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533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H17068" i="1" l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C2" i="1" l="1"/>
  <c r="D2" i="1"/>
  <c r="E2" i="1"/>
  <c r="C3" i="1"/>
  <c r="D3" i="1"/>
  <c r="E3" i="1"/>
  <c r="C4" i="1"/>
  <c r="D4" i="1"/>
  <c r="E4" i="1"/>
  <c r="C5" i="1"/>
  <c r="D5" i="1"/>
  <c r="E5" i="1"/>
  <c r="C6" i="1"/>
  <c r="D6" i="1"/>
  <c r="E6" i="1"/>
  <c r="C7" i="1"/>
  <c r="D7" i="1"/>
  <c r="E7" i="1"/>
  <c r="C8" i="1"/>
  <c r="D8" i="1"/>
  <c r="E8" i="1"/>
  <c r="C9" i="1"/>
  <c r="D9" i="1"/>
  <c r="E9" i="1"/>
  <c r="C10" i="1"/>
  <c r="D10" i="1"/>
  <c r="E10" i="1"/>
  <c r="C11" i="1"/>
  <c r="D11" i="1"/>
  <c r="E11" i="1"/>
  <c r="C12" i="1"/>
  <c r="D12" i="1"/>
  <c r="E12" i="1"/>
  <c r="C13" i="1"/>
  <c r="D13" i="1"/>
  <c r="E13" i="1"/>
  <c r="C14" i="1"/>
  <c r="D14" i="1"/>
  <c r="E14" i="1"/>
  <c r="C15" i="1"/>
  <c r="D15" i="1"/>
  <c r="E15" i="1"/>
  <c r="C16" i="1"/>
  <c r="D16" i="1"/>
  <c r="E16" i="1"/>
  <c r="C17" i="1"/>
  <c r="D17" i="1"/>
  <c r="E17" i="1"/>
  <c r="C18" i="1"/>
  <c r="D18" i="1"/>
  <c r="E18" i="1"/>
  <c r="C19" i="1"/>
  <c r="D19" i="1"/>
  <c r="E19" i="1"/>
  <c r="C20" i="1"/>
  <c r="D20" i="1"/>
  <c r="E20" i="1"/>
  <c r="C21" i="1"/>
  <c r="D21" i="1"/>
  <c r="E21" i="1"/>
  <c r="C22" i="1"/>
  <c r="D22" i="1"/>
  <c r="E22" i="1"/>
  <c r="C23" i="1"/>
  <c r="D23" i="1"/>
  <c r="E23" i="1"/>
  <c r="C24" i="1"/>
  <c r="D24" i="1"/>
  <c r="E24" i="1"/>
  <c r="C25" i="1"/>
  <c r="D25" i="1"/>
  <c r="E25" i="1"/>
  <c r="C26" i="1"/>
  <c r="D26" i="1"/>
  <c r="E26" i="1"/>
  <c r="C27" i="1"/>
  <c r="D27" i="1"/>
  <c r="E27" i="1"/>
  <c r="C28" i="1"/>
  <c r="D28" i="1"/>
  <c r="E28" i="1"/>
  <c r="C29" i="1"/>
  <c r="D29" i="1"/>
  <c r="E29" i="1"/>
  <c r="C30" i="1"/>
  <c r="D30" i="1"/>
  <c r="E30" i="1"/>
  <c r="C31" i="1"/>
  <c r="D31" i="1"/>
  <c r="E31" i="1"/>
  <c r="C32" i="1"/>
  <c r="D32" i="1"/>
  <c r="E32" i="1"/>
  <c r="C33" i="1"/>
  <c r="D33" i="1"/>
  <c r="E33" i="1"/>
  <c r="C34" i="1"/>
  <c r="D34" i="1"/>
  <c r="E34" i="1"/>
  <c r="C35" i="1"/>
  <c r="D35" i="1"/>
  <c r="E35" i="1"/>
  <c r="C36" i="1"/>
  <c r="D36" i="1"/>
  <c r="E36" i="1"/>
  <c r="C37" i="1"/>
  <c r="D37" i="1"/>
  <c r="E37" i="1"/>
  <c r="C38" i="1"/>
  <c r="D38" i="1"/>
  <c r="E38" i="1"/>
  <c r="C39" i="1"/>
  <c r="D39" i="1"/>
  <c r="E39" i="1"/>
  <c r="C40" i="1"/>
  <c r="D40" i="1"/>
  <c r="E40" i="1"/>
  <c r="C41" i="1"/>
  <c r="D41" i="1"/>
  <c r="E41" i="1"/>
  <c r="C42" i="1"/>
  <c r="D42" i="1"/>
  <c r="E42" i="1"/>
  <c r="C43" i="1"/>
  <c r="D43" i="1"/>
  <c r="E43" i="1"/>
  <c r="C44" i="1"/>
  <c r="D44" i="1"/>
  <c r="E44" i="1"/>
  <c r="C45" i="1"/>
  <c r="D45" i="1"/>
  <c r="E45" i="1"/>
  <c r="C46" i="1"/>
  <c r="D46" i="1"/>
  <c r="E46" i="1"/>
  <c r="C47" i="1"/>
  <c r="D47" i="1"/>
  <c r="E47" i="1"/>
  <c r="C48" i="1"/>
  <c r="D48" i="1"/>
  <c r="E48" i="1"/>
  <c r="C49" i="1"/>
  <c r="D49" i="1"/>
  <c r="E49" i="1"/>
  <c r="C50" i="1"/>
  <c r="D50" i="1"/>
  <c r="E50" i="1"/>
  <c r="C51" i="1"/>
  <c r="D51" i="1"/>
  <c r="E51" i="1"/>
  <c r="C52" i="1"/>
  <c r="D52" i="1"/>
  <c r="E52" i="1"/>
  <c r="C53" i="1"/>
  <c r="D53" i="1"/>
  <c r="E53" i="1"/>
  <c r="C54" i="1"/>
  <c r="D54" i="1"/>
  <c r="E54" i="1"/>
  <c r="C55" i="1"/>
  <c r="D55" i="1"/>
  <c r="E55" i="1"/>
  <c r="C56" i="1"/>
  <c r="D56" i="1"/>
  <c r="E56" i="1"/>
  <c r="C57" i="1"/>
  <c r="D57" i="1"/>
  <c r="E57" i="1"/>
  <c r="C58" i="1"/>
  <c r="D58" i="1"/>
  <c r="E58" i="1"/>
  <c r="C59" i="1"/>
  <c r="D59" i="1"/>
  <c r="E59" i="1"/>
  <c r="C60" i="1"/>
  <c r="D60" i="1"/>
  <c r="E60" i="1"/>
  <c r="C61" i="1"/>
  <c r="D61" i="1"/>
  <c r="E61" i="1"/>
  <c r="C62" i="1"/>
  <c r="D62" i="1"/>
  <c r="E62" i="1"/>
  <c r="C63" i="1"/>
  <c r="D63" i="1"/>
  <c r="E63" i="1"/>
  <c r="C64" i="1"/>
  <c r="D64" i="1"/>
  <c r="E64" i="1"/>
  <c r="C65" i="1"/>
  <c r="D65" i="1"/>
  <c r="E65" i="1"/>
  <c r="C66" i="1"/>
  <c r="D66" i="1"/>
  <c r="E66" i="1"/>
  <c r="C67" i="1"/>
  <c r="D67" i="1"/>
  <c r="E67" i="1"/>
  <c r="C68" i="1"/>
  <c r="D68" i="1"/>
  <c r="E68" i="1"/>
  <c r="C69" i="1"/>
  <c r="D69" i="1"/>
  <c r="E69" i="1"/>
  <c r="C70" i="1"/>
  <c r="D70" i="1"/>
  <c r="E70" i="1"/>
  <c r="C71" i="1"/>
  <c r="D71" i="1"/>
  <c r="E71" i="1"/>
  <c r="C72" i="1"/>
  <c r="D72" i="1"/>
  <c r="E72" i="1"/>
  <c r="C73" i="1"/>
  <c r="D73" i="1"/>
  <c r="E73" i="1"/>
  <c r="C74" i="1"/>
  <c r="D74" i="1"/>
  <c r="E74" i="1"/>
  <c r="C75" i="1"/>
  <c r="D75" i="1"/>
  <c r="E75" i="1"/>
  <c r="C76" i="1"/>
  <c r="D76" i="1"/>
  <c r="E76" i="1"/>
  <c r="C77" i="1"/>
  <c r="D77" i="1"/>
  <c r="E77" i="1"/>
  <c r="C78" i="1"/>
  <c r="D78" i="1"/>
  <c r="E78" i="1"/>
  <c r="C79" i="1"/>
  <c r="D79" i="1"/>
  <c r="E79" i="1"/>
  <c r="C80" i="1"/>
  <c r="D80" i="1"/>
  <c r="E80" i="1"/>
  <c r="C81" i="1"/>
  <c r="D81" i="1"/>
  <c r="E81" i="1"/>
  <c r="C82" i="1"/>
  <c r="D82" i="1"/>
  <c r="E82" i="1"/>
  <c r="C83" i="1"/>
  <c r="D83" i="1"/>
  <c r="E83" i="1"/>
  <c r="C84" i="1"/>
  <c r="D84" i="1"/>
  <c r="E84" i="1"/>
  <c r="C85" i="1"/>
  <c r="D85" i="1"/>
  <c r="E85" i="1"/>
  <c r="C86" i="1"/>
  <c r="D86" i="1"/>
  <c r="E86" i="1"/>
  <c r="C87" i="1"/>
  <c r="D87" i="1"/>
  <c r="E87" i="1"/>
  <c r="C88" i="1"/>
  <c r="D88" i="1"/>
  <c r="E88" i="1"/>
  <c r="C89" i="1"/>
  <c r="D89" i="1"/>
  <c r="E89" i="1"/>
  <c r="C90" i="1"/>
  <c r="D90" i="1"/>
  <c r="E90" i="1"/>
  <c r="C91" i="1"/>
  <c r="D91" i="1"/>
  <c r="E91" i="1"/>
  <c r="C92" i="1"/>
  <c r="D92" i="1"/>
  <c r="E92" i="1"/>
  <c r="C93" i="1"/>
  <c r="D93" i="1"/>
  <c r="E93" i="1"/>
  <c r="C94" i="1"/>
  <c r="D94" i="1"/>
  <c r="E94" i="1"/>
  <c r="C95" i="1"/>
  <c r="D95" i="1"/>
  <c r="E95" i="1"/>
  <c r="C96" i="1"/>
  <c r="D96" i="1"/>
  <c r="E96" i="1"/>
  <c r="C97" i="1"/>
  <c r="D97" i="1"/>
  <c r="E97" i="1"/>
  <c r="C98" i="1"/>
  <c r="D98" i="1"/>
  <c r="E98" i="1"/>
  <c r="C99" i="1"/>
  <c r="D99" i="1"/>
  <c r="E99" i="1"/>
  <c r="C100" i="1"/>
  <c r="D100" i="1"/>
  <c r="E100" i="1"/>
  <c r="C101" i="1"/>
  <c r="D101" i="1"/>
  <c r="E101" i="1"/>
  <c r="C102" i="1"/>
  <c r="D102" i="1"/>
  <c r="E102" i="1"/>
  <c r="C103" i="1"/>
  <c r="D103" i="1"/>
  <c r="E103" i="1"/>
  <c r="C104" i="1"/>
  <c r="D104" i="1"/>
  <c r="E104" i="1"/>
  <c r="C105" i="1"/>
  <c r="D105" i="1"/>
  <c r="E105" i="1"/>
  <c r="C106" i="1"/>
  <c r="D106" i="1"/>
  <c r="E106" i="1"/>
  <c r="C107" i="1"/>
  <c r="D107" i="1"/>
  <c r="E107" i="1"/>
  <c r="C108" i="1"/>
  <c r="D108" i="1"/>
  <c r="E108" i="1"/>
  <c r="C109" i="1"/>
  <c r="D109" i="1"/>
  <c r="E109" i="1"/>
  <c r="C110" i="1"/>
  <c r="D110" i="1"/>
  <c r="E110" i="1"/>
  <c r="C111" i="1"/>
  <c r="D111" i="1"/>
  <c r="E111" i="1"/>
  <c r="C112" i="1"/>
  <c r="D112" i="1"/>
  <c r="E112" i="1"/>
  <c r="C113" i="1"/>
  <c r="D113" i="1"/>
  <c r="E113" i="1"/>
  <c r="C114" i="1"/>
  <c r="D114" i="1"/>
  <c r="E114" i="1"/>
  <c r="C115" i="1"/>
  <c r="D115" i="1"/>
  <c r="E115" i="1"/>
  <c r="C116" i="1"/>
  <c r="D116" i="1"/>
  <c r="E116" i="1"/>
  <c r="C117" i="1"/>
  <c r="D117" i="1"/>
  <c r="E117" i="1"/>
  <c r="C118" i="1"/>
  <c r="D118" i="1"/>
  <c r="E118" i="1"/>
  <c r="C119" i="1"/>
  <c r="D119" i="1"/>
  <c r="E119" i="1"/>
  <c r="C120" i="1"/>
  <c r="D120" i="1"/>
  <c r="E120" i="1"/>
  <c r="C121" i="1"/>
  <c r="D121" i="1"/>
  <c r="E121" i="1"/>
  <c r="C122" i="1"/>
  <c r="D122" i="1"/>
  <c r="E122" i="1"/>
  <c r="C123" i="1"/>
  <c r="D123" i="1"/>
  <c r="E123" i="1"/>
  <c r="C124" i="1"/>
  <c r="D124" i="1"/>
  <c r="E124" i="1"/>
  <c r="C125" i="1"/>
  <c r="D125" i="1"/>
  <c r="E125" i="1"/>
  <c r="C126" i="1"/>
  <c r="D126" i="1"/>
  <c r="E126" i="1"/>
  <c r="C127" i="1"/>
  <c r="D127" i="1"/>
  <c r="E127" i="1"/>
  <c r="C128" i="1"/>
  <c r="D128" i="1"/>
  <c r="E128" i="1"/>
  <c r="C129" i="1"/>
  <c r="D129" i="1"/>
  <c r="E129" i="1"/>
  <c r="C130" i="1"/>
  <c r="D130" i="1"/>
  <c r="E130" i="1"/>
  <c r="C131" i="1"/>
  <c r="D131" i="1"/>
  <c r="E131" i="1"/>
  <c r="C132" i="1"/>
  <c r="D132" i="1"/>
  <c r="E132" i="1"/>
  <c r="C133" i="1"/>
  <c r="D133" i="1"/>
  <c r="E133" i="1"/>
  <c r="C134" i="1"/>
  <c r="D134" i="1"/>
  <c r="E134" i="1"/>
  <c r="C135" i="1"/>
  <c r="D135" i="1"/>
  <c r="E135" i="1"/>
  <c r="C136" i="1"/>
  <c r="D136" i="1"/>
  <c r="E136" i="1"/>
  <c r="C137" i="1"/>
  <c r="D137" i="1"/>
  <c r="E137" i="1"/>
  <c r="C138" i="1"/>
  <c r="D138" i="1"/>
  <c r="E138" i="1"/>
  <c r="C139" i="1"/>
  <c r="D139" i="1"/>
  <c r="E139" i="1"/>
  <c r="C140" i="1"/>
  <c r="D140" i="1"/>
  <c r="E140" i="1"/>
  <c r="C141" i="1"/>
  <c r="D141" i="1"/>
  <c r="E141" i="1"/>
  <c r="C142" i="1"/>
  <c r="D142" i="1"/>
  <c r="E142" i="1"/>
  <c r="C143" i="1"/>
  <c r="D143" i="1"/>
  <c r="E143" i="1"/>
  <c r="C144" i="1"/>
  <c r="D144" i="1"/>
  <c r="E144" i="1"/>
  <c r="C145" i="1"/>
  <c r="D145" i="1"/>
  <c r="E145" i="1"/>
  <c r="C146" i="1"/>
  <c r="D146" i="1"/>
  <c r="E146" i="1"/>
  <c r="C147" i="1"/>
  <c r="D147" i="1"/>
  <c r="E147" i="1"/>
  <c r="C148" i="1"/>
  <c r="D148" i="1"/>
  <c r="E148" i="1"/>
  <c r="C149" i="1"/>
  <c r="D149" i="1"/>
  <c r="E149" i="1"/>
  <c r="C150" i="1"/>
  <c r="D150" i="1"/>
  <c r="E150" i="1"/>
  <c r="C151" i="1"/>
  <c r="D151" i="1"/>
  <c r="E151" i="1"/>
  <c r="C152" i="1"/>
  <c r="D152" i="1"/>
  <c r="E152" i="1"/>
  <c r="C153" i="1"/>
  <c r="D153" i="1"/>
  <c r="E153" i="1"/>
  <c r="C154" i="1"/>
  <c r="D154" i="1"/>
  <c r="E154" i="1"/>
  <c r="C155" i="1"/>
  <c r="D155" i="1"/>
  <c r="E155" i="1"/>
  <c r="C156" i="1"/>
  <c r="D156" i="1"/>
  <c r="E156" i="1"/>
  <c r="C157" i="1"/>
  <c r="D157" i="1"/>
  <c r="E157" i="1"/>
  <c r="C158" i="1"/>
  <c r="D158" i="1"/>
  <c r="E158" i="1"/>
  <c r="C159" i="1"/>
  <c r="D159" i="1"/>
  <c r="E159" i="1"/>
  <c r="C160" i="1"/>
  <c r="D160" i="1"/>
  <c r="E160" i="1"/>
  <c r="C161" i="1"/>
  <c r="D161" i="1"/>
  <c r="E161" i="1"/>
  <c r="C162" i="1"/>
  <c r="D162" i="1"/>
  <c r="E162" i="1"/>
  <c r="C163" i="1"/>
  <c r="D163" i="1"/>
  <c r="E163" i="1"/>
  <c r="C164" i="1"/>
  <c r="D164" i="1"/>
  <c r="E164" i="1"/>
  <c r="C165" i="1"/>
  <c r="D165" i="1"/>
  <c r="E165" i="1"/>
  <c r="C166" i="1"/>
  <c r="D166" i="1"/>
  <c r="E166" i="1"/>
  <c r="C167" i="1"/>
  <c r="D167" i="1"/>
  <c r="E167" i="1"/>
  <c r="C168" i="1"/>
  <c r="D168" i="1"/>
  <c r="E168" i="1"/>
  <c r="C169" i="1"/>
  <c r="D169" i="1"/>
  <c r="E169" i="1"/>
  <c r="C170" i="1"/>
  <c r="D170" i="1"/>
  <c r="E170" i="1"/>
  <c r="C171" i="1"/>
  <c r="D171" i="1"/>
  <c r="E171" i="1"/>
  <c r="C172" i="1"/>
  <c r="D172" i="1"/>
  <c r="E172" i="1"/>
  <c r="C173" i="1"/>
  <c r="D173" i="1"/>
  <c r="E173" i="1"/>
  <c r="C174" i="1"/>
  <c r="D174" i="1"/>
  <c r="E174" i="1"/>
  <c r="C175" i="1"/>
  <c r="D175" i="1"/>
  <c r="E175" i="1"/>
  <c r="C176" i="1"/>
  <c r="D176" i="1"/>
  <c r="E176" i="1"/>
  <c r="C177" i="1"/>
  <c r="D177" i="1"/>
  <c r="E177" i="1"/>
  <c r="C178" i="1"/>
  <c r="D178" i="1"/>
  <c r="E178" i="1"/>
  <c r="C179" i="1"/>
  <c r="D179" i="1"/>
  <c r="E179" i="1"/>
  <c r="C180" i="1"/>
  <c r="D180" i="1"/>
  <c r="E180" i="1"/>
  <c r="C181" i="1"/>
  <c r="D181" i="1"/>
  <c r="E181" i="1"/>
  <c r="C182" i="1"/>
  <c r="D182" i="1"/>
  <c r="E182" i="1"/>
  <c r="C183" i="1"/>
  <c r="D183" i="1"/>
  <c r="E183" i="1"/>
  <c r="C184" i="1"/>
  <c r="D184" i="1"/>
  <c r="E184" i="1"/>
  <c r="C185" i="1"/>
  <c r="D185" i="1"/>
  <c r="E185" i="1"/>
  <c r="C186" i="1"/>
  <c r="D186" i="1"/>
  <c r="E186" i="1"/>
  <c r="C187" i="1"/>
  <c r="D187" i="1"/>
  <c r="E187" i="1"/>
  <c r="C188" i="1"/>
  <c r="D188" i="1"/>
  <c r="E188" i="1"/>
  <c r="C189" i="1"/>
  <c r="D189" i="1"/>
  <c r="E189" i="1"/>
  <c r="C190" i="1"/>
  <c r="D190" i="1"/>
  <c r="E190" i="1"/>
  <c r="C191" i="1"/>
  <c r="D191" i="1"/>
  <c r="E191" i="1"/>
  <c r="C192" i="1"/>
  <c r="D192" i="1"/>
  <c r="E192" i="1"/>
  <c r="C193" i="1"/>
  <c r="D193" i="1"/>
  <c r="E193" i="1"/>
  <c r="C194" i="1"/>
  <c r="D194" i="1"/>
  <c r="E194" i="1"/>
  <c r="C195" i="1"/>
  <c r="D195" i="1"/>
  <c r="E195" i="1"/>
  <c r="C196" i="1"/>
  <c r="D196" i="1"/>
  <c r="E196" i="1"/>
  <c r="C197" i="1"/>
  <c r="D197" i="1"/>
  <c r="E197" i="1"/>
  <c r="C198" i="1"/>
  <c r="D198" i="1"/>
  <c r="E198" i="1"/>
  <c r="C199" i="1"/>
  <c r="D199" i="1"/>
  <c r="E199" i="1"/>
  <c r="C200" i="1"/>
  <c r="D200" i="1"/>
  <c r="E200" i="1"/>
  <c r="C201" i="1"/>
  <c r="D201" i="1"/>
  <c r="E201" i="1"/>
  <c r="C202" i="1"/>
  <c r="D202" i="1"/>
  <c r="E202" i="1"/>
  <c r="C203" i="1"/>
  <c r="D203" i="1"/>
  <c r="E203" i="1"/>
  <c r="C204" i="1"/>
  <c r="D204" i="1"/>
  <c r="E204" i="1"/>
  <c r="C205" i="1"/>
  <c r="D205" i="1"/>
  <c r="E205" i="1"/>
  <c r="C206" i="1"/>
  <c r="D206" i="1"/>
  <c r="E206" i="1"/>
  <c r="C207" i="1"/>
  <c r="D207" i="1"/>
  <c r="E207" i="1"/>
  <c r="C208" i="1"/>
  <c r="D208" i="1"/>
  <c r="E208" i="1"/>
  <c r="C209" i="1"/>
  <c r="D209" i="1"/>
  <c r="E209" i="1"/>
  <c r="C210" i="1"/>
  <c r="D210" i="1"/>
  <c r="E210" i="1"/>
  <c r="C211" i="1"/>
  <c r="D211" i="1"/>
  <c r="E211" i="1"/>
  <c r="C212" i="1"/>
  <c r="D212" i="1"/>
  <c r="E212" i="1"/>
  <c r="C213" i="1"/>
  <c r="D213" i="1"/>
  <c r="E213" i="1"/>
  <c r="C214" i="1"/>
  <c r="D214" i="1"/>
  <c r="E214" i="1"/>
  <c r="C215" i="1"/>
  <c r="D215" i="1"/>
  <c r="E215" i="1"/>
  <c r="C216" i="1"/>
  <c r="D216" i="1"/>
  <c r="E216" i="1"/>
  <c r="C217" i="1"/>
  <c r="D217" i="1"/>
  <c r="E217" i="1"/>
  <c r="C218" i="1"/>
  <c r="D218" i="1"/>
  <c r="E218" i="1"/>
  <c r="C219" i="1"/>
  <c r="D219" i="1"/>
  <c r="E219" i="1"/>
  <c r="C220" i="1"/>
  <c r="D220" i="1"/>
  <c r="E220" i="1"/>
  <c r="C221" i="1"/>
  <c r="D221" i="1"/>
  <c r="E221" i="1"/>
  <c r="C222" i="1"/>
  <c r="D222" i="1"/>
  <c r="E222" i="1"/>
  <c r="C223" i="1"/>
  <c r="D223" i="1"/>
  <c r="E223" i="1"/>
  <c r="C224" i="1"/>
  <c r="D224" i="1"/>
  <c r="E224" i="1"/>
  <c r="C225" i="1"/>
  <c r="D225" i="1"/>
  <c r="E225" i="1"/>
  <c r="C226" i="1"/>
  <c r="D226" i="1"/>
  <c r="E226" i="1"/>
  <c r="C227" i="1"/>
  <c r="D227" i="1"/>
  <c r="E227" i="1"/>
  <c r="C228" i="1"/>
  <c r="D228" i="1"/>
  <c r="E228" i="1"/>
  <c r="C229" i="1"/>
  <c r="D229" i="1"/>
  <c r="E229" i="1"/>
  <c r="C230" i="1"/>
  <c r="D230" i="1"/>
  <c r="E230" i="1"/>
  <c r="C231" i="1"/>
  <c r="D231" i="1"/>
  <c r="E231" i="1"/>
  <c r="C232" i="1"/>
  <c r="D232" i="1"/>
  <c r="E232" i="1"/>
  <c r="C233" i="1"/>
  <c r="D233" i="1"/>
  <c r="E233" i="1"/>
  <c r="C234" i="1"/>
  <c r="D234" i="1"/>
  <c r="E234" i="1"/>
  <c r="C235" i="1"/>
  <c r="D235" i="1"/>
  <c r="E235" i="1"/>
  <c r="C236" i="1"/>
  <c r="D236" i="1"/>
  <c r="E236" i="1"/>
  <c r="C237" i="1"/>
  <c r="D237" i="1"/>
  <c r="E237" i="1"/>
  <c r="C238" i="1"/>
  <c r="D238" i="1"/>
  <c r="E238" i="1"/>
  <c r="C239" i="1"/>
  <c r="D239" i="1"/>
  <c r="E239" i="1"/>
  <c r="C240" i="1"/>
  <c r="D240" i="1"/>
  <c r="E240" i="1"/>
  <c r="C241" i="1"/>
  <c r="D241" i="1"/>
  <c r="E241" i="1"/>
  <c r="C242" i="1"/>
  <c r="D242" i="1"/>
  <c r="E242" i="1"/>
  <c r="C243" i="1"/>
  <c r="D243" i="1"/>
  <c r="E243" i="1"/>
  <c r="C244" i="1"/>
  <c r="D244" i="1"/>
  <c r="E244" i="1"/>
  <c r="C245" i="1"/>
  <c r="D245" i="1"/>
  <c r="E245" i="1"/>
  <c r="C246" i="1"/>
  <c r="D246" i="1"/>
  <c r="E246" i="1"/>
  <c r="C247" i="1"/>
  <c r="D247" i="1"/>
  <c r="E247" i="1"/>
  <c r="C248" i="1"/>
  <c r="D248" i="1"/>
  <c r="E248" i="1"/>
  <c r="C249" i="1"/>
  <c r="D249" i="1"/>
  <c r="E249" i="1"/>
  <c r="C250" i="1"/>
  <c r="D250" i="1"/>
  <c r="E250" i="1"/>
  <c r="C251" i="1"/>
  <c r="D251" i="1"/>
  <c r="E251" i="1"/>
  <c r="C252" i="1"/>
  <c r="D252" i="1"/>
  <c r="E252" i="1"/>
  <c r="C253" i="1"/>
  <c r="D253" i="1"/>
  <c r="E253" i="1"/>
  <c r="C254" i="1"/>
  <c r="D254" i="1"/>
  <c r="E254" i="1"/>
  <c r="C255" i="1"/>
  <c r="D255" i="1"/>
  <c r="E255" i="1"/>
  <c r="C256" i="1"/>
  <c r="D256" i="1"/>
  <c r="E256" i="1"/>
  <c r="C257" i="1"/>
  <c r="D257" i="1"/>
  <c r="E257" i="1"/>
  <c r="C258" i="1"/>
  <c r="D258" i="1"/>
  <c r="E258" i="1"/>
  <c r="C259" i="1"/>
  <c r="D259" i="1"/>
  <c r="E259" i="1"/>
  <c r="C260" i="1"/>
  <c r="D260" i="1"/>
  <c r="E260" i="1"/>
  <c r="C261" i="1"/>
  <c r="D261" i="1"/>
  <c r="E261" i="1"/>
  <c r="C262" i="1"/>
  <c r="D262" i="1"/>
  <c r="E262" i="1"/>
  <c r="C263" i="1"/>
  <c r="D263" i="1"/>
  <c r="E263" i="1"/>
  <c r="C264" i="1"/>
  <c r="D264" i="1"/>
  <c r="E264" i="1"/>
  <c r="C265" i="1"/>
  <c r="D265" i="1"/>
  <c r="E265" i="1"/>
  <c r="C266" i="1"/>
  <c r="D266" i="1"/>
  <c r="E266" i="1"/>
  <c r="C267" i="1"/>
  <c r="D267" i="1"/>
  <c r="E267" i="1"/>
  <c r="C268" i="1"/>
  <c r="D268" i="1"/>
  <c r="E268" i="1"/>
  <c r="C269" i="1"/>
  <c r="D269" i="1"/>
  <c r="E269" i="1"/>
  <c r="C270" i="1"/>
  <c r="D270" i="1"/>
  <c r="E270" i="1"/>
  <c r="C271" i="1"/>
  <c r="D271" i="1"/>
  <c r="E271" i="1"/>
  <c r="C272" i="1"/>
  <c r="D272" i="1"/>
  <c r="E272" i="1"/>
  <c r="C273" i="1"/>
  <c r="D273" i="1"/>
  <c r="E273" i="1"/>
  <c r="C274" i="1"/>
  <c r="D274" i="1"/>
  <c r="E274" i="1"/>
  <c r="C275" i="1"/>
  <c r="D275" i="1"/>
  <c r="E275" i="1"/>
  <c r="C276" i="1"/>
  <c r="D276" i="1"/>
  <c r="E276" i="1"/>
  <c r="C277" i="1"/>
  <c r="D277" i="1"/>
  <c r="E277" i="1"/>
  <c r="C278" i="1"/>
  <c r="D278" i="1"/>
  <c r="E278" i="1"/>
  <c r="C279" i="1"/>
  <c r="D279" i="1"/>
  <c r="E279" i="1"/>
  <c r="C280" i="1"/>
  <c r="D280" i="1"/>
  <c r="E280" i="1"/>
  <c r="C281" i="1"/>
  <c r="D281" i="1"/>
  <c r="E281" i="1"/>
  <c r="C282" i="1"/>
  <c r="D282" i="1"/>
  <c r="E282" i="1"/>
  <c r="C283" i="1"/>
  <c r="D283" i="1"/>
  <c r="E283" i="1"/>
  <c r="C284" i="1"/>
  <c r="D284" i="1"/>
  <c r="E284" i="1"/>
  <c r="C285" i="1"/>
  <c r="D285" i="1"/>
  <c r="E285" i="1"/>
  <c r="C286" i="1"/>
  <c r="D286" i="1"/>
  <c r="E286" i="1"/>
  <c r="C287" i="1"/>
  <c r="D287" i="1"/>
  <c r="E287" i="1"/>
  <c r="C288" i="1"/>
  <c r="D288" i="1"/>
  <c r="E288" i="1"/>
  <c r="C289" i="1"/>
  <c r="D289" i="1"/>
  <c r="E289" i="1"/>
  <c r="C290" i="1"/>
  <c r="D290" i="1"/>
  <c r="E290" i="1"/>
  <c r="C291" i="1"/>
  <c r="D291" i="1"/>
  <c r="E291" i="1"/>
  <c r="C292" i="1"/>
  <c r="D292" i="1"/>
  <c r="E292" i="1"/>
  <c r="C293" i="1"/>
  <c r="D293" i="1"/>
  <c r="E293" i="1"/>
  <c r="C294" i="1"/>
  <c r="D294" i="1"/>
  <c r="E294" i="1"/>
  <c r="C295" i="1"/>
  <c r="D295" i="1"/>
  <c r="E295" i="1"/>
  <c r="C296" i="1"/>
  <c r="D296" i="1"/>
  <c r="E296" i="1"/>
  <c r="C297" i="1"/>
  <c r="D297" i="1"/>
  <c r="E297" i="1"/>
  <c r="C298" i="1"/>
  <c r="D298" i="1"/>
  <c r="E298" i="1"/>
  <c r="C299" i="1"/>
  <c r="D299" i="1"/>
  <c r="E299" i="1"/>
  <c r="C300" i="1"/>
  <c r="D300" i="1"/>
  <c r="E300" i="1"/>
  <c r="C301" i="1"/>
  <c r="D301" i="1"/>
  <c r="E301" i="1"/>
  <c r="C302" i="1"/>
  <c r="D302" i="1"/>
  <c r="E302" i="1"/>
  <c r="C303" i="1"/>
  <c r="D303" i="1"/>
  <c r="E303" i="1"/>
  <c r="C304" i="1"/>
  <c r="D304" i="1"/>
  <c r="E304" i="1"/>
  <c r="C305" i="1"/>
  <c r="D305" i="1"/>
  <c r="E305" i="1"/>
  <c r="C306" i="1"/>
  <c r="D306" i="1"/>
  <c r="E306" i="1"/>
  <c r="C307" i="1"/>
  <c r="D307" i="1"/>
  <c r="E307" i="1"/>
  <c r="C308" i="1"/>
  <c r="D308" i="1"/>
  <c r="E308" i="1"/>
  <c r="C309" i="1"/>
  <c r="D309" i="1"/>
  <c r="E309" i="1"/>
  <c r="C310" i="1"/>
  <c r="D310" i="1"/>
  <c r="E310" i="1"/>
  <c r="C311" i="1"/>
  <c r="D311" i="1"/>
  <c r="E311" i="1"/>
  <c r="C312" i="1"/>
  <c r="D312" i="1"/>
  <c r="E312" i="1"/>
  <c r="C313" i="1"/>
  <c r="D313" i="1"/>
  <c r="E313" i="1"/>
  <c r="C314" i="1"/>
  <c r="D314" i="1"/>
  <c r="E314" i="1"/>
  <c r="C315" i="1"/>
  <c r="D315" i="1"/>
  <c r="E315" i="1"/>
  <c r="C316" i="1"/>
  <c r="D316" i="1"/>
  <c r="E316" i="1"/>
  <c r="C317" i="1"/>
  <c r="D317" i="1"/>
  <c r="E317" i="1"/>
  <c r="C318" i="1"/>
  <c r="D318" i="1"/>
  <c r="E318" i="1"/>
  <c r="C319" i="1"/>
  <c r="D319" i="1"/>
  <c r="E319" i="1"/>
  <c r="C320" i="1"/>
  <c r="D320" i="1"/>
  <c r="E320" i="1"/>
  <c r="C321" i="1"/>
  <c r="D321" i="1"/>
  <c r="E321" i="1"/>
  <c r="C322" i="1"/>
  <c r="D322" i="1"/>
  <c r="E322" i="1"/>
  <c r="C323" i="1"/>
  <c r="D323" i="1"/>
  <c r="E323" i="1"/>
  <c r="C324" i="1"/>
  <c r="D324" i="1"/>
  <c r="E324" i="1"/>
  <c r="C325" i="1"/>
  <c r="D325" i="1"/>
  <c r="E325" i="1"/>
  <c r="C326" i="1"/>
  <c r="D326" i="1"/>
  <c r="E326" i="1"/>
  <c r="C327" i="1"/>
  <c r="D327" i="1"/>
  <c r="E327" i="1"/>
  <c r="C328" i="1"/>
  <c r="D328" i="1"/>
  <c r="E328" i="1"/>
  <c r="C329" i="1"/>
  <c r="D329" i="1"/>
  <c r="E329" i="1"/>
  <c r="C330" i="1"/>
  <c r="D330" i="1"/>
  <c r="E330" i="1"/>
  <c r="C331" i="1"/>
  <c r="D331" i="1"/>
  <c r="E331" i="1"/>
  <c r="C332" i="1"/>
  <c r="D332" i="1"/>
  <c r="E332" i="1"/>
  <c r="C333" i="1"/>
  <c r="D333" i="1"/>
  <c r="E333" i="1"/>
  <c r="C334" i="1"/>
  <c r="D334" i="1"/>
  <c r="E334" i="1"/>
  <c r="C335" i="1"/>
  <c r="D335" i="1"/>
  <c r="E335" i="1"/>
  <c r="C336" i="1"/>
  <c r="D336" i="1"/>
  <c r="E336" i="1"/>
  <c r="C337" i="1"/>
  <c r="D337" i="1"/>
  <c r="E337" i="1"/>
  <c r="C338" i="1"/>
  <c r="D338" i="1"/>
  <c r="E338" i="1"/>
  <c r="C339" i="1"/>
  <c r="D339" i="1"/>
  <c r="E339" i="1"/>
  <c r="C340" i="1"/>
  <c r="D340" i="1"/>
  <c r="E340" i="1"/>
  <c r="C341" i="1"/>
  <c r="D341" i="1"/>
  <c r="E341" i="1"/>
  <c r="C342" i="1"/>
  <c r="D342" i="1"/>
  <c r="E342" i="1"/>
  <c r="C343" i="1"/>
  <c r="D343" i="1"/>
  <c r="E343" i="1"/>
  <c r="C344" i="1"/>
  <c r="D344" i="1"/>
  <c r="E344" i="1"/>
  <c r="C345" i="1"/>
  <c r="D345" i="1"/>
  <c r="E345" i="1"/>
  <c r="C346" i="1"/>
  <c r="D346" i="1"/>
  <c r="E346" i="1"/>
  <c r="C347" i="1"/>
  <c r="D347" i="1"/>
  <c r="E347" i="1"/>
  <c r="C348" i="1"/>
  <c r="D348" i="1"/>
  <c r="E348" i="1"/>
  <c r="C349" i="1"/>
  <c r="D349" i="1"/>
  <c r="E349" i="1"/>
  <c r="C350" i="1"/>
  <c r="D350" i="1"/>
  <c r="E350" i="1"/>
  <c r="C351" i="1"/>
  <c r="D351" i="1"/>
  <c r="E351" i="1"/>
  <c r="C352" i="1"/>
  <c r="D352" i="1"/>
  <c r="E352" i="1"/>
  <c r="C353" i="1"/>
  <c r="D353" i="1"/>
  <c r="E353" i="1"/>
  <c r="C354" i="1"/>
  <c r="D354" i="1"/>
  <c r="E354" i="1"/>
  <c r="C355" i="1"/>
  <c r="D355" i="1"/>
  <c r="E355" i="1"/>
  <c r="C356" i="1"/>
  <c r="D356" i="1"/>
  <c r="E356" i="1"/>
  <c r="C357" i="1"/>
  <c r="D357" i="1"/>
  <c r="E357" i="1"/>
  <c r="C358" i="1"/>
  <c r="D358" i="1"/>
  <c r="E358" i="1"/>
  <c r="C359" i="1"/>
  <c r="D359" i="1"/>
  <c r="E359" i="1"/>
  <c r="C360" i="1"/>
  <c r="D360" i="1"/>
  <c r="E360" i="1"/>
  <c r="C361" i="1"/>
  <c r="D361" i="1"/>
  <c r="E361" i="1"/>
  <c r="C362" i="1"/>
  <c r="D362" i="1"/>
  <c r="E362" i="1"/>
  <c r="C363" i="1"/>
  <c r="D363" i="1"/>
  <c r="E363" i="1"/>
  <c r="C364" i="1"/>
  <c r="D364" i="1"/>
  <c r="E364" i="1"/>
  <c r="C365" i="1"/>
  <c r="D365" i="1"/>
  <c r="E365" i="1"/>
  <c r="C366" i="1"/>
  <c r="D366" i="1"/>
  <c r="E366" i="1"/>
  <c r="C367" i="1"/>
  <c r="D367" i="1"/>
  <c r="E367" i="1"/>
  <c r="C368" i="1"/>
  <c r="D368" i="1"/>
  <c r="E368" i="1"/>
  <c r="C369" i="1"/>
  <c r="D369" i="1"/>
  <c r="E369" i="1"/>
  <c r="C370" i="1"/>
  <c r="D370" i="1"/>
  <c r="E370" i="1"/>
  <c r="C371" i="1"/>
  <c r="D371" i="1"/>
  <c r="E371" i="1"/>
  <c r="C372" i="1"/>
  <c r="D372" i="1"/>
  <c r="E372" i="1"/>
  <c r="C373" i="1"/>
  <c r="D373" i="1"/>
  <c r="E373" i="1"/>
  <c r="C374" i="1"/>
  <c r="D374" i="1"/>
  <c r="E374" i="1"/>
  <c r="C375" i="1"/>
  <c r="D375" i="1"/>
  <c r="E375" i="1"/>
  <c r="C376" i="1"/>
  <c r="D376" i="1"/>
  <c r="E376" i="1"/>
  <c r="C377" i="1"/>
  <c r="D377" i="1"/>
  <c r="E377" i="1"/>
  <c r="C378" i="1"/>
  <c r="D378" i="1"/>
  <c r="E378" i="1"/>
  <c r="C379" i="1"/>
  <c r="D379" i="1"/>
  <c r="E379" i="1"/>
  <c r="C380" i="1"/>
  <c r="D380" i="1"/>
  <c r="E380" i="1"/>
  <c r="C381" i="1"/>
  <c r="D381" i="1"/>
  <c r="E381" i="1"/>
  <c r="C382" i="1"/>
  <c r="D382" i="1"/>
  <c r="E382" i="1"/>
  <c r="C383" i="1"/>
  <c r="D383" i="1"/>
  <c r="E383" i="1"/>
  <c r="C384" i="1"/>
  <c r="D384" i="1"/>
  <c r="E384" i="1"/>
  <c r="C385" i="1"/>
  <c r="D385" i="1"/>
  <c r="E385" i="1"/>
  <c r="C386" i="1"/>
  <c r="D386" i="1"/>
  <c r="E386" i="1"/>
  <c r="C387" i="1"/>
  <c r="D387" i="1"/>
  <c r="E387" i="1"/>
  <c r="C388" i="1"/>
  <c r="D388" i="1"/>
  <c r="E388" i="1"/>
  <c r="C389" i="1"/>
  <c r="D389" i="1"/>
  <c r="E389" i="1"/>
  <c r="C390" i="1"/>
  <c r="D390" i="1"/>
  <c r="E390" i="1"/>
  <c r="C391" i="1"/>
  <c r="D391" i="1"/>
  <c r="E391" i="1"/>
  <c r="C392" i="1"/>
  <c r="D392" i="1"/>
  <c r="E392" i="1"/>
  <c r="C393" i="1"/>
  <c r="D393" i="1"/>
  <c r="E393" i="1"/>
  <c r="C394" i="1"/>
  <c r="D394" i="1"/>
  <c r="E394" i="1"/>
  <c r="C395" i="1"/>
  <c r="D395" i="1"/>
  <c r="E395" i="1"/>
  <c r="C396" i="1"/>
  <c r="D396" i="1"/>
  <c r="E396" i="1"/>
  <c r="C397" i="1"/>
  <c r="D397" i="1"/>
  <c r="E397" i="1"/>
  <c r="C398" i="1"/>
  <c r="D398" i="1"/>
  <c r="E398" i="1"/>
  <c r="C399" i="1"/>
  <c r="D399" i="1"/>
  <c r="E399" i="1"/>
  <c r="C400" i="1"/>
  <c r="D400" i="1"/>
  <c r="E400" i="1"/>
  <c r="C401" i="1"/>
  <c r="D401" i="1"/>
  <c r="E401" i="1"/>
  <c r="C402" i="1"/>
  <c r="D402" i="1"/>
  <c r="E402" i="1"/>
  <c r="C403" i="1"/>
  <c r="D403" i="1"/>
  <c r="E403" i="1"/>
  <c r="C404" i="1"/>
  <c r="D404" i="1"/>
  <c r="E404" i="1"/>
  <c r="C405" i="1"/>
  <c r="D405" i="1"/>
  <c r="E405" i="1"/>
  <c r="C406" i="1"/>
  <c r="D406" i="1"/>
  <c r="E406" i="1"/>
  <c r="C407" i="1"/>
  <c r="D407" i="1"/>
  <c r="E407" i="1"/>
  <c r="C408" i="1"/>
  <c r="D408" i="1"/>
  <c r="E408" i="1"/>
  <c r="C409" i="1"/>
  <c r="D409" i="1"/>
  <c r="E409" i="1"/>
  <c r="C410" i="1"/>
  <c r="D410" i="1"/>
  <c r="E410" i="1"/>
  <c r="C411" i="1"/>
  <c r="D411" i="1"/>
  <c r="E411" i="1"/>
  <c r="C412" i="1"/>
  <c r="D412" i="1"/>
  <c r="E412" i="1"/>
  <c r="C413" i="1"/>
  <c r="D413" i="1"/>
  <c r="E413" i="1"/>
  <c r="C414" i="1"/>
  <c r="D414" i="1"/>
  <c r="E414" i="1"/>
  <c r="C415" i="1"/>
  <c r="D415" i="1"/>
  <c r="E415" i="1"/>
  <c r="C416" i="1"/>
  <c r="D416" i="1"/>
  <c r="E416" i="1"/>
  <c r="C417" i="1"/>
  <c r="D417" i="1"/>
  <c r="E417" i="1"/>
  <c r="C418" i="1"/>
  <c r="D418" i="1"/>
  <c r="E418" i="1"/>
  <c r="C419" i="1"/>
  <c r="D419" i="1"/>
  <c r="E419" i="1"/>
  <c r="C420" i="1"/>
  <c r="D420" i="1"/>
  <c r="E420" i="1"/>
  <c r="C421" i="1"/>
  <c r="D421" i="1"/>
  <c r="E421" i="1"/>
  <c r="C422" i="1"/>
  <c r="D422" i="1"/>
  <c r="E422" i="1"/>
  <c r="C423" i="1"/>
  <c r="D423" i="1"/>
  <c r="E423" i="1"/>
  <c r="C424" i="1"/>
  <c r="D424" i="1"/>
  <c r="E424" i="1"/>
  <c r="C425" i="1"/>
  <c r="D425" i="1"/>
  <c r="E425" i="1"/>
  <c r="C426" i="1"/>
  <c r="D426" i="1"/>
  <c r="E426" i="1"/>
  <c r="C427" i="1"/>
  <c r="D427" i="1"/>
  <c r="E427" i="1"/>
  <c r="C428" i="1"/>
  <c r="D428" i="1"/>
  <c r="E428" i="1"/>
  <c r="C429" i="1"/>
  <c r="D429" i="1"/>
  <c r="E429" i="1"/>
  <c r="C430" i="1"/>
  <c r="D430" i="1"/>
  <c r="E430" i="1"/>
  <c r="C431" i="1"/>
  <c r="D431" i="1"/>
  <c r="E431" i="1"/>
  <c r="C432" i="1"/>
  <c r="D432" i="1"/>
  <c r="E432" i="1"/>
  <c r="C433" i="1"/>
  <c r="D433" i="1"/>
  <c r="E433" i="1"/>
  <c r="C434" i="1"/>
  <c r="D434" i="1"/>
  <c r="E434" i="1"/>
  <c r="C435" i="1"/>
  <c r="D435" i="1"/>
  <c r="E435" i="1"/>
  <c r="C436" i="1"/>
  <c r="D436" i="1"/>
  <c r="E436" i="1"/>
  <c r="C437" i="1"/>
  <c r="D437" i="1"/>
  <c r="E437" i="1"/>
  <c r="C438" i="1"/>
  <c r="D438" i="1"/>
  <c r="E438" i="1"/>
  <c r="C439" i="1"/>
  <c r="D439" i="1"/>
  <c r="E439" i="1"/>
  <c r="C440" i="1"/>
  <c r="D440" i="1"/>
  <c r="E440" i="1"/>
  <c r="C441" i="1"/>
  <c r="D441" i="1"/>
  <c r="E441" i="1"/>
  <c r="C442" i="1"/>
  <c r="D442" i="1"/>
  <c r="E442" i="1"/>
  <c r="C443" i="1"/>
  <c r="D443" i="1"/>
  <c r="E443" i="1"/>
  <c r="C444" i="1"/>
  <c r="D444" i="1"/>
  <c r="E444" i="1"/>
  <c r="C445" i="1"/>
  <c r="D445" i="1"/>
  <c r="E445" i="1"/>
  <c r="C446" i="1"/>
  <c r="D446" i="1"/>
  <c r="E446" i="1"/>
  <c r="C447" i="1"/>
  <c r="D447" i="1"/>
  <c r="E447" i="1"/>
  <c r="C448" i="1"/>
  <c r="D448" i="1"/>
  <c r="E448" i="1"/>
  <c r="C449" i="1"/>
  <c r="D449" i="1"/>
  <c r="E449" i="1"/>
  <c r="C450" i="1"/>
  <c r="D450" i="1"/>
  <c r="E450" i="1"/>
  <c r="C451" i="1"/>
  <c r="D451" i="1"/>
  <c r="E451" i="1"/>
  <c r="C452" i="1"/>
  <c r="D452" i="1"/>
  <c r="E452" i="1"/>
  <c r="C453" i="1"/>
  <c r="D453" i="1"/>
  <c r="E453" i="1"/>
  <c r="C454" i="1"/>
  <c r="D454" i="1"/>
  <c r="E454" i="1"/>
  <c r="C455" i="1"/>
  <c r="D455" i="1"/>
  <c r="E455" i="1"/>
  <c r="C456" i="1"/>
  <c r="D456" i="1"/>
  <c r="E456" i="1"/>
  <c r="C457" i="1"/>
  <c r="D457" i="1"/>
  <c r="E457" i="1"/>
  <c r="C458" i="1"/>
  <c r="D458" i="1"/>
  <c r="E458" i="1"/>
  <c r="C459" i="1"/>
  <c r="D459" i="1"/>
  <c r="E459" i="1"/>
  <c r="C460" i="1"/>
  <c r="D460" i="1"/>
  <c r="E460" i="1"/>
  <c r="C461" i="1"/>
  <c r="D461" i="1"/>
  <c r="E461" i="1"/>
  <c r="C462" i="1"/>
  <c r="D462" i="1"/>
  <c r="E462" i="1"/>
  <c r="C463" i="1"/>
  <c r="D463" i="1"/>
  <c r="E463" i="1"/>
  <c r="C464" i="1"/>
  <c r="D464" i="1"/>
  <c r="E464" i="1"/>
  <c r="C465" i="1"/>
  <c r="D465" i="1"/>
  <c r="E465" i="1"/>
  <c r="C466" i="1"/>
  <c r="D466" i="1"/>
  <c r="E466" i="1"/>
  <c r="C467" i="1"/>
  <c r="D467" i="1"/>
  <c r="E467" i="1"/>
  <c r="C468" i="1"/>
  <c r="D468" i="1"/>
  <c r="E468" i="1"/>
  <c r="C469" i="1"/>
  <c r="D469" i="1"/>
  <c r="E469" i="1"/>
  <c r="C470" i="1"/>
  <c r="D470" i="1"/>
  <c r="E470" i="1"/>
  <c r="C471" i="1"/>
  <c r="D471" i="1"/>
  <c r="E471" i="1"/>
  <c r="C472" i="1"/>
  <c r="D472" i="1"/>
  <c r="E472" i="1"/>
  <c r="C473" i="1"/>
  <c r="D473" i="1"/>
  <c r="E473" i="1"/>
  <c r="C474" i="1"/>
  <c r="D474" i="1"/>
  <c r="E474" i="1"/>
  <c r="C475" i="1"/>
  <c r="D475" i="1"/>
  <c r="E475" i="1"/>
  <c r="C476" i="1"/>
  <c r="D476" i="1"/>
  <c r="E476" i="1"/>
  <c r="C477" i="1"/>
  <c r="D477" i="1"/>
  <c r="E477" i="1"/>
  <c r="C478" i="1"/>
  <c r="D478" i="1"/>
  <c r="E478" i="1"/>
  <c r="C479" i="1"/>
  <c r="D479" i="1"/>
  <c r="E479" i="1"/>
  <c r="C480" i="1"/>
  <c r="D480" i="1"/>
  <c r="E480" i="1"/>
  <c r="C481" i="1"/>
  <c r="D481" i="1"/>
  <c r="E481" i="1"/>
  <c r="C482" i="1"/>
  <c r="D482" i="1"/>
  <c r="E482" i="1"/>
  <c r="C483" i="1"/>
  <c r="D483" i="1"/>
  <c r="E483" i="1"/>
  <c r="C484" i="1"/>
  <c r="D484" i="1"/>
  <c r="E484" i="1"/>
  <c r="C485" i="1"/>
  <c r="D485" i="1"/>
  <c r="E485" i="1"/>
  <c r="C486" i="1"/>
  <c r="D486" i="1"/>
  <c r="E486" i="1"/>
  <c r="C487" i="1"/>
  <c r="D487" i="1"/>
  <c r="E487" i="1"/>
  <c r="C488" i="1"/>
  <c r="D488" i="1"/>
  <c r="E488" i="1"/>
  <c r="C489" i="1"/>
  <c r="D489" i="1"/>
  <c r="E489" i="1"/>
  <c r="C490" i="1"/>
  <c r="D490" i="1"/>
  <c r="E490" i="1"/>
  <c r="C491" i="1"/>
  <c r="D491" i="1"/>
  <c r="E491" i="1"/>
  <c r="C492" i="1"/>
  <c r="D492" i="1"/>
  <c r="E492" i="1"/>
  <c r="C493" i="1"/>
  <c r="D493" i="1"/>
  <c r="E493" i="1"/>
  <c r="C494" i="1"/>
  <c r="D494" i="1"/>
  <c r="E494" i="1"/>
  <c r="C495" i="1"/>
  <c r="D495" i="1"/>
  <c r="E495" i="1"/>
  <c r="C496" i="1"/>
  <c r="D496" i="1"/>
  <c r="E496" i="1"/>
  <c r="C497" i="1"/>
  <c r="D497" i="1"/>
  <c r="E497" i="1"/>
  <c r="C498" i="1"/>
  <c r="D498" i="1"/>
  <c r="E498" i="1"/>
  <c r="C499" i="1"/>
  <c r="D499" i="1"/>
  <c r="E499" i="1"/>
  <c r="C500" i="1"/>
  <c r="D500" i="1"/>
  <c r="E500" i="1"/>
  <c r="C501" i="1"/>
  <c r="D501" i="1"/>
  <c r="E501" i="1"/>
  <c r="C502" i="1"/>
  <c r="D502" i="1"/>
  <c r="E502" i="1"/>
  <c r="C503" i="1"/>
  <c r="D503" i="1"/>
  <c r="E503" i="1"/>
  <c r="C504" i="1"/>
  <c r="D504" i="1"/>
  <c r="E504" i="1"/>
  <c r="C505" i="1"/>
  <c r="D505" i="1"/>
  <c r="E505" i="1"/>
  <c r="C506" i="1"/>
  <c r="D506" i="1"/>
  <c r="E506" i="1"/>
  <c r="C507" i="1"/>
  <c r="D507" i="1"/>
  <c r="E507" i="1"/>
  <c r="C508" i="1"/>
  <c r="D508" i="1"/>
  <c r="E508" i="1"/>
  <c r="C509" i="1"/>
  <c r="D509" i="1"/>
  <c r="E509" i="1"/>
  <c r="C510" i="1"/>
  <c r="D510" i="1"/>
  <c r="E510" i="1"/>
  <c r="C511" i="1"/>
  <c r="D511" i="1"/>
  <c r="E511" i="1"/>
  <c r="C512" i="1"/>
  <c r="D512" i="1"/>
  <c r="E512" i="1"/>
  <c r="C513" i="1"/>
  <c r="D513" i="1"/>
  <c r="E513" i="1"/>
  <c r="C514" i="1"/>
  <c r="D514" i="1"/>
  <c r="E514" i="1"/>
  <c r="C515" i="1"/>
  <c r="D515" i="1"/>
  <c r="E515" i="1"/>
  <c r="C516" i="1"/>
  <c r="D516" i="1"/>
  <c r="E516" i="1"/>
  <c r="C517" i="1"/>
  <c r="D517" i="1"/>
  <c r="E517" i="1"/>
  <c r="C518" i="1"/>
  <c r="D518" i="1"/>
  <c r="E518" i="1"/>
  <c r="C519" i="1"/>
  <c r="D519" i="1"/>
  <c r="E519" i="1"/>
  <c r="C520" i="1"/>
  <c r="D520" i="1"/>
  <c r="E520" i="1"/>
  <c r="C521" i="1"/>
  <c r="D521" i="1"/>
  <c r="E521" i="1"/>
  <c r="C522" i="1"/>
  <c r="D522" i="1"/>
  <c r="E522" i="1"/>
  <c r="C523" i="1"/>
  <c r="D523" i="1"/>
  <c r="E523" i="1"/>
  <c r="C524" i="1"/>
  <c r="D524" i="1"/>
  <c r="E524" i="1"/>
  <c r="C525" i="1"/>
  <c r="D525" i="1"/>
  <c r="E525" i="1"/>
  <c r="C526" i="1"/>
  <c r="D526" i="1"/>
  <c r="E526" i="1"/>
  <c r="C527" i="1"/>
  <c r="D527" i="1"/>
  <c r="E527" i="1"/>
  <c r="C528" i="1"/>
  <c r="D528" i="1"/>
  <c r="E528" i="1"/>
  <c r="C529" i="1"/>
  <c r="D529" i="1"/>
  <c r="E529" i="1"/>
  <c r="C530" i="1"/>
  <c r="D530" i="1"/>
  <c r="E530" i="1"/>
  <c r="C531" i="1"/>
  <c r="D531" i="1"/>
  <c r="E531" i="1"/>
  <c r="C532" i="1"/>
  <c r="D532" i="1"/>
  <c r="E532" i="1"/>
  <c r="C533" i="1"/>
  <c r="D533" i="1"/>
  <c r="E533" i="1"/>
  <c r="C534" i="1"/>
  <c r="D534" i="1"/>
  <c r="E534" i="1"/>
  <c r="C535" i="1"/>
  <c r="D535" i="1"/>
  <c r="E535" i="1"/>
  <c r="C536" i="1"/>
  <c r="D536" i="1"/>
  <c r="E536" i="1"/>
  <c r="C537" i="1"/>
  <c r="D537" i="1"/>
  <c r="E537" i="1"/>
  <c r="C538" i="1"/>
  <c r="D538" i="1"/>
  <c r="E538" i="1"/>
  <c r="C539" i="1"/>
  <c r="D539" i="1"/>
  <c r="E539" i="1"/>
  <c r="C540" i="1"/>
  <c r="D540" i="1"/>
  <c r="E540" i="1"/>
  <c r="C541" i="1"/>
  <c r="D541" i="1"/>
  <c r="E541" i="1"/>
  <c r="C542" i="1"/>
  <c r="D542" i="1"/>
  <c r="E542" i="1"/>
  <c r="C543" i="1"/>
  <c r="D543" i="1"/>
  <c r="E543" i="1"/>
  <c r="C544" i="1"/>
  <c r="D544" i="1"/>
  <c r="E544" i="1"/>
  <c r="C545" i="1"/>
  <c r="D545" i="1"/>
  <c r="E545" i="1"/>
  <c r="C546" i="1"/>
  <c r="D546" i="1"/>
  <c r="E546" i="1"/>
  <c r="C547" i="1"/>
  <c r="D547" i="1"/>
  <c r="E547" i="1"/>
  <c r="C548" i="1"/>
  <c r="D548" i="1"/>
  <c r="E548" i="1"/>
  <c r="C549" i="1"/>
  <c r="D549" i="1"/>
  <c r="E549" i="1"/>
  <c r="C550" i="1"/>
  <c r="D550" i="1"/>
  <c r="E550" i="1"/>
  <c r="C551" i="1"/>
  <c r="D551" i="1"/>
  <c r="E551" i="1"/>
  <c r="C552" i="1"/>
  <c r="D552" i="1"/>
  <c r="E552" i="1"/>
  <c r="C553" i="1"/>
  <c r="D553" i="1"/>
  <c r="E553" i="1"/>
  <c r="C554" i="1"/>
  <c r="D554" i="1"/>
  <c r="E554" i="1"/>
  <c r="C555" i="1"/>
  <c r="D555" i="1"/>
  <c r="E555" i="1"/>
  <c r="C556" i="1"/>
  <c r="D556" i="1"/>
  <c r="E556" i="1"/>
  <c r="C557" i="1"/>
  <c r="D557" i="1"/>
  <c r="E557" i="1"/>
  <c r="C558" i="1"/>
  <c r="D558" i="1"/>
  <c r="E558" i="1"/>
  <c r="C559" i="1"/>
  <c r="D559" i="1"/>
  <c r="E559" i="1"/>
  <c r="C560" i="1"/>
  <c r="D560" i="1"/>
  <c r="E560" i="1"/>
  <c r="C561" i="1"/>
  <c r="D561" i="1"/>
  <c r="E561" i="1"/>
  <c r="C562" i="1"/>
  <c r="D562" i="1"/>
  <c r="E562" i="1"/>
  <c r="C563" i="1"/>
  <c r="D563" i="1"/>
  <c r="E563" i="1"/>
  <c r="C564" i="1"/>
  <c r="D564" i="1"/>
  <c r="E564" i="1"/>
  <c r="C565" i="1"/>
  <c r="D565" i="1"/>
  <c r="E565" i="1"/>
  <c r="C566" i="1"/>
  <c r="D566" i="1"/>
  <c r="E566" i="1"/>
  <c r="C567" i="1"/>
  <c r="D567" i="1"/>
  <c r="E567" i="1"/>
  <c r="C568" i="1"/>
  <c r="D568" i="1"/>
  <c r="E568" i="1"/>
  <c r="C569" i="1"/>
  <c r="D569" i="1"/>
  <c r="E569" i="1"/>
  <c r="C570" i="1"/>
  <c r="D570" i="1"/>
  <c r="E570" i="1"/>
  <c r="C571" i="1"/>
  <c r="D571" i="1"/>
  <c r="E571" i="1"/>
  <c r="C572" i="1"/>
  <c r="D572" i="1"/>
  <c r="E572" i="1"/>
  <c r="C573" i="1"/>
  <c r="D573" i="1"/>
  <c r="E573" i="1"/>
  <c r="C574" i="1"/>
  <c r="D574" i="1"/>
  <c r="E574" i="1"/>
  <c r="C575" i="1"/>
  <c r="D575" i="1"/>
  <c r="E575" i="1"/>
  <c r="C576" i="1"/>
  <c r="D576" i="1"/>
  <c r="E576" i="1"/>
  <c r="C577" i="1"/>
  <c r="D577" i="1"/>
  <c r="E577" i="1"/>
  <c r="C578" i="1"/>
  <c r="D578" i="1"/>
  <c r="E578" i="1"/>
  <c r="C579" i="1"/>
  <c r="D579" i="1"/>
  <c r="E579" i="1"/>
  <c r="C580" i="1"/>
  <c r="D580" i="1"/>
  <c r="E580" i="1"/>
  <c r="C581" i="1"/>
  <c r="D581" i="1"/>
  <c r="E581" i="1"/>
  <c r="C582" i="1"/>
  <c r="D582" i="1"/>
  <c r="E582" i="1"/>
  <c r="C583" i="1"/>
  <c r="D583" i="1"/>
  <c r="E583" i="1"/>
  <c r="C584" i="1"/>
  <c r="D584" i="1"/>
  <c r="E584" i="1"/>
  <c r="C585" i="1"/>
  <c r="D585" i="1"/>
  <c r="E585" i="1"/>
  <c r="C586" i="1"/>
  <c r="D586" i="1"/>
  <c r="E586" i="1"/>
  <c r="C587" i="1"/>
  <c r="D587" i="1"/>
  <c r="E587" i="1"/>
  <c r="C588" i="1"/>
  <c r="D588" i="1"/>
  <c r="E588" i="1"/>
  <c r="C589" i="1"/>
  <c r="D589" i="1"/>
  <c r="E589" i="1"/>
  <c r="C590" i="1"/>
  <c r="D590" i="1"/>
  <c r="E590" i="1"/>
  <c r="C591" i="1"/>
  <c r="D591" i="1"/>
  <c r="E591" i="1"/>
  <c r="C592" i="1"/>
  <c r="D592" i="1"/>
  <c r="E592" i="1"/>
  <c r="C593" i="1"/>
  <c r="D593" i="1"/>
  <c r="E593" i="1"/>
  <c r="C594" i="1"/>
  <c r="D594" i="1"/>
  <c r="E594" i="1"/>
  <c r="C595" i="1"/>
  <c r="D595" i="1"/>
  <c r="E595" i="1"/>
  <c r="C596" i="1"/>
  <c r="D596" i="1"/>
  <c r="E596" i="1"/>
  <c r="C597" i="1"/>
  <c r="D597" i="1"/>
  <c r="E597" i="1"/>
  <c r="C598" i="1"/>
  <c r="D598" i="1"/>
  <c r="E598" i="1"/>
  <c r="C599" i="1"/>
  <c r="D599" i="1"/>
  <c r="E599" i="1"/>
  <c r="C600" i="1"/>
  <c r="D600" i="1"/>
  <c r="E600" i="1"/>
  <c r="C601" i="1"/>
  <c r="D601" i="1"/>
  <c r="E601" i="1"/>
  <c r="C602" i="1"/>
  <c r="D602" i="1"/>
  <c r="E602" i="1"/>
  <c r="C603" i="1"/>
  <c r="D603" i="1"/>
  <c r="E603" i="1"/>
  <c r="C604" i="1"/>
  <c r="D604" i="1"/>
  <c r="E604" i="1"/>
  <c r="C605" i="1"/>
  <c r="D605" i="1"/>
  <c r="E605" i="1"/>
  <c r="C606" i="1"/>
  <c r="D606" i="1"/>
  <c r="E606" i="1"/>
  <c r="C607" i="1"/>
  <c r="D607" i="1"/>
  <c r="E607" i="1"/>
  <c r="C608" i="1"/>
  <c r="D608" i="1"/>
  <c r="E608" i="1"/>
  <c r="C609" i="1"/>
  <c r="D609" i="1"/>
  <c r="E609" i="1"/>
  <c r="C610" i="1"/>
  <c r="D610" i="1"/>
  <c r="E610" i="1"/>
  <c r="C611" i="1"/>
  <c r="D611" i="1"/>
  <c r="E611" i="1"/>
  <c r="C612" i="1"/>
  <c r="D612" i="1"/>
  <c r="E612" i="1"/>
  <c r="C613" i="1"/>
  <c r="D613" i="1"/>
  <c r="E613" i="1"/>
  <c r="C614" i="1"/>
  <c r="D614" i="1"/>
  <c r="E614" i="1"/>
  <c r="C615" i="1"/>
  <c r="D615" i="1"/>
  <c r="E615" i="1"/>
  <c r="C616" i="1"/>
  <c r="D616" i="1"/>
  <c r="E616" i="1"/>
  <c r="C617" i="1"/>
  <c r="D617" i="1"/>
  <c r="E617" i="1"/>
  <c r="C618" i="1"/>
  <c r="D618" i="1"/>
  <c r="E618" i="1"/>
  <c r="C619" i="1"/>
  <c r="D619" i="1"/>
  <c r="E619" i="1"/>
  <c r="C620" i="1"/>
  <c r="D620" i="1"/>
  <c r="E620" i="1"/>
  <c r="C621" i="1"/>
  <c r="D621" i="1"/>
  <c r="E621" i="1"/>
  <c r="C622" i="1"/>
  <c r="D622" i="1"/>
  <c r="E622" i="1"/>
  <c r="C623" i="1"/>
  <c r="D623" i="1"/>
  <c r="E623" i="1"/>
  <c r="C624" i="1"/>
  <c r="D624" i="1"/>
  <c r="E624" i="1"/>
  <c r="C625" i="1"/>
  <c r="D625" i="1"/>
  <c r="E625" i="1"/>
  <c r="C626" i="1"/>
  <c r="D626" i="1"/>
  <c r="E626" i="1"/>
  <c r="C627" i="1"/>
  <c r="D627" i="1"/>
  <c r="E627" i="1"/>
  <c r="C628" i="1"/>
  <c r="D628" i="1"/>
  <c r="E628" i="1"/>
  <c r="C629" i="1"/>
  <c r="D629" i="1"/>
  <c r="E629" i="1"/>
  <c r="C630" i="1"/>
  <c r="D630" i="1"/>
  <c r="E630" i="1"/>
  <c r="C631" i="1"/>
  <c r="D631" i="1"/>
  <c r="E631" i="1"/>
  <c r="C632" i="1"/>
  <c r="D632" i="1"/>
  <c r="E632" i="1"/>
  <c r="C633" i="1"/>
  <c r="D633" i="1"/>
  <c r="E633" i="1"/>
  <c r="C634" i="1"/>
  <c r="D634" i="1"/>
  <c r="E634" i="1"/>
  <c r="C635" i="1"/>
  <c r="D635" i="1"/>
  <c r="E635" i="1"/>
  <c r="C636" i="1"/>
  <c r="D636" i="1"/>
  <c r="E636" i="1"/>
  <c r="C637" i="1"/>
  <c r="D637" i="1"/>
  <c r="E637" i="1"/>
  <c r="C638" i="1"/>
  <c r="D638" i="1"/>
  <c r="E638" i="1"/>
  <c r="C639" i="1"/>
  <c r="D639" i="1"/>
  <c r="E639" i="1"/>
  <c r="C640" i="1"/>
  <c r="D640" i="1"/>
  <c r="E640" i="1"/>
  <c r="C641" i="1"/>
  <c r="D641" i="1"/>
  <c r="E641" i="1"/>
  <c r="C642" i="1"/>
  <c r="D642" i="1"/>
  <c r="E642" i="1"/>
  <c r="C643" i="1"/>
  <c r="D643" i="1"/>
  <c r="E643" i="1"/>
  <c r="C644" i="1"/>
  <c r="D644" i="1"/>
  <c r="E644" i="1"/>
  <c r="C645" i="1"/>
  <c r="D645" i="1"/>
  <c r="E645" i="1"/>
  <c r="C646" i="1"/>
  <c r="D646" i="1"/>
  <c r="E646" i="1"/>
  <c r="C647" i="1"/>
  <c r="D647" i="1"/>
  <c r="E647" i="1"/>
  <c r="C648" i="1"/>
  <c r="D648" i="1"/>
  <c r="E648" i="1"/>
  <c r="C649" i="1"/>
  <c r="D649" i="1"/>
  <c r="E649" i="1"/>
  <c r="C650" i="1"/>
  <c r="D650" i="1"/>
  <c r="E650" i="1"/>
  <c r="C651" i="1"/>
  <c r="D651" i="1"/>
  <c r="E651" i="1"/>
  <c r="C652" i="1"/>
  <c r="D652" i="1"/>
  <c r="E652" i="1"/>
  <c r="C653" i="1"/>
  <c r="D653" i="1"/>
  <c r="E653" i="1"/>
  <c r="C654" i="1"/>
  <c r="D654" i="1"/>
  <c r="E654" i="1"/>
  <c r="C655" i="1"/>
  <c r="D655" i="1"/>
  <c r="E655" i="1"/>
  <c r="C656" i="1"/>
  <c r="D656" i="1"/>
  <c r="E656" i="1"/>
  <c r="C657" i="1"/>
  <c r="D657" i="1"/>
  <c r="E657" i="1"/>
  <c r="C658" i="1"/>
  <c r="D658" i="1"/>
  <c r="E658" i="1"/>
  <c r="C659" i="1"/>
  <c r="D659" i="1"/>
  <c r="E659" i="1"/>
  <c r="C660" i="1"/>
  <c r="D660" i="1"/>
  <c r="E660" i="1"/>
  <c r="C661" i="1"/>
  <c r="D661" i="1"/>
  <c r="E661" i="1"/>
  <c r="C662" i="1"/>
  <c r="D662" i="1"/>
  <c r="E662" i="1"/>
  <c r="C663" i="1"/>
  <c r="D663" i="1"/>
  <c r="E663" i="1"/>
  <c r="C664" i="1"/>
  <c r="D664" i="1"/>
  <c r="E664" i="1"/>
  <c r="C665" i="1"/>
  <c r="D665" i="1"/>
  <c r="E665" i="1"/>
  <c r="C666" i="1"/>
  <c r="D666" i="1"/>
  <c r="E666" i="1"/>
  <c r="C667" i="1"/>
  <c r="D667" i="1"/>
  <c r="E667" i="1"/>
  <c r="C668" i="1"/>
  <c r="D668" i="1"/>
  <c r="E668" i="1"/>
  <c r="C669" i="1"/>
  <c r="D669" i="1"/>
  <c r="E669" i="1"/>
  <c r="C670" i="1"/>
  <c r="D670" i="1"/>
  <c r="E670" i="1"/>
  <c r="C671" i="1"/>
  <c r="D671" i="1"/>
  <c r="E671" i="1"/>
  <c r="C672" i="1"/>
  <c r="D672" i="1"/>
  <c r="E672" i="1"/>
  <c r="C673" i="1"/>
  <c r="D673" i="1"/>
  <c r="E673" i="1"/>
  <c r="C674" i="1"/>
  <c r="D674" i="1"/>
  <c r="E674" i="1"/>
  <c r="C675" i="1"/>
  <c r="D675" i="1"/>
  <c r="E675" i="1"/>
  <c r="C676" i="1"/>
  <c r="D676" i="1"/>
  <c r="E676" i="1"/>
  <c r="C677" i="1"/>
  <c r="D677" i="1"/>
  <c r="E677" i="1"/>
  <c r="C678" i="1"/>
  <c r="D678" i="1"/>
  <c r="E678" i="1"/>
  <c r="C679" i="1"/>
  <c r="D679" i="1"/>
  <c r="E679" i="1"/>
  <c r="C680" i="1"/>
  <c r="D680" i="1"/>
  <c r="E680" i="1"/>
  <c r="C681" i="1"/>
  <c r="D681" i="1"/>
  <c r="E681" i="1"/>
  <c r="C682" i="1"/>
  <c r="D682" i="1"/>
  <c r="E682" i="1"/>
  <c r="C683" i="1"/>
  <c r="D683" i="1"/>
  <c r="E683" i="1"/>
  <c r="C684" i="1"/>
  <c r="D684" i="1"/>
  <c r="E684" i="1"/>
  <c r="C685" i="1"/>
  <c r="D685" i="1"/>
  <c r="E685" i="1"/>
  <c r="C686" i="1"/>
  <c r="D686" i="1"/>
  <c r="E686" i="1"/>
  <c r="C687" i="1"/>
  <c r="D687" i="1"/>
  <c r="E687" i="1"/>
  <c r="C688" i="1"/>
  <c r="D688" i="1"/>
  <c r="E688" i="1"/>
  <c r="C689" i="1"/>
  <c r="D689" i="1"/>
  <c r="E689" i="1"/>
  <c r="C690" i="1"/>
  <c r="D690" i="1"/>
  <c r="E690" i="1"/>
  <c r="C691" i="1"/>
  <c r="D691" i="1"/>
  <c r="E691" i="1"/>
  <c r="C692" i="1"/>
  <c r="D692" i="1"/>
  <c r="E692" i="1"/>
  <c r="C693" i="1"/>
  <c r="D693" i="1"/>
  <c r="E693" i="1"/>
  <c r="C694" i="1"/>
  <c r="D694" i="1"/>
  <c r="E694" i="1"/>
  <c r="C695" i="1"/>
  <c r="D695" i="1"/>
  <c r="E695" i="1"/>
  <c r="C696" i="1"/>
  <c r="D696" i="1"/>
  <c r="E696" i="1"/>
  <c r="C697" i="1"/>
  <c r="D697" i="1"/>
  <c r="E697" i="1"/>
  <c r="C698" i="1"/>
  <c r="D698" i="1"/>
  <c r="E698" i="1"/>
  <c r="C699" i="1"/>
  <c r="D699" i="1"/>
  <c r="E699" i="1"/>
  <c r="C700" i="1"/>
  <c r="D700" i="1"/>
  <c r="E700" i="1"/>
  <c r="C701" i="1"/>
  <c r="D701" i="1"/>
  <c r="E701" i="1"/>
  <c r="C702" i="1"/>
  <c r="D702" i="1"/>
  <c r="E702" i="1"/>
  <c r="C703" i="1"/>
  <c r="D703" i="1"/>
  <c r="E703" i="1"/>
  <c r="C704" i="1"/>
  <c r="D704" i="1"/>
  <c r="E704" i="1"/>
  <c r="C705" i="1"/>
  <c r="D705" i="1"/>
  <c r="E705" i="1"/>
  <c r="C706" i="1"/>
  <c r="D706" i="1"/>
  <c r="E706" i="1"/>
  <c r="C707" i="1"/>
  <c r="D707" i="1"/>
  <c r="E707" i="1"/>
  <c r="C708" i="1"/>
  <c r="D708" i="1"/>
  <c r="E708" i="1"/>
  <c r="C709" i="1"/>
  <c r="D709" i="1"/>
  <c r="E709" i="1"/>
  <c r="C710" i="1"/>
  <c r="D710" i="1"/>
  <c r="E710" i="1"/>
  <c r="C711" i="1"/>
  <c r="D711" i="1"/>
  <c r="E711" i="1"/>
  <c r="C712" i="1"/>
  <c r="D712" i="1"/>
  <c r="E712" i="1"/>
  <c r="C713" i="1"/>
  <c r="D713" i="1"/>
  <c r="E713" i="1"/>
  <c r="C714" i="1"/>
  <c r="D714" i="1"/>
  <c r="E714" i="1"/>
  <c r="C715" i="1"/>
  <c r="D715" i="1"/>
  <c r="E715" i="1"/>
  <c r="C716" i="1"/>
  <c r="D716" i="1"/>
  <c r="E716" i="1"/>
  <c r="C717" i="1"/>
  <c r="D717" i="1"/>
  <c r="E717" i="1"/>
  <c r="C718" i="1"/>
  <c r="D718" i="1"/>
  <c r="E718" i="1"/>
  <c r="C719" i="1"/>
  <c r="D719" i="1"/>
  <c r="E719" i="1"/>
  <c r="C720" i="1"/>
  <c r="D720" i="1"/>
  <c r="E720" i="1"/>
  <c r="C721" i="1"/>
  <c r="D721" i="1"/>
  <c r="E721" i="1"/>
  <c r="C722" i="1"/>
  <c r="D722" i="1"/>
  <c r="E722" i="1"/>
  <c r="C723" i="1"/>
  <c r="D723" i="1"/>
  <c r="E723" i="1"/>
  <c r="C724" i="1"/>
  <c r="D724" i="1"/>
  <c r="E724" i="1"/>
  <c r="C725" i="1"/>
  <c r="D725" i="1"/>
  <c r="E725" i="1"/>
  <c r="C726" i="1"/>
  <c r="D726" i="1"/>
  <c r="E726" i="1"/>
  <c r="C727" i="1"/>
  <c r="D727" i="1"/>
  <c r="E727" i="1"/>
  <c r="C728" i="1"/>
  <c r="D728" i="1"/>
  <c r="E728" i="1"/>
  <c r="C729" i="1"/>
  <c r="D729" i="1"/>
  <c r="E729" i="1"/>
  <c r="C730" i="1"/>
  <c r="D730" i="1"/>
  <c r="E730" i="1"/>
  <c r="C731" i="1"/>
  <c r="D731" i="1"/>
  <c r="E731" i="1"/>
  <c r="C732" i="1"/>
  <c r="D732" i="1"/>
  <c r="E732" i="1"/>
  <c r="C733" i="1"/>
  <c r="D733" i="1"/>
  <c r="E733" i="1"/>
  <c r="C734" i="1"/>
  <c r="D734" i="1"/>
  <c r="E734" i="1"/>
  <c r="C735" i="1"/>
  <c r="D735" i="1"/>
  <c r="E735" i="1"/>
  <c r="C736" i="1"/>
  <c r="D736" i="1"/>
  <c r="E736" i="1"/>
  <c r="C737" i="1"/>
  <c r="D737" i="1"/>
  <c r="E737" i="1"/>
  <c r="C738" i="1"/>
  <c r="D738" i="1"/>
  <c r="E738" i="1"/>
  <c r="C739" i="1"/>
  <c r="D739" i="1"/>
  <c r="E739" i="1"/>
  <c r="C740" i="1"/>
  <c r="D740" i="1"/>
  <c r="E740" i="1"/>
  <c r="C741" i="1"/>
  <c r="D741" i="1"/>
  <c r="E741" i="1"/>
  <c r="C742" i="1"/>
  <c r="D742" i="1"/>
  <c r="E742" i="1"/>
  <c r="C743" i="1"/>
  <c r="D743" i="1"/>
  <c r="E743" i="1"/>
  <c r="C744" i="1"/>
  <c r="D744" i="1"/>
  <c r="E744" i="1"/>
  <c r="C745" i="1"/>
  <c r="D745" i="1"/>
  <c r="E745" i="1"/>
  <c r="C746" i="1"/>
  <c r="D746" i="1"/>
  <c r="E746" i="1"/>
  <c r="C747" i="1"/>
  <c r="D747" i="1"/>
  <c r="E747" i="1"/>
  <c r="C748" i="1"/>
  <c r="D748" i="1"/>
  <c r="E748" i="1"/>
  <c r="C749" i="1"/>
  <c r="D749" i="1"/>
  <c r="E749" i="1"/>
  <c r="C750" i="1"/>
  <c r="D750" i="1"/>
  <c r="E750" i="1"/>
  <c r="C751" i="1"/>
  <c r="D751" i="1"/>
  <c r="E751" i="1"/>
  <c r="C752" i="1"/>
  <c r="D752" i="1"/>
  <c r="E752" i="1"/>
  <c r="C753" i="1"/>
  <c r="D753" i="1"/>
  <c r="E753" i="1"/>
  <c r="C754" i="1"/>
  <c r="D754" i="1"/>
  <c r="E754" i="1"/>
  <c r="C755" i="1"/>
  <c r="D755" i="1"/>
  <c r="E755" i="1"/>
  <c r="C756" i="1"/>
  <c r="D756" i="1"/>
  <c r="E756" i="1"/>
  <c r="C757" i="1"/>
  <c r="D757" i="1"/>
  <c r="E757" i="1"/>
  <c r="C758" i="1"/>
  <c r="D758" i="1"/>
  <c r="E758" i="1"/>
  <c r="C759" i="1"/>
  <c r="D759" i="1"/>
  <c r="E759" i="1"/>
  <c r="C760" i="1"/>
  <c r="D760" i="1"/>
  <c r="E760" i="1"/>
  <c r="C761" i="1"/>
  <c r="D761" i="1"/>
  <c r="E761" i="1"/>
  <c r="C762" i="1"/>
  <c r="D762" i="1"/>
  <c r="E762" i="1"/>
  <c r="C763" i="1"/>
  <c r="D763" i="1"/>
  <c r="E763" i="1"/>
  <c r="C764" i="1"/>
  <c r="D764" i="1"/>
  <c r="E764" i="1"/>
  <c r="C765" i="1"/>
  <c r="D765" i="1"/>
  <c r="E765" i="1"/>
  <c r="C766" i="1"/>
  <c r="D766" i="1"/>
  <c r="E766" i="1"/>
  <c r="C767" i="1"/>
  <c r="D767" i="1"/>
  <c r="E767" i="1"/>
  <c r="C768" i="1"/>
  <c r="D768" i="1"/>
  <c r="E768" i="1"/>
  <c r="C769" i="1"/>
  <c r="D769" i="1"/>
  <c r="E769" i="1"/>
  <c r="C770" i="1"/>
  <c r="D770" i="1"/>
  <c r="E770" i="1"/>
  <c r="C771" i="1"/>
  <c r="D771" i="1"/>
  <c r="E771" i="1"/>
  <c r="C772" i="1"/>
  <c r="D772" i="1"/>
  <c r="E772" i="1"/>
  <c r="C773" i="1"/>
  <c r="D773" i="1"/>
  <c r="E773" i="1"/>
  <c r="C774" i="1"/>
  <c r="D774" i="1"/>
  <c r="E774" i="1"/>
  <c r="C775" i="1"/>
  <c r="D775" i="1"/>
  <c r="E775" i="1"/>
  <c r="C776" i="1"/>
  <c r="D776" i="1"/>
  <c r="E776" i="1"/>
  <c r="C777" i="1"/>
  <c r="D777" i="1"/>
  <c r="E777" i="1"/>
  <c r="C778" i="1"/>
  <c r="D778" i="1"/>
  <c r="E778" i="1"/>
  <c r="C779" i="1"/>
  <c r="D779" i="1"/>
  <c r="E779" i="1"/>
  <c r="C780" i="1"/>
  <c r="D780" i="1"/>
  <c r="E780" i="1"/>
  <c r="C781" i="1"/>
  <c r="D781" i="1"/>
  <c r="E781" i="1"/>
  <c r="C782" i="1"/>
  <c r="D782" i="1"/>
  <c r="E782" i="1"/>
  <c r="C783" i="1"/>
  <c r="D783" i="1"/>
  <c r="E783" i="1"/>
  <c r="C784" i="1"/>
  <c r="D784" i="1"/>
  <c r="E784" i="1"/>
  <c r="C785" i="1"/>
  <c r="D785" i="1"/>
  <c r="E785" i="1"/>
  <c r="C786" i="1"/>
  <c r="D786" i="1"/>
  <c r="E786" i="1"/>
  <c r="C787" i="1"/>
  <c r="D787" i="1"/>
  <c r="E787" i="1"/>
  <c r="C788" i="1"/>
  <c r="D788" i="1"/>
  <c r="E788" i="1"/>
  <c r="C789" i="1"/>
  <c r="D789" i="1"/>
  <c r="E789" i="1"/>
  <c r="C790" i="1"/>
  <c r="D790" i="1"/>
  <c r="E790" i="1"/>
  <c r="C791" i="1"/>
  <c r="D791" i="1"/>
  <c r="E791" i="1"/>
  <c r="C792" i="1"/>
  <c r="D792" i="1"/>
  <c r="E792" i="1"/>
  <c r="C793" i="1"/>
  <c r="D793" i="1"/>
  <c r="E793" i="1"/>
  <c r="C794" i="1"/>
  <c r="D794" i="1"/>
  <c r="E794" i="1"/>
  <c r="C795" i="1"/>
  <c r="D795" i="1"/>
  <c r="E795" i="1"/>
  <c r="C796" i="1"/>
  <c r="D796" i="1"/>
  <c r="E796" i="1"/>
  <c r="C797" i="1"/>
  <c r="D797" i="1"/>
  <c r="E797" i="1"/>
  <c r="C798" i="1"/>
  <c r="D798" i="1"/>
  <c r="E798" i="1"/>
  <c r="C799" i="1"/>
  <c r="D799" i="1"/>
  <c r="E799" i="1"/>
  <c r="C800" i="1"/>
  <c r="D800" i="1"/>
  <c r="E800" i="1"/>
  <c r="C801" i="1"/>
  <c r="D801" i="1"/>
  <c r="E801" i="1"/>
  <c r="C802" i="1"/>
  <c r="D802" i="1"/>
  <c r="E802" i="1"/>
  <c r="C803" i="1"/>
  <c r="D803" i="1"/>
  <c r="E803" i="1"/>
  <c r="C804" i="1"/>
  <c r="D804" i="1"/>
  <c r="E804" i="1"/>
  <c r="C805" i="1"/>
  <c r="D805" i="1"/>
  <c r="E805" i="1"/>
  <c r="C806" i="1"/>
  <c r="D806" i="1"/>
  <c r="E806" i="1"/>
  <c r="C807" i="1"/>
  <c r="D807" i="1"/>
  <c r="E807" i="1"/>
  <c r="C808" i="1"/>
  <c r="D808" i="1"/>
  <c r="E808" i="1"/>
  <c r="C809" i="1"/>
  <c r="D809" i="1"/>
  <c r="E809" i="1"/>
  <c r="C810" i="1"/>
  <c r="D810" i="1"/>
  <c r="E810" i="1"/>
  <c r="C811" i="1"/>
  <c r="D811" i="1"/>
  <c r="E811" i="1"/>
  <c r="C812" i="1"/>
  <c r="D812" i="1"/>
  <c r="E812" i="1"/>
  <c r="C813" i="1"/>
  <c r="D813" i="1"/>
  <c r="E813" i="1"/>
  <c r="C814" i="1"/>
  <c r="D814" i="1"/>
  <c r="E814" i="1"/>
  <c r="C815" i="1"/>
  <c r="D815" i="1"/>
  <c r="E815" i="1"/>
  <c r="C816" i="1"/>
  <c r="D816" i="1"/>
  <c r="E816" i="1"/>
  <c r="C817" i="1"/>
  <c r="D817" i="1"/>
  <c r="E817" i="1"/>
  <c r="C818" i="1"/>
  <c r="D818" i="1"/>
  <c r="E818" i="1"/>
  <c r="C819" i="1"/>
  <c r="D819" i="1"/>
  <c r="E819" i="1"/>
  <c r="C820" i="1"/>
  <c r="D820" i="1"/>
  <c r="E820" i="1"/>
  <c r="C821" i="1"/>
  <c r="D821" i="1"/>
  <c r="E821" i="1"/>
  <c r="C822" i="1"/>
  <c r="D822" i="1"/>
  <c r="E822" i="1"/>
  <c r="C823" i="1"/>
  <c r="D823" i="1"/>
  <c r="E823" i="1"/>
  <c r="C824" i="1"/>
  <c r="D824" i="1"/>
  <c r="E824" i="1"/>
  <c r="C825" i="1"/>
  <c r="D825" i="1"/>
  <c r="E825" i="1"/>
  <c r="C826" i="1"/>
  <c r="D826" i="1"/>
  <c r="E826" i="1"/>
  <c r="C827" i="1"/>
  <c r="D827" i="1"/>
  <c r="E827" i="1"/>
  <c r="C828" i="1"/>
  <c r="D828" i="1"/>
  <c r="E828" i="1"/>
  <c r="C829" i="1"/>
  <c r="D829" i="1"/>
  <c r="E829" i="1"/>
  <c r="C830" i="1"/>
  <c r="D830" i="1"/>
  <c r="E830" i="1"/>
  <c r="C831" i="1"/>
  <c r="D831" i="1"/>
  <c r="E831" i="1"/>
  <c r="C832" i="1"/>
  <c r="D832" i="1"/>
  <c r="E832" i="1"/>
  <c r="C833" i="1"/>
  <c r="D833" i="1"/>
  <c r="E833" i="1"/>
  <c r="C834" i="1"/>
  <c r="D834" i="1"/>
  <c r="E834" i="1"/>
  <c r="C835" i="1"/>
  <c r="D835" i="1"/>
  <c r="E835" i="1"/>
  <c r="C836" i="1"/>
  <c r="D836" i="1"/>
  <c r="E836" i="1"/>
  <c r="C837" i="1"/>
  <c r="D837" i="1"/>
  <c r="E837" i="1"/>
  <c r="C838" i="1"/>
  <c r="D838" i="1"/>
  <c r="E838" i="1"/>
  <c r="C839" i="1"/>
  <c r="D839" i="1"/>
  <c r="E839" i="1"/>
  <c r="C840" i="1"/>
  <c r="D840" i="1"/>
  <c r="E840" i="1"/>
  <c r="C841" i="1"/>
  <c r="D841" i="1"/>
  <c r="E841" i="1"/>
  <c r="C842" i="1"/>
  <c r="D842" i="1"/>
  <c r="E842" i="1"/>
  <c r="C843" i="1"/>
  <c r="D843" i="1"/>
  <c r="E843" i="1"/>
  <c r="C844" i="1"/>
  <c r="D844" i="1"/>
  <c r="E844" i="1"/>
  <c r="C845" i="1"/>
  <c r="D845" i="1"/>
  <c r="E845" i="1"/>
  <c r="C846" i="1"/>
  <c r="D846" i="1"/>
  <c r="E846" i="1"/>
  <c r="C847" i="1"/>
  <c r="D847" i="1"/>
  <c r="E847" i="1"/>
  <c r="C848" i="1"/>
  <c r="D848" i="1"/>
  <c r="E848" i="1"/>
  <c r="C849" i="1"/>
  <c r="D849" i="1"/>
  <c r="E849" i="1"/>
  <c r="C850" i="1"/>
  <c r="D850" i="1"/>
  <c r="E850" i="1"/>
  <c r="C851" i="1"/>
  <c r="D851" i="1"/>
  <c r="E851" i="1"/>
  <c r="C852" i="1"/>
  <c r="D852" i="1"/>
  <c r="E852" i="1"/>
  <c r="C853" i="1"/>
  <c r="D853" i="1"/>
  <c r="E853" i="1"/>
  <c r="C854" i="1"/>
  <c r="D854" i="1"/>
  <c r="E854" i="1"/>
  <c r="C855" i="1"/>
  <c r="D855" i="1"/>
  <c r="E855" i="1"/>
  <c r="C856" i="1"/>
  <c r="D856" i="1"/>
  <c r="E856" i="1"/>
  <c r="C857" i="1"/>
  <c r="D857" i="1"/>
  <c r="E857" i="1"/>
  <c r="C858" i="1"/>
  <c r="D858" i="1"/>
  <c r="E858" i="1"/>
  <c r="C859" i="1"/>
  <c r="D859" i="1"/>
  <c r="E859" i="1"/>
  <c r="C860" i="1"/>
  <c r="D860" i="1"/>
  <c r="E860" i="1"/>
  <c r="C861" i="1"/>
  <c r="D861" i="1"/>
  <c r="E861" i="1"/>
  <c r="C862" i="1"/>
  <c r="D862" i="1"/>
  <c r="E862" i="1"/>
  <c r="C863" i="1"/>
  <c r="D863" i="1"/>
  <c r="E863" i="1"/>
  <c r="C864" i="1"/>
  <c r="D864" i="1"/>
  <c r="E864" i="1"/>
  <c r="C865" i="1"/>
  <c r="D865" i="1"/>
  <c r="E865" i="1"/>
  <c r="C866" i="1"/>
  <c r="D866" i="1"/>
  <c r="E866" i="1"/>
  <c r="C867" i="1"/>
  <c r="D867" i="1"/>
  <c r="E867" i="1"/>
  <c r="C868" i="1"/>
  <c r="D868" i="1"/>
  <c r="E868" i="1"/>
  <c r="C869" i="1"/>
  <c r="D869" i="1"/>
  <c r="E869" i="1"/>
  <c r="C870" i="1"/>
  <c r="D870" i="1"/>
  <c r="E870" i="1"/>
  <c r="C871" i="1"/>
  <c r="D871" i="1"/>
  <c r="E871" i="1"/>
  <c r="C872" i="1"/>
  <c r="D872" i="1"/>
  <c r="E872" i="1"/>
  <c r="C873" i="1"/>
  <c r="D873" i="1"/>
  <c r="E873" i="1"/>
  <c r="C874" i="1"/>
  <c r="D874" i="1"/>
  <c r="E874" i="1"/>
  <c r="C875" i="1"/>
  <c r="D875" i="1"/>
  <c r="E875" i="1"/>
  <c r="C876" i="1"/>
  <c r="D876" i="1"/>
  <c r="E876" i="1"/>
  <c r="C877" i="1"/>
  <c r="D877" i="1"/>
  <c r="E877" i="1"/>
  <c r="C878" i="1"/>
  <c r="D878" i="1"/>
  <c r="E878" i="1"/>
  <c r="C879" i="1"/>
  <c r="D879" i="1"/>
  <c r="E879" i="1"/>
  <c r="C880" i="1"/>
  <c r="D880" i="1"/>
  <c r="E880" i="1"/>
  <c r="C881" i="1"/>
  <c r="D881" i="1"/>
  <c r="E881" i="1"/>
  <c r="C882" i="1"/>
  <c r="D882" i="1"/>
  <c r="E882" i="1"/>
  <c r="C883" i="1"/>
  <c r="D883" i="1"/>
  <c r="E883" i="1"/>
  <c r="C884" i="1"/>
  <c r="D884" i="1"/>
  <c r="E884" i="1"/>
  <c r="C885" i="1"/>
  <c r="D885" i="1"/>
  <c r="E885" i="1"/>
  <c r="C886" i="1"/>
  <c r="D886" i="1"/>
  <c r="E886" i="1"/>
  <c r="C887" i="1"/>
  <c r="D887" i="1"/>
  <c r="E887" i="1"/>
  <c r="C888" i="1"/>
  <c r="D888" i="1"/>
  <c r="E888" i="1"/>
  <c r="C889" i="1"/>
  <c r="D889" i="1"/>
  <c r="E889" i="1"/>
  <c r="C890" i="1"/>
  <c r="D890" i="1"/>
  <c r="E890" i="1"/>
  <c r="C891" i="1"/>
  <c r="D891" i="1"/>
  <c r="E891" i="1"/>
  <c r="C892" i="1"/>
  <c r="D892" i="1"/>
  <c r="E892" i="1"/>
  <c r="C893" i="1"/>
  <c r="D893" i="1"/>
  <c r="E893" i="1"/>
  <c r="C894" i="1"/>
  <c r="D894" i="1"/>
  <c r="E894" i="1"/>
  <c r="C895" i="1"/>
  <c r="D895" i="1"/>
  <c r="E895" i="1"/>
  <c r="C896" i="1"/>
  <c r="D896" i="1"/>
  <c r="E896" i="1"/>
  <c r="C897" i="1"/>
  <c r="D897" i="1"/>
  <c r="E897" i="1"/>
  <c r="C898" i="1"/>
  <c r="D898" i="1"/>
  <c r="E898" i="1"/>
  <c r="C899" i="1"/>
  <c r="D899" i="1"/>
  <c r="E899" i="1"/>
  <c r="C900" i="1"/>
  <c r="D900" i="1"/>
  <c r="E900" i="1"/>
  <c r="C901" i="1"/>
  <c r="D901" i="1"/>
  <c r="E901" i="1"/>
  <c r="C902" i="1"/>
  <c r="D902" i="1"/>
  <c r="E902" i="1"/>
  <c r="C903" i="1"/>
  <c r="D903" i="1"/>
  <c r="E903" i="1"/>
  <c r="C904" i="1"/>
  <c r="D904" i="1"/>
  <c r="E904" i="1"/>
  <c r="C905" i="1"/>
  <c r="D905" i="1"/>
  <c r="E905" i="1"/>
  <c r="C906" i="1"/>
  <c r="D906" i="1"/>
  <c r="E906" i="1"/>
  <c r="C907" i="1"/>
  <c r="D907" i="1"/>
  <c r="E907" i="1"/>
  <c r="C908" i="1"/>
  <c r="D908" i="1"/>
  <c r="E908" i="1"/>
  <c r="C909" i="1"/>
  <c r="D909" i="1"/>
  <c r="E909" i="1"/>
  <c r="C910" i="1"/>
  <c r="D910" i="1"/>
  <c r="E910" i="1"/>
  <c r="C911" i="1"/>
  <c r="D911" i="1"/>
  <c r="E911" i="1"/>
  <c r="C912" i="1"/>
  <c r="D912" i="1"/>
  <c r="E912" i="1"/>
  <c r="C913" i="1"/>
  <c r="D913" i="1"/>
  <c r="E913" i="1"/>
  <c r="C914" i="1"/>
  <c r="D914" i="1"/>
  <c r="E914" i="1"/>
  <c r="C915" i="1"/>
  <c r="D915" i="1"/>
  <c r="E915" i="1"/>
  <c r="C916" i="1"/>
  <c r="D916" i="1"/>
  <c r="E916" i="1"/>
  <c r="C917" i="1"/>
  <c r="D917" i="1"/>
  <c r="E917" i="1"/>
  <c r="C918" i="1"/>
  <c r="D918" i="1"/>
  <c r="E918" i="1"/>
  <c r="C919" i="1"/>
  <c r="D919" i="1"/>
  <c r="E919" i="1"/>
  <c r="C920" i="1"/>
  <c r="D920" i="1"/>
  <c r="E920" i="1"/>
  <c r="C921" i="1"/>
  <c r="D921" i="1"/>
  <c r="E921" i="1"/>
  <c r="C922" i="1"/>
  <c r="D922" i="1"/>
  <c r="E922" i="1"/>
  <c r="C923" i="1"/>
  <c r="D923" i="1"/>
  <c r="E923" i="1"/>
  <c r="C924" i="1"/>
  <c r="D924" i="1"/>
  <c r="E924" i="1"/>
  <c r="C925" i="1"/>
  <c r="D925" i="1"/>
  <c r="E925" i="1"/>
  <c r="C926" i="1"/>
  <c r="D926" i="1"/>
  <c r="E926" i="1"/>
  <c r="C927" i="1"/>
  <c r="D927" i="1"/>
  <c r="E927" i="1"/>
  <c r="C928" i="1"/>
  <c r="D928" i="1"/>
  <c r="E928" i="1"/>
  <c r="C929" i="1"/>
  <c r="D929" i="1"/>
  <c r="E929" i="1"/>
  <c r="C930" i="1"/>
  <c r="D930" i="1"/>
  <c r="E930" i="1"/>
  <c r="C931" i="1"/>
  <c r="D931" i="1"/>
  <c r="E931" i="1"/>
  <c r="C932" i="1"/>
  <c r="D932" i="1"/>
  <c r="E932" i="1"/>
  <c r="C933" i="1"/>
  <c r="D933" i="1"/>
  <c r="E933" i="1"/>
  <c r="C934" i="1"/>
  <c r="D934" i="1"/>
  <c r="E934" i="1"/>
  <c r="C935" i="1"/>
  <c r="D935" i="1"/>
  <c r="E935" i="1"/>
  <c r="C936" i="1"/>
  <c r="D936" i="1"/>
  <c r="E936" i="1"/>
  <c r="C937" i="1"/>
  <c r="D937" i="1"/>
  <c r="E937" i="1"/>
  <c r="C938" i="1"/>
  <c r="D938" i="1"/>
  <c r="E938" i="1"/>
  <c r="C939" i="1"/>
  <c r="D939" i="1"/>
  <c r="E939" i="1"/>
  <c r="C940" i="1"/>
  <c r="D940" i="1"/>
  <c r="E940" i="1"/>
  <c r="C941" i="1"/>
  <c r="D941" i="1"/>
  <c r="E941" i="1"/>
  <c r="C942" i="1"/>
  <c r="D942" i="1"/>
  <c r="E942" i="1"/>
  <c r="C943" i="1"/>
  <c r="D943" i="1"/>
  <c r="E943" i="1"/>
  <c r="C944" i="1"/>
  <c r="D944" i="1"/>
  <c r="E944" i="1"/>
  <c r="C945" i="1"/>
  <c r="D945" i="1"/>
  <c r="E945" i="1"/>
  <c r="C946" i="1"/>
  <c r="D946" i="1"/>
  <c r="E946" i="1"/>
  <c r="C947" i="1"/>
  <c r="D947" i="1"/>
  <c r="E947" i="1"/>
  <c r="C948" i="1"/>
  <c r="D948" i="1"/>
  <c r="E948" i="1"/>
  <c r="C949" i="1"/>
  <c r="D949" i="1"/>
  <c r="E949" i="1"/>
  <c r="C950" i="1"/>
  <c r="D950" i="1"/>
  <c r="E950" i="1"/>
  <c r="C951" i="1"/>
  <c r="D951" i="1"/>
  <c r="E951" i="1"/>
  <c r="C952" i="1"/>
  <c r="D952" i="1"/>
  <c r="E952" i="1"/>
  <c r="C953" i="1"/>
  <c r="D953" i="1"/>
  <c r="E953" i="1"/>
  <c r="C954" i="1"/>
  <c r="D954" i="1"/>
  <c r="E954" i="1"/>
  <c r="C955" i="1"/>
  <c r="D955" i="1"/>
  <c r="E955" i="1"/>
  <c r="C956" i="1"/>
  <c r="D956" i="1"/>
  <c r="E956" i="1"/>
  <c r="C957" i="1"/>
  <c r="D957" i="1"/>
  <c r="E957" i="1"/>
  <c r="C958" i="1"/>
  <c r="D958" i="1"/>
  <c r="E958" i="1"/>
  <c r="C959" i="1"/>
  <c r="D959" i="1"/>
  <c r="E959" i="1"/>
  <c r="C960" i="1"/>
  <c r="D960" i="1"/>
  <c r="E960" i="1"/>
  <c r="C961" i="1"/>
  <c r="D961" i="1"/>
  <c r="E961" i="1"/>
  <c r="C962" i="1"/>
  <c r="D962" i="1"/>
  <c r="E962" i="1"/>
  <c r="C963" i="1"/>
  <c r="D963" i="1"/>
  <c r="E963" i="1"/>
  <c r="C964" i="1"/>
  <c r="D964" i="1"/>
  <c r="E964" i="1"/>
  <c r="C965" i="1"/>
  <c r="D965" i="1"/>
  <c r="E965" i="1"/>
  <c r="C966" i="1"/>
  <c r="D966" i="1"/>
  <c r="E966" i="1"/>
  <c r="C967" i="1"/>
  <c r="D967" i="1"/>
  <c r="E967" i="1"/>
  <c r="C968" i="1"/>
  <c r="D968" i="1"/>
  <c r="E968" i="1"/>
  <c r="C969" i="1"/>
  <c r="D969" i="1"/>
  <c r="E969" i="1"/>
  <c r="C970" i="1"/>
  <c r="D970" i="1"/>
  <c r="E970" i="1"/>
  <c r="C971" i="1"/>
  <c r="D971" i="1"/>
  <c r="E971" i="1"/>
  <c r="C972" i="1"/>
  <c r="D972" i="1"/>
  <c r="E972" i="1"/>
  <c r="C973" i="1"/>
  <c r="D973" i="1"/>
  <c r="E973" i="1"/>
  <c r="C974" i="1"/>
  <c r="D974" i="1"/>
  <c r="E974" i="1"/>
  <c r="C975" i="1"/>
  <c r="D975" i="1"/>
  <c r="E975" i="1"/>
  <c r="C976" i="1"/>
  <c r="D976" i="1"/>
  <c r="E976" i="1"/>
  <c r="C977" i="1"/>
  <c r="D977" i="1"/>
  <c r="E977" i="1"/>
  <c r="C978" i="1"/>
  <c r="D978" i="1"/>
  <c r="E978" i="1"/>
  <c r="C979" i="1"/>
  <c r="D979" i="1"/>
  <c r="E979" i="1"/>
  <c r="C980" i="1"/>
  <c r="D980" i="1"/>
  <c r="E980" i="1"/>
  <c r="C981" i="1"/>
  <c r="D981" i="1"/>
  <c r="E981" i="1"/>
  <c r="C982" i="1"/>
  <c r="D982" i="1"/>
  <c r="E982" i="1"/>
  <c r="C983" i="1"/>
  <c r="D983" i="1"/>
  <c r="E983" i="1"/>
  <c r="C984" i="1"/>
  <c r="D984" i="1"/>
  <c r="E984" i="1"/>
  <c r="C985" i="1"/>
  <c r="D985" i="1"/>
  <c r="E985" i="1"/>
  <c r="C986" i="1"/>
  <c r="D986" i="1"/>
  <c r="E986" i="1"/>
  <c r="C987" i="1"/>
  <c r="D987" i="1"/>
  <c r="E987" i="1"/>
  <c r="C988" i="1"/>
  <c r="D988" i="1"/>
  <c r="E988" i="1"/>
  <c r="C989" i="1"/>
  <c r="D989" i="1"/>
  <c r="E989" i="1"/>
  <c r="C990" i="1"/>
  <c r="D990" i="1"/>
  <c r="E990" i="1"/>
  <c r="C991" i="1"/>
  <c r="D991" i="1"/>
  <c r="E991" i="1"/>
  <c r="C992" i="1"/>
  <c r="D992" i="1"/>
  <c r="E992" i="1"/>
  <c r="C993" i="1"/>
  <c r="D993" i="1"/>
  <c r="E993" i="1"/>
  <c r="C994" i="1"/>
  <c r="D994" i="1"/>
  <c r="E994" i="1"/>
  <c r="C995" i="1"/>
  <c r="D995" i="1"/>
  <c r="E995" i="1"/>
  <c r="C996" i="1"/>
  <c r="D996" i="1"/>
  <c r="E996" i="1"/>
  <c r="C997" i="1"/>
  <c r="D997" i="1"/>
  <c r="E997" i="1"/>
  <c r="C998" i="1"/>
  <c r="D998" i="1"/>
  <c r="E998" i="1"/>
  <c r="C999" i="1"/>
  <c r="D999" i="1"/>
  <c r="E999" i="1"/>
  <c r="C1000" i="1"/>
  <c r="D1000" i="1"/>
  <c r="E1000" i="1"/>
  <c r="C1001" i="1"/>
  <c r="D1001" i="1"/>
  <c r="E1001" i="1"/>
  <c r="C1002" i="1"/>
  <c r="D1002" i="1"/>
  <c r="E1002" i="1"/>
  <c r="C1003" i="1"/>
  <c r="D1003" i="1"/>
  <c r="E1003" i="1"/>
  <c r="C1004" i="1"/>
  <c r="D1004" i="1"/>
  <c r="E1004" i="1"/>
  <c r="C1005" i="1"/>
  <c r="D1005" i="1"/>
  <c r="E1005" i="1"/>
  <c r="C1006" i="1"/>
  <c r="D1006" i="1"/>
  <c r="E1006" i="1"/>
  <c r="C1007" i="1"/>
  <c r="D1007" i="1"/>
  <c r="E1007" i="1"/>
  <c r="C1008" i="1"/>
  <c r="D1008" i="1"/>
  <c r="E1008" i="1"/>
  <c r="C1009" i="1"/>
  <c r="D1009" i="1"/>
  <c r="E1009" i="1"/>
  <c r="C1010" i="1"/>
  <c r="D1010" i="1"/>
  <c r="E1010" i="1"/>
  <c r="C1011" i="1"/>
  <c r="D1011" i="1"/>
  <c r="E1011" i="1"/>
  <c r="C1012" i="1"/>
  <c r="D1012" i="1"/>
  <c r="E1012" i="1"/>
  <c r="C1013" i="1"/>
  <c r="D1013" i="1"/>
  <c r="E1013" i="1"/>
  <c r="C1014" i="1"/>
  <c r="D1014" i="1"/>
  <c r="E1014" i="1"/>
  <c r="C1015" i="1"/>
  <c r="D1015" i="1"/>
  <c r="E1015" i="1"/>
  <c r="C1016" i="1"/>
  <c r="D1016" i="1"/>
  <c r="E1016" i="1"/>
  <c r="C1017" i="1"/>
  <c r="D1017" i="1"/>
  <c r="E1017" i="1"/>
  <c r="C1018" i="1"/>
  <c r="D1018" i="1"/>
  <c r="E1018" i="1"/>
  <c r="C1019" i="1"/>
  <c r="D1019" i="1"/>
  <c r="E1019" i="1"/>
  <c r="C1020" i="1"/>
  <c r="D1020" i="1"/>
  <c r="E1020" i="1"/>
  <c r="C1021" i="1"/>
  <c r="D1021" i="1"/>
  <c r="E1021" i="1"/>
  <c r="C1022" i="1"/>
  <c r="D1022" i="1"/>
  <c r="E1022" i="1"/>
  <c r="C1023" i="1"/>
  <c r="D1023" i="1"/>
  <c r="E1023" i="1"/>
  <c r="C1024" i="1"/>
  <c r="D1024" i="1"/>
  <c r="E1024" i="1"/>
  <c r="C1025" i="1"/>
  <c r="D1025" i="1"/>
  <c r="E1025" i="1"/>
  <c r="C1026" i="1"/>
  <c r="D1026" i="1"/>
  <c r="E1026" i="1"/>
  <c r="C1027" i="1"/>
  <c r="D1027" i="1"/>
  <c r="E1027" i="1"/>
  <c r="C1028" i="1"/>
  <c r="D1028" i="1"/>
  <c r="E1028" i="1"/>
  <c r="C1029" i="1"/>
  <c r="D1029" i="1"/>
  <c r="E1029" i="1"/>
  <c r="C1030" i="1"/>
  <c r="D1030" i="1"/>
  <c r="E1030" i="1"/>
  <c r="C1031" i="1"/>
  <c r="D1031" i="1"/>
  <c r="E1031" i="1"/>
  <c r="C1032" i="1"/>
  <c r="D1032" i="1"/>
  <c r="E1032" i="1"/>
  <c r="C1033" i="1"/>
  <c r="D1033" i="1"/>
  <c r="E1033" i="1"/>
  <c r="C1034" i="1"/>
  <c r="D1034" i="1"/>
  <c r="E1034" i="1"/>
  <c r="C1035" i="1"/>
  <c r="D1035" i="1"/>
  <c r="E1035" i="1"/>
  <c r="C1036" i="1"/>
  <c r="D1036" i="1"/>
  <c r="E1036" i="1"/>
  <c r="C1037" i="1"/>
  <c r="D1037" i="1"/>
  <c r="E1037" i="1"/>
  <c r="C1038" i="1"/>
  <c r="D1038" i="1"/>
  <c r="E1038" i="1"/>
  <c r="C1039" i="1"/>
  <c r="D1039" i="1"/>
  <c r="E1039" i="1"/>
  <c r="C1040" i="1"/>
  <c r="D1040" i="1"/>
  <c r="E1040" i="1"/>
  <c r="C1041" i="1"/>
  <c r="D1041" i="1"/>
  <c r="E1041" i="1"/>
  <c r="C1042" i="1"/>
  <c r="D1042" i="1"/>
  <c r="E1042" i="1"/>
  <c r="C1043" i="1"/>
  <c r="D1043" i="1"/>
  <c r="E1043" i="1"/>
  <c r="C1044" i="1"/>
  <c r="D1044" i="1"/>
  <c r="E1044" i="1"/>
  <c r="C1045" i="1"/>
  <c r="D1045" i="1"/>
  <c r="E1045" i="1"/>
  <c r="C1046" i="1"/>
  <c r="D1046" i="1"/>
  <c r="E1046" i="1"/>
  <c r="C1047" i="1"/>
  <c r="D1047" i="1"/>
  <c r="E1047" i="1"/>
  <c r="C1048" i="1"/>
  <c r="D1048" i="1"/>
  <c r="E1048" i="1"/>
  <c r="C1049" i="1"/>
  <c r="D1049" i="1"/>
  <c r="E1049" i="1"/>
  <c r="C1050" i="1"/>
  <c r="D1050" i="1"/>
  <c r="E1050" i="1"/>
  <c r="C1051" i="1"/>
  <c r="D1051" i="1"/>
  <c r="E1051" i="1"/>
  <c r="C1052" i="1"/>
  <c r="D1052" i="1"/>
  <c r="E1052" i="1"/>
  <c r="C1053" i="1"/>
  <c r="D1053" i="1"/>
  <c r="E1053" i="1"/>
  <c r="C1054" i="1"/>
  <c r="D1054" i="1"/>
  <c r="E1054" i="1"/>
  <c r="C1055" i="1"/>
  <c r="D1055" i="1"/>
  <c r="E1055" i="1"/>
  <c r="C1056" i="1"/>
  <c r="D1056" i="1"/>
  <c r="E1056" i="1"/>
  <c r="C1057" i="1"/>
  <c r="D1057" i="1"/>
  <c r="E1057" i="1"/>
  <c r="C1058" i="1"/>
  <c r="D1058" i="1"/>
  <c r="E1058" i="1"/>
  <c r="C1059" i="1"/>
  <c r="D1059" i="1"/>
  <c r="E1059" i="1"/>
  <c r="C1060" i="1"/>
  <c r="D1060" i="1"/>
  <c r="E1060" i="1"/>
  <c r="C1061" i="1"/>
  <c r="D1061" i="1"/>
  <c r="E1061" i="1"/>
  <c r="C1062" i="1"/>
  <c r="D1062" i="1"/>
  <c r="E1062" i="1"/>
  <c r="C1063" i="1"/>
  <c r="D1063" i="1"/>
  <c r="E1063" i="1"/>
  <c r="C1064" i="1"/>
  <c r="D1064" i="1"/>
  <c r="E1064" i="1"/>
  <c r="C1065" i="1"/>
  <c r="D1065" i="1"/>
  <c r="E1065" i="1"/>
  <c r="C1066" i="1"/>
  <c r="D1066" i="1"/>
  <c r="E1066" i="1"/>
  <c r="C1067" i="1"/>
  <c r="D1067" i="1"/>
  <c r="E1067" i="1"/>
  <c r="C1068" i="1"/>
  <c r="D1068" i="1"/>
  <c r="E1068" i="1"/>
  <c r="C1069" i="1"/>
  <c r="D1069" i="1"/>
  <c r="E1069" i="1"/>
  <c r="C1070" i="1"/>
  <c r="D1070" i="1"/>
  <c r="E1070" i="1"/>
  <c r="C1071" i="1"/>
  <c r="D1071" i="1"/>
  <c r="E1071" i="1"/>
  <c r="C1072" i="1"/>
  <c r="D1072" i="1"/>
  <c r="E1072" i="1"/>
  <c r="C1073" i="1"/>
  <c r="D1073" i="1"/>
  <c r="E1073" i="1"/>
  <c r="C1074" i="1"/>
  <c r="D1074" i="1"/>
  <c r="E1074" i="1"/>
  <c r="C1075" i="1"/>
  <c r="D1075" i="1"/>
  <c r="E1075" i="1"/>
  <c r="C1076" i="1"/>
  <c r="D1076" i="1"/>
  <c r="E1076" i="1"/>
  <c r="C1077" i="1"/>
  <c r="D1077" i="1"/>
  <c r="E1077" i="1"/>
  <c r="C1078" i="1"/>
  <c r="D1078" i="1"/>
  <c r="E1078" i="1"/>
  <c r="C1079" i="1"/>
  <c r="D1079" i="1"/>
  <c r="E1079" i="1"/>
  <c r="C1080" i="1"/>
  <c r="D1080" i="1"/>
  <c r="E1080" i="1"/>
  <c r="C1081" i="1"/>
  <c r="D1081" i="1"/>
  <c r="E1081" i="1"/>
  <c r="C1082" i="1"/>
  <c r="D1082" i="1"/>
  <c r="E1082" i="1"/>
  <c r="C1083" i="1"/>
  <c r="D1083" i="1"/>
  <c r="E1083" i="1"/>
  <c r="C1084" i="1"/>
  <c r="D1084" i="1"/>
  <c r="E1084" i="1"/>
  <c r="C1085" i="1"/>
  <c r="D1085" i="1"/>
  <c r="E1085" i="1"/>
  <c r="C1086" i="1"/>
  <c r="D1086" i="1"/>
  <c r="E1086" i="1"/>
  <c r="C1087" i="1"/>
  <c r="D1087" i="1"/>
  <c r="E1087" i="1"/>
  <c r="C1088" i="1"/>
  <c r="D1088" i="1"/>
  <c r="E1088" i="1"/>
  <c r="C1089" i="1"/>
  <c r="D1089" i="1"/>
  <c r="E1089" i="1"/>
  <c r="C1090" i="1"/>
  <c r="D1090" i="1"/>
  <c r="E1090" i="1"/>
  <c r="C1091" i="1"/>
  <c r="D1091" i="1"/>
  <c r="E1091" i="1"/>
  <c r="C1092" i="1"/>
  <c r="D1092" i="1"/>
  <c r="E1092" i="1"/>
  <c r="C1093" i="1"/>
  <c r="D1093" i="1"/>
  <c r="E1093" i="1"/>
  <c r="C1094" i="1"/>
  <c r="D1094" i="1"/>
  <c r="E1094" i="1"/>
  <c r="C1095" i="1"/>
  <c r="D1095" i="1"/>
  <c r="E1095" i="1"/>
  <c r="C1096" i="1"/>
  <c r="D1096" i="1"/>
  <c r="E1096" i="1"/>
  <c r="C1097" i="1"/>
  <c r="D1097" i="1"/>
  <c r="E1097" i="1"/>
  <c r="C1098" i="1"/>
  <c r="D1098" i="1"/>
  <c r="E1098" i="1"/>
  <c r="C1099" i="1"/>
  <c r="D1099" i="1"/>
  <c r="E1099" i="1"/>
  <c r="C1100" i="1"/>
  <c r="D1100" i="1"/>
  <c r="E1100" i="1"/>
  <c r="C1101" i="1"/>
  <c r="D1101" i="1"/>
  <c r="E1101" i="1"/>
  <c r="C1102" i="1"/>
  <c r="D1102" i="1"/>
  <c r="E1102" i="1"/>
  <c r="C1103" i="1"/>
  <c r="D1103" i="1"/>
  <c r="E1103" i="1"/>
  <c r="C1104" i="1"/>
  <c r="D1104" i="1"/>
  <c r="E1104" i="1"/>
  <c r="C1105" i="1"/>
  <c r="D1105" i="1"/>
  <c r="E1105" i="1"/>
  <c r="C1106" i="1"/>
  <c r="D1106" i="1"/>
  <c r="E1106" i="1"/>
  <c r="C1107" i="1"/>
  <c r="D1107" i="1"/>
  <c r="E1107" i="1"/>
  <c r="C1108" i="1"/>
  <c r="D1108" i="1"/>
  <c r="E1108" i="1"/>
  <c r="C1109" i="1"/>
  <c r="D1109" i="1"/>
  <c r="E1109" i="1"/>
  <c r="C1110" i="1"/>
  <c r="D1110" i="1"/>
  <c r="E1110" i="1"/>
  <c r="C1111" i="1"/>
  <c r="D1111" i="1"/>
  <c r="E1111" i="1"/>
  <c r="C1112" i="1"/>
  <c r="D1112" i="1"/>
  <c r="E1112" i="1"/>
  <c r="C1113" i="1"/>
  <c r="D1113" i="1"/>
  <c r="E1113" i="1"/>
  <c r="C1114" i="1"/>
  <c r="D1114" i="1"/>
  <c r="E1114" i="1"/>
  <c r="C1115" i="1"/>
  <c r="D1115" i="1"/>
  <c r="E1115" i="1"/>
  <c r="C1116" i="1"/>
  <c r="D1116" i="1"/>
  <c r="E1116" i="1"/>
  <c r="C1117" i="1"/>
  <c r="D1117" i="1"/>
  <c r="E1117" i="1"/>
  <c r="C1118" i="1"/>
  <c r="D1118" i="1"/>
  <c r="E1118" i="1"/>
  <c r="C1119" i="1"/>
  <c r="D1119" i="1"/>
  <c r="E1119" i="1"/>
  <c r="C1120" i="1"/>
  <c r="D1120" i="1"/>
  <c r="E1120" i="1"/>
  <c r="C1121" i="1"/>
  <c r="D1121" i="1"/>
  <c r="E1121" i="1"/>
  <c r="C1122" i="1"/>
  <c r="D1122" i="1"/>
  <c r="E1122" i="1"/>
  <c r="C1123" i="1"/>
  <c r="D1123" i="1"/>
  <c r="E1123" i="1"/>
  <c r="C1124" i="1"/>
  <c r="D1124" i="1"/>
  <c r="E1124" i="1"/>
  <c r="C1125" i="1"/>
  <c r="D1125" i="1"/>
  <c r="E1125" i="1"/>
  <c r="C1126" i="1"/>
  <c r="D1126" i="1"/>
  <c r="E1126" i="1"/>
  <c r="C1127" i="1"/>
  <c r="D1127" i="1"/>
  <c r="E1127" i="1"/>
  <c r="C1128" i="1"/>
  <c r="D1128" i="1"/>
  <c r="E1128" i="1"/>
  <c r="C1129" i="1"/>
  <c r="D1129" i="1"/>
  <c r="E1129" i="1"/>
  <c r="C1130" i="1"/>
  <c r="D1130" i="1"/>
  <c r="E1130" i="1"/>
  <c r="C1131" i="1"/>
  <c r="D1131" i="1"/>
  <c r="E1131" i="1"/>
  <c r="C1132" i="1"/>
  <c r="D1132" i="1"/>
  <c r="E1132" i="1"/>
  <c r="C1133" i="1"/>
  <c r="D1133" i="1"/>
  <c r="E1133" i="1"/>
  <c r="C1134" i="1"/>
  <c r="D1134" i="1"/>
  <c r="E1134" i="1"/>
  <c r="C1135" i="1"/>
  <c r="D1135" i="1"/>
  <c r="E1135" i="1"/>
  <c r="C1136" i="1"/>
  <c r="D1136" i="1"/>
  <c r="E1136" i="1"/>
  <c r="C1137" i="1"/>
  <c r="D1137" i="1"/>
  <c r="E1137" i="1"/>
  <c r="C1138" i="1"/>
  <c r="D1138" i="1"/>
  <c r="E1138" i="1"/>
  <c r="C1139" i="1"/>
  <c r="D1139" i="1"/>
  <c r="E1139" i="1"/>
  <c r="C1140" i="1"/>
  <c r="D1140" i="1"/>
  <c r="E1140" i="1"/>
  <c r="C1141" i="1"/>
  <c r="D1141" i="1"/>
  <c r="E1141" i="1"/>
  <c r="C1142" i="1"/>
  <c r="D1142" i="1"/>
  <c r="E1142" i="1"/>
  <c r="C1143" i="1"/>
  <c r="D1143" i="1"/>
  <c r="E1143" i="1"/>
  <c r="C1144" i="1"/>
  <c r="D1144" i="1"/>
  <c r="E1144" i="1"/>
  <c r="C1145" i="1"/>
  <c r="D1145" i="1"/>
  <c r="E1145" i="1"/>
  <c r="C1146" i="1"/>
  <c r="D1146" i="1"/>
  <c r="E1146" i="1"/>
  <c r="C1147" i="1"/>
  <c r="D1147" i="1"/>
  <c r="E1147" i="1"/>
  <c r="C1148" i="1"/>
  <c r="D1148" i="1"/>
  <c r="E1148" i="1"/>
  <c r="C1149" i="1"/>
  <c r="D1149" i="1"/>
  <c r="E1149" i="1"/>
  <c r="C1150" i="1"/>
  <c r="D1150" i="1"/>
  <c r="E1150" i="1"/>
  <c r="C1151" i="1"/>
  <c r="D1151" i="1"/>
  <c r="E1151" i="1"/>
  <c r="C1152" i="1"/>
  <c r="D1152" i="1"/>
  <c r="E1152" i="1"/>
  <c r="C1153" i="1"/>
  <c r="D1153" i="1"/>
  <c r="E1153" i="1"/>
  <c r="C1154" i="1"/>
  <c r="D1154" i="1"/>
  <c r="E1154" i="1"/>
  <c r="C1155" i="1"/>
  <c r="D1155" i="1"/>
  <c r="E1155" i="1"/>
  <c r="C1156" i="1"/>
  <c r="D1156" i="1"/>
  <c r="E1156" i="1"/>
  <c r="C1157" i="1"/>
  <c r="D1157" i="1"/>
  <c r="E1157" i="1"/>
  <c r="C1158" i="1"/>
  <c r="D1158" i="1"/>
  <c r="E1158" i="1"/>
  <c r="C1159" i="1"/>
  <c r="D1159" i="1"/>
  <c r="E1159" i="1"/>
  <c r="C1160" i="1"/>
  <c r="D1160" i="1"/>
  <c r="E1160" i="1"/>
  <c r="C1161" i="1"/>
  <c r="D1161" i="1"/>
  <c r="E1161" i="1"/>
  <c r="C1162" i="1"/>
  <c r="D1162" i="1"/>
  <c r="E1162" i="1"/>
  <c r="C1163" i="1"/>
  <c r="D1163" i="1"/>
  <c r="E1163" i="1"/>
  <c r="C1164" i="1"/>
  <c r="D1164" i="1"/>
  <c r="E1164" i="1"/>
  <c r="C1165" i="1"/>
  <c r="D1165" i="1"/>
  <c r="E1165" i="1"/>
  <c r="C1166" i="1"/>
  <c r="D1166" i="1"/>
  <c r="E1166" i="1"/>
  <c r="C1167" i="1"/>
  <c r="D1167" i="1"/>
  <c r="E1167" i="1"/>
  <c r="C1168" i="1"/>
  <c r="D1168" i="1"/>
  <c r="E1168" i="1"/>
  <c r="C1169" i="1"/>
  <c r="D1169" i="1"/>
  <c r="E1169" i="1"/>
  <c r="C1170" i="1"/>
  <c r="D1170" i="1"/>
  <c r="E1170" i="1"/>
  <c r="C1171" i="1"/>
  <c r="D1171" i="1"/>
  <c r="E1171" i="1"/>
  <c r="C1172" i="1"/>
  <c r="D1172" i="1"/>
  <c r="E1172" i="1"/>
  <c r="C1173" i="1"/>
  <c r="D1173" i="1"/>
  <c r="E1173" i="1"/>
  <c r="C1174" i="1"/>
  <c r="D1174" i="1"/>
  <c r="E1174" i="1"/>
  <c r="C1175" i="1"/>
  <c r="D1175" i="1"/>
  <c r="E1175" i="1"/>
  <c r="C1176" i="1"/>
  <c r="D1176" i="1"/>
  <c r="E1176" i="1"/>
  <c r="C1177" i="1"/>
  <c r="D1177" i="1"/>
  <c r="E1177" i="1"/>
  <c r="C1178" i="1"/>
  <c r="D1178" i="1"/>
  <c r="E1178" i="1"/>
  <c r="C1179" i="1"/>
  <c r="D1179" i="1"/>
  <c r="E1179" i="1"/>
  <c r="C1180" i="1"/>
  <c r="D1180" i="1"/>
  <c r="E1180" i="1"/>
  <c r="C1181" i="1"/>
  <c r="D1181" i="1"/>
  <c r="E1181" i="1"/>
  <c r="C1182" i="1"/>
  <c r="D1182" i="1"/>
  <c r="E1182" i="1"/>
  <c r="C1183" i="1"/>
  <c r="D1183" i="1"/>
  <c r="E1183" i="1"/>
  <c r="C1184" i="1"/>
  <c r="D1184" i="1"/>
  <c r="E1184" i="1"/>
  <c r="C1185" i="1"/>
  <c r="D1185" i="1"/>
  <c r="E1185" i="1"/>
  <c r="C1186" i="1"/>
  <c r="D1186" i="1"/>
  <c r="E1186" i="1"/>
  <c r="C1187" i="1"/>
  <c r="D1187" i="1"/>
  <c r="E1187" i="1"/>
  <c r="C1188" i="1"/>
  <c r="D1188" i="1"/>
  <c r="E1188" i="1"/>
  <c r="C1189" i="1"/>
  <c r="D1189" i="1"/>
  <c r="E1189" i="1"/>
  <c r="C1190" i="1"/>
  <c r="D1190" i="1"/>
  <c r="E1190" i="1"/>
  <c r="C1191" i="1"/>
  <c r="D1191" i="1"/>
  <c r="E1191" i="1"/>
  <c r="C1192" i="1"/>
  <c r="D1192" i="1"/>
  <c r="E1192" i="1"/>
  <c r="C1193" i="1"/>
  <c r="D1193" i="1"/>
  <c r="E1193" i="1"/>
  <c r="C1194" i="1"/>
  <c r="D1194" i="1"/>
  <c r="E1194" i="1"/>
  <c r="C1195" i="1"/>
  <c r="D1195" i="1"/>
  <c r="E1195" i="1"/>
  <c r="C1196" i="1"/>
  <c r="D1196" i="1"/>
  <c r="E1196" i="1"/>
  <c r="C1197" i="1"/>
  <c r="D1197" i="1"/>
  <c r="E1197" i="1"/>
  <c r="C1198" i="1"/>
  <c r="D1198" i="1"/>
  <c r="E1198" i="1"/>
  <c r="C1199" i="1"/>
  <c r="D1199" i="1"/>
  <c r="E1199" i="1"/>
  <c r="C1200" i="1"/>
  <c r="D1200" i="1"/>
  <c r="E1200" i="1"/>
  <c r="C1201" i="1"/>
  <c r="D1201" i="1"/>
  <c r="E1201" i="1"/>
  <c r="C1202" i="1"/>
  <c r="D1202" i="1"/>
  <c r="E1202" i="1"/>
  <c r="C1203" i="1"/>
  <c r="D1203" i="1"/>
  <c r="E1203" i="1"/>
  <c r="C1204" i="1"/>
  <c r="D1204" i="1"/>
  <c r="E1204" i="1"/>
  <c r="C1205" i="1"/>
  <c r="D1205" i="1"/>
  <c r="E1205" i="1"/>
  <c r="C1206" i="1"/>
  <c r="D1206" i="1"/>
  <c r="E1206" i="1"/>
  <c r="C1207" i="1"/>
  <c r="D1207" i="1"/>
  <c r="E1207" i="1"/>
  <c r="C1208" i="1"/>
  <c r="D1208" i="1"/>
  <c r="E1208" i="1"/>
  <c r="C1209" i="1"/>
  <c r="D1209" i="1"/>
  <c r="E1209" i="1"/>
  <c r="C1210" i="1"/>
  <c r="D1210" i="1"/>
  <c r="E1210" i="1"/>
  <c r="C1211" i="1"/>
  <c r="D1211" i="1"/>
  <c r="E1211" i="1"/>
  <c r="C1212" i="1"/>
  <c r="D1212" i="1"/>
  <c r="E1212" i="1"/>
  <c r="C1213" i="1"/>
  <c r="D1213" i="1"/>
  <c r="E1213" i="1"/>
  <c r="C1214" i="1"/>
  <c r="D1214" i="1"/>
  <c r="E1214" i="1"/>
  <c r="C1215" i="1"/>
  <c r="D1215" i="1"/>
  <c r="E1215" i="1"/>
  <c r="C1216" i="1"/>
  <c r="D1216" i="1"/>
  <c r="E1216" i="1"/>
  <c r="C1217" i="1"/>
  <c r="D1217" i="1"/>
  <c r="E1217" i="1"/>
  <c r="C1218" i="1"/>
  <c r="D1218" i="1"/>
  <c r="E1218" i="1"/>
  <c r="C1219" i="1"/>
  <c r="D1219" i="1"/>
  <c r="E1219" i="1"/>
  <c r="C1220" i="1"/>
  <c r="D1220" i="1"/>
  <c r="E1220" i="1"/>
  <c r="C1221" i="1"/>
  <c r="D1221" i="1"/>
  <c r="E1221" i="1"/>
  <c r="C1222" i="1"/>
  <c r="D1222" i="1"/>
  <c r="E1222" i="1"/>
  <c r="C1223" i="1"/>
  <c r="D1223" i="1"/>
  <c r="E1223" i="1"/>
  <c r="C1224" i="1"/>
  <c r="D1224" i="1"/>
  <c r="E1224" i="1"/>
  <c r="C1225" i="1"/>
  <c r="D1225" i="1"/>
  <c r="E1225" i="1"/>
  <c r="C1226" i="1"/>
  <c r="D1226" i="1"/>
  <c r="E1226" i="1"/>
  <c r="C1227" i="1"/>
  <c r="D1227" i="1"/>
  <c r="E1227" i="1"/>
  <c r="C1228" i="1"/>
  <c r="D1228" i="1"/>
  <c r="E1228" i="1"/>
  <c r="C1229" i="1"/>
  <c r="D1229" i="1"/>
  <c r="E1229" i="1"/>
  <c r="C1230" i="1"/>
  <c r="D1230" i="1"/>
  <c r="E1230" i="1"/>
  <c r="C1231" i="1"/>
  <c r="D1231" i="1"/>
  <c r="E1231" i="1"/>
  <c r="C1232" i="1"/>
  <c r="D1232" i="1"/>
  <c r="E1232" i="1"/>
  <c r="C1233" i="1"/>
  <c r="D1233" i="1"/>
  <c r="E1233" i="1"/>
  <c r="C1234" i="1"/>
  <c r="D1234" i="1"/>
  <c r="E1234" i="1"/>
  <c r="C1235" i="1"/>
  <c r="D1235" i="1"/>
  <c r="E1235" i="1"/>
  <c r="C1236" i="1"/>
  <c r="D1236" i="1"/>
  <c r="E1236" i="1"/>
  <c r="C1237" i="1"/>
  <c r="D1237" i="1"/>
  <c r="E1237" i="1"/>
  <c r="C1238" i="1"/>
  <c r="D1238" i="1"/>
  <c r="E1238" i="1"/>
  <c r="C1239" i="1"/>
  <c r="D1239" i="1"/>
  <c r="E1239" i="1"/>
  <c r="C1240" i="1"/>
  <c r="D1240" i="1"/>
  <c r="E1240" i="1"/>
  <c r="C1241" i="1"/>
  <c r="D1241" i="1"/>
  <c r="E1241" i="1"/>
  <c r="C1242" i="1"/>
  <c r="D1242" i="1"/>
  <c r="E1242" i="1"/>
  <c r="C1243" i="1"/>
  <c r="D1243" i="1"/>
  <c r="E1243" i="1"/>
  <c r="C1244" i="1"/>
  <c r="D1244" i="1"/>
  <c r="E1244" i="1"/>
  <c r="C1245" i="1"/>
  <c r="D1245" i="1"/>
  <c r="E1245" i="1"/>
  <c r="C1246" i="1"/>
  <c r="D1246" i="1"/>
  <c r="E1246" i="1"/>
  <c r="C1247" i="1"/>
  <c r="D1247" i="1"/>
  <c r="E1247" i="1"/>
  <c r="C1248" i="1"/>
  <c r="D1248" i="1"/>
  <c r="E1248" i="1"/>
  <c r="C1249" i="1"/>
  <c r="D1249" i="1"/>
  <c r="E1249" i="1"/>
  <c r="C1250" i="1"/>
  <c r="D1250" i="1"/>
  <c r="E1250" i="1"/>
  <c r="C1251" i="1"/>
  <c r="D1251" i="1"/>
  <c r="E1251" i="1"/>
  <c r="C1252" i="1"/>
  <c r="D1252" i="1"/>
  <c r="E1252" i="1"/>
  <c r="C1253" i="1"/>
  <c r="D1253" i="1"/>
  <c r="E1253" i="1"/>
  <c r="C1254" i="1"/>
  <c r="D1254" i="1"/>
  <c r="E1254" i="1"/>
  <c r="C1255" i="1"/>
  <c r="D1255" i="1"/>
  <c r="E1255" i="1"/>
  <c r="C1256" i="1"/>
  <c r="D1256" i="1"/>
  <c r="E1256" i="1"/>
  <c r="C1257" i="1"/>
  <c r="D1257" i="1"/>
  <c r="E1257" i="1"/>
  <c r="C1258" i="1"/>
  <c r="D1258" i="1"/>
  <c r="E1258" i="1"/>
  <c r="C1259" i="1"/>
  <c r="D1259" i="1"/>
  <c r="E1259" i="1"/>
  <c r="C1260" i="1"/>
  <c r="D1260" i="1"/>
  <c r="E1260" i="1"/>
  <c r="C1261" i="1"/>
  <c r="D1261" i="1"/>
  <c r="E1261" i="1"/>
  <c r="C1262" i="1"/>
  <c r="D1262" i="1"/>
  <c r="E1262" i="1"/>
  <c r="C1263" i="1"/>
  <c r="D1263" i="1"/>
  <c r="E1263" i="1"/>
  <c r="C1264" i="1"/>
  <c r="D1264" i="1"/>
  <c r="E1264" i="1"/>
  <c r="C1265" i="1"/>
  <c r="D1265" i="1"/>
  <c r="E1265" i="1"/>
  <c r="C1266" i="1"/>
  <c r="D1266" i="1"/>
  <c r="E1266" i="1"/>
  <c r="C1267" i="1"/>
  <c r="D1267" i="1"/>
  <c r="E1267" i="1"/>
  <c r="C1268" i="1"/>
  <c r="D1268" i="1"/>
  <c r="E1268" i="1"/>
  <c r="C1269" i="1"/>
  <c r="D1269" i="1"/>
  <c r="E1269" i="1"/>
  <c r="C1270" i="1"/>
  <c r="D1270" i="1"/>
  <c r="E1270" i="1"/>
  <c r="C1271" i="1"/>
  <c r="D1271" i="1"/>
  <c r="E1271" i="1"/>
  <c r="C1272" i="1"/>
  <c r="D1272" i="1"/>
  <c r="E1272" i="1"/>
  <c r="C1273" i="1"/>
  <c r="D1273" i="1"/>
  <c r="E1273" i="1"/>
  <c r="C1274" i="1"/>
  <c r="D1274" i="1"/>
  <c r="E1274" i="1"/>
  <c r="C1275" i="1"/>
  <c r="D1275" i="1"/>
  <c r="E1275" i="1"/>
  <c r="C1276" i="1"/>
  <c r="D1276" i="1"/>
  <c r="E1276" i="1"/>
  <c r="C1277" i="1"/>
  <c r="D1277" i="1"/>
  <c r="E1277" i="1"/>
  <c r="C1278" i="1"/>
  <c r="D1278" i="1"/>
  <c r="E1278" i="1"/>
  <c r="C1279" i="1"/>
  <c r="D1279" i="1"/>
  <c r="E1279" i="1"/>
  <c r="C1280" i="1"/>
  <c r="D1280" i="1"/>
  <c r="E1280" i="1"/>
  <c r="C1281" i="1"/>
  <c r="D1281" i="1"/>
  <c r="E1281" i="1"/>
  <c r="C1282" i="1"/>
  <c r="D1282" i="1"/>
  <c r="E1282" i="1"/>
  <c r="C1283" i="1"/>
  <c r="D1283" i="1"/>
  <c r="E1283" i="1"/>
  <c r="C1284" i="1"/>
  <c r="D1284" i="1"/>
  <c r="E1284" i="1"/>
  <c r="C1285" i="1"/>
  <c r="D1285" i="1"/>
  <c r="E1285" i="1"/>
  <c r="C1286" i="1"/>
  <c r="D1286" i="1"/>
  <c r="E1286" i="1"/>
  <c r="C1287" i="1"/>
  <c r="D1287" i="1"/>
  <c r="E1287" i="1"/>
  <c r="C1288" i="1"/>
  <c r="D1288" i="1"/>
  <c r="E1288" i="1"/>
  <c r="C1289" i="1"/>
  <c r="D1289" i="1"/>
  <c r="E1289" i="1"/>
  <c r="C1290" i="1"/>
  <c r="D1290" i="1"/>
  <c r="E1290" i="1"/>
  <c r="C1291" i="1"/>
  <c r="D1291" i="1"/>
  <c r="E1291" i="1"/>
  <c r="C1292" i="1"/>
  <c r="D1292" i="1"/>
  <c r="E1292" i="1"/>
  <c r="C1293" i="1"/>
  <c r="D1293" i="1"/>
  <c r="E1293" i="1"/>
  <c r="C1294" i="1"/>
  <c r="D1294" i="1"/>
  <c r="E1294" i="1"/>
  <c r="C1295" i="1"/>
  <c r="D1295" i="1"/>
  <c r="E1295" i="1"/>
  <c r="C1296" i="1"/>
  <c r="D1296" i="1"/>
  <c r="E1296" i="1"/>
  <c r="C1297" i="1"/>
  <c r="D1297" i="1"/>
  <c r="E1297" i="1"/>
  <c r="C1298" i="1"/>
  <c r="D1298" i="1"/>
  <c r="E1298" i="1"/>
  <c r="C1299" i="1"/>
  <c r="D1299" i="1"/>
  <c r="E1299" i="1"/>
  <c r="C1300" i="1"/>
  <c r="D1300" i="1"/>
  <c r="E1300" i="1"/>
  <c r="C1301" i="1"/>
  <c r="D1301" i="1"/>
  <c r="E1301" i="1"/>
  <c r="C1302" i="1"/>
  <c r="D1302" i="1"/>
  <c r="E1302" i="1"/>
  <c r="C1303" i="1"/>
  <c r="D1303" i="1"/>
  <c r="E1303" i="1"/>
  <c r="C1304" i="1"/>
  <c r="D1304" i="1"/>
  <c r="E1304" i="1"/>
  <c r="C1305" i="1"/>
  <c r="D1305" i="1"/>
  <c r="E1305" i="1"/>
  <c r="C1306" i="1"/>
  <c r="D1306" i="1"/>
  <c r="E1306" i="1"/>
  <c r="C1307" i="1"/>
  <c r="D1307" i="1"/>
  <c r="E1307" i="1"/>
  <c r="C1308" i="1"/>
  <c r="D1308" i="1"/>
  <c r="E1308" i="1"/>
  <c r="C1309" i="1"/>
  <c r="D1309" i="1"/>
  <c r="E1309" i="1"/>
  <c r="C1310" i="1"/>
  <c r="D1310" i="1"/>
  <c r="E1310" i="1"/>
  <c r="C1311" i="1"/>
  <c r="D1311" i="1"/>
  <c r="E1311" i="1"/>
  <c r="C1312" i="1"/>
  <c r="D1312" i="1"/>
  <c r="E1312" i="1"/>
  <c r="C1313" i="1"/>
  <c r="D1313" i="1"/>
  <c r="E1313" i="1"/>
  <c r="C1314" i="1"/>
  <c r="D1314" i="1"/>
  <c r="E1314" i="1"/>
  <c r="C1315" i="1"/>
  <c r="D1315" i="1"/>
  <c r="E1315" i="1"/>
  <c r="C1316" i="1"/>
  <c r="D1316" i="1"/>
  <c r="E1316" i="1"/>
  <c r="C1317" i="1"/>
  <c r="D1317" i="1"/>
  <c r="E1317" i="1"/>
  <c r="C1318" i="1"/>
  <c r="D1318" i="1"/>
  <c r="E1318" i="1"/>
  <c r="C1319" i="1"/>
  <c r="D1319" i="1"/>
  <c r="E1319" i="1"/>
  <c r="C1320" i="1"/>
  <c r="D1320" i="1"/>
  <c r="E1320" i="1"/>
  <c r="C1321" i="1"/>
  <c r="D1321" i="1"/>
  <c r="E1321" i="1"/>
  <c r="C1322" i="1"/>
  <c r="D1322" i="1"/>
  <c r="E1322" i="1"/>
  <c r="C1323" i="1"/>
  <c r="D1323" i="1"/>
  <c r="E1323" i="1"/>
  <c r="C1324" i="1"/>
  <c r="D1324" i="1"/>
  <c r="E1324" i="1"/>
  <c r="C1325" i="1"/>
  <c r="D1325" i="1"/>
  <c r="E1325" i="1"/>
  <c r="C1326" i="1"/>
  <c r="D1326" i="1"/>
  <c r="E1326" i="1"/>
  <c r="C1327" i="1"/>
  <c r="D1327" i="1"/>
  <c r="E1327" i="1"/>
  <c r="C1328" i="1"/>
  <c r="D1328" i="1"/>
  <c r="E1328" i="1"/>
  <c r="C1329" i="1"/>
  <c r="D1329" i="1"/>
  <c r="E1329" i="1"/>
  <c r="C1330" i="1"/>
  <c r="D1330" i="1"/>
  <c r="E1330" i="1"/>
  <c r="C1331" i="1"/>
  <c r="D1331" i="1"/>
  <c r="E1331" i="1"/>
  <c r="C1332" i="1"/>
  <c r="D1332" i="1"/>
  <c r="E1332" i="1"/>
  <c r="C1333" i="1"/>
  <c r="D1333" i="1"/>
  <c r="E1333" i="1"/>
  <c r="C1334" i="1"/>
  <c r="D1334" i="1"/>
  <c r="E1334" i="1"/>
  <c r="C1335" i="1"/>
  <c r="D1335" i="1"/>
  <c r="E1335" i="1"/>
  <c r="C1336" i="1"/>
  <c r="D1336" i="1"/>
  <c r="E1336" i="1"/>
  <c r="C1337" i="1"/>
  <c r="D1337" i="1"/>
  <c r="E1337" i="1"/>
  <c r="C1338" i="1"/>
  <c r="D1338" i="1"/>
  <c r="E1338" i="1"/>
  <c r="C1339" i="1"/>
  <c r="D1339" i="1"/>
  <c r="E1339" i="1"/>
  <c r="C1340" i="1"/>
  <c r="D1340" i="1"/>
  <c r="E1340" i="1"/>
  <c r="C1341" i="1"/>
  <c r="D1341" i="1"/>
  <c r="E1341" i="1"/>
  <c r="C1342" i="1"/>
  <c r="D1342" i="1"/>
  <c r="E1342" i="1"/>
  <c r="C1343" i="1"/>
  <c r="D1343" i="1"/>
  <c r="E1343" i="1"/>
  <c r="C1344" i="1"/>
  <c r="D1344" i="1"/>
  <c r="E1344" i="1"/>
  <c r="C1345" i="1"/>
  <c r="D1345" i="1"/>
  <c r="E1345" i="1"/>
  <c r="C1346" i="1"/>
  <c r="D1346" i="1"/>
  <c r="E1346" i="1"/>
  <c r="C1347" i="1"/>
  <c r="D1347" i="1"/>
  <c r="E1347" i="1"/>
  <c r="C1348" i="1"/>
  <c r="D1348" i="1"/>
  <c r="E1348" i="1"/>
  <c r="C1349" i="1"/>
  <c r="D1349" i="1"/>
  <c r="E1349" i="1"/>
  <c r="C1350" i="1"/>
  <c r="D1350" i="1"/>
  <c r="E1350" i="1"/>
  <c r="C1351" i="1"/>
  <c r="D1351" i="1"/>
  <c r="E1351" i="1"/>
  <c r="C1352" i="1"/>
  <c r="D1352" i="1"/>
  <c r="E1352" i="1"/>
  <c r="C1353" i="1"/>
  <c r="D1353" i="1"/>
  <c r="E1353" i="1"/>
  <c r="C1354" i="1"/>
  <c r="D1354" i="1"/>
  <c r="E1354" i="1"/>
  <c r="C1355" i="1"/>
  <c r="D1355" i="1"/>
  <c r="E1355" i="1"/>
  <c r="C1356" i="1"/>
  <c r="D1356" i="1"/>
  <c r="E1356" i="1"/>
  <c r="C1357" i="1"/>
  <c r="D1357" i="1"/>
  <c r="E1357" i="1"/>
  <c r="C1358" i="1"/>
  <c r="D1358" i="1"/>
  <c r="E1358" i="1"/>
  <c r="C1359" i="1"/>
  <c r="D1359" i="1"/>
  <c r="E1359" i="1"/>
  <c r="C1360" i="1"/>
  <c r="D1360" i="1"/>
  <c r="E1360" i="1"/>
  <c r="C1361" i="1"/>
  <c r="D1361" i="1"/>
  <c r="E1361" i="1"/>
  <c r="C1362" i="1"/>
  <c r="D1362" i="1"/>
  <c r="E1362" i="1"/>
  <c r="C1363" i="1"/>
  <c r="D1363" i="1"/>
  <c r="E1363" i="1"/>
  <c r="C1364" i="1"/>
  <c r="D1364" i="1"/>
  <c r="E1364" i="1"/>
  <c r="C1365" i="1"/>
  <c r="D1365" i="1"/>
  <c r="E1365" i="1"/>
  <c r="C1366" i="1"/>
  <c r="D1366" i="1"/>
  <c r="E1366" i="1"/>
  <c r="C1367" i="1"/>
  <c r="D1367" i="1"/>
  <c r="E1367" i="1"/>
  <c r="C1368" i="1"/>
  <c r="D1368" i="1"/>
  <c r="E1368" i="1"/>
  <c r="C1369" i="1"/>
  <c r="D1369" i="1"/>
  <c r="E1369" i="1"/>
  <c r="C1370" i="1"/>
  <c r="D1370" i="1"/>
  <c r="E1370" i="1"/>
  <c r="C1371" i="1"/>
  <c r="D1371" i="1"/>
  <c r="E1371" i="1"/>
  <c r="C1372" i="1"/>
  <c r="D1372" i="1"/>
  <c r="E1372" i="1"/>
  <c r="C1373" i="1"/>
  <c r="D1373" i="1"/>
  <c r="E1373" i="1"/>
  <c r="C1374" i="1"/>
  <c r="D1374" i="1"/>
  <c r="E1374" i="1"/>
  <c r="C1375" i="1"/>
  <c r="D1375" i="1"/>
  <c r="E1375" i="1"/>
  <c r="C1376" i="1"/>
  <c r="D1376" i="1"/>
  <c r="E1376" i="1"/>
  <c r="C1377" i="1"/>
  <c r="D1377" i="1"/>
  <c r="E1377" i="1"/>
  <c r="C1378" i="1"/>
  <c r="D1378" i="1"/>
  <c r="E1378" i="1"/>
  <c r="C1379" i="1"/>
  <c r="D1379" i="1"/>
  <c r="E1379" i="1"/>
  <c r="C1380" i="1"/>
  <c r="D1380" i="1"/>
  <c r="E1380" i="1"/>
  <c r="C1381" i="1"/>
  <c r="D1381" i="1"/>
  <c r="E1381" i="1"/>
  <c r="C1382" i="1"/>
  <c r="D1382" i="1"/>
  <c r="E1382" i="1"/>
  <c r="C1383" i="1"/>
  <c r="D1383" i="1"/>
  <c r="E1383" i="1"/>
  <c r="C1384" i="1"/>
  <c r="D1384" i="1"/>
  <c r="E1384" i="1"/>
  <c r="C1385" i="1"/>
  <c r="D1385" i="1"/>
  <c r="E1385" i="1"/>
  <c r="C1386" i="1"/>
  <c r="D1386" i="1"/>
  <c r="E1386" i="1"/>
  <c r="C1387" i="1"/>
  <c r="D1387" i="1"/>
  <c r="E1387" i="1"/>
  <c r="C1388" i="1"/>
  <c r="D1388" i="1"/>
  <c r="E1388" i="1"/>
  <c r="C1389" i="1"/>
  <c r="D1389" i="1"/>
  <c r="E1389" i="1"/>
  <c r="C1390" i="1"/>
  <c r="D1390" i="1"/>
  <c r="E1390" i="1"/>
  <c r="C1391" i="1"/>
  <c r="D1391" i="1"/>
  <c r="E1391" i="1"/>
  <c r="C1392" i="1"/>
  <c r="D1392" i="1"/>
  <c r="E1392" i="1"/>
  <c r="C1393" i="1"/>
  <c r="D1393" i="1"/>
  <c r="E1393" i="1"/>
  <c r="C1394" i="1"/>
  <c r="D1394" i="1"/>
  <c r="E1394" i="1"/>
  <c r="C1395" i="1"/>
  <c r="D1395" i="1"/>
  <c r="E1395" i="1"/>
  <c r="C1396" i="1"/>
  <c r="D1396" i="1"/>
  <c r="E1396" i="1"/>
  <c r="C1397" i="1"/>
  <c r="D1397" i="1"/>
  <c r="E1397" i="1"/>
  <c r="C1398" i="1"/>
  <c r="D1398" i="1"/>
  <c r="E1398" i="1"/>
  <c r="C1399" i="1"/>
  <c r="D1399" i="1"/>
  <c r="E1399" i="1"/>
  <c r="C1400" i="1"/>
  <c r="D1400" i="1"/>
  <c r="E1400" i="1"/>
  <c r="C1401" i="1"/>
  <c r="D1401" i="1"/>
  <c r="E1401" i="1"/>
  <c r="C1402" i="1"/>
  <c r="D1402" i="1"/>
  <c r="E1402" i="1"/>
  <c r="C1403" i="1"/>
  <c r="D1403" i="1"/>
  <c r="E1403" i="1"/>
  <c r="C1404" i="1"/>
  <c r="D1404" i="1"/>
  <c r="E1404" i="1"/>
  <c r="C1405" i="1"/>
  <c r="D1405" i="1"/>
  <c r="E1405" i="1"/>
  <c r="C1406" i="1"/>
  <c r="D1406" i="1"/>
  <c r="E1406" i="1"/>
  <c r="C1407" i="1"/>
  <c r="D1407" i="1"/>
  <c r="E1407" i="1"/>
  <c r="C1408" i="1"/>
  <c r="D1408" i="1"/>
  <c r="E1408" i="1"/>
  <c r="C1409" i="1"/>
  <c r="D1409" i="1"/>
  <c r="E1409" i="1"/>
  <c r="C1410" i="1"/>
  <c r="D1410" i="1"/>
  <c r="E1410" i="1"/>
  <c r="C1411" i="1"/>
  <c r="D1411" i="1"/>
  <c r="E1411" i="1"/>
  <c r="C1412" i="1"/>
  <c r="D1412" i="1"/>
  <c r="E1412" i="1"/>
  <c r="C1413" i="1"/>
  <c r="D1413" i="1"/>
  <c r="E1413" i="1"/>
  <c r="C1414" i="1"/>
  <c r="D1414" i="1"/>
  <c r="E1414" i="1"/>
  <c r="C1415" i="1"/>
  <c r="D1415" i="1"/>
  <c r="E1415" i="1"/>
  <c r="C1416" i="1"/>
  <c r="D1416" i="1"/>
  <c r="E1416" i="1"/>
  <c r="C1417" i="1"/>
  <c r="D1417" i="1"/>
  <c r="E1417" i="1"/>
  <c r="C1418" i="1"/>
  <c r="D1418" i="1"/>
  <c r="E1418" i="1"/>
  <c r="C1419" i="1"/>
  <c r="D1419" i="1"/>
  <c r="E1419" i="1"/>
  <c r="C1420" i="1"/>
  <c r="D1420" i="1"/>
  <c r="E1420" i="1"/>
  <c r="C1421" i="1"/>
  <c r="D1421" i="1"/>
  <c r="E1421" i="1"/>
  <c r="C1422" i="1"/>
  <c r="D1422" i="1"/>
  <c r="E1422" i="1"/>
  <c r="C1423" i="1"/>
  <c r="D1423" i="1"/>
  <c r="E1423" i="1"/>
  <c r="C1424" i="1"/>
  <c r="D1424" i="1"/>
  <c r="E1424" i="1"/>
  <c r="C1425" i="1"/>
  <c r="D1425" i="1"/>
  <c r="E1425" i="1"/>
  <c r="C1426" i="1"/>
  <c r="D1426" i="1"/>
  <c r="E1426" i="1"/>
  <c r="C1427" i="1"/>
  <c r="D1427" i="1"/>
  <c r="E1427" i="1"/>
  <c r="C1428" i="1"/>
  <c r="D1428" i="1"/>
  <c r="E1428" i="1"/>
  <c r="C1429" i="1"/>
  <c r="D1429" i="1"/>
  <c r="E1429" i="1"/>
  <c r="C1430" i="1"/>
  <c r="D1430" i="1"/>
  <c r="E1430" i="1"/>
  <c r="C1431" i="1"/>
  <c r="D1431" i="1"/>
  <c r="E1431" i="1"/>
  <c r="C1432" i="1"/>
  <c r="D1432" i="1"/>
  <c r="E1432" i="1"/>
  <c r="C1433" i="1"/>
  <c r="D1433" i="1"/>
  <c r="E1433" i="1"/>
  <c r="C1434" i="1"/>
  <c r="D1434" i="1"/>
  <c r="E1434" i="1"/>
  <c r="C1435" i="1"/>
  <c r="D1435" i="1"/>
  <c r="E1435" i="1"/>
  <c r="C1436" i="1"/>
  <c r="D1436" i="1"/>
  <c r="E1436" i="1"/>
  <c r="C1437" i="1"/>
  <c r="D1437" i="1"/>
  <c r="E1437" i="1"/>
  <c r="C1438" i="1"/>
  <c r="D1438" i="1"/>
  <c r="E1438" i="1"/>
  <c r="C1439" i="1"/>
  <c r="D1439" i="1"/>
  <c r="E1439" i="1"/>
  <c r="C1440" i="1"/>
  <c r="D1440" i="1"/>
  <c r="E1440" i="1"/>
  <c r="C1441" i="1"/>
  <c r="D1441" i="1"/>
  <c r="E1441" i="1"/>
  <c r="C1442" i="1"/>
  <c r="D1442" i="1"/>
  <c r="E1442" i="1"/>
  <c r="C1443" i="1"/>
  <c r="D1443" i="1"/>
  <c r="E1443" i="1"/>
  <c r="C1444" i="1"/>
  <c r="D1444" i="1"/>
  <c r="E1444" i="1"/>
  <c r="C1445" i="1"/>
  <c r="D1445" i="1"/>
  <c r="E1445" i="1"/>
  <c r="C1446" i="1"/>
  <c r="D1446" i="1"/>
  <c r="E1446" i="1"/>
  <c r="C1447" i="1"/>
  <c r="D1447" i="1"/>
  <c r="E1447" i="1"/>
  <c r="C1448" i="1"/>
  <c r="D1448" i="1"/>
  <c r="E1448" i="1"/>
  <c r="C1449" i="1"/>
  <c r="D1449" i="1"/>
  <c r="E1449" i="1"/>
  <c r="C1450" i="1"/>
  <c r="D1450" i="1"/>
  <c r="E1450" i="1"/>
  <c r="C1451" i="1"/>
  <c r="D1451" i="1"/>
  <c r="E1451" i="1"/>
  <c r="C1452" i="1"/>
  <c r="D1452" i="1"/>
  <c r="E1452" i="1"/>
  <c r="C1453" i="1"/>
  <c r="D1453" i="1"/>
  <c r="E1453" i="1"/>
  <c r="C1454" i="1"/>
  <c r="D1454" i="1"/>
  <c r="E1454" i="1"/>
  <c r="C1455" i="1"/>
  <c r="D1455" i="1"/>
  <c r="E1455" i="1"/>
  <c r="C1456" i="1"/>
  <c r="D1456" i="1"/>
  <c r="E1456" i="1"/>
  <c r="C1457" i="1"/>
  <c r="D1457" i="1"/>
  <c r="E1457" i="1"/>
  <c r="C1458" i="1"/>
  <c r="D1458" i="1"/>
  <c r="E1458" i="1"/>
  <c r="C1459" i="1"/>
  <c r="D1459" i="1"/>
  <c r="E1459" i="1"/>
  <c r="C1460" i="1"/>
  <c r="D1460" i="1"/>
  <c r="E1460" i="1"/>
  <c r="C1461" i="1"/>
  <c r="D1461" i="1"/>
  <c r="E1461" i="1"/>
  <c r="C1462" i="1"/>
  <c r="D1462" i="1"/>
  <c r="E1462" i="1"/>
  <c r="C1463" i="1"/>
  <c r="D1463" i="1"/>
  <c r="E1463" i="1"/>
  <c r="C1464" i="1"/>
  <c r="D1464" i="1"/>
  <c r="E1464" i="1"/>
  <c r="C1465" i="1"/>
  <c r="D1465" i="1"/>
  <c r="E1465" i="1"/>
  <c r="C1466" i="1"/>
  <c r="D1466" i="1"/>
  <c r="E1466" i="1"/>
  <c r="C1467" i="1"/>
  <c r="D1467" i="1"/>
  <c r="E1467" i="1"/>
  <c r="C1468" i="1"/>
  <c r="D1468" i="1"/>
  <c r="E1468" i="1"/>
  <c r="C1469" i="1"/>
  <c r="D1469" i="1"/>
  <c r="E1469" i="1"/>
  <c r="C1470" i="1"/>
  <c r="D1470" i="1"/>
  <c r="E1470" i="1"/>
  <c r="C1471" i="1"/>
  <c r="D1471" i="1"/>
  <c r="E1471" i="1"/>
  <c r="C1472" i="1"/>
  <c r="D1472" i="1"/>
  <c r="E1472" i="1"/>
  <c r="C1473" i="1"/>
  <c r="D1473" i="1"/>
  <c r="E1473" i="1"/>
  <c r="C1474" i="1"/>
  <c r="D1474" i="1"/>
  <c r="E1474" i="1"/>
  <c r="C1475" i="1"/>
  <c r="D1475" i="1"/>
  <c r="E1475" i="1"/>
  <c r="C1476" i="1"/>
  <c r="D1476" i="1"/>
  <c r="E1476" i="1"/>
  <c r="C1477" i="1"/>
  <c r="D1477" i="1"/>
  <c r="E1477" i="1"/>
  <c r="C1478" i="1"/>
  <c r="D1478" i="1"/>
  <c r="E1478" i="1"/>
  <c r="C1479" i="1"/>
  <c r="D1479" i="1"/>
  <c r="E1479" i="1"/>
  <c r="C1480" i="1"/>
  <c r="D1480" i="1"/>
  <c r="E1480" i="1"/>
  <c r="C1481" i="1"/>
  <c r="D1481" i="1"/>
  <c r="E1481" i="1"/>
  <c r="C1482" i="1"/>
  <c r="D1482" i="1"/>
  <c r="E1482" i="1"/>
  <c r="C1483" i="1"/>
  <c r="D1483" i="1"/>
  <c r="E1483" i="1"/>
  <c r="C1484" i="1"/>
  <c r="D1484" i="1"/>
  <c r="E1484" i="1"/>
  <c r="C1485" i="1"/>
  <c r="D1485" i="1"/>
  <c r="E1485" i="1"/>
  <c r="C1486" i="1"/>
  <c r="D1486" i="1"/>
  <c r="E1486" i="1"/>
  <c r="C1487" i="1"/>
  <c r="D1487" i="1"/>
  <c r="E1487" i="1"/>
  <c r="C1488" i="1"/>
  <c r="D1488" i="1"/>
  <c r="E1488" i="1"/>
  <c r="C1489" i="1"/>
  <c r="D1489" i="1"/>
  <c r="E1489" i="1"/>
  <c r="C1490" i="1"/>
  <c r="D1490" i="1"/>
  <c r="E1490" i="1"/>
  <c r="C1491" i="1"/>
  <c r="D1491" i="1"/>
  <c r="E1491" i="1"/>
  <c r="C1492" i="1"/>
  <c r="D1492" i="1"/>
  <c r="E1492" i="1"/>
  <c r="C1493" i="1"/>
  <c r="D1493" i="1"/>
  <c r="E1493" i="1"/>
  <c r="C1494" i="1"/>
  <c r="D1494" i="1"/>
  <c r="E1494" i="1"/>
  <c r="C1495" i="1"/>
  <c r="D1495" i="1"/>
  <c r="E1495" i="1"/>
  <c r="C1496" i="1"/>
  <c r="D1496" i="1"/>
  <c r="E1496" i="1"/>
  <c r="C1497" i="1"/>
  <c r="D1497" i="1"/>
  <c r="E1497" i="1"/>
  <c r="C1498" i="1"/>
  <c r="D1498" i="1"/>
  <c r="E1498" i="1"/>
  <c r="C1499" i="1"/>
  <c r="D1499" i="1"/>
  <c r="E1499" i="1"/>
  <c r="C1500" i="1"/>
  <c r="D1500" i="1"/>
  <c r="E1500" i="1"/>
  <c r="C1501" i="1"/>
  <c r="D1501" i="1"/>
  <c r="E1501" i="1"/>
  <c r="C1502" i="1"/>
  <c r="D1502" i="1"/>
  <c r="E1502" i="1"/>
  <c r="C1503" i="1"/>
  <c r="D1503" i="1"/>
  <c r="E1503" i="1"/>
  <c r="C1504" i="1"/>
  <c r="D1504" i="1"/>
  <c r="E1504" i="1"/>
  <c r="C1505" i="1"/>
  <c r="D1505" i="1"/>
  <c r="E1505" i="1"/>
  <c r="C1506" i="1"/>
  <c r="D1506" i="1"/>
  <c r="E1506" i="1"/>
  <c r="C1507" i="1"/>
  <c r="D1507" i="1"/>
  <c r="E1507" i="1"/>
  <c r="C1508" i="1"/>
  <c r="D1508" i="1"/>
  <c r="E1508" i="1"/>
  <c r="C1509" i="1"/>
  <c r="D1509" i="1"/>
  <c r="E1509" i="1"/>
  <c r="C1510" i="1"/>
  <c r="D1510" i="1"/>
  <c r="E1510" i="1"/>
  <c r="C1511" i="1"/>
  <c r="D1511" i="1"/>
  <c r="E1511" i="1"/>
  <c r="C1512" i="1"/>
  <c r="D1512" i="1"/>
  <c r="E1512" i="1"/>
  <c r="C1513" i="1"/>
  <c r="D1513" i="1"/>
  <c r="E1513" i="1"/>
  <c r="C1514" i="1"/>
  <c r="D1514" i="1"/>
  <c r="E1514" i="1"/>
  <c r="C1515" i="1"/>
  <c r="D1515" i="1"/>
  <c r="E1515" i="1"/>
  <c r="C1516" i="1"/>
  <c r="D1516" i="1"/>
  <c r="E1516" i="1"/>
  <c r="C1517" i="1"/>
  <c r="D1517" i="1"/>
  <c r="E1517" i="1"/>
  <c r="C1518" i="1"/>
  <c r="D1518" i="1"/>
  <c r="E1518" i="1"/>
  <c r="C1519" i="1"/>
  <c r="D1519" i="1"/>
  <c r="E1519" i="1"/>
  <c r="C1520" i="1"/>
  <c r="D1520" i="1"/>
  <c r="E1520" i="1"/>
  <c r="C1521" i="1"/>
  <c r="D1521" i="1"/>
  <c r="E1521" i="1"/>
  <c r="C1522" i="1"/>
  <c r="D1522" i="1"/>
  <c r="E1522" i="1"/>
  <c r="C1523" i="1"/>
  <c r="D1523" i="1"/>
  <c r="E1523" i="1"/>
  <c r="C1524" i="1"/>
  <c r="D1524" i="1"/>
  <c r="E1524" i="1"/>
  <c r="C1525" i="1"/>
  <c r="D1525" i="1"/>
  <c r="E1525" i="1"/>
  <c r="C1526" i="1"/>
  <c r="D1526" i="1"/>
  <c r="E1526" i="1"/>
  <c r="C1527" i="1"/>
  <c r="D1527" i="1"/>
  <c r="E1527" i="1"/>
  <c r="C1528" i="1"/>
  <c r="D1528" i="1"/>
  <c r="E1528" i="1"/>
  <c r="C1529" i="1"/>
  <c r="D1529" i="1"/>
  <c r="E1529" i="1"/>
  <c r="C1530" i="1"/>
  <c r="D1530" i="1"/>
  <c r="E1530" i="1"/>
  <c r="C1531" i="1"/>
  <c r="D1531" i="1"/>
  <c r="E1531" i="1"/>
  <c r="C1532" i="1"/>
  <c r="D1532" i="1"/>
  <c r="E1532" i="1"/>
  <c r="C1533" i="1"/>
  <c r="D1533" i="1"/>
  <c r="E1533" i="1"/>
  <c r="C1534" i="1"/>
  <c r="D1534" i="1"/>
  <c r="E1534" i="1"/>
  <c r="C1535" i="1"/>
  <c r="D1535" i="1"/>
  <c r="E1535" i="1"/>
  <c r="C1536" i="1"/>
  <c r="D1536" i="1"/>
  <c r="E1536" i="1"/>
  <c r="C1537" i="1"/>
  <c r="D1537" i="1"/>
  <c r="E1537" i="1"/>
  <c r="C1538" i="1"/>
  <c r="D1538" i="1"/>
  <c r="E1538" i="1"/>
  <c r="C1539" i="1"/>
  <c r="D1539" i="1"/>
  <c r="E1539" i="1"/>
  <c r="C1540" i="1"/>
  <c r="D1540" i="1"/>
  <c r="E1540" i="1"/>
  <c r="C1541" i="1"/>
  <c r="D1541" i="1"/>
  <c r="E1541" i="1"/>
  <c r="C1542" i="1"/>
  <c r="D1542" i="1"/>
  <c r="E1542" i="1"/>
  <c r="C1543" i="1"/>
  <c r="D1543" i="1"/>
  <c r="E1543" i="1"/>
  <c r="C1544" i="1"/>
  <c r="D1544" i="1"/>
  <c r="E1544" i="1"/>
  <c r="C1545" i="1"/>
  <c r="D1545" i="1"/>
  <c r="E1545" i="1"/>
  <c r="C1546" i="1"/>
  <c r="D1546" i="1"/>
  <c r="E1546" i="1"/>
  <c r="C1547" i="1"/>
  <c r="D1547" i="1"/>
  <c r="E1547" i="1"/>
  <c r="C1548" i="1"/>
  <c r="D1548" i="1"/>
  <c r="E1548" i="1"/>
  <c r="C1549" i="1"/>
  <c r="D1549" i="1"/>
  <c r="E1549" i="1"/>
  <c r="C1550" i="1"/>
  <c r="D1550" i="1"/>
  <c r="E1550" i="1"/>
  <c r="C1551" i="1"/>
  <c r="D1551" i="1"/>
  <c r="E1551" i="1"/>
  <c r="C1552" i="1"/>
  <c r="D1552" i="1"/>
  <c r="E1552" i="1"/>
  <c r="C1553" i="1"/>
  <c r="D1553" i="1"/>
  <c r="E1553" i="1"/>
  <c r="C1554" i="1"/>
  <c r="D1554" i="1"/>
  <c r="E1554" i="1"/>
  <c r="C1555" i="1"/>
  <c r="D1555" i="1"/>
  <c r="E1555" i="1"/>
  <c r="C1556" i="1"/>
  <c r="D1556" i="1"/>
  <c r="E1556" i="1"/>
  <c r="C1557" i="1"/>
  <c r="D1557" i="1"/>
  <c r="E1557" i="1"/>
  <c r="C1558" i="1"/>
  <c r="D1558" i="1"/>
  <c r="E1558" i="1"/>
  <c r="C1559" i="1"/>
  <c r="D1559" i="1"/>
  <c r="E1559" i="1"/>
  <c r="C1560" i="1"/>
  <c r="D1560" i="1"/>
  <c r="E1560" i="1"/>
  <c r="C1561" i="1"/>
  <c r="D1561" i="1"/>
  <c r="E1561" i="1"/>
  <c r="C1562" i="1"/>
  <c r="D1562" i="1"/>
  <c r="E1562" i="1"/>
  <c r="C1563" i="1"/>
  <c r="D1563" i="1"/>
  <c r="E1563" i="1"/>
  <c r="C1564" i="1"/>
  <c r="D1564" i="1"/>
  <c r="E1564" i="1"/>
  <c r="C1565" i="1"/>
  <c r="D1565" i="1"/>
  <c r="E1565" i="1"/>
  <c r="C1566" i="1"/>
  <c r="D1566" i="1"/>
  <c r="E1566" i="1"/>
  <c r="C1567" i="1"/>
  <c r="D1567" i="1"/>
  <c r="E1567" i="1"/>
  <c r="C1568" i="1"/>
  <c r="D1568" i="1"/>
  <c r="E1568" i="1"/>
  <c r="C1569" i="1"/>
  <c r="D1569" i="1"/>
  <c r="E1569" i="1"/>
  <c r="C1570" i="1"/>
  <c r="D1570" i="1"/>
  <c r="E1570" i="1"/>
  <c r="C1571" i="1"/>
  <c r="D1571" i="1"/>
  <c r="E1571" i="1"/>
  <c r="C1572" i="1"/>
  <c r="D1572" i="1"/>
  <c r="E1572" i="1"/>
  <c r="C1573" i="1"/>
  <c r="D1573" i="1"/>
  <c r="E1573" i="1"/>
  <c r="C1574" i="1"/>
  <c r="D1574" i="1"/>
  <c r="E1574" i="1"/>
  <c r="C1575" i="1"/>
  <c r="D1575" i="1"/>
  <c r="E1575" i="1"/>
  <c r="C1576" i="1"/>
  <c r="D1576" i="1"/>
  <c r="E1576" i="1"/>
  <c r="C1577" i="1"/>
  <c r="D1577" i="1"/>
  <c r="E1577" i="1"/>
  <c r="C1578" i="1"/>
  <c r="D1578" i="1"/>
  <c r="E1578" i="1"/>
  <c r="C1579" i="1"/>
  <c r="D1579" i="1"/>
  <c r="E1579" i="1"/>
  <c r="C1580" i="1"/>
  <c r="D1580" i="1"/>
  <c r="E1580" i="1"/>
  <c r="C1581" i="1"/>
  <c r="D1581" i="1"/>
  <c r="E1581" i="1"/>
  <c r="C1582" i="1"/>
  <c r="D1582" i="1"/>
  <c r="E1582" i="1"/>
  <c r="C1583" i="1"/>
  <c r="D1583" i="1"/>
  <c r="E1583" i="1"/>
  <c r="C1584" i="1"/>
  <c r="D1584" i="1"/>
  <c r="E1584" i="1"/>
  <c r="C1585" i="1"/>
  <c r="D1585" i="1"/>
  <c r="E1585" i="1"/>
  <c r="C1586" i="1"/>
  <c r="D1586" i="1"/>
  <c r="E1586" i="1"/>
  <c r="C1587" i="1"/>
  <c r="D1587" i="1"/>
  <c r="E1587" i="1"/>
  <c r="C1588" i="1"/>
  <c r="D1588" i="1"/>
  <c r="E1588" i="1"/>
  <c r="C1589" i="1"/>
  <c r="D1589" i="1"/>
  <c r="E1589" i="1"/>
  <c r="C1590" i="1"/>
  <c r="D1590" i="1"/>
  <c r="E1590" i="1"/>
  <c r="C1591" i="1"/>
  <c r="D1591" i="1"/>
  <c r="E1591" i="1"/>
  <c r="C1592" i="1"/>
  <c r="D1592" i="1"/>
  <c r="E1592" i="1"/>
  <c r="C1593" i="1"/>
  <c r="D1593" i="1"/>
  <c r="E1593" i="1"/>
  <c r="C1594" i="1"/>
  <c r="D1594" i="1"/>
  <c r="E1594" i="1"/>
  <c r="C1595" i="1"/>
  <c r="D1595" i="1"/>
  <c r="E1595" i="1"/>
  <c r="C1596" i="1"/>
  <c r="D1596" i="1"/>
  <c r="E1596" i="1"/>
  <c r="C1597" i="1"/>
  <c r="D1597" i="1"/>
  <c r="E1597" i="1"/>
  <c r="C1598" i="1"/>
  <c r="D1598" i="1"/>
  <c r="E1598" i="1"/>
  <c r="C1599" i="1"/>
  <c r="D1599" i="1"/>
  <c r="E1599" i="1"/>
  <c r="C1600" i="1"/>
  <c r="D1600" i="1"/>
  <c r="E1600" i="1"/>
  <c r="C1601" i="1"/>
  <c r="D1601" i="1"/>
  <c r="E1601" i="1"/>
  <c r="C1602" i="1"/>
  <c r="D1602" i="1"/>
  <c r="E1602" i="1"/>
  <c r="C1603" i="1"/>
  <c r="D1603" i="1"/>
  <c r="E1603" i="1"/>
  <c r="C1604" i="1"/>
  <c r="D1604" i="1"/>
  <c r="E1604" i="1"/>
  <c r="C1605" i="1"/>
  <c r="D1605" i="1"/>
  <c r="E1605" i="1"/>
  <c r="C1606" i="1"/>
  <c r="D1606" i="1"/>
  <c r="E1606" i="1"/>
  <c r="C1607" i="1"/>
  <c r="D1607" i="1"/>
  <c r="E1607" i="1"/>
  <c r="C1608" i="1"/>
  <c r="D1608" i="1"/>
  <c r="E1608" i="1"/>
  <c r="C1609" i="1"/>
  <c r="D1609" i="1"/>
  <c r="E1609" i="1"/>
  <c r="C1610" i="1"/>
  <c r="D1610" i="1"/>
  <c r="E1610" i="1"/>
  <c r="C1611" i="1"/>
  <c r="D1611" i="1"/>
  <c r="E1611" i="1"/>
  <c r="C1612" i="1"/>
  <c r="D1612" i="1"/>
  <c r="E1612" i="1"/>
  <c r="C1613" i="1"/>
  <c r="D1613" i="1"/>
  <c r="E1613" i="1"/>
  <c r="C1614" i="1"/>
  <c r="D1614" i="1"/>
  <c r="E1614" i="1"/>
  <c r="C1615" i="1"/>
  <c r="D1615" i="1"/>
  <c r="E1615" i="1"/>
  <c r="C1616" i="1"/>
  <c r="D1616" i="1"/>
  <c r="E1616" i="1"/>
  <c r="C1617" i="1"/>
  <c r="D1617" i="1"/>
  <c r="E1617" i="1"/>
  <c r="C1618" i="1"/>
  <c r="D1618" i="1"/>
  <c r="E1618" i="1"/>
  <c r="C1619" i="1"/>
  <c r="D1619" i="1"/>
  <c r="E1619" i="1"/>
  <c r="C1620" i="1"/>
  <c r="D1620" i="1"/>
  <c r="E1620" i="1"/>
  <c r="C1621" i="1"/>
  <c r="D1621" i="1"/>
  <c r="E1621" i="1"/>
  <c r="C1622" i="1"/>
  <c r="D1622" i="1"/>
  <c r="E1622" i="1"/>
  <c r="C1623" i="1"/>
  <c r="D1623" i="1"/>
  <c r="E1623" i="1"/>
  <c r="C1624" i="1"/>
  <c r="D1624" i="1"/>
  <c r="E1624" i="1"/>
  <c r="C1625" i="1"/>
  <c r="D1625" i="1"/>
  <c r="E1625" i="1"/>
  <c r="C1626" i="1"/>
  <c r="D1626" i="1"/>
  <c r="E1626" i="1"/>
  <c r="C1627" i="1"/>
  <c r="D1627" i="1"/>
  <c r="E1627" i="1"/>
  <c r="C1628" i="1"/>
  <c r="D1628" i="1"/>
  <c r="E1628" i="1"/>
  <c r="C1629" i="1"/>
  <c r="D1629" i="1"/>
  <c r="E1629" i="1"/>
  <c r="C1630" i="1"/>
  <c r="D1630" i="1"/>
  <c r="E1630" i="1"/>
  <c r="C1631" i="1"/>
  <c r="D1631" i="1"/>
  <c r="E1631" i="1"/>
  <c r="C1632" i="1"/>
  <c r="D1632" i="1"/>
  <c r="E1632" i="1"/>
  <c r="C1633" i="1"/>
  <c r="D1633" i="1"/>
  <c r="E1633" i="1"/>
  <c r="C1634" i="1"/>
  <c r="D1634" i="1"/>
  <c r="E1634" i="1"/>
  <c r="C1635" i="1"/>
  <c r="D1635" i="1"/>
  <c r="E1635" i="1"/>
  <c r="C1636" i="1"/>
  <c r="D1636" i="1"/>
  <c r="E1636" i="1"/>
  <c r="C1637" i="1"/>
  <c r="D1637" i="1"/>
  <c r="E1637" i="1"/>
  <c r="C1638" i="1"/>
  <c r="D1638" i="1"/>
  <c r="E1638" i="1"/>
  <c r="C1639" i="1"/>
  <c r="D1639" i="1"/>
  <c r="E1639" i="1"/>
  <c r="C1640" i="1"/>
  <c r="D1640" i="1"/>
  <c r="E1640" i="1"/>
  <c r="C1641" i="1"/>
  <c r="D1641" i="1"/>
  <c r="E1641" i="1"/>
  <c r="C1642" i="1"/>
  <c r="D1642" i="1"/>
  <c r="E1642" i="1"/>
  <c r="C1643" i="1"/>
  <c r="D1643" i="1"/>
  <c r="E1643" i="1"/>
  <c r="C1644" i="1"/>
  <c r="D1644" i="1"/>
  <c r="E1644" i="1"/>
  <c r="C1645" i="1"/>
  <c r="D1645" i="1"/>
  <c r="E1645" i="1"/>
  <c r="C1646" i="1"/>
  <c r="D1646" i="1"/>
  <c r="E1646" i="1"/>
  <c r="C1647" i="1"/>
  <c r="D1647" i="1"/>
  <c r="E1647" i="1"/>
  <c r="C1648" i="1"/>
  <c r="D1648" i="1"/>
  <c r="E1648" i="1"/>
  <c r="C1649" i="1"/>
  <c r="D1649" i="1"/>
  <c r="E1649" i="1"/>
  <c r="C1650" i="1"/>
  <c r="D1650" i="1"/>
  <c r="E1650" i="1"/>
  <c r="C1651" i="1"/>
  <c r="D1651" i="1"/>
  <c r="E1651" i="1"/>
  <c r="C1652" i="1"/>
  <c r="D1652" i="1"/>
  <c r="E1652" i="1"/>
  <c r="C1653" i="1"/>
  <c r="D1653" i="1"/>
  <c r="E1653" i="1"/>
  <c r="C1654" i="1"/>
  <c r="D1654" i="1"/>
  <c r="E1654" i="1"/>
  <c r="C1655" i="1"/>
  <c r="D1655" i="1"/>
  <c r="E1655" i="1"/>
  <c r="C1656" i="1"/>
  <c r="D1656" i="1"/>
  <c r="E1656" i="1"/>
  <c r="C1657" i="1"/>
  <c r="D1657" i="1"/>
  <c r="E1657" i="1"/>
  <c r="C1658" i="1"/>
  <c r="D1658" i="1"/>
  <c r="E1658" i="1"/>
  <c r="C1659" i="1"/>
  <c r="D1659" i="1"/>
  <c r="E1659" i="1"/>
  <c r="C1660" i="1"/>
  <c r="D1660" i="1"/>
  <c r="E1660" i="1"/>
  <c r="C1661" i="1"/>
  <c r="D1661" i="1"/>
  <c r="E1661" i="1"/>
  <c r="C1662" i="1"/>
  <c r="D1662" i="1"/>
  <c r="E1662" i="1"/>
  <c r="C1663" i="1"/>
  <c r="D1663" i="1"/>
  <c r="E1663" i="1"/>
  <c r="C1664" i="1"/>
  <c r="D1664" i="1"/>
  <c r="E1664" i="1"/>
  <c r="C1665" i="1"/>
  <c r="D1665" i="1"/>
  <c r="E1665" i="1"/>
  <c r="C1666" i="1"/>
  <c r="D1666" i="1"/>
  <c r="E1666" i="1"/>
  <c r="C1667" i="1"/>
  <c r="D1667" i="1"/>
  <c r="E1667" i="1"/>
  <c r="C1668" i="1"/>
  <c r="D1668" i="1"/>
  <c r="E1668" i="1"/>
  <c r="C1669" i="1"/>
  <c r="D1669" i="1"/>
  <c r="E1669" i="1"/>
  <c r="C1670" i="1"/>
  <c r="D1670" i="1"/>
  <c r="E1670" i="1"/>
  <c r="C1671" i="1"/>
  <c r="D1671" i="1"/>
  <c r="E1671" i="1"/>
  <c r="C1672" i="1"/>
  <c r="D1672" i="1"/>
  <c r="E1672" i="1"/>
  <c r="C1673" i="1"/>
  <c r="D1673" i="1"/>
  <c r="E1673" i="1"/>
  <c r="C1674" i="1"/>
  <c r="D1674" i="1"/>
  <c r="E1674" i="1"/>
  <c r="C1675" i="1"/>
  <c r="D1675" i="1"/>
  <c r="E1675" i="1"/>
  <c r="C1676" i="1"/>
  <c r="D1676" i="1"/>
  <c r="E1676" i="1"/>
  <c r="C1677" i="1"/>
  <c r="D1677" i="1"/>
  <c r="E1677" i="1"/>
  <c r="C1678" i="1"/>
  <c r="D1678" i="1"/>
  <c r="E1678" i="1"/>
  <c r="C1679" i="1"/>
  <c r="D1679" i="1"/>
  <c r="E1679" i="1"/>
  <c r="C1680" i="1"/>
  <c r="D1680" i="1"/>
  <c r="E1680" i="1"/>
  <c r="C1681" i="1"/>
  <c r="D1681" i="1"/>
  <c r="E1681" i="1"/>
  <c r="C1682" i="1"/>
  <c r="D1682" i="1"/>
  <c r="E1682" i="1"/>
  <c r="C1683" i="1"/>
  <c r="D1683" i="1"/>
  <c r="E1683" i="1"/>
  <c r="C1684" i="1"/>
  <c r="D1684" i="1"/>
  <c r="E1684" i="1"/>
  <c r="C1685" i="1"/>
  <c r="D1685" i="1"/>
  <c r="E1685" i="1"/>
  <c r="C1686" i="1"/>
  <c r="D1686" i="1"/>
  <c r="E1686" i="1"/>
  <c r="C1687" i="1"/>
  <c r="D1687" i="1"/>
  <c r="E1687" i="1"/>
  <c r="C1688" i="1"/>
  <c r="D1688" i="1"/>
  <c r="E1688" i="1"/>
  <c r="C1689" i="1"/>
  <c r="D1689" i="1"/>
  <c r="E1689" i="1"/>
  <c r="C1690" i="1"/>
  <c r="D1690" i="1"/>
  <c r="E1690" i="1"/>
  <c r="C1691" i="1"/>
  <c r="D1691" i="1"/>
  <c r="E1691" i="1"/>
  <c r="C1692" i="1"/>
  <c r="D1692" i="1"/>
  <c r="E1692" i="1"/>
  <c r="C1693" i="1"/>
  <c r="D1693" i="1"/>
  <c r="E1693" i="1"/>
  <c r="C1694" i="1"/>
  <c r="D1694" i="1"/>
  <c r="E1694" i="1"/>
  <c r="C1695" i="1"/>
  <c r="D1695" i="1"/>
  <c r="E1695" i="1"/>
  <c r="C1696" i="1"/>
  <c r="D1696" i="1"/>
  <c r="E1696" i="1"/>
  <c r="C1697" i="1"/>
  <c r="D1697" i="1"/>
  <c r="E1697" i="1"/>
  <c r="C1698" i="1"/>
  <c r="D1698" i="1"/>
  <c r="E1698" i="1"/>
  <c r="C1699" i="1"/>
  <c r="D1699" i="1"/>
  <c r="E1699" i="1"/>
  <c r="C1700" i="1"/>
  <c r="D1700" i="1"/>
  <c r="E1700" i="1"/>
  <c r="C1701" i="1"/>
  <c r="D1701" i="1"/>
  <c r="E1701" i="1"/>
  <c r="C1702" i="1"/>
  <c r="D1702" i="1"/>
  <c r="E1702" i="1"/>
  <c r="C1703" i="1"/>
  <c r="D1703" i="1"/>
  <c r="E1703" i="1"/>
  <c r="C1704" i="1"/>
  <c r="D1704" i="1"/>
  <c r="E1704" i="1"/>
  <c r="C1705" i="1"/>
  <c r="D1705" i="1"/>
  <c r="E1705" i="1"/>
  <c r="C1706" i="1"/>
  <c r="D1706" i="1"/>
  <c r="E1706" i="1"/>
  <c r="C1707" i="1"/>
  <c r="D1707" i="1"/>
  <c r="E1707" i="1"/>
  <c r="C1708" i="1"/>
  <c r="D1708" i="1"/>
  <c r="E1708" i="1"/>
  <c r="C1709" i="1"/>
  <c r="D1709" i="1"/>
  <c r="E1709" i="1"/>
  <c r="C1710" i="1"/>
  <c r="D1710" i="1"/>
  <c r="E1710" i="1"/>
  <c r="C1711" i="1"/>
  <c r="D1711" i="1"/>
  <c r="E1711" i="1"/>
  <c r="C1712" i="1"/>
  <c r="D1712" i="1"/>
  <c r="E1712" i="1"/>
  <c r="C1713" i="1"/>
  <c r="D1713" i="1"/>
  <c r="E1713" i="1"/>
  <c r="C1714" i="1"/>
  <c r="D1714" i="1"/>
  <c r="E1714" i="1"/>
  <c r="C1715" i="1"/>
  <c r="D1715" i="1"/>
  <c r="E1715" i="1"/>
  <c r="C1716" i="1"/>
  <c r="D1716" i="1"/>
  <c r="E1716" i="1"/>
  <c r="C1717" i="1"/>
  <c r="D1717" i="1"/>
  <c r="E1717" i="1"/>
  <c r="C1718" i="1"/>
  <c r="D1718" i="1"/>
  <c r="E1718" i="1"/>
  <c r="C1719" i="1"/>
  <c r="D1719" i="1"/>
  <c r="E1719" i="1"/>
  <c r="C1720" i="1"/>
  <c r="D1720" i="1"/>
  <c r="E1720" i="1"/>
  <c r="C1721" i="1"/>
  <c r="D1721" i="1"/>
  <c r="E1721" i="1"/>
  <c r="C1722" i="1"/>
  <c r="D1722" i="1"/>
  <c r="E1722" i="1"/>
  <c r="C1723" i="1"/>
  <c r="D1723" i="1"/>
  <c r="E1723" i="1"/>
  <c r="C1724" i="1"/>
  <c r="D1724" i="1"/>
  <c r="E1724" i="1"/>
  <c r="C1725" i="1"/>
  <c r="D1725" i="1"/>
  <c r="E1725" i="1"/>
  <c r="C1726" i="1"/>
  <c r="D1726" i="1"/>
  <c r="E1726" i="1"/>
  <c r="C1727" i="1"/>
  <c r="D1727" i="1"/>
  <c r="E1727" i="1"/>
  <c r="C1728" i="1"/>
  <c r="D1728" i="1"/>
  <c r="E1728" i="1"/>
  <c r="C1729" i="1"/>
  <c r="D1729" i="1"/>
  <c r="E1729" i="1"/>
  <c r="C1730" i="1"/>
  <c r="D1730" i="1"/>
  <c r="E1730" i="1"/>
  <c r="C1731" i="1"/>
  <c r="D1731" i="1"/>
  <c r="E1731" i="1"/>
  <c r="C1732" i="1"/>
  <c r="D1732" i="1"/>
  <c r="E1732" i="1"/>
  <c r="C1733" i="1"/>
  <c r="D1733" i="1"/>
  <c r="E1733" i="1"/>
  <c r="C1734" i="1"/>
  <c r="D1734" i="1"/>
  <c r="E1734" i="1"/>
  <c r="C1735" i="1"/>
  <c r="D1735" i="1"/>
  <c r="E1735" i="1"/>
  <c r="C1736" i="1"/>
  <c r="D1736" i="1"/>
  <c r="E1736" i="1"/>
  <c r="C1737" i="1"/>
  <c r="D1737" i="1"/>
  <c r="E1737" i="1"/>
  <c r="C1738" i="1"/>
  <c r="D1738" i="1"/>
  <c r="E1738" i="1"/>
  <c r="C1739" i="1"/>
  <c r="D1739" i="1"/>
  <c r="E1739" i="1"/>
  <c r="C1740" i="1"/>
  <c r="D1740" i="1"/>
  <c r="E1740" i="1"/>
  <c r="C1741" i="1"/>
  <c r="D1741" i="1"/>
  <c r="E1741" i="1"/>
  <c r="C1742" i="1"/>
  <c r="D1742" i="1"/>
  <c r="E1742" i="1"/>
  <c r="C1743" i="1"/>
  <c r="D1743" i="1"/>
  <c r="E1743" i="1"/>
  <c r="C1744" i="1"/>
  <c r="D1744" i="1"/>
  <c r="E1744" i="1"/>
  <c r="C1745" i="1"/>
  <c r="D1745" i="1"/>
  <c r="E1745" i="1"/>
  <c r="C1746" i="1"/>
  <c r="D1746" i="1"/>
  <c r="E1746" i="1"/>
  <c r="C1747" i="1"/>
  <c r="D1747" i="1"/>
  <c r="E1747" i="1"/>
  <c r="C1748" i="1"/>
  <c r="D1748" i="1"/>
  <c r="E1748" i="1"/>
  <c r="C1749" i="1"/>
  <c r="D1749" i="1"/>
  <c r="E1749" i="1"/>
  <c r="C1750" i="1"/>
  <c r="D1750" i="1"/>
  <c r="E1750" i="1"/>
  <c r="C1751" i="1"/>
  <c r="D1751" i="1"/>
  <c r="E1751" i="1"/>
  <c r="C1752" i="1"/>
  <c r="D1752" i="1"/>
  <c r="E1752" i="1"/>
  <c r="C1753" i="1"/>
  <c r="D1753" i="1"/>
  <c r="E1753" i="1"/>
  <c r="C1754" i="1"/>
  <c r="D1754" i="1"/>
  <c r="E1754" i="1"/>
  <c r="C1755" i="1"/>
  <c r="D1755" i="1"/>
  <c r="E1755" i="1"/>
  <c r="C1756" i="1"/>
  <c r="D1756" i="1"/>
  <c r="E1756" i="1"/>
  <c r="C1757" i="1"/>
  <c r="D1757" i="1"/>
  <c r="E1757" i="1"/>
  <c r="C1758" i="1"/>
  <c r="D1758" i="1"/>
  <c r="E1758" i="1"/>
  <c r="C1759" i="1"/>
  <c r="D1759" i="1"/>
  <c r="E1759" i="1"/>
  <c r="C1760" i="1"/>
  <c r="D1760" i="1"/>
  <c r="E1760" i="1"/>
  <c r="C1761" i="1"/>
  <c r="D1761" i="1"/>
  <c r="E1761" i="1"/>
  <c r="C1762" i="1"/>
  <c r="D1762" i="1"/>
  <c r="E1762" i="1"/>
  <c r="C1763" i="1"/>
  <c r="D1763" i="1"/>
  <c r="E1763" i="1"/>
  <c r="C1764" i="1"/>
  <c r="D1764" i="1"/>
  <c r="E1764" i="1"/>
  <c r="C1765" i="1"/>
  <c r="D1765" i="1"/>
  <c r="E1765" i="1"/>
  <c r="C1766" i="1"/>
  <c r="D1766" i="1"/>
  <c r="E1766" i="1"/>
  <c r="C1767" i="1"/>
  <c r="D1767" i="1"/>
  <c r="E1767" i="1"/>
  <c r="C1768" i="1"/>
  <c r="D1768" i="1"/>
  <c r="E1768" i="1"/>
  <c r="C1769" i="1"/>
  <c r="D1769" i="1"/>
  <c r="E1769" i="1"/>
  <c r="C1770" i="1"/>
  <c r="D1770" i="1"/>
  <c r="E1770" i="1"/>
  <c r="C1771" i="1"/>
  <c r="D1771" i="1"/>
  <c r="E1771" i="1"/>
  <c r="C1772" i="1"/>
  <c r="D1772" i="1"/>
  <c r="E1772" i="1"/>
  <c r="C1773" i="1"/>
  <c r="D1773" i="1"/>
  <c r="E1773" i="1"/>
  <c r="C1774" i="1"/>
  <c r="D1774" i="1"/>
  <c r="E1774" i="1"/>
  <c r="C1775" i="1"/>
  <c r="D1775" i="1"/>
  <c r="E1775" i="1"/>
  <c r="C1776" i="1"/>
  <c r="D1776" i="1"/>
  <c r="E1776" i="1"/>
  <c r="C1777" i="1"/>
  <c r="D1777" i="1"/>
  <c r="E1777" i="1"/>
  <c r="C1778" i="1"/>
  <c r="D1778" i="1"/>
  <c r="E1778" i="1"/>
  <c r="C1779" i="1"/>
  <c r="D1779" i="1"/>
  <c r="E1779" i="1"/>
  <c r="C1780" i="1"/>
  <c r="D1780" i="1"/>
  <c r="E1780" i="1"/>
  <c r="C1781" i="1"/>
  <c r="D1781" i="1"/>
  <c r="E1781" i="1"/>
  <c r="C1782" i="1"/>
  <c r="D1782" i="1"/>
  <c r="E1782" i="1"/>
  <c r="C1783" i="1"/>
  <c r="D1783" i="1"/>
  <c r="E1783" i="1"/>
  <c r="C1784" i="1"/>
  <c r="D1784" i="1"/>
  <c r="E1784" i="1"/>
  <c r="C1785" i="1"/>
  <c r="D1785" i="1"/>
  <c r="E1785" i="1"/>
  <c r="C1786" i="1"/>
  <c r="D1786" i="1"/>
  <c r="E1786" i="1"/>
  <c r="C1787" i="1"/>
  <c r="D1787" i="1"/>
  <c r="E1787" i="1"/>
  <c r="C1788" i="1"/>
  <c r="D1788" i="1"/>
  <c r="E1788" i="1"/>
  <c r="C1789" i="1"/>
  <c r="D1789" i="1"/>
  <c r="E1789" i="1"/>
  <c r="C1790" i="1"/>
  <c r="D1790" i="1"/>
  <c r="E1790" i="1"/>
  <c r="C1791" i="1"/>
  <c r="D1791" i="1"/>
  <c r="E1791" i="1"/>
  <c r="C1792" i="1"/>
  <c r="D1792" i="1"/>
  <c r="E1792" i="1"/>
  <c r="C1793" i="1"/>
  <c r="D1793" i="1"/>
  <c r="E1793" i="1"/>
  <c r="C1794" i="1"/>
  <c r="D1794" i="1"/>
  <c r="E1794" i="1"/>
  <c r="C1795" i="1"/>
  <c r="D1795" i="1"/>
  <c r="E1795" i="1"/>
  <c r="C1796" i="1"/>
  <c r="D1796" i="1"/>
  <c r="E1796" i="1"/>
  <c r="C1797" i="1"/>
  <c r="D1797" i="1"/>
  <c r="E1797" i="1"/>
  <c r="C1798" i="1"/>
  <c r="D1798" i="1"/>
  <c r="E1798" i="1"/>
  <c r="C1799" i="1"/>
  <c r="D1799" i="1"/>
  <c r="E1799" i="1"/>
  <c r="C1800" i="1"/>
  <c r="D1800" i="1"/>
  <c r="E1800" i="1"/>
  <c r="C1801" i="1"/>
  <c r="D1801" i="1"/>
  <c r="E1801" i="1"/>
  <c r="C1802" i="1"/>
  <c r="D1802" i="1"/>
  <c r="E1802" i="1"/>
  <c r="C1803" i="1"/>
  <c r="D1803" i="1"/>
  <c r="E1803" i="1"/>
  <c r="C1804" i="1"/>
  <c r="D1804" i="1"/>
  <c r="E1804" i="1"/>
  <c r="C1805" i="1"/>
  <c r="D1805" i="1"/>
  <c r="E1805" i="1"/>
  <c r="C1806" i="1"/>
  <c r="D1806" i="1"/>
  <c r="E1806" i="1"/>
  <c r="C1807" i="1"/>
  <c r="D1807" i="1"/>
  <c r="E1807" i="1"/>
  <c r="C1808" i="1"/>
  <c r="D1808" i="1"/>
  <c r="E1808" i="1"/>
  <c r="C1809" i="1"/>
  <c r="D1809" i="1"/>
  <c r="E1809" i="1"/>
  <c r="C1810" i="1"/>
  <c r="D1810" i="1"/>
  <c r="E1810" i="1"/>
  <c r="C1811" i="1"/>
  <c r="D1811" i="1"/>
  <c r="E1811" i="1"/>
  <c r="C1812" i="1"/>
  <c r="D1812" i="1"/>
  <c r="E1812" i="1"/>
  <c r="C1813" i="1"/>
  <c r="D1813" i="1"/>
  <c r="E1813" i="1"/>
  <c r="C1814" i="1"/>
  <c r="D1814" i="1"/>
  <c r="E1814" i="1"/>
  <c r="C1815" i="1"/>
  <c r="D1815" i="1"/>
  <c r="E1815" i="1"/>
  <c r="C1816" i="1"/>
  <c r="D1816" i="1"/>
  <c r="E1816" i="1"/>
  <c r="C1817" i="1"/>
  <c r="D1817" i="1"/>
  <c r="E1817" i="1"/>
  <c r="C1818" i="1"/>
  <c r="D1818" i="1"/>
  <c r="E1818" i="1"/>
  <c r="C1819" i="1"/>
  <c r="D1819" i="1"/>
  <c r="E1819" i="1"/>
  <c r="C1820" i="1"/>
  <c r="D1820" i="1"/>
  <c r="E1820" i="1"/>
  <c r="C1821" i="1"/>
  <c r="D1821" i="1"/>
  <c r="E1821" i="1"/>
  <c r="C1822" i="1"/>
  <c r="D1822" i="1"/>
  <c r="E1822" i="1"/>
  <c r="C1823" i="1"/>
  <c r="D1823" i="1"/>
  <c r="E1823" i="1"/>
  <c r="C1824" i="1"/>
  <c r="D1824" i="1"/>
  <c r="E1824" i="1"/>
  <c r="C1825" i="1"/>
  <c r="D1825" i="1"/>
  <c r="E1825" i="1"/>
  <c r="C1826" i="1"/>
  <c r="D1826" i="1"/>
  <c r="E1826" i="1"/>
  <c r="C1827" i="1"/>
  <c r="D1827" i="1"/>
  <c r="E1827" i="1"/>
  <c r="C1828" i="1"/>
  <c r="D1828" i="1"/>
  <c r="E1828" i="1"/>
  <c r="C1829" i="1"/>
  <c r="D1829" i="1"/>
  <c r="E1829" i="1"/>
  <c r="C1830" i="1"/>
  <c r="D1830" i="1"/>
  <c r="E1830" i="1"/>
  <c r="C1831" i="1"/>
  <c r="D1831" i="1"/>
  <c r="E1831" i="1"/>
  <c r="C1832" i="1"/>
  <c r="D1832" i="1"/>
  <c r="E1832" i="1"/>
  <c r="C1833" i="1"/>
  <c r="D1833" i="1"/>
  <c r="E1833" i="1"/>
  <c r="C1834" i="1"/>
  <c r="D1834" i="1"/>
  <c r="E1834" i="1"/>
  <c r="C1835" i="1"/>
  <c r="D1835" i="1"/>
  <c r="E1835" i="1"/>
  <c r="C1836" i="1"/>
  <c r="D1836" i="1"/>
  <c r="E1836" i="1"/>
  <c r="C1837" i="1"/>
  <c r="D1837" i="1"/>
  <c r="E1837" i="1"/>
  <c r="C1838" i="1"/>
  <c r="D1838" i="1"/>
  <c r="E1838" i="1"/>
  <c r="C1839" i="1"/>
  <c r="D1839" i="1"/>
  <c r="E1839" i="1"/>
  <c r="C1840" i="1"/>
  <c r="D1840" i="1"/>
  <c r="E1840" i="1"/>
  <c r="C1841" i="1"/>
  <c r="D1841" i="1"/>
  <c r="E1841" i="1"/>
  <c r="C1842" i="1"/>
  <c r="D1842" i="1"/>
  <c r="E1842" i="1"/>
  <c r="C1843" i="1"/>
  <c r="D1843" i="1"/>
  <c r="E1843" i="1"/>
  <c r="C1844" i="1"/>
  <c r="D1844" i="1"/>
  <c r="E1844" i="1"/>
  <c r="C1845" i="1"/>
  <c r="D1845" i="1"/>
  <c r="E1845" i="1"/>
  <c r="C1846" i="1"/>
  <c r="D1846" i="1"/>
  <c r="E1846" i="1"/>
  <c r="C1847" i="1"/>
  <c r="D1847" i="1"/>
  <c r="E1847" i="1"/>
  <c r="C1848" i="1"/>
  <c r="D1848" i="1"/>
  <c r="E1848" i="1"/>
  <c r="C1849" i="1"/>
  <c r="D1849" i="1"/>
  <c r="E1849" i="1"/>
  <c r="C1850" i="1"/>
  <c r="D1850" i="1"/>
  <c r="E1850" i="1"/>
  <c r="C1851" i="1"/>
  <c r="D1851" i="1"/>
  <c r="E1851" i="1"/>
  <c r="C1852" i="1"/>
  <c r="D1852" i="1"/>
  <c r="E1852" i="1"/>
  <c r="C1853" i="1"/>
  <c r="D1853" i="1"/>
  <c r="E1853" i="1"/>
  <c r="C1854" i="1"/>
  <c r="D1854" i="1"/>
  <c r="E1854" i="1"/>
  <c r="C1855" i="1"/>
  <c r="D1855" i="1"/>
  <c r="E1855" i="1"/>
  <c r="C1856" i="1"/>
  <c r="D1856" i="1"/>
  <c r="E1856" i="1"/>
  <c r="C1857" i="1"/>
  <c r="D1857" i="1"/>
  <c r="E1857" i="1"/>
  <c r="C1858" i="1"/>
  <c r="D1858" i="1"/>
  <c r="E1858" i="1"/>
  <c r="C1859" i="1"/>
  <c r="D1859" i="1"/>
  <c r="E1859" i="1"/>
  <c r="C1860" i="1"/>
  <c r="D1860" i="1"/>
  <c r="E1860" i="1"/>
  <c r="C1861" i="1"/>
  <c r="D1861" i="1"/>
  <c r="E1861" i="1"/>
  <c r="C1862" i="1"/>
  <c r="D1862" i="1"/>
  <c r="E1862" i="1"/>
  <c r="C1863" i="1"/>
  <c r="D1863" i="1"/>
  <c r="E1863" i="1"/>
  <c r="C1864" i="1"/>
  <c r="D1864" i="1"/>
  <c r="E1864" i="1"/>
  <c r="C1865" i="1"/>
  <c r="D1865" i="1"/>
  <c r="E1865" i="1"/>
  <c r="C1866" i="1"/>
  <c r="D1866" i="1"/>
  <c r="E1866" i="1"/>
  <c r="C1867" i="1"/>
  <c r="D1867" i="1"/>
  <c r="E1867" i="1"/>
  <c r="C1868" i="1"/>
  <c r="D1868" i="1"/>
  <c r="E1868" i="1"/>
  <c r="C1869" i="1"/>
  <c r="D1869" i="1"/>
  <c r="E1869" i="1"/>
  <c r="C1870" i="1"/>
  <c r="D1870" i="1"/>
  <c r="E1870" i="1"/>
  <c r="C1871" i="1"/>
  <c r="D1871" i="1"/>
  <c r="E1871" i="1"/>
  <c r="C1872" i="1"/>
  <c r="D1872" i="1"/>
  <c r="E1872" i="1"/>
  <c r="C1873" i="1"/>
  <c r="D1873" i="1"/>
  <c r="E1873" i="1"/>
  <c r="C1874" i="1"/>
  <c r="D1874" i="1"/>
  <c r="E1874" i="1"/>
  <c r="C1875" i="1"/>
  <c r="D1875" i="1"/>
  <c r="E1875" i="1"/>
  <c r="C1876" i="1"/>
  <c r="D1876" i="1"/>
  <c r="E1876" i="1"/>
  <c r="C1877" i="1"/>
  <c r="D1877" i="1"/>
  <c r="E1877" i="1"/>
  <c r="C1878" i="1"/>
  <c r="D1878" i="1"/>
  <c r="E1878" i="1"/>
  <c r="C1879" i="1"/>
  <c r="D1879" i="1"/>
  <c r="E1879" i="1"/>
  <c r="C1880" i="1"/>
  <c r="D1880" i="1"/>
  <c r="E1880" i="1"/>
  <c r="C1881" i="1"/>
  <c r="D1881" i="1"/>
  <c r="E1881" i="1"/>
  <c r="C1882" i="1"/>
  <c r="D1882" i="1"/>
  <c r="E1882" i="1"/>
  <c r="C1883" i="1"/>
  <c r="D1883" i="1"/>
  <c r="E1883" i="1"/>
  <c r="C1884" i="1"/>
  <c r="D1884" i="1"/>
  <c r="E1884" i="1"/>
  <c r="C1885" i="1"/>
  <c r="D1885" i="1"/>
  <c r="E1885" i="1"/>
  <c r="C1886" i="1"/>
  <c r="D1886" i="1"/>
  <c r="E1886" i="1"/>
  <c r="C1887" i="1"/>
  <c r="D1887" i="1"/>
  <c r="E1887" i="1"/>
  <c r="C1888" i="1"/>
  <c r="D1888" i="1"/>
  <c r="E1888" i="1"/>
  <c r="C1889" i="1"/>
  <c r="D1889" i="1"/>
  <c r="E1889" i="1"/>
  <c r="C1890" i="1"/>
  <c r="D1890" i="1"/>
  <c r="E1890" i="1"/>
  <c r="C1891" i="1"/>
  <c r="D1891" i="1"/>
  <c r="E1891" i="1"/>
  <c r="C1892" i="1"/>
  <c r="D1892" i="1"/>
  <c r="E1892" i="1"/>
  <c r="C1893" i="1"/>
  <c r="D1893" i="1"/>
  <c r="E1893" i="1"/>
  <c r="C1894" i="1"/>
  <c r="D1894" i="1"/>
  <c r="E1894" i="1"/>
  <c r="C1895" i="1"/>
  <c r="D1895" i="1"/>
  <c r="E1895" i="1"/>
  <c r="C1896" i="1"/>
  <c r="D1896" i="1"/>
  <c r="E1896" i="1"/>
  <c r="C1897" i="1"/>
  <c r="D1897" i="1"/>
  <c r="E1897" i="1"/>
  <c r="C1898" i="1"/>
  <c r="D1898" i="1"/>
  <c r="E1898" i="1"/>
  <c r="C1899" i="1"/>
  <c r="D1899" i="1"/>
  <c r="E1899" i="1"/>
  <c r="C1900" i="1"/>
  <c r="D1900" i="1"/>
  <c r="E1900" i="1"/>
  <c r="C1901" i="1"/>
  <c r="D1901" i="1"/>
  <c r="E1901" i="1"/>
  <c r="C1902" i="1"/>
  <c r="D1902" i="1"/>
  <c r="E1902" i="1"/>
  <c r="C1903" i="1"/>
  <c r="D1903" i="1"/>
  <c r="E1903" i="1"/>
  <c r="C1904" i="1"/>
  <c r="D1904" i="1"/>
  <c r="E1904" i="1"/>
  <c r="C1905" i="1"/>
  <c r="D1905" i="1"/>
  <c r="E1905" i="1"/>
  <c r="C1906" i="1"/>
  <c r="D1906" i="1"/>
  <c r="E1906" i="1"/>
  <c r="C1907" i="1"/>
  <c r="D1907" i="1"/>
  <c r="E1907" i="1"/>
  <c r="C1908" i="1"/>
  <c r="D1908" i="1"/>
  <c r="E1908" i="1"/>
  <c r="C1909" i="1"/>
  <c r="D1909" i="1"/>
  <c r="E1909" i="1"/>
  <c r="C1910" i="1"/>
  <c r="D1910" i="1"/>
  <c r="E1910" i="1"/>
  <c r="C1911" i="1"/>
  <c r="D1911" i="1"/>
  <c r="E1911" i="1"/>
  <c r="C1912" i="1"/>
  <c r="D1912" i="1"/>
  <c r="E1912" i="1"/>
  <c r="C1913" i="1"/>
  <c r="D1913" i="1"/>
  <c r="E1913" i="1"/>
  <c r="C1914" i="1"/>
  <c r="D1914" i="1"/>
  <c r="E1914" i="1"/>
  <c r="C1915" i="1"/>
  <c r="D1915" i="1"/>
  <c r="E1915" i="1"/>
  <c r="C1916" i="1"/>
  <c r="D1916" i="1"/>
  <c r="E1916" i="1"/>
  <c r="C1917" i="1"/>
  <c r="D1917" i="1"/>
  <c r="E1917" i="1"/>
  <c r="C1918" i="1"/>
  <c r="D1918" i="1"/>
  <c r="E1918" i="1"/>
  <c r="C1919" i="1"/>
  <c r="D1919" i="1"/>
  <c r="E1919" i="1"/>
  <c r="C1920" i="1"/>
  <c r="D1920" i="1"/>
  <c r="E1920" i="1"/>
  <c r="C1921" i="1"/>
  <c r="D1921" i="1"/>
  <c r="E1921" i="1"/>
  <c r="C1922" i="1"/>
  <c r="D1922" i="1"/>
  <c r="E1922" i="1"/>
  <c r="C1923" i="1"/>
  <c r="D1923" i="1"/>
  <c r="E1923" i="1"/>
  <c r="C1924" i="1"/>
  <c r="D1924" i="1"/>
  <c r="E1924" i="1"/>
  <c r="C1925" i="1"/>
  <c r="D1925" i="1"/>
  <c r="E1925" i="1"/>
  <c r="C1926" i="1"/>
  <c r="D1926" i="1"/>
  <c r="E1926" i="1"/>
  <c r="C1927" i="1"/>
  <c r="D1927" i="1"/>
  <c r="E1927" i="1"/>
  <c r="C1928" i="1"/>
  <c r="D1928" i="1"/>
  <c r="E1928" i="1"/>
  <c r="C1929" i="1"/>
  <c r="D1929" i="1"/>
  <c r="E1929" i="1"/>
  <c r="C1930" i="1"/>
  <c r="D1930" i="1"/>
  <c r="E1930" i="1"/>
  <c r="C1931" i="1"/>
  <c r="D1931" i="1"/>
  <c r="E1931" i="1"/>
  <c r="C1932" i="1"/>
  <c r="D1932" i="1"/>
  <c r="E1932" i="1"/>
  <c r="C1933" i="1"/>
  <c r="D1933" i="1"/>
  <c r="E1933" i="1"/>
  <c r="C1934" i="1"/>
  <c r="D1934" i="1"/>
  <c r="E1934" i="1"/>
  <c r="C1935" i="1"/>
  <c r="D1935" i="1"/>
  <c r="E1935" i="1"/>
  <c r="C1936" i="1"/>
  <c r="D1936" i="1"/>
  <c r="E1936" i="1"/>
  <c r="C1937" i="1"/>
  <c r="D1937" i="1"/>
  <c r="E1937" i="1"/>
  <c r="C1938" i="1"/>
  <c r="D1938" i="1"/>
  <c r="E1938" i="1"/>
  <c r="C1939" i="1"/>
  <c r="D1939" i="1"/>
  <c r="E1939" i="1"/>
  <c r="C1940" i="1"/>
  <c r="D1940" i="1"/>
  <c r="E1940" i="1"/>
  <c r="C1941" i="1"/>
  <c r="D1941" i="1"/>
  <c r="E1941" i="1"/>
  <c r="C1942" i="1"/>
  <c r="D1942" i="1"/>
  <c r="E1942" i="1"/>
  <c r="C1943" i="1"/>
  <c r="D1943" i="1"/>
  <c r="E1943" i="1"/>
  <c r="C1944" i="1"/>
  <c r="D1944" i="1"/>
  <c r="E1944" i="1"/>
  <c r="C1945" i="1"/>
  <c r="D1945" i="1"/>
  <c r="E1945" i="1"/>
  <c r="C1946" i="1"/>
  <c r="D1946" i="1"/>
  <c r="E1946" i="1"/>
  <c r="C1947" i="1"/>
  <c r="D1947" i="1"/>
  <c r="E1947" i="1"/>
  <c r="C1948" i="1"/>
  <c r="D1948" i="1"/>
  <c r="E1948" i="1"/>
  <c r="C1949" i="1"/>
  <c r="D1949" i="1"/>
  <c r="E1949" i="1"/>
  <c r="C1950" i="1"/>
  <c r="D1950" i="1"/>
  <c r="E1950" i="1"/>
  <c r="C1951" i="1"/>
  <c r="D1951" i="1"/>
  <c r="E1951" i="1"/>
  <c r="C1952" i="1"/>
  <c r="D1952" i="1"/>
  <c r="E1952" i="1"/>
  <c r="C1953" i="1"/>
  <c r="D1953" i="1"/>
  <c r="E1953" i="1"/>
  <c r="C1954" i="1"/>
  <c r="D1954" i="1"/>
  <c r="E1954" i="1"/>
  <c r="C1955" i="1"/>
  <c r="D1955" i="1"/>
  <c r="E1955" i="1"/>
  <c r="C1956" i="1"/>
  <c r="D1956" i="1"/>
  <c r="E1956" i="1"/>
  <c r="C1957" i="1"/>
  <c r="D1957" i="1"/>
  <c r="E1957" i="1"/>
  <c r="C1958" i="1"/>
  <c r="D1958" i="1"/>
  <c r="E1958" i="1"/>
  <c r="C1959" i="1"/>
  <c r="D1959" i="1"/>
  <c r="E1959" i="1"/>
  <c r="C1960" i="1"/>
  <c r="D1960" i="1"/>
  <c r="E1960" i="1"/>
  <c r="C1961" i="1"/>
  <c r="D1961" i="1"/>
  <c r="E1961" i="1"/>
  <c r="C1962" i="1"/>
  <c r="D1962" i="1"/>
  <c r="E1962" i="1"/>
  <c r="C1963" i="1"/>
  <c r="D1963" i="1"/>
  <c r="E1963" i="1"/>
  <c r="C1964" i="1"/>
  <c r="D1964" i="1"/>
  <c r="E1964" i="1"/>
  <c r="C1965" i="1"/>
  <c r="D1965" i="1"/>
  <c r="E1965" i="1"/>
  <c r="C1966" i="1"/>
  <c r="D1966" i="1"/>
  <c r="E1966" i="1"/>
  <c r="C1967" i="1"/>
  <c r="D1967" i="1"/>
  <c r="E1967" i="1"/>
  <c r="C1968" i="1"/>
  <c r="D1968" i="1"/>
  <c r="E1968" i="1"/>
  <c r="C1969" i="1"/>
  <c r="D1969" i="1"/>
  <c r="E1969" i="1"/>
  <c r="C1970" i="1"/>
  <c r="D1970" i="1"/>
  <c r="E1970" i="1"/>
  <c r="C1971" i="1"/>
  <c r="D1971" i="1"/>
  <c r="E1971" i="1"/>
  <c r="C1972" i="1"/>
  <c r="D1972" i="1"/>
  <c r="E1972" i="1"/>
  <c r="C1973" i="1"/>
  <c r="D1973" i="1"/>
  <c r="E1973" i="1"/>
  <c r="C1974" i="1"/>
  <c r="D1974" i="1"/>
  <c r="E1974" i="1"/>
  <c r="C1975" i="1"/>
  <c r="D1975" i="1"/>
  <c r="E1975" i="1"/>
  <c r="C1976" i="1"/>
  <c r="D1976" i="1"/>
  <c r="E1976" i="1"/>
  <c r="C1977" i="1"/>
  <c r="D1977" i="1"/>
  <c r="E1977" i="1"/>
  <c r="C1978" i="1"/>
  <c r="D1978" i="1"/>
  <c r="E1978" i="1"/>
  <c r="C1979" i="1"/>
  <c r="D1979" i="1"/>
  <c r="E1979" i="1"/>
  <c r="C1980" i="1"/>
  <c r="D1980" i="1"/>
  <c r="E1980" i="1"/>
  <c r="C1981" i="1"/>
  <c r="D1981" i="1"/>
  <c r="E1981" i="1"/>
  <c r="C1982" i="1"/>
  <c r="D1982" i="1"/>
  <c r="E1982" i="1"/>
  <c r="C1983" i="1"/>
  <c r="D1983" i="1"/>
  <c r="E1983" i="1"/>
  <c r="C1984" i="1"/>
  <c r="D1984" i="1"/>
  <c r="E1984" i="1"/>
  <c r="C1985" i="1"/>
  <c r="D1985" i="1"/>
  <c r="E1985" i="1"/>
  <c r="C1986" i="1"/>
  <c r="D1986" i="1"/>
  <c r="E1986" i="1"/>
  <c r="C1987" i="1"/>
  <c r="D1987" i="1"/>
  <c r="E1987" i="1"/>
  <c r="C1988" i="1"/>
  <c r="D1988" i="1"/>
  <c r="E1988" i="1"/>
  <c r="C1989" i="1"/>
  <c r="D1989" i="1"/>
  <c r="E1989" i="1"/>
  <c r="C1990" i="1"/>
  <c r="D1990" i="1"/>
  <c r="E1990" i="1"/>
  <c r="C1991" i="1"/>
  <c r="D1991" i="1"/>
  <c r="E1991" i="1"/>
  <c r="C1992" i="1"/>
  <c r="D1992" i="1"/>
  <c r="E1992" i="1"/>
  <c r="C1993" i="1"/>
  <c r="D1993" i="1"/>
  <c r="E1993" i="1"/>
  <c r="C1994" i="1"/>
  <c r="D1994" i="1"/>
  <c r="E1994" i="1"/>
  <c r="C1995" i="1"/>
  <c r="D1995" i="1"/>
  <c r="E1995" i="1"/>
  <c r="C1996" i="1"/>
  <c r="D1996" i="1"/>
  <c r="E1996" i="1"/>
  <c r="C1997" i="1"/>
  <c r="D1997" i="1"/>
  <c r="E1997" i="1"/>
  <c r="C1998" i="1"/>
  <c r="D1998" i="1"/>
  <c r="E1998" i="1"/>
  <c r="C1999" i="1"/>
  <c r="D1999" i="1"/>
  <c r="E1999" i="1"/>
  <c r="C2000" i="1"/>
  <c r="D2000" i="1"/>
  <c r="E2000" i="1"/>
  <c r="C2001" i="1"/>
  <c r="D2001" i="1"/>
  <c r="E2001" i="1"/>
  <c r="C2002" i="1"/>
  <c r="D2002" i="1"/>
  <c r="E2002" i="1"/>
  <c r="C2003" i="1"/>
  <c r="D2003" i="1"/>
  <c r="E2003" i="1"/>
  <c r="C2004" i="1"/>
  <c r="D2004" i="1"/>
  <c r="E2004" i="1"/>
  <c r="C2005" i="1"/>
  <c r="D2005" i="1"/>
  <c r="E2005" i="1"/>
  <c r="C2006" i="1"/>
  <c r="D2006" i="1"/>
  <c r="E2006" i="1"/>
  <c r="C2007" i="1"/>
  <c r="D2007" i="1"/>
  <c r="E2007" i="1"/>
  <c r="C2008" i="1"/>
  <c r="D2008" i="1"/>
  <c r="E2008" i="1"/>
  <c r="C2009" i="1"/>
  <c r="D2009" i="1"/>
  <c r="E2009" i="1"/>
  <c r="C2010" i="1"/>
  <c r="D2010" i="1"/>
  <c r="E2010" i="1"/>
  <c r="C2011" i="1"/>
  <c r="D2011" i="1"/>
  <c r="E2011" i="1"/>
  <c r="C2012" i="1"/>
  <c r="D2012" i="1"/>
  <c r="E2012" i="1"/>
  <c r="C2013" i="1"/>
  <c r="D2013" i="1"/>
  <c r="E2013" i="1"/>
  <c r="C2014" i="1"/>
  <c r="D2014" i="1"/>
  <c r="E2014" i="1"/>
  <c r="C2015" i="1"/>
  <c r="D2015" i="1"/>
  <c r="E2015" i="1"/>
  <c r="C2016" i="1"/>
  <c r="D2016" i="1"/>
  <c r="E2016" i="1"/>
  <c r="C2017" i="1"/>
  <c r="D2017" i="1"/>
  <c r="E2017" i="1"/>
  <c r="C2018" i="1"/>
  <c r="D2018" i="1"/>
  <c r="E2018" i="1"/>
  <c r="C2019" i="1"/>
  <c r="D2019" i="1"/>
  <c r="E2019" i="1"/>
  <c r="C2020" i="1"/>
  <c r="D2020" i="1"/>
  <c r="E2020" i="1"/>
  <c r="C2021" i="1"/>
  <c r="D2021" i="1"/>
  <c r="E2021" i="1"/>
  <c r="C2022" i="1"/>
  <c r="D2022" i="1"/>
  <c r="E2022" i="1"/>
  <c r="C2023" i="1"/>
  <c r="D2023" i="1"/>
  <c r="E2023" i="1"/>
  <c r="C2024" i="1"/>
  <c r="D2024" i="1"/>
  <c r="E2024" i="1"/>
  <c r="C2025" i="1"/>
  <c r="D2025" i="1"/>
  <c r="E2025" i="1"/>
  <c r="C2026" i="1"/>
  <c r="D2026" i="1"/>
  <c r="E2026" i="1"/>
  <c r="C2027" i="1"/>
  <c r="D2027" i="1"/>
  <c r="E2027" i="1"/>
  <c r="C2028" i="1"/>
  <c r="D2028" i="1"/>
  <c r="E2028" i="1"/>
  <c r="C2029" i="1"/>
  <c r="D2029" i="1"/>
  <c r="E2029" i="1"/>
  <c r="C2030" i="1"/>
  <c r="D2030" i="1"/>
  <c r="E2030" i="1"/>
  <c r="C2031" i="1"/>
  <c r="D2031" i="1"/>
  <c r="E2031" i="1"/>
  <c r="C2032" i="1"/>
  <c r="D2032" i="1"/>
  <c r="E2032" i="1"/>
  <c r="C2033" i="1"/>
  <c r="D2033" i="1"/>
  <c r="E2033" i="1"/>
  <c r="C2034" i="1"/>
  <c r="D2034" i="1"/>
  <c r="E2034" i="1"/>
  <c r="C2035" i="1"/>
  <c r="D2035" i="1"/>
  <c r="E2035" i="1"/>
  <c r="C2036" i="1"/>
  <c r="D2036" i="1"/>
  <c r="E2036" i="1"/>
  <c r="C2037" i="1"/>
  <c r="D2037" i="1"/>
  <c r="E2037" i="1"/>
  <c r="C2038" i="1"/>
  <c r="D2038" i="1"/>
  <c r="E2038" i="1"/>
  <c r="C2039" i="1"/>
  <c r="D2039" i="1"/>
  <c r="E2039" i="1"/>
  <c r="C2040" i="1"/>
  <c r="D2040" i="1"/>
  <c r="E2040" i="1"/>
  <c r="C2041" i="1"/>
  <c r="D2041" i="1"/>
  <c r="E2041" i="1"/>
  <c r="C2042" i="1"/>
  <c r="D2042" i="1"/>
  <c r="E2042" i="1"/>
  <c r="C2043" i="1"/>
  <c r="D2043" i="1"/>
  <c r="E2043" i="1"/>
  <c r="C2044" i="1"/>
  <c r="D2044" i="1"/>
  <c r="E2044" i="1"/>
  <c r="C2045" i="1"/>
  <c r="D2045" i="1"/>
  <c r="E2045" i="1"/>
  <c r="C2046" i="1"/>
  <c r="D2046" i="1"/>
  <c r="E2046" i="1"/>
  <c r="C2047" i="1"/>
  <c r="D2047" i="1"/>
  <c r="E2047" i="1"/>
  <c r="C2048" i="1"/>
  <c r="D2048" i="1"/>
  <c r="E2048" i="1"/>
  <c r="C2049" i="1"/>
  <c r="D2049" i="1"/>
  <c r="E2049" i="1"/>
  <c r="C2050" i="1"/>
  <c r="D2050" i="1"/>
  <c r="E2050" i="1"/>
  <c r="C2051" i="1"/>
  <c r="D2051" i="1"/>
  <c r="E2051" i="1"/>
  <c r="C2052" i="1"/>
  <c r="D2052" i="1"/>
  <c r="E2052" i="1"/>
  <c r="C2053" i="1"/>
  <c r="D2053" i="1"/>
  <c r="E2053" i="1"/>
  <c r="C2054" i="1"/>
  <c r="D2054" i="1"/>
  <c r="E2054" i="1"/>
  <c r="C2055" i="1"/>
  <c r="D2055" i="1"/>
  <c r="E2055" i="1"/>
  <c r="C2056" i="1"/>
  <c r="D2056" i="1"/>
  <c r="E2056" i="1"/>
  <c r="C2057" i="1"/>
  <c r="D2057" i="1"/>
  <c r="E2057" i="1"/>
  <c r="C2058" i="1"/>
  <c r="D2058" i="1"/>
  <c r="E2058" i="1"/>
  <c r="C2059" i="1"/>
  <c r="D2059" i="1"/>
  <c r="E2059" i="1"/>
  <c r="C2060" i="1"/>
  <c r="D2060" i="1"/>
  <c r="E2060" i="1"/>
  <c r="C2061" i="1"/>
  <c r="D2061" i="1"/>
  <c r="E2061" i="1"/>
  <c r="C2062" i="1"/>
  <c r="D2062" i="1"/>
  <c r="E2062" i="1"/>
  <c r="C2063" i="1"/>
  <c r="D2063" i="1"/>
  <c r="E2063" i="1"/>
  <c r="C2064" i="1"/>
  <c r="D2064" i="1"/>
  <c r="E2064" i="1"/>
  <c r="C2065" i="1"/>
  <c r="D2065" i="1"/>
  <c r="E2065" i="1"/>
  <c r="C2066" i="1"/>
  <c r="D2066" i="1"/>
  <c r="E2066" i="1"/>
  <c r="C2067" i="1"/>
  <c r="D2067" i="1"/>
  <c r="E2067" i="1"/>
  <c r="C2068" i="1"/>
  <c r="D2068" i="1"/>
  <c r="E2068" i="1"/>
  <c r="C2069" i="1"/>
  <c r="D2069" i="1"/>
  <c r="E2069" i="1"/>
  <c r="C2070" i="1"/>
  <c r="D2070" i="1"/>
  <c r="E2070" i="1"/>
  <c r="C2071" i="1"/>
  <c r="D2071" i="1"/>
  <c r="E2071" i="1"/>
  <c r="C2072" i="1"/>
  <c r="D2072" i="1"/>
  <c r="E2072" i="1"/>
  <c r="C2073" i="1"/>
  <c r="D2073" i="1"/>
  <c r="E2073" i="1"/>
  <c r="C2074" i="1"/>
  <c r="D2074" i="1"/>
  <c r="E2074" i="1"/>
  <c r="C2075" i="1"/>
  <c r="D2075" i="1"/>
  <c r="E2075" i="1"/>
  <c r="C2076" i="1"/>
  <c r="D2076" i="1"/>
  <c r="E2076" i="1"/>
  <c r="C2077" i="1"/>
  <c r="D2077" i="1"/>
  <c r="E2077" i="1"/>
  <c r="C2078" i="1"/>
  <c r="D2078" i="1"/>
  <c r="E2078" i="1"/>
  <c r="C2079" i="1"/>
  <c r="D2079" i="1"/>
  <c r="E2079" i="1"/>
  <c r="C2080" i="1"/>
  <c r="D2080" i="1"/>
  <c r="E2080" i="1"/>
  <c r="C2081" i="1"/>
  <c r="D2081" i="1"/>
  <c r="E2081" i="1"/>
  <c r="C2082" i="1"/>
  <c r="D2082" i="1"/>
  <c r="E2082" i="1"/>
  <c r="C2083" i="1"/>
  <c r="D2083" i="1"/>
  <c r="E2083" i="1"/>
  <c r="C2084" i="1"/>
  <c r="D2084" i="1"/>
  <c r="E2084" i="1"/>
  <c r="C2085" i="1"/>
  <c r="D2085" i="1"/>
  <c r="E2085" i="1"/>
  <c r="C2086" i="1"/>
  <c r="D2086" i="1"/>
  <c r="E2086" i="1"/>
  <c r="C2087" i="1"/>
  <c r="D2087" i="1"/>
  <c r="E2087" i="1"/>
  <c r="C2088" i="1"/>
  <c r="D2088" i="1"/>
  <c r="E2088" i="1"/>
  <c r="C2089" i="1"/>
  <c r="D2089" i="1"/>
  <c r="E2089" i="1"/>
  <c r="C2090" i="1"/>
  <c r="D2090" i="1"/>
  <c r="E2090" i="1"/>
  <c r="C2091" i="1"/>
  <c r="D2091" i="1"/>
  <c r="E2091" i="1"/>
  <c r="C2092" i="1"/>
  <c r="D2092" i="1"/>
  <c r="E2092" i="1"/>
  <c r="C2093" i="1"/>
  <c r="D2093" i="1"/>
  <c r="E2093" i="1"/>
  <c r="C2094" i="1"/>
  <c r="D2094" i="1"/>
  <c r="E2094" i="1"/>
  <c r="C2095" i="1"/>
  <c r="D2095" i="1"/>
  <c r="E2095" i="1"/>
  <c r="C2096" i="1"/>
  <c r="D2096" i="1"/>
  <c r="E2096" i="1"/>
  <c r="C2097" i="1"/>
  <c r="D2097" i="1"/>
  <c r="E2097" i="1"/>
  <c r="C2098" i="1"/>
  <c r="D2098" i="1"/>
  <c r="E2098" i="1"/>
  <c r="C2099" i="1"/>
  <c r="D2099" i="1"/>
  <c r="E2099" i="1"/>
  <c r="C2100" i="1"/>
  <c r="D2100" i="1"/>
  <c r="E2100" i="1"/>
  <c r="C2101" i="1"/>
  <c r="D2101" i="1"/>
  <c r="E2101" i="1"/>
  <c r="C2102" i="1"/>
  <c r="D2102" i="1"/>
  <c r="E2102" i="1"/>
  <c r="C2103" i="1"/>
  <c r="D2103" i="1"/>
  <c r="E2103" i="1"/>
  <c r="C2104" i="1"/>
  <c r="D2104" i="1"/>
  <c r="E2104" i="1"/>
  <c r="C2105" i="1"/>
  <c r="D2105" i="1"/>
  <c r="E2105" i="1"/>
  <c r="C2106" i="1"/>
  <c r="D2106" i="1"/>
  <c r="E2106" i="1"/>
  <c r="C2107" i="1"/>
  <c r="D2107" i="1"/>
  <c r="E2107" i="1"/>
  <c r="C2108" i="1"/>
  <c r="D2108" i="1"/>
  <c r="E2108" i="1"/>
  <c r="C2109" i="1"/>
  <c r="D2109" i="1"/>
  <c r="E2109" i="1"/>
  <c r="C2110" i="1"/>
  <c r="D2110" i="1"/>
  <c r="E2110" i="1"/>
  <c r="C2111" i="1"/>
  <c r="D2111" i="1"/>
  <c r="E2111" i="1"/>
  <c r="C2112" i="1"/>
  <c r="D2112" i="1"/>
  <c r="E2112" i="1"/>
  <c r="C2113" i="1"/>
  <c r="D2113" i="1"/>
  <c r="E2113" i="1"/>
  <c r="C2114" i="1"/>
  <c r="D2114" i="1"/>
  <c r="E2114" i="1"/>
  <c r="C2115" i="1"/>
  <c r="D2115" i="1"/>
  <c r="E2115" i="1"/>
  <c r="C2116" i="1"/>
  <c r="D2116" i="1"/>
  <c r="E2116" i="1"/>
  <c r="C2117" i="1"/>
  <c r="D2117" i="1"/>
  <c r="E2117" i="1"/>
  <c r="C2118" i="1"/>
  <c r="D2118" i="1"/>
  <c r="E2118" i="1"/>
  <c r="C2119" i="1"/>
  <c r="D2119" i="1"/>
  <c r="E2119" i="1"/>
  <c r="C2120" i="1"/>
  <c r="D2120" i="1"/>
  <c r="E2120" i="1"/>
  <c r="C2121" i="1"/>
  <c r="D2121" i="1"/>
  <c r="E2121" i="1"/>
  <c r="C2122" i="1"/>
  <c r="D2122" i="1"/>
  <c r="E2122" i="1"/>
  <c r="C2123" i="1"/>
  <c r="D2123" i="1"/>
  <c r="E2123" i="1"/>
  <c r="C2124" i="1"/>
  <c r="D2124" i="1"/>
  <c r="E2124" i="1"/>
  <c r="C2125" i="1"/>
  <c r="D2125" i="1"/>
  <c r="E2125" i="1"/>
  <c r="C2126" i="1"/>
  <c r="D2126" i="1"/>
  <c r="E2126" i="1"/>
  <c r="C2127" i="1"/>
  <c r="D2127" i="1"/>
  <c r="E2127" i="1"/>
  <c r="C2128" i="1"/>
  <c r="D2128" i="1"/>
  <c r="E2128" i="1"/>
  <c r="C2129" i="1"/>
  <c r="D2129" i="1"/>
  <c r="E2129" i="1"/>
  <c r="C2130" i="1"/>
  <c r="D2130" i="1"/>
  <c r="E2130" i="1"/>
  <c r="C2131" i="1"/>
  <c r="D2131" i="1"/>
  <c r="E2131" i="1"/>
  <c r="C2132" i="1"/>
  <c r="D2132" i="1"/>
  <c r="E2132" i="1"/>
  <c r="C2133" i="1"/>
  <c r="D2133" i="1"/>
  <c r="E2133" i="1"/>
  <c r="C2134" i="1"/>
  <c r="D2134" i="1"/>
  <c r="E2134" i="1"/>
  <c r="C2135" i="1"/>
  <c r="D2135" i="1"/>
  <c r="E2135" i="1"/>
  <c r="C2136" i="1"/>
  <c r="D2136" i="1"/>
  <c r="E2136" i="1"/>
  <c r="C2137" i="1"/>
  <c r="D2137" i="1"/>
  <c r="E2137" i="1"/>
  <c r="C2138" i="1"/>
  <c r="D2138" i="1"/>
  <c r="E2138" i="1"/>
  <c r="C2139" i="1"/>
  <c r="D2139" i="1"/>
  <c r="E2139" i="1"/>
  <c r="C2140" i="1"/>
  <c r="D2140" i="1"/>
  <c r="E2140" i="1"/>
  <c r="C2141" i="1"/>
  <c r="D2141" i="1"/>
  <c r="E2141" i="1"/>
  <c r="C2142" i="1"/>
  <c r="D2142" i="1"/>
  <c r="E2142" i="1"/>
  <c r="C2143" i="1"/>
  <c r="D2143" i="1"/>
  <c r="E2143" i="1"/>
  <c r="C2144" i="1"/>
  <c r="D2144" i="1"/>
  <c r="E2144" i="1"/>
  <c r="C2145" i="1"/>
  <c r="D2145" i="1"/>
  <c r="E2145" i="1"/>
  <c r="C2146" i="1"/>
  <c r="D2146" i="1"/>
  <c r="E2146" i="1"/>
  <c r="C2147" i="1"/>
  <c r="D2147" i="1"/>
  <c r="E2147" i="1"/>
  <c r="C2148" i="1"/>
  <c r="D2148" i="1"/>
  <c r="E2148" i="1"/>
  <c r="C2149" i="1"/>
  <c r="D2149" i="1"/>
  <c r="E2149" i="1"/>
  <c r="C2150" i="1"/>
  <c r="D2150" i="1"/>
  <c r="E2150" i="1"/>
  <c r="C2151" i="1"/>
  <c r="D2151" i="1"/>
  <c r="E2151" i="1"/>
  <c r="C2152" i="1"/>
  <c r="D2152" i="1"/>
  <c r="E2152" i="1"/>
  <c r="C2153" i="1"/>
  <c r="D2153" i="1"/>
  <c r="E2153" i="1"/>
  <c r="C2154" i="1"/>
  <c r="D2154" i="1"/>
  <c r="E2154" i="1"/>
  <c r="C2155" i="1"/>
  <c r="D2155" i="1"/>
  <c r="E2155" i="1"/>
  <c r="C2156" i="1"/>
  <c r="D2156" i="1"/>
  <c r="E2156" i="1"/>
  <c r="C2157" i="1"/>
  <c r="D2157" i="1"/>
  <c r="E2157" i="1"/>
  <c r="C2158" i="1"/>
  <c r="D2158" i="1"/>
  <c r="E2158" i="1"/>
  <c r="C2159" i="1"/>
  <c r="D2159" i="1"/>
  <c r="E2159" i="1"/>
  <c r="C2160" i="1"/>
  <c r="D2160" i="1"/>
  <c r="E2160" i="1"/>
  <c r="C2161" i="1"/>
  <c r="D2161" i="1"/>
  <c r="E2161" i="1"/>
  <c r="C2162" i="1"/>
  <c r="D2162" i="1"/>
  <c r="E2162" i="1"/>
  <c r="C2163" i="1"/>
  <c r="D2163" i="1"/>
  <c r="E2163" i="1"/>
  <c r="C2164" i="1"/>
  <c r="D2164" i="1"/>
  <c r="E2164" i="1"/>
  <c r="C2165" i="1"/>
  <c r="D2165" i="1"/>
  <c r="E2165" i="1"/>
  <c r="C2166" i="1"/>
  <c r="D2166" i="1"/>
  <c r="E2166" i="1"/>
  <c r="C2167" i="1"/>
  <c r="D2167" i="1"/>
  <c r="E2167" i="1"/>
  <c r="C2168" i="1"/>
  <c r="D2168" i="1"/>
  <c r="E2168" i="1"/>
  <c r="C2169" i="1"/>
  <c r="D2169" i="1"/>
  <c r="E2169" i="1"/>
  <c r="C2170" i="1"/>
  <c r="D2170" i="1"/>
  <c r="E2170" i="1"/>
  <c r="C2171" i="1"/>
  <c r="D2171" i="1"/>
  <c r="E2171" i="1"/>
  <c r="C2172" i="1"/>
  <c r="D2172" i="1"/>
  <c r="E2172" i="1"/>
  <c r="C2173" i="1"/>
  <c r="D2173" i="1"/>
  <c r="E2173" i="1"/>
  <c r="C2174" i="1"/>
  <c r="D2174" i="1"/>
  <c r="E2174" i="1"/>
  <c r="C2175" i="1"/>
  <c r="D2175" i="1"/>
  <c r="E2175" i="1"/>
  <c r="C2176" i="1"/>
  <c r="D2176" i="1"/>
  <c r="E2176" i="1"/>
  <c r="C2177" i="1"/>
  <c r="D2177" i="1"/>
  <c r="E2177" i="1"/>
  <c r="C2178" i="1"/>
  <c r="D2178" i="1"/>
  <c r="E2178" i="1"/>
  <c r="C2179" i="1"/>
  <c r="D2179" i="1"/>
  <c r="E2179" i="1"/>
  <c r="C2180" i="1"/>
  <c r="D2180" i="1"/>
  <c r="E2180" i="1"/>
  <c r="C2181" i="1"/>
  <c r="D2181" i="1"/>
  <c r="E2181" i="1"/>
  <c r="C2182" i="1"/>
  <c r="D2182" i="1"/>
  <c r="E2182" i="1"/>
  <c r="C2183" i="1"/>
  <c r="D2183" i="1"/>
  <c r="E2183" i="1"/>
  <c r="C2184" i="1"/>
  <c r="D2184" i="1"/>
  <c r="E2184" i="1"/>
  <c r="C2185" i="1"/>
  <c r="D2185" i="1"/>
  <c r="E2185" i="1"/>
  <c r="C2186" i="1"/>
  <c r="D2186" i="1"/>
  <c r="E2186" i="1"/>
  <c r="C2187" i="1"/>
  <c r="D2187" i="1"/>
  <c r="E2187" i="1"/>
  <c r="C2188" i="1"/>
  <c r="D2188" i="1"/>
  <c r="E2188" i="1"/>
  <c r="C2189" i="1"/>
  <c r="D2189" i="1"/>
  <c r="E2189" i="1"/>
  <c r="C2190" i="1"/>
  <c r="D2190" i="1"/>
  <c r="E2190" i="1"/>
  <c r="C2191" i="1"/>
  <c r="D2191" i="1"/>
  <c r="E2191" i="1"/>
  <c r="C2192" i="1"/>
  <c r="D2192" i="1"/>
  <c r="E2192" i="1"/>
  <c r="C2193" i="1"/>
  <c r="D2193" i="1"/>
  <c r="E2193" i="1"/>
  <c r="C2194" i="1"/>
  <c r="D2194" i="1"/>
  <c r="E2194" i="1"/>
  <c r="C2195" i="1"/>
  <c r="D2195" i="1"/>
  <c r="E2195" i="1"/>
  <c r="C2196" i="1"/>
  <c r="D2196" i="1"/>
  <c r="E2196" i="1"/>
  <c r="C2197" i="1"/>
  <c r="D2197" i="1"/>
  <c r="E2197" i="1"/>
  <c r="C2198" i="1"/>
  <c r="D2198" i="1"/>
  <c r="E2198" i="1"/>
  <c r="C2199" i="1"/>
  <c r="D2199" i="1"/>
  <c r="E2199" i="1"/>
  <c r="C2200" i="1"/>
  <c r="D2200" i="1"/>
  <c r="E2200" i="1"/>
  <c r="C2201" i="1"/>
  <c r="D2201" i="1"/>
  <c r="E2201" i="1"/>
  <c r="C2202" i="1"/>
  <c r="D2202" i="1"/>
  <c r="E2202" i="1"/>
  <c r="C2203" i="1"/>
  <c r="D2203" i="1"/>
  <c r="E2203" i="1"/>
  <c r="C2204" i="1"/>
  <c r="D2204" i="1"/>
  <c r="E2204" i="1"/>
  <c r="C2205" i="1"/>
  <c r="D2205" i="1"/>
  <c r="E2205" i="1"/>
  <c r="C2206" i="1"/>
  <c r="D2206" i="1"/>
  <c r="E2206" i="1"/>
  <c r="C2207" i="1"/>
  <c r="D2207" i="1"/>
  <c r="E2207" i="1"/>
  <c r="C2208" i="1"/>
  <c r="D2208" i="1"/>
  <c r="E2208" i="1"/>
  <c r="C2209" i="1"/>
  <c r="D2209" i="1"/>
  <c r="E2209" i="1"/>
  <c r="C2210" i="1"/>
  <c r="D2210" i="1"/>
  <c r="E2210" i="1"/>
  <c r="C2211" i="1"/>
  <c r="D2211" i="1"/>
  <c r="E2211" i="1"/>
  <c r="C2212" i="1"/>
  <c r="D2212" i="1"/>
  <c r="E2212" i="1"/>
  <c r="C2213" i="1"/>
  <c r="D2213" i="1"/>
  <c r="E2213" i="1"/>
  <c r="C2214" i="1"/>
  <c r="D2214" i="1"/>
  <c r="E2214" i="1"/>
  <c r="C2215" i="1"/>
  <c r="D2215" i="1"/>
  <c r="E2215" i="1"/>
  <c r="C2216" i="1"/>
  <c r="D2216" i="1"/>
  <c r="E2216" i="1"/>
  <c r="C2217" i="1"/>
  <c r="D2217" i="1"/>
  <c r="E2217" i="1"/>
  <c r="C2218" i="1"/>
  <c r="D2218" i="1"/>
  <c r="E2218" i="1"/>
  <c r="C2219" i="1"/>
  <c r="D2219" i="1"/>
  <c r="E2219" i="1"/>
  <c r="C2220" i="1"/>
  <c r="D2220" i="1"/>
  <c r="E2220" i="1"/>
  <c r="C2221" i="1"/>
  <c r="D2221" i="1"/>
  <c r="E2221" i="1"/>
  <c r="C2222" i="1"/>
  <c r="D2222" i="1"/>
  <c r="E2222" i="1"/>
  <c r="C2223" i="1"/>
  <c r="D2223" i="1"/>
  <c r="E2223" i="1"/>
  <c r="C2224" i="1"/>
  <c r="D2224" i="1"/>
  <c r="E2224" i="1"/>
  <c r="C2225" i="1"/>
  <c r="D2225" i="1"/>
  <c r="E2225" i="1"/>
  <c r="C2226" i="1"/>
  <c r="D2226" i="1"/>
  <c r="E2226" i="1"/>
  <c r="C2227" i="1"/>
  <c r="D2227" i="1"/>
  <c r="E2227" i="1"/>
  <c r="C2228" i="1"/>
  <c r="D2228" i="1"/>
  <c r="E2228" i="1"/>
  <c r="C2229" i="1"/>
  <c r="D2229" i="1"/>
  <c r="E2229" i="1"/>
  <c r="C2230" i="1"/>
  <c r="D2230" i="1"/>
  <c r="E2230" i="1"/>
  <c r="C2231" i="1"/>
  <c r="D2231" i="1"/>
  <c r="E2231" i="1"/>
  <c r="C2232" i="1"/>
  <c r="D2232" i="1"/>
  <c r="E2232" i="1"/>
  <c r="C2233" i="1"/>
  <c r="D2233" i="1"/>
  <c r="E2233" i="1"/>
  <c r="C2234" i="1"/>
  <c r="D2234" i="1"/>
  <c r="E2234" i="1"/>
  <c r="C2235" i="1"/>
  <c r="D2235" i="1"/>
  <c r="E2235" i="1"/>
  <c r="C2236" i="1"/>
  <c r="D2236" i="1"/>
  <c r="E2236" i="1"/>
  <c r="C2237" i="1"/>
  <c r="D2237" i="1"/>
  <c r="E2237" i="1"/>
  <c r="C2238" i="1"/>
  <c r="D2238" i="1"/>
  <c r="E2238" i="1"/>
  <c r="C2239" i="1"/>
  <c r="D2239" i="1"/>
  <c r="E2239" i="1"/>
  <c r="C2240" i="1"/>
  <c r="D2240" i="1"/>
  <c r="E2240" i="1"/>
  <c r="C2241" i="1"/>
  <c r="D2241" i="1"/>
  <c r="E2241" i="1"/>
  <c r="C2242" i="1"/>
  <c r="D2242" i="1"/>
  <c r="E2242" i="1"/>
  <c r="C2243" i="1"/>
  <c r="D2243" i="1"/>
  <c r="E2243" i="1"/>
  <c r="C2244" i="1"/>
  <c r="D2244" i="1"/>
  <c r="E2244" i="1"/>
  <c r="C2245" i="1"/>
  <c r="D2245" i="1"/>
  <c r="E2245" i="1"/>
  <c r="C2246" i="1"/>
  <c r="D2246" i="1"/>
  <c r="E2246" i="1"/>
  <c r="C2247" i="1"/>
  <c r="D2247" i="1"/>
  <c r="E2247" i="1"/>
  <c r="C2248" i="1"/>
  <c r="D2248" i="1"/>
  <c r="E2248" i="1"/>
  <c r="C2249" i="1"/>
  <c r="D2249" i="1"/>
  <c r="E2249" i="1"/>
  <c r="C2250" i="1"/>
  <c r="D2250" i="1"/>
  <c r="E2250" i="1"/>
  <c r="C2251" i="1"/>
  <c r="D2251" i="1"/>
  <c r="E2251" i="1"/>
  <c r="C2252" i="1"/>
  <c r="D2252" i="1"/>
  <c r="E2252" i="1"/>
  <c r="C2253" i="1"/>
  <c r="D2253" i="1"/>
  <c r="E2253" i="1"/>
  <c r="C2254" i="1"/>
  <c r="D2254" i="1"/>
  <c r="E2254" i="1"/>
  <c r="C2255" i="1"/>
  <c r="D2255" i="1"/>
  <c r="E2255" i="1"/>
  <c r="C2256" i="1"/>
  <c r="D2256" i="1"/>
  <c r="E2256" i="1"/>
  <c r="C2257" i="1"/>
  <c r="D2257" i="1"/>
  <c r="E2257" i="1"/>
  <c r="C2258" i="1"/>
  <c r="D2258" i="1"/>
  <c r="E2258" i="1"/>
  <c r="C2259" i="1"/>
  <c r="D2259" i="1"/>
  <c r="E2259" i="1"/>
  <c r="C2260" i="1"/>
  <c r="D2260" i="1"/>
  <c r="E2260" i="1"/>
  <c r="C2261" i="1"/>
  <c r="D2261" i="1"/>
  <c r="E2261" i="1"/>
  <c r="C2262" i="1"/>
  <c r="D2262" i="1"/>
  <c r="E2262" i="1"/>
  <c r="C2263" i="1"/>
  <c r="D2263" i="1"/>
  <c r="E2263" i="1"/>
  <c r="C2264" i="1"/>
  <c r="D2264" i="1"/>
  <c r="E2264" i="1"/>
  <c r="C2265" i="1"/>
  <c r="D2265" i="1"/>
  <c r="E2265" i="1"/>
  <c r="C2266" i="1"/>
  <c r="D2266" i="1"/>
  <c r="E2266" i="1"/>
  <c r="C2267" i="1"/>
  <c r="D2267" i="1"/>
  <c r="E2267" i="1"/>
  <c r="C2268" i="1"/>
  <c r="D2268" i="1"/>
  <c r="E2268" i="1"/>
  <c r="C2269" i="1"/>
  <c r="D2269" i="1"/>
  <c r="E2269" i="1"/>
  <c r="C2270" i="1"/>
  <c r="D2270" i="1"/>
  <c r="E2270" i="1"/>
  <c r="C2271" i="1"/>
  <c r="D2271" i="1"/>
  <c r="E2271" i="1"/>
  <c r="C2272" i="1"/>
  <c r="D2272" i="1"/>
  <c r="E2272" i="1"/>
  <c r="C2273" i="1"/>
  <c r="D2273" i="1"/>
  <c r="E2273" i="1"/>
  <c r="C2274" i="1"/>
  <c r="D2274" i="1"/>
  <c r="E2274" i="1"/>
  <c r="C2275" i="1"/>
  <c r="D2275" i="1"/>
  <c r="E2275" i="1"/>
  <c r="C2276" i="1"/>
  <c r="D2276" i="1"/>
  <c r="E2276" i="1"/>
  <c r="C2277" i="1"/>
  <c r="D2277" i="1"/>
  <c r="E2277" i="1"/>
  <c r="C2278" i="1"/>
  <c r="D2278" i="1"/>
  <c r="E2278" i="1"/>
  <c r="C2279" i="1"/>
  <c r="D2279" i="1"/>
  <c r="E2279" i="1"/>
  <c r="C2280" i="1"/>
  <c r="D2280" i="1"/>
  <c r="E2280" i="1"/>
  <c r="C2281" i="1"/>
  <c r="D2281" i="1"/>
  <c r="E2281" i="1"/>
  <c r="C2282" i="1"/>
  <c r="D2282" i="1"/>
  <c r="E2282" i="1"/>
  <c r="C2283" i="1"/>
  <c r="D2283" i="1"/>
  <c r="E2283" i="1"/>
  <c r="C2284" i="1"/>
  <c r="D2284" i="1"/>
  <c r="E2284" i="1"/>
  <c r="C2285" i="1"/>
  <c r="D2285" i="1"/>
  <c r="E2285" i="1"/>
  <c r="C2286" i="1"/>
  <c r="D2286" i="1"/>
  <c r="E2286" i="1"/>
  <c r="C2287" i="1"/>
  <c r="D2287" i="1"/>
  <c r="E2287" i="1"/>
  <c r="C2288" i="1"/>
  <c r="D2288" i="1"/>
  <c r="E2288" i="1"/>
  <c r="C2289" i="1"/>
  <c r="D2289" i="1"/>
  <c r="E2289" i="1"/>
  <c r="C2290" i="1"/>
  <c r="D2290" i="1"/>
  <c r="E2290" i="1"/>
  <c r="C2291" i="1"/>
  <c r="D2291" i="1"/>
  <c r="E2291" i="1"/>
  <c r="C2292" i="1"/>
  <c r="D2292" i="1"/>
  <c r="E2292" i="1"/>
  <c r="C2293" i="1"/>
  <c r="D2293" i="1"/>
  <c r="E2293" i="1"/>
  <c r="C2294" i="1"/>
  <c r="D2294" i="1"/>
  <c r="E2294" i="1"/>
  <c r="C2295" i="1"/>
  <c r="D2295" i="1"/>
  <c r="E2295" i="1"/>
  <c r="C2296" i="1"/>
  <c r="D2296" i="1"/>
  <c r="E2296" i="1"/>
  <c r="C2297" i="1"/>
  <c r="D2297" i="1"/>
  <c r="E2297" i="1"/>
  <c r="C2298" i="1"/>
  <c r="D2298" i="1"/>
  <c r="E2298" i="1"/>
  <c r="C2299" i="1"/>
  <c r="D2299" i="1"/>
  <c r="E2299" i="1"/>
  <c r="C2300" i="1"/>
  <c r="D2300" i="1"/>
  <c r="E2300" i="1"/>
  <c r="C2301" i="1"/>
  <c r="D2301" i="1"/>
  <c r="E2301" i="1"/>
  <c r="C2302" i="1"/>
  <c r="D2302" i="1"/>
  <c r="E2302" i="1"/>
  <c r="C2303" i="1"/>
  <c r="D2303" i="1"/>
  <c r="E2303" i="1"/>
  <c r="C2304" i="1"/>
  <c r="D2304" i="1"/>
  <c r="E2304" i="1"/>
  <c r="C2305" i="1"/>
  <c r="D2305" i="1"/>
  <c r="E2305" i="1"/>
  <c r="C2306" i="1"/>
  <c r="D2306" i="1"/>
  <c r="E2306" i="1"/>
  <c r="C2307" i="1"/>
  <c r="D2307" i="1"/>
  <c r="E2307" i="1"/>
  <c r="C2308" i="1"/>
  <c r="D2308" i="1"/>
  <c r="E2308" i="1"/>
  <c r="C2309" i="1"/>
  <c r="D2309" i="1"/>
  <c r="E2309" i="1"/>
  <c r="C2310" i="1"/>
  <c r="D2310" i="1"/>
  <c r="E2310" i="1"/>
  <c r="C2311" i="1"/>
  <c r="D2311" i="1"/>
  <c r="E2311" i="1"/>
  <c r="C2312" i="1"/>
  <c r="D2312" i="1"/>
  <c r="E2312" i="1"/>
  <c r="C2313" i="1"/>
  <c r="D2313" i="1"/>
  <c r="E2313" i="1"/>
  <c r="C2314" i="1"/>
  <c r="D2314" i="1"/>
  <c r="E2314" i="1"/>
  <c r="C2315" i="1"/>
  <c r="D2315" i="1"/>
  <c r="E2315" i="1"/>
  <c r="C2316" i="1"/>
  <c r="D2316" i="1"/>
  <c r="E2316" i="1"/>
  <c r="C2317" i="1"/>
  <c r="D2317" i="1"/>
  <c r="E2317" i="1"/>
  <c r="C2318" i="1"/>
  <c r="D2318" i="1"/>
  <c r="E2318" i="1"/>
  <c r="C2319" i="1"/>
  <c r="D2319" i="1"/>
  <c r="E2319" i="1"/>
  <c r="C2320" i="1"/>
  <c r="D2320" i="1"/>
  <c r="E2320" i="1"/>
  <c r="C2321" i="1"/>
  <c r="D2321" i="1"/>
  <c r="E2321" i="1"/>
  <c r="C2322" i="1"/>
  <c r="D2322" i="1"/>
  <c r="E2322" i="1"/>
  <c r="C2323" i="1"/>
  <c r="D2323" i="1"/>
  <c r="E2323" i="1"/>
  <c r="C2324" i="1"/>
  <c r="D2324" i="1"/>
  <c r="E2324" i="1"/>
  <c r="C2325" i="1"/>
  <c r="D2325" i="1"/>
  <c r="E2325" i="1"/>
  <c r="C2326" i="1"/>
  <c r="D2326" i="1"/>
  <c r="E2326" i="1"/>
  <c r="C2327" i="1"/>
  <c r="D2327" i="1"/>
  <c r="E2327" i="1"/>
  <c r="C2328" i="1"/>
  <c r="D2328" i="1"/>
  <c r="E2328" i="1"/>
  <c r="C2329" i="1"/>
  <c r="D2329" i="1"/>
  <c r="E2329" i="1"/>
  <c r="C2330" i="1"/>
  <c r="D2330" i="1"/>
  <c r="E2330" i="1"/>
  <c r="C2331" i="1"/>
  <c r="D2331" i="1"/>
  <c r="E2331" i="1"/>
  <c r="C2332" i="1"/>
  <c r="D2332" i="1"/>
  <c r="E2332" i="1"/>
  <c r="C2333" i="1"/>
  <c r="D2333" i="1"/>
  <c r="E2333" i="1"/>
  <c r="C2334" i="1"/>
  <c r="D2334" i="1"/>
  <c r="E2334" i="1"/>
  <c r="C2335" i="1"/>
  <c r="D2335" i="1"/>
  <c r="E2335" i="1"/>
  <c r="C2336" i="1"/>
  <c r="D2336" i="1"/>
  <c r="E2336" i="1"/>
  <c r="C2337" i="1"/>
  <c r="D2337" i="1"/>
  <c r="E2337" i="1"/>
  <c r="C2338" i="1"/>
  <c r="D2338" i="1"/>
  <c r="E2338" i="1"/>
  <c r="C2339" i="1"/>
  <c r="D2339" i="1"/>
  <c r="E2339" i="1"/>
  <c r="C2340" i="1"/>
  <c r="D2340" i="1"/>
  <c r="E2340" i="1"/>
  <c r="C2341" i="1"/>
  <c r="D2341" i="1"/>
  <c r="E2341" i="1"/>
  <c r="C2342" i="1"/>
  <c r="D2342" i="1"/>
  <c r="E2342" i="1"/>
  <c r="C2343" i="1"/>
  <c r="D2343" i="1"/>
  <c r="E2343" i="1"/>
  <c r="C2344" i="1"/>
  <c r="D2344" i="1"/>
  <c r="E2344" i="1"/>
  <c r="C2345" i="1"/>
  <c r="D2345" i="1"/>
  <c r="E2345" i="1"/>
  <c r="C2346" i="1"/>
  <c r="D2346" i="1"/>
  <c r="E2346" i="1"/>
  <c r="C2347" i="1"/>
  <c r="D2347" i="1"/>
  <c r="E2347" i="1"/>
  <c r="C2348" i="1"/>
  <c r="D2348" i="1"/>
  <c r="E2348" i="1"/>
  <c r="C2349" i="1"/>
  <c r="D2349" i="1"/>
  <c r="E2349" i="1"/>
  <c r="C2350" i="1"/>
  <c r="D2350" i="1"/>
  <c r="E2350" i="1"/>
  <c r="C2351" i="1"/>
  <c r="D2351" i="1"/>
  <c r="E2351" i="1"/>
  <c r="C2352" i="1"/>
  <c r="D2352" i="1"/>
  <c r="E2352" i="1"/>
  <c r="C2353" i="1"/>
  <c r="D2353" i="1"/>
  <c r="E2353" i="1"/>
  <c r="C2354" i="1"/>
  <c r="D2354" i="1"/>
  <c r="E2354" i="1"/>
  <c r="C2355" i="1"/>
  <c r="D2355" i="1"/>
  <c r="E2355" i="1"/>
  <c r="C2356" i="1"/>
  <c r="D2356" i="1"/>
  <c r="E2356" i="1"/>
  <c r="C2357" i="1"/>
  <c r="D2357" i="1"/>
  <c r="E2357" i="1"/>
  <c r="C2358" i="1"/>
  <c r="D2358" i="1"/>
  <c r="E2358" i="1"/>
  <c r="C2359" i="1"/>
  <c r="D2359" i="1"/>
  <c r="E2359" i="1"/>
  <c r="C2360" i="1"/>
  <c r="D2360" i="1"/>
  <c r="E2360" i="1"/>
  <c r="C2361" i="1"/>
  <c r="D2361" i="1"/>
  <c r="E2361" i="1"/>
  <c r="C2362" i="1"/>
  <c r="D2362" i="1"/>
  <c r="E2362" i="1"/>
  <c r="C2363" i="1"/>
  <c r="D2363" i="1"/>
  <c r="E2363" i="1"/>
  <c r="C2364" i="1"/>
  <c r="D2364" i="1"/>
  <c r="E2364" i="1"/>
  <c r="C2365" i="1"/>
  <c r="D2365" i="1"/>
  <c r="E2365" i="1"/>
  <c r="C2366" i="1"/>
  <c r="D2366" i="1"/>
  <c r="E2366" i="1"/>
  <c r="C2367" i="1"/>
  <c r="D2367" i="1"/>
  <c r="E2367" i="1"/>
  <c r="C2368" i="1"/>
  <c r="D2368" i="1"/>
  <c r="E2368" i="1"/>
  <c r="C2369" i="1"/>
  <c r="D2369" i="1"/>
  <c r="E2369" i="1"/>
  <c r="C2370" i="1"/>
  <c r="D2370" i="1"/>
  <c r="E2370" i="1"/>
  <c r="C2371" i="1"/>
  <c r="D2371" i="1"/>
  <c r="E2371" i="1"/>
  <c r="C2372" i="1"/>
  <c r="D2372" i="1"/>
  <c r="E2372" i="1"/>
  <c r="C2373" i="1"/>
  <c r="D2373" i="1"/>
  <c r="E2373" i="1"/>
  <c r="C2374" i="1"/>
  <c r="D2374" i="1"/>
  <c r="E2374" i="1"/>
  <c r="C2375" i="1"/>
  <c r="D2375" i="1"/>
  <c r="E2375" i="1"/>
  <c r="C2376" i="1"/>
  <c r="D2376" i="1"/>
  <c r="E2376" i="1"/>
  <c r="C2377" i="1"/>
  <c r="D2377" i="1"/>
  <c r="E2377" i="1"/>
  <c r="C2378" i="1"/>
  <c r="D2378" i="1"/>
  <c r="E2378" i="1"/>
  <c r="C2379" i="1"/>
  <c r="D2379" i="1"/>
  <c r="E2379" i="1"/>
  <c r="C2380" i="1"/>
  <c r="D2380" i="1"/>
  <c r="E2380" i="1"/>
  <c r="C2381" i="1"/>
  <c r="D2381" i="1"/>
  <c r="E2381" i="1"/>
  <c r="C2382" i="1"/>
  <c r="D2382" i="1"/>
  <c r="E2382" i="1"/>
  <c r="C2383" i="1"/>
  <c r="D2383" i="1"/>
  <c r="E2383" i="1"/>
  <c r="C2384" i="1"/>
  <c r="D2384" i="1"/>
  <c r="E2384" i="1"/>
  <c r="C2385" i="1"/>
  <c r="D2385" i="1"/>
  <c r="E2385" i="1"/>
  <c r="C2386" i="1"/>
  <c r="D2386" i="1"/>
  <c r="E2386" i="1"/>
  <c r="C2387" i="1"/>
  <c r="D2387" i="1"/>
  <c r="E2387" i="1"/>
  <c r="C2388" i="1"/>
  <c r="D2388" i="1"/>
  <c r="E2388" i="1"/>
  <c r="C2389" i="1"/>
  <c r="D2389" i="1"/>
  <c r="E2389" i="1"/>
  <c r="C2390" i="1"/>
  <c r="D2390" i="1"/>
  <c r="E2390" i="1"/>
  <c r="C2391" i="1"/>
  <c r="D2391" i="1"/>
  <c r="E2391" i="1"/>
  <c r="C2392" i="1"/>
  <c r="D2392" i="1"/>
  <c r="E2392" i="1"/>
  <c r="C2393" i="1"/>
  <c r="D2393" i="1"/>
  <c r="E2393" i="1"/>
  <c r="C2394" i="1"/>
  <c r="D2394" i="1"/>
  <c r="E2394" i="1"/>
  <c r="C2395" i="1"/>
  <c r="D2395" i="1"/>
  <c r="E2395" i="1"/>
  <c r="C2396" i="1"/>
  <c r="D2396" i="1"/>
  <c r="E2396" i="1"/>
  <c r="C2397" i="1"/>
  <c r="D2397" i="1"/>
  <c r="E2397" i="1"/>
  <c r="C2398" i="1"/>
  <c r="D2398" i="1"/>
  <c r="E2398" i="1"/>
  <c r="C2399" i="1"/>
  <c r="D2399" i="1"/>
  <c r="E2399" i="1"/>
  <c r="C2400" i="1"/>
  <c r="D2400" i="1"/>
  <c r="E2400" i="1"/>
  <c r="C2401" i="1"/>
  <c r="D2401" i="1"/>
  <c r="E2401" i="1"/>
  <c r="C2402" i="1"/>
  <c r="D2402" i="1"/>
  <c r="E2402" i="1"/>
  <c r="C2403" i="1"/>
  <c r="D2403" i="1"/>
  <c r="E2403" i="1"/>
  <c r="C2404" i="1"/>
  <c r="D2404" i="1"/>
  <c r="E2404" i="1"/>
  <c r="C2405" i="1"/>
  <c r="D2405" i="1"/>
  <c r="E2405" i="1"/>
  <c r="C2406" i="1"/>
  <c r="D2406" i="1"/>
  <c r="E2406" i="1"/>
  <c r="C2407" i="1"/>
  <c r="D2407" i="1"/>
  <c r="E2407" i="1"/>
  <c r="C2408" i="1"/>
  <c r="D2408" i="1"/>
  <c r="E2408" i="1"/>
  <c r="C2409" i="1"/>
  <c r="D2409" i="1"/>
  <c r="E2409" i="1"/>
  <c r="C2410" i="1"/>
  <c r="D2410" i="1"/>
  <c r="E2410" i="1"/>
  <c r="C2411" i="1"/>
  <c r="D2411" i="1"/>
  <c r="E2411" i="1"/>
  <c r="C2412" i="1"/>
  <c r="D2412" i="1"/>
  <c r="E2412" i="1"/>
  <c r="C2413" i="1"/>
  <c r="D2413" i="1"/>
  <c r="E2413" i="1"/>
  <c r="C2414" i="1"/>
  <c r="D2414" i="1"/>
  <c r="E2414" i="1"/>
  <c r="C2415" i="1"/>
  <c r="D2415" i="1"/>
  <c r="E2415" i="1"/>
  <c r="C2416" i="1"/>
  <c r="D2416" i="1"/>
  <c r="E2416" i="1"/>
  <c r="C2417" i="1"/>
  <c r="D2417" i="1"/>
  <c r="E2417" i="1"/>
  <c r="C2418" i="1"/>
  <c r="D2418" i="1"/>
  <c r="E2418" i="1"/>
  <c r="C2419" i="1"/>
  <c r="D2419" i="1"/>
  <c r="E2419" i="1"/>
  <c r="C2420" i="1"/>
  <c r="D2420" i="1"/>
  <c r="E2420" i="1"/>
  <c r="C2421" i="1"/>
  <c r="D2421" i="1"/>
  <c r="E2421" i="1"/>
  <c r="C2422" i="1"/>
  <c r="D2422" i="1"/>
  <c r="E2422" i="1"/>
  <c r="C2423" i="1"/>
  <c r="D2423" i="1"/>
  <c r="E2423" i="1"/>
  <c r="C2424" i="1"/>
  <c r="D2424" i="1"/>
  <c r="E2424" i="1"/>
  <c r="C2425" i="1"/>
  <c r="D2425" i="1"/>
  <c r="E2425" i="1"/>
  <c r="C2426" i="1"/>
  <c r="D2426" i="1"/>
  <c r="E2426" i="1"/>
  <c r="C2427" i="1"/>
  <c r="D2427" i="1"/>
  <c r="E2427" i="1"/>
  <c r="C2428" i="1"/>
  <c r="D2428" i="1"/>
  <c r="E2428" i="1"/>
  <c r="C2429" i="1"/>
  <c r="D2429" i="1"/>
  <c r="E2429" i="1"/>
  <c r="C2430" i="1"/>
  <c r="D2430" i="1"/>
  <c r="E2430" i="1"/>
  <c r="C2431" i="1"/>
  <c r="D2431" i="1"/>
  <c r="E2431" i="1"/>
  <c r="C2432" i="1"/>
  <c r="D2432" i="1"/>
  <c r="E2432" i="1"/>
  <c r="C2433" i="1"/>
  <c r="D2433" i="1"/>
  <c r="E2433" i="1"/>
  <c r="C2434" i="1"/>
  <c r="D2434" i="1"/>
  <c r="E2434" i="1"/>
  <c r="C2435" i="1"/>
  <c r="D2435" i="1"/>
  <c r="E2435" i="1"/>
  <c r="C2436" i="1"/>
  <c r="D2436" i="1"/>
  <c r="E2436" i="1"/>
  <c r="C2437" i="1"/>
  <c r="D2437" i="1"/>
  <c r="E2437" i="1"/>
  <c r="C2438" i="1"/>
  <c r="D2438" i="1"/>
  <c r="E2438" i="1"/>
  <c r="C2439" i="1"/>
  <c r="D2439" i="1"/>
  <c r="E2439" i="1"/>
  <c r="C2440" i="1"/>
  <c r="D2440" i="1"/>
  <c r="E2440" i="1"/>
  <c r="C2441" i="1"/>
  <c r="D2441" i="1"/>
  <c r="E2441" i="1"/>
  <c r="C2442" i="1"/>
  <c r="D2442" i="1"/>
  <c r="E2442" i="1"/>
  <c r="C2443" i="1"/>
  <c r="D2443" i="1"/>
  <c r="E2443" i="1"/>
  <c r="C2444" i="1"/>
  <c r="D2444" i="1"/>
  <c r="E2444" i="1"/>
  <c r="C2445" i="1"/>
  <c r="D2445" i="1"/>
  <c r="E2445" i="1"/>
  <c r="C2446" i="1"/>
  <c r="D2446" i="1"/>
  <c r="E2446" i="1"/>
  <c r="C2447" i="1"/>
  <c r="D2447" i="1"/>
  <c r="E2447" i="1"/>
  <c r="C2448" i="1"/>
  <c r="D2448" i="1"/>
  <c r="E2448" i="1"/>
  <c r="C2449" i="1"/>
  <c r="D2449" i="1"/>
  <c r="E2449" i="1"/>
  <c r="C2450" i="1"/>
  <c r="D2450" i="1"/>
  <c r="E2450" i="1"/>
  <c r="C2451" i="1"/>
  <c r="D2451" i="1"/>
  <c r="E2451" i="1"/>
  <c r="C2452" i="1"/>
  <c r="D2452" i="1"/>
  <c r="E2452" i="1"/>
  <c r="C2453" i="1"/>
  <c r="D2453" i="1"/>
  <c r="E2453" i="1"/>
  <c r="C2454" i="1"/>
  <c r="D2454" i="1"/>
  <c r="E2454" i="1"/>
  <c r="C2455" i="1"/>
  <c r="D2455" i="1"/>
  <c r="E2455" i="1"/>
  <c r="C2456" i="1"/>
  <c r="D2456" i="1"/>
  <c r="E2456" i="1"/>
  <c r="C2457" i="1"/>
  <c r="D2457" i="1"/>
  <c r="E2457" i="1"/>
  <c r="C2458" i="1"/>
  <c r="D2458" i="1"/>
  <c r="E2458" i="1"/>
  <c r="C2459" i="1"/>
  <c r="D2459" i="1"/>
  <c r="E2459" i="1"/>
  <c r="C2460" i="1"/>
  <c r="D2460" i="1"/>
  <c r="E2460" i="1"/>
  <c r="C2461" i="1"/>
  <c r="D2461" i="1"/>
  <c r="E2461" i="1"/>
  <c r="C2462" i="1"/>
  <c r="D2462" i="1"/>
  <c r="E2462" i="1"/>
  <c r="C2463" i="1"/>
  <c r="D2463" i="1"/>
  <c r="E2463" i="1"/>
  <c r="C2464" i="1"/>
  <c r="D2464" i="1"/>
  <c r="E2464" i="1"/>
  <c r="C2465" i="1"/>
  <c r="D2465" i="1"/>
  <c r="E2465" i="1"/>
  <c r="C2466" i="1"/>
  <c r="D2466" i="1"/>
  <c r="E2466" i="1"/>
  <c r="C2467" i="1"/>
  <c r="D2467" i="1"/>
  <c r="E2467" i="1"/>
  <c r="C2468" i="1"/>
  <c r="D2468" i="1"/>
  <c r="E2468" i="1"/>
  <c r="C2469" i="1"/>
  <c r="D2469" i="1"/>
  <c r="E2469" i="1"/>
  <c r="C2470" i="1"/>
  <c r="D2470" i="1"/>
  <c r="E2470" i="1"/>
  <c r="C2471" i="1"/>
  <c r="D2471" i="1"/>
  <c r="E2471" i="1"/>
  <c r="C2472" i="1"/>
  <c r="D2472" i="1"/>
  <c r="E2472" i="1"/>
  <c r="C2473" i="1"/>
  <c r="D2473" i="1"/>
  <c r="E2473" i="1"/>
  <c r="C2474" i="1"/>
  <c r="D2474" i="1"/>
  <c r="E2474" i="1"/>
  <c r="C2475" i="1"/>
  <c r="D2475" i="1"/>
  <c r="E2475" i="1"/>
  <c r="C2476" i="1"/>
  <c r="D2476" i="1"/>
  <c r="E2476" i="1"/>
  <c r="C2477" i="1"/>
  <c r="D2477" i="1"/>
  <c r="E2477" i="1"/>
  <c r="C2478" i="1"/>
  <c r="D2478" i="1"/>
  <c r="E2478" i="1"/>
  <c r="C2479" i="1"/>
  <c r="D2479" i="1"/>
  <c r="E2479" i="1"/>
  <c r="C2480" i="1"/>
  <c r="D2480" i="1"/>
  <c r="E2480" i="1"/>
  <c r="C2481" i="1"/>
  <c r="D2481" i="1"/>
  <c r="E2481" i="1"/>
  <c r="C2482" i="1"/>
  <c r="D2482" i="1"/>
  <c r="E2482" i="1"/>
  <c r="C2483" i="1"/>
  <c r="D2483" i="1"/>
  <c r="E2483" i="1"/>
  <c r="C2484" i="1"/>
  <c r="D2484" i="1"/>
  <c r="E2484" i="1"/>
  <c r="C2485" i="1"/>
  <c r="D2485" i="1"/>
  <c r="E2485" i="1"/>
  <c r="C2486" i="1"/>
  <c r="D2486" i="1"/>
  <c r="E2486" i="1"/>
  <c r="C2487" i="1"/>
  <c r="D2487" i="1"/>
  <c r="E2487" i="1"/>
  <c r="C2488" i="1"/>
  <c r="D2488" i="1"/>
  <c r="E2488" i="1"/>
  <c r="C2489" i="1"/>
  <c r="D2489" i="1"/>
  <c r="E2489" i="1"/>
  <c r="C2490" i="1"/>
  <c r="D2490" i="1"/>
  <c r="E2490" i="1"/>
  <c r="C2491" i="1"/>
  <c r="D2491" i="1"/>
  <c r="E2491" i="1"/>
  <c r="C2492" i="1"/>
  <c r="D2492" i="1"/>
  <c r="E2492" i="1"/>
  <c r="C2493" i="1"/>
  <c r="D2493" i="1"/>
  <c r="E2493" i="1"/>
  <c r="C2494" i="1"/>
  <c r="D2494" i="1"/>
  <c r="E2494" i="1"/>
  <c r="C2495" i="1"/>
  <c r="D2495" i="1"/>
  <c r="E2495" i="1"/>
  <c r="C2496" i="1"/>
  <c r="D2496" i="1"/>
  <c r="E2496" i="1"/>
  <c r="C2497" i="1"/>
  <c r="D2497" i="1"/>
  <c r="E2497" i="1"/>
  <c r="C2498" i="1"/>
  <c r="D2498" i="1"/>
  <c r="E2498" i="1"/>
  <c r="C2499" i="1"/>
  <c r="D2499" i="1"/>
  <c r="E2499" i="1"/>
  <c r="C2500" i="1"/>
  <c r="D2500" i="1"/>
  <c r="E2500" i="1"/>
  <c r="C2501" i="1"/>
  <c r="D2501" i="1"/>
  <c r="E2501" i="1"/>
  <c r="C2502" i="1"/>
  <c r="D2502" i="1"/>
  <c r="E2502" i="1"/>
  <c r="C2503" i="1"/>
  <c r="D2503" i="1"/>
  <c r="E2503" i="1"/>
  <c r="C2504" i="1"/>
  <c r="D2504" i="1"/>
  <c r="E2504" i="1"/>
  <c r="C2505" i="1"/>
  <c r="D2505" i="1"/>
  <c r="E2505" i="1"/>
  <c r="C2506" i="1"/>
  <c r="D2506" i="1"/>
  <c r="E2506" i="1"/>
  <c r="C2507" i="1"/>
  <c r="D2507" i="1"/>
  <c r="E2507" i="1"/>
  <c r="C2508" i="1"/>
  <c r="D2508" i="1"/>
  <c r="E2508" i="1"/>
  <c r="C2509" i="1"/>
  <c r="D2509" i="1"/>
  <c r="E2509" i="1"/>
  <c r="C2510" i="1"/>
  <c r="D2510" i="1"/>
  <c r="E2510" i="1"/>
  <c r="C2511" i="1"/>
  <c r="D2511" i="1"/>
  <c r="E2511" i="1"/>
  <c r="C2512" i="1"/>
  <c r="D2512" i="1"/>
  <c r="E2512" i="1"/>
  <c r="C2513" i="1"/>
  <c r="D2513" i="1"/>
  <c r="E2513" i="1"/>
  <c r="C2514" i="1"/>
  <c r="D2514" i="1"/>
  <c r="E2514" i="1"/>
  <c r="C2515" i="1"/>
  <c r="D2515" i="1"/>
  <c r="E2515" i="1"/>
  <c r="C2516" i="1"/>
  <c r="D2516" i="1"/>
  <c r="E2516" i="1"/>
  <c r="C2517" i="1"/>
  <c r="D2517" i="1"/>
  <c r="E2517" i="1"/>
  <c r="C2518" i="1"/>
  <c r="D2518" i="1"/>
  <c r="E2518" i="1"/>
  <c r="C2519" i="1"/>
  <c r="D2519" i="1"/>
  <c r="E2519" i="1"/>
  <c r="C2520" i="1"/>
  <c r="D2520" i="1"/>
  <c r="E2520" i="1"/>
  <c r="C2521" i="1"/>
  <c r="D2521" i="1"/>
  <c r="E2521" i="1"/>
  <c r="C2522" i="1"/>
  <c r="D2522" i="1"/>
  <c r="E2522" i="1"/>
  <c r="C2523" i="1"/>
  <c r="D2523" i="1"/>
  <c r="E2523" i="1"/>
  <c r="C2524" i="1"/>
  <c r="D2524" i="1"/>
  <c r="E2524" i="1"/>
  <c r="C2525" i="1"/>
  <c r="D2525" i="1"/>
  <c r="E2525" i="1"/>
  <c r="C2526" i="1"/>
  <c r="D2526" i="1"/>
  <c r="E2526" i="1"/>
  <c r="C2527" i="1"/>
  <c r="D2527" i="1"/>
  <c r="E2527" i="1"/>
  <c r="C2528" i="1"/>
  <c r="D2528" i="1"/>
  <c r="E2528" i="1"/>
  <c r="C2529" i="1"/>
  <c r="D2529" i="1"/>
  <c r="E2529" i="1"/>
  <c r="C2530" i="1"/>
  <c r="D2530" i="1"/>
  <c r="E2530" i="1"/>
  <c r="C2531" i="1"/>
  <c r="D2531" i="1"/>
  <c r="E2531" i="1"/>
  <c r="C2532" i="1"/>
  <c r="D2532" i="1"/>
  <c r="E2532" i="1"/>
  <c r="C2533" i="1"/>
  <c r="D2533" i="1"/>
  <c r="E2533" i="1"/>
  <c r="C2534" i="1"/>
  <c r="D2534" i="1"/>
  <c r="E2534" i="1"/>
  <c r="C2535" i="1"/>
  <c r="D2535" i="1"/>
  <c r="E2535" i="1"/>
  <c r="C2536" i="1"/>
  <c r="D2536" i="1"/>
  <c r="E2536" i="1"/>
  <c r="C2537" i="1"/>
  <c r="D2537" i="1"/>
  <c r="E2537" i="1"/>
  <c r="C2538" i="1"/>
  <c r="D2538" i="1"/>
  <c r="E2538" i="1"/>
  <c r="C2539" i="1"/>
  <c r="D2539" i="1"/>
  <c r="E2539" i="1"/>
  <c r="C2540" i="1"/>
  <c r="D2540" i="1"/>
  <c r="E2540" i="1"/>
  <c r="C2541" i="1"/>
  <c r="D2541" i="1"/>
  <c r="E2541" i="1"/>
  <c r="C2542" i="1"/>
  <c r="D2542" i="1"/>
  <c r="E2542" i="1"/>
  <c r="C2543" i="1"/>
  <c r="D2543" i="1"/>
  <c r="E2543" i="1"/>
  <c r="C2544" i="1"/>
  <c r="D2544" i="1"/>
  <c r="E2544" i="1"/>
  <c r="C2545" i="1"/>
  <c r="D2545" i="1"/>
  <c r="E2545" i="1"/>
  <c r="C2546" i="1"/>
  <c r="D2546" i="1"/>
  <c r="E2546" i="1"/>
  <c r="C2547" i="1"/>
  <c r="D2547" i="1"/>
  <c r="E2547" i="1"/>
  <c r="C2548" i="1"/>
  <c r="D2548" i="1"/>
  <c r="E2548" i="1"/>
  <c r="C2549" i="1"/>
  <c r="D2549" i="1"/>
  <c r="E2549" i="1"/>
  <c r="C2550" i="1"/>
  <c r="D2550" i="1"/>
  <c r="E2550" i="1"/>
  <c r="C2551" i="1"/>
  <c r="D2551" i="1"/>
  <c r="E2551" i="1"/>
  <c r="C2552" i="1"/>
  <c r="D2552" i="1"/>
  <c r="E2552" i="1"/>
  <c r="C2553" i="1"/>
  <c r="D2553" i="1"/>
  <c r="E2553" i="1"/>
  <c r="C2554" i="1"/>
  <c r="D2554" i="1"/>
  <c r="E2554" i="1"/>
  <c r="C2555" i="1"/>
  <c r="D2555" i="1"/>
  <c r="E2555" i="1"/>
  <c r="C2556" i="1"/>
  <c r="D2556" i="1"/>
  <c r="E2556" i="1"/>
  <c r="C2557" i="1"/>
  <c r="D2557" i="1"/>
  <c r="E2557" i="1"/>
  <c r="C2558" i="1"/>
  <c r="D2558" i="1"/>
  <c r="E2558" i="1"/>
  <c r="C2559" i="1"/>
  <c r="D2559" i="1"/>
  <c r="E2559" i="1"/>
  <c r="C2560" i="1"/>
  <c r="D2560" i="1"/>
  <c r="E2560" i="1"/>
  <c r="C2561" i="1"/>
  <c r="D2561" i="1"/>
  <c r="E2561" i="1"/>
  <c r="C2562" i="1"/>
  <c r="D2562" i="1"/>
  <c r="E2562" i="1"/>
  <c r="C2563" i="1"/>
  <c r="D2563" i="1"/>
  <c r="E2563" i="1"/>
  <c r="C2564" i="1"/>
  <c r="D2564" i="1"/>
  <c r="E2564" i="1"/>
  <c r="C2565" i="1"/>
  <c r="D2565" i="1"/>
  <c r="E2565" i="1"/>
  <c r="C2566" i="1"/>
  <c r="D2566" i="1"/>
  <c r="E2566" i="1"/>
  <c r="C2567" i="1"/>
  <c r="D2567" i="1"/>
  <c r="E2567" i="1"/>
  <c r="C2568" i="1"/>
  <c r="D2568" i="1"/>
  <c r="E2568" i="1"/>
  <c r="C2569" i="1"/>
  <c r="D2569" i="1"/>
  <c r="E2569" i="1"/>
  <c r="C2570" i="1"/>
  <c r="D2570" i="1"/>
  <c r="E2570" i="1"/>
  <c r="C2571" i="1"/>
  <c r="D2571" i="1"/>
  <c r="E2571" i="1"/>
  <c r="C2572" i="1"/>
  <c r="D2572" i="1"/>
  <c r="E2572" i="1"/>
  <c r="C2573" i="1"/>
  <c r="D2573" i="1"/>
  <c r="E2573" i="1"/>
  <c r="C2574" i="1"/>
  <c r="D2574" i="1"/>
  <c r="E2574" i="1"/>
  <c r="C2575" i="1"/>
  <c r="D2575" i="1"/>
  <c r="E2575" i="1"/>
  <c r="C2576" i="1"/>
  <c r="D2576" i="1"/>
  <c r="E2576" i="1"/>
  <c r="C2577" i="1"/>
  <c r="D2577" i="1"/>
  <c r="E2577" i="1"/>
  <c r="C2578" i="1"/>
  <c r="D2578" i="1"/>
  <c r="E2578" i="1"/>
  <c r="C2579" i="1"/>
  <c r="D2579" i="1"/>
  <c r="E2579" i="1"/>
  <c r="C2580" i="1"/>
  <c r="D2580" i="1"/>
  <c r="E2580" i="1"/>
  <c r="C2581" i="1"/>
  <c r="D2581" i="1"/>
  <c r="E2581" i="1"/>
  <c r="C2582" i="1"/>
  <c r="D2582" i="1"/>
  <c r="E2582" i="1"/>
  <c r="C2583" i="1"/>
  <c r="D2583" i="1"/>
  <c r="E2583" i="1"/>
  <c r="C2584" i="1"/>
  <c r="D2584" i="1"/>
  <c r="E2584" i="1"/>
  <c r="C2585" i="1"/>
  <c r="D2585" i="1"/>
  <c r="E2585" i="1"/>
  <c r="C2586" i="1"/>
  <c r="D2586" i="1"/>
  <c r="E2586" i="1"/>
  <c r="C2587" i="1"/>
  <c r="D2587" i="1"/>
  <c r="E2587" i="1"/>
  <c r="C2588" i="1"/>
  <c r="D2588" i="1"/>
  <c r="E2588" i="1"/>
  <c r="C2589" i="1"/>
  <c r="D2589" i="1"/>
  <c r="E2589" i="1"/>
  <c r="C2590" i="1"/>
  <c r="D2590" i="1"/>
  <c r="E2590" i="1"/>
  <c r="C2591" i="1"/>
  <c r="D2591" i="1"/>
  <c r="E2591" i="1"/>
  <c r="C2592" i="1"/>
  <c r="D2592" i="1"/>
  <c r="E2592" i="1"/>
  <c r="C2593" i="1"/>
  <c r="D2593" i="1"/>
  <c r="E2593" i="1"/>
  <c r="C2594" i="1"/>
  <c r="D2594" i="1"/>
  <c r="E2594" i="1"/>
  <c r="C2595" i="1"/>
  <c r="D2595" i="1"/>
  <c r="E2595" i="1"/>
  <c r="C2596" i="1"/>
  <c r="D2596" i="1"/>
  <c r="E2596" i="1"/>
  <c r="C2597" i="1"/>
  <c r="D2597" i="1"/>
  <c r="E2597" i="1"/>
  <c r="C2598" i="1"/>
  <c r="D2598" i="1"/>
  <c r="E2598" i="1"/>
  <c r="C2599" i="1"/>
  <c r="D2599" i="1"/>
  <c r="E2599" i="1"/>
  <c r="C2600" i="1"/>
  <c r="D2600" i="1"/>
  <c r="E2600" i="1"/>
  <c r="C2601" i="1"/>
  <c r="D2601" i="1"/>
  <c r="E2601" i="1"/>
  <c r="C2602" i="1"/>
  <c r="D2602" i="1"/>
  <c r="E2602" i="1"/>
  <c r="C2603" i="1"/>
  <c r="D2603" i="1"/>
  <c r="E2603" i="1"/>
  <c r="C2604" i="1"/>
  <c r="D2604" i="1"/>
  <c r="E2604" i="1"/>
  <c r="C2605" i="1"/>
  <c r="D2605" i="1"/>
  <c r="E2605" i="1"/>
  <c r="C2606" i="1"/>
  <c r="D2606" i="1"/>
  <c r="E2606" i="1"/>
  <c r="C2607" i="1"/>
  <c r="D2607" i="1"/>
  <c r="E2607" i="1"/>
  <c r="C2608" i="1"/>
  <c r="D2608" i="1"/>
  <c r="E2608" i="1"/>
  <c r="C2609" i="1"/>
  <c r="D2609" i="1"/>
  <c r="E2609" i="1"/>
  <c r="C2610" i="1"/>
  <c r="D2610" i="1"/>
  <c r="E2610" i="1"/>
  <c r="C2611" i="1"/>
  <c r="D2611" i="1"/>
  <c r="E2611" i="1"/>
  <c r="C2612" i="1"/>
  <c r="D2612" i="1"/>
  <c r="E2612" i="1"/>
  <c r="C2613" i="1"/>
  <c r="D2613" i="1"/>
  <c r="E2613" i="1"/>
  <c r="C2614" i="1"/>
  <c r="D2614" i="1"/>
  <c r="E2614" i="1"/>
  <c r="C2615" i="1"/>
  <c r="D2615" i="1"/>
  <c r="E2615" i="1"/>
  <c r="C2616" i="1"/>
  <c r="D2616" i="1"/>
  <c r="E2616" i="1"/>
  <c r="C2617" i="1"/>
  <c r="D2617" i="1"/>
  <c r="E2617" i="1"/>
  <c r="C2618" i="1"/>
  <c r="D2618" i="1"/>
  <c r="E2618" i="1"/>
  <c r="C2619" i="1"/>
  <c r="D2619" i="1"/>
  <c r="E2619" i="1"/>
  <c r="C2620" i="1"/>
  <c r="D2620" i="1"/>
  <c r="E2620" i="1"/>
  <c r="C2621" i="1"/>
  <c r="D2621" i="1"/>
  <c r="E2621" i="1"/>
  <c r="C2622" i="1"/>
  <c r="D2622" i="1"/>
  <c r="E2622" i="1"/>
  <c r="C2623" i="1"/>
  <c r="D2623" i="1"/>
  <c r="E2623" i="1"/>
  <c r="C2624" i="1"/>
  <c r="D2624" i="1"/>
  <c r="E2624" i="1"/>
  <c r="C2625" i="1"/>
  <c r="D2625" i="1"/>
  <c r="E2625" i="1"/>
  <c r="C2626" i="1"/>
  <c r="D2626" i="1"/>
  <c r="E2626" i="1"/>
  <c r="C2627" i="1"/>
  <c r="D2627" i="1"/>
  <c r="E2627" i="1"/>
  <c r="C2628" i="1"/>
  <c r="D2628" i="1"/>
  <c r="E2628" i="1"/>
  <c r="C2629" i="1"/>
  <c r="D2629" i="1"/>
  <c r="E2629" i="1"/>
  <c r="C2630" i="1"/>
  <c r="D2630" i="1"/>
  <c r="E2630" i="1"/>
  <c r="C2631" i="1"/>
  <c r="D2631" i="1"/>
  <c r="E2631" i="1"/>
  <c r="C2632" i="1"/>
  <c r="D2632" i="1"/>
  <c r="E2632" i="1"/>
  <c r="C2633" i="1"/>
  <c r="D2633" i="1"/>
  <c r="E2633" i="1"/>
  <c r="C2634" i="1"/>
  <c r="D2634" i="1"/>
  <c r="E2634" i="1"/>
  <c r="C2635" i="1"/>
  <c r="D2635" i="1"/>
  <c r="E2635" i="1"/>
  <c r="C2636" i="1"/>
  <c r="D2636" i="1"/>
  <c r="E2636" i="1"/>
  <c r="C2637" i="1"/>
  <c r="D2637" i="1"/>
  <c r="E2637" i="1"/>
  <c r="C2638" i="1"/>
  <c r="D2638" i="1"/>
  <c r="E2638" i="1"/>
  <c r="C2639" i="1"/>
  <c r="D2639" i="1"/>
  <c r="E2639" i="1"/>
  <c r="C2640" i="1"/>
  <c r="D2640" i="1"/>
  <c r="E2640" i="1"/>
  <c r="C2641" i="1"/>
  <c r="D2641" i="1"/>
  <c r="E2641" i="1"/>
  <c r="C2642" i="1"/>
  <c r="D2642" i="1"/>
  <c r="E2642" i="1"/>
  <c r="C2643" i="1"/>
  <c r="D2643" i="1"/>
  <c r="E2643" i="1"/>
  <c r="C2644" i="1"/>
  <c r="D2644" i="1"/>
  <c r="E2644" i="1"/>
  <c r="C2645" i="1"/>
  <c r="D2645" i="1"/>
  <c r="E2645" i="1"/>
  <c r="C2646" i="1"/>
  <c r="D2646" i="1"/>
  <c r="E2646" i="1"/>
  <c r="C2647" i="1"/>
  <c r="D2647" i="1"/>
  <c r="E2647" i="1"/>
  <c r="C2648" i="1"/>
  <c r="D2648" i="1"/>
  <c r="E2648" i="1"/>
  <c r="C2649" i="1"/>
  <c r="D2649" i="1"/>
  <c r="E2649" i="1"/>
  <c r="C2650" i="1"/>
  <c r="D2650" i="1"/>
  <c r="E2650" i="1"/>
  <c r="C2651" i="1"/>
  <c r="D2651" i="1"/>
  <c r="E2651" i="1"/>
  <c r="C2652" i="1"/>
  <c r="D2652" i="1"/>
  <c r="E2652" i="1"/>
  <c r="C2653" i="1"/>
  <c r="D2653" i="1"/>
  <c r="E2653" i="1"/>
  <c r="C2654" i="1"/>
  <c r="D2654" i="1"/>
  <c r="E2654" i="1"/>
  <c r="C2655" i="1"/>
  <c r="D2655" i="1"/>
  <c r="E2655" i="1"/>
  <c r="C2656" i="1"/>
  <c r="D2656" i="1"/>
  <c r="E2656" i="1"/>
  <c r="C2657" i="1"/>
  <c r="D2657" i="1"/>
  <c r="E2657" i="1"/>
  <c r="C2658" i="1"/>
  <c r="D2658" i="1"/>
  <c r="E2658" i="1"/>
  <c r="C2659" i="1"/>
  <c r="D2659" i="1"/>
  <c r="E2659" i="1"/>
  <c r="C2660" i="1"/>
  <c r="D2660" i="1"/>
  <c r="E2660" i="1"/>
  <c r="C2661" i="1"/>
  <c r="D2661" i="1"/>
  <c r="E2661" i="1"/>
  <c r="C2662" i="1"/>
  <c r="D2662" i="1"/>
  <c r="E2662" i="1"/>
  <c r="C2663" i="1"/>
  <c r="D2663" i="1"/>
  <c r="E2663" i="1"/>
  <c r="C2664" i="1"/>
  <c r="D2664" i="1"/>
  <c r="E2664" i="1"/>
  <c r="C2665" i="1"/>
  <c r="D2665" i="1"/>
  <c r="E2665" i="1"/>
  <c r="C2666" i="1"/>
  <c r="D2666" i="1"/>
  <c r="E2666" i="1"/>
  <c r="C2667" i="1"/>
  <c r="D2667" i="1"/>
  <c r="E2667" i="1"/>
  <c r="C2668" i="1"/>
  <c r="D2668" i="1"/>
  <c r="E2668" i="1"/>
  <c r="C2669" i="1"/>
  <c r="D2669" i="1"/>
  <c r="E2669" i="1"/>
  <c r="C2670" i="1"/>
  <c r="D2670" i="1"/>
  <c r="E2670" i="1"/>
  <c r="C2671" i="1"/>
  <c r="D2671" i="1"/>
  <c r="E2671" i="1"/>
  <c r="C2672" i="1"/>
  <c r="D2672" i="1"/>
  <c r="E2672" i="1"/>
  <c r="C2673" i="1"/>
  <c r="D2673" i="1"/>
  <c r="E2673" i="1"/>
  <c r="C2674" i="1"/>
  <c r="D2674" i="1"/>
  <c r="E2674" i="1"/>
  <c r="C2675" i="1"/>
  <c r="D2675" i="1"/>
  <c r="E2675" i="1"/>
  <c r="C2676" i="1"/>
  <c r="D2676" i="1"/>
  <c r="E2676" i="1"/>
  <c r="C2677" i="1"/>
  <c r="D2677" i="1"/>
  <c r="E2677" i="1"/>
  <c r="C2678" i="1"/>
  <c r="D2678" i="1"/>
  <c r="E2678" i="1"/>
  <c r="C2679" i="1"/>
  <c r="D2679" i="1"/>
  <c r="E2679" i="1"/>
  <c r="C2680" i="1"/>
  <c r="D2680" i="1"/>
  <c r="E2680" i="1"/>
  <c r="C2681" i="1"/>
  <c r="D2681" i="1"/>
  <c r="E2681" i="1"/>
  <c r="C2682" i="1"/>
  <c r="D2682" i="1"/>
  <c r="E2682" i="1"/>
  <c r="C2683" i="1"/>
  <c r="D2683" i="1"/>
  <c r="E2683" i="1"/>
  <c r="C2684" i="1"/>
  <c r="D2684" i="1"/>
  <c r="E2684" i="1"/>
  <c r="C2685" i="1"/>
  <c r="D2685" i="1"/>
  <c r="E2685" i="1"/>
  <c r="C2686" i="1"/>
  <c r="D2686" i="1"/>
  <c r="E2686" i="1"/>
  <c r="C2687" i="1"/>
  <c r="D2687" i="1"/>
  <c r="E2687" i="1"/>
  <c r="C2688" i="1"/>
  <c r="D2688" i="1"/>
  <c r="E2688" i="1"/>
  <c r="C2689" i="1"/>
  <c r="D2689" i="1"/>
  <c r="E2689" i="1"/>
  <c r="C2690" i="1"/>
  <c r="D2690" i="1"/>
  <c r="E2690" i="1"/>
  <c r="C2691" i="1"/>
  <c r="D2691" i="1"/>
  <c r="E2691" i="1"/>
  <c r="C2692" i="1"/>
  <c r="D2692" i="1"/>
  <c r="E2692" i="1"/>
  <c r="C2693" i="1"/>
  <c r="D2693" i="1"/>
  <c r="E2693" i="1"/>
  <c r="C2694" i="1"/>
  <c r="D2694" i="1"/>
  <c r="E2694" i="1"/>
  <c r="C2695" i="1"/>
  <c r="D2695" i="1"/>
  <c r="E2695" i="1"/>
  <c r="C2696" i="1"/>
  <c r="D2696" i="1"/>
  <c r="E2696" i="1"/>
  <c r="C2697" i="1"/>
  <c r="D2697" i="1"/>
  <c r="E2697" i="1"/>
  <c r="C2698" i="1"/>
  <c r="D2698" i="1"/>
  <c r="E2698" i="1"/>
  <c r="C2699" i="1"/>
  <c r="D2699" i="1"/>
  <c r="E2699" i="1"/>
  <c r="C2700" i="1"/>
  <c r="D2700" i="1"/>
  <c r="E2700" i="1"/>
  <c r="C2701" i="1"/>
  <c r="D2701" i="1"/>
  <c r="E2701" i="1"/>
  <c r="C2702" i="1"/>
  <c r="D2702" i="1"/>
  <c r="E2702" i="1"/>
  <c r="C2703" i="1"/>
  <c r="D2703" i="1"/>
  <c r="E2703" i="1"/>
  <c r="C2704" i="1"/>
  <c r="D2704" i="1"/>
  <c r="E2704" i="1"/>
  <c r="C2705" i="1"/>
  <c r="D2705" i="1"/>
  <c r="E2705" i="1"/>
  <c r="C2706" i="1"/>
  <c r="D2706" i="1"/>
  <c r="E2706" i="1"/>
  <c r="C2707" i="1"/>
  <c r="D2707" i="1"/>
  <c r="E2707" i="1"/>
  <c r="C2708" i="1"/>
  <c r="D2708" i="1"/>
  <c r="E2708" i="1"/>
  <c r="C2709" i="1"/>
  <c r="D2709" i="1"/>
  <c r="E2709" i="1"/>
  <c r="C2710" i="1"/>
  <c r="D2710" i="1"/>
  <c r="E2710" i="1"/>
  <c r="C2711" i="1"/>
  <c r="D2711" i="1"/>
  <c r="E2711" i="1"/>
  <c r="C2712" i="1"/>
  <c r="D2712" i="1"/>
  <c r="E2712" i="1"/>
  <c r="C2713" i="1"/>
  <c r="D2713" i="1"/>
  <c r="E2713" i="1"/>
  <c r="C2714" i="1"/>
  <c r="D2714" i="1"/>
  <c r="E2714" i="1"/>
  <c r="C2715" i="1"/>
  <c r="D2715" i="1"/>
  <c r="E2715" i="1"/>
  <c r="C2716" i="1"/>
  <c r="D2716" i="1"/>
  <c r="E2716" i="1"/>
  <c r="C2717" i="1"/>
  <c r="D2717" i="1"/>
  <c r="E2717" i="1"/>
  <c r="C2718" i="1"/>
  <c r="D2718" i="1"/>
  <c r="E2718" i="1"/>
  <c r="C2719" i="1"/>
  <c r="D2719" i="1"/>
  <c r="E2719" i="1"/>
  <c r="C2720" i="1"/>
  <c r="D2720" i="1"/>
  <c r="E2720" i="1"/>
  <c r="C2721" i="1"/>
  <c r="D2721" i="1"/>
  <c r="E2721" i="1"/>
  <c r="C2722" i="1"/>
  <c r="D2722" i="1"/>
  <c r="E2722" i="1"/>
  <c r="C2723" i="1"/>
  <c r="D2723" i="1"/>
  <c r="E2723" i="1"/>
  <c r="C2724" i="1"/>
  <c r="D2724" i="1"/>
  <c r="E2724" i="1"/>
  <c r="C2725" i="1"/>
  <c r="D2725" i="1"/>
  <c r="E2725" i="1"/>
  <c r="C2726" i="1"/>
  <c r="D2726" i="1"/>
  <c r="E2726" i="1"/>
  <c r="C2727" i="1"/>
  <c r="D2727" i="1"/>
  <c r="E2727" i="1"/>
  <c r="C2728" i="1"/>
  <c r="D2728" i="1"/>
  <c r="E2728" i="1"/>
  <c r="C2729" i="1"/>
  <c r="D2729" i="1"/>
  <c r="E2729" i="1"/>
  <c r="C2730" i="1"/>
  <c r="D2730" i="1"/>
  <c r="E2730" i="1"/>
  <c r="C2731" i="1"/>
  <c r="D2731" i="1"/>
  <c r="E2731" i="1"/>
  <c r="C2732" i="1"/>
  <c r="D2732" i="1"/>
  <c r="E2732" i="1"/>
  <c r="C2733" i="1"/>
  <c r="D2733" i="1"/>
  <c r="E2733" i="1"/>
  <c r="C2734" i="1"/>
  <c r="D2734" i="1"/>
  <c r="E2734" i="1"/>
  <c r="C2735" i="1"/>
  <c r="D2735" i="1"/>
  <c r="E2735" i="1"/>
  <c r="C2736" i="1"/>
  <c r="D2736" i="1"/>
  <c r="E2736" i="1"/>
  <c r="C2737" i="1"/>
  <c r="D2737" i="1"/>
  <c r="E2737" i="1"/>
  <c r="C2738" i="1"/>
  <c r="D2738" i="1"/>
  <c r="E2738" i="1"/>
  <c r="C2739" i="1"/>
  <c r="D2739" i="1"/>
  <c r="E2739" i="1"/>
  <c r="C2740" i="1"/>
  <c r="D2740" i="1"/>
  <c r="E2740" i="1"/>
  <c r="C2741" i="1"/>
  <c r="D2741" i="1"/>
  <c r="E2741" i="1"/>
  <c r="C2742" i="1"/>
  <c r="D2742" i="1"/>
  <c r="E2742" i="1"/>
  <c r="C2743" i="1"/>
  <c r="D2743" i="1"/>
  <c r="E2743" i="1"/>
  <c r="C2744" i="1"/>
  <c r="D2744" i="1"/>
  <c r="E2744" i="1"/>
  <c r="C2745" i="1"/>
  <c r="D2745" i="1"/>
  <c r="E2745" i="1"/>
  <c r="C2746" i="1"/>
  <c r="D2746" i="1"/>
  <c r="E2746" i="1"/>
  <c r="C2747" i="1"/>
  <c r="D2747" i="1"/>
  <c r="E2747" i="1"/>
  <c r="C2748" i="1"/>
  <c r="D2748" i="1"/>
  <c r="E2748" i="1"/>
  <c r="C2749" i="1"/>
  <c r="D2749" i="1"/>
  <c r="E2749" i="1"/>
  <c r="C2750" i="1"/>
  <c r="D2750" i="1"/>
  <c r="E2750" i="1"/>
  <c r="C2751" i="1"/>
  <c r="D2751" i="1"/>
  <c r="E2751" i="1"/>
  <c r="C2752" i="1"/>
  <c r="D2752" i="1"/>
  <c r="E2752" i="1"/>
  <c r="C2753" i="1"/>
  <c r="D2753" i="1"/>
  <c r="E2753" i="1"/>
  <c r="C2754" i="1"/>
  <c r="D2754" i="1"/>
  <c r="E2754" i="1"/>
  <c r="C2755" i="1"/>
  <c r="D2755" i="1"/>
  <c r="E2755" i="1"/>
  <c r="C2756" i="1"/>
  <c r="D2756" i="1"/>
  <c r="E2756" i="1"/>
  <c r="C2757" i="1"/>
  <c r="D2757" i="1"/>
  <c r="E2757" i="1"/>
  <c r="C2758" i="1"/>
  <c r="D2758" i="1"/>
  <c r="E2758" i="1"/>
  <c r="C2759" i="1"/>
  <c r="D2759" i="1"/>
  <c r="E2759" i="1"/>
  <c r="C2760" i="1"/>
  <c r="D2760" i="1"/>
  <c r="E2760" i="1"/>
  <c r="C2761" i="1"/>
  <c r="D2761" i="1"/>
  <c r="E2761" i="1"/>
  <c r="C2762" i="1"/>
  <c r="D2762" i="1"/>
  <c r="E2762" i="1"/>
  <c r="C2763" i="1"/>
  <c r="D2763" i="1"/>
  <c r="E2763" i="1"/>
  <c r="C2764" i="1"/>
  <c r="D2764" i="1"/>
  <c r="E2764" i="1"/>
  <c r="C2765" i="1"/>
  <c r="D2765" i="1"/>
  <c r="E2765" i="1"/>
  <c r="C2766" i="1"/>
  <c r="D2766" i="1"/>
  <c r="E2766" i="1"/>
  <c r="C2767" i="1"/>
  <c r="D2767" i="1"/>
  <c r="E2767" i="1"/>
  <c r="C2768" i="1"/>
  <c r="D2768" i="1"/>
  <c r="E2768" i="1"/>
  <c r="C2769" i="1"/>
  <c r="D2769" i="1"/>
  <c r="E2769" i="1"/>
  <c r="C2770" i="1"/>
  <c r="D2770" i="1"/>
  <c r="E2770" i="1"/>
  <c r="C2771" i="1"/>
  <c r="D2771" i="1"/>
  <c r="E2771" i="1"/>
  <c r="C2772" i="1"/>
  <c r="D2772" i="1"/>
  <c r="E2772" i="1"/>
  <c r="C2773" i="1"/>
  <c r="D2773" i="1"/>
  <c r="E2773" i="1"/>
  <c r="C2774" i="1"/>
  <c r="D2774" i="1"/>
  <c r="E2774" i="1"/>
  <c r="C2775" i="1"/>
  <c r="D2775" i="1"/>
  <c r="E2775" i="1"/>
  <c r="C2776" i="1"/>
  <c r="D2776" i="1"/>
  <c r="E2776" i="1"/>
  <c r="C2777" i="1"/>
  <c r="D2777" i="1"/>
  <c r="E2777" i="1"/>
  <c r="C2778" i="1"/>
  <c r="D2778" i="1"/>
  <c r="E2778" i="1"/>
  <c r="C2779" i="1"/>
  <c r="D2779" i="1"/>
  <c r="E2779" i="1"/>
  <c r="C2780" i="1"/>
  <c r="D2780" i="1"/>
  <c r="E2780" i="1"/>
  <c r="C2781" i="1"/>
  <c r="D2781" i="1"/>
  <c r="E2781" i="1"/>
  <c r="C2782" i="1"/>
  <c r="D2782" i="1"/>
  <c r="E2782" i="1"/>
  <c r="C2783" i="1"/>
  <c r="D2783" i="1"/>
  <c r="E2783" i="1"/>
  <c r="C2784" i="1"/>
  <c r="D2784" i="1"/>
  <c r="E2784" i="1"/>
  <c r="C2785" i="1"/>
  <c r="D2785" i="1"/>
  <c r="E2785" i="1"/>
  <c r="C2786" i="1"/>
  <c r="D2786" i="1"/>
  <c r="E2786" i="1"/>
  <c r="C2787" i="1"/>
  <c r="D2787" i="1"/>
  <c r="E2787" i="1"/>
  <c r="C2788" i="1"/>
  <c r="D2788" i="1"/>
  <c r="E2788" i="1"/>
  <c r="C2789" i="1"/>
  <c r="D2789" i="1"/>
  <c r="E2789" i="1"/>
  <c r="C2790" i="1"/>
  <c r="D2790" i="1"/>
  <c r="E2790" i="1"/>
  <c r="C2791" i="1"/>
  <c r="D2791" i="1"/>
  <c r="E2791" i="1"/>
  <c r="C2792" i="1"/>
  <c r="D2792" i="1"/>
  <c r="E2792" i="1"/>
  <c r="C2793" i="1"/>
  <c r="D2793" i="1"/>
  <c r="E2793" i="1"/>
  <c r="C2794" i="1"/>
  <c r="D2794" i="1"/>
  <c r="E2794" i="1"/>
  <c r="C2795" i="1"/>
  <c r="D2795" i="1"/>
  <c r="E2795" i="1"/>
  <c r="C2796" i="1"/>
  <c r="D2796" i="1"/>
  <c r="E2796" i="1"/>
  <c r="C2797" i="1"/>
  <c r="D2797" i="1"/>
  <c r="E2797" i="1"/>
  <c r="C2798" i="1"/>
  <c r="D2798" i="1"/>
  <c r="E2798" i="1"/>
  <c r="C2799" i="1"/>
  <c r="D2799" i="1"/>
  <c r="E2799" i="1"/>
  <c r="C2800" i="1"/>
  <c r="D2800" i="1"/>
  <c r="E2800" i="1"/>
  <c r="C2801" i="1"/>
  <c r="D2801" i="1"/>
  <c r="E2801" i="1"/>
  <c r="C2802" i="1"/>
  <c r="D2802" i="1"/>
  <c r="E2802" i="1"/>
  <c r="C2803" i="1"/>
  <c r="D2803" i="1"/>
  <c r="E2803" i="1"/>
  <c r="C2804" i="1"/>
  <c r="D2804" i="1"/>
  <c r="E2804" i="1"/>
  <c r="C2805" i="1"/>
  <c r="D2805" i="1"/>
  <c r="E2805" i="1"/>
  <c r="C2806" i="1"/>
  <c r="D2806" i="1"/>
  <c r="E2806" i="1"/>
  <c r="C2807" i="1"/>
  <c r="D2807" i="1"/>
  <c r="E2807" i="1"/>
  <c r="C2808" i="1"/>
  <c r="D2808" i="1"/>
  <c r="E2808" i="1"/>
  <c r="C2809" i="1"/>
  <c r="D2809" i="1"/>
  <c r="E2809" i="1"/>
  <c r="C2810" i="1"/>
  <c r="D2810" i="1"/>
  <c r="E2810" i="1"/>
  <c r="C2811" i="1"/>
  <c r="D2811" i="1"/>
  <c r="E2811" i="1"/>
  <c r="C2812" i="1"/>
  <c r="D2812" i="1"/>
  <c r="E2812" i="1"/>
  <c r="C2813" i="1"/>
  <c r="D2813" i="1"/>
  <c r="E2813" i="1"/>
  <c r="C2814" i="1"/>
  <c r="D2814" i="1"/>
  <c r="E2814" i="1"/>
  <c r="C2815" i="1"/>
  <c r="D2815" i="1"/>
  <c r="E2815" i="1"/>
  <c r="C2816" i="1"/>
  <c r="D2816" i="1"/>
  <c r="E2816" i="1"/>
  <c r="C2817" i="1"/>
  <c r="D2817" i="1"/>
  <c r="E2817" i="1"/>
  <c r="C2818" i="1"/>
  <c r="D2818" i="1"/>
  <c r="E2818" i="1"/>
  <c r="C2819" i="1"/>
  <c r="D2819" i="1"/>
  <c r="E2819" i="1"/>
  <c r="C2820" i="1"/>
  <c r="D2820" i="1"/>
  <c r="E2820" i="1"/>
  <c r="C2821" i="1"/>
  <c r="D2821" i="1"/>
  <c r="E2821" i="1"/>
  <c r="C2822" i="1"/>
  <c r="D2822" i="1"/>
  <c r="E2822" i="1"/>
  <c r="C2823" i="1"/>
  <c r="D2823" i="1"/>
  <c r="E2823" i="1"/>
  <c r="C2824" i="1"/>
  <c r="D2824" i="1"/>
  <c r="E2824" i="1"/>
  <c r="C2825" i="1"/>
  <c r="D2825" i="1"/>
  <c r="E2825" i="1"/>
  <c r="C2826" i="1"/>
  <c r="D2826" i="1"/>
  <c r="E2826" i="1"/>
  <c r="C2827" i="1"/>
  <c r="D2827" i="1"/>
  <c r="E2827" i="1"/>
  <c r="C2828" i="1"/>
  <c r="D2828" i="1"/>
  <c r="E2828" i="1"/>
  <c r="C2829" i="1"/>
  <c r="D2829" i="1"/>
  <c r="E2829" i="1"/>
  <c r="C2830" i="1"/>
  <c r="D2830" i="1"/>
  <c r="E2830" i="1"/>
  <c r="C2831" i="1"/>
  <c r="D2831" i="1"/>
  <c r="E2831" i="1"/>
  <c r="C2832" i="1"/>
  <c r="D2832" i="1"/>
  <c r="E2832" i="1"/>
  <c r="C2833" i="1"/>
  <c r="D2833" i="1"/>
  <c r="E2833" i="1"/>
  <c r="C2834" i="1"/>
  <c r="D2834" i="1"/>
  <c r="E2834" i="1"/>
  <c r="C2835" i="1"/>
  <c r="D2835" i="1"/>
  <c r="E2835" i="1"/>
  <c r="C2836" i="1"/>
  <c r="D2836" i="1"/>
  <c r="E2836" i="1"/>
  <c r="C2837" i="1"/>
  <c r="D2837" i="1"/>
  <c r="E2837" i="1"/>
  <c r="C2838" i="1"/>
  <c r="D2838" i="1"/>
  <c r="E2838" i="1"/>
  <c r="C2839" i="1"/>
  <c r="D2839" i="1"/>
  <c r="E2839" i="1"/>
  <c r="C2840" i="1"/>
  <c r="D2840" i="1"/>
  <c r="E2840" i="1"/>
  <c r="C2841" i="1"/>
  <c r="D2841" i="1"/>
  <c r="E2841" i="1"/>
  <c r="C2842" i="1"/>
  <c r="D2842" i="1"/>
  <c r="E2842" i="1"/>
  <c r="C2843" i="1"/>
  <c r="D2843" i="1"/>
  <c r="E2843" i="1"/>
  <c r="C2844" i="1"/>
  <c r="D2844" i="1"/>
  <c r="E2844" i="1"/>
  <c r="C2845" i="1"/>
  <c r="D2845" i="1"/>
  <c r="E2845" i="1"/>
  <c r="C2846" i="1"/>
  <c r="D2846" i="1"/>
  <c r="E2846" i="1"/>
  <c r="C2847" i="1"/>
  <c r="D2847" i="1"/>
  <c r="E2847" i="1"/>
  <c r="C2848" i="1"/>
  <c r="D2848" i="1"/>
  <c r="E2848" i="1"/>
  <c r="C2849" i="1"/>
  <c r="D2849" i="1"/>
  <c r="E2849" i="1"/>
  <c r="C2850" i="1"/>
  <c r="D2850" i="1"/>
  <c r="E2850" i="1"/>
  <c r="C2851" i="1"/>
  <c r="D2851" i="1"/>
  <c r="E2851" i="1"/>
  <c r="C2852" i="1"/>
  <c r="D2852" i="1"/>
  <c r="E2852" i="1"/>
  <c r="C2853" i="1"/>
  <c r="D2853" i="1"/>
  <c r="E2853" i="1"/>
  <c r="C2854" i="1"/>
  <c r="D2854" i="1"/>
  <c r="E2854" i="1"/>
  <c r="C2855" i="1"/>
  <c r="D2855" i="1"/>
  <c r="E2855" i="1"/>
  <c r="C2856" i="1"/>
  <c r="D2856" i="1"/>
  <c r="E2856" i="1"/>
  <c r="C2857" i="1"/>
  <c r="D2857" i="1"/>
  <c r="E2857" i="1"/>
  <c r="C2858" i="1"/>
  <c r="D2858" i="1"/>
  <c r="E2858" i="1"/>
  <c r="C2859" i="1"/>
  <c r="D2859" i="1"/>
  <c r="E2859" i="1"/>
  <c r="C2860" i="1"/>
  <c r="D2860" i="1"/>
  <c r="E2860" i="1"/>
  <c r="C2861" i="1"/>
  <c r="D2861" i="1"/>
  <c r="E2861" i="1"/>
  <c r="C2862" i="1"/>
  <c r="D2862" i="1"/>
  <c r="E2862" i="1"/>
  <c r="C2863" i="1"/>
  <c r="D2863" i="1"/>
  <c r="E2863" i="1"/>
  <c r="C2864" i="1"/>
  <c r="D2864" i="1"/>
  <c r="E2864" i="1"/>
  <c r="C2865" i="1"/>
  <c r="D2865" i="1"/>
  <c r="E2865" i="1"/>
  <c r="C2866" i="1"/>
  <c r="D2866" i="1"/>
  <c r="E2866" i="1"/>
  <c r="C2867" i="1"/>
  <c r="D2867" i="1"/>
  <c r="E2867" i="1"/>
  <c r="C2868" i="1"/>
  <c r="D2868" i="1"/>
  <c r="E2868" i="1"/>
  <c r="C2869" i="1"/>
  <c r="D2869" i="1"/>
  <c r="E2869" i="1"/>
  <c r="C2870" i="1"/>
  <c r="D2870" i="1"/>
  <c r="E2870" i="1"/>
  <c r="C2871" i="1"/>
  <c r="D2871" i="1"/>
  <c r="E2871" i="1"/>
  <c r="C2872" i="1"/>
  <c r="D2872" i="1"/>
  <c r="E2872" i="1"/>
  <c r="C2873" i="1"/>
  <c r="D2873" i="1"/>
  <c r="E2873" i="1"/>
  <c r="C2874" i="1"/>
  <c r="D2874" i="1"/>
  <c r="E2874" i="1"/>
  <c r="C2875" i="1"/>
  <c r="D2875" i="1"/>
  <c r="E2875" i="1"/>
  <c r="C2876" i="1"/>
  <c r="D2876" i="1"/>
  <c r="E2876" i="1"/>
  <c r="C2877" i="1"/>
  <c r="D2877" i="1"/>
  <c r="E2877" i="1"/>
  <c r="C2878" i="1"/>
  <c r="D2878" i="1"/>
  <c r="E2878" i="1"/>
  <c r="C2879" i="1"/>
  <c r="D2879" i="1"/>
  <c r="E2879" i="1"/>
  <c r="C2880" i="1"/>
  <c r="D2880" i="1"/>
  <c r="E2880" i="1"/>
  <c r="C2881" i="1"/>
  <c r="D2881" i="1"/>
  <c r="E2881" i="1"/>
  <c r="C2882" i="1"/>
  <c r="D2882" i="1"/>
  <c r="E2882" i="1"/>
  <c r="C2883" i="1"/>
  <c r="D2883" i="1"/>
  <c r="E2883" i="1"/>
  <c r="C2884" i="1"/>
  <c r="D2884" i="1"/>
  <c r="E2884" i="1"/>
  <c r="C2885" i="1"/>
  <c r="D2885" i="1"/>
  <c r="E2885" i="1"/>
  <c r="C2886" i="1"/>
  <c r="D2886" i="1"/>
  <c r="E2886" i="1"/>
  <c r="C2887" i="1"/>
  <c r="D2887" i="1"/>
  <c r="E2887" i="1"/>
  <c r="C2888" i="1"/>
  <c r="D2888" i="1"/>
  <c r="E2888" i="1"/>
  <c r="C2889" i="1"/>
  <c r="D2889" i="1"/>
  <c r="E2889" i="1"/>
  <c r="C2890" i="1"/>
  <c r="D2890" i="1"/>
  <c r="E2890" i="1"/>
  <c r="C2891" i="1"/>
  <c r="D2891" i="1"/>
  <c r="E2891" i="1"/>
  <c r="C2892" i="1"/>
  <c r="D2892" i="1"/>
  <c r="E2892" i="1"/>
  <c r="C2893" i="1"/>
  <c r="D2893" i="1"/>
  <c r="E2893" i="1"/>
  <c r="C2894" i="1"/>
  <c r="D2894" i="1"/>
  <c r="E2894" i="1"/>
  <c r="C2895" i="1"/>
  <c r="D2895" i="1"/>
  <c r="E2895" i="1"/>
  <c r="C2896" i="1"/>
  <c r="D2896" i="1"/>
  <c r="E2896" i="1"/>
  <c r="C2897" i="1"/>
  <c r="D2897" i="1"/>
  <c r="E2897" i="1"/>
  <c r="C2898" i="1"/>
  <c r="D2898" i="1"/>
  <c r="E2898" i="1"/>
  <c r="C2899" i="1"/>
  <c r="D2899" i="1"/>
  <c r="E2899" i="1"/>
  <c r="C2900" i="1"/>
  <c r="D2900" i="1"/>
  <c r="E2900" i="1"/>
  <c r="C2901" i="1"/>
  <c r="D2901" i="1"/>
  <c r="E2901" i="1"/>
  <c r="C2902" i="1"/>
  <c r="D2902" i="1"/>
  <c r="E2902" i="1"/>
  <c r="C2903" i="1"/>
  <c r="D2903" i="1"/>
  <c r="E2903" i="1"/>
  <c r="C2904" i="1"/>
  <c r="D2904" i="1"/>
  <c r="E2904" i="1"/>
  <c r="C2905" i="1"/>
  <c r="D2905" i="1"/>
  <c r="E2905" i="1"/>
  <c r="C2906" i="1"/>
  <c r="D2906" i="1"/>
  <c r="E2906" i="1"/>
  <c r="C2907" i="1"/>
  <c r="D2907" i="1"/>
  <c r="E2907" i="1"/>
  <c r="C2908" i="1"/>
  <c r="D2908" i="1"/>
  <c r="E2908" i="1"/>
  <c r="C2909" i="1"/>
  <c r="D2909" i="1"/>
  <c r="E2909" i="1"/>
  <c r="C2910" i="1"/>
  <c r="D2910" i="1"/>
  <c r="E2910" i="1"/>
  <c r="C2911" i="1"/>
  <c r="D2911" i="1"/>
  <c r="E2911" i="1"/>
  <c r="C2912" i="1"/>
  <c r="D2912" i="1"/>
  <c r="E2912" i="1"/>
  <c r="C2913" i="1"/>
  <c r="D2913" i="1"/>
  <c r="E2913" i="1"/>
  <c r="C2914" i="1"/>
  <c r="D2914" i="1"/>
  <c r="E2914" i="1"/>
  <c r="C2915" i="1"/>
  <c r="D2915" i="1"/>
  <c r="E2915" i="1"/>
  <c r="C2916" i="1"/>
  <c r="D2916" i="1"/>
  <c r="E2916" i="1"/>
  <c r="C2917" i="1"/>
  <c r="D2917" i="1"/>
  <c r="E2917" i="1"/>
  <c r="C2918" i="1"/>
  <c r="D2918" i="1"/>
  <c r="E2918" i="1"/>
  <c r="C2919" i="1"/>
  <c r="D2919" i="1"/>
  <c r="E2919" i="1"/>
  <c r="C2920" i="1"/>
  <c r="D2920" i="1"/>
  <c r="E2920" i="1"/>
  <c r="C2921" i="1"/>
  <c r="D2921" i="1"/>
  <c r="E2921" i="1"/>
  <c r="C2922" i="1"/>
  <c r="D2922" i="1"/>
  <c r="E2922" i="1"/>
  <c r="C2923" i="1"/>
  <c r="D2923" i="1"/>
  <c r="E2923" i="1"/>
  <c r="C2924" i="1"/>
  <c r="D2924" i="1"/>
  <c r="E2924" i="1"/>
  <c r="C2925" i="1"/>
  <c r="D2925" i="1"/>
  <c r="E2925" i="1"/>
  <c r="C2926" i="1"/>
  <c r="D2926" i="1"/>
  <c r="E2926" i="1"/>
  <c r="C2927" i="1"/>
  <c r="D2927" i="1"/>
  <c r="E2927" i="1"/>
  <c r="C2928" i="1"/>
  <c r="D2928" i="1"/>
  <c r="E2928" i="1"/>
  <c r="C2929" i="1"/>
  <c r="D2929" i="1"/>
  <c r="E2929" i="1"/>
  <c r="C2930" i="1"/>
  <c r="D2930" i="1"/>
  <c r="E2930" i="1"/>
  <c r="C2931" i="1"/>
  <c r="D2931" i="1"/>
  <c r="E2931" i="1"/>
  <c r="C2932" i="1"/>
  <c r="D2932" i="1"/>
  <c r="E2932" i="1"/>
  <c r="C2933" i="1"/>
  <c r="D2933" i="1"/>
  <c r="E2933" i="1"/>
  <c r="C2934" i="1"/>
  <c r="D2934" i="1"/>
  <c r="E2934" i="1"/>
  <c r="C2935" i="1"/>
  <c r="D2935" i="1"/>
  <c r="E2935" i="1"/>
  <c r="C2936" i="1"/>
  <c r="D2936" i="1"/>
  <c r="E2936" i="1"/>
  <c r="C2937" i="1"/>
  <c r="D2937" i="1"/>
  <c r="E2937" i="1"/>
  <c r="C2938" i="1"/>
  <c r="D2938" i="1"/>
  <c r="E2938" i="1"/>
  <c r="C2939" i="1"/>
  <c r="D2939" i="1"/>
  <c r="E2939" i="1"/>
  <c r="C2940" i="1"/>
  <c r="D2940" i="1"/>
  <c r="E2940" i="1"/>
  <c r="C2941" i="1"/>
  <c r="D2941" i="1"/>
  <c r="E2941" i="1"/>
  <c r="C2942" i="1"/>
  <c r="D2942" i="1"/>
  <c r="E2942" i="1"/>
  <c r="C2943" i="1"/>
  <c r="D2943" i="1"/>
  <c r="E2943" i="1"/>
  <c r="C2944" i="1"/>
  <c r="D2944" i="1"/>
  <c r="E2944" i="1"/>
  <c r="C2945" i="1"/>
  <c r="D2945" i="1"/>
  <c r="E2945" i="1"/>
  <c r="C2946" i="1"/>
  <c r="D2946" i="1"/>
  <c r="E2946" i="1"/>
  <c r="C2947" i="1"/>
  <c r="D2947" i="1"/>
  <c r="E2947" i="1"/>
  <c r="C2948" i="1"/>
  <c r="D2948" i="1"/>
  <c r="E2948" i="1"/>
  <c r="C2949" i="1"/>
  <c r="D2949" i="1"/>
  <c r="E2949" i="1"/>
  <c r="C2950" i="1"/>
  <c r="D2950" i="1"/>
  <c r="E2950" i="1"/>
  <c r="C2951" i="1"/>
  <c r="D2951" i="1"/>
  <c r="E2951" i="1"/>
  <c r="C2952" i="1"/>
  <c r="D2952" i="1"/>
  <c r="E2952" i="1"/>
  <c r="C2953" i="1"/>
  <c r="D2953" i="1"/>
  <c r="E2953" i="1"/>
  <c r="C2954" i="1"/>
  <c r="D2954" i="1"/>
  <c r="E2954" i="1"/>
  <c r="C2955" i="1"/>
  <c r="D2955" i="1"/>
  <c r="E2955" i="1"/>
  <c r="C2956" i="1"/>
  <c r="D2956" i="1"/>
  <c r="E2956" i="1"/>
  <c r="C2957" i="1"/>
  <c r="D2957" i="1"/>
  <c r="E2957" i="1"/>
  <c r="C2958" i="1"/>
  <c r="D2958" i="1"/>
  <c r="E2958" i="1"/>
  <c r="C2959" i="1"/>
  <c r="D2959" i="1"/>
  <c r="E2959" i="1"/>
  <c r="C2960" i="1"/>
  <c r="D2960" i="1"/>
  <c r="E2960" i="1"/>
  <c r="C2961" i="1"/>
  <c r="D2961" i="1"/>
  <c r="E2961" i="1"/>
  <c r="C2962" i="1"/>
  <c r="D2962" i="1"/>
  <c r="E2962" i="1"/>
  <c r="C2963" i="1"/>
  <c r="D2963" i="1"/>
  <c r="E2963" i="1"/>
  <c r="C2964" i="1"/>
  <c r="D2964" i="1"/>
  <c r="E2964" i="1"/>
  <c r="C2965" i="1"/>
  <c r="D2965" i="1"/>
  <c r="E2965" i="1"/>
  <c r="C2966" i="1"/>
  <c r="D2966" i="1"/>
  <c r="E2966" i="1"/>
  <c r="C2967" i="1"/>
  <c r="D2967" i="1"/>
  <c r="E2967" i="1"/>
  <c r="C2968" i="1"/>
  <c r="D2968" i="1"/>
  <c r="E2968" i="1"/>
  <c r="C2969" i="1"/>
  <c r="D2969" i="1"/>
  <c r="E2969" i="1"/>
  <c r="C2970" i="1"/>
  <c r="D2970" i="1"/>
  <c r="E2970" i="1"/>
  <c r="C2971" i="1"/>
  <c r="D2971" i="1"/>
  <c r="E2971" i="1"/>
  <c r="C2972" i="1"/>
  <c r="D2972" i="1"/>
  <c r="E2972" i="1"/>
  <c r="C2973" i="1"/>
  <c r="D2973" i="1"/>
  <c r="E2973" i="1"/>
  <c r="C2974" i="1"/>
  <c r="D2974" i="1"/>
  <c r="E2974" i="1"/>
  <c r="C2975" i="1"/>
  <c r="D2975" i="1"/>
  <c r="E2975" i="1"/>
  <c r="C2976" i="1"/>
  <c r="D2976" i="1"/>
  <c r="E2976" i="1"/>
  <c r="C2977" i="1"/>
  <c r="D2977" i="1"/>
  <c r="E2977" i="1"/>
  <c r="C2978" i="1"/>
  <c r="D2978" i="1"/>
  <c r="E2978" i="1"/>
  <c r="C2979" i="1"/>
  <c r="D2979" i="1"/>
  <c r="E2979" i="1"/>
  <c r="C2980" i="1"/>
  <c r="D2980" i="1"/>
  <c r="E2980" i="1"/>
  <c r="C2981" i="1"/>
  <c r="D2981" i="1"/>
  <c r="E2981" i="1"/>
  <c r="C2982" i="1"/>
  <c r="D2982" i="1"/>
  <c r="E2982" i="1"/>
  <c r="C2983" i="1"/>
  <c r="D2983" i="1"/>
  <c r="E2983" i="1"/>
  <c r="C2984" i="1"/>
  <c r="D2984" i="1"/>
  <c r="E2984" i="1"/>
  <c r="C2985" i="1"/>
  <c r="D2985" i="1"/>
  <c r="E2985" i="1"/>
  <c r="C2986" i="1"/>
  <c r="D2986" i="1"/>
  <c r="E2986" i="1"/>
  <c r="C2987" i="1"/>
  <c r="D2987" i="1"/>
  <c r="E2987" i="1"/>
  <c r="C2988" i="1"/>
  <c r="D2988" i="1"/>
  <c r="E2988" i="1"/>
  <c r="C2989" i="1"/>
  <c r="D2989" i="1"/>
  <c r="E2989" i="1"/>
  <c r="C2990" i="1"/>
  <c r="D2990" i="1"/>
  <c r="E2990" i="1"/>
  <c r="C2991" i="1"/>
  <c r="D2991" i="1"/>
  <c r="E2991" i="1"/>
  <c r="C2992" i="1"/>
  <c r="D2992" i="1"/>
  <c r="E2992" i="1"/>
  <c r="C2993" i="1"/>
  <c r="D2993" i="1"/>
  <c r="E2993" i="1"/>
  <c r="C2994" i="1"/>
  <c r="D2994" i="1"/>
  <c r="E2994" i="1"/>
  <c r="C2995" i="1"/>
  <c r="D2995" i="1"/>
  <c r="E2995" i="1"/>
  <c r="C2996" i="1"/>
  <c r="D2996" i="1"/>
  <c r="E2996" i="1"/>
  <c r="C2997" i="1"/>
  <c r="D2997" i="1"/>
  <c r="E2997" i="1"/>
  <c r="C2998" i="1"/>
  <c r="D2998" i="1"/>
  <c r="E2998" i="1"/>
  <c r="C2999" i="1"/>
  <c r="D2999" i="1"/>
  <c r="E2999" i="1"/>
  <c r="C3000" i="1"/>
  <c r="D3000" i="1"/>
  <c r="E3000" i="1"/>
  <c r="C3001" i="1"/>
  <c r="D3001" i="1"/>
  <c r="E3001" i="1"/>
  <c r="C3002" i="1"/>
  <c r="D3002" i="1"/>
  <c r="E3002" i="1"/>
  <c r="C3003" i="1"/>
  <c r="D3003" i="1"/>
  <c r="E3003" i="1"/>
  <c r="C3004" i="1"/>
  <c r="D3004" i="1"/>
  <c r="E3004" i="1"/>
  <c r="C3005" i="1"/>
  <c r="D3005" i="1"/>
  <c r="E3005" i="1"/>
  <c r="C3006" i="1"/>
  <c r="D3006" i="1"/>
  <c r="E3006" i="1"/>
  <c r="C3007" i="1"/>
  <c r="D3007" i="1"/>
  <c r="E3007" i="1"/>
  <c r="C3008" i="1"/>
  <c r="D3008" i="1"/>
  <c r="E3008" i="1"/>
  <c r="C3009" i="1"/>
  <c r="D3009" i="1"/>
  <c r="E3009" i="1"/>
  <c r="C3010" i="1"/>
  <c r="D3010" i="1"/>
  <c r="E3010" i="1"/>
  <c r="C3011" i="1"/>
  <c r="D3011" i="1"/>
  <c r="E3011" i="1"/>
  <c r="C3012" i="1"/>
  <c r="D3012" i="1"/>
  <c r="E3012" i="1"/>
  <c r="C3013" i="1"/>
  <c r="D3013" i="1"/>
  <c r="E3013" i="1"/>
  <c r="C3014" i="1"/>
  <c r="D3014" i="1"/>
  <c r="E3014" i="1"/>
  <c r="C3015" i="1"/>
  <c r="D3015" i="1"/>
  <c r="E3015" i="1"/>
  <c r="C3016" i="1"/>
  <c r="D3016" i="1"/>
  <c r="E3016" i="1"/>
  <c r="C3017" i="1"/>
  <c r="D3017" i="1"/>
  <c r="E3017" i="1"/>
  <c r="C3018" i="1"/>
  <c r="D3018" i="1"/>
  <c r="E3018" i="1"/>
  <c r="C3019" i="1"/>
  <c r="D3019" i="1"/>
  <c r="E3019" i="1"/>
  <c r="C3020" i="1"/>
  <c r="D3020" i="1"/>
  <c r="E3020" i="1"/>
  <c r="C3021" i="1"/>
  <c r="D3021" i="1"/>
  <c r="E3021" i="1"/>
  <c r="C3022" i="1"/>
  <c r="D3022" i="1"/>
  <c r="E3022" i="1"/>
  <c r="C3023" i="1"/>
  <c r="D3023" i="1"/>
  <c r="E3023" i="1"/>
  <c r="C3024" i="1"/>
  <c r="D3024" i="1"/>
  <c r="E3024" i="1"/>
  <c r="C3025" i="1"/>
  <c r="D3025" i="1"/>
  <c r="E3025" i="1"/>
  <c r="C3026" i="1"/>
  <c r="D3026" i="1"/>
  <c r="E3026" i="1"/>
  <c r="C3027" i="1"/>
  <c r="D3027" i="1"/>
  <c r="E3027" i="1"/>
  <c r="C3028" i="1"/>
  <c r="D3028" i="1"/>
  <c r="E3028" i="1"/>
  <c r="C3029" i="1"/>
  <c r="D3029" i="1"/>
  <c r="E3029" i="1"/>
  <c r="C3030" i="1"/>
  <c r="D3030" i="1"/>
  <c r="E3030" i="1"/>
  <c r="C3031" i="1"/>
  <c r="D3031" i="1"/>
  <c r="E3031" i="1"/>
  <c r="C3032" i="1"/>
  <c r="D3032" i="1"/>
  <c r="E3032" i="1"/>
  <c r="C3033" i="1"/>
  <c r="D3033" i="1"/>
  <c r="E3033" i="1"/>
  <c r="C3034" i="1"/>
  <c r="D3034" i="1"/>
  <c r="E3034" i="1"/>
  <c r="C3035" i="1"/>
  <c r="D3035" i="1"/>
  <c r="E3035" i="1"/>
  <c r="C3036" i="1"/>
  <c r="D3036" i="1"/>
  <c r="E3036" i="1"/>
  <c r="C3037" i="1"/>
  <c r="D3037" i="1"/>
  <c r="E3037" i="1"/>
  <c r="C3038" i="1"/>
  <c r="D3038" i="1"/>
  <c r="E3038" i="1"/>
  <c r="C3039" i="1"/>
  <c r="D3039" i="1"/>
  <c r="E3039" i="1"/>
  <c r="C3040" i="1"/>
  <c r="D3040" i="1"/>
  <c r="E3040" i="1"/>
  <c r="C3041" i="1"/>
  <c r="D3041" i="1"/>
  <c r="E3041" i="1"/>
  <c r="C3042" i="1"/>
  <c r="D3042" i="1"/>
  <c r="E3042" i="1"/>
  <c r="C3043" i="1"/>
  <c r="D3043" i="1"/>
  <c r="E3043" i="1"/>
  <c r="C3044" i="1"/>
  <c r="D3044" i="1"/>
  <c r="E3044" i="1"/>
  <c r="C3045" i="1"/>
  <c r="D3045" i="1"/>
  <c r="E3045" i="1"/>
  <c r="C3046" i="1"/>
  <c r="D3046" i="1"/>
  <c r="E3046" i="1"/>
  <c r="C3047" i="1"/>
  <c r="D3047" i="1"/>
  <c r="E3047" i="1"/>
  <c r="C3048" i="1"/>
  <c r="D3048" i="1"/>
  <c r="E3048" i="1"/>
  <c r="C3049" i="1"/>
  <c r="D3049" i="1"/>
  <c r="E3049" i="1"/>
  <c r="C3050" i="1"/>
  <c r="D3050" i="1"/>
  <c r="E3050" i="1"/>
  <c r="C3051" i="1"/>
  <c r="D3051" i="1"/>
  <c r="E3051" i="1"/>
  <c r="C3052" i="1"/>
  <c r="D3052" i="1"/>
  <c r="E3052" i="1"/>
  <c r="C3053" i="1"/>
  <c r="D3053" i="1"/>
  <c r="E3053" i="1"/>
  <c r="C3054" i="1"/>
  <c r="D3054" i="1"/>
  <c r="E3054" i="1"/>
  <c r="C3055" i="1"/>
  <c r="D3055" i="1"/>
  <c r="E3055" i="1"/>
  <c r="C3056" i="1"/>
  <c r="D3056" i="1"/>
  <c r="E3056" i="1"/>
  <c r="C3057" i="1"/>
  <c r="D3057" i="1"/>
  <c r="E3057" i="1"/>
  <c r="C3058" i="1"/>
  <c r="D3058" i="1"/>
  <c r="E3058" i="1"/>
  <c r="C3059" i="1"/>
  <c r="D3059" i="1"/>
  <c r="E3059" i="1"/>
  <c r="C3060" i="1"/>
  <c r="D3060" i="1"/>
  <c r="E3060" i="1"/>
  <c r="C3061" i="1"/>
  <c r="D3061" i="1"/>
  <c r="E3061" i="1"/>
  <c r="C3062" i="1"/>
  <c r="D3062" i="1"/>
  <c r="E3062" i="1"/>
  <c r="C3063" i="1"/>
  <c r="D3063" i="1"/>
  <c r="E3063" i="1"/>
  <c r="C3064" i="1"/>
  <c r="D3064" i="1"/>
  <c r="E3064" i="1"/>
  <c r="C3065" i="1"/>
  <c r="D3065" i="1"/>
  <c r="E3065" i="1"/>
  <c r="C3066" i="1"/>
  <c r="D3066" i="1"/>
  <c r="E3066" i="1"/>
  <c r="C3067" i="1"/>
  <c r="D3067" i="1"/>
  <c r="E3067" i="1"/>
  <c r="C3068" i="1"/>
  <c r="D3068" i="1"/>
  <c r="E3068" i="1"/>
  <c r="C3069" i="1"/>
  <c r="D3069" i="1"/>
  <c r="E3069" i="1"/>
  <c r="C3070" i="1"/>
  <c r="D3070" i="1"/>
  <c r="E3070" i="1"/>
  <c r="C3071" i="1"/>
  <c r="D3071" i="1"/>
  <c r="E3071" i="1"/>
  <c r="C3072" i="1"/>
  <c r="D3072" i="1"/>
  <c r="E3072" i="1"/>
  <c r="C3073" i="1"/>
  <c r="D3073" i="1"/>
  <c r="E3073" i="1"/>
  <c r="C3074" i="1"/>
  <c r="D3074" i="1"/>
  <c r="E3074" i="1"/>
  <c r="C3075" i="1"/>
  <c r="D3075" i="1"/>
  <c r="E3075" i="1"/>
  <c r="C3076" i="1"/>
  <c r="D3076" i="1"/>
  <c r="E3076" i="1"/>
  <c r="C3077" i="1"/>
  <c r="D3077" i="1"/>
  <c r="E3077" i="1"/>
  <c r="C3078" i="1"/>
  <c r="D3078" i="1"/>
  <c r="E3078" i="1"/>
  <c r="C3079" i="1"/>
  <c r="D3079" i="1"/>
  <c r="E3079" i="1"/>
  <c r="C3080" i="1"/>
  <c r="D3080" i="1"/>
  <c r="E3080" i="1"/>
  <c r="C3081" i="1"/>
  <c r="D3081" i="1"/>
  <c r="E3081" i="1"/>
  <c r="C3082" i="1"/>
  <c r="D3082" i="1"/>
  <c r="E3082" i="1"/>
  <c r="C3083" i="1"/>
  <c r="D3083" i="1"/>
  <c r="E3083" i="1"/>
  <c r="C3084" i="1"/>
  <c r="D3084" i="1"/>
  <c r="E3084" i="1"/>
  <c r="C3085" i="1"/>
  <c r="D3085" i="1"/>
  <c r="E3085" i="1"/>
  <c r="C3086" i="1"/>
  <c r="D3086" i="1"/>
  <c r="E3086" i="1"/>
  <c r="C3087" i="1"/>
  <c r="D3087" i="1"/>
  <c r="E3087" i="1"/>
  <c r="C3088" i="1"/>
  <c r="D3088" i="1"/>
  <c r="E3088" i="1"/>
  <c r="C3089" i="1"/>
  <c r="D3089" i="1"/>
  <c r="E3089" i="1"/>
  <c r="C3090" i="1"/>
  <c r="D3090" i="1"/>
  <c r="E3090" i="1"/>
  <c r="C3091" i="1"/>
  <c r="D3091" i="1"/>
  <c r="E3091" i="1"/>
  <c r="C3092" i="1"/>
  <c r="D3092" i="1"/>
  <c r="E3092" i="1"/>
  <c r="C3093" i="1"/>
  <c r="D3093" i="1"/>
  <c r="E3093" i="1"/>
  <c r="C3094" i="1"/>
  <c r="D3094" i="1"/>
  <c r="E3094" i="1"/>
  <c r="C3095" i="1"/>
  <c r="D3095" i="1"/>
  <c r="E3095" i="1"/>
  <c r="C3096" i="1"/>
  <c r="D3096" i="1"/>
  <c r="E3096" i="1"/>
  <c r="C3097" i="1"/>
  <c r="D3097" i="1"/>
  <c r="E3097" i="1"/>
  <c r="C3098" i="1"/>
  <c r="D3098" i="1"/>
  <c r="E3098" i="1"/>
  <c r="C3099" i="1"/>
  <c r="D3099" i="1"/>
  <c r="E3099" i="1"/>
  <c r="C3100" i="1"/>
  <c r="D3100" i="1"/>
  <c r="E3100" i="1"/>
  <c r="C3101" i="1"/>
  <c r="D3101" i="1"/>
  <c r="E3101" i="1"/>
  <c r="C3102" i="1"/>
  <c r="D3102" i="1"/>
  <c r="E3102" i="1"/>
  <c r="C3103" i="1"/>
  <c r="D3103" i="1"/>
  <c r="E3103" i="1"/>
  <c r="C3104" i="1"/>
  <c r="D3104" i="1"/>
  <c r="E3104" i="1"/>
  <c r="C3105" i="1"/>
  <c r="D3105" i="1"/>
  <c r="E3105" i="1"/>
  <c r="C3106" i="1"/>
  <c r="D3106" i="1"/>
  <c r="E3106" i="1"/>
  <c r="C3107" i="1"/>
  <c r="D3107" i="1"/>
  <c r="E3107" i="1"/>
  <c r="C3108" i="1"/>
  <c r="D3108" i="1"/>
  <c r="E3108" i="1"/>
  <c r="C3109" i="1"/>
  <c r="D3109" i="1"/>
  <c r="E3109" i="1"/>
  <c r="C3110" i="1"/>
  <c r="D3110" i="1"/>
  <c r="E3110" i="1"/>
  <c r="C3111" i="1"/>
  <c r="D3111" i="1"/>
  <c r="E3111" i="1"/>
  <c r="C3112" i="1"/>
  <c r="D3112" i="1"/>
  <c r="E3112" i="1"/>
  <c r="C3113" i="1"/>
  <c r="D3113" i="1"/>
  <c r="E3113" i="1"/>
  <c r="C3114" i="1"/>
  <c r="D3114" i="1"/>
  <c r="E3114" i="1"/>
  <c r="C3115" i="1"/>
  <c r="D3115" i="1"/>
  <c r="E3115" i="1"/>
  <c r="C3116" i="1"/>
  <c r="D3116" i="1"/>
  <c r="E3116" i="1"/>
  <c r="C3117" i="1"/>
  <c r="D3117" i="1"/>
  <c r="E3117" i="1"/>
  <c r="C3118" i="1"/>
  <c r="D3118" i="1"/>
  <c r="E3118" i="1"/>
  <c r="C3119" i="1"/>
  <c r="D3119" i="1"/>
  <c r="E3119" i="1"/>
  <c r="C3120" i="1"/>
  <c r="D3120" i="1"/>
  <c r="E3120" i="1"/>
  <c r="C3121" i="1"/>
  <c r="D3121" i="1"/>
  <c r="E3121" i="1"/>
  <c r="C3122" i="1"/>
  <c r="D3122" i="1"/>
  <c r="E3122" i="1"/>
  <c r="C3123" i="1"/>
  <c r="D3123" i="1"/>
  <c r="E3123" i="1"/>
  <c r="C3124" i="1"/>
  <c r="D3124" i="1"/>
  <c r="E3124" i="1"/>
  <c r="C3125" i="1"/>
  <c r="D3125" i="1"/>
  <c r="E3125" i="1"/>
  <c r="C3126" i="1"/>
  <c r="D3126" i="1"/>
  <c r="E3126" i="1"/>
  <c r="C3127" i="1"/>
  <c r="D3127" i="1"/>
  <c r="E3127" i="1"/>
  <c r="C3128" i="1"/>
  <c r="D3128" i="1"/>
  <c r="E3128" i="1"/>
  <c r="C3129" i="1"/>
  <c r="D3129" i="1"/>
  <c r="E3129" i="1"/>
  <c r="C3130" i="1"/>
  <c r="D3130" i="1"/>
  <c r="E3130" i="1"/>
  <c r="C3131" i="1"/>
  <c r="D3131" i="1"/>
  <c r="E3131" i="1"/>
  <c r="C3132" i="1"/>
  <c r="D3132" i="1"/>
  <c r="E3132" i="1"/>
  <c r="C3133" i="1"/>
  <c r="D3133" i="1"/>
  <c r="E3133" i="1"/>
  <c r="C3134" i="1"/>
  <c r="D3134" i="1"/>
  <c r="E3134" i="1"/>
  <c r="C3135" i="1"/>
  <c r="D3135" i="1"/>
  <c r="E3135" i="1"/>
  <c r="C3136" i="1"/>
  <c r="D3136" i="1"/>
  <c r="E3136" i="1"/>
  <c r="C3137" i="1"/>
  <c r="D3137" i="1"/>
  <c r="E3137" i="1"/>
  <c r="C3138" i="1"/>
  <c r="D3138" i="1"/>
  <c r="E3138" i="1"/>
  <c r="C3139" i="1"/>
  <c r="D3139" i="1"/>
  <c r="E3139" i="1"/>
  <c r="C3140" i="1"/>
  <c r="D3140" i="1"/>
  <c r="E3140" i="1"/>
  <c r="C3141" i="1"/>
  <c r="D3141" i="1"/>
  <c r="E3141" i="1"/>
  <c r="C3142" i="1"/>
  <c r="D3142" i="1"/>
  <c r="E3142" i="1"/>
  <c r="C3143" i="1"/>
  <c r="D3143" i="1"/>
  <c r="E3143" i="1"/>
  <c r="C3144" i="1"/>
  <c r="D3144" i="1"/>
  <c r="E3144" i="1"/>
  <c r="C3145" i="1"/>
  <c r="D3145" i="1"/>
  <c r="E3145" i="1"/>
  <c r="C3146" i="1"/>
  <c r="D3146" i="1"/>
  <c r="E3146" i="1"/>
  <c r="C3147" i="1"/>
  <c r="D3147" i="1"/>
  <c r="E3147" i="1"/>
  <c r="C3148" i="1"/>
  <c r="D3148" i="1"/>
  <c r="E3148" i="1"/>
  <c r="C3149" i="1"/>
  <c r="D3149" i="1"/>
  <c r="E3149" i="1"/>
  <c r="C3150" i="1"/>
  <c r="D3150" i="1"/>
  <c r="E3150" i="1"/>
  <c r="C3151" i="1"/>
  <c r="D3151" i="1"/>
  <c r="E3151" i="1"/>
  <c r="C3152" i="1"/>
  <c r="D3152" i="1"/>
  <c r="E3152" i="1"/>
  <c r="C3153" i="1"/>
  <c r="D3153" i="1"/>
  <c r="E3153" i="1"/>
  <c r="C3154" i="1"/>
  <c r="D3154" i="1"/>
  <c r="E3154" i="1"/>
  <c r="C3155" i="1"/>
  <c r="D3155" i="1"/>
  <c r="E3155" i="1"/>
  <c r="C3156" i="1"/>
  <c r="D3156" i="1"/>
  <c r="E3156" i="1"/>
  <c r="C3157" i="1"/>
  <c r="D3157" i="1"/>
  <c r="E3157" i="1"/>
  <c r="C3158" i="1"/>
  <c r="D3158" i="1"/>
  <c r="E3158" i="1"/>
  <c r="C3159" i="1"/>
  <c r="D3159" i="1"/>
  <c r="E3159" i="1"/>
  <c r="C3160" i="1"/>
  <c r="D3160" i="1"/>
  <c r="E3160" i="1"/>
  <c r="C3161" i="1"/>
  <c r="D3161" i="1"/>
  <c r="E3161" i="1"/>
  <c r="C3162" i="1"/>
  <c r="D3162" i="1"/>
  <c r="E3162" i="1"/>
  <c r="C3163" i="1"/>
  <c r="D3163" i="1"/>
  <c r="E3163" i="1"/>
  <c r="C3164" i="1"/>
  <c r="D3164" i="1"/>
  <c r="E3164" i="1"/>
  <c r="C3165" i="1"/>
  <c r="D3165" i="1"/>
  <c r="E3165" i="1"/>
  <c r="C3166" i="1"/>
  <c r="D3166" i="1"/>
  <c r="E3166" i="1"/>
  <c r="C3167" i="1"/>
  <c r="D3167" i="1"/>
  <c r="E3167" i="1"/>
  <c r="C3168" i="1"/>
  <c r="D3168" i="1"/>
  <c r="E3168" i="1"/>
  <c r="C3169" i="1"/>
  <c r="D3169" i="1"/>
  <c r="E3169" i="1"/>
  <c r="C3170" i="1"/>
  <c r="D3170" i="1"/>
  <c r="E3170" i="1"/>
  <c r="C3171" i="1"/>
  <c r="D3171" i="1"/>
  <c r="E3171" i="1"/>
  <c r="C3172" i="1"/>
  <c r="D3172" i="1"/>
  <c r="E3172" i="1"/>
  <c r="C3173" i="1"/>
  <c r="D3173" i="1"/>
  <c r="E3173" i="1"/>
  <c r="C3174" i="1"/>
  <c r="D3174" i="1"/>
  <c r="E3174" i="1"/>
  <c r="C3175" i="1"/>
  <c r="D3175" i="1"/>
  <c r="E3175" i="1"/>
  <c r="C3176" i="1"/>
  <c r="D3176" i="1"/>
  <c r="E3176" i="1"/>
  <c r="C3177" i="1"/>
  <c r="D3177" i="1"/>
  <c r="E3177" i="1"/>
  <c r="C3178" i="1"/>
  <c r="D3178" i="1"/>
  <c r="E3178" i="1"/>
  <c r="C3179" i="1"/>
  <c r="D3179" i="1"/>
  <c r="E3179" i="1"/>
  <c r="C3180" i="1"/>
  <c r="D3180" i="1"/>
  <c r="E3180" i="1"/>
  <c r="C3181" i="1"/>
  <c r="D3181" i="1"/>
  <c r="E3181" i="1"/>
  <c r="C3182" i="1"/>
  <c r="D3182" i="1"/>
  <c r="E3182" i="1"/>
  <c r="C3183" i="1"/>
  <c r="D3183" i="1"/>
  <c r="E3183" i="1"/>
  <c r="C3184" i="1"/>
  <c r="D3184" i="1"/>
  <c r="E3184" i="1"/>
  <c r="C3185" i="1"/>
  <c r="D3185" i="1"/>
  <c r="E3185" i="1"/>
  <c r="C3186" i="1"/>
  <c r="D3186" i="1"/>
  <c r="E3186" i="1"/>
  <c r="C3187" i="1"/>
  <c r="D3187" i="1"/>
  <c r="E3187" i="1"/>
  <c r="C3188" i="1"/>
  <c r="D3188" i="1"/>
  <c r="E3188" i="1"/>
  <c r="C3189" i="1"/>
  <c r="D3189" i="1"/>
  <c r="E3189" i="1"/>
  <c r="C3190" i="1"/>
  <c r="D3190" i="1"/>
  <c r="E3190" i="1"/>
  <c r="C3191" i="1"/>
  <c r="D3191" i="1"/>
  <c r="E3191" i="1"/>
  <c r="C3192" i="1"/>
  <c r="D3192" i="1"/>
  <c r="E3192" i="1"/>
  <c r="C3193" i="1"/>
  <c r="D3193" i="1"/>
  <c r="E3193" i="1"/>
  <c r="C3194" i="1"/>
  <c r="D3194" i="1"/>
  <c r="E3194" i="1"/>
  <c r="C3195" i="1"/>
  <c r="D3195" i="1"/>
  <c r="E3195" i="1"/>
  <c r="C3196" i="1"/>
  <c r="D3196" i="1"/>
  <c r="E3196" i="1"/>
  <c r="C3197" i="1"/>
  <c r="D3197" i="1"/>
  <c r="E3197" i="1"/>
  <c r="C3198" i="1"/>
  <c r="D3198" i="1"/>
  <c r="E3198" i="1"/>
  <c r="C3199" i="1"/>
  <c r="D3199" i="1"/>
  <c r="E3199" i="1"/>
  <c r="C3200" i="1"/>
  <c r="D3200" i="1"/>
  <c r="E3200" i="1"/>
  <c r="C3201" i="1"/>
  <c r="D3201" i="1"/>
  <c r="E3201" i="1"/>
  <c r="C3202" i="1"/>
  <c r="D3202" i="1"/>
  <c r="E3202" i="1"/>
  <c r="C3203" i="1"/>
  <c r="D3203" i="1"/>
  <c r="E3203" i="1"/>
  <c r="C3204" i="1"/>
  <c r="D3204" i="1"/>
  <c r="E3204" i="1"/>
  <c r="C3205" i="1"/>
  <c r="D3205" i="1"/>
  <c r="E3205" i="1"/>
  <c r="C3206" i="1"/>
  <c r="D3206" i="1"/>
  <c r="E3206" i="1"/>
  <c r="C3207" i="1"/>
  <c r="D3207" i="1"/>
  <c r="E3207" i="1"/>
  <c r="C3208" i="1"/>
  <c r="D3208" i="1"/>
  <c r="E3208" i="1"/>
  <c r="C3209" i="1"/>
  <c r="D3209" i="1"/>
  <c r="E3209" i="1"/>
  <c r="C3210" i="1"/>
  <c r="D3210" i="1"/>
  <c r="E3210" i="1"/>
  <c r="C3211" i="1"/>
  <c r="D3211" i="1"/>
  <c r="E3211" i="1"/>
  <c r="C3212" i="1"/>
  <c r="D3212" i="1"/>
  <c r="E3212" i="1"/>
  <c r="C3213" i="1"/>
  <c r="D3213" i="1"/>
  <c r="E3213" i="1"/>
  <c r="C3214" i="1"/>
  <c r="D3214" i="1"/>
  <c r="E3214" i="1"/>
  <c r="C3215" i="1"/>
  <c r="D3215" i="1"/>
  <c r="E3215" i="1"/>
  <c r="C3216" i="1"/>
  <c r="D3216" i="1"/>
  <c r="E3216" i="1"/>
  <c r="C3217" i="1"/>
  <c r="D3217" i="1"/>
  <c r="E3217" i="1"/>
  <c r="C3218" i="1"/>
  <c r="D3218" i="1"/>
  <c r="E3218" i="1"/>
  <c r="C3219" i="1"/>
  <c r="D3219" i="1"/>
  <c r="E3219" i="1"/>
  <c r="C3220" i="1"/>
  <c r="D3220" i="1"/>
  <c r="E3220" i="1"/>
  <c r="C3221" i="1"/>
  <c r="D3221" i="1"/>
  <c r="E3221" i="1"/>
  <c r="C3222" i="1"/>
  <c r="D3222" i="1"/>
  <c r="E3222" i="1"/>
  <c r="C3223" i="1"/>
  <c r="D3223" i="1"/>
  <c r="E3223" i="1"/>
  <c r="C3224" i="1"/>
  <c r="D3224" i="1"/>
  <c r="E3224" i="1"/>
  <c r="C3225" i="1"/>
  <c r="D3225" i="1"/>
  <c r="E3225" i="1"/>
  <c r="C3226" i="1"/>
  <c r="D3226" i="1"/>
  <c r="E3226" i="1"/>
  <c r="C3227" i="1"/>
  <c r="D3227" i="1"/>
  <c r="E3227" i="1"/>
  <c r="C3228" i="1"/>
  <c r="D3228" i="1"/>
  <c r="E3228" i="1"/>
  <c r="C3229" i="1"/>
  <c r="D3229" i="1"/>
  <c r="E3229" i="1"/>
  <c r="C3230" i="1"/>
  <c r="D3230" i="1"/>
  <c r="E3230" i="1"/>
  <c r="C3231" i="1"/>
  <c r="D3231" i="1"/>
  <c r="E3231" i="1"/>
  <c r="C3232" i="1"/>
  <c r="D3232" i="1"/>
  <c r="E3232" i="1"/>
  <c r="C3233" i="1"/>
  <c r="D3233" i="1"/>
  <c r="E3233" i="1"/>
  <c r="C3234" i="1"/>
  <c r="D3234" i="1"/>
  <c r="E3234" i="1"/>
  <c r="C3235" i="1"/>
  <c r="D3235" i="1"/>
  <c r="E3235" i="1"/>
  <c r="C3236" i="1"/>
  <c r="D3236" i="1"/>
  <c r="E3236" i="1"/>
  <c r="C3237" i="1"/>
  <c r="D3237" i="1"/>
  <c r="E3237" i="1"/>
  <c r="C3238" i="1"/>
  <c r="D3238" i="1"/>
  <c r="E3238" i="1"/>
  <c r="C3239" i="1"/>
  <c r="D3239" i="1"/>
  <c r="E3239" i="1"/>
  <c r="C3240" i="1"/>
  <c r="D3240" i="1"/>
  <c r="E3240" i="1"/>
  <c r="C3241" i="1"/>
  <c r="D3241" i="1"/>
  <c r="E3241" i="1"/>
  <c r="C3242" i="1"/>
  <c r="D3242" i="1"/>
  <c r="E3242" i="1"/>
  <c r="C3243" i="1"/>
  <c r="D3243" i="1"/>
  <c r="E3243" i="1"/>
  <c r="C3244" i="1"/>
  <c r="D3244" i="1"/>
  <c r="E3244" i="1"/>
  <c r="C3245" i="1"/>
  <c r="D3245" i="1"/>
  <c r="E3245" i="1"/>
  <c r="C3246" i="1"/>
  <c r="D3246" i="1"/>
  <c r="E3246" i="1"/>
  <c r="C3247" i="1"/>
  <c r="D3247" i="1"/>
  <c r="E3247" i="1"/>
  <c r="C3248" i="1"/>
  <c r="D3248" i="1"/>
  <c r="E3248" i="1"/>
  <c r="C3249" i="1"/>
  <c r="D3249" i="1"/>
  <c r="E3249" i="1"/>
  <c r="C3250" i="1"/>
  <c r="D3250" i="1"/>
  <c r="E3250" i="1"/>
  <c r="C3251" i="1"/>
  <c r="D3251" i="1"/>
  <c r="E3251" i="1"/>
  <c r="C3252" i="1"/>
  <c r="D3252" i="1"/>
  <c r="E3252" i="1"/>
  <c r="C3253" i="1"/>
  <c r="D3253" i="1"/>
  <c r="E3253" i="1"/>
  <c r="C3254" i="1"/>
  <c r="D3254" i="1"/>
  <c r="E3254" i="1"/>
  <c r="C3255" i="1"/>
  <c r="D3255" i="1"/>
  <c r="E3255" i="1"/>
  <c r="C3256" i="1"/>
  <c r="D3256" i="1"/>
  <c r="E3256" i="1"/>
  <c r="C3257" i="1"/>
  <c r="D3257" i="1"/>
  <c r="E3257" i="1"/>
  <c r="C3258" i="1"/>
  <c r="D3258" i="1"/>
  <c r="E3258" i="1"/>
  <c r="C3259" i="1"/>
  <c r="D3259" i="1"/>
  <c r="E3259" i="1"/>
  <c r="C3260" i="1"/>
  <c r="D3260" i="1"/>
  <c r="E3260" i="1"/>
  <c r="C3261" i="1"/>
  <c r="D3261" i="1"/>
  <c r="E3261" i="1"/>
  <c r="C3262" i="1"/>
  <c r="D3262" i="1"/>
  <c r="E3262" i="1"/>
  <c r="C3263" i="1"/>
  <c r="D3263" i="1"/>
  <c r="E3263" i="1"/>
  <c r="C3264" i="1"/>
  <c r="D3264" i="1"/>
  <c r="E3264" i="1"/>
  <c r="C3265" i="1"/>
  <c r="D3265" i="1"/>
  <c r="E3265" i="1"/>
  <c r="C3266" i="1"/>
  <c r="D3266" i="1"/>
  <c r="E3266" i="1"/>
  <c r="C3267" i="1"/>
  <c r="D3267" i="1"/>
  <c r="E3267" i="1"/>
  <c r="C3268" i="1"/>
  <c r="D3268" i="1"/>
  <c r="E3268" i="1"/>
  <c r="C3269" i="1"/>
  <c r="D3269" i="1"/>
  <c r="E3269" i="1"/>
  <c r="C3270" i="1"/>
  <c r="D3270" i="1"/>
  <c r="E3270" i="1"/>
  <c r="C3271" i="1"/>
  <c r="D3271" i="1"/>
  <c r="E3271" i="1"/>
  <c r="C3272" i="1"/>
  <c r="D3272" i="1"/>
  <c r="E3272" i="1"/>
  <c r="C3273" i="1"/>
  <c r="D3273" i="1"/>
  <c r="E3273" i="1"/>
  <c r="C3274" i="1"/>
  <c r="D3274" i="1"/>
  <c r="E3274" i="1"/>
  <c r="C3275" i="1"/>
  <c r="D3275" i="1"/>
  <c r="E3275" i="1"/>
  <c r="C3276" i="1"/>
  <c r="D3276" i="1"/>
  <c r="E3276" i="1"/>
  <c r="C3277" i="1"/>
  <c r="D3277" i="1"/>
  <c r="E3277" i="1"/>
  <c r="C3278" i="1"/>
  <c r="D3278" i="1"/>
  <c r="E3278" i="1"/>
  <c r="C3279" i="1"/>
  <c r="D3279" i="1"/>
  <c r="E3279" i="1"/>
  <c r="C3280" i="1"/>
  <c r="D3280" i="1"/>
  <c r="E3280" i="1"/>
  <c r="C3281" i="1"/>
  <c r="D3281" i="1"/>
  <c r="E3281" i="1"/>
  <c r="C3282" i="1"/>
  <c r="D3282" i="1"/>
  <c r="E3282" i="1"/>
  <c r="C3283" i="1"/>
  <c r="D3283" i="1"/>
  <c r="E3283" i="1"/>
  <c r="C3284" i="1"/>
  <c r="D3284" i="1"/>
  <c r="E3284" i="1"/>
  <c r="C3285" i="1"/>
  <c r="D3285" i="1"/>
  <c r="E3285" i="1"/>
  <c r="C3286" i="1"/>
  <c r="D3286" i="1"/>
  <c r="E3286" i="1"/>
  <c r="C3287" i="1"/>
  <c r="D3287" i="1"/>
  <c r="E3287" i="1"/>
  <c r="C3288" i="1"/>
  <c r="D3288" i="1"/>
  <c r="E3288" i="1"/>
  <c r="C3289" i="1"/>
  <c r="D3289" i="1"/>
  <c r="E3289" i="1"/>
  <c r="C3290" i="1"/>
  <c r="D3290" i="1"/>
  <c r="E3290" i="1"/>
  <c r="C3291" i="1"/>
  <c r="D3291" i="1"/>
  <c r="E3291" i="1"/>
  <c r="C3292" i="1"/>
  <c r="D3292" i="1"/>
  <c r="E3292" i="1"/>
  <c r="C3293" i="1"/>
  <c r="D3293" i="1"/>
  <c r="E3293" i="1"/>
  <c r="C3294" i="1"/>
  <c r="D3294" i="1"/>
  <c r="E3294" i="1"/>
  <c r="C3295" i="1"/>
  <c r="D3295" i="1"/>
  <c r="E3295" i="1"/>
  <c r="C3296" i="1"/>
  <c r="D3296" i="1"/>
  <c r="E3296" i="1"/>
  <c r="C3297" i="1"/>
  <c r="D3297" i="1"/>
  <c r="E3297" i="1"/>
  <c r="C3298" i="1"/>
  <c r="D3298" i="1"/>
  <c r="E3298" i="1"/>
  <c r="C3299" i="1"/>
  <c r="D3299" i="1"/>
  <c r="E3299" i="1"/>
  <c r="C3300" i="1"/>
  <c r="D3300" i="1"/>
  <c r="E3300" i="1"/>
  <c r="C3301" i="1"/>
  <c r="D3301" i="1"/>
  <c r="E3301" i="1"/>
  <c r="C3302" i="1"/>
  <c r="D3302" i="1"/>
  <c r="E3302" i="1"/>
  <c r="C3303" i="1"/>
  <c r="D3303" i="1"/>
  <c r="E3303" i="1"/>
  <c r="C3304" i="1"/>
  <c r="D3304" i="1"/>
  <c r="E3304" i="1"/>
  <c r="C3305" i="1"/>
  <c r="D3305" i="1"/>
  <c r="E3305" i="1"/>
  <c r="C3306" i="1"/>
  <c r="D3306" i="1"/>
  <c r="E3306" i="1"/>
  <c r="C3307" i="1"/>
  <c r="D3307" i="1"/>
  <c r="E3307" i="1"/>
  <c r="C3308" i="1"/>
  <c r="D3308" i="1"/>
  <c r="E3308" i="1"/>
  <c r="C3309" i="1"/>
  <c r="D3309" i="1"/>
  <c r="E3309" i="1"/>
  <c r="C3310" i="1"/>
  <c r="D3310" i="1"/>
  <c r="E3310" i="1"/>
  <c r="C3311" i="1"/>
  <c r="D3311" i="1"/>
  <c r="E3311" i="1"/>
  <c r="C3312" i="1"/>
  <c r="D3312" i="1"/>
  <c r="E3312" i="1"/>
  <c r="C3313" i="1"/>
  <c r="D3313" i="1"/>
  <c r="E3313" i="1"/>
  <c r="C3314" i="1"/>
  <c r="D3314" i="1"/>
  <c r="E3314" i="1"/>
  <c r="C3315" i="1"/>
  <c r="D3315" i="1"/>
  <c r="E3315" i="1"/>
  <c r="C3316" i="1"/>
  <c r="D3316" i="1"/>
  <c r="E3316" i="1"/>
  <c r="C3317" i="1"/>
  <c r="D3317" i="1"/>
  <c r="E3317" i="1"/>
  <c r="C3318" i="1"/>
  <c r="D3318" i="1"/>
  <c r="E3318" i="1"/>
  <c r="C3319" i="1"/>
  <c r="D3319" i="1"/>
  <c r="E3319" i="1"/>
  <c r="C3320" i="1"/>
  <c r="D3320" i="1"/>
  <c r="E3320" i="1"/>
  <c r="C3321" i="1"/>
  <c r="D3321" i="1"/>
  <c r="E3321" i="1"/>
  <c r="C3322" i="1"/>
  <c r="D3322" i="1"/>
  <c r="E3322" i="1"/>
  <c r="C3323" i="1"/>
  <c r="D3323" i="1"/>
  <c r="E3323" i="1"/>
  <c r="C3324" i="1"/>
  <c r="D3324" i="1"/>
  <c r="E3324" i="1"/>
  <c r="C3325" i="1"/>
  <c r="D3325" i="1"/>
  <c r="E3325" i="1"/>
  <c r="C3326" i="1"/>
  <c r="D3326" i="1"/>
  <c r="E3326" i="1"/>
  <c r="C3327" i="1"/>
  <c r="D3327" i="1"/>
  <c r="E3327" i="1"/>
  <c r="C3328" i="1"/>
  <c r="D3328" i="1"/>
  <c r="E3328" i="1"/>
  <c r="C3329" i="1"/>
  <c r="D3329" i="1"/>
  <c r="E3329" i="1"/>
  <c r="C3330" i="1"/>
  <c r="D3330" i="1"/>
  <c r="E3330" i="1"/>
  <c r="C3331" i="1"/>
  <c r="D3331" i="1"/>
  <c r="E3331" i="1"/>
  <c r="C3332" i="1"/>
  <c r="D3332" i="1"/>
  <c r="E3332" i="1"/>
  <c r="C3333" i="1"/>
  <c r="D3333" i="1"/>
  <c r="E3333" i="1"/>
  <c r="C3334" i="1"/>
  <c r="D3334" i="1"/>
  <c r="E3334" i="1"/>
  <c r="C3335" i="1"/>
  <c r="D3335" i="1"/>
  <c r="E3335" i="1"/>
  <c r="C3336" i="1"/>
  <c r="D3336" i="1"/>
  <c r="E3336" i="1"/>
  <c r="C3337" i="1"/>
  <c r="D3337" i="1"/>
  <c r="E3337" i="1"/>
  <c r="C3338" i="1"/>
  <c r="D3338" i="1"/>
  <c r="E3338" i="1"/>
  <c r="C3339" i="1"/>
  <c r="D3339" i="1"/>
  <c r="E3339" i="1"/>
  <c r="C3340" i="1"/>
  <c r="D3340" i="1"/>
  <c r="E3340" i="1"/>
  <c r="C3341" i="1"/>
  <c r="D3341" i="1"/>
  <c r="E3341" i="1"/>
  <c r="C3342" i="1"/>
  <c r="D3342" i="1"/>
  <c r="E3342" i="1"/>
  <c r="C3343" i="1"/>
  <c r="D3343" i="1"/>
  <c r="E3343" i="1"/>
  <c r="C3344" i="1"/>
  <c r="D3344" i="1"/>
  <c r="E3344" i="1"/>
  <c r="C3345" i="1"/>
  <c r="D3345" i="1"/>
  <c r="E3345" i="1"/>
  <c r="C3346" i="1"/>
  <c r="D3346" i="1"/>
  <c r="E3346" i="1"/>
  <c r="C3347" i="1"/>
  <c r="D3347" i="1"/>
  <c r="E3347" i="1"/>
  <c r="C3348" i="1"/>
  <c r="D3348" i="1"/>
  <c r="E3348" i="1"/>
  <c r="C3349" i="1"/>
  <c r="D3349" i="1"/>
  <c r="E3349" i="1"/>
  <c r="C3350" i="1"/>
  <c r="D3350" i="1"/>
  <c r="E3350" i="1"/>
  <c r="C3351" i="1"/>
  <c r="D3351" i="1"/>
  <c r="E3351" i="1"/>
  <c r="C3352" i="1"/>
  <c r="D3352" i="1"/>
  <c r="E3352" i="1"/>
  <c r="C3353" i="1"/>
  <c r="D3353" i="1"/>
  <c r="E3353" i="1"/>
  <c r="C3354" i="1"/>
  <c r="D3354" i="1"/>
  <c r="E3354" i="1"/>
  <c r="C3355" i="1"/>
  <c r="D3355" i="1"/>
  <c r="E3355" i="1"/>
  <c r="C3356" i="1"/>
  <c r="D3356" i="1"/>
  <c r="E3356" i="1"/>
  <c r="C3357" i="1"/>
  <c r="D3357" i="1"/>
  <c r="E3357" i="1"/>
  <c r="C3358" i="1"/>
  <c r="D3358" i="1"/>
  <c r="E3358" i="1"/>
  <c r="C3359" i="1"/>
  <c r="D3359" i="1"/>
  <c r="E3359" i="1"/>
  <c r="C3360" i="1"/>
  <c r="D3360" i="1"/>
  <c r="E3360" i="1"/>
  <c r="C3361" i="1"/>
  <c r="D3361" i="1"/>
  <c r="E3361" i="1"/>
  <c r="C3362" i="1"/>
  <c r="D3362" i="1"/>
  <c r="E3362" i="1"/>
  <c r="C3363" i="1"/>
  <c r="D3363" i="1"/>
  <c r="E3363" i="1"/>
  <c r="C3364" i="1"/>
  <c r="D3364" i="1"/>
  <c r="E3364" i="1"/>
  <c r="C3365" i="1"/>
  <c r="D3365" i="1"/>
  <c r="E3365" i="1"/>
  <c r="C3366" i="1"/>
  <c r="D3366" i="1"/>
  <c r="E3366" i="1"/>
  <c r="C3367" i="1"/>
  <c r="D3367" i="1"/>
  <c r="E3367" i="1"/>
  <c r="C3368" i="1"/>
  <c r="D3368" i="1"/>
  <c r="E3368" i="1"/>
  <c r="C3369" i="1"/>
  <c r="D3369" i="1"/>
  <c r="E3369" i="1"/>
  <c r="C3370" i="1"/>
  <c r="D3370" i="1"/>
  <c r="E3370" i="1"/>
  <c r="C3371" i="1"/>
  <c r="D3371" i="1"/>
  <c r="E3371" i="1"/>
  <c r="C3372" i="1"/>
  <c r="D3372" i="1"/>
  <c r="E3372" i="1"/>
  <c r="C3373" i="1"/>
  <c r="D3373" i="1"/>
  <c r="E3373" i="1"/>
  <c r="C3374" i="1"/>
  <c r="D3374" i="1"/>
  <c r="E3374" i="1"/>
  <c r="C3375" i="1"/>
  <c r="D3375" i="1"/>
  <c r="E3375" i="1"/>
  <c r="C3376" i="1"/>
  <c r="D3376" i="1"/>
  <c r="E3376" i="1"/>
  <c r="C3377" i="1"/>
  <c r="D3377" i="1"/>
  <c r="E3377" i="1"/>
  <c r="C3378" i="1"/>
  <c r="D3378" i="1"/>
  <c r="E3378" i="1"/>
  <c r="C3379" i="1"/>
  <c r="D3379" i="1"/>
  <c r="E3379" i="1"/>
  <c r="C3380" i="1"/>
  <c r="D3380" i="1"/>
  <c r="E3380" i="1"/>
  <c r="C3381" i="1"/>
  <c r="D3381" i="1"/>
  <c r="E3381" i="1"/>
  <c r="C3382" i="1"/>
  <c r="D3382" i="1"/>
  <c r="E3382" i="1"/>
  <c r="C3383" i="1"/>
  <c r="D3383" i="1"/>
  <c r="E3383" i="1"/>
  <c r="C3384" i="1"/>
  <c r="D3384" i="1"/>
  <c r="E3384" i="1"/>
  <c r="C3385" i="1"/>
  <c r="D3385" i="1"/>
  <c r="E3385" i="1"/>
  <c r="C3386" i="1"/>
  <c r="D3386" i="1"/>
  <c r="E3386" i="1"/>
  <c r="C3387" i="1"/>
  <c r="D3387" i="1"/>
  <c r="E3387" i="1"/>
  <c r="C3388" i="1"/>
  <c r="D3388" i="1"/>
  <c r="E3388" i="1"/>
  <c r="C3389" i="1"/>
  <c r="D3389" i="1"/>
  <c r="E3389" i="1"/>
  <c r="C3390" i="1"/>
  <c r="D3390" i="1"/>
  <c r="E3390" i="1"/>
  <c r="C3391" i="1"/>
  <c r="D3391" i="1"/>
  <c r="E3391" i="1"/>
  <c r="C3392" i="1"/>
  <c r="D3392" i="1"/>
  <c r="E3392" i="1"/>
  <c r="C3393" i="1"/>
  <c r="D3393" i="1"/>
  <c r="E3393" i="1"/>
  <c r="C3394" i="1"/>
  <c r="D3394" i="1"/>
  <c r="E3394" i="1"/>
  <c r="C3395" i="1"/>
  <c r="D3395" i="1"/>
  <c r="E3395" i="1"/>
  <c r="C3396" i="1"/>
  <c r="D3396" i="1"/>
  <c r="E3396" i="1"/>
  <c r="C3397" i="1"/>
  <c r="D3397" i="1"/>
  <c r="E3397" i="1"/>
  <c r="C3398" i="1"/>
  <c r="D3398" i="1"/>
  <c r="E3398" i="1"/>
  <c r="C3399" i="1"/>
  <c r="D3399" i="1"/>
  <c r="E3399" i="1"/>
  <c r="C3400" i="1"/>
  <c r="D3400" i="1"/>
  <c r="E3400" i="1"/>
  <c r="C3401" i="1"/>
  <c r="D3401" i="1"/>
  <c r="E3401" i="1"/>
  <c r="C3402" i="1"/>
  <c r="D3402" i="1"/>
  <c r="E3402" i="1"/>
  <c r="C3403" i="1"/>
  <c r="D3403" i="1"/>
  <c r="E3403" i="1"/>
  <c r="C3404" i="1"/>
  <c r="D3404" i="1"/>
  <c r="E3404" i="1"/>
  <c r="C3405" i="1"/>
  <c r="D3405" i="1"/>
  <c r="E3405" i="1"/>
  <c r="C3406" i="1"/>
  <c r="D3406" i="1"/>
  <c r="E3406" i="1"/>
  <c r="C3407" i="1"/>
  <c r="D3407" i="1"/>
  <c r="E3407" i="1"/>
  <c r="C3408" i="1"/>
  <c r="D3408" i="1"/>
  <c r="E3408" i="1"/>
  <c r="C3409" i="1"/>
  <c r="D3409" i="1"/>
  <c r="E3409" i="1"/>
  <c r="C3410" i="1"/>
  <c r="D3410" i="1"/>
  <c r="E3410" i="1"/>
  <c r="C3411" i="1"/>
  <c r="D3411" i="1"/>
  <c r="E3411" i="1"/>
  <c r="C3412" i="1"/>
  <c r="D3412" i="1"/>
  <c r="E3412" i="1"/>
  <c r="C3413" i="1"/>
  <c r="D3413" i="1"/>
  <c r="E3413" i="1"/>
  <c r="C3414" i="1"/>
  <c r="D3414" i="1"/>
  <c r="E3414" i="1"/>
  <c r="C3415" i="1"/>
  <c r="D3415" i="1"/>
  <c r="E3415" i="1"/>
  <c r="C3416" i="1"/>
  <c r="D3416" i="1"/>
  <c r="E3416" i="1"/>
  <c r="C3417" i="1"/>
  <c r="D3417" i="1"/>
  <c r="E3417" i="1"/>
  <c r="C3418" i="1"/>
  <c r="D3418" i="1"/>
  <c r="E3418" i="1"/>
  <c r="C3419" i="1"/>
  <c r="D3419" i="1"/>
  <c r="E3419" i="1"/>
  <c r="C3420" i="1"/>
  <c r="D3420" i="1"/>
  <c r="E3420" i="1"/>
  <c r="C3421" i="1"/>
  <c r="D3421" i="1"/>
  <c r="E3421" i="1"/>
  <c r="C3422" i="1"/>
  <c r="D3422" i="1"/>
  <c r="E3422" i="1"/>
  <c r="C3423" i="1"/>
  <c r="D3423" i="1"/>
  <c r="E3423" i="1"/>
  <c r="C3424" i="1"/>
  <c r="D3424" i="1"/>
  <c r="E3424" i="1"/>
  <c r="C3425" i="1"/>
  <c r="D3425" i="1"/>
  <c r="E3425" i="1"/>
  <c r="C3426" i="1"/>
  <c r="D3426" i="1"/>
  <c r="E3426" i="1"/>
  <c r="C3427" i="1"/>
  <c r="D3427" i="1"/>
  <c r="E3427" i="1"/>
  <c r="C3428" i="1"/>
  <c r="D3428" i="1"/>
  <c r="E3428" i="1"/>
  <c r="C3429" i="1"/>
  <c r="D3429" i="1"/>
  <c r="E3429" i="1"/>
  <c r="C3430" i="1"/>
  <c r="D3430" i="1"/>
  <c r="E3430" i="1"/>
  <c r="C3431" i="1"/>
  <c r="D3431" i="1"/>
  <c r="E3431" i="1"/>
  <c r="C3432" i="1"/>
  <c r="D3432" i="1"/>
  <c r="E3432" i="1"/>
  <c r="C3433" i="1"/>
  <c r="D3433" i="1"/>
  <c r="E3433" i="1"/>
  <c r="C3434" i="1"/>
  <c r="D3434" i="1"/>
  <c r="E3434" i="1"/>
  <c r="C3435" i="1"/>
  <c r="D3435" i="1"/>
  <c r="E3435" i="1"/>
  <c r="C3436" i="1"/>
  <c r="D3436" i="1"/>
  <c r="E3436" i="1"/>
  <c r="C3437" i="1"/>
  <c r="D3437" i="1"/>
  <c r="E3437" i="1"/>
  <c r="C3438" i="1"/>
  <c r="D3438" i="1"/>
  <c r="E3438" i="1"/>
  <c r="C3439" i="1"/>
  <c r="D3439" i="1"/>
  <c r="E3439" i="1"/>
  <c r="C3440" i="1"/>
  <c r="D3440" i="1"/>
  <c r="E3440" i="1"/>
  <c r="C3441" i="1"/>
  <c r="D3441" i="1"/>
  <c r="E3441" i="1"/>
  <c r="C3442" i="1"/>
  <c r="D3442" i="1"/>
  <c r="E3442" i="1"/>
  <c r="C3443" i="1"/>
  <c r="D3443" i="1"/>
  <c r="E3443" i="1"/>
  <c r="C3444" i="1"/>
  <c r="D3444" i="1"/>
  <c r="E3444" i="1"/>
  <c r="C3445" i="1"/>
  <c r="D3445" i="1"/>
  <c r="E3445" i="1"/>
  <c r="C3446" i="1"/>
  <c r="D3446" i="1"/>
  <c r="E3446" i="1"/>
  <c r="C3447" i="1"/>
  <c r="D3447" i="1"/>
  <c r="E3447" i="1"/>
  <c r="C3448" i="1"/>
  <c r="D3448" i="1"/>
  <c r="E3448" i="1"/>
  <c r="C3449" i="1"/>
  <c r="D3449" i="1"/>
  <c r="E3449" i="1"/>
  <c r="C3450" i="1"/>
  <c r="D3450" i="1"/>
  <c r="E3450" i="1"/>
  <c r="C3451" i="1"/>
  <c r="D3451" i="1"/>
  <c r="E3451" i="1"/>
  <c r="C3452" i="1"/>
  <c r="D3452" i="1"/>
  <c r="E3452" i="1"/>
  <c r="C3453" i="1"/>
  <c r="D3453" i="1"/>
  <c r="E3453" i="1"/>
  <c r="C3454" i="1"/>
  <c r="D3454" i="1"/>
  <c r="E3454" i="1"/>
  <c r="C3455" i="1"/>
  <c r="D3455" i="1"/>
  <c r="E3455" i="1"/>
  <c r="C3456" i="1"/>
  <c r="D3456" i="1"/>
  <c r="E3456" i="1"/>
  <c r="C3457" i="1"/>
  <c r="D3457" i="1"/>
  <c r="E3457" i="1"/>
  <c r="C3458" i="1"/>
  <c r="D3458" i="1"/>
  <c r="E3458" i="1"/>
  <c r="C3459" i="1"/>
  <c r="D3459" i="1"/>
  <c r="E3459" i="1"/>
  <c r="C3460" i="1"/>
  <c r="D3460" i="1"/>
  <c r="E3460" i="1"/>
  <c r="C3461" i="1"/>
  <c r="D3461" i="1"/>
  <c r="E3461" i="1"/>
  <c r="C3462" i="1"/>
  <c r="D3462" i="1"/>
  <c r="E3462" i="1"/>
  <c r="C3463" i="1"/>
  <c r="D3463" i="1"/>
  <c r="E3463" i="1"/>
  <c r="C3464" i="1"/>
  <c r="D3464" i="1"/>
  <c r="E3464" i="1"/>
  <c r="C3465" i="1"/>
  <c r="D3465" i="1"/>
  <c r="E3465" i="1"/>
  <c r="C3466" i="1"/>
  <c r="D3466" i="1"/>
  <c r="E3466" i="1"/>
  <c r="C3467" i="1"/>
  <c r="D3467" i="1"/>
  <c r="E3467" i="1"/>
  <c r="C3468" i="1"/>
  <c r="D3468" i="1"/>
  <c r="E3468" i="1"/>
  <c r="C3469" i="1"/>
  <c r="D3469" i="1"/>
  <c r="E3469" i="1"/>
  <c r="C3470" i="1"/>
  <c r="D3470" i="1"/>
  <c r="E3470" i="1"/>
  <c r="C3471" i="1"/>
  <c r="D3471" i="1"/>
  <c r="E3471" i="1"/>
  <c r="C3472" i="1"/>
  <c r="D3472" i="1"/>
  <c r="E3472" i="1"/>
  <c r="C3473" i="1"/>
  <c r="D3473" i="1"/>
  <c r="E3473" i="1"/>
  <c r="C3474" i="1"/>
  <c r="D3474" i="1"/>
  <c r="E3474" i="1"/>
  <c r="C3475" i="1"/>
  <c r="D3475" i="1"/>
  <c r="E3475" i="1"/>
  <c r="C3476" i="1"/>
  <c r="D3476" i="1"/>
  <c r="E3476" i="1"/>
  <c r="C3477" i="1"/>
  <c r="D3477" i="1"/>
  <c r="E3477" i="1"/>
  <c r="C3478" i="1"/>
  <c r="D3478" i="1"/>
  <c r="E3478" i="1"/>
  <c r="C3479" i="1"/>
  <c r="D3479" i="1"/>
  <c r="E3479" i="1"/>
  <c r="C3480" i="1"/>
  <c r="D3480" i="1"/>
  <c r="E3480" i="1"/>
  <c r="C3481" i="1"/>
  <c r="D3481" i="1"/>
  <c r="E3481" i="1"/>
  <c r="C3482" i="1"/>
  <c r="D3482" i="1"/>
  <c r="E3482" i="1"/>
  <c r="C3483" i="1"/>
  <c r="D3483" i="1"/>
  <c r="E3483" i="1"/>
  <c r="C3484" i="1"/>
  <c r="D3484" i="1"/>
  <c r="E3484" i="1"/>
  <c r="C3485" i="1"/>
  <c r="D3485" i="1"/>
  <c r="E3485" i="1"/>
  <c r="C3486" i="1"/>
  <c r="D3486" i="1"/>
  <c r="E3486" i="1"/>
  <c r="C3487" i="1"/>
  <c r="D3487" i="1"/>
  <c r="E3487" i="1"/>
  <c r="C3488" i="1"/>
  <c r="D3488" i="1"/>
  <c r="E3488" i="1"/>
  <c r="C3489" i="1"/>
  <c r="D3489" i="1"/>
  <c r="E3489" i="1"/>
  <c r="C3490" i="1"/>
  <c r="D3490" i="1"/>
  <c r="E3490" i="1"/>
  <c r="C3491" i="1"/>
  <c r="D3491" i="1"/>
  <c r="E3491" i="1"/>
  <c r="C3492" i="1"/>
  <c r="D3492" i="1"/>
  <c r="E3492" i="1"/>
  <c r="C3493" i="1"/>
  <c r="D3493" i="1"/>
  <c r="E3493" i="1"/>
  <c r="C3494" i="1"/>
  <c r="D3494" i="1"/>
  <c r="E3494" i="1"/>
  <c r="C3495" i="1"/>
  <c r="D3495" i="1"/>
  <c r="E3495" i="1"/>
  <c r="C3496" i="1"/>
  <c r="D3496" i="1"/>
  <c r="E3496" i="1"/>
  <c r="C3497" i="1"/>
  <c r="D3497" i="1"/>
  <c r="E3497" i="1"/>
  <c r="C3498" i="1"/>
  <c r="D3498" i="1"/>
  <c r="E3498" i="1"/>
  <c r="C3499" i="1"/>
  <c r="D3499" i="1"/>
  <c r="E3499" i="1"/>
  <c r="C3500" i="1"/>
  <c r="D3500" i="1"/>
  <c r="E3500" i="1"/>
  <c r="C3501" i="1"/>
  <c r="D3501" i="1"/>
  <c r="E3501" i="1"/>
  <c r="C3502" i="1"/>
  <c r="D3502" i="1"/>
  <c r="E3502" i="1"/>
  <c r="C3503" i="1"/>
  <c r="D3503" i="1"/>
  <c r="E3503" i="1"/>
  <c r="C3504" i="1"/>
  <c r="D3504" i="1"/>
  <c r="E3504" i="1"/>
  <c r="C3505" i="1"/>
  <c r="D3505" i="1"/>
  <c r="E3505" i="1"/>
  <c r="C3506" i="1"/>
  <c r="D3506" i="1"/>
  <c r="E3506" i="1"/>
  <c r="C3507" i="1"/>
  <c r="D3507" i="1"/>
  <c r="E3507" i="1"/>
  <c r="C3508" i="1"/>
  <c r="D3508" i="1"/>
  <c r="E3508" i="1"/>
  <c r="C3509" i="1"/>
  <c r="D3509" i="1"/>
  <c r="E3509" i="1"/>
  <c r="C3510" i="1"/>
  <c r="D3510" i="1"/>
  <c r="E3510" i="1"/>
  <c r="C3511" i="1"/>
  <c r="D3511" i="1"/>
  <c r="E3511" i="1"/>
  <c r="C3512" i="1"/>
  <c r="D3512" i="1"/>
  <c r="E3512" i="1"/>
  <c r="C3513" i="1"/>
  <c r="D3513" i="1"/>
  <c r="E3513" i="1"/>
  <c r="C3514" i="1"/>
  <c r="D3514" i="1"/>
  <c r="E3514" i="1"/>
  <c r="C3515" i="1"/>
  <c r="D3515" i="1"/>
  <c r="E3515" i="1"/>
  <c r="C3516" i="1"/>
  <c r="D3516" i="1"/>
  <c r="E3516" i="1"/>
  <c r="C3517" i="1"/>
  <c r="D3517" i="1"/>
  <c r="E3517" i="1"/>
  <c r="C3518" i="1"/>
  <c r="D3518" i="1"/>
  <c r="E3518" i="1"/>
  <c r="C3519" i="1"/>
  <c r="D3519" i="1"/>
  <c r="E3519" i="1"/>
  <c r="C3520" i="1"/>
  <c r="D3520" i="1"/>
  <c r="E3520" i="1"/>
  <c r="C3521" i="1"/>
  <c r="D3521" i="1"/>
  <c r="E3521" i="1"/>
  <c r="C3522" i="1"/>
  <c r="D3522" i="1"/>
  <c r="E3522" i="1"/>
  <c r="C3523" i="1"/>
  <c r="D3523" i="1"/>
  <c r="E3523" i="1"/>
  <c r="C3524" i="1"/>
  <c r="D3524" i="1"/>
  <c r="E3524" i="1"/>
  <c r="C3525" i="1"/>
  <c r="D3525" i="1"/>
  <c r="E3525" i="1"/>
  <c r="C3526" i="1"/>
  <c r="D3526" i="1"/>
  <c r="E3526" i="1"/>
  <c r="C3527" i="1"/>
  <c r="D3527" i="1"/>
  <c r="E3527" i="1"/>
  <c r="C3528" i="1"/>
  <c r="D3528" i="1"/>
  <c r="E3528" i="1"/>
  <c r="C3529" i="1"/>
  <c r="D3529" i="1"/>
  <c r="E3529" i="1"/>
  <c r="C3530" i="1"/>
  <c r="D3530" i="1"/>
  <c r="E3530" i="1"/>
  <c r="C3531" i="1"/>
  <c r="D3531" i="1"/>
  <c r="E3531" i="1"/>
  <c r="C3532" i="1"/>
  <c r="D3532" i="1"/>
  <c r="E3532" i="1"/>
  <c r="C3533" i="1"/>
  <c r="D3533" i="1"/>
  <c r="E3533" i="1"/>
  <c r="C3534" i="1"/>
  <c r="D3534" i="1"/>
  <c r="E3534" i="1"/>
  <c r="C3535" i="1"/>
  <c r="D3535" i="1"/>
  <c r="E3535" i="1"/>
  <c r="C3536" i="1"/>
  <c r="D3536" i="1"/>
  <c r="E3536" i="1"/>
  <c r="C3537" i="1"/>
  <c r="D3537" i="1"/>
  <c r="E3537" i="1"/>
  <c r="C3538" i="1"/>
  <c r="D3538" i="1"/>
  <c r="E3538" i="1"/>
  <c r="C3539" i="1"/>
  <c r="D3539" i="1"/>
  <c r="E3539" i="1"/>
  <c r="C3540" i="1"/>
  <c r="D3540" i="1"/>
  <c r="E3540" i="1"/>
  <c r="C3541" i="1"/>
  <c r="D3541" i="1"/>
  <c r="E3541" i="1"/>
  <c r="C3542" i="1"/>
  <c r="D3542" i="1"/>
  <c r="E3542" i="1"/>
  <c r="C3543" i="1"/>
  <c r="D3543" i="1"/>
  <c r="E3543" i="1"/>
  <c r="C3544" i="1"/>
  <c r="D3544" i="1"/>
  <c r="E3544" i="1"/>
  <c r="C3545" i="1"/>
  <c r="D3545" i="1"/>
  <c r="E3545" i="1"/>
  <c r="C3546" i="1"/>
  <c r="D3546" i="1"/>
  <c r="E3546" i="1"/>
  <c r="C3547" i="1"/>
  <c r="D3547" i="1"/>
  <c r="E3547" i="1"/>
  <c r="C3548" i="1"/>
  <c r="D3548" i="1"/>
  <c r="E3548" i="1"/>
  <c r="C3549" i="1"/>
  <c r="D3549" i="1"/>
  <c r="E3549" i="1"/>
  <c r="C3550" i="1"/>
  <c r="D3550" i="1"/>
  <c r="E3550" i="1"/>
  <c r="C3551" i="1"/>
  <c r="D3551" i="1"/>
  <c r="E3551" i="1"/>
  <c r="C3552" i="1"/>
  <c r="D3552" i="1"/>
  <c r="E3552" i="1"/>
  <c r="C3553" i="1"/>
  <c r="D3553" i="1"/>
  <c r="E3553" i="1"/>
  <c r="C3554" i="1"/>
  <c r="D3554" i="1"/>
  <c r="E3554" i="1"/>
  <c r="C3555" i="1"/>
  <c r="D3555" i="1"/>
  <c r="E3555" i="1"/>
  <c r="C3556" i="1"/>
  <c r="D3556" i="1"/>
  <c r="E3556" i="1"/>
  <c r="C3557" i="1"/>
  <c r="D3557" i="1"/>
  <c r="E3557" i="1"/>
  <c r="C3558" i="1"/>
  <c r="D3558" i="1"/>
  <c r="E3558" i="1"/>
  <c r="C3559" i="1"/>
  <c r="D3559" i="1"/>
  <c r="E3559" i="1"/>
  <c r="C3560" i="1"/>
  <c r="D3560" i="1"/>
  <c r="E3560" i="1"/>
  <c r="C3561" i="1"/>
  <c r="D3561" i="1"/>
  <c r="E3561" i="1"/>
  <c r="C3562" i="1"/>
  <c r="D3562" i="1"/>
  <c r="E3562" i="1"/>
  <c r="C3563" i="1"/>
  <c r="D3563" i="1"/>
  <c r="E3563" i="1"/>
  <c r="C3564" i="1"/>
  <c r="D3564" i="1"/>
  <c r="E3564" i="1"/>
  <c r="C3565" i="1"/>
  <c r="D3565" i="1"/>
  <c r="E3565" i="1"/>
  <c r="C3566" i="1"/>
  <c r="D3566" i="1"/>
  <c r="E3566" i="1"/>
  <c r="C3567" i="1"/>
  <c r="D3567" i="1"/>
  <c r="E3567" i="1"/>
  <c r="C3568" i="1"/>
  <c r="D3568" i="1"/>
  <c r="E3568" i="1"/>
  <c r="C3569" i="1"/>
  <c r="D3569" i="1"/>
  <c r="E3569" i="1"/>
  <c r="C3570" i="1"/>
  <c r="D3570" i="1"/>
  <c r="E3570" i="1"/>
  <c r="C3571" i="1"/>
  <c r="D3571" i="1"/>
  <c r="E3571" i="1"/>
  <c r="C3572" i="1"/>
  <c r="D3572" i="1"/>
  <c r="E3572" i="1"/>
  <c r="C3573" i="1"/>
  <c r="D3573" i="1"/>
  <c r="E3573" i="1"/>
  <c r="C3574" i="1"/>
  <c r="D3574" i="1"/>
  <c r="E3574" i="1"/>
  <c r="C3575" i="1"/>
  <c r="D3575" i="1"/>
  <c r="E3575" i="1"/>
  <c r="C3576" i="1"/>
  <c r="D3576" i="1"/>
  <c r="E3576" i="1"/>
  <c r="C3577" i="1"/>
  <c r="D3577" i="1"/>
  <c r="E3577" i="1"/>
  <c r="C3578" i="1"/>
  <c r="D3578" i="1"/>
  <c r="E3578" i="1"/>
  <c r="C3579" i="1"/>
  <c r="D3579" i="1"/>
  <c r="E3579" i="1"/>
  <c r="C3580" i="1"/>
  <c r="D3580" i="1"/>
  <c r="E3580" i="1"/>
  <c r="C3581" i="1"/>
  <c r="D3581" i="1"/>
  <c r="E3581" i="1"/>
  <c r="C3582" i="1"/>
  <c r="D3582" i="1"/>
  <c r="E3582" i="1"/>
  <c r="C3583" i="1"/>
  <c r="D3583" i="1"/>
  <c r="E3583" i="1"/>
  <c r="C3584" i="1"/>
  <c r="D3584" i="1"/>
  <c r="E3584" i="1"/>
  <c r="C3585" i="1"/>
  <c r="D3585" i="1"/>
  <c r="E3585" i="1"/>
  <c r="C3586" i="1"/>
  <c r="D3586" i="1"/>
  <c r="E3586" i="1"/>
  <c r="C3587" i="1"/>
  <c r="D3587" i="1"/>
  <c r="E3587" i="1"/>
  <c r="C3588" i="1"/>
  <c r="D3588" i="1"/>
  <c r="E3588" i="1"/>
  <c r="C3589" i="1"/>
  <c r="D3589" i="1"/>
  <c r="E3589" i="1"/>
  <c r="C3590" i="1"/>
  <c r="D3590" i="1"/>
  <c r="E3590" i="1"/>
  <c r="C3591" i="1"/>
  <c r="D3591" i="1"/>
  <c r="E3591" i="1"/>
  <c r="C3592" i="1"/>
  <c r="D3592" i="1"/>
  <c r="E3592" i="1"/>
  <c r="C3593" i="1"/>
  <c r="D3593" i="1"/>
  <c r="E3593" i="1"/>
  <c r="C3594" i="1"/>
  <c r="D3594" i="1"/>
  <c r="E3594" i="1"/>
  <c r="C3595" i="1"/>
  <c r="D3595" i="1"/>
  <c r="E3595" i="1"/>
  <c r="C3596" i="1"/>
  <c r="D3596" i="1"/>
  <c r="E3596" i="1"/>
  <c r="C3597" i="1"/>
  <c r="D3597" i="1"/>
  <c r="E3597" i="1"/>
  <c r="C3598" i="1"/>
  <c r="D3598" i="1"/>
  <c r="E3598" i="1"/>
  <c r="C3599" i="1"/>
  <c r="D3599" i="1"/>
  <c r="E3599" i="1"/>
  <c r="C3600" i="1"/>
  <c r="D3600" i="1"/>
  <c r="E3600" i="1"/>
  <c r="C3601" i="1"/>
  <c r="D3601" i="1"/>
  <c r="E3601" i="1"/>
  <c r="C3602" i="1"/>
  <c r="D3602" i="1"/>
  <c r="E3602" i="1"/>
  <c r="C3603" i="1"/>
  <c r="D3603" i="1"/>
  <c r="E3603" i="1"/>
  <c r="C3604" i="1"/>
  <c r="D3604" i="1"/>
  <c r="E3604" i="1"/>
  <c r="C3605" i="1"/>
  <c r="D3605" i="1"/>
  <c r="E3605" i="1"/>
  <c r="C3606" i="1"/>
  <c r="D3606" i="1"/>
  <c r="E3606" i="1"/>
  <c r="C3607" i="1"/>
  <c r="D3607" i="1"/>
  <c r="E3607" i="1"/>
  <c r="C3608" i="1"/>
  <c r="D3608" i="1"/>
  <c r="E3608" i="1"/>
  <c r="C3609" i="1"/>
  <c r="D3609" i="1"/>
  <c r="E3609" i="1"/>
  <c r="C3610" i="1"/>
  <c r="D3610" i="1"/>
  <c r="E3610" i="1"/>
  <c r="C3611" i="1"/>
  <c r="D3611" i="1"/>
  <c r="E3611" i="1"/>
  <c r="C3612" i="1"/>
  <c r="D3612" i="1"/>
  <c r="E3612" i="1"/>
  <c r="C3613" i="1"/>
  <c r="D3613" i="1"/>
  <c r="E3613" i="1"/>
  <c r="C3614" i="1"/>
  <c r="D3614" i="1"/>
  <c r="E3614" i="1"/>
  <c r="C3615" i="1"/>
  <c r="D3615" i="1"/>
  <c r="E3615" i="1"/>
  <c r="C3616" i="1"/>
  <c r="D3616" i="1"/>
  <c r="E3616" i="1"/>
  <c r="C3617" i="1"/>
  <c r="D3617" i="1"/>
  <c r="E3617" i="1"/>
  <c r="C3618" i="1"/>
  <c r="D3618" i="1"/>
  <c r="E3618" i="1"/>
  <c r="C3619" i="1"/>
  <c r="D3619" i="1"/>
  <c r="E3619" i="1"/>
  <c r="C3620" i="1"/>
  <c r="D3620" i="1"/>
  <c r="E3620" i="1"/>
  <c r="C3621" i="1"/>
  <c r="D3621" i="1"/>
  <c r="E3621" i="1"/>
  <c r="C3622" i="1"/>
  <c r="D3622" i="1"/>
  <c r="E3622" i="1"/>
  <c r="C3623" i="1"/>
  <c r="D3623" i="1"/>
  <c r="E3623" i="1"/>
  <c r="C3624" i="1"/>
  <c r="D3624" i="1"/>
  <c r="E3624" i="1"/>
  <c r="C3625" i="1"/>
  <c r="D3625" i="1"/>
  <c r="E3625" i="1"/>
  <c r="C3626" i="1"/>
  <c r="D3626" i="1"/>
  <c r="E3626" i="1"/>
  <c r="C3627" i="1"/>
  <c r="D3627" i="1"/>
  <c r="E3627" i="1"/>
  <c r="C3628" i="1"/>
  <c r="D3628" i="1"/>
  <c r="E3628" i="1"/>
  <c r="C3629" i="1"/>
  <c r="D3629" i="1"/>
  <c r="E3629" i="1"/>
  <c r="C3630" i="1"/>
  <c r="D3630" i="1"/>
  <c r="E3630" i="1"/>
  <c r="C3631" i="1"/>
  <c r="D3631" i="1"/>
  <c r="E3631" i="1"/>
  <c r="C3632" i="1"/>
  <c r="D3632" i="1"/>
  <c r="E3632" i="1"/>
  <c r="C3633" i="1"/>
  <c r="D3633" i="1"/>
  <c r="E3633" i="1"/>
  <c r="C3634" i="1"/>
  <c r="D3634" i="1"/>
  <c r="E3634" i="1"/>
  <c r="C3635" i="1"/>
  <c r="D3635" i="1"/>
  <c r="E3635" i="1"/>
  <c r="C3636" i="1"/>
  <c r="D3636" i="1"/>
  <c r="E3636" i="1"/>
  <c r="C3637" i="1"/>
  <c r="D3637" i="1"/>
  <c r="E3637" i="1"/>
  <c r="C3638" i="1"/>
  <c r="D3638" i="1"/>
  <c r="E3638" i="1"/>
  <c r="C3639" i="1"/>
  <c r="D3639" i="1"/>
  <c r="E3639" i="1"/>
  <c r="C3640" i="1"/>
  <c r="D3640" i="1"/>
  <c r="E3640" i="1"/>
  <c r="C3641" i="1"/>
  <c r="D3641" i="1"/>
  <c r="E3641" i="1"/>
  <c r="C3642" i="1"/>
  <c r="D3642" i="1"/>
  <c r="E3642" i="1"/>
  <c r="C3643" i="1"/>
  <c r="D3643" i="1"/>
  <c r="E3643" i="1"/>
  <c r="C3644" i="1"/>
  <c r="D3644" i="1"/>
  <c r="E3644" i="1"/>
  <c r="C3645" i="1"/>
  <c r="D3645" i="1"/>
  <c r="E3645" i="1"/>
  <c r="C3646" i="1"/>
  <c r="D3646" i="1"/>
  <c r="E3646" i="1"/>
  <c r="C3647" i="1"/>
  <c r="D3647" i="1"/>
  <c r="E3647" i="1"/>
  <c r="C3648" i="1"/>
  <c r="D3648" i="1"/>
  <c r="E3648" i="1"/>
  <c r="C3649" i="1"/>
  <c r="D3649" i="1"/>
  <c r="E3649" i="1"/>
  <c r="C3650" i="1"/>
  <c r="D3650" i="1"/>
  <c r="E3650" i="1"/>
  <c r="C3651" i="1"/>
  <c r="D3651" i="1"/>
  <c r="E3651" i="1"/>
  <c r="C3652" i="1"/>
  <c r="D3652" i="1"/>
  <c r="E3652" i="1"/>
  <c r="C3653" i="1"/>
  <c r="D3653" i="1"/>
  <c r="E3653" i="1"/>
  <c r="C3654" i="1"/>
  <c r="D3654" i="1"/>
  <c r="E3654" i="1"/>
  <c r="C3655" i="1"/>
  <c r="D3655" i="1"/>
  <c r="E3655" i="1"/>
  <c r="C3656" i="1"/>
  <c r="D3656" i="1"/>
  <c r="E3656" i="1"/>
  <c r="C3657" i="1"/>
  <c r="D3657" i="1"/>
  <c r="E3657" i="1"/>
  <c r="C3658" i="1"/>
  <c r="D3658" i="1"/>
  <c r="E3658" i="1"/>
  <c r="C3659" i="1"/>
  <c r="D3659" i="1"/>
  <c r="E3659" i="1"/>
  <c r="C3660" i="1"/>
  <c r="D3660" i="1"/>
  <c r="E3660" i="1"/>
  <c r="C3661" i="1"/>
  <c r="D3661" i="1"/>
  <c r="E3661" i="1"/>
  <c r="C3662" i="1"/>
  <c r="D3662" i="1"/>
  <c r="E3662" i="1"/>
  <c r="C3663" i="1"/>
  <c r="D3663" i="1"/>
  <c r="E3663" i="1"/>
  <c r="C3664" i="1"/>
  <c r="D3664" i="1"/>
  <c r="E3664" i="1"/>
  <c r="C3665" i="1"/>
  <c r="D3665" i="1"/>
  <c r="E3665" i="1"/>
  <c r="C3666" i="1"/>
  <c r="D3666" i="1"/>
  <c r="E3666" i="1"/>
  <c r="C3667" i="1"/>
  <c r="D3667" i="1"/>
  <c r="E3667" i="1"/>
  <c r="C3668" i="1"/>
  <c r="D3668" i="1"/>
  <c r="E3668" i="1"/>
  <c r="C3669" i="1"/>
  <c r="D3669" i="1"/>
  <c r="E3669" i="1"/>
  <c r="C3670" i="1"/>
  <c r="D3670" i="1"/>
  <c r="E3670" i="1"/>
  <c r="C3671" i="1"/>
  <c r="D3671" i="1"/>
  <c r="E3671" i="1"/>
  <c r="C3672" i="1"/>
  <c r="D3672" i="1"/>
  <c r="E3672" i="1"/>
  <c r="C3673" i="1"/>
  <c r="D3673" i="1"/>
  <c r="E3673" i="1"/>
  <c r="C3674" i="1"/>
  <c r="D3674" i="1"/>
  <c r="E3674" i="1"/>
  <c r="C3675" i="1"/>
  <c r="D3675" i="1"/>
  <c r="E3675" i="1"/>
  <c r="C3676" i="1"/>
  <c r="D3676" i="1"/>
  <c r="E3676" i="1"/>
  <c r="C3677" i="1"/>
  <c r="D3677" i="1"/>
  <c r="E3677" i="1"/>
  <c r="C3678" i="1"/>
  <c r="D3678" i="1"/>
  <c r="E3678" i="1"/>
  <c r="C3679" i="1"/>
  <c r="D3679" i="1"/>
  <c r="E3679" i="1"/>
  <c r="C3680" i="1"/>
  <c r="D3680" i="1"/>
  <c r="E3680" i="1"/>
  <c r="C3681" i="1"/>
  <c r="D3681" i="1"/>
  <c r="E3681" i="1"/>
  <c r="C3682" i="1"/>
  <c r="D3682" i="1"/>
  <c r="E3682" i="1"/>
  <c r="C3683" i="1"/>
  <c r="D3683" i="1"/>
  <c r="E3683" i="1"/>
  <c r="C3684" i="1"/>
  <c r="D3684" i="1"/>
  <c r="E3684" i="1"/>
  <c r="C3685" i="1"/>
  <c r="D3685" i="1"/>
  <c r="E3685" i="1"/>
  <c r="C3686" i="1"/>
  <c r="D3686" i="1"/>
  <c r="E3686" i="1"/>
  <c r="C3687" i="1"/>
  <c r="D3687" i="1"/>
  <c r="E3687" i="1"/>
  <c r="C3688" i="1"/>
  <c r="D3688" i="1"/>
  <c r="E3688" i="1"/>
  <c r="C3689" i="1"/>
  <c r="D3689" i="1"/>
  <c r="E3689" i="1"/>
  <c r="C3690" i="1"/>
  <c r="D3690" i="1"/>
  <c r="E3690" i="1"/>
  <c r="C3691" i="1"/>
  <c r="D3691" i="1"/>
  <c r="E3691" i="1"/>
  <c r="C3692" i="1"/>
  <c r="D3692" i="1"/>
  <c r="E3692" i="1"/>
  <c r="C3693" i="1"/>
  <c r="D3693" i="1"/>
  <c r="E3693" i="1"/>
  <c r="C3694" i="1"/>
  <c r="D3694" i="1"/>
  <c r="E3694" i="1"/>
  <c r="C3695" i="1"/>
  <c r="D3695" i="1"/>
  <c r="E3695" i="1"/>
  <c r="C3696" i="1"/>
  <c r="D3696" i="1"/>
  <c r="E3696" i="1"/>
  <c r="C3697" i="1"/>
  <c r="D3697" i="1"/>
  <c r="E3697" i="1"/>
  <c r="C3698" i="1"/>
  <c r="D3698" i="1"/>
  <c r="E3698" i="1"/>
  <c r="C3699" i="1"/>
  <c r="D3699" i="1"/>
  <c r="E3699" i="1"/>
  <c r="C3700" i="1"/>
  <c r="D3700" i="1"/>
  <c r="E3700" i="1"/>
  <c r="C3701" i="1"/>
  <c r="D3701" i="1"/>
  <c r="E3701" i="1"/>
  <c r="C3702" i="1"/>
  <c r="D3702" i="1"/>
  <c r="E3702" i="1"/>
  <c r="C3703" i="1"/>
  <c r="D3703" i="1"/>
  <c r="E3703" i="1"/>
  <c r="C3704" i="1"/>
  <c r="D3704" i="1"/>
  <c r="E3704" i="1"/>
  <c r="C3705" i="1"/>
  <c r="D3705" i="1"/>
  <c r="E3705" i="1"/>
  <c r="C3706" i="1"/>
  <c r="D3706" i="1"/>
  <c r="E3706" i="1"/>
  <c r="C3707" i="1"/>
  <c r="D3707" i="1"/>
  <c r="E3707" i="1"/>
  <c r="C3708" i="1"/>
  <c r="D3708" i="1"/>
  <c r="E3708" i="1"/>
  <c r="C3709" i="1"/>
  <c r="D3709" i="1"/>
  <c r="E3709" i="1"/>
  <c r="C3710" i="1"/>
  <c r="D3710" i="1"/>
  <c r="E3710" i="1"/>
  <c r="C3711" i="1"/>
  <c r="D3711" i="1"/>
  <c r="E3711" i="1"/>
  <c r="C3712" i="1"/>
  <c r="D3712" i="1"/>
  <c r="E3712" i="1"/>
  <c r="C3713" i="1"/>
  <c r="D3713" i="1"/>
  <c r="E3713" i="1"/>
  <c r="C3714" i="1"/>
  <c r="D3714" i="1"/>
  <c r="E3714" i="1"/>
  <c r="C3715" i="1"/>
  <c r="D3715" i="1"/>
  <c r="E3715" i="1"/>
  <c r="C3716" i="1"/>
  <c r="D3716" i="1"/>
  <c r="E3716" i="1"/>
  <c r="C3717" i="1"/>
  <c r="D3717" i="1"/>
  <c r="E3717" i="1"/>
  <c r="C3718" i="1"/>
  <c r="D3718" i="1"/>
  <c r="E3718" i="1"/>
  <c r="C3719" i="1"/>
  <c r="D3719" i="1"/>
  <c r="E3719" i="1"/>
  <c r="C3720" i="1"/>
  <c r="D3720" i="1"/>
  <c r="E3720" i="1"/>
  <c r="C3721" i="1"/>
  <c r="D3721" i="1"/>
  <c r="E3721" i="1"/>
  <c r="C3722" i="1"/>
  <c r="D3722" i="1"/>
  <c r="E3722" i="1"/>
  <c r="C3723" i="1"/>
  <c r="D3723" i="1"/>
  <c r="E3723" i="1"/>
  <c r="C3724" i="1"/>
  <c r="D3724" i="1"/>
  <c r="E3724" i="1"/>
  <c r="C3725" i="1"/>
  <c r="D3725" i="1"/>
  <c r="E3725" i="1"/>
  <c r="C3726" i="1"/>
  <c r="D3726" i="1"/>
  <c r="E3726" i="1"/>
  <c r="C3727" i="1"/>
  <c r="D3727" i="1"/>
  <c r="E3727" i="1"/>
  <c r="C3728" i="1"/>
  <c r="D3728" i="1"/>
  <c r="E3728" i="1"/>
  <c r="C3729" i="1"/>
  <c r="D3729" i="1"/>
  <c r="E3729" i="1"/>
  <c r="C3730" i="1"/>
  <c r="D3730" i="1"/>
  <c r="E3730" i="1"/>
  <c r="C3731" i="1"/>
  <c r="D3731" i="1"/>
  <c r="E3731" i="1"/>
  <c r="C3732" i="1"/>
  <c r="D3732" i="1"/>
  <c r="E3732" i="1"/>
  <c r="C3733" i="1"/>
  <c r="D3733" i="1"/>
  <c r="E3733" i="1"/>
  <c r="C3734" i="1"/>
  <c r="D3734" i="1"/>
  <c r="E3734" i="1"/>
  <c r="C3735" i="1"/>
  <c r="D3735" i="1"/>
  <c r="E3735" i="1"/>
  <c r="C3736" i="1"/>
  <c r="D3736" i="1"/>
  <c r="E3736" i="1"/>
  <c r="C3737" i="1"/>
  <c r="D3737" i="1"/>
  <c r="E3737" i="1"/>
  <c r="C3738" i="1"/>
  <c r="D3738" i="1"/>
  <c r="E3738" i="1"/>
  <c r="C3739" i="1"/>
  <c r="D3739" i="1"/>
  <c r="E3739" i="1"/>
  <c r="C3740" i="1"/>
  <c r="D3740" i="1"/>
  <c r="E3740" i="1"/>
  <c r="C3741" i="1"/>
  <c r="D3741" i="1"/>
  <c r="E3741" i="1"/>
  <c r="C3742" i="1"/>
  <c r="D3742" i="1"/>
  <c r="E3742" i="1"/>
  <c r="C3743" i="1"/>
  <c r="D3743" i="1"/>
  <c r="E3743" i="1"/>
  <c r="C3744" i="1"/>
  <c r="D3744" i="1"/>
  <c r="E3744" i="1"/>
  <c r="C3745" i="1"/>
  <c r="D3745" i="1"/>
  <c r="E3745" i="1"/>
  <c r="C3746" i="1"/>
  <c r="D3746" i="1"/>
  <c r="E3746" i="1"/>
  <c r="C3747" i="1"/>
  <c r="D3747" i="1"/>
  <c r="E3747" i="1"/>
  <c r="C3748" i="1"/>
  <c r="D3748" i="1"/>
  <c r="E3748" i="1"/>
  <c r="C3749" i="1"/>
  <c r="D3749" i="1"/>
  <c r="E3749" i="1"/>
  <c r="C3750" i="1"/>
  <c r="D3750" i="1"/>
  <c r="E3750" i="1"/>
  <c r="C3751" i="1"/>
  <c r="D3751" i="1"/>
  <c r="E3751" i="1"/>
  <c r="C3752" i="1"/>
  <c r="D3752" i="1"/>
  <c r="E3752" i="1"/>
  <c r="C3753" i="1"/>
  <c r="D3753" i="1"/>
  <c r="E3753" i="1"/>
  <c r="C3754" i="1"/>
  <c r="D3754" i="1"/>
  <c r="E3754" i="1"/>
  <c r="C3755" i="1"/>
  <c r="D3755" i="1"/>
  <c r="E3755" i="1"/>
  <c r="C3756" i="1"/>
  <c r="D3756" i="1"/>
  <c r="E3756" i="1"/>
  <c r="C3757" i="1"/>
  <c r="D3757" i="1"/>
  <c r="E3757" i="1"/>
  <c r="C3758" i="1"/>
  <c r="D3758" i="1"/>
  <c r="E3758" i="1"/>
  <c r="C3759" i="1"/>
  <c r="D3759" i="1"/>
  <c r="E3759" i="1"/>
  <c r="C3760" i="1"/>
  <c r="D3760" i="1"/>
  <c r="E3760" i="1"/>
  <c r="C3761" i="1"/>
  <c r="D3761" i="1"/>
  <c r="E3761" i="1"/>
  <c r="C3762" i="1"/>
  <c r="D3762" i="1"/>
  <c r="E3762" i="1"/>
  <c r="C3763" i="1"/>
  <c r="D3763" i="1"/>
  <c r="E3763" i="1"/>
  <c r="C3764" i="1"/>
  <c r="D3764" i="1"/>
  <c r="E3764" i="1"/>
  <c r="C3765" i="1"/>
  <c r="D3765" i="1"/>
  <c r="E3765" i="1"/>
  <c r="C3766" i="1"/>
  <c r="D3766" i="1"/>
  <c r="E3766" i="1"/>
  <c r="C3767" i="1"/>
  <c r="D3767" i="1"/>
  <c r="E3767" i="1"/>
  <c r="C3768" i="1"/>
  <c r="D3768" i="1"/>
  <c r="E3768" i="1"/>
  <c r="C3769" i="1"/>
  <c r="D3769" i="1"/>
  <c r="E3769" i="1"/>
  <c r="C3770" i="1"/>
  <c r="D3770" i="1"/>
  <c r="E3770" i="1"/>
  <c r="C3771" i="1"/>
  <c r="D3771" i="1"/>
  <c r="E3771" i="1"/>
  <c r="C3772" i="1"/>
  <c r="D3772" i="1"/>
  <c r="E3772" i="1"/>
  <c r="C3773" i="1"/>
  <c r="D3773" i="1"/>
  <c r="E3773" i="1"/>
  <c r="C3774" i="1"/>
  <c r="D3774" i="1"/>
  <c r="E3774" i="1"/>
  <c r="C3775" i="1"/>
  <c r="D3775" i="1"/>
  <c r="E3775" i="1"/>
  <c r="C3776" i="1"/>
  <c r="D3776" i="1"/>
  <c r="E3776" i="1"/>
  <c r="C3777" i="1"/>
  <c r="D3777" i="1"/>
  <c r="E3777" i="1"/>
  <c r="C3778" i="1"/>
  <c r="D3778" i="1"/>
  <c r="E3778" i="1"/>
  <c r="C3779" i="1"/>
  <c r="D3779" i="1"/>
  <c r="E3779" i="1"/>
  <c r="C3780" i="1"/>
  <c r="D3780" i="1"/>
  <c r="E3780" i="1"/>
  <c r="C3781" i="1"/>
  <c r="D3781" i="1"/>
  <c r="E3781" i="1"/>
  <c r="C3782" i="1"/>
  <c r="D3782" i="1"/>
  <c r="E3782" i="1"/>
  <c r="C3783" i="1"/>
  <c r="D3783" i="1"/>
  <c r="E3783" i="1"/>
  <c r="C3784" i="1"/>
  <c r="D3784" i="1"/>
  <c r="E3784" i="1"/>
  <c r="C3785" i="1"/>
  <c r="D3785" i="1"/>
  <c r="E3785" i="1"/>
  <c r="C3786" i="1"/>
  <c r="D3786" i="1"/>
  <c r="E3786" i="1"/>
  <c r="C3787" i="1"/>
  <c r="D3787" i="1"/>
  <c r="E3787" i="1"/>
  <c r="C3788" i="1"/>
  <c r="D3788" i="1"/>
  <c r="E3788" i="1"/>
  <c r="C3789" i="1"/>
  <c r="D3789" i="1"/>
  <c r="E3789" i="1"/>
  <c r="C3790" i="1"/>
  <c r="D3790" i="1"/>
  <c r="E3790" i="1"/>
  <c r="C3791" i="1"/>
  <c r="D3791" i="1"/>
  <c r="E3791" i="1"/>
  <c r="C3792" i="1"/>
  <c r="D3792" i="1"/>
  <c r="E3792" i="1"/>
  <c r="C3793" i="1"/>
  <c r="D3793" i="1"/>
  <c r="E3793" i="1"/>
  <c r="C3794" i="1"/>
  <c r="D3794" i="1"/>
  <c r="E3794" i="1"/>
  <c r="C3795" i="1"/>
  <c r="D3795" i="1"/>
  <c r="E3795" i="1"/>
  <c r="C3796" i="1"/>
  <c r="D3796" i="1"/>
  <c r="E3796" i="1"/>
  <c r="C3797" i="1"/>
  <c r="D3797" i="1"/>
  <c r="E3797" i="1"/>
  <c r="C3798" i="1"/>
  <c r="D3798" i="1"/>
  <c r="E3798" i="1"/>
  <c r="C3799" i="1"/>
  <c r="D3799" i="1"/>
  <c r="E3799" i="1"/>
  <c r="C3800" i="1"/>
  <c r="D3800" i="1"/>
  <c r="E3800" i="1"/>
  <c r="C3801" i="1"/>
  <c r="D3801" i="1"/>
  <c r="E3801" i="1"/>
  <c r="C3802" i="1"/>
  <c r="D3802" i="1"/>
  <c r="E3802" i="1"/>
  <c r="C3803" i="1"/>
  <c r="D3803" i="1"/>
  <c r="E3803" i="1"/>
  <c r="C3804" i="1"/>
  <c r="D3804" i="1"/>
  <c r="E3804" i="1"/>
  <c r="C3805" i="1"/>
  <c r="D3805" i="1"/>
  <c r="E3805" i="1"/>
  <c r="C3806" i="1"/>
  <c r="D3806" i="1"/>
  <c r="E3806" i="1"/>
  <c r="C3807" i="1"/>
  <c r="D3807" i="1"/>
  <c r="E3807" i="1"/>
  <c r="C3808" i="1"/>
  <c r="D3808" i="1"/>
  <c r="E3808" i="1"/>
  <c r="C3809" i="1"/>
  <c r="D3809" i="1"/>
  <c r="E3809" i="1"/>
  <c r="C3810" i="1"/>
  <c r="D3810" i="1"/>
  <c r="E3810" i="1"/>
  <c r="C3811" i="1"/>
  <c r="D3811" i="1"/>
  <c r="E3811" i="1"/>
  <c r="C3812" i="1"/>
  <c r="D3812" i="1"/>
  <c r="E3812" i="1"/>
  <c r="C3813" i="1"/>
  <c r="D3813" i="1"/>
  <c r="E3813" i="1"/>
  <c r="C3814" i="1"/>
  <c r="D3814" i="1"/>
  <c r="E3814" i="1"/>
  <c r="C3815" i="1"/>
  <c r="D3815" i="1"/>
  <c r="E3815" i="1"/>
  <c r="C3816" i="1"/>
  <c r="D3816" i="1"/>
  <c r="E3816" i="1"/>
  <c r="C3817" i="1"/>
  <c r="D3817" i="1"/>
  <c r="E3817" i="1"/>
  <c r="C3818" i="1"/>
  <c r="D3818" i="1"/>
  <c r="E3818" i="1"/>
  <c r="C3819" i="1"/>
  <c r="D3819" i="1"/>
  <c r="E3819" i="1"/>
  <c r="C3820" i="1"/>
  <c r="D3820" i="1"/>
  <c r="E3820" i="1"/>
  <c r="C3821" i="1"/>
  <c r="D3821" i="1"/>
  <c r="E3821" i="1"/>
  <c r="C3822" i="1"/>
  <c r="D3822" i="1"/>
  <c r="E3822" i="1"/>
  <c r="C3823" i="1"/>
  <c r="D3823" i="1"/>
  <c r="E3823" i="1"/>
  <c r="C3824" i="1"/>
  <c r="D3824" i="1"/>
  <c r="E3824" i="1"/>
  <c r="C3825" i="1"/>
  <c r="D3825" i="1"/>
  <c r="E3825" i="1"/>
  <c r="C3826" i="1"/>
  <c r="D3826" i="1"/>
  <c r="E3826" i="1"/>
  <c r="C3827" i="1"/>
  <c r="D3827" i="1"/>
  <c r="E3827" i="1"/>
  <c r="C3828" i="1"/>
  <c r="D3828" i="1"/>
  <c r="E3828" i="1"/>
  <c r="C3829" i="1"/>
  <c r="D3829" i="1"/>
  <c r="E3829" i="1"/>
  <c r="C3830" i="1"/>
  <c r="D3830" i="1"/>
  <c r="E3830" i="1"/>
  <c r="C3831" i="1"/>
  <c r="D3831" i="1"/>
  <c r="E3831" i="1"/>
  <c r="C3832" i="1"/>
  <c r="D3832" i="1"/>
  <c r="E3832" i="1"/>
  <c r="C3833" i="1"/>
  <c r="D3833" i="1"/>
  <c r="E3833" i="1"/>
  <c r="C3834" i="1"/>
  <c r="D3834" i="1"/>
  <c r="E3834" i="1"/>
  <c r="C3835" i="1"/>
  <c r="D3835" i="1"/>
  <c r="E3835" i="1"/>
  <c r="C3836" i="1"/>
  <c r="D3836" i="1"/>
  <c r="E3836" i="1"/>
  <c r="C3837" i="1"/>
  <c r="D3837" i="1"/>
  <c r="E3837" i="1"/>
  <c r="C3838" i="1"/>
  <c r="D3838" i="1"/>
  <c r="E3838" i="1"/>
  <c r="C3839" i="1"/>
  <c r="D3839" i="1"/>
  <c r="E3839" i="1"/>
  <c r="C3840" i="1"/>
  <c r="D3840" i="1"/>
  <c r="E3840" i="1"/>
  <c r="C3841" i="1"/>
  <c r="D3841" i="1"/>
  <c r="E3841" i="1"/>
  <c r="C3842" i="1"/>
  <c r="D3842" i="1"/>
  <c r="E3842" i="1"/>
  <c r="C3843" i="1"/>
  <c r="D3843" i="1"/>
  <c r="E3843" i="1"/>
  <c r="C3844" i="1"/>
  <c r="D3844" i="1"/>
  <c r="E3844" i="1"/>
  <c r="C3845" i="1"/>
  <c r="D3845" i="1"/>
  <c r="E3845" i="1"/>
  <c r="C3846" i="1"/>
  <c r="D3846" i="1"/>
  <c r="E3846" i="1"/>
  <c r="C3847" i="1"/>
  <c r="D3847" i="1"/>
  <c r="E3847" i="1"/>
  <c r="C3848" i="1"/>
  <c r="D3848" i="1"/>
  <c r="E3848" i="1"/>
  <c r="C3849" i="1"/>
  <c r="D3849" i="1"/>
  <c r="E3849" i="1"/>
  <c r="C3850" i="1"/>
  <c r="D3850" i="1"/>
  <c r="E3850" i="1"/>
  <c r="C3851" i="1"/>
  <c r="D3851" i="1"/>
  <c r="E3851" i="1"/>
  <c r="C3852" i="1"/>
  <c r="D3852" i="1"/>
  <c r="E3852" i="1"/>
  <c r="C3853" i="1"/>
  <c r="D3853" i="1"/>
  <c r="E3853" i="1"/>
  <c r="C3854" i="1"/>
  <c r="D3854" i="1"/>
  <c r="E3854" i="1"/>
  <c r="C3855" i="1"/>
  <c r="D3855" i="1"/>
  <c r="E3855" i="1"/>
  <c r="C3856" i="1"/>
  <c r="D3856" i="1"/>
  <c r="E3856" i="1"/>
  <c r="C3857" i="1"/>
  <c r="D3857" i="1"/>
  <c r="E3857" i="1"/>
  <c r="C3858" i="1"/>
  <c r="D3858" i="1"/>
  <c r="E3858" i="1"/>
  <c r="C3859" i="1"/>
  <c r="D3859" i="1"/>
  <c r="E3859" i="1"/>
  <c r="C3860" i="1"/>
  <c r="D3860" i="1"/>
  <c r="E3860" i="1"/>
  <c r="C3861" i="1"/>
  <c r="D3861" i="1"/>
  <c r="E3861" i="1"/>
  <c r="C3862" i="1"/>
  <c r="D3862" i="1"/>
  <c r="E3862" i="1"/>
  <c r="C3863" i="1"/>
  <c r="D3863" i="1"/>
  <c r="E3863" i="1"/>
  <c r="C3864" i="1"/>
  <c r="D3864" i="1"/>
  <c r="E3864" i="1"/>
  <c r="C3865" i="1"/>
  <c r="D3865" i="1"/>
  <c r="E3865" i="1"/>
  <c r="C3866" i="1"/>
  <c r="D3866" i="1"/>
  <c r="E3866" i="1"/>
  <c r="C3867" i="1"/>
  <c r="D3867" i="1"/>
  <c r="E3867" i="1"/>
  <c r="C3868" i="1"/>
  <c r="D3868" i="1"/>
  <c r="E3868" i="1"/>
  <c r="C3869" i="1"/>
  <c r="D3869" i="1"/>
  <c r="E3869" i="1"/>
  <c r="C3870" i="1"/>
  <c r="D3870" i="1"/>
  <c r="E3870" i="1"/>
  <c r="C3871" i="1"/>
  <c r="D3871" i="1"/>
  <c r="E3871" i="1"/>
  <c r="C3872" i="1"/>
  <c r="D3872" i="1"/>
  <c r="E3872" i="1"/>
  <c r="C3873" i="1"/>
  <c r="D3873" i="1"/>
  <c r="E3873" i="1"/>
  <c r="C3874" i="1"/>
  <c r="D3874" i="1"/>
  <c r="E3874" i="1"/>
  <c r="C3875" i="1"/>
  <c r="D3875" i="1"/>
  <c r="E3875" i="1"/>
  <c r="C3876" i="1"/>
  <c r="D3876" i="1"/>
  <c r="E3876" i="1"/>
  <c r="C3877" i="1"/>
  <c r="D3877" i="1"/>
  <c r="E3877" i="1"/>
  <c r="C3878" i="1"/>
  <c r="D3878" i="1"/>
  <c r="E3878" i="1"/>
  <c r="C3879" i="1"/>
  <c r="D3879" i="1"/>
  <c r="E3879" i="1"/>
  <c r="C3880" i="1"/>
  <c r="D3880" i="1"/>
  <c r="E3880" i="1"/>
  <c r="C3881" i="1"/>
  <c r="D3881" i="1"/>
  <c r="E3881" i="1"/>
  <c r="C3882" i="1"/>
  <c r="D3882" i="1"/>
  <c r="E3882" i="1"/>
  <c r="C3883" i="1"/>
  <c r="D3883" i="1"/>
  <c r="E3883" i="1"/>
  <c r="C3884" i="1"/>
  <c r="D3884" i="1"/>
  <c r="E3884" i="1"/>
  <c r="C3885" i="1"/>
  <c r="D3885" i="1"/>
  <c r="E3885" i="1"/>
  <c r="C3886" i="1"/>
  <c r="D3886" i="1"/>
  <c r="E3886" i="1"/>
  <c r="C3887" i="1"/>
  <c r="D3887" i="1"/>
  <c r="E3887" i="1"/>
  <c r="C3888" i="1"/>
  <c r="D3888" i="1"/>
  <c r="E3888" i="1"/>
  <c r="C3889" i="1"/>
  <c r="D3889" i="1"/>
  <c r="E3889" i="1"/>
  <c r="C3890" i="1"/>
  <c r="D3890" i="1"/>
  <c r="E3890" i="1"/>
  <c r="C3891" i="1"/>
  <c r="D3891" i="1"/>
  <c r="E3891" i="1"/>
  <c r="C3892" i="1"/>
  <c r="D3892" i="1"/>
  <c r="E3892" i="1"/>
  <c r="C3893" i="1"/>
  <c r="D3893" i="1"/>
  <c r="E3893" i="1"/>
  <c r="C3894" i="1"/>
  <c r="D3894" i="1"/>
  <c r="E3894" i="1"/>
  <c r="C3895" i="1"/>
  <c r="D3895" i="1"/>
  <c r="E3895" i="1"/>
  <c r="C3896" i="1"/>
  <c r="D3896" i="1"/>
  <c r="E3896" i="1"/>
  <c r="C3897" i="1"/>
  <c r="D3897" i="1"/>
  <c r="E3897" i="1"/>
  <c r="C3898" i="1"/>
  <c r="D3898" i="1"/>
  <c r="E3898" i="1"/>
  <c r="C3899" i="1"/>
  <c r="D3899" i="1"/>
  <c r="E3899" i="1"/>
  <c r="C3900" i="1"/>
  <c r="D3900" i="1"/>
  <c r="E3900" i="1"/>
  <c r="C3901" i="1"/>
  <c r="D3901" i="1"/>
  <c r="E3901" i="1"/>
  <c r="C3902" i="1"/>
  <c r="D3902" i="1"/>
  <c r="E3902" i="1"/>
  <c r="C3903" i="1"/>
  <c r="D3903" i="1"/>
  <c r="E3903" i="1"/>
  <c r="C3904" i="1"/>
  <c r="D3904" i="1"/>
  <c r="E3904" i="1"/>
  <c r="C3905" i="1"/>
  <c r="D3905" i="1"/>
  <c r="E3905" i="1"/>
  <c r="C3906" i="1"/>
  <c r="D3906" i="1"/>
  <c r="E3906" i="1"/>
  <c r="C3907" i="1"/>
  <c r="D3907" i="1"/>
  <c r="E3907" i="1"/>
  <c r="C3908" i="1"/>
  <c r="D3908" i="1"/>
  <c r="E3908" i="1"/>
  <c r="C3909" i="1"/>
  <c r="D3909" i="1"/>
  <c r="E3909" i="1"/>
  <c r="C3910" i="1"/>
  <c r="D3910" i="1"/>
  <c r="E3910" i="1"/>
  <c r="C3911" i="1"/>
  <c r="D3911" i="1"/>
  <c r="E3911" i="1"/>
  <c r="C3912" i="1"/>
  <c r="D3912" i="1"/>
  <c r="E3912" i="1"/>
  <c r="C3913" i="1"/>
  <c r="D3913" i="1"/>
  <c r="E3913" i="1"/>
  <c r="C3914" i="1"/>
  <c r="D3914" i="1"/>
  <c r="E3914" i="1"/>
  <c r="C3915" i="1"/>
  <c r="D3915" i="1"/>
  <c r="E3915" i="1"/>
  <c r="C3916" i="1"/>
  <c r="D3916" i="1"/>
  <c r="E3916" i="1"/>
  <c r="C3917" i="1"/>
  <c r="D3917" i="1"/>
  <c r="E3917" i="1"/>
  <c r="C3918" i="1"/>
  <c r="D3918" i="1"/>
  <c r="E3918" i="1"/>
  <c r="C3919" i="1"/>
  <c r="D3919" i="1"/>
  <c r="E3919" i="1"/>
  <c r="C3920" i="1"/>
  <c r="D3920" i="1"/>
  <c r="E3920" i="1"/>
  <c r="C3921" i="1"/>
  <c r="D3921" i="1"/>
  <c r="E3921" i="1"/>
  <c r="C3922" i="1"/>
  <c r="D3922" i="1"/>
  <c r="E3922" i="1"/>
  <c r="C3923" i="1"/>
  <c r="D3923" i="1"/>
  <c r="E3923" i="1"/>
  <c r="C3924" i="1"/>
  <c r="D3924" i="1"/>
  <c r="E3924" i="1"/>
  <c r="C3925" i="1"/>
  <c r="D3925" i="1"/>
  <c r="E3925" i="1"/>
  <c r="C3926" i="1"/>
  <c r="D3926" i="1"/>
  <c r="E3926" i="1"/>
  <c r="C3927" i="1"/>
  <c r="D3927" i="1"/>
  <c r="E3927" i="1"/>
  <c r="C3928" i="1"/>
  <c r="D3928" i="1"/>
  <c r="E3928" i="1"/>
  <c r="C3929" i="1"/>
  <c r="D3929" i="1"/>
  <c r="E3929" i="1"/>
  <c r="C3930" i="1"/>
  <c r="D3930" i="1"/>
  <c r="E3930" i="1"/>
  <c r="C3931" i="1"/>
  <c r="D3931" i="1"/>
  <c r="E3931" i="1"/>
  <c r="C3932" i="1"/>
  <c r="D3932" i="1"/>
  <c r="E3932" i="1"/>
  <c r="C3933" i="1"/>
  <c r="D3933" i="1"/>
  <c r="E3933" i="1"/>
  <c r="C3934" i="1"/>
  <c r="D3934" i="1"/>
  <c r="E3934" i="1"/>
  <c r="C3935" i="1"/>
  <c r="D3935" i="1"/>
  <c r="E3935" i="1"/>
  <c r="C3936" i="1"/>
  <c r="D3936" i="1"/>
  <c r="E3936" i="1"/>
  <c r="C3937" i="1"/>
  <c r="D3937" i="1"/>
  <c r="E3937" i="1"/>
  <c r="C3938" i="1"/>
  <c r="D3938" i="1"/>
  <c r="E3938" i="1"/>
  <c r="C3939" i="1"/>
  <c r="D3939" i="1"/>
  <c r="E3939" i="1"/>
  <c r="C3940" i="1"/>
  <c r="D3940" i="1"/>
  <c r="E3940" i="1"/>
  <c r="C3941" i="1"/>
  <c r="D3941" i="1"/>
  <c r="E3941" i="1"/>
  <c r="C3942" i="1"/>
  <c r="D3942" i="1"/>
  <c r="E3942" i="1"/>
  <c r="C3943" i="1"/>
  <c r="D3943" i="1"/>
  <c r="E3943" i="1"/>
  <c r="C3944" i="1"/>
  <c r="D3944" i="1"/>
  <c r="E3944" i="1"/>
  <c r="C3945" i="1"/>
  <c r="D3945" i="1"/>
  <c r="E3945" i="1"/>
  <c r="C3946" i="1"/>
  <c r="D3946" i="1"/>
  <c r="E3946" i="1"/>
  <c r="C3947" i="1"/>
  <c r="D3947" i="1"/>
  <c r="E3947" i="1"/>
  <c r="C3948" i="1"/>
  <c r="D3948" i="1"/>
  <c r="E3948" i="1"/>
  <c r="C3949" i="1"/>
  <c r="D3949" i="1"/>
  <c r="E3949" i="1"/>
  <c r="C3950" i="1"/>
  <c r="D3950" i="1"/>
  <c r="E3950" i="1"/>
  <c r="C3951" i="1"/>
  <c r="D3951" i="1"/>
  <c r="E3951" i="1"/>
  <c r="C3952" i="1"/>
  <c r="D3952" i="1"/>
  <c r="E3952" i="1"/>
  <c r="C3953" i="1"/>
  <c r="D3953" i="1"/>
  <c r="E3953" i="1"/>
  <c r="C3954" i="1"/>
  <c r="D3954" i="1"/>
  <c r="E3954" i="1"/>
  <c r="C3955" i="1"/>
  <c r="D3955" i="1"/>
  <c r="E3955" i="1"/>
  <c r="C3956" i="1"/>
  <c r="D3956" i="1"/>
  <c r="E3956" i="1"/>
  <c r="C3957" i="1"/>
  <c r="D3957" i="1"/>
  <c r="E3957" i="1"/>
  <c r="C3958" i="1"/>
  <c r="D3958" i="1"/>
  <c r="E3958" i="1"/>
  <c r="C3959" i="1"/>
  <c r="D3959" i="1"/>
  <c r="E3959" i="1"/>
  <c r="C3960" i="1"/>
  <c r="D3960" i="1"/>
  <c r="E3960" i="1"/>
  <c r="C3961" i="1"/>
  <c r="D3961" i="1"/>
  <c r="E3961" i="1"/>
  <c r="C3962" i="1"/>
  <c r="D3962" i="1"/>
  <c r="E3962" i="1"/>
  <c r="C3963" i="1"/>
  <c r="D3963" i="1"/>
  <c r="E3963" i="1"/>
  <c r="C3964" i="1"/>
  <c r="D3964" i="1"/>
  <c r="E3964" i="1"/>
  <c r="C3965" i="1"/>
  <c r="D3965" i="1"/>
  <c r="E3965" i="1"/>
  <c r="C3966" i="1"/>
  <c r="D3966" i="1"/>
  <c r="E3966" i="1"/>
  <c r="C3967" i="1"/>
  <c r="D3967" i="1"/>
  <c r="E3967" i="1"/>
  <c r="C3968" i="1"/>
  <c r="D3968" i="1"/>
  <c r="E3968" i="1"/>
  <c r="C3969" i="1"/>
  <c r="D3969" i="1"/>
  <c r="E3969" i="1"/>
  <c r="C3970" i="1"/>
  <c r="D3970" i="1"/>
  <c r="E3970" i="1"/>
  <c r="C3971" i="1"/>
  <c r="D3971" i="1"/>
  <c r="E3971" i="1"/>
  <c r="C3972" i="1"/>
  <c r="D3972" i="1"/>
  <c r="E3972" i="1"/>
  <c r="C3973" i="1"/>
  <c r="D3973" i="1"/>
  <c r="E3973" i="1"/>
  <c r="C3974" i="1"/>
  <c r="D3974" i="1"/>
  <c r="E3974" i="1"/>
  <c r="C3975" i="1"/>
  <c r="D3975" i="1"/>
  <c r="E3975" i="1"/>
  <c r="C3976" i="1"/>
  <c r="D3976" i="1"/>
  <c r="E3976" i="1"/>
  <c r="C3977" i="1"/>
  <c r="D3977" i="1"/>
  <c r="E3977" i="1"/>
  <c r="C3978" i="1"/>
  <c r="D3978" i="1"/>
  <c r="E3978" i="1"/>
  <c r="C3979" i="1"/>
  <c r="D3979" i="1"/>
  <c r="E3979" i="1"/>
  <c r="C3980" i="1"/>
  <c r="D3980" i="1"/>
  <c r="E3980" i="1"/>
  <c r="C3981" i="1"/>
  <c r="D3981" i="1"/>
  <c r="E3981" i="1"/>
  <c r="C3982" i="1"/>
  <c r="D3982" i="1"/>
  <c r="E3982" i="1"/>
  <c r="C3983" i="1"/>
  <c r="D3983" i="1"/>
  <c r="E3983" i="1"/>
  <c r="C3984" i="1"/>
  <c r="D3984" i="1"/>
  <c r="E3984" i="1"/>
  <c r="C3985" i="1"/>
  <c r="D3985" i="1"/>
  <c r="E3985" i="1"/>
  <c r="C3986" i="1"/>
  <c r="D3986" i="1"/>
  <c r="E3986" i="1"/>
  <c r="C3987" i="1"/>
  <c r="D3987" i="1"/>
  <c r="E3987" i="1"/>
  <c r="C3988" i="1"/>
  <c r="D3988" i="1"/>
  <c r="E3988" i="1"/>
  <c r="C3989" i="1"/>
  <c r="D3989" i="1"/>
  <c r="E3989" i="1"/>
  <c r="C3990" i="1"/>
  <c r="D3990" i="1"/>
  <c r="E3990" i="1"/>
  <c r="C3991" i="1"/>
  <c r="D3991" i="1"/>
  <c r="E3991" i="1"/>
  <c r="C3992" i="1"/>
  <c r="D3992" i="1"/>
  <c r="E3992" i="1"/>
  <c r="C3993" i="1"/>
  <c r="D3993" i="1"/>
  <c r="E3993" i="1"/>
  <c r="C3994" i="1"/>
  <c r="D3994" i="1"/>
  <c r="E3994" i="1"/>
  <c r="C3995" i="1"/>
  <c r="D3995" i="1"/>
  <c r="E3995" i="1"/>
  <c r="C3996" i="1"/>
  <c r="D3996" i="1"/>
  <c r="E3996" i="1"/>
  <c r="C3997" i="1"/>
  <c r="D3997" i="1"/>
  <c r="E3997" i="1"/>
  <c r="C3998" i="1"/>
  <c r="D3998" i="1"/>
  <c r="E3998" i="1"/>
  <c r="C3999" i="1"/>
  <c r="D3999" i="1"/>
  <c r="E3999" i="1"/>
  <c r="C4000" i="1"/>
  <c r="D4000" i="1"/>
  <c r="E4000" i="1"/>
  <c r="C4001" i="1"/>
  <c r="D4001" i="1"/>
  <c r="E4001" i="1"/>
  <c r="C4002" i="1"/>
  <c r="D4002" i="1"/>
  <c r="E4002" i="1"/>
  <c r="C4003" i="1"/>
  <c r="D4003" i="1"/>
  <c r="E4003" i="1"/>
  <c r="C4004" i="1"/>
  <c r="D4004" i="1"/>
  <c r="E4004" i="1"/>
  <c r="C4005" i="1"/>
  <c r="D4005" i="1"/>
  <c r="E4005" i="1"/>
  <c r="C4006" i="1"/>
  <c r="D4006" i="1"/>
  <c r="E4006" i="1"/>
  <c r="C4007" i="1"/>
  <c r="D4007" i="1"/>
  <c r="E4007" i="1"/>
  <c r="C4008" i="1"/>
  <c r="D4008" i="1"/>
  <c r="E4008" i="1"/>
  <c r="C4009" i="1"/>
  <c r="D4009" i="1"/>
  <c r="E4009" i="1"/>
  <c r="C4010" i="1"/>
  <c r="D4010" i="1"/>
  <c r="E4010" i="1"/>
  <c r="C4011" i="1"/>
  <c r="D4011" i="1"/>
  <c r="E4011" i="1"/>
  <c r="C4012" i="1"/>
  <c r="D4012" i="1"/>
  <c r="E4012" i="1"/>
  <c r="C4013" i="1"/>
  <c r="D4013" i="1"/>
  <c r="E4013" i="1"/>
  <c r="C4014" i="1"/>
  <c r="D4014" i="1"/>
  <c r="E4014" i="1"/>
  <c r="C4015" i="1"/>
  <c r="D4015" i="1"/>
  <c r="E4015" i="1"/>
  <c r="C4016" i="1"/>
  <c r="D4016" i="1"/>
  <c r="E4016" i="1"/>
  <c r="C4017" i="1"/>
  <c r="D4017" i="1"/>
  <c r="E4017" i="1"/>
  <c r="C4018" i="1"/>
  <c r="D4018" i="1"/>
  <c r="E4018" i="1"/>
  <c r="C4019" i="1"/>
  <c r="D4019" i="1"/>
  <c r="E4019" i="1"/>
  <c r="C4020" i="1"/>
  <c r="D4020" i="1"/>
  <c r="E4020" i="1"/>
  <c r="C4021" i="1"/>
  <c r="D4021" i="1"/>
  <c r="E4021" i="1"/>
  <c r="C4022" i="1"/>
  <c r="D4022" i="1"/>
  <c r="E4022" i="1"/>
  <c r="C4023" i="1"/>
  <c r="D4023" i="1"/>
  <c r="E4023" i="1"/>
  <c r="C4024" i="1"/>
  <c r="D4024" i="1"/>
  <c r="E4024" i="1"/>
  <c r="C4025" i="1"/>
  <c r="D4025" i="1"/>
  <c r="E4025" i="1"/>
  <c r="C4026" i="1"/>
  <c r="D4026" i="1"/>
  <c r="E4026" i="1"/>
  <c r="C4027" i="1"/>
  <c r="D4027" i="1"/>
  <c r="E4027" i="1"/>
  <c r="C4028" i="1"/>
  <c r="D4028" i="1"/>
  <c r="E4028" i="1"/>
  <c r="C4029" i="1"/>
  <c r="D4029" i="1"/>
  <c r="E4029" i="1"/>
  <c r="C4030" i="1"/>
  <c r="D4030" i="1"/>
  <c r="E4030" i="1"/>
  <c r="C4031" i="1"/>
  <c r="D4031" i="1"/>
  <c r="E4031" i="1"/>
  <c r="C4032" i="1"/>
  <c r="D4032" i="1"/>
  <c r="E4032" i="1"/>
  <c r="C4033" i="1"/>
  <c r="D4033" i="1"/>
  <c r="E4033" i="1"/>
  <c r="C4034" i="1"/>
  <c r="D4034" i="1"/>
  <c r="E4034" i="1"/>
  <c r="C4035" i="1"/>
  <c r="D4035" i="1"/>
  <c r="E4035" i="1"/>
  <c r="C4036" i="1"/>
  <c r="D4036" i="1"/>
  <c r="E4036" i="1"/>
  <c r="C4037" i="1"/>
  <c r="D4037" i="1"/>
  <c r="E4037" i="1"/>
  <c r="C4038" i="1"/>
  <c r="D4038" i="1"/>
  <c r="E4038" i="1"/>
  <c r="C4039" i="1"/>
  <c r="D4039" i="1"/>
  <c r="E4039" i="1"/>
  <c r="C4040" i="1"/>
  <c r="D4040" i="1"/>
  <c r="E4040" i="1"/>
  <c r="C4041" i="1"/>
  <c r="D4041" i="1"/>
  <c r="E4041" i="1"/>
  <c r="C4042" i="1"/>
  <c r="D4042" i="1"/>
  <c r="E4042" i="1"/>
  <c r="C4043" i="1"/>
  <c r="D4043" i="1"/>
  <c r="E4043" i="1"/>
  <c r="C4044" i="1"/>
  <c r="D4044" i="1"/>
  <c r="E4044" i="1"/>
  <c r="C4045" i="1"/>
  <c r="D4045" i="1"/>
  <c r="E4045" i="1"/>
  <c r="C4046" i="1"/>
  <c r="D4046" i="1"/>
  <c r="E4046" i="1"/>
  <c r="C4047" i="1"/>
  <c r="D4047" i="1"/>
  <c r="E4047" i="1"/>
  <c r="C4048" i="1"/>
  <c r="D4048" i="1"/>
  <c r="E4048" i="1"/>
  <c r="C4049" i="1"/>
  <c r="D4049" i="1"/>
  <c r="E4049" i="1"/>
  <c r="C4050" i="1"/>
  <c r="D4050" i="1"/>
  <c r="E4050" i="1"/>
  <c r="C4051" i="1"/>
  <c r="D4051" i="1"/>
  <c r="E4051" i="1"/>
  <c r="C4052" i="1"/>
  <c r="D4052" i="1"/>
  <c r="E4052" i="1"/>
  <c r="C4053" i="1"/>
  <c r="D4053" i="1"/>
  <c r="E4053" i="1"/>
  <c r="C4054" i="1"/>
  <c r="D4054" i="1"/>
  <c r="E4054" i="1"/>
  <c r="C4055" i="1"/>
  <c r="D4055" i="1"/>
  <c r="E4055" i="1"/>
  <c r="C4056" i="1"/>
  <c r="D4056" i="1"/>
  <c r="E4056" i="1"/>
  <c r="C4057" i="1"/>
  <c r="D4057" i="1"/>
  <c r="E4057" i="1"/>
  <c r="C4058" i="1"/>
  <c r="D4058" i="1"/>
  <c r="E4058" i="1"/>
  <c r="C4059" i="1"/>
  <c r="D4059" i="1"/>
  <c r="E4059" i="1"/>
  <c r="C4060" i="1"/>
  <c r="D4060" i="1"/>
  <c r="E4060" i="1"/>
  <c r="C4061" i="1"/>
  <c r="D4061" i="1"/>
  <c r="E4061" i="1"/>
  <c r="C4062" i="1"/>
  <c r="D4062" i="1"/>
  <c r="E4062" i="1"/>
  <c r="C4063" i="1"/>
  <c r="D4063" i="1"/>
  <c r="E4063" i="1"/>
  <c r="C4064" i="1"/>
  <c r="D4064" i="1"/>
  <c r="E4064" i="1"/>
  <c r="C4065" i="1"/>
  <c r="D4065" i="1"/>
  <c r="E4065" i="1"/>
  <c r="C4066" i="1"/>
  <c r="D4066" i="1"/>
  <c r="E4066" i="1"/>
  <c r="C4067" i="1"/>
  <c r="D4067" i="1"/>
  <c r="E4067" i="1"/>
  <c r="C4068" i="1"/>
  <c r="D4068" i="1"/>
  <c r="E4068" i="1"/>
  <c r="C4069" i="1"/>
  <c r="D4069" i="1"/>
  <c r="E4069" i="1"/>
  <c r="C4070" i="1"/>
  <c r="D4070" i="1"/>
  <c r="E4070" i="1"/>
  <c r="C4071" i="1"/>
  <c r="D4071" i="1"/>
  <c r="E4071" i="1"/>
  <c r="C4072" i="1"/>
  <c r="D4072" i="1"/>
  <c r="E4072" i="1"/>
  <c r="C4073" i="1"/>
  <c r="D4073" i="1"/>
  <c r="E4073" i="1"/>
  <c r="C4074" i="1"/>
  <c r="D4074" i="1"/>
  <c r="E4074" i="1"/>
  <c r="C4075" i="1"/>
  <c r="D4075" i="1"/>
  <c r="E4075" i="1"/>
  <c r="C4076" i="1"/>
  <c r="D4076" i="1"/>
  <c r="E4076" i="1"/>
  <c r="C4077" i="1"/>
  <c r="D4077" i="1"/>
  <c r="E4077" i="1"/>
  <c r="C4078" i="1"/>
  <c r="D4078" i="1"/>
  <c r="E4078" i="1"/>
  <c r="C4079" i="1"/>
  <c r="D4079" i="1"/>
  <c r="E4079" i="1"/>
  <c r="C4080" i="1"/>
  <c r="D4080" i="1"/>
  <c r="E4080" i="1"/>
  <c r="C4081" i="1"/>
  <c r="D4081" i="1"/>
  <c r="E4081" i="1"/>
  <c r="C4082" i="1"/>
  <c r="D4082" i="1"/>
  <c r="E4082" i="1"/>
  <c r="C4083" i="1"/>
  <c r="D4083" i="1"/>
  <c r="E4083" i="1"/>
  <c r="C4084" i="1"/>
  <c r="D4084" i="1"/>
  <c r="E4084" i="1"/>
  <c r="C4085" i="1"/>
  <c r="D4085" i="1"/>
  <c r="E4085" i="1"/>
  <c r="C4086" i="1"/>
  <c r="D4086" i="1"/>
  <c r="E4086" i="1"/>
  <c r="C4087" i="1"/>
  <c r="D4087" i="1"/>
  <c r="E4087" i="1"/>
  <c r="C4088" i="1"/>
  <c r="D4088" i="1"/>
  <c r="E4088" i="1"/>
  <c r="C4089" i="1"/>
  <c r="D4089" i="1"/>
  <c r="E4089" i="1"/>
  <c r="C4090" i="1"/>
  <c r="D4090" i="1"/>
  <c r="E4090" i="1"/>
  <c r="C4091" i="1"/>
  <c r="D4091" i="1"/>
  <c r="E4091" i="1"/>
  <c r="C4092" i="1"/>
  <c r="D4092" i="1"/>
  <c r="E4092" i="1"/>
  <c r="C4093" i="1"/>
  <c r="D4093" i="1"/>
  <c r="E4093" i="1"/>
  <c r="C4094" i="1"/>
  <c r="D4094" i="1"/>
  <c r="E4094" i="1"/>
  <c r="C4095" i="1"/>
  <c r="D4095" i="1"/>
  <c r="E4095" i="1"/>
  <c r="C4096" i="1"/>
  <c r="D4096" i="1"/>
  <c r="E4096" i="1"/>
  <c r="C4097" i="1"/>
  <c r="D4097" i="1"/>
  <c r="E4097" i="1"/>
  <c r="C4098" i="1"/>
  <c r="D4098" i="1"/>
  <c r="E4098" i="1"/>
  <c r="C4099" i="1"/>
  <c r="D4099" i="1"/>
  <c r="E4099" i="1"/>
  <c r="C4100" i="1"/>
  <c r="D4100" i="1"/>
  <c r="E4100" i="1"/>
  <c r="C4101" i="1"/>
  <c r="D4101" i="1"/>
  <c r="E4101" i="1"/>
  <c r="C4102" i="1"/>
  <c r="D4102" i="1"/>
  <c r="E4102" i="1"/>
  <c r="C4103" i="1"/>
  <c r="D4103" i="1"/>
  <c r="E4103" i="1"/>
  <c r="C4104" i="1"/>
  <c r="D4104" i="1"/>
  <c r="E4104" i="1"/>
  <c r="C4105" i="1"/>
  <c r="D4105" i="1"/>
  <c r="E4105" i="1"/>
  <c r="C4106" i="1"/>
  <c r="D4106" i="1"/>
  <c r="E4106" i="1"/>
  <c r="C4107" i="1"/>
  <c r="D4107" i="1"/>
  <c r="E4107" i="1"/>
  <c r="C4108" i="1"/>
  <c r="D4108" i="1"/>
  <c r="E4108" i="1"/>
  <c r="C4109" i="1"/>
  <c r="D4109" i="1"/>
  <c r="E4109" i="1"/>
  <c r="C4110" i="1"/>
  <c r="D4110" i="1"/>
  <c r="E4110" i="1"/>
  <c r="C4111" i="1"/>
  <c r="D4111" i="1"/>
  <c r="E4111" i="1"/>
  <c r="C4112" i="1"/>
  <c r="D4112" i="1"/>
  <c r="E4112" i="1"/>
  <c r="C4113" i="1"/>
  <c r="D4113" i="1"/>
  <c r="E4113" i="1"/>
  <c r="C4114" i="1"/>
  <c r="D4114" i="1"/>
  <c r="E4114" i="1"/>
  <c r="C4115" i="1"/>
  <c r="D4115" i="1"/>
  <c r="E4115" i="1"/>
  <c r="C4116" i="1"/>
  <c r="D4116" i="1"/>
  <c r="E4116" i="1"/>
  <c r="C4117" i="1"/>
  <c r="D4117" i="1"/>
  <c r="E4117" i="1"/>
  <c r="C4118" i="1"/>
  <c r="D4118" i="1"/>
  <c r="E4118" i="1"/>
  <c r="C4119" i="1"/>
  <c r="D4119" i="1"/>
  <c r="E4119" i="1"/>
  <c r="C4120" i="1"/>
  <c r="D4120" i="1"/>
  <c r="E4120" i="1"/>
  <c r="C4121" i="1"/>
  <c r="D4121" i="1"/>
  <c r="E4121" i="1"/>
  <c r="C4122" i="1"/>
  <c r="D4122" i="1"/>
  <c r="E4122" i="1"/>
  <c r="C4123" i="1"/>
  <c r="D4123" i="1"/>
  <c r="E4123" i="1"/>
  <c r="C4124" i="1"/>
  <c r="D4124" i="1"/>
  <c r="E4124" i="1"/>
  <c r="C4125" i="1"/>
  <c r="D4125" i="1"/>
  <c r="E4125" i="1"/>
  <c r="C4126" i="1"/>
  <c r="D4126" i="1"/>
  <c r="E4126" i="1"/>
  <c r="C4127" i="1"/>
  <c r="D4127" i="1"/>
  <c r="E4127" i="1"/>
  <c r="C4128" i="1"/>
  <c r="D4128" i="1"/>
  <c r="E4128" i="1"/>
  <c r="C4129" i="1"/>
  <c r="D4129" i="1"/>
  <c r="E4129" i="1"/>
  <c r="C4130" i="1"/>
  <c r="D4130" i="1"/>
  <c r="E4130" i="1"/>
  <c r="C4131" i="1"/>
  <c r="D4131" i="1"/>
  <c r="E4131" i="1"/>
  <c r="C4132" i="1"/>
  <c r="D4132" i="1"/>
  <c r="E4132" i="1"/>
  <c r="C4133" i="1"/>
  <c r="D4133" i="1"/>
  <c r="E4133" i="1"/>
  <c r="C4134" i="1"/>
  <c r="D4134" i="1"/>
  <c r="E4134" i="1"/>
  <c r="C4135" i="1"/>
  <c r="D4135" i="1"/>
  <c r="E4135" i="1"/>
  <c r="C4136" i="1"/>
  <c r="D4136" i="1"/>
  <c r="E4136" i="1"/>
  <c r="C4137" i="1"/>
  <c r="D4137" i="1"/>
  <c r="E4137" i="1"/>
  <c r="C4138" i="1"/>
  <c r="D4138" i="1"/>
  <c r="E4138" i="1"/>
  <c r="C4139" i="1"/>
  <c r="D4139" i="1"/>
  <c r="E4139" i="1"/>
  <c r="C4140" i="1"/>
  <c r="D4140" i="1"/>
  <c r="E4140" i="1"/>
  <c r="C4141" i="1"/>
  <c r="D4141" i="1"/>
  <c r="E4141" i="1"/>
  <c r="C4142" i="1"/>
  <c r="D4142" i="1"/>
  <c r="E4142" i="1"/>
  <c r="C4143" i="1"/>
  <c r="D4143" i="1"/>
  <c r="E4143" i="1"/>
  <c r="C4144" i="1"/>
  <c r="D4144" i="1"/>
  <c r="E4144" i="1"/>
  <c r="C4145" i="1"/>
  <c r="D4145" i="1"/>
  <c r="E4145" i="1"/>
  <c r="C4146" i="1"/>
  <c r="D4146" i="1"/>
  <c r="E4146" i="1"/>
  <c r="C4147" i="1"/>
  <c r="D4147" i="1"/>
  <c r="E4147" i="1"/>
  <c r="C4148" i="1"/>
  <c r="D4148" i="1"/>
  <c r="E4148" i="1"/>
  <c r="C4149" i="1"/>
  <c r="D4149" i="1"/>
  <c r="E4149" i="1"/>
  <c r="C4150" i="1"/>
  <c r="D4150" i="1"/>
  <c r="E4150" i="1"/>
  <c r="C4151" i="1"/>
  <c r="D4151" i="1"/>
  <c r="E4151" i="1"/>
  <c r="C4152" i="1"/>
  <c r="D4152" i="1"/>
  <c r="E4152" i="1"/>
  <c r="C4153" i="1"/>
  <c r="D4153" i="1"/>
  <c r="E4153" i="1"/>
  <c r="C4154" i="1"/>
  <c r="D4154" i="1"/>
  <c r="E4154" i="1"/>
  <c r="C4155" i="1"/>
  <c r="D4155" i="1"/>
  <c r="E4155" i="1"/>
  <c r="C4156" i="1"/>
  <c r="D4156" i="1"/>
  <c r="E4156" i="1"/>
  <c r="C4157" i="1"/>
  <c r="D4157" i="1"/>
  <c r="E4157" i="1"/>
  <c r="C4158" i="1"/>
  <c r="D4158" i="1"/>
  <c r="E4158" i="1"/>
  <c r="C4159" i="1"/>
  <c r="D4159" i="1"/>
  <c r="E4159" i="1"/>
  <c r="C4160" i="1"/>
  <c r="D4160" i="1"/>
  <c r="E4160" i="1"/>
  <c r="C4161" i="1"/>
  <c r="D4161" i="1"/>
  <c r="E4161" i="1"/>
  <c r="C4162" i="1"/>
  <c r="D4162" i="1"/>
  <c r="E4162" i="1"/>
  <c r="C4163" i="1"/>
  <c r="D4163" i="1"/>
  <c r="E4163" i="1"/>
  <c r="C4164" i="1"/>
  <c r="D4164" i="1"/>
  <c r="E4164" i="1"/>
  <c r="C4165" i="1"/>
  <c r="D4165" i="1"/>
  <c r="E4165" i="1"/>
  <c r="C4166" i="1"/>
  <c r="D4166" i="1"/>
  <c r="E4166" i="1"/>
  <c r="C4167" i="1"/>
  <c r="D4167" i="1"/>
  <c r="E4167" i="1"/>
  <c r="C4168" i="1"/>
  <c r="D4168" i="1"/>
  <c r="E4168" i="1"/>
  <c r="C4169" i="1"/>
  <c r="D4169" i="1"/>
  <c r="E4169" i="1"/>
  <c r="C4170" i="1"/>
  <c r="D4170" i="1"/>
  <c r="E4170" i="1"/>
  <c r="C4171" i="1"/>
  <c r="D4171" i="1"/>
  <c r="E4171" i="1"/>
  <c r="C4172" i="1"/>
  <c r="D4172" i="1"/>
  <c r="E4172" i="1"/>
  <c r="C4173" i="1"/>
  <c r="D4173" i="1"/>
  <c r="E4173" i="1"/>
  <c r="C4174" i="1"/>
  <c r="D4174" i="1"/>
  <c r="E4174" i="1"/>
  <c r="C4175" i="1"/>
  <c r="D4175" i="1"/>
  <c r="E4175" i="1"/>
  <c r="C4176" i="1"/>
  <c r="D4176" i="1"/>
  <c r="E4176" i="1"/>
  <c r="C4177" i="1"/>
  <c r="D4177" i="1"/>
  <c r="E4177" i="1"/>
  <c r="C4178" i="1"/>
  <c r="D4178" i="1"/>
  <c r="E4178" i="1"/>
  <c r="C4179" i="1"/>
  <c r="D4179" i="1"/>
  <c r="E4179" i="1"/>
  <c r="C4180" i="1"/>
  <c r="D4180" i="1"/>
  <c r="E4180" i="1"/>
  <c r="C4181" i="1"/>
  <c r="D4181" i="1"/>
  <c r="E4181" i="1"/>
  <c r="C4182" i="1"/>
  <c r="D4182" i="1"/>
  <c r="E4182" i="1"/>
  <c r="C4183" i="1"/>
  <c r="D4183" i="1"/>
  <c r="E4183" i="1"/>
  <c r="C4184" i="1"/>
  <c r="D4184" i="1"/>
  <c r="E4184" i="1"/>
  <c r="C4185" i="1"/>
  <c r="D4185" i="1"/>
  <c r="E4185" i="1"/>
  <c r="C4186" i="1"/>
  <c r="D4186" i="1"/>
  <c r="E4186" i="1"/>
  <c r="C4187" i="1"/>
  <c r="D4187" i="1"/>
  <c r="E4187" i="1"/>
  <c r="C4188" i="1"/>
  <c r="D4188" i="1"/>
  <c r="E4188" i="1"/>
  <c r="C4189" i="1"/>
  <c r="D4189" i="1"/>
  <c r="E4189" i="1"/>
  <c r="C4190" i="1"/>
  <c r="D4190" i="1"/>
  <c r="E4190" i="1"/>
  <c r="C4191" i="1"/>
  <c r="D4191" i="1"/>
  <c r="E4191" i="1"/>
  <c r="C4192" i="1"/>
  <c r="D4192" i="1"/>
  <c r="E4192" i="1"/>
  <c r="C4193" i="1"/>
  <c r="D4193" i="1"/>
  <c r="E4193" i="1"/>
  <c r="C4194" i="1"/>
  <c r="D4194" i="1"/>
  <c r="E4194" i="1"/>
  <c r="C4195" i="1"/>
  <c r="D4195" i="1"/>
  <c r="E4195" i="1"/>
  <c r="C4196" i="1"/>
  <c r="D4196" i="1"/>
  <c r="E4196" i="1"/>
  <c r="C4197" i="1"/>
  <c r="D4197" i="1"/>
  <c r="E4197" i="1"/>
  <c r="C4198" i="1"/>
  <c r="D4198" i="1"/>
  <c r="E4198" i="1"/>
  <c r="C4199" i="1"/>
  <c r="D4199" i="1"/>
  <c r="E4199" i="1"/>
  <c r="C4200" i="1"/>
  <c r="D4200" i="1"/>
  <c r="E4200" i="1"/>
  <c r="C4201" i="1"/>
  <c r="D4201" i="1"/>
  <c r="E4201" i="1"/>
  <c r="C4202" i="1"/>
  <c r="D4202" i="1"/>
  <c r="E4202" i="1"/>
  <c r="C4203" i="1"/>
  <c r="D4203" i="1"/>
  <c r="E4203" i="1"/>
  <c r="C4204" i="1"/>
  <c r="D4204" i="1"/>
  <c r="E4204" i="1"/>
  <c r="C4205" i="1"/>
  <c r="D4205" i="1"/>
  <c r="E4205" i="1"/>
  <c r="C4206" i="1"/>
  <c r="D4206" i="1"/>
  <c r="E4206" i="1"/>
  <c r="C4207" i="1"/>
  <c r="D4207" i="1"/>
  <c r="E4207" i="1"/>
  <c r="C4208" i="1"/>
  <c r="D4208" i="1"/>
  <c r="E4208" i="1"/>
  <c r="C4209" i="1"/>
  <c r="D4209" i="1"/>
  <c r="E4209" i="1"/>
  <c r="C4210" i="1"/>
  <c r="D4210" i="1"/>
  <c r="E4210" i="1"/>
  <c r="C4211" i="1"/>
  <c r="D4211" i="1"/>
  <c r="E4211" i="1"/>
  <c r="C4212" i="1"/>
  <c r="D4212" i="1"/>
  <c r="E4212" i="1"/>
  <c r="C4213" i="1"/>
  <c r="D4213" i="1"/>
  <c r="E4213" i="1"/>
  <c r="C4214" i="1"/>
  <c r="D4214" i="1"/>
  <c r="E4214" i="1"/>
  <c r="C4215" i="1"/>
  <c r="D4215" i="1"/>
  <c r="E4215" i="1"/>
  <c r="C4216" i="1"/>
  <c r="D4216" i="1"/>
  <c r="E4216" i="1"/>
  <c r="C4217" i="1"/>
  <c r="D4217" i="1"/>
  <c r="E4217" i="1"/>
  <c r="C4218" i="1"/>
  <c r="D4218" i="1"/>
  <c r="E4218" i="1"/>
  <c r="C4219" i="1"/>
  <c r="D4219" i="1"/>
  <c r="E4219" i="1"/>
  <c r="C4220" i="1"/>
  <c r="D4220" i="1"/>
  <c r="E4220" i="1"/>
  <c r="C4221" i="1"/>
  <c r="D4221" i="1"/>
  <c r="E4221" i="1"/>
  <c r="C4222" i="1"/>
  <c r="D4222" i="1"/>
  <c r="E4222" i="1"/>
  <c r="C4223" i="1"/>
  <c r="D4223" i="1"/>
  <c r="E4223" i="1"/>
  <c r="C4224" i="1"/>
  <c r="D4224" i="1"/>
  <c r="E4224" i="1"/>
  <c r="C4225" i="1"/>
  <c r="D4225" i="1"/>
  <c r="E4225" i="1"/>
  <c r="C4226" i="1"/>
  <c r="D4226" i="1"/>
  <c r="E4226" i="1"/>
  <c r="C4227" i="1"/>
  <c r="D4227" i="1"/>
  <c r="E4227" i="1"/>
  <c r="C4228" i="1"/>
  <c r="D4228" i="1"/>
  <c r="E4228" i="1"/>
  <c r="C4229" i="1"/>
  <c r="D4229" i="1"/>
  <c r="E4229" i="1"/>
  <c r="C4230" i="1"/>
  <c r="D4230" i="1"/>
  <c r="E4230" i="1"/>
  <c r="C4231" i="1"/>
  <c r="D4231" i="1"/>
  <c r="E4231" i="1"/>
  <c r="C4232" i="1"/>
  <c r="D4232" i="1"/>
  <c r="E4232" i="1"/>
  <c r="C4233" i="1"/>
  <c r="D4233" i="1"/>
  <c r="E4233" i="1"/>
  <c r="C4234" i="1"/>
  <c r="D4234" i="1"/>
  <c r="E4234" i="1"/>
  <c r="C4235" i="1"/>
  <c r="D4235" i="1"/>
  <c r="E4235" i="1"/>
  <c r="C4236" i="1"/>
  <c r="D4236" i="1"/>
  <c r="E4236" i="1"/>
  <c r="C4237" i="1"/>
  <c r="D4237" i="1"/>
  <c r="E4237" i="1"/>
  <c r="C4238" i="1"/>
  <c r="D4238" i="1"/>
  <c r="E4238" i="1"/>
  <c r="C4239" i="1"/>
  <c r="D4239" i="1"/>
  <c r="E4239" i="1"/>
  <c r="C4240" i="1"/>
  <c r="D4240" i="1"/>
  <c r="E4240" i="1"/>
  <c r="C4241" i="1"/>
  <c r="D4241" i="1"/>
  <c r="E4241" i="1"/>
  <c r="C4242" i="1"/>
  <c r="D4242" i="1"/>
  <c r="E4242" i="1"/>
  <c r="C4243" i="1"/>
  <c r="D4243" i="1"/>
  <c r="E4243" i="1"/>
  <c r="C4244" i="1"/>
  <c r="D4244" i="1"/>
  <c r="E4244" i="1"/>
  <c r="C4245" i="1"/>
  <c r="D4245" i="1"/>
  <c r="E4245" i="1"/>
  <c r="C4246" i="1"/>
  <c r="D4246" i="1"/>
  <c r="E4246" i="1"/>
  <c r="C4247" i="1"/>
  <c r="D4247" i="1"/>
  <c r="E4247" i="1"/>
  <c r="C4248" i="1"/>
  <c r="D4248" i="1"/>
  <c r="E4248" i="1"/>
  <c r="C4249" i="1"/>
  <c r="D4249" i="1"/>
  <c r="E4249" i="1"/>
  <c r="C4250" i="1"/>
  <c r="D4250" i="1"/>
  <c r="E4250" i="1"/>
  <c r="C4251" i="1"/>
  <c r="D4251" i="1"/>
  <c r="E4251" i="1"/>
  <c r="C4252" i="1"/>
  <c r="D4252" i="1"/>
  <c r="E4252" i="1"/>
  <c r="C4253" i="1"/>
  <c r="D4253" i="1"/>
  <c r="E4253" i="1"/>
  <c r="C4254" i="1"/>
  <c r="D4254" i="1"/>
  <c r="E4254" i="1"/>
  <c r="C4255" i="1"/>
  <c r="D4255" i="1"/>
  <c r="E4255" i="1"/>
  <c r="C4256" i="1"/>
  <c r="D4256" i="1"/>
  <c r="E4256" i="1"/>
  <c r="C4257" i="1"/>
  <c r="D4257" i="1"/>
  <c r="E4257" i="1"/>
  <c r="C4258" i="1"/>
  <c r="D4258" i="1"/>
  <c r="E4258" i="1"/>
  <c r="C4259" i="1"/>
  <c r="D4259" i="1"/>
  <c r="E4259" i="1"/>
  <c r="C4260" i="1"/>
  <c r="D4260" i="1"/>
  <c r="E4260" i="1"/>
  <c r="C4261" i="1"/>
  <c r="D4261" i="1"/>
  <c r="E4261" i="1"/>
  <c r="C4262" i="1"/>
  <c r="D4262" i="1"/>
  <c r="E4262" i="1"/>
  <c r="C4263" i="1"/>
  <c r="D4263" i="1"/>
  <c r="E4263" i="1"/>
  <c r="C4264" i="1"/>
  <c r="D4264" i="1"/>
  <c r="E4264" i="1"/>
  <c r="C4265" i="1"/>
  <c r="D4265" i="1"/>
  <c r="E4265" i="1"/>
  <c r="C4266" i="1"/>
  <c r="D4266" i="1"/>
  <c r="E4266" i="1"/>
  <c r="C4267" i="1"/>
  <c r="D4267" i="1"/>
  <c r="E4267" i="1"/>
  <c r="C4268" i="1"/>
  <c r="D4268" i="1"/>
  <c r="E4268" i="1"/>
  <c r="C4269" i="1"/>
  <c r="D4269" i="1"/>
  <c r="E4269" i="1"/>
  <c r="C4270" i="1"/>
  <c r="D4270" i="1"/>
  <c r="E4270" i="1"/>
  <c r="C4271" i="1"/>
  <c r="D4271" i="1"/>
  <c r="E4271" i="1"/>
  <c r="C4272" i="1"/>
  <c r="D4272" i="1"/>
  <c r="E4272" i="1"/>
  <c r="C4273" i="1"/>
  <c r="D4273" i="1"/>
  <c r="E4273" i="1"/>
  <c r="C4274" i="1"/>
  <c r="D4274" i="1"/>
  <c r="E4274" i="1"/>
  <c r="C4275" i="1"/>
  <c r="D4275" i="1"/>
  <c r="E4275" i="1"/>
  <c r="C4276" i="1"/>
  <c r="D4276" i="1"/>
  <c r="E4276" i="1"/>
  <c r="C4277" i="1"/>
  <c r="D4277" i="1"/>
  <c r="E4277" i="1"/>
  <c r="C4278" i="1"/>
  <c r="D4278" i="1"/>
  <c r="E4278" i="1"/>
  <c r="C4279" i="1"/>
  <c r="D4279" i="1"/>
  <c r="E4279" i="1"/>
  <c r="C4280" i="1"/>
  <c r="D4280" i="1"/>
  <c r="E4280" i="1"/>
  <c r="C4281" i="1"/>
  <c r="D4281" i="1"/>
  <c r="E4281" i="1"/>
  <c r="C4282" i="1"/>
  <c r="D4282" i="1"/>
  <c r="E4282" i="1"/>
  <c r="C4283" i="1"/>
  <c r="D4283" i="1"/>
  <c r="E4283" i="1"/>
  <c r="C4284" i="1"/>
  <c r="D4284" i="1"/>
  <c r="E4284" i="1"/>
  <c r="C4285" i="1"/>
  <c r="D4285" i="1"/>
  <c r="E4285" i="1"/>
  <c r="C4286" i="1"/>
  <c r="D4286" i="1"/>
  <c r="E4286" i="1"/>
  <c r="C4287" i="1"/>
  <c r="D4287" i="1"/>
  <c r="E4287" i="1"/>
  <c r="C4288" i="1"/>
  <c r="D4288" i="1"/>
  <c r="E4288" i="1"/>
  <c r="C4289" i="1"/>
  <c r="D4289" i="1"/>
  <c r="E4289" i="1"/>
  <c r="C4290" i="1"/>
  <c r="D4290" i="1"/>
  <c r="E4290" i="1"/>
  <c r="C4291" i="1"/>
  <c r="D4291" i="1"/>
  <c r="E4291" i="1"/>
  <c r="C4292" i="1"/>
  <c r="D4292" i="1"/>
  <c r="E4292" i="1"/>
  <c r="C4293" i="1"/>
  <c r="D4293" i="1"/>
  <c r="E4293" i="1"/>
  <c r="C4294" i="1"/>
  <c r="D4294" i="1"/>
  <c r="E4294" i="1"/>
  <c r="C4295" i="1"/>
  <c r="D4295" i="1"/>
  <c r="E4295" i="1"/>
  <c r="C4296" i="1"/>
  <c r="D4296" i="1"/>
  <c r="E4296" i="1"/>
  <c r="C4297" i="1"/>
  <c r="D4297" i="1"/>
  <c r="E4297" i="1"/>
  <c r="C4298" i="1"/>
  <c r="D4298" i="1"/>
  <c r="E4298" i="1"/>
  <c r="C4299" i="1"/>
  <c r="D4299" i="1"/>
  <c r="E4299" i="1"/>
  <c r="C4300" i="1"/>
  <c r="D4300" i="1"/>
  <c r="E4300" i="1"/>
  <c r="C4301" i="1"/>
  <c r="D4301" i="1"/>
  <c r="E4301" i="1"/>
  <c r="C4302" i="1"/>
  <c r="D4302" i="1"/>
  <c r="E4302" i="1"/>
  <c r="C4303" i="1"/>
  <c r="D4303" i="1"/>
  <c r="E4303" i="1"/>
  <c r="C4304" i="1"/>
  <c r="D4304" i="1"/>
  <c r="E4304" i="1"/>
  <c r="C4305" i="1"/>
  <c r="D4305" i="1"/>
  <c r="E4305" i="1"/>
  <c r="C4306" i="1"/>
  <c r="D4306" i="1"/>
  <c r="E4306" i="1"/>
  <c r="C4307" i="1"/>
  <c r="D4307" i="1"/>
  <c r="E4307" i="1"/>
  <c r="C4308" i="1"/>
  <c r="D4308" i="1"/>
  <c r="E4308" i="1"/>
  <c r="C4309" i="1"/>
  <c r="D4309" i="1"/>
  <c r="E4309" i="1"/>
  <c r="C4310" i="1"/>
  <c r="D4310" i="1"/>
  <c r="E4310" i="1"/>
  <c r="C4311" i="1"/>
  <c r="D4311" i="1"/>
  <c r="E4311" i="1"/>
  <c r="C4312" i="1"/>
  <c r="D4312" i="1"/>
  <c r="E4312" i="1"/>
  <c r="C4313" i="1"/>
  <c r="D4313" i="1"/>
  <c r="E4313" i="1"/>
  <c r="C4314" i="1"/>
  <c r="D4314" i="1"/>
  <c r="E4314" i="1"/>
  <c r="C4315" i="1"/>
  <c r="D4315" i="1"/>
  <c r="E4315" i="1"/>
  <c r="C4316" i="1"/>
  <c r="D4316" i="1"/>
  <c r="E4316" i="1"/>
  <c r="C4317" i="1"/>
  <c r="D4317" i="1"/>
  <c r="E4317" i="1"/>
  <c r="C4318" i="1"/>
  <c r="D4318" i="1"/>
  <c r="E4318" i="1"/>
  <c r="C4319" i="1"/>
  <c r="D4319" i="1"/>
  <c r="E4319" i="1"/>
  <c r="C4320" i="1"/>
  <c r="D4320" i="1"/>
  <c r="E4320" i="1"/>
  <c r="C4321" i="1"/>
  <c r="D4321" i="1"/>
  <c r="E4321" i="1"/>
  <c r="C4322" i="1"/>
  <c r="D4322" i="1"/>
  <c r="E4322" i="1"/>
  <c r="C4323" i="1"/>
  <c r="D4323" i="1"/>
  <c r="E4323" i="1"/>
  <c r="C4324" i="1"/>
  <c r="D4324" i="1"/>
  <c r="E4324" i="1"/>
  <c r="C4325" i="1"/>
  <c r="D4325" i="1"/>
  <c r="E4325" i="1"/>
  <c r="C4326" i="1"/>
  <c r="D4326" i="1"/>
  <c r="E4326" i="1"/>
  <c r="C4327" i="1"/>
  <c r="D4327" i="1"/>
  <c r="E4327" i="1"/>
  <c r="C4328" i="1"/>
  <c r="D4328" i="1"/>
  <c r="E4328" i="1"/>
  <c r="C4329" i="1"/>
  <c r="D4329" i="1"/>
  <c r="E4329" i="1"/>
  <c r="C4330" i="1"/>
  <c r="D4330" i="1"/>
  <c r="E4330" i="1"/>
  <c r="C4331" i="1"/>
  <c r="D4331" i="1"/>
  <c r="E4331" i="1"/>
  <c r="C4332" i="1"/>
  <c r="D4332" i="1"/>
  <c r="E4332" i="1"/>
  <c r="C4333" i="1"/>
  <c r="D4333" i="1"/>
  <c r="E4333" i="1"/>
  <c r="C4334" i="1"/>
  <c r="D4334" i="1"/>
  <c r="E4334" i="1"/>
  <c r="C4335" i="1"/>
  <c r="D4335" i="1"/>
  <c r="E4335" i="1"/>
  <c r="C4336" i="1"/>
  <c r="D4336" i="1"/>
  <c r="E4336" i="1"/>
  <c r="C4337" i="1"/>
  <c r="D4337" i="1"/>
  <c r="E4337" i="1"/>
  <c r="C4338" i="1"/>
  <c r="D4338" i="1"/>
  <c r="E4338" i="1"/>
  <c r="C4339" i="1"/>
  <c r="D4339" i="1"/>
  <c r="E4339" i="1"/>
  <c r="C4340" i="1"/>
  <c r="D4340" i="1"/>
  <c r="E4340" i="1"/>
  <c r="C4341" i="1"/>
  <c r="D4341" i="1"/>
  <c r="E4341" i="1"/>
  <c r="C4342" i="1"/>
  <c r="D4342" i="1"/>
  <c r="E4342" i="1"/>
  <c r="C4343" i="1"/>
  <c r="D4343" i="1"/>
  <c r="E4343" i="1"/>
  <c r="C4344" i="1"/>
  <c r="D4344" i="1"/>
  <c r="E4344" i="1"/>
  <c r="C4345" i="1"/>
  <c r="D4345" i="1"/>
  <c r="E4345" i="1"/>
  <c r="C4346" i="1"/>
  <c r="D4346" i="1"/>
  <c r="E4346" i="1"/>
  <c r="C4347" i="1"/>
  <c r="D4347" i="1"/>
  <c r="E4347" i="1"/>
  <c r="C4348" i="1"/>
  <c r="D4348" i="1"/>
  <c r="E4348" i="1"/>
  <c r="C4349" i="1"/>
  <c r="D4349" i="1"/>
  <c r="E4349" i="1"/>
  <c r="C4350" i="1"/>
  <c r="D4350" i="1"/>
  <c r="E4350" i="1"/>
  <c r="C4351" i="1"/>
  <c r="D4351" i="1"/>
  <c r="E4351" i="1"/>
  <c r="C4352" i="1"/>
  <c r="D4352" i="1"/>
  <c r="E4352" i="1"/>
  <c r="C4353" i="1"/>
  <c r="D4353" i="1"/>
  <c r="E4353" i="1"/>
  <c r="C4354" i="1"/>
  <c r="D4354" i="1"/>
  <c r="E4354" i="1"/>
  <c r="C4355" i="1"/>
  <c r="D4355" i="1"/>
  <c r="E4355" i="1"/>
  <c r="C4356" i="1"/>
  <c r="D4356" i="1"/>
  <c r="E4356" i="1"/>
  <c r="C4357" i="1"/>
  <c r="D4357" i="1"/>
  <c r="E4357" i="1"/>
  <c r="C4358" i="1"/>
  <c r="D4358" i="1"/>
  <c r="E4358" i="1"/>
  <c r="C4359" i="1"/>
  <c r="D4359" i="1"/>
  <c r="E4359" i="1"/>
  <c r="C4360" i="1"/>
  <c r="D4360" i="1"/>
  <c r="E4360" i="1"/>
  <c r="C4361" i="1"/>
  <c r="D4361" i="1"/>
  <c r="E4361" i="1"/>
  <c r="C4362" i="1"/>
  <c r="D4362" i="1"/>
  <c r="E4362" i="1"/>
  <c r="C4363" i="1"/>
  <c r="D4363" i="1"/>
  <c r="E4363" i="1"/>
  <c r="C4364" i="1"/>
  <c r="D4364" i="1"/>
  <c r="E4364" i="1"/>
  <c r="C4365" i="1"/>
  <c r="D4365" i="1"/>
  <c r="E4365" i="1"/>
  <c r="C4366" i="1"/>
  <c r="D4366" i="1"/>
  <c r="E4366" i="1"/>
  <c r="C4367" i="1"/>
  <c r="D4367" i="1"/>
  <c r="E4367" i="1"/>
  <c r="C4368" i="1"/>
  <c r="D4368" i="1"/>
  <c r="E4368" i="1"/>
  <c r="C4369" i="1"/>
  <c r="D4369" i="1"/>
  <c r="E4369" i="1"/>
  <c r="C4370" i="1"/>
  <c r="D4370" i="1"/>
  <c r="E4370" i="1"/>
  <c r="C4371" i="1"/>
  <c r="D4371" i="1"/>
  <c r="E4371" i="1"/>
  <c r="C4372" i="1"/>
  <c r="D4372" i="1"/>
  <c r="E4372" i="1"/>
  <c r="C4373" i="1"/>
  <c r="D4373" i="1"/>
  <c r="E4373" i="1"/>
  <c r="C4374" i="1"/>
  <c r="D4374" i="1"/>
  <c r="E4374" i="1"/>
  <c r="C4375" i="1"/>
  <c r="D4375" i="1"/>
  <c r="E4375" i="1"/>
  <c r="C4376" i="1"/>
  <c r="D4376" i="1"/>
  <c r="E4376" i="1"/>
  <c r="C4377" i="1"/>
  <c r="D4377" i="1"/>
  <c r="E4377" i="1"/>
  <c r="C4378" i="1"/>
  <c r="D4378" i="1"/>
  <c r="E4378" i="1"/>
  <c r="C4379" i="1"/>
  <c r="D4379" i="1"/>
  <c r="E4379" i="1"/>
  <c r="C4380" i="1"/>
  <c r="D4380" i="1"/>
  <c r="E4380" i="1"/>
  <c r="C4381" i="1"/>
  <c r="D4381" i="1"/>
  <c r="E4381" i="1"/>
  <c r="C4382" i="1"/>
  <c r="D4382" i="1"/>
  <c r="E4382" i="1"/>
  <c r="C4383" i="1"/>
  <c r="D4383" i="1"/>
  <c r="E4383" i="1"/>
  <c r="C4384" i="1"/>
  <c r="D4384" i="1"/>
  <c r="E4384" i="1"/>
  <c r="C4385" i="1"/>
  <c r="D4385" i="1"/>
  <c r="E4385" i="1"/>
  <c r="C4386" i="1"/>
  <c r="D4386" i="1"/>
  <c r="E4386" i="1"/>
  <c r="C4387" i="1"/>
  <c r="D4387" i="1"/>
  <c r="E4387" i="1"/>
  <c r="C4388" i="1"/>
  <c r="D4388" i="1"/>
  <c r="E4388" i="1"/>
  <c r="C4389" i="1"/>
  <c r="D4389" i="1"/>
  <c r="E4389" i="1"/>
  <c r="C4390" i="1"/>
  <c r="D4390" i="1"/>
  <c r="E4390" i="1"/>
  <c r="C4391" i="1"/>
  <c r="D4391" i="1"/>
  <c r="E4391" i="1"/>
  <c r="C4392" i="1"/>
  <c r="D4392" i="1"/>
  <c r="E4392" i="1"/>
  <c r="C4393" i="1"/>
  <c r="D4393" i="1"/>
  <c r="E4393" i="1"/>
  <c r="C4394" i="1"/>
  <c r="D4394" i="1"/>
  <c r="E4394" i="1"/>
  <c r="C4395" i="1"/>
  <c r="D4395" i="1"/>
  <c r="E4395" i="1"/>
  <c r="C4396" i="1"/>
  <c r="D4396" i="1"/>
  <c r="E4396" i="1"/>
  <c r="C4397" i="1"/>
  <c r="D4397" i="1"/>
  <c r="E4397" i="1"/>
  <c r="C4398" i="1"/>
  <c r="D4398" i="1"/>
  <c r="E4398" i="1"/>
  <c r="C4399" i="1"/>
  <c r="D4399" i="1"/>
  <c r="E4399" i="1"/>
  <c r="C4400" i="1"/>
  <c r="D4400" i="1"/>
  <c r="E4400" i="1"/>
  <c r="C4401" i="1"/>
  <c r="D4401" i="1"/>
  <c r="E4401" i="1"/>
  <c r="C4402" i="1"/>
  <c r="D4402" i="1"/>
  <c r="E4402" i="1"/>
  <c r="C4403" i="1"/>
  <c r="D4403" i="1"/>
  <c r="E4403" i="1"/>
  <c r="C4404" i="1"/>
  <c r="D4404" i="1"/>
  <c r="E4404" i="1"/>
  <c r="C4405" i="1"/>
  <c r="D4405" i="1"/>
  <c r="E4405" i="1"/>
  <c r="C4406" i="1"/>
  <c r="D4406" i="1"/>
  <c r="E4406" i="1"/>
  <c r="C4407" i="1"/>
  <c r="D4407" i="1"/>
  <c r="E4407" i="1"/>
  <c r="C4408" i="1"/>
  <c r="D4408" i="1"/>
  <c r="E4408" i="1"/>
  <c r="C4409" i="1"/>
  <c r="D4409" i="1"/>
  <c r="E4409" i="1"/>
  <c r="C4410" i="1"/>
  <c r="D4410" i="1"/>
  <c r="E4410" i="1"/>
  <c r="C4411" i="1"/>
  <c r="D4411" i="1"/>
  <c r="E4411" i="1"/>
  <c r="C4412" i="1"/>
  <c r="D4412" i="1"/>
  <c r="E4412" i="1"/>
  <c r="C4413" i="1"/>
  <c r="D4413" i="1"/>
  <c r="E4413" i="1"/>
  <c r="C4414" i="1"/>
  <c r="D4414" i="1"/>
  <c r="E4414" i="1"/>
  <c r="C4415" i="1"/>
  <c r="D4415" i="1"/>
  <c r="E4415" i="1"/>
  <c r="C4416" i="1"/>
  <c r="D4416" i="1"/>
  <c r="E4416" i="1"/>
  <c r="C4417" i="1"/>
  <c r="D4417" i="1"/>
  <c r="E4417" i="1"/>
  <c r="C4418" i="1"/>
  <c r="D4418" i="1"/>
  <c r="E4418" i="1"/>
  <c r="C4419" i="1"/>
  <c r="D4419" i="1"/>
  <c r="E4419" i="1"/>
  <c r="C4420" i="1"/>
  <c r="D4420" i="1"/>
  <c r="E4420" i="1"/>
  <c r="C4421" i="1"/>
  <c r="D4421" i="1"/>
  <c r="E4421" i="1"/>
  <c r="C4422" i="1"/>
  <c r="D4422" i="1"/>
  <c r="E4422" i="1"/>
  <c r="C4423" i="1"/>
  <c r="D4423" i="1"/>
  <c r="E4423" i="1"/>
  <c r="C4424" i="1"/>
  <c r="D4424" i="1"/>
  <c r="E4424" i="1"/>
  <c r="C4425" i="1"/>
  <c r="D4425" i="1"/>
  <c r="E4425" i="1"/>
  <c r="C4426" i="1"/>
  <c r="D4426" i="1"/>
  <c r="E4426" i="1"/>
  <c r="C4427" i="1"/>
  <c r="D4427" i="1"/>
  <c r="E4427" i="1"/>
  <c r="C4428" i="1"/>
  <c r="D4428" i="1"/>
  <c r="E4428" i="1"/>
  <c r="C4429" i="1"/>
  <c r="D4429" i="1"/>
  <c r="E4429" i="1"/>
  <c r="C4430" i="1"/>
  <c r="D4430" i="1"/>
  <c r="E4430" i="1"/>
  <c r="C4431" i="1"/>
  <c r="D4431" i="1"/>
  <c r="E4431" i="1"/>
  <c r="C4432" i="1"/>
  <c r="D4432" i="1"/>
  <c r="E4432" i="1"/>
  <c r="C4433" i="1"/>
  <c r="D4433" i="1"/>
  <c r="E4433" i="1"/>
  <c r="C4434" i="1"/>
  <c r="D4434" i="1"/>
  <c r="E4434" i="1"/>
  <c r="C4435" i="1"/>
  <c r="D4435" i="1"/>
  <c r="E4435" i="1"/>
  <c r="C4436" i="1"/>
  <c r="D4436" i="1"/>
  <c r="E4436" i="1"/>
  <c r="C4437" i="1"/>
  <c r="D4437" i="1"/>
  <c r="E4437" i="1"/>
  <c r="C4438" i="1"/>
  <c r="D4438" i="1"/>
  <c r="E4438" i="1"/>
  <c r="C4439" i="1"/>
  <c r="D4439" i="1"/>
  <c r="E4439" i="1"/>
  <c r="C4440" i="1"/>
  <c r="D4440" i="1"/>
  <c r="E4440" i="1"/>
  <c r="C4441" i="1"/>
  <c r="D4441" i="1"/>
  <c r="E4441" i="1"/>
  <c r="C4442" i="1"/>
  <c r="D4442" i="1"/>
  <c r="E4442" i="1"/>
  <c r="C4443" i="1"/>
  <c r="D4443" i="1"/>
  <c r="E4443" i="1"/>
  <c r="C4444" i="1"/>
  <c r="D4444" i="1"/>
  <c r="E4444" i="1"/>
  <c r="C4445" i="1"/>
  <c r="D4445" i="1"/>
  <c r="E4445" i="1"/>
  <c r="C4446" i="1"/>
  <c r="D4446" i="1"/>
  <c r="E4446" i="1"/>
  <c r="C4447" i="1"/>
  <c r="D4447" i="1"/>
  <c r="E4447" i="1"/>
  <c r="C4448" i="1"/>
  <c r="D4448" i="1"/>
  <c r="E4448" i="1"/>
  <c r="C4449" i="1"/>
  <c r="D4449" i="1"/>
  <c r="E4449" i="1"/>
  <c r="C4450" i="1"/>
  <c r="D4450" i="1"/>
  <c r="E4450" i="1"/>
  <c r="C4451" i="1"/>
  <c r="D4451" i="1"/>
  <c r="E4451" i="1"/>
  <c r="C4452" i="1"/>
  <c r="D4452" i="1"/>
  <c r="E4452" i="1"/>
  <c r="C4453" i="1"/>
  <c r="D4453" i="1"/>
  <c r="E4453" i="1"/>
  <c r="C4454" i="1"/>
  <c r="D4454" i="1"/>
  <c r="E4454" i="1"/>
  <c r="C4455" i="1"/>
  <c r="D4455" i="1"/>
  <c r="E4455" i="1"/>
  <c r="C4456" i="1"/>
  <c r="D4456" i="1"/>
  <c r="E4456" i="1"/>
  <c r="C4457" i="1"/>
  <c r="D4457" i="1"/>
  <c r="E4457" i="1"/>
  <c r="C4458" i="1"/>
  <c r="D4458" i="1"/>
  <c r="E4458" i="1"/>
  <c r="C4459" i="1"/>
  <c r="D4459" i="1"/>
  <c r="E4459" i="1"/>
  <c r="C4460" i="1"/>
  <c r="D4460" i="1"/>
  <c r="E4460" i="1"/>
  <c r="C4461" i="1"/>
  <c r="D4461" i="1"/>
  <c r="E4461" i="1"/>
  <c r="C4462" i="1"/>
  <c r="D4462" i="1"/>
  <c r="E4462" i="1"/>
  <c r="C4463" i="1"/>
  <c r="D4463" i="1"/>
  <c r="E4463" i="1"/>
  <c r="C4464" i="1"/>
  <c r="D4464" i="1"/>
  <c r="E4464" i="1"/>
  <c r="C4465" i="1"/>
  <c r="D4465" i="1"/>
  <c r="E4465" i="1"/>
  <c r="C4466" i="1"/>
  <c r="D4466" i="1"/>
  <c r="E4466" i="1"/>
  <c r="C4467" i="1"/>
  <c r="D4467" i="1"/>
  <c r="E4467" i="1"/>
  <c r="C4468" i="1"/>
  <c r="D4468" i="1"/>
  <c r="E4468" i="1"/>
  <c r="C4469" i="1"/>
  <c r="D4469" i="1"/>
  <c r="E4469" i="1"/>
  <c r="C4470" i="1"/>
  <c r="D4470" i="1"/>
  <c r="E4470" i="1"/>
  <c r="C4471" i="1"/>
  <c r="D4471" i="1"/>
  <c r="E4471" i="1"/>
  <c r="C4472" i="1"/>
  <c r="D4472" i="1"/>
  <c r="E4472" i="1"/>
  <c r="C4473" i="1"/>
  <c r="D4473" i="1"/>
  <c r="E4473" i="1"/>
  <c r="C4474" i="1"/>
  <c r="D4474" i="1"/>
  <c r="E4474" i="1"/>
  <c r="C4475" i="1"/>
  <c r="D4475" i="1"/>
  <c r="E4475" i="1"/>
  <c r="C4476" i="1"/>
  <c r="D4476" i="1"/>
  <c r="E4476" i="1"/>
  <c r="C4477" i="1"/>
  <c r="D4477" i="1"/>
  <c r="E4477" i="1"/>
  <c r="C4478" i="1"/>
  <c r="D4478" i="1"/>
  <c r="E4478" i="1"/>
  <c r="C4479" i="1"/>
  <c r="D4479" i="1"/>
  <c r="E4479" i="1"/>
  <c r="C4480" i="1"/>
  <c r="D4480" i="1"/>
  <c r="E4480" i="1"/>
  <c r="C4481" i="1"/>
  <c r="D4481" i="1"/>
  <c r="E4481" i="1"/>
  <c r="C4482" i="1"/>
  <c r="D4482" i="1"/>
  <c r="E4482" i="1"/>
  <c r="C4483" i="1"/>
  <c r="D4483" i="1"/>
  <c r="E4483" i="1"/>
  <c r="C4484" i="1"/>
  <c r="D4484" i="1"/>
  <c r="E4484" i="1"/>
  <c r="C4485" i="1"/>
  <c r="D4485" i="1"/>
  <c r="E4485" i="1"/>
  <c r="C4486" i="1"/>
  <c r="D4486" i="1"/>
  <c r="E4486" i="1"/>
  <c r="C4487" i="1"/>
  <c r="D4487" i="1"/>
  <c r="E4487" i="1"/>
  <c r="C4488" i="1"/>
  <c r="D4488" i="1"/>
  <c r="E4488" i="1"/>
  <c r="C4489" i="1"/>
  <c r="D4489" i="1"/>
  <c r="E4489" i="1"/>
  <c r="C4490" i="1"/>
  <c r="D4490" i="1"/>
  <c r="E4490" i="1"/>
  <c r="C4491" i="1"/>
  <c r="D4491" i="1"/>
  <c r="E4491" i="1"/>
  <c r="C4492" i="1"/>
  <c r="D4492" i="1"/>
  <c r="E4492" i="1"/>
  <c r="C4493" i="1"/>
  <c r="D4493" i="1"/>
  <c r="E4493" i="1"/>
  <c r="C4494" i="1"/>
  <c r="D4494" i="1"/>
  <c r="E4494" i="1"/>
  <c r="C4495" i="1"/>
  <c r="D4495" i="1"/>
  <c r="E4495" i="1"/>
  <c r="C4496" i="1"/>
  <c r="D4496" i="1"/>
  <c r="E4496" i="1"/>
  <c r="C4497" i="1"/>
  <c r="D4497" i="1"/>
  <c r="E4497" i="1"/>
  <c r="C4498" i="1"/>
  <c r="D4498" i="1"/>
  <c r="E4498" i="1"/>
  <c r="C4499" i="1"/>
  <c r="D4499" i="1"/>
  <c r="E4499" i="1"/>
  <c r="C4500" i="1"/>
  <c r="D4500" i="1"/>
  <c r="E4500" i="1"/>
  <c r="C4501" i="1"/>
  <c r="D4501" i="1"/>
  <c r="E4501" i="1"/>
  <c r="C4502" i="1"/>
  <c r="D4502" i="1"/>
  <c r="E4502" i="1"/>
  <c r="C4503" i="1"/>
  <c r="D4503" i="1"/>
  <c r="E4503" i="1"/>
  <c r="C4504" i="1"/>
  <c r="D4504" i="1"/>
  <c r="E4504" i="1"/>
  <c r="C4505" i="1"/>
  <c r="D4505" i="1"/>
  <c r="E4505" i="1"/>
  <c r="C4506" i="1"/>
  <c r="D4506" i="1"/>
  <c r="E4506" i="1"/>
  <c r="C4507" i="1"/>
  <c r="D4507" i="1"/>
  <c r="E4507" i="1"/>
  <c r="C4508" i="1"/>
  <c r="D4508" i="1"/>
  <c r="E4508" i="1"/>
  <c r="C4509" i="1"/>
  <c r="D4509" i="1"/>
  <c r="E4509" i="1"/>
  <c r="C4510" i="1"/>
  <c r="D4510" i="1"/>
  <c r="E4510" i="1"/>
  <c r="C4511" i="1"/>
  <c r="D4511" i="1"/>
  <c r="E4511" i="1"/>
  <c r="C4512" i="1"/>
  <c r="D4512" i="1"/>
  <c r="E4512" i="1"/>
  <c r="C4513" i="1"/>
  <c r="D4513" i="1"/>
  <c r="E4513" i="1"/>
  <c r="C4514" i="1"/>
  <c r="D4514" i="1"/>
  <c r="E4514" i="1"/>
  <c r="C4515" i="1"/>
  <c r="D4515" i="1"/>
  <c r="E4515" i="1"/>
  <c r="C4516" i="1"/>
  <c r="D4516" i="1"/>
  <c r="E4516" i="1"/>
  <c r="C4517" i="1"/>
  <c r="D4517" i="1"/>
  <c r="E4517" i="1"/>
  <c r="C4518" i="1"/>
  <c r="D4518" i="1"/>
  <c r="E4518" i="1"/>
  <c r="C4519" i="1"/>
  <c r="D4519" i="1"/>
  <c r="E4519" i="1"/>
  <c r="C4520" i="1"/>
  <c r="D4520" i="1"/>
  <c r="E4520" i="1"/>
  <c r="C4521" i="1"/>
  <c r="D4521" i="1"/>
  <c r="E4521" i="1"/>
  <c r="C4522" i="1"/>
  <c r="D4522" i="1"/>
  <c r="E4522" i="1"/>
  <c r="C4523" i="1"/>
  <c r="D4523" i="1"/>
  <c r="E4523" i="1"/>
  <c r="C4524" i="1"/>
  <c r="D4524" i="1"/>
  <c r="E4524" i="1"/>
  <c r="C4525" i="1"/>
  <c r="D4525" i="1"/>
  <c r="E4525" i="1"/>
  <c r="C4526" i="1"/>
  <c r="D4526" i="1"/>
  <c r="E4526" i="1"/>
  <c r="C4527" i="1"/>
  <c r="D4527" i="1"/>
  <c r="E4527" i="1"/>
  <c r="C4528" i="1"/>
  <c r="D4528" i="1"/>
  <c r="E4528" i="1"/>
  <c r="C4529" i="1"/>
  <c r="D4529" i="1"/>
  <c r="E4529" i="1"/>
  <c r="C4530" i="1"/>
  <c r="D4530" i="1"/>
  <c r="E4530" i="1"/>
  <c r="C4531" i="1"/>
  <c r="D4531" i="1"/>
  <c r="E4531" i="1"/>
  <c r="C4532" i="1"/>
  <c r="D4532" i="1"/>
  <c r="E4532" i="1"/>
  <c r="C4533" i="1"/>
  <c r="D4533" i="1"/>
  <c r="E4533" i="1"/>
  <c r="C4534" i="1"/>
  <c r="D4534" i="1"/>
  <c r="E4534" i="1"/>
  <c r="C4535" i="1"/>
  <c r="D4535" i="1"/>
  <c r="E4535" i="1"/>
  <c r="C4536" i="1"/>
  <c r="D4536" i="1"/>
  <c r="E4536" i="1"/>
  <c r="C4537" i="1"/>
  <c r="D4537" i="1"/>
  <c r="E4537" i="1"/>
  <c r="C4538" i="1"/>
  <c r="D4538" i="1"/>
  <c r="E4538" i="1"/>
  <c r="C4539" i="1"/>
  <c r="D4539" i="1"/>
  <c r="E4539" i="1"/>
  <c r="C4540" i="1"/>
  <c r="D4540" i="1"/>
  <c r="E4540" i="1"/>
  <c r="C4541" i="1"/>
  <c r="D4541" i="1"/>
  <c r="E4541" i="1"/>
  <c r="C4542" i="1"/>
  <c r="D4542" i="1"/>
  <c r="E4542" i="1"/>
  <c r="C4543" i="1"/>
  <c r="D4543" i="1"/>
  <c r="E4543" i="1"/>
  <c r="C4544" i="1"/>
  <c r="D4544" i="1"/>
  <c r="E4544" i="1"/>
  <c r="C4545" i="1"/>
  <c r="D4545" i="1"/>
  <c r="E4545" i="1"/>
  <c r="C4546" i="1"/>
  <c r="D4546" i="1"/>
  <c r="E4546" i="1"/>
  <c r="C4547" i="1"/>
  <c r="D4547" i="1"/>
  <c r="E4547" i="1"/>
  <c r="C4548" i="1"/>
  <c r="D4548" i="1"/>
  <c r="E4548" i="1"/>
  <c r="C4549" i="1"/>
  <c r="D4549" i="1"/>
  <c r="E4549" i="1"/>
  <c r="C4550" i="1"/>
  <c r="D4550" i="1"/>
  <c r="E4550" i="1"/>
  <c r="C4551" i="1"/>
  <c r="D4551" i="1"/>
  <c r="E4551" i="1"/>
  <c r="C4552" i="1"/>
  <c r="D4552" i="1"/>
  <c r="E4552" i="1"/>
  <c r="C4553" i="1"/>
  <c r="D4553" i="1"/>
  <c r="E4553" i="1"/>
  <c r="C4554" i="1"/>
  <c r="D4554" i="1"/>
  <c r="E4554" i="1"/>
  <c r="C4555" i="1"/>
  <c r="D4555" i="1"/>
  <c r="E4555" i="1"/>
  <c r="C4556" i="1"/>
  <c r="D4556" i="1"/>
  <c r="E4556" i="1"/>
  <c r="C4557" i="1"/>
  <c r="D4557" i="1"/>
  <c r="E4557" i="1"/>
  <c r="C4558" i="1"/>
  <c r="D4558" i="1"/>
  <c r="E4558" i="1"/>
  <c r="C4559" i="1"/>
  <c r="D4559" i="1"/>
  <c r="E4559" i="1"/>
  <c r="C4560" i="1"/>
  <c r="D4560" i="1"/>
  <c r="E4560" i="1"/>
  <c r="C4561" i="1"/>
  <c r="D4561" i="1"/>
  <c r="E4561" i="1"/>
  <c r="C4562" i="1"/>
  <c r="D4562" i="1"/>
  <c r="E4562" i="1"/>
  <c r="C4563" i="1"/>
  <c r="D4563" i="1"/>
  <c r="E4563" i="1"/>
  <c r="C4564" i="1"/>
  <c r="D4564" i="1"/>
  <c r="E4564" i="1"/>
  <c r="C4565" i="1"/>
  <c r="D4565" i="1"/>
  <c r="E4565" i="1"/>
  <c r="C4566" i="1"/>
  <c r="D4566" i="1"/>
  <c r="E4566" i="1"/>
  <c r="C4567" i="1"/>
  <c r="D4567" i="1"/>
  <c r="E4567" i="1"/>
  <c r="C4568" i="1"/>
  <c r="D4568" i="1"/>
  <c r="E4568" i="1"/>
  <c r="C4569" i="1"/>
  <c r="D4569" i="1"/>
  <c r="E4569" i="1"/>
  <c r="C4570" i="1"/>
  <c r="D4570" i="1"/>
  <c r="E4570" i="1"/>
  <c r="C4571" i="1"/>
  <c r="D4571" i="1"/>
  <c r="E4571" i="1"/>
  <c r="C4572" i="1"/>
  <c r="D4572" i="1"/>
  <c r="E4572" i="1"/>
  <c r="C4573" i="1"/>
  <c r="D4573" i="1"/>
  <c r="E4573" i="1"/>
  <c r="C4574" i="1"/>
  <c r="D4574" i="1"/>
  <c r="E4574" i="1"/>
  <c r="C4575" i="1"/>
  <c r="D4575" i="1"/>
  <c r="E4575" i="1"/>
  <c r="C4576" i="1"/>
  <c r="D4576" i="1"/>
  <c r="E4576" i="1"/>
  <c r="C4577" i="1"/>
  <c r="D4577" i="1"/>
  <c r="E4577" i="1"/>
  <c r="C4578" i="1"/>
  <c r="D4578" i="1"/>
  <c r="E4578" i="1"/>
  <c r="C4579" i="1"/>
  <c r="D4579" i="1"/>
  <c r="E4579" i="1"/>
  <c r="C4580" i="1"/>
  <c r="D4580" i="1"/>
  <c r="E4580" i="1"/>
  <c r="C4581" i="1"/>
  <c r="D4581" i="1"/>
  <c r="E4581" i="1"/>
  <c r="C4582" i="1"/>
  <c r="D4582" i="1"/>
  <c r="E4582" i="1"/>
  <c r="C4583" i="1"/>
  <c r="D4583" i="1"/>
  <c r="E4583" i="1"/>
  <c r="C4584" i="1"/>
  <c r="D4584" i="1"/>
  <c r="E4584" i="1"/>
  <c r="C4585" i="1"/>
  <c r="D4585" i="1"/>
  <c r="E4585" i="1"/>
  <c r="C4586" i="1"/>
  <c r="D4586" i="1"/>
  <c r="E4586" i="1"/>
  <c r="C4587" i="1"/>
  <c r="D4587" i="1"/>
  <c r="E4587" i="1"/>
  <c r="C4588" i="1"/>
  <c r="D4588" i="1"/>
  <c r="E4588" i="1"/>
  <c r="C4589" i="1"/>
  <c r="D4589" i="1"/>
  <c r="E4589" i="1"/>
  <c r="C4590" i="1"/>
  <c r="D4590" i="1"/>
  <c r="E4590" i="1"/>
  <c r="C4591" i="1"/>
  <c r="D4591" i="1"/>
  <c r="E4591" i="1"/>
  <c r="C4592" i="1"/>
  <c r="D4592" i="1"/>
  <c r="E4592" i="1"/>
  <c r="C4593" i="1"/>
  <c r="D4593" i="1"/>
  <c r="E4593" i="1"/>
  <c r="C4594" i="1"/>
  <c r="D4594" i="1"/>
  <c r="E4594" i="1"/>
  <c r="C4595" i="1"/>
  <c r="D4595" i="1"/>
  <c r="E4595" i="1"/>
  <c r="C4596" i="1"/>
  <c r="D4596" i="1"/>
  <c r="E4596" i="1"/>
  <c r="C4597" i="1"/>
  <c r="D4597" i="1"/>
  <c r="E4597" i="1"/>
  <c r="C4598" i="1"/>
  <c r="D4598" i="1"/>
  <c r="E4598" i="1"/>
  <c r="C4599" i="1"/>
  <c r="D4599" i="1"/>
  <c r="E4599" i="1"/>
  <c r="C4600" i="1"/>
  <c r="D4600" i="1"/>
  <c r="E4600" i="1"/>
  <c r="C4601" i="1"/>
  <c r="D4601" i="1"/>
  <c r="E4601" i="1"/>
  <c r="C4602" i="1"/>
  <c r="D4602" i="1"/>
  <c r="E4602" i="1"/>
  <c r="C4603" i="1"/>
  <c r="D4603" i="1"/>
  <c r="E4603" i="1"/>
  <c r="C4604" i="1"/>
  <c r="D4604" i="1"/>
  <c r="E4604" i="1"/>
  <c r="C4605" i="1"/>
  <c r="D4605" i="1"/>
  <c r="E4605" i="1"/>
  <c r="C4606" i="1"/>
  <c r="D4606" i="1"/>
  <c r="E4606" i="1"/>
  <c r="C4607" i="1"/>
  <c r="D4607" i="1"/>
  <c r="E4607" i="1"/>
  <c r="C4608" i="1"/>
  <c r="D4608" i="1"/>
  <c r="E4608" i="1"/>
  <c r="C4609" i="1"/>
  <c r="D4609" i="1"/>
  <c r="E4609" i="1"/>
  <c r="C4610" i="1"/>
  <c r="D4610" i="1"/>
  <c r="E4610" i="1"/>
  <c r="C4611" i="1"/>
  <c r="D4611" i="1"/>
  <c r="E4611" i="1"/>
  <c r="C4612" i="1"/>
  <c r="D4612" i="1"/>
  <c r="E4612" i="1"/>
  <c r="C4613" i="1"/>
  <c r="D4613" i="1"/>
  <c r="E4613" i="1"/>
  <c r="C4614" i="1"/>
  <c r="D4614" i="1"/>
  <c r="E4614" i="1"/>
  <c r="C4615" i="1"/>
  <c r="D4615" i="1"/>
  <c r="E4615" i="1"/>
  <c r="C4616" i="1"/>
  <c r="D4616" i="1"/>
  <c r="E4616" i="1"/>
  <c r="C4617" i="1"/>
  <c r="D4617" i="1"/>
  <c r="E4617" i="1"/>
  <c r="C4618" i="1"/>
  <c r="D4618" i="1"/>
  <c r="E4618" i="1"/>
  <c r="C4619" i="1"/>
  <c r="D4619" i="1"/>
  <c r="E4619" i="1"/>
  <c r="C4620" i="1"/>
  <c r="D4620" i="1"/>
  <c r="E4620" i="1"/>
  <c r="C4621" i="1"/>
  <c r="D4621" i="1"/>
  <c r="E4621" i="1"/>
  <c r="C4622" i="1"/>
  <c r="D4622" i="1"/>
  <c r="E4622" i="1"/>
  <c r="C4623" i="1"/>
  <c r="D4623" i="1"/>
  <c r="E4623" i="1"/>
  <c r="C4624" i="1"/>
  <c r="D4624" i="1"/>
  <c r="E4624" i="1"/>
  <c r="C4625" i="1"/>
  <c r="D4625" i="1"/>
  <c r="E4625" i="1"/>
  <c r="C4626" i="1"/>
  <c r="D4626" i="1"/>
  <c r="E4626" i="1"/>
  <c r="C4627" i="1"/>
  <c r="D4627" i="1"/>
  <c r="E4627" i="1"/>
  <c r="C4628" i="1"/>
  <c r="D4628" i="1"/>
  <c r="E4628" i="1"/>
  <c r="C4629" i="1"/>
  <c r="D4629" i="1"/>
  <c r="E4629" i="1"/>
  <c r="C4630" i="1"/>
  <c r="D4630" i="1"/>
  <c r="E4630" i="1"/>
  <c r="C4631" i="1"/>
  <c r="D4631" i="1"/>
  <c r="E4631" i="1"/>
  <c r="C4632" i="1"/>
  <c r="D4632" i="1"/>
  <c r="E4632" i="1"/>
  <c r="C4633" i="1"/>
  <c r="D4633" i="1"/>
  <c r="E4633" i="1"/>
  <c r="C4634" i="1"/>
  <c r="D4634" i="1"/>
  <c r="E4634" i="1"/>
  <c r="C4635" i="1"/>
  <c r="D4635" i="1"/>
  <c r="E4635" i="1"/>
  <c r="C4636" i="1"/>
  <c r="D4636" i="1"/>
  <c r="E4636" i="1"/>
  <c r="C4637" i="1"/>
  <c r="D4637" i="1"/>
  <c r="E4637" i="1"/>
  <c r="C4638" i="1"/>
  <c r="D4638" i="1"/>
  <c r="E4638" i="1"/>
  <c r="C4639" i="1"/>
  <c r="D4639" i="1"/>
  <c r="E4639" i="1"/>
  <c r="C4640" i="1"/>
  <c r="D4640" i="1"/>
  <c r="E4640" i="1"/>
  <c r="C4641" i="1"/>
  <c r="D4641" i="1"/>
  <c r="E4641" i="1"/>
  <c r="C4642" i="1"/>
  <c r="D4642" i="1"/>
  <c r="E4642" i="1"/>
  <c r="C4643" i="1"/>
  <c r="D4643" i="1"/>
  <c r="E4643" i="1"/>
  <c r="C4644" i="1"/>
  <c r="D4644" i="1"/>
  <c r="E4644" i="1"/>
  <c r="C4645" i="1"/>
  <c r="D4645" i="1"/>
  <c r="E4645" i="1"/>
  <c r="C4646" i="1"/>
  <c r="D4646" i="1"/>
  <c r="E4646" i="1"/>
  <c r="C4647" i="1"/>
  <c r="D4647" i="1"/>
  <c r="E4647" i="1"/>
  <c r="C4648" i="1"/>
  <c r="D4648" i="1"/>
  <c r="E4648" i="1"/>
  <c r="C4649" i="1"/>
  <c r="D4649" i="1"/>
  <c r="E4649" i="1"/>
  <c r="C4650" i="1"/>
  <c r="D4650" i="1"/>
  <c r="E4650" i="1"/>
  <c r="C4651" i="1"/>
  <c r="D4651" i="1"/>
  <c r="E4651" i="1"/>
  <c r="C4652" i="1"/>
  <c r="D4652" i="1"/>
  <c r="E4652" i="1"/>
  <c r="C4653" i="1"/>
  <c r="D4653" i="1"/>
  <c r="E4653" i="1"/>
  <c r="C4654" i="1"/>
  <c r="D4654" i="1"/>
  <c r="E4654" i="1"/>
  <c r="C4655" i="1"/>
  <c r="D4655" i="1"/>
  <c r="E4655" i="1"/>
  <c r="C4656" i="1"/>
  <c r="D4656" i="1"/>
  <c r="E4656" i="1"/>
  <c r="C4657" i="1"/>
  <c r="D4657" i="1"/>
  <c r="E4657" i="1"/>
  <c r="C4658" i="1"/>
  <c r="D4658" i="1"/>
  <c r="E4658" i="1"/>
  <c r="C4659" i="1"/>
  <c r="D4659" i="1"/>
  <c r="E4659" i="1"/>
  <c r="C4660" i="1"/>
  <c r="D4660" i="1"/>
  <c r="E4660" i="1"/>
  <c r="C4661" i="1"/>
  <c r="D4661" i="1"/>
  <c r="E4661" i="1"/>
  <c r="C4662" i="1"/>
  <c r="D4662" i="1"/>
  <c r="E4662" i="1"/>
  <c r="C4663" i="1"/>
  <c r="D4663" i="1"/>
  <c r="E4663" i="1"/>
  <c r="C4664" i="1"/>
  <c r="D4664" i="1"/>
  <c r="E4664" i="1"/>
  <c r="C4665" i="1"/>
  <c r="D4665" i="1"/>
  <c r="E4665" i="1"/>
  <c r="C4666" i="1"/>
  <c r="D4666" i="1"/>
  <c r="E4666" i="1"/>
  <c r="C4667" i="1"/>
  <c r="D4667" i="1"/>
  <c r="E4667" i="1"/>
  <c r="C4668" i="1"/>
  <c r="D4668" i="1"/>
  <c r="E4668" i="1"/>
  <c r="C4669" i="1"/>
  <c r="D4669" i="1"/>
  <c r="E4669" i="1"/>
  <c r="C4670" i="1"/>
  <c r="D4670" i="1"/>
  <c r="E4670" i="1"/>
  <c r="C4671" i="1"/>
  <c r="D4671" i="1"/>
  <c r="E4671" i="1"/>
  <c r="C4672" i="1"/>
  <c r="D4672" i="1"/>
  <c r="E4672" i="1"/>
  <c r="C4673" i="1"/>
  <c r="D4673" i="1"/>
  <c r="E4673" i="1"/>
  <c r="C4674" i="1"/>
  <c r="D4674" i="1"/>
  <c r="E4674" i="1"/>
  <c r="C4675" i="1"/>
  <c r="D4675" i="1"/>
  <c r="E4675" i="1"/>
  <c r="C4676" i="1"/>
  <c r="D4676" i="1"/>
  <c r="E4676" i="1"/>
  <c r="C4677" i="1"/>
  <c r="D4677" i="1"/>
  <c r="E4677" i="1"/>
  <c r="C4678" i="1"/>
  <c r="D4678" i="1"/>
  <c r="E4678" i="1"/>
  <c r="C4679" i="1"/>
  <c r="D4679" i="1"/>
  <c r="E4679" i="1"/>
  <c r="C4680" i="1"/>
  <c r="D4680" i="1"/>
  <c r="E4680" i="1"/>
  <c r="C4681" i="1"/>
  <c r="D4681" i="1"/>
  <c r="E4681" i="1"/>
  <c r="C4682" i="1"/>
  <c r="D4682" i="1"/>
  <c r="E4682" i="1"/>
  <c r="C4683" i="1"/>
  <c r="D4683" i="1"/>
  <c r="E4683" i="1"/>
  <c r="C4684" i="1"/>
  <c r="D4684" i="1"/>
  <c r="E4684" i="1"/>
  <c r="C4685" i="1"/>
  <c r="D4685" i="1"/>
  <c r="E4685" i="1"/>
  <c r="C4686" i="1"/>
  <c r="D4686" i="1"/>
  <c r="E4686" i="1"/>
  <c r="C4687" i="1"/>
  <c r="D4687" i="1"/>
  <c r="E4687" i="1"/>
  <c r="C4688" i="1"/>
  <c r="D4688" i="1"/>
  <c r="E4688" i="1"/>
  <c r="C4689" i="1"/>
  <c r="D4689" i="1"/>
  <c r="E4689" i="1"/>
  <c r="C4690" i="1"/>
  <c r="D4690" i="1"/>
  <c r="E4690" i="1"/>
  <c r="C4691" i="1"/>
  <c r="D4691" i="1"/>
  <c r="E4691" i="1"/>
  <c r="C4692" i="1"/>
  <c r="D4692" i="1"/>
  <c r="E4692" i="1"/>
  <c r="C4693" i="1"/>
  <c r="D4693" i="1"/>
  <c r="E4693" i="1"/>
  <c r="C4694" i="1"/>
  <c r="D4694" i="1"/>
  <c r="E4694" i="1"/>
  <c r="C4695" i="1"/>
  <c r="D4695" i="1"/>
  <c r="E4695" i="1"/>
  <c r="C4696" i="1"/>
  <c r="D4696" i="1"/>
  <c r="E4696" i="1"/>
  <c r="C4697" i="1"/>
  <c r="D4697" i="1"/>
  <c r="E4697" i="1"/>
  <c r="C4698" i="1"/>
  <c r="D4698" i="1"/>
  <c r="E4698" i="1"/>
  <c r="C4699" i="1"/>
  <c r="D4699" i="1"/>
  <c r="E4699" i="1"/>
  <c r="C4700" i="1"/>
  <c r="D4700" i="1"/>
  <c r="E4700" i="1"/>
  <c r="C4701" i="1"/>
  <c r="D4701" i="1"/>
  <c r="E4701" i="1"/>
  <c r="C4702" i="1"/>
  <c r="D4702" i="1"/>
  <c r="E4702" i="1"/>
  <c r="C4703" i="1"/>
  <c r="D4703" i="1"/>
  <c r="E4703" i="1"/>
  <c r="C4704" i="1"/>
  <c r="D4704" i="1"/>
  <c r="E4704" i="1"/>
  <c r="C4705" i="1"/>
  <c r="D4705" i="1"/>
  <c r="E4705" i="1"/>
  <c r="C4706" i="1"/>
  <c r="D4706" i="1"/>
  <c r="E4706" i="1"/>
  <c r="C4707" i="1"/>
  <c r="D4707" i="1"/>
  <c r="E4707" i="1"/>
  <c r="C4708" i="1"/>
  <c r="D4708" i="1"/>
  <c r="E4708" i="1"/>
  <c r="C4709" i="1"/>
  <c r="D4709" i="1"/>
  <c r="E4709" i="1"/>
  <c r="C4710" i="1"/>
  <c r="D4710" i="1"/>
  <c r="E4710" i="1"/>
  <c r="C4711" i="1"/>
  <c r="D4711" i="1"/>
  <c r="E4711" i="1"/>
  <c r="C4712" i="1"/>
  <c r="D4712" i="1"/>
  <c r="E4712" i="1"/>
  <c r="C4713" i="1"/>
  <c r="D4713" i="1"/>
  <c r="E4713" i="1"/>
  <c r="C4714" i="1"/>
  <c r="D4714" i="1"/>
  <c r="E4714" i="1"/>
  <c r="C4715" i="1"/>
  <c r="D4715" i="1"/>
  <c r="E4715" i="1"/>
  <c r="C4716" i="1"/>
  <c r="D4716" i="1"/>
  <c r="E4716" i="1"/>
  <c r="C4717" i="1"/>
  <c r="D4717" i="1"/>
  <c r="E4717" i="1"/>
  <c r="C4718" i="1"/>
  <c r="D4718" i="1"/>
  <c r="E4718" i="1"/>
  <c r="C4719" i="1"/>
  <c r="D4719" i="1"/>
  <c r="E4719" i="1"/>
  <c r="C4720" i="1"/>
  <c r="D4720" i="1"/>
  <c r="E4720" i="1"/>
  <c r="C4721" i="1"/>
  <c r="D4721" i="1"/>
  <c r="E4721" i="1"/>
  <c r="C4722" i="1"/>
  <c r="D4722" i="1"/>
  <c r="E4722" i="1"/>
  <c r="C4723" i="1"/>
  <c r="D4723" i="1"/>
  <c r="E4723" i="1"/>
  <c r="C4724" i="1"/>
  <c r="D4724" i="1"/>
  <c r="E4724" i="1"/>
  <c r="C4725" i="1"/>
  <c r="D4725" i="1"/>
  <c r="E4725" i="1"/>
  <c r="C4726" i="1"/>
  <c r="D4726" i="1"/>
  <c r="E4726" i="1"/>
  <c r="C4727" i="1"/>
  <c r="D4727" i="1"/>
  <c r="E4727" i="1"/>
  <c r="C4728" i="1"/>
  <c r="D4728" i="1"/>
  <c r="E4728" i="1"/>
  <c r="C4729" i="1"/>
  <c r="D4729" i="1"/>
  <c r="E4729" i="1"/>
  <c r="C4730" i="1"/>
  <c r="D4730" i="1"/>
  <c r="E4730" i="1"/>
  <c r="C4731" i="1"/>
  <c r="D4731" i="1"/>
  <c r="E4731" i="1"/>
  <c r="C4732" i="1"/>
  <c r="D4732" i="1"/>
  <c r="E4732" i="1"/>
  <c r="C4733" i="1"/>
  <c r="D4733" i="1"/>
  <c r="E4733" i="1"/>
  <c r="C4734" i="1"/>
  <c r="D4734" i="1"/>
  <c r="E4734" i="1"/>
  <c r="C4735" i="1"/>
  <c r="D4735" i="1"/>
  <c r="E4735" i="1"/>
  <c r="C4736" i="1"/>
  <c r="D4736" i="1"/>
  <c r="E4736" i="1"/>
  <c r="C4737" i="1"/>
  <c r="D4737" i="1"/>
  <c r="E4737" i="1"/>
  <c r="C4738" i="1"/>
  <c r="D4738" i="1"/>
  <c r="E4738" i="1"/>
  <c r="C4739" i="1"/>
  <c r="D4739" i="1"/>
  <c r="E4739" i="1"/>
  <c r="C4740" i="1"/>
  <c r="D4740" i="1"/>
  <c r="E4740" i="1"/>
  <c r="C4741" i="1"/>
  <c r="D4741" i="1"/>
  <c r="E4741" i="1"/>
  <c r="C4742" i="1"/>
  <c r="D4742" i="1"/>
  <c r="E4742" i="1"/>
  <c r="C4743" i="1"/>
  <c r="D4743" i="1"/>
  <c r="E4743" i="1"/>
  <c r="C4744" i="1"/>
  <c r="D4744" i="1"/>
  <c r="E4744" i="1"/>
  <c r="C4745" i="1"/>
  <c r="D4745" i="1"/>
  <c r="E4745" i="1"/>
  <c r="C4746" i="1"/>
  <c r="D4746" i="1"/>
  <c r="E4746" i="1"/>
  <c r="C4747" i="1"/>
  <c r="D4747" i="1"/>
  <c r="E4747" i="1"/>
  <c r="C4748" i="1"/>
  <c r="D4748" i="1"/>
  <c r="E4748" i="1"/>
  <c r="C4749" i="1"/>
  <c r="D4749" i="1"/>
  <c r="E4749" i="1"/>
  <c r="C4750" i="1"/>
  <c r="D4750" i="1"/>
  <c r="E4750" i="1"/>
  <c r="C4751" i="1"/>
  <c r="D4751" i="1"/>
  <c r="E4751" i="1"/>
  <c r="C4752" i="1"/>
  <c r="D4752" i="1"/>
  <c r="E4752" i="1"/>
  <c r="C4753" i="1"/>
  <c r="D4753" i="1"/>
  <c r="E4753" i="1"/>
  <c r="C4754" i="1"/>
  <c r="D4754" i="1"/>
  <c r="E4754" i="1"/>
  <c r="C4755" i="1"/>
  <c r="D4755" i="1"/>
  <c r="E4755" i="1"/>
  <c r="C4756" i="1"/>
  <c r="D4756" i="1"/>
  <c r="E4756" i="1"/>
  <c r="C4757" i="1"/>
  <c r="D4757" i="1"/>
  <c r="E4757" i="1"/>
  <c r="C4758" i="1"/>
  <c r="D4758" i="1"/>
  <c r="E4758" i="1"/>
  <c r="C4759" i="1"/>
  <c r="D4759" i="1"/>
  <c r="E4759" i="1"/>
  <c r="C4760" i="1"/>
  <c r="D4760" i="1"/>
  <c r="E4760" i="1"/>
  <c r="C4761" i="1"/>
  <c r="D4761" i="1"/>
  <c r="E4761" i="1"/>
  <c r="C4762" i="1"/>
  <c r="D4762" i="1"/>
  <c r="E4762" i="1"/>
  <c r="C4763" i="1"/>
  <c r="D4763" i="1"/>
  <c r="E4763" i="1"/>
  <c r="C4764" i="1"/>
  <c r="D4764" i="1"/>
  <c r="E4764" i="1"/>
  <c r="C4765" i="1"/>
  <c r="D4765" i="1"/>
  <c r="E4765" i="1"/>
  <c r="C4766" i="1"/>
  <c r="D4766" i="1"/>
  <c r="E4766" i="1"/>
  <c r="C4767" i="1"/>
  <c r="D4767" i="1"/>
  <c r="E4767" i="1"/>
  <c r="C4768" i="1"/>
  <c r="D4768" i="1"/>
  <c r="E4768" i="1"/>
  <c r="C4769" i="1"/>
  <c r="D4769" i="1"/>
  <c r="E4769" i="1"/>
  <c r="C4770" i="1"/>
  <c r="D4770" i="1"/>
  <c r="E4770" i="1"/>
  <c r="C4771" i="1"/>
  <c r="D4771" i="1"/>
  <c r="E4771" i="1"/>
  <c r="C4772" i="1"/>
  <c r="D4772" i="1"/>
  <c r="E4772" i="1"/>
  <c r="C4773" i="1"/>
  <c r="D4773" i="1"/>
  <c r="E4773" i="1"/>
  <c r="C4774" i="1"/>
  <c r="D4774" i="1"/>
  <c r="E4774" i="1"/>
  <c r="C4775" i="1"/>
  <c r="D4775" i="1"/>
  <c r="E4775" i="1"/>
  <c r="C4776" i="1"/>
  <c r="D4776" i="1"/>
  <c r="E4776" i="1"/>
  <c r="C4777" i="1"/>
  <c r="D4777" i="1"/>
  <c r="E4777" i="1"/>
  <c r="C4778" i="1"/>
  <c r="D4778" i="1"/>
  <c r="E4778" i="1"/>
  <c r="C4779" i="1"/>
  <c r="D4779" i="1"/>
  <c r="E4779" i="1"/>
  <c r="C4780" i="1"/>
  <c r="D4780" i="1"/>
  <c r="E4780" i="1"/>
  <c r="C4781" i="1"/>
  <c r="D4781" i="1"/>
  <c r="E4781" i="1"/>
  <c r="C4782" i="1"/>
  <c r="D4782" i="1"/>
  <c r="E4782" i="1"/>
  <c r="C4783" i="1"/>
  <c r="D4783" i="1"/>
  <c r="E4783" i="1"/>
  <c r="C4784" i="1"/>
  <c r="D4784" i="1"/>
  <c r="E4784" i="1"/>
  <c r="C4785" i="1"/>
  <c r="D4785" i="1"/>
  <c r="E4785" i="1"/>
  <c r="C4786" i="1"/>
  <c r="D4786" i="1"/>
  <c r="E4786" i="1"/>
  <c r="C4787" i="1"/>
  <c r="D4787" i="1"/>
  <c r="E4787" i="1"/>
  <c r="C4788" i="1"/>
  <c r="D4788" i="1"/>
  <c r="E4788" i="1"/>
  <c r="C4789" i="1"/>
  <c r="D4789" i="1"/>
  <c r="E4789" i="1"/>
  <c r="C4790" i="1"/>
  <c r="D4790" i="1"/>
  <c r="E4790" i="1"/>
  <c r="C4791" i="1"/>
  <c r="D4791" i="1"/>
  <c r="E4791" i="1"/>
  <c r="C4792" i="1"/>
  <c r="D4792" i="1"/>
  <c r="E4792" i="1"/>
  <c r="C4793" i="1"/>
  <c r="D4793" i="1"/>
  <c r="E4793" i="1"/>
  <c r="C4794" i="1"/>
  <c r="D4794" i="1"/>
  <c r="E4794" i="1"/>
  <c r="C4795" i="1"/>
  <c r="D4795" i="1"/>
  <c r="E4795" i="1"/>
  <c r="C4796" i="1"/>
  <c r="D4796" i="1"/>
  <c r="E4796" i="1"/>
  <c r="C4797" i="1"/>
  <c r="D4797" i="1"/>
  <c r="E4797" i="1"/>
  <c r="C4798" i="1"/>
  <c r="D4798" i="1"/>
  <c r="E4798" i="1"/>
  <c r="C4799" i="1"/>
  <c r="D4799" i="1"/>
  <c r="E4799" i="1"/>
  <c r="C4800" i="1"/>
  <c r="D4800" i="1"/>
  <c r="E4800" i="1"/>
  <c r="C4801" i="1"/>
  <c r="D4801" i="1"/>
  <c r="E4801" i="1"/>
  <c r="C4802" i="1"/>
  <c r="D4802" i="1"/>
  <c r="E4802" i="1"/>
  <c r="C4803" i="1"/>
  <c r="D4803" i="1"/>
  <c r="E4803" i="1"/>
  <c r="C4804" i="1"/>
  <c r="D4804" i="1"/>
  <c r="E4804" i="1"/>
  <c r="C4805" i="1"/>
  <c r="D4805" i="1"/>
  <c r="E4805" i="1"/>
  <c r="C4806" i="1"/>
  <c r="D4806" i="1"/>
  <c r="E4806" i="1"/>
  <c r="C4807" i="1"/>
  <c r="D4807" i="1"/>
  <c r="E4807" i="1"/>
  <c r="C4808" i="1"/>
  <c r="D4808" i="1"/>
  <c r="E4808" i="1"/>
  <c r="C4809" i="1"/>
  <c r="D4809" i="1"/>
  <c r="E4809" i="1"/>
  <c r="C4810" i="1"/>
  <c r="D4810" i="1"/>
  <c r="E4810" i="1"/>
  <c r="C4811" i="1"/>
  <c r="D4811" i="1"/>
  <c r="E4811" i="1"/>
  <c r="C4812" i="1"/>
  <c r="D4812" i="1"/>
  <c r="E4812" i="1"/>
  <c r="C4813" i="1"/>
  <c r="D4813" i="1"/>
  <c r="E4813" i="1"/>
  <c r="C4814" i="1"/>
  <c r="D4814" i="1"/>
  <c r="E4814" i="1"/>
  <c r="C4815" i="1"/>
  <c r="D4815" i="1"/>
  <c r="E4815" i="1"/>
  <c r="C4816" i="1"/>
  <c r="D4816" i="1"/>
  <c r="E4816" i="1"/>
  <c r="C4817" i="1"/>
  <c r="D4817" i="1"/>
  <c r="E4817" i="1"/>
  <c r="C4818" i="1"/>
  <c r="D4818" i="1"/>
  <c r="E4818" i="1"/>
  <c r="C4819" i="1"/>
  <c r="D4819" i="1"/>
  <c r="E4819" i="1"/>
  <c r="C4820" i="1"/>
  <c r="D4820" i="1"/>
  <c r="E4820" i="1"/>
  <c r="C4821" i="1"/>
  <c r="D4821" i="1"/>
  <c r="E4821" i="1"/>
  <c r="C4822" i="1"/>
  <c r="D4822" i="1"/>
  <c r="E4822" i="1"/>
  <c r="C4823" i="1"/>
  <c r="D4823" i="1"/>
  <c r="E4823" i="1"/>
  <c r="C4824" i="1"/>
  <c r="D4824" i="1"/>
  <c r="E4824" i="1"/>
  <c r="C4825" i="1"/>
  <c r="D4825" i="1"/>
  <c r="E4825" i="1"/>
  <c r="C4826" i="1"/>
  <c r="D4826" i="1"/>
  <c r="E4826" i="1"/>
  <c r="C4827" i="1"/>
  <c r="D4827" i="1"/>
  <c r="E4827" i="1"/>
  <c r="C4828" i="1"/>
  <c r="D4828" i="1"/>
  <c r="E4828" i="1"/>
  <c r="C4829" i="1"/>
  <c r="D4829" i="1"/>
  <c r="E4829" i="1"/>
  <c r="C4830" i="1"/>
  <c r="D4830" i="1"/>
  <c r="E4830" i="1"/>
  <c r="C4831" i="1"/>
  <c r="D4831" i="1"/>
  <c r="E4831" i="1"/>
  <c r="C4832" i="1"/>
  <c r="D4832" i="1"/>
  <c r="E4832" i="1"/>
  <c r="C4833" i="1"/>
  <c r="D4833" i="1"/>
  <c r="E4833" i="1"/>
  <c r="C4834" i="1"/>
  <c r="D4834" i="1"/>
  <c r="E4834" i="1"/>
  <c r="C4835" i="1"/>
  <c r="D4835" i="1"/>
  <c r="E4835" i="1"/>
  <c r="C4836" i="1"/>
  <c r="D4836" i="1"/>
  <c r="E4836" i="1"/>
  <c r="C4837" i="1"/>
  <c r="D4837" i="1"/>
  <c r="E4837" i="1"/>
  <c r="C4838" i="1"/>
  <c r="D4838" i="1"/>
  <c r="E4838" i="1"/>
  <c r="C4839" i="1"/>
  <c r="D4839" i="1"/>
  <c r="E4839" i="1"/>
  <c r="C4840" i="1"/>
  <c r="D4840" i="1"/>
  <c r="E4840" i="1"/>
  <c r="C4841" i="1"/>
  <c r="D4841" i="1"/>
  <c r="E4841" i="1"/>
  <c r="C4842" i="1"/>
  <c r="D4842" i="1"/>
  <c r="E4842" i="1"/>
  <c r="C4843" i="1"/>
  <c r="D4843" i="1"/>
  <c r="E4843" i="1"/>
  <c r="C4844" i="1"/>
  <c r="D4844" i="1"/>
  <c r="E4844" i="1"/>
  <c r="C4845" i="1"/>
  <c r="D4845" i="1"/>
  <c r="E4845" i="1"/>
  <c r="C4846" i="1"/>
  <c r="D4846" i="1"/>
  <c r="E4846" i="1"/>
  <c r="C4847" i="1"/>
  <c r="D4847" i="1"/>
  <c r="E4847" i="1"/>
  <c r="C4848" i="1"/>
  <c r="D4848" i="1"/>
  <c r="E4848" i="1"/>
  <c r="C4849" i="1"/>
  <c r="D4849" i="1"/>
  <c r="E4849" i="1"/>
  <c r="C4850" i="1"/>
  <c r="D4850" i="1"/>
  <c r="E4850" i="1"/>
  <c r="C4851" i="1"/>
  <c r="D4851" i="1"/>
  <c r="E4851" i="1"/>
  <c r="C4852" i="1"/>
  <c r="D4852" i="1"/>
  <c r="E4852" i="1"/>
  <c r="C4853" i="1"/>
  <c r="D4853" i="1"/>
  <c r="E4853" i="1"/>
  <c r="C4854" i="1"/>
  <c r="D4854" i="1"/>
  <c r="E4854" i="1"/>
  <c r="C4855" i="1"/>
  <c r="D4855" i="1"/>
  <c r="E4855" i="1"/>
  <c r="C4856" i="1"/>
  <c r="D4856" i="1"/>
  <c r="E4856" i="1"/>
  <c r="C4857" i="1"/>
  <c r="D4857" i="1"/>
  <c r="E4857" i="1"/>
  <c r="C4858" i="1"/>
  <c r="D4858" i="1"/>
  <c r="E4858" i="1"/>
  <c r="C4859" i="1"/>
  <c r="D4859" i="1"/>
  <c r="E4859" i="1"/>
  <c r="C4860" i="1"/>
  <c r="D4860" i="1"/>
  <c r="E4860" i="1"/>
  <c r="C4861" i="1"/>
  <c r="D4861" i="1"/>
  <c r="E4861" i="1"/>
  <c r="C4862" i="1"/>
  <c r="D4862" i="1"/>
  <c r="E4862" i="1"/>
  <c r="C4863" i="1"/>
  <c r="D4863" i="1"/>
  <c r="E4863" i="1"/>
  <c r="C4864" i="1"/>
  <c r="D4864" i="1"/>
  <c r="E4864" i="1"/>
  <c r="C4865" i="1"/>
  <c r="D4865" i="1"/>
  <c r="E4865" i="1"/>
  <c r="C4866" i="1"/>
  <c r="D4866" i="1"/>
  <c r="E4866" i="1"/>
  <c r="C4867" i="1"/>
  <c r="D4867" i="1"/>
  <c r="E4867" i="1"/>
  <c r="C4868" i="1"/>
  <c r="D4868" i="1"/>
  <c r="E4868" i="1"/>
  <c r="C4869" i="1"/>
  <c r="D4869" i="1"/>
  <c r="E4869" i="1"/>
  <c r="C4870" i="1"/>
  <c r="D4870" i="1"/>
  <c r="E4870" i="1"/>
  <c r="C4871" i="1"/>
  <c r="D4871" i="1"/>
  <c r="E4871" i="1"/>
  <c r="C4872" i="1"/>
  <c r="D4872" i="1"/>
  <c r="E4872" i="1"/>
  <c r="C4873" i="1"/>
  <c r="D4873" i="1"/>
  <c r="E4873" i="1"/>
  <c r="C4874" i="1"/>
  <c r="D4874" i="1"/>
  <c r="E4874" i="1"/>
  <c r="C4875" i="1"/>
  <c r="D4875" i="1"/>
  <c r="E4875" i="1"/>
  <c r="C4876" i="1"/>
  <c r="D4876" i="1"/>
  <c r="E4876" i="1"/>
  <c r="C4877" i="1"/>
  <c r="D4877" i="1"/>
  <c r="E4877" i="1"/>
  <c r="C4878" i="1"/>
  <c r="D4878" i="1"/>
  <c r="E4878" i="1"/>
  <c r="C4879" i="1"/>
  <c r="D4879" i="1"/>
  <c r="E4879" i="1"/>
  <c r="C4880" i="1"/>
  <c r="D4880" i="1"/>
  <c r="E4880" i="1"/>
  <c r="C4881" i="1"/>
  <c r="D4881" i="1"/>
  <c r="E4881" i="1"/>
  <c r="C4882" i="1"/>
  <c r="D4882" i="1"/>
  <c r="E4882" i="1"/>
  <c r="C4883" i="1"/>
  <c r="D4883" i="1"/>
  <c r="E4883" i="1"/>
  <c r="C4884" i="1"/>
  <c r="D4884" i="1"/>
  <c r="E4884" i="1"/>
  <c r="C4885" i="1"/>
  <c r="D4885" i="1"/>
  <c r="E4885" i="1"/>
  <c r="C4886" i="1"/>
  <c r="D4886" i="1"/>
  <c r="E4886" i="1"/>
  <c r="C4887" i="1"/>
  <c r="D4887" i="1"/>
  <c r="E4887" i="1"/>
  <c r="C4888" i="1"/>
  <c r="D4888" i="1"/>
  <c r="E4888" i="1"/>
  <c r="C4889" i="1"/>
  <c r="D4889" i="1"/>
  <c r="E4889" i="1"/>
  <c r="C4890" i="1"/>
  <c r="D4890" i="1"/>
  <c r="E4890" i="1"/>
  <c r="C4891" i="1"/>
  <c r="D4891" i="1"/>
  <c r="E4891" i="1"/>
  <c r="C4892" i="1"/>
  <c r="D4892" i="1"/>
  <c r="E4892" i="1"/>
  <c r="C4893" i="1"/>
  <c r="D4893" i="1"/>
  <c r="E4893" i="1"/>
  <c r="C4894" i="1"/>
  <c r="D4894" i="1"/>
  <c r="E4894" i="1"/>
  <c r="C4895" i="1"/>
  <c r="D4895" i="1"/>
  <c r="E4895" i="1"/>
  <c r="C4896" i="1"/>
  <c r="D4896" i="1"/>
  <c r="E4896" i="1"/>
  <c r="C4897" i="1"/>
  <c r="D4897" i="1"/>
  <c r="E4897" i="1"/>
  <c r="C4898" i="1"/>
  <c r="D4898" i="1"/>
  <c r="E4898" i="1"/>
  <c r="C4899" i="1"/>
  <c r="D4899" i="1"/>
  <c r="E4899" i="1"/>
  <c r="C4900" i="1"/>
  <c r="D4900" i="1"/>
  <c r="E4900" i="1"/>
  <c r="C4901" i="1"/>
  <c r="D4901" i="1"/>
  <c r="E4901" i="1"/>
  <c r="C4902" i="1"/>
  <c r="D4902" i="1"/>
  <c r="E4902" i="1"/>
  <c r="C4903" i="1"/>
  <c r="D4903" i="1"/>
  <c r="E4903" i="1"/>
  <c r="C4904" i="1"/>
  <c r="D4904" i="1"/>
  <c r="E4904" i="1"/>
  <c r="C4905" i="1"/>
  <c r="D4905" i="1"/>
  <c r="E4905" i="1"/>
  <c r="C4906" i="1"/>
  <c r="D4906" i="1"/>
  <c r="E4906" i="1"/>
  <c r="C4907" i="1"/>
  <c r="D4907" i="1"/>
  <c r="E4907" i="1"/>
  <c r="C4908" i="1"/>
  <c r="D4908" i="1"/>
  <c r="E4908" i="1"/>
  <c r="C4909" i="1"/>
  <c r="D4909" i="1"/>
  <c r="E4909" i="1"/>
  <c r="C4910" i="1"/>
  <c r="D4910" i="1"/>
  <c r="E4910" i="1"/>
  <c r="C4911" i="1"/>
  <c r="D4911" i="1"/>
  <c r="E4911" i="1"/>
  <c r="C4912" i="1"/>
  <c r="D4912" i="1"/>
  <c r="E4912" i="1"/>
  <c r="C4913" i="1"/>
  <c r="D4913" i="1"/>
  <c r="E4913" i="1"/>
  <c r="C4914" i="1"/>
  <c r="D4914" i="1"/>
  <c r="E4914" i="1"/>
  <c r="C4915" i="1"/>
  <c r="D4915" i="1"/>
  <c r="E4915" i="1"/>
  <c r="C4916" i="1"/>
  <c r="D4916" i="1"/>
  <c r="E4916" i="1"/>
  <c r="C4917" i="1"/>
  <c r="D4917" i="1"/>
  <c r="E4917" i="1"/>
  <c r="C4918" i="1"/>
  <c r="D4918" i="1"/>
  <c r="E4918" i="1"/>
  <c r="C4919" i="1"/>
  <c r="D4919" i="1"/>
  <c r="E4919" i="1"/>
  <c r="C4920" i="1"/>
  <c r="D4920" i="1"/>
  <c r="E4920" i="1"/>
  <c r="C4921" i="1"/>
  <c r="D4921" i="1"/>
  <c r="E4921" i="1"/>
  <c r="C4922" i="1"/>
  <c r="D4922" i="1"/>
  <c r="E4922" i="1"/>
  <c r="C4923" i="1"/>
  <c r="D4923" i="1"/>
  <c r="E4923" i="1"/>
  <c r="C4924" i="1"/>
  <c r="D4924" i="1"/>
  <c r="E4924" i="1"/>
  <c r="C4925" i="1"/>
  <c r="D4925" i="1"/>
  <c r="E4925" i="1"/>
  <c r="C4926" i="1"/>
  <c r="D4926" i="1"/>
  <c r="E4926" i="1"/>
  <c r="C4927" i="1"/>
  <c r="D4927" i="1"/>
  <c r="E4927" i="1"/>
  <c r="C4928" i="1"/>
  <c r="D4928" i="1"/>
  <c r="E4928" i="1"/>
  <c r="C4929" i="1"/>
  <c r="D4929" i="1"/>
  <c r="E4929" i="1"/>
  <c r="C4930" i="1"/>
  <c r="D4930" i="1"/>
  <c r="E4930" i="1"/>
  <c r="C4931" i="1"/>
  <c r="D4931" i="1"/>
  <c r="E4931" i="1"/>
  <c r="C4932" i="1"/>
  <c r="D4932" i="1"/>
  <c r="E4932" i="1"/>
  <c r="C4933" i="1"/>
  <c r="D4933" i="1"/>
  <c r="E4933" i="1"/>
  <c r="C4934" i="1"/>
  <c r="D4934" i="1"/>
  <c r="E4934" i="1"/>
  <c r="C4935" i="1"/>
  <c r="D4935" i="1"/>
  <c r="E4935" i="1"/>
  <c r="C4936" i="1"/>
  <c r="D4936" i="1"/>
  <c r="E4936" i="1"/>
  <c r="C4937" i="1"/>
  <c r="D4937" i="1"/>
  <c r="E4937" i="1"/>
  <c r="C4938" i="1"/>
  <c r="D4938" i="1"/>
  <c r="E4938" i="1"/>
  <c r="C4939" i="1"/>
  <c r="D4939" i="1"/>
  <c r="E4939" i="1"/>
  <c r="C4940" i="1"/>
  <c r="D4940" i="1"/>
  <c r="E4940" i="1"/>
  <c r="C4941" i="1"/>
  <c r="D4941" i="1"/>
  <c r="E4941" i="1"/>
  <c r="C4942" i="1"/>
  <c r="D4942" i="1"/>
  <c r="E4942" i="1"/>
  <c r="C4943" i="1"/>
  <c r="D4943" i="1"/>
  <c r="E4943" i="1"/>
  <c r="C4944" i="1"/>
  <c r="D4944" i="1"/>
  <c r="E4944" i="1"/>
  <c r="C4945" i="1"/>
  <c r="D4945" i="1"/>
  <c r="E4945" i="1"/>
  <c r="C4946" i="1"/>
  <c r="D4946" i="1"/>
  <c r="E4946" i="1"/>
  <c r="C4947" i="1"/>
  <c r="D4947" i="1"/>
  <c r="E4947" i="1"/>
  <c r="C4948" i="1"/>
  <c r="D4948" i="1"/>
  <c r="E4948" i="1"/>
  <c r="C4949" i="1"/>
  <c r="D4949" i="1"/>
  <c r="E4949" i="1"/>
  <c r="C4950" i="1"/>
  <c r="D4950" i="1"/>
  <c r="E4950" i="1"/>
  <c r="C4951" i="1"/>
  <c r="D4951" i="1"/>
  <c r="E4951" i="1"/>
  <c r="C4952" i="1"/>
  <c r="D4952" i="1"/>
  <c r="E4952" i="1"/>
  <c r="C4953" i="1"/>
  <c r="D4953" i="1"/>
  <c r="E4953" i="1"/>
  <c r="C4954" i="1"/>
  <c r="D4954" i="1"/>
  <c r="E4954" i="1"/>
  <c r="C4955" i="1"/>
  <c r="D4955" i="1"/>
  <c r="E4955" i="1"/>
  <c r="C4956" i="1"/>
  <c r="D4956" i="1"/>
  <c r="E4956" i="1"/>
  <c r="C4957" i="1"/>
  <c r="D4957" i="1"/>
  <c r="E4957" i="1"/>
  <c r="C4958" i="1"/>
  <c r="D4958" i="1"/>
  <c r="E4958" i="1"/>
  <c r="C4959" i="1"/>
  <c r="D4959" i="1"/>
  <c r="E4959" i="1"/>
  <c r="C4960" i="1"/>
  <c r="D4960" i="1"/>
  <c r="E4960" i="1"/>
  <c r="C4961" i="1"/>
  <c r="D4961" i="1"/>
  <c r="E4961" i="1"/>
  <c r="C4962" i="1"/>
  <c r="D4962" i="1"/>
  <c r="E4962" i="1"/>
  <c r="C4963" i="1"/>
  <c r="D4963" i="1"/>
  <c r="E4963" i="1"/>
  <c r="C4964" i="1"/>
  <c r="D4964" i="1"/>
  <c r="E4964" i="1"/>
  <c r="C4965" i="1"/>
  <c r="D4965" i="1"/>
  <c r="E4965" i="1"/>
  <c r="C4966" i="1"/>
  <c r="D4966" i="1"/>
  <c r="E4966" i="1"/>
  <c r="C4967" i="1"/>
  <c r="D4967" i="1"/>
  <c r="E4967" i="1"/>
  <c r="C4968" i="1"/>
  <c r="D4968" i="1"/>
  <c r="E4968" i="1"/>
  <c r="C4969" i="1"/>
  <c r="D4969" i="1"/>
  <c r="E4969" i="1"/>
  <c r="C4970" i="1"/>
  <c r="D4970" i="1"/>
  <c r="E4970" i="1"/>
  <c r="C4971" i="1"/>
  <c r="D4971" i="1"/>
  <c r="E4971" i="1"/>
  <c r="C4972" i="1"/>
  <c r="D4972" i="1"/>
  <c r="E4972" i="1"/>
  <c r="C4973" i="1"/>
  <c r="D4973" i="1"/>
  <c r="E4973" i="1"/>
  <c r="C4974" i="1"/>
  <c r="D4974" i="1"/>
  <c r="E4974" i="1"/>
  <c r="C4975" i="1"/>
  <c r="D4975" i="1"/>
  <c r="E4975" i="1"/>
  <c r="C4976" i="1"/>
  <c r="D4976" i="1"/>
  <c r="E4976" i="1"/>
  <c r="C4977" i="1"/>
  <c r="D4977" i="1"/>
  <c r="E4977" i="1"/>
  <c r="C4978" i="1"/>
  <c r="D4978" i="1"/>
  <c r="E4978" i="1"/>
  <c r="C4979" i="1"/>
  <c r="D4979" i="1"/>
  <c r="E4979" i="1"/>
  <c r="C4980" i="1"/>
  <c r="D4980" i="1"/>
  <c r="E4980" i="1"/>
  <c r="C4981" i="1"/>
  <c r="D4981" i="1"/>
  <c r="E4981" i="1"/>
  <c r="C4982" i="1"/>
  <c r="D4982" i="1"/>
  <c r="E4982" i="1"/>
  <c r="C4983" i="1"/>
  <c r="D4983" i="1"/>
  <c r="E4983" i="1"/>
  <c r="C4984" i="1"/>
  <c r="D4984" i="1"/>
  <c r="E4984" i="1"/>
  <c r="C4985" i="1"/>
  <c r="D4985" i="1"/>
  <c r="E4985" i="1"/>
  <c r="C4986" i="1"/>
  <c r="D4986" i="1"/>
  <c r="E4986" i="1"/>
  <c r="C4987" i="1"/>
  <c r="D4987" i="1"/>
  <c r="E4987" i="1"/>
  <c r="C4988" i="1"/>
  <c r="D4988" i="1"/>
  <c r="E4988" i="1"/>
  <c r="C4989" i="1"/>
  <c r="D4989" i="1"/>
  <c r="E4989" i="1"/>
  <c r="C4990" i="1"/>
  <c r="D4990" i="1"/>
  <c r="E4990" i="1"/>
  <c r="C4991" i="1"/>
  <c r="D4991" i="1"/>
  <c r="E4991" i="1"/>
  <c r="C4992" i="1"/>
  <c r="D4992" i="1"/>
  <c r="E4992" i="1"/>
  <c r="C4993" i="1"/>
  <c r="D4993" i="1"/>
  <c r="E4993" i="1"/>
  <c r="C4994" i="1"/>
  <c r="D4994" i="1"/>
  <c r="E4994" i="1"/>
  <c r="C4995" i="1"/>
  <c r="D4995" i="1"/>
  <c r="E4995" i="1"/>
  <c r="C4996" i="1"/>
  <c r="D4996" i="1"/>
  <c r="E4996" i="1"/>
  <c r="C4997" i="1"/>
  <c r="D4997" i="1"/>
  <c r="E4997" i="1"/>
  <c r="C4998" i="1"/>
  <c r="D4998" i="1"/>
  <c r="E4998" i="1"/>
  <c r="C4999" i="1"/>
  <c r="D4999" i="1"/>
  <c r="E4999" i="1"/>
  <c r="C5000" i="1"/>
  <c r="D5000" i="1"/>
  <c r="E5000" i="1"/>
  <c r="C5001" i="1"/>
  <c r="D5001" i="1"/>
  <c r="E5001" i="1"/>
  <c r="C5002" i="1"/>
  <c r="D5002" i="1"/>
  <c r="E5002" i="1"/>
  <c r="C5003" i="1"/>
  <c r="D5003" i="1"/>
  <c r="E5003" i="1"/>
  <c r="C5004" i="1"/>
  <c r="D5004" i="1"/>
  <c r="E5004" i="1"/>
  <c r="C5005" i="1"/>
  <c r="D5005" i="1"/>
  <c r="E5005" i="1"/>
  <c r="C5006" i="1"/>
  <c r="D5006" i="1"/>
  <c r="E5006" i="1"/>
  <c r="C5007" i="1"/>
  <c r="D5007" i="1"/>
  <c r="E5007" i="1"/>
  <c r="C5008" i="1"/>
  <c r="D5008" i="1"/>
  <c r="E5008" i="1"/>
  <c r="C5009" i="1"/>
  <c r="D5009" i="1"/>
  <c r="E5009" i="1"/>
  <c r="C5010" i="1"/>
  <c r="D5010" i="1"/>
  <c r="E5010" i="1"/>
  <c r="C5011" i="1"/>
  <c r="D5011" i="1"/>
  <c r="E5011" i="1"/>
  <c r="C5012" i="1"/>
  <c r="D5012" i="1"/>
  <c r="E5012" i="1"/>
  <c r="C5013" i="1"/>
  <c r="D5013" i="1"/>
  <c r="E5013" i="1"/>
  <c r="C5014" i="1"/>
  <c r="D5014" i="1"/>
  <c r="E5014" i="1"/>
  <c r="C5015" i="1"/>
  <c r="D5015" i="1"/>
  <c r="E5015" i="1"/>
  <c r="C5016" i="1"/>
  <c r="D5016" i="1"/>
  <c r="E5016" i="1"/>
  <c r="C5017" i="1"/>
  <c r="D5017" i="1"/>
  <c r="E5017" i="1"/>
  <c r="C5018" i="1"/>
  <c r="D5018" i="1"/>
  <c r="E5018" i="1"/>
  <c r="C5019" i="1"/>
  <c r="D5019" i="1"/>
  <c r="E5019" i="1"/>
  <c r="C5020" i="1"/>
  <c r="D5020" i="1"/>
  <c r="E5020" i="1"/>
  <c r="C5021" i="1"/>
  <c r="D5021" i="1"/>
  <c r="E5021" i="1"/>
  <c r="C5022" i="1"/>
  <c r="D5022" i="1"/>
  <c r="E5022" i="1"/>
  <c r="C5023" i="1"/>
  <c r="D5023" i="1"/>
  <c r="E5023" i="1"/>
  <c r="C5024" i="1"/>
  <c r="D5024" i="1"/>
  <c r="E5024" i="1"/>
  <c r="C5025" i="1"/>
  <c r="D5025" i="1"/>
  <c r="E5025" i="1"/>
  <c r="C5026" i="1"/>
  <c r="D5026" i="1"/>
  <c r="E5026" i="1"/>
  <c r="C5027" i="1"/>
  <c r="D5027" i="1"/>
  <c r="E5027" i="1"/>
  <c r="C5028" i="1"/>
  <c r="D5028" i="1"/>
  <c r="E5028" i="1"/>
  <c r="C5029" i="1"/>
  <c r="D5029" i="1"/>
  <c r="E5029" i="1"/>
  <c r="C5030" i="1"/>
  <c r="D5030" i="1"/>
  <c r="E5030" i="1"/>
  <c r="C5031" i="1"/>
  <c r="D5031" i="1"/>
  <c r="E5031" i="1"/>
  <c r="C5032" i="1"/>
  <c r="D5032" i="1"/>
  <c r="E5032" i="1"/>
  <c r="C5033" i="1"/>
  <c r="D5033" i="1"/>
  <c r="E5033" i="1"/>
  <c r="C5034" i="1"/>
  <c r="D5034" i="1"/>
  <c r="E5034" i="1"/>
  <c r="C5035" i="1"/>
  <c r="D5035" i="1"/>
  <c r="E5035" i="1"/>
  <c r="C5036" i="1"/>
  <c r="D5036" i="1"/>
  <c r="E5036" i="1"/>
  <c r="C5037" i="1"/>
  <c r="D5037" i="1"/>
  <c r="E5037" i="1"/>
  <c r="C5038" i="1"/>
  <c r="D5038" i="1"/>
  <c r="E5038" i="1"/>
  <c r="C5039" i="1"/>
  <c r="D5039" i="1"/>
  <c r="E5039" i="1"/>
  <c r="C5040" i="1"/>
  <c r="D5040" i="1"/>
  <c r="E5040" i="1"/>
  <c r="C5041" i="1"/>
  <c r="D5041" i="1"/>
  <c r="E5041" i="1"/>
  <c r="C5042" i="1"/>
  <c r="D5042" i="1"/>
  <c r="E5042" i="1"/>
  <c r="C5043" i="1"/>
  <c r="D5043" i="1"/>
  <c r="E5043" i="1"/>
  <c r="C5044" i="1"/>
  <c r="D5044" i="1"/>
  <c r="E5044" i="1"/>
  <c r="C5045" i="1"/>
  <c r="D5045" i="1"/>
  <c r="E5045" i="1"/>
  <c r="C5046" i="1"/>
  <c r="D5046" i="1"/>
  <c r="E5046" i="1"/>
  <c r="C5047" i="1"/>
  <c r="D5047" i="1"/>
  <c r="E5047" i="1"/>
  <c r="C5048" i="1"/>
  <c r="D5048" i="1"/>
  <c r="E5048" i="1"/>
  <c r="C5049" i="1"/>
  <c r="D5049" i="1"/>
  <c r="E5049" i="1"/>
  <c r="C5050" i="1"/>
  <c r="D5050" i="1"/>
  <c r="E5050" i="1"/>
  <c r="C5051" i="1"/>
  <c r="D5051" i="1"/>
  <c r="E5051" i="1"/>
  <c r="C5052" i="1"/>
  <c r="D5052" i="1"/>
  <c r="E5052" i="1"/>
  <c r="C5053" i="1"/>
  <c r="D5053" i="1"/>
  <c r="E5053" i="1"/>
  <c r="C5054" i="1"/>
  <c r="D5054" i="1"/>
  <c r="E5054" i="1"/>
  <c r="C5055" i="1"/>
  <c r="D5055" i="1"/>
  <c r="E5055" i="1"/>
  <c r="C5056" i="1"/>
  <c r="D5056" i="1"/>
  <c r="E5056" i="1"/>
  <c r="C5057" i="1"/>
  <c r="D5057" i="1"/>
  <c r="E5057" i="1"/>
  <c r="C5058" i="1"/>
  <c r="D5058" i="1"/>
  <c r="E5058" i="1"/>
  <c r="C5059" i="1"/>
  <c r="D5059" i="1"/>
  <c r="E5059" i="1"/>
  <c r="C5060" i="1"/>
  <c r="D5060" i="1"/>
  <c r="E5060" i="1"/>
  <c r="C5061" i="1"/>
  <c r="D5061" i="1"/>
  <c r="E5061" i="1"/>
  <c r="C5062" i="1"/>
  <c r="D5062" i="1"/>
  <c r="E5062" i="1"/>
  <c r="C5063" i="1"/>
  <c r="D5063" i="1"/>
  <c r="E5063" i="1"/>
  <c r="C5064" i="1"/>
  <c r="D5064" i="1"/>
  <c r="E5064" i="1"/>
  <c r="C5065" i="1"/>
  <c r="D5065" i="1"/>
  <c r="E5065" i="1"/>
  <c r="C5066" i="1"/>
  <c r="D5066" i="1"/>
  <c r="E5066" i="1"/>
  <c r="C5067" i="1"/>
  <c r="D5067" i="1"/>
  <c r="E5067" i="1"/>
  <c r="C5068" i="1"/>
  <c r="D5068" i="1"/>
  <c r="E5068" i="1"/>
  <c r="C5069" i="1"/>
  <c r="D5069" i="1"/>
  <c r="E5069" i="1"/>
  <c r="C5070" i="1"/>
  <c r="D5070" i="1"/>
  <c r="E5070" i="1"/>
  <c r="C5071" i="1"/>
  <c r="D5071" i="1"/>
  <c r="E5071" i="1"/>
  <c r="C5072" i="1"/>
  <c r="D5072" i="1"/>
  <c r="E5072" i="1"/>
  <c r="C5073" i="1"/>
  <c r="D5073" i="1"/>
  <c r="E5073" i="1"/>
  <c r="C5074" i="1"/>
  <c r="D5074" i="1"/>
  <c r="E5074" i="1"/>
  <c r="C5075" i="1"/>
  <c r="D5075" i="1"/>
  <c r="E5075" i="1"/>
  <c r="C5076" i="1"/>
  <c r="D5076" i="1"/>
  <c r="E5076" i="1"/>
  <c r="C5077" i="1"/>
  <c r="D5077" i="1"/>
  <c r="E5077" i="1"/>
  <c r="C5078" i="1"/>
  <c r="D5078" i="1"/>
  <c r="E5078" i="1"/>
  <c r="C5079" i="1"/>
  <c r="D5079" i="1"/>
  <c r="E5079" i="1"/>
  <c r="C5080" i="1"/>
  <c r="D5080" i="1"/>
  <c r="E5080" i="1"/>
  <c r="C5081" i="1"/>
  <c r="D5081" i="1"/>
  <c r="E5081" i="1"/>
  <c r="C5082" i="1"/>
  <c r="D5082" i="1"/>
  <c r="E5082" i="1"/>
  <c r="C5083" i="1"/>
  <c r="D5083" i="1"/>
  <c r="E5083" i="1"/>
  <c r="C5084" i="1"/>
  <c r="D5084" i="1"/>
  <c r="E5084" i="1"/>
  <c r="C5085" i="1"/>
  <c r="D5085" i="1"/>
  <c r="E5085" i="1"/>
  <c r="C5086" i="1"/>
  <c r="D5086" i="1"/>
  <c r="E5086" i="1"/>
  <c r="C5087" i="1"/>
  <c r="D5087" i="1"/>
  <c r="E5087" i="1"/>
  <c r="C5088" i="1"/>
  <c r="D5088" i="1"/>
  <c r="E5088" i="1"/>
  <c r="C5089" i="1"/>
  <c r="D5089" i="1"/>
  <c r="E5089" i="1"/>
  <c r="C5090" i="1"/>
  <c r="D5090" i="1"/>
  <c r="E5090" i="1"/>
  <c r="C5091" i="1"/>
  <c r="D5091" i="1"/>
  <c r="E5091" i="1"/>
  <c r="C5092" i="1"/>
  <c r="D5092" i="1"/>
  <c r="E5092" i="1"/>
  <c r="C5093" i="1"/>
  <c r="D5093" i="1"/>
  <c r="E5093" i="1"/>
  <c r="C5094" i="1"/>
  <c r="D5094" i="1"/>
  <c r="E5094" i="1"/>
  <c r="C5095" i="1"/>
  <c r="D5095" i="1"/>
  <c r="E5095" i="1"/>
  <c r="C5096" i="1"/>
  <c r="D5096" i="1"/>
  <c r="E5096" i="1"/>
  <c r="C5097" i="1"/>
  <c r="D5097" i="1"/>
  <c r="E5097" i="1"/>
  <c r="C5098" i="1"/>
  <c r="D5098" i="1"/>
  <c r="E5098" i="1"/>
  <c r="C5099" i="1"/>
  <c r="D5099" i="1"/>
  <c r="E5099" i="1"/>
  <c r="C5100" i="1"/>
  <c r="D5100" i="1"/>
  <c r="E5100" i="1"/>
  <c r="C5101" i="1"/>
  <c r="D5101" i="1"/>
  <c r="E5101" i="1"/>
  <c r="C5102" i="1"/>
  <c r="D5102" i="1"/>
  <c r="E5102" i="1"/>
  <c r="C5103" i="1"/>
  <c r="D5103" i="1"/>
  <c r="E5103" i="1"/>
  <c r="C5104" i="1"/>
  <c r="D5104" i="1"/>
  <c r="E5104" i="1"/>
  <c r="C5105" i="1"/>
  <c r="D5105" i="1"/>
  <c r="E5105" i="1"/>
  <c r="C5106" i="1"/>
  <c r="D5106" i="1"/>
  <c r="E5106" i="1"/>
  <c r="C5107" i="1"/>
  <c r="D5107" i="1"/>
  <c r="E5107" i="1"/>
  <c r="C5108" i="1"/>
  <c r="D5108" i="1"/>
  <c r="E5108" i="1"/>
  <c r="C5109" i="1"/>
  <c r="D5109" i="1"/>
  <c r="E5109" i="1"/>
  <c r="C5110" i="1"/>
  <c r="D5110" i="1"/>
  <c r="E5110" i="1"/>
  <c r="C5111" i="1"/>
  <c r="D5111" i="1"/>
  <c r="E5111" i="1"/>
  <c r="C5112" i="1"/>
  <c r="D5112" i="1"/>
  <c r="E5112" i="1"/>
  <c r="C5113" i="1"/>
  <c r="D5113" i="1"/>
  <c r="E5113" i="1"/>
  <c r="C5114" i="1"/>
  <c r="D5114" i="1"/>
  <c r="E5114" i="1"/>
  <c r="C5115" i="1"/>
  <c r="D5115" i="1"/>
  <c r="E5115" i="1"/>
  <c r="C5116" i="1"/>
  <c r="D5116" i="1"/>
  <c r="E5116" i="1"/>
  <c r="C5117" i="1"/>
  <c r="D5117" i="1"/>
  <c r="E5117" i="1"/>
  <c r="C5118" i="1"/>
  <c r="D5118" i="1"/>
  <c r="E5118" i="1"/>
  <c r="C5119" i="1"/>
  <c r="D5119" i="1"/>
  <c r="E5119" i="1"/>
  <c r="C5120" i="1"/>
  <c r="D5120" i="1"/>
  <c r="E5120" i="1"/>
  <c r="C5121" i="1"/>
  <c r="D5121" i="1"/>
  <c r="E5121" i="1"/>
  <c r="C5122" i="1"/>
  <c r="D5122" i="1"/>
  <c r="E5122" i="1"/>
  <c r="C5123" i="1"/>
  <c r="D5123" i="1"/>
  <c r="E5123" i="1"/>
  <c r="C5124" i="1"/>
  <c r="D5124" i="1"/>
  <c r="E5124" i="1"/>
  <c r="C5125" i="1"/>
  <c r="D5125" i="1"/>
  <c r="E5125" i="1"/>
  <c r="C5126" i="1"/>
  <c r="D5126" i="1"/>
  <c r="E5126" i="1"/>
  <c r="C5127" i="1"/>
  <c r="D5127" i="1"/>
  <c r="E5127" i="1"/>
  <c r="C5128" i="1"/>
  <c r="D5128" i="1"/>
  <c r="E5128" i="1"/>
  <c r="C5129" i="1"/>
  <c r="D5129" i="1"/>
  <c r="E5129" i="1"/>
  <c r="C5130" i="1"/>
  <c r="D5130" i="1"/>
  <c r="E5130" i="1"/>
  <c r="C5131" i="1"/>
  <c r="D5131" i="1"/>
  <c r="E5131" i="1"/>
  <c r="C5132" i="1"/>
  <c r="D5132" i="1"/>
  <c r="E5132" i="1"/>
  <c r="C5133" i="1"/>
  <c r="D5133" i="1"/>
  <c r="E5133" i="1"/>
  <c r="C5134" i="1"/>
  <c r="D5134" i="1"/>
  <c r="E5134" i="1"/>
  <c r="C5135" i="1"/>
  <c r="D5135" i="1"/>
  <c r="E5135" i="1"/>
  <c r="C5136" i="1"/>
  <c r="D5136" i="1"/>
  <c r="E5136" i="1"/>
  <c r="C5137" i="1"/>
  <c r="D5137" i="1"/>
  <c r="E5137" i="1"/>
  <c r="C5138" i="1"/>
  <c r="D5138" i="1"/>
  <c r="E5138" i="1"/>
  <c r="C5139" i="1"/>
  <c r="D5139" i="1"/>
  <c r="E5139" i="1"/>
  <c r="C5140" i="1"/>
  <c r="D5140" i="1"/>
  <c r="E5140" i="1"/>
  <c r="C5141" i="1"/>
  <c r="D5141" i="1"/>
  <c r="E5141" i="1"/>
  <c r="C5142" i="1"/>
  <c r="D5142" i="1"/>
  <c r="E5142" i="1"/>
  <c r="C5143" i="1"/>
  <c r="D5143" i="1"/>
  <c r="E5143" i="1"/>
  <c r="C5144" i="1"/>
  <c r="D5144" i="1"/>
  <c r="E5144" i="1"/>
  <c r="C5145" i="1"/>
  <c r="D5145" i="1"/>
  <c r="E5145" i="1"/>
  <c r="C5146" i="1"/>
  <c r="D5146" i="1"/>
  <c r="E5146" i="1"/>
  <c r="C5147" i="1"/>
  <c r="D5147" i="1"/>
  <c r="E5147" i="1"/>
  <c r="C5148" i="1"/>
  <c r="D5148" i="1"/>
  <c r="E5148" i="1"/>
  <c r="C5149" i="1"/>
  <c r="D5149" i="1"/>
  <c r="E5149" i="1"/>
  <c r="C5150" i="1"/>
  <c r="D5150" i="1"/>
  <c r="E5150" i="1"/>
  <c r="C5151" i="1"/>
  <c r="D5151" i="1"/>
  <c r="E5151" i="1"/>
  <c r="C5152" i="1"/>
  <c r="D5152" i="1"/>
  <c r="E5152" i="1"/>
  <c r="C5153" i="1"/>
  <c r="D5153" i="1"/>
  <c r="E5153" i="1"/>
  <c r="C5154" i="1"/>
  <c r="D5154" i="1"/>
  <c r="E5154" i="1"/>
  <c r="C5155" i="1"/>
  <c r="D5155" i="1"/>
  <c r="E5155" i="1"/>
  <c r="C5156" i="1"/>
  <c r="D5156" i="1"/>
  <c r="E5156" i="1"/>
  <c r="C5157" i="1"/>
  <c r="D5157" i="1"/>
  <c r="E5157" i="1"/>
  <c r="C5158" i="1"/>
  <c r="D5158" i="1"/>
  <c r="E5158" i="1"/>
  <c r="C5159" i="1"/>
  <c r="D5159" i="1"/>
  <c r="E5159" i="1"/>
  <c r="C5160" i="1"/>
  <c r="D5160" i="1"/>
  <c r="E5160" i="1"/>
  <c r="C5161" i="1"/>
  <c r="D5161" i="1"/>
  <c r="E5161" i="1"/>
  <c r="C5162" i="1"/>
  <c r="D5162" i="1"/>
  <c r="E5162" i="1"/>
  <c r="C5163" i="1"/>
  <c r="D5163" i="1"/>
  <c r="E5163" i="1"/>
  <c r="C5164" i="1"/>
  <c r="D5164" i="1"/>
  <c r="E5164" i="1"/>
  <c r="C5165" i="1"/>
  <c r="D5165" i="1"/>
  <c r="E5165" i="1"/>
  <c r="C5166" i="1"/>
  <c r="D5166" i="1"/>
  <c r="E5166" i="1"/>
  <c r="C5167" i="1"/>
  <c r="D5167" i="1"/>
  <c r="E5167" i="1"/>
  <c r="C5168" i="1"/>
  <c r="D5168" i="1"/>
  <c r="E5168" i="1"/>
  <c r="C5169" i="1"/>
  <c r="D5169" i="1"/>
  <c r="E5169" i="1"/>
  <c r="C5170" i="1"/>
  <c r="D5170" i="1"/>
  <c r="E5170" i="1"/>
  <c r="C5171" i="1"/>
  <c r="D5171" i="1"/>
  <c r="E5171" i="1"/>
  <c r="C5172" i="1"/>
  <c r="D5172" i="1"/>
  <c r="E5172" i="1"/>
  <c r="C5173" i="1"/>
  <c r="D5173" i="1"/>
  <c r="E5173" i="1"/>
  <c r="C5174" i="1"/>
  <c r="D5174" i="1"/>
  <c r="E5174" i="1"/>
  <c r="C5175" i="1"/>
  <c r="D5175" i="1"/>
  <c r="E5175" i="1"/>
  <c r="C5176" i="1"/>
  <c r="D5176" i="1"/>
  <c r="E5176" i="1"/>
  <c r="C5177" i="1"/>
  <c r="D5177" i="1"/>
  <c r="E5177" i="1"/>
  <c r="C5178" i="1"/>
  <c r="D5178" i="1"/>
  <c r="E5178" i="1"/>
  <c r="C5179" i="1"/>
  <c r="D5179" i="1"/>
  <c r="E5179" i="1"/>
  <c r="C5180" i="1"/>
  <c r="D5180" i="1"/>
  <c r="E5180" i="1"/>
  <c r="C5181" i="1"/>
  <c r="D5181" i="1"/>
  <c r="E5181" i="1"/>
  <c r="C5182" i="1"/>
  <c r="D5182" i="1"/>
  <c r="E5182" i="1"/>
  <c r="C5183" i="1"/>
  <c r="D5183" i="1"/>
  <c r="E5183" i="1"/>
  <c r="C5184" i="1"/>
  <c r="D5184" i="1"/>
  <c r="E5184" i="1"/>
  <c r="C5185" i="1"/>
  <c r="D5185" i="1"/>
  <c r="E5185" i="1"/>
  <c r="C5186" i="1"/>
  <c r="D5186" i="1"/>
  <c r="E5186" i="1"/>
  <c r="C5187" i="1"/>
  <c r="D5187" i="1"/>
  <c r="E5187" i="1"/>
  <c r="C5188" i="1"/>
  <c r="D5188" i="1"/>
  <c r="E5188" i="1"/>
  <c r="C5189" i="1"/>
  <c r="D5189" i="1"/>
  <c r="E5189" i="1"/>
  <c r="C5190" i="1"/>
  <c r="D5190" i="1"/>
  <c r="E5190" i="1"/>
  <c r="C5191" i="1"/>
  <c r="D5191" i="1"/>
  <c r="E5191" i="1"/>
  <c r="C5192" i="1"/>
  <c r="D5192" i="1"/>
  <c r="E5192" i="1"/>
  <c r="C5193" i="1"/>
  <c r="D5193" i="1"/>
  <c r="E5193" i="1"/>
  <c r="C5194" i="1"/>
  <c r="D5194" i="1"/>
  <c r="E5194" i="1"/>
  <c r="C5195" i="1"/>
  <c r="D5195" i="1"/>
  <c r="E5195" i="1"/>
  <c r="C5196" i="1"/>
  <c r="D5196" i="1"/>
  <c r="E5196" i="1"/>
  <c r="C5197" i="1"/>
  <c r="D5197" i="1"/>
  <c r="E5197" i="1"/>
  <c r="C5198" i="1"/>
  <c r="D5198" i="1"/>
  <c r="E5198" i="1"/>
  <c r="C5199" i="1"/>
  <c r="D5199" i="1"/>
  <c r="E5199" i="1"/>
  <c r="C5200" i="1"/>
  <c r="D5200" i="1"/>
  <c r="E5200" i="1"/>
  <c r="C5201" i="1"/>
  <c r="D5201" i="1"/>
  <c r="E5201" i="1"/>
  <c r="C5202" i="1"/>
  <c r="D5202" i="1"/>
  <c r="E5202" i="1"/>
  <c r="C5203" i="1"/>
  <c r="D5203" i="1"/>
  <c r="E5203" i="1"/>
  <c r="C5204" i="1"/>
  <c r="D5204" i="1"/>
  <c r="E5204" i="1"/>
  <c r="C5205" i="1"/>
  <c r="D5205" i="1"/>
  <c r="E5205" i="1"/>
  <c r="C5206" i="1"/>
  <c r="D5206" i="1"/>
  <c r="E5206" i="1"/>
  <c r="C5207" i="1"/>
  <c r="D5207" i="1"/>
  <c r="E5207" i="1"/>
  <c r="C5208" i="1"/>
  <c r="D5208" i="1"/>
  <c r="E5208" i="1"/>
  <c r="C5209" i="1"/>
  <c r="D5209" i="1"/>
  <c r="E5209" i="1"/>
  <c r="C5210" i="1"/>
  <c r="D5210" i="1"/>
  <c r="E5210" i="1"/>
  <c r="C5211" i="1"/>
  <c r="D5211" i="1"/>
  <c r="E5211" i="1"/>
  <c r="C5212" i="1"/>
  <c r="D5212" i="1"/>
  <c r="E5212" i="1"/>
  <c r="C5213" i="1"/>
  <c r="D5213" i="1"/>
  <c r="E5213" i="1"/>
  <c r="C5214" i="1"/>
  <c r="D5214" i="1"/>
  <c r="E5214" i="1"/>
  <c r="C5215" i="1"/>
  <c r="D5215" i="1"/>
  <c r="E5215" i="1"/>
  <c r="C5216" i="1"/>
  <c r="D5216" i="1"/>
  <c r="E5216" i="1"/>
  <c r="C5217" i="1"/>
  <c r="D5217" i="1"/>
  <c r="E5217" i="1"/>
  <c r="C5218" i="1"/>
  <c r="D5218" i="1"/>
  <c r="E5218" i="1"/>
  <c r="C5219" i="1"/>
  <c r="D5219" i="1"/>
  <c r="E5219" i="1"/>
  <c r="C5220" i="1"/>
  <c r="D5220" i="1"/>
  <c r="E5220" i="1"/>
  <c r="C5221" i="1"/>
  <c r="D5221" i="1"/>
  <c r="E5221" i="1"/>
  <c r="C5222" i="1"/>
  <c r="D5222" i="1"/>
  <c r="E5222" i="1"/>
  <c r="C5223" i="1"/>
  <c r="D5223" i="1"/>
  <c r="E5223" i="1"/>
  <c r="C5224" i="1"/>
  <c r="D5224" i="1"/>
  <c r="E5224" i="1"/>
  <c r="C5225" i="1"/>
  <c r="D5225" i="1"/>
  <c r="E5225" i="1"/>
  <c r="C5226" i="1"/>
  <c r="D5226" i="1"/>
  <c r="E5226" i="1"/>
  <c r="C5227" i="1"/>
  <c r="D5227" i="1"/>
  <c r="E5227" i="1"/>
  <c r="C5228" i="1"/>
  <c r="D5228" i="1"/>
  <c r="E5228" i="1"/>
  <c r="C5229" i="1"/>
  <c r="D5229" i="1"/>
  <c r="E5229" i="1"/>
  <c r="C5230" i="1"/>
  <c r="D5230" i="1"/>
  <c r="E5230" i="1"/>
  <c r="C5231" i="1"/>
  <c r="D5231" i="1"/>
  <c r="E5231" i="1"/>
  <c r="C5232" i="1"/>
  <c r="D5232" i="1"/>
  <c r="E5232" i="1"/>
  <c r="C5233" i="1"/>
  <c r="D5233" i="1"/>
  <c r="E5233" i="1"/>
  <c r="C5234" i="1"/>
  <c r="D5234" i="1"/>
  <c r="E5234" i="1"/>
  <c r="C5235" i="1"/>
  <c r="D5235" i="1"/>
  <c r="E5235" i="1"/>
  <c r="C5236" i="1"/>
  <c r="D5236" i="1"/>
  <c r="E5236" i="1"/>
  <c r="C5237" i="1"/>
  <c r="D5237" i="1"/>
  <c r="E5237" i="1"/>
  <c r="C5238" i="1"/>
  <c r="D5238" i="1"/>
  <c r="E5238" i="1"/>
  <c r="C5239" i="1"/>
  <c r="D5239" i="1"/>
  <c r="E5239" i="1"/>
  <c r="C5240" i="1"/>
  <c r="D5240" i="1"/>
  <c r="E5240" i="1"/>
  <c r="C5241" i="1"/>
  <c r="D5241" i="1"/>
  <c r="E5241" i="1"/>
  <c r="C5242" i="1"/>
  <c r="D5242" i="1"/>
  <c r="E5242" i="1"/>
  <c r="C5243" i="1"/>
  <c r="D5243" i="1"/>
  <c r="E5243" i="1"/>
  <c r="C5244" i="1"/>
  <c r="D5244" i="1"/>
  <c r="E5244" i="1"/>
  <c r="C5245" i="1"/>
  <c r="D5245" i="1"/>
  <c r="E5245" i="1"/>
  <c r="C5246" i="1"/>
  <c r="D5246" i="1"/>
  <c r="E5246" i="1"/>
  <c r="C5247" i="1"/>
  <c r="D5247" i="1"/>
  <c r="E5247" i="1"/>
  <c r="C5248" i="1"/>
  <c r="D5248" i="1"/>
  <c r="E5248" i="1"/>
  <c r="C5249" i="1"/>
  <c r="D5249" i="1"/>
  <c r="E5249" i="1"/>
  <c r="C5250" i="1"/>
  <c r="D5250" i="1"/>
  <c r="E5250" i="1"/>
  <c r="C5251" i="1"/>
  <c r="D5251" i="1"/>
  <c r="E5251" i="1"/>
  <c r="C5252" i="1"/>
  <c r="D5252" i="1"/>
  <c r="E5252" i="1"/>
  <c r="C5253" i="1"/>
  <c r="D5253" i="1"/>
  <c r="E5253" i="1"/>
  <c r="C5254" i="1"/>
  <c r="D5254" i="1"/>
  <c r="E5254" i="1"/>
  <c r="C5255" i="1"/>
  <c r="D5255" i="1"/>
  <c r="E5255" i="1"/>
  <c r="C5256" i="1"/>
  <c r="D5256" i="1"/>
  <c r="E5256" i="1"/>
  <c r="C5257" i="1"/>
  <c r="D5257" i="1"/>
  <c r="E5257" i="1"/>
  <c r="C5258" i="1"/>
  <c r="D5258" i="1"/>
  <c r="E5258" i="1"/>
  <c r="C5259" i="1"/>
  <c r="D5259" i="1"/>
  <c r="E5259" i="1"/>
  <c r="C5260" i="1"/>
  <c r="D5260" i="1"/>
  <c r="E5260" i="1"/>
  <c r="C5261" i="1"/>
  <c r="D5261" i="1"/>
  <c r="E5261" i="1"/>
  <c r="C5262" i="1"/>
  <c r="D5262" i="1"/>
  <c r="E5262" i="1"/>
  <c r="C5263" i="1"/>
  <c r="D5263" i="1"/>
  <c r="E5263" i="1"/>
  <c r="C5264" i="1"/>
  <c r="D5264" i="1"/>
  <c r="E5264" i="1"/>
  <c r="C5265" i="1"/>
  <c r="D5265" i="1"/>
  <c r="E5265" i="1"/>
  <c r="C5266" i="1"/>
  <c r="D5266" i="1"/>
  <c r="E5266" i="1"/>
  <c r="C5267" i="1"/>
  <c r="D5267" i="1"/>
  <c r="E5267" i="1"/>
  <c r="C5268" i="1"/>
  <c r="D5268" i="1"/>
  <c r="E5268" i="1"/>
  <c r="C5269" i="1"/>
  <c r="D5269" i="1"/>
  <c r="E5269" i="1"/>
  <c r="C5270" i="1"/>
  <c r="D5270" i="1"/>
  <c r="E5270" i="1"/>
  <c r="C5271" i="1"/>
  <c r="D5271" i="1"/>
  <c r="E5271" i="1"/>
  <c r="C5272" i="1"/>
  <c r="D5272" i="1"/>
  <c r="E5272" i="1"/>
  <c r="C5273" i="1"/>
  <c r="D5273" i="1"/>
  <c r="E5273" i="1"/>
  <c r="C5274" i="1"/>
  <c r="D5274" i="1"/>
  <c r="E5274" i="1"/>
  <c r="C5275" i="1"/>
  <c r="D5275" i="1"/>
  <c r="E5275" i="1"/>
  <c r="C5276" i="1"/>
  <c r="D5276" i="1"/>
  <c r="E5276" i="1"/>
  <c r="C5277" i="1"/>
  <c r="D5277" i="1"/>
  <c r="E5277" i="1"/>
  <c r="C5278" i="1"/>
  <c r="D5278" i="1"/>
  <c r="E5278" i="1"/>
  <c r="C5279" i="1"/>
  <c r="D5279" i="1"/>
  <c r="E5279" i="1"/>
  <c r="C5280" i="1"/>
  <c r="D5280" i="1"/>
  <c r="E5280" i="1"/>
  <c r="C5281" i="1"/>
  <c r="D5281" i="1"/>
  <c r="E5281" i="1"/>
  <c r="C5282" i="1"/>
  <c r="D5282" i="1"/>
  <c r="E5282" i="1"/>
  <c r="C5283" i="1"/>
  <c r="D5283" i="1"/>
  <c r="E5283" i="1"/>
  <c r="C5284" i="1"/>
  <c r="D5284" i="1"/>
  <c r="E5284" i="1"/>
  <c r="C5285" i="1"/>
  <c r="D5285" i="1"/>
  <c r="E5285" i="1"/>
  <c r="C5286" i="1"/>
  <c r="D5286" i="1"/>
  <c r="E5286" i="1"/>
  <c r="C5287" i="1"/>
  <c r="D5287" i="1"/>
  <c r="E5287" i="1"/>
  <c r="C5288" i="1"/>
  <c r="D5288" i="1"/>
  <c r="E5288" i="1"/>
  <c r="C5289" i="1"/>
  <c r="D5289" i="1"/>
  <c r="E5289" i="1"/>
  <c r="C5290" i="1"/>
  <c r="D5290" i="1"/>
  <c r="E5290" i="1"/>
  <c r="C5291" i="1"/>
  <c r="D5291" i="1"/>
  <c r="E5291" i="1"/>
  <c r="C5292" i="1"/>
  <c r="D5292" i="1"/>
  <c r="E5292" i="1"/>
  <c r="C5293" i="1"/>
  <c r="D5293" i="1"/>
  <c r="E5293" i="1"/>
  <c r="C5294" i="1"/>
  <c r="D5294" i="1"/>
  <c r="E5294" i="1"/>
  <c r="C5295" i="1"/>
  <c r="D5295" i="1"/>
  <c r="E5295" i="1"/>
  <c r="C5296" i="1"/>
  <c r="D5296" i="1"/>
  <c r="E5296" i="1"/>
  <c r="C5297" i="1"/>
  <c r="D5297" i="1"/>
  <c r="E5297" i="1"/>
  <c r="C5298" i="1"/>
  <c r="D5298" i="1"/>
  <c r="E5298" i="1"/>
  <c r="C5299" i="1"/>
  <c r="D5299" i="1"/>
  <c r="E5299" i="1"/>
  <c r="C5300" i="1"/>
  <c r="D5300" i="1"/>
  <c r="E5300" i="1"/>
  <c r="C5301" i="1"/>
  <c r="D5301" i="1"/>
  <c r="E5301" i="1"/>
  <c r="C5302" i="1"/>
  <c r="D5302" i="1"/>
  <c r="E5302" i="1"/>
  <c r="C5303" i="1"/>
  <c r="D5303" i="1"/>
  <c r="E5303" i="1"/>
  <c r="C5304" i="1"/>
  <c r="D5304" i="1"/>
  <c r="E5304" i="1"/>
  <c r="C5305" i="1"/>
  <c r="D5305" i="1"/>
  <c r="E5305" i="1"/>
  <c r="C5306" i="1"/>
  <c r="D5306" i="1"/>
  <c r="E5306" i="1"/>
  <c r="C5307" i="1"/>
  <c r="D5307" i="1"/>
  <c r="E5307" i="1"/>
  <c r="C5308" i="1"/>
  <c r="D5308" i="1"/>
  <c r="E5308" i="1"/>
  <c r="C5309" i="1"/>
  <c r="D5309" i="1"/>
  <c r="E5309" i="1"/>
  <c r="C5310" i="1"/>
  <c r="D5310" i="1"/>
  <c r="E5310" i="1"/>
  <c r="C5311" i="1"/>
  <c r="D5311" i="1"/>
  <c r="E5311" i="1"/>
  <c r="C5312" i="1"/>
  <c r="D5312" i="1"/>
  <c r="E5312" i="1"/>
  <c r="C5313" i="1"/>
  <c r="D5313" i="1"/>
  <c r="E5313" i="1"/>
  <c r="C5314" i="1"/>
  <c r="D5314" i="1"/>
  <c r="E5314" i="1"/>
  <c r="C5315" i="1"/>
  <c r="D5315" i="1"/>
  <c r="E5315" i="1"/>
  <c r="C5316" i="1"/>
  <c r="D5316" i="1"/>
  <c r="E5316" i="1"/>
  <c r="C5317" i="1"/>
  <c r="D5317" i="1"/>
  <c r="E5317" i="1"/>
  <c r="C5318" i="1"/>
  <c r="D5318" i="1"/>
  <c r="E5318" i="1"/>
  <c r="C5319" i="1"/>
  <c r="D5319" i="1"/>
  <c r="E5319" i="1"/>
  <c r="C5320" i="1"/>
  <c r="D5320" i="1"/>
  <c r="E5320" i="1"/>
  <c r="C5321" i="1"/>
  <c r="D5321" i="1"/>
  <c r="E5321" i="1"/>
  <c r="C5322" i="1"/>
  <c r="D5322" i="1"/>
  <c r="E5322" i="1"/>
  <c r="C5323" i="1"/>
  <c r="D5323" i="1"/>
  <c r="E5323" i="1"/>
  <c r="C5324" i="1"/>
  <c r="D5324" i="1"/>
  <c r="E5324" i="1"/>
  <c r="C5325" i="1"/>
  <c r="D5325" i="1"/>
  <c r="E5325" i="1"/>
  <c r="C5326" i="1"/>
  <c r="D5326" i="1"/>
  <c r="E5326" i="1"/>
  <c r="C5327" i="1"/>
  <c r="D5327" i="1"/>
  <c r="E5327" i="1"/>
  <c r="C5328" i="1"/>
  <c r="D5328" i="1"/>
  <c r="E5328" i="1"/>
  <c r="C5329" i="1"/>
  <c r="D5329" i="1"/>
  <c r="E5329" i="1"/>
  <c r="C5330" i="1"/>
  <c r="D5330" i="1"/>
  <c r="E5330" i="1"/>
  <c r="C5331" i="1"/>
  <c r="D5331" i="1"/>
  <c r="E5331" i="1"/>
  <c r="C5332" i="1"/>
  <c r="D5332" i="1"/>
  <c r="E5332" i="1"/>
  <c r="C5333" i="1"/>
  <c r="D5333" i="1"/>
  <c r="E5333" i="1"/>
  <c r="C5334" i="1"/>
  <c r="D5334" i="1"/>
  <c r="E5334" i="1"/>
  <c r="C5335" i="1"/>
  <c r="D5335" i="1"/>
  <c r="E5335" i="1"/>
  <c r="C5336" i="1"/>
  <c r="D5336" i="1"/>
  <c r="E5336" i="1"/>
  <c r="C5337" i="1"/>
  <c r="D5337" i="1"/>
  <c r="E5337" i="1"/>
  <c r="C5338" i="1"/>
  <c r="D5338" i="1"/>
  <c r="E5338" i="1"/>
  <c r="C5339" i="1"/>
  <c r="D5339" i="1"/>
  <c r="E5339" i="1"/>
  <c r="C5340" i="1"/>
  <c r="D5340" i="1"/>
  <c r="E5340" i="1"/>
  <c r="C5341" i="1"/>
  <c r="D5341" i="1"/>
  <c r="E5341" i="1"/>
  <c r="C5342" i="1"/>
  <c r="D5342" i="1"/>
  <c r="E5342" i="1"/>
  <c r="C5343" i="1"/>
  <c r="D5343" i="1"/>
  <c r="E5343" i="1"/>
  <c r="C5344" i="1"/>
  <c r="D5344" i="1"/>
  <c r="E5344" i="1"/>
  <c r="C5345" i="1"/>
  <c r="D5345" i="1"/>
  <c r="E5345" i="1"/>
  <c r="C5346" i="1"/>
  <c r="D5346" i="1"/>
  <c r="E5346" i="1"/>
  <c r="C5347" i="1"/>
  <c r="D5347" i="1"/>
  <c r="E5347" i="1"/>
  <c r="C5348" i="1"/>
  <c r="D5348" i="1"/>
  <c r="E5348" i="1"/>
  <c r="C5349" i="1"/>
  <c r="D5349" i="1"/>
  <c r="E5349" i="1"/>
  <c r="C5350" i="1"/>
  <c r="D5350" i="1"/>
  <c r="E5350" i="1"/>
  <c r="C5351" i="1"/>
  <c r="D5351" i="1"/>
  <c r="E5351" i="1"/>
  <c r="C5352" i="1"/>
  <c r="D5352" i="1"/>
  <c r="E5352" i="1"/>
  <c r="C5353" i="1"/>
  <c r="D5353" i="1"/>
  <c r="E5353" i="1"/>
  <c r="C5354" i="1"/>
  <c r="D5354" i="1"/>
  <c r="E5354" i="1"/>
  <c r="C5355" i="1"/>
  <c r="D5355" i="1"/>
  <c r="E5355" i="1"/>
  <c r="C5356" i="1"/>
  <c r="D5356" i="1"/>
  <c r="E5356" i="1"/>
  <c r="C5357" i="1"/>
  <c r="D5357" i="1"/>
  <c r="E5357" i="1"/>
  <c r="C5358" i="1"/>
  <c r="D5358" i="1"/>
  <c r="E5358" i="1"/>
  <c r="C5359" i="1"/>
  <c r="D5359" i="1"/>
  <c r="E5359" i="1"/>
  <c r="C5360" i="1"/>
  <c r="D5360" i="1"/>
  <c r="E5360" i="1"/>
  <c r="C5361" i="1"/>
  <c r="D5361" i="1"/>
  <c r="E5361" i="1"/>
  <c r="C5362" i="1"/>
  <c r="D5362" i="1"/>
  <c r="E5362" i="1"/>
  <c r="C5363" i="1"/>
  <c r="D5363" i="1"/>
  <c r="E5363" i="1"/>
  <c r="C5364" i="1"/>
  <c r="D5364" i="1"/>
  <c r="E5364" i="1"/>
  <c r="C5365" i="1"/>
  <c r="D5365" i="1"/>
  <c r="E5365" i="1"/>
  <c r="C5366" i="1"/>
  <c r="D5366" i="1"/>
  <c r="E5366" i="1"/>
  <c r="C5367" i="1"/>
  <c r="D5367" i="1"/>
  <c r="E5367" i="1"/>
  <c r="C5368" i="1"/>
  <c r="D5368" i="1"/>
  <c r="E5368" i="1"/>
  <c r="C5369" i="1"/>
  <c r="D5369" i="1"/>
  <c r="E5369" i="1"/>
  <c r="C5370" i="1"/>
  <c r="D5370" i="1"/>
  <c r="E5370" i="1"/>
  <c r="C5371" i="1"/>
  <c r="D5371" i="1"/>
  <c r="E5371" i="1"/>
  <c r="C5372" i="1"/>
  <c r="D5372" i="1"/>
  <c r="E5372" i="1"/>
  <c r="C5373" i="1"/>
  <c r="D5373" i="1"/>
  <c r="E5373" i="1"/>
  <c r="C5374" i="1"/>
  <c r="D5374" i="1"/>
  <c r="E5374" i="1"/>
  <c r="C5375" i="1"/>
  <c r="D5375" i="1"/>
  <c r="E5375" i="1"/>
  <c r="C5376" i="1"/>
  <c r="D5376" i="1"/>
  <c r="E5376" i="1"/>
  <c r="C5377" i="1"/>
  <c r="D5377" i="1"/>
  <c r="E5377" i="1"/>
  <c r="C5378" i="1"/>
  <c r="D5378" i="1"/>
  <c r="E5378" i="1"/>
  <c r="C5379" i="1"/>
  <c r="D5379" i="1"/>
  <c r="E5379" i="1"/>
  <c r="C5380" i="1"/>
  <c r="D5380" i="1"/>
  <c r="E5380" i="1"/>
  <c r="C5381" i="1"/>
  <c r="D5381" i="1"/>
  <c r="E5381" i="1"/>
  <c r="C5382" i="1"/>
  <c r="D5382" i="1"/>
  <c r="E5382" i="1"/>
  <c r="C5383" i="1"/>
  <c r="D5383" i="1"/>
  <c r="E5383" i="1"/>
  <c r="C5384" i="1"/>
  <c r="D5384" i="1"/>
  <c r="E5384" i="1"/>
  <c r="C5385" i="1"/>
  <c r="D5385" i="1"/>
  <c r="E5385" i="1"/>
  <c r="C5386" i="1"/>
  <c r="D5386" i="1"/>
  <c r="E5386" i="1"/>
  <c r="C5387" i="1"/>
  <c r="D5387" i="1"/>
  <c r="E5387" i="1"/>
  <c r="C5388" i="1"/>
  <c r="D5388" i="1"/>
  <c r="E5388" i="1"/>
  <c r="C5389" i="1"/>
  <c r="D5389" i="1"/>
  <c r="E5389" i="1"/>
  <c r="C5390" i="1"/>
  <c r="D5390" i="1"/>
  <c r="E5390" i="1"/>
  <c r="C5391" i="1"/>
  <c r="D5391" i="1"/>
  <c r="E5391" i="1"/>
  <c r="C5392" i="1"/>
  <c r="D5392" i="1"/>
  <c r="E5392" i="1"/>
  <c r="C5393" i="1"/>
  <c r="D5393" i="1"/>
  <c r="E5393" i="1"/>
  <c r="C5394" i="1"/>
  <c r="D5394" i="1"/>
  <c r="E5394" i="1"/>
  <c r="C5395" i="1"/>
  <c r="D5395" i="1"/>
  <c r="E5395" i="1"/>
  <c r="C5396" i="1"/>
  <c r="D5396" i="1"/>
  <c r="E5396" i="1"/>
  <c r="C5397" i="1"/>
  <c r="D5397" i="1"/>
  <c r="E5397" i="1"/>
  <c r="C5398" i="1"/>
  <c r="D5398" i="1"/>
  <c r="E5398" i="1"/>
  <c r="C5399" i="1"/>
  <c r="D5399" i="1"/>
  <c r="E5399" i="1"/>
  <c r="C5400" i="1"/>
  <c r="D5400" i="1"/>
  <c r="E5400" i="1"/>
  <c r="C5401" i="1"/>
  <c r="D5401" i="1"/>
  <c r="E5401" i="1"/>
  <c r="C5402" i="1"/>
  <c r="D5402" i="1"/>
  <c r="E5402" i="1"/>
  <c r="C5403" i="1"/>
  <c r="D5403" i="1"/>
  <c r="E5403" i="1"/>
  <c r="C5404" i="1"/>
  <c r="D5404" i="1"/>
  <c r="E5404" i="1"/>
  <c r="C5405" i="1"/>
  <c r="D5405" i="1"/>
  <c r="E5405" i="1"/>
  <c r="C5406" i="1"/>
  <c r="D5406" i="1"/>
  <c r="E5406" i="1"/>
  <c r="C5407" i="1"/>
  <c r="D5407" i="1"/>
  <c r="E5407" i="1"/>
  <c r="C5408" i="1"/>
  <c r="D5408" i="1"/>
  <c r="E5408" i="1"/>
  <c r="C5409" i="1"/>
  <c r="D5409" i="1"/>
  <c r="E5409" i="1"/>
  <c r="C5410" i="1"/>
  <c r="D5410" i="1"/>
  <c r="E5410" i="1"/>
  <c r="C5411" i="1"/>
  <c r="D5411" i="1"/>
  <c r="E5411" i="1"/>
  <c r="C5412" i="1"/>
  <c r="D5412" i="1"/>
  <c r="E5412" i="1"/>
  <c r="C5413" i="1"/>
  <c r="D5413" i="1"/>
  <c r="E5413" i="1"/>
  <c r="C5414" i="1"/>
  <c r="D5414" i="1"/>
  <c r="E5414" i="1"/>
  <c r="C5415" i="1"/>
  <c r="D5415" i="1"/>
  <c r="E5415" i="1"/>
  <c r="C5416" i="1"/>
  <c r="D5416" i="1"/>
  <c r="E5416" i="1"/>
  <c r="C5417" i="1"/>
  <c r="D5417" i="1"/>
  <c r="E5417" i="1"/>
  <c r="C5418" i="1"/>
  <c r="D5418" i="1"/>
  <c r="E5418" i="1"/>
  <c r="C5419" i="1"/>
  <c r="D5419" i="1"/>
  <c r="E5419" i="1"/>
  <c r="C5420" i="1"/>
  <c r="D5420" i="1"/>
  <c r="E5420" i="1"/>
  <c r="C5421" i="1"/>
  <c r="D5421" i="1"/>
  <c r="E5421" i="1"/>
  <c r="C5422" i="1"/>
  <c r="D5422" i="1"/>
  <c r="E5422" i="1"/>
  <c r="C5423" i="1"/>
  <c r="D5423" i="1"/>
  <c r="E5423" i="1"/>
  <c r="C5424" i="1"/>
  <c r="D5424" i="1"/>
  <c r="E5424" i="1"/>
  <c r="C5425" i="1"/>
  <c r="D5425" i="1"/>
  <c r="E5425" i="1"/>
  <c r="C5426" i="1"/>
  <c r="D5426" i="1"/>
  <c r="E5426" i="1"/>
  <c r="C5427" i="1"/>
  <c r="D5427" i="1"/>
  <c r="E5427" i="1"/>
  <c r="C5428" i="1"/>
  <c r="D5428" i="1"/>
  <c r="E5428" i="1"/>
  <c r="C5429" i="1"/>
  <c r="D5429" i="1"/>
  <c r="E5429" i="1"/>
  <c r="C5430" i="1"/>
  <c r="D5430" i="1"/>
  <c r="E5430" i="1"/>
  <c r="C5431" i="1"/>
  <c r="D5431" i="1"/>
  <c r="E5431" i="1"/>
  <c r="C5432" i="1"/>
  <c r="D5432" i="1"/>
  <c r="E5432" i="1"/>
  <c r="C5433" i="1"/>
  <c r="D5433" i="1"/>
  <c r="E5433" i="1"/>
  <c r="C5434" i="1"/>
  <c r="D5434" i="1"/>
  <c r="E5434" i="1"/>
  <c r="C5435" i="1"/>
  <c r="D5435" i="1"/>
  <c r="E5435" i="1"/>
  <c r="C5436" i="1"/>
  <c r="D5436" i="1"/>
  <c r="E5436" i="1"/>
  <c r="C5437" i="1"/>
  <c r="D5437" i="1"/>
  <c r="E5437" i="1"/>
  <c r="C5438" i="1"/>
  <c r="D5438" i="1"/>
  <c r="E5438" i="1"/>
  <c r="C5439" i="1"/>
  <c r="D5439" i="1"/>
  <c r="E5439" i="1"/>
  <c r="C5440" i="1"/>
  <c r="D5440" i="1"/>
  <c r="E5440" i="1"/>
  <c r="C5441" i="1"/>
  <c r="D5441" i="1"/>
  <c r="E5441" i="1"/>
  <c r="C5442" i="1"/>
  <c r="D5442" i="1"/>
  <c r="E5442" i="1"/>
  <c r="C5443" i="1"/>
  <c r="D5443" i="1"/>
  <c r="E5443" i="1"/>
  <c r="C5444" i="1"/>
  <c r="D5444" i="1"/>
  <c r="E5444" i="1"/>
  <c r="C5445" i="1"/>
  <c r="D5445" i="1"/>
  <c r="E5445" i="1"/>
  <c r="C5446" i="1"/>
  <c r="D5446" i="1"/>
  <c r="E5446" i="1"/>
  <c r="C5447" i="1"/>
  <c r="D5447" i="1"/>
  <c r="E5447" i="1"/>
  <c r="C5448" i="1"/>
  <c r="D5448" i="1"/>
  <c r="E5448" i="1"/>
  <c r="C5449" i="1"/>
  <c r="D5449" i="1"/>
  <c r="E5449" i="1"/>
  <c r="C5450" i="1"/>
  <c r="D5450" i="1"/>
  <c r="E5450" i="1"/>
  <c r="C5451" i="1"/>
  <c r="D5451" i="1"/>
  <c r="E5451" i="1"/>
  <c r="C5452" i="1"/>
  <c r="D5452" i="1"/>
  <c r="E5452" i="1"/>
  <c r="C5453" i="1"/>
  <c r="D5453" i="1"/>
  <c r="E5453" i="1"/>
  <c r="C5454" i="1"/>
  <c r="D5454" i="1"/>
  <c r="E5454" i="1"/>
  <c r="C5455" i="1"/>
  <c r="D5455" i="1"/>
  <c r="E5455" i="1"/>
  <c r="C5456" i="1"/>
  <c r="D5456" i="1"/>
  <c r="E5456" i="1"/>
  <c r="C5457" i="1"/>
  <c r="D5457" i="1"/>
  <c r="E5457" i="1"/>
  <c r="C5458" i="1"/>
  <c r="D5458" i="1"/>
  <c r="E5458" i="1"/>
  <c r="C5459" i="1"/>
  <c r="D5459" i="1"/>
  <c r="E5459" i="1"/>
  <c r="C5460" i="1"/>
  <c r="D5460" i="1"/>
  <c r="E5460" i="1"/>
  <c r="C5461" i="1"/>
  <c r="D5461" i="1"/>
  <c r="E5461" i="1"/>
  <c r="C5462" i="1"/>
  <c r="D5462" i="1"/>
  <c r="E5462" i="1"/>
  <c r="C5463" i="1"/>
  <c r="D5463" i="1"/>
  <c r="E5463" i="1"/>
  <c r="C5464" i="1"/>
  <c r="D5464" i="1"/>
  <c r="E5464" i="1"/>
  <c r="C5465" i="1"/>
  <c r="D5465" i="1"/>
  <c r="E5465" i="1"/>
  <c r="C5466" i="1"/>
  <c r="D5466" i="1"/>
  <c r="E5466" i="1"/>
  <c r="C5467" i="1"/>
  <c r="D5467" i="1"/>
  <c r="E5467" i="1"/>
  <c r="C5468" i="1"/>
  <c r="D5468" i="1"/>
  <c r="E5468" i="1"/>
  <c r="C5469" i="1"/>
  <c r="D5469" i="1"/>
  <c r="E5469" i="1"/>
  <c r="C5470" i="1"/>
  <c r="D5470" i="1"/>
  <c r="E5470" i="1"/>
  <c r="C5471" i="1"/>
  <c r="D5471" i="1"/>
  <c r="E5471" i="1"/>
  <c r="C5472" i="1"/>
  <c r="D5472" i="1"/>
  <c r="E5472" i="1"/>
  <c r="C5473" i="1"/>
  <c r="D5473" i="1"/>
  <c r="E5473" i="1"/>
  <c r="C5474" i="1"/>
  <c r="D5474" i="1"/>
  <c r="E5474" i="1"/>
  <c r="C5475" i="1"/>
  <c r="D5475" i="1"/>
  <c r="E5475" i="1"/>
  <c r="C5476" i="1"/>
  <c r="D5476" i="1"/>
  <c r="E5476" i="1"/>
  <c r="C5477" i="1"/>
  <c r="D5477" i="1"/>
  <c r="E5477" i="1"/>
  <c r="C5478" i="1"/>
  <c r="D5478" i="1"/>
  <c r="E5478" i="1"/>
  <c r="C5479" i="1"/>
  <c r="D5479" i="1"/>
  <c r="E5479" i="1"/>
  <c r="C5480" i="1"/>
  <c r="D5480" i="1"/>
  <c r="E5480" i="1"/>
  <c r="C5481" i="1"/>
  <c r="D5481" i="1"/>
  <c r="E5481" i="1"/>
  <c r="C5482" i="1"/>
  <c r="D5482" i="1"/>
  <c r="E5482" i="1"/>
  <c r="C5483" i="1"/>
  <c r="D5483" i="1"/>
  <c r="E5483" i="1"/>
  <c r="C5484" i="1"/>
  <c r="D5484" i="1"/>
  <c r="E5484" i="1"/>
  <c r="C5485" i="1"/>
  <c r="D5485" i="1"/>
  <c r="E5485" i="1"/>
  <c r="C5486" i="1"/>
  <c r="D5486" i="1"/>
  <c r="E5486" i="1"/>
  <c r="C5487" i="1"/>
  <c r="D5487" i="1"/>
  <c r="E5487" i="1"/>
  <c r="C5488" i="1"/>
  <c r="D5488" i="1"/>
  <c r="E5488" i="1"/>
  <c r="C5489" i="1"/>
  <c r="D5489" i="1"/>
  <c r="E5489" i="1"/>
  <c r="C5490" i="1"/>
  <c r="D5490" i="1"/>
  <c r="E5490" i="1"/>
  <c r="C5491" i="1"/>
  <c r="D5491" i="1"/>
  <c r="E5491" i="1"/>
  <c r="C5492" i="1"/>
  <c r="D5492" i="1"/>
  <c r="E5492" i="1"/>
  <c r="C5493" i="1"/>
  <c r="D5493" i="1"/>
  <c r="E5493" i="1"/>
  <c r="C5494" i="1"/>
  <c r="D5494" i="1"/>
  <c r="E5494" i="1"/>
  <c r="C5495" i="1"/>
  <c r="D5495" i="1"/>
  <c r="E5495" i="1"/>
  <c r="C5496" i="1"/>
  <c r="D5496" i="1"/>
  <c r="E5496" i="1"/>
  <c r="C5497" i="1"/>
  <c r="D5497" i="1"/>
  <c r="E5497" i="1"/>
  <c r="C5498" i="1"/>
  <c r="D5498" i="1"/>
  <c r="E5498" i="1"/>
  <c r="C5499" i="1"/>
  <c r="D5499" i="1"/>
  <c r="E5499" i="1"/>
  <c r="C5500" i="1"/>
  <c r="D5500" i="1"/>
  <c r="E5500" i="1"/>
  <c r="C5501" i="1"/>
  <c r="D5501" i="1"/>
  <c r="E5501" i="1"/>
  <c r="C5502" i="1"/>
  <c r="D5502" i="1"/>
  <c r="E5502" i="1"/>
  <c r="C5503" i="1"/>
  <c r="D5503" i="1"/>
  <c r="E5503" i="1"/>
  <c r="C5504" i="1"/>
  <c r="D5504" i="1"/>
  <c r="E5504" i="1"/>
  <c r="C5505" i="1"/>
  <c r="D5505" i="1"/>
  <c r="E5505" i="1"/>
  <c r="C5506" i="1"/>
  <c r="D5506" i="1"/>
  <c r="E5506" i="1"/>
  <c r="C5507" i="1"/>
  <c r="D5507" i="1"/>
  <c r="E5507" i="1"/>
  <c r="C5508" i="1"/>
  <c r="D5508" i="1"/>
  <c r="E5508" i="1"/>
  <c r="C5509" i="1"/>
  <c r="D5509" i="1"/>
  <c r="E5509" i="1"/>
  <c r="C5510" i="1"/>
  <c r="D5510" i="1"/>
  <c r="E5510" i="1"/>
  <c r="C5511" i="1"/>
  <c r="D5511" i="1"/>
  <c r="E5511" i="1"/>
  <c r="C5512" i="1"/>
  <c r="D5512" i="1"/>
  <c r="E5512" i="1"/>
  <c r="C5513" i="1"/>
  <c r="D5513" i="1"/>
  <c r="E5513" i="1"/>
  <c r="C5514" i="1"/>
  <c r="D5514" i="1"/>
  <c r="E5514" i="1"/>
  <c r="C5515" i="1"/>
  <c r="D5515" i="1"/>
  <c r="E5515" i="1"/>
  <c r="C5516" i="1"/>
  <c r="D5516" i="1"/>
  <c r="E5516" i="1"/>
  <c r="C5517" i="1"/>
  <c r="D5517" i="1"/>
  <c r="E5517" i="1"/>
  <c r="C5518" i="1"/>
  <c r="D5518" i="1"/>
  <c r="E5518" i="1"/>
  <c r="C5519" i="1"/>
  <c r="D5519" i="1"/>
  <c r="E5519" i="1"/>
  <c r="C5520" i="1"/>
  <c r="D5520" i="1"/>
  <c r="E5520" i="1"/>
  <c r="C5521" i="1"/>
  <c r="D5521" i="1"/>
  <c r="E5521" i="1"/>
  <c r="C5522" i="1"/>
  <c r="D5522" i="1"/>
  <c r="E5522" i="1"/>
  <c r="C5523" i="1"/>
  <c r="D5523" i="1"/>
  <c r="E5523" i="1"/>
  <c r="C5524" i="1"/>
  <c r="D5524" i="1"/>
  <c r="E5524" i="1"/>
  <c r="C5525" i="1"/>
  <c r="D5525" i="1"/>
  <c r="E5525" i="1"/>
  <c r="C5526" i="1"/>
  <c r="D5526" i="1"/>
  <c r="E5526" i="1"/>
  <c r="C5527" i="1"/>
  <c r="D5527" i="1"/>
  <c r="E5527" i="1"/>
  <c r="C5528" i="1"/>
  <c r="D5528" i="1"/>
  <c r="E5528" i="1"/>
  <c r="C5529" i="1"/>
  <c r="D5529" i="1"/>
  <c r="E5529" i="1"/>
  <c r="C5530" i="1"/>
  <c r="D5530" i="1"/>
  <c r="E5530" i="1"/>
  <c r="C5531" i="1"/>
  <c r="D5531" i="1"/>
  <c r="E5531" i="1"/>
  <c r="C5532" i="1"/>
  <c r="D5532" i="1"/>
  <c r="E5532" i="1"/>
  <c r="C5533" i="1"/>
  <c r="D5533" i="1"/>
  <c r="E5533" i="1"/>
  <c r="C5534" i="1"/>
  <c r="D5534" i="1"/>
  <c r="E5534" i="1"/>
  <c r="C5535" i="1"/>
  <c r="D5535" i="1"/>
  <c r="E5535" i="1"/>
  <c r="C5536" i="1"/>
  <c r="D5536" i="1"/>
  <c r="E5536" i="1"/>
  <c r="C5537" i="1"/>
  <c r="D5537" i="1"/>
  <c r="E5537" i="1"/>
  <c r="C5538" i="1"/>
  <c r="D5538" i="1"/>
  <c r="E5538" i="1"/>
  <c r="C5539" i="1"/>
  <c r="D5539" i="1"/>
  <c r="E5539" i="1"/>
  <c r="C5540" i="1"/>
  <c r="D5540" i="1"/>
  <c r="E5540" i="1"/>
  <c r="C5541" i="1"/>
  <c r="D5541" i="1"/>
  <c r="E5541" i="1"/>
  <c r="C5542" i="1"/>
  <c r="D5542" i="1"/>
  <c r="E5542" i="1"/>
  <c r="C5543" i="1"/>
  <c r="D5543" i="1"/>
  <c r="E5543" i="1"/>
  <c r="C5544" i="1"/>
  <c r="D5544" i="1"/>
  <c r="E5544" i="1"/>
  <c r="C5545" i="1"/>
  <c r="D5545" i="1"/>
  <c r="E5545" i="1"/>
  <c r="C5546" i="1"/>
  <c r="D5546" i="1"/>
  <c r="E5546" i="1"/>
  <c r="C5547" i="1"/>
  <c r="D5547" i="1"/>
  <c r="E5547" i="1"/>
  <c r="C5548" i="1"/>
  <c r="D5548" i="1"/>
  <c r="E5548" i="1"/>
  <c r="C5549" i="1"/>
  <c r="D5549" i="1"/>
  <c r="E5549" i="1"/>
  <c r="C5550" i="1"/>
  <c r="D5550" i="1"/>
  <c r="E5550" i="1"/>
  <c r="C5551" i="1"/>
  <c r="D5551" i="1"/>
  <c r="E5551" i="1"/>
  <c r="C5552" i="1"/>
  <c r="D5552" i="1"/>
  <c r="E5552" i="1"/>
  <c r="C5553" i="1"/>
  <c r="D5553" i="1"/>
  <c r="E5553" i="1"/>
  <c r="C5554" i="1"/>
  <c r="D5554" i="1"/>
  <c r="E5554" i="1"/>
  <c r="C5555" i="1"/>
  <c r="D5555" i="1"/>
  <c r="E5555" i="1"/>
  <c r="C5556" i="1"/>
  <c r="D5556" i="1"/>
  <c r="E5556" i="1"/>
  <c r="C5557" i="1"/>
  <c r="D5557" i="1"/>
  <c r="E5557" i="1"/>
  <c r="C5558" i="1"/>
  <c r="D5558" i="1"/>
  <c r="E5558" i="1"/>
  <c r="C5559" i="1"/>
  <c r="D5559" i="1"/>
  <c r="E5559" i="1"/>
  <c r="C5560" i="1"/>
  <c r="D5560" i="1"/>
  <c r="E5560" i="1"/>
  <c r="C5561" i="1"/>
  <c r="D5561" i="1"/>
  <c r="E5561" i="1"/>
  <c r="C5562" i="1"/>
  <c r="D5562" i="1"/>
  <c r="E5562" i="1"/>
  <c r="C5563" i="1"/>
  <c r="D5563" i="1"/>
  <c r="E5563" i="1"/>
  <c r="C5564" i="1"/>
  <c r="D5564" i="1"/>
  <c r="E5564" i="1"/>
  <c r="C5565" i="1"/>
  <c r="D5565" i="1"/>
  <c r="E5565" i="1"/>
  <c r="C5566" i="1"/>
  <c r="D5566" i="1"/>
  <c r="E5566" i="1"/>
  <c r="C5567" i="1"/>
  <c r="D5567" i="1"/>
  <c r="E5567" i="1"/>
  <c r="C5568" i="1"/>
  <c r="D5568" i="1"/>
  <c r="E5568" i="1"/>
  <c r="C5569" i="1"/>
  <c r="D5569" i="1"/>
  <c r="E5569" i="1"/>
  <c r="C5570" i="1"/>
  <c r="D5570" i="1"/>
  <c r="E5570" i="1"/>
  <c r="C5571" i="1"/>
  <c r="D5571" i="1"/>
  <c r="E5571" i="1"/>
  <c r="C5572" i="1"/>
  <c r="D5572" i="1"/>
  <c r="E5572" i="1"/>
  <c r="C5573" i="1"/>
  <c r="D5573" i="1"/>
  <c r="E5573" i="1"/>
  <c r="C5574" i="1"/>
  <c r="D5574" i="1"/>
  <c r="E5574" i="1"/>
  <c r="C5575" i="1"/>
  <c r="D5575" i="1"/>
  <c r="E5575" i="1"/>
  <c r="C5576" i="1"/>
  <c r="D5576" i="1"/>
  <c r="E5576" i="1"/>
  <c r="C5577" i="1"/>
  <c r="D5577" i="1"/>
  <c r="E5577" i="1"/>
  <c r="C5578" i="1"/>
  <c r="D5578" i="1"/>
  <c r="E5578" i="1"/>
  <c r="C5579" i="1"/>
  <c r="D5579" i="1"/>
  <c r="E5579" i="1"/>
  <c r="C5580" i="1"/>
  <c r="D5580" i="1"/>
  <c r="E5580" i="1"/>
  <c r="C5581" i="1"/>
  <c r="D5581" i="1"/>
  <c r="E5581" i="1"/>
  <c r="C5582" i="1"/>
  <c r="D5582" i="1"/>
  <c r="E5582" i="1"/>
  <c r="C5583" i="1"/>
  <c r="D5583" i="1"/>
  <c r="E5583" i="1"/>
  <c r="C5584" i="1"/>
  <c r="D5584" i="1"/>
  <c r="E5584" i="1"/>
  <c r="C5585" i="1"/>
  <c r="D5585" i="1"/>
  <c r="E5585" i="1"/>
  <c r="C5586" i="1"/>
  <c r="D5586" i="1"/>
  <c r="E5586" i="1"/>
  <c r="C5587" i="1"/>
  <c r="D5587" i="1"/>
  <c r="E5587" i="1"/>
  <c r="C5588" i="1"/>
  <c r="D5588" i="1"/>
  <c r="E5588" i="1"/>
  <c r="C5589" i="1"/>
  <c r="D5589" i="1"/>
  <c r="E5589" i="1"/>
  <c r="C5590" i="1"/>
  <c r="D5590" i="1"/>
  <c r="E5590" i="1"/>
  <c r="C5591" i="1"/>
  <c r="D5591" i="1"/>
  <c r="E5591" i="1"/>
  <c r="C5592" i="1"/>
  <c r="D5592" i="1"/>
  <c r="E5592" i="1"/>
  <c r="C5593" i="1"/>
  <c r="D5593" i="1"/>
  <c r="E5593" i="1"/>
  <c r="C5594" i="1"/>
  <c r="D5594" i="1"/>
  <c r="E5594" i="1"/>
  <c r="C5595" i="1"/>
  <c r="D5595" i="1"/>
  <c r="E5595" i="1"/>
  <c r="C5596" i="1"/>
  <c r="D5596" i="1"/>
  <c r="E5596" i="1"/>
  <c r="C5597" i="1"/>
  <c r="D5597" i="1"/>
  <c r="E5597" i="1"/>
  <c r="C5598" i="1"/>
  <c r="D5598" i="1"/>
  <c r="E5598" i="1"/>
  <c r="C5599" i="1"/>
  <c r="D5599" i="1"/>
  <c r="E5599" i="1"/>
  <c r="C5600" i="1"/>
  <c r="D5600" i="1"/>
  <c r="E5600" i="1"/>
  <c r="C5601" i="1"/>
  <c r="D5601" i="1"/>
  <c r="E5601" i="1"/>
  <c r="C5602" i="1"/>
  <c r="D5602" i="1"/>
  <c r="E5602" i="1"/>
  <c r="C5603" i="1"/>
  <c r="D5603" i="1"/>
  <c r="E5603" i="1"/>
  <c r="C5604" i="1"/>
  <c r="D5604" i="1"/>
  <c r="E5604" i="1"/>
  <c r="C5605" i="1"/>
  <c r="D5605" i="1"/>
  <c r="E5605" i="1"/>
  <c r="C5606" i="1"/>
  <c r="D5606" i="1"/>
  <c r="E5606" i="1"/>
  <c r="C5607" i="1"/>
  <c r="D5607" i="1"/>
  <c r="E5607" i="1"/>
  <c r="C5608" i="1"/>
  <c r="D5608" i="1"/>
  <c r="E5608" i="1"/>
  <c r="C5609" i="1"/>
  <c r="D5609" i="1"/>
  <c r="E5609" i="1"/>
  <c r="C5610" i="1"/>
  <c r="D5610" i="1"/>
  <c r="E5610" i="1"/>
  <c r="C5611" i="1"/>
  <c r="D5611" i="1"/>
  <c r="E5611" i="1"/>
  <c r="C5612" i="1"/>
  <c r="D5612" i="1"/>
  <c r="E5612" i="1"/>
  <c r="C5613" i="1"/>
  <c r="D5613" i="1"/>
  <c r="E5613" i="1"/>
  <c r="C5614" i="1"/>
  <c r="D5614" i="1"/>
  <c r="E5614" i="1"/>
  <c r="C5615" i="1"/>
  <c r="D5615" i="1"/>
  <c r="E5615" i="1"/>
  <c r="C5616" i="1"/>
  <c r="D5616" i="1"/>
  <c r="E5616" i="1"/>
  <c r="C5617" i="1"/>
  <c r="D5617" i="1"/>
  <c r="E5617" i="1"/>
  <c r="C5618" i="1"/>
  <c r="D5618" i="1"/>
  <c r="E5618" i="1"/>
  <c r="C5619" i="1"/>
  <c r="D5619" i="1"/>
  <c r="E5619" i="1"/>
  <c r="C5620" i="1"/>
  <c r="D5620" i="1"/>
  <c r="E5620" i="1"/>
  <c r="C5621" i="1"/>
  <c r="D5621" i="1"/>
  <c r="E5621" i="1"/>
  <c r="C5622" i="1"/>
  <c r="D5622" i="1"/>
  <c r="E5622" i="1"/>
  <c r="C5623" i="1"/>
  <c r="D5623" i="1"/>
  <c r="E5623" i="1"/>
  <c r="C5624" i="1"/>
  <c r="D5624" i="1"/>
  <c r="E5624" i="1"/>
  <c r="C5625" i="1"/>
  <c r="D5625" i="1"/>
  <c r="E5625" i="1"/>
  <c r="C5626" i="1"/>
  <c r="D5626" i="1"/>
  <c r="E5626" i="1"/>
  <c r="C5627" i="1"/>
  <c r="D5627" i="1"/>
  <c r="E5627" i="1"/>
  <c r="C5628" i="1"/>
  <c r="D5628" i="1"/>
  <c r="E5628" i="1"/>
  <c r="C5629" i="1"/>
  <c r="D5629" i="1"/>
  <c r="E5629" i="1"/>
  <c r="C5630" i="1"/>
  <c r="D5630" i="1"/>
  <c r="E5630" i="1"/>
  <c r="C5631" i="1"/>
  <c r="D5631" i="1"/>
  <c r="E5631" i="1"/>
  <c r="C5632" i="1"/>
  <c r="D5632" i="1"/>
  <c r="E5632" i="1"/>
  <c r="C5633" i="1"/>
  <c r="D5633" i="1"/>
  <c r="E5633" i="1"/>
  <c r="C5634" i="1"/>
  <c r="D5634" i="1"/>
  <c r="E5634" i="1"/>
  <c r="C5635" i="1"/>
  <c r="D5635" i="1"/>
  <c r="E5635" i="1"/>
  <c r="C5636" i="1"/>
  <c r="D5636" i="1"/>
  <c r="E5636" i="1"/>
  <c r="C5637" i="1"/>
  <c r="D5637" i="1"/>
  <c r="E5637" i="1"/>
  <c r="C5638" i="1"/>
  <c r="D5638" i="1"/>
  <c r="E5638" i="1"/>
  <c r="C5639" i="1"/>
  <c r="D5639" i="1"/>
  <c r="E5639" i="1"/>
  <c r="C5640" i="1"/>
  <c r="D5640" i="1"/>
  <c r="E5640" i="1"/>
  <c r="C5641" i="1"/>
  <c r="D5641" i="1"/>
  <c r="E5641" i="1"/>
  <c r="C5642" i="1"/>
  <c r="D5642" i="1"/>
  <c r="E5642" i="1"/>
  <c r="C5643" i="1"/>
  <c r="D5643" i="1"/>
  <c r="E5643" i="1"/>
  <c r="C5644" i="1"/>
  <c r="D5644" i="1"/>
  <c r="E5644" i="1"/>
  <c r="C5645" i="1"/>
  <c r="D5645" i="1"/>
  <c r="E5645" i="1"/>
  <c r="C5646" i="1"/>
  <c r="D5646" i="1"/>
  <c r="E5646" i="1"/>
  <c r="C5647" i="1"/>
  <c r="D5647" i="1"/>
  <c r="E5647" i="1"/>
  <c r="C5648" i="1"/>
  <c r="D5648" i="1"/>
  <c r="E5648" i="1"/>
  <c r="C5649" i="1"/>
  <c r="D5649" i="1"/>
  <c r="E5649" i="1"/>
  <c r="C5650" i="1"/>
  <c r="D5650" i="1"/>
  <c r="E5650" i="1"/>
  <c r="C5651" i="1"/>
  <c r="D5651" i="1"/>
  <c r="E5651" i="1"/>
  <c r="C5652" i="1"/>
  <c r="D5652" i="1"/>
  <c r="E5652" i="1"/>
  <c r="C5653" i="1"/>
  <c r="D5653" i="1"/>
  <c r="E5653" i="1"/>
  <c r="C5654" i="1"/>
  <c r="D5654" i="1"/>
  <c r="E5654" i="1"/>
  <c r="C5655" i="1"/>
  <c r="D5655" i="1"/>
  <c r="E5655" i="1"/>
  <c r="C5656" i="1"/>
  <c r="D5656" i="1"/>
  <c r="E5656" i="1"/>
  <c r="C5657" i="1"/>
  <c r="D5657" i="1"/>
  <c r="E5657" i="1"/>
  <c r="C5658" i="1"/>
  <c r="D5658" i="1"/>
  <c r="E5658" i="1"/>
  <c r="C5659" i="1"/>
  <c r="D5659" i="1"/>
  <c r="E5659" i="1"/>
  <c r="C5660" i="1"/>
  <c r="D5660" i="1"/>
  <c r="E5660" i="1"/>
  <c r="C5661" i="1"/>
  <c r="D5661" i="1"/>
  <c r="E5661" i="1"/>
  <c r="C5662" i="1"/>
  <c r="D5662" i="1"/>
  <c r="E5662" i="1"/>
  <c r="C5663" i="1"/>
  <c r="D5663" i="1"/>
  <c r="E5663" i="1"/>
  <c r="C5664" i="1"/>
  <c r="D5664" i="1"/>
  <c r="E5664" i="1"/>
  <c r="C5665" i="1"/>
  <c r="D5665" i="1"/>
  <c r="E5665" i="1"/>
  <c r="C5666" i="1"/>
  <c r="D5666" i="1"/>
  <c r="E5666" i="1"/>
  <c r="C5667" i="1"/>
  <c r="D5667" i="1"/>
  <c r="E5667" i="1"/>
  <c r="C5668" i="1"/>
  <c r="D5668" i="1"/>
  <c r="E5668" i="1"/>
  <c r="C5669" i="1"/>
  <c r="D5669" i="1"/>
  <c r="E5669" i="1"/>
  <c r="C5670" i="1"/>
  <c r="D5670" i="1"/>
  <c r="E5670" i="1"/>
  <c r="C5671" i="1"/>
  <c r="D5671" i="1"/>
  <c r="E5671" i="1"/>
  <c r="C5672" i="1"/>
  <c r="D5672" i="1"/>
  <c r="E5672" i="1"/>
  <c r="C5673" i="1"/>
  <c r="D5673" i="1"/>
  <c r="E5673" i="1"/>
  <c r="C5674" i="1"/>
  <c r="D5674" i="1"/>
  <c r="E5674" i="1"/>
  <c r="C5675" i="1"/>
  <c r="D5675" i="1"/>
  <c r="E5675" i="1"/>
  <c r="C5676" i="1"/>
  <c r="D5676" i="1"/>
  <c r="E5676" i="1"/>
  <c r="C5677" i="1"/>
  <c r="D5677" i="1"/>
  <c r="E5677" i="1"/>
  <c r="C5678" i="1"/>
  <c r="D5678" i="1"/>
  <c r="E5678" i="1"/>
  <c r="C5679" i="1"/>
  <c r="D5679" i="1"/>
  <c r="E5679" i="1"/>
  <c r="C5680" i="1"/>
  <c r="D5680" i="1"/>
  <c r="E5680" i="1"/>
  <c r="C5681" i="1"/>
  <c r="D5681" i="1"/>
  <c r="E5681" i="1"/>
  <c r="C5682" i="1"/>
  <c r="D5682" i="1"/>
  <c r="E5682" i="1"/>
  <c r="C5683" i="1"/>
  <c r="D5683" i="1"/>
  <c r="E5683" i="1"/>
  <c r="C5684" i="1"/>
  <c r="D5684" i="1"/>
  <c r="E5684" i="1"/>
  <c r="C5685" i="1"/>
  <c r="D5685" i="1"/>
  <c r="E5685" i="1"/>
  <c r="C5686" i="1"/>
  <c r="D5686" i="1"/>
  <c r="E5686" i="1"/>
  <c r="C5687" i="1"/>
  <c r="D5687" i="1"/>
  <c r="E5687" i="1"/>
  <c r="C5688" i="1"/>
  <c r="D5688" i="1"/>
  <c r="E5688" i="1"/>
  <c r="C5689" i="1"/>
  <c r="D5689" i="1"/>
  <c r="E5689" i="1"/>
  <c r="C5690" i="1"/>
  <c r="D5690" i="1"/>
  <c r="E5690" i="1"/>
  <c r="C5691" i="1"/>
  <c r="D5691" i="1"/>
  <c r="E5691" i="1"/>
  <c r="C5692" i="1"/>
  <c r="D5692" i="1"/>
  <c r="E5692" i="1"/>
  <c r="C5693" i="1"/>
  <c r="D5693" i="1"/>
  <c r="E5693" i="1"/>
  <c r="C5694" i="1"/>
  <c r="D5694" i="1"/>
  <c r="E5694" i="1"/>
  <c r="C5695" i="1"/>
  <c r="D5695" i="1"/>
  <c r="E5695" i="1"/>
  <c r="C5696" i="1"/>
  <c r="D5696" i="1"/>
  <c r="E5696" i="1"/>
  <c r="C5697" i="1"/>
  <c r="D5697" i="1"/>
  <c r="E5697" i="1"/>
  <c r="C5698" i="1"/>
  <c r="D5698" i="1"/>
  <c r="E5698" i="1"/>
  <c r="C5699" i="1"/>
  <c r="D5699" i="1"/>
  <c r="E5699" i="1"/>
  <c r="C5700" i="1"/>
  <c r="D5700" i="1"/>
  <c r="E5700" i="1"/>
  <c r="C5701" i="1"/>
  <c r="D5701" i="1"/>
  <c r="E5701" i="1"/>
  <c r="C5702" i="1"/>
  <c r="D5702" i="1"/>
  <c r="E5702" i="1"/>
  <c r="C5703" i="1"/>
  <c r="D5703" i="1"/>
  <c r="E5703" i="1"/>
  <c r="C5704" i="1"/>
  <c r="D5704" i="1"/>
  <c r="E5704" i="1"/>
  <c r="C5705" i="1"/>
  <c r="D5705" i="1"/>
  <c r="E5705" i="1"/>
  <c r="C5706" i="1"/>
  <c r="D5706" i="1"/>
  <c r="E5706" i="1"/>
  <c r="C5707" i="1"/>
  <c r="D5707" i="1"/>
  <c r="E5707" i="1"/>
  <c r="C5708" i="1"/>
  <c r="D5708" i="1"/>
  <c r="E5708" i="1"/>
  <c r="C5709" i="1"/>
  <c r="D5709" i="1"/>
  <c r="E5709" i="1"/>
  <c r="C5710" i="1"/>
  <c r="D5710" i="1"/>
  <c r="E5710" i="1"/>
  <c r="C5711" i="1"/>
  <c r="D5711" i="1"/>
  <c r="E5711" i="1"/>
  <c r="C5712" i="1"/>
  <c r="D5712" i="1"/>
  <c r="E5712" i="1"/>
  <c r="C5713" i="1"/>
  <c r="D5713" i="1"/>
  <c r="E5713" i="1"/>
  <c r="C5714" i="1"/>
  <c r="D5714" i="1"/>
  <c r="E5714" i="1"/>
  <c r="C5715" i="1"/>
  <c r="D5715" i="1"/>
  <c r="E5715" i="1"/>
  <c r="C5716" i="1"/>
  <c r="D5716" i="1"/>
  <c r="E5716" i="1"/>
  <c r="C5717" i="1"/>
  <c r="D5717" i="1"/>
  <c r="E5717" i="1"/>
  <c r="C5718" i="1"/>
  <c r="D5718" i="1"/>
  <c r="E5718" i="1"/>
  <c r="C5719" i="1"/>
  <c r="D5719" i="1"/>
  <c r="E5719" i="1"/>
  <c r="C5720" i="1"/>
  <c r="D5720" i="1"/>
  <c r="E5720" i="1"/>
  <c r="C5721" i="1"/>
  <c r="D5721" i="1"/>
  <c r="E5721" i="1"/>
  <c r="C5722" i="1"/>
  <c r="D5722" i="1"/>
  <c r="E5722" i="1"/>
  <c r="C5723" i="1"/>
  <c r="D5723" i="1"/>
  <c r="E5723" i="1"/>
  <c r="C5724" i="1"/>
  <c r="D5724" i="1"/>
  <c r="E5724" i="1"/>
  <c r="C5725" i="1"/>
  <c r="D5725" i="1"/>
  <c r="E5725" i="1"/>
  <c r="C5726" i="1"/>
  <c r="D5726" i="1"/>
  <c r="E5726" i="1"/>
  <c r="C5727" i="1"/>
  <c r="D5727" i="1"/>
  <c r="E5727" i="1"/>
  <c r="C5728" i="1"/>
  <c r="D5728" i="1"/>
  <c r="E5728" i="1"/>
  <c r="C5729" i="1"/>
  <c r="D5729" i="1"/>
  <c r="E5729" i="1"/>
  <c r="C5730" i="1"/>
  <c r="D5730" i="1"/>
  <c r="E5730" i="1"/>
  <c r="C5731" i="1"/>
  <c r="D5731" i="1"/>
  <c r="E5731" i="1"/>
  <c r="C5732" i="1"/>
  <c r="D5732" i="1"/>
  <c r="E5732" i="1"/>
  <c r="C5733" i="1"/>
  <c r="D5733" i="1"/>
  <c r="E5733" i="1"/>
  <c r="C5734" i="1"/>
  <c r="D5734" i="1"/>
  <c r="E5734" i="1"/>
  <c r="C5735" i="1"/>
  <c r="D5735" i="1"/>
  <c r="E5735" i="1"/>
  <c r="C5736" i="1"/>
  <c r="D5736" i="1"/>
  <c r="E5736" i="1"/>
  <c r="C5737" i="1"/>
  <c r="D5737" i="1"/>
  <c r="E5737" i="1"/>
  <c r="C5738" i="1"/>
  <c r="D5738" i="1"/>
  <c r="E5738" i="1"/>
  <c r="C5739" i="1"/>
  <c r="D5739" i="1"/>
  <c r="E5739" i="1"/>
  <c r="C5740" i="1"/>
  <c r="D5740" i="1"/>
  <c r="E5740" i="1"/>
  <c r="C5741" i="1"/>
  <c r="D5741" i="1"/>
  <c r="E5741" i="1"/>
  <c r="C5742" i="1"/>
  <c r="D5742" i="1"/>
  <c r="E5742" i="1"/>
  <c r="C5743" i="1"/>
  <c r="D5743" i="1"/>
  <c r="E5743" i="1"/>
  <c r="C5744" i="1"/>
  <c r="D5744" i="1"/>
  <c r="E5744" i="1"/>
  <c r="C5745" i="1"/>
  <c r="D5745" i="1"/>
  <c r="E5745" i="1"/>
  <c r="C5746" i="1"/>
  <c r="D5746" i="1"/>
  <c r="E5746" i="1"/>
  <c r="C5747" i="1"/>
  <c r="D5747" i="1"/>
  <c r="E5747" i="1"/>
  <c r="C5748" i="1"/>
  <c r="D5748" i="1"/>
  <c r="E5748" i="1"/>
  <c r="C5749" i="1"/>
  <c r="D5749" i="1"/>
  <c r="E5749" i="1"/>
  <c r="C5750" i="1"/>
  <c r="D5750" i="1"/>
  <c r="E5750" i="1"/>
  <c r="C5751" i="1"/>
  <c r="D5751" i="1"/>
  <c r="E5751" i="1"/>
  <c r="C5752" i="1"/>
  <c r="D5752" i="1"/>
  <c r="E5752" i="1"/>
  <c r="C5753" i="1"/>
  <c r="D5753" i="1"/>
  <c r="E5753" i="1"/>
  <c r="C5754" i="1"/>
  <c r="D5754" i="1"/>
  <c r="E5754" i="1"/>
  <c r="C5755" i="1"/>
  <c r="D5755" i="1"/>
  <c r="E5755" i="1"/>
  <c r="C5756" i="1"/>
  <c r="D5756" i="1"/>
  <c r="E5756" i="1"/>
  <c r="C5757" i="1"/>
  <c r="D5757" i="1"/>
  <c r="E5757" i="1"/>
  <c r="C5758" i="1"/>
  <c r="D5758" i="1"/>
  <c r="E5758" i="1"/>
  <c r="C5759" i="1"/>
  <c r="D5759" i="1"/>
  <c r="E5759" i="1"/>
  <c r="C5760" i="1"/>
  <c r="D5760" i="1"/>
  <c r="E5760" i="1"/>
  <c r="C5761" i="1"/>
  <c r="D5761" i="1"/>
  <c r="E5761" i="1"/>
  <c r="C5762" i="1"/>
  <c r="D5762" i="1"/>
  <c r="E5762" i="1"/>
  <c r="C5763" i="1"/>
  <c r="D5763" i="1"/>
  <c r="E5763" i="1"/>
  <c r="C5764" i="1"/>
  <c r="D5764" i="1"/>
  <c r="E5764" i="1"/>
  <c r="C5765" i="1"/>
  <c r="D5765" i="1"/>
  <c r="E5765" i="1"/>
  <c r="C5766" i="1"/>
  <c r="D5766" i="1"/>
  <c r="E5766" i="1"/>
  <c r="C5767" i="1"/>
  <c r="D5767" i="1"/>
  <c r="E5767" i="1"/>
  <c r="C5768" i="1"/>
  <c r="D5768" i="1"/>
  <c r="E5768" i="1"/>
  <c r="C5769" i="1"/>
  <c r="D5769" i="1"/>
  <c r="E5769" i="1"/>
  <c r="C5770" i="1"/>
  <c r="D5770" i="1"/>
  <c r="E5770" i="1"/>
  <c r="C5771" i="1"/>
  <c r="D5771" i="1"/>
  <c r="E5771" i="1"/>
  <c r="C5772" i="1"/>
  <c r="D5772" i="1"/>
  <c r="E5772" i="1"/>
  <c r="C5773" i="1"/>
  <c r="D5773" i="1"/>
  <c r="E5773" i="1"/>
  <c r="C5774" i="1"/>
  <c r="D5774" i="1"/>
  <c r="E5774" i="1"/>
  <c r="C5775" i="1"/>
  <c r="D5775" i="1"/>
  <c r="E5775" i="1"/>
  <c r="C5776" i="1"/>
  <c r="D5776" i="1"/>
  <c r="E5776" i="1"/>
  <c r="C5777" i="1"/>
  <c r="D5777" i="1"/>
  <c r="E5777" i="1"/>
  <c r="C5778" i="1"/>
  <c r="D5778" i="1"/>
  <c r="E5778" i="1"/>
  <c r="C5779" i="1"/>
  <c r="D5779" i="1"/>
  <c r="E5779" i="1"/>
  <c r="C5780" i="1"/>
  <c r="D5780" i="1"/>
  <c r="E5780" i="1"/>
  <c r="C5781" i="1"/>
  <c r="D5781" i="1"/>
  <c r="E5781" i="1"/>
  <c r="C5782" i="1"/>
  <c r="D5782" i="1"/>
  <c r="E5782" i="1"/>
  <c r="C5783" i="1"/>
  <c r="D5783" i="1"/>
  <c r="E5783" i="1"/>
  <c r="C5784" i="1"/>
  <c r="D5784" i="1"/>
  <c r="E5784" i="1"/>
  <c r="C5785" i="1"/>
  <c r="D5785" i="1"/>
  <c r="E5785" i="1"/>
  <c r="C5786" i="1"/>
  <c r="D5786" i="1"/>
  <c r="E5786" i="1"/>
  <c r="C5787" i="1"/>
  <c r="D5787" i="1"/>
  <c r="E5787" i="1"/>
  <c r="C5788" i="1"/>
  <c r="D5788" i="1"/>
  <c r="E5788" i="1"/>
  <c r="C5789" i="1"/>
  <c r="D5789" i="1"/>
  <c r="E5789" i="1"/>
  <c r="C5790" i="1"/>
  <c r="D5790" i="1"/>
  <c r="E5790" i="1"/>
  <c r="C5791" i="1"/>
  <c r="D5791" i="1"/>
  <c r="E5791" i="1"/>
  <c r="C5792" i="1"/>
  <c r="D5792" i="1"/>
  <c r="E5792" i="1"/>
  <c r="C5793" i="1"/>
  <c r="D5793" i="1"/>
  <c r="E5793" i="1"/>
  <c r="C5794" i="1"/>
  <c r="D5794" i="1"/>
  <c r="E5794" i="1"/>
  <c r="C5795" i="1"/>
  <c r="D5795" i="1"/>
  <c r="E5795" i="1"/>
  <c r="C5796" i="1"/>
  <c r="D5796" i="1"/>
  <c r="E5796" i="1"/>
  <c r="C5797" i="1"/>
  <c r="D5797" i="1"/>
  <c r="E5797" i="1"/>
  <c r="C5798" i="1"/>
  <c r="D5798" i="1"/>
  <c r="E5798" i="1"/>
  <c r="C5799" i="1"/>
  <c r="D5799" i="1"/>
  <c r="E5799" i="1"/>
  <c r="C5800" i="1"/>
  <c r="D5800" i="1"/>
  <c r="E5800" i="1"/>
  <c r="C5801" i="1"/>
  <c r="D5801" i="1"/>
  <c r="E5801" i="1"/>
  <c r="C5802" i="1"/>
  <c r="D5802" i="1"/>
  <c r="E5802" i="1"/>
  <c r="C5803" i="1"/>
  <c r="D5803" i="1"/>
  <c r="E5803" i="1"/>
  <c r="C5804" i="1"/>
  <c r="D5804" i="1"/>
  <c r="E5804" i="1"/>
  <c r="C5805" i="1"/>
  <c r="D5805" i="1"/>
  <c r="E5805" i="1"/>
  <c r="C5806" i="1"/>
  <c r="D5806" i="1"/>
  <c r="E5806" i="1"/>
  <c r="C5807" i="1"/>
  <c r="D5807" i="1"/>
  <c r="E5807" i="1"/>
  <c r="C5808" i="1"/>
  <c r="D5808" i="1"/>
  <c r="E5808" i="1"/>
  <c r="C5809" i="1"/>
  <c r="D5809" i="1"/>
  <c r="E5809" i="1"/>
  <c r="C5810" i="1"/>
  <c r="D5810" i="1"/>
  <c r="E5810" i="1"/>
  <c r="C5811" i="1"/>
  <c r="D5811" i="1"/>
  <c r="E5811" i="1"/>
  <c r="C5812" i="1"/>
  <c r="D5812" i="1"/>
  <c r="E5812" i="1"/>
  <c r="C5813" i="1"/>
  <c r="D5813" i="1"/>
  <c r="E5813" i="1"/>
  <c r="C5814" i="1"/>
  <c r="D5814" i="1"/>
  <c r="E5814" i="1"/>
  <c r="C5815" i="1"/>
  <c r="D5815" i="1"/>
  <c r="E5815" i="1"/>
  <c r="C5816" i="1"/>
  <c r="D5816" i="1"/>
  <c r="E5816" i="1"/>
  <c r="C5817" i="1"/>
  <c r="D5817" i="1"/>
  <c r="E5817" i="1"/>
  <c r="C5818" i="1"/>
  <c r="D5818" i="1"/>
  <c r="E5818" i="1"/>
  <c r="C5819" i="1"/>
  <c r="D5819" i="1"/>
  <c r="E5819" i="1"/>
  <c r="C5820" i="1"/>
  <c r="D5820" i="1"/>
  <c r="E5820" i="1"/>
  <c r="C5821" i="1"/>
  <c r="D5821" i="1"/>
  <c r="E5821" i="1"/>
  <c r="C5822" i="1"/>
  <c r="D5822" i="1"/>
  <c r="E5822" i="1"/>
  <c r="C5823" i="1"/>
  <c r="D5823" i="1"/>
  <c r="E5823" i="1"/>
  <c r="C5824" i="1"/>
  <c r="D5824" i="1"/>
  <c r="E5824" i="1"/>
  <c r="C5825" i="1"/>
  <c r="D5825" i="1"/>
  <c r="E5825" i="1"/>
  <c r="C5826" i="1"/>
  <c r="D5826" i="1"/>
  <c r="E5826" i="1"/>
  <c r="C5827" i="1"/>
  <c r="D5827" i="1"/>
  <c r="E5827" i="1"/>
  <c r="C5828" i="1"/>
  <c r="D5828" i="1"/>
  <c r="E5828" i="1"/>
  <c r="C5829" i="1"/>
  <c r="D5829" i="1"/>
  <c r="E5829" i="1"/>
  <c r="C5830" i="1"/>
  <c r="D5830" i="1"/>
  <c r="E5830" i="1"/>
  <c r="C5831" i="1"/>
  <c r="D5831" i="1"/>
  <c r="E5831" i="1"/>
  <c r="C5832" i="1"/>
  <c r="D5832" i="1"/>
  <c r="E5832" i="1"/>
  <c r="C5833" i="1"/>
  <c r="D5833" i="1"/>
  <c r="E5833" i="1"/>
  <c r="C5834" i="1"/>
  <c r="D5834" i="1"/>
  <c r="E5834" i="1"/>
  <c r="C5835" i="1"/>
  <c r="D5835" i="1"/>
  <c r="E5835" i="1"/>
  <c r="C5836" i="1"/>
  <c r="D5836" i="1"/>
  <c r="E5836" i="1"/>
  <c r="C5837" i="1"/>
  <c r="D5837" i="1"/>
  <c r="E5837" i="1"/>
  <c r="C5838" i="1"/>
  <c r="D5838" i="1"/>
  <c r="E5838" i="1"/>
  <c r="C5839" i="1"/>
  <c r="D5839" i="1"/>
  <c r="E5839" i="1"/>
  <c r="C5840" i="1"/>
  <c r="D5840" i="1"/>
  <c r="E5840" i="1"/>
  <c r="C5841" i="1"/>
  <c r="D5841" i="1"/>
  <c r="E5841" i="1"/>
  <c r="C5842" i="1"/>
  <c r="D5842" i="1"/>
  <c r="E5842" i="1"/>
  <c r="C5843" i="1"/>
  <c r="D5843" i="1"/>
  <c r="E5843" i="1"/>
  <c r="C5844" i="1"/>
  <c r="D5844" i="1"/>
  <c r="E5844" i="1"/>
  <c r="C5845" i="1"/>
  <c r="D5845" i="1"/>
  <c r="E5845" i="1"/>
  <c r="C5846" i="1"/>
  <c r="D5846" i="1"/>
  <c r="E5846" i="1"/>
  <c r="C5847" i="1"/>
  <c r="D5847" i="1"/>
  <c r="E5847" i="1"/>
  <c r="C5848" i="1"/>
  <c r="D5848" i="1"/>
  <c r="E5848" i="1"/>
  <c r="C5849" i="1"/>
  <c r="D5849" i="1"/>
  <c r="E5849" i="1"/>
  <c r="C5850" i="1"/>
  <c r="D5850" i="1"/>
  <c r="E5850" i="1"/>
  <c r="C5851" i="1"/>
  <c r="D5851" i="1"/>
  <c r="E5851" i="1"/>
  <c r="C5852" i="1"/>
  <c r="D5852" i="1"/>
  <c r="E5852" i="1"/>
  <c r="C5853" i="1"/>
  <c r="D5853" i="1"/>
  <c r="E5853" i="1"/>
  <c r="C5854" i="1"/>
  <c r="D5854" i="1"/>
  <c r="E5854" i="1"/>
  <c r="C5855" i="1"/>
  <c r="D5855" i="1"/>
  <c r="E5855" i="1"/>
  <c r="C5856" i="1"/>
  <c r="D5856" i="1"/>
  <c r="E5856" i="1"/>
  <c r="C5857" i="1"/>
  <c r="D5857" i="1"/>
  <c r="E5857" i="1"/>
  <c r="C5858" i="1"/>
  <c r="D5858" i="1"/>
  <c r="E5858" i="1"/>
  <c r="C5859" i="1"/>
  <c r="D5859" i="1"/>
  <c r="E5859" i="1"/>
  <c r="C5860" i="1"/>
  <c r="D5860" i="1"/>
  <c r="E5860" i="1"/>
  <c r="C5861" i="1"/>
  <c r="D5861" i="1"/>
  <c r="E5861" i="1"/>
  <c r="C5862" i="1"/>
  <c r="D5862" i="1"/>
  <c r="E5862" i="1"/>
  <c r="C5863" i="1"/>
  <c r="D5863" i="1"/>
  <c r="E5863" i="1"/>
  <c r="C5864" i="1"/>
  <c r="D5864" i="1"/>
  <c r="E5864" i="1"/>
  <c r="C5865" i="1"/>
  <c r="D5865" i="1"/>
  <c r="E5865" i="1"/>
  <c r="C5866" i="1"/>
  <c r="D5866" i="1"/>
  <c r="E5866" i="1"/>
  <c r="C5867" i="1"/>
  <c r="D5867" i="1"/>
  <c r="E5867" i="1"/>
  <c r="C5868" i="1"/>
  <c r="D5868" i="1"/>
  <c r="E5868" i="1"/>
  <c r="C5869" i="1"/>
  <c r="D5869" i="1"/>
  <c r="E5869" i="1"/>
  <c r="C5870" i="1"/>
  <c r="D5870" i="1"/>
  <c r="E5870" i="1"/>
  <c r="C5871" i="1"/>
  <c r="D5871" i="1"/>
  <c r="E5871" i="1"/>
  <c r="C5872" i="1"/>
  <c r="D5872" i="1"/>
  <c r="E5872" i="1"/>
  <c r="C5873" i="1"/>
  <c r="D5873" i="1"/>
  <c r="E5873" i="1"/>
  <c r="C5874" i="1"/>
  <c r="D5874" i="1"/>
  <c r="E5874" i="1"/>
  <c r="C5875" i="1"/>
  <c r="D5875" i="1"/>
  <c r="E5875" i="1"/>
  <c r="C5876" i="1"/>
  <c r="D5876" i="1"/>
  <c r="E5876" i="1"/>
  <c r="C5877" i="1"/>
  <c r="D5877" i="1"/>
  <c r="E5877" i="1"/>
  <c r="C5878" i="1"/>
  <c r="D5878" i="1"/>
  <c r="E5878" i="1"/>
  <c r="C5879" i="1"/>
  <c r="D5879" i="1"/>
  <c r="E5879" i="1"/>
  <c r="C5880" i="1"/>
  <c r="D5880" i="1"/>
  <c r="E5880" i="1"/>
  <c r="C5881" i="1"/>
  <c r="D5881" i="1"/>
  <c r="E5881" i="1"/>
  <c r="C5882" i="1"/>
  <c r="D5882" i="1"/>
  <c r="E5882" i="1"/>
  <c r="C5883" i="1"/>
  <c r="D5883" i="1"/>
  <c r="E5883" i="1"/>
  <c r="C5884" i="1"/>
  <c r="D5884" i="1"/>
  <c r="E5884" i="1"/>
  <c r="C5885" i="1"/>
  <c r="D5885" i="1"/>
  <c r="E5885" i="1"/>
  <c r="C5886" i="1"/>
  <c r="D5886" i="1"/>
  <c r="E5886" i="1"/>
  <c r="C5887" i="1"/>
  <c r="D5887" i="1"/>
  <c r="E5887" i="1"/>
  <c r="C5888" i="1"/>
  <c r="D5888" i="1"/>
  <c r="E5888" i="1"/>
  <c r="C5889" i="1"/>
  <c r="D5889" i="1"/>
  <c r="E5889" i="1"/>
  <c r="C5890" i="1"/>
  <c r="D5890" i="1"/>
  <c r="E5890" i="1"/>
  <c r="C5891" i="1"/>
  <c r="D5891" i="1"/>
  <c r="E5891" i="1"/>
  <c r="C5892" i="1"/>
  <c r="D5892" i="1"/>
  <c r="E5892" i="1"/>
  <c r="C5893" i="1"/>
  <c r="D5893" i="1"/>
  <c r="E5893" i="1"/>
  <c r="C5894" i="1"/>
  <c r="D5894" i="1"/>
  <c r="E5894" i="1"/>
  <c r="C5895" i="1"/>
  <c r="D5895" i="1"/>
  <c r="E5895" i="1"/>
  <c r="C5896" i="1"/>
  <c r="D5896" i="1"/>
  <c r="E5896" i="1"/>
  <c r="C5897" i="1"/>
  <c r="D5897" i="1"/>
  <c r="E5897" i="1"/>
  <c r="C5898" i="1"/>
  <c r="D5898" i="1"/>
  <c r="E5898" i="1"/>
  <c r="C5899" i="1"/>
  <c r="D5899" i="1"/>
  <c r="E5899" i="1"/>
  <c r="C5900" i="1"/>
  <c r="D5900" i="1"/>
  <c r="E5900" i="1"/>
  <c r="C5901" i="1"/>
  <c r="D5901" i="1"/>
  <c r="E5901" i="1"/>
  <c r="C5902" i="1"/>
  <c r="D5902" i="1"/>
  <c r="E5902" i="1"/>
  <c r="C5903" i="1"/>
  <c r="D5903" i="1"/>
  <c r="E5903" i="1"/>
  <c r="C5904" i="1"/>
  <c r="D5904" i="1"/>
  <c r="E5904" i="1"/>
  <c r="C5905" i="1"/>
  <c r="D5905" i="1"/>
  <c r="E5905" i="1"/>
  <c r="C5906" i="1"/>
  <c r="D5906" i="1"/>
  <c r="E5906" i="1"/>
  <c r="C5907" i="1"/>
  <c r="D5907" i="1"/>
  <c r="E5907" i="1"/>
  <c r="C5908" i="1"/>
  <c r="D5908" i="1"/>
  <c r="E5908" i="1"/>
  <c r="C5909" i="1"/>
  <c r="D5909" i="1"/>
  <c r="E5909" i="1"/>
  <c r="C5910" i="1"/>
  <c r="D5910" i="1"/>
  <c r="E5910" i="1"/>
  <c r="C5911" i="1"/>
  <c r="D5911" i="1"/>
  <c r="E5911" i="1"/>
  <c r="C5912" i="1"/>
  <c r="D5912" i="1"/>
  <c r="E5912" i="1"/>
  <c r="C5913" i="1"/>
  <c r="D5913" i="1"/>
  <c r="E5913" i="1"/>
  <c r="C5914" i="1"/>
  <c r="D5914" i="1"/>
  <c r="E5914" i="1"/>
  <c r="C5915" i="1"/>
  <c r="D5915" i="1"/>
  <c r="E5915" i="1"/>
  <c r="C5916" i="1"/>
  <c r="D5916" i="1"/>
  <c r="E5916" i="1"/>
  <c r="C5917" i="1"/>
  <c r="D5917" i="1"/>
  <c r="E5917" i="1"/>
  <c r="C5918" i="1"/>
  <c r="D5918" i="1"/>
  <c r="E5918" i="1"/>
  <c r="C5919" i="1"/>
  <c r="D5919" i="1"/>
  <c r="E5919" i="1"/>
  <c r="C5920" i="1"/>
  <c r="D5920" i="1"/>
  <c r="E5920" i="1"/>
  <c r="C5921" i="1"/>
  <c r="D5921" i="1"/>
  <c r="E5921" i="1"/>
  <c r="C5922" i="1"/>
  <c r="D5922" i="1"/>
  <c r="E5922" i="1"/>
  <c r="C5923" i="1"/>
  <c r="D5923" i="1"/>
  <c r="E5923" i="1"/>
  <c r="C5924" i="1"/>
  <c r="D5924" i="1"/>
  <c r="E5924" i="1"/>
  <c r="C5925" i="1"/>
  <c r="D5925" i="1"/>
  <c r="E5925" i="1"/>
  <c r="C5926" i="1"/>
  <c r="D5926" i="1"/>
  <c r="E5926" i="1"/>
  <c r="C5927" i="1"/>
  <c r="D5927" i="1"/>
  <c r="E5927" i="1"/>
  <c r="C5928" i="1"/>
  <c r="D5928" i="1"/>
  <c r="E5928" i="1"/>
  <c r="C5929" i="1"/>
  <c r="D5929" i="1"/>
  <c r="E5929" i="1"/>
  <c r="C5930" i="1"/>
  <c r="D5930" i="1"/>
  <c r="E5930" i="1"/>
  <c r="C5931" i="1"/>
  <c r="D5931" i="1"/>
  <c r="E5931" i="1"/>
  <c r="C5932" i="1"/>
  <c r="D5932" i="1"/>
  <c r="E5932" i="1"/>
  <c r="C5933" i="1"/>
  <c r="D5933" i="1"/>
  <c r="E5933" i="1"/>
  <c r="C5934" i="1"/>
  <c r="D5934" i="1"/>
  <c r="E5934" i="1"/>
  <c r="C5935" i="1"/>
  <c r="D5935" i="1"/>
  <c r="E5935" i="1"/>
  <c r="C5936" i="1"/>
  <c r="D5936" i="1"/>
  <c r="E5936" i="1"/>
  <c r="C5937" i="1"/>
  <c r="D5937" i="1"/>
  <c r="E5937" i="1"/>
  <c r="C5938" i="1"/>
  <c r="D5938" i="1"/>
  <c r="E5938" i="1"/>
  <c r="C5939" i="1"/>
  <c r="D5939" i="1"/>
  <c r="E5939" i="1"/>
  <c r="C5940" i="1"/>
  <c r="D5940" i="1"/>
  <c r="E5940" i="1"/>
  <c r="C5941" i="1"/>
  <c r="D5941" i="1"/>
  <c r="E5941" i="1"/>
  <c r="C5942" i="1"/>
  <c r="D5942" i="1"/>
  <c r="E5942" i="1"/>
  <c r="C5943" i="1"/>
  <c r="D5943" i="1"/>
  <c r="E5943" i="1"/>
  <c r="C5944" i="1"/>
  <c r="D5944" i="1"/>
  <c r="E5944" i="1"/>
  <c r="C5945" i="1"/>
  <c r="D5945" i="1"/>
  <c r="E5945" i="1"/>
  <c r="C5946" i="1"/>
  <c r="D5946" i="1"/>
  <c r="E5946" i="1"/>
  <c r="C5947" i="1"/>
  <c r="D5947" i="1"/>
  <c r="E5947" i="1"/>
  <c r="C5948" i="1"/>
  <c r="D5948" i="1"/>
  <c r="E5948" i="1"/>
  <c r="C5949" i="1"/>
  <c r="D5949" i="1"/>
  <c r="E5949" i="1"/>
  <c r="C5950" i="1"/>
  <c r="D5950" i="1"/>
  <c r="E5950" i="1"/>
  <c r="C5951" i="1"/>
  <c r="D5951" i="1"/>
  <c r="E5951" i="1"/>
  <c r="C5952" i="1"/>
  <c r="D5952" i="1"/>
  <c r="E5952" i="1"/>
  <c r="C5953" i="1"/>
  <c r="D5953" i="1"/>
  <c r="E5953" i="1"/>
  <c r="C5954" i="1"/>
  <c r="D5954" i="1"/>
  <c r="E5954" i="1"/>
  <c r="C5955" i="1"/>
  <c r="D5955" i="1"/>
  <c r="E5955" i="1"/>
  <c r="C5956" i="1"/>
  <c r="D5956" i="1"/>
  <c r="E5956" i="1"/>
  <c r="C5957" i="1"/>
  <c r="D5957" i="1"/>
  <c r="E5957" i="1"/>
  <c r="C5958" i="1"/>
  <c r="D5958" i="1"/>
  <c r="E5958" i="1"/>
  <c r="C5959" i="1"/>
  <c r="D5959" i="1"/>
  <c r="E5959" i="1"/>
  <c r="C5960" i="1"/>
  <c r="D5960" i="1"/>
  <c r="E5960" i="1"/>
  <c r="C5961" i="1"/>
  <c r="D5961" i="1"/>
  <c r="E5961" i="1"/>
  <c r="C5962" i="1"/>
  <c r="D5962" i="1"/>
  <c r="E5962" i="1"/>
  <c r="C5963" i="1"/>
  <c r="D5963" i="1"/>
  <c r="E5963" i="1"/>
  <c r="C5964" i="1"/>
  <c r="D5964" i="1"/>
  <c r="E5964" i="1"/>
  <c r="C5965" i="1"/>
  <c r="D5965" i="1"/>
  <c r="E5965" i="1"/>
  <c r="C5966" i="1"/>
  <c r="D5966" i="1"/>
  <c r="E5966" i="1"/>
  <c r="C5967" i="1"/>
  <c r="D5967" i="1"/>
  <c r="E5967" i="1"/>
  <c r="C5968" i="1"/>
  <c r="D5968" i="1"/>
  <c r="E5968" i="1"/>
  <c r="C5969" i="1"/>
  <c r="D5969" i="1"/>
  <c r="E5969" i="1"/>
  <c r="C5970" i="1"/>
  <c r="D5970" i="1"/>
  <c r="E5970" i="1"/>
  <c r="C5971" i="1"/>
  <c r="D5971" i="1"/>
  <c r="E5971" i="1"/>
  <c r="C5972" i="1"/>
  <c r="D5972" i="1"/>
  <c r="E5972" i="1"/>
  <c r="C5973" i="1"/>
  <c r="D5973" i="1"/>
  <c r="E5973" i="1"/>
  <c r="C5974" i="1"/>
  <c r="D5974" i="1"/>
  <c r="E5974" i="1"/>
  <c r="C5975" i="1"/>
  <c r="D5975" i="1"/>
  <c r="E5975" i="1"/>
  <c r="C5976" i="1"/>
  <c r="D5976" i="1"/>
  <c r="E5976" i="1"/>
  <c r="C5977" i="1"/>
  <c r="D5977" i="1"/>
  <c r="E5977" i="1"/>
  <c r="C5978" i="1"/>
  <c r="D5978" i="1"/>
  <c r="E5978" i="1"/>
  <c r="C5979" i="1"/>
  <c r="D5979" i="1"/>
  <c r="E5979" i="1"/>
  <c r="C5980" i="1"/>
  <c r="D5980" i="1"/>
  <c r="E5980" i="1"/>
  <c r="C5981" i="1"/>
  <c r="D5981" i="1"/>
  <c r="E5981" i="1"/>
  <c r="C5982" i="1"/>
  <c r="D5982" i="1"/>
  <c r="E5982" i="1"/>
  <c r="C5983" i="1"/>
  <c r="D5983" i="1"/>
  <c r="E5983" i="1"/>
  <c r="C5984" i="1"/>
  <c r="D5984" i="1"/>
  <c r="E5984" i="1"/>
  <c r="C5985" i="1"/>
  <c r="D5985" i="1"/>
  <c r="E5985" i="1"/>
  <c r="C5986" i="1"/>
  <c r="D5986" i="1"/>
  <c r="E5986" i="1"/>
  <c r="C5987" i="1"/>
  <c r="D5987" i="1"/>
  <c r="E5987" i="1"/>
  <c r="C5988" i="1"/>
  <c r="D5988" i="1"/>
  <c r="E5988" i="1"/>
  <c r="C5989" i="1"/>
  <c r="D5989" i="1"/>
  <c r="E5989" i="1"/>
  <c r="C5990" i="1"/>
  <c r="D5990" i="1"/>
  <c r="E5990" i="1"/>
  <c r="C5991" i="1"/>
  <c r="D5991" i="1"/>
  <c r="E5991" i="1"/>
  <c r="C5992" i="1"/>
  <c r="D5992" i="1"/>
  <c r="E5992" i="1"/>
  <c r="C5993" i="1"/>
  <c r="D5993" i="1"/>
  <c r="E5993" i="1"/>
  <c r="C5994" i="1"/>
  <c r="D5994" i="1"/>
  <c r="E5994" i="1"/>
  <c r="C5995" i="1"/>
  <c r="D5995" i="1"/>
  <c r="E5995" i="1"/>
  <c r="C5996" i="1"/>
  <c r="D5996" i="1"/>
  <c r="E5996" i="1"/>
  <c r="C5997" i="1"/>
  <c r="D5997" i="1"/>
  <c r="E5997" i="1"/>
  <c r="C5998" i="1"/>
  <c r="D5998" i="1"/>
  <c r="E5998" i="1"/>
  <c r="C5999" i="1"/>
  <c r="D5999" i="1"/>
  <c r="E5999" i="1"/>
  <c r="C6000" i="1"/>
  <c r="D6000" i="1"/>
  <c r="E6000" i="1"/>
  <c r="C6001" i="1"/>
  <c r="D6001" i="1"/>
  <c r="E6001" i="1"/>
  <c r="C6002" i="1"/>
  <c r="D6002" i="1"/>
  <c r="E6002" i="1"/>
  <c r="C6003" i="1"/>
  <c r="D6003" i="1"/>
  <c r="E6003" i="1"/>
  <c r="C6004" i="1"/>
  <c r="D6004" i="1"/>
  <c r="E6004" i="1"/>
  <c r="C6005" i="1"/>
  <c r="D6005" i="1"/>
  <c r="E6005" i="1"/>
  <c r="C6006" i="1"/>
  <c r="D6006" i="1"/>
  <c r="E6006" i="1"/>
  <c r="C6007" i="1"/>
  <c r="D6007" i="1"/>
  <c r="E6007" i="1"/>
  <c r="C6008" i="1"/>
  <c r="D6008" i="1"/>
  <c r="E6008" i="1"/>
  <c r="C6009" i="1"/>
  <c r="D6009" i="1"/>
  <c r="E6009" i="1"/>
  <c r="C6010" i="1"/>
  <c r="D6010" i="1"/>
  <c r="E6010" i="1"/>
  <c r="C6011" i="1"/>
  <c r="D6011" i="1"/>
  <c r="E6011" i="1"/>
  <c r="C6012" i="1"/>
  <c r="D6012" i="1"/>
  <c r="E6012" i="1"/>
  <c r="C6013" i="1"/>
  <c r="D6013" i="1"/>
  <c r="E6013" i="1"/>
  <c r="C6014" i="1"/>
  <c r="D6014" i="1"/>
  <c r="E6014" i="1"/>
  <c r="C6015" i="1"/>
  <c r="D6015" i="1"/>
  <c r="E6015" i="1"/>
  <c r="C6016" i="1"/>
  <c r="D6016" i="1"/>
  <c r="E6016" i="1"/>
  <c r="C6017" i="1"/>
  <c r="D6017" i="1"/>
  <c r="E6017" i="1"/>
  <c r="C6018" i="1"/>
  <c r="D6018" i="1"/>
  <c r="E6018" i="1"/>
  <c r="C6019" i="1"/>
  <c r="D6019" i="1"/>
  <c r="E6019" i="1"/>
  <c r="C6020" i="1"/>
  <c r="D6020" i="1"/>
  <c r="E6020" i="1"/>
  <c r="C6021" i="1"/>
  <c r="D6021" i="1"/>
  <c r="E6021" i="1"/>
  <c r="C6022" i="1"/>
  <c r="D6022" i="1"/>
  <c r="E6022" i="1"/>
  <c r="C6023" i="1"/>
  <c r="D6023" i="1"/>
  <c r="E6023" i="1"/>
  <c r="C6024" i="1"/>
  <c r="D6024" i="1"/>
  <c r="E6024" i="1"/>
  <c r="C6025" i="1"/>
  <c r="D6025" i="1"/>
  <c r="E6025" i="1"/>
  <c r="C6026" i="1"/>
  <c r="D6026" i="1"/>
  <c r="E6026" i="1"/>
  <c r="C6027" i="1"/>
  <c r="D6027" i="1"/>
  <c r="E6027" i="1"/>
  <c r="C6028" i="1"/>
  <c r="D6028" i="1"/>
  <c r="E6028" i="1"/>
  <c r="C6029" i="1"/>
  <c r="D6029" i="1"/>
  <c r="E6029" i="1"/>
  <c r="C6030" i="1"/>
  <c r="D6030" i="1"/>
  <c r="E6030" i="1"/>
  <c r="C6031" i="1"/>
  <c r="D6031" i="1"/>
  <c r="E6031" i="1"/>
  <c r="C6032" i="1"/>
  <c r="D6032" i="1"/>
  <c r="E6032" i="1"/>
  <c r="C6033" i="1"/>
  <c r="D6033" i="1"/>
  <c r="E6033" i="1"/>
  <c r="C6034" i="1"/>
  <c r="D6034" i="1"/>
  <c r="E6034" i="1"/>
  <c r="C6035" i="1"/>
  <c r="D6035" i="1"/>
  <c r="E6035" i="1"/>
  <c r="C6036" i="1"/>
  <c r="D6036" i="1"/>
  <c r="E6036" i="1"/>
  <c r="C6037" i="1"/>
  <c r="D6037" i="1"/>
  <c r="E6037" i="1"/>
  <c r="C6038" i="1"/>
  <c r="D6038" i="1"/>
  <c r="E6038" i="1"/>
  <c r="C6039" i="1"/>
  <c r="D6039" i="1"/>
  <c r="E6039" i="1"/>
  <c r="C6040" i="1"/>
  <c r="D6040" i="1"/>
  <c r="E6040" i="1"/>
  <c r="C6041" i="1"/>
  <c r="D6041" i="1"/>
  <c r="E6041" i="1"/>
  <c r="C6042" i="1"/>
  <c r="D6042" i="1"/>
  <c r="E6042" i="1"/>
  <c r="C6043" i="1"/>
  <c r="D6043" i="1"/>
  <c r="E6043" i="1"/>
  <c r="C6044" i="1"/>
  <c r="D6044" i="1"/>
  <c r="E6044" i="1"/>
  <c r="C6045" i="1"/>
  <c r="D6045" i="1"/>
  <c r="E6045" i="1"/>
  <c r="C6046" i="1"/>
  <c r="D6046" i="1"/>
  <c r="E6046" i="1"/>
  <c r="C6047" i="1"/>
  <c r="D6047" i="1"/>
  <c r="E6047" i="1"/>
  <c r="C6048" i="1"/>
  <c r="D6048" i="1"/>
  <c r="E6048" i="1"/>
  <c r="C6049" i="1"/>
  <c r="D6049" i="1"/>
  <c r="E6049" i="1"/>
  <c r="C6050" i="1"/>
  <c r="D6050" i="1"/>
  <c r="E6050" i="1"/>
  <c r="C6051" i="1"/>
  <c r="D6051" i="1"/>
  <c r="E6051" i="1"/>
  <c r="C6052" i="1"/>
  <c r="D6052" i="1"/>
  <c r="E6052" i="1"/>
  <c r="C6053" i="1"/>
  <c r="D6053" i="1"/>
  <c r="E6053" i="1"/>
  <c r="C6054" i="1"/>
  <c r="D6054" i="1"/>
  <c r="E6054" i="1"/>
  <c r="C6055" i="1"/>
  <c r="D6055" i="1"/>
  <c r="E6055" i="1"/>
  <c r="C6056" i="1"/>
  <c r="D6056" i="1"/>
  <c r="E6056" i="1"/>
  <c r="C6057" i="1"/>
  <c r="D6057" i="1"/>
  <c r="E6057" i="1"/>
  <c r="C6058" i="1"/>
  <c r="D6058" i="1"/>
  <c r="E6058" i="1"/>
  <c r="C6059" i="1"/>
  <c r="D6059" i="1"/>
  <c r="E6059" i="1"/>
  <c r="C6060" i="1"/>
  <c r="D6060" i="1"/>
  <c r="E6060" i="1"/>
  <c r="C6061" i="1"/>
  <c r="D6061" i="1"/>
  <c r="E6061" i="1"/>
  <c r="C6062" i="1"/>
  <c r="D6062" i="1"/>
  <c r="E6062" i="1"/>
  <c r="C6063" i="1"/>
  <c r="D6063" i="1"/>
  <c r="E6063" i="1"/>
  <c r="C6064" i="1"/>
  <c r="D6064" i="1"/>
  <c r="E6064" i="1"/>
  <c r="C6065" i="1"/>
  <c r="D6065" i="1"/>
  <c r="E6065" i="1"/>
  <c r="C6066" i="1"/>
  <c r="D6066" i="1"/>
  <c r="E6066" i="1"/>
  <c r="C6067" i="1"/>
  <c r="D6067" i="1"/>
  <c r="E6067" i="1"/>
  <c r="C6068" i="1"/>
  <c r="D6068" i="1"/>
  <c r="E6068" i="1"/>
  <c r="C6069" i="1"/>
  <c r="D6069" i="1"/>
  <c r="E6069" i="1"/>
  <c r="C6070" i="1"/>
  <c r="D6070" i="1"/>
  <c r="E6070" i="1"/>
  <c r="C6071" i="1"/>
  <c r="D6071" i="1"/>
  <c r="E6071" i="1"/>
  <c r="C6072" i="1"/>
  <c r="D6072" i="1"/>
  <c r="E6072" i="1"/>
  <c r="C6073" i="1"/>
  <c r="D6073" i="1"/>
  <c r="E6073" i="1"/>
  <c r="C6074" i="1"/>
  <c r="D6074" i="1"/>
  <c r="E6074" i="1"/>
  <c r="C6075" i="1"/>
  <c r="D6075" i="1"/>
  <c r="E6075" i="1"/>
  <c r="C6076" i="1"/>
  <c r="D6076" i="1"/>
  <c r="E6076" i="1"/>
  <c r="C6077" i="1"/>
  <c r="D6077" i="1"/>
  <c r="E6077" i="1"/>
  <c r="C6078" i="1"/>
  <c r="D6078" i="1"/>
  <c r="E6078" i="1"/>
  <c r="C6079" i="1"/>
  <c r="D6079" i="1"/>
  <c r="E6079" i="1"/>
  <c r="C6080" i="1"/>
  <c r="D6080" i="1"/>
  <c r="E6080" i="1"/>
  <c r="C6081" i="1"/>
  <c r="D6081" i="1"/>
  <c r="E6081" i="1"/>
  <c r="C6082" i="1"/>
  <c r="D6082" i="1"/>
  <c r="E6082" i="1"/>
  <c r="C6083" i="1"/>
  <c r="D6083" i="1"/>
  <c r="E6083" i="1"/>
  <c r="C6084" i="1"/>
  <c r="D6084" i="1"/>
  <c r="E6084" i="1"/>
  <c r="C6085" i="1"/>
  <c r="D6085" i="1"/>
  <c r="E6085" i="1"/>
  <c r="C6086" i="1"/>
  <c r="D6086" i="1"/>
  <c r="E6086" i="1"/>
  <c r="C6087" i="1"/>
  <c r="D6087" i="1"/>
  <c r="E6087" i="1"/>
  <c r="C6088" i="1"/>
  <c r="D6088" i="1"/>
  <c r="E6088" i="1"/>
  <c r="C6089" i="1"/>
  <c r="D6089" i="1"/>
  <c r="E6089" i="1"/>
  <c r="C6090" i="1"/>
  <c r="D6090" i="1"/>
  <c r="E6090" i="1"/>
  <c r="C6091" i="1"/>
  <c r="D6091" i="1"/>
  <c r="E6091" i="1"/>
  <c r="C6092" i="1"/>
  <c r="D6092" i="1"/>
  <c r="E6092" i="1"/>
  <c r="C6093" i="1"/>
  <c r="D6093" i="1"/>
  <c r="E6093" i="1"/>
  <c r="C6094" i="1"/>
  <c r="D6094" i="1"/>
  <c r="E6094" i="1"/>
  <c r="C6095" i="1"/>
  <c r="D6095" i="1"/>
  <c r="E6095" i="1"/>
  <c r="C6096" i="1"/>
  <c r="D6096" i="1"/>
  <c r="E6096" i="1"/>
  <c r="C6097" i="1"/>
  <c r="D6097" i="1"/>
  <c r="E6097" i="1"/>
  <c r="C6098" i="1"/>
  <c r="D6098" i="1"/>
  <c r="E6098" i="1"/>
  <c r="C6099" i="1"/>
  <c r="D6099" i="1"/>
  <c r="E6099" i="1"/>
  <c r="C6100" i="1"/>
  <c r="D6100" i="1"/>
  <c r="E6100" i="1"/>
  <c r="C6101" i="1"/>
  <c r="D6101" i="1"/>
  <c r="E6101" i="1"/>
  <c r="C6102" i="1"/>
  <c r="D6102" i="1"/>
  <c r="E6102" i="1"/>
  <c r="C6103" i="1"/>
  <c r="D6103" i="1"/>
  <c r="E6103" i="1"/>
  <c r="C6104" i="1"/>
  <c r="D6104" i="1"/>
  <c r="E6104" i="1"/>
  <c r="C6105" i="1"/>
  <c r="D6105" i="1"/>
  <c r="E6105" i="1"/>
  <c r="C6106" i="1"/>
  <c r="D6106" i="1"/>
  <c r="E6106" i="1"/>
  <c r="C6107" i="1"/>
  <c r="D6107" i="1"/>
  <c r="E6107" i="1"/>
  <c r="C6108" i="1"/>
  <c r="D6108" i="1"/>
  <c r="E6108" i="1"/>
  <c r="C6109" i="1"/>
  <c r="D6109" i="1"/>
  <c r="E6109" i="1"/>
  <c r="C6110" i="1"/>
  <c r="D6110" i="1"/>
  <c r="E6110" i="1"/>
  <c r="C6111" i="1"/>
  <c r="D6111" i="1"/>
  <c r="E6111" i="1"/>
  <c r="C6112" i="1"/>
  <c r="D6112" i="1"/>
  <c r="E6112" i="1"/>
  <c r="C6113" i="1"/>
  <c r="D6113" i="1"/>
  <c r="E6113" i="1"/>
  <c r="C6114" i="1"/>
  <c r="D6114" i="1"/>
  <c r="E6114" i="1"/>
  <c r="C6115" i="1"/>
  <c r="D6115" i="1"/>
  <c r="E6115" i="1"/>
  <c r="C6116" i="1"/>
  <c r="D6116" i="1"/>
  <c r="E6116" i="1"/>
  <c r="C6117" i="1"/>
  <c r="D6117" i="1"/>
  <c r="E6117" i="1"/>
  <c r="C6118" i="1"/>
  <c r="D6118" i="1"/>
  <c r="E6118" i="1"/>
  <c r="C6119" i="1"/>
  <c r="D6119" i="1"/>
  <c r="E6119" i="1"/>
  <c r="C6120" i="1"/>
  <c r="D6120" i="1"/>
  <c r="E6120" i="1"/>
  <c r="C6121" i="1"/>
  <c r="D6121" i="1"/>
  <c r="E6121" i="1"/>
  <c r="C6122" i="1"/>
  <c r="D6122" i="1"/>
  <c r="E6122" i="1"/>
  <c r="C6123" i="1"/>
  <c r="D6123" i="1"/>
  <c r="E6123" i="1"/>
  <c r="C6124" i="1"/>
  <c r="D6124" i="1"/>
  <c r="E6124" i="1"/>
  <c r="C6125" i="1"/>
  <c r="D6125" i="1"/>
  <c r="E6125" i="1"/>
  <c r="C6126" i="1"/>
  <c r="D6126" i="1"/>
  <c r="E6126" i="1"/>
  <c r="C6127" i="1"/>
  <c r="D6127" i="1"/>
  <c r="E6127" i="1"/>
  <c r="C6128" i="1"/>
  <c r="D6128" i="1"/>
  <c r="E6128" i="1"/>
  <c r="C6129" i="1"/>
  <c r="D6129" i="1"/>
  <c r="E6129" i="1"/>
  <c r="C6130" i="1"/>
  <c r="D6130" i="1"/>
  <c r="E6130" i="1"/>
  <c r="C6131" i="1"/>
  <c r="D6131" i="1"/>
  <c r="E6131" i="1"/>
  <c r="C6132" i="1"/>
  <c r="D6132" i="1"/>
  <c r="E6132" i="1"/>
  <c r="C6133" i="1"/>
  <c r="D6133" i="1"/>
  <c r="E6133" i="1"/>
  <c r="C6134" i="1"/>
  <c r="D6134" i="1"/>
  <c r="E6134" i="1"/>
  <c r="C6135" i="1"/>
  <c r="D6135" i="1"/>
  <c r="E6135" i="1"/>
  <c r="C6136" i="1"/>
  <c r="D6136" i="1"/>
  <c r="E6136" i="1"/>
  <c r="C6137" i="1"/>
  <c r="D6137" i="1"/>
  <c r="E6137" i="1"/>
  <c r="C6138" i="1"/>
  <c r="D6138" i="1"/>
  <c r="E6138" i="1"/>
  <c r="C6139" i="1"/>
  <c r="D6139" i="1"/>
  <c r="E6139" i="1"/>
  <c r="C6140" i="1"/>
  <c r="D6140" i="1"/>
  <c r="E6140" i="1"/>
  <c r="C6141" i="1"/>
  <c r="D6141" i="1"/>
  <c r="E6141" i="1"/>
  <c r="C6142" i="1"/>
  <c r="D6142" i="1"/>
  <c r="E6142" i="1"/>
  <c r="C6143" i="1"/>
  <c r="D6143" i="1"/>
  <c r="E6143" i="1"/>
  <c r="C6144" i="1"/>
  <c r="D6144" i="1"/>
  <c r="E6144" i="1"/>
  <c r="C6145" i="1"/>
  <c r="D6145" i="1"/>
  <c r="E6145" i="1"/>
  <c r="C6146" i="1"/>
  <c r="D6146" i="1"/>
  <c r="E6146" i="1"/>
  <c r="C6147" i="1"/>
  <c r="D6147" i="1"/>
  <c r="E6147" i="1"/>
  <c r="C6148" i="1"/>
  <c r="D6148" i="1"/>
  <c r="E6148" i="1"/>
  <c r="C6149" i="1"/>
  <c r="D6149" i="1"/>
  <c r="E6149" i="1"/>
  <c r="C6150" i="1"/>
  <c r="D6150" i="1"/>
  <c r="E6150" i="1"/>
  <c r="C6151" i="1"/>
  <c r="D6151" i="1"/>
  <c r="E6151" i="1"/>
  <c r="C6152" i="1"/>
  <c r="D6152" i="1"/>
  <c r="E6152" i="1"/>
  <c r="C6153" i="1"/>
  <c r="D6153" i="1"/>
  <c r="E6153" i="1"/>
  <c r="C6154" i="1"/>
  <c r="D6154" i="1"/>
  <c r="E6154" i="1"/>
  <c r="C6155" i="1"/>
  <c r="D6155" i="1"/>
  <c r="E6155" i="1"/>
  <c r="C6156" i="1"/>
  <c r="D6156" i="1"/>
  <c r="E6156" i="1"/>
  <c r="C6157" i="1"/>
  <c r="D6157" i="1"/>
  <c r="E6157" i="1"/>
  <c r="C6158" i="1"/>
  <c r="D6158" i="1"/>
  <c r="E6158" i="1"/>
  <c r="C6159" i="1"/>
  <c r="D6159" i="1"/>
  <c r="E6159" i="1"/>
  <c r="C6160" i="1"/>
  <c r="D6160" i="1"/>
  <c r="E6160" i="1"/>
  <c r="C6161" i="1"/>
  <c r="D6161" i="1"/>
  <c r="E6161" i="1"/>
  <c r="C6162" i="1"/>
  <c r="D6162" i="1"/>
  <c r="E6162" i="1"/>
  <c r="C6163" i="1"/>
  <c r="D6163" i="1"/>
  <c r="E6163" i="1"/>
  <c r="C6164" i="1"/>
  <c r="D6164" i="1"/>
  <c r="E6164" i="1"/>
  <c r="C6165" i="1"/>
  <c r="D6165" i="1"/>
  <c r="E6165" i="1"/>
  <c r="C6166" i="1"/>
  <c r="D6166" i="1"/>
  <c r="E6166" i="1"/>
  <c r="C6167" i="1"/>
  <c r="D6167" i="1"/>
  <c r="E6167" i="1"/>
  <c r="C6168" i="1"/>
  <c r="D6168" i="1"/>
  <c r="E6168" i="1"/>
  <c r="C6169" i="1"/>
  <c r="D6169" i="1"/>
  <c r="E6169" i="1"/>
  <c r="C6170" i="1"/>
  <c r="D6170" i="1"/>
  <c r="E6170" i="1"/>
  <c r="C6171" i="1"/>
  <c r="D6171" i="1"/>
  <c r="E6171" i="1"/>
  <c r="C6172" i="1"/>
  <c r="D6172" i="1"/>
  <c r="E6172" i="1"/>
  <c r="C6173" i="1"/>
  <c r="D6173" i="1"/>
  <c r="E6173" i="1"/>
  <c r="C6174" i="1"/>
  <c r="D6174" i="1"/>
  <c r="E6174" i="1"/>
  <c r="C6175" i="1"/>
  <c r="D6175" i="1"/>
  <c r="E6175" i="1"/>
  <c r="C6176" i="1"/>
  <c r="D6176" i="1"/>
  <c r="E6176" i="1"/>
  <c r="C6177" i="1"/>
  <c r="D6177" i="1"/>
  <c r="E6177" i="1"/>
  <c r="C6178" i="1"/>
  <c r="D6178" i="1"/>
  <c r="E6178" i="1"/>
  <c r="C6179" i="1"/>
  <c r="D6179" i="1"/>
  <c r="E6179" i="1"/>
  <c r="C6180" i="1"/>
  <c r="D6180" i="1"/>
  <c r="E6180" i="1"/>
  <c r="C6181" i="1"/>
  <c r="D6181" i="1"/>
  <c r="E6181" i="1"/>
  <c r="C6182" i="1"/>
  <c r="D6182" i="1"/>
  <c r="E6182" i="1"/>
  <c r="C6183" i="1"/>
  <c r="D6183" i="1"/>
  <c r="E6183" i="1"/>
  <c r="C6184" i="1"/>
  <c r="D6184" i="1"/>
  <c r="E6184" i="1"/>
  <c r="C6185" i="1"/>
  <c r="D6185" i="1"/>
  <c r="E6185" i="1"/>
  <c r="C6186" i="1"/>
  <c r="D6186" i="1"/>
  <c r="E6186" i="1"/>
  <c r="C6187" i="1"/>
  <c r="D6187" i="1"/>
  <c r="E6187" i="1"/>
  <c r="C6188" i="1"/>
  <c r="D6188" i="1"/>
  <c r="E6188" i="1"/>
  <c r="C6189" i="1"/>
  <c r="D6189" i="1"/>
  <c r="E6189" i="1"/>
  <c r="C6190" i="1"/>
  <c r="D6190" i="1"/>
  <c r="E6190" i="1"/>
  <c r="C6191" i="1"/>
  <c r="D6191" i="1"/>
  <c r="E6191" i="1"/>
  <c r="C6192" i="1"/>
  <c r="D6192" i="1"/>
  <c r="E6192" i="1"/>
  <c r="C6193" i="1"/>
  <c r="D6193" i="1"/>
  <c r="E6193" i="1"/>
  <c r="C6194" i="1"/>
  <c r="D6194" i="1"/>
  <c r="E6194" i="1"/>
  <c r="C6195" i="1"/>
  <c r="D6195" i="1"/>
  <c r="E6195" i="1"/>
  <c r="C6196" i="1"/>
  <c r="D6196" i="1"/>
  <c r="E6196" i="1"/>
  <c r="C6197" i="1"/>
  <c r="D6197" i="1"/>
  <c r="E6197" i="1"/>
  <c r="C6198" i="1"/>
  <c r="D6198" i="1"/>
  <c r="E6198" i="1"/>
  <c r="C6199" i="1"/>
  <c r="D6199" i="1"/>
  <c r="E6199" i="1"/>
  <c r="C6200" i="1"/>
  <c r="D6200" i="1"/>
  <c r="E6200" i="1"/>
  <c r="C6201" i="1"/>
  <c r="D6201" i="1"/>
  <c r="E6201" i="1"/>
  <c r="C6202" i="1"/>
  <c r="D6202" i="1"/>
  <c r="E6202" i="1"/>
  <c r="C6203" i="1"/>
  <c r="D6203" i="1"/>
  <c r="E6203" i="1"/>
  <c r="C6204" i="1"/>
  <c r="D6204" i="1"/>
  <c r="E6204" i="1"/>
  <c r="C6205" i="1"/>
  <c r="D6205" i="1"/>
  <c r="E6205" i="1"/>
  <c r="C6206" i="1"/>
  <c r="D6206" i="1"/>
  <c r="E6206" i="1"/>
  <c r="C6207" i="1"/>
  <c r="D6207" i="1"/>
  <c r="E6207" i="1"/>
  <c r="C6208" i="1"/>
  <c r="D6208" i="1"/>
  <c r="E6208" i="1"/>
  <c r="C6209" i="1"/>
  <c r="D6209" i="1"/>
  <c r="E6209" i="1"/>
  <c r="C6210" i="1"/>
  <c r="D6210" i="1"/>
  <c r="E6210" i="1"/>
  <c r="C6211" i="1"/>
  <c r="D6211" i="1"/>
  <c r="E6211" i="1"/>
  <c r="C6212" i="1"/>
  <c r="D6212" i="1"/>
  <c r="E6212" i="1"/>
  <c r="C6213" i="1"/>
  <c r="D6213" i="1"/>
  <c r="E6213" i="1"/>
  <c r="C6214" i="1"/>
  <c r="D6214" i="1"/>
  <c r="E6214" i="1"/>
  <c r="C6215" i="1"/>
  <c r="D6215" i="1"/>
  <c r="E6215" i="1"/>
  <c r="C6216" i="1"/>
  <c r="D6216" i="1"/>
  <c r="E6216" i="1"/>
  <c r="C6217" i="1"/>
  <c r="D6217" i="1"/>
  <c r="E6217" i="1"/>
  <c r="C6218" i="1"/>
  <c r="D6218" i="1"/>
  <c r="E6218" i="1"/>
  <c r="C6219" i="1"/>
  <c r="D6219" i="1"/>
  <c r="E6219" i="1"/>
  <c r="C6220" i="1"/>
  <c r="D6220" i="1"/>
  <c r="E6220" i="1"/>
  <c r="C6221" i="1"/>
  <c r="D6221" i="1"/>
  <c r="E6221" i="1"/>
  <c r="C6222" i="1"/>
  <c r="D6222" i="1"/>
  <c r="E6222" i="1"/>
  <c r="C6223" i="1"/>
  <c r="D6223" i="1"/>
  <c r="E6223" i="1"/>
  <c r="C6224" i="1"/>
  <c r="D6224" i="1"/>
  <c r="E6224" i="1"/>
  <c r="C6225" i="1"/>
  <c r="D6225" i="1"/>
  <c r="E6225" i="1"/>
  <c r="C6226" i="1"/>
  <c r="D6226" i="1"/>
  <c r="E6226" i="1"/>
  <c r="C6227" i="1"/>
  <c r="D6227" i="1"/>
  <c r="E6227" i="1"/>
  <c r="C6228" i="1"/>
  <c r="D6228" i="1"/>
  <c r="E6228" i="1"/>
  <c r="C6229" i="1"/>
  <c r="D6229" i="1"/>
  <c r="E6229" i="1"/>
  <c r="C6230" i="1"/>
  <c r="D6230" i="1"/>
  <c r="E6230" i="1"/>
  <c r="C6231" i="1"/>
  <c r="D6231" i="1"/>
  <c r="E6231" i="1"/>
  <c r="C6232" i="1"/>
  <c r="D6232" i="1"/>
  <c r="E6232" i="1"/>
  <c r="C6233" i="1"/>
  <c r="D6233" i="1"/>
  <c r="E6233" i="1"/>
  <c r="C6234" i="1"/>
  <c r="D6234" i="1"/>
  <c r="E6234" i="1"/>
  <c r="C6235" i="1"/>
  <c r="D6235" i="1"/>
  <c r="E6235" i="1"/>
  <c r="C6236" i="1"/>
  <c r="D6236" i="1"/>
  <c r="E6236" i="1"/>
  <c r="C6237" i="1"/>
  <c r="D6237" i="1"/>
  <c r="E6237" i="1"/>
  <c r="C6238" i="1"/>
  <c r="D6238" i="1"/>
  <c r="E6238" i="1"/>
  <c r="C6239" i="1"/>
  <c r="D6239" i="1"/>
  <c r="E6239" i="1"/>
  <c r="C6240" i="1"/>
  <c r="D6240" i="1"/>
  <c r="E6240" i="1"/>
  <c r="C6241" i="1"/>
  <c r="D6241" i="1"/>
  <c r="E6241" i="1"/>
  <c r="C6242" i="1"/>
  <c r="D6242" i="1"/>
  <c r="E6242" i="1"/>
  <c r="C6243" i="1"/>
  <c r="D6243" i="1"/>
  <c r="E6243" i="1"/>
  <c r="C6244" i="1"/>
  <c r="D6244" i="1"/>
  <c r="E6244" i="1"/>
  <c r="C6245" i="1"/>
  <c r="D6245" i="1"/>
  <c r="E6245" i="1"/>
  <c r="C6246" i="1"/>
  <c r="D6246" i="1"/>
  <c r="E6246" i="1"/>
  <c r="C6247" i="1"/>
  <c r="D6247" i="1"/>
  <c r="E6247" i="1"/>
  <c r="C6248" i="1"/>
  <c r="D6248" i="1"/>
  <c r="E6248" i="1"/>
  <c r="C6249" i="1"/>
  <c r="D6249" i="1"/>
  <c r="E6249" i="1"/>
  <c r="C6250" i="1"/>
  <c r="D6250" i="1"/>
  <c r="E6250" i="1"/>
  <c r="C6251" i="1"/>
  <c r="D6251" i="1"/>
  <c r="E6251" i="1"/>
  <c r="C6252" i="1"/>
  <c r="D6252" i="1"/>
  <c r="E6252" i="1"/>
  <c r="C6253" i="1"/>
  <c r="D6253" i="1"/>
  <c r="E6253" i="1"/>
  <c r="C6254" i="1"/>
  <c r="D6254" i="1"/>
  <c r="E6254" i="1"/>
  <c r="C6255" i="1"/>
  <c r="D6255" i="1"/>
  <c r="E6255" i="1"/>
  <c r="C6256" i="1"/>
  <c r="D6256" i="1"/>
  <c r="E6256" i="1"/>
  <c r="C6257" i="1"/>
  <c r="D6257" i="1"/>
  <c r="E6257" i="1"/>
  <c r="C6258" i="1"/>
  <c r="D6258" i="1"/>
  <c r="E6258" i="1"/>
  <c r="C6259" i="1"/>
  <c r="D6259" i="1"/>
  <c r="E6259" i="1"/>
  <c r="C6260" i="1"/>
  <c r="D6260" i="1"/>
  <c r="E6260" i="1"/>
  <c r="C6261" i="1"/>
  <c r="D6261" i="1"/>
  <c r="E6261" i="1"/>
  <c r="C6262" i="1"/>
  <c r="D6262" i="1"/>
  <c r="E6262" i="1"/>
  <c r="C6263" i="1"/>
  <c r="D6263" i="1"/>
  <c r="E6263" i="1"/>
  <c r="C6264" i="1"/>
  <c r="D6264" i="1"/>
  <c r="E6264" i="1"/>
  <c r="C6265" i="1"/>
  <c r="D6265" i="1"/>
  <c r="E6265" i="1"/>
  <c r="C6266" i="1"/>
  <c r="D6266" i="1"/>
  <c r="E6266" i="1"/>
  <c r="C6267" i="1"/>
  <c r="D6267" i="1"/>
  <c r="E6267" i="1"/>
  <c r="C6268" i="1"/>
  <c r="D6268" i="1"/>
  <c r="E6268" i="1"/>
  <c r="C6269" i="1"/>
  <c r="D6269" i="1"/>
  <c r="E6269" i="1"/>
  <c r="C6270" i="1"/>
  <c r="D6270" i="1"/>
  <c r="E6270" i="1"/>
  <c r="C6271" i="1"/>
  <c r="D6271" i="1"/>
  <c r="E6271" i="1"/>
  <c r="C6272" i="1"/>
  <c r="D6272" i="1"/>
  <c r="E6272" i="1"/>
  <c r="C6273" i="1"/>
  <c r="D6273" i="1"/>
  <c r="E6273" i="1"/>
  <c r="C6274" i="1"/>
  <c r="D6274" i="1"/>
  <c r="E6274" i="1"/>
  <c r="C6275" i="1"/>
  <c r="D6275" i="1"/>
  <c r="E6275" i="1"/>
  <c r="C6276" i="1"/>
  <c r="D6276" i="1"/>
  <c r="E6276" i="1"/>
  <c r="C6277" i="1"/>
  <c r="D6277" i="1"/>
  <c r="E6277" i="1"/>
  <c r="C6278" i="1"/>
  <c r="D6278" i="1"/>
  <c r="E6278" i="1"/>
  <c r="C6279" i="1"/>
  <c r="D6279" i="1"/>
  <c r="E6279" i="1"/>
  <c r="C6280" i="1"/>
  <c r="D6280" i="1"/>
  <c r="E6280" i="1"/>
  <c r="C6281" i="1"/>
  <c r="D6281" i="1"/>
  <c r="E6281" i="1"/>
  <c r="C6282" i="1"/>
  <c r="D6282" i="1"/>
  <c r="E6282" i="1"/>
  <c r="C6283" i="1"/>
  <c r="D6283" i="1"/>
  <c r="E6283" i="1"/>
  <c r="C6284" i="1"/>
  <c r="D6284" i="1"/>
  <c r="E6284" i="1"/>
  <c r="C6285" i="1"/>
  <c r="D6285" i="1"/>
  <c r="E6285" i="1"/>
  <c r="C6286" i="1"/>
  <c r="D6286" i="1"/>
  <c r="E6286" i="1"/>
  <c r="C6287" i="1"/>
  <c r="D6287" i="1"/>
  <c r="E6287" i="1"/>
  <c r="C6288" i="1"/>
  <c r="D6288" i="1"/>
  <c r="E6288" i="1"/>
  <c r="C6289" i="1"/>
  <c r="D6289" i="1"/>
  <c r="E6289" i="1"/>
  <c r="C6290" i="1"/>
  <c r="D6290" i="1"/>
  <c r="E6290" i="1"/>
  <c r="C6291" i="1"/>
  <c r="D6291" i="1"/>
  <c r="E6291" i="1"/>
  <c r="C6292" i="1"/>
  <c r="D6292" i="1"/>
  <c r="E6292" i="1"/>
  <c r="C6293" i="1"/>
  <c r="D6293" i="1"/>
  <c r="E6293" i="1"/>
  <c r="C6294" i="1"/>
  <c r="D6294" i="1"/>
  <c r="E6294" i="1"/>
  <c r="C6295" i="1"/>
  <c r="D6295" i="1"/>
  <c r="E6295" i="1"/>
  <c r="C6296" i="1"/>
  <c r="D6296" i="1"/>
  <c r="E6296" i="1"/>
  <c r="C6297" i="1"/>
  <c r="D6297" i="1"/>
  <c r="E6297" i="1"/>
  <c r="C6298" i="1"/>
  <c r="D6298" i="1"/>
  <c r="E6298" i="1"/>
  <c r="C6299" i="1"/>
  <c r="D6299" i="1"/>
  <c r="E6299" i="1"/>
  <c r="C6300" i="1"/>
  <c r="D6300" i="1"/>
  <c r="E6300" i="1"/>
  <c r="C6301" i="1"/>
  <c r="D6301" i="1"/>
  <c r="E6301" i="1"/>
  <c r="C6302" i="1"/>
  <c r="D6302" i="1"/>
  <c r="E6302" i="1"/>
  <c r="C6303" i="1"/>
  <c r="D6303" i="1"/>
  <c r="E6303" i="1"/>
  <c r="C6304" i="1"/>
  <c r="D6304" i="1"/>
  <c r="E6304" i="1"/>
  <c r="C6305" i="1"/>
  <c r="D6305" i="1"/>
  <c r="E6305" i="1"/>
  <c r="C6306" i="1"/>
  <c r="D6306" i="1"/>
  <c r="E6306" i="1"/>
  <c r="C6307" i="1"/>
  <c r="D6307" i="1"/>
  <c r="E6307" i="1"/>
  <c r="C6308" i="1"/>
  <c r="D6308" i="1"/>
  <c r="E6308" i="1"/>
  <c r="C6309" i="1"/>
  <c r="D6309" i="1"/>
  <c r="E6309" i="1"/>
  <c r="C6310" i="1"/>
  <c r="D6310" i="1"/>
  <c r="E6310" i="1"/>
  <c r="C6311" i="1"/>
  <c r="D6311" i="1"/>
  <c r="E6311" i="1"/>
  <c r="C6312" i="1"/>
  <c r="D6312" i="1"/>
  <c r="E6312" i="1"/>
  <c r="C6313" i="1"/>
  <c r="D6313" i="1"/>
  <c r="E6313" i="1"/>
  <c r="C6314" i="1"/>
  <c r="D6314" i="1"/>
  <c r="E6314" i="1"/>
  <c r="C6315" i="1"/>
  <c r="D6315" i="1"/>
  <c r="E6315" i="1"/>
  <c r="C6316" i="1"/>
  <c r="D6316" i="1"/>
  <c r="E6316" i="1"/>
  <c r="C6317" i="1"/>
  <c r="D6317" i="1"/>
  <c r="E6317" i="1"/>
  <c r="C6318" i="1"/>
  <c r="D6318" i="1"/>
  <c r="E6318" i="1"/>
  <c r="C6319" i="1"/>
  <c r="D6319" i="1"/>
  <c r="E6319" i="1"/>
  <c r="C6320" i="1"/>
  <c r="D6320" i="1"/>
  <c r="E6320" i="1"/>
  <c r="C6321" i="1"/>
  <c r="D6321" i="1"/>
  <c r="E6321" i="1"/>
  <c r="C6322" i="1"/>
  <c r="D6322" i="1"/>
  <c r="E6322" i="1"/>
  <c r="C6323" i="1"/>
  <c r="D6323" i="1"/>
  <c r="E6323" i="1"/>
  <c r="C6324" i="1"/>
  <c r="D6324" i="1"/>
  <c r="E6324" i="1"/>
  <c r="C6325" i="1"/>
  <c r="D6325" i="1"/>
  <c r="E6325" i="1"/>
  <c r="C6326" i="1"/>
  <c r="D6326" i="1"/>
  <c r="E6326" i="1"/>
  <c r="C6327" i="1"/>
  <c r="D6327" i="1"/>
  <c r="E6327" i="1"/>
  <c r="C6328" i="1"/>
  <c r="D6328" i="1"/>
  <c r="E6328" i="1"/>
  <c r="C6329" i="1"/>
  <c r="D6329" i="1"/>
  <c r="E6329" i="1"/>
  <c r="C6330" i="1"/>
  <c r="D6330" i="1"/>
  <c r="E6330" i="1"/>
  <c r="C6331" i="1"/>
  <c r="D6331" i="1"/>
  <c r="E6331" i="1"/>
  <c r="C6332" i="1"/>
  <c r="D6332" i="1"/>
  <c r="E6332" i="1"/>
  <c r="C6333" i="1"/>
  <c r="D6333" i="1"/>
  <c r="E6333" i="1"/>
  <c r="C6334" i="1"/>
  <c r="D6334" i="1"/>
  <c r="E6334" i="1"/>
  <c r="C6335" i="1"/>
  <c r="D6335" i="1"/>
  <c r="E6335" i="1"/>
  <c r="C6336" i="1"/>
  <c r="D6336" i="1"/>
  <c r="E6336" i="1"/>
  <c r="C6337" i="1"/>
  <c r="D6337" i="1"/>
  <c r="E6337" i="1"/>
  <c r="C6338" i="1"/>
  <c r="D6338" i="1"/>
  <c r="E6338" i="1"/>
  <c r="C6339" i="1"/>
  <c r="D6339" i="1"/>
  <c r="E6339" i="1"/>
  <c r="C6340" i="1"/>
  <c r="D6340" i="1"/>
  <c r="E6340" i="1"/>
  <c r="C6341" i="1"/>
  <c r="D6341" i="1"/>
  <c r="E6341" i="1"/>
  <c r="C6342" i="1"/>
  <c r="D6342" i="1"/>
  <c r="E6342" i="1"/>
  <c r="C6343" i="1"/>
  <c r="D6343" i="1"/>
  <c r="E6343" i="1"/>
  <c r="C6344" i="1"/>
  <c r="D6344" i="1"/>
  <c r="E6344" i="1"/>
  <c r="C6345" i="1"/>
  <c r="D6345" i="1"/>
  <c r="E6345" i="1"/>
  <c r="C6346" i="1"/>
  <c r="D6346" i="1"/>
  <c r="E6346" i="1"/>
  <c r="C6347" i="1"/>
  <c r="D6347" i="1"/>
  <c r="E6347" i="1"/>
  <c r="C6348" i="1"/>
  <c r="D6348" i="1"/>
  <c r="E6348" i="1"/>
  <c r="C6349" i="1"/>
  <c r="D6349" i="1"/>
  <c r="E6349" i="1"/>
  <c r="C6350" i="1"/>
  <c r="D6350" i="1"/>
  <c r="E6350" i="1"/>
  <c r="C6351" i="1"/>
  <c r="D6351" i="1"/>
  <c r="E6351" i="1"/>
  <c r="C6352" i="1"/>
  <c r="D6352" i="1"/>
  <c r="E6352" i="1"/>
  <c r="C6353" i="1"/>
  <c r="D6353" i="1"/>
  <c r="E6353" i="1"/>
  <c r="C6354" i="1"/>
  <c r="D6354" i="1"/>
  <c r="E6354" i="1"/>
  <c r="C6355" i="1"/>
  <c r="D6355" i="1"/>
  <c r="E6355" i="1"/>
  <c r="C6356" i="1"/>
  <c r="D6356" i="1"/>
  <c r="E6356" i="1"/>
  <c r="C6357" i="1"/>
  <c r="D6357" i="1"/>
  <c r="E6357" i="1"/>
  <c r="C6358" i="1"/>
  <c r="D6358" i="1"/>
  <c r="E6358" i="1"/>
  <c r="C6359" i="1"/>
  <c r="D6359" i="1"/>
  <c r="E6359" i="1"/>
  <c r="C6360" i="1"/>
  <c r="D6360" i="1"/>
  <c r="E6360" i="1"/>
  <c r="C6361" i="1"/>
  <c r="D6361" i="1"/>
  <c r="E6361" i="1"/>
  <c r="C6362" i="1"/>
  <c r="D6362" i="1"/>
  <c r="E6362" i="1"/>
  <c r="C6363" i="1"/>
  <c r="D6363" i="1"/>
  <c r="E6363" i="1"/>
  <c r="C6364" i="1"/>
  <c r="D6364" i="1"/>
  <c r="E6364" i="1"/>
  <c r="C6365" i="1"/>
  <c r="D6365" i="1"/>
  <c r="E6365" i="1"/>
  <c r="C6366" i="1"/>
  <c r="D6366" i="1"/>
  <c r="E6366" i="1"/>
  <c r="C6367" i="1"/>
  <c r="D6367" i="1"/>
  <c r="E6367" i="1"/>
  <c r="C6368" i="1"/>
  <c r="D6368" i="1"/>
  <c r="E6368" i="1"/>
  <c r="C6369" i="1"/>
  <c r="D6369" i="1"/>
  <c r="E6369" i="1"/>
  <c r="C6370" i="1"/>
  <c r="D6370" i="1"/>
  <c r="E6370" i="1"/>
  <c r="C6371" i="1"/>
  <c r="D6371" i="1"/>
  <c r="E6371" i="1"/>
  <c r="C6372" i="1"/>
  <c r="D6372" i="1"/>
  <c r="E6372" i="1"/>
  <c r="C6373" i="1"/>
  <c r="D6373" i="1"/>
  <c r="E6373" i="1"/>
  <c r="C6374" i="1"/>
  <c r="D6374" i="1"/>
  <c r="E6374" i="1"/>
  <c r="C6375" i="1"/>
  <c r="D6375" i="1"/>
  <c r="E6375" i="1"/>
  <c r="C6376" i="1"/>
  <c r="D6376" i="1"/>
  <c r="E6376" i="1"/>
  <c r="C6377" i="1"/>
  <c r="D6377" i="1"/>
  <c r="E6377" i="1"/>
  <c r="C6378" i="1"/>
  <c r="D6378" i="1"/>
  <c r="E6378" i="1"/>
  <c r="C6379" i="1"/>
  <c r="D6379" i="1"/>
  <c r="E6379" i="1"/>
  <c r="C6380" i="1"/>
  <c r="D6380" i="1"/>
  <c r="E6380" i="1"/>
  <c r="C6381" i="1"/>
  <c r="D6381" i="1"/>
  <c r="E6381" i="1"/>
  <c r="C6382" i="1"/>
  <c r="D6382" i="1"/>
  <c r="E6382" i="1"/>
  <c r="C6383" i="1"/>
  <c r="D6383" i="1"/>
  <c r="E6383" i="1"/>
  <c r="C6384" i="1"/>
  <c r="D6384" i="1"/>
  <c r="E6384" i="1"/>
  <c r="C6385" i="1"/>
  <c r="D6385" i="1"/>
  <c r="E6385" i="1"/>
  <c r="C6386" i="1"/>
  <c r="D6386" i="1"/>
  <c r="E6386" i="1"/>
  <c r="C6387" i="1"/>
  <c r="D6387" i="1"/>
  <c r="E6387" i="1"/>
  <c r="C6388" i="1"/>
  <c r="D6388" i="1"/>
  <c r="E6388" i="1"/>
  <c r="C6389" i="1"/>
  <c r="D6389" i="1"/>
  <c r="E6389" i="1"/>
  <c r="C6390" i="1"/>
  <c r="D6390" i="1"/>
  <c r="E6390" i="1"/>
  <c r="C6391" i="1"/>
  <c r="D6391" i="1"/>
  <c r="E6391" i="1"/>
  <c r="C6392" i="1"/>
  <c r="D6392" i="1"/>
  <c r="E6392" i="1"/>
  <c r="C6393" i="1"/>
  <c r="D6393" i="1"/>
  <c r="E6393" i="1"/>
  <c r="C6394" i="1"/>
  <c r="D6394" i="1"/>
  <c r="E6394" i="1"/>
  <c r="C6395" i="1"/>
  <c r="D6395" i="1"/>
  <c r="E6395" i="1"/>
  <c r="C6396" i="1"/>
  <c r="D6396" i="1"/>
  <c r="E6396" i="1"/>
  <c r="C6397" i="1"/>
  <c r="D6397" i="1"/>
  <c r="E6397" i="1"/>
  <c r="C6398" i="1"/>
  <c r="D6398" i="1"/>
  <c r="E6398" i="1"/>
  <c r="C6399" i="1"/>
  <c r="D6399" i="1"/>
  <c r="E6399" i="1"/>
  <c r="C6400" i="1"/>
  <c r="D6400" i="1"/>
  <c r="E6400" i="1"/>
  <c r="C6401" i="1"/>
  <c r="D6401" i="1"/>
  <c r="E6401" i="1"/>
  <c r="C6402" i="1"/>
  <c r="D6402" i="1"/>
  <c r="E6402" i="1"/>
  <c r="C6403" i="1"/>
  <c r="D6403" i="1"/>
  <c r="E6403" i="1"/>
  <c r="C6404" i="1"/>
  <c r="D6404" i="1"/>
  <c r="E6404" i="1"/>
  <c r="C6405" i="1"/>
  <c r="D6405" i="1"/>
  <c r="E6405" i="1"/>
  <c r="C6406" i="1"/>
  <c r="D6406" i="1"/>
  <c r="E6406" i="1"/>
  <c r="C6407" i="1"/>
  <c r="D6407" i="1"/>
  <c r="E6407" i="1"/>
  <c r="C6408" i="1"/>
  <c r="D6408" i="1"/>
  <c r="E6408" i="1"/>
  <c r="C6409" i="1"/>
  <c r="D6409" i="1"/>
  <c r="E6409" i="1"/>
  <c r="C6410" i="1"/>
  <c r="D6410" i="1"/>
  <c r="E6410" i="1"/>
  <c r="C6411" i="1"/>
  <c r="D6411" i="1"/>
  <c r="E6411" i="1"/>
  <c r="C6412" i="1"/>
  <c r="D6412" i="1"/>
  <c r="E6412" i="1"/>
  <c r="C6413" i="1"/>
  <c r="D6413" i="1"/>
  <c r="E6413" i="1"/>
  <c r="C6414" i="1"/>
  <c r="D6414" i="1"/>
  <c r="E6414" i="1"/>
  <c r="C6415" i="1"/>
  <c r="D6415" i="1"/>
  <c r="E6415" i="1"/>
  <c r="C6416" i="1"/>
  <c r="D6416" i="1"/>
  <c r="E6416" i="1"/>
  <c r="C6417" i="1"/>
  <c r="D6417" i="1"/>
  <c r="E6417" i="1"/>
  <c r="C6418" i="1"/>
  <c r="D6418" i="1"/>
  <c r="E6418" i="1"/>
  <c r="C6419" i="1"/>
  <c r="D6419" i="1"/>
  <c r="E6419" i="1"/>
  <c r="C6420" i="1"/>
  <c r="D6420" i="1"/>
  <c r="E6420" i="1"/>
  <c r="C6421" i="1"/>
  <c r="D6421" i="1"/>
  <c r="E6421" i="1"/>
  <c r="C6422" i="1"/>
  <c r="D6422" i="1"/>
  <c r="E6422" i="1"/>
  <c r="C6423" i="1"/>
  <c r="D6423" i="1"/>
  <c r="E6423" i="1"/>
  <c r="C6424" i="1"/>
  <c r="D6424" i="1"/>
  <c r="E6424" i="1"/>
  <c r="C6425" i="1"/>
  <c r="D6425" i="1"/>
  <c r="E6425" i="1"/>
  <c r="C6426" i="1"/>
  <c r="D6426" i="1"/>
  <c r="E6426" i="1"/>
  <c r="C6427" i="1"/>
  <c r="D6427" i="1"/>
  <c r="E6427" i="1"/>
  <c r="C6428" i="1"/>
  <c r="D6428" i="1"/>
  <c r="E6428" i="1"/>
  <c r="C6429" i="1"/>
  <c r="D6429" i="1"/>
  <c r="E6429" i="1"/>
  <c r="C6430" i="1"/>
  <c r="D6430" i="1"/>
  <c r="E6430" i="1"/>
  <c r="C6431" i="1"/>
  <c r="D6431" i="1"/>
  <c r="E6431" i="1"/>
  <c r="C6432" i="1"/>
  <c r="D6432" i="1"/>
  <c r="E6432" i="1"/>
  <c r="C6433" i="1"/>
  <c r="D6433" i="1"/>
  <c r="E6433" i="1"/>
  <c r="C6434" i="1"/>
  <c r="D6434" i="1"/>
  <c r="E6434" i="1"/>
  <c r="C6435" i="1"/>
  <c r="D6435" i="1"/>
  <c r="E6435" i="1"/>
  <c r="C6436" i="1"/>
  <c r="D6436" i="1"/>
  <c r="E6436" i="1"/>
  <c r="C6437" i="1"/>
  <c r="D6437" i="1"/>
  <c r="E6437" i="1"/>
  <c r="C6438" i="1"/>
  <c r="D6438" i="1"/>
  <c r="E6438" i="1"/>
  <c r="C6439" i="1"/>
  <c r="D6439" i="1"/>
  <c r="E6439" i="1"/>
  <c r="C6440" i="1"/>
  <c r="D6440" i="1"/>
  <c r="E6440" i="1"/>
  <c r="C6441" i="1"/>
  <c r="D6441" i="1"/>
  <c r="E6441" i="1"/>
  <c r="C6442" i="1"/>
  <c r="D6442" i="1"/>
  <c r="E6442" i="1"/>
  <c r="C6443" i="1"/>
  <c r="D6443" i="1"/>
  <c r="E6443" i="1"/>
  <c r="C6444" i="1"/>
  <c r="D6444" i="1"/>
  <c r="E6444" i="1"/>
  <c r="C6445" i="1"/>
  <c r="D6445" i="1"/>
  <c r="E6445" i="1"/>
  <c r="C6446" i="1"/>
  <c r="D6446" i="1"/>
  <c r="E6446" i="1"/>
  <c r="C6447" i="1"/>
  <c r="D6447" i="1"/>
  <c r="E6447" i="1"/>
  <c r="C6448" i="1"/>
  <c r="D6448" i="1"/>
  <c r="E6448" i="1"/>
  <c r="C6449" i="1"/>
  <c r="D6449" i="1"/>
  <c r="E6449" i="1"/>
  <c r="C6450" i="1"/>
  <c r="D6450" i="1"/>
  <c r="E6450" i="1"/>
  <c r="C6451" i="1"/>
  <c r="D6451" i="1"/>
  <c r="E6451" i="1"/>
  <c r="C6452" i="1"/>
  <c r="D6452" i="1"/>
  <c r="E6452" i="1"/>
  <c r="C6453" i="1"/>
  <c r="D6453" i="1"/>
  <c r="E6453" i="1"/>
  <c r="C6454" i="1"/>
  <c r="D6454" i="1"/>
  <c r="E6454" i="1"/>
  <c r="C6455" i="1"/>
  <c r="D6455" i="1"/>
  <c r="E6455" i="1"/>
  <c r="C6456" i="1"/>
  <c r="D6456" i="1"/>
  <c r="E6456" i="1"/>
  <c r="C6457" i="1"/>
  <c r="D6457" i="1"/>
  <c r="E6457" i="1"/>
  <c r="C6458" i="1"/>
  <c r="D6458" i="1"/>
  <c r="E6458" i="1"/>
  <c r="C6459" i="1"/>
  <c r="D6459" i="1"/>
  <c r="E6459" i="1"/>
  <c r="C6460" i="1"/>
  <c r="D6460" i="1"/>
  <c r="E6460" i="1"/>
  <c r="C6461" i="1"/>
  <c r="D6461" i="1"/>
  <c r="E6461" i="1"/>
  <c r="C6462" i="1"/>
  <c r="D6462" i="1"/>
  <c r="E6462" i="1"/>
  <c r="C6463" i="1"/>
  <c r="D6463" i="1"/>
  <c r="E6463" i="1"/>
  <c r="C6464" i="1"/>
  <c r="D6464" i="1"/>
  <c r="E6464" i="1"/>
  <c r="C6465" i="1"/>
  <c r="D6465" i="1"/>
  <c r="E6465" i="1"/>
  <c r="C6466" i="1"/>
  <c r="D6466" i="1"/>
  <c r="E6466" i="1"/>
  <c r="C6467" i="1"/>
  <c r="D6467" i="1"/>
  <c r="E6467" i="1"/>
  <c r="C6468" i="1"/>
  <c r="D6468" i="1"/>
  <c r="E6468" i="1"/>
  <c r="C6469" i="1"/>
  <c r="D6469" i="1"/>
  <c r="E6469" i="1"/>
  <c r="C6470" i="1"/>
  <c r="D6470" i="1"/>
  <c r="E6470" i="1"/>
  <c r="C6471" i="1"/>
  <c r="D6471" i="1"/>
  <c r="E6471" i="1"/>
  <c r="C6472" i="1"/>
  <c r="D6472" i="1"/>
  <c r="E6472" i="1"/>
  <c r="C6473" i="1"/>
  <c r="D6473" i="1"/>
  <c r="E6473" i="1"/>
  <c r="C6474" i="1"/>
  <c r="D6474" i="1"/>
  <c r="E6474" i="1"/>
  <c r="C6475" i="1"/>
  <c r="D6475" i="1"/>
  <c r="E6475" i="1"/>
  <c r="C6476" i="1"/>
  <c r="D6476" i="1"/>
  <c r="E6476" i="1"/>
  <c r="C6477" i="1"/>
  <c r="D6477" i="1"/>
  <c r="E6477" i="1"/>
  <c r="C6478" i="1"/>
  <c r="D6478" i="1"/>
  <c r="E6478" i="1"/>
  <c r="C6479" i="1"/>
  <c r="D6479" i="1"/>
  <c r="E6479" i="1"/>
  <c r="C6480" i="1"/>
  <c r="D6480" i="1"/>
  <c r="E6480" i="1"/>
  <c r="C6481" i="1"/>
  <c r="D6481" i="1"/>
  <c r="E6481" i="1"/>
  <c r="C6482" i="1"/>
  <c r="D6482" i="1"/>
  <c r="E6482" i="1"/>
  <c r="C6483" i="1"/>
  <c r="D6483" i="1"/>
  <c r="E6483" i="1"/>
  <c r="C6484" i="1"/>
  <c r="D6484" i="1"/>
  <c r="E6484" i="1"/>
  <c r="C6485" i="1"/>
  <c r="D6485" i="1"/>
  <c r="E6485" i="1"/>
  <c r="C6486" i="1"/>
  <c r="D6486" i="1"/>
  <c r="E6486" i="1"/>
  <c r="C6487" i="1"/>
  <c r="D6487" i="1"/>
  <c r="E6487" i="1"/>
  <c r="C6488" i="1"/>
  <c r="D6488" i="1"/>
  <c r="E6488" i="1"/>
  <c r="C6489" i="1"/>
  <c r="D6489" i="1"/>
  <c r="E6489" i="1"/>
  <c r="C6490" i="1"/>
  <c r="D6490" i="1"/>
  <c r="E6490" i="1"/>
  <c r="C6491" i="1"/>
  <c r="D6491" i="1"/>
  <c r="E6491" i="1"/>
  <c r="C6492" i="1"/>
  <c r="D6492" i="1"/>
  <c r="E6492" i="1"/>
  <c r="C6493" i="1"/>
  <c r="D6493" i="1"/>
  <c r="E6493" i="1"/>
  <c r="C6494" i="1"/>
  <c r="D6494" i="1"/>
  <c r="E6494" i="1"/>
  <c r="C6495" i="1"/>
  <c r="D6495" i="1"/>
  <c r="E6495" i="1"/>
  <c r="C6496" i="1"/>
  <c r="D6496" i="1"/>
  <c r="E6496" i="1"/>
  <c r="C6497" i="1"/>
  <c r="D6497" i="1"/>
  <c r="E6497" i="1"/>
  <c r="C6498" i="1"/>
  <c r="D6498" i="1"/>
  <c r="E6498" i="1"/>
  <c r="C6499" i="1"/>
  <c r="D6499" i="1"/>
  <c r="E6499" i="1"/>
  <c r="C6500" i="1"/>
  <c r="D6500" i="1"/>
  <c r="E6500" i="1"/>
  <c r="C6501" i="1"/>
  <c r="D6501" i="1"/>
  <c r="E6501" i="1"/>
  <c r="C6502" i="1"/>
  <c r="D6502" i="1"/>
  <c r="E6502" i="1"/>
  <c r="C6503" i="1"/>
  <c r="D6503" i="1"/>
  <c r="E6503" i="1"/>
  <c r="C6504" i="1"/>
  <c r="D6504" i="1"/>
  <c r="E6504" i="1"/>
  <c r="C6505" i="1"/>
  <c r="D6505" i="1"/>
  <c r="E6505" i="1"/>
  <c r="C6506" i="1"/>
  <c r="D6506" i="1"/>
  <c r="E6506" i="1"/>
  <c r="C6507" i="1"/>
  <c r="D6507" i="1"/>
  <c r="E6507" i="1"/>
  <c r="C6508" i="1"/>
  <c r="D6508" i="1"/>
  <c r="E6508" i="1"/>
  <c r="C6509" i="1"/>
  <c r="D6509" i="1"/>
  <c r="E6509" i="1"/>
  <c r="C6510" i="1"/>
  <c r="D6510" i="1"/>
  <c r="E6510" i="1"/>
  <c r="C6511" i="1"/>
  <c r="D6511" i="1"/>
  <c r="E6511" i="1"/>
  <c r="C6512" i="1"/>
  <c r="D6512" i="1"/>
  <c r="E6512" i="1"/>
  <c r="C6513" i="1"/>
  <c r="D6513" i="1"/>
  <c r="E6513" i="1"/>
  <c r="C6514" i="1"/>
  <c r="D6514" i="1"/>
  <c r="E6514" i="1"/>
  <c r="C6515" i="1"/>
  <c r="D6515" i="1"/>
  <c r="E6515" i="1"/>
  <c r="C6516" i="1"/>
  <c r="D6516" i="1"/>
  <c r="E6516" i="1"/>
  <c r="C6517" i="1"/>
  <c r="D6517" i="1"/>
  <c r="E6517" i="1"/>
  <c r="C6518" i="1"/>
  <c r="D6518" i="1"/>
  <c r="E6518" i="1"/>
  <c r="C6519" i="1"/>
  <c r="D6519" i="1"/>
  <c r="E6519" i="1"/>
  <c r="C6520" i="1"/>
  <c r="D6520" i="1"/>
  <c r="E6520" i="1"/>
  <c r="C6521" i="1"/>
  <c r="D6521" i="1"/>
  <c r="E6521" i="1"/>
  <c r="C6522" i="1"/>
  <c r="D6522" i="1"/>
  <c r="E6522" i="1"/>
  <c r="C6523" i="1"/>
  <c r="D6523" i="1"/>
  <c r="E6523" i="1"/>
  <c r="C6524" i="1"/>
  <c r="D6524" i="1"/>
  <c r="E6524" i="1"/>
  <c r="C6525" i="1"/>
  <c r="D6525" i="1"/>
  <c r="E6525" i="1"/>
  <c r="C6526" i="1"/>
  <c r="D6526" i="1"/>
  <c r="E6526" i="1"/>
  <c r="C6527" i="1"/>
  <c r="D6527" i="1"/>
  <c r="E6527" i="1"/>
  <c r="C6528" i="1"/>
  <c r="D6528" i="1"/>
  <c r="E6528" i="1"/>
  <c r="C6529" i="1"/>
  <c r="D6529" i="1"/>
  <c r="E6529" i="1"/>
  <c r="C6530" i="1"/>
  <c r="D6530" i="1"/>
  <c r="E6530" i="1"/>
  <c r="C6531" i="1"/>
  <c r="D6531" i="1"/>
  <c r="E6531" i="1"/>
  <c r="C6532" i="1"/>
  <c r="D6532" i="1"/>
  <c r="E6532" i="1"/>
  <c r="C6533" i="1"/>
  <c r="D6533" i="1"/>
  <c r="E6533" i="1"/>
  <c r="C6534" i="1"/>
  <c r="D6534" i="1"/>
  <c r="E6534" i="1"/>
  <c r="C6535" i="1"/>
  <c r="D6535" i="1"/>
  <c r="E6535" i="1"/>
  <c r="C6536" i="1"/>
  <c r="D6536" i="1"/>
  <c r="E6536" i="1"/>
  <c r="C6537" i="1"/>
  <c r="D6537" i="1"/>
  <c r="E6537" i="1"/>
  <c r="C6538" i="1"/>
  <c r="D6538" i="1"/>
  <c r="E6538" i="1"/>
  <c r="C6539" i="1"/>
  <c r="D6539" i="1"/>
  <c r="E6539" i="1"/>
  <c r="C6540" i="1"/>
  <c r="D6540" i="1"/>
  <c r="E6540" i="1"/>
  <c r="C6541" i="1"/>
  <c r="D6541" i="1"/>
  <c r="E6541" i="1"/>
  <c r="C6542" i="1"/>
  <c r="D6542" i="1"/>
  <c r="E6542" i="1"/>
  <c r="C6543" i="1"/>
  <c r="D6543" i="1"/>
  <c r="E6543" i="1"/>
  <c r="C6544" i="1"/>
  <c r="D6544" i="1"/>
  <c r="E6544" i="1"/>
  <c r="C6545" i="1"/>
  <c r="D6545" i="1"/>
  <c r="E6545" i="1"/>
  <c r="C6546" i="1"/>
  <c r="D6546" i="1"/>
  <c r="E6546" i="1"/>
  <c r="C6547" i="1"/>
  <c r="D6547" i="1"/>
  <c r="E6547" i="1"/>
  <c r="C6548" i="1"/>
  <c r="D6548" i="1"/>
  <c r="E6548" i="1"/>
  <c r="C6549" i="1"/>
  <c r="D6549" i="1"/>
  <c r="E6549" i="1"/>
  <c r="C6550" i="1"/>
  <c r="D6550" i="1"/>
  <c r="E6550" i="1"/>
  <c r="C6551" i="1"/>
  <c r="D6551" i="1"/>
  <c r="E6551" i="1"/>
  <c r="C6552" i="1"/>
  <c r="D6552" i="1"/>
  <c r="E6552" i="1"/>
  <c r="C6553" i="1"/>
  <c r="D6553" i="1"/>
  <c r="E6553" i="1"/>
  <c r="C6554" i="1"/>
  <c r="D6554" i="1"/>
  <c r="E6554" i="1"/>
  <c r="C6555" i="1"/>
  <c r="D6555" i="1"/>
  <c r="E6555" i="1"/>
  <c r="C6556" i="1"/>
  <c r="D6556" i="1"/>
  <c r="E6556" i="1"/>
  <c r="C6557" i="1"/>
  <c r="D6557" i="1"/>
  <c r="E6557" i="1"/>
  <c r="C6558" i="1"/>
  <c r="D6558" i="1"/>
  <c r="E6558" i="1"/>
  <c r="C6559" i="1"/>
  <c r="D6559" i="1"/>
  <c r="E6559" i="1"/>
  <c r="C6560" i="1"/>
  <c r="D6560" i="1"/>
  <c r="E6560" i="1"/>
  <c r="C6561" i="1"/>
  <c r="D6561" i="1"/>
  <c r="E6561" i="1"/>
  <c r="C6562" i="1"/>
  <c r="D6562" i="1"/>
  <c r="E6562" i="1"/>
  <c r="C6563" i="1"/>
  <c r="D6563" i="1"/>
  <c r="E6563" i="1"/>
  <c r="C6564" i="1"/>
  <c r="D6564" i="1"/>
  <c r="E6564" i="1"/>
  <c r="C6565" i="1"/>
  <c r="D6565" i="1"/>
  <c r="E6565" i="1"/>
  <c r="C6566" i="1"/>
  <c r="D6566" i="1"/>
  <c r="E6566" i="1"/>
  <c r="C6567" i="1"/>
  <c r="D6567" i="1"/>
  <c r="E6567" i="1"/>
  <c r="C6568" i="1"/>
  <c r="D6568" i="1"/>
  <c r="E6568" i="1"/>
  <c r="C6569" i="1"/>
  <c r="D6569" i="1"/>
  <c r="E6569" i="1"/>
  <c r="C6570" i="1"/>
  <c r="D6570" i="1"/>
  <c r="E6570" i="1"/>
  <c r="C6571" i="1"/>
  <c r="D6571" i="1"/>
  <c r="E6571" i="1"/>
  <c r="C6572" i="1"/>
  <c r="D6572" i="1"/>
  <c r="E6572" i="1"/>
  <c r="C6573" i="1"/>
  <c r="D6573" i="1"/>
  <c r="E6573" i="1"/>
  <c r="C6574" i="1"/>
  <c r="D6574" i="1"/>
  <c r="E6574" i="1"/>
  <c r="C6575" i="1"/>
  <c r="D6575" i="1"/>
  <c r="E6575" i="1"/>
  <c r="C6576" i="1"/>
  <c r="D6576" i="1"/>
  <c r="E6576" i="1"/>
  <c r="C6577" i="1"/>
  <c r="D6577" i="1"/>
  <c r="E6577" i="1"/>
  <c r="C6578" i="1"/>
  <c r="D6578" i="1"/>
  <c r="E6578" i="1"/>
  <c r="C6579" i="1"/>
  <c r="D6579" i="1"/>
  <c r="E6579" i="1"/>
  <c r="C6580" i="1"/>
  <c r="D6580" i="1"/>
  <c r="E6580" i="1"/>
  <c r="C6581" i="1"/>
  <c r="D6581" i="1"/>
  <c r="E6581" i="1"/>
  <c r="C6582" i="1"/>
  <c r="D6582" i="1"/>
  <c r="E6582" i="1"/>
  <c r="C6583" i="1"/>
  <c r="D6583" i="1"/>
  <c r="E6583" i="1"/>
  <c r="C6584" i="1"/>
  <c r="D6584" i="1"/>
  <c r="E6584" i="1"/>
  <c r="C6585" i="1"/>
  <c r="D6585" i="1"/>
  <c r="E6585" i="1"/>
  <c r="C6586" i="1"/>
  <c r="D6586" i="1"/>
  <c r="E6586" i="1"/>
  <c r="C6587" i="1"/>
  <c r="D6587" i="1"/>
  <c r="E6587" i="1"/>
  <c r="C6588" i="1"/>
  <c r="D6588" i="1"/>
  <c r="E6588" i="1"/>
  <c r="C6589" i="1"/>
  <c r="D6589" i="1"/>
  <c r="E6589" i="1"/>
  <c r="C6590" i="1"/>
  <c r="D6590" i="1"/>
  <c r="E6590" i="1"/>
  <c r="C6591" i="1"/>
  <c r="D6591" i="1"/>
  <c r="E6591" i="1"/>
  <c r="C6592" i="1"/>
  <c r="D6592" i="1"/>
  <c r="E6592" i="1"/>
  <c r="C6593" i="1"/>
  <c r="D6593" i="1"/>
  <c r="E6593" i="1"/>
  <c r="C6594" i="1"/>
  <c r="D6594" i="1"/>
  <c r="E6594" i="1"/>
  <c r="C6595" i="1"/>
  <c r="D6595" i="1"/>
  <c r="E6595" i="1"/>
  <c r="C6596" i="1"/>
  <c r="D6596" i="1"/>
  <c r="E6596" i="1"/>
  <c r="C6597" i="1"/>
  <c r="D6597" i="1"/>
  <c r="E6597" i="1"/>
  <c r="C6598" i="1"/>
  <c r="D6598" i="1"/>
  <c r="E6598" i="1"/>
  <c r="C6599" i="1"/>
  <c r="D6599" i="1"/>
  <c r="E6599" i="1"/>
  <c r="C6600" i="1"/>
  <c r="D6600" i="1"/>
  <c r="E6600" i="1"/>
  <c r="C6601" i="1"/>
  <c r="D6601" i="1"/>
  <c r="E6601" i="1"/>
  <c r="C6602" i="1"/>
  <c r="D6602" i="1"/>
  <c r="E6602" i="1"/>
  <c r="C6603" i="1"/>
  <c r="D6603" i="1"/>
  <c r="E6603" i="1"/>
  <c r="C6604" i="1"/>
  <c r="D6604" i="1"/>
  <c r="E6604" i="1"/>
  <c r="C6605" i="1"/>
  <c r="D6605" i="1"/>
  <c r="E6605" i="1"/>
  <c r="C6606" i="1"/>
  <c r="D6606" i="1"/>
  <c r="E6606" i="1"/>
  <c r="C6607" i="1"/>
  <c r="D6607" i="1"/>
  <c r="E6607" i="1"/>
  <c r="C6608" i="1"/>
  <c r="D6608" i="1"/>
  <c r="E6608" i="1"/>
  <c r="C6609" i="1"/>
  <c r="D6609" i="1"/>
  <c r="E6609" i="1"/>
  <c r="C6610" i="1"/>
  <c r="D6610" i="1"/>
  <c r="E6610" i="1"/>
  <c r="C6611" i="1"/>
  <c r="D6611" i="1"/>
  <c r="E6611" i="1"/>
  <c r="C6612" i="1"/>
  <c r="D6612" i="1"/>
  <c r="E6612" i="1"/>
  <c r="C6613" i="1"/>
  <c r="D6613" i="1"/>
  <c r="E6613" i="1"/>
  <c r="C6614" i="1"/>
  <c r="D6614" i="1"/>
  <c r="E6614" i="1"/>
  <c r="C6615" i="1"/>
  <c r="D6615" i="1"/>
  <c r="E6615" i="1"/>
  <c r="C6616" i="1"/>
  <c r="D6616" i="1"/>
  <c r="E6616" i="1"/>
  <c r="C6617" i="1"/>
  <c r="D6617" i="1"/>
  <c r="E6617" i="1"/>
  <c r="C6618" i="1"/>
  <c r="D6618" i="1"/>
  <c r="E6618" i="1"/>
  <c r="C6619" i="1"/>
  <c r="D6619" i="1"/>
  <c r="E6619" i="1"/>
  <c r="C6620" i="1"/>
  <c r="D6620" i="1"/>
  <c r="E6620" i="1"/>
  <c r="C6621" i="1"/>
  <c r="D6621" i="1"/>
  <c r="E6621" i="1"/>
  <c r="C6622" i="1"/>
  <c r="D6622" i="1"/>
  <c r="E6622" i="1"/>
  <c r="C6623" i="1"/>
  <c r="D6623" i="1"/>
  <c r="E6623" i="1"/>
  <c r="C6624" i="1"/>
  <c r="D6624" i="1"/>
  <c r="E6624" i="1"/>
  <c r="C6625" i="1"/>
  <c r="D6625" i="1"/>
  <c r="E6625" i="1"/>
  <c r="C6626" i="1"/>
  <c r="D6626" i="1"/>
  <c r="E6626" i="1"/>
  <c r="C6627" i="1"/>
  <c r="D6627" i="1"/>
  <c r="E6627" i="1"/>
  <c r="C6628" i="1"/>
  <c r="D6628" i="1"/>
  <c r="E6628" i="1"/>
  <c r="C6629" i="1"/>
  <c r="D6629" i="1"/>
  <c r="E6629" i="1"/>
  <c r="C6630" i="1"/>
  <c r="D6630" i="1"/>
  <c r="E6630" i="1"/>
  <c r="C6631" i="1"/>
  <c r="D6631" i="1"/>
  <c r="E6631" i="1"/>
  <c r="C6632" i="1"/>
  <c r="D6632" i="1"/>
  <c r="E6632" i="1"/>
  <c r="C6633" i="1"/>
  <c r="D6633" i="1"/>
  <c r="E6633" i="1"/>
  <c r="C6634" i="1"/>
  <c r="D6634" i="1"/>
  <c r="E6634" i="1"/>
  <c r="C6635" i="1"/>
  <c r="D6635" i="1"/>
  <c r="E6635" i="1"/>
  <c r="C6636" i="1"/>
  <c r="D6636" i="1"/>
  <c r="E6636" i="1"/>
  <c r="C6637" i="1"/>
  <c r="D6637" i="1"/>
  <c r="E6637" i="1"/>
  <c r="C6638" i="1"/>
  <c r="D6638" i="1"/>
  <c r="E6638" i="1"/>
  <c r="C6639" i="1"/>
  <c r="D6639" i="1"/>
  <c r="E6639" i="1"/>
  <c r="C6640" i="1"/>
  <c r="D6640" i="1"/>
  <c r="E6640" i="1"/>
  <c r="C6641" i="1"/>
  <c r="D6641" i="1"/>
  <c r="E6641" i="1"/>
  <c r="C6642" i="1"/>
  <c r="D6642" i="1"/>
  <c r="E6642" i="1"/>
  <c r="C6643" i="1"/>
  <c r="D6643" i="1"/>
  <c r="E6643" i="1"/>
  <c r="C6644" i="1"/>
  <c r="D6644" i="1"/>
  <c r="E6644" i="1"/>
  <c r="C6645" i="1"/>
  <c r="D6645" i="1"/>
  <c r="E6645" i="1"/>
  <c r="C6646" i="1"/>
  <c r="D6646" i="1"/>
  <c r="E6646" i="1"/>
  <c r="C6647" i="1"/>
  <c r="D6647" i="1"/>
  <c r="E6647" i="1"/>
  <c r="C6648" i="1"/>
  <c r="D6648" i="1"/>
  <c r="E6648" i="1"/>
  <c r="C6649" i="1"/>
  <c r="D6649" i="1"/>
  <c r="E6649" i="1"/>
  <c r="C6650" i="1"/>
  <c r="D6650" i="1"/>
  <c r="E6650" i="1"/>
  <c r="C6651" i="1"/>
  <c r="D6651" i="1"/>
  <c r="E6651" i="1"/>
  <c r="C6652" i="1"/>
  <c r="D6652" i="1"/>
  <c r="E6652" i="1"/>
  <c r="C6653" i="1"/>
  <c r="D6653" i="1"/>
  <c r="E6653" i="1"/>
  <c r="C6654" i="1"/>
  <c r="D6654" i="1"/>
  <c r="E6654" i="1"/>
  <c r="C6655" i="1"/>
  <c r="D6655" i="1"/>
  <c r="E6655" i="1"/>
  <c r="C6656" i="1"/>
  <c r="D6656" i="1"/>
  <c r="E6656" i="1"/>
  <c r="C6657" i="1"/>
  <c r="D6657" i="1"/>
  <c r="E6657" i="1"/>
  <c r="C6658" i="1"/>
  <c r="D6658" i="1"/>
  <c r="E6658" i="1"/>
  <c r="C6659" i="1"/>
  <c r="D6659" i="1"/>
  <c r="E6659" i="1"/>
  <c r="C6660" i="1"/>
  <c r="D6660" i="1"/>
  <c r="E6660" i="1"/>
  <c r="C6661" i="1"/>
  <c r="D6661" i="1"/>
  <c r="E6661" i="1"/>
  <c r="C6662" i="1"/>
  <c r="D6662" i="1"/>
  <c r="E6662" i="1"/>
  <c r="C6663" i="1"/>
  <c r="D6663" i="1"/>
  <c r="E6663" i="1"/>
  <c r="C6664" i="1"/>
  <c r="D6664" i="1"/>
  <c r="E6664" i="1"/>
  <c r="C6665" i="1"/>
  <c r="D6665" i="1"/>
  <c r="E6665" i="1"/>
  <c r="C6666" i="1"/>
  <c r="D6666" i="1"/>
  <c r="E6666" i="1"/>
  <c r="C6667" i="1"/>
  <c r="D6667" i="1"/>
  <c r="E6667" i="1"/>
  <c r="C6668" i="1"/>
  <c r="D6668" i="1"/>
  <c r="E6668" i="1"/>
  <c r="C6669" i="1"/>
  <c r="D6669" i="1"/>
  <c r="E6669" i="1"/>
  <c r="C6670" i="1"/>
  <c r="D6670" i="1"/>
  <c r="E6670" i="1"/>
  <c r="C6671" i="1"/>
  <c r="D6671" i="1"/>
  <c r="E6671" i="1"/>
  <c r="C6672" i="1"/>
  <c r="D6672" i="1"/>
  <c r="E6672" i="1"/>
  <c r="C6673" i="1"/>
  <c r="D6673" i="1"/>
  <c r="E6673" i="1"/>
  <c r="C6674" i="1"/>
  <c r="D6674" i="1"/>
  <c r="E6674" i="1"/>
  <c r="C6675" i="1"/>
  <c r="D6675" i="1"/>
  <c r="E6675" i="1"/>
  <c r="C6676" i="1"/>
  <c r="D6676" i="1"/>
  <c r="E6676" i="1"/>
  <c r="C6677" i="1"/>
  <c r="D6677" i="1"/>
  <c r="E6677" i="1"/>
  <c r="C6678" i="1"/>
  <c r="D6678" i="1"/>
  <c r="E6678" i="1"/>
  <c r="C6679" i="1"/>
  <c r="D6679" i="1"/>
  <c r="E6679" i="1"/>
  <c r="C6680" i="1"/>
  <c r="D6680" i="1"/>
  <c r="E6680" i="1"/>
  <c r="C6681" i="1"/>
  <c r="D6681" i="1"/>
  <c r="E6681" i="1"/>
  <c r="C6682" i="1"/>
  <c r="D6682" i="1"/>
  <c r="E6682" i="1"/>
  <c r="C6683" i="1"/>
  <c r="D6683" i="1"/>
  <c r="E6683" i="1"/>
  <c r="C6684" i="1"/>
  <c r="D6684" i="1"/>
  <c r="E6684" i="1"/>
  <c r="C6685" i="1"/>
  <c r="D6685" i="1"/>
  <c r="E6685" i="1"/>
  <c r="C6686" i="1"/>
  <c r="D6686" i="1"/>
  <c r="E6686" i="1"/>
  <c r="C6687" i="1"/>
  <c r="D6687" i="1"/>
  <c r="E6687" i="1"/>
  <c r="C6688" i="1"/>
  <c r="D6688" i="1"/>
  <c r="E6688" i="1"/>
  <c r="C6689" i="1"/>
  <c r="D6689" i="1"/>
  <c r="E6689" i="1"/>
  <c r="C6690" i="1"/>
  <c r="D6690" i="1"/>
  <c r="E6690" i="1"/>
  <c r="C6691" i="1"/>
  <c r="D6691" i="1"/>
  <c r="E6691" i="1"/>
  <c r="C6692" i="1"/>
  <c r="D6692" i="1"/>
  <c r="E6692" i="1"/>
  <c r="C6693" i="1"/>
  <c r="D6693" i="1"/>
  <c r="E6693" i="1"/>
  <c r="C6694" i="1"/>
  <c r="D6694" i="1"/>
  <c r="E6694" i="1"/>
  <c r="C6695" i="1"/>
  <c r="D6695" i="1"/>
  <c r="E6695" i="1"/>
  <c r="C6696" i="1"/>
  <c r="D6696" i="1"/>
  <c r="E6696" i="1"/>
  <c r="C6697" i="1"/>
  <c r="D6697" i="1"/>
  <c r="E6697" i="1"/>
  <c r="C6698" i="1"/>
  <c r="D6698" i="1"/>
  <c r="E6698" i="1"/>
  <c r="C6699" i="1"/>
  <c r="D6699" i="1"/>
  <c r="E6699" i="1"/>
  <c r="C6700" i="1"/>
  <c r="D6700" i="1"/>
  <c r="E6700" i="1"/>
  <c r="C6701" i="1"/>
  <c r="D6701" i="1"/>
  <c r="E6701" i="1"/>
  <c r="C6702" i="1"/>
  <c r="D6702" i="1"/>
  <c r="E6702" i="1"/>
  <c r="C6703" i="1"/>
  <c r="D6703" i="1"/>
  <c r="E6703" i="1"/>
  <c r="C6704" i="1"/>
  <c r="D6704" i="1"/>
  <c r="E6704" i="1"/>
  <c r="C6705" i="1"/>
  <c r="D6705" i="1"/>
  <c r="E6705" i="1"/>
  <c r="C6706" i="1"/>
  <c r="D6706" i="1"/>
  <c r="E6706" i="1"/>
  <c r="C6707" i="1"/>
  <c r="D6707" i="1"/>
  <c r="E6707" i="1"/>
  <c r="C6708" i="1"/>
  <c r="D6708" i="1"/>
  <c r="E6708" i="1"/>
  <c r="C6709" i="1"/>
  <c r="D6709" i="1"/>
  <c r="E6709" i="1"/>
  <c r="C6710" i="1"/>
  <c r="D6710" i="1"/>
  <c r="E6710" i="1"/>
  <c r="C6711" i="1"/>
  <c r="D6711" i="1"/>
  <c r="E6711" i="1"/>
  <c r="C6712" i="1"/>
  <c r="D6712" i="1"/>
  <c r="E6712" i="1"/>
  <c r="C6713" i="1"/>
  <c r="D6713" i="1"/>
  <c r="E6713" i="1"/>
  <c r="C6714" i="1"/>
  <c r="D6714" i="1"/>
  <c r="E6714" i="1"/>
  <c r="C6715" i="1"/>
  <c r="D6715" i="1"/>
  <c r="E6715" i="1"/>
  <c r="C6716" i="1"/>
  <c r="D6716" i="1"/>
  <c r="E6716" i="1"/>
  <c r="C6717" i="1"/>
  <c r="D6717" i="1"/>
  <c r="E6717" i="1"/>
  <c r="C6718" i="1"/>
  <c r="D6718" i="1"/>
  <c r="E6718" i="1"/>
  <c r="C6719" i="1"/>
  <c r="D6719" i="1"/>
  <c r="E6719" i="1"/>
  <c r="C6720" i="1"/>
  <c r="D6720" i="1"/>
  <c r="E6720" i="1"/>
  <c r="C6721" i="1"/>
  <c r="D6721" i="1"/>
  <c r="E6721" i="1"/>
  <c r="C6722" i="1"/>
  <c r="D6722" i="1"/>
  <c r="E6722" i="1"/>
  <c r="C6723" i="1"/>
  <c r="D6723" i="1"/>
  <c r="E6723" i="1"/>
  <c r="C6724" i="1"/>
  <c r="D6724" i="1"/>
  <c r="E6724" i="1"/>
  <c r="C6725" i="1"/>
  <c r="D6725" i="1"/>
  <c r="E6725" i="1"/>
  <c r="C6726" i="1"/>
  <c r="D6726" i="1"/>
  <c r="E6726" i="1"/>
  <c r="C6727" i="1"/>
  <c r="D6727" i="1"/>
  <c r="E6727" i="1"/>
  <c r="C6728" i="1"/>
  <c r="D6728" i="1"/>
  <c r="E6728" i="1"/>
  <c r="C6729" i="1"/>
  <c r="D6729" i="1"/>
  <c r="E6729" i="1"/>
  <c r="C6730" i="1"/>
  <c r="D6730" i="1"/>
  <c r="E6730" i="1"/>
  <c r="C6731" i="1"/>
  <c r="D6731" i="1"/>
  <c r="E6731" i="1"/>
  <c r="C6732" i="1"/>
  <c r="D6732" i="1"/>
  <c r="E6732" i="1"/>
  <c r="C6733" i="1"/>
  <c r="D6733" i="1"/>
  <c r="E6733" i="1"/>
  <c r="C6734" i="1"/>
  <c r="D6734" i="1"/>
  <c r="E6734" i="1"/>
  <c r="C6735" i="1"/>
  <c r="D6735" i="1"/>
  <c r="E6735" i="1"/>
  <c r="C6736" i="1"/>
  <c r="D6736" i="1"/>
  <c r="E6736" i="1"/>
  <c r="C6737" i="1"/>
  <c r="D6737" i="1"/>
  <c r="E6737" i="1"/>
  <c r="C6738" i="1"/>
  <c r="D6738" i="1"/>
  <c r="E6738" i="1"/>
  <c r="C6739" i="1"/>
  <c r="D6739" i="1"/>
  <c r="E6739" i="1"/>
  <c r="C6740" i="1"/>
  <c r="D6740" i="1"/>
  <c r="E6740" i="1"/>
  <c r="C6741" i="1"/>
  <c r="D6741" i="1"/>
  <c r="E6741" i="1"/>
  <c r="C6742" i="1"/>
  <c r="D6742" i="1"/>
  <c r="E6742" i="1"/>
  <c r="C6743" i="1"/>
  <c r="D6743" i="1"/>
  <c r="E6743" i="1"/>
  <c r="C6744" i="1"/>
  <c r="D6744" i="1"/>
  <c r="E6744" i="1"/>
  <c r="C6745" i="1"/>
  <c r="D6745" i="1"/>
  <c r="E6745" i="1"/>
  <c r="C6746" i="1"/>
  <c r="D6746" i="1"/>
  <c r="E6746" i="1"/>
  <c r="C6747" i="1"/>
  <c r="D6747" i="1"/>
  <c r="E6747" i="1"/>
  <c r="C6748" i="1"/>
  <c r="D6748" i="1"/>
  <c r="E6748" i="1"/>
  <c r="C6749" i="1"/>
  <c r="D6749" i="1"/>
  <c r="E6749" i="1"/>
  <c r="C6750" i="1"/>
  <c r="D6750" i="1"/>
  <c r="E6750" i="1"/>
  <c r="C6751" i="1"/>
  <c r="D6751" i="1"/>
  <c r="E6751" i="1"/>
  <c r="C6752" i="1"/>
  <c r="D6752" i="1"/>
  <c r="E6752" i="1"/>
  <c r="C6753" i="1"/>
  <c r="D6753" i="1"/>
  <c r="E6753" i="1"/>
  <c r="C6754" i="1"/>
  <c r="D6754" i="1"/>
  <c r="E6754" i="1"/>
  <c r="C6755" i="1"/>
  <c r="D6755" i="1"/>
  <c r="E6755" i="1"/>
  <c r="C6756" i="1"/>
  <c r="D6756" i="1"/>
  <c r="E6756" i="1"/>
  <c r="C6757" i="1"/>
  <c r="D6757" i="1"/>
  <c r="E6757" i="1"/>
  <c r="C6758" i="1"/>
  <c r="D6758" i="1"/>
  <c r="E6758" i="1"/>
  <c r="C6759" i="1"/>
  <c r="D6759" i="1"/>
  <c r="E6759" i="1"/>
  <c r="C6760" i="1"/>
  <c r="D6760" i="1"/>
  <c r="E6760" i="1"/>
  <c r="C6761" i="1"/>
  <c r="D6761" i="1"/>
  <c r="E6761" i="1"/>
  <c r="C6762" i="1"/>
  <c r="D6762" i="1"/>
  <c r="E6762" i="1"/>
  <c r="C6763" i="1"/>
  <c r="D6763" i="1"/>
  <c r="E6763" i="1"/>
  <c r="C6764" i="1"/>
  <c r="D6764" i="1"/>
  <c r="E6764" i="1"/>
  <c r="C6765" i="1"/>
  <c r="D6765" i="1"/>
  <c r="E6765" i="1"/>
  <c r="C6766" i="1"/>
  <c r="D6766" i="1"/>
  <c r="E6766" i="1"/>
  <c r="C6767" i="1"/>
  <c r="D6767" i="1"/>
  <c r="E6767" i="1"/>
  <c r="C6768" i="1"/>
  <c r="D6768" i="1"/>
  <c r="E6768" i="1"/>
  <c r="C6769" i="1"/>
  <c r="D6769" i="1"/>
  <c r="E6769" i="1"/>
  <c r="C6770" i="1"/>
  <c r="D6770" i="1"/>
  <c r="E6770" i="1"/>
  <c r="C6771" i="1"/>
  <c r="D6771" i="1"/>
  <c r="E6771" i="1"/>
  <c r="C6772" i="1"/>
  <c r="D6772" i="1"/>
  <c r="E6772" i="1"/>
  <c r="C6773" i="1"/>
  <c r="D6773" i="1"/>
  <c r="E6773" i="1"/>
  <c r="C6774" i="1"/>
  <c r="D6774" i="1"/>
  <c r="E6774" i="1"/>
  <c r="C6775" i="1"/>
  <c r="D6775" i="1"/>
  <c r="E6775" i="1"/>
  <c r="C6776" i="1"/>
  <c r="D6776" i="1"/>
  <c r="E6776" i="1"/>
  <c r="C6777" i="1"/>
  <c r="D6777" i="1"/>
  <c r="E6777" i="1"/>
  <c r="C6778" i="1"/>
  <c r="D6778" i="1"/>
  <c r="E6778" i="1"/>
  <c r="C6779" i="1"/>
  <c r="D6779" i="1"/>
  <c r="E6779" i="1"/>
  <c r="C6780" i="1"/>
  <c r="D6780" i="1"/>
  <c r="E6780" i="1"/>
  <c r="C6781" i="1"/>
  <c r="D6781" i="1"/>
  <c r="E6781" i="1"/>
  <c r="C6782" i="1"/>
  <c r="D6782" i="1"/>
  <c r="E6782" i="1"/>
  <c r="C6783" i="1"/>
  <c r="D6783" i="1"/>
  <c r="E6783" i="1"/>
  <c r="C6784" i="1"/>
  <c r="D6784" i="1"/>
  <c r="E6784" i="1"/>
  <c r="C6785" i="1"/>
  <c r="D6785" i="1"/>
  <c r="E6785" i="1"/>
  <c r="C6786" i="1"/>
  <c r="D6786" i="1"/>
  <c r="E6786" i="1"/>
  <c r="C6787" i="1"/>
  <c r="D6787" i="1"/>
  <c r="E6787" i="1"/>
  <c r="C6788" i="1"/>
  <c r="D6788" i="1"/>
  <c r="E6788" i="1"/>
  <c r="C6789" i="1"/>
  <c r="D6789" i="1"/>
  <c r="E6789" i="1"/>
  <c r="C6790" i="1"/>
  <c r="D6790" i="1"/>
  <c r="E6790" i="1"/>
  <c r="C6791" i="1"/>
  <c r="D6791" i="1"/>
  <c r="E6791" i="1"/>
  <c r="C6792" i="1"/>
  <c r="D6792" i="1"/>
  <c r="E6792" i="1"/>
  <c r="C6793" i="1"/>
  <c r="D6793" i="1"/>
  <c r="E6793" i="1"/>
  <c r="C6794" i="1"/>
  <c r="D6794" i="1"/>
  <c r="E6794" i="1"/>
  <c r="C6795" i="1"/>
  <c r="D6795" i="1"/>
  <c r="E6795" i="1"/>
  <c r="C6796" i="1"/>
  <c r="D6796" i="1"/>
  <c r="E6796" i="1"/>
  <c r="C6797" i="1"/>
  <c r="D6797" i="1"/>
  <c r="E6797" i="1"/>
  <c r="C6798" i="1"/>
  <c r="D6798" i="1"/>
  <c r="E6798" i="1"/>
  <c r="C6799" i="1"/>
  <c r="D6799" i="1"/>
  <c r="E6799" i="1"/>
  <c r="C6800" i="1"/>
  <c r="D6800" i="1"/>
  <c r="E6800" i="1"/>
  <c r="C6801" i="1"/>
  <c r="D6801" i="1"/>
  <c r="E6801" i="1"/>
  <c r="C6802" i="1"/>
  <c r="D6802" i="1"/>
  <c r="E6802" i="1"/>
  <c r="C6803" i="1"/>
  <c r="D6803" i="1"/>
  <c r="E6803" i="1"/>
  <c r="C6804" i="1"/>
  <c r="D6804" i="1"/>
  <c r="E6804" i="1"/>
  <c r="C6805" i="1"/>
  <c r="D6805" i="1"/>
  <c r="E6805" i="1"/>
  <c r="C6806" i="1"/>
  <c r="D6806" i="1"/>
  <c r="E6806" i="1"/>
  <c r="C6807" i="1"/>
  <c r="D6807" i="1"/>
  <c r="E6807" i="1"/>
  <c r="C6808" i="1"/>
  <c r="D6808" i="1"/>
  <c r="E6808" i="1"/>
  <c r="C6809" i="1"/>
  <c r="D6809" i="1"/>
  <c r="E6809" i="1"/>
  <c r="C6810" i="1"/>
  <c r="D6810" i="1"/>
  <c r="E6810" i="1"/>
  <c r="C6811" i="1"/>
  <c r="D6811" i="1"/>
  <c r="E6811" i="1"/>
  <c r="C6812" i="1"/>
  <c r="D6812" i="1"/>
  <c r="E6812" i="1"/>
  <c r="C6813" i="1"/>
  <c r="D6813" i="1"/>
  <c r="E6813" i="1"/>
  <c r="C6814" i="1"/>
  <c r="D6814" i="1"/>
  <c r="E6814" i="1"/>
  <c r="C6815" i="1"/>
  <c r="D6815" i="1"/>
  <c r="E6815" i="1"/>
  <c r="C6816" i="1"/>
  <c r="D6816" i="1"/>
  <c r="E6816" i="1"/>
  <c r="C6817" i="1"/>
  <c r="D6817" i="1"/>
  <c r="E6817" i="1"/>
  <c r="C6818" i="1"/>
  <c r="D6818" i="1"/>
  <c r="E6818" i="1"/>
  <c r="C6819" i="1"/>
  <c r="D6819" i="1"/>
  <c r="E6819" i="1"/>
  <c r="C6820" i="1"/>
  <c r="D6820" i="1"/>
  <c r="E6820" i="1"/>
  <c r="C6821" i="1"/>
  <c r="D6821" i="1"/>
  <c r="E6821" i="1"/>
  <c r="C6822" i="1"/>
  <c r="D6822" i="1"/>
  <c r="E6822" i="1"/>
  <c r="C6823" i="1"/>
  <c r="D6823" i="1"/>
  <c r="E6823" i="1"/>
  <c r="C6824" i="1"/>
  <c r="D6824" i="1"/>
  <c r="E6824" i="1"/>
  <c r="C6825" i="1"/>
  <c r="D6825" i="1"/>
  <c r="E6825" i="1"/>
  <c r="C6826" i="1"/>
  <c r="D6826" i="1"/>
  <c r="E6826" i="1"/>
  <c r="C6827" i="1"/>
  <c r="D6827" i="1"/>
  <c r="E6827" i="1"/>
  <c r="C6828" i="1"/>
  <c r="D6828" i="1"/>
  <c r="E6828" i="1"/>
  <c r="C6829" i="1"/>
  <c r="D6829" i="1"/>
  <c r="E6829" i="1"/>
  <c r="C6830" i="1"/>
  <c r="D6830" i="1"/>
  <c r="E6830" i="1"/>
  <c r="C6831" i="1"/>
  <c r="D6831" i="1"/>
  <c r="E6831" i="1"/>
  <c r="C6832" i="1"/>
  <c r="D6832" i="1"/>
  <c r="E6832" i="1"/>
  <c r="C6833" i="1"/>
  <c r="D6833" i="1"/>
  <c r="E6833" i="1"/>
  <c r="C6834" i="1"/>
  <c r="D6834" i="1"/>
  <c r="E6834" i="1"/>
  <c r="C6835" i="1"/>
  <c r="D6835" i="1"/>
  <c r="E6835" i="1"/>
  <c r="C6836" i="1"/>
  <c r="D6836" i="1"/>
  <c r="E6836" i="1"/>
  <c r="C6837" i="1"/>
  <c r="D6837" i="1"/>
  <c r="E6837" i="1"/>
  <c r="C6838" i="1"/>
  <c r="D6838" i="1"/>
  <c r="E6838" i="1"/>
  <c r="C6839" i="1"/>
  <c r="D6839" i="1"/>
  <c r="E6839" i="1"/>
  <c r="C6840" i="1"/>
  <c r="D6840" i="1"/>
  <c r="E6840" i="1"/>
  <c r="C6841" i="1"/>
  <c r="D6841" i="1"/>
  <c r="E6841" i="1"/>
  <c r="C6842" i="1"/>
  <c r="D6842" i="1"/>
  <c r="E6842" i="1"/>
  <c r="C6843" i="1"/>
  <c r="D6843" i="1"/>
  <c r="E6843" i="1"/>
  <c r="C6844" i="1"/>
  <c r="D6844" i="1"/>
  <c r="E6844" i="1"/>
  <c r="C6845" i="1"/>
  <c r="D6845" i="1"/>
  <c r="E6845" i="1"/>
  <c r="C6846" i="1"/>
  <c r="D6846" i="1"/>
  <c r="E6846" i="1"/>
  <c r="C6847" i="1"/>
  <c r="D6847" i="1"/>
  <c r="E6847" i="1"/>
  <c r="C6848" i="1"/>
  <c r="D6848" i="1"/>
  <c r="E6848" i="1"/>
  <c r="C6849" i="1"/>
  <c r="D6849" i="1"/>
  <c r="E6849" i="1"/>
  <c r="C6850" i="1"/>
  <c r="D6850" i="1"/>
  <c r="E6850" i="1"/>
  <c r="C6851" i="1"/>
  <c r="D6851" i="1"/>
  <c r="E6851" i="1"/>
  <c r="C6852" i="1"/>
  <c r="D6852" i="1"/>
  <c r="E6852" i="1"/>
  <c r="C6853" i="1"/>
  <c r="D6853" i="1"/>
  <c r="E6853" i="1"/>
  <c r="C6854" i="1"/>
  <c r="D6854" i="1"/>
  <c r="E6854" i="1"/>
  <c r="C6855" i="1"/>
  <c r="D6855" i="1"/>
  <c r="E6855" i="1"/>
  <c r="C6856" i="1"/>
  <c r="D6856" i="1"/>
  <c r="E6856" i="1"/>
  <c r="C6857" i="1"/>
  <c r="D6857" i="1"/>
  <c r="E6857" i="1"/>
  <c r="C6858" i="1"/>
  <c r="D6858" i="1"/>
  <c r="E6858" i="1"/>
  <c r="C6859" i="1"/>
  <c r="D6859" i="1"/>
  <c r="E6859" i="1"/>
  <c r="C6860" i="1"/>
  <c r="D6860" i="1"/>
  <c r="E6860" i="1"/>
  <c r="C6861" i="1"/>
  <c r="D6861" i="1"/>
  <c r="E6861" i="1"/>
  <c r="C6862" i="1"/>
  <c r="D6862" i="1"/>
  <c r="E6862" i="1"/>
  <c r="C6863" i="1"/>
  <c r="D6863" i="1"/>
  <c r="E6863" i="1"/>
  <c r="C6864" i="1"/>
  <c r="D6864" i="1"/>
  <c r="E6864" i="1"/>
  <c r="C6865" i="1"/>
  <c r="D6865" i="1"/>
  <c r="E6865" i="1"/>
  <c r="C6866" i="1"/>
  <c r="D6866" i="1"/>
  <c r="E6866" i="1"/>
  <c r="C6867" i="1"/>
  <c r="D6867" i="1"/>
  <c r="E6867" i="1"/>
  <c r="C6868" i="1"/>
  <c r="D6868" i="1"/>
  <c r="E6868" i="1"/>
  <c r="C6869" i="1"/>
  <c r="D6869" i="1"/>
  <c r="E6869" i="1"/>
  <c r="C6870" i="1"/>
  <c r="D6870" i="1"/>
  <c r="E6870" i="1"/>
  <c r="C6871" i="1"/>
  <c r="D6871" i="1"/>
  <c r="E6871" i="1"/>
  <c r="C6872" i="1"/>
  <c r="D6872" i="1"/>
  <c r="E6872" i="1"/>
  <c r="C6873" i="1"/>
  <c r="D6873" i="1"/>
  <c r="E6873" i="1"/>
  <c r="C6874" i="1"/>
  <c r="D6874" i="1"/>
  <c r="E6874" i="1"/>
  <c r="C6875" i="1"/>
  <c r="D6875" i="1"/>
  <c r="E6875" i="1"/>
  <c r="C6876" i="1"/>
  <c r="D6876" i="1"/>
  <c r="E6876" i="1"/>
  <c r="C6877" i="1"/>
  <c r="D6877" i="1"/>
  <c r="E6877" i="1"/>
  <c r="C6878" i="1"/>
  <c r="D6878" i="1"/>
  <c r="E6878" i="1"/>
  <c r="C6879" i="1"/>
  <c r="D6879" i="1"/>
  <c r="E6879" i="1"/>
  <c r="C6880" i="1"/>
  <c r="D6880" i="1"/>
  <c r="E6880" i="1"/>
  <c r="C6881" i="1"/>
  <c r="D6881" i="1"/>
  <c r="E6881" i="1"/>
  <c r="C6882" i="1"/>
  <c r="D6882" i="1"/>
  <c r="E6882" i="1"/>
  <c r="C6883" i="1"/>
  <c r="D6883" i="1"/>
  <c r="E6883" i="1"/>
  <c r="C6884" i="1"/>
  <c r="D6884" i="1"/>
  <c r="E6884" i="1"/>
  <c r="C6885" i="1"/>
  <c r="D6885" i="1"/>
  <c r="E6885" i="1"/>
  <c r="C6886" i="1"/>
  <c r="D6886" i="1"/>
  <c r="E6886" i="1"/>
  <c r="C6887" i="1"/>
  <c r="D6887" i="1"/>
  <c r="E6887" i="1"/>
  <c r="C6888" i="1"/>
  <c r="D6888" i="1"/>
  <c r="E6888" i="1"/>
  <c r="C6889" i="1"/>
  <c r="D6889" i="1"/>
  <c r="E6889" i="1"/>
  <c r="C6890" i="1"/>
  <c r="D6890" i="1"/>
  <c r="E6890" i="1"/>
  <c r="C6891" i="1"/>
  <c r="D6891" i="1"/>
  <c r="E6891" i="1"/>
  <c r="C6892" i="1"/>
  <c r="D6892" i="1"/>
  <c r="E6892" i="1"/>
  <c r="C6893" i="1"/>
  <c r="D6893" i="1"/>
  <c r="E6893" i="1"/>
  <c r="C6894" i="1"/>
  <c r="D6894" i="1"/>
  <c r="E6894" i="1"/>
  <c r="C6895" i="1"/>
  <c r="D6895" i="1"/>
  <c r="E6895" i="1"/>
  <c r="C6896" i="1"/>
  <c r="D6896" i="1"/>
  <c r="E6896" i="1"/>
  <c r="C6897" i="1"/>
  <c r="D6897" i="1"/>
  <c r="E6897" i="1"/>
  <c r="C6898" i="1"/>
  <c r="D6898" i="1"/>
  <c r="E6898" i="1"/>
  <c r="C6899" i="1"/>
  <c r="D6899" i="1"/>
  <c r="E6899" i="1"/>
  <c r="C6900" i="1"/>
  <c r="D6900" i="1"/>
  <c r="E6900" i="1"/>
  <c r="C6901" i="1"/>
  <c r="D6901" i="1"/>
  <c r="E6901" i="1"/>
  <c r="C6902" i="1"/>
  <c r="D6902" i="1"/>
  <c r="E6902" i="1"/>
  <c r="C6903" i="1"/>
  <c r="D6903" i="1"/>
  <c r="E6903" i="1"/>
  <c r="C6904" i="1"/>
  <c r="D6904" i="1"/>
  <c r="E6904" i="1"/>
  <c r="C6905" i="1"/>
  <c r="D6905" i="1"/>
  <c r="E6905" i="1"/>
  <c r="C6906" i="1"/>
  <c r="D6906" i="1"/>
  <c r="E6906" i="1"/>
  <c r="C6907" i="1"/>
  <c r="D6907" i="1"/>
  <c r="E6907" i="1"/>
  <c r="C6908" i="1"/>
  <c r="D6908" i="1"/>
  <c r="E6908" i="1"/>
  <c r="C6909" i="1"/>
  <c r="D6909" i="1"/>
  <c r="E6909" i="1"/>
  <c r="C6910" i="1"/>
  <c r="D6910" i="1"/>
  <c r="E6910" i="1"/>
  <c r="C6911" i="1"/>
  <c r="D6911" i="1"/>
  <c r="E6911" i="1"/>
  <c r="C6912" i="1"/>
  <c r="D6912" i="1"/>
  <c r="E6912" i="1"/>
  <c r="C6913" i="1"/>
  <c r="D6913" i="1"/>
  <c r="E6913" i="1"/>
  <c r="C6914" i="1"/>
  <c r="D6914" i="1"/>
  <c r="E6914" i="1"/>
  <c r="C6915" i="1"/>
  <c r="D6915" i="1"/>
  <c r="E6915" i="1"/>
  <c r="C6916" i="1"/>
  <c r="D6916" i="1"/>
  <c r="E6916" i="1"/>
  <c r="C6917" i="1"/>
  <c r="D6917" i="1"/>
  <c r="E6917" i="1"/>
  <c r="C6918" i="1"/>
  <c r="D6918" i="1"/>
  <c r="E6918" i="1"/>
  <c r="C6919" i="1"/>
  <c r="D6919" i="1"/>
  <c r="E6919" i="1"/>
  <c r="C6920" i="1"/>
  <c r="D6920" i="1"/>
  <c r="E6920" i="1"/>
  <c r="C6921" i="1"/>
  <c r="D6921" i="1"/>
  <c r="E6921" i="1"/>
  <c r="C6922" i="1"/>
  <c r="D6922" i="1"/>
  <c r="E6922" i="1"/>
  <c r="C6923" i="1"/>
  <c r="D6923" i="1"/>
  <c r="E6923" i="1"/>
  <c r="C6924" i="1"/>
  <c r="D6924" i="1"/>
  <c r="E6924" i="1"/>
  <c r="C6925" i="1"/>
  <c r="D6925" i="1"/>
  <c r="E6925" i="1"/>
  <c r="C6926" i="1"/>
  <c r="D6926" i="1"/>
  <c r="E6926" i="1"/>
  <c r="C6927" i="1"/>
  <c r="D6927" i="1"/>
  <c r="E6927" i="1"/>
  <c r="C6928" i="1"/>
  <c r="D6928" i="1"/>
  <c r="E6928" i="1"/>
  <c r="C6929" i="1"/>
  <c r="D6929" i="1"/>
  <c r="E6929" i="1"/>
  <c r="C6930" i="1"/>
  <c r="D6930" i="1"/>
  <c r="E6930" i="1"/>
  <c r="C6931" i="1"/>
  <c r="D6931" i="1"/>
  <c r="E6931" i="1"/>
  <c r="C6932" i="1"/>
  <c r="D6932" i="1"/>
  <c r="E6932" i="1"/>
  <c r="C6933" i="1"/>
  <c r="D6933" i="1"/>
  <c r="E6933" i="1"/>
  <c r="C6934" i="1"/>
  <c r="D6934" i="1"/>
  <c r="E6934" i="1"/>
  <c r="C6935" i="1"/>
  <c r="D6935" i="1"/>
  <c r="E6935" i="1"/>
  <c r="C6936" i="1"/>
  <c r="D6936" i="1"/>
  <c r="E6936" i="1"/>
  <c r="C6937" i="1"/>
  <c r="D6937" i="1"/>
  <c r="E6937" i="1"/>
  <c r="C6938" i="1"/>
  <c r="D6938" i="1"/>
  <c r="E6938" i="1"/>
  <c r="C6939" i="1"/>
  <c r="D6939" i="1"/>
  <c r="E6939" i="1"/>
  <c r="C6940" i="1"/>
  <c r="D6940" i="1"/>
  <c r="E6940" i="1"/>
  <c r="C6941" i="1"/>
  <c r="D6941" i="1"/>
  <c r="E6941" i="1"/>
  <c r="C6942" i="1"/>
  <c r="D6942" i="1"/>
  <c r="E6942" i="1"/>
  <c r="C6943" i="1"/>
  <c r="D6943" i="1"/>
  <c r="E6943" i="1"/>
  <c r="C6944" i="1"/>
  <c r="D6944" i="1"/>
  <c r="E6944" i="1"/>
  <c r="C6945" i="1"/>
  <c r="D6945" i="1"/>
  <c r="E6945" i="1"/>
  <c r="C6946" i="1"/>
  <c r="D6946" i="1"/>
  <c r="E6946" i="1"/>
  <c r="C6947" i="1"/>
  <c r="D6947" i="1"/>
  <c r="E6947" i="1"/>
  <c r="C6948" i="1"/>
  <c r="D6948" i="1"/>
  <c r="E6948" i="1"/>
  <c r="C6949" i="1"/>
  <c r="D6949" i="1"/>
  <c r="E6949" i="1"/>
  <c r="C6950" i="1"/>
  <c r="D6950" i="1"/>
  <c r="E6950" i="1"/>
  <c r="C6951" i="1"/>
  <c r="D6951" i="1"/>
  <c r="E6951" i="1"/>
  <c r="C6952" i="1"/>
  <c r="D6952" i="1"/>
  <c r="E6952" i="1"/>
  <c r="C6953" i="1"/>
  <c r="D6953" i="1"/>
  <c r="E6953" i="1"/>
  <c r="C6954" i="1"/>
  <c r="D6954" i="1"/>
  <c r="E6954" i="1"/>
  <c r="C6955" i="1"/>
  <c r="D6955" i="1"/>
  <c r="E6955" i="1"/>
  <c r="C6956" i="1"/>
  <c r="D6956" i="1"/>
  <c r="E6956" i="1"/>
  <c r="C6957" i="1"/>
  <c r="D6957" i="1"/>
  <c r="E6957" i="1"/>
  <c r="C6958" i="1"/>
  <c r="D6958" i="1"/>
  <c r="E6958" i="1"/>
  <c r="C6959" i="1"/>
  <c r="D6959" i="1"/>
  <c r="E6959" i="1"/>
  <c r="C6960" i="1"/>
  <c r="D6960" i="1"/>
  <c r="E6960" i="1"/>
  <c r="C6961" i="1"/>
  <c r="D6961" i="1"/>
  <c r="E6961" i="1"/>
  <c r="C6962" i="1"/>
  <c r="D6962" i="1"/>
  <c r="E6962" i="1"/>
  <c r="C6963" i="1"/>
  <c r="D6963" i="1"/>
  <c r="E6963" i="1"/>
  <c r="C6964" i="1"/>
  <c r="D6964" i="1"/>
  <c r="E6964" i="1"/>
  <c r="C6965" i="1"/>
  <c r="D6965" i="1"/>
  <c r="E6965" i="1"/>
  <c r="C6966" i="1"/>
  <c r="D6966" i="1"/>
  <c r="E6966" i="1"/>
  <c r="C6967" i="1"/>
  <c r="D6967" i="1"/>
  <c r="E6967" i="1"/>
  <c r="C6968" i="1"/>
  <c r="D6968" i="1"/>
  <c r="E6968" i="1"/>
  <c r="C6969" i="1"/>
  <c r="D6969" i="1"/>
  <c r="E6969" i="1"/>
  <c r="C6970" i="1"/>
  <c r="D6970" i="1"/>
  <c r="E6970" i="1"/>
  <c r="C6971" i="1"/>
  <c r="D6971" i="1"/>
  <c r="E6971" i="1"/>
  <c r="C6972" i="1"/>
  <c r="D6972" i="1"/>
  <c r="E6972" i="1"/>
  <c r="C6973" i="1"/>
  <c r="D6973" i="1"/>
  <c r="E6973" i="1"/>
  <c r="C6974" i="1"/>
  <c r="D6974" i="1"/>
  <c r="E6974" i="1"/>
  <c r="C6975" i="1"/>
  <c r="D6975" i="1"/>
  <c r="E6975" i="1"/>
  <c r="C6976" i="1"/>
  <c r="D6976" i="1"/>
  <c r="E6976" i="1"/>
  <c r="C6977" i="1"/>
  <c r="D6977" i="1"/>
  <c r="E6977" i="1"/>
  <c r="C6978" i="1"/>
  <c r="D6978" i="1"/>
  <c r="E6978" i="1"/>
  <c r="C6979" i="1"/>
  <c r="D6979" i="1"/>
  <c r="E6979" i="1"/>
  <c r="C6980" i="1"/>
  <c r="D6980" i="1"/>
  <c r="E6980" i="1"/>
  <c r="C6981" i="1"/>
  <c r="D6981" i="1"/>
  <c r="E6981" i="1"/>
  <c r="C6982" i="1"/>
  <c r="D6982" i="1"/>
  <c r="E6982" i="1"/>
  <c r="C6983" i="1"/>
  <c r="D6983" i="1"/>
  <c r="E6983" i="1"/>
  <c r="C6984" i="1"/>
  <c r="D6984" i="1"/>
  <c r="E6984" i="1"/>
  <c r="C6985" i="1"/>
  <c r="D6985" i="1"/>
  <c r="E6985" i="1"/>
  <c r="C6986" i="1"/>
  <c r="D6986" i="1"/>
  <c r="E6986" i="1"/>
  <c r="C6987" i="1"/>
  <c r="D6987" i="1"/>
  <c r="E6987" i="1"/>
  <c r="C6988" i="1"/>
  <c r="D6988" i="1"/>
  <c r="E6988" i="1"/>
  <c r="C6989" i="1"/>
  <c r="D6989" i="1"/>
  <c r="E6989" i="1"/>
  <c r="C6990" i="1"/>
  <c r="D6990" i="1"/>
  <c r="E6990" i="1"/>
  <c r="C6991" i="1"/>
  <c r="D6991" i="1"/>
  <c r="E6991" i="1"/>
  <c r="C6992" i="1"/>
  <c r="D6992" i="1"/>
  <c r="E6992" i="1"/>
  <c r="C6993" i="1"/>
  <c r="D6993" i="1"/>
  <c r="E6993" i="1"/>
  <c r="C6994" i="1"/>
  <c r="D6994" i="1"/>
  <c r="E6994" i="1"/>
  <c r="C6995" i="1"/>
  <c r="D6995" i="1"/>
  <c r="E6995" i="1"/>
  <c r="C6996" i="1"/>
  <c r="D6996" i="1"/>
  <c r="E6996" i="1"/>
  <c r="C6997" i="1"/>
  <c r="D6997" i="1"/>
  <c r="E6997" i="1"/>
  <c r="C6998" i="1"/>
  <c r="D6998" i="1"/>
  <c r="E6998" i="1"/>
  <c r="C6999" i="1"/>
  <c r="D6999" i="1"/>
  <c r="E6999" i="1"/>
  <c r="C7000" i="1"/>
  <c r="D7000" i="1"/>
  <c r="E7000" i="1"/>
  <c r="C7001" i="1"/>
  <c r="D7001" i="1"/>
  <c r="E7001" i="1"/>
  <c r="C7002" i="1"/>
  <c r="D7002" i="1"/>
  <c r="E7002" i="1"/>
  <c r="C7003" i="1"/>
  <c r="D7003" i="1"/>
  <c r="E7003" i="1"/>
  <c r="C7004" i="1"/>
  <c r="D7004" i="1"/>
  <c r="E7004" i="1"/>
  <c r="C7005" i="1"/>
  <c r="D7005" i="1"/>
  <c r="E7005" i="1"/>
  <c r="C7006" i="1"/>
  <c r="D7006" i="1"/>
  <c r="E7006" i="1"/>
  <c r="C7007" i="1"/>
  <c r="D7007" i="1"/>
  <c r="E7007" i="1"/>
  <c r="C7008" i="1"/>
  <c r="D7008" i="1"/>
  <c r="E7008" i="1"/>
  <c r="C7009" i="1"/>
  <c r="D7009" i="1"/>
  <c r="E7009" i="1"/>
  <c r="C7010" i="1"/>
  <c r="D7010" i="1"/>
  <c r="E7010" i="1"/>
  <c r="C7011" i="1"/>
  <c r="D7011" i="1"/>
  <c r="E7011" i="1"/>
  <c r="C7012" i="1"/>
  <c r="D7012" i="1"/>
  <c r="E7012" i="1"/>
  <c r="C7013" i="1"/>
  <c r="D7013" i="1"/>
  <c r="E7013" i="1"/>
  <c r="C7014" i="1"/>
  <c r="D7014" i="1"/>
  <c r="E7014" i="1"/>
  <c r="C7015" i="1"/>
  <c r="D7015" i="1"/>
  <c r="E7015" i="1"/>
  <c r="C7016" i="1"/>
  <c r="D7016" i="1"/>
  <c r="E7016" i="1"/>
  <c r="C7017" i="1"/>
  <c r="D7017" i="1"/>
  <c r="E7017" i="1"/>
  <c r="C7018" i="1"/>
  <c r="D7018" i="1"/>
  <c r="E7018" i="1"/>
  <c r="C7019" i="1"/>
  <c r="D7019" i="1"/>
  <c r="E7019" i="1"/>
  <c r="C7020" i="1"/>
  <c r="D7020" i="1"/>
  <c r="E7020" i="1"/>
  <c r="C7021" i="1"/>
  <c r="D7021" i="1"/>
  <c r="E7021" i="1"/>
  <c r="C7022" i="1"/>
  <c r="D7022" i="1"/>
  <c r="E7022" i="1"/>
  <c r="C7023" i="1"/>
  <c r="D7023" i="1"/>
  <c r="E7023" i="1"/>
  <c r="C7024" i="1"/>
  <c r="D7024" i="1"/>
  <c r="E7024" i="1"/>
  <c r="C7025" i="1"/>
  <c r="D7025" i="1"/>
  <c r="E7025" i="1"/>
  <c r="C7026" i="1"/>
  <c r="D7026" i="1"/>
  <c r="E7026" i="1"/>
  <c r="C7027" i="1"/>
  <c r="D7027" i="1"/>
  <c r="E7027" i="1"/>
  <c r="C7028" i="1"/>
  <c r="D7028" i="1"/>
  <c r="E7028" i="1"/>
  <c r="C7029" i="1"/>
  <c r="D7029" i="1"/>
  <c r="E7029" i="1"/>
  <c r="C7030" i="1"/>
  <c r="D7030" i="1"/>
  <c r="E7030" i="1"/>
  <c r="C7031" i="1"/>
  <c r="D7031" i="1"/>
  <c r="E7031" i="1"/>
  <c r="C7032" i="1"/>
  <c r="D7032" i="1"/>
  <c r="E7032" i="1"/>
  <c r="C7033" i="1"/>
  <c r="D7033" i="1"/>
  <c r="E7033" i="1"/>
  <c r="C7034" i="1"/>
  <c r="D7034" i="1"/>
  <c r="E7034" i="1"/>
  <c r="C7035" i="1"/>
  <c r="D7035" i="1"/>
  <c r="E7035" i="1"/>
  <c r="C7036" i="1"/>
  <c r="D7036" i="1"/>
  <c r="E7036" i="1"/>
  <c r="C7037" i="1"/>
  <c r="D7037" i="1"/>
  <c r="E7037" i="1"/>
  <c r="C7038" i="1"/>
  <c r="D7038" i="1"/>
  <c r="E7038" i="1"/>
  <c r="C7039" i="1"/>
  <c r="D7039" i="1"/>
  <c r="E7039" i="1"/>
  <c r="C7040" i="1"/>
  <c r="D7040" i="1"/>
  <c r="E7040" i="1"/>
  <c r="C7041" i="1"/>
  <c r="D7041" i="1"/>
  <c r="E7041" i="1"/>
  <c r="C7042" i="1"/>
  <c r="D7042" i="1"/>
  <c r="E7042" i="1"/>
  <c r="C7043" i="1"/>
  <c r="D7043" i="1"/>
  <c r="E7043" i="1"/>
  <c r="C7044" i="1"/>
  <c r="D7044" i="1"/>
  <c r="E7044" i="1"/>
  <c r="C7045" i="1"/>
  <c r="D7045" i="1"/>
  <c r="E7045" i="1"/>
  <c r="C7046" i="1"/>
  <c r="D7046" i="1"/>
  <c r="E7046" i="1"/>
  <c r="C7047" i="1"/>
  <c r="D7047" i="1"/>
  <c r="E7047" i="1"/>
  <c r="C7048" i="1"/>
  <c r="D7048" i="1"/>
  <c r="E7048" i="1"/>
  <c r="C7049" i="1"/>
  <c r="D7049" i="1"/>
  <c r="E7049" i="1"/>
  <c r="C7050" i="1"/>
  <c r="D7050" i="1"/>
  <c r="E7050" i="1"/>
  <c r="C7051" i="1"/>
  <c r="D7051" i="1"/>
  <c r="E7051" i="1"/>
  <c r="C7052" i="1"/>
  <c r="D7052" i="1"/>
  <c r="E7052" i="1"/>
  <c r="C7053" i="1"/>
  <c r="D7053" i="1"/>
  <c r="E7053" i="1"/>
  <c r="C7054" i="1"/>
  <c r="D7054" i="1"/>
  <c r="E7054" i="1"/>
  <c r="C7055" i="1"/>
  <c r="D7055" i="1"/>
  <c r="E7055" i="1"/>
  <c r="C7056" i="1"/>
  <c r="D7056" i="1"/>
  <c r="E7056" i="1"/>
  <c r="C7057" i="1"/>
  <c r="D7057" i="1"/>
  <c r="E7057" i="1"/>
  <c r="C7058" i="1"/>
  <c r="D7058" i="1"/>
  <c r="E7058" i="1"/>
  <c r="C7059" i="1"/>
  <c r="D7059" i="1"/>
  <c r="E7059" i="1"/>
  <c r="C7060" i="1"/>
  <c r="D7060" i="1"/>
  <c r="E7060" i="1"/>
  <c r="C7061" i="1"/>
  <c r="D7061" i="1"/>
  <c r="E7061" i="1"/>
  <c r="C7062" i="1"/>
  <c r="D7062" i="1"/>
  <c r="E7062" i="1"/>
  <c r="C7063" i="1"/>
  <c r="D7063" i="1"/>
  <c r="E7063" i="1"/>
  <c r="C7064" i="1"/>
  <c r="D7064" i="1"/>
  <c r="E7064" i="1"/>
  <c r="C7065" i="1"/>
  <c r="D7065" i="1"/>
  <c r="E7065" i="1"/>
  <c r="C7066" i="1"/>
  <c r="D7066" i="1"/>
  <c r="E7066" i="1"/>
  <c r="C7067" i="1"/>
  <c r="D7067" i="1"/>
  <c r="E7067" i="1"/>
  <c r="C7068" i="1"/>
  <c r="D7068" i="1"/>
  <c r="E7068" i="1"/>
  <c r="C7069" i="1"/>
  <c r="D7069" i="1"/>
  <c r="E7069" i="1"/>
  <c r="C7070" i="1"/>
  <c r="D7070" i="1"/>
  <c r="E7070" i="1"/>
  <c r="C7071" i="1"/>
  <c r="D7071" i="1"/>
  <c r="E7071" i="1"/>
  <c r="C7072" i="1"/>
  <c r="D7072" i="1"/>
  <c r="E7072" i="1"/>
  <c r="C7073" i="1"/>
  <c r="D7073" i="1"/>
  <c r="E7073" i="1"/>
  <c r="C7074" i="1"/>
  <c r="D7074" i="1"/>
  <c r="E7074" i="1"/>
  <c r="C7075" i="1"/>
  <c r="D7075" i="1"/>
  <c r="E7075" i="1"/>
  <c r="C7076" i="1"/>
  <c r="D7076" i="1"/>
  <c r="E7076" i="1"/>
  <c r="C7077" i="1"/>
  <c r="D7077" i="1"/>
  <c r="E7077" i="1"/>
  <c r="C7078" i="1"/>
  <c r="D7078" i="1"/>
  <c r="E7078" i="1"/>
  <c r="C7079" i="1"/>
  <c r="D7079" i="1"/>
  <c r="E7079" i="1"/>
  <c r="C7080" i="1"/>
  <c r="D7080" i="1"/>
  <c r="E7080" i="1"/>
  <c r="C7081" i="1"/>
  <c r="D7081" i="1"/>
  <c r="E7081" i="1"/>
  <c r="C7082" i="1"/>
  <c r="D7082" i="1"/>
  <c r="E7082" i="1"/>
  <c r="C7083" i="1"/>
  <c r="D7083" i="1"/>
  <c r="E7083" i="1"/>
  <c r="C7084" i="1"/>
  <c r="D7084" i="1"/>
  <c r="E7084" i="1"/>
  <c r="C7085" i="1"/>
  <c r="D7085" i="1"/>
  <c r="E7085" i="1"/>
  <c r="C7086" i="1"/>
  <c r="D7086" i="1"/>
  <c r="E7086" i="1"/>
  <c r="C7087" i="1"/>
  <c r="D7087" i="1"/>
  <c r="E7087" i="1"/>
  <c r="C7088" i="1"/>
  <c r="D7088" i="1"/>
  <c r="E7088" i="1"/>
  <c r="C7089" i="1"/>
  <c r="D7089" i="1"/>
  <c r="E7089" i="1"/>
  <c r="C7090" i="1"/>
  <c r="D7090" i="1"/>
  <c r="E7090" i="1"/>
  <c r="C7091" i="1"/>
  <c r="D7091" i="1"/>
  <c r="E7091" i="1"/>
  <c r="C7092" i="1"/>
  <c r="D7092" i="1"/>
  <c r="E7092" i="1"/>
  <c r="C7093" i="1"/>
  <c r="D7093" i="1"/>
  <c r="E7093" i="1"/>
  <c r="C7094" i="1"/>
  <c r="D7094" i="1"/>
  <c r="E7094" i="1"/>
  <c r="C7095" i="1"/>
  <c r="D7095" i="1"/>
  <c r="E7095" i="1"/>
  <c r="C7096" i="1"/>
  <c r="D7096" i="1"/>
  <c r="E7096" i="1"/>
  <c r="C7097" i="1"/>
  <c r="D7097" i="1"/>
  <c r="E7097" i="1"/>
  <c r="C7098" i="1"/>
  <c r="D7098" i="1"/>
  <c r="E7098" i="1"/>
  <c r="C7099" i="1"/>
  <c r="D7099" i="1"/>
  <c r="E7099" i="1"/>
  <c r="C7100" i="1"/>
  <c r="D7100" i="1"/>
  <c r="E7100" i="1"/>
  <c r="C7101" i="1"/>
  <c r="D7101" i="1"/>
  <c r="E7101" i="1"/>
  <c r="C7102" i="1"/>
  <c r="D7102" i="1"/>
  <c r="E7102" i="1"/>
  <c r="C7103" i="1"/>
  <c r="D7103" i="1"/>
  <c r="E7103" i="1"/>
  <c r="C7104" i="1"/>
  <c r="D7104" i="1"/>
  <c r="E7104" i="1"/>
  <c r="C7105" i="1"/>
  <c r="D7105" i="1"/>
  <c r="E7105" i="1"/>
  <c r="C7106" i="1"/>
  <c r="D7106" i="1"/>
  <c r="E7106" i="1"/>
  <c r="C7107" i="1"/>
  <c r="D7107" i="1"/>
  <c r="E7107" i="1"/>
  <c r="C7108" i="1"/>
  <c r="D7108" i="1"/>
  <c r="E7108" i="1"/>
  <c r="C7109" i="1"/>
  <c r="D7109" i="1"/>
  <c r="E7109" i="1"/>
  <c r="C7110" i="1"/>
  <c r="D7110" i="1"/>
  <c r="E7110" i="1"/>
  <c r="C7111" i="1"/>
  <c r="D7111" i="1"/>
  <c r="E7111" i="1"/>
  <c r="C7112" i="1"/>
  <c r="D7112" i="1"/>
  <c r="E7112" i="1"/>
  <c r="C7113" i="1"/>
  <c r="D7113" i="1"/>
  <c r="E7113" i="1"/>
  <c r="C7114" i="1"/>
  <c r="D7114" i="1"/>
  <c r="E7114" i="1"/>
  <c r="C7115" i="1"/>
  <c r="D7115" i="1"/>
  <c r="E7115" i="1"/>
  <c r="C7116" i="1"/>
  <c r="D7116" i="1"/>
  <c r="E7116" i="1"/>
  <c r="C7117" i="1"/>
  <c r="D7117" i="1"/>
  <c r="E7117" i="1"/>
  <c r="C7118" i="1"/>
  <c r="D7118" i="1"/>
  <c r="E7118" i="1"/>
  <c r="C7119" i="1"/>
  <c r="D7119" i="1"/>
  <c r="E7119" i="1"/>
  <c r="C7120" i="1"/>
  <c r="D7120" i="1"/>
  <c r="E7120" i="1"/>
  <c r="C7121" i="1"/>
  <c r="D7121" i="1"/>
  <c r="E7121" i="1"/>
  <c r="C7122" i="1"/>
  <c r="D7122" i="1"/>
  <c r="E7122" i="1"/>
  <c r="C7123" i="1"/>
  <c r="D7123" i="1"/>
  <c r="E7123" i="1"/>
  <c r="C7124" i="1"/>
  <c r="D7124" i="1"/>
  <c r="E7124" i="1"/>
  <c r="C7125" i="1"/>
  <c r="D7125" i="1"/>
  <c r="E7125" i="1"/>
  <c r="C7126" i="1"/>
  <c r="D7126" i="1"/>
  <c r="E7126" i="1"/>
  <c r="C7127" i="1"/>
  <c r="D7127" i="1"/>
  <c r="E7127" i="1"/>
  <c r="C7128" i="1"/>
  <c r="D7128" i="1"/>
  <c r="E7128" i="1"/>
  <c r="C7129" i="1"/>
  <c r="D7129" i="1"/>
  <c r="E7129" i="1"/>
  <c r="C7130" i="1"/>
  <c r="D7130" i="1"/>
  <c r="E7130" i="1"/>
  <c r="C7131" i="1"/>
  <c r="D7131" i="1"/>
  <c r="E7131" i="1"/>
  <c r="C7132" i="1"/>
  <c r="D7132" i="1"/>
  <c r="E7132" i="1"/>
  <c r="C7133" i="1"/>
  <c r="D7133" i="1"/>
  <c r="E7133" i="1"/>
  <c r="C7134" i="1"/>
  <c r="D7134" i="1"/>
  <c r="E7134" i="1"/>
  <c r="C7135" i="1"/>
  <c r="D7135" i="1"/>
  <c r="E7135" i="1"/>
  <c r="C7136" i="1"/>
  <c r="D7136" i="1"/>
  <c r="E7136" i="1"/>
  <c r="C7137" i="1"/>
  <c r="D7137" i="1"/>
  <c r="E7137" i="1"/>
  <c r="C7138" i="1"/>
  <c r="D7138" i="1"/>
  <c r="E7138" i="1"/>
  <c r="C7139" i="1"/>
  <c r="D7139" i="1"/>
  <c r="E7139" i="1"/>
  <c r="C7140" i="1"/>
  <c r="D7140" i="1"/>
  <c r="E7140" i="1"/>
  <c r="C7141" i="1"/>
  <c r="D7141" i="1"/>
  <c r="E7141" i="1"/>
  <c r="C7142" i="1"/>
  <c r="D7142" i="1"/>
  <c r="E7142" i="1"/>
  <c r="C7143" i="1"/>
  <c r="D7143" i="1"/>
  <c r="E7143" i="1"/>
  <c r="C7144" i="1"/>
  <c r="D7144" i="1"/>
  <c r="E7144" i="1"/>
  <c r="C7145" i="1"/>
  <c r="D7145" i="1"/>
  <c r="E7145" i="1"/>
  <c r="C7146" i="1"/>
  <c r="D7146" i="1"/>
  <c r="E7146" i="1"/>
  <c r="C7147" i="1"/>
  <c r="D7147" i="1"/>
  <c r="E7147" i="1"/>
  <c r="C7148" i="1"/>
  <c r="D7148" i="1"/>
  <c r="E7148" i="1"/>
  <c r="C7149" i="1"/>
  <c r="D7149" i="1"/>
  <c r="E7149" i="1"/>
  <c r="C7150" i="1"/>
  <c r="D7150" i="1"/>
  <c r="E7150" i="1"/>
  <c r="C7151" i="1"/>
  <c r="D7151" i="1"/>
  <c r="E7151" i="1"/>
  <c r="C7152" i="1"/>
  <c r="D7152" i="1"/>
  <c r="E7152" i="1"/>
  <c r="C7153" i="1"/>
  <c r="D7153" i="1"/>
  <c r="E7153" i="1"/>
  <c r="C7154" i="1"/>
  <c r="D7154" i="1"/>
  <c r="E7154" i="1"/>
  <c r="C7155" i="1"/>
  <c r="D7155" i="1"/>
  <c r="E7155" i="1"/>
  <c r="C7156" i="1"/>
  <c r="D7156" i="1"/>
  <c r="E7156" i="1"/>
  <c r="C7157" i="1"/>
  <c r="D7157" i="1"/>
  <c r="E7157" i="1"/>
  <c r="C7158" i="1"/>
  <c r="D7158" i="1"/>
  <c r="E7158" i="1"/>
  <c r="C7159" i="1"/>
  <c r="D7159" i="1"/>
  <c r="E7159" i="1"/>
  <c r="C7160" i="1"/>
  <c r="D7160" i="1"/>
  <c r="E7160" i="1"/>
  <c r="C7161" i="1"/>
  <c r="D7161" i="1"/>
  <c r="E7161" i="1"/>
  <c r="C7162" i="1"/>
  <c r="D7162" i="1"/>
  <c r="E7162" i="1"/>
  <c r="C7163" i="1"/>
  <c r="D7163" i="1"/>
  <c r="E7163" i="1"/>
  <c r="C7164" i="1"/>
  <c r="D7164" i="1"/>
  <c r="E7164" i="1"/>
  <c r="C7165" i="1"/>
  <c r="D7165" i="1"/>
  <c r="E7165" i="1"/>
  <c r="C7166" i="1"/>
  <c r="D7166" i="1"/>
  <c r="E7166" i="1"/>
  <c r="C7167" i="1"/>
  <c r="D7167" i="1"/>
  <c r="E7167" i="1"/>
  <c r="C7168" i="1"/>
  <c r="D7168" i="1"/>
  <c r="E7168" i="1"/>
  <c r="C7169" i="1"/>
  <c r="D7169" i="1"/>
  <c r="E7169" i="1"/>
  <c r="C7170" i="1"/>
  <c r="D7170" i="1"/>
  <c r="E7170" i="1"/>
  <c r="C7171" i="1"/>
  <c r="D7171" i="1"/>
  <c r="E7171" i="1"/>
  <c r="C7172" i="1"/>
  <c r="D7172" i="1"/>
  <c r="E7172" i="1"/>
  <c r="C7173" i="1"/>
  <c r="D7173" i="1"/>
  <c r="E7173" i="1"/>
  <c r="C7174" i="1"/>
  <c r="D7174" i="1"/>
  <c r="E7174" i="1"/>
  <c r="C7175" i="1"/>
  <c r="D7175" i="1"/>
  <c r="E7175" i="1"/>
  <c r="C7176" i="1"/>
  <c r="D7176" i="1"/>
  <c r="E7176" i="1"/>
  <c r="C7177" i="1"/>
  <c r="D7177" i="1"/>
  <c r="E7177" i="1"/>
  <c r="C7178" i="1"/>
  <c r="D7178" i="1"/>
  <c r="E7178" i="1"/>
  <c r="C7179" i="1"/>
  <c r="D7179" i="1"/>
  <c r="E7179" i="1"/>
  <c r="C7180" i="1"/>
  <c r="D7180" i="1"/>
  <c r="E7180" i="1"/>
  <c r="C7181" i="1"/>
  <c r="D7181" i="1"/>
  <c r="E7181" i="1"/>
  <c r="C7182" i="1"/>
  <c r="D7182" i="1"/>
  <c r="E7182" i="1"/>
  <c r="C7183" i="1"/>
  <c r="D7183" i="1"/>
  <c r="E7183" i="1"/>
  <c r="C7184" i="1"/>
  <c r="D7184" i="1"/>
  <c r="E7184" i="1"/>
  <c r="C7185" i="1"/>
  <c r="D7185" i="1"/>
  <c r="E7185" i="1"/>
  <c r="C7186" i="1"/>
  <c r="D7186" i="1"/>
  <c r="E7186" i="1"/>
  <c r="C7187" i="1"/>
  <c r="D7187" i="1"/>
  <c r="E7187" i="1"/>
  <c r="C7188" i="1"/>
  <c r="D7188" i="1"/>
  <c r="E7188" i="1"/>
  <c r="C7189" i="1"/>
  <c r="D7189" i="1"/>
  <c r="E7189" i="1"/>
  <c r="C7190" i="1"/>
  <c r="D7190" i="1"/>
  <c r="E7190" i="1"/>
  <c r="C7191" i="1"/>
  <c r="D7191" i="1"/>
  <c r="E7191" i="1"/>
  <c r="C7192" i="1"/>
  <c r="D7192" i="1"/>
  <c r="E7192" i="1"/>
  <c r="C7193" i="1"/>
  <c r="D7193" i="1"/>
  <c r="E7193" i="1"/>
  <c r="C7194" i="1"/>
  <c r="D7194" i="1"/>
  <c r="E7194" i="1"/>
  <c r="C7195" i="1"/>
  <c r="D7195" i="1"/>
  <c r="E7195" i="1"/>
  <c r="C7196" i="1"/>
  <c r="D7196" i="1"/>
  <c r="E7196" i="1"/>
  <c r="C7197" i="1"/>
  <c r="D7197" i="1"/>
  <c r="E7197" i="1"/>
  <c r="C7198" i="1"/>
  <c r="D7198" i="1"/>
  <c r="E7198" i="1"/>
  <c r="C7199" i="1"/>
  <c r="D7199" i="1"/>
  <c r="E7199" i="1"/>
  <c r="C7200" i="1"/>
  <c r="D7200" i="1"/>
  <c r="E7200" i="1"/>
  <c r="C7201" i="1"/>
  <c r="D7201" i="1"/>
  <c r="E7201" i="1"/>
  <c r="C7202" i="1"/>
  <c r="D7202" i="1"/>
  <c r="E7202" i="1"/>
  <c r="C7203" i="1"/>
  <c r="D7203" i="1"/>
  <c r="E7203" i="1"/>
  <c r="C7204" i="1"/>
  <c r="D7204" i="1"/>
  <c r="E7204" i="1"/>
  <c r="C7205" i="1"/>
  <c r="D7205" i="1"/>
  <c r="E7205" i="1"/>
  <c r="C7206" i="1"/>
  <c r="D7206" i="1"/>
  <c r="E7206" i="1"/>
  <c r="C7207" i="1"/>
  <c r="D7207" i="1"/>
  <c r="E7207" i="1"/>
  <c r="C7208" i="1"/>
  <c r="D7208" i="1"/>
  <c r="E7208" i="1"/>
  <c r="C7209" i="1"/>
  <c r="D7209" i="1"/>
  <c r="E7209" i="1"/>
  <c r="C7210" i="1"/>
  <c r="D7210" i="1"/>
  <c r="E7210" i="1"/>
  <c r="C7211" i="1"/>
  <c r="D7211" i="1"/>
  <c r="E7211" i="1"/>
  <c r="C7212" i="1"/>
  <c r="D7212" i="1"/>
  <c r="E7212" i="1"/>
  <c r="C7213" i="1"/>
  <c r="D7213" i="1"/>
  <c r="E7213" i="1"/>
  <c r="C7214" i="1"/>
  <c r="D7214" i="1"/>
  <c r="E7214" i="1"/>
  <c r="C7215" i="1"/>
  <c r="D7215" i="1"/>
  <c r="E7215" i="1"/>
  <c r="C7216" i="1"/>
  <c r="D7216" i="1"/>
  <c r="E7216" i="1"/>
  <c r="C7217" i="1"/>
  <c r="D7217" i="1"/>
  <c r="E7217" i="1"/>
  <c r="C7218" i="1"/>
  <c r="D7218" i="1"/>
  <c r="E7218" i="1"/>
  <c r="C7219" i="1"/>
  <c r="D7219" i="1"/>
  <c r="E7219" i="1"/>
  <c r="C7220" i="1"/>
  <c r="D7220" i="1"/>
  <c r="E7220" i="1"/>
  <c r="C7221" i="1"/>
  <c r="D7221" i="1"/>
  <c r="E7221" i="1"/>
  <c r="C7222" i="1"/>
  <c r="D7222" i="1"/>
  <c r="E7222" i="1"/>
  <c r="C7223" i="1"/>
  <c r="D7223" i="1"/>
  <c r="E7223" i="1"/>
  <c r="C7224" i="1"/>
  <c r="D7224" i="1"/>
  <c r="E7224" i="1"/>
  <c r="C7225" i="1"/>
  <c r="D7225" i="1"/>
  <c r="E7225" i="1"/>
  <c r="C7226" i="1"/>
  <c r="D7226" i="1"/>
  <c r="E7226" i="1"/>
  <c r="C7227" i="1"/>
  <c r="D7227" i="1"/>
  <c r="E7227" i="1"/>
  <c r="C7228" i="1"/>
  <c r="D7228" i="1"/>
  <c r="E7228" i="1"/>
  <c r="C7229" i="1"/>
  <c r="D7229" i="1"/>
  <c r="E7229" i="1"/>
  <c r="C7230" i="1"/>
  <c r="D7230" i="1"/>
  <c r="E7230" i="1"/>
  <c r="C7231" i="1"/>
  <c r="D7231" i="1"/>
  <c r="E7231" i="1"/>
  <c r="C7232" i="1"/>
  <c r="D7232" i="1"/>
  <c r="E7232" i="1"/>
  <c r="C7233" i="1"/>
  <c r="D7233" i="1"/>
  <c r="E7233" i="1"/>
  <c r="C7234" i="1"/>
  <c r="D7234" i="1"/>
  <c r="E7234" i="1"/>
  <c r="C7235" i="1"/>
  <c r="D7235" i="1"/>
  <c r="E7235" i="1"/>
  <c r="C7236" i="1"/>
  <c r="D7236" i="1"/>
  <c r="E7236" i="1"/>
  <c r="C7237" i="1"/>
  <c r="D7237" i="1"/>
  <c r="E7237" i="1"/>
  <c r="C7238" i="1"/>
  <c r="D7238" i="1"/>
  <c r="E7238" i="1"/>
  <c r="C7239" i="1"/>
  <c r="D7239" i="1"/>
  <c r="E7239" i="1"/>
  <c r="C7240" i="1"/>
  <c r="D7240" i="1"/>
  <c r="E7240" i="1"/>
  <c r="C7241" i="1"/>
  <c r="D7241" i="1"/>
  <c r="E7241" i="1"/>
  <c r="C7242" i="1"/>
  <c r="D7242" i="1"/>
  <c r="E7242" i="1"/>
  <c r="C7243" i="1"/>
  <c r="D7243" i="1"/>
  <c r="E7243" i="1"/>
  <c r="C7244" i="1"/>
  <c r="D7244" i="1"/>
  <c r="E7244" i="1"/>
  <c r="C7245" i="1"/>
  <c r="D7245" i="1"/>
  <c r="E7245" i="1"/>
  <c r="C7246" i="1"/>
  <c r="D7246" i="1"/>
  <c r="E7246" i="1"/>
  <c r="C7247" i="1"/>
  <c r="D7247" i="1"/>
  <c r="E7247" i="1"/>
  <c r="C7248" i="1"/>
  <c r="D7248" i="1"/>
  <c r="E7248" i="1"/>
  <c r="C7249" i="1"/>
  <c r="D7249" i="1"/>
  <c r="E7249" i="1"/>
  <c r="C7250" i="1"/>
  <c r="D7250" i="1"/>
  <c r="E7250" i="1"/>
  <c r="C7251" i="1"/>
  <c r="D7251" i="1"/>
  <c r="E7251" i="1"/>
  <c r="C7252" i="1"/>
  <c r="D7252" i="1"/>
  <c r="E7252" i="1"/>
  <c r="C7253" i="1"/>
  <c r="D7253" i="1"/>
  <c r="E7253" i="1"/>
  <c r="C7254" i="1"/>
  <c r="D7254" i="1"/>
  <c r="E7254" i="1"/>
  <c r="C7255" i="1"/>
  <c r="D7255" i="1"/>
  <c r="E7255" i="1"/>
  <c r="C7256" i="1"/>
  <c r="D7256" i="1"/>
  <c r="E7256" i="1"/>
  <c r="C7257" i="1"/>
  <c r="D7257" i="1"/>
  <c r="E7257" i="1"/>
  <c r="C7258" i="1"/>
  <c r="D7258" i="1"/>
  <c r="E7258" i="1"/>
  <c r="C7259" i="1"/>
  <c r="D7259" i="1"/>
  <c r="E7259" i="1"/>
  <c r="C7260" i="1"/>
  <c r="D7260" i="1"/>
  <c r="E7260" i="1"/>
  <c r="C7261" i="1"/>
  <c r="D7261" i="1"/>
  <c r="E7261" i="1"/>
  <c r="C7262" i="1"/>
  <c r="D7262" i="1"/>
  <c r="E7262" i="1"/>
  <c r="C7263" i="1"/>
  <c r="D7263" i="1"/>
  <c r="E7263" i="1"/>
  <c r="C7264" i="1"/>
  <c r="D7264" i="1"/>
  <c r="E7264" i="1"/>
  <c r="C7265" i="1"/>
  <c r="D7265" i="1"/>
  <c r="E7265" i="1"/>
  <c r="C7266" i="1"/>
  <c r="D7266" i="1"/>
  <c r="E7266" i="1"/>
  <c r="C7267" i="1"/>
  <c r="D7267" i="1"/>
  <c r="E7267" i="1"/>
  <c r="C7268" i="1"/>
  <c r="D7268" i="1"/>
  <c r="E7268" i="1"/>
  <c r="C7269" i="1"/>
  <c r="D7269" i="1"/>
  <c r="E7269" i="1"/>
  <c r="C7270" i="1"/>
  <c r="D7270" i="1"/>
  <c r="E7270" i="1"/>
  <c r="C7271" i="1"/>
  <c r="D7271" i="1"/>
  <c r="E7271" i="1"/>
  <c r="C7272" i="1"/>
  <c r="D7272" i="1"/>
  <c r="E7272" i="1"/>
  <c r="C7273" i="1"/>
  <c r="D7273" i="1"/>
  <c r="E7273" i="1"/>
  <c r="C7274" i="1"/>
  <c r="D7274" i="1"/>
  <c r="E7274" i="1"/>
  <c r="C7275" i="1"/>
  <c r="D7275" i="1"/>
  <c r="E7275" i="1"/>
  <c r="C7276" i="1"/>
  <c r="D7276" i="1"/>
  <c r="E7276" i="1"/>
  <c r="C7277" i="1"/>
  <c r="D7277" i="1"/>
  <c r="E7277" i="1"/>
  <c r="C7278" i="1"/>
  <c r="D7278" i="1"/>
  <c r="E7278" i="1"/>
  <c r="C7279" i="1"/>
  <c r="D7279" i="1"/>
  <c r="E7279" i="1"/>
  <c r="C7280" i="1"/>
  <c r="D7280" i="1"/>
  <c r="E7280" i="1"/>
  <c r="C7281" i="1"/>
  <c r="D7281" i="1"/>
  <c r="E7281" i="1"/>
  <c r="C7282" i="1"/>
  <c r="D7282" i="1"/>
  <c r="E7282" i="1"/>
  <c r="C7283" i="1"/>
  <c r="D7283" i="1"/>
  <c r="E7283" i="1"/>
  <c r="C7284" i="1"/>
  <c r="D7284" i="1"/>
  <c r="E7284" i="1"/>
  <c r="C7285" i="1"/>
  <c r="D7285" i="1"/>
  <c r="E7285" i="1"/>
  <c r="C7286" i="1"/>
  <c r="D7286" i="1"/>
  <c r="E7286" i="1"/>
  <c r="C7287" i="1"/>
  <c r="D7287" i="1"/>
  <c r="E7287" i="1"/>
  <c r="C7288" i="1"/>
  <c r="D7288" i="1"/>
  <c r="E7288" i="1"/>
  <c r="C7289" i="1"/>
  <c r="D7289" i="1"/>
  <c r="E7289" i="1"/>
  <c r="C7290" i="1"/>
  <c r="D7290" i="1"/>
  <c r="E7290" i="1"/>
  <c r="C7291" i="1"/>
  <c r="D7291" i="1"/>
  <c r="E7291" i="1"/>
  <c r="C7292" i="1"/>
  <c r="D7292" i="1"/>
  <c r="E7292" i="1"/>
  <c r="C7293" i="1"/>
  <c r="D7293" i="1"/>
  <c r="E7293" i="1"/>
  <c r="C7294" i="1"/>
  <c r="D7294" i="1"/>
  <c r="E7294" i="1"/>
  <c r="C7295" i="1"/>
  <c r="D7295" i="1"/>
  <c r="E7295" i="1"/>
  <c r="C7296" i="1"/>
  <c r="D7296" i="1"/>
  <c r="E7296" i="1"/>
  <c r="C7297" i="1"/>
  <c r="D7297" i="1"/>
  <c r="E7297" i="1"/>
  <c r="C7298" i="1"/>
  <c r="D7298" i="1"/>
  <c r="E7298" i="1"/>
  <c r="C7299" i="1"/>
  <c r="D7299" i="1"/>
  <c r="E7299" i="1"/>
  <c r="C7300" i="1"/>
  <c r="D7300" i="1"/>
  <c r="E7300" i="1"/>
  <c r="C7301" i="1"/>
  <c r="D7301" i="1"/>
  <c r="E7301" i="1"/>
  <c r="C7302" i="1"/>
  <c r="D7302" i="1"/>
  <c r="E7302" i="1"/>
  <c r="C7303" i="1"/>
  <c r="D7303" i="1"/>
  <c r="E7303" i="1"/>
  <c r="C7304" i="1"/>
  <c r="D7304" i="1"/>
  <c r="E7304" i="1"/>
  <c r="C7305" i="1"/>
  <c r="D7305" i="1"/>
  <c r="E7305" i="1"/>
  <c r="C7306" i="1"/>
  <c r="D7306" i="1"/>
  <c r="E7306" i="1"/>
  <c r="C7307" i="1"/>
  <c r="D7307" i="1"/>
  <c r="E7307" i="1"/>
  <c r="C7308" i="1"/>
  <c r="D7308" i="1"/>
  <c r="E7308" i="1"/>
  <c r="C7309" i="1"/>
  <c r="D7309" i="1"/>
  <c r="E7309" i="1"/>
  <c r="C7310" i="1"/>
  <c r="D7310" i="1"/>
  <c r="E7310" i="1"/>
  <c r="C7311" i="1"/>
  <c r="D7311" i="1"/>
  <c r="E7311" i="1"/>
  <c r="C7312" i="1"/>
  <c r="D7312" i="1"/>
  <c r="E7312" i="1"/>
  <c r="C7313" i="1"/>
  <c r="D7313" i="1"/>
  <c r="E7313" i="1"/>
  <c r="C7314" i="1"/>
  <c r="D7314" i="1"/>
  <c r="E7314" i="1"/>
  <c r="C7315" i="1"/>
  <c r="D7315" i="1"/>
  <c r="E7315" i="1"/>
  <c r="C7316" i="1"/>
  <c r="D7316" i="1"/>
  <c r="E7316" i="1"/>
  <c r="C7317" i="1"/>
  <c r="D7317" i="1"/>
  <c r="E7317" i="1"/>
  <c r="C7318" i="1"/>
  <c r="D7318" i="1"/>
  <c r="E7318" i="1"/>
  <c r="C7319" i="1"/>
  <c r="D7319" i="1"/>
  <c r="E7319" i="1"/>
  <c r="C7320" i="1"/>
  <c r="D7320" i="1"/>
  <c r="E7320" i="1"/>
  <c r="C7321" i="1"/>
  <c r="D7321" i="1"/>
  <c r="E7321" i="1"/>
  <c r="C7322" i="1"/>
  <c r="D7322" i="1"/>
  <c r="E7322" i="1"/>
  <c r="C7323" i="1"/>
  <c r="D7323" i="1"/>
  <c r="E7323" i="1"/>
  <c r="C7324" i="1"/>
  <c r="D7324" i="1"/>
  <c r="E7324" i="1"/>
  <c r="C7325" i="1"/>
  <c r="D7325" i="1"/>
  <c r="E7325" i="1"/>
  <c r="C7326" i="1"/>
  <c r="D7326" i="1"/>
  <c r="E7326" i="1"/>
  <c r="C7327" i="1"/>
  <c r="D7327" i="1"/>
  <c r="E7327" i="1"/>
  <c r="C7328" i="1"/>
  <c r="D7328" i="1"/>
  <c r="E7328" i="1"/>
  <c r="C7329" i="1"/>
  <c r="D7329" i="1"/>
  <c r="E7329" i="1"/>
  <c r="C7330" i="1"/>
  <c r="D7330" i="1"/>
  <c r="E7330" i="1"/>
  <c r="C7331" i="1"/>
  <c r="D7331" i="1"/>
  <c r="E7331" i="1"/>
  <c r="C7332" i="1"/>
  <c r="D7332" i="1"/>
  <c r="E7332" i="1"/>
  <c r="C7333" i="1"/>
  <c r="D7333" i="1"/>
  <c r="E7333" i="1"/>
  <c r="C7334" i="1"/>
  <c r="D7334" i="1"/>
  <c r="E7334" i="1"/>
  <c r="C7335" i="1"/>
  <c r="D7335" i="1"/>
  <c r="E7335" i="1"/>
  <c r="C7336" i="1"/>
  <c r="D7336" i="1"/>
  <c r="E7336" i="1"/>
  <c r="C7337" i="1"/>
  <c r="D7337" i="1"/>
  <c r="E7337" i="1"/>
  <c r="C7338" i="1"/>
  <c r="D7338" i="1"/>
  <c r="E7338" i="1"/>
  <c r="C7339" i="1"/>
  <c r="D7339" i="1"/>
  <c r="E7339" i="1"/>
  <c r="C7340" i="1"/>
  <c r="D7340" i="1"/>
  <c r="E7340" i="1"/>
  <c r="C7341" i="1"/>
  <c r="D7341" i="1"/>
  <c r="E7341" i="1"/>
  <c r="C7342" i="1"/>
  <c r="D7342" i="1"/>
  <c r="E7342" i="1"/>
  <c r="C7343" i="1"/>
  <c r="D7343" i="1"/>
  <c r="E7343" i="1"/>
  <c r="C7344" i="1"/>
  <c r="D7344" i="1"/>
  <c r="E7344" i="1"/>
  <c r="C7345" i="1"/>
  <c r="D7345" i="1"/>
  <c r="E7345" i="1"/>
  <c r="C7346" i="1"/>
  <c r="D7346" i="1"/>
  <c r="E7346" i="1"/>
  <c r="C7347" i="1"/>
  <c r="D7347" i="1"/>
  <c r="E7347" i="1"/>
  <c r="C7348" i="1"/>
  <c r="D7348" i="1"/>
  <c r="E7348" i="1"/>
  <c r="C7349" i="1"/>
  <c r="D7349" i="1"/>
  <c r="E7349" i="1"/>
  <c r="C7350" i="1"/>
  <c r="D7350" i="1"/>
  <c r="E7350" i="1"/>
  <c r="C7351" i="1"/>
  <c r="D7351" i="1"/>
  <c r="E7351" i="1"/>
  <c r="C7352" i="1"/>
  <c r="D7352" i="1"/>
  <c r="E7352" i="1"/>
  <c r="C7353" i="1"/>
  <c r="D7353" i="1"/>
  <c r="E7353" i="1"/>
  <c r="C7354" i="1"/>
  <c r="D7354" i="1"/>
  <c r="E7354" i="1"/>
  <c r="C7355" i="1"/>
  <c r="D7355" i="1"/>
  <c r="E7355" i="1"/>
  <c r="C7356" i="1"/>
  <c r="D7356" i="1"/>
  <c r="E7356" i="1"/>
  <c r="C7357" i="1"/>
  <c r="D7357" i="1"/>
  <c r="E7357" i="1"/>
  <c r="C7358" i="1"/>
  <c r="D7358" i="1"/>
  <c r="E7358" i="1"/>
  <c r="C7359" i="1"/>
  <c r="D7359" i="1"/>
  <c r="E7359" i="1"/>
  <c r="C7360" i="1"/>
  <c r="D7360" i="1"/>
  <c r="E7360" i="1"/>
  <c r="C7361" i="1"/>
  <c r="D7361" i="1"/>
  <c r="E7361" i="1"/>
  <c r="C7362" i="1"/>
  <c r="D7362" i="1"/>
  <c r="E7362" i="1"/>
  <c r="C7363" i="1"/>
  <c r="D7363" i="1"/>
  <c r="E7363" i="1"/>
  <c r="C7364" i="1"/>
  <c r="D7364" i="1"/>
  <c r="E7364" i="1"/>
  <c r="C7365" i="1"/>
  <c r="D7365" i="1"/>
  <c r="E7365" i="1"/>
  <c r="C7366" i="1"/>
  <c r="D7366" i="1"/>
  <c r="E7366" i="1"/>
  <c r="C7367" i="1"/>
  <c r="D7367" i="1"/>
  <c r="E7367" i="1"/>
  <c r="C7368" i="1"/>
  <c r="D7368" i="1"/>
  <c r="E7368" i="1"/>
  <c r="C7369" i="1"/>
  <c r="D7369" i="1"/>
  <c r="E7369" i="1"/>
  <c r="C7370" i="1"/>
  <c r="D7370" i="1"/>
  <c r="E7370" i="1"/>
  <c r="C7371" i="1"/>
  <c r="D7371" i="1"/>
  <c r="E7371" i="1"/>
  <c r="C7372" i="1"/>
  <c r="D7372" i="1"/>
  <c r="E7372" i="1"/>
  <c r="C7373" i="1"/>
  <c r="D7373" i="1"/>
  <c r="E7373" i="1"/>
  <c r="C7374" i="1"/>
  <c r="D7374" i="1"/>
  <c r="E7374" i="1"/>
  <c r="C7375" i="1"/>
  <c r="D7375" i="1"/>
  <c r="E7375" i="1"/>
  <c r="C7376" i="1"/>
  <c r="D7376" i="1"/>
  <c r="E7376" i="1"/>
  <c r="C7377" i="1"/>
  <c r="D7377" i="1"/>
  <c r="E7377" i="1"/>
  <c r="C7378" i="1"/>
  <c r="D7378" i="1"/>
  <c r="E7378" i="1"/>
  <c r="C7379" i="1"/>
  <c r="D7379" i="1"/>
  <c r="E7379" i="1"/>
  <c r="C7380" i="1"/>
  <c r="D7380" i="1"/>
  <c r="E7380" i="1"/>
  <c r="C7381" i="1"/>
  <c r="D7381" i="1"/>
  <c r="E7381" i="1"/>
  <c r="C7382" i="1"/>
  <c r="D7382" i="1"/>
  <c r="E7382" i="1"/>
  <c r="C7383" i="1"/>
  <c r="D7383" i="1"/>
  <c r="E7383" i="1"/>
  <c r="C7384" i="1"/>
  <c r="D7384" i="1"/>
  <c r="E7384" i="1"/>
  <c r="C7385" i="1"/>
  <c r="D7385" i="1"/>
  <c r="E7385" i="1"/>
  <c r="C7386" i="1"/>
  <c r="D7386" i="1"/>
  <c r="E7386" i="1"/>
  <c r="C7387" i="1"/>
  <c r="D7387" i="1"/>
  <c r="E7387" i="1"/>
  <c r="C7388" i="1"/>
  <c r="D7388" i="1"/>
  <c r="E7388" i="1"/>
  <c r="C7389" i="1"/>
  <c r="D7389" i="1"/>
  <c r="E7389" i="1"/>
  <c r="C7390" i="1"/>
  <c r="D7390" i="1"/>
  <c r="E7390" i="1"/>
  <c r="C7391" i="1"/>
  <c r="D7391" i="1"/>
  <c r="E7391" i="1"/>
  <c r="C7392" i="1"/>
  <c r="D7392" i="1"/>
  <c r="E7392" i="1"/>
  <c r="C7393" i="1"/>
  <c r="D7393" i="1"/>
  <c r="E7393" i="1"/>
  <c r="C7394" i="1"/>
  <c r="D7394" i="1"/>
  <c r="E7394" i="1"/>
  <c r="C7395" i="1"/>
  <c r="D7395" i="1"/>
  <c r="E7395" i="1"/>
  <c r="C7396" i="1"/>
  <c r="D7396" i="1"/>
  <c r="E7396" i="1"/>
  <c r="C7397" i="1"/>
  <c r="D7397" i="1"/>
  <c r="E7397" i="1"/>
  <c r="C7398" i="1"/>
  <c r="D7398" i="1"/>
  <c r="E7398" i="1"/>
  <c r="C7399" i="1"/>
  <c r="D7399" i="1"/>
  <c r="E7399" i="1"/>
  <c r="C7400" i="1"/>
  <c r="D7400" i="1"/>
  <c r="E7400" i="1"/>
  <c r="C7401" i="1"/>
  <c r="D7401" i="1"/>
  <c r="E7401" i="1"/>
  <c r="C7402" i="1"/>
  <c r="D7402" i="1"/>
  <c r="E7402" i="1"/>
  <c r="C7403" i="1"/>
  <c r="D7403" i="1"/>
  <c r="E7403" i="1"/>
  <c r="C7404" i="1"/>
  <c r="D7404" i="1"/>
  <c r="E7404" i="1"/>
  <c r="C7405" i="1"/>
  <c r="D7405" i="1"/>
  <c r="E7405" i="1"/>
  <c r="C7406" i="1"/>
  <c r="D7406" i="1"/>
  <c r="E7406" i="1"/>
  <c r="C7407" i="1"/>
  <c r="D7407" i="1"/>
  <c r="E7407" i="1"/>
  <c r="C7408" i="1"/>
  <c r="D7408" i="1"/>
  <c r="E7408" i="1"/>
  <c r="C7409" i="1"/>
  <c r="D7409" i="1"/>
  <c r="E7409" i="1"/>
  <c r="C7410" i="1"/>
  <c r="D7410" i="1"/>
  <c r="E7410" i="1"/>
  <c r="C7411" i="1"/>
  <c r="D7411" i="1"/>
  <c r="E7411" i="1"/>
  <c r="C7412" i="1"/>
  <c r="D7412" i="1"/>
  <c r="E7412" i="1"/>
  <c r="C7413" i="1"/>
  <c r="D7413" i="1"/>
  <c r="E7413" i="1"/>
  <c r="C7414" i="1"/>
  <c r="D7414" i="1"/>
  <c r="E7414" i="1"/>
  <c r="C7415" i="1"/>
  <c r="D7415" i="1"/>
  <c r="E7415" i="1"/>
  <c r="C7416" i="1"/>
  <c r="D7416" i="1"/>
  <c r="E7416" i="1"/>
  <c r="C7417" i="1"/>
  <c r="D7417" i="1"/>
  <c r="E7417" i="1"/>
  <c r="C7418" i="1"/>
  <c r="D7418" i="1"/>
  <c r="E7418" i="1"/>
  <c r="C7419" i="1"/>
  <c r="D7419" i="1"/>
  <c r="E7419" i="1"/>
  <c r="C7420" i="1"/>
  <c r="D7420" i="1"/>
  <c r="E7420" i="1"/>
  <c r="C7421" i="1"/>
  <c r="D7421" i="1"/>
  <c r="E7421" i="1"/>
  <c r="C7422" i="1"/>
  <c r="D7422" i="1"/>
  <c r="E7422" i="1"/>
  <c r="C7423" i="1"/>
  <c r="D7423" i="1"/>
  <c r="E7423" i="1"/>
  <c r="C7424" i="1"/>
  <c r="D7424" i="1"/>
  <c r="E7424" i="1"/>
  <c r="C7425" i="1"/>
  <c r="D7425" i="1"/>
  <c r="E7425" i="1"/>
  <c r="C7426" i="1"/>
  <c r="D7426" i="1"/>
  <c r="E7426" i="1"/>
  <c r="C7427" i="1"/>
  <c r="D7427" i="1"/>
  <c r="E7427" i="1"/>
  <c r="C7428" i="1"/>
  <c r="D7428" i="1"/>
  <c r="E7428" i="1"/>
  <c r="C7429" i="1"/>
  <c r="D7429" i="1"/>
  <c r="E7429" i="1"/>
  <c r="C7430" i="1"/>
  <c r="D7430" i="1"/>
  <c r="E7430" i="1"/>
  <c r="C7431" i="1"/>
  <c r="D7431" i="1"/>
  <c r="E7431" i="1"/>
  <c r="C7432" i="1"/>
  <c r="D7432" i="1"/>
  <c r="E7432" i="1"/>
  <c r="C7433" i="1"/>
  <c r="D7433" i="1"/>
  <c r="E7433" i="1"/>
  <c r="C7434" i="1"/>
  <c r="D7434" i="1"/>
  <c r="E7434" i="1"/>
  <c r="C7435" i="1"/>
  <c r="D7435" i="1"/>
  <c r="E7435" i="1"/>
  <c r="C7436" i="1"/>
  <c r="D7436" i="1"/>
  <c r="E7436" i="1"/>
  <c r="C7437" i="1"/>
  <c r="D7437" i="1"/>
  <c r="E7437" i="1"/>
  <c r="C7438" i="1"/>
  <c r="D7438" i="1"/>
  <c r="E7438" i="1"/>
  <c r="C7439" i="1"/>
  <c r="D7439" i="1"/>
  <c r="E7439" i="1"/>
  <c r="C7440" i="1"/>
  <c r="D7440" i="1"/>
  <c r="E7440" i="1"/>
  <c r="C7441" i="1"/>
  <c r="D7441" i="1"/>
  <c r="E7441" i="1"/>
  <c r="C7442" i="1"/>
  <c r="D7442" i="1"/>
  <c r="E7442" i="1"/>
  <c r="C7443" i="1"/>
  <c r="D7443" i="1"/>
  <c r="E7443" i="1"/>
  <c r="C7444" i="1"/>
  <c r="D7444" i="1"/>
  <c r="E7444" i="1"/>
  <c r="C7445" i="1"/>
  <c r="D7445" i="1"/>
  <c r="E7445" i="1"/>
  <c r="C7446" i="1"/>
  <c r="D7446" i="1"/>
  <c r="E7446" i="1"/>
  <c r="C7447" i="1"/>
  <c r="D7447" i="1"/>
  <c r="E7447" i="1"/>
  <c r="C7448" i="1"/>
  <c r="D7448" i="1"/>
  <c r="E7448" i="1"/>
  <c r="C7449" i="1"/>
  <c r="D7449" i="1"/>
  <c r="E7449" i="1"/>
  <c r="C7450" i="1"/>
  <c r="D7450" i="1"/>
  <c r="E7450" i="1"/>
  <c r="C7451" i="1"/>
  <c r="D7451" i="1"/>
  <c r="E7451" i="1"/>
  <c r="C7452" i="1"/>
  <c r="D7452" i="1"/>
  <c r="E7452" i="1"/>
  <c r="C7453" i="1"/>
  <c r="D7453" i="1"/>
  <c r="E7453" i="1"/>
  <c r="C7454" i="1"/>
  <c r="D7454" i="1"/>
  <c r="E7454" i="1"/>
  <c r="C7455" i="1"/>
  <c r="D7455" i="1"/>
  <c r="E7455" i="1"/>
  <c r="C7456" i="1"/>
  <c r="D7456" i="1"/>
  <c r="E7456" i="1"/>
  <c r="C7457" i="1"/>
  <c r="D7457" i="1"/>
  <c r="E7457" i="1"/>
  <c r="C7458" i="1"/>
  <c r="D7458" i="1"/>
  <c r="E7458" i="1"/>
  <c r="C7459" i="1"/>
  <c r="D7459" i="1"/>
  <c r="E7459" i="1"/>
  <c r="C7460" i="1"/>
  <c r="D7460" i="1"/>
  <c r="E7460" i="1"/>
  <c r="C7461" i="1"/>
  <c r="D7461" i="1"/>
  <c r="E7461" i="1"/>
  <c r="C7462" i="1"/>
  <c r="D7462" i="1"/>
  <c r="E7462" i="1"/>
  <c r="C7463" i="1"/>
  <c r="D7463" i="1"/>
  <c r="E7463" i="1"/>
  <c r="C7464" i="1"/>
  <c r="D7464" i="1"/>
  <c r="E7464" i="1"/>
  <c r="C7465" i="1"/>
  <c r="D7465" i="1"/>
  <c r="E7465" i="1"/>
  <c r="C7466" i="1"/>
  <c r="D7466" i="1"/>
  <c r="E7466" i="1"/>
  <c r="C7467" i="1"/>
  <c r="D7467" i="1"/>
  <c r="E7467" i="1"/>
  <c r="C7468" i="1"/>
  <c r="D7468" i="1"/>
  <c r="E7468" i="1"/>
  <c r="C7469" i="1"/>
  <c r="D7469" i="1"/>
  <c r="E7469" i="1"/>
  <c r="C7470" i="1"/>
  <c r="D7470" i="1"/>
  <c r="E7470" i="1"/>
  <c r="C7471" i="1"/>
  <c r="D7471" i="1"/>
  <c r="E7471" i="1"/>
  <c r="C7472" i="1"/>
  <c r="D7472" i="1"/>
  <c r="E7472" i="1"/>
  <c r="C7473" i="1"/>
  <c r="D7473" i="1"/>
  <c r="E7473" i="1"/>
  <c r="C7474" i="1"/>
  <c r="D7474" i="1"/>
  <c r="E7474" i="1"/>
  <c r="C7475" i="1"/>
  <c r="D7475" i="1"/>
  <c r="E7475" i="1"/>
  <c r="C7476" i="1"/>
  <c r="D7476" i="1"/>
  <c r="E7476" i="1"/>
  <c r="C7477" i="1"/>
  <c r="D7477" i="1"/>
  <c r="E7477" i="1"/>
  <c r="C7478" i="1"/>
  <c r="D7478" i="1"/>
  <c r="E7478" i="1"/>
  <c r="C7479" i="1"/>
  <c r="D7479" i="1"/>
  <c r="E7479" i="1"/>
  <c r="C7480" i="1"/>
  <c r="D7480" i="1"/>
  <c r="E7480" i="1"/>
  <c r="C7481" i="1"/>
  <c r="D7481" i="1"/>
  <c r="E7481" i="1"/>
  <c r="C7482" i="1"/>
  <c r="D7482" i="1"/>
  <c r="E7482" i="1"/>
  <c r="C7483" i="1"/>
  <c r="D7483" i="1"/>
  <c r="E7483" i="1"/>
  <c r="C7484" i="1"/>
  <c r="D7484" i="1"/>
  <c r="E7484" i="1"/>
  <c r="C7485" i="1"/>
  <c r="D7485" i="1"/>
  <c r="E7485" i="1"/>
  <c r="C7486" i="1"/>
  <c r="D7486" i="1"/>
  <c r="E7486" i="1"/>
  <c r="C7487" i="1"/>
  <c r="D7487" i="1"/>
  <c r="E7487" i="1"/>
  <c r="C7488" i="1"/>
  <c r="D7488" i="1"/>
  <c r="E7488" i="1"/>
  <c r="C7489" i="1"/>
  <c r="D7489" i="1"/>
  <c r="E7489" i="1"/>
  <c r="C7490" i="1"/>
  <c r="D7490" i="1"/>
  <c r="E7490" i="1"/>
  <c r="C7491" i="1"/>
  <c r="D7491" i="1"/>
  <c r="E7491" i="1"/>
  <c r="C7492" i="1"/>
  <c r="D7492" i="1"/>
  <c r="E7492" i="1"/>
  <c r="C7493" i="1"/>
  <c r="D7493" i="1"/>
  <c r="E7493" i="1"/>
  <c r="C7494" i="1"/>
  <c r="D7494" i="1"/>
  <c r="E7494" i="1"/>
  <c r="C7495" i="1"/>
  <c r="D7495" i="1"/>
  <c r="E7495" i="1"/>
  <c r="C7496" i="1"/>
  <c r="D7496" i="1"/>
  <c r="E7496" i="1"/>
  <c r="C7497" i="1"/>
  <c r="D7497" i="1"/>
  <c r="E7497" i="1"/>
  <c r="C7498" i="1"/>
  <c r="D7498" i="1"/>
  <c r="E7498" i="1"/>
  <c r="C7499" i="1"/>
  <c r="D7499" i="1"/>
  <c r="E7499" i="1"/>
  <c r="C7500" i="1"/>
  <c r="D7500" i="1"/>
  <c r="E7500" i="1"/>
  <c r="C7501" i="1"/>
  <c r="D7501" i="1"/>
  <c r="E7501" i="1"/>
  <c r="C7502" i="1"/>
  <c r="D7502" i="1"/>
  <c r="E7502" i="1"/>
  <c r="C7503" i="1"/>
  <c r="D7503" i="1"/>
  <c r="E7503" i="1"/>
  <c r="C7504" i="1"/>
  <c r="D7504" i="1"/>
  <c r="E7504" i="1"/>
  <c r="C7505" i="1"/>
  <c r="D7505" i="1"/>
  <c r="E7505" i="1"/>
  <c r="C7506" i="1"/>
  <c r="D7506" i="1"/>
  <c r="E7506" i="1"/>
  <c r="C7507" i="1"/>
  <c r="D7507" i="1"/>
  <c r="E7507" i="1"/>
  <c r="C7508" i="1"/>
  <c r="D7508" i="1"/>
  <c r="E7508" i="1"/>
  <c r="C7509" i="1"/>
  <c r="D7509" i="1"/>
  <c r="E7509" i="1"/>
  <c r="C7510" i="1"/>
  <c r="D7510" i="1"/>
  <c r="E7510" i="1"/>
  <c r="C7511" i="1"/>
  <c r="D7511" i="1"/>
  <c r="E7511" i="1"/>
  <c r="C7512" i="1"/>
  <c r="D7512" i="1"/>
  <c r="E7512" i="1"/>
  <c r="C7513" i="1"/>
  <c r="D7513" i="1"/>
  <c r="E7513" i="1"/>
  <c r="C7514" i="1"/>
  <c r="D7514" i="1"/>
  <c r="E7514" i="1"/>
  <c r="C7515" i="1"/>
  <c r="D7515" i="1"/>
  <c r="E7515" i="1"/>
  <c r="C7516" i="1"/>
  <c r="D7516" i="1"/>
  <c r="E7516" i="1"/>
  <c r="C7517" i="1"/>
  <c r="D7517" i="1"/>
  <c r="E7517" i="1"/>
  <c r="C7518" i="1"/>
  <c r="D7518" i="1"/>
  <c r="E7518" i="1"/>
  <c r="C7519" i="1"/>
  <c r="D7519" i="1"/>
  <c r="E7519" i="1"/>
  <c r="C7520" i="1"/>
  <c r="D7520" i="1"/>
  <c r="E7520" i="1"/>
  <c r="C7521" i="1"/>
  <c r="D7521" i="1"/>
  <c r="E7521" i="1"/>
  <c r="C7522" i="1"/>
  <c r="D7522" i="1"/>
  <c r="E7522" i="1"/>
  <c r="C7523" i="1"/>
  <c r="D7523" i="1"/>
  <c r="E7523" i="1"/>
  <c r="C7524" i="1"/>
  <c r="D7524" i="1"/>
  <c r="E7524" i="1"/>
  <c r="C7525" i="1"/>
  <c r="D7525" i="1"/>
  <c r="E7525" i="1"/>
  <c r="C7526" i="1"/>
  <c r="D7526" i="1"/>
  <c r="E7526" i="1"/>
  <c r="C7527" i="1"/>
  <c r="D7527" i="1"/>
  <c r="E7527" i="1"/>
  <c r="C7528" i="1"/>
  <c r="D7528" i="1"/>
  <c r="E7528" i="1"/>
  <c r="C7529" i="1"/>
  <c r="D7529" i="1"/>
  <c r="E7529" i="1"/>
  <c r="C7530" i="1"/>
  <c r="D7530" i="1"/>
  <c r="E7530" i="1"/>
  <c r="C7531" i="1"/>
  <c r="D7531" i="1"/>
  <c r="E7531" i="1"/>
  <c r="C7532" i="1"/>
  <c r="D7532" i="1"/>
  <c r="E7532" i="1"/>
  <c r="C7533" i="1"/>
  <c r="D7533" i="1"/>
  <c r="E7533" i="1"/>
  <c r="C7534" i="1"/>
  <c r="D7534" i="1"/>
  <c r="E7534" i="1"/>
  <c r="C7535" i="1"/>
  <c r="D7535" i="1"/>
  <c r="E7535" i="1"/>
  <c r="C7536" i="1"/>
  <c r="D7536" i="1"/>
  <c r="E7536" i="1"/>
  <c r="C7537" i="1"/>
  <c r="D7537" i="1"/>
  <c r="E7537" i="1"/>
  <c r="C7538" i="1"/>
  <c r="D7538" i="1"/>
  <c r="E7538" i="1"/>
  <c r="C7539" i="1"/>
  <c r="D7539" i="1"/>
  <c r="E7539" i="1"/>
  <c r="C7540" i="1"/>
  <c r="D7540" i="1"/>
  <c r="E7540" i="1"/>
  <c r="C7541" i="1"/>
  <c r="D7541" i="1"/>
  <c r="E7541" i="1"/>
  <c r="C7542" i="1"/>
  <c r="D7542" i="1"/>
  <c r="E7542" i="1"/>
  <c r="C7543" i="1"/>
  <c r="D7543" i="1"/>
  <c r="E7543" i="1"/>
  <c r="C7544" i="1"/>
  <c r="D7544" i="1"/>
  <c r="E7544" i="1"/>
  <c r="C7545" i="1"/>
  <c r="D7545" i="1"/>
  <c r="E7545" i="1"/>
  <c r="C7546" i="1"/>
  <c r="D7546" i="1"/>
  <c r="E7546" i="1"/>
  <c r="C7547" i="1"/>
  <c r="D7547" i="1"/>
  <c r="E7547" i="1"/>
  <c r="C7548" i="1"/>
  <c r="D7548" i="1"/>
  <c r="E7548" i="1"/>
  <c r="C7549" i="1"/>
  <c r="D7549" i="1"/>
  <c r="E7549" i="1"/>
  <c r="C7550" i="1"/>
  <c r="D7550" i="1"/>
  <c r="E7550" i="1"/>
  <c r="C7551" i="1"/>
  <c r="D7551" i="1"/>
  <c r="E7551" i="1"/>
  <c r="C7552" i="1"/>
  <c r="D7552" i="1"/>
  <c r="E7552" i="1"/>
  <c r="C7553" i="1"/>
  <c r="D7553" i="1"/>
  <c r="E7553" i="1"/>
  <c r="C7554" i="1"/>
  <c r="D7554" i="1"/>
  <c r="E7554" i="1"/>
  <c r="C7555" i="1"/>
  <c r="D7555" i="1"/>
  <c r="E7555" i="1"/>
  <c r="C7556" i="1"/>
  <c r="D7556" i="1"/>
  <c r="E7556" i="1"/>
  <c r="C7557" i="1"/>
  <c r="D7557" i="1"/>
  <c r="E7557" i="1"/>
  <c r="C7558" i="1"/>
  <c r="D7558" i="1"/>
  <c r="E7558" i="1"/>
  <c r="C7559" i="1"/>
  <c r="D7559" i="1"/>
  <c r="E7559" i="1"/>
  <c r="C7560" i="1"/>
  <c r="D7560" i="1"/>
  <c r="E7560" i="1"/>
  <c r="C7561" i="1"/>
  <c r="D7561" i="1"/>
  <c r="E7561" i="1"/>
  <c r="C7562" i="1"/>
  <c r="D7562" i="1"/>
  <c r="E7562" i="1"/>
  <c r="C7563" i="1"/>
  <c r="D7563" i="1"/>
  <c r="E7563" i="1"/>
  <c r="C7564" i="1"/>
  <c r="D7564" i="1"/>
  <c r="E7564" i="1"/>
  <c r="C7565" i="1"/>
  <c r="D7565" i="1"/>
  <c r="E7565" i="1"/>
  <c r="C7566" i="1"/>
  <c r="D7566" i="1"/>
  <c r="E7566" i="1"/>
  <c r="C7567" i="1"/>
  <c r="D7567" i="1"/>
  <c r="E7567" i="1"/>
  <c r="C7568" i="1"/>
  <c r="D7568" i="1"/>
  <c r="E7568" i="1"/>
  <c r="C7569" i="1"/>
  <c r="D7569" i="1"/>
  <c r="E7569" i="1"/>
  <c r="C7570" i="1"/>
  <c r="D7570" i="1"/>
  <c r="E7570" i="1"/>
  <c r="C7571" i="1"/>
  <c r="D7571" i="1"/>
  <c r="E7571" i="1"/>
  <c r="C7572" i="1"/>
  <c r="D7572" i="1"/>
  <c r="E7572" i="1"/>
  <c r="C7573" i="1"/>
  <c r="D7573" i="1"/>
  <c r="E7573" i="1"/>
  <c r="C7574" i="1"/>
  <c r="D7574" i="1"/>
  <c r="E7574" i="1"/>
  <c r="C7575" i="1"/>
  <c r="D7575" i="1"/>
  <c r="E7575" i="1"/>
  <c r="C7576" i="1"/>
  <c r="D7576" i="1"/>
  <c r="E7576" i="1"/>
  <c r="C7577" i="1"/>
  <c r="D7577" i="1"/>
  <c r="E7577" i="1"/>
  <c r="C7578" i="1"/>
  <c r="D7578" i="1"/>
  <c r="E7578" i="1"/>
  <c r="C7579" i="1"/>
  <c r="D7579" i="1"/>
  <c r="E7579" i="1"/>
  <c r="C7580" i="1"/>
  <c r="D7580" i="1"/>
  <c r="E7580" i="1"/>
  <c r="C7581" i="1"/>
  <c r="D7581" i="1"/>
  <c r="E7581" i="1"/>
  <c r="C7582" i="1"/>
  <c r="D7582" i="1"/>
  <c r="E7582" i="1"/>
  <c r="C7583" i="1"/>
  <c r="D7583" i="1"/>
  <c r="E7583" i="1"/>
  <c r="C7584" i="1"/>
  <c r="D7584" i="1"/>
  <c r="E7584" i="1"/>
  <c r="C7585" i="1"/>
  <c r="D7585" i="1"/>
  <c r="E7585" i="1"/>
  <c r="C7586" i="1"/>
  <c r="D7586" i="1"/>
  <c r="E7586" i="1"/>
  <c r="C7587" i="1"/>
  <c r="D7587" i="1"/>
  <c r="E7587" i="1"/>
  <c r="C7588" i="1"/>
  <c r="D7588" i="1"/>
  <c r="E7588" i="1"/>
  <c r="C7589" i="1"/>
  <c r="D7589" i="1"/>
  <c r="E7589" i="1"/>
  <c r="C7590" i="1"/>
  <c r="D7590" i="1"/>
  <c r="E7590" i="1"/>
  <c r="C7591" i="1"/>
  <c r="D7591" i="1"/>
  <c r="E7591" i="1"/>
  <c r="C7592" i="1"/>
  <c r="D7592" i="1"/>
  <c r="E7592" i="1"/>
  <c r="C7593" i="1"/>
  <c r="D7593" i="1"/>
  <c r="E7593" i="1"/>
  <c r="C7594" i="1"/>
  <c r="D7594" i="1"/>
  <c r="E7594" i="1"/>
  <c r="C7595" i="1"/>
  <c r="D7595" i="1"/>
  <c r="E7595" i="1"/>
  <c r="C7596" i="1"/>
  <c r="D7596" i="1"/>
  <c r="E7596" i="1"/>
  <c r="C7597" i="1"/>
  <c r="D7597" i="1"/>
  <c r="E7597" i="1"/>
  <c r="C7598" i="1"/>
  <c r="D7598" i="1"/>
  <c r="E7598" i="1"/>
  <c r="C7599" i="1"/>
  <c r="D7599" i="1"/>
  <c r="E7599" i="1"/>
  <c r="C7600" i="1"/>
  <c r="D7600" i="1"/>
  <c r="E7600" i="1"/>
  <c r="C7601" i="1"/>
  <c r="D7601" i="1"/>
  <c r="E7601" i="1"/>
  <c r="C7602" i="1"/>
  <c r="D7602" i="1"/>
  <c r="E7602" i="1"/>
  <c r="C7603" i="1"/>
  <c r="D7603" i="1"/>
  <c r="E7603" i="1"/>
  <c r="C7604" i="1"/>
  <c r="D7604" i="1"/>
  <c r="E7604" i="1"/>
  <c r="C7605" i="1"/>
  <c r="D7605" i="1"/>
  <c r="E7605" i="1"/>
  <c r="C7606" i="1"/>
  <c r="D7606" i="1"/>
  <c r="E7606" i="1"/>
  <c r="C7607" i="1"/>
  <c r="D7607" i="1"/>
  <c r="E7607" i="1"/>
  <c r="C7608" i="1"/>
  <c r="D7608" i="1"/>
  <c r="E7608" i="1"/>
  <c r="C7609" i="1"/>
  <c r="D7609" i="1"/>
  <c r="E7609" i="1"/>
  <c r="C7610" i="1"/>
  <c r="D7610" i="1"/>
  <c r="E7610" i="1"/>
  <c r="C7611" i="1"/>
  <c r="D7611" i="1"/>
  <c r="E7611" i="1"/>
  <c r="C7612" i="1"/>
  <c r="D7612" i="1"/>
  <c r="E7612" i="1"/>
  <c r="C7613" i="1"/>
  <c r="D7613" i="1"/>
  <c r="E7613" i="1"/>
  <c r="C7614" i="1"/>
  <c r="D7614" i="1"/>
  <c r="E7614" i="1"/>
  <c r="C7615" i="1"/>
  <c r="D7615" i="1"/>
  <c r="E7615" i="1"/>
  <c r="C7616" i="1"/>
  <c r="D7616" i="1"/>
  <c r="E7616" i="1"/>
  <c r="C7617" i="1"/>
  <c r="D7617" i="1"/>
  <c r="E7617" i="1"/>
  <c r="C7618" i="1"/>
  <c r="D7618" i="1"/>
  <c r="E7618" i="1"/>
  <c r="C7619" i="1"/>
  <c r="D7619" i="1"/>
  <c r="E7619" i="1"/>
  <c r="C7620" i="1"/>
  <c r="D7620" i="1"/>
  <c r="E7620" i="1"/>
  <c r="C7621" i="1"/>
  <c r="D7621" i="1"/>
  <c r="E7621" i="1"/>
  <c r="C7622" i="1"/>
  <c r="D7622" i="1"/>
  <c r="E7622" i="1"/>
  <c r="C7623" i="1"/>
  <c r="D7623" i="1"/>
  <c r="E7623" i="1"/>
  <c r="C7624" i="1"/>
  <c r="D7624" i="1"/>
  <c r="E7624" i="1"/>
  <c r="C7625" i="1"/>
  <c r="D7625" i="1"/>
  <c r="E7625" i="1"/>
  <c r="C7626" i="1"/>
  <c r="D7626" i="1"/>
  <c r="E7626" i="1"/>
  <c r="C7627" i="1"/>
  <c r="D7627" i="1"/>
  <c r="E7627" i="1"/>
  <c r="C7628" i="1"/>
  <c r="D7628" i="1"/>
  <c r="E7628" i="1"/>
  <c r="C7629" i="1"/>
  <c r="D7629" i="1"/>
  <c r="E7629" i="1"/>
  <c r="C7630" i="1"/>
  <c r="D7630" i="1"/>
  <c r="E7630" i="1"/>
  <c r="C7631" i="1"/>
  <c r="D7631" i="1"/>
  <c r="E7631" i="1"/>
  <c r="C7632" i="1"/>
  <c r="D7632" i="1"/>
  <c r="E7632" i="1"/>
  <c r="C7633" i="1"/>
  <c r="D7633" i="1"/>
  <c r="E7633" i="1"/>
  <c r="C7634" i="1"/>
  <c r="D7634" i="1"/>
  <c r="E7634" i="1"/>
  <c r="C7635" i="1"/>
  <c r="D7635" i="1"/>
  <c r="E7635" i="1"/>
  <c r="C7636" i="1"/>
  <c r="D7636" i="1"/>
  <c r="E7636" i="1"/>
  <c r="C7637" i="1"/>
  <c r="D7637" i="1"/>
  <c r="E7637" i="1"/>
  <c r="C7638" i="1"/>
  <c r="D7638" i="1"/>
  <c r="E7638" i="1"/>
  <c r="C7639" i="1"/>
  <c r="D7639" i="1"/>
  <c r="E7639" i="1"/>
  <c r="C7640" i="1"/>
  <c r="D7640" i="1"/>
  <c r="E7640" i="1"/>
  <c r="C7641" i="1"/>
  <c r="D7641" i="1"/>
  <c r="E7641" i="1"/>
  <c r="C7642" i="1"/>
  <c r="D7642" i="1"/>
  <c r="E7642" i="1"/>
  <c r="C7643" i="1"/>
  <c r="D7643" i="1"/>
  <c r="E7643" i="1"/>
  <c r="C7644" i="1"/>
  <c r="D7644" i="1"/>
  <c r="E7644" i="1"/>
  <c r="C7645" i="1"/>
  <c r="D7645" i="1"/>
  <c r="E7645" i="1"/>
  <c r="C7646" i="1"/>
  <c r="D7646" i="1"/>
  <c r="E7646" i="1"/>
  <c r="C7647" i="1"/>
  <c r="D7647" i="1"/>
  <c r="E7647" i="1"/>
  <c r="C7648" i="1"/>
  <c r="D7648" i="1"/>
  <c r="E7648" i="1"/>
  <c r="C7649" i="1"/>
  <c r="D7649" i="1"/>
  <c r="E7649" i="1"/>
  <c r="C7650" i="1"/>
  <c r="D7650" i="1"/>
  <c r="E7650" i="1"/>
  <c r="C7651" i="1"/>
  <c r="D7651" i="1"/>
  <c r="E7651" i="1"/>
  <c r="C7652" i="1"/>
  <c r="D7652" i="1"/>
  <c r="E7652" i="1"/>
  <c r="C7653" i="1"/>
  <c r="D7653" i="1"/>
  <c r="E7653" i="1"/>
  <c r="C7654" i="1"/>
  <c r="D7654" i="1"/>
  <c r="E7654" i="1"/>
  <c r="C7655" i="1"/>
  <c r="D7655" i="1"/>
  <c r="E7655" i="1"/>
  <c r="C7656" i="1"/>
  <c r="D7656" i="1"/>
  <c r="E7656" i="1"/>
  <c r="C7657" i="1"/>
  <c r="D7657" i="1"/>
  <c r="E7657" i="1"/>
  <c r="C7658" i="1"/>
  <c r="D7658" i="1"/>
  <c r="E7658" i="1"/>
  <c r="C7659" i="1"/>
  <c r="D7659" i="1"/>
  <c r="E7659" i="1"/>
  <c r="C7660" i="1"/>
  <c r="D7660" i="1"/>
  <c r="E7660" i="1"/>
  <c r="C7661" i="1"/>
  <c r="D7661" i="1"/>
  <c r="E7661" i="1"/>
  <c r="C7662" i="1"/>
  <c r="D7662" i="1"/>
  <c r="E7662" i="1"/>
  <c r="C7663" i="1"/>
  <c r="D7663" i="1"/>
  <c r="E7663" i="1"/>
  <c r="C7664" i="1"/>
  <c r="D7664" i="1"/>
  <c r="E7664" i="1"/>
  <c r="C7665" i="1"/>
  <c r="D7665" i="1"/>
  <c r="E7665" i="1"/>
  <c r="C7666" i="1"/>
  <c r="D7666" i="1"/>
  <c r="E7666" i="1"/>
  <c r="C7667" i="1"/>
  <c r="D7667" i="1"/>
  <c r="E7667" i="1"/>
  <c r="C7668" i="1"/>
  <c r="D7668" i="1"/>
  <c r="E7668" i="1"/>
  <c r="C7669" i="1"/>
  <c r="D7669" i="1"/>
  <c r="E7669" i="1"/>
  <c r="C7670" i="1"/>
  <c r="D7670" i="1"/>
  <c r="E7670" i="1"/>
  <c r="C7671" i="1"/>
  <c r="D7671" i="1"/>
  <c r="E7671" i="1"/>
  <c r="C7672" i="1"/>
  <c r="D7672" i="1"/>
  <c r="E7672" i="1"/>
  <c r="C7673" i="1"/>
  <c r="D7673" i="1"/>
  <c r="E7673" i="1"/>
  <c r="C7674" i="1"/>
  <c r="D7674" i="1"/>
  <c r="E7674" i="1"/>
  <c r="C7675" i="1"/>
  <c r="D7675" i="1"/>
  <c r="E7675" i="1"/>
  <c r="C7676" i="1"/>
  <c r="D7676" i="1"/>
  <c r="E7676" i="1"/>
  <c r="C7677" i="1"/>
  <c r="D7677" i="1"/>
  <c r="E7677" i="1"/>
  <c r="C7678" i="1"/>
  <c r="D7678" i="1"/>
  <c r="E7678" i="1"/>
  <c r="C7679" i="1"/>
  <c r="D7679" i="1"/>
  <c r="E7679" i="1"/>
  <c r="C7680" i="1"/>
  <c r="D7680" i="1"/>
  <c r="E7680" i="1"/>
  <c r="C7681" i="1"/>
  <c r="D7681" i="1"/>
  <c r="E7681" i="1"/>
  <c r="C7682" i="1"/>
  <c r="D7682" i="1"/>
  <c r="E7682" i="1"/>
  <c r="C7683" i="1"/>
  <c r="D7683" i="1"/>
  <c r="E7683" i="1"/>
  <c r="C7684" i="1"/>
  <c r="D7684" i="1"/>
  <c r="E7684" i="1"/>
  <c r="C7685" i="1"/>
  <c r="D7685" i="1"/>
  <c r="E7685" i="1"/>
  <c r="C7686" i="1"/>
  <c r="D7686" i="1"/>
  <c r="E7686" i="1"/>
  <c r="C7687" i="1"/>
  <c r="D7687" i="1"/>
  <c r="E7687" i="1"/>
  <c r="C7688" i="1"/>
  <c r="D7688" i="1"/>
  <c r="E7688" i="1"/>
  <c r="C7689" i="1"/>
  <c r="D7689" i="1"/>
  <c r="E7689" i="1"/>
  <c r="C7690" i="1"/>
  <c r="D7690" i="1"/>
  <c r="E7690" i="1"/>
  <c r="C7691" i="1"/>
  <c r="D7691" i="1"/>
  <c r="E7691" i="1"/>
  <c r="C7692" i="1"/>
  <c r="D7692" i="1"/>
  <c r="E7692" i="1"/>
  <c r="C7693" i="1"/>
  <c r="D7693" i="1"/>
  <c r="E7693" i="1"/>
  <c r="C7694" i="1"/>
  <c r="D7694" i="1"/>
  <c r="E7694" i="1"/>
  <c r="C7695" i="1"/>
  <c r="D7695" i="1"/>
  <c r="E7695" i="1"/>
  <c r="C7696" i="1"/>
  <c r="D7696" i="1"/>
  <c r="E7696" i="1"/>
  <c r="C7697" i="1"/>
  <c r="D7697" i="1"/>
  <c r="E7697" i="1"/>
  <c r="C7698" i="1"/>
  <c r="D7698" i="1"/>
  <c r="E7698" i="1"/>
  <c r="C7699" i="1"/>
  <c r="D7699" i="1"/>
  <c r="E7699" i="1"/>
  <c r="C7700" i="1"/>
  <c r="D7700" i="1"/>
  <c r="E7700" i="1"/>
  <c r="C7701" i="1"/>
  <c r="D7701" i="1"/>
  <c r="E7701" i="1"/>
  <c r="C7702" i="1"/>
  <c r="D7702" i="1"/>
  <c r="E7702" i="1"/>
  <c r="C7703" i="1"/>
  <c r="D7703" i="1"/>
  <c r="E7703" i="1"/>
  <c r="C7704" i="1"/>
  <c r="D7704" i="1"/>
  <c r="E7704" i="1"/>
  <c r="C7705" i="1"/>
  <c r="D7705" i="1"/>
  <c r="E7705" i="1"/>
  <c r="C7706" i="1"/>
  <c r="D7706" i="1"/>
  <c r="E7706" i="1"/>
  <c r="C7707" i="1"/>
  <c r="D7707" i="1"/>
  <c r="E7707" i="1"/>
  <c r="C7708" i="1"/>
  <c r="D7708" i="1"/>
  <c r="E7708" i="1"/>
  <c r="C7709" i="1"/>
  <c r="D7709" i="1"/>
  <c r="E7709" i="1"/>
  <c r="C7710" i="1"/>
  <c r="D7710" i="1"/>
  <c r="E7710" i="1"/>
  <c r="C7711" i="1"/>
  <c r="D7711" i="1"/>
  <c r="E7711" i="1"/>
  <c r="C7712" i="1"/>
  <c r="D7712" i="1"/>
  <c r="E7712" i="1"/>
  <c r="C7713" i="1"/>
  <c r="D7713" i="1"/>
  <c r="E7713" i="1"/>
  <c r="C7714" i="1"/>
  <c r="D7714" i="1"/>
  <c r="E7714" i="1"/>
  <c r="C7715" i="1"/>
  <c r="D7715" i="1"/>
  <c r="E7715" i="1"/>
  <c r="C7716" i="1"/>
  <c r="D7716" i="1"/>
  <c r="E7716" i="1"/>
  <c r="C7717" i="1"/>
  <c r="D7717" i="1"/>
  <c r="E7717" i="1"/>
  <c r="C7718" i="1"/>
  <c r="D7718" i="1"/>
  <c r="E7718" i="1"/>
  <c r="C7719" i="1"/>
  <c r="D7719" i="1"/>
  <c r="E7719" i="1"/>
  <c r="C7720" i="1"/>
  <c r="D7720" i="1"/>
  <c r="E7720" i="1"/>
  <c r="C7721" i="1"/>
  <c r="D7721" i="1"/>
  <c r="E7721" i="1"/>
  <c r="C7722" i="1"/>
  <c r="D7722" i="1"/>
  <c r="E7722" i="1"/>
  <c r="C7723" i="1"/>
  <c r="D7723" i="1"/>
  <c r="E7723" i="1"/>
  <c r="C7724" i="1"/>
  <c r="D7724" i="1"/>
  <c r="E7724" i="1"/>
  <c r="C7725" i="1"/>
  <c r="D7725" i="1"/>
  <c r="E7725" i="1"/>
  <c r="C7726" i="1"/>
  <c r="D7726" i="1"/>
  <c r="E7726" i="1"/>
  <c r="C7727" i="1"/>
  <c r="D7727" i="1"/>
  <c r="E7727" i="1"/>
  <c r="C7728" i="1"/>
  <c r="D7728" i="1"/>
  <c r="E7728" i="1"/>
  <c r="C7729" i="1"/>
  <c r="D7729" i="1"/>
  <c r="E7729" i="1"/>
  <c r="C7730" i="1"/>
  <c r="D7730" i="1"/>
  <c r="E7730" i="1"/>
  <c r="C7731" i="1"/>
  <c r="D7731" i="1"/>
  <c r="E7731" i="1"/>
  <c r="C7732" i="1"/>
  <c r="D7732" i="1"/>
  <c r="E7732" i="1"/>
  <c r="C7733" i="1"/>
  <c r="D7733" i="1"/>
  <c r="E7733" i="1"/>
  <c r="C7734" i="1"/>
  <c r="D7734" i="1"/>
  <c r="E7734" i="1"/>
  <c r="C7735" i="1"/>
  <c r="D7735" i="1"/>
  <c r="E7735" i="1"/>
  <c r="C7736" i="1"/>
  <c r="D7736" i="1"/>
  <c r="E7736" i="1"/>
  <c r="C7737" i="1"/>
  <c r="D7737" i="1"/>
  <c r="E7737" i="1"/>
  <c r="C7738" i="1"/>
  <c r="D7738" i="1"/>
  <c r="E7738" i="1"/>
  <c r="C7739" i="1"/>
  <c r="D7739" i="1"/>
  <c r="E7739" i="1"/>
  <c r="C7740" i="1"/>
  <c r="D7740" i="1"/>
  <c r="E7740" i="1"/>
  <c r="C7741" i="1"/>
  <c r="D7741" i="1"/>
  <c r="E7741" i="1"/>
  <c r="C7742" i="1"/>
  <c r="D7742" i="1"/>
  <c r="E7742" i="1"/>
  <c r="C7743" i="1"/>
  <c r="D7743" i="1"/>
  <c r="E7743" i="1"/>
  <c r="C7744" i="1"/>
  <c r="D7744" i="1"/>
  <c r="E7744" i="1"/>
  <c r="C7745" i="1"/>
  <c r="D7745" i="1"/>
  <c r="E7745" i="1"/>
  <c r="C7746" i="1"/>
  <c r="D7746" i="1"/>
  <c r="E7746" i="1"/>
  <c r="C7747" i="1"/>
  <c r="D7747" i="1"/>
  <c r="E7747" i="1"/>
  <c r="C7748" i="1"/>
  <c r="D7748" i="1"/>
  <c r="E7748" i="1"/>
  <c r="C7749" i="1"/>
  <c r="D7749" i="1"/>
  <c r="E7749" i="1"/>
  <c r="C7750" i="1"/>
  <c r="D7750" i="1"/>
  <c r="E7750" i="1"/>
  <c r="C7751" i="1"/>
  <c r="D7751" i="1"/>
  <c r="E7751" i="1"/>
  <c r="C7752" i="1"/>
  <c r="D7752" i="1"/>
  <c r="E7752" i="1"/>
  <c r="C7753" i="1"/>
  <c r="D7753" i="1"/>
  <c r="E7753" i="1"/>
  <c r="C7754" i="1"/>
  <c r="D7754" i="1"/>
  <c r="E7754" i="1"/>
  <c r="C7755" i="1"/>
  <c r="D7755" i="1"/>
  <c r="E7755" i="1"/>
  <c r="C7756" i="1"/>
  <c r="D7756" i="1"/>
  <c r="E7756" i="1"/>
  <c r="C7757" i="1"/>
  <c r="D7757" i="1"/>
  <c r="E7757" i="1"/>
  <c r="C7758" i="1"/>
  <c r="D7758" i="1"/>
  <c r="E7758" i="1"/>
  <c r="C7759" i="1"/>
  <c r="D7759" i="1"/>
  <c r="E7759" i="1"/>
  <c r="C7760" i="1"/>
  <c r="D7760" i="1"/>
  <c r="E7760" i="1"/>
  <c r="C7761" i="1"/>
  <c r="D7761" i="1"/>
  <c r="E7761" i="1"/>
  <c r="C7762" i="1"/>
  <c r="D7762" i="1"/>
  <c r="E7762" i="1"/>
  <c r="C7763" i="1"/>
  <c r="D7763" i="1"/>
  <c r="E7763" i="1"/>
  <c r="C7764" i="1"/>
  <c r="D7764" i="1"/>
  <c r="E7764" i="1"/>
  <c r="C7765" i="1"/>
  <c r="D7765" i="1"/>
  <c r="E7765" i="1"/>
  <c r="C7766" i="1"/>
  <c r="D7766" i="1"/>
  <c r="E7766" i="1"/>
  <c r="C7767" i="1"/>
  <c r="D7767" i="1"/>
  <c r="E7767" i="1"/>
  <c r="C7768" i="1"/>
  <c r="D7768" i="1"/>
  <c r="E7768" i="1"/>
  <c r="C7769" i="1"/>
  <c r="D7769" i="1"/>
  <c r="E7769" i="1"/>
  <c r="C7770" i="1"/>
  <c r="D7770" i="1"/>
  <c r="E7770" i="1"/>
  <c r="C7771" i="1"/>
  <c r="D7771" i="1"/>
  <c r="E7771" i="1"/>
  <c r="C7772" i="1"/>
  <c r="D7772" i="1"/>
  <c r="E7772" i="1"/>
  <c r="C7773" i="1"/>
  <c r="D7773" i="1"/>
  <c r="E7773" i="1"/>
  <c r="C7774" i="1"/>
  <c r="D7774" i="1"/>
  <c r="E7774" i="1"/>
  <c r="C7775" i="1"/>
  <c r="D7775" i="1"/>
  <c r="E7775" i="1"/>
  <c r="C7776" i="1"/>
  <c r="D7776" i="1"/>
  <c r="E7776" i="1"/>
  <c r="C7777" i="1"/>
  <c r="D7777" i="1"/>
  <c r="E7777" i="1"/>
  <c r="C7778" i="1"/>
  <c r="D7778" i="1"/>
  <c r="E7778" i="1"/>
  <c r="C7779" i="1"/>
  <c r="D7779" i="1"/>
  <c r="E7779" i="1"/>
  <c r="C7780" i="1"/>
  <c r="D7780" i="1"/>
  <c r="E7780" i="1"/>
  <c r="C7781" i="1"/>
  <c r="D7781" i="1"/>
  <c r="E7781" i="1"/>
  <c r="C7782" i="1"/>
  <c r="D7782" i="1"/>
  <c r="E7782" i="1"/>
  <c r="C7783" i="1"/>
  <c r="D7783" i="1"/>
  <c r="E7783" i="1"/>
  <c r="C7784" i="1"/>
  <c r="D7784" i="1"/>
  <c r="E7784" i="1"/>
  <c r="C7785" i="1"/>
  <c r="D7785" i="1"/>
  <c r="E7785" i="1"/>
  <c r="C7786" i="1"/>
  <c r="D7786" i="1"/>
  <c r="E7786" i="1"/>
  <c r="C7787" i="1"/>
  <c r="D7787" i="1"/>
  <c r="E7787" i="1"/>
  <c r="C7788" i="1"/>
  <c r="D7788" i="1"/>
  <c r="E7788" i="1"/>
  <c r="C7789" i="1"/>
  <c r="D7789" i="1"/>
  <c r="E7789" i="1"/>
  <c r="C7790" i="1"/>
  <c r="D7790" i="1"/>
  <c r="E7790" i="1"/>
  <c r="C7791" i="1"/>
  <c r="D7791" i="1"/>
  <c r="E7791" i="1"/>
  <c r="C7792" i="1"/>
  <c r="D7792" i="1"/>
  <c r="E7792" i="1"/>
  <c r="C7793" i="1"/>
  <c r="D7793" i="1"/>
  <c r="E7793" i="1"/>
  <c r="C7794" i="1"/>
  <c r="D7794" i="1"/>
  <c r="E7794" i="1"/>
  <c r="C7795" i="1"/>
  <c r="D7795" i="1"/>
  <c r="E7795" i="1"/>
  <c r="C7796" i="1"/>
  <c r="D7796" i="1"/>
  <c r="E7796" i="1"/>
  <c r="C7797" i="1"/>
  <c r="D7797" i="1"/>
  <c r="E7797" i="1"/>
  <c r="C7798" i="1"/>
  <c r="D7798" i="1"/>
  <c r="E7798" i="1"/>
  <c r="C7799" i="1"/>
  <c r="D7799" i="1"/>
  <c r="E7799" i="1"/>
  <c r="C7800" i="1"/>
  <c r="D7800" i="1"/>
  <c r="E7800" i="1"/>
  <c r="C7801" i="1"/>
  <c r="D7801" i="1"/>
  <c r="E7801" i="1"/>
  <c r="C7802" i="1"/>
  <c r="D7802" i="1"/>
  <c r="E7802" i="1"/>
  <c r="C7803" i="1"/>
  <c r="D7803" i="1"/>
  <c r="E7803" i="1"/>
  <c r="C7804" i="1"/>
  <c r="D7804" i="1"/>
  <c r="E7804" i="1"/>
  <c r="C7805" i="1"/>
  <c r="D7805" i="1"/>
  <c r="E7805" i="1"/>
  <c r="C7806" i="1"/>
  <c r="D7806" i="1"/>
  <c r="E7806" i="1"/>
  <c r="C7807" i="1"/>
  <c r="D7807" i="1"/>
  <c r="E7807" i="1"/>
  <c r="C7808" i="1"/>
  <c r="D7808" i="1"/>
  <c r="E7808" i="1"/>
  <c r="C7809" i="1"/>
  <c r="D7809" i="1"/>
  <c r="E7809" i="1"/>
  <c r="C7810" i="1"/>
  <c r="D7810" i="1"/>
  <c r="E7810" i="1"/>
  <c r="C7811" i="1"/>
  <c r="D7811" i="1"/>
  <c r="E7811" i="1"/>
  <c r="C7812" i="1"/>
  <c r="D7812" i="1"/>
  <c r="E7812" i="1"/>
  <c r="C7813" i="1"/>
  <c r="D7813" i="1"/>
  <c r="E7813" i="1"/>
  <c r="C7814" i="1"/>
  <c r="D7814" i="1"/>
  <c r="E7814" i="1"/>
  <c r="C7815" i="1"/>
  <c r="D7815" i="1"/>
  <c r="E7815" i="1"/>
  <c r="C7816" i="1"/>
  <c r="D7816" i="1"/>
  <c r="E7816" i="1"/>
  <c r="C7817" i="1"/>
  <c r="D7817" i="1"/>
  <c r="E7817" i="1"/>
  <c r="C7818" i="1"/>
  <c r="D7818" i="1"/>
  <c r="E7818" i="1"/>
  <c r="C7819" i="1"/>
  <c r="D7819" i="1"/>
  <c r="E7819" i="1"/>
  <c r="C7820" i="1"/>
  <c r="D7820" i="1"/>
  <c r="E7820" i="1"/>
  <c r="C7821" i="1"/>
  <c r="D7821" i="1"/>
  <c r="E7821" i="1"/>
  <c r="C7822" i="1"/>
  <c r="D7822" i="1"/>
  <c r="E7822" i="1"/>
  <c r="C7823" i="1"/>
  <c r="D7823" i="1"/>
  <c r="E7823" i="1"/>
  <c r="C7824" i="1"/>
  <c r="D7824" i="1"/>
  <c r="E7824" i="1"/>
  <c r="C7825" i="1"/>
  <c r="D7825" i="1"/>
  <c r="E7825" i="1"/>
  <c r="C7826" i="1"/>
  <c r="D7826" i="1"/>
  <c r="E7826" i="1"/>
  <c r="C7827" i="1"/>
  <c r="D7827" i="1"/>
  <c r="E7827" i="1"/>
  <c r="C7828" i="1"/>
  <c r="D7828" i="1"/>
  <c r="E7828" i="1"/>
  <c r="C7829" i="1"/>
  <c r="D7829" i="1"/>
  <c r="E7829" i="1"/>
  <c r="C7830" i="1"/>
  <c r="D7830" i="1"/>
  <c r="E7830" i="1"/>
  <c r="C7831" i="1"/>
  <c r="D7831" i="1"/>
  <c r="E7831" i="1"/>
  <c r="C7832" i="1"/>
  <c r="D7832" i="1"/>
  <c r="E7832" i="1"/>
  <c r="C7833" i="1"/>
  <c r="D7833" i="1"/>
  <c r="E7833" i="1"/>
  <c r="C7834" i="1"/>
  <c r="D7834" i="1"/>
  <c r="E7834" i="1"/>
  <c r="C7835" i="1"/>
  <c r="D7835" i="1"/>
  <c r="E7835" i="1"/>
  <c r="C7836" i="1"/>
  <c r="D7836" i="1"/>
  <c r="E7836" i="1"/>
  <c r="C7837" i="1"/>
  <c r="D7837" i="1"/>
  <c r="E7837" i="1"/>
  <c r="C7838" i="1"/>
  <c r="D7838" i="1"/>
  <c r="E7838" i="1"/>
  <c r="C7839" i="1"/>
  <c r="D7839" i="1"/>
  <c r="E7839" i="1"/>
  <c r="C7840" i="1"/>
  <c r="D7840" i="1"/>
  <c r="E7840" i="1"/>
  <c r="C7841" i="1"/>
  <c r="D7841" i="1"/>
  <c r="E7841" i="1"/>
  <c r="C7842" i="1"/>
  <c r="D7842" i="1"/>
  <c r="E7842" i="1"/>
  <c r="C7843" i="1"/>
  <c r="D7843" i="1"/>
  <c r="E7843" i="1"/>
  <c r="C7844" i="1"/>
  <c r="D7844" i="1"/>
  <c r="E7844" i="1"/>
  <c r="C7845" i="1"/>
  <c r="D7845" i="1"/>
  <c r="E7845" i="1"/>
  <c r="C7846" i="1"/>
  <c r="D7846" i="1"/>
  <c r="E7846" i="1"/>
  <c r="C7847" i="1"/>
  <c r="D7847" i="1"/>
  <c r="E7847" i="1"/>
  <c r="C7848" i="1"/>
  <c r="D7848" i="1"/>
  <c r="E7848" i="1"/>
  <c r="C7849" i="1"/>
  <c r="D7849" i="1"/>
  <c r="E7849" i="1"/>
  <c r="C7850" i="1"/>
  <c r="D7850" i="1"/>
  <c r="E7850" i="1"/>
  <c r="C7851" i="1"/>
  <c r="D7851" i="1"/>
  <c r="E7851" i="1"/>
  <c r="C7852" i="1"/>
  <c r="D7852" i="1"/>
  <c r="E7852" i="1"/>
  <c r="C7853" i="1"/>
  <c r="D7853" i="1"/>
  <c r="E7853" i="1"/>
  <c r="C7854" i="1"/>
  <c r="D7854" i="1"/>
  <c r="E7854" i="1"/>
  <c r="C7855" i="1"/>
  <c r="D7855" i="1"/>
  <c r="E7855" i="1"/>
  <c r="C7856" i="1"/>
  <c r="D7856" i="1"/>
  <c r="E7856" i="1"/>
  <c r="C7857" i="1"/>
  <c r="D7857" i="1"/>
  <c r="E7857" i="1"/>
  <c r="C7858" i="1"/>
  <c r="D7858" i="1"/>
  <c r="E7858" i="1"/>
  <c r="C7859" i="1"/>
  <c r="D7859" i="1"/>
  <c r="E7859" i="1"/>
  <c r="C7860" i="1"/>
  <c r="D7860" i="1"/>
  <c r="E7860" i="1"/>
  <c r="C7861" i="1"/>
  <c r="D7861" i="1"/>
  <c r="E7861" i="1"/>
  <c r="C7862" i="1"/>
  <c r="D7862" i="1"/>
  <c r="E7862" i="1"/>
  <c r="C7863" i="1"/>
  <c r="D7863" i="1"/>
  <c r="E7863" i="1"/>
  <c r="C7864" i="1"/>
  <c r="D7864" i="1"/>
  <c r="E7864" i="1"/>
  <c r="C7865" i="1"/>
  <c r="D7865" i="1"/>
  <c r="E7865" i="1"/>
  <c r="C7866" i="1"/>
  <c r="D7866" i="1"/>
  <c r="E7866" i="1"/>
  <c r="C7867" i="1"/>
  <c r="D7867" i="1"/>
  <c r="E7867" i="1"/>
  <c r="C7868" i="1"/>
  <c r="D7868" i="1"/>
  <c r="E7868" i="1"/>
  <c r="C7869" i="1"/>
  <c r="D7869" i="1"/>
  <c r="E7869" i="1"/>
  <c r="C7870" i="1"/>
  <c r="D7870" i="1"/>
  <c r="E7870" i="1"/>
  <c r="C7871" i="1"/>
  <c r="D7871" i="1"/>
  <c r="E7871" i="1"/>
  <c r="C7872" i="1"/>
  <c r="D7872" i="1"/>
  <c r="E7872" i="1"/>
  <c r="C7873" i="1"/>
  <c r="D7873" i="1"/>
  <c r="E7873" i="1"/>
  <c r="C7874" i="1"/>
  <c r="D7874" i="1"/>
  <c r="E7874" i="1"/>
  <c r="C7875" i="1"/>
  <c r="D7875" i="1"/>
  <c r="E7875" i="1"/>
  <c r="C7876" i="1"/>
  <c r="D7876" i="1"/>
  <c r="E7876" i="1"/>
  <c r="C7877" i="1"/>
  <c r="D7877" i="1"/>
  <c r="E7877" i="1"/>
  <c r="C7878" i="1"/>
  <c r="D7878" i="1"/>
  <c r="E7878" i="1"/>
  <c r="C7879" i="1"/>
  <c r="D7879" i="1"/>
  <c r="E7879" i="1"/>
  <c r="C7880" i="1"/>
  <c r="D7880" i="1"/>
  <c r="E7880" i="1"/>
  <c r="C7881" i="1"/>
  <c r="D7881" i="1"/>
  <c r="E7881" i="1"/>
  <c r="C7882" i="1"/>
  <c r="D7882" i="1"/>
  <c r="E7882" i="1"/>
  <c r="C7883" i="1"/>
  <c r="D7883" i="1"/>
  <c r="E7883" i="1"/>
  <c r="C7884" i="1"/>
  <c r="D7884" i="1"/>
  <c r="E7884" i="1"/>
  <c r="C7885" i="1"/>
  <c r="D7885" i="1"/>
  <c r="E7885" i="1"/>
  <c r="C7886" i="1"/>
  <c r="D7886" i="1"/>
  <c r="E7886" i="1"/>
  <c r="C7887" i="1"/>
  <c r="D7887" i="1"/>
  <c r="E7887" i="1"/>
  <c r="C7888" i="1"/>
  <c r="D7888" i="1"/>
  <c r="E7888" i="1"/>
  <c r="C7889" i="1"/>
  <c r="D7889" i="1"/>
  <c r="E7889" i="1"/>
  <c r="C7890" i="1"/>
  <c r="D7890" i="1"/>
  <c r="E7890" i="1"/>
  <c r="C7891" i="1"/>
  <c r="D7891" i="1"/>
  <c r="E7891" i="1"/>
  <c r="C7892" i="1"/>
  <c r="D7892" i="1"/>
  <c r="E7892" i="1"/>
  <c r="C7893" i="1"/>
  <c r="D7893" i="1"/>
  <c r="E7893" i="1"/>
  <c r="C7894" i="1"/>
  <c r="D7894" i="1"/>
  <c r="E7894" i="1"/>
  <c r="C7895" i="1"/>
  <c r="D7895" i="1"/>
  <c r="E7895" i="1"/>
  <c r="C7896" i="1"/>
  <c r="D7896" i="1"/>
  <c r="E7896" i="1"/>
  <c r="C7897" i="1"/>
  <c r="D7897" i="1"/>
  <c r="E7897" i="1"/>
  <c r="C7898" i="1"/>
  <c r="D7898" i="1"/>
  <c r="E7898" i="1"/>
  <c r="C7899" i="1"/>
  <c r="D7899" i="1"/>
  <c r="E7899" i="1"/>
  <c r="C7900" i="1"/>
  <c r="D7900" i="1"/>
  <c r="E7900" i="1"/>
  <c r="C7901" i="1"/>
  <c r="D7901" i="1"/>
  <c r="E7901" i="1"/>
  <c r="C7902" i="1"/>
  <c r="D7902" i="1"/>
  <c r="E7902" i="1"/>
  <c r="C7903" i="1"/>
  <c r="D7903" i="1"/>
  <c r="E7903" i="1"/>
  <c r="C7904" i="1"/>
  <c r="D7904" i="1"/>
  <c r="E7904" i="1"/>
  <c r="C7905" i="1"/>
  <c r="D7905" i="1"/>
  <c r="E7905" i="1"/>
  <c r="C7906" i="1"/>
  <c r="D7906" i="1"/>
  <c r="E7906" i="1"/>
  <c r="C7907" i="1"/>
  <c r="D7907" i="1"/>
  <c r="E7907" i="1"/>
  <c r="C7908" i="1"/>
  <c r="D7908" i="1"/>
  <c r="E7908" i="1"/>
  <c r="C7909" i="1"/>
  <c r="D7909" i="1"/>
  <c r="E7909" i="1"/>
  <c r="C7910" i="1"/>
  <c r="D7910" i="1"/>
  <c r="E7910" i="1"/>
  <c r="C7911" i="1"/>
  <c r="D7911" i="1"/>
  <c r="E7911" i="1"/>
  <c r="C7912" i="1"/>
  <c r="D7912" i="1"/>
  <c r="E7912" i="1"/>
  <c r="C7913" i="1"/>
  <c r="D7913" i="1"/>
  <c r="E7913" i="1"/>
  <c r="C7914" i="1"/>
  <c r="D7914" i="1"/>
  <c r="E7914" i="1"/>
  <c r="C7915" i="1"/>
  <c r="D7915" i="1"/>
  <c r="E7915" i="1"/>
  <c r="C7916" i="1"/>
  <c r="D7916" i="1"/>
  <c r="E7916" i="1"/>
  <c r="C7917" i="1"/>
  <c r="D7917" i="1"/>
  <c r="E7917" i="1"/>
  <c r="C7918" i="1"/>
  <c r="D7918" i="1"/>
  <c r="E7918" i="1"/>
  <c r="C7919" i="1"/>
  <c r="D7919" i="1"/>
  <c r="E7919" i="1"/>
  <c r="C7920" i="1"/>
  <c r="D7920" i="1"/>
  <c r="E7920" i="1"/>
  <c r="C7921" i="1"/>
  <c r="D7921" i="1"/>
  <c r="E7921" i="1"/>
  <c r="C7922" i="1"/>
  <c r="D7922" i="1"/>
  <c r="E7922" i="1"/>
  <c r="C7923" i="1"/>
  <c r="D7923" i="1"/>
  <c r="E7923" i="1"/>
  <c r="C7924" i="1"/>
  <c r="D7924" i="1"/>
  <c r="E7924" i="1"/>
  <c r="C7925" i="1"/>
  <c r="D7925" i="1"/>
  <c r="E7925" i="1"/>
  <c r="C7926" i="1"/>
  <c r="D7926" i="1"/>
  <c r="E7926" i="1"/>
  <c r="C7927" i="1"/>
  <c r="D7927" i="1"/>
  <c r="E7927" i="1"/>
  <c r="C7928" i="1"/>
  <c r="D7928" i="1"/>
  <c r="E7928" i="1"/>
  <c r="C7929" i="1"/>
  <c r="D7929" i="1"/>
  <c r="E7929" i="1"/>
  <c r="C7930" i="1"/>
  <c r="D7930" i="1"/>
  <c r="E7930" i="1"/>
  <c r="C7931" i="1"/>
  <c r="D7931" i="1"/>
  <c r="E7931" i="1"/>
  <c r="C7932" i="1"/>
  <c r="D7932" i="1"/>
  <c r="E7932" i="1"/>
  <c r="C7933" i="1"/>
  <c r="D7933" i="1"/>
  <c r="E7933" i="1"/>
  <c r="C7934" i="1"/>
  <c r="D7934" i="1"/>
  <c r="E7934" i="1"/>
  <c r="C7935" i="1"/>
  <c r="D7935" i="1"/>
  <c r="E7935" i="1"/>
  <c r="C7936" i="1"/>
  <c r="D7936" i="1"/>
  <c r="E7936" i="1"/>
  <c r="C7937" i="1"/>
  <c r="D7937" i="1"/>
  <c r="E7937" i="1"/>
  <c r="C7938" i="1"/>
  <c r="D7938" i="1"/>
  <c r="E7938" i="1"/>
  <c r="C7939" i="1"/>
  <c r="D7939" i="1"/>
  <c r="E7939" i="1"/>
  <c r="C7940" i="1"/>
  <c r="D7940" i="1"/>
  <c r="E7940" i="1"/>
  <c r="C7941" i="1"/>
  <c r="D7941" i="1"/>
  <c r="E7941" i="1"/>
  <c r="C7942" i="1"/>
  <c r="D7942" i="1"/>
  <c r="E7942" i="1"/>
  <c r="C7943" i="1"/>
  <c r="D7943" i="1"/>
  <c r="E7943" i="1"/>
  <c r="C7944" i="1"/>
  <c r="D7944" i="1"/>
  <c r="E7944" i="1"/>
  <c r="C7945" i="1"/>
  <c r="D7945" i="1"/>
  <c r="E7945" i="1"/>
  <c r="C7946" i="1"/>
  <c r="D7946" i="1"/>
  <c r="E7946" i="1"/>
  <c r="C7947" i="1"/>
  <c r="D7947" i="1"/>
  <c r="E7947" i="1"/>
  <c r="C7948" i="1"/>
  <c r="D7948" i="1"/>
  <c r="E7948" i="1"/>
  <c r="C7949" i="1"/>
  <c r="D7949" i="1"/>
  <c r="E7949" i="1"/>
  <c r="C7950" i="1"/>
  <c r="D7950" i="1"/>
  <c r="E7950" i="1"/>
  <c r="C7951" i="1"/>
  <c r="D7951" i="1"/>
  <c r="E7951" i="1"/>
  <c r="C7952" i="1"/>
  <c r="D7952" i="1"/>
  <c r="E7952" i="1"/>
  <c r="C7953" i="1"/>
  <c r="D7953" i="1"/>
  <c r="E7953" i="1"/>
  <c r="C7954" i="1"/>
  <c r="D7954" i="1"/>
  <c r="E7954" i="1"/>
  <c r="C7955" i="1"/>
  <c r="D7955" i="1"/>
  <c r="E7955" i="1"/>
  <c r="C7956" i="1"/>
  <c r="D7956" i="1"/>
  <c r="E7956" i="1"/>
  <c r="C7957" i="1"/>
  <c r="D7957" i="1"/>
  <c r="E7957" i="1"/>
  <c r="C7958" i="1"/>
  <c r="D7958" i="1"/>
  <c r="E7958" i="1"/>
  <c r="C7959" i="1"/>
  <c r="D7959" i="1"/>
  <c r="E7959" i="1"/>
  <c r="C7960" i="1"/>
  <c r="D7960" i="1"/>
  <c r="E7960" i="1"/>
  <c r="C7961" i="1"/>
  <c r="D7961" i="1"/>
  <c r="E7961" i="1"/>
  <c r="C7962" i="1"/>
  <c r="D7962" i="1"/>
  <c r="E7962" i="1"/>
  <c r="C7963" i="1"/>
  <c r="D7963" i="1"/>
  <c r="E7963" i="1"/>
  <c r="C7964" i="1"/>
  <c r="D7964" i="1"/>
  <c r="E7964" i="1"/>
  <c r="C7965" i="1"/>
  <c r="D7965" i="1"/>
  <c r="E7965" i="1"/>
  <c r="C7966" i="1"/>
  <c r="D7966" i="1"/>
  <c r="E7966" i="1"/>
  <c r="C7967" i="1"/>
  <c r="D7967" i="1"/>
  <c r="E7967" i="1"/>
  <c r="C7968" i="1"/>
  <c r="D7968" i="1"/>
  <c r="E7968" i="1"/>
  <c r="C7969" i="1"/>
  <c r="D7969" i="1"/>
  <c r="E7969" i="1"/>
  <c r="C7970" i="1"/>
  <c r="D7970" i="1"/>
  <c r="E7970" i="1"/>
  <c r="C7971" i="1"/>
  <c r="D7971" i="1"/>
  <c r="E7971" i="1"/>
  <c r="C7972" i="1"/>
  <c r="D7972" i="1"/>
  <c r="E7972" i="1"/>
  <c r="C7973" i="1"/>
  <c r="D7973" i="1"/>
  <c r="E7973" i="1"/>
  <c r="C7974" i="1"/>
  <c r="D7974" i="1"/>
  <c r="E7974" i="1"/>
  <c r="C7975" i="1"/>
  <c r="D7975" i="1"/>
  <c r="E7975" i="1"/>
  <c r="C7976" i="1"/>
  <c r="D7976" i="1"/>
  <c r="E7976" i="1"/>
  <c r="C7977" i="1"/>
  <c r="D7977" i="1"/>
  <c r="E7977" i="1"/>
  <c r="C7978" i="1"/>
  <c r="D7978" i="1"/>
  <c r="E7978" i="1"/>
  <c r="C7979" i="1"/>
  <c r="D7979" i="1"/>
  <c r="E7979" i="1"/>
  <c r="C7980" i="1"/>
  <c r="D7980" i="1"/>
  <c r="E7980" i="1"/>
  <c r="C7981" i="1"/>
  <c r="D7981" i="1"/>
  <c r="E7981" i="1"/>
  <c r="C7982" i="1"/>
  <c r="D7982" i="1"/>
  <c r="E7982" i="1"/>
  <c r="C7983" i="1"/>
  <c r="D7983" i="1"/>
  <c r="E7983" i="1"/>
  <c r="C7984" i="1"/>
  <c r="D7984" i="1"/>
  <c r="E7984" i="1"/>
  <c r="C7985" i="1"/>
  <c r="D7985" i="1"/>
  <c r="E7985" i="1"/>
  <c r="C7986" i="1"/>
  <c r="D7986" i="1"/>
  <c r="E7986" i="1"/>
  <c r="C7987" i="1"/>
  <c r="D7987" i="1"/>
  <c r="E7987" i="1"/>
  <c r="C7988" i="1"/>
  <c r="D7988" i="1"/>
  <c r="E7988" i="1"/>
  <c r="C7989" i="1"/>
  <c r="D7989" i="1"/>
  <c r="E7989" i="1"/>
  <c r="C7990" i="1"/>
  <c r="D7990" i="1"/>
  <c r="E7990" i="1"/>
  <c r="C7991" i="1"/>
  <c r="D7991" i="1"/>
  <c r="E7991" i="1"/>
  <c r="C7992" i="1"/>
  <c r="D7992" i="1"/>
  <c r="E7992" i="1"/>
  <c r="C7993" i="1"/>
  <c r="D7993" i="1"/>
  <c r="E7993" i="1"/>
  <c r="C7994" i="1"/>
  <c r="D7994" i="1"/>
  <c r="E7994" i="1"/>
  <c r="C7995" i="1"/>
  <c r="D7995" i="1"/>
  <c r="E7995" i="1"/>
  <c r="C7996" i="1"/>
  <c r="D7996" i="1"/>
  <c r="E7996" i="1"/>
  <c r="C7997" i="1"/>
  <c r="D7997" i="1"/>
  <c r="E7997" i="1"/>
  <c r="C7998" i="1"/>
  <c r="D7998" i="1"/>
  <c r="E7998" i="1"/>
  <c r="C7999" i="1"/>
  <c r="D7999" i="1"/>
  <c r="E7999" i="1"/>
  <c r="C8000" i="1"/>
  <c r="D8000" i="1"/>
  <c r="E8000" i="1"/>
  <c r="C8001" i="1"/>
  <c r="D8001" i="1"/>
  <c r="E8001" i="1"/>
  <c r="C8002" i="1"/>
  <c r="D8002" i="1"/>
  <c r="E8002" i="1"/>
  <c r="C8003" i="1"/>
  <c r="D8003" i="1"/>
  <c r="E8003" i="1"/>
  <c r="C8004" i="1"/>
  <c r="D8004" i="1"/>
  <c r="E8004" i="1"/>
  <c r="C8005" i="1"/>
  <c r="D8005" i="1"/>
  <c r="E8005" i="1"/>
  <c r="C8006" i="1"/>
  <c r="D8006" i="1"/>
  <c r="E8006" i="1"/>
  <c r="C8007" i="1"/>
  <c r="D8007" i="1"/>
  <c r="E8007" i="1"/>
  <c r="C8008" i="1"/>
  <c r="D8008" i="1"/>
  <c r="E8008" i="1"/>
  <c r="C8009" i="1"/>
  <c r="D8009" i="1"/>
  <c r="E8009" i="1"/>
  <c r="C8010" i="1"/>
  <c r="D8010" i="1"/>
  <c r="E8010" i="1"/>
  <c r="C8011" i="1"/>
  <c r="D8011" i="1"/>
  <c r="E8011" i="1"/>
  <c r="C8012" i="1"/>
  <c r="D8012" i="1"/>
  <c r="E8012" i="1"/>
  <c r="C8013" i="1"/>
  <c r="D8013" i="1"/>
  <c r="E8013" i="1"/>
  <c r="C8014" i="1"/>
  <c r="D8014" i="1"/>
  <c r="E8014" i="1"/>
  <c r="C8015" i="1"/>
  <c r="D8015" i="1"/>
  <c r="E8015" i="1"/>
  <c r="C8016" i="1"/>
  <c r="D8016" i="1"/>
  <c r="E8016" i="1"/>
  <c r="C8017" i="1"/>
  <c r="D8017" i="1"/>
  <c r="E8017" i="1"/>
  <c r="C8018" i="1"/>
  <c r="D8018" i="1"/>
  <c r="E8018" i="1"/>
  <c r="C8019" i="1"/>
  <c r="D8019" i="1"/>
  <c r="E8019" i="1"/>
  <c r="C8020" i="1"/>
  <c r="D8020" i="1"/>
  <c r="E8020" i="1"/>
  <c r="C8021" i="1"/>
  <c r="D8021" i="1"/>
  <c r="E8021" i="1"/>
  <c r="C8022" i="1"/>
  <c r="D8022" i="1"/>
  <c r="E8022" i="1"/>
  <c r="C8023" i="1"/>
  <c r="D8023" i="1"/>
  <c r="E8023" i="1"/>
  <c r="C8024" i="1"/>
  <c r="D8024" i="1"/>
  <c r="E8024" i="1"/>
  <c r="C8025" i="1"/>
  <c r="D8025" i="1"/>
  <c r="E8025" i="1"/>
  <c r="C8026" i="1"/>
  <c r="D8026" i="1"/>
  <c r="E8026" i="1"/>
  <c r="C8027" i="1"/>
  <c r="D8027" i="1"/>
  <c r="E8027" i="1"/>
  <c r="C8028" i="1"/>
  <c r="D8028" i="1"/>
  <c r="E8028" i="1"/>
  <c r="C8029" i="1"/>
  <c r="D8029" i="1"/>
  <c r="E8029" i="1"/>
  <c r="C8030" i="1"/>
  <c r="D8030" i="1"/>
  <c r="E8030" i="1"/>
  <c r="C8031" i="1"/>
  <c r="D8031" i="1"/>
  <c r="E8031" i="1"/>
  <c r="C8032" i="1"/>
  <c r="D8032" i="1"/>
  <c r="E8032" i="1"/>
  <c r="C8033" i="1"/>
  <c r="D8033" i="1"/>
  <c r="E8033" i="1"/>
  <c r="C8034" i="1"/>
  <c r="D8034" i="1"/>
  <c r="E8034" i="1"/>
  <c r="C8035" i="1"/>
  <c r="D8035" i="1"/>
  <c r="E8035" i="1"/>
  <c r="C8036" i="1"/>
  <c r="D8036" i="1"/>
  <c r="E8036" i="1"/>
  <c r="C8037" i="1"/>
  <c r="D8037" i="1"/>
  <c r="E8037" i="1"/>
  <c r="C8038" i="1"/>
  <c r="D8038" i="1"/>
  <c r="E8038" i="1"/>
  <c r="C8039" i="1"/>
  <c r="D8039" i="1"/>
  <c r="E8039" i="1"/>
  <c r="C8040" i="1"/>
  <c r="D8040" i="1"/>
  <c r="E8040" i="1"/>
  <c r="C8041" i="1"/>
  <c r="D8041" i="1"/>
  <c r="E8041" i="1"/>
  <c r="C8042" i="1"/>
  <c r="D8042" i="1"/>
  <c r="E8042" i="1"/>
  <c r="C8043" i="1"/>
  <c r="D8043" i="1"/>
  <c r="E8043" i="1"/>
  <c r="C8044" i="1"/>
  <c r="D8044" i="1"/>
  <c r="E8044" i="1"/>
  <c r="C8045" i="1"/>
  <c r="D8045" i="1"/>
  <c r="E8045" i="1"/>
  <c r="C8046" i="1"/>
  <c r="D8046" i="1"/>
  <c r="E8046" i="1"/>
  <c r="C8047" i="1"/>
  <c r="D8047" i="1"/>
  <c r="E8047" i="1"/>
  <c r="C8048" i="1"/>
  <c r="D8048" i="1"/>
  <c r="E8048" i="1"/>
  <c r="C8049" i="1"/>
  <c r="D8049" i="1"/>
  <c r="E8049" i="1"/>
  <c r="C8050" i="1"/>
  <c r="D8050" i="1"/>
  <c r="E8050" i="1"/>
  <c r="C8051" i="1"/>
  <c r="D8051" i="1"/>
  <c r="E8051" i="1"/>
  <c r="C8052" i="1"/>
  <c r="D8052" i="1"/>
  <c r="E8052" i="1"/>
  <c r="C8053" i="1"/>
  <c r="D8053" i="1"/>
  <c r="E8053" i="1"/>
  <c r="C8054" i="1"/>
  <c r="D8054" i="1"/>
  <c r="E8054" i="1"/>
  <c r="C8055" i="1"/>
  <c r="D8055" i="1"/>
  <c r="E8055" i="1"/>
  <c r="C8056" i="1"/>
  <c r="D8056" i="1"/>
  <c r="E8056" i="1"/>
  <c r="C8057" i="1"/>
  <c r="D8057" i="1"/>
  <c r="E8057" i="1"/>
  <c r="C8058" i="1"/>
  <c r="D8058" i="1"/>
  <c r="E8058" i="1"/>
  <c r="C8059" i="1"/>
  <c r="D8059" i="1"/>
  <c r="E8059" i="1"/>
  <c r="C8060" i="1"/>
  <c r="D8060" i="1"/>
  <c r="E8060" i="1"/>
  <c r="C8061" i="1"/>
  <c r="D8061" i="1"/>
  <c r="E8061" i="1"/>
  <c r="C8062" i="1"/>
  <c r="D8062" i="1"/>
  <c r="E8062" i="1"/>
  <c r="C8063" i="1"/>
  <c r="D8063" i="1"/>
  <c r="E8063" i="1"/>
  <c r="C8064" i="1"/>
  <c r="D8064" i="1"/>
  <c r="E8064" i="1"/>
  <c r="C8065" i="1"/>
  <c r="D8065" i="1"/>
  <c r="E8065" i="1"/>
  <c r="C8066" i="1"/>
  <c r="D8066" i="1"/>
  <c r="E8066" i="1"/>
  <c r="C8067" i="1"/>
  <c r="D8067" i="1"/>
  <c r="E8067" i="1"/>
  <c r="C8068" i="1"/>
  <c r="D8068" i="1"/>
  <c r="E8068" i="1"/>
  <c r="C8069" i="1"/>
  <c r="D8069" i="1"/>
  <c r="E8069" i="1"/>
  <c r="C8070" i="1"/>
  <c r="D8070" i="1"/>
  <c r="E8070" i="1"/>
  <c r="C8071" i="1"/>
  <c r="D8071" i="1"/>
  <c r="E8071" i="1"/>
  <c r="C8072" i="1"/>
  <c r="D8072" i="1"/>
  <c r="E8072" i="1"/>
  <c r="C8073" i="1"/>
  <c r="D8073" i="1"/>
  <c r="E8073" i="1"/>
  <c r="C8074" i="1"/>
  <c r="D8074" i="1"/>
  <c r="E8074" i="1"/>
  <c r="C8075" i="1"/>
  <c r="D8075" i="1"/>
  <c r="E8075" i="1"/>
  <c r="C8076" i="1"/>
  <c r="D8076" i="1"/>
  <c r="E8076" i="1"/>
  <c r="C8077" i="1"/>
  <c r="D8077" i="1"/>
  <c r="E8077" i="1"/>
  <c r="C8078" i="1"/>
  <c r="D8078" i="1"/>
  <c r="E8078" i="1"/>
  <c r="C8079" i="1"/>
  <c r="D8079" i="1"/>
  <c r="E8079" i="1"/>
  <c r="C8080" i="1"/>
  <c r="D8080" i="1"/>
  <c r="E8080" i="1"/>
  <c r="C8081" i="1"/>
  <c r="D8081" i="1"/>
  <c r="E8081" i="1"/>
  <c r="C8082" i="1"/>
  <c r="D8082" i="1"/>
  <c r="E8082" i="1"/>
  <c r="C8083" i="1"/>
  <c r="D8083" i="1"/>
  <c r="E8083" i="1"/>
  <c r="C8084" i="1"/>
  <c r="D8084" i="1"/>
  <c r="E8084" i="1"/>
  <c r="C8085" i="1"/>
  <c r="D8085" i="1"/>
  <c r="E8085" i="1"/>
  <c r="C8086" i="1"/>
  <c r="D8086" i="1"/>
  <c r="E8086" i="1"/>
  <c r="C8087" i="1"/>
  <c r="D8087" i="1"/>
  <c r="E8087" i="1"/>
  <c r="C8088" i="1"/>
  <c r="D8088" i="1"/>
  <c r="E8088" i="1"/>
  <c r="C8089" i="1"/>
  <c r="D8089" i="1"/>
  <c r="E8089" i="1"/>
  <c r="C8090" i="1"/>
  <c r="D8090" i="1"/>
  <c r="E8090" i="1"/>
  <c r="C8091" i="1"/>
  <c r="D8091" i="1"/>
  <c r="E8091" i="1"/>
  <c r="C8092" i="1"/>
  <c r="D8092" i="1"/>
  <c r="E8092" i="1"/>
  <c r="C8093" i="1"/>
  <c r="D8093" i="1"/>
  <c r="E8093" i="1"/>
  <c r="C8094" i="1"/>
  <c r="D8094" i="1"/>
  <c r="E8094" i="1"/>
  <c r="C8095" i="1"/>
  <c r="D8095" i="1"/>
  <c r="E8095" i="1"/>
  <c r="C8096" i="1"/>
  <c r="D8096" i="1"/>
  <c r="E8096" i="1"/>
  <c r="C8097" i="1"/>
  <c r="D8097" i="1"/>
  <c r="E8097" i="1"/>
  <c r="C8098" i="1"/>
  <c r="D8098" i="1"/>
  <c r="E8098" i="1"/>
  <c r="C8099" i="1"/>
  <c r="D8099" i="1"/>
  <c r="E8099" i="1"/>
  <c r="C8100" i="1"/>
  <c r="D8100" i="1"/>
  <c r="E8100" i="1"/>
  <c r="C8101" i="1"/>
  <c r="D8101" i="1"/>
  <c r="E8101" i="1"/>
  <c r="C8102" i="1"/>
  <c r="D8102" i="1"/>
  <c r="E8102" i="1"/>
  <c r="C8103" i="1"/>
  <c r="D8103" i="1"/>
  <c r="E8103" i="1"/>
  <c r="C8104" i="1"/>
  <c r="D8104" i="1"/>
  <c r="E8104" i="1"/>
  <c r="C8105" i="1"/>
  <c r="D8105" i="1"/>
  <c r="E8105" i="1"/>
  <c r="C8106" i="1"/>
  <c r="D8106" i="1"/>
  <c r="E8106" i="1"/>
  <c r="C8107" i="1"/>
  <c r="D8107" i="1"/>
  <c r="E8107" i="1"/>
  <c r="C8108" i="1"/>
  <c r="D8108" i="1"/>
  <c r="E8108" i="1"/>
  <c r="C8109" i="1"/>
  <c r="D8109" i="1"/>
  <c r="E8109" i="1"/>
  <c r="C8110" i="1"/>
  <c r="D8110" i="1"/>
  <c r="E8110" i="1"/>
  <c r="C8111" i="1"/>
  <c r="D8111" i="1"/>
  <c r="E8111" i="1"/>
  <c r="C8112" i="1"/>
  <c r="D8112" i="1"/>
  <c r="E8112" i="1"/>
  <c r="C8113" i="1"/>
  <c r="D8113" i="1"/>
  <c r="E8113" i="1"/>
  <c r="C8114" i="1"/>
  <c r="D8114" i="1"/>
  <c r="E8114" i="1"/>
  <c r="C8115" i="1"/>
  <c r="D8115" i="1"/>
  <c r="E8115" i="1"/>
  <c r="C8116" i="1"/>
  <c r="D8116" i="1"/>
  <c r="E8116" i="1"/>
  <c r="C8117" i="1"/>
  <c r="D8117" i="1"/>
  <c r="E8117" i="1"/>
  <c r="C8118" i="1"/>
  <c r="D8118" i="1"/>
  <c r="E8118" i="1"/>
  <c r="C8119" i="1"/>
  <c r="D8119" i="1"/>
  <c r="E8119" i="1"/>
  <c r="C8120" i="1"/>
  <c r="D8120" i="1"/>
  <c r="E8120" i="1"/>
  <c r="C8121" i="1"/>
  <c r="D8121" i="1"/>
  <c r="E8121" i="1"/>
  <c r="C8122" i="1"/>
  <c r="D8122" i="1"/>
  <c r="E8122" i="1"/>
  <c r="C8123" i="1"/>
  <c r="D8123" i="1"/>
  <c r="E8123" i="1"/>
  <c r="C8124" i="1"/>
  <c r="D8124" i="1"/>
  <c r="E8124" i="1"/>
  <c r="C8125" i="1"/>
  <c r="D8125" i="1"/>
  <c r="E8125" i="1"/>
  <c r="C8126" i="1"/>
  <c r="D8126" i="1"/>
  <c r="E8126" i="1"/>
  <c r="C8127" i="1"/>
  <c r="D8127" i="1"/>
  <c r="E8127" i="1"/>
  <c r="C8128" i="1"/>
  <c r="D8128" i="1"/>
  <c r="E8128" i="1"/>
  <c r="C8129" i="1"/>
  <c r="D8129" i="1"/>
  <c r="E8129" i="1"/>
  <c r="C8130" i="1"/>
  <c r="D8130" i="1"/>
  <c r="E8130" i="1"/>
  <c r="C8131" i="1"/>
  <c r="D8131" i="1"/>
  <c r="E8131" i="1"/>
  <c r="C8132" i="1"/>
  <c r="D8132" i="1"/>
  <c r="E8132" i="1"/>
  <c r="C8133" i="1"/>
  <c r="D8133" i="1"/>
  <c r="E8133" i="1"/>
  <c r="C8134" i="1"/>
  <c r="D8134" i="1"/>
  <c r="E8134" i="1"/>
  <c r="C8135" i="1"/>
  <c r="D8135" i="1"/>
  <c r="E8135" i="1"/>
  <c r="C8136" i="1"/>
  <c r="D8136" i="1"/>
  <c r="E8136" i="1"/>
  <c r="C8137" i="1"/>
  <c r="D8137" i="1"/>
  <c r="E8137" i="1"/>
  <c r="C8138" i="1"/>
  <c r="D8138" i="1"/>
  <c r="E8138" i="1"/>
  <c r="C8139" i="1"/>
  <c r="D8139" i="1"/>
  <c r="E8139" i="1"/>
  <c r="C8140" i="1"/>
  <c r="D8140" i="1"/>
  <c r="E8140" i="1"/>
  <c r="C8141" i="1"/>
  <c r="D8141" i="1"/>
  <c r="E8141" i="1"/>
  <c r="C8142" i="1"/>
  <c r="D8142" i="1"/>
  <c r="E8142" i="1"/>
  <c r="C8143" i="1"/>
  <c r="D8143" i="1"/>
  <c r="E8143" i="1"/>
  <c r="C8144" i="1"/>
  <c r="D8144" i="1"/>
  <c r="E8144" i="1"/>
  <c r="C8145" i="1"/>
  <c r="D8145" i="1"/>
  <c r="E8145" i="1"/>
  <c r="C8146" i="1"/>
  <c r="D8146" i="1"/>
  <c r="E8146" i="1"/>
  <c r="C8147" i="1"/>
  <c r="D8147" i="1"/>
  <c r="E8147" i="1"/>
  <c r="C8148" i="1"/>
  <c r="D8148" i="1"/>
  <c r="E8148" i="1"/>
  <c r="C8149" i="1"/>
  <c r="D8149" i="1"/>
  <c r="E8149" i="1"/>
  <c r="C8150" i="1"/>
  <c r="D8150" i="1"/>
  <c r="E8150" i="1"/>
  <c r="C8151" i="1"/>
  <c r="D8151" i="1"/>
  <c r="E8151" i="1"/>
  <c r="C8152" i="1"/>
  <c r="D8152" i="1"/>
  <c r="E8152" i="1"/>
  <c r="C8153" i="1"/>
  <c r="D8153" i="1"/>
  <c r="E8153" i="1"/>
  <c r="C8154" i="1"/>
  <c r="D8154" i="1"/>
  <c r="E8154" i="1"/>
  <c r="C8155" i="1"/>
  <c r="D8155" i="1"/>
  <c r="E8155" i="1"/>
  <c r="C8156" i="1"/>
  <c r="D8156" i="1"/>
  <c r="E8156" i="1"/>
  <c r="C8157" i="1"/>
  <c r="D8157" i="1"/>
  <c r="E8157" i="1"/>
  <c r="C8158" i="1"/>
  <c r="D8158" i="1"/>
  <c r="E8158" i="1"/>
  <c r="C8159" i="1"/>
  <c r="D8159" i="1"/>
  <c r="E8159" i="1"/>
  <c r="C8160" i="1"/>
  <c r="D8160" i="1"/>
  <c r="E8160" i="1"/>
  <c r="C8161" i="1"/>
  <c r="D8161" i="1"/>
  <c r="E8161" i="1"/>
  <c r="C8162" i="1"/>
  <c r="D8162" i="1"/>
  <c r="E8162" i="1"/>
  <c r="C8163" i="1"/>
  <c r="D8163" i="1"/>
  <c r="E8163" i="1"/>
  <c r="C8164" i="1"/>
  <c r="D8164" i="1"/>
  <c r="E8164" i="1"/>
  <c r="C8165" i="1"/>
  <c r="D8165" i="1"/>
  <c r="E8165" i="1"/>
  <c r="C8166" i="1"/>
  <c r="D8166" i="1"/>
  <c r="E8166" i="1"/>
  <c r="C8167" i="1"/>
  <c r="D8167" i="1"/>
  <c r="E8167" i="1"/>
  <c r="C8168" i="1"/>
  <c r="D8168" i="1"/>
  <c r="E8168" i="1"/>
  <c r="C8169" i="1"/>
  <c r="D8169" i="1"/>
  <c r="E8169" i="1"/>
  <c r="C8170" i="1"/>
  <c r="D8170" i="1"/>
  <c r="E8170" i="1"/>
  <c r="C8171" i="1"/>
  <c r="D8171" i="1"/>
  <c r="E8171" i="1"/>
  <c r="C8172" i="1"/>
  <c r="D8172" i="1"/>
  <c r="E8172" i="1"/>
  <c r="C8173" i="1"/>
  <c r="D8173" i="1"/>
  <c r="E8173" i="1"/>
  <c r="C8174" i="1"/>
  <c r="D8174" i="1"/>
  <c r="E8174" i="1"/>
  <c r="C8175" i="1"/>
  <c r="D8175" i="1"/>
  <c r="E8175" i="1"/>
  <c r="C8176" i="1"/>
  <c r="D8176" i="1"/>
  <c r="E8176" i="1"/>
  <c r="C8177" i="1"/>
  <c r="D8177" i="1"/>
  <c r="E8177" i="1"/>
  <c r="C8178" i="1"/>
  <c r="D8178" i="1"/>
  <c r="E8178" i="1"/>
  <c r="C8179" i="1"/>
  <c r="D8179" i="1"/>
  <c r="E8179" i="1"/>
  <c r="C8180" i="1"/>
  <c r="D8180" i="1"/>
  <c r="E8180" i="1"/>
  <c r="C8181" i="1"/>
  <c r="D8181" i="1"/>
  <c r="E8181" i="1"/>
  <c r="C8182" i="1"/>
  <c r="D8182" i="1"/>
  <c r="E8182" i="1"/>
  <c r="C8183" i="1"/>
  <c r="D8183" i="1"/>
  <c r="E8183" i="1"/>
  <c r="C8184" i="1"/>
  <c r="D8184" i="1"/>
  <c r="E8184" i="1"/>
  <c r="C8185" i="1"/>
  <c r="D8185" i="1"/>
  <c r="E8185" i="1"/>
  <c r="C8186" i="1"/>
  <c r="D8186" i="1"/>
  <c r="E8186" i="1"/>
  <c r="C8187" i="1"/>
  <c r="D8187" i="1"/>
  <c r="E8187" i="1"/>
  <c r="C8188" i="1"/>
  <c r="D8188" i="1"/>
  <c r="E8188" i="1"/>
  <c r="C8189" i="1"/>
  <c r="D8189" i="1"/>
  <c r="E8189" i="1"/>
  <c r="C8190" i="1"/>
  <c r="D8190" i="1"/>
  <c r="E8190" i="1"/>
  <c r="C8191" i="1"/>
  <c r="D8191" i="1"/>
  <c r="E8191" i="1"/>
  <c r="C8192" i="1"/>
  <c r="D8192" i="1"/>
  <c r="E8192" i="1"/>
  <c r="C8193" i="1"/>
  <c r="D8193" i="1"/>
  <c r="E8193" i="1"/>
  <c r="C8194" i="1"/>
  <c r="D8194" i="1"/>
  <c r="E8194" i="1"/>
  <c r="C8195" i="1"/>
  <c r="D8195" i="1"/>
  <c r="E8195" i="1"/>
  <c r="C8196" i="1"/>
  <c r="D8196" i="1"/>
  <c r="E8196" i="1"/>
  <c r="C8197" i="1"/>
  <c r="D8197" i="1"/>
  <c r="E8197" i="1"/>
  <c r="C8198" i="1"/>
  <c r="D8198" i="1"/>
  <c r="E8198" i="1"/>
  <c r="C8199" i="1"/>
  <c r="D8199" i="1"/>
  <c r="E8199" i="1"/>
  <c r="C8200" i="1"/>
  <c r="D8200" i="1"/>
  <c r="E8200" i="1"/>
  <c r="C8201" i="1"/>
  <c r="D8201" i="1"/>
  <c r="E8201" i="1"/>
  <c r="C8202" i="1"/>
  <c r="D8202" i="1"/>
  <c r="E8202" i="1"/>
  <c r="C8203" i="1"/>
  <c r="D8203" i="1"/>
  <c r="E8203" i="1"/>
  <c r="C8204" i="1"/>
  <c r="D8204" i="1"/>
  <c r="E8204" i="1"/>
  <c r="C8205" i="1"/>
  <c r="D8205" i="1"/>
  <c r="E8205" i="1"/>
  <c r="C8206" i="1"/>
  <c r="D8206" i="1"/>
  <c r="E8206" i="1"/>
  <c r="C8207" i="1"/>
  <c r="D8207" i="1"/>
  <c r="E8207" i="1"/>
  <c r="C8208" i="1"/>
  <c r="D8208" i="1"/>
  <c r="E8208" i="1"/>
  <c r="C8209" i="1"/>
  <c r="D8209" i="1"/>
  <c r="E8209" i="1"/>
  <c r="C8210" i="1"/>
  <c r="D8210" i="1"/>
  <c r="E8210" i="1"/>
  <c r="C8211" i="1"/>
  <c r="D8211" i="1"/>
  <c r="E8211" i="1"/>
  <c r="C8212" i="1"/>
  <c r="D8212" i="1"/>
  <c r="E8212" i="1"/>
  <c r="C8213" i="1"/>
  <c r="D8213" i="1"/>
  <c r="E8213" i="1"/>
  <c r="C8214" i="1"/>
  <c r="D8214" i="1"/>
  <c r="E8214" i="1"/>
  <c r="C8215" i="1"/>
  <c r="D8215" i="1"/>
  <c r="E8215" i="1"/>
  <c r="C8216" i="1"/>
  <c r="D8216" i="1"/>
  <c r="E8216" i="1"/>
  <c r="C8217" i="1"/>
  <c r="D8217" i="1"/>
  <c r="E8217" i="1"/>
  <c r="C8218" i="1"/>
  <c r="D8218" i="1"/>
  <c r="E8218" i="1"/>
  <c r="C8219" i="1"/>
  <c r="D8219" i="1"/>
  <c r="E8219" i="1"/>
  <c r="C8220" i="1"/>
  <c r="D8220" i="1"/>
  <c r="E8220" i="1"/>
  <c r="C8221" i="1"/>
  <c r="D8221" i="1"/>
  <c r="E8221" i="1"/>
  <c r="C8222" i="1"/>
  <c r="D8222" i="1"/>
  <c r="E8222" i="1"/>
  <c r="C8223" i="1"/>
  <c r="D8223" i="1"/>
  <c r="E8223" i="1"/>
  <c r="C8224" i="1"/>
  <c r="D8224" i="1"/>
  <c r="E8224" i="1"/>
  <c r="C8225" i="1"/>
  <c r="D8225" i="1"/>
  <c r="E8225" i="1"/>
  <c r="C8226" i="1"/>
  <c r="D8226" i="1"/>
  <c r="E8226" i="1"/>
  <c r="C8227" i="1"/>
  <c r="D8227" i="1"/>
  <c r="E8227" i="1"/>
  <c r="C8228" i="1"/>
  <c r="D8228" i="1"/>
  <c r="E8228" i="1"/>
  <c r="C8229" i="1"/>
  <c r="D8229" i="1"/>
  <c r="E8229" i="1"/>
  <c r="C8230" i="1"/>
  <c r="D8230" i="1"/>
  <c r="E8230" i="1"/>
  <c r="C8231" i="1"/>
  <c r="D8231" i="1"/>
  <c r="E8231" i="1"/>
  <c r="C8232" i="1"/>
  <c r="D8232" i="1"/>
  <c r="E8232" i="1"/>
  <c r="C8233" i="1"/>
  <c r="D8233" i="1"/>
  <c r="E8233" i="1"/>
  <c r="C8234" i="1"/>
  <c r="D8234" i="1"/>
  <c r="E8234" i="1"/>
  <c r="C8235" i="1"/>
  <c r="D8235" i="1"/>
  <c r="E8235" i="1"/>
  <c r="C8236" i="1"/>
  <c r="D8236" i="1"/>
  <c r="E8236" i="1"/>
  <c r="C8237" i="1"/>
  <c r="D8237" i="1"/>
  <c r="E8237" i="1"/>
  <c r="C8238" i="1"/>
  <c r="D8238" i="1"/>
  <c r="E8238" i="1"/>
  <c r="C8239" i="1"/>
  <c r="D8239" i="1"/>
  <c r="E8239" i="1"/>
  <c r="C8240" i="1"/>
  <c r="D8240" i="1"/>
  <c r="E8240" i="1"/>
  <c r="C8241" i="1"/>
  <c r="D8241" i="1"/>
  <c r="E8241" i="1"/>
  <c r="C8242" i="1"/>
  <c r="D8242" i="1"/>
  <c r="E8242" i="1"/>
  <c r="C8243" i="1"/>
  <c r="D8243" i="1"/>
  <c r="E8243" i="1"/>
  <c r="C8244" i="1"/>
  <c r="D8244" i="1"/>
  <c r="E8244" i="1"/>
  <c r="C8245" i="1"/>
  <c r="D8245" i="1"/>
  <c r="E8245" i="1"/>
  <c r="C8246" i="1"/>
  <c r="D8246" i="1"/>
  <c r="E8246" i="1"/>
  <c r="C8247" i="1"/>
  <c r="D8247" i="1"/>
  <c r="E8247" i="1"/>
  <c r="C8248" i="1"/>
  <c r="D8248" i="1"/>
  <c r="E8248" i="1"/>
  <c r="C8249" i="1"/>
  <c r="D8249" i="1"/>
  <c r="E8249" i="1"/>
  <c r="C8250" i="1"/>
  <c r="D8250" i="1"/>
  <c r="E8250" i="1"/>
  <c r="C8251" i="1"/>
  <c r="D8251" i="1"/>
  <c r="E8251" i="1"/>
  <c r="C8252" i="1"/>
  <c r="D8252" i="1"/>
  <c r="E8252" i="1"/>
  <c r="C8253" i="1"/>
  <c r="D8253" i="1"/>
  <c r="E8253" i="1"/>
  <c r="C8254" i="1"/>
  <c r="D8254" i="1"/>
  <c r="E8254" i="1"/>
  <c r="C8255" i="1"/>
  <c r="D8255" i="1"/>
  <c r="E8255" i="1"/>
  <c r="C8256" i="1"/>
  <c r="D8256" i="1"/>
  <c r="E8256" i="1"/>
  <c r="C8257" i="1"/>
  <c r="D8257" i="1"/>
  <c r="E8257" i="1"/>
  <c r="C8258" i="1"/>
  <c r="D8258" i="1"/>
  <c r="E8258" i="1"/>
  <c r="C8259" i="1"/>
  <c r="D8259" i="1"/>
  <c r="E8259" i="1"/>
  <c r="C8260" i="1"/>
  <c r="D8260" i="1"/>
  <c r="E8260" i="1"/>
  <c r="C8261" i="1"/>
  <c r="D8261" i="1"/>
  <c r="E8261" i="1"/>
  <c r="C8262" i="1"/>
  <c r="D8262" i="1"/>
  <c r="E8262" i="1"/>
  <c r="C8263" i="1"/>
  <c r="D8263" i="1"/>
  <c r="E8263" i="1"/>
  <c r="C8264" i="1"/>
  <c r="D8264" i="1"/>
  <c r="E8264" i="1"/>
  <c r="C8265" i="1"/>
  <c r="D8265" i="1"/>
  <c r="E8265" i="1"/>
  <c r="C8266" i="1"/>
  <c r="D8266" i="1"/>
  <c r="E8266" i="1"/>
  <c r="C8267" i="1"/>
  <c r="D8267" i="1"/>
  <c r="E8267" i="1"/>
  <c r="C8268" i="1"/>
  <c r="D8268" i="1"/>
  <c r="E8268" i="1"/>
  <c r="C8269" i="1"/>
  <c r="D8269" i="1"/>
  <c r="E8269" i="1"/>
  <c r="C8270" i="1"/>
  <c r="D8270" i="1"/>
  <c r="E8270" i="1"/>
  <c r="C8271" i="1"/>
  <c r="D8271" i="1"/>
  <c r="E8271" i="1"/>
  <c r="C8272" i="1"/>
  <c r="D8272" i="1"/>
  <c r="E8272" i="1"/>
  <c r="C8273" i="1"/>
  <c r="D8273" i="1"/>
  <c r="E8273" i="1"/>
  <c r="C8274" i="1"/>
  <c r="D8274" i="1"/>
  <c r="E8274" i="1"/>
  <c r="C8275" i="1"/>
  <c r="D8275" i="1"/>
  <c r="E8275" i="1"/>
  <c r="C8276" i="1"/>
  <c r="D8276" i="1"/>
  <c r="E8276" i="1"/>
  <c r="C8277" i="1"/>
  <c r="D8277" i="1"/>
  <c r="E8277" i="1"/>
  <c r="C8278" i="1"/>
  <c r="D8278" i="1"/>
  <c r="E8278" i="1"/>
  <c r="C8279" i="1"/>
  <c r="D8279" i="1"/>
  <c r="E8279" i="1"/>
  <c r="C8280" i="1"/>
  <c r="D8280" i="1"/>
  <c r="E8280" i="1"/>
  <c r="C8281" i="1"/>
  <c r="D8281" i="1"/>
  <c r="E8281" i="1"/>
  <c r="C8282" i="1"/>
  <c r="D8282" i="1"/>
  <c r="E8282" i="1"/>
  <c r="C8283" i="1"/>
  <c r="D8283" i="1"/>
  <c r="E8283" i="1"/>
  <c r="C8284" i="1"/>
  <c r="D8284" i="1"/>
  <c r="E8284" i="1"/>
  <c r="C8285" i="1"/>
  <c r="D8285" i="1"/>
  <c r="E8285" i="1"/>
  <c r="C8286" i="1"/>
  <c r="D8286" i="1"/>
  <c r="E8286" i="1"/>
  <c r="C8287" i="1"/>
  <c r="D8287" i="1"/>
  <c r="E8287" i="1"/>
  <c r="C8288" i="1"/>
  <c r="D8288" i="1"/>
  <c r="E8288" i="1"/>
  <c r="C8289" i="1"/>
  <c r="D8289" i="1"/>
  <c r="E8289" i="1"/>
  <c r="C8290" i="1"/>
  <c r="D8290" i="1"/>
  <c r="E8290" i="1"/>
  <c r="C8291" i="1"/>
  <c r="D8291" i="1"/>
  <c r="E8291" i="1"/>
  <c r="C8292" i="1"/>
  <c r="D8292" i="1"/>
  <c r="E8292" i="1"/>
  <c r="C8293" i="1"/>
  <c r="D8293" i="1"/>
  <c r="E8293" i="1"/>
  <c r="C8294" i="1"/>
  <c r="D8294" i="1"/>
  <c r="E8294" i="1"/>
  <c r="C8295" i="1"/>
  <c r="D8295" i="1"/>
  <c r="E8295" i="1"/>
  <c r="C8296" i="1"/>
  <c r="D8296" i="1"/>
  <c r="E8296" i="1"/>
  <c r="C8297" i="1"/>
  <c r="D8297" i="1"/>
  <c r="E8297" i="1"/>
  <c r="C8298" i="1"/>
  <c r="D8298" i="1"/>
  <c r="E8298" i="1"/>
  <c r="C8299" i="1"/>
  <c r="D8299" i="1"/>
  <c r="E8299" i="1"/>
  <c r="C8300" i="1"/>
  <c r="D8300" i="1"/>
  <c r="E8300" i="1"/>
  <c r="C8301" i="1"/>
  <c r="D8301" i="1"/>
  <c r="E8301" i="1"/>
  <c r="C8302" i="1"/>
  <c r="D8302" i="1"/>
  <c r="E8302" i="1"/>
  <c r="C8303" i="1"/>
  <c r="D8303" i="1"/>
  <c r="E8303" i="1"/>
  <c r="C8304" i="1"/>
  <c r="D8304" i="1"/>
  <c r="E8304" i="1"/>
  <c r="C8305" i="1"/>
  <c r="D8305" i="1"/>
  <c r="E8305" i="1"/>
  <c r="C8306" i="1"/>
  <c r="D8306" i="1"/>
  <c r="E8306" i="1"/>
  <c r="C8307" i="1"/>
  <c r="D8307" i="1"/>
  <c r="E8307" i="1"/>
  <c r="C8308" i="1"/>
  <c r="D8308" i="1"/>
  <c r="E8308" i="1"/>
  <c r="C8309" i="1"/>
  <c r="D8309" i="1"/>
  <c r="E8309" i="1"/>
  <c r="C8310" i="1"/>
  <c r="D8310" i="1"/>
  <c r="E8310" i="1"/>
  <c r="C8311" i="1"/>
  <c r="D8311" i="1"/>
  <c r="E8311" i="1"/>
  <c r="C8312" i="1"/>
  <c r="D8312" i="1"/>
  <c r="E8312" i="1"/>
  <c r="C8313" i="1"/>
  <c r="D8313" i="1"/>
  <c r="E8313" i="1"/>
  <c r="C8314" i="1"/>
  <c r="D8314" i="1"/>
  <c r="E8314" i="1"/>
  <c r="C8315" i="1"/>
  <c r="D8315" i="1"/>
  <c r="E8315" i="1"/>
  <c r="C8316" i="1"/>
  <c r="D8316" i="1"/>
  <c r="E8316" i="1"/>
  <c r="C8317" i="1"/>
  <c r="D8317" i="1"/>
  <c r="E8317" i="1"/>
  <c r="C8318" i="1"/>
  <c r="D8318" i="1"/>
  <c r="E8318" i="1"/>
  <c r="C8319" i="1"/>
  <c r="D8319" i="1"/>
  <c r="E8319" i="1"/>
  <c r="C8320" i="1"/>
  <c r="D8320" i="1"/>
  <c r="E8320" i="1"/>
  <c r="C8321" i="1"/>
  <c r="D8321" i="1"/>
  <c r="E8321" i="1"/>
  <c r="C8322" i="1"/>
  <c r="D8322" i="1"/>
  <c r="E8322" i="1"/>
  <c r="C8323" i="1"/>
  <c r="D8323" i="1"/>
  <c r="E8323" i="1"/>
  <c r="C8324" i="1"/>
  <c r="D8324" i="1"/>
  <c r="E8324" i="1"/>
  <c r="C8325" i="1"/>
  <c r="D8325" i="1"/>
  <c r="E8325" i="1"/>
  <c r="C8326" i="1"/>
  <c r="D8326" i="1"/>
  <c r="E8326" i="1"/>
  <c r="C8327" i="1"/>
  <c r="D8327" i="1"/>
  <c r="E8327" i="1"/>
  <c r="C8328" i="1"/>
  <c r="D8328" i="1"/>
  <c r="E8328" i="1"/>
  <c r="C8329" i="1"/>
  <c r="D8329" i="1"/>
  <c r="E8329" i="1"/>
  <c r="C8330" i="1"/>
  <c r="D8330" i="1"/>
  <c r="E8330" i="1"/>
  <c r="C8331" i="1"/>
  <c r="D8331" i="1"/>
  <c r="E8331" i="1"/>
  <c r="C8332" i="1"/>
  <c r="D8332" i="1"/>
  <c r="E8332" i="1"/>
  <c r="C8333" i="1"/>
  <c r="D8333" i="1"/>
  <c r="E8333" i="1"/>
  <c r="C8334" i="1"/>
  <c r="D8334" i="1"/>
  <c r="E8334" i="1"/>
  <c r="C8335" i="1"/>
  <c r="D8335" i="1"/>
  <c r="E8335" i="1"/>
  <c r="C8336" i="1"/>
  <c r="D8336" i="1"/>
  <c r="E8336" i="1"/>
  <c r="C8337" i="1"/>
  <c r="D8337" i="1"/>
  <c r="E8337" i="1"/>
  <c r="C8338" i="1"/>
  <c r="D8338" i="1"/>
  <c r="E8338" i="1"/>
  <c r="C8339" i="1"/>
  <c r="D8339" i="1"/>
  <c r="E8339" i="1"/>
  <c r="C8340" i="1"/>
  <c r="D8340" i="1"/>
  <c r="E8340" i="1"/>
  <c r="C8341" i="1"/>
  <c r="D8341" i="1"/>
  <c r="E8341" i="1"/>
  <c r="C8342" i="1"/>
  <c r="D8342" i="1"/>
  <c r="E8342" i="1"/>
  <c r="C8343" i="1"/>
  <c r="D8343" i="1"/>
  <c r="E8343" i="1"/>
  <c r="C8344" i="1"/>
  <c r="D8344" i="1"/>
  <c r="E8344" i="1"/>
  <c r="C8345" i="1"/>
  <c r="D8345" i="1"/>
  <c r="E8345" i="1"/>
  <c r="C8346" i="1"/>
  <c r="D8346" i="1"/>
  <c r="E8346" i="1"/>
  <c r="C8347" i="1"/>
  <c r="D8347" i="1"/>
  <c r="E8347" i="1"/>
  <c r="C8348" i="1"/>
  <c r="D8348" i="1"/>
  <c r="E8348" i="1"/>
  <c r="C8349" i="1"/>
  <c r="D8349" i="1"/>
  <c r="E8349" i="1"/>
  <c r="C8350" i="1"/>
  <c r="D8350" i="1"/>
  <c r="E8350" i="1"/>
  <c r="C8351" i="1"/>
  <c r="D8351" i="1"/>
  <c r="E8351" i="1"/>
  <c r="C8352" i="1"/>
  <c r="D8352" i="1"/>
  <c r="E8352" i="1"/>
  <c r="C8353" i="1"/>
  <c r="D8353" i="1"/>
  <c r="E8353" i="1"/>
  <c r="C8354" i="1"/>
  <c r="D8354" i="1"/>
  <c r="E8354" i="1"/>
  <c r="C8355" i="1"/>
  <c r="D8355" i="1"/>
  <c r="E8355" i="1"/>
  <c r="C8356" i="1"/>
  <c r="D8356" i="1"/>
  <c r="E8356" i="1"/>
  <c r="C8357" i="1"/>
  <c r="D8357" i="1"/>
  <c r="E8357" i="1"/>
  <c r="C8358" i="1"/>
  <c r="D8358" i="1"/>
  <c r="E8358" i="1"/>
  <c r="C8359" i="1"/>
  <c r="D8359" i="1"/>
  <c r="E8359" i="1"/>
  <c r="C8360" i="1"/>
  <c r="D8360" i="1"/>
  <c r="E8360" i="1"/>
  <c r="C8361" i="1"/>
  <c r="D8361" i="1"/>
  <c r="E8361" i="1"/>
  <c r="C8362" i="1"/>
  <c r="D8362" i="1"/>
  <c r="E8362" i="1"/>
  <c r="C8363" i="1"/>
  <c r="D8363" i="1"/>
  <c r="E8363" i="1"/>
  <c r="C8364" i="1"/>
  <c r="D8364" i="1"/>
  <c r="E8364" i="1"/>
  <c r="C8365" i="1"/>
  <c r="D8365" i="1"/>
  <c r="E8365" i="1"/>
  <c r="C8366" i="1"/>
  <c r="D8366" i="1"/>
  <c r="E8366" i="1"/>
  <c r="C8367" i="1"/>
  <c r="D8367" i="1"/>
  <c r="E8367" i="1"/>
  <c r="C8368" i="1"/>
  <c r="D8368" i="1"/>
  <c r="E8368" i="1"/>
  <c r="C8369" i="1"/>
  <c r="D8369" i="1"/>
  <c r="E8369" i="1"/>
  <c r="C8370" i="1"/>
  <c r="D8370" i="1"/>
  <c r="E8370" i="1"/>
  <c r="C8371" i="1"/>
  <c r="D8371" i="1"/>
  <c r="E8371" i="1"/>
  <c r="C8372" i="1"/>
  <c r="D8372" i="1"/>
  <c r="E8372" i="1"/>
  <c r="C8373" i="1"/>
  <c r="D8373" i="1"/>
  <c r="E8373" i="1"/>
  <c r="C8374" i="1"/>
  <c r="D8374" i="1"/>
  <c r="E8374" i="1"/>
  <c r="C8375" i="1"/>
  <c r="D8375" i="1"/>
  <c r="E8375" i="1"/>
  <c r="C8376" i="1"/>
  <c r="D8376" i="1"/>
  <c r="E8376" i="1"/>
  <c r="C8377" i="1"/>
  <c r="D8377" i="1"/>
  <c r="E8377" i="1"/>
  <c r="C8378" i="1"/>
  <c r="D8378" i="1"/>
  <c r="E8378" i="1"/>
  <c r="C8379" i="1"/>
  <c r="D8379" i="1"/>
  <c r="E8379" i="1"/>
  <c r="C8380" i="1"/>
  <c r="D8380" i="1"/>
  <c r="E8380" i="1"/>
  <c r="C8381" i="1"/>
  <c r="D8381" i="1"/>
  <c r="E8381" i="1"/>
  <c r="C8382" i="1"/>
  <c r="D8382" i="1"/>
  <c r="E8382" i="1"/>
  <c r="C8383" i="1"/>
  <c r="D8383" i="1"/>
  <c r="E8383" i="1"/>
  <c r="C8384" i="1"/>
  <c r="D8384" i="1"/>
  <c r="E8384" i="1"/>
  <c r="C8385" i="1"/>
  <c r="D8385" i="1"/>
  <c r="E8385" i="1"/>
  <c r="C8386" i="1"/>
  <c r="D8386" i="1"/>
  <c r="E8386" i="1"/>
  <c r="C8387" i="1"/>
  <c r="D8387" i="1"/>
  <c r="E8387" i="1"/>
  <c r="C8388" i="1"/>
  <c r="D8388" i="1"/>
  <c r="E8388" i="1"/>
  <c r="C8389" i="1"/>
  <c r="D8389" i="1"/>
  <c r="E8389" i="1"/>
  <c r="C8390" i="1"/>
  <c r="D8390" i="1"/>
  <c r="E8390" i="1"/>
  <c r="C8391" i="1"/>
  <c r="D8391" i="1"/>
  <c r="E8391" i="1"/>
  <c r="C8392" i="1"/>
  <c r="D8392" i="1"/>
  <c r="E8392" i="1"/>
  <c r="C8393" i="1"/>
  <c r="D8393" i="1"/>
  <c r="E8393" i="1"/>
  <c r="C8394" i="1"/>
  <c r="D8394" i="1"/>
  <c r="E8394" i="1"/>
  <c r="C8395" i="1"/>
  <c r="D8395" i="1"/>
  <c r="E8395" i="1"/>
  <c r="C8396" i="1"/>
  <c r="D8396" i="1"/>
  <c r="E8396" i="1"/>
  <c r="C8397" i="1"/>
  <c r="D8397" i="1"/>
  <c r="E8397" i="1"/>
  <c r="C8398" i="1"/>
  <c r="D8398" i="1"/>
  <c r="E8398" i="1"/>
  <c r="C8399" i="1"/>
  <c r="D8399" i="1"/>
  <c r="E8399" i="1"/>
  <c r="C8400" i="1"/>
  <c r="D8400" i="1"/>
  <c r="E8400" i="1"/>
  <c r="C8401" i="1"/>
  <c r="D8401" i="1"/>
  <c r="E8401" i="1"/>
  <c r="C8402" i="1"/>
  <c r="D8402" i="1"/>
  <c r="E8402" i="1"/>
  <c r="C8403" i="1"/>
  <c r="D8403" i="1"/>
  <c r="E8403" i="1"/>
  <c r="C8404" i="1"/>
  <c r="D8404" i="1"/>
  <c r="E8404" i="1"/>
  <c r="C8405" i="1"/>
  <c r="D8405" i="1"/>
  <c r="E8405" i="1"/>
  <c r="C8406" i="1"/>
  <c r="D8406" i="1"/>
  <c r="E8406" i="1"/>
  <c r="C8407" i="1"/>
  <c r="D8407" i="1"/>
  <c r="E8407" i="1"/>
  <c r="C8408" i="1"/>
  <c r="D8408" i="1"/>
  <c r="E8408" i="1"/>
  <c r="C8409" i="1"/>
  <c r="D8409" i="1"/>
  <c r="E8409" i="1"/>
  <c r="C8410" i="1"/>
  <c r="D8410" i="1"/>
  <c r="E8410" i="1"/>
  <c r="C8411" i="1"/>
  <c r="D8411" i="1"/>
  <c r="E8411" i="1"/>
  <c r="C8412" i="1"/>
  <c r="D8412" i="1"/>
  <c r="E8412" i="1"/>
  <c r="C8413" i="1"/>
  <c r="D8413" i="1"/>
  <c r="E8413" i="1"/>
  <c r="C8414" i="1"/>
  <c r="D8414" i="1"/>
  <c r="E8414" i="1"/>
  <c r="C8415" i="1"/>
  <c r="D8415" i="1"/>
  <c r="E8415" i="1"/>
  <c r="C8416" i="1"/>
  <c r="D8416" i="1"/>
  <c r="E8416" i="1"/>
  <c r="C8417" i="1"/>
  <c r="D8417" i="1"/>
  <c r="E8417" i="1"/>
  <c r="C8418" i="1"/>
  <c r="D8418" i="1"/>
  <c r="E8418" i="1"/>
  <c r="C8419" i="1"/>
  <c r="D8419" i="1"/>
  <c r="E8419" i="1"/>
  <c r="C8420" i="1"/>
  <c r="D8420" i="1"/>
  <c r="E8420" i="1"/>
  <c r="C8421" i="1"/>
  <c r="D8421" i="1"/>
  <c r="E8421" i="1"/>
  <c r="C8422" i="1"/>
  <c r="D8422" i="1"/>
  <c r="E8422" i="1"/>
  <c r="C8423" i="1"/>
  <c r="D8423" i="1"/>
  <c r="E8423" i="1"/>
  <c r="C8424" i="1"/>
  <c r="D8424" i="1"/>
  <c r="E8424" i="1"/>
  <c r="C8425" i="1"/>
  <c r="D8425" i="1"/>
  <c r="E8425" i="1"/>
  <c r="C8426" i="1"/>
  <c r="D8426" i="1"/>
  <c r="E8426" i="1"/>
  <c r="C8427" i="1"/>
  <c r="D8427" i="1"/>
  <c r="E8427" i="1"/>
  <c r="C8428" i="1"/>
  <c r="D8428" i="1"/>
  <c r="E8428" i="1"/>
  <c r="C8429" i="1"/>
  <c r="D8429" i="1"/>
  <c r="E8429" i="1"/>
  <c r="C8430" i="1"/>
  <c r="D8430" i="1"/>
  <c r="E8430" i="1"/>
  <c r="C8431" i="1"/>
  <c r="D8431" i="1"/>
  <c r="E8431" i="1"/>
  <c r="C8432" i="1"/>
  <c r="D8432" i="1"/>
  <c r="E8432" i="1"/>
  <c r="C8433" i="1"/>
  <c r="D8433" i="1"/>
  <c r="E8433" i="1"/>
  <c r="C8434" i="1"/>
  <c r="D8434" i="1"/>
  <c r="E8434" i="1"/>
  <c r="C8435" i="1"/>
  <c r="D8435" i="1"/>
  <c r="E8435" i="1"/>
  <c r="C8436" i="1"/>
  <c r="D8436" i="1"/>
  <c r="E8436" i="1"/>
  <c r="C8437" i="1"/>
  <c r="D8437" i="1"/>
  <c r="E8437" i="1"/>
  <c r="C8438" i="1"/>
  <c r="D8438" i="1"/>
  <c r="E8438" i="1"/>
  <c r="C8439" i="1"/>
  <c r="D8439" i="1"/>
  <c r="E8439" i="1"/>
  <c r="C8440" i="1"/>
  <c r="D8440" i="1"/>
  <c r="E8440" i="1"/>
  <c r="C8441" i="1"/>
  <c r="D8441" i="1"/>
  <c r="E8441" i="1"/>
  <c r="C8442" i="1"/>
  <c r="D8442" i="1"/>
  <c r="E8442" i="1"/>
  <c r="C8443" i="1"/>
  <c r="D8443" i="1"/>
  <c r="E8443" i="1"/>
  <c r="C8444" i="1"/>
  <c r="D8444" i="1"/>
  <c r="E8444" i="1"/>
  <c r="C8445" i="1"/>
  <c r="D8445" i="1"/>
  <c r="E8445" i="1"/>
  <c r="C8446" i="1"/>
  <c r="D8446" i="1"/>
  <c r="E8446" i="1"/>
  <c r="C8447" i="1"/>
  <c r="D8447" i="1"/>
  <c r="E8447" i="1"/>
  <c r="C8448" i="1"/>
  <c r="D8448" i="1"/>
  <c r="E8448" i="1"/>
  <c r="C8449" i="1"/>
  <c r="D8449" i="1"/>
  <c r="E8449" i="1"/>
  <c r="C8450" i="1"/>
  <c r="D8450" i="1"/>
  <c r="E8450" i="1"/>
  <c r="C8451" i="1"/>
  <c r="D8451" i="1"/>
  <c r="E8451" i="1"/>
  <c r="C8452" i="1"/>
  <c r="D8452" i="1"/>
  <c r="E8452" i="1"/>
  <c r="C8453" i="1"/>
  <c r="D8453" i="1"/>
  <c r="E8453" i="1"/>
  <c r="C8454" i="1"/>
  <c r="D8454" i="1"/>
  <c r="E8454" i="1"/>
  <c r="C8455" i="1"/>
  <c r="D8455" i="1"/>
  <c r="E8455" i="1"/>
  <c r="C8456" i="1"/>
  <c r="D8456" i="1"/>
  <c r="E8456" i="1"/>
  <c r="C8457" i="1"/>
  <c r="D8457" i="1"/>
  <c r="E8457" i="1"/>
  <c r="C8458" i="1"/>
  <c r="D8458" i="1"/>
  <c r="E8458" i="1"/>
  <c r="C8459" i="1"/>
  <c r="D8459" i="1"/>
  <c r="E8459" i="1"/>
  <c r="C8460" i="1"/>
  <c r="D8460" i="1"/>
  <c r="E8460" i="1"/>
  <c r="C8461" i="1"/>
  <c r="D8461" i="1"/>
  <c r="E8461" i="1"/>
  <c r="C8462" i="1"/>
  <c r="D8462" i="1"/>
  <c r="E8462" i="1"/>
  <c r="C8463" i="1"/>
  <c r="D8463" i="1"/>
  <c r="E8463" i="1"/>
  <c r="C8464" i="1"/>
  <c r="D8464" i="1"/>
  <c r="E8464" i="1"/>
  <c r="C8465" i="1"/>
  <c r="D8465" i="1"/>
  <c r="E8465" i="1"/>
  <c r="C8466" i="1"/>
  <c r="D8466" i="1"/>
  <c r="E8466" i="1"/>
  <c r="C8467" i="1"/>
  <c r="D8467" i="1"/>
  <c r="E8467" i="1"/>
  <c r="C8468" i="1"/>
  <c r="D8468" i="1"/>
  <c r="E8468" i="1"/>
  <c r="C8469" i="1"/>
  <c r="D8469" i="1"/>
  <c r="E8469" i="1"/>
  <c r="C8470" i="1"/>
  <c r="D8470" i="1"/>
  <c r="E8470" i="1"/>
  <c r="C8471" i="1"/>
  <c r="D8471" i="1"/>
  <c r="E8471" i="1"/>
  <c r="C8472" i="1"/>
  <c r="D8472" i="1"/>
  <c r="E8472" i="1"/>
  <c r="C8473" i="1"/>
  <c r="D8473" i="1"/>
  <c r="E8473" i="1"/>
  <c r="C8474" i="1"/>
  <c r="D8474" i="1"/>
  <c r="E8474" i="1"/>
  <c r="C8475" i="1"/>
  <c r="D8475" i="1"/>
  <c r="E8475" i="1"/>
  <c r="C8476" i="1"/>
  <c r="D8476" i="1"/>
  <c r="E8476" i="1"/>
  <c r="C8477" i="1"/>
  <c r="D8477" i="1"/>
  <c r="E8477" i="1"/>
  <c r="C8478" i="1"/>
  <c r="D8478" i="1"/>
  <c r="E8478" i="1"/>
  <c r="C8479" i="1"/>
  <c r="D8479" i="1"/>
  <c r="E8479" i="1"/>
  <c r="C8480" i="1"/>
  <c r="D8480" i="1"/>
  <c r="E8480" i="1"/>
  <c r="C8481" i="1"/>
  <c r="D8481" i="1"/>
  <c r="E8481" i="1"/>
  <c r="C8482" i="1"/>
  <c r="D8482" i="1"/>
  <c r="E8482" i="1"/>
  <c r="C8483" i="1"/>
  <c r="D8483" i="1"/>
  <c r="E8483" i="1"/>
  <c r="C8484" i="1"/>
  <c r="D8484" i="1"/>
  <c r="E8484" i="1"/>
  <c r="C8485" i="1"/>
  <c r="D8485" i="1"/>
  <c r="E8485" i="1"/>
  <c r="C8486" i="1"/>
  <c r="D8486" i="1"/>
  <c r="E8486" i="1"/>
  <c r="C8487" i="1"/>
  <c r="D8487" i="1"/>
  <c r="E8487" i="1"/>
  <c r="C8488" i="1"/>
  <c r="D8488" i="1"/>
  <c r="E8488" i="1"/>
  <c r="C8489" i="1"/>
  <c r="D8489" i="1"/>
  <c r="E8489" i="1"/>
  <c r="C8490" i="1"/>
  <c r="D8490" i="1"/>
  <c r="E8490" i="1"/>
  <c r="C8491" i="1"/>
  <c r="D8491" i="1"/>
  <c r="E8491" i="1"/>
  <c r="C8492" i="1"/>
  <c r="D8492" i="1"/>
  <c r="E8492" i="1"/>
  <c r="C8493" i="1"/>
  <c r="D8493" i="1"/>
  <c r="E8493" i="1"/>
  <c r="C8494" i="1"/>
  <c r="D8494" i="1"/>
  <c r="E8494" i="1"/>
  <c r="C8495" i="1"/>
  <c r="D8495" i="1"/>
  <c r="E8495" i="1"/>
  <c r="C8496" i="1"/>
  <c r="D8496" i="1"/>
  <c r="E8496" i="1"/>
  <c r="C8497" i="1"/>
  <c r="D8497" i="1"/>
  <c r="E8497" i="1"/>
  <c r="C8498" i="1"/>
  <c r="D8498" i="1"/>
  <c r="E8498" i="1"/>
  <c r="C8499" i="1"/>
  <c r="D8499" i="1"/>
  <c r="E8499" i="1"/>
  <c r="C8500" i="1"/>
  <c r="D8500" i="1"/>
  <c r="E8500" i="1"/>
  <c r="C8501" i="1"/>
  <c r="D8501" i="1"/>
  <c r="E8501" i="1"/>
  <c r="C8502" i="1"/>
  <c r="D8502" i="1"/>
  <c r="E8502" i="1"/>
  <c r="C8503" i="1"/>
  <c r="D8503" i="1"/>
  <c r="E8503" i="1"/>
  <c r="C8504" i="1"/>
  <c r="D8504" i="1"/>
  <c r="E8504" i="1"/>
  <c r="C8505" i="1"/>
  <c r="D8505" i="1"/>
  <c r="E8505" i="1"/>
  <c r="C8506" i="1"/>
  <c r="D8506" i="1"/>
  <c r="E8506" i="1"/>
  <c r="C8507" i="1"/>
  <c r="D8507" i="1"/>
  <c r="E8507" i="1"/>
  <c r="C8508" i="1"/>
  <c r="D8508" i="1"/>
  <c r="E8508" i="1"/>
  <c r="C8509" i="1"/>
  <c r="D8509" i="1"/>
  <c r="E8509" i="1"/>
  <c r="C8510" i="1"/>
  <c r="D8510" i="1"/>
  <c r="E8510" i="1"/>
  <c r="C8511" i="1"/>
  <c r="D8511" i="1"/>
  <c r="E8511" i="1"/>
  <c r="C8512" i="1"/>
  <c r="D8512" i="1"/>
  <c r="E8512" i="1"/>
  <c r="C8513" i="1"/>
  <c r="D8513" i="1"/>
  <c r="E8513" i="1"/>
  <c r="C8514" i="1"/>
  <c r="D8514" i="1"/>
  <c r="E8514" i="1"/>
  <c r="C8515" i="1"/>
  <c r="D8515" i="1"/>
  <c r="E8515" i="1"/>
  <c r="C8516" i="1"/>
  <c r="D8516" i="1"/>
  <c r="E8516" i="1"/>
  <c r="C8517" i="1"/>
  <c r="D8517" i="1"/>
  <c r="E8517" i="1"/>
  <c r="C8518" i="1"/>
  <c r="D8518" i="1"/>
  <c r="E8518" i="1"/>
  <c r="C8519" i="1"/>
  <c r="D8519" i="1"/>
  <c r="E8519" i="1"/>
  <c r="C8520" i="1"/>
  <c r="D8520" i="1"/>
  <c r="E8520" i="1"/>
  <c r="C8521" i="1"/>
  <c r="D8521" i="1"/>
  <c r="E8521" i="1"/>
  <c r="C8522" i="1"/>
  <c r="D8522" i="1"/>
  <c r="E8522" i="1"/>
  <c r="C8523" i="1"/>
  <c r="D8523" i="1"/>
  <c r="E8523" i="1"/>
  <c r="C8524" i="1"/>
  <c r="D8524" i="1"/>
  <c r="E8524" i="1"/>
  <c r="C8525" i="1"/>
  <c r="D8525" i="1"/>
  <c r="E8525" i="1"/>
  <c r="C8526" i="1"/>
  <c r="D8526" i="1"/>
  <c r="E8526" i="1"/>
  <c r="C8527" i="1"/>
  <c r="D8527" i="1"/>
  <c r="E8527" i="1"/>
  <c r="C8528" i="1"/>
  <c r="D8528" i="1"/>
  <c r="E8528" i="1"/>
  <c r="C8529" i="1"/>
  <c r="D8529" i="1"/>
  <c r="E8529" i="1"/>
  <c r="C8530" i="1"/>
  <c r="D8530" i="1"/>
  <c r="E8530" i="1"/>
  <c r="C8531" i="1"/>
  <c r="D8531" i="1"/>
  <c r="E8531" i="1"/>
  <c r="C8532" i="1"/>
  <c r="D8532" i="1"/>
  <c r="E8532" i="1"/>
  <c r="C8533" i="1"/>
  <c r="D8533" i="1"/>
  <c r="E8533" i="1"/>
  <c r="C8534" i="1"/>
  <c r="D8534" i="1"/>
  <c r="E8534" i="1"/>
  <c r="C8535" i="1"/>
  <c r="D8535" i="1"/>
  <c r="E8535" i="1"/>
  <c r="C8536" i="1"/>
  <c r="D8536" i="1"/>
  <c r="E8536" i="1"/>
  <c r="C8537" i="1"/>
  <c r="D8537" i="1"/>
  <c r="E8537" i="1"/>
  <c r="C8538" i="1"/>
  <c r="D8538" i="1"/>
  <c r="E8538" i="1"/>
  <c r="C8539" i="1"/>
  <c r="D8539" i="1"/>
  <c r="E8539" i="1"/>
  <c r="C8540" i="1"/>
  <c r="D8540" i="1"/>
  <c r="E8540" i="1"/>
  <c r="C8541" i="1"/>
  <c r="D8541" i="1"/>
  <c r="E8541" i="1"/>
  <c r="C8542" i="1"/>
  <c r="D8542" i="1"/>
  <c r="E8542" i="1"/>
  <c r="C8543" i="1"/>
  <c r="D8543" i="1"/>
  <c r="E8543" i="1"/>
  <c r="C8544" i="1"/>
  <c r="D8544" i="1"/>
  <c r="E8544" i="1"/>
  <c r="C8545" i="1"/>
  <c r="D8545" i="1"/>
  <c r="E8545" i="1"/>
  <c r="C8546" i="1"/>
  <c r="D8546" i="1"/>
  <c r="E8546" i="1"/>
  <c r="C8547" i="1"/>
  <c r="D8547" i="1"/>
  <c r="E8547" i="1"/>
  <c r="C8548" i="1"/>
  <c r="D8548" i="1"/>
  <c r="E8548" i="1"/>
  <c r="C8549" i="1"/>
  <c r="D8549" i="1"/>
  <c r="E8549" i="1"/>
  <c r="C8550" i="1"/>
  <c r="D8550" i="1"/>
  <c r="E8550" i="1"/>
  <c r="C8551" i="1"/>
  <c r="D8551" i="1"/>
  <c r="E8551" i="1"/>
  <c r="C8552" i="1"/>
  <c r="D8552" i="1"/>
  <c r="E8552" i="1"/>
  <c r="C8553" i="1"/>
  <c r="D8553" i="1"/>
  <c r="E8553" i="1"/>
  <c r="C8554" i="1"/>
  <c r="D8554" i="1"/>
  <c r="E8554" i="1"/>
  <c r="C8555" i="1"/>
  <c r="D8555" i="1"/>
  <c r="E8555" i="1"/>
  <c r="C8556" i="1"/>
  <c r="D8556" i="1"/>
  <c r="E8556" i="1"/>
  <c r="C8557" i="1"/>
  <c r="D8557" i="1"/>
  <c r="E8557" i="1"/>
  <c r="C8558" i="1"/>
  <c r="D8558" i="1"/>
  <c r="E8558" i="1"/>
  <c r="C8559" i="1"/>
  <c r="D8559" i="1"/>
  <c r="E8559" i="1"/>
  <c r="C8560" i="1"/>
  <c r="D8560" i="1"/>
  <c r="E8560" i="1"/>
  <c r="C8561" i="1"/>
  <c r="D8561" i="1"/>
  <c r="E8561" i="1"/>
  <c r="C8562" i="1"/>
  <c r="D8562" i="1"/>
  <c r="E8562" i="1"/>
  <c r="C8563" i="1"/>
  <c r="D8563" i="1"/>
  <c r="E8563" i="1"/>
  <c r="C8564" i="1"/>
  <c r="D8564" i="1"/>
  <c r="E8564" i="1"/>
  <c r="C8565" i="1"/>
  <c r="D8565" i="1"/>
  <c r="E8565" i="1"/>
  <c r="C8566" i="1"/>
  <c r="D8566" i="1"/>
  <c r="E8566" i="1"/>
  <c r="C8567" i="1"/>
  <c r="D8567" i="1"/>
  <c r="E8567" i="1"/>
  <c r="C8568" i="1"/>
  <c r="D8568" i="1"/>
  <c r="E8568" i="1"/>
  <c r="C8569" i="1"/>
  <c r="D8569" i="1"/>
  <c r="E8569" i="1"/>
  <c r="C8570" i="1"/>
  <c r="D8570" i="1"/>
  <c r="E8570" i="1"/>
  <c r="C8571" i="1"/>
  <c r="D8571" i="1"/>
  <c r="E8571" i="1"/>
  <c r="C8572" i="1"/>
  <c r="D8572" i="1"/>
  <c r="E8572" i="1"/>
  <c r="C8573" i="1"/>
  <c r="D8573" i="1"/>
  <c r="E8573" i="1"/>
  <c r="C8574" i="1"/>
  <c r="D8574" i="1"/>
  <c r="E8574" i="1"/>
  <c r="C8575" i="1"/>
  <c r="D8575" i="1"/>
  <c r="E8575" i="1"/>
  <c r="C8576" i="1"/>
  <c r="D8576" i="1"/>
  <c r="E8576" i="1"/>
  <c r="C8577" i="1"/>
  <c r="D8577" i="1"/>
  <c r="E8577" i="1"/>
  <c r="C8578" i="1"/>
  <c r="D8578" i="1"/>
  <c r="E8578" i="1"/>
  <c r="C8579" i="1"/>
  <c r="D8579" i="1"/>
  <c r="E8579" i="1"/>
  <c r="C8580" i="1"/>
  <c r="D8580" i="1"/>
  <c r="E8580" i="1"/>
  <c r="C8581" i="1"/>
  <c r="D8581" i="1"/>
  <c r="E8581" i="1"/>
  <c r="C8582" i="1"/>
  <c r="D8582" i="1"/>
  <c r="E8582" i="1"/>
  <c r="C8583" i="1"/>
  <c r="D8583" i="1"/>
  <c r="E8583" i="1"/>
  <c r="C8584" i="1"/>
  <c r="D8584" i="1"/>
  <c r="E8584" i="1"/>
  <c r="C8585" i="1"/>
  <c r="D8585" i="1"/>
  <c r="E8585" i="1"/>
  <c r="C8586" i="1"/>
  <c r="D8586" i="1"/>
  <c r="E8586" i="1"/>
  <c r="C8587" i="1"/>
  <c r="D8587" i="1"/>
  <c r="E8587" i="1"/>
  <c r="C8588" i="1"/>
  <c r="D8588" i="1"/>
  <c r="E8588" i="1"/>
  <c r="C8589" i="1"/>
  <c r="D8589" i="1"/>
  <c r="E8589" i="1"/>
  <c r="C8590" i="1"/>
  <c r="D8590" i="1"/>
  <c r="E8590" i="1"/>
  <c r="C8591" i="1"/>
  <c r="D8591" i="1"/>
  <c r="E8591" i="1"/>
  <c r="C8592" i="1"/>
  <c r="D8592" i="1"/>
  <c r="E8592" i="1"/>
  <c r="C8593" i="1"/>
  <c r="D8593" i="1"/>
  <c r="E8593" i="1"/>
  <c r="C8594" i="1"/>
  <c r="D8594" i="1"/>
  <c r="E8594" i="1"/>
  <c r="C8595" i="1"/>
  <c r="D8595" i="1"/>
  <c r="E8595" i="1"/>
  <c r="C8596" i="1"/>
  <c r="D8596" i="1"/>
  <c r="E8596" i="1"/>
  <c r="C8597" i="1"/>
  <c r="D8597" i="1"/>
  <c r="E8597" i="1"/>
  <c r="C8598" i="1"/>
  <c r="D8598" i="1"/>
  <c r="E8598" i="1"/>
  <c r="C8599" i="1"/>
  <c r="D8599" i="1"/>
  <c r="E8599" i="1"/>
  <c r="C8600" i="1"/>
  <c r="D8600" i="1"/>
  <c r="E8600" i="1"/>
  <c r="C8601" i="1"/>
  <c r="D8601" i="1"/>
  <c r="E8601" i="1"/>
  <c r="C8602" i="1"/>
  <c r="D8602" i="1"/>
  <c r="E8602" i="1"/>
  <c r="C8603" i="1"/>
  <c r="D8603" i="1"/>
  <c r="E8603" i="1"/>
  <c r="C8604" i="1"/>
  <c r="D8604" i="1"/>
  <c r="E8604" i="1"/>
  <c r="C8605" i="1"/>
  <c r="D8605" i="1"/>
  <c r="E8605" i="1"/>
  <c r="C8606" i="1"/>
  <c r="D8606" i="1"/>
  <c r="E8606" i="1"/>
  <c r="C8607" i="1"/>
  <c r="D8607" i="1"/>
  <c r="E8607" i="1"/>
  <c r="C8608" i="1"/>
  <c r="D8608" i="1"/>
  <c r="E8608" i="1"/>
  <c r="C8609" i="1"/>
  <c r="D8609" i="1"/>
  <c r="E8609" i="1"/>
  <c r="C8610" i="1"/>
  <c r="D8610" i="1"/>
  <c r="E8610" i="1"/>
  <c r="C8611" i="1"/>
  <c r="D8611" i="1"/>
  <c r="E8611" i="1"/>
  <c r="C8612" i="1"/>
  <c r="D8612" i="1"/>
  <c r="E8612" i="1"/>
  <c r="C8613" i="1"/>
  <c r="D8613" i="1"/>
  <c r="E8613" i="1"/>
  <c r="C8614" i="1"/>
  <c r="D8614" i="1"/>
  <c r="E8614" i="1"/>
  <c r="C8615" i="1"/>
  <c r="D8615" i="1"/>
  <c r="E8615" i="1"/>
  <c r="C8616" i="1"/>
  <c r="D8616" i="1"/>
  <c r="E8616" i="1"/>
  <c r="C8617" i="1"/>
  <c r="D8617" i="1"/>
  <c r="E8617" i="1"/>
  <c r="C8618" i="1"/>
  <c r="D8618" i="1"/>
  <c r="E8618" i="1"/>
  <c r="C8619" i="1"/>
  <c r="D8619" i="1"/>
  <c r="E8619" i="1"/>
  <c r="C8620" i="1"/>
  <c r="D8620" i="1"/>
  <c r="E8620" i="1"/>
  <c r="C8621" i="1"/>
  <c r="D8621" i="1"/>
  <c r="E8621" i="1"/>
  <c r="C8622" i="1"/>
  <c r="D8622" i="1"/>
  <c r="E8622" i="1"/>
  <c r="C8623" i="1"/>
  <c r="D8623" i="1"/>
  <c r="E8623" i="1"/>
  <c r="C8624" i="1"/>
  <c r="D8624" i="1"/>
  <c r="E8624" i="1"/>
  <c r="C8625" i="1"/>
  <c r="D8625" i="1"/>
  <c r="E8625" i="1"/>
  <c r="C8626" i="1"/>
  <c r="D8626" i="1"/>
  <c r="E8626" i="1"/>
  <c r="C8627" i="1"/>
  <c r="D8627" i="1"/>
  <c r="E8627" i="1"/>
  <c r="C8628" i="1"/>
  <c r="D8628" i="1"/>
  <c r="E8628" i="1"/>
  <c r="C8629" i="1"/>
  <c r="D8629" i="1"/>
  <c r="E8629" i="1"/>
  <c r="C8630" i="1"/>
  <c r="D8630" i="1"/>
  <c r="E8630" i="1"/>
  <c r="C8631" i="1"/>
  <c r="D8631" i="1"/>
  <c r="E8631" i="1"/>
  <c r="C8632" i="1"/>
  <c r="D8632" i="1"/>
  <c r="E8632" i="1"/>
  <c r="C8633" i="1"/>
  <c r="D8633" i="1"/>
  <c r="E8633" i="1"/>
  <c r="C8634" i="1"/>
  <c r="D8634" i="1"/>
  <c r="E8634" i="1"/>
  <c r="C8635" i="1"/>
  <c r="D8635" i="1"/>
  <c r="E8635" i="1"/>
  <c r="C8636" i="1"/>
  <c r="D8636" i="1"/>
  <c r="E8636" i="1"/>
  <c r="C8637" i="1"/>
  <c r="D8637" i="1"/>
  <c r="E8637" i="1"/>
  <c r="C8638" i="1"/>
  <c r="D8638" i="1"/>
  <c r="E8638" i="1"/>
  <c r="C8639" i="1"/>
  <c r="D8639" i="1"/>
  <c r="E8639" i="1"/>
  <c r="C8640" i="1"/>
  <c r="D8640" i="1"/>
  <c r="E8640" i="1"/>
  <c r="C8641" i="1"/>
  <c r="D8641" i="1"/>
  <c r="E8641" i="1"/>
  <c r="C8642" i="1"/>
  <c r="D8642" i="1"/>
  <c r="E8642" i="1"/>
  <c r="C8643" i="1"/>
  <c r="D8643" i="1"/>
  <c r="E8643" i="1"/>
  <c r="C8644" i="1"/>
  <c r="D8644" i="1"/>
  <c r="E8644" i="1"/>
  <c r="C8645" i="1"/>
  <c r="D8645" i="1"/>
  <c r="E8645" i="1"/>
  <c r="C8646" i="1"/>
  <c r="D8646" i="1"/>
  <c r="E8646" i="1"/>
  <c r="C8647" i="1"/>
  <c r="D8647" i="1"/>
  <c r="E8647" i="1"/>
  <c r="C8648" i="1"/>
  <c r="D8648" i="1"/>
  <c r="E8648" i="1"/>
  <c r="C8649" i="1"/>
  <c r="D8649" i="1"/>
  <c r="E8649" i="1"/>
  <c r="C8650" i="1"/>
  <c r="D8650" i="1"/>
  <c r="E8650" i="1"/>
  <c r="C8651" i="1"/>
  <c r="D8651" i="1"/>
  <c r="E8651" i="1"/>
  <c r="C8652" i="1"/>
  <c r="D8652" i="1"/>
  <c r="E8652" i="1"/>
  <c r="C8653" i="1"/>
  <c r="D8653" i="1"/>
  <c r="E8653" i="1"/>
  <c r="C8654" i="1"/>
  <c r="D8654" i="1"/>
  <c r="E8654" i="1"/>
  <c r="C8655" i="1"/>
  <c r="D8655" i="1"/>
  <c r="E8655" i="1"/>
  <c r="C8656" i="1"/>
  <c r="D8656" i="1"/>
  <c r="E8656" i="1"/>
  <c r="C8657" i="1"/>
  <c r="D8657" i="1"/>
  <c r="E8657" i="1"/>
  <c r="C8658" i="1"/>
  <c r="D8658" i="1"/>
  <c r="E8658" i="1"/>
  <c r="C8659" i="1"/>
  <c r="D8659" i="1"/>
  <c r="E8659" i="1"/>
  <c r="C8660" i="1"/>
  <c r="D8660" i="1"/>
  <c r="E8660" i="1"/>
  <c r="C8661" i="1"/>
  <c r="D8661" i="1"/>
  <c r="E8661" i="1"/>
  <c r="C8662" i="1"/>
  <c r="D8662" i="1"/>
  <c r="E8662" i="1"/>
  <c r="C8663" i="1"/>
  <c r="D8663" i="1"/>
  <c r="E8663" i="1"/>
  <c r="C8664" i="1"/>
  <c r="D8664" i="1"/>
  <c r="E8664" i="1"/>
  <c r="C8665" i="1"/>
  <c r="D8665" i="1"/>
  <c r="E8665" i="1"/>
  <c r="C8666" i="1"/>
  <c r="D8666" i="1"/>
  <c r="E8666" i="1"/>
  <c r="C8667" i="1"/>
  <c r="D8667" i="1"/>
  <c r="E8667" i="1"/>
  <c r="C8668" i="1"/>
  <c r="D8668" i="1"/>
  <c r="E8668" i="1"/>
  <c r="C8669" i="1"/>
  <c r="D8669" i="1"/>
  <c r="E8669" i="1"/>
  <c r="C8670" i="1"/>
  <c r="D8670" i="1"/>
  <c r="E8670" i="1"/>
  <c r="C8671" i="1"/>
  <c r="D8671" i="1"/>
  <c r="E8671" i="1"/>
  <c r="C8672" i="1"/>
  <c r="D8672" i="1"/>
  <c r="E8672" i="1"/>
  <c r="C8673" i="1"/>
  <c r="D8673" i="1"/>
  <c r="E8673" i="1"/>
  <c r="C8674" i="1"/>
  <c r="D8674" i="1"/>
  <c r="E8674" i="1"/>
  <c r="C8675" i="1"/>
  <c r="D8675" i="1"/>
  <c r="E8675" i="1"/>
  <c r="C8676" i="1"/>
  <c r="D8676" i="1"/>
  <c r="E8676" i="1"/>
  <c r="C8677" i="1"/>
  <c r="D8677" i="1"/>
  <c r="E8677" i="1"/>
  <c r="C8678" i="1"/>
  <c r="D8678" i="1"/>
  <c r="E8678" i="1"/>
  <c r="C8679" i="1"/>
  <c r="D8679" i="1"/>
  <c r="E8679" i="1"/>
  <c r="C8680" i="1"/>
  <c r="D8680" i="1"/>
  <c r="E8680" i="1"/>
  <c r="C8681" i="1"/>
  <c r="D8681" i="1"/>
  <c r="E8681" i="1"/>
  <c r="C8682" i="1"/>
  <c r="D8682" i="1"/>
  <c r="E8682" i="1"/>
  <c r="C8683" i="1"/>
  <c r="D8683" i="1"/>
  <c r="E8683" i="1"/>
  <c r="C8684" i="1"/>
  <c r="D8684" i="1"/>
  <c r="E8684" i="1"/>
  <c r="C8685" i="1"/>
  <c r="D8685" i="1"/>
  <c r="E8685" i="1"/>
  <c r="C8686" i="1"/>
  <c r="D8686" i="1"/>
  <c r="E8686" i="1"/>
  <c r="C8687" i="1"/>
  <c r="D8687" i="1"/>
  <c r="E8687" i="1"/>
  <c r="C8688" i="1"/>
  <c r="D8688" i="1"/>
  <c r="E8688" i="1"/>
  <c r="C8689" i="1"/>
  <c r="D8689" i="1"/>
  <c r="E8689" i="1"/>
  <c r="C8690" i="1"/>
  <c r="D8690" i="1"/>
  <c r="E8690" i="1"/>
  <c r="C8691" i="1"/>
  <c r="D8691" i="1"/>
  <c r="E8691" i="1"/>
  <c r="C8692" i="1"/>
  <c r="D8692" i="1"/>
  <c r="E8692" i="1"/>
  <c r="C8693" i="1"/>
  <c r="D8693" i="1"/>
  <c r="E8693" i="1"/>
  <c r="C8694" i="1"/>
  <c r="D8694" i="1"/>
  <c r="E8694" i="1"/>
  <c r="C8695" i="1"/>
  <c r="D8695" i="1"/>
  <c r="E8695" i="1"/>
  <c r="C8696" i="1"/>
  <c r="D8696" i="1"/>
  <c r="E8696" i="1"/>
  <c r="C8697" i="1"/>
  <c r="D8697" i="1"/>
  <c r="E8697" i="1"/>
  <c r="C8698" i="1"/>
  <c r="D8698" i="1"/>
  <c r="E8698" i="1"/>
  <c r="C8699" i="1"/>
  <c r="D8699" i="1"/>
  <c r="E8699" i="1"/>
  <c r="C8700" i="1"/>
  <c r="D8700" i="1"/>
  <c r="E8700" i="1"/>
  <c r="C8701" i="1"/>
  <c r="D8701" i="1"/>
  <c r="E8701" i="1"/>
  <c r="C8702" i="1"/>
  <c r="D8702" i="1"/>
  <c r="E8702" i="1"/>
  <c r="C8703" i="1"/>
  <c r="D8703" i="1"/>
  <c r="E8703" i="1"/>
  <c r="C8704" i="1"/>
  <c r="D8704" i="1"/>
  <c r="E8704" i="1"/>
  <c r="C8705" i="1"/>
  <c r="D8705" i="1"/>
  <c r="E8705" i="1"/>
  <c r="C8706" i="1"/>
  <c r="D8706" i="1"/>
  <c r="E8706" i="1"/>
  <c r="C8707" i="1"/>
  <c r="D8707" i="1"/>
  <c r="E8707" i="1"/>
  <c r="C8708" i="1"/>
  <c r="D8708" i="1"/>
  <c r="E8708" i="1"/>
  <c r="C8709" i="1"/>
  <c r="D8709" i="1"/>
  <c r="E8709" i="1"/>
  <c r="C8710" i="1"/>
  <c r="D8710" i="1"/>
  <c r="E8710" i="1"/>
  <c r="C8711" i="1"/>
  <c r="D8711" i="1"/>
  <c r="E8711" i="1"/>
  <c r="C8712" i="1"/>
  <c r="D8712" i="1"/>
  <c r="E8712" i="1"/>
  <c r="C8713" i="1"/>
  <c r="D8713" i="1"/>
  <c r="E8713" i="1"/>
  <c r="C8714" i="1"/>
  <c r="D8714" i="1"/>
  <c r="E8714" i="1"/>
  <c r="C8715" i="1"/>
  <c r="D8715" i="1"/>
  <c r="E8715" i="1"/>
  <c r="C8716" i="1"/>
  <c r="D8716" i="1"/>
  <c r="E8716" i="1"/>
  <c r="C8717" i="1"/>
  <c r="D8717" i="1"/>
  <c r="E8717" i="1"/>
  <c r="C8718" i="1"/>
  <c r="D8718" i="1"/>
  <c r="E8718" i="1"/>
  <c r="C8719" i="1"/>
  <c r="D8719" i="1"/>
  <c r="E8719" i="1"/>
  <c r="C8720" i="1"/>
  <c r="D8720" i="1"/>
  <c r="E8720" i="1"/>
  <c r="C8721" i="1"/>
  <c r="D8721" i="1"/>
  <c r="E8721" i="1"/>
  <c r="C8722" i="1"/>
  <c r="D8722" i="1"/>
  <c r="E8722" i="1"/>
  <c r="C8723" i="1"/>
  <c r="D8723" i="1"/>
  <c r="E8723" i="1"/>
  <c r="C8724" i="1"/>
  <c r="D8724" i="1"/>
  <c r="E8724" i="1"/>
  <c r="C8725" i="1"/>
  <c r="D8725" i="1"/>
  <c r="E8725" i="1"/>
  <c r="C8726" i="1"/>
  <c r="D8726" i="1"/>
  <c r="E8726" i="1"/>
  <c r="C8727" i="1"/>
  <c r="D8727" i="1"/>
  <c r="E8727" i="1"/>
  <c r="C8728" i="1"/>
  <c r="D8728" i="1"/>
  <c r="E8728" i="1"/>
  <c r="C8729" i="1"/>
  <c r="D8729" i="1"/>
  <c r="E8729" i="1"/>
  <c r="C8730" i="1"/>
  <c r="D8730" i="1"/>
  <c r="E8730" i="1"/>
  <c r="C8731" i="1"/>
  <c r="D8731" i="1"/>
  <c r="E8731" i="1"/>
  <c r="C8732" i="1"/>
  <c r="D8732" i="1"/>
  <c r="E8732" i="1"/>
  <c r="C8733" i="1"/>
  <c r="D8733" i="1"/>
  <c r="E8733" i="1"/>
  <c r="C8734" i="1"/>
  <c r="D8734" i="1"/>
  <c r="E8734" i="1"/>
  <c r="C8735" i="1"/>
  <c r="D8735" i="1"/>
  <c r="E8735" i="1"/>
  <c r="C8736" i="1"/>
  <c r="D8736" i="1"/>
  <c r="E8736" i="1"/>
  <c r="C8737" i="1"/>
  <c r="D8737" i="1"/>
  <c r="E8737" i="1"/>
  <c r="C8738" i="1"/>
  <c r="D8738" i="1"/>
  <c r="E8738" i="1"/>
  <c r="C8739" i="1"/>
  <c r="D8739" i="1"/>
  <c r="E8739" i="1"/>
  <c r="C8740" i="1"/>
  <c r="D8740" i="1"/>
  <c r="E8740" i="1"/>
  <c r="C8741" i="1"/>
  <c r="D8741" i="1"/>
  <c r="E8741" i="1"/>
  <c r="C8742" i="1"/>
  <c r="D8742" i="1"/>
  <c r="E8742" i="1"/>
  <c r="C8743" i="1"/>
  <c r="D8743" i="1"/>
  <c r="E8743" i="1"/>
  <c r="C8744" i="1"/>
  <c r="D8744" i="1"/>
  <c r="E8744" i="1"/>
  <c r="C8745" i="1"/>
  <c r="D8745" i="1"/>
  <c r="E8745" i="1"/>
  <c r="C8746" i="1"/>
  <c r="D8746" i="1"/>
  <c r="E8746" i="1"/>
  <c r="C8747" i="1"/>
  <c r="D8747" i="1"/>
  <c r="E8747" i="1"/>
  <c r="C8748" i="1"/>
  <c r="D8748" i="1"/>
  <c r="E8748" i="1"/>
  <c r="C8749" i="1"/>
  <c r="D8749" i="1"/>
  <c r="E8749" i="1"/>
  <c r="C8750" i="1"/>
  <c r="D8750" i="1"/>
  <c r="E8750" i="1"/>
  <c r="C8751" i="1"/>
  <c r="D8751" i="1"/>
  <c r="E8751" i="1"/>
  <c r="C8752" i="1"/>
  <c r="D8752" i="1"/>
  <c r="E8752" i="1"/>
  <c r="C8753" i="1"/>
  <c r="D8753" i="1"/>
  <c r="E8753" i="1"/>
  <c r="C8754" i="1"/>
  <c r="D8754" i="1"/>
  <c r="E8754" i="1"/>
  <c r="C8755" i="1"/>
  <c r="D8755" i="1"/>
  <c r="E8755" i="1"/>
  <c r="C8756" i="1"/>
  <c r="D8756" i="1"/>
  <c r="E8756" i="1"/>
  <c r="C8757" i="1"/>
  <c r="D8757" i="1"/>
  <c r="E8757" i="1"/>
  <c r="C8758" i="1"/>
  <c r="D8758" i="1"/>
  <c r="E8758" i="1"/>
  <c r="C8759" i="1"/>
  <c r="D8759" i="1"/>
  <c r="E8759" i="1"/>
  <c r="C8760" i="1"/>
  <c r="D8760" i="1"/>
  <c r="E8760" i="1"/>
  <c r="C8761" i="1"/>
  <c r="D8761" i="1"/>
  <c r="E8761" i="1"/>
  <c r="C8762" i="1"/>
  <c r="D8762" i="1"/>
  <c r="E8762" i="1"/>
  <c r="C8763" i="1"/>
  <c r="D8763" i="1"/>
  <c r="E8763" i="1"/>
  <c r="C8764" i="1"/>
  <c r="D8764" i="1"/>
  <c r="E8764" i="1"/>
  <c r="C8765" i="1"/>
  <c r="D8765" i="1"/>
  <c r="E8765" i="1"/>
  <c r="C8766" i="1"/>
  <c r="D8766" i="1"/>
  <c r="E8766" i="1"/>
  <c r="C8767" i="1"/>
  <c r="D8767" i="1"/>
  <c r="E8767" i="1"/>
  <c r="C8768" i="1"/>
  <c r="D8768" i="1"/>
  <c r="E8768" i="1"/>
  <c r="C8769" i="1"/>
  <c r="D8769" i="1"/>
  <c r="E8769" i="1"/>
  <c r="C8770" i="1"/>
  <c r="D8770" i="1"/>
  <c r="E8770" i="1"/>
  <c r="C8771" i="1"/>
  <c r="D8771" i="1"/>
  <c r="E8771" i="1"/>
  <c r="C8772" i="1"/>
  <c r="D8772" i="1"/>
  <c r="E8772" i="1"/>
  <c r="C8773" i="1"/>
  <c r="D8773" i="1"/>
  <c r="E8773" i="1"/>
  <c r="C8774" i="1"/>
  <c r="D8774" i="1"/>
  <c r="E8774" i="1"/>
  <c r="C8775" i="1"/>
  <c r="D8775" i="1"/>
  <c r="E8775" i="1"/>
  <c r="C8776" i="1"/>
  <c r="D8776" i="1"/>
  <c r="E8776" i="1"/>
  <c r="C8777" i="1"/>
  <c r="D8777" i="1"/>
  <c r="E8777" i="1"/>
  <c r="C8778" i="1"/>
  <c r="D8778" i="1"/>
  <c r="E8778" i="1"/>
  <c r="C8779" i="1"/>
  <c r="D8779" i="1"/>
  <c r="E8779" i="1"/>
  <c r="C8780" i="1"/>
  <c r="D8780" i="1"/>
  <c r="E8780" i="1"/>
  <c r="C8781" i="1"/>
  <c r="D8781" i="1"/>
  <c r="E8781" i="1"/>
  <c r="C8782" i="1"/>
  <c r="D8782" i="1"/>
  <c r="E8782" i="1"/>
  <c r="C8783" i="1"/>
  <c r="D8783" i="1"/>
  <c r="E8783" i="1"/>
  <c r="C8784" i="1"/>
  <c r="D8784" i="1"/>
  <c r="E8784" i="1"/>
  <c r="C8785" i="1"/>
  <c r="D8785" i="1"/>
  <c r="E8785" i="1"/>
  <c r="C8786" i="1"/>
  <c r="D8786" i="1"/>
  <c r="E8786" i="1"/>
  <c r="C8787" i="1"/>
  <c r="D8787" i="1"/>
  <c r="E8787" i="1"/>
  <c r="C8788" i="1"/>
  <c r="D8788" i="1"/>
  <c r="E8788" i="1"/>
  <c r="C8789" i="1"/>
  <c r="D8789" i="1"/>
  <c r="E8789" i="1"/>
  <c r="C8790" i="1"/>
  <c r="D8790" i="1"/>
  <c r="E8790" i="1"/>
  <c r="C8791" i="1"/>
  <c r="D8791" i="1"/>
  <c r="E8791" i="1"/>
  <c r="C8792" i="1"/>
  <c r="D8792" i="1"/>
  <c r="E8792" i="1"/>
  <c r="C8793" i="1"/>
  <c r="D8793" i="1"/>
  <c r="E8793" i="1"/>
  <c r="C8794" i="1"/>
  <c r="D8794" i="1"/>
  <c r="E8794" i="1"/>
  <c r="C8795" i="1"/>
  <c r="D8795" i="1"/>
  <c r="E8795" i="1"/>
  <c r="C8796" i="1"/>
  <c r="D8796" i="1"/>
  <c r="E8796" i="1"/>
  <c r="C8797" i="1"/>
  <c r="D8797" i="1"/>
  <c r="E8797" i="1"/>
  <c r="C8798" i="1"/>
  <c r="D8798" i="1"/>
  <c r="E8798" i="1"/>
  <c r="C8799" i="1"/>
  <c r="D8799" i="1"/>
  <c r="E8799" i="1"/>
  <c r="C8800" i="1"/>
  <c r="D8800" i="1"/>
  <c r="E8800" i="1"/>
  <c r="C8801" i="1"/>
  <c r="D8801" i="1"/>
  <c r="E8801" i="1"/>
  <c r="C8802" i="1"/>
  <c r="D8802" i="1"/>
  <c r="E8802" i="1"/>
  <c r="C8803" i="1"/>
  <c r="D8803" i="1"/>
  <c r="E8803" i="1"/>
  <c r="C8804" i="1"/>
  <c r="D8804" i="1"/>
  <c r="E8804" i="1"/>
  <c r="C8805" i="1"/>
  <c r="D8805" i="1"/>
  <c r="E8805" i="1"/>
  <c r="C8806" i="1"/>
  <c r="D8806" i="1"/>
  <c r="E8806" i="1"/>
  <c r="C8807" i="1"/>
  <c r="D8807" i="1"/>
  <c r="E8807" i="1"/>
  <c r="C8808" i="1"/>
  <c r="D8808" i="1"/>
  <c r="E8808" i="1"/>
  <c r="C8809" i="1"/>
  <c r="D8809" i="1"/>
  <c r="E8809" i="1"/>
  <c r="C8810" i="1"/>
  <c r="D8810" i="1"/>
  <c r="E8810" i="1"/>
  <c r="C8811" i="1"/>
  <c r="D8811" i="1"/>
  <c r="E8811" i="1"/>
  <c r="C8812" i="1"/>
  <c r="D8812" i="1"/>
  <c r="E8812" i="1"/>
  <c r="C8813" i="1"/>
  <c r="D8813" i="1"/>
  <c r="E8813" i="1"/>
  <c r="C8814" i="1"/>
  <c r="D8814" i="1"/>
  <c r="E8814" i="1"/>
  <c r="C8815" i="1"/>
  <c r="D8815" i="1"/>
  <c r="E8815" i="1"/>
  <c r="C8816" i="1"/>
  <c r="D8816" i="1"/>
  <c r="E8816" i="1"/>
  <c r="C8817" i="1"/>
  <c r="D8817" i="1"/>
  <c r="E8817" i="1"/>
  <c r="C8818" i="1"/>
  <c r="D8818" i="1"/>
  <c r="E8818" i="1"/>
  <c r="C8819" i="1"/>
  <c r="D8819" i="1"/>
  <c r="E8819" i="1"/>
  <c r="C8820" i="1"/>
  <c r="D8820" i="1"/>
  <c r="E8820" i="1"/>
  <c r="C8821" i="1"/>
  <c r="D8821" i="1"/>
  <c r="E8821" i="1"/>
  <c r="C8822" i="1"/>
  <c r="D8822" i="1"/>
  <c r="E8822" i="1"/>
  <c r="C8823" i="1"/>
  <c r="D8823" i="1"/>
  <c r="E8823" i="1"/>
  <c r="C8824" i="1"/>
  <c r="D8824" i="1"/>
  <c r="E8824" i="1"/>
  <c r="C8825" i="1"/>
  <c r="D8825" i="1"/>
  <c r="E8825" i="1"/>
  <c r="C8826" i="1"/>
  <c r="D8826" i="1"/>
  <c r="E8826" i="1"/>
  <c r="C8827" i="1"/>
  <c r="D8827" i="1"/>
  <c r="E8827" i="1"/>
  <c r="C8828" i="1"/>
  <c r="D8828" i="1"/>
  <c r="E8828" i="1"/>
  <c r="C8829" i="1"/>
  <c r="D8829" i="1"/>
  <c r="E8829" i="1"/>
  <c r="C8830" i="1"/>
  <c r="D8830" i="1"/>
  <c r="E8830" i="1"/>
  <c r="C8831" i="1"/>
  <c r="D8831" i="1"/>
  <c r="E8831" i="1"/>
  <c r="C8832" i="1"/>
  <c r="D8832" i="1"/>
  <c r="E8832" i="1"/>
  <c r="C8833" i="1"/>
  <c r="D8833" i="1"/>
  <c r="E8833" i="1"/>
  <c r="C8834" i="1"/>
  <c r="D8834" i="1"/>
  <c r="E8834" i="1"/>
  <c r="C8835" i="1"/>
  <c r="D8835" i="1"/>
  <c r="E8835" i="1"/>
  <c r="C8836" i="1"/>
  <c r="D8836" i="1"/>
  <c r="E8836" i="1"/>
  <c r="C8837" i="1"/>
  <c r="D8837" i="1"/>
  <c r="E8837" i="1"/>
  <c r="C8838" i="1"/>
  <c r="D8838" i="1"/>
  <c r="E8838" i="1"/>
  <c r="C8839" i="1"/>
  <c r="D8839" i="1"/>
  <c r="E8839" i="1"/>
  <c r="C8840" i="1"/>
  <c r="D8840" i="1"/>
  <c r="E8840" i="1"/>
  <c r="C8841" i="1"/>
  <c r="D8841" i="1"/>
  <c r="E8841" i="1"/>
  <c r="C8842" i="1"/>
  <c r="D8842" i="1"/>
  <c r="E8842" i="1"/>
  <c r="C8843" i="1"/>
  <c r="D8843" i="1"/>
  <c r="E8843" i="1"/>
  <c r="C8844" i="1"/>
  <c r="D8844" i="1"/>
  <c r="E8844" i="1"/>
  <c r="C8845" i="1"/>
  <c r="D8845" i="1"/>
  <c r="E8845" i="1"/>
  <c r="C8846" i="1"/>
  <c r="D8846" i="1"/>
  <c r="E8846" i="1"/>
  <c r="C8847" i="1"/>
  <c r="D8847" i="1"/>
  <c r="E8847" i="1"/>
  <c r="C8848" i="1"/>
  <c r="D8848" i="1"/>
  <c r="E8848" i="1"/>
  <c r="C8849" i="1"/>
  <c r="D8849" i="1"/>
  <c r="E8849" i="1"/>
  <c r="C8850" i="1"/>
  <c r="D8850" i="1"/>
  <c r="E8850" i="1"/>
  <c r="C8851" i="1"/>
  <c r="D8851" i="1"/>
  <c r="E8851" i="1"/>
  <c r="C8852" i="1"/>
  <c r="D8852" i="1"/>
  <c r="E8852" i="1"/>
  <c r="C8853" i="1"/>
  <c r="D8853" i="1"/>
  <c r="E8853" i="1"/>
  <c r="C8854" i="1"/>
  <c r="D8854" i="1"/>
  <c r="E8854" i="1"/>
  <c r="C8855" i="1"/>
  <c r="D8855" i="1"/>
  <c r="E8855" i="1"/>
  <c r="C8856" i="1"/>
  <c r="D8856" i="1"/>
  <c r="E8856" i="1"/>
  <c r="C8857" i="1"/>
  <c r="D8857" i="1"/>
  <c r="E8857" i="1"/>
  <c r="C8858" i="1"/>
  <c r="D8858" i="1"/>
  <c r="E8858" i="1"/>
  <c r="C8859" i="1"/>
  <c r="D8859" i="1"/>
  <c r="E8859" i="1"/>
  <c r="C8860" i="1"/>
  <c r="D8860" i="1"/>
  <c r="E8860" i="1"/>
  <c r="C8861" i="1"/>
  <c r="D8861" i="1"/>
  <c r="E8861" i="1"/>
  <c r="C8862" i="1"/>
  <c r="D8862" i="1"/>
  <c r="E8862" i="1"/>
  <c r="C8863" i="1"/>
  <c r="D8863" i="1"/>
  <c r="E8863" i="1"/>
  <c r="C8864" i="1"/>
  <c r="D8864" i="1"/>
  <c r="E8864" i="1"/>
  <c r="C8865" i="1"/>
  <c r="D8865" i="1"/>
  <c r="E8865" i="1"/>
  <c r="C8866" i="1"/>
  <c r="D8866" i="1"/>
  <c r="E8866" i="1"/>
  <c r="C8867" i="1"/>
  <c r="D8867" i="1"/>
  <c r="E8867" i="1"/>
  <c r="C8868" i="1"/>
  <c r="D8868" i="1"/>
  <c r="E8868" i="1"/>
  <c r="C8869" i="1"/>
  <c r="D8869" i="1"/>
  <c r="E8869" i="1"/>
  <c r="C8870" i="1"/>
  <c r="D8870" i="1"/>
  <c r="E8870" i="1"/>
  <c r="C8871" i="1"/>
  <c r="D8871" i="1"/>
  <c r="E8871" i="1"/>
  <c r="C8872" i="1"/>
  <c r="D8872" i="1"/>
  <c r="E8872" i="1"/>
  <c r="C8873" i="1"/>
  <c r="D8873" i="1"/>
  <c r="E8873" i="1"/>
  <c r="C8874" i="1"/>
  <c r="D8874" i="1"/>
  <c r="E8874" i="1"/>
  <c r="C8875" i="1"/>
  <c r="D8875" i="1"/>
  <c r="E8875" i="1"/>
  <c r="C8876" i="1"/>
  <c r="D8876" i="1"/>
  <c r="E8876" i="1"/>
  <c r="C8877" i="1"/>
  <c r="D8877" i="1"/>
  <c r="E8877" i="1"/>
  <c r="C8878" i="1"/>
  <c r="D8878" i="1"/>
  <c r="E8878" i="1"/>
  <c r="C8879" i="1"/>
  <c r="D8879" i="1"/>
  <c r="E8879" i="1"/>
  <c r="C8880" i="1"/>
  <c r="D8880" i="1"/>
  <c r="E8880" i="1"/>
  <c r="C8881" i="1"/>
  <c r="D8881" i="1"/>
  <c r="E8881" i="1"/>
  <c r="C8882" i="1"/>
  <c r="D8882" i="1"/>
  <c r="E8882" i="1"/>
  <c r="C8883" i="1"/>
  <c r="D8883" i="1"/>
  <c r="E8883" i="1"/>
  <c r="C8884" i="1"/>
  <c r="D8884" i="1"/>
  <c r="E8884" i="1"/>
  <c r="C8885" i="1"/>
  <c r="D8885" i="1"/>
  <c r="E8885" i="1"/>
  <c r="C8886" i="1"/>
  <c r="D8886" i="1"/>
  <c r="E8886" i="1"/>
  <c r="C8887" i="1"/>
  <c r="D8887" i="1"/>
  <c r="E8887" i="1"/>
  <c r="C8888" i="1"/>
  <c r="D8888" i="1"/>
  <c r="E8888" i="1"/>
  <c r="C8889" i="1"/>
  <c r="D8889" i="1"/>
  <c r="E8889" i="1"/>
  <c r="C8890" i="1"/>
  <c r="D8890" i="1"/>
  <c r="E8890" i="1"/>
  <c r="C8891" i="1"/>
  <c r="D8891" i="1"/>
  <c r="E8891" i="1"/>
  <c r="C8892" i="1"/>
  <c r="D8892" i="1"/>
  <c r="E8892" i="1"/>
  <c r="C8893" i="1"/>
  <c r="D8893" i="1"/>
  <c r="E8893" i="1"/>
  <c r="C8894" i="1"/>
  <c r="D8894" i="1"/>
  <c r="E8894" i="1"/>
  <c r="C8895" i="1"/>
  <c r="D8895" i="1"/>
  <c r="E8895" i="1"/>
  <c r="C8896" i="1"/>
  <c r="D8896" i="1"/>
  <c r="E8896" i="1"/>
  <c r="C8897" i="1"/>
  <c r="D8897" i="1"/>
  <c r="E8897" i="1"/>
  <c r="C8898" i="1"/>
  <c r="D8898" i="1"/>
  <c r="E8898" i="1"/>
  <c r="C8899" i="1"/>
  <c r="D8899" i="1"/>
  <c r="E8899" i="1"/>
  <c r="C8900" i="1"/>
  <c r="D8900" i="1"/>
  <c r="E8900" i="1"/>
  <c r="C8901" i="1"/>
  <c r="D8901" i="1"/>
  <c r="E8901" i="1"/>
  <c r="C8902" i="1"/>
  <c r="D8902" i="1"/>
  <c r="E8902" i="1"/>
  <c r="C8903" i="1"/>
  <c r="D8903" i="1"/>
  <c r="E8903" i="1"/>
  <c r="C8904" i="1"/>
  <c r="D8904" i="1"/>
  <c r="E8904" i="1"/>
  <c r="C8905" i="1"/>
  <c r="D8905" i="1"/>
  <c r="E8905" i="1"/>
  <c r="C8906" i="1"/>
  <c r="D8906" i="1"/>
  <c r="E8906" i="1"/>
  <c r="C8907" i="1"/>
  <c r="D8907" i="1"/>
  <c r="E8907" i="1"/>
  <c r="C8908" i="1"/>
  <c r="D8908" i="1"/>
  <c r="E8908" i="1"/>
  <c r="C8909" i="1"/>
  <c r="D8909" i="1"/>
  <c r="E8909" i="1"/>
  <c r="C8910" i="1"/>
  <c r="D8910" i="1"/>
  <c r="E8910" i="1"/>
  <c r="C8911" i="1"/>
  <c r="D8911" i="1"/>
  <c r="E8911" i="1"/>
  <c r="C8912" i="1"/>
  <c r="D8912" i="1"/>
  <c r="E8912" i="1"/>
  <c r="C8913" i="1"/>
  <c r="D8913" i="1"/>
  <c r="E8913" i="1"/>
  <c r="C8914" i="1"/>
  <c r="D8914" i="1"/>
  <c r="E8914" i="1"/>
  <c r="C8915" i="1"/>
  <c r="D8915" i="1"/>
  <c r="E8915" i="1"/>
  <c r="C8916" i="1"/>
  <c r="D8916" i="1"/>
  <c r="E8916" i="1"/>
  <c r="C8917" i="1"/>
  <c r="D8917" i="1"/>
  <c r="E8917" i="1"/>
  <c r="C8918" i="1"/>
  <c r="D8918" i="1"/>
  <c r="E8918" i="1"/>
  <c r="C8919" i="1"/>
  <c r="D8919" i="1"/>
  <c r="E8919" i="1"/>
  <c r="C8920" i="1"/>
  <c r="D8920" i="1"/>
  <c r="E8920" i="1"/>
  <c r="C8921" i="1"/>
  <c r="D8921" i="1"/>
  <c r="E8921" i="1"/>
  <c r="C8922" i="1"/>
  <c r="D8922" i="1"/>
  <c r="E8922" i="1"/>
  <c r="C8923" i="1"/>
  <c r="D8923" i="1"/>
  <c r="E8923" i="1"/>
  <c r="C8924" i="1"/>
  <c r="D8924" i="1"/>
  <c r="E8924" i="1"/>
  <c r="C8925" i="1"/>
  <c r="D8925" i="1"/>
  <c r="E8925" i="1"/>
  <c r="C8926" i="1"/>
  <c r="D8926" i="1"/>
  <c r="E8926" i="1"/>
  <c r="C8927" i="1"/>
  <c r="D8927" i="1"/>
  <c r="E8927" i="1"/>
  <c r="C8928" i="1"/>
  <c r="D8928" i="1"/>
  <c r="E8928" i="1"/>
  <c r="C8929" i="1"/>
  <c r="D8929" i="1"/>
  <c r="E8929" i="1"/>
  <c r="C8930" i="1"/>
  <c r="D8930" i="1"/>
  <c r="E8930" i="1"/>
  <c r="C8931" i="1"/>
  <c r="D8931" i="1"/>
  <c r="E8931" i="1"/>
  <c r="C8932" i="1"/>
  <c r="D8932" i="1"/>
  <c r="E8932" i="1"/>
  <c r="C8933" i="1"/>
  <c r="D8933" i="1"/>
  <c r="E8933" i="1"/>
  <c r="C8934" i="1"/>
  <c r="D8934" i="1"/>
  <c r="E8934" i="1"/>
  <c r="C8935" i="1"/>
  <c r="D8935" i="1"/>
  <c r="E8935" i="1"/>
  <c r="C8936" i="1"/>
  <c r="D8936" i="1"/>
  <c r="E8936" i="1"/>
  <c r="C8937" i="1"/>
  <c r="D8937" i="1"/>
  <c r="E8937" i="1"/>
  <c r="C8938" i="1"/>
  <c r="D8938" i="1"/>
  <c r="E8938" i="1"/>
  <c r="C8939" i="1"/>
  <c r="D8939" i="1"/>
  <c r="E8939" i="1"/>
  <c r="C8940" i="1"/>
  <c r="D8940" i="1"/>
  <c r="E8940" i="1"/>
  <c r="C8941" i="1"/>
  <c r="D8941" i="1"/>
  <c r="E8941" i="1"/>
  <c r="C8942" i="1"/>
  <c r="D8942" i="1"/>
  <c r="E8942" i="1"/>
  <c r="C8943" i="1"/>
  <c r="D8943" i="1"/>
  <c r="E8943" i="1"/>
  <c r="C8944" i="1"/>
  <c r="D8944" i="1"/>
  <c r="E8944" i="1"/>
  <c r="C8945" i="1"/>
  <c r="D8945" i="1"/>
  <c r="E8945" i="1"/>
  <c r="C8946" i="1"/>
  <c r="D8946" i="1"/>
  <c r="E8946" i="1"/>
  <c r="C8947" i="1"/>
  <c r="D8947" i="1"/>
  <c r="E8947" i="1"/>
  <c r="C8948" i="1"/>
  <c r="D8948" i="1"/>
  <c r="E8948" i="1"/>
  <c r="C8949" i="1"/>
  <c r="D8949" i="1"/>
  <c r="E8949" i="1"/>
  <c r="C8950" i="1"/>
  <c r="D8950" i="1"/>
  <c r="E8950" i="1"/>
  <c r="C8951" i="1"/>
  <c r="D8951" i="1"/>
  <c r="E8951" i="1"/>
  <c r="C8952" i="1"/>
  <c r="D8952" i="1"/>
  <c r="E8952" i="1"/>
  <c r="C8953" i="1"/>
  <c r="D8953" i="1"/>
  <c r="E8953" i="1"/>
  <c r="C8954" i="1"/>
  <c r="D8954" i="1"/>
  <c r="E8954" i="1"/>
  <c r="C8955" i="1"/>
  <c r="D8955" i="1"/>
  <c r="E8955" i="1"/>
  <c r="C8956" i="1"/>
  <c r="D8956" i="1"/>
  <c r="E8956" i="1"/>
  <c r="C8957" i="1"/>
  <c r="D8957" i="1"/>
  <c r="E8957" i="1"/>
  <c r="C8958" i="1"/>
  <c r="D8958" i="1"/>
  <c r="E8958" i="1"/>
  <c r="C8959" i="1"/>
  <c r="D8959" i="1"/>
  <c r="E8959" i="1"/>
  <c r="C8960" i="1"/>
  <c r="D8960" i="1"/>
  <c r="E8960" i="1"/>
  <c r="C8961" i="1"/>
  <c r="D8961" i="1"/>
  <c r="E8961" i="1"/>
  <c r="C8962" i="1"/>
  <c r="D8962" i="1"/>
  <c r="E8962" i="1"/>
  <c r="C8963" i="1"/>
  <c r="D8963" i="1"/>
  <c r="E8963" i="1"/>
  <c r="C8964" i="1"/>
  <c r="D8964" i="1"/>
  <c r="E8964" i="1"/>
  <c r="C8965" i="1"/>
  <c r="D8965" i="1"/>
  <c r="E8965" i="1"/>
  <c r="C8966" i="1"/>
  <c r="D8966" i="1"/>
  <c r="E8966" i="1"/>
  <c r="C8967" i="1"/>
  <c r="D8967" i="1"/>
  <c r="E8967" i="1"/>
  <c r="C8968" i="1"/>
  <c r="D8968" i="1"/>
  <c r="E8968" i="1"/>
  <c r="C8969" i="1"/>
  <c r="D8969" i="1"/>
  <c r="E8969" i="1"/>
  <c r="C8970" i="1"/>
  <c r="D8970" i="1"/>
  <c r="E8970" i="1"/>
  <c r="C8971" i="1"/>
  <c r="D8971" i="1"/>
  <c r="E8971" i="1"/>
  <c r="C8972" i="1"/>
  <c r="D8972" i="1"/>
  <c r="E8972" i="1"/>
  <c r="C8973" i="1"/>
  <c r="D8973" i="1"/>
  <c r="E8973" i="1"/>
  <c r="C8974" i="1"/>
  <c r="D8974" i="1"/>
  <c r="E8974" i="1"/>
  <c r="C8975" i="1"/>
  <c r="D8975" i="1"/>
  <c r="E8975" i="1"/>
  <c r="C8976" i="1"/>
  <c r="D8976" i="1"/>
  <c r="E8976" i="1"/>
  <c r="C8977" i="1"/>
  <c r="D8977" i="1"/>
  <c r="E8977" i="1"/>
  <c r="C8978" i="1"/>
  <c r="D8978" i="1"/>
  <c r="E8978" i="1"/>
  <c r="C8979" i="1"/>
  <c r="D8979" i="1"/>
  <c r="E8979" i="1"/>
  <c r="C8980" i="1"/>
  <c r="D8980" i="1"/>
  <c r="E8980" i="1"/>
  <c r="C8981" i="1"/>
  <c r="D8981" i="1"/>
  <c r="E8981" i="1"/>
  <c r="C8982" i="1"/>
  <c r="D8982" i="1"/>
  <c r="E8982" i="1"/>
  <c r="C8983" i="1"/>
  <c r="D8983" i="1"/>
  <c r="E8983" i="1"/>
  <c r="C8984" i="1"/>
  <c r="D8984" i="1"/>
  <c r="E8984" i="1"/>
  <c r="C8985" i="1"/>
  <c r="D8985" i="1"/>
  <c r="E8985" i="1"/>
  <c r="C8986" i="1"/>
  <c r="D8986" i="1"/>
  <c r="E8986" i="1"/>
  <c r="C8987" i="1"/>
  <c r="D8987" i="1"/>
  <c r="E8987" i="1"/>
  <c r="C8988" i="1"/>
  <c r="D8988" i="1"/>
  <c r="E8988" i="1"/>
  <c r="C8989" i="1"/>
  <c r="D8989" i="1"/>
  <c r="E8989" i="1"/>
  <c r="C8990" i="1"/>
  <c r="D8990" i="1"/>
  <c r="E8990" i="1"/>
  <c r="C8991" i="1"/>
  <c r="D8991" i="1"/>
  <c r="E8991" i="1"/>
  <c r="C8992" i="1"/>
  <c r="D8992" i="1"/>
  <c r="E8992" i="1"/>
  <c r="C8993" i="1"/>
  <c r="D8993" i="1"/>
  <c r="E8993" i="1"/>
  <c r="C8994" i="1"/>
  <c r="D8994" i="1"/>
  <c r="E8994" i="1"/>
  <c r="C8995" i="1"/>
  <c r="D8995" i="1"/>
  <c r="E8995" i="1"/>
  <c r="C8996" i="1"/>
  <c r="D8996" i="1"/>
  <c r="E8996" i="1"/>
  <c r="C8997" i="1"/>
  <c r="D8997" i="1"/>
  <c r="E8997" i="1"/>
  <c r="C8998" i="1"/>
  <c r="D8998" i="1"/>
  <c r="E8998" i="1"/>
  <c r="C8999" i="1"/>
  <c r="D8999" i="1"/>
  <c r="E8999" i="1"/>
  <c r="C9000" i="1"/>
  <c r="D9000" i="1"/>
  <c r="E9000" i="1"/>
  <c r="C9001" i="1"/>
  <c r="D9001" i="1"/>
  <c r="E9001" i="1"/>
  <c r="C9002" i="1"/>
  <c r="D9002" i="1"/>
  <c r="E9002" i="1"/>
  <c r="C9003" i="1"/>
  <c r="D9003" i="1"/>
  <c r="E9003" i="1"/>
  <c r="C9004" i="1"/>
  <c r="D9004" i="1"/>
  <c r="E9004" i="1"/>
  <c r="C9005" i="1"/>
  <c r="D9005" i="1"/>
  <c r="E9005" i="1"/>
  <c r="C9006" i="1"/>
  <c r="D9006" i="1"/>
  <c r="E9006" i="1"/>
  <c r="C9007" i="1"/>
  <c r="D9007" i="1"/>
  <c r="E9007" i="1"/>
  <c r="C9008" i="1"/>
  <c r="D9008" i="1"/>
  <c r="E9008" i="1"/>
  <c r="C9009" i="1"/>
  <c r="D9009" i="1"/>
  <c r="E9009" i="1"/>
  <c r="C9010" i="1"/>
  <c r="D9010" i="1"/>
  <c r="E9010" i="1"/>
  <c r="C9011" i="1"/>
  <c r="D9011" i="1"/>
  <c r="E9011" i="1"/>
  <c r="C9012" i="1"/>
  <c r="D9012" i="1"/>
  <c r="E9012" i="1"/>
  <c r="C9013" i="1"/>
  <c r="D9013" i="1"/>
  <c r="E9013" i="1"/>
  <c r="C9014" i="1"/>
  <c r="D9014" i="1"/>
  <c r="E9014" i="1"/>
  <c r="C9015" i="1"/>
  <c r="D9015" i="1"/>
  <c r="E9015" i="1"/>
  <c r="C9016" i="1"/>
  <c r="D9016" i="1"/>
  <c r="E9016" i="1"/>
  <c r="C9017" i="1"/>
  <c r="D9017" i="1"/>
  <c r="E9017" i="1"/>
  <c r="C9018" i="1"/>
  <c r="D9018" i="1"/>
  <c r="E9018" i="1"/>
  <c r="C9019" i="1"/>
  <c r="D9019" i="1"/>
  <c r="E9019" i="1"/>
  <c r="C9020" i="1"/>
  <c r="D9020" i="1"/>
  <c r="E9020" i="1"/>
  <c r="C9021" i="1"/>
  <c r="D9021" i="1"/>
  <c r="E9021" i="1"/>
  <c r="C9022" i="1"/>
  <c r="D9022" i="1"/>
  <c r="E9022" i="1"/>
  <c r="C9023" i="1"/>
  <c r="D9023" i="1"/>
  <c r="E9023" i="1"/>
  <c r="C9024" i="1"/>
  <c r="D9024" i="1"/>
  <c r="E9024" i="1"/>
  <c r="C9025" i="1"/>
  <c r="D9025" i="1"/>
  <c r="E9025" i="1"/>
  <c r="C9026" i="1"/>
  <c r="D9026" i="1"/>
  <c r="E9026" i="1"/>
  <c r="C9027" i="1"/>
  <c r="D9027" i="1"/>
  <c r="E9027" i="1"/>
  <c r="C9028" i="1"/>
  <c r="D9028" i="1"/>
  <c r="E9028" i="1"/>
  <c r="C9029" i="1"/>
  <c r="D9029" i="1"/>
  <c r="E9029" i="1"/>
  <c r="C9030" i="1"/>
  <c r="D9030" i="1"/>
  <c r="E9030" i="1"/>
  <c r="C9031" i="1"/>
  <c r="D9031" i="1"/>
  <c r="E9031" i="1"/>
  <c r="C9032" i="1"/>
  <c r="D9032" i="1"/>
  <c r="E9032" i="1"/>
  <c r="C9033" i="1"/>
  <c r="D9033" i="1"/>
  <c r="E9033" i="1"/>
  <c r="C9034" i="1"/>
  <c r="D9034" i="1"/>
  <c r="E9034" i="1"/>
  <c r="C9035" i="1"/>
  <c r="D9035" i="1"/>
  <c r="E9035" i="1"/>
  <c r="C9036" i="1"/>
  <c r="D9036" i="1"/>
  <c r="E9036" i="1"/>
  <c r="C9037" i="1"/>
  <c r="D9037" i="1"/>
  <c r="E9037" i="1"/>
  <c r="C9038" i="1"/>
  <c r="D9038" i="1"/>
  <c r="E9038" i="1"/>
  <c r="C9039" i="1"/>
  <c r="D9039" i="1"/>
  <c r="E9039" i="1"/>
  <c r="C9040" i="1"/>
  <c r="D9040" i="1"/>
  <c r="E9040" i="1"/>
  <c r="C9041" i="1"/>
  <c r="D9041" i="1"/>
  <c r="E9041" i="1"/>
  <c r="C9042" i="1"/>
  <c r="D9042" i="1"/>
  <c r="E9042" i="1"/>
  <c r="C9043" i="1"/>
  <c r="D9043" i="1"/>
  <c r="E9043" i="1"/>
  <c r="C9044" i="1"/>
  <c r="D9044" i="1"/>
  <c r="E9044" i="1"/>
  <c r="C9045" i="1"/>
  <c r="D9045" i="1"/>
  <c r="E9045" i="1"/>
  <c r="C9046" i="1"/>
  <c r="D9046" i="1"/>
  <c r="E9046" i="1"/>
  <c r="C9047" i="1"/>
  <c r="D9047" i="1"/>
  <c r="E9047" i="1"/>
  <c r="C9048" i="1"/>
  <c r="D9048" i="1"/>
  <c r="E9048" i="1"/>
  <c r="C9049" i="1"/>
  <c r="D9049" i="1"/>
  <c r="E9049" i="1"/>
  <c r="C9050" i="1"/>
  <c r="D9050" i="1"/>
  <c r="E9050" i="1"/>
  <c r="C9051" i="1"/>
  <c r="D9051" i="1"/>
  <c r="E9051" i="1"/>
  <c r="C9052" i="1"/>
  <c r="D9052" i="1"/>
  <c r="E9052" i="1"/>
  <c r="C9053" i="1"/>
  <c r="D9053" i="1"/>
  <c r="E9053" i="1"/>
  <c r="C9054" i="1"/>
  <c r="D9054" i="1"/>
  <c r="E9054" i="1"/>
  <c r="C9055" i="1"/>
  <c r="D9055" i="1"/>
  <c r="E9055" i="1"/>
  <c r="C9056" i="1"/>
  <c r="D9056" i="1"/>
  <c r="E9056" i="1"/>
  <c r="C9057" i="1"/>
  <c r="D9057" i="1"/>
  <c r="E9057" i="1"/>
  <c r="C9058" i="1"/>
  <c r="D9058" i="1"/>
  <c r="E9058" i="1"/>
  <c r="C9059" i="1"/>
  <c r="D9059" i="1"/>
  <c r="E9059" i="1"/>
  <c r="C9060" i="1"/>
  <c r="D9060" i="1"/>
  <c r="E9060" i="1"/>
  <c r="C9061" i="1"/>
  <c r="D9061" i="1"/>
  <c r="E9061" i="1"/>
  <c r="C9062" i="1"/>
  <c r="D9062" i="1"/>
  <c r="E9062" i="1"/>
  <c r="C9063" i="1"/>
  <c r="D9063" i="1"/>
  <c r="E9063" i="1"/>
  <c r="C9064" i="1"/>
  <c r="D9064" i="1"/>
  <c r="E9064" i="1"/>
  <c r="C9065" i="1"/>
  <c r="D9065" i="1"/>
  <c r="E9065" i="1"/>
  <c r="C9066" i="1"/>
  <c r="D9066" i="1"/>
  <c r="E9066" i="1"/>
  <c r="C9067" i="1"/>
  <c r="D9067" i="1"/>
  <c r="E9067" i="1"/>
  <c r="C9068" i="1"/>
  <c r="D9068" i="1"/>
  <c r="E9068" i="1"/>
  <c r="C9069" i="1"/>
  <c r="D9069" i="1"/>
  <c r="E9069" i="1"/>
  <c r="C9070" i="1"/>
  <c r="D9070" i="1"/>
  <c r="E9070" i="1"/>
  <c r="C9071" i="1"/>
  <c r="D9071" i="1"/>
  <c r="E9071" i="1"/>
  <c r="C9072" i="1"/>
  <c r="D9072" i="1"/>
  <c r="E9072" i="1"/>
  <c r="C9073" i="1"/>
  <c r="D9073" i="1"/>
  <c r="E9073" i="1"/>
  <c r="C9074" i="1"/>
  <c r="D9074" i="1"/>
  <c r="E9074" i="1"/>
  <c r="C9075" i="1"/>
  <c r="D9075" i="1"/>
  <c r="E9075" i="1"/>
  <c r="C9076" i="1"/>
  <c r="D9076" i="1"/>
  <c r="E9076" i="1"/>
  <c r="C9077" i="1"/>
  <c r="D9077" i="1"/>
  <c r="E9077" i="1"/>
  <c r="C9078" i="1"/>
  <c r="D9078" i="1"/>
  <c r="E9078" i="1"/>
  <c r="C9079" i="1"/>
  <c r="D9079" i="1"/>
  <c r="E9079" i="1"/>
  <c r="C9080" i="1"/>
  <c r="D9080" i="1"/>
  <c r="E9080" i="1"/>
  <c r="C9081" i="1"/>
  <c r="D9081" i="1"/>
  <c r="E9081" i="1"/>
  <c r="C9082" i="1"/>
  <c r="D9082" i="1"/>
  <c r="E9082" i="1"/>
  <c r="C9083" i="1"/>
  <c r="D9083" i="1"/>
  <c r="E9083" i="1"/>
  <c r="C9084" i="1"/>
  <c r="D9084" i="1"/>
  <c r="E9084" i="1"/>
  <c r="C9085" i="1"/>
  <c r="D9085" i="1"/>
  <c r="E9085" i="1"/>
  <c r="C9086" i="1"/>
  <c r="D9086" i="1"/>
  <c r="E9086" i="1"/>
  <c r="C9087" i="1"/>
  <c r="D9087" i="1"/>
  <c r="E9087" i="1"/>
  <c r="C9088" i="1"/>
  <c r="D9088" i="1"/>
  <c r="E9088" i="1"/>
  <c r="C9089" i="1"/>
  <c r="D9089" i="1"/>
  <c r="E9089" i="1"/>
  <c r="C9090" i="1"/>
  <c r="D9090" i="1"/>
  <c r="E9090" i="1"/>
  <c r="C9091" i="1"/>
  <c r="D9091" i="1"/>
  <c r="E9091" i="1"/>
  <c r="C9092" i="1"/>
  <c r="D9092" i="1"/>
  <c r="E9092" i="1"/>
  <c r="C9093" i="1"/>
  <c r="D9093" i="1"/>
  <c r="E9093" i="1"/>
  <c r="C9094" i="1"/>
  <c r="D9094" i="1"/>
  <c r="E9094" i="1"/>
  <c r="C9095" i="1"/>
  <c r="D9095" i="1"/>
  <c r="E9095" i="1"/>
  <c r="C9096" i="1"/>
  <c r="D9096" i="1"/>
  <c r="E9096" i="1"/>
  <c r="C9097" i="1"/>
  <c r="D9097" i="1"/>
  <c r="E9097" i="1"/>
  <c r="C9098" i="1"/>
  <c r="D9098" i="1"/>
  <c r="E9098" i="1"/>
  <c r="C9099" i="1"/>
  <c r="D9099" i="1"/>
  <c r="E9099" i="1"/>
  <c r="C9100" i="1"/>
  <c r="D9100" i="1"/>
  <c r="E9100" i="1"/>
  <c r="C9101" i="1"/>
  <c r="D9101" i="1"/>
  <c r="E9101" i="1"/>
  <c r="C9102" i="1"/>
  <c r="D9102" i="1"/>
  <c r="E9102" i="1"/>
  <c r="C9103" i="1"/>
  <c r="D9103" i="1"/>
  <c r="E9103" i="1"/>
  <c r="C9104" i="1"/>
  <c r="D9104" i="1"/>
  <c r="E9104" i="1"/>
  <c r="C9105" i="1"/>
  <c r="D9105" i="1"/>
  <c r="E9105" i="1"/>
  <c r="C9106" i="1"/>
  <c r="D9106" i="1"/>
  <c r="E9106" i="1"/>
  <c r="C9107" i="1"/>
  <c r="D9107" i="1"/>
  <c r="E9107" i="1"/>
  <c r="C9108" i="1"/>
  <c r="D9108" i="1"/>
  <c r="E9108" i="1"/>
  <c r="C9109" i="1"/>
  <c r="D9109" i="1"/>
  <c r="E9109" i="1"/>
  <c r="C9110" i="1"/>
  <c r="D9110" i="1"/>
  <c r="E9110" i="1"/>
  <c r="C9111" i="1"/>
  <c r="D9111" i="1"/>
  <c r="E9111" i="1"/>
  <c r="C9112" i="1"/>
  <c r="D9112" i="1"/>
  <c r="E9112" i="1"/>
  <c r="C9113" i="1"/>
  <c r="D9113" i="1"/>
  <c r="E9113" i="1"/>
  <c r="C9114" i="1"/>
  <c r="D9114" i="1"/>
  <c r="E9114" i="1"/>
  <c r="C9115" i="1"/>
  <c r="D9115" i="1"/>
  <c r="E9115" i="1"/>
  <c r="C9116" i="1"/>
  <c r="D9116" i="1"/>
  <c r="E9116" i="1"/>
  <c r="C9117" i="1"/>
  <c r="D9117" i="1"/>
  <c r="E9117" i="1"/>
  <c r="C9118" i="1"/>
  <c r="D9118" i="1"/>
  <c r="E9118" i="1"/>
  <c r="C9119" i="1"/>
  <c r="D9119" i="1"/>
  <c r="E9119" i="1"/>
  <c r="C9120" i="1"/>
  <c r="D9120" i="1"/>
  <c r="E9120" i="1"/>
  <c r="C9121" i="1"/>
  <c r="D9121" i="1"/>
  <c r="E9121" i="1"/>
  <c r="C9122" i="1"/>
  <c r="D9122" i="1"/>
  <c r="E9122" i="1"/>
  <c r="C9123" i="1"/>
  <c r="D9123" i="1"/>
  <c r="E9123" i="1"/>
  <c r="C9124" i="1"/>
  <c r="D9124" i="1"/>
  <c r="E9124" i="1"/>
  <c r="C9125" i="1"/>
  <c r="D9125" i="1"/>
  <c r="E9125" i="1"/>
  <c r="C9126" i="1"/>
  <c r="D9126" i="1"/>
  <c r="E9126" i="1"/>
  <c r="C9127" i="1"/>
  <c r="D9127" i="1"/>
  <c r="E9127" i="1"/>
  <c r="C9128" i="1"/>
  <c r="D9128" i="1"/>
  <c r="E9128" i="1"/>
  <c r="C9129" i="1"/>
  <c r="D9129" i="1"/>
  <c r="E9129" i="1"/>
  <c r="C9130" i="1"/>
  <c r="D9130" i="1"/>
  <c r="E9130" i="1"/>
  <c r="C9131" i="1"/>
  <c r="D9131" i="1"/>
  <c r="E9131" i="1"/>
  <c r="C9132" i="1"/>
  <c r="D9132" i="1"/>
  <c r="E9132" i="1"/>
  <c r="C9133" i="1"/>
  <c r="D9133" i="1"/>
  <c r="E9133" i="1"/>
  <c r="C9134" i="1"/>
  <c r="D9134" i="1"/>
  <c r="E9134" i="1"/>
  <c r="C9135" i="1"/>
  <c r="D9135" i="1"/>
  <c r="E9135" i="1"/>
  <c r="C9136" i="1"/>
  <c r="D9136" i="1"/>
  <c r="E9136" i="1"/>
  <c r="C9137" i="1"/>
  <c r="D9137" i="1"/>
  <c r="E9137" i="1"/>
  <c r="C9138" i="1"/>
  <c r="D9138" i="1"/>
  <c r="E9138" i="1"/>
  <c r="C9139" i="1"/>
  <c r="D9139" i="1"/>
  <c r="E9139" i="1"/>
  <c r="C9140" i="1"/>
  <c r="D9140" i="1"/>
  <c r="E9140" i="1"/>
  <c r="C9141" i="1"/>
  <c r="D9141" i="1"/>
  <c r="E9141" i="1"/>
  <c r="C9142" i="1"/>
  <c r="D9142" i="1"/>
  <c r="E9142" i="1"/>
  <c r="C9143" i="1"/>
  <c r="D9143" i="1"/>
  <c r="E9143" i="1"/>
  <c r="C9144" i="1"/>
  <c r="D9144" i="1"/>
  <c r="E9144" i="1"/>
  <c r="C9145" i="1"/>
  <c r="D9145" i="1"/>
  <c r="E9145" i="1"/>
  <c r="C9146" i="1"/>
  <c r="D9146" i="1"/>
  <c r="E9146" i="1"/>
  <c r="C9147" i="1"/>
  <c r="D9147" i="1"/>
  <c r="E9147" i="1"/>
  <c r="C9148" i="1"/>
  <c r="D9148" i="1"/>
  <c r="E9148" i="1"/>
  <c r="C9149" i="1"/>
  <c r="D9149" i="1"/>
  <c r="E9149" i="1"/>
  <c r="C9150" i="1"/>
  <c r="D9150" i="1"/>
  <c r="E9150" i="1"/>
  <c r="C9151" i="1"/>
  <c r="D9151" i="1"/>
  <c r="E9151" i="1"/>
  <c r="C9152" i="1"/>
  <c r="D9152" i="1"/>
  <c r="E9152" i="1"/>
  <c r="C9153" i="1"/>
  <c r="D9153" i="1"/>
  <c r="E9153" i="1"/>
  <c r="C9154" i="1"/>
  <c r="D9154" i="1"/>
  <c r="E9154" i="1"/>
  <c r="C9155" i="1"/>
  <c r="D9155" i="1"/>
  <c r="E9155" i="1"/>
  <c r="C9156" i="1"/>
  <c r="D9156" i="1"/>
  <c r="E9156" i="1"/>
  <c r="C9157" i="1"/>
  <c r="D9157" i="1"/>
  <c r="E9157" i="1"/>
  <c r="C9158" i="1"/>
  <c r="D9158" i="1"/>
  <c r="E9158" i="1"/>
  <c r="C9159" i="1"/>
  <c r="D9159" i="1"/>
  <c r="E9159" i="1"/>
  <c r="C9160" i="1"/>
  <c r="D9160" i="1"/>
  <c r="E9160" i="1"/>
  <c r="C9161" i="1"/>
  <c r="D9161" i="1"/>
  <c r="E9161" i="1"/>
  <c r="C9162" i="1"/>
  <c r="D9162" i="1"/>
  <c r="E9162" i="1"/>
  <c r="C9163" i="1"/>
  <c r="D9163" i="1"/>
  <c r="E9163" i="1"/>
  <c r="C9164" i="1"/>
  <c r="D9164" i="1"/>
  <c r="E9164" i="1"/>
  <c r="C9165" i="1"/>
  <c r="D9165" i="1"/>
  <c r="E9165" i="1"/>
  <c r="C9166" i="1"/>
  <c r="D9166" i="1"/>
  <c r="E9166" i="1"/>
  <c r="C9167" i="1"/>
  <c r="D9167" i="1"/>
  <c r="E9167" i="1"/>
  <c r="C9168" i="1"/>
  <c r="D9168" i="1"/>
  <c r="E9168" i="1"/>
  <c r="C9169" i="1"/>
  <c r="D9169" i="1"/>
  <c r="E9169" i="1"/>
  <c r="C9170" i="1"/>
  <c r="D9170" i="1"/>
  <c r="E9170" i="1"/>
  <c r="C9171" i="1"/>
  <c r="D9171" i="1"/>
  <c r="E9171" i="1"/>
  <c r="C9172" i="1"/>
  <c r="D9172" i="1"/>
  <c r="E9172" i="1"/>
  <c r="C9173" i="1"/>
  <c r="D9173" i="1"/>
  <c r="E9173" i="1"/>
  <c r="C9174" i="1"/>
  <c r="D9174" i="1"/>
  <c r="E9174" i="1"/>
  <c r="C9175" i="1"/>
  <c r="D9175" i="1"/>
  <c r="E9175" i="1"/>
  <c r="C9176" i="1"/>
  <c r="D9176" i="1"/>
  <c r="E9176" i="1"/>
  <c r="C9177" i="1"/>
  <c r="D9177" i="1"/>
  <c r="E9177" i="1"/>
  <c r="C9178" i="1"/>
  <c r="D9178" i="1"/>
  <c r="E9178" i="1"/>
  <c r="C9179" i="1"/>
  <c r="D9179" i="1"/>
  <c r="E9179" i="1"/>
  <c r="C9180" i="1"/>
  <c r="D9180" i="1"/>
  <c r="E9180" i="1"/>
  <c r="C9181" i="1"/>
  <c r="D9181" i="1"/>
  <c r="E9181" i="1"/>
  <c r="C9182" i="1"/>
  <c r="D9182" i="1"/>
  <c r="E9182" i="1"/>
  <c r="C9183" i="1"/>
  <c r="D9183" i="1"/>
  <c r="E9183" i="1"/>
  <c r="C9184" i="1"/>
  <c r="D9184" i="1"/>
  <c r="E9184" i="1"/>
  <c r="C9185" i="1"/>
  <c r="D9185" i="1"/>
  <c r="E9185" i="1"/>
  <c r="C9186" i="1"/>
  <c r="D9186" i="1"/>
  <c r="E9186" i="1"/>
  <c r="C9187" i="1"/>
  <c r="D9187" i="1"/>
  <c r="E9187" i="1"/>
  <c r="C9188" i="1"/>
  <c r="D9188" i="1"/>
  <c r="E9188" i="1"/>
  <c r="C9189" i="1"/>
  <c r="D9189" i="1"/>
  <c r="E9189" i="1"/>
  <c r="C9190" i="1"/>
  <c r="D9190" i="1"/>
  <c r="E9190" i="1"/>
  <c r="C9191" i="1"/>
  <c r="D9191" i="1"/>
  <c r="E9191" i="1"/>
  <c r="C9192" i="1"/>
  <c r="D9192" i="1"/>
  <c r="E9192" i="1"/>
  <c r="C9193" i="1"/>
  <c r="D9193" i="1"/>
  <c r="E9193" i="1"/>
  <c r="C9194" i="1"/>
  <c r="D9194" i="1"/>
  <c r="E9194" i="1"/>
  <c r="C9195" i="1"/>
  <c r="D9195" i="1"/>
  <c r="E9195" i="1"/>
  <c r="C9196" i="1"/>
  <c r="D9196" i="1"/>
  <c r="E9196" i="1"/>
  <c r="C9197" i="1"/>
  <c r="D9197" i="1"/>
  <c r="E9197" i="1"/>
  <c r="C9198" i="1"/>
  <c r="D9198" i="1"/>
  <c r="E9198" i="1"/>
  <c r="C9199" i="1"/>
  <c r="D9199" i="1"/>
  <c r="E9199" i="1"/>
  <c r="C9200" i="1"/>
  <c r="D9200" i="1"/>
  <c r="E9200" i="1"/>
  <c r="C9201" i="1"/>
  <c r="D9201" i="1"/>
  <c r="E9201" i="1"/>
  <c r="C9202" i="1"/>
  <c r="D9202" i="1"/>
  <c r="E9202" i="1"/>
  <c r="C9203" i="1"/>
  <c r="D9203" i="1"/>
  <c r="E9203" i="1"/>
  <c r="C9204" i="1"/>
  <c r="D9204" i="1"/>
  <c r="E9204" i="1"/>
  <c r="C9205" i="1"/>
  <c r="D9205" i="1"/>
  <c r="E9205" i="1"/>
  <c r="C9206" i="1"/>
  <c r="D9206" i="1"/>
  <c r="E9206" i="1"/>
  <c r="C9207" i="1"/>
  <c r="D9207" i="1"/>
  <c r="E9207" i="1"/>
  <c r="C9208" i="1"/>
  <c r="D9208" i="1"/>
  <c r="E9208" i="1"/>
  <c r="C9209" i="1"/>
  <c r="D9209" i="1"/>
  <c r="E9209" i="1"/>
  <c r="C9210" i="1"/>
  <c r="D9210" i="1"/>
  <c r="E9210" i="1"/>
  <c r="C9211" i="1"/>
  <c r="D9211" i="1"/>
  <c r="E9211" i="1"/>
  <c r="C9212" i="1"/>
  <c r="D9212" i="1"/>
  <c r="E9212" i="1"/>
  <c r="C9213" i="1"/>
  <c r="D9213" i="1"/>
  <c r="E9213" i="1"/>
  <c r="C9214" i="1"/>
  <c r="D9214" i="1"/>
  <c r="E9214" i="1"/>
  <c r="C9215" i="1"/>
  <c r="D9215" i="1"/>
  <c r="E9215" i="1"/>
  <c r="C9216" i="1"/>
  <c r="D9216" i="1"/>
  <c r="E9216" i="1"/>
  <c r="C9217" i="1"/>
  <c r="D9217" i="1"/>
  <c r="E9217" i="1"/>
  <c r="C9218" i="1"/>
  <c r="D9218" i="1"/>
  <c r="E9218" i="1"/>
  <c r="C9219" i="1"/>
  <c r="D9219" i="1"/>
  <c r="E9219" i="1"/>
  <c r="C9220" i="1"/>
  <c r="D9220" i="1"/>
  <c r="E9220" i="1"/>
  <c r="C9221" i="1"/>
  <c r="D9221" i="1"/>
  <c r="E9221" i="1"/>
  <c r="C9222" i="1"/>
  <c r="D9222" i="1"/>
  <c r="E9222" i="1"/>
  <c r="C9223" i="1"/>
  <c r="D9223" i="1"/>
  <c r="E9223" i="1"/>
  <c r="C9224" i="1"/>
  <c r="D9224" i="1"/>
  <c r="E9224" i="1"/>
  <c r="C9225" i="1"/>
  <c r="D9225" i="1"/>
  <c r="E9225" i="1"/>
  <c r="C9226" i="1"/>
  <c r="D9226" i="1"/>
  <c r="E9226" i="1"/>
  <c r="C9227" i="1"/>
  <c r="D9227" i="1"/>
  <c r="E9227" i="1"/>
  <c r="C9228" i="1"/>
  <c r="D9228" i="1"/>
  <c r="E9228" i="1"/>
  <c r="C9229" i="1"/>
  <c r="D9229" i="1"/>
  <c r="E9229" i="1"/>
  <c r="C9230" i="1"/>
  <c r="D9230" i="1"/>
  <c r="E9230" i="1"/>
  <c r="C9231" i="1"/>
  <c r="D9231" i="1"/>
  <c r="E9231" i="1"/>
  <c r="C9232" i="1"/>
  <c r="D9232" i="1"/>
  <c r="E9232" i="1"/>
  <c r="C9233" i="1"/>
  <c r="D9233" i="1"/>
  <c r="E9233" i="1"/>
  <c r="C9234" i="1"/>
  <c r="D9234" i="1"/>
  <c r="E9234" i="1"/>
  <c r="C9235" i="1"/>
  <c r="D9235" i="1"/>
  <c r="E9235" i="1"/>
  <c r="C9236" i="1"/>
  <c r="D9236" i="1"/>
  <c r="E9236" i="1"/>
  <c r="C9237" i="1"/>
  <c r="D9237" i="1"/>
  <c r="E9237" i="1"/>
  <c r="C9238" i="1"/>
  <c r="D9238" i="1"/>
  <c r="E9238" i="1"/>
  <c r="C9239" i="1"/>
  <c r="D9239" i="1"/>
  <c r="E9239" i="1"/>
  <c r="C9240" i="1"/>
  <c r="D9240" i="1"/>
  <c r="E9240" i="1"/>
  <c r="C9241" i="1"/>
  <c r="D9241" i="1"/>
  <c r="E9241" i="1"/>
  <c r="C9242" i="1"/>
  <c r="D9242" i="1"/>
  <c r="E9242" i="1"/>
  <c r="C9243" i="1"/>
  <c r="D9243" i="1"/>
  <c r="E9243" i="1"/>
  <c r="C9244" i="1"/>
  <c r="D9244" i="1"/>
  <c r="E9244" i="1"/>
  <c r="C9245" i="1"/>
  <c r="D9245" i="1"/>
  <c r="E9245" i="1"/>
  <c r="C9246" i="1"/>
  <c r="D9246" i="1"/>
  <c r="E9246" i="1"/>
  <c r="C9247" i="1"/>
  <c r="D9247" i="1"/>
  <c r="E9247" i="1"/>
  <c r="C9248" i="1"/>
  <c r="D9248" i="1"/>
  <c r="E9248" i="1"/>
  <c r="C9249" i="1"/>
  <c r="D9249" i="1"/>
  <c r="E9249" i="1"/>
  <c r="C9250" i="1"/>
  <c r="D9250" i="1"/>
  <c r="E9250" i="1"/>
  <c r="C9251" i="1"/>
  <c r="D9251" i="1"/>
  <c r="E9251" i="1"/>
  <c r="C9252" i="1"/>
  <c r="D9252" i="1"/>
  <c r="E9252" i="1"/>
  <c r="C9253" i="1"/>
  <c r="D9253" i="1"/>
  <c r="E9253" i="1"/>
  <c r="C9254" i="1"/>
  <c r="D9254" i="1"/>
  <c r="E9254" i="1"/>
  <c r="C9255" i="1"/>
  <c r="D9255" i="1"/>
  <c r="E9255" i="1"/>
  <c r="C9256" i="1"/>
  <c r="D9256" i="1"/>
  <c r="E9256" i="1"/>
  <c r="C9257" i="1"/>
  <c r="D9257" i="1"/>
  <c r="E9257" i="1"/>
  <c r="C9258" i="1"/>
  <c r="D9258" i="1"/>
  <c r="E9258" i="1"/>
  <c r="C9259" i="1"/>
  <c r="D9259" i="1"/>
  <c r="E9259" i="1"/>
  <c r="C9260" i="1"/>
  <c r="D9260" i="1"/>
  <c r="E9260" i="1"/>
  <c r="C9261" i="1"/>
  <c r="D9261" i="1"/>
  <c r="E9261" i="1"/>
  <c r="C9262" i="1"/>
  <c r="D9262" i="1"/>
  <c r="E9262" i="1"/>
  <c r="C9263" i="1"/>
  <c r="D9263" i="1"/>
  <c r="E9263" i="1"/>
  <c r="C9264" i="1"/>
  <c r="D9264" i="1"/>
  <c r="E9264" i="1"/>
  <c r="C9265" i="1"/>
  <c r="D9265" i="1"/>
  <c r="E9265" i="1"/>
  <c r="C9266" i="1"/>
  <c r="D9266" i="1"/>
  <c r="E9266" i="1"/>
  <c r="C9267" i="1"/>
  <c r="D9267" i="1"/>
  <c r="E9267" i="1"/>
  <c r="C9268" i="1"/>
  <c r="D9268" i="1"/>
  <c r="E9268" i="1"/>
  <c r="C9269" i="1"/>
  <c r="D9269" i="1"/>
  <c r="E9269" i="1"/>
  <c r="C9270" i="1"/>
  <c r="D9270" i="1"/>
  <c r="E9270" i="1"/>
  <c r="C9271" i="1"/>
  <c r="D9271" i="1"/>
  <c r="E9271" i="1"/>
  <c r="C9272" i="1"/>
  <c r="D9272" i="1"/>
  <c r="E9272" i="1"/>
  <c r="C9273" i="1"/>
  <c r="D9273" i="1"/>
  <c r="E9273" i="1"/>
  <c r="C9274" i="1"/>
  <c r="D9274" i="1"/>
  <c r="E9274" i="1"/>
  <c r="C9275" i="1"/>
  <c r="D9275" i="1"/>
  <c r="E9275" i="1"/>
  <c r="C9276" i="1"/>
  <c r="D9276" i="1"/>
  <c r="E9276" i="1"/>
  <c r="C9277" i="1"/>
  <c r="D9277" i="1"/>
  <c r="E9277" i="1"/>
  <c r="C9278" i="1"/>
  <c r="D9278" i="1"/>
  <c r="E9278" i="1"/>
  <c r="C9279" i="1"/>
  <c r="D9279" i="1"/>
  <c r="E9279" i="1"/>
  <c r="C9280" i="1"/>
  <c r="D9280" i="1"/>
  <c r="E9280" i="1"/>
  <c r="C9281" i="1"/>
  <c r="D9281" i="1"/>
  <c r="E9281" i="1"/>
  <c r="C9282" i="1"/>
  <c r="D9282" i="1"/>
  <c r="E9282" i="1"/>
  <c r="C9283" i="1"/>
  <c r="D9283" i="1"/>
  <c r="E9283" i="1"/>
  <c r="C9284" i="1"/>
  <c r="D9284" i="1"/>
  <c r="E9284" i="1"/>
  <c r="C9285" i="1"/>
  <c r="D9285" i="1"/>
  <c r="E9285" i="1"/>
  <c r="C9286" i="1"/>
  <c r="D9286" i="1"/>
  <c r="E9286" i="1"/>
  <c r="C9287" i="1"/>
  <c r="D9287" i="1"/>
  <c r="E9287" i="1"/>
  <c r="C9288" i="1"/>
  <c r="D9288" i="1"/>
  <c r="E9288" i="1"/>
  <c r="C9289" i="1"/>
  <c r="D9289" i="1"/>
  <c r="E9289" i="1"/>
  <c r="C9290" i="1"/>
  <c r="D9290" i="1"/>
  <c r="E9290" i="1"/>
  <c r="C9291" i="1"/>
  <c r="D9291" i="1"/>
  <c r="E9291" i="1"/>
  <c r="C9292" i="1"/>
  <c r="D9292" i="1"/>
  <c r="E9292" i="1"/>
  <c r="C9293" i="1"/>
  <c r="D9293" i="1"/>
  <c r="E9293" i="1"/>
  <c r="C9294" i="1"/>
  <c r="D9294" i="1"/>
  <c r="E9294" i="1"/>
  <c r="C9295" i="1"/>
  <c r="D9295" i="1"/>
  <c r="E9295" i="1"/>
  <c r="C9296" i="1"/>
  <c r="D9296" i="1"/>
  <c r="E9296" i="1"/>
  <c r="C9297" i="1"/>
  <c r="D9297" i="1"/>
  <c r="E9297" i="1"/>
  <c r="C9298" i="1"/>
  <c r="D9298" i="1"/>
  <c r="E9298" i="1"/>
  <c r="C9299" i="1"/>
  <c r="D9299" i="1"/>
  <c r="E9299" i="1"/>
  <c r="C9300" i="1"/>
  <c r="D9300" i="1"/>
  <c r="E9300" i="1"/>
  <c r="C9301" i="1"/>
  <c r="D9301" i="1"/>
  <c r="E9301" i="1"/>
  <c r="C9302" i="1"/>
  <c r="D9302" i="1"/>
  <c r="E9302" i="1"/>
  <c r="C9303" i="1"/>
  <c r="D9303" i="1"/>
  <c r="E9303" i="1"/>
  <c r="C9304" i="1"/>
  <c r="D9304" i="1"/>
  <c r="E9304" i="1"/>
  <c r="C9305" i="1"/>
  <c r="D9305" i="1"/>
  <c r="E9305" i="1"/>
  <c r="C9306" i="1"/>
  <c r="D9306" i="1"/>
  <c r="E9306" i="1"/>
  <c r="C9307" i="1"/>
  <c r="D9307" i="1"/>
  <c r="E9307" i="1"/>
  <c r="C9308" i="1"/>
  <c r="D9308" i="1"/>
  <c r="E9308" i="1"/>
  <c r="C9309" i="1"/>
  <c r="D9309" i="1"/>
  <c r="E9309" i="1"/>
  <c r="C9310" i="1"/>
  <c r="D9310" i="1"/>
  <c r="E9310" i="1"/>
  <c r="C9311" i="1"/>
  <c r="D9311" i="1"/>
  <c r="E9311" i="1"/>
  <c r="C9312" i="1"/>
  <c r="D9312" i="1"/>
  <c r="E9312" i="1"/>
  <c r="C9313" i="1"/>
  <c r="D9313" i="1"/>
  <c r="E9313" i="1"/>
  <c r="C9314" i="1"/>
  <c r="D9314" i="1"/>
  <c r="E9314" i="1"/>
  <c r="C9315" i="1"/>
  <c r="D9315" i="1"/>
  <c r="E9315" i="1"/>
  <c r="C9316" i="1"/>
  <c r="D9316" i="1"/>
  <c r="E9316" i="1"/>
  <c r="C9317" i="1"/>
  <c r="D9317" i="1"/>
  <c r="E9317" i="1"/>
  <c r="C9318" i="1"/>
  <c r="D9318" i="1"/>
  <c r="E9318" i="1"/>
  <c r="C9319" i="1"/>
  <c r="D9319" i="1"/>
  <c r="E9319" i="1"/>
  <c r="C9320" i="1"/>
  <c r="D9320" i="1"/>
  <c r="E9320" i="1"/>
  <c r="C9321" i="1"/>
  <c r="D9321" i="1"/>
  <c r="E9321" i="1"/>
  <c r="C9322" i="1"/>
  <c r="D9322" i="1"/>
  <c r="E9322" i="1"/>
  <c r="C9323" i="1"/>
  <c r="D9323" i="1"/>
  <c r="E9323" i="1"/>
  <c r="C9324" i="1"/>
  <c r="D9324" i="1"/>
  <c r="E9324" i="1"/>
  <c r="C9325" i="1"/>
  <c r="D9325" i="1"/>
  <c r="E9325" i="1"/>
  <c r="C9326" i="1"/>
  <c r="D9326" i="1"/>
  <c r="E9326" i="1"/>
  <c r="C9327" i="1"/>
  <c r="D9327" i="1"/>
  <c r="E9327" i="1"/>
  <c r="C9328" i="1"/>
  <c r="D9328" i="1"/>
  <c r="E9328" i="1"/>
  <c r="C9329" i="1"/>
  <c r="D9329" i="1"/>
  <c r="E9329" i="1"/>
  <c r="C9330" i="1"/>
  <c r="D9330" i="1"/>
  <c r="E9330" i="1"/>
  <c r="C9331" i="1"/>
  <c r="D9331" i="1"/>
  <c r="E9331" i="1"/>
  <c r="C9332" i="1"/>
  <c r="D9332" i="1"/>
  <c r="E9332" i="1"/>
  <c r="C9333" i="1"/>
  <c r="D9333" i="1"/>
  <c r="E9333" i="1"/>
  <c r="C9334" i="1"/>
  <c r="D9334" i="1"/>
  <c r="E9334" i="1"/>
  <c r="C9335" i="1"/>
  <c r="D9335" i="1"/>
  <c r="E9335" i="1"/>
  <c r="C9336" i="1"/>
  <c r="D9336" i="1"/>
  <c r="E9336" i="1"/>
  <c r="C9337" i="1"/>
  <c r="D9337" i="1"/>
  <c r="E9337" i="1"/>
  <c r="C9338" i="1"/>
  <c r="D9338" i="1"/>
  <c r="E9338" i="1"/>
  <c r="C9339" i="1"/>
  <c r="D9339" i="1"/>
  <c r="E9339" i="1"/>
  <c r="C9340" i="1"/>
  <c r="D9340" i="1"/>
  <c r="E9340" i="1"/>
  <c r="C9341" i="1"/>
  <c r="D9341" i="1"/>
  <c r="E9341" i="1"/>
  <c r="C9342" i="1"/>
  <c r="D9342" i="1"/>
  <c r="E9342" i="1"/>
  <c r="C9343" i="1"/>
  <c r="D9343" i="1"/>
  <c r="E9343" i="1"/>
  <c r="C9344" i="1"/>
  <c r="D9344" i="1"/>
  <c r="E9344" i="1"/>
  <c r="C9345" i="1"/>
  <c r="D9345" i="1"/>
  <c r="E9345" i="1"/>
  <c r="C9346" i="1"/>
  <c r="D9346" i="1"/>
  <c r="E9346" i="1"/>
  <c r="C9347" i="1"/>
  <c r="D9347" i="1"/>
  <c r="E9347" i="1"/>
  <c r="C9348" i="1"/>
  <c r="D9348" i="1"/>
  <c r="E9348" i="1"/>
  <c r="C9349" i="1"/>
  <c r="D9349" i="1"/>
  <c r="E9349" i="1"/>
  <c r="C9350" i="1"/>
  <c r="D9350" i="1"/>
  <c r="E9350" i="1"/>
  <c r="C9351" i="1"/>
  <c r="D9351" i="1"/>
  <c r="E9351" i="1"/>
  <c r="C9352" i="1"/>
  <c r="D9352" i="1"/>
  <c r="E9352" i="1"/>
  <c r="C9353" i="1"/>
  <c r="D9353" i="1"/>
  <c r="E9353" i="1"/>
  <c r="C9354" i="1"/>
  <c r="D9354" i="1"/>
  <c r="E9354" i="1"/>
  <c r="C9355" i="1"/>
  <c r="D9355" i="1"/>
  <c r="E9355" i="1"/>
  <c r="C9356" i="1"/>
  <c r="D9356" i="1"/>
  <c r="E9356" i="1"/>
  <c r="C9357" i="1"/>
  <c r="D9357" i="1"/>
  <c r="E9357" i="1"/>
  <c r="C9358" i="1"/>
  <c r="D9358" i="1"/>
  <c r="E9358" i="1"/>
  <c r="C9359" i="1"/>
  <c r="D9359" i="1"/>
  <c r="E9359" i="1"/>
  <c r="C9360" i="1"/>
  <c r="D9360" i="1"/>
  <c r="E9360" i="1"/>
  <c r="C9361" i="1"/>
  <c r="D9361" i="1"/>
  <c r="E9361" i="1"/>
  <c r="C9362" i="1"/>
  <c r="D9362" i="1"/>
  <c r="E9362" i="1"/>
  <c r="C9363" i="1"/>
  <c r="D9363" i="1"/>
  <c r="E9363" i="1"/>
  <c r="C9364" i="1"/>
  <c r="D9364" i="1"/>
  <c r="E9364" i="1"/>
  <c r="C9365" i="1"/>
  <c r="D9365" i="1"/>
  <c r="E9365" i="1"/>
  <c r="C9366" i="1"/>
  <c r="D9366" i="1"/>
  <c r="E9366" i="1"/>
  <c r="C9367" i="1"/>
  <c r="D9367" i="1"/>
  <c r="E9367" i="1"/>
  <c r="C9368" i="1"/>
  <c r="D9368" i="1"/>
  <c r="E9368" i="1"/>
  <c r="C9369" i="1"/>
  <c r="D9369" i="1"/>
  <c r="E9369" i="1"/>
  <c r="C9370" i="1"/>
  <c r="D9370" i="1"/>
  <c r="E9370" i="1"/>
  <c r="C9371" i="1"/>
  <c r="D9371" i="1"/>
  <c r="E9371" i="1"/>
  <c r="C9372" i="1"/>
  <c r="D9372" i="1"/>
  <c r="E9372" i="1"/>
  <c r="C9373" i="1"/>
  <c r="D9373" i="1"/>
  <c r="E9373" i="1"/>
  <c r="C9374" i="1"/>
  <c r="D9374" i="1"/>
  <c r="E9374" i="1"/>
  <c r="C9375" i="1"/>
  <c r="D9375" i="1"/>
  <c r="E9375" i="1"/>
  <c r="C9376" i="1"/>
  <c r="D9376" i="1"/>
  <c r="E9376" i="1"/>
  <c r="C9377" i="1"/>
  <c r="D9377" i="1"/>
  <c r="E9377" i="1"/>
  <c r="C9378" i="1"/>
  <c r="D9378" i="1"/>
  <c r="E9378" i="1"/>
  <c r="C9379" i="1"/>
  <c r="D9379" i="1"/>
  <c r="E9379" i="1"/>
  <c r="C9380" i="1"/>
  <c r="D9380" i="1"/>
  <c r="E9380" i="1"/>
  <c r="C9381" i="1"/>
  <c r="D9381" i="1"/>
  <c r="E9381" i="1"/>
  <c r="C9382" i="1"/>
  <c r="D9382" i="1"/>
  <c r="E9382" i="1"/>
  <c r="C9383" i="1"/>
  <c r="D9383" i="1"/>
  <c r="E9383" i="1"/>
  <c r="C9384" i="1"/>
  <c r="D9384" i="1"/>
  <c r="E9384" i="1"/>
  <c r="C9385" i="1"/>
  <c r="D9385" i="1"/>
  <c r="E9385" i="1"/>
  <c r="C9386" i="1"/>
  <c r="D9386" i="1"/>
  <c r="E9386" i="1"/>
  <c r="C9387" i="1"/>
  <c r="D9387" i="1"/>
  <c r="E9387" i="1"/>
  <c r="C9388" i="1"/>
  <c r="D9388" i="1"/>
  <c r="E9388" i="1"/>
  <c r="C9389" i="1"/>
  <c r="D9389" i="1"/>
  <c r="E9389" i="1"/>
  <c r="C9390" i="1"/>
  <c r="D9390" i="1"/>
  <c r="E9390" i="1"/>
  <c r="C9391" i="1"/>
  <c r="D9391" i="1"/>
  <c r="E9391" i="1"/>
  <c r="C9392" i="1"/>
  <c r="D9392" i="1"/>
  <c r="E9392" i="1"/>
  <c r="C9393" i="1"/>
  <c r="D9393" i="1"/>
  <c r="E9393" i="1"/>
  <c r="C9394" i="1"/>
  <c r="D9394" i="1"/>
  <c r="E9394" i="1"/>
  <c r="C9395" i="1"/>
  <c r="D9395" i="1"/>
  <c r="E9395" i="1"/>
  <c r="C9396" i="1"/>
  <c r="D9396" i="1"/>
  <c r="E9396" i="1"/>
  <c r="C9397" i="1"/>
  <c r="D9397" i="1"/>
  <c r="E9397" i="1"/>
  <c r="C9398" i="1"/>
  <c r="D9398" i="1"/>
  <c r="E9398" i="1"/>
  <c r="C9399" i="1"/>
  <c r="D9399" i="1"/>
  <c r="E9399" i="1"/>
  <c r="C9400" i="1"/>
  <c r="D9400" i="1"/>
  <c r="E9400" i="1"/>
  <c r="C9401" i="1"/>
  <c r="D9401" i="1"/>
  <c r="E9401" i="1"/>
  <c r="C9402" i="1"/>
  <c r="D9402" i="1"/>
  <c r="E9402" i="1"/>
  <c r="C9403" i="1"/>
  <c r="D9403" i="1"/>
  <c r="E9403" i="1"/>
  <c r="C9404" i="1"/>
  <c r="D9404" i="1"/>
  <c r="E9404" i="1"/>
  <c r="C9405" i="1"/>
  <c r="D9405" i="1"/>
  <c r="E9405" i="1"/>
  <c r="C9406" i="1"/>
  <c r="D9406" i="1"/>
  <c r="E9406" i="1"/>
  <c r="C9407" i="1"/>
  <c r="D9407" i="1"/>
  <c r="E9407" i="1"/>
  <c r="C9408" i="1"/>
  <c r="D9408" i="1"/>
  <c r="E9408" i="1"/>
  <c r="C9409" i="1"/>
  <c r="D9409" i="1"/>
  <c r="E9409" i="1"/>
  <c r="C9410" i="1"/>
  <c r="D9410" i="1"/>
  <c r="E9410" i="1"/>
  <c r="C9411" i="1"/>
  <c r="D9411" i="1"/>
  <c r="E9411" i="1"/>
  <c r="C9412" i="1"/>
  <c r="D9412" i="1"/>
  <c r="E9412" i="1"/>
  <c r="C9413" i="1"/>
  <c r="D9413" i="1"/>
  <c r="E9413" i="1"/>
  <c r="C9414" i="1"/>
  <c r="D9414" i="1"/>
  <c r="E9414" i="1"/>
  <c r="C9415" i="1"/>
  <c r="D9415" i="1"/>
  <c r="E9415" i="1"/>
  <c r="C9416" i="1"/>
  <c r="D9416" i="1"/>
  <c r="E9416" i="1"/>
  <c r="C9417" i="1"/>
  <c r="D9417" i="1"/>
  <c r="E9417" i="1"/>
  <c r="C9418" i="1"/>
  <c r="D9418" i="1"/>
  <c r="E9418" i="1"/>
  <c r="C9419" i="1"/>
  <c r="D9419" i="1"/>
  <c r="E9419" i="1"/>
  <c r="C9420" i="1"/>
  <c r="D9420" i="1"/>
  <c r="E9420" i="1"/>
  <c r="C9421" i="1"/>
  <c r="D9421" i="1"/>
  <c r="E9421" i="1"/>
  <c r="C9422" i="1"/>
  <c r="D9422" i="1"/>
  <c r="E9422" i="1"/>
  <c r="C9423" i="1"/>
  <c r="D9423" i="1"/>
  <c r="E9423" i="1"/>
  <c r="C9424" i="1"/>
  <c r="D9424" i="1"/>
  <c r="E9424" i="1"/>
  <c r="C9425" i="1"/>
  <c r="D9425" i="1"/>
  <c r="E9425" i="1"/>
  <c r="C9426" i="1"/>
  <c r="D9426" i="1"/>
  <c r="E9426" i="1"/>
  <c r="C9427" i="1"/>
  <c r="D9427" i="1"/>
  <c r="E9427" i="1"/>
  <c r="C9428" i="1"/>
  <c r="D9428" i="1"/>
  <c r="E9428" i="1"/>
  <c r="C9429" i="1"/>
  <c r="D9429" i="1"/>
  <c r="E9429" i="1"/>
  <c r="C9430" i="1"/>
  <c r="D9430" i="1"/>
  <c r="E9430" i="1"/>
  <c r="C9431" i="1"/>
  <c r="D9431" i="1"/>
  <c r="E9431" i="1"/>
  <c r="C9432" i="1"/>
  <c r="D9432" i="1"/>
  <c r="E9432" i="1"/>
  <c r="C9433" i="1"/>
  <c r="D9433" i="1"/>
  <c r="E9433" i="1"/>
  <c r="C9434" i="1"/>
  <c r="D9434" i="1"/>
  <c r="E9434" i="1"/>
  <c r="C9435" i="1"/>
  <c r="D9435" i="1"/>
  <c r="E9435" i="1"/>
  <c r="C9436" i="1"/>
  <c r="D9436" i="1"/>
  <c r="E9436" i="1"/>
  <c r="C9437" i="1"/>
  <c r="D9437" i="1"/>
  <c r="E9437" i="1"/>
  <c r="C9438" i="1"/>
  <c r="D9438" i="1"/>
  <c r="E9438" i="1"/>
  <c r="C9439" i="1"/>
  <c r="D9439" i="1"/>
  <c r="E9439" i="1"/>
  <c r="C9440" i="1"/>
  <c r="D9440" i="1"/>
  <c r="E9440" i="1"/>
  <c r="C9441" i="1"/>
  <c r="D9441" i="1"/>
  <c r="E9441" i="1"/>
  <c r="C9442" i="1"/>
  <c r="D9442" i="1"/>
  <c r="E9442" i="1"/>
  <c r="C9443" i="1"/>
  <c r="D9443" i="1"/>
  <c r="E9443" i="1"/>
  <c r="C9444" i="1"/>
  <c r="D9444" i="1"/>
  <c r="E9444" i="1"/>
  <c r="C9445" i="1"/>
  <c r="D9445" i="1"/>
  <c r="E9445" i="1"/>
  <c r="C9446" i="1"/>
  <c r="D9446" i="1"/>
  <c r="E9446" i="1"/>
  <c r="C9447" i="1"/>
  <c r="D9447" i="1"/>
  <c r="E9447" i="1"/>
  <c r="C9448" i="1"/>
  <c r="D9448" i="1"/>
  <c r="E9448" i="1"/>
  <c r="C9449" i="1"/>
  <c r="D9449" i="1"/>
  <c r="E9449" i="1"/>
  <c r="C9450" i="1"/>
  <c r="D9450" i="1"/>
  <c r="E9450" i="1"/>
  <c r="C9451" i="1"/>
  <c r="D9451" i="1"/>
  <c r="E9451" i="1"/>
  <c r="C9452" i="1"/>
  <c r="D9452" i="1"/>
  <c r="E9452" i="1"/>
  <c r="C9453" i="1"/>
  <c r="D9453" i="1"/>
  <c r="E9453" i="1"/>
  <c r="C9454" i="1"/>
  <c r="D9454" i="1"/>
  <c r="E9454" i="1"/>
  <c r="C9455" i="1"/>
  <c r="D9455" i="1"/>
  <c r="E9455" i="1"/>
  <c r="C9456" i="1"/>
  <c r="D9456" i="1"/>
  <c r="E9456" i="1"/>
  <c r="C9457" i="1"/>
  <c r="D9457" i="1"/>
  <c r="E9457" i="1"/>
  <c r="C9458" i="1"/>
  <c r="D9458" i="1"/>
  <c r="E9458" i="1"/>
  <c r="C9459" i="1"/>
  <c r="D9459" i="1"/>
  <c r="E9459" i="1"/>
  <c r="C9460" i="1"/>
  <c r="D9460" i="1"/>
  <c r="E9460" i="1"/>
  <c r="C9461" i="1"/>
  <c r="D9461" i="1"/>
  <c r="E9461" i="1"/>
  <c r="C9462" i="1"/>
  <c r="D9462" i="1"/>
  <c r="E9462" i="1"/>
  <c r="C9463" i="1"/>
  <c r="D9463" i="1"/>
  <c r="E9463" i="1"/>
  <c r="C9464" i="1"/>
  <c r="D9464" i="1"/>
  <c r="E9464" i="1"/>
  <c r="C9465" i="1"/>
  <c r="D9465" i="1"/>
  <c r="E9465" i="1"/>
  <c r="C9466" i="1"/>
  <c r="D9466" i="1"/>
  <c r="E9466" i="1"/>
  <c r="C9467" i="1"/>
  <c r="D9467" i="1"/>
  <c r="E9467" i="1"/>
  <c r="C9468" i="1"/>
  <c r="D9468" i="1"/>
  <c r="E9468" i="1"/>
  <c r="C9469" i="1"/>
  <c r="D9469" i="1"/>
  <c r="E9469" i="1"/>
  <c r="C9470" i="1"/>
  <c r="D9470" i="1"/>
  <c r="E9470" i="1"/>
  <c r="C9471" i="1"/>
  <c r="D9471" i="1"/>
  <c r="E9471" i="1"/>
  <c r="C9472" i="1"/>
  <c r="D9472" i="1"/>
  <c r="E9472" i="1"/>
  <c r="C9473" i="1"/>
  <c r="D9473" i="1"/>
  <c r="E9473" i="1"/>
  <c r="C9474" i="1"/>
  <c r="D9474" i="1"/>
  <c r="E9474" i="1"/>
  <c r="C9475" i="1"/>
  <c r="D9475" i="1"/>
  <c r="E9475" i="1"/>
  <c r="C9476" i="1"/>
  <c r="D9476" i="1"/>
  <c r="E9476" i="1"/>
  <c r="C9477" i="1"/>
  <c r="D9477" i="1"/>
  <c r="E9477" i="1"/>
  <c r="C9478" i="1"/>
  <c r="D9478" i="1"/>
  <c r="E9478" i="1"/>
  <c r="C9479" i="1"/>
  <c r="D9479" i="1"/>
  <c r="E9479" i="1"/>
  <c r="C9480" i="1"/>
  <c r="D9480" i="1"/>
  <c r="E9480" i="1"/>
  <c r="C9481" i="1"/>
  <c r="D9481" i="1"/>
  <c r="E9481" i="1"/>
  <c r="C9482" i="1"/>
  <c r="D9482" i="1"/>
  <c r="E9482" i="1"/>
  <c r="C9483" i="1"/>
  <c r="D9483" i="1"/>
  <c r="E9483" i="1"/>
  <c r="C9484" i="1"/>
  <c r="D9484" i="1"/>
  <c r="E9484" i="1"/>
  <c r="C9485" i="1"/>
  <c r="D9485" i="1"/>
  <c r="E9485" i="1"/>
  <c r="C9486" i="1"/>
  <c r="D9486" i="1"/>
  <c r="E9486" i="1"/>
  <c r="C9487" i="1"/>
  <c r="D9487" i="1"/>
  <c r="E9487" i="1"/>
  <c r="C9488" i="1"/>
  <c r="D9488" i="1"/>
  <c r="E9488" i="1"/>
  <c r="C9489" i="1"/>
  <c r="D9489" i="1"/>
  <c r="E9489" i="1"/>
  <c r="C9490" i="1"/>
  <c r="D9490" i="1"/>
  <c r="E9490" i="1"/>
  <c r="C9491" i="1"/>
  <c r="D9491" i="1"/>
  <c r="E9491" i="1"/>
  <c r="C9492" i="1"/>
  <c r="D9492" i="1"/>
  <c r="E9492" i="1"/>
  <c r="C9493" i="1"/>
  <c r="D9493" i="1"/>
  <c r="E9493" i="1"/>
  <c r="C9494" i="1"/>
  <c r="D9494" i="1"/>
  <c r="E9494" i="1"/>
  <c r="C9495" i="1"/>
  <c r="D9495" i="1"/>
  <c r="E9495" i="1"/>
  <c r="C9496" i="1"/>
  <c r="D9496" i="1"/>
  <c r="E9496" i="1"/>
  <c r="C9497" i="1"/>
  <c r="D9497" i="1"/>
  <c r="E9497" i="1"/>
  <c r="C9498" i="1"/>
  <c r="D9498" i="1"/>
  <c r="E9498" i="1"/>
  <c r="C9499" i="1"/>
  <c r="D9499" i="1"/>
  <c r="E9499" i="1"/>
  <c r="C9500" i="1"/>
  <c r="D9500" i="1"/>
  <c r="E9500" i="1"/>
  <c r="C9501" i="1"/>
  <c r="D9501" i="1"/>
  <c r="E9501" i="1"/>
  <c r="C9502" i="1"/>
  <c r="D9502" i="1"/>
  <c r="E9502" i="1"/>
  <c r="C9503" i="1"/>
  <c r="D9503" i="1"/>
  <c r="E9503" i="1"/>
  <c r="C9504" i="1"/>
  <c r="D9504" i="1"/>
  <c r="E9504" i="1"/>
  <c r="C9505" i="1"/>
  <c r="D9505" i="1"/>
  <c r="E9505" i="1"/>
  <c r="C9506" i="1"/>
  <c r="D9506" i="1"/>
  <c r="E9506" i="1"/>
  <c r="C9507" i="1"/>
  <c r="D9507" i="1"/>
  <c r="E9507" i="1"/>
  <c r="C9508" i="1"/>
  <c r="D9508" i="1"/>
  <c r="E9508" i="1"/>
  <c r="C9509" i="1"/>
  <c r="D9509" i="1"/>
  <c r="E9509" i="1"/>
  <c r="C9510" i="1"/>
  <c r="D9510" i="1"/>
  <c r="E9510" i="1"/>
  <c r="C9511" i="1"/>
  <c r="D9511" i="1"/>
  <c r="E9511" i="1"/>
  <c r="C9512" i="1"/>
  <c r="D9512" i="1"/>
  <c r="E9512" i="1"/>
  <c r="C9513" i="1"/>
  <c r="D9513" i="1"/>
  <c r="E9513" i="1"/>
  <c r="C9514" i="1"/>
  <c r="D9514" i="1"/>
  <c r="E9514" i="1"/>
  <c r="C9515" i="1"/>
  <c r="D9515" i="1"/>
  <c r="E9515" i="1"/>
  <c r="C9516" i="1"/>
  <c r="D9516" i="1"/>
  <c r="E9516" i="1"/>
  <c r="C9517" i="1"/>
  <c r="D9517" i="1"/>
  <c r="E9517" i="1"/>
  <c r="C9518" i="1"/>
  <c r="D9518" i="1"/>
  <c r="E9518" i="1"/>
  <c r="C9519" i="1"/>
  <c r="D9519" i="1"/>
  <c r="E9519" i="1"/>
  <c r="C9520" i="1"/>
  <c r="D9520" i="1"/>
  <c r="E9520" i="1"/>
  <c r="C9521" i="1"/>
  <c r="D9521" i="1"/>
  <c r="E9521" i="1"/>
  <c r="C9522" i="1"/>
  <c r="D9522" i="1"/>
  <c r="E9522" i="1"/>
  <c r="C9523" i="1"/>
  <c r="D9523" i="1"/>
  <c r="E9523" i="1"/>
  <c r="C9524" i="1"/>
  <c r="D9524" i="1"/>
  <c r="E9524" i="1"/>
  <c r="C9525" i="1"/>
  <c r="D9525" i="1"/>
  <c r="E9525" i="1"/>
  <c r="C9526" i="1"/>
  <c r="D9526" i="1"/>
  <c r="E9526" i="1"/>
  <c r="C9527" i="1"/>
  <c r="D9527" i="1"/>
  <c r="E9527" i="1"/>
  <c r="C9528" i="1"/>
  <c r="D9528" i="1"/>
  <c r="E9528" i="1"/>
  <c r="C9529" i="1"/>
  <c r="D9529" i="1"/>
  <c r="E9529" i="1"/>
  <c r="C9530" i="1"/>
  <c r="D9530" i="1"/>
  <c r="E9530" i="1"/>
  <c r="C9531" i="1"/>
  <c r="D9531" i="1"/>
  <c r="E9531" i="1"/>
  <c r="C9532" i="1"/>
  <c r="D9532" i="1"/>
  <c r="E9532" i="1"/>
  <c r="C9533" i="1"/>
  <c r="D9533" i="1"/>
  <c r="E9533" i="1"/>
  <c r="C9534" i="1"/>
  <c r="D9534" i="1"/>
  <c r="E9534" i="1"/>
  <c r="C9535" i="1"/>
  <c r="D9535" i="1"/>
  <c r="E9535" i="1"/>
  <c r="C9536" i="1"/>
  <c r="D9536" i="1"/>
  <c r="E9536" i="1"/>
  <c r="C9537" i="1"/>
  <c r="D9537" i="1"/>
  <c r="E9537" i="1"/>
  <c r="C9538" i="1"/>
  <c r="D9538" i="1"/>
  <c r="E9538" i="1"/>
  <c r="C9539" i="1"/>
  <c r="D9539" i="1"/>
  <c r="E9539" i="1"/>
  <c r="C9540" i="1"/>
  <c r="D9540" i="1"/>
  <c r="E9540" i="1"/>
  <c r="C9541" i="1"/>
  <c r="D9541" i="1"/>
  <c r="E9541" i="1"/>
  <c r="C9542" i="1"/>
  <c r="D9542" i="1"/>
  <c r="E9542" i="1"/>
  <c r="C9543" i="1"/>
  <c r="D9543" i="1"/>
  <c r="E9543" i="1"/>
  <c r="C9544" i="1"/>
  <c r="D9544" i="1"/>
  <c r="E9544" i="1"/>
  <c r="C9545" i="1"/>
  <c r="D9545" i="1"/>
  <c r="E9545" i="1"/>
  <c r="C9546" i="1"/>
  <c r="D9546" i="1"/>
  <c r="E9546" i="1"/>
  <c r="C9547" i="1"/>
  <c r="D9547" i="1"/>
  <c r="E9547" i="1"/>
  <c r="C9548" i="1"/>
  <c r="D9548" i="1"/>
  <c r="E9548" i="1"/>
  <c r="C9549" i="1"/>
  <c r="D9549" i="1"/>
  <c r="E9549" i="1"/>
  <c r="C9550" i="1"/>
  <c r="D9550" i="1"/>
  <c r="E9550" i="1"/>
  <c r="C9551" i="1"/>
  <c r="D9551" i="1"/>
  <c r="E9551" i="1"/>
  <c r="C9552" i="1"/>
  <c r="D9552" i="1"/>
  <c r="E9552" i="1"/>
  <c r="C9553" i="1"/>
  <c r="D9553" i="1"/>
  <c r="E9553" i="1"/>
  <c r="C9554" i="1"/>
  <c r="D9554" i="1"/>
  <c r="E9554" i="1"/>
  <c r="C9555" i="1"/>
  <c r="D9555" i="1"/>
  <c r="E9555" i="1"/>
  <c r="C9556" i="1"/>
  <c r="D9556" i="1"/>
  <c r="E9556" i="1"/>
  <c r="C9557" i="1"/>
  <c r="D9557" i="1"/>
  <c r="E9557" i="1"/>
  <c r="C9558" i="1"/>
  <c r="D9558" i="1"/>
  <c r="E9558" i="1"/>
  <c r="C9559" i="1"/>
  <c r="D9559" i="1"/>
  <c r="E9559" i="1"/>
  <c r="C9560" i="1"/>
  <c r="D9560" i="1"/>
  <c r="E9560" i="1"/>
  <c r="C9561" i="1"/>
  <c r="D9561" i="1"/>
  <c r="E9561" i="1"/>
  <c r="C9562" i="1"/>
  <c r="D9562" i="1"/>
  <c r="E9562" i="1"/>
  <c r="C9563" i="1"/>
  <c r="D9563" i="1"/>
  <c r="E9563" i="1"/>
  <c r="C9564" i="1"/>
  <c r="D9564" i="1"/>
  <c r="E9564" i="1"/>
  <c r="C9565" i="1"/>
  <c r="D9565" i="1"/>
  <c r="E9565" i="1"/>
  <c r="C9566" i="1"/>
  <c r="D9566" i="1"/>
  <c r="E9566" i="1"/>
  <c r="C9567" i="1"/>
  <c r="D9567" i="1"/>
  <c r="E9567" i="1"/>
  <c r="C9568" i="1"/>
  <c r="D9568" i="1"/>
  <c r="E9568" i="1"/>
  <c r="C9569" i="1"/>
  <c r="D9569" i="1"/>
  <c r="E9569" i="1"/>
  <c r="C9570" i="1"/>
  <c r="D9570" i="1"/>
  <c r="E9570" i="1"/>
  <c r="C9571" i="1"/>
  <c r="D9571" i="1"/>
  <c r="E9571" i="1"/>
  <c r="C9572" i="1"/>
  <c r="D9572" i="1"/>
  <c r="E9572" i="1"/>
  <c r="C9573" i="1"/>
  <c r="D9573" i="1"/>
  <c r="E9573" i="1"/>
  <c r="C9574" i="1"/>
  <c r="D9574" i="1"/>
  <c r="E9574" i="1"/>
  <c r="C9575" i="1"/>
  <c r="D9575" i="1"/>
  <c r="E9575" i="1"/>
  <c r="C9576" i="1"/>
  <c r="D9576" i="1"/>
  <c r="E9576" i="1"/>
  <c r="C9577" i="1"/>
  <c r="D9577" i="1"/>
  <c r="E9577" i="1"/>
  <c r="C9578" i="1"/>
  <c r="D9578" i="1"/>
  <c r="E9578" i="1"/>
  <c r="C9579" i="1"/>
  <c r="D9579" i="1"/>
  <c r="E9579" i="1"/>
  <c r="C9580" i="1"/>
  <c r="D9580" i="1"/>
  <c r="E9580" i="1"/>
  <c r="C9581" i="1"/>
  <c r="D9581" i="1"/>
  <c r="E9581" i="1"/>
  <c r="C9582" i="1"/>
  <c r="D9582" i="1"/>
  <c r="E9582" i="1"/>
  <c r="C9583" i="1"/>
  <c r="D9583" i="1"/>
  <c r="E9583" i="1"/>
  <c r="C9584" i="1"/>
  <c r="D9584" i="1"/>
  <c r="E9584" i="1"/>
  <c r="C9585" i="1"/>
  <c r="D9585" i="1"/>
  <c r="E9585" i="1"/>
  <c r="C9586" i="1"/>
  <c r="D9586" i="1"/>
  <c r="E9586" i="1"/>
  <c r="C9587" i="1"/>
  <c r="D9587" i="1"/>
  <c r="E9587" i="1"/>
  <c r="C9588" i="1"/>
  <c r="D9588" i="1"/>
  <c r="E9588" i="1"/>
  <c r="C9589" i="1"/>
  <c r="D9589" i="1"/>
  <c r="E9589" i="1"/>
  <c r="C9590" i="1"/>
  <c r="D9590" i="1"/>
  <c r="E9590" i="1"/>
  <c r="C9591" i="1"/>
  <c r="D9591" i="1"/>
  <c r="E9591" i="1"/>
  <c r="C9592" i="1"/>
  <c r="D9592" i="1"/>
  <c r="E9592" i="1"/>
  <c r="C9593" i="1"/>
  <c r="D9593" i="1"/>
  <c r="E9593" i="1"/>
  <c r="C9594" i="1"/>
  <c r="D9594" i="1"/>
  <c r="E9594" i="1"/>
  <c r="C9595" i="1"/>
  <c r="D9595" i="1"/>
  <c r="E9595" i="1"/>
  <c r="C9596" i="1"/>
  <c r="D9596" i="1"/>
  <c r="E9596" i="1"/>
  <c r="C9597" i="1"/>
  <c r="D9597" i="1"/>
  <c r="E9597" i="1"/>
  <c r="C9598" i="1"/>
  <c r="D9598" i="1"/>
  <c r="E9598" i="1"/>
  <c r="C9599" i="1"/>
  <c r="D9599" i="1"/>
  <c r="E9599" i="1"/>
  <c r="C9600" i="1"/>
  <c r="D9600" i="1"/>
  <c r="E9600" i="1"/>
  <c r="C9601" i="1"/>
  <c r="D9601" i="1"/>
  <c r="E9601" i="1"/>
  <c r="C9602" i="1"/>
  <c r="D9602" i="1"/>
  <c r="E9602" i="1"/>
  <c r="C9603" i="1"/>
  <c r="D9603" i="1"/>
  <c r="E9603" i="1"/>
  <c r="C9604" i="1"/>
  <c r="D9604" i="1"/>
  <c r="E9604" i="1"/>
  <c r="C9605" i="1"/>
  <c r="D9605" i="1"/>
  <c r="E9605" i="1"/>
  <c r="C9606" i="1"/>
  <c r="D9606" i="1"/>
  <c r="E9606" i="1"/>
  <c r="C9607" i="1"/>
  <c r="D9607" i="1"/>
  <c r="E9607" i="1"/>
  <c r="C9608" i="1"/>
  <c r="D9608" i="1"/>
  <c r="E9608" i="1"/>
  <c r="C9609" i="1"/>
  <c r="D9609" i="1"/>
  <c r="E9609" i="1"/>
  <c r="C9610" i="1"/>
  <c r="D9610" i="1"/>
  <c r="E9610" i="1"/>
  <c r="C9611" i="1"/>
  <c r="D9611" i="1"/>
  <c r="E9611" i="1"/>
  <c r="C9612" i="1"/>
  <c r="D9612" i="1"/>
  <c r="E9612" i="1"/>
  <c r="C9613" i="1"/>
  <c r="D9613" i="1"/>
  <c r="E9613" i="1"/>
  <c r="C9614" i="1"/>
  <c r="D9614" i="1"/>
  <c r="E9614" i="1"/>
  <c r="C9615" i="1"/>
  <c r="D9615" i="1"/>
  <c r="E9615" i="1"/>
  <c r="C9616" i="1"/>
  <c r="D9616" i="1"/>
  <c r="E9616" i="1"/>
  <c r="C9617" i="1"/>
  <c r="D9617" i="1"/>
  <c r="E9617" i="1"/>
  <c r="C9618" i="1"/>
  <c r="D9618" i="1"/>
  <c r="E9618" i="1"/>
  <c r="C9619" i="1"/>
  <c r="D9619" i="1"/>
  <c r="E9619" i="1"/>
  <c r="C9620" i="1"/>
  <c r="D9620" i="1"/>
  <c r="E9620" i="1"/>
  <c r="C9621" i="1"/>
  <c r="D9621" i="1"/>
  <c r="E9621" i="1"/>
  <c r="C9622" i="1"/>
  <c r="D9622" i="1"/>
  <c r="E9622" i="1"/>
  <c r="C9623" i="1"/>
  <c r="D9623" i="1"/>
  <c r="E9623" i="1"/>
  <c r="C9624" i="1"/>
  <c r="D9624" i="1"/>
  <c r="E9624" i="1"/>
  <c r="C9625" i="1"/>
  <c r="D9625" i="1"/>
  <c r="E9625" i="1"/>
  <c r="C9626" i="1"/>
  <c r="D9626" i="1"/>
  <c r="E9626" i="1"/>
  <c r="C9627" i="1"/>
  <c r="D9627" i="1"/>
  <c r="E9627" i="1"/>
  <c r="C9628" i="1"/>
  <c r="D9628" i="1"/>
  <c r="E9628" i="1"/>
  <c r="C9629" i="1"/>
  <c r="D9629" i="1"/>
  <c r="E9629" i="1"/>
  <c r="C9630" i="1"/>
  <c r="D9630" i="1"/>
  <c r="E9630" i="1"/>
  <c r="C9631" i="1"/>
  <c r="D9631" i="1"/>
  <c r="E9631" i="1"/>
  <c r="C9632" i="1"/>
  <c r="D9632" i="1"/>
  <c r="E9632" i="1"/>
  <c r="C9633" i="1"/>
  <c r="D9633" i="1"/>
  <c r="E9633" i="1"/>
  <c r="C9634" i="1"/>
  <c r="D9634" i="1"/>
  <c r="E9634" i="1"/>
  <c r="C9635" i="1"/>
  <c r="D9635" i="1"/>
  <c r="E9635" i="1"/>
  <c r="C9636" i="1"/>
  <c r="D9636" i="1"/>
  <c r="E9636" i="1"/>
  <c r="C9637" i="1"/>
  <c r="D9637" i="1"/>
  <c r="E9637" i="1"/>
  <c r="C9638" i="1"/>
  <c r="D9638" i="1"/>
  <c r="E9638" i="1"/>
  <c r="C9639" i="1"/>
  <c r="D9639" i="1"/>
  <c r="E9639" i="1"/>
  <c r="C9640" i="1"/>
  <c r="D9640" i="1"/>
  <c r="E9640" i="1"/>
  <c r="C9641" i="1"/>
  <c r="D9641" i="1"/>
  <c r="E9641" i="1"/>
  <c r="C9642" i="1"/>
  <c r="D9642" i="1"/>
  <c r="E9642" i="1"/>
  <c r="C9643" i="1"/>
  <c r="D9643" i="1"/>
  <c r="E9643" i="1"/>
  <c r="C9644" i="1"/>
  <c r="D9644" i="1"/>
  <c r="E9644" i="1"/>
  <c r="C9645" i="1"/>
  <c r="D9645" i="1"/>
  <c r="E9645" i="1"/>
  <c r="C9646" i="1"/>
  <c r="D9646" i="1"/>
  <c r="E9646" i="1"/>
  <c r="C9647" i="1"/>
  <c r="D9647" i="1"/>
  <c r="E9647" i="1"/>
  <c r="C9648" i="1"/>
  <c r="D9648" i="1"/>
  <c r="E9648" i="1"/>
  <c r="C9649" i="1"/>
  <c r="D9649" i="1"/>
  <c r="E9649" i="1"/>
  <c r="C9650" i="1"/>
  <c r="D9650" i="1"/>
  <c r="E9650" i="1"/>
  <c r="C9651" i="1"/>
  <c r="D9651" i="1"/>
  <c r="E9651" i="1"/>
  <c r="C9652" i="1"/>
  <c r="D9652" i="1"/>
  <c r="E9652" i="1"/>
  <c r="C9653" i="1"/>
  <c r="D9653" i="1"/>
  <c r="E9653" i="1"/>
  <c r="C9654" i="1"/>
  <c r="D9654" i="1"/>
  <c r="E9654" i="1"/>
  <c r="C9655" i="1"/>
  <c r="D9655" i="1"/>
  <c r="E9655" i="1"/>
  <c r="C9656" i="1"/>
  <c r="D9656" i="1"/>
  <c r="E9656" i="1"/>
  <c r="C9657" i="1"/>
  <c r="D9657" i="1"/>
  <c r="E9657" i="1"/>
  <c r="C9658" i="1"/>
  <c r="D9658" i="1"/>
  <c r="E9658" i="1"/>
  <c r="C9659" i="1"/>
  <c r="D9659" i="1"/>
  <c r="E9659" i="1"/>
  <c r="C9660" i="1"/>
  <c r="D9660" i="1"/>
  <c r="E9660" i="1"/>
  <c r="C9661" i="1"/>
  <c r="D9661" i="1"/>
  <c r="E9661" i="1"/>
  <c r="C9662" i="1"/>
  <c r="D9662" i="1"/>
  <c r="E9662" i="1"/>
  <c r="C9663" i="1"/>
  <c r="D9663" i="1"/>
  <c r="E9663" i="1"/>
  <c r="C9664" i="1"/>
  <c r="D9664" i="1"/>
  <c r="E9664" i="1"/>
  <c r="C9665" i="1"/>
  <c r="D9665" i="1"/>
  <c r="E9665" i="1"/>
  <c r="C9666" i="1"/>
  <c r="D9666" i="1"/>
  <c r="E9666" i="1"/>
  <c r="C9667" i="1"/>
  <c r="D9667" i="1"/>
  <c r="E9667" i="1"/>
  <c r="C9668" i="1"/>
  <c r="D9668" i="1"/>
  <c r="E9668" i="1"/>
  <c r="C9669" i="1"/>
  <c r="D9669" i="1"/>
  <c r="E9669" i="1"/>
  <c r="C9670" i="1"/>
  <c r="D9670" i="1"/>
  <c r="E9670" i="1"/>
  <c r="C9671" i="1"/>
  <c r="D9671" i="1"/>
  <c r="E9671" i="1"/>
  <c r="C9672" i="1"/>
  <c r="D9672" i="1"/>
  <c r="E9672" i="1"/>
  <c r="C9673" i="1"/>
  <c r="D9673" i="1"/>
  <c r="E9673" i="1"/>
  <c r="C9674" i="1"/>
  <c r="D9674" i="1"/>
  <c r="E9674" i="1"/>
  <c r="C9675" i="1"/>
  <c r="D9675" i="1"/>
  <c r="E9675" i="1"/>
  <c r="C9676" i="1"/>
  <c r="D9676" i="1"/>
  <c r="E9676" i="1"/>
  <c r="C9677" i="1"/>
  <c r="D9677" i="1"/>
  <c r="E9677" i="1"/>
  <c r="C9678" i="1"/>
  <c r="D9678" i="1"/>
  <c r="E9678" i="1"/>
  <c r="C9679" i="1"/>
  <c r="D9679" i="1"/>
  <c r="E9679" i="1"/>
  <c r="C9680" i="1"/>
  <c r="D9680" i="1"/>
  <c r="E9680" i="1"/>
  <c r="C9681" i="1"/>
  <c r="D9681" i="1"/>
  <c r="E9681" i="1"/>
  <c r="C9682" i="1"/>
  <c r="D9682" i="1"/>
  <c r="E9682" i="1"/>
  <c r="C9683" i="1"/>
  <c r="D9683" i="1"/>
  <c r="E9683" i="1"/>
  <c r="C9684" i="1"/>
  <c r="D9684" i="1"/>
  <c r="E9684" i="1"/>
  <c r="C9685" i="1"/>
  <c r="D9685" i="1"/>
  <c r="E9685" i="1"/>
  <c r="C9686" i="1"/>
  <c r="D9686" i="1"/>
  <c r="E9686" i="1"/>
  <c r="C9687" i="1"/>
  <c r="D9687" i="1"/>
  <c r="E9687" i="1"/>
  <c r="C9688" i="1"/>
  <c r="D9688" i="1"/>
  <c r="E9688" i="1"/>
  <c r="C9689" i="1"/>
  <c r="D9689" i="1"/>
  <c r="E9689" i="1"/>
  <c r="C9690" i="1"/>
  <c r="D9690" i="1"/>
  <c r="E9690" i="1"/>
  <c r="C9691" i="1"/>
  <c r="D9691" i="1"/>
  <c r="E9691" i="1"/>
  <c r="C9692" i="1"/>
  <c r="D9692" i="1"/>
  <c r="E9692" i="1"/>
  <c r="C9693" i="1"/>
  <c r="D9693" i="1"/>
  <c r="E9693" i="1"/>
  <c r="C9694" i="1"/>
  <c r="D9694" i="1"/>
  <c r="E9694" i="1"/>
  <c r="C9695" i="1"/>
  <c r="D9695" i="1"/>
  <c r="E9695" i="1"/>
  <c r="C9696" i="1"/>
  <c r="D9696" i="1"/>
  <c r="E9696" i="1"/>
  <c r="C9697" i="1"/>
  <c r="D9697" i="1"/>
  <c r="E9697" i="1"/>
  <c r="C9698" i="1"/>
  <c r="D9698" i="1"/>
  <c r="E9698" i="1"/>
  <c r="C9699" i="1"/>
  <c r="D9699" i="1"/>
  <c r="E9699" i="1"/>
  <c r="C9700" i="1"/>
  <c r="D9700" i="1"/>
  <c r="E9700" i="1"/>
  <c r="C9701" i="1"/>
  <c r="D9701" i="1"/>
  <c r="E9701" i="1"/>
  <c r="C9702" i="1"/>
  <c r="D9702" i="1"/>
  <c r="E9702" i="1"/>
  <c r="C9703" i="1"/>
  <c r="D9703" i="1"/>
  <c r="E9703" i="1"/>
  <c r="C9704" i="1"/>
  <c r="D9704" i="1"/>
  <c r="E9704" i="1"/>
  <c r="C9705" i="1"/>
  <c r="D9705" i="1"/>
  <c r="E9705" i="1"/>
  <c r="C9706" i="1"/>
  <c r="D9706" i="1"/>
  <c r="E9706" i="1"/>
  <c r="C9707" i="1"/>
  <c r="D9707" i="1"/>
  <c r="E9707" i="1"/>
  <c r="C9708" i="1"/>
  <c r="D9708" i="1"/>
  <c r="E9708" i="1"/>
  <c r="C9709" i="1"/>
  <c r="D9709" i="1"/>
  <c r="E9709" i="1"/>
  <c r="C9710" i="1"/>
  <c r="D9710" i="1"/>
  <c r="E9710" i="1"/>
  <c r="C9711" i="1"/>
  <c r="D9711" i="1"/>
  <c r="E9711" i="1"/>
  <c r="C9712" i="1"/>
  <c r="D9712" i="1"/>
  <c r="E9712" i="1"/>
  <c r="C9713" i="1"/>
  <c r="D9713" i="1"/>
  <c r="E9713" i="1"/>
  <c r="C9714" i="1"/>
  <c r="D9714" i="1"/>
  <c r="E9714" i="1"/>
  <c r="C9715" i="1"/>
  <c r="D9715" i="1"/>
  <c r="E9715" i="1"/>
  <c r="C9716" i="1"/>
  <c r="D9716" i="1"/>
  <c r="E9716" i="1"/>
  <c r="C9717" i="1"/>
  <c r="D9717" i="1"/>
  <c r="E9717" i="1"/>
  <c r="C9718" i="1"/>
  <c r="D9718" i="1"/>
  <c r="E9718" i="1"/>
  <c r="C9719" i="1"/>
  <c r="D9719" i="1"/>
  <c r="E9719" i="1"/>
  <c r="C9720" i="1"/>
  <c r="D9720" i="1"/>
  <c r="E9720" i="1"/>
  <c r="C9721" i="1"/>
  <c r="D9721" i="1"/>
  <c r="E9721" i="1"/>
  <c r="C9722" i="1"/>
  <c r="D9722" i="1"/>
  <c r="E9722" i="1"/>
  <c r="C9723" i="1"/>
  <c r="D9723" i="1"/>
  <c r="E9723" i="1"/>
  <c r="C9724" i="1"/>
  <c r="D9724" i="1"/>
  <c r="E9724" i="1"/>
  <c r="C9725" i="1"/>
  <c r="D9725" i="1"/>
  <c r="E9725" i="1"/>
  <c r="C9726" i="1"/>
  <c r="D9726" i="1"/>
  <c r="E9726" i="1"/>
  <c r="C9727" i="1"/>
  <c r="D9727" i="1"/>
  <c r="E9727" i="1"/>
  <c r="C9728" i="1"/>
  <c r="D9728" i="1"/>
  <c r="E9728" i="1"/>
  <c r="C9729" i="1"/>
  <c r="D9729" i="1"/>
  <c r="E9729" i="1"/>
  <c r="C9730" i="1"/>
  <c r="D9730" i="1"/>
  <c r="E9730" i="1"/>
  <c r="C9731" i="1"/>
  <c r="D9731" i="1"/>
  <c r="E9731" i="1"/>
  <c r="C9732" i="1"/>
  <c r="D9732" i="1"/>
  <c r="E9732" i="1"/>
  <c r="C9733" i="1"/>
  <c r="D9733" i="1"/>
  <c r="E9733" i="1"/>
  <c r="C9734" i="1"/>
  <c r="D9734" i="1"/>
  <c r="E9734" i="1"/>
  <c r="C9735" i="1"/>
  <c r="D9735" i="1"/>
  <c r="E9735" i="1"/>
  <c r="C9736" i="1"/>
  <c r="D9736" i="1"/>
  <c r="E9736" i="1"/>
  <c r="C9737" i="1"/>
  <c r="D9737" i="1"/>
  <c r="E9737" i="1"/>
  <c r="C9738" i="1"/>
  <c r="D9738" i="1"/>
  <c r="E9738" i="1"/>
  <c r="C9739" i="1"/>
  <c r="D9739" i="1"/>
  <c r="E9739" i="1"/>
  <c r="C9740" i="1"/>
  <c r="D9740" i="1"/>
  <c r="E9740" i="1"/>
  <c r="C9741" i="1"/>
  <c r="D9741" i="1"/>
  <c r="E9741" i="1"/>
  <c r="C9742" i="1"/>
  <c r="D9742" i="1"/>
  <c r="E9742" i="1"/>
  <c r="C9743" i="1"/>
  <c r="D9743" i="1"/>
  <c r="E9743" i="1"/>
  <c r="C9744" i="1"/>
  <c r="D9744" i="1"/>
  <c r="E9744" i="1"/>
  <c r="C9745" i="1"/>
  <c r="D9745" i="1"/>
  <c r="E9745" i="1"/>
  <c r="C9746" i="1"/>
  <c r="D9746" i="1"/>
  <c r="E9746" i="1"/>
  <c r="C9747" i="1"/>
  <c r="D9747" i="1"/>
  <c r="E9747" i="1"/>
  <c r="C9748" i="1"/>
  <c r="D9748" i="1"/>
  <c r="E9748" i="1"/>
  <c r="C9749" i="1"/>
  <c r="D9749" i="1"/>
  <c r="E9749" i="1"/>
  <c r="C9750" i="1"/>
  <c r="D9750" i="1"/>
  <c r="E9750" i="1"/>
  <c r="C9751" i="1"/>
  <c r="D9751" i="1"/>
  <c r="E9751" i="1"/>
  <c r="C9752" i="1"/>
  <c r="D9752" i="1"/>
  <c r="E9752" i="1"/>
  <c r="C9753" i="1"/>
  <c r="D9753" i="1"/>
  <c r="E9753" i="1"/>
  <c r="C9754" i="1"/>
  <c r="D9754" i="1"/>
  <c r="E9754" i="1"/>
  <c r="C9755" i="1"/>
  <c r="D9755" i="1"/>
  <c r="E9755" i="1"/>
  <c r="C9756" i="1"/>
  <c r="D9756" i="1"/>
  <c r="E9756" i="1"/>
  <c r="C9757" i="1"/>
  <c r="D9757" i="1"/>
  <c r="E9757" i="1"/>
  <c r="C9758" i="1"/>
  <c r="D9758" i="1"/>
  <c r="E9758" i="1"/>
  <c r="C9759" i="1"/>
  <c r="D9759" i="1"/>
  <c r="E9759" i="1"/>
  <c r="C9760" i="1"/>
  <c r="D9760" i="1"/>
  <c r="E9760" i="1"/>
  <c r="C9761" i="1"/>
  <c r="D9761" i="1"/>
  <c r="E9761" i="1"/>
  <c r="C9762" i="1"/>
  <c r="D9762" i="1"/>
  <c r="E9762" i="1"/>
  <c r="C9763" i="1"/>
  <c r="D9763" i="1"/>
  <c r="E9763" i="1"/>
  <c r="C9764" i="1"/>
  <c r="D9764" i="1"/>
  <c r="E9764" i="1"/>
  <c r="C9765" i="1"/>
  <c r="D9765" i="1"/>
  <c r="E9765" i="1"/>
  <c r="C9766" i="1"/>
  <c r="D9766" i="1"/>
  <c r="E9766" i="1"/>
  <c r="C9767" i="1"/>
  <c r="D9767" i="1"/>
  <c r="E9767" i="1"/>
  <c r="C9768" i="1"/>
  <c r="D9768" i="1"/>
  <c r="E9768" i="1"/>
  <c r="C9769" i="1"/>
  <c r="D9769" i="1"/>
  <c r="E9769" i="1"/>
  <c r="C9770" i="1"/>
  <c r="D9770" i="1"/>
  <c r="E9770" i="1"/>
  <c r="C9771" i="1"/>
  <c r="D9771" i="1"/>
  <c r="E9771" i="1"/>
  <c r="C9772" i="1"/>
  <c r="D9772" i="1"/>
  <c r="E9772" i="1"/>
  <c r="C9773" i="1"/>
  <c r="D9773" i="1"/>
  <c r="E9773" i="1"/>
  <c r="C9774" i="1"/>
  <c r="D9774" i="1"/>
  <c r="E9774" i="1"/>
  <c r="C9775" i="1"/>
  <c r="D9775" i="1"/>
  <c r="E9775" i="1"/>
  <c r="C9776" i="1"/>
  <c r="D9776" i="1"/>
  <c r="E9776" i="1"/>
  <c r="C9777" i="1"/>
  <c r="D9777" i="1"/>
  <c r="E9777" i="1"/>
  <c r="C9778" i="1"/>
  <c r="D9778" i="1"/>
  <c r="E9778" i="1"/>
  <c r="C9779" i="1"/>
  <c r="D9779" i="1"/>
  <c r="E9779" i="1"/>
  <c r="C9780" i="1"/>
  <c r="D9780" i="1"/>
  <c r="E9780" i="1"/>
  <c r="C9781" i="1"/>
  <c r="D9781" i="1"/>
  <c r="E9781" i="1"/>
  <c r="C9782" i="1"/>
  <c r="D9782" i="1"/>
  <c r="E9782" i="1"/>
  <c r="C9783" i="1"/>
  <c r="D9783" i="1"/>
  <c r="E9783" i="1"/>
  <c r="C9784" i="1"/>
  <c r="D9784" i="1"/>
  <c r="E9784" i="1"/>
  <c r="C9785" i="1"/>
  <c r="D9785" i="1"/>
  <c r="E9785" i="1"/>
  <c r="C9786" i="1"/>
  <c r="D9786" i="1"/>
  <c r="E9786" i="1"/>
  <c r="C9787" i="1"/>
  <c r="D9787" i="1"/>
  <c r="E9787" i="1"/>
  <c r="C9788" i="1"/>
  <c r="D9788" i="1"/>
  <c r="E9788" i="1"/>
  <c r="C9789" i="1"/>
  <c r="D9789" i="1"/>
  <c r="E9789" i="1"/>
  <c r="C9790" i="1"/>
  <c r="D9790" i="1"/>
  <c r="E9790" i="1"/>
  <c r="C9791" i="1"/>
  <c r="D9791" i="1"/>
  <c r="E9791" i="1"/>
  <c r="C9792" i="1"/>
  <c r="D9792" i="1"/>
  <c r="E9792" i="1"/>
  <c r="C9793" i="1"/>
  <c r="D9793" i="1"/>
  <c r="E9793" i="1"/>
  <c r="C9794" i="1"/>
  <c r="D9794" i="1"/>
  <c r="E9794" i="1"/>
  <c r="C9795" i="1"/>
  <c r="D9795" i="1"/>
  <c r="E9795" i="1"/>
  <c r="C9796" i="1"/>
  <c r="D9796" i="1"/>
  <c r="E9796" i="1"/>
  <c r="C9797" i="1"/>
  <c r="D9797" i="1"/>
  <c r="E9797" i="1"/>
  <c r="C9798" i="1"/>
  <c r="D9798" i="1"/>
  <c r="E9798" i="1"/>
  <c r="C9799" i="1"/>
  <c r="D9799" i="1"/>
  <c r="E9799" i="1"/>
  <c r="C9800" i="1"/>
  <c r="D9800" i="1"/>
  <c r="E9800" i="1"/>
  <c r="C9801" i="1"/>
  <c r="D9801" i="1"/>
  <c r="E9801" i="1"/>
  <c r="C9802" i="1"/>
  <c r="D9802" i="1"/>
  <c r="E9802" i="1"/>
  <c r="C9803" i="1"/>
  <c r="D9803" i="1"/>
  <c r="E9803" i="1"/>
  <c r="C9804" i="1"/>
  <c r="D9804" i="1"/>
  <c r="E9804" i="1"/>
  <c r="C9805" i="1"/>
  <c r="D9805" i="1"/>
  <c r="E9805" i="1"/>
  <c r="C9806" i="1"/>
  <c r="D9806" i="1"/>
  <c r="E9806" i="1"/>
  <c r="C9807" i="1"/>
  <c r="D9807" i="1"/>
  <c r="E9807" i="1"/>
  <c r="C9808" i="1"/>
  <c r="D9808" i="1"/>
  <c r="E9808" i="1"/>
  <c r="C9809" i="1"/>
  <c r="D9809" i="1"/>
  <c r="E9809" i="1"/>
  <c r="C9810" i="1"/>
  <c r="D9810" i="1"/>
  <c r="E9810" i="1"/>
  <c r="C9811" i="1"/>
  <c r="D9811" i="1"/>
  <c r="E9811" i="1"/>
  <c r="C9812" i="1"/>
  <c r="D9812" i="1"/>
  <c r="E9812" i="1"/>
  <c r="C9813" i="1"/>
  <c r="D9813" i="1"/>
  <c r="E9813" i="1"/>
  <c r="C9814" i="1"/>
  <c r="D9814" i="1"/>
  <c r="E9814" i="1"/>
  <c r="C9815" i="1"/>
  <c r="D9815" i="1"/>
  <c r="E9815" i="1"/>
  <c r="C9816" i="1"/>
  <c r="D9816" i="1"/>
  <c r="E9816" i="1"/>
  <c r="C9817" i="1"/>
  <c r="D9817" i="1"/>
  <c r="E9817" i="1"/>
  <c r="C9818" i="1"/>
  <c r="D9818" i="1"/>
  <c r="E9818" i="1"/>
  <c r="C9819" i="1"/>
  <c r="D9819" i="1"/>
  <c r="E9819" i="1"/>
  <c r="C9820" i="1"/>
  <c r="D9820" i="1"/>
  <c r="E9820" i="1"/>
  <c r="C9821" i="1"/>
  <c r="D9821" i="1"/>
  <c r="E9821" i="1"/>
  <c r="C9822" i="1"/>
  <c r="D9822" i="1"/>
  <c r="E9822" i="1"/>
  <c r="C9823" i="1"/>
  <c r="D9823" i="1"/>
  <c r="E9823" i="1"/>
  <c r="C9824" i="1"/>
  <c r="D9824" i="1"/>
  <c r="E9824" i="1"/>
  <c r="C9825" i="1"/>
  <c r="D9825" i="1"/>
  <c r="E9825" i="1"/>
  <c r="C9826" i="1"/>
  <c r="D9826" i="1"/>
  <c r="E9826" i="1"/>
  <c r="C9827" i="1"/>
  <c r="D9827" i="1"/>
  <c r="E9827" i="1"/>
  <c r="C9828" i="1"/>
  <c r="D9828" i="1"/>
  <c r="E9828" i="1"/>
  <c r="C9829" i="1"/>
  <c r="D9829" i="1"/>
  <c r="E9829" i="1"/>
  <c r="C9830" i="1"/>
  <c r="D9830" i="1"/>
  <c r="E9830" i="1"/>
  <c r="C9831" i="1"/>
  <c r="D9831" i="1"/>
  <c r="E9831" i="1"/>
  <c r="C9832" i="1"/>
  <c r="D9832" i="1"/>
  <c r="E9832" i="1"/>
  <c r="C9833" i="1"/>
  <c r="D9833" i="1"/>
  <c r="E9833" i="1"/>
  <c r="C9834" i="1"/>
  <c r="D9834" i="1"/>
  <c r="E9834" i="1"/>
  <c r="C9835" i="1"/>
  <c r="D9835" i="1"/>
  <c r="E9835" i="1"/>
  <c r="C9836" i="1"/>
  <c r="D9836" i="1"/>
  <c r="E9836" i="1"/>
  <c r="C9837" i="1"/>
  <c r="D9837" i="1"/>
  <c r="E9837" i="1"/>
  <c r="C9838" i="1"/>
  <c r="D9838" i="1"/>
  <c r="E9838" i="1"/>
  <c r="C9839" i="1"/>
  <c r="D9839" i="1"/>
  <c r="E9839" i="1"/>
  <c r="C9840" i="1"/>
  <c r="D9840" i="1"/>
  <c r="E9840" i="1"/>
  <c r="C9841" i="1"/>
  <c r="D9841" i="1"/>
  <c r="E9841" i="1"/>
  <c r="C9842" i="1"/>
  <c r="D9842" i="1"/>
  <c r="E9842" i="1"/>
  <c r="C9843" i="1"/>
  <c r="D9843" i="1"/>
  <c r="E9843" i="1"/>
  <c r="C9844" i="1"/>
  <c r="D9844" i="1"/>
  <c r="E9844" i="1"/>
  <c r="C9845" i="1"/>
  <c r="D9845" i="1"/>
  <c r="E9845" i="1"/>
  <c r="C9846" i="1"/>
  <c r="D9846" i="1"/>
  <c r="E9846" i="1"/>
  <c r="C9847" i="1"/>
  <c r="D9847" i="1"/>
  <c r="E9847" i="1"/>
  <c r="C9848" i="1"/>
  <c r="D9848" i="1"/>
  <c r="E9848" i="1"/>
  <c r="C9849" i="1"/>
  <c r="D9849" i="1"/>
  <c r="E9849" i="1"/>
  <c r="C9850" i="1"/>
  <c r="D9850" i="1"/>
  <c r="E9850" i="1"/>
  <c r="C9851" i="1"/>
  <c r="D9851" i="1"/>
  <c r="E9851" i="1"/>
  <c r="C9852" i="1"/>
  <c r="D9852" i="1"/>
  <c r="E9852" i="1"/>
  <c r="C9853" i="1"/>
  <c r="D9853" i="1"/>
  <c r="E9853" i="1"/>
  <c r="C9854" i="1"/>
  <c r="D9854" i="1"/>
  <c r="E9854" i="1"/>
  <c r="C9855" i="1"/>
  <c r="D9855" i="1"/>
  <c r="E9855" i="1"/>
  <c r="C9856" i="1"/>
  <c r="D9856" i="1"/>
  <c r="E9856" i="1"/>
  <c r="C9857" i="1"/>
  <c r="D9857" i="1"/>
  <c r="E9857" i="1"/>
  <c r="C9858" i="1"/>
  <c r="D9858" i="1"/>
  <c r="E9858" i="1"/>
  <c r="C9859" i="1"/>
  <c r="D9859" i="1"/>
  <c r="E9859" i="1"/>
  <c r="C9860" i="1"/>
  <c r="D9860" i="1"/>
  <c r="E9860" i="1"/>
  <c r="C9861" i="1"/>
  <c r="D9861" i="1"/>
  <c r="E9861" i="1"/>
  <c r="C9862" i="1"/>
  <c r="D9862" i="1"/>
  <c r="E9862" i="1"/>
  <c r="C9863" i="1"/>
  <c r="D9863" i="1"/>
  <c r="E9863" i="1"/>
  <c r="C9864" i="1"/>
  <c r="D9864" i="1"/>
  <c r="E9864" i="1"/>
  <c r="C9865" i="1"/>
  <c r="D9865" i="1"/>
  <c r="E9865" i="1"/>
  <c r="C9866" i="1"/>
  <c r="D9866" i="1"/>
  <c r="E9866" i="1"/>
  <c r="C9867" i="1"/>
  <c r="D9867" i="1"/>
  <c r="E9867" i="1"/>
  <c r="C9868" i="1"/>
  <c r="D9868" i="1"/>
  <c r="E9868" i="1"/>
  <c r="C9869" i="1"/>
  <c r="D9869" i="1"/>
  <c r="E9869" i="1"/>
  <c r="C9870" i="1"/>
  <c r="D9870" i="1"/>
  <c r="E9870" i="1"/>
  <c r="C9871" i="1"/>
  <c r="D9871" i="1"/>
  <c r="E9871" i="1"/>
  <c r="C9872" i="1"/>
  <c r="D9872" i="1"/>
  <c r="E9872" i="1"/>
  <c r="C9873" i="1"/>
  <c r="D9873" i="1"/>
  <c r="E9873" i="1"/>
  <c r="C9874" i="1"/>
  <c r="D9874" i="1"/>
  <c r="E9874" i="1"/>
  <c r="C9875" i="1"/>
  <c r="D9875" i="1"/>
  <c r="E9875" i="1"/>
  <c r="C9876" i="1"/>
  <c r="D9876" i="1"/>
  <c r="E9876" i="1"/>
  <c r="C9877" i="1"/>
  <c r="D9877" i="1"/>
  <c r="E9877" i="1"/>
  <c r="C9878" i="1"/>
  <c r="D9878" i="1"/>
  <c r="E9878" i="1"/>
  <c r="C9879" i="1"/>
  <c r="D9879" i="1"/>
  <c r="E9879" i="1"/>
  <c r="C9880" i="1"/>
  <c r="D9880" i="1"/>
  <c r="E9880" i="1"/>
  <c r="C9881" i="1"/>
  <c r="D9881" i="1"/>
  <c r="E9881" i="1"/>
  <c r="C9882" i="1"/>
  <c r="D9882" i="1"/>
  <c r="E9882" i="1"/>
  <c r="C9883" i="1"/>
  <c r="D9883" i="1"/>
  <c r="E9883" i="1"/>
  <c r="C9884" i="1"/>
  <c r="D9884" i="1"/>
  <c r="E9884" i="1"/>
  <c r="C9885" i="1"/>
  <c r="D9885" i="1"/>
  <c r="E9885" i="1"/>
  <c r="C9886" i="1"/>
  <c r="D9886" i="1"/>
  <c r="E9886" i="1"/>
  <c r="C9887" i="1"/>
  <c r="D9887" i="1"/>
  <c r="E9887" i="1"/>
  <c r="C9888" i="1"/>
  <c r="D9888" i="1"/>
  <c r="E9888" i="1"/>
  <c r="C9889" i="1"/>
  <c r="D9889" i="1"/>
  <c r="E9889" i="1"/>
  <c r="C9890" i="1"/>
  <c r="D9890" i="1"/>
  <c r="E9890" i="1"/>
  <c r="C9891" i="1"/>
  <c r="D9891" i="1"/>
  <c r="E9891" i="1"/>
  <c r="C9892" i="1"/>
  <c r="D9892" i="1"/>
  <c r="E9892" i="1"/>
  <c r="C9893" i="1"/>
  <c r="D9893" i="1"/>
  <c r="E9893" i="1"/>
  <c r="C9894" i="1"/>
  <c r="D9894" i="1"/>
  <c r="E9894" i="1"/>
  <c r="C9895" i="1"/>
  <c r="D9895" i="1"/>
  <c r="E9895" i="1"/>
  <c r="C9896" i="1"/>
  <c r="D9896" i="1"/>
  <c r="E9896" i="1"/>
  <c r="C9897" i="1"/>
  <c r="D9897" i="1"/>
  <c r="E9897" i="1"/>
  <c r="C9898" i="1"/>
  <c r="D9898" i="1"/>
  <c r="E9898" i="1"/>
  <c r="C9899" i="1"/>
  <c r="D9899" i="1"/>
  <c r="E9899" i="1"/>
  <c r="C9900" i="1"/>
  <c r="D9900" i="1"/>
  <c r="E9900" i="1"/>
  <c r="C9901" i="1"/>
  <c r="D9901" i="1"/>
  <c r="E9901" i="1"/>
  <c r="C9902" i="1"/>
  <c r="D9902" i="1"/>
  <c r="E9902" i="1"/>
  <c r="C9903" i="1"/>
  <c r="D9903" i="1"/>
  <c r="E9903" i="1"/>
  <c r="C9904" i="1"/>
  <c r="D9904" i="1"/>
  <c r="E9904" i="1"/>
  <c r="C9905" i="1"/>
  <c r="D9905" i="1"/>
  <c r="E9905" i="1"/>
  <c r="C9906" i="1"/>
  <c r="D9906" i="1"/>
  <c r="E9906" i="1"/>
  <c r="C9907" i="1"/>
  <c r="D9907" i="1"/>
  <c r="E9907" i="1"/>
  <c r="C9908" i="1"/>
  <c r="D9908" i="1"/>
  <c r="E9908" i="1"/>
  <c r="C9909" i="1"/>
  <c r="D9909" i="1"/>
  <c r="E9909" i="1"/>
  <c r="C9910" i="1"/>
  <c r="D9910" i="1"/>
  <c r="E9910" i="1"/>
  <c r="C9911" i="1"/>
  <c r="D9911" i="1"/>
  <c r="E9911" i="1"/>
  <c r="C9912" i="1"/>
  <c r="D9912" i="1"/>
  <c r="E9912" i="1"/>
  <c r="C9913" i="1"/>
  <c r="D9913" i="1"/>
  <c r="E9913" i="1"/>
  <c r="C9914" i="1"/>
  <c r="D9914" i="1"/>
  <c r="E9914" i="1"/>
  <c r="C9915" i="1"/>
  <c r="D9915" i="1"/>
  <c r="E9915" i="1"/>
  <c r="C9916" i="1"/>
  <c r="D9916" i="1"/>
  <c r="E9916" i="1"/>
  <c r="C9917" i="1"/>
  <c r="D9917" i="1"/>
  <c r="E9917" i="1"/>
  <c r="C9918" i="1"/>
  <c r="D9918" i="1"/>
  <c r="E9918" i="1"/>
  <c r="C9919" i="1"/>
  <c r="D9919" i="1"/>
  <c r="E9919" i="1"/>
  <c r="C9920" i="1"/>
  <c r="D9920" i="1"/>
  <c r="E9920" i="1"/>
  <c r="C9921" i="1"/>
  <c r="D9921" i="1"/>
  <c r="E9921" i="1"/>
  <c r="C9922" i="1"/>
  <c r="D9922" i="1"/>
  <c r="E9922" i="1"/>
  <c r="C9923" i="1"/>
  <c r="D9923" i="1"/>
  <c r="E9923" i="1"/>
  <c r="C9924" i="1"/>
  <c r="D9924" i="1"/>
  <c r="E9924" i="1"/>
  <c r="C9925" i="1"/>
  <c r="D9925" i="1"/>
  <c r="E9925" i="1"/>
  <c r="C9926" i="1"/>
  <c r="D9926" i="1"/>
  <c r="E9926" i="1"/>
  <c r="C9927" i="1"/>
  <c r="D9927" i="1"/>
  <c r="E9927" i="1"/>
  <c r="C9928" i="1"/>
  <c r="D9928" i="1"/>
  <c r="E9928" i="1"/>
  <c r="C9929" i="1"/>
  <c r="D9929" i="1"/>
  <c r="E9929" i="1"/>
  <c r="C9930" i="1"/>
  <c r="D9930" i="1"/>
  <c r="E9930" i="1"/>
  <c r="C9931" i="1"/>
  <c r="D9931" i="1"/>
  <c r="E9931" i="1"/>
  <c r="C9932" i="1"/>
  <c r="D9932" i="1"/>
  <c r="E9932" i="1"/>
  <c r="C9933" i="1"/>
  <c r="D9933" i="1"/>
  <c r="E9933" i="1"/>
  <c r="C9934" i="1"/>
  <c r="D9934" i="1"/>
  <c r="E9934" i="1"/>
  <c r="C9935" i="1"/>
  <c r="D9935" i="1"/>
  <c r="E9935" i="1"/>
  <c r="C9936" i="1"/>
  <c r="D9936" i="1"/>
  <c r="E9936" i="1"/>
  <c r="C9937" i="1"/>
  <c r="D9937" i="1"/>
  <c r="E9937" i="1"/>
  <c r="C9938" i="1"/>
  <c r="D9938" i="1"/>
  <c r="E9938" i="1"/>
  <c r="C9939" i="1"/>
  <c r="D9939" i="1"/>
  <c r="E9939" i="1"/>
  <c r="C9940" i="1"/>
  <c r="D9940" i="1"/>
  <c r="E9940" i="1"/>
  <c r="C9941" i="1"/>
  <c r="D9941" i="1"/>
  <c r="E9941" i="1"/>
  <c r="C9942" i="1"/>
  <c r="D9942" i="1"/>
  <c r="E9942" i="1"/>
  <c r="C9943" i="1"/>
  <c r="D9943" i="1"/>
  <c r="E9943" i="1"/>
  <c r="C9944" i="1"/>
  <c r="D9944" i="1"/>
  <c r="E9944" i="1"/>
  <c r="C9945" i="1"/>
  <c r="D9945" i="1"/>
  <c r="E9945" i="1"/>
  <c r="C9946" i="1"/>
  <c r="D9946" i="1"/>
  <c r="E9946" i="1"/>
  <c r="C9947" i="1"/>
  <c r="D9947" i="1"/>
  <c r="E9947" i="1"/>
  <c r="C9948" i="1"/>
  <c r="D9948" i="1"/>
  <c r="E9948" i="1"/>
  <c r="C9949" i="1"/>
  <c r="D9949" i="1"/>
  <c r="E9949" i="1"/>
  <c r="C9950" i="1"/>
  <c r="D9950" i="1"/>
  <c r="E9950" i="1"/>
  <c r="C9951" i="1"/>
  <c r="D9951" i="1"/>
  <c r="E9951" i="1"/>
  <c r="C9952" i="1"/>
  <c r="D9952" i="1"/>
  <c r="E9952" i="1"/>
  <c r="C9953" i="1"/>
  <c r="D9953" i="1"/>
  <c r="E9953" i="1"/>
  <c r="C9954" i="1"/>
  <c r="D9954" i="1"/>
  <c r="E9954" i="1"/>
  <c r="C9955" i="1"/>
  <c r="D9955" i="1"/>
  <c r="E9955" i="1"/>
  <c r="C9956" i="1"/>
  <c r="D9956" i="1"/>
  <c r="E9956" i="1"/>
  <c r="C9957" i="1"/>
  <c r="D9957" i="1"/>
  <c r="E9957" i="1"/>
  <c r="C9958" i="1"/>
  <c r="D9958" i="1"/>
  <c r="E9958" i="1"/>
  <c r="C9959" i="1"/>
  <c r="D9959" i="1"/>
  <c r="E9959" i="1"/>
  <c r="C9960" i="1"/>
  <c r="D9960" i="1"/>
  <c r="E9960" i="1"/>
  <c r="C9961" i="1"/>
  <c r="D9961" i="1"/>
  <c r="E9961" i="1"/>
  <c r="C9962" i="1"/>
  <c r="D9962" i="1"/>
  <c r="E9962" i="1"/>
  <c r="C9963" i="1"/>
  <c r="D9963" i="1"/>
  <c r="E9963" i="1"/>
  <c r="C9964" i="1"/>
  <c r="D9964" i="1"/>
  <c r="E9964" i="1"/>
  <c r="C9965" i="1"/>
  <c r="D9965" i="1"/>
  <c r="E9965" i="1"/>
  <c r="C9966" i="1"/>
  <c r="D9966" i="1"/>
  <c r="E9966" i="1"/>
  <c r="C9967" i="1"/>
  <c r="D9967" i="1"/>
  <c r="E9967" i="1"/>
  <c r="C9968" i="1"/>
  <c r="D9968" i="1"/>
  <c r="E9968" i="1"/>
  <c r="C9969" i="1"/>
  <c r="D9969" i="1"/>
  <c r="E9969" i="1"/>
  <c r="C9970" i="1"/>
  <c r="D9970" i="1"/>
  <c r="E9970" i="1"/>
  <c r="C9971" i="1"/>
  <c r="D9971" i="1"/>
  <c r="E9971" i="1"/>
  <c r="C9972" i="1"/>
  <c r="D9972" i="1"/>
  <c r="E9972" i="1"/>
  <c r="C9973" i="1"/>
  <c r="D9973" i="1"/>
  <c r="E9973" i="1"/>
  <c r="C9974" i="1"/>
  <c r="D9974" i="1"/>
  <c r="E9974" i="1"/>
  <c r="C9975" i="1"/>
  <c r="D9975" i="1"/>
  <c r="E9975" i="1"/>
  <c r="C9976" i="1"/>
  <c r="D9976" i="1"/>
  <c r="E9976" i="1"/>
  <c r="C9977" i="1"/>
  <c r="D9977" i="1"/>
  <c r="E9977" i="1"/>
  <c r="C9978" i="1"/>
  <c r="D9978" i="1"/>
  <c r="E9978" i="1"/>
  <c r="C9979" i="1"/>
  <c r="D9979" i="1"/>
  <c r="E9979" i="1"/>
  <c r="C9980" i="1"/>
  <c r="D9980" i="1"/>
  <c r="E9980" i="1"/>
  <c r="C9981" i="1"/>
  <c r="D9981" i="1"/>
  <c r="E9981" i="1"/>
  <c r="C9982" i="1"/>
  <c r="D9982" i="1"/>
  <c r="E9982" i="1"/>
  <c r="C9983" i="1"/>
  <c r="D9983" i="1"/>
  <c r="E9983" i="1"/>
  <c r="C9984" i="1"/>
  <c r="D9984" i="1"/>
  <c r="E9984" i="1"/>
  <c r="C9985" i="1"/>
  <c r="D9985" i="1"/>
  <c r="E9985" i="1"/>
  <c r="C9986" i="1"/>
  <c r="D9986" i="1"/>
  <c r="E9986" i="1"/>
  <c r="C9987" i="1"/>
  <c r="D9987" i="1"/>
  <c r="E9987" i="1"/>
  <c r="C9988" i="1"/>
  <c r="D9988" i="1"/>
  <c r="E9988" i="1"/>
  <c r="C9989" i="1"/>
  <c r="D9989" i="1"/>
  <c r="E9989" i="1"/>
  <c r="C9990" i="1"/>
  <c r="D9990" i="1"/>
  <c r="E9990" i="1"/>
  <c r="C9991" i="1"/>
  <c r="D9991" i="1"/>
  <c r="E9991" i="1"/>
  <c r="C9992" i="1"/>
  <c r="D9992" i="1"/>
  <c r="E9992" i="1"/>
  <c r="C9993" i="1"/>
  <c r="D9993" i="1"/>
  <c r="E9993" i="1"/>
  <c r="C9994" i="1"/>
  <c r="D9994" i="1"/>
  <c r="E9994" i="1"/>
  <c r="C9995" i="1"/>
  <c r="D9995" i="1"/>
  <c r="E9995" i="1"/>
  <c r="C9996" i="1"/>
  <c r="D9996" i="1"/>
  <c r="E9996" i="1"/>
  <c r="C9997" i="1"/>
  <c r="D9997" i="1"/>
  <c r="E9997" i="1"/>
  <c r="C9998" i="1"/>
  <c r="D9998" i="1"/>
  <c r="E9998" i="1"/>
  <c r="C9999" i="1"/>
  <c r="D9999" i="1"/>
  <c r="E9999" i="1"/>
  <c r="C10000" i="1"/>
  <c r="D10000" i="1"/>
  <c r="E10000" i="1"/>
  <c r="C10001" i="1"/>
  <c r="D10001" i="1"/>
  <c r="E10001" i="1"/>
  <c r="C10002" i="1"/>
  <c r="D10002" i="1"/>
  <c r="E10002" i="1"/>
  <c r="C10003" i="1"/>
  <c r="D10003" i="1"/>
  <c r="E10003" i="1"/>
  <c r="C10004" i="1"/>
  <c r="D10004" i="1"/>
  <c r="E10004" i="1"/>
  <c r="C10005" i="1"/>
  <c r="D10005" i="1"/>
  <c r="E10005" i="1"/>
  <c r="C10006" i="1"/>
  <c r="D10006" i="1"/>
  <c r="E10006" i="1"/>
  <c r="C10007" i="1"/>
  <c r="D10007" i="1"/>
  <c r="E10007" i="1"/>
  <c r="C10008" i="1"/>
  <c r="D10008" i="1"/>
  <c r="E10008" i="1"/>
  <c r="C10009" i="1"/>
  <c r="D10009" i="1"/>
  <c r="E10009" i="1"/>
  <c r="C10010" i="1"/>
  <c r="D10010" i="1"/>
  <c r="E10010" i="1"/>
  <c r="C10011" i="1"/>
  <c r="D10011" i="1"/>
  <c r="E10011" i="1"/>
  <c r="C10012" i="1"/>
  <c r="D10012" i="1"/>
  <c r="E10012" i="1"/>
  <c r="C10013" i="1"/>
  <c r="D10013" i="1"/>
  <c r="E10013" i="1"/>
  <c r="C10014" i="1"/>
  <c r="D10014" i="1"/>
  <c r="E10014" i="1"/>
  <c r="C10015" i="1"/>
  <c r="D10015" i="1"/>
  <c r="E10015" i="1"/>
  <c r="C10016" i="1"/>
  <c r="D10016" i="1"/>
  <c r="E10016" i="1"/>
  <c r="C10017" i="1"/>
  <c r="D10017" i="1"/>
  <c r="E10017" i="1"/>
  <c r="C10018" i="1"/>
  <c r="D10018" i="1"/>
  <c r="E10018" i="1"/>
  <c r="C10019" i="1"/>
  <c r="D10019" i="1"/>
  <c r="E10019" i="1"/>
  <c r="C10020" i="1"/>
  <c r="D10020" i="1"/>
  <c r="E10020" i="1"/>
  <c r="C10021" i="1"/>
  <c r="D10021" i="1"/>
  <c r="E10021" i="1"/>
  <c r="C10022" i="1"/>
  <c r="D10022" i="1"/>
  <c r="E10022" i="1"/>
  <c r="C10023" i="1"/>
  <c r="D10023" i="1"/>
  <c r="E10023" i="1"/>
  <c r="C10024" i="1"/>
  <c r="D10024" i="1"/>
  <c r="E10024" i="1"/>
  <c r="C10025" i="1"/>
  <c r="D10025" i="1"/>
  <c r="E10025" i="1"/>
  <c r="C10026" i="1"/>
  <c r="D10026" i="1"/>
  <c r="E10026" i="1"/>
  <c r="C10027" i="1"/>
  <c r="D10027" i="1"/>
  <c r="E10027" i="1"/>
  <c r="C10028" i="1"/>
  <c r="D10028" i="1"/>
  <c r="E10028" i="1"/>
  <c r="C10029" i="1"/>
  <c r="D10029" i="1"/>
  <c r="E10029" i="1"/>
  <c r="C10030" i="1"/>
  <c r="D10030" i="1"/>
  <c r="E10030" i="1"/>
  <c r="C10031" i="1"/>
  <c r="D10031" i="1"/>
  <c r="E10031" i="1"/>
  <c r="C10032" i="1"/>
  <c r="D10032" i="1"/>
  <c r="E10032" i="1"/>
  <c r="C10033" i="1"/>
  <c r="D10033" i="1"/>
  <c r="E10033" i="1"/>
  <c r="C10034" i="1"/>
  <c r="D10034" i="1"/>
  <c r="E10034" i="1"/>
  <c r="C10035" i="1"/>
  <c r="D10035" i="1"/>
  <c r="E10035" i="1"/>
  <c r="C10036" i="1"/>
  <c r="D10036" i="1"/>
  <c r="E10036" i="1"/>
  <c r="C10037" i="1"/>
  <c r="D10037" i="1"/>
  <c r="E10037" i="1"/>
  <c r="C10038" i="1"/>
  <c r="D10038" i="1"/>
  <c r="E10038" i="1"/>
  <c r="C10039" i="1"/>
  <c r="D10039" i="1"/>
  <c r="E10039" i="1"/>
  <c r="C10040" i="1"/>
  <c r="D10040" i="1"/>
  <c r="E10040" i="1"/>
  <c r="C10041" i="1"/>
  <c r="D10041" i="1"/>
  <c r="E10041" i="1"/>
  <c r="C10042" i="1"/>
  <c r="D10042" i="1"/>
  <c r="E10042" i="1"/>
  <c r="C10043" i="1"/>
  <c r="D10043" i="1"/>
  <c r="E10043" i="1"/>
  <c r="C10044" i="1"/>
  <c r="D10044" i="1"/>
  <c r="E10044" i="1"/>
  <c r="C10045" i="1"/>
  <c r="D10045" i="1"/>
  <c r="E10045" i="1"/>
  <c r="C10046" i="1"/>
  <c r="D10046" i="1"/>
  <c r="E10046" i="1"/>
  <c r="C10047" i="1"/>
  <c r="D10047" i="1"/>
  <c r="E10047" i="1"/>
  <c r="C10048" i="1"/>
  <c r="D10048" i="1"/>
  <c r="E10048" i="1"/>
  <c r="C10049" i="1"/>
  <c r="D10049" i="1"/>
  <c r="E10049" i="1"/>
  <c r="C10050" i="1"/>
  <c r="D10050" i="1"/>
  <c r="E10050" i="1"/>
  <c r="C10051" i="1"/>
  <c r="D10051" i="1"/>
  <c r="E10051" i="1"/>
  <c r="C10052" i="1"/>
  <c r="D10052" i="1"/>
  <c r="E10052" i="1"/>
  <c r="C10053" i="1"/>
  <c r="D10053" i="1"/>
  <c r="E10053" i="1"/>
  <c r="C10054" i="1"/>
  <c r="D10054" i="1"/>
  <c r="E10054" i="1"/>
  <c r="C10055" i="1"/>
  <c r="D10055" i="1"/>
  <c r="E10055" i="1"/>
  <c r="C10056" i="1"/>
  <c r="D10056" i="1"/>
  <c r="E10056" i="1"/>
  <c r="C10057" i="1"/>
  <c r="D10057" i="1"/>
  <c r="E10057" i="1"/>
  <c r="C10058" i="1"/>
  <c r="D10058" i="1"/>
  <c r="E10058" i="1"/>
  <c r="C10059" i="1"/>
  <c r="D10059" i="1"/>
  <c r="E10059" i="1"/>
  <c r="C10060" i="1"/>
  <c r="D10060" i="1"/>
  <c r="E10060" i="1"/>
  <c r="C10061" i="1"/>
  <c r="D10061" i="1"/>
  <c r="E10061" i="1"/>
  <c r="C10062" i="1"/>
  <c r="D10062" i="1"/>
  <c r="E10062" i="1"/>
  <c r="C10063" i="1"/>
  <c r="D10063" i="1"/>
  <c r="E10063" i="1"/>
  <c r="C10064" i="1"/>
  <c r="D10064" i="1"/>
  <c r="E10064" i="1"/>
  <c r="C10065" i="1"/>
  <c r="D10065" i="1"/>
  <c r="E10065" i="1"/>
  <c r="C10066" i="1"/>
  <c r="D10066" i="1"/>
  <c r="E10066" i="1"/>
  <c r="C10067" i="1"/>
  <c r="D10067" i="1"/>
  <c r="E10067" i="1"/>
  <c r="C10068" i="1"/>
  <c r="D10068" i="1"/>
  <c r="E10068" i="1"/>
  <c r="C10069" i="1"/>
  <c r="D10069" i="1"/>
  <c r="E10069" i="1"/>
  <c r="C10070" i="1"/>
  <c r="D10070" i="1"/>
  <c r="E10070" i="1"/>
  <c r="C10071" i="1"/>
  <c r="D10071" i="1"/>
  <c r="E10071" i="1"/>
  <c r="C10072" i="1"/>
  <c r="D10072" i="1"/>
  <c r="E10072" i="1"/>
  <c r="C10073" i="1"/>
  <c r="D10073" i="1"/>
  <c r="E10073" i="1"/>
  <c r="C10074" i="1"/>
  <c r="D10074" i="1"/>
  <c r="E10074" i="1"/>
  <c r="C10075" i="1"/>
  <c r="D10075" i="1"/>
  <c r="E10075" i="1"/>
  <c r="C10076" i="1"/>
  <c r="D10076" i="1"/>
  <c r="E10076" i="1"/>
  <c r="C10077" i="1"/>
  <c r="D10077" i="1"/>
  <c r="E10077" i="1"/>
  <c r="C10078" i="1"/>
  <c r="D10078" i="1"/>
  <c r="E10078" i="1"/>
  <c r="C10079" i="1"/>
  <c r="D10079" i="1"/>
  <c r="E10079" i="1"/>
  <c r="C10080" i="1"/>
  <c r="D10080" i="1"/>
  <c r="E10080" i="1"/>
  <c r="C10081" i="1"/>
  <c r="D10081" i="1"/>
  <c r="E10081" i="1"/>
  <c r="C10082" i="1"/>
  <c r="D10082" i="1"/>
  <c r="E10082" i="1"/>
  <c r="C10083" i="1"/>
  <c r="D10083" i="1"/>
  <c r="E10083" i="1"/>
  <c r="C10084" i="1"/>
  <c r="D10084" i="1"/>
  <c r="E10084" i="1"/>
  <c r="C10085" i="1"/>
  <c r="D10085" i="1"/>
  <c r="E10085" i="1"/>
  <c r="C10086" i="1"/>
  <c r="D10086" i="1"/>
  <c r="E10086" i="1"/>
  <c r="C10087" i="1"/>
  <c r="D10087" i="1"/>
  <c r="E10087" i="1"/>
  <c r="C10088" i="1"/>
  <c r="D10088" i="1"/>
  <c r="E10088" i="1"/>
  <c r="C10089" i="1"/>
  <c r="D10089" i="1"/>
  <c r="E10089" i="1"/>
  <c r="C10090" i="1"/>
  <c r="D10090" i="1"/>
  <c r="E10090" i="1"/>
  <c r="C10091" i="1"/>
  <c r="D10091" i="1"/>
  <c r="E10091" i="1"/>
  <c r="C10092" i="1"/>
  <c r="D10092" i="1"/>
  <c r="E10092" i="1"/>
  <c r="C10093" i="1"/>
  <c r="D10093" i="1"/>
  <c r="E10093" i="1"/>
  <c r="C10094" i="1"/>
  <c r="D10094" i="1"/>
  <c r="E10094" i="1"/>
  <c r="C10095" i="1"/>
  <c r="D10095" i="1"/>
  <c r="E10095" i="1"/>
  <c r="C10096" i="1"/>
  <c r="D10096" i="1"/>
  <c r="E10096" i="1"/>
  <c r="C10097" i="1"/>
  <c r="D10097" i="1"/>
  <c r="E10097" i="1"/>
  <c r="C10098" i="1"/>
  <c r="D10098" i="1"/>
  <c r="E10098" i="1"/>
  <c r="C10099" i="1"/>
  <c r="D10099" i="1"/>
  <c r="E10099" i="1"/>
  <c r="C10100" i="1"/>
  <c r="D10100" i="1"/>
  <c r="E10100" i="1"/>
  <c r="C10101" i="1"/>
  <c r="D10101" i="1"/>
  <c r="E10101" i="1"/>
  <c r="C10102" i="1"/>
  <c r="D10102" i="1"/>
  <c r="E10102" i="1"/>
  <c r="C10103" i="1"/>
  <c r="D10103" i="1"/>
  <c r="E10103" i="1"/>
  <c r="C10104" i="1"/>
  <c r="D10104" i="1"/>
  <c r="E10104" i="1"/>
  <c r="C10105" i="1"/>
  <c r="D10105" i="1"/>
  <c r="E10105" i="1"/>
  <c r="C10106" i="1"/>
  <c r="D10106" i="1"/>
  <c r="E10106" i="1"/>
  <c r="C10107" i="1"/>
  <c r="D10107" i="1"/>
  <c r="E10107" i="1"/>
  <c r="C10108" i="1"/>
  <c r="D10108" i="1"/>
  <c r="E10108" i="1"/>
  <c r="C10109" i="1"/>
  <c r="D10109" i="1"/>
  <c r="E10109" i="1"/>
  <c r="C10110" i="1"/>
  <c r="D10110" i="1"/>
  <c r="E10110" i="1"/>
  <c r="C10111" i="1"/>
  <c r="D10111" i="1"/>
  <c r="E10111" i="1"/>
  <c r="C10112" i="1"/>
  <c r="D10112" i="1"/>
  <c r="E10112" i="1"/>
  <c r="C10113" i="1"/>
  <c r="D10113" i="1"/>
  <c r="E10113" i="1"/>
  <c r="C10114" i="1"/>
  <c r="D10114" i="1"/>
  <c r="E10114" i="1"/>
  <c r="C10115" i="1"/>
  <c r="D10115" i="1"/>
  <c r="E10115" i="1"/>
  <c r="C10116" i="1"/>
  <c r="D10116" i="1"/>
  <c r="E10116" i="1"/>
  <c r="C10117" i="1"/>
  <c r="D10117" i="1"/>
  <c r="E10117" i="1"/>
  <c r="C10118" i="1"/>
  <c r="D10118" i="1"/>
  <c r="E10118" i="1"/>
  <c r="C10119" i="1"/>
  <c r="D10119" i="1"/>
  <c r="E10119" i="1"/>
  <c r="C10120" i="1"/>
  <c r="D10120" i="1"/>
  <c r="E10120" i="1"/>
  <c r="C10121" i="1"/>
  <c r="D10121" i="1"/>
  <c r="E10121" i="1"/>
  <c r="C10122" i="1"/>
  <c r="D10122" i="1"/>
  <c r="E10122" i="1"/>
  <c r="C10123" i="1"/>
  <c r="D10123" i="1"/>
  <c r="E10123" i="1"/>
  <c r="C10124" i="1"/>
  <c r="D10124" i="1"/>
  <c r="E10124" i="1"/>
  <c r="C10125" i="1"/>
  <c r="D10125" i="1"/>
  <c r="E10125" i="1"/>
  <c r="C10126" i="1"/>
  <c r="D10126" i="1"/>
  <c r="E10126" i="1"/>
  <c r="C10127" i="1"/>
  <c r="D10127" i="1"/>
  <c r="E10127" i="1"/>
  <c r="C10128" i="1"/>
  <c r="D10128" i="1"/>
  <c r="E10128" i="1"/>
  <c r="C10129" i="1"/>
  <c r="D10129" i="1"/>
  <c r="E10129" i="1"/>
  <c r="C10130" i="1"/>
  <c r="D10130" i="1"/>
  <c r="E10130" i="1"/>
  <c r="C10131" i="1"/>
  <c r="D10131" i="1"/>
  <c r="E10131" i="1"/>
  <c r="C10132" i="1"/>
  <c r="D10132" i="1"/>
  <c r="E10132" i="1"/>
  <c r="C10133" i="1"/>
  <c r="D10133" i="1"/>
  <c r="E10133" i="1"/>
  <c r="C10134" i="1"/>
  <c r="D10134" i="1"/>
  <c r="E10134" i="1"/>
  <c r="C10135" i="1"/>
  <c r="D10135" i="1"/>
  <c r="E10135" i="1"/>
  <c r="C10136" i="1"/>
  <c r="D10136" i="1"/>
  <c r="E10136" i="1"/>
  <c r="C10137" i="1"/>
  <c r="D10137" i="1"/>
  <c r="E10137" i="1"/>
  <c r="C10138" i="1"/>
  <c r="D10138" i="1"/>
  <c r="E10138" i="1"/>
  <c r="C10139" i="1"/>
  <c r="D10139" i="1"/>
  <c r="E10139" i="1"/>
  <c r="C10140" i="1"/>
  <c r="D10140" i="1"/>
  <c r="E10140" i="1"/>
  <c r="C10141" i="1"/>
  <c r="D10141" i="1"/>
  <c r="E10141" i="1"/>
  <c r="C10142" i="1"/>
  <c r="D10142" i="1"/>
  <c r="E10142" i="1"/>
  <c r="C10143" i="1"/>
  <c r="D10143" i="1"/>
  <c r="E10143" i="1"/>
  <c r="C10144" i="1"/>
  <c r="D10144" i="1"/>
  <c r="E10144" i="1"/>
  <c r="C10145" i="1"/>
  <c r="D10145" i="1"/>
  <c r="E10145" i="1"/>
  <c r="C10146" i="1"/>
  <c r="D10146" i="1"/>
  <c r="E10146" i="1"/>
  <c r="C10147" i="1"/>
  <c r="D10147" i="1"/>
  <c r="E10147" i="1"/>
  <c r="C10148" i="1"/>
  <c r="D10148" i="1"/>
  <c r="E10148" i="1"/>
  <c r="C10149" i="1"/>
  <c r="D10149" i="1"/>
  <c r="E10149" i="1"/>
  <c r="C10150" i="1"/>
  <c r="D10150" i="1"/>
  <c r="E10150" i="1"/>
  <c r="C10151" i="1"/>
  <c r="D10151" i="1"/>
  <c r="E10151" i="1"/>
  <c r="C10152" i="1"/>
  <c r="D10152" i="1"/>
  <c r="E10152" i="1"/>
  <c r="C10153" i="1"/>
  <c r="D10153" i="1"/>
  <c r="E10153" i="1"/>
  <c r="C10154" i="1"/>
  <c r="D10154" i="1"/>
  <c r="E10154" i="1"/>
  <c r="C10155" i="1"/>
  <c r="D10155" i="1"/>
  <c r="E10155" i="1"/>
  <c r="C10156" i="1"/>
  <c r="D10156" i="1"/>
  <c r="E10156" i="1"/>
  <c r="C10157" i="1"/>
  <c r="D10157" i="1"/>
  <c r="E10157" i="1"/>
  <c r="C10158" i="1"/>
  <c r="D10158" i="1"/>
  <c r="E10158" i="1"/>
  <c r="C10159" i="1"/>
  <c r="D10159" i="1"/>
  <c r="E10159" i="1"/>
  <c r="C10160" i="1"/>
  <c r="D10160" i="1"/>
  <c r="E10160" i="1"/>
  <c r="C10161" i="1"/>
  <c r="D10161" i="1"/>
  <c r="E10161" i="1"/>
  <c r="C10162" i="1"/>
  <c r="D10162" i="1"/>
  <c r="E10162" i="1"/>
  <c r="C10163" i="1"/>
  <c r="D10163" i="1"/>
  <c r="E10163" i="1"/>
  <c r="C10164" i="1"/>
  <c r="D10164" i="1"/>
  <c r="E10164" i="1"/>
  <c r="C10165" i="1"/>
  <c r="D10165" i="1"/>
  <c r="E10165" i="1"/>
  <c r="C10166" i="1"/>
  <c r="D10166" i="1"/>
  <c r="E10166" i="1"/>
  <c r="C10167" i="1"/>
  <c r="D10167" i="1"/>
  <c r="E10167" i="1"/>
  <c r="C10168" i="1"/>
  <c r="D10168" i="1"/>
  <c r="E10168" i="1"/>
  <c r="C10169" i="1"/>
  <c r="D10169" i="1"/>
  <c r="E10169" i="1"/>
  <c r="C10170" i="1"/>
  <c r="D10170" i="1"/>
  <c r="E10170" i="1"/>
  <c r="C10171" i="1"/>
  <c r="D10171" i="1"/>
  <c r="E10171" i="1"/>
  <c r="C10172" i="1"/>
  <c r="D10172" i="1"/>
  <c r="E10172" i="1"/>
  <c r="C10173" i="1"/>
  <c r="D10173" i="1"/>
  <c r="E10173" i="1"/>
  <c r="C10174" i="1"/>
  <c r="D10174" i="1"/>
  <c r="E10174" i="1"/>
  <c r="C10175" i="1"/>
  <c r="D10175" i="1"/>
  <c r="E10175" i="1"/>
  <c r="C10176" i="1"/>
  <c r="D10176" i="1"/>
  <c r="E10176" i="1"/>
  <c r="C10177" i="1"/>
  <c r="D10177" i="1"/>
  <c r="E10177" i="1"/>
  <c r="C10178" i="1"/>
  <c r="D10178" i="1"/>
  <c r="E10178" i="1"/>
  <c r="C10179" i="1"/>
  <c r="D10179" i="1"/>
  <c r="E10179" i="1"/>
  <c r="C10180" i="1"/>
  <c r="D10180" i="1"/>
  <c r="E10180" i="1"/>
  <c r="C10181" i="1"/>
  <c r="D10181" i="1"/>
  <c r="E10181" i="1"/>
  <c r="C10182" i="1"/>
  <c r="D10182" i="1"/>
  <c r="E10182" i="1"/>
  <c r="C10183" i="1"/>
  <c r="D10183" i="1"/>
  <c r="E10183" i="1"/>
  <c r="C10184" i="1"/>
  <c r="D10184" i="1"/>
  <c r="E10184" i="1"/>
  <c r="C10185" i="1"/>
  <c r="D10185" i="1"/>
  <c r="E10185" i="1"/>
  <c r="C10186" i="1"/>
  <c r="D10186" i="1"/>
  <c r="E10186" i="1"/>
  <c r="C10187" i="1"/>
  <c r="D10187" i="1"/>
  <c r="E10187" i="1"/>
  <c r="C10188" i="1"/>
  <c r="D10188" i="1"/>
  <c r="E10188" i="1"/>
  <c r="C10189" i="1"/>
  <c r="D10189" i="1"/>
  <c r="E10189" i="1"/>
  <c r="C10190" i="1"/>
  <c r="D10190" i="1"/>
  <c r="E10190" i="1"/>
  <c r="C10191" i="1"/>
  <c r="D10191" i="1"/>
  <c r="E10191" i="1"/>
  <c r="C10192" i="1"/>
  <c r="D10192" i="1"/>
  <c r="E10192" i="1"/>
  <c r="C10193" i="1"/>
  <c r="D10193" i="1"/>
  <c r="E10193" i="1"/>
  <c r="C10194" i="1"/>
  <c r="D10194" i="1"/>
  <c r="E10194" i="1"/>
  <c r="C10195" i="1"/>
  <c r="D10195" i="1"/>
  <c r="E10195" i="1"/>
  <c r="C10196" i="1"/>
  <c r="D10196" i="1"/>
  <c r="E10196" i="1"/>
  <c r="C10197" i="1"/>
  <c r="D10197" i="1"/>
  <c r="E10197" i="1"/>
  <c r="C10198" i="1"/>
  <c r="D10198" i="1"/>
  <c r="E10198" i="1"/>
  <c r="C10199" i="1"/>
  <c r="D10199" i="1"/>
  <c r="E10199" i="1"/>
  <c r="C10200" i="1"/>
  <c r="D10200" i="1"/>
  <c r="E10200" i="1"/>
  <c r="C10201" i="1"/>
  <c r="D10201" i="1"/>
  <c r="E10201" i="1"/>
  <c r="C10202" i="1"/>
  <c r="D10202" i="1"/>
  <c r="E10202" i="1"/>
  <c r="C10203" i="1"/>
  <c r="D10203" i="1"/>
  <c r="E10203" i="1"/>
  <c r="C10204" i="1"/>
  <c r="D10204" i="1"/>
  <c r="E10204" i="1"/>
  <c r="C10205" i="1"/>
  <c r="D10205" i="1"/>
  <c r="E10205" i="1"/>
  <c r="C10206" i="1"/>
  <c r="D10206" i="1"/>
  <c r="E10206" i="1"/>
  <c r="C10207" i="1"/>
  <c r="D10207" i="1"/>
  <c r="E10207" i="1"/>
  <c r="C10208" i="1"/>
  <c r="D10208" i="1"/>
  <c r="E10208" i="1"/>
  <c r="C10209" i="1"/>
  <c r="D10209" i="1"/>
  <c r="E10209" i="1"/>
  <c r="C10210" i="1"/>
  <c r="D10210" i="1"/>
  <c r="E10210" i="1"/>
  <c r="C10211" i="1"/>
  <c r="D10211" i="1"/>
  <c r="E10211" i="1"/>
  <c r="C10212" i="1"/>
  <c r="D10212" i="1"/>
  <c r="E10212" i="1"/>
  <c r="C10213" i="1"/>
  <c r="D10213" i="1"/>
  <c r="E10213" i="1"/>
  <c r="C10214" i="1"/>
  <c r="D10214" i="1"/>
  <c r="E10214" i="1"/>
  <c r="C10215" i="1"/>
  <c r="D10215" i="1"/>
  <c r="E10215" i="1"/>
  <c r="C10216" i="1"/>
  <c r="D10216" i="1"/>
  <c r="E10216" i="1"/>
  <c r="C10217" i="1"/>
  <c r="D10217" i="1"/>
  <c r="E10217" i="1"/>
  <c r="C10218" i="1"/>
  <c r="D10218" i="1"/>
  <c r="E10218" i="1"/>
  <c r="C10219" i="1"/>
  <c r="D10219" i="1"/>
  <c r="E10219" i="1"/>
  <c r="C10220" i="1"/>
  <c r="D10220" i="1"/>
  <c r="E10220" i="1"/>
  <c r="C10221" i="1"/>
  <c r="D10221" i="1"/>
  <c r="E10221" i="1"/>
  <c r="C10222" i="1"/>
  <c r="D10222" i="1"/>
  <c r="E10222" i="1"/>
  <c r="C10223" i="1"/>
  <c r="D10223" i="1"/>
  <c r="E10223" i="1"/>
  <c r="C10224" i="1"/>
  <c r="D10224" i="1"/>
  <c r="E10224" i="1"/>
  <c r="C10225" i="1"/>
  <c r="D10225" i="1"/>
  <c r="E10225" i="1"/>
  <c r="C10226" i="1"/>
  <c r="D10226" i="1"/>
  <c r="E10226" i="1"/>
  <c r="C10227" i="1"/>
  <c r="D10227" i="1"/>
  <c r="E10227" i="1"/>
  <c r="C10228" i="1"/>
  <c r="D10228" i="1"/>
  <c r="E10228" i="1"/>
  <c r="C10229" i="1"/>
  <c r="D10229" i="1"/>
  <c r="E10229" i="1"/>
  <c r="C10230" i="1"/>
  <c r="D10230" i="1"/>
  <c r="E10230" i="1"/>
  <c r="C10231" i="1"/>
  <c r="D10231" i="1"/>
  <c r="E10231" i="1"/>
  <c r="C10232" i="1"/>
  <c r="D10232" i="1"/>
  <c r="E10232" i="1"/>
  <c r="C10233" i="1"/>
  <c r="D10233" i="1"/>
  <c r="E10233" i="1"/>
  <c r="C10234" i="1"/>
  <c r="D10234" i="1"/>
  <c r="E10234" i="1"/>
  <c r="C10235" i="1"/>
  <c r="D10235" i="1"/>
  <c r="E10235" i="1"/>
  <c r="C10236" i="1"/>
  <c r="D10236" i="1"/>
  <c r="E10236" i="1"/>
  <c r="C10237" i="1"/>
  <c r="D10237" i="1"/>
  <c r="E10237" i="1"/>
  <c r="C10238" i="1"/>
  <c r="D10238" i="1"/>
  <c r="E10238" i="1"/>
  <c r="C10239" i="1"/>
  <c r="D10239" i="1"/>
  <c r="E10239" i="1"/>
  <c r="C10240" i="1"/>
  <c r="D10240" i="1"/>
  <c r="E10240" i="1"/>
  <c r="C10241" i="1"/>
  <c r="D10241" i="1"/>
  <c r="E10241" i="1"/>
  <c r="C10242" i="1"/>
  <c r="D10242" i="1"/>
  <c r="E10242" i="1"/>
  <c r="C10243" i="1"/>
  <c r="D10243" i="1"/>
  <c r="E10243" i="1"/>
  <c r="C10244" i="1"/>
  <c r="D10244" i="1"/>
  <c r="E10244" i="1"/>
  <c r="C10245" i="1"/>
  <c r="D10245" i="1"/>
  <c r="E10245" i="1"/>
  <c r="C10246" i="1"/>
  <c r="D10246" i="1"/>
  <c r="E10246" i="1"/>
  <c r="C10247" i="1"/>
  <c r="D10247" i="1"/>
  <c r="E10247" i="1"/>
  <c r="C10248" i="1"/>
  <c r="D10248" i="1"/>
  <c r="E10248" i="1"/>
  <c r="C10249" i="1"/>
  <c r="D10249" i="1"/>
  <c r="E10249" i="1"/>
  <c r="C10250" i="1"/>
  <c r="D10250" i="1"/>
  <c r="E10250" i="1"/>
  <c r="C10251" i="1"/>
  <c r="D10251" i="1"/>
  <c r="E10251" i="1"/>
  <c r="C10252" i="1"/>
  <c r="D10252" i="1"/>
  <c r="E10252" i="1"/>
  <c r="C10253" i="1"/>
  <c r="D10253" i="1"/>
  <c r="E10253" i="1"/>
  <c r="C10254" i="1"/>
  <c r="D10254" i="1"/>
  <c r="E10254" i="1"/>
  <c r="C10255" i="1"/>
  <c r="D10255" i="1"/>
  <c r="E10255" i="1"/>
  <c r="C10256" i="1"/>
  <c r="D10256" i="1"/>
  <c r="E10256" i="1"/>
  <c r="C10257" i="1"/>
  <c r="D10257" i="1"/>
  <c r="E10257" i="1"/>
  <c r="C10258" i="1"/>
  <c r="D10258" i="1"/>
  <c r="E10258" i="1"/>
  <c r="C10259" i="1"/>
  <c r="D10259" i="1"/>
  <c r="E10259" i="1"/>
  <c r="C10260" i="1"/>
  <c r="D10260" i="1"/>
  <c r="E10260" i="1"/>
  <c r="C10261" i="1"/>
  <c r="D10261" i="1"/>
  <c r="E10261" i="1"/>
  <c r="C10262" i="1"/>
  <c r="D10262" i="1"/>
  <c r="E10262" i="1"/>
  <c r="C10263" i="1"/>
  <c r="D10263" i="1"/>
  <c r="E10263" i="1"/>
  <c r="C10264" i="1"/>
  <c r="D10264" i="1"/>
  <c r="E10264" i="1"/>
  <c r="C10265" i="1"/>
  <c r="D10265" i="1"/>
  <c r="E10265" i="1"/>
  <c r="C10266" i="1"/>
  <c r="D10266" i="1"/>
  <c r="E10266" i="1"/>
  <c r="C10267" i="1"/>
  <c r="D10267" i="1"/>
  <c r="E10267" i="1"/>
  <c r="C10268" i="1"/>
  <c r="D10268" i="1"/>
  <c r="E10268" i="1"/>
  <c r="C10269" i="1"/>
  <c r="D10269" i="1"/>
  <c r="E10269" i="1"/>
  <c r="C10270" i="1"/>
  <c r="D10270" i="1"/>
  <c r="E10270" i="1"/>
  <c r="C10271" i="1"/>
  <c r="D10271" i="1"/>
  <c r="E10271" i="1"/>
  <c r="C10272" i="1"/>
  <c r="D10272" i="1"/>
  <c r="E10272" i="1"/>
  <c r="C10273" i="1"/>
  <c r="D10273" i="1"/>
  <c r="E10273" i="1"/>
  <c r="C10274" i="1"/>
  <c r="D10274" i="1"/>
  <c r="E10274" i="1"/>
  <c r="C10275" i="1"/>
  <c r="D10275" i="1"/>
  <c r="E10275" i="1"/>
  <c r="C10276" i="1"/>
  <c r="D10276" i="1"/>
  <c r="E10276" i="1"/>
  <c r="C10277" i="1"/>
  <c r="D10277" i="1"/>
  <c r="E10277" i="1"/>
  <c r="C10278" i="1"/>
  <c r="D10278" i="1"/>
  <c r="E10278" i="1"/>
  <c r="C10279" i="1"/>
  <c r="D10279" i="1"/>
  <c r="E10279" i="1"/>
  <c r="C10280" i="1"/>
  <c r="D10280" i="1"/>
  <c r="E10280" i="1"/>
  <c r="C10281" i="1"/>
  <c r="D10281" i="1"/>
  <c r="E10281" i="1"/>
  <c r="C10282" i="1"/>
  <c r="D10282" i="1"/>
  <c r="E10282" i="1"/>
  <c r="C10283" i="1"/>
  <c r="D10283" i="1"/>
  <c r="E10283" i="1"/>
  <c r="C10284" i="1"/>
  <c r="D10284" i="1"/>
  <c r="E10284" i="1"/>
  <c r="C10285" i="1"/>
  <c r="D10285" i="1"/>
  <c r="E10285" i="1"/>
  <c r="C10286" i="1"/>
  <c r="D10286" i="1"/>
  <c r="E10286" i="1"/>
  <c r="C10287" i="1"/>
  <c r="D10287" i="1"/>
  <c r="E10287" i="1"/>
  <c r="C10288" i="1"/>
  <c r="D10288" i="1"/>
  <c r="E10288" i="1"/>
  <c r="C10289" i="1"/>
  <c r="D10289" i="1"/>
  <c r="E10289" i="1"/>
  <c r="C10290" i="1"/>
  <c r="D10290" i="1"/>
  <c r="E10290" i="1"/>
  <c r="C10291" i="1"/>
  <c r="D10291" i="1"/>
  <c r="E10291" i="1"/>
  <c r="C10292" i="1"/>
  <c r="D10292" i="1"/>
  <c r="E10292" i="1"/>
  <c r="C10293" i="1"/>
  <c r="D10293" i="1"/>
  <c r="E10293" i="1"/>
  <c r="C10294" i="1"/>
  <c r="D10294" i="1"/>
  <c r="E10294" i="1"/>
  <c r="C10295" i="1"/>
  <c r="D10295" i="1"/>
  <c r="E10295" i="1"/>
  <c r="C10296" i="1"/>
  <c r="D10296" i="1"/>
  <c r="E10296" i="1"/>
  <c r="C10297" i="1"/>
  <c r="D10297" i="1"/>
  <c r="E10297" i="1"/>
  <c r="C10298" i="1"/>
  <c r="D10298" i="1"/>
  <c r="E10298" i="1"/>
  <c r="C10299" i="1"/>
  <c r="D10299" i="1"/>
  <c r="E10299" i="1"/>
  <c r="C10300" i="1"/>
  <c r="D10300" i="1"/>
  <c r="E10300" i="1"/>
  <c r="C10301" i="1"/>
  <c r="D10301" i="1"/>
  <c r="E10301" i="1"/>
  <c r="C10302" i="1"/>
  <c r="D10302" i="1"/>
  <c r="E10302" i="1"/>
  <c r="C10303" i="1"/>
  <c r="D10303" i="1"/>
  <c r="E10303" i="1"/>
  <c r="C10304" i="1"/>
  <c r="D10304" i="1"/>
  <c r="E10304" i="1"/>
  <c r="C10305" i="1"/>
  <c r="D10305" i="1"/>
  <c r="E10305" i="1"/>
  <c r="C10306" i="1"/>
  <c r="D10306" i="1"/>
  <c r="E10306" i="1"/>
  <c r="C10307" i="1"/>
  <c r="D10307" i="1"/>
  <c r="E10307" i="1"/>
  <c r="C10308" i="1"/>
  <c r="D10308" i="1"/>
  <c r="E10308" i="1"/>
  <c r="C10309" i="1"/>
  <c r="D10309" i="1"/>
  <c r="E10309" i="1"/>
  <c r="C10310" i="1"/>
  <c r="D10310" i="1"/>
  <c r="E10310" i="1"/>
  <c r="C10311" i="1"/>
  <c r="D10311" i="1"/>
  <c r="E10311" i="1"/>
  <c r="C10312" i="1"/>
  <c r="D10312" i="1"/>
  <c r="E10312" i="1"/>
  <c r="C10313" i="1"/>
  <c r="D10313" i="1"/>
  <c r="E10313" i="1"/>
  <c r="C10314" i="1"/>
  <c r="D10314" i="1"/>
  <c r="E10314" i="1"/>
  <c r="C10315" i="1"/>
  <c r="D10315" i="1"/>
  <c r="E10315" i="1"/>
  <c r="C10316" i="1"/>
  <c r="D10316" i="1"/>
  <c r="E10316" i="1"/>
  <c r="C10317" i="1"/>
  <c r="D10317" i="1"/>
  <c r="E10317" i="1"/>
  <c r="C10318" i="1"/>
  <c r="D10318" i="1"/>
  <c r="E10318" i="1"/>
  <c r="C10319" i="1"/>
  <c r="D10319" i="1"/>
  <c r="E10319" i="1"/>
  <c r="C10320" i="1"/>
  <c r="D10320" i="1"/>
  <c r="E10320" i="1"/>
  <c r="C10321" i="1"/>
  <c r="D10321" i="1"/>
  <c r="E10321" i="1"/>
  <c r="C10322" i="1"/>
  <c r="D10322" i="1"/>
  <c r="E10322" i="1"/>
  <c r="C10323" i="1"/>
  <c r="D10323" i="1"/>
  <c r="E10323" i="1"/>
  <c r="C10324" i="1"/>
  <c r="D10324" i="1"/>
  <c r="E10324" i="1"/>
  <c r="C10325" i="1"/>
  <c r="D10325" i="1"/>
  <c r="E10325" i="1"/>
  <c r="C10326" i="1"/>
  <c r="D10326" i="1"/>
  <c r="E10326" i="1"/>
  <c r="C10327" i="1"/>
  <c r="D10327" i="1"/>
  <c r="E10327" i="1"/>
  <c r="C10328" i="1"/>
  <c r="D10328" i="1"/>
  <c r="E10328" i="1"/>
  <c r="C10329" i="1"/>
  <c r="D10329" i="1"/>
  <c r="E10329" i="1"/>
  <c r="C10330" i="1"/>
  <c r="D10330" i="1"/>
  <c r="E10330" i="1"/>
  <c r="C10331" i="1"/>
  <c r="D10331" i="1"/>
  <c r="E10331" i="1"/>
  <c r="C10332" i="1"/>
  <c r="D10332" i="1"/>
  <c r="E10332" i="1"/>
  <c r="C10333" i="1"/>
  <c r="D10333" i="1"/>
  <c r="E10333" i="1"/>
  <c r="C10334" i="1"/>
  <c r="D10334" i="1"/>
  <c r="E10334" i="1"/>
  <c r="C10335" i="1"/>
  <c r="D10335" i="1"/>
  <c r="E10335" i="1"/>
  <c r="C10336" i="1"/>
  <c r="D10336" i="1"/>
  <c r="E10336" i="1"/>
  <c r="C10337" i="1"/>
  <c r="D10337" i="1"/>
  <c r="E10337" i="1"/>
  <c r="C10338" i="1"/>
  <c r="D10338" i="1"/>
  <c r="E10338" i="1"/>
  <c r="C10339" i="1"/>
  <c r="D10339" i="1"/>
  <c r="E10339" i="1"/>
  <c r="C10340" i="1"/>
  <c r="D10340" i="1"/>
  <c r="E10340" i="1"/>
  <c r="C10341" i="1"/>
  <c r="D10341" i="1"/>
  <c r="E10341" i="1"/>
  <c r="C10342" i="1"/>
  <c r="D10342" i="1"/>
  <c r="E10342" i="1"/>
  <c r="C10343" i="1"/>
  <c r="D10343" i="1"/>
  <c r="E10343" i="1"/>
  <c r="C10344" i="1"/>
  <c r="D10344" i="1"/>
  <c r="E10344" i="1"/>
  <c r="C10345" i="1"/>
  <c r="D10345" i="1"/>
  <c r="E10345" i="1"/>
  <c r="C10346" i="1"/>
  <c r="D10346" i="1"/>
  <c r="E10346" i="1"/>
  <c r="C10347" i="1"/>
  <c r="D10347" i="1"/>
  <c r="E10347" i="1"/>
  <c r="C10348" i="1"/>
  <c r="D10348" i="1"/>
  <c r="E10348" i="1"/>
  <c r="C10349" i="1"/>
  <c r="D10349" i="1"/>
  <c r="E10349" i="1"/>
  <c r="C10350" i="1"/>
  <c r="D10350" i="1"/>
  <c r="E10350" i="1"/>
  <c r="C10351" i="1"/>
  <c r="D10351" i="1"/>
  <c r="E10351" i="1"/>
  <c r="C10352" i="1"/>
  <c r="D10352" i="1"/>
  <c r="E10352" i="1"/>
  <c r="C10353" i="1"/>
  <c r="D10353" i="1"/>
  <c r="E10353" i="1"/>
  <c r="C10354" i="1"/>
  <c r="D10354" i="1"/>
  <c r="E10354" i="1"/>
  <c r="C10355" i="1"/>
  <c r="D10355" i="1"/>
  <c r="E10355" i="1"/>
  <c r="C10356" i="1"/>
  <c r="D10356" i="1"/>
  <c r="E10356" i="1"/>
  <c r="C10357" i="1"/>
  <c r="D10357" i="1"/>
  <c r="E10357" i="1"/>
  <c r="C10358" i="1"/>
  <c r="D10358" i="1"/>
  <c r="E10358" i="1"/>
  <c r="C10359" i="1"/>
  <c r="D10359" i="1"/>
  <c r="E10359" i="1"/>
  <c r="C10360" i="1"/>
  <c r="D10360" i="1"/>
  <c r="E10360" i="1"/>
  <c r="C10361" i="1"/>
  <c r="D10361" i="1"/>
  <c r="E10361" i="1"/>
  <c r="C10362" i="1"/>
  <c r="D10362" i="1"/>
  <c r="E10362" i="1"/>
  <c r="C10363" i="1"/>
  <c r="D10363" i="1"/>
  <c r="E10363" i="1"/>
  <c r="C10364" i="1"/>
  <c r="D10364" i="1"/>
  <c r="E10364" i="1"/>
  <c r="C10365" i="1"/>
  <c r="D10365" i="1"/>
  <c r="E10365" i="1"/>
  <c r="C10366" i="1"/>
  <c r="D10366" i="1"/>
  <c r="E10366" i="1"/>
  <c r="C10367" i="1"/>
  <c r="D10367" i="1"/>
  <c r="E10367" i="1"/>
  <c r="C10368" i="1"/>
  <c r="D10368" i="1"/>
  <c r="E10368" i="1"/>
  <c r="C10369" i="1"/>
  <c r="D10369" i="1"/>
  <c r="E10369" i="1"/>
  <c r="C10370" i="1"/>
  <c r="D10370" i="1"/>
  <c r="E10370" i="1"/>
  <c r="C10371" i="1"/>
  <c r="D10371" i="1"/>
  <c r="E10371" i="1"/>
  <c r="C10372" i="1"/>
  <c r="D10372" i="1"/>
  <c r="E10372" i="1"/>
  <c r="C10373" i="1"/>
  <c r="D10373" i="1"/>
  <c r="E10373" i="1"/>
  <c r="C10374" i="1"/>
  <c r="D10374" i="1"/>
  <c r="E10374" i="1"/>
  <c r="C10375" i="1"/>
  <c r="D10375" i="1"/>
  <c r="E10375" i="1"/>
  <c r="C10376" i="1"/>
  <c r="D10376" i="1"/>
  <c r="E10376" i="1"/>
  <c r="C10377" i="1"/>
  <c r="D10377" i="1"/>
  <c r="E10377" i="1"/>
  <c r="C10378" i="1"/>
  <c r="D10378" i="1"/>
  <c r="E10378" i="1"/>
  <c r="C10379" i="1"/>
  <c r="D10379" i="1"/>
  <c r="E10379" i="1"/>
  <c r="C10380" i="1"/>
  <c r="D10380" i="1"/>
  <c r="E10380" i="1"/>
  <c r="C10381" i="1"/>
  <c r="D10381" i="1"/>
  <c r="E10381" i="1"/>
  <c r="C10382" i="1"/>
  <c r="D10382" i="1"/>
  <c r="E10382" i="1"/>
  <c r="C10383" i="1"/>
  <c r="D10383" i="1"/>
  <c r="E10383" i="1"/>
  <c r="C10384" i="1"/>
  <c r="D10384" i="1"/>
  <c r="E10384" i="1"/>
  <c r="C10385" i="1"/>
  <c r="D10385" i="1"/>
  <c r="E10385" i="1"/>
  <c r="C10386" i="1"/>
  <c r="D10386" i="1"/>
  <c r="E10386" i="1"/>
  <c r="C10387" i="1"/>
  <c r="D10387" i="1"/>
  <c r="E10387" i="1"/>
  <c r="C10388" i="1"/>
  <c r="D10388" i="1"/>
  <c r="E10388" i="1"/>
  <c r="C10389" i="1"/>
  <c r="D10389" i="1"/>
  <c r="E10389" i="1"/>
  <c r="C10390" i="1"/>
  <c r="D10390" i="1"/>
  <c r="E10390" i="1"/>
  <c r="C10391" i="1"/>
  <c r="D10391" i="1"/>
  <c r="E10391" i="1"/>
  <c r="C10392" i="1"/>
  <c r="D10392" i="1"/>
  <c r="E10392" i="1"/>
  <c r="C10393" i="1"/>
  <c r="D10393" i="1"/>
  <c r="E10393" i="1"/>
  <c r="C10394" i="1"/>
  <c r="D10394" i="1"/>
  <c r="E10394" i="1"/>
  <c r="C10395" i="1"/>
  <c r="D10395" i="1"/>
  <c r="E10395" i="1"/>
  <c r="C10396" i="1"/>
  <c r="D10396" i="1"/>
  <c r="E10396" i="1"/>
  <c r="C10397" i="1"/>
  <c r="D10397" i="1"/>
  <c r="E10397" i="1"/>
  <c r="C10398" i="1"/>
  <c r="D10398" i="1"/>
  <c r="E10398" i="1"/>
  <c r="C10399" i="1"/>
  <c r="D10399" i="1"/>
  <c r="E10399" i="1"/>
  <c r="C10400" i="1"/>
  <c r="D10400" i="1"/>
  <c r="E10400" i="1"/>
  <c r="C10401" i="1"/>
  <c r="D10401" i="1"/>
  <c r="E10401" i="1"/>
  <c r="C10402" i="1"/>
  <c r="D10402" i="1"/>
  <c r="E10402" i="1"/>
  <c r="C10403" i="1"/>
  <c r="D10403" i="1"/>
  <c r="E10403" i="1"/>
  <c r="C10404" i="1"/>
  <c r="D10404" i="1"/>
  <c r="E10404" i="1"/>
  <c r="C10405" i="1"/>
  <c r="D10405" i="1"/>
  <c r="E10405" i="1"/>
  <c r="C10406" i="1"/>
  <c r="D10406" i="1"/>
  <c r="E10406" i="1"/>
  <c r="C10407" i="1"/>
  <c r="D10407" i="1"/>
  <c r="E10407" i="1"/>
  <c r="C10408" i="1"/>
  <c r="D10408" i="1"/>
  <c r="E10408" i="1"/>
  <c r="C10409" i="1"/>
  <c r="D10409" i="1"/>
  <c r="E10409" i="1"/>
  <c r="C10410" i="1"/>
  <c r="D10410" i="1"/>
  <c r="E10410" i="1"/>
  <c r="C10411" i="1"/>
  <c r="D10411" i="1"/>
  <c r="E10411" i="1"/>
  <c r="C10412" i="1"/>
  <c r="D10412" i="1"/>
  <c r="E10412" i="1"/>
  <c r="C10413" i="1"/>
  <c r="D10413" i="1"/>
  <c r="E10413" i="1"/>
  <c r="C10414" i="1"/>
  <c r="D10414" i="1"/>
  <c r="E10414" i="1"/>
  <c r="C10415" i="1"/>
  <c r="D10415" i="1"/>
  <c r="E10415" i="1"/>
  <c r="C10416" i="1"/>
  <c r="D10416" i="1"/>
  <c r="E10416" i="1"/>
  <c r="C10417" i="1"/>
  <c r="D10417" i="1"/>
  <c r="E10417" i="1"/>
  <c r="C10418" i="1"/>
  <c r="D10418" i="1"/>
  <c r="E10418" i="1"/>
  <c r="C10419" i="1"/>
  <c r="D10419" i="1"/>
  <c r="E10419" i="1"/>
  <c r="C10420" i="1"/>
  <c r="D10420" i="1"/>
  <c r="E10420" i="1"/>
  <c r="C10421" i="1"/>
  <c r="D10421" i="1"/>
  <c r="E10421" i="1"/>
  <c r="C10422" i="1"/>
  <c r="D10422" i="1"/>
  <c r="E10422" i="1"/>
  <c r="C10423" i="1"/>
  <c r="D10423" i="1"/>
  <c r="E10423" i="1"/>
  <c r="C10424" i="1"/>
  <c r="D10424" i="1"/>
  <c r="E10424" i="1"/>
  <c r="C10425" i="1"/>
  <c r="D10425" i="1"/>
  <c r="E10425" i="1"/>
  <c r="C10426" i="1"/>
  <c r="D10426" i="1"/>
  <c r="E10426" i="1"/>
  <c r="C10427" i="1"/>
  <c r="D10427" i="1"/>
  <c r="E10427" i="1"/>
  <c r="C10428" i="1"/>
  <c r="D10428" i="1"/>
  <c r="E10428" i="1"/>
  <c r="C10429" i="1"/>
  <c r="D10429" i="1"/>
  <c r="E10429" i="1"/>
  <c r="C10430" i="1"/>
  <c r="D10430" i="1"/>
  <c r="E10430" i="1"/>
  <c r="C10431" i="1"/>
  <c r="D10431" i="1"/>
  <c r="E10431" i="1"/>
  <c r="C10432" i="1"/>
  <c r="D10432" i="1"/>
  <c r="E10432" i="1"/>
  <c r="C10433" i="1"/>
  <c r="D10433" i="1"/>
  <c r="E10433" i="1"/>
  <c r="C10434" i="1"/>
  <c r="D10434" i="1"/>
  <c r="E10434" i="1"/>
  <c r="C10435" i="1"/>
  <c r="D10435" i="1"/>
  <c r="E10435" i="1"/>
  <c r="C10436" i="1"/>
  <c r="D10436" i="1"/>
  <c r="E10436" i="1"/>
  <c r="C10437" i="1"/>
  <c r="D10437" i="1"/>
  <c r="E10437" i="1"/>
  <c r="C10438" i="1"/>
  <c r="D10438" i="1"/>
  <c r="E10438" i="1"/>
  <c r="C10439" i="1"/>
  <c r="D10439" i="1"/>
  <c r="E10439" i="1"/>
  <c r="C10440" i="1"/>
  <c r="D10440" i="1"/>
  <c r="E10440" i="1"/>
  <c r="C10441" i="1"/>
  <c r="D10441" i="1"/>
  <c r="E10441" i="1"/>
  <c r="C10442" i="1"/>
  <c r="D10442" i="1"/>
  <c r="E10442" i="1"/>
  <c r="C10443" i="1"/>
  <c r="D10443" i="1"/>
  <c r="E10443" i="1"/>
  <c r="C10444" i="1"/>
  <c r="D10444" i="1"/>
  <c r="E10444" i="1"/>
  <c r="C10445" i="1"/>
  <c r="D10445" i="1"/>
  <c r="E10445" i="1"/>
  <c r="C10446" i="1"/>
  <c r="D10446" i="1"/>
  <c r="E10446" i="1"/>
  <c r="C10447" i="1"/>
  <c r="D10447" i="1"/>
  <c r="E10447" i="1"/>
  <c r="C10448" i="1"/>
  <c r="D10448" i="1"/>
  <c r="E10448" i="1"/>
  <c r="C10449" i="1"/>
  <c r="D10449" i="1"/>
  <c r="E10449" i="1"/>
  <c r="C10450" i="1"/>
  <c r="D10450" i="1"/>
  <c r="E10450" i="1"/>
  <c r="C10451" i="1"/>
  <c r="D10451" i="1"/>
  <c r="E10451" i="1"/>
  <c r="C10452" i="1"/>
  <c r="D10452" i="1"/>
  <c r="E10452" i="1"/>
  <c r="C10453" i="1"/>
  <c r="D10453" i="1"/>
  <c r="E10453" i="1"/>
  <c r="C10454" i="1"/>
  <c r="D10454" i="1"/>
  <c r="E10454" i="1"/>
  <c r="C10455" i="1"/>
  <c r="D10455" i="1"/>
  <c r="E10455" i="1"/>
  <c r="C10456" i="1"/>
  <c r="D10456" i="1"/>
  <c r="E10456" i="1"/>
  <c r="C10457" i="1"/>
  <c r="D10457" i="1"/>
  <c r="E10457" i="1"/>
  <c r="C10458" i="1"/>
  <c r="D10458" i="1"/>
  <c r="E10458" i="1"/>
  <c r="C10459" i="1"/>
  <c r="D10459" i="1"/>
  <c r="E10459" i="1"/>
  <c r="C10460" i="1"/>
  <c r="D10460" i="1"/>
  <c r="E10460" i="1"/>
  <c r="C10461" i="1"/>
  <c r="D10461" i="1"/>
  <c r="E10461" i="1"/>
  <c r="C10462" i="1"/>
  <c r="D10462" i="1"/>
  <c r="E10462" i="1"/>
  <c r="C10463" i="1"/>
  <c r="D10463" i="1"/>
  <c r="E10463" i="1"/>
  <c r="C10464" i="1"/>
  <c r="D10464" i="1"/>
  <c r="E10464" i="1"/>
  <c r="C10465" i="1"/>
  <c r="D10465" i="1"/>
  <c r="E10465" i="1"/>
  <c r="C10466" i="1"/>
  <c r="D10466" i="1"/>
  <c r="E10466" i="1"/>
  <c r="C10467" i="1"/>
  <c r="D10467" i="1"/>
  <c r="E10467" i="1"/>
  <c r="C10468" i="1"/>
  <c r="D10468" i="1"/>
  <c r="E10468" i="1"/>
  <c r="C10469" i="1"/>
  <c r="D10469" i="1"/>
  <c r="E10469" i="1"/>
  <c r="C10470" i="1"/>
  <c r="D10470" i="1"/>
  <c r="E10470" i="1"/>
  <c r="C10471" i="1"/>
  <c r="D10471" i="1"/>
  <c r="E10471" i="1"/>
  <c r="C10472" i="1"/>
  <c r="D10472" i="1"/>
  <c r="E10472" i="1"/>
  <c r="C10473" i="1"/>
  <c r="D10473" i="1"/>
  <c r="E10473" i="1"/>
  <c r="C10474" i="1"/>
  <c r="D10474" i="1"/>
  <c r="E10474" i="1"/>
  <c r="C10475" i="1"/>
  <c r="D10475" i="1"/>
  <c r="E10475" i="1"/>
  <c r="C10476" i="1"/>
  <c r="D10476" i="1"/>
  <c r="E10476" i="1"/>
  <c r="C10477" i="1"/>
  <c r="D10477" i="1"/>
  <c r="E10477" i="1"/>
  <c r="C10478" i="1"/>
  <c r="D10478" i="1"/>
  <c r="E10478" i="1"/>
  <c r="C10479" i="1"/>
  <c r="D10479" i="1"/>
  <c r="E10479" i="1"/>
  <c r="C10480" i="1"/>
  <c r="D10480" i="1"/>
  <c r="E10480" i="1"/>
  <c r="C10481" i="1"/>
  <c r="D10481" i="1"/>
  <c r="E10481" i="1"/>
  <c r="C10482" i="1"/>
  <c r="D10482" i="1"/>
  <c r="E10482" i="1"/>
  <c r="C10483" i="1"/>
  <c r="D10483" i="1"/>
  <c r="E10483" i="1"/>
  <c r="C10484" i="1"/>
  <c r="D10484" i="1"/>
  <c r="E10484" i="1"/>
  <c r="C10485" i="1"/>
  <c r="D10485" i="1"/>
  <c r="E10485" i="1"/>
  <c r="C10486" i="1"/>
  <c r="D10486" i="1"/>
  <c r="E10486" i="1"/>
  <c r="C10487" i="1"/>
  <c r="D10487" i="1"/>
  <c r="E10487" i="1"/>
  <c r="C10488" i="1"/>
  <c r="D10488" i="1"/>
  <c r="E10488" i="1"/>
  <c r="C10489" i="1"/>
  <c r="D10489" i="1"/>
  <c r="E10489" i="1"/>
  <c r="C10490" i="1"/>
  <c r="D10490" i="1"/>
  <c r="E10490" i="1"/>
  <c r="C10491" i="1"/>
  <c r="D10491" i="1"/>
  <c r="E10491" i="1"/>
  <c r="C10492" i="1"/>
  <c r="D10492" i="1"/>
  <c r="E10492" i="1"/>
  <c r="C10493" i="1"/>
  <c r="D10493" i="1"/>
  <c r="E10493" i="1"/>
  <c r="C10494" i="1"/>
  <c r="D10494" i="1"/>
  <c r="E10494" i="1"/>
  <c r="C10495" i="1"/>
  <c r="D10495" i="1"/>
  <c r="E10495" i="1"/>
  <c r="C10496" i="1"/>
  <c r="D10496" i="1"/>
  <c r="E10496" i="1"/>
  <c r="C10497" i="1"/>
  <c r="D10497" i="1"/>
  <c r="E10497" i="1"/>
  <c r="C10498" i="1"/>
  <c r="D10498" i="1"/>
  <c r="E10498" i="1"/>
  <c r="C10499" i="1"/>
  <c r="D10499" i="1"/>
  <c r="E10499" i="1"/>
  <c r="C10500" i="1"/>
  <c r="D10500" i="1"/>
  <c r="E10500" i="1"/>
  <c r="C10501" i="1"/>
  <c r="D10501" i="1"/>
  <c r="E10501" i="1"/>
  <c r="C10502" i="1"/>
  <c r="D10502" i="1"/>
  <c r="E10502" i="1"/>
  <c r="C10503" i="1"/>
  <c r="D10503" i="1"/>
  <c r="E10503" i="1"/>
  <c r="C10504" i="1"/>
  <c r="D10504" i="1"/>
  <c r="E10504" i="1"/>
  <c r="C10505" i="1"/>
  <c r="D10505" i="1"/>
  <c r="E10505" i="1"/>
  <c r="C10506" i="1"/>
  <c r="D10506" i="1"/>
  <c r="E10506" i="1"/>
  <c r="C10507" i="1"/>
  <c r="D10507" i="1"/>
  <c r="E10507" i="1"/>
  <c r="C10508" i="1"/>
  <c r="D10508" i="1"/>
  <c r="E10508" i="1"/>
  <c r="C10509" i="1"/>
  <c r="D10509" i="1"/>
  <c r="E10509" i="1"/>
  <c r="C10510" i="1"/>
  <c r="D10510" i="1"/>
  <c r="E10510" i="1"/>
  <c r="C10511" i="1"/>
  <c r="D10511" i="1"/>
  <c r="E10511" i="1"/>
  <c r="C10512" i="1"/>
  <c r="D10512" i="1"/>
  <c r="E10512" i="1"/>
  <c r="C10513" i="1"/>
  <c r="D10513" i="1"/>
  <c r="E10513" i="1"/>
  <c r="C10514" i="1"/>
  <c r="D10514" i="1"/>
  <c r="E10514" i="1"/>
  <c r="C10515" i="1"/>
  <c r="D10515" i="1"/>
  <c r="E10515" i="1"/>
  <c r="C10516" i="1"/>
  <c r="D10516" i="1"/>
  <c r="E10516" i="1"/>
  <c r="C10517" i="1"/>
  <c r="D10517" i="1"/>
  <c r="E10517" i="1"/>
  <c r="C10518" i="1"/>
  <c r="D10518" i="1"/>
  <c r="E10518" i="1"/>
  <c r="C10519" i="1"/>
  <c r="D10519" i="1"/>
  <c r="E10519" i="1"/>
  <c r="C10520" i="1"/>
  <c r="D10520" i="1"/>
  <c r="E10520" i="1"/>
  <c r="C10521" i="1"/>
  <c r="D10521" i="1"/>
  <c r="E10521" i="1"/>
  <c r="C10522" i="1"/>
  <c r="D10522" i="1"/>
  <c r="E10522" i="1"/>
  <c r="C10523" i="1"/>
  <c r="D10523" i="1"/>
  <c r="E10523" i="1"/>
  <c r="C10524" i="1"/>
  <c r="D10524" i="1"/>
  <c r="E10524" i="1"/>
  <c r="C10525" i="1"/>
  <c r="D10525" i="1"/>
  <c r="E10525" i="1"/>
  <c r="C10526" i="1"/>
  <c r="D10526" i="1"/>
  <c r="E10526" i="1"/>
  <c r="C10527" i="1"/>
  <c r="D10527" i="1"/>
  <c r="E10527" i="1"/>
  <c r="C10528" i="1"/>
  <c r="D10528" i="1"/>
  <c r="E10528" i="1"/>
  <c r="C10529" i="1"/>
  <c r="D10529" i="1"/>
  <c r="E10529" i="1"/>
  <c r="C10530" i="1"/>
  <c r="D10530" i="1"/>
  <c r="E10530" i="1"/>
  <c r="C10531" i="1"/>
  <c r="D10531" i="1"/>
  <c r="E10531" i="1"/>
  <c r="C10532" i="1"/>
  <c r="D10532" i="1"/>
  <c r="E10532" i="1"/>
  <c r="C10533" i="1"/>
  <c r="D10533" i="1"/>
  <c r="E10533" i="1"/>
  <c r="C10534" i="1"/>
  <c r="D10534" i="1"/>
  <c r="E10534" i="1"/>
  <c r="C10535" i="1"/>
  <c r="D10535" i="1"/>
  <c r="E10535" i="1"/>
  <c r="C10536" i="1"/>
  <c r="D10536" i="1"/>
  <c r="E10536" i="1"/>
  <c r="C10537" i="1"/>
  <c r="D10537" i="1"/>
  <c r="E10537" i="1"/>
  <c r="C10538" i="1"/>
  <c r="D10538" i="1"/>
  <c r="E10538" i="1"/>
  <c r="C10539" i="1"/>
  <c r="D10539" i="1"/>
  <c r="E10539" i="1"/>
  <c r="C10540" i="1"/>
  <c r="D10540" i="1"/>
  <c r="E10540" i="1"/>
  <c r="C10541" i="1"/>
  <c r="D10541" i="1"/>
  <c r="E10541" i="1"/>
  <c r="C10542" i="1"/>
  <c r="D10542" i="1"/>
  <c r="E10542" i="1"/>
  <c r="C10543" i="1"/>
  <c r="D10543" i="1"/>
  <c r="E10543" i="1"/>
  <c r="C10544" i="1"/>
  <c r="D10544" i="1"/>
  <c r="E10544" i="1"/>
  <c r="C10545" i="1"/>
  <c r="D10545" i="1"/>
  <c r="E10545" i="1"/>
  <c r="C10546" i="1"/>
  <c r="D10546" i="1"/>
  <c r="E10546" i="1"/>
  <c r="C10547" i="1"/>
  <c r="D10547" i="1"/>
  <c r="E10547" i="1"/>
  <c r="C10548" i="1"/>
  <c r="D10548" i="1"/>
  <c r="E10548" i="1"/>
  <c r="C10549" i="1"/>
  <c r="D10549" i="1"/>
  <c r="E10549" i="1"/>
  <c r="C10550" i="1"/>
  <c r="D10550" i="1"/>
  <c r="E10550" i="1"/>
  <c r="C10551" i="1"/>
  <c r="D10551" i="1"/>
  <c r="E10551" i="1"/>
  <c r="C10552" i="1"/>
  <c r="D10552" i="1"/>
  <c r="E10552" i="1"/>
  <c r="C10553" i="1"/>
  <c r="D10553" i="1"/>
  <c r="E10553" i="1"/>
  <c r="C10554" i="1"/>
  <c r="D10554" i="1"/>
  <c r="E10554" i="1"/>
  <c r="C10555" i="1"/>
  <c r="D10555" i="1"/>
  <c r="E10555" i="1"/>
  <c r="C10556" i="1"/>
  <c r="D10556" i="1"/>
  <c r="E10556" i="1"/>
  <c r="C10557" i="1"/>
  <c r="D10557" i="1"/>
  <c r="E10557" i="1"/>
  <c r="C10558" i="1"/>
  <c r="D10558" i="1"/>
  <c r="E10558" i="1"/>
  <c r="C10559" i="1"/>
  <c r="D10559" i="1"/>
  <c r="E10559" i="1"/>
  <c r="C10560" i="1"/>
  <c r="D10560" i="1"/>
  <c r="E10560" i="1"/>
  <c r="C10561" i="1"/>
  <c r="D10561" i="1"/>
  <c r="E10561" i="1"/>
  <c r="C10562" i="1"/>
  <c r="D10562" i="1"/>
  <c r="E10562" i="1"/>
  <c r="C10563" i="1"/>
  <c r="D10563" i="1"/>
  <c r="E10563" i="1"/>
  <c r="C10564" i="1"/>
  <c r="D10564" i="1"/>
  <c r="E10564" i="1"/>
  <c r="C10565" i="1"/>
  <c r="D10565" i="1"/>
  <c r="E10565" i="1"/>
  <c r="C10566" i="1"/>
  <c r="D10566" i="1"/>
  <c r="E10566" i="1"/>
  <c r="C10567" i="1"/>
  <c r="D10567" i="1"/>
  <c r="E10567" i="1"/>
  <c r="C10568" i="1"/>
  <c r="D10568" i="1"/>
  <c r="E10568" i="1"/>
  <c r="C10569" i="1"/>
  <c r="D10569" i="1"/>
  <c r="E10569" i="1"/>
  <c r="C10570" i="1"/>
  <c r="D10570" i="1"/>
  <c r="E10570" i="1"/>
  <c r="C10571" i="1"/>
  <c r="D10571" i="1"/>
  <c r="E10571" i="1"/>
  <c r="C10572" i="1"/>
  <c r="D10572" i="1"/>
  <c r="E10572" i="1"/>
  <c r="C10573" i="1"/>
  <c r="D10573" i="1"/>
  <c r="E10573" i="1"/>
  <c r="C10574" i="1"/>
  <c r="D10574" i="1"/>
  <c r="E10574" i="1"/>
  <c r="C10575" i="1"/>
  <c r="D10575" i="1"/>
  <c r="E10575" i="1"/>
  <c r="C10576" i="1"/>
  <c r="D10576" i="1"/>
  <c r="E10576" i="1"/>
  <c r="C10577" i="1"/>
  <c r="D10577" i="1"/>
  <c r="E10577" i="1"/>
  <c r="C10578" i="1"/>
  <c r="D10578" i="1"/>
  <c r="E10578" i="1"/>
  <c r="C10579" i="1"/>
  <c r="D10579" i="1"/>
  <c r="E10579" i="1"/>
  <c r="C10580" i="1"/>
  <c r="D10580" i="1"/>
  <c r="E10580" i="1"/>
  <c r="C10581" i="1"/>
  <c r="D10581" i="1"/>
  <c r="E10581" i="1"/>
  <c r="C10582" i="1"/>
  <c r="D10582" i="1"/>
  <c r="E10582" i="1"/>
  <c r="C10583" i="1"/>
  <c r="D10583" i="1"/>
  <c r="E10583" i="1"/>
  <c r="C10584" i="1"/>
  <c r="D10584" i="1"/>
  <c r="E10584" i="1"/>
  <c r="C10585" i="1"/>
  <c r="D10585" i="1"/>
  <c r="E10585" i="1"/>
  <c r="C10586" i="1"/>
  <c r="D10586" i="1"/>
  <c r="E10586" i="1"/>
  <c r="C10587" i="1"/>
  <c r="D10587" i="1"/>
  <c r="E10587" i="1"/>
  <c r="C10588" i="1"/>
  <c r="D10588" i="1"/>
  <c r="E10588" i="1"/>
  <c r="C10589" i="1"/>
  <c r="D10589" i="1"/>
  <c r="E10589" i="1"/>
  <c r="C10590" i="1"/>
  <c r="D10590" i="1"/>
  <c r="E10590" i="1"/>
  <c r="C10591" i="1"/>
  <c r="D10591" i="1"/>
  <c r="E10591" i="1"/>
  <c r="C10592" i="1"/>
  <c r="D10592" i="1"/>
  <c r="E10592" i="1"/>
  <c r="C10593" i="1"/>
  <c r="D10593" i="1"/>
  <c r="E10593" i="1"/>
  <c r="C10594" i="1"/>
  <c r="D10594" i="1"/>
  <c r="E10594" i="1"/>
  <c r="C10595" i="1"/>
  <c r="D10595" i="1"/>
  <c r="E10595" i="1"/>
  <c r="C10596" i="1"/>
  <c r="D10596" i="1"/>
  <c r="E10596" i="1"/>
  <c r="C10597" i="1"/>
  <c r="D10597" i="1"/>
  <c r="E10597" i="1"/>
  <c r="C10598" i="1"/>
  <c r="D10598" i="1"/>
  <c r="E10598" i="1"/>
  <c r="C10599" i="1"/>
  <c r="D10599" i="1"/>
  <c r="E10599" i="1"/>
  <c r="C10600" i="1"/>
  <c r="D10600" i="1"/>
  <c r="E10600" i="1"/>
  <c r="C10601" i="1"/>
  <c r="D10601" i="1"/>
  <c r="E10601" i="1"/>
  <c r="C10602" i="1"/>
  <c r="D10602" i="1"/>
  <c r="E10602" i="1"/>
  <c r="C10603" i="1"/>
  <c r="D10603" i="1"/>
  <c r="E10603" i="1"/>
  <c r="C10604" i="1"/>
  <c r="D10604" i="1"/>
  <c r="E10604" i="1"/>
  <c r="C10605" i="1"/>
  <c r="D10605" i="1"/>
  <c r="E10605" i="1"/>
  <c r="C10606" i="1"/>
  <c r="D10606" i="1"/>
  <c r="E10606" i="1"/>
  <c r="C10607" i="1"/>
  <c r="D10607" i="1"/>
  <c r="E10607" i="1"/>
  <c r="C10608" i="1"/>
  <c r="D10608" i="1"/>
  <c r="E10608" i="1"/>
  <c r="C10609" i="1"/>
  <c r="D10609" i="1"/>
  <c r="E10609" i="1"/>
  <c r="C10610" i="1"/>
  <c r="D10610" i="1"/>
  <c r="E10610" i="1"/>
  <c r="C10611" i="1"/>
  <c r="D10611" i="1"/>
  <c r="E10611" i="1"/>
  <c r="C10612" i="1"/>
  <c r="D10612" i="1"/>
  <c r="E10612" i="1"/>
  <c r="C10613" i="1"/>
  <c r="D10613" i="1"/>
  <c r="E10613" i="1"/>
  <c r="C10614" i="1"/>
  <c r="D10614" i="1"/>
  <c r="E10614" i="1"/>
  <c r="C10615" i="1"/>
  <c r="D10615" i="1"/>
  <c r="E10615" i="1"/>
  <c r="C10616" i="1"/>
  <c r="D10616" i="1"/>
  <c r="E10616" i="1"/>
  <c r="C10617" i="1"/>
  <c r="D10617" i="1"/>
  <c r="E10617" i="1"/>
  <c r="C10618" i="1"/>
  <c r="D10618" i="1"/>
  <c r="E10618" i="1"/>
  <c r="C10619" i="1"/>
  <c r="D10619" i="1"/>
  <c r="E10619" i="1"/>
  <c r="C10620" i="1"/>
  <c r="D10620" i="1"/>
  <c r="E10620" i="1"/>
  <c r="C10621" i="1"/>
  <c r="D10621" i="1"/>
  <c r="E10621" i="1"/>
  <c r="C10622" i="1"/>
  <c r="D10622" i="1"/>
  <c r="E10622" i="1"/>
  <c r="C10623" i="1"/>
  <c r="D10623" i="1"/>
  <c r="E10623" i="1"/>
  <c r="C10624" i="1"/>
  <c r="D10624" i="1"/>
  <c r="E10624" i="1"/>
  <c r="C10625" i="1"/>
  <c r="D10625" i="1"/>
  <c r="E10625" i="1"/>
  <c r="C10626" i="1"/>
  <c r="D10626" i="1"/>
  <c r="E10626" i="1"/>
  <c r="C10627" i="1"/>
  <c r="D10627" i="1"/>
  <c r="E10627" i="1"/>
  <c r="C10628" i="1"/>
  <c r="D10628" i="1"/>
  <c r="E10628" i="1"/>
  <c r="C10629" i="1"/>
  <c r="D10629" i="1"/>
  <c r="E10629" i="1"/>
  <c r="C10630" i="1"/>
  <c r="D10630" i="1"/>
  <c r="E10630" i="1"/>
  <c r="C10631" i="1"/>
  <c r="D10631" i="1"/>
  <c r="E10631" i="1"/>
  <c r="C10632" i="1"/>
  <c r="D10632" i="1"/>
  <c r="E10632" i="1"/>
  <c r="C10633" i="1"/>
  <c r="D10633" i="1"/>
  <c r="E10633" i="1"/>
  <c r="C10634" i="1"/>
  <c r="D10634" i="1"/>
  <c r="E10634" i="1"/>
  <c r="C10635" i="1"/>
  <c r="D10635" i="1"/>
  <c r="E10635" i="1"/>
  <c r="C10636" i="1"/>
  <c r="D10636" i="1"/>
  <c r="E10636" i="1"/>
  <c r="C10637" i="1"/>
  <c r="D10637" i="1"/>
  <c r="E10637" i="1"/>
  <c r="C10638" i="1"/>
  <c r="D10638" i="1"/>
  <c r="E10638" i="1"/>
  <c r="C10639" i="1"/>
  <c r="D10639" i="1"/>
  <c r="E10639" i="1"/>
  <c r="C10640" i="1"/>
  <c r="D10640" i="1"/>
  <c r="E10640" i="1"/>
  <c r="C10641" i="1"/>
  <c r="D10641" i="1"/>
  <c r="E10641" i="1"/>
  <c r="C10642" i="1"/>
  <c r="D10642" i="1"/>
  <c r="E10642" i="1"/>
  <c r="C10643" i="1"/>
  <c r="D10643" i="1"/>
  <c r="E10643" i="1"/>
  <c r="C10644" i="1"/>
  <c r="D10644" i="1"/>
  <c r="E10644" i="1"/>
  <c r="C10645" i="1"/>
  <c r="D10645" i="1"/>
  <c r="E10645" i="1"/>
  <c r="C10646" i="1"/>
  <c r="D10646" i="1"/>
  <c r="E10646" i="1"/>
  <c r="C10647" i="1"/>
  <c r="D10647" i="1"/>
  <c r="E10647" i="1"/>
  <c r="C10648" i="1"/>
  <c r="D10648" i="1"/>
  <c r="E10648" i="1"/>
  <c r="C10649" i="1"/>
  <c r="D10649" i="1"/>
  <c r="E10649" i="1"/>
  <c r="C10650" i="1"/>
  <c r="D10650" i="1"/>
  <c r="E10650" i="1"/>
  <c r="C10651" i="1"/>
  <c r="D10651" i="1"/>
  <c r="E10651" i="1"/>
  <c r="C10652" i="1"/>
  <c r="D10652" i="1"/>
  <c r="E10652" i="1"/>
  <c r="C10653" i="1"/>
  <c r="D10653" i="1"/>
  <c r="E10653" i="1"/>
  <c r="C10654" i="1"/>
  <c r="D10654" i="1"/>
  <c r="E10654" i="1"/>
  <c r="C10655" i="1"/>
  <c r="D10655" i="1"/>
  <c r="E10655" i="1"/>
  <c r="C10656" i="1"/>
  <c r="D10656" i="1"/>
  <c r="E10656" i="1"/>
  <c r="C10657" i="1"/>
  <c r="D10657" i="1"/>
  <c r="E10657" i="1"/>
  <c r="C10658" i="1"/>
  <c r="D10658" i="1"/>
  <c r="E10658" i="1"/>
  <c r="C10659" i="1"/>
  <c r="D10659" i="1"/>
  <c r="E10659" i="1"/>
  <c r="C10660" i="1"/>
  <c r="D10660" i="1"/>
  <c r="E10660" i="1"/>
  <c r="C10661" i="1"/>
  <c r="D10661" i="1"/>
  <c r="E10661" i="1"/>
  <c r="C10662" i="1"/>
  <c r="D10662" i="1"/>
  <c r="E10662" i="1"/>
  <c r="C10663" i="1"/>
  <c r="D10663" i="1"/>
  <c r="E10663" i="1"/>
  <c r="C10664" i="1"/>
  <c r="D10664" i="1"/>
  <c r="E10664" i="1"/>
  <c r="C10665" i="1"/>
  <c r="D10665" i="1"/>
  <c r="E10665" i="1"/>
  <c r="C10666" i="1"/>
  <c r="D10666" i="1"/>
  <c r="E10666" i="1"/>
  <c r="C10667" i="1"/>
  <c r="D10667" i="1"/>
  <c r="E10667" i="1"/>
  <c r="C10668" i="1"/>
  <c r="D10668" i="1"/>
  <c r="E10668" i="1"/>
  <c r="C10669" i="1"/>
  <c r="D10669" i="1"/>
  <c r="E10669" i="1"/>
  <c r="C10670" i="1"/>
  <c r="D10670" i="1"/>
  <c r="E10670" i="1"/>
  <c r="C10671" i="1"/>
  <c r="D10671" i="1"/>
  <c r="E10671" i="1"/>
  <c r="C10672" i="1"/>
  <c r="D10672" i="1"/>
  <c r="E10672" i="1"/>
  <c r="C10673" i="1"/>
  <c r="D10673" i="1"/>
  <c r="E10673" i="1"/>
  <c r="C10674" i="1"/>
  <c r="D10674" i="1"/>
  <c r="E10674" i="1"/>
  <c r="C10675" i="1"/>
  <c r="D10675" i="1"/>
  <c r="E10675" i="1"/>
  <c r="C10676" i="1"/>
  <c r="D10676" i="1"/>
  <c r="E10676" i="1"/>
  <c r="C10677" i="1"/>
  <c r="D10677" i="1"/>
  <c r="E10677" i="1"/>
  <c r="C10678" i="1"/>
  <c r="D10678" i="1"/>
  <c r="E10678" i="1"/>
  <c r="C10679" i="1"/>
  <c r="D10679" i="1"/>
  <c r="E10679" i="1"/>
  <c r="C10680" i="1"/>
  <c r="D10680" i="1"/>
  <c r="E10680" i="1"/>
  <c r="C10681" i="1"/>
  <c r="D10681" i="1"/>
  <c r="E10681" i="1"/>
  <c r="C10682" i="1"/>
  <c r="D10682" i="1"/>
  <c r="E10682" i="1"/>
  <c r="C10683" i="1"/>
  <c r="D10683" i="1"/>
  <c r="E10683" i="1"/>
  <c r="C10684" i="1"/>
  <c r="D10684" i="1"/>
  <c r="E10684" i="1"/>
  <c r="C10685" i="1"/>
  <c r="D10685" i="1"/>
  <c r="E10685" i="1"/>
  <c r="C10686" i="1"/>
  <c r="D10686" i="1"/>
  <c r="E10686" i="1"/>
  <c r="C10687" i="1"/>
  <c r="D10687" i="1"/>
  <c r="E10687" i="1"/>
  <c r="C10688" i="1"/>
  <c r="D10688" i="1"/>
  <c r="E10688" i="1"/>
  <c r="C10689" i="1"/>
  <c r="D10689" i="1"/>
  <c r="E10689" i="1"/>
  <c r="C10690" i="1"/>
  <c r="D10690" i="1"/>
  <c r="E10690" i="1"/>
  <c r="C10691" i="1"/>
  <c r="D10691" i="1"/>
  <c r="E10691" i="1"/>
  <c r="C10692" i="1"/>
  <c r="D10692" i="1"/>
  <c r="E10692" i="1"/>
  <c r="C10693" i="1"/>
  <c r="D10693" i="1"/>
  <c r="E10693" i="1"/>
  <c r="C10694" i="1"/>
  <c r="D10694" i="1"/>
  <c r="E10694" i="1"/>
  <c r="C10695" i="1"/>
  <c r="D10695" i="1"/>
  <c r="E10695" i="1"/>
  <c r="C10696" i="1"/>
  <c r="D10696" i="1"/>
  <c r="E10696" i="1"/>
  <c r="C10697" i="1"/>
  <c r="D10697" i="1"/>
  <c r="E10697" i="1"/>
  <c r="C10698" i="1"/>
  <c r="D10698" i="1"/>
  <c r="E10698" i="1"/>
  <c r="C10699" i="1"/>
  <c r="D10699" i="1"/>
  <c r="E10699" i="1"/>
  <c r="C10700" i="1"/>
  <c r="D10700" i="1"/>
  <c r="E10700" i="1"/>
  <c r="C10701" i="1"/>
  <c r="D10701" i="1"/>
  <c r="E10701" i="1"/>
  <c r="C10702" i="1"/>
  <c r="D10702" i="1"/>
  <c r="E10702" i="1"/>
  <c r="C10703" i="1"/>
  <c r="D10703" i="1"/>
  <c r="E10703" i="1"/>
  <c r="C10704" i="1"/>
  <c r="D10704" i="1"/>
  <c r="E10704" i="1"/>
  <c r="C10705" i="1"/>
  <c r="D10705" i="1"/>
  <c r="E10705" i="1"/>
  <c r="C10706" i="1"/>
  <c r="D10706" i="1"/>
  <c r="E10706" i="1"/>
  <c r="C10707" i="1"/>
  <c r="D10707" i="1"/>
  <c r="E10707" i="1"/>
  <c r="C10708" i="1"/>
  <c r="D10708" i="1"/>
  <c r="E10708" i="1"/>
  <c r="C10709" i="1"/>
  <c r="D10709" i="1"/>
  <c r="E10709" i="1"/>
  <c r="C10710" i="1"/>
  <c r="D10710" i="1"/>
  <c r="E10710" i="1"/>
  <c r="C10711" i="1"/>
  <c r="D10711" i="1"/>
  <c r="E10711" i="1"/>
  <c r="C10712" i="1"/>
  <c r="D10712" i="1"/>
  <c r="E10712" i="1"/>
  <c r="C10713" i="1"/>
  <c r="D10713" i="1"/>
  <c r="E10713" i="1"/>
  <c r="C10714" i="1"/>
  <c r="D10714" i="1"/>
  <c r="E10714" i="1"/>
  <c r="C10715" i="1"/>
  <c r="D10715" i="1"/>
  <c r="E10715" i="1"/>
  <c r="C10716" i="1"/>
  <c r="D10716" i="1"/>
  <c r="E10716" i="1"/>
  <c r="C10717" i="1"/>
  <c r="D10717" i="1"/>
  <c r="E10717" i="1"/>
  <c r="C10718" i="1"/>
  <c r="D10718" i="1"/>
  <c r="E10718" i="1"/>
  <c r="C10719" i="1"/>
  <c r="D10719" i="1"/>
  <c r="E10719" i="1"/>
  <c r="C10720" i="1"/>
  <c r="D10720" i="1"/>
  <c r="E10720" i="1"/>
  <c r="C10721" i="1"/>
  <c r="D10721" i="1"/>
  <c r="E10721" i="1"/>
  <c r="C10722" i="1"/>
  <c r="D10722" i="1"/>
  <c r="E10722" i="1"/>
  <c r="C10723" i="1"/>
  <c r="D10723" i="1"/>
  <c r="E10723" i="1"/>
  <c r="C10724" i="1"/>
  <c r="D10724" i="1"/>
  <c r="E10724" i="1"/>
  <c r="C10725" i="1"/>
  <c r="D10725" i="1"/>
  <c r="E10725" i="1"/>
  <c r="C10726" i="1"/>
  <c r="D10726" i="1"/>
  <c r="E10726" i="1"/>
  <c r="C10727" i="1"/>
  <c r="D10727" i="1"/>
  <c r="E10727" i="1"/>
  <c r="C10728" i="1"/>
  <c r="D10728" i="1"/>
  <c r="E10728" i="1"/>
  <c r="C10729" i="1"/>
  <c r="D10729" i="1"/>
  <c r="E10729" i="1"/>
  <c r="C10730" i="1"/>
  <c r="D10730" i="1"/>
  <c r="E10730" i="1"/>
  <c r="C10731" i="1"/>
  <c r="D10731" i="1"/>
  <c r="E10731" i="1"/>
  <c r="C10732" i="1"/>
  <c r="D10732" i="1"/>
  <c r="E10732" i="1"/>
  <c r="C10733" i="1"/>
  <c r="D10733" i="1"/>
  <c r="E10733" i="1"/>
  <c r="C10734" i="1"/>
  <c r="D10734" i="1"/>
  <c r="E10734" i="1"/>
  <c r="C10735" i="1"/>
  <c r="D10735" i="1"/>
  <c r="E10735" i="1"/>
  <c r="C10736" i="1"/>
  <c r="D10736" i="1"/>
  <c r="E10736" i="1"/>
  <c r="C10737" i="1"/>
  <c r="D10737" i="1"/>
  <c r="E10737" i="1"/>
  <c r="C10738" i="1"/>
  <c r="D10738" i="1"/>
  <c r="E10738" i="1"/>
  <c r="C10739" i="1"/>
  <c r="D10739" i="1"/>
  <c r="E10739" i="1"/>
  <c r="C10740" i="1"/>
  <c r="D10740" i="1"/>
  <c r="E10740" i="1"/>
  <c r="C10741" i="1"/>
  <c r="D10741" i="1"/>
  <c r="E10741" i="1"/>
  <c r="C10742" i="1"/>
  <c r="D10742" i="1"/>
  <c r="E10742" i="1"/>
  <c r="C10743" i="1"/>
  <c r="D10743" i="1"/>
  <c r="E10743" i="1"/>
  <c r="C10744" i="1"/>
  <c r="D10744" i="1"/>
  <c r="E10744" i="1"/>
  <c r="C10745" i="1"/>
  <c r="D10745" i="1"/>
  <c r="E10745" i="1"/>
  <c r="C10746" i="1"/>
  <c r="D10746" i="1"/>
  <c r="E10746" i="1"/>
  <c r="C10747" i="1"/>
  <c r="D10747" i="1"/>
  <c r="E10747" i="1"/>
  <c r="C10748" i="1"/>
  <c r="D10748" i="1"/>
  <c r="E10748" i="1"/>
  <c r="C10749" i="1"/>
  <c r="D10749" i="1"/>
  <c r="E10749" i="1"/>
  <c r="C10750" i="1"/>
  <c r="D10750" i="1"/>
  <c r="E10750" i="1"/>
  <c r="C10751" i="1"/>
  <c r="D10751" i="1"/>
  <c r="E10751" i="1"/>
  <c r="C10752" i="1"/>
  <c r="D10752" i="1"/>
  <c r="E10752" i="1"/>
  <c r="C10753" i="1"/>
  <c r="D10753" i="1"/>
  <c r="E10753" i="1"/>
  <c r="C10754" i="1"/>
  <c r="D10754" i="1"/>
  <c r="E10754" i="1"/>
  <c r="C10755" i="1"/>
  <c r="D10755" i="1"/>
  <c r="E10755" i="1"/>
  <c r="C10756" i="1"/>
  <c r="D10756" i="1"/>
  <c r="E10756" i="1"/>
  <c r="C10757" i="1"/>
  <c r="D10757" i="1"/>
  <c r="E10757" i="1"/>
  <c r="C10758" i="1"/>
  <c r="D10758" i="1"/>
  <c r="E10758" i="1"/>
  <c r="C10759" i="1"/>
  <c r="D10759" i="1"/>
  <c r="E10759" i="1"/>
  <c r="C10760" i="1"/>
  <c r="D10760" i="1"/>
  <c r="E10760" i="1"/>
  <c r="C10761" i="1"/>
  <c r="D10761" i="1"/>
  <c r="E10761" i="1"/>
  <c r="C10762" i="1"/>
  <c r="D10762" i="1"/>
  <c r="E10762" i="1"/>
  <c r="C10763" i="1"/>
  <c r="D10763" i="1"/>
  <c r="E10763" i="1"/>
  <c r="C10764" i="1"/>
  <c r="D10764" i="1"/>
  <c r="E10764" i="1"/>
  <c r="C10765" i="1"/>
  <c r="D10765" i="1"/>
  <c r="E10765" i="1"/>
  <c r="C10766" i="1"/>
  <c r="D10766" i="1"/>
  <c r="E10766" i="1"/>
  <c r="C10767" i="1"/>
  <c r="D10767" i="1"/>
  <c r="E10767" i="1"/>
  <c r="C10768" i="1"/>
  <c r="D10768" i="1"/>
  <c r="E10768" i="1"/>
  <c r="C10769" i="1"/>
  <c r="D10769" i="1"/>
  <c r="E10769" i="1"/>
  <c r="C10770" i="1"/>
  <c r="D10770" i="1"/>
  <c r="E10770" i="1"/>
  <c r="C10771" i="1"/>
  <c r="D10771" i="1"/>
  <c r="E10771" i="1"/>
  <c r="C10772" i="1"/>
  <c r="D10772" i="1"/>
  <c r="E10772" i="1"/>
  <c r="C10773" i="1"/>
  <c r="D10773" i="1"/>
  <c r="E10773" i="1"/>
  <c r="C10774" i="1"/>
  <c r="D10774" i="1"/>
  <c r="E10774" i="1"/>
  <c r="C10775" i="1"/>
  <c r="D10775" i="1"/>
  <c r="E10775" i="1"/>
  <c r="C10776" i="1"/>
  <c r="D10776" i="1"/>
  <c r="E10776" i="1"/>
  <c r="C10777" i="1"/>
  <c r="D10777" i="1"/>
  <c r="E10777" i="1"/>
  <c r="C10778" i="1"/>
  <c r="D10778" i="1"/>
  <c r="E10778" i="1"/>
  <c r="C10779" i="1"/>
  <c r="D10779" i="1"/>
  <c r="E10779" i="1"/>
  <c r="C10780" i="1"/>
  <c r="D10780" i="1"/>
  <c r="E10780" i="1"/>
  <c r="C10781" i="1"/>
  <c r="D10781" i="1"/>
  <c r="E10781" i="1"/>
  <c r="C10782" i="1"/>
  <c r="D10782" i="1"/>
  <c r="E10782" i="1"/>
  <c r="C10783" i="1"/>
  <c r="D10783" i="1"/>
  <c r="E10783" i="1"/>
  <c r="C10784" i="1"/>
  <c r="D10784" i="1"/>
  <c r="E10784" i="1"/>
  <c r="C10785" i="1"/>
  <c r="D10785" i="1"/>
  <c r="E10785" i="1"/>
  <c r="C10786" i="1"/>
  <c r="D10786" i="1"/>
  <c r="E10786" i="1"/>
  <c r="C10787" i="1"/>
  <c r="D10787" i="1"/>
  <c r="E10787" i="1"/>
  <c r="C10788" i="1"/>
  <c r="D10788" i="1"/>
  <c r="E10788" i="1"/>
  <c r="C10789" i="1"/>
  <c r="D10789" i="1"/>
  <c r="E10789" i="1"/>
  <c r="C10790" i="1"/>
  <c r="D10790" i="1"/>
  <c r="E10790" i="1"/>
  <c r="C10791" i="1"/>
  <c r="D10791" i="1"/>
  <c r="E10791" i="1"/>
  <c r="C10792" i="1"/>
  <c r="D10792" i="1"/>
  <c r="E10792" i="1"/>
  <c r="C10793" i="1"/>
  <c r="D10793" i="1"/>
  <c r="E10793" i="1"/>
  <c r="C10794" i="1"/>
  <c r="D10794" i="1"/>
  <c r="E10794" i="1"/>
  <c r="C10795" i="1"/>
  <c r="D10795" i="1"/>
  <c r="E10795" i="1"/>
  <c r="C10796" i="1"/>
  <c r="D10796" i="1"/>
  <c r="E10796" i="1"/>
  <c r="C10797" i="1"/>
  <c r="D10797" i="1"/>
  <c r="E10797" i="1"/>
  <c r="C10798" i="1"/>
  <c r="D10798" i="1"/>
  <c r="E10798" i="1"/>
  <c r="C10799" i="1"/>
  <c r="D10799" i="1"/>
  <c r="E10799" i="1"/>
  <c r="C10800" i="1"/>
  <c r="D10800" i="1"/>
  <c r="E10800" i="1"/>
  <c r="C10801" i="1"/>
  <c r="D10801" i="1"/>
  <c r="E10801" i="1"/>
  <c r="C10802" i="1"/>
  <c r="D10802" i="1"/>
  <c r="E10802" i="1"/>
  <c r="C10803" i="1"/>
  <c r="D10803" i="1"/>
  <c r="E10803" i="1"/>
  <c r="C10804" i="1"/>
  <c r="D10804" i="1"/>
  <c r="E10804" i="1"/>
  <c r="C10805" i="1"/>
  <c r="D10805" i="1"/>
  <c r="E10805" i="1"/>
  <c r="C10806" i="1"/>
  <c r="D10806" i="1"/>
  <c r="E10806" i="1"/>
  <c r="C10807" i="1"/>
  <c r="D10807" i="1"/>
  <c r="E10807" i="1"/>
  <c r="C10808" i="1"/>
  <c r="D10808" i="1"/>
  <c r="E10808" i="1"/>
  <c r="C10809" i="1"/>
  <c r="D10809" i="1"/>
  <c r="E10809" i="1"/>
  <c r="C10810" i="1"/>
  <c r="D10810" i="1"/>
  <c r="E10810" i="1"/>
  <c r="C10811" i="1"/>
  <c r="D10811" i="1"/>
  <c r="E10811" i="1"/>
  <c r="C10812" i="1"/>
  <c r="D10812" i="1"/>
  <c r="E10812" i="1"/>
  <c r="C10813" i="1"/>
  <c r="D10813" i="1"/>
  <c r="E10813" i="1"/>
  <c r="C10814" i="1"/>
  <c r="D10814" i="1"/>
  <c r="E10814" i="1"/>
  <c r="C10815" i="1"/>
  <c r="D10815" i="1"/>
  <c r="E10815" i="1"/>
  <c r="C10816" i="1"/>
  <c r="D10816" i="1"/>
  <c r="E10816" i="1"/>
  <c r="C10817" i="1"/>
  <c r="D10817" i="1"/>
  <c r="E10817" i="1"/>
  <c r="C10818" i="1"/>
  <c r="D10818" i="1"/>
  <c r="E10818" i="1"/>
  <c r="C10819" i="1"/>
  <c r="D10819" i="1"/>
  <c r="E10819" i="1"/>
  <c r="C10820" i="1"/>
  <c r="D10820" i="1"/>
  <c r="E10820" i="1"/>
  <c r="C10821" i="1"/>
  <c r="D10821" i="1"/>
  <c r="E10821" i="1"/>
  <c r="C10822" i="1"/>
  <c r="D10822" i="1"/>
  <c r="E10822" i="1"/>
  <c r="C10823" i="1"/>
  <c r="D10823" i="1"/>
  <c r="E10823" i="1"/>
  <c r="C10824" i="1"/>
  <c r="D10824" i="1"/>
  <c r="E10824" i="1"/>
  <c r="C10825" i="1"/>
  <c r="D10825" i="1"/>
  <c r="E10825" i="1"/>
  <c r="C10826" i="1"/>
  <c r="D10826" i="1"/>
  <c r="E10826" i="1"/>
  <c r="C10827" i="1"/>
  <c r="D10827" i="1"/>
  <c r="E10827" i="1"/>
  <c r="C10828" i="1"/>
  <c r="D10828" i="1"/>
  <c r="E10828" i="1"/>
  <c r="C10829" i="1"/>
  <c r="D10829" i="1"/>
  <c r="E10829" i="1"/>
  <c r="C10830" i="1"/>
  <c r="D10830" i="1"/>
  <c r="E10830" i="1"/>
  <c r="C10831" i="1"/>
  <c r="D10831" i="1"/>
  <c r="E10831" i="1"/>
  <c r="C10832" i="1"/>
  <c r="D10832" i="1"/>
  <c r="E10832" i="1"/>
  <c r="C10833" i="1"/>
  <c r="D10833" i="1"/>
  <c r="E10833" i="1"/>
  <c r="C10834" i="1"/>
  <c r="D10834" i="1"/>
  <c r="E10834" i="1"/>
  <c r="C10835" i="1"/>
  <c r="D10835" i="1"/>
  <c r="E10835" i="1"/>
  <c r="C10836" i="1"/>
  <c r="D10836" i="1"/>
  <c r="E10836" i="1"/>
  <c r="C10837" i="1"/>
  <c r="D10837" i="1"/>
  <c r="E10837" i="1"/>
  <c r="C10838" i="1"/>
  <c r="D10838" i="1"/>
  <c r="E10838" i="1"/>
  <c r="C10839" i="1"/>
  <c r="D10839" i="1"/>
  <c r="E10839" i="1"/>
  <c r="C10840" i="1"/>
  <c r="D10840" i="1"/>
  <c r="E10840" i="1"/>
  <c r="C10841" i="1"/>
  <c r="D10841" i="1"/>
  <c r="E10841" i="1"/>
  <c r="C10842" i="1"/>
  <c r="D10842" i="1"/>
  <c r="E10842" i="1"/>
  <c r="C10843" i="1"/>
  <c r="D10843" i="1"/>
  <c r="E10843" i="1"/>
  <c r="C10844" i="1"/>
  <c r="D10844" i="1"/>
  <c r="E10844" i="1"/>
  <c r="C10845" i="1"/>
  <c r="D10845" i="1"/>
  <c r="E10845" i="1"/>
  <c r="C10846" i="1"/>
  <c r="D10846" i="1"/>
  <c r="E10846" i="1"/>
  <c r="C10847" i="1"/>
  <c r="D10847" i="1"/>
  <c r="E10847" i="1"/>
  <c r="C10848" i="1"/>
  <c r="D10848" i="1"/>
  <c r="E10848" i="1"/>
  <c r="C10849" i="1"/>
  <c r="D10849" i="1"/>
  <c r="E10849" i="1"/>
  <c r="C10850" i="1"/>
  <c r="D10850" i="1"/>
  <c r="E10850" i="1"/>
  <c r="C10851" i="1"/>
  <c r="D10851" i="1"/>
  <c r="E10851" i="1"/>
  <c r="C10852" i="1"/>
  <c r="D10852" i="1"/>
  <c r="E10852" i="1"/>
  <c r="C10853" i="1"/>
  <c r="D10853" i="1"/>
  <c r="E10853" i="1"/>
  <c r="C10854" i="1"/>
  <c r="D10854" i="1"/>
  <c r="E10854" i="1"/>
  <c r="C10855" i="1"/>
  <c r="D10855" i="1"/>
  <c r="E10855" i="1"/>
  <c r="C10856" i="1"/>
  <c r="D10856" i="1"/>
  <c r="E10856" i="1"/>
  <c r="C10857" i="1"/>
  <c r="D10857" i="1"/>
  <c r="E10857" i="1"/>
  <c r="C10858" i="1"/>
  <c r="D10858" i="1"/>
  <c r="E10858" i="1"/>
  <c r="C10859" i="1"/>
  <c r="D10859" i="1"/>
  <c r="E10859" i="1"/>
  <c r="C10860" i="1"/>
  <c r="D10860" i="1"/>
  <c r="E10860" i="1"/>
  <c r="C10861" i="1"/>
  <c r="D10861" i="1"/>
  <c r="E10861" i="1"/>
  <c r="C10862" i="1"/>
  <c r="D10862" i="1"/>
  <c r="E10862" i="1"/>
  <c r="C10863" i="1"/>
  <c r="D10863" i="1"/>
  <c r="E10863" i="1"/>
  <c r="C10864" i="1"/>
  <c r="D10864" i="1"/>
  <c r="E10864" i="1"/>
  <c r="C10865" i="1"/>
  <c r="D10865" i="1"/>
  <c r="E10865" i="1"/>
  <c r="C10866" i="1"/>
  <c r="D10866" i="1"/>
  <c r="E10866" i="1"/>
  <c r="C10867" i="1"/>
  <c r="D10867" i="1"/>
  <c r="E10867" i="1"/>
  <c r="C10868" i="1"/>
  <c r="D10868" i="1"/>
  <c r="E10868" i="1"/>
  <c r="C10869" i="1"/>
  <c r="D10869" i="1"/>
  <c r="E10869" i="1"/>
  <c r="C10870" i="1"/>
  <c r="D10870" i="1"/>
  <c r="E10870" i="1"/>
  <c r="C10871" i="1"/>
  <c r="D10871" i="1"/>
  <c r="E10871" i="1"/>
  <c r="C10872" i="1"/>
  <c r="D10872" i="1"/>
  <c r="E10872" i="1"/>
  <c r="C10873" i="1"/>
  <c r="D10873" i="1"/>
  <c r="E10873" i="1"/>
  <c r="C10874" i="1"/>
  <c r="D10874" i="1"/>
  <c r="E10874" i="1"/>
  <c r="C10875" i="1"/>
  <c r="D10875" i="1"/>
  <c r="E10875" i="1"/>
  <c r="C10876" i="1"/>
  <c r="D10876" i="1"/>
  <c r="E10876" i="1"/>
  <c r="C10877" i="1"/>
  <c r="D10877" i="1"/>
  <c r="E10877" i="1"/>
  <c r="C10878" i="1"/>
  <c r="D10878" i="1"/>
  <c r="E10878" i="1"/>
  <c r="C10879" i="1"/>
  <c r="D10879" i="1"/>
  <c r="E10879" i="1"/>
  <c r="C10880" i="1"/>
  <c r="D10880" i="1"/>
  <c r="E10880" i="1"/>
  <c r="C10881" i="1"/>
  <c r="D10881" i="1"/>
  <c r="E10881" i="1"/>
  <c r="C10882" i="1"/>
  <c r="D10882" i="1"/>
  <c r="E10882" i="1"/>
  <c r="C10883" i="1"/>
  <c r="D10883" i="1"/>
  <c r="E10883" i="1"/>
  <c r="C10884" i="1"/>
  <c r="D10884" i="1"/>
  <c r="E10884" i="1"/>
  <c r="C10885" i="1"/>
  <c r="D10885" i="1"/>
  <c r="E10885" i="1"/>
  <c r="C10886" i="1"/>
  <c r="D10886" i="1"/>
  <c r="E10886" i="1"/>
  <c r="C10887" i="1"/>
  <c r="D10887" i="1"/>
  <c r="E10887" i="1"/>
  <c r="C10888" i="1"/>
  <c r="D10888" i="1"/>
  <c r="E10888" i="1"/>
  <c r="C10889" i="1"/>
  <c r="D10889" i="1"/>
  <c r="E10889" i="1"/>
  <c r="C10890" i="1"/>
  <c r="D10890" i="1"/>
  <c r="E10890" i="1"/>
  <c r="C10891" i="1"/>
  <c r="D10891" i="1"/>
  <c r="E10891" i="1"/>
  <c r="C10892" i="1"/>
  <c r="D10892" i="1"/>
  <c r="E10892" i="1"/>
  <c r="C10893" i="1"/>
  <c r="D10893" i="1"/>
  <c r="E10893" i="1"/>
  <c r="C10894" i="1"/>
  <c r="D10894" i="1"/>
  <c r="E10894" i="1"/>
  <c r="C10895" i="1"/>
  <c r="D10895" i="1"/>
  <c r="E10895" i="1"/>
  <c r="C10896" i="1"/>
  <c r="D10896" i="1"/>
  <c r="E10896" i="1"/>
  <c r="C10897" i="1"/>
  <c r="D10897" i="1"/>
  <c r="E10897" i="1"/>
  <c r="C10898" i="1"/>
  <c r="D10898" i="1"/>
  <c r="E10898" i="1"/>
  <c r="C10899" i="1"/>
  <c r="D10899" i="1"/>
  <c r="E10899" i="1"/>
  <c r="C10900" i="1"/>
  <c r="D10900" i="1"/>
  <c r="E10900" i="1"/>
  <c r="C10901" i="1"/>
  <c r="D10901" i="1"/>
  <c r="E10901" i="1"/>
  <c r="C10902" i="1"/>
  <c r="D10902" i="1"/>
  <c r="E10902" i="1"/>
  <c r="C10903" i="1"/>
  <c r="D10903" i="1"/>
  <c r="E10903" i="1"/>
  <c r="C10904" i="1"/>
  <c r="D10904" i="1"/>
  <c r="E10904" i="1"/>
  <c r="C10905" i="1"/>
  <c r="D10905" i="1"/>
  <c r="E10905" i="1"/>
  <c r="C10906" i="1"/>
  <c r="D10906" i="1"/>
  <c r="E10906" i="1"/>
  <c r="C10907" i="1"/>
  <c r="D10907" i="1"/>
  <c r="E10907" i="1"/>
  <c r="C10908" i="1"/>
  <c r="D10908" i="1"/>
  <c r="E10908" i="1"/>
  <c r="C10909" i="1"/>
  <c r="D10909" i="1"/>
  <c r="E10909" i="1"/>
  <c r="C10910" i="1"/>
  <c r="D10910" i="1"/>
  <c r="E10910" i="1"/>
  <c r="C10911" i="1"/>
  <c r="D10911" i="1"/>
  <c r="E10911" i="1"/>
  <c r="C10912" i="1"/>
  <c r="D10912" i="1"/>
  <c r="E10912" i="1"/>
  <c r="C10913" i="1"/>
  <c r="D10913" i="1"/>
  <c r="E10913" i="1"/>
  <c r="C10914" i="1"/>
  <c r="D10914" i="1"/>
  <c r="E10914" i="1"/>
  <c r="C10915" i="1"/>
  <c r="D10915" i="1"/>
  <c r="E10915" i="1"/>
  <c r="C10916" i="1"/>
  <c r="D10916" i="1"/>
  <c r="E10916" i="1"/>
  <c r="C10917" i="1"/>
  <c r="D10917" i="1"/>
  <c r="E10917" i="1"/>
  <c r="C10918" i="1"/>
  <c r="D10918" i="1"/>
  <c r="E10918" i="1"/>
  <c r="C10919" i="1"/>
  <c r="D10919" i="1"/>
  <c r="E10919" i="1"/>
  <c r="C10920" i="1"/>
  <c r="D10920" i="1"/>
  <c r="E10920" i="1"/>
  <c r="C10921" i="1"/>
  <c r="D10921" i="1"/>
  <c r="E10921" i="1"/>
  <c r="C10922" i="1"/>
  <c r="D10922" i="1"/>
  <c r="E10922" i="1"/>
  <c r="C10923" i="1"/>
  <c r="D10923" i="1"/>
  <c r="E10923" i="1"/>
  <c r="C10924" i="1"/>
  <c r="D10924" i="1"/>
  <c r="E10924" i="1"/>
  <c r="C10925" i="1"/>
  <c r="D10925" i="1"/>
  <c r="E10925" i="1"/>
  <c r="C10926" i="1"/>
  <c r="D10926" i="1"/>
  <c r="E10926" i="1"/>
  <c r="C10927" i="1"/>
  <c r="D10927" i="1"/>
  <c r="E10927" i="1"/>
  <c r="C10928" i="1"/>
  <c r="D10928" i="1"/>
  <c r="E10928" i="1"/>
  <c r="C10929" i="1"/>
  <c r="D10929" i="1"/>
  <c r="E10929" i="1"/>
  <c r="C10930" i="1"/>
  <c r="D10930" i="1"/>
  <c r="E10930" i="1"/>
  <c r="C10931" i="1"/>
  <c r="D10931" i="1"/>
  <c r="E10931" i="1"/>
  <c r="C10932" i="1"/>
  <c r="D10932" i="1"/>
  <c r="E10932" i="1"/>
  <c r="C10933" i="1"/>
  <c r="D10933" i="1"/>
  <c r="E10933" i="1"/>
  <c r="C10934" i="1"/>
  <c r="D10934" i="1"/>
  <c r="E10934" i="1"/>
  <c r="C10935" i="1"/>
  <c r="D10935" i="1"/>
  <c r="E10935" i="1"/>
  <c r="C10936" i="1"/>
  <c r="D10936" i="1"/>
  <c r="E10936" i="1"/>
  <c r="C10937" i="1"/>
  <c r="D10937" i="1"/>
  <c r="E10937" i="1"/>
  <c r="C10938" i="1"/>
  <c r="D10938" i="1"/>
  <c r="E10938" i="1"/>
  <c r="C10939" i="1"/>
  <c r="D10939" i="1"/>
  <c r="E10939" i="1"/>
  <c r="C10940" i="1"/>
  <c r="D10940" i="1"/>
  <c r="E10940" i="1"/>
  <c r="C10941" i="1"/>
  <c r="D10941" i="1"/>
  <c r="E10941" i="1"/>
  <c r="C10942" i="1"/>
  <c r="D10942" i="1"/>
  <c r="E10942" i="1"/>
  <c r="C10943" i="1"/>
  <c r="D10943" i="1"/>
  <c r="E10943" i="1"/>
  <c r="C10944" i="1"/>
  <c r="D10944" i="1"/>
  <c r="E10944" i="1"/>
  <c r="C10945" i="1"/>
  <c r="D10945" i="1"/>
  <c r="E10945" i="1"/>
  <c r="C10946" i="1"/>
  <c r="D10946" i="1"/>
  <c r="E10946" i="1"/>
  <c r="C10947" i="1"/>
  <c r="D10947" i="1"/>
  <c r="E10947" i="1"/>
  <c r="C10948" i="1"/>
  <c r="D10948" i="1"/>
  <c r="E10948" i="1"/>
  <c r="C10949" i="1"/>
  <c r="D10949" i="1"/>
  <c r="E10949" i="1"/>
  <c r="C10950" i="1"/>
  <c r="D10950" i="1"/>
  <c r="E10950" i="1"/>
  <c r="C10951" i="1"/>
  <c r="D10951" i="1"/>
  <c r="E10951" i="1"/>
  <c r="C10952" i="1"/>
  <c r="D10952" i="1"/>
  <c r="E10952" i="1"/>
  <c r="C10953" i="1"/>
  <c r="D10953" i="1"/>
  <c r="E10953" i="1"/>
  <c r="C10954" i="1"/>
  <c r="D10954" i="1"/>
  <c r="E10954" i="1"/>
  <c r="C10955" i="1"/>
  <c r="D10955" i="1"/>
  <c r="E10955" i="1"/>
  <c r="C10956" i="1"/>
  <c r="D10956" i="1"/>
  <c r="E10956" i="1"/>
  <c r="C10957" i="1"/>
  <c r="D10957" i="1"/>
  <c r="E10957" i="1"/>
  <c r="C10958" i="1"/>
  <c r="D10958" i="1"/>
  <c r="E10958" i="1"/>
  <c r="C10959" i="1"/>
  <c r="D10959" i="1"/>
  <c r="E10959" i="1"/>
  <c r="C10960" i="1"/>
  <c r="D10960" i="1"/>
  <c r="E10960" i="1"/>
  <c r="C10961" i="1"/>
  <c r="D10961" i="1"/>
  <c r="E10961" i="1"/>
  <c r="C10962" i="1"/>
  <c r="D10962" i="1"/>
  <c r="E10962" i="1"/>
  <c r="C10963" i="1"/>
  <c r="D10963" i="1"/>
  <c r="E10963" i="1"/>
  <c r="C10964" i="1"/>
  <c r="D10964" i="1"/>
  <c r="E10964" i="1"/>
  <c r="C10965" i="1"/>
  <c r="D10965" i="1"/>
  <c r="E10965" i="1"/>
  <c r="C10966" i="1"/>
  <c r="D10966" i="1"/>
  <c r="E10966" i="1"/>
  <c r="C10967" i="1"/>
  <c r="D10967" i="1"/>
  <c r="E10967" i="1"/>
  <c r="C10968" i="1"/>
  <c r="D10968" i="1"/>
  <c r="E10968" i="1"/>
  <c r="C10969" i="1"/>
  <c r="D10969" i="1"/>
  <c r="E10969" i="1"/>
  <c r="C10970" i="1"/>
  <c r="D10970" i="1"/>
  <c r="E10970" i="1"/>
  <c r="C10971" i="1"/>
  <c r="D10971" i="1"/>
  <c r="E10971" i="1"/>
  <c r="C10972" i="1"/>
  <c r="D10972" i="1"/>
  <c r="E10972" i="1"/>
  <c r="C10973" i="1"/>
  <c r="D10973" i="1"/>
  <c r="E10973" i="1"/>
  <c r="C10974" i="1"/>
  <c r="D10974" i="1"/>
  <c r="E10974" i="1"/>
  <c r="C10975" i="1"/>
  <c r="D10975" i="1"/>
  <c r="E10975" i="1"/>
  <c r="C10976" i="1"/>
  <c r="D10976" i="1"/>
  <c r="E10976" i="1"/>
  <c r="C10977" i="1"/>
  <c r="D10977" i="1"/>
  <c r="E10977" i="1"/>
  <c r="C10978" i="1"/>
  <c r="D10978" i="1"/>
  <c r="E10978" i="1"/>
  <c r="C10979" i="1"/>
  <c r="D10979" i="1"/>
  <c r="E10979" i="1"/>
  <c r="C10980" i="1"/>
  <c r="D10980" i="1"/>
  <c r="E10980" i="1"/>
  <c r="C10981" i="1"/>
  <c r="D10981" i="1"/>
  <c r="E10981" i="1"/>
  <c r="C10982" i="1"/>
  <c r="D10982" i="1"/>
  <c r="E10982" i="1"/>
  <c r="C10983" i="1"/>
  <c r="D10983" i="1"/>
  <c r="E10983" i="1"/>
  <c r="C10984" i="1"/>
  <c r="D10984" i="1"/>
  <c r="E10984" i="1"/>
  <c r="C10985" i="1"/>
  <c r="D10985" i="1"/>
  <c r="E10985" i="1"/>
  <c r="C10986" i="1"/>
  <c r="D10986" i="1"/>
  <c r="E10986" i="1"/>
  <c r="C10987" i="1"/>
  <c r="D10987" i="1"/>
  <c r="E10987" i="1"/>
  <c r="C10988" i="1"/>
  <c r="D10988" i="1"/>
  <c r="E10988" i="1"/>
  <c r="C10989" i="1"/>
  <c r="D10989" i="1"/>
  <c r="E10989" i="1"/>
  <c r="C10990" i="1"/>
  <c r="D10990" i="1"/>
  <c r="E10990" i="1"/>
  <c r="C10991" i="1"/>
  <c r="D10991" i="1"/>
  <c r="E10991" i="1"/>
  <c r="C10992" i="1"/>
  <c r="D10992" i="1"/>
  <c r="E10992" i="1"/>
  <c r="C10993" i="1"/>
  <c r="D10993" i="1"/>
  <c r="E10993" i="1"/>
  <c r="C10994" i="1"/>
  <c r="D10994" i="1"/>
  <c r="E10994" i="1"/>
  <c r="C10995" i="1"/>
  <c r="D10995" i="1"/>
  <c r="E10995" i="1"/>
  <c r="C10996" i="1"/>
  <c r="D10996" i="1"/>
  <c r="E10996" i="1"/>
  <c r="C10997" i="1"/>
  <c r="D10997" i="1"/>
  <c r="E10997" i="1"/>
  <c r="C10998" i="1"/>
  <c r="D10998" i="1"/>
  <c r="E10998" i="1"/>
  <c r="C10999" i="1"/>
  <c r="D10999" i="1"/>
  <c r="E10999" i="1"/>
  <c r="C11000" i="1"/>
  <c r="D11000" i="1"/>
  <c r="E11000" i="1"/>
  <c r="C11001" i="1"/>
  <c r="D11001" i="1"/>
  <c r="E11001" i="1"/>
  <c r="C11002" i="1"/>
  <c r="D11002" i="1"/>
  <c r="E11002" i="1"/>
  <c r="C11003" i="1"/>
  <c r="D11003" i="1"/>
  <c r="E11003" i="1"/>
  <c r="C11004" i="1"/>
  <c r="D11004" i="1"/>
  <c r="E11004" i="1"/>
  <c r="C11005" i="1"/>
  <c r="D11005" i="1"/>
  <c r="E11005" i="1"/>
  <c r="C11006" i="1"/>
  <c r="D11006" i="1"/>
  <c r="E11006" i="1"/>
  <c r="C11007" i="1"/>
  <c r="D11007" i="1"/>
  <c r="E11007" i="1"/>
  <c r="C11008" i="1"/>
  <c r="D11008" i="1"/>
  <c r="E11008" i="1"/>
  <c r="C11009" i="1"/>
  <c r="D11009" i="1"/>
  <c r="E11009" i="1"/>
  <c r="C11010" i="1"/>
  <c r="D11010" i="1"/>
  <c r="E11010" i="1"/>
  <c r="C11011" i="1"/>
  <c r="D11011" i="1"/>
  <c r="E11011" i="1"/>
  <c r="C11012" i="1"/>
  <c r="D11012" i="1"/>
  <c r="E11012" i="1"/>
  <c r="C11013" i="1"/>
  <c r="D11013" i="1"/>
  <c r="E11013" i="1"/>
  <c r="C11014" i="1"/>
  <c r="D11014" i="1"/>
  <c r="E11014" i="1"/>
  <c r="C11015" i="1"/>
  <c r="D11015" i="1"/>
  <c r="E11015" i="1"/>
  <c r="C11016" i="1"/>
  <c r="D11016" i="1"/>
  <c r="E11016" i="1"/>
  <c r="C11017" i="1"/>
  <c r="D11017" i="1"/>
  <c r="E11017" i="1"/>
  <c r="C11018" i="1"/>
  <c r="D11018" i="1"/>
  <c r="E11018" i="1"/>
  <c r="C11019" i="1"/>
  <c r="D11019" i="1"/>
  <c r="E11019" i="1"/>
  <c r="C11020" i="1"/>
  <c r="D11020" i="1"/>
  <c r="E11020" i="1"/>
  <c r="C11021" i="1"/>
  <c r="D11021" i="1"/>
  <c r="E11021" i="1"/>
  <c r="C11022" i="1"/>
  <c r="D11022" i="1"/>
  <c r="E11022" i="1"/>
  <c r="C11023" i="1"/>
  <c r="D11023" i="1"/>
  <c r="E11023" i="1"/>
  <c r="C11024" i="1"/>
  <c r="D11024" i="1"/>
  <c r="E11024" i="1"/>
  <c r="C11025" i="1"/>
  <c r="D11025" i="1"/>
  <c r="E11025" i="1"/>
  <c r="C11026" i="1"/>
  <c r="D11026" i="1"/>
  <c r="E11026" i="1"/>
  <c r="C11027" i="1"/>
  <c r="D11027" i="1"/>
  <c r="E11027" i="1"/>
  <c r="C11028" i="1"/>
  <c r="D11028" i="1"/>
  <c r="E11028" i="1"/>
  <c r="C11029" i="1"/>
  <c r="D11029" i="1"/>
  <c r="E11029" i="1"/>
  <c r="C11030" i="1"/>
  <c r="D11030" i="1"/>
  <c r="E11030" i="1"/>
  <c r="C11031" i="1"/>
  <c r="D11031" i="1"/>
  <c r="E11031" i="1"/>
  <c r="C11032" i="1"/>
  <c r="D11032" i="1"/>
  <c r="E11032" i="1"/>
  <c r="C11033" i="1"/>
  <c r="D11033" i="1"/>
  <c r="E11033" i="1"/>
  <c r="C11034" i="1"/>
  <c r="D11034" i="1"/>
  <c r="E11034" i="1"/>
  <c r="C11035" i="1"/>
  <c r="D11035" i="1"/>
  <c r="E11035" i="1"/>
  <c r="C11036" i="1"/>
  <c r="D11036" i="1"/>
  <c r="E11036" i="1"/>
  <c r="C11037" i="1"/>
  <c r="D11037" i="1"/>
  <c r="E11037" i="1"/>
  <c r="C11038" i="1"/>
  <c r="D11038" i="1"/>
  <c r="E11038" i="1"/>
  <c r="C11039" i="1"/>
  <c r="D11039" i="1"/>
  <c r="E11039" i="1"/>
  <c r="C11040" i="1"/>
  <c r="D11040" i="1"/>
  <c r="E11040" i="1"/>
  <c r="C11041" i="1"/>
  <c r="D11041" i="1"/>
  <c r="E11041" i="1"/>
  <c r="C11042" i="1"/>
  <c r="D11042" i="1"/>
  <c r="E11042" i="1"/>
  <c r="C11043" i="1"/>
  <c r="D11043" i="1"/>
  <c r="E11043" i="1"/>
  <c r="C11044" i="1"/>
  <c r="D11044" i="1"/>
  <c r="E11044" i="1"/>
  <c r="C11045" i="1"/>
  <c r="D11045" i="1"/>
  <c r="E11045" i="1"/>
  <c r="C11046" i="1"/>
  <c r="D11046" i="1"/>
  <c r="E11046" i="1"/>
  <c r="C11047" i="1"/>
  <c r="D11047" i="1"/>
  <c r="E11047" i="1"/>
  <c r="C11048" i="1"/>
  <c r="D11048" i="1"/>
  <c r="E11048" i="1"/>
  <c r="C11049" i="1"/>
  <c r="D11049" i="1"/>
  <c r="E11049" i="1"/>
  <c r="C11050" i="1"/>
  <c r="D11050" i="1"/>
  <c r="E11050" i="1"/>
  <c r="C11051" i="1"/>
  <c r="D11051" i="1"/>
  <c r="E11051" i="1"/>
  <c r="C11052" i="1"/>
  <c r="D11052" i="1"/>
  <c r="E11052" i="1"/>
  <c r="C11053" i="1"/>
  <c r="D11053" i="1"/>
  <c r="E11053" i="1"/>
  <c r="C11054" i="1"/>
  <c r="D11054" i="1"/>
  <c r="E11054" i="1"/>
  <c r="C11055" i="1"/>
  <c r="D11055" i="1"/>
  <c r="E11055" i="1"/>
  <c r="C11056" i="1"/>
  <c r="D11056" i="1"/>
  <c r="E11056" i="1"/>
  <c r="C11057" i="1"/>
  <c r="D11057" i="1"/>
  <c r="E11057" i="1"/>
  <c r="C11058" i="1"/>
  <c r="D11058" i="1"/>
  <c r="E11058" i="1"/>
  <c r="C11059" i="1"/>
  <c r="D11059" i="1"/>
  <c r="E11059" i="1"/>
  <c r="C11060" i="1"/>
  <c r="D11060" i="1"/>
  <c r="E11060" i="1"/>
  <c r="C11061" i="1"/>
  <c r="D11061" i="1"/>
  <c r="E11061" i="1"/>
  <c r="C11062" i="1"/>
  <c r="D11062" i="1"/>
  <c r="E11062" i="1"/>
  <c r="C11063" i="1"/>
  <c r="D11063" i="1"/>
  <c r="E11063" i="1"/>
  <c r="C11064" i="1"/>
  <c r="D11064" i="1"/>
  <c r="E11064" i="1"/>
  <c r="C11065" i="1"/>
  <c r="D11065" i="1"/>
  <c r="E11065" i="1"/>
  <c r="C11066" i="1"/>
  <c r="D11066" i="1"/>
  <c r="E11066" i="1"/>
  <c r="C11067" i="1"/>
  <c r="D11067" i="1"/>
  <c r="E11067" i="1"/>
  <c r="C11068" i="1"/>
  <c r="D11068" i="1"/>
  <c r="E11068" i="1"/>
  <c r="C11069" i="1"/>
  <c r="D11069" i="1"/>
  <c r="E11069" i="1"/>
  <c r="C11070" i="1"/>
  <c r="D11070" i="1"/>
  <c r="E11070" i="1"/>
  <c r="C11071" i="1"/>
  <c r="D11071" i="1"/>
  <c r="E11071" i="1"/>
  <c r="C11072" i="1"/>
  <c r="D11072" i="1"/>
  <c r="E11072" i="1"/>
  <c r="C11073" i="1"/>
  <c r="D11073" i="1"/>
  <c r="E11073" i="1"/>
  <c r="C11074" i="1"/>
  <c r="D11074" i="1"/>
  <c r="E11074" i="1"/>
  <c r="C11075" i="1"/>
  <c r="D11075" i="1"/>
  <c r="E11075" i="1"/>
  <c r="C11076" i="1"/>
  <c r="D11076" i="1"/>
  <c r="E11076" i="1"/>
  <c r="C11077" i="1"/>
  <c r="D11077" i="1"/>
  <c r="E11077" i="1"/>
  <c r="C11078" i="1"/>
  <c r="D11078" i="1"/>
  <c r="E11078" i="1"/>
  <c r="C11079" i="1"/>
  <c r="D11079" i="1"/>
  <c r="E11079" i="1"/>
  <c r="C11080" i="1"/>
  <c r="D11080" i="1"/>
  <c r="E11080" i="1"/>
  <c r="C11081" i="1"/>
  <c r="D11081" i="1"/>
  <c r="E11081" i="1"/>
  <c r="C11082" i="1"/>
  <c r="D11082" i="1"/>
  <c r="E11082" i="1"/>
  <c r="C11083" i="1"/>
  <c r="D11083" i="1"/>
  <c r="E11083" i="1"/>
  <c r="C11084" i="1"/>
  <c r="D11084" i="1"/>
  <c r="E11084" i="1"/>
  <c r="C11085" i="1"/>
  <c r="D11085" i="1"/>
  <c r="E11085" i="1"/>
  <c r="C11086" i="1"/>
  <c r="D11086" i="1"/>
  <c r="E11086" i="1"/>
  <c r="C11087" i="1"/>
  <c r="D11087" i="1"/>
  <c r="E11087" i="1"/>
  <c r="C11088" i="1"/>
  <c r="D11088" i="1"/>
  <c r="E11088" i="1"/>
  <c r="C11089" i="1"/>
  <c r="D11089" i="1"/>
  <c r="E11089" i="1"/>
  <c r="C11090" i="1"/>
  <c r="D11090" i="1"/>
  <c r="E11090" i="1"/>
  <c r="C11091" i="1"/>
  <c r="D11091" i="1"/>
  <c r="E11091" i="1"/>
  <c r="C11092" i="1"/>
  <c r="D11092" i="1"/>
  <c r="E11092" i="1"/>
  <c r="C11093" i="1"/>
  <c r="D11093" i="1"/>
  <c r="E11093" i="1"/>
  <c r="C11094" i="1"/>
  <c r="D11094" i="1"/>
  <c r="E11094" i="1"/>
  <c r="C11095" i="1"/>
  <c r="D11095" i="1"/>
  <c r="E11095" i="1"/>
  <c r="C11096" i="1"/>
  <c r="D11096" i="1"/>
  <c r="E11096" i="1"/>
  <c r="C11097" i="1"/>
  <c r="D11097" i="1"/>
  <c r="E11097" i="1"/>
  <c r="C11098" i="1"/>
  <c r="D11098" i="1"/>
  <c r="E11098" i="1"/>
  <c r="C11099" i="1"/>
  <c r="D11099" i="1"/>
  <c r="E11099" i="1"/>
  <c r="C11100" i="1"/>
  <c r="D11100" i="1"/>
  <c r="E11100" i="1"/>
  <c r="C11101" i="1"/>
  <c r="D11101" i="1"/>
  <c r="E11101" i="1"/>
  <c r="C11102" i="1"/>
  <c r="D11102" i="1"/>
  <c r="E11102" i="1"/>
  <c r="C11103" i="1"/>
  <c r="D11103" i="1"/>
  <c r="E11103" i="1"/>
  <c r="C11104" i="1"/>
  <c r="D11104" i="1"/>
  <c r="E11104" i="1"/>
  <c r="C11105" i="1"/>
  <c r="D11105" i="1"/>
  <c r="E11105" i="1"/>
  <c r="C11106" i="1"/>
  <c r="D11106" i="1"/>
  <c r="E11106" i="1"/>
  <c r="C11107" i="1"/>
  <c r="D11107" i="1"/>
  <c r="E11107" i="1"/>
  <c r="C11108" i="1"/>
  <c r="D11108" i="1"/>
  <c r="E11108" i="1"/>
  <c r="C11109" i="1"/>
  <c r="D11109" i="1"/>
  <c r="E11109" i="1"/>
  <c r="C11110" i="1"/>
  <c r="D11110" i="1"/>
  <c r="E11110" i="1"/>
  <c r="C11111" i="1"/>
  <c r="D11111" i="1"/>
  <c r="E11111" i="1"/>
  <c r="C11112" i="1"/>
  <c r="D11112" i="1"/>
  <c r="E11112" i="1"/>
  <c r="C11113" i="1"/>
  <c r="D11113" i="1"/>
  <c r="E11113" i="1"/>
  <c r="C11114" i="1"/>
  <c r="D11114" i="1"/>
  <c r="E11114" i="1"/>
  <c r="C11115" i="1"/>
  <c r="D11115" i="1"/>
  <c r="E11115" i="1"/>
  <c r="C11116" i="1"/>
  <c r="D11116" i="1"/>
  <c r="E11116" i="1"/>
  <c r="C11117" i="1"/>
  <c r="D11117" i="1"/>
  <c r="E11117" i="1"/>
  <c r="C11118" i="1"/>
  <c r="D11118" i="1"/>
  <c r="E11118" i="1"/>
  <c r="C11119" i="1"/>
  <c r="D11119" i="1"/>
  <c r="E11119" i="1"/>
  <c r="C11120" i="1"/>
  <c r="D11120" i="1"/>
  <c r="E11120" i="1"/>
  <c r="C11121" i="1"/>
  <c r="D11121" i="1"/>
  <c r="E11121" i="1"/>
  <c r="C11122" i="1"/>
  <c r="D11122" i="1"/>
  <c r="E11122" i="1"/>
  <c r="C11123" i="1"/>
  <c r="D11123" i="1"/>
  <c r="E11123" i="1"/>
  <c r="C11124" i="1"/>
  <c r="D11124" i="1"/>
  <c r="E11124" i="1"/>
  <c r="C11125" i="1"/>
  <c r="D11125" i="1"/>
  <c r="E11125" i="1"/>
  <c r="C11126" i="1"/>
  <c r="D11126" i="1"/>
  <c r="E11126" i="1"/>
  <c r="C11127" i="1"/>
  <c r="D11127" i="1"/>
  <c r="E11127" i="1"/>
  <c r="C11128" i="1"/>
  <c r="D11128" i="1"/>
  <c r="E11128" i="1"/>
  <c r="C11129" i="1"/>
  <c r="D11129" i="1"/>
  <c r="E11129" i="1"/>
  <c r="C11130" i="1"/>
  <c r="D11130" i="1"/>
  <c r="E11130" i="1"/>
  <c r="C11131" i="1"/>
  <c r="D11131" i="1"/>
  <c r="E11131" i="1"/>
  <c r="C11132" i="1"/>
  <c r="D11132" i="1"/>
  <c r="E11132" i="1"/>
  <c r="C11133" i="1"/>
  <c r="D11133" i="1"/>
  <c r="E11133" i="1"/>
  <c r="C11134" i="1"/>
  <c r="D11134" i="1"/>
  <c r="E11134" i="1"/>
  <c r="C11135" i="1"/>
  <c r="D11135" i="1"/>
  <c r="E11135" i="1"/>
  <c r="C11136" i="1"/>
  <c r="D11136" i="1"/>
  <c r="E11136" i="1"/>
  <c r="C11137" i="1"/>
  <c r="D11137" i="1"/>
  <c r="E11137" i="1"/>
  <c r="C11138" i="1"/>
  <c r="D11138" i="1"/>
  <c r="E11138" i="1"/>
  <c r="C11139" i="1"/>
  <c r="D11139" i="1"/>
  <c r="E11139" i="1"/>
  <c r="C11140" i="1"/>
  <c r="D11140" i="1"/>
  <c r="E11140" i="1"/>
  <c r="C11141" i="1"/>
  <c r="D11141" i="1"/>
  <c r="E11141" i="1"/>
  <c r="C11142" i="1"/>
  <c r="D11142" i="1"/>
  <c r="E11142" i="1"/>
  <c r="C11143" i="1"/>
  <c r="D11143" i="1"/>
  <c r="E11143" i="1"/>
  <c r="C11144" i="1"/>
  <c r="D11144" i="1"/>
  <c r="E11144" i="1"/>
  <c r="C11145" i="1"/>
  <c r="D11145" i="1"/>
  <c r="E11145" i="1"/>
  <c r="C11146" i="1"/>
  <c r="D11146" i="1"/>
  <c r="E11146" i="1"/>
  <c r="C11147" i="1"/>
  <c r="D11147" i="1"/>
  <c r="E11147" i="1"/>
  <c r="C11148" i="1"/>
  <c r="D11148" i="1"/>
  <c r="E11148" i="1"/>
  <c r="C11149" i="1"/>
  <c r="D11149" i="1"/>
  <c r="E11149" i="1"/>
  <c r="C11150" i="1"/>
  <c r="D11150" i="1"/>
  <c r="E11150" i="1"/>
  <c r="C11151" i="1"/>
  <c r="D11151" i="1"/>
  <c r="E11151" i="1"/>
  <c r="C11152" i="1"/>
  <c r="D11152" i="1"/>
  <c r="E11152" i="1"/>
  <c r="C11153" i="1"/>
  <c r="D11153" i="1"/>
  <c r="E11153" i="1"/>
  <c r="C11154" i="1"/>
  <c r="D11154" i="1"/>
  <c r="E11154" i="1"/>
  <c r="C11155" i="1"/>
  <c r="D11155" i="1"/>
  <c r="E11155" i="1"/>
  <c r="C11156" i="1"/>
  <c r="D11156" i="1"/>
  <c r="E11156" i="1"/>
  <c r="C11157" i="1"/>
  <c r="D11157" i="1"/>
  <c r="E11157" i="1"/>
  <c r="C11158" i="1"/>
  <c r="D11158" i="1"/>
  <c r="E11158" i="1"/>
  <c r="C11159" i="1"/>
  <c r="D11159" i="1"/>
  <c r="E11159" i="1"/>
  <c r="C11160" i="1"/>
  <c r="D11160" i="1"/>
  <c r="E11160" i="1"/>
  <c r="C11161" i="1"/>
  <c r="D11161" i="1"/>
  <c r="E11161" i="1"/>
  <c r="C11162" i="1"/>
  <c r="D11162" i="1"/>
  <c r="E11162" i="1"/>
  <c r="C11163" i="1"/>
  <c r="D11163" i="1"/>
  <c r="E11163" i="1"/>
  <c r="C11164" i="1"/>
  <c r="D11164" i="1"/>
  <c r="E11164" i="1"/>
  <c r="C11165" i="1"/>
  <c r="D11165" i="1"/>
  <c r="E11165" i="1"/>
  <c r="C11166" i="1"/>
  <c r="D11166" i="1"/>
  <c r="E11166" i="1"/>
  <c r="C11167" i="1"/>
  <c r="D11167" i="1"/>
  <c r="E11167" i="1"/>
  <c r="C11168" i="1"/>
  <c r="D11168" i="1"/>
  <c r="E11168" i="1"/>
  <c r="C11169" i="1"/>
  <c r="D11169" i="1"/>
  <c r="E11169" i="1"/>
  <c r="C11170" i="1"/>
  <c r="D11170" i="1"/>
  <c r="E11170" i="1"/>
  <c r="C11171" i="1"/>
  <c r="D11171" i="1"/>
  <c r="E11171" i="1"/>
  <c r="C11172" i="1"/>
  <c r="D11172" i="1"/>
  <c r="E11172" i="1"/>
  <c r="C11173" i="1"/>
  <c r="D11173" i="1"/>
  <c r="E11173" i="1"/>
  <c r="C11174" i="1"/>
  <c r="D11174" i="1"/>
  <c r="E11174" i="1"/>
  <c r="C11175" i="1"/>
  <c r="D11175" i="1"/>
  <c r="E11175" i="1"/>
  <c r="C11176" i="1"/>
  <c r="D11176" i="1"/>
  <c r="E11176" i="1"/>
  <c r="C11177" i="1"/>
  <c r="D11177" i="1"/>
  <c r="E11177" i="1"/>
  <c r="C11178" i="1"/>
  <c r="D11178" i="1"/>
  <c r="E11178" i="1"/>
  <c r="C11179" i="1"/>
  <c r="D11179" i="1"/>
  <c r="E11179" i="1"/>
  <c r="C11180" i="1"/>
  <c r="D11180" i="1"/>
  <c r="E11180" i="1"/>
  <c r="C11181" i="1"/>
  <c r="D11181" i="1"/>
  <c r="E11181" i="1"/>
  <c r="C11182" i="1"/>
  <c r="D11182" i="1"/>
  <c r="E11182" i="1"/>
  <c r="C11183" i="1"/>
  <c r="D11183" i="1"/>
  <c r="E11183" i="1"/>
  <c r="C11184" i="1"/>
  <c r="D11184" i="1"/>
  <c r="E11184" i="1"/>
  <c r="C11185" i="1"/>
  <c r="D11185" i="1"/>
  <c r="E11185" i="1"/>
  <c r="C11186" i="1"/>
  <c r="D11186" i="1"/>
  <c r="E11186" i="1"/>
  <c r="C11187" i="1"/>
  <c r="D11187" i="1"/>
  <c r="E11187" i="1"/>
  <c r="C11188" i="1"/>
  <c r="D11188" i="1"/>
  <c r="E11188" i="1"/>
  <c r="C11189" i="1"/>
  <c r="D11189" i="1"/>
  <c r="E11189" i="1"/>
  <c r="C11190" i="1"/>
  <c r="D11190" i="1"/>
  <c r="E11190" i="1"/>
  <c r="C11191" i="1"/>
  <c r="D11191" i="1"/>
  <c r="E11191" i="1"/>
  <c r="C11192" i="1"/>
  <c r="D11192" i="1"/>
  <c r="E11192" i="1"/>
  <c r="C11193" i="1"/>
  <c r="D11193" i="1"/>
  <c r="E11193" i="1"/>
  <c r="C11194" i="1"/>
  <c r="D11194" i="1"/>
  <c r="E11194" i="1"/>
  <c r="C11195" i="1"/>
  <c r="D11195" i="1"/>
  <c r="E11195" i="1"/>
  <c r="C11196" i="1"/>
  <c r="D11196" i="1"/>
  <c r="E11196" i="1"/>
  <c r="C11197" i="1"/>
  <c r="D11197" i="1"/>
  <c r="E11197" i="1"/>
  <c r="C11198" i="1"/>
  <c r="D11198" i="1"/>
  <c r="E11198" i="1"/>
  <c r="C11199" i="1"/>
  <c r="D11199" i="1"/>
  <c r="E11199" i="1"/>
  <c r="C11200" i="1"/>
  <c r="D11200" i="1"/>
  <c r="E11200" i="1"/>
  <c r="C11201" i="1"/>
  <c r="D11201" i="1"/>
  <c r="E11201" i="1"/>
  <c r="C11202" i="1"/>
  <c r="D11202" i="1"/>
  <c r="E11202" i="1"/>
  <c r="C11203" i="1"/>
  <c r="D11203" i="1"/>
  <c r="E11203" i="1"/>
  <c r="C11204" i="1"/>
  <c r="D11204" i="1"/>
  <c r="E11204" i="1"/>
  <c r="C11205" i="1"/>
  <c r="D11205" i="1"/>
  <c r="E11205" i="1"/>
  <c r="C11206" i="1"/>
  <c r="D11206" i="1"/>
  <c r="E11206" i="1"/>
  <c r="C11207" i="1"/>
  <c r="D11207" i="1"/>
  <c r="E11207" i="1"/>
  <c r="C11208" i="1"/>
  <c r="D11208" i="1"/>
  <c r="E11208" i="1"/>
  <c r="C11209" i="1"/>
  <c r="D11209" i="1"/>
  <c r="E11209" i="1"/>
  <c r="C11210" i="1"/>
  <c r="D11210" i="1"/>
  <c r="E11210" i="1"/>
  <c r="C11211" i="1"/>
  <c r="D11211" i="1"/>
  <c r="E11211" i="1"/>
  <c r="C11212" i="1"/>
  <c r="D11212" i="1"/>
  <c r="E11212" i="1"/>
  <c r="C11213" i="1"/>
  <c r="D11213" i="1"/>
  <c r="E11213" i="1"/>
  <c r="C11214" i="1"/>
  <c r="D11214" i="1"/>
  <c r="E11214" i="1"/>
  <c r="C11215" i="1"/>
  <c r="D11215" i="1"/>
  <c r="E11215" i="1"/>
  <c r="C11216" i="1"/>
  <c r="D11216" i="1"/>
  <c r="E11216" i="1"/>
  <c r="C11217" i="1"/>
  <c r="D11217" i="1"/>
  <c r="E11217" i="1"/>
  <c r="C11218" i="1"/>
  <c r="D11218" i="1"/>
  <c r="E11218" i="1"/>
  <c r="C11219" i="1"/>
  <c r="D11219" i="1"/>
  <c r="E11219" i="1"/>
  <c r="C11220" i="1"/>
  <c r="D11220" i="1"/>
  <c r="E11220" i="1"/>
  <c r="C11221" i="1"/>
  <c r="D11221" i="1"/>
  <c r="E11221" i="1"/>
  <c r="C11222" i="1"/>
  <c r="D11222" i="1"/>
  <c r="E11222" i="1"/>
  <c r="C11223" i="1"/>
  <c r="D11223" i="1"/>
  <c r="E11223" i="1"/>
  <c r="C11224" i="1"/>
  <c r="D11224" i="1"/>
  <c r="E11224" i="1"/>
  <c r="C11225" i="1"/>
  <c r="D11225" i="1"/>
  <c r="E11225" i="1"/>
  <c r="C11226" i="1"/>
  <c r="D11226" i="1"/>
  <c r="E11226" i="1"/>
  <c r="C11227" i="1"/>
  <c r="D11227" i="1"/>
  <c r="E11227" i="1"/>
  <c r="C11228" i="1"/>
  <c r="D11228" i="1"/>
  <c r="E11228" i="1"/>
  <c r="C11229" i="1"/>
  <c r="D11229" i="1"/>
  <c r="E11229" i="1"/>
  <c r="C11230" i="1"/>
  <c r="D11230" i="1"/>
  <c r="E11230" i="1"/>
  <c r="C11231" i="1"/>
  <c r="D11231" i="1"/>
  <c r="E11231" i="1"/>
  <c r="C11232" i="1"/>
  <c r="D11232" i="1"/>
  <c r="E11232" i="1"/>
  <c r="C11233" i="1"/>
  <c r="D11233" i="1"/>
  <c r="E11233" i="1"/>
  <c r="C11234" i="1"/>
  <c r="D11234" i="1"/>
  <c r="E11234" i="1"/>
  <c r="C11235" i="1"/>
  <c r="D11235" i="1"/>
  <c r="E11235" i="1"/>
  <c r="C11236" i="1"/>
  <c r="D11236" i="1"/>
  <c r="E11236" i="1"/>
  <c r="C11237" i="1"/>
  <c r="D11237" i="1"/>
  <c r="E11237" i="1"/>
  <c r="C11238" i="1"/>
  <c r="D11238" i="1"/>
  <c r="E11238" i="1"/>
  <c r="C11239" i="1"/>
  <c r="D11239" i="1"/>
  <c r="E11239" i="1"/>
  <c r="C11240" i="1"/>
  <c r="D11240" i="1"/>
  <c r="E11240" i="1"/>
  <c r="C11241" i="1"/>
  <c r="D11241" i="1"/>
  <c r="E11241" i="1"/>
  <c r="C11242" i="1"/>
  <c r="D11242" i="1"/>
  <c r="E11242" i="1"/>
  <c r="C11243" i="1"/>
  <c r="D11243" i="1"/>
  <c r="E11243" i="1"/>
  <c r="C11244" i="1"/>
  <c r="D11244" i="1"/>
  <c r="E11244" i="1"/>
  <c r="C11245" i="1"/>
  <c r="D11245" i="1"/>
  <c r="E11245" i="1"/>
  <c r="C11246" i="1"/>
  <c r="D11246" i="1"/>
  <c r="E11246" i="1"/>
  <c r="C11247" i="1"/>
  <c r="D11247" i="1"/>
  <c r="E11247" i="1"/>
  <c r="C11248" i="1"/>
  <c r="D11248" i="1"/>
  <c r="E11248" i="1"/>
  <c r="C11249" i="1"/>
  <c r="D11249" i="1"/>
  <c r="E11249" i="1"/>
  <c r="C11250" i="1"/>
  <c r="D11250" i="1"/>
  <c r="E11250" i="1"/>
  <c r="C11251" i="1"/>
  <c r="D11251" i="1"/>
  <c r="E11251" i="1"/>
  <c r="C11252" i="1"/>
  <c r="D11252" i="1"/>
  <c r="E11252" i="1"/>
  <c r="C11253" i="1"/>
  <c r="D11253" i="1"/>
  <c r="E11253" i="1"/>
  <c r="C11254" i="1"/>
  <c r="D11254" i="1"/>
  <c r="E11254" i="1"/>
  <c r="C11255" i="1"/>
  <c r="D11255" i="1"/>
  <c r="E11255" i="1"/>
  <c r="C11256" i="1"/>
  <c r="D11256" i="1"/>
  <c r="E11256" i="1"/>
  <c r="C11257" i="1"/>
  <c r="D11257" i="1"/>
  <c r="E11257" i="1"/>
  <c r="C11258" i="1"/>
  <c r="D11258" i="1"/>
  <c r="E11258" i="1"/>
  <c r="C11259" i="1"/>
  <c r="D11259" i="1"/>
  <c r="E11259" i="1"/>
  <c r="C11260" i="1"/>
  <c r="D11260" i="1"/>
  <c r="E11260" i="1"/>
  <c r="C11261" i="1"/>
  <c r="D11261" i="1"/>
  <c r="E11261" i="1"/>
  <c r="C11262" i="1"/>
  <c r="D11262" i="1"/>
  <c r="E11262" i="1"/>
  <c r="C11263" i="1"/>
  <c r="D11263" i="1"/>
  <c r="E11263" i="1"/>
  <c r="C11264" i="1"/>
  <c r="D11264" i="1"/>
  <c r="E11264" i="1"/>
  <c r="C11265" i="1"/>
  <c r="D11265" i="1"/>
  <c r="E11265" i="1"/>
  <c r="C11266" i="1"/>
  <c r="D11266" i="1"/>
  <c r="E11266" i="1"/>
  <c r="C11267" i="1"/>
  <c r="D11267" i="1"/>
  <c r="E11267" i="1"/>
  <c r="C11268" i="1"/>
  <c r="D11268" i="1"/>
  <c r="E11268" i="1"/>
  <c r="C11269" i="1"/>
  <c r="D11269" i="1"/>
  <c r="E11269" i="1"/>
  <c r="C11270" i="1"/>
  <c r="D11270" i="1"/>
  <c r="E11270" i="1"/>
  <c r="C11271" i="1"/>
  <c r="D11271" i="1"/>
  <c r="E11271" i="1"/>
  <c r="C11272" i="1"/>
  <c r="D11272" i="1"/>
  <c r="E11272" i="1"/>
  <c r="C11273" i="1"/>
  <c r="D11273" i="1"/>
  <c r="E11273" i="1"/>
  <c r="C11274" i="1"/>
  <c r="D11274" i="1"/>
  <c r="E11274" i="1"/>
  <c r="C11275" i="1"/>
  <c r="D11275" i="1"/>
  <c r="E11275" i="1"/>
  <c r="C11276" i="1"/>
  <c r="D11276" i="1"/>
  <c r="E11276" i="1"/>
  <c r="C11277" i="1"/>
  <c r="D11277" i="1"/>
  <c r="E11277" i="1"/>
  <c r="C11278" i="1"/>
  <c r="D11278" i="1"/>
  <c r="E11278" i="1"/>
  <c r="C11279" i="1"/>
  <c r="D11279" i="1"/>
  <c r="E11279" i="1"/>
  <c r="C11280" i="1"/>
  <c r="D11280" i="1"/>
  <c r="E11280" i="1"/>
  <c r="C11281" i="1"/>
  <c r="D11281" i="1"/>
  <c r="E11281" i="1"/>
  <c r="C11282" i="1"/>
  <c r="D11282" i="1"/>
  <c r="E11282" i="1"/>
  <c r="C11283" i="1"/>
  <c r="D11283" i="1"/>
  <c r="E11283" i="1"/>
  <c r="C11284" i="1"/>
  <c r="D11284" i="1"/>
  <c r="E11284" i="1"/>
  <c r="C11285" i="1"/>
  <c r="D11285" i="1"/>
  <c r="E11285" i="1"/>
  <c r="C11286" i="1"/>
  <c r="D11286" i="1"/>
  <c r="E11286" i="1"/>
  <c r="C11287" i="1"/>
  <c r="D11287" i="1"/>
  <c r="E11287" i="1"/>
  <c r="C11288" i="1"/>
  <c r="D11288" i="1"/>
  <c r="E11288" i="1"/>
  <c r="C11289" i="1"/>
  <c r="D11289" i="1"/>
  <c r="E11289" i="1"/>
  <c r="C11290" i="1"/>
  <c r="D11290" i="1"/>
  <c r="E11290" i="1"/>
  <c r="C11291" i="1"/>
  <c r="D11291" i="1"/>
  <c r="E11291" i="1"/>
  <c r="C11292" i="1"/>
  <c r="D11292" i="1"/>
  <c r="E11292" i="1"/>
  <c r="C11293" i="1"/>
  <c r="D11293" i="1"/>
  <c r="E11293" i="1"/>
  <c r="C11294" i="1"/>
  <c r="D11294" i="1"/>
  <c r="E11294" i="1"/>
  <c r="C11295" i="1"/>
  <c r="D11295" i="1"/>
  <c r="E11295" i="1"/>
  <c r="C11296" i="1"/>
  <c r="D11296" i="1"/>
  <c r="E11296" i="1"/>
  <c r="C11297" i="1"/>
  <c r="D11297" i="1"/>
  <c r="E11297" i="1"/>
  <c r="C11298" i="1"/>
  <c r="D11298" i="1"/>
  <c r="E11298" i="1"/>
  <c r="C11299" i="1"/>
  <c r="D11299" i="1"/>
  <c r="E11299" i="1"/>
  <c r="C11300" i="1"/>
  <c r="D11300" i="1"/>
  <c r="E11300" i="1"/>
  <c r="C11301" i="1"/>
  <c r="D11301" i="1"/>
  <c r="E11301" i="1"/>
  <c r="C11302" i="1"/>
  <c r="D11302" i="1"/>
  <c r="E11302" i="1"/>
  <c r="C11303" i="1"/>
  <c r="D11303" i="1"/>
  <c r="E11303" i="1"/>
  <c r="C11304" i="1"/>
  <c r="D11304" i="1"/>
  <c r="E11304" i="1"/>
  <c r="C11305" i="1"/>
  <c r="D11305" i="1"/>
  <c r="E11305" i="1"/>
  <c r="C11306" i="1"/>
  <c r="D11306" i="1"/>
  <c r="E11306" i="1"/>
  <c r="C11307" i="1"/>
  <c r="D11307" i="1"/>
  <c r="E11307" i="1"/>
  <c r="C11308" i="1"/>
  <c r="D11308" i="1"/>
  <c r="E11308" i="1"/>
  <c r="C11309" i="1"/>
  <c r="D11309" i="1"/>
  <c r="E11309" i="1"/>
  <c r="C11310" i="1"/>
  <c r="D11310" i="1"/>
  <c r="E11310" i="1"/>
  <c r="C11311" i="1"/>
  <c r="D11311" i="1"/>
  <c r="E11311" i="1"/>
  <c r="C11312" i="1"/>
  <c r="D11312" i="1"/>
  <c r="E11312" i="1"/>
  <c r="C11313" i="1"/>
  <c r="D11313" i="1"/>
  <c r="E11313" i="1"/>
  <c r="C11314" i="1"/>
  <c r="D11314" i="1"/>
  <c r="E11314" i="1"/>
  <c r="C11315" i="1"/>
  <c r="D11315" i="1"/>
  <c r="E11315" i="1"/>
  <c r="C11316" i="1"/>
  <c r="D11316" i="1"/>
  <c r="E11316" i="1"/>
  <c r="C11317" i="1"/>
  <c r="D11317" i="1"/>
  <c r="E11317" i="1"/>
  <c r="C11318" i="1"/>
  <c r="D11318" i="1"/>
  <c r="E11318" i="1"/>
  <c r="C11319" i="1"/>
  <c r="D11319" i="1"/>
  <c r="E11319" i="1"/>
  <c r="C11320" i="1"/>
  <c r="D11320" i="1"/>
  <c r="E11320" i="1"/>
  <c r="C11321" i="1"/>
  <c r="D11321" i="1"/>
  <c r="E11321" i="1"/>
  <c r="C11322" i="1"/>
  <c r="D11322" i="1"/>
  <c r="E11322" i="1"/>
  <c r="C11323" i="1"/>
  <c r="D11323" i="1"/>
  <c r="E11323" i="1"/>
  <c r="C11324" i="1"/>
  <c r="D11324" i="1"/>
  <c r="E11324" i="1"/>
  <c r="C11325" i="1"/>
  <c r="D11325" i="1"/>
  <c r="E11325" i="1"/>
  <c r="C11326" i="1"/>
  <c r="D11326" i="1"/>
  <c r="E11326" i="1"/>
  <c r="C11327" i="1"/>
  <c r="D11327" i="1"/>
  <c r="E11327" i="1"/>
  <c r="C11328" i="1"/>
  <c r="D11328" i="1"/>
  <c r="E11328" i="1"/>
  <c r="C11329" i="1"/>
  <c r="D11329" i="1"/>
  <c r="E11329" i="1"/>
  <c r="C11330" i="1"/>
  <c r="D11330" i="1"/>
  <c r="E11330" i="1"/>
  <c r="C11331" i="1"/>
  <c r="D11331" i="1"/>
  <c r="E11331" i="1"/>
  <c r="C11332" i="1"/>
  <c r="D11332" i="1"/>
  <c r="E11332" i="1"/>
  <c r="C11333" i="1"/>
  <c r="D11333" i="1"/>
  <c r="E11333" i="1"/>
  <c r="C11334" i="1"/>
  <c r="D11334" i="1"/>
  <c r="E11334" i="1"/>
  <c r="C11335" i="1"/>
  <c r="D11335" i="1"/>
  <c r="E11335" i="1"/>
  <c r="C11336" i="1"/>
  <c r="D11336" i="1"/>
  <c r="E11336" i="1"/>
  <c r="C11337" i="1"/>
  <c r="D11337" i="1"/>
  <c r="E11337" i="1"/>
  <c r="C11338" i="1"/>
  <c r="D11338" i="1"/>
  <c r="E11338" i="1"/>
  <c r="C11339" i="1"/>
  <c r="D11339" i="1"/>
  <c r="E11339" i="1"/>
  <c r="C11340" i="1"/>
  <c r="D11340" i="1"/>
  <c r="E11340" i="1"/>
  <c r="C11341" i="1"/>
  <c r="D11341" i="1"/>
  <c r="E11341" i="1"/>
  <c r="C11342" i="1"/>
  <c r="D11342" i="1"/>
  <c r="E11342" i="1"/>
  <c r="C11343" i="1"/>
  <c r="D11343" i="1"/>
  <c r="E11343" i="1"/>
  <c r="C11344" i="1"/>
  <c r="D11344" i="1"/>
  <c r="E11344" i="1"/>
  <c r="C11345" i="1"/>
  <c r="D11345" i="1"/>
  <c r="E11345" i="1"/>
  <c r="C11346" i="1"/>
  <c r="D11346" i="1"/>
  <c r="E11346" i="1"/>
  <c r="C11347" i="1"/>
  <c r="D11347" i="1"/>
  <c r="E11347" i="1"/>
  <c r="C11348" i="1"/>
  <c r="D11348" i="1"/>
  <c r="E11348" i="1"/>
  <c r="C11349" i="1"/>
  <c r="D11349" i="1"/>
  <c r="E11349" i="1"/>
  <c r="C11350" i="1"/>
  <c r="D11350" i="1"/>
  <c r="E11350" i="1"/>
  <c r="C11351" i="1"/>
  <c r="D11351" i="1"/>
  <c r="E11351" i="1"/>
  <c r="C11352" i="1"/>
  <c r="D11352" i="1"/>
  <c r="E11352" i="1"/>
  <c r="C11353" i="1"/>
  <c r="D11353" i="1"/>
  <c r="E11353" i="1"/>
  <c r="C11354" i="1"/>
  <c r="D11354" i="1"/>
  <c r="E11354" i="1"/>
  <c r="C11355" i="1"/>
  <c r="D11355" i="1"/>
  <c r="E11355" i="1"/>
  <c r="C11356" i="1"/>
  <c r="D11356" i="1"/>
  <c r="E11356" i="1"/>
  <c r="C11357" i="1"/>
  <c r="D11357" i="1"/>
  <c r="E11357" i="1"/>
  <c r="C11358" i="1"/>
  <c r="D11358" i="1"/>
  <c r="E11358" i="1"/>
  <c r="C11359" i="1"/>
  <c r="D11359" i="1"/>
  <c r="E11359" i="1"/>
  <c r="C11360" i="1"/>
  <c r="D11360" i="1"/>
  <c r="E11360" i="1"/>
  <c r="C11361" i="1"/>
  <c r="D11361" i="1"/>
  <c r="E11361" i="1"/>
  <c r="C11362" i="1"/>
  <c r="D11362" i="1"/>
  <c r="E11362" i="1"/>
  <c r="C11363" i="1"/>
  <c r="D11363" i="1"/>
  <c r="E11363" i="1"/>
  <c r="C11364" i="1"/>
  <c r="D11364" i="1"/>
  <c r="E11364" i="1"/>
  <c r="C11365" i="1"/>
  <c r="D11365" i="1"/>
  <c r="E11365" i="1"/>
  <c r="C11366" i="1"/>
  <c r="D11366" i="1"/>
  <c r="E11366" i="1"/>
  <c r="C11367" i="1"/>
  <c r="D11367" i="1"/>
  <c r="E11367" i="1"/>
  <c r="C11368" i="1"/>
  <c r="D11368" i="1"/>
  <c r="E11368" i="1"/>
  <c r="C11369" i="1"/>
  <c r="D11369" i="1"/>
  <c r="E11369" i="1"/>
  <c r="C11370" i="1"/>
  <c r="D11370" i="1"/>
  <c r="E11370" i="1"/>
  <c r="C11371" i="1"/>
  <c r="D11371" i="1"/>
  <c r="E11371" i="1"/>
  <c r="C11372" i="1"/>
  <c r="D11372" i="1"/>
  <c r="E11372" i="1"/>
  <c r="C11373" i="1"/>
  <c r="D11373" i="1"/>
  <c r="E11373" i="1"/>
  <c r="C11374" i="1"/>
  <c r="D11374" i="1"/>
  <c r="E11374" i="1"/>
  <c r="C11375" i="1"/>
  <c r="D11375" i="1"/>
  <c r="E11375" i="1"/>
  <c r="C11376" i="1"/>
  <c r="D11376" i="1"/>
  <c r="E11376" i="1"/>
  <c r="C11377" i="1"/>
  <c r="D11377" i="1"/>
  <c r="E11377" i="1"/>
  <c r="C11378" i="1"/>
  <c r="D11378" i="1"/>
  <c r="E11378" i="1"/>
  <c r="C11379" i="1"/>
  <c r="D11379" i="1"/>
  <c r="E11379" i="1"/>
  <c r="C11380" i="1"/>
  <c r="D11380" i="1"/>
  <c r="E11380" i="1"/>
  <c r="C11381" i="1"/>
  <c r="D11381" i="1"/>
  <c r="E11381" i="1"/>
  <c r="C11382" i="1"/>
  <c r="D11382" i="1"/>
  <c r="E11382" i="1"/>
  <c r="C11383" i="1"/>
  <c r="D11383" i="1"/>
  <c r="E11383" i="1"/>
  <c r="C11384" i="1"/>
  <c r="D11384" i="1"/>
  <c r="E11384" i="1"/>
  <c r="C11385" i="1"/>
  <c r="D11385" i="1"/>
  <c r="E11385" i="1"/>
  <c r="C11386" i="1"/>
  <c r="D11386" i="1"/>
  <c r="E11386" i="1"/>
  <c r="C11387" i="1"/>
  <c r="D11387" i="1"/>
  <c r="E11387" i="1"/>
  <c r="C11388" i="1"/>
  <c r="D11388" i="1"/>
  <c r="E11388" i="1"/>
  <c r="C11389" i="1"/>
  <c r="D11389" i="1"/>
  <c r="E11389" i="1"/>
  <c r="C11390" i="1"/>
  <c r="D11390" i="1"/>
  <c r="E11390" i="1"/>
  <c r="C11391" i="1"/>
  <c r="D11391" i="1"/>
  <c r="E11391" i="1"/>
  <c r="C11392" i="1"/>
  <c r="D11392" i="1"/>
  <c r="E11392" i="1"/>
  <c r="C11393" i="1"/>
  <c r="D11393" i="1"/>
  <c r="E11393" i="1"/>
  <c r="C11394" i="1"/>
  <c r="D11394" i="1"/>
  <c r="E11394" i="1"/>
  <c r="C11395" i="1"/>
  <c r="D11395" i="1"/>
  <c r="E11395" i="1"/>
  <c r="C11396" i="1"/>
  <c r="D11396" i="1"/>
  <c r="E11396" i="1"/>
  <c r="C11397" i="1"/>
  <c r="D11397" i="1"/>
  <c r="E11397" i="1"/>
  <c r="C11398" i="1"/>
  <c r="D11398" i="1"/>
  <c r="E11398" i="1"/>
  <c r="C11399" i="1"/>
  <c r="D11399" i="1"/>
  <c r="E11399" i="1"/>
  <c r="C11400" i="1"/>
  <c r="D11400" i="1"/>
  <c r="E11400" i="1"/>
  <c r="C11401" i="1"/>
  <c r="D11401" i="1"/>
  <c r="E11401" i="1"/>
  <c r="C11402" i="1"/>
  <c r="D11402" i="1"/>
  <c r="E11402" i="1"/>
  <c r="C11403" i="1"/>
  <c r="D11403" i="1"/>
  <c r="E11403" i="1"/>
  <c r="C11404" i="1"/>
  <c r="D11404" i="1"/>
  <c r="E11404" i="1"/>
  <c r="C11405" i="1"/>
  <c r="D11405" i="1"/>
  <c r="E11405" i="1"/>
  <c r="C11406" i="1"/>
  <c r="D11406" i="1"/>
  <c r="E11406" i="1"/>
  <c r="C11407" i="1"/>
  <c r="D11407" i="1"/>
  <c r="E11407" i="1"/>
  <c r="C11408" i="1"/>
  <c r="D11408" i="1"/>
  <c r="E11408" i="1"/>
  <c r="C11409" i="1"/>
  <c r="D11409" i="1"/>
  <c r="E11409" i="1"/>
  <c r="C11410" i="1"/>
  <c r="D11410" i="1"/>
  <c r="E11410" i="1"/>
  <c r="C11411" i="1"/>
  <c r="D11411" i="1"/>
  <c r="E11411" i="1"/>
  <c r="C11412" i="1"/>
  <c r="D11412" i="1"/>
  <c r="E11412" i="1"/>
  <c r="C11413" i="1"/>
  <c r="D11413" i="1"/>
  <c r="E11413" i="1"/>
  <c r="C11414" i="1"/>
  <c r="D11414" i="1"/>
  <c r="E11414" i="1"/>
  <c r="C11415" i="1"/>
  <c r="D11415" i="1"/>
  <c r="E11415" i="1"/>
  <c r="C11416" i="1"/>
  <c r="D11416" i="1"/>
  <c r="E11416" i="1"/>
  <c r="C11417" i="1"/>
  <c r="D11417" i="1"/>
  <c r="E11417" i="1"/>
  <c r="C11418" i="1"/>
  <c r="D11418" i="1"/>
  <c r="E11418" i="1"/>
  <c r="C11419" i="1"/>
  <c r="D11419" i="1"/>
  <c r="E11419" i="1"/>
  <c r="C11420" i="1"/>
  <c r="D11420" i="1"/>
  <c r="E11420" i="1"/>
  <c r="C11421" i="1"/>
  <c r="D11421" i="1"/>
  <c r="E11421" i="1"/>
  <c r="C11422" i="1"/>
  <c r="D11422" i="1"/>
  <c r="E11422" i="1"/>
  <c r="C11423" i="1"/>
  <c r="D11423" i="1"/>
  <c r="E11423" i="1"/>
  <c r="C11424" i="1"/>
  <c r="D11424" i="1"/>
  <c r="E11424" i="1"/>
  <c r="C11425" i="1"/>
  <c r="D11425" i="1"/>
  <c r="E11425" i="1"/>
  <c r="C11426" i="1"/>
  <c r="D11426" i="1"/>
  <c r="E11426" i="1"/>
  <c r="C11427" i="1"/>
  <c r="D11427" i="1"/>
  <c r="E11427" i="1"/>
  <c r="C11428" i="1"/>
  <c r="D11428" i="1"/>
  <c r="E11428" i="1"/>
  <c r="C11429" i="1"/>
  <c r="D11429" i="1"/>
  <c r="E11429" i="1"/>
  <c r="C11430" i="1"/>
  <c r="D11430" i="1"/>
  <c r="E11430" i="1"/>
  <c r="C11431" i="1"/>
  <c r="D11431" i="1"/>
  <c r="E11431" i="1"/>
  <c r="C11432" i="1"/>
  <c r="D11432" i="1"/>
  <c r="E11432" i="1"/>
  <c r="C11433" i="1"/>
  <c r="D11433" i="1"/>
  <c r="E11433" i="1"/>
  <c r="C11434" i="1"/>
  <c r="D11434" i="1"/>
  <c r="E11434" i="1"/>
  <c r="C11435" i="1"/>
  <c r="D11435" i="1"/>
  <c r="E11435" i="1"/>
  <c r="C11436" i="1"/>
  <c r="D11436" i="1"/>
  <c r="E11436" i="1"/>
  <c r="C11437" i="1"/>
  <c r="D11437" i="1"/>
  <c r="E11437" i="1"/>
  <c r="C11438" i="1"/>
  <c r="D11438" i="1"/>
  <c r="E11438" i="1"/>
  <c r="C11439" i="1"/>
  <c r="D11439" i="1"/>
  <c r="E11439" i="1"/>
  <c r="C11440" i="1"/>
  <c r="D11440" i="1"/>
  <c r="E11440" i="1"/>
  <c r="C11441" i="1"/>
  <c r="D11441" i="1"/>
  <c r="E11441" i="1"/>
  <c r="C11442" i="1"/>
  <c r="D11442" i="1"/>
  <c r="E11442" i="1"/>
  <c r="C11443" i="1"/>
  <c r="D11443" i="1"/>
  <c r="E11443" i="1"/>
  <c r="C11444" i="1"/>
  <c r="D11444" i="1"/>
  <c r="E11444" i="1"/>
  <c r="C11445" i="1"/>
  <c r="D11445" i="1"/>
  <c r="E11445" i="1"/>
  <c r="C11446" i="1"/>
  <c r="D11446" i="1"/>
  <c r="E11446" i="1"/>
  <c r="C11447" i="1"/>
  <c r="D11447" i="1"/>
  <c r="E11447" i="1"/>
  <c r="C11448" i="1"/>
  <c r="D11448" i="1"/>
  <c r="E11448" i="1"/>
  <c r="C11449" i="1"/>
  <c r="D11449" i="1"/>
  <c r="E11449" i="1"/>
  <c r="C11450" i="1"/>
  <c r="D11450" i="1"/>
  <c r="E11450" i="1"/>
  <c r="C11451" i="1"/>
  <c r="D11451" i="1"/>
  <c r="E11451" i="1"/>
  <c r="C11452" i="1"/>
  <c r="D11452" i="1"/>
  <c r="E11452" i="1"/>
  <c r="C11453" i="1"/>
  <c r="D11453" i="1"/>
  <c r="E11453" i="1"/>
  <c r="C11454" i="1"/>
  <c r="D11454" i="1"/>
  <c r="E11454" i="1"/>
  <c r="C11455" i="1"/>
  <c r="D11455" i="1"/>
  <c r="E11455" i="1"/>
  <c r="C11456" i="1"/>
  <c r="D11456" i="1"/>
  <c r="E11456" i="1"/>
  <c r="C11457" i="1"/>
  <c r="D11457" i="1"/>
  <c r="E11457" i="1"/>
  <c r="C11458" i="1"/>
  <c r="D11458" i="1"/>
  <c r="E11458" i="1"/>
  <c r="C11459" i="1"/>
  <c r="D11459" i="1"/>
  <c r="E11459" i="1"/>
  <c r="C11460" i="1"/>
  <c r="D11460" i="1"/>
  <c r="E11460" i="1"/>
  <c r="C11461" i="1"/>
  <c r="D11461" i="1"/>
  <c r="E11461" i="1"/>
  <c r="C11462" i="1"/>
  <c r="D11462" i="1"/>
  <c r="E11462" i="1"/>
  <c r="C11463" i="1"/>
  <c r="D11463" i="1"/>
  <c r="E11463" i="1"/>
  <c r="C11464" i="1"/>
  <c r="D11464" i="1"/>
  <c r="E11464" i="1"/>
  <c r="C11465" i="1"/>
  <c r="D11465" i="1"/>
  <c r="E11465" i="1"/>
  <c r="C11466" i="1"/>
  <c r="D11466" i="1"/>
  <c r="E11466" i="1"/>
  <c r="C11467" i="1"/>
  <c r="D11467" i="1"/>
  <c r="E11467" i="1"/>
  <c r="C11468" i="1"/>
  <c r="D11468" i="1"/>
  <c r="E11468" i="1"/>
  <c r="C11469" i="1"/>
  <c r="D11469" i="1"/>
  <c r="E11469" i="1"/>
  <c r="C11470" i="1"/>
  <c r="D11470" i="1"/>
  <c r="E11470" i="1"/>
  <c r="C11471" i="1"/>
  <c r="D11471" i="1"/>
  <c r="E11471" i="1"/>
  <c r="C11472" i="1"/>
  <c r="D11472" i="1"/>
  <c r="E11472" i="1"/>
  <c r="C11473" i="1"/>
  <c r="D11473" i="1"/>
  <c r="E11473" i="1"/>
  <c r="C11474" i="1"/>
  <c r="D11474" i="1"/>
  <c r="E11474" i="1"/>
  <c r="C11475" i="1"/>
  <c r="D11475" i="1"/>
  <c r="E11475" i="1"/>
  <c r="C11476" i="1"/>
  <c r="D11476" i="1"/>
  <c r="E11476" i="1"/>
  <c r="C11477" i="1"/>
  <c r="D11477" i="1"/>
  <c r="E11477" i="1"/>
  <c r="C11478" i="1"/>
  <c r="D11478" i="1"/>
  <c r="E11478" i="1"/>
  <c r="C11479" i="1"/>
  <c r="D11479" i="1"/>
  <c r="E11479" i="1"/>
  <c r="C11480" i="1"/>
  <c r="D11480" i="1"/>
  <c r="E11480" i="1"/>
  <c r="C11481" i="1"/>
  <c r="D11481" i="1"/>
  <c r="E11481" i="1"/>
  <c r="C11482" i="1"/>
  <c r="D11482" i="1"/>
  <c r="E11482" i="1"/>
  <c r="C11483" i="1"/>
  <c r="D11483" i="1"/>
  <c r="E11483" i="1"/>
  <c r="C11484" i="1"/>
  <c r="D11484" i="1"/>
  <c r="E11484" i="1"/>
  <c r="C11485" i="1"/>
  <c r="D11485" i="1"/>
  <c r="E11485" i="1"/>
  <c r="C11486" i="1"/>
  <c r="D11486" i="1"/>
  <c r="E11486" i="1"/>
  <c r="C11487" i="1"/>
  <c r="D11487" i="1"/>
  <c r="E11487" i="1"/>
  <c r="C11488" i="1"/>
  <c r="D11488" i="1"/>
  <c r="E11488" i="1"/>
  <c r="C11489" i="1"/>
  <c r="D11489" i="1"/>
  <c r="E11489" i="1"/>
  <c r="C11490" i="1"/>
  <c r="D11490" i="1"/>
  <c r="E11490" i="1"/>
  <c r="C11491" i="1"/>
  <c r="D11491" i="1"/>
  <c r="E11491" i="1"/>
  <c r="C11492" i="1"/>
  <c r="D11492" i="1"/>
  <c r="E11492" i="1"/>
  <c r="C11493" i="1"/>
  <c r="D11493" i="1"/>
  <c r="E11493" i="1"/>
  <c r="C11494" i="1"/>
  <c r="D11494" i="1"/>
  <c r="E11494" i="1"/>
  <c r="C11495" i="1"/>
  <c r="D11495" i="1"/>
  <c r="E11495" i="1"/>
  <c r="C11496" i="1"/>
  <c r="D11496" i="1"/>
  <c r="E11496" i="1"/>
  <c r="C11497" i="1"/>
  <c r="D11497" i="1"/>
  <c r="E11497" i="1"/>
  <c r="C11498" i="1"/>
  <c r="D11498" i="1"/>
  <c r="E11498" i="1"/>
  <c r="C11499" i="1"/>
  <c r="D11499" i="1"/>
  <c r="E11499" i="1"/>
  <c r="C11500" i="1"/>
  <c r="D11500" i="1"/>
  <c r="E11500" i="1"/>
  <c r="C11501" i="1"/>
  <c r="D11501" i="1"/>
  <c r="E11501" i="1"/>
  <c r="C11502" i="1"/>
  <c r="D11502" i="1"/>
  <c r="E11502" i="1"/>
  <c r="C11503" i="1"/>
  <c r="D11503" i="1"/>
  <c r="E11503" i="1"/>
  <c r="C11504" i="1"/>
  <c r="D11504" i="1"/>
  <c r="E11504" i="1"/>
  <c r="C11505" i="1"/>
  <c r="D11505" i="1"/>
  <c r="E11505" i="1"/>
  <c r="C11506" i="1"/>
  <c r="D11506" i="1"/>
  <c r="E11506" i="1"/>
  <c r="C11507" i="1"/>
  <c r="D11507" i="1"/>
  <c r="E11507" i="1"/>
  <c r="C11508" i="1"/>
  <c r="D11508" i="1"/>
  <c r="E11508" i="1"/>
  <c r="C11509" i="1"/>
  <c r="D11509" i="1"/>
  <c r="E11509" i="1"/>
  <c r="C11510" i="1"/>
  <c r="D11510" i="1"/>
  <c r="E11510" i="1"/>
  <c r="C11511" i="1"/>
  <c r="D11511" i="1"/>
  <c r="E11511" i="1"/>
  <c r="C11512" i="1"/>
  <c r="D11512" i="1"/>
  <c r="E11512" i="1"/>
  <c r="C11513" i="1"/>
  <c r="D11513" i="1"/>
  <c r="E11513" i="1"/>
  <c r="C11514" i="1"/>
  <c r="D11514" i="1"/>
  <c r="E11514" i="1"/>
  <c r="C11515" i="1"/>
  <c r="D11515" i="1"/>
  <c r="E11515" i="1"/>
  <c r="C11516" i="1"/>
  <c r="D11516" i="1"/>
  <c r="E11516" i="1"/>
  <c r="C11517" i="1"/>
  <c r="D11517" i="1"/>
  <c r="E11517" i="1"/>
  <c r="C11518" i="1"/>
  <c r="D11518" i="1"/>
  <c r="E11518" i="1"/>
  <c r="C11519" i="1"/>
  <c r="D11519" i="1"/>
  <c r="E11519" i="1"/>
  <c r="C11520" i="1"/>
  <c r="D11520" i="1"/>
  <c r="E11520" i="1"/>
  <c r="C11521" i="1"/>
  <c r="D11521" i="1"/>
  <c r="E11521" i="1"/>
  <c r="C11522" i="1"/>
  <c r="D11522" i="1"/>
  <c r="E11522" i="1"/>
  <c r="C11523" i="1"/>
  <c r="D11523" i="1"/>
  <c r="E11523" i="1"/>
  <c r="C11524" i="1"/>
  <c r="D11524" i="1"/>
  <c r="E11524" i="1"/>
  <c r="C11525" i="1"/>
  <c r="D11525" i="1"/>
  <c r="E11525" i="1"/>
  <c r="C11526" i="1"/>
  <c r="D11526" i="1"/>
  <c r="E11526" i="1"/>
  <c r="C11527" i="1"/>
  <c r="D11527" i="1"/>
  <c r="E11527" i="1"/>
  <c r="C11528" i="1"/>
  <c r="D11528" i="1"/>
  <c r="E11528" i="1"/>
  <c r="C11529" i="1"/>
  <c r="D11529" i="1"/>
  <c r="E11529" i="1"/>
  <c r="C11530" i="1"/>
  <c r="D11530" i="1"/>
  <c r="E11530" i="1"/>
  <c r="C11531" i="1"/>
  <c r="D11531" i="1"/>
  <c r="E11531" i="1"/>
  <c r="C11532" i="1"/>
  <c r="D11532" i="1"/>
  <c r="E11532" i="1"/>
  <c r="C11533" i="1"/>
  <c r="D11533" i="1"/>
  <c r="E11533" i="1"/>
  <c r="C11534" i="1"/>
  <c r="D11534" i="1"/>
  <c r="E11534" i="1"/>
  <c r="C11535" i="1"/>
  <c r="D11535" i="1"/>
  <c r="E11535" i="1"/>
  <c r="C11536" i="1"/>
  <c r="D11536" i="1"/>
  <c r="E11536" i="1"/>
  <c r="C11537" i="1"/>
  <c r="D11537" i="1"/>
  <c r="E11537" i="1"/>
  <c r="C11538" i="1"/>
  <c r="D11538" i="1"/>
  <c r="E11538" i="1"/>
  <c r="C11539" i="1"/>
  <c r="D11539" i="1"/>
  <c r="E11539" i="1"/>
  <c r="C11540" i="1"/>
  <c r="D11540" i="1"/>
  <c r="E11540" i="1"/>
  <c r="C11541" i="1"/>
  <c r="D11541" i="1"/>
  <c r="E11541" i="1"/>
  <c r="C11542" i="1"/>
  <c r="D11542" i="1"/>
  <c r="E11542" i="1"/>
  <c r="C11543" i="1"/>
  <c r="D11543" i="1"/>
  <c r="E11543" i="1"/>
  <c r="C11544" i="1"/>
  <c r="D11544" i="1"/>
  <c r="E11544" i="1"/>
  <c r="C11545" i="1"/>
  <c r="D11545" i="1"/>
  <c r="E11545" i="1"/>
  <c r="C11546" i="1"/>
  <c r="D11546" i="1"/>
  <c r="E11546" i="1"/>
  <c r="C11547" i="1"/>
  <c r="D11547" i="1"/>
  <c r="E11547" i="1"/>
  <c r="C11548" i="1"/>
  <c r="D11548" i="1"/>
  <c r="E11548" i="1"/>
  <c r="C11549" i="1"/>
  <c r="D11549" i="1"/>
  <c r="E11549" i="1"/>
  <c r="C11550" i="1"/>
  <c r="D11550" i="1"/>
  <c r="E11550" i="1"/>
  <c r="C11551" i="1"/>
  <c r="D11551" i="1"/>
  <c r="E11551" i="1"/>
  <c r="C11552" i="1"/>
  <c r="D11552" i="1"/>
  <c r="E11552" i="1"/>
  <c r="C11553" i="1"/>
  <c r="D11553" i="1"/>
  <c r="E11553" i="1"/>
  <c r="C11554" i="1"/>
  <c r="D11554" i="1"/>
  <c r="E11554" i="1"/>
  <c r="C11555" i="1"/>
  <c r="D11555" i="1"/>
  <c r="E11555" i="1"/>
  <c r="C11556" i="1"/>
  <c r="D11556" i="1"/>
  <c r="E11556" i="1"/>
  <c r="C11557" i="1"/>
  <c r="D11557" i="1"/>
  <c r="E11557" i="1"/>
  <c r="C11558" i="1"/>
  <c r="D11558" i="1"/>
  <c r="E11558" i="1"/>
  <c r="C11559" i="1"/>
  <c r="D11559" i="1"/>
  <c r="E11559" i="1"/>
  <c r="C11560" i="1"/>
  <c r="D11560" i="1"/>
  <c r="E11560" i="1"/>
  <c r="C11561" i="1"/>
  <c r="D11561" i="1"/>
  <c r="E11561" i="1"/>
  <c r="C11562" i="1"/>
  <c r="D11562" i="1"/>
  <c r="E11562" i="1"/>
  <c r="C11563" i="1"/>
  <c r="D11563" i="1"/>
  <c r="E11563" i="1"/>
  <c r="C11564" i="1"/>
  <c r="D11564" i="1"/>
  <c r="E11564" i="1"/>
  <c r="C11565" i="1"/>
  <c r="D11565" i="1"/>
  <c r="E11565" i="1"/>
  <c r="C11566" i="1"/>
  <c r="D11566" i="1"/>
  <c r="E11566" i="1"/>
  <c r="C11567" i="1"/>
  <c r="D11567" i="1"/>
  <c r="E11567" i="1"/>
  <c r="C11568" i="1"/>
  <c r="D11568" i="1"/>
  <c r="E11568" i="1"/>
  <c r="C11569" i="1"/>
  <c r="D11569" i="1"/>
  <c r="E11569" i="1"/>
  <c r="C11570" i="1"/>
  <c r="D11570" i="1"/>
  <c r="E11570" i="1"/>
  <c r="C11571" i="1"/>
  <c r="D11571" i="1"/>
  <c r="E11571" i="1"/>
  <c r="C11572" i="1"/>
  <c r="D11572" i="1"/>
  <c r="E11572" i="1"/>
  <c r="C11573" i="1"/>
  <c r="D11573" i="1"/>
  <c r="E11573" i="1"/>
  <c r="C11574" i="1"/>
  <c r="D11574" i="1"/>
  <c r="E11574" i="1"/>
  <c r="C11575" i="1"/>
  <c r="D11575" i="1"/>
  <c r="E11575" i="1"/>
  <c r="C11576" i="1"/>
  <c r="D11576" i="1"/>
  <c r="E11576" i="1"/>
  <c r="C11577" i="1"/>
  <c r="D11577" i="1"/>
  <c r="E11577" i="1"/>
  <c r="C11578" i="1"/>
  <c r="D11578" i="1"/>
  <c r="E11578" i="1"/>
  <c r="C11579" i="1"/>
  <c r="D11579" i="1"/>
  <c r="E11579" i="1"/>
  <c r="C11580" i="1"/>
  <c r="D11580" i="1"/>
  <c r="E11580" i="1"/>
  <c r="C11581" i="1"/>
  <c r="D11581" i="1"/>
  <c r="E11581" i="1"/>
  <c r="C11582" i="1"/>
  <c r="D11582" i="1"/>
  <c r="E11582" i="1"/>
  <c r="C11583" i="1"/>
  <c r="D11583" i="1"/>
  <c r="E11583" i="1"/>
  <c r="C11584" i="1"/>
  <c r="D11584" i="1"/>
  <c r="E11584" i="1"/>
  <c r="C11585" i="1"/>
  <c r="D11585" i="1"/>
  <c r="E11585" i="1"/>
  <c r="C11586" i="1"/>
  <c r="D11586" i="1"/>
  <c r="E11586" i="1"/>
  <c r="C11587" i="1"/>
  <c r="D11587" i="1"/>
  <c r="E11587" i="1"/>
  <c r="C11588" i="1"/>
  <c r="D11588" i="1"/>
  <c r="E11588" i="1"/>
  <c r="C11589" i="1"/>
  <c r="D11589" i="1"/>
  <c r="E11589" i="1"/>
  <c r="C11590" i="1"/>
  <c r="D11590" i="1"/>
  <c r="E11590" i="1"/>
  <c r="C11591" i="1"/>
  <c r="D11591" i="1"/>
  <c r="E11591" i="1"/>
  <c r="C11592" i="1"/>
  <c r="D11592" i="1"/>
  <c r="E11592" i="1"/>
  <c r="C11593" i="1"/>
  <c r="D11593" i="1"/>
  <c r="E11593" i="1"/>
  <c r="C11594" i="1"/>
  <c r="D11594" i="1"/>
  <c r="E11594" i="1"/>
  <c r="C11595" i="1"/>
  <c r="D11595" i="1"/>
  <c r="E11595" i="1"/>
  <c r="C11596" i="1"/>
  <c r="D11596" i="1"/>
  <c r="E11596" i="1"/>
  <c r="C11597" i="1"/>
  <c r="D11597" i="1"/>
  <c r="E11597" i="1"/>
  <c r="C11598" i="1"/>
  <c r="D11598" i="1"/>
  <c r="E11598" i="1"/>
  <c r="C11599" i="1"/>
  <c r="D11599" i="1"/>
  <c r="E11599" i="1"/>
  <c r="C11600" i="1"/>
  <c r="D11600" i="1"/>
  <c r="E11600" i="1"/>
  <c r="C11601" i="1"/>
  <c r="D11601" i="1"/>
  <c r="E11601" i="1"/>
  <c r="C11602" i="1"/>
  <c r="D11602" i="1"/>
  <c r="E11602" i="1"/>
  <c r="C11603" i="1"/>
  <c r="D11603" i="1"/>
  <c r="E11603" i="1"/>
  <c r="C11604" i="1"/>
  <c r="D11604" i="1"/>
  <c r="E11604" i="1"/>
  <c r="C11605" i="1"/>
  <c r="D11605" i="1"/>
  <c r="E11605" i="1"/>
  <c r="C11606" i="1"/>
  <c r="D11606" i="1"/>
  <c r="E11606" i="1"/>
  <c r="C11607" i="1"/>
  <c r="D11607" i="1"/>
  <c r="E11607" i="1"/>
  <c r="C11608" i="1"/>
  <c r="D11608" i="1"/>
  <c r="E11608" i="1"/>
  <c r="C11609" i="1"/>
  <c r="D11609" i="1"/>
  <c r="E11609" i="1"/>
  <c r="C11610" i="1"/>
  <c r="D11610" i="1"/>
  <c r="E11610" i="1"/>
  <c r="C11611" i="1"/>
  <c r="D11611" i="1"/>
  <c r="E11611" i="1"/>
  <c r="C11612" i="1"/>
  <c r="D11612" i="1"/>
  <c r="E11612" i="1"/>
  <c r="C11613" i="1"/>
  <c r="D11613" i="1"/>
  <c r="E11613" i="1"/>
  <c r="C11614" i="1"/>
  <c r="D11614" i="1"/>
  <c r="E11614" i="1"/>
  <c r="C11615" i="1"/>
  <c r="D11615" i="1"/>
  <c r="E11615" i="1"/>
  <c r="C11616" i="1"/>
  <c r="D11616" i="1"/>
  <c r="E11616" i="1"/>
  <c r="C11617" i="1"/>
  <c r="D11617" i="1"/>
  <c r="E11617" i="1"/>
  <c r="C11618" i="1"/>
  <c r="D11618" i="1"/>
  <c r="E11618" i="1"/>
  <c r="C11619" i="1"/>
  <c r="D11619" i="1"/>
  <c r="E11619" i="1"/>
  <c r="C11620" i="1"/>
  <c r="D11620" i="1"/>
  <c r="E11620" i="1"/>
  <c r="C11621" i="1"/>
  <c r="D11621" i="1"/>
  <c r="E11621" i="1"/>
  <c r="C11622" i="1"/>
  <c r="D11622" i="1"/>
  <c r="E11622" i="1"/>
  <c r="C11623" i="1"/>
  <c r="D11623" i="1"/>
  <c r="E11623" i="1"/>
  <c r="C11624" i="1"/>
  <c r="D11624" i="1"/>
  <c r="E11624" i="1"/>
  <c r="C11625" i="1"/>
  <c r="D11625" i="1"/>
  <c r="E11625" i="1"/>
  <c r="C11626" i="1"/>
  <c r="D11626" i="1"/>
  <c r="E11626" i="1"/>
  <c r="C11627" i="1"/>
  <c r="D11627" i="1"/>
  <c r="E11627" i="1"/>
  <c r="C11628" i="1"/>
  <c r="D11628" i="1"/>
  <c r="E11628" i="1"/>
  <c r="C11629" i="1"/>
  <c r="D11629" i="1"/>
  <c r="E11629" i="1"/>
  <c r="C11630" i="1"/>
  <c r="D11630" i="1"/>
  <c r="E11630" i="1"/>
  <c r="C11631" i="1"/>
  <c r="D11631" i="1"/>
  <c r="E11631" i="1"/>
  <c r="C11632" i="1"/>
  <c r="D11632" i="1"/>
  <c r="E11632" i="1"/>
  <c r="C11633" i="1"/>
  <c r="D11633" i="1"/>
  <c r="E11633" i="1"/>
  <c r="C11634" i="1"/>
  <c r="D11634" i="1"/>
  <c r="E11634" i="1"/>
  <c r="C11635" i="1"/>
  <c r="D11635" i="1"/>
  <c r="E11635" i="1"/>
  <c r="C11636" i="1"/>
  <c r="D11636" i="1"/>
  <c r="E11636" i="1"/>
  <c r="C11637" i="1"/>
  <c r="D11637" i="1"/>
  <c r="E11637" i="1"/>
  <c r="C11638" i="1"/>
  <c r="D11638" i="1"/>
  <c r="E11638" i="1"/>
  <c r="C11639" i="1"/>
  <c r="D11639" i="1"/>
  <c r="E11639" i="1"/>
  <c r="C11640" i="1"/>
  <c r="D11640" i="1"/>
  <c r="E11640" i="1"/>
  <c r="C11641" i="1"/>
  <c r="D11641" i="1"/>
  <c r="E11641" i="1"/>
  <c r="C11642" i="1"/>
  <c r="D11642" i="1"/>
  <c r="E11642" i="1"/>
  <c r="C11643" i="1"/>
  <c r="D11643" i="1"/>
  <c r="E11643" i="1"/>
  <c r="C11644" i="1"/>
  <c r="D11644" i="1"/>
  <c r="E11644" i="1"/>
  <c r="C11645" i="1"/>
  <c r="D11645" i="1"/>
  <c r="E11645" i="1"/>
  <c r="C11646" i="1"/>
  <c r="D11646" i="1"/>
  <c r="E11646" i="1"/>
  <c r="C11647" i="1"/>
  <c r="D11647" i="1"/>
  <c r="E11647" i="1"/>
  <c r="C11648" i="1"/>
  <c r="D11648" i="1"/>
  <c r="E11648" i="1"/>
  <c r="C11649" i="1"/>
  <c r="D11649" i="1"/>
  <c r="E11649" i="1"/>
  <c r="C11650" i="1"/>
  <c r="D11650" i="1"/>
  <c r="E11650" i="1"/>
  <c r="C11651" i="1"/>
  <c r="D11651" i="1"/>
  <c r="E11651" i="1"/>
  <c r="C11652" i="1"/>
  <c r="D11652" i="1"/>
  <c r="E11652" i="1"/>
  <c r="C11653" i="1"/>
  <c r="D11653" i="1"/>
  <c r="E11653" i="1"/>
  <c r="C11654" i="1"/>
  <c r="D11654" i="1"/>
  <c r="E11654" i="1"/>
  <c r="C11655" i="1"/>
  <c r="D11655" i="1"/>
  <c r="E11655" i="1"/>
  <c r="C11656" i="1"/>
  <c r="D11656" i="1"/>
  <c r="E11656" i="1"/>
  <c r="C11657" i="1"/>
  <c r="D11657" i="1"/>
  <c r="E11657" i="1"/>
  <c r="C11658" i="1"/>
  <c r="D11658" i="1"/>
  <c r="E11658" i="1"/>
  <c r="C11659" i="1"/>
  <c r="D11659" i="1"/>
  <c r="E11659" i="1"/>
  <c r="C11660" i="1"/>
  <c r="D11660" i="1"/>
  <c r="E11660" i="1"/>
  <c r="C11661" i="1"/>
  <c r="D11661" i="1"/>
  <c r="E11661" i="1"/>
  <c r="C11662" i="1"/>
  <c r="D11662" i="1"/>
  <c r="E11662" i="1"/>
  <c r="C11663" i="1"/>
  <c r="D11663" i="1"/>
  <c r="E11663" i="1"/>
  <c r="C11664" i="1"/>
  <c r="D11664" i="1"/>
  <c r="E11664" i="1"/>
  <c r="C11665" i="1"/>
  <c r="D11665" i="1"/>
  <c r="E11665" i="1"/>
  <c r="C11666" i="1"/>
  <c r="D11666" i="1"/>
  <c r="E11666" i="1"/>
  <c r="C11667" i="1"/>
  <c r="D11667" i="1"/>
  <c r="E11667" i="1"/>
  <c r="C11668" i="1"/>
  <c r="D11668" i="1"/>
  <c r="E11668" i="1"/>
  <c r="C11669" i="1"/>
  <c r="D11669" i="1"/>
  <c r="E11669" i="1"/>
  <c r="C11670" i="1"/>
  <c r="D11670" i="1"/>
  <c r="E11670" i="1"/>
  <c r="C11671" i="1"/>
  <c r="D11671" i="1"/>
  <c r="E11671" i="1"/>
  <c r="C11672" i="1"/>
  <c r="D11672" i="1"/>
  <c r="E11672" i="1"/>
  <c r="C11673" i="1"/>
  <c r="D11673" i="1"/>
  <c r="E11673" i="1"/>
  <c r="C11674" i="1"/>
  <c r="D11674" i="1"/>
  <c r="E11674" i="1"/>
  <c r="C11675" i="1"/>
  <c r="D11675" i="1"/>
  <c r="E11675" i="1"/>
  <c r="C11676" i="1"/>
  <c r="D11676" i="1"/>
  <c r="E11676" i="1"/>
  <c r="C11677" i="1"/>
  <c r="D11677" i="1"/>
  <c r="E11677" i="1"/>
  <c r="C11678" i="1"/>
  <c r="D11678" i="1"/>
  <c r="E11678" i="1"/>
  <c r="C11679" i="1"/>
  <c r="D11679" i="1"/>
  <c r="E11679" i="1"/>
  <c r="C11680" i="1"/>
  <c r="D11680" i="1"/>
  <c r="E11680" i="1"/>
  <c r="C11681" i="1"/>
  <c r="D11681" i="1"/>
  <c r="E11681" i="1"/>
  <c r="C11682" i="1"/>
  <c r="D11682" i="1"/>
  <c r="E11682" i="1"/>
  <c r="C11683" i="1"/>
  <c r="D11683" i="1"/>
  <c r="E11683" i="1"/>
  <c r="C11684" i="1"/>
  <c r="D11684" i="1"/>
  <c r="E11684" i="1"/>
  <c r="C11685" i="1"/>
  <c r="D11685" i="1"/>
  <c r="E11685" i="1"/>
  <c r="C11686" i="1"/>
  <c r="D11686" i="1"/>
  <c r="E11686" i="1"/>
  <c r="C11687" i="1"/>
  <c r="D11687" i="1"/>
  <c r="E11687" i="1"/>
  <c r="C11688" i="1"/>
  <c r="D11688" i="1"/>
  <c r="E11688" i="1"/>
  <c r="C11689" i="1"/>
  <c r="D11689" i="1"/>
  <c r="E11689" i="1"/>
  <c r="C11690" i="1"/>
  <c r="D11690" i="1"/>
  <c r="E11690" i="1"/>
  <c r="C11691" i="1"/>
  <c r="D11691" i="1"/>
  <c r="E11691" i="1"/>
  <c r="C11692" i="1"/>
  <c r="D11692" i="1"/>
  <c r="E11692" i="1"/>
  <c r="C11693" i="1"/>
  <c r="D11693" i="1"/>
  <c r="E11693" i="1"/>
  <c r="C11694" i="1"/>
  <c r="D11694" i="1"/>
  <c r="E11694" i="1"/>
  <c r="C11695" i="1"/>
  <c r="D11695" i="1"/>
  <c r="E11695" i="1"/>
  <c r="C11696" i="1"/>
  <c r="D11696" i="1"/>
  <c r="E11696" i="1"/>
  <c r="C11697" i="1"/>
  <c r="D11697" i="1"/>
  <c r="E11697" i="1"/>
  <c r="C11698" i="1"/>
  <c r="D11698" i="1"/>
  <c r="E11698" i="1"/>
  <c r="C11699" i="1"/>
  <c r="D11699" i="1"/>
  <c r="E11699" i="1"/>
  <c r="C11700" i="1"/>
  <c r="D11700" i="1"/>
  <c r="E11700" i="1"/>
  <c r="C11701" i="1"/>
  <c r="D11701" i="1"/>
  <c r="E11701" i="1"/>
  <c r="C11702" i="1"/>
  <c r="D11702" i="1"/>
  <c r="E11702" i="1"/>
  <c r="C11703" i="1"/>
  <c r="D11703" i="1"/>
  <c r="E11703" i="1"/>
  <c r="C11704" i="1"/>
  <c r="D11704" i="1"/>
  <c r="E11704" i="1"/>
  <c r="C11705" i="1"/>
  <c r="D11705" i="1"/>
  <c r="E11705" i="1"/>
  <c r="C11706" i="1"/>
  <c r="D11706" i="1"/>
  <c r="E11706" i="1"/>
  <c r="C11707" i="1"/>
  <c r="D11707" i="1"/>
  <c r="E11707" i="1"/>
  <c r="C11708" i="1"/>
  <c r="D11708" i="1"/>
  <c r="E11708" i="1"/>
  <c r="C11709" i="1"/>
  <c r="D11709" i="1"/>
  <c r="E11709" i="1"/>
  <c r="C11710" i="1"/>
  <c r="D11710" i="1"/>
  <c r="E11710" i="1"/>
  <c r="C11711" i="1"/>
  <c r="D11711" i="1"/>
  <c r="E11711" i="1"/>
  <c r="C11712" i="1"/>
  <c r="D11712" i="1"/>
  <c r="E11712" i="1"/>
  <c r="C11713" i="1"/>
  <c r="D11713" i="1"/>
  <c r="E11713" i="1"/>
  <c r="C11714" i="1"/>
  <c r="D11714" i="1"/>
  <c r="E11714" i="1"/>
  <c r="C11715" i="1"/>
  <c r="D11715" i="1"/>
  <c r="E11715" i="1"/>
  <c r="C11716" i="1"/>
  <c r="D11716" i="1"/>
  <c r="E11716" i="1"/>
  <c r="C11717" i="1"/>
  <c r="D11717" i="1"/>
  <c r="E11717" i="1"/>
  <c r="C11718" i="1"/>
  <c r="D11718" i="1"/>
  <c r="E11718" i="1"/>
  <c r="C11719" i="1"/>
  <c r="D11719" i="1"/>
  <c r="E11719" i="1"/>
  <c r="C11720" i="1"/>
  <c r="D11720" i="1"/>
  <c r="E11720" i="1"/>
  <c r="C11721" i="1"/>
  <c r="D11721" i="1"/>
  <c r="E11721" i="1"/>
  <c r="C11722" i="1"/>
  <c r="D11722" i="1"/>
  <c r="E11722" i="1"/>
  <c r="C11723" i="1"/>
  <c r="D11723" i="1"/>
  <c r="E11723" i="1"/>
  <c r="C11724" i="1"/>
  <c r="D11724" i="1"/>
  <c r="E11724" i="1"/>
  <c r="C11725" i="1"/>
  <c r="D11725" i="1"/>
  <c r="E11725" i="1"/>
  <c r="C11726" i="1"/>
  <c r="D11726" i="1"/>
  <c r="E11726" i="1"/>
  <c r="C11727" i="1"/>
  <c r="D11727" i="1"/>
  <c r="E11727" i="1"/>
  <c r="C11728" i="1"/>
  <c r="D11728" i="1"/>
  <c r="E11728" i="1"/>
  <c r="C11729" i="1"/>
  <c r="D11729" i="1"/>
  <c r="E11729" i="1"/>
  <c r="C11730" i="1"/>
  <c r="D11730" i="1"/>
  <c r="E11730" i="1"/>
  <c r="C11731" i="1"/>
  <c r="D11731" i="1"/>
  <c r="E11731" i="1"/>
  <c r="C11732" i="1"/>
  <c r="D11732" i="1"/>
  <c r="E11732" i="1"/>
  <c r="C11733" i="1"/>
  <c r="D11733" i="1"/>
  <c r="E11733" i="1"/>
  <c r="C11734" i="1"/>
  <c r="D11734" i="1"/>
  <c r="E11734" i="1"/>
  <c r="C11735" i="1"/>
  <c r="D11735" i="1"/>
  <c r="E11735" i="1"/>
  <c r="C11736" i="1"/>
  <c r="D11736" i="1"/>
  <c r="E11736" i="1"/>
  <c r="C11737" i="1"/>
  <c r="D11737" i="1"/>
  <c r="E11737" i="1"/>
  <c r="C11738" i="1"/>
  <c r="D11738" i="1"/>
  <c r="E11738" i="1"/>
  <c r="C11739" i="1"/>
  <c r="D11739" i="1"/>
  <c r="E11739" i="1"/>
  <c r="C11740" i="1"/>
  <c r="D11740" i="1"/>
  <c r="E11740" i="1"/>
  <c r="C11741" i="1"/>
  <c r="D11741" i="1"/>
  <c r="E11741" i="1"/>
  <c r="C11742" i="1"/>
  <c r="D11742" i="1"/>
  <c r="E11742" i="1"/>
  <c r="C11743" i="1"/>
  <c r="D11743" i="1"/>
  <c r="E11743" i="1"/>
  <c r="C11744" i="1"/>
  <c r="D11744" i="1"/>
  <c r="E11744" i="1"/>
  <c r="C11745" i="1"/>
  <c r="D11745" i="1"/>
  <c r="E11745" i="1"/>
  <c r="C11746" i="1"/>
  <c r="D11746" i="1"/>
  <c r="E11746" i="1"/>
  <c r="C11747" i="1"/>
  <c r="D11747" i="1"/>
  <c r="E11747" i="1"/>
  <c r="C11748" i="1"/>
  <c r="D11748" i="1"/>
  <c r="E11748" i="1"/>
  <c r="C11749" i="1"/>
  <c r="D11749" i="1"/>
  <c r="E11749" i="1"/>
  <c r="C11750" i="1"/>
  <c r="D11750" i="1"/>
  <c r="E11750" i="1"/>
  <c r="C11751" i="1"/>
  <c r="D11751" i="1"/>
  <c r="E11751" i="1"/>
  <c r="C11752" i="1"/>
  <c r="D11752" i="1"/>
  <c r="E11752" i="1"/>
  <c r="C11753" i="1"/>
  <c r="D11753" i="1"/>
  <c r="E11753" i="1"/>
  <c r="C11754" i="1"/>
  <c r="D11754" i="1"/>
  <c r="E11754" i="1"/>
  <c r="C11755" i="1"/>
  <c r="D11755" i="1"/>
  <c r="E11755" i="1"/>
  <c r="C11756" i="1"/>
  <c r="D11756" i="1"/>
  <c r="E11756" i="1"/>
  <c r="C11757" i="1"/>
  <c r="D11757" i="1"/>
  <c r="E11757" i="1"/>
  <c r="C11758" i="1"/>
  <c r="D11758" i="1"/>
  <c r="E11758" i="1"/>
  <c r="C11759" i="1"/>
  <c r="D11759" i="1"/>
  <c r="E11759" i="1"/>
  <c r="C11760" i="1"/>
  <c r="D11760" i="1"/>
  <c r="E11760" i="1"/>
  <c r="C11761" i="1"/>
  <c r="D11761" i="1"/>
  <c r="E11761" i="1"/>
  <c r="C11762" i="1"/>
  <c r="D11762" i="1"/>
  <c r="E11762" i="1"/>
  <c r="C11763" i="1"/>
  <c r="D11763" i="1"/>
  <c r="E11763" i="1"/>
  <c r="C11764" i="1"/>
  <c r="D11764" i="1"/>
  <c r="E11764" i="1"/>
  <c r="C11765" i="1"/>
  <c r="D11765" i="1"/>
  <c r="E11765" i="1"/>
  <c r="C11766" i="1"/>
  <c r="D11766" i="1"/>
  <c r="E11766" i="1"/>
  <c r="C11767" i="1"/>
  <c r="D11767" i="1"/>
  <c r="E11767" i="1"/>
  <c r="C11768" i="1"/>
  <c r="D11768" i="1"/>
  <c r="E11768" i="1"/>
  <c r="C11769" i="1"/>
  <c r="D11769" i="1"/>
  <c r="E11769" i="1"/>
  <c r="C11770" i="1"/>
  <c r="D11770" i="1"/>
  <c r="E11770" i="1"/>
  <c r="C11771" i="1"/>
  <c r="D11771" i="1"/>
  <c r="E11771" i="1"/>
  <c r="C11772" i="1"/>
  <c r="D11772" i="1"/>
  <c r="E11772" i="1"/>
  <c r="C11773" i="1"/>
  <c r="D11773" i="1"/>
  <c r="E11773" i="1"/>
  <c r="C11774" i="1"/>
  <c r="D11774" i="1"/>
  <c r="E11774" i="1"/>
  <c r="C11775" i="1"/>
  <c r="D11775" i="1"/>
  <c r="E11775" i="1"/>
  <c r="C11776" i="1"/>
  <c r="D11776" i="1"/>
  <c r="E11776" i="1"/>
  <c r="C11777" i="1"/>
  <c r="D11777" i="1"/>
  <c r="E11777" i="1"/>
  <c r="C11778" i="1"/>
  <c r="D11778" i="1"/>
  <c r="E11778" i="1"/>
  <c r="C11779" i="1"/>
  <c r="D11779" i="1"/>
  <c r="E11779" i="1"/>
  <c r="C11780" i="1"/>
  <c r="D11780" i="1"/>
  <c r="E11780" i="1"/>
  <c r="C11781" i="1"/>
  <c r="D11781" i="1"/>
  <c r="E11781" i="1"/>
  <c r="C11782" i="1"/>
  <c r="D11782" i="1"/>
  <c r="E11782" i="1"/>
  <c r="C11783" i="1"/>
  <c r="D11783" i="1"/>
  <c r="E11783" i="1"/>
  <c r="C11784" i="1"/>
  <c r="D11784" i="1"/>
  <c r="E11784" i="1"/>
  <c r="C11785" i="1"/>
  <c r="D11785" i="1"/>
  <c r="E11785" i="1"/>
  <c r="C11786" i="1"/>
  <c r="D11786" i="1"/>
  <c r="E11786" i="1"/>
  <c r="C11787" i="1"/>
  <c r="D11787" i="1"/>
  <c r="E11787" i="1"/>
  <c r="C11788" i="1"/>
  <c r="D11788" i="1"/>
  <c r="E11788" i="1"/>
  <c r="C11789" i="1"/>
  <c r="D11789" i="1"/>
  <c r="E11789" i="1"/>
  <c r="C11790" i="1"/>
  <c r="D11790" i="1"/>
  <c r="E11790" i="1"/>
  <c r="C11791" i="1"/>
  <c r="D11791" i="1"/>
  <c r="E11791" i="1"/>
  <c r="C11792" i="1"/>
  <c r="D11792" i="1"/>
  <c r="E11792" i="1"/>
  <c r="C11793" i="1"/>
  <c r="D11793" i="1"/>
  <c r="E11793" i="1"/>
  <c r="C11794" i="1"/>
  <c r="D11794" i="1"/>
  <c r="E11794" i="1"/>
  <c r="C11795" i="1"/>
  <c r="D11795" i="1"/>
  <c r="E11795" i="1"/>
  <c r="C11796" i="1"/>
  <c r="D11796" i="1"/>
  <c r="E11796" i="1"/>
  <c r="C11797" i="1"/>
  <c r="D11797" i="1"/>
  <c r="E11797" i="1"/>
  <c r="C11798" i="1"/>
  <c r="D11798" i="1"/>
  <c r="E11798" i="1"/>
  <c r="C11799" i="1"/>
  <c r="D11799" i="1"/>
  <c r="E11799" i="1"/>
  <c r="C11800" i="1"/>
  <c r="D11800" i="1"/>
  <c r="E11800" i="1"/>
  <c r="C11801" i="1"/>
  <c r="D11801" i="1"/>
  <c r="E11801" i="1"/>
  <c r="C11802" i="1"/>
  <c r="D11802" i="1"/>
  <c r="E11802" i="1"/>
  <c r="C11803" i="1"/>
  <c r="D11803" i="1"/>
  <c r="E11803" i="1"/>
  <c r="C11804" i="1"/>
  <c r="D11804" i="1"/>
  <c r="E11804" i="1"/>
  <c r="C11805" i="1"/>
  <c r="D11805" i="1"/>
  <c r="E11805" i="1"/>
  <c r="C11806" i="1"/>
  <c r="D11806" i="1"/>
  <c r="E11806" i="1"/>
  <c r="C11807" i="1"/>
  <c r="D11807" i="1"/>
  <c r="E11807" i="1"/>
  <c r="C11808" i="1"/>
  <c r="D11808" i="1"/>
  <c r="E11808" i="1"/>
  <c r="C11809" i="1"/>
  <c r="D11809" i="1"/>
  <c r="E11809" i="1"/>
  <c r="C11810" i="1"/>
  <c r="D11810" i="1"/>
  <c r="E11810" i="1"/>
  <c r="C11811" i="1"/>
  <c r="D11811" i="1"/>
  <c r="E11811" i="1"/>
  <c r="C11812" i="1"/>
  <c r="D11812" i="1"/>
  <c r="E11812" i="1"/>
  <c r="C11813" i="1"/>
  <c r="D11813" i="1"/>
  <c r="E11813" i="1"/>
  <c r="C11814" i="1"/>
  <c r="D11814" i="1"/>
  <c r="E11814" i="1"/>
  <c r="C11815" i="1"/>
  <c r="D11815" i="1"/>
  <c r="E11815" i="1"/>
  <c r="C11816" i="1"/>
  <c r="D11816" i="1"/>
  <c r="E11816" i="1"/>
  <c r="C11817" i="1"/>
  <c r="D11817" i="1"/>
  <c r="E11817" i="1"/>
  <c r="C11818" i="1"/>
  <c r="D11818" i="1"/>
  <c r="E11818" i="1"/>
  <c r="C11819" i="1"/>
  <c r="D11819" i="1"/>
  <c r="E11819" i="1"/>
  <c r="C11820" i="1"/>
  <c r="D11820" i="1"/>
  <c r="E11820" i="1"/>
  <c r="C11821" i="1"/>
  <c r="D11821" i="1"/>
  <c r="E11821" i="1"/>
  <c r="C11822" i="1"/>
  <c r="D11822" i="1"/>
  <c r="E11822" i="1"/>
  <c r="C11823" i="1"/>
  <c r="D11823" i="1"/>
  <c r="E11823" i="1"/>
  <c r="C11824" i="1"/>
  <c r="D11824" i="1"/>
  <c r="E11824" i="1"/>
  <c r="C11825" i="1"/>
  <c r="D11825" i="1"/>
  <c r="E11825" i="1"/>
  <c r="C11826" i="1"/>
  <c r="D11826" i="1"/>
  <c r="E11826" i="1"/>
  <c r="C11827" i="1"/>
  <c r="D11827" i="1"/>
  <c r="E11827" i="1"/>
  <c r="C11828" i="1"/>
  <c r="D11828" i="1"/>
  <c r="E11828" i="1"/>
  <c r="C11829" i="1"/>
  <c r="D11829" i="1"/>
  <c r="E11829" i="1"/>
  <c r="C11830" i="1"/>
  <c r="D11830" i="1"/>
  <c r="E11830" i="1"/>
  <c r="C11831" i="1"/>
  <c r="D11831" i="1"/>
  <c r="E11831" i="1"/>
  <c r="C11832" i="1"/>
  <c r="D11832" i="1"/>
  <c r="E11832" i="1"/>
  <c r="C11833" i="1"/>
  <c r="D11833" i="1"/>
  <c r="E11833" i="1"/>
  <c r="C11834" i="1"/>
  <c r="D11834" i="1"/>
  <c r="E11834" i="1"/>
  <c r="C11835" i="1"/>
  <c r="D11835" i="1"/>
  <c r="E11835" i="1"/>
  <c r="C11836" i="1"/>
  <c r="D11836" i="1"/>
  <c r="E11836" i="1"/>
  <c r="C11837" i="1"/>
  <c r="D11837" i="1"/>
  <c r="E11837" i="1"/>
  <c r="C11838" i="1"/>
  <c r="D11838" i="1"/>
  <c r="E11838" i="1"/>
  <c r="C11839" i="1"/>
  <c r="D11839" i="1"/>
  <c r="E11839" i="1"/>
  <c r="C11840" i="1"/>
  <c r="D11840" i="1"/>
  <c r="E11840" i="1"/>
  <c r="C11841" i="1"/>
  <c r="D11841" i="1"/>
  <c r="E11841" i="1"/>
  <c r="C11842" i="1"/>
  <c r="D11842" i="1"/>
  <c r="E11842" i="1"/>
  <c r="C11843" i="1"/>
  <c r="D11843" i="1"/>
  <c r="E11843" i="1"/>
  <c r="C11844" i="1"/>
  <c r="D11844" i="1"/>
  <c r="E11844" i="1"/>
  <c r="C11845" i="1"/>
  <c r="D11845" i="1"/>
  <c r="E11845" i="1"/>
  <c r="C11846" i="1"/>
  <c r="D11846" i="1"/>
  <c r="E11846" i="1"/>
  <c r="C11847" i="1"/>
  <c r="D11847" i="1"/>
  <c r="E11847" i="1"/>
  <c r="C11848" i="1"/>
  <c r="D11848" i="1"/>
  <c r="E11848" i="1"/>
  <c r="C11849" i="1"/>
  <c r="D11849" i="1"/>
  <c r="E11849" i="1"/>
  <c r="C11850" i="1"/>
  <c r="D11850" i="1"/>
  <c r="E11850" i="1"/>
  <c r="C11851" i="1"/>
  <c r="D11851" i="1"/>
  <c r="E11851" i="1"/>
  <c r="C11852" i="1"/>
  <c r="D11852" i="1"/>
  <c r="E11852" i="1"/>
  <c r="C11853" i="1"/>
  <c r="D11853" i="1"/>
  <c r="E11853" i="1"/>
  <c r="C11854" i="1"/>
  <c r="D11854" i="1"/>
  <c r="E11854" i="1"/>
  <c r="C11855" i="1"/>
  <c r="D11855" i="1"/>
  <c r="E11855" i="1"/>
  <c r="C11856" i="1"/>
  <c r="D11856" i="1"/>
  <c r="E11856" i="1"/>
  <c r="C11857" i="1"/>
  <c r="D11857" i="1"/>
  <c r="E11857" i="1"/>
  <c r="C11858" i="1"/>
  <c r="D11858" i="1"/>
  <c r="E11858" i="1"/>
  <c r="C11859" i="1"/>
  <c r="D11859" i="1"/>
  <c r="E11859" i="1"/>
  <c r="C11860" i="1"/>
  <c r="D11860" i="1"/>
  <c r="E11860" i="1"/>
  <c r="C11861" i="1"/>
  <c r="D11861" i="1"/>
  <c r="E11861" i="1"/>
  <c r="C11862" i="1"/>
  <c r="D11862" i="1"/>
  <c r="E11862" i="1"/>
  <c r="C11863" i="1"/>
  <c r="D11863" i="1"/>
  <c r="E11863" i="1"/>
  <c r="C11864" i="1"/>
  <c r="D11864" i="1"/>
  <c r="E11864" i="1"/>
  <c r="C11865" i="1"/>
  <c r="D11865" i="1"/>
  <c r="E11865" i="1"/>
  <c r="C11866" i="1"/>
  <c r="D11866" i="1"/>
  <c r="E11866" i="1"/>
  <c r="C11867" i="1"/>
  <c r="D11867" i="1"/>
  <c r="E11867" i="1"/>
  <c r="C11868" i="1"/>
  <c r="D11868" i="1"/>
  <c r="E11868" i="1"/>
  <c r="C11869" i="1"/>
  <c r="D11869" i="1"/>
  <c r="E11869" i="1"/>
  <c r="C11870" i="1"/>
  <c r="D11870" i="1"/>
  <c r="E11870" i="1"/>
  <c r="C11871" i="1"/>
  <c r="D11871" i="1"/>
  <c r="E11871" i="1"/>
  <c r="C11872" i="1"/>
  <c r="D11872" i="1"/>
  <c r="E11872" i="1"/>
  <c r="C11873" i="1"/>
  <c r="D11873" i="1"/>
  <c r="E11873" i="1"/>
  <c r="C11874" i="1"/>
  <c r="D11874" i="1"/>
  <c r="E11874" i="1"/>
  <c r="C11875" i="1"/>
  <c r="D11875" i="1"/>
  <c r="E11875" i="1"/>
  <c r="C11876" i="1"/>
  <c r="D11876" i="1"/>
  <c r="E11876" i="1"/>
  <c r="C11877" i="1"/>
  <c r="D11877" i="1"/>
  <c r="E11877" i="1"/>
  <c r="C11878" i="1"/>
  <c r="D11878" i="1"/>
  <c r="E11878" i="1"/>
  <c r="C11879" i="1"/>
  <c r="D11879" i="1"/>
  <c r="E11879" i="1"/>
  <c r="C11880" i="1"/>
  <c r="D11880" i="1"/>
  <c r="E11880" i="1"/>
  <c r="C11881" i="1"/>
  <c r="D11881" i="1"/>
  <c r="E11881" i="1"/>
  <c r="C11882" i="1"/>
  <c r="D11882" i="1"/>
  <c r="E11882" i="1"/>
  <c r="C11883" i="1"/>
  <c r="D11883" i="1"/>
  <c r="E11883" i="1"/>
  <c r="C11884" i="1"/>
  <c r="D11884" i="1"/>
  <c r="E11884" i="1"/>
  <c r="C11885" i="1"/>
  <c r="D11885" i="1"/>
  <c r="E11885" i="1"/>
  <c r="C11886" i="1"/>
  <c r="D11886" i="1"/>
  <c r="E11886" i="1"/>
  <c r="C11887" i="1"/>
  <c r="D11887" i="1"/>
  <c r="E11887" i="1"/>
  <c r="C11888" i="1"/>
  <c r="D11888" i="1"/>
  <c r="E11888" i="1"/>
  <c r="C11889" i="1"/>
  <c r="D11889" i="1"/>
  <c r="E11889" i="1"/>
  <c r="C11890" i="1"/>
  <c r="D11890" i="1"/>
  <c r="E11890" i="1"/>
  <c r="C11891" i="1"/>
  <c r="D11891" i="1"/>
  <c r="E11891" i="1"/>
  <c r="C11892" i="1"/>
  <c r="D11892" i="1"/>
  <c r="E11892" i="1"/>
  <c r="C11893" i="1"/>
  <c r="D11893" i="1"/>
  <c r="E11893" i="1"/>
  <c r="C11894" i="1"/>
  <c r="D11894" i="1"/>
  <c r="E11894" i="1"/>
  <c r="C11895" i="1"/>
  <c r="D11895" i="1"/>
  <c r="E11895" i="1"/>
  <c r="C11896" i="1"/>
  <c r="D11896" i="1"/>
  <c r="E11896" i="1"/>
  <c r="C11897" i="1"/>
  <c r="D11897" i="1"/>
  <c r="E11897" i="1"/>
  <c r="C11898" i="1"/>
  <c r="D11898" i="1"/>
  <c r="E11898" i="1"/>
  <c r="C11899" i="1"/>
  <c r="D11899" i="1"/>
  <c r="E11899" i="1"/>
  <c r="C11900" i="1"/>
  <c r="D11900" i="1"/>
  <c r="E11900" i="1"/>
  <c r="C11901" i="1"/>
  <c r="D11901" i="1"/>
  <c r="E11901" i="1"/>
  <c r="C11902" i="1"/>
  <c r="D11902" i="1"/>
  <c r="E11902" i="1"/>
  <c r="C11903" i="1"/>
  <c r="D11903" i="1"/>
  <c r="E11903" i="1"/>
  <c r="C11904" i="1"/>
  <c r="D11904" i="1"/>
  <c r="E11904" i="1"/>
  <c r="C11905" i="1"/>
  <c r="D11905" i="1"/>
  <c r="E11905" i="1"/>
  <c r="C11906" i="1"/>
  <c r="D11906" i="1"/>
  <c r="E11906" i="1"/>
  <c r="C11907" i="1"/>
  <c r="D11907" i="1"/>
  <c r="E11907" i="1"/>
  <c r="C11908" i="1"/>
  <c r="D11908" i="1"/>
  <c r="E11908" i="1"/>
  <c r="C11909" i="1"/>
  <c r="D11909" i="1"/>
  <c r="E11909" i="1"/>
  <c r="C11910" i="1"/>
  <c r="D11910" i="1"/>
  <c r="E11910" i="1"/>
  <c r="C11911" i="1"/>
  <c r="D11911" i="1"/>
  <c r="E11911" i="1"/>
  <c r="C11912" i="1"/>
  <c r="D11912" i="1"/>
  <c r="E11912" i="1"/>
  <c r="C11913" i="1"/>
  <c r="D11913" i="1"/>
  <c r="E11913" i="1"/>
  <c r="C11914" i="1"/>
  <c r="D11914" i="1"/>
  <c r="E11914" i="1"/>
  <c r="C11915" i="1"/>
  <c r="D11915" i="1"/>
  <c r="E11915" i="1"/>
  <c r="C11916" i="1"/>
  <c r="D11916" i="1"/>
  <c r="E11916" i="1"/>
  <c r="C11917" i="1"/>
  <c r="D11917" i="1"/>
  <c r="E11917" i="1"/>
  <c r="C11918" i="1"/>
  <c r="D11918" i="1"/>
  <c r="E11918" i="1"/>
  <c r="C11919" i="1"/>
  <c r="D11919" i="1"/>
  <c r="E11919" i="1"/>
  <c r="C11920" i="1"/>
  <c r="D11920" i="1"/>
  <c r="E11920" i="1"/>
  <c r="C11921" i="1"/>
  <c r="D11921" i="1"/>
  <c r="E11921" i="1"/>
  <c r="C11922" i="1"/>
  <c r="D11922" i="1"/>
  <c r="E11922" i="1"/>
  <c r="C11923" i="1"/>
  <c r="D11923" i="1"/>
  <c r="E11923" i="1"/>
  <c r="C11924" i="1"/>
  <c r="D11924" i="1"/>
  <c r="E11924" i="1"/>
  <c r="C11925" i="1"/>
  <c r="D11925" i="1"/>
  <c r="E11925" i="1"/>
  <c r="C11926" i="1"/>
  <c r="D11926" i="1"/>
  <c r="E11926" i="1"/>
  <c r="C11927" i="1"/>
  <c r="D11927" i="1"/>
  <c r="E11927" i="1"/>
  <c r="C11928" i="1"/>
  <c r="D11928" i="1"/>
  <c r="E11928" i="1"/>
  <c r="C11929" i="1"/>
  <c r="D11929" i="1"/>
  <c r="E11929" i="1"/>
  <c r="C11930" i="1"/>
  <c r="D11930" i="1"/>
  <c r="E11930" i="1"/>
  <c r="C11931" i="1"/>
  <c r="D11931" i="1"/>
  <c r="E11931" i="1"/>
  <c r="C11932" i="1"/>
  <c r="D11932" i="1"/>
  <c r="E11932" i="1"/>
  <c r="C11933" i="1"/>
  <c r="D11933" i="1"/>
  <c r="E11933" i="1"/>
  <c r="C11934" i="1"/>
  <c r="D11934" i="1"/>
  <c r="E11934" i="1"/>
  <c r="C11935" i="1"/>
  <c r="D11935" i="1"/>
  <c r="E11935" i="1"/>
  <c r="C11936" i="1"/>
  <c r="D11936" i="1"/>
  <c r="E11936" i="1"/>
  <c r="C11937" i="1"/>
  <c r="D11937" i="1"/>
  <c r="E11937" i="1"/>
  <c r="C11938" i="1"/>
  <c r="D11938" i="1"/>
  <c r="E11938" i="1"/>
  <c r="C11939" i="1"/>
  <c r="D11939" i="1"/>
  <c r="E11939" i="1"/>
  <c r="C11940" i="1"/>
  <c r="D11940" i="1"/>
  <c r="E11940" i="1"/>
  <c r="C11941" i="1"/>
  <c r="D11941" i="1"/>
  <c r="E11941" i="1"/>
  <c r="C11942" i="1"/>
  <c r="D11942" i="1"/>
  <c r="E11942" i="1"/>
  <c r="C11943" i="1"/>
  <c r="D11943" i="1"/>
  <c r="E11943" i="1"/>
  <c r="C11944" i="1"/>
  <c r="D11944" i="1"/>
  <c r="E11944" i="1"/>
  <c r="C11945" i="1"/>
  <c r="D11945" i="1"/>
  <c r="E11945" i="1"/>
  <c r="C11946" i="1"/>
  <c r="D11946" i="1"/>
  <c r="E11946" i="1"/>
  <c r="C11947" i="1"/>
  <c r="D11947" i="1"/>
  <c r="E11947" i="1"/>
  <c r="C11948" i="1"/>
  <c r="D11948" i="1"/>
  <c r="E11948" i="1"/>
  <c r="C11949" i="1"/>
  <c r="D11949" i="1"/>
  <c r="E11949" i="1"/>
  <c r="C11950" i="1"/>
  <c r="D11950" i="1"/>
  <c r="E11950" i="1"/>
  <c r="C11951" i="1"/>
  <c r="D11951" i="1"/>
  <c r="E11951" i="1"/>
  <c r="C11952" i="1"/>
  <c r="D11952" i="1"/>
  <c r="E11952" i="1"/>
  <c r="C11953" i="1"/>
  <c r="D11953" i="1"/>
  <c r="E11953" i="1"/>
  <c r="C11954" i="1"/>
  <c r="D11954" i="1"/>
  <c r="E11954" i="1"/>
  <c r="C11955" i="1"/>
  <c r="D11955" i="1"/>
  <c r="E11955" i="1"/>
  <c r="C11956" i="1"/>
  <c r="D11956" i="1"/>
  <c r="E11956" i="1"/>
  <c r="C11957" i="1"/>
  <c r="D11957" i="1"/>
  <c r="E11957" i="1"/>
  <c r="C11958" i="1"/>
  <c r="D11958" i="1"/>
  <c r="E11958" i="1"/>
  <c r="C11959" i="1"/>
  <c r="D11959" i="1"/>
  <c r="E11959" i="1"/>
  <c r="C11960" i="1"/>
  <c r="D11960" i="1"/>
  <c r="E11960" i="1"/>
  <c r="C11961" i="1"/>
  <c r="D11961" i="1"/>
  <c r="E11961" i="1"/>
  <c r="C11962" i="1"/>
  <c r="D11962" i="1"/>
  <c r="E11962" i="1"/>
  <c r="C11963" i="1"/>
  <c r="D11963" i="1"/>
  <c r="E11963" i="1"/>
  <c r="C11964" i="1"/>
  <c r="D11964" i="1"/>
  <c r="E11964" i="1"/>
  <c r="C11965" i="1"/>
  <c r="D11965" i="1"/>
  <c r="E11965" i="1"/>
  <c r="C11966" i="1"/>
  <c r="D11966" i="1"/>
  <c r="E11966" i="1"/>
  <c r="C11967" i="1"/>
  <c r="D11967" i="1"/>
  <c r="E11967" i="1"/>
  <c r="C11968" i="1"/>
  <c r="D11968" i="1"/>
  <c r="E11968" i="1"/>
  <c r="C11969" i="1"/>
  <c r="D11969" i="1"/>
  <c r="E11969" i="1"/>
  <c r="C11970" i="1"/>
  <c r="D11970" i="1"/>
  <c r="E11970" i="1"/>
  <c r="C11971" i="1"/>
  <c r="D11971" i="1"/>
  <c r="E11971" i="1"/>
  <c r="C11972" i="1"/>
  <c r="D11972" i="1"/>
  <c r="E11972" i="1"/>
  <c r="C11973" i="1"/>
  <c r="D11973" i="1"/>
  <c r="E11973" i="1"/>
  <c r="C11974" i="1"/>
  <c r="D11974" i="1"/>
  <c r="E11974" i="1"/>
  <c r="C11975" i="1"/>
  <c r="D11975" i="1"/>
  <c r="E11975" i="1"/>
  <c r="C11976" i="1"/>
  <c r="D11976" i="1"/>
  <c r="E11976" i="1"/>
  <c r="C11977" i="1"/>
  <c r="D11977" i="1"/>
  <c r="E11977" i="1"/>
  <c r="C11978" i="1"/>
  <c r="D11978" i="1"/>
  <c r="E11978" i="1"/>
  <c r="C11979" i="1"/>
  <c r="D11979" i="1"/>
  <c r="E11979" i="1"/>
  <c r="C11980" i="1"/>
  <c r="D11980" i="1"/>
  <c r="E11980" i="1"/>
  <c r="C11981" i="1"/>
  <c r="D11981" i="1"/>
  <c r="E11981" i="1"/>
  <c r="C11982" i="1"/>
  <c r="D11982" i="1"/>
  <c r="E11982" i="1"/>
  <c r="C11983" i="1"/>
  <c r="D11983" i="1"/>
  <c r="E11983" i="1"/>
  <c r="C11984" i="1"/>
  <c r="D11984" i="1"/>
  <c r="E11984" i="1"/>
  <c r="C11985" i="1"/>
  <c r="D11985" i="1"/>
  <c r="E11985" i="1"/>
  <c r="C11986" i="1"/>
  <c r="D11986" i="1"/>
  <c r="E11986" i="1"/>
  <c r="C11987" i="1"/>
  <c r="D11987" i="1"/>
  <c r="E11987" i="1"/>
  <c r="C11988" i="1"/>
  <c r="D11988" i="1"/>
  <c r="E11988" i="1"/>
  <c r="C11989" i="1"/>
  <c r="D11989" i="1"/>
  <c r="E11989" i="1"/>
  <c r="C11990" i="1"/>
  <c r="D11990" i="1"/>
  <c r="E11990" i="1"/>
  <c r="C11991" i="1"/>
  <c r="D11991" i="1"/>
  <c r="E11991" i="1"/>
  <c r="C11992" i="1"/>
  <c r="D11992" i="1"/>
  <c r="E11992" i="1"/>
  <c r="C11993" i="1"/>
  <c r="D11993" i="1"/>
  <c r="E11993" i="1"/>
  <c r="C11994" i="1"/>
  <c r="D11994" i="1"/>
  <c r="E11994" i="1"/>
  <c r="C11995" i="1"/>
  <c r="D11995" i="1"/>
  <c r="E11995" i="1"/>
  <c r="C11996" i="1"/>
  <c r="D11996" i="1"/>
  <c r="E11996" i="1"/>
  <c r="C11997" i="1"/>
  <c r="D11997" i="1"/>
  <c r="E11997" i="1"/>
  <c r="C11998" i="1"/>
  <c r="D11998" i="1"/>
  <c r="E11998" i="1"/>
  <c r="C11999" i="1"/>
  <c r="D11999" i="1"/>
  <c r="E11999" i="1"/>
  <c r="C12000" i="1"/>
  <c r="D12000" i="1"/>
  <c r="E12000" i="1"/>
  <c r="C12001" i="1"/>
  <c r="D12001" i="1"/>
  <c r="E12001" i="1"/>
  <c r="C12002" i="1"/>
  <c r="D12002" i="1"/>
  <c r="E12002" i="1"/>
  <c r="C12003" i="1"/>
  <c r="D12003" i="1"/>
  <c r="E12003" i="1"/>
  <c r="C12004" i="1"/>
  <c r="D12004" i="1"/>
  <c r="E12004" i="1"/>
  <c r="C12005" i="1"/>
  <c r="D12005" i="1"/>
  <c r="E12005" i="1"/>
  <c r="C12006" i="1"/>
  <c r="D12006" i="1"/>
  <c r="E12006" i="1"/>
  <c r="C12007" i="1"/>
  <c r="D12007" i="1"/>
  <c r="E12007" i="1"/>
  <c r="C12008" i="1"/>
  <c r="D12008" i="1"/>
  <c r="E12008" i="1"/>
  <c r="C12009" i="1"/>
  <c r="D12009" i="1"/>
  <c r="E12009" i="1"/>
  <c r="C12010" i="1"/>
  <c r="D12010" i="1"/>
  <c r="E12010" i="1"/>
  <c r="C12011" i="1"/>
  <c r="D12011" i="1"/>
  <c r="E12011" i="1"/>
  <c r="C12012" i="1"/>
  <c r="D12012" i="1"/>
  <c r="E12012" i="1"/>
  <c r="C12013" i="1"/>
  <c r="D12013" i="1"/>
  <c r="E12013" i="1"/>
  <c r="C12014" i="1"/>
  <c r="D12014" i="1"/>
  <c r="E12014" i="1"/>
  <c r="C12015" i="1"/>
  <c r="D12015" i="1"/>
  <c r="E12015" i="1"/>
  <c r="C12016" i="1"/>
  <c r="D12016" i="1"/>
  <c r="E12016" i="1"/>
  <c r="C12017" i="1"/>
  <c r="D12017" i="1"/>
  <c r="E12017" i="1"/>
  <c r="C12018" i="1"/>
  <c r="D12018" i="1"/>
  <c r="E12018" i="1"/>
  <c r="C12019" i="1"/>
  <c r="D12019" i="1"/>
  <c r="E12019" i="1"/>
  <c r="C12020" i="1"/>
  <c r="D12020" i="1"/>
  <c r="E12020" i="1"/>
  <c r="C12021" i="1"/>
  <c r="D12021" i="1"/>
  <c r="E12021" i="1"/>
  <c r="C12022" i="1"/>
  <c r="D12022" i="1"/>
  <c r="E12022" i="1"/>
  <c r="C12023" i="1"/>
  <c r="D12023" i="1"/>
  <c r="E12023" i="1"/>
  <c r="C12024" i="1"/>
  <c r="D12024" i="1"/>
  <c r="E12024" i="1"/>
  <c r="C12025" i="1"/>
  <c r="D12025" i="1"/>
  <c r="E12025" i="1"/>
  <c r="C12026" i="1"/>
  <c r="D12026" i="1"/>
  <c r="E12026" i="1"/>
  <c r="C12027" i="1"/>
  <c r="D12027" i="1"/>
  <c r="E12027" i="1"/>
  <c r="C12028" i="1"/>
  <c r="D12028" i="1"/>
  <c r="E12028" i="1"/>
  <c r="C12029" i="1"/>
  <c r="D12029" i="1"/>
  <c r="E12029" i="1"/>
  <c r="C12030" i="1"/>
  <c r="D12030" i="1"/>
  <c r="E12030" i="1"/>
  <c r="C12031" i="1"/>
  <c r="D12031" i="1"/>
  <c r="E12031" i="1"/>
  <c r="C12032" i="1"/>
  <c r="D12032" i="1"/>
  <c r="E12032" i="1"/>
  <c r="C12033" i="1"/>
  <c r="D12033" i="1"/>
  <c r="E12033" i="1"/>
  <c r="C12034" i="1"/>
  <c r="D12034" i="1"/>
  <c r="E12034" i="1"/>
  <c r="C12035" i="1"/>
  <c r="D12035" i="1"/>
  <c r="E12035" i="1"/>
  <c r="C12036" i="1"/>
  <c r="D12036" i="1"/>
  <c r="E12036" i="1"/>
  <c r="C12037" i="1"/>
  <c r="D12037" i="1"/>
  <c r="E12037" i="1"/>
  <c r="C12038" i="1"/>
  <c r="D12038" i="1"/>
  <c r="E12038" i="1"/>
  <c r="C12039" i="1"/>
  <c r="D12039" i="1"/>
  <c r="E12039" i="1"/>
  <c r="C12040" i="1"/>
  <c r="D12040" i="1"/>
  <c r="E12040" i="1"/>
  <c r="C12041" i="1"/>
  <c r="D12041" i="1"/>
  <c r="E12041" i="1"/>
  <c r="C12042" i="1"/>
  <c r="D12042" i="1"/>
  <c r="E12042" i="1"/>
  <c r="C12043" i="1"/>
  <c r="D12043" i="1"/>
  <c r="E12043" i="1"/>
  <c r="C12044" i="1"/>
  <c r="D12044" i="1"/>
  <c r="E12044" i="1"/>
  <c r="C12045" i="1"/>
  <c r="D12045" i="1"/>
  <c r="E12045" i="1"/>
  <c r="C12046" i="1"/>
  <c r="D12046" i="1"/>
  <c r="E12046" i="1"/>
  <c r="C12047" i="1"/>
  <c r="D12047" i="1"/>
  <c r="E12047" i="1"/>
  <c r="C12048" i="1"/>
  <c r="D12048" i="1"/>
  <c r="E12048" i="1"/>
  <c r="C12049" i="1"/>
  <c r="D12049" i="1"/>
  <c r="E12049" i="1"/>
  <c r="C12050" i="1"/>
  <c r="D12050" i="1"/>
  <c r="E12050" i="1"/>
  <c r="C12051" i="1"/>
  <c r="D12051" i="1"/>
  <c r="E12051" i="1"/>
  <c r="C12052" i="1"/>
  <c r="D12052" i="1"/>
  <c r="E12052" i="1"/>
  <c r="C12053" i="1"/>
  <c r="D12053" i="1"/>
  <c r="E12053" i="1"/>
  <c r="C12054" i="1"/>
  <c r="D12054" i="1"/>
  <c r="E12054" i="1"/>
  <c r="C12055" i="1"/>
  <c r="D12055" i="1"/>
  <c r="E12055" i="1"/>
  <c r="C12056" i="1"/>
  <c r="D12056" i="1"/>
  <c r="E12056" i="1"/>
  <c r="C12057" i="1"/>
  <c r="D12057" i="1"/>
  <c r="E12057" i="1"/>
  <c r="C12058" i="1"/>
  <c r="D12058" i="1"/>
  <c r="E12058" i="1"/>
  <c r="C12059" i="1"/>
  <c r="D12059" i="1"/>
  <c r="E12059" i="1"/>
  <c r="C12060" i="1"/>
  <c r="D12060" i="1"/>
  <c r="E12060" i="1"/>
  <c r="C12061" i="1"/>
  <c r="D12061" i="1"/>
  <c r="E12061" i="1"/>
  <c r="C12062" i="1"/>
  <c r="D12062" i="1"/>
  <c r="E12062" i="1"/>
  <c r="C12063" i="1"/>
  <c r="D12063" i="1"/>
  <c r="E12063" i="1"/>
  <c r="C12064" i="1"/>
  <c r="D12064" i="1"/>
  <c r="E12064" i="1"/>
  <c r="C12065" i="1"/>
  <c r="D12065" i="1"/>
  <c r="E12065" i="1"/>
  <c r="C12066" i="1"/>
  <c r="D12066" i="1"/>
  <c r="E12066" i="1"/>
  <c r="C12067" i="1"/>
  <c r="D12067" i="1"/>
  <c r="E12067" i="1"/>
  <c r="C12068" i="1"/>
  <c r="D12068" i="1"/>
  <c r="E12068" i="1"/>
  <c r="C12069" i="1"/>
  <c r="D12069" i="1"/>
  <c r="E12069" i="1"/>
  <c r="C12070" i="1"/>
  <c r="D12070" i="1"/>
  <c r="E12070" i="1"/>
  <c r="C12071" i="1"/>
  <c r="D12071" i="1"/>
  <c r="E12071" i="1"/>
  <c r="C12072" i="1"/>
  <c r="D12072" i="1"/>
  <c r="E12072" i="1"/>
  <c r="C12073" i="1"/>
  <c r="D12073" i="1"/>
  <c r="E12073" i="1"/>
  <c r="C12074" i="1"/>
  <c r="D12074" i="1"/>
  <c r="E12074" i="1"/>
  <c r="C12075" i="1"/>
  <c r="D12075" i="1"/>
  <c r="E12075" i="1"/>
  <c r="C12076" i="1"/>
  <c r="D12076" i="1"/>
  <c r="E12076" i="1"/>
  <c r="C12077" i="1"/>
  <c r="D12077" i="1"/>
  <c r="E12077" i="1"/>
  <c r="C12078" i="1"/>
  <c r="D12078" i="1"/>
  <c r="E12078" i="1"/>
  <c r="C12079" i="1"/>
  <c r="D12079" i="1"/>
  <c r="E12079" i="1"/>
  <c r="C12080" i="1"/>
  <c r="D12080" i="1"/>
  <c r="E12080" i="1"/>
  <c r="C12081" i="1"/>
  <c r="D12081" i="1"/>
  <c r="E12081" i="1"/>
  <c r="C12082" i="1"/>
  <c r="D12082" i="1"/>
  <c r="E12082" i="1"/>
  <c r="C12083" i="1"/>
  <c r="D12083" i="1"/>
  <c r="E12083" i="1"/>
  <c r="C12084" i="1"/>
  <c r="D12084" i="1"/>
  <c r="E12084" i="1"/>
  <c r="C12085" i="1"/>
  <c r="D12085" i="1"/>
  <c r="E12085" i="1"/>
  <c r="C12086" i="1"/>
  <c r="D12086" i="1"/>
  <c r="E12086" i="1"/>
  <c r="C12087" i="1"/>
  <c r="D12087" i="1"/>
  <c r="E12087" i="1"/>
  <c r="C12088" i="1"/>
  <c r="D12088" i="1"/>
  <c r="E12088" i="1"/>
  <c r="C12089" i="1"/>
  <c r="D12089" i="1"/>
  <c r="E12089" i="1"/>
  <c r="C12090" i="1"/>
  <c r="D12090" i="1"/>
  <c r="E12090" i="1"/>
  <c r="C12091" i="1"/>
  <c r="D12091" i="1"/>
  <c r="E12091" i="1"/>
  <c r="C12092" i="1"/>
  <c r="D12092" i="1"/>
  <c r="E12092" i="1"/>
  <c r="C12093" i="1"/>
  <c r="D12093" i="1"/>
  <c r="E12093" i="1"/>
  <c r="C12094" i="1"/>
  <c r="D12094" i="1"/>
  <c r="E12094" i="1"/>
  <c r="C12095" i="1"/>
  <c r="D12095" i="1"/>
  <c r="E12095" i="1"/>
  <c r="C12096" i="1"/>
  <c r="D12096" i="1"/>
  <c r="E12096" i="1"/>
  <c r="C12097" i="1"/>
  <c r="D12097" i="1"/>
  <c r="E12097" i="1"/>
  <c r="C12098" i="1"/>
  <c r="D12098" i="1"/>
  <c r="E12098" i="1"/>
  <c r="C12099" i="1"/>
  <c r="D12099" i="1"/>
  <c r="E12099" i="1"/>
  <c r="C12100" i="1"/>
  <c r="D12100" i="1"/>
  <c r="E12100" i="1"/>
  <c r="C12101" i="1"/>
  <c r="D12101" i="1"/>
  <c r="E12101" i="1"/>
  <c r="C12102" i="1"/>
  <c r="D12102" i="1"/>
  <c r="E12102" i="1"/>
  <c r="C12103" i="1"/>
  <c r="D12103" i="1"/>
  <c r="E12103" i="1"/>
  <c r="C12104" i="1"/>
  <c r="D12104" i="1"/>
  <c r="E12104" i="1"/>
  <c r="C12105" i="1"/>
  <c r="D12105" i="1"/>
  <c r="E12105" i="1"/>
  <c r="C12106" i="1"/>
  <c r="D12106" i="1"/>
  <c r="E12106" i="1"/>
  <c r="C12107" i="1"/>
  <c r="D12107" i="1"/>
  <c r="E12107" i="1"/>
  <c r="C12108" i="1"/>
  <c r="D12108" i="1"/>
  <c r="E12108" i="1"/>
  <c r="C12109" i="1"/>
  <c r="D12109" i="1"/>
  <c r="E12109" i="1"/>
  <c r="C12110" i="1"/>
  <c r="D12110" i="1"/>
  <c r="E12110" i="1"/>
  <c r="C12111" i="1"/>
  <c r="D12111" i="1"/>
  <c r="E12111" i="1"/>
  <c r="C12112" i="1"/>
  <c r="D12112" i="1"/>
  <c r="E12112" i="1"/>
  <c r="C12113" i="1"/>
  <c r="D12113" i="1"/>
  <c r="E12113" i="1"/>
  <c r="C12114" i="1"/>
  <c r="D12114" i="1"/>
  <c r="E12114" i="1"/>
  <c r="C12115" i="1"/>
  <c r="D12115" i="1"/>
  <c r="E12115" i="1"/>
  <c r="C12116" i="1"/>
  <c r="D12116" i="1"/>
  <c r="E12116" i="1"/>
  <c r="C12117" i="1"/>
  <c r="D12117" i="1"/>
  <c r="E12117" i="1"/>
  <c r="C12118" i="1"/>
  <c r="D12118" i="1"/>
  <c r="E12118" i="1"/>
  <c r="C12119" i="1"/>
  <c r="D12119" i="1"/>
  <c r="E12119" i="1"/>
  <c r="C12120" i="1"/>
  <c r="D12120" i="1"/>
  <c r="E12120" i="1"/>
  <c r="C12121" i="1"/>
  <c r="D12121" i="1"/>
  <c r="E12121" i="1"/>
  <c r="C12122" i="1"/>
  <c r="D12122" i="1"/>
  <c r="E12122" i="1"/>
  <c r="C12123" i="1"/>
  <c r="D12123" i="1"/>
  <c r="E12123" i="1"/>
  <c r="C12124" i="1"/>
  <c r="D12124" i="1"/>
  <c r="E12124" i="1"/>
  <c r="C12125" i="1"/>
  <c r="D12125" i="1"/>
  <c r="E12125" i="1"/>
  <c r="C12126" i="1"/>
  <c r="D12126" i="1"/>
  <c r="E12126" i="1"/>
  <c r="C12127" i="1"/>
  <c r="D12127" i="1"/>
  <c r="E12127" i="1"/>
  <c r="C12128" i="1"/>
  <c r="D12128" i="1"/>
  <c r="E12128" i="1"/>
  <c r="C12129" i="1"/>
  <c r="D12129" i="1"/>
  <c r="E12129" i="1"/>
  <c r="C12130" i="1"/>
  <c r="D12130" i="1"/>
  <c r="E12130" i="1"/>
  <c r="C12131" i="1"/>
  <c r="D12131" i="1"/>
  <c r="E12131" i="1"/>
  <c r="C12132" i="1"/>
  <c r="D12132" i="1"/>
  <c r="E12132" i="1"/>
  <c r="C12133" i="1"/>
  <c r="D12133" i="1"/>
  <c r="E12133" i="1"/>
  <c r="C12134" i="1"/>
  <c r="D12134" i="1"/>
  <c r="E12134" i="1"/>
  <c r="C12135" i="1"/>
  <c r="D12135" i="1"/>
  <c r="E12135" i="1"/>
  <c r="C12136" i="1"/>
  <c r="D12136" i="1"/>
  <c r="E12136" i="1"/>
  <c r="C12137" i="1"/>
  <c r="D12137" i="1"/>
  <c r="E12137" i="1"/>
  <c r="C12138" i="1"/>
  <c r="D12138" i="1"/>
  <c r="E12138" i="1"/>
  <c r="C12139" i="1"/>
  <c r="D12139" i="1"/>
  <c r="E12139" i="1"/>
  <c r="C12140" i="1"/>
  <c r="D12140" i="1"/>
  <c r="E12140" i="1"/>
  <c r="C12141" i="1"/>
  <c r="D12141" i="1"/>
  <c r="E12141" i="1"/>
  <c r="C12142" i="1"/>
  <c r="D12142" i="1"/>
  <c r="E12142" i="1"/>
  <c r="C12143" i="1"/>
  <c r="D12143" i="1"/>
  <c r="E12143" i="1"/>
  <c r="C12144" i="1"/>
  <c r="D12144" i="1"/>
  <c r="E12144" i="1"/>
  <c r="C12145" i="1"/>
  <c r="D12145" i="1"/>
  <c r="E12145" i="1"/>
  <c r="C12146" i="1"/>
  <c r="D12146" i="1"/>
  <c r="E12146" i="1"/>
  <c r="C12147" i="1"/>
  <c r="D12147" i="1"/>
  <c r="E12147" i="1"/>
  <c r="C12148" i="1"/>
  <c r="D12148" i="1"/>
  <c r="E12148" i="1"/>
  <c r="C12149" i="1"/>
  <c r="D12149" i="1"/>
  <c r="E12149" i="1"/>
  <c r="C12150" i="1"/>
  <c r="D12150" i="1"/>
  <c r="E12150" i="1"/>
  <c r="C12151" i="1"/>
  <c r="D12151" i="1"/>
  <c r="E12151" i="1"/>
  <c r="C12152" i="1"/>
  <c r="D12152" i="1"/>
  <c r="E12152" i="1"/>
  <c r="C12153" i="1"/>
  <c r="D12153" i="1"/>
  <c r="E12153" i="1"/>
  <c r="C12154" i="1"/>
  <c r="D12154" i="1"/>
  <c r="E12154" i="1"/>
  <c r="C12155" i="1"/>
  <c r="D12155" i="1"/>
  <c r="E12155" i="1"/>
  <c r="C12156" i="1"/>
  <c r="D12156" i="1"/>
  <c r="E12156" i="1"/>
  <c r="C12157" i="1"/>
  <c r="D12157" i="1"/>
  <c r="E12157" i="1"/>
  <c r="C12158" i="1"/>
  <c r="D12158" i="1"/>
  <c r="E12158" i="1"/>
  <c r="C12159" i="1"/>
  <c r="D12159" i="1"/>
  <c r="E12159" i="1"/>
  <c r="C12160" i="1"/>
  <c r="D12160" i="1"/>
  <c r="E12160" i="1"/>
  <c r="C12161" i="1"/>
  <c r="D12161" i="1"/>
  <c r="E12161" i="1"/>
  <c r="C12162" i="1"/>
  <c r="D12162" i="1"/>
  <c r="E12162" i="1"/>
  <c r="C12163" i="1"/>
  <c r="D12163" i="1"/>
  <c r="E12163" i="1"/>
  <c r="C12164" i="1"/>
  <c r="D12164" i="1"/>
  <c r="E12164" i="1"/>
  <c r="C12165" i="1"/>
  <c r="D12165" i="1"/>
  <c r="E12165" i="1"/>
  <c r="C12166" i="1"/>
  <c r="D12166" i="1"/>
  <c r="E12166" i="1"/>
  <c r="C12167" i="1"/>
  <c r="D12167" i="1"/>
  <c r="E12167" i="1"/>
  <c r="C12168" i="1"/>
  <c r="D12168" i="1"/>
  <c r="E12168" i="1"/>
  <c r="C12169" i="1"/>
  <c r="D12169" i="1"/>
  <c r="E12169" i="1"/>
  <c r="C12170" i="1"/>
  <c r="D12170" i="1"/>
  <c r="E12170" i="1"/>
  <c r="C12171" i="1"/>
  <c r="D12171" i="1"/>
  <c r="E12171" i="1"/>
  <c r="C12172" i="1"/>
  <c r="D12172" i="1"/>
  <c r="E12172" i="1"/>
  <c r="C12173" i="1"/>
  <c r="D12173" i="1"/>
  <c r="E12173" i="1"/>
  <c r="C12174" i="1"/>
  <c r="D12174" i="1"/>
  <c r="E12174" i="1"/>
  <c r="C12175" i="1"/>
  <c r="D12175" i="1"/>
  <c r="E12175" i="1"/>
  <c r="C12176" i="1"/>
  <c r="D12176" i="1"/>
  <c r="E12176" i="1"/>
  <c r="C12177" i="1"/>
  <c r="D12177" i="1"/>
  <c r="E12177" i="1"/>
  <c r="C12178" i="1"/>
  <c r="D12178" i="1"/>
  <c r="E12178" i="1"/>
  <c r="C12179" i="1"/>
  <c r="D12179" i="1"/>
  <c r="E12179" i="1"/>
  <c r="C12180" i="1"/>
  <c r="D12180" i="1"/>
  <c r="E12180" i="1"/>
  <c r="C12181" i="1"/>
  <c r="D12181" i="1"/>
  <c r="E12181" i="1"/>
  <c r="C12182" i="1"/>
  <c r="D12182" i="1"/>
  <c r="E12182" i="1"/>
  <c r="C12183" i="1"/>
  <c r="D12183" i="1"/>
  <c r="E12183" i="1"/>
  <c r="C12184" i="1"/>
  <c r="D12184" i="1"/>
  <c r="E12184" i="1"/>
  <c r="C12185" i="1"/>
  <c r="D12185" i="1"/>
  <c r="E12185" i="1"/>
  <c r="C12186" i="1"/>
  <c r="D12186" i="1"/>
  <c r="E12186" i="1"/>
  <c r="C12187" i="1"/>
  <c r="D12187" i="1"/>
  <c r="E12187" i="1"/>
  <c r="C12188" i="1"/>
  <c r="D12188" i="1"/>
  <c r="E12188" i="1"/>
  <c r="C12189" i="1"/>
  <c r="D12189" i="1"/>
  <c r="E12189" i="1"/>
  <c r="C12190" i="1"/>
  <c r="D12190" i="1"/>
  <c r="E12190" i="1"/>
  <c r="C12191" i="1"/>
  <c r="D12191" i="1"/>
  <c r="E12191" i="1"/>
  <c r="C12192" i="1"/>
  <c r="D12192" i="1"/>
  <c r="E12192" i="1"/>
  <c r="C12193" i="1"/>
  <c r="D12193" i="1"/>
  <c r="E12193" i="1"/>
  <c r="C12194" i="1"/>
  <c r="D12194" i="1"/>
  <c r="E12194" i="1"/>
  <c r="C12195" i="1"/>
  <c r="D12195" i="1"/>
  <c r="E12195" i="1"/>
  <c r="C12196" i="1"/>
  <c r="D12196" i="1"/>
  <c r="E12196" i="1"/>
  <c r="C12197" i="1"/>
  <c r="D12197" i="1"/>
  <c r="E12197" i="1"/>
  <c r="C12198" i="1"/>
  <c r="D12198" i="1"/>
  <c r="E12198" i="1"/>
  <c r="C12199" i="1"/>
  <c r="D12199" i="1"/>
  <c r="E12199" i="1"/>
  <c r="C12200" i="1"/>
  <c r="D12200" i="1"/>
  <c r="E12200" i="1"/>
  <c r="C12201" i="1"/>
  <c r="D12201" i="1"/>
  <c r="E12201" i="1"/>
  <c r="C12202" i="1"/>
  <c r="D12202" i="1"/>
  <c r="E12202" i="1"/>
  <c r="C12203" i="1"/>
  <c r="D12203" i="1"/>
  <c r="E12203" i="1"/>
  <c r="C12204" i="1"/>
  <c r="D12204" i="1"/>
  <c r="E12204" i="1"/>
  <c r="C12205" i="1"/>
  <c r="D12205" i="1"/>
  <c r="E12205" i="1"/>
  <c r="C12206" i="1"/>
  <c r="D12206" i="1"/>
  <c r="E12206" i="1"/>
  <c r="C12207" i="1"/>
  <c r="D12207" i="1"/>
  <c r="E12207" i="1"/>
  <c r="C12208" i="1"/>
  <c r="D12208" i="1"/>
  <c r="E12208" i="1"/>
  <c r="C12209" i="1"/>
  <c r="D12209" i="1"/>
  <c r="E12209" i="1"/>
  <c r="C12210" i="1"/>
  <c r="D12210" i="1"/>
  <c r="E12210" i="1"/>
  <c r="C12211" i="1"/>
  <c r="D12211" i="1"/>
  <c r="E12211" i="1"/>
  <c r="C12212" i="1"/>
  <c r="D12212" i="1"/>
  <c r="E12212" i="1"/>
  <c r="C12213" i="1"/>
  <c r="D12213" i="1"/>
  <c r="E12213" i="1"/>
  <c r="C12214" i="1"/>
  <c r="D12214" i="1"/>
  <c r="E12214" i="1"/>
  <c r="C12215" i="1"/>
  <c r="D12215" i="1"/>
  <c r="E12215" i="1"/>
  <c r="C12216" i="1"/>
  <c r="D12216" i="1"/>
  <c r="E12216" i="1"/>
  <c r="C12217" i="1"/>
  <c r="D12217" i="1"/>
  <c r="E12217" i="1"/>
  <c r="C12218" i="1"/>
  <c r="D12218" i="1"/>
  <c r="E12218" i="1"/>
  <c r="C12219" i="1"/>
  <c r="D12219" i="1"/>
  <c r="E12219" i="1"/>
  <c r="C12220" i="1"/>
  <c r="D12220" i="1"/>
  <c r="E12220" i="1"/>
  <c r="C12221" i="1"/>
  <c r="D12221" i="1"/>
  <c r="E12221" i="1"/>
  <c r="C12222" i="1"/>
  <c r="D12222" i="1"/>
  <c r="E12222" i="1"/>
  <c r="C12223" i="1"/>
  <c r="D12223" i="1"/>
  <c r="E12223" i="1"/>
  <c r="C12224" i="1"/>
  <c r="D12224" i="1"/>
  <c r="E12224" i="1"/>
  <c r="C12225" i="1"/>
  <c r="D12225" i="1"/>
  <c r="E12225" i="1"/>
  <c r="C12226" i="1"/>
  <c r="D12226" i="1"/>
  <c r="E12226" i="1"/>
  <c r="C12227" i="1"/>
  <c r="D12227" i="1"/>
  <c r="E12227" i="1"/>
  <c r="C12228" i="1"/>
  <c r="D12228" i="1"/>
  <c r="E12228" i="1"/>
  <c r="C12229" i="1"/>
  <c r="D12229" i="1"/>
  <c r="E12229" i="1"/>
  <c r="C12230" i="1"/>
  <c r="D12230" i="1"/>
  <c r="E12230" i="1"/>
  <c r="C12231" i="1"/>
  <c r="D12231" i="1"/>
  <c r="E12231" i="1"/>
  <c r="C12232" i="1"/>
  <c r="D12232" i="1"/>
  <c r="E12232" i="1"/>
  <c r="C12233" i="1"/>
  <c r="D12233" i="1"/>
  <c r="E12233" i="1"/>
  <c r="C12234" i="1"/>
  <c r="D12234" i="1"/>
  <c r="E12234" i="1"/>
  <c r="C12235" i="1"/>
  <c r="D12235" i="1"/>
  <c r="E12235" i="1"/>
  <c r="C12236" i="1"/>
  <c r="D12236" i="1"/>
  <c r="E12236" i="1"/>
  <c r="C12237" i="1"/>
  <c r="D12237" i="1"/>
  <c r="E12237" i="1"/>
  <c r="C12238" i="1"/>
  <c r="D12238" i="1"/>
  <c r="E12238" i="1"/>
  <c r="C12239" i="1"/>
  <c r="D12239" i="1"/>
  <c r="E12239" i="1"/>
  <c r="C12240" i="1"/>
  <c r="D12240" i="1"/>
  <c r="E12240" i="1"/>
  <c r="C12241" i="1"/>
  <c r="D12241" i="1"/>
  <c r="E12241" i="1"/>
  <c r="C12242" i="1"/>
  <c r="D12242" i="1"/>
  <c r="E12242" i="1"/>
  <c r="C12243" i="1"/>
  <c r="D12243" i="1"/>
  <c r="E12243" i="1"/>
  <c r="C12244" i="1"/>
  <c r="D12244" i="1"/>
  <c r="E12244" i="1"/>
  <c r="C12245" i="1"/>
  <c r="D12245" i="1"/>
  <c r="E12245" i="1"/>
  <c r="C12246" i="1"/>
  <c r="D12246" i="1"/>
  <c r="E12246" i="1"/>
  <c r="C12247" i="1"/>
  <c r="D12247" i="1"/>
  <c r="E12247" i="1"/>
  <c r="C12248" i="1"/>
  <c r="D12248" i="1"/>
  <c r="E12248" i="1"/>
  <c r="C12249" i="1"/>
  <c r="D12249" i="1"/>
  <c r="E12249" i="1"/>
  <c r="C12250" i="1"/>
  <c r="D12250" i="1"/>
  <c r="E12250" i="1"/>
  <c r="C12251" i="1"/>
  <c r="D12251" i="1"/>
  <c r="E12251" i="1"/>
  <c r="C12252" i="1"/>
  <c r="D12252" i="1"/>
  <c r="E12252" i="1"/>
  <c r="C12253" i="1"/>
  <c r="D12253" i="1"/>
  <c r="E12253" i="1"/>
  <c r="C12254" i="1"/>
  <c r="D12254" i="1"/>
  <c r="E12254" i="1"/>
  <c r="C12255" i="1"/>
  <c r="D12255" i="1"/>
  <c r="E12255" i="1"/>
  <c r="C12256" i="1"/>
  <c r="D12256" i="1"/>
  <c r="E12256" i="1"/>
  <c r="C12257" i="1"/>
  <c r="D12257" i="1"/>
  <c r="E12257" i="1"/>
  <c r="C12258" i="1"/>
  <c r="D12258" i="1"/>
  <c r="E12258" i="1"/>
  <c r="C12259" i="1"/>
  <c r="D12259" i="1"/>
  <c r="E12259" i="1"/>
  <c r="C12260" i="1"/>
  <c r="D12260" i="1"/>
  <c r="E12260" i="1"/>
  <c r="C12261" i="1"/>
  <c r="D12261" i="1"/>
  <c r="E12261" i="1"/>
  <c r="C12262" i="1"/>
  <c r="D12262" i="1"/>
  <c r="E12262" i="1"/>
  <c r="C12263" i="1"/>
  <c r="D12263" i="1"/>
  <c r="E12263" i="1"/>
  <c r="C12264" i="1"/>
  <c r="D12264" i="1"/>
  <c r="E12264" i="1"/>
  <c r="C12265" i="1"/>
  <c r="D12265" i="1"/>
  <c r="E12265" i="1"/>
  <c r="C12266" i="1"/>
  <c r="D12266" i="1"/>
  <c r="E12266" i="1"/>
  <c r="C12267" i="1"/>
  <c r="D12267" i="1"/>
  <c r="E12267" i="1"/>
  <c r="C12268" i="1"/>
  <c r="D12268" i="1"/>
  <c r="E12268" i="1"/>
  <c r="C12269" i="1"/>
  <c r="D12269" i="1"/>
  <c r="E12269" i="1"/>
  <c r="C12270" i="1"/>
  <c r="D12270" i="1"/>
  <c r="E12270" i="1"/>
  <c r="C12271" i="1"/>
  <c r="D12271" i="1"/>
  <c r="E12271" i="1"/>
  <c r="C12272" i="1"/>
  <c r="D12272" i="1"/>
  <c r="E12272" i="1"/>
  <c r="C12273" i="1"/>
  <c r="D12273" i="1"/>
  <c r="E12273" i="1"/>
  <c r="C12274" i="1"/>
  <c r="D12274" i="1"/>
  <c r="E12274" i="1"/>
  <c r="C12275" i="1"/>
  <c r="D12275" i="1"/>
  <c r="E12275" i="1"/>
  <c r="C12276" i="1"/>
  <c r="D12276" i="1"/>
  <c r="E12276" i="1"/>
  <c r="C12277" i="1"/>
  <c r="D12277" i="1"/>
  <c r="E12277" i="1"/>
  <c r="C12278" i="1"/>
  <c r="D12278" i="1"/>
  <c r="E12278" i="1"/>
  <c r="C12279" i="1"/>
  <c r="D12279" i="1"/>
  <c r="E12279" i="1"/>
  <c r="C12280" i="1"/>
  <c r="D12280" i="1"/>
  <c r="E12280" i="1"/>
  <c r="C12281" i="1"/>
  <c r="D12281" i="1"/>
  <c r="E12281" i="1"/>
  <c r="C12282" i="1"/>
  <c r="D12282" i="1"/>
  <c r="E12282" i="1"/>
  <c r="C12283" i="1"/>
  <c r="D12283" i="1"/>
  <c r="E12283" i="1"/>
  <c r="C12284" i="1"/>
  <c r="D12284" i="1"/>
  <c r="E12284" i="1"/>
  <c r="C12285" i="1"/>
  <c r="D12285" i="1"/>
  <c r="E12285" i="1"/>
  <c r="C12286" i="1"/>
  <c r="D12286" i="1"/>
  <c r="E12286" i="1"/>
  <c r="C12287" i="1"/>
  <c r="D12287" i="1"/>
  <c r="E12287" i="1"/>
  <c r="C12288" i="1"/>
  <c r="D12288" i="1"/>
  <c r="E12288" i="1"/>
  <c r="C12289" i="1"/>
  <c r="D12289" i="1"/>
  <c r="E12289" i="1"/>
  <c r="C12290" i="1"/>
  <c r="D12290" i="1"/>
  <c r="E12290" i="1"/>
  <c r="C12291" i="1"/>
  <c r="D12291" i="1"/>
  <c r="E12291" i="1"/>
  <c r="C12292" i="1"/>
  <c r="D12292" i="1"/>
  <c r="E12292" i="1"/>
  <c r="C12293" i="1"/>
  <c r="D12293" i="1"/>
  <c r="E12293" i="1"/>
  <c r="C12294" i="1"/>
  <c r="D12294" i="1"/>
  <c r="E12294" i="1"/>
  <c r="C12295" i="1"/>
  <c r="D12295" i="1"/>
  <c r="E12295" i="1"/>
  <c r="C12296" i="1"/>
  <c r="D12296" i="1"/>
  <c r="E12296" i="1"/>
  <c r="C12297" i="1"/>
  <c r="D12297" i="1"/>
  <c r="E12297" i="1"/>
  <c r="C12298" i="1"/>
  <c r="D12298" i="1"/>
  <c r="E12298" i="1"/>
  <c r="C12299" i="1"/>
  <c r="D12299" i="1"/>
  <c r="E12299" i="1"/>
  <c r="C12300" i="1"/>
  <c r="D12300" i="1"/>
  <c r="E12300" i="1"/>
  <c r="C12301" i="1"/>
  <c r="D12301" i="1"/>
  <c r="E12301" i="1"/>
  <c r="C12302" i="1"/>
  <c r="D12302" i="1"/>
  <c r="E12302" i="1"/>
  <c r="C12303" i="1"/>
  <c r="D12303" i="1"/>
  <c r="E12303" i="1"/>
  <c r="C12304" i="1"/>
  <c r="D12304" i="1"/>
  <c r="E12304" i="1"/>
  <c r="C12305" i="1"/>
  <c r="D12305" i="1"/>
  <c r="E12305" i="1"/>
  <c r="C12306" i="1"/>
  <c r="D12306" i="1"/>
  <c r="E12306" i="1"/>
  <c r="C12307" i="1"/>
  <c r="D12307" i="1"/>
  <c r="E12307" i="1"/>
  <c r="C12308" i="1"/>
  <c r="D12308" i="1"/>
  <c r="E12308" i="1"/>
  <c r="C12309" i="1"/>
  <c r="D12309" i="1"/>
  <c r="E12309" i="1"/>
  <c r="C12310" i="1"/>
  <c r="D12310" i="1"/>
  <c r="E12310" i="1"/>
  <c r="C12311" i="1"/>
  <c r="D12311" i="1"/>
  <c r="E12311" i="1"/>
  <c r="C12312" i="1"/>
  <c r="D12312" i="1"/>
  <c r="E12312" i="1"/>
  <c r="C12313" i="1"/>
  <c r="D12313" i="1"/>
  <c r="E12313" i="1"/>
  <c r="C12314" i="1"/>
  <c r="D12314" i="1"/>
  <c r="E12314" i="1"/>
  <c r="C12315" i="1"/>
  <c r="D12315" i="1"/>
  <c r="E12315" i="1"/>
  <c r="C12316" i="1"/>
  <c r="D12316" i="1"/>
  <c r="E12316" i="1"/>
  <c r="C12317" i="1"/>
  <c r="D12317" i="1"/>
  <c r="E12317" i="1"/>
  <c r="C12318" i="1"/>
  <c r="D12318" i="1"/>
  <c r="E12318" i="1"/>
  <c r="C12319" i="1"/>
  <c r="D12319" i="1"/>
  <c r="E12319" i="1"/>
  <c r="C12320" i="1"/>
  <c r="D12320" i="1"/>
  <c r="E12320" i="1"/>
  <c r="C12321" i="1"/>
  <c r="D12321" i="1"/>
  <c r="E12321" i="1"/>
  <c r="C12322" i="1"/>
  <c r="D12322" i="1"/>
  <c r="E12322" i="1"/>
  <c r="C12323" i="1"/>
  <c r="D12323" i="1"/>
  <c r="E12323" i="1"/>
  <c r="C12324" i="1"/>
  <c r="D12324" i="1"/>
  <c r="E12324" i="1"/>
  <c r="C12325" i="1"/>
  <c r="D12325" i="1"/>
  <c r="E12325" i="1"/>
  <c r="C12326" i="1"/>
  <c r="D12326" i="1"/>
  <c r="E12326" i="1"/>
  <c r="C12327" i="1"/>
  <c r="D12327" i="1"/>
  <c r="E12327" i="1"/>
  <c r="C12328" i="1"/>
  <c r="D12328" i="1"/>
  <c r="E12328" i="1"/>
  <c r="C12329" i="1"/>
  <c r="D12329" i="1"/>
  <c r="E12329" i="1"/>
  <c r="C12330" i="1"/>
  <c r="D12330" i="1"/>
  <c r="E12330" i="1"/>
  <c r="C12331" i="1"/>
  <c r="D12331" i="1"/>
  <c r="E12331" i="1"/>
  <c r="C12332" i="1"/>
  <c r="D12332" i="1"/>
  <c r="E12332" i="1"/>
  <c r="C12333" i="1"/>
  <c r="D12333" i="1"/>
  <c r="E12333" i="1"/>
  <c r="C12334" i="1"/>
  <c r="D12334" i="1"/>
  <c r="E12334" i="1"/>
  <c r="C12335" i="1"/>
  <c r="D12335" i="1"/>
  <c r="E12335" i="1"/>
  <c r="C12336" i="1"/>
  <c r="D12336" i="1"/>
  <c r="E12336" i="1"/>
  <c r="C12337" i="1"/>
  <c r="D12337" i="1"/>
  <c r="E12337" i="1"/>
  <c r="C12338" i="1"/>
  <c r="D12338" i="1"/>
  <c r="E12338" i="1"/>
  <c r="C12339" i="1"/>
  <c r="D12339" i="1"/>
  <c r="E12339" i="1"/>
  <c r="C12340" i="1"/>
  <c r="D12340" i="1"/>
  <c r="E12340" i="1"/>
  <c r="C12341" i="1"/>
  <c r="D12341" i="1"/>
  <c r="E12341" i="1"/>
  <c r="C12342" i="1"/>
  <c r="D12342" i="1"/>
  <c r="E12342" i="1"/>
  <c r="C12343" i="1"/>
  <c r="D12343" i="1"/>
  <c r="E12343" i="1"/>
  <c r="C12344" i="1"/>
  <c r="D12344" i="1"/>
  <c r="E12344" i="1"/>
  <c r="C12345" i="1"/>
  <c r="D12345" i="1"/>
  <c r="E12345" i="1"/>
  <c r="C12346" i="1"/>
  <c r="D12346" i="1"/>
  <c r="E12346" i="1"/>
  <c r="C12347" i="1"/>
  <c r="D12347" i="1"/>
  <c r="E12347" i="1"/>
  <c r="C12348" i="1"/>
  <c r="D12348" i="1"/>
  <c r="E12348" i="1"/>
  <c r="C12349" i="1"/>
  <c r="D12349" i="1"/>
  <c r="E12349" i="1"/>
  <c r="C12350" i="1"/>
  <c r="D12350" i="1"/>
  <c r="E12350" i="1"/>
  <c r="C12351" i="1"/>
  <c r="D12351" i="1"/>
  <c r="E12351" i="1"/>
  <c r="C12352" i="1"/>
  <c r="D12352" i="1"/>
  <c r="E12352" i="1"/>
  <c r="C12353" i="1"/>
  <c r="D12353" i="1"/>
  <c r="E12353" i="1"/>
  <c r="C12354" i="1"/>
  <c r="D12354" i="1"/>
  <c r="E12354" i="1"/>
  <c r="C12355" i="1"/>
  <c r="D12355" i="1"/>
  <c r="E12355" i="1"/>
  <c r="C12356" i="1"/>
  <c r="D12356" i="1"/>
  <c r="E12356" i="1"/>
  <c r="C12357" i="1"/>
  <c r="D12357" i="1"/>
  <c r="E12357" i="1"/>
  <c r="C12358" i="1"/>
  <c r="D12358" i="1"/>
  <c r="E12358" i="1"/>
  <c r="C12359" i="1"/>
  <c r="D12359" i="1"/>
  <c r="E12359" i="1"/>
  <c r="C12360" i="1"/>
  <c r="D12360" i="1"/>
  <c r="E12360" i="1"/>
  <c r="C12361" i="1"/>
  <c r="D12361" i="1"/>
  <c r="E12361" i="1"/>
  <c r="C12362" i="1"/>
  <c r="D12362" i="1"/>
  <c r="E12362" i="1"/>
  <c r="C12363" i="1"/>
  <c r="D12363" i="1"/>
  <c r="E12363" i="1"/>
  <c r="C12364" i="1"/>
  <c r="D12364" i="1"/>
  <c r="E12364" i="1"/>
  <c r="C12365" i="1"/>
  <c r="D12365" i="1"/>
  <c r="E12365" i="1"/>
  <c r="C12366" i="1"/>
  <c r="D12366" i="1"/>
  <c r="E12366" i="1"/>
  <c r="C12367" i="1"/>
  <c r="D12367" i="1"/>
  <c r="E12367" i="1"/>
  <c r="C12368" i="1"/>
  <c r="D12368" i="1"/>
  <c r="E12368" i="1"/>
  <c r="C12369" i="1"/>
  <c r="D12369" i="1"/>
  <c r="E12369" i="1"/>
  <c r="C12370" i="1"/>
  <c r="D12370" i="1"/>
  <c r="E12370" i="1"/>
  <c r="C12371" i="1"/>
  <c r="D12371" i="1"/>
  <c r="E12371" i="1"/>
  <c r="C12372" i="1"/>
  <c r="D12372" i="1"/>
  <c r="E12372" i="1"/>
  <c r="C12373" i="1"/>
  <c r="D12373" i="1"/>
  <c r="E12373" i="1"/>
  <c r="C12374" i="1"/>
  <c r="D12374" i="1"/>
  <c r="E12374" i="1"/>
  <c r="C12375" i="1"/>
  <c r="D12375" i="1"/>
  <c r="E12375" i="1"/>
  <c r="C12376" i="1"/>
  <c r="D12376" i="1"/>
  <c r="E12376" i="1"/>
  <c r="C12377" i="1"/>
  <c r="D12377" i="1"/>
  <c r="E12377" i="1"/>
  <c r="C12378" i="1"/>
  <c r="D12378" i="1"/>
  <c r="E12378" i="1"/>
  <c r="C12379" i="1"/>
  <c r="D12379" i="1"/>
  <c r="E12379" i="1"/>
  <c r="C12380" i="1"/>
  <c r="D12380" i="1"/>
  <c r="E12380" i="1"/>
  <c r="C12381" i="1"/>
  <c r="D12381" i="1"/>
  <c r="E12381" i="1"/>
  <c r="C12382" i="1"/>
  <c r="D12382" i="1"/>
  <c r="E12382" i="1"/>
  <c r="C12383" i="1"/>
  <c r="D12383" i="1"/>
  <c r="E12383" i="1"/>
  <c r="C12384" i="1"/>
  <c r="D12384" i="1"/>
  <c r="E12384" i="1"/>
  <c r="C12385" i="1"/>
  <c r="D12385" i="1"/>
  <c r="E12385" i="1"/>
  <c r="C12386" i="1"/>
  <c r="D12386" i="1"/>
  <c r="E12386" i="1"/>
  <c r="C12387" i="1"/>
  <c r="D12387" i="1"/>
  <c r="E12387" i="1"/>
  <c r="C12388" i="1"/>
  <c r="D12388" i="1"/>
  <c r="E12388" i="1"/>
  <c r="C12389" i="1"/>
  <c r="D12389" i="1"/>
  <c r="E12389" i="1"/>
  <c r="C12390" i="1"/>
  <c r="D12390" i="1"/>
  <c r="E12390" i="1"/>
  <c r="C12391" i="1"/>
  <c r="D12391" i="1"/>
  <c r="E12391" i="1"/>
  <c r="C12392" i="1"/>
  <c r="D12392" i="1"/>
  <c r="E12392" i="1"/>
  <c r="C12393" i="1"/>
  <c r="D12393" i="1"/>
  <c r="E12393" i="1"/>
  <c r="C12394" i="1"/>
  <c r="D12394" i="1"/>
  <c r="E12394" i="1"/>
  <c r="C12395" i="1"/>
  <c r="D12395" i="1"/>
  <c r="E12395" i="1"/>
  <c r="C12396" i="1"/>
  <c r="D12396" i="1"/>
  <c r="E12396" i="1"/>
  <c r="C12397" i="1"/>
  <c r="D12397" i="1"/>
  <c r="E12397" i="1"/>
  <c r="C12398" i="1"/>
  <c r="D12398" i="1"/>
  <c r="E12398" i="1"/>
  <c r="C12399" i="1"/>
  <c r="D12399" i="1"/>
  <c r="E12399" i="1"/>
  <c r="C12400" i="1"/>
  <c r="D12400" i="1"/>
  <c r="E12400" i="1"/>
  <c r="C12401" i="1"/>
  <c r="D12401" i="1"/>
  <c r="E12401" i="1"/>
  <c r="C12402" i="1"/>
  <c r="D12402" i="1"/>
  <c r="E12402" i="1"/>
  <c r="C12403" i="1"/>
  <c r="D12403" i="1"/>
  <c r="E12403" i="1"/>
  <c r="C12404" i="1"/>
  <c r="D12404" i="1"/>
  <c r="E12404" i="1"/>
  <c r="C12405" i="1"/>
  <c r="D12405" i="1"/>
  <c r="E12405" i="1"/>
  <c r="C12406" i="1"/>
  <c r="D12406" i="1"/>
  <c r="E12406" i="1"/>
  <c r="C12407" i="1"/>
  <c r="D12407" i="1"/>
  <c r="E12407" i="1"/>
  <c r="C12408" i="1"/>
  <c r="D12408" i="1"/>
  <c r="E12408" i="1"/>
  <c r="C12409" i="1"/>
  <c r="D12409" i="1"/>
  <c r="E12409" i="1"/>
  <c r="C12410" i="1"/>
  <c r="D12410" i="1"/>
  <c r="E12410" i="1"/>
  <c r="C12411" i="1"/>
  <c r="D12411" i="1"/>
  <c r="E12411" i="1"/>
  <c r="C12412" i="1"/>
  <c r="D12412" i="1"/>
  <c r="E12412" i="1"/>
  <c r="C12413" i="1"/>
  <c r="D12413" i="1"/>
  <c r="E12413" i="1"/>
  <c r="C12414" i="1"/>
  <c r="D12414" i="1"/>
  <c r="E12414" i="1"/>
  <c r="C12415" i="1"/>
  <c r="D12415" i="1"/>
  <c r="E12415" i="1"/>
  <c r="C12416" i="1"/>
  <c r="D12416" i="1"/>
  <c r="E12416" i="1"/>
  <c r="C12417" i="1"/>
  <c r="D12417" i="1"/>
  <c r="E12417" i="1"/>
  <c r="C12418" i="1"/>
  <c r="D12418" i="1"/>
  <c r="E12418" i="1"/>
  <c r="C12419" i="1"/>
  <c r="D12419" i="1"/>
  <c r="E12419" i="1"/>
  <c r="C12420" i="1"/>
  <c r="D12420" i="1"/>
  <c r="E12420" i="1"/>
  <c r="C12421" i="1"/>
  <c r="D12421" i="1"/>
  <c r="E12421" i="1"/>
  <c r="C12422" i="1"/>
  <c r="D12422" i="1"/>
  <c r="E12422" i="1"/>
  <c r="C12423" i="1"/>
  <c r="D12423" i="1"/>
  <c r="E12423" i="1"/>
  <c r="C12424" i="1"/>
  <c r="D12424" i="1"/>
  <c r="E12424" i="1"/>
  <c r="C12425" i="1"/>
  <c r="D12425" i="1"/>
  <c r="E12425" i="1"/>
  <c r="C12426" i="1"/>
  <c r="D12426" i="1"/>
  <c r="E12426" i="1"/>
  <c r="C12427" i="1"/>
  <c r="D12427" i="1"/>
  <c r="E12427" i="1"/>
  <c r="C12428" i="1"/>
  <c r="D12428" i="1"/>
  <c r="E12428" i="1"/>
  <c r="C12429" i="1"/>
  <c r="D12429" i="1"/>
  <c r="E12429" i="1"/>
  <c r="C12430" i="1"/>
  <c r="D12430" i="1"/>
  <c r="E12430" i="1"/>
  <c r="C12431" i="1"/>
  <c r="D12431" i="1"/>
  <c r="E12431" i="1"/>
  <c r="C12432" i="1"/>
  <c r="D12432" i="1"/>
  <c r="E12432" i="1"/>
  <c r="C12433" i="1"/>
  <c r="D12433" i="1"/>
  <c r="E12433" i="1"/>
  <c r="C12434" i="1"/>
  <c r="D12434" i="1"/>
  <c r="E12434" i="1"/>
  <c r="C12435" i="1"/>
  <c r="D12435" i="1"/>
  <c r="E12435" i="1"/>
  <c r="C12436" i="1"/>
  <c r="D12436" i="1"/>
  <c r="E12436" i="1"/>
  <c r="C12437" i="1"/>
  <c r="D12437" i="1"/>
  <c r="E12437" i="1"/>
  <c r="C12438" i="1"/>
  <c r="D12438" i="1"/>
  <c r="E12438" i="1"/>
  <c r="C12439" i="1"/>
  <c r="D12439" i="1"/>
  <c r="E12439" i="1"/>
  <c r="C12440" i="1"/>
  <c r="D12440" i="1"/>
  <c r="E12440" i="1"/>
  <c r="C12441" i="1"/>
  <c r="D12441" i="1"/>
  <c r="E12441" i="1"/>
  <c r="C12442" i="1"/>
  <c r="D12442" i="1"/>
  <c r="E12442" i="1"/>
  <c r="C12443" i="1"/>
  <c r="D12443" i="1"/>
  <c r="E12443" i="1"/>
  <c r="C12444" i="1"/>
  <c r="D12444" i="1"/>
  <c r="E12444" i="1"/>
  <c r="C12445" i="1"/>
  <c r="D12445" i="1"/>
  <c r="E12445" i="1"/>
  <c r="C12446" i="1"/>
  <c r="D12446" i="1"/>
  <c r="E12446" i="1"/>
  <c r="C12447" i="1"/>
  <c r="D12447" i="1"/>
  <c r="E12447" i="1"/>
  <c r="C12448" i="1"/>
  <c r="D12448" i="1"/>
  <c r="E12448" i="1"/>
  <c r="C12449" i="1"/>
  <c r="D12449" i="1"/>
  <c r="E12449" i="1"/>
  <c r="C12450" i="1"/>
  <c r="D12450" i="1"/>
  <c r="E12450" i="1"/>
  <c r="C12451" i="1"/>
  <c r="D12451" i="1"/>
  <c r="E12451" i="1"/>
  <c r="C12452" i="1"/>
  <c r="D12452" i="1"/>
  <c r="E12452" i="1"/>
  <c r="C12453" i="1"/>
  <c r="D12453" i="1"/>
  <c r="E12453" i="1"/>
  <c r="C12454" i="1"/>
  <c r="D12454" i="1"/>
  <c r="E12454" i="1"/>
  <c r="C12455" i="1"/>
  <c r="D12455" i="1"/>
  <c r="E12455" i="1"/>
  <c r="C12456" i="1"/>
  <c r="D12456" i="1"/>
  <c r="E12456" i="1"/>
  <c r="C12457" i="1"/>
  <c r="D12457" i="1"/>
  <c r="E12457" i="1"/>
  <c r="C12458" i="1"/>
  <c r="D12458" i="1"/>
  <c r="E12458" i="1"/>
  <c r="C12459" i="1"/>
  <c r="D12459" i="1"/>
  <c r="E12459" i="1"/>
  <c r="C12460" i="1"/>
  <c r="D12460" i="1"/>
  <c r="E12460" i="1"/>
  <c r="C12461" i="1"/>
  <c r="D12461" i="1"/>
  <c r="E12461" i="1"/>
  <c r="C12462" i="1"/>
  <c r="D12462" i="1"/>
  <c r="E12462" i="1"/>
  <c r="C12463" i="1"/>
  <c r="D12463" i="1"/>
  <c r="E12463" i="1"/>
  <c r="C12464" i="1"/>
  <c r="D12464" i="1"/>
  <c r="E12464" i="1"/>
  <c r="C12465" i="1"/>
  <c r="D12465" i="1"/>
  <c r="E12465" i="1"/>
  <c r="C12466" i="1"/>
  <c r="D12466" i="1"/>
  <c r="E12466" i="1"/>
  <c r="C12467" i="1"/>
  <c r="D12467" i="1"/>
  <c r="E12467" i="1"/>
  <c r="C12468" i="1"/>
  <c r="D12468" i="1"/>
  <c r="E12468" i="1"/>
  <c r="C12469" i="1"/>
  <c r="D12469" i="1"/>
  <c r="E12469" i="1"/>
  <c r="C12470" i="1"/>
  <c r="D12470" i="1"/>
  <c r="E12470" i="1"/>
  <c r="C12471" i="1"/>
  <c r="D12471" i="1"/>
  <c r="E12471" i="1"/>
  <c r="C12472" i="1"/>
  <c r="D12472" i="1"/>
  <c r="E12472" i="1"/>
  <c r="C12473" i="1"/>
  <c r="D12473" i="1"/>
  <c r="E12473" i="1"/>
  <c r="C12474" i="1"/>
  <c r="D12474" i="1"/>
  <c r="E12474" i="1"/>
  <c r="C12475" i="1"/>
  <c r="D12475" i="1"/>
  <c r="E12475" i="1"/>
  <c r="C12476" i="1"/>
  <c r="D12476" i="1"/>
  <c r="E12476" i="1"/>
  <c r="C12477" i="1"/>
  <c r="D12477" i="1"/>
  <c r="E12477" i="1"/>
  <c r="C12478" i="1"/>
  <c r="D12478" i="1"/>
  <c r="E12478" i="1"/>
  <c r="C12479" i="1"/>
  <c r="D12479" i="1"/>
  <c r="E12479" i="1"/>
  <c r="C12480" i="1"/>
  <c r="D12480" i="1"/>
  <c r="E12480" i="1"/>
  <c r="C12481" i="1"/>
  <c r="D12481" i="1"/>
  <c r="E12481" i="1"/>
  <c r="C12482" i="1"/>
  <c r="D12482" i="1"/>
  <c r="E12482" i="1"/>
  <c r="C12483" i="1"/>
  <c r="D12483" i="1"/>
  <c r="E12483" i="1"/>
  <c r="C12484" i="1"/>
  <c r="D12484" i="1"/>
  <c r="E12484" i="1"/>
  <c r="C12485" i="1"/>
  <c r="D12485" i="1"/>
  <c r="E12485" i="1"/>
  <c r="C12486" i="1"/>
  <c r="D12486" i="1"/>
  <c r="E12486" i="1"/>
  <c r="C12487" i="1"/>
  <c r="D12487" i="1"/>
  <c r="E12487" i="1"/>
  <c r="C12488" i="1"/>
  <c r="D12488" i="1"/>
  <c r="E12488" i="1"/>
  <c r="C12489" i="1"/>
  <c r="D12489" i="1"/>
  <c r="E12489" i="1"/>
  <c r="C12490" i="1"/>
  <c r="D12490" i="1"/>
  <c r="E12490" i="1"/>
  <c r="C12491" i="1"/>
  <c r="D12491" i="1"/>
  <c r="E12491" i="1"/>
  <c r="C12492" i="1"/>
  <c r="D12492" i="1"/>
  <c r="E12492" i="1"/>
  <c r="C12493" i="1"/>
  <c r="D12493" i="1"/>
  <c r="E12493" i="1"/>
  <c r="C12494" i="1"/>
  <c r="D12494" i="1"/>
  <c r="E12494" i="1"/>
  <c r="C12495" i="1"/>
  <c r="D12495" i="1"/>
  <c r="E12495" i="1"/>
  <c r="C12496" i="1"/>
  <c r="D12496" i="1"/>
  <c r="E12496" i="1"/>
  <c r="C12497" i="1"/>
  <c r="D12497" i="1"/>
  <c r="E12497" i="1"/>
  <c r="C12498" i="1"/>
  <c r="D12498" i="1"/>
  <c r="E12498" i="1"/>
  <c r="C12499" i="1"/>
  <c r="D12499" i="1"/>
  <c r="E12499" i="1"/>
  <c r="C12500" i="1"/>
  <c r="D12500" i="1"/>
  <c r="E12500" i="1"/>
  <c r="C12501" i="1"/>
  <c r="D12501" i="1"/>
  <c r="E12501" i="1"/>
  <c r="C12502" i="1"/>
  <c r="D12502" i="1"/>
  <c r="E12502" i="1"/>
  <c r="C12503" i="1"/>
  <c r="D12503" i="1"/>
  <c r="E12503" i="1"/>
  <c r="C12504" i="1"/>
  <c r="D12504" i="1"/>
  <c r="E12504" i="1"/>
  <c r="C12505" i="1"/>
  <c r="D12505" i="1"/>
  <c r="E12505" i="1"/>
  <c r="C12506" i="1"/>
  <c r="D12506" i="1"/>
  <c r="E12506" i="1"/>
  <c r="C12507" i="1"/>
  <c r="D12507" i="1"/>
  <c r="E12507" i="1"/>
  <c r="C12508" i="1"/>
  <c r="D12508" i="1"/>
  <c r="E12508" i="1"/>
  <c r="C12509" i="1"/>
  <c r="D12509" i="1"/>
  <c r="E12509" i="1"/>
  <c r="C12510" i="1"/>
  <c r="D12510" i="1"/>
  <c r="E12510" i="1"/>
  <c r="C12511" i="1"/>
  <c r="D12511" i="1"/>
  <c r="E12511" i="1"/>
  <c r="C12512" i="1"/>
  <c r="D12512" i="1"/>
  <c r="E12512" i="1"/>
  <c r="C12513" i="1"/>
  <c r="D12513" i="1"/>
  <c r="E12513" i="1"/>
  <c r="C12514" i="1"/>
  <c r="D12514" i="1"/>
  <c r="E12514" i="1"/>
  <c r="C12515" i="1"/>
  <c r="D12515" i="1"/>
  <c r="E12515" i="1"/>
  <c r="C12516" i="1"/>
  <c r="D12516" i="1"/>
  <c r="E12516" i="1"/>
  <c r="C12517" i="1"/>
  <c r="D12517" i="1"/>
  <c r="E12517" i="1"/>
  <c r="C12518" i="1"/>
  <c r="D12518" i="1"/>
  <c r="E12518" i="1"/>
  <c r="C12519" i="1"/>
  <c r="D12519" i="1"/>
  <c r="E12519" i="1"/>
  <c r="C12520" i="1"/>
  <c r="D12520" i="1"/>
  <c r="E12520" i="1"/>
  <c r="C12521" i="1"/>
  <c r="D12521" i="1"/>
  <c r="E12521" i="1"/>
  <c r="C12522" i="1"/>
  <c r="D12522" i="1"/>
  <c r="E12522" i="1"/>
  <c r="C12523" i="1"/>
  <c r="D12523" i="1"/>
  <c r="E12523" i="1"/>
  <c r="C12524" i="1"/>
  <c r="D12524" i="1"/>
  <c r="E12524" i="1"/>
  <c r="C12525" i="1"/>
  <c r="D12525" i="1"/>
  <c r="E12525" i="1"/>
  <c r="C12526" i="1"/>
  <c r="D12526" i="1"/>
  <c r="E12526" i="1"/>
  <c r="C12527" i="1"/>
  <c r="D12527" i="1"/>
  <c r="E12527" i="1"/>
  <c r="C12528" i="1"/>
  <c r="D12528" i="1"/>
  <c r="E12528" i="1"/>
  <c r="C12529" i="1"/>
  <c r="D12529" i="1"/>
  <c r="E12529" i="1"/>
  <c r="C12530" i="1"/>
  <c r="D12530" i="1"/>
  <c r="E12530" i="1"/>
  <c r="C12531" i="1"/>
  <c r="D12531" i="1"/>
  <c r="E12531" i="1"/>
  <c r="C12532" i="1"/>
  <c r="D12532" i="1"/>
  <c r="E12532" i="1"/>
  <c r="C12533" i="1"/>
  <c r="D12533" i="1"/>
  <c r="E12533" i="1"/>
  <c r="C12534" i="1"/>
  <c r="D12534" i="1"/>
  <c r="E12534" i="1"/>
  <c r="C12535" i="1"/>
  <c r="D12535" i="1"/>
  <c r="E12535" i="1"/>
  <c r="C12536" i="1"/>
  <c r="D12536" i="1"/>
  <c r="E12536" i="1"/>
  <c r="C12537" i="1"/>
  <c r="D12537" i="1"/>
  <c r="E12537" i="1"/>
  <c r="C12538" i="1"/>
  <c r="D12538" i="1"/>
  <c r="E12538" i="1"/>
  <c r="C12539" i="1"/>
  <c r="D12539" i="1"/>
  <c r="E12539" i="1"/>
  <c r="C12540" i="1"/>
  <c r="D12540" i="1"/>
  <c r="E12540" i="1"/>
  <c r="C12541" i="1"/>
  <c r="D12541" i="1"/>
  <c r="E12541" i="1"/>
  <c r="C12542" i="1"/>
  <c r="D12542" i="1"/>
  <c r="E12542" i="1"/>
  <c r="C12543" i="1"/>
  <c r="D12543" i="1"/>
  <c r="E12543" i="1"/>
  <c r="C12544" i="1"/>
  <c r="D12544" i="1"/>
  <c r="E12544" i="1"/>
  <c r="C12545" i="1"/>
  <c r="D12545" i="1"/>
  <c r="E12545" i="1"/>
  <c r="C12546" i="1"/>
  <c r="D12546" i="1"/>
  <c r="E12546" i="1"/>
  <c r="C12547" i="1"/>
  <c r="D12547" i="1"/>
  <c r="E12547" i="1"/>
  <c r="C12548" i="1"/>
  <c r="D12548" i="1"/>
  <c r="E12548" i="1"/>
  <c r="C12549" i="1"/>
  <c r="D12549" i="1"/>
  <c r="E12549" i="1"/>
  <c r="C12550" i="1"/>
  <c r="D12550" i="1"/>
  <c r="E12550" i="1"/>
  <c r="C12551" i="1"/>
  <c r="D12551" i="1"/>
  <c r="E12551" i="1"/>
  <c r="C12552" i="1"/>
  <c r="D12552" i="1"/>
  <c r="E12552" i="1"/>
  <c r="C12553" i="1"/>
  <c r="D12553" i="1"/>
  <c r="E12553" i="1"/>
  <c r="C12554" i="1"/>
  <c r="D12554" i="1"/>
  <c r="E12554" i="1"/>
  <c r="C12555" i="1"/>
  <c r="D12555" i="1"/>
  <c r="E12555" i="1"/>
  <c r="C12556" i="1"/>
  <c r="D12556" i="1"/>
  <c r="E12556" i="1"/>
  <c r="C12557" i="1"/>
  <c r="D12557" i="1"/>
  <c r="E12557" i="1"/>
  <c r="C12558" i="1"/>
  <c r="D12558" i="1"/>
  <c r="E12558" i="1"/>
  <c r="C12559" i="1"/>
  <c r="D12559" i="1"/>
  <c r="E12559" i="1"/>
  <c r="C12560" i="1"/>
  <c r="D12560" i="1"/>
  <c r="E12560" i="1"/>
  <c r="C12561" i="1"/>
  <c r="D12561" i="1"/>
  <c r="E12561" i="1"/>
  <c r="C12562" i="1"/>
  <c r="D12562" i="1"/>
  <c r="E12562" i="1"/>
  <c r="C12563" i="1"/>
  <c r="D12563" i="1"/>
  <c r="E12563" i="1"/>
  <c r="C12564" i="1"/>
  <c r="D12564" i="1"/>
  <c r="E12564" i="1"/>
  <c r="C12565" i="1"/>
  <c r="D12565" i="1"/>
  <c r="E12565" i="1"/>
  <c r="C12566" i="1"/>
  <c r="D12566" i="1"/>
  <c r="E12566" i="1"/>
  <c r="C12567" i="1"/>
  <c r="D12567" i="1"/>
  <c r="E12567" i="1"/>
  <c r="C12568" i="1"/>
  <c r="D12568" i="1"/>
  <c r="E12568" i="1"/>
  <c r="C12569" i="1"/>
  <c r="D12569" i="1"/>
  <c r="E12569" i="1"/>
  <c r="C12570" i="1"/>
  <c r="D12570" i="1"/>
  <c r="E12570" i="1"/>
  <c r="C12571" i="1"/>
  <c r="D12571" i="1"/>
  <c r="E12571" i="1"/>
  <c r="C12572" i="1"/>
  <c r="D12572" i="1"/>
  <c r="E12572" i="1"/>
  <c r="C12573" i="1"/>
  <c r="D12573" i="1"/>
  <c r="E12573" i="1"/>
  <c r="C12574" i="1"/>
  <c r="D12574" i="1"/>
  <c r="E12574" i="1"/>
  <c r="C12575" i="1"/>
  <c r="D12575" i="1"/>
  <c r="E12575" i="1"/>
  <c r="C12576" i="1"/>
  <c r="D12576" i="1"/>
  <c r="E12576" i="1"/>
  <c r="C12577" i="1"/>
  <c r="D12577" i="1"/>
  <c r="E12577" i="1"/>
  <c r="C12578" i="1"/>
  <c r="D12578" i="1"/>
  <c r="E12578" i="1"/>
  <c r="C12579" i="1"/>
  <c r="D12579" i="1"/>
  <c r="E12579" i="1"/>
  <c r="C12580" i="1"/>
  <c r="D12580" i="1"/>
  <c r="E12580" i="1"/>
  <c r="C12581" i="1"/>
  <c r="D12581" i="1"/>
  <c r="E12581" i="1"/>
  <c r="C12582" i="1"/>
  <c r="D12582" i="1"/>
  <c r="E12582" i="1"/>
  <c r="C12583" i="1"/>
  <c r="D12583" i="1"/>
  <c r="E12583" i="1"/>
  <c r="C12584" i="1"/>
  <c r="D12584" i="1"/>
  <c r="E12584" i="1"/>
  <c r="C12585" i="1"/>
  <c r="D12585" i="1"/>
  <c r="E12585" i="1"/>
  <c r="C12586" i="1"/>
  <c r="D12586" i="1"/>
  <c r="E12586" i="1"/>
  <c r="C12587" i="1"/>
  <c r="D12587" i="1"/>
  <c r="E12587" i="1"/>
  <c r="C12588" i="1"/>
  <c r="D12588" i="1"/>
  <c r="E12588" i="1"/>
  <c r="C12589" i="1"/>
  <c r="D12589" i="1"/>
  <c r="E12589" i="1"/>
  <c r="C12590" i="1"/>
  <c r="D12590" i="1"/>
  <c r="E12590" i="1"/>
  <c r="C12591" i="1"/>
  <c r="D12591" i="1"/>
  <c r="E12591" i="1"/>
  <c r="C12592" i="1"/>
  <c r="D12592" i="1"/>
  <c r="E12592" i="1"/>
  <c r="C12593" i="1"/>
  <c r="D12593" i="1"/>
  <c r="E12593" i="1"/>
  <c r="C12594" i="1"/>
  <c r="D12594" i="1"/>
  <c r="E12594" i="1"/>
  <c r="C12595" i="1"/>
  <c r="D12595" i="1"/>
  <c r="E12595" i="1"/>
  <c r="C12596" i="1"/>
  <c r="D12596" i="1"/>
  <c r="E12596" i="1"/>
  <c r="C12597" i="1"/>
  <c r="D12597" i="1"/>
  <c r="E12597" i="1"/>
  <c r="C12598" i="1"/>
  <c r="D12598" i="1"/>
  <c r="E12598" i="1"/>
  <c r="C12599" i="1"/>
  <c r="D12599" i="1"/>
  <c r="E12599" i="1"/>
  <c r="C12600" i="1"/>
  <c r="D12600" i="1"/>
  <c r="E12600" i="1"/>
  <c r="C12601" i="1"/>
  <c r="D12601" i="1"/>
  <c r="E12601" i="1"/>
  <c r="C12602" i="1"/>
  <c r="D12602" i="1"/>
  <c r="E12602" i="1"/>
  <c r="C12603" i="1"/>
  <c r="D12603" i="1"/>
  <c r="E12603" i="1"/>
  <c r="C12604" i="1"/>
  <c r="D12604" i="1"/>
  <c r="E12604" i="1"/>
  <c r="C12605" i="1"/>
  <c r="D12605" i="1"/>
  <c r="E12605" i="1"/>
  <c r="C12606" i="1"/>
  <c r="D12606" i="1"/>
  <c r="E12606" i="1"/>
  <c r="C12607" i="1"/>
  <c r="D12607" i="1"/>
  <c r="E12607" i="1"/>
  <c r="C12608" i="1"/>
  <c r="D12608" i="1"/>
  <c r="E12608" i="1"/>
  <c r="C12609" i="1"/>
  <c r="D12609" i="1"/>
  <c r="E12609" i="1"/>
  <c r="C12610" i="1"/>
  <c r="D12610" i="1"/>
  <c r="E12610" i="1"/>
  <c r="C12611" i="1"/>
  <c r="D12611" i="1"/>
  <c r="E12611" i="1"/>
  <c r="C12612" i="1"/>
  <c r="D12612" i="1"/>
  <c r="E12612" i="1"/>
  <c r="C12613" i="1"/>
  <c r="D12613" i="1"/>
  <c r="E12613" i="1"/>
  <c r="C12614" i="1"/>
  <c r="D12614" i="1"/>
  <c r="E12614" i="1"/>
  <c r="C12615" i="1"/>
  <c r="D12615" i="1"/>
  <c r="E12615" i="1"/>
  <c r="C12616" i="1"/>
  <c r="D12616" i="1"/>
  <c r="E12616" i="1"/>
  <c r="C12617" i="1"/>
  <c r="D12617" i="1"/>
  <c r="E12617" i="1"/>
  <c r="C12618" i="1"/>
  <c r="D12618" i="1"/>
  <c r="E12618" i="1"/>
  <c r="C12619" i="1"/>
  <c r="D12619" i="1"/>
  <c r="E12619" i="1"/>
  <c r="C12620" i="1"/>
  <c r="D12620" i="1"/>
  <c r="E12620" i="1"/>
  <c r="C12621" i="1"/>
  <c r="D12621" i="1"/>
  <c r="E12621" i="1"/>
  <c r="C12622" i="1"/>
  <c r="D12622" i="1"/>
  <c r="E12622" i="1"/>
  <c r="C12623" i="1"/>
  <c r="D12623" i="1"/>
  <c r="E12623" i="1"/>
  <c r="C12624" i="1"/>
  <c r="D12624" i="1"/>
  <c r="E12624" i="1"/>
  <c r="C12625" i="1"/>
  <c r="D12625" i="1"/>
  <c r="E12625" i="1"/>
  <c r="C12626" i="1"/>
  <c r="D12626" i="1"/>
  <c r="E12626" i="1"/>
  <c r="C12627" i="1"/>
  <c r="D12627" i="1"/>
  <c r="E12627" i="1"/>
  <c r="C12628" i="1"/>
  <c r="D12628" i="1"/>
  <c r="E12628" i="1"/>
  <c r="C12629" i="1"/>
  <c r="D12629" i="1"/>
  <c r="E12629" i="1"/>
  <c r="C12630" i="1"/>
  <c r="D12630" i="1"/>
  <c r="E12630" i="1"/>
  <c r="C12631" i="1"/>
  <c r="D12631" i="1"/>
  <c r="E12631" i="1"/>
  <c r="C12632" i="1"/>
  <c r="D12632" i="1"/>
  <c r="E12632" i="1"/>
  <c r="C12633" i="1"/>
  <c r="D12633" i="1"/>
  <c r="E12633" i="1"/>
  <c r="C12634" i="1"/>
  <c r="D12634" i="1"/>
  <c r="E12634" i="1"/>
  <c r="C12635" i="1"/>
  <c r="D12635" i="1"/>
  <c r="E12635" i="1"/>
  <c r="C12636" i="1"/>
  <c r="D12636" i="1"/>
  <c r="E12636" i="1"/>
  <c r="C12637" i="1"/>
  <c r="D12637" i="1"/>
  <c r="E12637" i="1"/>
  <c r="C12638" i="1"/>
  <c r="D12638" i="1"/>
  <c r="E12638" i="1"/>
  <c r="C12639" i="1"/>
  <c r="D12639" i="1"/>
  <c r="E12639" i="1"/>
  <c r="C12640" i="1"/>
  <c r="D12640" i="1"/>
  <c r="E12640" i="1"/>
  <c r="C12641" i="1"/>
  <c r="D12641" i="1"/>
  <c r="E12641" i="1"/>
  <c r="C12642" i="1"/>
  <c r="D12642" i="1"/>
  <c r="E12642" i="1"/>
  <c r="C12643" i="1"/>
  <c r="D12643" i="1"/>
  <c r="E12643" i="1"/>
  <c r="C12644" i="1"/>
  <c r="D12644" i="1"/>
  <c r="E12644" i="1"/>
  <c r="C12645" i="1"/>
  <c r="D12645" i="1"/>
  <c r="E12645" i="1"/>
  <c r="C12646" i="1"/>
  <c r="D12646" i="1"/>
  <c r="E12646" i="1"/>
  <c r="C12647" i="1"/>
  <c r="D12647" i="1"/>
  <c r="E12647" i="1"/>
  <c r="C12648" i="1"/>
  <c r="D12648" i="1"/>
  <c r="E12648" i="1"/>
  <c r="C12649" i="1"/>
  <c r="D12649" i="1"/>
  <c r="E12649" i="1"/>
  <c r="C12650" i="1"/>
  <c r="D12650" i="1"/>
  <c r="E12650" i="1"/>
  <c r="C12651" i="1"/>
  <c r="D12651" i="1"/>
  <c r="E12651" i="1"/>
  <c r="C12652" i="1"/>
  <c r="D12652" i="1"/>
  <c r="E12652" i="1"/>
  <c r="C12653" i="1"/>
  <c r="D12653" i="1"/>
  <c r="E12653" i="1"/>
  <c r="C12654" i="1"/>
  <c r="D12654" i="1"/>
  <c r="E12654" i="1"/>
  <c r="C12655" i="1"/>
  <c r="D12655" i="1"/>
  <c r="E12655" i="1"/>
  <c r="C12656" i="1"/>
  <c r="D12656" i="1"/>
  <c r="E12656" i="1"/>
  <c r="C12657" i="1"/>
  <c r="D12657" i="1"/>
  <c r="E12657" i="1"/>
  <c r="C12658" i="1"/>
  <c r="D12658" i="1"/>
  <c r="E12658" i="1"/>
  <c r="C12659" i="1"/>
  <c r="D12659" i="1"/>
  <c r="E12659" i="1"/>
  <c r="C12660" i="1"/>
  <c r="D12660" i="1"/>
  <c r="E12660" i="1"/>
  <c r="C12661" i="1"/>
  <c r="D12661" i="1"/>
  <c r="E12661" i="1"/>
  <c r="C12662" i="1"/>
  <c r="D12662" i="1"/>
  <c r="E12662" i="1"/>
  <c r="C12663" i="1"/>
  <c r="D12663" i="1"/>
  <c r="E12663" i="1"/>
  <c r="C12664" i="1"/>
  <c r="D12664" i="1"/>
  <c r="E12664" i="1"/>
  <c r="C12665" i="1"/>
  <c r="D12665" i="1"/>
  <c r="E12665" i="1"/>
  <c r="C12666" i="1"/>
  <c r="D12666" i="1"/>
  <c r="E12666" i="1"/>
  <c r="C12667" i="1"/>
  <c r="D12667" i="1"/>
  <c r="E12667" i="1"/>
  <c r="C12668" i="1"/>
  <c r="D12668" i="1"/>
  <c r="E12668" i="1"/>
  <c r="C12669" i="1"/>
  <c r="D12669" i="1"/>
  <c r="E12669" i="1"/>
  <c r="C12670" i="1"/>
  <c r="D12670" i="1"/>
  <c r="E12670" i="1"/>
  <c r="C12671" i="1"/>
  <c r="D12671" i="1"/>
  <c r="E12671" i="1"/>
  <c r="C12672" i="1"/>
  <c r="D12672" i="1"/>
  <c r="E12672" i="1"/>
  <c r="C12673" i="1"/>
  <c r="D12673" i="1"/>
  <c r="E12673" i="1"/>
  <c r="C12674" i="1"/>
  <c r="D12674" i="1"/>
  <c r="E12674" i="1"/>
  <c r="C12675" i="1"/>
  <c r="D12675" i="1"/>
  <c r="E12675" i="1"/>
  <c r="C12676" i="1"/>
  <c r="D12676" i="1"/>
  <c r="E12676" i="1"/>
  <c r="C12677" i="1"/>
  <c r="D12677" i="1"/>
  <c r="E12677" i="1"/>
  <c r="C12678" i="1"/>
  <c r="D12678" i="1"/>
  <c r="E12678" i="1"/>
  <c r="C12679" i="1"/>
  <c r="D12679" i="1"/>
  <c r="E12679" i="1"/>
  <c r="C12680" i="1"/>
  <c r="D12680" i="1"/>
  <c r="E12680" i="1"/>
  <c r="C12681" i="1"/>
  <c r="D12681" i="1"/>
  <c r="E12681" i="1"/>
  <c r="C12682" i="1"/>
  <c r="D12682" i="1"/>
  <c r="E12682" i="1"/>
  <c r="C12683" i="1"/>
  <c r="D12683" i="1"/>
  <c r="E12683" i="1"/>
  <c r="C12684" i="1"/>
  <c r="D12684" i="1"/>
  <c r="E12684" i="1"/>
  <c r="C12685" i="1"/>
  <c r="D12685" i="1"/>
  <c r="E12685" i="1"/>
  <c r="C12686" i="1"/>
  <c r="D12686" i="1"/>
  <c r="E12686" i="1"/>
  <c r="C12687" i="1"/>
  <c r="D12687" i="1"/>
  <c r="E12687" i="1"/>
  <c r="C12688" i="1"/>
  <c r="D12688" i="1"/>
  <c r="E12688" i="1"/>
  <c r="C12689" i="1"/>
  <c r="D12689" i="1"/>
  <c r="E12689" i="1"/>
  <c r="C12690" i="1"/>
  <c r="D12690" i="1"/>
  <c r="E12690" i="1"/>
  <c r="C12691" i="1"/>
  <c r="D12691" i="1"/>
  <c r="E12691" i="1"/>
  <c r="C12692" i="1"/>
  <c r="D12692" i="1"/>
  <c r="E12692" i="1"/>
  <c r="C12693" i="1"/>
  <c r="D12693" i="1"/>
  <c r="E12693" i="1"/>
  <c r="C12694" i="1"/>
  <c r="D12694" i="1"/>
  <c r="E12694" i="1"/>
  <c r="C12695" i="1"/>
  <c r="D12695" i="1"/>
  <c r="E12695" i="1"/>
  <c r="C12696" i="1"/>
  <c r="D12696" i="1"/>
  <c r="E12696" i="1"/>
  <c r="C12697" i="1"/>
  <c r="D12697" i="1"/>
  <c r="E12697" i="1"/>
  <c r="C12698" i="1"/>
  <c r="D12698" i="1"/>
  <c r="E12698" i="1"/>
  <c r="C12699" i="1"/>
  <c r="D12699" i="1"/>
  <c r="E12699" i="1"/>
  <c r="C12700" i="1"/>
  <c r="D12700" i="1"/>
  <c r="E12700" i="1"/>
  <c r="C12701" i="1"/>
  <c r="D12701" i="1"/>
  <c r="E12701" i="1"/>
  <c r="C12702" i="1"/>
  <c r="D12702" i="1"/>
  <c r="E12702" i="1"/>
  <c r="C12703" i="1"/>
  <c r="D12703" i="1"/>
  <c r="E12703" i="1"/>
  <c r="C12704" i="1"/>
  <c r="D12704" i="1"/>
  <c r="E12704" i="1"/>
  <c r="C12705" i="1"/>
  <c r="D12705" i="1"/>
  <c r="E12705" i="1"/>
  <c r="C12706" i="1"/>
  <c r="D12706" i="1"/>
  <c r="E12706" i="1"/>
  <c r="C12707" i="1"/>
  <c r="D12707" i="1"/>
  <c r="E12707" i="1"/>
  <c r="C12708" i="1"/>
  <c r="D12708" i="1"/>
  <c r="E12708" i="1"/>
  <c r="C12709" i="1"/>
  <c r="D12709" i="1"/>
  <c r="E12709" i="1"/>
  <c r="C12710" i="1"/>
  <c r="D12710" i="1"/>
  <c r="E12710" i="1"/>
  <c r="C12711" i="1"/>
  <c r="D12711" i="1"/>
  <c r="E12711" i="1"/>
  <c r="C12712" i="1"/>
  <c r="D12712" i="1"/>
  <c r="E12712" i="1"/>
  <c r="C12713" i="1"/>
  <c r="D12713" i="1"/>
  <c r="E12713" i="1"/>
  <c r="C12714" i="1"/>
  <c r="D12714" i="1"/>
  <c r="E12714" i="1"/>
  <c r="C12715" i="1"/>
  <c r="D12715" i="1"/>
  <c r="E12715" i="1"/>
  <c r="C12716" i="1"/>
  <c r="D12716" i="1"/>
  <c r="E12716" i="1"/>
  <c r="C12717" i="1"/>
  <c r="D12717" i="1"/>
  <c r="E12717" i="1"/>
  <c r="C12718" i="1"/>
  <c r="D12718" i="1"/>
  <c r="E12718" i="1"/>
  <c r="C12719" i="1"/>
  <c r="D12719" i="1"/>
  <c r="E12719" i="1"/>
  <c r="C12720" i="1"/>
  <c r="D12720" i="1"/>
  <c r="E12720" i="1"/>
  <c r="C12721" i="1"/>
  <c r="D12721" i="1"/>
  <c r="E12721" i="1"/>
  <c r="C12722" i="1"/>
  <c r="D12722" i="1"/>
  <c r="E12722" i="1"/>
  <c r="C12723" i="1"/>
  <c r="D12723" i="1"/>
  <c r="E12723" i="1"/>
  <c r="C12724" i="1"/>
  <c r="D12724" i="1"/>
  <c r="E12724" i="1"/>
  <c r="C12725" i="1"/>
  <c r="D12725" i="1"/>
  <c r="E12725" i="1"/>
  <c r="C12726" i="1"/>
  <c r="D12726" i="1"/>
  <c r="E12726" i="1"/>
  <c r="C12727" i="1"/>
  <c r="D12727" i="1"/>
  <c r="E12727" i="1"/>
  <c r="C12728" i="1"/>
  <c r="D12728" i="1"/>
  <c r="E12728" i="1"/>
  <c r="C12729" i="1"/>
  <c r="D12729" i="1"/>
  <c r="E12729" i="1"/>
  <c r="C12730" i="1"/>
  <c r="D12730" i="1"/>
  <c r="E12730" i="1"/>
  <c r="C12731" i="1"/>
  <c r="D12731" i="1"/>
  <c r="E12731" i="1"/>
  <c r="C12732" i="1"/>
  <c r="D12732" i="1"/>
  <c r="E12732" i="1"/>
  <c r="C12733" i="1"/>
  <c r="D12733" i="1"/>
  <c r="E12733" i="1"/>
  <c r="C12734" i="1"/>
  <c r="D12734" i="1"/>
  <c r="E12734" i="1"/>
  <c r="C12735" i="1"/>
  <c r="D12735" i="1"/>
  <c r="E12735" i="1"/>
  <c r="C12736" i="1"/>
  <c r="D12736" i="1"/>
  <c r="E12736" i="1"/>
  <c r="C12737" i="1"/>
  <c r="D12737" i="1"/>
  <c r="E12737" i="1"/>
  <c r="C12738" i="1"/>
  <c r="D12738" i="1"/>
  <c r="E12738" i="1"/>
  <c r="C12739" i="1"/>
  <c r="D12739" i="1"/>
  <c r="E12739" i="1"/>
  <c r="C12740" i="1"/>
  <c r="D12740" i="1"/>
  <c r="E12740" i="1"/>
  <c r="C12741" i="1"/>
  <c r="D12741" i="1"/>
  <c r="E12741" i="1"/>
  <c r="C12742" i="1"/>
  <c r="D12742" i="1"/>
  <c r="E12742" i="1"/>
  <c r="C12743" i="1"/>
  <c r="D12743" i="1"/>
  <c r="E12743" i="1"/>
  <c r="C12744" i="1"/>
  <c r="D12744" i="1"/>
  <c r="E12744" i="1"/>
  <c r="C12745" i="1"/>
  <c r="D12745" i="1"/>
  <c r="E12745" i="1"/>
  <c r="C12746" i="1"/>
  <c r="D12746" i="1"/>
  <c r="E12746" i="1"/>
  <c r="C12747" i="1"/>
  <c r="D12747" i="1"/>
  <c r="E12747" i="1"/>
  <c r="C12748" i="1"/>
  <c r="D12748" i="1"/>
  <c r="E12748" i="1"/>
  <c r="C12749" i="1"/>
  <c r="D12749" i="1"/>
  <c r="E12749" i="1"/>
  <c r="C12750" i="1"/>
  <c r="D12750" i="1"/>
  <c r="E12750" i="1"/>
  <c r="C12751" i="1"/>
  <c r="D12751" i="1"/>
  <c r="E12751" i="1"/>
  <c r="C12752" i="1"/>
  <c r="D12752" i="1"/>
  <c r="E12752" i="1"/>
  <c r="C12753" i="1"/>
  <c r="D12753" i="1"/>
  <c r="E12753" i="1"/>
  <c r="C12754" i="1"/>
  <c r="D12754" i="1"/>
  <c r="E12754" i="1"/>
  <c r="C12755" i="1"/>
  <c r="D12755" i="1"/>
  <c r="E12755" i="1"/>
  <c r="C12756" i="1"/>
  <c r="D12756" i="1"/>
  <c r="E12756" i="1"/>
  <c r="C12757" i="1"/>
  <c r="D12757" i="1"/>
  <c r="E12757" i="1"/>
  <c r="C12758" i="1"/>
  <c r="D12758" i="1"/>
  <c r="E12758" i="1"/>
  <c r="C12759" i="1"/>
  <c r="D12759" i="1"/>
  <c r="E12759" i="1"/>
  <c r="C12760" i="1"/>
  <c r="D12760" i="1"/>
  <c r="E12760" i="1"/>
  <c r="C12761" i="1"/>
  <c r="D12761" i="1"/>
  <c r="E12761" i="1"/>
  <c r="C12762" i="1"/>
  <c r="D12762" i="1"/>
  <c r="E12762" i="1"/>
  <c r="C12763" i="1"/>
  <c r="D12763" i="1"/>
  <c r="E12763" i="1"/>
  <c r="C12764" i="1"/>
  <c r="D12764" i="1"/>
  <c r="E12764" i="1"/>
  <c r="C12765" i="1"/>
  <c r="D12765" i="1"/>
  <c r="E12765" i="1"/>
  <c r="C12766" i="1"/>
  <c r="D12766" i="1"/>
  <c r="E12766" i="1"/>
  <c r="C12767" i="1"/>
  <c r="D12767" i="1"/>
  <c r="E12767" i="1"/>
  <c r="C12768" i="1"/>
  <c r="D12768" i="1"/>
  <c r="E12768" i="1"/>
  <c r="C12769" i="1"/>
  <c r="D12769" i="1"/>
  <c r="E12769" i="1"/>
  <c r="C12770" i="1"/>
  <c r="D12770" i="1"/>
  <c r="E12770" i="1"/>
  <c r="C12771" i="1"/>
  <c r="D12771" i="1"/>
  <c r="E12771" i="1"/>
  <c r="C12772" i="1"/>
  <c r="D12772" i="1"/>
  <c r="E12772" i="1"/>
  <c r="C12773" i="1"/>
  <c r="D12773" i="1"/>
  <c r="E12773" i="1"/>
  <c r="C12774" i="1"/>
  <c r="D12774" i="1"/>
  <c r="E12774" i="1"/>
  <c r="C12775" i="1"/>
  <c r="D12775" i="1"/>
  <c r="E12775" i="1"/>
  <c r="C12776" i="1"/>
  <c r="D12776" i="1"/>
  <c r="E12776" i="1"/>
  <c r="C12777" i="1"/>
  <c r="D12777" i="1"/>
  <c r="E12777" i="1"/>
  <c r="C12778" i="1"/>
  <c r="D12778" i="1"/>
  <c r="E12778" i="1"/>
  <c r="C12779" i="1"/>
  <c r="D12779" i="1"/>
  <c r="E12779" i="1"/>
  <c r="C12780" i="1"/>
  <c r="D12780" i="1"/>
  <c r="E12780" i="1"/>
  <c r="C12781" i="1"/>
  <c r="D12781" i="1"/>
  <c r="E12781" i="1"/>
  <c r="C12782" i="1"/>
  <c r="D12782" i="1"/>
  <c r="E12782" i="1"/>
  <c r="C12783" i="1"/>
  <c r="D12783" i="1"/>
  <c r="E12783" i="1"/>
  <c r="C12784" i="1"/>
  <c r="D12784" i="1"/>
  <c r="E12784" i="1"/>
  <c r="C12785" i="1"/>
  <c r="D12785" i="1"/>
  <c r="E12785" i="1"/>
  <c r="C12786" i="1"/>
  <c r="D12786" i="1"/>
  <c r="E12786" i="1"/>
  <c r="C12787" i="1"/>
  <c r="D12787" i="1"/>
  <c r="E12787" i="1"/>
  <c r="C12788" i="1"/>
  <c r="D12788" i="1"/>
  <c r="E12788" i="1"/>
  <c r="C12789" i="1"/>
  <c r="D12789" i="1"/>
  <c r="E12789" i="1"/>
  <c r="C12790" i="1"/>
  <c r="D12790" i="1"/>
  <c r="E12790" i="1"/>
  <c r="C12791" i="1"/>
  <c r="D12791" i="1"/>
  <c r="E12791" i="1"/>
  <c r="C12792" i="1"/>
  <c r="D12792" i="1"/>
  <c r="E12792" i="1"/>
  <c r="C12793" i="1"/>
  <c r="D12793" i="1"/>
  <c r="E12793" i="1"/>
  <c r="C12794" i="1"/>
  <c r="D12794" i="1"/>
  <c r="E12794" i="1"/>
  <c r="C12795" i="1"/>
  <c r="D12795" i="1"/>
  <c r="E12795" i="1"/>
  <c r="C12796" i="1"/>
  <c r="D12796" i="1"/>
  <c r="E12796" i="1"/>
  <c r="C12797" i="1"/>
  <c r="D12797" i="1"/>
  <c r="E12797" i="1"/>
  <c r="C12798" i="1"/>
  <c r="D12798" i="1"/>
  <c r="E12798" i="1"/>
  <c r="C12799" i="1"/>
  <c r="D12799" i="1"/>
  <c r="E12799" i="1"/>
  <c r="C12800" i="1"/>
  <c r="D12800" i="1"/>
  <c r="E12800" i="1"/>
  <c r="C12801" i="1"/>
  <c r="D12801" i="1"/>
  <c r="E12801" i="1"/>
  <c r="C12802" i="1"/>
  <c r="D12802" i="1"/>
  <c r="E12802" i="1"/>
  <c r="C12803" i="1"/>
  <c r="D12803" i="1"/>
  <c r="E12803" i="1"/>
  <c r="C12804" i="1"/>
  <c r="D12804" i="1"/>
  <c r="E12804" i="1"/>
  <c r="C12805" i="1"/>
  <c r="D12805" i="1"/>
  <c r="E12805" i="1"/>
  <c r="C12806" i="1"/>
  <c r="D12806" i="1"/>
  <c r="E12806" i="1"/>
  <c r="C12807" i="1"/>
  <c r="D12807" i="1"/>
  <c r="E12807" i="1"/>
  <c r="C12808" i="1"/>
  <c r="D12808" i="1"/>
  <c r="E12808" i="1"/>
  <c r="C12809" i="1"/>
  <c r="D12809" i="1"/>
  <c r="E12809" i="1"/>
  <c r="C12810" i="1"/>
  <c r="D12810" i="1"/>
  <c r="E12810" i="1"/>
  <c r="C12811" i="1"/>
  <c r="D12811" i="1"/>
  <c r="E12811" i="1"/>
  <c r="C12812" i="1"/>
  <c r="D12812" i="1"/>
  <c r="E12812" i="1"/>
  <c r="C12813" i="1"/>
  <c r="D12813" i="1"/>
  <c r="E12813" i="1"/>
  <c r="C12814" i="1"/>
  <c r="D12814" i="1"/>
  <c r="E12814" i="1"/>
  <c r="C12815" i="1"/>
  <c r="D12815" i="1"/>
  <c r="E12815" i="1"/>
  <c r="C12816" i="1"/>
  <c r="D12816" i="1"/>
  <c r="E12816" i="1"/>
  <c r="C12817" i="1"/>
  <c r="D12817" i="1"/>
  <c r="E12817" i="1"/>
  <c r="C12818" i="1"/>
  <c r="D12818" i="1"/>
  <c r="E12818" i="1"/>
  <c r="C12819" i="1"/>
  <c r="D12819" i="1"/>
  <c r="E12819" i="1"/>
  <c r="C12820" i="1"/>
  <c r="D12820" i="1"/>
  <c r="E12820" i="1"/>
  <c r="C12821" i="1"/>
  <c r="D12821" i="1"/>
  <c r="E12821" i="1"/>
  <c r="C12822" i="1"/>
  <c r="D12822" i="1"/>
  <c r="E12822" i="1"/>
  <c r="C12823" i="1"/>
  <c r="D12823" i="1"/>
  <c r="E12823" i="1"/>
  <c r="C12824" i="1"/>
  <c r="D12824" i="1"/>
  <c r="E12824" i="1"/>
  <c r="C12825" i="1"/>
  <c r="D12825" i="1"/>
  <c r="E12825" i="1"/>
  <c r="C12826" i="1"/>
  <c r="D12826" i="1"/>
  <c r="E12826" i="1"/>
  <c r="C12827" i="1"/>
  <c r="D12827" i="1"/>
  <c r="E12827" i="1"/>
  <c r="C12828" i="1"/>
  <c r="D12828" i="1"/>
  <c r="E12828" i="1"/>
  <c r="C12829" i="1"/>
  <c r="D12829" i="1"/>
  <c r="E12829" i="1"/>
  <c r="C12830" i="1"/>
  <c r="D12830" i="1"/>
  <c r="E12830" i="1"/>
  <c r="C12831" i="1"/>
  <c r="D12831" i="1"/>
  <c r="E12831" i="1"/>
  <c r="C12832" i="1"/>
  <c r="D12832" i="1"/>
  <c r="E12832" i="1"/>
  <c r="C12833" i="1"/>
  <c r="D12833" i="1"/>
  <c r="E12833" i="1"/>
  <c r="C12834" i="1"/>
  <c r="D12834" i="1"/>
  <c r="E12834" i="1"/>
  <c r="C12835" i="1"/>
  <c r="D12835" i="1"/>
  <c r="E12835" i="1"/>
  <c r="C12836" i="1"/>
  <c r="D12836" i="1"/>
  <c r="E12836" i="1"/>
  <c r="C12837" i="1"/>
  <c r="D12837" i="1"/>
  <c r="E12837" i="1"/>
  <c r="C12838" i="1"/>
  <c r="D12838" i="1"/>
  <c r="E12838" i="1"/>
  <c r="C12839" i="1"/>
  <c r="D12839" i="1"/>
  <c r="E12839" i="1"/>
  <c r="C12840" i="1"/>
  <c r="D12840" i="1"/>
  <c r="E12840" i="1"/>
  <c r="C12841" i="1"/>
  <c r="D12841" i="1"/>
  <c r="E12841" i="1"/>
  <c r="C12842" i="1"/>
  <c r="D12842" i="1"/>
  <c r="E12842" i="1"/>
  <c r="C12843" i="1"/>
  <c r="D12843" i="1"/>
  <c r="E12843" i="1"/>
  <c r="C12844" i="1"/>
  <c r="D12844" i="1"/>
  <c r="E12844" i="1"/>
  <c r="C12845" i="1"/>
  <c r="D12845" i="1"/>
  <c r="E12845" i="1"/>
  <c r="C12846" i="1"/>
  <c r="D12846" i="1"/>
  <c r="E12846" i="1"/>
  <c r="C12847" i="1"/>
  <c r="D12847" i="1"/>
  <c r="E12847" i="1"/>
  <c r="C12848" i="1"/>
  <c r="D12848" i="1"/>
  <c r="E12848" i="1"/>
  <c r="C12849" i="1"/>
  <c r="D12849" i="1"/>
  <c r="E12849" i="1"/>
  <c r="C12850" i="1"/>
  <c r="D12850" i="1"/>
  <c r="E12850" i="1"/>
  <c r="C12851" i="1"/>
  <c r="D12851" i="1"/>
  <c r="E12851" i="1"/>
  <c r="C12852" i="1"/>
  <c r="D12852" i="1"/>
  <c r="E12852" i="1"/>
  <c r="C12853" i="1"/>
  <c r="D12853" i="1"/>
  <c r="E12853" i="1"/>
  <c r="C12854" i="1"/>
  <c r="D12854" i="1"/>
  <c r="E12854" i="1"/>
  <c r="C12855" i="1"/>
  <c r="D12855" i="1"/>
  <c r="E12855" i="1"/>
  <c r="C12856" i="1"/>
  <c r="D12856" i="1"/>
  <c r="E12856" i="1"/>
  <c r="C12857" i="1"/>
  <c r="D12857" i="1"/>
  <c r="E12857" i="1"/>
  <c r="C12858" i="1"/>
  <c r="D12858" i="1"/>
  <c r="E12858" i="1"/>
  <c r="C12859" i="1"/>
  <c r="D12859" i="1"/>
  <c r="E12859" i="1"/>
  <c r="C12860" i="1"/>
  <c r="D12860" i="1"/>
  <c r="E12860" i="1"/>
  <c r="C12861" i="1"/>
  <c r="D12861" i="1"/>
  <c r="E12861" i="1"/>
  <c r="C12862" i="1"/>
  <c r="D12862" i="1"/>
  <c r="E12862" i="1"/>
  <c r="C12863" i="1"/>
  <c r="D12863" i="1"/>
  <c r="E12863" i="1"/>
  <c r="C12864" i="1"/>
  <c r="D12864" i="1"/>
  <c r="E12864" i="1"/>
  <c r="C12865" i="1"/>
  <c r="D12865" i="1"/>
  <c r="E12865" i="1"/>
  <c r="C12866" i="1"/>
  <c r="D12866" i="1"/>
  <c r="E12866" i="1"/>
  <c r="C12867" i="1"/>
  <c r="D12867" i="1"/>
  <c r="E12867" i="1"/>
  <c r="C12868" i="1"/>
  <c r="D12868" i="1"/>
  <c r="E12868" i="1"/>
  <c r="C12869" i="1"/>
  <c r="D12869" i="1"/>
  <c r="E12869" i="1"/>
  <c r="C12870" i="1"/>
  <c r="D12870" i="1"/>
  <c r="E12870" i="1"/>
  <c r="C12871" i="1"/>
  <c r="D12871" i="1"/>
  <c r="E12871" i="1"/>
  <c r="C12872" i="1"/>
  <c r="D12872" i="1"/>
  <c r="E12872" i="1"/>
  <c r="C12873" i="1"/>
  <c r="D12873" i="1"/>
  <c r="E12873" i="1"/>
  <c r="C12874" i="1"/>
  <c r="D12874" i="1"/>
  <c r="E12874" i="1"/>
  <c r="C12875" i="1"/>
  <c r="D12875" i="1"/>
  <c r="E12875" i="1"/>
  <c r="C12876" i="1"/>
  <c r="D12876" i="1"/>
  <c r="E12876" i="1"/>
  <c r="C12877" i="1"/>
  <c r="D12877" i="1"/>
  <c r="E12877" i="1"/>
  <c r="C12878" i="1"/>
  <c r="D12878" i="1"/>
  <c r="E12878" i="1"/>
  <c r="C12879" i="1"/>
  <c r="D12879" i="1"/>
  <c r="E12879" i="1"/>
  <c r="C12880" i="1"/>
  <c r="D12880" i="1"/>
  <c r="E12880" i="1"/>
  <c r="C12881" i="1"/>
  <c r="D12881" i="1"/>
  <c r="E12881" i="1"/>
  <c r="C12882" i="1"/>
  <c r="D12882" i="1"/>
  <c r="E12882" i="1"/>
  <c r="C12883" i="1"/>
  <c r="D12883" i="1"/>
  <c r="E12883" i="1"/>
  <c r="C12884" i="1"/>
  <c r="D12884" i="1"/>
  <c r="E12884" i="1"/>
  <c r="C12885" i="1"/>
  <c r="D12885" i="1"/>
  <c r="E12885" i="1"/>
  <c r="C12886" i="1"/>
  <c r="D12886" i="1"/>
  <c r="E12886" i="1"/>
  <c r="C12887" i="1"/>
  <c r="D12887" i="1"/>
  <c r="E12887" i="1"/>
  <c r="C12888" i="1"/>
  <c r="D12888" i="1"/>
  <c r="E12888" i="1"/>
  <c r="C12889" i="1"/>
  <c r="D12889" i="1"/>
  <c r="E12889" i="1"/>
  <c r="C12890" i="1"/>
  <c r="D12890" i="1"/>
  <c r="E12890" i="1"/>
  <c r="C12891" i="1"/>
  <c r="D12891" i="1"/>
  <c r="E12891" i="1"/>
  <c r="C12892" i="1"/>
  <c r="D12892" i="1"/>
  <c r="E12892" i="1"/>
  <c r="C12893" i="1"/>
  <c r="D12893" i="1"/>
  <c r="E12893" i="1"/>
  <c r="C12894" i="1"/>
  <c r="D12894" i="1"/>
  <c r="E12894" i="1"/>
  <c r="C12895" i="1"/>
  <c r="D12895" i="1"/>
  <c r="E12895" i="1"/>
  <c r="C12896" i="1"/>
  <c r="D12896" i="1"/>
  <c r="E12896" i="1"/>
  <c r="C12897" i="1"/>
  <c r="D12897" i="1"/>
  <c r="E12897" i="1"/>
  <c r="C12898" i="1"/>
  <c r="D12898" i="1"/>
  <c r="E12898" i="1"/>
  <c r="C12899" i="1"/>
  <c r="D12899" i="1"/>
  <c r="E12899" i="1"/>
  <c r="C12900" i="1"/>
  <c r="D12900" i="1"/>
  <c r="E12900" i="1"/>
  <c r="C12901" i="1"/>
  <c r="D12901" i="1"/>
  <c r="E12901" i="1"/>
  <c r="C12902" i="1"/>
  <c r="D12902" i="1"/>
  <c r="E12902" i="1"/>
  <c r="C12903" i="1"/>
  <c r="D12903" i="1"/>
  <c r="E12903" i="1"/>
  <c r="C12904" i="1"/>
  <c r="D12904" i="1"/>
  <c r="E12904" i="1"/>
  <c r="C12905" i="1"/>
  <c r="D12905" i="1"/>
  <c r="E12905" i="1"/>
  <c r="C12906" i="1"/>
  <c r="D12906" i="1"/>
  <c r="E12906" i="1"/>
  <c r="C12907" i="1"/>
  <c r="D12907" i="1"/>
  <c r="E12907" i="1"/>
  <c r="C12908" i="1"/>
  <c r="D12908" i="1"/>
  <c r="E12908" i="1"/>
  <c r="C12909" i="1"/>
  <c r="D12909" i="1"/>
  <c r="E12909" i="1"/>
  <c r="C12910" i="1"/>
  <c r="D12910" i="1"/>
  <c r="E12910" i="1"/>
  <c r="C12911" i="1"/>
  <c r="D12911" i="1"/>
  <c r="E12911" i="1"/>
  <c r="C12912" i="1"/>
  <c r="D12912" i="1"/>
  <c r="E12912" i="1"/>
  <c r="C12913" i="1"/>
  <c r="D12913" i="1"/>
  <c r="E12913" i="1"/>
  <c r="C12914" i="1"/>
  <c r="D12914" i="1"/>
  <c r="E12914" i="1"/>
  <c r="C12915" i="1"/>
  <c r="D12915" i="1"/>
  <c r="E12915" i="1"/>
  <c r="C12916" i="1"/>
  <c r="D12916" i="1"/>
  <c r="E12916" i="1"/>
  <c r="C12917" i="1"/>
  <c r="D12917" i="1"/>
  <c r="E12917" i="1"/>
  <c r="C12918" i="1"/>
  <c r="D12918" i="1"/>
  <c r="E12918" i="1"/>
  <c r="C12919" i="1"/>
  <c r="D12919" i="1"/>
  <c r="E12919" i="1"/>
  <c r="C12920" i="1"/>
  <c r="D12920" i="1"/>
  <c r="E12920" i="1"/>
  <c r="C12921" i="1"/>
  <c r="D12921" i="1"/>
  <c r="E12921" i="1"/>
  <c r="C12922" i="1"/>
  <c r="D12922" i="1"/>
  <c r="E12922" i="1"/>
  <c r="C12923" i="1"/>
  <c r="D12923" i="1"/>
  <c r="E12923" i="1"/>
  <c r="C12924" i="1"/>
  <c r="D12924" i="1"/>
  <c r="E12924" i="1"/>
  <c r="C12925" i="1"/>
  <c r="D12925" i="1"/>
  <c r="E12925" i="1"/>
  <c r="C12926" i="1"/>
  <c r="D12926" i="1"/>
  <c r="E12926" i="1"/>
  <c r="C12927" i="1"/>
  <c r="D12927" i="1"/>
  <c r="E12927" i="1"/>
  <c r="C12928" i="1"/>
  <c r="D12928" i="1"/>
  <c r="E12928" i="1"/>
  <c r="C12929" i="1"/>
  <c r="D12929" i="1"/>
  <c r="E12929" i="1"/>
  <c r="C12930" i="1"/>
  <c r="D12930" i="1"/>
  <c r="E12930" i="1"/>
  <c r="C12931" i="1"/>
  <c r="D12931" i="1"/>
  <c r="E12931" i="1"/>
  <c r="C12932" i="1"/>
  <c r="D12932" i="1"/>
  <c r="E12932" i="1"/>
  <c r="C12933" i="1"/>
  <c r="D12933" i="1"/>
  <c r="E12933" i="1"/>
  <c r="C12934" i="1"/>
  <c r="D12934" i="1"/>
  <c r="E12934" i="1"/>
  <c r="C12935" i="1"/>
  <c r="D12935" i="1"/>
  <c r="E12935" i="1"/>
  <c r="C12936" i="1"/>
  <c r="D12936" i="1"/>
  <c r="E12936" i="1"/>
  <c r="C12937" i="1"/>
  <c r="D12937" i="1"/>
  <c r="E12937" i="1"/>
  <c r="C12938" i="1"/>
  <c r="D12938" i="1"/>
  <c r="E12938" i="1"/>
  <c r="C12939" i="1"/>
  <c r="D12939" i="1"/>
  <c r="E12939" i="1"/>
  <c r="C12940" i="1"/>
  <c r="D12940" i="1"/>
  <c r="E12940" i="1"/>
  <c r="C12941" i="1"/>
  <c r="D12941" i="1"/>
  <c r="E12941" i="1"/>
  <c r="C12942" i="1"/>
  <c r="D12942" i="1"/>
  <c r="E12942" i="1"/>
  <c r="C12943" i="1"/>
  <c r="D12943" i="1"/>
  <c r="E12943" i="1"/>
  <c r="C12944" i="1"/>
  <c r="D12944" i="1"/>
  <c r="E12944" i="1"/>
  <c r="C12945" i="1"/>
  <c r="D12945" i="1"/>
  <c r="E12945" i="1"/>
  <c r="C12946" i="1"/>
  <c r="D12946" i="1"/>
  <c r="E12946" i="1"/>
  <c r="C12947" i="1"/>
  <c r="D12947" i="1"/>
  <c r="E12947" i="1"/>
  <c r="C12948" i="1"/>
  <c r="D12948" i="1"/>
  <c r="E12948" i="1"/>
  <c r="C12949" i="1"/>
  <c r="D12949" i="1"/>
  <c r="E12949" i="1"/>
  <c r="C12950" i="1"/>
  <c r="D12950" i="1"/>
  <c r="E12950" i="1"/>
  <c r="C12951" i="1"/>
  <c r="D12951" i="1"/>
  <c r="E12951" i="1"/>
  <c r="C12952" i="1"/>
  <c r="D12952" i="1"/>
  <c r="E12952" i="1"/>
  <c r="C12953" i="1"/>
  <c r="D12953" i="1"/>
  <c r="E12953" i="1"/>
  <c r="C12954" i="1"/>
  <c r="D12954" i="1"/>
  <c r="E12954" i="1"/>
  <c r="C12955" i="1"/>
  <c r="D12955" i="1"/>
  <c r="E12955" i="1"/>
  <c r="C12956" i="1"/>
  <c r="D12956" i="1"/>
  <c r="E12956" i="1"/>
  <c r="C12957" i="1"/>
  <c r="D12957" i="1"/>
  <c r="E12957" i="1"/>
  <c r="C12958" i="1"/>
  <c r="D12958" i="1"/>
  <c r="E12958" i="1"/>
  <c r="C12959" i="1"/>
  <c r="D12959" i="1"/>
  <c r="E12959" i="1"/>
  <c r="C12960" i="1"/>
  <c r="D12960" i="1"/>
  <c r="E12960" i="1"/>
  <c r="C12961" i="1"/>
  <c r="D12961" i="1"/>
  <c r="E12961" i="1"/>
  <c r="C12962" i="1"/>
  <c r="D12962" i="1"/>
  <c r="E12962" i="1"/>
  <c r="C12963" i="1"/>
  <c r="D12963" i="1"/>
  <c r="E12963" i="1"/>
  <c r="C12964" i="1"/>
  <c r="D12964" i="1"/>
  <c r="E12964" i="1"/>
  <c r="C12965" i="1"/>
  <c r="D12965" i="1"/>
  <c r="E12965" i="1"/>
  <c r="C12966" i="1"/>
  <c r="D12966" i="1"/>
  <c r="E12966" i="1"/>
  <c r="C12967" i="1"/>
  <c r="D12967" i="1"/>
  <c r="E12967" i="1"/>
  <c r="C12968" i="1"/>
  <c r="D12968" i="1"/>
  <c r="E12968" i="1"/>
  <c r="C12969" i="1"/>
  <c r="D12969" i="1"/>
  <c r="E12969" i="1"/>
  <c r="C12970" i="1"/>
  <c r="D12970" i="1"/>
  <c r="E12970" i="1"/>
  <c r="C12971" i="1"/>
  <c r="D12971" i="1"/>
  <c r="E12971" i="1"/>
  <c r="C12972" i="1"/>
  <c r="D12972" i="1"/>
  <c r="E12972" i="1"/>
  <c r="C12973" i="1"/>
  <c r="D12973" i="1"/>
  <c r="E12973" i="1"/>
  <c r="C12974" i="1"/>
  <c r="D12974" i="1"/>
  <c r="E12974" i="1"/>
  <c r="C12975" i="1"/>
  <c r="D12975" i="1"/>
  <c r="E12975" i="1"/>
  <c r="C12976" i="1"/>
  <c r="D12976" i="1"/>
  <c r="E12976" i="1"/>
  <c r="C12977" i="1"/>
  <c r="D12977" i="1"/>
  <c r="E12977" i="1"/>
  <c r="C12978" i="1"/>
  <c r="D12978" i="1"/>
  <c r="E12978" i="1"/>
  <c r="C12979" i="1"/>
  <c r="D12979" i="1"/>
  <c r="E12979" i="1"/>
  <c r="C12980" i="1"/>
  <c r="D12980" i="1"/>
  <c r="E12980" i="1"/>
  <c r="C12981" i="1"/>
  <c r="D12981" i="1"/>
  <c r="E12981" i="1"/>
  <c r="C12982" i="1"/>
  <c r="D12982" i="1"/>
  <c r="E12982" i="1"/>
  <c r="C12983" i="1"/>
  <c r="D12983" i="1"/>
  <c r="E12983" i="1"/>
  <c r="C12984" i="1"/>
  <c r="D12984" i="1"/>
  <c r="E12984" i="1"/>
  <c r="C12985" i="1"/>
  <c r="D12985" i="1"/>
  <c r="E12985" i="1"/>
  <c r="C12986" i="1"/>
  <c r="D12986" i="1"/>
  <c r="E12986" i="1"/>
  <c r="C12987" i="1"/>
  <c r="D12987" i="1"/>
  <c r="E12987" i="1"/>
  <c r="C12988" i="1"/>
  <c r="D12988" i="1"/>
  <c r="E12988" i="1"/>
  <c r="C12989" i="1"/>
  <c r="D12989" i="1"/>
  <c r="E12989" i="1"/>
  <c r="C12990" i="1"/>
  <c r="D12990" i="1"/>
  <c r="E12990" i="1"/>
  <c r="C12991" i="1"/>
  <c r="D12991" i="1"/>
  <c r="E12991" i="1"/>
  <c r="C12992" i="1"/>
  <c r="D12992" i="1"/>
  <c r="E12992" i="1"/>
  <c r="C12993" i="1"/>
  <c r="D12993" i="1"/>
  <c r="E12993" i="1"/>
  <c r="C12994" i="1"/>
  <c r="D12994" i="1"/>
  <c r="E12994" i="1"/>
  <c r="C12995" i="1"/>
  <c r="D12995" i="1"/>
  <c r="E12995" i="1"/>
  <c r="C12996" i="1"/>
  <c r="D12996" i="1"/>
  <c r="E12996" i="1"/>
  <c r="C12997" i="1"/>
  <c r="D12997" i="1"/>
  <c r="E12997" i="1"/>
  <c r="C12998" i="1"/>
  <c r="D12998" i="1"/>
  <c r="E12998" i="1"/>
  <c r="C12999" i="1"/>
  <c r="D12999" i="1"/>
  <c r="E12999" i="1"/>
  <c r="C13000" i="1"/>
  <c r="D13000" i="1"/>
  <c r="E13000" i="1"/>
  <c r="C13001" i="1"/>
  <c r="D13001" i="1"/>
  <c r="E13001" i="1"/>
  <c r="C13002" i="1"/>
  <c r="D13002" i="1"/>
  <c r="E13002" i="1"/>
  <c r="C13003" i="1"/>
  <c r="D13003" i="1"/>
  <c r="E13003" i="1"/>
  <c r="C13004" i="1"/>
  <c r="D13004" i="1"/>
  <c r="E13004" i="1"/>
  <c r="C13005" i="1"/>
  <c r="D13005" i="1"/>
  <c r="E13005" i="1"/>
  <c r="C13006" i="1"/>
  <c r="D13006" i="1"/>
  <c r="E13006" i="1"/>
  <c r="C13007" i="1"/>
  <c r="D13007" i="1"/>
  <c r="E13007" i="1"/>
  <c r="C13008" i="1"/>
  <c r="D13008" i="1"/>
  <c r="E13008" i="1"/>
  <c r="C13009" i="1"/>
  <c r="D13009" i="1"/>
  <c r="E13009" i="1"/>
  <c r="C13010" i="1"/>
  <c r="D13010" i="1"/>
  <c r="E13010" i="1"/>
  <c r="C13011" i="1"/>
  <c r="D13011" i="1"/>
  <c r="E13011" i="1"/>
  <c r="C13012" i="1"/>
  <c r="D13012" i="1"/>
  <c r="E13012" i="1"/>
  <c r="C13013" i="1"/>
  <c r="D13013" i="1"/>
  <c r="E13013" i="1"/>
  <c r="C13014" i="1"/>
  <c r="D13014" i="1"/>
  <c r="E13014" i="1"/>
  <c r="C13015" i="1"/>
  <c r="D13015" i="1"/>
  <c r="E13015" i="1"/>
  <c r="C13016" i="1"/>
  <c r="D13016" i="1"/>
  <c r="E13016" i="1"/>
  <c r="C13017" i="1"/>
  <c r="D13017" i="1"/>
  <c r="E13017" i="1"/>
  <c r="C13018" i="1"/>
  <c r="D13018" i="1"/>
  <c r="E13018" i="1"/>
  <c r="C13019" i="1"/>
  <c r="D13019" i="1"/>
  <c r="E13019" i="1"/>
  <c r="C13020" i="1"/>
  <c r="D13020" i="1"/>
  <c r="E13020" i="1"/>
  <c r="C13021" i="1"/>
  <c r="D13021" i="1"/>
  <c r="E13021" i="1"/>
  <c r="C13022" i="1"/>
  <c r="D13022" i="1"/>
  <c r="E13022" i="1"/>
  <c r="C13023" i="1"/>
  <c r="D13023" i="1"/>
  <c r="E13023" i="1"/>
  <c r="C13024" i="1"/>
  <c r="D13024" i="1"/>
  <c r="E13024" i="1"/>
  <c r="C13025" i="1"/>
  <c r="D13025" i="1"/>
  <c r="E13025" i="1"/>
  <c r="C13026" i="1"/>
  <c r="D13026" i="1"/>
  <c r="E13026" i="1"/>
  <c r="C13027" i="1"/>
  <c r="D13027" i="1"/>
  <c r="E13027" i="1"/>
  <c r="C13028" i="1"/>
  <c r="D13028" i="1"/>
  <c r="E13028" i="1"/>
  <c r="C13029" i="1"/>
  <c r="D13029" i="1"/>
  <c r="E13029" i="1"/>
  <c r="C13030" i="1"/>
  <c r="D13030" i="1"/>
  <c r="E13030" i="1"/>
  <c r="C13031" i="1"/>
  <c r="D13031" i="1"/>
  <c r="E13031" i="1"/>
  <c r="C13032" i="1"/>
  <c r="D13032" i="1"/>
  <c r="E13032" i="1"/>
  <c r="C13033" i="1"/>
  <c r="D13033" i="1"/>
  <c r="E13033" i="1"/>
  <c r="C13034" i="1"/>
  <c r="D13034" i="1"/>
  <c r="E13034" i="1"/>
  <c r="C13035" i="1"/>
  <c r="D13035" i="1"/>
  <c r="E13035" i="1"/>
  <c r="C13036" i="1"/>
  <c r="D13036" i="1"/>
  <c r="E13036" i="1"/>
  <c r="C13037" i="1"/>
  <c r="D13037" i="1"/>
  <c r="E13037" i="1"/>
  <c r="C13038" i="1"/>
  <c r="D13038" i="1"/>
  <c r="E13038" i="1"/>
  <c r="C13039" i="1"/>
  <c r="D13039" i="1"/>
  <c r="E13039" i="1"/>
  <c r="C13040" i="1"/>
  <c r="D13040" i="1"/>
  <c r="E13040" i="1"/>
  <c r="C13041" i="1"/>
  <c r="D13041" i="1"/>
  <c r="E13041" i="1"/>
  <c r="C13042" i="1"/>
  <c r="D13042" i="1"/>
  <c r="E13042" i="1"/>
  <c r="C13043" i="1"/>
  <c r="D13043" i="1"/>
  <c r="E13043" i="1"/>
  <c r="C13044" i="1"/>
  <c r="D13044" i="1"/>
  <c r="E13044" i="1"/>
  <c r="C13045" i="1"/>
  <c r="D13045" i="1"/>
  <c r="E13045" i="1"/>
  <c r="C13046" i="1"/>
  <c r="D13046" i="1"/>
  <c r="E13046" i="1"/>
  <c r="C13047" i="1"/>
  <c r="D13047" i="1"/>
  <c r="E13047" i="1"/>
  <c r="C13048" i="1"/>
  <c r="D13048" i="1"/>
  <c r="E13048" i="1"/>
  <c r="C13049" i="1"/>
  <c r="D13049" i="1"/>
  <c r="E13049" i="1"/>
  <c r="C13050" i="1"/>
  <c r="D13050" i="1"/>
  <c r="E13050" i="1"/>
  <c r="C13051" i="1"/>
  <c r="D13051" i="1"/>
  <c r="E13051" i="1"/>
  <c r="C13052" i="1"/>
  <c r="D13052" i="1"/>
  <c r="E13052" i="1"/>
  <c r="C13053" i="1"/>
  <c r="D13053" i="1"/>
  <c r="E13053" i="1"/>
  <c r="C13054" i="1"/>
  <c r="D13054" i="1"/>
  <c r="E13054" i="1"/>
  <c r="C13055" i="1"/>
  <c r="D13055" i="1"/>
  <c r="E13055" i="1"/>
  <c r="C13056" i="1"/>
  <c r="D13056" i="1"/>
  <c r="E13056" i="1"/>
  <c r="C13057" i="1"/>
  <c r="D13057" i="1"/>
  <c r="E13057" i="1"/>
  <c r="C13058" i="1"/>
  <c r="D13058" i="1"/>
  <c r="E13058" i="1"/>
  <c r="C13059" i="1"/>
  <c r="D13059" i="1"/>
  <c r="E13059" i="1"/>
  <c r="C13060" i="1"/>
  <c r="D13060" i="1"/>
  <c r="E13060" i="1"/>
  <c r="C13061" i="1"/>
  <c r="D13061" i="1"/>
  <c r="E13061" i="1"/>
  <c r="C13062" i="1"/>
  <c r="D13062" i="1"/>
  <c r="E13062" i="1"/>
  <c r="C13063" i="1"/>
  <c r="D13063" i="1"/>
  <c r="E13063" i="1"/>
  <c r="C13064" i="1"/>
  <c r="D13064" i="1"/>
  <c r="E13064" i="1"/>
  <c r="C13065" i="1"/>
  <c r="D13065" i="1"/>
  <c r="E13065" i="1"/>
  <c r="C13066" i="1"/>
  <c r="D13066" i="1"/>
  <c r="E13066" i="1"/>
  <c r="C13067" i="1"/>
  <c r="D13067" i="1"/>
  <c r="E13067" i="1"/>
  <c r="C13068" i="1"/>
  <c r="D13068" i="1"/>
  <c r="E13068" i="1"/>
  <c r="C13069" i="1"/>
  <c r="D13069" i="1"/>
  <c r="E13069" i="1"/>
  <c r="C13070" i="1"/>
  <c r="D13070" i="1"/>
  <c r="E13070" i="1"/>
  <c r="C13071" i="1"/>
  <c r="D13071" i="1"/>
  <c r="E13071" i="1"/>
  <c r="C13072" i="1"/>
  <c r="D13072" i="1"/>
  <c r="E13072" i="1"/>
  <c r="C13073" i="1"/>
  <c r="D13073" i="1"/>
  <c r="E13073" i="1"/>
  <c r="C13074" i="1"/>
  <c r="D13074" i="1"/>
  <c r="E13074" i="1"/>
  <c r="C13075" i="1"/>
  <c r="D13075" i="1"/>
  <c r="E13075" i="1"/>
  <c r="C13076" i="1"/>
  <c r="D13076" i="1"/>
  <c r="E13076" i="1"/>
  <c r="C13077" i="1"/>
  <c r="D13077" i="1"/>
  <c r="E13077" i="1"/>
  <c r="C13078" i="1"/>
  <c r="D13078" i="1"/>
  <c r="E13078" i="1"/>
  <c r="C13079" i="1"/>
  <c r="D13079" i="1"/>
  <c r="E13079" i="1"/>
  <c r="C13080" i="1"/>
  <c r="D13080" i="1"/>
  <c r="E13080" i="1"/>
  <c r="C13081" i="1"/>
  <c r="D13081" i="1"/>
  <c r="E13081" i="1"/>
  <c r="C13082" i="1"/>
  <c r="D13082" i="1"/>
  <c r="E13082" i="1"/>
  <c r="C13083" i="1"/>
  <c r="D13083" i="1"/>
  <c r="E13083" i="1"/>
  <c r="C13084" i="1"/>
  <c r="D13084" i="1"/>
  <c r="E13084" i="1"/>
  <c r="C13085" i="1"/>
  <c r="D13085" i="1"/>
  <c r="E13085" i="1"/>
  <c r="C13086" i="1"/>
  <c r="D13086" i="1"/>
  <c r="E13086" i="1"/>
  <c r="C13087" i="1"/>
  <c r="D13087" i="1"/>
  <c r="E13087" i="1"/>
  <c r="C13088" i="1"/>
  <c r="D13088" i="1"/>
  <c r="E13088" i="1"/>
  <c r="C13089" i="1"/>
  <c r="D13089" i="1"/>
  <c r="E13089" i="1"/>
  <c r="C13090" i="1"/>
  <c r="D13090" i="1"/>
  <c r="E13090" i="1"/>
  <c r="C13091" i="1"/>
  <c r="D13091" i="1"/>
  <c r="E13091" i="1"/>
  <c r="C13092" i="1"/>
  <c r="D13092" i="1"/>
  <c r="E13092" i="1"/>
  <c r="C13093" i="1"/>
  <c r="D13093" i="1"/>
  <c r="E13093" i="1"/>
  <c r="C13094" i="1"/>
  <c r="D13094" i="1"/>
  <c r="E13094" i="1"/>
  <c r="C13095" i="1"/>
  <c r="D13095" i="1"/>
  <c r="E13095" i="1"/>
  <c r="C13096" i="1"/>
  <c r="D13096" i="1"/>
  <c r="E13096" i="1"/>
  <c r="C13097" i="1"/>
  <c r="D13097" i="1"/>
  <c r="E13097" i="1"/>
  <c r="C13098" i="1"/>
  <c r="D13098" i="1"/>
  <c r="E13098" i="1"/>
  <c r="C13099" i="1"/>
  <c r="D13099" i="1"/>
  <c r="E13099" i="1"/>
  <c r="C13100" i="1"/>
  <c r="D13100" i="1"/>
  <c r="E13100" i="1"/>
  <c r="C13101" i="1"/>
  <c r="D13101" i="1"/>
  <c r="E13101" i="1"/>
  <c r="C13102" i="1"/>
  <c r="D13102" i="1"/>
  <c r="E13102" i="1"/>
  <c r="C13103" i="1"/>
  <c r="D13103" i="1"/>
  <c r="E13103" i="1"/>
  <c r="C13104" i="1"/>
  <c r="D13104" i="1"/>
  <c r="E13104" i="1"/>
  <c r="C13105" i="1"/>
  <c r="D13105" i="1"/>
  <c r="E13105" i="1"/>
  <c r="C13106" i="1"/>
  <c r="D13106" i="1"/>
  <c r="E13106" i="1"/>
  <c r="C13107" i="1"/>
  <c r="D13107" i="1"/>
  <c r="E13107" i="1"/>
  <c r="C13108" i="1"/>
  <c r="D13108" i="1"/>
  <c r="E13108" i="1"/>
  <c r="C13109" i="1"/>
  <c r="D13109" i="1"/>
  <c r="E13109" i="1"/>
  <c r="C13110" i="1"/>
  <c r="D13110" i="1"/>
  <c r="E13110" i="1"/>
  <c r="C13111" i="1"/>
  <c r="D13111" i="1"/>
  <c r="E13111" i="1"/>
  <c r="C13112" i="1"/>
  <c r="D13112" i="1"/>
  <c r="E13112" i="1"/>
  <c r="C13113" i="1"/>
  <c r="D13113" i="1"/>
  <c r="E13113" i="1"/>
  <c r="C13114" i="1"/>
  <c r="D13114" i="1"/>
  <c r="E13114" i="1"/>
  <c r="C13115" i="1"/>
  <c r="D13115" i="1"/>
  <c r="E13115" i="1"/>
  <c r="C13116" i="1"/>
  <c r="D13116" i="1"/>
  <c r="E13116" i="1"/>
  <c r="C13117" i="1"/>
  <c r="D13117" i="1"/>
  <c r="E13117" i="1"/>
  <c r="C13118" i="1"/>
  <c r="D13118" i="1"/>
  <c r="E13118" i="1"/>
  <c r="C13119" i="1"/>
  <c r="D13119" i="1"/>
  <c r="E13119" i="1"/>
  <c r="C13120" i="1"/>
  <c r="D13120" i="1"/>
  <c r="E13120" i="1"/>
  <c r="C13121" i="1"/>
  <c r="D13121" i="1"/>
  <c r="E13121" i="1"/>
  <c r="C13122" i="1"/>
  <c r="D13122" i="1"/>
  <c r="E13122" i="1"/>
  <c r="C13123" i="1"/>
  <c r="D13123" i="1"/>
  <c r="E13123" i="1"/>
  <c r="C13124" i="1"/>
  <c r="D13124" i="1"/>
  <c r="E13124" i="1"/>
  <c r="C13125" i="1"/>
  <c r="D13125" i="1"/>
  <c r="E13125" i="1"/>
  <c r="C13126" i="1"/>
  <c r="D13126" i="1"/>
  <c r="E13126" i="1"/>
  <c r="C13127" i="1"/>
  <c r="D13127" i="1"/>
  <c r="E13127" i="1"/>
  <c r="C13128" i="1"/>
  <c r="D13128" i="1"/>
  <c r="E13128" i="1"/>
  <c r="C13129" i="1"/>
  <c r="D13129" i="1"/>
  <c r="E13129" i="1"/>
  <c r="C13130" i="1"/>
  <c r="D13130" i="1"/>
  <c r="E13130" i="1"/>
  <c r="C13131" i="1"/>
  <c r="D13131" i="1"/>
  <c r="E13131" i="1"/>
  <c r="C13132" i="1"/>
  <c r="D13132" i="1"/>
  <c r="E13132" i="1"/>
  <c r="C13133" i="1"/>
  <c r="D13133" i="1"/>
  <c r="E13133" i="1"/>
  <c r="C13134" i="1"/>
  <c r="D13134" i="1"/>
  <c r="E13134" i="1"/>
  <c r="C13135" i="1"/>
  <c r="D13135" i="1"/>
  <c r="E13135" i="1"/>
  <c r="C13136" i="1"/>
  <c r="D13136" i="1"/>
  <c r="E13136" i="1"/>
  <c r="C13137" i="1"/>
  <c r="D13137" i="1"/>
  <c r="E13137" i="1"/>
  <c r="C13138" i="1"/>
  <c r="D13138" i="1"/>
  <c r="E13138" i="1"/>
  <c r="C13139" i="1"/>
  <c r="D13139" i="1"/>
  <c r="E13139" i="1"/>
  <c r="C13140" i="1"/>
  <c r="D13140" i="1"/>
  <c r="E13140" i="1"/>
  <c r="C13141" i="1"/>
  <c r="D13141" i="1"/>
  <c r="E13141" i="1"/>
  <c r="C13142" i="1"/>
  <c r="D13142" i="1"/>
  <c r="E13142" i="1"/>
  <c r="C13143" i="1"/>
  <c r="D13143" i="1"/>
  <c r="E13143" i="1"/>
  <c r="C13144" i="1"/>
  <c r="D13144" i="1"/>
  <c r="E13144" i="1"/>
  <c r="C13145" i="1"/>
  <c r="D13145" i="1"/>
  <c r="E13145" i="1"/>
  <c r="C13146" i="1"/>
  <c r="D13146" i="1"/>
  <c r="E13146" i="1"/>
  <c r="C13147" i="1"/>
  <c r="D13147" i="1"/>
  <c r="E13147" i="1"/>
  <c r="C13148" i="1"/>
  <c r="D13148" i="1"/>
  <c r="E13148" i="1"/>
  <c r="C13149" i="1"/>
  <c r="D13149" i="1"/>
  <c r="E13149" i="1"/>
  <c r="C13150" i="1"/>
  <c r="D13150" i="1"/>
  <c r="E13150" i="1"/>
  <c r="C13151" i="1"/>
  <c r="D13151" i="1"/>
  <c r="E13151" i="1"/>
  <c r="C13152" i="1"/>
  <c r="D13152" i="1"/>
  <c r="E13152" i="1"/>
  <c r="C13153" i="1"/>
  <c r="D13153" i="1"/>
  <c r="E13153" i="1"/>
  <c r="C13154" i="1"/>
  <c r="D13154" i="1"/>
  <c r="E13154" i="1"/>
  <c r="C13155" i="1"/>
  <c r="D13155" i="1"/>
  <c r="E13155" i="1"/>
  <c r="C13156" i="1"/>
  <c r="D13156" i="1"/>
  <c r="E13156" i="1"/>
  <c r="C13157" i="1"/>
  <c r="D13157" i="1"/>
  <c r="E13157" i="1"/>
  <c r="C13158" i="1"/>
  <c r="D13158" i="1"/>
  <c r="E13158" i="1"/>
  <c r="C13159" i="1"/>
  <c r="D13159" i="1"/>
  <c r="E13159" i="1"/>
  <c r="C13160" i="1"/>
  <c r="D13160" i="1"/>
  <c r="E13160" i="1"/>
  <c r="C13161" i="1"/>
  <c r="D13161" i="1"/>
  <c r="E13161" i="1"/>
  <c r="C13162" i="1"/>
  <c r="D13162" i="1"/>
  <c r="E13162" i="1"/>
  <c r="C13163" i="1"/>
  <c r="D13163" i="1"/>
  <c r="E13163" i="1"/>
  <c r="C13164" i="1"/>
  <c r="D13164" i="1"/>
  <c r="E13164" i="1"/>
  <c r="C13165" i="1"/>
  <c r="D13165" i="1"/>
  <c r="E13165" i="1"/>
  <c r="C13166" i="1"/>
  <c r="D13166" i="1"/>
  <c r="E13166" i="1"/>
  <c r="C13167" i="1"/>
  <c r="D13167" i="1"/>
  <c r="E13167" i="1"/>
  <c r="C13168" i="1"/>
  <c r="D13168" i="1"/>
  <c r="E13168" i="1"/>
  <c r="C13169" i="1"/>
  <c r="D13169" i="1"/>
  <c r="E13169" i="1"/>
  <c r="C13170" i="1"/>
  <c r="D13170" i="1"/>
  <c r="E13170" i="1"/>
  <c r="C13171" i="1"/>
  <c r="D13171" i="1"/>
  <c r="E13171" i="1"/>
  <c r="C13172" i="1"/>
  <c r="D13172" i="1"/>
  <c r="E13172" i="1"/>
  <c r="C13173" i="1"/>
  <c r="D13173" i="1"/>
  <c r="E13173" i="1"/>
  <c r="C13174" i="1"/>
  <c r="D13174" i="1"/>
  <c r="E13174" i="1"/>
  <c r="C13175" i="1"/>
  <c r="D13175" i="1"/>
  <c r="E13175" i="1"/>
  <c r="C13176" i="1"/>
  <c r="D13176" i="1"/>
  <c r="E13176" i="1"/>
  <c r="C13177" i="1"/>
  <c r="D13177" i="1"/>
  <c r="E13177" i="1"/>
  <c r="C13178" i="1"/>
  <c r="D13178" i="1"/>
  <c r="E13178" i="1"/>
  <c r="C13179" i="1"/>
  <c r="D13179" i="1"/>
  <c r="E13179" i="1"/>
  <c r="C13180" i="1"/>
  <c r="D13180" i="1"/>
  <c r="E13180" i="1"/>
  <c r="C13181" i="1"/>
  <c r="D13181" i="1"/>
  <c r="E13181" i="1"/>
  <c r="C13182" i="1"/>
  <c r="D13182" i="1"/>
  <c r="E13182" i="1"/>
  <c r="C13183" i="1"/>
  <c r="D13183" i="1"/>
  <c r="E13183" i="1"/>
  <c r="C13184" i="1"/>
  <c r="D13184" i="1"/>
  <c r="E13184" i="1"/>
  <c r="C13185" i="1"/>
  <c r="D13185" i="1"/>
  <c r="E13185" i="1"/>
  <c r="C13186" i="1"/>
  <c r="D13186" i="1"/>
  <c r="E13186" i="1"/>
  <c r="C13187" i="1"/>
  <c r="D13187" i="1"/>
  <c r="E13187" i="1"/>
  <c r="C13188" i="1"/>
  <c r="D13188" i="1"/>
  <c r="E13188" i="1"/>
  <c r="C13189" i="1"/>
  <c r="D13189" i="1"/>
  <c r="E13189" i="1"/>
  <c r="C13190" i="1"/>
  <c r="D13190" i="1"/>
  <c r="E13190" i="1"/>
  <c r="C13191" i="1"/>
  <c r="D13191" i="1"/>
  <c r="E13191" i="1"/>
  <c r="C13192" i="1"/>
  <c r="D13192" i="1"/>
  <c r="E13192" i="1"/>
  <c r="C13193" i="1"/>
  <c r="D13193" i="1"/>
  <c r="E13193" i="1"/>
  <c r="C13194" i="1"/>
  <c r="D13194" i="1"/>
  <c r="E13194" i="1"/>
  <c r="C13195" i="1"/>
  <c r="D13195" i="1"/>
  <c r="E13195" i="1"/>
  <c r="C13196" i="1"/>
  <c r="D13196" i="1"/>
  <c r="E13196" i="1"/>
  <c r="C13197" i="1"/>
  <c r="D13197" i="1"/>
  <c r="E13197" i="1"/>
  <c r="C13198" i="1"/>
  <c r="D13198" i="1"/>
  <c r="E13198" i="1"/>
  <c r="C13199" i="1"/>
  <c r="D13199" i="1"/>
  <c r="E13199" i="1"/>
  <c r="C13200" i="1"/>
  <c r="D13200" i="1"/>
  <c r="E13200" i="1"/>
  <c r="C13201" i="1"/>
  <c r="D13201" i="1"/>
  <c r="E13201" i="1"/>
  <c r="C13202" i="1"/>
  <c r="D13202" i="1"/>
  <c r="E13202" i="1"/>
  <c r="C13203" i="1"/>
  <c r="D13203" i="1"/>
  <c r="E13203" i="1"/>
  <c r="C13204" i="1"/>
  <c r="D13204" i="1"/>
  <c r="E13204" i="1"/>
  <c r="C13205" i="1"/>
  <c r="D13205" i="1"/>
  <c r="E13205" i="1"/>
  <c r="C13206" i="1"/>
  <c r="D13206" i="1"/>
  <c r="E13206" i="1"/>
  <c r="C13207" i="1"/>
  <c r="D13207" i="1"/>
  <c r="E13207" i="1"/>
  <c r="C13208" i="1"/>
  <c r="D13208" i="1"/>
  <c r="E13208" i="1"/>
  <c r="C13209" i="1"/>
  <c r="D13209" i="1"/>
  <c r="E13209" i="1"/>
  <c r="C13210" i="1"/>
  <c r="D13210" i="1"/>
  <c r="E13210" i="1"/>
  <c r="C13211" i="1"/>
  <c r="D13211" i="1"/>
  <c r="E13211" i="1"/>
  <c r="C13212" i="1"/>
  <c r="D13212" i="1"/>
  <c r="E13212" i="1"/>
  <c r="C13213" i="1"/>
  <c r="D13213" i="1"/>
  <c r="E13213" i="1"/>
  <c r="C13214" i="1"/>
  <c r="D13214" i="1"/>
  <c r="E13214" i="1"/>
  <c r="C13215" i="1"/>
  <c r="D13215" i="1"/>
  <c r="E13215" i="1"/>
  <c r="C13216" i="1"/>
  <c r="D13216" i="1"/>
  <c r="E13216" i="1"/>
  <c r="C13217" i="1"/>
  <c r="D13217" i="1"/>
  <c r="E13217" i="1"/>
  <c r="C13218" i="1"/>
  <c r="D13218" i="1"/>
  <c r="E13218" i="1"/>
  <c r="C13219" i="1"/>
  <c r="D13219" i="1"/>
  <c r="E13219" i="1"/>
  <c r="C13220" i="1"/>
  <c r="D13220" i="1"/>
  <c r="E13220" i="1"/>
  <c r="C13221" i="1"/>
  <c r="D13221" i="1"/>
  <c r="E13221" i="1"/>
  <c r="C13222" i="1"/>
  <c r="D13222" i="1"/>
  <c r="E13222" i="1"/>
  <c r="C13223" i="1"/>
  <c r="D13223" i="1"/>
  <c r="E13223" i="1"/>
  <c r="C13224" i="1"/>
  <c r="D13224" i="1"/>
  <c r="E13224" i="1"/>
  <c r="C13225" i="1"/>
  <c r="D13225" i="1"/>
  <c r="E13225" i="1"/>
  <c r="C13226" i="1"/>
  <c r="D13226" i="1"/>
  <c r="E13226" i="1"/>
  <c r="C13227" i="1"/>
  <c r="D13227" i="1"/>
  <c r="E13227" i="1"/>
  <c r="C13228" i="1"/>
  <c r="D13228" i="1"/>
  <c r="E13228" i="1"/>
  <c r="C13229" i="1"/>
  <c r="D13229" i="1"/>
  <c r="E13229" i="1"/>
  <c r="C13230" i="1"/>
  <c r="D13230" i="1"/>
  <c r="E13230" i="1"/>
  <c r="C13231" i="1"/>
  <c r="D13231" i="1"/>
  <c r="E13231" i="1"/>
  <c r="C13232" i="1"/>
  <c r="D13232" i="1"/>
  <c r="E13232" i="1"/>
  <c r="C13233" i="1"/>
  <c r="D13233" i="1"/>
  <c r="E13233" i="1"/>
  <c r="C13234" i="1"/>
  <c r="D13234" i="1"/>
  <c r="E13234" i="1"/>
  <c r="C13235" i="1"/>
  <c r="D13235" i="1"/>
  <c r="E13235" i="1"/>
  <c r="C13236" i="1"/>
  <c r="D13236" i="1"/>
  <c r="E13236" i="1"/>
  <c r="C13237" i="1"/>
  <c r="D13237" i="1"/>
  <c r="E13237" i="1"/>
  <c r="C13238" i="1"/>
  <c r="D13238" i="1"/>
  <c r="E13238" i="1"/>
  <c r="C13239" i="1"/>
  <c r="D13239" i="1"/>
  <c r="E13239" i="1"/>
  <c r="C13240" i="1"/>
  <c r="D13240" i="1"/>
  <c r="E13240" i="1"/>
  <c r="C13241" i="1"/>
  <c r="D13241" i="1"/>
  <c r="E13241" i="1"/>
  <c r="C13242" i="1"/>
  <c r="D13242" i="1"/>
  <c r="E13242" i="1"/>
  <c r="C13243" i="1"/>
  <c r="D13243" i="1"/>
  <c r="E13243" i="1"/>
  <c r="C13244" i="1"/>
  <c r="D13244" i="1"/>
  <c r="E13244" i="1"/>
  <c r="C13245" i="1"/>
  <c r="D13245" i="1"/>
  <c r="E13245" i="1"/>
  <c r="C13246" i="1"/>
  <c r="D13246" i="1"/>
  <c r="E13246" i="1"/>
  <c r="C13247" i="1"/>
  <c r="D13247" i="1"/>
  <c r="E13247" i="1"/>
  <c r="C13248" i="1"/>
  <c r="D13248" i="1"/>
  <c r="E13248" i="1"/>
  <c r="C13249" i="1"/>
  <c r="D13249" i="1"/>
  <c r="E13249" i="1"/>
  <c r="C13250" i="1"/>
  <c r="D13250" i="1"/>
  <c r="E13250" i="1"/>
  <c r="C13251" i="1"/>
  <c r="D13251" i="1"/>
  <c r="E13251" i="1"/>
  <c r="C13252" i="1"/>
  <c r="D13252" i="1"/>
  <c r="E13252" i="1"/>
  <c r="C13253" i="1"/>
  <c r="D13253" i="1"/>
  <c r="E13253" i="1"/>
  <c r="C13254" i="1"/>
  <c r="D13254" i="1"/>
  <c r="E13254" i="1"/>
  <c r="C13255" i="1"/>
  <c r="D13255" i="1"/>
  <c r="E13255" i="1"/>
  <c r="C13256" i="1"/>
  <c r="D13256" i="1"/>
  <c r="E13256" i="1"/>
  <c r="C13257" i="1"/>
  <c r="D13257" i="1"/>
  <c r="E13257" i="1"/>
  <c r="C13258" i="1"/>
  <c r="D13258" i="1"/>
  <c r="E13258" i="1"/>
  <c r="C13259" i="1"/>
  <c r="D13259" i="1"/>
  <c r="E13259" i="1"/>
  <c r="C13260" i="1"/>
  <c r="D13260" i="1"/>
  <c r="E13260" i="1"/>
  <c r="C13261" i="1"/>
  <c r="D13261" i="1"/>
  <c r="E13261" i="1"/>
  <c r="C13262" i="1"/>
  <c r="D13262" i="1"/>
  <c r="E13262" i="1"/>
  <c r="C13263" i="1"/>
  <c r="D13263" i="1"/>
  <c r="E13263" i="1"/>
  <c r="C13264" i="1"/>
  <c r="D13264" i="1"/>
  <c r="E13264" i="1"/>
  <c r="C13265" i="1"/>
  <c r="D13265" i="1"/>
  <c r="E13265" i="1"/>
  <c r="C13266" i="1"/>
  <c r="D13266" i="1"/>
  <c r="E13266" i="1"/>
  <c r="C13267" i="1"/>
  <c r="D13267" i="1"/>
  <c r="E13267" i="1"/>
  <c r="C13268" i="1"/>
  <c r="D13268" i="1"/>
  <c r="E13268" i="1"/>
  <c r="C13269" i="1"/>
  <c r="D13269" i="1"/>
  <c r="E13269" i="1"/>
  <c r="C13270" i="1"/>
  <c r="D13270" i="1"/>
  <c r="E13270" i="1"/>
  <c r="C13271" i="1"/>
  <c r="D13271" i="1"/>
  <c r="E13271" i="1"/>
  <c r="C13272" i="1"/>
  <c r="D13272" i="1"/>
  <c r="E13272" i="1"/>
  <c r="C13273" i="1"/>
  <c r="D13273" i="1"/>
  <c r="E13273" i="1"/>
  <c r="C13274" i="1"/>
  <c r="D13274" i="1"/>
  <c r="E13274" i="1"/>
  <c r="C13275" i="1"/>
  <c r="D13275" i="1"/>
  <c r="E13275" i="1"/>
  <c r="C13276" i="1"/>
  <c r="D13276" i="1"/>
  <c r="E13276" i="1"/>
  <c r="C13277" i="1"/>
  <c r="D13277" i="1"/>
  <c r="E13277" i="1"/>
  <c r="C13278" i="1"/>
  <c r="D13278" i="1"/>
  <c r="E13278" i="1"/>
  <c r="C13279" i="1"/>
  <c r="D13279" i="1"/>
  <c r="E13279" i="1"/>
  <c r="C13280" i="1"/>
  <c r="D13280" i="1"/>
  <c r="E13280" i="1"/>
  <c r="C13281" i="1"/>
  <c r="D13281" i="1"/>
  <c r="E13281" i="1"/>
  <c r="C13282" i="1"/>
  <c r="D13282" i="1"/>
  <c r="E13282" i="1"/>
  <c r="C13283" i="1"/>
  <c r="D13283" i="1"/>
  <c r="E13283" i="1"/>
  <c r="C13284" i="1"/>
  <c r="D13284" i="1"/>
  <c r="E13284" i="1"/>
  <c r="C13285" i="1"/>
  <c r="D13285" i="1"/>
  <c r="E13285" i="1"/>
  <c r="C13286" i="1"/>
  <c r="D13286" i="1"/>
  <c r="E13286" i="1"/>
  <c r="C13287" i="1"/>
  <c r="D13287" i="1"/>
  <c r="E13287" i="1"/>
  <c r="C13288" i="1"/>
  <c r="D13288" i="1"/>
  <c r="E13288" i="1"/>
  <c r="C13289" i="1"/>
  <c r="D13289" i="1"/>
  <c r="E13289" i="1"/>
  <c r="C13290" i="1"/>
  <c r="D13290" i="1"/>
  <c r="E13290" i="1"/>
  <c r="C13291" i="1"/>
  <c r="D13291" i="1"/>
  <c r="E13291" i="1"/>
  <c r="C13292" i="1"/>
  <c r="D13292" i="1"/>
  <c r="E13292" i="1"/>
  <c r="C13293" i="1"/>
  <c r="D13293" i="1"/>
  <c r="E13293" i="1"/>
  <c r="C13294" i="1"/>
  <c r="D13294" i="1"/>
  <c r="E13294" i="1"/>
  <c r="C13295" i="1"/>
  <c r="D13295" i="1"/>
  <c r="E13295" i="1"/>
  <c r="C13296" i="1"/>
  <c r="D13296" i="1"/>
  <c r="E13296" i="1"/>
  <c r="C13297" i="1"/>
  <c r="D13297" i="1"/>
  <c r="E13297" i="1"/>
  <c r="C13298" i="1"/>
  <c r="D13298" i="1"/>
  <c r="E13298" i="1"/>
  <c r="C13299" i="1"/>
  <c r="D13299" i="1"/>
  <c r="E13299" i="1"/>
  <c r="C13300" i="1"/>
  <c r="D13300" i="1"/>
  <c r="E13300" i="1"/>
  <c r="C13301" i="1"/>
  <c r="D13301" i="1"/>
  <c r="E13301" i="1"/>
  <c r="C13302" i="1"/>
  <c r="D13302" i="1"/>
  <c r="E13302" i="1"/>
  <c r="C13303" i="1"/>
  <c r="D13303" i="1"/>
  <c r="E13303" i="1"/>
  <c r="C13304" i="1"/>
  <c r="D13304" i="1"/>
  <c r="E13304" i="1"/>
  <c r="C13305" i="1"/>
  <c r="D13305" i="1"/>
  <c r="E13305" i="1"/>
  <c r="C13306" i="1"/>
  <c r="D13306" i="1"/>
  <c r="E13306" i="1"/>
  <c r="C13307" i="1"/>
  <c r="D13307" i="1"/>
  <c r="E13307" i="1"/>
  <c r="C13308" i="1"/>
  <c r="D13308" i="1"/>
  <c r="E13308" i="1"/>
  <c r="C13309" i="1"/>
  <c r="D13309" i="1"/>
  <c r="E13309" i="1"/>
  <c r="C13310" i="1"/>
  <c r="D13310" i="1"/>
  <c r="E13310" i="1"/>
  <c r="C13311" i="1"/>
  <c r="D13311" i="1"/>
  <c r="E13311" i="1"/>
  <c r="C13312" i="1"/>
  <c r="D13312" i="1"/>
  <c r="E13312" i="1"/>
  <c r="C13313" i="1"/>
  <c r="D13313" i="1"/>
  <c r="E13313" i="1"/>
  <c r="C13314" i="1"/>
  <c r="D13314" i="1"/>
  <c r="E13314" i="1"/>
  <c r="C13315" i="1"/>
  <c r="D13315" i="1"/>
  <c r="E13315" i="1"/>
  <c r="C13316" i="1"/>
  <c r="D13316" i="1"/>
  <c r="E13316" i="1"/>
  <c r="C13317" i="1"/>
  <c r="D13317" i="1"/>
  <c r="E13317" i="1"/>
  <c r="C13318" i="1"/>
  <c r="D13318" i="1"/>
  <c r="E13318" i="1"/>
  <c r="C13319" i="1"/>
  <c r="D13319" i="1"/>
  <c r="E13319" i="1"/>
  <c r="C13320" i="1"/>
  <c r="D13320" i="1"/>
  <c r="E13320" i="1"/>
  <c r="C13321" i="1"/>
  <c r="D13321" i="1"/>
  <c r="E13321" i="1"/>
  <c r="C13322" i="1"/>
  <c r="D13322" i="1"/>
  <c r="E13322" i="1"/>
  <c r="C13323" i="1"/>
  <c r="D13323" i="1"/>
  <c r="E13323" i="1"/>
  <c r="C13324" i="1"/>
  <c r="D13324" i="1"/>
  <c r="E13324" i="1"/>
  <c r="C13325" i="1"/>
  <c r="D13325" i="1"/>
  <c r="E13325" i="1"/>
  <c r="C13326" i="1"/>
  <c r="D13326" i="1"/>
  <c r="E13326" i="1"/>
  <c r="C13327" i="1"/>
  <c r="D13327" i="1"/>
  <c r="E13327" i="1"/>
  <c r="C13328" i="1"/>
  <c r="D13328" i="1"/>
  <c r="E13328" i="1"/>
  <c r="C13329" i="1"/>
  <c r="D13329" i="1"/>
  <c r="E13329" i="1"/>
  <c r="C13330" i="1"/>
  <c r="D13330" i="1"/>
  <c r="E13330" i="1"/>
  <c r="C13331" i="1"/>
  <c r="D13331" i="1"/>
  <c r="E13331" i="1"/>
  <c r="C13332" i="1"/>
  <c r="D13332" i="1"/>
  <c r="E13332" i="1"/>
  <c r="C13333" i="1"/>
  <c r="D13333" i="1"/>
  <c r="E13333" i="1"/>
  <c r="C13334" i="1"/>
  <c r="D13334" i="1"/>
  <c r="E13334" i="1"/>
  <c r="C13335" i="1"/>
  <c r="D13335" i="1"/>
  <c r="E13335" i="1"/>
  <c r="C13336" i="1"/>
  <c r="D13336" i="1"/>
  <c r="E13336" i="1"/>
  <c r="C13337" i="1"/>
  <c r="D13337" i="1"/>
  <c r="E13337" i="1"/>
  <c r="C13338" i="1"/>
  <c r="D13338" i="1"/>
  <c r="E13338" i="1"/>
  <c r="C13339" i="1"/>
  <c r="D13339" i="1"/>
  <c r="E13339" i="1"/>
  <c r="C13340" i="1"/>
  <c r="D13340" i="1"/>
  <c r="E13340" i="1"/>
  <c r="C13341" i="1"/>
  <c r="D13341" i="1"/>
  <c r="E13341" i="1"/>
  <c r="C13342" i="1"/>
  <c r="D13342" i="1"/>
  <c r="E13342" i="1"/>
  <c r="C13343" i="1"/>
  <c r="D13343" i="1"/>
  <c r="E13343" i="1"/>
  <c r="C13344" i="1"/>
  <c r="D13344" i="1"/>
  <c r="E13344" i="1"/>
  <c r="C13345" i="1"/>
  <c r="D13345" i="1"/>
  <c r="E13345" i="1"/>
  <c r="C13346" i="1"/>
  <c r="D13346" i="1"/>
  <c r="E13346" i="1"/>
  <c r="C13347" i="1"/>
  <c r="D13347" i="1"/>
  <c r="E13347" i="1"/>
  <c r="C13348" i="1"/>
  <c r="D13348" i="1"/>
  <c r="E13348" i="1"/>
  <c r="C13349" i="1"/>
  <c r="D13349" i="1"/>
  <c r="E13349" i="1"/>
  <c r="C13350" i="1"/>
  <c r="D13350" i="1"/>
  <c r="E13350" i="1"/>
  <c r="C13351" i="1"/>
  <c r="D13351" i="1"/>
  <c r="E13351" i="1"/>
  <c r="C13352" i="1"/>
  <c r="D13352" i="1"/>
  <c r="E13352" i="1"/>
  <c r="C13353" i="1"/>
  <c r="D13353" i="1"/>
  <c r="E13353" i="1"/>
  <c r="C13354" i="1"/>
  <c r="D13354" i="1"/>
  <c r="E13354" i="1"/>
  <c r="C13355" i="1"/>
  <c r="D13355" i="1"/>
  <c r="E13355" i="1"/>
  <c r="C13356" i="1"/>
  <c r="D13356" i="1"/>
  <c r="E13356" i="1"/>
  <c r="C13357" i="1"/>
  <c r="D13357" i="1"/>
  <c r="E13357" i="1"/>
  <c r="C13358" i="1"/>
  <c r="D13358" i="1"/>
  <c r="E13358" i="1"/>
  <c r="C13359" i="1"/>
  <c r="D13359" i="1"/>
  <c r="E13359" i="1"/>
  <c r="C13360" i="1"/>
  <c r="D13360" i="1"/>
  <c r="E13360" i="1"/>
  <c r="C13361" i="1"/>
  <c r="D13361" i="1"/>
  <c r="E13361" i="1"/>
  <c r="C13362" i="1"/>
  <c r="D13362" i="1"/>
  <c r="E13362" i="1"/>
  <c r="C13363" i="1"/>
  <c r="D13363" i="1"/>
  <c r="E13363" i="1"/>
  <c r="C13364" i="1"/>
  <c r="D13364" i="1"/>
  <c r="E13364" i="1"/>
  <c r="C13365" i="1"/>
  <c r="D13365" i="1"/>
  <c r="E13365" i="1"/>
  <c r="C13366" i="1"/>
  <c r="D13366" i="1"/>
  <c r="E13366" i="1"/>
  <c r="C13367" i="1"/>
  <c r="D13367" i="1"/>
  <c r="E13367" i="1"/>
  <c r="C13368" i="1"/>
  <c r="D13368" i="1"/>
  <c r="E13368" i="1"/>
  <c r="C13369" i="1"/>
  <c r="D13369" i="1"/>
  <c r="E13369" i="1"/>
  <c r="C13370" i="1"/>
  <c r="D13370" i="1"/>
  <c r="E13370" i="1"/>
  <c r="C13371" i="1"/>
  <c r="D13371" i="1"/>
  <c r="E13371" i="1"/>
  <c r="C13372" i="1"/>
  <c r="D13372" i="1"/>
  <c r="E13372" i="1"/>
  <c r="C13373" i="1"/>
  <c r="D13373" i="1"/>
  <c r="E13373" i="1"/>
  <c r="C13374" i="1"/>
  <c r="D13374" i="1"/>
  <c r="E13374" i="1"/>
  <c r="C13375" i="1"/>
  <c r="D13375" i="1"/>
  <c r="E13375" i="1"/>
  <c r="C13376" i="1"/>
  <c r="D13376" i="1"/>
  <c r="E13376" i="1"/>
  <c r="C13377" i="1"/>
  <c r="D13377" i="1"/>
  <c r="E13377" i="1"/>
  <c r="C13378" i="1"/>
  <c r="D13378" i="1"/>
  <c r="E13378" i="1"/>
  <c r="C13379" i="1"/>
  <c r="D13379" i="1"/>
  <c r="E13379" i="1"/>
  <c r="C13380" i="1"/>
  <c r="D13380" i="1"/>
  <c r="E13380" i="1"/>
  <c r="C13381" i="1"/>
  <c r="D13381" i="1"/>
  <c r="E13381" i="1"/>
  <c r="C13382" i="1"/>
  <c r="D13382" i="1"/>
  <c r="E13382" i="1"/>
  <c r="C13383" i="1"/>
  <c r="D13383" i="1"/>
  <c r="E13383" i="1"/>
  <c r="C13384" i="1"/>
  <c r="D13384" i="1"/>
  <c r="E13384" i="1"/>
  <c r="C13385" i="1"/>
  <c r="D13385" i="1"/>
  <c r="E13385" i="1"/>
  <c r="C13386" i="1"/>
  <c r="D13386" i="1"/>
  <c r="E13386" i="1"/>
  <c r="C13387" i="1"/>
  <c r="D13387" i="1"/>
  <c r="E13387" i="1"/>
  <c r="C13388" i="1"/>
  <c r="D13388" i="1"/>
  <c r="E13388" i="1"/>
  <c r="C13389" i="1"/>
  <c r="D13389" i="1"/>
  <c r="E13389" i="1"/>
  <c r="C13390" i="1"/>
  <c r="D13390" i="1"/>
  <c r="E13390" i="1"/>
  <c r="C13391" i="1"/>
  <c r="D13391" i="1"/>
  <c r="E13391" i="1"/>
  <c r="C13392" i="1"/>
  <c r="D13392" i="1"/>
  <c r="E13392" i="1"/>
  <c r="C13393" i="1"/>
  <c r="D13393" i="1"/>
  <c r="E13393" i="1"/>
  <c r="C13394" i="1"/>
  <c r="D13394" i="1"/>
  <c r="E13394" i="1"/>
  <c r="C13395" i="1"/>
  <c r="D13395" i="1"/>
  <c r="E13395" i="1"/>
  <c r="C13396" i="1"/>
  <c r="D13396" i="1"/>
  <c r="E13396" i="1"/>
  <c r="C13397" i="1"/>
  <c r="D13397" i="1"/>
  <c r="E13397" i="1"/>
  <c r="C13398" i="1"/>
  <c r="D13398" i="1"/>
  <c r="E13398" i="1"/>
  <c r="C13399" i="1"/>
  <c r="D13399" i="1"/>
  <c r="E13399" i="1"/>
  <c r="C13400" i="1"/>
  <c r="D13400" i="1"/>
  <c r="E13400" i="1"/>
  <c r="C13401" i="1"/>
  <c r="D13401" i="1"/>
  <c r="E13401" i="1"/>
  <c r="C13402" i="1"/>
  <c r="D13402" i="1"/>
  <c r="E13402" i="1"/>
  <c r="C13403" i="1"/>
  <c r="D13403" i="1"/>
  <c r="E13403" i="1"/>
  <c r="C13404" i="1"/>
  <c r="D13404" i="1"/>
  <c r="E13404" i="1"/>
  <c r="C13405" i="1"/>
  <c r="D13405" i="1"/>
  <c r="E13405" i="1"/>
  <c r="C13406" i="1"/>
  <c r="D13406" i="1"/>
  <c r="E13406" i="1"/>
  <c r="C13407" i="1"/>
  <c r="D13407" i="1"/>
  <c r="E13407" i="1"/>
  <c r="C13408" i="1"/>
  <c r="D13408" i="1"/>
  <c r="E13408" i="1"/>
  <c r="C13409" i="1"/>
  <c r="D13409" i="1"/>
  <c r="E13409" i="1"/>
  <c r="C13410" i="1"/>
  <c r="D13410" i="1"/>
  <c r="E13410" i="1"/>
  <c r="C13411" i="1"/>
  <c r="D13411" i="1"/>
  <c r="E13411" i="1"/>
  <c r="C13412" i="1"/>
  <c r="D13412" i="1"/>
  <c r="E13412" i="1"/>
  <c r="C13413" i="1"/>
  <c r="D13413" i="1"/>
  <c r="E13413" i="1"/>
  <c r="C13414" i="1"/>
  <c r="D13414" i="1"/>
  <c r="E13414" i="1"/>
  <c r="C13415" i="1"/>
  <c r="D13415" i="1"/>
  <c r="E13415" i="1"/>
  <c r="C13416" i="1"/>
  <c r="D13416" i="1"/>
  <c r="E13416" i="1"/>
  <c r="C13417" i="1"/>
  <c r="D13417" i="1"/>
  <c r="E13417" i="1"/>
  <c r="C13418" i="1"/>
  <c r="D13418" i="1"/>
  <c r="E13418" i="1"/>
  <c r="C13419" i="1"/>
  <c r="D13419" i="1"/>
  <c r="E13419" i="1"/>
  <c r="C13420" i="1"/>
  <c r="D13420" i="1"/>
  <c r="E13420" i="1"/>
  <c r="C13421" i="1"/>
  <c r="D13421" i="1"/>
  <c r="E13421" i="1"/>
  <c r="C13422" i="1"/>
  <c r="D13422" i="1"/>
  <c r="E13422" i="1"/>
  <c r="C13423" i="1"/>
  <c r="D13423" i="1"/>
  <c r="E13423" i="1"/>
  <c r="C13424" i="1"/>
  <c r="D13424" i="1"/>
  <c r="E13424" i="1"/>
  <c r="C13425" i="1"/>
  <c r="D13425" i="1"/>
  <c r="E13425" i="1"/>
  <c r="C13426" i="1"/>
  <c r="D13426" i="1"/>
  <c r="E13426" i="1"/>
  <c r="C13427" i="1"/>
  <c r="D13427" i="1"/>
  <c r="E13427" i="1"/>
  <c r="C13428" i="1"/>
  <c r="D13428" i="1"/>
  <c r="E13428" i="1"/>
  <c r="C13429" i="1"/>
  <c r="D13429" i="1"/>
  <c r="E13429" i="1"/>
  <c r="C13430" i="1"/>
  <c r="D13430" i="1"/>
  <c r="E13430" i="1"/>
  <c r="C13431" i="1"/>
  <c r="D13431" i="1"/>
  <c r="E13431" i="1"/>
  <c r="C13432" i="1"/>
  <c r="D13432" i="1"/>
  <c r="E13432" i="1"/>
  <c r="C13433" i="1"/>
  <c r="D13433" i="1"/>
  <c r="E13433" i="1"/>
  <c r="C13434" i="1"/>
  <c r="D13434" i="1"/>
  <c r="E13434" i="1"/>
  <c r="C13435" i="1"/>
  <c r="D13435" i="1"/>
  <c r="E13435" i="1"/>
  <c r="C13436" i="1"/>
  <c r="D13436" i="1"/>
  <c r="E13436" i="1"/>
  <c r="C13437" i="1"/>
  <c r="D13437" i="1"/>
  <c r="E13437" i="1"/>
  <c r="C13438" i="1"/>
  <c r="D13438" i="1"/>
  <c r="E13438" i="1"/>
  <c r="C13439" i="1"/>
  <c r="D13439" i="1"/>
  <c r="E13439" i="1"/>
  <c r="C13440" i="1"/>
  <c r="D13440" i="1"/>
  <c r="E13440" i="1"/>
  <c r="C13441" i="1"/>
  <c r="D13441" i="1"/>
  <c r="E13441" i="1"/>
  <c r="C13442" i="1"/>
  <c r="D13442" i="1"/>
  <c r="E13442" i="1"/>
  <c r="C13443" i="1"/>
  <c r="D13443" i="1"/>
  <c r="E13443" i="1"/>
  <c r="C13444" i="1"/>
  <c r="D13444" i="1"/>
  <c r="E13444" i="1"/>
  <c r="C13445" i="1"/>
  <c r="D13445" i="1"/>
  <c r="E13445" i="1"/>
  <c r="C13446" i="1"/>
  <c r="D13446" i="1"/>
  <c r="E13446" i="1"/>
  <c r="C13447" i="1"/>
  <c r="D13447" i="1"/>
  <c r="E13447" i="1"/>
  <c r="C13448" i="1"/>
  <c r="D13448" i="1"/>
  <c r="E13448" i="1"/>
  <c r="C13449" i="1"/>
  <c r="D13449" i="1"/>
  <c r="E13449" i="1"/>
  <c r="C13450" i="1"/>
  <c r="D13450" i="1"/>
  <c r="E13450" i="1"/>
  <c r="C13451" i="1"/>
  <c r="D13451" i="1"/>
  <c r="E13451" i="1"/>
  <c r="C13452" i="1"/>
  <c r="D13452" i="1"/>
  <c r="E13452" i="1"/>
  <c r="C13453" i="1"/>
  <c r="D13453" i="1"/>
  <c r="E13453" i="1"/>
  <c r="C13454" i="1"/>
  <c r="D13454" i="1"/>
  <c r="E13454" i="1"/>
  <c r="C13455" i="1"/>
  <c r="D13455" i="1"/>
  <c r="E13455" i="1"/>
  <c r="C13456" i="1"/>
  <c r="D13456" i="1"/>
  <c r="E13456" i="1"/>
  <c r="C13457" i="1"/>
  <c r="D13457" i="1"/>
  <c r="E13457" i="1"/>
  <c r="C13458" i="1"/>
  <c r="D13458" i="1"/>
  <c r="E13458" i="1"/>
  <c r="C13459" i="1"/>
  <c r="D13459" i="1"/>
  <c r="E13459" i="1"/>
  <c r="C13460" i="1"/>
  <c r="D13460" i="1"/>
  <c r="E13460" i="1"/>
  <c r="C13461" i="1"/>
  <c r="D13461" i="1"/>
  <c r="E13461" i="1"/>
  <c r="C13462" i="1"/>
  <c r="D13462" i="1"/>
  <c r="E13462" i="1"/>
  <c r="C13463" i="1"/>
  <c r="D13463" i="1"/>
  <c r="E13463" i="1"/>
  <c r="C13464" i="1"/>
  <c r="D13464" i="1"/>
  <c r="E13464" i="1"/>
  <c r="C13465" i="1"/>
  <c r="D13465" i="1"/>
  <c r="E13465" i="1"/>
  <c r="C13466" i="1"/>
  <c r="D13466" i="1"/>
  <c r="E13466" i="1"/>
  <c r="C13467" i="1"/>
  <c r="D13467" i="1"/>
  <c r="E13467" i="1"/>
  <c r="C13468" i="1"/>
  <c r="D13468" i="1"/>
  <c r="E13468" i="1"/>
  <c r="C13469" i="1"/>
  <c r="D13469" i="1"/>
  <c r="E13469" i="1"/>
  <c r="C13470" i="1"/>
  <c r="D13470" i="1"/>
  <c r="E13470" i="1"/>
  <c r="C13471" i="1"/>
  <c r="D13471" i="1"/>
  <c r="E13471" i="1"/>
  <c r="C13472" i="1"/>
  <c r="D13472" i="1"/>
  <c r="E13472" i="1"/>
  <c r="C13473" i="1"/>
  <c r="D13473" i="1"/>
  <c r="E13473" i="1"/>
  <c r="C13474" i="1"/>
  <c r="D13474" i="1"/>
  <c r="E13474" i="1"/>
  <c r="C13475" i="1"/>
  <c r="D13475" i="1"/>
  <c r="E13475" i="1"/>
  <c r="C13476" i="1"/>
  <c r="D13476" i="1"/>
  <c r="E13476" i="1"/>
  <c r="C13477" i="1"/>
  <c r="D13477" i="1"/>
  <c r="E13477" i="1"/>
  <c r="C13478" i="1"/>
  <c r="D13478" i="1"/>
  <c r="E13478" i="1"/>
  <c r="C13479" i="1"/>
  <c r="D13479" i="1"/>
  <c r="E13479" i="1"/>
  <c r="C13480" i="1"/>
  <c r="D13480" i="1"/>
  <c r="E13480" i="1"/>
  <c r="C13481" i="1"/>
  <c r="D13481" i="1"/>
  <c r="E13481" i="1"/>
  <c r="C13482" i="1"/>
  <c r="D13482" i="1"/>
  <c r="E13482" i="1"/>
  <c r="C13483" i="1"/>
  <c r="D13483" i="1"/>
  <c r="E13483" i="1"/>
  <c r="C13484" i="1"/>
  <c r="D13484" i="1"/>
  <c r="E13484" i="1"/>
  <c r="C13485" i="1"/>
  <c r="D13485" i="1"/>
  <c r="E13485" i="1"/>
  <c r="C13486" i="1"/>
  <c r="D13486" i="1"/>
  <c r="E13486" i="1"/>
  <c r="C13487" i="1"/>
  <c r="D13487" i="1"/>
  <c r="E13487" i="1"/>
  <c r="C13488" i="1"/>
  <c r="D13488" i="1"/>
  <c r="E13488" i="1"/>
  <c r="C13489" i="1"/>
  <c r="D13489" i="1"/>
  <c r="E13489" i="1"/>
  <c r="C13490" i="1"/>
  <c r="D13490" i="1"/>
  <c r="E13490" i="1"/>
  <c r="C13491" i="1"/>
  <c r="D13491" i="1"/>
  <c r="E13491" i="1"/>
  <c r="C13492" i="1"/>
  <c r="D13492" i="1"/>
  <c r="E13492" i="1"/>
  <c r="C13493" i="1"/>
  <c r="D13493" i="1"/>
  <c r="E13493" i="1"/>
  <c r="C13494" i="1"/>
  <c r="D13494" i="1"/>
  <c r="E13494" i="1"/>
  <c r="C13495" i="1"/>
  <c r="D13495" i="1"/>
  <c r="E13495" i="1"/>
  <c r="C13496" i="1"/>
  <c r="D13496" i="1"/>
  <c r="E13496" i="1"/>
  <c r="C13497" i="1"/>
  <c r="D13497" i="1"/>
  <c r="E13497" i="1"/>
  <c r="C13498" i="1"/>
  <c r="D13498" i="1"/>
  <c r="E13498" i="1"/>
  <c r="C13499" i="1"/>
  <c r="D13499" i="1"/>
  <c r="E13499" i="1"/>
  <c r="C13500" i="1"/>
  <c r="D13500" i="1"/>
  <c r="E13500" i="1"/>
  <c r="C13501" i="1"/>
  <c r="D13501" i="1"/>
  <c r="E13501" i="1"/>
  <c r="C13502" i="1"/>
  <c r="D13502" i="1"/>
  <c r="E13502" i="1"/>
  <c r="C13503" i="1"/>
  <c r="D13503" i="1"/>
  <c r="E13503" i="1"/>
  <c r="C13504" i="1"/>
  <c r="D13504" i="1"/>
  <c r="E13504" i="1"/>
  <c r="C13505" i="1"/>
  <c r="D13505" i="1"/>
  <c r="E13505" i="1"/>
  <c r="C13506" i="1"/>
  <c r="D13506" i="1"/>
  <c r="E13506" i="1"/>
  <c r="C13507" i="1"/>
  <c r="D13507" i="1"/>
  <c r="E13507" i="1"/>
  <c r="C13508" i="1"/>
  <c r="D13508" i="1"/>
  <c r="E13508" i="1"/>
  <c r="C13509" i="1"/>
  <c r="D13509" i="1"/>
  <c r="E13509" i="1"/>
  <c r="C13510" i="1"/>
  <c r="D13510" i="1"/>
  <c r="E13510" i="1"/>
  <c r="C13511" i="1"/>
  <c r="D13511" i="1"/>
  <c r="E13511" i="1"/>
  <c r="C13512" i="1"/>
  <c r="D13512" i="1"/>
  <c r="E13512" i="1"/>
  <c r="C13513" i="1"/>
  <c r="D13513" i="1"/>
  <c r="E13513" i="1"/>
  <c r="C13514" i="1"/>
  <c r="D13514" i="1"/>
  <c r="E13514" i="1"/>
  <c r="C13515" i="1"/>
  <c r="D13515" i="1"/>
  <c r="E13515" i="1"/>
  <c r="C13516" i="1"/>
  <c r="D13516" i="1"/>
  <c r="E13516" i="1"/>
  <c r="C13517" i="1"/>
  <c r="D13517" i="1"/>
  <c r="E13517" i="1"/>
  <c r="C13518" i="1"/>
  <c r="D13518" i="1"/>
  <c r="E13518" i="1"/>
  <c r="C13519" i="1"/>
  <c r="D13519" i="1"/>
  <c r="E13519" i="1"/>
  <c r="C13520" i="1"/>
  <c r="D13520" i="1"/>
  <c r="E13520" i="1"/>
  <c r="C13521" i="1"/>
  <c r="D13521" i="1"/>
  <c r="E13521" i="1"/>
  <c r="C13522" i="1"/>
  <c r="D13522" i="1"/>
  <c r="E13522" i="1"/>
  <c r="C13523" i="1"/>
  <c r="D13523" i="1"/>
  <c r="E13523" i="1"/>
  <c r="C13524" i="1"/>
  <c r="D13524" i="1"/>
  <c r="E13524" i="1"/>
  <c r="C13525" i="1"/>
  <c r="D13525" i="1"/>
  <c r="E13525" i="1"/>
  <c r="C13526" i="1"/>
  <c r="D13526" i="1"/>
  <c r="E13526" i="1"/>
  <c r="C13527" i="1"/>
  <c r="D13527" i="1"/>
  <c r="E13527" i="1"/>
  <c r="C13528" i="1"/>
  <c r="D13528" i="1"/>
  <c r="E13528" i="1"/>
  <c r="C13529" i="1"/>
  <c r="D13529" i="1"/>
  <c r="E13529" i="1"/>
  <c r="C13530" i="1"/>
  <c r="D13530" i="1"/>
  <c r="E13530" i="1"/>
  <c r="C13531" i="1"/>
  <c r="D13531" i="1"/>
  <c r="E13531" i="1"/>
  <c r="C13532" i="1"/>
  <c r="D13532" i="1"/>
  <c r="E13532" i="1"/>
  <c r="C13533" i="1"/>
  <c r="D13533" i="1"/>
  <c r="E13533" i="1"/>
  <c r="C13534" i="1"/>
  <c r="D13534" i="1"/>
  <c r="E13534" i="1"/>
  <c r="C13535" i="1"/>
  <c r="D13535" i="1"/>
  <c r="E13535" i="1"/>
  <c r="C13536" i="1"/>
  <c r="D13536" i="1"/>
  <c r="E13536" i="1"/>
  <c r="C13537" i="1"/>
  <c r="D13537" i="1"/>
  <c r="E13537" i="1"/>
  <c r="C13538" i="1"/>
  <c r="D13538" i="1"/>
  <c r="E13538" i="1"/>
  <c r="C13539" i="1"/>
  <c r="D13539" i="1"/>
  <c r="E13539" i="1"/>
  <c r="C13540" i="1"/>
  <c r="D13540" i="1"/>
  <c r="E13540" i="1"/>
  <c r="C13541" i="1"/>
  <c r="D13541" i="1"/>
  <c r="E13541" i="1"/>
  <c r="C13542" i="1"/>
  <c r="D13542" i="1"/>
  <c r="E13542" i="1"/>
  <c r="C13543" i="1"/>
  <c r="D13543" i="1"/>
  <c r="E13543" i="1"/>
  <c r="C13544" i="1"/>
  <c r="D13544" i="1"/>
  <c r="E13544" i="1"/>
  <c r="C13545" i="1"/>
  <c r="D13545" i="1"/>
  <c r="E13545" i="1"/>
  <c r="C13546" i="1"/>
  <c r="D13546" i="1"/>
  <c r="E13546" i="1"/>
  <c r="C13547" i="1"/>
  <c r="D13547" i="1"/>
  <c r="E13547" i="1"/>
  <c r="C13548" i="1"/>
  <c r="D13548" i="1"/>
  <c r="E13548" i="1"/>
  <c r="C13549" i="1"/>
  <c r="D13549" i="1"/>
  <c r="E13549" i="1"/>
  <c r="C13550" i="1"/>
  <c r="D13550" i="1"/>
  <c r="E13550" i="1"/>
  <c r="C13551" i="1"/>
  <c r="D13551" i="1"/>
  <c r="E13551" i="1"/>
  <c r="C13552" i="1"/>
  <c r="D13552" i="1"/>
  <c r="E13552" i="1"/>
  <c r="C13553" i="1"/>
  <c r="D13553" i="1"/>
  <c r="E13553" i="1"/>
  <c r="C13554" i="1"/>
  <c r="D13554" i="1"/>
  <c r="E13554" i="1"/>
  <c r="C13555" i="1"/>
  <c r="D13555" i="1"/>
  <c r="E13555" i="1"/>
  <c r="C13556" i="1"/>
  <c r="D13556" i="1"/>
  <c r="E13556" i="1"/>
  <c r="C13557" i="1"/>
  <c r="D13557" i="1"/>
  <c r="E13557" i="1"/>
  <c r="C13558" i="1"/>
  <c r="D13558" i="1"/>
  <c r="E13558" i="1"/>
  <c r="C13559" i="1"/>
  <c r="D13559" i="1"/>
  <c r="E13559" i="1"/>
  <c r="C13560" i="1"/>
  <c r="D13560" i="1"/>
  <c r="E13560" i="1"/>
  <c r="C13561" i="1"/>
  <c r="D13561" i="1"/>
  <c r="E13561" i="1"/>
  <c r="C13562" i="1"/>
  <c r="D13562" i="1"/>
  <c r="E13562" i="1"/>
  <c r="C13563" i="1"/>
  <c r="D13563" i="1"/>
  <c r="E13563" i="1"/>
  <c r="C13564" i="1"/>
  <c r="D13564" i="1"/>
  <c r="E13564" i="1"/>
  <c r="C13565" i="1"/>
  <c r="D13565" i="1"/>
  <c r="E13565" i="1"/>
  <c r="C13566" i="1"/>
  <c r="D13566" i="1"/>
  <c r="E13566" i="1"/>
  <c r="C13567" i="1"/>
  <c r="D13567" i="1"/>
  <c r="E13567" i="1"/>
  <c r="C13568" i="1"/>
  <c r="D13568" i="1"/>
  <c r="E13568" i="1"/>
  <c r="C13569" i="1"/>
  <c r="D13569" i="1"/>
  <c r="E13569" i="1"/>
  <c r="C13570" i="1"/>
  <c r="D13570" i="1"/>
  <c r="E13570" i="1"/>
  <c r="C13571" i="1"/>
  <c r="D13571" i="1"/>
  <c r="E13571" i="1"/>
  <c r="C13572" i="1"/>
  <c r="D13572" i="1"/>
  <c r="E13572" i="1"/>
  <c r="C13573" i="1"/>
  <c r="D13573" i="1"/>
  <c r="E13573" i="1"/>
  <c r="C13574" i="1"/>
  <c r="D13574" i="1"/>
  <c r="E13574" i="1"/>
  <c r="C13575" i="1"/>
  <c r="D13575" i="1"/>
  <c r="E13575" i="1"/>
  <c r="C13576" i="1"/>
  <c r="D13576" i="1"/>
  <c r="E13576" i="1"/>
  <c r="C13577" i="1"/>
  <c r="D13577" i="1"/>
  <c r="E13577" i="1"/>
  <c r="C13578" i="1"/>
  <c r="D13578" i="1"/>
  <c r="E13578" i="1"/>
  <c r="C13579" i="1"/>
  <c r="D13579" i="1"/>
  <c r="E13579" i="1"/>
  <c r="C13580" i="1"/>
  <c r="D13580" i="1"/>
  <c r="E13580" i="1"/>
  <c r="C13581" i="1"/>
  <c r="D13581" i="1"/>
  <c r="E13581" i="1"/>
  <c r="C13582" i="1"/>
  <c r="D13582" i="1"/>
  <c r="E13582" i="1"/>
  <c r="C13583" i="1"/>
  <c r="D13583" i="1"/>
  <c r="E13583" i="1"/>
  <c r="C13584" i="1"/>
  <c r="D13584" i="1"/>
  <c r="E13584" i="1"/>
  <c r="C13585" i="1"/>
  <c r="D13585" i="1"/>
  <c r="E13585" i="1"/>
  <c r="C13586" i="1"/>
  <c r="D13586" i="1"/>
  <c r="E13586" i="1"/>
  <c r="C13587" i="1"/>
  <c r="D13587" i="1"/>
  <c r="E13587" i="1"/>
  <c r="C13588" i="1"/>
  <c r="D13588" i="1"/>
  <c r="E13588" i="1"/>
  <c r="C13589" i="1"/>
  <c r="D13589" i="1"/>
  <c r="E13589" i="1"/>
  <c r="C13590" i="1"/>
  <c r="D13590" i="1"/>
  <c r="E13590" i="1"/>
  <c r="C13591" i="1"/>
  <c r="D13591" i="1"/>
  <c r="E13591" i="1"/>
  <c r="C13592" i="1"/>
  <c r="D13592" i="1"/>
  <c r="E13592" i="1"/>
  <c r="C13593" i="1"/>
  <c r="D13593" i="1"/>
  <c r="E13593" i="1"/>
  <c r="C13594" i="1"/>
  <c r="D13594" i="1"/>
  <c r="E13594" i="1"/>
  <c r="C13595" i="1"/>
  <c r="D13595" i="1"/>
  <c r="E13595" i="1"/>
  <c r="C13596" i="1"/>
  <c r="D13596" i="1"/>
  <c r="E13596" i="1"/>
  <c r="C13597" i="1"/>
  <c r="D13597" i="1"/>
  <c r="E13597" i="1"/>
  <c r="C13598" i="1"/>
  <c r="D13598" i="1"/>
  <c r="E13598" i="1"/>
  <c r="C13599" i="1"/>
  <c r="D13599" i="1"/>
  <c r="E13599" i="1"/>
  <c r="C13600" i="1"/>
  <c r="D13600" i="1"/>
  <c r="E13600" i="1"/>
  <c r="C13601" i="1"/>
  <c r="D13601" i="1"/>
  <c r="E13601" i="1"/>
  <c r="C13602" i="1"/>
  <c r="D13602" i="1"/>
  <c r="E13602" i="1"/>
  <c r="C13603" i="1"/>
  <c r="D13603" i="1"/>
  <c r="E13603" i="1"/>
  <c r="C13604" i="1"/>
  <c r="D13604" i="1"/>
  <c r="E13604" i="1"/>
  <c r="C13605" i="1"/>
  <c r="D13605" i="1"/>
  <c r="E13605" i="1"/>
  <c r="C13606" i="1"/>
  <c r="D13606" i="1"/>
  <c r="E13606" i="1"/>
  <c r="C13607" i="1"/>
  <c r="D13607" i="1"/>
  <c r="E13607" i="1"/>
  <c r="C13608" i="1"/>
  <c r="D13608" i="1"/>
  <c r="E13608" i="1"/>
  <c r="C13609" i="1"/>
  <c r="D13609" i="1"/>
  <c r="E13609" i="1"/>
  <c r="C13610" i="1"/>
  <c r="D13610" i="1"/>
  <c r="E13610" i="1"/>
  <c r="C13611" i="1"/>
  <c r="D13611" i="1"/>
  <c r="E13611" i="1"/>
  <c r="C13612" i="1"/>
  <c r="D13612" i="1"/>
  <c r="E13612" i="1"/>
  <c r="C13613" i="1"/>
  <c r="D13613" i="1"/>
  <c r="E13613" i="1"/>
  <c r="C13614" i="1"/>
  <c r="D13614" i="1"/>
  <c r="E13614" i="1"/>
  <c r="C13615" i="1"/>
  <c r="D13615" i="1"/>
  <c r="E13615" i="1"/>
  <c r="C13616" i="1"/>
  <c r="D13616" i="1"/>
  <c r="E13616" i="1"/>
  <c r="C13617" i="1"/>
  <c r="D13617" i="1"/>
  <c r="E13617" i="1"/>
  <c r="C13618" i="1"/>
  <c r="D13618" i="1"/>
  <c r="E13618" i="1"/>
  <c r="C13619" i="1"/>
  <c r="D13619" i="1"/>
  <c r="E13619" i="1"/>
  <c r="C13620" i="1"/>
  <c r="D13620" i="1"/>
  <c r="E13620" i="1"/>
  <c r="C13621" i="1"/>
  <c r="D13621" i="1"/>
  <c r="E13621" i="1"/>
  <c r="C13622" i="1"/>
  <c r="D13622" i="1"/>
  <c r="E13622" i="1"/>
  <c r="C13623" i="1"/>
  <c r="D13623" i="1"/>
  <c r="E13623" i="1"/>
  <c r="C13624" i="1"/>
  <c r="D13624" i="1"/>
  <c r="E13624" i="1"/>
  <c r="C13625" i="1"/>
  <c r="D13625" i="1"/>
  <c r="E13625" i="1"/>
  <c r="C13626" i="1"/>
  <c r="D13626" i="1"/>
  <c r="E13626" i="1"/>
  <c r="C13627" i="1"/>
  <c r="D13627" i="1"/>
  <c r="E13627" i="1"/>
  <c r="C13628" i="1"/>
  <c r="D13628" i="1"/>
  <c r="E13628" i="1"/>
  <c r="C13629" i="1"/>
  <c r="D13629" i="1"/>
  <c r="E13629" i="1"/>
  <c r="C13630" i="1"/>
  <c r="D13630" i="1"/>
  <c r="E13630" i="1"/>
  <c r="C13631" i="1"/>
  <c r="D13631" i="1"/>
  <c r="E13631" i="1"/>
  <c r="C13632" i="1"/>
  <c r="D13632" i="1"/>
  <c r="E13632" i="1"/>
  <c r="C13633" i="1"/>
  <c r="D13633" i="1"/>
  <c r="E13633" i="1"/>
  <c r="C13634" i="1"/>
  <c r="D13634" i="1"/>
  <c r="E13634" i="1"/>
  <c r="C13635" i="1"/>
  <c r="D13635" i="1"/>
  <c r="E13635" i="1"/>
  <c r="C13636" i="1"/>
  <c r="D13636" i="1"/>
  <c r="E13636" i="1"/>
  <c r="C13637" i="1"/>
  <c r="D13637" i="1"/>
  <c r="E13637" i="1"/>
  <c r="C13638" i="1"/>
  <c r="D13638" i="1"/>
  <c r="E13638" i="1"/>
  <c r="C13639" i="1"/>
  <c r="D13639" i="1"/>
  <c r="E13639" i="1"/>
  <c r="C13640" i="1"/>
  <c r="D13640" i="1"/>
  <c r="E13640" i="1"/>
  <c r="C13641" i="1"/>
  <c r="D13641" i="1"/>
  <c r="E13641" i="1"/>
  <c r="C13642" i="1"/>
  <c r="D13642" i="1"/>
  <c r="E13642" i="1"/>
  <c r="C13643" i="1"/>
  <c r="D13643" i="1"/>
  <c r="E13643" i="1"/>
  <c r="C13644" i="1"/>
  <c r="D13644" i="1"/>
  <c r="E13644" i="1"/>
  <c r="C13645" i="1"/>
  <c r="D13645" i="1"/>
  <c r="E13645" i="1"/>
  <c r="C13646" i="1"/>
  <c r="D13646" i="1"/>
  <c r="E13646" i="1"/>
  <c r="C13647" i="1"/>
  <c r="D13647" i="1"/>
  <c r="E13647" i="1"/>
  <c r="C13648" i="1"/>
  <c r="D13648" i="1"/>
  <c r="E13648" i="1"/>
  <c r="C13649" i="1"/>
  <c r="D13649" i="1"/>
  <c r="E13649" i="1"/>
  <c r="C13650" i="1"/>
  <c r="D13650" i="1"/>
  <c r="E13650" i="1"/>
  <c r="C13651" i="1"/>
  <c r="D13651" i="1"/>
  <c r="E13651" i="1"/>
  <c r="C13652" i="1"/>
  <c r="D13652" i="1"/>
  <c r="E13652" i="1"/>
  <c r="C13653" i="1"/>
  <c r="D13653" i="1"/>
  <c r="E13653" i="1"/>
  <c r="C13654" i="1"/>
  <c r="D13654" i="1"/>
  <c r="E13654" i="1"/>
  <c r="C13655" i="1"/>
  <c r="D13655" i="1"/>
  <c r="E13655" i="1"/>
  <c r="C13656" i="1"/>
  <c r="D13656" i="1"/>
  <c r="E13656" i="1"/>
  <c r="C13657" i="1"/>
  <c r="D13657" i="1"/>
  <c r="E13657" i="1"/>
  <c r="C13658" i="1"/>
  <c r="D13658" i="1"/>
  <c r="E13658" i="1"/>
  <c r="C13659" i="1"/>
  <c r="D13659" i="1"/>
  <c r="E13659" i="1"/>
  <c r="C13660" i="1"/>
  <c r="D13660" i="1"/>
  <c r="E13660" i="1"/>
  <c r="C13661" i="1"/>
  <c r="D13661" i="1"/>
  <c r="E13661" i="1"/>
  <c r="C13662" i="1"/>
  <c r="D13662" i="1"/>
  <c r="E13662" i="1"/>
  <c r="C13663" i="1"/>
  <c r="D13663" i="1"/>
  <c r="E13663" i="1"/>
  <c r="C13664" i="1"/>
  <c r="D13664" i="1"/>
  <c r="E13664" i="1"/>
  <c r="C13665" i="1"/>
  <c r="D13665" i="1"/>
  <c r="E13665" i="1"/>
  <c r="C13666" i="1"/>
  <c r="D13666" i="1"/>
  <c r="E13666" i="1"/>
  <c r="C13667" i="1"/>
  <c r="D13667" i="1"/>
  <c r="E13667" i="1"/>
  <c r="C13668" i="1"/>
  <c r="D13668" i="1"/>
  <c r="E13668" i="1"/>
  <c r="C13669" i="1"/>
  <c r="D13669" i="1"/>
  <c r="E13669" i="1"/>
  <c r="C13670" i="1"/>
  <c r="D13670" i="1"/>
  <c r="E13670" i="1"/>
  <c r="C13671" i="1"/>
  <c r="D13671" i="1"/>
  <c r="E13671" i="1"/>
  <c r="C13672" i="1"/>
  <c r="D13672" i="1"/>
  <c r="E13672" i="1"/>
  <c r="C13673" i="1"/>
  <c r="D13673" i="1"/>
  <c r="E13673" i="1"/>
  <c r="C13674" i="1"/>
  <c r="D13674" i="1"/>
  <c r="E13674" i="1"/>
  <c r="C13675" i="1"/>
  <c r="D13675" i="1"/>
  <c r="E13675" i="1"/>
  <c r="C13676" i="1"/>
  <c r="D13676" i="1"/>
  <c r="E13676" i="1"/>
  <c r="C13677" i="1"/>
  <c r="D13677" i="1"/>
  <c r="E13677" i="1"/>
  <c r="C13678" i="1"/>
  <c r="D13678" i="1"/>
  <c r="E13678" i="1"/>
  <c r="C13679" i="1"/>
  <c r="D13679" i="1"/>
  <c r="E13679" i="1"/>
  <c r="C13680" i="1"/>
  <c r="D13680" i="1"/>
  <c r="E13680" i="1"/>
  <c r="C13681" i="1"/>
  <c r="D13681" i="1"/>
  <c r="E13681" i="1"/>
  <c r="C13682" i="1"/>
  <c r="D13682" i="1"/>
  <c r="E13682" i="1"/>
  <c r="C13683" i="1"/>
  <c r="D13683" i="1"/>
  <c r="E13683" i="1"/>
  <c r="C13684" i="1"/>
  <c r="D13684" i="1"/>
  <c r="E13684" i="1"/>
  <c r="C13685" i="1"/>
  <c r="D13685" i="1"/>
  <c r="E13685" i="1"/>
  <c r="C13686" i="1"/>
  <c r="D13686" i="1"/>
  <c r="E13686" i="1"/>
  <c r="C13687" i="1"/>
  <c r="D13687" i="1"/>
  <c r="E13687" i="1"/>
  <c r="C13688" i="1"/>
  <c r="D13688" i="1"/>
  <c r="E13688" i="1"/>
  <c r="C13689" i="1"/>
  <c r="D13689" i="1"/>
  <c r="E13689" i="1"/>
  <c r="C13690" i="1"/>
  <c r="D13690" i="1"/>
  <c r="E13690" i="1"/>
  <c r="C13691" i="1"/>
  <c r="D13691" i="1"/>
  <c r="E13691" i="1"/>
  <c r="C13692" i="1"/>
  <c r="D13692" i="1"/>
  <c r="E13692" i="1"/>
  <c r="C13693" i="1"/>
  <c r="D13693" i="1"/>
  <c r="E13693" i="1"/>
  <c r="C13694" i="1"/>
  <c r="D13694" i="1"/>
  <c r="E13694" i="1"/>
  <c r="C13695" i="1"/>
  <c r="D13695" i="1"/>
  <c r="E13695" i="1"/>
  <c r="C13696" i="1"/>
  <c r="D13696" i="1"/>
  <c r="E13696" i="1"/>
  <c r="C13697" i="1"/>
  <c r="D13697" i="1"/>
  <c r="E13697" i="1"/>
  <c r="C13698" i="1"/>
  <c r="D13698" i="1"/>
  <c r="E13698" i="1"/>
  <c r="C13699" i="1"/>
  <c r="D13699" i="1"/>
  <c r="E13699" i="1"/>
  <c r="C13700" i="1"/>
  <c r="D13700" i="1"/>
  <c r="E13700" i="1"/>
  <c r="C13701" i="1"/>
  <c r="D13701" i="1"/>
  <c r="E13701" i="1"/>
  <c r="C13702" i="1"/>
  <c r="D13702" i="1"/>
  <c r="E13702" i="1"/>
  <c r="C13703" i="1"/>
  <c r="D13703" i="1"/>
  <c r="E13703" i="1"/>
  <c r="C13704" i="1"/>
  <c r="D13704" i="1"/>
  <c r="E13704" i="1"/>
  <c r="C13705" i="1"/>
  <c r="D13705" i="1"/>
  <c r="E13705" i="1"/>
  <c r="C13706" i="1"/>
  <c r="D13706" i="1"/>
  <c r="E13706" i="1"/>
  <c r="C13707" i="1"/>
  <c r="D13707" i="1"/>
  <c r="E13707" i="1"/>
  <c r="C13708" i="1"/>
  <c r="D13708" i="1"/>
  <c r="E13708" i="1"/>
  <c r="C13709" i="1"/>
  <c r="D13709" i="1"/>
  <c r="E13709" i="1"/>
  <c r="C13710" i="1"/>
  <c r="D13710" i="1"/>
  <c r="E13710" i="1"/>
  <c r="C13711" i="1"/>
  <c r="D13711" i="1"/>
  <c r="E13711" i="1"/>
  <c r="C13712" i="1"/>
  <c r="D13712" i="1"/>
  <c r="E13712" i="1"/>
  <c r="C13713" i="1"/>
  <c r="D13713" i="1"/>
  <c r="E13713" i="1"/>
  <c r="C13714" i="1"/>
  <c r="D13714" i="1"/>
  <c r="E13714" i="1"/>
  <c r="C13715" i="1"/>
  <c r="D13715" i="1"/>
  <c r="E13715" i="1"/>
  <c r="C13716" i="1"/>
  <c r="D13716" i="1"/>
  <c r="E13716" i="1"/>
  <c r="C13717" i="1"/>
  <c r="D13717" i="1"/>
  <c r="E13717" i="1"/>
  <c r="C13718" i="1"/>
  <c r="D13718" i="1"/>
  <c r="E13718" i="1"/>
  <c r="C13719" i="1"/>
  <c r="D13719" i="1"/>
  <c r="E13719" i="1"/>
  <c r="C13720" i="1"/>
  <c r="D13720" i="1"/>
  <c r="E13720" i="1"/>
  <c r="C13721" i="1"/>
  <c r="D13721" i="1"/>
  <c r="E13721" i="1"/>
  <c r="C13722" i="1"/>
  <c r="D13722" i="1"/>
  <c r="E13722" i="1"/>
  <c r="C13723" i="1"/>
  <c r="D13723" i="1"/>
  <c r="E13723" i="1"/>
  <c r="C13724" i="1"/>
  <c r="D13724" i="1"/>
  <c r="E13724" i="1"/>
  <c r="C13725" i="1"/>
  <c r="D13725" i="1"/>
  <c r="E13725" i="1"/>
  <c r="C13726" i="1"/>
  <c r="D13726" i="1"/>
  <c r="E13726" i="1"/>
  <c r="C13727" i="1"/>
  <c r="D13727" i="1"/>
  <c r="E13727" i="1"/>
  <c r="C13728" i="1"/>
  <c r="D13728" i="1"/>
  <c r="E13728" i="1"/>
  <c r="C13729" i="1"/>
  <c r="D13729" i="1"/>
  <c r="E13729" i="1"/>
  <c r="C13730" i="1"/>
  <c r="D13730" i="1"/>
  <c r="E13730" i="1"/>
  <c r="C13731" i="1"/>
  <c r="D13731" i="1"/>
  <c r="E13731" i="1"/>
  <c r="C13732" i="1"/>
  <c r="D13732" i="1"/>
  <c r="E13732" i="1"/>
  <c r="C13733" i="1"/>
  <c r="D13733" i="1"/>
  <c r="E13733" i="1"/>
  <c r="C13734" i="1"/>
  <c r="D13734" i="1"/>
  <c r="E13734" i="1"/>
  <c r="C13735" i="1"/>
  <c r="D13735" i="1"/>
  <c r="E13735" i="1"/>
  <c r="C13736" i="1"/>
  <c r="D13736" i="1"/>
  <c r="E13736" i="1"/>
  <c r="C13737" i="1"/>
  <c r="D13737" i="1"/>
  <c r="E13737" i="1"/>
  <c r="C13738" i="1"/>
  <c r="D13738" i="1"/>
  <c r="E13738" i="1"/>
  <c r="C13739" i="1"/>
  <c r="D13739" i="1"/>
  <c r="E13739" i="1"/>
  <c r="C13740" i="1"/>
  <c r="D13740" i="1"/>
  <c r="E13740" i="1"/>
  <c r="C13741" i="1"/>
  <c r="D13741" i="1"/>
  <c r="E13741" i="1"/>
  <c r="C13742" i="1"/>
  <c r="D13742" i="1"/>
  <c r="E13742" i="1"/>
  <c r="C13743" i="1"/>
  <c r="D13743" i="1"/>
  <c r="E13743" i="1"/>
  <c r="C13744" i="1"/>
  <c r="D13744" i="1"/>
  <c r="E13744" i="1"/>
  <c r="C13745" i="1"/>
  <c r="D13745" i="1"/>
  <c r="E13745" i="1"/>
  <c r="C13746" i="1"/>
  <c r="D13746" i="1"/>
  <c r="E13746" i="1"/>
  <c r="C13747" i="1"/>
  <c r="D13747" i="1"/>
  <c r="E13747" i="1"/>
  <c r="C13748" i="1"/>
  <c r="D13748" i="1"/>
  <c r="E13748" i="1"/>
  <c r="C13749" i="1"/>
  <c r="D13749" i="1"/>
  <c r="E13749" i="1"/>
  <c r="C13750" i="1"/>
  <c r="D13750" i="1"/>
  <c r="E13750" i="1"/>
  <c r="C13751" i="1"/>
  <c r="D13751" i="1"/>
  <c r="E13751" i="1"/>
  <c r="C13752" i="1"/>
  <c r="D13752" i="1"/>
  <c r="E13752" i="1"/>
  <c r="C13753" i="1"/>
  <c r="D13753" i="1"/>
  <c r="E13753" i="1"/>
  <c r="C13754" i="1"/>
  <c r="D13754" i="1"/>
  <c r="E13754" i="1"/>
  <c r="C13755" i="1"/>
  <c r="D13755" i="1"/>
  <c r="E13755" i="1"/>
  <c r="C13756" i="1"/>
  <c r="D13756" i="1"/>
  <c r="E13756" i="1"/>
  <c r="C13757" i="1"/>
  <c r="D13757" i="1"/>
  <c r="E13757" i="1"/>
  <c r="C13758" i="1"/>
  <c r="D13758" i="1"/>
  <c r="E13758" i="1"/>
  <c r="C13759" i="1"/>
  <c r="D13759" i="1"/>
  <c r="E13759" i="1"/>
  <c r="C13760" i="1"/>
  <c r="D13760" i="1"/>
  <c r="E13760" i="1"/>
  <c r="C13761" i="1"/>
  <c r="D13761" i="1"/>
  <c r="E13761" i="1"/>
  <c r="C13762" i="1"/>
  <c r="D13762" i="1"/>
  <c r="E13762" i="1"/>
  <c r="C13763" i="1"/>
  <c r="D13763" i="1"/>
  <c r="E13763" i="1"/>
  <c r="C13764" i="1"/>
  <c r="D13764" i="1"/>
  <c r="E13764" i="1"/>
  <c r="C13765" i="1"/>
  <c r="D13765" i="1"/>
  <c r="E13765" i="1"/>
  <c r="C13766" i="1"/>
  <c r="D13766" i="1"/>
  <c r="E13766" i="1"/>
  <c r="C13767" i="1"/>
  <c r="D13767" i="1"/>
  <c r="E13767" i="1"/>
  <c r="C13768" i="1"/>
  <c r="D13768" i="1"/>
  <c r="E13768" i="1"/>
  <c r="C13769" i="1"/>
  <c r="D13769" i="1"/>
  <c r="E13769" i="1"/>
  <c r="C13770" i="1"/>
  <c r="D13770" i="1"/>
  <c r="E13770" i="1"/>
  <c r="C13771" i="1"/>
  <c r="D13771" i="1"/>
  <c r="E13771" i="1"/>
  <c r="C13772" i="1"/>
  <c r="D13772" i="1"/>
  <c r="E13772" i="1"/>
  <c r="C13773" i="1"/>
  <c r="D13773" i="1"/>
  <c r="E13773" i="1"/>
  <c r="C13774" i="1"/>
  <c r="D13774" i="1"/>
  <c r="E13774" i="1"/>
  <c r="C13775" i="1"/>
  <c r="D13775" i="1"/>
  <c r="E13775" i="1"/>
  <c r="C13776" i="1"/>
  <c r="D13776" i="1"/>
  <c r="E13776" i="1"/>
  <c r="C13777" i="1"/>
  <c r="D13777" i="1"/>
  <c r="E13777" i="1"/>
  <c r="C13778" i="1"/>
  <c r="D13778" i="1"/>
  <c r="E13778" i="1"/>
  <c r="C13779" i="1"/>
  <c r="D13779" i="1"/>
  <c r="E13779" i="1"/>
  <c r="C13780" i="1"/>
  <c r="D13780" i="1"/>
  <c r="E13780" i="1"/>
  <c r="C13781" i="1"/>
  <c r="D13781" i="1"/>
  <c r="E13781" i="1"/>
  <c r="C13782" i="1"/>
  <c r="D13782" i="1"/>
  <c r="E13782" i="1"/>
  <c r="C13783" i="1"/>
  <c r="D13783" i="1"/>
  <c r="E13783" i="1"/>
  <c r="C13784" i="1"/>
  <c r="D13784" i="1"/>
  <c r="E13784" i="1"/>
  <c r="C13785" i="1"/>
  <c r="D13785" i="1"/>
  <c r="E13785" i="1"/>
  <c r="C13786" i="1"/>
  <c r="D13786" i="1"/>
  <c r="E13786" i="1"/>
  <c r="C13787" i="1"/>
  <c r="D13787" i="1"/>
  <c r="E13787" i="1"/>
  <c r="C13788" i="1"/>
  <c r="D13788" i="1"/>
  <c r="E13788" i="1"/>
  <c r="C13789" i="1"/>
  <c r="D13789" i="1"/>
  <c r="E13789" i="1"/>
  <c r="C13790" i="1"/>
  <c r="D13790" i="1"/>
  <c r="E13790" i="1"/>
  <c r="C13791" i="1"/>
  <c r="D13791" i="1"/>
  <c r="E13791" i="1"/>
  <c r="C13792" i="1"/>
  <c r="D13792" i="1"/>
  <c r="E13792" i="1"/>
  <c r="C13793" i="1"/>
  <c r="D13793" i="1"/>
  <c r="E13793" i="1"/>
  <c r="C13794" i="1"/>
  <c r="D13794" i="1"/>
  <c r="E13794" i="1"/>
  <c r="C13795" i="1"/>
  <c r="D13795" i="1"/>
  <c r="E13795" i="1"/>
  <c r="C13796" i="1"/>
  <c r="D13796" i="1"/>
  <c r="E13796" i="1"/>
  <c r="C13797" i="1"/>
  <c r="D13797" i="1"/>
  <c r="E13797" i="1"/>
  <c r="C13798" i="1"/>
  <c r="D13798" i="1"/>
  <c r="E13798" i="1"/>
  <c r="C13799" i="1"/>
  <c r="D13799" i="1"/>
  <c r="E13799" i="1"/>
  <c r="C13800" i="1"/>
  <c r="D13800" i="1"/>
  <c r="E13800" i="1"/>
  <c r="C13801" i="1"/>
  <c r="D13801" i="1"/>
  <c r="E13801" i="1"/>
  <c r="C13802" i="1"/>
  <c r="D13802" i="1"/>
  <c r="E13802" i="1"/>
  <c r="C13803" i="1"/>
  <c r="D13803" i="1"/>
  <c r="E13803" i="1"/>
  <c r="C13804" i="1"/>
  <c r="D13804" i="1"/>
  <c r="E13804" i="1"/>
  <c r="C13805" i="1"/>
  <c r="D13805" i="1"/>
  <c r="E13805" i="1"/>
  <c r="C13806" i="1"/>
  <c r="D13806" i="1"/>
  <c r="E13806" i="1"/>
  <c r="C13807" i="1"/>
  <c r="D13807" i="1"/>
  <c r="E13807" i="1"/>
  <c r="C13808" i="1"/>
  <c r="D13808" i="1"/>
  <c r="E13808" i="1"/>
  <c r="C13809" i="1"/>
  <c r="D13809" i="1"/>
  <c r="E13809" i="1"/>
  <c r="C13810" i="1"/>
  <c r="D13810" i="1"/>
  <c r="E13810" i="1"/>
  <c r="C13811" i="1"/>
  <c r="D13811" i="1"/>
  <c r="E13811" i="1"/>
  <c r="C13812" i="1"/>
  <c r="D13812" i="1"/>
  <c r="E13812" i="1"/>
  <c r="C13813" i="1"/>
  <c r="D13813" i="1"/>
  <c r="E13813" i="1"/>
  <c r="C13814" i="1"/>
  <c r="D13814" i="1"/>
  <c r="E13814" i="1"/>
  <c r="C13815" i="1"/>
  <c r="D13815" i="1"/>
  <c r="E13815" i="1"/>
  <c r="C13816" i="1"/>
  <c r="D13816" i="1"/>
  <c r="E13816" i="1"/>
  <c r="C13817" i="1"/>
  <c r="D13817" i="1"/>
  <c r="E13817" i="1"/>
  <c r="C13818" i="1"/>
  <c r="D13818" i="1"/>
  <c r="E13818" i="1"/>
  <c r="C13819" i="1"/>
  <c r="D13819" i="1"/>
  <c r="E13819" i="1"/>
  <c r="C13820" i="1"/>
  <c r="D13820" i="1"/>
  <c r="E13820" i="1"/>
  <c r="C13821" i="1"/>
  <c r="D13821" i="1"/>
  <c r="E13821" i="1"/>
  <c r="C13822" i="1"/>
  <c r="D13822" i="1"/>
  <c r="E13822" i="1"/>
  <c r="C13823" i="1"/>
  <c r="D13823" i="1"/>
  <c r="E13823" i="1"/>
  <c r="C13824" i="1"/>
  <c r="D13824" i="1"/>
  <c r="E13824" i="1"/>
  <c r="C13825" i="1"/>
  <c r="D13825" i="1"/>
  <c r="E13825" i="1"/>
  <c r="C13826" i="1"/>
  <c r="D13826" i="1"/>
  <c r="E13826" i="1"/>
  <c r="C13827" i="1"/>
  <c r="D13827" i="1"/>
  <c r="E13827" i="1"/>
  <c r="C13828" i="1"/>
  <c r="D13828" i="1"/>
  <c r="E13828" i="1"/>
  <c r="C13829" i="1"/>
  <c r="D13829" i="1"/>
  <c r="E13829" i="1"/>
  <c r="C13830" i="1"/>
  <c r="D13830" i="1"/>
  <c r="E13830" i="1"/>
  <c r="C13831" i="1"/>
  <c r="D13831" i="1"/>
  <c r="E13831" i="1"/>
  <c r="C13832" i="1"/>
  <c r="D13832" i="1"/>
  <c r="E13832" i="1"/>
  <c r="C13833" i="1"/>
  <c r="D13833" i="1"/>
  <c r="E13833" i="1"/>
  <c r="C13834" i="1"/>
  <c r="D13834" i="1"/>
  <c r="E13834" i="1"/>
  <c r="C13835" i="1"/>
  <c r="D13835" i="1"/>
  <c r="E13835" i="1"/>
  <c r="C13836" i="1"/>
  <c r="D13836" i="1"/>
  <c r="E13836" i="1"/>
  <c r="C13837" i="1"/>
  <c r="D13837" i="1"/>
  <c r="E13837" i="1"/>
  <c r="C13838" i="1"/>
  <c r="D13838" i="1"/>
  <c r="E13838" i="1"/>
  <c r="C13839" i="1"/>
  <c r="D13839" i="1"/>
  <c r="E13839" i="1"/>
  <c r="C13840" i="1"/>
  <c r="D13840" i="1"/>
  <c r="E13840" i="1"/>
  <c r="C13841" i="1"/>
  <c r="D13841" i="1"/>
  <c r="E13841" i="1"/>
  <c r="C13842" i="1"/>
  <c r="D13842" i="1"/>
  <c r="E13842" i="1"/>
  <c r="C13843" i="1"/>
  <c r="D13843" i="1"/>
  <c r="E13843" i="1"/>
  <c r="C13844" i="1"/>
  <c r="D13844" i="1"/>
  <c r="E13844" i="1"/>
  <c r="C13845" i="1"/>
  <c r="D13845" i="1"/>
  <c r="E13845" i="1"/>
  <c r="C13846" i="1"/>
  <c r="D13846" i="1"/>
  <c r="E13846" i="1"/>
  <c r="C13847" i="1"/>
  <c r="D13847" i="1"/>
  <c r="E13847" i="1"/>
  <c r="C13848" i="1"/>
  <c r="D13848" i="1"/>
  <c r="E13848" i="1"/>
  <c r="C13849" i="1"/>
  <c r="D13849" i="1"/>
  <c r="E13849" i="1"/>
  <c r="C13850" i="1"/>
  <c r="D13850" i="1"/>
  <c r="E13850" i="1"/>
  <c r="C13851" i="1"/>
  <c r="D13851" i="1"/>
  <c r="E13851" i="1"/>
  <c r="C13852" i="1"/>
  <c r="D13852" i="1"/>
  <c r="E13852" i="1"/>
  <c r="C13853" i="1"/>
  <c r="D13853" i="1"/>
  <c r="E13853" i="1"/>
  <c r="C13854" i="1"/>
  <c r="D13854" i="1"/>
  <c r="E13854" i="1"/>
  <c r="C13855" i="1"/>
  <c r="D13855" i="1"/>
  <c r="E13855" i="1"/>
  <c r="C13856" i="1"/>
  <c r="D13856" i="1"/>
  <c r="E13856" i="1"/>
  <c r="C13857" i="1"/>
  <c r="D13857" i="1"/>
  <c r="E13857" i="1"/>
  <c r="C13858" i="1"/>
  <c r="D13858" i="1"/>
  <c r="E13858" i="1"/>
  <c r="C13859" i="1"/>
  <c r="D13859" i="1"/>
  <c r="E13859" i="1"/>
  <c r="C13860" i="1"/>
  <c r="D13860" i="1"/>
  <c r="E13860" i="1"/>
  <c r="C13861" i="1"/>
  <c r="D13861" i="1"/>
  <c r="E13861" i="1"/>
  <c r="C13862" i="1"/>
  <c r="D13862" i="1"/>
  <c r="E13862" i="1"/>
  <c r="C13863" i="1"/>
  <c r="D13863" i="1"/>
  <c r="E13863" i="1"/>
  <c r="C13864" i="1"/>
  <c r="D13864" i="1"/>
  <c r="E13864" i="1"/>
  <c r="C13865" i="1"/>
  <c r="D13865" i="1"/>
  <c r="E13865" i="1"/>
  <c r="C13866" i="1"/>
  <c r="D13866" i="1"/>
  <c r="E13866" i="1"/>
  <c r="C13867" i="1"/>
  <c r="D13867" i="1"/>
  <c r="E13867" i="1"/>
  <c r="C13868" i="1"/>
  <c r="D13868" i="1"/>
  <c r="E13868" i="1"/>
  <c r="C13869" i="1"/>
  <c r="D13869" i="1"/>
  <c r="E13869" i="1"/>
  <c r="C13870" i="1"/>
  <c r="D13870" i="1"/>
  <c r="E13870" i="1"/>
  <c r="C13871" i="1"/>
  <c r="D13871" i="1"/>
  <c r="E13871" i="1"/>
  <c r="C13872" i="1"/>
  <c r="D13872" i="1"/>
  <c r="E13872" i="1"/>
  <c r="C13873" i="1"/>
  <c r="D13873" i="1"/>
  <c r="E13873" i="1"/>
  <c r="C13874" i="1"/>
  <c r="D13874" i="1"/>
  <c r="E13874" i="1"/>
  <c r="C13875" i="1"/>
  <c r="D13875" i="1"/>
  <c r="E13875" i="1"/>
  <c r="C13876" i="1"/>
  <c r="D13876" i="1"/>
  <c r="E13876" i="1"/>
  <c r="C13877" i="1"/>
  <c r="D13877" i="1"/>
  <c r="E13877" i="1"/>
  <c r="C13878" i="1"/>
  <c r="D13878" i="1"/>
  <c r="E13878" i="1"/>
  <c r="C13879" i="1"/>
  <c r="D13879" i="1"/>
  <c r="E13879" i="1"/>
  <c r="C13880" i="1"/>
  <c r="D13880" i="1"/>
  <c r="E13880" i="1"/>
  <c r="C13881" i="1"/>
  <c r="D13881" i="1"/>
  <c r="E13881" i="1"/>
  <c r="C13882" i="1"/>
  <c r="D13882" i="1"/>
  <c r="E13882" i="1"/>
  <c r="C13883" i="1"/>
  <c r="D13883" i="1"/>
  <c r="E13883" i="1"/>
  <c r="C13884" i="1"/>
  <c r="D13884" i="1"/>
  <c r="E13884" i="1"/>
  <c r="C13885" i="1"/>
  <c r="D13885" i="1"/>
  <c r="E13885" i="1"/>
  <c r="C13886" i="1"/>
  <c r="D13886" i="1"/>
  <c r="E13886" i="1"/>
  <c r="C13887" i="1"/>
  <c r="D13887" i="1"/>
  <c r="E13887" i="1"/>
  <c r="C13888" i="1"/>
  <c r="D13888" i="1"/>
  <c r="E13888" i="1"/>
  <c r="C13889" i="1"/>
  <c r="D13889" i="1"/>
  <c r="E13889" i="1"/>
  <c r="C13890" i="1"/>
  <c r="D13890" i="1"/>
  <c r="E13890" i="1"/>
  <c r="C13891" i="1"/>
  <c r="D13891" i="1"/>
  <c r="E13891" i="1"/>
  <c r="C13892" i="1"/>
  <c r="D13892" i="1"/>
  <c r="E13892" i="1"/>
  <c r="C13893" i="1"/>
  <c r="D13893" i="1"/>
  <c r="E13893" i="1"/>
  <c r="C13894" i="1"/>
  <c r="D13894" i="1"/>
  <c r="E13894" i="1"/>
  <c r="C13895" i="1"/>
  <c r="D13895" i="1"/>
  <c r="E13895" i="1"/>
  <c r="C13896" i="1"/>
  <c r="D13896" i="1"/>
  <c r="E13896" i="1"/>
  <c r="C13897" i="1"/>
  <c r="D13897" i="1"/>
  <c r="E13897" i="1"/>
  <c r="C13898" i="1"/>
  <c r="D13898" i="1"/>
  <c r="E13898" i="1"/>
  <c r="C13899" i="1"/>
  <c r="D13899" i="1"/>
  <c r="E13899" i="1"/>
  <c r="C13900" i="1"/>
  <c r="D13900" i="1"/>
  <c r="E13900" i="1"/>
  <c r="C13901" i="1"/>
  <c r="D13901" i="1"/>
  <c r="E13901" i="1"/>
  <c r="C13902" i="1"/>
  <c r="D13902" i="1"/>
  <c r="E13902" i="1"/>
  <c r="C13903" i="1"/>
  <c r="D13903" i="1"/>
  <c r="E13903" i="1"/>
  <c r="C13904" i="1"/>
  <c r="D13904" i="1"/>
  <c r="E13904" i="1"/>
  <c r="C13905" i="1"/>
  <c r="D13905" i="1"/>
  <c r="E13905" i="1"/>
  <c r="C13906" i="1"/>
  <c r="D13906" i="1"/>
  <c r="E13906" i="1"/>
  <c r="C13907" i="1"/>
  <c r="D13907" i="1"/>
  <c r="E13907" i="1"/>
  <c r="C13908" i="1"/>
  <c r="D13908" i="1"/>
  <c r="E13908" i="1"/>
  <c r="C13909" i="1"/>
  <c r="D13909" i="1"/>
  <c r="E13909" i="1"/>
  <c r="C13910" i="1"/>
  <c r="D13910" i="1"/>
  <c r="E13910" i="1"/>
  <c r="C13911" i="1"/>
  <c r="D13911" i="1"/>
  <c r="E13911" i="1"/>
  <c r="C13912" i="1"/>
  <c r="D13912" i="1"/>
  <c r="E13912" i="1"/>
  <c r="C13913" i="1"/>
  <c r="D13913" i="1"/>
  <c r="E13913" i="1"/>
  <c r="C13914" i="1"/>
  <c r="D13914" i="1"/>
  <c r="E13914" i="1"/>
  <c r="C13915" i="1"/>
  <c r="D13915" i="1"/>
  <c r="E13915" i="1"/>
  <c r="C13916" i="1"/>
  <c r="D13916" i="1"/>
  <c r="E13916" i="1"/>
  <c r="C13917" i="1"/>
  <c r="D13917" i="1"/>
  <c r="E13917" i="1"/>
  <c r="C13918" i="1"/>
  <c r="D13918" i="1"/>
  <c r="E13918" i="1"/>
  <c r="C13919" i="1"/>
  <c r="D13919" i="1"/>
  <c r="E13919" i="1"/>
  <c r="C13920" i="1"/>
  <c r="D13920" i="1"/>
  <c r="E13920" i="1"/>
  <c r="C13921" i="1"/>
  <c r="D13921" i="1"/>
  <c r="E13921" i="1"/>
  <c r="C13922" i="1"/>
  <c r="D13922" i="1"/>
  <c r="E13922" i="1"/>
  <c r="C13923" i="1"/>
  <c r="D13923" i="1"/>
  <c r="E13923" i="1"/>
  <c r="C13924" i="1"/>
  <c r="D13924" i="1"/>
  <c r="E13924" i="1"/>
  <c r="C13925" i="1"/>
  <c r="D13925" i="1"/>
  <c r="E13925" i="1"/>
  <c r="C13926" i="1"/>
  <c r="D13926" i="1"/>
  <c r="E13926" i="1"/>
  <c r="C13927" i="1"/>
  <c r="D13927" i="1"/>
  <c r="E13927" i="1"/>
  <c r="C13928" i="1"/>
  <c r="D13928" i="1"/>
  <c r="E13928" i="1"/>
  <c r="C13929" i="1"/>
  <c r="D13929" i="1"/>
  <c r="E13929" i="1"/>
  <c r="C13930" i="1"/>
  <c r="D13930" i="1"/>
  <c r="E13930" i="1"/>
  <c r="C13931" i="1"/>
  <c r="D13931" i="1"/>
  <c r="E13931" i="1"/>
  <c r="C13932" i="1"/>
  <c r="D13932" i="1"/>
  <c r="E13932" i="1"/>
  <c r="C13933" i="1"/>
  <c r="D13933" i="1"/>
  <c r="E13933" i="1"/>
  <c r="C13934" i="1"/>
  <c r="D13934" i="1"/>
  <c r="E13934" i="1"/>
  <c r="C13935" i="1"/>
  <c r="D13935" i="1"/>
  <c r="E13935" i="1"/>
  <c r="C13936" i="1"/>
  <c r="D13936" i="1"/>
  <c r="E13936" i="1"/>
  <c r="C13937" i="1"/>
  <c r="D13937" i="1"/>
  <c r="E13937" i="1"/>
  <c r="C13938" i="1"/>
  <c r="D13938" i="1"/>
  <c r="E13938" i="1"/>
  <c r="C13939" i="1"/>
  <c r="D13939" i="1"/>
  <c r="E13939" i="1"/>
  <c r="C13940" i="1"/>
  <c r="D13940" i="1"/>
  <c r="E13940" i="1"/>
  <c r="C13941" i="1"/>
  <c r="D13941" i="1"/>
  <c r="E13941" i="1"/>
  <c r="C13942" i="1"/>
  <c r="D13942" i="1"/>
  <c r="E13942" i="1"/>
  <c r="C13943" i="1"/>
  <c r="D13943" i="1"/>
  <c r="E13943" i="1"/>
  <c r="C13944" i="1"/>
  <c r="D13944" i="1"/>
  <c r="E13944" i="1"/>
  <c r="C13945" i="1"/>
  <c r="D13945" i="1"/>
  <c r="E13945" i="1"/>
  <c r="C13946" i="1"/>
  <c r="D13946" i="1"/>
  <c r="E13946" i="1"/>
  <c r="C13947" i="1"/>
  <c r="D13947" i="1"/>
  <c r="E13947" i="1"/>
  <c r="C13948" i="1"/>
  <c r="D13948" i="1"/>
  <c r="E13948" i="1"/>
  <c r="C13949" i="1"/>
  <c r="D13949" i="1"/>
  <c r="E13949" i="1"/>
  <c r="C13950" i="1"/>
  <c r="D13950" i="1"/>
  <c r="E13950" i="1"/>
  <c r="C13951" i="1"/>
  <c r="D13951" i="1"/>
  <c r="E13951" i="1"/>
  <c r="C13952" i="1"/>
  <c r="D13952" i="1"/>
  <c r="E13952" i="1"/>
  <c r="C13953" i="1"/>
  <c r="D13953" i="1"/>
  <c r="E13953" i="1"/>
  <c r="C13954" i="1"/>
  <c r="D13954" i="1"/>
  <c r="E13954" i="1"/>
  <c r="C13955" i="1"/>
  <c r="D13955" i="1"/>
  <c r="E13955" i="1"/>
  <c r="C13956" i="1"/>
  <c r="D13956" i="1"/>
  <c r="E13956" i="1"/>
  <c r="C13957" i="1"/>
  <c r="D13957" i="1"/>
  <c r="E13957" i="1"/>
  <c r="C13958" i="1"/>
  <c r="D13958" i="1"/>
  <c r="E13958" i="1"/>
  <c r="C13959" i="1"/>
  <c r="D13959" i="1"/>
  <c r="E13959" i="1"/>
  <c r="C13960" i="1"/>
  <c r="D13960" i="1"/>
  <c r="E13960" i="1"/>
  <c r="C13961" i="1"/>
  <c r="D13961" i="1"/>
  <c r="E13961" i="1"/>
  <c r="C13962" i="1"/>
  <c r="D13962" i="1"/>
  <c r="E13962" i="1"/>
  <c r="C13963" i="1"/>
  <c r="D13963" i="1"/>
  <c r="E13963" i="1"/>
  <c r="C13964" i="1"/>
  <c r="D13964" i="1"/>
  <c r="E13964" i="1"/>
  <c r="C13965" i="1"/>
  <c r="D13965" i="1"/>
  <c r="E13965" i="1"/>
  <c r="C13966" i="1"/>
  <c r="D13966" i="1"/>
  <c r="E13966" i="1"/>
  <c r="C13967" i="1"/>
  <c r="D13967" i="1"/>
  <c r="E13967" i="1"/>
  <c r="C13968" i="1"/>
  <c r="D13968" i="1"/>
  <c r="E13968" i="1"/>
  <c r="C13969" i="1"/>
  <c r="D13969" i="1"/>
  <c r="E13969" i="1"/>
  <c r="C13970" i="1"/>
  <c r="D13970" i="1"/>
  <c r="E13970" i="1"/>
  <c r="C13971" i="1"/>
  <c r="D13971" i="1"/>
  <c r="E13971" i="1"/>
  <c r="C13972" i="1"/>
  <c r="D13972" i="1"/>
  <c r="E13972" i="1"/>
  <c r="C13973" i="1"/>
  <c r="D13973" i="1"/>
  <c r="E13973" i="1"/>
  <c r="C13974" i="1"/>
  <c r="D13974" i="1"/>
  <c r="E13974" i="1"/>
  <c r="C13975" i="1"/>
  <c r="D13975" i="1"/>
  <c r="E13975" i="1"/>
  <c r="C13976" i="1"/>
  <c r="D13976" i="1"/>
  <c r="E13976" i="1"/>
  <c r="C13977" i="1"/>
  <c r="D13977" i="1"/>
  <c r="E13977" i="1"/>
  <c r="C13978" i="1"/>
  <c r="D13978" i="1"/>
  <c r="E13978" i="1"/>
  <c r="C13979" i="1"/>
  <c r="D13979" i="1"/>
  <c r="E13979" i="1"/>
  <c r="C13980" i="1"/>
  <c r="D13980" i="1"/>
  <c r="E13980" i="1"/>
  <c r="C13981" i="1"/>
  <c r="D13981" i="1"/>
  <c r="E13981" i="1"/>
  <c r="C13982" i="1"/>
  <c r="D13982" i="1"/>
  <c r="E13982" i="1"/>
  <c r="C13983" i="1"/>
  <c r="D13983" i="1"/>
  <c r="E13983" i="1"/>
  <c r="C13984" i="1"/>
  <c r="D13984" i="1"/>
  <c r="E13984" i="1"/>
  <c r="C13985" i="1"/>
  <c r="D13985" i="1"/>
  <c r="E13985" i="1"/>
  <c r="C13986" i="1"/>
  <c r="D13986" i="1"/>
  <c r="E13986" i="1"/>
  <c r="C13987" i="1"/>
  <c r="D13987" i="1"/>
  <c r="E13987" i="1"/>
  <c r="C13988" i="1"/>
  <c r="D13988" i="1"/>
  <c r="E13988" i="1"/>
  <c r="C13989" i="1"/>
  <c r="D13989" i="1"/>
  <c r="E13989" i="1"/>
  <c r="C13990" i="1"/>
  <c r="D13990" i="1"/>
  <c r="E13990" i="1"/>
  <c r="C13991" i="1"/>
  <c r="D13991" i="1"/>
  <c r="E13991" i="1"/>
  <c r="C13992" i="1"/>
  <c r="D13992" i="1"/>
  <c r="E13992" i="1"/>
  <c r="C13993" i="1"/>
  <c r="D13993" i="1"/>
  <c r="E13993" i="1"/>
  <c r="C13994" i="1"/>
  <c r="D13994" i="1"/>
  <c r="E13994" i="1"/>
  <c r="C13995" i="1"/>
  <c r="D13995" i="1"/>
  <c r="E13995" i="1"/>
  <c r="C13996" i="1"/>
  <c r="D13996" i="1"/>
  <c r="E13996" i="1"/>
  <c r="C13997" i="1"/>
  <c r="D13997" i="1"/>
  <c r="E13997" i="1"/>
  <c r="C13998" i="1"/>
  <c r="D13998" i="1"/>
  <c r="E13998" i="1"/>
  <c r="C13999" i="1"/>
  <c r="D13999" i="1"/>
  <c r="E13999" i="1"/>
  <c r="C14000" i="1"/>
  <c r="D14000" i="1"/>
  <c r="E14000" i="1"/>
  <c r="C14001" i="1"/>
  <c r="D14001" i="1"/>
  <c r="E14001" i="1"/>
  <c r="C14002" i="1"/>
  <c r="D14002" i="1"/>
  <c r="E14002" i="1"/>
  <c r="C14003" i="1"/>
  <c r="D14003" i="1"/>
  <c r="E14003" i="1"/>
  <c r="C14004" i="1"/>
  <c r="D14004" i="1"/>
  <c r="E14004" i="1"/>
  <c r="C14005" i="1"/>
  <c r="D14005" i="1"/>
  <c r="E14005" i="1"/>
  <c r="C14006" i="1"/>
  <c r="D14006" i="1"/>
  <c r="E14006" i="1"/>
  <c r="C14007" i="1"/>
  <c r="D14007" i="1"/>
  <c r="E14007" i="1"/>
  <c r="C14008" i="1"/>
  <c r="D14008" i="1"/>
  <c r="E14008" i="1"/>
  <c r="C14009" i="1"/>
  <c r="D14009" i="1"/>
  <c r="E14009" i="1"/>
  <c r="C14010" i="1"/>
  <c r="D14010" i="1"/>
  <c r="E14010" i="1"/>
  <c r="C14011" i="1"/>
  <c r="D14011" i="1"/>
  <c r="E14011" i="1"/>
  <c r="C14012" i="1"/>
  <c r="D14012" i="1"/>
  <c r="E14012" i="1"/>
  <c r="C14013" i="1"/>
  <c r="D14013" i="1"/>
  <c r="E14013" i="1"/>
  <c r="C14014" i="1"/>
  <c r="D14014" i="1"/>
  <c r="E14014" i="1"/>
  <c r="C14015" i="1"/>
  <c r="D14015" i="1"/>
  <c r="E14015" i="1"/>
  <c r="C14016" i="1"/>
  <c r="D14016" i="1"/>
  <c r="E14016" i="1"/>
  <c r="C14017" i="1"/>
  <c r="D14017" i="1"/>
  <c r="E14017" i="1"/>
  <c r="C14018" i="1"/>
  <c r="D14018" i="1"/>
  <c r="E14018" i="1"/>
  <c r="C14019" i="1"/>
  <c r="D14019" i="1"/>
  <c r="E14019" i="1"/>
  <c r="C14020" i="1"/>
  <c r="D14020" i="1"/>
  <c r="E14020" i="1"/>
  <c r="C14021" i="1"/>
  <c r="D14021" i="1"/>
  <c r="E14021" i="1"/>
  <c r="C14022" i="1"/>
  <c r="D14022" i="1"/>
  <c r="E14022" i="1"/>
  <c r="C14023" i="1"/>
  <c r="D14023" i="1"/>
  <c r="E14023" i="1"/>
  <c r="C14024" i="1"/>
  <c r="D14024" i="1"/>
  <c r="E14024" i="1"/>
  <c r="C14025" i="1"/>
  <c r="D14025" i="1"/>
  <c r="E14025" i="1"/>
  <c r="C14026" i="1"/>
  <c r="D14026" i="1"/>
  <c r="E14026" i="1"/>
  <c r="C14027" i="1"/>
  <c r="D14027" i="1"/>
  <c r="E14027" i="1"/>
  <c r="C14028" i="1"/>
  <c r="D14028" i="1"/>
  <c r="E14028" i="1"/>
  <c r="C14029" i="1"/>
  <c r="D14029" i="1"/>
  <c r="E14029" i="1"/>
  <c r="C14030" i="1"/>
  <c r="D14030" i="1"/>
  <c r="E14030" i="1"/>
  <c r="C14031" i="1"/>
  <c r="D14031" i="1"/>
  <c r="E14031" i="1"/>
  <c r="C14032" i="1"/>
  <c r="D14032" i="1"/>
  <c r="E14032" i="1"/>
  <c r="C14033" i="1"/>
  <c r="D14033" i="1"/>
  <c r="E14033" i="1"/>
  <c r="C14034" i="1"/>
  <c r="D14034" i="1"/>
  <c r="E14034" i="1"/>
  <c r="C14035" i="1"/>
  <c r="D14035" i="1"/>
  <c r="E14035" i="1"/>
  <c r="C14036" i="1"/>
  <c r="D14036" i="1"/>
  <c r="E14036" i="1"/>
  <c r="C14037" i="1"/>
  <c r="D14037" i="1"/>
  <c r="E14037" i="1"/>
  <c r="C14038" i="1"/>
  <c r="D14038" i="1"/>
  <c r="E14038" i="1"/>
  <c r="C14039" i="1"/>
  <c r="D14039" i="1"/>
  <c r="E14039" i="1"/>
  <c r="C14040" i="1"/>
  <c r="D14040" i="1"/>
  <c r="E14040" i="1"/>
  <c r="C14041" i="1"/>
  <c r="D14041" i="1"/>
  <c r="E14041" i="1"/>
  <c r="C14042" i="1"/>
  <c r="D14042" i="1"/>
  <c r="E14042" i="1"/>
  <c r="C14043" i="1"/>
  <c r="D14043" i="1"/>
  <c r="E14043" i="1"/>
  <c r="C14044" i="1"/>
  <c r="D14044" i="1"/>
  <c r="E14044" i="1"/>
  <c r="C14045" i="1"/>
  <c r="D14045" i="1"/>
  <c r="E14045" i="1"/>
  <c r="C14046" i="1"/>
  <c r="D14046" i="1"/>
  <c r="E14046" i="1"/>
  <c r="C14047" i="1"/>
  <c r="D14047" i="1"/>
  <c r="E14047" i="1"/>
  <c r="C14048" i="1"/>
  <c r="D14048" i="1"/>
  <c r="E14048" i="1"/>
  <c r="C14049" i="1"/>
  <c r="D14049" i="1"/>
  <c r="E14049" i="1"/>
  <c r="C14050" i="1"/>
  <c r="D14050" i="1"/>
  <c r="E14050" i="1"/>
  <c r="C14051" i="1"/>
  <c r="D14051" i="1"/>
  <c r="E14051" i="1"/>
  <c r="C14052" i="1"/>
  <c r="D14052" i="1"/>
  <c r="E14052" i="1"/>
  <c r="C14053" i="1"/>
  <c r="D14053" i="1"/>
  <c r="E14053" i="1"/>
  <c r="C14054" i="1"/>
  <c r="D14054" i="1"/>
  <c r="E14054" i="1"/>
  <c r="C14055" i="1"/>
  <c r="D14055" i="1"/>
  <c r="E14055" i="1"/>
  <c r="C14056" i="1"/>
  <c r="D14056" i="1"/>
  <c r="E14056" i="1"/>
  <c r="C14057" i="1"/>
  <c r="D14057" i="1"/>
  <c r="E14057" i="1"/>
  <c r="C14058" i="1"/>
  <c r="D14058" i="1"/>
  <c r="E14058" i="1"/>
  <c r="C14059" i="1"/>
  <c r="D14059" i="1"/>
  <c r="E14059" i="1"/>
  <c r="C14060" i="1"/>
  <c r="D14060" i="1"/>
  <c r="E14060" i="1"/>
  <c r="C14061" i="1"/>
  <c r="D14061" i="1"/>
  <c r="E14061" i="1"/>
  <c r="C14062" i="1"/>
  <c r="D14062" i="1"/>
  <c r="E14062" i="1"/>
  <c r="C14063" i="1"/>
  <c r="D14063" i="1"/>
  <c r="E14063" i="1"/>
  <c r="C14064" i="1"/>
  <c r="D14064" i="1"/>
  <c r="E14064" i="1"/>
  <c r="C14065" i="1"/>
  <c r="D14065" i="1"/>
  <c r="E14065" i="1"/>
  <c r="C14066" i="1"/>
  <c r="D14066" i="1"/>
  <c r="E14066" i="1"/>
  <c r="C14067" i="1"/>
  <c r="D14067" i="1"/>
  <c r="E14067" i="1"/>
  <c r="C14068" i="1"/>
  <c r="D14068" i="1"/>
  <c r="E14068" i="1"/>
  <c r="C14069" i="1"/>
  <c r="D14069" i="1"/>
  <c r="E14069" i="1"/>
  <c r="C14070" i="1"/>
  <c r="D14070" i="1"/>
  <c r="E14070" i="1"/>
  <c r="C14071" i="1"/>
  <c r="D14071" i="1"/>
  <c r="E14071" i="1"/>
  <c r="C14072" i="1"/>
  <c r="D14072" i="1"/>
  <c r="E14072" i="1"/>
  <c r="C14073" i="1"/>
  <c r="D14073" i="1"/>
  <c r="E14073" i="1"/>
  <c r="C14074" i="1"/>
  <c r="D14074" i="1"/>
  <c r="E14074" i="1"/>
  <c r="C14075" i="1"/>
  <c r="D14075" i="1"/>
  <c r="E14075" i="1"/>
  <c r="C14076" i="1"/>
  <c r="D14076" i="1"/>
  <c r="E14076" i="1"/>
  <c r="C14077" i="1"/>
  <c r="D14077" i="1"/>
  <c r="E14077" i="1"/>
  <c r="C14078" i="1"/>
  <c r="D14078" i="1"/>
  <c r="E14078" i="1"/>
  <c r="C14079" i="1"/>
  <c r="D14079" i="1"/>
  <c r="E14079" i="1"/>
  <c r="C14080" i="1"/>
  <c r="D14080" i="1"/>
  <c r="E14080" i="1"/>
  <c r="C14081" i="1"/>
  <c r="D14081" i="1"/>
  <c r="E14081" i="1"/>
  <c r="C14082" i="1"/>
  <c r="D14082" i="1"/>
  <c r="E14082" i="1"/>
  <c r="C14083" i="1"/>
  <c r="D14083" i="1"/>
  <c r="E14083" i="1"/>
  <c r="C14084" i="1"/>
  <c r="D14084" i="1"/>
  <c r="E14084" i="1"/>
  <c r="C14085" i="1"/>
  <c r="D14085" i="1"/>
  <c r="E14085" i="1"/>
  <c r="C14086" i="1"/>
  <c r="D14086" i="1"/>
  <c r="E14086" i="1"/>
  <c r="C14087" i="1"/>
  <c r="D14087" i="1"/>
  <c r="E14087" i="1"/>
  <c r="C14088" i="1"/>
  <c r="D14088" i="1"/>
  <c r="E14088" i="1"/>
  <c r="C14089" i="1"/>
  <c r="D14089" i="1"/>
  <c r="E14089" i="1"/>
  <c r="C14090" i="1"/>
  <c r="D14090" i="1"/>
  <c r="E14090" i="1"/>
  <c r="C14091" i="1"/>
  <c r="D14091" i="1"/>
  <c r="E14091" i="1"/>
  <c r="C14092" i="1"/>
  <c r="D14092" i="1"/>
  <c r="E14092" i="1"/>
  <c r="C14093" i="1"/>
  <c r="D14093" i="1"/>
  <c r="E14093" i="1"/>
  <c r="C14094" i="1"/>
  <c r="D14094" i="1"/>
  <c r="E14094" i="1"/>
  <c r="C14095" i="1"/>
  <c r="D14095" i="1"/>
  <c r="E14095" i="1"/>
  <c r="C14096" i="1"/>
  <c r="D14096" i="1"/>
  <c r="E14096" i="1"/>
  <c r="C14097" i="1"/>
  <c r="D14097" i="1"/>
  <c r="E14097" i="1"/>
  <c r="C14098" i="1"/>
  <c r="D14098" i="1"/>
  <c r="E14098" i="1"/>
  <c r="C14099" i="1"/>
  <c r="D14099" i="1"/>
  <c r="E14099" i="1"/>
  <c r="C14100" i="1"/>
  <c r="D14100" i="1"/>
  <c r="E14100" i="1"/>
  <c r="C14101" i="1"/>
  <c r="D14101" i="1"/>
  <c r="E14101" i="1"/>
  <c r="C14102" i="1"/>
  <c r="D14102" i="1"/>
  <c r="E14102" i="1"/>
  <c r="C14103" i="1"/>
  <c r="D14103" i="1"/>
  <c r="E14103" i="1"/>
  <c r="C14104" i="1"/>
  <c r="D14104" i="1"/>
  <c r="E14104" i="1"/>
  <c r="C14105" i="1"/>
  <c r="D14105" i="1"/>
  <c r="E14105" i="1"/>
  <c r="C14106" i="1"/>
  <c r="D14106" i="1"/>
  <c r="E14106" i="1"/>
  <c r="C14107" i="1"/>
  <c r="D14107" i="1"/>
  <c r="E14107" i="1"/>
  <c r="C14108" i="1"/>
  <c r="D14108" i="1"/>
  <c r="E14108" i="1"/>
  <c r="C14109" i="1"/>
  <c r="D14109" i="1"/>
  <c r="E14109" i="1"/>
  <c r="C14110" i="1"/>
  <c r="D14110" i="1"/>
  <c r="E14110" i="1"/>
  <c r="C14111" i="1"/>
  <c r="D14111" i="1"/>
  <c r="E14111" i="1"/>
  <c r="C14112" i="1"/>
  <c r="D14112" i="1"/>
  <c r="E14112" i="1"/>
  <c r="C14113" i="1"/>
  <c r="D14113" i="1"/>
  <c r="E14113" i="1"/>
  <c r="C14114" i="1"/>
  <c r="D14114" i="1"/>
  <c r="E14114" i="1"/>
  <c r="C14115" i="1"/>
  <c r="D14115" i="1"/>
  <c r="E14115" i="1"/>
  <c r="C14116" i="1"/>
  <c r="D14116" i="1"/>
  <c r="E14116" i="1"/>
  <c r="C14117" i="1"/>
  <c r="D14117" i="1"/>
  <c r="E14117" i="1"/>
  <c r="C14118" i="1"/>
  <c r="D14118" i="1"/>
  <c r="E14118" i="1"/>
  <c r="C14119" i="1"/>
  <c r="D14119" i="1"/>
  <c r="E14119" i="1"/>
  <c r="C14120" i="1"/>
  <c r="D14120" i="1"/>
  <c r="E14120" i="1"/>
  <c r="C14121" i="1"/>
  <c r="D14121" i="1"/>
  <c r="E14121" i="1"/>
  <c r="C14122" i="1"/>
  <c r="D14122" i="1"/>
  <c r="E14122" i="1"/>
  <c r="C14123" i="1"/>
  <c r="D14123" i="1"/>
  <c r="E14123" i="1"/>
  <c r="C14124" i="1"/>
  <c r="D14124" i="1"/>
  <c r="E14124" i="1"/>
  <c r="C14125" i="1"/>
  <c r="D14125" i="1"/>
  <c r="E14125" i="1"/>
  <c r="C14126" i="1"/>
  <c r="D14126" i="1"/>
  <c r="E14126" i="1"/>
  <c r="C14127" i="1"/>
  <c r="D14127" i="1"/>
  <c r="E14127" i="1"/>
  <c r="C14128" i="1"/>
  <c r="D14128" i="1"/>
  <c r="E14128" i="1"/>
  <c r="C14129" i="1"/>
  <c r="D14129" i="1"/>
  <c r="E14129" i="1"/>
  <c r="C14130" i="1"/>
  <c r="D14130" i="1"/>
  <c r="E14130" i="1"/>
  <c r="C14131" i="1"/>
  <c r="D14131" i="1"/>
  <c r="E14131" i="1"/>
  <c r="C14132" i="1"/>
  <c r="D14132" i="1"/>
  <c r="E14132" i="1"/>
  <c r="C14133" i="1"/>
  <c r="D14133" i="1"/>
  <c r="E14133" i="1"/>
  <c r="C14134" i="1"/>
  <c r="D14134" i="1"/>
  <c r="E14134" i="1"/>
  <c r="C14135" i="1"/>
  <c r="D14135" i="1"/>
  <c r="E14135" i="1"/>
  <c r="C14136" i="1"/>
  <c r="D14136" i="1"/>
  <c r="E14136" i="1"/>
  <c r="C14137" i="1"/>
  <c r="D14137" i="1"/>
  <c r="E14137" i="1"/>
  <c r="C14138" i="1"/>
  <c r="D14138" i="1"/>
  <c r="E14138" i="1"/>
  <c r="C14139" i="1"/>
  <c r="D14139" i="1"/>
  <c r="E14139" i="1"/>
  <c r="C14140" i="1"/>
  <c r="D14140" i="1"/>
  <c r="E14140" i="1"/>
  <c r="C14141" i="1"/>
  <c r="D14141" i="1"/>
  <c r="E14141" i="1"/>
  <c r="C14142" i="1"/>
  <c r="D14142" i="1"/>
  <c r="E14142" i="1"/>
  <c r="C14143" i="1"/>
  <c r="D14143" i="1"/>
  <c r="E14143" i="1"/>
  <c r="C14144" i="1"/>
  <c r="D14144" i="1"/>
  <c r="E14144" i="1"/>
  <c r="C14145" i="1"/>
  <c r="D14145" i="1"/>
  <c r="E14145" i="1"/>
  <c r="C14146" i="1"/>
  <c r="D14146" i="1"/>
  <c r="E14146" i="1"/>
  <c r="C14147" i="1"/>
  <c r="D14147" i="1"/>
  <c r="E14147" i="1"/>
  <c r="C14148" i="1"/>
  <c r="D14148" i="1"/>
  <c r="E14148" i="1"/>
  <c r="C14149" i="1"/>
  <c r="D14149" i="1"/>
  <c r="E14149" i="1"/>
  <c r="C14150" i="1"/>
  <c r="D14150" i="1"/>
  <c r="E14150" i="1"/>
  <c r="C14151" i="1"/>
  <c r="D14151" i="1"/>
  <c r="E14151" i="1"/>
  <c r="C14152" i="1"/>
  <c r="D14152" i="1"/>
  <c r="E14152" i="1"/>
  <c r="C14153" i="1"/>
  <c r="D14153" i="1"/>
  <c r="E14153" i="1"/>
  <c r="C14154" i="1"/>
  <c r="D14154" i="1"/>
  <c r="E14154" i="1"/>
  <c r="C14155" i="1"/>
  <c r="D14155" i="1"/>
  <c r="E14155" i="1"/>
  <c r="C14156" i="1"/>
  <c r="D14156" i="1"/>
  <c r="E14156" i="1"/>
  <c r="C14157" i="1"/>
  <c r="D14157" i="1"/>
  <c r="E14157" i="1"/>
  <c r="C14158" i="1"/>
  <c r="D14158" i="1"/>
  <c r="E14158" i="1"/>
  <c r="C14159" i="1"/>
  <c r="D14159" i="1"/>
  <c r="E14159" i="1"/>
  <c r="C14160" i="1"/>
  <c r="D14160" i="1"/>
  <c r="E14160" i="1"/>
  <c r="C14161" i="1"/>
  <c r="D14161" i="1"/>
  <c r="E14161" i="1"/>
  <c r="C14162" i="1"/>
  <c r="D14162" i="1"/>
  <c r="E14162" i="1"/>
  <c r="C14163" i="1"/>
  <c r="D14163" i="1"/>
  <c r="E14163" i="1"/>
  <c r="C14164" i="1"/>
  <c r="D14164" i="1"/>
  <c r="E14164" i="1"/>
  <c r="C14165" i="1"/>
  <c r="D14165" i="1"/>
  <c r="E14165" i="1"/>
  <c r="C14166" i="1"/>
  <c r="D14166" i="1"/>
  <c r="E14166" i="1"/>
  <c r="C14167" i="1"/>
  <c r="D14167" i="1"/>
  <c r="E14167" i="1"/>
  <c r="C14168" i="1"/>
  <c r="D14168" i="1"/>
  <c r="E14168" i="1"/>
  <c r="C14169" i="1"/>
  <c r="D14169" i="1"/>
  <c r="E14169" i="1"/>
  <c r="C14170" i="1"/>
  <c r="D14170" i="1"/>
  <c r="E14170" i="1"/>
  <c r="C14171" i="1"/>
  <c r="D14171" i="1"/>
  <c r="E14171" i="1"/>
  <c r="C14172" i="1"/>
  <c r="D14172" i="1"/>
  <c r="E14172" i="1"/>
  <c r="C14173" i="1"/>
  <c r="D14173" i="1"/>
  <c r="E14173" i="1"/>
  <c r="C14174" i="1"/>
  <c r="D14174" i="1"/>
  <c r="E14174" i="1"/>
  <c r="C14175" i="1"/>
  <c r="D14175" i="1"/>
  <c r="E14175" i="1"/>
  <c r="C14176" i="1"/>
  <c r="D14176" i="1"/>
  <c r="E14176" i="1"/>
  <c r="C14177" i="1"/>
  <c r="D14177" i="1"/>
  <c r="E14177" i="1"/>
  <c r="C14178" i="1"/>
  <c r="D14178" i="1"/>
  <c r="E14178" i="1"/>
  <c r="C14179" i="1"/>
  <c r="D14179" i="1"/>
  <c r="E14179" i="1"/>
  <c r="C14180" i="1"/>
  <c r="D14180" i="1"/>
  <c r="E14180" i="1"/>
  <c r="C14181" i="1"/>
  <c r="D14181" i="1"/>
  <c r="E14181" i="1"/>
  <c r="C14182" i="1"/>
  <c r="D14182" i="1"/>
  <c r="E14182" i="1"/>
  <c r="C14183" i="1"/>
  <c r="D14183" i="1"/>
  <c r="E14183" i="1"/>
  <c r="C14184" i="1"/>
  <c r="D14184" i="1"/>
  <c r="E14184" i="1"/>
  <c r="C14185" i="1"/>
  <c r="D14185" i="1"/>
  <c r="E14185" i="1"/>
  <c r="C14186" i="1"/>
  <c r="D14186" i="1"/>
  <c r="E14186" i="1"/>
  <c r="C14187" i="1"/>
  <c r="D14187" i="1"/>
  <c r="E14187" i="1"/>
  <c r="C14188" i="1"/>
  <c r="D14188" i="1"/>
  <c r="E14188" i="1"/>
  <c r="C14189" i="1"/>
  <c r="D14189" i="1"/>
  <c r="E14189" i="1"/>
  <c r="C14190" i="1"/>
  <c r="D14190" i="1"/>
  <c r="E14190" i="1"/>
  <c r="C14191" i="1"/>
  <c r="D14191" i="1"/>
  <c r="E14191" i="1"/>
  <c r="C14192" i="1"/>
  <c r="D14192" i="1"/>
  <c r="E14192" i="1"/>
  <c r="C14193" i="1"/>
  <c r="D14193" i="1"/>
  <c r="E14193" i="1"/>
  <c r="C14194" i="1"/>
  <c r="D14194" i="1"/>
  <c r="E14194" i="1"/>
  <c r="C14195" i="1"/>
  <c r="D14195" i="1"/>
  <c r="E14195" i="1"/>
  <c r="C14196" i="1"/>
  <c r="D14196" i="1"/>
  <c r="E14196" i="1"/>
  <c r="C14197" i="1"/>
  <c r="D14197" i="1"/>
  <c r="E14197" i="1"/>
  <c r="C14198" i="1"/>
  <c r="D14198" i="1"/>
  <c r="E14198" i="1"/>
  <c r="C14199" i="1"/>
  <c r="D14199" i="1"/>
  <c r="E14199" i="1"/>
  <c r="C14200" i="1"/>
  <c r="D14200" i="1"/>
  <c r="E14200" i="1"/>
  <c r="C14201" i="1"/>
  <c r="D14201" i="1"/>
  <c r="E14201" i="1"/>
  <c r="C14202" i="1"/>
  <c r="D14202" i="1"/>
  <c r="E14202" i="1"/>
  <c r="C14203" i="1"/>
  <c r="D14203" i="1"/>
  <c r="E14203" i="1"/>
  <c r="C14204" i="1"/>
  <c r="D14204" i="1"/>
  <c r="E14204" i="1"/>
  <c r="C14205" i="1"/>
  <c r="D14205" i="1"/>
  <c r="E14205" i="1"/>
  <c r="C14206" i="1"/>
  <c r="D14206" i="1"/>
  <c r="E14206" i="1"/>
  <c r="C14207" i="1"/>
  <c r="D14207" i="1"/>
  <c r="E14207" i="1"/>
  <c r="C14208" i="1"/>
  <c r="D14208" i="1"/>
  <c r="E14208" i="1"/>
  <c r="C14209" i="1"/>
  <c r="D14209" i="1"/>
  <c r="E14209" i="1"/>
  <c r="C14210" i="1"/>
  <c r="D14210" i="1"/>
  <c r="E14210" i="1"/>
  <c r="C14211" i="1"/>
  <c r="D14211" i="1"/>
  <c r="E14211" i="1"/>
  <c r="C14212" i="1"/>
  <c r="D14212" i="1"/>
  <c r="E14212" i="1"/>
  <c r="C14213" i="1"/>
  <c r="D14213" i="1"/>
  <c r="E14213" i="1"/>
  <c r="C14214" i="1"/>
  <c r="D14214" i="1"/>
  <c r="E14214" i="1"/>
  <c r="C14215" i="1"/>
  <c r="D14215" i="1"/>
  <c r="E14215" i="1"/>
  <c r="C14216" i="1"/>
  <c r="D14216" i="1"/>
  <c r="E14216" i="1"/>
  <c r="C14217" i="1"/>
  <c r="D14217" i="1"/>
  <c r="E14217" i="1"/>
  <c r="C14218" i="1"/>
  <c r="D14218" i="1"/>
  <c r="E14218" i="1"/>
  <c r="C14219" i="1"/>
  <c r="D14219" i="1"/>
  <c r="E14219" i="1"/>
  <c r="C14220" i="1"/>
  <c r="D14220" i="1"/>
  <c r="E14220" i="1"/>
  <c r="C14221" i="1"/>
  <c r="D14221" i="1"/>
  <c r="E14221" i="1"/>
  <c r="C14222" i="1"/>
  <c r="D14222" i="1"/>
  <c r="E14222" i="1"/>
  <c r="C14223" i="1"/>
  <c r="D14223" i="1"/>
  <c r="E14223" i="1"/>
  <c r="C14224" i="1"/>
  <c r="D14224" i="1"/>
  <c r="E14224" i="1"/>
  <c r="C14225" i="1"/>
  <c r="D14225" i="1"/>
  <c r="E14225" i="1"/>
  <c r="C14226" i="1"/>
  <c r="D14226" i="1"/>
  <c r="E14226" i="1"/>
  <c r="C14227" i="1"/>
  <c r="D14227" i="1"/>
  <c r="E14227" i="1"/>
  <c r="C14228" i="1"/>
  <c r="D14228" i="1"/>
  <c r="E14228" i="1"/>
  <c r="C14229" i="1"/>
  <c r="D14229" i="1"/>
  <c r="E14229" i="1"/>
  <c r="C14230" i="1"/>
  <c r="D14230" i="1"/>
  <c r="E14230" i="1"/>
  <c r="C14231" i="1"/>
  <c r="D14231" i="1"/>
  <c r="E14231" i="1"/>
  <c r="C14232" i="1"/>
  <c r="D14232" i="1"/>
  <c r="E14232" i="1"/>
  <c r="C14233" i="1"/>
  <c r="D14233" i="1"/>
  <c r="E14233" i="1"/>
  <c r="C14234" i="1"/>
  <c r="D14234" i="1"/>
  <c r="E14234" i="1"/>
  <c r="C14235" i="1"/>
  <c r="D14235" i="1"/>
  <c r="E14235" i="1"/>
  <c r="C14236" i="1"/>
  <c r="D14236" i="1"/>
  <c r="E14236" i="1"/>
  <c r="C14237" i="1"/>
  <c r="D14237" i="1"/>
  <c r="E14237" i="1"/>
  <c r="C14238" i="1"/>
  <c r="D14238" i="1"/>
  <c r="E14238" i="1"/>
  <c r="C14239" i="1"/>
  <c r="D14239" i="1"/>
  <c r="E14239" i="1"/>
  <c r="C14240" i="1"/>
  <c r="D14240" i="1"/>
  <c r="E14240" i="1"/>
  <c r="C14241" i="1"/>
  <c r="D14241" i="1"/>
  <c r="E14241" i="1"/>
  <c r="C14242" i="1"/>
  <c r="D14242" i="1"/>
  <c r="E14242" i="1"/>
  <c r="C14243" i="1"/>
  <c r="D14243" i="1"/>
  <c r="E14243" i="1"/>
  <c r="C14244" i="1"/>
  <c r="D14244" i="1"/>
  <c r="E14244" i="1"/>
  <c r="C14245" i="1"/>
  <c r="D14245" i="1"/>
  <c r="E14245" i="1"/>
  <c r="C14246" i="1"/>
  <c r="D14246" i="1"/>
  <c r="E14246" i="1"/>
  <c r="C14247" i="1"/>
  <c r="D14247" i="1"/>
  <c r="E14247" i="1"/>
  <c r="C14248" i="1"/>
  <c r="D14248" i="1"/>
  <c r="E14248" i="1"/>
  <c r="C14249" i="1"/>
  <c r="D14249" i="1"/>
  <c r="E14249" i="1"/>
  <c r="C14250" i="1"/>
  <c r="D14250" i="1"/>
  <c r="E14250" i="1"/>
  <c r="C14251" i="1"/>
  <c r="D14251" i="1"/>
  <c r="E14251" i="1"/>
  <c r="C14252" i="1"/>
  <c r="D14252" i="1"/>
  <c r="E14252" i="1"/>
  <c r="C14253" i="1"/>
  <c r="D14253" i="1"/>
  <c r="E14253" i="1"/>
  <c r="C14254" i="1"/>
  <c r="D14254" i="1"/>
  <c r="E14254" i="1"/>
  <c r="C14255" i="1"/>
  <c r="D14255" i="1"/>
  <c r="E14255" i="1"/>
  <c r="C14256" i="1"/>
  <c r="D14256" i="1"/>
  <c r="E14256" i="1"/>
  <c r="C14257" i="1"/>
  <c r="D14257" i="1"/>
  <c r="E14257" i="1"/>
  <c r="C14258" i="1"/>
  <c r="D14258" i="1"/>
  <c r="E14258" i="1"/>
  <c r="C14259" i="1"/>
  <c r="D14259" i="1"/>
  <c r="E14259" i="1"/>
  <c r="C14260" i="1"/>
  <c r="D14260" i="1"/>
  <c r="E14260" i="1"/>
  <c r="C14261" i="1"/>
  <c r="D14261" i="1"/>
  <c r="E14261" i="1"/>
  <c r="C14262" i="1"/>
  <c r="D14262" i="1"/>
  <c r="E14262" i="1"/>
  <c r="C14263" i="1"/>
  <c r="D14263" i="1"/>
  <c r="E14263" i="1"/>
  <c r="C14264" i="1"/>
  <c r="D14264" i="1"/>
  <c r="E14264" i="1"/>
  <c r="C14265" i="1"/>
  <c r="D14265" i="1"/>
  <c r="E14265" i="1"/>
  <c r="C14266" i="1"/>
  <c r="D14266" i="1"/>
  <c r="E14266" i="1"/>
  <c r="C14267" i="1"/>
  <c r="D14267" i="1"/>
  <c r="E14267" i="1"/>
  <c r="C14268" i="1"/>
  <c r="D14268" i="1"/>
  <c r="E14268" i="1"/>
  <c r="C14269" i="1"/>
  <c r="D14269" i="1"/>
  <c r="E14269" i="1"/>
  <c r="C14270" i="1"/>
  <c r="D14270" i="1"/>
  <c r="E14270" i="1"/>
  <c r="C14271" i="1"/>
  <c r="D14271" i="1"/>
  <c r="E14271" i="1"/>
  <c r="C14272" i="1"/>
  <c r="D14272" i="1"/>
  <c r="E14272" i="1"/>
  <c r="C14273" i="1"/>
  <c r="D14273" i="1"/>
  <c r="E14273" i="1"/>
  <c r="C14274" i="1"/>
  <c r="D14274" i="1"/>
  <c r="E14274" i="1"/>
  <c r="C14275" i="1"/>
  <c r="D14275" i="1"/>
  <c r="E14275" i="1"/>
  <c r="C14276" i="1"/>
  <c r="D14276" i="1"/>
  <c r="E14276" i="1"/>
  <c r="C14277" i="1"/>
  <c r="D14277" i="1"/>
  <c r="E14277" i="1"/>
  <c r="C14278" i="1"/>
  <c r="D14278" i="1"/>
  <c r="E14278" i="1"/>
  <c r="C14279" i="1"/>
  <c r="D14279" i="1"/>
  <c r="E14279" i="1"/>
  <c r="C14280" i="1"/>
  <c r="D14280" i="1"/>
  <c r="E14280" i="1"/>
  <c r="C14281" i="1"/>
  <c r="D14281" i="1"/>
  <c r="E14281" i="1"/>
  <c r="C14282" i="1"/>
  <c r="D14282" i="1"/>
  <c r="E14282" i="1"/>
  <c r="C14283" i="1"/>
  <c r="D14283" i="1"/>
  <c r="E14283" i="1"/>
  <c r="C14284" i="1"/>
  <c r="D14284" i="1"/>
  <c r="E14284" i="1"/>
  <c r="C14285" i="1"/>
  <c r="D14285" i="1"/>
  <c r="E14285" i="1"/>
  <c r="C14286" i="1"/>
  <c r="D14286" i="1"/>
  <c r="E14286" i="1"/>
  <c r="C14287" i="1"/>
  <c r="D14287" i="1"/>
  <c r="E14287" i="1"/>
  <c r="C14288" i="1"/>
  <c r="D14288" i="1"/>
  <c r="E14288" i="1"/>
  <c r="C14289" i="1"/>
  <c r="D14289" i="1"/>
  <c r="E14289" i="1"/>
  <c r="C14290" i="1"/>
  <c r="D14290" i="1"/>
  <c r="E14290" i="1"/>
  <c r="C14291" i="1"/>
  <c r="D14291" i="1"/>
  <c r="E14291" i="1"/>
  <c r="C14292" i="1"/>
  <c r="D14292" i="1"/>
  <c r="E14292" i="1"/>
  <c r="C14293" i="1"/>
  <c r="D14293" i="1"/>
  <c r="E14293" i="1"/>
  <c r="C14294" i="1"/>
  <c r="D14294" i="1"/>
  <c r="E14294" i="1"/>
  <c r="C14295" i="1"/>
  <c r="D14295" i="1"/>
  <c r="E14295" i="1"/>
  <c r="C14296" i="1"/>
  <c r="D14296" i="1"/>
  <c r="E14296" i="1"/>
  <c r="C14297" i="1"/>
  <c r="D14297" i="1"/>
  <c r="E14297" i="1"/>
  <c r="C14298" i="1"/>
  <c r="D14298" i="1"/>
  <c r="E14298" i="1"/>
  <c r="C14299" i="1"/>
  <c r="D14299" i="1"/>
  <c r="E14299" i="1"/>
  <c r="C14300" i="1"/>
  <c r="D14300" i="1"/>
  <c r="E14300" i="1"/>
  <c r="C14301" i="1"/>
  <c r="D14301" i="1"/>
  <c r="E14301" i="1"/>
  <c r="C14302" i="1"/>
  <c r="D14302" i="1"/>
  <c r="E14302" i="1"/>
  <c r="C14303" i="1"/>
  <c r="D14303" i="1"/>
  <c r="E14303" i="1"/>
  <c r="C14304" i="1"/>
  <c r="D14304" i="1"/>
  <c r="E14304" i="1"/>
  <c r="C14305" i="1"/>
  <c r="D14305" i="1"/>
  <c r="E14305" i="1"/>
  <c r="C14306" i="1"/>
  <c r="D14306" i="1"/>
  <c r="E14306" i="1"/>
  <c r="C14307" i="1"/>
  <c r="D14307" i="1"/>
  <c r="E14307" i="1"/>
  <c r="C14308" i="1"/>
  <c r="D14308" i="1"/>
  <c r="E14308" i="1"/>
  <c r="C14309" i="1"/>
  <c r="D14309" i="1"/>
  <c r="E14309" i="1"/>
  <c r="C14310" i="1"/>
  <c r="D14310" i="1"/>
  <c r="E14310" i="1"/>
  <c r="C14311" i="1"/>
  <c r="D14311" i="1"/>
  <c r="E14311" i="1"/>
  <c r="C14312" i="1"/>
  <c r="D14312" i="1"/>
  <c r="E14312" i="1"/>
  <c r="C14313" i="1"/>
  <c r="D14313" i="1"/>
  <c r="E14313" i="1"/>
  <c r="C14314" i="1"/>
  <c r="D14314" i="1"/>
  <c r="E14314" i="1"/>
  <c r="C14315" i="1"/>
  <c r="D14315" i="1"/>
  <c r="E14315" i="1"/>
  <c r="C14316" i="1"/>
  <c r="D14316" i="1"/>
  <c r="E14316" i="1"/>
  <c r="C14317" i="1"/>
  <c r="D14317" i="1"/>
  <c r="E14317" i="1"/>
  <c r="C14318" i="1"/>
  <c r="D14318" i="1"/>
  <c r="E14318" i="1"/>
  <c r="C14319" i="1"/>
  <c r="D14319" i="1"/>
  <c r="E14319" i="1"/>
  <c r="C14320" i="1"/>
  <c r="D14320" i="1"/>
  <c r="E14320" i="1"/>
  <c r="C14321" i="1"/>
  <c r="D14321" i="1"/>
  <c r="E14321" i="1"/>
  <c r="C14322" i="1"/>
  <c r="D14322" i="1"/>
  <c r="E14322" i="1"/>
  <c r="C14323" i="1"/>
  <c r="D14323" i="1"/>
  <c r="E14323" i="1"/>
  <c r="C14324" i="1"/>
  <c r="D14324" i="1"/>
  <c r="E14324" i="1"/>
  <c r="C14325" i="1"/>
  <c r="D14325" i="1"/>
  <c r="E14325" i="1"/>
  <c r="C14326" i="1"/>
  <c r="D14326" i="1"/>
  <c r="E14326" i="1"/>
  <c r="C14327" i="1"/>
  <c r="D14327" i="1"/>
  <c r="E14327" i="1"/>
  <c r="C14328" i="1"/>
  <c r="D14328" i="1"/>
  <c r="E14328" i="1"/>
  <c r="C14329" i="1"/>
  <c r="D14329" i="1"/>
  <c r="E14329" i="1"/>
  <c r="C14330" i="1"/>
  <c r="D14330" i="1"/>
  <c r="E14330" i="1"/>
  <c r="C14331" i="1"/>
  <c r="D14331" i="1"/>
  <c r="E14331" i="1"/>
  <c r="C14332" i="1"/>
  <c r="D14332" i="1"/>
  <c r="E14332" i="1"/>
  <c r="C14333" i="1"/>
  <c r="D14333" i="1"/>
  <c r="E14333" i="1"/>
  <c r="C14334" i="1"/>
  <c r="D14334" i="1"/>
  <c r="E14334" i="1"/>
  <c r="C14335" i="1"/>
  <c r="D14335" i="1"/>
  <c r="E14335" i="1"/>
  <c r="C14336" i="1"/>
  <c r="D14336" i="1"/>
  <c r="E14336" i="1"/>
  <c r="C14337" i="1"/>
  <c r="D14337" i="1"/>
  <c r="E14337" i="1"/>
  <c r="C14338" i="1"/>
  <c r="D14338" i="1"/>
  <c r="E14338" i="1"/>
  <c r="C14339" i="1"/>
  <c r="D14339" i="1"/>
  <c r="E14339" i="1"/>
  <c r="C14340" i="1"/>
  <c r="D14340" i="1"/>
  <c r="E14340" i="1"/>
  <c r="C14341" i="1"/>
  <c r="D14341" i="1"/>
  <c r="E14341" i="1"/>
  <c r="C14342" i="1"/>
  <c r="D14342" i="1"/>
  <c r="E14342" i="1"/>
  <c r="C14343" i="1"/>
  <c r="D14343" i="1"/>
  <c r="E14343" i="1"/>
  <c r="C14344" i="1"/>
  <c r="D14344" i="1"/>
  <c r="E14344" i="1"/>
  <c r="C14345" i="1"/>
  <c r="D14345" i="1"/>
  <c r="E14345" i="1"/>
  <c r="C14346" i="1"/>
  <c r="D14346" i="1"/>
  <c r="E14346" i="1"/>
  <c r="C14347" i="1"/>
  <c r="D14347" i="1"/>
  <c r="E14347" i="1"/>
  <c r="C14348" i="1"/>
  <c r="D14348" i="1"/>
  <c r="E14348" i="1"/>
  <c r="C14349" i="1"/>
  <c r="D14349" i="1"/>
  <c r="E14349" i="1"/>
  <c r="C14350" i="1"/>
  <c r="D14350" i="1"/>
  <c r="E14350" i="1"/>
  <c r="C14351" i="1"/>
  <c r="D14351" i="1"/>
  <c r="E14351" i="1"/>
  <c r="C14352" i="1"/>
  <c r="D14352" i="1"/>
  <c r="E14352" i="1"/>
  <c r="C14353" i="1"/>
  <c r="D14353" i="1"/>
  <c r="E14353" i="1"/>
  <c r="C14354" i="1"/>
  <c r="D14354" i="1"/>
  <c r="E14354" i="1"/>
  <c r="C14355" i="1"/>
  <c r="D14355" i="1"/>
  <c r="E14355" i="1"/>
  <c r="C14356" i="1"/>
  <c r="D14356" i="1"/>
  <c r="E14356" i="1"/>
  <c r="C14357" i="1"/>
  <c r="D14357" i="1"/>
  <c r="E14357" i="1"/>
  <c r="C14358" i="1"/>
  <c r="D14358" i="1"/>
  <c r="E14358" i="1"/>
  <c r="C14359" i="1"/>
  <c r="D14359" i="1"/>
  <c r="E14359" i="1"/>
  <c r="C14360" i="1"/>
  <c r="D14360" i="1"/>
  <c r="E14360" i="1"/>
  <c r="C14361" i="1"/>
  <c r="D14361" i="1"/>
  <c r="E14361" i="1"/>
  <c r="C14362" i="1"/>
  <c r="D14362" i="1"/>
  <c r="E14362" i="1"/>
  <c r="C14363" i="1"/>
  <c r="D14363" i="1"/>
  <c r="E14363" i="1"/>
  <c r="C14364" i="1"/>
  <c r="D14364" i="1"/>
  <c r="E14364" i="1"/>
  <c r="C14365" i="1"/>
  <c r="D14365" i="1"/>
  <c r="E14365" i="1"/>
  <c r="C14366" i="1"/>
  <c r="D14366" i="1"/>
  <c r="E14366" i="1"/>
  <c r="C14367" i="1"/>
  <c r="D14367" i="1"/>
  <c r="E14367" i="1"/>
  <c r="C14368" i="1"/>
  <c r="D14368" i="1"/>
  <c r="E14368" i="1"/>
  <c r="C14369" i="1"/>
  <c r="D14369" i="1"/>
  <c r="E14369" i="1"/>
  <c r="C14370" i="1"/>
  <c r="D14370" i="1"/>
  <c r="E14370" i="1"/>
  <c r="C14371" i="1"/>
  <c r="D14371" i="1"/>
  <c r="E14371" i="1"/>
  <c r="C14372" i="1"/>
  <c r="D14372" i="1"/>
  <c r="E14372" i="1"/>
  <c r="C14373" i="1"/>
  <c r="D14373" i="1"/>
  <c r="E14373" i="1"/>
  <c r="C14374" i="1"/>
  <c r="D14374" i="1"/>
  <c r="E14374" i="1"/>
  <c r="C14375" i="1"/>
  <c r="D14375" i="1"/>
  <c r="E14375" i="1"/>
  <c r="C14376" i="1"/>
  <c r="D14376" i="1"/>
  <c r="E14376" i="1"/>
  <c r="C14377" i="1"/>
  <c r="D14377" i="1"/>
  <c r="E14377" i="1"/>
  <c r="C14378" i="1"/>
  <c r="D14378" i="1"/>
  <c r="E14378" i="1"/>
  <c r="C14379" i="1"/>
  <c r="D14379" i="1"/>
  <c r="E14379" i="1"/>
  <c r="C14380" i="1"/>
  <c r="D14380" i="1"/>
  <c r="E14380" i="1"/>
  <c r="C14381" i="1"/>
  <c r="D14381" i="1"/>
  <c r="E14381" i="1"/>
  <c r="C14382" i="1"/>
  <c r="D14382" i="1"/>
  <c r="E14382" i="1"/>
  <c r="C14383" i="1"/>
  <c r="D14383" i="1"/>
  <c r="E14383" i="1"/>
  <c r="C14384" i="1"/>
  <c r="D14384" i="1"/>
  <c r="E14384" i="1"/>
  <c r="C14385" i="1"/>
  <c r="D14385" i="1"/>
  <c r="E14385" i="1"/>
  <c r="C14386" i="1"/>
  <c r="D14386" i="1"/>
  <c r="E14386" i="1"/>
  <c r="C14387" i="1"/>
  <c r="D14387" i="1"/>
  <c r="E14387" i="1"/>
  <c r="C14388" i="1"/>
  <c r="D14388" i="1"/>
  <c r="E14388" i="1"/>
  <c r="C14389" i="1"/>
  <c r="D14389" i="1"/>
  <c r="E14389" i="1"/>
  <c r="C14390" i="1"/>
  <c r="D14390" i="1"/>
  <c r="E14390" i="1"/>
  <c r="C14391" i="1"/>
  <c r="D14391" i="1"/>
  <c r="E14391" i="1"/>
  <c r="C14392" i="1"/>
  <c r="D14392" i="1"/>
  <c r="E14392" i="1"/>
  <c r="C14393" i="1"/>
  <c r="D14393" i="1"/>
  <c r="E14393" i="1"/>
  <c r="C14394" i="1"/>
  <c r="D14394" i="1"/>
  <c r="E14394" i="1"/>
  <c r="C14395" i="1"/>
  <c r="D14395" i="1"/>
  <c r="E14395" i="1"/>
  <c r="C14396" i="1"/>
  <c r="D14396" i="1"/>
  <c r="E14396" i="1"/>
  <c r="C14397" i="1"/>
  <c r="D14397" i="1"/>
  <c r="E14397" i="1"/>
  <c r="C14398" i="1"/>
  <c r="D14398" i="1"/>
  <c r="E14398" i="1"/>
  <c r="C14399" i="1"/>
  <c r="D14399" i="1"/>
  <c r="E14399" i="1"/>
  <c r="C14400" i="1"/>
  <c r="D14400" i="1"/>
  <c r="E14400" i="1"/>
  <c r="C14401" i="1"/>
  <c r="D14401" i="1"/>
  <c r="E14401" i="1"/>
  <c r="C14402" i="1"/>
  <c r="D14402" i="1"/>
  <c r="E14402" i="1"/>
  <c r="C14403" i="1"/>
  <c r="D14403" i="1"/>
  <c r="E14403" i="1"/>
  <c r="C14404" i="1"/>
  <c r="D14404" i="1"/>
  <c r="E14404" i="1"/>
  <c r="C14405" i="1"/>
  <c r="D14405" i="1"/>
  <c r="E14405" i="1"/>
  <c r="C14406" i="1"/>
  <c r="D14406" i="1"/>
  <c r="E14406" i="1"/>
  <c r="C14407" i="1"/>
  <c r="D14407" i="1"/>
  <c r="E14407" i="1"/>
  <c r="C14408" i="1"/>
  <c r="D14408" i="1"/>
  <c r="E14408" i="1"/>
  <c r="C14409" i="1"/>
  <c r="D14409" i="1"/>
  <c r="E14409" i="1"/>
  <c r="C14410" i="1"/>
  <c r="D14410" i="1"/>
  <c r="E14410" i="1"/>
  <c r="C14411" i="1"/>
  <c r="D14411" i="1"/>
  <c r="E14411" i="1"/>
  <c r="C14412" i="1"/>
  <c r="D14412" i="1"/>
  <c r="E14412" i="1"/>
  <c r="C14413" i="1"/>
  <c r="D14413" i="1"/>
  <c r="E14413" i="1"/>
  <c r="C14414" i="1"/>
  <c r="D14414" i="1"/>
  <c r="E14414" i="1"/>
  <c r="C14415" i="1"/>
  <c r="D14415" i="1"/>
  <c r="E14415" i="1"/>
  <c r="C14416" i="1"/>
  <c r="D14416" i="1"/>
  <c r="E14416" i="1"/>
  <c r="C14417" i="1"/>
  <c r="D14417" i="1"/>
  <c r="E14417" i="1"/>
  <c r="C14418" i="1"/>
  <c r="D14418" i="1"/>
  <c r="E14418" i="1"/>
  <c r="C14419" i="1"/>
  <c r="D14419" i="1"/>
  <c r="E14419" i="1"/>
  <c r="C14420" i="1"/>
  <c r="D14420" i="1"/>
  <c r="E14420" i="1"/>
  <c r="C14421" i="1"/>
  <c r="D14421" i="1"/>
  <c r="E14421" i="1"/>
  <c r="C14422" i="1"/>
  <c r="D14422" i="1"/>
  <c r="E14422" i="1"/>
  <c r="C14423" i="1"/>
  <c r="D14423" i="1"/>
  <c r="E14423" i="1"/>
  <c r="C14424" i="1"/>
  <c r="D14424" i="1"/>
  <c r="E14424" i="1"/>
  <c r="C14425" i="1"/>
  <c r="D14425" i="1"/>
  <c r="E14425" i="1"/>
  <c r="C14426" i="1"/>
  <c r="D14426" i="1"/>
  <c r="E14426" i="1"/>
  <c r="C14427" i="1"/>
  <c r="D14427" i="1"/>
  <c r="E14427" i="1"/>
  <c r="C14428" i="1"/>
  <c r="D14428" i="1"/>
  <c r="E14428" i="1"/>
  <c r="C14429" i="1"/>
  <c r="D14429" i="1"/>
  <c r="E14429" i="1"/>
  <c r="C14430" i="1"/>
  <c r="D14430" i="1"/>
  <c r="E14430" i="1"/>
  <c r="C14431" i="1"/>
  <c r="D14431" i="1"/>
  <c r="E14431" i="1"/>
  <c r="C14432" i="1"/>
  <c r="D14432" i="1"/>
  <c r="E14432" i="1"/>
  <c r="C14433" i="1"/>
  <c r="D14433" i="1"/>
  <c r="E14433" i="1"/>
  <c r="C14434" i="1"/>
  <c r="D14434" i="1"/>
  <c r="E14434" i="1"/>
  <c r="C14435" i="1"/>
  <c r="D14435" i="1"/>
  <c r="E14435" i="1"/>
  <c r="C14436" i="1"/>
  <c r="D14436" i="1"/>
  <c r="E14436" i="1"/>
  <c r="C14437" i="1"/>
  <c r="D14437" i="1"/>
  <c r="E14437" i="1"/>
  <c r="C14438" i="1"/>
  <c r="D14438" i="1"/>
  <c r="E14438" i="1"/>
  <c r="C14439" i="1"/>
  <c r="D14439" i="1"/>
  <c r="E14439" i="1"/>
  <c r="C14440" i="1"/>
  <c r="D14440" i="1"/>
  <c r="E14440" i="1"/>
  <c r="C14441" i="1"/>
  <c r="D14441" i="1"/>
  <c r="E14441" i="1"/>
  <c r="C14442" i="1"/>
  <c r="D14442" i="1"/>
  <c r="E14442" i="1"/>
  <c r="C14443" i="1"/>
  <c r="D14443" i="1"/>
  <c r="E14443" i="1"/>
  <c r="C14444" i="1"/>
  <c r="D14444" i="1"/>
  <c r="E14444" i="1"/>
  <c r="C14445" i="1"/>
  <c r="D14445" i="1"/>
  <c r="E14445" i="1"/>
  <c r="C14446" i="1"/>
  <c r="D14446" i="1"/>
  <c r="E14446" i="1"/>
  <c r="C14447" i="1"/>
  <c r="D14447" i="1"/>
  <c r="E14447" i="1"/>
  <c r="C14448" i="1"/>
  <c r="D14448" i="1"/>
  <c r="E14448" i="1"/>
  <c r="C14449" i="1"/>
  <c r="D14449" i="1"/>
  <c r="E14449" i="1"/>
  <c r="C14450" i="1"/>
  <c r="D14450" i="1"/>
  <c r="E14450" i="1"/>
  <c r="C14451" i="1"/>
  <c r="D14451" i="1"/>
  <c r="E14451" i="1"/>
  <c r="C14452" i="1"/>
  <c r="D14452" i="1"/>
  <c r="E14452" i="1"/>
  <c r="C14453" i="1"/>
  <c r="D14453" i="1"/>
  <c r="E14453" i="1"/>
  <c r="C14454" i="1"/>
  <c r="D14454" i="1"/>
  <c r="E14454" i="1"/>
  <c r="C14455" i="1"/>
  <c r="D14455" i="1"/>
  <c r="E14455" i="1"/>
  <c r="C14456" i="1"/>
  <c r="D14456" i="1"/>
  <c r="E14456" i="1"/>
  <c r="C14457" i="1"/>
  <c r="D14457" i="1"/>
  <c r="E14457" i="1"/>
  <c r="C14458" i="1"/>
  <c r="D14458" i="1"/>
  <c r="E14458" i="1"/>
  <c r="C14459" i="1"/>
  <c r="D14459" i="1"/>
  <c r="E14459" i="1"/>
  <c r="C14460" i="1"/>
  <c r="D14460" i="1"/>
  <c r="E14460" i="1"/>
  <c r="C14461" i="1"/>
  <c r="D14461" i="1"/>
  <c r="E14461" i="1"/>
  <c r="C14462" i="1"/>
  <c r="D14462" i="1"/>
  <c r="E14462" i="1"/>
  <c r="C14463" i="1"/>
  <c r="D14463" i="1"/>
  <c r="E14463" i="1"/>
  <c r="C14464" i="1"/>
  <c r="D14464" i="1"/>
  <c r="E14464" i="1"/>
  <c r="C14465" i="1"/>
  <c r="D14465" i="1"/>
  <c r="E14465" i="1"/>
  <c r="C14466" i="1"/>
  <c r="D14466" i="1"/>
  <c r="E14466" i="1"/>
  <c r="C14467" i="1"/>
  <c r="D14467" i="1"/>
  <c r="E14467" i="1"/>
  <c r="C14468" i="1"/>
  <c r="D14468" i="1"/>
  <c r="E14468" i="1"/>
  <c r="C14469" i="1"/>
  <c r="D14469" i="1"/>
  <c r="E14469" i="1"/>
  <c r="C14470" i="1"/>
  <c r="D14470" i="1"/>
  <c r="E14470" i="1"/>
  <c r="C14471" i="1"/>
  <c r="D14471" i="1"/>
  <c r="E14471" i="1"/>
  <c r="C14472" i="1"/>
  <c r="D14472" i="1"/>
  <c r="E14472" i="1"/>
  <c r="C14473" i="1"/>
  <c r="D14473" i="1"/>
  <c r="E14473" i="1"/>
  <c r="C14474" i="1"/>
  <c r="D14474" i="1"/>
  <c r="E14474" i="1"/>
  <c r="C14475" i="1"/>
  <c r="D14475" i="1"/>
  <c r="E14475" i="1"/>
  <c r="C14476" i="1"/>
  <c r="D14476" i="1"/>
  <c r="E14476" i="1"/>
  <c r="C14477" i="1"/>
  <c r="D14477" i="1"/>
  <c r="E14477" i="1"/>
  <c r="C14478" i="1"/>
  <c r="D14478" i="1"/>
  <c r="E14478" i="1"/>
  <c r="C14479" i="1"/>
  <c r="D14479" i="1"/>
  <c r="E14479" i="1"/>
  <c r="C14480" i="1"/>
  <c r="D14480" i="1"/>
  <c r="E14480" i="1"/>
  <c r="C14481" i="1"/>
  <c r="D14481" i="1"/>
  <c r="E14481" i="1"/>
  <c r="C14482" i="1"/>
  <c r="D14482" i="1"/>
  <c r="E14482" i="1"/>
  <c r="C14483" i="1"/>
  <c r="D14483" i="1"/>
  <c r="E14483" i="1"/>
  <c r="C14484" i="1"/>
  <c r="D14484" i="1"/>
  <c r="E14484" i="1"/>
  <c r="C14485" i="1"/>
  <c r="D14485" i="1"/>
  <c r="E14485" i="1"/>
  <c r="C14486" i="1"/>
  <c r="D14486" i="1"/>
  <c r="E14486" i="1"/>
  <c r="C14487" i="1"/>
  <c r="D14487" i="1"/>
  <c r="E14487" i="1"/>
  <c r="C14488" i="1"/>
  <c r="D14488" i="1"/>
  <c r="E14488" i="1"/>
  <c r="C14489" i="1"/>
  <c r="D14489" i="1"/>
  <c r="E14489" i="1"/>
  <c r="C14490" i="1"/>
  <c r="D14490" i="1"/>
  <c r="E14490" i="1"/>
  <c r="C14491" i="1"/>
  <c r="D14491" i="1"/>
  <c r="E14491" i="1"/>
  <c r="C14492" i="1"/>
  <c r="D14492" i="1"/>
  <c r="E14492" i="1"/>
  <c r="C14493" i="1"/>
  <c r="D14493" i="1"/>
  <c r="E14493" i="1"/>
  <c r="C14494" i="1"/>
  <c r="D14494" i="1"/>
  <c r="E14494" i="1"/>
  <c r="C14495" i="1"/>
  <c r="D14495" i="1"/>
  <c r="E14495" i="1"/>
  <c r="C14496" i="1"/>
  <c r="D14496" i="1"/>
  <c r="E14496" i="1"/>
  <c r="C14497" i="1"/>
  <c r="D14497" i="1"/>
  <c r="E14497" i="1"/>
  <c r="C14498" i="1"/>
  <c r="D14498" i="1"/>
  <c r="E14498" i="1"/>
  <c r="C14499" i="1"/>
  <c r="D14499" i="1"/>
  <c r="E14499" i="1"/>
  <c r="C14500" i="1"/>
  <c r="D14500" i="1"/>
  <c r="E14500" i="1"/>
  <c r="C14501" i="1"/>
  <c r="D14501" i="1"/>
  <c r="E14501" i="1"/>
  <c r="C14502" i="1"/>
  <c r="D14502" i="1"/>
  <c r="E14502" i="1"/>
  <c r="C14503" i="1"/>
  <c r="D14503" i="1"/>
  <c r="E14503" i="1"/>
  <c r="C14504" i="1"/>
  <c r="D14504" i="1"/>
  <c r="E14504" i="1"/>
  <c r="C14505" i="1"/>
  <c r="D14505" i="1"/>
  <c r="E14505" i="1"/>
  <c r="C14506" i="1"/>
  <c r="D14506" i="1"/>
  <c r="E14506" i="1"/>
  <c r="C14507" i="1"/>
  <c r="D14507" i="1"/>
  <c r="E14507" i="1"/>
  <c r="C14508" i="1"/>
  <c r="D14508" i="1"/>
  <c r="E14508" i="1"/>
  <c r="C14509" i="1"/>
  <c r="D14509" i="1"/>
  <c r="E14509" i="1"/>
  <c r="C14510" i="1"/>
  <c r="D14510" i="1"/>
  <c r="E14510" i="1"/>
  <c r="C14511" i="1"/>
  <c r="D14511" i="1"/>
  <c r="E14511" i="1"/>
  <c r="C14512" i="1"/>
  <c r="D14512" i="1"/>
  <c r="E14512" i="1"/>
  <c r="C14513" i="1"/>
  <c r="D14513" i="1"/>
  <c r="E14513" i="1"/>
  <c r="C14514" i="1"/>
  <c r="D14514" i="1"/>
  <c r="E14514" i="1"/>
  <c r="C14515" i="1"/>
  <c r="D14515" i="1"/>
  <c r="E14515" i="1"/>
  <c r="C14516" i="1"/>
  <c r="D14516" i="1"/>
  <c r="E14516" i="1"/>
  <c r="C14517" i="1"/>
  <c r="D14517" i="1"/>
  <c r="E14517" i="1"/>
  <c r="C14518" i="1"/>
  <c r="D14518" i="1"/>
  <c r="E14518" i="1"/>
  <c r="C14519" i="1"/>
  <c r="D14519" i="1"/>
  <c r="E14519" i="1"/>
  <c r="C14520" i="1"/>
  <c r="D14520" i="1"/>
  <c r="E14520" i="1"/>
  <c r="C14521" i="1"/>
  <c r="D14521" i="1"/>
  <c r="E14521" i="1"/>
  <c r="C14522" i="1"/>
  <c r="D14522" i="1"/>
  <c r="E14522" i="1"/>
  <c r="C14523" i="1"/>
  <c r="D14523" i="1"/>
  <c r="E14523" i="1"/>
  <c r="C14524" i="1"/>
  <c r="D14524" i="1"/>
  <c r="E14524" i="1"/>
  <c r="C14525" i="1"/>
  <c r="D14525" i="1"/>
  <c r="E14525" i="1"/>
  <c r="C14526" i="1"/>
  <c r="D14526" i="1"/>
  <c r="E14526" i="1"/>
  <c r="C14527" i="1"/>
  <c r="D14527" i="1"/>
  <c r="E14527" i="1"/>
  <c r="C14528" i="1"/>
  <c r="D14528" i="1"/>
  <c r="E14528" i="1"/>
  <c r="C14529" i="1"/>
  <c r="D14529" i="1"/>
  <c r="E14529" i="1"/>
  <c r="C14530" i="1"/>
  <c r="D14530" i="1"/>
  <c r="E14530" i="1"/>
  <c r="C14531" i="1"/>
  <c r="D14531" i="1"/>
  <c r="E14531" i="1"/>
  <c r="C14532" i="1"/>
  <c r="D14532" i="1"/>
  <c r="E14532" i="1"/>
  <c r="C14533" i="1"/>
  <c r="D14533" i="1"/>
  <c r="E14533" i="1"/>
  <c r="C14534" i="1"/>
  <c r="D14534" i="1"/>
  <c r="E14534" i="1"/>
  <c r="C14535" i="1"/>
  <c r="D14535" i="1"/>
  <c r="E14535" i="1"/>
  <c r="C14536" i="1"/>
  <c r="D14536" i="1"/>
  <c r="E14536" i="1"/>
  <c r="C14537" i="1"/>
  <c r="D14537" i="1"/>
  <c r="E14537" i="1"/>
  <c r="C14538" i="1"/>
  <c r="D14538" i="1"/>
  <c r="E14538" i="1"/>
  <c r="C14539" i="1"/>
  <c r="D14539" i="1"/>
  <c r="E14539" i="1"/>
  <c r="C14540" i="1"/>
  <c r="D14540" i="1"/>
  <c r="E14540" i="1"/>
  <c r="C14541" i="1"/>
  <c r="D14541" i="1"/>
  <c r="E14541" i="1"/>
  <c r="C14542" i="1"/>
  <c r="D14542" i="1"/>
  <c r="E14542" i="1"/>
  <c r="C14543" i="1"/>
  <c r="D14543" i="1"/>
  <c r="E14543" i="1"/>
  <c r="C14544" i="1"/>
  <c r="D14544" i="1"/>
  <c r="E14544" i="1"/>
  <c r="C14545" i="1"/>
  <c r="D14545" i="1"/>
  <c r="E14545" i="1"/>
  <c r="C14546" i="1"/>
  <c r="D14546" i="1"/>
  <c r="E14546" i="1"/>
  <c r="C14547" i="1"/>
  <c r="D14547" i="1"/>
  <c r="E14547" i="1"/>
  <c r="C14548" i="1"/>
  <c r="D14548" i="1"/>
  <c r="E14548" i="1"/>
  <c r="C14549" i="1"/>
  <c r="D14549" i="1"/>
  <c r="E14549" i="1"/>
  <c r="C14550" i="1"/>
  <c r="D14550" i="1"/>
  <c r="E14550" i="1"/>
  <c r="C14551" i="1"/>
  <c r="D14551" i="1"/>
  <c r="E14551" i="1"/>
  <c r="C14552" i="1"/>
  <c r="D14552" i="1"/>
  <c r="E14552" i="1"/>
  <c r="C14553" i="1"/>
  <c r="D14553" i="1"/>
  <c r="E14553" i="1"/>
  <c r="C14554" i="1"/>
  <c r="D14554" i="1"/>
  <c r="E14554" i="1"/>
  <c r="C14555" i="1"/>
  <c r="D14555" i="1"/>
  <c r="E14555" i="1"/>
  <c r="C14556" i="1"/>
  <c r="D14556" i="1"/>
  <c r="E14556" i="1"/>
  <c r="C14557" i="1"/>
  <c r="D14557" i="1"/>
  <c r="E14557" i="1"/>
  <c r="C14558" i="1"/>
  <c r="D14558" i="1"/>
  <c r="E14558" i="1"/>
  <c r="C14559" i="1"/>
  <c r="D14559" i="1"/>
  <c r="E14559" i="1"/>
  <c r="C14560" i="1"/>
  <c r="D14560" i="1"/>
  <c r="E14560" i="1"/>
  <c r="C14561" i="1"/>
  <c r="D14561" i="1"/>
  <c r="E14561" i="1"/>
  <c r="C14562" i="1"/>
  <c r="D14562" i="1"/>
  <c r="E14562" i="1"/>
  <c r="C14563" i="1"/>
  <c r="D14563" i="1"/>
  <c r="E14563" i="1"/>
  <c r="C14564" i="1"/>
  <c r="D14564" i="1"/>
  <c r="E14564" i="1"/>
  <c r="C14565" i="1"/>
  <c r="D14565" i="1"/>
  <c r="E14565" i="1"/>
  <c r="C14566" i="1"/>
  <c r="D14566" i="1"/>
  <c r="E14566" i="1"/>
  <c r="C14567" i="1"/>
  <c r="D14567" i="1"/>
  <c r="E14567" i="1"/>
  <c r="C14568" i="1"/>
  <c r="D14568" i="1"/>
  <c r="E14568" i="1"/>
  <c r="C14569" i="1"/>
  <c r="D14569" i="1"/>
  <c r="E14569" i="1"/>
  <c r="C14570" i="1"/>
  <c r="D14570" i="1"/>
  <c r="E14570" i="1"/>
  <c r="C14571" i="1"/>
  <c r="D14571" i="1"/>
  <c r="E14571" i="1"/>
  <c r="C14572" i="1"/>
  <c r="D14572" i="1"/>
  <c r="E14572" i="1"/>
  <c r="C14573" i="1"/>
  <c r="D14573" i="1"/>
  <c r="E14573" i="1"/>
  <c r="C14574" i="1"/>
  <c r="D14574" i="1"/>
  <c r="E14574" i="1"/>
  <c r="C14575" i="1"/>
  <c r="D14575" i="1"/>
  <c r="E14575" i="1"/>
  <c r="C14576" i="1"/>
  <c r="D14576" i="1"/>
  <c r="E14576" i="1"/>
  <c r="C14577" i="1"/>
  <c r="D14577" i="1"/>
  <c r="E14577" i="1"/>
  <c r="C14578" i="1"/>
  <c r="D14578" i="1"/>
  <c r="E14578" i="1"/>
  <c r="C14579" i="1"/>
  <c r="D14579" i="1"/>
  <c r="E14579" i="1"/>
  <c r="C14580" i="1"/>
  <c r="D14580" i="1"/>
  <c r="E14580" i="1"/>
  <c r="C14581" i="1"/>
  <c r="D14581" i="1"/>
  <c r="E14581" i="1"/>
  <c r="C14582" i="1"/>
  <c r="D14582" i="1"/>
  <c r="E14582" i="1"/>
  <c r="C14583" i="1"/>
  <c r="D14583" i="1"/>
  <c r="E14583" i="1"/>
  <c r="C14584" i="1"/>
  <c r="D14584" i="1"/>
  <c r="E14584" i="1"/>
  <c r="C14585" i="1"/>
  <c r="D14585" i="1"/>
  <c r="E14585" i="1"/>
  <c r="C14586" i="1"/>
  <c r="D14586" i="1"/>
  <c r="E14586" i="1"/>
  <c r="C14587" i="1"/>
  <c r="D14587" i="1"/>
  <c r="E14587" i="1"/>
  <c r="C14588" i="1"/>
  <c r="D14588" i="1"/>
  <c r="E14588" i="1"/>
  <c r="C14589" i="1"/>
  <c r="D14589" i="1"/>
  <c r="E14589" i="1"/>
  <c r="C14590" i="1"/>
  <c r="D14590" i="1"/>
  <c r="E14590" i="1"/>
  <c r="C14591" i="1"/>
  <c r="D14591" i="1"/>
  <c r="E14591" i="1"/>
  <c r="C14592" i="1"/>
  <c r="D14592" i="1"/>
  <c r="E14592" i="1"/>
  <c r="C14593" i="1"/>
  <c r="D14593" i="1"/>
  <c r="E14593" i="1"/>
  <c r="C14594" i="1"/>
  <c r="D14594" i="1"/>
  <c r="E14594" i="1"/>
  <c r="C14595" i="1"/>
  <c r="D14595" i="1"/>
  <c r="E14595" i="1"/>
  <c r="C14596" i="1"/>
  <c r="D14596" i="1"/>
  <c r="E14596" i="1"/>
  <c r="C14597" i="1"/>
  <c r="D14597" i="1"/>
  <c r="E14597" i="1"/>
  <c r="C14598" i="1"/>
  <c r="D14598" i="1"/>
  <c r="E14598" i="1"/>
  <c r="C14599" i="1"/>
  <c r="D14599" i="1"/>
  <c r="E14599" i="1"/>
  <c r="C14600" i="1"/>
  <c r="D14600" i="1"/>
  <c r="E14600" i="1"/>
  <c r="C14601" i="1"/>
  <c r="D14601" i="1"/>
  <c r="E14601" i="1"/>
  <c r="C14602" i="1"/>
  <c r="D14602" i="1"/>
  <c r="E14602" i="1"/>
  <c r="C14603" i="1"/>
  <c r="D14603" i="1"/>
  <c r="E14603" i="1"/>
  <c r="C14604" i="1"/>
  <c r="D14604" i="1"/>
  <c r="E14604" i="1"/>
  <c r="C14605" i="1"/>
  <c r="D14605" i="1"/>
  <c r="E14605" i="1"/>
  <c r="C14606" i="1"/>
  <c r="D14606" i="1"/>
  <c r="E14606" i="1"/>
  <c r="C14607" i="1"/>
  <c r="D14607" i="1"/>
  <c r="E14607" i="1"/>
  <c r="C14608" i="1"/>
  <c r="D14608" i="1"/>
  <c r="E14608" i="1"/>
  <c r="C14609" i="1"/>
  <c r="D14609" i="1"/>
  <c r="E14609" i="1"/>
  <c r="C14610" i="1"/>
  <c r="D14610" i="1"/>
  <c r="E14610" i="1"/>
  <c r="C14611" i="1"/>
  <c r="D14611" i="1"/>
  <c r="E14611" i="1"/>
  <c r="C14612" i="1"/>
  <c r="D14612" i="1"/>
  <c r="E14612" i="1"/>
  <c r="C14613" i="1"/>
  <c r="D14613" i="1"/>
  <c r="E14613" i="1"/>
  <c r="C14614" i="1"/>
  <c r="D14614" i="1"/>
  <c r="E14614" i="1"/>
  <c r="C14615" i="1"/>
  <c r="D14615" i="1"/>
  <c r="E14615" i="1"/>
  <c r="C14616" i="1"/>
  <c r="D14616" i="1"/>
  <c r="E14616" i="1"/>
  <c r="C14617" i="1"/>
  <c r="D14617" i="1"/>
  <c r="E14617" i="1"/>
  <c r="C14618" i="1"/>
  <c r="D14618" i="1"/>
  <c r="E14618" i="1"/>
  <c r="C14619" i="1"/>
  <c r="D14619" i="1"/>
  <c r="E14619" i="1"/>
  <c r="C14620" i="1"/>
  <c r="D14620" i="1"/>
  <c r="E14620" i="1"/>
  <c r="C14621" i="1"/>
  <c r="D14621" i="1"/>
  <c r="E14621" i="1"/>
  <c r="C14622" i="1"/>
  <c r="D14622" i="1"/>
  <c r="E14622" i="1"/>
  <c r="C14623" i="1"/>
  <c r="D14623" i="1"/>
  <c r="E14623" i="1"/>
  <c r="C14624" i="1"/>
  <c r="D14624" i="1"/>
  <c r="E14624" i="1"/>
  <c r="C14625" i="1"/>
  <c r="D14625" i="1"/>
  <c r="E14625" i="1"/>
  <c r="C14626" i="1"/>
  <c r="D14626" i="1"/>
  <c r="E14626" i="1"/>
  <c r="C14627" i="1"/>
  <c r="D14627" i="1"/>
  <c r="E14627" i="1"/>
  <c r="C14628" i="1"/>
  <c r="D14628" i="1"/>
  <c r="E14628" i="1"/>
  <c r="C14629" i="1"/>
  <c r="D14629" i="1"/>
  <c r="E14629" i="1"/>
  <c r="C14630" i="1"/>
  <c r="D14630" i="1"/>
  <c r="E14630" i="1"/>
  <c r="C14631" i="1"/>
  <c r="D14631" i="1"/>
  <c r="E14631" i="1"/>
  <c r="C14632" i="1"/>
  <c r="D14632" i="1"/>
  <c r="E14632" i="1"/>
  <c r="C14633" i="1"/>
  <c r="D14633" i="1"/>
  <c r="E14633" i="1"/>
  <c r="C14634" i="1"/>
  <c r="D14634" i="1"/>
  <c r="E14634" i="1"/>
  <c r="C14635" i="1"/>
  <c r="D14635" i="1"/>
  <c r="E14635" i="1"/>
  <c r="C14636" i="1"/>
  <c r="D14636" i="1"/>
  <c r="E14636" i="1"/>
  <c r="C14637" i="1"/>
  <c r="D14637" i="1"/>
  <c r="E14637" i="1"/>
  <c r="C14638" i="1"/>
  <c r="D14638" i="1"/>
  <c r="E14638" i="1"/>
  <c r="C14639" i="1"/>
  <c r="D14639" i="1"/>
  <c r="E14639" i="1"/>
  <c r="C14640" i="1"/>
  <c r="D14640" i="1"/>
  <c r="E14640" i="1"/>
  <c r="C14641" i="1"/>
  <c r="D14641" i="1"/>
  <c r="E14641" i="1"/>
  <c r="C14642" i="1"/>
  <c r="D14642" i="1"/>
  <c r="E14642" i="1"/>
  <c r="C14643" i="1"/>
  <c r="D14643" i="1"/>
  <c r="E14643" i="1"/>
  <c r="C14644" i="1"/>
  <c r="D14644" i="1"/>
  <c r="E14644" i="1"/>
  <c r="C14645" i="1"/>
  <c r="D14645" i="1"/>
  <c r="E14645" i="1"/>
  <c r="C14646" i="1"/>
  <c r="D14646" i="1"/>
  <c r="E14646" i="1"/>
  <c r="C14647" i="1"/>
  <c r="D14647" i="1"/>
  <c r="E14647" i="1"/>
  <c r="C14648" i="1"/>
  <c r="D14648" i="1"/>
  <c r="E14648" i="1"/>
  <c r="C14649" i="1"/>
  <c r="D14649" i="1"/>
  <c r="E14649" i="1"/>
  <c r="C14650" i="1"/>
  <c r="D14650" i="1"/>
  <c r="E14650" i="1"/>
  <c r="C14651" i="1"/>
  <c r="D14651" i="1"/>
  <c r="E14651" i="1"/>
  <c r="C14652" i="1"/>
  <c r="D14652" i="1"/>
  <c r="E14652" i="1"/>
  <c r="C14653" i="1"/>
  <c r="D14653" i="1"/>
  <c r="E14653" i="1"/>
  <c r="C14654" i="1"/>
  <c r="D14654" i="1"/>
  <c r="E14654" i="1"/>
  <c r="C14655" i="1"/>
  <c r="D14655" i="1"/>
  <c r="E14655" i="1"/>
  <c r="C14656" i="1"/>
  <c r="D14656" i="1"/>
  <c r="E14656" i="1"/>
  <c r="C14657" i="1"/>
  <c r="D14657" i="1"/>
  <c r="E14657" i="1"/>
  <c r="C14658" i="1"/>
  <c r="D14658" i="1"/>
  <c r="E14658" i="1"/>
  <c r="C14659" i="1"/>
  <c r="D14659" i="1"/>
  <c r="E14659" i="1"/>
  <c r="C14660" i="1"/>
  <c r="D14660" i="1"/>
  <c r="E14660" i="1"/>
  <c r="C14661" i="1"/>
  <c r="D14661" i="1"/>
  <c r="E14661" i="1"/>
  <c r="C14662" i="1"/>
  <c r="D14662" i="1"/>
  <c r="E14662" i="1"/>
  <c r="C14663" i="1"/>
  <c r="D14663" i="1"/>
  <c r="E14663" i="1"/>
  <c r="C14664" i="1"/>
  <c r="D14664" i="1"/>
  <c r="E14664" i="1"/>
  <c r="C14665" i="1"/>
  <c r="D14665" i="1"/>
  <c r="E14665" i="1"/>
  <c r="C14666" i="1"/>
  <c r="D14666" i="1"/>
  <c r="E14666" i="1"/>
  <c r="C14667" i="1"/>
  <c r="D14667" i="1"/>
  <c r="E14667" i="1"/>
  <c r="C14668" i="1"/>
  <c r="D14668" i="1"/>
  <c r="E14668" i="1"/>
  <c r="C14669" i="1"/>
  <c r="D14669" i="1"/>
  <c r="E14669" i="1"/>
  <c r="C14670" i="1"/>
  <c r="D14670" i="1"/>
  <c r="E14670" i="1"/>
  <c r="C14671" i="1"/>
  <c r="D14671" i="1"/>
  <c r="E14671" i="1"/>
  <c r="C14672" i="1"/>
  <c r="D14672" i="1"/>
  <c r="E14672" i="1"/>
  <c r="C14673" i="1"/>
  <c r="D14673" i="1"/>
  <c r="E14673" i="1"/>
  <c r="C14674" i="1"/>
  <c r="D14674" i="1"/>
  <c r="E14674" i="1"/>
  <c r="C14675" i="1"/>
  <c r="D14675" i="1"/>
  <c r="E14675" i="1"/>
  <c r="C14676" i="1"/>
  <c r="D14676" i="1"/>
  <c r="E14676" i="1"/>
  <c r="C14677" i="1"/>
  <c r="D14677" i="1"/>
  <c r="E14677" i="1"/>
  <c r="C14678" i="1"/>
  <c r="D14678" i="1"/>
  <c r="E14678" i="1"/>
  <c r="C14679" i="1"/>
  <c r="D14679" i="1"/>
  <c r="E14679" i="1"/>
  <c r="C14680" i="1"/>
  <c r="D14680" i="1"/>
  <c r="E14680" i="1"/>
  <c r="C14681" i="1"/>
  <c r="D14681" i="1"/>
  <c r="E14681" i="1"/>
  <c r="C14682" i="1"/>
  <c r="D14682" i="1"/>
  <c r="E14682" i="1"/>
  <c r="C14683" i="1"/>
  <c r="D14683" i="1"/>
  <c r="E14683" i="1"/>
  <c r="C14684" i="1"/>
  <c r="D14684" i="1"/>
  <c r="E14684" i="1"/>
  <c r="C14685" i="1"/>
  <c r="D14685" i="1"/>
  <c r="E14685" i="1"/>
  <c r="C14686" i="1"/>
  <c r="D14686" i="1"/>
  <c r="E14686" i="1"/>
  <c r="C14687" i="1"/>
  <c r="D14687" i="1"/>
  <c r="E14687" i="1"/>
  <c r="C14688" i="1"/>
  <c r="D14688" i="1"/>
  <c r="E14688" i="1"/>
  <c r="C14689" i="1"/>
  <c r="D14689" i="1"/>
  <c r="E14689" i="1"/>
  <c r="C14690" i="1"/>
  <c r="D14690" i="1"/>
  <c r="E14690" i="1"/>
  <c r="C14691" i="1"/>
  <c r="D14691" i="1"/>
  <c r="E14691" i="1"/>
  <c r="C14692" i="1"/>
  <c r="D14692" i="1"/>
  <c r="E14692" i="1"/>
  <c r="C14693" i="1"/>
  <c r="D14693" i="1"/>
  <c r="E14693" i="1"/>
  <c r="C14694" i="1"/>
  <c r="D14694" i="1"/>
  <c r="E14694" i="1"/>
  <c r="C14695" i="1"/>
  <c r="D14695" i="1"/>
  <c r="E14695" i="1"/>
  <c r="C14696" i="1"/>
  <c r="D14696" i="1"/>
  <c r="E14696" i="1"/>
  <c r="C14697" i="1"/>
  <c r="D14697" i="1"/>
  <c r="E14697" i="1"/>
  <c r="C14698" i="1"/>
  <c r="D14698" i="1"/>
  <c r="E14698" i="1"/>
  <c r="C14699" i="1"/>
  <c r="D14699" i="1"/>
  <c r="E14699" i="1"/>
  <c r="C14700" i="1"/>
  <c r="D14700" i="1"/>
  <c r="E14700" i="1"/>
  <c r="C14701" i="1"/>
  <c r="D14701" i="1"/>
  <c r="E14701" i="1"/>
  <c r="C14702" i="1"/>
  <c r="D14702" i="1"/>
  <c r="E14702" i="1"/>
  <c r="C14703" i="1"/>
  <c r="D14703" i="1"/>
  <c r="E14703" i="1"/>
  <c r="C14704" i="1"/>
  <c r="D14704" i="1"/>
  <c r="E14704" i="1"/>
  <c r="C14705" i="1"/>
  <c r="D14705" i="1"/>
  <c r="E14705" i="1"/>
  <c r="C14706" i="1"/>
  <c r="D14706" i="1"/>
  <c r="E14706" i="1"/>
  <c r="C14707" i="1"/>
  <c r="D14707" i="1"/>
  <c r="E14707" i="1"/>
  <c r="C14708" i="1"/>
  <c r="D14708" i="1"/>
  <c r="E14708" i="1"/>
  <c r="C14709" i="1"/>
  <c r="D14709" i="1"/>
  <c r="E14709" i="1"/>
  <c r="C14710" i="1"/>
  <c r="D14710" i="1"/>
  <c r="E14710" i="1"/>
  <c r="C14711" i="1"/>
  <c r="D14711" i="1"/>
  <c r="E14711" i="1"/>
  <c r="C14712" i="1"/>
  <c r="D14712" i="1"/>
  <c r="E14712" i="1"/>
  <c r="C14713" i="1"/>
  <c r="D14713" i="1"/>
  <c r="E14713" i="1"/>
  <c r="C14714" i="1"/>
  <c r="D14714" i="1"/>
  <c r="E14714" i="1"/>
  <c r="C14715" i="1"/>
  <c r="D14715" i="1"/>
  <c r="E14715" i="1"/>
  <c r="C14716" i="1"/>
  <c r="D14716" i="1"/>
  <c r="E14716" i="1"/>
  <c r="C14717" i="1"/>
  <c r="D14717" i="1"/>
  <c r="E14717" i="1"/>
  <c r="C14718" i="1"/>
  <c r="D14718" i="1"/>
  <c r="E14718" i="1"/>
  <c r="C14719" i="1"/>
  <c r="D14719" i="1"/>
  <c r="E14719" i="1"/>
  <c r="C14720" i="1"/>
  <c r="D14720" i="1"/>
  <c r="E14720" i="1"/>
  <c r="C14721" i="1"/>
  <c r="D14721" i="1"/>
  <c r="E14721" i="1"/>
  <c r="C14722" i="1"/>
  <c r="D14722" i="1"/>
  <c r="E14722" i="1"/>
  <c r="C14723" i="1"/>
  <c r="D14723" i="1"/>
  <c r="E14723" i="1"/>
  <c r="C14724" i="1"/>
  <c r="D14724" i="1"/>
  <c r="E14724" i="1"/>
  <c r="C14725" i="1"/>
  <c r="D14725" i="1"/>
  <c r="E14725" i="1"/>
  <c r="C14726" i="1"/>
  <c r="D14726" i="1"/>
  <c r="E14726" i="1"/>
  <c r="C14727" i="1"/>
  <c r="D14727" i="1"/>
  <c r="E14727" i="1"/>
  <c r="C14728" i="1"/>
  <c r="D14728" i="1"/>
  <c r="E14728" i="1"/>
  <c r="C14729" i="1"/>
  <c r="D14729" i="1"/>
  <c r="E14729" i="1"/>
  <c r="C14730" i="1"/>
  <c r="D14730" i="1"/>
  <c r="E14730" i="1"/>
  <c r="C14731" i="1"/>
  <c r="D14731" i="1"/>
  <c r="E14731" i="1"/>
  <c r="C14732" i="1"/>
  <c r="D14732" i="1"/>
  <c r="E14732" i="1"/>
  <c r="C14733" i="1"/>
  <c r="D14733" i="1"/>
  <c r="E14733" i="1"/>
  <c r="C14734" i="1"/>
  <c r="D14734" i="1"/>
  <c r="E14734" i="1"/>
  <c r="C14735" i="1"/>
  <c r="D14735" i="1"/>
  <c r="E14735" i="1"/>
  <c r="C14736" i="1"/>
  <c r="D14736" i="1"/>
  <c r="E14736" i="1"/>
  <c r="C14737" i="1"/>
  <c r="D14737" i="1"/>
  <c r="E14737" i="1"/>
  <c r="C14738" i="1"/>
  <c r="D14738" i="1"/>
  <c r="E14738" i="1"/>
  <c r="C14739" i="1"/>
  <c r="D14739" i="1"/>
  <c r="E14739" i="1"/>
  <c r="C14740" i="1"/>
  <c r="D14740" i="1"/>
  <c r="E14740" i="1"/>
  <c r="C14741" i="1"/>
  <c r="D14741" i="1"/>
  <c r="E14741" i="1"/>
  <c r="C14742" i="1"/>
  <c r="D14742" i="1"/>
  <c r="E14742" i="1"/>
  <c r="C14743" i="1"/>
  <c r="D14743" i="1"/>
  <c r="E14743" i="1"/>
  <c r="C14744" i="1"/>
  <c r="D14744" i="1"/>
  <c r="E14744" i="1"/>
  <c r="C14745" i="1"/>
  <c r="D14745" i="1"/>
  <c r="E14745" i="1"/>
  <c r="C14746" i="1"/>
  <c r="D14746" i="1"/>
  <c r="E14746" i="1"/>
  <c r="C14747" i="1"/>
  <c r="D14747" i="1"/>
  <c r="E14747" i="1"/>
  <c r="C14748" i="1"/>
  <c r="D14748" i="1"/>
  <c r="E14748" i="1"/>
  <c r="C14749" i="1"/>
  <c r="D14749" i="1"/>
  <c r="E14749" i="1"/>
  <c r="C14750" i="1"/>
  <c r="D14750" i="1"/>
  <c r="E14750" i="1"/>
  <c r="C14751" i="1"/>
  <c r="D14751" i="1"/>
  <c r="E14751" i="1"/>
  <c r="C14752" i="1"/>
  <c r="D14752" i="1"/>
  <c r="E14752" i="1"/>
  <c r="C14753" i="1"/>
  <c r="D14753" i="1"/>
  <c r="E14753" i="1"/>
  <c r="C14754" i="1"/>
  <c r="D14754" i="1"/>
  <c r="E14754" i="1"/>
  <c r="C14755" i="1"/>
  <c r="D14755" i="1"/>
  <c r="E14755" i="1"/>
  <c r="C14756" i="1"/>
  <c r="D14756" i="1"/>
  <c r="E14756" i="1"/>
  <c r="C14757" i="1"/>
  <c r="D14757" i="1"/>
  <c r="E14757" i="1"/>
  <c r="C14758" i="1"/>
  <c r="D14758" i="1"/>
  <c r="E14758" i="1"/>
  <c r="C14759" i="1"/>
  <c r="D14759" i="1"/>
  <c r="E14759" i="1"/>
  <c r="C14760" i="1"/>
  <c r="D14760" i="1"/>
  <c r="E14760" i="1"/>
  <c r="C14761" i="1"/>
  <c r="D14761" i="1"/>
  <c r="E14761" i="1"/>
  <c r="C14762" i="1"/>
  <c r="D14762" i="1"/>
  <c r="E14762" i="1"/>
  <c r="C14763" i="1"/>
  <c r="D14763" i="1"/>
  <c r="E14763" i="1"/>
  <c r="C14764" i="1"/>
  <c r="D14764" i="1"/>
  <c r="E14764" i="1"/>
  <c r="C14765" i="1"/>
  <c r="D14765" i="1"/>
  <c r="E14765" i="1"/>
  <c r="C14766" i="1"/>
  <c r="D14766" i="1"/>
  <c r="E14766" i="1"/>
  <c r="C14767" i="1"/>
  <c r="D14767" i="1"/>
  <c r="E14767" i="1"/>
  <c r="C14768" i="1"/>
  <c r="D14768" i="1"/>
  <c r="E14768" i="1"/>
  <c r="C14769" i="1"/>
  <c r="D14769" i="1"/>
  <c r="E14769" i="1"/>
  <c r="C14770" i="1"/>
  <c r="D14770" i="1"/>
  <c r="E14770" i="1"/>
  <c r="C14771" i="1"/>
  <c r="D14771" i="1"/>
  <c r="E14771" i="1"/>
  <c r="C14772" i="1"/>
  <c r="D14772" i="1"/>
  <c r="E14772" i="1"/>
  <c r="C14773" i="1"/>
  <c r="D14773" i="1"/>
  <c r="E14773" i="1"/>
  <c r="C14774" i="1"/>
  <c r="D14774" i="1"/>
  <c r="E14774" i="1"/>
  <c r="C14775" i="1"/>
  <c r="D14775" i="1"/>
  <c r="E14775" i="1"/>
  <c r="C14776" i="1"/>
  <c r="D14776" i="1"/>
  <c r="E14776" i="1"/>
  <c r="C14777" i="1"/>
  <c r="D14777" i="1"/>
  <c r="E14777" i="1"/>
  <c r="C14778" i="1"/>
  <c r="D14778" i="1"/>
  <c r="E14778" i="1"/>
  <c r="C14779" i="1"/>
  <c r="D14779" i="1"/>
  <c r="E14779" i="1"/>
  <c r="C14780" i="1"/>
  <c r="D14780" i="1"/>
  <c r="E14780" i="1"/>
  <c r="C14781" i="1"/>
  <c r="D14781" i="1"/>
  <c r="E14781" i="1"/>
  <c r="C14782" i="1"/>
  <c r="D14782" i="1"/>
  <c r="E14782" i="1"/>
  <c r="C14783" i="1"/>
  <c r="D14783" i="1"/>
  <c r="E14783" i="1"/>
  <c r="C14784" i="1"/>
  <c r="D14784" i="1"/>
  <c r="E14784" i="1"/>
  <c r="C14785" i="1"/>
  <c r="D14785" i="1"/>
  <c r="E14785" i="1"/>
  <c r="C14786" i="1"/>
  <c r="D14786" i="1"/>
  <c r="E14786" i="1"/>
  <c r="C14787" i="1"/>
  <c r="D14787" i="1"/>
  <c r="E14787" i="1"/>
  <c r="C14788" i="1"/>
  <c r="D14788" i="1"/>
  <c r="E14788" i="1"/>
  <c r="C14789" i="1"/>
  <c r="D14789" i="1"/>
  <c r="E14789" i="1"/>
  <c r="C14790" i="1"/>
  <c r="D14790" i="1"/>
  <c r="E14790" i="1"/>
  <c r="C14791" i="1"/>
  <c r="D14791" i="1"/>
  <c r="E14791" i="1"/>
  <c r="C14792" i="1"/>
  <c r="D14792" i="1"/>
  <c r="E14792" i="1"/>
  <c r="C14793" i="1"/>
  <c r="D14793" i="1"/>
  <c r="E14793" i="1"/>
  <c r="C14794" i="1"/>
  <c r="D14794" i="1"/>
  <c r="E14794" i="1"/>
  <c r="C14795" i="1"/>
  <c r="D14795" i="1"/>
  <c r="E14795" i="1"/>
  <c r="C14796" i="1"/>
  <c r="D14796" i="1"/>
  <c r="E14796" i="1"/>
  <c r="C14797" i="1"/>
  <c r="D14797" i="1"/>
  <c r="E14797" i="1"/>
  <c r="C14798" i="1"/>
  <c r="D14798" i="1"/>
  <c r="E14798" i="1"/>
  <c r="C14799" i="1"/>
  <c r="D14799" i="1"/>
  <c r="E14799" i="1"/>
  <c r="C14800" i="1"/>
  <c r="D14800" i="1"/>
  <c r="E14800" i="1"/>
  <c r="C14801" i="1"/>
  <c r="D14801" i="1"/>
  <c r="E14801" i="1"/>
  <c r="C14802" i="1"/>
  <c r="D14802" i="1"/>
  <c r="E14802" i="1"/>
  <c r="C14803" i="1"/>
  <c r="D14803" i="1"/>
  <c r="E14803" i="1"/>
  <c r="C14804" i="1"/>
  <c r="D14804" i="1"/>
  <c r="E14804" i="1"/>
  <c r="C14805" i="1"/>
  <c r="D14805" i="1"/>
  <c r="E14805" i="1"/>
  <c r="C14806" i="1"/>
  <c r="D14806" i="1"/>
  <c r="E14806" i="1"/>
  <c r="C14807" i="1"/>
  <c r="D14807" i="1"/>
  <c r="E14807" i="1"/>
  <c r="C14808" i="1"/>
  <c r="D14808" i="1"/>
  <c r="E14808" i="1"/>
  <c r="C14809" i="1"/>
  <c r="D14809" i="1"/>
  <c r="E14809" i="1"/>
  <c r="C14810" i="1"/>
  <c r="D14810" i="1"/>
  <c r="E14810" i="1"/>
  <c r="C14811" i="1"/>
  <c r="D14811" i="1"/>
  <c r="E14811" i="1"/>
  <c r="C14812" i="1"/>
  <c r="D14812" i="1"/>
  <c r="E14812" i="1"/>
  <c r="C14813" i="1"/>
  <c r="D14813" i="1"/>
  <c r="E14813" i="1"/>
  <c r="C14814" i="1"/>
  <c r="D14814" i="1"/>
  <c r="E14814" i="1"/>
  <c r="C14815" i="1"/>
  <c r="D14815" i="1"/>
  <c r="E14815" i="1"/>
  <c r="C14816" i="1"/>
  <c r="D14816" i="1"/>
  <c r="E14816" i="1"/>
  <c r="C14817" i="1"/>
  <c r="D14817" i="1"/>
  <c r="E14817" i="1"/>
  <c r="C14818" i="1"/>
  <c r="D14818" i="1"/>
  <c r="E14818" i="1"/>
  <c r="C14819" i="1"/>
  <c r="D14819" i="1"/>
  <c r="E14819" i="1"/>
  <c r="C14820" i="1"/>
  <c r="D14820" i="1"/>
  <c r="E14820" i="1"/>
  <c r="C14821" i="1"/>
  <c r="D14821" i="1"/>
  <c r="E14821" i="1"/>
  <c r="C14822" i="1"/>
  <c r="D14822" i="1"/>
  <c r="E14822" i="1"/>
  <c r="C14823" i="1"/>
  <c r="D14823" i="1"/>
  <c r="E14823" i="1"/>
  <c r="C14824" i="1"/>
  <c r="D14824" i="1"/>
  <c r="E14824" i="1"/>
  <c r="C14825" i="1"/>
  <c r="D14825" i="1"/>
  <c r="E14825" i="1"/>
  <c r="C14826" i="1"/>
  <c r="D14826" i="1"/>
  <c r="E14826" i="1"/>
  <c r="C14827" i="1"/>
  <c r="D14827" i="1"/>
  <c r="E14827" i="1"/>
  <c r="C14828" i="1"/>
  <c r="D14828" i="1"/>
  <c r="E14828" i="1"/>
  <c r="C14829" i="1"/>
  <c r="D14829" i="1"/>
  <c r="E14829" i="1"/>
  <c r="C14830" i="1"/>
  <c r="D14830" i="1"/>
  <c r="E14830" i="1"/>
  <c r="C14831" i="1"/>
  <c r="D14831" i="1"/>
  <c r="E14831" i="1"/>
  <c r="C14832" i="1"/>
  <c r="D14832" i="1"/>
  <c r="E14832" i="1"/>
  <c r="C14833" i="1"/>
  <c r="D14833" i="1"/>
  <c r="E14833" i="1"/>
  <c r="C14834" i="1"/>
  <c r="D14834" i="1"/>
  <c r="E14834" i="1"/>
  <c r="C14835" i="1"/>
  <c r="D14835" i="1"/>
  <c r="E14835" i="1"/>
  <c r="C14836" i="1"/>
  <c r="D14836" i="1"/>
  <c r="E14836" i="1"/>
  <c r="C14837" i="1"/>
  <c r="D14837" i="1"/>
  <c r="E14837" i="1"/>
  <c r="C14838" i="1"/>
  <c r="D14838" i="1"/>
  <c r="E14838" i="1"/>
  <c r="C14839" i="1"/>
  <c r="D14839" i="1"/>
  <c r="E14839" i="1"/>
  <c r="C14840" i="1"/>
  <c r="D14840" i="1"/>
  <c r="E14840" i="1"/>
  <c r="C14841" i="1"/>
  <c r="D14841" i="1"/>
  <c r="E14841" i="1"/>
  <c r="C14842" i="1"/>
  <c r="D14842" i="1"/>
  <c r="E14842" i="1"/>
  <c r="C14843" i="1"/>
  <c r="D14843" i="1"/>
  <c r="E14843" i="1"/>
  <c r="C14844" i="1"/>
  <c r="D14844" i="1"/>
  <c r="E14844" i="1"/>
  <c r="C14845" i="1"/>
  <c r="D14845" i="1"/>
  <c r="E14845" i="1"/>
  <c r="C14846" i="1"/>
  <c r="D14846" i="1"/>
  <c r="E14846" i="1"/>
  <c r="C14847" i="1"/>
  <c r="D14847" i="1"/>
  <c r="E14847" i="1"/>
  <c r="C14848" i="1"/>
  <c r="D14848" i="1"/>
  <c r="E14848" i="1"/>
  <c r="C14849" i="1"/>
  <c r="D14849" i="1"/>
  <c r="E14849" i="1"/>
  <c r="C14850" i="1"/>
  <c r="D14850" i="1"/>
  <c r="E14850" i="1"/>
  <c r="C14851" i="1"/>
  <c r="D14851" i="1"/>
  <c r="E14851" i="1"/>
  <c r="C14852" i="1"/>
  <c r="D14852" i="1"/>
  <c r="E14852" i="1"/>
  <c r="C14853" i="1"/>
  <c r="D14853" i="1"/>
  <c r="E14853" i="1"/>
  <c r="C14854" i="1"/>
  <c r="D14854" i="1"/>
  <c r="E14854" i="1"/>
  <c r="C14855" i="1"/>
  <c r="D14855" i="1"/>
  <c r="E14855" i="1"/>
  <c r="C14856" i="1"/>
  <c r="D14856" i="1"/>
  <c r="E14856" i="1"/>
  <c r="C14857" i="1"/>
  <c r="D14857" i="1"/>
  <c r="E14857" i="1"/>
  <c r="C14858" i="1"/>
  <c r="D14858" i="1"/>
  <c r="E14858" i="1"/>
  <c r="C14859" i="1"/>
  <c r="D14859" i="1"/>
  <c r="E14859" i="1"/>
  <c r="C14860" i="1"/>
  <c r="D14860" i="1"/>
  <c r="E14860" i="1"/>
  <c r="C14861" i="1"/>
  <c r="D14861" i="1"/>
  <c r="E14861" i="1"/>
  <c r="C14862" i="1"/>
  <c r="D14862" i="1"/>
  <c r="E14862" i="1"/>
  <c r="C14863" i="1"/>
  <c r="D14863" i="1"/>
  <c r="E14863" i="1"/>
  <c r="C14864" i="1"/>
  <c r="D14864" i="1"/>
  <c r="E14864" i="1"/>
  <c r="C14865" i="1"/>
  <c r="D14865" i="1"/>
  <c r="E14865" i="1"/>
  <c r="C14866" i="1"/>
  <c r="D14866" i="1"/>
  <c r="E14866" i="1"/>
  <c r="C14867" i="1"/>
  <c r="D14867" i="1"/>
  <c r="E14867" i="1"/>
  <c r="C14868" i="1"/>
  <c r="D14868" i="1"/>
  <c r="E14868" i="1"/>
  <c r="C14869" i="1"/>
  <c r="D14869" i="1"/>
  <c r="E14869" i="1"/>
  <c r="C14870" i="1"/>
  <c r="D14870" i="1"/>
  <c r="E14870" i="1"/>
  <c r="C14871" i="1"/>
  <c r="D14871" i="1"/>
  <c r="E14871" i="1"/>
  <c r="C14872" i="1"/>
  <c r="D14872" i="1"/>
  <c r="E14872" i="1"/>
  <c r="C14873" i="1"/>
  <c r="D14873" i="1"/>
  <c r="E14873" i="1"/>
  <c r="C14874" i="1"/>
  <c r="D14874" i="1"/>
  <c r="E14874" i="1"/>
  <c r="C14875" i="1"/>
  <c r="D14875" i="1"/>
  <c r="E14875" i="1"/>
  <c r="C14876" i="1"/>
  <c r="D14876" i="1"/>
  <c r="E14876" i="1"/>
  <c r="C14877" i="1"/>
  <c r="D14877" i="1"/>
  <c r="E14877" i="1"/>
  <c r="C14878" i="1"/>
  <c r="D14878" i="1"/>
  <c r="E14878" i="1"/>
  <c r="C14879" i="1"/>
  <c r="D14879" i="1"/>
  <c r="E14879" i="1"/>
  <c r="C14880" i="1"/>
  <c r="D14880" i="1"/>
  <c r="E14880" i="1"/>
  <c r="C14881" i="1"/>
  <c r="D14881" i="1"/>
  <c r="E14881" i="1"/>
  <c r="C14882" i="1"/>
  <c r="D14882" i="1"/>
  <c r="E14882" i="1"/>
  <c r="C14883" i="1"/>
  <c r="D14883" i="1"/>
  <c r="E14883" i="1"/>
  <c r="C14884" i="1"/>
  <c r="D14884" i="1"/>
  <c r="E14884" i="1"/>
  <c r="C14885" i="1"/>
  <c r="D14885" i="1"/>
  <c r="E14885" i="1"/>
  <c r="C14886" i="1"/>
  <c r="D14886" i="1"/>
  <c r="E14886" i="1"/>
  <c r="C14887" i="1"/>
  <c r="D14887" i="1"/>
  <c r="E14887" i="1"/>
  <c r="C14888" i="1"/>
  <c r="D14888" i="1"/>
  <c r="E14888" i="1"/>
  <c r="C14889" i="1"/>
  <c r="D14889" i="1"/>
  <c r="E14889" i="1"/>
  <c r="C14890" i="1"/>
  <c r="D14890" i="1"/>
  <c r="E14890" i="1"/>
  <c r="C14891" i="1"/>
  <c r="D14891" i="1"/>
  <c r="E14891" i="1"/>
  <c r="C14892" i="1"/>
  <c r="D14892" i="1"/>
  <c r="E14892" i="1"/>
  <c r="C14893" i="1"/>
  <c r="D14893" i="1"/>
  <c r="E14893" i="1"/>
  <c r="C14894" i="1"/>
  <c r="D14894" i="1"/>
  <c r="E14894" i="1"/>
  <c r="C14895" i="1"/>
  <c r="D14895" i="1"/>
  <c r="E14895" i="1"/>
  <c r="C14896" i="1"/>
  <c r="D14896" i="1"/>
  <c r="E14896" i="1"/>
  <c r="C14897" i="1"/>
  <c r="D14897" i="1"/>
  <c r="E14897" i="1"/>
  <c r="C14898" i="1"/>
  <c r="D14898" i="1"/>
  <c r="E14898" i="1"/>
  <c r="C14899" i="1"/>
  <c r="D14899" i="1"/>
  <c r="E14899" i="1"/>
  <c r="C14900" i="1"/>
  <c r="D14900" i="1"/>
  <c r="E14900" i="1"/>
  <c r="C14901" i="1"/>
  <c r="D14901" i="1"/>
  <c r="E14901" i="1"/>
  <c r="C14902" i="1"/>
  <c r="D14902" i="1"/>
  <c r="E14902" i="1"/>
  <c r="C14903" i="1"/>
  <c r="D14903" i="1"/>
  <c r="E14903" i="1"/>
  <c r="C14904" i="1"/>
  <c r="D14904" i="1"/>
  <c r="E14904" i="1"/>
  <c r="C14905" i="1"/>
  <c r="D14905" i="1"/>
  <c r="E14905" i="1"/>
  <c r="C14906" i="1"/>
  <c r="D14906" i="1"/>
  <c r="E14906" i="1"/>
  <c r="C14907" i="1"/>
  <c r="D14907" i="1"/>
  <c r="E14907" i="1"/>
  <c r="C14908" i="1"/>
  <c r="D14908" i="1"/>
  <c r="E14908" i="1"/>
  <c r="C14909" i="1"/>
  <c r="D14909" i="1"/>
  <c r="E14909" i="1"/>
  <c r="C14910" i="1"/>
  <c r="D14910" i="1"/>
  <c r="E14910" i="1"/>
  <c r="C14911" i="1"/>
  <c r="D14911" i="1"/>
  <c r="E14911" i="1"/>
  <c r="C14912" i="1"/>
  <c r="D14912" i="1"/>
  <c r="E14912" i="1"/>
  <c r="C14913" i="1"/>
  <c r="D14913" i="1"/>
  <c r="E14913" i="1"/>
  <c r="C14914" i="1"/>
  <c r="D14914" i="1"/>
  <c r="E14914" i="1"/>
  <c r="C14915" i="1"/>
  <c r="D14915" i="1"/>
  <c r="E14915" i="1"/>
  <c r="C14916" i="1"/>
  <c r="D14916" i="1"/>
  <c r="E14916" i="1"/>
  <c r="C14917" i="1"/>
  <c r="D14917" i="1"/>
  <c r="E14917" i="1"/>
  <c r="C14918" i="1"/>
  <c r="D14918" i="1"/>
  <c r="E14918" i="1"/>
  <c r="C14919" i="1"/>
  <c r="D14919" i="1"/>
  <c r="E14919" i="1"/>
  <c r="C14920" i="1"/>
  <c r="D14920" i="1"/>
  <c r="E14920" i="1"/>
  <c r="C14921" i="1"/>
  <c r="D14921" i="1"/>
  <c r="E14921" i="1"/>
  <c r="C14922" i="1"/>
  <c r="D14922" i="1"/>
  <c r="E14922" i="1"/>
  <c r="C14923" i="1"/>
  <c r="D14923" i="1"/>
  <c r="E14923" i="1"/>
  <c r="C14924" i="1"/>
  <c r="D14924" i="1"/>
  <c r="E14924" i="1"/>
  <c r="C14925" i="1"/>
  <c r="D14925" i="1"/>
  <c r="E14925" i="1"/>
  <c r="C14926" i="1"/>
  <c r="D14926" i="1"/>
  <c r="E14926" i="1"/>
  <c r="C14927" i="1"/>
  <c r="D14927" i="1"/>
  <c r="E14927" i="1"/>
  <c r="C14928" i="1"/>
  <c r="D14928" i="1"/>
  <c r="E14928" i="1"/>
  <c r="C14929" i="1"/>
  <c r="D14929" i="1"/>
  <c r="E14929" i="1"/>
  <c r="C14930" i="1"/>
  <c r="D14930" i="1"/>
  <c r="E14930" i="1"/>
  <c r="C14931" i="1"/>
  <c r="D14931" i="1"/>
  <c r="E14931" i="1"/>
  <c r="C14932" i="1"/>
  <c r="D14932" i="1"/>
  <c r="E14932" i="1"/>
  <c r="C14933" i="1"/>
  <c r="D14933" i="1"/>
  <c r="E14933" i="1"/>
  <c r="C14934" i="1"/>
  <c r="D14934" i="1"/>
  <c r="E14934" i="1"/>
  <c r="C14935" i="1"/>
  <c r="D14935" i="1"/>
  <c r="E14935" i="1"/>
  <c r="C14936" i="1"/>
  <c r="D14936" i="1"/>
  <c r="E14936" i="1"/>
  <c r="C14937" i="1"/>
  <c r="D14937" i="1"/>
  <c r="E14937" i="1"/>
  <c r="C14938" i="1"/>
  <c r="D14938" i="1"/>
  <c r="E14938" i="1"/>
  <c r="C14939" i="1"/>
  <c r="D14939" i="1"/>
  <c r="E14939" i="1"/>
  <c r="C14940" i="1"/>
  <c r="D14940" i="1"/>
  <c r="E14940" i="1"/>
  <c r="C14941" i="1"/>
  <c r="D14941" i="1"/>
  <c r="E14941" i="1"/>
  <c r="C14942" i="1"/>
  <c r="D14942" i="1"/>
  <c r="E14942" i="1"/>
  <c r="C14943" i="1"/>
  <c r="D14943" i="1"/>
  <c r="E14943" i="1"/>
  <c r="C14944" i="1"/>
  <c r="D14944" i="1"/>
  <c r="E14944" i="1"/>
  <c r="C14945" i="1"/>
  <c r="D14945" i="1"/>
  <c r="E14945" i="1"/>
  <c r="C14946" i="1"/>
  <c r="D14946" i="1"/>
  <c r="E14946" i="1"/>
  <c r="C14947" i="1"/>
  <c r="D14947" i="1"/>
  <c r="E14947" i="1"/>
  <c r="C14948" i="1"/>
  <c r="D14948" i="1"/>
  <c r="E14948" i="1"/>
  <c r="C14949" i="1"/>
  <c r="D14949" i="1"/>
  <c r="E14949" i="1"/>
  <c r="C14950" i="1"/>
  <c r="D14950" i="1"/>
  <c r="E14950" i="1"/>
  <c r="C14951" i="1"/>
  <c r="D14951" i="1"/>
  <c r="E14951" i="1"/>
  <c r="C14952" i="1"/>
  <c r="D14952" i="1"/>
  <c r="E14952" i="1"/>
  <c r="C14953" i="1"/>
  <c r="D14953" i="1"/>
  <c r="E14953" i="1"/>
  <c r="C14954" i="1"/>
  <c r="D14954" i="1"/>
  <c r="E14954" i="1"/>
  <c r="C14955" i="1"/>
  <c r="D14955" i="1"/>
  <c r="E14955" i="1"/>
  <c r="C14956" i="1"/>
  <c r="D14956" i="1"/>
  <c r="E14956" i="1"/>
  <c r="C14957" i="1"/>
  <c r="D14957" i="1"/>
  <c r="E14957" i="1"/>
  <c r="C14958" i="1"/>
  <c r="D14958" i="1"/>
  <c r="E14958" i="1"/>
  <c r="C14959" i="1"/>
  <c r="D14959" i="1"/>
  <c r="E14959" i="1"/>
  <c r="C14960" i="1"/>
  <c r="D14960" i="1"/>
  <c r="E14960" i="1"/>
  <c r="C14961" i="1"/>
  <c r="D14961" i="1"/>
  <c r="E14961" i="1"/>
  <c r="C14962" i="1"/>
  <c r="D14962" i="1"/>
  <c r="E14962" i="1"/>
  <c r="C14963" i="1"/>
  <c r="D14963" i="1"/>
  <c r="E14963" i="1"/>
  <c r="C14964" i="1"/>
  <c r="D14964" i="1"/>
  <c r="E14964" i="1"/>
  <c r="C14965" i="1"/>
  <c r="D14965" i="1"/>
  <c r="E14965" i="1"/>
  <c r="C14966" i="1"/>
  <c r="D14966" i="1"/>
  <c r="E14966" i="1"/>
  <c r="C14967" i="1"/>
  <c r="D14967" i="1"/>
  <c r="E14967" i="1"/>
  <c r="C14968" i="1"/>
  <c r="D14968" i="1"/>
  <c r="E14968" i="1"/>
  <c r="C14969" i="1"/>
  <c r="D14969" i="1"/>
  <c r="E14969" i="1"/>
  <c r="C14970" i="1"/>
  <c r="D14970" i="1"/>
  <c r="E14970" i="1"/>
  <c r="C14971" i="1"/>
  <c r="D14971" i="1"/>
  <c r="E14971" i="1"/>
  <c r="C14972" i="1"/>
  <c r="D14972" i="1"/>
  <c r="E14972" i="1"/>
  <c r="C14973" i="1"/>
  <c r="D14973" i="1"/>
  <c r="E14973" i="1"/>
  <c r="C14974" i="1"/>
  <c r="D14974" i="1"/>
  <c r="E14974" i="1"/>
  <c r="C14975" i="1"/>
  <c r="D14975" i="1"/>
  <c r="E14975" i="1"/>
  <c r="C14976" i="1"/>
  <c r="D14976" i="1"/>
  <c r="E14976" i="1"/>
  <c r="C14977" i="1"/>
  <c r="D14977" i="1"/>
  <c r="E14977" i="1"/>
  <c r="C14978" i="1"/>
  <c r="D14978" i="1"/>
  <c r="E14978" i="1"/>
  <c r="C14979" i="1"/>
  <c r="D14979" i="1"/>
  <c r="E14979" i="1"/>
  <c r="C14980" i="1"/>
  <c r="D14980" i="1"/>
  <c r="E14980" i="1"/>
  <c r="C14981" i="1"/>
  <c r="D14981" i="1"/>
  <c r="E14981" i="1"/>
  <c r="C14982" i="1"/>
  <c r="D14982" i="1"/>
  <c r="E14982" i="1"/>
  <c r="C14983" i="1"/>
  <c r="D14983" i="1"/>
  <c r="E14983" i="1"/>
  <c r="C14984" i="1"/>
  <c r="D14984" i="1"/>
  <c r="E14984" i="1"/>
  <c r="C14985" i="1"/>
  <c r="D14985" i="1"/>
  <c r="E14985" i="1"/>
  <c r="C14986" i="1"/>
  <c r="D14986" i="1"/>
  <c r="E14986" i="1"/>
  <c r="C14987" i="1"/>
  <c r="D14987" i="1"/>
  <c r="E14987" i="1"/>
  <c r="C14988" i="1"/>
  <c r="D14988" i="1"/>
  <c r="E14988" i="1"/>
  <c r="C14989" i="1"/>
  <c r="D14989" i="1"/>
  <c r="E14989" i="1"/>
  <c r="C14990" i="1"/>
  <c r="D14990" i="1"/>
  <c r="E14990" i="1"/>
  <c r="C14991" i="1"/>
  <c r="D14991" i="1"/>
  <c r="E14991" i="1"/>
  <c r="C14992" i="1"/>
  <c r="D14992" i="1"/>
  <c r="E14992" i="1"/>
  <c r="C14993" i="1"/>
  <c r="D14993" i="1"/>
  <c r="E14993" i="1"/>
  <c r="C14994" i="1"/>
  <c r="D14994" i="1"/>
  <c r="E14994" i="1"/>
  <c r="C14995" i="1"/>
  <c r="D14995" i="1"/>
  <c r="E14995" i="1"/>
  <c r="C14996" i="1"/>
  <c r="D14996" i="1"/>
  <c r="E14996" i="1"/>
  <c r="C14997" i="1"/>
  <c r="D14997" i="1"/>
  <c r="E14997" i="1"/>
  <c r="C14998" i="1"/>
  <c r="D14998" i="1"/>
  <c r="E14998" i="1"/>
  <c r="C14999" i="1"/>
  <c r="D14999" i="1"/>
  <c r="E14999" i="1"/>
  <c r="C15000" i="1"/>
  <c r="D15000" i="1"/>
  <c r="E15000" i="1"/>
  <c r="C15001" i="1"/>
  <c r="D15001" i="1"/>
  <c r="E15001" i="1"/>
  <c r="C15002" i="1"/>
  <c r="D15002" i="1"/>
  <c r="E15002" i="1"/>
  <c r="C15003" i="1"/>
  <c r="D15003" i="1"/>
  <c r="E15003" i="1"/>
  <c r="C15004" i="1"/>
  <c r="D15004" i="1"/>
  <c r="E15004" i="1"/>
  <c r="C15005" i="1"/>
  <c r="D15005" i="1"/>
  <c r="E15005" i="1"/>
  <c r="C15006" i="1"/>
  <c r="D15006" i="1"/>
  <c r="E15006" i="1"/>
  <c r="C15007" i="1"/>
  <c r="D15007" i="1"/>
  <c r="E15007" i="1"/>
  <c r="C15008" i="1"/>
  <c r="D15008" i="1"/>
  <c r="E15008" i="1"/>
  <c r="C15009" i="1"/>
  <c r="D15009" i="1"/>
  <c r="E15009" i="1"/>
  <c r="C15010" i="1"/>
  <c r="D15010" i="1"/>
  <c r="E15010" i="1"/>
  <c r="C15011" i="1"/>
  <c r="D15011" i="1"/>
  <c r="E15011" i="1"/>
  <c r="C15012" i="1"/>
  <c r="D15012" i="1"/>
  <c r="E15012" i="1"/>
  <c r="C15013" i="1"/>
  <c r="D15013" i="1"/>
  <c r="E15013" i="1"/>
  <c r="C15014" i="1"/>
  <c r="D15014" i="1"/>
  <c r="E15014" i="1"/>
  <c r="C15015" i="1"/>
  <c r="D15015" i="1"/>
  <c r="E15015" i="1"/>
  <c r="C15016" i="1"/>
  <c r="D15016" i="1"/>
  <c r="E15016" i="1"/>
  <c r="C15017" i="1"/>
  <c r="D15017" i="1"/>
  <c r="E15017" i="1"/>
  <c r="C15018" i="1"/>
  <c r="D15018" i="1"/>
  <c r="E15018" i="1"/>
  <c r="C15019" i="1"/>
  <c r="D15019" i="1"/>
  <c r="E15019" i="1"/>
  <c r="C15020" i="1"/>
  <c r="D15020" i="1"/>
  <c r="E15020" i="1"/>
  <c r="C15021" i="1"/>
  <c r="D15021" i="1"/>
  <c r="E15021" i="1"/>
  <c r="C15022" i="1"/>
  <c r="D15022" i="1"/>
  <c r="E15022" i="1"/>
  <c r="C15023" i="1"/>
  <c r="D15023" i="1"/>
  <c r="E15023" i="1"/>
  <c r="C15024" i="1"/>
  <c r="D15024" i="1"/>
  <c r="E15024" i="1"/>
  <c r="C15025" i="1"/>
  <c r="D15025" i="1"/>
  <c r="E15025" i="1"/>
  <c r="C15026" i="1"/>
  <c r="D15026" i="1"/>
  <c r="E15026" i="1"/>
  <c r="C15027" i="1"/>
  <c r="D15027" i="1"/>
  <c r="E15027" i="1"/>
  <c r="C15028" i="1"/>
  <c r="D15028" i="1"/>
  <c r="E15028" i="1"/>
  <c r="C15029" i="1"/>
  <c r="D15029" i="1"/>
  <c r="E15029" i="1"/>
  <c r="C15030" i="1"/>
  <c r="D15030" i="1"/>
  <c r="E15030" i="1"/>
  <c r="C15031" i="1"/>
  <c r="D15031" i="1"/>
  <c r="E15031" i="1"/>
  <c r="C15032" i="1"/>
  <c r="D15032" i="1"/>
  <c r="E15032" i="1"/>
  <c r="C15033" i="1"/>
  <c r="D15033" i="1"/>
  <c r="E15033" i="1"/>
  <c r="C15034" i="1"/>
  <c r="D15034" i="1"/>
  <c r="E15034" i="1"/>
  <c r="C15035" i="1"/>
  <c r="D15035" i="1"/>
  <c r="E15035" i="1"/>
  <c r="C15036" i="1"/>
  <c r="D15036" i="1"/>
  <c r="E15036" i="1"/>
  <c r="C15037" i="1"/>
  <c r="D15037" i="1"/>
  <c r="E15037" i="1"/>
  <c r="C15038" i="1"/>
  <c r="D15038" i="1"/>
  <c r="E15038" i="1"/>
  <c r="C15039" i="1"/>
  <c r="D15039" i="1"/>
  <c r="E15039" i="1"/>
  <c r="C15040" i="1"/>
  <c r="D15040" i="1"/>
  <c r="E15040" i="1"/>
  <c r="C15041" i="1"/>
  <c r="D15041" i="1"/>
  <c r="E15041" i="1"/>
  <c r="C15042" i="1"/>
  <c r="D15042" i="1"/>
  <c r="E15042" i="1"/>
  <c r="C15043" i="1"/>
  <c r="D15043" i="1"/>
  <c r="E15043" i="1"/>
  <c r="C15044" i="1"/>
  <c r="D15044" i="1"/>
  <c r="E15044" i="1"/>
  <c r="C15045" i="1"/>
  <c r="D15045" i="1"/>
  <c r="E15045" i="1"/>
  <c r="C15046" i="1"/>
  <c r="D15046" i="1"/>
  <c r="E15046" i="1"/>
  <c r="C15047" i="1"/>
  <c r="D15047" i="1"/>
  <c r="E15047" i="1"/>
  <c r="C15048" i="1"/>
  <c r="D15048" i="1"/>
  <c r="E15048" i="1"/>
  <c r="C15049" i="1"/>
  <c r="D15049" i="1"/>
  <c r="E15049" i="1"/>
  <c r="C15050" i="1"/>
  <c r="D15050" i="1"/>
  <c r="E15050" i="1"/>
  <c r="C15051" i="1"/>
  <c r="D15051" i="1"/>
  <c r="E15051" i="1"/>
  <c r="C15052" i="1"/>
  <c r="D15052" i="1"/>
  <c r="E15052" i="1"/>
  <c r="C15053" i="1"/>
  <c r="D15053" i="1"/>
  <c r="E15053" i="1"/>
  <c r="C15054" i="1"/>
  <c r="D15054" i="1"/>
  <c r="E15054" i="1"/>
  <c r="C15055" i="1"/>
  <c r="D15055" i="1"/>
  <c r="E15055" i="1"/>
  <c r="C15056" i="1"/>
  <c r="D15056" i="1"/>
  <c r="E15056" i="1"/>
  <c r="C15057" i="1"/>
  <c r="D15057" i="1"/>
  <c r="E15057" i="1"/>
  <c r="C15058" i="1"/>
  <c r="D15058" i="1"/>
  <c r="E15058" i="1"/>
  <c r="C15059" i="1"/>
  <c r="D15059" i="1"/>
  <c r="E15059" i="1"/>
  <c r="C15060" i="1"/>
  <c r="D15060" i="1"/>
  <c r="E15060" i="1"/>
  <c r="C15061" i="1"/>
  <c r="D15061" i="1"/>
  <c r="E15061" i="1"/>
  <c r="C15062" i="1"/>
  <c r="D15062" i="1"/>
  <c r="E15062" i="1"/>
  <c r="C15063" i="1"/>
  <c r="D15063" i="1"/>
  <c r="E15063" i="1"/>
  <c r="C15064" i="1"/>
  <c r="D15064" i="1"/>
  <c r="E15064" i="1"/>
  <c r="C15065" i="1"/>
  <c r="D15065" i="1"/>
  <c r="E15065" i="1"/>
  <c r="C15066" i="1"/>
  <c r="D15066" i="1"/>
  <c r="E15066" i="1"/>
  <c r="C15067" i="1"/>
  <c r="D15067" i="1"/>
  <c r="E15067" i="1"/>
  <c r="C15068" i="1"/>
  <c r="D15068" i="1"/>
  <c r="E15068" i="1"/>
  <c r="C15069" i="1"/>
  <c r="D15069" i="1"/>
  <c r="E15069" i="1"/>
  <c r="C15070" i="1"/>
  <c r="D15070" i="1"/>
  <c r="E15070" i="1"/>
  <c r="C15071" i="1"/>
  <c r="D15071" i="1"/>
  <c r="E15071" i="1"/>
  <c r="C15072" i="1"/>
  <c r="D15072" i="1"/>
  <c r="E15072" i="1"/>
  <c r="C15073" i="1"/>
  <c r="D15073" i="1"/>
  <c r="E15073" i="1"/>
  <c r="C15074" i="1"/>
  <c r="D15074" i="1"/>
  <c r="E15074" i="1"/>
  <c r="C15075" i="1"/>
  <c r="D15075" i="1"/>
  <c r="E15075" i="1"/>
  <c r="C15076" i="1"/>
  <c r="D15076" i="1"/>
  <c r="E15076" i="1"/>
  <c r="C15077" i="1"/>
  <c r="D15077" i="1"/>
  <c r="E15077" i="1"/>
  <c r="C15078" i="1"/>
  <c r="D15078" i="1"/>
  <c r="E15078" i="1"/>
  <c r="C15079" i="1"/>
  <c r="D15079" i="1"/>
  <c r="E15079" i="1"/>
  <c r="C15080" i="1"/>
  <c r="D15080" i="1"/>
  <c r="E15080" i="1"/>
  <c r="C15081" i="1"/>
  <c r="D15081" i="1"/>
  <c r="E15081" i="1"/>
  <c r="C15082" i="1"/>
  <c r="D15082" i="1"/>
  <c r="E15082" i="1"/>
  <c r="C15083" i="1"/>
  <c r="D15083" i="1"/>
  <c r="E15083" i="1"/>
  <c r="C15084" i="1"/>
  <c r="D15084" i="1"/>
  <c r="E15084" i="1"/>
  <c r="C15085" i="1"/>
  <c r="D15085" i="1"/>
  <c r="E15085" i="1"/>
  <c r="C15086" i="1"/>
  <c r="D15086" i="1"/>
  <c r="E15086" i="1"/>
  <c r="C15087" i="1"/>
  <c r="D15087" i="1"/>
  <c r="E15087" i="1"/>
  <c r="C15088" i="1"/>
  <c r="D15088" i="1"/>
  <c r="E15088" i="1"/>
  <c r="C15089" i="1"/>
  <c r="D15089" i="1"/>
  <c r="E15089" i="1"/>
  <c r="C15090" i="1"/>
  <c r="D15090" i="1"/>
  <c r="E15090" i="1"/>
  <c r="C15091" i="1"/>
  <c r="D15091" i="1"/>
  <c r="E15091" i="1"/>
  <c r="C15092" i="1"/>
  <c r="D15092" i="1"/>
  <c r="E15092" i="1"/>
  <c r="C15093" i="1"/>
  <c r="D15093" i="1"/>
  <c r="E15093" i="1"/>
  <c r="C15094" i="1"/>
  <c r="D15094" i="1"/>
  <c r="E15094" i="1"/>
  <c r="C15095" i="1"/>
  <c r="D15095" i="1"/>
  <c r="E15095" i="1"/>
  <c r="C15096" i="1"/>
  <c r="D15096" i="1"/>
  <c r="E15096" i="1"/>
  <c r="C15097" i="1"/>
  <c r="D15097" i="1"/>
  <c r="E15097" i="1"/>
  <c r="C15098" i="1"/>
  <c r="D15098" i="1"/>
  <c r="E15098" i="1"/>
  <c r="C15099" i="1"/>
  <c r="D15099" i="1"/>
  <c r="E15099" i="1"/>
  <c r="C15100" i="1"/>
  <c r="D15100" i="1"/>
  <c r="E15100" i="1"/>
  <c r="C15101" i="1"/>
  <c r="D15101" i="1"/>
  <c r="E15101" i="1"/>
  <c r="C15102" i="1"/>
  <c r="D15102" i="1"/>
  <c r="E15102" i="1"/>
  <c r="C15103" i="1"/>
  <c r="D15103" i="1"/>
  <c r="E15103" i="1"/>
  <c r="C15104" i="1"/>
  <c r="D15104" i="1"/>
  <c r="E15104" i="1"/>
  <c r="C15105" i="1"/>
  <c r="D15105" i="1"/>
  <c r="E15105" i="1"/>
  <c r="C15106" i="1"/>
  <c r="D15106" i="1"/>
  <c r="E15106" i="1"/>
  <c r="C15107" i="1"/>
  <c r="D15107" i="1"/>
  <c r="E15107" i="1"/>
  <c r="C15108" i="1"/>
  <c r="D15108" i="1"/>
  <c r="E15108" i="1"/>
  <c r="C15109" i="1"/>
  <c r="D15109" i="1"/>
  <c r="E15109" i="1"/>
  <c r="C15110" i="1"/>
  <c r="D15110" i="1"/>
  <c r="E15110" i="1"/>
  <c r="C15111" i="1"/>
  <c r="D15111" i="1"/>
  <c r="E15111" i="1"/>
  <c r="C15112" i="1"/>
  <c r="D15112" i="1"/>
  <c r="E15112" i="1"/>
  <c r="C15113" i="1"/>
  <c r="D15113" i="1"/>
  <c r="E15113" i="1"/>
  <c r="C15114" i="1"/>
  <c r="D15114" i="1"/>
  <c r="E15114" i="1"/>
  <c r="C15115" i="1"/>
  <c r="D15115" i="1"/>
  <c r="E15115" i="1"/>
  <c r="C15116" i="1"/>
  <c r="D15116" i="1"/>
  <c r="E15116" i="1"/>
  <c r="C15117" i="1"/>
  <c r="D15117" i="1"/>
  <c r="E15117" i="1"/>
  <c r="C15118" i="1"/>
  <c r="D15118" i="1"/>
  <c r="E15118" i="1"/>
  <c r="C15119" i="1"/>
  <c r="D15119" i="1"/>
  <c r="E15119" i="1"/>
  <c r="C15120" i="1"/>
  <c r="D15120" i="1"/>
  <c r="E15120" i="1"/>
  <c r="C15121" i="1"/>
  <c r="D15121" i="1"/>
  <c r="E15121" i="1"/>
  <c r="C15122" i="1"/>
  <c r="D15122" i="1"/>
  <c r="E15122" i="1"/>
  <c r="C15123" i="1"/>
  <c r="D15123" i="1"/>
  <c r="E15123" i="1"/>
  <c r="C15124" i="1"/>
  <c r="D15124" i="1"/>
  <c r="E15124" i="1"/>
  <c r="C15125" i="1"/>
  <c r="D15125" i="1"/>
  <c r="E15125" i="1"/>
  <c r="C15126" i="1"/>
  <c r="D15126" i="1"/>
  <c r="E15126" i="1"/>
  <c r="C15127" i="1"/>
  <c r="D15127" i="1"/>
  <c r="E15127" i="1"/>
  <c r="C15128" i="1"/>
  <c r="D15128" i="1"/>
  <c r="E15128" i="1"/>
  <c r="C15129" i="1"/>
  <c r="D15129" i="1"/>
  <c r="E15129" i="1"/>
  <c r="C15130" i="1"/>
  <c r="D15130" i="1"/>
  <c r="E15130" i="1"/>
  <c r="C15131" i="1"/>
  <c r="D15131" i="1"/>
  <c r="E15131" i="1"/>
  <c r="C15132" i="1"/>
  <c r="D15132" i="1"/>
  <c r="E15132" i="1"/>
  <c r="C15133" i="1"/>
  <c r="D15133" i="1"/>
  <c r="E15133" i="1"/>
  <c r="C15134" i="1"/>
  <c r="D15134" i="1"/>
  <c r="E15134" i="1"/>
  <c r="C15135" i="1"/>
  <c r="D15135" i="1"/>
  <c r="E15135" i="1"/>
  <c r="C15136" i="1"/>
  <c r="D15136" i="1"/>
  <c r="E15136" i="1"/>
  <c r="C15137" i="1"/>
  <c r="D15137" i="1"/>
  <c r="E15137" i="1"/>
  <c r="C15138" i="1"/>
  <c r="D15138" i="1"/>
  <c r="E15138" i="1"/>
  <c r="C15139" i="1"/>
  <c r="D15139" i="1"/>
  <c r="E15139" i="1"/>
  <c r="C15140" i="1"/>
  <c r="D15140" i="1"/>
  <c r="E15140" i="1"/>
  <c r="C15141" i="1"/>
  <c r="D15141" i="1"/>
  <c r="E15141" i="1"/>
  <c r="C15142" i="1"/>
  <c r="D15142" i="1"/>
  <c r="E15142" i="1"/>
  <c r="C15143" i="1"/>
  <c r="D15143" i="1"/>
  <c r="E15143" i="1"/>
  <c r="C15144" i="1"/>
  <c r="D15144" i="1"/>
  <c r="E15144" i="1"/>
  <c r="C15145" i="1"/>
  <c r="D15145" i="1"/>
  <c r="E15145" i="1"/>
  <c r="C15146" i="1"/>
  <c r="D15146" i="1"/>
  <c r="E15146" i="1"/>
  <c r="C15147" i="1"/>
  <c r="D15147" i="1"/>
  <c r="E15147" i="1"/>
  <c r="C15148" i="1"/>
  <c r="D15148" i="1"/>
  <c r="E15148" i="1"/>
  <c r="C15149" i="1"/>
  <c r="D15149" i="1"/>
  <c r="E15149" i="1"/>
  <c r="C15150" i="1"/>
  <c r="D15150" i="1"/>
  <c r="E15150" i="1"/>
  <c r="C15151" i="1"/>
  <c r="D15151" i="1"/>
  <c r="E15151" i="1"/>
  <c r="C15152" i="1"/>
  <c r="D15152" i="1"/>
  <c r="E15152" i="1"/>
  <c r="C15153" i="1"/>
  <c r="D15153" i="1"/>
  <c r="E15153" i="1"/>
  <c r="C15154" i="1"/>
  <c r="D15154" i="1"/>
  <c r="E15154" i="1"/>
  <c r="C15155" i="1"/>
  <c r="D15155" i="1"/>
  <c r="E15155" i="1"/>
  <c r="C15156" i="1"/>
  <c r="D15156" i="1"/>
  <c r="E15156" i="1"/>
  <c r="C15157" i="1"/>
  <c r="D15157" i="1"/>
  <c r="E15157" i="1"/>
  <c r="C15158" i="1"/>
  <c r="D15158" i="1"/>
  <c r="E15158" i="1"/>
  <c r="C15159" i="1"/>
  <c r="D15159" i="1"/>
  <c r="E15159" i="1"/>
  <c r="C15160" i="1"/>
  <c r="D15160" i="1"/>
  <c r="E15160" i="1"/>
  <c r="C15161" i="1"/>
  <c r="D15161" i="1"/>
  <c r="E15161" i="1"/>
  <c r="C15162" i="1"/>
  <c r="D15162" i="1"/>
  <c r="E15162" i="1"/>
  <c r="C15163" i="1"/>
  <c r="D15163" i="1"/>
  <c r="E15163" i="1"/>
  <c r="C15164" i="1"/>
  <c r="D15164" i="1"/>
  <c r="E15164" i="1"/>
  <c r="C15165" i="1"/>
  <c r="D15165" i="1"/>
  <c r="E15165" i="1"/>
  <c r="C15166" i="1"/>
  <c r="D15166" i="1"/>
  <c r="E15166" i="1"/>
  <c r="C15167" i="1"/>
  <c r="D15167" i="1"/>
  <c r="E15167" i="1"/>
  <c r="C15168" i="1"/>
  <c r="D15168" i="1"/>
  <c r="E15168" i="1"/>
  <c r="C15169" i="1"/>
  <c r="D15169" i="1"/>
  <c r="E15169" i="1"/>
  <c r="C15170" i="1"/>
  <c r="D15170" i="1"/>
  <c r="E15170" i="1"/>
  <c r="C15171" i="1"/>
  <c r="D15171" i="1"/>
  <c r="E15171" i="1"/>
  <c r="C15172" i="1"/>
  <c r="D15172" i="1"/>
  <c r="E15172" i="1"/>
  <c r="C15173" i="1"/>
  <c r="D15173" i="1"/>
  <c r="E15173" i="1"/>
  <c r="C15174" i="1"/>
  <c r="D15174" i="1"/>
  <c r="E15174" i="1"/>
  <c r="C15175" i="1"/>
  <c r="D15175" i="1"/>
  <c r="E15175" i="1"/>
  <c r="C15176" i="1"/>
  <c r="D15176" i="1"/>
  <c r="E15176" i="1"/>
  <c r="C15177" i="1"/>
  <c r="D15177" i="1"/>
  <c r="E15177" i="1"/>
  <c r="C15178" i="1"/>
  <c r="D15178" i="1"/>
  <c r="E15178" i="1"/>
  <c r="C15179" i="1"/>
  <c r="D15179" i="1"/>
  <c r="E15179" i="1"/>
  <c r="C15180" i="1"/>
  <c r="D15180" i="1"/>
  <c r="E15180" i="1"/>
  <c r="C15181" i="1"/>
  <c r="D15181" i="1"/>
  <c r="E15181" i="1"/>
  <c r="C15182" i="1"/>
  <c r="D15182" i="1"/>
  <c r="E15182" i="1"/>
  <c r="C15183" i="1"/>
  <c r="D15183" i="1"/>
  <c r="E15183" i="1"/>
  <c r="C15184" i="1"/>
  <c r="D15184" i="1"/>
  <c r="E15184" i="1"/>
  <c r="C15185" i="1"/>
  <c r="D15185" i="1"/>
  <c r="E15185" i="1"/>
  <c r="C15186" i="1"/>
  <c r="D15186" i="1"/>
  <c r="E15186" i="1"/>
  <c r="C15187" i="1"/>
  <c r="D15187" i="1"/>
  <c r="E15187" i="1"/>
  <c r="C15188" i="1"/>
  <c r="D15188" i="1"/>
  <c r="E15188" i="1"/>
  <c r="C15189" i="1"/>
  <c r="D15189" i="1"/>
  <c r="E15189" i="1"/>
  <c r="C15190" i="1"/>
  <c r="D15190" i="1"/>
  <c r="E15190" i="1"/>
  <c r="C15191" i="1"/>
  <c r="D15191" i="1"/>
  <c r="E15191" i="1"/>
  <c r="C15192" i="1"/>
  <c r="D15192" i="1"/>
  <c r="E15192" i="1"/>
  <c r="C15193" i="1"/>
  <c r="D15193" i="1"/>
  <c r="E15193" i="1"/>
  <c r="C15194" i="1"/>
  <c r="D15194" i="1"/>
  <c r="E15194" i="1"/>
  <c r="C15195" i="1"/>
  <c r="D15195" i="1"/>
  <c r="E15195" i="1"/>
  <c r="C15196" i="1"/>
  <c r="D15196" i="1"/>
  <c r="E15196" i="1"/>
  <c r="C15197" i="1"/>
  <c r="D15197" i="1"/>
  <c r="E15197" i="1"/>
  <c r="C15198" i="1"/>
  <c r="D15198" i="1"/>
  <c r="E15198" i="1"/>
  <c r="C15199" i="1"/>
  <c r="D15199" i="1"/>
  <c r="E15199" i="1"/>
  <c r="C15200" i="1"/>
  <c r="D15200" i="1"/>
  <c r="E15200" i="1"/>
  <c r="C15201" i="1"/>
  <c r="D15201" i="1"/>
  <c r="E15201" i="1"/>
  <c r="C15202" i="1"/>
  <c r="D15202" i="1"/>
  <c r="E15202" i="1"/>
  <c r="C15203" i="1"/>
  <c r="D15203" i="1"/>
  <c r="E15203" i="1"/>
  <c r="C15204" i="1"/>
  <c r="D15204" i="1"/>
  <c r="E15204" i="1"/>
  <c r="C15205" i="1"/>
  <c r="D15205" i="1"/>
  <c r="E15205" i="1"/>
  <c r="C15206" i="1"/>
  <c r="D15206" i="1"/>
  <c r="E15206" i="1"/>
  <c r="C15207" i="1"/>
  <c r="D15207" i="1"/>
  <c r="E15207" i="1"/>
  <c r="C15208" i="1"/>
  <c r="D15208" i="1"/>
  <c r="E15208" i="1"/>
  <c r="C15209" i="1"/>
  <c r="D15209" i="1"/>
  <c r="E15209" i="1"/>
  <c r="C15210" i="1"/>
  <c r="D15210" i="1"/>
  <c r="E15210" i="1"/>
  <c r="C15211" i="1"/>
  <c r="D15211" i="1"/>
  <c r="E15211" i="1"/>
  <c r="C15212" i="1"/>
  <c r="D15212" i="1"/>
  <c r="E15212" i="1"/>
  <c r="C15213" i="1"/>
  <c r="D15213" i="1"/>
  <c r="E15213" i="1"/>
  <c r="C15214" i="1"/>
  <c r="D15214" i="1"/>
  <c r="E15214" i="1"/>
  <c r="C15215" i="1"/>
  <c r="D15215" i="1"/>
  <c r="E15215" i="1"/>
  <c r="C15216" i="1"/>
  <c r="D15216" i="1"/>
  <c r="E15216" i="1"/>
  <c r="C15217" i="1"/>
  <c r="D15217" i="1"/>
  <c r="E15217" i="1"/>
  <c r="C15218" i="1"/>
  <c r="D15218" i="1"/>
  <c r="E15218" i="1"/>
  <c r="C15219" i="1"/>
  <c r="D15219" i="1"/>
  <c r="E15219" i="1"/>
  <c r="C15220" i="1"/>
  <c r="D15220" i="1"/>
  <c r="E15220" i="1"/>
  <c r="C15221" i="1"/>
  <c r="D15221" i="1"/>
  <c r="E15221" i="1"/>
  <c r="C15222" i="1"/>
  <c r="D15222" i="1"/>
  <c r="E15222" i="1"/>
  <c r="C15223" i="1"/>
  <c r="D15223" i="1"/>
  <c r="E15223" i="1"/>
  <c r="C15224" i="1"/>
  <c r="D15224" i="1"/>
  <c r="E15224" i="1"/>
  <c r="C15225" i="1"/>
  <c r="D15225" i="1"/>
  <c r="E15225" i="1"/>
  <c r="C15226" i="1"/>
  <c r="D15226" i="1"/>
  <c r="E15226" i="1"/>
  <c r="C15227" i="1"/>
  <c r="D15227" i="1"/>
  <c r="E15227" i="1"/>
  <c r="C15228" i="1"/>
  <c r="D15228" i="1"/>
  <c r="E15228" i="1"/>
  <c r="C15229" i="1"/>
  <c r="D15229" i="1"/>
  <c r="E15229" i="1"/>
  <c r="C15230" i="1"/>
  <c r="D15230" i="1"/>
  <c r="E15230" i="1"/>
  <c r="C15231" i="1"/>
  <c r="D15231" i="1"/>
  <c r="E15231" i="1"/>
  <c r="C15232" i="1"/>
  <c r="D15232" i="1"/>
  <c r="E15232" i="1"/>
  <c r="C15233" i="1"/>
  <c r="D15233" i="1"/>
  <c r="E15233" i="1"/>
  <c r="C15234" i="1"/>
  <c r="D15234" i="1"/>
  <c r="E15234" i="1"/>
  <c r="C15235" i="1"/>
  <c r="D15235" i="1"/>
  <c r="E15235" i="1"/>
  <c r="C15236" i="1"/>
  <c r="D15236" i="1"/>
  <c r="E15236" i="1"/>
  <c r="C15237" i="1"/>
  <c r="D15237" i="1"/>
  <c r="E15237" i="1"/>
  <c r="C15238" i="1"/>
  <c r="D15238" i="1"/>
  <c r="E15238" i="1"/>
  <c r="C15239" i="1"/>
  <c r="D15239" i="1"/>
  <c r="E15239" i="1"/>
  <c r="C15240" i="1"/>
  <c r="D15240" i="1"/>
  <c r="E15240" i="1"/>
  <c r="C15241" i="1"/>
  <c r="D15241" i="1"/>
  <c r="E15241" i="1"/>
  <c r="C15242" i="1"/>
  <c r="D15242" i="1"/>
  <c r="E15242" i="1"/>
  <c r="C15243" i="1"/>
  <c r="D15243" i="1"/>
  <c r="E15243" i="1"/>
  <c r="C15244" i="1"/>
  <c r="D15244" i="1"/>
  <c r="E15244" i="1"/>
  <c r="C15245" i="1"/>
  <c r="D15245" i="1"/>
  <c r="E15245" i="1"/>
  <c r="C15246" i="1"/>
  <c r="D15246" i="1"/>
  <c r="E15246" i="1"/>
  <c r="C15247" i="1"/>
  <c r="D15247" i="1"/>
  <c r="E15247" i="1"/>
  <c r="C15248" i="1"/>
  <c r="D15248" i="1"/>
  <c r="E15248" i="1"/>
  <c r="C15249" i="1"/>
  <c r="D15249" i="1"/>
  <c r="E15249" i="1"/>
  <c r="C15250" i="1"/>
  <c r="D15250" i="1"/>
  <c r="E15250" i="1"/>
  <c r="C15251" i="1"/>
  <c r="D15251" i="1"/>
  <c r="E15251" i="1"/>
  <c r="C15252" i="1"/>
  <c r="D15252" i="1"/>
  <c r="E15252" i="1"/>
  <c r="C15253" i="1"/>
  <c r="D15253" i="1"/>
  <c r="E15253" i="1"/>
  <c r="C15254" i="1"/>
  <c r="D15254" i="1"/>
  <c r="E15254" i="1"/>
  <c r="C15255" i="1"/>
  <c r="D15255" i="1"/>
  <c r="E15255" i="1"/>
  <c r="C15256" i="1"/>
  <c r="D15256" i="1"/>
  <c r="E15256" i="1"/>
  <c r="C15257" i="1"/>
  <c r="D15257" i="1"/>
  <c r="E15257" i="1"/>
  <c r="C15258" i="1"/>
  <c r="D15258" i="1"/>
  <c r="E15258" i="1"/>
  <c r="C15259" i="1"/>
  <c r="D15259" i="1"/>
  <c r="E15259" i="1"/>
  <c r="C15260" i="1"/>
  <c r="D15260" i="1"/>
  <c r="E15260" i="1"/>
  <c r="C15261" i="1"/>
  <c r="D15261" i="1"/>
  <c r="E15261" i="1"/>
  <c r="C15262" i="1"/>
  <c r="D15262" i="1"/>
  <c r="E15262" i="1"/>
  <c r="C15263" i="1"/>
  <c r="D15263" i="1"/>
  <c r="E15263" i="1"/>
  <c r="C15264" i="1"/>
  <c r="D15264" i="1"/>
  <c r="E15264" i="1"/>
  <c r="C15265" i="1"/>
  <c r="D15265" i="1"/>
  <c r="E15265" i="1"/>
  <c r="C15266" i="1"/>
  <c r="D15266" i="1"/>
  <c r="E15266" i="1"/>
  <c r="C15267" i="1"/>
  <c r="D15267" i="1"/>
  <c r="E15267" i="1"/>
  <c r="C15268" i="1"/>
  <c r="D15268" i="1"/>
  <c r="E15268" i="1"/>
  <c r="C15269" i="1"/>
  <c r="D15269" i="1"/>
  <c r="E15269" i="1"/>
  <c r="C15270" i="1"/>
  <c r="D15270" i="1"/>
  <c r="E15270" i="1"/>
  <c r="C15271" i="1"/>
  <c r="D15271" i="1"/>
  <c r="E15271" i="1"/>
  <c r="C15272" i="1"/>
  <c r="D15272" i="1"/>
  <c r="E15272" i="1"/>
  <c r="C15273" i="1"/>
  <c r="D15273" i="1"/>
  <c r="E15273" i="1"/>
  <c r="C15274" i="1"/>
  <c r="D15274" i="1"/>
  <c r="E15274" i="1"/>
  <c r="C15275" i="1"/>
  <c r="D15275" i="1"/>
  <c r="E15275" i="1"/>
  <c r="C15276" i="1"/>
  <c r="D15276" i="1"/>
  <c r="E15276" i="1"/>
  <c r="C15277" i="1"/>
  <c r="D15277" i="1"/>
  <c r="E15277" i="1"/>
  <c r="C15278" i="1"/>
  <c r="D15278" i="1"/>
  <c r="E15278" i="1"/>
  <c r="C15279" i="1"/>
  <c r="D15279" i="1"/>
  <c r="E15279" i="1"/>
  <c r="C15280" i="1"/>
  <c r="D15280" i="1"/>
  <c r="E15280" i="1"/>
  <c r="C15281" i="1"/>
  <c r="D15281" i="1"/>
  <c r="E15281" i="1"/>
  <c r="C15282" i="1"/>
  <c r="D15282" i="1"/>
  <c r="E15282" i="1"/>
  <c r="C15283" i="1"/>
  <c r="D15283" i="1"/>
  <c r="E15283" i="1"/>
  <c r="C15284" i="1"/>
  <c r="D15284" i="1"/>
  <c r="E15284" i="1"/>
  <c r="C15285" i="1"/>
  <c r="D15285" i="1"/>
  <c r="E15285" i="1"/>
  <c r="C15286" i="1"/>
  <c r="D15286" i="1"/>
  <c r="E15286" i="1"/>
  <c r="C15287" i="1"/>
  <c r="D15287" i="1"/>
  <c r="E15287" i="1"/>
  <c r="C15288" i="1"/>
  <c r="D15288" i="1"/>
  <c r="E15288" i="1"/>
  <c r="C15289" i="1"/>
  <c r="D15289" i="1"/>
  <c r="E15289" i="1"/>
  <c r="C15290" i="1"/>
  <c r="D15290" i="1"/>
  <c r="E15290" i="1"/>
  <c r="C15291" i="1"/>
  <c r="D15291" i="1"/>
  <c r="E15291" i="1"/>
  <c r="C15292" i="1"/>
  <c r="D15292" i="1"/>
  <c r="E15292" i="1"/>
  <c r="C15293" i="1"/>
  <c r="D15293" i="1"/>
  <c r="E15293" i="1"/>
  <c r="C15294" i="1"/>
  <c r="D15294" i="1"/>
  <c r="E15294" i="1"/>
  <c r="C15295" i="1"/>
  <c r="D15295" i="1"/>
  <c r="E15295" i="1"/>
  <c r="C15296" i="1"/>
  <c r="D15296" i="1"/>
  <c r="E15296" i="1"/>
  <c r="C15297" i="1"/>
  <c r="D15297" i="1"/>
  <c r="E15297" i="1"/>
  <c r="C15298" i="1"/>
  <c r="D15298" i="1"/>
  <c r="E15298" i="1"/>
  <c r="C15299" i="1"/>
  <c r="D15299" i="1"/>
  <c r="E15299" i="1"/>
  <c r="C15300" i="1"/>
  <c r="D15300" i="1"/>
  <c r="E15300" i="1"/>
  <c r="C15301" i="1"/>
  <c r="D15301" i="1"/>
  <c r="E15301" i="1"/>
  <c r="C15302" i="1"/>
  <c r="D15302" i="1"/>
  <c r="E15302" i="1"/>
  <c r="C15303" i="1"/>
  <c r="D15303" i="1"/>
  <c r="E15303" i="1"/>
  <c r="C15304" i="1"/>
  <c r="D15304" i="1"/>
  <c r="E15304" i="1"/>
  <c r="C15305" i="1"/>
  <c r="D15305" i="1"/>
  <c r="E15305" i="1"/>
  <c r="C15306" i="1"/>
  <c r="D15306" i="1"/>
  <c r="E15306" i="1"/>
  <c r="C15307" i="1"/>
  <c r="D15307" i="1"/>
  <c r="E15307" i="1"/>
  <c r="C15308" i="1"/>
  <c r="D15308" i="1"/>
  <c r="E15308" i="1"/>
  <c r="C15309" i="1"/>
  <c r="D15309" i="1"/>
  <c r="E15309" i="1"/>
  <c r="C15310" i="1"/>
  <c r="D15310" i="1"/>
  <c r="E15310" i="1"/>
  <c r="C15311" i="1"/>
  <c r="D15311" i="1"/>
  <c r="E15311" i="1"/>
  <c r="C15312" i="1"/>
  <c r="D15312" i="1"/>
  <c r="E15312" i="1"/>
  <c r="C15313" i="1"/>
  <c r="D15313" i="1"/>
  <c r="E15313" i="1"/>
  <c r="C15314" i="1"/>
  <c r="D15314" i="1"/>
  <c r="E15314" i="1"/>
  <c r="C15315" i="1"/>
  <c r="D15315" i="1"/>
  <c r="E15315" i="1"/>
  <c r="C15316" i="1"/>
  <c r="D15316" i="1"/>
  <c r="E15316" i="1"/>
  <c r="C15317" i="1"/>
  <c r="D15317" i="1"/>
  <c r="E15317" i="1"/>
  <c r="C15318" i="1"/>
  <c r="D15318" i="1"/>
  <c r="E15318" i="1"/>
  <c r="C15319" i="1"/>
  <c r="D15319" i="1"/>
  <c r="E15319" i="1"/>
  <c r="C15320" i="1"/>
  <c r="D15320" i="1"/>
  <c r="E15320" i="1"/>
  <c r="C15321" i="1"/>
  <c r="D15321" i="1"/>
  <c r="E15321" i="1"/>
  <c r="C15322" i="1"/>
  <c r="D15322" i="1"/>
  <c r="E15322" i="1"/>
  <c r="C15323" i="1"/>
  <c r="D15323" i="1"/>
  <c r="E15323" i="1"/>
  <c r="C15324" i="1"/>
  <c r="D15324" i="1"/>
  <c r="E15324" i="1"/>
  <c r="C15325" i="1"/>
  <c r="D15325" i="1"/>
  <c r="E15325" i="1"/>
  <c r="C15326" i="1"/>
  <c r="D15326" i="1"/>
  <c r="E15326" i="1"/>
  <c r="C15327" i="1"/>
  <c r="D15327" i="1"/>
  <c r="E15327" i="1"/>
  <c r="C15328" i="1"/>
  <c r="D15328" i="1"/>
  <c r="E15328" i="1"/>
  <c r="C15329" i="1"/>
  <c r="D15329" i="1"/>
  <c r="E15329" i="1"/>
  <c r="C15330" i="1"/>
  <c r="D15330" i="1"/>
  <c r="E15330" i="1"/>
  <c r="C15331" i="1"/>
  <c r="D15331" i="1"/>
  <c r="E15331" i="1"/>
  <c r="C15332" i="1"/>
  <c r="D15332" i="1"/>
  <c r="E15332" i="1"/>
  <c r="C15333" i="1"/>
  <c r="D15333" i="1"/>
  <c r="E15333" i="1"/>
  <c r="C15334" i="1"/>
  <c r="D15334" i="1"/>
  <c r="E15334" i="1"/>
  <c r="C15335" i="1"/>
  <c r="D15335" i="1"/>
  <c r="E15335" i="1"/>
  <c r="C15336" i="1"/>
  <c r="D15336" i="1"/>
  <c r="E15336" i="1"/>
  <c r="C15337" i="1"/>
  <c r="D15337" i="1"/>
  <c r="E15337" i="1"/>
  <c r="C15338" i="1"/>
  <c r="D15338" i="1"/>
  <c r="E15338" i="1"/>
  <c r="C15339" i="1"/>
  <c r="D15339" i="1"/>
  <c r="E15339" i="1"/>
  <c r="C15340" i="1"/>
  <c r="D15340" i="1"/>
  <c r="E15340" i="1"/>
  <c r="C15341" i="1"/>
  <c r="D15341" i="1"/>
  <c r="E15341" i="1"/>
  <c r="C15342" i="1"/>
  <c r="D15342" i="1"/>
  <c r="E15342" i="1"/>
  <c r="C15343" i="1"/>
  <c r="D15343" i="1"/>
  <c r="E15343" i="1"/>
  <c r="C15344" i="1"/>
  <c r="D15344" i="1"/>
  <c r="E15344" i="1"/>
  <c r="C15345" i="1"/>
  <c r="D15345" i="1"/>
  <c r="E15345" i="1"/>
  <c r="C15346" i="1"/>
  <c r="D15346" i="1"/>
  <c r="E15346" i="1"/>
  <c r="C15347" i="1"/>
  <c r="D15347" i="1"/>
  <c r="E15347" i="1"/>
  <c r="C15348" i="1"/>
  <c r="D15348" i="1"/>
  <c r="E15348" i="1"/>
  <c r="C15349" i="1"/>
  <c r="D15349" i="1"/>
  <c r="E15349" i="1"/>
  <c r="C15350" i="1"/>
  <c r="D15350" i="1"/>
  <c r="E15350" i="1"/>
  <c r="C15351" i="1"/>
  <c r="D15351" i="1"/>
  <c r="E15351" i="1"/>
  <c r="C15352" i="1"/>
  <c r="D15352" i="1"/>
  <c r="E15352" i="1"/>
  <c r="C15353" i="1"/>
  <c r="D15353" i="1"/>
  <c r="E15353" i="1"/>
  <c r="C15354" i="1"/>
  <c r="D15354" i="1"/>
  <c r="E15354" i="1"/>
  <c r="C15355" i="1"/>
  <c r="D15355" i="1"/>
  <c r="E15355" i="1"/>
  <c r="C15356" i="1"/>
  <c r="D15356" i="1"/>
  <c r="E15356" i="1"/>
  <c r="C15357" i="1"/>
  <c r="D15357" i="1"/>
  <c r="E15357" i="1"/>
  <c r="C15358" i="1"/>
  <c r="D15358" i="1"/>
  <c r="E15358" i="1"/>
  <c r="C15359" i="1"/>
  <c r="D15359" i="1"/>
  <c r="E15359" i="1"/>
  <c r="C15360" i="1"/>
  <c r="D15360" i="1"/>
  <c r="E15360" i="1"/>
  <c r="C15361" i="1"/>
  <c r="D15361" i="1"/>
  <c r="E15361" i="1"/>
  <c r="C15362" i="1"/>
  <c r="D15362" i="1"/>
  <c r="E15362" i="1"/>
  <c r="C15363" i="1"/>
  <c r="D15363" i="1"/>
  <c r="E15363" i="1"/>
  <c r="C15364" i="1"/>
  <c r="D15364" i="1"/>
  <c r="E15364" i="1"/>
  <c r="C15365" i="1"/>
  <c r="D15365" i="1"/>
  <c r="E15365" i="1"/>
  <c r="C15366" i="1"/>
  <c r="D15366" i="1"/>
  <c r="E15366" i="1"/>
  <c r="C15367" i="1"/>
  <c r="D15367" i="1"/>
  <c r="E15367" i="1"/>
  <c r="C15368" i="1"/>
  <c r="D15368" i="1"/>
  <c r="E15368" i="1"/>
  <c r="C15369" i="1"/>
  <c r="D15369" i="1"/>
  <c r="E15369" i="1"/>
  <c r="C15370" i="1"/>
  <c r="D15370" i="1"/>
  <c r="E15370" i="1"/>
  <c r="C15371" i="1"/>
  <c r="D15371" i="1"/>
  <c r="E15371" i="1"/>
  <c r="C15372" i="1"/>
  <c r="D15372" i="1"/>
  <c r="E15372" i="1"/>
  <c r="C15373" i="1"/>
  <c r="D15373" i="1"/>
  <c r="E15373" i="1"/>
  <c r="C15374" i="1"/>
  <c r="D15374" i="1"/>
  <c r="E15374" i="1"/>
  <c r="C15375" i="1"/>
  <c r="D15375" i="1"/>
  <c r="E15375" i="1"/>
  <c r="C15376" i="1"/>
  <c r="D15376" i="1"/>
  <c r="E15376" i="1"/>
  <c r="C15377" i="1"/>
  <c r="D15377" i="1"/>
  <c r="E15377" i="1"/>
  <c r="C15378" i="1"/>
  <c r="D15378" i="1"/>
  <c r="E15378" i="1"/>
  <c r="C15379" i="1"/>
  <c r="D15379" i="1"/>
  <c r="E15379" i="1"/>
  <c r="C15380" i="1"/>
  <c r="D15380" i="1"/>
  <c r="E15380" i="1"/>
  <c r="C15381" i="1"/>
  <c r="D15381" i="1"/>
  <c r="E15381" i="1"/>
  <c r="C15382" i="1"/>
  <c r="D15382" i="1"/>
  <c r="E15382" i="1"/>
  <c r="C15383" i="1"/>
  <c r="D15383" i="1"/>
  <c r="E15383" i="1"/>
  <c r="C15384" i="1"/>
  <c r="D15384" i="1"/>
  <c r="E15384" i="1"/>
  <c r="C15385" i="1"/>
  <c r="D15385" i="1"/>
  <c r="E15385" i="1"/>
  <c r="C15386" i="1"/>
  <c r="D15386" i="1"/>
  <c r="E15386" i="1"/>
  <c r="C15387" i="1"/>
  <c r="D15387" i="1"/>
  <c r="E15387" i="1"/>
  <c r="C15388" i="1"/>
  <c r="D15388" i="1"/>
  <c r="E15388" i="1"/>
  <c r="C15389" i="1"/>
  <c r="D15389" i="1"/>
  <c r="E15389" i="1"/>
  <c r="C15390" i="1"/>
  <c r="D15390" i="1"/>
  <c r="E15390" i="1"/>
  <c r="C15391" i="1"/>
  <c r="D15391" i="1"/>
  <c r="E15391" i="1"/>
  <c r="C15392" i="1"/>
  <c r="D15392" i="1"/>
  <c r="E15392" i="1"/>
  <c r="C15393" i="1"/>
  <c r="D15393" i="1"/>
  <c r="E15393" i="1"/>
  <c r="C15394" i="1"/>
  <c r="D15394" i="1"/>
  <c r="E15394" i="1"/>
  <c r="C15395" i="1"/>
  <c r="D15395" i="1"/>
  <c r="E15395" i="1"/>
  <c r="C15396" i="1"/>
  <c r="D15396" i="1"/>
  <c r="E15396" i="1"/>
  <c r="C15397" i="1"/>
  <c r="D15397" i="1"/>
  <c r="E15397" i="1"/>
  <c r="C15398" i="1"/>
  <c r="D15398" i="1"/>
  <c r="E15398" i="1"/>
  <c r="C15399" i="1"/>
  <c r="D15399" i="1"/>
  <c r="E15399" i="1"/>
  <c r="C15400" i="1"/>
  <c r="D15400" i="1"/>
  <c r="E15400" i="1"/>
  <c r="C15401" i="1"/>
  <c r="D15401" i="1"/>
  <c r="E15401" i="1"/>
  <c r="C15402" i="1"/>
  <c r="D15402" i="1"/>
  <c r="E15402" i="1"/>
  <c r="C15403" i="1"/>
  <c r="D15403" i="1"/>
  <c r="E15403" i="1"/>
  <c r="C15404" i="1"/>
  <c r="D15404" i="1"/>
  <c r="E15404" i="1"/>
  <c r="C15405" i="1"/>
  <c r="D15405" i="1"/>
  <c r="E15405" i="1"/>
  <c r="C15406" i="1"/>
  <c r="D15406" i="1"/>
  <c r="E15406" i="1"/>
  <c r="C15407" i="1"/>
  <c r="D15407" i="1"/>
  <c r="E15407" i="1"/>
  <c r="C15408" i="1"/>
  <c r="D15408" i="1"/>
  <c r="E15408" i="1"/>
  <c r="C15409" i="1"/>
  <c r="D15409" i="1"/>
  <c r="E15409" i="1"/>
  <c r="C15410" i="1"/>
  <c r="D15410" i="1"/>
  <c r="E15410" i="1"/>
  <c r="C15411" i="1"/>
  <c r="D15411" i="1"/>
  <c r="E15411" i="1"/>
  <c r="C15412" i="1"/>
  <c r="D15412" i="1"/>
  <c r="E15412" i="1"/>
  <c r="C15413" i="1"/>
  <c r="D15413" i="1"/>
  <c r="E15413" i="1"/>
  <c r="C15414" i="1"/>
  <c r="D15414" i="1"/>
  <c r="E15414" i="1"/>
  <c r="C15415" i="1"/>
  <c r="D15415" i="1"/>
  <c r="E15415" i="1"/>
  <c r="C15416" i="1"/>
  <c r="D15416" i="1"/>
  <c r="E15416" i="1"/>
  <c r="C15417" i="1"/>
  <c r="D15417" i="1"/>
  <c r="E15417" i="1"/>
  <c r="C15418" i="1"/>
  <c r="D15418" i="1"/>
  <c r="E15418" i="1"/>
  <c r="C15419" i="1"/>
  <c r="D15419" i="1"/>
  <c r="E15419" i="1"/>
  <c r="C15420" i="1"/>
  <c r="D15420" i="1"/>
  <c r="E15420" i="1"/>
  <c r="C15421" i="1"/>
  <c r="D15421" i="1"/>
  <c r="E15421" i="1"/>
  <c r="C15422" i="1"/>
  <c r="D15422" i="1"/>
  <c r="E15422" i="1"/>
  <c r="C15423" i="1"/>
  <c r="D15423" i="1"/>
  <c r="E15423" i="1"/>
  <c r="C15424" i="1"/>
  <c r="D15424" i="1"/>
  <c r="E15424" i="1"/>
  <c r="C15425" i="1"/>
  <c r="D15425" i="1"/>
  <c r="E15425" i="1"/>
  <c r="C15426" i="1"/>
  <c r="D15426" i="1"/>
  <c r="E15426" i="1"/>
  <c r="C15427" i="1"/>
  <c r="D15427" i="1"/>
  <c r="E15427" i="1"/>
  <c r="C15428" i="1"/>
  <c r="D15428" i="1"/>
  <c r="E15428" i="1"/>
  <c r="C15429" i="1"/>
  <c r="D15429" i="1"/>
  <c r="E15429" i="1"/>
  <c r="C15430" i="1"/>
  <c r="D15430" i="1"/>
  <c r="E15430" i="1"/>
  <c r="C15431" i="1"/>
  <c r="D15431" i="1"/>
  <c r="E15431" i="1"/>
  <c r="C15432" i="1"/>
  <c r="D15432" i="1"/>
  <c r="E15432" i="1"/>
  <c r="C15433" i="1"/>
  <c r="D15433" i="1"/>
  <c r="E15433" i="1"/>
  <c r="C15434" i="1"/>
  <c r="D15434" i="1"/>
  <c r="E15434" i="1"/>
  <c r="C15435" i="1"/>
  <c r="D15435" i="1"/>
  <c r="E15435" i="1"/>
  <c r="C15436" i="1"/>
  <c r="D15436" i="1"/>
  <c r="E15436" i="1"/>
  <c r="C15437" i="1"/>
  <c r="D15437" i="1"/>
  <c r="E15437" i="1"/>
  <c r="C15438" i="1"/>
  <c r="D15438" i="1"/>
  <c r="E15438" i="1"/>
  <c r="C15439" i="1"/>
  <c r="D15439" i="1"/>
  <c r="E15439" i="1"/>
  <c r="C15440" i="1"/>
  <c r="D15440" i="1"/>
  <c r="E15440" i="1"/>
  <c r="C15441" i="1"/>
  <c r="D15441" i="1"/>
  <c r="E15441" i="1"/>
  <c r="C15442" i="1"/>
  <c r="D15442" i="1"/>
  <c r="E15442" i="1"/>
  <c r="C15443" i="1"/>
  <c r="D15443" i="1"/>
  <c r="E15443" i="1"/>
  <c r="C15444" i="1"/>
  <c r="D15444" i="1"/>
  <c r="E15444" i="1"/>
  <c r="C15445" i="1"/>
  <c r="D15445" i="1"/>
  <c r="E15445" i="1"/>
  <c r="C15446" i="1"/>
  <c r="D15446" i="1"/>
  <c r="E15446" i="1"/>
  <c r="C15447" i="1"/>
  <c r="D15447" i="1"/>
  <c r="E15447" i="1"/>
  <c r="C15448" i="1"/>
  <c r="D15448" i="1"/>
  <c r="E15448" i="1"/>
  <c r="C15449" i="1"/>
  <c r="D15449" i="1"/>
  <c r="E15449" i="1"/>
  <c r="C15450" i="1"/>
  <c r="D15450" i="1"/>
  <c r="E15450" i="1"/>
  <c r="C15451" i="1"/>
  <c r="D15451" i="1"/>
  <c r="E15451" i="1"/>
  <c r="C15452" i="1"/>
  <c r="D15452" i="1"/>
  <c r="E15452" i="1"/>
  <c r="C15453" i="1"/>
  <c r="D15453" i="1"/>
  <c r="E15453" i="1"/>
  <c r="C15454" i="1"/>
  <c r="D15454" i="1"/>
  <c r="E15454" i="1"/>
  <c r="C15455" i="1"/>
  <c r="D15455" i="1"/>
  <c r="E15455" i="1"/>
  <c r="C15456" i="1"/>
  <c r="D15456" i="1"/>
  <c r="E15456" i="1"/>
  <c r="C15457" i="1"/>
  <c r="D15457" i="1"/>
  <c r="E15457" i="1"/>
  <c r="C15458" i="1"/>
  <c r="D15458" i="1"/>
  <c r="E15458" i="1"/>
  <c r="C15459" i="1"/>
  <c r="D15459" i="1"/>
  <c r="E15459" i="1"/>
  <c r="C15460" i="1"/>
  <c r="D15460" i="1"/>
  <c r="E15460" i="1"/>
  <c r="C15461" i="1"/>
  <c r="D15461" i="1"/>
  <c r="E15461" i="1"/>
  <c r="C15462" i="1"/>
  <c r="D15462" i="1"/>
  <c r="E15462" i="1"/>
  <c r="C15463" i="1"/>
  <c r="D15463" i="1"/>
  <c r="E15463" i="1"/>
  <c r="C15464" i="1"/>
  <c r="D15464" i="1"/>
  <c r="E15464" i="1"/>
  <c r="C15465" i="1"/>
  <c r="D15465" i="1"/>
  <c r="E15465" i="1"/>
  <c r="C15466" i="1"/>
  <c r="D15466" i="1"/>
  <c r="E15466" i="1"/>
  <c r="C15467" i="1"/>
  <c r="D15467" i="1"/>
  <c r="E15467" i="1"/>
  <c r="C15468" i="1"/>
  <c r="D15468" i="1"/>
  <c r="E15468" i="1"/>
  <c r="C15469" i="1"/>
  <c r="D15469" i="1"/>
  <c r="E15469" i="1"/>
  <c r="C15470" i="1"/>
  <c r="D15470" i="1"/>
  <c r="E15470" i="1"/>
  <c r="C15471" i="1"/>
  <c r="D15471" i="1"/>
  <c r="E15471" i="1"/>
  <c r="C15472" i="1"/>
  <c r="D15472" i="1"/>
  <c r="E15472" i="1"/>
  <c r="C15473" i="1"/>
  <c r="D15473" i="1"/>
  <c r="E15473" i="1"/>
  <c r="C15474" i="1"/>
  <c r="D15474" i="1"/>
  <c r="E15474" i="1"/>
  <c r="C15475" i="1"/>
  <c r="D15475" i="1"/>
  <c r="E15475" i="1"/>
  <c r="C15476" i="1"/>
  <c r="D15476" i="1"/>
  <c r="E15476" i="1"/>
  <c r="C15477" i="1"/>
  <c r="D15477" i="1"/>
  <c r="E15477" i="1"/>
  <c r="C15478" i="1"/>
  <c r="D15478" i="1"/>
  <c r="E15478" i="1"/>
  <c r="C15479" i="1"/>
  <c r="D15479" i="1"/>
  <c r="E15479" i="1"/>
  <c r="C15480" i="1"/>
  <c r="D15480" i="1"/>
  <c r="E15480" i="1"/>
  <c r="C15481" i="1"/>
  <c r="D15481" i="1"/>
  <c r="E15481" i="1"/>
  <c r="C15482" i="1"/>
  <c r="D15482" i="1"/>
  <c r="E15482" i="1"/>
  <c r="C15483" i="1"/>
  <c r="D15483" i="1"/>
  <c r="E15483" i="1"/>
  <c r="C15484" i="1"/>
  <c r="D15484" i="1"/>
  <c r="E15484" i="1"/>
  <c r="C15485" i="1"/>
  <c r="D15485" i="1"/>
  <c r="E15485" i="1"/>
  <c r="C15486" i="1"/>
  <c r="D15486" i="1"/>
  <c r="E15486" i="1"/>
  <c r="C15487" i="1"/>
  <c r="D15487" i="1"/>
  <c r="E15487" i="1"/>
  <c r="C15488" i="1"/>
  <c r="D15488" i="1"/>
  <c r="E15488" i="1"/>
  <c r="C15489" i="1"/>
  <c r="D15489" i="1"/>
  <c r="E15489" i="1"/>
  <c r="C15490" i="1"/>
  <c r="D15490" i="1"/>
  <c r="E15490" i="1"/>
  <c r="C15491" i="1"/>
  <c r="D15491" i="1"/>
  <c r="E15491" i="1"/>
  <c r="C15492" i="1"/>
  <c r="D15492" i="1"/>
  <c r="E15492" i="1"/>
  <c r="C15493" i="1"/>
  <c r="D15493" i="1"/>
  <c r="E15493" i="1"/>
  <c r="C15494" i="1"/>
  <c r="D15494" i="1"/>
  <c r="E15494" i="1"/>
  <c r="C15495" i="1"/>
  <c r="D15495" i="1"/>
  <c r="E15495" i="1"/>
  <c r="C15496" i="1"/>
  <c r="D15496" i="1"/>
  <c r="E15496" i="1"/>
  <c r="C15497" i="1"/>
  <c r="D15497" i="1"/>
  <c r="E15497" i="1"/>
  <c r="C15498" i="1"/>
  <c r="D15498" i="1"/>
  <c r="E15498" i="1"/>
  <c r="C15499" i="1"/>
  <c r="D15499" i="1"/>
  <c r="E15499" i="1"/>
  <c r="C15500" i="1"/>
  <c r="D15500" i="1"/>
  <c r="E15500" i="1"/>
  <c r="C15501" i="1"/>
  <c r="D15501" i="1"/>
  <c r="E15501" i="1"/>
  <c r="C15502" i="1"/>
  <c r="D15502" i="1"/>
  <c r="E15502" i="1"/>
  <c r="C15503" i="1"/>
  <c r="D15503" i="1"/>
  <c r="E15503" i="1"/>
  <c r="C15504" i="1"/>
  <c r="D15504" i="1"/>
  <c r="E15504" i="1"/>
  <c r="C15505" i="1"/>
  <c r="D15505" i="1"/>
  <c r="E15505" i="1"/>
  <c r="C15506" i="1"/>
  <c r="D15506" i="1"/>
  <c r="E15506" i="1"/>
  <c r="C15507" i="1"/>
  <c r="D15507" i="1"/>
  <c r="E15507" i="1"/>
  <c r="C15508" i="1"/>
  <c r="D15508" i="1"/>
  <c r="E15508" i="1"/>
  <c r="C15509" i="1"/>
  <c r="D15509" i="1"/>
  <c r="E15509" i="1"/>
  <c r="C15510" i="1"/>
  <c r="D15510" i="1"/>
  <c r="E15510" i="1"/>
  <c r="C15511" i="1"/>
  <c r="D15511" i="1"/>
  <c r="E15511" i="1"/>
  <c r="C15512" i="1"/>
  <c r="D15512" i="1"/>
  <c r="E15512" i="1"/>
  <c r="C15513" i="1"/>
  <c r="D15513" i="1"/>
  <c r="E15513" i="1"/>
  <c r="C15514" i="1"/>
  <c r="D15514" i="1"/>
  <c r="E15514" i="1"/>
  <c r="C15515" i="1"/>
  <c r="D15515" i="1"/>
  <c r="E15515" i="1"/>
  <c r="C15516" i="1"/>
  <c r="D15516" i="1"/>
  <c r="E15516" i="1"/>
  <c r="C15517" i="1"/>
  <c r="D15517" i="1"/>
  <c r="E15517" i="1"/>
  <c r="C15518" i="1"/>
  <c r="D15518" i="1"/>
  <c r="E15518" i="1"/>
  <c r="C15519" i="1"/>
  <c r="D15519" i="1"/>
  <c r="E15519" i="1"/>
  <c r="C15520" i="1"/>
  <c r="D15520" i="1"/>
  <c r="E15520" i="1"/>
  <c r="C15521" i="1"/>
  <c r="D15521" i="1"/>
  <c r="E15521" i="1"/>
  <c r="C15522" i="1"/>
  <c r="D15522" i="1"/>
  <c r="E15522" i="1"/>
  <c r="C15523" i="1"/>
  <c r="D15523" i="1"/>
  <c r="E15523" i="1"/>
  <c r="C15524" i="1"/>
  <c r="D15524" i="1"/>
  <c r="E15524" i="1"/>
  <c r="C15525" i="1"/>
  <c r="D15525" i="1"/>
  <c r="E15525" i="1"/>
  <c r="C15526" i="1"/>
  <c r="D15526" i="1"/>
  <c r="E15526" i="1"/>
  <c r="C15527" i="1"/>
  <c r="D15527" i="1"/>
  <c r="E15527" i="1"/>
  <c r="C15528" i="1"/>
  <c r="D15528" i="1"/>
  <c r="E15528" i="1"/>
  <c r="C15529" i="1"/>
  <c r="D15529" i="1"/>
  <c r="E15529" i="1"/>
  <c r="C15530" i="1"/>
  <c r="D15530" i="1"/>
  <c r="E15530" i="1"/>
  <c r="C15531" i="1"/>
  <c r="D15531" i="1"/>
  <c r="E15531" i="1"/>
  <c r="C15532" i="1"/>
  <c r="D15532" i="1"/>
  <c r="E15532" i="1"/>
  <c r="C15533" i="1"/>
  <c r="D15533" i="1"/>
  <c r="E15533" i="1"/>
  <c r="C15534" i="1"/>
  <c r="D15534" i="1"/>
  <c r="E15534" i="1"/>
  <c r="C15535" i="1"/>
  <c r="D15535" i="1"/>
  <c r="E15535" i="1"/>
  <c r="C15536" i="1"/>
  <c r="D15536" i="1"/>
  <c r="E15536" i="1"/>
  <c r="C15537" i="1"/>
  <c r="D15537" i="1"/>
  <c r="E15537" i="1"/>
  <c r="C15538" i="1"/>
  <c r="D15538" i="1"/>
  <c r="E15538" i="1"/>
  <c r="C15539" i="1"/>
  <c r="D15539" i="1"/>
  <c r="E15539" i="1"/>
  <c r="C15540" i="1"/>
  <c r="D15540" i="1"/>
  <c r="E15540" i="1"/>
  <c r="C15541" i="1"/>
  <c r="D15541" i="1"/>
  <c r="E15541" i="1"/>
  <c r="C15542" i="1"/>
  <c r="D15542" i="1"/>
  <c r="E15542" i="1"/>
  <c r="C15543" i="1"/>
  <c r="D15543" i="1"/>
  <c r="E15543" i="1"/>
  <c r="C15544" i="1"/>
  <c r="D15544" i="1"/>
  <c r="E15544" i="1"/>
  <c r="C15545" i="1"/>
  <c r="D15545" i="1"/>
  <c r="E15545" i="1"/>
  <c r="C15546" i="1"/>
  <c r="D15546" i="1"/>
  <c r="E15546" i="1"/>
  <c r="C15547" i="1"/>
  <c r="D15547" i="1"/>
  <c r="E15547" i="1"/>
  <c r="C15548" i="1"/>
  <c r="D15548" i="1"/>
  <c r="E15548" i="1"/>
  <c r="C15549" i="1"/>
  <c r="D15549" i="1"/>
  <c r="E15549" i="1"/>
  <c r="C15550" i="1"/>
  <c r="D15550" i="1"/>
  <c r="E15550" i="1"/>
  <c r="C15551" i="1"/>
  <c r="D15551" i="1"/>
  <c r="E15551" i="1"/>
  <c r="C15552" i="1"/>
  <c r="D15552" i="1"/>
  <c r="E15552" i="1"/>
  <c r="C15553" i="1"/>
  <c r="D15553" i="1"/>
  <c r="E15553" i="1"/>
  <c r="C15554" i="1"/>
  <c r="D15554" i="1"/>
  <c r="E15554" i="1"/>
  <c r="C15555" i="1"/>
  <c r="D15555" i="1"/>
  <c r="E15555" i="1"/>
  <c r="C15556" i="1"/>
  <c r="D15556" i="1"/>
  <c r="E15556" i="1"/>
  <c r="C15557" i="1"/>
  <c r="D15557" i="1"/>
  <c r="E15557" i="1"/>
  <c r="C15558" i="1"/>
  <c r="D15558" i="1"/>
  <c r="E15558" i="1"/>
  <c r="C15559" i="1"/>
  <c r="D15559" i="1"/>
  <c r="E15559" i="1"/>
  <c r="C15560" i="1"/>
  <c r="D15560" i="1"/>
  <c r="E15560" i="1"/>
  <c r="C15561" i="1"/>
  <c r="D15561" i="1"/>
  <c r="E15561" i="1"/>
  <c r="C15562" i="1"/>
  <c r="D15562" i="1"/>
  <c r="E15562" i="1"/>
  <c r="C15563" i="1"/>
  <c r="D15563" i="1"/>
  <c r="E15563" i="1"/>
  <c r="C15564" i="1"/>
  <c r="D15564" i="1"/>
  <c r="E15564" i="1"/>
  <c r="C15565" i="1"/>
  <c r="D15565" i="1"/>
  <c r="E15565" i="1"/>
  <c r="C15566" i="1"/>
  <c r="D15566" i="1"/>
  <c r="E15566" i="1"/>
  <c r="C15567" i="1"/>
  <c r="D15567" i="1"/>
  <c r="E15567" i="1"/>
  <c r="C15568" i="1"/>
  <c r="D15568" i="1"/>
  <c r="E15568" i="1"/>
  <c r="C15569" i="1"/>
  <c r="D15569" i="1"/>
  <c r="E15569" i="1"/>
  <c r="C15570" i="1"/>
  <c r="D15570" i="1"/>
  <c r="E15570" i="1"/>
  <c r="C15571" i="1"/>
  <c r="D15571" i="1"/>
  <c r="E15571" i="1"/>
  <c r="C15572" i="1"/>
  <c r="D15572" i="1"/>
  <c r="E15572" i="1"/>
  <c r="C15573" i="1"/>
  <c r="D15573" i="1"/>
  <c r="E15573" i="1"/>
  <c r="C15574" i="1"/>
  <c r="D15574" i="1"/>
  <c r="E15574" i="1"/>
  <c r="C15575" i="1"/>
  <c r="D15575" i="1"/>
  <c r="E15575" i="1"/>
  <c r="C15576" i="1"/>
  <c r="D15576" i="1"/>
  <c r="E15576" i="1"/>
  <c r="C15577" i="1"/>
  <c r="D15577" i="1"/>
  <c r="E15577" i="1"/>
  <c r="C15578" i="1"/>
  <c r="D15578" i="1"/>
  <c r="E15578" i="1"/>
  <c r="C15579" i="1"/>
  <c r="D15579" i="1"/>
  <c r="E15579" i="1"/>
  <c r="C15580" i="1"/>
  <c r="D15580" i="1"/>
  <c r="E15580" i="1"/>
  <c r="C15581" i="1"/>
  <c r="D15581" i="1"/>
  <c r="E15581" i="1"/>
  <c r="C15582" i="1"/>
  <c r="D15582" i="1"/>
  <c r="E15582" i="1"/>
  <c r="C15583" i="1"/>
  <c r="D15583" i="1"/>
  <c r="E15583" i="1"/>
  <c r="C15584" i="1"/>
  <c r="D15584" i="1"/>
  <c r="E15584" i="1"/>
  <c r="C15585" i="1"/>
  <c r="D15585" i="1"/>
  <c r="E15585" i="1"/>
  <c r="C15586" i="1"/>
  <c r="D15586" i="1"/>
  <c r="E15586" i="1"/>
  <c r="C15587" i="1"/>
  <c r="D15587" i="1"/>
  <c r="E15587" i="1"/>
  <c r="C15588" i="1"/>
  <c r="D15588" i="1"/>
  <c r="E15588" i="1"/>
  <c r="C15589" i="1"/>
  <c r="D15589" i="1"/>
  <c r="E15589" i="1"/>
  <c r="C15590" i="1"/>
  <c r="D15590" i="1"/>
  <c r="E15590" i="1"/>
  <c r="C15591" i="1"/>
  <c r="D15591" i="1"/>
  <c r="E15591" i="1"/>
  <c r="C15592" i="1"/>
  <c r="D15592" i="1"/>
  <c r="E15592" i="1"/>
  <c r="C15593" i="1"/>
  <c r="D15593" i="1"/>
  <c r="E15593" i="1"/>
  <c r="C15594" i="1"/>
  <c r="D15594" i="1"/>
  <c r="E15594" i="1"/>
  <c r="C15595" i="1"/>
  <c r="D15595" i="1"/>
  <c r="E15595" i="1"/>
  <c r="C15596" i="1"/>
  <c r="D15596" i="1"/>
  <c r="E15596" i="1"/>
  <c r="C15597" i="1"/>
  <c r="D15597" i="1"/>
  <c r="E15597" i="1"/>
  <c r="C15598" i="1"/>
  <c r="D15598" i="1"/>
  <c r="E15598" i="1"/>
  <c r="C15599" i="1"/>
  <c r="D15599" i="1"/>
  <c r="E15599" i="1"/>
  <c r="C15600" i="1"/>
  <c r="D15600" i="1"/>
  <c r="E15600" i="1"/>
  <c r="C15601" i="1"/>
  <c r="D15601" i="1"/>
  <c r="E15601" i="1"/>
  <c r="C15602" i="1"/>
  <c r="D15602" i="1"/>
  <c r="E15602" i="1"/>
  <c r="C15603" i="1"/>
  <c r="D15603" i="1"/>
  <c r="E15603" i="1"/>
  <c r="C15604" i="1"/>
  <c r="D15604" i="1"/>
  <c r="E15604" i="1"/>
  <c r="C15605" i="1"/>
  <c r="D15605" i="1"/>
  <c r="E15605" i="1"/>
  <c r="C15606" i="1"/>
  <c r="D15606" i="1"/>
  <c r="E15606" i="1"/>
  <c r="C15607" i="1"/>
  <c r="D15607" i="1"/>
  <c r="E15607" i="1"/>
  <c r="C15608" i="1"/>
  <c r="D15608" i="1"/>
  <c r="E15608" i="1"/>
  <c r="C15609" i="1"/>
  <c r="D15609" i="1"/>
  <c r="E15609" i="1"/>
  <c r="C15610" i="1"/>
  <c r="D15610" i="1"/>
  <c r="E15610" i="1"/>
  <c r="C15611" i="1"/>
  <c r="D15611" i="1"/>
  <c r="E15611" i="1"/>
  <c r="C15612" i="1"/>
  <c r="D15612" i="1"/>
  <c r="E15612" i="1"/>
  <c r="C15613" i="1"/>
  <c r="D15613" i="1"/>
  <c r="E15613" i="1"/>
  <c r="C15614" i="1"/>
  <c r="D15614" i="1"/>
  <c r="E15614" i="1"/>
  <c r="C15615" i="1"/>
  <c r="D15615" i="1"/>
  <c r="E15615" i="1"/>
  <c r="C15616" i="1"/>
  <c r="D15616" i="1"/>
  <c r="E15616" i="1"/>
  <c r="C15617" i="1"/>
  <c r="D15617" i="1"/>
  <c r="E15617" i="1"/>
  <c r="C15618" i="1"/>
  <c r="D15618" i="1"/>
  <c r="E15618" i="1"/>
  <c r="C15619" i="1"/>
  <c r="D15619" i="1"/>
  <c r="E15619" i="1"/>
  <c r="C15620" i="1"/>
  <c r="D15620" i="1"/>
  <c r="E15620" i="1"/>
  <c r="C15621" i="1"/>
  <c r="D15621" i="1"/>
  <c r="E15621" i="1"/>
  <c r="C15622" i="1"/>
  <c r="D15622" i="1"/>
  <c r="E15622" i="1"/>
  <c r="C15623" i="1"/>
  <c r="D15623" i="1"/>
  <c r="E15623" i="1"/>
  <c r="C15624" i="1"/>
  <c r="D15624" i="1"/>
  <c r="E15624" i="1"/>
  <c r="C15625" i="1"/>
  <c r="D15625" i="1"/>
  <c r="E15625" i="1"/>
  <c r="C15626" i="1"/>
  <c r="D15626" i="1"/>
  <c r="E15626" i="1"/>
  <c r="C15627" i="1"/>
  <c r="D15627" i="1"/>
  <c r="E15627" i="1"/>
  <c r="C15628" i="1"/>
  <c r="D15628" i="1"/>
  <c r="E15628" i="1"/>
  <c r="C15629" i="1"/>
  <c r="D15629" i="1"/>
  <c r="E15629" i="1"/>
  <c r="C15630" i="1"/>
  <c r="D15630" i="1"/>
  <c r="E15630" i="1"/>
  <c r="C15631" i="1"/>
  <c r="D15631" i="1"/>
  <c r="E15631" i="1"/>
  <c r="C15632" i="1"/>
  <c r="D15632" i="1"/>
  <c r="E15632" i="1"/>
  <c r="C15633" i="1"/>
  <c r="D15633" i="1"/>
  <c r="E15633" i="1"/>
  <c r="C15634" i="1"/>
  <c r="D15634" i="1"/>
  <c r="E15634" i="1"/>
  <c r="C15635" i="1"/>
  <c r="D15635" i="1"/>
  <c r="E15635" i="1"/>
  <c r="C15636" i="1"/>
  <c r="D15636" i="1"/>
  <c r="E15636" i="1"/>
  <c r="C15637" i="1"/>
  <c r="D15637" i="1"/>
  <c r="E15637" i="1"/>
  <c r="C15638" i="1"/>
  <c r="D15638" i="1"/>
  <c r="E15638" i="1"/>
  <c r="C15639" i="1"/>
  <c r="D15639" i="1"/>
  <c r="E15639" i="1"/>
  <c r="C15640" i="1"/>
  <c r="D15640" i="1"/>
  <c r="E15640" i="1"/>
  <c r="C15641" i="1"/>
  <c r="D15641" i="1"/>
  <c r="E15641" i="1"/>
  <c r="C15642" i="1"/>
  <c r="D15642" i="1"/>
  <c r="E15642" i="1"/>
  <c r="C15643" i="1"/>
  <c r="D15643" i="1"/>
  <c r="E15643" i="1"/>
  <c r="C15644" i="1"/>
  <c r="D15644" i="1"/>
  <c r="E15644" i="1"/>
  <c r="C15645" i="1"/>
  <c r="D15645" i="1"/>
  <c r="E15645" i="1"/>
  <c r="C15646" i="1"/>
  <c r="D15646" i="1"/>
  <c r="E15646" i="1"/>
  <c r="C15647" i="1"/>
  <c r="D15647" i="1"/>
  <c r="E15647" i="1"/>
  <c r="C15648" i="1"/>
  <c r="D15648" i="1"/>
  <c r="E15648" i="1"/>
  <c r="C15649" i="1"/>
  <c r="D15649" i="1"/>
  <c r="E15649" i="1"/>
  <c r="C15650" i="1"/>
  <c r="D15650" i="1"/>
  <c r="E15650" i="1"/>
  <c r="C15651" i="1"/>
  <c r="D15651" i="1"/>
  <c r="E15651" i="1"/>
  <c r="C15652" i="1"/>
  <c r="D15652" i="1"/>
  <c r="E15652" i="1"/>
  <c r="C15653" i="1"/>
  <c r="D15653" i="1"/>
  <c r="E15653" i="1"/>
  <c r="C15654" i="1"/>
  <c r="D15654" i="1"/>
  <c r="E15654" i="1"/>
  <c r="C15655" i="1"/>
  <c r="D15655" i="1"/>
  <c r="E15655" i="1"/>
  <c r="C15656" i="1"/>
  <c r="D15656" i="1"/>
  <c r="E15656" i="1"/>
  <c r="C15657" i="1"/>
  <c r="D15657" i="1"/>
  <c r="E15657" i="1"/>
  <c r="C15658" i="1"/>
  <c r="D15658" i="1"/>
  <c r="E15658" i="1"/>
  <c r="C15659" i="1"/>
  <c r="D15659" i="1"/>
  <c r="E15659" i="1"/>
  <c r="C15660" i="1"/>
  <c r="D15660" i="1"/>
  <c r="E15660" i="1"/>
  <c r="C15661" i="1"/>
  <c r="D15661" i="1"/>
  <c r="E15661" i="1"/>
  <c r="C15662" i="1"/>
  <c r="D15662" i="1"/>
  <c r="E15662" i="1"/>
  <c r="C15663" i="1"/>
  <c r="D15663" i="1"/>
  <c r="E15663" i="1"/>
  <c r="C15664" i="1"/>
  <c r="D15664" i="1"/>
  <c r="E15664" i="1"/>
  <c r="C15665" i="1"/>
  <c r="D15665" i="1"/>
  <c r="E15665" i="1"/>
  <c r="C15666" i="1"/>
  <c r="D15666" i="1"/>
  <c r="E15666" i="1"/>
  <c r="C15667" i="1"/>
  <c r="D15667" i="1"/>
  <c r="E15667" i="1"/>
  <c r="C15668" i="1"/>
  <c r="D15668" i="1"/>
  <c r="E15668" i="1"/>
  <c r="C15669" i="1"/>
  <c r="D15669" i="1"/>
  <c r="E15669" i="1"/>
  <c r="C15670" i="1"/>
  <c r="D15670" i="1"/>
  <c r="E15670" i="1"/>
  <c r="C15671" i="1"/>
  <c r="D15671" i="1"/>
  <c r="E15671" i="1"/>
  <c r="C15672" i="1"/>
  <c r="D15672" i="1"/>
  <c r="E15672" i="1"/>
  <c r="C15673" i="1"/>
  <c r="D15673" i="1"/>
  <c r="E15673" i="1"/>
  <c r="C15674" i="1"/>
  <c r="D15674" i="1"/>
  <c r="E15674" i="1"/>
  <c r="C15675" i="1"/>
  <c r="D15675" i="1"/>
  <c r="E15675" i="1"/>
  <c r="C15676" i="1"/>
  <c r="D15676" i="1"/>
  <c r="E15676" i="1"/>
  <c r="C15677" i="1"/>
  <c r="D15677" i="1"/>
  <c r="E15677" i="1"/>
  <c r="C15678" i="1"/>
  <c r="D15678" i="1"/>
  <c r="E15678" i="1"/>
  <c r="C15679" i="1"/>
  <c r="D15679" i="1"/>
  <c r="E15679" i="1"/>
  <c r="C15680" i="1"/>
  <c r="D15680" i="1"/>
  <c r="E15680" i="1"/>
  <c r="C15681" i="1"/>
  <c r="D15681" i="1"/>
  <c r="E15681" i="1"/>
  <c r="C15682" i="1"/>
  <c r="D15682" i="1"/>
  <c r="E15682" i="1"/>
  <c r="C15683" i="1"/>
  <c r="D15683" i="1"/>
  <c r="E15683" i="1"/>
  <c r="C15684" i="1"/>
  <c r="D15684" i="1"/>
  <c r="E15684" i="1"/>
  <c r="C15685" i="1"/>
  <c r="D15685" i="1"/>
  <c r="E15685" i="1"/>
  <c r="C15686" i="1"/>
  <c r="D15686" i="1"/>
  <c r="E15686" i="1"/>
  <c r="C15687" i="1"/>
  <c r="D15687" i="1"/>
  <c r="E15687" i="1"/>
  <c r="C15688" i="1"/>
  <c r="D15688" i="1"/>
  <c r="E15688" i="1"/>
  <c r="C15689" i="1"/>
  <c r="D15689" i="1"/>
  <c r="E15689" i="1"/>
  <c r="C15690" i="1"/>
  <c r="D15690" i="1"/>
  <c r="E15690" i="1"/>
  <c r="C15691" i="1"/>
  <c r="D15691" i="1"/>
  <c r="E15691" i="1"/>
  <c r="C15692" i="1"/>
  <c r="D15692" i="1"/>
  <c r="E15692" i="1"/>
  <c r="C15693" i="1"/>
  <c r="D15693" i="1"/>
  <c r="E15693" i="1"/>
  <c r="C15694" i="1"/>
  <c r="D15694" i="1"/>
  <c r="E15694" i="1"/>
  <c r="C15695" i="1"/>
  <c r="D15695" i="1"/>
  <c r="E15695" i="1"/>
  <c r="C15696" i="1"/>
  <c r="D15696" i="1"/>
  <c r="E15696" i="1"/>
  <c r="C15697" i="1"/>
  <c r="D15697" i="1"/>
  <c r="E15697" i="1"/>
  <c r="C15698" i="1"/>
  <c r="D15698" i="1"/>
  <c r="E15698" i="1"/>
  <c r="C15699" i="1"/>
  <c r="D15699" i="1"/>
  <c r="E15699" i="1"/>
  <c r="C15700" i="1"/>
  <c r="D15700" i="1"/>
  <c r="E15700" i="1"/>
  <c r="C15701" i="1"/>
  <c r="D15701" i="1"/>
  <c r="E15701" i="1"/>
  <c r="C15702" i="1"/>
  <c r="D15702" i="1"/>
  <c r="E15702" i="1"/>
  <c r="C15703" i="1"/>
  <c r="D15703" i="1"/>
  <c r="E15703" i="1"/>
  <c r="C15704" i="1"/>
  <c r="D15704" i="1"/>
  <c r="E15704" i="1"/>
  <c r="C15705" i="1"/>
  <c r="D15705" i="1"/>
  <c r="E15705" i="1"/>
  <c r="C15706" i="1"/>
  <c r="D15706" i="1"/>
  <c r="E15706" i="1"/>
  <c r="C15707" i="1"/>
  <c r="D15707" i="1"/>
  <c r="E15707" i="1"/>
  <c r="C15708" i="1"/>
  <c r="D15708" i="1"/>
  <c r="E15708" i="1"/>
  <c r="C15709" i="1"/>
  <c r="D15709" i="1"/>
  <c r="E15709" i="1"/>
  <c r="C15710" i="1"/>
  <c r="D15710" i="1"/>
  <c r="E15710" i="1"/>
  <c r="C15711" i="1"/>
  <c r="D15711" i="1"/>
  <c r="E15711" i="1"/>
  <c r="C15712" i="1"/>
  <c r="D15712" i="1"/>
  <c r="E15712" i="1"/>
  <c r="C15713" i="1"/>
  <c r="D15713" i="1"/>
  <c r="E15713" i="1"/>
  <c r="C15714" i="1"/>
  <c r="D15714" i="1"/>
  <c r="E15714" i="1"/>
  <c r="C15715" i="1"/>
  <c r="D15715" i="1"/>
  <c r="E15715" i="1"/>
  <c r="C15716" i="1"/>
  <c r="D15716" i="1"/>
  <c r="E15716" i="1"/>
  <c r="C15717" i="1"/>
  <c r="D15717" i="1"/>
  <c r="E15717" i="1"/>
  <c r="C15718" i="1"/>
  <c r="D15718" i="1"/>
  <c r="E15718" i="1"/>
  <c r="C15719" i="1"/>
  <c r="D15719" i="1"/>
  <c r="E15719" i="1"/>
  <c r="C15720" i="1"/>
  <c r="D15720" i="1"/>
  <c r="E15720" i="1"/>
  <c r="C15721" i="1"/>
  <c r="D15721" i="1"/>
  <c r="E15721" i="1"/>
  <c r="C15722" i="1"/>
  <c r="D15722" i="1"/>
  <c r="E15722" i="1"/>
  <c r="C15723" i="1"/>
  <c r="D15723" i="1"/>
  <c r="E15723" i="1"/>
  <c r="C15724" i="1"/>
  <c r="D15724" i="1"/>
  <c r="E15724" i="1"/>
  <c r="C15725" i="1"/>
  <c r="D15725" i="1"/>
  <c r="E15725" i="1"/>
  <c r="C15726" i="1"/>
  <c r="D15726" i="1"/>
  <c r="E15726" i="1"/>
  <c r="C15727" i="1"/>
  <c r="D15727" i="1"/>
  <c r="E15727" i="1"/>
  <c r="C15728" i="1"/>
  <c r="D15728" i="1"/>
  <c r="E15728" i="1"/>
  <c r="C15729" i="1"/>
  <c r="D15729" i="1"/>
  <c r="E15729" i="1"/>
  <c r="C15730" i="1"/>
  <c r="D15730" i="1"/>
  <c r="E15730" i="1"/>
  <c r="C15731" i="1"/>
  <c r="D15731" i="1"/>
  <c r="E15731" i="1"/>
  <c r="C15732" i="1"/>
  <c r="D15732" i="1"/>
  <c r="E15732" i="1"/>
  <c r="C15733" i="1"/>
  <c r="D15733" i="1"/>
  <c r="E15733" i="1"/>
  <c r="C15734" i="1"/>
  <c r="D15734" i="1"/>
  <c r="E15734" i="1"/>
  <c r="C15735" i="1"/>
  <c r="D15735" i="1"/>
  <c r="E15735" i="1"/>
  <c r="C15736" i="1"/>
  <c r="D15736" i="1"/>
  <c r="E15736" i="1"/>
  <c r="C15737" i="1"/>
  <c r="D15737" i="1"/>
  <c r="E15737" i="1"/>
  <c r="C15738" i="1"/>
  <c r="D15738" i="1"/>
  <c r="E15738" i="1"/>
  <c r="C15739" i="1"/>
  <c r="D15739" i="1"/>
  <c r="E15739" i="1"/>
  <c r="C15740" i="1"/>
  <c r="D15740" i="1"/>
  <c r="E15740" i="1"/>
  <c r="C15741" i="1"/>
  <c r="D15741" i="1"/>
  <c r="E15741" i="1"/>
  <c r="C15742" i="1"/>
  <c r="D15742" i="1"/>
  <c r="E15742" i="1"/>
  <c r="C15743" i="1"/>
  <c r="D15743" i="1"/>
  <c r="E15743" i="1"/>
  <c r="C15744" i="1"/>
  <c r="D15744" i="1"/>
  <c r="E15744" i="1"/>
  <c r="C15745" i="1"/>
  <c r="D15745" i="1"/>
  <c r="E15745" i="1"/>
  <c r="C15746" i="1"/>
  <c r="D15746" i="1"/>
  <c r="E15746" i="1"/>
  <c r="C15747" i="1"/>
  <c r="D15747" i="1"/>
  <c r="E15747" i="1"/>
  <c r="C15748" i="1"/>
  <c r="D15748" i="1"/>
  <c r="E15748" i="1"/>
  <c r="C15749" i="1"/>
  <c r="D15749" i="1"/>
  <c r="E15749" i="1"/>
  <c r="C15750" i="1"/>
  <c r="D15750" i="1"/>
  <c r="E15750" i="1"/>
  <c r="C15751" i="1"/>
  <c r="D15751" i="1"/>
  <c r="E15751" i="1"/>
  <c r="C15752" i="1"/>
  <c r="D15752" i="1"/>
  <c r="E15752" i="1"/>
  <c r="C15753" i="1"/>
  <c r="D15753" i="1"/>
  <c r="E15753" i="1"/>
  <c r="C15754" i="1"/>
  <c r="D15754" i="1"/>
  <c r="E15754" i="1"/>
  <c r="C15755" i="1"/>
  <c r="D15755" i="1"/>
  <c r="E15755" i="1"/>
  <c r="C15756" i="1"/>
  <c r="D15756" i="1"/>
  <c r="E15756" i="1"/>
  <c r="C15757" i="1"/>
  <c r="D15757" i="1"/>
  <c r="E15757" i="1"/>
  <c r="C15758" i="1"/>
  <c r="D15758" i="1"/>
  <c r="E15758" i="1"/>
  <c r="C15759" i="1"/>
  <c r="D15759" i="1"/>
  <c r="E15759" i="1"/>
  <c r="C15760" i="1"/>
  <c r="D15760" i="1"/>
  <c r="E15760" i="1"/>
  <c r="C15761" i="1"/>
  <c r="D15761" i="1"/>
  <c r="E15761" i="1"/>
  <c r="C15762" i="1"/>
  <c r="D15762" i="1"/>
  <c r="E15762" i="1"/>
  <c r="C15763" i="1"/>
  <c r="D15763" i="1"/>
  <c r="E15763" i="1"/>
  <c r="C15764" i="1"/>
  <c r="D15764" i="1"/>
  <c r="E15764" i="1"/>
  <c r="C15765" i="1"/>
  <c r="D15765" i="1"/>
  <c r="E15765" i="1"/>
  <c r="C15766" i="1"/>
  <c r="D15766" i="1"/>
  <c r="E15766" i="1"/>
  <c r="C15767" i="1"/>
  <c r="D15767" i="1"/>
  <c r="E15767" i="1"/>
  <c r="C15768" i="1"/>
  <c r="D15768" i="1"/>
  <c r="E15768" i="1"/>
  <c r="C15769" i="1"/>
  <c r="D15769" i="1"/>
  <c r="E15769" i="1"/>
  <c r="C15770" i="1"/>
  <c r="D15770" i="1"/>
  <c r="E15770" i="1"/>
  <c r="C15771" i="1"/>
  <c r="D15771" i="1"/>
  <c r="E15771" i="1"/>
  <c r="C15772" i="1"/>
  <c r="D15772" i="1"/>
  <c r="E15772" i="1"/>
  <c r="C15773" i="1"/>
  <c r="D15773" i="1"/>
  <c r="E15773" i="1"/>
  <c r="C15774" i="1"/>
  <c r="D15774" i="1"/>
  <c r="E15774" i="1"/>
  <c r="C15775" i="1"/>
  <c r="D15775" i="1"/>
  <c r="E15775" i="1"/>
  <c r="C15776" i="1"/>
  <c r="D15776" i="1"/>
  <c r="E15776" i="1"/>
  <c r="C15777" i="1"/>
  <c r="D15777" i="1"/>
  <c r="E15777" i="1"/>
  <c r="C15778" i="1"/>
  <c r="D15778" i="1"/>
  <c r="E15778" i="1"/>
  <c r="C15779" i="1"/>
  <c r="D15779" i="1"/>
  <c r="E15779" i="1"/>
  <c r="C15780" i="1"/>
  <c r="D15780" i="1"/>
  <c r="E15780" i="1"/>
  <c r="C15781" i="1"/>
  <c r="D15781" i="1"/>
  <c r="E15781" i="1"/>
  <c r="C15782" i="1"/>
  <c r="D15782" i="1"/>
  <c r="E15782" i="1"/>
  <c r="C15783" i="1"/>
  <c r="D15783" i="1"/>
  <c r="E15783" i="1"/>
  <c r="C15784" i="1"/>
  <c r="D15784" i="1"/>
  <c r="E15784" i="1"/>
  <c r="C15785" i="1"/>
  <c r="D15785" i="1"/>
  <c r="E15785" i="1"/>
  <c r="C15786" i="1"/>
  <c r="D15786" i="1"/>
  <c r="E15786" i="1"/>
  <c r="C15787" i="1"/>
  <c r="D15787" i="1"/>
  <c r="E15787" i="1"/>
  <c r="C15788" i="1"/>
  <c r="D15788" i="1"/>
  <c r="E15788" i="1"/>
  <c r="C15789" i="1"/>
  <c r="D15789" i="1"/>
  <c r="E15789" i="1"/>
  <c r="C15790" i="1"/>
  <c r="D15790" i="1"/>
  <c r="E15790" i="1"/>
  <c r="C15791" i="1"/>
  <c r="D15791" i="1"/>
  <c r="E15791" i="1"/>
  <c r="C15792" i="1"/>
  <c r="D15792" i="1"/>
  <c r="E15792" i="1"/>
  <c r="C15793" i="1"/>
  <c r="D15793" i="1"/>
  <c r="E15793" i="1"/>
  <c r="C15794" i="1"/>
  <c r="D15794" i="1"/>
  <c r="E15794" i="1"/>
  <c r="C15795" i="1"/>
  <c r="D15795" i="1"/>
  <c r="E15795" i="1"/>
  <c r="C15796" i="1"/>
  <c r="D15796" i="1"/>
  <c r="E15796" i="1"/>
  <c r="C15797" i="1"/>
  <c r="D15797" i="1"/>
  <c r="E15797" i="1"/>
  <c r="C15798" i="1"/>
  <c r="D15798" i="1"/>
  <c r="E15798" i="1"/>
  <c r="C15799" i="1"/>
  <c r="D15799" i="1"/>
  <c r="E15799" i="1"/>
  <c r="C15800" i="1"/>
  <c r="D15800" i="1"/>
  <c r="E15800" i="1"/>
  <c r="C15801" i="1"/>
  <c r="D15801" i="1"/>
  <c r="E15801" i="1"/>
  <c r="C15802" i="1"/>
  <c r="D15802" i="1"/>
  <c r="E15802" i="1"/>
  <c r="C15803" i="1"/>
  <c r="D15803" i="1"/>
  <c r="E15803" i="1"/>
  <c r="C15804" i="1"/>
  <c r="D15804" i="1"/>
  <c r="E15804" i="1"/>
  <c r="C15805" i="1"/>
  <c r="D15805" i="1"/>
  <c r="E15805" i="1"/>
  <c r="C15806" i="1"/>
  <c r="D15806" i="1"/>
  <c r="E15806" i="1"/>
  <c r="C15807" i="1"/>
  <c r="D15807" i="1"/>
  <c r="E15807" i="1"/>
  <c r="C15808" i="1"/>
  <c r="D15808" i="1"/>
  <c r="E15808" i="1"/>
  <c r="C15809" i="1"/>
  <c r="D15809" i="1"/>
  <c r="E15809" i="1"/>
  <c r="C15810" i="1"/>
  <c r="D15810" i="1"/>
  <c r="E15810" i="1"/>
  <c r="C15811" i="1"/>
  <c r="D15811" i="1"/>
  <c r="E15811" i="1"/>
  <c r="C15812" i="1"/>
  <c r="D15812" i="1"/>
  <c r="E15812" i="1"/>
  <c r="C15813" i="1"/>
  <c r="D15813" i="1"/>
  <c r="E15813" i="1"/>
  <c r="C15814" i="1"/>
  <c r="D15814" i="1"/>
  <c r="E15814" i="1"/>
  <c r="C15815" i="1"/>
  <c r="D15815" i="1"/>
  <c r="E15815" i="1"/>
  <c r="C15816" i="1"/>
  <c r="D15816" i="1"/>
  <c r="E15816" i="1"/>
  <c r="C15817" i="1"/>
  <c r="D15817" i="1"/>
  <c r="E15817" i="1"/>
  <c r="C15818" i="1"/>
  <c r="D15818" i="1"/>
  <c r="E15818" i="1"/>
  <c r="C15819" i="1"/>
  <c r="D15819" i="1"/>
  <c r="E15819" i="1"/>
  <c r="C15820" i="1"/>
  <c r="D15820" i="1"/>
  <c r="E15820" i="1"/>
  <c r="C15821" i="1"/>
  <c r="D15821" i="1"/>
  <c r="E15821" i="1"/>
  <c r="C15822" i="1"/>
  <c r="D15822" i="1"/>
  <c r="E15822" i="1"/>
  <c r="C15823" i="1"/>
  <c r="D15823" i="1"/>
  <c r="E15823" i="1"/>
  <c r="C15824" i="1"/>
  <c r="D15824" i="1"/>
  <c r="E15824" i="1"/>
  <c r="C15825" i="1"/>
  <c r="D15825" i="1"/>
  <c r="E15825" i="1"/>
  <c r="C15826" i="1"/>
  <c r="D15826" i="1"/>
  <c r="E15826" i="1"/>
  <c r="C15827" i="1"/>
  <c r="D15827" i="1"/>
  <c r="E15827" i="1"/>
  <c r="C15828" i="1"/>
  <c r="D15828" i="1"/>
  <c r="E15828" i="1"/>
  <c r="C15829" i="1"/>
  <c r="D15829" i="1"/>
  <c r="E15829" i="1"/>
  <c r="C15830" i="1"/>
  <c r="D15830" i="1"/>
  <c r="E15830" i="1"/>
  <c r="C15831" i="1"/>
  <c r="D15831" i="1"/>
  <c r="E15831" i="1"/>
  <c r="C15832" i="1"/>
  <c r="D15832" i="1"/>
  <c r="E15832" i="1"/>
  <c r="C15833" i="1"/>
  <c r="D15833" i="1"/>
  <c r="E15833" i="1"/>
  <c r="C15834" i="1"/>
  <c r="D15834" i="1"/>
  <c r="E15834" i="1"/>
  <c r="C15835" i="1"/>
  <c r="D15835" i="1"/>
  <c r="E15835" i="1"/>
  <c r="C15836" i="1"/>
  <c r="D15836" i="1"/>
  <c r="E15836" i="1"/>
  <c r="C15837" i="1"/>
  <c r="D15837" i="1"/>
  <c r="E15837" i="1"/>
  <c r="C15838" i="1"/>
  <c r="D15838" i="1"/>
  <c r="E15838" i="1"/>
  <c r="C15839" i="1"/>
  <c r="D15839" i="1"/>
  <c r="E15839" i="1"/>
  <c r="C15840" i="1"/>
  <c r="D15840" i="1"/>
  <c r="E15840" i="1"/>
  <c r="C15841" i="1"/>
  <c r="D15841" i="1"/>
  <c r="E15841" i="1"/>
  <c r="C15842" i="1"/>
  <c r="D15842" i="1"/>
  <c r="E15842" i="1"/>
  <c r="C15843" i="1"/>
  <c r="D15843" i="1"/>
  <c r="E15843" i="1"/>
  <c r="C15844" i="1"/>
  <c r="D15844" i="1"/>
  <c r="E15844" i="1"/>
  <c r="C15845" i="1"/>
  <c r="D15845" i="1"/>
  <c r="E15845" i="1"/>
  <c r="C15846" i="1"/>
  <c r="D15846" i="1"/>
  <c r="E15846" i="1"/>
  <c r="C15847" i="1"/>
  <c r="D15847" i="1"/>
  <c r="E15847" i="1"/>
  <c r="C15848" i="1"/>
  <c r="D15848" i="1"/>
  <c r="E15848" i="1"/>
  <c r="C15849" i="1"/>
  <c r="D15849" i="1"/>
  <c r="E15849" i="1"/>
  <c r="C15850" i="1"/>
  <c r="D15850" i="1"/>
  <c r="E15850" i="1"/>
  <c r="C15851" i="1"/>
  <c r="D15851" i="1"/>
  <c r="E15851" i="1"/>
  <c r="C15852" i="1"/>
  <c r="D15852" i="1"/>
  <c r="E15852" i="1"/>
  <c r="C15853" i="1"/>
  <c r="D15853" i="1"/>
  <c r="E15853" i="1"/>
  <c r="C15854" i="1"/>
  <c r="D15854" i="1"/>
  <c r="E15854" i="1"/>
  <c r="C15855" i="1"/>
  <c r="D15855" i="1"/>
  <c r="E15855" i="1"/>
  <c r="C15856" i="1"/>
  <c r="D15856" i="1"/>
  <c r="E15856" i="1"/>
  <c r="C15857" i="1"/>
  <c r="D15857" i="1"/>
  <c r="E15857" i="1"/>
  <c r="C15858" i="1"/>
  <c r="D15858" i="1"/>
  <c r="E15858" i="1"/>
  <c r="C15859" i="1"/>
  <c r="D15859" i="1"/>
  <c r="E15859" i="1"/>
  <c r="C15860" i="1"/>
  <c r="D15860" i="1"/>
  <c r="E15860" i="1"/>
  <c r="C15861" i="1"/>
  <c r="D15861" i="1"/>
  <c r="E15861" i="1"/>
  <c r="C15862" i="1"/>
  <c r="D15862" i="1"/>
  <c r="E15862" i="1"/>
  <c r="C15863" i="1"/>
  <c r="D15863" i="1"/>
  <c r="E15863" i="1"/>
  <c r="C15864" i="1"/>
  <c r="D15864" i="1"/>
  <c r="E15864" i="1"/>
  <c r="C15865" i="1"/>
  <c r="D15865" i="1"/>
  <c r="E15865" i="1"/>
  <c r="C15866" i="1"/>
  <c r="D15866" i="1"/>
  <c r="E15866" i="1"/>
  <c r="C15867" i="1"/>
  <c r="D15867" i="1"/>
  <c r="E15867" i="1"/>
  <c r="C15868" i="1"/>
  <c r="D15868" i="1"/>
  <c r="E15868" i="1"/>
  <c r="C15869" i="1"/>
  <c r="D15869" i="1"/>
  <c r="E15869" i="1"/>
  <c r="C15870" i="1"/>
  <c r="D15870" i="1"/>
  <c r="E15870" i="1"/>
  <c r="C15871" i="1"/>
  <c r="D15871" i="1"/>
  <c r="E15871" i="1"/>
  <c r="C15872" i="1"/>
  <c r="D15872" i="1"/>
  <c r="E15872" i="1"/>
  <c r="C15873" i="1"/>
  <c r="D15873" i="1"/>
  <c r="E15873" i="1"/>
  <c r="C15874" i="1"/>
  <c r="D15874" i="1"/>
  <c r="E15874" i="1"/>
  <c r="C15875" i="1"/>
  <c r="D15875" i="1"/>
  <c r="E15875" i="1"/>
  <c r="C15876" i="1"/>
  <c r="D15876" i="1"/>
  <c r="E15876" i="1"/>
  <c r="C15877" i="1"/>
  <c r="D15877" i="1"/>
  <c r="E15877" i="1"/>
  <c r="C15878" i="1"/>
  <c r="D15878" i="1"/>
  <c r="E15878" i="1"/>
  <c r="C15879" i="1"/>
  <c r="D15879" i="1"/>
  <c r="E15879" i="1"/>
  <c r="C15880" i="1"/>
  <c r="D15880" i="1"/>
  <c r="E15880" i="1"/>
  <c r="C15881" i="1"/>
  <c r="D15881" i="1"/>
  <c r="E15881" i="1"/>
  <c r="C15882" i="1"/>
  <c r="D15882" i="1"/>
  <c r="E15882" i="1"/>
  <c r="C15883" i="1"/>
  <c r="D15883" i="1"/>
  <c r="E15883" i="1"/>
  <c r="C15884" i="1"/>
  <c r="D15884" i="1"/>
  <c r="E15884" i="1"/>
  <c r="C15885" i="1"/>
  <c r="D15885" i="1"/>
  <c r="E15885" i="1"/>
  <c r="C15886" i="1"/>
  <c r="D15886" i="1"/>
  <c r="E15886" i="1"/>
  <c r="C15887" i="1"/>
  <c r="D15887" i="1"/>
  <c r="E15887" i="1"/>
  <c r="C15888" i="1"/>
  <c r="D15888" i="1"/>
  <c r="E15888" i="1"/>
  <c r="C15889" i="1"/>
  <c r="D15889" i="1"/>
  <c r="E15889" i="1"/>
  <c r="C15890" i="1"/>
  <c r="D15890" i="1"/>
  <c r="E15890" i="1"/>
  <c r="C15891" i="1"/>
  <c r="D15891" i="1"/>
  <c r="E15891" i="1"/>
  <c r="C15892" i="1"/>
  <c r="D15892" i="1"/>
  <c r="E15892" i="1"/>
  <c r="C15893" i="1"/>
  <c r="D15893" i="1"/>
  <c r="E15893" i="1"/>
  <c r="C15894" i="1"/>
  <c r="D15894" i="1"/>
  <c r="E15894" i="1"/>
  <c r="C15895" i="1"/>
  <c r="D15895" i="1"/>
  <c r="E15895" i="1"/>
  <c r="C15896" i="1"/>
  <c r="D15896" i="1"/>
  <c r="E15896" i="1"/>
  <c r="C15897" i="1"/>
  <c r="D15897" i="1"/>
  <c r="E15897" i="1"/>
  <c r="C15898" i="1"/>
  <c r="D15898" i="1"/>
  <c r="E15898" i="1"/>
  <c r="C15899" i="1"/>
  <c r="D15899" i="1"/>
  <c r="E15899" i="1"/>
  <c r="C15900" i="1"/>
  <c r="D15900" i="1"/>
  <c r="E15900" i="1"/>
  <c r="C15901" i="1"/>
  <c r="D15901" i="1"/>
  <c r="E15901" i="1"/>
  <c r="C15902" i="1"/>
  <c r="D15902" i="1"/>
  <c r="E15902" i="1"/>
  <c r="C15903" i="1"/>
  <c r="D15903" i="1"/>
  <c r="E15903" i="1"/>
  <c r="C15904" i="1"/>
  <c r="D15904" i="1"/>
  <c r="E15904" i="1"/>
  <c r="C15905" i="1"/>
  <c r="D15905" i="1"/>
  <c r="E15905" i="1"/>
  <c r="C15906" i="1"/>
  <c r="D15906" i="1"/>
  <c r="E15906" i="1"/>
  <c r="C15907" i="1"/>
  <c r="D15907" i="1"/>
  <c r="E15907" i="1"/>
  <c r="C15908" i="1"/>
  <c r="D15908" i="1"/>
  <c r="E15908" i="1"/>
  <c r="C15909" i="1"/>
  <c r="D15909" i="1"/>
  <c r="E15909" i="1"/>
  <c r="C15910" i="1"/>
  <c r="D15910" i="1"/>
  <c r="E15910" i="1"/>
  <c r="C15911" i="1"/>
  <c r="D15911" i="1"/>
  <c r="E15911" i="1"/>
  <c r="C15912" i="1"/>
  <c r="D15912" i="1"/>
  <c r="E15912" i="1"/>
  <c r="C15913" i="1"/>
  <c r="D15913" i="1"/>
  <c r="E15913" i="1"/>
  <c r="C15914" i="1"/>
  <c r="D15914" i="1"/>
  <c r="E15914" i="1"/>
  <c r="C15915" i="1"/>
  <c r="D15915" i="1"/>
  <c r="E15915" i="1"/>
  <c r="C15916" i="1"/>
  <c r="D15916" i="1"/>
  <c r="E15916" i="1"/>
  <c r="C15917" i="1"/>
  <c r="D15917" i="1"/>
  <c r="E15917" i="1"/>
  <c r="C15918" i="1"/>
  <c r="D15918" i="1"/>
  <c r="E15918" i="1"/>
  <c r="C15919" i="1"/>
  <c r="D15919" i="1"/>
  <c r="E15919" i="1"/>
  <c r="C15920" i="1"/>
  <c r="D15920" i="1"/>
  <c r="E15920" i="1"/>
  <c r="C15921" i="1"/>
  <c r="D15921" i="1"/>
  <c r="E15921" i="1"/>
  <c r="C15922" i="1"/>
  <c r="D15922" i="1"/>
  <c r="E15922" i="1"/>
  <c r="C15923" i="1"/>
  <c r="D15923" i="1"/>
  <c r="E15923" i="1"/>
  <c r="C15924" i="1"/>
  <c r="D15924" i="1"/>
  <c r="E15924" i="1"/>
  <c r="C15925" i="1"/>
  <c r="D15925" i="1"/>
  <c r="E15925" i="1"/>
  <c r="C15926" i="1"/>
  <c r="D15926" i="1"/>
  <c r="E15926" i="1"/>
  <c r="C15927" i="1"/>
  <c r="D15927" i="1"/>
  <c r="E15927" i="1"/>
  <c r="C15928" i="1"/>
  <c r="D15928" i="1"/>
  <c r="E15928" i="1"/>
  <c r="C15929" i="1"/>
  <c r="D15929" i="1"/>
  <c r="E15929" i="1"/>
  <c r="C15930" i="1"/>
  <c r="D15930" i="1"/>
  <c r="E15930" i="1"/>
  <c r="C15931" i="1"/>
  <c r="D15931" i="1"/>
  <c r="E15931" i="1"/>
  <c r="C15932" i="1"/>
  <c r="D15932" i="1"/>
  <c r="E15932" i="1"/>
  <c r="C15933" i="1"/>
  <c r="D15933" i="1"/>
  <c r="E15933" i="1"/>
  <c r="C15934" i="1"/>
  <c r="D15934" i="1"/>
  <c r="E15934" i="1"/>
  <c r="C15935" i="1"/>
  <c r="D15935" i="1"/>
  <c r="E15935" i="1"/>
  <c r="C15936" i="1"/>
  <c r="D15936" i="1"/>
  <c r="E15936" i="1"/>
  <c r="C15937" i="1"/>
  <c r="D15937" i="1"/>
  <c r="E15937" i="1"/>
  <c r="C15938" i="1"/>
  <c r="D15938" i="1"/>
  <c r="E15938" i="1"/>
  <c r="C15939" i="1"/>
  <c r="D15939" i="1"/>
  <c r="E15939" i="1"/>
  <c r="C15940" i="1"/>
  <c r="D15940" i="1"/>
  <c r="E15940" i="1"/>
  <c r="C15941" i="1"/>
  <c r="D15941" i="1"/>
  <c r="E15941" i="1"/>
  <c r="C15942" i="1"/>
  <c r="D15942" i="1"/>
  <c r="E15942" i="1"/>
  <c r="C15943" i="1"/>
  <c r="D15943" i="1"/>
  <c r="E15943" i="1"/>
  <c r="C15944" i="1"/>
  <c r="D15944" i="1"/>
  <c r="E15944" i="1"/>
  <c r="C15945" i="1"/>
  <c r="D15945" i="1"/>
  <c r="E15945" i="1"/>
  <c r="C15946" i="1"/>
  <c r="D15946" i="1"/>
  <c r="E15946" i="1"/>
  <c r="C15947" i="1"/>
  <c r="D15947" i="1"/>
  <c r="E15947" i="1"/>
  <c r="C15948" i="1"/>
  <c r="D15948" i="1"/>
  <c r="E15948" i="1"/>
  <c r="C15949" i="1"/>
  <c r="D15949" i="1"/>
  <c r="E15949" i="1"/>
  <c r="C15950" i="1"/>
  <c r="D15950" i="1"/>
  <c r="E15950" i="1"/>
  <c r="C15951" i="1"/>
  <c r="D15951" i="1"/>
  <c r="E15951" i="1"/>
  <c r="C15952" i="1"/>
  <c r="D15952" i="1"/>
  <c r="E15952" i="1"/>
  <c r="C15953" i="1"/>
  <c r="D15953" i="1"/>
  <c r="E15953" i="1"/>
  <c r="C15954" i="1"/>
  <c r="D15954" i="1"/>
  <c r="E15954" i="1"/>
  <c r="C15955" i="1"/>
  <c r="D15955" i="1"/>
  <c r="E15955" i="1"/>
  <c r="C15956" i="1"/>
  <c r="D15956" i="1"/>
  <c r="E15956" i="1"/>
  <c r="C15957" i="1"/>
  <c r="D15957" i="1"/>
  <c r="E15957" i="1"/>
  <c r="C15958" i="1"/>
  <c r="D15958" i="1"/>
  <c r="E15958" i="1"/>
  <c r="C15959" i="1"/>
  <c r="D15959" i="1"/>
  <c r="E15959" i="1"/>
  <c r="C15960" i="1"/>
  <c r="D15960" i="1"/>
  <c r="E15960" i="1"/>
  <c r="C15961" i="1"/>
  <c r="D15961" i="1"/>
  <c r="E15961" i="1"/>
  <c r="C15962" i="1"/>
  <c r="D15962" i="1"/>
  <c r="E15962" i="1"/>
  <c r="C15963" i="1"/>
  <c r="D15963" i="1"/>
  <c r="E15963" i="1"/>
  <c r="C15964" i="1"/>
  <c r="D15964" i="1"/>
  <c r="E15964" i="1"/>
  <c r="C15965" i="1"/>
  <c r="D15965" i="1"/>
  <c r="E15965" i="1"/>
  <c r="C15966" i="1"/>
  <c r="D15966" i="1"/>
  <c r="E15966" i="1"/>
  <c r="C15967" i="1"/>
  <c r="D15967" i="1"/>
  <c r="E15967" i="1"/>
  <c r="C15968" i="1"/>
  <c r="D15968" i="1"/>
  <c r="E15968" i="1"/>
  <c r="C15969" i="1"/>
  <c r="D15969" i="1"/>
  <c r="E15969" i="1"/>
  <c r="C15970" i="1"/>
  <c r="D15970" i="1"/>
  <c r="E15970" i="1"/>
  <c r="C15971" i="1"/>
  <c r="D15971" i="1"/>
  <c r="E15971" i="1"/>
  <c r="C15972" i="1"/>
  <c r="D15972" i="1"/>
  <c r="E15972" i="1"/>
  <c r="C15973" i="1"/>
  <c r="D15973" i="1"/>
  <c r="E15973" i="1"/>
  <c r="C15974" i="1"/>
  <c r="D15974" i="1"/>
  <c r="E15974" i="1"/>
  <c r="C15975" i="1"/>
  <c r="D15975" i="1"/>
  <c r="E15975" i="1"/>
  <c r="C15976" i="1"/>
  <c r="D15976" i="1"/>
  <c r="E15976" i="1"/>
  <c r="C15977" i="1"/>
  <c r="D15977" i="1"/>
  <c r="E15977" i="1"/>
  <c r="C15978" i="1"/>
  <c r="D15978" i="1"/>
  <c r="E15978" i="1"/>
  <c r="C15979" i="1"/>
  <c r="D15979" i="1"/>
  <c r="E15979" i="1"/>
  <c r="C15980" i="1"/>
  <c r="D15980" i="1"/>
  <c r="E15980" i="1"/>
  <c r="C15981" i="1"/>
  <c r="D15981" i="1"/>
  <c r="E15981" i="1"/>
  <c r="C15982" i="1"/>
  <c r="D15982" i="1"/>
  <c r="E15982" i="1"/>
  <c r="C15983" i="1"/>
  <c r="D15983" i="1"/>
  <c r="E15983" i="1"/>
  <c r="C15984" i="1"/>
  <c r="D15984" i="1"/>
  <c r="E15984" i="1"/>
  <c r="C15985" i="1"/>
  <c r="D15985" i="1"/>
  <c r="E15985" i="1"/>
  <c r="C15986" i="1"/>
  <c r="D15986" i="1"/>
  <c r="E15986" i="1"/>
  <c r="C15987" i="1"/>
  <c r="D15987" i="1"/>
  <c r="E15987" i="1"/>
  <c r="C15988" i="1"/>
  <c r="D15988" i="1"/>
  <c r="E15988" i="1"/>
  <c r="C15989" i="1"/>
  <c r="D15989" i="1"/>
  <c r="E15989" i="1"/>
  <c r="C15990" i="1"/>
  <c r="D15990" i="1"/>
  <c r="E15990" i="1"/>
  <c r="C15991" i="1"/>
  <c r="D15991" i="1"/>
  <c r="E15991" i="1"/>
  <c r="C15992" i="1"/>
  <c r="D15992" i="1"/>
  <c r="E15992" i="1"/>
  <c r="C15993" i="1"/>
  <c r="D15993" i="1"/>
  <c r="E15993" i="1"/>
  <c r="C15994" i="1"/>
  <c r="D15994" i="1"/>
  <c r="E15994" i="1"/>
  <c r="C15995" i="1"/>
  <c r="D15995" i="1"/>
  <c r="E15995" i="1"/>
  <c r="C15996" i="1"/>
  <c r="D15996" i="1"/>
  <c r="E15996" i="1"/>
  <c r="C15997" i="1"/>
  <c r="D15997" i="1"/>
  <c r="E15997" i="1"/>
  <c r="C15998" i="1"/>
  <c r="D15998" i="1"/>
  <c r="E15998" i="1"/>
  <c r="C15999" i="1"/>
  <c r="D15999" i="1"/>
  <c r="E15999" i="1"/>
  <c r="C16000" i="1"/>
  <c r="D16000" i="1"/>
  <c r="E16000" i="1"/>
  <c r="C16001" i="1"/>
  <c r="D16001" i="1"/>
  <c r="E16001" i="1"/>
  <c r="C16002" i="1"/>
  <c r="D16002" i="1"/>
  <c r="E16002" i="1"/>
  <c r="C16003" i="1"/>
  <c r="D16003" i="1"/>
  <c r="E16003" i="1"/>
  <c r="C16004" i="1"/>
  <c r="D16004" i="1"/>
  <c r="E16004" i="1"/>
  <c r="C16005" i="1"/>
  <c r="D16005" i="1"/>
  <c r="E16005" i="1"/>
  <c r="C16006" i="1"/>
  <c r="D16006" i="1"/>
  <c r="E16006" i="1"/>
  <c r="C16007" i="1"/>
  <c r="D16007" i="1"/>
  <c r="E16007" i="1"/>
  <c r="C16008" i="1"/>
  <c r="D16008" i="1"/>
  <c r="E16008" i="1"/>
  <c r="C16009" i="1"/>
  <c r="D16009" i="1"/>
  <c r="E16009" i="1"/>
  <c r="C16010" i="1"/>
  <c r="D16010" i="1"/>
  <c r="E16010" i="1"/>
  <c r="C16011" i="1"/>
  <c r="D16011" i="1"/>
  <c r="E16011" i="1"/>
  <c r="C16012" i="1"/>
  <c r="D16012" i="1"/>
  <c r="E16012" i="1"/>
  <c r="C16013" i="1"/>
  <c r="D16013" i="1"/>
  <c r="E16013" i="1"/>
  <c r="C16014" i="1"/>
  <c r="D16014" i="1"/>
  <c r="E16014" i="1"/>
  <c r="C16015" i="1"/>
  <c r="D16015" i="1"/>
  <c r="E16015" i="1"/>
  <c r="C16016" i="1"/>
  <c r="D16016" i="1"/>
  <c r="E16016" i="1"/>
  <c r="C16017" i="1"/>
  <c r="D16017" i="1"/>
  <c r="E16017" i="1"/>
  <c r="C16018" i="1"/>
  <c r="D16018" i="1"/>
  <c r="E16018" i="1"/>
  <c r="C16019" i="1"/>
  <c r="D16019" i="1"/>
  <c r="E16019" i="1"/>
  <c r="C16020" i="1"/>
  <c r="D16020" i="1"/>
  <c r="E16020" i="1"/>
  <c r="C16021" i="1"/>
  <c r="D16021" i="1"/>
  <c r="E16021" i="1"/>
  <c r="C16022" i="1"/>
  <c r="D16022" i="1"/>
  <c r="E16022" i="1"/>
  <c r="C16023" i="1"/>
  <c r="D16023" i="1"/>
  <c r="E16023" i="1"/>
  <c r="C16024" i="1"/>
  <c r="D16024" i="1"/>
  <c r="E16024" i="1"/>
  <c r="C16025" i="1"/>
  <c r="D16025" i="1"/>
  <c r="E16025" i="1"/>
  <c r="C16026" i="1"/>
  <c r="D16026" i="1"/>
  <c r="E16026" i="1"/>
  <c r="C16027" i="1"/>
  <c r="D16027" i="1"/>
  <c r="E16027" i="1"/>
  <c r="C16028" i="1"/>
  <c r="D16028" i="1"/>
  <c r="E16028" i="1"/>
  <c r="C16029" i="1"/>
  <c r="D16029" i="1"/>
  <c r="E16029" i="1"/>
  <c r="C16030" i="1"/>
  <c r="D16030" i="1"/>
  <c r="E16030" i="1"/>
  <c r="C16031" i="1"/>
  <c r="D16031" i="1"/>
  <c r="E16031" i="1"/>
  <c r="C16032" i="1"/>
  <c r="D16032" i="1"/>
  <c r="E16032" i="1"/>
  <c r="C16033" i="1"/>
  <c r="D16033" i="1"/>
  <c r="E16033" i="1"/>
  <c r="C16034" i="1"/>
  <c r="D16034" i="1"/>
  <c r="E16034" i="1"/>
  <c r="C16035" i="1"/>
  <c r="D16035" i="1"/>
  <c r="E16035" i="1"/>
  <c r="C16036" i="1"/>
  <c r="D16036" i="1"/>
  <c r="E16036" i="1"/>
  <c r="C16037" i="1"/>
  <c r="D16037" i="1"/>
  <c r="E16037" i="1"/>
  <c r="C16038" i="1"/>
  <c r="D16038" i="1"/>
  <c r="E16038" i="1"/>
  <c r="C16039" i="1"/>
  <c r="D16039" i="1"/>
  <c r="E16039" i="1"/>
  <c r="C16040" i="1"/>
  <c r="D16040" i="1"/>
  <c r="E16040" i="1"/>
  <c r="C16041" i="1"/>
  <c r="D16041" i="1"/>
  <c r="E16041" i="1"/>
  <c r="C16042" i="1"/>
  <c r="D16042" i="1"/>
  <c r="E16042" i="1"/>
  <c r="C16043" i="1"/>
  <c r="D16043" i="1"/>
  <c r="E16043" i="1"/>
  <c r="C16044" i="1"/>
  <c r="D16044" i="1"/>
  <c r="E16044" i="1"/>
  <c r="C16045" i="1"/>
  <c r="D16045" i="1"/>
  <c r="E16045" i="1"/>
  <c r="C16046" i="1"/>
  <c r="D16046" i="1"/>
  <c r="E16046" i="1"/>
  <c r="C16047" i="1"/>
  <c r="D16047" i="1"/>
  <c r="E16047" i="1"/>
  <c r="C16048" i="1"/>
  <c r="D16048" i="1"/>
  <c r="E16048" i="1"/>
  <c r="C16049" i="1"/>
  <c r="D16049" i="1"/>
  <c r="E16049" i="1"/>
  <c r="C16050" i="1"/>
  <c r="D16050" i="1"/>
  <c r="E16050" i="1"/>
  <c r="C16051" i="1"/>
  <c r="D16051" i="1"/>
  <c r="E16051" i="1"/>
  <c r="C16052" i="1"/>
  <c r="D16052" i="1"/>
  <c r="E16052" i="1"/>
  <c r="C16053" i="1"/>
  <c r="D16053" i="1"/>
  <c r="E16053" i="1"/>
  <c r="C16054" i="1"/>
  <c r="D16054" i="1"/>
  <c r="E16054" i="1"/>
  <c r="C16055" i="1"/>
  <c r="D16055" i="1"/>
  <c r="E16055" i="1"/>
  <c r="C16056" i="1"/>
  <c r="D16056" i="1"/>
  <c r="E16056" i="1"/>
  <c r="C16057" i="1"/>
  <c r="D16057" i="1"/>
  <c r="E16057" i="1"/>
  <c r="C16058" i="1"/>
  <c r="D16058" i="1"/>
  <c r="E16058" i="1"/>
  <c r="C16059" i="1"/>
  <c r="D16059" i="1"/>
  <c r="E16059" i="1"/>
  <c r="C16060" i="1"/>
  <c r="D16060" i="1"/>
  <c r="E16060" i="1"/>
  <c r="C16061" i="1"/>
  <c r="D16061" i="1"/>
  <c r="E16061" i="1"/>
  <c r="C16062" i="1"/>
  <c r="D16062" i="1"/>
  <c r="E16062" i="1"/>
  <c r="C16063" i="1"/>
  <c r="D16063" i="1"/>
  <c r="E16063" i="1"/>
  <c r="C16064" i="1"/>
  <c r="D16064" i="1"/>
  <c r="E16064" i="1"/>
  <c r="C16065" i="1"/>
  <c r="D16065" i="1"/>
  <c r="E16065" i="1"/>
  <c r="C16066" i="1"/>
  <c r="D16066" i="1"/>
  <c r="E16066" i="1"/>
  <c r="C16067" i="1"/>
  <c r="D16067" i="1"/>
  <c r="E16067" i="1"/>
  <c r="C16068" i="1"/>
  <c r="D16068" i="1"/>
  <c r="E16068" i="1"/>
  <c r="C16069" i="1"/>
  <c r="D16069" i="1"/>
  <c r="E16069" i="1"/>
  <c r="C16070" i="1"/>
  <c r="D16070" i="1"/>
  <c r="E16070" i="1"/>
  <c r="C16071" i="1"/>
  <c r="D16071" i="1"/>
  <c r="E16071" i="1"/>
  <c r="C16072" i="1"/>
  <c r="D16072" i="1"/>
  <c r="E16072" i="1"/>
  <c r="C16073" i="1"/>
  <c r="D16073" i="1"/>
  <c r="E16073" i="1"/>
  <c r="C16074" i="1"/>
  <c r="D16074" i="1"/>
  <c r="E16074" i="1"/>
  <c r="C16075" i="1"/>
  <c r="D16075" i="1"/>
  <c r="E16075" i="1"/>
  <c r="C16076" i="1"/>
  <c r="D16076" i="1"/>
  <c r="E16076" i="1"/>
  <c r="C16077" i="1"/>
  <c r="D16077" i="1"/>
  <c r="E16077" i="1"/>
  <c r="C16078" i="1"/>
  <c r="D16078" i="1"/>
  <c r="E16078" i="1"/>
  <c r="C16079" i="1"/>
  <c r="D16079" i="1"/>
  <c r="E16079" i="1"/>
  <c r="C16080" i="1"/>
  <c r="D16080" i="1"/>
  <c r="E16080" i="1"/>
  <c r="C16081" i="1"/>
  <c r="D16081" i="1"/>
  <c r="E16081" i="1"/>
  <c r="C16082" i="1"/>
  <c r="D16082" i="1"/>
  <c r="E16082" i="1"/>
  <c r="C16083" i="1"/>
  <c r="D16083" i="1"/>
  <c r="E16083" i="1"/>
  <c r="C16084" i="1"/>
  <c r="D16084" i="1"/>
  <c r="E16084" i="1"/>
  <c r="C16085" i="1"/>
  <c r="D16085" i="1"/>
  <c r="E16085" i="1"/>
  <c r="C16086" i="1"/>
  <c r="D16086" i="1"/>
  <c r="E16086" i="1"/>
  <c r="C16087" i="1"/>
  <c r="D16087" i="1"/>
  <c r="E16087" i="1"/>
  <c r="C16088" i="1"/>
  <c r="D16088" i="1"/>
  <c r="E16088" i="1"/>
  <c r="C16089" i="1"/>
  <c r="D16089" i="1"/>
  <c r="E16089" i="1"/>
  <c r="C16090" i="1"/>
  <c r="D16090" i="1"/>
  <c r="E16090" i="1"/>
  <c r="C16091" i="1"/>
  <c r="D16091" i="1"/>
  <c r="E16091" i="1"/>
  <c r="C16092" i="1"/>
  <c r="D16092" i="1"/>
  <c r="E16092" i="1"/>
  <c r="C16093" i="1"/>
  <c r="D16093" i="1"/>
  <c r="E16093" i="1"/>
  <c r="C16094" i="1"/>
  <c r="D16094" i="1"/>
  <c r="E16094" i="1"/>
  <c r="C16095" i="1"/>
  <c r="D16095" i="1"/>
  <c r="E16095" i="1"/>
  <c r="C16096" i="1"/>
  <c r="D16096" i="1"/>
  <c r="E16096" i="1"/>
  <c r="C16097" i="1"/>
  <c r="D16097" i="1"/>
  <c r="E16097" i="1"/>
  <c r="C16098" i="1"/>
  <c r="D16098" i="1"/>
  <c r="E16098" i="1"/>
  <c r="C16099" i="1"/>
  <c r="D16099" i="1"/>
  <c r="E16099" i="1"/>
  <c r="C16100" i="1"/>
  <c r="D16100" i="1"/>
  <c r="E16100" i="1"/>
  <c r="C16101" i="1"/>
  <c r="D16101" i="1"/>
  <c r="E16101" i="1"/>
  <c r="C16102" i="1"/>
  <c r="D16102" i="1"/>
  <c r="E16102" i="1"/>
  <c r="C16103" i="1"/>
  <c r="D16103" i="1"/>
  <c r="E16103" i="1"/>
  <c r="C16104" i="1"/>
  <c r="D16104" i="1"/>
  <c r="E16104" i="1"/>
  <c r="C16105" i="1"/>
  <c r="D16105" i="1"/>
  <c r="E16105" i="1"/>
  <c r="C16106" i="1"/>
  <c r="D16106" i="1"/>
  <c r="E16106" i="1"/>
  <c r="C16107" i="1"/>
  <c r="D16107" i="1"/>
  <c r="E16107" i="1"/>
  <c r="C16108" i="1"/>
  <c r="D16108" i="1"/>
  <c r="E16108" i="1"/>
  <c r="C16109" i="1"/>
  <c r="D16109" i="1"/>
  <c r="E16109" i="1"/>
  <c r="C16110" i="1"/>
  <c r="D16110" i="1"/>
  <c r="E16110" i="1"/>
  <c r="C16111" i="1"/>
  <c r="D16111" i="1"/>
  <c r="E16111" i="1"/>
  <c r="C16112" i="1"/>
  <c r="D16112" i="1"/>
  <c r="E16112" i="1"/>
  <c r="C16113" i="1"/>
  <c r="D16113" i="1"/>
  <c r="E16113" i="1"/>
  <c r="C16114" i="1"/>
  <c r="D16114" i="1"/>
  <c r="E16114" i="1"/>
  <c r="C16115" i="1"/>
  <c r="D16115" i="1"/>
  <c r="E16115" i="1"/>
  <c r="C16116" i="1"/>
  <c r="D16116" i="1"/>
  <c r="E16116" i="1"/>
  <c r="C16117" i="1"/>
  <c r="D16117" i="1"/>
  <c r="E16117" i="1"/>
  <c r="C16118" i="1"/>
  <c r="D16118" i="1"/>
  <c r="E16118" i="1"/>
  <c r="C16119" i="1"/>
  <c r="D16119" i="1"/>
  <c r="E16119" i="1"/>
  <c r="C16120" i="1"/>
  <c r="D16120" i="1"/>
  <c r="E16120" i="1"/>
  <c r="C16121" i="1"/>
  <c r="D16121" i="1"/>
  <c r="E16121" i="1"/>
  <c r="C16122" i="1"/>
  <c r="D16122" i="1"/>
  <c r="E16122" i="1"/>
  <c r="C16123" i="1"/>
  <c r="D16123" i="1"/>
  <c r="E16123" i="1"/>
  <c r="C16124" i="1"/>
  <c r="D16124" i="1"/>
  <c r="E16124" i="1"/>
  <c r="C16125" i="1"/>
  <c r="D16125" i="1"/>
  <c r="E16125" i="1"/>
  <c r="C16126" i="1"/>
  <c r="D16126" i="1"/>
  <c r="E16126" i="1"/>
  <c r="C16127" i="1"/>
  <c r="D16127" i="1"/>
  <c r="E16127" i="1"/>
  <c r="C16128" i="1"/>
  <c r="D16128" i="1"/>
  <c r="E16128" i="1"/>
  <c r="C16129" i="1"/>
  <c r="D16129" i="1"/>
  <c r="E16129" i="1"/>
  <c r="C16130" i="1"/>
  <c r="D16130" i="1"/>
  <c r="E16130" i="1"/>
  <c r="C16131" i="1"/>
  <c r="D16131" i="1"/>
  <c r="E16131" i="1"/>
  <c r="C16132" i="1"/>
  <c r="D16132" i="1"/>
  <c r="E16132" i="1"/>
  <c r="C16133" i="1"/>
  <c r="D16133" i="1"/>
  <c r="E16133" i="1"/>
  <c r="C16134" i="1"/>
  <c r="D16134" i="1"/>
  <c r="E16134" i="1"/>
  <c r="C16135" i="1"/>
  <c r="D16135" i="1"/>
  <c r="E16135" i="1"/>
  <c r="C16136" i="1"/>
  <c r="D16136" i="1"/>
  <c r="E16136" i="1"/>
  <c r="C16137" i="1"/>
  <c r="D16137" i="1"/>
  <c r="E16137" i="1"/>
  <c r="C16138" i="1"/>
  <c r="D16138" i="1"/>
  <c r="E16138" i="1"/>
  <c r="C16139" i="1"/>
  <c r="D16139" i="1"/>
  <c r="E16139" i="1"/>
  <c r="C16140" i="1"/>
  <c r="D16140" i="1"/>
  <c r="E16140" i="1"/>
  <c r="C16141" i="1"/>
  <c r="D16141" i="1"/>
  <c r="E16141" i="1"/>
  <c r="C16142" i="1"/>
  <c r="D16142" i="1"/>
  <c r="E16142" i="1"/>
  <c r="C16143" i="1"/>
  <c r="D16143" i="1"/>
  <c r="E16143" i="1"/>
  <c r="C16144" i="1"/>
  <c r="D16144" i="1"/>
  <c r="E16144" i="1"/>
  <c r="C16145" i="1"/>
  <c r="D16145" i="1"/>
  <c r="E16145" i="1"/>
  <c r="C16146" i="1"/>
  <c r="D16146" i="1"/>
  <c r="E16146" i="1"/>
  <c r="C16147" i="1"/>
  <c r="D16147" i="1"/>
  <c r="E16147" i="1"/>
  <c r="C16148" i="1"/>
  <c r="D16148" i="1"/>
  <c r="E16148" i="1"/>
  <c r="C16149" i="1"/>
  <c r="D16149" i="1"/>
  <c r="E16149" i="1"/>
  <c r="C16150" i="1"/>
  <c r="D16150" i="1"/>
  <c r="E16150" i="1"/>
  <c r="C16151" i="1"/>
  <c r="D16151" i="1"/>
  <c r="E16151" i="1"/>
  <c r="C16152" i="1"/>
  <c r="D16152" i="1"/>
  <c r="E16152" i="1"/>
  <c r="C16153" i="1"/>
  <c r="D16153" i="1"/>
  <c r="E16153" i="1"/>
  <c r="C16154" i="1"/>
  <c r="D16154" i="1"/>
  <c r="E16154" i="1"/>
  <c r="C16155" i="1"/>
  <c r="D16155" i="1"/>
  <c r="E16155" i="1"/>
  <c r="C16156" i="1"/>
  <c r="D16156" i="1"/>
  <c r="E16156" i="1"/>
  <c r="C16157" i="1"/>
  <c r="D16157" i="1"/>
  <c r="E16157" i="1"/>
  <c r="C16158" i="1"/>
  <c r="D16158" i="1"/>
  <c r="E16158" i="1"/>
  <c r="C16159" i="1"/>
  <c r="D16159" i="1"/>
  <c r="E16159" i="1"/>
  <c r="C16160" i="1"/>
  <c r="D16160" i="1"/>
  <c r="E16160" i="1"/>
  <c r="C16161" i="1"/>
  <c r="D16161" i="1"/>
  <c r="E16161" i="1"/>
  <c r="C16162" i="1"/>
  <c r="D16162" i="1"/>
  <c r="E16162" i="1"/>
  <c r="C16163" i="1"/>
  <c r="D16163" i="1"/>
  <c r="E16163" i="1"/>
  <c r="C16164" i="1"/>
  <c r="D16164" i="1"/>
  <c r="E16164" i="1"/>
  <c r="C16165" i="1"/>
  <c r="D16165" i="1"/>
  <c r="E16165" i="1"/>
  <c r="C16166" i="1"/>
  <c r="D16166" i="1"/>
  <c r="E16166" i="1"/>
  <c r="C16167" i="1"/>
  <c r="D16167" i="1"/>
  <c r="E16167" i="1"/>
  <c r="C16168" i="1"/>
  <c r="D16168" i="1"/>
  <c r="E16168" i="1"/>
  <c r="C16169" i="1"/>
  <c r="D16169" i="1"/>
  <c r="E16169" i="1"/>
  <c r="C16170" i="1"/>
  <c r="D16170" i="1"/>
  <c r="E16170" i="1"/>
  <c r="C16171" i="1"/>
  <c r="D16171" i="1"/>
  <c r="E16171" i="1"/>
  <c r="C16172" i="1"/>
  <c r="D16172" i="1"/>
  <c r="E16172" i="1"/>
  <c r="C16173" i="1"/>
  <c r="D16173" i="1"/>
  <c r="E16173" i="1"/>
  <c r="C16174" i="1"/>
  <c r="D16174" i="1"/>
  <c r="E16174" i="1"/>
  <c r="C16175" i="1"/>
  <c r="D16175" i="1"/>
  <c r="E16175" i="1"/>
  <c r="C16176" i="1"/>
  <c r="D16176" i="1"/>
  <c r="E16176" i="1"/>
  <c r="C16177" i="1"/>
  <c r="D16177" i="1"/>
  <c r="E16177" i="1"/>
  <c r="C16178" i="1"/>
  <c r="D16178" i="1"/>
  <c r="E16178" i="1"/>
  <c r="C16179" i="1"/>
  <c r="D16179" i="1"/>
  <c r="E16179" i="1"/>
  <c r="C16180" i="1"/>
  <c r="D16180" i="1"/>
  <c r="E16180" i="1"/>
  <c r="C16181" i="1"/>
  <c r="D16181" i="1"/>
  <c r="E16181" i="1"/>
  <c r="C16182" i="1"/>
  <c r="D16182" i="1"/>
  <c r="E16182" i="1"/>
  <c r="C16183" i="1"/>
  <c r="D16183" i="1"/>
  <c r="E16183" i="1"/>
  <c r="C16184" i="1"/>
  <c r="D16184" i="1"/>
  <c r="E16184" i="1"/>
  <c r="C16185" i="1"/>
  <c r="D16185" i="1"/>
  <c r="E16185" i="1"/>
  <c r="C16186" i="1"/>
  <c r="D16186" i="1"/>
  <c r="E16186" i="1"/>
  <c r="C16187" i="1"/>
  <c r="D16187" i="1"/>
  <c r="E16187" i="1"/>
  <c r="C16188" i="1"/>
  <c r="D16188" i="1"/>
  <c r="E16188" i="1"/>
  <c r="C16189" i="1"/>
  <c r="D16189" i="1"/>
  <c r="E16189" i="1"/>
  <c r="C16190" i="1"/>
  <c r="D16190" i="1"/>
  <c r="E16190" i="1"/>
  <c r="C16191" i="1"/>
  <c r="D16191" i="1"/>
  <c r="E16191" i="1"/>
  <c r="C16192" i="1"/>
  <c r="D16192" i="1"/>
  <c r="E16192" i="1"/>
  <c r="C16193" i="1"/>
  <c r="D16193" i="1"/>
  <c r="E16193" i="1"/>
  <c r="C16194" i="1"/>
  <c r="D16194" i="1"/>
  <c r="E16194" i="1"/>
  <c r="C16195" i="1"/>
  <c r="D16195" i="1"/>
  <c r="E16195" i="1"/>
  <c r="C16196" i="1"/>
  <c r="D16196" i="1"/>
  <c r="E16196" i="1"/>
  <c r="C16197" i="1"/>
  <c r="D16197" i="1"/>
  <c r="E16197" i="1"/>
  <c r="C16198" i="1"/>
  <c r="D16198" i="1"/>
  <c r="E16198" i="1"/>
  <c r="C16199" i="1"/>
  <c r="D16199" i="1"/>
  <c r="E16199" i="1"/>
  <c r="C16200" i="1"/>
  <c r="D16200" i="1"/>
  <c r="E16200" i="1"/>
  <c r="C16201" i="1"/>
  <c r="D16201" i="1"/>
  <c r="E16201" i="1"/>
  <c r="C16202" i="1"/>
  <c r="D16202" i="1"/>
  <c r="E16202" i="1"/>
  <c r="C16203" i="1"/>
  <c r="D16203" i="1"/>
  <c r="E16203" i="1"/>
  <c r="C16204" i="1"/>
  <c r="D16204" i="1"/>
  <c r="E16204" i="1"/>
  <c r="C16205" i="1"/>
  <c r="D16205" i="1"/>
  <c r="E16205" i="1"/>
  <c r="C16206" i="1"/>
  <c r="D16206" i="1"/>
  <c r="E16206" i="1"/>
  <c r="C16207" i="1"/>
  <c r="D16207" i="1"/>
  <c r="E16207" i="1"/>
  <c r="C16208" i="1"/>
  <c r="D16208" i="1"/>
  <c r="E16208" i="1"/>
  <c r="C16209" i="1"/>
  <c r="D16209" i="1"/>
  <c r="E16209" i="1"/>
  <c r="C16210" i="1"/>
  <c r="D16210" i="1"/>
  <c r="E16210" i="1"/>
  <c r="C16211" i="1"/>
  <c r="D16211" i="1"/>
  <c r="E16211" i="1"/>
  <c r="C16212" i="1"/>
  <c r="D16212" i="1"/>
  <c r="E16212" i="1"/>
  <c r="C16213" i="1"/>
  <c r="D16213" i="1"/>
  <c r="E16213" i="1"/>
  <c r="C16214" i="1"/>
  <c r="D16214" i="1"/>
  <c r="E16214" i="1"/>
  <c r="C16215" i="1"/>
  <c r="D16215" i="1"/>
  <c r="E16215" i="1"/>
  <c r="C16216" i="1"/>
  <c r="D16216" i="1"/>
  <c r="E16216" i="1"/>
  <c r="C16217" i="1"/>
  <c r="D16217" i="1"/>
  <c r="E16217" i="1"/>
  <c r="C16218" i="1"/>
  <c r="D16218" i="1"/>
  <c r="E16218" i="1"/>
  <c r="C16219" i="1"/>
  <c r="D16219" i="1"/>
  <c r="E16219" i="1"/>
  <c r="C16220" i="1"/>
  <c r="D16220" i="1"/>
  <c r="E16220" i="1"/>
  <c r="C16221" i="1"/>
  <c r="D16221" i="1"/>
  <c r="E16221" i="1"/>
  <c r="C16222" i="1"/>
  <c r="D16222" i="1"/>
  <c r="E16222" i="1"/>
  <c r="C16223" i="1"/>
  <c r="D16223" i="1"/>
  <c r="E16223" i="1"/>
  <c r="C16224" i="1"/>
  <c r="D16224" i="1"/>
  <c r="E16224" i="1"/>
  <c r="C16225" i="1"/>
  <c r="D16225" i="1"/>
  <c r="E16225" i="1"/>
  <c r="C16226" i="1"/>
  <c r="D16226" i="1"/>
  <c r="E16226" i="1"/>
  <c r="C16227" i="1"/>
  <c r="D16227" i="1"/>
  <c r="E16227" i="1"/>
  <c r="C16228" i="1"/>
  <c r="D16228" i="1"/>
  <c r="E16228" i="1"/>
  <c r="C16229" i="1"/>
  <c r="D16229" i="1"/>
  <c r="E16229" i="1"/>
  <c r="C16230" i="1"/>
  <c r="D16230" i="1"/>
  <c r="E16230" i="1"/>
  <c r="C16231" i="1"/>
  <c r="D16231" i="1"/>
  <c r="E16231" i="1"/>
  <c r="C16232" i="1"/>
  <c r="D16232" i="1"/>
  <c r="E16232" i="1"/>
  <c r="C16233" i="1"/>
  <c r="D16233" i="1"/>
  <c r="E16233" i="1"/>
  <c r="C16234" i="1"/>
  <c r="D16234" i="1"/>
  <c r="E16234" i="1"/>
  <c r="C16235" i="1"/>
  <c r="D16235" i="1"/>
  <c r="E16235" i="1"/>
  <c r="C16236" i="1"/>
  <c r="D16236" i="1"/>
  <c r="E16236" i="1"/>
  <c r="C16237" i="1"/>
  <c r="D16237" i="1"/>
  <c r="E16237" i="1"/>
  <c r="C16238" i="1"/>
  <c r="D16238" i="1"/>
  <c r="E16238" i="1"/>
  <c r="C16239" i="1"/>
  <c r="D16239" i="1"/>
  <c r="E16239" i="1"/>
  <c r="C16240" i="1"/>
  <c r="D16240" i="1"/>
  <c r="E16240" i="1"/>
  <c r="C16241" i="1"/>
  <c r="D16241" i="1"/>
  <c r="E16241" i="1"/>
  <c r="C16242" i="1"/>
  <c r="D16242" i="1"/>
  <c r="E16242" i="1"/>
  <c r="C16243" i="1"/>
  <c r="D16243" i="1"/>
  <c r="E16243" i="1"/>
  <c r="C16244" i="1"/>
  <c r="D16244" i="1"/>
  <c r="E16244" i="1"/>
  <c r="C16245" i="1"/>
  <c r="D16245" i="1"/>
  <c r="E16245" i="1"/>
  <c r="C16246" i="1"/>
  <c r="D16246" i="1"/>
  <c r="E16246" i="1"/>
  <c r="C16247" i="1"/>
  <c r="D16247" i="1"/>
  <c r="E16247" i="1"/>
  <c r="C16248" i="1"/>
  <c r="D16248" i="1"/>
  <c r="E16248" i="1"/>
  <c r="C16249" i="1"/>
  <c r="D16249" i="1"/>
  <c r="E16249" i="1"/>
  <c r="C16250" i="1"/>
  <c r="D16250" i="1"/>
  <c r="E16250" i="1"/>
  <c r="C16251" i="1"/>
  <c r="D16251" i="1"/>
  <c r="E16251" i="1"/>
  <c r="C16252" i="1"/>
  <c r="D16252" i="1"/>
  <c r="E16252" i="1"/>
  <c r="C16253" i="1"/>
  <c r="D16253" i="1"/>
  <c r="E16253" i="1"/>
  <c r="C16254" i="1"/>
  <c r="D16254" i="1"/>
  <c r="E16254" i="1"/>
  <c r="C16255" i="1"/>
  <c r="D16255" i="1"/>
  <c r="E16255" i="1"/>
  <c r="C16256" i="1"/>
  <c r="D16256" i="1"/>
  <c r="E16256" i="1"/>
  <c r="C16257" i="1"/>
  <c r="D16257" i="1"/>
  <c r="E16257" i="1"/>
  <c r="C16258" i="1"/>
  <c r="D16258" i="1"/>
  <c r="E16258" i="1"/>
  <c r="C16259" i="1"/>
  <c r="D16259" i="1"/>
  <c r="E16259" i="1"/>
  <c r="C16260" i="1"/>
  <c r="D16260" i="1"/>
  <c r="E16260" i="1"/>
  <c r="C16261" i="1"/>
  <c r="D16261" i="1"/>
  <c r="E16261" i="1"/>
  <c r="C16262" i="1"/>
  <c r="D16262" i="1"/>
  <c r="E16262" i="1"/>
  <c r="C16263" i="1"/>
  <c r="D16263" i="1"/>
  <c r="E16263" i="1"/>
  <c r="C16264" i="1"/>
  <c r="D16264" i="1"/>
  <c r="E16264" i="1"/>
  <c r="C16265" i="1"/>
  <c r="D16265" i="1"/>
  <c r="E16265" i="1"/>
  <c r="C16266" i="1"/>
  <c r="D16266" i="1"/>
  <c r="E16266" i="1"/>
  <c r="C16267" i="1"/>
  <c r="D16267" i="1"/>
  <c r="E16267" i="1"/>
  <c r="C16268" i="1"/>
  <c r="D16268" i="1"/>
  <c r="E16268" i="1"/>
  <c r="C16269" i="1"/>
  <c r="D16269" i="1"/>
  <c r="E16269" i="1"/>
  <c r="C16270" i="1"/>
  <c r="D16270" i="1"/>
  <c r="E16270" i="1"/>
  <c r="C16271" i="1"/>
  <c r="D16271" i="1"/>
  <c r="E16271" i="1"/>
  <c r="C16272" i="1"/>
  <c r="D16272" i="1"/>
  <c r="E16272" i="1"/>
  <c r="C16273" i="1"/>
  <c r="D16273" i="1"/>
  <c r="E16273" i="1"/>
  <c r="C16274" i="1"/>
  <c r="D16274" i="1"/>
  <c r="E16274" i="1"/>
  <c r="C16275" i="1"/>
  <c r="D16275" i="1"/>
  <c r="E16275" i="1"/>
  <c r="C16276" i="1"/>
  <c r="D16276" i="1"/>
  <c r="E16276" i="1"/>
  <c r="C16277" i="1"/>
  <c r="D16277" i="1"/>
  <c r="E16277" i="1"/>
  <c r="C16278" i="1"/>
  <c r="D16278" i="1"/>
  <c r="E16278" i="1"/>
  <c r="C16279" i="1"/>
  <c r="D16279" i="1"/>
  <c r="E16279" i="1"/>
  <c r="C16280" i="1"/>
  <c r="D16280" i="1"/>
  <c r="E16280" i="1"/>
  <c r="C16281" i="1"/>
  <c r="D16281" i="1"/>
  <c r="E16281" i="1"/>
  <c r="C16282" i="1"/>
  <c r="D16282" i="1"/>
  <c r="E16282" i="1"/>
  <c r="C16283" i="1"/>
  <c r="D16283" i="1"/>
  <c r="E16283" i="1"/>
  <c r="C16284" i="1"/>
  <c r="D16284" i="1"/>
  <c r="E16284" i="1"/>
  <c r="C16285" i="1"/>
  <c r="D16285" i="1"/>
  <c r="E16285" i="1"/>
  <c r="C16286" i="1"/>
  <c r="D16286" i="1"/>
  <c r="E16286" i="1"/>
  <c r="C16287" i="1"/>
  <c r="D16287" i="1"/>
  <c r="E16287" i="1"/>
  <c r="C16288" i="1"/>
  <c r="D16288" i="1"/>
  <c r="E16288" i="1"/>
  <c r="C16289" i="1"/>
  <c r="D16289" i="1"/>
  <c r="E16289" i="1"/>
  <c r="C16290" i="1"/>
  <c r="D16290" i="1"/>
  <c r="E16290" i="1"/>
  <c r="C16291" i="1"/>
  <c r="D16291" i="1"/>
  <c r="E16291" i="1"/>
  <c r="C16292" i="1"/>
  <c r="D16292" i="1"/>
  <c r="E16292" i="1"/>
  <c r="C16293" i="1"/>
  <c r="D16293" i="1"/>
  <c r="E16293" i="1"/>
  <c r="C16294" i="1"/>
  <c r="D16294" i="1"/>
  <c r="E16294" i="1"/>
  <c r="C16295" i="1"/>
  <c r="D16295" i="1"/>
  <c r="E16295" i="1"/>
  <c r="C16296" i="1"/>
  <c r="D16296" i="1"/>
  <c r="E16296" i="1"/>
  <c r="C16297" i="1"/>
  <c r="D16297" i="1"/>
  <c r="E16297" i="1"/>
  <c r="C16298" i="1"/>
  <c r="D16298" i="1"/>
  <c r="E16298" i="1"/>
  <c r="C16299" i="1"/>
  <c r="D16299" i="1"/>
  <c r="E16299" i="1"/>
  <c r="C16300" i="1"/>
  <c r="D16300" i="1"/>
  <c r="E16300" i="1"/>
  <c r="C16301" i="1"/>
  <c r="D16301" i="1"/>
  <c r="E16301" i="1"/>
  <c r="C16302" i="1"/>
  <c r="D16302" i="1"/>
  <c r="E16302" i="1"/>
  <c r="C16303" i="1"/>
  <c r="D16303" i="1"/>
  <c r="E16303" i="1"/>
  <c r="C16304" i="1"/>
  <c r="D16304" i="1"/>
  <c r="E16304" i="1"/>
  <c r="C16305" i="1"/>
  <c r="D16305" i="1"/>
  <c r="E16305" i="1"/>
  <c r="C16306" i="1"/>
  <c r="D16306" i="1"/>
  <c r="E16306" i="1"/>
  <c r="C16307" i="1"/>
  <c r="D16307" i="1"/>
  <c r="E16307" i="1"/>
  <c r="C16308" i="1"/>
  <c r="D16308" i="1"/>
  <c r="E16308" i="1"/>
  <c r="C16309" i="1"/>
  <c r="D16309" i="1"/>
  <c r="E16309" i="1"/>
  <c r="C16310" i="1"/>
  <c r="D16310" i="1"/>
  <c r="E16310" i="1"/>
  <c r="C16311" i="1"/>
  <c r="D16311" i="1"/>
  <c r="E16311" i="1"/>
  <c r="C16312" i="1"/>
  <c r="D16312" i="1"/>
  <c r="E16312" i="1"/>
  <c r="C16313" i="1"/>
  <c r="D16313" i="1"/>
  <c r="E16313" i="1"/>
  <c r="C16314" i="1"/>
  <c r="D16314" i="1"/>
  <c r="E16314" i="1"/>
  <c r="C16315" i="1"/>
  <c r="D16315" i="1"/>
  <c r="E16315" i="1"/>
  <c r="C16316" i="1"/>
  <c r="D16316" i="1"/>
  <c r="E16316" i="1"/>
  <c r="C16317" i="1"/>
  <c r="D16317" i="1"/>
  <c r="E16317" i="1"/>
  <c r="C16318" i="1"/>
  <c r="D16318" i="1"/>
  <c r="E16318" i="1"/>
  <c r="C16319" i="1"/>
  <c r="D16319" i="1"/>
  <c r="E16319" i="1"/>
  <c r="C16320" i="1"/>
  <c r="D16320" i="1"/>
  <c r="E16320" i="1"/>
  <c r="C16321" i="1"/>
  <c r="D16321" i="1"/>
  <c r="E16321" i="1"/>
  <c r="C16322" i="1"/>
  <c r="D16322" i="1"/>
  <c r="E16322" i="1"/>
  <c r="C16323" i="1"/>
  <c r="D16323" i="1"/>
  <c r="E16323" i="1"/>
  <c r="C16324" i="1"/>
  <c r="D16324" i="1"/>
  <c r="E16324" i="1"/>
  <c r="C16325" i="1"/>
  <c r="D16325" i="1"/>
  <c r="E16325" i="1"/>
  <c r="C16326" i="1"/>
  <c r="D16326" i="1"/>
  <c r="E16326" i="1"/>
  <c r="C16327" i="1"/>
  <c r="D16327" i="1"/>
  <c r="E16327" i="1"/>
  <c r="C16328" i="1"/>
  <c r="D16328" i="1"/>
  <c r="E16328" i="1"/>
  <c r="C16329" i="1"/>
  <c r="D16329" i="1"/>
  <c r="E16329" i="1"/>
  <c r="C16330" i="1"/>
  <c r="D16330" i="1"/>
  <c r="E16330" i="1"/>
  <c r="C16331" i="1"/>
  <c r="D16331" i="1"/>
  <c r="E16331" i="1"/>
  <c r="C16332" i="1"/>
  <c r="D16332" i="1"/>
  <c r="E16332" i="1"/>
  <c r="C16333" i="1"/>
  <c r="D16333" i="1"/>
  <c r="E16333" i="1"/>
  <c r="C16334" i="1"/>
  <c r="D16334" i="1"/>
  <c r="E16334" i="1"/>
  <c r="C16335" i="1"/>
  <c r="D16335" i="1"/>
  <c r="E16335" i="1"/>
  <c r="C16336" i="1"/>
  <c r="D16336" i="1"/>
  <c r="E16336" i="1"/>
  <c r="C16337" i="1"/>
  <c r="D16337" i="1"/>
  <c r="E16337" i="1"/>
  <c r="C16338" i="1"/>
  <c r="D16338" i="1"/>
  <c r="E16338" i="1"/>
  <c r="C16339" i="1"/>
  <c r="D16339" i="1"/>
  <c r="E16339" i="1"/>
  <c r="C16340" i="1"/>
  <c r="D16340" i="1"/>
  <c r="E16340" i="1"/>
  <c r="C16341" i="1"/>
  <c r="D16341" i="1"/>
  <c r="E16341" i="1"/>
  <c r="C16342" i="1"/>
  <c r="D16342" i="1"/>
  <c r="E16342" i="1"/>
  <c r="C16343" i="1"/>
  <c r="D16343" i="1"/>
  <c r="E16343" i="1"/>
  <c r="C16344" i="1"/>
  <c r="D16344" i="1"/>
  <c r="E16344" i="1"/>
  <c r="C16345" i="1"/>
  <c r="D16345" i="1"/>
  <c r="E16345" i="1"/>
  <c r="C16346" i="1"/>
  <c r="D16346" i="1"/>
  <c r="E16346" i="1"/>
  <c r="C16347" i="1"/>
  <c r="D16347" i="1"/>
  <c r="E16347" i="1"/>
  <c r="C16348" i="1"/>
  <c r="D16348" i="1"/>
  <c r="E16348" i="1"/>
  <c r="C16349" i="1"/>
  <c r="D16349" i="1"/>
  <c r="E16349" i="1"/>
  <c r="C16350" i="1"/>
  <c r="D16350" i="1"/>
  <c r="E16350" i="1"/>
  <c r="C16351" i="1"/>
  <c r="D16351" i="1"/>
  <c r="E16351" i="1"/>
  <c r="C16352" i="1"/>
  <c r="D16352" i="1"/>
  <c r="E16352" i="1"/>
  <c r="C16353" i="1"/>
  <c r="D16353" i="1"/>
  <c r="E16353" i="1"/>
  <c r="C16354" i="1"/>
  <c r="D16354" i="1"/>
  <c r="E16354" i="1"/>
  <c r="C16355" i="1"/>
  <c r="D16355" i="1"/>
  <c r="E16355" i="1"/>
  <c r="C16356" i="1"/>
  <c r="D16356" i="1"/>
  <c r="E16356" i="1"/>
  <c r="C16357" i="1"/>
  <c r="D16357" i="1"/>
  <c r="E16357" i="1"/>
  <c r="C16358" i="1"/>
  <c r="D16358" i="1"/>
  <c r="E16358" i="1"/>
  <c r="C16359" i="1"/>
  <c r="D16359" i="1"/>
  <c r="E16359" i="1"/>
  <c r="C16360" i="1"/>
  <c r="D16360" i="1"/>
  <c r="E16360" i="1"/>
  <c r="C16361" i="1"/>
  <c r="D16361" i="1"/>
  <c r="E16361" i="1"/>
  <c r="C16362" i="1"/>
  <c r="D16362" i="1"/>
  <c r="E16362" i="1"/>
  <c r="C16363" i="1"/>
  <c r="D16363" i="1"/>
  <c r="E16363" i="1"/>
  <c r="C16364" i="1"/>
  <c r="D16364" i="1"/>
  <c r="E16364" i="1"/>
  <c r="C16365" i="1"/>
  <c r="D16365" i="1"/>
  <c r="E16365" i="1"/>
  <c r="C16366" i="1"/>
  <c r="D16366" i="1"/>
  <c r="E16366" i="1"/>
  <c r="C16367" i="1"/>
  <c r="D16367" i="1"/>
  <c r="E16367" i="1"/>
  <c r="C16368" i="1"/>
  <c r="D16368" i="1"/>
  <c r="E16368" i="1"/>
  <c r="C16369" i="1"/>
  <c r="D16369" i="1"/>
  <c r="E16369" i="1"/>
  <c r="C16370" i="1"/>
  <c r="D16370" i="1"/>
  <c r="E16370" i="1"/>
  <c r="C16371" i="1"/>
  <c r="D16371" i="1"/>
  <c r="E16371" i="1"/>
  <c r="C16372" i="1"/>
  <c r="D16372" i="1"/>
  <c r="E16372" i="1"/>
  <c r="C16373" i="1"/>
  <c r="D16373" i="1"/>
  <c r="E16373" i="1"/>
  <c r="C16374" i="1"/>
  <c r="D16374" i="1"/>
  <c r="E16374" i="1"/>
  <c r="C16375" i="1"/>
  <c r="D16375" i="1"/>
  <c r="E16375" i="1"/>
  <c r="C16376" i="1"/>
  <c r="D16376" i="1"/>
  <c r="E16376" i="1"/>
  <c r="C16377" i="1"/>
  <c r="D16377" i="1"/>
  <c r="E16377" i="1"/>
  <c r="C16378" i="1"/>
  <c r="D16378" i="1"/>
  <c r="E16378" i="1"/>
  <c r="C16379" i="1"/>
  <c r="D16379" i="1"/>
  <c r="E16379" i="1"/>
  <c r="C16380" i="1"/>
  <c r="D16380" i="1"/>
  <c r="E16380" i="1"/>
  <c r="C16381" i="1"/>
  <c r="D16381" i="1"/>
  <c r="E16381" i="1"/>
  <c r="C16382" i="1"/>
  <c r="D16382" i="1"/>
  <c r="E16382" i="1"/>
  <c r="C16383" i="1"/>
  <c r="D16383" i="1"/>
  <c r="E16383" i="1"/>
  <c r="C16384" i="1"/>
  <c r="D16384" i="1"/>
  <c r="E16384" i="1"/>
  <c r="C16385" i="1"/>
  <c r="D16385" i="1"/>
  <c r="E16385" i="1"/>
  <c r="C16386" i="1"/>
  <c r="D16386" i="1"/>
  <c r="E16386" i="1"/>
  <c r="C16387" i="1"/>
  <c r="D16387" i="1"/>
  <c r="E16387" i="1"/>
  <c r="C16388" i="1"/>
  <c r="D16388" i="1"/>
  <c r="E16388" i="1"/>
  <c r="C16389" i="1"/>
  <c r="D16389" i="1"/>
  <c r="E16389" i="1"/>
  <c r="C16390" i="1"/>
  <c r="D16390" i="1"/>
  <c r="E16390" i="1"/>
  <c r="C16391" i="1"/>
  <c r="D16391" i="1"/>
  <c r="E16391" i="1"/>
  <c r="C16392" i="1"/>
  <c r="D16392" i="1"/>
  <c r="E16392" i="1"/>
  <c r="C16393" i="1"/>
  <c r="D16393" i="1"/>
  <c r="E16393" i="1"/>
  <c r="C16394" i="1"/>
  <c r="D16394" i="1"/>
  <c r="E16394" i="1"/>
  <c r="C16395" i="1"/>
  <c r="D16395" i="1"/>
  <c r="E16395" i="1"/>
  <c r="C16396" i="1"/>
  <c r="D16396" i="1"/>
  <c r="E16396" i="1"/>
  <c r="C16397" i="1"/>
  <c r="D16397" i="1"/>
  <c r="E16397" i="1"/>
  <c r="C16398" i="1"/>
  <c r="D16398" i="1"/>
  <c r="E16398" i="1"/>
  <c r="C16399" i="1"/>
  <c r="D16399" i="1"/>
  <c r="E16399" i="1"/>
  <c r="C16400" i="1"/>
  <c r="D16400" i="1"/>
  <c r="E16400" i="1"/>
  <c r="C16401" i="1"/>
  <c r="D16401" i="1"/>
  <c r="E16401" i="1"/>
  <c r="C16402" i="1"/>
  <c r="D16402" i="1"/>
  <c r="E16402" i="1"/>
  <c r="C16403" i="1"/>
  <c r="D16403" i="1"/>
  <c r="E16403" i="1"/>
  <c r="C16404" i="1"/>
  <c r="D16404" i="1"/>
  <c r="E16404" i="1"/>
  <c r="C16405" i="1"/>
  <c r="D16405" i="1"/>
  <c r="E16405" i="1"/>
  <c r="C16406" i="1"/>
  <c r="D16406" i="1"/>
  <c r="E16406" i="1"/>
  <c r="C16407" i="1"/>
  <c r="D16407" i="1"/>
  <c r="E16407" i="1"/>
  <c r="C16408" i="1"/>
  <c r="D16408" i="1"/>
  <c r="E16408" i="1"/>
  <c r="C16409" i="1"/>
  <c r="D16409" i="1"/>
  <c r="E16409" i="1"/>
  <c r="C16410" i="1"/>
  <c r="D16410" i="1"/>
  <c r="E16410" i="1"/>
  <c r="C16411" i="1"/>
  <c r="D16411" i="1"/>
  <c r="E16411" i="1"/>
  <c r="C16412" i="1"/>
  <c r="D16412" i="1"/>
  <c r="E16412" i="1"/>
  <c r="C16413" i="1"/>
  <c r="D16413" i="1"/>
  <c r="E16413" i="1"/>
  <c r="C16414" i="1"/>
  <c r="D16414" i="1"/>
  <c r="E16414" i="1"/>
  <c r="C16415" i="1"/>
  <c r="D16415" i="1"/>
  <c r="E16415" i="1"/>
  <c r="C16416" i="1"/>
  <c r="D16416" i="1"/>
  <c r="E16416" i="1"/>
  <c r="C16417" i="1"/>
  <c r="D16417" i="1"/>
  <c r="E16417" i="1"/>
  <c r="C16418" i="1"/>
  <c r="D16418" i="1"/>
  <c r="E16418" i="1"/>
  <c r="C16419" i="1"/>
  <c r="D16419" i="1"/>
  <c r="E16419" i="1"/>
  <c r="C16420" i="1"/>
  <c r="D16420" i="1"/>
  <c r="E16420" i="1"/>
  <c r="C16421" i="1"/>
  <c r="D16421" i="1"/>
  <c r="E16421" i="1"/>
  <c r="C16422" i="1"/>
  <c r="D16422" i="1"/>
  <c r="E16422" i="1"/>
  <c r="C16423" i="1"/>
  <c r="D16423" i="1"/>
  <c r="E16423" i="1"/>
  <c r="C16424" i="1"/>
  <c r="D16424" i="1"/>
  <c r="E16424" i="1"/>
  <c r="C16425" i="1"/>
  <c r="D16425" i="1"/>
  <c r="E16425" i="1"/>
  <c r="C16426" i="1"/>
  <c r="D16426" i="1"/>
  <c r="E16426" i="1"/>
  <c r="C16427" i="1"/>
  <c r="D16427" i="1"/>
  <c r="E16427" i="1"/>
  <c r="C16428" i="1"/>
  <c r="D16428" i="1"/>
  <c r="E16428" i="1"/>
  <c r="C16429" i="1"/>
  <c r="D16429" i="1"/>
  <c r="E16429" i="1"/>
  <c r="C16430" i="1"/>
  <c r="D16430" i="1"/>
  <c r="E16430" i="1"/>
  <c r="C16431" i="1"/>
  <c r="D16431" i="1"/>
  <c r="E16431" i="1"/>
  <c r="C16432" i="1"/>
  <c r="D16432" i="1"/>
  <c r="E16432" i="1"/>
  <c r="C16433" i="1"/>
  <c r="D16433" i="1"/>
  <c r="E16433" i="1"/>
  <c r="C16434" i="1"/>
  <c r="D16434" i="1"/>
  <c r="E16434" i="1"/>
  <c r="C16435" i="1"/>
  <c r="D16435" i="1"/>
  <c r="E16435" i="1"/>
  <c r="C16436" i="1"/>
  <c r="D16436" i="1"/>
  <c r="E16436" i="1"/>
  <c r="C16437" i="1"/>
  <c r="D16437" i="1"/>
  <c r="E16437" i="1"/>
  <c r="C16438" i="1"/>
  <c r="D16438" i="1"/>
  <c r="E16438" i="1"/>
  <c r="C16439" i="1"/>
  <c r="D16439" i="1"/>
  <c r="E16439" i="1"/>
  <c r="C16440" i="1"/>
  <c r="D16440" i="1"/>
  <c r="E16440" i="1"/>
  <c r="C16441" i="1"/>
  <c r="D16441" i="1"/>
  <c r="E16441" i="1"/>
  <c r="C16442" i="1"/>
  <c r="D16442" i="1"/>
  <c r="E16442" i="1"/>
  <c r="C16443" i="1"/>
  <c r="D16443" i="1"/>
  <c r="E16443" i="1"/>
  <c r="C16444" i="1"/>
  <c r="D16444" i="1"/>
  <c r="E16444" i="1"/>
  <c r="C16445" i="1"/>
  <c r="D16445" i="1"/>
  <c r="E16445" i="1"/>
  <c r="C16446" i="1"/>
  <c r="D16446" i="1"/>
  <c r="E16446" i="1"/>
  <c r="C16447" i="1"/>
  <c r="D16447" i="1"/>
  <c r="E16447" i="1"/>
  <c r="C16448" i="1"/>
  <c r="D16448" i="1"/>
  <c r="E16448" i="1"/>
  <c r="C16449" i="1"/>
  <c r="D16449" i="1"/>
  <c r="E16449" i="1"/>
  <c r="C16450" i="1"/>
  <c r="D16450" i="1"/>
  <c r="E16450" i="1"/>
  <c r="C16451" i="1"/>
  <c r="D16451" i="1"/>
  <c r="E16451" i="1"/>
  <c r="C16452" i="1"/>
  <c r="D16452" i="1"/>
  <c r="E16452" i="1"/>
  <c r="C16453" i="1"/>
  <c r="D16453" i="1"/>
  <c r="E16453" i="1"/>
  <c r="C16454" i="1"/>
  <c r="D16454" i="1"/>
  <c r="E16454" i="1"/>
  <c r="C16455" i="1"/>
  <c r="D16455" i="1"/>
  <c r="E16455" i="1"/>
  <c r="C16456" i="1"/>
  <c r="D16456" i="1"/>
  <c r="E16456" i="1"/>
  <c r="C16457" i="1"/>
  <c r="D16457" i="1"/>
  <c r="E16457" i="1"/>
  <c r="C16458" i="1"/>
  <c r="D16458" i="1"/>
  <c r="E16458" i="1"/>
  <c r="C16459" i="1"/>
  <c r="D16459" i="1"/>
  <c r="E16459" i="1"/>
  <c r="C16460" i="1"/>
  <c r="D16460" i="1"/>
  <c r="E16460" i="1"/>
  <c r="C16461" i="1"/>
  <c r="D16461" i="1"/>
  <c r="E16461" i="1"/>
  <c r="C16462" i="1"/>
  <c r="D16462" i="1"/>
  <c r="E16462" i="1"/>
  <c r="C16463" i="1"/>
  <c r="D16463" i="1"/>
  <c r="E16463" i="1"/>
  <c r="C16464" i="1"/>
  <c r="D16464" i="1"/>
  <c r="E16464" i="1"/>
  <c r="C16465" i="1"/>
  <c r="D16465" i="1"/>
  <c r="E16465" i="1"/>
  <c r="C16466" i="1"/>
  <c r="D16466" i="1"/>
  <c r="E16466" i="1"/>
  <c r="C16467" i="1"/>
  <c r="D16467" i="1"/>
  <c r="E16467" i="1"/>
  <c r="C16468" i="1"/>
  <c r="D16468" i="1"/>
  <c r="E16468" i="1"/>
  <c r="C16469" i="1"/>
  <c r="D16469" i="1"/>
  <c r="E16469" i="1"/>
  <c r="C16470" i="1"/>
  <c r="D16470" i="1"/>
  <c r="E16470" i="1"/>
  <c r="C16471" i="1"/>
  <c r="D16471" i="1"/>
  <c r="E16471" i="1"/>
  <c r="C16472" i="1"/>
  <c r="D16472" i="1"/>
  <c r="E16472" i="1"/>
  <c r="C16473" i="1"/>
  <c r="D16473" i="1"/>
  <c r="E16473" i="1"/>
  <c r="C16474" i="1"/>
  <c r="D16474" i="1"/>
  <c r="E16474" i="1"/>
  <c r="C16475" i="1"/>
  <c r="D16475" i="1"/>
  <c r="E16475" i="1"/>
  <c r="C16476" i="1"/>
  <c r="D16476" i="1"/>
  <c r="E16476" i="1"/>
  <c r="C16477" i="1"/>
  <c r="D16477" i="1"/>
  <c r="E16477" i="1"/>
  <c r="C16478" i="1"/>
  <c r="D16478" i="1"/>
  <c r="E16478" i="1"/>
  <c r="C16479" i="1"/>
  <c r="D16479" i="1"/>
  <c r="E16479" i="1"/>
  <c r="C16480" i="1"/>
  <c r="D16480" i="1"/>
  <c r="E16480" i="1"/>
  <c r="C16481" i="1"/>
  <c r="D16481" i="1"/>
  <c r="E16481" i="1"/>
  <c r="C16482" i="1"/>
  <c r="D16482" i="1"/>
  <c r="E16482" i="1"/>
  <c r="C16483" i="1"/>
  <c r="D16483" i="1"/>
  <c r="E16483" i="1"/>
  <c r="C16484" i="1"/>
  <c r="D16484" i="1"/>
  <c r="E16484" i="1"/>
  <c r="C16485" i="1"/>
  <c r="D16485" i="1"/>
  <c r="E16485" i="1"/>
  <c r="C16486" i="1"/>
  <c r="D16486" i="1"/>
  <c r="E16486" i="1"/>
  <c r="C16487" i="1"/>
  <c r="D16487" i="1"/>
  <c r="E16487" i="1"/>
  <c r="C16488" i="1"/>
  <c r="D16488" i="1"/>
  <c r="E16488" i="1"/>
  <c r="C16489" i="1"/>
  <c r="D16489" i="1"/>
  <c r="E16489" i="1"/>
  <c r="C16490" i="1"/>
  <c r="D16490" i="1"/>
  <c r="E16490" i="1"/>
  <c r="C16491" i="1"/>
  <c r="D16491" i="1"/>
  <c r="E16491" i="1"/>
  <c r="C16492" i="1"/>
  <c r="D16492" i="1"/>
  <c r="E16492" i="1"/>
  <c r="C16493" i="1"/>
  <c r="D16493" i="1"/>
  <c r="E16493" i="1"/>
  <c r="C16494" i="1"/>
  <c r="D16494" i="1"/>
  <c r="E16494" i="1"/>
  <c r="C16495" i="1"/>
  <c r="D16495" i="1"/>
  <c r="E16495" i="1"/>
  <c r="C16496" i="1"/>
  <c r="D16496" i="1"/>
  <c r="E16496" i="1"/>
  <c r="C16497" i="1"/>
  <c r="D16497" i="1"/>
  <c r="E16497" i="1"/>
  <c r="C16498" i="1"/>
  <c r="D16498" i="1"/>
  <c r="E16498" i="1"/>
  <c r="C16499" i="1"/>
  <c r="D16499" i="1"/>
  <c r="E16499" i="1"/>
  <c r="C16500" i="1"/>
  <c r="D16500" i="1"/>
  <c r="E16500" i="1"/>
  <c r="C16501" i="1"/>
  <c r="D16501" i="1"/>
  <c r="E16501" i="1"/>
  <c r="C16502" i="1"/>
  <c r="D16502" i="1"/>
  <c r="E16502" i="1"/>
  <c r="C16503" i="1"/>
  <c r="D16503" i="1"/>
  <c r="E16503" i="1"/>
  <c r="C16504" i="1"/>
  <c r="D16504" i="1"/>
  <c r="E16504" i="1"/>
  <c r="C16505" i="1"/>
  <c r="D16505" i="1"/>
  <c r="E16505" i="1"/>
  <c r="C16506" i="1"/>
  <c r="D16506" i="1"/>
  <c r="E16506" i="1"/>
  <c r="C16507" i="1"/>
  <c r="D16507" i="1"/>
  <c r="E16507" i="1"/>
  <c r="C16508" i="1"/>
  <c r="D16508" i="1"/>
  <c r="E16508" i="1"/>
  <c r="C16509" i="1"/>
  <c r="D16509" i="1"/>
  <c r="E16509" i="1"/>
  <c r="C16510" i="1"/>
  <c r="D16510" i="1"/>
  <c r="E16510" i="1"/>
  <c r="C16511" i="1"/>
  <c r="D16511" i="1"/>
  <c r="E16511" i="1"/>
  <c r="C16512" i="1"/>
  <c r="D16512" i="1"/>
  <c r="E16512" i="1"/>
  <c r="C16513" i="1"/>
  <c r="D16513" i="1"/>
  <c r="E16513" i="1"/>
  <c r="C16514" i="1"/>
  <c r="D16514" i="1"/>
  <c r="E16514" i="1"/>
  <c r="C16515" i="1"/>
  <c r="D16515" i="1"/>
  <c r="E16515" i="1"/>
  <c r="C16516" i="1"/>
  <c r="D16516" i="1"/>
  <c r="E16516" i="1"/>
  <c r="C16517" i="1"/>
  <c r="D16517" i="1"/>
  <c r="E16517" i="1"/>
  <c r="C16518" i="1"/>
  <c r="D16518" i="1"/>
  <c r="E16518" i="1"/>
  <c r="C16519" i="1"/>
  <c r="D16519" i="1"/>
  <c r="E16519" i="1"/>
  <c r="C16520" i="1"/>
  <c r="D16520" i="1"/>
  <c r="E16520" i="1"/>
  <c r="C16521" i="1"/>
  <c r="D16521" i="1"/>
  <c r="E16521" i="1"/>
  <c r="C16522" i="1"/>
  <c r="D16522" i="1"/>
  <c r="E16522" i="1"/>
  <c r="C16523" i="1"/>
  <c r="D16523" i="1"/>
  <c r="E16523" i="1"/>
  <c r="C16524" i="1"/>
  <c r="D16524" i="1"/>
  <c r="E16524" i="1"/>
  <c r="C16525" i="1"/>
  <c r="D16525" i="1"/>
  <c r="E16525" i="1"/>
  <c r="C16526" i="1"/>
  <c r="D16526" i="1"/>
  <c r="E16526" i="1"/>
  <c r="C16527" i="1"/>
  <c r="D16527" i="1"/>
  <c r="E16527" i="1"/>
  <c r="C16528" i="1"/>
  <c r="D16528" i="1"/>
  <c r="E16528" i="1"/>
  <c r="C16529" i="1"/>
  <c r="D16529" i="1"/>
  <c r="E16529" i="1"/>
  <c r="C16530" i="1"/>
  <c r="D16530" i="1"/>
  <c r="E16530" i="1"/>
  <c r="C16531" i="1"/>
  <c r="D16531" i="1"/>
  <c r="E16531" i="1"/>
  <c r="C16532" i="1"/>
  <c r="D16532" i="1"/>
  <c r="E16532" i="1"/>
  <c r="C16533" i="1"/>
  <c r="D16533" i="1"/>
  <c r="E16533" i="1"/>
  <c r="C16534" i="1"/>
  <c r="D16534" i="1"/>
  <c r="E16534" i="1"/>
  <c r="C16535" i="1"/>
  <c r="D16535" i="1"/>
  <c r="E16535" i="1"/>
  <c r="C16536" i="1"/>
  <c r="D16536" i="1"/>
  <c r="E16536" i="1"/>
  <c r="C16537" i="1"/>
  <c r="D16537" i="1"/>
  <c r="E16537" i="1"/>
  <c r="C16538" i="1"/>
  <c r="D16538" i="1"/>
  <c r="E16538" i="1"/>
  <c r="C16539" i="1"/>
  <c r="D16539" i="1"/>
  <c r="E16539" i="1"/>
  <c r="C16540" i="1"/>
  <c r="D16540" i="1"/>
  <c r="E16540" i="1"/>
  <c r="C16541" i="1"/>
  <c r="D16541" i="1"/>
  <c r="E16541" i="1"/>
  <c r="C16542" i="1"/>
  <c r="D16542" i="1"/>
  <c r="E16542" i="1"/>
  <c r="C16543" i="1"/>
  <c r="D16543" i="1"/>
  <c r="E16543" i="1"/>
  <c r="C16544" i="1"/>
  <c r="D16544" i="1"/>
  <c r="E16544" i="1"/>
  <c r="C16545" i="1"/>
  <c r="D16545" i="1"/>
  <c r="E16545" i="1"/>
  <c r="C16546" i="1"/>
  <c r="D16546" i="1"/>
  <c r="E16546" i="1"/>
  <c r="C16547" i="1"/>
  <c r="D16547" i="1"/>
  <c r="E16547" i="1"/>
  <c r="C16548" i="1"/>
  <c r="D16548" i="1"/>
  <c r="E16548" i="1"/>
  <c r="C16549" i="1"/>
  <c r="D16549" i="1"/>
  <c r="E16549" i="1"/>
  <c r="C16550" i="1"/>
  <c r="D16550" i="1"/>
  <c r="E16550" i="1"/>
  <c r="C16551" i="1"/>
  <c r="D16551" i="1"/>
  <c r="E16551" i="1"/>
  <c r="C16552" i="1"/>
  <c r="D16552" i="1"/>
  <c r="E16552" i="1"/>
  <c r="C16553" i="1"/>
  <c r="D16553" i="1"/>
  <c r="E16553" i="1"/>
  <c r="C16554" i="1"/>
  <c r="D16554" i="1"/>
  <c r="E16554" i="1"/>
  <c r="C16555" i="1"/>
  <c r="D16555" i="1"/>
  <c r="E16555" i="1"/>
  <c r="C16556" i="1"/>
  <c r="D16556" i="1"/>
  <c r="E16556" i="1"/>
  <c r="C16557" i="1"/>
  <c r="D16557" i="1"/>
  <c r="E16557" i="1"/>
  <c r="C16558" i="1"/>
  <c r="D16558" i="1"/>
  <c r="E16558" i="1"/>
  <c r="C16559" i="1"/>
  <c r="D16559" i="1"/>
  <c r="E16559" i="1"/>
  <c r="C16560" i="1"/>
  <c r="D16560" i="1"/>
  <c r="E16560" i="1"/>
  <c r="C16561" i="1"/>
  <c r="D16561" i="1"/>
  <c r="E16561" i="1"/>
  <c r="C16562" i="1"/>
  <c r="D16562" i="1"/>
  <c r="E16562" i="1"/>
  <c r="C16563" i="1"/>
  <c r="D16563" i="1"/>
  <c r="E16563" i="1"/>
  <c r="C16564" i="1"/>
  <c r="D16564" i="1"/>
  <c r="E16564" i="1"/>
  <c r="C16565" i="1"/>
  <c r="D16565" i="1"/>
  <c r="E16565" i="1"/>
  <c r="C16566" i="1"/>
  <c r="D16566" i="1"/>
  <c r="E16566" i="1"/>
  <c r="C16567" i="1"/>
  <c r="D16567" i="1"/>
  <c r="E16567" i="1"/>
  <c r="C16568" i="1"/>
  <c r="D16568" i="1"/>
  <c r="E16568" i="1"/>
  <c r="C16569" i="1"/>
  <c r="D16569" i="1"/>
  <c r="E16569" i="1"/>
  <c r="C16570" i="1"/>
  <c r="D16570" i="1"/>
  <c r="E16570" i="1"/>
  <c r="C16571" i="1"/>
  <c r="D16571" i="1"/>
  <c r="E16571" i="1"/>
  <c r="C16572" i="1"/>
  <c r="D16572" i="1"/>
  <c r="E16572" i="1"/>
  <c r="C16573" i="1"/>
  <c r="D16573" i="1"/>
  <c r="E16573" i="1"/>
  <c r="C16574" i="1"/>
  <c r="D16574" i="1"/>
  <c r="E16574" i="1"/>
  <c r="C16575" i="1"/>
  <c r="D16575" i="1"/>
  <c r="E16575" i="1"/>
  <c r="C16576" i="1"/>
  <c r="D16576" i="1"/>
  <c r="E16576" i="1"/>
  <c r="C16577" i="1"/>
  <c r="D16577" i="1"/>
  <c r="E16577" i="1"/>
  <c r="C16578" i="1"/>
  <c r="D16578" i="1"/>
  <c r="E16578" i="1"/>
  <c r="C16579" i="1"/>
  <c r="D16579" i="1"/>
  <c r="E16579" i="1"/>
  <c r="C16580" i="1"/>
  <c r="D16580" i="1"/>
  <c r="E16580" i="1"/>
  <c r="C16581" i="1"/>
  <c r="D16581" i="1"/>
  <c r="E16581" i="1"/>
  <c r="C16582" i="1"/>
  <c r="D16582" i="1"/>
  <c r="E16582" i="1"/>
  <c r="C16583" i="1"/>
  <c r="D16583" i="1"/>
  <c r="E16583" i="1"/>
  <c r="C16584" i="1"/>
  <c r="D16584" i="1"/>
  <c r="E16584" i="1"/>
  <c r="C16585" i="1"/>
  <c r="D16585" i="1"/>
  <c r="E16585" i="1"/>
  <c r="C16586" i="1"/>
  <c r="D16586" i="1"/>
  <c r="E16586" i="1"/>
  <c r="C16587" i="1"/>
  <c r="D16587" i="1"/>
  <c r="E16587" i="1"/>
  <c r="C16588" i="1"/>
  <c r="D16588" i="1"/>
  <c r="E16588" i="1"/>
  <c r="C16589" i="1"/>
  <c r="D16589" i="1"/>
  <c r="E16589" i="1"/>
  <c r="C16590" i="1"/>
  <c r="D16590" i="1"/>
  <c r="E16590" i="1"/>
  <c r="C16591" i="1"/>
  <c r="D16591" i="1"/>
  <c r="E16591" i="1"/>
  <c r="C16592" i="1"/>
  <c r="D16592" i="1"/>
  <c r="E16592" i="1"/>
  <c r="C16593" i="1"/>
  <c r="D16593" i="1"/>
  <c r="E16593" i="1"/>
  <c r="C16594" i="1"/>
  <c r="D16594" i="1"/>
  <c r="E16594" i="1"/>
  <c r="C16595" i="1"/>
  <c r="D16595" i="1"/>
  <c r="E16595" i="1"/>
  <c r="C16596" i="1"/>
  <c r="D16596" i="1"/>
  <c r="E16596" i="1"/>
  <c r="C16597" i="1"/>
  <c r="D16597" i="1"/>
  <c r="E16597" i="1"/>
  <c r="C16598" i="1"/>
  <c r="D16598" i="1"/>
  <c r="E16598" i="1"/>
  <c r="C16599" i="1"/>
  <c r="D16599" i="1"/>
  <c r="E16599" i="1"/>
  <c r="C16600" i="1"/>
  <c r="D16600" i="1"/>
  <c r="E16600" i="1"/>
  <c r="C16601" i="1"/>
  <c r="D16601" i="1"/>
  <c r="E16601" i="1"/>
  <c r="C16602" i="1"/>
  <c r="D16602" i="1"/>
  <c r="E16602" i="1"/>
  <c r="C16603" i="1"/>
  <c r="D16603" i="1"/>
  <c r="E16603" i="1"/>
  <c r="C16604" i="1"/>
  <c r="D16604" i="1"/>
  <c r="E16604" i="1"/>
  <c r="C16605" i="1"/>
  <c r="D16605" i="1"/>
  <c r="E16605" i="1"/>
  <c r="C16606" i="1"/>
  <c r="D16606" i="1"/>
  <c r="E16606" i="1"/>
  <c r="C16607" i="1"/>
  <c r="D16607" i="1"/>
  <c r="E16607" i="1"/>
  <c r="C16608" i="1"/>
  <c r="D16608" i="1"/>
  <c r="E16608" i="1"/>
  <c r="C16609" i="1"/>
  <c r="D16609" i="1"/>
  <c r="E16609" i="1"/>
  <c r="C16610" i="1"/>
  <c r="D16610" i="1"/>
  <c r="E16610" i="1"/>
  <c r="C16611" i="1"/>
  <c r="D16611" i="1"/>
  <c r="E16611" i="1"/>
  <c r="C16612" i="1"/>
  <c r="D16612" i="1"/>
  <c r="E16612" i="1"/>
  <c r="C16613" i="1"/>
  <c r="D16613" i="1"/>
  <c r="E16613" i="1"/>
  <c r="C16614" i="1"/>
  <c r="D16614" i="1"/>
  <c r="E16614" i="1"/>
  <c r="C16615" i="1"/>
  <c r="D16615" i="1"/>
  <c r="E16615" i="1"/>
  <c r="C16616" i="1"/>
  <c r="D16616" i="1"/>
  <c r="E16616" i="1"/>
  <c r="C16617" i="1"/>
  <c r="D16617" i="1"/>
  <c r="E16617" i="1"/>
  <c r="C16618" i="1"/>
  <c r="D16618" i="1"/>
  <c r="E16618" i="1"/>
  <c r="C16619" i="1"/>
  <c r="D16619" i="1"/>
  <c r="E16619" i="1"/>
  <c r="C16620" i="1"/>
  <c r="D16620" i="1"/>
  <c r="E16620" i="1"/>
  <c r="C16621" i="1"/>
  <c r="D16621" i="1"/>
  <c r="E16621" i="1"/>
  <c r="C16622" i="1"/>
  <c r="D16622" i="1"/>
  <c r="E16622" i="1"/>
  <c r="C16623" i="1"/>
  <c r="D16623" i="1"/>
  <c r="E16623" i="1"/>
  <c r="C16624" i="1"/>
  <c r="D16624" i="1"/>
  <c r="E16624" i="1"/>
  <c r="C16625" i="1"/>
  <c r="D16625" i="1"/>
  <c r="E16625" i="1"/>
  <c r="C16626" i="1"/>
  <c r="D16626" i="1"/>
  <c r="E16626" i="1"/>
  <c r="C16627" i="1"/>
  <c r="D16627" i="1"/>
  <c r="E16627" i="1"/>
  <c r="C16628" i="1"/>
  <c r="D16628" i="1"/>
  <c r="E16628" i="1"/>
  <c r="C16629" i="1"/>
  <c r="D16629" i="1"/>
  <c r="E16629" i="1"/>
  <c r="C16630" i="1"/>
  <c r="D16630" i="1"/>
  <c r="E16630" i="1"/>
  <c r="C16631" i="1"/>
  <c r="D16631" i="1"/>
  <c r="E16631" i="1"/>
  <c r="C16632" i="1"/>
  <c r="D16632" i="1"/>
  <c r="E16632" i="1"/>
  <c r="C16633" i="1"/>
  <c r="D16633" i="1"/>
  <c r="E16633" i="1"/>
  <c r="C16634" i="1"/>
  <c r="D16634" i="1"/>
  <c r="E16634" i="1"/>
  <c r="C16635" i="1"/>
  <c r="D16635" i="1"/>
  <c r="E16635" i="1"/>
  <c r="C16636" i="1"/>
  <c r="D16636" i="1"/>
  <c r="E16636" i="1"/>
  <c r="C16637" i="1"/>
  <c r="D16637" i="1"/>
  <c r="E16637" i="1"/>
  <c r="C16638" i="1"/>
  <c r="D16638" i="1"/>
  <c r="E16638" i="1"/>
  <c r="C16639" i="1"/>
  <c r="D16639" i="1"/>
  <c r="E16639" i="1"/>
  <c r="C16640" i="1"/>
  <c r="D16640" i="1"/>
  <c r="E16640" i="1"/>
  <c r="C16641" i="1"/>
  <c r="D16641" i="1"/>
  <c r="E16641" i="1"/>
  <c r="C16642" i="1"/>
  <c r="D16642" i="1"/>
  <c r="E16642" i="1"/>
  <c r="C16643" i="1"/>
  <c r="D16643" i="1"/>
  <c r="E16643" i="1"/>
  <c r="C16644" i="1"/>
  <c r="D16644" i="1"/>
  <c r="E16644" i="1"/>
  <c r="C16645" i="1"/>
  <c r="D16645" i="1"/>
  <c r="E16645" i="1"/>
  <c r="C16646" i="1"/>
  <c r="D16646" i="1"/>
  <c r="E16646" i="1"/>
  <c r="C16647" i="1"/>
  <c r="D16647" i="1"/>
  <c r="E16647" i="1"/>
  <c r="C16648" i="1"/>
  <c r="D16648" i="1"/>
  <c r="E16648" i="1"/>
  <c r="C16649" i="1"/>
  <c r="D16649" i="1"/>
  <c r="E16649" i="1"/>
  <c r="C16650" i="1"/>
  <c r="D16650" i="1"/>
  <c r="E16650" i="1"/>
  <c r="C16651" i="1"/>
  <c r="D16651" i="1"/>
  <c r="E16651" i="1"/>
  <c r="C16652" i="1"/>
  <c r="D16652" i="1"/>
  <c r="E16652" i="1"/>
  <c r="C16653" i="1"/>
  <c r="D16653" i="1"/>
  <c r="E16653" i="1"/>
  <c r="C16654" i="1"/>
  <c r="D16654" i="1"/>
  <c r="E16654" i="1"/>
  <c r="C16655" i="1"/>
  <c r="D16655" i="1"/>
  <c r="E16655" i="1"/>
  <c r="C16656" i="1"/>
  <c r="D16656" i="1"/>
  <c r="E16656" i="1"/>
  <c r="C16657" i="1"/>
  <c r="D16657" i="1"/>
  <c r="E16657" i="1"/>
  <c r="C16658" i="1"/>
  <c r="D16658" i="1"/>
  <c r="E16658" i="1"/>
  <c r="C16659" i="1"/>
  <c r="D16659" i="1"/>
  <c r="E16659" i="1"/>
  <c r="C16660" i="1"/>
  <c r="D16660" i="1"/>
  <c r="E16660" i="1"/>
  <c r="C16661" i="1"/>
  <c r="D16661" i="1"/>
  <c r="E16661" i="1"/>
  <c r="C16662" i="1"/>
  <c r="D16662" i="1"/>
  <c r="E16662" i="1"/>
  <c r="C16663" i="1"/>
  <c r="D16663" i="1"/>
  <c r="E16663" i="1"/>
  <c r="C16664" i="1"/>
  <c r="D16664" i="1"/>
  <c r="E16664" i="1"/>
  <c r="C16665" i="1"/>
  <c r="D16665" i="1"/>
  <c r="E16665" i="1"/>
  <c r="C16666" i="1"/>
  <c r="D16666" i="1"/>
  <c r="E16666" i="1"/>
  <c r="C16667" i="1"/>
  <c r="D16667" i="1"/>
  <c r="E16667" i="1"/>
  <c r="C16668" i="1"/>
  <c r="D16668" i="1"/>
  <c r="E16668" i="1"/>
  <c r="C16669" i="1"/>
  <c r="D16669" i="1"/>
  <c r="E16669" i="1"/>
  <c r="C16670" i="1"/>
  <c r="D16670" i="1"/>
  <c r="E16670" i="1"/>
  <c r="C16671" i="1"/>
  <c r="D16671" i="1"/>
  <c r="E16671" i="1"/>
  <c r="C16672" i="1"/>
  <c r="D16672" i="1"/>
  <c r="E16672" i="1"/>
  <c r="C16673" i="1"/>
  <c r="D16673" i="1"/>
  <c r="E16673" i="1"/>
  <c r="C16674" i="1"/>
  <c r="D16674" i="1"/>
  <c r="E16674" i="1"/>
  <c r="C16675" i="1"/>
  <c r="D16675" i="1"/>
  <c r="E16675" i="1"/>
  <c r="C16676" i="1"/>
  <c r="D16676" i="1"/>
  <c r="E16676" i="1"/>
  <c r="C16677" i="1"/>
  <c r="D16677" i="1"/>
  <c r="E16677" i="1"/>
  <c r="C16678" i="1"/>
  <c r="D16678" i="1"/>
  <c r="E16678" i="1"/>
  <c r="C16679" i="1"/>
  <c r="D16679" i="1"/>
  <c r="E16679" i="1"/>
  <c r="C16680" i="1"/>
  <c r="D16680" i="1"/>
  <c r="E16680" i="1"/>
  <c r="C16681" i="1"/>
  <c r="D16681" i="1"/>
  <c r="E16681" i="1"/>
  <c r="C16682" i="1"/>
  <c r="D16682" i="1"/>
  <c r="E16682" i="1"/>
  <c r="C16683" i="1"/>
  <c r="D16683" i="1"/>
  <c r="E16683" i="1"/>
  <c r="C16684" i="1"/>
  <c r="D16684" i="1"/>
  <c r="E16684" i="1"/>
  <c r="C16685" i="1"/>
  <c r="D16685" i="1"/>
  <c r="E16685" i="1"/>
  <c r="C16686" i="1"/>
  <c r="D16686" i="1"/>
  <c r="E16686" i="1"/>
  <c r="C16687" i="1"/>
  <c r="D16687" i="1"/>
  <c r="E16687" i="1"/>
  <c r="C16688" i="1"/>
  <c r="D16688" i="1"/>
  <c r="E16688" i="1"/>
  <c r="C16689" i="1"/>
  <c r="D16689" i="1"/>
  <c r="E16689" i="1"/>
  <c r="C16690" i="1"/>
  <c r="D16690" i="1"/>
  <c r="E16690" i="1"/>
  <c r="C16691" i="1"/>
  <c r="D16691" i="1"/>
  <c r="E16691" i="1"/>
  <c r="C16692" i="1"/>
  <c r="D16692" i="1"/>
  <c r="E16692" i="1"/>
  <c r="C16693" i="1"/>
  <c r="D16693" i="1"/>
  <c r="E16693" i="1"/>
  <c r="C16694" i="1"/>
  <c r="D16694" i="1"/>
  <c r="E16694" i="1"/>
  <c r="C16695" i="1"/>
  <c r="D16695" i="1"/>
  <c r="E16695" i="1"/>
  <c r="C16696" i="1"/>
  <c r="D16696" i="1"/>
  <c r="E16696" i="1"/>
  <c r="C16697" i="1"/>
  <c r="D16697" i="1"/>
  <c r="E16697" i="1"/>
  <c r="C16698" i="1"/>
  <c r="D16698" i="1"/>
  <c r="E16698" i="1"/>
  <c r="C16699" i="1"/>
  <c r="D16699" i="1"/>
  <c r="E16699" i="1"/>
  <c r="C16700" i="1"/>
  <c r="D16700" i="1"/>
  <c r="E16700" i="1"/>
  <c r="C16701" i="1"/>
  <c r="D16701" i="1"/>
  <c r="E16701" i="1"/>
  <c r="C16702" i="1"/>
  <c r="D16702" i="1"/>
  <c r="E16702" i="1"/>
  <c r="C16703" i="1"/>
  <c r="D16703" i="1"/>
  <c r="E16703" i="1"/>
  <c r="C16704" i="1"/>
  <c r="D16704" i="1"/>
  <c r="E16704" i="1"/>
  <c r="C16705" i="1"/>
  <c r="D16705" i="1"/>
  <c r="E16705" i="1"/>
  <c r="C16706" i="1"/>
  <c r="D16706" i="1"/>
  <c r="E16706" i="1"/>
  <c r="C16707" i="1"/>
  <c r="D16707" i="1"/>
  <c r="E16707" i="1"/>
  <c r="C16708" i="1"/>
  <c r="D16708" i="1"/>
  <c r="E16708" i="1"/>
  <c r="C16709" i="1"/>
  <c r="D16709" i="1"/>
  <c r="E16709" i="1"/>
  <c r="C16710" i="1"/>
  <c r="D16710" i="1"/>
  <c r="E16710" i="1"/>
  <c r="C16711" i="1"/>
  <c r="D16711" i="1"/>
  <c r="E16711" i="1"/>
  <c r="C16712" i="1"/>
  <c r="D16712" i="1"/>
  <c r="E16712" i="1"/>
  <c r="C16713" i="1"/>
  <c r="D16713" i="1"/>
  <c r="E16713" i="1"/>
  <c r="C16714" i="1"/>
  <c r="D16714" i="1"/>
  <c r="E16714" i="1"/>
  <c r="C16715" i="1"/>
  <c r="D16715" i="1"/>
  <c r="E16715" i="1"/>
  <c r="C16716" i="1"/>
  <c r="D16716" i="1"/>
  <c r="E16716" i="1"/>
  <c r="C16717" i="1"/>
  <c r="D16717" i="1"/>
  <c r="E16717" i="1"/>
  <c r="C16718" i="1"/>
  <c r="D16718" i="1"/>
  <c r="E16718" i="1"/>
  <c r="C16719" i="1"/>
  <c r="D16719" i="1"/>
  <c r="E16719" i="1"/>
  <c r="C16720" i="1"/>
  <c r="D16720" i="1"/>
  <c r="E16720" i="1"/>
  <c r="C16721" i="1"/>
  <c r="D16721" i="1"/>
  <c r="E16721" i="1"/>
  <c r="C16722" i="1"/>
  <c r="D16722" i="1"/>
  <c r="E16722" i="1"/>
  <c r="C16723" i="1"/>
  <c r="D16723" i="1"/>
  <c r="E16723" i="1"/>
  <c r="C16724" i="1"/>
  <c r="D16724" i="1"/>
  <c r="E16724" i="1"/>
  <c r="C16725" i="1"/>
  <c r="D16725" i="1"/>
  <c r="E16725" i="1"/>
  <c r="C16726" i="1"/>
  <c r="D16726" i="1"/>
  <c r="E16726" i="1"/>
  <c r="C16727" i="1"/>
  <c r="D16727" i="1"/>
  <c r="E16727" i="1"/>
  <c r="C16728" i="1"/>
  <c r="D16728" i="1"/>
  <c r="E16728" i="1"/>
  <c r="C16729" i="1"/>
  <c r="D16729" i="1"/>
  <c r="E16729" i="1"/>
  <c r="C16730" i="1"/>
  <c r="D16730" i="1"/>
  <c r="E16730" i="1"/>
  <c r="C16731" i="1"/>
  <c r="D16731" i="1"/>
  <c r="E16731" i="1"/>
  <c r="C16732" i="1"/>
  <c r="D16732" i="1"/>
  <c r="E16732" i="1"/>
  <c r="C16733" i="1"/>
  <c r="D16733" i="1"/>
  <c r="E16733" i="1"/>
  <c r="C16734" i="1"/>
  <c r="D16734" i="1"/>
  <c r="E16734" i="1"/>
  <c r="C16735" i="1"/>
  <c r="D16735" i="1"/>
  <c r="E16735" i="1"/>
  <c r="C16736" i="1"/>
  <c r="D16736" i="1"/>
  <c r="E16736" i="1"/>
  <c r="C16737" i="1"/>
  <c r="D16737" i="1"/>
  <c r="E16737" i="1"/>
  <c r="C16738" i="1"/>
  <c r="D16738" i="1"/>
  <c r="E16738" i="1"/>
  <c r="C16739" i="1"/>
  <c r="D16739" i="1"/>
  <c r="E16739" i="1"/>
  <c r="C16740" i="1"/>
  <c r="D16740" i="1"/>
  <c r="E16740" i="1"/>
  <c r="C16741" i="1"/>
  <c r="D16741" i="1"/>
  <c r="E16741" i="1"/>
  <c r="C16742" i="1"/>
  <c r="D16742" i="1"/>
  <c r="E16742" i="1"/>
  <c r="C16743" i="1"/>
  <c r="D16743" i="1"/>
  <c r="E16743" i="1"/>
  <c r="C16744" i="1"/>
  <c r="D16744" i="1"/>
  <c r="E16744" i="1"/>
  <c r="C16745" i="1"/>
  <c r="D16745" i="1"/>
  <c r="E16745" i="1"/>
  <c r="C16746" i="1"/>
  <c r="D16746" i="1"/>
  <c r="E16746" i="1"/>
  <c r="C16747" i="1"/>
  <c r="D16747" i="1"/>
  <c r="E16747" i="1"/>
  <c r="C16748" i="1"/>
  <c r="D16748" i="1"/>
  <c r="E16748" i="1"/>
  <c r="C16749" i="1"/>
  <c r="D16749" i="1"/>
  <c r="E16749" i="1"/>
  <c r="C16750" i="1"/>
  <c r="D16750" i="1"/>
  <c r="E16750" i="1"/>
  <c r="C16751" i="1"/>
  <c r="D16751" i="1"/>
  <c r="E16751" i="1"/>
  <c r="C16752" i="1"/>
  <c r="D16752" i="1"/>
  <c r="E16752" i="1"/>
  <c r="C16753" i="1"/>
  <c r="D16753" i="1"/>
  <c r="E16753" i="1"/>
  <c r="C16754" i="1"/>
  <c r="D16754" i="1"/>
  <c r="E16754" i="1"/>
  <c r="C16755" i="1"/>
  <c r="D16755" i="1"/>
  <c r="E16755" i="1"/>
  <c r="C16756" i="1"/>
  <c r="D16756" i="1"/>
  <c r="E16756" i="1"/>
  <c r="C16757" i="1"/>
  <c r="D16757" i="1"/>
  <c r="E16757" i="1"/>
  <c r="C16758" i="1"/>
  <c r="D16758" i="1"/>
  <c r="E16758" i="1"/>
  <c r="C16759" i="1"/>
  <c r="D16759" i="1"/>
  <c r="E16759" i="1"/>
  <c r="C16760" i="1"/>
  <c r="D16760" i="1"/>
  <c r="E16760" i="1"/>
  <c r="C16761" i="1"/>
  <c r="D16761" i="1"/>
  <c r="E16761" i="1"/>
  <c r="C16762" i="1"/>
  <c r="D16762" i="1"/>
  <c r="E16762" i="1"/>
  <c r="C16763" i="1"/>
  <c r="D16763" i="1"/>
  <c r="E16763" i="1"/>
  <c r="C16764" i="1"/>
  <c r="D16764" i="1"/>
  <c r="E16764" i="1"/>
  <c r="C16765" i="1"/>
  <c r="D16765" i="1"/>
  <c r="E16765" i="1"/>
  <c r="C16766" i="1"/>
  <c r="D16766" i="1"/>
  <c r="E16766" i="1"/>
  <c r="C16767" i="1"/>
  <c r="D16767" i="1"/>
  <c r="E16767" i="1"/>
  <c r="C16768" i="1"/>
  <c r="D16768" i="1"/>
  <c r="E16768" i="1"/>
  <c r="C16769" i="1"/>
  <c r="D16769" i="1"/>
  <c r="E16769" i="1"/>
  <c r="C16770" i="1"/>
  <c r="D16770" i="1"/>
  <c r="E16770" i="1"/>
  <c r="C16771" i="1"/>
  <c r="D16771" i="1"/>
  <c r="E16771" i="1"/>
  <c r="C16772" i="1"/>
  <c r="D16772" i="1"/>
  <c r="E16772" i="1"/>
  <c r="C16773" i="1"/>
  <c r="D16773" i="1"/>
  <c r="E16773" i="1"/>
  <c r="C16774" i="1"/>
  <c r="D16774" i="1"/>
  <c r="E16774" i="1"/>
  <c r="C16775" i="1"/>
  <c r="D16775" i="1"/>
  <c r="E16775" i="1"/>
  <c r="C16776" i="1"/>
  <c r="D16776" i="1"/>
  <c r="E16776" i="1"/>
  <c r="C16777" i="1"/>
  <c r="D16777" i="1"/>
  <c r="E16777" i="1"/>
  <c r="C16778" i="1"/>
  <c r="D16778" i="1"/>
  <c r="E16778" i="1"/>
  <c r="C16779" i="1"/>
  <c r="D16779" i="1"/>
  <c r="E16779" i="1"/>
  <c r="C16780" i="1"/>
  <c r="D16780" i="1"/>
  <c r="E16780" i="1"/>
  <c r="C16781" i="1"/>
  <c r="D16781" i="1"/>
  <c r="E16781" i="1"/>
  <c r="C16782" i="1"/>
  <c r="D16782" i="1"/>
  <c r="E16782" i="1"/>
  <c r="C16783" i="1"/>
  <c r="D16783" i="1"/>
  <c r="E16783" i="1"/>
  <c r="C16784" i="1"/>
  <c r="D16784" i="1"/>
  <c r="E16784" i="1"/>
  <c r="C16785" i="1"/>
  <c r="D16785" i="1"/>
  <c r="E16785" i="1"/>
  <c r="C16786" i="1"/>
  <c r="D16786" i="1"/>
  <c r="E16786" i="1"/>
  <c r="C16787" i="1"/>
  <c r="D16787" i="1"/>
  <c r="E16787" i="1"/>
  <c r="C16788" i="1"/>
  <c r="D16788" i="1"/>
  <c r="E16788" i="1"/>
  <c r="C16789" i="1"/>
  <c r="D16789" i="1"/>
  <c r="E16789" i="1"/>
  <c r="C16790" i="1"/>
  <c r="D16790" i="1"/>
  <c r="E16790" i="1"/>
  <c r="C16791" i="1"/>
  <c r="D16791" i="1"/>
  <c r="E16791" i="1"/>
  <c r="C16792" i="1"/>
  <c r="D16792" i="1"/>
  <c r="E16792" i="1"/>
  <c r="C16793" i="1"/>
  <c r="D16793" i="1"/>
  <c r="E16793" i="1"/>
  <c r="C16794" i="1"/>
  <c r="D16794" i="1"/>
  <c r="E16794" i="1"/>
  <c r="C16795" i="1"/>
  <c r="D16795" i="1"/>
  <c r="E16795" i="1"/>
  <c r="C16796" i="1"/>
  <c r="D16796" i="1"/>
  <c r="E16796" i="1"/>
  <c r="C16797" i="1"/>
  <c r="D16797" i="1"/>
  <c r="E16797" i="1"/>
  <c r="C16798" i="1"/>
  <c r="D16798" i="1"/>
  <c r="E16798" i="1"/>
  <c r="C16799" i="1"/>
  <c r="D16799" i="1"/>
  <c r="E16799" i="1"/>
  <c r="C16800" i="1"/>
  <c r="D16800" i="1"/>
  <c r="E16800" i="1"/>
  <c r="C16801" i="1"/>
  <c r="D16801" i="1"/>
  <c r="E16801" i="1"/>
  <c r="C16802" i="1"/>
  <c r="D16802" i="1"/>
  <c r="E16802" i="1"/>
  <c r="C16803" i="1"/>
  <c r="D16803" i="1"/>
  <c r="E16803" i="1"/>
  <c r="C16804" i="1"/>
  <c r="D16804" i="1"/>
  <c r="E16804" i="1"/>
  <c r="C16805" i="1"/>
  <c r="D16805" i="1"/>
  <c r="E16805" i="1"/>
  <c r="C16806" i="1"/>
  <c r="D16806" i="1"/>
  <c r="E16806" i="1"/>
  <c r="C16807" i="1"/>
  <c r="D16807" i="1"/>
  <c r="E16807" i="1"/>
  <c r="C16808" i="1"/>
  <c r="D16808" i="1"/>
  <c r="E16808" i="1"/>
  <c r="C16809" i="1"/>
  <c r="D16809" i="1"/>
  <c r="E16809" i="1"/>
  <c r="C16810" i="1"/>
  <c r="D16810" i="1"/>
  <c r="E16810" i="1"/>
  <c r="C16811" i="1"/>
  <c r="D16811" i="1"/>
  <c r="E16811" i="1"/>
  <c r="C16812" i="1"/>
  <c r="D16812" i="1"/>
  <c r="E16812" i="1"/>
  <c r="C16813" i="1"/>
  <c r="D16813" i="1"/>
  <c r="E16813" i="1"/>
  <c r="C16814" i="1"/>
  <c r="D16814" i="1"/>
  <c r="E16814" i="1"/>
  <c r="C16815" i="1"/>
  <c r="D16815" i="1"/>
  <c r="E16815" i="1"/>
  <c r="C16816" i="1"/>
  <c r="D16816" i="1"/>
  <c r="E16816" i="1"/>
  <c r="C16817" i="1"/>
  <c r="D16817" i="1"/>
  <c r="E16817" i="1"/>
  <c r="C16818" i="1"/>
  <c r="D16818" i="1"/>
  <c r="E16818" i="1"/>
  <c r="C16819" i="1"/>
  <c r="D16819" i="1"/>
  <c r="E16819" i="1"/>
  <c r="C16820" i="1"/>
  <c r="D16820" i="1"/>
  <c r="E16820" i="1"/>
  <c r="C16821" i="1"/>
  <c r="D16821" i="1"/>
  <c r="E16821" i="1"/>
  <c r="C16822" i="1"/>
  <c r="D16822" i="1"/>
  <c r="E16822" i="1"/>
  <c r="C16823" i="1"/>
  <c r="D16823" i="1"/>
  <c r="E16823" i="1"/>
  <c r="C16824" i="1"/>
  <c r="D16824" i="1"/>
  <c r="E16824" i="1"/>
  <c r="C16825" i="1"/>
  <c r="D16825" i="1"/>
  <c r="E16825" i="1"/>
  <c r="C16826" i="1"/>
  <c r="D16826" i="1"/>
  <c r="E16826" i="1"/>
  <c r="C16827" i="1"/>
  <c r="D16827" i="1"/>
  <c r="E16827" i="1"/>
  <c r="C16828" i="1"/>
  <c r="D16828" i="1"/>
  <c r="E16828" i="1"/>
  <c r="C16829" i="1"/>
  <c r="D16829" i="1"/>
  <c r="E16829" i="1"/>
  <c r="C16830" i="1"/>
  <c r="D16830" i="1"/>
  <c r="E16830" i="1"/>
  <c r="C16831" i="1"/>
  <c r="D16831" i="1"/>
  <c r="E16831" i="1"/>
  <c r="C16832" i="1"/>
  <c r="D16832" i="1"/>
  <c r="E16832" i="1"/>
  <c r="C16833" i="1"/>
  <c r="D16833" i="1"/>
  <c r="E16833" i="1"/>
  <c r="C16834" i="1"/>
  <c r="D16834" i="1"/>
  <c r="E16834" i="1"/>
  <c r="C16835" i="1"/>
  <c r="D16835" i="1"/>
  <c r="E16835" i="1"/>
  <c r="C16836" i="1"/>
  <c r="D16836" i="1"/>
  <c r="E16836" i="1"/>
  <c r="C16837" i="1"/>
  <c r="D16837" i="1"/>
  <c r="E16837" i="1"/>
  <c r="C16838" i="1"/>
  <c r="D16838" i="1"/>
  <c r="E16838" i="1"/>
  <c r="C16839" i="1"/>
  <c r="D16839" i="1"/>
  <c r="E16839" i="1"/>
  <c r="C16840" i="1"/>
  <c r="D16840" i="1"/>
  <c r="E16840" i="1"/>
  <c r="C16841" i="1"/>
  <c r="D16841" i="1"/>
  <c r="E16841" i="1"/>
  <c r="C16842" i="1"/>
  <c r="D16842" i="1"/>
  <c r="E16842" i="1"/>
  <c r="C16843" i="1"/>
  <c r="D16843" i="1"/>
  <c r="E16843" i="1"/>
  <c r="C16844" i="1"/>
  <c r="D16844" i="1"/>
  <c r="E16844" i="1"/>
  <c r="C16845" i="1"/>
  <c r="D16845" i="1"/>
  <c r="E16845" i="1"/>
  <c r="C16846" i="1"/>
  <c r="D16846" i="1"/>
  <c r="E16846" i="1"/>
  <c r="C16847" i="1"/>
  <c r="D16847" i="1"/>
  <c r="E16847" i="1"/>
  <c r="C16848" i="1"/>
  <c r="D16848" i="1"/>
  <c r="E16848" i="1"/>
  <c r="C16849" i="1"/>
  <c r="D16849" i="1"/>
  <c r="E16849" i="1"/>
  <c r="C16850" i="1"/>
  <c r="D16850" i="1"/>
  <c r="E16850" i="1"/>
  <c r="C16851" i="1"/>
  <c r="D16851" i="1"/>
  <c r="E16851" i="1"/>
  <c r="C16852" i="1"/>
  <c r="D16852" i="1"/>
  <c r="E16852" i="1"/>
  <c r="C16853" i="1"/>
  <c r="D16853" i="1"/>
  <c r="E16853" i="1"/>
  <c r="C16854" i="1"/>
  <c r="D16854" i="1"/>
  <c r="E16854" i="1"/>
  <c r="C16855" i="1"/>
  <c r="D16855" i="1"/>
  <c r="E16855" i="1"/>
  <c r="C16856" i="1"/>
  <c r="D16856" i="1"/>
  <c r="E16856" i="1"/>
  <c r="C16857" i="1"/>
  <c r="D16857" i="1"/>
  <c r="E16857" i="1"/>
  <c r="C16858" i="1"/>
  <c r="D16858" i="1"/>
  <c r="E16858" i="1"/>
  <c r="C16859" i="1"/>
  <c r="D16859" i="1"/>
  <c r="E16859" i="1"/>
  <c r="C16860" i="1"/>
  <c r="D16860" i="1"/>
  <c r="E16860" i="1"/>
  <c r="C16861" i="1"/>
  <c r="D16861" i="1"/>
  <c r="E16861" i="1"/>
  <c r="C16862" i="1"/>
  <c r="D16862" i="1"/>
  <c r="E16862" i="1"/>
  <c r="C16863" i="1"/>
  <c r="D16863" i="1"/>
  <c r="E16863" i="1"/>
  <c r="C16864" i="1"/>
  <c r="D16864" i="1"/>
  <c r="E16864" i="1"/>
  <c r="C16865" i="1"/>
  <c r="D16865" i="1"/>
  <c r="E16865" i="1"/>
  <c r="C16866" i="1"/>
  <c r="D16866" i="1"/>
  <c r="E16866" i="1"/>
  <c r="C16867" i="1"/>
  <c r="D16867" i="1"/>
  <c r="E16867" i="1"/>
  <c r="C16868" i="1"/>
  <c r="D16868" i="1"/>
  <c r="E16868" i="1"/>
  <c r="C16869" i="1"/>
  <c r="D16869" i="1"/>
  <c r="E16869" i="1"/>
  <c r="C16870" i="1"/>
  <c r="D16870" i="1"/>
  <c r="E16870" i="1"/>
  <c r="C16871" i="1"/>
  <c r="D16871" i="1"/>
  <c r="E16871" i="1"/>
  <c r="C16872" i="1"/>
  <c r="D16872" i="1"/>
  <c r="E16872" i="1"/>
  <c r="C16873" i="1"/>
  <c r="D16873" i="1"/>
  <c r="E16873" i="1"/>
  <c r="C16874" i="1"/>
  <c r="D16874" i="1"/>
  <c r="E16874" i="1"/>
  <c r="C16875" i="1"/>
  <c r="D16875" i="1"/>
  <c r="E16875" i="1"/>
  <c r="C16876" i="1"/>
  <c r="D16876" i="1"/>
  <c r="E16876" i="1"/>
  <c r="C16877" i="1"/>
  <c r="D16877" i="1"/>
  <c r="E16877" i="1"/>
  <c r="C16878" i="1"/>
  <c r="D16878" i="1"/>
  <c r="E16878" i="1"/>
  <c r="C16879" i="1"/>
  <c r="D16879" i="1"/>
  <c r="E16879" i="1"/>
  <c r="C16880" i="1"/>
  <c r="D16880" i="1"/>
  <c r="E16880" i="1"/>
  <c r="C16881" i="1"/>
  <c r="D16881" i="1"/>
  <c r="E16881" i="1"/>
  <c r="C16882" i="1"/>
  <c r="D16882" i="1"/>
  <c r="E16882" i="1"/>
  <c r="C16883" i="1"/>
  <c r="D16883" i="1"/>
  <c r="E16883" i="1"/>
  <c r="C16884" i="1"/>
  <c r="D16884" i="1"/>
  <c r="E16884" i="1"/>
  <c r="C16885" i="1"/>
  <c r="D16885" i="1"/>
  <c r="E16885" i="1"/>
  <c r="C16886" i="1"/>
  <c r="D16886" i="1"/>
  <c r="E16886" i="1"/>
  <c r="C16887" i="1"/>
  <c r="D16887" i="1"/>
  <c r="E16887" i="1"/>
  <c r="C16888" i="1"/>
  <c r="D16888" i="1"/>
  <c r="E16888" i="1"/>
  <c r="C16889" i="1"/>
  <c r="D16889" i="1"/>
  <c r="E16889" i="1"/>
  <c r="C16890" i="1"/>
  <c r="D16890" i="1"/>
  <c r="E16890" i="1"/>
  <c r="C16891" i="1"/>
  <c r="D16891" i="1"/>
  <c r="E16891" i="1"/>
  <c r="C16892" i="1"/>
  <c r="D16892" i="1"/>
  <c r="E16892" i="1"/>
  <c r="C16893" i="1"/>
  <c r="D16893" i="1"/>
  <c r="E16893" i="1"/>
  <c r="C16894" i="1"/>
  <c r="D16894" i="1"/>
  <c r="E16894" i="1"/>
  <c r="C16895" i="1"/>
  <c r="D16895" i="1"/>
  <c r="E16895" i="1"/>
  <c r="C16896" i="1"/>
  <c r="D16896" i="1"/>
  <c r="E16896" i="1"/>
  <c r="C16897" i="1"/>
  <c r="D16897" i="1"/>
  <c r="E16897" i="1"/>
  <c r="C16898" i="1"/>
  <c r="D16898" i="1"/>
  <c r="E16898" i="1"/>
  <c r="C16899" i="1"/>
  <c r="D16899" i="1"/>
  <c r="E16899" i="1"/>
  <c r="C16900" i="1"/>
  <c r="D16900" i="1"/>
  <c r="E16900" i="1"/>
  <c r="C16901" i="1"/>
  <c r="D16901" i="1"/>
  <c r="E16901" i="1"/>
  <c r="C16902" i="1"/>
  <c r="D16902" i="1"/>
  <c r="E16902" i="1"/>
  <c r="C16903" i="1"/>
  <c r="D16903" i="1"/>
  <c r="E16903" i="1"/>
  <c r="C16904" i="1"/>
  <c r="D16904" i="1"/>
  <c r="E16904" i="1"/>
  <c r="C16905" i="1"/>
  <c r="D16905" i="1"/>
  <c r="E16905" i="1"/>
  <c r="C16906" i="1"/>
  <c r="D16906" i="1"/>
  <c r="E16906" i="1"/>
  <c r="C16907" i="1"/>
  <c r="D16907" i="1"/>
  <c r="E16907" i="1"/>
  <c r="C16908" i="1"/>
  <c r="D16908" i="1"/>
  <c r="E16908" i="1"/>
  <c r="C16909" i="1"/>
  <c r="D16909" i="1"/>
  <c r="E16909" i="1"/>
  <c r="C16910" i="1"/>
  <c r="D16910" i="1"/>
  <c r="E16910" i="1"/>
  <c r="C16911" i="1"/>
  <c r="D16911" i="1"/>
  <c r="E16911" i="1"/>
  <c r="C16912" i="1"/>
  <c r="D16912" i="1"/>
  <c r="E16912" i="1"/>
  <c r="C16913" i="1"/>
  <c r="D16913" i="1"/>
  <c r="E16913" i="1"/>
  <c r="C16914" i="1"/>
  <c r="D16914" i="1"/>
  <c r="E16914" i="1"/>
  <c r="C16915" i="1"/>
  <c r="D16915" i="1"/>
  <c r="E16915" i="1"/>
  <c r="C16916" i="1"/>
  <c r="D16916" i="1"/>
  <c r="E16916" i="1"/>
  <c r="C16917" i="1"/>
  <c r="D16917" i="1"/>
  <c r="E16917" i="1"/>
  <c r="C16918" i="1"/>
  <c r="D16918" i="1"/>
  <c r="E16918" i="1"/>
  <c r="C16919" i="1"/>
  <c r="D16919" i="1"/>
  <c r="E16919" i="1"/>
  <c r="C16920" i="1"/>
  <c r="D16920" i="1"/>
  <c r="E16920" i="1"/>
  <c r="C16921" i="1"/>
  <c r="D16921" i="1"/>
  <c r="E16921" i="1"/>
  <c r="C16922" i="1"/>
  <c r="D16922" i="1"/>
  <c r="E16922" i="1"/>
  <c r="C16923" i="1"/>
  <c r="D16923" i="1"/>
  <c r="E16923" i="1"/>
  <c r="C16924" i="1"/>
  <c r="D16924" i="1"/>
  <c r="E16924" i="1"/>
  <c r="C16925" i="1"/>
  <c r="D16925" i="1"/>
  <c r="E16925" i="1"/>
  <c r="C16926" i="1"/>
  <c r="D16926" i="1"/>
  <c r="E16926" i="1"/>
  <c r="C16927" i="1"/>
  <c r="D16927" i="1"/>
  <c r="E16927" i="1"/>
  <c r="C16928" i="1"/>
  <c r="D16928" i="1"/>
  <c r="E16928" i="1"/>
  <c r="C16929" i="1"/>
  <c r="D16929" i="1"/>
  <c r="E16929" i="1"/>
  <c r="C16930" i="1"/>
  <c r="D16930" i="1"/>
  <c r="E16930" i="1"/>
  <c r="C16931" i="1"/>
  <c r="D16931" i="1"/>
  <c r="E16931" i="1"/>
  <c r="C16932" i="1"/>
  <c r="D16932" i="1"/>
  <c r="E16932" i="1"/>
  <c r="C16933" i="1"/>
  <c r="D16933" i="1"/>
  <c r="E16933" i="1"/>
  <c r="C16934" i="1"/>
  <c r="D16934" i="1"/>
  <c r="E16934" i="1"/>
  <c r="C16935" i="1"/>
  <c r="D16935" i="1"/>
  <c r="E16935" i="1"/>
  <c r="C16936" i="1"/>
  <c r="D16936" i="1"/>
  <c r="E16936" i="1"/>
  <c r="C16937" i="1"/>
  <c r="D16937" i="1"/>
  <c r="E16937" i="1"/>
  <c r="C16938" i="1"/>
  <c r="D16938" i="1"/>
  <c r="E16938" i="1"/>
  <c r="C16939" i="1"/>
  <c r="D16939" i="1"/>
  <c r="E16939" i="1"/>
  <c r="C16940" i="1"/>
  <c r="D16940" i="1"/>
  <c r="E16940" i="1"/>
  <c r="C16941" i="1"/>
  <c r="D16941" i="1"/>
  <c r="E16941" i="1"/>
  <c r="C16942" i="1"/>
  <c r="D16942" i="1"/>
  <c r="E16942" i="1"/>
  <c r="C16943" i="1"/>
  <c r="D16943" i="1"/>
  <c r="E16943" i="1"/>
  <c r="C16944" i="1"/>
  <c r="D16944" i="1"/>
  <c r="E16944" i="1"/>
  <c r="C16945" i="1"/>
  <c r="D16945" i="1"/>
  <c r="E16945" i="1"/>
  <c r="C16946" i="1"/>
  <c r="D16946" i="1"/>
  <c r="E16946" i="1"/>
  <c r="C16947" i="1"/>
  <c r="D16947" i="1"/>
  <c r="E16947" i="1"/>
  <c r="C16948" i="1"/>
  <c r="D16948" i="1"/>
  <c r="E16948" i="1"/>
  <c r="C16949" i="1"/>
  <c r="D16949" i="1"/>
  <c r="E16949" i="1"/>
  <c r="C16950" i="1"/>
  <c r="D16950" i="1"/>
  <c r="E16950" i="1"/>
  <c r="C16951" i="1"/>
  <c r="D16951" i="1"/>
  <c r="E16951" i="1"/>
  <c r="C16952" i="1"/>
  <c r="D16952" i="1"/>
  <c r="E16952" i="1"/>
  <c r="C16953" i="1"/>
  <c r="D16953" i="1"/>
  <c r="E16953" i="1"/>
  <c r="C16954" i="1"/>
  <c r="D16954" i="1"/>
  <c r="E16954" i="1"/>
  <c r="C16955" i="1"/>
  <c r="D16955" i="1"/>
  <c r="E16955" i="1"/>
  <c r="C16956" i="1"/>
  <c r="D16956" i="1"/>
  <c r="E16956" i="1"/>
  <c r="C16957" i="1"/>
  <c r="D16957" i="1"/>
  <c r="E16957" i="1"/>
  <c r="C16958" i="1"/>
  <c r="D16958" i="1"/>
  <c r="E16958" i="1"/>
  <c r="C16959" i="1"/>
  <c r="D16959" i="1"/>
  <c r="E16959" i="1"/>
  <c r="C16960" i="1"/>
  <c r="D16960" i="1"/>
  <c r="E16960" i="1"/>
  <c r="C16961" i="1"/>
  <c r="D16961" i="1"/>
  <c r="E16961" i="1"/>
  <c r="C16962" i="1"/>
  <c r="D16962" i="1"/>
  <c r="E16962" i="1"/>
  <c r="C16963" i="1"/>
  <c r="D16963" i="1"/>
  <c r="E16963" i="1"/>
  <c r="C16964" i="1"/>
  <c r="D16964" i="1"/>
  <c r="E16964" i="1"/>
  <c r="C16965" i="1"/>
  <c r="D16965" i="1"/>
  <c r="E16965" i="1"/>
  <c r="C16966" i="1"/>
  <c r="D16966" i="1"/>
  <c r="E16966" i="1"/>
  <c r="C16967" i="1"/>
  <c r="D16967" i="1"/>
  <c r="E16967" i="1"/>
  <c r="C16968" i="1"/>
  <c r="D16968" i="1"/>
  <c r="E16968" i="1"/>
  <c r="C16969" i="1"/>
  <c r="D16969" i="1"/>
  <c r="E16969" i="1"/>
  <c r="C16970" i="1"/>
  <c r="D16970" i="1"/>
  <c r="E16970" i="1"/>
  <c r="C16971" i="1"/>
  <c r="D16971" i="1"/>
  <c r="E16971" i="1"/>
  <c r="C16972" i="1"/>
  <c r="D16972" i="1"/>
  <c r="E16972" i="1"/>
  <c r="C16973" i="1"/>
  <c r="D16973" i="1"/>
  <c r="E16973" i="1"/>
  <c r="C16974" i="1"/>
  <c r="D16974" i="1"/>
  <c r="E16974" i="1"/>
  <c r="C16975" i="1"/>
  <c r="D16975" i="1"/>
  <c r="E16975" i="1"/>
  <c r="C16976" i="1"/>
  <c r="D16976" i="1"/>
  <c r="E16976" i="1"/>
  <c r="C16977" i="1"/>
  <c r="D16977" i="1"/>
  <c r="E16977" i="1"/>
  <c r="C16978" i="1"/>
  <c r="D16978" i="1"/>
  <c r="E16978" i="1"/>
  <c r="C16979" i="1"/>
  <c r="D16979" i="1"/>
  <c r="E16979" i="1"/>
  <c r="C16980" i="1"/>
  <c r="D16980" i="1"/>
  <c r="E16980" i="1"/>
  <c r="C16981" i="1"/>
  <c r="D16981" i="1"/>
  <c r="E16981" i="1"/>
  <c r="C16982" i="1"/>
  <c r="D16982" i="1"/>
  <c r="E16982" i="1"/>
  <c r="C16983" i="1"/>
  <c r="D16983" i="1"/>
  <c r="E16983" i="1"/>
  <c r="C16984" i="1"/>
  <c r="D16984" i="1"/>
  <c r="E16984" i="1"/>
  <c r="C16985" i="1"/>
  <c r="D16985" i="1"/>
  <c r="E16985" i="1"/>
  <c r="C16986" i="1"/>
  <c r="D16986" i="1"/>
  <c r="E16986" i="1"/>
  <c r="C16987" i="1"/>
  <c r="D16987" i="1"/>
  <c r="E16987" i="1"/>
  <c r="C16988" i="1"/>
  <c r="D16988" i="1"/>
  <c r="E16988" i="1"/>
  <c r="C16989" i="1"/>
  <c r="D16989" i="1"/>
  <c r="E16989" i="1"/>
  <c r="C16990" i="1"/>
  <c r="D16990" i="1"/>
  <c r="E16990" i="1"/>
  <c r="C16991" i="1"/>
  <c r="D16991" i="1"/>
  <c r="E16991" i="1"/>
  <c r="C16992" i="1"/>
  <c r="D16992" i="1"/>
  <c r="E16992" i="1"/>
  <c r="C16993" i="1"/>
  <c r="D16993" i="1"/>
  <c r="E16993" i="1"/>
  <c r="C16994" i="1"/>
  <c r="D16994" i="1"/>
  <c r="E16994" i="1"/>
  <c r="C16995" i="1"/>
  <c r="D16995" i="1"/>
  <c r="E16995" i="1"/>
  <c r="C16996" i="1"/>
  <c r="D16996" i="1"/>
  <c r="E16996" i="1"/>
  <c r="C16997" i="1"/>
  <c r="D16997" i="1"/>
  <c r="E16997" i="1"/>
  <c r="C16998" i="1"/>
  <c r="D16998" i="1"/>
  <c r="E16998" i="1"/>
  <c r="C16999" i="1"/>
  <c r="D16999" i="1"/>
  <c r="E16999" i="1"/>
  <c r="C17000" i="1"/>
  <c r="D17000" i="1"/>
  <c r="E17000" i="1"/>
  <c r="C17001" i="1"/>
  <c r="D17001" i="1"/>
  <c r="E17001" i="1"/>
  <c r="C17002" i="1"/>
  <c r="D17002" i="1"/>
  <c r="E17002" i="1"/>
  <c r="C17003" i="1"/>
  <c r="D17003" i="1"/>
  <c r="E17003" i="1"/>
  <c r="C17004" i="1"/>
  <c r="D17004" i="1"/>
  <c r="E17004" i="1"/>
  <c r="C17005" i="1"/>
  <c r="D17005" i="1"/>
  <c r="E17005" i="1"/>
  <c r="C17006" i="1"/>
  <c r="D17006" i="1"/>
  <c r="E17006" i="1"/>
  <c r="C17007" i="1"/>
  <c r="D17007" i="1"/>
  <c r="E17007" i="1"/>
  <c r="C17008" i="1"/>
  <c r="D17008" i="1"/>
  <c r="E17008" i="1"/>
  <c r="C17009" i="1"/>
  <c r="D17009" i="1"/>
  <c r="E17009" i="1"/>
  <c r="C17010" i="1"/>
  <c r="D17010" i="1"/>
  <c r="E17010" i="1"/>
  <c r="C17011" i="1"/>
  <c r="D17011" i="1"/>
  <c r="E17011" i="1"/>
  <c r="C17012" i="1"/>
  <c r="D17012" i="1"/>
  <c r="E17012" i="1"/>
  <c r="C17013" i="1"/>
  <c r="D17013" i="1"/>
  <c r="E17013" i="1"/>
  <c r="C17014" i="1"/>
  <c r="D17014" i="1"/>
  <c r="E17014" i="1"/>
  <c r="C17015" i="1"/>
  <c r="D17015" i="1"/>
  <c r="E17015" i="1"/>
  <c r="C17016" i="1"/>
  <c r="D17016" i="1"/>
  <c r="E17016" i="1"/>
  <c r="C17017" i="1"/>
  <c r="D17017" i="1"/>
  <c r="E17017" i="1"/>
  <c r="C17018" i="1"/>
  <c r="D17018" i="1"/>
  <c r="E17018" i="1"/>
  <c r="C17019" i="1"/>
  <c r="D17019" i="1"/>
  <c r="E17019" i="1"/>
  <c r="C17020" i="1"/>
  <c r="D17020" i="1"/>
  <c r="E17020" i="1"/>
  <c r="C17021" i="1"/>
  <c r="D17021" i="1"/>
  <c r="E17021" i="1"/>
  <c r="C17022" i="1"/>
  <c r="D17022" i="1"/>
  <c r="E17022" i="1"/>
  <c r="C17023" i="1"/>
  <c r="D17023" i="1"/>
  <c r="E17023" i="1"/>
  <c r="C17024" i="1"/>
  <c r="D17024" i="1"/>
  <c r="E17024" i="1"/>
  <c r="C17025" i="1"/>
  <c r="D17025" i="1"/>
  <c r="E17025" i="1"/>
  <c r="C17026" i="1"/>
  <c r="D17026" i="1"/>
  <c r="E17026" i="1"/>
  <c r="C17027" i="1"/>
  <c r="D17027" i="1"/>
  <c r="E17027" i="1"/>
  <c r="C17028" i="1"/>
  <c r="D17028" i="1"/>
  <c r="E17028" i="1"/>
  <c r="C17029" i="1"/>
  <c r="D17029" i="1"/>
  <c r="E17029" i="1"/>
  <c r="C17030" i="1"/>
  <c r="D17030" i="1"/>
  <c r="E17030" i="1"/>
  <c r="C17031" i="1"/>
  <c r="D17031" i="1"/>
  <c r="E17031" i="1"/>
  <c r="C17032" i="1"/>
  <c r="D17032" i="1"/>
  <c r="E17032" i="1"/>
  <c r="C17033" i="1"/>
  <c r="D17033" i="1"/>
  <c r="E17033" i="1"/>
  <c r="C17034" i="1"/>
  <c r="D17034" i="1"/>
  <c r="E17034" i="1"/>
  <c r="C17035" i="1"/>
  <c r="D17035" i="1"/>
  <c r="E17035" i="1"/>
  <c r="C17036" i="1"/>
  <c r="D17036" i="1"/>
  <c r="E17036" i="1"/>
  <c r="C17037" i="1"/>
  <c r="D17037" i="1"/>
  <c r="E17037" i="1"/>
  <c r="C17038" i="1"/>
  <c r="D17038" i="1"/>
  <c r="E17038" i="1"/>
  <c r="C17039" i="1"/>
  <c r="D17039" i="1"/>
  <c r="E17039" i="1"/>
  <c r="C17040" i="1"/>
  <c r="D17040" i="1"/>
  <c r="E17040" i="1"/>
  <c r="C17041" i="1"/>
  <c r="D17041" i="1"/>
  <c r="E17041" i="1"/>
  <c r="C17042" i="1"/>
  <c r="D17042" i="1"/>
  <c r="E17042" i="1"/>
  <c r="C17043" i="1"/>
  <c r="D17043" i="1"/>
  <c r="E17043" i="1"/>
  <c r="C17044" i="1"/>
  <c r="D17044" i="1"/>
  <c r="E17044" i="1"/>
  <c r="C17045" i="1"/>
  <c r="D17045" i="1"/>
  <c r="E17045" i="1"/>
  <c r="C17046" i="1"/>
  <c r="D17046" i="1"/>
  <c r="E17046" i="1"/>
  <c r="C17047" i="1"/>
  <c r="D17047" i="1"/>
  <c r="E17047" i="1"/>
  <c r="C17048" i="1"/>
  <c r="D17048" i="1"/>
  <c r="E17048" i="1"/>
  <c r="C17049" i="1"/>
  <c r="D17049" i="1"/>
  <c r="E17049" i="1"/>
  <c r="C17050" i="1"/>
  <c r="D17050" i="1"/>
  <c r="E17050" i="1"/>
  <c r="C17051" i="1"/>
  <c r="D17051" i="1"/>
  <c r="E17051" i="1"/>
  <c r="C17052" i="1"/>
  <c r="D17052" i="1"/>
  <c r="E17052" i="1"/>
  <c r="C17053" i="1"/>
  <c r="D17053" i="1"/>
  <c r="E17053" i="1"/>
  <c r="C17054" i="1"/>
  <c r="D17054" i="1"/>
  <c r="E17054" i="1"/>
  <c r="C17055" i="1"/>
  <c r="D17055" i="1"/>
  <c r="E17055" i="1"/>
  <c r="C17056" i="1"/>
  <c r="D17056" i="1"/>
  <c r="E17056" i="1"/>
  <c r="C17057" i="1"/>
  <c r="D17057" i="1"/>
  <c r="E17057" i="1"/>
  <c r="C17058" i="1"/>
  <c r="D17058" i="1"/>
  <c r="E17058" i="1"/>
  <c r="C17059" i="1"/>
  <c r="D17059" i="1"/>
  <c r="E17059" i="1"/>
  <c r="C17060" i="1"/>
  <c r="D17060" i="1"/>
  <c r="E17060" i="1"/>
  <c r="C17061" i="1"/>
  <c r="D17061" i="1"/>
  <c r="E17061" i="1"/>
  <c r="C17062" i="1"/>
  <c r="D17062" i="1"/>
  <c r="E17062" i="1"/>
  <c r="C17063" i="1"/>
  <c r="D17063" i="1"/>
  <c r="E17063" i="1"/>
  <c r="C17064" i="1"/>
  <c r="D17064" i="1"/>
  <c r="E17064" i="1"/>
  <c r="C17065" i="1"/>
  <c r="D17065" i="1"/>
  <c r="E17065" i="1"/>
  <c r="C17066" i="1"/>
  <c r="D17066" i="1"/>
  <c r="E17066" i="1"/>
  <c r="C17067" i="1"/>
  <c r="D17067" i="1"/>
  <c r="E17067" i="1"/>
  <c r="C17068" i="1"/>
  <c r="D17068" i="1"/>
  <c r="E17068" i="1"/>
</calcChain>
</file>

<file path=xl/sharedStrings.xml><?xml version="1.0" encoding="utf-8"?>
<sst xmlns="http://schemas.openxmlformats.org/spreadsheetml/2006/main" count="34195" uniqueCount="28484">
  <si>
    <t>Probe set ID</t>
  </si>
  <si>
    <t>Gene Symbol</t>
  </si>
  <si>
    <t>Link</t>
  </si>
  <si>
    <t>ANOVA P-value</t>
  </si>
  <si>
    <t>ANOVA Q-value (corrected)</t>
  </si>
  <si>
    <t>E2A/HD</t>
  </si>
  <si>
    <t>p-val</t>
  </si>
  <si>
    <t>E2A/TEL</t>
  </si>
  <si>
    <t>HD/TEL</t>
  </si>
  <si>
    <t>212148_at</t>
  </si>
  <si>
    <t>PBX1</t>
  </si>
  <si>
    <t>212151_at</t>
  </si>
  <si>
    <t>203373_at</t>
  </si>
  <si>
    <t>SOCS2</t>
  </si>
  <si>
    <t>219686_at</t>
  </si>
  <si>
    <t>STK32B</t>
  </si>
  <si>
    <t>44790_s_at</t>
  </si>
  <si>
    <t>C13orf18</t>
  </si>
  <si>
    <t>221529_s_at</t>
  </si>
  <si>
    <t>PLVAP</t>
  </si>
  <si>
    <t>206181_at</t>
  </si>
  <si>
    <t>SLAMF1</t>
  </si>
  <si>
    <t>215726_s_at</t>
  </si>
  <si>
    <t>CYB5A</t>
  </si>
  <si>
    <t>204859_s_at</t>
  </si>
  <si>
    <t>APAF1</t>
  </si>
  <si>
    <t>218322_s_at</t>
  </si>
  <si>
    <t>ACSL5</t>
  </si>
  <si>
    <t>219471_at</t>
  </si>
  <si>
    <t>202671_s_at</t>
  </si>
  <si>
    <t>PDXK</t>
  </si>
  <si>
    <t>215933_s_at</t>
  </si>
  <si>
    <t>HHEX</t>
  </si>
  <si>
    <t>203038_at</t>
  </si>
  <si>
    <t>PTPRK</t>
  </si>
  <si>
    <t>212692_s_at</t>
  </si>
  <si>
    <t>LRBA</t>
  </si>
  <si>
    <t>200953_s_at</t>
  </si>
  <si>
    <t>CCND2</t>
  </si>
  <si>
    <t>203710_at</t>
  </si>
  <si>
    <t>ITPR1</t>
  </si>
  <si>
    <t>203790_s_at</t>
  </si>
  <si>
    <t>HRSP12</t>
  </si>
  <si>
    <t>205548_s_at</t>
  </si>
  <si>
    <t>BTG3</t>
  </si>
  <si>
    <t>209312_x_at</t>
  </si>
  <si>
    <t>HLA-DRB1 /// HLA-DRB4 /// HLA-DRB5</t>
  </si>
  <si>
    <t>218375_at</t>
  </si>
  <si>
    <t>NUDT9</t>
  </si>
  <si>
    <t>219038_at</t>
  </si>
  <si>
    <t>MORC4</t>
  </si>
  <si>
    <t>219155_at</t>
  </si>
  <si>
    <t>PITPNC1</t>
  </si>
  <si>
    <t>219317_at</t>
  </si>
  <si>
    <t>POLI</t>
  </si>
  <si>
    <t>220230_s_at</t>
  </si>
  <si>
    <t>CYB5R2</t>
  </si>
  <si>
    <t>220560_at</t>
  </si>
  <si>
    <t>C11orf21</t>
  </si>
  <si>
    <t>202479_s_at</t>
  </si>
  <si>
    <t>TRIB2</t>
  </si>
  <si>
    <t>208002_s_at</t>
  </si>
  <si>
    <t>ACOT7</t>
  </si>
  <si>
    <t>205584_at</t>
  </si>
  <si>
    <t>ALG13</t>
  </si>
  <si>
    <t>217968_at</t>
  </si>
  <si>
    <t>TSSC1</t>
  </si>
  <si>
    <t>218035_s_at</t>
  </si>
  <si>
    <t>RBM47</t>
  </si>
  <si>
    <t>208636_at</t>
  </si>
  <si>
    <t>ACTN1</t>
  </si>
  <si>
    <t>200600_at</t>
  </si>
  <si>
    <t>MSN</t>
  </si>
  <si>
    <t>206404_at</t>
  </si>
  <si>
    <t>FGF9</t>
  </si>
  <si>
    <t>213134_x_at</t>
  </si>
  <si>
    <t>212169_at</t>
  </si>
  <si>
    <t>FKBP9</t>
  </si>
  <si>
    <t>219489_s_at</t>
  </si>
  <si>
    <t>NXN</t>
  </si>
  <si>
    <t>219644_at</t>
  </si>
  <si>
    <t>CCDC41</t>
  </si>
  <si>
    <t>201005_at</t>
  </si>
  <si>
    <t>CD9</t>
  </si>
  <si>
    <t>204114_at</t>
  </si>
  <si>
    <t>NID2</t>
  </si>
  <si>
    <t>204562_at</t>
  </si>
  <si>
    <t>IRF4</t>
  </si>
  <si>
    <t>221021_s_at</t>
  </si>
  <si>
    <t>CTNNBL1</t>
  </si>
  <si>
    <t>209397_at</t>
  </si>
  <si>
    <t>ME2</t>
  </si>
  <si>
    <t>202732_at</t>
  </si>
  <si>
    <t>PKIG</t>
  </si>
  <si>
    <t>213005_s_at</t>
  </si>
  <si>
    <t>KANK1</t>
  </si>
  <si>
    <t>211576_s_at</t>
  </si>
  <si>
    <t>SLC19A1</t>
  </si>
  <si>
    <t>201189_s_at</t>
  </si>
  <si>
    <t>ITPR3</t>
  </si>
  <si>
    <t>212846_at</t>
  </si>
  <si>
    <t>RRP1B</t>
  </si>
  <si>
    <t>202242_at</t>
  </si>
  <si>
    <t>TSPAN7</t>
  </si>
  <si>
    <t>203300_x_at</t>
  </si>
  <si>
    <t>AP1S2</t>
  </si>
  <si>
    <t>204304_s_at</t>
  </si>
  <si>
    <t>PROM1</t>
  </si>
  <si>
    <t>206506_s_at</t>
  </si>
  <si>
    <t>SUPT3H</t>
  </si>
  <si>
    <t>201579_at</t>
  </si>
  <si>
    <t>FAT1</t>
  </si>
  <si>
    <t>202419_at</t>
  </si>
  <si>
    <t>KDSR</t>
  </si>
  <si>
    <t>205001_s_at</t>
  </si>
  <si>
    <t>DDX3Y</t>
  </si>
  <si>
    <t>205253_at</t>
  </si>
  <si>
    <t>212602_at</t>
  </si>
  <si>
    <t>WDFY3</t>
  </si>
  <si>
    <t>38340_at</t>
  </si>
  <si>
    <t>HIP1R /// LOC100294412</t>
  </si>
  <si>
    <t>206492_at</t>
  </si>
  <si>
    <t>FHIT</t>
  </si>
  <si>
    <t>204446_s_at</t>
  </si>
  <si>
    <t>ALOX5</t>
  </si>
  <si>
    <t>209669_s_at</t>
  </si>
  <si>
    <t>SERBP1</t>
  </si>
  <si>
    <t>212038_s_at</t>
  </si>
  <si>
    <t>VDAC1</t>
  </si>
  <si>
    <t>212460_at</t>
  </si>
  <si>
    <t>C14orf147</t>
  </si>
  <si>
    <t>217140_s_at</t>
  </si>
  <si>
    <t>217184_s_at</t>
  </si>
  <si>
    <t>LTK</t>
  </si>
  <si>
    <t>215193_x_at</t>
  </si>
  <si>
    <t>HLA-DRB1 /// HLA-DRB3 /// HLA-DRB4</t>
  </si>
  <si>
    <t>202562_s_at</t>
  </si>
  <si>
    <t>C14orf1</t>
  </si>
  <si>
    <t>213358_at</t>
  </si>
  <si>
    <t>KIAA0802</t>
  </si>
  <si>
    <t>214086_s_at</t>
  </si>
  <si>
    <t>PARP2</t>
  </si>
  <si>
    <t>209326_at</t>
  </si>
  <si>
    <t>SLC35A2</t>
  </si>
  <si>
    <t>214109_at</t>
  </si>
  <si>
    <t>202421_at</t>
  </si>
  <si>
    <t>IGSF3</t>
  </si>
  <si>
    <t>218625_at</t>
  </si>
  <si>
    <t>NRN1</t>
  </si>
  <si>
    <t>202796_at</t>
  </si>
  <si>
    <t>SYNPO</t>
  </si>
  <si>
    <t>218627_at</t>
  </si>
  <si>
    <t>DRAM1</t>
  </si>
  <si>
    <t>201695_s_at</t>
  </si>
  <si>
    <t>NP</t>
  </si>
  <si>
    <t>219753_at</t>
  </si>
  <si>
    <t>STAG3</t>
  </si>
  <si>
    <t>204689_at</t>
  </si>
  <si>
    <t>201563_at</t>
  </si>
  <si>
    <t>SORD</t>
  </si>
  <si>
    <t>220459_at</t>
  </si>
  <si>
    <t>MCM3APAS</t>
  </si>
  <si>
    <t>221349_at</t>
  </si>
  <si>
    <t>VPREB1</t>
  </si>
  <si>
    <t>204881_s_at</t>
  </si>
  <si>
    <t>UGCG</t>
  </si>
  <si>
    <t>206231_at</t>
  </si>
  <si>
    <t>KCNN1</t>
  </si>
  <si>
    <t>208981_at</t>
  </si>
  <si>
    <t>PECAM1</t>
  </si>
  <si>
    <t>208358_s_at</t>
  </si>
  <si>
    <t>UGT8</t>
  </si>
  <si>
    <t>209558_s_at</t>
  </si>
  <si>
    <t>213136_at</t>
  </si>
  <si>
    <t>PTPN2</t>
  </si>
  <si>
    <t>218793_s_at</t>
  </si>
  <si>
    <t>SCML1</t>
  </si>
  <si>
    <t>212110_at</t>
  </si>
  <si>
    <t>SLC39A14</t>
  </si>
  <si>
    <t>203335_at</t>
  </si>
  <si>
    <t>PHYH</t>
  </si>
  <si>
    <t>218346_s_at</t>
  </si>
  <si>
    <t>SESN1</t>
  </si>
  <si>
    <t>208407_s_at</t>
  </si>
  <si>
    <t>CTNND1</t>
  </si>
  <si>
    <t>200670_at</t>
  </si>
  <si>
    <t>XBP1</t>
  </si>
  <si>
    <t>214265_at</t>
  </si>
  <si>
    <t>ITGA8</t>
  </si>
  <si>
    <t>213064_at</t>
  </si>
  <si>
    <t>ZC3H14</t>
  </si>
  <si>
    <t>200890_s_at</t>
  </si>
  <si>
    <t>SSR1</t>
  </si>
  <si>
    <t>211302_s_at</t>
  </si>
  <si>
    <t>PDE4B</t>
  </si>
  <si>
    <t>203299_s_at</t>
  </si>
  <si>
    <t>213537_at</t>
  </si>
  <si>
    <t>HLA-DPA1</t>
  </si>
  <si>
    <t>221748_s_at</t>
  </si>
  <si>
    <t>TNS1</t>
  </si>
  <si>
    <t>212352_s_at</t>
  </si>
  <si>
    <t>TMED10</t>
  </si>
  <si>
    <t>212638_s_at</t>
  </si>
  <si>
    <t>WWP1</t>
  </si>
  <si>
    <t>201791_s_at</t>
  </si>
  <si>
    <t>DHCR7</t>
  </si>
  <si>
    <t>39402_at</t>
  </si>
  <si>
    <t>IL1B</t>
  </si>
  <si>
    <t>203999_at</t>
  </si>
  <si>
    <t>SYT1</t>
  </si>
  <si>
    <t>218864_at</t>
  </si>
  <si>
    <t>220451_s_at</t>
  </si>
  <si>
    <t>BIRC7</t>
  </si>
  <si>
    <t>220999_s_at</t>
  </si>
  <si>
    <t>CYFIP2</t>
  </si>
  <si>
    <t>219752_at</t>
  </si>
  <si>
    <t>RASAL1</t>
  </si>
  <si>
    <t>203445_s_at</t>
  </si>
  <si>
    <t>CTDSP2</t>
  </si>
  <si>
    <t>206147_x_at</t>
  </si>
  <si>
    <t>SCML2</t>
  </si>
  <si>
    <t>211323_s_at</t>
  </si>
  <si>
    <t>35846_at</t>
  </si>
  <si>
    <t>THRA</t>
  </si>
  <si>
    <t>201792_at</t>
  </si>
  <si>
    <t>AEBP1</t>
  </si>
  <si>
    <t>202208_s_at</t>
  </si>
  <si>
    <t>ARL4C</t>
  </si>
  <si>
    <t>202984_s_at</t>
  </si>
  <si>
    <t>BAG5</t>
  </si>
  <si>
    <t>204044_at</t>
  </si>
  <si>
    <t>QPRT</t>
  </si>
  <si>
    <t>204257_at</t>
  </si>
  <si>
    <t>FADS3</t>
  </si>
  <si>
    <t>205109_s_at</t>
  </si>
  <si>
    <t>ARHGEF4</t>
  </si>
  <si>
    <t>210059_s_at</t>
  </si>
  <si>
    <t>MAPK13</t>
  </si>
  <si>
    <t>212558_at</t>
  </si>
  <si>
    <t>SPRY1</t>
  </si>
  <si>
    <t>213909_at</t>
  </si>
  <si>
    <t>LRRC15</t>
  </si>
  <si>
    <t>219866_at</t>
  </si>
  <si>
    <t>CLIC5</t>
  </si>
  <si>
    <t>221844_x_at</t>
  </si>
  <si>
    <t>SPCS3</t>
  </si>
  <si>
    <t>213947_s_at</t>
  </si>
  <si>
    <t>NUP210</t>
  </si>
  <si>
    <t>204849_at</t>
  </si>
  <si>
    <t>TCFL5</t>
  </si>
  <si>
    <t>209628_at</t>
  </si>
  <si>
    <t>NXT2</t>
  </si>
  <si>
    <t>46665_at</t>
  </si>
  <si>
    <t>SEMA4C</t>
  </si>
  <si>
    <t>201769_at</t>
  </si>
  <si>
    <t>CLINT1</t>
  </si>
  <si>
    <t>203554_x_at</t>
  </si>
  <si>
    <t>PTTG1</t>
  </si>
  <si>
    <t>209476_at</t>
  </si>
  <si>
    <t>TMX1</t>
  </si>
  <si>
    <t>202878_s_at</t>
  </si>
  <si>
    <t>CD93</t>
  </si>
  <si>
    <t>202085_at</t>
  </si>
  <si>
    <t>TJP2</t>
  </si>
  <si>
    <t>218967_s_at</t>
  </si>
  <si>
    <t>PTER</t>
  </si>
  <si>
    <t>201443_s_at</t>
  </si>
  <si>
    <t>ATP6AP2</t>
  </si>
  <si>
    <t>201810_s_at</t>
  </si>
  <si>
    <t>SH3BP5</t>
  </si>
  <si>
    <t>202481_at</t>
  </si>
  <si>
    <t>DHRS3</t>
  </si>
  <si>
    <t>206700_s_at</t>
  </si>
  <si>
    <t>KDM5D</t>
  </si>
  <si>
    <t>213817_at</t>
  </si>
  <si>
    <t>IRAK3</t>
  </si>
  <si>
    <t>212158_at</t>
  </si>
  <si>
    <t>SDC2</t>
  </si>
  <si>
    <t>221039_s_at</t>
  </si>
  <si>
    <t>ASAP1</t>
  </si>
  <si>
    <t>204301_at</t>
  </si>
  <si>
    <t>KBTBD11</t>
  </si>
  <si>
    <t>203940_s_at</t>
  </si>
  <si>
    <t>VASH1</t>
  </si>
  <si>
    <t>201724_s_at</t>
  </si>
  <si>
    <t>GALNT1</t>
  </si>
  <si>
    <t>220155_s_at</t>
  </si>
  <si>
    <t>BRD9</t>
  </si>
  <si>
    <t>221760_at</t>
  </si>
  <si>
    <t>MAN1A1</t>
  </si>
  <si>
    <t>202345_s_at</t>
  </si>
  <si>
    <t>FABP5</t>
  </si>
  <si>
    <t>204993_at</t>
  </si>
  <si>
    <t>GNAZ</t>
  </si>
  <si>
    <t>209695_at</t>
  </si>
  <si>
    <t>PTP4A3</t>
  </si>
  <si>
    <t>210785_s_at</t>
  </si>
  <si>
    <t>C1orf38</t>
  </si>
  <si>
    <t>210993_s_at</t>
  </si>
  <si>
    <t>SMAD1</t>
  </si>
  <si>
    <t>213129_s_at</t>
  </si>
  <si>
    <t>GCSH</t>
  </si>
  <si>
    <t>220389_at</t>
  </si>
  <si>
    <t>CCDC81</t>
  </si>
  <si>
    <t>200995_at</t>
  </si>
  <si>
    <t>IPO7</t>
  </si>
  <si>
    <t>205000_at</t>
  </si>
  <si>
    <t>219271_at</t>
  </si>
  <si>
    <t>GALNT14</t>
  </si>
  <si>
    <t>200951_s_at</t>
  </si>
  <si>
    <t>208788_at</t>
  </si>
  <si>
    <t>ELOVL5</t>
  </si>
  <si>
    <t>218589_at</t>
  </si>
  <si>
    <t>LPAR6</t>
  </si>
  <si>
    <t>221014_s_at</t>
  </si>
  <si>
    <t>RAB33B</t>
  </si>
  <si>
    <t>221689_s_at</t>
  </si>
  <si>
    <t>PIGP</t>
  </si>
  <si>
    <t>213838_at</t>
  </si>
  <si>
    <t>NOL7</t>
  </si>
  <si>
    <t>44654_at</t>
  </si>
  <si>
    <t>G6PC3</t>
  </si>
  <si>
    <t>203557_s_at</t>
  </si>
  <si>
    <t>PCBD1</t>
  </si>
  <si>
    <t>219737_s_at</t>
  </si>
  <si>
    <t>PCDH9</t>
  </si>
  <si>
    <t>221747_at</t>
  </si>
  <si>
    <t>212504_at</t>
  </si>
  <si>
    <t>DIP2C</t>
  </si>
  <si>
    <t>219161_s_at</t>
  </si>
  <si>
    <t>CKLF</t>
  </si>
  <si>
    <t>204438_at</t>
  </si>
  <si>
    <t>MRC1 /// MRC1L1</t>
  </si>
  <si>
    <t>209679_s_at</t>
  </si>
  <si>
    <t>SMAGP</t>
  </si>
  <si>
    <t>203974_at</t>
  </si>
  <si>
    <t>HDHD1A</t>
  </si>
  <si>
    <t>204776_at</t>
  </si>
  <si>
    <t>THBS4</t>
  </si>
  <si>
    <t>208654_s_at</t>
  </si>
  <si>
    <t>CD164</t>
  </si>
  <si>
    <t>208802_at</t>
  </si>
  <si>
    <t>SRP72</t>
  </si>
  <si>
    <t>213122_at</t>
  </si>
  <si>
    <t>TSPYL5</t>
  </si>
  <si>
    <t>221588_x_at</t>
  </si>
  <si>
    <t>ALDH6A1</t>
  </si>
  <si>
    <t>207571_x_at</t>
  </si>
  <si>
    <t>217645_at</t>
  </si>
  <si>
    <t>COX16</t>
  </si>
  <si>
    <t>205755_at</t>
  </si>
  <si>
    <t>ITIH3</t>
  </si>
  <si>
    <t>217823_s_at</t>
  </si>
  <si>
    <t>UBE2J1</t>
  </si>
  <si>
    <t>201828_x_at</t>
  </si>
  <si>
    <t>FAM127A</t>
  </si>
  <si>
    <t>218499_at</t>
  </si>
  <si>
    <t>RP6-213H19.1</t>
  </si>
  <si>
    <t>213317_at</t>
  </si>
  <si>
    <t>35974_at</t>
  </si>
  <si>
    <t>LRMP</t>
  </si>
  <si>
    <t>204896_s_at</t>
  </si>
  <si>
    <t>PTGER4</t>
  </si>
  <si>
    <t>59644_at</t>
  </si>
  <si>
    <t>BMP2K</t>
  </si>
  <si>
    <t>205082_s_at</t>
  </si>
  <si>
    <t>AOX1</t>
  </si>
  <si>
    <t>205290_s_at</t>
  </si>
  <si>
    <t>BMP2</t>
  </si>
  <si>
    <t>203585_at</t>
  </si>
  <si>
    <t>ZNF185</t>
  </si>
  <si>
    <t>213792_s_at</t>
  </si>
  <si>
    <t>INSR</t>
  </si>
  <si>
    <t>205663_at</t>
  </si>
  <si>
    <t>PCBP3</t>
  </si>
  <si>
    <t>208644_at</t>
  </si>
  <si>
    <t>PARP1</t>
  </si>
  <si>
    <t>204202_at</t>
  </si>
  <si>
    <t>IQCE</t>
  </si>
  <si>
    <t>212418_at</t>
  </si>
  <si>
    <t>ELF1</t>
  </si>
  <si>
    <t>213463_s_at</t>
  </si>
  <si>
    <t>FAM149B1</t>
  </si>
  <si>
    <t>221523_s_at</t>
  </si>
  <si>
    <t>RRAGD</t>
  </si>
  <si>
    <t>200842_s_at</t>
  </si>
  <si>
    <t>EPRS</t>
  </si>
  <si>
    <t>200933_x_at</t>
  </si>
  <si>
    <t>RPS4X</t>
  </si>
  <si>
    <t>204674_at</t>
  </si>
  <si>
    <t>205067_at</t>
  </si>
  <si>
    <t>207564_x_at</t>
  </si>
  <si>
    <t>OGT</t>
  </si>
  <si>
    <t>216862_s_at</t>
  </si>
  <si>
    <t>MTCP1NB</t>
  </si>
  <si>
    <t>218529_at</t>
  </si>
  <si>
    <t>CD320</t>
  </si>
  <si>
    <t>220227_at</t>
  </si>
  <si>
    <t>CDH4</t>
  </si>
  <si>
    <t>221478_at</t>
  </si>
  <si>
    <t>BNIP3L</t>
  </si>
  <si>
    <t>212423_at</t>
  </si>
  <si>
    <t>ZCCHC24</t>
  </si>
  <si>
    <t>202741_at</t>
  </si>
  <si>
    <t>PRKACB</t>
  </si>
  <si>
    <t>213035_at</t>
  </si>
  <si>
    <t>ANKRD28</t>
  </si>
  <si>
    <t>205006_s_at</t>
  </si>
  <si>
    <t>NMT2</t>
  </si>
  <si>
    <t>204417_at</t>
  </si>
  <si>
    <t>GALC</t>
  </si>
  <si>
    <t>201811_x_at</t>
  </si>
  <si>
    <t>202838_at</t>
  </si>
  <si>
    <t>FUCA1</t>
  </si>
  <si>
    <t>212221_x_at</t>
  </si>
  <si>
    <t>IDS</t>
  </si>
  <si>
    <t>219860_at</t>
  </si>
  <si>
    <t>LY6G5C</t>
  </si>
  <si>
    <t>202861_at</t>
  </si>
  <si>
    <t>PER1</t>
  </si>
  <si>
    <t>207106_s_at</t>
  </si>
  <si>
    <t>213000_at</t>
  </si>
  <si>
    <t>MORC3</t>
  </si>
  <si>
    <t>218019_s_at</t>
  </si>
  <si>
    <t>212954_at</t>
  </si>
  <si>
    <t>DYRK4</t>
  </si>
  <si>
    <t>202641_at</t>
  </si>
  <si>
    <t>ARL3</t>
  </si>
  <si>
    <t>208857_s_at</t>
  </si>
  <si>
    <t>PCMT1</t>
  </si>
  <si>
    <t>200708_at</t>
  </si>
  <si>
    <t>GOT2</t>
  </si>
  <si>
    <t>205356_at</t>
  </si>
  <si>
    <t>USP13</t>
  </si>
  <si>
    <t>211043_s_at</t>
  </si>
  <si>
    <t>CLTB</t>
  </si>
  <si>
    <t>212486_s_at</t>
  </si>
  <si>
    <t>FYN</t>
  </si>
  <si>
    <t>213347_x_at</t>
  </si>
  <si>
    <t>212886_at</t>
  </si>
  <si>
    <t>CCDC69</t>
  </si>
  <si>
    <t>218503_at</t>
  </si>
  <si>
    <t>KIAA1797</t>
  </si>
  <si>
    <t>220968_s_at</t>
  </si>
  <si>
    <t>TSPAN9</t>
  </si>
  <si>
    <t>205540_s_at</t>
  </si>
  <si>
    <t>RRAGB</t>
  </si>
  <si>
    <t>210517_s_at</t>
  </si>
  <si>
    <t>AKAP12</t>
  </si>
  <si>
    <t>203708_at</t>
  </si>
  <si>
    <t>217775_s_at</t>
  </si>
  <si>
    <t>RDH11</t>
  </si>
  <si>
    <t>208680_at</t>
  </si>
  <si>
    <t>PRDX1</t>
  </si>
  <si>
    <t>219767_s_at</t>
  </si>
  <si>
    <t>CRYZL1</t>
  </si>
  <si>
    <t>205711_x_at</t>
  </si>
  <si>
    <t>ATP5C1</t>
  </si>
  <si>
    <t>206154_at</t>
  </si>
  <si>
    <t>RLBP1</t>
  </si>
  <si>
    <t>200699_at</t>
  </si>
  <si>
    <t>KDELR2</t>
  </si>
  <si>
    <t>204168_at</t>
  </si>
  <si>
    <t>MGST2</t>
  </si>
  <si>
    <t>212045_at</t>
  </si>
  <si>
    <t>GLG1</t>
  </si>
  <si>
    <t>208068_x_at</t>
  </si>
  <si>
    <t>CSH1 /// CSH2 /// CSHL1 /// GH1 /// GH2</t>
  </si>
  <si>
    <t>202842_s_at</t>
  </si>
  <si>
    <t>DNAJB9</t>
  </si>
  <si>
    <t>202119_s_at</t>
  </si>
  <si>
    <t>CPNE3</t>
  </si>
  <si>
    <t>204300_at</t>
  </si>
  <si>
    <t>PET112L</t>
  </si>
  <si>
    <t>202273_at</t>
  </si>
  <si>
    <t>PDGFRB</t>
  </si>
  <si>
    <t>203518_at</t>
  </si>
  <si>
    <t>LYST</t>
  </si>
  <si>
    <t>201009_s_at</t>
  </si>
  <si>
    <t>TXNIP</t>
  </si>
  <si>
    <t>203591_s_at</t>
  </si>
  <si>
    <t>CSF3R</t>
  </si>
  <si>
    <t>204299_at</t>
  </si>
  <si>
    <t>FUSIP1</t>
  </si>
  <si>
    <t>203431_s_at</t>
  </si>
  <si>
    <t>RICS</t>
  </si>
  <si>
    <t>210146_x_at</t>
  </si>
  <si>
    <t>LILRB2</t>
  </si>
  <si>
    <t>210058_at</t>
  </si>
  <si>
    <t>203865_s_at</t>
  </si>
  <si>
    <t>ADARB1</t>
  </si>
  <si>
    <t>208964_s_at</t>
  </si>
  <si>
    <t>FADS1</t>
  </si>
  <si>
    <t>202299_s_at</t>
  </si>
  <si>
    <t>HBXIP</t>
  </si>
  <si>
    <t>218594_at</t>
  </si>
  <si>
    <t>HEATR1</t>
  </si>
  <si>
    <t>201329_s_at</t>
  </si>
  <si>
    <t>ETS2</t>
  </si>
  <si>
    <t>202747_s_at</t>
  </si>
  <si>
    <t>ITM2A</t>
  </si>
  <si>
    <t>204030_s_at</t>
  </si>
  <si>
    <t>SCHIP1</t>
  </si>
  <si>
    <t>208614_s_at</t>
  </si>
  <si>
    <t>FLNB</t>
  </si>
  <si>
    <t>201989_s_at</t>
  </si>
  <si>
    <t>CREBL2</t>
  </si>
  <si>
    <t>210322_x_at</t>
  </si>
  <si>
    <t>UTY</t>
  </si>
  <si>
    <t>213427_at</t>
  </si>
  <si>
    <t>RPP40</t>
  </si>
  <si>
    <t>219165_at</t>
  </si>
  <si>
    <t>PDLIM2</t>
  </si>
  <si>
    <t>203814_s_at</t>
  </si>
  <si>
    <t>NQO2</t>
  </si>
  <si>
    <t>213508_at</t>
  </si>
  <si>
    <t>211341_at</t>
  </si>
  <si>
    <t>POU4F1</t>
  </si>
  <si>
    <t>222108_at</t>
  </si>
  <si>
    <t>AMIGO2</t>
  </si>
  <si>
    <t>200736_s_at</t>
  </si>
  <si>
    <t>GPX1</t>
  </si>
  <si>
    <t>216838_at</t>
  </si>
  <si>
    <t>LOC92249</t>
  </si>
  <si>
    <t>219546_at</t>
  </si>
  <si>
    <t>217905_at</t>
  </si>
  <si>
    <t>C10orf119</t>
  </si>
  <si>
    <t>205412_at</t>
  </si>
  <si>
    <t>ACAT1</t>
  </si>
  <si>
    <t>202447_at</t>
  </si>
  <si>
    <t>DECR1</t>
  </si>
  <si>
    <t>203126_at</t>
  </si>
  <si>
    <t>IMPA2</t>
  </si>
  <si>
    <t>209567_at</t>
  </si>
  <si>
    <t>RRS1</t>
  </si>
  <si>
    <t>212401_s_at</t>
  </si>
  <si>
    <t>CDC2L2</t>
  </si>
  <si>
    <t>204670_x_at</t>
  </si>
  <si>
    <t>HLA-DRB1 /// HLA-DRB4</t>
  </si>
  <si>
    <t>208716_s_at</t>
  </si>
  <si>
    <t>TMCO1</t>
  </si>
  <si>
    <t>216080_s_at</t>
  </si>
  <si>
    <t>218971_s_at</t>
  </si>
  <si>
    <t>WDR91</t>
  </si>
  <si>
    <t>212420_at</t>
  </si>
  <si>
    <t>221581_s_at</t>
  </si>
  <si>
    <t>LAT2</t>
  </si>
  <si>
    <t>201013_s_at</t>
  </si>
  <si>
    <t>PAICS</t>
  </si>
  <si>
    <t>205760_s_at</t>
  </si>
  <si>
    <t>OGG1</t>
  </si>
  <si>
    <t>212959_s_at</t>
  </si>
  <si>
    <t>GNPTAB</t>
  </si>
  <si>
    <t>220319_s_at</t>
  </si>
  <si>
    <t>MYLIP</t>
  </si>
  <si>
    <t>202981_x_at</t>
  </si>
  <si>
    <t>SIAH1</t>
  </si>
  <si>
    <t>204057_at</t>
  </si>
  <si>
    <t>IRF8</t>
  </si>
  <si>
    <t>217848_s_at</t>
  </si>
  <si>
    <t>PPA1</t>
  </si>
  <si>
    <t>218018_at</t>
  </si>
  <si>
    <t>201615_x_at</t>
  </si>
  <si>
    <t>CALD1</t>
  </si>
  <si>
    <t>202206_at</t>
  </si>
  <si>
    <t>205324_s_at</t>
  </si>
  <si>
    <t>FTSJ1</t>
  </si>
  <si>
    <t>208886_at</t>
  </si>
  <si>
    <t>H1F0</t>
  </si>
  <si>
    <t>218798_at</t>
  </si>
  <si>
    <t>KRI1</t>
  </si>
  <si>
    <t>219043_s_at</t>
  </si>
  <si>
    <t>LOC285359 /// PDCL3</t>
  </si>
  <si>
    <t>202478_at</t>
  </si>
  <si>
    <t>203516_at</t>
  </si>
  <si>
    <t>SNTA1</t>
  </si>
  <si>
    <t>218007_s_at</t>
  </si>
  <si>
    <t>RPS27L</t>
  </si>
  <si>
    <t>203427_at</t>
  </si>
  <si>
    <t>ASF1A</t>
  </si>
  <si>
    <t>204661_at</t>
  </si>
  <si>
    <t>CD52</t>
  </si>
  <si>
    <t>209481_at</t>
  </si>
  <si>
    <t>SNRK</t>
  </si>
  <si>
    <t>213218_at</t>
  </si>
  <si>
    <t>ZNF187</t>
  </si>
  <si>
    <t>218299_at</t>
  </si>
  <si>
    <t>C11orf24</t>
  </si>
  <si>
    <t>214749_s_at</t>
  </si>
  <si>
    <t>ARMCX6 /// LOC653354</t>
  </si>
  <si>
    <t>218163_at</t>
  </si>
  <si>
    <t>MCTS1</t>
  </si>
  <si>
    <t>201188_s_at</t>
  </si>
  <si>
    <t>212807_s_at</t>
  </si>
  <si>
    <t>SORT1</t>
  </si>
  <si>
    <t>213133_s_at</t>
  </si>
  <si>
    <t>214153_at</t>
  </si>
  <si>
    <t>218838_s_at</t>
  </si>
  <si>
    <t>TTC31</t>
  </si>
  <si>
    <t>208069_x_at</t>
  </si>
  <si>
    <t>209228_x_at</t>
  </si>
  <si>
    <t>TUSC3</t>
  </si>
  <si>
    <t>201980_s_at</t>
  </si>
  <si>
    <t>RSU1</t>
  </si>
  <si>
    <t>212390_at</t>
  </si>
  <si>
    <t>PDE4DIP</t>
  </si>
  <si>
    <t>221189_s_at</t>
  </si>
  <si>
    <t>TARS2</t>
  </si>
  <si>
    <t>221677_s_at</t>
  </si>
  <si>
    <t>ATP5O /// DONSON</t>
  </si>
  <si>
    <t>221756_at</t>
  </si>
  <si>
    <t>PIK3IP1</t>
  </si>
  <si>
    <t>201577_at</t>
  </si>
  <si>
    <t>NME1</t>
  </si>
  <si>
    <t>202968_s_at</t>
  </si>
  <si>
    <t>DYRK2</t>
  </si>
  <si>
    <t>203050_at</t>
  </si>
  <si>
    <t>TP53BP1</t>
  </si>
  <si>
    <t>215785_s_at</t>
  </si>
  <si>
    <t>205692_s_at</t>
  </si>
  <si>
    <t>CD38</t>
  </si>
  <si>
    <t>209302_at</t>
  </si>
  <si>
    <t>POLR2H</t>
  </si>
  <si>
    <t>210212_x_at</t>
  </si>
  <si>
    <t>57715_at</t>
  </si>
  <si>
    <t>CALHM2</t>
  </si>
  <si>
    <t>218713_at</t>
  </si>
  <si>
    <t>NARG2</t>
  </si>
  <si>
    <t>200927_s_at</t>
  </si>
  <si>
    <t>RAB14</t>
  </si>
  <si>
    <t>201136_at</t>
  </si>
  <si>
    <t>PLP2</t>
  </si>
  <si>
    <t>203590_at</t>
  </si>
  <si>
    <t>DYNC1LI2</t>
  </si>
  <si>
    <t>212922_s_at</t>
  </si>
  <si>
    <t>SMYD2</t>
  </si>
  <si>
    <t>213559_s_at</t>
  </si>
  <si>
    <t>ZNF467</t>
  </si>
  <si>
    <t>214181_x_at</t>
  </si>
  <si>
    <t>LST1</t>
  </si>
  <si>
    <t>219622_at</t>
  </si>
  <si>
    <t>RAB20</t>
  </si>
  <si>
    <t>211956_s_at</t>
  </si>
  <si>
    <t>EIF1</t>
  </si>
  <si>
    <t>218079_s_at</t>
  </si>
  <si>
    <t>GGNBP2</t>
  </si>
  <si>
    <t>202178_at</t>
  </si>
  <si>
    <t>PRKCZ</t>
  </si>
  <si>
    <t>207843_x_at</t>
  </si>
  <si>
    <t>210154_at</t>
  </si>
  <si>
    <t>206255_at</t>
  </si>
  <si>
    <t>BLK</t>
  </si>
  <si>
    <t>219663_s_at</t>
  </si>
  <si>
    <t>TMEM121</t>
  </si>
  <si>
    <t>204297_at</t>
  </si>
  <si>
    <t>PIK3C3</t>
  </si>
  <si>
    <t>202207_at</t>
  </si>
  <si>
    <t>201319_at</t>
  </si>
  <si>
    <t>MYL12A</t>
  </si>
  <si>
    <t>213367_at</t>
  </si>
  <si>
    <t>ZNF783</t>
  </si>
  <si>
    <t>217874_at</t>
  </si>
  <si>
    <t>SUCLG1</t>
  </si>
  <si>
    <t>201718_s_at</t>
  </si>
  <si>
    <t>EPB41L2</t>
  </si>
  <si>
    <t>212288_at</t>
  </si>
  <si>
    <t>FNBP1</t>
  </si>
  <si>
    <t>210934_at</t>
  </si>
  <si>
    <t>203741_s_at</t>
  </si>
  <si>
    <t>ADCY7</t>
  </si>
  <si>
    <t>221934_s_at</t>
  </si>
  <si>
    <t>DALRD3</t>
  </si>
  <si>
    <t>201487_at</t>
  </si>
  <si>
    <t>CTSC</t>
  </si>
  <si>
    <t>205005_s_at</t>
  </si>
  <si>
    <t>208661_s_at</t>
  </si>
  <si>
    <t>TTC3</t>
  </si>
  <si>
    <t>209538_at</t>
  </si>
  <si>
    <t>ZNF32</t>
  </si>
  <si>
    <t>217318_x_at</t>
  </si>
  <si>
    <t>KIR2DL1 /// KIR2DL2 /// KIR2DL3 /// KIR2DL5A /// KIR2DL5B /// KIR2DS1 /// KIR2DS2 /// KIR2DS3 /// KI</t>
  </si>
  <si>
    <t>206966_s_at</t>
  </si>
  <si>
    <t>KLF12</t>
  </si>
  <si>
    <t>208982_at</t>
  </si>
  <si>
    <t>203238_s_at</t>
  </si>
  <si>
    <t>NOTCH3</t>
  </si>
  <si>
    <t>209559_at</t>
  </si>
  <si>
    <t>213594_x_at</t>
  </si>
  <si>
    <t>205987_at</t>
  </si>
  <si>
    <t>CD1C</t>
  </si>
  <si>
    <t>206591_at</t>
  </si>
  <si>
    <t>RAG1</t>
  </si>
  <si>
    <t>210970_s_at</t>
  </si>
  <si>
    <t>IBTK</t>
  </si>
  <si>
    <t>200989_at</t>
  </si>
  <si>
    <t>HIF1A</t>
  </si>
  <si>
    <t>201018_at</t>
  </si>
  <si>
    <t>EIF1AX</t>
  </si>
  <si>
    <t>202371_at</t>
  </si>
  <si>
    <t>TCEAL4</t>
  </si>
  <si>
    <t>203795_s_at</t>
  </si>
  <si>
    <t>BCL7A</t>
  </si>
  <si>
    <t>205445_at</t>
  </si>
  <si>
    <t>PRL</t>
  </si>
  <si>
    <t>209262_s_at</t>
  </si>
  <si>
    <t>NR2F6</t>
  </si>
  <si>
    <t>209714_s_at</t>
  </si>
  <si>
    <t>CDKN3</t>
  </si>
  <si>
    <t>200642_at</t>
  </si>
  <si>
    <t>SOD1</t>
  </si>
  <si>
    <t>209191_at</t>
  </si>
  <si>
    <t>TUBB6</t>
  </si>
  <si>
    <t>210027_s_at</t>
  </si>
  <si>
    <t>APEX1</t>
  </si>
  <si>
    <t>202118_s_at</t>
  </si>
  <si>
    <t>210076_x_at</t>
  </si>
  <si>
    <t>213028_at</t>
  </si>
  <si>
    <t>NFRKB</t>
  </si>
  <si>
    <t>219448_at</t>
  </si>
  <si>
    <t>TMEM70</t>
  </si>
  <si>
    <t>203343_at</t>
  </si>
  <si>
    <t>UGDH</t>
  </si>
  <si>
    <t>201346_at</t>
  </si>
  <si>
    <t>ADIPOR2</t>
  </si>
  <si>
    <t>203077_s_at</t>
  </si>
  <si>
    <t>SMAD2</t>
  </si>
  <si>
    <t>200738_s_at</t>
  </si>
  <si>
    <t>PGK1</t>
  </si>
  <si>
    <t>216342_x_at</t>
  </si>
  <si>
    <t>212154_at</t>
  </si>
  <si>
    <t>32137_at</t>
  </si>
  <si>
    <t>JAG2</t>
  </si>
  <si>
    <t>55662_at</t>
  </si>
  <si>
    <t>C10orf76</t>
  </si>
  <si>
    <t>201470_at</t>
  </si>
  <si>
    <t>GSTO1</t>
  </si>
  <si>
    <t>204290_s_at</t>
  </si>
  <si>
    <t>209123_at</t>
  </si>
  <si>
    <t>QDPR</t>
  </si>
  <si>
    <t>211945_s_at</t>
  </si>
  <si>
    <t>ITGB1</t>
  </si>
  <si>
    <t>201356_at</t>
  </si>
  <si>
    <t>SF3A1</t>
  </si>
  <si>
    <t>201790_s_at</t>
  </si>
  <si>
    <t>217033_x_at</t>
  </si>
  <si>
    <t>NTRK3</t>
  </si>
  <si>
    <t>203404_at</t>
  </si>
  <si>
    <t>ARMCX2</t>
  </si>
  <si>
    <t>212447_at</t>
  </si>
  <si>
    <t>KBTBD2</t>
  </si>
  <si>
    <t>205583_s_at</t>
  </si>
  <si>
    <t>209185_s_at</t>
  </si>
  <si>
    <t>IRS2</t>
  </si>
  <si>
    <t>200648_s_at</t>
  </si>
  <si>
    <t>GLUL</t>
  </si>
  <si>
    <t>205946_at</t>
  </si>
  <si>
    <t>VIPR2</t>
  </si>
  <si>
    <t>208809_s_at</t>
  </si>
  <si>
    <t>C6orf62</t>
  </si>
  <si>
    <t>221004_s_at</t>
  </si>
  <si>
    <t>ITM2C</t>
  </si>
  <si>
    <t>52975_at</t>
  </si>
  <si>
    <t>FAM125B</t>
  </si>
  <si>
    <t>200843_s_at</t>
  </si>
  <si>
    <t>203033_x_at</t>
  </si>
  <si>
    <t>FH</t>
  </si>
  <si>
    <t>203474_at</t>
  </si>
  <si>
    <t>IQGAP2</t>
  </si>
  <si>
    <t>204288_s_at</t>
  </si>
  <si>
    <t>SORBS2</t>
  </si>
  <si>
    <t>206394_at</t>
  </si>
  <si>
    <t>MYBPC2</t>
  </si>
  <si>
    <t>209068_at</t>
  </si>
  <si>
    <t>HNRPDL</t>
  </si>
  <si>
    <t>209452_s_at</t>
  </si>
  <si>
    <t>VTI1B</t>
  </si>
  <si>
    <t>209790_s_at</t>
  </si>
  <si>
    <t>CASP6</t>
  </si>
  <si>
    <t>212956_at</t>
  </si>
  <si>
    <t>TBC1D9</t>
  </si>
  <si>
    <t>214855_s_at</t>
  </si>
  <si>
    <t>GARNL1</t>
  </si>
  <si>
    <t>217758_s_at</t>
  </si>
  <si>
    <t>TM9SF3</t>
  </si>
  <si>
    <t>218059_at</t>
  </si>
  <si>
    <t>ZNF706</t>
  </si>
  <si>
    <t>219061_s_at</t>
  </si>
  <si>
    <t>LAGE3</t>
  </si>
  <si>
    <t>219961_s_at</t>
  </si>
  <si>
    <t>C20orf19</t>
  </si>
  <si>
    <t>220091_at</t>
  </si>
  <si>
    <t>SLC2A6</t>
  </si>
  <si>
    <t>221589_s_at</t>
  </si>
  <si>
    <t>201280_s_at</t>
  </si>
  <si>
    <t>DAB2</t>
  </si>
  <si>
    <t>212737_at</t>
  </si>
  <si>
    <t>GM2A</t>
  </si>
  <si>
    <t>208696_at</t>
  </si>
  <si>
    <t>CCT5</t>
  </si>
  <si>
    <t>209962_at</t>
  </si>
  <si>
    <t>EPOR</t>
  </si>
  <si>
    <t>222380_s_at</t>
  </si>
  <si>
    <t>PDCD6</t>
  </si>
  <si>
    <t>201444_s_at</t>
  </si>
  <si>
    <t>212165_at</t>
  </si>
  <si>
    <t>TMEM183A /// TMEM183B</t>
  </si>
  <si>
    <t>212195_at</t>
  </si>
  <si>
    <t>IL6ST</t>
  </si>
  <si>
    <t>53991_at</t>
  </si>
  <si>
    <t>DENND2A</t>
  </si>
  <si>
    <t>221270_s_at</t>
  </si>
  <si>
    <t>QTRT1</t>
  </si>
  <si>
    <t>202853_s_at</t>
  </si>
  <si>
    <t>RYK</t>
  </si>
  <si>
    <t>46947_at</t>
  </si>
  <si>
    <t>GNL3L</t>
  </si>
  <si>
    <t>206009_at</t>
  </si>
  <si>
    <t>ITGA9</t>
  </si>
  <si>
    <t>217202_s_at</t>
  </si>
  <si>
    <t>208843_s_at</t>
  </si>
  <si>
    <t>GORASP2</t>
  </si>
  <si>
    <t>202325_s_at</t>
  </si>
  <si>
    <t>ATP5J</t>
  </si>
  <si>
    <t>202789_at</t>
  </si>
  <si>
    <t>PLCG1</t>
  </si>
  <si>
    <t>205022_s_at</t>
  </si>
  <si>
    <t>FOXN3</t>
  </si>
  <si>
    <t>212149_at</t>
  </si>
  <si>
    <t>EFR3A</t>
  </si>
  <si>
    <t>203142_s_at</t>
  </si>
  <si>
    <t>AP3B1</t>
  </si>
  <si>
    <t>214131_at</t>
  </si>
  <si>
    <t>CYorf15B</t>
  </si>
  <si>
    <t>222021_x_at</t>
  </si>
  <si>
    <t>SDHALP1</t>
  </si>
  <si>
    <t>216305_s_at</t>
  </si>
  <si>
    <t>C2orf3</t>
  </si>
  <si>
    <t>209045_at</t>
  </si>
  <si>
    <t>XPNPEP1</t>
  </si>
  <si>
    <t>212399_s_at</t>
  </si>
  <si>
    <t>VGLL4</t>
  </si>
  <si>
    <t>206028_s_at</t>
  </si>
  <si>
    <t>MERTK</t>
  </si>
  <si>
    <t>218031_s_at</t>
  </si>
  <si>
    <t>215001_s_at</t>
  </si>
  <si>
    <t>211702_s_at</t>
  </si>
  <si>
    <t>USP32</t>
  </si>
  <si>
    <t>203471_s_at</t>
  </si>
  <si>
    <t>PLEK</t>
  </si>
  <si>
    <t>208683_at</t>
  </si>
  <si>
    <t>CAPN2</t>
  </si>
  <si>
    <t>212809_at</t>
  </si>
  <si>
    <t>NFATC2IP</t>
  </si>
  <si>
    <t>202391_at</t>
  </si>
  <si>
    <t>BASP1</t>
  </si>
  <si>
    <t>201218_at</t>
  </si>
  <si>
    <t>CTBP2</t>
  </si>
  <si>
    <t>208351_s_at</t>
  </si>
  <si>
    <t>MAPK1</t>
  </si>
  <si>
    <t>209366_x_at</t>
  </si>
  <si>
    <t>211727_s_at</t>
  </si>
  <si>
    <t>COX11</t>
  </si>
  <si>
    <t>219100_at</t>
  </si>
  <si>
    <t>OBFC1</t>
  </si>
  <si>
    <t>219734_at</t>
  </si>
  <si>
    <t>SIDT1</t>
  </si>
  <si>
    <t>209248_at</t>
  </si>
  <si>
    <t>GHITM</t>
  </si>
  <si>
    <t>203739_at</t>
  </si>
  <si>
    <t>ZNF217</t>
  </si>
  <si>
    <t>209434_s_at</t>
  </si>
  <si>
    <t>PPAT</t>
  </si>
  <si>
    <t>203041_s_at</t>
  </si>
  <si>
    <t>LAMP2</t>
  </si>
  <si>
    <t>203544_s_at</t>
  </si>
  <si>
    <t>STAM</t>
  </si>
  <si>
    <t>203292_s_at</t>
  </si>
  <si>
    <t>VPS11</t>
  </si>
  <si>
    <t>207339_s_at</t>
  </si>
  <si>
    <t>LTB</t>
  </si>
  <si>
    <t>202308_at</t>
  </si>
  <si>
    <t>SREBF1</t>
  </si>
  <si>
    <t>202420_s_at</t>
  </si>
  <si>
    <t>DHX9</t>
  </si>
  <si>
    <t>211090_s_at</t>
  </si>
  <si>
    <t>PRPF4B</t>
  </si>
  <si>
    <t>215884_s_at</t>
  </si>
  <si>
    <t>UBQLN2</t>
  </si>
  <si>
    <t>203234_at</t>
  </si>
  <si>
    <t>UPP1</t>
  </si>
  <si>
    <t>200942_s_at</t>
  </si>
  <si>
    <t>HSBP1</t>
  </si>
  <si>
    <t>200993_at</t>
  </si>
  <si>
    <t>206574_s_at</t>
  </si>
  <si>
    <t>209573_s_at</t>
  </si>
  <si>
    <t>C18orf1</t>
  </si>
  <si>
    <t>217943_s_at</t>
  </si>
  <si>
    <t>MAP7D1</t>
  </si>
  <si>
    <t>219039_at</t>
  </si>
  <si>
    <t>201162_at</t>
  </si>
  <si>
    <t>IGFBP7</t>
  </si>
  <si>
    <t>217839_at</t>
  </si>
  <si>
    <t>TFG</t>
  </si>
  <si>
    <t>218003_s_at</t>
  </si>
  <si>
    <t>FKBP3</t>
  </si>
  <si>
    <t>213137_s_at</t>
  </si>
  <si>
    <t>201751_at</t>
  </si>
  <si>
    <t>JOSD1</t>
  </si>
  <si>
    <t>203463_s_at</t>
  </si>
  <si>
    <t>EPN2</t>
  </si>
  <si>
    <t>220998_s_at</t>
  </si>
  <si>
    <t>UNC93B1</t>
  </si>
  <si>
    <t>203253_s_at</t>
  </si>
  <si>
    <t>HISPPD1</t>
  </si>
  <si>
    <t>204115_at</t>
  </si>
  <si>
    <t>GNG11</t>
  </si>
  <si>
    <t>218668_s_at</t>
  </si>
  <si>
    <t>RAP2C</t>
  </si>
  <si>
    <t>214374_s_at</t>
  </si>
  <si>
    <t>PPFIBP1</t>
  </si>
  <si>
    <t>200046_at</t>
  </si>
  <si>
    <t>DAD1</t>
  </si>
  <si>
    <t>210791_s_at</t>
  </si>
  <si>
    <t>201318_s_at</t>
  </si>
  <si>
    <t>MYL12A /// MYL12B</t>
  </si>
  <si>
    <t>200891_s_at</t>
  </si>
  <si>
    <t>33304_at</t>
  </si>
  <si>
    <t>ISG20</t>
  </si>
  <si>
    <t>200994_at</t>
  </si>
  <si>
    <t>202382_s_at</t>
  </si>
  <si>
    <t>GNPDA1</t>
  </si>
  <si>
    <t>209674_at</t>
  </si>
  <si>
    <t>CRY1</t>
  </si>
  <si>
    <t>201214_s_at</t>
  </si>
  <si>
    <t>PPP1R7</t>
  </si>
  <si>
    <t>203480_s_at</t>
  </si>
  <si>
    <t>OTUD4</t>
  </si>
  <si>
    <t>204948_s_at</t>
  </si>
  <si>
    <t>FST</t>
  </si>
  <si>
    <t>213541_s_at</t>
  </si>
  <si>
    <t>ERG</t>
  </si>
  <si>
    <t>203574_at</t>
  </si>
  <si>
    <t>NFIL3</t>
  </si>
  <si>
    <t>208724_s_at</t>
  </si>
  <si>
    <t>RAB1A</t>
  </si>
  <si>
    <t>217080_s_at</t>
  </si>
  <si>
    <t>HOMER2</t>
  </si>
  <si>
    <t>218669_at</t>
  </si>
  <si>
    <t>200896_x_at</t>
  </si>
  <si>
    <t>HDGF</t>
  </si>
  <si>
    <t>205541_s_at</t>
  </si>
  <si>
    <t>GSPT2</t>
  </si>
  <si>
    <t>214814_at</t>
  </si>
  <si>
    <t>YTHDC1</t>
  </si>
  <si>
    <t>210153_s_at</t>
  </si>
  <si>
    <t>210645_s_at</t>
  </si>
  <si>
    <t>218290_at</t>
  </si>
  <si>
    <t>PLEKHJ1</t>
  </si>
  <si>
    <t>209789_at</t>
  </si>
  <si>
    <t>CORO2B</t>
  </si>
  <si>
    <t>221474_at</t>
  </si>
  <si>
    <t>MYL12B</t>
  </si>
  <si>
    <t>203186_s_at</t>
  </si>
  <si>
    <t>S100A4</t>
  </si>
  <si>
    <t>204274_at</t>
  </si>
  <si>
    <t>EBAG9</t>
  </si>
  <si>
    <t>201491_at</t>
  </si>
  <si>
    <t>AHSA1</t>
  </si>
  <si>
    <t>212832_s_at</t>
  </si>
  <si>
    <t>CKAP5</t>
  </si>
  <si>
    <t>222079_at</t>
  </si>
  <si>
    <t>211160_x_at</t>
  </si>
  <si>
    <t>212296_at</t>
  </si>
  <si>
    <t>PSMD14</t>
  </si>
  <si>
    <t>217961_at</t>
  </si>
  <si>
    <t>SLC25A38</t>
  </si>
  <si>
    <t>34210_at</t>
  </si>
  <si>
    <t>218188_s_at</t>
  </si>
  <si>
    <t>TIMM13</t>
  </si>
  <si>
    <t>209760_at</t>
  </si>
  <si>
    <t>KIAA0922</t>
  </si>
  <si>
    <t>204080_at</t>
  </si>
  <si>
    <t>TOE1</t>
  </si>
  <si>
    <t>46256_at</t>
  </si>
  <si>
    <t>SPSB3</t>
  </si>
  <si>
    <t>78495_at</t>
  </si>
  <si>
    <t>204835_at</t>
  </si>
  <si>
    <t>POLA1</t>
  </si>
  <si>
    <t>207071_s_at</t>
  </si>
  <si>
    <t>ACO1</t>
  </si>
  <si>
    <t>219185_at</t>
  </si>
  <si>
    <t>SIRT5</t>
  </si>
  <si>
    <t>203379_at</t>
  </si>
  <si>
    <t>RPS6KA1</t>
  </si>
  <si>
    <t>213618_at</t>
  </si>
  <si>
    <t>ARAP2</t>
  </si>
  <si>
    <t>203906_at</t>
  </si>
  <si>
    <t>IQSEC1</t>
  </si>
  <si>
    <t>219713_at</t>
  </si>
  <si>
    <t>SHPK</t>
  </si>
  <si>
    <t>212822_at</t>
  </si>
  <si>
    <t>HEG1</t>
  </si>
  <si>
    <t>212223_at</t>
  </si>
  <si>
    <t>204045_at</t>
  </si>
  <si>
    <t>TCEAL1</t>
  </si>
  <si>
    <t>215380_s_at</t>
  </si>
  <si>
    <t>GGCT</t>
  </si>
  <si>
    <t>220692_at</t>
  </si>
  <si>
    <t>LOC100286937</t>
  </si>
  <si>
    <t>211658_at</t>
  </si>
  <si>
    <t>PRDX2</t>
  </si>
  <si>
    <t>202144_s_at</t>
  </si>
  <si>
    <t>ADSL</t>
  </si>
  <si>
    <t>208925_at</t>
  </si>
  <si>
    <t>CLDND1</t>
  </si>
  <si>
    <t>202993_at</t>
  </si>
  <si>
    <t>ILVBL</t>
  </si>
  <si>
    <t>210982_s_at</t>
  </si>
  <si>
    <t>HLA-DRA</t>
  </si>
  <si>
    <t>212496_s_at</t>
  </si>
  <si>
    <t>KDM4B</t>
  </si>
  <si>
    <t>221763_at</t>
  </si>
  <si>
    <t>JMJD1C</t>
  </si>
  <si>
    <t>211990_at</t>
  </si>
  <si>
    <t>216574_s_at</t>
  </si>
  <si>
    <t>hCG_2024410 /// RPE</t>
  </si>
  <si>
    <t>201010_s_at</t>
  </si>
  <si>
    <t>205864_at</t>
  </si>
  <si>
    <t>SLC7A4</t>
  </si>
  <si>
    <t>201243_s_at</t>
  </si>
  <si>
    <t>ATP1B1</t>
  </si>
  <si>
    <t>201328_at</t>
  </si>
  <si>
    <t>205010_at</t>
  </si>
  <si>
    <t>219938_s_at</t>
  </si>
  <si>
    <t>PSTPIP2</t>
  </si>
  <si>
    <t>36829_at</t>
  </si>
  <si>
    <t>215773_x_at</t>
  </si>
  <si>
    <t>217743_s_at</t>
  </si>
  <si>
    <t>TMEM30A</t>
  </si>
  <si>
    <t>215519_x_at</t>
  </si>
  <si>
    <t>SGSM3</t>
  </si>
  <si>
    <t>209315_at</t>
  </si>
  <si>
    <t>HBS1L</t>
  </si>
  <si>
    <t>202309_at</t>
  </si>
  <si>
    <t>MTHFD1</t>
  </si>
  <si>
    <t>205671_s_at</t>
  </si>
  <si>
    <t>HLA-DOB</t>
  </si>
  <si>
    <t>208923_at</t>
  </si>
  <si>
    <t>CYFIP1</t>
  </si>
  <si>
    <t>210896_s_at</t>
  </si>
  <si>
    <t>ASPH</t>
  </si>
  <si>
    <t>213187_x_at</t>
  </si>
  <si>
    <t>FTL</t>
  </si>
  <si>
    <t>216748_at</t>
  </si>
  <si>
    <t>PYHIN1</t>
  </si>
  <si>
    <t>218017_s_at</t>
  </si>
  <si>
    <t>HGSNAT</t>
  </si>
  <si>
    <t>205469_s_at</t>
  </si>
  <si>
    <t>IRF5</t>
  </si>
  <si>
    <t>221058_s_at</t>
  </si>
  <si>
    <t>221902_at</t>
  </si>
  <si>
    <t>GPR153</t>
  </si>
  <si>
    <t>221113_s_at</t>
  </si>
  <si>
    <t>WNT16</t>
  </si>
  <si>
    <t>213331_s_at</t>
  </si>
  <si>
    <t>NEK1</t>
  </si>
  <si>
    <t>216248_s_at</t>
  </si>
  <si>
    <t>NR4A2</t>
  </si>
  <si>
    <t>219168_s_at</t>
  </si>
  <si>
    <t>ARHGAP8 /// PRR5</t>
  </si>
  <si>
    <t>204160_s_at</t>
  </si>
  <si>
    <t>ENPP4</t>
  </si>
  <si>
    <t>201909_at</t>
  </si>
  <si>
    <t>RPS4Y1</t>
  </si>
  <si>
    <t>219247_s_at</t>
  </si>
  <si>
    <t>ZDHHC14</t>
  </si>
  <si>
    <t>200919_at</t>
  </si>
  <si>
    <t>PHC2</t>
  </si>
  <si>
    <t>201588_at</t>
  </si>
  <si>
    <t>TXNL1</t>
  </si>
  <si>
    <t>204281_at</t>
  </si>
  <si>
    <t>TEAD4</t>
  </si>
  <si>
    <t>209184_s_at</t>
  </si>
  <si>
    <t>213704_at</t>
  </si>
  <si>
    <t>RABGGTB</t>
  </si>
  <si>
    <t>218923_at</t>
  </si>
  <si>
    <t>CTBS</t>
  </si>
  <si>
    <t>212663_at</t>
  </si>
  <si>
    <t>FKBP15</t>
  </si>
  <si>
    <t>212209_at</t>
  </si>
  <si>
    <t>MED13L</t>
  </si>
  <si>
    <t>201017_at</t>
  </si>
  <si>
    <t>202854_at</t>
  </si>
  <si>
    <t>HPRT1</t>
  </si>
  <si>
    <t>209388_at</t>
  </si>
  <si>
    <t>PAPOLA</t>
  </si>
  <si>
    <t>202127_at</t>
  </si>
  <si>
    <t>204698_at</t>
  </si>
  <si>
    <t>204811_s_at</t>
  </si>
  <si>
    <t>CACNA2D2</t>
  </si>
  <si>
    <t>208637_x_at</t>
  </si>
  <si>
    <t>212866_at</t>
  </si>
  <si>
    <t>R3HCC1</t>
  </si>
  <si>
    <t>217724_at</t>
  </si>
  <si>
    <t>219048_at</t>
  </si>
  <si>
    <t>PIGN</t>
  </si>
  <si>
    <t>219837_s_at</t>
  </si>
  <si>
    <t>CYTL1</t>
  </si>
  <si>
    <t>207939_x_at</t>
  </si>
  <si>
    <t>RNPS1</t>
  </si>
  <si>
    <t>203070_at</t>
  </si>
  <si>
    <t>SEMA3B</t>
  </si>
  <si>
    <t>204752_x_at</t>
  </si>
  <si>
    <t>220373_at</t>
  </si>
  <si>
    <t>DCHS2</t>
  </si>
  <si>
    <t>39729_at</t>
  </si>
  <si>
    <t>202003_s_at</t>
  </si>
  <si>
    <t>ACAA2</t>
  </si>
  <si>
    <t>205229_s_at</t>
  </si>
  <si>
    <t>COCH</t>
  </si>
  <si>
    <t>218764_at</t>
  </si>
  <si>
    <t>PRKCH</t>
  </si>
  <si>
    <t>209568_s_at</t>
  </si>
  <si>
    <t>RGL1</t>
  </si>
  <si>
    <t>206380_s_at</t>
  </si>
  <si>
    <t>CFP</t>
  </si>
  <si>
    <t>200043_at</t>
  </si>
  <si>
    <t>ERH</t>
  </si>
  <si>
    <t>204147_s_at</t>
  </si>
  <si>
    <t>TFDP1</t>
  </si>
  <si>
    <t>210835_s_at</t>
  </si>
  <si>
    <t>214661_s_at</t>
  </si>
  <si>
    <t>NOP14</t>
  </si>
  <si>
    <t>208092_s_at</t>
  </si>
  <si>
    <t>FAM49A</t>
  </si>
  <si>
    <t>210032_s_at</t>
  </si>
  <si>
    <t>SPAG6</t>
  </si>
  <si>
    <t>211626_x_at</t>
  </si>
  <si>
    <t>213400_s_at</t>
  </si>
  <si>
    <t>TBL1X</t>
  </si>
  <si>
    <t>218108_at</t>
  </si>
  <si>
    <t>UBR7</t>
  </si>
  <si>
    <t>202009_at</t>
  </si>
  <si>
    <t>TWF2</t>
  </si>
  <si>
    <t>207957_s_at</t>
  </si>
  <si>
    <t>PRKCB</t>
  </si>
  <si>
    <t>210024_s_at</t>
  </si>
  <si>
    <t>UBE2E3</t>
  </si>
  <si>
    <t>214218_s_at</t>
  </si>
  <si>
    <t>XIST</t>
  </si>
  <si>
    <t>214364_at</t>
  </si>
  <si>
    <t>MTERFD2</t>
  </si>
  <si>
    <t>201966_at</t>
  </si>
  <si>
    <t>NDUFS2</t>
  </si>
  <si>
    <t>210625_s_at</t>
  </si>
  <si>
    <t>AKAP1</t>
  </si>
  <si>
    <t>221764_at</t>
  </si>
  <si>
    <t>C19orf22</t>
  </si>
  <si>
    <t>203434_s_at</t>
  </si>
  <si>
    <t>MME</t>
  </si>
  <si>
    <t>214004_s_at</t>
  </si>
  <si>
    <t>200851_s_at</t>
  </si>
  <si>
    <t>KIAA0174</t>
  </si>
  <si>
    <t>209806_at</t>
  </si>
  <si>
    <t>HIST1H2BK</t>
  </si>
  <si>
    <t>203813_s_at</t>
  </si>
  <si>
    <t>SLIT3</t>
  </si>
  <si>
    <t>205437_at</t>
  </si>
  <si>
    <t>ZNF211</t>
  </si>
  <si>
    <t>212150_at</t>
  </si>
  <si>
    <t>213155_at</t>
  </si>
  <si>
    <t>WSCD1</t>
  </si>
  <si>
    <t>218756_s_at</t>
  </si>
  <si>
    <t>DHRS11</t>
  </si>
  <si>
    <t>208073_x_at</t>
  </si>
  <si>
    <t>208983_s_at</t>
  </si>
  <si>
    <t>218459_at</t>
  </si>
  <si>
    <t>TOR3A</t>
  </si>
  <si>
    <t>201831_s_at</t>
  </si>
  <si>
    <t>USO1</t>
  </si>
  <si>
    <t>207562_at</t>
  </si>
  <si>
    <t>DGKQ</t>
  </si>
  <si>
    <t>204774_at</t>
  </si>
  <si>
    <t>EVI2A</t>
  </si>
  <si>
    <t>207405_s_at</t>
  </si>
  <si>
    <t>RAD17</t>
  </si>
  <si>
    <t>210768_x_at</t>
  </si>
  <si>
    <t>211406_at</t>
  </si>
  <si>
    <t>IER3IP1</t>
  </si>
  <si>
    <t>218241_at</t>
  </si>
  <si>
    <t>GOLGA5</t>
  </si>
  <si>
    <t>217776_at</t>
  </si>
  <si>
    <t>213366_x_at</t>
  </si>
  <si>
    <t>203151_at</t>
  </si>
  <si>
    <t>MAP1A</t>
  </si>
  <si>
    <t>222006_at</t>
  </si>
  <si>
    <t>LETM1</t>
  </si>
  <si>
    <t>203401_at</t>
  </si>
  <si>
    <t>PRPS2</t>
  </si>
  <si>
    <t>208690_s_at</t>
  </si>
  <si>
    <t>PDLIM1</t>
  </si>
  <si>
    <t>218912_at</t>
  </si>
  <si>
    <t>GCC1</t>
  </si>
  <si>
    <t>200602_at</t>
  </si>
  <si>
    <t>APP</t>
  </si>
  <si>
    <t>201910_at</t>
  </si>
  <si>
    <t>FARP1</t>
  </si>
  <si>
    <t>206329_at</t>
  </si>
  <si>
    <t>EXTL1</t>
  </si>
  <si>
    <t>201562_s_at</t>
  </si>
  <si>
    <t>206115_at</t>
  </si>
  <si>
    <t>EGR3</t>
  </si>
  <si>
    <t>210178_x_at</t>
  </si>
  <si>
    <t>213665_at</t>
  </si>
  <si>
    <t>SOX4</t>
  </si>
  <si>
    <t>201587_s_at</t>
  </si>
  <si>
    <t>IRAK1</t>
  </si>
  <si>
    <t>202073_at</t>
  </si>
  <si>
    <t>OPTN</t>
  </si>
  <si>
    <t>202713_s_at</t>
  </si>
  <si>
    <t>KIAA0391</t>
  </si>
  <si>
    <t>218533_s_at</t>
  </si>
  <si>
    <t>UCKL1</t>
  </si>
  <si>
    <t>218264_at</t>
  </si>
  <si>
    <t>BCCIP</t>
  </si>
  <si>
    <t>57082_at</t>
  </si>
  <si>
    <t>LDLRAP1</t>
  </si>
  <si>
    <t>201933_at</t>
  </si>
  <si>
    <t>CHMP1A</t>
  </si>
  <si>
    <t>209041_s_at</t>
  </si>
  <si>
    <t>UBE2G2</t>
  </si>
  <si>
    <t>212653_s_at</t>
  </si>
  <si>
    <t>EHBP1</t>
  </si>
  <si>
    <t>217275_at</t>
  </si>
  <si>
    <t>TSSK2</t>
  </si>
  <si>
    <t>218536_at</t>
  </si>
  <si>
    <t>MRS2</t>
  </si>
  <si>
    <t>205945_at</t>
  </si>
  <si>
    <t>IL6R</t>
  </si>
  <si>
    <t>221752_at</t>
  </si>
  <si>
    <t>SSH1</t>
  </si>
  <si>
    <t>210635_s_at</t>
  </si>
  <si>
    <t>KLHL20</t>
  </si>
  <si>
    <t>220374_at</t>
  </si>
  <si>
    <t>KLHL28</t>
  </si>
  <si>
    <t>47560_at</t>
  </si>
  <si>
    <t>LPHN1</t>
  </si>
  <si>
    <t>209311_at</t>
  </si>
  <si>
    <t>BCL2L2</t>
  </si>
  <si>
    <t>221749_at</t>
  </si>
  <si>
    <t>YTHDF3</t>
  </si>
  <si>
    <t>212248_at</t>
  </si>
  <si>
    <t>MTDH</t>
  </si>
  <si>
    <t>218138_at</t>
  </si>
  <si>
    <t>MKKS</t>
  </si>
  <si>
    <t>201375_s_at</t>
  </si>
  <si>
    <t>PPP2CB</t>
  </si>
  <si>
    <t>221790_s_at</t>
  </si>
  <si>
    <t>222148_s_at</t>
  </si>
  <si>
    <t>RHOT1</t>
  </si>
  <si>
    <t>200810_s_at</t>
  </si>
  <si>
    <t>CIRBP</t>
  </si>
  <si>
    <t>202521_at</t>
  </si>
  <si>
    <t>CTCF</t>
  </si>
  <si>
    <t>202567_at</t>
  </si>
  <si>
    <t>SNRPD3</t>
  </si>
  <si>
    <t>202724_s_at</t>
  </si>
  <si>
    <t>FOXO1</t>
  </si>
  <si>
    <t>210211_s_at</t>
  </si>
  <si>
    <t>HSP90AA1</t>
  </si>
  <si>
    <t>212127_at</t>
  </si>
  <si>
    <t>RANGAP1</t>
  </si>
  <si>
    <t>212363_x_at</t>
  </si>
  <si>
    <t>ACTG1</t>
  </si>
  <si>
    <t>213334_x_at</t>
  </si>
  <si>
    <t>HAUS7</t>
  </si>
  <si>
    <t>213659_at</t>
  </si>
  <si>
    <t>ZNF75D</t>
  </si>
  <si>
    <t>217100_s_at</t>
  </si>
  <si>
    <t>UBXN7</t>
  </si>
  <si>
    <t>218694_at</t>
  </si>
  <si>
    <t>ARMCX1</t>
  </si>
  <si>
    <t>221493_at</t>
  </si>
  <si>
    <t>TSPYL1</t>
  </si>
  <si>
    <t>221740_x_at</t>
  </si>
  <si>
    <t>LRRC37A2</t>
  </si>
  <si>
    <t>212315_s_at</t>
  </si>
  <si>
    <t>201144_s_at</t>
  </si>
  <si>
    <t>EIF2S1</t>
  </si>
  <si>
    <t>211185_s_at</t>
  </si>
  <si>
    <t>SF3B1</t>
  </si>
  <si>
    <t>200672_x_at</t>
  </si>
  <si>
    <t>SPTBN1</t>
  </si>
  <si>
    <t>204396_s_at</t>
  </si>
  <si>
    <t>GRK5</t>
  </si>
  <si>
    <t>208294_x_at</t>
  </si>
  <si>
    <t>CSHL1</t>
  </si>
  <si>
    <t>213837_at</t>
  </si>
  <si>
    <t>L3MBTL</t>
  </si>
  <si>
    <t>209194_at</t>
  </si>
  <si>
    <t>CETN2</t>
  </si>
  <si>
    <t>201738_at</t>
  </si>
  <si>
    <t>EIF1B</t>
  </si>
  <si>
    <t>202217_at</t>
  </si>
  <si>
    <t>C21orf33 /// PWP2</t>
  </si>
  <si>
    <t>205774_at</t>
  </si>
  <si>
    <t>F12</t>
  </si>
  <si>
    <t>201160_s_at</t>
  </si>
  <si>
    <t>CSDA</t>
  </si>
  <si>
    <t>203320_at</t>
  </si>
  <si>
    <t>SH2B3</t>
  </si>
  <si>
    <t>208939_at</t>
  </si>
  <si>
    <t>SEPHS1</t>
  </si>
  <si>
    <t>218091_at</t>
  </si>
  <si>
    <t>AGFG1</t>
  </si>
  <si>
    <t>202974_at</t>
  </si>
  <si>
    <t>MPP1</t>
  </si>
  <si>
    <t>209229_s_at</t>
  </si>
  <si>
    <t>SAPS1</t>
  </si>
  <si>
    <t>209385_s_at</t>
  </si>
  <si>
    <t>PROSC</t>
  </si>
  <si>
    <t>214736_s_at</t>
  </si>
  <si>
    <t>ADD1</t>
  </si>
  <si>
    <t>219654_at</t>
  </si>
  <si>
    <t>PTPLA</t>
  </si>
  <si>
    <t>208342_x_at</t>
  </si>
  <si>
    <t>CSH2</t>
  </si>
  <si>
    <t>203316_s_at</t>
  </si>
  <si>
    <t>SNRPE</t>
  </si>
  <si>
    <t>209799_at</t>
  </si>
  <si>
    <t>PRKAA1</t>
  </si>
  <si>
    <t>218595_s_at</t>
  </si>
  <si>
    <t>210783_x_at</t>
  </si>
  <si>
    <t>CLEC11A</t>
  </si>
  <si>
    <t>211458_s_at</t>
  </si>
  <si>
    <t>GABARAPL1 /// GABARAPL3</t>
  </si>
  <si>
    <t>212394_at</t>
  </si>
  <si>
    <t>KIAA0090</t>
  </si>
  <si>
    <t>212640_at</t>
  </si>
  <si>
    <t>PTPLB</t>
  </si>
  <si>
    <t>213017_at</t>
  </si>
  <si>
    <t>ABHD3</t>
  </si>
  <si>
    <t>214714_at</t>
  </si>
  <si>
    <t>ZNF394</t>
  </si>
  <si>
    <t>218902_at</t>
  </si>
  <si>
    <t>NOTCH1</t>
  </si>
  <si>
    <t>201093_x_at</t>
  </si>
  <si>
    <t>SDHA</t>
  </si>
  <si>
    <t>203839_s_at</t>
  </si>
  <si>
    <t>TNK2</t>
  </si>
  <si>
    <t>204663_at</t>
  </si>
  <si>
    <t>ME3</t>
  </si>
  <si>
    <t>219650_at</t>
  </si>
  <si>
    <t>ERCC6L</t>
  </si>
  <si>
    <t>201114_x_at</t>
  </si>
  <si>
    <t>PSMA7</t>
  </si>
  <si>
    <t>201976_s_at</t>
  </si>
  <si>
    <t>MYO10</t>
  </si>
  <si>
    <t>213645_at</t>
  </si>
  <si>
    <t>ENOSF1</t>
  </si>
  <si>
    <t>219442_at</t>
  </si>
  <si>
    <t>C16orf67</t>
  </si>
  <si>
    <t>35820_at</t>
  </si>
  <si>
    <t>204194_at</t>
  </si>
  <si>
    <t>BACH1</t>
  </si>
  <si>
    <t>201674_s_at</t>
  </si>
  <si>
    <t>201956_s_at</t>
  </si>
  <si>
    <t>GNPAT</t>
  </si>
  <si>
    <t>202136_at</t>
  </si>
  <si>
    <t>ZMYND11</t>
  </si>
  <si>
    <t>214743_at</t>
  </si>
  <si>
    <t>CUX1</t>
  </si>
  <si>
    <t>219731_at</t>
  </si>
  <si>
    <t>FLJ34077</t>
  </si>
  <si>
    <t>218121_at</t>
  </si>
  <si>
    <t>HMOX2</t>
  </si>
  <si>
    <t>200889_s_at</t>
  </si>
  <si>
    <t>203464_s_at</t>
  </si>
  <si>
    <t>218557_at</t>
  </si>
  <si>
    <t>NIT2</t>
  </si>
  <si>
    <t>217786_at</t>
  </si>
  <si>
    <t>PRMT5</t>
  </si>
  <si>
    <t>220059_at</t>
  </si>
  <si>
    <t>STAP1</t>
  </si>
  <si>
    <t>212508_at</t>
  </si>
  <si>
    <t>MOAP1</t>
  </si>
  <si>
    <t>206583_at</t>
  </si>
  <si>
    <t>ZNF673</t>
  </si>
  <si>
    <t>212318_at</t>
  </si>
  <si>
    <t>TNPO3</t>
  </si>
  <si>
    <t>206920_s_at</t>
  </si>
  <si>
    <t>GLE1</t>
  </si>
  <si>
    <t>209412_at</t>
  </si>
  <si>
    <t>TRAPPC10</t>
  </si>
  <si>
    <t>210014_x_at</t>
  </si>
  <si>
    <t>IDH3B</t>
  </si>
  <si>
    <t>212074_at</t>
  </si>
  <si>
    <t>C7orf20 /// UNC84A</t>
  </si>
  <si>
    <t>217725_x_at</t>
  </si>
  <si>
    <t>201700_at</t>
  </si>
  <si>
    <t>CCND3</t>
  </si>
  <si>
    <t>202611_s_at</t>
  </si>
  <si>
    <t>MED14</t>
  </si>
  <si>
    <t>204622_x_at</t>
  </si>
  <si>
    <t>212675_s_at</t>
  </si>
  <si>
    <t>CEP68</t>
  </si>
  <si>
    <t>213345_at</t>
  </si>
  <si>
    <t>NFATC4</t>
  </si>
  <si>
    <t>217216_x_at</t>
  </si>
  <si>
    <t>MLH3</t>
  </si>
  <si>
    <t>220990_s_at</t>
  </si>
  <si>
    <t>MIR21 /// TMEM49</t>
  </si>
  <si>
    <t>204175_at</t>
  </si>
  <si>
    <t>ZNF593</t>
  </si>
  <si>
    <t>201274_at</t>
  </si>
  <si>
    <t>PSMA5</t>
  </si>
  <si>
    <t>221773_at</t>
  </si>
  <si>
    <t>ELK3</t>
  </si>
  <si>
    <t>208805_at</t>
  </si>
  <si>
    <t>PSMA6</t>
  </si>
  <si>
    <t>205536_at</t>
  </si>
  <si>
    <t>VAV2</t>
  </si>
  <si>
    <t>208186_s_at</t>
  </si>
  <si>
    <t>LIPE</t>
  </si>
  <si>
    <t>200676_s_at</t>
  </si>
  <si>
    <t>UBE2L3</t>
  </si>
  <si>
    <t>219798_s_at</t>
  </si>
  <si>
    <t>MEPCE</t>
  </si>
  <si>
    <t>200683_s_at</t>
  </si>
  <si>
    <t>207428_x_at</t>
  </si>
  <si>
    <t>CDC2L1 /// CDC2L2</t>
  </si>
  <si>
    <t>201994_at</t>
  </si>
  <si>
    <t>MORF4L2</t>
  </si>
  <si>
    <t>221654_s_at</t>
  </si>
  <si>
    <t>USP3</t>
  </si>
  <si>
    <t>209268_at</t>
  </si>
  <si>
    <t>VPS45</t>
  </si>
  <si>
    <t>214953_s_at</t>
  </si>
  <si>
    <t>201611_s_at</t>
  </si>
  <si>
    <t>ICMT</t>
  </si>
  <si>
    <t>220070_at</t>
  </si>
  <si>
    <t>JMJD5</t>
  </si>
  <si>
    <t>203757_s_at</t>
  </si>
  <si>
    <t>CEACAM6</t>
  </si>
  <si>
    <t>213282_at</t>
  </si>
  <si>
    <t>APOOL</t>
  </si>
  <si>
    <t>214689_at</t>
  </si>
  <si>
    <t>PAPPA2</t>
  </si>
  <si>
    <t>218696_at</t>
  </si>
  <si>
    <t>EIF2AK3</t>
  </si>
  <si>
    <t>AFFX-HSAC07/X00351_M_at</t>
  </si>
  <si>
    <t>ACTB</t>
  </si>
  <si>
    <t>204836_at</t>
  </si>
  <si>
    <t>GLDC</t>
  </si>
  <si>
    <t>218409_s_at</t>
  </si>
  <si>
    <t>DNAJC1</t>
  </si>
  <si>
    <t>203907_s_at</t>
  </si>
  <si>
    <t>211098_x_at</t>
  </si>
  <si>
    <t>201623_s_at</t>
  </si>
  <si>
    <t>DARS</t>
  </si>
  <si>
    <t>202137_s_at</t>
  </si>
  <si>
    <t>221517_s_at</t>
  </si>
  <si>
    <t>MED17</t>
  </si>
  <si>
    <t>201014_s_at</t>
  </si>
  <si>
    <t>201699_at</t>
  </si>
  <si>
    <t>PSMC6</t>
  </si>
  <si>
    <t>206660_at</t>
  </si>
  <si>
    <t>IGLL1</t>
  </si>
  <si>
    <t>212070_at</t>
  </si>
  <si>
    <t>GPR56</t>
  </si>
  <si>
    <t>214139_at</t>
  </si>
  <si>
    <t>ARID4B</t>
  </si>
  <si>
    <t>215283_at</t>
  </si>
  <si>
    <t>LOC339290</t>
  </si>
  <si>
    <t>207567_at</t>
  </si>
  <si>
    <t>SLC13A2</t>
  </si>
  <si>
    <t>217478_s_at</t>
  </si>
  <si>
    <t>HLA-DMA /// HLA-DMB</t>
  </si>
  <si>
    <t>207078_at</t>
  </si>
  <si>
    <t>MED6</t>
  </si>
  <si>
    <t>218402_s_at</t>
  </si>
  <si>
    <t>HPS4</t>
  </si>
  <si>
    <t>212364_at</t>
  </si>
  <si>
    <t>MYO1B</t>
  </si>
  <si>
    <t>202214_s_at</t>
  </si>
  <si>
    <t>CUL4B</t>
  </si>
  <si>
    <t>206842_at</t>
  </si>
  <si>
    <t>KCND1</t>
  </si>
  <si>
    <t>216929_x_at</t>
  </si>
  <si>
    <t>ABO</t>
  </si>
  <si>
    <t>204615_x_at</t>
  </si>
  <si>
    <t>IDI1</t>
  </si>
  <si>
    <t>209513_s_at</t>
  </si>
  <si>
    <t>HSDL2</t>
  </si>
  <si>
    <t>209605_at</t>
  </si>
  <si>
    <t>TST</t>
  </si>
  <si>
    <t>209814_at</t>
  </si>
  <si>
    <t>ZNF330</t>
  </si>
  <si>
    <t>212263_at</t>
  </si>
  <si>
    <t>QKI</t>
  </si>
  <si>
    <t>212847_at</t>
  </si>
  <si>
    <t>FUBP1</t>
  </si>
  <si>
    <t>218315_s_at</t>
  </si>
  <si>
    <t>CDK5RAP1</t>
  </si>
  <si>
    <t>219859_at</t>
  </si>
  <si>
    <t>CLEC4E</t>
  </si>
  <si>
    <t>204222_s_at</t>
  </si>
  <si>
    <t>GLIPR1</t>
  </si>
  <si>
    <t>217189_s_at</t>
  </si>
  <si>
    <t>SMG7</t>
  </si>
  <si>
    <t>208755_x_at</t>
  </si>
  <si>
    <t>H3F3A /// H3F3B /// LOC440926</t>
  </si>
  <si>
    <t>209510_at</t>
  </si>
  <si>
    <t>RNF139</t>
  </si>
  <si>
    <t>211742_s_at</t>
  </si>
  <si>
    <t>EVI2B</t>
  </si>
  <si>
    <t>208885_at</t>
  </si>
  <si>
    <t>LCP1</t>
  </si>
  <si>
    <t>213095_x_at</t>
  </si>
  <si>
    <t>AIF1</t>
  </si>
  <si>
    <t>202388_at</t>
  </si>
  <si>
    <t>RGS2</t>
  </si>
  <si>
    <t>204286_s_at</t>
  </si>
  <si>
    <t>PMAIP1</t>
  </si>
  <si>
    <t>216116_at</t>
  </si>
  <si>
    <t>NCKIPSD</t>
  </si>
  <si>
    <t>200923_at</t>
  </si>
  <si>
    <t>LGALS3BP</t>
  </si>
  <si>
    <t>204174_at</t>
  </si>
  <si>
    <t>ALOX5AP</t>
  </si>
  <si>
    <t>213127_s_at</t>
  </si>
  <si>
    <t>MED8</t>
  </si>
  <si>
    <t>220753_s_at</t>
  </si>
  <si>
    <t>CRYL1</t>
  </si>
  <si>
    <t>208758_at</t>
  </si>
  <si>
    <t>ATIC</t>
  </si>
  <si>
    <t>202492_at</t>
  </si>
  <si>
    <t>ATG9A</t>
  </si>
  <si>
    <t>209495_at</t>
  </si>
  <si>
    <t>CEP250</t>
  </si>
  <si>
    <t>209192_x_at</t>
  </si>
  <si>
    <t>KAT5</t>
  </si>
  <si>
    <t>212660_at</t>
  </si>
  <si>
    <t>PHF15</t>
  </si>
  <si>
    <t>208341_x_at</t>
  </si>
  <si>
    <t>209014_at</t>
  </si>
  <si>
    <t>MAGED1</t>
  </si>
  <si>
    <t>218501_at</t>
  </si>
  <si>
    <t>ARHGEF3</t>
  </si>
  <si>
    <t>219083_at</t>
  </si>
  <si>
    <t>SHQ1</t>
  </si>
  <si>
    <t>220069_at</t>
  </si>
  <si>
    <t>TUBA8</t>
  </si>
  <si>
    <t>203015_s_at</t>
  </si>
  <si>
    <t>SSX2IP</t>
  </si>
  <si>
    <t>219469_at</t>
  </si>
  <si>
    <t>DYNC2H1</t>
  </si>
  <si>
    <t>202746_at</t>
  </si>
  <si>
    <t>209684_at</t>
  </si>
  <si>
    <t>RIN2</t>
  </si>
  <si>
    <t>209379_s_at</t>
  </si>
  <si>
    <t>FAM190B</t>
  </si>
  <si>
    <t>216458_at</t>
  </si>
  <si>
    <t>PQLC3</t>
  </si>
  <si>
    <t>200684_s_at</t>
  </si>
  <si>
    <t>209299_x_at</t>
  </si>
  <si>
    <t>PPIL2</t>
  </si>
  <si>
    <t>215460_x_at</t>
  </si>
  <si>
    <t>BRD1</t>
  </si>
  <si>
    <t>218311_at</t>
  </si>
  <si>
    <t>MAP4K3</t>
  </si>
  <si>
    <t>205673_s_at</t>
  </si>
  <si>
    <t>ASB9</t>
  </si>
  <si>
    <t>210054_at</t>
  </si>
  <si>
    <t>HAUS3</t>
  </si>
  <si>
    <t>200915_x_at</t>
  </si>
  <si>
    <t>KTN1</t>
  </si>
  <si>
    <t>205477_s_at</t>
  </si>
  <si>
    <t>AMBP</t>
  </si>
  <si>
    <t>212880_at</t>
  </si>
  <si>
    <t>WDR7</t>
  </si>
  <si>
    <t>221769_at</t>
  </si>
  <si>
    <t>200621_at</t>
  </si>
  <si>
    <t>CSRP1</t>
  </si>
  <si>
    <t>200675_at</t>
  </si>
  <si>
    <t>CD81</t>
  </si>
  <si>
    <t>204094_s_at</t>
  </si>
  <si>
    <t>TSC22D2</t>
  </si>
  <si>
    <t>204116_at</t>
  </si>
  <si>
    <t>IL2RG</t>
  </si>
  <si>
    <t>206059_at</t>
  </si>
  <si>
    <t>ZNF91</t>
  </si>
  <si>
    <t>209778_at</t>
  </si>
  <si>
    <t>TRIP11</t>
  </si>
  <si>
    <t>210638_s_at</t>
  </si>
  <si>
    <t>FBXO9</t>
  </si>
  <si>
    <t>212419_at</t>
  </si>
  <si>
    <t>205558_at</t>
  </si>
  <si>
    <t>TRAF6</t>
  </si>
  <si>
    <t>205214_at</t>
  </si>
  <si>
    <t>STK17B</t>
  </si>
  <si>
    <t>213322_at</t>
  </si>
  <si>
    <t>C6orf130</t>
  </si>
  <si>
    <t>201008_s_at</t>
  </si>
  <si>
    <t>210432_s_at</t>
  </si>
  <si>
    <t>SCN3A</t>
  </si>
  <si>
    <t>204068_at</t>
  </si>
  <si>
    <t>STK3</t>
  </si>
  <si>
    <t>202499_s_at</t>
  </si>
  <si>
    <t>SLC2A3</t>
  </si>
  <si>
    <t>202517_at</t>
  </si>
  <si>
    <t>CRMP1</t>
  </si>
  <si>
    <t>201201_at</t>
  </si>
  <si>
    <t>CSTB</t>
  </si>
  <si>
    <t>214779_s_at</t>
  </si>
  <si>
    <t>221074_at</t>
  </si>
  <si>
    <t>NCR2</t>
  </si>
  <si>
    <t>214255_at</t>
  </si>
  <si>
    <t>ATP10A</t>
  </si>
  <si>
    <t>200097_s_at</t>
  </si>
  <si>
    <t>HNRNPK</t>
  </si>
  <si>
    <t>210592_s_at</t>
  </si>
  <si>
    <t>SAT1</t>
  </si>
  <si>
    <t>220574_at</t>
  </si>
  <si>
    <t>SEMA6D</t>
  </si>
  <si>
    <t>202465_at</t>
  </si>
  <si>
    <t>PCOLCE</t>
  </si>
  <si>
    <t>202486_at</t>
  </si>
  <si>
    <t>AFG3L2</t>
  </si>
  <si>
    <t>208759_at</t>
  </si>
  <si>
    <t>NCSTN</t>
  </si>
  <si>
    <t>212465_at</t>
  </si>
  <si>
    <t>SETD3</t>
  </si>
  <si>
    <t>217889_s_at</t>
  </si>
  <si>
    <t>CYBRD1</t>
  </si>
  <si>
    <t>212400_at</t>
  </si>
  <si>
    <t>FAM102A</t>
  </si>
  <si>
    <t>209784_s_at</t>
  </si>
  <si>
    <t>208822_s_at</t>
  </si>
  <si>
    <t>DAP3</t>
  </si>
  <si>
    <t>212828_at</t>
  </si>
  <si>
    <t>SYNJ2</t>
  </si>
  <si>
    <t>219006_at</t>
  </si>
  <si>
    <t>NDUFAF4</t>
  </si>
  <si>
    <t>208405_s_at</t>
  </si>
  <si>
    <t>205435_s_at</t>
  </si>
  <si>
    <t>AAK1</t>
  </si>
  <si>
    <t>212202_s_at</t>
  </si>
  <si>
    <t>TMEM87A</t>
  </si>
  <si>
    <t>217793_at</t>
  </si>
  <si>
    <t>RAB11B</t>
  </si>
  <si>
    <t>218135_at</t>
  </si>
  <si>
    <t>ERGIC2</t>
  </si>
  <si>
    <t>202967_at</t>
  </si>
  <si>
    <t>GSTA4</t>
  </si>
  <si>
    <t>203932_at</t>
  </si>
  <si>
    <t>HLA-DMB</t>
  </si>
  <si>
    <t>211067_s_at</t>
  </si>
  <si>
    <t>GAS7</t>
  </si>
  <si>
    <t>213503_x_at</t>
  </si>
  <si>
    <t>ANXA2</t>
  </si>
  <si>
    <t>219819_s_at</t>
  </si>
  <si>
    <t>MRPS28</t>
  </si>
  <si>
    <t>211698_at</t>
  </si>
  <si>
    <t>EID1</t>
  </si>
  <si>
    <t>214305_s_at</t>
  </si>
  <si>
    <t>201608_s_at</t>
  </si>
  <si>
    <t>PWP1</t>
  </si>
  <si>
    <t>202723_s_at</t>
  </si>
  <si>
    <t>205345_at</t>
  </si>
  <si>
    <t>BARD1</t>
  </si>
  <si>
    <t>208787_at</t>
  </si>
  <si>
    <t>MRPL3</t>
  </si>
  <si>
    <t>209435_s_at</t>
  </si>
  <si>
    <t>ARHGEF2</t>
  </si>
  <si>
    <t>210112_at</t>
  </si>
  <si>
    <t>HPS1</t>
  </si>
  <si>
    <t>213251_at</t>
  </si>
  <si>
    <t>SMARCA5</t>
  </si>
  <si>
    <t>201381_x_at</t>
  </si>
  <si>
    <t>CACYBP</t>
  </si>
  <si>
    <t>219810_at</t>
  </si>
  <si>
    <t>VCPIP1</t>
  </si>
  <si>
    <t>208030_s_at</t>
  </si>
  <si>
    <t>208056_s_at</t>
  </si>
  <si>
    <t>CBFA2T3</t>
  </si>
  <si>
    <t>221728_x_at</t>
  </si>
  <si>
    <t>217422_s_at</t>
  </si>
  <si>
    <t>CD22</t>
  </si>
  <si>
    <t>206324_s_at</t>
  </si>
  <si>
    <t>DAPK2</t>
  </si>
  <si>
    <t>204954_s_at</t>
  </si>
  <si>
    <t>DYRK1B</t>
  </si>
  <si>
    <t>201155_s_at</t>
  </si>
  <si>
    <t>MFN2</t>
  </si>
  <si>
    <t>208518_s_at</t>
  </si>
  <si>
    <t>PER2</t>
  </si>
  <si>
    <t>221032_s_at</t>
  </si>
  <si>
    <t>TMPRSS5</t>
  </si>
  <si>
    <t>203613_s_at</t>
  </si>
  <si>
    <t>NDUFB6</t>
  </si>
  <si>
    <t>212378_at</t>
  </si>
  <si>
    <t>GART</t>
  </si>
  <si>
    <t>201827_at</t>
  </si>
  <si>
    <t>SMARCD2</t>
  </si>
  <si>
    <t>217768_at</t>
  </si>
  <si>
    <t>C14orf166</t>
  </si>
  <si>
    <t>201872_s_at</t>
  </si>
  <si>
    <t>ABCE1</t>
  </si>
  <si>
    <t>212626_x_at</t>
  </si>
  <si>
    <t>HNRNPC</t>
  </si>
  <si>
    <t>213785_at</t>
  </si>
  <si>
    <t>IPO9</t>
  </si>
  <si>
    <t>214170_x_at</t>
  </si>
  <si>
    <t>220240_s_at</t>
  </si>
  <si>
    <t>TMCO3</t>
  </si>
  <si>
    <t>45749_at</t>
  </si>
  <si>
    <t>FAM65A</t>
  </si>
  <si>
    <t>213744_at</t>
  </si>
  <si>
    <t>ATRNL1</t>
  </si>
  <si>
    <t>205352_at</t>
  </si>
  <si>
    <t>SERPINI1</t>
  </si>
  <si>
    <t>208038_at</t>
  </si>
  <si>
    <t>IL1RL2</t>
  </si>
  <si>
    <t>213759_at</t>
  </si>
  <si>
    <t>202138_x_at</t>
  </si>
  <si>
    <t>AIMP2</t>
  </si>
  <si>
    <t>203745_at</t>
  </si>
  <si>
    <t>HCCS</t>
  </si>
  <si>
    <t>206304_at</t>
  </si>
  <si>
    <t>MYBPH</t>
  </si>
  <si>
    <t>202188_at</t>
  </si>
  <si>
    <t>NUP93</t>
  </si>
  <si>
    <t>203139_at</t>
  </si>
  <si>
    <t>DAPK1</t>
  </si>
  <si>
    <t>218171_at</t>
  </si>
  <si>
    <t>VPS4B</t>
  </si>
  <si>
    <t>201539_s_at</t>
  </si>
  <si>
    <t>FHL1</t>
  </si>
  <si>
    <t>204429_s_at</t>
  </si>
  <si>
    <t>SLC2A5</t>
  </si>
  <si>
    <t>209234_at</t>
  </si>
  <si>
    <t>KIF1B</t>
  </si>
  <si>
    <t>213289_at</t>
  </si>
  <si>
    <t>221287_at</t>
  </si>
  <si>
    <t>RNASEL</t>
  </si>
  <si>
    <t>214291_at</t>
  </si>
  <si>
    <t>LOC729046 /// RPL17</t>
  </si>
  <si>
    <t>207735_at</t>
  </si>
  <si>
    <t>RNF125</t>
  </si>
  <si>
    <t>213359_at</t>
  </si>
  <si>
    <t>HNRNPD</t>
  </si>
  <si>
    <t>218029_at</t>
  </si>
  <si>
    <t>201965_s_at</t>
  </si>
  <si>
    <t>SETX</t>
  </si>
  <si>
    <t>204212_at</t>
  </si>
  <si>
    <t>ACOT8</t>
  </si>
  <si>
    <t>209076_s_at</t>
  </si>
  <si>
    <t>WDR45L</t>
  </si>
  <si>
    <t>202743_at</t>
  </si>
  <si>
    <t>PIK3R3</t>
  </si>
  <si>
    <t>202845_s_at</t>
  </si>
  <si>
    <t>RALBP1</t>
  </si>
  <si>
    <t>204404_at</t>
  </si>
  <si>
    <t>SLC12A2</t>
  </si>
  <si>
    <t>214683_s_at</t>
  </si>
  <si>
    <t>CLK1 /// PPIL3</t>
  </si>
  <si>
    <t>216903_s_at</t>
  </si>
  <si>
    <t>CBARA1</t>
  </si>
  <si>
    <t>218095_s_at</t>
  </si>
  <si>
    <t>TMEM165</t>
  </si>
  <si>
    <t>220257_x_at</t>
  </si>
  <si>
    <t>NXF2</t>
  </si>
  <si>
    <t>200997_at</t>
  </si>
  <si>
    <t>RBM4</t>
  </si>
  <si>
    <t>212515_s_at</t>
  </si>
  <si>
    <t>DDX3X</t>
  </si>
  <si>
    <t>213940_s_at</t>
  </si>
  <si>
    <t>204992_s_at</t>
  </si>
  <si>
    <t>PFN2</t>
  </si>
  <si>
    <t>212521_s_at</t>
  </si>
  <si>
    <t>PDE8A</t>
  </si>
  <si>
    <t>201029_s_at</t>
  </si>
  <si>
    <t>CD99</t>
  </si>
  <si>
    <t>201219_at</t>
  </si>
  <si>
    <t>202483_s_at</t>
  </si>
  <si>
    <t>RANBP1</t>
  </si>
  <si>
    <t>203909_at</t>
  </si>
  <si>
    <t>SLC9A6</t>
  </si>
  <si>
    <t>207462_at</t>
  </si>
  <si>
    <t>GLRA2</t>
  </si>
  <si>
    <t>209836_x_at</t>
  </si>
  <si>
    <t>BOLA2 /// BOLA2B</t>
  </si>
  <si>
    <t>212453_at</t>
  </si>
  <si>
    <t>KIAA1279</t>
  </si>
  <si>
    <t>214453_s_at</t>
  </si>
  <si>
    <t>IFI44</t>
  </si>
  <si>
    <t>222101_s_at</t>
  </si>
  <si>
    <t>DCHS1</t>
  </si>
  <si>
    <t>201302_at</t>
  </si>
  <si>
    <t>ANXA4</t>
  </si>
  <si>
    <t>205227_at</t>
  </si>
  <si>
    <t>IL1RAP</t>
  </si>
  <si>
    <t>200853_at</t>
  </si>
  <si>
    <t>H2AFZ</t>
  </si>
  <si>
    <t>213717_at</t>
  </si>
  <si>
    <t>LDB3</t>
  </si>
  <si>
    <t>208894_at</t>
  </si>
  <si>
    <t>203910_at</t>
  </si>
  <si>
    <t>ARHGAP29</t>
  </si>
  <si>
    <t>202365_at</t>
  </si>
  <si>
    <t>UNC119B</t>
  </si>
  <si>
    <t>204565_at</t>
  </si>
  <si>
    <t>ACOT13</t>
  </si>
  <si>
    <t>210427_x_at</t>
  </si>
  <si>
    <t>203667_at</t>
  </si>
  <si>
    <t>TBCA</t>
  </si>
  <si>
    <t>221927_s_at</t>
  </si>
  <si>
    <t>ABHD11</t>
  </si>
  <si>
    <t>208662_s_at</t>
  </si>
  <si>
    <t>203565_s_at</t>
  </si>
  <si>
    <t>MNAT1</t>
  </si>
  <si>
    <t>208663_s_at</t>
  </si>
  <si>
    <t>208798_x_at</t>
  </si>
  <si>
    <t>GOLGA8A</t>
  </si>
  <si>
    <t>209202_s_at</t>
  </si>
  <si>
    <t>EXTL3</t>
  </si>
  <si>
    <t>218233_s_at</t>
  </si>
  <si>
    <t>PRICKLE4 /// TOMM6</t>
  </si>
  <si>
    <t>207549_x_at</t>
  </si>
  <si>
    <t>CD46</t>
  </si>
  <si>
    <t>217207_s_at</t>
  </si>
  <si>
    <t>BTNL3</t>
  </si>
  <si>
    <t>213012_at</t>
  </si>
  <si>
    <t>NEDD4</t>
  </si>
  <si>
    <t>205189_s_at</t>
  </si>
  <si>
    <t>FANCC</t>
  </si>
  <si>
    <t>202750_s_at</t>
  </si>
  <si>
    <t>TFIP11</t>
  </si>
  <si>
    <t>209216_at</t>
  </si>
  <si>
    <t>WDR45</t>
  </si>
  <si>
    <t>201578_at</t>
  </si>
  <si>
    <t>PODXL</t>
  </si>
  <si>
    <t>205859_at</t>
  </si>
  <si>
    <t>LY86</t>
  </si>
  <si>
    <t>219015_s_at</t>
  </si>
  <si>
    <t>222029_x_at</t>
  </si>
  <si>
    <t>PFDN6</t>
  </si>
  <si>
    <t>218041_x_at</t>
  </si>
  <si>
    <t>SLC38A2</t>
  </si>
  <si>
    <t>200615_s_at</t>
  </si>
  <si>
    <t>AP2B1</t>
  </si>
  <si>
    <t>203659_s_at</t>
  </si>
  <si>
    <t>TRIM13</t>
  </si>
  <si>
    <t>212371_at</t>
  </si>
  <si>
    <t>PPPDE1</t>
  </si>
  <si>
    <t>201825_s_at</t>
  </si>
  <si>
    <t>SCCPDH</t>
  </si>
  <si>
    <t>202946_s_at</t>
  </si>
  <si>
    <t>BTBD3</t>
  </si>
  <si>
    <t>204937_s_at</t>
  </si>
  <si>
    <t>ZNF274</t>
  </si>
  <si>
    <t>210180_s_at</t>
  </si>
  <si>
    <t>TRA2B</t>
  </si>
  <si>
    <t>212174_at</t>
  </si>
  <si>
    <t>AK2</t>
  </si>
  <si>
    <t>218227_at</t>
  </si>
  <si>
    <t>NUBP2</t>
  </si>
  <si>
    <t>216733_s_at</t>
  </si>
  <si>
    <t>GATM</t>
  </si>
  <si>
    <t>206636_at</t>
  </si>
  <si>
    <t>RASA2</t>
  </si>
  <si>
    <t>209574_s_at</t>
  </si>
  <si>
    <t>219068_x_at</t>
  </si>
  <si>
    <t>ATAD3A</t>
  </si>
  <si>
    <t>219707_at</t>
  </si>
  <si>
    <t>CPNE7</t>
  </si>
  <si>
    <t>222035_s_at</t>
  </si>
  <si>
    <t>215455_at</t>
  </si>
  <si>
    <t>TIMELESS</t>
  </si>
  <si>
    <t>201853_s_at</t>
  </si>
  <si>
    <t>CDC25B</t>
  </si>
  <si>
    <t>38037_at</t>
  </si>
  <si>
    <t>HBEGF</t>
  </si>
  <si>
    <t>40562_at</t>
  </si>
  <si>
    <t>GNA11</t>
  </si>
  <si>
    <t>200955_at</t>
  </si>
  <si>
    <t>IMMT</t>
  </si>
  <si>
    <t>204682_at</t>
  </si>
  <si>
    <t>LTBP2</t>
  </si>
  <si>
    <t>213330_s_at</t>
  </si>
  <si>
    <t>STIP1</t>
  </si>
  <si>
    <t>213476_x_at</t>
  </si>
  <si>
    <t>TUBB3</t>
  </si>
  <si>
    <t>218552_at</t>
  </si>
  <si>
    <t>ECHDC2</t>
  </si>
  <si>
    <t>218722_s_at</t>
  </si>
  <si>
    <t>CCDC51</t>
  </si>
  <si>
    <t>220610_s_at</t>
  </si>
  <si>
    <t>LRRFIP2</t>
  </si>
  <si>
    <t>218262_at</t>
  </si>
  <si>
    <t>RMND5B</t>
  </si>
  <si>
    <t>220095_at</t>
  </si>
  <si>
    <t>CNTLN</t>
  </si>
  <si>
    <t>220924_s_at</t>
  </si>
  <si>
    <t>200772_x_at</t>
  </si>
  <si>
    <t>PTMA</t>
  </si>
  <si>
    <t>201016_at</t>
  </si>
  <si>
    <t>204975_at</t>
  </si>
  <si>
    <t>EMP2</t>
  </si>
  <si>
    <t>37384_at</t>
  </si>
  <si>
    <t>PPM1F</t>
  </si>
  <si>
    <t>221551_x_at</t>
  </si>
  <si>
    <t>ST6GALNAC4</t>
  </si>
  <si>
    <t>203063_at</t>
  </si>
  <si>
    <t>202598_at</t>
  </si>
  <si>
    <t>S100A13</t>
  </si>
  <si>
    <t>215051_x_at</t>
  </si>
  <si>
    <t>208870_x_at</t>
  </si>
  <si>
    <t>217783_s_at</t>
  </si>
  <si>
    <t>YPEL5</t>
  </si>
  <si>
    <t>201071_x_at</t>
  </si>
  <si>
    <t>202877_s_at</t>
  </si>
  <si>
    <t>204119_s_at</t>
  </si>
  <si>
    <t>ADK</t>
  </si>
  <si>
    <t>209327_s_at</t>
  </si>
  <si>
    <t>NOP16</t>
  </si>
  <si>
    <t>210176_at</t>
  </si>
  <si>
    <t>TLR1</t>
  </si>
  <si>
    <t>213208_at</t>
  </si>
  <si>
    <t>KIAA0240</t>
  </si>
  <si>
    <t>213589_s_at</t>
  </si>
  <si>
    <t>B3GNTL1</t>
  </si>
  <si>
    <t>213758_at</t>
  </si>
  <si>
    <t>COX4I1</t>
  </si>
  <si>
    <t>217455_s_at</t>
  </si>
  <si>
    <t>SSTR2</t>
  </si>
  <si>
    <t>221408_x_at</t>
  </si>
  <si>
    <t>PCDHB12</t>
  </si>
  <si>
    <t>221514_at</t>
  </si>
  <si>
    <t>UTP14A</t>
  </si>
  <si>
    <t>205805_s_at</t>
  </si>
  <si>
    <t>ROR1</t>
  </si>
  <si>
    <t>214032_at</t>
  </si>
  <si>
    <t>ZAP70</t>
  </si>
  <si>
    <t>210613_s_at</t>
  </si>
  <si>
    <t>SYNGR1</t>
  </si>
  <si>
    <t>212376_s_at</t>
  </si>
  <si>
    <t>EP400</t>
  </si>
  <si>
    <t>218261_at</t>
  </si>
  <si>
    <t>AP1M2</t>
  </si>
  <si>
    <t>201593_s_at</t>
  </si>
  <si>
    <t>ZC3H15</t>
  </si>
  <si>
    <t>208962_s_at</t>
  </si>
  <si>
    <t>202994_s_at</t>
  </si>
  <si>
    <t>FBLN1</t>
  </si>
  <si>
    <t>212056_at</t>
  </si>
  <si>
    <t>KIAA0182</t>
  </si>
  <si>
    <t>201254_x_at</t>
  </si>
  <si>
    <t>RPS6</t>
  </si>
  <si>
    <t>213054_at</t>
  </si>
  <si>
    <t>HAUS5</t>
  </si>
  <si>
    <t>203832_at</t>
  </si>
  <si>
    <t>SNRPF</t>
  </si>
  <si>
    <t>211808_s_at</t>
  </si>
  <si>
    <t>CREBBP</t>
  </si>
  <si>
    <t>212753_at</t>
  </si>
  <si>
    <t>PCGF3</t>
  </si>
  <si>
    <t>218949_s_at</t>
  </si>
  <si>
    <t>QRSL1</t>
  </si>
  <si>
    <t>201534_s_at</t>
  </si>
  <si>
    <t>UBL3</t>
  </si>
  <si>
    <t>213538_at</t>
  </si>
  <si>
    <t>SON</t>
  </si>
  <si>
    <t>219657_s_at</t>
  </si>
  <si>
    <t>KLF3</t>
  </si>
  <si>
    <t>203128_at</t>
  </si>
  <si>
    <t>SPTLC2</t>
  </si>
  <si>
    <t>217825_s_at</t>
  </si>
  <si>
    <t>212462_at</t>
  </si>
  <si>
    <t>MYST4</t>
  </si>
  <si>
    <t>200687_s_at</t>
  </si>
  <si>
    <t>SF3B3</t>
  </si>
  <si>
    <t>203405_at</t>
  </si>
  <si>
    <t>PSMG1</t>
  </si>
  <si>
    <t>218542_at</t>
  </si>
  <si>
    <t>CEP55</t>
  </si>
  <si>
    <t>217139_at</t>
  </si>
  <si>
    <t>LOC642585 /// VDAC1</t>
  </si>
  <si>
    <t>213170_at</t>
  </si>
  <si>
    <t>GPX7</t>
  </si>
  <si>
    <t>218906_x_at</t>
  </si>
  <si>
    <t>KLC2</t>
  </si>
  <si>
    <t>219049_at</t>
  </si>
  <si>
    <t>CSGALNACT1</t>
  </si>
  <si>
    <t>203800_s_at</t>
  </si>
  <si>
    <t>MRPS14</t>
  </si>
  <si>
    <t>220740_s_at</t>
  </si>
  <si>
    <t>SLC12A6</t>
  </si>
  <si>
    <t>221757_at</t>
  </si>
  <si>
    <t>212789_at</t>
  </si>
  <si>
    <t>NCAPD3</t>
  </si>
  <si>
    <t>202080_s_at</t>
  </si>
  <si>
    <t>TRAK1</t>
  </si>
  <si>
    <t>218608_at</t>
  </si>
  <si>
    <t>ATP13A2</t>
  </si>
  <si>
    <t>218769_s_at</t>
  </si>
  <si>
    <t>ANKRA2</t>
  </si>
  <si>
    <t>204434_at</t>
  </si>
  <si>
    <t>SPATA2</t>
  </si>
  <si>
    <t>212259_s_at</t>
  </si>
  <si>
    <t>PBXIP1</t>
  </si>
  <si>
    <t>221758_at</t>
  </si>
  <si>
    <t>ARMC6</t>
  </si>
  <si>
    <t>203421_at</t>
  </si>
  <si>
    <t>TP53I11</t>
  </si>
  <si>
    <t>209205_s_at</t>
  </si>
  <si>
    <t>LMO4</t>
  </si>
  <si>
    <t>221433_at</t>
  </si>
  <si>
    <t>FGF21</t>
  </si>
  <si>
    <t>206182_at</t>
  </si>
  <si>
    <t>ZNF134</t>
  </si>
  <si>
    <t>201590_x_at</t>
  </si>
  <si>
    <t>206011_at</t>
  </si>
  <si>
    <t>CASP1</t>
  </si>
  <si>
    <t>200846_s_at</t>
  </si>
  <si>
    <t>PPP1CA</t>
  </si>
  <si>
    <t>201426_s_at</t>
  </si>
  <si>
    <t>VIM</t>
  </si>
  <si>
    <t>201911_s_at</t>
  </si>
  <si>
    <t>205240_at</t>
  </si>
  <si>
    <t>GPSM2</t>
  </si>
  <si>
    <t>208916_at</t>
  </si>
  <si>
    <t>SLC1A5</t>
  </si>
  <si>
    <t>212769_at</t>
  </si>
  <si>
    <t>TLE3</t>
  </si>
  <si>
    <t>216396_s_at</t>
  </si>
  <si>
    <t>EI24</t>
  </si>
  <si>
    <t>219020_at</t>
  </si>
  <si>
    <t>HS1BP3</t>
  </si>
  <si>
    <t>208890_s_at</t>
  </si>
  <si>
    <t>PLXNB2</t>
  </si>
  <si>
    <t>201326_at</t>
  </si>
  <si>
    <t>CCT6A</t>
  </si>
  <si>
    <t>208924_at</t>
  </si>
  <si>
    <t>RNF11</t>
  </si>
  <si>
    <t>211991_s_at</t>
  </si>
  <si>
    <t>202630_at</t>
  </si>
  <si>
    <t>APPBP2</t>
  </si>
  <si>
    <t>201313_at</t>
  </si>
  <si>
    <t>ENO2</t>
  </si>
  <si>
    <t>205707_at</t>
  </si>
  <si>
    <t>IL17RA</t>
  </si>
  <si>
    <t>206674_at</t>
  </si>
  <si>
    <t>FLT3</t>
  </si>
  <si>
    <t>211574_s_at</t>
  </si>
  <si>
    <t>214233_at</t>
  </si>
  <si>
    <t>LOC100288178</t>
  </si>
  <si>
    <t>222126_at</t>
  </si>
  <si>
    <t>AGFG2</t>
  </si>
  <si>
    <t>203847_s_at</t>
  </si>
  <si>
    <t>AKAP8</t>
  </si>
  <si>
    <t>217907_at</t>
  </si>
  <si>
    <t>MRPL18</t>
  </si>
  <si>
    <t>202248_at</t>
  </si>
  <si>
    <t>E2F4</t>
  </si>
  <si>
    <t>211190_x_at</t>
  </si>
  <si>
    <t>CD84</t>
  </si>
  <si>
    <t>219167_at</t>
  </si>
  <si>
    <t>RASL12</t>
  </si>
  <si>
    <t>218379_at</t>
  </si>
  <si>
    <t>RBM7</t>
  </si>
  <si>
    <t>212153_at</t>
  </si>
  <si>
    <t>POGZ</t>
  </si>
  <si>
    <t>202451_at</t>
  </si>
  <si>
    <t>GTF2H1</t>
  </si>
  <si>
    <t>220508_at</t>
  </si>
  <si>
    <t>CCT8L2</t>
  </si>
  <si>
    <t>205777_at</t>
  </si>
  <si>
    <t>DUSP9</t>
  </si>
  <si>
    <t>221196_x_at</t>
  </si>
  <si>
    <t>BRCC3</t>
  </si>
  <si>
    <t>208251_at</t>
  </si>
  <si>
    <t>KCNC4</t>
  </si>
  <si>
    <t>212684_at</t>
  </si>
  <si>
    <t>ZNF3</t>
  </si>
  <si>
    <t>216520_s_at</t>
  </si>
  <si>
    <t>TPT1</t>
  </si>
  <si>
    <t>203397_s_at</t>
  </si>
  <si>
    <t>GALNT3</t>
  </si>
  <si>
    <t>221564_at</t>
  </si>
  <si>
    <t>PRMT2</t>
  </si>
  <si>
    <t>201163_s_at</t>
  </si>
  <si>
    <t>201377_at</t>
  </si>
  <si>
    <t>UBAP2L</t>
  </si>
  <si>
    <t>206880_at</t>
  </si>
  <si>
    <t>P2RX6</t>
  </si>
  <si>
    <t>212499_s_at</t>
  </si>
  <si>
    <t>FCF1 /// MAPK1IP1L</t>
  </si>
  <si>
    <t>218137_s_at</t>
  </si>
  <si>
    <t>SMAP1</t>
  </si>
  <si>
    <t>220061_at</t>
  </si>
  <si>
    <t>ACSM5</t>
  </si>
  <si>
    <t>220557_s_at</t>
  </si>
  <si>
    <t>PACS1</t>
  </si>
  <si>
    <t>213423_x_at</t>
  </si>
  <si>
    <t>217906_at</t>
  </si>
  <si>
    <t>KLHDC2</t>
  </si>
  <si>
    <t>213558_at</t>
  </si>
  <si>
    <t>PCLO</t>
  </si>
  <si>
    <t>202657_s_at</t>
  </si>
  <si>
    <t>SERTAD2</t>
  </si>
  <si>
    <t>206655_s_at</t>
  </si>
  <si>
    <t>GP1BB /// SEPT5</t>
  </si>
  <si>
    <t>203042_at</t>
  </si>
  <si>
    <t>218050_at</t>
  </si>
  <si>
    <t>UFM1</t>
  </si>
  <si>
    <t>218603_at</t>
  </si>
  <si>
    <t>HECA</t>
  </si>
  <si>
    <t>205504_at</t>
  </si>
  <si>
    <t>BTK</t>
  </si>
  <si>
    <t>220578_at</t>
  </si>
  <si>
    <t>ADAMTSL4</t>
  </si>
  <si>
    <t>221350_at</t>
  </si>
  <si>
    <t>HOXC8</t>
  </si>
  <si>
    <t>211765_x_at</t>
  </si>
  <si>
    <t>PPIA</t>
  </si>
  <si>
    <t>216620_s_at</t>
  </si>
  <si>
    <t>ARHGEF10</t>
  </si>
  <si>
    <t>218856_at</t>
  </si>
  <si>
    <t>TNFRSF21</t>
  </si>
  <si>
    <t>201403_s_at</t>
  </si>
  <si>
    <t>MGST3</t>
  </si>
  <si>
    <t>215280_s_at</t>
  </si>
  <si>
    <t>PPFIA3</t>
  </si>
  <si>
    <t>209021_x_at</t>
  </si>
  <si>
    <t>KIAA0652</t>
  </si>
  <si>
    <t>218549_s_at</t>
  </si>
  <si>
    <t>FAM82B</t>
  </si>
  <si>
    <t>201019_s_at</t>
  </si>
  <si>
    <t>EIF1AP1 /// EIF1AX</t>
  </si>
  <si>
    <t>208781_x_at</t>
  </si>
  <si>
    <t>SNX3</t>
  </si>
  <si>
    <t>211985_s_at</t>
  </si>
  <si>
    <t>CALM1</t>
  </si>
  <si>
    <t>204576_s_at</t>
  </si>
  <si>
    <t>CLUAP1</t>
  </si>
  <si>
    <t>219257_s_at</t>
  </si>
  <si>
    <t>SPHK1</t>
  </si>
  <si>
    <t>203612_at</t>
  </si>
  <si>
    <t>BYSL</t>
  </si>
  <si>
    <t>203912_s_at</t>
  </si>
  <si>
    <t>DNASE1L1</t>
  </si>
  <si>
    <t>204324_s_at</t>
  </si>
  <si>
    <t>GOLIM4</t>
  </si>
  <si>
    <t>210070_s_at</t>
  </si>
  <si>
    <t>CHKB-CPT1B /// CPT1B</t>
  </si>
  <si>
    <t>216432_at</t>
  </si>
  <si>
    <t>SLC28A2</t>
  </si>
  <si>
    <t>201023_at</t>
  </si>
  <si>
    <t>TAF7</t>
  </si>
  <si>
    <t>218006_s_at</t>
  </si>
  <si>
    <t>ZNF22</t>
  </si>
  <si>
    <t>204303_s_at</t>
  </si>
  <si>
    <t>KIAA0427</t>
  </si>
  <si>
    <t>204340_at</t>
  </si>
  <si>
    <t>TMEM187</t>
  </si>
  <si>
    <t>219547_at</t>
  </si>
  <si>
    <t>COX15</t>
  </si>
  <si>
    <t>221528_s_at</t>
  </si>
  <si>
    <t>ELMO2</t>
  </si>
  <si>
    <t>201875_s_at</t>
  </si>
  <si>
    <t>MPZL1</t>
  </si>
  <si>
    <t>207595_s_at</t>
  </si>
  <si>
    <t>BMP1</t>
  </si>
  <si>
    <t>222088_s_at</t>
  </si>
  <si>
    <t>SLC2A14 /// SLC2A3</t>
  </si>
  <si>
    <t>206081_at</t>
  </si>
  <si>
    <t>SLC24A1</t>
  </si>
  <si>
    <t>212264_s_at</t>
  </si>
  <si>
    <t>WAPAL</t>
  </si>
  <si>
    <t>201272_at</t>
  </si>
  <si>
    <t>AKR1B1</t>
  </si>
  <si>
    <t>203303_at</t>
  </si>
  <si>
    <t>DYNLT3</t>
  </si>
  <si>
    <t>220090_at</t>
  </si>
  <si>
    <t>CRNN</t>
  </si>
  <si>
    <t>217014_s_at</t>
  </si>
  <si>
    <t>AZGP1</t>
  </si>
  <si>
    <t>205125_at</t>
  </si>
  <si>
    <t>PLCD1</t>
  </si>
  <si>
    <t>204033_at</t>
  </si>
  <si>
    <t>TRIP13</t>
  </si>
  <si>
    <t>209295_at</t>
  </si>
  <si>
    <t>TNFRSF10B</t>
  </si>
  <si>
    <t>209662_at</t>
  </si>
  <si>
    <t>CETN3</t>
  </si>
  <si>
    <t>211237_s_at</t>
  </si>
  <si>
    <t>FGFR4</t>
  </si>
  <si>
    <t>211835_at</t>
  </si>
  <si>
    <t>IGKC /// IGKV1-5 /// LOC652493</t>
  </si>
  <si>
    <t>216241_s_at</t>
  </si>
  <si>
    <t>TCEA1</t>
  </si>
  <si>
    <t>218477_at</t>
  </si>
  <si>
    <t>TMEM14A</t>
  </si>
  <si>
    <t>201145_at</t>
  </si>
  <si>
    <t>HAX1</t>
  </si>
  <si>
    <t>201164_s_at</t>
  </si>
  <si>
    <t>PUM1</t>
  </si>
  <si>
    <t>201419_at</t>
  </si>
  <si>
    <t>BAP1</t>
  </si>
  <si>
    <t>201731_s_at</t>
  </si>
  <si>
    <t>TPR</t>
  </si>
  <si>
    <t>205708_s_at</t>
  </si>
  <si>
    <t>TRPM2</t>
  </si>
  <si>
    <t>206371_at</t>
  </si>
  <si>
    <t>FOLR3</t>
  </si>
  <si>
    <t>207606_s_at</t>
  </si>
  <si>
    <t>ARHGAP12</t>
  </si>
  <si>
    <t>211793_s_at</t>
  </si>
  <si>
    <t>ABI2</t>
  </si>
  <si>
    <t>211872_s_at</t>
  </si>
  <si>
    <t>RGS11</t>
  </si>
  <si>
    <t>212416_at</t>
  </si>
  <si>
    <t>SCAMP1</t>
  </si>
  <si>
    <t>213806_at</t>
  </si>
  <si>
    <t>PURA</t>
  </si>
  <si>
    <t>214085_x_at</t>
  </si>
  <si>
    <t>214224_s_at</t>
  </si>
  <si>
    <t>PIN4</t>
  </si>
  <si>
    <t>218069_at</t>
  </si>
  <si>
    <t>DCTPP1</t>
  </si>
  <si>
    <t>218573_at</t>
  </si>
  <si>
    <t>MAGEH1</t>
  </si>
  <si>
    <t>219551_at</t>
  </si>
  <si>
    <t>EAF2</t>
  </si>
  <si>
    <t>220358_at</t>
  </si>
  <si>
    <t>BATF3</t>
  </si>
  <si>
    <t>219623_at</t>
  </si>
  <si>
    <t>ACTR5</t>
  </si>
  <si>
    <t>215671_at</t>
  </si>
  <si>
    <t>201953_at</t>
  </si>
  <si>
    <t>CIB1</t>
  </si>
  <si>
    <t>213736_at</t>
  </si>
  <si>
    <t>COX5B</t>
  </si>
  <si>
    <t>222044_at</t>
  </si>
  <si>
    <t>PCIF1</t>
  </si>
  <si>
    <t>200910_at</t>
  </si>
  <si>
    <t>CCT3</t>
  </si>
  <si>
    <t>201220_x_at</t>
  </si>
  <si>
    <t>209647_s_at</t>
  </si>
  <si>
    <t>SOCS5</t>
  </si>
  <si>
    <t>209101_at</t>
  </si>
  <si>
    <t>CTGF</t>
  </si>
  <si>
    <t>212991_at</t>
  </si>
  <si>
    <t>211825_s_at</t>
  </si>
  <si>
    <t>EWSR1 /// FLI1</t>
  </si>
  <si>
    <t>218419_s_at</t>
  </si>
  <si>
    <t>TMUB2</t>
  </si>
  <si>
    <t>219004_s_at</t>
  </si>
  <si>
    <t>C21orf45</t>
  </si>
  <si>
    <t>203031_s_at</t>
  </si>
  <si>
    <t>UROS</t>
  </si>
  <si>
    <t>204118_at</t>
  </si>
  <si>
    <t>CD48</t>
  </si>
  <si>
    <t>209062_x_at</t>
  </si>
  <si>
    <t>NCOA3</t>
  </si>
  <si>
    <t>206940_s_at</t>
  </si>
  <si>
    <t>218025_s_at</t>
  </si>
  <si>
    <t>PECI</t>
  </si>
  <si>
    <t>220015_at</t>
  </si>
  <si>
    <t>CASZ1</t>
  </si>
  <si>
    <t>221712_s_at</t>
  </si>
  <si>
    <t>WDR74</t>
  </si>
  <si>
    <t>205203_at</t>
  </si>
  <si>
    <t>PLD1</t>
  </si>
  <si>
    <t>32811_at</t>
  </si>
  <si>
    <t>MYO1C</t>
  </si>
  <si>
    <t>202146_at</t>
  </si>
  <si>
    <t>IFRD1</t>
  </si>
  <si>
    <t>202894_at</t>
  </si>
  <si>
    <t>EPHB4</t>
  </si>
  <si>
    <t>209707_at</t>
  </si>
  <si>
    <t>PIGK</t>
  </si>
  <si>
    <t>209971_x_at</t>
  </si>
  <si>
    <t>214866_at</t>
  </si>
  <si>
    <t>PLAUR</t>
  </si>
  <si>
    <t>215440_s_at</t>
  </si>
  <si>
    <t>BEX4</t>
  </si>
  <si>
    <t>217989_at</t>
  </si>
  <si>
    <t>HSD17B11</t>
  </si>
  <si>
    <t>221025_x_at</t>
  </si>
  <si>
    <t>PUS7L</t>
  </si>
  <si>
    <t>221565_s_at</t>
  </si>
  <si>
    <t>204642_at</t>
  </si>
  <si>
    <t>S1PR1</t>
  </si>
  <si>
    <t>201521_s_at</t>
  </si>
  <si>
    <t>NCBP2</t>
  </si>
  <si>
    <t>208097_s_at</t>
  </si>
  <si>
    <t>209436_at</t>
  </si>
  <si>
    <t>SPON1</t>
  </si>
  <si>
    <t>211569_s_at</t>
  </si>
  <si>
    <t>HADH</t>
  </si>
  <si>
    <t>211943_x_at</t>
  </si>
  <si>
    <t>211969_at</t>
  </si>
  <si>
    <t>212159_x_at</t>
  </si>
  <si>
    <t>AP2A2</t>
  </si>
  <si>
    <t>212514_x_at</t>
  </si>
  <si>
    <t>212779_at</t>
  </si>
  <si>
    <t>KIAA1109</t>
  </si>
  <si>
    <t>213394_at</t>
  </si>
  <si>
    <t>MAPKBP1</t>
  </si>
  <si>
    <t>214375_at</t>
  </si>
  <si>
    <t>LOC729222 /// PPFIBP1</t>
  </si>
  <si>
    <t>218970_s_at</t>
  </si>
  <si>
    <t>CUTC</t>
  </si>
  <si>
    <t>213518_at</t>
  </si>
  <si>
    <t>PRKCI</t>
  </si>
  <si>
    <t>205861_at</t>
  </si>
  <si>
    <t>SPIB</t>
  </si>
  <si>
    <t>221230_s_at</t>
  </si>
  <si>
    <t>202336_s_at</t>
  </si>
  <si>
    <t>PAM</t>
  </si>
  <si>
    <t>208991_at</t>
  </si>
  <si>
    <t>STAT3</t>
  </si>
  <si>
    <t>211066_x_at</t>
  </si>
  <si>
    <t>PCDHGA1 /// PCDHGA10 /// PCDHGA11 /// PCDHGA12 /// PCDHGA2 /// PCDHGA3 /// PCDHGA4 /// PCDHGA5 /// P</t>
  </si>
  <si>
    <t>211132_at</t>
  </si>
  <si>
    <t>INTS3</t>
  </si>
  <si>
    <t>213049_at</t>
  </si>
  <si>
    <t>213195_at</t>
  </si>
  <si>
    <t>LOC201229</t>
  </si>
  <si>
    <t>218046_s_at</t>
  </si>
  <si>
    <t>MRPS16</t>
  </si>
  <si>
    <t>203621_at</t>
  </si>
  <si>
    <t>NDUFB5</t>
  </si>
  <si>
    <t>208842_s_at</t>
  </si>
  <si>
    <t>218733_at</t>
  </si>
  <si>
    <t>MSL2</t>
  </si>
  <si>
    <t>213434_at</t>
  </si>
  <si>
    <t>STX2</t>
  </si>
  <si>
    <t>213459_at</t>
  </si>
  <si>
    <t>RPL37A</t>
  </si>
  <si>
    <t>203350_at</t>
  </si>
  <si>
    <t>AP1G1</t>
  </si>
  <si>
    <t>204254_s_at</t>
  </si>
  <si>
    <t>VDR</t>
  </si>
  <si>
    <t>204863_s_at</t>
  </si>
  <si>
    <t>208887_at</t>
  </si>
  <si>
    <t>EIF3G</t>
  </si>
  <si>
    <t>217197_x_at</t>
  </si>
  <si>
    <t>N4BP2L1</t>
  </si>
  <si>
    <t>218152_at</t>
  </si>
  <si>
    <t>HMG20A</t>
  </si>
  <si>
    <t>201133_s_at</t>
  </si>
  <si>
    <t>PJA2</t>
  </si>
  <si>
    <t>214735_at</t>
  </si>
  <si>
    <t>IPCEF1</t>
  </si>
  <si>
    <t>201584_s_at</t>
  </si>
  <si>
    <t>DDX39</t>
  </si>
  <si>
    <t>203856_at</t>
  </si>
  <si>
    <t>VRK1</t>
  </si>
  <si>
    <t>203857_s_at</t>
  </si>
  <si>
    <t>PDIA5</t>
  </si>
  <si>
    <t>202264_s_at</t>
  </si>
  <si>
    <t>TOMM40</t>
  </si>
  <si>
    <t>203075_at</t>
  </si>
  <si>
    <t>205526_s_at</t>
  </si>
  <si>
    <t>KATNA1</t>
  </si>
  <si>
    <t>207856_s_at</t>
  </si>
  <si>
    <t>LOC150776 /// SMPD4</t>
  </si>
  <si>
    <t>214670_at</t>
  </si>
  <si>
    <t>ZKSCAN1</t>
  </si>
  <si>
    <t>217802_s_at</t>
  </si>
  <si>
    <t>NUCKS1</t>
  </si>
  <si>
    <t>203076_s_at</t>
  </si>
  <si>
    <t>215233_at</t>
  </si>
  <si>
    <t>JMJD6</t>
  </si>
  <si>
    <t>216834_at</t>
  </si>
  <si>
    <t>RGS1</t>
  </si>
  <si>
    <t>203993_x_at</t>
  </si>
  <si>
    <t>C21orf2</t>
  </si>
  <si>
    <t>201378_s_at</t>
  </si>
  <si>
    <t>204170_s_at</t>
  </si>
  <si>
    <t>CKS2</t>
  </si>
  <si>
    <t>204675_at</t>
  </si>
  <si>
    <t>SRD5A1</t>
  </si>
  <si>
    <t>217781_s_at</t>
  </si>
  <si>
    <t>ZFP106</t>
  </si>
  <si>
    <t>209892_at</t>
  </si>
  <si>
    <t>FUT4</t>
  </si>
  <si>
    <t>214075_at</t>
  </si>
  <si>
    <t>NENF</t>
  </si>
  <si>
    <t>213053_at</t>
  </si>
  <si>
    <t>201334_s_at</t>
  </si>
  <si>
    <t>ARHGEF12</t>
  </si>
  <si>
    <t>209358_at</t>
  </si>
  <si>
    <t>TAF11</t>
  </si>
  <si>
    <t>218788_s_at</t>
  </si>
  <si>
    <t>SMYD3</t>
  </si>
  <si>
    <t>202917_s_at</t>
  </si>
  <si>
    <t>S100A8</t>
  </si>
  <si>
    <t>203388_at</t>
  </si>
  <si>
    <t>ARRB2</t>
  </si>
  <si>
    <t>205640_at</t>
  </si>
  <si>
    <t>ALDH3B1</t>
  </si>
  <si>
    <t>212456_at</t>
  </si>
  <si>
    <t>KIAA0664</t>
  </si>
  <si>
    <t>214740_at</t>
  </si>
  <si>
    <t>POLR2J /// POLR2J2 /// POLR2J3 /// POLR2J4</t>
  </si>
  <si>
    <t>220575_at</t>
  </si>
  <si>
    <t>FAM106A</t>
  </si>
  <si>
    <t>221128_at</t>
  </si>
  <si>
    <t>ADAM19</t>
  </si>
  <si>
    <t>206682_at</t>
  </si>
  <si>
    <t>CLEC10A</t>
  </si>
  <si>
    <t>204190_at</t>
  </si>
  <si>
    <t>USPL1</t>
  </si>
  <si>
    <t>201413_at</t>
  </si>
  <si>
    <t>HSD17B4</t>
  </si>
  <si>
    <t>213257_at</t>
  </si>
  <si>
    <t>SARM1 /// TMEM199</t>
  </si>
  <si>
    <t>219817_at</t>
  </si>
  <si>
    <t>C12orf47</t>
  </si>
  <si>
    <t>212489_at</t>
  </si>
  <si>
    <t>COL5A1</t>
  </si>
  <si>
    <t>209042_s_at</t>
  </si>
  <si>
    <t>221876_at</t>
  </si>
  <si>
    <t>203227_s_at</t>
  </si>
  <si>
    <t>TSPAN31</t>
  </si>
  <si>
    <t>208967_s_at</t>
  </si>
  <si>
    <t>200898_s_at</t>
  </si>
  <si>
    <t>MGEA5</t>
  </si>
  <si>
    <t>205020_s_at</t>
  </si>
  <si>
    <t>ARL4A</t>
  </si>
  <si>
    <t>217809_at</t>
  </si>
  <si>
    <t>BZW2</t>
  </si>
  <si>
    <t>215926_x_at</t>
  </si>
  <si>
    <t>SNAPC4</t>
  </si>
  <si>
    <t>205917_at</t>
  </si>
  <si>
    <t>ZNF264</t>
  </si>
  <si>
    <t>205173_x_at</t>
  </si>
  <si>
    <t>CD58</t>
  </si>
  <si>
    <t>202131_s_at</t>
  </si>
  <si>
    <t>RIOK3</t>
  </si>
  <si>
    <t>203177_x_at</t>
  </si>
  <si>
    <t>TFAM</t>
  </si>
  <si>
    <t>206866_at</t>
  </si>
  <si>
    <t>209370_s_at</t>
  </si>
  <si>
    <t>SH3BP2</t>
  </si>
  <si>
    <t>210346_s_at</t>
  </si>
  <si>
    <t>CLK4</t>
  </si>
  <si>
    <t>221553_at</t>
  </si>
  <si>
    <t>MAGT1</t>
  </si>
  <si>
    <t>207438_s_at</t>
  </si>
  <si>
    <t>SNUPN</t>
  </si>
  <si>
    <t>214172_x_at</t>
  </si>
  <si>
    <t>204826_at</t>
  </si>
  <si>
    <t>CCNF</t>
  </si>
  <si>
    <t>221235_s_at</t>
  </si>
  <si>
    <t>LOC100292189 /// TGFBRAP1</t>
  </si>
  <si>
    <t>210275_s_at</t>
  </si>
  <si>
    <t>ZFAND5</t>
  </si>
  <si>
    <t>202825_at</t>
  </si>
  <si>
    <t>SLC25A4</t>
  </si>
  <si>
    <t>204017_at</t>
  </si>
  <si>
    <t>KDELR3</t>
  </si>
  <si>
    <t>203150_at</t>
  </si>
  <si>
    <t>RABEPK</t>
  </si>
  <si>
    <t>201722_s_at</t>
  </si>
  <si>
    <t>203455_s_at</t>
  </si>
  <si>
    <t>204392_at</t>
  </si>
  <si>
    <t>CAMK1</t>
  </si>
  <si>
    <t>209829_at</t>
  </si>
  <si>
    <t>FAM65B</t>
  </si>
  <si>
    <t>202192_s_at</t>
  </si>
  <si>
    <t>212861_at</t>
  </si>
  <si>
    <t>MFSD5</t>
  </si>
  <si>
    <t>213822_s_at</t>
  </si>
  <si>
    <t>UBE3B</t>
  </si>
  <si>
    <t>216484_x_at</t>
  </si>
  <si>
    <t>218167_at</t>
  </si>
  <si>
    <t>AMZ2</t>
  </si>
  <si>
    <t>213853_at</t>
  </si>
  <si>
    <t>DNAJC24</t>
  </si>
  <si>
    <t>213357_at</t>
  </si>
  <si>
    <t>GTF2H5</t>
  </si>
  <si>
    <t>214843_s_at</t>
  </si>
  <si>
    <t>USP33</t>
  </si>
  <si>
    <t>220615_s_at</t>
  </si>
  <si>
    <t>FAR2</t>
  </si>
  <si>
    <t>212155_at</t>
  </si>
  <si>
    <t>RNF187</t>
  </si>
  <si>
    <t>201480_s_at</t>
  </si>
  <si>
    <t>SUPT5H</t>
  </si>
  <si>
    <t>204091_at</t>
  </si>
  <si>
    <t>PDE6D</t>
  </si>
  <si>
    <t>220486_x_at</t>
  </si>
  <si>
    <t>TMEM164</t>
  </si>
  <si>
    <t>201420_s_at</t>
  </si>
  <si>
    <t>WDR77</t>
  </si>
  <si>
    <t>213669_at</t>
  </si>
  <si>
    <t>FCHO1</t>
  </si>
  <si>
    <t>200039_s_at</t>
  </si>
  <si>
    <t>PSMB2</t>
  </si>
  <si>
    <t>200959_at</t>
  </si>
  <si>
    <t>FUS</t>
  </si>
  <si>
    <t>209300_s_at</t>
  </si>
  <si>
    <t>NECAP1</t>
  </si>
  <si>
    <t>215218_s_at</t>
  </si>
  <si>
    <t>WDR62</t>
  </si>
  <si>
    <t>215946_x_at</t>
  </si>
  <si>
    <t>IGLL3</t>
  </si>
  <si>
    <t>218488_at</t>
  </si>
  <si>
    <t>EIF2B3</t>
  </si>
  <si>
    <t>213329_at</t>
  </si>
  <si>
    <t>SRGAP2</t>
  </si>
  <si>
    <t>218450_at</t>
  </si>
  <si>
    <t>HEBP1</t>
  </si>
  <si>
    <t>202913_at</t>
  </si>
  <si>
    <t>ARHGEF11</t>
  </si>
  <si>
    <t>222204_s_at</t>
  </si>
  <si>
    <t>RRN3</t>
  </si>
  <si>
    <t>217118_s_at</t>
  </si>
  <si>
    <t>C22orf9</t>
  </si>
  <si>
    <t>203843_at</t>
  </si>
  <si>
    <t>RPS6KA3</t>
  </si>
  <si>
    <t>215009_s_at</t>
  </si>
  <si>
    <t>SEC31A</t>
  </si>
  <si>
    <t>204643_s_at</t>
  </si>
  <si>
    <t>ENOX2</t>
  </si>
  <si>
    <t>207268_x_at</t>
  </si>
  <si>
    <t>208603_s_at</t>
  </si>
  <si>
    <t>MAPK8IP2</t>
  </si>
  <si>
    <t>212063_at</t>
  </si>
  <si>
    <t>CD44</t>
  </si>
  <si>
    <t>218075_at</t>
  </si>
  <si>
    <t>AAAS</t>
  </si>
  <si>
    <t>214733_s_at</t>
  </si>
  <si>
    <t>YIPF1</t>
  </si>
  <si>
    <t>203791_at</t>
  </si>
  <si>
    <t>DMXL1</t>
  </si>
  <si>
    <t>208946_s_at</t>
  </si>
  <si>
    <t>BECN1</t>
  </si>
  <si>
    <t>222047_s_at</t>
  </si>
  <si>
    <t>SRRT</t>
  </si>
  <si>
    <t>205489_at</t>
  </si>
  <si>
    <t>CRYM</t>
  </si>
  <si>
    <t>212020_s_at</t>
  </si>
  <si>
    <t>MKI67</t>
  </si>
  <si>
    <t>218268_at</t>
  </si>
  <si>
    <t>TBC1D15</t>
  </si>
  <si>
    <t>215444_s_at</t>
  </si>
  <si>
    <t>TRIM31</t>
  </si>
  <si>
    <t>208174_x_at</t>
  </si>
  <si>
    <t>ZRSR2</t>
  </si>
  <si>
    <t>217722_s_at</t>
  </si>
  <si>
    <t>NGRN</t>
  </si>
  <si>
    <t>221840_at</t>
  </si>
  <si>
    <t>PTPRE</t>
  </si>
  <si>
    <t>208632_at</t>
  </si>
  <si>
    <t>RNF10</t>
  </si>
  <si>
    <t>211676_s_at</t>
  </si>
  <si>
    <t>IFNGR1</t>
  </si>
  <si>
    <t>220741_s_at</t>
  </si>
  <si>
    <t>PPA2</t>
  </si>
  <si>
    <t>208953_at</t>
  </si>
  <si>
    <t>LARP4B</t>
  </si>
  <si>
    <t>208905_at</t>
  </si>
  <si>
    <t>CYCS</t>
  </si>
  <si>
    <t>210136_at</t>
  </si>
  <si>
    <t>MBP</t>
  </si>
  <si>
    <t>219602_s_at</t>
  </si>
  <si>
    <t>FAM38B</t>
  </si>
  <si>
    <t>203279_at</t>
  </si>
  <si>
    <t>EDEM1</t>
  </si>
  <si>
    <t>209645_s_at</t>
  </si>
  <si>
    <t>ALDH1B1</t>
  </si>
  <si>
    <t>218284_at</t>
  </si>
  <si>
    <t>SMAD3</t>
  </si>
  <si>
    <t>201826_s_at</t>
  </si>
  <si>
    <t>200978_at</t>
  </si>
  <si>
    <t>MDH1</t>
  </si>
  <si>
    <t>202211_at</t>
  </si>
  <si>
    <t>ARFGAP3</t>
  </si>
  <si>
    <t>218980_at</t>
  </si>
  <si>
    <t>FHOD3</t>
  </si>
  <si>
    <t>201416_at</t>
  </si>
  <si>
    <t>203376_at</t>
  </si>
  <si>
    <t>CDC40</t>
  </si>
  <si>
    <t>205733_at</t>
  </si>
  <si>
    <t>BLM</t>
  </si>
  <si>
    <t>218948_at</t>
  </si>
  <si>
    <t>202822_at</t>
  </si>
  <si>
    <t>LPP</t>
  </si>
  <si>
    <t>202559_x_at</t>
  </si>
  <si>
    <t>C1orf77</t>
  </si>
  <si>
    <t>203494_s_at</t>
  </si>
  <si>
    <t>CEP57</t>
  </si>
  <si>
    <t>205172_x_at</t>
  </si>
  <si>
    <t>206240_s_at</t>
  </si>
  <si>
    <t>ZNF136</t>
  </si>
  <si>
    <t>211057_at</t>
  </si>
  <si>
    <t>213100_at</t>
  </si>
  <si>
    <t>UNC5B</t>
  </si>
  <si>
    <t>221606_s_at</t>
  </si>
  <si>
    <t>NSBP1</t>
  </si>
  <si>
    <t>201662_s_at</t>
  </si>
  <si>
    <t>ACSL3</t>
  </si>
  <si>
    <t>201355_s_at</t>
  </si>
  <si>
    <t>BAZ2A</t>
  </si>
  <si>
    <t>211137_s_at</t>
  </si>
  <si>
    <t>ATP2C1</t>
  </si>
  <si>
    <t>212633_at</t>
  </si>
  <si>
    <t>KIAA0776</t>
  </si>
  <si>
    <t>220744_s_at</t>
  </si>
  <si>
    <t>IFT122</t>
  </si>
  <si>
    <t>204496_at</t>
  </si>
  <si>
    <t>STRN3</t>
  </si>
  <si>
    <t>208141_s_at</t>
  </si>
  <si>
    <t>DOHH</t>
  </si>
  <si>
    <t>205641_s_at</t>
  </si>
  <si>
    <t>TRADD</t>
  </si>
  <si>
    <t>214923_at</t>
  </si>
  <si>
    <t>ATP6V1D</t>
  </si>
  <si>
    <t>65517_at</t>
  </si>
  <si>
    <t>204096_s_at</t>
  </si>
  <si>
    <t>ELL</t>
  </si>
  <si>
    <t>204308_s_at</t>
  </si>
  <si>
    <t>TECPR2</t>
  </si>
  <si>
    <t>208914_at</t>
  </si>
  <si>
    <t>GGA2</t>
  </si>
  <si>
    <t>212979_s_at</t>
  </si>
  <si>
    <t>FAM115A</t>
  </si>
  <si>
    <t>220911_s_at</t>
  </si>
  <si>
    <t>KIAA1305</t>
  </si>
  <si>
    <t>221753_at</t>
  </si>
  <si>
    <t>211922_s_at</t>
  </si>
  <si>
    <t>CAT</t>
  </si>
  <si>
    <t>202506_at</t>
  </si>
  <si>
    <t>SSFA2</t>
  </si>
  <si>
    <t>202780_at</t>
  </si>
  <si>
    <t>OXCT1</t>
  </si>
  <si>
    <t>211561_x_at</t>
  </si>
  <si>
    <t>MAPK14</t>
  </si>
  <si>
    <t>213730_x_at</t>
  </si>
  <si>
    <t>TCF3</t>
  </si>
  <si>
    <t>222115_x_at</t>
  </si>
  <si>
    <t>GLYR1</t>
  </si>
  <si>
    <t>203244_at</t>
  </si>
  <si>
    <t>PEX5</t>
  </si>
  <si>
    <t>212746_s_at</t>
  </si>
  <si>
    <t>CEP170</t>
  </si>
  <si>
    <t>219690_at</t>
  </si>
  <si>
    <t>TMEM149</t>
  </si>
  <si>
    <t>203339_at</t>
  </si>
  <si>
    <t>SLC25A12</t>
  </si>
  <si>
    <t>204771_s_at</t>
  </si>
  <si>
    <t>TTF1</t>
  </si>
  <si>
    <t>201460_at</t>
  </si>
  <si>
    <t>MAPKAPK2</t>
  </si>
  <si>
    <t>53071_s_at</t>
  </si>
  <si>
    <t>C17orf101</t>
  </si>
  <si>
    <t>49049_at</t>
  </si>
  <si>
    <t>DTX3</t>
  </si>
  <si>
    <t>201955_at</t>
  </si>
  <si>
    <t>CCNC</t>
  </si>
  <si>
    <t>208855_s_at</t>
  </si>
  <si>
    <t>STK24</t>
  </si>
  <si>
    <t>209089_at</t>
  </si>
  <si>
    <t>RAB5A</t>
  </si>
  <si>
    <t>212516_at</t>
  </si>
  <si>
    <t>ARAP1</t>
  </si>
  <si>
    <t>218723_s_at</t>
  </si>
  <si>
    <t>C13orf15</t>
  </si>
  <si>
    <t>210484_s_at</t>
  </si>
  <si>
    <t>MGC31957 /// TNFRSF10C</t>
  </si>
  <si>
    <t>210618_at</t>
  </si>
  <si>
    <t>RAP1GAP</t>
  </si>
  <si>
    <t>214177_s_at</t>
  </si>
  <si>
    <t>203821_at</t>
  </si>
  <si>
    <t>206509_at</t>
  </si>
  <si>
    <t>PIP</t>
  </si>
  <si>
    <t>216439_at</t>
  </si>
  <si>
    <t>213769_at</t>
  </si>
  <si>
    <t>KSR1</t>
  </si>
  <si>
    <t>211180_x_at</t>
  </si>
  <si>
    <t>RUNX1</t>
  </si>
  <si>
    <t>213280_at</t>
  </si>
  <si>
    <t>GARNL4</t>
  </si>
  <si>
    <t>203611_at</t>
  </si>
  <si>
    <t>TERF2</t>
  </si>
  <si>
    <t>217975_at</t>
  </si>
  <si>
    <t>WBP5</t>
  </si>
  <si>
    <t>201923_at</t>
  </si>
  <si>
    <t>PRDX4</t>
  </si>
  <si>
    <t>201535_at</t>
  </si>
  <si>
    <t>219463_at</t>
  </si>
  <si>
    <t>C20orf103</t>
  </si>
  <si>
    <t>219378_at</t>
  </si>
  <si>
    <t>NARG1L</t>
  </si>
  <si>
    <t>205839_s_at</t>
  </si>
  <si>
    <t>BZRAP1</t>
  </si>
  <si>
    <t>221046_s_at</t>
  </si>
  <si>
    <t>GTPBP8</t>
  </si>
  <si>
    <t>213681_at</t>
  </si>
  <si>
    <t>CYHR1</t>
  </si>
  <si>
    <t>211445_x_at</t>
  </si>
  <si>
    <t>NACAP1</t>
  </si>
  <si>
    <t>1487_at</t>
  </si>
  <si>
    <t>ESRRA</t>
  </si>
  <si>
    <t>201089_at</t>
  </si>
  <si>
    <t>ATP6V1B2</t>
  </si>
  <si>
    <t>201268_at</t>
  </si>
  <si>
    <t>NME1 /// NME1-NME2 /// NME2</t>
  </si>
  <si>
    <t>204521_at</t>
  </si>
  <si>
    <t>C12orf24</t>
  </si>
  <si>
    <t>218334_at</t>
  </si>
  <si>
    <t>THOC7</t>
  </si>
  <si>
    <t>201178_at</t>
  </si>
  <si>
    <t>FBXO7</t>
  </si>
  <si>
    <t>216883_x_at</t>
  </si>
  <si>
    <t>202043_s_at</t>
  </si>
  <si>
    <t>SMS</t>
  </si>
  <si>
    <t>202727_s_at</t>
  </si>
  <si>
    <t>208715_at</t>
  </si>
  <si>
    <t>202353_s_at</t>
  </si>
  <si>
    <t>PSMD12</t>
  </si>
  <si>
    <t>214934_at</t>
  </si>
  <si>
    <t>ATP9B</t>
  </si>
  <si>
    <t>209849_s_at</t>
  </si>
  <si>
    <t>RAD51C</t>
  </si>
  <si>
    <t>206623_at</t>
  </si>
  <si>
    <t>PDE6A</t>
  </si>
  <si>
    <t>200837_at</t>
  </si>
  <si>
    <t>BCAP31</t>
  </si>
  <si>
    <t>202836_s_at</t>
  </si>
  <si>
    <t>TXNL4A</t>
  </si>
  <si>
    <t>203125_x_at</t>
  </si>
  <si>
    <t>SLC11A2</t>
  </si>
  <si>
    <t>209901_x_at</t>
  </si>
  <si>
    <t>212622_at</t>
  </si>
  <si>
    <t>TMEM41B</t>
  </si>
  <si>
    <t>218858_at</t>
  </si>
  <si>
    <t>DEPDC6</t>
  </si>
  <si>
    <t>207891_s_at</t>
  </si>
  <si>
    <t>HAUS7 /// TREX2</t>
  </si>
  <si>
    <t>208972_s_at</t>
  </si>
  <si>
    <t>ATP5G1</t>
  </si>
  <si>
    <t>210887_s_at</t>
  </si>
  <si>
    <t>EVC</t>
  </si>
  <si>
    <t>201391_at</t>
  </si>
  <si>
    <t>TRAP1</t>
  </si>
  <si>
    <t>205512_s_at</t>
  </si>
  <si>
    <t>AIFM1</t>
  </si>
  <si>
    <t>219460_s_at</t>
  </si>
  <si>
    <t>TMEM127</t>
  </si>
  <si>
    <t>635_s_at</t>
  </si>
  <si>
    <t>PPP2R5B</t>
  </si>
  <si>
    <t>204901_at</t>
  </si>
  <si>
    <t>BTRC</t>
  </si>
  <si>
    <t>205792_at</t>
  </si>
  <si>
    <t>WISP2</t>
  </si>
  <si>
    <t>212365_at</t>
  </si>
  <si>
    <t>213379_at</t>
  </si>
  <si>
    <t>COQ2</t>
  </si>
  <si>
    <t>214306_at</t>
  </si>
  <si>
    <t>OPA1</t>
  </si>
  <si>
    <t>219323_s_at</t>
  </si>
  <si>
    <t>IL18BP</t>
  </si>
  <si>
    <t>221214_s_at</t>
  </si>
  <si>
    <t>NELF</t>
  </si>
  <si>
    <t>209917_s_at</t>
  </si>
  <si>
    <t>TP53TG1</t>
  </si>
  <si>
    <t>203452_at</t>
  </si>
  <si>
    <t>B3GAT3</t>
  </si>
  <si>
    <t>212606_at</t>
  </si>
  <si>
    <t>215668_s_at</t>
  </si>
  <si>
    <t>PLXNB1</t>
  </si>
  <si>
    <t>211919_s_at</t>
  </si>
  <si>
    <t>CXCR4</t>
  </si>
  <si>
    <t>218323_at</t>
  </si>
  <si>
    <t>211504_x_at</t>
  </si>
  <si>
    <t>ROCK2</t>
  </si>
  <si>
    <t>201036_s_at</t>
  </si>
  <si>
    <t>210466_s_at</t>
  </si>
  <si>
    <t>212591_at</t>
  </si>
  <si>
    <t>RBM34</t>
  </si>
  <si>
    <t>216882_s_at</t>
  </si>
  <si>
    <t>NEBL</t>
  </si>
  <si>
    <t>218988_at</t>
  </si>
  <si>
    <t>SLC35E3</t>
  </si>
  <si>
    <t>204430_s_at</t>
  </si>
  <si>
    <t>209630_s_at</t>
  </si>
  <si>
    <t>FBXW2</t>
  </si>
  <si>
    <t>217858_s_at</t>
  </si>
  <si>
    <t>ARMCX3</t>
  </si>
  <si>
    <t>218604_at</t>
  </si>
  <si>
    <t>LEMD3</t>
  </si>
  <si>
    <t>211082_x_at</t>
  </si>
  <si>
    <t>MARK2</t>
  </si>
  <si>
    <t>215054_at</t>
  </si>
  <si>
    <t>203014_x_at</t>
  </si>
  <si>
    <t>204621_s_at</t>
  </si>
  <si>
    <t>205268_s_at</t>
  </si>
  <si>
    <t>ADD2</t>
  </si>
  <si>
    <t>208735_s_at</t>
  </si>
  <si>
    <t>205883_at</t>
  </si>
  <si>
    <t>ZBTB16</t>
  </si>
  <si>
    <t>212267_at</t>
  </si>
  <si>
    <t>218097_s_at</t>
  </si>
  <si>
    <t>CUEDC2</t>
  </si>
  <si>
    <t>201918_at</t>
  </si>
  <si>
    <t>SLC25A36</t>
  </si>
  <si>
    <t>202213_s_at</t>
  </si>
  <si>
    <t>215676_at</t>
  </si>
  <si>
    <t>BRF1</t>
  </si>
  <si>
    <t>206690_at</t>
  </si>
  <si>
    <t>ACCN1</t>
  </si>
  <si>
    <t>212183_at</t>
  </si>
  <si>
    <t>NUDT4</t>
  </si>
  <si>
    <t>201598_s_at</t>
  </si>
  <si>
    <t>INPPL1</t>
  </si>
  <si>
    <t>203069_at</t>
  </si>
  <si>
    <t>SV2A</t>
  </si>
  <si>
    <t>214125_s_at</t>
  </si>
  <si>
    <t>LOC100291670</t>
  </si>
  <si>
    <t>218726_at</t>
  </si>
  <si>
    <t>HJURP</t>
  </si>
  <si>
    <t>208881_x_at</t>
  </si>
  <si>
    <t>219141_s_at</t>
  </si>
  <si>
    <t>AMBRA1</t>
  </si>
  <si>
    <t>221498_at</t>
  </si>
  <si>
    <t>SNX27</t>
  </si>
  <si>
    <t>209104_s_at</t>
  </si>
  <si>
    <t>NHP2</t>
  </si>
  <si>
    <t>212680_x_at</t>
  </si>
  <si>
    <t>PPP1R14B</t>
  </si>
  <si>
    <t>213373_s_at</t>
  </si>
  <si>
    <t>CASP8</t>
  </si>
  <si>
    <t>206875_s_at</t>
  </si>
  <si>
    <t>SLK</t>
  </si>
  <si>
    <t>205769_at</t>
  </si>
  <si>
    <t>SLC27A2</t>
  </si>
  <si>
    <t>203635_at</t>
  </si>
  <si>
    <t>DSCR3</t>
  </si>
  <si>
    <t>201210_at</t>
  </si>
  <si>
    <t>218228_s_at</t>
  </si>
  <si>
    <t>TNKS2</t>
  </si>
  <si>
    <t>209710_at</t>
  </si>
  <si>
    <t>GATA2</t>
  </si>
  <si>
    <t>211501_s_at</t>
  </si>
  <si>
    <t>EIF3B</t>
  </si>
  <si>
    <t>212720_at</t>
  </si>
  <si>
    <t>210594_x_at</t>
  </si>
  <si>
    <t>207076_s_at</t>
  </si>
  <si>
    <t>ASS1</t>
  </si>
  <si>
    <t>201565_s_at</t>
  </si>
  <si>
    <t>ID2</t>
  </si>
  <si>
    <t>212440_at</t>
  </si>
  <si>
    <t>SNRNP27</t>
  </si>
  <si>
    <t>205317_s_at</t>
  </si>
  <si>
    <t>SLC15A2</t>
  </si>
  <si>
    <t>208066_s_at</t>
  </si>
  <si>
    <t>GTF2B</t>
  </si>
  <si>
    <t>202964_s_at</t>
  </si>
  <si>
    <t>RFX5</t>
  </si>
  <si>
    <t>208989_s_at</t>
  </si>
  <si>
    <t>KDM2A</t>
  </si>
  <si>
    <t>221173_at</t>
  </si>
  <si>
    <t>USH1C</t>
  </si>
  <si>
    <t>210648_x_at</t>
  </si>
  <si>
    <t>203601_s_at</t>
  </si>
  <si>
    <t>ZBTB17</t>
  </si>
  <si>
    <t>208664_s_at</t>
  </si>
  <si>
    <t>212115_at</t>
  </si>
  <si>
    <t>HN1L</t>
  </si>
  <si>
    <t>38671_at</t>
  </si>
  <si>
    <t>PLXND1</t>
  </si>
  <si>
    <t>209285_s_at</t>
  </si>
  <si>
    <t>C3orf63</t>
  </si>
  <si>
    <t>218489_s_at</t>
  </si>
  <si>
    <t>ALAD</t>
  </si>
  <si>
    <t>201720_s_at</t>
  </si>
  <si>
    <t>LAPTM5</t>
  </si>
  <si>
    <t>204866_at</t>
  </si>
  <si>
    <t>PHF16</t>
  </si>
  <si>
    <t>217728_at</t>
  </si>
  <si>
    <t>S100A6</t>
  </si>
  <si>
    <t>202321_at</t>
  </si>
  <si>
    <t>GGPS1</t>
  </si>
  <si>
    <t>207072_at</t>
  </si>
  <si>
    <t>IL18RAP</t>
  </si>
  <si>
    <t>209259_s_at</t>
  </si>
  <si>
    <t>SMC3</t>
  </si>
  <si>
    <t>209846_s_at</t>
  </si>
  <si>
    <t>BTN3A2</t>
  </si>
  <si>
    <t>222240_s_at</t>
  </si>
  <si>
    <t>ISYNA1</t>
  </si>
  <si>
    <t>220323_at</t>
  </si>
  <si>
    <t>CNTD2</t>
  </si>
  <si>
    <t>201855_s_at</t>
  </si>
  <si>
    <t>ATMIN</t>
  </si>
  <si>
    <t>204520_x_at</t>
  </si>
  <si>
    <t>208387_s_at</t>
  </si>
  <si>
    <t>MMP24</t>
  </si>
  <si>
    <t>214372_x_at</t>
  </si>
  <si>
    <t>ERN2</t>
  </si>
  <si>
    <t>201070_x_at</t>
  </si>
  <si>
    <t>203922_s_at</t>
  </si>
  <si>
    <t>CYBB</t>
  </si>
  <si>
    <t>205367_at</t>
  </si>
  <si>
    <t>SH2B2</t>
  </si>
  <si>
    <t>209825_s_at</t>
  </si>
  <si>
    <t>UCK2</t>
  </si>
  <si>
    <t>212146_at</t>
  </si>
  <si>
    <t>PLEKHM2</t>
  </si>
  <si>
    <t>212942_s_at</t>
  </si>
  <si>
    <t>KIAA1199</t>
  </si>
  <si>
    <t>214485_at</t>
  </si>
  <si>
    <t>ODF1</t>
  </si>
  <si>
    <t>215053_at</t>
  </si>
  <si>
    <t>SRCAP</t>
  </si>
  <si>
    <t>201499_s_at</t>
  </si>
  <si>
    <t>USP7</t>
  </si>
  <si>
    <t>208864_s_at</t>
  </si>
  <si>
    <t>TXN</t>
  </si>
  <si>
    <t>209732_at</t>
  </si>
  <si>
    <t>CLEC2B</t>
  </si>
  <si>
    <t>204076_at</t>
  </si>
  <si>
    <t>ENTPD4</t>
  </si>
  <si>
    <t>222310_at</t>
  </si>
  <si>
    <t>SFRS15</t>
  </si>
  <si>
    <t>204192_at</t>
  </si>
  <si>
    <t>CD37</t>
  </si>
  <si>
    <t>205408_at</t>
  </si>
  <si>
    <t>MLLT10</t>
  </si>
  <si>
    <t>202826_at</t>
  </si>
  <si>
    <t>SPINT1</t>
  </si>
  <si>
    <t>204231_s_at</t>
  </si>
  <si>
    <t>FAAH</t>
  </si>
  <si>
    <t>204243_at</t>
  </si>
  <si>
    <t>RLF</t>
  </si>
  <si>
    <t>204847_at</t>
  </si>
  <si>
    <t>ZBTB11</t>
  </si>
  <si>
    <t>209844_at</t>
  </si>
  <si>
    <t>HOXB13</t>
  </si>
  <si>
    <t>210841_s_at</t>
  </si>
  <si>
    <t>NRP2</t>
  </si>
  <si>
    <t>206933_s_at</t>
  </si>
  <si>
    <t>H6PD</t>
  </si>
  <si>
    <t>205754_at</t>
  </si>
  <si>
    <t>F2</t>
  </si>
  <si>
    <t>206499_s_at</t>
  </si>
  <si>
    <t>RCC1 /// SNHG3-RCC1</t>
  </si>
  <si>
    <t>203102_s_at</t>
  </si>
  <si>
    <t>MGAT2</t>
  </si>
  <si>
    <t>203638_s_at</t>
  </si>
  <si>
    <t>FGFR2</t>
  </si>
  <si>
    <t>215693_x_at</t>
  </si>
  <si>
    <t>DDX27</t>
  </si>
  <si>
    <t>203685_at</t>
  </si>
  <si>
    <t>BCL2</t>
  </si>
  <si>
    <t>202025_x_at</t>
  </si>
  <si>
    <t>ACAA1</t>
  </si>
  <si>
    <t>202682_s_at</t>
  </si>
  <si>
    <t>USP4</t>
  </si>
  <si>
    <t>212405_s_at</t>
  </si>
  <si>
    <t>METTL13</t>
  </si>
  <si>
    <t>220659_s_at</t>
  </si>
  <si>
    <t>C7orf43</t>
  </si>
  <si>
    <t>221619_s_at</t>
  </si>
  <si>
    <t>MTCH1</t>
  </si>
  <si>
    <t>202848_s_at</t>
  </si>
  <si>
    <t>GRK6</t>
  </si>
  <si>
    <t>219275_at</t>
  </si>
  <si>
    <t>PDCD5</t>
  </si>
  <si>
    <t>222292_at</t>
  </si>
  <si>
    <t>CD40</t>
  </si>
  <si>
    <t>204233_s_at</t>
  </si>
  <si>
    <t>CHKA</t>
  </si>
  <si>
    <t>218984_at</t>
  </si>
  <si>
    <t>PUS7</t>
  </si>
  <si>
    <t>218808_at</t>
  </si>
  <si>
    <t>219119_at</t>
  </si>
  <si>
    <t>LSM8</t>
  </si>
  <si>
    <t>200076_s_at</t>
  </si>
  <si>
    <t>C19orf50</t>
  </si>
  <si>
    <t>200665_s_at</t>
  </si>
  <si>
    <t>SPARC</t>
  </si>
  <si>
    <t>201170_s_at</t>
  </si>
  <si>
    <t>BHLHE40</t>
  </si>
  <si>
    <t>215841_at</t>
  </si>
  <si>
    <t>GUCA1B</t>
  </si>
  <si>
    <t>206790_s_at</t>
  </si>
  <si>
    <t>NDUFB1</t>
  </si>
  <si>
    <t>212856_at</t>
  </si>
  <si>
    <t>GRAMD4</t>
  </si>
  <si>
    <t>215948_x_at</t>
  </si>
  <si>
    <t>ZMYM5</t>
  </si>
  <si>
    <t>206571_s_at</t>
  </si>
  <si>
    <t>MAP4K4</t>
  </si>
  <si>
    <t>220081_x_at</t>
  </si>
  <si>
    <t>HSD17B7</t>
  </si>
  <si>
    <t>202918_s_at</t>
  </si>
  <si>
    <t>MOBKL3</t>
  </si>
  <si>
    <t>211512_s_at</t>
  </si>
  <si>
    <t>OGFR</t>
  </si>
  <si>
    <t>212788_x_at</t>
  </si>
  <si>
    <t>218560_s_at</t>
  </si>
  <si>
    <t>JMJD4</t>
  </si>
  <si>
    <t>213726_x_at</t>
  </si>
  <si>
    <t>TUBB2C</t>
  </si>
  <si>
    <t>204019_s_at</t>
  </si>
  <si>
    <t>SH3YL1</t>
  </si>
  <si>
    <t>213259_s_at</t>
  </si>
  <si>
    <t>213826_s_at</t>
  </si>
  <si>
    <t>LOC100133109</t>
  </si>
  <si>
    <t>209102_s_at</t>
  </si>
  <si>
    <t>HBP1</t>
  </si>
  <si>
    <t>209992_at</t>
  </si>
  <si>
    <t>PFKFB2</t>
  </si>
  <si>
    <t>200979_at</t>
  </si>
  <si>
    <t>PDHA1</t>
  </si>
  <si>
    <t>201726_at</t>
  </si>
  <si>
    <t>ELAVL1</t>
  </si>
  <si>
    <t>218357_s_at</t>
  </si>
  <si>
    <t>TIMM8B</t>
  </si>
  <si>
    <t>203654_s_at</t>
  </si>
  <si>
    <t>COIL</t>
  </si>
  <si>
    <t>212179_at</t>
  </si>
  <si>
    <t>SFRS18</t>
  </si>
  <si>
    <t>201049_s_at</t>
  </si>
  <si>
    <t>RPS18</t>
  </si>
  <si>
    <t>40472_at</t>
  </si>
  <si>
    <t>LPCAT4</t>
  </si>
  <si>
    <t>201735_s_at</t>
  </si>
  <si>
    <t>CLCN3</t>
  </si>
  <si>
    <t>214096_s_at</t>
  </si>
  <si>
    <t>SHMT2</t>
  </si>
  <si>
    <t>208816_x_at</t>
  </si>
  <si>
    <t>ANXA2P2</t>
  </si>
  <si>
    <t>203327_at</t>
  </si>
  <si>
    <t>IDE</t>
  </si>
  <si>
    <t>214924_s_at</t>
  </si>
  <si>
    <t>37966_at</t>
  </si>
  <si>
    <t>PARVB</t>
  </si>
  <si>
    <t>41047_at</t>
  </si>
  <si>
    <t>C9orf16</t>
  </si>
  <si>
    <t>219137_s_at</t>
  </si>
  <si>
    <t>MFF</t>
  </si>
  <si>
    <t>222285_at</t>
  </si>
  <si>
    <t>IGHD</t>
  </si>
  <si>
    <t>203744_at</t>
  </si>
  <si>
    <t>HMGB3</t>
  </si>
  <si>
    <t>215654_at</t>
  </si>
  <si>
    <t>BCAT2</t>
  </si>
  <si>
    <t>215712_s_at</t>
  </si>
  <si>
    <t>IGFALS</t>
  </si>
  <si>
    <t>220589_s_at</t>
  </si>
  <si>
    <t>ITFG2</t>
  </si>
  <si>
    <t>210757_x_at</t>
  </si>
  <si>
    <t>207228_at</t>
  </si>
  <si>
    <t>PRKACG</t>
  </si>
  <si>
    <t>207745_at</t>
  </si>
  <si>
    <t>CABP2</t>
  </si>
  <si>
    <t>213701_at</t>
  </si>
  <si>
    <t>C12orf29</t>
  </si>
  <si>
    <t>201550_x_at</t>
  </si>
  <si>
    <t>211858_x_at</t>
  </si>
  <si>
    <t>GNAS</t>
  </si>
  <si>
    <t>216887_s_at</t>
  </si>
  <si>
    <t>37950_at</t>
  </si>
  <si>
    <t>PREP</t>
  </si>
  <si>
    <t>221549_at</t>
  </si>
  <si>
    <t>GRWD1</t>
  </si>
  <si>
    <t>204612_at</t>
  </si>
  <si>
    <t>PKIA</t>
  </si>
  <si>
    <t>207563_s_at</t>
  </si>
  <si>
    <t>208940_at</t>
  </si>
  <si>
    <t>211582_x_at</t>
  </si>
  <si>
    <t>212845_at</t>
  </si>
  <si>
    <t>SAMD4A</t>
  </si>
  <si>
    <t>213271_s_at</t>
  </si>
  <si>
    <t>DOPEY1</t>
  </si>
  <si>
    <t>215135_at</t>
  </si>
  <si>
    <t>DNPEP</t>
  </si>
  <si>
    <t>215328_at</t>
  </si>
  <si>
    <t>EFR3B</t>
  </si>
  <si>
    <t>220175_s_at</t>
  </si>
  <si>
    <t>CBWD1 /// CBWD2 /// CBWD3 /// CBWD5 /// CBWD6 /// CBWD7</t>
  </si>
  <si>
    <t>218517_at</t>
  </si>
  <si>
    <t>PHF17</t>
  </si>
  <si>
    <t>204725_s_at</t>
  </si>
  <si>
    <t>NCK1</t>
  </si>
  <si>
    <t>204980_at</t>
  </si>
  <si>
    <t>CLOCK</t>
  </si>
  <si>
    <t>209429_x_at</t>
  </si>
  <si>
    <t>EIF2B4</t>
  </si>
  <si>
    <t>204949_at</t>
  </si>
  <si>
    <t>ICAM3</t>
  </si>
  <si>
    <t>218145_at</t>
  </si>
  <si>
    <t>TRIB3</t>
  </si>
  <si>
    <t>205957_at</t>
  </si>
  <si>
    <t>PLXNB3</t>
  </si>
  <si>
    <t>204564_at</t>
  </si>
  <si>
    <t>208509_s_at</t>
  </si>
  <si>
    <t>OR7A17</t>
  </si>
  <si>
    <t>200925_at</t>
  </si>
  <si>
    <t>COX6A1</t>
  </si>
  <si>
    <t>203888_at</t>
  </si>
  <si>
    <t>THBD</t>
  </si>
  <si>
    <t>209175_at</t>
  </si>
  <si>
    <t>SEC23IP</t>
  </si>
  <si>
    <t>222008_at</t>
  </si>
  <si>
    <t>COL9A1</t>
  </si>
  <si>
    <t>219108_x_at</t>
  </si>
  <si>
    <t>DDX27 /// SS18</t>
  </si>
  <si>
    <t>216060_s_at</t>
  </si>
  <si>
    <t>DAAM1</t>
  </si>
  <si>
    <t>203322_at</t>
  </si>
  <si>
    <t>ADNP2</t>
  </si>
  <si>
    <t>214978_s_at</t>
  </si>
  <si>
    <t>PPFIA4</t>
  </si>
  <si>
    <t>202261_at</t>
  </si>
  <si>
    <t>VPS72</t>
  </si>
  <si>
    <t>202786_at</t>
  </si>
  <si>
    <t>STK39</t>
  </si>
  <si>
    <t>209934_s_at</t>
  </si>
  <si>
    <t>220034_at</t>
  </si>
  <si>
    <t>204099_at</t>
  </si>
  <si>
    <t>SMARCD3</t>
  </si>
  <si>
    <t>204184_s_at</t>
  </si>
  <si>
    <t>ADRBK2</t>
  </si>
  <si>
    <t>216347_s_at</t>
  </si>
  <si>
    <t>PPP1R13B</t>
  </si>
  <si>
    <t>208815_x_at</t>
  </si>
  <si>
    <t>HSPA4</t>
  </si>
  <si>
    <t>209296_at</t>
  </si>
  <si>
    <t>PPM1B</t>
  </si>
  <si>
    <t>221738_at</t>
  </si>
  <si>
    <t>KIAA1219</t>
  </si>
  <si>
    <t>201187_s_at</t>
  </si>
  <si>
    <t>202547_s_at</t>
  </si>
  <si>
    <t>ARHGEF7</t>
  </si>
  <si>
    <t>219272_at</t>
  </si>
  <si>
    <t>TRIM62</t>
  </si>
  <si>
    <t>212307_s_at</t>
  </si>
  <si>
    <t>221735_at</t>
  </si>
  <si>
    <t>WDR48</t>
  </si>
  <si>
    <t>202446_s_at</t>
  </si>
  <si>
    <t>PLSCR1</t>
  </si>
  <si>
    <t>203552_at</t>
  </si>
  <si>
    <t>MAP4K5</t>
  </si>
  <si>
    <t>212987_at</t>
  </si>
  <si>
    <t>205924_at</t>
  </si>
  <si>
    <t>RAB3B</t>
  </si>
  <si>
    <t>219720_s_at</t>
  </si>
  <si>
    <t>C14orf118</t>
  </si>
  <si>
    <t>36711_at</t>
  </si>
  <si>
    <t>MAFF</t>
  </si>
  <si>
    <t>218478_s_at</t>
  </si>
  <si>
    <t>ZCCHC8</t>
  </si>
  <si>
    <t>209933_s_at</t>
  </si>
  <si>
    <t>CD300A</t>
  </si>
  <si>
    <t>201235_s_at</t>
  </si>
  <si>
    <t>BTG2</t>
  </si>
  <si>
    <t>218123_at</t>
  </si>
  <si>
    <t>C21orf59</t>
  </si>
  <si>
    <t>201279_s_at</t>
  </si>
  <si>
    <t>201418_s_at</t>
  </si>
  <si>
    <t>202705_at</t>
  </si>
  <si>
    <t>CCNB2</t>
  </si>
  <si>
    <t>205305_at</t>
  </si>
  <si>
    <t>FGL1</t>
  </si>
  <si>
    <t>205756_s_at</t>
  </si>
  <si>
    <t>F8</t>
  </si>
  <si>
    <t>208671_at</t>
  </si>
  <si>
    <t>SERINC1</t>
  </si>
  <si>
    <t>209274_s_at</t>
  </si>
  <si>
    <t>ISCA1</t>
  </si>
  <si>
    <t>213668_s_at</t>
  </si>
  <si>
    <t>214681_at</t>
  </si>
  <si>
    <t>GK</t>
  </si>
  <si>
    <t>218078_s_at</t>
  </si>
  <si>
    <t>ZDHHC3</t>
  </si>
  <si>
    <t>218462_at</t>
  </si>
  <si>
    <t>BXDC5</t>
  </si>
  <si>
    <t>203206_at</t>
  </si>
  <si>
    <t>FAM53B</t>
  </si>
  <si>
    <t>210756_s_at</t>
  </si>
  <si>
    <t>NOTCH2</t>
  </si>
  <si>
    <t>216652_s_at</t>
  </si>
  <si>
    <t>DR1</t>
  </si>
  <si>
    <t>218392_x_at</t>
  </si>
  <si>
    <t>SFXN1</t>
  </si>
  <si>
    <t>218871_x_at</t>
  </si>
  <si>
    <t>CSGALNACT2</t>
  </si>
  <si>
    <t>221863_at</t>
  </si>
  <si>
    <t>MIER2</t>
  </si>
  <si>
    <t>222026_at</t>
  </si>
  <si>
    <t>RBM3</t>
  </si>
  <si>
    <t>218926_at</t>
  </si>
  <si>
    <t>MYNN</t>
  </si>
  <si>
    <t>210555_s_at</t>
  </si>
  <si>
    <t>NFATC3</t>
  </si>
  <si>
    <t>217826_s_at</t>
  </si>
  <si>
    <t>201493_s_at</t>
  </si>
  <si>
    <t>PUM2</t>
  </si>
  <si>
    <t>211028_s_at</t>
  </si>
  <si>
    <t>KHK</t>
  </si>
  <si>
    <t>218411_s_at</t>
  </si>
  <si>
    <t>MBIP</t>
  </si>
  <si>
    <t>209135_at</t>
  </si>
  <si>
    <t>209433_s_at</t>
  </si>
  <si>
    <t>212316_at</t>
  </si>
  <si>
    <t>213113_s_at</t>
  </si>
  <si>
    <t>SLC43A3</t>
  </si>
  <si>
    <t>220641_at</t>
  </si>
  <si>
    <t>NOX5</t>
  </si>
  <si>
    <t>202065_s_at</t>
  </si>
  <si>
    <t>PPFIA1</t>
  </si>
  <si>
    <t>217419_x_at</t>
  </si>
  <si>
    <t>AGRN</t>
  </si>
  <si>
    <t>202924_s_at</t>
  </si>
  <si>
    <t>PLAGL2</t>
  </si>
  <si>
    <t>206689_x_at</t>
  </si>
  <si>
    <t>213653_at</t>
  </si>
  <si>
    <t>METTL3</t>
  </si>
  <si>
    <t>208067_x_at</t>
  </si>
  <si>
    <t>202086_at</t>
  </si>
  <si>
    <t>MX1</t>
  </si>
  <si>
    <t>203274_at</t>
  </si>
  <si>
    <t>F8A1 /// F8A2 /// F8A3</t>
  </si>
  <si>
    <t>209472_at</t>
  </si>
  <si>
    <t>CCBL2</t>
  </si>
  <si>
    <t>212196_at</t>
  </si>
  <si>
    <t>203602_s_at</t>
  </si>
  <si>
    <t>211373_s_at</t>
  </si>
  <si>
    <t>PSEN2</t>
  </si>
  <si>
    <t>213235_at</t>
  </si>
  <si>
    <t>C16orf88</t>
  </si>
  <si>
    <t>221639_x_at</t>
  </si>
  <si>
    <t>LOC100129656</t>
  </si>
  <si>
    <t>201612_at</t>
  </si>
  <si>
    <t>ALDH9A1</t>
  </si>
  <si>
    <t>202528_at</t>
  </si>
  <si>
    <t>GALE</t>
  </si>
  <si>
    <t>204491_at</t>
  </si>
  <si>
    <t>PDE4D</t>
  </si>
  <si>
    <t>205281_s_at</t>
  </si>
  <si>
    <t>PIGA</t>
  </si>
  <si>
    <t>205958_x_at</t>
  </si>
  <si>
    <t>212255_s_at</t>
  </si>
  <si>
    <t>214948_s_at</t>
  </si>
  <si>
    <t>TMF1</t>
  </si>
  <si>
    <t>217138_x_at</t>
  </si>
  <si>
    <t>IGL@</t>
  </si>
  <si>
    <t>218857_s_at</t>
  </si>
  <si>
    <t>ASRGL1</t>
  </si>
  <si>
    <t>221570_s_at</t>
  </si>
  <si>
    <t>METTL5</t>
  </si>
  <si>
    <t>220395_at</t>
  </si>
  <si>
    <t>DNAJA4</t>
  </si>
  <si>
    <t>202246_s_at</t>
  </si>
  <si>
    <t>CDK4</t>
  </si>
  <si>
    <t>204906_at</t>
  </si>
  <si>
    <t>RPS6KA2</t>
  </si>
  <si>
    <t>205866_at</t>
  </si>
  <si>
    <t>FCN3</t>
  </si>
  <si>
    <t>215063_x_at</t>
  </si>
  <si>
    <t>LRRC40</t>
  </si>
  <si>
    <t>219145_at</t>
  </si>
  <si>
    <t>208794_s_at</t>
  </si>
  <si>
    <t>SMARCA4</t>
  </si>
  <si>
    <t>33814_at</t>
  </si>
  <si>
    <t>PAK4</t>
  </si>
  <si>
    <t>214745_at</t>
  </si>
  <si>
    <t>PLCH1</t>
  </si>
  <si>
    <t>218634_at</t>
  </si>
  <si>
    <t>PHLDA3</t>
  </si>
  <si>
    <t>218853_s_at</t>
  </si>
  <si>
    <t>MOSPD1</t>
  </si>
  <si>
    <t>206737_at</t>
  </si>
  <si>
    <t>WNT11</t>
  </si>
  <si>
    <t>209593_s_at</t>
  </si>
  <si>
    <t>TOR1B</t>
  </si>
  <si>
    <t>212695_at</t>
  </si>
  <si>
    <t>CRY2</t>
  </si>
  <si>
    <t>214151_s_at</t>
  </si>
  <si>
    <t>CCPG1</t>
  </si>
  <si>
    <t>218749_s_at</t>
  </si>
  <si>
    <t>SLC24A6</t>
  </si>
  <si>
    <t>219019_at</t>
  </si>
  <si>
    <t>LRDD</t>
  </si>
  <si>
    <t>205698_s_at</t>
  </si>
  <si>
    <t>MAP2K6</t>
  </si>
  <si>
    <t>207666_x_at</t>
  </si>
  <si>
    <t>SSX3</t>
  </si>
  <si>
    <t>202932_at</t>
  </si>
  <si>
    <t>YES1</t>
  </si>
  <si>
    <t>221604_s_at</t>
  </si>
  <si>
    <t>PEX16</t>
  </si>
  <si>
    <t>202656_s_at</t>
  </si>
  <si>
    <t>36553_at</t>
  </si>
  <si>
    <t>ASMTL</t>
  </si>
  <si>
    <t>200614_at</t>
  </si>
  <si>
    <t>CLTC</t>
  </si>
  <si>
    <t>212946_at</t>
  </si>
  <si>
    <t>KIAA0564</t>
  </si>
  <si>
    <t>214137_at</t>
  </si>
  <si>
    <t>PTPRJ</t>
  </si>
  <si>
    <t>201006_at</t>
  </si>
  <si>
    <t>201247_at</t>
  </si>
  <si>
    <t>SREBF2</t>
  </si>
  <si>
    <t>202152_x_at</t>
  </si>
  <si>
    <t>USF2</t>
  </si>
  <si>
    <t>206885_x_at</t>
  </si>
  <si>
    <t>GH1</t>
  </si>
  <si>
    <t>218854_at</t>
  </si>
  <si>
    <t>DSE</t>
  </si>
  <si>
    <t>38521_at</t>
  </si>
  <si>
    <t>202774_s_at</t>
  </si>
  <si>
    <t>SFRS8</t>
  </si>
  <si>
    <t>210978_s_at</t>
  </si>
  <si>
    <t>TAGLN2</t>
  </si>
  <si>
    <t>213616_at</t>
  </si>
  <si>
    <t>C18orf10</t>
  </si>
  <si>
    <t>201361_at</t>
  </si>
  <si>
    <t>TMEM109</t>
  </si>
  <si>
    <t>212241_at</t>
  </si>
  <si>
    <t>GCOM1 /// GRINL1A</t>
  </si>
  <si>
    <t>214064_at</t>
  </si>
  <si>
    <t>TF</t>
  </si>
  <si>
    <t>208404_x_at</t>
  </si>
  <si>
    <t>KCNJ5</t>
  </si>
  <si>
    <t>202600_s_at</t>
  </si>
  <si>
    <t>NRIP1</t>
  </si>
  <si>
    <t>564_at</t>
  </si>
  <si>
    <t>203027_s_at</t>
  </si>
  <si>
    <t>MVD</t>
  </si>
  <si>
    <t>200806_s_at</t>
  </si>
  <si>
    <t>HSPD1</t>
  </si>
  <si>
    <t>203950_s_at</t>
  </si>
  <si>
    <t>CLCN6</t>
  </si>
  <si>
    <t>211779_x_at</t>
  </si>
  <si>
    <t>208063_s_at</t>
  </si>
  <si>
    <t>CAPN9</t>
  </si>
  <si>
    <t>214395_x_at</t>
  </si>
  <si>
    <t>EEF1D</t>
  </si>
  <si>
    <t>214840_at</t>
  </si>
  <si>
    <t>TOM1L2</t>
  </si>
  <si>
    <t>203355_s_at</t>
  </si>
  <si>
    <t>PSD3</t>
  </si>
  <si>
    <t>202887_s_at</t>
  </si>
  <si>
    <t>DDIT4</t>
  </si>
  <si>
    <t>205538_at</t>
  </si>
  <si>
    <t>CORO2A</t>
  </si>
  <si>
    <t>209430_at</t>
  </si>
  <si>
    <t>BTAF1</t>
  </si>
  <si>
    <t>210033_s_at</t>
  </si>
  <si>
    <t>218317_x_at</t>
  </si>
  <si>
    <t>GIYD1 /// GIYD2</t>
  </si>
  <si>
    <t>211995_x_at</t>
  </si>
  <si>
    <t>215584_at</t>
  </si>
  <si>
    <t>HECW1</t>
  </si>
  <si>
    <t>202599_s_at</t>
  </si>
  <si>
    <t>217511_at</t>
  </si>
  <si>
    <t>KAZALD1</t>
  </si>
  <si>
    <t>203386_at</t>
  </si>
  <si>
    <t>TBC1D4</t>
  </si>
  <si>
    <t>201457_x_at</t>
  </si>
  <si>
    <t>BUB3</t>
  </si>
  <si>
    <t>203298_s_at</t>
  </si>
  <si>
    <t>JARID2</t>
  </si>
  <si>
    <t>204801_s_at</t>
  </si>
  <si>
    <t>DHRS12</t>
  </si>
  <si>
    <t>208782_at</t>
  </si>
  <si>
    <t>FSTL1</t>
  </si>
  <si>
    <t>212147_at</t>
  </si>
  <si>
    <t>SMG5</t>
  </si>
  <si>
    <t>212413_at</t>
  </si>
  <si>
    <t>213241_at</t>
  </si>
  <si>
    <t>PLXNC1</t>
  </si>
  <si>
    <t>204395_s_at</t>
  </si>
  <si>
    <t>213196_at</t>
  </si>
  <si>
    <t>ZNF629</t>
  </si>
  <si>
    <t>41397_at</t>
  </si>
  <si>
    <t>ZNF821</t>
  </si>
  <si>
    <t>202108_at</t>
  </si>
  <si>
    <t>PEPD</t>
  </si>
  <si>
    <t>202544_at</t>
  </si>
  <si>
    <t>GMFB</t>
  </si>
  <si>
    <t>203891_s_at</t>
  </si>
  <si>
    <t>DAPK3</t>
  </si>
  <si>
    <t>204480_s_at</t>
  </si>
  <si>
    <t>216511_s_at</t>
  </si>
  <si>
    <t>TCF7L2</t>
  </si>
  <si>
    <t>216696_s_at</t>
  </si>
  <si>
    <t>PRODH2</t>
  </si>
  <si>
    <t>202678_at</t>
  </si>
  <si>
    <t>GTF2A2</t>
  </si>
  <si>
    <t>208776_at</t>
  </si>
  <si>
    <t>PSMD11</t>
  </si>
  <si>
    <t>212226_s_at</t>
  </si>
  <si>
    <t>PPAP2B</t>
  </si>
  <si>
    <t>212747_at</t>
  </si>
  <si>
    <t>ANKS1A</t>
  </si>
  <si>
    <t>220563_s_at</t>
  </si>
  <si>
    <t>SHANK1</t>
  </si>
  <si>
    <t>210423_s_at</t>
  </si>
  <si>
    <t>SLC11A1</t>
  </si>
  <si>
    <t>216250_s_at</t>
  </si>
  <si>
    <t>LPXN</t>
  </si>
  <si>
    <t>219365_s_at</t>
  </si>
  <si>
    <t>CAMKV</t>
  </si>
  <si>
    <t>200696_s_at</t>
  </si>
  <si>
    <t>GSN</t>
  </si>
  <si>
    <t>203302_at</t>
  </si>
  <si>
    <t>DCK</t>
  </si>
  <si>
    <t>213333_at</t>
  </si>
  <si>
    <t>MDH2</t>
  </si>
  <si>
    <t>214106_s_at</t>
  </si>
  <si>
    <t>GMDS</t>
  </si>
  <si>
    <t>214366_s_at</t>
  </si>
  <si>
    <t>215856_at</t>
  </si>
  <si>
    <t>SIGLEC15</t>
  </si>
  <si>
    <t>216127_at</t>
  </si>
  <si>
    <t>PDIA2</t>
  </si>
  <si>
    <t>200703_at</t>
  </si>
  <si>
    <t>DYNLL1</t>
  </si>
  <si>
    <t>201540_at</t>
  </si>
  <si>
    <t>206076_at</t>
  </si>
  <si>
    <t>LRRC23</t>
  </si>
  <si>
    <t>206709_x_at</t>
  </si>
  <si>
    <t>GPT</t>
  </si>
  <si>
    <t>211908_x_at</t>
  </si>
  <si>
    <t>IGHG1</t>
  </si>
  <si>
    <t>212656_at</t>
  </si>
  <si>
    <t>TSFM</t>
  </si>
  <si>
    <t>203829_at</t>
  </si>
  <si>
    <t>ELP4</t>
  </si>
  <si>
    <t>200604_s_at</t>
  </si>
  <si>
    <t>PRKAR1A</t>
  </si>
  <si>
    <t>202737_s_at</t>
  </si>
  <si>
    <t>LSM4</t>
  </si>
  <si>
    <t>209515_s_at</t>
  </si>
  <si>
    <t>RAB27A</t>
  </si>
  <si>
    <t>217506_at</t>
  </si>
  <si>
    <t>218176_at</t>
  </si>
  <si>
    <t>MAGEF1</t>
  </si>
  <si>
    <t>218481_at</t>
  </si>
  <si>
    <t>EXOSC5</t>
  </si>
  <si>
    <t>219097_x_at</t>
  </si>
  <si>
    <t>C19orf42</t>
  </si>
  <si>
    <t>206681_x_at</t>
  </si>
  <si>
    <t>GP2</t>
  </si>
  <si>
    <t>204673_at</t>
  </si>
  <si>
    <t>MUC2</t>
  </si>
  <si>
    <t>205250_s_at</t>
  </si>
  <si>
    <t>CEP290</t>
  </si>
  <si>
    <t>210240_s_at</t>
  </si>
  <si>
    <t>CDKN2D</t>
  </si>
  <si>
    <t>202052_s_at</t>
  </si>
  <si>
    <t>RAI14</t>
  </si>
  <si>
    <t>200874_s_at</t>
  </si>
  <si>
    <t>NOP56</t>
  </si>
  <si>
    <t>209575_at</t>
  </si>
  <si>
    <t>IL10RB</t>
  </si>
  <si>
    <t>221518_s_at</t>
  </si>
  <si>
    <t>USP47</t>
  </si>
  <si>
    <t>201678_s_at</t>
  </si>
  <si>
    <t>C3orf37</t>
  </si>
  <si>
    <t>203120_at</t>
  </si>
  <si>
    <t>TP53BP2</t>
  </si>
  <si>
    <t>54037_at</t>
  </si>
  <si>
    <t>213828_x_at</t>
  </si>
  <si>
    <t>200934_at</t>
  </si>
  <si>
    <t>DEK</t>
  </si>
  <si>
    <t>218200_s_at</t>
  </si>
  <si>
    <t>NDUFB2</t>
  </si>
  <si>
    <t>201424_s_at</t>
  </si>
  <si>
    <t>CUL4A</t>
  </si>
  <si>
    <t>208860_s_at</t>
  </si>
  <si>
    <t>ATRX</t>
  </si>
  <si>
    <t>209235_at</t>
  </si>
  <si>
    <t>CLCN7</t>
  </si>
  <si>
    <t>215549_x_at</t>
  </si>
  <si>
    <t>hCG_2030429</t>
  </si>
  <si>
    <t>203225_s_at</t>
  </si>
  <si>
    <t>RFK</t>
  </si>
  <si>
    <t>209773_s_at</t>
  </si>
  <si>
    <t>RRM2</t>
  </si>
  <si>
    <t>203257_s_at</t>
  </si>
  <si>
    <t>C11orf49</t>
  </si>
  <si>
    <t>56821_at</t>
  </si>
  <si>
    <t>SLC38A7</t>
  </si>
  <si>
    <t>201173_x_at</t>
  </si>
  <si>
    <t>NUDC</t>
  </si>
  <si>
    <t>202457_s_at</t>
  </si>
  <si>
    <t>PPP3CA</t>
  </si>
  <si>
    <t>212380_at</t>
  </si>
  <si>
    <t>FTSJD2</t>
  </si>
  <si>
    <t>212748_at</t>
  </si>
  <si>
    <t>MKL1</t>
  </si>
  <si>
    <t>222182_s_at</t>
  </si>
  <si>
    <t>CNOT2</t>
  </si>
  <si>
    <t>213174_at</t>
  </si>
  <si>
    <t>TTC9</t>
  </si>
  <si>
    <t>202803_s_at</t>
  </si>
  <si>
    <t>ITGB2</t>
  </si>
  <si>
    <t>203636_at</t>
  </si>
  <si>
    <t>MID1</t>
  </si>
  <si>
    <t>209023_s_at</t>
  </si>
  <si>
    <t>STAG2</t>
  </si>
  <si>
    <t>211260_at</t>
  </si>
  <si>
    <t>BMP7</t>
  </si>
  <si>
    <t>218656_s_at</t>
  </si>
  <si>
    <t>LHFP</t>
  </si>
  <si>
    <t>203963_at</t>
  </si>
  <si>
    <t>CA12</t>
  </si>
  <si>
    <t>202662_s_at</t>
  </si>
  <si>
    <t>ITPR2</t>
  </si>
  <si>
    <t>205202_at</t>
  </si>
  <si>
    <t>201589_at</t>
  </si>
  <si>
    <t>SMC1A</t>
  </si>
  <si>
    <t>219001_s_at</t>
  </si>
  <si>
    <t>DCAF10</t>
  </si>
  <si>
    <t>219057_at</t>
  </si>
  <si>
    <t>RABEP2</t>
  </si>
  <si>
    <t>216181_at</t>
  </si>
  <si>
    <t>200982_s_at</t>
  </si>
  <si>
    <t>ANXA6</t>
  </si>
  <si>
    <t>201964_at</t>
  </si>
  <si>
    <t>209264_s_at</t>
  </si>
  <si>
    <t>TSPAN4</t>
  </si>
  <si>
    <t>210446_at</t>
  </si>
  <si>
    <t>GATA1</t>
  </si>
  <si>
    <t>206138_s_at</t>
  </si>
  <si>
    <t>PI4KB</t>
  </si>
  <si>
    <t>210583_at</t>
  </si>
  <si>
    <t>POLDIP3</t>
  </si>
  <si>
    <t>200791_s_at</t>
  </si>
  <si>
    <t>IQGAP1</t>
  </si>
  <si>
    <t>202147_s_at</t>
  </si>
  <si>
    <t>208993_s_at</t>
  </si>
  <si>
    <t>PPIG</t>
  </si>
  <si>
    <t>209359_x_at</t>
  </si>
  <si>
    <t>209547_s_at</t>
  </si>
  <si>
    <t>SF4</t>
  </si>
  <si>
    <t>212727_at</t>
  </si>
  <si>
    <t>DLG3</t>
  </si>
  <si>
    <t>219282_s_at</t>
  </si>
  <si>
    <t>TRPV2</t>
  </si>
  <si>
    <t>203884_s_at</t>
  </si>
  <si>
    <t>RAB11FIP2</t>
  </si>
  <si>
    <t>215918_s_at</t>
  </si>
  <si>
    <t>207388_s_at</t>
  </si>
  <si>
    <t>PTGES</t>
  </si>
  <si>
    <t>202971_s_at</t>
  </si>
  <si>
    <t>207785_s_at</t>
  </si>
  <si>
    <t>RBPJ</t>
  </si>
  <si>
    <t>210001_s_at</t>
  </si>
  <si>
    <t>SOCS1</t>
  </si>
  <si>
    <t>216033_s_at</t>
  </si>
  <si>
    <t>216942_s_at</t>
  </si>
  <si>
    <t>220698_at</t>
  </si>
  <si>
    <t>MGC4294</t>
  </si>
  <si>
    <t>212193_s_at</t>
  </si>
  <si>
    <t>LARP1</t>
  </si>
  <si>
    <t>200849_s_at</t>
  </si>
  <si>
    <t>AHCYL1</t>
  </si>
  <si>
    <t>209478_at</t>
  </si>
  <si>
    <t>STRA13</t>
  </si>
  <si>
    <t>218181_s_at</t>
  </si>
  <si>
    <t>218199_s_at</t>
  </si>
  <si>
    <t>NOL6</t>
  </si>
  <si>
    <t>218420_s_at</t>
  </si>
  <si>
    <t>C13orf23</t>
  </si>
  <si>
    <t>218676_s_at</t>
  </si>
  <si>
    <t>PCTP</t>
  </si>
  <si>
    <t>219522_at</t>
  </si>
  <si>
    <t>FJX1</t>
  </si>
  <si>
    <t>219711_at</t>
  </si>
  <si>
    <t>ZNF586</t>
  </si>
  <si>
    <t>222362_at</t>
  </si>
  <si>
    <t>AFFX-HSAC07/X00351_5_at</t>
  </si>
  <si>
    <t>200892_s_at</t>
  </si>
  <si>
    <t>201947_s_at</t>
  </si>
  <si>
    <t>CCT2</t>
  </si>
  <si>
    <t>202106_at</t>
  </si>
  <si>
    <t>GOLGA3</t>
  </si>
  <si>
    <t>202228_s_at</t>
  </si>
  <si>
    <t>NPTN</t>
  </si>
  <si>
    <t>204133_at</t>
  </si>
  <si>
    <t>RRP9</t>
  </si>
  <si>
    <t>212529_at</t>
  </si>
  <si>
    <t>LSM12</t>
  </si>
  <si>
    <t>213301_x_at</t>
  </si>
  <si>
    <t>TRIM24</t>
  </si>
  <si>
    <t>213750_at</t>
  </si>
  <si>
    <t>RSL1D1</t>
  </si>
  <si>
    <t>216646_at</t>
  </si>
  <si>
    <t>DSCC1</t>
  </si>
  <si>
    <t>217323_at</t>
  </si>
  <si>
    <t>HLA-DRB6</t>
  </si>
  <si>
    <t>220000_at</t>
  </si>
  <si>
    <t>SIGLEC5</t>
  </si>
  <si>
    <t>203520_s_at</t>
  </si>
  <si>
    <t>ZNF318</t>
  </si>
  <si>
    <t>204352_at</t>
  </si>
  <si>
    <t>TRAF5</t>
  </si>
  <si>
    <t>204729_s_at</t>
  </si>
  <si>
    <t>STX1A</t>
  </si>
  <si>
    <t>210339_s_at</t>
  </si>
  <si>
    <t>KLK2</t>
  </si>
  <si>
    <t>201586_s_at</t>
  </si>
  <si>
    <t>SFPQ</t>
  </si>
  <si>
    <t>218642_s_at</t>
  </si>
  <si>
    <t>CHCHD7</t>
  </si>
  <si>
    <t>203100_s_at</t>
  </si>
  <si>
    <t>CDYL</t>
  </si>
  <si>
    <t>202279_at</t>
  </si>
  <si>
    <t>C14orf2</t>
  </si>
  <si>
    <t>202302_s_at</t>
  </si>
  <si>
    <t>RSRC2</t>
  </si>
  <si>
    <t>203321_s_at</t>
  </si>
  <si>
    <t>219130_at</t>
  </si>
  <si>
    <t>CCDC76</t>
  </si>
  <si>
    <t>221256_s_at</t>
  </si>
  <si>
    <t>HDHD3</t>
  </si>
  <si>
    <t>215265_at</t>
  </si>
  <si>
    <t>EMX1</t>
  </si>
  <si>
    <t>201736_s_at</t>
  </si>
  <si>
    <t>_x001A__x001A__x001A_-06</t>
  </si>
  <si>
    <t>205217_at</t>
  </si>
  <si>
    <t>TIMM8A</t>
  </si>
  <si>
    <t>212770_at</t>
  </si>
  <si>
    <t>221334_s_at</t>
  </si>
  <si>
    <t>FOXP3</t>
  </si>
  <si>
    <t>211210_x_at</t>
  </si>
  <si>
    <t>SH2D1A</t>
  </si>
  <si>
    <t>214623_at</t>
  </si>
  <si>
    <t>FBXW4P1</t>
  </si>
  <si>
    <t>208990_s_at</t>
  </si>
  <si>
    <t>HNRNPH3</t>
  </si>
  <si>
    <t>211795_s_at</t>
  </si>
  <si>
    <t>FYB</t>
  </si>
  <si>
    <t>202256_at</t>
  </si>
  <si>
    <t>CD2BP2</t>
  </si>
  <si>
    <t>214205_x_at</t>
  </si>
  <si>
    <t>GLRX3</t>
  </si>
  <si>
    <t>222061_at</t>
  </si>
  <si>
    <t>221264_s_at</t>
  </si>
  <si>
    <t>TARDBP</t>
  </si>
  <si>
    <t>221830_at</t>
  </si>
  <si>
    <t>RAP2A</t>
  </si>
  <si>
    <t>201745_at</t>
  </si>
  <si>
    <t>TWF1</t>
  </si>
  <si>
    <t>206173_x_at</t>
  </si>
  <si>
    <t>GABPB1</t>
  </si>
  <si>
    <t>208771_s_at</t>
  </si>
  <si>
    <t>LTA4H</t>
  </si>
  <si>
    <t>211764_s_at</t>
  </si>
  <si>
    <t>UBE2D1</t>
  </si>
  <si>
    <t>213995_at</t>
  </si>
  <si>
    <t>ATP5S</t>
  </si>
  <si>
    <t>218415_at</t>
  </si>
  <si>
    <t>VPS33B</t>
  </si>
  <si>
    <t>210623_at</t>
  </si>
  <si>
    <t>UBXN1</t>
  </si>
  <si>
    <t>212689_s_at</t>
  </si>
  <si>
    <t>KDM3A</t>
  </si>
  <si>
    <t>201216_at</t>
  </si>
  <si>
    <t>ERP29</t>
  </si>
  <si>
    <t>203972_s_at</t>
  </si>
  <si>
    <t>PEX3</t>
  </si>
  <si>
    <t>212208_at</t>
  </si>
  <si>
    <t>218195_at</t>
  </si>
  <si>
    <t>C6orf211</t>
  </si>
  <si>
    <t>201773_at</t>
  </si>
  <si>
    <t>ADNP</t>
  </si>
  <si>
    <t>204413_at</t>
  </si>
  <si>
    <t>TRAF2</t>
  </si>
  <si>
    <t>208793_x_at</t>
  </si>
  <si>
    <t>218795_at</t>
  </si>
  <si>
    <t>ACP6</t>
  </si>
  <si>
    <t>219974_x_at</t>
  </si>
  <si>
    <t>ECHDC1</t>
  </si>
  <si>
    <t>220611_at</t>
  </si>
  <si>
    <t>DAB1</t>
  </si>
  <si>
    <t>218060_s_at</t>
  </si>
  <si>
    <t>C16orf57</t>
  </si>
  <si>
    <t>216219_at</t>
  </si>
  <si>
    <t>AQP6</t>
  </si>
  <si>
    <t>218867_s_at</t>
  </si>
  <si>
    <t>C12orf49</t>
  </si>
  <si>
    <t>221804_s_at</t>
  </si>
  <si>
    <t>FAM45A /// FAM45B</t>
  </si>
  <si>
    <t>201404_x_at</t>
  </si>
  <si>
    <t>204923_at</t>
  </si>
  <si>
    <t>SASH3</t>
  </si>
  <si>
    <t>206445_s_at</t>
  </si>
  <si>
    <t>PRMT1</t>
  </si>
  <si>
    <t>219228_at</t>
  </si>
  <si>
    <t>ZNF331</t>
  </si>
  <si>
    <t>219855_at</t>
  </si>
  <si>
    <t>NUDT11</t>
  </si>
  <si>
    <t>203004_s_at</t>
  </si>
  <si>
    <t>MEF2D</t>
  </si>
  <si>
    <t>203091_at</t>
  </si>
  <si>
    <t>202937_x_at</t>
  </si>
  <si>
    <t>RRP7A</t>
  </si>
  <si>
    <t>203796_s_at</t>
  </si>
  <si>
    <t>208118_x_at</t>
  </si>
  <si>
    <t>IMAA /// LOC100271836 /// LOC440345 /// LOC440354 /// LOC595101 /// LOC641298 /// SLC7A5P1</t>
  </si>
  <si>
    <t>211768_at</t>
  </si>
  <si>
    <t>212322_at</t>
  </si>
  <si>
    <t>SGPL1</t>
  </si>
  <si>
    <t>219191_s_at</t>
  </si>
  <si>
    <t>BIN2</t>
  </si>
  <si>
    <t>204370_at</t>
  </si>
  <si>
    <t>CLP1</t>
  </si>
  <si>
    <t>217341_at</t>
  </si>
  <si>
    <t>LOC100289042</t>
  </si>
  <si>
    <t>200698_at</t>
  </si>
  <si>
    <t>215925_s_at</t>
  </si>
  <si>
    <t>CD72</t>
  </si>
  <si>
    <t>219438_at</t>
  </si>
  <si>
    <t>NKAIN1</t>
  </si>
  <si>
    <t>203899_s_at</t>
  </si>
  <si>
    <t>ASL /// CRCP</t>
  </si>
  <si>
    <t>208519_x_at</t>
  </si>
  <si>
    <t>GNRH2</t>
  </si>
  <si>
    <t>212858_at</t>
  </si>
  <si>
    <t>PAQR4</t>
  </si>
  <si>
    <t>203306_s_at</t>
  </si>
  <si>
    <t>SLC35A1</t>
  </si>
  <si>
    <t>204267_x_at</t>
  </si>
  <si>
    <t>PKMYT1</t>
  </si>
  <si>
    <t>204793_at</t>
  </si>
  <si>
    <t>GPRASP1</t>
  </si>
  <si>
    <t>206438_x_at</t>
  </si>
  <si>
    <t>TCTN2</t>
  </si>
  <si>
    <t>206738_at</t>
  </si>
  <si>
    <t>APOC4</t>
  </si>
  <si>
    <t>211205_x_at</t>
  </si>
  <si>
    <t>PIP5K1A</t>
  </si>
  <si>
    <t>204740_at</t>
  </si>
  <si>
    <t>CNKSR1</t>
  </si>
  <si>
    <t>214180_at</t>
  </si>
  <si>
    <t>MAN1C1</t>
  </si>
  <si>
    <t>215807_s_at</t>
  </si>
  <si>
    <t>218103_at</t>
  </si>
  <si>
    <t>FTSJ3</t>
  </si>
  <si>
    <t>219179_at</t>
  </si>
  <si>
    <t>DACT1</t>
  </si>
  <si>
    <t>200722_s_at</t>
  </si>
  <si>
    <t>CAPRIN1</t>
  </si>
  <si>
    <t>201324_at</t>
  </si>
  <si>
    <t>EMP1</t>
  </si>
  <si>
    <t>204571_x_at</t>
  </si>
  <si>
    <t>205786_s_at</t>
  </si>
  <si>
    <t>ITGAM</t>
  </si>
  <si>
    <t>206791_s_at</t>
  </si>
  <si>
    <t>PDE4C</t>
  </si>
  <si>
    <t>213076_at</t>
  </si>
  <si>
    <t>ITPKC</t>
  </si>
  <si>
    <t>213571_s_at</t>
  </si>
  <si>
    <t>EIF4E2</t>
  </si>
  <si>
    <t>219227_at</t>
  </si>
  <si>
    <t>CCNJL</t>
  </si>
  <si>
    <t>219684_at</t>
  </si>
  <si>
    <t>RTP4</t>
  </si>
  <si>
    <t>211256_x_at</t>
  </si>
  <si>
    <t>BTN2A1</t>
  </si>
  <si>
    <t>205994_at</t>
  </si>
  <si>
    <t>ELK4</t>
  </si>
  <si>
    <t>201459_at</t>
  </si>
  <si>
    <t>RUVBL2</t>
  </si>
  <si>
    <t>213545_x_at</t>
  </si>
  <si>
    <t>213228_at</t>
  </si>
  <si>
    <t>PDE8B</t>
  </si>
  <si>
    <t>31826_at</t>
  </si>
  <si>
    <t>207298_at</t>
  </si>
  <si>
    <t>SLC17A3</t>
  </si>
  <si>
    <t>201619_at</t>
  </si>
  <si>
    <t>PRDX3</t>
  </si>
  <si>
    <t>200636_s_at</t>
  </si>
  <si>
    <t>PTPRF</t>
  </si>
  <si>
    <t>212573_at</t>
  </si>
  <si>
    <t>ENDOD1</t>
  </si>
  <si>
    <t>219801_at</t>
  </si>
  <si>
    <t>ZNF34</t>
  </si>
  <si>
    <t>213732_at</t>
  </si>
  <si>
    <t>201434_at</t>
  </si>
  <si>
    <t>TTC1</t>
  </si>
  <si>
    <t>208820_at</t>
  </si>
  <si>
    <t>PTK2</t>
  </si>
  <si>
    <t>214157_at</t>
  </si>
  <si>
    <t>221979_at</t>
  </si>
  <si>
    <t>LOC100129250</t>
  </si>
  <si>
    <t>202300_at</t>
  </si>
  <si>
    <t>205936_s_at</t>
  </si>
  <si>
    <t>HK3</t>
  </si>
  <si>
    <t>205967_at</t>
  </si>
  <si>
    <t>HIST1H4C</t>
  </si>
  <si>
    <t>211166_at</t>
  </si>
  <si>
    <t>FAM153A</t>
  </si>
  <si>
    <t>201867_s_at</t>
  </si>
  <si>
    <t>220005_at</t>
  </si>
  <si>
    <t>P2RY13</t>
  </si>
  <si>
    <t>209100_at</t>
  </si>
  <si>
    <t>IFRD2</t>
  </si>
  <si>
    <t>205972_at</t>
  </si>
  <si>
    <t>SLC38A3</t>
  </si>
  <si>
    <t>200818_at</t>
  </si>
  <si>
    <t>ATP5O</t>
  </si>
  <si>
    <t>221482_s_at</t>
  </si>
  <si>
    <t>ARPP19</t>
  </si>
  <si>
    <t>215245_x_at</t>
  </si>
  <si>
    <t>FMR1</t>
  </si>
  <si>
    <t>219077_s_at</t>
  </si>
  <si>
    <t>WWOX</t>
  </si>
  <si>
    <t>200908_s_at</t>
  </si>
  <si>
    <t>RPLP2</t>
  </si>
  <si>
    <t>216851_at</t>
  </si>
  <si>
    <t>LOC100293713</t>
  </si>
  <si>
    <t>206383_s_at</t>
  </si>
  <si>
    <t>G3BP2</t>
  </si>
  <si>
    <t>208093_s_at</t>
  </si>
  <si>
    <t>NDEL1</t>
  </si>
  <si>
    <t>208932_at</t>
  </si>
  <si>
    <t>PPP4C</t>
  </si>
  <si>
    <t>209201_x_at</t>
  </si>
  <si>
    <t>209670_at</t>
  </si>
  <si>
    <t>TRAC</t>
  </si>
  <si>
    <t>212040_at</t>
  </si>
  <si>
    <t>TGOLN2</t>
  </si>
  <si>
    <t>212762_s_at</t>
  </si>
  <si>
    <t>218024_at</t>
  </si>
  <si>
    <t>BRP44L</t>
  </si>
  <si>
    <t>201108_s_at</t>
  </si>
  <si>
    <t>THBS1</t>
  </si>
  <si>
    <t>202363_at</t>
  </si>
  <si>
    <t>SPOCK1</t>
  </si>
  <si>
    <t>209361_s_at</t>
  </si>
  <si>
    <t>PCBP4</t>
  </si>
  <si>
    <t>209384_at</t>
  </si>
  <si>
    <t>213050_at</t>
  </si>
  <si>
    <t>COBL</t>
  </si>
  <si>
    <t>219997_s_at</t>
  </si>
  <si>
    <t>COPS7B</t>
  </si>
  <si>
    <t>212840_at</t>
  </si>
  <si>
    <t>204082_at</t>
  </si>
  <si>
    <t>PBX3</t>
  </si>
  <si>
    <t>207417_s_at</t>
  </si>
  <si>
    <t>ZNF177</t>
  </si>
  <si>
    <t>210765_at</t>
  </si>
  <si>
    <t>CSE1L</t>
  </si>
  <si>
    <t>212187_x_at</t>
  </si>
  <si>
    <t>PTGDS</t>
  </si>
  <si>
    <t>218270_at</t>
  </si>
  <si>
    <t>MRPL24</t>
  </si>
  <si>
    <t>218702_at</t>
  </si>
  <si>
    <t>SARS2</t>
  </si>
  <si>
    <t>217242_at</t>
  </si>
  <si>
    <t>ZNF154</t>
  </si>
  <si>
    <t>217832_at</t>
  </si>
  <si>
    <t>SYNCRIP</t>
  </si>
  <si>
    <t>208985_s_at</t>
  </si>
  <si>
    <t>EIF3J</t>
  </si>
  <si>
    <t>205255_x_at</t>
  </si>
  <si>
    <t>TCF7</t>
  </si>
  <si>
    <t>211984_at</t>
  </si>
  <si>
    <t>210634_at</t>
  </si>
  <si>
    <t>219248_at</t>
  </si>
  <si>
    <t>THUMPD2</t>
  </si>
  <si>
    <t>219844_at</t>
  </si>
  <si>
    <t>C10orf118</t>
  </si>
  <si>
    <t>37577_at</t>
  </si>
  <si>
    <t>ARHGAP19</t>
  </si>
  <si>
    <t>200671_s_at</t>
  </si>
  <si>
    <t>212377_s_at</t>
  </si>
  <si>
    <t>213360_s_at</t>
  </si>
  <si>
    <t>POM121 /// POM121C</t>
  </si>
  <si>
    <t>215049_x_at</t>
  </si>
  <si>
    <t>CD163</t>
  </si>
  <si>
    <t>218102_at</t>
  </si>
  <si>
    <t>DERA</t>
  </si>
  <si>
    <t>212988_x_at</t>
  </si>
  <si>
    <t>219458_s_at</t>
  </si>
  <si>
    <t>NSUN3</t>
  </si>
  <si>
    <t>209250_at</t>
  </si>
  <si>
    <t>DEGS1</t>
  </si>
  <si>
    <t>201277_s_at</t>
  </si>
  <si>
    <t>HNRNPAB</t>
  </si>
  <si>
    <t>201414_s_at</t>
  </si>
  <si>
    <t>NAP1L4</t>
  </si>
  <si>
    <t>209503_s_at</t>
  </si>
  <si>
    <t>PSMC5</t>
  </si>
  <si>
    <t>208840_s_at</t>
  </si>
  <si>
    <t>209413_at</t>
  </si>
  <si>
    <t>B4GALT2</t>
  </si>
  <si>
    <t>210556_at</t>
  </si>
  <si>
    <t>220865_s_at</t>
  </si>
  <si>
    <t>PDSS1</t>
  </si>
  <si>
    <t>35626_at</t>
  </si>
  <si>
    <t>SGSH</t>
  </si>
  <si>
    <t>201622_at</t>
  </si>
  <si>
    <t>SND1</t>
  </si>
  <si>
    <t>203160_s_at</t>
  </si>
  <si>
    <t>RNF8</t>
  </si>
  <si>
    <t>204336_s_at</t>
  </si>
  <si>
    <t>RGS19</t>
  </si>
  <si>
    <t>205818_at</t>
  </si>
  <si>
    <t>DBC1</t>
  </si>
  <si>
    <t>207237_at</t>
  </si>
  <si>
    <t>KCNA3</t>
  </si>
  <si>
    <t>209795_at</t>
  </si>
  <si>
    <t>CD69</t>
  </si>
  <si>
    <t>212057_at</t>
  </si>
  <si>
    <t>213661_at</t>
  </si>
  <si>
    <t>PAMR1</t>
  </si>
  <si>
    <t>214251_s_at</t>
  </si>
  <si>
    <t>NUMA1</t>
  </si>
  <si>
    <t>218566_s_at</t>
  </si>
  <si>
    <t>CHORDC1</t>
  </si>
  <si>
    <t>218567_x_at</t>
  </si>
  <si>
    <t>DPP3</t>
  </si>
  <si>
    <t>219226_at</t>
  </si>
  <si>
    <t>CRKRS</t>
  </si>
  <si>
    <t>221613_s_at</t>
  </si>
  <si>
    <t>ZFAND6</t>
  </si>
  <si>
    <t>202573_at</t>
  </si>
  <si>
    <t>CSNK1G2</t>
  </si>
  <si>
    <t>206493_at</t>
  </si>
  <si>
    <t>ITGA2B</t>
  </si>
  <si>
    <t>218208_at</t>
  </si>
  <si>
    <t>PQLC1</t>
  </si>
  <si>
    <t>216481_at</t>
  </si>
  <si>
    <t>GRIP2</t>
  </si>
  <si>
    <t>220602_s_at</t>
  </si>
  <si>
    <t>LOC388152 /// LOC727751 /// LOC727849 /// LOC80154</t>
  </si>
  <si>
    <t>218146_at</t>
  </si>
  <si>
    <t>GLT8D1</t>
  </si>
  <si>
    <t>202184_s_at</t>
  </si>
  <si>
    <t>NUP133</t>
  </si>
  <si>
    <t>203747_at</t>
  </si>
  <si>
    <t>AQP3</t>
  </si>
  <si>
    <t>209437_s_at</t>
  </si>
  <si>
    <t>52651_at</t>
  </si>
  <si>
    <t>COL8A2</t>
  </si>
  <si>
    <t>210106_at</t>
  </si>
  <si>
    <t>RDH5</t>
  </si>
  <si>
    <t>222060_at</t>
  </si>
  <si>
    <t>KRT8P12</t>
  </si>
  <si>
    <t>221218_s_at</t>
  </si>
  <si>
    <t>TPK1</t>
  </si>
  <si>
    <t>218414_s_at</t>
  </si>
  <si>
    <t>NDE1</t>
  </si>
  <si>
    <t>210307_s_at</t>
  </si>
  <si>
    <t>KLHL25</t>
  </si>
  <si>
    <t>209013_x_at</t>
  </si>
  <si>
    <t>TRIO</t>
  </si>
  <si>
    <t>201474_s_at</t>
  </si>
  <si>
    <t>ITGA3</t>
  </si>
  <si>
    <t>205843_x_at</t>
  </si>
  <si>
    <t>CRAT</t>
  </si>
  <si>
    <t>208931_s_at</t>
  </si>
  <si>
    <t>ILF3</t>
  </si>
  <si>
    <t>219505_at</t>
  </si>
  <si>
    <t>CECR1</t>
  </si>
  <si>
    <t>219124_at</t>
  </si>
  <si>
    <t>C8orf41</t>
  </si>
  <si>
    <t>201850_at</t>
  </si>
  <si>
    <t>CAPG</t>
  </si>
  <si>
    <t>203695_s_at</t>
  </si>
  <si>
    <t>DFNA5</t>
  </si>
  <si>
    <t>205617_at</t>
  </si>
  <si>
    <t>PRRG2</t>
  </si>
  <si>
    <t>206113_s_at</t>
  </si>
  <si>
    <t>216125_s_at</t>
  </si>
  <si>
    <t>RANBP9</t>
  </si>
  <si>
    <t>204034_at</t>
  </si>
  <si>
    <t>ETHE1</t>
  </si>
  <si>
    <t>209207_s_at</t>
  </si>
  <si>
    <t>SEC22B</t>
  </si>
  <si>
    <t>215177_s_at</t>
  </si>
  <si>
    <t>ITGA6</t>
  </si>
  <si>
    <t>217020_at</t>
  </si>
  <si>
    <t>RARB</t>
  </si>
  <si>
    <t>211983_x_at</t>
  </si>
  <si>
    <t>216243_s_at</t>
  </si>
  <si>
    <t>IL1RN</t>
  </si>
  <si>
    <t>218151_x_at</t>
  </si>
  <si>
    <t>GPR172A</t>
  </si>
  <si>
    <t>218464_s_at</t>
  </si>
  <si>
    <t>C17orf63</t>
  </si>
  <si>
    <t>205928_at</t>
  </si>
  <si>
    <t>ZNF443</t>
  </si>
  <si>
    <t>49077_at</t>
  </si>
  <si>
    <t>PPME1</t>
  </si>
  <si>
    <t>205913_at</t>
  </si>
  <si>
    <t>PLIN1</t>
  </si>
  <si>
    <t>201568_at</t>
  </si>
  <si>
    <t>UQCRQ</t>
  </si>
  <si>
    <t>207749_s_at</t>
  </si>
  <si>
    <t>PPP2R3A</t>
  </si>
  <si>
    <t>221879_at</t>
  </si>
  <si>
    <t>CALML4</t>
  </si>
  <si>
    <t>205346_at</t>
  </si>
  <si>
    <t>ST3GAL2</t>
  </si>
  <si>
    <t>216596_at</t>
  </si>
  <si>
    <t>DKFZP434L187</t>
  </si>
  <si>
    <t>222142_at</t>
  </si>
  <si>
    <t>CYLD</t>
  </si>
  <si>
    <t>210299_s_at</t>
  </si>
  <si>
    <t>203521_s_at</t>
  </si>
  <si>
    <t>210609_s_at</t>
  </si>
  <si>
    <t>TP53I3</t>
  </si>
  <si>
    <t>211498_s_at</t>
  </si>
  <si>
    <t>NKX3-1</t>
  </si>
  <si>
    <t>206836_at</t>
  </si>
  <si>
    <t>SLC6A3</t>
  </si>
  <si>
    <t>210095_s_at</t>
  </si>
  <si>
    <t>IGFBP3</t>
  </si>
  <si>
    <t>215461_at</t>
  </si>
  <si>
    <t>ZNRF4</t>
  </si>
  <si>
    <t>205182_s_at</t>
  </si>
  <si>
    <t>ZNF324</t>
  </si>
  <si>
    <t>220099_s_at</t>
  </si>
  <si>
    <t>LUC7L2</t>
  </si>
  <si>
    <t>221727_at</t>
  </si>
  <si>
    <t>SUB1</t>
  </si>
  <si>
    <t>207127_s_at</t>
  </si>
  <si>
    <t>200821_at</t>
  </si>
  <si>
    <t>205388_at</t>
  </si>
  <si>
    <t>TNNC2</t>
  </si>
  <si>
    <t>219425_at</t>
  </si>
  <si>
    <t>SULT4A1</t>
  </si>
  <si>
    <t>201441_at</t>
  </si>
  <si>
    <t>COX6B1</t>
  </si>
  <si>
    <t>212455_at</t>
  </si>
  <si>
    <t>209249_s_at</t>
  </si>
  <si>
    <t>210793_s_at</t>
  </si>
  <si>
    <t>NUP98</t>
  </si>
  <si>
    <t>48659_at</t>
  </si>
  <si>
    <t>MIIP</t>
  </si>
  <si>
    <t>202346_at</t>
  </si>
  <si>
    <t>UBE2K</t>
  </si>
  <si>
    <t>204253_s_at</t>
  </si>
  <si>
    <t>214635_at</t>
  </si>
  <si>
    <t>CLDN9</t>
  </si>
  <si>
    <t>65591_at</t>
  </si>
  <si>
    <t>205083_at</t>
  </si>
  <si>
    <t>210788_s_at</t>
  </si>
  <si>
    <t>DHRS7</t>
  </si>
  <si>
    <t>213019_at</t>
  </si>
  <si>
    <t>RANBP6</t>
  </si>
  <si>
    <t>200807_s_at</t>
  </si>
  <si>
    <t>210966_x_at</t>
  </si>
  <si>
    <t>215548_s_at</t>
  </si>
  <si>
    <t>SCFD1</t>
  </si>
  <si>
    <t>210554_s_at</t>
  </si>
  <si>
    <t>201307_at</t>
  </si>
  <si>
    <t>214303_x_at</t>
  </si>
  <si>
    <t>MUC5AC</t>
  </si>
  <si>
    <t>215151_at</t>
  </si>
  <si>
    <t>DOCK10</t>
  </si>
  <si>
    <t>206309_at</t>
  </si>
  <si>
    <t>LECT1</t>
  </si>
  <si>
    <t>202154_x_at</t>
  </si>
  <si>
    <t>202197_at</t>
  </si>
  <si>
    <t>MTMR3</t>
  </si>
  <si>
    <t>202615_at</t>
  </si>
  <si>
    <t>GNAQ</t>
  </si>
  <si>
    <t>209685_s_at</t>
  </si>
  <si>
    <t>206272_at</t>
  </si>
  <si>
    <t>RAB4A /// SPHAR</t>
  </si>
  <si>
    <t>208977_x_at</t>
  </si>
  <si>
    <t>213287_s_at</t>
  </si>
  <si>
    <t>KRT10</t>
  </si>
  <si>
    <t>221975_s_at</t>
  </si>
  <si>
    <t>205097_at</t>
  </si>
  <si>
    <t>SLC26A2</t>
  </si>
  <si>
    <t>200747_s_at</t>
  </si>
  <si>
    <t>203446_s_at</t>
  </si>
  <si>
    <t>OCRL</t>
  </si>
  <si>
    <t>212910_at</t>
  </si>
  <si>
    <t>THAP11</t>
  </si>
  <si>
    <t>213773_x_at</t>
  </si>
  <si>
    <t>NSUN5</t>
  </si>
  <si>
    <t>218090_s_at</t>
  </si>
  <si>
    <t>BRWD2</t>
  </si>
  <si>
    <t>202200_s_at</t>
  </si>
  <si>
    <t>SRPK1</t>
  </si>
  <si>
    <t>202759_s_at</t>
  </si>
  <si>
    <t>AKAP2 /// PALM2-AKAP2</t>
  </si>
  <si>
    <t>214961_at</t>
  </si>
  <si>
    <t>KIAA0774</t>
  </si>
  <si>
    <t>201311_s_at</t>
  </si>
  <si>
    <t>SH3BGRL</t>
  </si>
  <si>
    <t>201776_s_at</t>
  </si>
  <si>
    <t>KIAA0494</t>
  </si>
  <si>
    <t>207199_at</t>
  </si>
  <si>
    <t>TERT</t>
  </si>
  <si>
    <t>212631_at</t>
  </si>
  <si>
    <t>STX7</t>
  </si>
  <si>
    <t>203476_at</t>
  </si>
  <si>
    <t>TPBG</t>
  </si>
  <si>
    <t>208910_s_at</t>
  </si>
  <si>
    <t>C1QBP</t>
  </si>
  <si>
    <t>201770_at</t>
  </si>
  <si>
    <t>SNRPA</t>
  </si>
  <si>
    <t>202053_s_at</t>
  </si>
  <si>
    <t>ALDH3A2</t>
  </si>
  <si>
    <t>204531_s_at</t>
  </si>
  <si>
    <t>BRCA1</t>
  </si>
  <si>
    <t>205131_x_at</t>
  </si>
  <si>
    <t>206541_at</t>
  </si>
  <si>
    <t>KLKB1</t>
  </si>
  <si>
    <t>208601_s_at</t>
  </si>
  <si>
    <t>TUBB1</t>
  </si>
  <si>
    <t>209923_s_at</t>
  </si>
  <si>
    <t>BRAP</t>
  </si>
  <si>
    <t>209964_s_at</t>
  </si>
  <si>
    <t>ATXN7</t>
  </si>
  <si>
    <t>210101_x_at</t>
  </si>
  <si>
    <t>SH3GLB1</t>
  </si>
  <si>
    <t>210550_s_at</t>
  </si>
  <si>
    <t>RASGRF1</t>
  </si>
  <si>
    <t>212235_at</t>
  </si>
  <si>
    <t>218122_s_at</t>
  </si>
  <si>
    <t>SENP2</t>
  </si>
  <si>
    <t>208292_at</t>
  </si>
  <si>
    <t>BMP10</t>
  </si>
  <si>
    <t>47530_at</t>
  </si>
  <si>
    <t>C9orf156</t>
  </si>
  <si>
    <t>210087_s_at</t>
  </si>
  <si>
    <t>219256_s_at</t>
  </si>
  <si>
    <t>SH3TC1</t>
  </si>
  <si>
    <t>202181_at</t>
  </si>
  <si>
    <t>KIAA0247</t>
  </si>
  <si>
    <t>218815_s_at</t>
  </si>
  <si>
    <t>TMEM51</t>
  </si>
  <si>
    <t>213272_s_at</t>
  </si>
  <si>
    <t>TMEM159</t>
  </si>
  <si>
    <t>207896_s_at</t>
  </si>
  <si>
    <t>DLEC1</t>
  </si>
  <si>
    <t>219072_at</t>
  </si>
  <si>
    <t>BCL7C</t>
  </si>
  <si>
    <t>208845_at</t>
  </si>
  <si>
    <t>VDAC3</t>
  </si>
  <si>
    <t>35156_at</t>
  </si>
  <si>
    <t>209620_s_at</t>
  </si>
  <si>
    <t>ABCB7</t>
  </si>
  <si>
    <t>215741_x_at</t>
  </si>
  <si>
    <t>AKAP8L</t>
  </si>
  <si>
    <t>208978_at</t>
  </si>
  <si>
    <t>CRIP2</t>
  </si>
  <si>
    <t>214386_at</t>
  </si>
  <si>
    <t>HMX1</t>
  </si>
  <si>
    <t>218729_at</t>
  </si>
  <si>
    <t>LXN</t>
  </si>
  <si>
    <t>212305_s_at</t>
  </si>
  <si>
    <t>MIA3</t>
  </si>
  <si>
    <t>221765_at</t>
  </si>
  <si>
    <t>218658_s_at</t>
  </si>
  <si>
    <t>ACTR8</t>
  </si>
  <si>
    <t>220041_at</t>
  </si>
  <si>
    <t>PIGZ</t>
  </si>
  <si>
    <t>203457_at</t>
  </si>
  <si>
    <t>210378_s_at</t>
  </si>
  <si>
    <t>SSNA1</t>
  </si>
  <si>
    <t>204875_s_at</t>
  </si>
  <si>
    <t>214709_s_at</t>
  </si>
  <si>
    <t>203957_at</t>
  </si>
  <si>
    <t>E2F6</t>
  </si>
  <si>
    <t>217510_at</t>
  </si>
  <si>
    <t>CRX</t>
  </si>
  <si>
    <t>220630_s_at</t>
  </si>
  <si>
    <t>CHIA</t>
  </si>
  <si>
    <t>215568_x_at</t>
  </si>
  <si>
    <t>hCG_2003956 /// LYPLA2 /// LYPLA2P1</t>
  </si>
  <si>
    <t>210039_s_at</t>
  </si>
  <si>
    <t>PRKCQ</t>
  </si>
  <si>
    <t>200681_at</t>
  </si>
  <si>
    <t>GLO1</t>
  </si>
  <si>
    <t>202664_at</t>
  </si>
  <si>
    <t>WIPF1</t>
  </si>
  <si>
    <t>207848_at</t>
  </si>
  <si>
    <t>AVP</t>
  </si>
  <si>
    <t>222187_x_at</t>
  </si>
  <si>
    <t>G3BP1</t>
  </si>
  <si>
    <t>217377_x_at</t>
  </si>
  <si>
    <t>219485_s_at</t>
  </si>
  <si>
    <t>PSMD10</t>
  </si>
  <si>
    <t>203447_at</t>
  </si>
  <si>
    <t>PSMD5</t>
  </si>
  <si>
    <t>208222_at</t>
  </si>
  <si>
    <t>ACVR1B</t>
  </si>
  <si>
    <t>216542_x_at</t>
  </si>
  <si>
    <t>IGHA1 /// IGHG1 /// IGHM /// IGHV3-23 /// LOC100290059 /// LOC100290293 /// LOC100292999 /// LOC1002</t>
  </si>
  <si>
    <t>209087_x_at</t>
  </si>
  <si>
    <t>MCAM</t>
  </si>
  <si>
    <t>213227_at</t>
  </si>
  <si>
    <t>PGRMC2</t>
  </si>
  <si>
    <t>201890_at</t>
  </si>
  <si>
    <t>201275_at</t>
  </si>
  <si>
    <t>FDPS</t>
  </si>
  <si>
    <t>219754_at</t>
  </si>
  <si>
    <t>RBM41</t>
  </si>
  <si>
    <t>201291_s_at</t>
  </si>
  <si>
    <t>TOP2A</t>
  </si>
  <si>
    <t>202251_at</t>
  </si>
  <si>
    <t>PRPF3</t>
  </si>
  <si>
    <t>204345_at</t>
  </si>
  <si>
    <t>COL16A1</t>
  </si>
  <si>
    <t>216973_s_at</t>
  </si>
  <si>
    <t>HOXB7</t>
  </si>
  <si>
    <t>217772_s_at</t>
  </si>
  <si>
    <t>MTCH2</t>
  </si>
  <si>
    <t>208319_s_at</t>
  </si>
  <si>
    <t>210425_x_at</t>
  </si>
  <si>
    <t>GOLGA8B</t>
  </si>
  <si>
    <t>212417_at</t>
  </si>
  <si>
    <t>203220_s_at</t>
  </si>
  <si>
    <t>TLE1</t>
  </si>
  <si>
    <t>211744_s_at</t>
  </si>
  <si>
    <t>208270_s_at</t>
  </si>
  <si>
    <t>RNPEP</t>
  </si>
  <si>
    <t>222158_s_at</t>
  </si>
  <si>
    <t>211126_s_at</t>
  </si>
  <si>
    <t>CSRP2</t>
  </si>
  <si>
    <t>201325_s_at</t>
  </si>
  <si>
    <t>202013_s_at</t>
  </si>
  <si>
    <t>EXT2</t>
  </si>
  <si>
    <t>218325_s_at</t>
  </si>
  <si>
    <t>DIDO1</t>
  </si>
  <si>
    <t>209150_s_at</t>
  </si>
  <si>
    <t>TM9SF1</t>
  </si>
  <si>
    <t>201463_s_at</t>
  </si>
  <si>
    <t>TALDO1</t>
  </si>
  <si>
    <t>202749_at</t>
  </si>
  <si>
    <t>WRB</t>
  </si>
  <si>
    <t>219548_at</t>
  </si>
  <si>
    <t>ZNF16</t>
  </si>
  <si>
    <t>206246_at</t>
  </si>
  <si>
    <t>PFKFB4</t>
  </si>
  <si>
    <t>32837_at</t>
  </si>
  <si>
    <t>AGPAT2</t>
  </si>
  <si>
    <t>208898_at</t>
  </si>
  <si>
    <t>203727_at</t>
  </si>
  <si>
    <t>SKIV2L</t>
  </si>
  <si>
    <t>204306_s_at</t>
  </si>
  <si>
    <t>CD151</t>
  </si>
  <si>
    <t>204914_s_at</t>
  </si>
  <si>
    <t>SOX11</t>
  </si>
  <si>
    <t>216508_x_at</t>
  </si>
  <si>
    <t>CTCFL /// HMGB1 /// HMGB1L1</t>
  </si>
  <si>
    <t>217499_x_at</t>
  </si>
  <si>
    <t>OR7E37P</t>
  </si>
  <si>
    <t>218092_s_at</t>
  </si>
  <si>
    <t>201759_at</t>
  </si>
  <si>
    <t>TBCD</t>
  </si>
  <si>
    <t>212551_at</t>
  </si>
  <si>
    <t>CAP2</t>
  </si>
  <si>
    <t>209741_x_at</t>
  </si>
  <si>
    <t>SCAPER</t>
  </si>
  <si>
    <t>201432_at</t>
  </si>
  <si>
    <t>220607_x_at</t>
  </si>
  <si>
    <t>TH1L</t>
  </si>
  <si>
    <t>212293_at</t>
  </si>
  <si>
    <t>HIPK1</t>
  </si>
  <si>
    <t>204162_at</t>
  </si>
  <si>
    <t>NDC80</t>
  </si>
  <si>
    <t>208289_s_at</t>
  </si>
  <si>
    <t>214214_s_at</t>
  </si>
  <si>
    <t>203344_s_at</t>
  </si>
  <si>
    <t>RBBP8</t>
  </si>
  <si>
    <t>210184_at</t>
  </si>
  <si>
    <t>ITGAX</t>
  </si>
  <si>
    <t>202006_at</t>
  </si>
  <si>
    <t>PTPN12</t>
  </si>
  <si>
    <t>201417_at</t>
  </si>
  <si>
    <t>214014_at</t>
  </si>
  <si>
    <t>CDC42EP2</t>
  </si>
  <si>
    <t>220962_s_at</t>
  </si>
  <si>
    <t>PADI1</t>
  </si>
  <si>
    <t>48808_at</t>
  </si>
  <si>
    <t>DHFR</t>
  </si>
  <si>
    <t>203313_s_at</t>
  </si>
  <si>
    <t>TGIF1</t>
  </si>
  <si>
    <t>218281_at</t>
  </si>
  <si>
    <t>MRPL48</t>
  </si>
  <si>
    <t>201132_at</t>
  </si>
  <si>
    <t>HNRNPH2</t>
  </si>
  <si>
    <t>206814_at</t>
  </si>
  <si>
    <t>NGF</t>
  </si>
  <si>
    <t>218301_at</t>
  </si>
  <si>
    <t>RNPEPL1</t>
  </si>
  <si>
    <t>221766_s_at</t>
  </si>
  <si>
    <t>FAM46A</t>
  </si>
  <si>
    <t>204645_at</t>
  </si>
  <si>
    <t>CCNT2</t>
  </si>
  <si>
    <t>209502_s_at</t>
  </si>
  <si>
    <t>BAIAP2</t>
  </si>
  <si>
    <t>213238_at</t>
  </si>
  <si>
    <t>ATP10D</t>
  </si>
  <si>
    <t>219827_at</t>
  </si>
  <si>
    <t>UCP3</t>
  </si>
  <si>
    <t>220815_at</t>
  </si>
  <si>
    <t>CTNNA3</t>
  </si>
  <si>
    <t>201696_at</t>
  </si>
  <si>
    <t>SFRS4</t>
  </si>
  <si>
    <t>202418_at</t>
  </si>
  <si>
    <t>YIF1A</t>
  </si>
  <si>
    <t>204743_at</t>
  </si>
  <si>
    <t>TAGLN3</t>
  </si>
  <si>
    <t>204917_s_at</t>
  </si>
  <si>
    <t>MLLT3</t>
  </si>
  <si>
    <t>209222_s_at</t>
  </si>
  <si>
    <t>OSBPL2</t>
  </si>
  <si>
    <t>212012_at</t>
  </si>
  <si>
    <t>PXDN</t>
  </si>
  <si>
    <t>210252_s_at</t>
  </si>
  <si>
    <t>MADD</t>
  </si>
  <si>
    <t>213274_s_at</t>
  </si>
  <si>
    <t>CTSB</t>
  </si>
  <si>
    <t>200064_at</t>
  </si>
  <si>
    <t>HSP90AB1</t>
  </si>
  <si>
    <t>205154_at</t>
  </si>
  <si>
    <t>LRRN2</t>
  </si>
  <si>
    <t>212944_at</t>
  </si>
  <si>
    <t>SLC5A3</t>
  </si>
  <si>
    <t>221192_x_at</t>
  </si>
  <si>
    <t>MFSD11</t>
  </si>
  <si>
    <t>205168_at</t>
  </si>
  <si>
    <t>DDR2</t>
  </si>
  <si>
    <t>206663_at</t>
  </si>
  <si>
    <t>SP4</t>
  </si>
  <si>
    <t>200878_at</t>
  </si>
  <si>
    <t>EPAS1</t>
  </si>
  <si>
    <t>202863_at</t>
  </si>
  <si>
    <t>SP100</t>
  </si>
  <si>
    <t>220363_s_at</t>
  </si>
  <si>
    <t>221702_s_at</t>
  </si>
  <si>
    <t>TM2D3</t>
  </si>
  <si>
    <t>221742_at</t>
  </si>
  <si>
    <t>CUGBP1</t>
  </si>
  <si>
    <t>201675_at</t>
  </si>
  <si>
    <t>208549_x_at</t>
  </si>
  <si>
    <t>PTMAP7</t>
  </si>
  <si>
    <t>206015_s_at</t>
  </si>
  <si>
    <t>FOXJ3</t>
  </si>
  <si>
    <t>220588_at</t>
  </si>
  <si>
    <t>BCAS4</t>
  </si>
  <si>
    <t>209539_at</t>
  </si>
  <si>
    <t>ARHGEF6</t>
  </si>
  <si>
    <t>205201_at</t>
  </si>
  <si>
    <t>GLI3</t>
  </si>
  <si>
    <t>209491_s_at</t>
  </si>
  <si>
    <t>AMPD3</t>
  </si>
  <si>
    <t>201572_x_at</t>
  </si>
  <si>
    <t>DCTD</t>
  </si>
  <si>
    <t>203692_s_at</t>
  </si>
  <si>
    <t>E2F3</t>
  </si>
  <si>
    <t>205726_at</t>
  </si>
  <si>
    <t>DIAPH2</t>
  </si>
  <si>
    <t>208834_x_at</t>
  </si>
  <si>
    <t>RPL23A</t>
  </si>
  <si>
    <t>218407_x_at</t>
  </si>
  <si>
    <t>204332_s_at</t>
  </si>
  <si>
    <t>AGA</t>
  </si>
  <si>
    <t>213783_at</t>
  </si>
  <si>
    <t>MFNG</t>
  </si>
  <si>
    <t>209287_s_at</t>
  </si>
  <si>
    <t>CDC42EP3</t>
  </si>
  <si>
    <t>218919_at</t>
  </si>
  <si>
    <t>ZFAND1</t>
  </si>
  <si>
    <t>203073_at</t>
  </si>
  <si>
    <t>COG2</t>
  </si>
  <si>
    <t>205977_s_at</t>
  </si>
  <si>
    <t>EPHA1</t>
  </si>
  <si>
    <t>217520_x_at</t>
  </si>
  <si>
    <t>LOC100293306</t>
  </si>
  <si>
    <t>205245_at</t>
  </si>
  <si>
    <t>PARD6A</t>
  </si>
  <si>
    <t>209417_s_at</t>
  </si>
  <si>
    <t>IFI35</t>
  </si>
  <si>
    <t>218022_at</t>
  </si>
  <si>
    <t>VRK3</t>
  </si>
  <si>
    <t>214737_x_at</t>
  </si>
  <si>
    <t>219279_at</t>
  </si>
  <si>
    <t>207628_s_at</t>
  </si>
  <si>
    <t>WBSCR22</t>
  </si>
  <si>
    <t>201761_at</t>
  </si>
  <si>
    <t>MTHFD2</t>
  </si>
  <si>
    <t>214258_x_at</t>
  </si>
  <si>
    <t>209918_at</t>
  </si>
  <si>
    <t>GGTLC2</t>
  </si>
  <si>
    <t>219666_at</t>
  </si>
  <si>
    <t>MS4A6A</t>
  </si>
  <si>
    <t>208862_s_at</t>
  </si>
  <si>
    <t>215025_at</t>
  </si>
  <si>
    <t>217804_s_at</t>
  </si>
  <si>
    <t>206882_at</t>
  </si>
  <si>
    <t>SLC1A6</t>
  </si>
  <si>
    <t>212243_at</t>
  </si>
  <si>
    <t>36019_at</t>
  </si>
  <si>
    <t>STK19</t>
  </si>
  <si>
    <t>218192_at</t>
  </si>
  <si>
    <t>IP6K2</t>
  </si>
  <si>
    <t>213989_x_at</t>
  </si>
  <si>
    <t>SETD4</t>
  </si>
  <si>
    <t>217053_x_at</t>
  </si>
  <si>
    <t>ETV1</t>
  </si>
  <si>
    <t>200686_s_at</t>
  </si>
  <si>
    <t>SFRS11</t>
  </si>
  <si>
    <t>212207_at</t>
  </si>
  <si>
    <t>212827_at</t>
  </si>
  <si>
    <t>IGHM</t>
  </si>
  <si>
    <t>203624_at</t>
  </si>
  <si>
    <t>SFRS17A</t>
  </si>
  <si>
    <t>219148_at</t>
  </si>
  <si>
    <t>PBK</t>
  </si>
  <si>
    <t>220633_s_at</t>
  </si>
  <si>
    <t>HP1BP3</t>
  </si>
  <si>
    <t>221585_at</t>
  </si>
  <si>
    <t>CACNG4</t>
  </si>
  <si>
    <t>215623_x_at</t>
  </si>
  <si>
    <t>SMC4</t>
  </si>
  <si>
    <t>213617_s_at</t>
  </si>
  <si>
    <t>222045_s_at</t>
  </si>
  <si>
    <t>209174_s_at</t>
  </si>
  <si>
    <t>QRICH1</t>
  </si>
  <si>
    <t>220296_at</t>
  </si>
  <si>
    <t>GALNT10</t>
  </si>
  <si>
    <t>201312_s_at</t>
  </si>
  <si>
    <t>207654_x_at</t>
  </si>
  <si>
    <t>215764_x_at</t>
  </si>
  <si>
    <t>207064_s_at</t>
  </si>
  <si>
    <t>AOC2</t>
  </si>
  <si>
    <t>201996_s_at</t>
  </si>
  <si>
    <t>SPEN</t>
  </si>
  <si>
    <t>202733_at</t>
  </si>
  <si>
    <t>P4HA2</t>
  </si>
  <si>
    <t>202735_at</t>
  </si>
  <si>
    <t>EBP</t>
  </si>
  <si>
    <t>203109_at</t>
  </si>
  <si>
    <t>UBE2M</t>
  </si>
  <si>
    <t>204951_at</t>
  </si>
  <si>
    <t>RHOH</t>
  </si>
  <si>
    <t>209065_at</t>
  </si>
  <si>
    <t>UQCRB</t>
  </si>
  <si>
    <t>209075_s_at</t>
  </si>
  <si>
    <t>ISCU</t>
  </si>
  <si>
    <t>209856_x_at</t>
  </si>
  <si>
    <t>211486_s_at</t>
  </si>
  <si>
    <t>KCNQ2</t>
  </si>
  <si>
    <t>212860_at</t>
  </si>
  <si>
    <t>ZDHHC18</t>
  </si>
  <si>
    <t>218394_at</t>
  </si>
  <si>
    <t>ROGDI</t>
  </si>
  <si>
    <t>218647_s_at</t>
  </si>
  <si>
    <t>YRDC</t>
  </si>
  <si>
    <t>219538_at</t>
  </si>
  <si>
    <t>WDR5B</t>
  </si>
  <si>
    <t>221321_s_at</t>
  </si>
  <si>
    <t>KCNIP2</t>
  </si>
  <si>
    <t>209232_s_at</t>
  </si>
  <si>
    <t>DCTN5</t>
  </si>
  <si>
    <t>214728_x_at</t>
  </si>
  <si>
    <t>204191_at</t>
  </si>
  <si>
    <t>IFNAR1</t>
  </si>
  <si>
    <t>204639_at</t>
  </si>
  <si>
    <t>ADA</t>
  </si>
  <si>
    <t>209824_s_at</t>
  </si>
  <si>
    <t>ARNTL</t>
  </si>
  <si>
    <t>212467_at</t>
  </si>
  <si>
    <t>DNAJC13</t>
  </si>
  <si>
    <t>218628_at</t>
  </si>
  <si>
    <t>CCDC53</t>
  </si>
  <si>
    <t>221962_s_at</t>
  </si>
  <si>
    <t>UBE2H</t>
  </si>
  <si>
    <t>206279_at</t>
  </si>
  <si>
    <t>PRKY</t>
  </si>
  <si>
    <t>210450_at</t>
  </si>
  <si>
    <t>LOC90925</t>
  </si>
  <si>
    <t>218570_at</t>
  </si>
  <si>
    <t>KBTBD4 /// PTPMT1</t>
  </si>
  <si>
    <t>218698_at</t>
  </si>
  <si>
    <t>APIP</t>
  </si>
  <si>
    <t>219351_at</t>
  </si>
  <si>
    <t>TRAPPC2</t>
  </si>
  <si>
    <t>202667_s_at</t>
  </si>
  <si>
    <t>SLC39A7</t>
  </si>
  <si>
    <t>214088_s_at</t>
  </si>
  <si>
    <t>FUT3</t>
  </si>
  <si>
    <t>205008_s_at</t>
  </si>
  <si>
    <t>CIB2</t>
  </si>
  <si>
    <t>214614_at</t>
  </si>
  <si>
    <t>MNX1</t>
  </si>
  <si>
    <t>219224_x_at</t>
  </si>
  <si>
    <t>ZNF408</t>
  </si>
  <si>
    <t>201296_s_at</t>
  </si>
  <si>
    <t>WSB1</t>
  </si>
  <si>
    <t>212234_at</t>
  </si>
  <si>
    <t>ASXL1</t>
  </si>
  <si>
    <t>211754_s_at</t>
  </si>
  <si>
    <t>SLC25A17</t>
  </si>
  <si>
    <t>213640_s_at</t>
  </si>
  <si>
    <t>LOX</t>
  </si>
  <si>
    <t>217791_s_at</t>
  </si>
  <si>
    <t>ALDH18A1</t>
  </si>
  <si>
    <t>218784_s_at</t>
  </si>
  <si>
    <t>C6orf64</t>
  </si>
  <si>
    <t>200860_s_at</t>
  </si>
  <si>
    <t>CNOT1</t>
  </si>
  <si>
    <t>210617_at</t>
  </si>
  <si>
    <t>PHEX</t>
  </si>
  <si>
    <t>219420_s_at</t>
  </si>
  <si>
    <t>C1orf163</t>
  </si>
  <si>
    <t>221692_s_at</t>
  </si>
  <si>
    <t>MRPL34</t>
  </si>
  <si>
    <t>208620_at</t>
  </si>
  <si>
    <t>PCBP1</t>
  </si>
  <si>
    <t>209170_s_at</t>
  </si>
  <si>
    <t>GPM6B</t>
  </si>
  <si>
    <t>217683_at</t>
  </si>
  <si>
    <t>HBE1</t>
  </si>
  <si>
    <t>213833_x_at</t>
  </si>
  <si>
    <t>218179_s_at</t>
  </si>
  <si>
    <t>C4orf41</t>
  </si>
  <si>
    <t>220935_s_at</t>
  </si>
  <si>
    <t>CDK5RAP2</t>
  </si>
  <si>
    <t>221434_s_at</t>
  </si>
  <si>
    <t>C14orf156</t>
  </si>
  <si>
    <t>221986_s_at</t>
  </si>
  <si>
    <t>KLHL24</t>
  </si>
  <si>
    <t>208598_s_at</t>
  </si>
  <si>
    <t>HUWE1</t>
  </si>
  <si>
    <t>214053_at</t>
  </si>
  <si>
    <t>ERBB4</t>
  </si>
  <si>
    <t>200054_at</t>
  </si>
  <si>
    <t>ZNF259</t>
  </si>
  <si>
    <t>201406_at</t>
  </si>
  <si>
    <t>RPL36A</t>
  </si>
  <si>
    <t>201656_at</t>
  </si>
  <si>
    <t>202164_s_at</t>
  </si>
  <si>
    <t>CNOT8</t>
  </si>
  <si>
    <t>202301_s_at</t>
  </si>
  <si>
    <t>202636_at</t>
  </si>
  <si>
    <t>RNF103</t>
  </si>
  <si>
    <t>203556_at</t>
  </si>
  <si>
    <t>ZHX2</t>
  </si>
  <si>
    <t>204824_at</t>
  </si>
  <si>
    <t>ENDOG</t>
  </si>
  <si>
    <t>206687_s_at</t>
  </si>
  <si>
    <t>PTPN6</t>
  </si>
  <si>
    <t>208711_s_at</t>
  </si>
  <si>
    <t>CCND1</t>
  </si>
  <si>
    <t>209699_x_at</t>
  </si>
  <si>
    <t>AKR1C2</t>
  </si>
  <si>
    <t>211730_s_at</t>
  </si>
  <si>
    <t>POLR2L</t>
  </si>
  <si>
    <t>211761_s_at</t>
  </si>
  <si>
    <t>212589_at</t>
  </si>
  <si>
    <t>RRAS2</t>
  </si>
  <si>
    <t>213439_x_at</t>
  </si>
  <si>
    <t>RUNDC3A</t>
  </si>
  <si>
    <t>222160_at</t>
  </si>
  <si>
    <t>207663_x_at</t>
  </si>
  <si>
    <t>GAGE3</t>
  </si>
  <si>
    <t>219147_s_at</t>
  </si>
  <si>
    <t>C9orf95</t>
  </si>
  <si>
    <t>200904_at</t>
  </si>
  <si>
    <t>HLA-E</t>
  </si>
  <si>
    <t>201285_at</t>
  </si>
  <si>
    <t>MKRN1</t>
  </si>
  <si>
    <t>214171_s_at</t>
  </si>
  <si>
    <t>U2AF2</t>
  </si>
  <si>
    <t>217808_s_at</t>
  </si>
  <si>
    <t>MAPKAP1</t>
  </si>
  <si>
    <t>219335_at</t>
  </si>
  <si>
    <t>ARMCX5</t>
  </si>
  <si>
    <t>47069_at</t>
  </si>
  <si>
    <t>202329_at</t>
  </si>
  <si>
    <t>CSK</t>
  </si>
  <si>
    <t>212646_at</t>
  </si>
  <si>
    <t>RFTN1</t>
  </si>
  <si>
    <t>201873_s_at</t>
  </si>
  <si>
    <t>205845_at</t>
  </si>
  <si>
    <t>CACNA1H</t>
  </si>
  <si>
    <t>209181_s_at</t>
  </si>
  <si>
    <t>212098_at</t>
  </si>
  <si>
    <t>LOC151162 /// MGAT5</t>
  </si>
  <si>
    <t>212424_at</t>
  </si>
  <si>
    <t>PDCD11</t>
  </si>
  <si>
    <t>216071_x_at</t>
  </si>
  <si>
    <t>MED12</t>
  </si>
  <si>
    <t>219518_s_at</t>
  </si>
  <si>
    <t>ELL3 /// SERINC4</t>
  </si>
  <si>
    <t>212750_at</t>
  </si>
  <si>
    <t>PPP1R16B</t>
  </si>
  <si>
    <t>205297_s_at</t>
  </si>
  <si>
    <t>CD79B</t>
  </si>
  <si>
    <t>221487_s_at</t>
  </si>
  <si>
    <t>ENSA</t>
  </si>
  <si>
    <t>207205_at</t>
  </si>
  <si>
    <t>CEACAM4</t>
  </si>
  <si>
    <t>204994_at</t>
  </si>
  <si>
    <t>MX2</t>
  </si>
  <si>
    <t>214822_at</t>
  </si>
  <si>
    <t>FAM5B</t>
  </si>
  <si>
    <t>221237_s_at</t>
  </si>
  <si>
    <t>OSBP2</t>
  </si>
  <si>
    <t>208440_at</t>
  </si>
  <si>
    <t>C3orf27</t>
  </si>
  <si>
    <t>214184_at</t>
  </si>
  <si>
    <t>NPFF</t>
  </si>
  <si>
    <t>208335_s_at</t>
  </si>
  <si>
    <t>DARC</t>
  </si>
  <si>
    <t>210943_s_at</t>
  </si>
  <si>
    <t>200609_s_at</t>
  </si>
  <si>
    <t>WDR1</t>
  </si>
  <si>
    <t>203010_at</t>
  </si>
  <si>
    <t>STAT5A</t>
  </si>
  <si>
    <t>207828_s_at</t>
  </si>
  <si>
    <t>CENPF</t>
  </si>
  <si>
    <t>219207_at</t>
  </si>
  <si>
    <t>EDC3</t>
  </si>
  <si>
    <t>213666_at</t>
  </si>
  <si>
    <t>210667_s_at</t>
  </si>
  <si>
    <t>211274_at</t>
  </si>
  <si>
    <t>TBX1</t>
  </si>
  <si>
    <t>207353_s_at</t>
  </si>
  <si>
    <t>203823_at</t>
  </si>
  <si>
    <t>RGS3</t>
  </si>
  <si>
    <t>211009_s_at</t>
  </si>
  <si>
    <t>ZNF271</t>
  </si>
  <si>
    <t>204241_at</t>
  </si>
  <si>
    <t>ACOX3</t>
  </si>
  <si>
    <t>205659_at</t>
  </si>
  <si>
    <t>HDAC9</t>
  </si>
  <si>
    <t>205840_x_at</t>
  </si>
  <si>
    <t>212887_at</t>
  </si>
  <si>
    <t>SEC23A</t>
  </si>
  <si>
    <t>213887_s_at</t>
  </si>
  <si>
    <t>POLR2E</t>
  </si>
  <si>
    <t>217933_s_at</t>
  </si>
  <si>
    <t>LAP3</t>
  </si>
  <si>
    <t>218590_at</t>
  </si>
  <si>
    <t>C10orf2</t>
  </si>
  <si>
    <t>201874_at</t>
  </si>
  <si>
    <t>207551_s_at</t>
  </si>
  <si>
    <t>MSL3</t>
  </si>
  <si>
    <t>201844_s_at</t>
  </si>
  <si>
    <t>RYBP</t>
  </si>
  <si>
    <t>211208_s_at</t>
  </si>
  <si>
    <t>CASK</t>
  </si>
  <si>
    <t>203273_s_at</t>
  </si>
  <si>
    <t>TUSC2</t>
  </si>
  <si>
    <t>210886_x_at</t>
  </si>
  <si>
    <t>213410_at</t>
  </si>
  <si>
    <t>C10orf137</t>
  </si>
  <si>
    <t>208773_s_at</t>
  </si>
  <si>
    <t>ANKHD1 /// ANKHD1-EIF4EBP3</t>
  </si>
  <si>
    <t>204249_s_at</t>
  </si>
  <si>
    <t>LMO2</t>
  </si>
  <si>
    <t>218655_s_at</t>
  </si>
  <si>
    <t>CCDC49</t>
  </si>
  <si>
    <t>204131_s_at</t>
  </si>
  <si>
    <t>FOXO3</t>
  </si>
  <si>
    <t>211503_s_at</t>
  </si>
  <si>
    <t>215270_at</t>
  </si>
  <si>
    <t>LFNG</t>
  </si>
  <si>
    <t>208094_s_at</t>
  </si>
  <si>
    <t>CCDC130</t>
  </si>
  <si>
    <t>218834_s_at</t>
  </si>
  <si>
    <t>TMEM132A</t>
  </si>
  <si>
    <t>221164_x_at</t>
  </si>
  <si>
    <t>CHST5</t>
  </si>
  <si>
    <t>210414_at</t>
  </si>
  <si>
    <t>FLRT1</t>
  </si>
  <si>
    <t>202162_s_at</t>
  </si>
  <si>
    <t>202685_s_at</t>
  </si>
  <si>
    <t>AXL</t>
  </si>
  <si>
    <t>209197_at</t>
  </si>
  <si>
    <t>SYT11</t>
  </si>
  <si>
    <t>214041_x_at</t>
  </si>
  <si>
    <t>221620_s_at</t>
  </si>
  <si>
    <t>APOO</t>
  </si>
  <si>
    <t>213976_at</t>
  </si>
  <si>
    <t>CIZ1</t>
  </si>
  <si>
    <t>212787_at</t>
  </si>
  <si>
    <t>YLPM1</t>
  </si>
  <si>
    <t>217838_s_at</t>
  </si>
  <si>
    <t>EVL</t>
  </si>
  <si>
    <t>219451_at</t>
  </si>
  <si>
    <t>MSRB2</t>
  </si>
  <si>
    <t>204600_at</t>
  </si>
  <si>
    <t>EPHB3</t>
  </si>
  <si>
    <t>218345_at</t>
  </si>
  <si>
    <t>TMEM176A</t>
  </si>
  <si>
    <t>218454_at</t>
  </si>
  <si>
    <t>PLBD1</t>
  </si>
  <si>
    <t>204585_s_at</t>
  </si>
  <si>
    <t>L1CAM</t>
  </si>
  <si>
    <t>214352_s_at</t>
  </si>
  <si>
    <t>KRAS</t>
  </si>
  <si>
    <t>215886_x_at</t>
  </si>
  <si>
    <t>USP12</t>
  </si>
  <si>
    <t>221734_at</t>
  </si>
  <si>
    <t>PRRC1</t>
  </si>
  <si>
    <t>210128_s_at</t>
  </si>
  <si>
    <t>LTB4R</t>
  </si>
  <si>
    <t>214025_at</t>
  </si>
  <si>
    <t>DDX28</t>
  </si>
  <si>
    <t>217646_at</t>
  </si>
  <si>
    <t>SURF1</t>
  </si>
  <si>
    <t>210105_s_at</t>
  </si>
  <si>
    <t>202534_x_at</t>
  </si>
  <si>
    <t>213740_s_at</t>
  </si>
  <si>
    <t>LOC399904</t>
  </si>
  <si>
    <t>221226_s_at</t>
  </si>
  <si>
    <t>ACCN4</t>
  </si>
  <si>
    <t>218120_s_at</t>
  </si>
  <si>
    <t>38703_at</t>
  </si>
  <si>
    <t>211609_x_at</t>
  </si>
  <si>
    <t>PSMD4</t>
  </si>
  <si>
    <t>209463_s_at</t>
  </si>
  <si>
    <t>TAF12</t>
  </si>
  <si>
    <t>215936_s_at</t>
  </si>
  <si>
    <t>KIAA1033</t>
  </si>
  <si>
    <t>217784_at</t>
  </si>
  <si>
    <t>YKT6</t>
  </si>
  <si>
    <t>200610_s_at</t>
  </si>
  <si>
    <t>NCL</t>
  </si>
  <si>
    <t>218222_x_at</t>
  </si>
  <si>
    <t>ARNT</t>
  </si>
  <si>
    <t>222265_at</t>
  </si>
  <si>
    <t>TNS4</t>
  </si>
  <si>
    <t>219537_x_at</t>
  </si>
  <si>
    <t>DLL3</t>
  </si>
  <si>
    <t>206498_at</t>
  </si>
  <si>
    <t>OCA2</t>
  </si>
  <si>
    <t>201661_s_at</t>
  </si>
  <si>
    <t>212359_s_at</t>
  </si>
  <si>
    <t>KIAA0913</t>
  </si>
  <si>
    <t>209171_at</t>
  </si>
  <si>
    <t>ITPA</t>
  </si>
  <si>
    <t>209974_s_at</t>
  </si>
  <si>
    <t>213718_at</t>
  </si>
  <si>
    <t>214040_s_at</t>
  </si>
  <si>
    <t>215945_s_at</t>
  </si>
  <si>
    <t>TRIM2</t>
  </si>
  <si>
    <t>219397_at</t>
  </si>
  <si>
    <t>COQ10B</t>
  </si>
  <si>
    <t>202307_s_at</t>
  </si>
  <si>
    <t>TAP1</t>
  </si>
  <si>
    <t>212474_at</t>
  </si>
  <si>
    <t>AVL9</t>
  </si>
  <si>
    <t>218021_at</t>
  </si>
  <si>
    <t>DHRS4 /// DHRS4L2</t>
  </si>
  <si>
    <t>201244_s_at</t>
  </si>
  <si>
    <t>RAF1</t>
  </si>
  <si>
    <t>202873_at</t>
  </si>
  <si>
    <t>ATP6V1C1</t>
  </si>
  <si>
    <t>212219_at</t>
  </si>
  <si>
    <t>PSME4</t>
  </si>
  <si>
    <t>217066_s_at</t>
  </si>
  <si>
    <t>DMPK</t>
  </si>
  <si>
    <t>200060_s_at</t>
  </si>
  <si>
    <t>221649_s_at</t>
  </si>
  <si>
    <t>PPAN</t>
  </si>
  <si>
    <t>204638_at</t>
  </si>
  <si>
    <t>ACP5</t>
  </si>
  <si>
    <t>213246_at</t>
  </si>
  <si>
    <t>C14orf109</t>
  </si>
  <si>
    <t>44617_at</t>
  </si>
  <si>
    <t>OGFOD2</t>
  </si>
  <si>
    <t>204505_s_at</t>
  </si>
  <si>
    <t>EPB49</t>
  </si>
  <si>
    <t>207792_at</t>
  </si>
  <si>
    <t>OPRD1</t>
  </si>
  <si>
    <t>215596_s_at</t>
  </si>
  <si>
    <t>RNF160</t>
  </si>
  <si>
    <t>210621_s_at</t>
  </si>
  <si>
    <t>RASA1</t>
  </si>
  <si>
    <t>202386_s_at</t>
  </si>
  <si>
    <t>KIAA0430</t>
  </si>
  <si>
    <t>217691_x_at</t>
  </si>
  <si>
    <t>SLC16A3</t>
  </si>
  <si>
    <t>201028_s_at</t>
  </si>
  <si>
    <t>201061_s_at</t>
  </si>
  <si>
    <t>STOM</t>
  </si>
  <si>
    <t>49878_at</t>
  </si>
  <si>
    <t>201503_at</t>
  </si>
  <si>
    <t>205132_at</t>
  </si>
  <si>
    <t>ACTC1</t>
  </si>
  <si>
    <t>209657_s_at</t>
  </si>
  <si>
    <t>HSF2</t>
  </si>
  <si>
    <t>218109_s_at</t>
  </si>
  <si>
    <t>MFSD1</t>
  </si>
  <si>
    <t>218422_s_at</t>
  </si>
  <si>
    <t>RBM26</t>
  </si>
  <si>
    <t>218440_at</t>
  </si>
  <si>
    <t>MCCC1</t>
  </si>
  <si>
    <t>219218_at</t>
  </si>
  <si>
    <t>BAHCC1</t>
  </si>
  <si>
    <t>204831_at</t>
  </si>
  <si>
    <t>CDK8</t>
  </si>
  <si>
    <t>215747_s_at</t>
  </si>
  <si>
    <t>218077_s_at</t>
  </si>
  <si>
    <t>221733_s_at</t>
  </si>
  <si>
    <t>GPATCH4</t>
  </si>
  <si>
    <t>218773_s_at</t>
  </si>
  <si>
    <t>205019_s_at</t>
  </si>
  <si>
    <t>VIPR1</t>
  </si>
  <si>
    <t>219010_at</t>
  </si>
  <si>
    <t>C1orf106</t>
  </si>
  <si>
    <t>203317_at</t>
  </si>
  <si>
    <t>PSD4</t>
  </si>
  <si>
    <t>204757_s_at</t>
  </si>
  <si>
    <t>C2CD2L</t>
  </si>
  <si>
    <t>207880_at</t>
  </si>
  <si>
    <t>ADAM11</t>
  </si>
  <si>
    <t>211000_s_at</t>
  </si>
  <si>
    <t>200737_at</t>
  </si>
  <si>
    <t>203432_at</t>
  </si>
  <si>
    <t>TMPO</t>
  </si>
  <si>
    <t>209831_x_at</t>
  </si>
  <si>
    <t>DNASE2</t>
  </si>
  <si>
    <t>212291_at</t>
  </si>
  <si>
    <t>208365_s_at</t>
  </si>
  <si>
    <t>GRK4</t>
  </si>
  <si>
    <t>214438_at</t>
  </si>
  <si>
    <t>HLX</t>
  </si>
  <si>
    <t>36554_at</t>
  </si>
  <si>
    <t>218927_s_at</t>
  </si>
  <si>
    <t>CHST12</t>
  </si>
  <si>
    <t>213603_s_at</t>
  </si>
  <si>
    <t>RAC2</t>
  </si>
  <si>
    <t>217188_s_at</t>
  </si>
  <si>
    <t>209571_at</t>
  </si>
  <si>
    <t>CIR1</t>
  </si>
  <si>
    <t>218989_x_at</t>
  </si>
  <si>
    <t>SLC30A5</t>
  </si>
  <si>
    <t>201626_at</t>
  </si>
  <si>
    <t>INSIG1</t>
  </si>
  <si>
    <t>205223_at</t>
  </si>
  <si>
    <t>DEPDC5</t>
  </si>
  <si>
    <t>208810_at</t>
  </si>
  <si>
    <t>DNAJB6 /// TMEM135</t>
  </si>
  <si>
    <t>211541_s_at</t>
  </si>
  <si>
    <t>DYRK1A</t>
  </si>
  <si>
    <t>211203_s_at</t>
  </si>
  <si>
    <t>CNTN1</t>
  </si>
  <si>
    <t>203152_at</t>
  </si>
  <si>
    <t>MRPL40</t>
  </si>
  <si>
    <t>220042_x_at</t>
  </si>
  <si>
    <t>HIVEP3</t>
  </si>
  <si>
    <t>215127_s_at</t>
  </si>
  <si>
    <t>RBMS1</t>
  </si>
  <si>
    <t>218660_at</t>
  </si>
  <si>
    <t>DYSF</t>
  </si>
  <si>
    <t>205996_s_at</t>
  </si>
  <si>
    <t>202054_s_at</t>
  </si>
  <si>
    <t>221939_at</t>
  </si>
  <si>
    <t>YIPF2</t>
  </si>
  <si>
    <t>209038_s_at</t>
  </si>
  <si>
    <t>EHD1</t>
  </si>
  <si>
    <t>201143_s_at</t>
  </si>
  <si>
    <t>210326_at</t>
  </si>
  <si>
    <t>AGXT</t>
  </si>
  <si>
    <t>217836_s_at</t>
  </si>
  <si>
    <t>YY1AP1</t>
  </si>
  <si>
    <t>214656_x_at</t>
  </si>
  <si>
    <t>201640_x_at</t>
  </si>
  <si>
    <t>CLPTM1</t>
  </si>
  <si>
    <t>217407_x_at</t>
  </si>
  <si>
    <t>221641_s_at</t>
  </si>
  <si>
    <t>ACOT9</t>
  </si>
  <si>
    <t>221989_at</t>
  </si>
  <si>
    <t>RPL10</t>
  </si>
  <si>
    <t>222279_at</t>
  </si>
  <si>
    <t>RP3-377H14.5</t>
  </si>
  <si>
    <t>201576_s_at</t>
  </si>
  <si>
    <t>GLB1</t>
  </si>
  <si>
    <t>206063_x_at</t>
  </si>
  <si>
    <t>32029_at</t>
  </si>
  <si>
    <t>PDPK1</t>
  </si>
  <si>
    <t>32032_at</t>
  </si>
  <si>
    <t>DGCR14</t>
  </si>
  <si>
    <t>201771_at</t>
  </si>
  <si>
    <t>SCAMP3</t>
  </si>
  <si>
    <t>211622_s_at</t>
  </si>
  <si>
    <t>ARF3</t>
  </si>
  <si>
    <t>205611_at</t>
  </si>
  <si>
    <t>TNFSF12</t>
  </si>
  <si>
    <t>205780_at</t>
  </si>
  <si>
    <t>BIK</t>
  </si>
  <si>
    <t>202997_s_at</t>
  </si>
  <si>
    <t>LOXL2</t>
  </si>
  <si>
    <t>220681_at</t>
  </si>
  <si>
    <t>C22orf26</t>
  </si>
  <si>
    <t>212962_at</t>
  </si>
  <si>
    <t>SYDE1</t>
  </si>
  <si>
    <t>214022_s_at</t>
  </si>
  <si>
    <t>IFITM1</t>
  </si>
  <si>
    <t>200836_s_at</t>
  </si>
  <si>
    <t>MAP4</t>
  </si>
  <si>
    <t>211059_s_at</t>
  </si>
  <si>
    <t>GOLGA2</t>
  </si>
  <si>
    <t>221494_x_at</t>
  </si>
  <si>
    <t>EIF3K</t>
  </si>
  <si>
    <t>221936_x_at</t>
  </si>
  <si>
    <t>MRPL41</t>
  </si>
  <si>
    <t>205316_at</t>
  </si>
  <si>
    <t>217714_x_at</t>
  </si>
  <si>
    <t>STMN1</t>
  </si>
  <si>
    <t>34225_at</t>
  </si>
  <si>
    <t>WHSC2</t>
  </si>
  <si>
    <t>203362_s_at</t>
  </si>
  <si>
    <t>MAD2L1</t>
  </si>
  <si>
    <t>213523_at</t>
  </si>
  <si>
    <t>CCNE1</t>
  </si>
  <si>
    <t>215313_x_at</t>
  </si>
  <si>
    <t>HLA-A</t>
  </si>
  <si>
    <t>200006_at</t>
  </si>
  <si>
    <t>PARK7</t>
  </si>
  <si>
    <t>201737_s_at</t>
  </si>
  <si>
    <t>204435_at</t>
  </si>
  <si>
    <t>NUPL1</t>
  </si>
  <si>
    <t>206658_at</t>
  </si>
  <si>
    <t>UPK3B</t>
  </si>
  <si>
    <t>201719_s_at</t>
  </si>
  <si>
    <t>205768_s_at</t>
  </si>
  <si>
    <t>203777_s_at</t>
  </si>
  <si>
    <t>RPS6KB2</t>
  </si>
  <si>
    <t>202811_at</t>
  </si>
  <si>
    <t>STAMBP</t>
  </si>
  <si>
    <t>209665_at</t>
  </si>
  <si>
    <t>CYB561D2</t>
  </si>
  <si>
    <t>214746_s_at</t>
  </si>
  <si>
    <t>53968_at</t>
  </si>
  <si>
    <t>INTS5</t>
  </si>
  <si>
    <t>208578_at</t>
  </si>
  <si>
    <t>SCN10A</t>
  </si>
  <si>
    <t>221943_x_at</t>
  </si>
  <si>
    <t>RPL38</t>
  </si>
  <si>
    <t>201614_s_at</t>
  </si>
  <si>
    <t>RUVBL1</t>
  </si>
  <si>
    <t>215069_at</t>
  </si>
  <si>
    <t>204504_s_at</t>
  </si>
  <si>
    <t>HIRIP3</t>
  </si>
  <si>
    <t>202477_s_at</t>
  </si>
  <si>
    <t>TUBGCP2</t>
  </si>
  <si>
    <t>222139_at</t>
  </si>
  <si>
    <t>KIAA1466</t>
  </si>
  <si>
    <t>217270_s_at</t>
  </si>
  <si>
    <t>217130_at</t>
  </si>
  <si>
    <t>C9orf33</t>
  </si>
  <si>
    <t>209338_at</t>
  </si>
  <si>
    <t>TFCP2</t>
  </si>
  <si>
    <t>220326_s_at</t>
  </si>
  <si>
    <t>FLJ10357</t>
  </si>
  <si>
    <t>200815_s_at</t>
  </si>
  <si>
    <t>PAFAH1B1</t>
  </si>
  <si>
    <t>202338_at</t>
  </si>
  <si>
    <t>TK1</t>
  </si>
  <si>
    <t>220553_s_at</t>
  </si>
  <si>
    <t>PRPF39</t>
  </si>
  <si>
    <t>220637_at</t>
  </si>
  <si>
    <t>FAM124B</t>
  </si>
  <si>
    <t>220761_s_at</t>
  </si>
  <si>
    <t>TAOK3</t>
  </si>
  <si>
    <t>221061_at</t>
  </si>
  <si>
    <t>PKD2L1</t>
  </si>
  <si>
    <t>212233_at</t>
  </si>
  <si>
    <t>MAP1B</t>
  </si>
  <si>
    <t>207432_at</t>
  </si>
  <si>
    <t>BEST2</t>
  </si>
  <si>
    <t>218924_s_at</t>
  </si>
  <si>
    <t>211342_x_at</t>
  </si>
  <si>
    <t>212281_s_at</t>
  </si>
  <si>
    <t>TMEM97</t>
  </si>
  <si>
    <t>200847_s_at</t>
  </si>
  <si>
    <t>TMEM66</t>
  </si>
  <si>
    <t>203985_at</t>
  </si>
  <si>
    <t>ZNF212</t>
  </si>
  <si>
    <t>219658_at</t>
  </si>
  <si>
    <t>PTCD2</t>
  </si>
  <si>
    <t>208248_x_at</t>
  </si>
  <si>
    <t>APLP2</t>
  </si>
  <si>
    <t>209269_s_at</t>
  </si>
  <si>
    <t>SYK</t>
  </si>
  <si>
    <t>210938_at</t>
  </si>
  <si>
    <t>PDX1</t>
  </si>
  <si>
    <t>219154_at</t>
  </si>
  <si>
    <t>TMEM120B</t>
  </si>
  <si>
    <t>213474_at</t>
  </si>
  <si>
    <t>KCTD7</t>
  </si>
  <si>
    <t>218005_at</t>
  </si>
  <si>
    <t>218973_at</t>
  </si>
  <si>
    <t>EFTUD1</t>
  </si>
  <si>
    <t>204399_s_at</t>
  </si>
  <si>
    <t>EML2</t>
  </si>
  <si>
    <t>219312_s_at</t>
  </si>
  <si>
    <t>ZBTB10</t>
  </si>
  <si>
    <t>200945_s_at</t>
  </si>
  <si>
    <t>200647_x_at</t>
  </si>
  <si>
    <t>EIF3C /// EIF3CL</t>
  </si>
  <si>
    <t>201721_s_at</t>
  </si>
  <si>
    <t>210508_s_at</t>
  </si>
  <si>
    <t>215082_at</t>
  </si>
  <si>
    <t>218149_s_at</t>
  </si>
  <si>
    <t>ZNF395</t>
  </si>
  <si>
    <t>209160_at</t>
  </si>
  <si>
    <t>AKR1C3</t>
  </si>
  <si>
    <t>218683_at</t>
  </si>
  <si>
    <t>PTBP2</t>
  </si>
  <si>
    <t>209178_at</t>
  </si>
  <si>
    <t>DHX38</t>
  </si>
  <si>
    <t>209486_at</t>
  </si>
  <si>
    <t>UTP3</t>
  </si>
  <si>
    <t>219517_at</t>
  </si>
  <si>
    <t>202357_s_at</t>
  </si>
  <si>
    <t>C2 /// CFB</t>
  </si>
  <si>
    <t>222203_s_at</t>
  </si>
  <si>
    <t>RDH14</t>
  </si>
  <si>
    <t>207351_s_at</t>
  </si>
  <si>
    <t>SH2D2A</t>
  </si>
  <si>
    <t>202429_s_at</t>
  </si>
  <si>
    <t>208590_x_at</t>
  </si>
  <si>
    <t>GJA3</t>
  </si>
  <si>
    <t>200096_s_at</t>
  </si>
  <si>
    <t>ATP6V0E1</t>
  </si>
  <si>
    <t>204606_at</t>
  </si>
  <si>
    <t>CCL21</t>
  </si>
  <si>
    <t>213911_s_at</t>
  </si>
  <si>
    <t>32069_at</t>
  </si>
  <si>
    <t>N4BP1</t>
  </si>
  <si>
    <t>204936_at</t>
  </si>
  <si>
    <t>MAP4K2</t>
  </si>
  <si>
    <t>207419_s_at</t>
  </si>
  <si>
    <t>208221_s_at</t>
  </si>
  <si>
    <t>SLIT1</t>
  </si>
  <si>
    <t>210125_s_at</t>
  </si>
  <si>
    <t>BANF1</t>
  </si>
  <si>
    <t>212230_at</t>
  </si>
  <si>
    <t>212553_at</t>
  </si>
  <si>
    <t>RPRD2</t>
  </si>
  <si>
    <t>213356_x_at</t>
  </si>
  <si>
    <t>HNRNPA1 /// HNRNPA1L1 /// HNRNPA1L2 /// HNRPA1L-2 /// HNRPA1P5 /// LOC642817 /// LOC644037</t>
  </si>
  <si>
    <t>215836_s_at</t>
  </si>
  <si>
    <t>200042_at</t>
  </si>
  <si>
    <t>C22orf28</t>
  </si>
  <si>
    <t>204282_s_at</t>
  </si>
  <si>
    <t>FARS2</t>
  </si>
  <si>
    <t>214274_s_at</t>
  </si>
  <si>
    <t>202783_at</t>
  </si>
  <si>
    <t>NNT</t>
  </si>
  <si>
    <t>203173_s_at</t>
  </si>
  <si>
    <t>C16orf62</t>
  </si>
  <si>
    <t>206105_at</t>
  </si>
  <si>
    <t>AFF2</t>
  </si>
  <si>
    <t>207761_s_at</t>
  </si>
  <si>
    <t>METTL7A</t>
  </si>
  <si>
    <t>210028_s_at</t>
  </si>
  <si>
    <t>ORC3L</t>
  </si>
  <si>
    <t>220140_s_at</t>
  </si>
  <si>
    <t>SNX11</t>
  </si>
  <si>
    <t>220846_s_at</t>
  </si>
  <si>
    <t>LOC100294391</t>
  </si>
  <si>
    <t>211551_at</t>
  </si>
  <si>
    <t>EGFR</t>
  </si>
  <si>
    <t>208757_at</t>
  </si>
  <si>
    <t>TMED9</t>
  </si>
  <si>
    <t>211209_x_at</t>
  </si>
  <si>
    <t>213066_at</t>
  </si>
  <si>
    <t>RUSC2</t>
  </si>
  <si>
    <t>220668_s_at</t>
  </si>
  <si>
    <t>DNMT3B</t>
  </si>
  <si>
    <t>201847_at</t>
  </si>
  <si>
    <t>LIPA</t>
  </si>
  <si>
    <t>205418_at</t>
  </si>
  <si>
    <t>FES</t>
  </si>
  <si>
    <t>210574_s_at</t>
  </si>
  <si>
    <t>215700_x_at</t>
  </si>
  <si>
    <t>CPNE6</t>
  </si>
  <si>
    <t>205717_x_at</t>
  </si>
  <si>
    <t>205865_at</t>
  </si>
  <si>
    <t>ARID3A</t>
  </si>
  <si>
    <t>38043_at</t>
  </si>
  <si>
    <t>FAM3A</t>
  </si>
  <si>
    <t>64440_at</t>
  </si>
  <si>
    <t>IL17RC</t>
  </si>
  <si>
    <t>201485_s_at</t>
  </si>
  <si>
    <t>RCN2</t>
  </si>
  <si>
    <t>202574_s_at</t>
  </si>
  <si>
    <t>202172_at</t>
  </si>
  <si>
    <t>VEZF1</t>
  </si>
  <si>
    <t>210720_s_at</t>
  </si>
  <si>
    <t>NECAB3</t>
  </si>
  <si>
    <t>213300_at</t>
  </si>
  <si>
    <t>ATG2A</t>
  </si>
  <si>
    <t>201293_x_at</t>
  </si>
  <si>
    <t>202970_at</t>
  </si>
  <si>
    <t>219667_s_at</t>
  </si>
  <si>
    <t>BANK1</t>
  </si>
  <si>
    <t>219639_x_at</t>
  </si>
  <si>
    <t>PARP6</t>
  </si>
  <si>
    <t>219854_at</t>
  </si>
  <si>
    <t>ZNF14</t>
  </si>
  <si>
    <t>209927_s_at</t>
  </si>
  <si>
    <t>210527_x_at</t>
  </si>
  <si>
    <t>TUBA3C</t>
  </si>
  <si>
    <t>216384_x_at</t>
  </si>
  <si>
    <t>LOC441454 /// PTMA /// PTMAP7</t>
  </si>
  <si>
    <t>219582_at</t>
  </si>
  <si>
    <t>OGFRL1</t>
  </si>
  <si>
    <t>214563_at</t>
  </si>
  <si>
    <t>PCDHGC3</t>
  </si>
  <si>
    <t>211368_s_at</t>
  </si>
  <si>
    <t>218452_at</t>
  </si>
  <si>
    <t>SMARCAL1</t>
  </si>
  <si>
    <t>221543_s_at</t>
  </si>
  <si>
    <t>ERLIN2</t>
  </si>
  <si>
    <t>221582_at</t>
  </si>
  <si>
    <t>HIST3H2A</t>
  </si>
  <si>
    <t>214613_at</t>
  </si>
  <si>
    <t>GPR3</t>
  </si>
  <si>
    <t>222238_s_at</t>
  </si>
  <si>
    <t>POLM</t>
  </si>
  <si>
    <t>221532_s_at</t>
  </si>
  <si>
    <t>WDR61</t>
  </si>
  <si>
    <t>221558_s_at</t>
  </si>
  <si>
    <t>LEF1</t>
  </si>
  <si>
    <t>216965_x_at</t>
  </si>
  <si>
    <t>SPG20</t>
  </si>
  <si>
    <t>200067_x_at</t>
  </si>
  <si>
    <t>210925_at</t>
  </si>
  <si>
    <t>CIITA</t>
  </si>
  <si>
    <t>212077_at</t>
  </si>
  <si>
    <t>210866_s_at</t>
  </si>
  <si>
    <t>CNOT4</t>
  </si>
  <si>
    <t>202487_s_at</t>
  </si>
  <si>
    <t>H2AFV</t>
  </si>
  <si>
    <t>202543_s_at</t>
  </si>
  <si>
    <t>202606_s_at</t>
  </si>
  <si>
    <t>TLK1</t>
  </si>
  <si>
    <t>208287_at</t>
  </si>
  <si>
    <t>HCG9</t>
  </si>
  <si>
    <t>208899_x_at</t>
  </si>
  <si>
    <t>211277_x_at</t>
  </si>
  <si>
    <t>218445_at</t>
  </si>
  <si>
    <t>H2AFY2</t>
  </si>
  <si>
    <t>207139_at</t>
  </si>
  <si>
    <t>ATP4A</t>
  </si>
  <si>
    <t>217860_at</t>
  </si>
  <si>
    <t>LOC732160 /// NDUFA10</t>
  </si>
  <si>
    <t>206374_at</t>
  </si>
  <si>
    <t>DUSP8</t>
  </si>
  <si>
    <t>203346_s_at</t>
  </si>
  <si>
    <t>MTF2</t>
  </si>
  <si>
    <t>206096_at</t>
  </si>
  <si>
    <t>ZNF35</t>
  </si>
  <si>
    <t>206825_at</t>
  </si>
  <si>
    <t>OXTR</t>
  </si>
  <si>
    <t>38892_at</t>
  </si>
  <si>
    <t>202829_s_at</t>
  </si>
  <si>
    <t>VAMP7</t>
  </si>
  <si>
    <t>203205_at</t>
  </si>
  <si>
    <t>KDM4A</t>
  </si>
  <si>
    <t>204343_at</t>
  </si>
  <si>
    <t>ABCA3</t>
  </si>
  <si>
    <t>206284_x_at</t>
  </si>
  <si>
    <t>201453_x_at</t>
  </si>
  <si>
    <t>RHEB</t>
  </si>
  <si>
    <t>203264_s_at</t>
  </si>
  <si>
    <t>ARHGEF9</t>
  </si>
  <si>
    <t>201278_at</t>
  </si>
  <si>
    <t>209079_x_at</t>
  </si>
  <si>
    <t>217814_at</t>
  </si>
  <si>
    <t>CCDC47</t>
  </si>
  <si>
    <t>221521_s_at</t>
  </si>
  <si>
    <t>GINS2</t>
  </si>
  <si>
    <t>203342_at</t>
  </si>
  <si>
    <t>TIMM17B</t>
  </si>
  <si>
    <t>219382_at</t>
  </si>
  <si>
    <t>SERTAD3</t>
  </si>
  <si>
    <t>203758_at</t>
  </si>
  <si>
    <t>CTSO</t>
  </si>
  <si>
    <t>218507_at</t>
  </si>
  <si>
    <t>C7orf68</t>
  </si>
  <si>
    <t>219781_s_at</t>
  </si>
  <si>
    <t>ZNF771</t>
  </si>
  <si>
    <t>221855_at</t>
  </si>
  <si>
    <t>SDHAF1</t>
  </si>
  <si>
    <t>201387_s_at</t>
  </si>
  <si>
    <t>UCHL1</t>
  </si>
  <si>
    <t>216105_x_at</t>
  </si>
  <si>
    <t>PPP2R4</t>
  </si>
  <si>
    <t>222122_s_at</t>
  </si>
  <si>
    <t>THOC2</t>
  </si>
  <si>
    <t>210210_at</t>
  </si>
  <si>
    <t>218237_s_at</t>
  </si>
  <si>
    <t>SLC38A1</t>
  </si>
  <si>
    <t>219409_at</t>
  </si>
  <si>
    <t>SNIP1</t>
  </si>
  <si>
    <t>221818_at</t>
  </si>
  <si>
    <t>201750_s_at</t>
  </si>
  <si>
    <t>ECE1</t>
  </si>
  <si>
    <t>209448_at</t>
  </si>
  <si>
    <t>HTATIP2</t>
  </si>
  <si>
    <t>208888_s_at</t>
  </si>
  <si>
    <t>NCOR2</t>
  </si>
  <si>
    <t>64942_at</t>
  </si>
  <si>
    <t>201680_x_at</t>
  </si>
  <si>
    <t>219958_at</t>
  </si>
  <si>
    <t>C20orf46</t>
  </si>
  <si>
    <t>218061_at</t>
  </si>
  <si>
    <t>MEA1</t>
  </si>
  <si>
    <t>201161_s_at</t>
  </si>
  <si>
    <t>202799_at</t>
  </si>
  <si>
    <t>CLPP</t>
  </si>
  <si>
    <t>205660_at</t>
  </si>
  <si>
    <t>OASL</t>
  </si>
  <si>
    <t>212824_at</t>
  </si>
  <si>
    <t>FUBP3</t>
  </si>
  <si>
    <t>204394_at</t>
  </si>
  <si>
    <t>SLC43A1</t>
  </si>
  <si>
    <t>205653_at</t>
  </si>
  <si>
    <t>CTSG</t>
  </si>
  <si>
    <t>203668_at</t>
  </si>
  <si>
    <t>MAN2C1</t>
  </si>
  <si>
    <t>203826_s_at</t>
  </si>
  <si>
    <t>PITPNM1</t>
  </si>
  <si>
    <t>221247_s_at</t>
  </si>
  <si>
    <t>WBSCR16</t>
  </si>
  <si>
    <t>207699_at</t>
  </si>
  <si>
    <t>ZFHX2</t>
  </si>
  <si>
    <t>215414_at</t>
  </si>
  <si>
    <t>219328_at</t>
  </si>
  <si>
    <t>DDX31</t>
  </si>
  <si>
    <t>201172_x_at</t>
  </si>
  <si>
    <t>200739_s_at</t>
  </si>
  <si>
    <t>SUMO3</t>
  </si>
  <si>
    <t>204947_at</t>
  </si>
  <si>
    <t>E2F1</t>
  </si>
  <si>
    <t>208269_s_at</t>
  </si>
  <si>
    <t>ADAM28</t>
  </si>
  <si>
    <t>210642_at</t>
  </si>
  <si>
    <t>CCIN</t>
  </si>
  <si>
    <t>211690_at</t>
  </si>
  <si>
    <t>216404_at</t>
  </si>
  <si>
    <t>ATXN8OS</t>
  </si>
  <si>
    <t>218646_at</t>
  </si>
  <si>
    <t>C4orf27</t>
  </si>
  <si>
    <t>209953_s_at</t>
  </si>
  <si>
    <t>CDC37</t>
  </si>
  <si>
    <t>205885_s_at</t>
  </si>
  <si>
    <t>ITGA4</t>
  </si>
  <si>
    <t>206612_at</t>
  </si>
  <si>
    <t>CACNG1</t>
  </si>
  <si>
    <t>208129_x_at</t>
  </si>
  <si>
    <t>202012_s_at</t>
  </si>
  <si>
    <t>221887_s_at</t>
  </si>
  <si>
    <t>DFNB31</t>
  </si>
  <si>
    <t>AFFX-HUMISGF3A/M97935_MA_at</t>
  </si>
  <si>
    <t>STAT1</t>
  </si>
  <si>
    <t>37005_at</t>
  </si>
  <si>
    <t>NBL1</t>
  </si>
  <si>
    <t>202961_s_at</t>
  </si>
  <si>
    <t>ATP5J2</t>
  </si>
  <si>
    <t>210588_x_at</t>
  </si>
  <si>
    <t>213626_at</t>
  </si>
  <si>
    <t>CBR4</t>
  </si>
  <si>
    <t>218745_x_at</t>
  </si>
  <si>
    <t>TMEM161A</t>
  </si>
  <si>
    <t>216551_x_at</t>
  </si>
  <si>
    <t>205988_at</t>
  </si>
  <si>
    <t>206666_at</t>
  </si>
  <si>
    <t>GZMK</t>
  </si>
  <si>
    <t>207685_at</t>
  </si>
  <si>
    <t>CRYBB3</t>
  </si>
  <si>
    <t>215529_x_at</t>
  </si>
  <si>
    <t>DIP2A</t>
  </si>
  <si>
    <t>221261_x_at</t>
  </si>
  <si>
    <t>MAGED4 /// MAGED4B</t>
  </si>
  <si>
    <t>212361_s_at</t>
  </si>
  <si>
    <t>ATP2A2</t>
  </si>
  <si>
    <t>202289_s_at</t>
  </si>
  <si>
    <t>TACC2</t>
  </si>
  <si>
    <t>202070_s_at</t>
  </si>
  <si>
    <t>IDH3A</t>
  </si>
  <si>
    <t>209423_s_at</t>
  </si>
  <si>
    <t>PHF20</t>
  </si>
  <si>
    <t>209314_s_at</t>
  </si>
  <si>
    <t>212481_s_at</t>
  </si>
  <si>
    <t>TPM4</t>
  </si>
  <si>
    <t>213564_x_at</t>
  </si>
  <si>
    <t>LDHB</t>
  </si>
  <si>
    <t>217755_at</t>
  </si>
  <si>
    <t>HN1</t>
  </si>
  <si>
    <t>216879_at</t>
  </si>
  <si>
    <t>HR44</t>
  </si>
  <si>
    <t>202019_s_at</t>
  </si>
  <si>
    <t>LANCL1</t>
  </si>
  <si>
    <t>202798_at</t>
  </si>
  <si>
    <t>SEC24B</t>
  </si>
  <si>
    <t>211301_at</t>
  </si>
  <si>
    <t>KCND3</t>
  </si>
  <si>
    <t>205787_x_at</t>
  </si>
  <si>
    <t>ZC3H11A</t>
  </si>
  <si>
    <t>213224_s_at</t>
  </si>
  <si>
    <t>NCRNA00081</t>
  </si>
  <si>
    <t>221670_s_at</t>
  </si>
  <si>
    <t>LHX3</t>
  </si>
  <si>
    <t>204025_s_at</t>
  </si>
  <si>
    <t>PDCD2</t>
  </si>
  <si>
    <t>205510_s_at</t>
  </si>
  <si>
    <t>FLJ10038</t>
  </si>
  <si>
    <t>207979_s_at</t>
  </si>
  <si>
    <t>CD8B</t>
  </si>
  <si>
    <t>200007_at</t>
  </si>
  <si>
    <t>SRP14</t>
  </si>
  <si>
    <t>205424_at</t>
  </si>
  <si>
    <t>TBKBP1</t>
  </si>
  <si>
    <t>206315_at</t>
  </si>
  <si>
    <t>CRLF1</t>
  </si>
  <si>
    <t>206883_x_at</t>
  </si>
  <si>
    <t>GP9</t>
  </si>
  <si>
    <t>209143_s_at</t>
  </si>
  <si>
    <t>CLNS1A</t>
  </si>
  <si>
    <t>210553_x_at</t>
  </si>
  <si>
    <t>PCSK6</t>
  </si>
  <si>
    <t>215721_at</t>
  </si>
  <si>
    <t>IGHG1 /// LOC90925</t>
  </si>
  <si>
    <t>216356_x_at</t>
  </si>
  <si>
    <t>BAIAP3</t>
  </si>
  <si>
    <t>214987_at</t>
  </si>
  <si>
    <t>GAB1</t>
  </si>
  <si>
    <t>219630_at</t>
  </si>
  <si>
    <t>PDZK1IP1</t>
  </si>
  <si>
    <t>217916_s_at</t>
  </si>
  <si>
    <t>FAM49B</t>
  </si>
  <si>
    <t>205246_at</t>
  </si>
  <si>
    <t>PEX13</t>
  </si>
  <si>
    <t>219404_at</t>
  </si>
  <si>
    <t>EPS8L3</t>
  </si>
  <si>
    <t>219051_x_at</t>
  </si>
  <si>
    <t>METRN</t>
  </si>
  <si>
    <t>201894_s_at</t>
  </si>
  <si>
    <t>205589_at</t>
  </si>
  <si>
    <t>MYL3</t>
  </si>
  <si>
    <t>211259_s_at</t>
  </si>
  <si>
    <t>216557_x_at</t>
  </si>
  <si>
    <t>IGHA1 /// IGHD /// IGHG1 /// IGHG3 /// IGHM /// IGHV3-23 /// IGHV4-31 /// LOC100132941 /// LOC100289</t>
  </si>
  <si>
    <t>201051_at</t>
  </si>
  <si>
    <t>ANP32A</t>
  </si>
  <si>
    <t>200784_s_at</t>
  </si>
  <si>
    <t>LRP1</t>
  </si>
  <si>
    <t>205918_at</t>
  </si>
  <si>
    <t>SLC4A3</t>
  </si>
  <si>
    <t>207285_x_at</t>
  </si>
  <si>
    <t>212431_at</t>
  </si>
  <si>
    <t>HMGXB3</t>
  </si>
  <si>
    <t>201044_x_at</t>
  </si>
  <si>
    <t>DUSP1</t>
  </si>
  <si>
    <t>216119_s_at</t>
  </si>
  <si>
    <t>SPEF1</t>
  </si>
  <si>
    <t>77508_r_at</t>
  </si>
  <si>
    <t>210107_at</t>
  </si>
  <si>
    <t>CLCA1</t>
  </si>
  <si>
    <t>215873_x_at</t>
  </si>
  <si>
    <t>ABCC10</t>
  </si>
  <si>
    <t>212586_at</t>
  </si>
  <si>
    <t>CAST</t>
  </si>
  <si>
    <t>207112_s_at</t>
  </si>
  <si>
    <t>218242_s_at</t>
  </si>
  <si>
    <t>SUV420H1</t>
  </si>
  <si>
    <t>204552_at</t>
  </si>
  <si>
    <t>INPP4A</t>
  </si>
  <si>
    <t>207384_at</t>
  </si>
  <si>
    <t>PGLYRP1</t>
  </si>
  <si>
    <t>200695_at</t>
  </si>
  <si>
    <t>PPP2R1A</t>
  </si>
  <si>
    <t>219893_at</t>
  </si>
  <si>
    <t>CCDC71</t>
  </si>
  <si>
    <t>201916_s_at</t>
  </si>
  <si>
    <t>SEC63</t>
  </si>
  <si>
    <t>212708_at</t>
  </si>
  <si>
    <t>MSL1</t>
  </si>
  <si>
    <t>211834_s_at</t>
  </si>
  <si>
    <t>TP63</t>
  </si>
  <si>
    <t>213302_at</t>
  </si>
  <si>
    <t>PFAS</t>
  </si>
  <si>
    <t>218986_s_at</t>
  </si>
  <si>
    <t>DDX60</t>
  </si>
  <si>
    <t>203973_s_at</t>
  </si>
  <si>
    <t>CEBPD</t>
  </si>
  <si>
    <t>201892_s_at</t>
  </si>
  <si>
    <t>IMPDH2</t>
  </si>
  <si>
    <t>204278_s_at</t>
  </si>
  <si>
    <t>221664_s_at</t>
  </si>
  <si>
    <t>F11R</t>
  </si>
  <si>
    <t>218329_at</t>
  </si>
  <si>
    <t>PRDM4</t>
  </si>
  <si>
    <t>200680_x_at</t>
  </si>
  <si>
    <t>HMGB1</t>
  </si>
  <si>
    <t>203726_s_at</t>
  </si>
  <si>
    <t>LAMA3</t>
  </si>
  <si>
    <t>215395_x_at</t>
  </si>
  <si>
    <t>TRY6</t>
  </si>
  <si>
    <t>216473_x_at</t>
  </si>
  <si>
    <t>DUX4 /// LOC653543 /// LOC653544 /// LOC653545 /// LOC728410</t>
  </si>
  <si>
    <t>203230_at</t>
  </si>
  <si>
    <t>DVL1</t>
  </si>
  <si>
    <t>211968_s_at</t>
  </si>
  <si>
    <t>219067_s_at</t>
  </si>
  <si>
    <t>NSMCE4A</t>
  </si>
  <si>
    <t>200868_s_at</t>
  </si>
  <si>
    <t>RNF114</t>
  </si>
  <si>
    <t>202482_x_at</t>
  </si>
  <si>
    <t>213232_at</t>
  </si>
  <si>
    <t>KIAA1467</t>
  </si>
  <si>
    <t>217285_at</t>
  </si>
  <si>
    <t>221813_at</t>
  </si>
  <si>
    <t>FBXO42</t>
  </si>
  <si>
    <t>201775_s_at</t>
  </si>
  <si>
    <t>204872_at</t>
  </si>
  <si>
    <t>TLE4</t>
  </si>
  <si>
    <t>209641_s_at</t>
  </si>
  <si>
    <t>ABCC3</t>
  </si>
  <si>
    <t>212044_s_at</t>
  </si>
  <si>
    <t>RPL27A</t>
  </si>
  <si>
    <t>215839_at</t>
  </si>
  <si>
    <t>LILRA5</t>
  </si>
  <si>
    <t>218162_at</t>
  </si>
  <si>
    <t>OLFML3</t>
  </si>
  <si>
    <t>210542_s_at</t>
  </si>
  <si>
    <t>SLCO3A1</t>
  </si>
  <si>
    <t>201768_s_at</t>
  </si>
  <si>
    <t>212735_at</t>
  </si>
  <si>
    <t>KIAA0226</t>
  </si>
  <si>
    <t>203156_at</t>
  </si>
  <si>
    <t>AKAP11</t>
  </si>
  <si>
    <t>204220_at</t>
  </si>
  <si>
    <t>GMFG</t>
  </si>
  <si>
    <t>204514_at</t>
  </si>
  <si>
    <t>DPH2</t>
  </si>
  <si>
    <t>217733_s_at</t>
  </si>
  <si>
    <t>TMSB10</t>
  </si>
  <si>
    <t>201478_s_at</t>
  </si>
  <si>
    <t>DKC1</t>
  </si>
  <si>
    <t>204079_at</t>
  </si>
  <si>
    <t>TPST2</t>
  </si>
  <si>
    <t>208437_at</t>
  </si>
  <si>
    <t>CLCN1</t>
  </si>
  <si>
    <t>203693_s_at</t>
  </si>
  <si>
    <t>214637_at</t>
  </si>
  <si>
    <t>OSM</t>
  </si>
  <si>
    <t>218039_at</t>
  </si>
  <si>
    <t>NUSAP1</t>
  </si>
  <si>
    <t>211748_x_at</t>
  </si>
  <si>
    <t>202505_at</t>
  </si>
  <si>
    <t>SNRPB2</t>
  </si>
  <si>
    <t>218085_at</t>
  </si>
  <si>
    <t>CHMP5</t>
  </si>
  <si>
    <t>202028_s_at</t>
  </si>
  <si>
    <t>215618_at</t>
  </si>
  <si>
    <t>217888_s_at</t>
  </si>
  <si>
    <t>ARFGAP1</t>
  </si>
  <si>
    <t>218860_at</t>
  </si>
  <si>
    <t>NOC4L</t>
  </si>
  <si>
    <t>221158_at</t>
  </si>
  <si>
    <t>C21orf66</t>
  </si>
  <si>
    <t>221591_s_at</t>
  </si>
  <si>
    <t>FAM64A</t>
  </si>
  <si>
    <t>212203_x_at</t>
  </si>
  <si>
    <t>IFITM3</t>
  </si>
  <si>
    <t>220541_at</t>
  </si>
  <si>
    <t>MMP26</t>
  </si>
  <si>
    <t>201207_at</t>
  </si>
  <si>
    <t>TNFAIP1</t>
  </si>
  <si>
    <t>202941_at</t>
  </si>
  <si>
    <t>NDUFV2</t>
  </si>
  <si>
    <t>212157_at</t>
  </si>
  <si>
    <t>201816_s_at</t>
  </si>
  <si>
    <t>GBAS</t>
  </si>
  <si>
    <t>201396_s_at</t>
  </si>
  <si>
    <t>SGTA</t>
  </si>
  <si>
    <t>202804_at</t>
  </si>
  <si>
    <t>ABCC1</t>
  </si>
  <si>
    <t>203662_s_at</t>
  </si>
  <si>
    <t>TMOD1</t>
  </si>
  <si>
    <t>204588_s_at</t>
  </si>
  <si>
    <t>SLC7A7</t>
  </si>
  <si>
    <t>205263_at</t>
  </si>
  <si>
    <t>BCL10</t>
  </si>
  <si>
    <t>205580_s_at</t>
  </si>
  <si>
    <t>HRH1</t>
  </si>
  <si>
    <t>206003_at</t>
  </si>
  <si>
    <t>CEP135</t>
  </si>
  <si>
    <t>206256_at</t>
  </si>
  <si>
    <t>CPN1</t>
  </si>
  <si>
    <t>207789_s_at</t>
  </si>
  <si>
    <t>DPP6</t>
  </si>
  <si>
    <t>210403_s_at</t>
  </si>
  <si>
    <t>KCNJ1</t>
  </si>
  <si>
    <t>211598_x_at</t>
  </si>
  <si>
    <t>212341_at</t>
  </si>
  <si>
    <t>YIPF6</t>
  </si>
  <si>
    <t>213880_at</t>
  </si>
  <si>
    <t>LGR5</t>
  </si>
  <si>
    <t>215173_at</t>
  </si>
  <si>
    <t>LRRC50</t>
  </si>
  <si>
    <t>217673_x_at</t>
  </si>
  <si>
    <t>219539_at</t>
  </si>
  <si>
    <t>GEMIN6</t>
  </si>
  <si>
    <t>222014_x_at</t>
  </si>
  <si>
    <t>MTO1</t>
  </si>
  <si>
    <t>217788_s_at</t>
  </si>
  <si>
    <t>GALNT2</t>
  </si>
  <si>
    <t>204913_s_at</t>
  </si>
  <si>
    <t>218245_at</t>
  </si>
  <si>
    <t>TSKU</t>
  </si>
  <si>
    <t>218767_at</t>
  </si>
  <si>
    <t>REXO4</t>
  </si>
  <si>
    <t>212957_s_at</t>
  </si>
  <si>
    <t>215167_at</t>
  </si>
  <si>
    <t>209332_s_at</t>
  </si>
  <si>
    <t>MAX</t>
  </si>
  <si>
    <t>219765_at</t>
  </si>
  <si>
    <t>ZNF329</t>
  </si>
  <si>
    <t>219058_x_at</t>
  </si>
  <si>
    <t>TINAGL1</t>
  </si>
  <si>
    <t>200882_s_at</t>
  </si>
  <si>
    <t>204890_s_at</t>
  </si>
  <si>
    <t>LCK</t>
  </si>
  <si>
    <t>217286_s_at</t>
  </si>
  <si>
    <t>NDRG3</t>
  </si>
  <si>
    <t>213809_x_at</t>
  </si>
  <si>
    <t>217918_at</t>
  </si>
  <si>
    <t>DYNLRB1</t>
  </si>
  <si>
    <t>217967_s_at</t>
  </si>
  <si>
    <t>FAM129A</t>
  </si>
  <si>
    <t>205184_at</t>
  </si>
  <si>
    <t>GNG4</t>
  </si>
  <si>
    <t>218817_at</t>
  </si>
  <si>
    <t>219692_at</t>
  </si>
  <si>
    <t>KREMEN2</t>
  </si>
  <si>
    <t>219611_s_at</t>
  </si>
  <si>
    <t>CCDC21</t>
  </si>
  <si>
    <t>212817_at</t>
  </si>
  <si>
    <t>DNAJB5</t>
  </si>
  <si>
    <t>91952_at</t>
  </si>
  <si>
    <t>DCAF15</t>
  </si>
  <si>
    <t>201041_s_at</t>
  </si>
  <si>
    <t>89948_at</t>
  </si>
  <si>
    <t>203003_at</t>
  </si>
  <si>
    <t>214280_x_at</t>
  </si>
  <si>
    <t>HNRNPA1</t>
  </si>
  <si>
    <t>220571_at</t>
  </si>
  <si>
    <t>PRDM11</t>
  </si>
  <si>
    <t>222013_x_at</t>
  </si>
  <si>
    <t>FAM86A</t>
  </si>
  <si>
    <t>202254_at</t>
  </si>
  <si>
    <t>SIPA1L1</t>
  </si>
  <si>
    <t>204226_at</t>
  </si>
  <si>
    <t>STAU2</t>
  </si>
  <si>
    <t>209759_s_at</t>
  </si>
  <si>
    <t>DCI</t>
  </si>
  <si>
    <t>200617_at</t>
  </si>
  <si>
    <t>MLEC</t>
  </si>
  <si>
    <t>210684_s_at</t>
  </si>
  <si>
    <t>DLG4</t>
  </si>
  <si>
    <t>217843_s_at</t>
  </si>
  <si>
    <t>MED4</t>
  </si>
  <si>
    <t>205812_s_at</t>
  </si>
  <si>
    <t>214150_x_at</t>
  </si>
  <si>
    <t>215273_s_at</t>
  </si>
  <si>
    <t>TADA3L</t>
  </si>
  <si>
    <t>210573_s_at</t>
  </si>
  <si>
    <t>POLR3C</t>
  </si>
  <si>
    <t>204559_s_at</t>
  </si>
  <si>
    <t>LSM7</t>
  </si>
  <si>
    <t>203337_x_at</t>
  </si>
  <si>
    <t>ITGB1BP1</t>
  </si>
  <si>
    <t>212494_at</t>
  </si>
  <si>
    <t>TENC1</t>
  </si>
  <si>
    <t>219237_s_at</t>
  </si>
  <si>
    <t>DNAJB14</t>
  </si>
  <si>
    <t>202128_at</t>
  </si>
  <si>
    <t>KIAA0317</t>
  </si>
  <si>
    <t>204623_at</t>
  </si>
  <si>
    <t>TFF3</t>
  </si>
  <si>
    <t>207332_s_at</t>
  </si>
  <si>
    <t>TFRC</t>
  </si>
  <si>
    <t>213013_at</t>
  </si>
  <si>
    <t>LOC644172 /// MAPK8IP1</t>
  </si>
  <si>
    <t>222082_at</t>
  </si>
  <si>
    <t>ZBTB7A</t>
  </si>
  <si>
    <t>210110_x_at</t>
  </si>
  <si>
    <t>207422_at</t>
  </si>
  <si>
    <t>ADAM20</t>
  </si>
  <si>
    <t>218496_at</t>
  </si>
  <si>
    <t>RNASEH1</t>
  </si>
  <si>
    <t>201030_x_at</t>
  </si>
  <si>
    <t>213220_at</t>
  </si>
  <si>
    <t>220573_at</t>
  </si>
  <si>
    <t>KLK14</t>
  </si>
  <si>
    <t>219249_s_at</t>
  </si>
  <si>
    <t>FKBP10</t>
  </si>
  <si>
    <t>200608_s_at</t>
  </si>
  <si>
    <t>RAD21</t>
  </si>
  <si>
    <t>205904_at</t>
  </si>
  <si>
    <t>MICA</t>
  </si>
  <si>
    <t>208489_at</t>
  </si>
  <si>
    <t>GJA8</t>
  </si>
  <si>
    <t>213341_at</t>
  </si>
  <si>
    <t>FEM1C</t>
  </si>
  <si>
    <t>213502_x_at</t>
  </si>
  <si>
    <t>LOC91316</t>
  </si>
  <si>
    <t>219646_at</t>
  </si>
  <si>
    <t>DEF8</t>
  </si>
  <si>
    <t>207876_s_at</t>
  </si>
  <si>
    <t>FLNC</t>
  </si>
  <si>
    <t>209057_x_at</t>
  </si>
  <si>
    <t>CDC5L</t>
  </si>
  <si>
    <t>209376_x_at</t>
  </si>
  <si>
    <t>SFRS2IP</t>
  </si>
  <si>
    <t>212673_at</t>
  </si>
  <si>
    <t>METAP1</t>
  </si>
  <si>
    <t>213771_at</t>
  </si>
  <si>
    <t>IRF2BP1</t>
  </si>
  <si>
    <t>202649_x_at</t>
  </si>
  <si>
    <t>RPS19</t>
  </si>
  <si>
    <t>204821_at</t>
  </si>
  <si>
    <t>BTN3A3</t>
  </si>
  <si>
    <t>215184_at</t>
  </si>
  <si>
    <t>205502_at</t>
  </si>
  <si>
    <t>CYP17A1</t>
  </si>
  <si>
    <t>215490_at</t>
  </si>
  <si>
    <t>C1orf69</t>
  </si>
  <si>
    <t>204209_at</t>
  </si>
  <si>
    <t>PCYT1A</t>
  </si>
  <si>
    <t>205810_s_at</t>
  </si>
  <si>
    <t>WASL</t>
  </si>
  <si>
    <t>207184_at</t>
  </si>
  <si>
    <t>SLC6A13</t>
  </si>
  <si>
    <t>210601_at</t>
  </si>
  <si>
    <t>CDH6</t>
  </si>
  <si>
    <t>40255_at</t>
  </si>
  <si>
    <t>201681_s_at</t>
  </si>
  <si>
    <t>DLG5</t>
  </si>
  <si>
    <t>220318_at</t>
  </si>
  <si>
    <t>EPN3</t>
  </si>
  <si>
    <t>208968_s_at</t>
  </si>
  <si>
    <t>CIAPIN1</t>
  </si>
  <si>
    <t>217817_at</t>
  </si>
  <si>
    <t>ARPC4</t>
  </si>
  <si>
    <t>221985_at</t>
  </si>
  <si>
    <t>204628_s_at</t>
  </si>
  <si>
    <t>ITGB3</t>
  </si>
  <si>
    <t>206257_at</t>
  </si>
  <si>
    <t>CCDC9</t>
  </si>
  <si>
    <t>222157_s_at</t>
  </si>
  <si>
    <t>213437_at</t>
  </si>
  <si>
    <t>RUFY3</t>
  </si>
  <si>
    <t>204344_s_at</t>
  </si>
  <si>
    <t>204385_at</t>
  </si>
  <si>
    <t>KYNU</t>
  </si>
  <si>
    <t>202899_s_at</t>
  </si>
  <si>
    <t>SFRS3</t>
  </si>
  <si>
    <t>200850_s_at</t>
  </si>
  <si>
    <t>200864_s_at</t>
  </si>
  <si>
    <t>RAB11A</t>
  </si>
  <si>
    <t>207809_s_at</t>
  </si>
  <si>
    <t>ATP6AP1</t>
  </si>
  <si>
    <t>211657_at</t>
  </si>
  <si>
    <t>212835_at</t>
  </si>
  <si>
    <t>FAM175B</t>
  </si>
  <si>
    <t>211928_at</t>
  </si>
  <si>
    <t>DYNC1H1</t>
  </si>
  <si>
    <t>203760_s_at</t>
  </si>
  <si>
    <t>SLA</t>
  </si>
  <si>
    <t>204864_s_at</t>
  </si>
  <si>
    <t>212924_s_at</t>
  </si>
  <si>
    <t>221232_s_at</t>
  </si>
  <si>
    <t>ANKRD2</t>
  </si>
  <si>
    <t>49485_at</t>
  </si>
  <si>
    <t>201917_s_at</t>
  </si>
  <si>
    <t>204077_x_at</t>
  </si>
  <si>
    <t>212855_at</t>
  </si>
  <si>
    <t>DCUN1D4</t>
  </si>
  <si>
    <t>222046_at</t>
  </si>
  <si>
    <t>201671_x_at</t>
  </si>
  <si>
    <t>USP14</t>
  </si>
  <si>
    <t>213566_at</t>
  </si>
  <si>
    <t>RNASE6</t>
  </si>
  <si>
    <t>204143_s_at</t>
  </si>
  <si>
    <t>201399_s_at</t>
  </si>
  <si>
    <t>TRAM1</t>
  </si>
  <si>
    <t>203256_at</t>
  </si>
  <si>
    <t>CDH3</t>
  </si>
  <si>
    <t>216212_s_at</t>
  </si>
  <si>
    <t>212563_at</t>
  </si>
  <si>
    <t>BOP1 /// LOC727967</t>
  </si>
  <si>
    <t>36499_at</t>
  </si>
  <si>
    <t>CELSR2</t>
  </si>
  <si>
    <t>216605_s_at</t>
  </si>
  <si>
    <t>CEACAM21</t>
  </si>
  <si>
    <t>221485_at</t>
  </si>
  <si>
    <t>B4GALT5</t>
  </si>
  <si>
    <t>214112_s_at</t>
  </si>
  <si>
    <t>CXorf40A /// CXorf40B</t>
  </si>
  <si>
    <t>217592_at</t>
  </si>
  <si>
    <t>ZSWIM1</t>
  </si>
  <si>
    <t>218946_at</t>
  </si>
  <si>
    <t>NFU1</t>
  </si>
  <si>
    <t>218384_at</t>
  </si>
  <si>
    <t>CARHSP1</t>
  </si>
  <si>
    <t>205956_x_at</t>
  </si>
  <si>
    <t>PSMC3IP</t>
  </si>
  <si>
    <t>208204_s_at</t>
  </si>
  <si>
    <t>CAV3</t>
  </si>
  <si>
    <t>208652_at</t>
  </si>
  <si>
    <t>PPP2CA</t>
  </si>
  <si>
    <t>213350_at</t>
  </si>
  <si>
    <t>RPS11</t>
  </si>
  <si>
    <t>79005_at</t>
  </si>
  <si>
    <t>SLC35E1</t>
  </si>
  <si>
    <t>201248_s_at</t>
  </si>
  <si>
    <t>208189_s_at</t>
  </si>
  <si>
    <t>MYO7A</t>
  </si>
  <si>
    <t>210250_x_at</t>
  </si>
  <si>
    <t>213917_at</t>
  </si>
  <si>
    <t>PAX8</t>
  </si>
  <si>
    <t>202282_at</t>
  </si>
  <si>
    <t>HSD17B10</t>
  </si>
  <si>
    <t>202364_at</t>
  </si>
  <si>
    <t>MXI1</t>
  </si>
  <si>
    <t>202844_s_at</t>
  </si>
  <si>
    <t>206130_s_at</t>
  </si>
  <si>
    <t>ASGR2</t>
  </si>
  <si>
    <t>217894_at</t>
  </si>
  <si>
    <t>KCTD3</t>
  </si>
  <si>
    <t>206444_at</t>
  </si>
  <si>
    <t>PDE1B</t>
  </si>
  <si>
    <t>206807_s_at</t>
  </si>
  <si>
    <t>203330_s_at</t>
  </si>
  <si>
    <t>STX5</t>
  </si>
  <si>
    <t>210924_at</t>
  </si>
  <si>
    <t>OLFM1</t>
  </si>
  <si>
    <t>211336_x_at</t>
  </si>
  <si>
    <t>LILRB1</t>
  </si>
  <si>
    <t>213599_at</t>
  </si>
  <si>
    <t>OIP5</t>
  </si>
  <si>
    <t>218880_at</t>
  </si>
  <si>
    <t>FOSL2</t>
  </si>
  <si>
    <t>209666_s_at</t>
  </si>
  <si>
    <t>CHUK</t>
  </si>
  <si>
    <t>206248_at</t>
  </si>
  <si>
    <t>PRKCE</t>
  </si>
  <si>
    <t>214672_at</t>
  </si>
  <si>
    <t>TTLL5</t>
  </si>
  <si>
    <t>220981_x_at</t>
  </si>
  <si>
    <t>211279_at</t>
  </si>
  <si>
    <t>NRF1</t>
  </si>
  <si>
    <t>212712_at</t>
  </si>
  <si>
    <t>CAMSAP1</t>
  </si>
  <si>
    <t>200730_s_at</t>
  </si>
  <si>
    <t>PTP4A1</t>
  </si>
  <si>
    <t>200988_s_at</t>
  </si>
  <si>
    <t>PSME3</t>
  </si>
  <si>
    <t>209818_s_at</t>
  </si>
  <si>
    <t>HABP4</t>
  </si>
  <si>
    <t>204151_x_at</t>
  </si>
  <si>
    <t>AKR1C1</t>
  </si>
  <si>
    <t>211709_s_at</t>
  </si>
  <si>
    <t>214556_at</t>
  </si>
  <si>
    <t>SSTR4</t>
  </si>
  <si>
    <t>218597_s_at</t>
  </si>
  <si>
    <t>CISD1</t>
  </si>
  <si>
    <t>220975_s_at</t>
  </si>
  <si>
    <t>C1QTNF1</t>
  </si>
  <si>
    <t>200047_s_at</t>
  </si>
  <si>
    <t>YY1</t>
  </si>
  <si>
    <t>216059_at</t>
  </si>
  <si>
    <t>PAX3</t>
  </si>
  <si>
    <t>203049_s_at</t>
  </si>
  <si>
    <t>TTC37</t>
  </si>
  <si>
    <t>215165_x_at</t>
  </si>
  <si>
    <t>UMPS</t>
  </si>
  <si>
    <t>215835_at</t>
  </si>
  <si>
    <t>LOC100288270 /// LOC100293638</t>
  </si>
  <si>
    <t>200030_s_at</t>
  </si>
  <si>
    <t>SLC25A3</t>
  </si>
  <si>
    <t>209337_at</t>
  </si>
  <si>
    <t>PSIP1</t>
  </si>
  <si>
    <t>211963_s_at</t>
  </si>
  <si>
    <t>ARPC5</t>
  </si>
  <si>
    <t>215749_s_at</t>
  </si>
  <si>
    <t>GORASP1</t>
  </si>
  <si>
    <t>222209_s_at</t>
  </si>
  <si>
    <t>TMEM135</t>
  </si>
  <si>
    <t>208795_s_at</t>
  </si>
  <si>
    <t>MCM7</t>
  </si>
  <si>
    <t>221266_s_at</t>
  </si>
  <si>
    <t>TM7SF4</t>
  </si>
  <si>
    <t>201764_at</t>
  </si>
  <si>
    <t>TMEM106C</t>
  </si>
  <si>
    <t>208041_at</t>
  </si>
  <si>
    <t>GRK1</t>
  </si>
  <si>
    <t>201300_s_at</t>
  </si>
  <si>
    <t>PRNP</t>
  </si>
  <si>
    <t>205784_x_at</t>
  </si>
  <si>
    <t>ARVCF</t>
  </si>
  <si>
    <t>206437_at</t>
  </si>
  <si>
    <t>S1PR4</t>
  </si>
  <si>
    <t>209863_s_at</t>
  </si>
  <si>
    <t>214494_s_at</t>
  </si>
  <si>
    <t>SPG7</t>
  </si>
  <si>
    <t>218990_s_at</t>
  </si>
  <si>
    <t>SPRR3</t>
  </si>
  <si>
    <t>207355_at</t>
  </si>
  <si>
    <t>SLC1A7</t>
  </si>
  <si>
    <t>201516_at</t>
  </si>
  <si>
    <t>SRM</t>
  </si>
  <si>
    <t>207711_at</t>
  </si>
  <si>
    <t>C20orf117</t>
  </si>
  <si>
    <t>203403_s_at</t>
  </si>
  <si>
    <t>RNF6</t>
  </si>
  <si>
    <t>211042_x_at</t>
  </si>
  <si>
    <t>207927_at</t>
  </si>
  <si>
    <t>HTR7</t>
  </si>
  <si>
    <t>215202_at</t>
  </si>
  <si>
    <t>210025_s_at</t>
  </si>
  <si>
    <t>CARD10</t>
  </si>
  <si>
    <t>207769_s_at</t>
  </si>
  <si>
    <t>PQBP1</t>
  </si>
  <si>
    <t>217356_s_at</t>
  </si>
  <si>
    <t>211378_x_at</t>
  </si>
  <si>
    <t>201471_s_at</t>
  </si>
  <si>
    <t>SQSTM1</t>
  </si>
  <si>
    <t>202315_s_at</t>
  </si>
  <si>
    <t>BCR</t>
  </si>
  <si>
    <t>202378_s_at</t>
  </si>
  <si>
    <t>LEPROT</t>
  </si>
  <si>
    <t>217362_x_at</t>
  </si>
  <si>
    <t>221431_s_at</t>
  </si>
  <si>
    <t>OR12D3</t>
  </si>
  <si>
    <t>221534_at</t>
  </si>
  <si>
    <t>C11orf68</t>
  </si>
  <si>
    <t>209047_at</t>
  </si>
  <si>
    <t>AQP1 /// INMT</t>
  </si>
  <si>
    <t>217972_at</t>
  </si>
  <si>
    <t>CHCHD3</t>
  </si>
  <si>
    <t>218107_at</t>
  </si>
  <si>
    <t>WDR26</t>
  </si>
  <si>
    <t>217199_s_at</t>
  </si>
  <si>
    <t>STAT2</t>
  </si>
  <si>
    <t>203378_at</t>
  </si>
  <si>
    <t>PCF11</t>
  </si>
  <si>
    <t>203524_s_at</t>
  </si>
  <si>
    <t>MPST</t>
  </si>
  <si>
    <t>40189_at</t>
  </si>
  <si>
    <t>SET</t>
  </si>
  <si>
    <t>41387_r_at</t>
  </si>
  <si>
    <t>KDM6B</t>
  </si>
  <si>
    <t>201354_s_at</t>
  </si>
  <si>
    <t>203222_s_at</t>
  </si>
  <si>
    <t>206187_at</t>
  </si>
  <si>
    <t>PTGIR</t>
  </si>
  <si>
    <t>210714_at</t>
  </si>
  <si>
    <t>R3HDM1</t>
  </si>
  <si>
    <t>218226_s_at</t>
  </si>
  <si>
    <t>NDUFB4</t>
  </si>
  <si>
    <t>206580_s_at</t>
  </si>
  <si>
    <t>EFEMP2</t>
  </si>
  <si>
    <t>204061_at</t>
  </si>
  <si>
    <t>PRKX</t>
  </si>
  <si>
    <t>205365_at</t>
  </si>
  <si>
    <t>HOXB6</t>
  </si>
  <si>
    <t>214066_x_at</t>
  </si>
  <si>
    <t>NPR2</t>
  </si>
  <si>
    <t>206968_s_at</t>
  </si>
  <si>
    <t>217767_at</t>
  </si>
  <si>
    <t>C3</t>
  </si>
  <si>
    <t>211177_s_at</t>
  </si>
  <si>
    <t>TXNRD2</t>
  </si>
  <si>
    <t>200084_at</t>
  </si>
  <si>
    <t>C11orf58</t>
  </si>
  <si>
    <t>205973_at</t>
  </si>
  <si>
    <t>FEZ1</t>
  </si>
  <si>
    <t>206996_x_at</t>
  </si>
  <si>
    <t>CACNB1</t>
  </si>
  <si>
    <t>216495_x_at</t>
  </si>
  <si>
    <t>IVD</t>
  </si>
  <si>
    <t>217841_s_at</t>
  </si>
  <si>
    <t>205565_s_at</t>
  </si>
  <si>
    <t>FXN</t>
  </si>
  <si>
    <t>214341_at</t>
  </si>
  <si>
    <t>THTPA</t>
  </si>
  <si>
    <t>207929_at</t>
  </si>
  <si>
    <t>GRPR</t>
  </si>
  <si>
    <t>203083_at</t>
  </si>
  <si>
    <t>THBS2</t>
  </si>
  <si>
    <t>200063_s_at</t>
  </si>
  <si>
    <t>NPM1</t>
  </si>
  <si>
    <t>221013_s_at</t>
  </si>
  <si>
    <t>APOL2</t>
  </si>
  <si>
    <t>201292_at</t>
  </si>
  <si>
    <t>210438_x_at</t>
  </si>
  <si>
    <t>TROVE2</t>
  </si>
  <si>
    <t>208272_at</t>
  </si>
  <si>
    <t>RANBP3</t>
  </si>
  <si>
    <t>210047_at</t>
  </si>
  <si>
    <t>219996_at</t>
  </si>
  <si>
    <t>ASB7</t>
  </si>
  <si>
    <t>204397_at</t>
  </si>
  <si>
    <t>201793_x_at</t>
  </si>
  <si>
    <t>211289_x_at</t>
  </si>
  <si>
    <t>218160_at</t>
  </si>
  <si>
    <t>NDUFA8</t>
  </si>
  <si>
    <t>206461_x_at</t>
  </si>
  <si>
    <t>MT1H</t>
  </si>
  <si>
    <t>201846_s_at</t>
  </si>
  <si>
    <t>213698_at</t>
  </si>
  <si>
    <t>ZMYM6</t>
  </si>
  <si>
    <t>216836_s_at</t>
  </si>
  <si>
    <t>ERBB2</t>
  </si>
  <si>
    <t>218303_x_at</t>
  </si>
  <si>
    <t>KRCC1</t>
  </si>
  <si>
    <t>202423_at</t>
  </si>
  <si>
    <t>MYST3</t>
  </si>
  <si>
    <t>209136_s_at</t>
  </si>
  <si>
    <t>USP10</t>
  </si>
  <si>
    <t>206073_at</t>
  </si>
  <si>
    <t>COLQ</t>
  </si>
  <si>
    <t>209297_at</t>
  </si>
  <si>
    <t>ITSN1</t>
  </si>
  <si>
    <t>210567_s_at</t>
  </si>
  <si>
    <t>SKP2</t>
  </si>
  <si>
    <t>214467_at</t>
  </si>
  <si>
    <t>GPR65</t>
  </si>
  <si>
    <t>215092_s_at</t>
  </si>
  <si>
    <t>NFAT5</t>
  </si>
  <si>
    <t>216706_x_at</t>
  </si>
  <si>
    <t>C12orf32 /// IGHG1 /// LOC642131</t>
  </si>
  <si>
    <t>217560_at</t>
  </si>
  <si>
    <t>GGA1</t>
  </si>
  <si>
    <t>202500_at</t>
  </si>
  <si>
    <t>DNAJB2</t>
  </si>
  <si>
    <t>214107_x_at</t>
  </si>
  <si>
    <t>LOC440434</t>
  </si>
  <si>
    <t>61874_at</t>
  </si>
  <si>
    <t>C9orf7</t>
  </si>
  <si>
    <t>203132_at</t>
  </si>
  <si>
    <t>RB1</t>
  </si>
  <si>
    <t>212023_s_at</t>
  </si>
  <si>
    <t>216345_at</t>
  </si>
  <si>
    <t>206656_s_at</t>
  </si>
  <si>
    <t>C20orf3</t>
  </si>
  <si>
    <t>201031_s_at</t>
  </si>
  <si>
    <t>HNRNPH1</t>
  </si>
  <si>
    <t>209509_s_at</t>
  </si>
  <si>
    <t>DPAGT1</t>
  </si>
  <si>
    <t>202379_s_at</t>
  </si>
  <si>
    <t>NKTR</t>
  </si>
  <si>
    <t>206614_at</t>
  </si>
  <si>
    <t>GDF5</t>
  </si>
  <si>
    <t>207079_s_at</t>
  </si>
  <si>
    <t>221835_at</t>
  </si>
  <si>
    <t>217741_s_at</t>
  </si>
  <si>
    <t>218527_at</t>
  </si>
  <si>
    <t>APTX</t>
  </si>
  <si>
    <t>207075_at</t>
  </si>
  <si>
    <t>NLRP3</t>
  </si>
  <si>
    <t>203923_s_at</t>
  </si>
  <si>
    <t>36888_at</t>
  </si>
  <si>
    <t>200886_s_at</t>
  </si>
  <si>
    <t>PGAM1</t>
  </si>
  <si>
    <t>202530_at</t>
  </si>
  <si>
    <t>203625_x_at</t>
  </si>
  <si>
    <t>210241_s_at</t>
  </si>
  <si>
    <t>217765_at</t>
  </si>
  <si>
    <t>NRBP1</t>
  </si>
  <si>
    <t>210008_s_at</t>
  </si>
  <si>
    <t>MRPS12</t>
  </si>
  <si>
    <t>210977_s_at</t>
  </si>
  <si>
    <t>HSF4</t>
  </si>
  <si>
    <t>212967_x_at</t>
  </si>
  <si>
    <t>NAP1L1</t>
  </si>
  <si>
    <t>218359_at</t>
  </si>
  <si>
    <t>NRSN2</t>
  </si>
  <si>
    <t>218473_s_at</t>
  </si>
  <si>
    <t>GLT25D1</t>
  </si>
  <si>
    <t>222235_s_at</t>
  </si>
  <si>
    <t>CSGALNACT2 /// RP1-19N1.1</t>
  </si>
  <si>
    <t>208674_x_at</t>
  </si>
  <si>
    <t>DDOST</t>
  </si>
  <si>
    <t>218587_s_at</t>
  </si>
  <si>
    <t>KTELC1</t>
  </si>
  <si>
    <t>201486_at</t>
  </si>
  <si>
    <t>205285_s_at</t>
  </si>
  <si>
    <t>209344_at</t>
  </si>
  <si>
    <t>203577_at</t>
  </si>
  <si>
    <t>GTF2H4</t>
  </si>
  <si>
    <t>45687_at</t>
  </si>
  <si>
    <t>PRR14</t>
  </si>
  <si>
    <t>200980_s_at</t>
  </si>
  <si>
    <t>202645_s_at</t>
  </si>
  <si>
    <t>MEN1</t>
  </si>
  <si>
    <t>201900_s_at</t>
  </si>
  <si>
    <t>AKR1A1</t>
  </si>
  <si>
    <t>208841_s_at</t>
  </si>
  <si>
    <t>209606_at</t>
  </si>
  <si>
    <t>CYTIP</t>
  </si>
  <si>
    <t>216206_x_at</t>
  </si>
  <si>
    <t>MAP2K7</t>
  </si>
  <si>
    <t>221509_at</t>
  </si>
  <si>
    <t>DENR</t>
  </si>
  <si>
    <t>213731_s_at</t>
  </si>
  <si>
    <t>201081_s_at</t>
  </si>
  <si>
    <t>PIP4K2B</t>
  </si>
  <si>
    <t>209786_at</t>
  </si>
  <si>
    <t>HMGN4</t>
  </si>
  <si>
    <t>216344_at</t>
  </si>
  <si>
    <t>NPHP4</t>
  </si>
  <si>
    <t>219402_s_at</t>
  </si>
  <si>
    <t>DERL1</t>
  </si>
  <si>
    <t>202092_s_at</t>
  </si>
  <si>
    <t>ARL2BP</t>
  </si>
  <si>
    <t>215541_s_at</t>
  </si>
  <si>
    <t>DIAPH1</t>
  </si>
  <si>
    <t>210789_x_at</t>
  </si>
  <si>
    <t>CEACAM3</t>
  </si>
  <si>
    <t>218485_s_at</t>
  </si>
  <si>
    <t>SLC35C1</t>
  </si>
  <si>
    <t>222059_at</t>
  </si>
  <si>
    <t>ZNF335</t>
  </si>
  <si>
    <t>222027_at</t>
  </si>
  <si>
    <t>209543_s_at</t>
  </si>
  <si>
    <t>CD34</t>
  </si>
  <si>
    <t>209817_at</t>
  </si>
  <si>
    <t>PPP3CB</t>
  </si>
  <si>
    <t>218246_at</t>
  </si>
  <si>
    <t>MUL1</t>
  </si>
  <si>
    <t>205884_at</t>
  </si>
  <si>
    <t>200812_at</t>
  </si>
  <si>
    <t>CCT7</t>
  </si>
  <si>
    <t>206485_at</t>
  </si>
  <si>
    <t>CD5</t>
  </si>
  <si>
    <t>204444_at</t>
  </si>
  <si>
    <t>KIF11</t>
  </si>
  <si>
    <t>213628_at</t>
  </si>
  <si>
    <t>CLCC1</t>
  </si>
  <si>
    <t>51176_at</t>
  </si>
  <si>
    <t>MED27</t>
  </si>
  <si>
    <t>213091_at</t>
  </si>
  <si>
    <t>CRTC1</t>
  </si>
  <si>
    <t>221675_s_at</t>
  </si>
  <si>
    <t>CHPT1</t>
  </si>
  <si>
    <t>208846_s_at</t>
  </si>
  <si>
    <t>203374_s_at</t>
  </si>
  <si>
    <t>TPP2</t>
  </si>
  <si>
    <t>32625_at</t>
  </si>
  <si>
    <t>NPR1</t>
  </si>
  <si>
    <t>201648_at</t>
  </si>
  <si>
    <t>JAK1</t>
  </si>
  <si>
    <t>213328_at</t>
  </si>
  <si>
    <t>212430_at</t>
  </si>
  <si>
    <t>RBM38</t>
  </si>
  <si>
    <t>201398_s_at</t>
  </si>
  <si>
    <t>203219_s_at</t>
  </si>
  <si>
    <t>APRT</t>
  </si>
  <si>
    <t>203383_s_at</t>
  </si>
  <si>
    <t>GOLGA1</t>
  </si>
  <si>
    <t>216944_s_at</t>
  </si>
  <si>
    <t>221624_at</t>
  </si>
  <si>
    <t>TCL6</t>
  </si>
  <si>
    <t>214430_at</t>
  </si>
  <si>
    <t>GLA</t>
  </si>
  <si>
    <t>212173_at</t>
  </si>
  <si>
    <t>216710_x_at</t>
  </si>
  <si>
    <t>ZNF287</t>
  </si>
  <si>
    <t>202582_s_at</t>
  </si>
  <si>
    <t>204381_at</t>
  </si>
  <si>
    <t>LRP3</t>
  </si>
  <si>
    <t>206468_s_at</t>
  </si>
  <si>
    <t>208743_s_at</t>
  </si>
  <si>
    <t>YWHAB</t>
  </si>
  <si>
    <t>217898_at</t>
  </si>
  <si>
    <t>C15orf24</t>
  </si>
  <si>
    <t>222068_s_at</t>
  </si>
  <si>
    <t>213876_x_at</t>
  </si>
  <si>
    <t>39817_s_at</t>
  </si>
  <si>
    <t>C6orf108</t>
  </si>
  <si>
    <t>202002_at</t>
  </si>
  <si>
    <t>203921_at</t>
  </si>
  <si>
    <t>CHST2</t>
  </si>
  <si>
    <t>213715_s_at</t>
  </si>
  <si>
    <t>KANK3</t>
  </si>
  <si>
    <t>200871_s_at</t>
  </si>
  <si>
    <t>PSAP</t>
  </si>
  <si>
    <t>204348_s_at</t>
  </si>
  <si>
    <t>AK3L1</t>
  </si>
  <si>
    <t>202558_s_at</t>
  </si>
  <si>
    <t>HSPA13</t>
  </si>
  <si>
    <t>203936_s_at</t>
  </si>
  <si>
    <t>MMP9</t>
  </si>
  <si>
    <t>215247_at</t>
  </si>
  <si>
    <t>LOC440895</t>
  </si>
  <si>
    <t>201988_s_at</t>
  </si>
  <si>
    <t>208310_s_at</t>
  </si>
  <si>
    <t>C7orf28A /// C7orf28B</t>
  </si>
  <si>
    <t>213249_at</t>
  </si>
  <si>
    <t>FBXL7</t>
  </si>
  <si>
    <t>217806_s_at</t>
  </si>
  <si>
    <t>POLDIP2</t>
  </si>
  <si>
    <t>201794_s_at</t>
  </si>
  <si>
    <t>201871_s_at</t>
  </si>
  <si>
    <t>209096_at</t>
  </si>
  <si>
    <t>UBE2V2</t>
  </si>
  <si>
    <t>218944_at</t>
  </si>
  <si>
    <t>PYCRL</t>
  </si>
  <si>
    <t>203297_s_at</t>
  </si>
  <si>
    <t>205970_at</t>
  </si>
  <si>
    <t>MT3</t>
  </si>
  <si>
    <t>210816_s_at</t>
  </si>
  <si>
    <t>CYB561</t>
  </si>
  <si>
    <t>201497_x_at</t>
  </si>
  <si>
    <t>MYH11</t>
  </si>
  <si>
    <t>208058_s_at</t>
  </si>
  <si>
    <t>MGAT3</t>
  </si>
  <si>
    <t>219954_s_at</t>
  </si>
  <si>
    <t>GBA3</t>
  </si>
  <si>
    <t>221064_s_at</t>
  </si>
  <si>
    <t>UNKL</t>
  </si>
  <si>
    <t>211885_x_at</t>
  </si>
  <si>
    <t>FUT6</t>
  </si>
  <si>
    <t>219357_at</t>
  </si>
  <si>
    <t>GTPBP1</t>
  </si>
  <si>
    <t>208873_s_at</t>
  </si>
  <si>
    <t>REEP5</t>
  </si>
  <si>
    <t>212369_at</t>
  </si>
  <si>
    <t>ZNF384</t>
  </si>
  <si>
    <t>209130_at</t>
  </si>
  <si>
    <t>SNAP23</t>
  </si>
  <si>
    <t>202847_at</t>
  </si>
  <si>
    <t>PCK2</t>
  </si>
  <si>
    <t>202691_at</t>
  </si>
  <si>
    <t>SNRPD1</t>
  </si>
  <si>
    <t>202502_at</t>
  </si>
  <si>
    <t>ACADM</t>
  </si>
  <si>
    <t>216846_at</t>
  </si>
  <si>
    <t>IGL@ /// IGLV2-18 /// IGLV3-19</t>
  </si>
  <si>
    <t>208875_s_at</t>
  </si>
  <si>
    <t>PAK2</t>
  </si>
  <si>
    <t>220989_s_at</t>
  </si>
  <si>
    <t>AMN</t>
  </si>
  <si>
    <t>208397_x_at</t>
  </si>
  <si>
    <t>200992_at</t>
  </si>
  <si>
    <t>44146_at</t>
  </si>
  <si>
    <t>GMEB2</t>
  </si>
  <si>
    <t>65493_at</t>
  </si>
  <si>
    <t>HEATR6</t>
  </si>
  <si>
    <t>201057_s_at</t>
  </si>
  <si>
    <t>GOLGB1</t>
  </si>
  <si>
    <t>205486_at</t>
  </si>
  <si>
    <t>TESK2</t>
  </si>
  <si>
    <t>221101_at</t>
  </si>
  <si>
    <t>C14orf113</t>
  </si>
  <si>
    <t>202339_at</t>
  </si>
  <si>
    <t>SYMPK</t>
  </si>
  <si>
    <t>203435_s_at</t>
  </si>
  <si>
    <t>211581_x_at</t>
  </si>
  <si>
    <t>212205_at</t>
  </si>
  <si>
    <t>212972_x_at</t>
  </si>
  <si>
    <t>APBB2</t>
  </si>
  <si>
    <t>214145_s_at</t>
  </si>
  <si>
    <t>SPTB</t>
  </si>
  <si>
    <t>201569_s_at</t>
  </si>
  <si>
    <t>SAMM50</t>
  </si>
  <si>
    <t>204285_s_at</t>
  </si>
  <si>
    <t>203166_at</t>
  </si>
  <si>
    <t>CFDP1</t>
  </si>
  <si>
    <t>206764_x_at</t>
  </si>
  <si>
    <t>MPPE1</t>
  </si>
  <si>
    <t>203285_s_at</t>
  </si>
  <si>
    <t>HS2ST1</t>
  </si>
  <si>
    <t>212049_at</t>
  </si>
  <si>
    <t>WIPF2</t>
  </si>
  <si>
    <t>219490_s_at</t>
  </si>
  <si>
    <t>DCLRE1B</t>
  </si>
  <si>
    <t>207454_at</t>
  </si>
  <si>
    <t>GRIK3</t>
  </si>
  <si>
    <t>205117_at</t>
  </si>
  <si>
    <t>FGF1</t>
  </si>
  <si>
    <t>220344_at</t>
  </si>
  <si>
    <t>C11orf16</t>
  </si>
  <si>
    <t>220214_at</t>
  </si>
  <si>
    <t>ZNF215</t>
  </si>
  <si>
    <t>221081_s_at</t>
  </si>
  <si>
    <t>DENND2D</t>
  </si>
  <si>
    <t>206044_s_at</t>
  </si>
  <si>
    <t>BRAF</t>
  </si>
  <si>
    <t>203819_s_at</t>
  </si>
  <si>
    <t>IGF2BP3</t>
  </si>
  <si>
    <t>1729_at</t>
  </si>
  <si>
    <t>212384_at</t>
  </si>
  <si>
    <t>BAT1</t>
  </si>
  <si>
    <t>212961_x_at</t>
  </si>
  <si>
    <t>CXorf40B</t>
  </si>
  <si>
    <t>212873_at</t>
  </si>
  <si>
    <t>HMHA1</t>
  </si>
  <si>
    <t>212492_s_at</t>
  </si>
  <si>
    <t>218012_at</t>
  </si>
  <si>
    <t>TSPYL2</t>
  </si>
  <si>
    <t>34221_at</t>
  </si>
  <si>
    <t>215865_at</t>
  </si>
  <si>
    <t>SYT12</t>
  </si>
  <si>
    <t>205126_at</t>
  </si>
  <si>
    <t>VRK2</t>
  </si>
  <si>
    <t>38691_s_at</t>
  </si>
  <si>
    <t>SFTPC</t>
  </si>
  <si>
    <t>200900_s_at</t>
  </si>
  <si>
    <t>M6PR</t>
  </si>
  <si>
    <t>202711_at</t>
  </si>
  <si>
    <t>EFNB1</t>
  </si>
  <si>
    <t>203079_s_at</t>
  </si>
  <si>
    <t>CUL2</t>
  </si>
  <si>
    <t>204258_at</t>
  </si>
  <si>
    <t>CHD1</t>
  </si>
  <si>
    <t>204556_s_at</t>
  </si>
  <si>
    <t>DZIP1</t>
  </si>
  <si>
    <t>204603_at</t>
  </si>
  <si>
    <t>EXO1</t>
  </si>
  <si>
    <t>209231_s_at</t>
  </si>
  <si>
    <t>210840_s_at</t>
  </si>
  <si>
    <t>212144_at</t>
  </si>
  <si>
    <t>UNC84B</t>
  </si>
  <si>
    <t>216532_x_at</t>
  </si>
  <si>
    <t>217955_at</t>
  </si>
  <si>
    <t>BCL2L13</t>
  </si>
  <si>
    <t>218319_at</t>
  </si>
  <si>
    <t>PELI1</t>
  </si>
  <si>
    <t>220430_at</t>
  </si>
  <si>
    <t>GRRP1</t>
  </si>
  <si>
    <t>200653_s_at</t>
  </si>
  <si>
    <t>220308_at</t>
  </si>
  <si>
    <t>CCDC19</t>
  </si>
  <si>
    <t>216976_s_at</t>
  </si>
  <si>
    <t>218525_s_at</t>
  </si>
  <si>
    <t>HIF1AN</t>
  </si>
  <si>
    <t>216385_at</t>
  </si>
  <si>
    <t>LOXL3</t>
  </si>
  <si>
    <t>209546_s_at</t>
  </si>
  <si>
    <t>APOL1</t>
  </si>
  <si>
    <t>213226_at</t>
  </si>
  <si>
    <t>CCNA2</t>
  </si>
  <si>
    <t>214320_x_at</t>
  </si>
  <si>
    <t>CYP2A6</t>
  </si>
  <si>
    <t>216035_x_at</t>
  </si>
  <si>
    <t>217588_at</t>
  </si>
  <si>
    <t>CATSPER2 /// CATSPER2P1</t>
  </si>
  <si>
    <t>217917_s_at</t>
  </si>
  <si>
    <t>221096_s_at</t>
  </si>
  <si>
    <t>TMCO6</t>
  </si>
  <si>
    <t>205986_at</t>
  </si>
  <si>
    <t>AATK</t>
  </si>
  <si>
    <t>201267_s_at</t>
  </si>
  <si>
    <t>PSMC3</t>
  </si>
  <si>
    <t>203928_x_at</t>
  </si>
  <si>
    <t>MAPT</t>
  </si>
  <si>
    <t>221655_x_at</t>
  </si>
  <si>
    <t>EPS8L1</t>
  </si>
  <si>
    <t>209783_at</t>
  </si>
  <si>
    <t>DBP</t>
  </si>
  <si>
    <t>219283_at</t>
  </si>
  <si>
    <t>C1GALT1C1</t>
  </si>
  <si>
    <t>219286_s_at</t>
  </si>
  <si>
    <t>RBM15</t>
  </si>
  <si>
    <t>218742_at</t>
  </si>
  <si>
    <t>NARFL</t>
  </si>
  <si>
    <t>204535_s_at</t>
  </si>
  <si>
    <t>REST</t>
  </si>
  <si>
    <t>213446_s_at</t>
  </si>
  <si>
    <t>210017_at</t>
  </si>
  <si>
    <t>MALT1</t>
  </si>
  <si>
    <t>215994_x_at</t>
  </si>
  <si>
    <t>TBC1D9B</t>
  </si>
  <si>
    <t>218224_at</t>
  </si>
  <si>
    <t>PNMA1</t>
  </si>
  <si>
    <t>202153_s_at</t>
  </si>
  <si>
    <t>NUP62</t>
  </si>
  <si>
    <t>211687_x_at</t>
  </si>
  <si>
    <t>KIR3DL1</t>
  </si>
  <si>
    <t>203140_at</t>
  </si>
  <si>
    <t>BCL6</t>
  </si>
  <si>
    <t>203848_at</t>
  </si>
  <si>
    <t>201309_x_at</t>
  </si>
  <si>
    <t>C5orf13</t>
  </si>
  <si>
    <t>202096_s_at</t>
  </si>
  <si>
    <t>TSPO</t>
  </si>
  <si>
    <t>207630_s_at</t>
  </si>
  <si>
    <t>CREM</t>
  </si>
  <si>
    <t>208315_x_at</t>
  </si>
  <si>
    <t>TRAF3</t>
  </si>
  <si>
    <t>221967_at</t>
  </si>
  <si>
    <t>NXPH4</t>
  </si>
  <si>
    <t>60528_at</t>
  </si>
  <si>
    <t>JMJD7-PLA2G4B /// PLA2G4B</t>
  </si>
  <si>
    <t>213225_at</t>
  </si>
  <si>
    <t>37254_at</t>
  </si>
  <si>
    <t>ZNF133</t>
  </si>
  <si>
    <t>206678_at</t>
  </si>
  <si>
    <t>GABRA1</t>
  </si>
  <si>
    <t>211970_x_at</t>
  </si>
  <si>
    <t>207826_s_at</t>
  </si>
  <si>
    <t>ID3</t>
  </si>
  <si>
    <t>201429_s_at</t>
  </si>
  <si>
    <t>204011_at</t>
  </si>
  <si>
    <t>SPRY2</t>
  </si>
  <si>
    <t>204443_at</t>
  </si>
  <si>
    <t>ARSA</t>
  </si>
  <si>
    <t>208836_at</t>
  </si>
  <si>
    <t>ATP1B3</t>
  </si>
  <si>
    <t>216507_at</t>
  </si>
  <si>
    <t>TAPT1</t>
  </si>
  <si>
    <t>218115_at</t>
  </si>
  <si>
    <t>ASF1B</t>
  </si>
  <si>
    <t>216641_s_at</t>
  </si>
  <si>
    <t>LAD1</t>
  </si>
  <si>
    <t>40149_at</t>
  </si>
  <si>
    <t>SH2B1</t>
  </si>
  <si>
    <t>203184_at</t>
  </si>
  <si>
    <t>FBN2</t>
  </si>
  <si>
    <t>201941_at</t>
  </si>
  <si>
    <t>CPD</t>
  </si>
  <si>
    <t>201366_at</t>
  </si>
  <si>
    <t>ANXA7</t>
  </si>
  <si>
    <t>207713_s_at</t>
  </si>
  <si>
    <t>RBCK1</t>
  </si>
  <si>
    <t>209743_s_at</t>
  </si>
  <si>
    <t>ITCH</t>
  </si>
  <si>
    <t>214391_x_at</t>
  </si>
  <si>
    <t>PTGER1</t>
  </si>
  <si>
    <t>215543_s_at</t>
  </si>
  <si>
    <t>LARGE</t>
  </si>
  <si>
    <t>217156_at</t>
  </si>
  <si>
    <t>HADHA</t>
  </si>
  <si>
    <t>219746_at</t>
  </si>
  <si>
    <t>DPF3</t>
  </si>
  <si>
    <t>220258_s_at</t>
  </si>
  <si>
    <t>WRAP53</t>
  </si>
  <si>
    <t>215780_s_at</t>
  </si>
  <si>
    <t>hCG_1644608 /// SET</t>
  </si>
  <si>
    <t>218201_at</t>
  </si>
  <si>
    <t>216724_at</t>
  </si>
  <si>
    <t>DCLK2</t>
  </si>
  <si>
    <t>202557_at</t>
  </si>
  <si>
    <t>212450_at</t>
  </si>
  <si>
    <t>SECISBP2L</t>
  </si>
  <si>
    <t>222219_s_at</t>
  </si>
  <si>
    <t>TLE6</t>
  </si>
  <si>
    <t>218251_at</t>
  </si>
  <si>
    <t>MID1IP1</t>
  </si>
  <si>
    <t>204056_s_at</t>
  </si>
  <si>
    <t>MVK</t>
  </si>
  <si>
    <t>219417_s_at</t>
  </si>
  <si>
    <t>C17orf59</t>
  </si>
  <si>
    <t>213031_s_at</t>
  </si>
  <si>
    <t>WDR73</t>
  </si>
  <si>
    <t>221666_s_at</t>
  </si>
  <si>
    <t>PYCARD</t>
  </si>
  <si>
    <t>204611_s_at</t>
  </si>
  <si>
    <t>215631_s_at</t>
  </si>
  <si>
    <t>BRMS1</t>
  </si>
  <si>
    <t>202210_x_at</t>
  </si>
  <si>
    <t>GSK3A</t>
  </si>
  <si>
    <t>219876_s_at</t>
  </si>
  <si>
    <t>GOLGA2L1</t>
  </si>
  <si>
    <t>205798_at</t>
  </si>
  <si>
    <t>IL7R</t>
  </si>
  <si>
    <t>206823_at</t>
  </si>
  <si>
    <t>208127_s_at</t>
  </si>
  <si>
    <t>208409_at</t>
  </si>
  <si>
    <t>SLC14A2</t>
  </si>
  <si>
    <t>208804_s_at</t>
  </si>
  <si>
    <t>SFRS6</t>
  </si>
  <si>
    <t>209810_at</t>
  </si>
  <si>
    <t>SFTPB</t>
  </si>
  <si>
    <t>210579_s_at</t>
  </si>
  <si>
    <t>TRIM10</t>
  </si>
  <si>
    <t>211978_x_at</t>
  </si>
  <si>
    <t>213075_at</t>
  </si>
  <si>
    <t>OLFML2A</t>
  </si>
  <si>
    <t>216054_x_at</t>
  </si>
  <si>
    <t>MYL4</t>
  </si>
  <si>
    <t>218580_x_at</t>
  </si>
  <si>
    <t>AURKAIP1</t>
  </si>
  <si>
    <t>221525_at</t>
  </si>
  <si>
    <t>ZMIZ2</t>
  </si>
  <si>
    <t>204029_at</t>
  </si>
  <si>
    <t>221507_at</t>
  </si>
  <si>
    <t>TNPO2</t>
  </si>
  <si>
    <t>200911_s_at</t>
  </si>
  <si>
    <t>TACC1</t>
  </si>
  <si>
    <t>214604_at</t>
  </si>
  <si>
    <t>HOXD11</t>
  </si>
  <si>
    <t>214051_at</t>
  </si>
  <si>
    <t>TMSB15B</t>
  </si>
  <si>
    <t>203680_at</t>
  </si>
  <si>
    <t>PRKAR2B</t>
  </si>
  <si>
    <t>201152_s_at</t>
  </si>
  <si>
    <t>MBNL1</t>
  </si>
  <si>
    <t>211120_x_at</t>
  </si>
  <si>
    <t>ESR2</t>
  </si>
  <si>
    <t>219293_s_at</t>
  </si>
  <si>
    <t>OLA1</t>
  </si>
  <si>
    <t>202857_at</t>
  </si>
  <si>
    <t>CNPY2</t>
  </si>
  <si>
    <t>209709_s_at</t>
  </si>
  <si>
    <t>HMMR</t>
  </si>
  <si>
    <t>205410_s_at</t>
  </si>
  <si>
    <t>ATP2B4</t>
  </si>
  <si>
    <t>204311_at</t>
  </si>
  <si>
    <t>ATP1B2</t>
  </si>
  <si>
    <t>205902_at</t>
  </si>
  <si>
    <t>KCNN3</t>
  </si>
  <si>
    <t>211792_s_at</t>
  </si>
  <si>
    <t>CDKN2C</t>
  </si>
  <si>
    <t>215582_x_at</t>
  </si>
  <si>
    <t>MCM3AP</t>
  </si>
  <si>
    <t>213553_x_at</t>
  </si>
  <si>
    <t>APOC1</t>
  </si>
  <si>
    <t>218985_at</t>
  </si>
  <si>
    <t>SLC2A8</t>
  </si>
  <si>
    <t>219255_x_at</t>
  </si>
  <si>
    <t>IL17RB</t>
  </si>
  <si>
    <t>214429_at</t>
  </si>
  <si>
    <t>MTMR6</t>
  </si>
  <si>
    <t>218913_s_at</t>
  </si>
  <si>
    <t>GMIP</t>
  </si>
  <si>
    <t>202370_s_at</t>
  </si>
  <si>
    <t>CBFB</t>
  </si>
  <si>
    <t>210281_s_at</t>
  </si>
  <si>
    <t>ZMYM2</t>
  </si>
  <si>
    <t>212815_at</t>
  </si>
  <si>
    <t>ASCC3</t>
  </si>
  <si>
    <t>216438_s_at</t>
  </si>
  <si>
    <t>TMSB4X /// TMSL3</t>
  </si>
  <si>
    <t>209552_at</t>
  </si>
  <si>
    <t>211588_s_at</t>
  </si>
  <si>
    <t>LOC652346 /// PML</t>
  </si>
  <si>
    <t>203644_s_at</t>
  </si>
  <si>
    <t>MON1B</t>
  </si>
  <si>
    <t>219005_at</t>
  </si>
  <si>
    <t>TMEM59L</t>
  </si>
  <si>
    <t>205180_s_at</t>
  </si>
  <si>
    <t>ADAM8</t>
  </si>
  <si>
    <t>52164_at</t>
  </si>
  <si>
    <t>201186_at</t>
  </si>
  <si>
    <t>LRPAP1</t>
  </si>
  <si>
    <t>201481_s_at</t>
  </si>
  <si>
    <t>PYGB</t>
  </si>
  <si>
    <t>201629_s_at</t>
  </si>
  <si>
    <t>ACP1</t>
  </si>
  <si>
    <t>206886_x_at</t>
  </si>
  <si>
    <t>209321_s_at</t>
  </si>
  <si>
    <t>ADCY3</t>
  </si>
  <si>
    <t>209531_at</t>
  </si>
  <si>
    <t>GSTZ1</t>
  </si>
  <si>
    <t>212238_at</t>
  </si>
  <si>
    <t>212691_at</t>
  </si>
  <si>
    <t>NUP188</t>
  </si>
  <si>
    <t>213551_x_at</t>
  </si>
  <si>
    <t>PCGF2</t>
  </si>
  <si>
    <t>214328_s_at</t>
  </si>
  <si>
    <t>217365_at</t>
  </si>
  <si>
    <t>PRAMEF11</t>
  </si>
  <si>
    <t>218291_at</t>
  </si>
  <si>
    <t>ROBLD3</t>
  </si>
  <si>
    <t>219620_x_at</t>
  </si>
  <si>
    <t>C9orf167</t>
  </si>
  <si>
    <t>220758_s_at</t>
  </si>
  <si>
    <t>ROBO4</t>
  </si>
  <si>
    <t>203359_s_at</t>
  </si>
  <si>
    <t>MYCBP</t>
  </si>
  <si>
    <t>203354_s_at</t>
  </si>
  <si>
    <t>204862_s_at</t>
  </si>
  <si>
    <t>NME3</t>
  </si>
  <si>
    <t>207805_s_at</t>
  </si>
  <si>
    <t>PSMD9</t>
  </si>
  <si>
    <t>209866_s_at</t>
  </si>
  <si>
    <t>LPHN3</t>
  </si>
  <si>
    <t>54970_at</t>
  </si>
  <si>
    <t>200677_at</t>
  </si>
  <si>
    <t>PTTG1IP</t>
  </si>
  <si>
    <t>201997_s_at</t>
  </si>
  <si>
    <t>205984_at</t>
  </si>
  <si>
    <t>CRHBP</t>
  </si>
  <si>
    <t>206057_x_at</t>
  </si>
  <si>
    <t>SPN</t>
  </si>
  <si>
    <t>210200_at</t>
  </si>
  <si>
    <t>WWP2</t>
  </si>
  <si>
    <t>212559_at</t>
  </si>
  <si>
    <t>PRKAR1B</t>
  </si>
  <si>
    <t>213063_at</t>
  </si>
  <si>
    <t>213613_s_at</t>
  </si>
  <si>
    <t>NADK</t>
  </si>
  <si>
    <t>207776_s_at</t>
  </si>
  <si>
    <t>CACNB2</t>
  </si>
  <si>
    <t>218797_s_at</t>
  </si>
  <si>
    <t>SIRT7</t>
  </si>
  <si>
    <t>200078_s_at</t>
  </si>
  <si>
    <t>ATP6V0B</t>
  </si>
  <si>
    <t>221674_s_at</t>
  </si>
  <si>
    <t>CHRD</t>
  </si>
  <si>
    <t>222089_s_at</t>
  </si>
  <si>
    <t>C16orf71</t>
  </si>
  <si>
    <t>203372_s_at</t>
  </si>
  <si>
    <t>205328_at</t>
  </si>
  <si>
    <t>CLDN10</t>
  </si>
  <si>
    <t>212870_at</t>
  </si>
  <si>
    <t>SOS2</t>
  </si>
  <si>
    <t>220956_s_at</t>
  </si>
  <si>
    <t>EGLN2</t>
  </si>
  <si>
    <t>203560_at</t>
  </si>
  <si>
    <t>GGH</t>
  </si>
  <si>
    <t>201320_at</t>
  </si>
  <si>
    <t>SMARCC2</t>
  </si>
  <si>
    <t>220517_at</t>
  </si>
  <si>
    <t>VPS13C</t>
  </si>
  <si>
    <t>203794_at</t>
  </si>
  <si>
    <t>CDC42BPA</t>
  </si>
  <si>
    <t>209880_s_at</t>
  </si>
  <si>
    <t>SELPLG</t>
  </si>
  <si>
    <t>206410_at</t>
  </si>
  <si>
    <t>NR0B2</t>
  </si>
  <si>
    <t>206993_at</t>
  </si>
  <si>
    <t>209511_at</t>
  </si>
  <si>
    <t>POLR2F</t>
  </si>
  <si>
    <t>201606_s_at</t>
  </si>
  <si>
    <t>211398_at</t>
  </si>
  <si>
    <t>219395_at</t>
  </si>
  <si>
    <t>ESRP2</t>
  </si>
  <si>
    <t>219832_s_at</t>
  </si>
  <si>
    <t>HOXC13</t>
  </si>
  <si>
    <t>41577_at</t>
  </si>
  <si>
    <t>44111_at</t>
  </si>
  <si>
    <t>202368_s_at</t>
  </si>
  <si>
    <t>TRAM2</t>
  </si>
  <si>
    <t>206327_s_at</t>
  </si>
  <si>
    <t>CDH15</t>
  </si>
  <si>
    <t>208744_x_at</t>
  </si>
  <si>
    <t>HSPH1</t>
  </si>
  <si>
    <t>209324_s_at</t>
  </si>
  <si>
    <t>RGS16</t>
  </si>
  <si>
    <t>204229_at</t>
  </si>
  <si>
    <t>SLC17A7</t>
  </si>
  <si>
    <t>202257_s_at</t>
  </si>
  <si>
    <t>208159_x_at</t>
  </si>
  <si>
    <t>DDX11</t>
  </si>
  <si>
    <t>208349_at</t>
  </si>
  <si>
    <t>TRPA1</t>
  </si>
  <si>
    <t>214579_at</t>
  </si>
  <si>
    <t>NIPAL3</t>
  </si>
  <si>
    <t>632_at</t>
  </si>
  <si>
    <t>201400_at</t>
  </si>
  <si>
    <t>PSMB3</t>
  </si>
  <si>
    <t>203911_at</t>
  </si>
  <si>
    <t>205975_s_at</t>
  </si>
  <si>
    <t>HOXD1</t>
  </si>
  <si>
    <t>212632_at</t>
  </si>
  <si>
    <t>219016_at</t>
  </si>
  <si>
    <t>FASTKD5</t>
  </si>
  <si>
    <t>219176_at</t>
  </si>
  <si>
    <t>C2orf47</t>
  </si>
  <si>
    <t>220538_at</t>
  </si>
  <si>
    <t>ADM2</t>
  </si>
  <si>
    <t>221891_x_at</t>
  </si>
  <si>
    <t>HSPA8</t>
  </si>
  <si>
    <t>202602_s_at</t>
  </si>
  <si>
    <t>HTATSF1</t>
  </si>
  <si>
    <t>219085_s_at</t>
  </si>
  <si>
    <t>GEMIN7</t>
  </si>
  <si>
    <t>217985_s_at</t>
  </si>
  <si>
    <t>BAZ1A</t>
  </si>
  <si>
    <t>209155_s_at</t>
  </si>
  <si>
    <t>NT5C2</t>
  </si>
  <si>
    <t>219924_s_at</t>
  </si>
  <si>
    <t>207159_x_at</t>
  </si>
  <si>
    <t>204165_at</t>
  </si>
  <si>
    <t>WASF1</t>
  </si>
  <si>
    <t>212262_at</t>
  </si>
  <si>
    <t>202680_at</t>
  </si>
  <si>
    <t>GTF2E2</t>
  </si>
  <si>
    <t>201730_s_at</t>
  </si>
  <si>
    <t>202030_at</t>
  </si>
  <si>
    <t>BCKDK</t>
  </si>
  <si>
    <t>202392_s_at</t>
  </si>
  <si>
    <t>C22orf30 /// PISD</t>
  </si>
  <si>
    <t>205264_at</t>
  </si>
  <si>
    <t>CD3EAP</t>
  </si>
  <si>
    <t>210185_at</t>
  </si>
  <si>
    <t>218484_at</t>
  </si>
  <si>
    <t>NDUFA4L2</t>
  </si>
  <si>
    <t>218837_s_at</t>
  </si>
  <si>
    <t>UBE2D4</t>
  </si>
  <si>
    <t>218363_at</t>
  </si>
  <si>
    <t>EXD2</t>
  </si>
  <si>
    <t>204820_s_at</t>
  </si>
  <si>
    <t>BTN3A2 /// BTN3A3</t>
  </si>
  <si>
    <t>216924_s_at</t>
  </si>
  <si>
    <t>DRD2</t>
  </si>
  <si>
    <t>213376_at</t>
  </si>
  <si>
    <t>ZBTB1</t>
  </si>
  <si>
    <t>219911_s_at</t>
  </si>
  <si>
    <t>SLCO4A1</t>
  </si>
  <si>
    <t>201666_at</t>
  </si>
  <si>
    <t>TIMP1</t>
  </si>
  <si>
    <t>204958_at</t>
  </si>
  <si>
    <t>PLK3</t>
  </si>
  <si>
    <t>205015_s_at</t>
  </si>
  <si>
    <t>TGFA</t>
  </si>
  <si>
    <t>213141_at</t>
  </si>
  <si>
    <t>PSKH1</t>
  </si>
  <si>
    <t>212047_s_at</t>
  </si>
  <si>
    <t>RNF167</t>
  </si>
  <si>
    <t>213693_s_at</t>
  </si>
  <si>
    <t>MUC1</t>
  </si>
  <si>
    <t>201599_at</t>
  </si>
  <si>
    <t>OAT</t>
  </si>
  <si>
    <t>203396_at</t>
  </si>
  <si>
    <t>PSMA4</t>
  </si>
  <si>
    <t>220632_s_at</t>
  </si>
  <si>
    <t>POMT2</t>
  </si>
  <si>
    <t>221968_s_at</t>
  </si>
  <si>
    <t>206146_s_at</t>
  </si>
  <si>
    <t>RHAG</t>
  </si>
  <si>
    <t>205042_at</t>
  </si>
  <si>
    <t>GNE</t>
  </si>
  <si>
    <t>220469_at</t>
  </si>
  <si>
    <t>COPE</t>
  </si>
  <si>
    <t>221265_s_at</t>
  </si>
  <si>
    <t>C15orf44</t>
  </si>
  <si>
    <t>211940_x_at</t>
  </si>
  <si>
    <t>214226_at</t>
  </si>
  <si>
    <t>POL3S</t>
  </si>
  <si>
    <t>202405_at</t>
  </si>
  <si>
    <t>TIAL1</t>
  </si>
  <si>
    <t>203006_at</t>
  </si>
  <si>
    <t>INPP5A</t>
  </si>
  <si>
    <t>203363_s_at</t>
  </si>
  <si>
    <t>203481_at</t>
  </si>
  <si>
    <t>FAM178A</t>
  </si>
  <si>
    <t>203988_s_at</t>
  </si>
  <si>
    <t>FUT8</t>
  </si>
  <si>
    <t>204900_x_at</t>
  </si>
  <si>
    <t>SAP30</t>
  </si>
  <si>
    <t>207030_s_at</t>
  </si>
  <si>
    <t>209514_s_at</t>
  </si>
  <si>
    <t>215711_s_at</t>
  </si>
  <si>
    <t>WEE1</t>
  </si>
  <si>
    <t>218951_s_at</t>
  </si>
  <si>
    <t>PLCXD1</t>
  </si>
  <si>
    <t>212242_at</t>
  </si>
  <si>
    <t>TUBA4A</t>
  </si>
  <si>
    <t>208954_s_at</t>
  </si>
  <si>
    <t>215222_x_at</t>
  </si>
  <si>
    <t>MACF1</t>
  </si>
  <si>
    <t>220598_at</t>
  </si>
  <si>
    <t>CARD14</t>
  </si>
  <si>
    <t>207873_x_at</t>
  </si>
  <si>
    <t>SEZ6L</t>
  </si>
  <si>
    <t>220423_at</t>
  </si>
  <si>
    <t>PLA2G2D</t>
  </si>
  <si>
    <t>203380_x_at</t>
  </si>
  <si>
    <t>SFRS5</t>
  </si>
  <si>
    <t>204735_at</t>
  </si>
  <si>
    <t>PDE4A</t>
  </si>
  <si>
    <t>214179_s_at</t>
  </si>
  <si>
    <t>NFE2L1</t>
  </si>
  <si>
    <t>221450_x_at</t>
  </si>
  <si>
    <t>PCDHB13</t>
  </si>
  <si>
    <t>209507_at</t>
  </si>
  <si>
    <t>RPA3</t>
  </si>
  <si>
    <t>221557_s_at</t>
  </si>
  <si>
    <t>202985_s_at</t>
  </si>
  <si>
    <t>219459_at</t>
  </si>
  <si>
    <t>POLR3B</t>
  </si>
  <si>
    <t>202243_s_at</t>
  </si>
  <si>
    <t>PSMB4</t>
  </si>
  <si>
    <t>214154_s_at</t>
  </si>
  <si>
    <t>PKP2</t>
  </si>
  <si>
    <t>217256_x_at</t>
  </si>
  <si>
    <t>202464_s_at</t>
  </si>
  <si>
    <t>PFKFB3</t>
  </si>
  <si>
    <t>200831_s_at</t>
  </si>
  <si>
    <t>SCD</t>
  </si>
  <si>
    <t>204970_s_at</t>
  </si>
  <si>
    <t>MAFG</t>
  </si>
  <si>
    <t>204125_at</t>
  </si>
  <si>
    <t>NDUFAF1</t>
  </si>
  <si>
    <t>222030_at</t>
  </si>
  <si>
    <t>SIVA1</t>
  </si>
  <si>
    <t>205210_at</t>
  </si>
  <si>
    <t>TGFBRAP1</t>
  </si>
  <si>
    <t>211715_s_at</t>
  </si>
  <si>
    <t>BDH1</t>
  </si>
  <si>
    <t>214990_at</t>
  </si>
  <si>
    <t>PIGO</t>
  </si>
  <si>
    <t>215346_at</t>
  </si>
  <si>
    <t>217087_at</t>
  </si>
  <si>
    <t>C1orf68</t>
  </si>
  <si>
    <t>209457_at</t>
  </si>
  <si>
    <t>DUSP5</t>
  </si>
  <si>
    <t>201536_at</t>
  </si>
  <si>
    <t>DUSP3</t>
  </si>
  <si>
    <t>200593_s_at</t>
  </si>
  <si>
    <t>HNRNPU</t>
  </si>
  <si>
    <t>201142_at</t>
  </si>
  <si>
    <t>204039_at</t>
  </si>
  <si>
    <t>CEBPA</t>
  </si>
  <si>
    <t>204633_s_at</t>
  </si>
  <si>
    <t>RPS6KA5</t>
  </si>
  <si>
    <t>206419_at</t>
  </si>
  <si>
    <t>RORC</t>
  </si>
  <si>
    <t>208095_s_at</t>
  </si>
  <si>
    <t>210620_s_at</t>
  </si>
  <si>
    <t>GTF3C2</t>
  </si>
  <si>
    <t>211807_x_at</t>
  </si>
  <si>
    <t>PCDHGB5</t>
  </si>
  <si>
    <t>212613_at</t>
  </si>
  <si>
    <t>212661_x_at</t>
  </si>
  <si>
    <t>218127_at</t>
  </si>
  <si>
    <t>NFYB</t>
  </si>
  <si>
    <t>204391_x_at</t>
  </si>
  <si>
    <t>202613_at</t>
  </si>
  <si>
    <t>CTPS</t>
  </si>
  <si>
    <t>217990_at</t>
  </si>
  <si>
    <t>GMPR2</t>
  </si>
  <si>
    <t>34206_at</t>
  </si>
  <si>
    <t>202461_at</t>
  </si>
  <si>
    <t>EIF2B2</t>
  </si>
  <si>
    <t>206788_s_at</t>
  </si>
  <si>
    <t>207449_s_at</t>
  </si>
  <si>
    <t>POFUT2</t>
  </si>
  <si>
    <t>208676_s_at</t>
  </si>
  <si>
    <t>PA2G4</t>
  </si>
  <si>
    <t>213344_s_at</t>
  </si>
  <si>
    <t>H2AFX</t>
  </si>
  <si>
    <t>219074_at</t>
  </si>
  <si>
    <t>TMEM184C</t>
  </si>
  <si>
    <t>220185_at</t>
  </si>
  <si>
    <t>SPTBN4</t>
  </si>
  <si>
    <t>201336_at</t>
  </si>
  <si>
    <t>VAMP3</t>
  </si>
  <si>
    <t>208691_at</t>
  </si>
  <si>
    <t>213192_at</t>
  </si>
  <si>
    <t>THAP3</t>
  </si>
  <si>
    <t>215358_x_at</t>
  </si>
  <si>
    <t>ZNF37B</t>
  </si>
  <si>
    <t>219385_at</t>
  </si>
  <si>
    <t>SLAMF8</t>
  </si>
  <si>
    <t>203425_s_at</t>
  </si>
  <si>
    <t>IGFBP5</t>
  </si>
  <si>
    <t>202029_x_at</t>
  </si>
  <si>
    <t>201158_at</t>
  </si>
  <si>
    <t>NMT1</t>
  </si>
  <si>
    <t>218678_at</t>
  </si>
  <si>
    <t>NES</t>
  </si>
  <si>
    <t>214790_at</t>
  </si>
  <si>
    <t>SENP6</t>
  </si>
  <si>
    <t>207926_at</t>
  </si>
  <si>
    <t>GP5</t>
  </si>
  <si>
    <t>204693_at</t>
  </si>
  <si>
    <t>CDC42EP1</t>
  </si>
  <si>
    <t>212367_at</t>
  </si>
  <si>
    <t>FEM1B</t>
  </si>
  <si>
    <t>219536_s_at</t>
  </si>
  <si>
    <t>ZFP64</t>
  </si>
  <si>
    <t>212960_at</t>
  </si>
  <si>
    <t>216842_x_at</t>
  </si>
  <si>
    <t>RBM /// RBMY1A1 /// RBMY1B /// RBMY1D /// RBMY1E /// RBMY1F /// RBMY1J</t>
  </si>
  <si>
    <t>34689_at</t>
  </si>
  <si>
    <t>TREX1</t>
  </si>
  <si>
    <t>212439_at</t>
  </si>
  <si>
    <t>IP6K1</t>
  </si>
  <si>
    <t>219811_at</t>
  </si>
  <si>
    <t>DGCR8</t>
  </si>
  <si>
    <t>208883_at</t>
  </si>
  <si>
    <t>UBR5</t>
  </si>
  <si>
    <t>214894_x_at</t>
  </si>
  <si>
    <t>216526_x_at</t>
  </si>
  <si>
    <t>HLA-C</t>
  </si>
  <si>
    <t>204136_at</t>
  </si>
  <si>
    <t>COL7A1</t>
  </si>
  <si>
    <t>204650_s_at</t>
  </si>
  <si>
    <t>APBB3</t>
  </si>
  <si>
    <t>217656_at</t>
  </si>
  <si>
    <t>221991_at</t>
  </si>
  <si>
    <t>NXPH3</t>
  </si>
  <si>
    <t>205276_s_at</t>
  </si>
  <si>
    <t>205998_x_at</t>
  </si>
  <si>
    <t>CYP3A4</t>
  </si>
  <si>
    <t>207330_at</t>
  </si>
  <si>
    <t>PZP</t>
  </si>
  <si>
    <t>218408_at</t>
  </si>
  <si>
    <t>TIMM10</t>
  </si>
  <si>
    <t>200829_x_at</t>
  </si>
  <si>
    <t>ZNF207</t>
  </si>
  <si>
    <t>201705_at</t>
  </si>
  <si>
    <t>PSMD7</t>
  </si>
  <si>
    <t>203415_at</t>
  </si>
  <si>
    <t>207474_at</t>
  </si>
  <si>
    <t>207996_s_at</t>
  </si>
  <si>
    <t>208307_at</t>
  </si>
  <si>
    <t>RBMY1A1 /// RBMY1B /// RBMY1D /// RBMY1E /// RBMY1F /// RBMY1J</t>
  </si>
  <si>
    <t>213389_at</t>
  </si>
  <si>
    <t>ZNF592</t>
  </si>
  <si>
    <t>213512_at</t>
  </si>
  <si>
    <t>C14orf79</t>
  </si>
  <si>
    <t>214780_s_at</t>
  </si>
  <si>
    <t>MYO9B</t>
  </si>
  <si>
    <t>214813_at</t>
  </si>
  <si>
    <t>217950_at</t>
  </si>
  <si>
    <t>NOSIP</t>
  </si>
  <si>
    <t>217957_at</t>
  </si>
  <si>
    <t>C16orf80</t>
  </si>
  <si>
    <t>218313_s_at</t>
  </si>
  <si>
    <t>GALNT7</t>
  </si>
  <si>
    <t>218401_s_at</t>
  </si>
  <si>
    <t>ZNF281</t>
  </si>
  <si>
    <t>220952_s_at</t>
  </si>
  <si>
    <t>PLEKHA5</t>
  </si>
  <si>
    <t>221125_s_at</t>
  </si>
  <si>
    <t>KCNMB3</t>
  </si>
  <si>
    <t>200033_at</t>
  </si>
  <si>
    <t>DDX5</t>
  </si>
  <si>
    <t>203666_at</t>
  </si>
  <si>
    <t>CXCL12</t>
  </si>
  <si>
    <t>220101_x_at</t>
  </si>
  <si>
    <t>205273_s_at</t>
  </si>
  <si>
    <t>PITRM1</t>
  </si>
  <si>
    <t>202594_at</t>
  </si>
  <si>
    <t>LEPROTL1</t>
  </si>
  <si>
    <t>206259_at</t>
  </si>
  <si>
    <t>PROC</t>
  </si>
  <si>
    <t>208740_at</t>
  </si>
  <si>
    <t>SAP18</t>
  </si>
  <si>
    <t>214016_s_at</t>
  </si>
  <si>
    <t>202033_s_at</t>
  </si>
  <si>
    <t>RB1CC1</t>
  </si>
  <si>
    <t>202943_s_at</t>
  </si>
  <si>
    <t>NAGA</t>
  </si>
  <si>
    <t>206137_at</t>
  </si>
  <si>
    <t>RIMS2</t>
  </si>
  <si>
    <t>206362_x_at</t>
  </si>
  <si>
    <t>MAP3K10</t>
  </si>
  <si>
    <t>208705_s_at</t>
  </si>
  <si>
    <t>EIF5</t>
  </si>
  <si>
    <t>210402_at</t>
  </si>
  <si>
    <t>214076_at</t>
  </si>
  <si>
    <t>GFOD2</t>
  </si>
  <si>
    <t>217731_s_at</t>
  </si>
  <si>
    <t>ITM2B</t>
  </si>
  <si>
    <t>221847_at</t>
  </si>
  <si>
    <t>LOC100129361</t>
  </si>
  <si>
    <t>214783_s_at</t>
  </si>
  <si>
    <t>ANXA11</t>
  </si>
  <si>
    <t>218203_at</t>
  </si>
  <si>
    <t>ALG5</t>
  </si>
  <si>
    <t>205720_at</t>
  </si>
  <si>
    <t>POMC</t>
  </si>
  <si>
    <t>37232_at</t>
  </si>
  <si>
    <t>KIAA0586</t>
  </si>
  <si>
    <t>209746_s_at</t>
  </si>
  <si>
    <t>COQ7</t>
  </si>
  <si>
    <t>215737_x_at</t>
  </si>
  <si>
    <t>215640_at</t>
  </si>
  <si>
    <t>TBC1D2B</t>
  </si>
  <si>
    <t>202484_s_at</t>
  </si>
  <si>
    <t>MBD2</t>
  </si>
  <si>
    <t>209394_at</t>
  </si>
  <si>
    <t>208602_x_at</t>
  </si>
  <si>
    <t>CD6</t>
  </si>
  <si>
    <t>208833_s_at</t>
  </si>
  <si>
    <t>ATXN10</t>
  </si>
  <si>
    <t>212611_at</t>
  </si>
  <si>
    <t>DTX4</t>
  </si>
  <si>
    <t>215855_s_at</t>
  </si>
  <si>
    <t>219089_s_at</t>
  </si>
  <si>
    <t>ZNF576</t>
  </si>
  <si>
    <t>221190_s_at</t>
  </si>
  <si>
    <t>C18orf8</t>
  </si>
  <si>
    <t>202919_at</t>
  </si>
  <si>
    <t>211641_x_at</t>
  </si>
  <si>
    <t>IGH@ /// IGHA1 /// IGHA2 /// IGHD /// IGHG1 /// IGHG3 /// IGHM /// IGHV3-23 /// IGHV4-31 /// LOC1001</t>
  </si>
  <si>
    <t>209682_at</t>
  </si>
  <si>
    <t>CBLB</t>
  </si>
  <si>
    <t>212677_s_at</t>
  </si>
  <si>
    <t>219182_at</t>
  </si>
  <si>
    <t>FLJ22167</t>
  </si>
  <si>
    <t>221452_s_at</t>
  </si>
  <si>
    <t>TMEM14B</t>
  </si>
  <si>
    <t>201380_at</t>
  </si>
  <si>
    <t>CRTAP</t>
  </si>
  <si>
    <t>201974_s_at</t>
  </si>
  <si>
    <t>C7orf28A</t>
  </si>
  <si>
    <t>205159_at</t>
  </si>
  <si>
    <t>CSF2RB</t>
  </si>
  <si>
    <t>212317_at</t>
  </si>
  <si>
    <t>217986_s_at</t>
  </si>
  <si>
    <t>208706_s_at</t>
  </si>
  <si>
    <t>215725_at</t>
  </si>
  <si>
    <t>DGCR11</t>
  </si>
  <si>
    <t>214279_s_at</t>
  </si>
  <si>
    <t>NDRG2</t>
  </si>
  <si>
    <t>216952_s_at</t>
  </si>
  <si>
    <t>LMNB2</t>
  </si>
  <si>
    <t>201282_at</t>
  </si>
  <si>
    <t>OGDH</t>
  </si>
  <si>
    <t>220036_s_at</t>
  </si>
  <si>
    <t>LMBR1L</t>
  </si>
  <si>
    <t>203820_s_at</t>
  </si>
  <si>
    <t>203237_s_at</t>
  </si>
  <si>
    <t>216993_s_at</t>
  </si>
  <si>
    <t>COL11A2</t>
  </si>
  <si>
    <t>209336_at</t>
  </si>
  <si>
    <t>PWP2</t>
  </si>
  <si>
    <t>220157_x_at</t>
  </si>
  <si>
    <t>PLEKHA8 /// PLEKHA9</t>
  </si>
  <si>
    <t>214986_x_at</t>
  </si>
  <si>
    <t>202356_s_at</t>
  </si>
  <si>
    <t>GTF2F1</t>
  </si>
  <si>
    <t>212204_at</t>
  </si>
  <si>
    <t>39763_at</t>
  </si>
  <si>
    <t>HPX</t>
  </si>
  <si>
    <t>44563_at</t>
  </si>
  <si>
    <t>201231_s_at</t>
  </si>
  <si>
    <t>ENO1</t>
  </si>
  <si>
    <t>201501_s_at</t>
  </si>
  <si>
    <t>GRSF1</t>
  </si>
  <si>
    <t>203633_at</t>
  </si>
  <si>
    <t>CPT1A</t>
  </si>
  <si>
    <t>213022_s_at</t>
  </si>
  <si>
    <t>UTRN</t>
  </si>
  <si>
    <t>213742_at</t>
  </si>
  <si>
    <t>215264_at</t>
  </si>
  <si>
    <t>216760_at</t>
  </si>
  <si>
    <t>HRASLS2</t>
  </si>
  <si>
    <t>207767_s_at</t>
  </si>
  <si>
    <t>EGR4</t>
  </si>
  <si>
    <t>204132_s_at</t>
  </si>
  <si>
    <t>FOXO3 /// FOXO3B</t>
  </si>
  <si>
    <t>47571_at</t>
  </si>
  <si>
    <t>ZNF236</t>
  </si>
  <si>
    <t>219897_at</t>
  </si>
  <si>
    <t>RNF122</t>
  </si>
  <si>
    <t>206688_s_at</t>
  </si>
  <si>
    <t>CPSF4</t>
  </si>
  <si>
    <t>202776_at</t>
  </si>
  <si>
    <t>DNTTIP2</t>
  </si>
  <si>
    <t>206938_at</t>
  </si>
  <si>
    <t>SRD5A2</t>
  </si>
  <si>
    <t>219482_at</t>
  </si>
  <si>
    <t>204046_at</t>
  </si>
  <si>
    <t>PLCB2</t>
  </si>
  <si>
    <t>215566_x_at</t>
  </si>
  <si>
    <t>LYPLA2</t>
  </si>
  <si>
    <t>216479_at</t>
  </si>
  <si>
    <t>RPL21 /// RPL21P19 /// RPL21P28</t>
  </si>
  <si>
    <t>218065_s_at</t>
  </si>
  <si>
    <t>TMEM9B</t>
  </si>
  <si>
    <t>200655_s_at</t>
  </si>
  <si>
    <t>201241_at</t>
  </si>
  <si>
    <t>DDX1</t>
  </si>
  <si>
    <t>203694_s_at</t>
  </si>
  <si>
    <t>DHX16</t>
  </si>
  <si>
    <t>204902_s_at</t>
  </si>
  <si>
    <t>ATG4B</t>
  </si>
  <si>
    <t>214368_at</t>
  </si>
  <si>
    <t>RASGRP2</t>
  </si>
  <si>
    <t>201946_s_at</t>
  </si>
  <si>
    <t>201349_at</t>
  </si>
  <si>
    <t>SLC9A3R1</t>
  </si>
  <si>
    <t>201887_at</t>
  </si>
  <si>
    <t>IL13RA1</t>
  </si>
  <si>
    <t>216611_s_at</t>
  </si>
  <si>
    <t>SLC6A2</t>
  </si>
  <si>
    <t>202794_at</t>
  </si>
  <si>
    <t>INPP1</t>
  </si>
  <si>
    <t>204568_at</t>
  </si>
  <si>
    <t>KIAA0831</t>
  </si>
  <si>
    <t>214300_s_at</t>
  </si>
  <si>
    <t>TOP3A</t>
  </si>
  <si>
    <t>211874_s_at</t>
  </si>
  <si>
    <t>212851_at</t>
  </si>
  <si>
    <t>206016_at</t>
  </si>
  <si>
    <t>CCDC22</t>
  </si>
  <si>
    <t>208357_x_at</t>
  </si>
  <si>
    <t>CSH1</t>
  </si>
  <si>
    <t>203569_s_at</t>
  </si>
  <si>
    <t>OFD1</t>
  </si>
  <si>
    <t>209752_at</t>
  </si>
  <si>
    <t>REG1A</t>
  </si>
  <si>
    <t>209325_s_at</t>
  </si>
  <si>
    <t>216102_at</t>
  </si>
  <si>
    <t>PHLDB1</t>
  </si>
  <si>
    <t>207366_at</t>
  </si>
  <si>
    <t>KCNS1</t>
  </si>
  <si>
    <t>206646_at</t>
  </si>
  <si>
    <t>GLI1</t>
  </si>
  <si>
    <t>206070_s_at</t>
  </si>
  <si>
    <t>EPHA3</t>
  </si>
  <si>
    <t>206894_at</t>
  </si>
  <si>
    <t>APOA4</t>
  </si>
  <si>
    <t>215705_at</t>
  </si>
  <si>
    <t>PPP5C</t>
  </si>
  <si>
    <t>216107_at</t>
  </si>
  <si>
    <t>LOC100129503</t>
  </si>
  <si>
    <t>60084_at</t>
  </si>
  <si>
    <t>207629_s_at</t>
  </si>
  <si>
    <t>213896_x_at</t>
  </si>
  <si>
    <t>220369_at</t>
  </si>
  <si>
    <t>SMEK1</t>
  </si>
  <si>
    <t>202031_s_at</t>
  </si>
  <si>
    <t>WIPI2</t>
  </si>
  <si>
    <t>202969_at</t>
  </si>
  <si>
    <t>208003_s_at</t>
  </si>
  <si>
    <t>209569_x_at</t>
  </si>
  <si>
    <t>D4S234E</t>
  </si>
  <si>
    <t>217956_s_at</t>
  </si>
  <si>
    <t>ENOPH1</t>
  </si>
  <si>
    <t>217727_x_at</t>
  </si>
  <si>
    <t>VPS35</t>
  </si>
  <si>
    <t>211040_x_at</t>
  </si>
  <si>
    <t>GTSE1</t>
  </si>
  <si>
    <t>211817_s_at</t>
  </si>
  <si>
    <t>221513_s_at</t>
  </si>
  <si>
    <t>UTP14A /// UTP14C</t>
  </si>
  <si>
    <t>205176_s_at</t>
  </si>
  <si>
    <t>ITGB3BP</t>
  </si>
  <si>
    <t>218158_s_at</t>
  </si>
  <si>
    <t>APPL1</t>
  </si>
  <si>
    <t>214237_x_at</t>
  </si>
  <si>
    <t>PAWR</t>
  </si>
  <si>
    <t>220801_s_at</t>
  </si>
  <si>
    <t>HAO2</t>
  </si>
  <si>
    <t>205507_at</t>
  </si>
  <si>
    <t>ARHGEF15</t>
  </si>
  <si>
    <t>206302_s_at</t>
  </si>
  <si>
    <t>NUDT4 /// NUDT4P1</t>
  </si>
  <si>
    <t>216705_s_at</t>
  </si>
  <si>
    <t>219065_s_at</t>
  </si>
  <si>
    <t>DPY30 /// MEMO1</t>
  </si>
  <si>
    <t>215023_s_at</t>
  </si>
  <si>
    <t>PEX1</t>
  </si>
  <si>
    <t>200783_s_at</t>
  </si>
  <si>
    <t>205981_s_at</t>
  </si>
  <si>
    <t>ING2</t>
  </si>
  <si>
    <t>212251_at</t>
  </si>
  <si>
    <t>215226_at</t>
  </si>
  <si>
    <t>EXPH5</t>
  </si>
  <si>
    <t>217871_s_at</t>
  </si>
  <si>
    <t>MIF</t>
  </si>
  <si>
    <t>200819_s_at</t>
  </si>
  <si>
    <t>RPS15</t>
  </si>
  <si>
    <t>207719_x_at</t>
  </si>
  <si>
    <t>214828_s_at</t>
  </si>
  <si>
    <t>RRP7A /// RRP7B</t>
  </si>
  <si>
    <t>214931_s_at</t>
  </si>
  <si>
    <t>SRPK2</t>
  </si>
  <si>
    <t>214574_x_at</t>
  </si>
  <si>
    <t>209484_s_at</t>
  </si>
  <si>
    <t>NSL1</t>
  </si>
  <si>
    <t>208498_s_at</t>
  </si>
  <si>
    <t>AMY1A /// AMY1B /// AMY1C /// AMY2A /// AMY2B</t>
  </si>
  <si>
    <t>218232_at</t>
  </si>
  <si>
    <t>C1QA</t>
  </si>
  <si>
    <t>218821_at</t>
  </si>
  <si>
    <t>NPEPL1</t>
  </si>
  <si>
    <t>201877_s_at</t>
  </si>
  <si>
    <t>PPP2R5C</t>
  </si>
  <si>
    <t>204144_s_at</t>
  </si>
  <si>
    <t>PIGQ</t>
  </si>
  <si>
    <t>209416_s_at</t>
  </si>
  <si>
    <t>FZR1</t>
  </si>
  <si>
    <t>200009_at</t>
  </si>
  <si>
    <t>GDI2</t>
  </si>
  <si>
    <t>203201_at</t>
  </si>
  <si>
    <t>PMM2</t>
  </si>
  <si>
    <t>205414_s_at</t>
  </si>
  <si>
    <t>RICH2</t>
  </si>
  <si>
    <t>203817_at</t>
  </si>
  <si>
    <t>GUCY1B3</t>
  </si>
  <si>
    <t>212491_s_at</t>
  </si>
  <si>
    <t>DNAJC8</t>
  </si>
  <si>
    <t>220963_s_at</t>
  </si>
  <si>
    <t>C1orf89</t>
  </si>
  <si>
    <t>207812_s_at</t>
  </si>
  <si>
    <t>221188_s_at</t>
  </si>
  <si>
    <t>CIDEB</t>
  </si>
  <si>
    <t>201973_s_at</t>
  </si>
  <si>
    <t>C7orf28A /// C7orf28B /// LOC100133775</t>
  </si>
  <si>
    <t>213952_s_at</t>
  </si>
  <si>
    <t>209399_at</t>
  </si>
  <si>
    <t>HLCS</t>
  </si>
  <si>
    <t>204915_s_at</t>
  </si>
  <si>
    <t>203334_at</t>
  </si>
  <si>
    <t>DHX8</t>
  </si>
  <si>
    <t>203543_s_at</t>
  </si>
  <si>
    <t>KLF9</t>
  </si>
  <si>
    <t>204425_at</t>
  </si>
  <si>
    <t>ARHGAP4</t>
  </si>
  <si>
    <t>207634_at</t>
  </si>
  <si>
    <t>PDCD1</t>
  </si>
  <si>
    <t>209084_s_at</t>
  </si>
  <si>
    <t>RAB28</t>
  </si>
  <si>
    <t>218770_s_at</t>
  </si>
  <si>
    <t>TMEM39B</t>
  </si>
  <si>
    <t>202241_at</t>
  </si>
  <si>
    <t>TRIB1</t>
  </si>
  <si>
    <t>221175_at</t>
  </si>
  <si>
    <t>C3orf36</t>
  </si>
  <si>
    <t>202852_s_at</t>
  </si>
  <si>
    <t>AAGAB</t>
  </si>
  <si>
    <t>209935_at</t>
  </si>
  <si>
    <t>202087_s_at</t>
  </si>
  <si>
    <t>CTSL1</t>
  </si>
  <si>
    <t>201431_s_at</t>
  </si>
  <si>
    <t>DPYSL3</t>
  </si>
  <si>
    <t>202021_x_at</t>
  </si>
  <si>
    <t>212130_x_at</t>
  </si>
  <si>
    <t>210888_s_at</t>
  </si>
  <si>
    <t>ITIH1</t>
  </si>
  <si>
    <t>218304_s_at</t>
  </si>
  <si>
    <t>OSBPL11</t>
  </si>
  <si>
    <t>219024_at</t>
  </si>
  <si>
    <t>PLEKHA1</t>
  </si>
  <si>
    <t>202973_x_at</t>
  </si>
  <si>
    <t>FAM13A</t>
  </si>
  <si>
    <t>203714_s_at</t>
  </si>
  <si>
    <t>TBCE</t>
  </si>
  <si>
    <t>209318_x_at</t>
  </si>
  <si>
    <t>PLAGL1</t>
  </si>
  <si>
    <t>219978_s_at</t>
  </si>
  <si>
    <t>221260_s_at</t>
  </si>
  <si>
    <t>CSRNP2</t>
  </si>
  <si>
    <t>218539_at</t>
  </si>
  <si>
    <t>FBXO34</t>
  </si>
  <si>
    <t>200061_s_at</t>
  </si>
  <si>
    <t>RPS24</t>
  </si>
  <si>
    <t>201509_at</t>
  </si>
  <si>
    <t>202081_at</t>
  </si>
  <si>
    <t>IER2</t>
  </si>
  <si>
    <t>202422_s_at</t>
  </si>
  <si>
    <t>ACSL4</t>
  </si>
  <si>
    <t>203682_s_at</t>
  </si>
  <si>
    <t>204205_at</t>
  </si>
  <si>
    <t>APOBEC3G</t>
  </si>
  <si>
    <t>204242_s_at</t>
  </si>
  <si>
    <t>209077_at</t>
  </si>
  <si>
    <t>TXN2</t>
  </si>
  <si>
    <t>210948_s_at</t>
  </si>
  <si>
    <t>211176_s_at</t>
  </si>
  <si>
    <t>PAX4</t>
  </si>
  <si>
    <t>212562_s_at</t>
  </si>
  <si>
    <t>CTSZ</t>
  </si>
  <si>
    <t>214674_at</t>
  </si>
  <si>
    <t>USP19</t>
  </si>
  <si>
    <t>218667_at</t>
  </si>
  <si>
    <t>PJA1</t>
  </si>
  <si>
    <t>220662_s_at</t>
  </si>
  <si>
    <t>HEYL</t>
  </si>
  <si>
    <t>203542_s_at</t>
  </si>
  <si>
    <t>202040_s_at</t>
  </si>
  <si>
    <t>KDM5A</t>
  </si>
  <si>
    <t>212280_x_at</t>
  </si>
  <si>
    <t>217516_x_at</t>
  </si>
  <si>
    <t>204416_x_at</t>
  </si>
  <si>
    <t>213253_at</t>
  </si>
  <si>
    <t>SMC2</t>
  </si>
  <si>
    <t>212360_at</t>
  </si>
  <si>
    <t>AMPD2</t>
  </si>
  <si>
    <t>221612_at</t>
  </si>
  <si>
    <t>LRTM1</t>
  </si>
  <si>
    <t>211635_x_at</t>
  </si>
  <si>
    <t>IGH@ /// IGHA1 /// IGHA2 /// IGHD /// IGHG1 /// IGHG3 /// IGHG4 /// IGHM /// IGHV4-31 /// LOC1001338</t>
  </si>
  <si>
    <t>212004_at</t>
  </si>
  <si>
    <t>C1orf144</t>
  </si>
  <si>
    <t>200727_s_at</t>
  </si>
  <si>
    <t>ACTR2</t>
  </si>
  <si>
    <t>214873_at</t>
  </si>
  <si>
    <t>LRP5L</t>
  </si>
  <si>
    <t>50376_at</t>
  </si>
  <si>
    <t>ZNF444</t>
  </si>
  <si>
    <t>206626_x_at</t>
  </si>
  <si>
    <t>SSX1</t>
  </si>
  <si>
    <t>215728_s_at</t>
  </si>
  <si>
    <t>216807_at</t>
  </si>
  <si>
    <t>KIAA1751</t>
  </si>
  <si>
    <t>218356_at</t>
  </si>
  <si>
    <t>FTSJ2</t>
  </si>
  <si>
    <t>211272_s_at</t>
  </si>
  <si>
    <t>DGKA</t>
  </si>
  <si>
    <t>46323_at</t>
  </si>
  <si>
    <t>CANT1</t>
  </si>
  <si>
    <t>214185_at</t>
  </si>
  <si>
    <t>KHDRBS1</t>
  </si>
  <si>
    <t>204644_at</t>
  </si>
  <si>
    <t>221965_at</t>
  </si>
  <si>
    <t>MPHOSPH9</t>
  </si>
  <si>
    <t>218640_s_at</t>
  </si>
  <si>
    <t>PLEKHF2</t>
  </si>
  <si>
    <t>201899_s_at</t>
  </si>
  <si>
    <t>UBE2A</t>
  </si>
  <si>
    <t>217393_x_at</t>
  </si>
  <si>
    <t>UBE2NL</t>
  </si>
  <si>
    <t>210367_s_at</t>
  </si>
  <si>
    <t>215230_x_at</t>
  </si>
  <si>
    <t>EIF3C</t>
  </si>
  <si>
    <t>202191_s_at</t>
  </si>
  <si>
    <t>202532_s_at</t>
  </si>
  <si>
    <t>206287_s_at</t>
  </si>
  <si>
    <t>ITIH4</t>
  </si>
  <si>
    <t>212017_at</t>
  </si>
  <si>
    <t>FAM168B</t>
  </si>
  <si>
    <t>212224_at</t>
  </si>
  <si>
    <t>ALDH1A1</t>
  </si>
  <si>
    <t>212532_s_at</t>
  </si>
  <si>
    <t>217395_at</t>
  </si>
  <si>
    <t>MT4</t>
  </si>
  <si>
    <t>220093_at</t>
  </si>
  <si>
    <t>ANTXR1</t>
  </si>
  <si>
    <t>212214_at</t>
  </si>
  <si>
    <t>37022_at</t>
  </si>
  <si>
    <t>PRELP</t>
  </si>
  <si>
    <t>221951_at</t>
  </si>
  <si>
    <t>TMEM80</t>
  </si>
  <si>
    <t>210226_at</t>
  </si>
  <si>
    <t>NR4A1</t>
  </si>
  <si>
    <t>200873_s_at</t>
  </si>
  <si>
    <t>CCT8</t>
  </si>
  <si>
    <t>201193_at</t>
  </si>
  <si>
    <t>IDH1</t>
  </si>
  <si>
    <t>201571_s_at</t>
  </si>
  <si>
    <t>220347_at</t>
  </si>
  <si>
    <t>SMG6</t>
  </si>
  <si>
    <t>206342_x_at</t>
  </si>
  <si>
    <t>203670_at</t>
  </si>
  <si>
    <t>TTLL3</t>
  </si>
  <si>
    <t>209011_at</t>
  </si>
  <si>
    <t>216888_at</t>
  </si>
  <si>
    <t>217883_at</t>
  </si>
  <si>
    <t>MMADHC</t>
  </si>
  <si>
    <t>202519_at</t>
  </si>
  <si>
    <t>MLXIP</t>
  </si>
  <si>
    <t>221479_s_at</t>
  </si>
  <si>
    <t>218168_s_at</t>
  </si>
  <si>
    <t>CABC1</t>
  </si>
  <si>
    <t>208535_x_at</t>
  </si>
  <si>
    <t>COL13A1</t>
  </si>
  <si>
    <t>203470_s_at</t>
  </si>
  <si>
    <t>221477_s_at</t>
  </si>
  <si>
    <t>SOD2</t>
  </si>
  <si>
    <t>218939_at</t>
  </si>
  <si>
    <t>209954_x_at</t>
  </si>
  <si>
    <t>SS18</t>
  </si>
  <si>
    <t>201195_s_at</t>
  </si>
  <si>
    <t>SLC7A5</t>
  </si>
  <si>
    <t>217946_s_at</t>
  </si>
  <si>
    <t>SAE1</t>
  </si>
  <si>
    <t>218959_at</t>
  </si>
  <si>
    <t>HOXC10</t>
  </si>
  <si>
    <t>202274_at</t>
  </si>
  <si>
    <t>ACTG2</t>
  </si>
  <si>
    <t>209979_at</t>
  </si>
  <si>
    <t>218637_at</t>
  </si>
  <si>
    <t>IMPACT</t>
  </si>
  <si>
    <t>204903_x_at</t>
  </si>
  <si>
    <t>210653_s_at</t>
  </si>
  <si>
    <t>BCKDHB</t>
  </si>
  <si>
    <t>205051_s_at</t>
  </si>
  <si>
    <t>KIT</t>
  </si>
  <si>
    <t>203428_s_at</t>
  </si>
  <si>
    <t>201287_s_at</t>
  </si>
  <si>
    <t>SDC1</t>
  </si>
  <si>
    <t>212175_s_at</t>
  </si>
  <si>
    <t>41856_at</t>
  </si>
  <si>
    <t>213269_at</t>
  </si>
  <si>
    <t>ZNF248</t>
  </si>
  <si>
    <t>212838_at</t>
  </si>
  <si>
    <t>DNMBP</t>
  </si>
  <si>
    <t>219389_at</t>
  </si>
  <si>
    <t>SUSD4</t>
  </si>
  <si>
    <t>222273_at</t>
  </si>
  <si>
    <t>PAPOLG</t>
  </si>
  <si>
    <t>209793_at</t>
  </si>
  <si>
    <t>GRIA1</t>
  </si>
  <si>
    <t>212349_at</t>
  </si>
  <si>
    <t>POFUT1</t>
  </si>
  <si>
    <t>213092_x_at</t>
  </si>
  <si>
    <t>DNAJC9</t>
  </si>
  <si>
    <t>204570_at</t>
  </si>
  <si>
    <t>COX7A1</t>
  </si>
  <si>
    <t>205105_at</t>
  </si>
  <si>
    <t>MAN2A1</t>
  </si>
  <si>
    <t>204004_at</t>
  </si>
  <si>
    <t>207067_s_at</t>
  </si>
  <si>
    <t>HDC</t>
  </si>
  <si>
    <t>202851_at</t>
  </si>
  <si>
    <t>212013_at</t>
  </si>
  <si>
    <t>213766_x_at</t>
  </si>
  <si>
    <t>218528_s_at</t>
  </si>
  <si>
    <t>RNF38</t>
  </si>
  <si>
    <t>202276_at</t>
  </si>
  <si>
    <t>SHFM1</t>
  </si>
  <si>
    <t>213250_at</t>
  </si>
  <si>
    <t>CCDC85B</t>
  </si>
  <si>
    <t>220605_s_at</t>
  </si>
  <si>
    <t>SIRT2</t>
  </si>
  <si>
    <t>212140_at</t>
  </si>
  <si>
    <t>PDS5A</t>
  </si>
  <si>
    <t>214083_at</t>
  </si>
  <si>
    <t>217410_at</t>
  </si>
  <si>
    <t>206207_at</t>
  </si>
  <si>
    <t>CLC</t>
  </si>
  <si>
    <t>63009_at</t>
  </si>
  <si>
    <t>201260_s_at</t>
  </si>
  <si>
    <t>SYPL1</t>
  </si>
  <si>
    <t>201557_at</t>
  </si>
  <si>
    <t>VAMP2</t>
  </si>
  <si>
    <t>202859_x_at</t>
  </si>
  <si>
    <t>IL8</t>
  </si>
  <si>
    <t>203506_s_at</t>
  </si>
  <si>
    <t>217035_at</t>
  </si>
  <si>
    <t>217260_x_at</t>
  </si>
  <si>
    <t>221163_s_at</t>
  </si>
  <si>
    <t>MLXIPL</t>
  </si>
  <si>
    <t>222304_x_at</t>
  </si>
  <si>
    <t>OR7E47P</t>
  </si>
  <si>
    <t>208896_at</t>
  </si>
  <si>
    <t>DDX18</t>
  </si>
  <si>
    <t>219096_at</t>
  </si>
  <si>
    <t>ARMC7</t>
  </si>
  <si>
    <t>217628_at</t>
  </si>
  <si>
    <t>220496_at</t>
  </si>
  <si>
    <t>CLEC1B</t>
  </si>
  <si>
    <t>220525_s_at</t>
  </si>
  <si>
    <t>AUP1</t>
  </si>
  <si>
    <t>219563_at</t>
  </si>
  <si>
    <t>C14orf139</t>
  </si>
  <si>
    <t>213464_at</t>
  </si>
  <si>
    <t>LOC100291393 /// SHC2</t>
  </si>
  <si>
    <t>201333_s_at</t>
  </si>
  <si>
    <t>203174_s_at</t>
  </si>
  <si>
    <t>ARFRP1</t>
  </si>
  <si>
    <t>200619_at</t>
  </si>
  <si>
    <t>SF3B2</t>
  </si>
  <si>
    <t>216311_at</t>
  </si>
  <si>
    <t>LOC728361</t>
  </si>
  <si>
    <t>35436_at</t>
  </si>
  <si>
    <t>205888_s_at</t>
  </si>
  <si>
    <t>JAKMIP2</t>
  </si>
  <si>
    <t>205982_x_at</t>
  </si>
  <si>
    <t>218421_at</t>
  </si>
  <si>
    <t>CERK</t>
  </si>
  <si>
    <t>215429_s_at</t>
  </si>
  <si>
    <t>ZNF428</t>
  </si>
  <si>
    <t>217952_x_at</t>
  </si>
  <si>
    <t>PHF3</t>
  </si>
  <si>
    <t>220126_at</t>
  </si>
  <si>
    <t>TSP50</t>
  </si>
  <si>
    <t>160020_at</t>
  </si>
  <si>
    <t>MMP14</t>
  </si>
  <si>
    <t>58308_at</t>
  </si>
  <si>
    <t>204605_at</t>
  </si>
  <si>
    <t>CGRRF1</t>
  </si>
  <si>
    <t>207269_at</t>
  </si>
  <si>
    <t>DEFA4</t>
  </si>
  <si>
    <t>217019_at</t>
  </si>
  <si>
    <t>RPS4P6 /// RPS4X</t>
  </si>
  <si>
    <t>218741_at</t>
  </si>
  <si>
    <t>CENPM</t>
  </si>
  <si>
    <t>213153_at</t>
  </si>
  <si>
    <t>SETD1B</t>
  </si>
  <si>
    <t>202120_x_at</t>
  </si>
  <si>
    <t>AP2S1</t>
  </si>
  <si>
    <t>204532_x_at</t>
  </si>
  <si>
    <t>UGT1A1 /// UGT1A10 /// UGT1A4 /// UGT1A6 /// UGT1A8 /// UGT1A9</t>
  </si>
  <si>
    <t>206739_at</t>
  </si>
  <si>
    <t>HOXC5</t>
  </si>
  <si>
    <t>207198_s_at</t>
  </si>
  <si>
    <t>LIMS1</t>
  </si>
  <si>
    <t>210692_s_at</t>
  </si>
  <si>
    <t>211456_x_at</t>
  </si>
  <si>
    <t>MT1P2</t>
  </si>
  <si>
    <t>211471_s_at</t>
  </si>
  <si>
    <t>RAB36</t>
  </si>
  <si>
    <t>213315_x_at</t>
  </si>
  <si>
    <t>CXorf40A</t>
  </si>
  <si>
    <t>214369_s_at</t>
  </si>
  <si>
    <t>215685_s_at</t>
  </si>
  <si>
    <t>DLX2</t>
  </si>
  <si>
    <t>222124_at</t>
  </si>
  <si>
    <t>HIF3A</t>
  </si>
  <si>
    <t>210011_s_at</t>
  </si>
  <si>
    <t>EWSR1</t>
  </si>
  <si>
    <t>219210_s_at</t>
  </si>
  <si>
    <t>RAB8B</t>
  </si>
  <si>
    <t>212250_at</t>
  </si>
  <si>
    <t>212188_at</t>
  </si>
  <si>
    <t>KCTD12</t>
  </si>
  <si>
    <t>220260_at</t>
  </si>
  <si>
    <t>TBC1D19</t>
  </si>
  <si>
    <t>210231_x_at</t>
  </si>
  <si>
    <t>213842_x_at</t>
  </si>
  <si>
    <t>NSUN5C</t>
  </si>
  <si>
    <t>212510_at</t>
  </si>
  <si>
    <t>GPD1L</t>
  </si>
  <si>
    <t>218426_s_at</t>
  </si>
  <si>
    <t>RNF216</t>
  </si>
  <si>
    <t>204997_at</t>
  </si>
  <si>
    <t>GPD1</t>
  </si>
  <si>
    <t>219966_x_at</t>
  </si>
  <si>
    <t>BANP</t>
  </si>
  <si>
    <t>210361_s_at</t>
  </si>
  <si>
    <t>ELF2</t>
  </si>
  <si>
    <t>217842_at</t>
  </si>
  <si>
    <t>201888_s_at</t>
  </si>
  <si>
    <t>219726_at</t>
  </si>
  <si>
    <t>NLGN3</t>
  </si>
  <si>
    <t>220454_s_at</t>
  </si>
  <si>
    <t>SEMA6A</t>
  </si>
  <si>
    <t>220248_x_at</t>
  </si>
  <si>
    <t>NSFL1C</t>
  </si>
  <si>
    <t>218490_s_at</t>
  </si>
  <si>
    <t>ZNF302</t>
  </si>
  <si>
    <t>218613_at</t>
  </si>
  <si>
    <t>206095_s_at</t>
  </si>
  <si>
    <t>33768_at</t>
  </si>
  <si>
    <t>DMWD</t>
  </si>
  <si>
    <t>202734_at</t>
  </si>
  <si>
    <t>TRIP10</t>
  </si>
  <si>
    <t>206328_at</t>
  </si>
  <si>
    <t>208779_x_at</t>
  </si>
  <si>
    <t>DDR1</t>
  </si>
  <si>
    <t>209991_x_at</t>
  </si>
  <si>
    <t>GABBR2</t>
  </si>
  <si>
    <t>213794_s_at</t>
  </si>
  <si>
    <t>NGDN</t>
  </si>
  <si>
    <t>215818_at</t>
  </si>
  <si>
    <t>NUDT7</t>
  </si>
  <si>
    <t>217370_x_at</t>
  </si>
  <si>
    <t>NR1H3</t>
  </si>
  <si>
    <t>211668_s_at</t>
  </si>
  <si>
    <t>PLAU</t>
  </si>
  <si>
    <t>220165_at</t>
  </si>
  <si>
    <t>INO80D</t>
  </si>
  <si>
    <t>91826_at</t>
  </si>
  <si>
    <t>211325_x_at</t>
  </si>
  <si>
    <t>LOC171220</t>
  </si>
  <si>
    <t>214568_at</t>
  </si>
  <si>
    <t>TPSD1</t>
  </si>
  <si>
    <t>218436_at</t>
  </si>
  <si>
    <t>SIL1</t>
  </si>
  <si>
    <t>202604_x_at</t>
  </si>
  <si>
    <t>ADAM10</t>
  </si>
  <si>
    <t>204499_at</t>
  </si>
  <si>
    <t>AGTPBP1</t>
  </si>
  <si>
    <t>215887_at</t>
  </si>
  <si>
    <t>ZNF277</t>
  </si>
  <si>
    <t>204683_at</t>
  </si>
  <si>
    <t>ICAM2</t>
  </si>
  <si>
    <t>208682_s_at</t>
  </si>
  <si>
    <t>MAGED2</t>
  </si>
  <si>
    <t>209870_s_at</t>
  </si>
  <si>
    <t>APBA2</t>
  </si>
  <si>
    <t>34260_at</t>
  </si>
  <si>
    <t>TELO2</t>
  </si>
  <si>
    <t>36566_at</t>
  </si>
  <si>
    <t>CTNS</t>
  </si>
  <si>
    <t>213815_x_at</t>
  </si>
  <si>
    <t>C19orf29</t>
  </si>
  <si>
    <t>214464_at</t>
  </si>
  <si>
    <t>216550_x_at</t>
  </si>
  <si>
    <t>ANKRD12</t>
  </si>
  <si>
    <t>218843_at</t>
  </si>
  <si>
    <t>FNDC4</t>
  </si>
  <si>
    <t>215980_s_at</t>
  </si>
  <si>
    <t>IGHMBP2</t>
  </si>
  <si>
    <t>221377_s_at</t>
  </si>
  <si>
    <t>RBPJL</t>
  </si>
  <si>
    <t>201476_s_at</t>
  </si>
  <si>
    <t>RRM1</t>
  </si>
  <si>
    <t>209080_x_at</t>
  </si>
  <si>
    <t>202879_s_at</t>
  </si>
  <si>
    <t>CYTH1</t>
  </si>
  <si>
    <t>219342_at</t>
  </si>
  <si>
    <t>CASD1</t>
  </si>
  <si>
    <t>201845_s_at</t>
  </si>
  <si>
    <t>202130_at</t>
  </si>
  <si>
    <t>209731_at</t>
  </si>
  <si>
    <t>NTHL1</t>
  </si>
  <si>
    <t>221274_s_at</t>
  </si>
  <si>
    <t>LMAN2L</t>
  </si>
  <si>
    <t>201607_at</t>
  </si>
  <si>
    <t>209730_at</t>
  </si>
  <si>
    <t>SEMA3F</t>
  </si>
  <si>
    <t>212876_at</t>
  </si>
  <si>
    <t>B4GALT4</t>
  </si>
  <si>
    <t>213629_x_at</t>
  </si>
  <si>
    <t>MT1F</t>
  </si>
  <si>
    <t>213729_at</t>
  </si>
  <si>
    <t>PRPF40A</t>
  </si>
  <si>
    <t>216647_at</t>
  </si>
  <si>
    <t>206001_at</t>
  </si>
  <si>
    <t>NPY</t>
  </si>
  <si>
    <t>205434_s_at</t>
  </si>
  <si>
    <t>207705_s_at</t>
  </si>
  <si>
    <t>NINL</t>
  </si>
  <si>
    <t>219307_at</t>
  </si>
  <si>
    <t>PDSS2</t>
  </si>
  <si>
    <t>203588_s_at</t>
  </si>
  <si>
    <t>TFDP2</t>
  </si>
  <si>
    <t>206998_x_at</t>
  </si>
  <si>
    <t>PRB3</t>
  </si>
  <si>
    <t>210269_s_at</t>
  </si>
  <si>
    <t>203221_at</t>
  </si>
  <si>
    <t>213633_at</t>
  </si>
  <si>
    <t>SH3BP1</t>
  </si>
  <si>
    <t>218614_at</t>
  </si>
  <si>
    <t>C12orf35</t>
  </si>
  <si>
    <t>210949_s_at</t>
  </si>
  <si>
    <t>205315_s_at</t>
  </si>
  <si>
    <t>SNTB2</t>
  </si>
  <si>
    <t>211593_s_at</t>
  </si>
  <si>
    <t>MAST2</t>
  </si>
  <si>
    <t>203690_at</t>
  </si>
  <si>
    <t>TUBGCP3</t>
  </si>
  <si>
    <t>212908_at</t>
  </si>
  <si>
    <t>DNAJC16</t>
  </si>
  <si>
    <t>220706_at</t>
  </si>
  <si>
    <t>ADAMTS7</t>
  </si>
  <si>
    <t>209475_at</t>
  </si>
  <si>
    <t>USP15</t>
  </si>
  <si>
    <t>208866_at</t>
  </si>
  <si>
    <t>CSNK1A1</t>
  </si>
  <si>
    <t>221537_at</t>
  </si>
  <si>
    <t>PLXNA1</t>
  </si>
  <si>
    <t>202643_s_at</t>
  </si>
  <si>
    <t>TNFAIP3</t>
  </si>
  <si>
    <t>202752_x_at</t>
  </si>
  <si>
    <t>SLC7A8</t>
  </si>
  <si>
    <t>209301_at</t>
  </si>
  <si>
    <t>CA2</t>
  </si>
  <si>
    <t>219408_at</t>
  </si>
  <si>
    <t>PRMT7</t>
  </si>
  <si>
    <t>219775_s_at</t>
  </si>
  <si>
    <t>CPLX3 /// LMAN1L</t>
  </si>
  <si>
    <t>219977_at</t>
  </si>
  <si>
    <t>AIPL1</t>
  </si>
  <si>
    <t>220896_at</t>
  </si>
  <si>
    <t>FBXL18</t>
  </si>
  <si>
    <t>208669_s_at</t>
  </si>
  <si>
    <t>216176_at</t>
  </si>
  <si>
    <t>HCRP1</t>
  </si>
  <si>
    <t>220151_at</t>
  </si>
  <si>
    <t>C19orf73</t>
  </si>
  <si>
    <t>212869_x_at</t>
  </si>
  <si>
    <t>203656_at</t>
  </si>
  <si>
    <t>FIG4</t>
  </si>
  <si>
    <t>212936_at</t>
  </si>
  <si>
    <t>FAM172A</t>
  </si>
  <si>
    <t>201685_s_at</t>
  </si>
  <si>
    <t>TOX4</t>
  </si>
  <si>
    <t>206141_at</t>
  </si>
  <si>
    <t>MOCS3</t>
  </si>
  <si>
    <t>208811_s_at</t>
  </si>
  <si>
    <t>212814_at</t>
  </si>
  <si>
    <t>AHCYL2</t>
  </si>
  <si>
    <t>215949_x_at</t>
  </si>
  <si>
    <t>IGHM /// LOC652494</t>
  </si>
  <si>
    <t>218563_at</t>
  </si>
  <si>
    <t>NDUFA3</t>
  </si>
  <si>
    <t>201001_s_at</t>
  </si>
  <si>
    <t>TMEM189-UBE2V1 /// UBE2V1</t>
  </si>
  <si>
    <t>218829_s_at</t>
  </si>
  <si>
    <t>CHD7</t>
  </si>
  <si>
    <t>206390_x_at</t>
  </si>
  <si>
    <t>PF4</t>
  </si>
  <si>
    <t>215104_at</t>
  </si>
  <si>
    <t>NRIP2</t>
  </si>
  <si>
    <t>219815_at</t>
  </si>
  <si>
    <t>GAL3ST4</t>
  </si>
  <si>
    <t>220499_at</t>
  </si>
  <si>
    <t>FNDC8</t>
  </si>
  <si>
    <t>209004_s_at</t>
  </si>
  <si>
    <t>FBXL5</t>
  </si>
  <si>
    <t>219740_at</t>
  </si>
  <si>
    <t>VASH2</t>
  </si>
  <si>
    <t>34846_at</t>
  </si>
  <si>
    <t>CAMK2B</t>
  </si>
  <si>
    <t>201472_at</t>
  </si>
  <si>
    <t>VBP1</t>
  </si>
  <si>
    <t>205073_at</t>
  </si>
  <si>
    <t>CYP2J2</t>
  </si>
  <si>
    <t>205179_s_at</t>
  </si>
  <si>
    <t>210883_x_at</t>
  </si>
  <si>
    <t>EFNB3</t>
  </si>
  <si>
    <t>211056_s_at</t>
  </si>
  <si>
    <t>212275_s_at</t>
  </si>
  <si>
    <t>215100_at</t>
  </si>
  <si>
    <t>C6orf105</t>
  </si>
  <si>
    <t>217939_s_at</t>
  </si>
  <si>
    <t>AFTPH</t>
  </si>
  <si>
    <t>221808_at</t>
  </si>
  <si>
    <t>RAB9A</t>
  </si>
  <si>
    <t>219326_s_at</t>
  </si>
  <si>
    <t>B3GNT2</t>
  </si>
  <si>
    <t>214553_s_at</t>
  </si>
  <si>
    <t>221864_at</t>
  </si>
  <si>
    <t>ORAI3</t>
  </si>
  <si>
    <t>202617_s_at</t>
  </si>
  <si>
    <t>MECP2</t>
  </si>
  <si>
    <t>220996_s_at</t>
  </si>
  <si>
    <t>C1orf14</t>
  </si>
  <si>
    <t>219007_at</t>
  </si>
  <si>
    <t>NUP43</t>
  </si>
  <si>
    <t>205081_at</t>
  </si>
  <si>
    <t>CRIP1</t>
  </si>
  <si>
    <t>212823_s_at</t>
  </si>
  <si>
    <t>PLEKHG3</t>
  </si>
  <si>
    <t>201672_s_at</t>
  </si>
  <si>
    <t>214538_x_at</t>
  </si>
  <si>
    <t>RGS6</t>
  </si>
  <si>
    <t>203916_at</t>
  </si>
  <si>
    <t>NDST2</t>
  </si>
  <si>
    <t>203410_at</t>
  </si>
  <si>
    <t>AP3M2</t>
  </si>
  <si>
    <t>203551_s_at</t>
  </si>
  <si>
    <t>210780_at</t>
  </si>
  <si>
    <t>218792_s_at</t>
  </si>
  <si>
    <t>BSPRY</t>
  </si>
  <si>
    <t>220262_s_at</t>
  </si>
  <si>
    <t>DLK2</t>
  </si>
  <si>
    <t>215688_at</t>
  </si>
  <si>
    <t>204692_at</t>
  </si>
  <si>
    <t>LRCH4</t>
  </si>
  <si>
    <t>206326_at</t>
  </si>
  <si>
    <t>GRP</t>
  </si>
  <si>
    <t>206913_at</t>
  </si>
  <si>
    <t>BAAT</t>
  </si>
  <si>
    <t>211652_s_at</t>
  </si>
  <si>
    <t>LBP</t>
  </si>
  <si>
    <t>208361_s_at</t>
  </si>
  <si>
    <t>POLR3D</t>
  </si>
  <si>
    <t>209930_s_at</t>
  </si>
  <si>
    <t>NFE2</t>
  </si>
  <si>
    <t>216289_at</t>
  </si>
  <si>
    <t>GPR144</t>
  </si>
  <si>
    <t>220808_at</t>
  </si>
  <si>
    <t>THEG</t>
  </si>
  <si>
    <t>213753_x_at</t>
  </si>
  <si>
    <t>EIF5A</t>
  </si>
  <si>
    <t>218491_s_at</t>
  </si>
  <si>
    <t>THYN1</t>
  </si>
  <si>
    <t>212666_at</t>
  </si>
  <si>
    <t>SMURF1</t>
  </si>
  <si>
    <t>219972_s_at</t>
  </si>
  <si>
    <t>C14orf135</t>
  </si>
  <si>
    <t>217885_at</t>
  </si>
  <si>
    <t>219553_at</t>
  </si>
  <si>
    <t>NME7</t>
  </si>
  <si>
    <t>217028_at</t>
  </si>
  <si>
    <t>212722_s_at</t>
  </si>
  <si>
    <t>213056_at</t>
  </si>
  <si>
    <t>FRMD4B</t>
  </si>
  <si>
    <t>214754_at</t>
  </si>
  <si>
    <t>TET3</t>
  </si>
  <si>
    <t>207317_s_at</t>
  </si>
  <si>
    <t>CASQ2</t>
  </si>
  <si>
    <t>209064_x_at</t>
  </si>
  <si>
    <t>PAIP1</t>
  </si>
  <si>
    <t>209279_s_at</t>
  </si>
  <si>
    <t>NSDHL</t>
  </si>
  <si>
    <t>206424_at</t>
  </si>
  <si>
    <t>CYP26A1</t>
  </si>
  <si>
    <t>205593_s_at</t>
  </si>
  <si>
    <t>PDE9A</t>
  </si>
  <si>
    <t>202229_s_at</t>
  </si>
  <si>
    <t>CHERP</t>
  </si>
  <si>
    <t>203338_at</t>
  </si>
  <si>
    <t>PPP2R5E</t>
  </si>
  <si>
    <t>205289_at</t>
  </si>
  <si>
    <t>209900_s_at</t>
  </si>
  <si>
    <t>SLC16A1</t>
  </si>
  <si>
    <t>211113_s_at</t>
  </si>
  <si>
    <t>ABCG1</t>
  </si>
  <si>
    <t>212484_at</t>
  </si>
  <si>
    <t>FAM89B</t>
  </si>
  <si>
    <t>204040_at</t>
  </si>
  <si>
    <t>RNF144A</t>
  </si>
  <si>
    <t>208933_s_at</t>
  </si>
  <si>
    <t>LGALS8</t>
  </si>
  <si>
    <t>209165_at</t>
  </si>
  <si>
    <t>AATF</t>
  </si>
  <si>
    <t>209625_at</t>
  </si>
  <si>
    <t>PIGH</t>
  </si>
  <si>
    <t>209973_at</t>
  </si>
  <si>
    <t>NFKBIL1</t>
  </si>
  <si>
    <t>217849_s_at</t>
  </si>
  <si>
    <t>CDC42BPB</t>
  </si>
  <si>
    <t>218956_s_at</t>
  </si>
  <si>
    <t>ATP5J2 /// PTCD1</t>
  </si>
  <si>
    <t>219484_at</t>
  </si>
  <si>
    <t>HCFC2</t>
  </si>
  <si>
    <t>222215_at</t>
  </si>
  <si>
    <t>216064_s_at</t>
  </si>
  <si>
    <t>210693_at</t>
  </si>
  <si>
    <t>SPPL2B</t>
  </si>
  <si>
    <t>203275_at</t>
  </si>
  <si>
    <t>IRF2</t>
  </si>
  <si>
    <t>212421_at</t>
  </si>
  <si>
    <t>219125_s_at</t>
  </si>
  <si>
    <t>RAG1AP1</t>
  </si>
  <si>
    <t>217928_s_at</t>
  </si>
  <si>
    <t>SAPS3</t>
  </si>
  <si>
    <t>201395_at</t>
  </si>
  <si>
    <t>RBM5</t>
  </si>
  <si>
    <t>222256_s_at</t>
  </si>
  <si>
    <t>JMJD7 /// JMJD7-PLA2G4B</t>
  </si>
  <si>
    <t>202731_at</t>
  </si>
  <si>
    <t>PDCD4</t>
  </si>
  <si>
    <t>220255_at</t>
  </si>
  <si>
    <t>FANCE</t>
  </si>
  <si>
    <t>217819_at</t>
  </si>
  <si>
    <t>GOLGA7</t>
  </si>
  <si>
    <t>218300_at</t>
  </si>
  <si>
    <t>C16orf53</t>
  </si>
  <si>
    <t>210460_s_at</t>
  </si>
  <si>
    <t>213428_s_at</t>
  </si>
  <si>
    <t>COL6A1</t>
  </si>
  <si>
    <t>215292_s_at</t>
  </si>
  <si>
    <t>219422_at</t>
  </si>
  <si>
    <t>ESPN</t>
  </si>
  <si>
    <t>219250_s_at</t>
  </si>
  <si>
    <t>FLRT3</t>
  </si>
  <si>
    <t>219526_at</t>
  </si>
  <si>
    <t>C14orf169</t>
  </si>
  <si>
    <t>31861_at</t>
  </si>
  <si>
    <t>203546_at</t>
  </si>
  <si>
    <t>IPO13</t>
  </si>
  <si>
    <t>205360_at</t>
  </si>
  <si>
    <t>PFDN4</t>
  </si>
  <si>
    <t>206981_at</t>
  </si>
  <si>
    <t>SCN4A</t>
  </si>
  <si>
    <t>207190_at</t>
  </si>
  <si>
    <t>ZZEF1</t>
  </si>
  <si>
    <t>210052_s_at</t>
  </si>
  <si>
    <t>TPX2</t>
  </si>
  <si>
    <t>210243_s_at</t>
  </si>
  <si>
    <t>B4GALT3</t>
  </si>
  <si>
    <t>212671_s_at</t>
  </si>
  <si>
    <t>HLA-DQA1 /// HLA-DQA2 /// LOC100294224 /// LOC100294317</t>
  </si>
  <si>
    <t>214696_at</t>
  </si>
  <si>
    <t>C17orf91</t>
  </si>
  <si>
    <t>214704_at</t>
  </si>
  <si>
    <t>TCF25</t>
  </si>
  <si>
    <t>217185_s_at</t>
  </si>
  <si>
    <t>ZNF259 /// ZNF259P</t>
  </si>
  <si>
    <t>218644_at</t>
  </si>
  <si>
    <t>PLEK2</t>
  </si>
  <si>
    <t>221542_s_at</t>
  </si>
  <si>
    <t>211656_x_at</t>
  </si>
  <si>
    <t>HLA-DQB1 /// LOC100294318</t>
  </si>
  <si>
    <t>203358_s_at</t>
  </si>
  <si>
    <t>EZH2</t>
  </si>
  <si>
    <t>220052_s_at</t>
  </si>
  <si>
    <t>TINF2</t>
  </si>
  <si>
    <t>218616_at</t>
  </si>
  <si>
    <t>INTS12</t>
  </si>
  <si>
    <t>218850_s_at</t>
  </si>
  <si>
    <t>LIMD1</t>
  </si>
  <si>
    <t>201129_at</t>
  </si>
  <si>
    <t>SFRS7</t>
  </si>
  <si>
    <t>209924_at</t>
  </si>
  <si>
    <t>CCL18</t>
  </si>
  <si>
    <t>212502_at</t>
  </si>
  <si>
    <t>ADO</t>
  </si>
  <si>
    <t>221119_at</t>
  </si>
  <si>
    <t>FLJ20184</t>
  </si>
  <si>
    <t>40489_at</t>
  </si>
  <si>
    <t>ATN1</t>
  </si>
  <si>
    <t>40016_g_at</t>
  </si>
  <si>
    <t>MAST4</t>
  </si>
  <si>
    <t>212278_x_at</t>
  </si>
  <si>
    <t>UBE3A</t>
  </si>
  <si>
    <t>204656_at</t>
  </si>
  <si>
    <t>SHB</t>
  </si>
  <si>
    <t>203898_at</t>
  </si>
  <si>
    <t>201832_s_at</t>
  </si>
  <si>
    <t>214097_at</t>
  </si>
  <si>
    <t>RPS21</t>
  </si>
  <si>
    <t>64408_s_at</t>
  </si>
  <si>
    <t>205271_s_at</t>
  </si>
  <si>
    <t>CCRK</t>
  </si>
  <si>
    <t>222022_at</t>
  </si>
  <si>
    <t>214797_s_at</t>
  </si>
  <si>
    <t>PCTK3</t>
  </si>
  <si>
    <t>215844_at</t>
  </si>
  <si>
    <t>201799_s_at</t>
  </si>
  <si>
    <t>OSBP</t>
  </si>
  <si>
    <t>219865_at</t>
  </si>
  <si>
    <t>HSPC157</t>
  </si>
  <si>
    <t>220529_at</t>
  </si>
  <si>
    <t>FLJ11710</t>
  </si>
  <si>
    <t>203056_s_at</t>
  </si>
  <si>
    <t>PRDM2</t>
  </si>
  <si>
    <t>202099_s_at</t>
  </si>
  <si>
    <t>DGCR2</t>
  </si>
  <si>
    <t>211937_at</t>
  </si>
  <si>
    <t>EIF4B</t>
  </si>
  <si>
    <t>211961_s_at</t>
  </si>
  <si>
    <t>RAB7A</t>
  </si>
  <si>
    <t>216419_at</t>
  </si>
  <si>
    <t>CROCC</t>
  </si>
  <si>
    <t>221964_at</t>
  </si>
  <si>
    <t>TULP3</t>
  </si>
  <si>
    <t>209822_s_at</t>
  </si>
  <si>
    <t>VLDLR</t>
  </si>
  <si>
    <t>201002_s_at</t>
  </si>
  <si>
    <t>209718_at</t>
  </si>
  <si>
    <t>NCAPH2</t>
  </si>
  <si>
    <t>214901_at</t>
  </si>
  <si>
    <t>ZNF8</t>
  </si>
  <si>
    <t>221131_at</t>
  </si>
  <si>
    <t>A4GNT</t>
  </si>
  <si>
    <t>208138_at</t>
  </si>
  <si>
    <t>GAST</t>
  </si>
  <si>
    <t>208477_at</t>
  </si>
  <si>
    <t>KCNC1</t>
  </si>
  <si>
    <t>216654_at</t>
  </si>
  <si>
    <t>TNXB</t>
  </si>
  <si>
    <t>202233_s_at</t>
  </si>
  <si>
    <t>UQCRH</t>
  </si>
  <si>
    <t>205993_s_at</t>
  </si>
  <si>
    <t>TBX2</t>
  </si>
  <si>
    <t>208848_at</t>
  </si>
  <si>
    <t>ADH5</t>
  </si>
  <si>
    <t>210760_x_at</t>
  </si>
  <si>
    <t>212121_at</t>
  </si>
  <si>
    <t>TCTN3</t>
  </si>
  <si>
    <t>220210_at</t>
  </si>
  <si>
    <t>CHRNA10</t>
  </si>
  <si>
    <t>209263_x_at</t>
  </si>
  <si>
    <t>203442_x_at</t>
  </si>
  <si>
    <t>EML3</t>
  </si>
  <si>
    <t>218611_at</t>
  </si>
  <si>
    <t>IER5</t>
  </si>
  <si>
    <t>219706_at</t>
  </si>
  <si>
    <t>C20orf29</t>
  </si>
  <si>
    <t>218285_s_at</t>
  </si>
  <si>
    <t>BDH2</t>
  </si>
  <si>
    <t>220918_at</t>
  </si>
  <si>
    <t>C21orf96</t>
  </si>
  <si>
    <t>207035_at</t>
  </si>
  <si>
    <t>SLC30A3</t>
  </si>
  <si>
    <t>209570_s_at</t>
  </si>
  <si>
    <t>201339_s_at</t>
  </si>
  <si>
    <t>SCP2</t>
  </si>
  <si>
    <t>221685_s_at</t>
  </si>
  <si>
    <t>CCDC99</t>
  </si>
  <si>
    <t>201100_s_at</t>
  </si>
  <si>
    <t>USP9X</t>
  </si>
  <si>
    <t>205900_at</t>
  </si>
  <si>
    <t>KRT1</t>
  </si>
  <si>
    <t>209000_s_at</t>
  </si>
  <si>
    <t>211258_s_at</t>
  </si>
  <si>
    <t>215843_s_at</t>
  </si>
  <si>
    <t>TLL2</t>
  </si>
  <si>
    <t>214336_s_at</t>
  </si>
  <si>
    <t>COPA</t>
  </si>
  <si>
    <t>204440_at</t>
  </si>
  <si>
    <t>CD83</t>
  </si>
  <si>
    <t>202703_at</t>
  </si>
  <si>
    <t>DUSP11</t>
  </si>
  <si>
    <t>210578_at</t>
  </si>
  <si>
    <t>221430_s_at</t>
  </si>
  <si>
    <t>RNF146</t>
  </si>
  <si>
    <t>220730_at</t>
  </si>
  <si>
    <t>ZNF778</t>
  </si>
  <si>
    <t>201315_x_at</t>
  </si>
  <si>
    <t>IFITM2</t>
  </si>
  <si>
    <t>201870_at</t>
  </si>
  <si>
    <t>TOMM34</t>
  </si>
  <si>
    <t>208687_x_at</t>
  </si>
  <si>
    <t>209936_at</t>
  </si>
  <si>
    <t>218497_s_at</t>
  </si>
  <si>
    <t>217893_s_at</t>
  </si>
  <si>
    <t>AKIRIN1</t>
  </si>
  <si>
    <t>215366_at</t>
  </si>
  <si>
    <t>SNX13</t>
  </si>
  <si>
    <t>218460_at</t>
  </si>
  <si>
    <t>HEATR2</t>
  </si>
  <si>
    <t>200071_at</t>
  </si>
  <si>
    <t>SMNDC1</t>
  </si>
  <si>
    <t>204193_at</t>
  </si>
  <si>
    <t>CHKB</t>
  </si>
  <si>
    <t>209893_s_at</t>
  </si>
  <si>
    <t>201532_at</t>
  </si>
  <si>
    <t>PSMA3</t>
  </si>
  <si>
    <t>204189_at</t>
  </si>
  <si>
    <t>RARG</t>
  </si>
  <si>
    <t>206901_at</t>
  </si>
  <si>
    <t>C19orf57</t>
  </si>
  <si>
    <t>208567_s_at</t>
  </si>
  <si>
    <t>KCNJ12 /// LOC100131509 /// LOC100290070</t>
  </si>
  <si>
    <t>208646_at</t>
  </si>
  <si>
    <t>RPS14 /// RPS14P3</t>
  </si>
  <si>
    <t>206037_at</t>
  </si>
  <si>
    <t>CCBL1</t>
  </si>
  <si>
    <t>216044_x_at</t>
  </si>
  <si>
    <t>FAM69A</t>
  </si>
  <si>
    <t>219594_at</t>
  </si>
  <si>
    <t>NINJ2</t>
  </si>
  <si>
    <t>221578_at</t>
  </si>
  <si>
    <t>RASSF4</t>
  </si>
  <si>
    <t>53912_at</t>
  </si>
  <si>
    <t>219727_at</t>
  </si>
  <si>
    <t>DUOX2</t>
  </si>
  <si>
    <t>40640_at</t>
  </si>
  <si>
    <t>200597_at</t>
  </si>
  <si>
    <t>EIF3A</t>
  </si>
  <si>
    <t>203097_s_at</t>
  </si>
  <si>
    <t>RAPGEF2</t>
  </si>
  <si>
    <t>203488_at</t>
  </si>
  <si>
    <t>204857_at</t>
  </si>
  <si>
    <t>MAD1L1</t>
  </si>
  <si>
    <t>207165_at</t>
  </si>
  <si>
    <t>208568_at</t>
  </si>
  <si>
    <t>MC2R</t>
  </si>
  <si>
    <t>208817_at</t>
  </si>
  <si>
    <t>COMT</t>
  </si>
  <si>
    <t>210088_x_at</t>
  </si>
  <si>
    <t>216275_at</t>
  </si>
  <si>
    <t>BUB1</t>
  </si>
  <si>
    <t>218672_at</t>
  </si>
  <si>
    <t>SCNM1</t>
  </si>
  <si>
    <t>221680_s_at</t>
  </si>
  <si>
    <t>ETV7</t>
  </si>
  <si>
    <t>204102_s_at</t>
  </si>
  <si>
    <t>EEF2</t>
  </si>
  <si>
    <t>212240_s_at</t>
  </si>
  <si>
    <t>PIK3R1</t>
  </si>
  <si>
    <t>202163_s_at</t>
  </si>
  <si>
    <t>207154_at</t>
  </si>
  <si>
    <t>DIO3</t>
  </si>
  <si>
    <t>209022_at</t>
  </si>
  <si>
    <t>212970_at</t>
  </si>
  <si>
    <t>214700_x_at</t>
  </si>
  <si>
    <t>RIF1</t>
  </si>
  <si>
    <t>217627_at</t>
  </si>
  <si>
    <t>ZNF573</t>
  </si>
  <si>
    <t>211735_x_at</t>
  </si>
  <si>
    <t>201714_at</t>
  </si>
  <si>
    <t>TUBG1</t>
  </si>
  <si>
    <t>216670_at</t>
  </si>
  <si>
    <t>KLK13</t>
  </si>
  <si>
    <t>32094_at</t>
  </si>
  <si>
    <t>CHST3</t>
  </si>
  <si>
    <t>218099_at</t>
  </si>
  <si>
    <t>TEX2</t>
  </si>
  <si>
    <t>201677_at</t>
  </si>
  <si>
    <t>214718_at</t>
  </si>
  <si>
    <t>GATAD1</t>
  </si>
  <si>
    <t>221426_s_at</t>
  </si>
  <si>
    <t>OR3A3</t>
  </si>
  <si>
    <t>202954_at</t>
  </si>
  <si>
    <t>UBE2C</t>
  </si>
  <si>
    <t>201940_at</t>
  </si>
  <si>
    <t>201595_s_at</t>
  </si>
  <si>
    <t>221817_at</t>
  </si>
  <si>
    <t>DOLPP1</t>
  </si>
  <si>
    <t>203778_at</t>
  </si>
  <si>
    <t>MANBA</t>
  </si>
  <si>
    <t>213023_at</t>
  </si>
  <si>
    <t>206766_at</t>
  </si>
  <si>
    <t>ITGA10</t>
  </si>
  <si>
    <t>211594_s_at</t>
  </si>
  <si>
    <t>MRPL9</t>
  </si>
  <si>
    <t>200947_s_at</t>
  </si>
  <si>
    <t>GLUD1</t>
  </si>
  <si>
    <t>212731_at</t>
  </si>
  <si>
    <t>ANKRD46</t>
  </si>
  <si>
    <t>219358_s_at</t>
  </si>
  <si>
    <t>ADAP2</t>
  </si>
  <si>
    <t>204533_at</t>
  </si>
  <si>
    <t>CXCL10</t>
  </si>
  <si>
    <t>213090_s_at</t>
  </si>
  <si>
    <t>TAF4</t>
  </si>
  <si>
    <t>201390_s_at</t>
  </si>
  <si>
    <t>CSNK2B</t>
  </si>
  <si>
    <t>203012_x_at</t>
  </si>
  <si>
    <t>208854_s_at</t>
  </si>
  <si>
    <t>210854_x_at</t>
  </si>
  <si>
    <t>SLC6A8</t>
  </si>
  <si>
    <t>207094_at</t>
  </si>
  <si>
    <t>IL8RA</t>
  </si>
  <si>
    <t>208230_s_at</t>
  </si>
  <si>
    <t>NRG1</t>
  </si>
  <si>
    <t>219698_s_at</t>
  </si>
  <si>
    <t>METTL4</t>
  </si>
  <si>
    <t>200750_s_at</t>
  </si>
  <si>
    <t>RAN</t>
  </si>
  <si>
    <t>212648_at</t>
  </si>
  <si>
    <t>DHX29</t>
  </si>
  <si>
    <t>203271_s_at</t>
  </si>
  <si>
    <t>UNC119</t>
  </si>
  <si>
    <t>209294_x_at</t>
  </si>
  <si>
    <t>201273_s_at</t>
  </si>
  <si>
    <t>SRP9</t>
  </si>
  <si>
    <t>215794_x_at</t>
  </si>
  <si>
    <t>GLUD2</t>
  </si>
  <si>
    <t>218957_s_at</t>
  </si>
  <si>
    <t>PAAF1</t>
  </si>
  <si>
    <t>219265_at</t>
  </si>
  <si>
    <t>MOBKL2B</t>
  </si>
  <si>
    <t>207982_at</t>
  </si>
  <si>
    <t>HIST1H1T</t>
  </si>
  <si>
    <t>201992_s_at</t>
  </si>
  <si>
    <t>KIF5B</t>
  </si>
  <si>
    <t>207003_at</t>
  </si>
  <si>
    <t>GUCA2A</t>
  </si>
  <si>
    <t>216332_at</t>
  </si>
  <si>
    <t>POU6F1</t>
  </si>
  <si>
    <t>209671_x_at</t>
  </si>
  <si>
    <t>TRA@ /// TRAC</t>
  </si>
  <si>
    <t>214344_at</t>
  </si>
  <si>
    <t>LOC92973</t>
  </si>
  <si>
    <t>220971_at</t>
  </si>
  <si>
    <t>IL25</t>
  </si>
  <si>
    <t>218731_s_at</t>
  </si>
  <si>
    <t>VWA1</t>
  </si>
  <si>
    <t>209320_at</t>
  </si>
  <si>
    <t>206553_at</t>
  </si>
  <si>
    <t>OAS2</t>
  </si>
  <si>
    <t>211105_s_at</t>
  </si>
  <si>
    <t>NFATC1</t>
  </si>
  <si>
    <t>35179_at</t>
  </si>
  <si>
    <t>207212_at</t>
  </si>
  <si>
    <t>SLC9A3</t>
  </si>
  <si>
    <t>213058_at</t>
  </si>
  <si>
    <t>TTC28</t>
  </si>
  <si>
    <t>202442_at</t>
  </si>
  <si>
    <t>AP3S1</t>
  </si>
  <si>
    <t>206610_s_at</t>
  </si>
  <si>
    <t>F11</t>
  </si>
  <si>
    <t>211998_at</t>
  </si>
  <si>
    <t>H3F3B</t>
  </si>
  <si>
    <t>203045_at</t>
  </si>
  <si>
    <t>NINJ1</t>
  </si>
  <si>
    <t>35666_at</t>
  </si>
  <si>
    <t>207770_x_at</t>
  </si>
  <si>
    <t>201508_at</t>
  </si>
  <si>
    <t>IGFBP4</t>
  </si>
  <si>
    <t>206770_s_at</t>
  </si>
  <si>
    <t>SLC35A3</t>
  </si>
  <si>
    <t>212751_at</t>
  </si>
  <si>
    <t>UBE2N</t>
  </si>
  <si>
    <t>216397_s_at</t>
  </si>
  <si>
    <t>208581_x_at</t>
  </si>
  <si>
    <t>MT1X</t>
  </si>
  <si>
    <t>219063_at</t>
  </si>
  <si>
    <t>C1orf35</t>
  </si>
  <si>
    <t>219480_at</t>
  </si>
  <si>
    <t>SNAI1</t>
  </si>
  <si>
    <t>222130_s_at</t>
  </si>
  <si>
    <t>220094_s_at</t>
  </si>
  <si>
    <t>CCDC90A</t>
  </si>
  <si>
    <t>211728_s_at</t>
  </si>
  <si>
    <t>HYAL3</t>
  </si>
  <si>
    <t>214773_x_at</t>
  </si>
  <si>
    <t>TIPRL</t>
  </si>
  <si>
    <t>201368_at</t>
  </si>
  <si>
    <t>ZFP36L2</t>
  </si>
  <si>
    <t>201362_at</t>
  </si>
  <si>
    <t>IVNS1ABP</t>
  </si>
  <si>
    <t>208445_s_at</t>
  </si>
  <si>
    <t>BAZ1B</t>
  </si>
  <si>
    <t>201991_s_at</t>
  </si>
  <si>
    <t>202195_s_at</t>
  </si>
  <si>
    <t>TMED5</t>
  </si>
  <si>
    <t>201882_x_at</t>
  </si>
  <si>
    <t>B4GALT1</t>
  </si>
  <si>
    <t>208610_s_at</t>
  </si>
  <si>
    <t>SRRM2</t>
  </si>
  <si>
    <t>209329_x_at</t>
  </si>
  <si>
    <t>HIGD2A</t>
  </si>
  <si>
    <t>213963_s_at</t>
  </si>
  <si>
    <t>218368_s_at</t>
  </si>
  <si>
    <t>TNFRSF12A</t>
  </si>
  <si>
    <t>200733_s_at</t>
  </si>
  <si>
    <t>206813_at</t>
  </si>
  <si>
    <t>CTF1</t>
  </si>
  <si>
    <t>211393_at</t>
  </si>
  <si>
    <t>PATZ1</t>
  </si>
  <si>
    <t>214983_at</t>
  </si>
  <si>
    <t>TTTY15</t>
  </si>
  <si>
    <t>202668_at</t>
  </si>
  <si>
    <t>EFNB2</t>
  </si>
  <si>
    <t>202771_at</t>
  </si>
  <si>
    <t>FAM38A</t>
  </si>
  <si>
    <t>202828_s_at</t>
  </si>
  <si>
    <t>204185_x_at</t>
  </si>
  <si>
    <t>PPID</t>
  </si>
  <si>
    <t>209888_s_at</t>
  </si>
  <si>
    <t>MYL1</t>
  </si>
  <si>
    <t>214758_at</t>
  </si>
  <si>
    <t>DCAF4</t>
  </si>
  <si>
    <t>215123_at</t>
  </si>
  <si>
    <t>LOC100288332 /// LOC100288583 /// NPIPL3</t>
  </si>
  <si>
    <t>220021_at</t>
  </si>
  <si>
    <t>TMC7</t>
  </si>
  <si>
    <t>221778_at</t>
  </si>
  <si>
    <t>JHDM1D</t>
  </si>
  <si>
    <t>217274_x_at</t>
  </si>
  <si>
    <t>206540_at</t>
  </si>
  <si>
    <t>GLB1L</t>
  </si>
  <si>
    <t>213866_at</t>
  </si>
  <si>
    <t>SAMD14</t>
  </si>
  <si>
    <t>206008_at</t>
  </si>
  <si>
    <t>TGM1</t>
  </si>
  <si>
    <t>209712_at</t>
  </si>
  <si>
    <t>SLC35D1</t>
  </si>
  <si>
    <t>209626_s_at</t>
  </si>
  <si>
    <t>OSBPL3</t>
  </si>
  <si>
    <t>221772_s_at</t>
  </si>
  <si>
    <t>PPP2R2D</t>
  </si>
  <si>
    <t>204979_s_at</t>
  </si>
  <si>
    <t>SH3BGR</t>
  </si>
  <si>
    <t>213412_at</t>
  </si>
  <si>
    <t>TJP3</t>
  </si>
  <si>
    <t>213937_s_at</t>
  </si>
  <si>
    <t>219350_s_at</t>
  </si>
  <si>
    <t>DIABLO</t>
  </si>
  <si>
    <t>201805_at</t>
  </si>
  <si>
    <t>PRKAG1</t>
  </si>
  <si>
    <t>206233_at</t>
  </si>
  <si>
    <t>B4GALT6</t>
  </si>
  <si>
    <t>205639_at</t>
  </si>
  <si>
    <t>AOAH</t>
  </si>
  <si>
    <t>212006_at</t>
  </si>
  <si>
    <t>UBXN4</t>
  </si>
  <si>
    <t>218905_at</t>
  </si>
  <si>
    <t>INTS8</t>
  </si>
  <si>
    <t>222309_at</t>
  </si>
  <si>
    <t>219453_at</t>
  </si>
  <si>
    <t>KLHL36</t>
  </si>
  <si>
    <t>219668_at</t>
  </si>
  <si>
    <t>GDAP1L1</t>
  </si>
  <si>
    <t>206310_at</t>
  </si>
  <si>
    <t>SPINK2</t>
  </si>
  <si>
    <t>218992_at</t>
  </si>
  <si>
    <t>C9orf46</t>
  </si>
  <si>
    <t>217254_s_at</t>
  </si>
  <si>
    <t>EPO</t>
  </si>
  <si>
    <t>219069_at</t>
  </si>
  <si>
    <t>ANKRD49</t>
  </si>
  <si>
    <t>219211_at</t>
  </si>
  <si>
    <t>USP18</t>
  </si>
  <si>
    <t>217408_at</t>
  </si>
  <si>
    <t>MRPS18B</t>
  </si>
  <si>
    <t>220398_at</t>
  </si>
  <si>
    <t>213462_at</t>
  </si>
  <si>
    <t>NPAS2</t>
  </si>
  <si>
    <t>217601_at</t>
  </si>
  <si>
    <t>205391_x_at</t>
  </si>
  <si>
    <t>ANK1</t>
  </si>
  <si>
    <t>204313_s_at</t>
  </si>
  <si>
    <t>CREB1</t>
  </si>
  <si>
    <t>204598_at</t>
  </si>
  <si>
    <t>UBOX5</t>
  </si>
  <si>
    <t>211086_x_at</t>
  </si>
  <si>
    <t>210395_x_at</t>
  </si>
  <si>
    <t>211800_s_at</t>
  </si>
  <si>
    <t>217226_s_at</t>
  </si>
  <si>
    <t>SFXN3</t>
  </si>
  <si>
    <t>218172_s_at</t>
  </si>
  <si>
    <t>207150_at</t>
  </si>
  <si>
    <t>SLC18A3</t>
  </si>
  <si>
    <t>209711_at</t>
  </si>
  <si>
    <t>214580_x_at</t>
  </si>
  <si>
    <t>KRT6A /// KRT6B /// KRT6C</t>
  </si>
  <si>
    <t>219081_at</t>
  </si>
  <si>
    <t>ANKHD1</t>
  </si>
  <si>
    <t>221599_at</t>
  </si>
  <si>
    <t>C11orf67</t>
  </si>
  <si>
    <t>204781_s_at</t>
  </si>
  <si>
    <t>FAS</t>
  </si>
  <si>
    <t>209748_at</t>
  </si>
  <si>
    <t>SPAST</t>
  </si>
  <si>
    <t>218947_s_at</t>
  </si>
  <si>
    <t>MTPAP</t>
  </si>
  <si>
    <t>221422_s_at</t>
  </si>
  <si>
    <t>C9orf45</t>
  </si>
  <si>
    <t>221686_s_at</t>
  </si>
  <si>
    <t>RECQL5</t>
  </si>
  <si>
    <t>217774_s_at</t>
  </si>
  <si>
    <t>TRMT112</t>
  </si>
  <si>
    <t>200759_x_at</t>
  </si>
  <si>
    <t>203994_s_at</t>
  </si>
  <si>
    <t>209372_x_at</t>
  </si>
  <si>
    <t>TUBB2A /// TUBB2B</t>
  </si>
  <si>
    <t>213135_at</t>
  </si>
  <si>
    <t>TIAM1</t>
  </si>
  <si>
    <t>221787_at</t>
  </si>
  <si>
    <t>C6orf120</t>
  </si>
  <si>
    <t>217798_at</t>
  </si>
  <si>
    <t>210952_at</t>
  </si>
  <si>
    <t>AP4S1</t>
  </si>
  <si>
    <t>215067_x_at</t>
  </si>
  <si>
    <t>219118_at</t>
  </si>
  <si>
    <t>FKBP11</t>
  </si>
  <si>
    <t>205794_s_at</t>
  </si>
  <si>
    <t>NOVA1</t>
  </si>
  <si>
    <t>211230_s_at</t>
  </si>
  <si>
    <t>PIK3CD</t>
  </si>
  <si>
    <t>219277_s_at</t>
  </si>
  <si>
    <t>OGDHL</t>
  </si>
  <si>
    <t>212438_at</t>
  </si>
  <si>
    <t>213445_at</t>
  </si>
  <si>
    <t>ZC3H3</t>
  </si>
  <si>
    <t>219900_s_at</t>
  </si>
  <si>
    <t>ZNF446</t>
  </si>
  <si>
    <t>212598_at</t>
  </si>
  <si>
    <t>208926_at</t>
  </si>
  <si>
    <t>NEU1</t>
  </si>
  <si>
    <t>205525_at</t>
  </si>
  <si>
    <t>209779_at</t>
  </si>
  <si>
    <t>LLPH</t>
  </si>
  <si>
    <t>219593_at</t>
  </si>
  <si>
    <t>SLC15A3</t>
  </si>
  <si>
    <t>202792_s_at</t>
  </si>
  <si>
    <t>SAPS2</t>
  </si>
  <si>
    <t>206890_at</t>
  </si>
  <si>
    <t>IL12RB1</t>
  </si>
  <si>
    <t>208694_at</t>
  </si>
  <si>
    <t>PRKDC</t>
  </si>
  <si>
    <t>211304_x_at</t>
  </si>
  <si>
    <t>221302_at</t>
  </si>
  <si>
    <t>KLF15</t>
  </si>
  <si>
    <t>203761_at</t>
  </si>
  <si>
    <t>208936_x_at</t>
  </si>
  <si>
    <t>210264_at</t>
  </si>
  <si>
    <t>GPR35</t>
  </si>
  <si>
    <t>213179_at</t>
  </si>
  <si>
    <t>RQCD1</t>
  </si>
  <si>
    <t>207023_x_at</t>
  </si>
  <si>
    <t>205963_s_at</t>
  </si>
  <si>
    <t>DNAJA3</t>
  </si>
  <si>
    <t>209807_s_at</t>
  </si>
  <si>
    <t>NFIX</t>
  </si>
  <si>
    <t>217960_s_at</t>
  </si>
  <si>
    <t>TOMM22</t>
  </si>
  <si>
    <t>219014_at</t>
  </si>
  <si>
    <t>PLAC8</t>
  </si>
  <si>
    <t>202476_s_at</t>
  </si>
  <si>
    <t>205423_at</t>
  </si>
  <si>
    <t>AP1B1</t>
  </si>
  <si>
    <t>210616_s_at</t>
  </si>
  <si>
    <t>211987_at</t>
  </si>
  <si>
    <t>TOP2B</t>
  </si>
  <si>
    <t>209780_at</t>
  </si>
  <si>
    <t>PHTF2</t>
  </si>
  <si>
    <t>210416_s_at</t>
  </si>
  <si>
    <t>CHEK2</t>
  </si>
  <si>
    <t>206149_at</t>
  </si>
  <si>
    <t>CHP2</t>
  </si>
  <si>
    <t>212374_at</t>
  </si>
  <si>
    <t>200948_at</t>
  </si>
  <si>
    <t>MLF2</t>
  </si>
  <si>
    <t>220130_x_at</t>
  </si>
  <si>
    <t>LTB4R2</t>
  </si>
  <si>
    <t>206722_s_at</t>
  </si>
  <si>
    <t>LPAR2</t>
  </si>
  <si>
    <t>201290_at</t>
  </si>
  <si>
    <t>SEC11A</t>
  </si>
  <si>
    <t>200779_at</t>
  </si>
  <si>
    <t>ATF4</t>
  </si>
  <si>
    <t>201365_at</t>
  </si>
  <si>
    <t>OAZ2</t>
  </si>
  <si>
    <t>202791_s_at</t>
  </si>
  <si>
    <t>203838_s_at</t>
  </si>
  <si>
    <t>213164_at</t>
  </si>
  <si>
    <t>221281_at</t>
  </si>
  <si>
    <t>SRC</t>
  </si>
  <si>
    <t>214061_at</t>
  </si>
  <si>
    <t>WDR67</t>
  </si>
  <si>
    <t>212545_s_at</t>
  </si>
  <si>
    <t>ZHX3</t>
  </si>
  <si>
    <t>203096_s_at</t>
  </si>
  <si>
    <t>204684_at</t>
  </si>
  <si>
    <t>NPTX1</t>
  </si>
  <si>
    <t>209683_at</t>
  </si>
  <si>
    <t>211071_s_at</t>
  </si>
  <si>
    <t>MLLT11</t>
  </si>
  <si>
    <t>201197_at</t>
  </si>
  <si>
    <t>AMD1</t>
  </si>
  <si>
    <t>204155_s_at</t>
  </si>
  <si>
    <t>QSK</t>
  </si>
  <si>
    <t>205037_at</t>
  </si>
  <si>
    <t>RABL4</t>
  </si>
  <si>
    <t>206217_at</t>
  </si>
  <si>
    <t>EDA</t>
  </si>
  <si>
    <t>206398_s_at</t>
  </si>
  <si>
    <t>CD19</t>
  </si>
  <si>
    <t>211631_x_at</t>
  </si>
  <si>
    <t>214665_s_at</t>
  </si>
  <si>
    <t>CHP</t>
  </si>
  <si>
    <t>219419_at</t>
  </si>
  <si>
    <t>C18orf22</t>
  </si>
  <si>
    <t>220811_at</t>
  </si>
  <si>
    <t>PRG3</t>
  </si>
  <si>
    <t>222251_s_at</t>
  </si>
  <si>
    <t>222290_at</t>
  </si>
  <si>
    <t>OR2A20P /// OR2A5 /// OR2A9P</t>
  </si>
  <si>
    <t>202170_s_at</t>
  </si>
  <si>
    <t>AASDHPPT</t>
  </si>
  <si>
    <t>215115_x_at</t>
  </si>
  <si>
    <t>200014_s_at</t>
  </si>
  <si>
    <t>201990_s_at</t>
  </si>
  <si>
    <t>202393_s_at</t>
  </si>
  <si>
    <t>KLF10</t>
  </si>
  <si>
    <t>202772_at</t>
  </si>
  <si>
    <t>HMGCL</t>
  </si>
  <si>
    <t>208390_s_at</t>
  </si>
  <si>
    <t>GLP1R</t>
  </si>
  <si>
    <t>213784_at</t>
  </si>
  <si>
    <t>213799_s_at</t>
  </si>
  <si>
    <t>PTPRA</t>
  </si>
  <si>
    <t>221020_s_at</t>
  </si>
  <si>
    <t>SLC25A32</t>
  </si>
  <si>
    <t>220127_s_at</t>
  </si>
  <si>
    <t>FBXL12</t>
  </si>
  <si>
    <t>213926_s_at</t>
  </si>
  <si>
    <t>218211_s_at</t>
  </si>
  <si>
    <t>MLPH</t>
  </si>
  <si>
    <t>220320_at</t>
  </si>
  <si>
    <t>DOK3</t>
  </si>
  <si>
    <t>219202_at</t>
  </si>
  <si>
    <t>RHBDF2</t>
  </si>
  <si>
    <t>217824_at</t>
  </si>
  <si>
    <t>201385_at</t>
  </si>
  <si>
    <t>DHX15</t>
  </si>
  <si>
    <t>203594_at</t>
  </si>
  <si>
    <t>RTCD1</t>
  </si>
  <si>
    <t>208406_s_at</t>
  </si>
  <si>
    <t>GRAP2</t>
  </si>
  <si>
    <t>207483_s_at</t>
  </si>
  <si>
    <t>CAND1</t>
  </si>
  <si>
    <t>203722_at</t>
  </si>
  <si>
    <t>ALDH4A1</t>
  </si>
  <si>
    <t>207914_x_at</t>
  </si>
  <si>
    <t>EVX1</t>
  </si>
  <si>
    <t>213262_at</t>
  </si>
  <si>
    <t>SACS</t>
  </si>
  <si>
    <t>204248_at</t>
  </si>
  <si>
    <t>218942_at</t>
  </si>
  <si>
    <t>PIP4K2C</t>
  </si>
  <si>
    <t>209688_s_at</t>
  </si>
  <si>
    <t>CCDC93</t>
  </si>
  <si>
    <t>204687_at</t>
  </si>
  <si>
    <t>DKFZP564O0823</t>
  </si>
  <si>
    <t>207585_s_at</t>
  </si>
  <si>
    <t>RPL36AL</t>
  </si>
  <si>
    <t>209169_at</t>
  </si>
  <si>
    <t>221922_at</t>
  </si>
  <si>
    <t>200634_at</t>
  </si>
  <si>
    <t>PFN1</t>
  </si>
  <si>
    <t>202548_s_at</t>
  </si>
  <si>
    <t>208158_s_at</t>
  </si>
  <si>
    <t>OSBPL1A</t>
  </si>
  <si>
    <t>210364_at</t>
  </si>
  <si>
    <t>SCN2B</t>
  </si>
  <si>
    <t>211971_s_at</t>
  </si>
  <si>
    <t>LRPPRC</t>
  </si>
  <si>
    <t>40837_at</t>
  </si>
  <si>
    <t>TLE2</t>
  </si>
  <si>
    <t>218230_at</t>
  </si>
  <si>
    <t>ARFIP1</t>
  </si>
  <si>
    <t>203561_at</t>
  </si>
  <si>
    <t>FCGR2A</t>
  </si>
  <si>
    <t>205232_s_at</t>
  </si>
  <si>
    <t>PAFAH2</t>
  </si>
  <si>
    <t>204618_s_at</t>
  </si>
  <si>
    <t>200848_at</t>
  </si>
  <si>
    <t>206539_s_at</t>
  </si>
  <si>
    <t>CYP4F12</t>
  </si>
  <si>
    <t>220162_s_at</t>
  </si>
  <si>
    <t>CARD9</t>
  </si>
  <si>
    <t>204280_at</t>
  </si>
  <si>
    <t>RGS14</t>
  </si>
  <si>
    <t>218586_at</t>
  </si>
  <si>
    <t>C20orf20</t>
  </si>
  <si>
    <t>205235_s_at</t>
  </si>
  <si>
    <t>KIF20B</t>
  </si>
  <si>
    <t>212716_s_at</t>
  </si>
  <si>
    <t>209855_s_at</t>
  </si>
  <si>
    <t>210318_at</t>
  </si>
  <si>
    <t>RBP3</t>
  </si>
  <si>
    <t>211513_s_at</t>
  </si>
  <si>
    <t>212176_at</t>
  </si>
  <si>
    <t>208670_s_at</t>
  </si>
  <si>
    <t>203931_s_at</t>
  </si>
  <si>
    <t>MRPL12</t>
  </si>
  <si>
    <t>211974_x_at</t>
  </si>
  <si>
    <t>213958_at</t>
  </si>
  <si>
    <t>222307_at</t>
  </si>
  <si>
    <t>LOC282997</t>
  </si>
  <si>
    <t>210610_at</t>
  </si>
  <si>
    <t>CEACAM1</t>
  </si>
  <si>
    <t>218316_at</t>
  </si>
  <si>
    <t>TIMM9</t>
  </si>
  <si>
    <t>217045_x_at</t>
  </si>
  <si>
    <t>206542_s_at</t>
  </si>
  <si>
    <t>SMARCA2</t>
  </si>
  <si>
    <t>200631_s_at</t>
  </si>
  <si>
    <t>203580_s_at</t>
  </si>
  <si>
    <t>SLC7A6</t>
  </si>
  <si>
    <t>202394_s_at</t>
  </si>
  <si>
    <t>ABCF3</t>
  </si>
  <si>
    <t>204595_s_at</t>
  </si>
  <si>
    <t>STC1</t>
  </si>
  <si>
    <t>210830_s_at</t>
  </si>
  <si>
    <t>PON2</t>
  </si>
  <si>
    <t>211590_x_at</t>
  </si>
  <si>
    <t>TBXA2R</t>
  </si>
  <si>
    <t>218508_at</t>
  </si>
  <si>
    <t>DCP1A</t>
  </si>
  <si>
    <t>203764_at</t>
  </si>
  <si>
    <t>DLGAP5</t>
  </si>
  <si>
    <t>202480_s_at</t>
  </si>
  <si>
    <t>DEDD</t>
  </si>
  <si>
    <t>207265_s_at</t>
  </si>
  <si>
    <t>211320_s_at</t>
  </si>
  <si>
    <t>PTPRU</t>
  </si>
  <si>
    <t>214739_at</t>
  </si>
  <si>
    <t>LRCH3</t>
  </si>
  <si>
    <t>219220_x_at</t>
  </si>
  <si>
    <t>MRPS22</t>
  </si>
  <si>
    <t>205834_s_at</t>
  </si>
  <si>
    <t>PART1</t>
  </si>
  <si>
    <t>219028_at</t>
  </si>
  <si>
    <t>HIPK2</t>
  </si>
  <si>
    <t>203252_at</t>
  </si>
  <si>
    <t>CDK2AP2</t>
  </si>
  <si>
    <t>220848_x_at</t>
  </si>
  <si>
    <t>OBP2A</t>
  </si>
  <si>
    <t>204307_at</t>
  </si>
  <si>
    <t>218071_s_at</t>
  </si>
  <si>
    <t>MKRN2</t>
  </si>
  <si>
    <t>208474_at</t>
  </si>
  <si>
    <t>CLDN6</t>
  </si>
  <si>
    <t>201723_s_at</t>
  </si>
  <si>
    <t>203655_at</t>
  </si>
  <si>
    <t>XRCC1</t>
  </si>
  <si>
    <t>210820_x_at</t>
  </si>
  <si>
    <t>210377_at</t>
  </si>
  <si>
    <t>ACSM3</t>
  </si>
  <si>
    <t>36920_at</t>
  </si>
  <si>
    <t>MTM1</t>
  </si>
  <si>
    <t>213872_at</t>
  </si>
  <si>
    <t>219435_at</t>
  </si>
  <si>
    <t>C17orf68</t>
  </si>
  <si>
    <t>218190_s_at</t>
  </si>
  <si>
    <t>UCRC</t>
  </si>
  <si>
    <t>218457_s_at</t>
  </si>
  <si>
    <t>DNMT3A</t>
  </si>
  <si>
    <t>221548_s_at</t>
  </si>
  <si>
    <t>ILKAP</t>
  </si>
  <si>
    <t>201125_s_at</t>
  </si>
  <si>
    <t>ITGB5</t>
  </si>
  <si>
    <t>201716_at</t>
  </si>
  <si>
    <t>SNX1</t>
  </si>
  <si>
    <t>202555_s_at</t>
  </si>
  <si>
    <t>MYLK</t>
  </si>
  <si>
    <t>207716_at</t>
  </si>
  <si>
    <t>KRT38</t>
  </si>
  <si>
    <t>208385_at</t>
  </si>
  <si>
    <t>NR2E3</t>
  </si>
  <si>
    <t>209629_s_at</t>
  </si>
  <si>
    <t>212850_s_at</t>
  </si>
  <si>
    <t>LRP4</t>
  </si>
  <si>
    <t>218161_s_at</t>
  </si>
  <si>
    <t>CLN6</t>
  </si>
  <si>
    <t>218879_s_at</t>
  </si>
  <si>
    <t>MTHFSD</t>
  </si>
  <si>
    <t>208200_at</t>
  </si>
  <si>
    <t>IL1A</t>
  </si>
  <si>
    <t>207042_at</t>
  </si>
  <si>
    <t>E2F2</t>
  </si>
  <si>
    <t>210401_at</t>
  </si>
  <si>
    <t>P2RX1</t>
  </si>
  <si>
    <t>211604_x_at</t>
  </si>
  <si>
    <t>HAP1</t>
  </si>
  <si>
    <t>201138_s_at</t>
  </si>
  <si>
    <t>SSB</t>
  </si>
  <si>
    <t>202813_at</t>
  </si>
  <si>
    <t>TARBP1</t>
  </si>
  <si>
    <t>205716_at</t>
  </si>
  <si>
    <t>SLC25A40</t>
  </si>
  <si>
    <t>221213_s_at</t>
  </si>
  <si>
    <t>ZNF280D</t>
  </si>
  <si>
    <t>221792_at</t>
  </si>
  <si>
    <t>RAB6B</t>
  </si>
  <si>
    <t>201601_x_at</t>
  </si>
  <si>
    <t>206900_x_at</t>
  </si>
  <si>
    <t>ZNF253</t>
  </si>
  <si>
    <t>213674_x_at</t>
  </si>
  <si>
    <t>207669_at</t>
  </si>
  <si>
    <t>KRT83</t>
  </si>
  <si>
    <t>212282_at</t>
  </si>
  <si>
    <t>216485_s_at</t>
  </si>
  <si>
    <t>TPSAB1</t>
  </si>
  <si>
    <t>221931_s_at</t>
  </si>
  <si>
    <t>SEH1L</t>
  </si>
  <si>
    <t>201796_s_at</t>
  </si>
  <si>
    <t>VARS</t>
  </si>
  <si>
    <t>213441_x_at</t>
  </si>
  <si>
    <t>SPDEF</t>
  </si>
  <si>
    <t>62987_r_at</t>
  </si>
  <si>
    <t>204457_s_at</t>
  </si>
  <si>
    <t>GAS1</t>
  </si>
  <si>
    <t>205033_s_at</t>
  </si>
  <si>
    <t>DEFA1 /// DEFA1B /// DEFA3</t>
  </si>
  <si>
    <t>206319_s_at</t>
  </si>
  <si>
    <t>SPINLW1</t>
  </si>
  <si>
    <t>212134_at</t>
  </si>
  <si>
    <t>220777_at</t>
  </si>
  <si>
    <t>KIF13A</t>
  </si>
  <si>
    <t>201797_s_at</t>
  </si>
  <si>
    <t>220256_s_at</t>
  </si>
  <si>
    <t>OXCT2</t>
  </si>
  <si>
    <t>220464_at</t>
  </si>
  <si>
    <t>MCF2L</t>
  </si>
  <si>
    <t>208772_at</t>
  </si>
  <si>
    <t>217773_s_at</t>
  </si>
  <si>
    <t>NDUFA4</t>
  </si>
  <si>
    <t>201734_at</t>
  </si>
  <si>
    <t>210890_x_at</t>
  </si>
  <si>
    <t>KIR2DL1</t>
  </si>
  <si>
    <t>206416_at</t>
  </si>
  <si>
    <t>ZNF205</t>
  </si>
  <si>
    <t>209286_at</t>
  </si>
  <si>
    <t>219113_x_at</t>
  </si>
  <si>
    <t>HSD17B14</t>
  </si>
  <si>
    <t>212273_x_at</t>
  </si>
  <si>
    <t>212094_at</t>
  </si>
  <si>
    <t>PEG10</t>
  </si>
  <si>
    <t>203573_s_at</t>
  </si>
  <si>
    <t>RABGGTA</t>
  </si>
  <si>
    <t>222261_at</t>
  </si>
  <si>
    <t>KIAA1609</t>
  </si>
  <si>
    <t>213829_x_at</t>
  </si>
  <si>
    <t>RTEL1</t>
  </si>
  <si>
    <t>212718_at</t>
  </si>
  <si>
    <t>203725_at</t>
  </si>
  <si>
    <t>GADD45A</t>
  </si>
  <si>
    <t>215616_s_at</t>
  </si>
  <si>
    <t>203188_at</t>
  </si>
  <si>
    <t>B3GNT1</t>
  </si>
  <si>
    <t>214898_x_at</t>
  </si>
  <si>
    <t>MUC3B</t>
  </si>
  <si>
    <t>221821_s_at</t>
  </si>
  <si>
    <t>C12orf41</t>
  </si>
  <si>
    <t>201781_s_at</t>
  </si>
  <si>
    <t>AIP</t>
  </si>
  <si>
    <t>209313_at</t>
  </si>
  <si>
    <t>GPN1</t>
  </si>
  <si>
    <t>201915_at</t>
  </si>
  <si>
    <t>203541_s_at</t>
  </si>
  <si>
    <t>209464_at</t>
  </si>
  <si>
    <t>AURKB</t>
  </si>
  <si>
    <t>218739_at</t>
  </si>
  <si>
    <t>ABHD5</t>
  </si>
  <si>
    <t>204164_at</t>
  </si>
  <si>
    <t>SIPA1</t>
  </si>
  <si>
    <t>207485_x_at</t>
  </si>
  <si>
    <t>BTN3A1</t>
  </si>
  <si>
    <t>208102_s_at</t>
  </si>
  <si>
    <t>PSD</t>
  </si>
  <si>
    <t>201212_at</t>
  </si>
  <si>
    <t>LGMN</t>
  </si>
  <si>
    <t>214492_at</t>
  </si>
  <si>
    <t>SGCD</t>
  </si>
  <si>
    <t>208505_s_at</t>
  </si>
  <si>
    <t>FUT2</t>
  </si>
  <si>
    <t>220186_s_at</t>
  </si>
  <si>
    <t>PCDH24</t>
  </si>
  <si>
    <t>221732_at</t>
  </si>
  <si>
    <t>200767_s_at</t>
  </si>
  <si>
    <t>FAM120A</t>
  </si>
  <si>
    <t>202475_at</t>
  </si>
  <si>
    <t>TMEM147</t>
  </si>
  <si>
    <t>202673_at</t>
  </si>
  <si>
    <t>DPM1</t>
  </si>
  <si>
    <t>218565_at</t>
  </si>
  <si>
    <t>C9orf114</t>
  </si>
  <si>
    <t>220522_at</t>
  </si>
  <si>
    <t>CRB1</t>
  </si>
  <si>
    <t>221139_s_at</t>
  </si>
  <si>
    <t>CSAD</t>
  </si>
  <si>
    <t>204574_s_at</t>
  </si>
  <si>
    <t>MMP19</t>
  </si>
  <si>
    <t>220535_at</t>
  </si>
  <si>
    <t>FAM90A1</t>
  </si>
  <si>
    <t>202090_s_at</t>
  </si>
  <si>
    <t>UQCR</t>
  </si>
  <si>
    <t>201452_at</t>
  </si>
  <si>
    <t>207404_s_at</t>
  </si>
  <si>
    <t>HTR1E</t>
  </si>
  <si>
    <t>210927_x_at</t>
  </si>
  <si>
    <t>JTB</t>
  </si>
  <si>
    <t>203592_s_at</t>
  </si>
  <si>
    <t>FSTL3</t>
  </si>
  <si>
    <t>206802_at</t>
  </si>
  <si>
    <t>PAX5</t>
  </si>
  <si>
    <t>207203_s_at</t>
  </si>
  <si>
    <t>NR1I2</t>
  </si>
  <si>
    <t>207819_s_at</t>
  </si>
  <si>
    <t>ABCB4</t>
  </si>
  <si>
    <t>208599_at</t>
  </si>
  <si>
    <t>210291_s_at</t>
  </si>
  <si>
    <t>ZNF174</t>
  </si>
  <si>
    <t>211360_s_at</t>
  </si>
  <si>
    <t>211434_s_at</t>
  </si>
  <si>
    <t>CCRL2</t>
  </si>
  <si>
    <t>211623_s_at</t>
  </si>
  <si>
    <t>FBL</t>
  </si>
  <si>
    <t>212604_at</t>
  </si>
  <si>
    <t>MRPS31</t>
  </si>
  <si>
    <t>212935_at</t>
  </si>
  <si>
    <t>217834_s_at</t>
  </si>
  <si>
    <t>221921_s_at</t>
  </si>
  <si>
    <t>CADM3</t>
  </si>
  <si>
    <t>210434_x_at</t>
  </si>
  <si>
    <t>219127_at</t>
  </si>
  <si>
    <t>ATAD4</t>
  </si>
  <si>
    <t>218219_s_at</t>
  </si>
  <si>
    <t>LANCL2</t>
  </si>
  <si>
    <t>221499_s_at</t>
  </si>
  <si>
    <t>STX16</t>
  </si>
  <si>
    <t>210663_s_at</t>
  </si>
  <si>
    <t>205379_at</t>
  </si>
  <si>
    <t>CBR3</t>
  </si>
  <si>
    <t>214879_x_at</t>
  </si>
  <si>
    <t>213374_x_at</t>
  </si>
  <si>
    <t>HIBCH</t>
  </si>
  <si>
    <t>209421_at</t>
  </si>
  <si>
    <t>MSH2</t>
  </si>
  <si>
    <t>217303_s_at</t>
  </si>
  <si>
    <t>ADRB3</t>
  </si>
  <si>
    <t>203420_at</t>
  </si>
  <si>
    <t>FAM8A1</t>
  </si>
  <si>
    <t>210069_at</t>
  </si>
  <si>
    <t>58367_s_at</t>
  </si>
  <si>
    <t>ZNF419</t>
  </si>
  <si>
    <t>201644_at</t>
  </si>
  <si>
    <t>TSTA3</t>
  </si>
  <si>
    <t>214178_s_at</t>
  </si>
  <si>
    <t>SOX2</t>
  </si>
  <si>
    <t>207457_s_at</t>
  </si>
  <si>
    <t>LY6G6D</t>
  </si>
  <si>
    <t>211063_s_at</t>
  </si>
  <si>
    <t>207925_at</t>
  </si>
  <si>
    <t>CST5</t>
  </si>
  <si>
    <t>202179_at</t>
  </si>
  <si>
    <t>BLMH</t>
  </si>
  <si>
    <t>209717_at</t>
  </si>
  <si>
    <t>EVI5</t>
  </si>
  <si>
    <t>222017_x_at</t>
  </si>
  <si>
    <t>209242_at</t>
  </si>
  <si>
    <t>PEG3</t>
  </si>
  <si>
    <t>202072_at</t>
  </si>
  <si>
    <t>HNRNPL</t>
  </si>
  <si>
    <t>202644_s_at</t>
  </si>
  <si>
    <t>203228_at</t>
  </si>
  <si>
    <t>PAFAH1B3</t>
  </si>
  <si>
    <t>204081_at</t>
  </si>
  <si>
    <t>NRGN</t>
  </si>
  <si>
    <t>205622_at</t>
  </si>
  <si>
    <t>SMPD2</t>
  </si>
  <si>
    <t>208607_s_at</t>
  </si>
  <si>
    <t>SAA1 /// SAA2</t>
  </si>
  <si>
    <t>211454_x_at</t>
  </si>
  <si>
    <t>FKSG49</t>
  </si>
  <si>
    <t>212503_s_at</t>
  </si>
  <si>
    <t>214765_s_at</t>
  </si>
  <si>
    <t>NAAA</t>
  </si>
  <si>
    <t>219205_at</t>
  </si>
  <si>
    <t>SRR</t>
  </si>
  <si>
    <t>219297_at</t>
  </si>
  <si>
    <t>WDR44</t>
  </si>
  <si>
    <t>220277_at</t>
  </si>
  <si>
    <t>CXXC4</t>
  </si>
  <si>
    <t>221442_at</t>
  </si>
  <si>
    <t>MC3R</t>
  </si>
  <si>
    <t>202980_s_at</t>
  </si>
  <si>
    <t>206235_at</t>
  </si>
  <si>
    <t>LIG4</t>
  </si>
  <si>
    <t>222250_s_at</t>
  </si>
  <si>
    <t>INTS7</t>
  </si>
  <si>
    <t>201566_x_at</t>
  </si>
  <si>
    <t>220643_s_at</t>
  </si>
  <si>
    <t>FAIM</t>
  </si>
  <si>
    <t>222125_s_at</t>
  </si>
  <si>
    <t>P4HTM</t>
  </si>
  <si>
    <t>204746_s_at</t>
  </si>
  <si>
    <t>PICK1</t>
  </si>
  <si>
    <t>202380_s_at</t>
  </si>
  <si>
    <t>211920_at</t>
  </si>
  <si>
    <t>CFB</t>
  </si>
  <si>
    <t>207136_at</t>
  </si>
  <si>
    <t>ARR3</t>
  </si>
  <si>
    <t>208623_s_at</t>
  </si>
  <si>
    <t>EZR</t>
  </si>
  <si>
    <t>208130_s_at</t>
  </si>
  <si>
    <t>TBXAS1</t>
  </si>
  <si>
    <t>221449_s_at</t>
  </si>
  <si>
    <t>ITFG1</t>
  </si>
  <si>
    <t>212451_at</t>
  </si>
  <si>
    <t>221552_at</t>
  </si>
  <si>
    <t>ABHD6</t>
  </si>
  <si>
    <t>33307_at</t>
  </si>
  <si>
    <t>202634_at</t>
  </si>
  <si>
    <t>POLR2K</t>
  </si>
  <si>
    <t>206831_s_at</t>
  </si>
  <si>
    <t>ARSD</t>
  </si>
  <si>
    <t>207436_x_at</t>
  </si>
  <si>
    <t>KIAA0894</t>
  </si>
  <si>
    <t>208720_s_at</t>
  </si>
  <si>
    <t>RBM39</t>
  </si>
  <si>
    <t>212570_at</t>
  </si>
  <si>
    <t>205665_at</t>
  </si>
  <si>
    <t>208911_s_at</t>
  </si>
  <si>
    <t>PDHB</t>
  </si>
  <si>
    <t>209897_s_at</t>
  </si>
  <si>
    <t>SLIT2</t>
  </si>
  <si>
    <t>210449_x_at</t>
  </si>
  <si>
    <t>211316_x_at</t>
  </si>
  <si>
    <t>CFLAR</t>
  </si>
  <si>
    <t>213501_at</t>
  </si>
  <si>
    <t>ACOX1</t>
  </si>
  <si>
    <t>217828_at</t>
  </si>
  <si>
    <t>SLTM</t>
  </si>
  <si>
    <t>201952_at</t>
  </si>
  <si>
    <t>ALCAM</t>
  </si>
  <si>
    <t>206824_at</t>
  </si>
  <si>
    <t>CES4</t>
  </si>
  <si>
    <t>216918_s_at</t>
  </si>
  <si>
    <t>DST</t>
  </si>
  <si>
    <t>220651_s_at</t>
  </si>
  <si>
    <t>MCM10</t>
  </si>
  <si>
    <t>217281_x_at</t>
  </si>
  <si>
    <t>IGH@ /// IGHA1 /// IGHA2 /// IGHG1 /// IGHG2 /// IGHG3 /// IGHM /// IGHV4-31 /// LOC100126583 /// LO</t>
  </si>
  <si>
    <t>210983_s_at</t>
  </si>
  <si>
    <t>200833_s_at</t>
  </si>
  <si>
    <t>hCG_1757335 /// RAP1B</t>
  </si>
  <si>
    <t>204095_s_at</t>
  </si>
  <si>
    <t>213914_s_at</t>
  </si>
  <si>
    <t>221464_at</t>
  </si>
  <si>
    <t>OR1D2</t>
  </si>
  <si>
    <t>206970_at</t>
  </si>
  <si>
    <t>CNTN2</t>
  </si>
  <si>
    <t>213178_s_at</t>
  </si>
  <si>
    <t>MAPK8IP3</t>
  </si>
  <si>
    <t>215482_s_at</t>
  </si>
  <si>
    <t>40359_at</t>
  </si>
  <si>
    <t>RASSF7</t>
  </si>
  <si>
    <t>217658_at</t>
  </si>
  <si>
    <t>219452_at</t>
  </si>
  <si>
    <t>DPEP2</t>
  </si>
  <si>
    <t>205088_at</t>
  </si>
  <si>
    <t>MAMLD1</t>
  </si>
  <si>
    <t>205336_at</t>
  </si>
  <si>
    <t>PVALB</t>
  </si>
  <si>
    <t>215699_x_at</t>
  </si>
  <si>
    <t>SFI1</t>
  </si>
  <si>
    <t>217113_at</t>
  </si>
  <si>
    <t>AMACR</t>
  </si>
  <si>
    <t>219766_at</t>
  </si>
  <si>
    <t>B9D2</t>
  </si>
  <si>
    <t>222032_s_at</t>
  </si>
  <si>
    <t>221777_at</t>
  </si>
  <si>
    <t>C12orf52</t>
  </si>
  <si>
    <t>201833_at</t>
  </si>
  <si>
    <t>HDAC2</t>
  </si>
  <si>
    <t>200734_s_at</t>
  </si>
  <si>
    <t>212958_x_at</t>
  </si>
  <si>
    <t>212567_s_at</t>
  </si>
  <si>
    <t>201995_at</t>
  </si>
  <si>
    <t>EXT1</t>
  </si>
  <si>
    <t>210688_s_at</t>
  </si>
  <si>
    <t>206907_at</t>
  </si>
  <si>
    <t>TNFSF9</t>
  </si>
  <si>
    <t>202158_s_at</t>
  </si>
  <si>
    <t>CUGBP2</t>
  </si>
  <si>
    <t>204699_s_at</t>
  </si>
  <si>
    <t>C1orf107</t>
  </si>
  <si>
    <t>212565_at</t>
  </si>
  <si>
    <t>STK38L</t>
  </si>
  <si>
    <t>209032_s_at</t>
  </si>
  <si>
    <t>CADM1</t>
  </si>
  <si>
    <t>208999_at</t>
  </si>
  <si>
    <t>213962_s_at</t>
  </si>
  <si>
    <t>ANKLE2</t>
  </si>
  <si>
    <t>219704_at</t>
  </si>
  <si>
    <t>YBX2</t>
  </si>
  <si>
    <t>200748_s_at</t>
  </si>
  <si>
    <t>FTH1</t>
  </si>
  <si>
    <t>206436_at</t>
  </si>
  <si>
    <t>MPPED1</t>
  </si>
  <si>
    <t>219370_at</t>
  </si>
  <si>
    <t>RPRM</t>
  </si>
  <si>
    <t>219535_at</t>
  </si>
  <si>
    <t>HUNK</t>
  </si>
  <si>
    <t>209140_x_at</t>
  </si>
  <si>
    <t>HLA-B</t>
  </si>
  <si>
    <t>216583_x_at</t>
  </si>
  <si>
    <t>216779_at</t>
  </si>
  <si>
    <t>CYLC1</t>
  </si>
  <si>
    <t>201317_s_at</t>
  </si>
  <si>
    <t>PSMA2</t>
  </si>
  <si>
    <t>201780_s_at</t>
  </si>
  <si>
    <t>RNF13</t>
  </si>
  <si>
    <t>209787_s_at</t>
  </si>
  <si>
    <t>219306_at</t>
  </si>
  <si>
    <t>KIF15</t>
  </si>
  <si>
    <t>200611_s_at</t>
  </si>
  <si>
    <t>212162_at</t>
  </si>
  <si>
    <t>KIDINS220</t>
  </si>
  <si>
    <t>217183_at</t>
  </si>
  <si>
    <t>LDLR</t>
  </si>
  <si>
    <t>205016_at</t>
  </si>
  <si>
    <t>206122_at</t>
  </si>
  <si>
    <t>SOX15</t>
  </si>
  <si>
    <t>208257_x_at</t>
  </si>
  <si>
    <t>PSG1</t>
  </si>
  <si>
    <t>210063_at</t>
  </si>
  <si>
    <t>SARDH</t>
  </si>
  <si>
    <t>212145_at</t>
  </si>
  <si>
    <t>MRPS27</t>
  </si>
  <si>
    <t>220443_s_at</t>
  </si>
  <si>
    <t>VAX2</t>
  </si>
  <si>
    <t>200622_x_at</t>
  </si>
  <si>
    <t>CALM3</t>
  </si>
  <si>
    <t>212577_at</t>
  </si>
  <si>
    <t>SMCHD1</t>
  </si>
  <si>
    <t>221944_at</t>
  </si>
  <si>
    <t>FLJ42627</t>
  </si>
  <si>
    <t>202571_s_at</t>
  </si>
  <si>
    <t>DLGAP4</t>
  </si>
  <si>
    <t>212297_at</t>
  </si>
  <si>
    <t>ATP13A3</t>
  </si>
  <si>
    <t>219632_s_at</t>
  </si>
  <si>
    <t>TRPV1</t>
  </si>
  <si>
    <t>204326_x_at</t>
  </si>
  <si>
    <t>204584_at</t>
  </si>
  <si>
    <t>214065_s_at</t>
  </si>
  <si>
    <t>215518_at</t>
  </si>
  <si>
    <t>STXBP5L</t>
  </si>
  <si>
    <t>219046_s_at</t>
  </si>
  <si>
    <t>PKNOX2</t>
  </si>
  <si>
    <t>220111_s_at</t>
  </si>
  <si>
    <t>ANO2</t>
  </si>
  <si>
    <t>212415_at</t>
  </si>
  <si>
    <t>202616_s_at</t>
  </si>
  <si>
    <t>212265_at</t>
  </si>
  <si>
    <t>220492_s_at</t>
  </si>
  <si>
    <t>OTOF</t>
  </si>
  <si>
    <t>217245_at</t>
  </si>
  <si>
    <t>EPAG</t>
  </si>
  <si>
    <t>218704_at</t>
  </si>
  <si>
    <t>RNF43</t>
  </si>
  <si>
    <t>219131_at</t>
  </si>
  <si>
    <t>UBIAD1</t>
  </si>
  <si>
    <t>217473_x_at</t>
  </si>
  <si>
    <t>222131_x_at</t>
  </si>
  <si>
    <t>RHOT2</t>
  </si>
  <si>
    <t>204187_at</t>
  </si>
  <si>
    <t>GMPR</t>
  </si>
  <si>
    <t>217115_at</t>
  </si>
  <si>
    <t>LOC100240726</t>
  </si>
  <si>
    <t>219401_at</t>
  </si>
  <si>
    <t>XYLT2</t>
  </si>
  <si>
    <t>203025_at</t>
  </si>
  <si>
    <t>ARD1A</t>
  </si>
  <si>
    <t>208321_s_at</t>
  </si>
  <si>
    <t>CABP1</t>
  </si>
  <si>
    <t>217193_x_at</t>
  </si>
  <si>
    <t>217534_at</t>
  </si>
  <si>
    <t>201733_at</t>
  </si>
  <si>
    <t>206358_at</t>
  </si>
  <si>
    <t>PRM1</t>
  </si>
  <si>
    <t>207193_at</t>
  </si>
  <si>
    <t>AGRP</t>
  </si>
  <si>
    <t>205188_s_at</t>
  </si>
  <si>
    <t>SMAD5</t>
  </si>
  <si>
    <t>212590_at</t>
  </si>
  <si>
    <t>208818_s_at</t>
  </si>
  <si>
    <t>219521_at</t>
  </si>
  <si>
    <t>B3GAT1</t>
  </si>
  <si>
    <t>207831_x_at</t>
  </si>
  <si>
    <t>DHPS</t>
  </si>
  <si>
    <t>212271_at</t>
  </si>
  <si>
    <t>35671_at</t>
  </si>
  <si>
    <t>GTF3C1</t>
  </si>
  <si>
    <t>201376_s_at</t>
  </si>
  <si>
    <t>HNRNPF</t>
  </si>
  <si>
    <t>202105_at</t>
  </si>
  <si>
    <t>IGBP1</t>
  </si>
  <si>
    <t>212620_at</t>
  </si>
  <si>
    <t>ZNF609</t>
  </si>
  <si>
    <t>217864_s_at</t>
  </si>
  <si>
    <t>PIAS1</t>
  </si>
  <si>
    <t>220019_s_at</t>
  </si>
  <si>
    <t>ZNF224</t>
  </si>
  <si>
    <t>221009_s_at</t>
  </si>
  <si>
    <t>ANGPTL4</t>
  </si>
  <si>
    <t>210459_at</t>
  </si>
  <si>
    <t>216537_s_at</t>
  </si>
  <si>
    <t>SIGLEC7</t>
  </si>
  <si>
    <t>205331_s_at</t>
  </si>
  <si>
    <t>REEP2</t>
  </si>
  <si>
    <t>213593_s_at</t>
  </si>
  <si>
    <t>TRA2A</t>
  </si>
  <si>
    <t>218373_at</t>
  </si>
  <si>
    <t>AKTIP</t>
  </si>
  <si>
    <t>205797_s_at</t>
  </si>
  <si>
    <t>TCP11L1</t>
  </si>
  <si>
    <t>213814_s_at</t>
  </si>
  <si>
    <t>205684_s_at</t>
  </si>
  <si>
    <t>DENND4C</t>
  </si>
  <si>
    <t>202999_s_at</t>
  </si>
  <si>
    <t>202523_s_at</t>
  </si>
  <si>
    <t>SPOCK2</t>
  </si>
  <si>
    <t>205521_at</t>
  </si>
  <si>
    <t>EXOG</t>
  </si>
  <si>
    <t>206352_s_at</t>
  </si>
  <si>
    <t>PEX10</t>
  </si>
  <si>
    <t>214548_x_at</t>
  </si>
  <si>
    <t>218899_s_at</t>
  </si>
  <si>
    <t>BAALC</t>
  </si>
  <si>
    <t>219889_at</t>
  </si>
  <si>
    <t>FRAT1</t>
  </si>
  <si>
    <t>222321_at</t>
  </si>
  <si>
    <t>AGTR2</t>
  </si>
  <si>
    <t>212533_at</t>
  </si>
  <si>
    <t>210187_at</t>
  </si>
  <si>
    <t>FKBP1A</t>
  </si>
  <si>
    <t>209727_at</t>
  </si>
  <si>
    <t>213650_at</t>
  </si>
  <si>
    <t>GOLGA8A /// GOLGA8B</t>
  </si>
  <si>
    <t>212841_s_at</t>
  </si>
  <si>
    <t>PPFIBP2</t>
  </si>
  <si>
    <t>213154_s_at</t>
  </si>
  <si>
    <t>BICD2</t>
  </si>
  <si>
    <t>214133_at</t>
  </si>
  <si>
    <t>MUC6</t>
  </si>
  <si>
    <t>49306_at</t>
  </si>
  <si>
    <t>201035_s_at</t>
  </si>
  <si>
    <t>202175_at</t>
  </si>
  <si>
    <t>CHPF</t>
  </si>
  <si>
    <t>209144_s_at</t>
  </si>
  <si>
    <t>CBFA2T2</t>
  </si>
  <si>
    <t>202583_s_at</t>
  </si>
  <si>
    <t>221791_s_at</t>
  </si>
  <si>
    <t>CCDC72</t>
  </si>
  <si>
    <t>211181_x_at</t>
  </si>
  <si>
    <t>201284_s_at</t>
  </si>
  <si>
    <t>APEH</t>
  </si>
  <si>
    <t>201492_s_at</t>
  </si>
  <si>
    <t>RPL41</t>
  </si>
  <si>
    <t>211986_at</t>
  </si>
  <si>
    <t>AHNAK</t>
  </si>
  <si>
    <t>220463_at</t>
  </si>
  <si>
    <t>TRPM3</t>
  </si>
  <si>
    <t>216296_at</t>
  </si>
  <si>
    <t>CLTA</t>
  </si>
  <si>
    <t>202016_at</t>
  </si>
  <si>
    <t>MEST</t>
  </si>
  <si>
    <t>220419_s_at</t>
  </si>
  <si>
    <t>USP25</t>
  </si>
  <si>
    <t>217759_at</t>
  </si>
  <si>
    <t>TRIM44</t>
  </si>
  <si>
    <t>218494_s_at</t>
  </si>
  <si>
    <t>SLC2A4RG</t>
  </si>
  <si>
    <t>218774_at</t>
  </si>
  <si>
    <t>DCPS</t>
  </si>
  <si>
    <t>208949_s_at</t>
  </si>
  <si>
    <t>LGALS3</t>
  </si>
  <si>
    <t>212022_s_at</t>
  </si>
  <si>
    <t>214445_at</t>
  </si>
  <si>
    <t>ELL2</t>
  </si>
  <si>
    <t>218878_s_at</t>
  </si>
  <si>
    <t>SIRT1</t>
  </si>
  <si>
    <t>221609_s_at</t>
  </si>
  <si>
    <t>WNT6</t>
  </si>
  <si>
    <t>203176_s_at</t>
  </si>
  <si>
    <t>221783_at</t>
  </si>
  <si>
    <t>WIZ</t>
  </si>
  <si>
    <t>203781_at</t>
  </si>
  <si>
    <t>MRPL33</t>
  </si>
  <si>
    <t>218936_s_at</t>
  </si>
  <si>
    <t>CCDC59</t>
  </si>
  <si>
    <t>201456_s_at</t>
  </si>
  <si>
    <t>211252_x_at</t>
  </si>
  <si>
    <t>PTCRA</t>
  </si>
  <si>
    <t>205561_at</t>
  </si>
  <si>
    <t>KCTD17</t>
  </si>
  <si>
    <t>207683_at</t>
  </si>
  <si>
    <t>FOXN1</t>
  </si>
  <si>
    <t>211534_x_at</t>
  </si>
  <si>
    <t>PTPRN2</t>
  </si>
  <si>
    <t>214471_x_at</t>
  </si>
  <si>
    <t>LHB</t>
  </si>
  <si>
    <t>213860_x_at</t>
  </si>
  <si>
    <t>204424_s_at</t>
  </si>
  <si>
    <t>LMO3</t>
  </si>
  <si>
    <t>205095_s_at</t>
  </si>
  <si>
    <t>ATP6V0A1</t>
  </si>
  <si>
    <t>218463_s_at</t>
  </si>
  <si>
    <t>MUS81</t>
  </si>
  <si>
    <t>221533_at</t>
  </si>
  <si>
    <t>FAM162A</t>
  </si>
  <si>
    <t>208313_s_at</t>
  </si>
  <si>
    <t>SF1</t>
  </si>
  <si>
    <t>220106_at</t>
  </si>
  <si>
    <t>NPC1L1</t>
  </si>
  <si>
    <t>200856_x_at</t>
  </si>
  <si>
    <t>C20orf191 /// LOC100131704 /// NCOR1</t>
  </si>
  <si>
    <t>205484_at</t>
  </si>
  <si>
    <t>SIT1</t>
  </si>
  <si>
    <t>207141_s_at</t>
  </si>
  <si>
    <t>KCNJ3</t>
  </si>
  <si>
    <t>210633_x_at</t>
  </si>
  <si>
    <t>214335_at</t>
  </si>
  <si>
    <t>RPL18</t>
  </si>
  <si>
    <t>221617_at</t>
  </si>
  <si>
    <t>TAF9B</t>
  </si>
  <si>
    <t>210405_x_at</t>
  </si>
  <si>
    <t>210681_s_at</t>
  </si>
  <si>
    <t>220018_at</t>
  </si>
  <si>
    <t>CBLL1</t>
  </si>
  <si>
    <t>203689_s_at</t>
  </si>
  <si>
    <t>215832_x_at</t>
  </si>
  <si>
    <t>PICALM</t>
  </si>
  <si>
    <t>206077_at</t>
  </si>
  <si>
    <t>KEL</t>
  </si>
  <si>
    <t>200693_at</t>
  </si>
  <si>
    <t>YWHAQ</t>
  </si>
  <si>
    <t>201914_s_at</t>
  </si>
  <si>
    <t>202088_at</t>
  </si>
  <si>
    <t>SLC39A6</t>
  </si>
  <si>
    <t>206062_at</t>
  </si>
  <si>
    <t>GUCA1A</t>
  </si>
  <si>
    <t>208051_s_at</t>
  </si>
  <si>
    <t>208052_x_at</t>
  </si>
  <si>
    <t>209272_at</t>
  </si>
  <si>
    <t>NAB1</t>
  </si>
  <si>
    <t>210753_s_at</t>
  </si>
  <si>
    <t>EPHB1</t>
  </si>
  <si>
    <t>211704_s_at</t>
  </si>
  <si>
    <t>SPIN2A /// SPIN2B</t>
  </si>
  <si>
    <t>212699_at</t>
  </si>
  <si>
    <t>SCAMP5</t>
  </si>
  <si>
    <t>213205_s_at</t>
  </si>
  <si>
    <t>RAD54L2</t>
  </si>
  <si>
    <t>213723_s_at</t>
  </si>
  <si>
    <t>IDUA</t>
  </si>
  <si>
    <t>214933_at</t>
  </si>
  <si>
    <t>CACNA1A</t>
  </si>
  <si>
    <t>215411_s_at</t>
  </si>
  <si>
    <t>TRAF3IP2</t>
  </si>
  <si>
    <t>216759_at</t>
  </si>
  <si>
    <t>219027_s_at</t>
  </si>
  <si>
    <t>MYO9A</t>
  </si>
  <si>
    <t>220901_at</t>
  </si>
  <si>
    <t>GPR157</t>
  </si>
  <si>
    <t>221328_at</t>
  </si>
  <si>
    <t>CLDN17</t>
  </si>
  <si>
    <t>209508_x_at</t>
  </si>
  <si>
    <t>201353_s_at</t>
  </si>
  <si>
    <t>217011_at</t>
  </si>
  <si>
    <t>GBX1</t>
  </si>
  <si>
    <t>219107_at</t>
  </si>
  <si>
    <t>BCAN</t>
  </si>
  <si>
    <t>55692_at</t>
  </si>
  <si>
    <t>218882_s_at</t>
  </si>
  <si>
    <t>WDR3</t>
  </si>
  <si>
    <t>209003_at</t>
  </si>
  <si>
    <t>SLC25A11</t>
  </si>
  <si>
    <t>221621_at</t>
  </si>
  <si>
    <t>C17orf86</t>
  </si>
  <si>
    <t>206278_at</t>
  </si>
  <si>
    <t>PTAFR</t>
  </si>
  <si>
    <t>38069_at</t>
  </si>
  <si>
    <t>212519_at</t>
  </si>
  <si>
    <t>UBE2E1</t>
  </si>
  <si>
    <t>205260_s_at</t>
  </si>
  <si>
    <t>ACYP1</t>
  </si>
  <si>
    <t>208384_s_at</t>
  </si>
  <si>
    <t>MID2</t>
  </si>
  <si>
    <t>218296_x_at</t>
  </si>
  <si>
    <t>MSTO1 /// MSTO2P</t>
  </si>
  <si>
    <t>208889_s_at</t>
  </si>
  <si>
    <t>204988_at</t>
  </si>
  <si>
    <t>FGB</t>
  </si>
  <si>
    <t>206093_x_at</t>
  </si>
  <si>
    <t>TNXA /// TNXB</t>
  </si>
  <si>
    <t>208184_s_at</t>
  </si>
  <si>
    <t>212771_at</t>
  </si>
  <si>
    <t>FAM171A1</t>
  </si>
  <si>
    <t>214560_at</t>
  </si>
  <si>
    <t>FPR3</t>
  </si>
  <si>
    <t>219268_at</t>
  </si>
  <si>
    <t>ETNK2</t>
  </si>
  <si>
    <t>221587_s_at</t>
  </si>
  <si>
    <t>C19orf24</t>
  </si>
  <si>
    <t>201740_at</t>
  </si>
  <si>
    <t>NDUFS3</t>
  </si>
  <si>
    <t>204972_at</t>
  </si>
  <si>
    <t>219472_at</t>
  </si>
  <si>
    <t>CENPO</t>
  </si>
  <si>
    <t>200916_at</t>
  </si>
  <si>
    <t>201233_at</t>
  </si>
  <si>
    <t>PSMD13</t>
  </si>
  <si>
    <t>208631_s_at</t>
  </si>
  <si>
    <t>209091_s_at</t>
  </si>
  <si>
    <t>219680_at</t>
  </si>
  <si>
    <t>NLRX1</t>
  </si>
  <si>
    <t>220128_s_at</t>
  </si>
  <si>
    <t>NIPAL2</t>
  </si>
  <si>
    <t>204224_s_at</t>
  </si>
  <si>
    <t>GCH1</t>
  </si>
  <si>
    <t>211125_x_at</t>
  </si>
  <si>
    <t>GRIN1</t>
  </si>
  <si>
    <t>213055_at</t>
  </si>
  <si>
    <t>CD47</t>
  </si>
  <si>
    <t>221234_s_at</t>
  </si>
  <si>
    <t>BACH2</t>
  </si>
  <si>
    <t>216821_at</t>
  </si>
  <si>
    <t>KRT8 /// LOC149501</t>
  </si>
  <si>
    <t>208619_at</t>
  </si>
  <si>
    <t>DDB1</t>
  </si>
  <si>
    <t>207945_s_at</t>
  </si>
  <si>
    <t>CSNK1D</t>
  </si>
  <si>
    <t>209017_s_at</t>
  </si>
  <si>
    <t>LONP1</t>
  </si>
  <si>
    <t>216938_x_at</t>
  </si>
  <si>
    <t>221657_s_at</t>
  </si>
  <si>
    <t>ASB6</t>
  </si>
  <si>
    <t>212810_s_at</t>
  </si>
  <si>
    <t>SLC1A4</t>
  </si>
  <si>
    <t>215498_s_at</t>
  </si>
  <si>
    <t>MAP2K3</t>
  </si>
  <si>
    <t>221782_at</t>
  </si>
  <si>
    <t>DNAJC10</t>
  </si>
  <si>
    <t>31846_at</t>
  </si>
  <si>
    <t>RHOD</t>
  </si>
  <si>
    <t>210678_s_at</t>
  </si>
  <si>
    <t>211025_x_at</t>
  </si>
  <si>
    <t>221436_s_at</t>
  </si>
  <si>
    <t>CDCA3</t>
  </si>
  <si>
    <t>200050_at</t>
  </si>
  <si>
    <t>ZNF146</t>
  </si>
  <si>
    <t>200859_x_at</t>
  </si>
  <si>
    <t>FLNA</t>
  </si>
  <si>
    <t>201394_s_at</t>
  </si>
  <si>
    <t>205077_s_at</t>
  </si>
  <si>
    <t>PIGF</t>
  </si>
  <si>
    <t>206118_at</t>
  </si>
  <si>
    <t>STAT4</t>
  </si>
  <si>
    <t>207421_at</t>
  </si>
  <si>
    <t>CA5A</t>
  </si>
  <si>
    <t>217635_s_at</t>
  </si>
  <si>
    <t>POLG</t>
  </si>
  <si>
    <t>217667_at</t>
  </si>
  <si>
    <t>LOC729799</t>
  </si>
  <si>
    <t>218083_at</t>
  </si>
  <si>
    <t>PTGES2</t>
  </si>
  <si>
    <t>215860_at</t>
  </si>
  <si>
    <t>202034_x_at</t>
  </si>
  <si>
    <t>218279_s_at</t>
  </si>
  <si>
    <t>HIST2H2AA3</t>
  </si>
  <si>
    <t>220895_at</t>
  </si>
  <si>
    <t>USP29</t>
  </si>
  <si>
    <t>204447_at</t>
  </si>
  <si>
    <t>ProSAPiP1</t>
  </si>
  <si>
    <t>218952_at</t>
  </si>
  <si>
    <t>PCSK1N</t>
  </si>
  <si>
    <t>219591_at</t>
  </si>
  <si>
    <t>CEND1</t>
  </si>
  <si>
    <t>220245_at</t>
  </si>
  <si>
    <t>SLC45A2</t>
  </si>
  <si>
    <t>202436_s_at</t>
  </si>
  <si>
    <t>CYP1B1</t>
  </si>
  <si>
    <t>209590_at</t>
  </si>
  <si>
    <t>202872_at</t>
  </si>
  <si>
    <t>31807_at</t>
  </si>
  <si>
    <t>DDX49</t>
  </si>
  <si>
    <t>214752_x_at</t>
  </si>
  <si>
    <t>222042_x_at</t>
  </si>
  <si>
    <t>MEX3D</t>
  </si>
  <si>
    <t>200998_s_at</t>
  </si>
  <si>
    <t>CKAP4</t>
  </si>
  <si>
    <t>202565_s_at</t>
  </si>
  <si>
    <t>SVIL</t>
  </si>
  <si>
    <t>202575_at</t>
  </si>
  <si>
    <t>CRABP2</t>
  </si>
  <si>
    <t>204090_at</t>
  </si>
  <si>
    <t>207821_s_at</t>
  </si>
  <si>
    <t>209729_at</t>
  </si>
  <si>
    <t>GAS2L1</t>
  </si>
  <si>
    <t>211151_x_at</t>
  </si>
  <si>
    <t>215849_x_at</t>
  </si>
  <si>
    <t>TTC18</t>
  </si>
  <si>
    <t>216603_at</t>
  </si>
  <si>
    <t>218653_at</t>
  </si>
  <si>
    <t>SLC25A15</t>
  </si>
  <si>
    <t>214721_x_at</t>
  </si>
  <si>
    <t>CDC42EP4</t>
  </si>
  <si>
    <t>211263_s_at</t>
  </si>
  <si>
    <t>215649_s_at</t>
  </si>
  <si>
    <t>217732_s_at</t>
  </si>
  <si>
    <t>202938_x_at</t>
  </si>
  <si>
    <t>217077_s_at</t>
  </si>
  <si>
    <t>216015_s_at</t>
  </si>
  <si>
    <t>213882_at</t>
  </si>
  <si>
    <t>TM2D1</t>
  </si>
  <si>
    <t>217870_s_at</t>
  </si>
  <si>
    <t>CMPK1</t>
  </si>
  <si>
    <t>219863_at</t>
  </si>
  <si>
    <t>HERC5</t>
  </si>
  <si>
    <t>205052_at</t>
  </si>
  <si>
    <t>AUH</t>
  </si>
  <si>
    <t>207209_at</t>
  </si>
  <si>
    <t>CETN1</t>
  </si>
  <si>
    <t>214501_s_at</t>
  </si>
  <si>
    <t>H2AFY</t>
  </si>
  <si>
    <t>222087_at</t>
  </si>
  <si>
    <t>PVT1</t>
  </si>
  <si>
    <t>201548_s_at</t>
  </si>
  <si>
    <t>KDM5B</t>
  </si>
  <si>
    <t>203057_s_at</t>
  </si>
  <si>
    <t>207152_at</t>
  </si>
  <si>
    <t>NTRK2</t>
  </si>
  <si>
    <t>216387_x_at</t>
  </si>
  <si>
    <t>LOC399804</t>
  </si>
  <si>
    <t>204493_at</t>
  </si>
  <si>
    <t>BID</t>
  </si>
  <si>
    <t>201250_s_at</t>
  </si>
  <si>
    <t>SLC2A1</t>
  </si>
  <si>
    <t>200718_s_at</t>
  </si>
  <si>
    <t>SKP1</t>
  </si>
  <si>
    <t>213188_s_at</t>
  </si>
  <si>
    <t>MINA</t>
  </si>
  <si>
    <t>217867_x_at</t>
  </si>
  <si>
    <t>BACE2</t>
  </si>
  <si>
    <t>201624_at</t>
  </si>
  <si>
    <t>203367_at</t>
  </si>
  <si>
    <t>DUSP14</t>
  </si>
  <si>
    <t>206413_s_at</t>
  </si>
  <si>
    <t>TCL1B</t>
  </si>
  <si>
    <t>208217_at</t>
  </si>
  <si>
    <t>GABRR2</t>
  </si>
  <si>
    <t>208625_s_at</t>
  </si>
  <si>
    <t>EIF4G1</t>
  </si>
  <si>
    <t>211296_x_at</t>
  </si>
  <si>
    <t>UBC</t>
  </si>
  <si>
    <t>221253_s_at</t>
  </si>
  <si>
    <t>TXNDC5</t>
  </si>
  <si>
    <t>200072_s_at</t>
  </si>
  <si>
    <t>HNRNPM</t>
  </si>
  <si>
    <t>218638_s_at</t>
  </si>
  <si>
    <t>SPON2</t>
  </si>
  <si>
    <t>208868_s_at</t>
  </si>
  <si>
    <t>GABARAPL1</t>
  </si>
  <si>
    <t>210412_at</t>
  </si>
  <si>
    <t>GRIN2B</t>
  </si>
  <si>
    <t>213557_at</t>
  </si>
  <si>
    <t>215203_at</t>
  </si>
  <si>
    <t>GOLGA4</t>
  </si>
  <si>
    <t>179_at</t>
  </si>
  <si>
    <t>PMS2L11</t>
  </si>
  <si>
    <t>204117_at</t>
  </si>
  <si>
    <t>204436_at</t>
  </si>
  <si>
    <t>PLEKHO2</t>
  </si>
  <si>
    <t>212064_x_at</t>
  </si>
  <si>
    <t>MAZ</t>
  </si>
  <si>
    <t>212659_s_at</t>
  </si>
  <si>
    <t>213611_at</t>
  </si>
  <si>
    <t>AQP5</t>
  </si>
  <si>
    <t>215678_at</t>
  </si>
  <si>
    <t>LOC440792</t>
  </si>
  <si>
    <t>216196_at</t>
  </si>
  <si>
    <t>LOC440366</t>
  </si>
  <si>
    <t>AFFX-HSAC07/X00351_3_at</t>
  </si>
  <si>
    <t>1494_f_at</t>
  </si>
  <si>
    <t>208593_x_at</t>
  </si>
  <si>
    <t>CRHR1</t>
  </si>
  <si>
    <t>211634_x_at</t>
  </si>
  <si>
    <t>IGHM /// LOC100133862</t>
  </si>
  <si>
    <t>205036_at</t>
  </si>
  <si>
    <t>LSM6</t>
  </si>
  <si>
    <t>200701_at</t>
  </si>
  <si>
    <t>NPC2</t>
  </si>
  <si>
    <t>209650_s_at</t>
  </si>
  <si>
    <t>TBC1D22A</t>
  </si>
  <si>
    <t>219352_at</t>
  </si>
  <si>
    <t>HERC6</t>
  </si>
  <si>
    <t>204252_at</t>
  </si>
  <si>
    <t>CDK2</t>
  </si>
  <si>
    <t>203433_at</t>
  </si>
  <si>
    <t>MTHFS</t>
  </si>
  <si>
    <t>206053_at</t>
  </si>
  <si>
    <t>ZNF510</t>
  </si>
  <si>
    <t>210561_s_at</t>
  </si>
  <si>
    <t>214377_s_at</t>
  </si>
  <si>
    <t>CTRL</t>
  </si>
  <si>
    <t>216364_s_at</t>
  </si>
  <si>
    <t>218811_at</t>
  </si>
  <si>
    <t>ORAI2</t>
  </si>
  <si>
    <t>206396_at</t>
  </si>
  <si>
    <t>SLC1A1</t>
  </si>
  <si>
    <t>212687_at</t>
  </si>
  <si>
    <t>212758_s_at</t>
  </si>
  <si>
    <t>ZEB1</t>
  </si>
  <si>
    <t>207435_s_at</t>
  </si>
  <si>
    <t>213327_s_at</t>
  </si>
  <si>
    <t>218831_s_at</t>
  </si>
  <si>
    <t>FCGRT</t>
  </si>
  <si>
    <t>221759_at</t>
  </si>
  <si>
    <t>212890_at</t>
  </si>
  <si>
    <t>SLC38A10</t>
  </si>
  <si>
    <t>206411_s_at</t>
  </si>
  <si>
    <t>ABL2</t>
  </si>
  <si>
    <t>201746_at</t>
  </si>
  <si>
    <t>TP53</t>
  </si>
  <si>
    <t>204856_at</t>
  </si>
  <si>
    <t>B3GNT3</t>
  </si>
  <si>
    <t>206686_at</t>
  </si>
  <si>
    <t>PDK1</t>
  </si>
  <si>
    <t>206768_at</t>
  </si>
  <si>
    <t>RPL3L</t>
  </si>
  <si>
    <t>208202_s_at</t>
  </si>
  <si>
    <t>209354_at</t>
  </si>
  <si>
    <t>TNFRSF14</t>
  </si>
  <si>
    <t>209660_at</t>
  </si>
  <si>
    <t>TTR</t>
  </si>
  <si>
    <t>209982_s_at</t>
  </si>
  <si>
    <t>NRXN2</t>
  </si>
  <si>
    <t>210394_x_at</t>
  </si>
  <si>
    <t>SSX4 /// SSX4B</t>
  </si>
  <si>
    <t>210686_x_at</t>
  </si>
  <si>
    <t>SLC25A16</t>
  </si>
  <si>
    <t>211767_at</t>
  </si>
  <si>
    <t>GINS4</t>
  </si>
  <si>
    <t>212600_s_at</t>
  </si>
  <si>
    <t>UQCRC2</t>
  </si>
  <si>
    <t>213138_at</t>
  </si>
  <si>
    <t>ARID5A</t>
  </si>
  <si>
    <t>218738_s_at</t>
  </si>
  <si>
    <t>RNF138</t>
  </si>
  <si>
    <t>219719_at</t>
  </si>
  <si>
    <t>HIGD1B</t>
  </si>
  <si>
    <t>217711_at</t>
  </si>
  <si>
    <t>TEK</t>
  </si>
  <si>
    <t>200020_at</t>
  </si>
  <si>
    <t>44822_s_at</t>
  </si>
  <si>
    <t>205134_s_at</t>
  </si>
  <si>
    <t>NUFIP1</t>
  </si>
  <si>
    <t>202326_at</t>
  </si>
  <si>
    <t>EHMT2</t>
  </si>
  <si>
    <t>205359_at</t>
  </si>
  <si>
    <t>AKAP6</t>
  </si>
  <si>
    <t>207839_s_at</t>
  </si>
  <si>
    <t>TMEM8B</t>
  </si>
  <si>
    <t>210987_x_at</t>
  </si>
  <si>
    <t>TPM1</t>
  </si>
  <si>
    <t>219158_s_at</t>
  </si>
  <si>
    <t>NARG1</t>
  </si>
  <si>
    <t>207282_s_at</t>
  </si>
  <si>
    <t>MYOG</t>
  </si>
  <si>
    <t>213207_s_at</t>
  </si>
  <si>
    <t>GOSR2</t>
  </si>
  <si>
    <t>214525_x_at</t>
  </si>
  <si>
    <t>203365_s_at</t>
  </si>
  <si>
    <t>MMP15</t>
  </si>
  <si>
    <t>207283_at</t>
  </si>
  <si>
    <t>RPL23AP32</t>
  </si>
  <si>
    <t>208622_s_at</t>
  </si>
  <si>
    <t>208917_x_at</t>
  </si>
  <si>
    <t>213231_at</t>
  </si>
  <si>
    <t>217219_at</t>
  </si>
  <si>
    <t>LOC26102</t>
  </si>
  <si>
    <t>220501_at</t>
  </si>
  <si>
    <t>ACTL7A</t>
  </si>
  <si>
    <t>208660_at</t>
  </si>
  <si>
    <t>CS</t>
  </si>
  <si>
    <t>211733_x_at</t>
  </si>
  <si>
    <t>208701_at</t>
  </si>
  <si>
    <t>215916_at</t>
  </si>
  <si>
    <t>CHRNE</t>
  </si>
  <si>
    <t>219215_s_at</t>
  </si>
  <si>
    <t>SLC39A4</t>
  </si>
  <si>
    <t>201240_s_at</t>
  </si>
  <si>
    <t>LOC653566 /// SPCS2</t>
  </si>
  <si>
    <t>220110_s_at</t>
  </si>
  <si>
    <t>NXF3</t>
  </si>
  <si>
    <t>221865_at</t>
  </si>
  <si>
    <t>C9orf91</t>
  </si>
  <si>
    <t>213634_s_at</t>
  </si>
  <si>
    <t>TRMU</t>
  </si>
  <si>
    <t>219184_x_at</t>
  </si>
  <si>
    <t>TIMM22</t>
  </si>
  <si>
    <t>214444_s_at</t>
  </si>
  <si>
    <t>PVR</t>
  </si>
  <si>
    <t>217861_s_at</t>
  </si>
  <si>
    <t>PREB</t>
  </si>
  <si>
    <t>218758_s_at</t>
  </si>
  <si>
    <t>RRP1</t>
  </si>
  <si>
    <t>219920_s_at</t>
  </si>
  <si>
    <t>GMPPB</t>
  </si>
  <si>
    <t>212761_at</t>
  </si>
  <si>
    <t>217980_s_at</t>
  </si>
  <si>
    <t>MRPL16</t>
  </si>
  <si>
    <t>207956_x_at</t>
  </si>
  <si>
    <t>PDS5B</t>
  </si>
  <si>
    <t>218355_at</t>
  </si>
  <si>
    <t>KIF4A</t>
  </si>
  <si>
    <t>218940_at</t>
  </si>
  <si>
    <t>C14orf138</t>
  </si>
  <si>
    <t>219002_at</t>
  </si>
  <si>
    <t>FASTKD1</t>
  </si>
  <si>
    <t>219266_at</t>
  </si>
  <si>
    <t>ZNF350</t>
  </si>
  <si>
    <t>220482_s_at</t>
  </si>
  <si>
    <t>SERGEF</t>
  </si>
  <si>
    <t>206749_at</t>
  </si>
  <si>
    <t>CD1B</t>
  </si>
  <si>
    <t>216986_s_at</t>
  </si>
  <si>
    <t>207425_s_at</t>
  </si>
  <si>
    <t>209317_at</t>
  </si>
  <si>
    <t>POLR1C</t>
  </si>
  <si>
    <t>209837_at</t>
  </si>
  <si>
    <t>AP4M1</t>
  </si>
  <si>
    <t>214609_at</t>
  </si>
  <si>
    <t>PHOX2A</t>
  </si>
  <si>
    <t>221490_at</t>
  </si>
  <si>
    <t>UBAP1</t>
  </si>
  <si>
    <t>213440_at</t>
  </si>
  <si>
    <t>208237_x_at</t>
  </si>
  <si>
    <t>ADAM22</t>
  </si>
  <si>
    <t>210786_s_at</t>
  </si>
  <si>
    <t>FLI1</t>
  </si>
  <si>
    <t>214500_at</t>
  </si>
  <si>
    <t>219516_at</t>
  </si>
  <si>
    <t>TRPV4</t>
  </si>
  <si>
    <t>202591_s_at</t>
  </si>
  <si>
    <t>SSBP1</t>
  </si>
  <si>
    <t>214676_x_at</t>
  </si>
  <si>
    <t>LOC100134674 /// MUC3A /// MUC3B</t>
  </si>
  <si>
    <t>215119_at</t>
  </si>
  <si>
    <t>MYO16</t>
  </si>
  <si>
    <t>206733_at</t>
  </si>
  <si>
    <t>TULP2</t>
  </si>
  <si>
    <t>205300_s_at</t>
  </si>
  <si>
    <t>SNRNP35</t>
  </si>
  <si>
    <t>209534_x_at</t>
  </si>
  <si>
    <t>AKAP13</t>
  </si>
  <si>
    <t>211142_x_at</t>
  </si>
  <si>
    <t>HLA-DOA</t>
  </si>
  <si>
    <t>204904_at</t>
  </si>
  <si>
    <t>GJA4</t>
  </si>
  <si>
    <t>205875_s_at</t>
  </si>
  <si>
    <t>210422_x_at</t>
  </si>
  <si>
    <t>211048_s_at</t>
  </si>
  <si>
    <t>PDIA4</t>
  </si>
  <si>
    <t>214060_at</t>
  </si>
  <si>
    <t>211595_s_at</t>
  </si>
  <si>
    <t>MRPS11</t>
  </si>
  <si>
    <t>206555_s_at</t>
  </si>
  <si>
    <t>THUMPD1</t>
  </si>
  <si>
    <t>221915_s_at</t>
  </si>
  <si>
    <t>222138_s_at</t>
  </si>
  <si>
    <t>WDR13</t>
  </si>
  <si>
    <t>204500_s_at</t>
  </si>
  <si>
    <t>209133_s_at</t>
  </si>
  <si>
    <t>COMMD4</t>
  </si>
  <si>
    <t>213812_s_at</t>
  </si>
  <si>
    <t>CAMKK2</t>
  </si>
  <si>
    <t>221002_s_at</t>
  </si>
  <si>
    <t>TSPAN14</t>
  </si>
  <si>
    <t>218277_s_at</t>
  </si>
  <si>
    <t>DHX40</t>
  </si>
  <si>
    <t>201625_s_at</t>
  </si>
  <si>
    <t>206393_at</t>
  </si>
  <si>
    <t>TNNI2</t>
  </si>
  <si>
    <t>208178_x_at</t>
  </si>
  <si>
    <t>218681_s_at</t>
  </si>
  <si>
    <t>SDF2L1</t>
  </si>
  <si>
    <t>220420_at</t>
  </si>
  <si>
    <t>LMAN1L</t>
  </si>
  <si>
    <t>200801_x_at</t>
  </si>
  <si>
    <t>213202_at</t>
  </si>
  <si>
    <t>SETD1A</t>
  </si>
  <si>
    <t>200031_s_at</t>
  </si>
  <si>
    <t>204171_at</t>
  </si>
  <si>
    <t>RPS6KB1</t>
  </si>
  <si>
    <t>208703_s_at</t>
  </si>
  <si>
    <t>210626_at</t>
  </si>
  <si>
    <t>215371_at</t>
  </si>
  <si>
    <t>217493_x_at</t>
  </si>
  <si>
    <t>218184_at</t>
  </si>
  <si>
    <t>TULP4</t>
  </si>
  <si>
    <t>219349_s_at</t>
  </si>
  <si>
    <t>EXOC2</t>
  </si>
  <si>
    <t>208451_s_at</t>
  </si>
  <si>
    <t>C4A /// C4B /// LOC100292046 /// LOC100294156</t>
  </si>
  <si>
    <t>214955_at</t>
  </si>
  <si>
    <t>TMPRSS6</t>
  </si>
  <si>
    <t>202098_s_at</t>
  </si>
  <si>
    <t>214498_at</t>
  </si>
  <si>
    <t>ASIP</t>
  </si>
  <si>
    <t>207651_at</t>
  </si>
  <si>
    <t>GPR171</t>
  </si>
  <si>
    <t>218895_at</t>
  </si>
  <si>
    <t>GPATCH3</t>
  </si>
  <si>
    <t>201787_at</t>
  </si>
  <si>
    <t>202773_s_at</t>
  </si>
  <si>
    <t>212434_at</t>
  </si>
  <si>
    <t>GRPEL1</t>
  </si>
  <si>
    <t>205897_at</t>
  </si>
  <si>
    <t>205511_at</t>
  </si>
  <si>
    <t>213542_at</t>
  </si>
  <si>
    <t>ZNF710</t>
  </si>
  <si>
    <t>222263_at</t>
  </si>
  <si>
    <t>218175_at</t>
  </si>
  <si>
    <t>CCDC92</t>
  </si>
  <si>
    <t>203822_s_at</t>
  </si>
  <si>
    <t>222212_s_at</t>
  </si>
  <si>
    <t>LASS2</t>
  </si>
  <si>
    <t>211350_s_at</t>
  </si>
  <si>
    <t>C6orf54</t>
  </si>
  <si>
    <t>210650_s_at</t>
  </si>
  <si>
    <t>206108_s_at</t>
  </si>
  <si>
    <t>218389_s_at</t>
  </si>
  <si>
    <t>APH1A</t>
  </si>
  <si>
    <t>205102_at</t>
  </si>
  <si>
    <t>TMPRSS2</t>
  </si>
  <si>
    <t>215961_at</t>
  </si>
  <si>
    <t>222102_at</t>
  </si>
  <si>
    <t>GSTA3</t>
  </si>
  <si>
    <t>204690_at</t>
  </si>
  <si>
    <t>STX8</t>
  </si>
  <si>
    <t>217074_at</t>
  </si>
  <si>
    <t>SMOX</t>
  </si>
  <si>
    <t>216515_x_at</t>
  </si>
  <si>
    <t>200643_at</t>
  </si>
  <si>
    <t>HDLBP</t>
  </si>
  <si>
    <t>203583_at</t>
  </si>
  <si>
    <t>UNC50</t>
  </si>
  <si>
    <t>206388_at</t>
  </si>
  <si>
    <t>PDE3A</t>
  </si>
  <si>
    <t>206500_s_at</t>
  </si>
  <si>
    <t>C14orf106</t>
  </si>
  <si>
    <t>204378_at</t>
  </si>
  <si>
    <t>BCAS1</t>
  </si>
  <si>
    <t>210276_s_at</t>
  </si>
  <si>
    <t>NOL12 /// TRIOBP</t>
  </si>
  <si>
    <t>213465_s_at</t>
  </si>
  <si>
    <t>213636_at</t>
  </si>
  <si>
    <t>KIAA1045</t>
  </si>
  <si>
    <t>205074_at</t>
  </si>
  <si>
    <t>SLC22A5</t>
  </si>
  <si>
    <t>208090_s_at</t>
  </si>
  <si>
    <t>AIRE</t>
  </si>
  <si>
    <t>208874_x_at</t>
  </si>
  <si>
    <t>200944_s_at</t>
  </si>
  <si>
    <t>HMGN1</t>
  </si>
  <si>
    <t>216220_s_at</t>
  </si>
  <si>
    <t>ADORA1</t>
  </si>
  <si>
    <t>218841_at</t>
  </si>
  <si>
    <t>ASB8</t>
  </si>
  <si>
    <t>217597_x_at</t>
  </si>
  <si>
    <t>RAB40B</t>
  </si>
  <si>
    <t>220599_s_at</t>
  </si>
  <si>
    <t>215263_at</t>
  </si>
  <si>
    <t>ZXDA /// ZXDB</t>
  </si>
  <si>
    <t>217976_s_at</t>
  </si>
  <si>
    <t>DYNC1LI1</t>
  </si>
  <si>
    <t>213601_at</t>
  </si>
  <si>
    <t>214470_at</t>
  </si>
  <si>
    <t>KLRB1</t>
  </si>
  <si>
    <t>200811_at</t>
  </si>
  <si>
    <t>203776_at</t>
  </si>
  <si>
    <t>GPKOW</t>
  </si>
  <si>
    <t>204711_at</t>
  </si>
  <si>
    <t>KIAA0753</t>
  </si>
  <si>
    <t>206635_at</t>
  </si>
  <si>
    <t>CHRNB2</t>
  </si>
  <si>
    <t>200866_s_at</t>
  </si>
  <si>
    <t>201184_s_at</t>
  </si>
  <si>
    <t>CHD4</t>
  </si>
  <si>
    <t>201338_x_at</t>
  </si>
  <si>
    <t>GTF3A</t>
  </si>
  <si>
    <t>203493_s_at</t>
  </si>
  <si>
    <t>215041_s_at</t>
  </si>
  <si>
    <t>DOCK9</t>
  </si>
  <si>
    <t>221908_at</t>
  </si>
  <si>
    <t>RNFT2</t>
  </si>
  <si>
    <t>201209_at</t>
  </si>
  <si>
    <t>HDAC1</t>
  </si>
  <si>
    <t>203284_s_at</t>
  </si>
  <si>
    <t>203387_s_at</t>
  </si>
  <si>
    <t>219838_at</t>
  </si>
  <si>
    <t>TTC23</t>
  </si>
  <si>
    <t>211168_s_at</t>
  </si>
  <si>
    <t>UPF1</t>
  </si>
  <si>
    <t>218434_s_at</t>
  </si>
  <si>
    <t>AACS</t>
  </si>
  <si>
    <t>220272_at</t>
  </si>
  <si>
    <t>BNC2</t>
  </si>
  <si>
    <t>221794_at</t>
  </si>
  <si>
    <t>DOCK6</t>
  </si>
  <si>
    <t>221890_at</t>
  </si>
  <si>
    <t>205027_s_at</t>
  </si>
  <si>
    <t>MAP3K8</t>
  </si>
  <si>
    <t>218351_at</t>
  </si>
  <si>
    <t>COMMD8</t>
  </si>
  <si>
    <t>221454_at</t>
  </si>
  <si>
    <t>BOK</t>
  </si>
  <si>
    <t>221914_at</t>
  </si>
  <si>
    <t>SYN1</t>
  </si>
  <si>
    <t>211521_s_at</t>
  </si>
  <si>
    <t>CYTH4</t>
  </si>
  <si>
    <t>214421_x_at</t>
  </si>
  <si>
    <t>CYP2C9</t>
  </si>
  <si>
    <t>221031_s_at</t>
  </si>
  <si>
    <t>APOLD1</t>
  </si>
  <si>
    <t>206864_s_at</t>
  </si>
  <si>
    <t>HRK</t>
  </si>
  <si>
    <t>222264_at</t>
  </si>
  <si>
    <t>HNRNPUL2</t>
  </si>
  <si>
    <t>64899_at</t>
  </si>
  <si>
    <t>LPPR2</t>
  </si>
  <si>
    <t>201554_x_at</t>
  </si>
  <si>
    <t>GYG1</t>
  </si>
  <si>
    <t>201621_at</t>
  </si>
  <si>
    <t>202244_at</t>
  </si>
  <si>
    <t>202470_s_at</t>
  </si>
  <si>
    <t>CPSF6</t>
  </si>
  <si>
    <t>202916_s_at</t>
  </si>
  <si>
    <t>FAM20B</t>
  </si>
  <si>
    <t>204791_at</t>
  </si>
  <si>
    <t>NR2C1</t>
  </si>
  <si>
    <t>205662_at</t>
  </si>
  <si>
    <t>B9D1</t>
  </si>
  <si>
    <t>206606_at</t>
  </si>
  <si>
    <t>LIPC</t>
  </si>
  <si>
    <t>208196_x_at</t>
  </si>
  <si>
    <t>208308_s_at</t>
  </si>
  <si>
    <t>GPI</t>
  </si>
  <si>
    <t>211550_at</t>
  </si>
  <si>
    <t>212261_at</t>
  </si>
  <si>
    <t>GIGYF2</t>
  </si>
  <si>
    <t>213620_s_at</t>
  </si>
  <si>
    <t>214756_x_at</t>
  </si>
  <si>
    <t>PMS2L1</t>
  </si>
  <si>
    <t>219797_at</t>
  </si>
  <si>
    <t>MGAT4A</t>
  </si>
  <si>
    <t>220184_at</t>
  </si>
  <si>
    <t>NANOG</t>
  </si>
  <si>
    <t>220823_at</t>
  </si>
  <si>
    <t>hCG_1732469</t>
  </si>
  <si>
    <t>221504_s_at</t>
  </si>
  <si>
    <t>ATP6V1H</t>
  </si>
  <si>
    <t>221663_x_at</t>
  </si>
  <si>
    <t>HRH3</t>
  </si>
  <si>
    <t>221616_s_at</t>
  </si>
  <si>
    <t>202560_s_at</t>
  </si>
  <si>
    <t>203802_x_at</t>
  </si>
  <si>
    <t>208930_s_at</t>
  </si>
  <si>
    <t>210347_s_at</t>
  </si>
  <si>
    <t>BCL11A</t>
  </si>
  <si>
    <t>202314_at</t>
  </si>
  <si>
    <t>CYP51A1</t>
  </si>
  <si>
    <t>205594_at</t>
  </si>
  <si>
    <t>ZNF652</t>
  </si>
  <si>
    <t>210431_at</t>
  </si>
  <si>
    <t>ALPPL2</t>
  </si>
  <si>
    <t>208176_at</t>
  </si>
  <si>
    <t>DUX1</t>
  </si>
  <si>
    <t>215816_at</t>
  </si>
  <si>
    <t>GUSB /// LOC100294451 /// LOC91316</t>
  </si>
  <si>
    <t>205193_at</t>
  </si>
  <si>
    <t>212227_x_at</t>
  </si>
  <si>
    <t>214476_at</t>
  </si>
  <si>
    <t>TFF2</t>
  </si>
  <si>
    <t>220690_s_at</t>
  </si>
  <si>
    <t>DHRS7B</t>
  </si>
  <si>
    <t>222199_s_at</t>
  </si>
  <si>
    <t>BIN3</t>
  </si>
  <si>
    <t>220934_s_at</t>
  </si>
  <si>
    <t>TMEM223</t>
  </si>
  <si>
    <t>203155_at</t>
  </si>
  <si>
    <t>SETDB1</t>
  </si>
  <si>
    <t>205463_s_at</t>
  </si>
  <si>
    <t>PDGFA</t>
  </si>
  <si>
    <t>213416_at</t>
  </si>
  <si>
    <t>209040_s_at</t>
  </si>
  <si>
    <t>PSMB8</t>
  </si>
  <si>
    <t>202110_at</t>
  </si>
  <si>
    <t>COX7B</t>
  </si>
  <si>
    <t>212389_at</t>
  </si>
  <si>
    <t>SBF1</t>
  </si>
  <si>
    <t>212931_at</t>
  </si>
  <si>
    <t>TCF20</t>
  </si>
  <si>
    <t>201004_at</t>
  </si>
  <si>
    <t>SSR4</t>
  </si>
  <si>
    <t>201011_at</t>
  </si>
  <si>
    <t>RPN1</t>
  </si>
  <si>
    <t>207566_at</t>
  </si>
  <si>
    <t>MR1</t>
  </si>
  <si>
    <t>208693_s_at</t>
  </si>
  <si>
    <t>GARS</t>
  </si>
  <si>
    <t>209530_at</t>
  </si>
  <si>
    <t>CACNB3</t>
  </si>
  <si>
    <t>213483_at</t>
  </si>
  <si>
    <t>PPWD1</t>
  </si>
  <si>
    <t>213587_s_at</t>
  </si>
  <si>
    <t>ATP6V0E2</t>
  </si>
  <si>
    <t>213649_at</t>
  </si>
  <si>
    <t>213725_x_at</t>
  </si>
  <si>
    <t>XYLT1</t>
  </si>
  <si>
    <t>212406_s_at</t>
  </si>
  <si>
    <t>PCMTD2</t>
  </si>
  <si>
    <t>206550_s_at</t>
  </si>
  <si>
    <t>NUP155</t>
  </si>
  <si>
    <t>208950_s_at</t>
  </si>
  <si>
    <t>ALDH7A1</t>
  </si>
  <si>
    <t>219062_s_at</t>
  </si>
  <si>
    <t>ZCCHC2</t>
  </si>
  <si>
    <t>202367_at</t>
  </si>
  <si>
    <t>218822_s_at</t>
  </si>
  <si>
    <t>217942_at</t>
  </si>
  <si>
    <t>MRPS35</t>
  </si>
  <si>
    <t>202149_at</t>
  </si>
  <si>
    <t>NEDD9</t>
  </si>
  <si>
    <t>212351_at</t>
  </si>
  <si>
    <t>EIF2B5</t>
  </si>
  <si>
    <t>204763_s_at</t>
  </si>
  <si>
    <t>GNAO1</t>
  </si>
  <si>
    <t>204074_s_at</t>
  </si>
  <si>
    <t>KIAA0562</t>
  </si>
  <si>
    <t>205961_s_at</t>
  </si>
  <si>
    <t>209616_s_at</t>
  </si>
  <si>
    <t>CES1</t>
  </si>
  <si>
    <t>214431_at</t>
  </si>
  <si>
    <t>GMPS</t>
  </si>
  <si>
    <t>219939_s_at</t>
  </si>
  <si>
    <t>CSDE1</t>
  </si>
  <si>
    <t>208592_s_at</t>
  </si>
  <si>
    <t>CD1E</t>
  </si>
  <si>
    <t>206412_at</t>
  </si>
  <si>
    <t>FER</t>
  </si>
  <si>
    <t>202551_s_at</t>
  </si>
  <si>
    <t>CRIM1</t>
  </si>
  <si>
    <t>204227_s_at</t>
  </si>
  <si>
    <t>TK2</t>
  </si>
  <si>
    <t>205920_at</t>
  </si>
  <si>
    <t>SLC6A6</t>
  </si>
  <si>
    <t>215812_s_at</t>
  </si>
  <si>
    <t>LOC653562 /// SLC6A10P /// SLC6A8</t>
  </si>
  <si>
    <t>217680_x_at</t>
  </si>
  <si>
    <t>LOC100292492 /// RPL10</t>
  </si>
  <si>
    <t>213097_s_at</t>
  </si>
  <si>
    <t>DNAJC2</t>
  </si>
  <si>
    <t>221418_s_at</t>
  </si>
  <si>
    <t>MED16</t>
  </si>
  <si>
    <t>204206_at</t>
  </si>
  <si>
    <t>MNT</t>
  </si>
  <si>
    <t>203051_at</t>
  </si>
  <si>
    <t>BAHD1</t>
  </si>
  <si>
    <t>213509_x_at</t>
  </si>
  <si>
    <t>CES2</t>
  </si>
  <si>
    <t>216699_s_at</t>
  </si>
  <si>
    <t>KLK1</t>
  </si>
  <si>
    <t>217165_x_at</t>
  </si>
  <si>
    <t>220339_s_at</t>
  </si>
  <si>
    <t>TPSG1</t>
  </si>
  <si>
    <t>216223_at</t>
  </si>
  <si>
    <t>CPN2</t>
  </si>
  <si>
    <t>219030_at</t>
  </si>
  <si>
    <t>TPRKB</t>
  </si>
  <si>
    <t>209770_at</t>
  </si>
  <si>
    <t>212156_at</t>
  </si>
  <si>
    <t>VPS39</t>
  </si>
  <si>
    <t>216053_x_at</t>
  </si>
  <si>
    <t>FAM182A</t>
  </si>
  <si>
    <t>209389_x_at</t>
  </si>
  <si>
    <t>DBI</t>
  </si>
  <si>
    <t>218072_at</t>
  </si>
  <si>
    <t>COMMD9</t>
  </si>
  <si>
    <t>219204_s_at</t>
  </si>
  <si>
    <t>202303_x_at</t>
  </si>
  <si>
    <t>217044_s_at</t>
  </si>
  <si>
    <t>202159_at</t>
  </si>
  <si>
    <t>FARSA</t>
  </si>
  <si>
    <t>40560_at</t>
  </si>
  <si>
    <t>219821_s_at</t>
  </si>
  <si>
    <t>GFOD1</t>
  </si>
  <si>
    <t>207920_x_at</t>
  </si>
  <si>
    <t>ZFX</t>
  </si>
  <si>
    <t>35150_at</t>
  </si>
  <si>
    <t>202541_at</t>
  </si>
  <si>
    <t>AIMP1</t>
  </si>
  <si>
    <t>205130_at</t>
  </si>
  <si>
    <t>RAGE</t>
  </si>
  <si>
    <t>208046_at</t>
  </si>
  <si>
    <t>HIST1H4A</t>
  </si>
  <si>
    <t>219054_at</t>
  </si>
  <si>
    <t>C5orf23</t>
  </si>
  <si>
    <t>202491_s_at</t>
  </si>
  <si>
    <t>IKBKAP</t>
  </si>
  <si>
    <t>206049_at</t>
  </si>
  <si>
    <t>SELP</t>
  </si>
  <si>
    <t>206348_s_at</t>
  </si>
  <si>
    <t>PDK3</t>
  </si>
  <si>
    <t>207681_at</t>
  </si>
  <si>
    <t>CXCR3</t>
  </si>
  <si>
    <t>210776_x_at</t>
  </si>
  <si>
    <t>211033_s_at</t>
  </si>
  <si>
    <t>PEX7</t>
  </si>
  <si>
    <t>209124_at</t>
  </si>
  <si>
    <t>MYD88</t>
  </si>
  <si>
    <t>204669_s_at</t>
  </si>
  <si>
    <t>RNF24</t>
  </si>
  <si>
    <t>210188_at</t>
  </si>
  <si>
    <t>GABPA</t>
  </si>
  <si>
    <t>219059_s_at</t>
  </si>
  <si>
    <t>LYVE1</t>
  </si>
  <si>
    <t>207279_s_at</t>
  </si>
  <si>
    <t>209035_at</t>
  </si>
  <si>
    <t>MDK</t>
  </si>
  <si>
    <t>200808_s_at</t>
  </si>
  <si>
    <t>ZYX</t>
  </si>
  <si>
    <t>217358_at</t>
  </si>
  <si>
    <t>222162_s_at</t>
  </si>
  <si>
    <t>ADAMTS1</t>
  </si>
  <si>
    <t>214411_x_at</t>
  </si>
  <si>
    <t>CTRB2</t>
  </si>
  <si>
    <t>36004_at</t>
  </si>
  <si>
    <t>IKBKG</t>
  </si>
  <si>
    <t>219849_at</t>
  </si>
  <si>
    <t>ZNF671</t>
  </si>
  <si>
    <t>201921_at</t>
  </si>
  <si>
    <t>GNG10</t>
  </si>
  <si>
    <t>202343_x_at</t>
  </si>
  <si>
    <t>38447_at</t>
  </si>
  <si>
    <t>ADRBK1</t>
  </si>
  <si>
    <t>201929_s_at</t>
  </si>
  <si>
    <t>PKP4</t>
  </si>
  <si>
    <t>220722_s_at</t>
  </si>
  <si>
    <t>SLC5A7</t>
  </si>
  <si>
    <t>207847_s_at</t>
  </si>
  <si>
    <t>207908_at</t>
  </si>
  <si>
    <t>KRT2</t>
  </si>
  <si>
    <t>213912_at</t>
  </si>
  <si>
    <t>TBC1D30</t>
  </si>
  <si>
    <t>218716_x_at</t>
  </si>
  <si>
    <t>201987_at</t>
  </si>
  <si>
    <t>MED13</t>
  </si>
  <si>
    <t>212408_at</t>
  </si>
  <si>
    <t>TOR1AIP1</t>
  </si>
  <si>
    <t>213304_at</t>
  </si>
  <si>
    <t>FAM179B</t>
  </si>
  <si>
    <t>201060_x_at</t>
  </si>
  <si>
    <t>201597_at</t>
  </si>
  <si>
    <t>COX7A2</t>
  </si>
  <si>
    <t>202440_s_at</t>
  </si>
  <si>
    <t>ST5</t>
  </si>
  <si>
    <t>206387_at</t>
  </si>
  <si>
    <t>CDX2</t>
  </si>
  <si>
    <t>209012_at</t>
  </si>
  <si>
    <t>211094_s_at</t>
  </si>
  <si>
    <t>NF1</t>
  </si>
  <si>
    <t>212031_at</t>
  </si>
  <si>
    <t>RBM25</t>
  </si>
  <si>
    <t>213320_at</t>
  </si>
  <si>
    <t>PRMT3</t>
  </si>
  <si>
    <t>217887_s_at</t>
  </si>
  <si>
    <t>EPS15</t>
  </si>
  <si>
    <t>219628_at</t>
  </si>
  <si>
    <t>ZMAT3</t>
  </si>
  <si>
    <t>211624_s_at</t>
  </si>
  <si>
    <t>208494_at</t>
  </si>
  <si>
    <t>SLC6A7</t>
  </si>
  <si>
    <t>204974_at</t>
  </si>
  <si>
    <t>RAB3A</t>
  </si>
  <si>
    <t>203515_s_at</t>
  </si>
  <si>
    <t>PMVK</t>
  </si>
  <si>
    <t>204167_at</t>
  </si>
  <si>
    <t>BTD</t>
  </si>
  <si>
    <t>206206_at</t>
  </si>
  <si>
    <t>CD180</t>
  </si>
  <si>
    <t>206332_s_at</t>
  </si>
  <si>
    <t>IFI16</t>
  </si>
  <si>
    <t>207727_s_at</t>
  </si>
  <si>
    <t>MUTYH</t>
  </si>
  <si>
    <t>209943_at</t>
  </si>
  <si>
    <t>FBXL4</t>
  </si>
  <si>
    <t>213713_s_at</t>
  </si>
  <si>
    <t>GLB1L2</t>
  </si>
  <si>
    <t>215194_at</t>
  </si>
  <si>
    <t>PRKCA</t>
  </si>
  <si>
    <t>215377_at</t>
  </si>
  <si>
    <t>208491_s_at</t>
  </si>
  <si>
    <t>PGM5</t>
  </si>
  <si>
    <t>215005_at</t>
  </si>
  <si>
    <t>NECAB2</t>
  </si>
  <si>
    <t>207110_at</t>
  </si>
  <si>
    <t>KCNJ12</t>
  </si>
  <si>
    <t>213532_at</t>
  </si>
  <si>
    <t>ADAM17</t>
  </si>
  <si>
    <t>213667_at</t>
  </si>
  <si>
    <t>221427_s_at</t>
  </si>
  <si>
    <t>CCNL2</t>
  </si>
  <si>
    <t>33850_at</t>
  </si>
  <si>
    <t>35201_at</t>
  </si>
  <si>
    <t>201065_s_at</t>
  </si>
  <si>
    <t>GTF2I /// GTF2IP1 /// LOC100093631</t>
  </si>
  <si>
    <t>213867_x_at</t>
  </si>
  <si>
    <t>218582_at</t>
  </si>
  <si>
    <t>_x001A__x001A__x001A_-05</t>
  </si>
  <si>
    <t>221789_x_at</t>
  </si>
  <si>
    <t>206090_s_at</t>
  </si>
  <si>
    <t>DISC1</t>
  </si>
  <si>
    <t>206012_at</t>
  </si>
  <si>
    <t>LEFTY2</t>
  </si>
  <si>
    <t>209528_s_at</t>
  </si>
  <si>
    <t>205715_at</t>
  </si>
  <si>
    <t>BST1</t>
  </si>
  <si>
    <t>211599_x_at</t>
  </si>
  <si>
    <t>MET</t>
  </si>
  <si>
    <t>220104_at</t>
  </si>
  <si>
    <t>ZC3HAV1</t>
  </si>
  <si>
    <t>206630_at</t>
  </si>
  <si>
    <t>TYR</t>
  </si>
  <si>
    <t>218755_at</t>
  </si>
  <si>
    <t>KIF20A</t>
  </si>
  <si>
    <t>201546_at</t>
  </si>
  <si>
    <t>TRIP12</t>
  </si>
  <si>
    <t>219560_at</t>
  </si>
  <si>
    <t>C22orf29</t>
  </si>
  <si>
    <t>202655_at</t>
  </si>
  <si>
    <t>MANF</t>
  </si>
  <si>
    <t>217977_at</t>
  </si>
  <si>
    <t>SEPX1</t>
  </si>
  <si>
    <t>215030_at</t>
  </si>
  <si>
    <t>201898_s_at</t>
  </si>
  <si>
    <t>215341_at</t>
  </si>
  <si>
    <t>DNAH6</t>
  </si>
  <si>
    <t>221472_at</t>
  </si>
  <si>
    <t>SERINC3</t>
  </si>
  <si>
    <t>220330_s_at</t>
  </si>
  <si>
    <t>SAMSN1</t>
  </si>
  <si>
    <t>203920_at</t>
  </si>
  <si>
    <t>204021_s_at</t>
  </si>
  <si>
    <t>205968_at</t>
  </si>
  <si>
    <t>KCNS3</t>
  </si>
  <si>
    <t>218648_at</t>
  </si>
  <si>
    <t>CRTC3</t>
  </si>
  <si>
    <t>205275_at</t>
  </si>
  <si>
    <t>206094_x_at</t>
  </si>
  <si>
    <t>UGT1A1 /// UGT1A10 /// UGT1A3 /// UGT1A4 /// UGT1A5 /// UGT1A6 /// UGT1A7 /// UGT1A8 /// UGT1A9</t>
  </si>
  <si>
    <t>202032_s_at</t>
  </si>
  <si>
    <t>MAN2A2</t>
  </si>
  <si>
    <t>216980_s_at</t>
  </si>
  <si>
    <t>219913_s_at</t>
  </si>
  <si>
    <t>CRNKL1</t>
  </si>
  <si>
    <t>201938_at</t>
  </si>
  <si>
    <t>CDK2AP1</t>
  </si>
  <si>
    <t>209874_x_at</t>
  </si>
  <si>
    <t>CNNM2</t>
  </si>
  <si>
    <t>206905_s_at</t>
  </si>
  <si>
    <t>MATN1</t>
  </si>
  <si>
    <t>219374_s_at</t>
  </si>
  <si>
    <t>ALG9</t>
  </si>
  <si>
    <t>220213_at</t>
  </si>
  <si>
    <t>TSHZ2</t>
  </si>
  <si>
    <t>209282_at</t>
  </si>
  <si>
    <t>PRKD2</t>
  </si>
  <si>
    <t>201732_s_at</t>
  </si>
  <si>
    <t>215942_s_at</t>
  </si>
  <si>
    <t>217279_x_at</t>
  </si>
  <si>
    <t>213487_at</t>
  </si>
  <si>
    <t>MAP2K2</t>
  </si>
  <si>
    <t>214818_at</t>
  </si>
  <si>
    <t>CCDC57</t>
  </si>
  <si>
    <t>220412_x_at</t>
  </si>
  <si>
    <t>KCNK7</t>
  </si>
  <si>
    <t>204691_x_at</t>
  </si>
  <si>
    <t>PLA2G6</t>
  </si>
  <si>
    <t>211543_s_at</t>
  </si>
  <si>
    <t>221745_at</t>
  </si>
  <si>
    <t>DCAF7</t>
  </si>
  <si>
    <t>209721_s_at</t>
  </si>
  <si>
    <t>IFFO1</t>
  </si>
  <si>
    <t>222077_s_at</t>
  </si>
  <si>
    <t>RACGAP1</t>
  </si>
  <si>
    <t>201127_s_at</t>
  </si>
  <si>
    <t>ACLY</t>
  </si>
  <si>
    <t>201567_s_at</t>
  </si>
  <si>
    <t>210532_s_at</t>
  </si>
  <si>
    <t>205007_s_at</t>
  </si>
  <si>
    <t>208829_at</t>
  </si>
  <si>
    <t>TAPBP</t>
  </si>
  <si>
    <t>211612_s_at</t>
  </si>
  <si>
    <t>216981_x_at</t>
  </si>
  <si>
    <t>203876_s_at</t>
  </si>
  <si>
    <t>MMP11</t>
  </si>
  <si>
    <t>205026_at</t>
  </si>
  <si>
    <t>STAT5B</t>
  </si>
  <si>
    <t>209885_at</t>
  </si>
  <si>
    <t>213217_at</t>
  </si>
  <si>
    <t>ADCY2</t>
  </si>
  <si>
    <t>212113_at</t>
  </si>
  <si>
    <t>LOC552889</t>
  </si>
  <si>
    <t>219366_at</t>
  </si>
  <si>
    <t>AVEN</t>
  </si>
  <si>
    <t>201502_s_at</t>
  </si>
  <si>
    <t>NFKBIA</t>
  </si>
  <si>
    <t>202790_at</t>
  </si>
  <si>
    <t>CLDN7</t>
  </si>
  <si>
    <t>203663_s_at</t>
  </si>
  <si>
    <t>COX5A</t>
  </si>
  <si>
    <t>212583_at</t>
  </si>
  <si>
    <t>AQR</t>
  </si>
  <si>
    <t>212872_s_at</t>
  </si>
  <si>
    <t>MED20</t>
  </si>
  <si>
    <t>219712_s_at</t>
  </si>
  <si>
    <t>SHPK /// TRPV1</t>
  </si>
  <si>
    <t>213925_at</t>
  </si>
  <si>
    <t>C1orf95</t>
  </si>
  <si>
    <t>200981_x_at</t>
  </si>
  <si>
    <t>205347_s_at</t>
  </si>
  <si>
    <t>TMSB15A</t>
  </si>
  <si>
    <t>200755_s_at</t>
  </si>
  <si>
    <t>CALU</t>
  </si>
  <si>
    <t>208149_x_at</t>
  </si>
  <si>
    <t>215155_at</t>
  </si>
  <si>
    <t>HEXA</t>
  </si>
  <si>
    <t>216111_x_at</t>
  </si>
  <si>
    <t>PMS2L3</t>
  </si>
  <si>
    <t>221693_s_at</t>
  </si>
  <si>
    <t>MRPS18A</t>
  </si>
  <si>
    <t>200659_s_at</t>
  </si>
  <si>
    <t>PHB</t>
  </si>
  <si>
    <t>204038_s_at</t>
  </si>
  <si>
    <t>LPAR1</t>
  </si>
  <si>
    <t>208504_x_at</t>
  </si>
  <si>
    <t>PCDHB11</t>
  </si>
  <si>
    <t>211140_s_at</t>
  </si>
  <si>
    <t>CASP2</t>
  </si>
  <si>
    <t>213108_at</t>
  </si>
  <si>
    <t>CAMK2A</t>
  </si>
  <si>
    <t>216601_at</t>
  </si>
  <si>
    <t>LOC90586</t>
  </si>
  <si>
    <t>220086_at</t>
  </si>
  <si>
    <t>IKZF5</t>
  </si>
  <si>
    <t>221000_s_at</t>
  </si>
  <si>
    <t>219968_at</t>
  </si>
  <si>
    <t>ZNF589</t>
  </si>
  <si>
    <t>221603_at</t>
  </si>
  <si>
    <t>213364_s_at</t>
  </si>
  <si>
    <t>218796_at</t>
  </si>
  <si>
    <t>FERMT1</t>
  </si>
  <si>
    <t>209794_at</t>
  </si>
  <si>
    <t>SRGAP3</t>
  </si>
  <si>
    <t>204266_s_at</t>
  </si>
  <si>
    <t>219044_at</t>
  </si>
  <si>
    <t>THNSL2</t>
  </si>
  <si>
    <t>205155_s_at</t>
  </si>
  <si>
    <t>SPTBN2</t>
  </si>
  <si>
    <t>204786_s_at</t>
  </si>
  <si>
    <t>IFNAR2</t>
  </si>
  <si>
    <t>206978_at</t>
  </si>
  <si>
    <t>CCR2</t>
  </si>
  <si>
    <t>208285_at</t>
  </si>
  <si>
    <t>OR7A5</t>
  </si>
  <si>
    <t>221497_x_at</t>
  </si>
  <si>
    <t>EGLN1</t>
  </si>
  <si>
    <t>219337_at</t>
  </si>
  <si>
    <t>C1orf159</t>
  </si>
  <si>
    <t>38707_r_at</t>
  </si>
  <si>
    <t>201116_s_at</t>
  </si>
  <si>
    <t>CPE</t>
  </si>
  <si>
    <t>201653_at</t>
  </si>
  <si>
    <t>CNIH</t>
  </si>
  <si>
    <t>204319_s_at</t>
  </si>
  <si>
    <t>RGS10</t>
  </si>
  <si>
    <t>204510_at</t>
  </si>
  <si>
    <t>CDC7</t>
  </si>
  <si>
    <t>206572_x_at</t>
  </si>
  <si>
    <t>ZNF85</t>
  </si>
  <si>
    <t>212678_at</t>
  </si>
  <si>
    <t>213584_s_at</t>
  </si>
  <si>
    <t>CREBZF</t>
  </si>
  <si>
    <t>218791_s_at</t>
  </si>
  <si>
    <t>C15orf29</t>
  </si>
  <si>
    <t>219122_s_at</t>
  </si>
  <si>
    <t>THG1L</t>
  </si>
  <si>
    <t>219576_at</t>
  </si>
  <si>
    <t>MAP7D3</t>
  </si>
  <si>
    <t>221034_s_at</t>
  </si>
  <si>
    <t>TEX13B</t>
  </si>
  <si>
    <t>40020_at</t>
  </si>
  <si>
    <t>CELSR3</t>
  </si>
  <si>
    <t>215758_x_at</t>
  </si>
  <si>
    <t>ZNF93</t>
  </si>
  <si>
    <t>204897_at</t>
  </si>
  <si>
    <t>203925_at</t>
  </si>
  <si>
    <t>GCLM</t>
  </si>
  <si>
    <t>212986_s_at</t>
  </si>
  <si>
    <t>TLK2</t>
  </si>
  <si>
    <t>221491_x_at</t>
  </si>
  <si>
    <t>HLA-DRB1 /// HLA-DRB3 /// HLA-DRB4 /// HLA-DRB5 /// LOC100133661 /// LOC100294036</t>
  </si>
  <si>
    <t>205842_s_at</t>
  </si>
  <si>
    <t>JAK2</t>
  </si>
  <si>
    <t>207543_s_at</t>
  </si>
  <si>
    <t>P4HA1</t>
  </si>
  <si>
    <t>214798_at</t>
  </si>
  <si>
    <t>ATP2C2</t>
  </si>
  <si>
    <t>203759_at</t>
  </si>
  <si>
    <t>ST3GAL4</t>
  </si>
  <si>
    <t>201713_s_at</t>
  </si>
  <si>
    <t>RANBP2</t>
  </si>
  <si>
    <t>203108_at</t>
  </si>
  <si>
    <t>GPRC5A</t>
  </si>
  <si>
    <t>211840_s_at</t>
  </si>
  <si>
    <t>207732_s_at</t>
  </si>
  <si>
    <t>211217_s_at</t>
  </si>
  <si>
    <t>KCNQ1</t>
  </si>
  <si>
    <t>215037_s_at</t>
  </si>
  <si>
    <t>BCL2L1</t>
  </si>
  <si>
    <t>221941_at</t>
  </si>
  <si>
    <t>PAOX</t>
  </si>
  <si>
    <t>207610_s_at</t>
  </si>
  <si>
    <t>EMR2</t>
  </si>
  <si>
    <t>61297_at</t>
  </si>
  <si>
    <t>CASKIN2</t>
  </si>
  <si>
    <t>205224_at</t>
  </si>
  <si>
    <t>SURF2</t>
  </si>
  <si>
    <t>216714_at</t>
  </si>
  <si>
    <t>CCL13</t>
  </si>
  <si>
    <t>221701_s_at</t>
  </si>
  <si>
    <t>STRA6</t>
  </si>
  <si>
    <t>207962_at</t>
  </si>
  <si>
    <t>CAPN11</t>
  </si>
  <si>
    <t>201945_at</t>
  </si>
  <si>
    <t>FURIN</t>
  </si>
  <si>
    <t>211713_x_at</t>
  </si>
  <si>
    <t>KIAA0101</t>
  </si>
  <si>
    <t>52741_at</t>
  </si>
  <si>
    <t>TRMT61A</t>
  </si>
  <si>
    <t>201092_at</t>
  </si>
  <si>
    <t>RBBP7</t>
  </si>
  <si>
    <t>204676_at</t>
  </si>
  <si>
    <t>TMEM186</t>
  </si>
  <si>
    <t>205644_s_at</t>
  </si>
  <si>
    <t>SNRPG</t>
  </si>
  <si>
    <t>206899_at</t>
  </si>
  <si>
    <t>NTSR2</t>
  </si>
  <si>
    <t>207220_at</t>
  </si>
  <si>
    <t>ART4</t>
  </si>
  <si>
    <t>208009_s_at</t>
  </si>
  <si>
    <t>ARHGEF16</t>
  </si>
  <si>
    <t>209607_x_at</t>
  </si>
  <si>
    <t>SULT1A3 /// SULT1A4</t>
  </si>
  <si>
    <t>212215_at</t>
  </si>
  <si>
    <t>PREPL</t>
  </si>
  <si>
    <t>213848_at</t>
  </si>
  <si>
    <t>DUSP7</t>
  </si>
  <si>
    <t>214495_at</t>
  </si>
  <si>
    <t>CACNG2</t>
  </si>
  <si>
    <t>214918_at</t>
  </si>
  <si>
    <t>215179_x_at</t>
  </si>
  <si>
    <t>PGF</t>
  </si>
  <si>
    <t>216037_x_at</t>
  </si>
  <si>
    <t>219200_at</t>
  </si>
  <si>
    <t>FASTKD3</t>
  </si>
  <si>
    <t>222123_s_at</t>
  </si>
  <si>
    <t>222243_s_at</t>
  </si>
  <si>
    <t>TOB2</t>
  </si>
  <si>
    <t>206783_at</t>
  </si>
  <si>
    <t>FGF4</t>
  </si>
  <si>
    <t>212237_at</t>
  </si>
  <si>
    <t>204921_at</t>
  </si>
  <si>
    <t>GAS8</t>
  </si>
  <si>
    <t>201543_s_at</t>
  </si>
  <si>
    <t>SAR1A</t>
  </si>
  <si>
    <t>205181_at</t>
  </si>
  <si>
    <t>ZNF193</t>
  </si>
  <si>
    <t>208859_s_at</t>
  </si>
  <si>
    <t>209694_at</t>
  </si>
  <si>
    <t>PTS</t>
  </si>
  <si>
    <t>213123_at</t>
  </si>
  <si>
    <t>MFAP3</t>
  </si>
  <si>
    <t>214630_at</t>
  </si>
  <si>
    <t>CYP11B2</t>
  </si>
  <si>
    <t>216955_at</t>
  </si>
  <si>
    <t>TAF1</t>
  </si>
  <si>
    <t>218458_at</t>
  </si>
  <si>
    <t>GMCL1</t>
  </si>
  <si>
    <t>200857_s_at</t>
  </si>
  <si>
    <t>NCOR1</t>
  </si>
  <si>
    <t>201113_at</t>
  </si>
  <si>
    <t>TUFM</t>
  </si>
  <si>
    <t>202140_s_at</t>
  </si>
  <si>
    <t>CLK3</t>
  </si>
  <si>
    <t>203914_x_at</t>
  </si>
  <si>
    <t>HPGD</t>
  </si>
  <si>
    <t>204330_s_at</t>
  </si>
  <si>
    <t>210345_s_at</t>
  </si>
  <si>
    <t>DNAH9</t>
  </si>
  <si>
    <t>213370_s_at</t>
  </si>
  <si>
    <t>SFMBT1</t>
  </si>
  <si>
    <t>216602_s_at</t>
  </si>
  <si>
    <t>216916_s_at</t>
  </si>
  <si>
    <t>DLGAP2</t>
  </si>
  <si>
    <t>208812_x_at</t>
  </si>
  <si>
    <t>200929_at</t>
  </si>
  <si>
    <t>209306_s_at</t>
  </si>
  <si>
    <t>SWAP70</t>
  </si>
  <si>
    <t>207704_s_at</t>
  </si>
  <si>
    <t>218962_s_at</t>
  </si>
  <si>
    <t>TMEM168</t>
  </si>
  <si>
    <t>206723_s_at</t>
  </si>
  <si>
    <t>208015_at</t>
  </si>
  <si>
    <t>213770_at</t>
  </si>
  <si>
    <t>218476_at</t>
  </si>
  <si>
    <t>POMT1</t>
  </si>
  <si>
    <t>204476_s_at</t>
  </si>
  <si>
    <t>PC</t>
  </si>
  <si>
    <t>213433_at</t>
  </si>
  <si>
    <t>202950_at</t>
  </si>
  <si>
    <t>CRYZ</t>
  </si>
  <si>
    <t>218866_s_at</t>
  </si>
  <si>
    <t>POLR3K</t>
  </si>
  <si>
    <t>202864_s_at</t>
  </si>
  <si>
    <t>201663_s_at</t>
  </si>
  <si>
    <t>213276_at</t>
  </si>
  <si>
    <t>217718_s_at</t>
  </si>
  <si>
    <t>220146_at</t>
  </si>
  <si>
    <t>TLR7</t>
  </si>
  <si>
    <t>219806_s_at</t>
  </si>
  <si>
    <t>C11orf75</t>
  </si>
  <si>
    <t>204351_at</t>
  </si>
  <si>
    <t>S100P</t>
  </si>
  <si>
    <t>211871_x_at</t>
  </si>
  <si>
    <t>GNB5</t>
  </si>
  <si>
    <t>221956_at</t>
  </si>
  <si>
    <t>218670_at</t>
  </si>
  <si>
    <t>PUS1</t>
  </si>
  <si>
    <t>220779_at</t>
  </si>
  <si>
    <t>PADI3</t>
  </si>
  <si>
    <t>212585_at</t>
  </si>
  <si>
    <t>OSBPL8</t>
  </si>
  <si>
    <t>201573_s_at</t>
  </si>
  <si>
    <t>ETF1</t>
  </si>
  <si>
    <t>203675_at</t>
  </si>
  <si>
    <t>NUCB2</t>
  </si>
  <si>
    <t>209983_s_at</t>
  </si>
  <si>
    <t>200068_s_at</t>
  </si>
  <si>
    <t>CANX</t>
  </si>
  <si>
    <t>206185_at</t>
  </si>
  <si>
    <t>CRYBB1</t>
  </si>
  <si>
    <t>211950_at</t>
  </si>
  <si>
    <t>UBR4</t>
  </si>
  <si>
    <t>209753_s_at</t>
  </si>
  <si>
    <t>217119_s_at</t>
  </si>
  <si>
    <t>204433_s_at</t>
  </si>
  <si>
    <t>201364_s_at</t>
  </si>
  <si>
    <t>201477_s_at</t>
  </si>
  <si>
    <t>203643_at</t>
  </si>
  <si>
    <t>ERF</t>
  </si>
  <si>
    <t>207686_s_at</t>
  </si>
  <si>
    <t>212285_s_at</t>
  </si>
  <si>
    <t>215880_at</t>
  </si>
  <si>
    <t>NAGLU</t>
  </si>
  <si>
    <t>213233_s_at</t>
  </si>
  <si>
    <t>KLHL9</t>
  </si>
  <si>
    <t>210894_s_at</t>
  </si>
  <si>
    <t>218500_at</t>
  </si>
  <si>
    <t>C8orf55</t>
  </si>
  <si>
    <t>221056_x_at</t>
  </si>
  <si>
    <t>EPS15L1</t>
  </si>
  <si>
    <t>221331_x_at</t>
  </si>
  <si>
    <t>CTLA4</t>
  </si>
  <si>
    <t>217642_at</t>
  </si>
  <si>
    <t>RNF40</t>
  </si>
  <si>
    <t>201903_at</t>
  </si>
  <si>
    <t>UQCRC1</t>
  </si>
  <si>
    <t>207578_s_at</t>
  </si>
  <si>
    <t>HTR4</t>
  </si>
  <si>
    <t>207857_at</t>
  </si>
  <si>
    <t>LILRA2</t>
  </si>
  <si>
    <t>200918_s_at</t>
  </si>
  <si>
    <t>SRPR</t>
  </si>
  <si>
    <t>206403_at</t>
  </si>
  <si>
    <t>ZNF536</t>
  </si>
  <si>
    <t>207783_x_at</t>
  </si>
  <si>
    <t>220650_s_at</t>
  </si>
  <si>
    <t>SLC9A5</t>
  </si>
  <si>
    <t>216301_at</t>
  </si>
  <si>
    <t>216109_at</t>
  </si>
  <si>
    <t>204445_s_at</t>
  </si>
  <si>
    <t>216076_at</t>
  </si>
  <si>
    <t>210972_x_at</t>
  </si>
  <si>
    <t>TRA@ /// TRAC /// TRAJ17 /// TRAV20</t>
  </si>
  <si>
    <t>204195_s_at</t>
  </si>
  <si>
    <t>PKNOX1</t>
  </si>
  <si>
    <t>216350_s_at</t>
  </si>
  <si>
    <t>ZNF10</t>
  </si>
  <si>
    <t>208814_at</t>
  </si>
  <si>
    <t>209723_at</t>
  </si>
  <si>
    <t>SERPINB9</t>
  </si>
  <si>
    <t>220465_at</t>
  </si>
  <si>
    <t>LOC80054</t>
  </si>
  <si>
    <t>208942_s_at</t>
  </si>
  <si>
    <t>SEC62</t>
  </si>
  <si>
    <t>202647_s_at</t>
  </si>
  <si>
    <t>NRAS</t>
  </si>
  <si>
    <t>209791_at</t>
  </si>
  <si>
    <t>PADI2</t>
  </si>
  <si>
    <t>210158_at</t>
  </si>
  <si>
    <t>ERCC4</t>
  </si>
  <si>
    <t>210257_x_at</t>
  </si>
  <si>
    <t>218583_s_at</t>
  </si>
  <si>
    <t>DCUN1D1</t>
  </si>
  <si>
    <t>221544_s_at</t>
  </si>
  <si>
    <t>212043_at</t>
  </si>
  <si>
    <t>221030_s_at</t>
  </si>
  <si>
    <t>ARHGAP24</t>
  </si>
  <si>
    <t>221919_at</t>
  </si>
  <si>
    <t>218682_s_at</t>
  </si>
  <si>
    <t>SLC4A1AP</t>
  </si>
  <si>
    <t>200705_s_at</t>
  </si>
  <si>
    <t>EEF1B2</t>
  </si>
  <si>
    <t>208322_s_at</t>
  </si>
  <si>
    <t>ST3GAL1</t>
  </si>
  <si>
    <t>216455_at</t>
  </si>
  <si>
    <t>FLJ00049</t>
  </si>
  <si>
    <t>209415_at</t>
  </si>
  <si>
    <t>210213_s_at</t>
  </si>
  <si>
    <t>EIF6</t>
  </si>
  <si>
    <t>202808_at</t>
  </si>
  <si>
    <t>C10orf26</t>
  </si>
  <si>
    <t>218757_s_at</t>
  </si>
  <si>
    <t>UPF3B</t>
  </si>
  <si>
    <t>214882_s_at</t>
  </si>
  <si>
    <t>SFRS2</t>
  </si>
  <si>
    <t>217513_at</t>
  </si>
  <si>
    <t>C17orf60</t>
  </si>
  <si>
    <t>218847_at</t>
  </si>
  <si>
    <t>IGF2BP2</t>
  </si>
  <si>
    <t>210519_s_at</t>
  </si>
  <si>
    <t>NQO1</t>
  </si>
  <si>
    <t>200656_s_at</t>
  </si>
  <si>
    <t>P4HB</t>
  </si>
  <si>
    <t>202907_s_at</t>
  </si>
  <si>
    <t>NBN</t>
  </si>
  <si>
    <t>212776_s_at</t>
  </si>
  <si>
    <t>OBSL1</t>
  </si>
  <si>
    <t>218362_s_at</t>
  </si>
  <si>
    <t>DIS3</t>
  </si>
  <si>
    <t>211287_x_at</t>
  </si>
  <si>
    <t>CSF2RA</t>
  </si>
  <si>
    <t>200626_s_at</t>
  </si>
  <si>
    <t>MATR3</t>
  </si>
  <si>
    <t>204142_at</t>
  </si>
  <si>
    <t>207668_x_at</t>
  </si>
  <si>
    <t>PDIA6</t>
  </si>
  <si>
    <t>207747_s_at</t>
  </si>
  <si>
    <t>DOK4</t>
  </si>
  <si>
    <t>209735_at</t>
  </si>
  <si>
    <t>ABCG2</t>
  </si>
  <si>
    <t>211172_x_at</t>
  </si>
  <si>
    <t>AKAP7</t>
  </si>
  <si>
    <t>219629_at</t>
  </si>
  <si>
    <t>FAM118A</t>
  </si>
  <si>
    <t>220163_s_at</t>
  </si>
  <si>
    <t>HR</t>
  </si>
  <si>
    <t>205144_at</t>
  </si>
  <si>
    <t>MFSD7</t>
  </si>
  <si>
    <t>217929_s_at</t>
  </si>
  <si>
    <t>KIAA0319L</t>
  </si>
  <si>
    <t>214517_at</t>
  </si>
  <si>
    <t>KRTAP5-9</t>
  </si>
  <si>
    <t>203240_at</t>
  </si>
  <si>
    <t>FCGBP</t>
  </si>
  <si>
    <t>206971_at</t>
  </si>
  <si>
    <t>GPR161</t>
  </si>
  <si>
    <t>200679_x_at</t>
  </si>
  <si>
    <t>200725_x_at</t>
  </si>
  <si>
    <t>208995_s_at</t>
  </si>
  <si>
    <t>216042_at</t>
  </si>
  <si>
    <t>TNFRSF25</t>
  </si>
  <si>
    <t>219869_s_at</t>
  </si>
  <si>
    <t>SLC39A8</t>
  </si>
  <si>
    <t>216476_at</t>
  </si>
  <si>
    <t>LOC442381 /// LOC650293 /// OR7E125P /// OR7E87P</t>
  </si>
  <si>
    <t>202841_x_at</t>
  </si>
  <si>
    <t>200630_x_at</t>
  </si>
  <si>
    <t>209083_at</t>
  </si>
  <si>
    <t>CORO1A</t>
  </si>
  <si>
    <t>211228_s_at</t>
  </si>
  <si>
    <t>212676_at</t>
  </si>
  <si>
    <t>221980_at</t>
  </si>
  <si>
    <t>EMILIN2</t>
  </si>
  <si>
    <t>63305_at</t>
  </si>
  <si>
    <t>221800_s_at</t>
  </si>
  <si>
    <t>C17orf70</t>
  </si>
  <si>
    <t>213200_at</t>
  </si>
  <si>
    <t>SYP</t>
  </si>
  <si>
    <t>209233_at</t>
  </si>
  <si>
    <t>EMG1</t>
  </si>
  <si>
    <t>209724_s_at</t>
  </si>
  <si>
    <t>ZFP161</t>
  </si>
  <si>
    <t>213743_at</t>
  </si>
  <si>
    <t>216383_at</t>
  </si>
  <si>
    <t>RPL18A /// RPL18AP3</t>
  </si>
  <si>
    <t>201555_at</t>
  </si>
  <si>
    <t>MCM3</t>
  </si>
  <si>
    <t>205492_s_at</t>
  </si>
  <si>
    <t>DPYSL4</t>
  </si>
  <si>
    <t>212520_s_at</t>
  </si>
  <si>
    <t>218875_s_at</t>
  </si>
  <si>
    <t>FBXO5</t>
  </si>
  <si>
    <t>207559_s_at</t>
  </si>
  <si>
    <t>ZMYM3</t>
  </si>
  <si>
    <t>208617_s_at</t>
  </si>
  <si>
    <t>PTP4A2</t>
  </si>
  <si>
    <t>211918_x_at</t>
  </si>
  <si>
    <t>206582_s_at</t>
  </si>
  <si>
    <t>202959_at</t>
  </si>
  <si>
    <t>MUT</t>
  </si>
  <si>
    <t>214289_at</t>
  </si>
  <si>
    <t>PSMB1</t>
  </si>
  <si>
    <t>220264_s_at</t>
  </si>
  <si>
    <t>GPR107</t>
  </si>
  <si>
    <t>201806_s_at</t>
  </si>
  <si>
    <t>ATXN2L</t>
  </si>
  <si>
    <t>217158_at</t>
  </si>
  <si>
    <t>LOC442421 /// LOC728297</t>
  </si>
  <si>
    <t>214203_s_at</t>
  </si>
  <si>
    <t>PRODH</t>
  </si>
  <si>
    <t>208496_x_at</t>
  </si>
  <si>
    <t>HIST1H3G</t>
  </si>
  <si>
    <t>204522_at</t>
  </si>
  <si>
    <t>DOM3Z</t>
  </si>
  <si>
    <t>206671_at</t>
  </si>
  <si>
    <t>SAG</t>
  </si>
  <si>
    <t>217971_at</t>
  </si>
  <si>
    <t>MAPKSP1</t>
  </si>
  <si>
    <t>206748_s_at</t>
  </si>
  <si>
    <t>SPAG9</t>
  </si>
  <si>
    <t>200790_at</t>
  </si>
  <si>
    <t>ODC1</t>
  </si>
  <si>
    <t>206567_s_at</t>
  </si>
  <si>
    <t>207641_at</t>
  </si>
  <si>
    <t>TNFRSF13B</t>
  </si>
  <si>
    <t>208725_at</t>
  </si>
  <si>
    <t>EIF2S2</t>
  </si>
  <si>
    <t>212232_at</t>
  </si>
  <si>
    <t>FNBP4</t>
  </si>
  <si>
    <t>216180_s_at</t>
  </si>
  <si>
    <t>201523_x_at</t>
  </si>
  <si>
    <t>211425_x_at</t>
  </si>
  <si>
    <t>200840_at</t>
  </si>
  <si>
    <t>KARS</t>
  </si>
  <si>
    <t>222119_s_at</t>
  </si>
  <si>
    <t>FBXO11</t>
  </si>
  <si>
    <t>218001_at</t>
  </si>
  <si>
    <t>MRPS2</t>
  </si>
  <si>
    <t>214384_s_at</t>
  </si>
  <si>
    <t>DCTN2</t>
  </si>
  <si>
    <t>200830_at</t>
  </si>
  <si>
    <t>PSMD2</t>
  </si>
  <si>
    <t>201407_s_at</t>
  </si>
  <si>
    <t>PPP1CB</t>
  </si>
  <si>
    <t>201999_s_at</t>
  </si>
  <si>
    <t>DYNLT1</t>
  </si>
  <si>
    <t>203413_at</t>
  </si>
  <si>
    <t>NELL2</t>
  </si>
  <si>
    <t>204868_at</t>
  </si>
  <si>
    <t>ICT1</t>
  </si>
  <si>
    <t>206475_x_at</t>
  </si>
  <si>
    <t>218687_s_at</t>
  </si>
  <si>
    <t>MUC13</t>
  </si>
  <si>
    <t>201115_at</t>
  </si>
  <si>
    <t>POLD2</t>
  </si>
  <si>
    <t>201119_s_at</t>
  </si>
  <si>
    <t>COX8A</t>
  </si>
  <si>
    <t>207359_at</t>
  </si>
  <si>
    <t>207620_s_at</t>
  </si>
  <si>
    <t>212561_at</t>
  </si>
  <si>
    <t>DENND5A</t>
  </si>
  <si>
    <t>213607_x_at</t>
  </si>
  <si>
    <t>214301_s_at</t>
  </si>
  <si>
    <t>219579_at</t>
  </si>
  <si>
    <t>RAB3IL1</t>
  </si>
  <si>
    <t>220453_at</t>
  </si>
  <si>
    <t>PQLC2</t>
  </si>
  <si>
    <t>206055_s_at</t>
  </si>
  <si>
    <t>SNRPA1</t>
  </si>
  <si>
    <t>217234_s_at</t>
  </si>
  <si>
    <t>217576_x_at</t>
  </si>
  <si>
    <t>206991_s_at</t>
  </si>
  <si>
    <t>CCR5</t>
  </si>
  <si>
    <t>207976_at</t>
  </si>
  <si>
    <t>KLHL18</t>
  </si>
  <si>
    <t>205753_at</t>
  </si>
  <si>
    <t>CRP</t>
  </si>
  <si>
    <t>210272_at</t>
  </si>
  <si>
    <t>CYP2B7P1</t>
  </si>
  <si>
    <t>212186_at</t>
  </si>
  <si>
    <t>ACACA</t>
  </si>
  <si>
    <t>204808_s_at</t>
  </si>
  <si>
    <t>TMEM5</t>
  </si>
  <si>
    <t>214968_at</t>
  </si>
  <si>
    <t>DDX51</t>
  </si>
  <si>
    <t>206020_at</t>
  </si>
  <si>
    <t>SOCS6</t>
  </si>
  <si>
    <t>205322_s_at</t>
  </si>
  <si>
    <t>MTF1</t>
  </si>
  <si>
    <t>202756_s_at</t>
  </si>
  <si>
    <t>GPC1</t>
  </si>
  <si>
    <t>206845_s_at</t>
  </si>
  <si>
    <t>211133_x_at</t>
  </si>
  <si>
    <t>LILRA6 /// LILRB3</t>
  </si>
  <si>
    <t>205458_at</t>
  </si>
  <si>
    <t>MC1R</t>
  </si>
  <si>
    <t>204730_at</t>
  </si>
  <si>
    <t>RIMS3</t>
  </si>
  <si>
    <t>209177_at</t>
  </si>
  <si>
    <t>NDUFAF3</t>
  </si>
  <si>
    <t>212326_at</t>
  </si>
  <si>
    <t>VPS13D</t>
  </si>
  <si>
    <t>212397_at</t>
  </si>
  <si>
    <t>RDX</t>
  </si>
  <si>
    <t>201849_at</t>
  </si>
  <si>
    <t>BNIP3</t>
  </si>
  <si>
    <t>206075_s_at</t>
  </si>
  <si>
    <t>CSNK2A1</t>
  </si>
  <si>
    <t>203204_s_at</t>
  </si>
  <si>
    <t>210214_s_at</t>
  </si>
  <si>
    <t>BMPR2</t>
  </si>
  <si>
    <t>218511_s_at</t>
  </si>
  <si>
    <t>PNPO</t>
  </si>
  <si>
    <t>220661_s_at</t>
  </si>
  <si>
    <t>ZNF692</t>
  </si>
  <si>
    <t>203842_s_at</t>
  </si>
  <si>
    <t>MAPRE3</t>
  </si>
  <si>
    <t>221853_s_at</t>
  </si>
  <si>
    <t>NOMO1 /// NOMO2 /// NOMO3</t>
  </si>
  <si>
    <t>202553_s_at</t>
  </si>
  <si>
    <t>SYF2</t>
  </si>
  <si>
    <t>205375_at</t>
  </si>
  <si>
    <t>MDFI</t>
  </si>
  <si>
    <t>201153_s_at</t>
  </si>
  <si>
    <t>206551_x_at</t>
  </si>
  <si>
    <t>212088_at</t>
  </si>
  <si>
    <t>PMPCA</t>
  </si>
  <si>
    <t>214390_s_at</t>
  </si>
  <si>
    <t>BCAT1</t>
  </si>
  <si>
    <t>205326_at</t>
  </si>
  <si>
    <t>RAMP3</t>
  </si>
  <si>
    <t>41660_at</t>
  </si>
  <si>
    <t>CELSR1</t>
  </si>
  <si>
    <t>215227_x_at</t>
  </si>
  <si>
    <t>214239_x_at</t>
  </si>
  <si>
    <t>201937_s_at</t>
  </si>
  <si>
    <t>205879_x_at</t>
  </si>
  <si>
    <t>RET</t>
  </si>
  <si>
    <t>219041_s_at</t>
  </si>
  <si>
    <t>REPIN1</t>
  </si>
  <si>
    <t>205898_at</t>
  </si>
  <si>
    <t>CX3CR1</t>
  </si>
  <si>
    <t>213189_at</t>
  </si>
  <si>
    <t>216624_s_at</t>
  </si>
  <si>
    <t>MLL</t>
  </si>
  <si>
    <t>207216_at</t>
  </si>
  <si>
    <t>TNFSF8</t>
  </si>
  <si>
    <t>211254_x_at</t>
  </si>
  <si>
    <t>203851_at</t>
  </si>
  <si>
    <t>IGFBP6</t>
  </si>
  <si>
    <t>205941_s_at</t>
  </si>
  <si>
    <t>COL10A1</t>
  </si>
  <si>
    <t>209346_s_at</t>
  </si>
  <si>
    <t>PI4K2A</t>
  </si>
  <si>
    <t>211977_at</t>
  </si>
  <si>
    <t>212225_at</t>
  </si>
  <si>
    <t>214272_at</t>
  </si>
  <si>
    <t>214482_at</t>
  </si>
  <si>
    <t>ZBTB25</t>
  </si>
  <si>
    <t>215434_x_at</t>
  </si>
  <si>
    <t>LOC100288142 /// NBPF1 /// NBPF10</t>
  </si>
  <si>
    <t>200079_s_at</t>
  </si>
  <si>
    <t>203959_s_at</t>
  </si>
  <si>
    <t>ZBTB40</t>
  </si>
  <si>
    <t>213115_at</t>
  </si>
  <si>
    <t>ATG4A</t>
  </si>
  <si>
    <t>58900_at</t>
  </si>
  <si>
    <t>LOC222070</t>
  </si>
  <si>
    <t>208963_x_at</t>
  </si>
  <si>
    <t>218234_at</t>
  </si>
  <si>
    <t>ING4</t>
  </si>
  <si>
    <t>214916_x_at</t>
  </si>
  <si>
    <t>IGH@ /// IGHA1 /// IGHA2 /// IGHG1 /// IGHG3 /// IGHM /// IGHV3-23 /// IGHV4-31 /// LOC100132941 ///</t>
  </si>
  <si>
    <t>209149_s_at</t>
  </si>
  <si>
    <t>207968_s_at</t>
  </si>
  <si>
    <t>MEF2C</t>
  </si>
  <si>
    <t>217750_s_at</t>
  </si>
  <si>
    <t>UBE2Z</t>
  </si>
  <si>
    <t>217807_s_at</t>
  </si>
  <si>
    <t>GLTSCR2</t>
  </si>
  <si>
    <t>201067_at</t>
  </si>
  <si>
    <t>PSMC2</t>
  </si>
  <si>
    <t>202646_s_at</t>
  </si>
  <si>
    <t>203224_at</t>
  </si>
  <si>
    <t>205056_s_at</t>
  </si>
  <si>
    <t>GPR162</t>
  </si>
  <si>
    <t>205236_x_at</t>
  </si>
  <si>
    <t>SOD3</t>
  </si>
  <si>
    <t>210338_s_at</t>
  </si>
  <si>
    <t>219324_at</t>
  </si>
  <si>
    <t>211805_s_at</t>
  </si>
  <si>
    <t>SLC8A1</t>
  </si>
  <si>
    <t>213266_at</t>
  </si>
  <si>
    <t>TUBGCP4</t>
  </si>
  <si>
    <t>204658_at</t>
  </si>
  <si>
    <t>202473_x_at</t>
  </si>
  <si>
    <t>HCFC1</t>
  </si>
  <si>
    <t>218960_at</t>
  </si>
  <si>
    <t>TMPRSS4</t>
  </si>
  <si>
    <t>39854_r_at</t>
  </si>
  <si>
    <t>LOC100293124 /// PNPLA2</t>
  </si>
  <si>
    <t>211023_at</t>
  </si>
  <si>
    <t>203218_at</t>
  </si>
  <si>
    <t>MAPK9</t>
  </si>
  <si>
    <t>205204_at</t>
  </si>
  <si>
    <t>NMB</t>
  </si>
  <si>
    <t>205306_x_at</t>
  </si>
  <si>
    <t>KMO</t>
  </si>
  <si>
    <t>209167_at</t>
  </si>
  <si>
    <t>222064_s_at</t>
  </si>
  <si>
    <t>AARSD1</t>
  </si>
  <si>
    <t>212016_s_at</t>
  </si>
  <si>
    <t>PTBP1</t>
  </si>
  <si>
    <t>204596_s_at</t>
  </si>
  <si>
    <t>211173_at</t>
  </si>
  <si>
    <t>CCKAR</t>
  </si>
  <si>
    <t>220929_at</t>
  </si>
  <si>
    <t>GALNT8</t>
  </si>
  <si>
    <t>202443_x_at</t>
  </si>
  <si>
    <t>209881_s_at</t>
  </si>
  <si>
    <t>LAT /// SPNS1</t>
  </si>
  <si>
    <t>211250_s_at</t>
  </si>
  <si>
    <t>215134_at</t>
  </si>
  <si>
    <t>214135_at</t>
  </si>
  <si>
    <t>CLDN18</t>
  </si>
  <si>
    <t>214906_x_at</t>
  </si>
  <si>
    <t>203749_s_at</t>
  </si>
  <si>
    <t>RARA</t>
  </si>
  <si>
    <t>1438_at</t>
  </si>
  <si>
    <t>218267_at</t>
  </si>
  <si>
    <t>CINP</t>
  </si>
  <si>
    <t>218917_s_at</t>
  </si>
  <si>
    <t>ARID1A</t>
  </si>
  <si>
    <t>212138_at</t>
  </si>
  <si>
    <t>204295_at</t>
  </si>
  <si>
    <t>SURF1 /// VPS37A</t>
  </si>
  <si>
    <t>205895_s_at</t>
  </si>
  <si>
    <t>NOLC1</t>
  </si>
  <si>
    <t>210343_s_at</t>
  </si>
  <si>
    <t>SLC22A6</t>
  </si>
  <si>
    <t>213072_at</t>
  </si>
  <si>
    <t>214298_x_at</t>
  </si>
  <si>
    <t>219600_s_at</t>
  </si>
  <si>
    <t>TMEM50B</t>
  </si>
  <si>
    <t>212977_at</t>
  </si>
  <si>
    <t>CXCR7</t>
  </si>
  <si>
    <t>214367_at</t>
  </si>
  <si>
    <t>207824_s_at</t>
  </si>
  <si>
    <t>200872_at</t>
  </si>
  <si>
    <t>S100A10</t>
  </si>
  <si>
    <t>202784_s_at</t>
  </si>
  <si>
    <t>221355_at</t>
  </si>
  <si>
    <t>CHRNG</t>
  </si>
  <si>
    <t>209744_x_at</t>
  </si>
  <si>
    <t>221488_s_at</t>
  </si>
  <si>
    <t>CUTA</t>
  </si>
  <si>
    <t>200771_at</t>
  </si>
  <si>
    <t>LAMC1</t>
  </si>
  <si>
    <t>205031_at</t>
  </si>
  <si>
    <t>205631_at</t>
  </si>
  <si>
    <t>209265_s_at</t>
  </si>
  <si>
    <t>209556_at</t>
  </si>
  <si>
    <t>NCDN</t>
  </si>
  <si>
    <t>210419_at</t>
  </si>
  <si>
    <t>BARX2</t>
  </si>
  <si>
    <t>213422_s_at</t>
  </si>
  <si>
    <t>MXRA8</t>
  </si>
  <si>
    <t>218934_s_at</t>
  </si>
  <si>
    <t>HSPB7</t>
  </si>
  <si>
    <t>200946_x_at</t>
  </si>
  <si>
    <t>201327_s_at</t>
  </si>
  <si>
    <t>204952_at</t>
  </si>
  <si>
    <t>LYPD3</t>
  </si>
  <si>
    <t>205277_at</t>
  </si>
  <si>
    <t>214730_s_at</t>
  </si>
  <si>
    <t>209280_at</t>
  </si>
  <si>
    <t>MRC2</t>
  </si>
  <si>
    <t>202910_s_at</t>
  </si>
  <si>
    <t>CD97</t>
  </si>
  <si>
    <t>204548_at</t>
  </si>
  <si>
    <t>STAR</t>
  </si>
  <si>
    <t>207046_at</t>
  </si>
  <si>
    <t>HIST2H4A /// HIST2H4B</t>
  </si>
  <si>
    <t>204026_s_at</t>
  </si>
  <si>
    <t>ZWINT</t>
  </si>
  <si>
    <t>217099_s_at</t>
  </si>
  <si>
    <t>GEMIN4</t>
  </si>
  <si>
    <t>211784_s_at</t>
  </si>
  <si>
    <t>SFRS1</t>
  </si>
  <si>
    <t>213656_s_at</t>
  </si>
  <si>
    <t>KLC1</t>
  </si>
  <si>
    <t>214027_x_at</t>
  </si>
  <si>
    <t>DES /// FAM48A</t>
  </si>
  <si>
    <t>205582_s_at</t>
  </si>
  <si>
    <t>GGT5</t>
  </si>
  <si>
    <t>220596_at</t>
  </si>
  <si>
    <t>202373_s_at</t>
  </si>
  <si>
    <t>RAB3GAP2</t>
  </si>
  <si>
    <t>202751_at</t>
  </si>
  <si>
    <t>202972_s_at</t>
  </si>
  <si>
    <t>217938_s_at</t>
  </si>
  <si>
    <t>KCMF1</t>
  </si>
  <si>
    <t>219809_at</t>
  </si>
  <si>
    <t>WDR55</t>
  </si>
  <si>
    <t>220937_s_at</t>
  </si>
  <si>
    <t>220977_x_at</t>
  </si>
  <si>
    <t>EPB41L5</t>
  </si>
  <si>
    <t>207238_s_at</t>
  </si>
  <si>
    <t>PTPRC</t>
  </si>
  <si>
    <t>213298_at</t>
  </si>
  <si>
    <t>NFIC</t>
  </si>
  <si>
    <t>206179_s_at</t>
  </si>
  <si>
    <t>TPPP</t>
  </si>
  <si>
    <t>215146_s_at</t>
  </si>
  <si>
    <t>37943_at</t>
  </si>
  <si>
    <t>ZFYVE26</t>
  </si>
  <si>
    <t>213326_at</t>
  </si>
  <si>
    <t>VAMP1</t>
  </si>
  <si>
    <t>204472_at</t>
  </si>
  <si>
    <t>GEM</t>
  </si>
  <si>
    <t>216310_at</t>
  </si>
  <si>
    <t>TAOK1</t>
  </si>
  <si>
    <t>214423_x_at</t>
  </si>
  <si>
    <t>ALDOB</t>
  </si>
  <si>
    <t>202585_s_at</t>
  </si>
  <si>
    <t>NFX1</t>
  </si>
  <si>
    <t>208135_at</t>
  </si>
  <si>
    <t>HNF1B</t>
  </si>
  <si>
    <t>208951_at</t>
  </si>
  <si>
    <t>211467_s_at</t>
  </si>
  <si>
    <t>NFIB</t>
  </si>
  <si>
    <t>214972_at</t>
  </si>
  <si>
    <t>208941_s_at</t>
  </si>
  <si>
    <t>215788_at</t>
  </si>
  <si>
    <t>C1orf222</t>
  </si>
  <si>
    <t>33736_at</t>
  </si>
  <si>
    <t>STOML1</t>
  </si>
  <si>
    <t>218030_at</t>
  </si>
  <si>
    <t>GIT1</t>
  </si>
  <si>
    <t>216606_x_at</t>
  </si>
  <si>
    <t>LYPLA2P1</t>
  </si>
  <si>
    <t>207505_at</t>
  </si>
  <si>
    <t>PRKG2</t>
  </si>
  <si>
    <t>213981_at</t>
  </si>
  <si>
    <t>215930_s_at</t>
  </si>
  <si>
    <t>CTAGE5</t>
  </si>
  <si>
    <t>216251_s_at</t>
  </si>
  <si>
    <t>TTLL12</t>
  </si>
  <si>
    <t>216881_x_at</t>
  </si>
  <si>
    <t>PRB4</t>
  </si>
  <si>
    <t>222252_x_at</t>
  </si>
  <si>
    <t>UBQLN4</t>
  </si>
  <si>
    <t>219169_s_at</t>
  </si>
  <si>
    <t>TFB1M</t>
  </si>
  <si>
    <t>205830_at</t>
  </si>
  <si>
    <t>CLGN</t>
  </si>
  <si>
    <t>209238_at</t>
  </si>
  <si>
    <t>STX3</t>
  </si>
  <si>
    <t>212104_s_at</t>
  </si>
  <si>
    <t>RBM9</t>
  </si>
  <si>
    <t>218598_at</t>
  </si>
  <si>
    <t>RINT1</t>
  </si>
  <si>
    <t>219761_at</t>
  </si>
  <si>
    <t>CLEC1A</t>
  </si>
  <si>
    <t>222192_s_at</t>
  </si>
  <si>
    <t>C2orf43</t>
  </si>
  <si>
    <t>202715_at</t>
  </si>
  <si>
    <t>CAD</t>
  </si>
  <si>
    <t>220046_s_at</t>
  </si>
  <si>
    <t>CCNL1</t>
  </si>
  <si>
    <t>211675_s_at</t>
  </si>
  <si>
    <t>MDFIC</t>
  </si>
  <si>
    <t>203333_at</t>
  </si>
  <si>
    <t>KIFAP3</t>
  </si>
  <si>
    <t>206421_s_at</t>
  </si>
  <si>
    <t>SERPINB7</t>
  </si>
  <si>
    <t>207311_at</t>
  </si>
  <si>
    <t>DOC2B</t>
  </si>
  <si>
    <t>211580_s_at</t>
  </si>
  <si>
    <t>217062_at</t>
  </si>
  <si>
    <t>LOC100287204</t>
  </si>
  <si>
    <t>220480_at</t>
  </si>
  <si>
    <t>HAND2</t>
  </si>
  <si>
    <t>221502_at</t>
  </si>
  <si>
    <t>KPNA3</t>
  </si>
  <si>
    <t>210373_at</t>
  </si>
  <si>
    <t>TUSC4</t>
  </si>
  <si>
    <t>202489_s_at</t>
  </si>
  <si>
    <t>FXYD3</t>
  </si>
  <si>
    <t>209890_at</t>
  </si>
  <si>
    <t>TSPAN5</t>
  </si>
  <si>
    <t>217095_x_at</t>
  </si>
  <si>
    <t>NCR1</t>
  </si>
  <si>
    <t>200669_s_at</t>
  </si>
  <si>
    <t>UBE2D3</t>
  </si>
  <si>
    <t>204070_at</t>
  </si>
  <si>
    <t>RARRES3</t>
  </si>
  <si>
    <t>208091_s_at</t>
  </si>
  <si>
    <t>VOPP1</t>
  </si>
  <si>
    <t>212469_at</t>
  </si>
  <si>
    <t>NIPBL</t>
  </si>
  <si>
    <t>200664_s_at</t>
  </si>
  <si>
    <t>DNAJB1</t>
  </si>
  <si>
    <t>62212_at</t>
  </si>
  <si>
    <t>C1orf50</t>
  </si>
  <si>
    <t>202055_at</t>
  </si>
  <si>
    <t>KPNA1</t>
  </si>
  <si>
    <t>206152_at</t>
  </si>
  <si>
    <t>AGAP2</t>
  </si>
  <si>
    <t>209972_s_at</t>
  </si>
  <si>
    <t>220288_at</t>
  </si>
  <si>
    <t>MYO15A</t>
  </si>
  <si>
    <t>222005_s_at</t>
  </si>
  <si>
    <t>GNG3</t>
  </si>
  <si>
    <t>208452_x_at</t>
  </si>
  <si>
    <t>211944_at</t>
  </si>
  <si>
    <t>BAT2D1</t>
  </si>
  <si>
    <t>207771_at</t>
  </si>
  <si>
    <t>SLC5A2</t>
  </si>
  <si>
    <t>200057_s_at</t>
  </si>
  <si>
    <t>NONO</t>
  </si>
  <si>
    <t>213692_s_at</t>
  </si>
  <si>
    <t>213861_s_at</t>
  </si>
  <si>
    <t>FAM119B</t>
  </si>
  <si>
    <t>209374_s_at</t>
  </si>
  <si>
    <t>204371_s_at</t>
  </si>
  <si>
    <t>KHSRP</t>
  </si>
  <si>
    <t>212058_at</t>
  </si>
  <si>
    <t>SR140</t>
  </si>
  <si>
    <t>220721_at</t>
  </si>
  <si>
    <t>ZNF614</t>
  </si>
  <si>
    <t>35160_at</t>
  </si>
  <si>
    <t>LDB1</t>
  </si>
  <si>
    <t>205325_at</t>
  </si>
  <si>
    <t>PHYHIP</t>
  </si>
  <si>
    <t>206035_at</t>
  </si>
  <si>
    <t>REL</t>
  </si>
  <si>
    <t>214626_s_at</t>
  </si>
  <si>
    <t>GANAB</t>
  </si>
  <si>
    <t>219831_at</t>
  </si>
  <si>
    <t>CDKL3</t>
  </si>
  <si>
    <t>205727_at</t>
  </si>
  <si>
    <t>TEP1</t>
  </si>
  <si>
    <t>208658_at</t>
  </si>
  <si>
    <t>202576_s_at</t>
  </si>
  <si>
    <t>DDX19A /// DDX19B</t>
  </si>
  <si>
    <t>203250_at</t>
  </si>
  <si>
    <t>RBM16</t>
  </si>
  <si>
    <t>206216_at</t>
  </si>
  <si>
    <t>SRPK3</t>
  </si>
  <si>
    <t>209871_s_at</t>
  </si>
  <si>
    <t>214338_at</t>
  </si>
  <si>
    <t>DNAJB12</t>
  </si>
  <si>
    <t>220370_s_at</t>
  </si>
  <si>
    <t>USP36</t>
  </si>
  <si>
    <t>208747_s_at</t>
  </si>
  <si>
    <t>C1S</t>
  </si>
  <si>
    <t>200058_s_at</t>
  </si>
  <si>
    <t>SNRNP200</t>
  </si>
  <si>
    <t>201392_s_at</t>
  </si>
  <si>
    <t>IGF2R</t>
  </si>
  <si>
    <t>214037_s_at</t>
  </si>
  <si>
    <t>215420_at</t>
  </si>
  <si>
    <t>IHH</t>
  </si>
  <si>
    <t>216866_s_at</t>
  </si>
  <si>
    <t>COL14A1</t>
  </si>
  <si>
    <t>201087_at</t>
  </si>
  <si>
    <t>PXN</t>
  </si>
  <si>
    <t>219829_at</t>
  </si>
  <si>
    <t>ITGB1BP2</t>
  </si>
  <si>
    <t>213265_at</t>
  </si>
  <si>
    <t>PGA3 /// PGA4 /// PGA5</t>
  </si>
  <si>
    <t>204260_at</t>
  </si>
  <si>
    <t>CHGB</t>
  </si>
  <si>
    <t>205256_at</t>
  </si>
  <si>
    <t>ZBTB39</t>
  </si>
  <si>
    <t>220368_s_at</t>
  </si>
  <si>
    <t>221399_at</t>
  </si>
  <si>
    <t>EDA2R</t>
  </si>
  <si>
    <t>221435_x_at</t>
  </si>
  <si>
    <t>HYI</t>
  </si>
  <si>
    <t>208591_s_at</t>
  </si>
  <si>
    <t>PDE3B</t>
  </si>
  <si>
    <t>209039_x_at</t>
  </si>
  <si>
    <t>212881_at</t>
  </si>
  <si>
    <t>PIAS4</t>
  </si>
  <si>
    <t>221593_s_at</t>
  </si>
  <si>
    <t>RPL31</t>
  </si>
  <si>
    <t>218354_at</t>
  </si>
  <si>
    <t>TRAPPC2L</t>
  </si>
  <si>
    <t>200987_x_at</t>
  </si>
  <si>
    <t>222053_at</t>
  </si>
  <si>
    <t>TAF6L</t>
  </si>
  <si>
    <t>201906_s_at</t>
  </si>
  <si>
    <t>CTDSPL</t>
  </si>
  <si>
    <t>219287_at</t>
  </si>
  <si>
    <t>KCNMB4</t>
  </si>
  <si>
    <t>201800_s_at</t>
  </si>
  <si>
    <t>218545_at</t>
  </si>
  <si>
    <t>CCDC91</t>
  </si>
  <si>
    <t>209024_s_at</t>
  </si>
  <si>
    <t>205637_s_at</t>
  </si>
  <si>
    <t>SH3GL3</t>
  </si>
  <si>
    <t>206508_at</t>
  </si>
  <si>
    <t>CD70</t>
  </si>
  <si>
    <t>210996_s_at</t>
  </si>
  <si>
    <t>YWHAE</t>
  </si>
  <si>
    <t>204768_s_at</t>
  </si>
  <si>
    <t>FEN1</t>
  </si>
  <si>
    <t>217007_s_at</t>
  </si>
  <si>
    <t>ADAM15</t>
  </si>
  <si>
    <t>221104_s_at</t>
  </si>
  <si>
    <t>NIPSNAP3B</t>
  </si>
  <si>
    <t>221569_at</t>
  </si>
  <si>
    <t>AHI1</t>
  </si>
  <si>
    <t>203441_s_at</t>
  </si>
  <si>
    <t>CDH2</t>
  </si>
  <si>
    <t>219138_at</t>
  </si>
  <si>
    <t>RPL14</t>
  </si>
  <si>
    <t>212143_s_at</t>
  </si>
  <si>
    <t>203948_s_at</t>
  </si>
  <si>
    <t>MPO</t>
  </si>
  <si>
    <t>215296_at</t>
  </si>
  <si>
    <t>208752_x_at</t>
  </si>
  <si>
    <t>218361_at</t>
  </si>
  <si>
    <t>GOLPH3L</t>
  </si>
  <si>
    <t>220035_at</t>
  </si>
  <si>
    <t>206032_at</t>
  </si>
  <si>
    <t>DSC3</t>
  </si>
  <si>
    <t>209449_at</t>
  </si>
  <si>
    <t>LSM2</t>
  </si>
  <si>
    <t>212330_at</t>
  </si>
  <si>
    <t>218441_s_at</t>
  </si>
  <si>
    <t>RPAP1</t>
  </si>
  <si>
    <t>209557_s_at</t>
  </si>
  <si>
    <t>210822_at</t>
  </si>
  <si>
    <t>RPL13P5</t>
  </si>
  <si>
    <t>220561_at</t>
  </si>
  <si>
    <t>IGF2AS</t>
  </si>
  <si>
    <t>203852_s_at</t>
  </si>
  <si>
    <t>SMN1 /// SMN2</t>
  </si>
  <si>
    <t>205270_s_at</t>
  </si>
  <si>
    <t>LCP2</t>
  </si>
  <si>
    <t>200803_s_at</t>
  </si>
  <si>
    <t>TMBIM6</t>
  </si>
  <si>
    <t>208277_at</t>
  </si>
  <si>
    <t>PITX3</t>
  </si>
  <si>
    <t>211597_s_at</t>
  </si>
  <si>
    <t>HOPX</t>
  </si>
  <si>
    <t>213546_at</t>
  </si>
  <si>
    <t>DKFZP586I1420</t>
  </si>
  <si>
    <t>213575_at</t>
  </si>
  <si>
    <t>218675_at</t>
  </si>
  <si>
    <t>SLC22A17</t>
  </si>
  <si>
    <t>211816_x_at</t>
  </si>
  <si>
    <t>FCAR</t>
  </si>
  <si>
    <t>203687_at</t>
  </si>
  <si>
    <t>CX3CL1</t>
  </si>
  <si>
    <t>205453_at</t>
  </si>
  <si>
    <t>HOXB2</t>
  </si>
  <si>
    <t>202681_at</t>
  </si>
  <si>
    <t>212650_at</t>
  </si>
  <si>
    <t>207655_s_at</t>
  </si>
  <si>
    <t>BLNK</t>
  </si>
  <si>
    <t>217855_x_at</t>
  </si>
  <si>
    <t>SDF4</t>
  </si>
  <si>
    <t>218893_at</t>
  </si>
  <si>
    <t>ISOC2</t>
  </si>
  <si>
    <t>220555_s_at</t>
  </si>
  <si>
    <t>PDZD7</t>
  </si>
  <si>
    <t>220780_at</t>
  </si>
  <si>
    <t>PLA2G3</t>
  </si>
  <si>
    <t>222236_s_at</t>
  </si>
  <si>
    <t>ASAP3</t>
  </si>
  <si>
    <t>220303_at</t>
  </si>
  <si>
    <t>PDZD3</t>
  </si>
  <si>
    <t>218308_at</t>
  </si>
  <si>
    <t>TACC3</t>
  </si>
  <si>
    <t>219104_at</t>
  </si>
  <si>
    <t>RNF141</t>
  </si>
  <si>
    <t>217496_s_at</t>
  </si>
  <si>
    <t>210273_at</t>
  </si>
  <si>
    <t>PCDH7</t>
  </si>
  <si>
    <t>212083_at</t>
  </si>
  <si>
    <t>TEX261</t>
  </si>
  <si>
    <t>212160_at</t>
  </si>
  <si>
    <t>XPOT</t>
  </si>
  <si>
    <t>212593_s_at</t>
  </si>
  <si>
    <t>215909_x_at</t>
  </si>
  <si>
    <t>MINK1</t>
  </si>
  <si>
    <t>216256_at</t>
  </si>
  <si>
    <t>GRM8</t>
  </si>
  <si>
    <t>203408_s_at</t>
  </si>
  <si>
    <t>SATB1</t>
  </si>
  <si>
    <t>218763_at</t>
  </si>
  <si>
    <t>STX18</t>
  </si>
  <si>
    <t>200657_at</t>
  </si>
  <si>
    <t>SLC25A5</t>
  </si>
  <si>
    <t>210474_s_at</t>
  </si>
  <si>
    <t>212926_at</t>
  </si>
  <si>
    <t>SMC5</t>
  </si>
  <si>
    <t>219198_at</t>
  </si>
  <si>
    <t>GTF3C4</t>
  </si>
  <si>
    <t>221774_x_at</t>
  </si>
  <si>
    <t>FAM48A</t>
  </si>
  <si>
    <t>214055_x_at</t>
  </si>
  <si>
    <t>209578_s_at</t>
  </si>
  <si>
    <t>213337_s_at</t>
  </si>
  <si>
    <t>219502_at</t>
  </si>
  <si>
    <t>NEIL3</t>
  </si>
  <si>
    <t>220629_at</t>
  </si>
  <si>
    <t>KCNQ1DN</t>
  </si>
  <si>
    <t>214052_x_at</t>
  </si>
  <si>
    <t>200742_s_at</t>
  </si>
  <si>
    <t>TPP1</t>
  </si>
  <si>
    <t>203674_at</t>
  </si>
  <si>
    <t>HELZ</t>
  </si>
  <si>
    <t>206994_at</t>
  </si>
  <si>
    <t>CST4</t>
  </si>
  <si>
    <t>202467_s_at</t>
  </si>
  <si>
    <t>COPS2</t>
  </si>
  <si>
    <t>203055_s_at</t>
  </si>
  <si>
    <t>ARHGEF1</t>
  </si>
  <si>
    <t>206789_s_at</t>
  </si>
  <si>
    <t>POU2F1</t>
  </si>
  <si>
    <t>209267_s_at</t>
  </si>
  <si>
    <t>210223_s_at</t>
  </si>
  <si>
    <t>210802_s_at</t>
  </si>
  <si>
    <t>DIMT1L</t>
  </si>
  <si>
    <t>212402_at</t>
  </si>
  <si>
    <t>ZC3H13</t>
  </si>
  <si>
    <t>218483_s_at</t>
  </si>
  <si>
    <t>C11orf60</t>
  </si>
  <si>
    <t>218165_at</t>
  </si>
  <si>
    <t>MEAF6</t>
  </si>
  <si>
    <t>207118_s_at</t>
  </si>
  <si>
    <t>MMP23A /// MMP23B</t>
  </si>
  <si>
    <t>218848_at</t>
  </si>
  <si>
    <t>THOC6</t>
  </si>
  <si>
    <t>200797_s_at</t>
  </si>
  <si>
    <t>MCL1</t>
  </si>
  <si>
    <t>55081_at</t>
  </si>
  <si>
    <t>MICALL1</t>
  </si>
  <si>
    <t>203783_x_at</t>
  </si>
  <si>
    <t>POLRMT</t>
  </si>
  <si>
    <t>209342_s_at</t>
  </si>
  <si>
    <t>IKBKB</t>
  </si>
  <si>
    <t>209402_s_at</t>
  </si>
  <si>
    <t>SLC12A4</t>
  </si>
  <si>
    <t>209843_s_at</t>
  </si>
  <si>
    <t>SOX10</t>
  </si>
  <si>
    <t>214302_x_at</t>
  </si>
  <si>
    <t>GJC2</t>
  </si>
  <si>
    <t>215464_s_at</t>
  </si>
  <si>
    <t>TAX1BP3</t>
  </si>
  <si>
    <t>217812_at</t>
  </si>
  <si>
    <t>YTHDF2</t>
  </si>
  <si>
    <t>221102_s_at</t>
  </si>
  <si>
    <t>TRPM6</t>
  </si>
  <si>
    <t>215171_s_at</t>
  </si>
  <si>
    <t>TIMM17A</t>
  </si>
  <si>
    <t>219136_s_at</t>
  </si>
  <si>
    <t>LMF1</t>
  </si>
  <si>
    <t>206316_s_at</t>
  </si>
  <si>
    <t>KNTC1</t>
  </si>
  <si>
    <t>214275_at</t>
  </si>
  <si>
    <t>220688_s_at</t>
  </si>
  <si>
    <t>MRTO4</t>
  </si>
  <si>
    <t>215065_at</t>
  </si>
  <si>
    <t>PHF8</t>
  </si>
  <si>
    <t>220008_at</t>
  </si>
  <si>
    <t>SGK269</t>
  </si>
  <si>
    <t>211096_at</t>
  </si>
  <si>
    <t>PBX2</t>
  </si>
  <si>
    <t>212060_at</t>
  </si>
  <si>
    <t>215567_at</t>
  </si>
  <si>
    <t>FCF1</t>
  </si>
  <si>
    <t>218088_s_at</t>
  </si>
  <si>
    <t>RRAGC</t>
  </si>
  <si>
    <t>220143_x_at</t>
  </si>
  <si>
    <t>LUC7L</t>
  </si>
  <si>
    <t>202432_at</t>
  </si>
  <si>
    <t>205933_at</t>
  </si>
  <si>
    <t>SETBP1</t>
  </si>
  <si>
    <t>206361_at</t>
  </si>
  <si>
    <t>GPR44</t>
  </si>
  <si>
    <t>209028_s_at</t>
  </si>
  <si>
    <t>ABI1</t>
  </si>
  <si>
    <t>218427_at</t>
  </si>
  <si>
    <t>SDCCAG3</t>
  </si>
  <si>
    <t>205919_at</t>
  </si>
  <si>
    <t>216285_at</t>
  </si>
  <si>
    <t>218649_x_at</t>
  </si>
  <si>
    <t>SDCCAG1</t>
  </si>
  <si>
    <t>200673_at</t>
  </si>
  <si>
    <t>LAPTM4A</t>
  </si>
  <si>
    <t>206180_x_at</t>
  </si>
  <si>
    <t>ZNF747</t>
  </si>
  <si>
    <t>207890_s_at</t>
  </si>
  <si>
    <t>MMP25</t>
  </si>
  <si>
    <t>1598_g_at</t>
  </si>
  <si>
    <t>GAS6</t>
  </si>
  <si>
    <t>206406_at</t>
  </si>
  <si>
    <t>SMCP</t>
  </si>
  <si>
    <t>210619_s_at</t>
  </si>
  <si>
    <t>HYAL1</t>
  </si>
  <si>
    <t>211700_s_at</t>
  </si>
  <si>
    <t>TRO</t>
  </si>
  <si>
    <t>220455_at</t>
  </si>
  <si>
    <t>SLC16A8</t>
  </si>
  <si>
    <t>221575_at</t>
  </si>
  <si>
    <t>SCLY</t>
  </si>
  <si>
    <t>219618_at</t>
  </si>
  <si>
    <t>IRAK4</t>
  </si>
  <si>
    <t>219624_at</t>
  </si>
  <si>
    <t>BAG4</t>
  </si>
  <si>
    <t>205395_s_at</t>
  </si>
  <si>
    <t>MRE11A</t>
  </si>
  <si>
    <t>215020_at</t>
  </si>
  <si>
    <t>NRXN3</t>
  </si>
  <si>
    <t>221186_at</t>
  </si>
  <si>
    <t>LOC100131532</t>
  </si>
  <si>
    <t>206558_at</t>
  </si>
  <si>
    <t>SIM2</t>
  </si>
  <si>
    <t>201979_s_at</t>
  </si>
  <si>
    <t>201140_s_at</t>
  </si>
  <si>
    <t>RAB5C</t>
  </si>
  <si>
    <t>216088_s_at</t>
  </si>
  <si>
    <t>200845_s_at</t>
  </si>
  <si>
    <t>PRDX6</t>
  </si>
  <si>
    <t>212246_at</t>
  </si>
  <si>
    <t>MCFD2</t>
  </si>
  <si>
    <t>205763_s_at</t>
  </si>
  <si>
    <t>202037_s_at</t>
  </si>
  <si>
    <t>SFRP1</t>
  </si>
  <si>
    <t>203614_at</t>
  </si>
  <si>
    <t>UTP14C</t>
  </si>
  <si>
    <t>203992_s_at</t>
  </si>
  <si>
    <t>KDM6A</t>
  </si>
  <si>
    <t>206033_s_at</t>
  </si>
  <si>
    <t>214059_at</t>
  </si>
  <si>
    <t>215454_x_at</t>
  </si>
  <si>
    <t>215530_at</t>
  </si>
  <si>
    <t>FANCA</t>
  </si>
  <si>
    <t>217040_x_at</t>
  </si>
  <si>
    <t>221997_s_at</t>
  </si>
  <si>
    <t>MRPL52</t>
  </si>
  <si>
    <t>210399_x_at</t>
  </si>
  <si>
    <t>221209_s_at</t>
  </si>
  <si>
    <t>OTOR</t>
  </si>
  <si>
    <t>218599_at</t>
  </si>
  <si>
    <t>REC8</t>
  </si>
  <si>
    <t>211186_s_at</t>
  </si>
  <si>
    <t>200762_at</t>
  </si>
  <si>
    <t>DPYSL2</t>
  </si>
  <si>
    <t>217555_at</t>
  </si>
  <si>
    <t>201658_at</t>
  </si>
  <si>
    <t>ARL1</t>
  </si>
  <si>
    <t>211794_at</t>
  </si>
  <si>
    <t>212436_at</t>
  </si>
  <si>
    <t>TRIM33</t>
  </si>
  <si>
    <t>213787_s_at</t>
  </si>
  <si>
    <t>209522_s_at</t>
  </si>
  <si>
    <t>201383_s_at</t>
  </si>
  <si>
    <t>NBR1</t>
  </si>
  <si>
    <t>208988_at</t>
  </si>
  <si>
    <t>205667_at</t>
  </si>
  <si>
    <t>WRN</t>
  </si>
  <si>
    <t>216869_at</t>
  </si>
  <si>
    <t>PDE1C</t>
  </si>
  <si>
    <t>201409_s_at</t>
  </si>
  <si>
    <t>206089_at</t>
  </si>
  <si>
    <t>NELL1</t>
  </si>
  <si>
    <t>218680_x_at</t>
  </si>
  <si>
    <t>C15orf63 /// SERF2</t>
  </si>
  <si>
    <t>220746_s_at</t>
  </si>
  <si>
    <t>UIMC1</t>
  </si>
  <si>
    <t>221961_at</t>
  </si>
  <si>
    <t>221547_at</t>
  </si>
  <si>
    <t>PRPF18</t>
  </si>
  <si>
    <t>202629_at</t>
  </si>
  <si>
    <t>207734_at</t>
  </si>
  <si>
    <t>LAX1</t>
  </si>
  <si>
    <t>209997_x_at</t>
  </si>
  <si>
    <t>PCM1</t>
  </si>
  <si>
    <t>204101_at</t>
  </si>
  <si>
    <t>207370_at</t>
  </si>
  <si>
    <t>IBSP</t>
  </si>
  <si>
    <t>218435_at</t>
  </si>
  <si>
    <t>DNAJC15</t>
  </si>
  <si>
    <t>219449_s_at</t>
  </si>
  <si>
    <t>205344_at</t>
  </si>
  <si>
    <t>CSPG5</t>
  </si>
  <si>
    <t>200700_s_at</t>
  </si>
  <si>
    <t>206817_x_at</t>
  </si>
  <si>
    <t>TNRC4</t>
  </si>
  <si>
    <t>215071_s_at</t>
  </si>
  <si>
    <t>HIST1H2AC</t>
  </si>
  <si>
    <t>202514_at</t>
  </si>
  <si>
    <t>DLG1</t>
  </si>
  <si>
    <t>204083_s_at</t>
  </si>
  <si>
    <t>TPM2</t>
  </si>
  <si>
    <t>216571_at</t>
  </si>
  <si>
    <t>LOC100289791</t>
  </si>
  <si>
    <t>202358_s_at</t>
  </si>
  <si>
    <t>SNX19</t>
  </si>
  <si>
    <t>221017_s_at</t>
  </si>
  <si>
    <t>LRRC3</t>
  </si>
  <si>
    <t>207521_s_at</t>
  </si>
  <si>
    <t>ATP2A3</t>
  </si>
  <si>
    <t>207541_s_at</t>
  </si>
  <si>
    <t>EXOSC10</t>
  </si>
  <si>
    <t>215157_x_at</t>
  </si>
  <si>
    <t>PABPC1</t>
  </si>
  <si>
    <t>219835_at</t>
  </si>
  <si>
    <t>PRDM8</t>
  </si>
  <si>
    <t>213489_at</t>
  </si>
  <si>
    <t>MAPRE2</t>
  </si>
  <si>
    <t>204587_at</t>
  </si>
  <si>
    <t>SLC25A14</t>
  </si>
  <si>
    <t>209740_s_at</t>
  </si>
  <si>
    <t>PNPLA4</t>
  </si>
  <si>
    <t>204601_at</t>
  </si>
  <si>
    <t>204637_at</t>
  </si>
  <si>
    <t>CGA</t>
  </si>
  <si>
    <t>217947_at</t>
  </si>
  <si>
    <t>CMTM6</t>
  </si>
  <si>
    <t>218297_at</t>
  </si>
  <si>
    <t>FAM188A</t>
  </si>
  <si>
    <t>218916_at</t>
  </si>
  <si>
    <t>ZNF768</t>
  </si>
  <si>
    <t>200008_s_at</t>
  </si>
  <si>
    <t>205449_at</t>
  </si>
  <si>
    <t>SAC3D1</t>
  </si>
  <si>
    <t>207088_s_at</t>
  </si>
  <si>
    <t>213252_at</t>
  </si>
  <si>
    <t>SH3PXD2A</t>
  </si>
  <si>
    <t>221460_at</t>
  </si>
  <si>
    <t>OR2C1</t>
  </si>
  <si>
    <t>45714_at</t>
  </si>
  <si>
    <t>HCFC1R1</t>
  </si>
  <si>
    <t>201753_s_at</t>
  </si>
  <si>
    <t>ADD3</t>
  </si>
  <si>
    <t>215087_at</t>
  </si>
  <si>
    <t>C15orf39</t>
  </si>
  <si>
    <t>211159_s_at</t>
  </si>
  <si>
    <t>PPP2R5D</t>
  </si>
  <si>
    <t>213714_at</t>
  </si>
  <si>
    <t>217494_s_at</t>
  </si>
  <si>
    <t>LOC100290144</t>
  </si>
  <si>
    <t>201542_at</t>
  </si>
  <si>
    <t>202312_s_at</t>
  </si>
  <si>
    <t>COL1A1</t>
  </si>
  <si>
    <t>214491_at</t>
  </si>
  <si>
    <t>SSTR3</t>
  </si>
  <si>
    <t>219457_s_at</t>
  </si>
  <si>
    <t>RIN3</t>
  </si>
  <si>
    <t>203071_at</t>
  </si>
  <si>
    <t>210013_at</t>
  </si>
  <si>
    <t>207020_at</t>
  </si>
  <si>
    <t>HSF2BP</t>
  </si>
  <si>
    <t>212772_s_at</t>
  </si>
  <si>
    <t>ABCA2</t>
  </si>
  <si>
    <t>213402_at</t>
  </si>
  <si>
    <t>ZNF787</t>
  </si>
  <si>
    <t>221713_s_at</t>
  </si>
  <si>
    <t>MAP6D1</t>
  </si>
  <si>
    <t>218823_s_at</t>
  </si>
  <si>
    <t>KCTD9</t>
  </si>
  <si>
    <t>211366_x_at</t>
  </si>
  <si>
    <t>200798_x_at</t>
  </si>
  <si>
    <t>201558_at</t>
  </si>
  <si>
    <t>RAE1</t>
  </si>
  <si>
    <t>213873_at</t>
  </si>
  <si>
    <t>DCBLD2</t>
  </si>
  <si>
    <t>214595_at</t>
  </si>
  <si>
    <t>KCNG1</t>
  </si>
  <si>
    <t>220027_s_at</t>
  </si>
  <si>
    <t>RASIP1</t>
  </si>
  <si>
    <t>214359_s_at</t>
  </si>
  <si>
    <t>208902_s_at</t>
  </si>
  <si>
    <t>RPS28</t>
  </si>
  <si>
    <t>212682_s_at</t>
  </si>
  <si>
    <t>LMF2</t>
  </si>
  <si>
    <t>221981_s_at</t>
  </si>
  <si>
    <t>WDR59</t>
  </si>
  <si>
    <t>205858_at</t>
  </si>
  <si>
    <t>NGFR</t>
  </si>
  <si>
    <t>211383_s_at</t>
  </si>
  <si>
    <t>WDR37</t>
  </si>
  <si>
    <t>211628_x_at</t>
  </si>
  <si>
    <t>FTHP1</t>
  </si>
  <si>
    <t>203391_at</t>
  </si>
  <si>
    <t>FKBP2</t>
  </si>
  <si>
    <t>221856_s_at</t>
  </si>
  <si>
    <t>FAM63A</t>
  </si>
  <si>
    <t>201118_at</t>
  </si>
  <si>
    <t>PGD</t>
  </si>
  <si>
    <t>215091_s_at</t>
  </si>
  <si>
    <t>219807_x_at</t>
  </si>
  <si>
    <t>RAB4B</t>
  </si>
  <si>
    <t>215621_s_at</t>
  </si>
  <si>
    <t>220160_s_at</t>
  </si>
  <si>
    <t>KPTN</t>
  </si>
  <si>
    <t>211867_s_at</t>
  </si>
  <si>
    <t>PCDHA10</t>
  </si>
  <si>
    <t>205568_at</t>
  </si>
  <si>
    <t>AQP9</t>
  </si>
  <si>
    <t>221506_s_at</t>
  </si>
  <si>
    <t>212379_at</t>
  </si>
  <si>
    <t>216192_at</t>
  </si>
  <si>
    <t>FABP7</t>
  </si>
  <si>
    <t>204186_s_at</t>
  </si>
  <si>
    <t>201944_at</t>
  </si>
  <si>
    <t>HEXB</t>
  </si>
  <si>
    <t>204153_s_at</t>
  </si>
  <si>
    <t>207535_s_at</t>
  </si>
  <si>
    <t>NFKB2</t>
  </si>
  <si>
    <t>210296_s_at</t>
  </si>
  <si>
    <t>PXMP3</t>
  </si>
  <si>
    <t>214788_x_at</t>
  </si>
  <si>
    <t>DDN</t>
  </si>
  <si>
    <t>215677_s_at</t>
  </si>
  <si>
    <t>219056_at</t>
  </si>
  <si>
    <t>RNASEH2B</t>
  </si>
  <si>
    <t>212829_at</t>
  </si>
  <si>
    <t>PIP4K2A</t>
  </si>
  <si>
    <t>211474_s_at</t>
  </si>
  <si>
    <t>SERPINB6</t>
  </si>
  <si>
    <t>215809_at</t>
  </si>
  <si>
    <t>CYP2D6</t>
  </si>
  <si>
    <t>214504_at</t>
  </si>
  <si>
    <t>221781_s_at</t>
  </si>
  <si>
    <t>208642_s_at</t>
  </si>
  <si>
    <t>XRCC5</t>
  </si>
  <si>
    <t>218052_s_at</t>
  </si>
  <si>
    <t>ATP13A1</t>
  </si>
  <si>
    <t>219916_s_at</t>
  </si>
  <si>
    <t>RNF39</t>
  </si>
  <si>
    <t>216698_x_at</t>
  </si>
  <si>
    <t>LOC100290714 /// LOC441453 /// OR7E18P /// OR7E35P /// OR7E37P /// OR7E47P</t>
  </si>
  <si>
    <t>203456_at</t>
  </si>
  <si>
    <t>PRAF2</t>
  </si>
  <si>
    <t>219123_at</t>
  </si>
  <si>
    <t>ZNF232</t>
  </si>
  <si>
    <t>206793_at</t>
  </si>
  <si>
    <t>PNMT</t>
  </si>
  <si>
    <t>201525_at</t>
  </si>
  <si>
    <t>APOD</t>
  </si>
  <si>
    <t>214710_s_at</t>
  </si>
  <si>
    <t>CCNB1</t>
  </si>
  <si>
    <t>203622_s_at</t>
  </si>
  <si>
    <t>PNO1</t>
  </si>
  <si>
    <t>203553_s_at</t>
  </si>
  <si>
    <t>204842_x_at</t>
  </si>
  <si>
    <t>PRKAR2A</t>
  </si>
  <si>
    <t>205241_at</t>
  </si>
  <si>
    <t>SCO2</t>
  </si>
  <si>
    <t>207612_at</t>
  </si>
  <si>
    <t>WNT8B</t>
  </si>
  <si>
    <t>207227_x_at</t>
  </si>
  <si>
    <t>RFPL2</t>
  </si>
  <si>
    <t>207492_at</t>
  </si>
  <si>
    <t>NGLY1</t>
  </si>
  <si>
    <t>203024_s_at</t>
  </si>
  <si>
    <t>C5orf15</t>
  </si>
  <si>
    <t>208626_s_at</t>
  </si>
  <si>
    <t>VAT1</t>
  </si>
  <si>
    <t>206650_at</t>
  </si>
  <si>
    <t>IQCC</t>
  </si>
  <si>
    <t>212306_at</t>
  </si>
  <si>
    <t>CLASP2</t>
  </si>
  <si>
    <t>216222_s_at</t>
  </si>
  <si>
    <t>201638_s_at</t>
  </si>
  <si>
    <t>CPSF1</t>
  </si>
  <si>
    <t>202245_at</t>
  </si>
  <si>
    <t>LSS</t>
  </si>
  <si>
    <t>205287_s_at</t>
  </si>
  <si>
    <t>TFAP2C</t>
  </si>
  <si>
    <t>208538_at</t>
  </si>
  <si>
    <t>ANP32C</t>
  </si>
  <si>
    <t>222230_s_at</t>
  </si>
  <si>
    <t>ACTR10</t>
  </si>
  <si>
    <t>208558_at</t>
  </si>
  <si>
    <t>OR10H1</t>
  </si>
  <si>
    <t>209965_s_at</t>
  </si>
  <si>
    <t>RAD51L3</t>
  </si>
  <si>
    <t>211377_x_at</t>
  </si>
  <si>
    <t>MYCN</t>
  </si>
  <si>
    <t>200773_x_at</t>
  </si>
  <si>
    <t>203883_s_at</t>
  </si>
  <si>
    <t>217704_x_at</t>
  </si>
  <si>
    <t>SUZ12P</t>
  </si>
  <si>
    <t>214722_at</t>
  </si>
  <si>
    <t>NOTCH2NL</t>
  </si>
  <si>
    <t>204009_s_at</t>
  </si>
  <si>
    <t>207375_s_at</t>
  </si>
  <si>
    <t>IL15RA</t>
  </si>
  <si>
    <t>221539_at</t>
  </si>
  <si>
    <t>EIF4EBP1</t>
  </si>
  <si>
    <t>217799_x_at</t>
  </si>
  <si>
    <t>213030_s_at</t>
  </si>
  <si>
    <t>PLXNA2</t>
  </si>
  <si>
    <t>214380_at</t>
  </si>
  <si>
    <t>PRPF31</t>
  </si>
  <si>
    <t>217707_x_at</t>
  </si>
  <si>
    <t>221259_s_at</t>
  </si>
  <si>
    <t>TEX11</t>
  </si>
  <si>
    <t>207442_at</t>
  </si>
  <si>
    <t>CSF3</t>
  </si>
  <si>
    <t>222186_at</t>
  </si>
  <si>
    <t>201972_at</t>
  </si>
  <si>
    <t>ATP6V1A</t>
  </si>
  <si>
    <t>203159_at</t>
  </si>
  <si>
    <t>GLS</t>
  </si>
  <si>
    <t>204159_at</t>
  </si>
  <si>
    <t>209842_at</t>
  </si>
  <si>
    <t>212996_s_at</t>
  </si>
  <si>
    <t>URB1</t>
  </si>
  <si>
    <t>204581_at</t>
  </si>
  <si>
    <t>55872_at</t>
  </si>
  <si>
    <t>ZNF512B</t>
  </si>
  <si>
    <t>205231_s_at</t>
  </si>
  <si>
    <t>EPM2A</t>
  </si>
  <si>
    <t>213380_x_at</t>
  </si>
  <si>
    <t>MSTP9</t>
  </si>
  <si>
    <t>31845_at</t>
  </si>
  <si>
    <t>ELF4</t>
  </si>
  <si>
    <t>213414_s_at</t>
  </si>
  <si>
    <t>213877_x_at</t>
  </si>
  <si>
    <t>TCEB2</t>
  </si>
  <si>
    <t>220590_at</t>
  </si>
  <si>
    <t>212346_s_at</t>
  </si>
  <si>
    <t>MXD4</t>
  </si>
  <si>
    <t>201288_at</t>
  </si>
  <si>
    <t>ARHGDIB</t>
  </si>
  <si>
    <t>209111_at</t>
  </si>
  <si>
    <t>RNF5</t>
  </si>
  <si>
    <t>205185_at</t>
  </si>
  <si>
    <t>SPINK5</t>
  </si>
  <si>
    <t>215715_at</t>
  </si>
  <si>
    <t>208994_s_at</t>
  </si>
  <si>
    <t>217548_at</t>
  </si>
  <si>
    <t>LOC100129502</t>
  </si>
  <si>
    <t>222103_at</t>
  </si>
  <si>
    <t>ATF1</t>
  </si>
  <si>
    <t>202754_at</t>
  </si>
  <si>
    <t>217752_s_at</t>
  </si>
  <si>
    <t>CNDP2</t>
  </si>
  <si>
    <t>212738_at</t>
  </si>
  <si>
    <t>212027_at</t>
  </si>
  <si>
    <t>202318_s_at</t>
  </si>
  <si>
    <t>206431_x_at</t>
  </si>
  <si>
    <t>214707_x_at</t>
  </si>
  <si>
    <t>ALMS1</t>
  </si>
  <si>
    <t>203026_at</t>
  </si>
  <si>
    <t>ZBTB5</t>
  </si>
  <si>
    <t>211661_x_at</t>
  </si>
  <si>
    <t>216791_at</t>
  </si>
  <si>
    <t>TMEM92</t>
  </si>
  <si>
    <t>202503_s_at</t>
  </si>
  <si>
    <t>205657_at</t>
  </si>
  <si>
    <t>HAAO</t>
  </si>
  <si>
    <t>216202_s_at</t>
  </si>
  <si>
    <t>218431_at</t>
  </si>
  <si>
    <t>C14orf133</t>
  </si>
  <si>
    <t>205283_at</t>
  </si>
  <si>
    <t>FKTN</t>
  </si>
  <si>
    <t>219914_at</t>
  </si>
  <si>
    <t>ECEL1</t>
  </si>
  <si>
    <t>220181_x_at</t>
  </si>
  <si>
    <t>221250_s_at</t>
  </si>
  <si>
    <t>MXD3</t>
  </si>
  <si>
    <t>221660_at</t>
  </si>
  <si>
    <t>MYL10</t>
  </si>
  <si>
    <t>222039_at</t>
  </si>
  <si>
    <t>KIF18B</t>
  </si>
  <si>
    <t>217264_s_at</t>
  </si>
  <si>
    <t>SCNN1A</t>
  </si>
  <si>
    <t>218568_at</t>
  </si>
  <si>
    <t>AGK</t>
  </si>
  <si>
    <t>210151_s_at</t>
  </si>
  <si>
    <t>DYRK3</t>
  </si>
  <si>
    <t>212569_at</t>
  </si>
  <si>
    <t>213905_x_at</t>
  </si>
  <si>
    <t>BGN</t>
  </si>
  <si>
    <t>219826_at</t>
  </si>
  <si>
    <t>205119_s_at</t>
  </si>
  <si>
    <t>FPR1</t>
  </si>
  <si>
    <t>210104_at</t>
  </si>
  <si>
    <t>206171_at</t>
  </si>
  <si>
    <t>ADORA3</t>
  </si>
  <si>
    <t>204838_s_at</t>
  </si>
  <si>
    <t>211070_x_at</t>
  </si>
  <si>
    <t>221354_s_at</t>
  </si>
  <si>
    <t>MCHR1</t>
  </si>
  <si>
    <t>216854_at</t>
  </si>
  <si>
    <t>GDF11</t>
  </si>
  <si>
    <t>202700_s_at</t>
  </si>
  <si>
    <t>TMEM63A</t>
  </si>
  <si>
    <t>214284_s_at</t>
  </si>
  <si>
    <t>FGF18</t>
  </si>
  <si>
    <t>201221_s_at</t>
  </si>
  <si>
    <t>SNRNP70</t>
  </si>
  <si>
    <t>212549_at</t>
  </si>
  <si>
    <t>221505_at</t>
  </si>
  <si>
    <t>ANP32E</t>
  </si>
  <si>
    <t>203217_s_at</t>
  </si>
  <si>
    <t>ST3GAL5</t>
  </si>
  <si>
    <t>204905_s_at</t>
  </si>
  <si>
    <t>EEF1E1</t>
  </si>
  <si>
    <t>210476_s_at</t>
  </si>
  <si>
    <t>PRLR</t>
  </si>
  <si>
    <t>211010_s_at</t>
  </si>
  <si>
    <t>NCR3</t>
  </si>
  <si>
    <t>212644_s_at</t>
  </si>
  <si>
    <t>MAPK1IP1L</t>
  </si>
  <si>
    <t>213102_at</t>
  </si>
  <si>
    <t>ACTR3</t>
  </si>
  <si>
    <t>215305_at</t>
  </si>
  <si>
    <t>PDGFRA</t>
  </si>
  <si>
    <t>215951_at</t>
  </si>
  <si>
    <t>218112_at</t>
  </si>
  <si>
    <t>MRPS34</t>
  </si>
  <si>
    <t>207995_s_at</t>
  </si>
  <si>
    <t>CLEC4M</t>
  </si>
  <si>
    <t>211123_at</t>
  </si>
  <si>
    <t>SLC5A5</t>
  </si>
  <si>
    <t>217541_x_at</t>
  </si>
  <si>
    <t>ZNF816A</t>
  </si>
  <si>
    <t>222211_x_at</t>
  </si>
  <si>
    <t>SCAND2</t>
  </si>
  <si>
    <t>203144_s_at</t>
  </si>
  <si>
    <t>KIAA0040</t>
  </si>
  <si>
    <t>212459_x_at</t>
  </si>
  <si>
    <t>SUCLG2</t>
  </si>
  <si>
    <t>219233_s_at</t>
  </si>
  <si>
    <t>GSDMB</t>
  </si>
  <si>
    <t>218038_at</t>
  </si>
  <si>
    <t>ATP5SL</t>
  </si>
  <si>
    <t>36084_at</t>
  </si>
  <si>
    <t>CUL7</t>
  </si>
  <si>
    <t>201363_s_at</t>
  </si>
  <si>
    <t>201646_at</t>
  </si>
  <si>
    <t>SCARB2</t>
  </si>
  <si>
    <t>211019_s_at</t>
  </si>
  <si>
    <t>213143_at</t>
  </si>
  <si>
    <t>C2orf72</t>
  </si>
  <si>
    <t>215877_at</t>
  </si>
  <si>
    <t>C14orf56</t>
  </si>
  <si>
    <t>217612_at</t>
  </si>
  <si>
    <t>TIMM50</t>
  </si>
  <si>
    <t>213706_at</t>
  </si>
  <si>
    <t>220705_s_at</t>
  </si>
  <si>
    <t>210336_x_at</t>
  </si>
  <si>
    <t>MZF1</t>
  </si>
  <si>
    <t>220427_at</t>
  </si>
  <si>
    <t>OBSCN</t>
  </si>
  <si>
    <t>207646_s_at</t>
  </si>
  <si>
    <t>CDY1 /// CDY1B /// CDY2A /// CDY2B</t>
  </si>
  <si>
    <t>219980_at</t>
  </si>
  <si>
    <t>C4orf29</t>
  </si>
  <si>
    <t>207100_s_at</t>
  </si>
  <si>
    <t>207701_at</t>
  </si>
  <si>
    <t>C22orf24</t>
  </si>
  <si>
    <t>214069_at</t>
  </si>
  <si>
    <t>ACSM2A /// ACSM2B /// LOC100291873</t>
  </si>
  <si>
    <t>219504_s_at</t>
  </si>
  <si>
    <t>RPAP2</t>
  </si>
  <si>
    <t>208604_s_at</t>
  </si>
  <si>
    <t>HOXA3</t>
  </si>
  <si>
    <t>216453_at</t>
  </si>
  <si>
    <t>201943_s_at</t>
  </si>
  <si>
    <t>212468_at</t>
  </si>
  <si>
    <t>201408_at</t>
  </si>
  <si>
    <t>202290_at</t>
  </si>
  <si>
    <t>PDAP1</t>
  </si>
  <si>
    <t>202605_at</t>
  </si>
  <si>
    <t>GUSB</t>
  </si>
  <si>
    <t>211932_at</t>
  </si>
  <si>
    <t>HNRNPA3</t>
  </si>
  <si>
    <t>213843_x_at</t>
  </si>
  <si>
    <t>210220_at</t>
  </si>
  <si>
    <t>FZD2</t>
  </si>
  <si>
    <t>210529_s_at</t>
  </si>
  <si>
    <t>204494_s_at</t>
  </si>
  <si>
    <t>203620_s_at</t>
  </si>
  <si>
    <t>FCHSD2</t>
  </si>
  <si>
    <t>200774_at</t>
  </si>
  <si>
    <t>201552_at</t>
  </si>
  <si>
    <t>LAMP1</t>
  </si>
  <si>
    <t>201561_s_at</t>
  </si>
  <si>
    <t>CLSTN1</t>
  </si>
  <si>
    <t>207329_at</t>
  </si>
  <si>
    <t>MMP8</t>
  </si>
  <si>
    <t>208813_at</t>
  </si>
  <si>
    <t>GOT1</t>
  </si>
  <si>
    <t>209085_x_at</t>
  </si>
  <si>
    <t>RFC1</t>
  </si>
  <si>
    <t>209747_at</t>
  </si>
  <si>
    <t>TGFB3</t>
  </si>
  <si>
    <t>210707_x_at</t>
  </si>
  <si>
    <t>213084_x_at</t>
  </si>
  <si>
    <t>218512_at</t>
  </si>
  <si>
    <t>WDR12</t>
  </si>
  <si>
    <t>219008_at</t>
  </si>
  <si>
    <t>219033_at</t>
  </si>
  <si>
    <t>PARP8</t>
  </si>
  <si>
    <t>221726_at</t>
  </si>
  <si>
    <t>RPL22</t>
  </si>
  <si>
    <t>221741_s_at</t>
  </si>
  <si>
    <t>YTHDF1</t>
  </si>
  <si>
    <t>218406_x_at</t>
  </si>
  <si>
    <t>206829_x_at</t>
  </si>
  <si>
    <t>ZNF430</t>
  </si>
  <si>
    <t>201500_s_at</t>
  </si>
  <si>
    <t>PPP1R11</t>
  </si>
  <si>
    <t>219833_s_at</t>
  </si>
  <si>
    <t>EFHC1</t>
  </si>
  <si>
    <t>221631_at</t>
  </si>
  <si>
    <t>CACNA1I</t>
  </si>
  <si>
    <t>203775_at</t>
  </si>
  <si>
    <t>SLC25A13</t>
  </si>
  <si>
    <t>210749_x_at</t>
  </si>
  <si>
    <t>201099_at</t>
  </si>
  <si>
    <t>212719_at</t>
  </si>
  <si>
    <t>PHLPP1</t>
  </si>
  <si>
    <t>201301_s_at</t>
  </si>
  <si>
    <t>203148_s_at</t>
  </si>
  <si>
    <t>TRIM14</t>
  </si>
  <si>
    <t>204375_at</t>
  </si>
  <si>
    <t>CLSTN3</t>
  </si>
  <si>
    <t>208040_s_at</t>
  </si>
  <si>
    <t>MYBPC3</t>
  </si>
  <si>
    <t>210040_at</t>
  </si>
  <si>
    <t>SLC12A5</t>
  </si>
  <si>
    <t>212703_at</t>
  </si>
  <si>
    <t>TLN2</t>
  </si>
  <si>
    <t>213944_x_at</t>
  </si>
  <si>
    <t>218173_s_at</t>
  </si>
  <si>
    <t>WHSC1L1</t>
  </si>
  <si>
    <t>218514_at</t>
  </si>
  <si>
    <t>C17orf71</t>
  </si>
  <si>
    <t>212313_at</t>
  </si>
  <si>
    <t>CHMP7</t>
  </si>
  <si>
    <t>212830_at</t>
  </si>
  <si>
    <t>MEGF9</t>
  </si>
  <si>
    <t>214594_x_at</t>
  </si>
  <si>
    <t>ATP8B1</t>
  </si>
  <si>
    <t>211747_s_at</t>
  </si>
  <si>
    <t>LSM5</t>
  </si>
  <si>
    <t>216041_x_at</t>
  </si>
  <si>
    <t>GRN</t>
  </si>
  <si>
    <t>207966_s_at</t>
  </si>
  <si>
    <t>208877_at</t>
  </si>
  <si>
    <t>213312_at</t>
  </si>
  <si>
    <t>C6orf162</t>
  </si>
  <si>
    <t>218177_at</t>
  </si>
  <si>
    <t>CHMP1B</t>
  </si>
  <si>
    <t>220349_s_at</t>
  </si>
  <si>
    <t>ENGASE</t>
  </si>
  <si>
    <t>221301_at</t>
  </si>
  <si>
    <t>C6orf27</t>
  </si>
  <si>
    <t>221827_at</t>
  </si>
  <si>
    <t>204876_at</t>
  </si>
  <si>
    <t>ZNF646</t>
  </si>
  <si>
    <t>220795_s_at</t>
  </si>
  <si>
    <t>BEGAIN</t>
  </si>
  <si>
    <t>213852_at</t>
  </si>
  <si>
    <t>RBM8A</t>
  </si>
  <si>
    <t>220885_s_at</t>
  </si>
  <si>
    <t>CENPJ</t>
  </si>
  <si>
    <t>203792_x_at</t>
  </si>
  <si>
    <t>214474_at</t>
  </si>
  <si>
    <t>PRKAB2</t>
  </si>
  <si>
    <t>214950_at</t>
  </si>
  <si>
    <t>IL9R</t>
  </si>
  <si>
    <t>217117_x_at</t>
  </si>
  <si>
    <t>MUC3A</t>
  </si>
  <si>
    <t>221584_s_at</t>
  </si>
  <si>
    <t>KCNMA1</t>
  </si>
  <si>
    <t>220355_s_at</t>
  </si>
  <si>
    <t>PBRM1</t>
  </si>
  <si>
    <t>212414_s_at</t>
  </si>
  <si>
    <t>GLYR1 /// SEPT6</t>
  </si>
  <si>
    <t>204314_s_at</t>
  </si>
  <si>
    <t>209095_at</t>
  </si>
  <si>
    <t>DLD</t>
  </si>
  <si>
    <t>216608_at</t>
  </si>
  <si>
    <t>201604_s_at</t>
  </si>
  <si>
    <t>PPP1R12A</t>
  </si>
  <si>
    <t>203466_at</t>
  </si>
  <si>
    <t>MPV17</t>
  </si>
  <si>
    <t>204779_s_at</t>
  </si>
  <si>
    <t>206267_s_at</t>
  </si>
  <si>
    <t>MATK</t>
  </si>
  <si>
    <t>207032_s_at</t>
  </si>
  <si>
    <t>CRISP1</t>
  </si>
  <si>
    <t>211359_s_at</t>
  </si>
  <si>
    <t>OPRM1</t>
  </si>
  <si>
    <t>212636_at</t>
  </si>
  <si>
    <t>212818_s_at</t>
  </si>
  <si>
    <t>ASB1</t>
  </si>
  <si>
    <t>215732_s_at</t>
  </si>
  <si>
    <t>DTX2</t>
  </si>
  <si>
    <t>218744_s_at</t>
  </si>
  <si>
    <t>PACSIN3</t>
  </si>
  <si>
    <t>213491_x_at</t>
  </si>
  <si>
    <t>RPN2</t>
  </si>
  <si>
    <t>218710_at</t>
  </si>
  <si>
    <t>TTC27</t>
  </si>
  <si>
    <t>215661_at</t>
  </si>
  <si>
    <t>212531_at</t>
  </si>
  <si>
    <t>LCN2</t>
  </si>
  <si>
    <t>207309_at</t>
  </si>
  <si>
    <t>NOS1</t>
  </si>
  <si>
    <t>211806_s_at</t>
  </si>
  <si>
    <t>KCNJ15</t>
  </si>
  <si>
    <t>202094_at</t>
  </si>
  <si>
    <t>BIRC5</t>
  </si>
  <si>
    <t>202579_x_at</t>
  </si>
  <si>
    <t>205944_s_at</t>
  </si>
  <si>
    <t>CLTCL1</t>
  </si>
  <si>
    <t>215492_x_at</t>
  </si>
  <si>
    <t>216667_at</t>
  </si>
  <si>
    <t>LOC643332 /// RNASE2</t>
  </si>
  <si>
    <t>218743_at</t>
  </si>
  <si>
    <t>CHMP6</t>
  </si>
  <si>
    <t>221387_at</t>
  </si>
  <si>
    <t>NPFFR1</t>
  </si>
  <si>
    <t>202639_s_at</t>
  </si>
  <si>
    <t>204459_at</t>
  </si>
  <si>
    <t>CSTF2</t>
  </si>
  <si>
    <t>200754_x_at</t>
  </si>
  <si>
    <t>204479_at</t>
  </si>
  <si>
    <t>OSTF1</t>
  </si>
  <si>
    <t>206780_at</t>
  </si>
  <si>
    <t>GAD2</t>
  </si>
  <si>
    <t>214387_x_at</t>
  </si>
  <si>
    <t>210016_at</t>
  </si>
  <si>
    <t>MYT1L</t>
  </si>
  <si>
    <t>207992_s_at</t>
  </si>
  <si>
    <t>215637_at</t>
  </si>
  <si>
    <t>TSGA14</t>
  </si>
  <si>
    <t>216018_at</t>
  </si>
  <si>
    <t>209860_s_at</t>
  </si>
  <si>
    <t>204182_s_at</t>
  </si>
  <si>
    <t>ZBTB43</t>
  </si>
  <si>
    <t>203740_at</t>
  </si>
  <si>
    <t>MPHOSPH6</t>
  </si>
  <si>
    <t>217904_s_at</t>
  </si>
  <si>
    <t>BACE1</t>
  </si>
  <si>
    <t>203259_s_at</t>
  </si>
  <si>
    <t>HDDC2</t>
  </si>
  <si>
    <t>209048_s_at</t>
  </si>
  <si>
    <t>ZMYND8</t>
  </si>
  <si>
    <t>218479_s_at</t>
  </si>
  <si>
    <t>XPO4</t>
  </si>
  <si>
    <t>208528_x_at</t>
  </si>
  <si>
    <t>SSX5</t>
  </si>
  <si>
    <t>52078_at</t>
  </si>
  <si>
    <t>TMEM222</t>
  </si>
  <si>
    <t>206679_at</t>
  </si>
  <si>
    <t>APBA1</t>
  </si>
  <si>
    <t>213222_at</t>
  </si>
  <si>
    <t>PLCB1</t>
  </si>
  <si>
    <t>211047_x_at</t>
  </si>
  <si>
    <t>201659_s_at</t>
  </si>
  <si>
    <t>201749_at</t>
  </si>
  <si>
    <t>217217_at</t>
  </si>
  <si>
    <t>IGH@ /// IGHA1 /// IGHA2 /// IGHG1 /// IGHG4 /// IGHM /// IGHV4-31 /// LOC100289944 /// LOC100293559</t>
  </si>
  <si>
    <t>218170_at</t>
  </si>
  <si>
    <t>ISOC1</t>
  </si>
  <si>
    <t>214523_at</t>
  </si>
  <si>
    <t>CEBPE</t>
  </si>
  <si>
    <t>35254_at</t>
  </si>
  <si>
    <t>TRAFD1</t>
  </si>
  <si>
    <t>207950_s_at</t>
  </si>
  <si>
    <t>ANK3</t>
  </si>
  <si>
    <t>219197_s_at</t>
  </si>
  <si>
    <t>SCUBE2</t>
  </si>
  <si>
    <t>216889_s_at</t>
  </si>
  <si>
    <t>HNF4A</t>
  </si>
  <si>
    <t>204073_s_at</t>
  </si>
  <si>
    <t>C11orf9</t>
  </si>
  <si>
    <t>206092_x_at</t>
  </si>
  <si>
    <t>208915_s_at</t>
  </si>
  <si>
    <t>209489_at</t>
  </si>
  <si>
    <t>221108_at</t>
  </si>
  <si>
    <t>C22orf43</t>
  </si>
  <si>
    <t>201344_at</t>
  </si>
  <si>
    <t>UBE2D2</t>
  </si>
  <si>
    <t>203067_at</t>
  </si>
  <si>
    <t>PDHX</t>
  </si>
  <si>
    <t>221687_s_at</t>
  </si>
  <si>
    <t>205436_s_at</t>
  </si>
  <si>
    <t>206997_s_at</t>
  </si>
  <si>
    <t>HS6ST1</t>
  </si>
  <si>
    <t>212501_at</t>
  </si>
  <si>
    <t>CEBPB</t>
  </si>
  <si>
    <t>217230_at</t>
  </si>
  <si>
    <t>217984_at</t>
  </si>
  <si>
    <t>RNASET2</t>
  </si>
  <si>
    <t>200964_at</t>
  </si>
  <si>
    <t>UBA1</t>
  </si>
  <si>
    <t>214256_at</t>
  </si>
  <si>
    <t>206696_at</t>
  </si>
  <si>
    <t>GPR143</t>
  </si>
  <si>
    <t>201817_at</t>
  </si>
  <si>
    <t>UBE3C</t>
  </si>
  <si>
    <t>203981_s_at</t>
  </si>
  <si>
    <t>ABCD4</t>
  </si>
  <si>
    <t>210515_at</t>
  </si>
  <si>
    <t>HNF1A</t>
  </si>
  <si>
    <t>204223_at</t>
  </si>
  <si>
    <t>220849_at</t>
  </si>
  <si>
    <t>LOC79999</t>
  </si>
  <si>
    <t>202983_at</t>
  </si>
  <si>
    <t>HLTF</t>
  </si>
  <si>
    <t>209090_s_at</t>
  </si>
  <si>
    <t>206369_s_at</t>
  </si>
  <si>
    <t>PIK3CG</t>
  </si>
  <si>
    <t>206865_at</t>
  </si>
  <si>
    <t>210605_s_at</t>
  </si>
  <si>
    <t>MFGE8</t>
  </si>
  <si>
    <t>204087_s_at</t>
  </si>
  <si>
    <t>SLC5A6</t>
  </si>
  <si>
    <t>214973_x_at</t>
  </si>
  <si>
    <t>IGHD /// LOC100290059 /// LOC100292999</t>
  </si>
  <si>
    <t>204961_s_at</t>
  </si>
  <si>
    <t>NCF1 /// NCF1B /// NCF1C</t>
  </si>
  <si>
    <t>211053_at</t>
  </si>
  <si>
    <t>207834_at</t>
  </si>
  <si>
    <t>212579_at</t>
  </si>
  <si>
    <t>216184_s_at</t>
  </si>
  <si>
    <t>RIMS1</t>
  </si>
  <si>
    <t>218827_s_at</t>
  </si>
  <si>
    <t>CEP192</t>
  </si>
  <si>
    <t>201352_at</t>
  </si>
  <si>
    <t>YME1L1</t>
  </si>
  <si>
    <t>202415_s_at</t>
  </si>
  <si>
    <t>HSPBP1</t>
  </si>
  <si>
    <t>206297_at</t>
  </si>
  <si>
    <t>CTRC</t>
  </si>
  <si>
    <t>208255_s_at</t>
  </si>
  <si>
    <t>FKBP8</t>
  </si>
  <si>
    <t>211016_x_at</t>
  </si>
  <si>
    <t>211284_s_at</t>
  </si>
  <si>
    <t>212505_s_at</t>
  </si>
  <si>
    <t>KIAA0892</t>
  </si>
  <si>
    <t>220819_at</t>
  </si>
  <si>
    <t>FRMD1</t>
  </si>
  <si>
    <t>201652_at</t>
  </si>
  <si>
    <t>COPS5</t>
  </si>
  <si>
    <t>213214_x_at</t>
  </si>
  <si>
    <t>208398_s_at</t>
  </si>
  <si>
    <t>TBPL1</t>
  </si>
  <si>
    <t>208120_x_at</t>
  </si>
  <si>
    <t>FKSG49 /// tcag7.1056</t>
  </si>
  <si>
    <t>218343_s_at</t>
  </si>
  <si>
    <t>GTF3C3</t>
  </si>
  <si>
    <t>218935_at</t>
  </si>
  <si>
    <t>EHD3</t>
  </si>
  <si>
    <t>216940_x_at</t>
  </si>
  <si>
    <t>YBX1 /// YBX1P2</t>
  </si>
  <si>
    <t>50400_at</t>
  </si>
  <si>
    <t>212997_s_at</t>
  </si>
  <si>
    <t>221942_s_at</t>
  </si>
  <si>
    <t>GUCY1A3</t>
  </si>
  <si>
    <t>201015_s_at</t>
  </si>
  <si>
    <t>JUP</t>
  </si>
  <si>
    <t>206124_s_at</t>
  </si>
  <si>
    <t>LLGL1</t>
  </si>
  <si>
    <t>212201_at</t>
  </si>
  <si>
    <t>219121_s_at</t>
  </si>
  <si>
    <t>ESRP1</t>
  </si>
  <si>
    <t>211376_s_at</t>
  </si>
  <si>
    <t>207568_at</t>
  </si>
  <si>
    <t>CHRNA6</t>
  </si>
  <si>
    <t>213504_at</t>
  </si>
  <si>
    <t>COPS6</t>
  </si>
  <si>
    <t>216755_at</t>
  </si>
  <si>
    <t>OSBPL10</t>
  </si>
  <si>
    <t>203261_at</t>
  </si>
  <si>
    <t>DCTN6</t>
  </si>
  <si>
    <t>204200_s_at</t>
  </si>
  <si>
    <t>PDGFB</t>
  </si>
  <si>
    <t>90265_at</t>
  </si>
  <si>
    <t>ADAP1</t>
  </si>
  <si>
    <t>212299_at</t>
  </si>
  <si>
    <t>NEK9</t>
  </si>
  <si>
    <t>205402_x_at</t>
  </si>
  <si>
    <t>PRSS2</t>
  </si>
  <si>
    <t>206375_s_at</t>
  </si>
  <si>
    <t>HSPB3</t>
  </si>
  <si>
    <t>212092_at</t>
  </si>
  <si>
    <t>211902_x_at</t>
  </si>
  <si>
    <t>TRA@</t>
  </si>
  <si>
    <t>205721_at</t>
  </si>
  <si>
    <t>GFRA2</t>
  </si>
  <si>
    <t>212236_x_at</t>
  </si>
  <si>
    <t>KRT17</t>
  </si>
  <si>
    <t>91920_at</t>
  </si>
  <si>
    <t>202352_s_at</t>
  </si>
  <si>
    <t>207667_s_at</t>
  </si>
  <si>
    <t>220694_at</t>
  </si>
  <si>
    <t>DDEF1IT1</t>
  </si>
  <si>
    <t>207160_at</t>
  </si>
  <si>
    <t>IL12A</t>
  </si>
  <si>
    <t>221538_s_at</t>
  </si>
  <si>
    <t>207126_x_at</t>
  </si>
  <si>
    <t>205330_at</t>
  </si>
  <si>
    <t>MN1</t>
  </si>
  <si>
    <t>201369_s_at</t>
  </si>
  <si>
    <t>218618_s_at</t>
  </si>
  <si>
    <t>FNDC3B</t>
  </si>
  <si>
    <t>205396_at</t>
  </si>
  <si>
    <t>207499_x_at</t>
  </si>
  <si>
    <t>UNC45A</t>
  </si>
  <si>
    <t>202074_s_at</t>
  </si>
  <si>
    <t>219681_s_at</t>
  </si>
  <si>
    <t>RAB11FIP1</t>
  </si>
  <si>
    <t>39835_at</t>
  </si>
  <si>
    <t>207941_s_at</t>
  </si>
  <si>
    <t>221622_s_at</t>
  </si>
  <si>
    <t>TMEM126B</t>
  </si>
  <si>
    <t>217820_s_at</t>
  </si>
  <si>
    <t>ENAH</t>
  </si>
  <si>
    <t>201985_at</t>
  </si>
  <si>
    <t>KIAA0196</t>
  </si>
  <si>
    <t>214530_x_at</t>
  </si>
  <si>
    <t>EPB41</t>
  </si>
  <si>
    <t>218096_at</t>
  </si>
  <si>
    <t>AGPAT5</t>
  </si>
  <si>
    <t>201371_s_at</t>
  </si>
  <si>
    <t>CUL3</t>
  </si>
  <si>
    <t>41858_at</t>
  </si>
  <si>
    <t>PGAP2</t>
  </si>
  <si>
    <t>220483_s_at</t>
  </si>
  <si>
    <t>RNF19A</t>
  </si>
  <si>
    <t>200624_s_at</t>
  </si>
  <si>
    <t>218623_at</t>
  </si>
  <si>
    <t>HMP19</t>
  </si>
  <si>
    <t>214425_at</t>
  </si>
  <si>
    <t>212894_at</t>
  </si>
  <si>
    <t>SUPV3L1</t>
  </si>
  <si>
    <t>204448_s_at</t>
  </si>
  <si>
    <t>PDCL</t>
  </si>
  <si>
    <t>204334_at</t>
  </si>
  <si>
    <t>KLF7</t>
  </si>
  <si>
    <t>202320_at</t>
  </si>
  <si>
    <t>214761_at</t>
  </si>
  <si>
    <t>ZNF423</t>
  </si>
  <si>
    <t>203479_s_at</t>
  </si>
  <si>
    <t>201820_at</t>
  </si>
  <si>
    <t>KRT5</t>
  </si>
  <si>
    <t>211587_x_at</t>
  </si>
  <si>
    <t>CHRNA3</t>
  </si>
  <si>
    <t>204705_x_at</t>
  </si>
  <si>
    <t>210237_at</t>
  </si>
  <si>
    <t>ARTN</t>
  </si>
  <si>
    <t>219942_at</t>
  </si>
  <si>
    <t>MYL7</t>
  </si>
  <si>
    <t>201234_at</t>
  </si>
  <si>
    <t>ILK</t>
  </si>
  <si>
    <t>203424_s_at</t>
  </si>
  <si>
    <t>209594_x_at</t>
  </si>
  <si>
    <t>PSG9</t>
  </si>
  <si>
    <t>212272_at</t>
  </si>
  <si>
    <t>LPIN1</t>
  </si>
  <si>
    <t>221645_s_at</t>
  </si>
  <si>
    <t>ZNF83</t>
  </si>
  <si>
    <t>201043_s_at</t>
  </si>
  <si>
    <t>222226_at</t>
  </si>
  <si>
    <t>SAA3P</t>
  </si>
  <si>
    <t>218125_s_at</t>
  </si>
  <si>
    <t>CCDC25</t>
  </si>
  <si>
    <t>204962_s_at</t>
  </si>
  <si>
    <t>CENPA</t>
  </si>
  <si>
    <t>212665_at</t>
  </si>
  <si>
    <t>TIPARP</t>
  </si>
  <si>
    <t>202550_s_at</t>
  </si>
  <si>
    <t>VAPB</t>
  </si>
  <si>
    <t>206784_at</t>
  </si>
  <si>
    <t>AQP8</t>
  </si>
  <si>
    <t>211410_x_at</t>
  </si>
  <si>
    <t>KIR2DL5A</t>
  </si>
  <si>
    <t>204316_at</t>
  </si>
  <si>
    <t>209276_s_at</t>
  </si>
  <si>
    <t>GLRX</t>
  </si>
  <si>
    <t>216486_x_at</t>
  </si>
  <si>
    <t>ZNF79</t>
  </si>
  <si>
    <t>218213_s_at</t>
  </si>
  <si>
    <t>C11orf10</t>
  </si>
  <si>
    <t>201199_s_at</t>
  </si>
  <si>
    <t>PSMD1</t>
  </si>
  <si>
    <t>204773_at</t>
  </si>
  <si>
    <t>IL11RA</t>
  </si>
  <si>
    <t>208028_s_at</t>
  </si>
  <si>
    <t>GPX5</t>
  </si>
  <si>
    <t>203392_s_at</t>
  </si>
  <si>
    <t>CTBP1</t>
  </si>
  <si>
    <t>202692_s_at</t>
  </si>
  <si>
    <t>UBTF</t>
  </si>
  <si>
    <t>203765_at</t>
  </si>
  <si>
    <t>GCA</t>
  </si>
  <si>
    <t>40093_at</t>
  </si>
  <si>
    <t>BCAM</t>
  </si>
  <si>
    <t>206230_at</t>
  </si>
  <si>
    <t>LHX1</t>
  </si>
  <si>
    <t>211432_s_at</t>
  </si>
  <si>
    <t>TYRO3</t>
  </si>
  <si>
    <t>45828_at</t>
  </si>
  <si>
    <t>204745_x_at</t>
  </si>
  <si>
    <t>MT1G</t>
  </si>
  <si>
    <t>206986_at</t>
  </si>
  <si>
    <t>214286_at</t>
  </si>
  <si>
    <t>GNAT1</t>
  </si>
  <si>
    <t>216153_x_at</t>
  </si>
  <si>
    <t>RECK</t>
  </si>
  <si>
    <t>213965_s_at</t>
  </si>
  <si>
    <t>CHD5</t>
  </si>
  <si>
    <t>200876_s_at</t>
  </si>
  <si>
    <t>209811_at</t>
  </si>
  <si>
    <t>209853_s_at</t>
  </si>
  <si>
    <t>212612_at</t>
  </si>
  <si>
    <t>RCOR1</t>
  </si>
  <si>
    <t>218619_s_at</t>
  </si>
  <si>
    <t>SUV39H1</t>
  </si>
  <si>
    <t>206460_at</t>
  </si>
  <si>
    <t>AJAP1</t>
  </si>
  <si>
    <t>209331_s_at</t>
  </si>
  <si>
    <t>217159_x_at</t>
  </si>
  <si>
    <t>218969_at</t>
  </si>
  <si>
    <t>Magmas</t>
  </si>
  <si>
    <t>207232_s_at</t>
  </si>
  <si>
    <t>DZIP3</t>
  </si>
  <si>
    <t>208466_at</t>
  </si>
  <si>
    <t>RAB3D</t>
  </si>
  <si>
    <t>201262_s_at</t>
  </si>
  <si>
    <t>207690_at</t>
  </si>
  <si>
    <t>ALX3</t>
  </si>
  <si>
    <t>213641_at</t>
  </si>
  <si>
    <t>ZNF500</t>
  </si>
  <si>
    <t>215075_s_at</t>
  </si>
  <si>
    <t>GRB2</t>
  </si>
  <si>
    <t>220292_at</t>
  </si>
  <si>
    <t>ZNF434</t>
  </si>
  <si>
    <t>221780_s_at</t>
  </si>
  <si>
    <t>202806_at</t>
  </si>
  <si>
    <t>DBN1</t>
  </si>
  <si>
    <t>208370_s_at</t>
  </si>
  <si>
    <t>RCAN1</t>
  </si>
  <si>
    <t>202466_at</t>
  </si>
  <si>
    <t>POLS</t>
  </si>
  <si>
    <t>214784_x_at</t>
  </si>
  <si>
    <t>XPO6</t>
  </si>
  <si>
    <t>212099_at</t>
  </si>
  <si>
    <t>RHOB</t>
  </si>
  <si>
    <t>214074_s_at</t>
  </si>
  <si>
    <t>CTTN</t>
  </si>
  <si>
    <t>222034_at</t>
  </si>
  <si>
    <t>GNB2L1</t>
  </si>
  <si>
    <t>200912_s_at</t>
  </si>
  <si>
    <t>EIF4A2</t>
  </si>
  <si>
    <t>206728_at</t>
  </si>
  <si>
    <t>ECE2</t>
  </si>
  <si>
    <t>211509_s_at</t>
  </si>
  <si>
    <t>RTN4</t>
  </si>
  <si>
    <t>212350_at</t>
  </si>
  <si>
    <t>TBC1D1</t>
  </si>
  <si>
    <t>214278_s_at</t>
  </si>
  <si>
    <t>219036_at</t>
  </si>
  <si>
    <t>CEP70</t>
  </si>
  <si>
    <t>48106_at</t>
  </si>
  <si>
    <t>SLC48A1</t>
  </si>
  <si>
    <t>205068_s_at</t>
  </si>
  <si>
    <t>ARHGAP26</t>
  </si>
  <si>
    <t>212382_at</t>
  </si>
  <si>
    <t>TCF4</t>
  </si>
  <si>
    <t>207697_x_at</t>
  </si>
  <si>
    <t>41329_at</t>
  </si>
  <si>
    <t>SCYL3</t>
  </si>
  <si>
    <t>200678_x_at</t>
  </si>
  <si>
    <t>203011_at</t>
  </si>
  <si>
    <t>IMPA1</t>
  </si>
  <si>
    <t>204236_at</t>
  </si>
  <si>
    <t>206150_at</t>
  </si>
  <si>
    <t>CD27</t>
  </si>
  <si>
    <t>213275_x_at</t>
  </si>
  <si>
    <t>213421_x_at</t>
  </si>
  <si>
    <t>PRSS3</t>
  </si>
  <si>
    <t>216579_at</t>
  </si>
  <si>
    <t>GJB4</t>
  </si>
  <si>
    <t>214938_x_at</t>
  </si>
  <si>
    <t>201389_at</t>
  </si>
  <si>
    <t>ITGA5</t>
  </si>
  <si>
    <t>215983_s_at</t>
  </si>
  <si>
    <t>UBXN8</t>
  </si>
  <si>
    <t>204239_s_at</t>
  </si>
  <si>
    <t>NNAT</t>
  </si>
  <si>
    <t>213727_x_at</t>
  </si>
  <si>
    <t>213754_s_at</t>
  </si>
  <si>
    <t>LOC645139 /// PAIP1</t>
  </si>
  <si>
    <t>215090_x_at</t>
  </si>
  <si>
    <t>215562_at</t>
  </si>
  <si>
    <t>TTC39A</t>
  </si>
  <si>
    <t>215850_s_at</t>
  </si>
  <si>
    <t>NDUFA5</t>
  </si>
  <si>
    <t>217850_at</t>
  </si>
  <si>
    <t>GNL3</t>
  </si>
  <si>
    <t>218886_at</t>
  </si>
  <si>
    <t>PAK1IP1</t>
  </si>
  <si>
    <t>219447_s_at</t>
  </si>
  <si>
    <t>SLC35C2</t>
  </si>
  <si>
    <t>200099_s_at</t>
  </si>
  <si>
    <t>RPS3A</t>
  </si>
  <si>
    <t>208960_s_at</t>
  </si>
  <si>
    <t>KLF6</t>
  </si>
  <si>
    <t>213535_s_at</t>
  </si>
  <si>
    <t>UBE2I</t>
  </si>
  <si>
    <t>209518_at</t>
  </si>
  <si>
    <t>SMARCD1</t>
  </si>
  <si>
    <t>212799_at</t>
  </si>
  <si>
    <t>STX6</t>
  </si>
  <si>
    <t>52255_s_at</t>
  </si>
  <si>
    <t>COL5A3</t>
  </si>
  <si>
    <t>215579_at</t>
  </si>
  <si>
    <t>219716_at</t>
  </si>
  <si>
    <t>APOL6</t>
  </si>
  <si>
    <t>200862_at</t>
  </si>
  <si>
    <t>DHCR24</t>
  </si>
  <si>
    <t>203640_at</t>
  </si>
  <si>
    <t>MBNL2</t>
  </si>
  <si>
    <t>215217_at</t>
  </si>
  <si>
    <t>IGKC</t>
  </si>
  <si>
    <t>201202_at</t>
  </si>
  <si>
    <t>PCNA</t>
  </si>
  <si>
    <t>202704_at</t>
  </si>
  <si>
    <t>TOB1</t>
  </si>
  <si>
    <t>213932_x_at</t>
  </si>
  <si>
    <t>205034_at</t>
  </si>
  <si>
    <t>CCNE2</t>
  </si>
  <si>
    <t>209749_s_at</t>
  </si>
  <si>
    <t>ACE</t>
  </si>
  <si>
    <t>211965_at</t>
  </si>
  <si>
    <t>ZFP36L1</t>
  </si>
  <si>
    <t>216014_s_at</t>
  </si>
  <si>
    <t>216340_s_at</t>
  </si>
  <si>
    <t>CYP2A7P1</t>
  </si>
  <si>
    <t>217770_at</t>
  </si>
  <si>
    <t>PIGT</t>
  </si>
  <si>
    <t>218256_s_at</t>
  </si>
  <si>
    <t>NUP54</t>
  </si>
  <si>
    <t>218456_at</t>
  </si>
  <si>
    <t>CAPRIN2</t>
  </si>
  <si>
    <t>218724_s_at</t>
  </si>
  <si>
    <t>TGIF2</t>
  </si>
  <si>
    <t>219213_at</t>
  </si>
  <si>
    <t>JAM2</t>
  </si>
  <si>
    <t>220007_at</t>
  </si>
  <si>
    <t>METTL8</t>
  </si>
  <si>
    <t>207593_at</t>
  </si>
  <si>
    <t>ABCG4</t>
  </si>
  <si>
    <t>200786_at</t>
  </si>
  <si>
    <t>PSMB7</t>
  </si>
  <si>
    <t>202231_at</t>
  </si>
  <si>
    <t>EIF3M</t>
  </si>
  <si>
    <t>203074_at</t>
  </si>
  <si>
    <t>ANXA8 /// ANXA8L1 /// ANXA8L2</t>
  </si>
  <si>
    <t>203288_at</t>
  </si>
  <si>
    <t>KIAA0355</t>
  </si>
  <si>
    <t>205269_at</t>
  </si>
  <si>
    <t>212055_at</t>
  </si>
  <si>
    <t>215089_s_at</t>
  </si>
  <si>
    <t>RBM10</t>
  </si>
  <si>
    <t>217413_s_at</t>
  </si>
  <si>
    <t>214795_at</t>
  </si>
  <si>
    <t>203171_s_at</t>
  </si>
  <si>
    <t>RRP8</t>
  </si>
  <si>
    <t>212300_at</t>
  </si>
  <si>
    <t>TXLNA</t>
  </si>
  <si>
    <t>205826_at</t>
  </si>
  <si>
    <t>MYOM2</t>
  </si>
  <si>
    <t>212672_at</t>
  </si>
  <si>
    <t>ATM</t>
  </si>
  <si>
    <t>221545_x_at</t>
  </si>
  <si>
    <t>201085_s_at</t>
  </si>
  <si>
    <t>202226_s_at</t>
  </si>
  <si>
    <t>CRK</t>
  </si>
  <si>
    <t>207025_at</t>
  </si>
  <si>
    <t>210270_at</t>
  </si>
  <si>
    <t>212923_s_at</t>
  </si>
  <si>
    <t>C6orf145</t>
  </si>
  <si>
    <t>211382_s_at</t>
  </si>
  <si>
    <t>206477_s_at</t>
  </si>
  <si>
    <t>NOVA2</t>
  </si>
  <si>
    <t>202089_s_at</t>
  </si>
  <si>
    <t>206274_s_at</t>
  </si>
  <si>
    <t>204341_at</t>
  </si>
  <si>
    <t>TRIM16</t>
  </si>
  <si>
    <t>210564_x_at</t>
  </si>
  <si>
    <t>215338_s_at</t>
  </si>
  <si>
    <t>218534_s_at</t>
  </si>
  <si>
    <t>AGGF1</t>
  </si>
  <si>
    <t>202295_s_at</t>
  </si>
  <si>
    <t>CTSH</t>
  </si>
  <si>
    <t>200975_at</t>
  </si>
  <si>
    <t>PPT1</t>
  </si>
  <si>
    <t>204015_s_at</t>
  </si>
  <si>
    <t>DUSP4</t>
  </si>
  <si>
    <t>208540_x_at</t>
  </si>
  <si>
    <t>S100A11</t>
  </si>
  <si>
    <t>211804_s_at</t>
  </si>
  <si>
    <t>220976_s_at</t>
  </si>
  <si>
    <t>KRTAP1-1</t>
  </si>
  <si>
    <t>215383_x_at</t>
  </si>
  <si>
    <t>SPG21</t>
  </si>
  <si>
    <t>209210_s_at</t>
  </si>
  <si>
    <t>FERMT2</t>
  </si>
  <si>
    <t>211855_s_at</t>
  </si>
  <si>
    <t>220964_s_at</t>
  </si>
  <si>
    <t>RAB1B</t>
  </si>
  <si>
    <t>205914_s_at</t>
  </si>
  <si>
    <t>210658_s_at</t>
  </si>
  <si>
    <t>209939_x_at</t>
  </si>
  <si>
    <t>220686_s_at</t>
  </si>
  <si>
    <t>PIWIL2</t>
  </si>
  <si>
    <t>219066_at</t>
  </si>
  <si>
    <t>PPCDC</t>
  </si>
  <si>
    <t>220658_s_at</t>
  </si>
  <si>
    <t>ARNTL2</t>
  </si>
  <si>
    <t>210084_x_at</t>
  </si>
  <si>
    <t>202501_at</t>
  </si>
  <si>
    <t>212901_s_at</t>
  </si>
  <si>
    <t>CSTF2T</t>
  </si>
  <si>
    <t>33197_at</t>
  </si>
  <si>
    <t>208904_s_at</t>
  </si>
  <si>
    <t>206820_at</t>
  </si>
  <si>
    <t>203143_s_at</t>
  </si>
  <si>
    <t>206955_at</t>
  </si>
  <si>
    <t>AQP7</t>
  </si>
  <si>
    <t>213949_s_at</t>
  </si>
  <si>
    <t>203154_s_at</t>
  </si>
  <si>
    <t>205603_s_at</t>
  </si>
  <si>
    <t>207514_s_at</t>
  </si>
  <si>
    <t>221271_at</t>
  </si>
  <si>
    <t>IL21</t>
  </si>
  <si>
    <t>202075_s_at</t>
  </si>
  <si>
    <t>PLTP</t>
  </si>
  <si>
    <t>219799_s_at</t>
  </si>
  <si>
    <t>DHRS9</t>
  </si>
  <si>
    <t>211536_x_at</t>
  </si>
  <si>
    <t>MAP3K7</t>
  </si>
  <si>
    <t>221068_at</t>
  </si>
  <si>
    <t>KANK2</t>
  </si>
  <si>
    <t>215772_x_at</t>
  </si>
  <si>
    <t>209230_s_at</t>
  </si>
  <si>
    <t>NUPR1</t>
  </si>
  <si>
    <t>213724_s_at</t>
  </si>
  <si>
    <t>PDK2</t>
  </si>
  <si>
    <t>222152_at</t>
  </si>
  <si>
    <t>219170_at</t>
  </si>
  <si>
    <t>FSD1</t>
  </si>
  <si>
    <t>222147_s_at</t>
  </si>
  <si>
    <t>204247_s_at</t>
  </si>
  <si>
    <t>CDK5</t>
  </si>
  <si>
    <t>212061_at</t>
  </si>
  <si>
    <t>206338_at</t>
  </si>
  <si>
    <t>ELAVL3</t>
  </si>
  <si>
    <t>205135_s_at</t>
  </si>
  <si>
    <t>221166_at</t>
  </si>
  <si>
    <t>FGF23</t>
  </si>
  <si>
    <t>203853_s_at</t>
  </si>
  <si>
    <t>GAB2</t>
  </si>
  <si>
    <t>219571_s_at</t>
  </si>
  <si>
    <t>ZNF12</t>
  </si>
  <si>
    <t>222311_s_at</t>
  </si>
  <si>
    <t>214195_at</t>
  </si>
  <si>
    <t>221204_s_at</t>
  </si>
  <si>
    <t>CRTAC1</t>
  </si>
  <si>
    <t>202870_s_at</t>
  </si>
  <si>
    <t>CDC20</t>
  </si>
  <si>
    <t>221744_at</t>
  </si>
  <si>
    <t>209431_s_at</t>
  </si>
  <si>
    <t>210664_s_at</t>
  </si>
  <si>
    <t>TFPI</t>
  </si>
  <si>
    <t>213746_s_at</t>
  </si>
  <si>
    <t>212222_at</t>
  </si>
  <si>
    <t>216725_at</t>
  </si>
  <si>
    <t>219774_at</t>
  </si>
  <si>
    <t>221607_x_at</t>
  </si>
  <si>
    <t>213703_at</t>
  </si>
  <si>
    <t>LOC150759</t>
  </si>
  <si>
    <t>217797_at</t>
  </si>
  <si>
    <t>UFC1</t>
  </si>
  <si>
    <t>203738_at</t>
  </si>
  <si>
    <t>C5orf22</t>
  </si>
  <si>
    <t>204542_at</t>
  </si>
  <si>
    <t>ST6GALNAC2</t>
  </si>
  <si>
    <t>212062_at</t>
  </si>
  <si>
    <t>ATP9A</t>
  </si>
  <si>
    <t>215413_at</t>
  </si>
  <si>
    <t>EXOC7</t>
  </si>
  <si>
    <t>216925_s_at</t>
  </si>
  <si>
    <t>TAL1</t>
  </si>
  <si>
    <t>218278_at</t>
  </si>
  <si>
    <t>216083_s_at</t>
  </si>
  <si>
    <t>NEU3</t>
  </si>
  <si>
    <t>214741_at</t>
  </si>
  <si>
    <t>ZNF131</t>
  </si>
  <si>
    <t>213243_at</t>
  </si>
  <si>
    <t>VPS13B</t>
  </si>
  <si>
    <t>218577_at</t>
  </si>
  <si>
    <t>211605_s_at</t>
  </si>
  <si>
    <t>208232_x_at</t>
  </si>
  <si>
    <t>211882_x_at</t>
  </si>
  <si>
    <t>206951_at</t>
  </si>
  <si>
    <t>HIST1H4E</t>
  </si>
  <si>
    <t>207684_at</t>
  </si>
  <si>
    <t>TBX6</t>
  </si>
  <si>
    <t>208224_at</t>
  </si>
  <si>
    <t>HOXB1</t>
  </si>
  <si>
    <t>209002_s_at</t>
  </si>
  <si>
    <t>CALCOCO1</t>
  </si>
  <si>
    <t>215237_at</t>
  </si>
  <si>
    <t>215716_s_at</t>
  </si>
  <si>
    <t>ATP2B1</t>
  </si>
  <si>
    <t>217284_x_at</t>
  </si>
  <si>
    <t>SERHL2</t>
  </si>
  <si>
    <t>217865_at</t>
  </si>
  <si>
    <t>RNF130</t>
  </si>
  <si>
    <t>59999_at</t>
  </si>
  <si>
    <t>213680_at</t>
  </si>
  <si>
    <t>KRT6B</t>
  </si>
  <si>
    <t>211780_x_at</t>
  </si>
  <si>
    <t>DCTN1</t>
  </si>
  <si>
    <t>208819_at</t>
  </si>
  <si>
    <t>RAB8A</t>
  </si>
  <si>
    <t>213324_at</t>
  </si>
  <si>
    <t>200658_s_at</t>
  </si>
  <si>
    <t>201102_s_at</t>
  </si>
  <si>
    <t>PFKL</t>
  </si>
  <si>
    <t>201045_s_at</t>
  </si>
  <si>
    <t>RAB6A</t>
  </si>
  <si>
    <t>207249_s_at</t>
  </si>
  <si>
    <t>212478_at</t>
  </si>
  <si>
    <t>RMND5A</t>
  </si>
  <si>
    <t>215256_x_at</t>
  </si>
  <si>
    <t>SNX26</t>
  </si>
  <si>
    <t>220053_at</t>
  </si>
  <si>
    <t>GDF3</t>
  </si>
  <si>
    <t>221719_s_at</t>
  </si>
  <si>
    <t>LZTS1</t>
  </si>
  <si>
    <t>208789_at</t>
  </si>
  <si>
    <t>PTRF</t>
  </si>
  <si>
    <t>209009_at</t>
  </si>
  <si>
    <t>ESD</t>
  </si>
  <si>
    <t>214959_s_at</t>
  </si>
  <si>
    <t>API5</t>
  </si>
  <si>
    <t>219814_at</t>
  </si>
  <si>
    <t>MBNL3</t>
  </si>
  <si>
    <t>208912_s_at</t>
  </si>
  <si>
    <t>CNP</t>
  </si>
  <si>
    <t>222274_at</t>
  </si>
  <si>
    <t>ZDHHC8P</t>
  </si>
  <si>
    <t>204775_at</t>
  </si>
  <si>
    <t>CHAF1B</t>
  </si>
  <si>
    <t>213297_at</t>
  </si>
  <si>
    <t>206707_x_at</t>
  </si>
  <si>
    <t>210046_s_at</t>
  </si>
  <si>
    <t>IDH2</t>
  </si>
  <si>
    <t>216224_s_at</t>
  </si>
  <si>
    <t>HDAC6</t>
  </si>
  <si>
    <t>214446_at</t>
  </si>
  <si>
    <t>203769_s_at</t>
  </si>
  <si>
    <t>STS</t>
  </si>
  <si>
    <t>218076_s_at</t>
  </si>
  <si>
    <t>ARHGAP17</t>
  </si>
  <si>
    <t>203503_s_at</t>
  </si>
  <si>
    <t>PEX14</t>
  </si>
  <si>
    <t>209375_at</t>
  </si>
  <si>
    <t>XPC</t>
  </si>
  <si>
    <t>215201_at</t>
  </si>
  <si>
    <t>REPS1</t>
  </si>
  <si>
    <t>218752_at</t>
  </si>
  <si>
    <t>ZMAT5</t>
  </si>
  <si>
    <t>219446_at</t>
  </si>
  <si>
    <t>RIC8B</t>
  </si>
  <si>
    <t>220440_at</t>
  </si>
  <si>
    <t>LGALS13</t>
  </si>
  <si>
    <t>204279_at</t>
  </si>
  <si>
    <t>PSMB9</t>
  </si>
  <si>
    <t>213529_at</t>
  </si>
  <si>
    <t>ZNF688</t>
  </si>
  <si>
    <t>222155_s_at</t>
  </si>
  <si>
    <t>215424_s_at</t>
  </si>
  <si>
    <t>SNW1</t>
  </si>
  <si>
    <t>201739_at</t>
  </si>
  <si>
    <t>SGK1</t>
  </si>
  <si>
    <t>201422_at</t>
  </si>
  <si>
    <t>IFI30</t>
  </si>
  <si>
    <t>221028_s_at</t>
  </si>
  <si>
    <t>208242_at</t>
  </si>
  <si>
    <t>RAX</t>
  </si>
  <si>
    <t>205738_s_at</t>
  </si>
  <si>
    <t>FABP3</t>
  </si>
  <si>
    <t>213735_s_at</t>
  </si>
  <si>
    <t>217373_x_at</t>
  </si>
  <si>
    <t>MDM2</t>
  </si>
  <si>
    <t>51774_s_at</t>
  </si>
  <si>
    <t>214941_s_at</t>
  </si>
  <si>
    <t>218376_s_at</t>
  </si>
  <si>
    <t>MICAL1</t>
  </si>
  <si>
    <t>213625_at</t>
  </si>
  <si>
    <t>ZKSCAN4</t>
  </si>
  <si>
    <t>206372_at</t>
  </si>
  <si>
    <t>MYF6</t>
  </si>
  <si>
    <t>211975_at</t>
  </si>
  <si>
    <t>ARFGAP2</t>
  </si>
  <si>
    <t>208250_s_at</t>
  </si>
  <si>
    <t>DMBT1</t>
  </si>
  <si>
    <t>201881_s_at</t>
  </si>
  <si>
    <t>ARIH1</t>
  </si>
  <si>
    <t>201928_at</t>
  </si>
  <si>
    <t>204858_s_at</t>
  </si>
  <si>
    <t>TYMP</t>
  </si>
  <si>
    <t>208137_x_at</t>
  </si>
  <si>
    <t>ZNF611</t>
  </si>
  <si>
    <t>208408_at</t>
  </si>
  <si>
    <t>PTN</t>
  </si>
  <si>
    <t>217760_at</t>
  </si>
  <si>
    <t>218839_at</t>
  </si>
  <si>
    <t>HEY1</t>
  </si>
  <si>
    <t>202874_s_at</t>
  </si>
  <si>
    <t>212599_at</t>
  </si>
  <si>
    <t>AUTS2</t>
  </si>
  <si>
    <t>203671_at</t>
  </si>
  <si>
    <t>TPMT</t>
  </si>
  <si>
    <t>216321_s_at</t>
  </si>
  <si>
    <t>NR3C1</t>
  </si>
  <si>
    <t>212128_s_at</t>
  </si>
  <si>
    <t>DAG1</t>
  </si>
  <si>
    <t>205208_at</t>
  </si>
  <si>
    <t>ALDH1L1</t>
  </si>
  <si>
    <t>222116_s_at</t>
  </si>
  <si>
    <t>TBC1D16</t>
  </si>
  <si>
    <t>203084_at</t>
  </si>
  <si>
    <t>TGFB1</t>
  </si>
  <si>
    <t>206861_s_at</t>
  </si>
  <si>
    <t>CGGBP1</t>
  </si>
  <si>
    <t>219605_at</t>
  </si>
  <si>
    <t>218728_s_at</t>
  </si>
  <si>
    <t>CNIH4</t>
  </si>
  <si>
    <t>209409_at</t>
  </si>
  <si>
    <t>GRB10</t>
  </si>
  <si>
    <t>217253_at</t>
  </si>
  <si>
    <t>200650_s_at</t>
  </si>
  <si>
    <t>LDHA</t>
  </si>
  <si>
    <t>209059_s_at</t>
  </si>
  <si>
    <t>EDF1</t>
  </si>
  <si>
    <t>211863_x_at</t>
  </si>
  <si>
    <t>HFE</t>
  </si>
  <si>
    <t>217046_s_at</t>
  </si>
  <si>
    <t>AGER</t>
  </si>
  <si>
    <t>221725_at</t>
  </si>
  <si>
    <t>WASF2</t>
  </si>
  <si>
    <t>203185_at</t>
  </si>
  <si>
    <t>RASSF2</t>
  </si>
  <si>
    <t>215689_s_at</t>
  </si>
  <si>
    <t>SHBG</t>
  </si>
  <si>
    <t>214789_x_at</t>
  </si>
  <si>
    <t>SFRS2B</t>
  </si>
  <si>
    <t>201165_s_at</t>
  </si>
  <si>
    <t>203703_s_at</t>
  </si>
  <si>
    <t>TTLL4</t>
  </si>
  <si>
    <t>209857_s_at</t>
  </si>
  <si>
    <t>SPHK2</t>
  </si>
  <si>
    <t>207133_x_at</t>
  </si>
  <si>
    <t>ALPK1</t>
  </si>
  <si>
    <t>207825_s_at</t>
  </si>
  <si>
    <t>GHRHR</t>
  </si>
  <si>
    <t>45297_at</t>
  </si>
  <si>
    <t>EHD2</t>
  </si>
  <si>
    <t>200943_at</t>
  </si>
  <si>
    <t>202408_s_at</t>
  </si>
  <si>
    <t>214835_s_at</t>
  </si>
  <si>
    <t>204179_at</t>
  </si>
  <si>
    <t>MB</t>
  </si>
  <si>
    <t>203742_s_at</t>
  </si>
  <si>
    <t>TDG</t>
  </si>
  <si>
    <t>38710_at</t>
  </si>
  <si>
    <t>OTUB1</t>
  </si>
  <si>
    <t>214355_x_at</t>
  </si>
  <si>
    <t>CTAGE4 /// LOC100142659 /// LOC441294</t>
  </si>
  <si>
    <t>218089_at</t>
  </si>
  <si>
    <t>C20orf4</t>
  </si>
  <si>
    <t>219439_at</t>
  </si>
  <si>
    <t>C1GALT1</t>
  </si>
  <si>
    <t>203647_s_at</t>
  </si>
  <si>
    <t>FDX1</t>
  </si>
  <si>
    <t>214478_at</t>
  </si>
  <si>
    <t>SPP2</t>
  </si>
  <si>
    <t>216506_x_at</t>
  </si>
  <si>
    <t>202240_at</t>
  </si>
  <si>
    <t>PLK1</t>
  </si>
  <si>
    <t>222195_s_at</t>
  </si>
  <si>
    <t>212212_s_at</t>
  </si>
  <si>
    <t>INTS1</t>
  </si>
  <si>
    <t>202520_s_at</t>
  </si>
  <si>
    <t>MLH1</t>
  </si>
  <si>
    <t>215329_s_at</t>
  </si>
  <si>
    <t>216721_at</t>
  </si>
  <si>
    <t>SLC25A30</t>
  </si>
  <si>
    <t>222216_s_at</t>
  </si>
  <si>
    <t>MRPL17</t>
  </si>
  <si>
    <t>210186_s_at</t>
  </si>
  <si>
    <t>210957_s_at</t>
  </si>
  <si>
    <t>217636_at</t>
  </si>
  <si>
    <t>207816_at</t>
  </si>
  <si>
    <t>LALBA</t>
  </si>
  <si>
    <t>205748_s_at</t>
  </si>
  <si>
    <t>RNF126</t>
  </si>
  <si>
    <t>212878_s_at</t>
  </si>
  <si>
    <t>207877_s_at</t>
  </si>
  <si>
    <t>NVL</t>
  </si>
  <si>
    <t>210926_at</t>
  </si>
  <si>
    <t>POTEK</t>
  </si>
  <si>
    <t>212101_at</t>
  </si>
  <si>
    <t>KPNA6</t>
  </si>
  <si>
    <t>200971_s_at</t>
  </si>
  <si>
    <t>SERP1</t>
  </si>
  <si>
    <t>205749_at</t>
  </si>
  <si>
    <t>CYP1A1</t>
  </si>
  <si>
    <t>214699_x_at</t>
  </si>
  <si>
    <t>204927_at</t>
  </si>
  <si>
    <t>210929_s_at</t>
  </si>
  <si>
    <t>AHSG /// LOC100131613</t>
  </si>
  <si>
    <t>201777_s_at</t>
  </si>
  <si>
    <t>204810_s_at</t>
  </si>
  <si>
    <t>CKM</t>
  </si>
  <si>
    <t>205771_s_at</t>
  </si>
  <si>
    <t>208858_s_at</t>
  </si>
  <si>
    <t>ESYT1</t>
  </si>
  <si>
    <t>211192_s_at</t>
  </si>
  <si>
    <t>211648_at</t>
  </si>
  <si>
    <t>IGHG1 /// IGHM /// LOC100133862</t>
  </si>
  <si>
    <t>212634_at</t>
  </si>
  <si>
    <t>216327_s_at</t>
  </si>
  <si>
    <t>SIGLEC8</t>
  </si>
  <si>
    <t>209609_s_at</t>
  </si>
  <si>
    <t>205156_s_at</t>
  </si>
  <si>
    <t>ACCN2</t>
  </si>
  <si>
    <t>220006_at</t>
  </si>
  <si>
    <t>CCDC48</t>
  </si>
  <si>
    <t>208672_s_at</t>
  </si>
  <si>
    <t>208919_s_at</t>
  </si>
  <si>
    <t>201451_x_at</t>
  </si>
  <si>
    <t>218378_s_at</t>
  </si>
  <si>
    <t>PRKRIP1</t>
  </si>
  <si>
    <t>205781_at</t>
  </si>
  <si>
    <t>C16orf7</t>
  </si>
  <si>
    <t>56256_at</t>
  </si>
  <si>
    <t>SIDT2</t>
  </si>
  <si>
    <t>221563_at</t>
  </si>
  <si>
    <t>DUSP10</t>
  </si>
  <si>
    <t>201379_s_at</t>
  </si>
  <si>
    <t>TPD52L2</t>
  </si>
  <si>
    <t>203545_at</t>
  </si>
  <si>
    <t>ALG8</t>
  </si>
  <si>
    <t>217542_at</t>
  </si>
  <si>
    <t>201710_at</t>
  </si>
  <si>
    <t>MYBL2</t>
  </si>
  <si>
    <t>208667_s_at</t>
  </si>
  <si>
    <t>ST13</t>
  </si>
  <si>
    <t>213654_at</t>
  </si>
  <si>
    <t>TAF5L</t>
  </si>
  <si>
    <t>214886_s_at</t>
  </si>
  <si>
    <t>216661_x_at</t>
  </si>
  <si>
    <t>217149_x_at</t>
  </si>
  <si>
    <t>TNK1</t>
  </si>
  <si>
    <t>218799_at</t>
  </si>
  <si>
    <t>GPN2</t>
  </si>
  <si>
    <t>203835_at</t>
  </si>
  <si>
    <t>LRRC32</t>
  </si>
  <si>
    <t>215275_at</t>
  </si>
  <si>
    <t>TRAF3IP3</t>
  </si>
  <si>
    <t>210418_s_at</t>
  </si>
  <si>
    <t>211554_s_at</t>
  </si>
  <si>
    <t>215527_at</t>
  </si>
  <si>
    <t>KHDRBS2</t>
  </si>
  <si>
    <t>216996_s_at</t>
  </si>
  <si>
    <t>FASTKD2</t>
  </si>
  <si>
    <t>217966_s_at</t>
  </si>
  <si>
    <t>205479_s_at</t>
  </si>
  <si>
    <t>215501_s_at</t>
  </si>
  <si>
    <t>221094_s_at</t>
  </si>
  <si>
    <t>ELP3</t>
  </si>
  <si>
    <t>214363_s_at</t>
  </si>
  <si>
    <t>31837_at</t>
  </si>
  <si>
    <t>32209_at</t>
  </si>
  <si>
    <t>205417_s_at</t>
  </si>
  <si>
    <t>206031_s_at</t>
  </si>
  <si>
    <t>USP5</t>
  </si>
  <si>
    <t>212126_at</t>
  </si>
  <si>
    <t>CBX5</t>
  </si>
  <si>
    <t>217261_at</t>
  </si>
  <si>
    <t>LOC100101117 /// TTTY2</t>
  </si>
  <si>
    <t>221669_s_at</t>
  </si>
  <si>
    <t>ACAD8</t>
  </si>
  <si>
    <t>210293_s_at</t>
  </si>
  <si>
    <t>SEC23B</t>
  </si>
  <si>
    <t>208969_at</t>
  </si>
  <si>
    <t>NDUFA9</t>
  </si>
  <si>
    <t>214838_at</t>
  </si>
  <si>
    <t>SFT2D2</t>
  </si>
  <si>
    <t>215088_s_at</t>
  </si>
  <si>
    <t>SDHC</t>
  </si>
  <si>
    <t>216182_at</t>
  </si>
  <si>
    <t>206604_at</t>
  </si>
  <si>
    <t>OVOL1</t>
  </si>
  <si>
    <t>206892_at</t>
  </si>
  <si>
    <t>AMHR2</t>
  </si>
  <si>
    <t>202439_s_at</t>
  </si>
  <si>
    <t>222072_at</t>
  </si>
  <si>
    <t>208033_s_at</t>
  </si>
  <si>
    <t>ZFHX3</t>
  </si>
  <si>
    <t>202911_at</t>
  </si>
  <si>
    <t>MSH6</t>
  </si>
  <si>
    <t>211697_x_at</t>
  </si>
  <si>
    <t>218506_x_at</t>
  </si>
  <si>
    <t>221743_at</t>
  </si>
  <si>
    <t>219544_at</t>
  </si>
  <si>
    <t>C13orf34</t>
  </si>
  <si>
    <t>216047_x_at</t>
  </si>
  <si>
    <t>219595_at</t>
  </si>
  <si>
    <t>LOC100287515 /// ZNF26</t>
  </si>
  <si>
    <t>200778_s_at</t>
  </si>
  <si>
    <t>201080_at</t>
  </si>
  <si>
    <t>201660_at</t>
  </si>
  <si>
    <t>209642_at</t>
  </si>
  <si>
    <t>209680_s_at</t>
  </si>
  <si>
    <t>KIFC1</t>
  </si>
  <si>
    <t>217208_s_at</t>
  </si>
  <si>
    <t>210244_at</t>
  </si>
  <si>
    <t>CAMP</t>
  </si>
  <si>
    <t>203919_at</t>
  </si>
  <si>
    <t>TCEA2</t>
  </si>
  <si>
    <t>206317_s_at</t>
  </si>
  <si>
    <t>ABCB8</t>
  </si>
  <si>
    <t>206961_s_at</t>
  </si>
  <si>
    <t>211803_at</t>
  </si>
  <si>
    <t>220923_s_at</t>
  </si>
  <si>
    <t>PNMA3</t>
  </si>
  <si>
    <t>208074_s_at</t>
  </si>
  <si>
    <t>208503_s_at</t>
  </si>
  <si>
    <t>220778_x_at</t>
  </si>
  <si>
    <t>SEMA6B</t>
  </si>
  <si>
    <t>206414_s_at</t>
  </si>
  <si>
    <t>ASAP2</t>
  </si>
  <si>
    <t>210838_s_at</t>
  </si>
  <si>
    <t>ACVRL1</t>
  </si>
  <si>
    <t>214628_at</t>
  </si>
  <si>
    <t>NHLH1</t>
  </si>
  <si>
    <t>218239_s_at</t>
  </si>
  <si>
    <t>GTPBP4</t>
  </si>
  <si>
    <t>218349_s_at</t>
  </si>
  <si>
    <t>ZWILCH</t>
  </si>
  <si>
    <t>219322_s_at</t>
  </si>
  <si>
    <t>WDR8</t>
  </si>
  <si>
    <t>204244_s_at</t>
  </si>
  <si>
    <t>DBF4</t>
  </si>
  <si>
    <t>203595_s_at</t>
  </si>
  <si>
    <t>IFIT5</t>
  </si>
  <si>
    <t>213956_at</t>
  </si>
  <si>
    <t>CEP350</t>
  </si>
  <si>
    <t>221917_s_at</t>
  </si>
  <si>
    <t>207172_s_at</t>
  </si>
  <si>
    <t>CDH11</t>
  </si>
  <si>
    <t>217160_at</t>
  </si>
  <si>
    <t>TSPY1</t>
  </si>
  <si>
    <t>219566_at</t>
  </si>
  <si>
    <t>PLEKHF1</t>
  </si>
  <si>
    <t>220411_x_at</t>
  </si>
  <si>
    <t>PODNL1</t>
  </si>
  <si>
    <t>221903_s_at</t>
  </si>
  <si>
    <t>213336_at</t>
  </si>
  <si>
    <t>217294_s_at</t>
  </si>
  <si>
    <t>221596_s_at</t>
  </si>
  <si>
    <t>C7orf64</t>
  </si>
  <si>
    <t>204383_at</t>
  </si>
  <si>
    <t>207753_at</t>
  </si>
  <si>
    <t>ZNF304</t>
  </si>
  <si>
    <t>215116_s_at</t>
  </si>
  <si>
    <t>DNM1</t>
  </si>
  <si>
    <t>215722_s_at</t>
  </si>
  <si>
    <t>208417_at</t>
  </si>
  <si>
    <t>FGF6</t>
  </si>
  <si>
    <t>209401_s_at</t>
  </si>
  <si>
    <t>211448_s_at</t>
  </si>
  <si>
    <t>212955_s_at</t>
  </si>
  <si>
    <t>POLR2I</t>
  </si>
  <si>
    <t>209637_s_at</t>
  </si>
  <si>
    <t>RGS12</t>
  </si>
  <si>
    <t>202537_s_at</t>
  </si>
  <si>
    <t>CHMP2B</t>
  </si>
  <si>
    <t>206102_at</t>
  </si>
  <si>
    <t>GINS1</t>
  </si>
  <si>
    <t>210156_s_at</t>
  </si>
  <si>
    <t>214976_at</t>
  </si>
  <si>
    <t>RPL13</t>
  </si>
  <si>
    <t>217190_x_at</t>
  </si>
  <si>
    <t>ESR1</t>
  </si>
  <si>
    <t>200732_s_at</t>
  </si>
  <si>
    <t>208191_x_at</t>
  </si>
  <si>
    <t>PSG4</t>
  </si>
  <si>
    <t>216210_x_at</t>
  </si>
  <si>
    <t>TRIOBP</t>
  </si>
  <si>
    <t>206854_s_at</t>
  </si>
  <si>
    <t>202271_at</t>
  </si>
  <si>
    <t>FBXO28</t>
  </si>
  <si>
    <t>218778_x_at</t>
  </si>
  <si>
    <t>206159_at</t>
  </si>
  <si>
    <t>GDF10</t>
  </si>
  <si>
    <t>206755_at</t>
  </si>
  <si>
    <t>CYP2B6</t>
  </si>
  <si>
    <t>219110_at</t>
  </si>
  <si>
    <t>GAR1</t>
  </si>
  <si>
    <t>202215_s_at</t>
  </si>
  <si>
    <t>NFYC</t>
  </si>
  <si>
    <t>202651_at</t>
  </si>
  <si>
    <t>LPGAT1</t>
  </si>
  <si>
    <t>210680_s_at</t>
  </si>
  <si>
    <t>MASP1</t>
  </si>
  <si>
    <t>219339_s_at</t>
  </si>
  <si>
    <t>EHMT1</t>
  </si>
  <si>
    <t>212517_at</t>
  </si>
  <si>
    <t>ATRN</t>
  </si>
  <si>
    <t>47083_at</t>
  </si>
  <si>
    <t>C7orf26</t>
  </si>
  <si>
    <t>204302_s_at</t>
  </si>
  <si>
    <t>206047_at</t>
  </si>
  <si>
    <t>GNB3</t>
  </si>
  <si>
    <t>206333_at</t>
  </si>
  <si>
    <t>MSI1</t>
  </si>
  <si>
    <t>217486_s_at</t>
  </si>
  <si>
    <t>ZDHHC17</t>
  </si>
  <si>
    <t>220524_at</t>
  </si>
  <si>
    <t>EPB41L4B</t>
  </si>
  <si>
    <t>206245_s_at</t>
  </si>
  <si>
    <t>206303_s_at</t>
  </si>
  <si>
    <t>212194_s_at</t>
  </si>
  <si>
    <t>TM9SF4</t>
  </si>
  <si>
    <t>216400_at</t>
  </si>
  <si>
    <t>GBA /// GBAP</t>
  </si>
  <si>
    <t>219828_at</t>
  </si>
  <si>
    <t>C9orf86</t>
  </si>
  <si>
    <t>220852_at</t>
  </si>
  <si>
    <t>PRO1768</t>
  </si>
  <si>
    <t>219906_at</t>
  </si>
  <si>
    <t>FLJ10213</t>
  </si>
  <si>
    <t>220448_at</t>
  </si>
  <si>
    <t>KCNK12</t>
  </si>
  <si>
    <t>222165_x_at</t>
  </si>
  <si>
    <t>208550_x_at</t>
  </si>
  <si>
    <t>KCNG2</t>
  </si>
  <si>
    <t>221005_s_at</t>
  </si>
  <si>
    <t>PTDSS2</t>
  </si>
  <si>
    <t>214785_at</t>
  </si>
  <si>
    <t>VPS13A</t>
  </si>
  <si>
    <t>208800_at</t>
  </si>
  <si>
    <t>202753_at</t>
  </si>
  <si>
    <t>PSMD6</t>
  </si>
  <si>
    <t>220045_at</t>
  </si>
  <si>
    <t>NEUROD6</t>
  </si>
  <si>
    <t>218292_s_at</t>
  </si>
  <si>
    <t>PRKAG2</t>
  </si>
  <si>
    <t>214003_x_at</t>
  </si>
  <si>
    <t>RPS20</t>
  </si>
  <si>
    <t>218690_at</t>
  </si>
  <si>
    <t>PDLIM4</t>
  </si>
  <si>
    <t>210501_x_at</t>
  </si>
  <si>
    <t>211783_s_at</t>
  </si>
  <si>
    <t>MTA1</t>
  </si>
  <si>
    <t>216361_s_at</t>
  </si>
  <si>
    <t>205426_s_at</t>
  </si>
  <si>
    <t>HIP1</t>
  </si>
  <si>
    <t>44783_s_at</t>
  </si>
  <si>
    <t>207354_at</t>
  </si>
  <si>
    <t>CCL16</t>
  </si>
  <si>
    <t>204846_at</t>
  </si>
  <si>
    <t>CP</t>
  </si>
  <si>
    <t>206119_at</t>
  </si>
  <si>
    <t>BHMT</t>
  </si>
  <si>
    <t>220212_s_at</t>
  </si>
  <si>
    <t>THADA</t>
  </si>
  <si>
    <t>220242_x_at</t>
  </si>
  <si>
    <t>ZNF701</t>
  </si>
  <si>
    <t>208895_s_at</t>
  </si>
  <si>
    <t>216552_x_at</t>
  </si>
  <si>
    <t>KIR2DS4</t>
  </si>
  <si>
    <t>210094_s_at</t>
  </si>
  <si>
    <t>PARD3</t>
  </si>
  <si>
    <t>209027_s_at</t>
  </si>
  <si>
    <t>212372_at</t>
  </si>
  <si>
    <t>MYH10</t>
  </si>
  <si>
    <t>215559_at</t>
  </si>
  <si>
    <t>ABCC6 /// LOC100292715</t>
  </si>
  <si>
    <t>205143_at</t>
  </si>
  <si>
    <t>NCAN</t>
  </si>
  <si>
    <t>206330_s_at</t>
  </si>
  <si>
    <t>SHC3</t>
  </si>
  <si>
    <t>206560_s_at</t>
  </si>
  <si>
    <t>MIA</t>
  </si>
  <si>
    <t>209246_at</t>
  </si>
  <si>
    <t>ABCF2</t>
  </si>
  <si>
    <t>213832_at</t>
  </si>
  <si>
    <t>221100_at</t>
  </si>
  <si>
    <t>C6orf15</t>
  </si>
  <si>
    <t>221999_at</t>
  </si>
  <si>
    <t>220940_at</t>
  </si>
  <si>
    <t>ANKRD36B</t>
  </si>
  <si>
    <t>205103_at</t>
  </si>
  <si>
    <t>C1orf61</t>
  </si>
  <si>
    <t>211711_s_at</t>
  </si>
  <si>
    <t>PTEN</t>
  </si>
  <si>
    <t>204188_s_at</t>
  </si>
  <si>
    <t>38241_at</t>
  </si>
  <si>
    <t>215472_at</t>
  </si>
  <si>
    <t>PACRG</t>
  </si>
  <si>
    <t>210884_s_at</t>
  </si>
  <si>
    <t>SPAG11A</t>
  </si>
  <si>
    <t>204710_s_at</t>
  </si>
  <si>
    <t>211958_at</t>
  </si>
  <si>
    <t>214259_s_at</t>
  </si>
  <si>
    <t>AKR7A2</t>
  </si>
  <si>
    <t>203954_x_at</t>
  </si>
  <si>
    <t>CLDN3</t>
  </si>
  <si>
    <t>219150_s_at</t>
  </si>
  <si>
    <t>201122_x_at</t>
  </si>
  <si>
    <t>217060_at</t>
  </si>
  <si>
    <t>LOC100293532</t>
  </si>
  <si>
    <t>216845_x_at</t>
  </si>
  <si>
    <t>MLL2</t>
  </si>
  <si>
    <t>219877_at</t>
  </si>
  <si>
    <t>ZMAT4</t>
  </si>
  <si>
    <t>209627_s_at</t>
  </si>
  <si>
    <t>220300_at</t>
  </si>
  <si>
    <t>216008_s_at</t>
  </si>
  <si>
    <t>ARIH2</t>
  </si>
  <si>
    <t>204620_s_at</t>
  </si>
  <si>
    <t>VCAN</t>
  </si>
  <si>
    <t>205906_at</t>
  </si>
  <si>
    <t>FOXJ1</t>
  </si>
  <si>
    <t>218320_s_at</t>
  </si>
  <si>
    <t>NDUFB11</t>
  </si>
  <si>
    <t>215967_s_at</t>
  </si>
  <si>
    <t>LY9</t>
  </si>
  <si>
    <t>204878_s_at</t>
  </si>
  <si>
    <t>TAOK2</t>
  </si>
  <si>
    <t>201198_s_at</t>
  </si>
  <si>
    <t>201978_s_at</t>
  </si>
  <si>
    <t>KIAA0141</t>
  </si>
  <si>
    <t>205668_at</t>
  </si>
  <si>
    <t>LY75</t>
  </si>
  <si>
    <t>213365_at</t>
  </si>
  <si>
    <t>ERI2</t>
  </si>
  <si>
    <t>203756_at</t>
  </si>
  <si>
    <t>ARHGEF17</t>
  </si>
  <si>
    <t>211065_x_at</t>
  </si>
  <si>
    <t>40225_at</t>
  </si>
  <si>
    <t>GAK</t>
  </si>
  <si>
    <t>213077_at</t>
  </si>
  <si>
    <t>YTHDC2</t>
  </si>
  <si>
    <t>212584_at</t>
  </si>
  <si>
    <t>214958_s_at</t>
  </si>
  <si>
    <t>TMC6</t>
  </si>
  <si>
    <t>214944_at</t>
  </si>
  <si>
    <t>PHLPP2</t>
  </si>
  <si>
    <t>201984_s_at</t>
  </si>
  <si>
    <t>218105_s_at</t>
  </si>
  <si>
    <t>MRPL4</t>
  </si>
  <si>
    <t>219590_x_at</t>
  </si>
  <si>
    <t>DPH5</t>
  </si>
  <si>
    <t>205702_at</t>
  </si>
  <si>
    <t>PHTF1</t>
  </si>
  <si>
    <t>210782_x_at</t>
  </si>
  <si>
    <t>209137_s_at</t>
  </si>
  <si>
    <t>202513_s_at</t>
  </si>
  <si>
    <t>203746_s_at</t>
  </si>
  <si>
    <t>204487_s_at</t>
  </si>
  <si>
    <t>205783_at</t>
  </si>
  <si>
    <t>204104_at</t>
  </si>
  <si>
    <t>SNAPC2</t>
  </si>
  <si>
    <t>215480_at</t>
  </si>
  <si>
    <t>KIAA0509</t>
  </si>
  <si>
    <t>221453_at</t>
  </si>
  <si>
    <t>G6PC2</t>
  </si>
  <si>
    <t>219820_at</t>
  </si>
  <si>
    <t>SLC6A16</t>
  </si>
  <si>
    <t>202884_s_at</t>
  </si>
  <si>
    <t>PPP2R1B</t>
  </si>
  <si>
    <t>208511_at</t>
  </si>
  <si>
    <t>PTTG3P</t>
  </si>
  <si>
    <t>209252_at</t>
  </si>
  <si>
    <t>HARS2</t>
  </si>
  <si>
    <t>216442_x_at</t>
  </si>
  <si>
    <t>FN1</t>
  </si>
  <si>
    <t>217389_s_at</t>
  </si>
  <si>
    <t>ATF5</t>
  </si>
  <si>
    <t>219894_at</t>
  </si>
  <si>
    <t>MAGEL2</t>
  </si>
  <si>
    <t>200905_x_at</t>
  </si>
  <si>
    <t>215822_x_at</t>
  </si>
  <si>
    <t>MYT1</t>
  </si>
  <si>
    <t>205039_s_at</t>
  </si>
  <si>
    <t>IKZF1</t>
  </si>
  <si>
    <t>33323_r_at</t>
  </si>
  <si>
    <t>SFN</t>
  </si>
  <si>
    <t>218140_x_at</t>
  </si>
  <si>
    <t>SRPRB</t>
  </si>
  <si>
    <t>221389_at</t>
  </si>
  <si>
    <t>PLA2G2E</t>
  </si>
  <si>
    <t>209343_at</t>
  </si>
  <si>
    <t>EFHD1</t>
  </si>
  <si>
    <t>210215_at</t>
  </si>
  <si>
    <t>TFR2</t>
  </si>
  <si>
    <t>220974_x_at</t>
  </si>
  <si>
    <t>202807_s_at</t>
  </si>
  <si>
    <t>TOM1</t>
  </si>
  <si>
    <t>207431_s_at</t>
  </si>
  <si>
    <t>210271_at</t>
  </si>
  <si>
    <t>NEUROD2</t>
  </si>
  <si>
    <t>204599_s_at</t>
  </si>
  <si>
    <t>MRPL28</t>
  </si>
  <si>
    <t>217360_x_at</t>
  </si>
  <si>
    <t>IGHA1 /// IGHG1 /// IGHG3 /// IGHM /// IGHV4-31 /// LOC100132941 /// LOC100289290 /// LOC100290036 /</t>
  </si>
  <si>
    <t>218665_at</t>
  </si>
  <si>
    <t>FZD4</t>
  </si>
  <si>
    <t>209105_at</t>
  </si>
  <si>
    <t>NCOA1</t>
  </si>
  <si>
    <t>202426_s_at</t>
  </si>
  <si>
    <t>RXRA</t>
  </si>
  <si>
    <t>211430_s_at</t>
  </si>
  <si>
    <t>IGH@ /// IGHG1 /// IGHG2 /// IGHM /// IGHV4-31 /// LOC100294459</t>
  </si>
  <si>
    <t>213513_x_at</t>
  </si>
  <si>
    <t>ARPC2</t>
  </si>
  <si>
    <t>221786_at</t>
  </si>
  <si>
    <t>204386_s_at</t>
  </si>
  <si>
    <t>MRP63</t>
  </si>
  <si>
    <t>210140_at</t>
  </si>
  <si>
    <t>CST7</t>
  </si>
  <si>
    <t>219923_at</t>
  </si>
  <si>
    <t>TRIM45</t>
  </si>
  <si>
    <t>218082_s_at</t>
  </si>
  <si>
    <t>UBP1</t>
  </si>
  <si>
    <t>217523_at</t>
  </si>
  <si>
    <t>206428_s_at</t>
  </si>
  <si>
    <t>ZNF143</t>
  </si>
  <si>
    <t>204739_at</t>
  </si>
  <si>
    <t>CENPC1</t>
  </si>
  <si>
    <t>205871_at</t>
  </si>
  <si>
    <t>PLGLA /// PLGLB1 /// PLGLB2</t>
  </si>
  <si>
    <t>208980_s_at</t>
  </si>
  <si>
    <t>211678_s_at</t>
  </si>
  <si>
    <t>214398_s_at</t>
  </si>
  <si>
    <t>IKBKE</t>
  </si>
  <si>
    <t>200828_s_at</t>
  </si>
  <si>
    <t>206125_s_at</t>
  </si>
  <si>
    <t>KLK8</t>
  </si>
  <si>
    <t>221860_at</t>
  </si>
  <si>
    <t>208621_s_at</t>
  </si>
  <si>
    <t>213621_s_at</t>
  </si>
  <si>
    <t>GUK1</t>
  </si>
  <si>
    <t>213119_at</t>
  </si>
  <si>
    <t>SLC36A1</t>
  </si>
  <si>
    <t>222163_s_at</t>
  </si>
  <si>
    <t>SPATA5L1</t>
  </si>
  <si>
    <t>210537_s_at</t>
  </si>
  <si>
    <t>TADA2L</t>
  </si>
  <si>
    <t>212190_at</t>
  </si>
  <si>
    <t>SERPINE2</t>
  </si>
  <si>
    <t>212284_x_at</t>
  </si>
  <si>
    <t>215682_at</t>
  </si>
  <si>
    <t>212495_at</t>
  </si>
  <si>
    <t>219175_s_at</t>
  </si>
  <si>
    <t>SLC41A3</t>
  </si>
  <si>
    <t>217794_at</t>
  </si>
  <si>
    <t>PRR13</t>
  </si>
  <si>
    <t>208825_x_at</t>
  </si>
  <si>
    <t>209026_x_at</t>
  </si>
  <si>
    <t>TUBB</t>
  </si>
  <si>
    <t>201878_at</t>
  </si>
  <si>
    <t>218810_at</t>
  </si>
  <si>
    <t>ZC3H12A</t>
  </si>
  <si>
    <t>209206_at</t>
  </si>
  <si>
    <t>212723_at</t>
  </si>
  <si>
    <t>216164_at</t>
  </si>
  <si>
    <t>208300_at</t>
  </si>
  <si>
    <t>PTPRH</t>
  </si>
  <si>
    <t>207984_s_at</t>
  </si>
  <si>
    <t>MPP2</t>
  </si>
  <si>
    <t>201185_at</t>
  </si>
  <si>
    <t>HTRA1</t>
  </si>
  <si>
    <t>202610_s_at</t>
  </si>
  <si>
    <t>204276_at</t>
  </si>
  <si>
    <t>206549_at</t>
  </si>
  <si>
    <t>INSL4</t>
  </si>
  <si>
    <t>212937_s_at</t>
  </si>
  <si>
    <t>214535_s_at</t>
  </si>
  <si>
    <t>ADAMTS2</t>
  </si>
  <si>
    <t>218531_at</t>
  </si>
  <si>
    <t>TMEM134</t>
  </si>
  <si>
    <t>213444_at</t>
  </si>
  <si>
    <t>ZNF862</t>
  </si>
  <si>
    <t>211893_x_at</t>
  </si>
  <si>
    <t>214847_s_at</t>
  </si>
  <si>
    <t>GPSM3</t>
  </si>
  <si>
    <t>65521_at</t>
  </si>
  <si>
    <t>201600_at</t>
  </si>
  <si>
    <t>PHB2</t>
  </si>
  <si>
    <t>202805_s_at</t>
  </si>
  <si>
    <t>208700_s_at</t>
  </si>
  <si>
    <t>TKT</t>
  </si>
  <si>
    <t>209020_at</t>
  </si>
  <si>
    <t>C20orf111</t>
  </si>
  <si>
    <t>209835_x_at</t>
  </si>
  <si>
    <t>210369_at</t>
  </si>
  <si>
    <t>211167_s_at</t>
  </si>
  <si>
    <t>GCK</t>
  </si>
  <si>
    <t>214268_s_at</t>
  </si>
  <si>
    <t>MTMR4</t>
  </si>
  <si>
    <t>214558_at</t>
  </si>
  <si>
    <t>GPR12</t>
  </si>
  <si>
    <t>219354_at</t>
  </si>
  <si>
    <t>KLHL26</t>
  </si>
  <si>
    <t>221347_at</t>
  </si>
  <si>
    <t>CHRM5</t>
  </si>
  <si>
    <t>221437_s_at</t>
  </si>
  <si>
    <t>MRPS15</t>
  </si>
  <si>
    <t>202234_s_at</t>
  </si>
  <si>
    <t>203451_at</t>
  </si>
  <si>
    <t>206052_s_at</t>
  </si>
  <si>
    <t>SLBP</t>
  </si>
  <si>
    <t>36742_at</t>
  </si>
  <si>
    <t>TRIM15</t>
  </si>
  <si>
    <t>219105_x_at</t>
  </si>
  <si>
    <t>ORC6L</t>
  </si>
  <si>
    <t>219151_s_at</t>
  </si>
  <si>
    <t>RABL2A /// RABL2B</t>
  </si>
  <si>
    <t>209377_s_at</t>
  </si>
  <si>
    <t>HMGN3</t>
  </si>
  <si>
    <t>216961_s_at</t>
  </si>
  <si>
    <t>RPAIN</t>
  </si>
  <si>
    <t>206544_x_at</t>
  </si>
  <si>
    <t>210426_x_at</t>
  </si>
  <si>
    <t>RORA</t>
  </si>
  <si>
    <t>43544_at</t>
  </si>
  <si>
    <t>222037_at</t>
  </si>
  <si>
    <t>MCM4</t>
  </si>
  <si>
    <t>212628_at</t>
  </si>
  <si>
    <t>PKN2</t>
  </si>
  <si>
    <t>52159_at</t>
  </si>
  <si>
    <t>HEMK1</t>
  </si>
  <si>
    <t>203035_s_at</t>
  </si>
  <si>
    <t>PIAS3</t>
  </si>
  <si>
    <t>205616_at</t>
  </si>
  <si>
    <t>KCNA6</t>
  </si>
  <si>
    <t>208124_s_at</t>
  </si>
  <si>
    <t>SEMA4F</t>
  </si>
  <si>
    <t>209030_s_at</t>
  </si>
  <si>
    <t>215973_at</t>
  </si>
  <si>
    <t>HCG4P6</t>
  </si>
  <si>
    <t>216262_s_at</t>
  </si>
  <si>
    <t>218535_s_at</t>
  </si>
  <si>
    <t>RIOK2</t>
  </si>
  <si>
    <t>213247_at</t>
  </si>
  <si>
    <t>SVEP1</t>
  </si>
  <si>
    <t>216061_x_at</t>
  </si>
  <si>
    <t>211241_at</t>
  </si>
  <si>
    <t>ANXA2P3</t>
  </si>
  <si>
    <t>218762_at</t>
  </si>
  <si>
    <t>ZNF574</t>
  </si>
  <si>
    <t>200704_at</t>
  </si>
  <si>
    <t>LITAF</t>
  </si>
  <si>
    <t>212973_at</t>
  </si>
  <si>
    <t>RPIA</t>
  </si>
  <si>
    <t>220936_s_at</t>
  </si>
  <si>
    <t>H2AFJ</t>
  </si>
  <si>
    <t>203893_at</t>
  </si>
  <si>
    <t>TAF9</t>
  </si>
  <si>
    <t>202958_at</t>
  </si>
  <si>
    <t>PTPN9</t>
  </si>
  <si>
    <t>221909_at</t>
  </si>
  <si>
    <t>203684_s_at</t>
  </si>
  <si>
    <t>208327_at</t>
  </si>
  <si>
    <t>CYP2A13</t>
  </si>
  <si>
    <t>211951_at</t>
  </si>
  <si>
    <t>221511_x_at</t>
  </si>
  <si>
    <t>207591_s_at</t>
  </si>
  <si>
    <t>222228_s_at</t>
  </si>
  <si>
    <t>ALKBH4</t>
  </si>
  <si>
    <t>211996_s_at</t>
  </si>
  <si>
    <t>LOC100132247 /// LOC348162 /// LOC613037 /// LOC728888 /// NPIPL3</t>
  </si>
  <si>
    <t>219967_at</t>
  </si>
  <si>
    <t>MRM1</t>
  </si>
  <si>
    <t>206697_s_at</t>
  </si>
  <si>
    <t>HP</t>
  </si>
  <si>
    <t>200966_x_at</t>
  </si>
  <si>
    <t>ALDOA</t>
  </si>
  <si>
    <t>212266_s_at</t>
  </si>
  <si>
    <t>206453_s_at</t>
  </si>
  <si>
    <t>213454_at</t>
  </si>
  <si>
    <t>APITD1</t>
  </si>
  <si>
    <t>211076_x_at</t>
  </si>
  <si>
    <t>211337_s_at</t>
  </si>
  <si>
    <t>212643_at</t>
  </si>
  <si>
    <t>38269_at</t>
  </si>
  <si>
    <t>214447_at</t>
  </si>
  <si>
    <t>ETS1</t>
  </si>
  <si>
    <t>215992_s_at</t>
  </si>
  <si>
    <t>210479_s_at</t>
  </si>
  <si>
    <t>210736_x_at</t>
  </si>
  <si>
    <t>DTNA</t>
  </si>
  <si>
    <t>218526_s_at</t>
  </si>
  <si>
    <t>RANGRF</t>
  </si>
  <si>
    <t>48117_at</t>
  </si>
  <si>
    <t>CCDC101</t>
  </si>
  <si>
    <t>212192_at</t>
  </si>
  <si>
    <t>218780_at</t>
  </si>
  <si>
    <t>HOOK2</t>
  </si>
  <si>
    <t>201488_x_at</t>
  </si>
  <si>
    <t>202658_at</t>
  </si>
  <si>
    <t>PEX11B</t>
  </si>
  <si>
    <t>207644_at</t>
  </si>
  <si>
    <t>FOXH1</t>
  </si>
  <si>
    <t>213093_at</t>
  </si>
  <si>
    <t>205216_s_at</t>
  </si>
  <si>
    <t>APOH</t>
  </si>
  <si>
    <t>220147_s_at</t>
  </si>
  <si>
    <t>FAM60A</t>
  </si>
  <si>
    <t>217779_s_at</t>
  </si>
  <si>
    <t>PNRC2</t>
  </si>
  <si>
    <t>219356_s_at</t>
  </si>
  <si>
    <t>202760_s_at</t>
  </si>
  <si>
    <t>PALM2-AKAP2</t>
  </si>
  <si>
    <t>221160_s_at</t>
  </si>
  <si>
    <t>CABP5</t>
  </si>
  <si>
    <t>221895_at</t>
  </si>
  <si>
    <t>MOSPD2</t>
  </si>
  <si>
    <t>215336_at</t>
  </si>
  <si>
    <t>220548_at</t>
  </si>
  <si>
    <t>PKDREJ</t>
  </si>
  <si>
    <t>207057_at</t>
  </si>
  <si>
    <t>SLC16A7</t>
  </si>
  <si>
    <t>218328_at</t>
  </si>
  <si>
    <t>COQ4</t>
  </si>
  <si>
    <t>216541_x_at</t>
  </si>
  <si>
    <t>204506_at</t>
  </si>
  <si>
    <t>PPP3R1</t>
  </si>
  <si>
    <t>204134_at</t>
  </si>
  <si>
    <t>PDE2A</t>
  </si>
  <si>
    <t>217816_s_at</t>
  </si>
  <si>
    <t>PCNP</t>
  </si>
  <si>
    <t>203124_s_at</t>
  </si>
  <si>
    <t>203729_at</t>
  </si>
  <si>
    <t>EMP3</t>
  </si>
  <si>
    <t>212002_at</t>
  </si>
  <si>
    <t>214084_x_at</t>
  </si>
  <si>
    <t>LOC100289727 /// NCF1 /// NCF1B /// NCF1C</t>
  </si>
  <si>
    <t>220665_at</t>
  </si>
  <si>
    <t>LUZP4</t>
  </si>
  <si>
    <t>207122_x_at</t>
  </si>
  <si>
    <t>SULT1A2</t>
  </si>
  <si>
    <t>217312_s_at</t>
  </si>
  <si>
    <t>216678_at</t>
  </si>
  <si>
    <t>218550_s_at</t>
  </si>
  <si>
    <t>LRRC20</t>
  </si>
  <si>
    <t>205766_at</t>
  </si>
  <si>
    <t>TCAP</t>
  </si>
  <si>
    <t>217070_at</t>
  </si>
  <si>
    <t>MTHFR</t>
  </si>
  <si>
    <t>212933_x_at</t>
  </si>
  <si>
    <t>202975_s_at</t>
  </si>
  <si>
    <t>RHOBTB3</t>
  </si>
  <si>
    <t>201246_s_at</t>
  </si>
  <si>
    <t>217963_s_at</t>
  </si>
  <si>
    <t>NGFRAP1</t>
  </si>
  <si>
    <t>36994_at</t>
  </si>
  <si>
    <t>ATP6V0C</t>
  </si>
  <si>
    <t>204020_at</t>
  </si>
  <si>
    <t>215714_s_at</t>
  </si>
  <si>
    <t>217169_at</t>
  </si>
  <si>
    <t>IGHA1 /// IGHG1 /// IGHM</t>
  </si>
  <si>
    <t>218776_s_at</t>
  </si>
  <si>
    <t>TMEM62</t>
  </si>
  <si>
    <t>201570_at</t>
  </si>
  <si>
    <t>211453_s_at</t>
  </si>
  <si>
    <t>AKT2</t>
  </si>
  <si>
    <t>201359_at</t>
  </si>
  <si>
    <t>COPB1</t>
  </si>
  <si>
    <t>209648_x_at</t>
  </si>
  <si>
    <t>213577_at</t>
  </si>
  <si>
    <t>SQLE</t>
  </si>
  <si>
    <t>219194_at</t>
  </si>
  <si>
    <t>SEMA4G</t>
  </si>
  <si>
    <t>218480_at</t>
  </si>
  <si>
    <t>AGBL5</t>
  </si>
  <si>
    <t>65585_at</t>
  </si>
  <si>
    <t>FAM86B1</t>
  </si>
  <si>
    <t>204406_at</t>
  </si>
  <si>
    <t>FLT1</t>
  </si>
  <si>
    <t>202809_s_at</t>
  </si>
  <si>
    <t>207408_at</t>
  </si>
  <si>
    <t>SLC22A14</t>
  </si>
  <si>
    <t>210735_s_at</t>
  </si>
  <si>
    <t>32541_at</t>
  </si>
  <si>
    <t>PPP3CC</t>
  </si>
  <si>
    <t>202830_s_at</t>
  </si>
  <si>
    <t>SLC37A4</t>
  </si>
  <si>
    <t>204800_s_at</t>
  </si>
  <si>
    <t>206927_s_at</t>
  </si>
  <si>
    <t>GUCY1A2</t>
  </si>
  <si>
    <t>210199_at</t>
  </si>
  <si>
    <t>CRYAA</t>
  </si>
  <si>
    <t>206589_at</t>
  </si>
  <si>
    <t>GFI1</t>
  </si>
  <si>
    <t>210665_at</t>
  </si>
  <si>
    <t>204772_s_at</t>
  </si>
  <si>
    <t>217503_at</t>
  </si>
  <si>
    <t>201025_at</t>
  </si>
  <si>
    <t>EIF5B</t>
  </si>
  <si>
    <t>203208_s_at</t>
  </si>
  <si>
    <t>MTFR1</t>
  </si>
  <si>
    <t>207974_s_at</t>
  </si>
  <si>
    <t>212008_at</t>
  </si>
  <si>
    <t>214308_s_at</t>
  </si>
  <si>
    <t>HGD</t>
  </si>
  <si>
    <t>222093_s_at</t>
  </si>
  <si>
    <t>INO80B</t>
  </si>
  <si>
    <t>201835_s_at</t>
  </si>
  <si>
    <t>PRKAB1</t>
  </si>
  <si>
    <t>206889_at</t>
  </si>
  <si>
    <t>207009_at</t>
  </si>
  <si>
    <t>PHOX2B</t>
  </si>
  <si>
    <t>207374_at</t>
  </si>
  <si>
    <t>PLSCR2</t>
  </si>
  <si>
    <t>220714_at</t>
  </si>
  <si>
    <t>PRDM14</t>
  </si>
  <si>
    <t>221443_x_at</t>
  </si>
  <si>
    <t>PRLH</t>
  </si>
  <si>
    <t>221667_s_at</t>
  </si>
  <si>
    <t>HSPB8</t>
  </si>
  <si>
    <t>204374_s_at</t>
  </si>
  <si>
    <t>GALK1</t>
  </si>
  <si>
    <t>211948_x_at</t>
  </si>
  <si>
    <t>200758_s_at</t>
  </si>
  <si>
    <t>208101_s_at</t>
  </si>
  <si>
    <t>URM1</t>
  </si>
  <si>
    <t>208460_at</t>
  </si>
  <si>
    <t>GJC1</t>
  </si>
  <si>
    <t>221526_x_at</t>
  </si>
  <si>
    <t>211537_x_at</t>
  </si>
  <si>
    <t>207186_s_at</t>
  </si>
  <si>
    <t>BPTF</t>
  </si>
  <si>
    <t>209110_s_at</t>
  </si>
  <si>
    <t>RGL2</t>
  </si>
  <si>
    <t>214952_at</t>
  </si>
  <si>
    <t>NCAM1</t>
  </si>
  <si>
    <t>58780_s_at</t>
  </si>
  <si>
    <t>211714_x_at</t>
  </si>
  <si>
    <t>203439_s_at</t>
  </si>
  <si>
    <t>STC2</t>
  </si>
  <si>
    <t>221356_x_at</t>
  </si>
  <si>
    <t>P2RX2</t>
  </si>
  <si>
    <t>210701_at</t>
  </si>
  <si>
    <t>206944_at</t>
  </si>
  <si>
    <t>HTR6</t>
  </si>
  <si>
    <t>210114_at</t>
  </si>
  <si>
    <t>INVS</t>
  </si>
  <si>
    <t>211649_x_at</t>
  </si>
  <si>
    <t>IGH@ /// IGHA1 /// IGHG1 /// IGHM /// LOC100290528 /// LOC100292483</t>
  </si>
  <si>
    <t>212476_at</t>
  </si>
  <si>
    <t>ACAP2</t>
  </si>
  <si>
    <t>212705_x_at</t>
  </si>
  <si>
    <t>212951_at</t>
  </si>
  <si>
    <t>GPR116</t>
  </si>
  <si>
    <t>215040_at</t>
  </si>
  <si>
    <t>207105_s_at</t>
  </si>
  <si>
    <t>PIK3R2</t>
  </si>
  <si>
    <t>219477_s_at</t>
  </si>
  <si>
    <t>THSD1 /// THSD1P</t>
  </si>
  <si>
    <t>201261_x_at</t>
  </si>
  <si>
    <t>207511_s_at</t>
  </si>
  <si>
    <t>C2orf24</t>
  </si>
  <si>
    <t>212859_x_at</t>
  </si>
  <si>
    <t>MT1E</t>
  </si>
  <si>
    <t>214577_at</t>
  </si>
  <si>
    <t>216204_at</t>
  </si>
  <si>
    <t>37408_at</t>
  </si>
  <si>
    <t>201298_s_at</t>
  </si>
  <si>
    <t>MOBKL1B</t>
  </si>
  <si>
    <t>216229_x_at</t>
  </si>
  <si>
    <t>HCG2P7</t>
  </si>
  <si>
    <t>220647_s_at</t>
  </si>
  <si>
    <t>CHCHD8</t>
  </si>
  <si>
    <t>48825_at</t>
  </si>
  <si>
    <t>216323_x_at</t>
  </si>
  <si>
    <t>TUBA3D</t>
  </si>
  <si>
    <t>212069_s_at</t>
  </si>
  <si>
    <t>BAT2L</t>
  </si>
  <si>
    <t>208302_at</t>
  </si>
  <si>
    <t>HMHB1</t>
  </si>
  <si>
    <t>200768_s_at</t>
  </si>
  <si>
    <t>MAT2A</t>
  </si>
  <si>
    <t>222197_s_at</t>
  </si>
  <si>
    <t>LOC100128008</t>
  </si>
  <si>
    <t>209949_at</t>
  </si>
  <si>
    <t>NCF2</t>
  </si>
  <si>
    <t>203094_at</t>
  </si>
  <si>
    <t>MAD2L1BP</t>
  </si>
  <si>
    <t>203880_at</t>
  </si>
  <si>
    <t>COX17</t>
  </si>
  <si>
    <t>208965_s_at</t>
  </si>
  <si>
    <t>209611_s_at</t>
  </si>
  <si>
    <t>210407_at</t>
  </si>
  <si>
    <t>PPM1A</t>
  </si>
  <si>
    <t>214321_at</t>
  </si>
  <si>
    <t>NOV</t>
  </si>
  <si>
    <t>201630_s_at</t>
  </si>
  <si>
    <t>209058_at</t>
  </si>
  <si>
    <t>216399_s_at</t>
  </si>
  <si>
    <t>218333_at</t>
  </si>
  <si>
    <t>DERL2</t>
  </si>
  <si>
    <t>206967_at</t>
  </si>
  <si>
    <t>CCNT1</t>
  </si>
  <si>
    <t>209261_s_at</t>
  </si>
  <si>
    <t>218150_at</t>
  </si>
  <si>
    <t>ARL5A</t>
  </si>
  <si>
    <t>219246_s_at</t>
  </si>
  <si>
    <t>210950_s_at</t>
  </si>
  <si>
    <t>FDFT1</t>
  </si>
  <si>
    <t>202933_s_at</t>
  </si>
  <si>
    <t>200082_s_at</t>
  </si>
  <si>
    <t>RPS7</t>
  </si>
  <si>
    <t>220965_s_at</t>
  </si>
  <si>
    <t>RSHL1</t>
  </si>
  <si>
    <t>206908_s_at</t>
  </si>
  <si>
    <t>CLDN11</t>
  </si>
  <si>
    <t>217693_x_at</t>
  </si>
  <si>
    <t>MAGOH2</t>
  </si>
  <si>
    <t>218622_at</t>
  </si>
  <si>
    <t>NUP37</t>
  </si>
  <si>
    <t>201635_s_at</t>
  </si>
  <si>
    <t>FXR1</t>
  </si>
  <si>
    <t>38398_at</t>
  </si>
  <si>
    <t>219132_at</t>
  </si>
  <si>
    <t>PELI2</t>
  </si>
  <si>
    <t>216079_at</t>
  </si>
  <si>
    <t>212037_at</t>
  </si>
  <si>
    <t>PNN</t>
  </si>
  <si>
    <t>213517_at</t>
  </si>
  <si>
    <t>PCBP2</t>
  </si>
  <si>
    <t>206114_at</t>
  </si>
  <si>
    <t>EPHA4</t>
  </si>
  <si>
    <t>220066_at</t>
  </si>
  <si>
    <t>NOD2</t>
  </si>
  <si>
    <t>219253_at</t>
  </si>
  <si>
    <t>TMEM185B</t>
  </si>
  <si>
    <t>205607_s_at</t>
  </si>
  <si>
    <t>203816_at</t>
  </si>
  <si>
    <t>DGUOK</t>
  </si>
  <si>
    <t>220062_s_at</t>
  </si>
  <si>
    <t>MAGEC2</t>
  </si>
  <si>
    <t>218699_at</t>
  </si>
  <si>
    <t>RAB7L1</t>
  </si>
  <si>
    <t>221901_at</t>
  </si>
  <si>
    <t>KIAA1644</t>
  </si>
  <si>
    <t>207801_s_at</t>
  </si>
  <si>
    <t>212907_at</t>
  </si>
  <si>
    <t>SLC30A1</t>
  </si>
  <si>
    <t>201402_at</t>
  </si>
  <si>
    <t>209769_s_at</t>
  </si>
  <si>
    <t>GP1BB</t>
  </si>
  <si>
    <t>210737_at</t>
  </si>
  <si>
    <t>TUB</t>
  </si>
  <si>
    <t>202945_at</t>
  </si>
  <si>
    <t>FPGS</t>
  </si>
  <si>
    <t>222012_at</t>
  </si>
  <si>
    <t>C19orf72</t>
  </si>
  <si>
    <t>202114_at</t>
  </si>
  <si>
    <t>SNX2</t>
  </si>
  <si>
    <t>208078_s_at</t>
  </si>
  <si>
    <t>SIK1</t>
  </si>
  <si>
    <t>202675_at</t>
  </si>
  <si>
    <t>SDHB</t>
  </si>
  <si>
    <t>202285_s_at</t>
  </si>
  <si>
    <t>TACSTD2</t>
  </si>
  <si>
    <t>216700_at</t>
  </si>
  <si>
    <t>204524_at</t>
  </si>
  <si>
    <t>221142_s_at</t>
  </si>
  <si>
    <t>PECR</t>
  </si>
  <si>
    <t>202693_s_at</t>
  </si>
  <si>
    <t>STK17A</t>
  </si>
  <si>
    <t>220408_x_at</t>
  </si>
  <si>
    <t>205427_at</t>
  </si>
  <si>
    <t>ZNF354A</t>
  </si>
  <si>
    <t>209466_x_at</t>
  </si>
  <si>
    <t>210881_s_at</t>
  </si>
  <si>
    <t>IGF2 /// INS-IGF2</t>
  </si>
  <si>
    <t>213377_x_at</t>
  </si>
  <si>
    <t>RPS12</t>
  </si>
  <si>
    <t>214537_at</t>
  </si>
  <si>
    <t>HIST1H1D</t>
  </si>
  <si>
    <t>209405_s_at</t>
  </si>
  <si>
    <t>209970_x_at</t>
  </si>
  <si>
    <t>214401_at</t>
  </si>
  <si>
    <t>PAX1</t>
  </si>
  <si>
    <t>202366_at</t>
  </si>
  <si>
    <t>ACADS</t>
  </si>
  <si>
    <t>207423_s_at</t>
  </si>
  <si>
    <t>210089_s_at</t>
  </si>
  <si>
    <t>LAMA4</t>
  </si>
  <si>
    <t>202588_at</t>
  </si>
  <si>
    <t>AK1</t>
  </si>
  <si>
    <t>36564_at</t>
  </si>
  <si>
    <t>RNF19B</t>
  </si>
  <si>
    <t>211156_at</t>
  </si>
  <si>
    <t>CDKN2A</t>
  </si>
  <si>
    <t>212965_at</t>
  </si>
  <si>
    <t>HIC2</t>
  </si>
  <si>
    <t>204891_s_at</t>
  </si>
  <si>
    <t>204916_at</t>
  </si>
  <si>
    <t>RAMP1</t>
  </si>
  <si>
    <t>206169_x_at</t>
  </si>
  <si>
    <t>ZC3H7B</t>
  </si>
  <si>
    <t>210149_s_at</t>
  </si>
  <si>
    <t>ATP5H</t>
  </si>
  <si>
    <t>212875_s_at</t>
  </si>
  <si>
    <t>C2CD2</t>
  </si>
  <si>
    <t>219157_at</t>
  </si>
  <si>
    <t>KLHL2</t>
  </si>
  <si>
    <t>200954_at</t>
  </si>
  <si>
    <t>204027_s_at</t>
  </si>
  <si>
    <t>METTL1</t>
  </si>
  <si>
    <t>207838_x_at</t>
  </si>
  <si>
    <t>216038_x_at</t>
  </si>
  <si>
    <t>DAXX</t>
  </si>
  <si>
    <t>206443_at</t>
  </si>
  <si>
    <t>RORB</t>
  </si>
  <si>
    <t>209561_at</t>
  </si>
  <si>
    <t>THBS3</t>
  </si>
  <si>
    <t>210300_at</t>
  </si>
  <si>
    <t>REM1</t>
  </si>
  <si>
    <t>201975_at</t>
  </si>
  <si>
    <t>CLIP1</t>
  </si>
  <si>
    <t>202977_s_at</t>
  </si>
  <si>
    <t>215798_at</t>
  </si>
  <si>
    <t>203149_at</t>
  </si>
  <si>
    <t>PVRL2</t>
  </si>
  <si>
    <t>203371_s_at</t>
  </si>
  <si>
    <t>NDUFB3</t>
  </si>
  <si>
    <t>36907_at</t>
  </si>
  <si>
    <t>200616_s_at</t>
  </si>
  <si>
    <t>202925_s_at</t>
  </si>
  <si>
    <t>214487_s_at</t>
  </si>
  <si>
    <t>RAP2A /// RAP2B</t>
  </si>
  <si>
    <t>211494_s_at</t>
  </si>
  <si>
    <t>SLC4A4</t>
  </si>
  <si>
    <t>210981_s_at</t>
  </si>
  <si>
    <t>205494_at</t>
  </si>
  <si>
    <t>201270_x_at</t>
  </si>
  <si>
    <t>NUDCD3</t>
  </si>
  <si>
    <t>201655_s_at</t>
  </si>
  <si>
    <t>HSPG2</t>
  </si>
  <si>
    <t>214093_s_at</t>
  </si>
  <si>
    <t>219695_at</t>
  </si>
  <si>
    <t>SMPD3</t>
  </si>
  <si>
    <t>219095_at</t>
  </si>
  <si>
    <t>211921_x_at</t>
  </si>
  <si>
    <t>208218_s_at</t>
  </si>
  <si>
    <t>209542_x_at</t>
  </si>
  <si>
    <t>IGF1</t>
  </si>
  <si>
    <t>218781_at</t>
  </si>
  <si>
    <t>SMC6</t>
  </si>
  <si>
    <t>212587_s_at</t>
  </si>
  <si>
    <t>215027_at</t>
  </si>
  <si>
    <t>RAPGEF3</t>
  </si>
  <si>
    <t>204551_s_at</t>
  </si>
  <si>
    <t>AHSG</t>
  </si>
  <si>
    <t>204795_at</t>
  </si>
  <si>
    <t>PRR3</t>
  </si>
  <si>
    <t>206706_at</t>
  </si>
  <si>
    <t>NTF3</t>
  </si>
  <si>
    <t>208544_at</t>
  </si>
  <si>
    <t>ADRA2B</t>
  </si>
  <si>
    <t>213473_at</t>
  </si>
  <si>
    <t>213869_x_at</t>
  </si>
  <si>
    <t>THY1</t>
  </si>
  <si>
    <t>221492_s_at</t>
  </si>
  <si>
    <t>ATG3</t>
  </si>
  <si>
    <t>218364_at</t>
  </si>
  <si>
    <t>207463_x_at</t>
  </si>
  <si>
    <t>219000_s_at</t>
  </si>
  <si>
    <t>221784_at</t>
  </si>
  <si>
    <t>221807_s_at</t>
  </si>
  <si>
    <t>TRABD</t>
  </si>
  <si>
    <t>203269_at</t>
  </si>
  <si>
    <t>NSMAF</t>
  </si>
  <si>
    <t>202529_at</t>
  </si>
  <si>
    <t>PRPSAP1</t>
  </si>
  <si>
    <t>212896_at</t>
  </si>
  <si>
    <t>SKIV2L2</t>
  </si>
  <si>
    <t>44702_at</t>
  </si>
  <si>
    <t>202740_at</t>
  </si>
  <si>
    <t>ACY1</t>
  </si>
  <si>
    <t>205244_s_at</t>
  </si>
  <si>
    <t>SLC13A3</t>
  </si>
  <si>
    <t>218395_at</t>
  </si>
  <si>
    <t>ACTR6</t>
  </si>
  <si>
    <t>37012_at</t>
  </si>
  <si>
    <t>CAPZB</t>
  </si>
  <si>
    <t>208945_s_at</t>
  </si>
  <si>
    <t>221527_s_at</t>
  </si>
  <si>
    <t>221751_at</t>
  </si>
  <si>
    <t>SLC2A3P1</t>
  </si>
  <si>
    <t>209407_s_at</t>
  </si>
  <si>
    <t>DEAF1</t>
  </si>
  <si>
    <t>221854_at</t>
  </si>
  <si>
    <t>PKP1</t>
  </si>
  <si>
    <t>202895_s_at</t>
  </si>
  <si>
    <t>SIRPA</t>
  </si>
  <si>
    <t>206006_s_at</t>
  </si>
  <si>
    <t>KIAA1009</t>
  </si>
  <si>
    <t>209633_at</t>
  </si>
  <si>
    <t>212343_at</t>
  </si>
  <si>
    <t>203059_s_at</t>
  </si>
  <si>
    <t>PAPSS2</t>
  </si>
  <si>
    <t>203966_s_at</t>
  </si>
  <si>
    <t>212811_x_at</t>
  </si>
  <si>
    <t>214062_x_at</t>
  </si>
  <si>
    <t>NFKBIB</t>
  </si>
  <si>
    <t>215748_at</t>
  </si>
  <si>
    <t>KLHL35</t>
  </si>
  <si>
    <t>217949_s_at</t>
  </si>
  <si>
    <t>VKORC1</t>
  </si>
  <si>
    <t>206078_at</t>
  </si>
  <si>
    <t>KALRN</t>
  </si>
  <si>
    <t>208713_at</t>
  </si>
  <si>
    <t>HNRNPUL1</t>
  </si>
  <si>
    <t>205443_at</t>
  </si>
  <si>
    <t>SNAPC1</t>
  </si>
  <si>
    <t>200999_s_at</t>
  </si>
  <si>
    <t>209847_at</t>
  </si>
  <si>
    <t>CDH17</t>
  </si>
  <si>
    <t>36475_at</t>
  </si>
  <si>
    <t>GCAT</t>
  </si>
  <si>
    <t>202849_x_at</t>
  </si>
  <si>
    <t>215857_at</t>
  </si>
  <si>
    <t>NCLN</t>
  </si>
  <si>
    <t>210316_at</t>
  </si>
  <si>
    <t>FLT4</t>
  </si>
  <si>
    <t>59697_at</t>
  </si>
  <si>
    <t>RAB15</t>
  </si>
  <si>
    <t>201032_at</t>
  </si>
  <si>
    <t>BLCAP</t>
  </si>
  <si>
    <t>208076_at</t>
  </si>
  <si>
    <t>HIST1H4D</t>
  </si>
  <si>
    <t>201266_at</t>
  </si>
  <si>
    <t>TXNRD1</t>
  </si>
  <si>
    <t>203523_at</t>
  </si>
  <si>
    <t>LSP1</t>
  </si>
  <si>
    <t>207234_at</t>
  </si>
  <si>
    <t>RFX3</t>
  </si>
  <si>
    <t>208892_s_at</t>
  </si>
  <si>
    <t>DUSP6</t>
  </si>
  <si>
    <t>212629_s_at</t>
  </si>
  <si>
    <t>222169_x_at</t>
  </si>
  <si>
    <t>SH2D3A</t>
  </si>
  <si>
    <t>207468_s_at</t>
  </si>
  <si>
    <t>SFRP5</t>
  </si>
  <si>
    <t>201518_at</t>
  </si>
  <si>
    <t>CBX1</t>
  </si>
  <si>
    <t>209356_x_at</t>
  </si>
  <si>
    <t>220566_at</t>
  </si>
  <si>
    <t>PIK3R5</t>
  </si>
  <si>
    <t>210086_at</t>
  </si>
  <si>
    <t>200740_s_at</t>
  </si>
  <si>
    <t>209308_s_at</t>
  </si>
  <si>
    <t>BNIP2</t>
  </si>
  <si>
    <t>202293_at</t>
  </si>
  <si>
    <t>STAG1</t>
  </si>
  <si>
    <t>211008_s_at</t>
  </si>
  <si>
    <t>57163_at</t>
  </si>
  <si>
    <t>ELOVL1</t>
  </si>
  <si>
    <t>202381_at</t>
  </si>
  <si>
    <t>ADAM9</t>
  </si>
  <si>
    <t>203136_at</t>
  </si>
  <si>
    <t>RABAC1</t>
  </si>
  <si>
    <t>203894_at</t>
  </si>
  <si>
    <t>TUBG2</t>
  </si>
  <si>
    <t>204410_at</t>
  </si>
  <si>
    <t>EIF1AY</t>
  </si>
  <si>
    <t>207192_at</t>
  </si>
  <si>
    <t>DNASE1L2</t>
  </si>
  <si>
    <t>208071_s_at</t>
  </si>
  <si>
    <t>LAIR1</t>
  </si>
  <si>
    <t>211225_at</t>
  </si>
  <si>
    <t>FUT5</t>
  </si>
  <si>
    <t>213256_at</t>
  </si>
  <si>
    <t>_x001A__x001A__x001A_-03</t>
  </si>
  <si>
    <t>215659_at</t>
  </si>
  <si>
    <t>215890_at</t>
  </si>
  <si>
    <t>201807_at</t>
  </si>
  <si>
    <t>VPS26A</t>
  </si>
  <si>
    <t>216081_at</t>
  </si>
  <si>
    <t>218546_at</t>
  </si>
  <si>
    <t>C1orf115</t>
  </si>
  <si>
    <t>201027_s_at</t>
  </si>
  <si>
    <t>213854_at</t>
  </si>
  <si>
    <t>222220_s_at</t>
  </si>
  <si>
    <t>TSNAXIP1</t>
  </si>
  <si>
    <t>203414_at</t>
  </si>
  <si>
    <t>MMD</t>
  </si>
  <si>
    <t>218870_at</t>
  </si>
  <si>
    <t>ARHGAP15</t>
  </si>
  <si>
    <t>206594_at</t>
  </si>
  <si>
    <t>PASK</t>
  </si>
  <si>
    <t>215198_s_at</t>
  </si>
  <si>
    <t>216949_s_at</t>
  </si>
  <si>
    <t>PKD1</t>
  </si>
  <si>
    <t>202219_at</t>
  </si>
  <si>
    <t>211034_s_at</t>
  </si>
  <si>
    <t>C12orf51</t>
  </si>
  <si>
    <t>218386_x_at</t>
  </si>
  <si>
    <t>USP16</t>
  </si>
  <si>
    <t>219790_s_at</t>
  </si>
  <si>
    <t>NPR3</t>
  </si>
  <si>
    <t>219403_s_at</t>
  </si>
  <si>
    <t>HPSE</t>
  </si>
  <si>
    <t>201838_s_at</t>
  </si>
  <si>
    <t>SUPT7L</t>
  </si>
  <si>
    <t>211997_x_at</t>
  </si>
  <si>
    <t>203461_at</t>
  </si>
  <si>
    <t>CHD2</t>
  </si>
  <si>
    <t>213533_at</t>
  </si>
  <si>
    <t>206562_s_at</t>
  </si>
  <si>
    <t>203123_s_at</t>
  </si>
  <si>
    <t>219050_s_at</t>
  </si>
  <si>
    <t>ZNHIT2</t>
  </si>
  <si>
    <t>204632_at</t>
  </si>
  <si>
    <t>RPS6KA4</t>
  </si>
  <si>
    <t>214166_at</t>
  </si>
  <si>
    <t>219135_s_at</t>
  </si>
  <si>
    <t>203998_s_at</t>
  </si>
  <si>
    <t>203564_at</t>
  </si>
  <si>
    <t>FANCG</t>
  </si>
  <si>
    <t>205267_at</t>
  </si>
  <si>
    <t>POU2AF1</t>
  </si>
  <si>
    <t>205563_at</t>
  </si>
  <si>
    <t>KISS1</t>
  </si>
  <si>
    <t>216183_at</t>
  </si>
  <si>
    <t>TGM2</t>
  </si>
  <si>
    <t>216308_x_at</t>
  </si>
  <si>
    <t>GRHPR</t>
  </si>
  <si>
    <t>208880_s_at</t>
  </si>
  <si>
    <t>PRPF6</t>
  </si>
  <si>
    <t>222381_at</t>
  </si>
  <si>
    <t>216300_x_at</t>
  </si>
  <si>
    <t>219314_s_at</t>
  </si>
  <si>
    <t>ZNF219</t>
  </si>
  <si>
    <t>202045_s_at</t>
  </si>
  <si>
    <t>GRLF1</t>
  </si>
  <si>
    <t>218576_s_at</t>
  </si>
  <si>
    <t>DUSP12</t>
  </si>
  <si>
    <t>214455_at</t>
  </si>
  <si>
    <t>HIST1H2BC</t>
  </si>
  <si>
    <t>204098_at</t>
  </si>
  <si>
    <t>RBMX2</t>
  </si>
  <si>
    <t>204401_at</t>
  </si>
  <si>
    <t>KCNN4</t>
  </si>
  <si>
    <t>209450_at</t>
  </si>
  <si>
    <t>OSGEP</t>
  </si>
  <si>
    <t>201238_s_at</t>
  </si>
  <si>
    <t>CAPZA2</t>
  </si>
  <si>
    <t>222314_x_at</t>
  </si>
  <si>
    <t>EGOT</t>
  </si>
  <si>
    <t>201559_s_at</t>
  </si>
  <si>
    <t>CLIC4</t>
  </si>
  <si>
    <t>202406_s_at</t>
  </si>
  <si>
    <t>209577_at</t>
  </si>
  <si>
    <t>PCYT2</t>
  </si>
  <si>
    <t>211684_s_at</t>
  </si>
  <si>
    <t>DYNC1I2</t>
  </si>
  <si>
    <t>212071_s_at</t>
  </si>
  <si>
    <t>218872_at</t>
  </si>
  <si>
    <t>TESC</t>
  </si>
  <si>
    <t>219292_at</t>
  </si>
  <si>
    <t>THAP1</t>
  </si>
  <si>
    <t>204048_s_at</t>
  </si>
  <si>
    <t>PHACTR2</t>
  </si>
  <si>
    <t>212129_at</t>
  </si>
  <si>
    <t>NIPA2</t>
  </si>
  <si>
    <t>207368_at</t>
  </si>
  <si>
    <t>HTR1D</t>
  </si>
  <si>
    <t>209182_s_at</t>
  </si>
  <si>
    <t>C10orf10</t>
  </si>
  <si>
    <t>208961_s_at</t>
  </si>
  <si>
    <t>211058_x_at</t>
  </si>
  <si>
    <t>TUBA1B</t>
  </si>
  <si>
    <t>205905_s_at</t>
  </si>
  <si>
    <t>MICA /// MICB</t>
  </si>
  <si>
    <t>203691_at</t>
  </si>
  <si>
    <t>PI3</t>
  </si>
  <si>
    <t>201253_s_at</t>
  </si>
  <si>
    <t>CDIPT</t>
  </si>
  <si>
    <t>217869_at</t>
  </si>
  <si>
    <t>HSD17B12</t>
  </si>
  <si>
    <t>208479_at</t>
  </si>
  <si>
    <t>KCNA1</t>
  </si>
  <si>
    <t>210640_s_at</t>
  </si>
  <si>
    <t>GPER</t>
  </si>
  <si>
    <t>214190_x_at</t>
  </si>
  <si>
    <t>207458_at</t>
  </si>
  <si>
    <t>C8orf51</t>
  </si>
  <si>
    <t>201121_s_at</t>
  </si>
  <si>
    <t>PGRMC1</t>
  </si>
  <si>
    <t>209566_at</t>
  </si>
  <si>
    <t>INSIG2</t>
  </si>
  <si>
    <t>217006_x_at</t>
  </si>
  <si>
    <t>FASN</t>
  </si>
  <si>
    <t>218805_at</t>
  </si>
  <si>
    <t>GIMAP5</t>
  </si>
  <si>
    <t>201896_s_at</t>
  </si>
  <si>
    <t>PSRC1</t>
  </si>
  <si>
    <t>208734_x_at</t>
  </si>
  <si>
    <t>RAB2A</t>
  </si>
  <si>
    <t>205661_s_at</t>
  </si>
  <si>
    <t>FLAD1</t>
  </si>
  <si>
    <t>218677_at</t>
  </si>
  <si>
    <t>S100A14</t>
  </si>
  <si>
    <t>200763_s_at</t>
  </si>
  <si>
    <t>RPLP1</t>
  </si>
  <si>
    <t>214211_at</t>
  </si>
  <si>
    <t>205757_at</t>
  </si>
  <si>
    <t>ENTPD5</t>
  </si>
  <si>
    <t>205997_at</t>
  </si>
  <si>
    <t>212075_s_at</t>
  </si>
  <si>
    <t>212813_at</t>
  </si>
  <si>
    <t>JAM3</t>
  </si>
  <si>
    <t>215776_at</t>
  </si>
  <si>
    <t>INSRR</t>
  </si>
  <si>
    <t>207168_s_at</t>
  </si>
  <si>
    <t>205470_s_at</t>
  </si>
  <si>
    <t>KLK11</t>
  </si>
  <si>
    <t>205624_at</t>
  </si>
  <si>
    <t>CPA3</t>
  </si>
  <si>
    <t>203497_at</t>
  </si>
  <si>
    <t>MED1</t>
  </si>
  <si>
    <t>207241_at</t>
  </si>
  <si>
    <t>C4orf6</t>
  </si>
  <si>
    <t>208630_at</t>
  </si>
  <si>
    <t>204696_s_at</t>
  </si>
  <si>
    <t>CDC25A</t>
  </si>
  <si>
    <t>222210_at</t>
  </si>
  <si>
    <t>KIAA0195</t>
  </si>
  <si>
    <t>201337_s_at</t>
  </si>
  <si>
    <t>221705_s_at</t>
  </si>
  <si>
    <t>SIKE1</t>
  </si>
  <si>
    <t>201920_at</t>
  </si>
  <si>
    <t>SLC20A1</t>
  </si>
  <si>
    <t>211596_s_at</t>
  </si>
  <si>
    <t>LRIG1</t>
  </si>
  <si>
    <t>48580_at</t>
  </si>
  <si>
    <t>CXXC1</t>
  </si>
  <si>
    <t>203089_s_at</t>
  </si>
  <si>
    <t>HTRA2</t>
  </si>
  <si>
    <t>221065_s_at</t>
  </si>
  <si>
    <t>CHST8</t>
  </si>
  <si>
    <t>219023_at</t>
  </si>
  <si>
    <t>C4orf16</t>
  </si>
  <si>
    <t>203047_at</t>
  </si>
  <si>
    <t>STK10</t>
  </si>
  <si>
    <t>214479_at</t>
  </si>
  <si>
    <t>GFRA3</t>
  </si>
  <si>
    <t>218554_s_at</t>
  </si>
  <si>
    <t>ASH1L</t>
  </si>
  <si>
    <t>220495_s_at</t>
  </si>
  <si>
    <t>TXNDC15</t>
  </si>
  <si>
    <t>204519_s_at</t>
  </si>
  <si>
    <t>PLLP</t>
  </si>
  <si>
    <t>213157_s_at</t>
  </si>
  <si>
    <t>207151_at</t>
  </si>
  <si>
    <t>ADCYAP1R1</t>
  </si>
  <si>
    <t>204708_at</t>
  </si>
  <si>
    <t>MAPK4</t>
  </si>
  <si>
    <t>219616_at</t>
  </si>
  <si>
    <t>ACSS3</t>
  </si>
  <si>
    <t>204377_s_at</t>
  </si>
  <si>
    <t>VPRBP</t>
  </si>
  <si>
    <t>209473_at</t>
  </si>
  <si>
    <t>ENTPD1</t>
  </si>
  <si>
    <t>212185_x_at</t>
  </si>
  <si>
    <t>MT2A</t>
  </si>
  <si>
    <t>218236_s_at</t>
  </si>
  <si>
    <t>PRKD3</t>
  </si>
  <si>
    <t>201126_s_at</t>
  </si>
  <si>
    <t>MGAT1</t>
  </si>
  <si>
    <t>207027_at</t>
  </si>
  <si>
    <t>HGFAC</t>
  </si>
  <si>
    <t>209323_at</t>
  </si>
  <si>
    <t>PRKRIR</t>
  </si>
  <si>
    <t>202077_at</t>
  </si>
  <si>
    <t>NDUFAB1</t>
  </si>
  <si>
    <t>202669_s_at</t>
  </si>
  <si>
    <t>205953_at</t>
  </si>
  <si>
    <t>LRIG2</t>
  </si>
  <si>
    <t>215093_at</t>
  </si>
  <si>
    <t>215337_at</t>
  </si>
  <si>
    <t>MED24</t>
  </si>
  <si>
    <t>201801_s_at</t>
  </si>
  <si>
    <t>SLC29A1</t>
  </si>
  <si>
    <t>209061_at</t>
  </si>
  <si>
    <t>213399_x_at</t>
  </si>
  <si>
    <t>201050_at</t>
  </si>
  <si>
    <t>PLD3</t>
  </si>
  <si>
    <t>217983_s_at</t>
  </si>
  <si>
    <t>207894_s_at</t>
  </si>
  <si>
    <t>217740_x_at</t>
  </si>
  <si>
    <t>RPL7A</t>
  </si>
  <si>
    <t>217801_at</t>
  </si>
  <si>
    <t>ATP5E</t>
  </si>
  <si>
    <t>220192_x_at</t>
  </si>
  <si>
    <t>207348_s_at</t>
  </si>
  <si>
    <t>LIG3</t>
  </si>
  <si>
    <t>203118_at</t>
  </si>
  <si>
    <t>PCSK7</t>
  </si>
  <si>
    <t>217951_s_at</t>
  </si>
  <si>
    <t>205745_x_at</t>
  </si>
  <si>
    <t>203572_s_at</t>
  </si>
  <si>
    <t>TAF6</t>
  </si>
  <si>
    <t>220208_at</t>
  </si>
  <si>
    <t>ADAMTS13</t>
  </si>
  <si>
    <t>202867_s_at</t>
  </si>
  <si>
    <t>201303_at</t>
  </si>
  <si>
    <t>EIF4A3</t>
  </si>
  <si>
    <t>201863_at</t>
  </si>
  <si>
    <t>FAM32A</t>
  </si>
  <si>
    <t>204084_s_at</t>
  </si>
  <si>
    <t>CLN5</t>
  </si>
  <si>
    <t>208608_s_at</t>
  </si>
  <si>
    <t>SNTB1</t>
  </si>
  <si>
    <t>209848_s_at</t>
  </si>
  <si>
    <t>SILV</t>
  </si>
  <si>
    <t>212857_x_at</t>
  </si>
  <si>
    <t>213934_s_at</t>
  </si>
  <si>
    <t>ZNF23</t>
  </si>
  <si>
    <t>217965_s_at</t>
  </si>
  <si>
    <t>SAP30BP</t>
  </si>
  <si>
    <t>204853_at</t>
  </si>
  <si>
    <t>ORC2L</t>
  </si>
  <si>
    <t>221906_at</t>
  </si>
  <si>
    <t>TXNRD3</t>
  </si>
  <si>
    <t>212594_at</t>
  </si>
  <si>
    <t>205688_at</t>
  </si>
  <si>
    <t>TFAP4</t>
  </si>
  <si>
    <t>212407_at</t>
  </si>
  <si>
    <t>210382_at</t>
  </si>
  <si>
    <t>SCTR</t>
  </si>
  <si>
    <t>201829_at</t>
  </si>
  <si>
    <t>NET1</t>
  </si>
  <si>
    <t>219418_at</t>
  </si>
  <si>
    <t>NHEJ1</t>
  </si>
  <si>
    <t>206946_at</t>
  </si>
  <si>
    <t>HCN4</t>
  </si>
  <si>
    <t>202623_at</t>
  </si>
  <si>
    <t>EAPP</t>
  </si>
  <si>
    <t>200838_at</t>
  </si>
  <si>
    <t>221628_s_at</t>
  </si>
  <si>
    <t>207540_s_at</t>
  </si>
  <si>
    <t>222000_at</t>
  </si>
  <si>
    <t>C1orf174</t>
  </si>
  <si>
    <t>220107_s_at</t>
  </si>
  <si>
    <t>FAM164C</t>
  </si>
  <si>
    <t>206401_s_at</t>
  </si>
  <si>
    <t>208163_s_at</t>
  </si>
  <si>
    <t>OSBPL7</t>
  </si>
  <si>
    <t>217827_s_at</t>
  </si>
  <si>
    <t>215381_at</t>
  </si>
  <si>
    <t>FRAP1</t>
  </si>
  <si>
    <t>203628_at</t>
  </si>
  <si>
    <t>IGF1R</t>
  </si>
  <si>
    <t>216161_at</t>
  </si>
  <si>
    <t>SBNO1</t>
  </si>
  <si>
    <t>219117_s_at</t>
  </si>
  <si>
    <t>221500_s_at</t>
  </si>
  <si>
    <t>201007_at</t>
  </si>
  <si>
    <t>HADHB</t>
  </si>
  <si>
    <t>201814_at</t>
  </si>
  <si>
    <t>TBC1D5</t>
  </si>
  <si>
    <t>203458_at</t>
  </si>
  <si>
    <t>SPR</t>
  </si>
  <si>
    <t>207621_s_at</t>
  </si>
  <si>
    <t>PEMT</t>
  </si>
  <si>
    <t>208122_x_at</t>
  </si>
  <si>
    <t>KIR2DS3</t>
  </si>
  <si>
    <t>209073_s_at</t>
  </si>
  <si>
    <t>NUMB</t>
  </si>
  <si>
    <t>213498_at</t>
  </si>
  <si>
    <t>CREB3L1</t>
  </si>
  <si>
    <t>216357_at</t>
  </si>
  <si>
    <t>214340_at</t>
  </si>
  <si>
    <t>ALOX12P2</t>
  </si>
  <si>
    <t>215195_at</t>
  </si>
  <si>
    <t>218360_at</t>
  </si>
  <si>
    <t>RAB22A</t>
  </si>
  <si>
    <t>201537_s_at</t>
  </si>
  <si>
    <t>204960_at</t>
  </si>
  <si>
    <t>PTPRCAP</t>
  </si>
  <si>
    <t>212905_at</t>
  </si>
  <si>
    <t>201707_at</t>
  </si>
  <si>
    <t>PEX19</t>
  </si>
  <si>
    <t>205605_at</t>
  </si>
  <si>
    <t>HOXD9</t>
  </si>
  <si>
    <t>201251_at</t>
  </si>
  <si>
    <t>PKM2</t>
  </si>
  <si>
    <t>203599_s_at</t>
  </si>
  <si>
    <t>WBP4</t>
  </si>
  <si>
    <t>210314_x_at</t>
  </si>
  <si>
    <t>TNFSF13</t>
  </si>
  <si>
    <t>210497_x_at</t>
  </si>
  <si>
    <t>SSX2</t>
  </si>
  <si>
    <t>210301_at</t>
  </si>
  <si>
    <t>XDH</t>
  </si>
  <si>
    <t>202536_at</t>
  </si>
  <si>
    <t>203723_at</t>
  </si>
  <si>
    <t>ITPKB</t>
  </si>
  <si>
    <t>219045_at</t>
  </si>
  <si>
    <t>RHOF</t>
  </si>
  <si>
    <t>219677_at</t>
  </si>
  <si>
    <t>SPSB1</t>
  </si>
  <si>
    <t>206195_x_at</t>
  </si>
  <si>
    <t>GH2</t>
  </si>
  <si>
    <t>206871_at</t>
  </si>
  <si>
    <t>ELANE</t>
  </si>
  <si>
    <t>204685_s_at</t>
  </si>
  <si>
    <t>ATP2B2</t>
  </si>
  <si>
    <t>213406_at</t>
  </si>
  <si>
    <t>201397_at</t>
  </si>
  <si>
    <t>PHGDH</t>
  </si>
  <si>
    <t>213919_at</t>
  </si>
  <si>
    <t>DNAJC4</t>
  </si>
  <si>
    <t>202496_at</t>
  </si>
  <si>
    <t>EDC4</t>
  </si>
  <si>
    <t>209158_s_at</t>
  </si>
  <si>
    <t>CYTH2</t>
  </si>
  <si>
    <t>218169_at</t>
  </si>
  <si>
    <t>VAC14</t>
  </si>
  <si>
    <t>201479_at</t>
  </si>
  <si>
    <t>215497_s_at</t>
  </si>
  <si>
    <t>WDTC1</t>
  </si>
  <si>
    <t>222091_at</t>
  </si>
  <si>
    <t>HPCAL4</t>
  </si>
  <si>
    <t>205349_at</t>
  </si>
  <si>
    <t>GNA15</t>
  </si>
  <si>
    <t>65770_at</t>
  </si>
  <si>
    <t>203958_s_at</t>
  </si>
  <si>
    <t>32540_at</t>
  </si>
  <si>
    <t>201708_s_at</t>
  </si>
  <si>
    <t>NIPSNAP1</t>
  </si>
  <si>
    <t>210706_s_at</t>
  </si>
  <si>
    <t>200932_s_at</t>
  </si>
  <si>
    <t>202323_s_at</t>
  </si>
  <si>
    <t>ACBD3</t>
  </si>
  <si>
    <t>211267_at</t>
  </si>
  <si>
    <t>HESX1</t>
  </si>
  <si>
    <t>213368_x_at</t>
  </si>
  <si>
    <t>217622_at</t>
  </si>
  <si>
    <t>RHBDD3</t>
  </si>
  <si>
    <t>202230_s_at</t>
  </si>
  <si>
    <t>208770_s_at</t>
  </si>
  <si>
    <t>EIF4EBP2</t>
  </si>
  <si>
    <t>217931_at</t>
  </si>
  <si>
    <t>CNPY3</t>
  </si>
  <si>
    <t>220290_at</t>
  </si>
  <si>
    <t>AIM1L</t>
  </si>
  <si>
    <t>210451_at</t>
  </si>
  <si>
    <t>PKLR</t>
  </si>
  <si>
    <t>203044_at</t>
  </si>
  <si>
    <t>CHSY1</t>
  </si>
  <si>
    <t>208516_at</t>
  </si>
  <si>
    <t>MTNR1B</t>
  </si>
  <si>
    <t>208633_s_at</t>
  </si>
  <si>
    <t>210831_s_at</t>
  </si>
  <si>
    <t>PTGER3</t>
  </si>
  <si>
    <t>215493_x_at</t>
  </si>
  <si>
    <t>200070_at</t>
  </si>
  <si>
    <t>206812_at</t>
  </si>
  <si>
    <t>213305_s_at</t>
  </si>
  <si>
    <t>202930_s_at</t>
  </si>
  <si>
    <t>SUCLA2</t>
  </si>
  <si>
    <t>214475_x_at</t>
  </si>
  <si>
    <t>CAPN3</t>
  </si>
  <si>
    <t>221357_at</t>
  </si>
  <si>
    <t>CHRM4</t>
  </si>
  <si>
    <t>213273_at</t>
  </si>
  <si>
    <t>ODZ4</t>
  </si>
  <si>
    <t>205374_at</t>
  </si>
  <si>
    <t>SLN</t>
  </si>
  <si>
    <t>203314_at</t>
  </si>
  <si>
    <t>GTPBP6</t>
  </si>
  <si>
    <t>203307_at</t>
  </si>
  <si>
    <t>GNL1</t>
  </si>
  <si>
    <t>215399_s_at</t>
  </si>
  <si>
    <t>OS9</t>
  </si>
  <si>
    <t>219514_at</t>
  </si>
  <si>
    <t>ANGPTL2</t>
  </si>
  <si>
    <t>208323_s_at</t>
  </si>
  <si>
    <t>ANXA13</t>
  </si>
  <si>
    <t>217795_s_at</t>
  </si>
  <si>
    <t>TMEM43</t>
  </si>
  <si>
    <t>218306_s_at</t>
  </si>
  <si>
    <t>HERC1</t>
  </si>
  <si>
    <t>220609_at</t>
  </si>
  <si>
    <t>LOC202181</t>
  </si>
  <si>
    <t>208131_s_at</t>
  </si>
  <si>
    <t>PTGIS</t>
  </si>
  <si>
    <t>208792_s_at</t>
  </si>
  <si>
    <t>CLU</t>
  </si>
  <si>
    <t>205514_at</t>
  </si>
  <si>
    <t>ZNF415</t>
  </si>
  <si>
    <t>207187_at</t>
  </si>
  <si>
    <t>JAK3</t>
  </si>
  <si>
    <t>209996_x_at</t>
  </si>
  <si>
    <t>212862_at</t>
  </si>
  <si>
    <t>CDS2</t>
  </si>
  <si>
    <t>215039_at</t>
  </si>
  <si>
    <t>HS2ST1 /// LOC339524</t>
  </si>
  <si>
    <t>219796_s_at</t>
  </si>
  <si>
    <t>MUPCDH</t>
  </si>
  <si>
    <t>207189_s_at</t>
  </si>
  <si>
    <t>209517_s_at</t>
  </si>
  <si>
    <t>ASH2L</t>
  </si>
  <si>
    <t>220203_at</t>
  </si>
  <si>
    <t>BMP8A</t>
  </si>
  <si>
    <t>206478_at</t>
  </si>
  <si>
    <t>KIAA0125</t>
  </si>
  <si>
    <t>207728_at</t>
  </si>
  <si>
    <t>ATF7IP</t>
  </si>
  <si>
    <t>214045_at</t>
  </si>
  <si>
    <t>LIAS</t>
  </si>
  <si>
    <t>207978_s_at</t>
  </si>
  <si>
    <t>NR4A3</t>
  </si>
  <si>
    <t>218276_s_at</t>
  </si>
  <si>
    <t>SAV1</t>
  </si>
  <si>
    <t>220619_at</t>
  </si>
  <si>
    <t>210939_s_at</t>
  </si>
  <si>
    <t>GRM1</t>
  </si>
  <si>
    <t>209858_x_at</t>
  </si>
  <si>
    <t>206299_at</t>
  </si>
  <si>
    <t>FAM155B</t>
  </si>
  <si>
    <t>214957_at</t>
  </si>
  <si>
    <t>ACTL8</t>
  </si>
  <si>
    <t>219270_at</t>
  </si>
  <si>
    <t>CHAC1</t>
  </si>
  <si>
    <t>41386_i_at</t>
  </si>
  <si>
    <t>63825_at</t>
  </si>
  <si>
    <t>ABHD2</t>
  </si>
  <si>
    <t>209056_s_at</t>
  </si>
  <si>
    <t>215467_x_at</t>
  </si>
  <si>
    <t>LOC647070</t>
  </si>
  <si>
    <t>221022_s_at</t>
  </si>
  <si>
    <t>PMFBP1</t>
  </si>
  <si>
    <t>202717_s_at</t>
  </si>
  <si>
    <t>CDC16</t>
  </si>
  <si>
    <t>207498_s_at</t>
  </si>
  <si>
    <t>221779_at</t>
  </si>
  <si>
    <t>222245_s_at</t>
  </si>
  <si>
    <t>FER1L4</t>
  </si>
  <si>
    <t>201003_x_at</t>
  </si>
  <si>
    <t>RNPEP /// TMEM189 /// TMEM189-UBE2V1 /// UBE2V1</t>
  </si>
  <si>
    <t>212449_s_at</t>
  </si>
  <si>
    <t>LYPLA1</t>
  </si>
  <si>
    <t>220720_x_at</t>
  </si>
  <si>
    <t>FAM128B</t>
  </si>
  <si>
    <t>202262_x_at</t>
  </si>
  <si>
    <t>DDAH2</t>
  </si>
  <si>
    <t>207113_s_at</t>
  </si>
  <si>
    <t>TNF</t>
  </si>
  <si>
    <t>221187_s_at</t>
  </si>
  <si>
    <t>FUZ</t>
  </si>
  <si>
    <t>212362_at</t>
  </si>
  <si>
    <t>213639_s_at</t>
  </si>
  <si>
    <t>217899_at</t>
  </si>
  <si>
    <t>TMEM214</t>
  </si>
  <si>
    <t>218641_at</t>
  </si>
  <si>
    <t>LOC65998</t>
  </si>
  <si>
    <t>221486_at</t>
  </si>
  <si>
    <t>201812_s_at</t>
  </si>
  <si>
    <t>C4orf46 /// TOMM7</t>
  </si>
  <si>
    <t>209333_at</t>
  </si>
  <si>
    <t>ULK1</t>
  </si>
  <si>
    <t>220096_at</t>
  </si>
  <si>
    <t>221239_s_at</t>
  </si>
  <si>
    <t>FCRL2</t>
  </si>
  <si>
    <t>220284_at</t>
  </si>
  <si>
    <t>DKKL1</t>
  </si>
  <si>
    <t>207493_x_at</t>
  </si>
  <si>
    <t>218196_at</t>
  </si>
  <si>
    <t>OSTM1</t>
  </si>
  <si>
    <t>212200_at</t>
  </si>
  <si>
    <t>202960_s_at</t>
  </si>
  <si>
    <t>211266_s_at</t>
  </si>
  <si>
    <t>GPR4</t>
  </si>
  <si>
    <t>216272_x_at</t>
  </si>
  <si>
    <t>210487_at</t>
  </si>
  <si>
    <t>DNTT</t>
  </si>
  <si>
    <t>213915_at</t>
  </si>
  <si>
    <t>NKG7</t>
  </si>
  <si>
    <t>212268_at</t>
  </si>
  <si>
    <t>SERPINB1</t>
  </si>
  <si>
    <t>221294_at</t>
  </si>
  <si>
    <t>GPR21</t>
  </si>
  <si>
    <t>200802_at</t>
  </si>
  <si>
    <t>SARS</t>
  </si>
  <si>
    <t>210442_at</t>
  </si>
  <si>
    <t>IL1RL1</t>
  </si>
  <si>
    <t>219235_s_at</t>
  </si>
  <si>
    <t>PHACTR4</t>
  </si>
  <si>
    <t>221768_at</t>
  </si>
  <si>
    <t>211322_s_at</t>
  </si>
  <si>
    <t>212711_at</t>
  </si>
  <si>
    <t>214516_at</t>
  </si>
  <si>
    <t>HIST1H4B</t>
  </si>
  <si>
    <t>204002_s_at</t>
  </si>
  <si>
    <t>ICA1</t>
  </si>
  <si>
    <t>214072_x_at</t>
  </si>
  <si>
    <t>201204_s_at</t>
  </si>
  <si>
    <t>RRBP1</t>
  </si>
  <si>
    <t>203773_x_at</t>
  </si>
  <si>
    <t>BLVRA</t>
  </si>
  <si>
    <t>218053_at</t>
  </si>
  <si>
    <t>203203_s_at</t>
  </si>
  <si>
    <t>KRR1</t>
  </si>
  <si>
    <t>217061_s_at</t>
  </si>
  <si>
    <t>208155_x_at</t>
  </si>
  <si>
    <t>GAGE1 /// GAGE12F /// GAGE12G /// GAGE12I /// GAGE12J /// GAGE4 /// GAGE5 /// GAGE6 /// GAGE7</t>
  </si>
  <si>
    <t>218124_at</t>
  </si>
  <si>
    <t>RETSAT</t>
  </si>
  <si>
    <t>214627_at</t>
  </si>
  <si>
    <t>EPX</t>
  </si>
  <si>
    <t>205129_at</t>
  </si>
  <si>
    <t>NPM3</t>
  </si>
  <si>
    <t>208709_s_at</t>
  </si>
  <si>
    <t>NRD1</t>
  </si>
  <si>
    <t>214351_x_at</t>
  </si>
  <si>
    <t>218929_at</t>
  </si>
  <si>
    <t>CDKN2AIP</t>
  </si>
  <si>
    <t>219486_at</t>
  </si>
  <si>
    <t>DUS2L</t>
  </si>
  <si>
    <t>208553_at</t>
  </si>
  <si>
    <t>HIST1H1E</t>
  </si>
  <si>
    <t>218321_x_at</t>
  </si>
  <si>
    <t>STYXL1</t>
  </si>
  <si>
    <t>222333_at</t>
  </si>
  <si>
    <t>ALS2CL</t>
  </si>
  <si>
    <t>201294_s_at</t>
  </si>
  <si>
    <t>209086_x_at</t>
  </si>
  <si>
    <t>210513_s_at</t>
  </si>
  <si>
    <t>VEGFA</t>
  </si>
  <si>
    <t>203918_at</t>
  </si>
  <si>
    <t>PCDH1</t>
  </si>
  <si>
    <t>215687_x_at</t>
  </si>
  <si>
    <t>217485_x_at</t>
  </si>
  <si>
    <t>214963_at</t>
  </si>
  <si>
    <t>NUP160</t>
  </si>
  <si>
    <t>203782_s_at</t>
  </si>
  <si>
    <t>213638_at</t>
  </si>
  <si>
    <t>PHACTR1</t>
  </si>
  <si>
    <t>217182_at</t>
  </si>
  <si>
    <t>218765_at</t>
  </si>
  <si>
    <t>221029_s_at</t>
  </si>
  <si>
    <t>WNT5B</t>
  </si>
  <si>
    <t>65588_at</t>
  </si>
  <si>
    <t>LOC388796</t>
  </si>
  <si>
    <t>217272_s_at</t>
  </si>
  <si>
    <t>SERPINB13</t>
  </si>
  <si>
    <t>210603_at</t>
  </si>
  <si>
    <t>ARD1B</t>
  </si>
  <si>
    <t>206827_s_at</t>
  </si>
  <si>
    <t>TRPV6</t>
  </si>
  <si>
    <t>221283_at</t>
  </si>
  <si>
    <t>RUNX2</t>
  </si>
  <si>
    <t>215588_x_at</t>
  </si>
  <si>
    <t>209764_at</t>
  </si>
  <si>
    <t>216331_at</t>
  </si>
  <si>
    <t>ITGA7</t>
  </si>
  <si>
    <t>206360_s_at</t>
  </si>
  <si>
    <t>SOCS3</t>
  </si>
  <si>
    <t>202663_at</t>
  </si>
  <si>
    <t>201020_at</t>
  </si>
  <si>
    <t>YWHAH</t>
  </si>
  <si>
    <t>201137_s_at</t>
  </si>
  <si>
    <t>HLA-DPB1</t>
  </si>
  <si>
    <t>204593_s_at</t>
  </si>
  <si>
    <t>SMCR7L</t>
  </si>
  <si>
    <t>202316_x_at</t>
  </si>
  <si>
    <t>UBE4B</t>
  </si>
  <si>
    <t>204158_s_at</t>
  </si>
  <si>
    <t>TCIRG1</t>
  </si>
  <si>
    <t>218238_at</t>
  </si>
  <si>
    <t>217212_s_at</t>
  </si>
  <si>
    <t>201156_s_at</t>
  </si>
  <si>
    <t>204766_s_at</t>
  </si>
  <si>
    <t>NUDT1</t>
  </si>
  <si>
    <t>217937_s_at</t>
  </si>
  <si>
    <t>HDAC7</t>
  </si>
  <si>
    <t>221123_x_at</t>
  </si>
  <si>
    <t>222114_x_at</t>
  </si>
  <si>
    <t>205887_x_at</t>
  </si>
  <si>
    <t>MSH3</t>
  </si>
  <si>
    <t>210849_s_at</t>
  </si>
  <si>
    <t>VPS41</t>
  </si>
  <si>
    <t>212220_at</t>
  </si>
  <si>
    <t>201782_s_at</t>
  </si>
  <si>
    <t>210810_s_at</t>
  </si>
  <si>
    <t>SLC6A5</t>
  </si>
  <si>
    <t>203669_s_at</t>
  </si>
  <si>
    <t>DGAT1</t>
  </si>
  <si>
    <t>204384_at</t>
  </si>
  <si>
    <t>204880_at</t>
  </si>
  <si>
    <t>MGMT</t>
  </si>
  <si>
    <t>209959_at</t>
  </si>
  <si>
    <t>207616_s_at</t>
  </si>
  <si>
    <t>TANK</t>
  </si>
  <si>
    <t>207000_s_at</t>
  </si>
  <si>
    <t>64883_at</t>
  </si>
  <si>
    <t>210762_s_at</t>
  </si>
  <si>
    <t>DLC1</t>
  </si>
  <si>
    <t>212655_at</t>
  </si>
  <si>
    <t>ZCCHC14</t>
  </si>
  <si>
    <t>221255_s_at</t>
  </si>
  <si>
    <t>TMEM93</t>
  </si>
  <si>
    <t>205100_at</t>
  </si>
  <si>
    <t>GFPT2</t>
  </si>
  <si>
    <t>215533_s_at</t>
  </si>
  <si>
    <t>46142_at</t>
  </si>
  <si>
    <t>201703_s_at</t>
  </si>
  <si>
    <t>PPP1R10</t>
  </si>
  <si>
    <t>218852_at</t>
  </si>
  <si>
    <t>PPP2R3C</t>
  </si>
  <si>
    <t>218036_x_at</t>
  </si>
  <si>
    <t>NMD3</t>
  </si>
  <si>
    <t>219748_at</t>
  </si>
  <si>
    <t>TREML2</t>
  </si>
  <si>
    <t>217251_x_at</t>
  </si>
  <si>
    <t>220818_s_at</t>
  </si>
  <si>
    <t>TRPC4</t>
  </si>
  <si>
    <t>213194_at</t>
  </si>
  <si>
    <t>ROBO1</t>
  </si>
  <si>
    <t>221819_at</t>
  </si>
  <si>
    <t>RAB35</t>
  </si>
  <si>
    <t>213046_at</t>
  </si>
  <si>
    <t>PABPN1</t>
  </si>
  <si>
    <t>217993_s_at</t>
  </si>
  <si>
    <t>MAT2B</t>
  </si>
  <si>
    <t>214102_at</t>
  </si>
  <si>
    <t>206851_at</t>
  </si>
  <si>
    <t>RNASE3</t>
  </si>
  <si>
    <t>220709_at</t>
  </si>
  <si>
    <t>ZNF556</t>
  </si>
  <si>
    <t>200016_x_at</t>
  </si>
  <si>
    <t>201263_at</t>
  </si>
  <si>
    <t>TARS</t>
  </si>
  <si>
    <t>210162_s_at</t>
  </si>
  <si>
    <t>210506_at</t>
  </si>
  <si>
    <t>FUT7</t>
  </si>
  <si>
    <t>210954_s_at</t>
  </si>
  <si>
    <t>214794_at</t>
  </si>
  <si>
    <t>217919_s_at</t>
  </si>
  <si>
    <t>MRPL42</t>
  </si>
  <si>
    <t>220987_s_at</t>
  </si>
  <si>
    <t>C11orf17 /// NUAK2</t>
  </si>
  <si>
    <t>201183_s_at</t>
  </si>
  <si>
    <t>208072_s_at</t>
  </si>
  <si>
    <t>DGKD</t>
  </si>
  <si>
    <t>209025_s_at</t>
  </si>
  <si>
    <t>205313_at</t>
  </si>
  <si>
    <t>205451_at</t>
  </si>
  <si>
    <t>FOXO4</t>
  </si>
  <si>
    <t>208136_s_at</t>
  </si>
  <si>
    <t>MGC3771</t>
  </si>
  <si>
    <t>216128_at</t>
  </si>
  <si>
    <t>210740_s_at</t>
  </si>
  <si>
    <t>ITPK1</t>
  </si>
  <si>
    <t>202460_s_at</t>
  </si>
  <si>
    <t>LPIN2</t>
  </si>
  <si>
    <t>215789_s_at</t>
  </si>
  <si>
    <t>203270_at</t>
  </si>
  <si>
    <t>DTYMK</t>
  </si>
  <si>
    <t>205353_s_at</t>
  </si>
  <si>
    <t>PEBP1</t>
  </si>
  <si>
    <t>204214_s_at</t>
  </si>
  <si>
    <t>RAB32</t>
  </si>
  <si>
    <t>206177_s_at</t>
  </si>
  <si>
    <t>ARG1</t>
  </si>
  <si>
    <t>219223_at</t>
  </si>
  <si>
    <t>214186_s_at</t>
  </si>
  <si>
    <t>HCG26</t>
  </si>
  <si>
    <t>220966_x_at</t>
  </si>
  <si>
    <t>ARPC5L</t>
  </si>
  <si>
    <t>214235_at</t>
  </si>
  <si>
    <t>CYP3A5</t>
  </si>
  <si>
    <t>219578_s_at</t>
  </si>
  <si>
    <t>CPEB1</t>
  </si>
  <si>
    <t>209706_at</t>
  </si>
  <si>
    <t>203168_at</t>
  </si>
  <si>
    <t>ATF6B</t>
  </si>
  <si>
    <t>218116_at</t>
  </si>
  <si>
    <t>C9orf78</t>
  </si>
  <si>
    <t>204293_at</t>
  </si>
  <si>
    <t>218026_at</t>
  </si>
  <si>
    <t>CCDC56</t>
  </si>
  <si>
    <t>203949_at</t>
  </si>
  <si>
    <t>207907_at</t>
  </si>
  <si>
    <t>TNFSF14</t>
  </si>
  <si>
    <t>208909_at</t>
  </si>
  <si>
    <t>UQCRFS1</t>
  </si>
  <si>
    <t>208955_at</t>
  </si>
  <si>
    <t>DUT</t>
  </si>
  <si>
    <t>222015_at</t>
  </si>
  <si>
    <t>CSNK1E</t>
  </si>
  <si>
    <t>207180_s_at</t>
  </si>
  <si>
    <t>212479_s_at</t>
  </si>
  <si>
    <t>215140_at</t>
  </si>
  <si>
    <t>LOC100128570</t>
  </si>
  <si>
    <t>218609_s_at</t>
  </si>
  <si>
    <t>NUDT2</t>
  </si>
  <si>
    <t>219493_at</t>
  </si>
  <si>
    <t>SHCBP1</t>
  </si>
  <si>
    <t>214443_at</t>
  </si>
  <si>
    <t>202518_at</t>
  </si>
  <si>
    <t>BCL7B</t>
  </si>
  <si>
    <t>208369_s_at</t>
  </si>
  <si>
    <t>GCDH</t>
  </si>
  <si>
    <t>220765_s_at</t>
  </si>
  <si>
    <t>LIMS2</t>
  </si>
  <si>
    <t>219520_s_at</t>
  </si>
  <si>
    <t>WWC3</t>
  </si>
  <si>
    <t>218661_at</t>
  </si>
  <si>
    <t>NAT15</t>
  </si>
  <si>
    <t>203735_x_at</t>
  </si>
  <si>
    <t>202413_s_at</t>
  </si>
  <si>
    <t>USP1</t>
  </si>
  <si>
    <t>220892_s_at</t>
  </si>
  <si>
    <t>PSAT1</t>
  </si>
  <si>
    <t>218009_s_at</t>
  </si>
  <si>
    <t>PRC1</t>
  </si>
  <si>
    <t>202160_at</t>
  </si>
  <si>
    <t>207065_at</t>
  </si>
  <si>
    <t>KRT75</t>
  </si>
  <si>
    <t>201818_at</t>
  </si>
  <si>
    <t>LPCAT1</t>
  </si>
  <si>
    <t>202428_x_at</t>
  </si>
  <si>
    <t>204701_s_at</t>
  </si>
  <si>
    <t>204785_x_at</t>
  </si>
  <si>
    <t>206258_at</t>
  </si>
  <si>
    <t>ST8SIA5</t>
  </si>
  <si>
    <t>206975_at</t>
  </si>
  <si>
    <t>LTA</t>
  </si>
  <si>
    <t>208927_at</t>
  </si>
  <si>
    <t>SPOP</t>
  </si>
  <si>
    <t>209886_s_at</t>
  </si>
  <si>
    <t>SMAD6</t>
  </si>
  <si>
    <t>213234_at</t>
  </si>
  <si>
    <t>214687_x_at</t>
  </si>
  <si>
    <t>217025_s_at</t>
  </si>
  <si>
    <t>217450_at</t>
  </si>
  <si>
    <t>210647_x_at</t>
  </si>
  <si>
    <t>217958_at</t>
  </si>
  <si>
    <t>TRAPPC4</t>
  </si>
  <si>
    <t>203786_s_at</t>
  </si>
  <si>
    <t>TPD52L1</t>
  </si>
  <si>
    <t>207320_x_at</t>
  </si>
  <si>
    <t>STAU1</t>
  </si>
  <si>
    <t>211174_s_at</t>
  </si>
  <si>
    <t>201077_s_at</t>
  </si>
  <si>
    <t>NHP2L1</t>
  </si>
  <si>
    <t>213001_at</t>
  </si>
  <si>
    <t>216832_at</t>
  </si>
  <si>
    <t>RUNX1T1</t>
  </si>
  <si>
    <t>212706_at</t>
  </si>
  <si>
    <t>LOC100286937 /// LOC100287164 /// RASA4</t>
  </si>
  <si>
    <t>205793_x_at</t>
  </si>
  <si>
    <t>209444_at</t>
  </si>
  <si>
    <t>RAP1GDS1</t>
  </si>
  <si>
    <t>212357_at</t>
  </si>
  <si>
    <t>FAM168A</t>
  </si>
  <si>
    <t>201437_s_at</t>
  </si>
  <si>
    <t>EIF4E</t>
  </si>
  <si>
    <t>40446_at</t>
  </si>
  <si>
    <t>PHF1</t>
  </si>
  <si>
    <t>201259_s_at</t>
  </si>
  <si>
    <t>201276_at</t>
  </si>
  <si>
    <t>RAB5B</t>
  </si>
  <si>
    <t>203328_x_at</t>
  </si>
  <si>
    <t>205881_at</t>
  </si>
  <si>
    <t>ZNF74</t>
  </si>
  <si>
    <t>206280_at</t>
  </si>
  <si>
    <t>CDH18</t>
  </si>
  <si>
    <t>209596_at</t>
  </si>
  <si>
    <t>MXRA5</t>
  </si>
  <si>
    <t>211426_x_at</t>
  </si>
  <si>
    <t>211862_x_at</t>
  </si>
  <si>
    <t>212345_s_at</t>
  </si>
  <si>
    <t>CREB3L2</t>
  </si>
  <si>
    <t>212994_at</t>
  </si>
  <si>
    <t>218869_at</t>
  </si>
  <si>
    <t>MLYCD</t>
  </si>
  <si>
    <t>219541_at</t>
  </si>
  <si>
    <t>LIME1</t>
  </si>
  <si>
    <t>220077_at</t>
  </si>
  <si>
    <t>CCDC134</t>
  </si>
  <si>
    <t>208488_s_at</t>
  </si>
  <si>
    <t>CR1</t>
  </si>
  <si>
    <t>206325_at</t>
  </si>
  <si>
    <t>SERPINA6</t>
  </si>
  <si>
    <t>216817_s_at</t>
  </si>
  <si>
    <t>OR2H1</t>
  </si>
  <si>
    <t>217209_at</t>
  </si>
  <si>
    <t>209678_s_at</t>
  </si>
  <si>
    <t>213390_at</t>
  </si>
  <si>
    <t>ZC3H4</t>
  </si>
  <si>
    <t>216270_at</t>
  </si>
  <si>
    <t>212295_s_at</t>
  </si>
  <si>
    <t>SLC7A1</t>
  </si>
  <si>
    <t>221432_s_at</t>
  </si>
  <si>
    <t>SLC25A28</t>
  </si>
  <si>
    <t>206926_s_at</t>
  </si>
  <si>
    <t>IL11</t>
  </si>
  <si>
    <t>207507_s_at</t>
  </si>
  <si>
    <t>ATP5G3</t>
  </si>
  <si>
    <t>210864_x_at</t>
  </si>
  <si>
    <t>213563_s_at</t>
  </si>
  <si>
    <t>218417_s_at</t>
  </si>
  <si>
    <t>221240_s_at</t>
  </si>
  <si>
    <t>B3GNT4</t>
  </si>
  <si>
    <t>203199_s_at</t>
  </si>
  <si>
    <t>MTRR</t>
  </si>
  <si>
    <t>212849_at</t>
  </si>
  <si>
    <t>AXIN1</t>
  </si>
  <si>
    <t>215277_at</t>
  </si>
  <si>
    <t>219225_at</t>
  </si>
  <si>
    <t>PGBD5</t>
  </si>
  <si>
    <t>218451_at</t>
  </si>
  <si>
    <t>CDCP1</t>
  </si>
  <si>
    <t>205648_at</t>
  </si>
  <si>
    <t>WNT2</t>
  </si>
  <si>
    <t>213419_at</t>
  </si>
  <si>
    <t>209442_x_at</t>
  </si>
  <si>
    <t>202123_s_at</t>
  </si>
  <si>
    <t>ABL1</t>
  </si>
  <si>
    <t>206714_at</t>
  </si>
  <si>
    <t>ALOX15B</t>
  </si>
  <si>
    <t>214522_x_at</t>
  </si>
  <si>
    <t>HIST1H2AD /// HIST1H3D</t>
  </si>
  <si>
    <t>203133_at</t>
  </si>
  <si>
    <t>SEC61B</t>
  </si>
  <si>
    <t>208240_s_at</t>
  </si>
  <si>
    <t>203197_s_at</t>
  </si>
  <si>
    <t>C1orf123</t>
  </si>
  <si>
    <t>205446_s_at</t>
  </si>
  <si>
    <t>ATF2</t>
  </si>
  <si>
    <t>209898_x_at</t>
  </si>
  <si>
    <t>ITSN2</t>
  </si>
  <si>
    <t>212639_x_at</t>
  </si>
  <si>
    <t>213734_at</t>
  </si>
  <si>
    <t>WSB2</t>
  </si>
  <si>
    <t>218305_at</t>
  </si>
  <si>
    <t>IPO4</t>
  </si>
  <si>
    <t>202369_s_at</t>
  </si>
  <si>
    <t>212969_x_at</t>
  </si>
  <si>
    <t>202061_s_at</t>
  </si>
  <si>
    <t>SEL1L</t>
  </si>
  <si>
    <t>218633_x_at</t>
  </si>
  <si>
    <t>ABHD10</t>
  </si>
  <si>
    <t>209365_s_at</t>
  </si>
  <si>
    <t>ECM1</t>
  </si>
  <si>
    <t>210973_s_at</t>
  </si>
  <si>
    <t>FGFR1</t>
  </si>
  <si>
    <t>213810_s_at</t>
  </si>
  <si>
    <t>LOC100292682</t>
  </si>
  <si>
    <t>208532_x_at</t>
  </si>
  <si>
    <t>KRTAP5-8</t>
  </si>
  <si>
    <t>219162_s_at</t>
  </si>
  <si>
    <t>MRPL11</t>
  </si>
  <si>
    <t>208564_at</t>
  </si>
  <si>
    <t>KCNA2</t>
  </si>
  <si>
    <t>214141_x_at</t>
  </si>
  <si>
    <t>219475_at</t>
  </si>
  <si>
    <t>OSGIN1</t>
  </si>
  <si>
    <t>204022_at</t>
  </si>
  <si>
    <t>217596_at</t>
  </si>
  <si>
    <t>UPF3A</t>
  </si>
  <si>
    <t>202281_at</t>
  </si>
  <si>
    <t>202709_at</t>
  </si>
  <si>
    <t>FMOD</t>
  </si>
  <si>
    <t>208312_s_at</t>
  </si>
  <si>
    <t>PRAMEF1 /// PRAMEF2</t>
  </si>
  <si>
    <t>212834_at</t>
  </si>
  <si>
    <t>DDX52</t>
  </si>
  <si>
    <t>215017_s_at</t>
  </si>
  <si>
    <t>FNBP1L</t>
  </si>
  <si>
    <t>216325_x_at</t>
  </si>
  <si>
    <t>221880_s_at</t>
  </si>
  <si>
    <t>FAM174B</t>
  </si>
  <si>
    <t>218825_at</t>
  </si>
  <si>
    <t>EGFL7</t>
  </si>
  <si>
    <t>206194_at</t>
  </si>
  <si>
    <t>HOXC4</t>
  </si>
  <si>
    <t>210083_at</t>
  </si>
  <si>
    <t>SEMA7A</t>
  </si>
  <si>
    <t>214507_s_at</t>
  </si>
  <si>
    <t>EXOSC2</t>
  </si>
  <si>
    <t>206320_s_at</t>
  </si>
  <si>
    <t>SMAD9</t>
  </si>
  <si>
    <t>221390_s_at</t>
  </si>
  <si>
    <t>MTMR8</t>
  </si>
  <si>
    <t>201706_s_at</t>
  </si>
  <si>
    <t>203429_s_at</t>
  </si>
  <si>
    <t>C1orf9</t>
  </si>
  <si>
    <t>215232_at</t>
  </si>
  <si>
    <t>211915_s_at</t>
  </si>
  <si>
    <t>TUBB4Q</t>
  </si>
  <si>
    <t>213988_s_at</t>
  </si>
  <si>
    <t>216521_s_at</t>
  </si>
  <si>
    <t>216540_at</t>
  </si>
  <si>
    <t>TRD@</t>
  </si>
  <si>
    <t>219899_x_at</t>
  </si>
  <si>
    <t>NDOR1</t>
  </si>
  <si>
    <t>214403_x_at</t>
  </si>
  <si>
    <t>212547_at</t>
  </si>
  <si>
    <t>BRD3</t>
  </si>
  <si>
    <t>219768_at</t>
  </si>
  <si>
    <t>VTCN1</t>
  </si>
  <si>
    <t>200969_at</t>
  </si>
  <si>
    <t>206590_x_at</t>
  </si>
  <si>
    <t>207398_at</t>
  </si>
  <si>
    <t>HOXD13</t>
  </si>
  <si>
    <t>209838_at</t>
  </si>
  <si>
    <t>211392_s_at</t>
  </si>
  <si>
    <t>217753_s_at</t>
  </si>
  <si>
    <t>RPS26</t>
  </si>
  <si>
    <t>219557_s_at</t>
  </si>
  <si>
    <t>NRIP3</t>
  </si>
  <si>
    <t>207698_at</t>
  </si>
  <si>
    <t>C6orf123</t>
  </si>
  <si>
    <t>58696_at</t>
  </si>
  <si>
    <t>EXOSC4</t>
  </si>
  <si>
    <t>200952_s_at</t>
  </si>
  <si>
    <t>212301_at</t>
  </si>
  <si>
    <t>RTF1</t>
  </si>
  <si>
    <t>220305_at</t>
  </si>
  <si>
    <t>MAVS</t>
  </si>
  <si>
    <t>221093_at</t>
  </si>
  <si>
    <t>BRD7P3</t>
  </si>
  <si>
    <t>221510_s_at</t>
  </si>
  <si>
    <t>207742_s_at</t>
  </si>
  <si>
    <t>NR6A1</t>
  </si>
  <si>
    <t>215978_x_at</t>
  </si>
  <si>
    <t>LOC152719</t>
  </si>
  <si>
    <t>208414_s_at</t>
  </si>
  <si>
    <t>HOXB3</t>
  </si>
  <si>
    <t>205664_at</t>
  </si>
  <si>
    <t>KIN</t>
  </si>
  <si>
    <t>203209_at</t>
  </si>
  <si>
    <t>RFC5</t>
  </si>
  <si>
    <t>222267_at</t>
  </si>
  <si>
    <t>TMEM209</t>
  </si>
  <si>
    <t>215028_at</t>
  </si>
  <si>
    <t>213025_at</t>
  </si>
  <si>
    <t>208111_at</t>
  </si>
  <si>
    <t>AVPR2</t>
  </si>
  <si>
    <t>212131_at</t>
  </si>
  <si>
    <t>LSM14A</t>
  </si>
  <si>
    <t>209255_at</t>
  </si>
  <si>
    <t>KLHDC10</t>
  </si>
  <si>
    <t>203933_at</t>
  </si>
  <si>
    <t>RAB11FIP3</t>
  </si>
  <si>
    <t>206337_at</t>
  </si>
  <si>
    <t>CCR7</t>
  </si>
  <si>
    <t>215905_s_at</t>
  </si>
  <si>
    <t>SNRNP40</t>
  </si>
  <si>
    <t>219329_s_at</t>
  </si>
  <si>
    <t>C2orf28</t>
  </si>
  <si>
    <t>205508_at</t>
  </si>
  <si>
    <t>SCN1B</t>
  </si>
  <si>
    <t>214459_x_at</t>
  </si>
  <si>
    <t>218487_at</t>
  </si>
  <si>
    <t>212487_at</t>
  </si>
  <si>
    <t>GPATCH8</t>
  </si>
  <si>
    <t>210280_at</t>
  </si>
  <si>
    <t>MPZ</t>
  </si>
  <si>
    <t>221246_x_at</t>
  </si>
  <si>
    <t>201482_at</t>
  </si>
  <si>
    <t>QSOX1</t>
  </si>
  <si>
    <t>210358_x_at</t>
  </si>
  <si>
    <t>209266_s_at</t>
  </si>
  <si>
    <t>202425_x_at</t>
  </si>
  <si>
    <t>201468_s_at</t>
  </si>
  <si>
    <t>202221_s_at</t>
  </si>
  <si>
    <t>EP300</t>
  </si>
  <si>
    <t>202322_s_at</t>
  </si>
  <si>
    <t>221375_at</t>
  </si>
  <si>
    <t>OR1G1</t>
  </si>
  <si>
    <t>200685_at</t>
  </si>
  <si>
    <t>201063_at</t>
  </si>
  <si>
    <t>RCN1</t>
  </si>
  <si>
    <t>205165_at</t>
  </si>
  <si>
    <t>214965_at</t>
  </si>
  <si>
    <t>SPATA2L</t>
  </si>
  <si>
    <t>203686_at</t>
  </si>
  <si>
    <t>MPG</t>
  </si>
  <si>
    <t>216964_at</t>
  </si>
  <si>
    <t>USP22</t>
  </si>
  <si>
    <t>207439_s_at</t>
  </si>
  <si>
    <t>221826_at</t>
  </si>
  <si>
    <t>ANGEL2</t>
  </si>
  <si>
    <t>207344_at</t>
  </si>
  <si>
    <t>AKAP3</t>
  </si>
  <si>
    <t>221932_s_at</t>
  </si>
  <si>
    <t>GLRX5</t>
  </si>
  <si>
    <t>212649_at</t>
  </si>
  <si>
    <t>32699_s_at</t>
  </si>
  <si>
    <t>207252_at</t>
  </si>
  <si>
    <t>INE1</t>
  </si>
  <si>
    <t>220291_at</t>
  </si>
  <si>
    <t>GDPD2</t>
  </si>
  <si>
    <t>209989_at</t>
  </si>
  <si>
    <t>ZNF268</t>
  </si>
  <si>
    <t>209049_s_at</t>
  </si>
  <si>
    <t>211830_s_at</t>
  </si>
  <si>
    <t>202882_x_at</t>
  </si>
  <si>
    <t>221699_s_at</t>
  </si>
  <si>
    <t>DDX50</t>
  </si>
  <si>
    <t>217538_at</t>
  </si>
  <si>
    <t>SGSM2</t>
  </si>
  <si>
    <t>217879_at</t>
  </si>
  <si>
    <t>CDC27</t>
  </si>
  <si>
    <t>203361_s_at</t>
  </si>
  <si>
    <t>205058_at</t>
  </si>
  <si>
    <t>SLC26A1</t>
  </si>
  <si>
    <t>43934_at</t>
  </si>
  <si>
    <t>GPR137</t>
  </si>
  <si>
    <t>202472_at</t>
  </si>
  <si>
    <t>MPI</t>
  </si>
  <si>
    <t>213939_s_at</t>
  </si>
  <si>
    <t>65086_at</t>
  </si>
  <si>
    <t>211084_x_at</t>
  </si>
  <si>
    <t>214100_x_at</t>
  </si>
  <si>
    <t>NSUN5B</t>
  </si>
  <si>
    <t>203081_at</t>
  </si>
  <si>
    <t>CTNNBIP1</t>
  </si>
  <si>
    <t>207352_s_at</t>
  </si>
  <si>
    <t>GABRB2</t>
  </si>
  <si>
    <t>207904_s_at</t>
  </si>
  <si>
    <t>LNPEP</t>
  </si>
  <si>
    <t>208863_s_at</t>
  </si>
  <si>
    <t>210234_at</t>
  </si>
  <si>
    <t>GRM4</t>
  </si>
  <si>
    <t>201802_at</t>
  </si>
  <si>
    <t>211802_x_at</t>
  </si>
  <si>
    <t>CACNA1G</t>
  </si>
  <si>
    <t>219887_at</t>
  </si>
  <si>
    <t>CCDC87</t>
  </si>
  <si>
    <t>221893_s_at</t>
  </si>
  <si>
    <t>ADCK2</t>
  </si>
  <si>
    <t>203672_x_at</t>
  </si>
  <si>
    <t>210473_s_at</t>
  </si>
  <si>
    <t>GPR125</t>
  </si>
  <si>
    <t>201421_s_at</t>
  </si>
  <si>
    <t>218794_s_at</t>
  </si>
  <si>
    <t>TXNL4B</t>
  </si>
  <si>
    <t>209163_at</t>
  </si>
  <si>
    <t>213845_at</t>
  </si>
  <si>
    <t>GRIK2</t>
  </si>
  <si>
    <t>212256_at</t>
  </si>
  <si>
    <t>207185_at</t>
  </si>
  <si>
    <t>SLC10A1</t>
  </si>
  <si>
    <t>210019_at</t>
  </si>
  <si>
    <t>CALML3</t>
  </si>
  <si>
    <t>200021_at</t>
  </si>
  <si>
    <t>CFL1</t>
  </si>
  <si>
    <t>208442_s_at</t>
  </si>
  <si>
    <t>210469_at</t>
  </si>
  <si>
    <t>203482_at</t>
  </si>
  <si>
    <t>208020_s_at</t>
  </si>
  <si>
    <t>CACNA1C</t>
  </si>
  <si>
    <t>219933_at</t>
  </si>
  <si>
    <t>GLRX2</t>
  </si>
  <si>
    <t>221929_at</t>
  </si>
  <si>
    <t>RBM12B</t>
  </si>
  <si>
    <t>217882_at</t>
  </si>
  <si>
    <t>TMEM111</t>
  </si>
  <si>
    <t>218979_at</t>
  </si>
  <si>
    <t>RMI1</t>
  </si>
  <si>
    <t>202129_s_at</t>
  </si>
  <si>
    <t>205400_at</t>
  </si>
  <si>
    <t>WAS</t>
  </si>
  <si>
    <t>213811_x_at</t>
  </si>
  <si>
    <t>214122_at</t>
  </si>
  <si>
    <t>PDLIM7</t>
  </si>
  <si>
    <t>208656_s_at</t>
  </si>
  <si>
    <t>CCNI</t>
  </si>
  <si>
    <t>205474_at</t>
  </si>
  <si>
    <t>CRLF3</t>
  </si>
  <si>
    <t>214334_x_at</t>
  </si>
  <si>
    <t>DAZAP2</t>
  </si>
  <si>
    <t>212603_at</t>
  </si>
  <si>
    <t>217872_at</t>
  </si>
  <si>
    <t>PIH1D1</t>
  </si>
  <si>
    <t>216260_at</t>
  </si>
  <si>
    <t>DICER1</t>
  </si>
  <si>
    <t>205832_at</t>
  </si>
  <si>
    <t>CPA4</t>
  </si>
  <si>
    <t>213037_x_at</t>
  </si>
  <si>
    <t>218654_s_at</t>
  </si>
  <si>
    <t>MRPS33</t>
  </si>
  <si>
    <t>204169_at</t>
  </si>
  <si>
    <t>IMPDH1</t>
  </si>
  <si>
    <t>219203_at</t>
  </si>
  <si>
    <t>FAM158A</t>
  </si>
  <si>
    <t>207200_at</t>
  </si>
  <si>
    <t>OTC</t>
  </si>
  <si>
    <t>219432_at</t>
  </si>
  <si>
    <t>212657_s_at</t>
  </si>
  <si>
    <t>215367_at</t>
  </si>
  <si>
    <t>KIAA1614</t>
  </si>
  <si>
    <t>221221_s_at</t>
  </si>
  <si>
    <t>KLHL3</t>
  </si>
  <si>
    <t>220516_at</t>
  </si>
  <si>
    <t>ZSCAN2</t>
  </si>
  <si>
    <t>202659_at</t>
  </si>
  <si>
    <t>PSMB10</t>
  </si>
  <si>
    <t>200011_s_at</t>
  </si>
  <si>
    <t>212511_at</t>
  </si>
  <si>
    <t>200893_at</t>
  </si>
  <si>
    <t>212177_at</t>
  </si>
  <si>
    <t>211665_s_at</t>
  </si>
  <si>
    <t>214515_at</t>
  </si>
  <si>
    <t>OR1E1</t>
  </si>
  <si>
    <t>220762_s_at</t>
  </si>
  <si>
    <t>GNB1L</t>
  </si>
  <si>
    <t>208325_s_at</t>
  </si>
  <si>
    <t>221601_s_at</t>
  </si>
  <si>
    <t>FAIM3</t>
  </si>
  <si>
    <t>219739_at</t>
  </si>
  <si>
    <t>RNF186</t>
  </si>
  <si>
    <t>221957_at</t>
  </si>
  <si>
    <t>203029_s_at</t>
  </si>
  <si>
    <t>212696_s_at</t>
  </si>
  <si>
    <t>RNF4</t>
  </si>
  <si>
    <t>220917_s_at</t>
  </si>
  <si>
    <t>WDR19</t>
  </si>
  <si>
    <t>221594_at</t>
  </si>
  <si>
    <t>221007_s_at</t>
  </si>
  <si>
    <t>FIP1L1</t>
  </si>
  <si>
    <t>201868_s_at</t>
  </si>
  <si>
    <t>213478_at</t>
  </si>
  <si>
    <t>RP1-21O18.1</t>
  </si>
  <si>
    <t>206917_at</t>
  </si>
  <si>
    <t>GNA13</t>
  </si>
  <si>
    <t>217878_s_at</t>
  </si>
  <si>
    <t>213182_x_at</t>
  </si>
  <si>
    <t>CDKN1C</t>
  </si>
  <si>
    <t>215111_s_at</t>
  </si>
  <si>
    <t>TSC22D1</t>
  </si>
  <si>
    <t>203970_s_at</t>
  </si>
  <si>
    <t>203137_at</t>
  </si>
  <si>
    <t>WTAP</t>
  </si>
  <si>
    <t>221010_s_at</t>
  </si>
  <si>
    <t>218318_s_at</t>
  </si>
  <si>
    <t>NLK</t>
  </si>
  <si>
    <t>215050_x_at</t>
  </si>
  <si>
    <t>204549_at</t>
  </si>
  <si>
    <t>204982_at</t>
  </si>
  <si>
    <t>GIT2</t>
  </si>
  <si>
    <t>213044_at</t>
  </si>
  <si>
    <t>ROCK1</t>
  </si>
  <si>
    <t>214312_at</t>
  </si>
  <si>
    <t>FOXA2</t>
  </si>
  <si>
    <t>208879_x_at</t>
  </si>
  <si>
    <t>203332_s_at</t>
  </si>
  <si>
    <t>INPP5D</t>
  </si>
  <si>
    <t>219745_at</t>
  </si>
  <si>
    <t>TMEM180</t>
  </si>
  <si>
    <t>202474_s_at</t>
  </si>
  <si>
    <t>206586_at</t>
  </si>
  <si>
    <t>CNR2</t>
  </si>
  <si>
    <t>218504_at</t>
  </si>
  <si>
    <t>FAHD2A</t>
  </si>
  <si>
    <t>211749_s_at</t>
  </si>
  <si>
    <t>218547_at</t>
  </si>
  <si>
    <t>DHDDS</t>
  </si>
  <si>
    <t>202915_s_at</t>
  </si>
  <si>
    <t>212189_s_at</t>
  </si>
  <si>
    <t>COG4</t>
  </si>
  <si>
    <t>209696_at</t>
  </si>
  <si>
    <t>FBP1</t>
  </si>
  <si>
    <t>209490_s_at</t>
  </si>
  <si>
    <t>PPT2</t>
  </si>
  <si>
    <t>202812_at</t>
  </si>
  <si>
    <t>GAA</t>
  </si>
  <si>
    <t>204240_s_at</t>
  </si>
  <si>
    <t>213069_at</t>
  </si>
  <si>
    <t>219426_at</t>
  </si>
  <si>
    <t>EIF2C3</t>
  </si>
  <si>
    <t>201052_s_at</t>
  </si>
  <si>
    <t>PSMF1</t>
  </si>
  <si>
    <t>217717_s_at</t>
  </si>
  <si>
    <t>206725_x_at</t>
  </si>
  <si>
    <t>213391_at</t>
  </si>
  <si>
    <t>DPY19L4</t>
  </si>
  <si>
    <t>78047_s_at</t>
  </si>
  <si>
    <t>LOC729580</t>
  </si>
  <si>
    <t>212014_x_at</t>
  </si>
  <si>
    <t>36936_at</t>
  </si>
  <si>
    <t>208116_s_at</t>
  </si>
  <si>
    <t>214440_at</t>
  </si>
  <si>
    <t>NAT1</t>
  </si>
  <si>
    <t>201360_at</t>
  </si>
  <si>
    <t>CST3</t>
  </si>
  <si>
    <t>202223_at</t>
  </si>
  <si>
    <t>STT3A</t>
  </si>
  <si>
    <t>204610_s_at</t>
  </si>
  <si>
    <t>204819_at</t>
  </si>
  <si>
    <t>FGD1</t>
  </si>
  <si>
    <t>208764_s_at</t>
  </si>
  <si>
    <t>ATP5G2</t>
  </si>
  <si>
    <t>212432_at</t>
  </si>
  <si>
    <t>214581_x_at</t>
  </si>
  <si>
    <t>214701_s_at</t>
  </si>
  <si>
    <t>215239_x_at</t>
  </si>
  <si>
    <t>ZNF273</t>
  </si>
  <si>
    <t>216649_at</t>
  </si>
  <si>
    <t>LOC100288758</t>
  </si>
  <si>
    <t>217934_x_at</t>
  </si>
  <si>
    <t>STUB1</t>
  </si>
  <si>
    <t>220439_at</t>
  </si>
  <si>
    <t>221273_s_at</t>
  </si>
  <si>
    <t>RNF208</t>
  </si>
  <si>
    <t>202079_s_at</t>
  </si>
  <si>
    <t>213121_at</t>
  </si>
  <si>
    <t>212109_at</t>
  </si>
  <si>
    <t>200674_s_at</t>
  </si>
  <si>
    <t>RPL32</t>
  </si>
  <si>
    <t>207312_at</t>
  </si>
  <si>
    <t>PHKG1</t>
  </si>
  <si>
    <t>221959_at</t>
  </si>
  <si>
    <t>FAM110B</t>
  </si>
  <si>
    <t>203202_at</t>
  </si>
  <si>
    <t>204874_x_at</t>
  </si>
  <si>
    <t>213311_s_at</t>
  </si>
  <si>
    <t>201213_at</t>
  </si>
  <si>
    <t>202928_s_at</t>
  </si>
  <si>
    <t>213052_at</t>
  </si>
  <si>
    <t>218789_s_at</t>
  </si>
  <si>
    <t>C11orf71</t>
  </si>
  <si>
    <t>214960_at</t>
  </si>
  <si>
    <t>215775_at</t>
  </si>
  <si>
    <t>220068_at</t>
  </si>
  <si>
    <t>VPREB3</t>
  </si>
  <si>
    <t>221841_s_at</t>
  </si>
  <si>
    <t>KLF4</t>
  </si>
  <si>
    <t>207611_at</t>
  </si>
  <si>
    <t>HIST1H2BL</t>
  </si>
  <si>
    <t>201090_x_at</t>
  </si>
  <si>
    <t>206323_x_at</t>
  </si>
  <si>
    <t>OPHN1</t>
  </si>
  <si>
    <t>35265_at</t>
  </si>
  <si>
    <t>FXR2</t>
  </si>
  <si>
    <t>212764_at</t>
  </si>
  <si>
    <t>208686_s_at</t>
  </si>
  <si>
    <t>BRD2</t>
  </si>
  <si>
    <t>211578_s_at</t>
  </si>
  <si>
    <t>212463_at</t>
  </si>
  <si>
    <t>CD59</t>
  </si>
  <si>
    <t>212021_s_at</t>
  </si>
  <si>
    <t>219009_at</t>
  </si>
  <si>
    <t>C14orf93</t>
  </si>
  <si>
    <t>213245_at</t>
  </si>
  <si>
    <t>ADCY1</t>
  </si>
  <si>
    <t>208036_at</t>
  </si>
  <si>
    <t>OPN1SW</t>
  </si>
  <si>
    <t>207310_s_at</t>
  </si>
  <si>
    <t>213310_at</t>
  </si>
  <si>
    <t>EIF2C2</t>
  </si>
  <si>
    <t>206452_x_at</t>
  </si>
  <si>
    <t>211771_s_at</t>
  </si>
  <si>
    <t>POU2F2</t>
  </si>
  <si>
    <t>221376_at</t>
  </si>
  <si>
    <t>FGF17</t>
  </si>
  <si>
    <t>219021_at</t>
  </si>
  <si>
    <t>RNF121</t>
  </si>
  <si>
    <t>44696_at</t>
  </si>
  <si>
    <t>TBC1D13</t>
  </si>
  <si>
    <t>208286_x_at</t>
  </si>
  <si>
    <t>POU5F1 /// POU5F1B /// POU5F1P3 /// POU5F1P4</t>
  </si>
  <si>
    <t>214662_at</t>
  </si>
  <si>
    <t>WDR43</t>
  </si>
  <si>
    <t>217726_at</t>
  </si>
  <si>
    <t>COPZ1</t>
  </si>
  <si>
    <t>206429_at</t>
  </si>
  <si>
    <t>F2RL1</t>
  </si>
  <si>
    <t>203023_at</t>
  </si>
  <si>
    <t>210975_x_at</t>
  </si>
  <si>
    <t>FASTK</t>
  </si>
  <si>
    <t>203022_at</t>
  </si>
  <si>
    <t>RNASEH2A</t>
  </si>
  <si>
    <t>205744_at</t>
  </si>
  <si>
    <t>DOC2A</t>
  </si>
  <si>
    <t>208034_s_at</t>
  </si>
  <si>
    <t>PROZ</t>
  </si>
  <si>
    <t>209583_s_at</t>
  </si>
  <si>
    <t>CD200</t>
  </si>
  <si>
    <t>216563_at</t>
  </si>
  <si>
    <t>208168_s_at</t>
  </si>
  <si>
    <t>CHIT1</t>
  </si>
  <si>
    <t>215499_at</t>
  </si>
  <si>
    <t>206763_at</t>
  </si>
  <si>
    <t>FKBP6</t>
  </si>
  <si>
    <t>64064_at</t>
  </si>
  <si>
    <t>201895_at</t>
  </si>
  <si>
    <t>ARAF</t>
  </si>
  <si>
    <t>204357_s_at</t>
  </si>
  <si>
    <t>LIMK1</t>
  </si>
  <si>
    <t>208112_x_at</t>
  </si>
  <si>
    <t>217430_x_at</t>
  </si>
  <si>
    <t>202115_s_at</t>
  </si>
  <si>
    <t>NOC2L</t>
  </si>
  <si>
    <t>210363_s_at</t>
  </si>
  <si>
    <t>218130_at</t>
  </si>
  <si>
    <t>C17orf62</t>
  </si>
  <si>
    <t>219812_at</t>
  </si>
  <si>
    <t>PVRIG</t>
  </si>
  <si>
    <t>220774_at</t>
  </si>
  <si>
    <t>DYM</t>
  </si>
  <si>
    <t>221011_s_at</t>
  </si>
  <si>
    <t>LBH</t>
  </si>
  <si>
    <t>208179_x_at</t>
  </si>
  <si>
    <t>KIR2DL3</t>
  </si>
  <si>
    <t>216048_s_at</t>
  </si>
  <si>
    <t>202048_s_at</t>
  </si>
  <si>
    <t>CBX6</t>
  </si>
  <si>
    <t>204318_s_at</t>
  </si>
  <si>
    <t>217856_at</t>
  </si>
  <si>
    <t>210225_x_at</t>
  </si>
  <si>
    <t>202921_s_at</t>
  </si>
  <si>
    <t>ANK2</t>
  </si>
  <si>
    <t>207047_s_at</t>
  </si>
  <si>
    <t>CLCNKA /// CLCNKB</t>
  </si>
  <si>
    <t>209258_s_at</t>
  </si>
  <si>
    <t>209852_x_at</t>
  </si>
  <si>
    <t>220545_s_at</t>
  </si>
  <si>
    <t>TSKS</t>
  </si>
  <si>
    <t>220980_s_at</t>
  </si>
  <si>
    <t>ADPGK</t>
  </si>
  <si>
    <t>201465_s_at</t>
  </si>
  <si>
    <t>JUN</t>
  </si>
  <si>
    <t>202698_x_at</t>
  </si>
  <si>
    <t>219757_s_at</t>
  </si>
  <si>
    <t>C14orf101</t>
  </si>
  <si>
    <t>200724_at</t>
  </si>
  <si>
    <t>218081_at</t>
  </si>
  <si>
    <t>C20orf27</t>
  </si>
  <si>
    <t>219694_at</t>
  </si>
  <si>
    <t>FAM105A</t>
  </si>
  <si>
    <t>205311_at</t>
  </si>
  <si>
    <t>DDC</t>
  </si>
  <si>
    <t>205697_at</t>
  </si>
  <si>
    <t>SCGN</t>
  </si>
  <si>
    <t>219847_at</t>
  </si>
  <si>
    <t>HDAC11</t>
  </si>
  <si>
    <t>200877_at</t>
  </si>
  <si>
    <t>CCT4</t>
  </si>
  <si>
    <t>216373_at</t>
  </si>
  <si>
    <t>202039_at</t>
  </si>
  <si>
    <t>MYO18A /// TIAF1</t>
  </si>
  <si>
    <t>207760_s_at</t>
  </si>
  <si>
    <t>210133_at</t>
  </si>
  <si>
    <t>CCL11</t>
  </si>
  <si>
    <t>213883_s_at</t>
  </si>
  <si>
    <t>215003_at</t>
  </si>
  <si>
    <t>DGCR9</t>
  </si>
  <si>
    <t>221298_s_at</t>
  </si>
  <si>
    <t>SLC22A8</t>
  </si>
  <si>
    <t>213223_at</t>
  </si>
  <si>
    <t>RPL28</t>
  </si>
  <si>
    <t>202540_s_at</t>
  </si>
  <si>
    <t>HMGCR</t>
  </si>
  <si>
    <t>206643_at</t>
  </si>
  <si>
    <t>HAL</t>
  </si>
  <si>
    <t>206754_s_at</t>
  </si>
  <si>
    <t>CYP2B6 /// CYP2B7P1</t>
  </si>
  <si>
    <t>206937_at</t>
  </si>
  <si>
    <t>SPTA1</t>
  </si>
  <si>
    <t>211364_at</t>
  </si>
  <si>
    <t>MTAP</t>
  </si>
  <si>
    <t>218530_at</t>
  </si>
  <si>
    <t>FHOD1</t>
  </si>
  <si>
    <t>201430_s_at</t>
  </si>
  <si>
    <t>208897_s_at</t>
  </si>
  <si>
    <t>214276_at</t>
  </si>
  <si>
    <t>208697_s_at</t>
  </si>
  <si>
    <t>EIF3E</t>
  </si>
  <si>
    <t>211015_s_at</t>
  </si>
  <si>
    <t>205520_at</t>
  </si>
  <si>
    <t>STRN</t>
  </si>
  <si>
    <t>215267_s_at</t>
  </si>
  <si>
    <t>SLC8A2</t>
  </si>
  <si>
    <t>220063_at</t>
  </si>
  <si>
    <t>GSTCD</t>
  </si>
  <si>
    <t>213579_s_at</t>
  </si>
  <si>
    <t>206501_x_at</t>
  </si>
  <si>
    <t>202068_s_at</t>
  </si>
  <si>
    <t>210374_x_at</t>
  </si>
  <si>
    <t>207670_at</t>
  </si>
  <si>
    <t>KRT85</t>
  </si>
  <si>
    <t>212917_x_at</t>
  </si>
  <si>
    <t>RECQL</t>
  </si>
  <si>
    <t>211385_x_at</t>
  </si>
  <si>
    <t>209739_s_at</t>
  </si>
  <si>
    <t>220825_s_at</t>
  </si>
  <si>
    <t>KIRREL</t>
  </si>
  <si>
    <t>209414_at</t>
  </si>
  <si>
    <t>216885_s_at</t>
  </si>
  <si>
    <t>DCAF8</t>
  </si>
  <si>
    <t>201524_x_at</t>
  </si>
  <si>
    <t>201758_at</t>
  </si>
  <si>
    <t>TSG101</t>
  </si>
  <si>
    <t>220745_at</t>
  </si>
  <si>
    <t>IL19</t>
  </si>
  <si>
    <t>201925_s_at</t>
  </si>
  <si>
    <t>CD55</t>
  </si>
  <si>
    <t>218475_at</t>
  </si>
  <si>
    <t>TRMT2A</t>
  </si>
  <si>
    <t>207515_s_at</t>
  </si>
  <si>
    <t>208507_at</t>
  </si>
  <si>
    <t>OR7C2</t>
  </si>
  <si>
    <t>213530_at</t>
  </si>
  <si>
    <t>RAB3GAP1</t>
  </si>
  <si>
    <t>218424_s_at</t>
  </si>
  <si>
    <t>STEAP3</t>
  </si>
  <si>
    <t>201692_at</t>
  </si>
  <si>
    <t>SIGMAR1</t>
  </si>
  <si>
    <t>202827_s_at</t>
  </si>
  <si>
    <t>204203_at</t>
  </si>
  <si>
    <t>CEBPG</t>
  </si>
  <si>
    <t>206101_at</t>
  </si>
  <si>
    <t>ECM2</t>
  </si>
  <si>
    <t>208226_x_at</t>
  </si>
  <si>
    <t>212963_at</t>
  </si>
  <si>
    <t>213191_at</t>
  </si>
  <si>
    <t>TICAM1</t>
  </si>
  <si>
    <t>213572_s_at</t>
  </si>
  <si>
    <t>204207_s_at</t>
  </si>
  <si>
    <t>RNGTT</t>
  </si>
  <si>
    <t>205124_at</t>
  </si>
  <si>
    <t>LOC729991-MEF2B /// MEF2B</t>
  </si>
  <si>
    <t>209805_at</t>
  </si>
  <si>
    <t>PMS2 /// PMS2CL</t>
  </si>
  <si>
    <t>211866_x_at</t>
  </si>
  <si>
    <t>208555_x_at</t>
  </si>
  <si>
    <t>CST2</t>
  </si>
  <si>
    <t>209580_s_at</t>
  </si>
  <si>
    <t>MBD4</t>
  </si>
  <si>
    <t>217427_s_at</t>
  </si>
  <si>
    <t>HIRA</t>
  </si>
  <si>
    <t>204759_at</t>
  </si>
  <si>
    <t>RCBTB2</t>
  </si>
  <si>
    <t>205731_s_at</t>
  </si>
  <si>
    <t>NCOA2</t>
  </si>
  <si>
    <t>219031_s_at</t>
  </si>
  <si>
    <t>NIP7</t>
  </si>
  <si>
    <t>220446_s_at</t>
  </si>
  <si>
    <t>CHST4</t>
  </si>
  <si>
    <t>204063_s_at</t>
  </si>
  <si>
    <t>ULK2</t>
  </si>
  <si>
    <t>203214_x_at</t>
  </si>
  <si>
    <t>CDC2</t>
  </si>
  <si>
    <t>205398_s_at</t>
  </si>
  <si>
    <t>201425_at</t>
  </si>
  <si>
    <t>ALDH2</t>
  </si>
  <si>
    <t>202275_at</t>
  </si>
  <si>
    <t>G6PD</t>
  </si>
  <si>
    <t>203632_s_at</t>
  </si>
  <si>
    <t>GPRC5B</t>
  </si>
  <si>
    <t>209976_s_at</t>
  </si>
  <si>
    <t>CYP2E1</t>
  </si>
  <si>
    <t>218861_at</t>
  </si>
  <si>
    <t>RNF25</t>
  </si>
  <si>
    <t>219467_at</t>
  </si>
  <si>
    <t>GIN1</t>
  </si>
  <si>
    <t>222056_s_at</t>
  </si>
  <si>
    <t>213851_at</t>
  </si>
  <si>
    <t>TMEM110</t>
  </si>
  <si>
    <t>208704_x_at</t>
  </si>
  <si>
    <t>207400_at</t>
  </si>
  <si>
    <t>NPY5R</t>
  </si>
  <si>
    <t>205632_s_at</t>
  </si>
  <si>
    <t>PIP5K1B</t>
  </si>
  <si>
    <t>214128_at</t>
  </si>
  <si>
    <t>DAGLA</t>
  </si>
  <si>
    <t>34858_at</t>
  </si>
  <si>
    <t>KCTD2</t>
  </si>
  <si>
    <t>201073_s_at</t>
  </si>
  <si>
    <t>SMARCC1</t>
  </si>
  <si>
    <t>203581_at</t>
  </si>
  <si>
    <t>RAB4A</t>
  </si>
  <si>
    <t>211851_x_at</t>
  </si>
  <si>
    <t>201105_at</t>
  </si>
  <si>
    <t>LGALS1</t>
  </si>
  <si>
    <t>216320_x_at</t>
  </si>
  <si>
    <t>MST1</t>
  </si>
  <si>
    <t>218307_at</t>
  </si>
  <si>
    <t>RSAD1</t>
  </si>
  <si>
    <t>203193_at</t>
  </si>
  <si>
    <t>202266_at</t>
  </si>
  <si>
    <t>TTRAP</t>
  </si>
  <si>
    <t>214646_at</t>
  </si>
  <si>
    <t>HIST1H3J</t>
  </si>
  <si>
    <t>205087_at</t>
  </si>
  <si>
    <t>RWDD3</t>
  </si>
  <si>
    <t>217979_at</t>
  </si>
  <si>
    <t>TSPAN13</t>
  </si>
  <si>
    <t>209439_s_at</t>
  </si>
  <si>
    <t>PHKA2</t>
  </si>
  <si>
    <t>218915_at</t>
  </si>
  <si>
    <t>NF2</t>
  </si>
  <si>
    <t>209623_at</t>
  </si>
  <si>
    <t>MCCC2</t>
  </si>
  <si>
    <t>213807_x_at</t>
  </si>
  <si>
    <t>218645_at</t>
  </si>
  <si>
    <t>396_f_at</t>
  </si>
  <si>
    <t>213614_x_at</t>
  </si>
  <si>
    <t>EEF1A1</t>
  </si>
  <si>
    <t>218574_s_at</t>
  </si>
  <si>
    <t>LMCD1</t>
  </si>
  <si>
    <t>214731_at</t>
  </si>
  <si>
    <t>CTTNBP2NL</t>
  </si>
  <si>
    <t>204221_x_at</t>
  </si>
  <si>
    <t>211531_x_at</t>
  </si>
  <si>
    <t>PRB1 /// PRB2</t>
  </si>
  <si>
    <t>217831_s_at</t>
  </si>
  <si>
    <t>216336_x_at</t>
  </si>
  <si>
    <t>MT1E /// MT1H /// MT1M</t>
  </si>
  <si>
    <t>208823_s_at</t>
  </si>
  <si>
    <t>PCTK1</t>
  </si>
  <si>
    <t>202897_at</t>
  </si>
  <si>
    <t>206511_s_at</t>
  </si>
  <si>
    <t>SIX2</t>
  </si>
  <si>
    <t>215600_x_at</t>
  </si>
  <si>
    <t>FBXW12</t>
  </si>
  <si>
    <t>213581_at</t>
  </si>
  <si>
    <t>205382_s_at</t>
  </si>
  <si>
    <t>CFD</t>
  </si>
  <si>
    <t>209257_s_at</t>
  </si>
  <si>
    <t>214511_x_at</t>
  </si>
  <si>
    <t>FCGR1B</t>
  </si>
  <si>
    <t>217058_at</t>
  </si>
  <si>
    <t>209154_at</t>
  </si>
  <si>
    <t>201897_s_at</t>
  </si>
  <si>
    <t>CKS1B</t>
  </si>
  <si>
    <t>200605_s_at</t>
  </si>
  <si>
    <t>205455_at</t>
  </si>
  <si>
    <t>MST1R</t>
  </si>
  <si>
    <t>202103_at</t>
  </si>
  <si>
    <t>BRD4</t>
  </si>
  <si>
    <t>202676_x_at</t>
  </si>
  <si>
    <t>209217_s_at</t>
  </si>
  <si>
    <t>214490_at</t>
  </si>
  <si>
    <t>ARSF</t>
  </si>
  <si>
    <t>212497_at</t>
  </si>
  <si>
    <t>221966_at</t>
  </si>
  <si>
    <t>215238_s_at</t>
  </si>
  <si>
    <t>213261_at</t>
  </si>
  <si>
    <t>LBA1</t>
  </si>
  <si>
    <t>219231_at</t>
  </si>
  <si>
    <t>TGS1</t>
  </si>
  <si>
    <t>209043_at</t>
  </si>
  <si>
    <t>PAPSS1</t>
  </si>
  <si>
    <t>213293_s_at</t>
  </si>
  <si>
    <t>TRIM22</t>
  </si>
  <si>
    <t>201982_s_at</t>
  </si>
  <si>
    <t>PAPPA</t>
  </si>
  <si>
    <t>207040_s_at</t>
  </si>
  <si>
    <t>220478_at</t>
  </si>
  <si>
    <t>APOL5</t>
  </si>
  <si>
    <t>210763_x_at</t>
  </si>
  <si>
    <t>208966_x_at</t>
  </si>
  <si>
    <t>204489_s_at</t>
  </si>
  <si>
    <t>219236_at</t>
  </si>
  <si>
    <t>PAQR6</t>
  </si>
  <si>
    <t>214042_s_at</t>
  </si>
  <si>
    <t>219359_at</t>
  </si>
  <si>
    <t>ATHL1</t>
  </si>
  <si>
    <t>209823_x_at</t>
  </si>
  <si>
    <t>HLA-DQB1</t>
  </si>
  <si>
    <t>212247_at</t>
  </si>
  <si>
    <t>NUP205</t>
  </si>
  <si>
    <t>212767_at</t>
  </si>
  <si>
    <t>MTG1</t>
  </si>
  <si>
    <t>202823_at</t>
  </si>
  <si>
    <t>TCEB1</t>
  </si>
  <si>
    <t>204449_at</t>
  </si>
  <si>
    <t>212904_at</t>
  </si>
  <si>
    <t>LRRC47</t>
  </si>
  <si>
    <t>208104_s_at</t>
  </si>
  <si>
    <t>TSC22D4</t>
  </si>
  <si>
    <t>212428_at</t>
  </si>
  <si>
    <t>KIAA0368</t>
  </si>
  <si>
    <t>204154_at</t>
  </si>
  <si>
    <t>CDO1</t>
  </si>
  <si>
    <t>208639_x_at</t>
  </si>
  <si>
    <t>205114_s_at</t>
  </si>
  <si>
    <t>CCL3 /// CCL3L1 /// CCL3L3</t>
  </si>
  <si>
    <t>211339_s_at</t>
  </si>
  <si>
    <t>ITK</t>
  </si>
  <si>
    <t>207061_at</t>
  </si>
  <si>
    <t>ERN1</t>
  </si>
  <si>
    <t>55705_at</t>
  </si>
  <si>
    <t>203192_at</t>
  </si>
  <si>
    <t>ABCB6</t>
  </si>
  <si>
    <t>204177_s_at</t>
  </si>
  <si>
    <t>204213_at</t>
  </si>
  <si>
    <t>PIGR</t>
  </si>
  <si>
    <t>209352_s_at</t>
  </si>
  <si>
    <t>SIN3B</t>
  </si>
  <si>
    <t>214489_at</t>
  </si>
  <si>
    <t>FSHB</t>
  </si>
  <si>
    <t>219332_at</t>
  </si>
  <si>
    <t>MICALL2</t>
  </si>
  <si>
    <t>206128_at</t>
  </si>
  <si>
    <t>ADRA2C</t>
  </si>
  <si>
    <t>219793_at</t>
  </si>
  <si>
    <t>SNX16</t>
  </si>
  <si>
    <t>220029_at</t>
  </si>
  <si>
    <t>ELOVL2</t>
  </si>
  <si>
    <t>202222_s_at</t>
  </si>
  <si>
    <t>DES</t>
  </si>
  <si>
    <t>217700_at</t>
  </si>
  <si>
    <t>CNPY4</t>
  </si>
  <si>
    <t>219675_s_at</t>
  </si>
  <si>
    <t>UXS1</t>
  </si>
  <si>
    <t>212277_at</t>
  </si>
  <si>
    <t>46270_at</t>
  </si>
  <si>
    <t>216137_s_at</t>
  </si>
  <si>
    <t>220634_at</t>
  </si>
  <si>
    <t>TBX4</t>
  </si>
  <si>
    <t>38157_at</t>
  </si>
  <si>
    <t>210545_at</t>
  </si>
  <si>
    <t>200780_x_at</t>
  </si>
  <si>
    <t>220142_at</t>
  </si>
  <si>
    <t>HAPLN2</t>
  </si>
  <si>
    <t>209224_s_at</t>
  </si>
  <si>
    <t>NDUFA2</t>
  </si>
  <si>
    <t>211295_x_at</t>
  </si>
  <si>
    <t>211573_x_at</t>
  </si>
  <si>
    <t>216194_s_at</t>
  </si>
  <si>
    <t>TBCB</t>
  </si>
  <si>
    <t>221871_s_at</t>
  </si>
  <si>
    <t>221404_at</t>
  </si>
  <si>
    <t>IL1F6</t>
  </si>
  <si>
    <t>202456_s_at</t>
  </si>
  <si>
    <t>ZER1</t>
  </si>
  <si>
    <t>209708_at</t>
  </si>
  <si>
    <t>MOXD1</t>
  </si>
  <si>
    <t>215253_s_at</t>
  </si>
  <si>
    <t>203460_s_at</t>
  </si>
  <si>
    <t>PSEN1</t>
  </si>
  <si>
    <t>205853_at</t>
  </si>
  <si>
    <t>ZBTB7B</t>
  </si>
  <si>
    <t>209716_at</t>
  </si>
  <si>
    <t>CSF1</t>
  </si>
  <si>
    <t>211529_x_at</t>
  </si>
  <si>
    <t>HLA-G</t>
  </si>
  <si>
    <t>206004_at</t>
  </si>
  <si>
    <t>TGM3</t>
  </si>
  <si>
    <t>216412_x_at</t>
  </si>
  <si>
    <t>IGL@ /// LOC100290557</t>
  </si>
  <si>
    <t>209271_at</t>
  </si>
  <si>
    <t>210037_s_at</t>
  </si>
  <si>
    <t>NOS2</t>
  </si>
  <si>
    <t>200826_at</t>
  </si>
  <si>
    <t>SNRPD2</t>
  </si>
  <si>
    <t>212396_s_at</t>
  </si>
  <si>
    <t>212596_s_at</t>
  </si>
  <si>
    <t>HMGXB4</t>
  </si>
  <si>
    <t>214437_s_at</t>
  </si>
  <si>
    <t>204495_s_at</t>
  </si>
  <si>
    <t>210189_at</t>
  </si>
  <si>
    <t>HSPA1L</t>
  </si>
  <si>
    <t>206778_at</t>
  </si>
  <si>
    <t>CRYBB2</t>
  </si>
  <si>
    <t>207504_at</t>
  </si>
  <si>
    <t>CA7</t>
  </si>
  <si>
    <t>215633_x_at</t>
  </si>
  <si>
    <t>219709_x_at</t>
  </si>
  <si>
    <t>FAM173A</t>
  </si>
  <si>
    <t>210784_x_at</t>
  </si>
  <si>
    <t>221180_at</t>
  </si>
  <si>
    <t>YSK4</t>
  </si>
  <si>
    <t>45526_g_at</t>
  </si>
  <si>
    <t>200781_s_at</t>
  </si>
  <si>
    <t>RPS15A</t>
  </si>
  <si>
    <t>202051_s_at</t>
  </si>
  <si>
    <t>ZMYM4</t>
  </si>
  <si>
    <t>202728_s_at</t>
  </si>
  <si>
    <t>LTBP1</t>
  </si>
  <si>
    <t>206990_at</t>
  </si>
  <si>
    <t>TNR</t>
  </si>
  <si>
    <t>208475_at</t>
  </si>
  <si>
    <t>FRMD4A</t>
  </si>
  <si>
    <t>209635_at</t>
  </si>
  <si>
    <t>AP1S1</t>
  </si>
  <si>
    <t>211725_s_at</t>
  </si>
  <si>
    <t>208987_s_at</t>
  </si>
  <si>
    <t>210131_x_at</t>
  </si>
  <si>
    <t>213286_at</t>
  </si>
  <si>
    <t>ZFR</t>
  </si>
  <si>
    <t>221718_s_at</t>
  </si>
  <si>
    <t>208241_at</t>
  </si>
  <si>
    <t>203090_at</t>
  </si>
  <si>
    <t>SDF2</t>
  </si>
  <si>
    <t>201347_x_at</t>
  </si>
  <si>
    <t>214311_at</t>
  </si>
  <si>
    <t>ZFPL1</t>
  </si>
  <si>
    <t>214625_s_at</t>
  </si>
  <si>
    <t>217631_at</t>
  </si>
  <si>
    <t>GTPBP4 /// IDI2</t>
  </si>
  <si>
    <t>56829_at</t>
  </si>
  <si>
    <t>TRAPPC9</t>
  </si>
  <si>
    <t>207144_s_at</t>
  </si>
  <si>
    <t>CITED1</t>
  </si>
  <si>
    <t>207862_at</t>
  </si>
  <si>
    <t>UPK2</t>
  </si>
  <si>
    <t>209251_x_at</t>
  </si>
  <si>
    <t>TUBA1C</t>
  </si>
  <si>
    <t>211839_s_at</t>
  </si>
  <si>
    <t>215070_x_at</t>
  </si>
  <si>
    <t>RABGAP1</t>
  </si>
  <si>
    <t>219053_s_at</t>
  </si>
  <si>
    <t>VPS37C</t>
  </si>
  <si>
    <t>200027_at</t>
  </si>
  <si>
    <t>NARS</t>
  </si>
  <si>
    <t>204439_at</t>
  </si>
  <si>
    <t>IFI44L</t>
  </si>
  <si>
    <t>209941_at</t>
  </si>
  <si>
    <t>RIPK1</t>
  </si>
  <si>
    <t>210279_at</t>
  </si>
  <si>
    <t>GPR18</t>
  </si>
  <si>
    <t>212167_s_at</t>
  </si>
  <si>
    <t>SMARCB1</t>
  </si>
  <si>
    <t>212899_at</t>
  </si>
  <si>
    <t>CDC2L6</t>
  </si>
  <si>
    <t>217518_at</t>
  </si>
  <si>
    <t>MYOF</t>
  </si>
  <si>
    <t>219102_at</t>
  </si>
  <si>
    <t>RCN3</t>
  </si>
  <si>
    <t>203630_s_at</t>
  </si>
  <si>
    <t>COG5</t>
  </si>
  <si>
    <t>205795_at</t>
  </si>
  <si>
    <t>208530_s_at</t>
  </si>
  <si>
    <t>212820_at</t>
  </si>
  <si>
    <t>DMXL2</t>
  </si>
  <si>
    <t>220135_s_at</t>
  </si>
  <si>
    <t>SLC7A9</t>
  </si>
  <si>
    <t>211111_at</t>
  </si>
  <si>
    <t>HGC6.3</t>
  </si>
  <si>
    <t>213431_x_at</t>
  </si>
  <si>
    <t>214817_at</t>
  </si>
  <si>
    <t>UNC13A</t>
  </si>
  <si>
    <t>205392_s_at</t>
  </si>
  <si>
    <t>CCL14 /// CCL14-CCL15 /// CCL15</t>
  </si>
  <si>
    <t>204356_at</t>
  </si>
  <si>
    <t>220404_at</t>
  </si>
  <si>
    <t>GPR97</t>
  </si>
  <si>
    <t>217106_x_at</t>
  </si>
  <si>
    <t>219258_at</t>
  </si>
  <si>
    <t>TIPIN</t>
  </si>
  <si>
    <t>202203_s_at</t>
  </si>
  <si>
    <t>AMFR</t>
  </si>
  <si>
    <t>208944_at</t>
  </si>
  <si>
    <t>TGFBR2</t>
  </si>
  <si>
    <t>212914_at</t>
  </si>
  <si>
    <t>CBX7</t>
  </si>
  <si>
    <t>222217_s_at</t>
  </si>
  <si>
    <t>SLC27A3</t>
  </si>
  <si>
    <t>207484_s_at</t>
  </si>
  <si>
    <t>203112_s_at</t>
  </si>
  <si>
    <t>204097_s_at</t>
  </si>
  <si>
    <t>205415_s_at</t>
  </si>
  <si>
    <t>ATXN3</t>
  </si>
  <si>
    <t>213468_at</t>
  </si>
  <si>
    <t>ERCC2</t>
  </si>
  <si>
    <t>204291_at</t>
  </si>
  <si>
    <t>ZNF518A</t>
  </si>
  <si>
    <t>206637_at</t>
  </si>
  <si>
    <t>P2RY14</t>
  </si>
  <si>
    <t>56919_at</t>
  </si>
  <si>
    <t>218139_s_at</t>
  </si>
  <si>
    <t>MUDENG</t>
  </si>
  <si>
    <t>209193_at</t>
  </si>
  <si>
    <t>PIM1</t>
  </si>
  <si>
    <t>215125_s_at</t>
  </si>
  <si>
    <t>216257_at</t>
  </si>
  <si>
    <t>218220_at</t>
  </si>
  <si>
    <t>C12orf10</t>
  </si>
  <si>
    <t>219589_s_at</t>
  </si>
  <si>
    <t>TMEM143</t>
  </si>
  <si>
    <t>207637_at</t>
  </si>
  <si>
    <t>WSCD2</t>
  </si>
  <si>
    <t>213248_at</t>
  </si>
  <si>
    <t>LOC730101</t>
  </si>
  <si>
    <t>204138_s_at</t>
  </si>
  <si>
    <t>212228_s_at</t>
  </si>
  <si>
    <t>COQ9</t>
  </si>
  <si>
    <t>202504_at</t>
  </si>
  <si>
    <t>TRIM29</t>
  </si>
  <si>
    <t>218443_s_at</t>
  </si>
  <si>
    <t>DAZAP1</t>
  </si>
  <si>
    <t>204572_s_at</t>
  </si>
  <si>
    <t>205090_s_at</t>
  </si>
  <si>
    <t>NAGPA</t>
  </si>
  <si>
    <t>204529_s_at</t>
  </si>
  <si>
    <t>TOX</t>
  </si>
  <si>
    <t>203436_at</t>
  </si>
  <si>
    <t>RPP30</t>
  </si>
  <si>
    <t>203944_x_at</t>
  </si>
  <si>
    <t>204262_s_at</t>
  </si>
  <si>
    <t>212710_at</t>
  </si>
  <si>
    <t>212488_at</t>
  </si>
  <si>
    <t>213768_s_at</t>
  </si>
  <si>
    <t>ASCL1</t>
  </si>
  <si>
    <t>218844_at</t>
  </si>
  <si>
    <t>ACSF2</t>
  </si>
  <si>
    <t>203508_at</t>
  </si>
  <si>
    <t>TNFRSF1B</t>
  </si>
  <si>
    <t>218486_at</t>
  </si>
  <si>
    <t>KLF11</t>
  </si>
  <si>
    <t>202488_s_at</t>
  </si>
  <si>
    <t>209033_s_at</t>
  </si>
  <si>
    <t>212852_s_at</t>
  </si>
  <si>
    <t>57539_at</t>
  </si>
  <si>
    <t>ZGPAT</t>
  </si>
  <si>
    <t>219729_at</t>
  </si>
  <si>
    <t>PRRX2</t>
  </si>
  <si>
    <t>201798_s_at</t>
  </si>
  <si>
    <t>211026_s_at</t>
  </si>
  <si>
    <t>MGLL</t>
  </si>
  <si>
    <t>217442_at</t>
  </si>
  <si>
    <t>LOC100131825</t>
  </si>
  <si>
    <t>202409_at</t>
  </si>
  <si>
    <t>207153_s_at</t>
  </si>
  <si>
    <t>GLMN</t>
  </si>
  <si>
    <t>217141_at</t>
  </si>
  <si>
    <t>BTBD7</t>
  </si>
  <si>
    <t>207356_at</t>
  </si>
  <si>
    <t>DEFB4</t>
  </si>
  <si>
    <t>213453_x_at</t>
  </si>
  <si>
    <t>GAPDH</t>
  </si>
  <si>
    <t>213647_at</t>
  </si>
  <si>
    <t>DNA2</t>
  </si>
  <si>
    <t>214261_s_at</t>
  </si>
  <si>
    <t>ADH6</t>
  </si>
  <si>
    <t>39249_at</t>
  </si>
  <si>
    <t>207631_at</t>
  </si>
  <si>
    <t>NBR2</t>
  </si>
  <si>
    <t>221402_at</t>
  </si>
  <si>
    <t>OR1F1</t>
  </si>
  <si>
    <t>200088_x_at</t>
  </si>
  <si>
    <t>RPL12</t>
  </si>
  <si>
    <t>214108_at</t>
  </si>
  <si>
    <t>215827_x_at</t>
  </si>
  <si>
    <t>CROCCL2</t>
  </si>
  <si>
    <t>208737_at</t>
  </si>
  <si>
    <t>ATP6V1G1</t>
  </si>
  <si>
    <t>218087_s_at</t>
  </si>
  <si>
    <t>SORBS1</t>
  </si>
  <si>
    <t>221150_at</t>
  </si>
  <si>
    <t>MEPE</t>
  </si>
  <si>
    <t>202449_s_at</t>
  </si>
  <si>
    <t>207301_at</t>
  </si>
  <si>
    <t>EFNA5</t>
  </si>
  <si>
    <t>205411_at</t>
  </si>
  <si>
    <t>STK4</t>
  </si>
  <si>
    <t>202218_s_at</t>
  </si>
  <si>
    <t>FADS2</t>
  </si>
  <si>
    <t>205262_at</t>
  </si>
  <si>
    <t>KCNH2</t>
  </si>
  <si>
    <t>207086_x_at</t>
  </si>
  <si>
    <t>GAGE1 /// GAGE12C /// GAGE12D /// GAGE12E /// GAGE12F /// GAGE12G /// GAGE12H /// GAGE12I /// GAGE12</t>
  </si>
  <si>
    <t>207613_s_at</t>
  </si>
  <si>
    <t>208354_s_at</t>
  </si>
  <si>
    <t>SLC12A3</t>
  </si>
  <si>
    <t>209099_x_at</t>
  </si>
  <si>
    <t>JAG1</t>
  </si>
  <si>
    <t>210582_s_at</t>
  </si>
  <si>
    <t>LIMK2</t>
  </si>
  <si>
    <t>218398_at</t>
  </si>
  <si>
    <t>MRPS30</t>
  </si>
  <si>
    <t>218620_s_at</t>
  </si>
  <si>
    <t>218873_at</t>
  </si>
  <si>
    <t>GON4L</t>
  </si>
  <si>
    <t>201785_at</t>
  </si>
  <si>
    <t>RNASE1</t>
  </si>
  <si>
    <t>207814_at</t>
  </si>
  <si>
    <t>DEFA6</t>
  </si>
  <si>
    <t>211729_x_at</t>
  </si>
  <si>
    <t>218877_s_at</t>
  </si>
  <si>
    <t>TRMT11</t>
  </si>
  <si>
    <t>217047_s_at</t>
  </si>
  <si>
    <t>204649_at</t>
  </si>
  <si>
    <t>TROAP</t>
  </si>
  <si>
    <t>207163_s_at</t>
  </si>
  <si>
    <t>AKT1</t>
  </si>
  <si>
    <t>202988_s_at</t>
  </si>
  <si>
    <t>204468_s_at</t>
  </si>
  <si>
    <t>TIE1</t>
  </si>
  <si>
    <t>207803_s_at</t>
  </si>
  <si>
    <t>CSN3</t>
  </si>
  <si>
    <t>213921_at</t>
  </si>
  <si>
    <t>SST</t>
  </si>
  <si>
    <t>221812_at</t>
  </si>
  <si>
    <t>201701_s_at</t>
  </si>
  <si>
    <t>200629_at</t>
  </si>
  <si>
    <t>WARS</t>
  </si>
  <si>
    <t>211314_at</t>
  </si>
  <si>
    <t>205586_x_at</t>
  </si>
  <si>
    <t>VGF</t>
  </si>
  <si>
    <t>218945_at</t>
  </si>
  <si>
    <t>C16orf68</t>
  </si>
  <si>
    <t>219892_at</t>
  </si>
  <si>
    <t>TM6SF1</t>
  </si>
  <si>
    <t>202139_at</t>
  </si>
  <si>
    <t>204481_at</t>
  </si>
  <si>
    <t>BRPF1</t>
  </si>
  <si>
    <t>219112_at</t>
  </si>
  <si>
    <t>RAPGEF6</t>
  </si>
  <si>
    <t>218193_s_at</t>
  </si>
  <si>
    <t>GOLT1B</t>
  </si>
  <si>
    <t>218828_at</t>
  </si>
  <si>
    <t>PLSCR3</t>
  </si>
  <si>
    <t>205079_s_at</t>
  </si>
  <si>
    <t>MPDZ</t>
  </si>
  <si>
    <t>210797_s_at</t>
  </si>
  <si>
    <t>203104_at</t>
  </si>
  <si>
    <t>CSF1R</t>
  </si>
  <si>
    <t>212253_x_at</t>
  </si>
  <si>
    <t>217295_at</t>
  </si>
  <si>
    <t>MUC8</t>
  </si>
  <si>
    <t>208559_at</t>
  </si>
  <si>
    <t>214698_at</t>
  </si>
  <si>
    <t>ROD1</t>
  </si>
  <si>
    <t>221423_s_at</t>
  </si>
  <si>
    <t>YIPF5</t>
  </si>
  <si>
    <t>203092_at</t>
  </si>
  <si>
    <t>TIMM44</t>
  </si>
  <si>
    <t>203593_at</t>
  </si>
  <si>
    <t>CD2AP</t>
  </si>
  <si>
    <t>207306_at</t>
  </si>
  <si>
    <t>TCF15</t>
  </si>
  <si>
    <t>211994_at</t>
  </si>
  <si>
    <t>WNK1</t>
  </si>
  <si>
    <t>220476_s_at</t>
  </si>
  <si>
    <t>C1orf183</t>
  </si>
  <si>
    <t>220831_at</t>
  </si>
  <si>
    <t>GCNT4</t>
  </si>
  <si>
    <t>200855_at</t>
  </si>
  <si>
    <t>217397_at</t>
  </si>
  <si>
    <t>218063_s_at</t>
  </si>
  <si>
    <t>220947_s_at</t>
  </si>
  <si>
    <t>TBC1D10B</t>
  </si>
  <si>
    <t>211072_x_at</t>
  </si>
  <si>
    <t>202944_at</t>
  </si>
  <si>
    <t>207687_at</t>
  </si>
  <si>
    <t>INHBC</t>
  </si>
  <si>
    <t>206212_at</t>
  </si>
  <si>
    <t>CPA2</t>
  </si>
  <si>
    <t>201104_x_at</t>
  </si>
  <si>
    <t>NBPF10 /// NBPF11 /// NBPF12 /// NBPF14 /// NBPF15 /// NBPF16 /// NBPF20 /// NBPF8 /// RP11-94I2.2</t>
  </si>
  <si>
    <t>222105_s_at</t>
  </si>
  <si>
    <t>NKIRAS2</t>
  </si>
  <si>
    <t>200723_s_at</t>
  </si>
  <si>
    <t>213432_at</t>
  </si>
  <si>
    <t>MUC5B</t>
  </si>
  <si>
    <t>206046_at</t>
  </si>
  <si>
    <t>ADAM23</t>
  </si>
  <si>
    <t>212556_at</t>
  </si>
  <si>
    <t>SCRIB</t>
  </si>
  <si>
    <t>212693_at</t>
  </si>
  <si>
    <t>MDN1</t>
  </si>
  <si>
    <t>211558_s_at</t>
  </si>
  <si>
    <t>221536_s_at</t>
  </si>
  <si>
    <t>LSG1</t>
  </si>
  <si>
    <t>204738_s_at</t>
  </si>
  <si>
    <t>KRIT1</t>
  </si>
  <si>
    <t>208891_at</t>
  </si>
  <si>
    <t>209705_at</t>
  </si>
  <si>
    <t>218331_s_at</t>
  </si>
  <si>
    <t>C10orf18</t>
  </si>
  <si>
    <t>220365_at</t>
  </si>
  <si>
    <t>ALLC</t>
  </si>
  <si>
    <t>201239_s_at</t>
  </si>
  <si>
    <t>206308_at</t>
  </si>
  <si>
    <t>TRDMT1</t>
  </si>
  <si>
    <t>208629_s_at</t>
  </si>
  <si>
    <t>220886_at</t>
  </si>
  <si>
    <t>GABRQ</t>
  </si>
  <si>
    <t>200709_at</t>
  </si>
  <si>
    <t>210710_at</t>
  </si>
  <si>
    <t>219500_at</t>
  </si>
  <si>
    <t>CLCF1</t>
  </si>
  <si>
    <t>200083_at</t>
  </si>
  <si>
    <t>215680_at</t>
  </si>
  <si>
    <t>KIAA1654</t>
  </si>
  <si>
    <t>205575_at</t>
  </si>
  <si>
    <t>C1QL1</t>
  </si>
  <si>
    <t>213073_at</t>
  </si>
  <si>
    <t>201553_s_at</t>
  </si>
  <si>
    <t>213323_s_at</t>
  </si>
  <si>
    <t>214767_s_at</t>
  </si>
  <si>
    <t>HSPB6</t>
  </si>
  <si>
    <t>221062_at</t>
  </si>
  <si>
    <t>HS3ST3B1</t>
  </si>
  <si>
    <t>209920_at</t>
  </si>
  <si>
    <t>218217_at</t>
  </si>
  <si>
    <t>SCPEP1</t>
  </si>
  <si>
    <t>203665_at</t>
  </si>
  <si>
    <t>HMOX1</t>
  </si>
  <si>
    <t>210829_s_at</t>
  </si>
  <si>
    <t>SSBP2</t>
  </si>
  <si>
    <t>32042_at</t>
  </si>
  <si>
    <t>211318_s_at</t>
  </si>
  <si>
    <t>221554_at</t>
  </si>
  <si>
    <t>STRADA</t>
  </si>
  <si>
    <t>205577_at</t>
  </si>
  <si>
    <t>PYGM</t>
  </si>
  <si>
    <t>210795_s_at</t>
  </si>
  <si>
    <t>LOC100130955</t>
  </si>
  <si>
    <t>216960_s_at</t>
  </si>
  <si>
    <t>218425_at</t>
  </si>
  <si>
    <t>211328_x_at</t>
  </si>
  <si>
    <t>212507_at</t>
  </si>
  <si>
    <t>TMEM131</t>
  </si>
  <si>
    <t>212333_at</t>
  </si>
  <si>
    <t>FAM98A</t>
  </si>
  <si>
    <t>217192_s_at</t>
  </si>
  <si>
    <t>PRDM1</t>
  </si>
  <si>
    <t>220685_at</t>
  </si>
  <si>
    <t>FAM120C</t>
  </si>
  <si>
    <t>202036_s_at</t>
  </si>
  <si>
    <t>205293_x_at</t>
  </si>
  <si>
    <t>211135_x_at</t>
  </si>
  <si>
    <t>LILRB3</t>
  </si>
  <si>
    <t>208012_x_at</t>
  </si>
  <si>
    <t>SP110</t>
  </si>
  <si>
    <t>211924_s_at</t>
  </si>
  <si>
    <t>219956_at</t>
  </si>
  <si>
    <t>GALNT6</t>
  </si>
  <si>
    <t>202017_at</t>
  </si>
  <si>
    <t>EPHX1</t>
  </si>
  <si>
    <t>216302_at</t>
  </si>
  <si>
    <t>HNRNPC /// HNRNPCL1 /// LOC440563 /// LOC649330</t>
  </si>
  <si>
    <t>208473_s_at</t>
  </si>
  <si>
    <t>33148_at</t>
  </si>
  <si>
    <t>202194_at</t>
  </si>
  <si>
    <t>203146_s_at</t>
  </si>
  <si>
    <t>GABBR1</t>
  </si>
  <si>
    <t>206520_x_at</t>
  </si>
  <si>
    <t>SIGLEC6</t>
  </si>
  <si>
    <t>208830_s_at</t>
  </si>
  <si>
    <t>SUPT6H</t>
  </si>
  <si>
    <t>212539_at</t>
  </si>
  <si>
    <t>CHD1L</t>
  </si>
  <si>
    <t>221555_x_at</t>
  </si>
  <si>
    <t>CDC14B</t>
  </si>
  <si>
    <t>205370_x_at</t>
  </si>
  <si>
    <t>DBT</t>
  </si>
  <si>
    <t>215840_at</t>
  </si>
  <si>
    <t>DNAH2</t>
  </si>
  <si>
    <t>213291_s_at</t>
  </si>
  <si>
    <t>210905_x_at</t>
  </si>
  <si>
    <t>POU5F1P4</t>
  </si>
  <si>
    <t>203719_at</t>
  </si>
  <si>
    <t>ERCC1</t>
  </si>
  <si>
    <t>208299_at</t>
  </si>
  <si>
    <t>211873_s_at</t>
  </si>
  <si>
    <t>PCDHGA9</t>
  </si>
  <si>
    <t>215138_s_at</t>
  </si>
  <si>
    <t>218874_s_at</t>
  </si>
  <si>
    <t>C6orf134</t>
  </si>
  <si>
    <t>200824_at</t>
  </si>
  <si>
    <t>GSTP1</t>
  </si>
  <si>
    <t>206578_at</t>
  </si>
  <si>
    <t>NKX2-5</t>
  </si>
  <si>
    <t>201358_s_at</t>
  </si>
  <si>
    <t>217981_s_at</t>
  </si>
  <si>
    <t>FXC1</t>
  </si>
  <si>
    <t>216600_x_at</t>
  </si>
  <si>
    <t>64438_at</t>
  </si>
  <si>
    <t>200799_at</t>
  </si>
  <si>
    <t>HSPA1A</t>
  </si>
  <si>
    <t>205394_at</t>
  </si>
  <si>
    <t>CHEK1</t>
  </si>
  <si>
    <t>210020_x_at</t>
  </si>
  <si>
    <t>210951_x_at</t>
  </si>
  <si>
    <t>215544_s_at</t>
  </si>
  <si>
    <t>217042_at</t>
  </si>
  <si>
    <t>218688_at</t>
  </si>
  <si>
    <t>DAK</t>
  </si>
  <si>
    <t>219621_at</t>
  </si>
  <si>
    <t>CLSPN</t>
  </si>
  <si>
    <t>205854_at</t>
  </si>
  <si>
    <t>219094_at</t>
  </si>
  <si>
    <t>ARMC8</t>
  </si>
  <si>
    <t>218721_s_at</t>
  </si>
  <si>
    <t>C1orf27</t>
  </si>
  <si>
    <t>215863_at</t>
  </si>
  <si>
    <t>217756_x_at</t>
  </si>
  <si>
    <t>SERF2</t>
  </si>
  <si>
    <t>219060_at</t>
  </si>
  <si>
    <t>WDYHV1</t>
  </si>
  <si>
    <t>203815_at</t>
  </si>
  <si>
    <t>GSTT1</t>
  </si>
  <si>
    <t>203879_at</t>
  </si>
  <si>
    <t>210912_x_at</t>
  </si>
  <si>
    <t>GSTM4</t>
  </si>
  <si>
    <t>209307_at</t>
  </si>
  <si>
    <t>205384_at</t>
  </si>
  <si>
    <t>FXYD1</t>
  </si>
  <si>
    <t>201322_at</t>
  </si>
  <si>
    <t>ATP5B</t>
  </si>
  <si>
    <t>205490_x_at</t>
  </si>
  <si>
    <t>GJB3</t>
  </si>
  <si>
    <t>208659_at</t>
  </si>
  <si>
    <t>CLIC1</t>
  </si>
  <si>
    <t>213627_at</t>
  </si>
  <si>
    <t>210288_at</t>
  </si>
  <si>
    <t>KLRG1</t>
  </si>
  <si>
    <t>201815_s_at</t>
  </si>
  <si>
    <t>209868_s_at</t>
  </si>
  <si>
    <t>74694_s_at</t>
  </si>
  <si>
    <t>206209_s_at</t>
  </si>
  <si>
    <t>CA4</t>
  </si>
  <si>
    <t>201922_at</t>
  </si>
  <si>
    <t>TINP1</t>
  </si>
  <si>
    <t>221082_s_at</t>
  </si>
  <si>
    <t>203589_s_at</t>
  </si>
  <si>
    <t>212868_x_at</t>
  </si>
  <si>
    <t>208786_s_at</t>
  </si>
  <si>
    <t>MAP1LC3B</t>
  </si>
  <si>
    <t>220417_s_at</t>
  </si>
  <si>
    <t>THAP4</t>
  </si>
  <si>
    <t>211720_x_at</t>
  </si>
  <si>
    <t>RPLP0</t>
  </si>
  <si>
    <t>213404_s_at</t>
  </si>
  <si>
    <t>213708_s_at</t>
  </si>
  <si>
    <t>MLX</t>
  </si>
  <si>
    <t>203122_at</t>
  </si>
  <si>
    <t>TTC15</t>
  </si>
  <si>
    <t>203013_at</t>
  </si>
  <si>
    <t>ECD</t>
  </si>
  <si>
    <t>214095_at</t>
  </si>
  <si>
    <t>215826_x_at</t>
  </si>
  <si>
    <t>ZNF835</t>
  </si>
  <si>
    <t>218448_at</t>
  </si>
  <si>
    <t>C20orf11</t>
  </si>
  <si>
    <t>218465_at</t>
  </si>
  <si>
    <t>TMEM33</t>
  </si>
  <si>
    <t>211577_s_at</t>
  </si>
  <si>
    <t>208613_s_at</t>
  </si>
  <si>
    <t>206014_at</t>
  </si>
  <si>
    <t>ACTL6B</t>
  </si>
  <si>
    <t>220148_at</t>
  </si>
  <si>
    <t>ALDH8A1</t>
  </si>
  <si>
    <t>212760_at</t>
  </si>
  <si>
    <t>UBR2</t>
  </si>
  <si>
    <t>220378_at</t>
  </si>
  <si>
    <t>TCP11</t>
  </si>
  <si>
    <t>206196_s_at</t>
  </si>
  <si>
    <t>209112_at</t>
  </si>
  <si>
    <t>CDKN1B</t>
  </si>
  <si>
    <t>212089_at</t>
  </si>
  <si>
    <t>LMNA</t>
  </si>
  <si>
    <t>210874_s_at</t>
  </si>
  <si>
    <t>NAT6</t>
  </si>
  <si>
    <t>214324_at</t>
  </si>
  <si>
    <t>210958_s_at</t>
  </si>
  <si>
    <t>207573_x_at</t>
  </si>
  <si>
    <t>ATP5L</t>
  </si>
  <si>
    <t>211240_x_at</t>
  </si>
  <si>
    <t>208314_at</t>
  </si>
  <si>
    <t>RRH</t>
  </si>
  <si>
    <t>213177_at</t>
  </si>
  <si>
    <t>208227_x_at</t>
  </si>
  <si>
    <t>210229_s_at</t>
  </si>
  <si>
    <t>CSF2</t>
  </si>
  <si>
    <t>221047_s_at</t>
  </si>
  <si>
    <t>MARK1</t>
  </si>
  <si>
    <t>202885_s_at</t>
  </si>
  <si>
    <t>212329_at</t>
  </si>
  <si>
    <t>SCAP</t>
  </si>
  <si>
    <t>207625_s_at</t>
  </si>
  <si>
    <t>217912_at</t>
  </si>
  <si>
    <t>DUS1L</t>
  </si>
  <si>
    <t>204289_at</t>
  </si>
  <si>
    <t>218154_at</t>
  </si>
  <si>
    <t>GSDMD</t>
  </si>
  <si>
    <t>220864_s_at</t>
  </si>
  <si>
    <t>NDUFA13</t>
  </si>
  <si>
    <t>219696_at</t>
  </si>
  <si>
    <t>DENND1B</t>
  </si>
  <si>
    <t>212713_at</t>
  </si>
  <si>
    <t>MFAP4</t>
  </si>
  <si>
    <t>216117_at</t>
  </si>
  <si>
    <t>205629_s_at</t>
  </si>
  <si>
    <t>CRH</t>
  </si>
  <si>
    <t>201858_s_at</t>
  </si>
  <si>
    <t>SRGN</t>
  </si>
  <si>
    <t>211552_s_at</t>
  </si>
  <si>
    <t>211894_x_at</t>
  </si>
  <si>
    <t>205407_at</t>
  </si>
  <si>
    <t>207028_at</t>
  </si>
  <si>
    <t>MYCNOS</t>
  </si>
  <si>
    <t>209203_s_at</t>
  </si>
  <si>
    <t>209963_s_at</t>
  </si>
  <si>
    <t>214290_s_at</t>
  </si>
  <si>
    <t>HIST2H2AA3 /// HIST2H2AA4</t>
  </si>
  <si>
    <t>121_at</t>
  </si>
  <si>
    <t>213696_s_at</t>
  </si>
  <si>
    <t>33579_i_at</t>
  </si>
  <si>
    <t>GALR3</t>
  </si>
  <si>
    <t>212912_at</t>
  </si>
  <si>
    <t>219946_x_at</t>
  </si>
  <si>
    <t>MYH14</t>
  </si>
  <si>
    <t>220137_at</t>
  </si>
  <si>
    <t>FLJ20674</t>
  </si>
  <si>
    <t>203631_s_at</t>
  </si>
  <si>
    <t>209604_s_at</t>
  </si>
  <si>
    <t>GATA3</t>
  </si>
  <si>
    <t>215223_s_at</t>
  </si>
  <si>
    <t>206949_s_at</t>
  </si>
  <si>
    <t>RUSC1</t>
  </si>
  <si>
    <t>202586_at</t>
  </si>
  <si>
    <t>202313_at</t>
  </si>
  <si>
    <t>PPP2R2A</t>
  </si>
  <si>
    <t>201068_s_at</t>
  </si>
  <si>
    <t>214281_s_at</t>
  </si>
  <si>
    <t>RCHY1</t>
  </si>
  <si>
    <t>218253_s_at</t>
  </si>
  <si>
    <t>LGTN</t>
  </si>
  <si>
    <t>219697_at</t>
  </si>
  <si>
    <t>HS3ST2</t>
  </si>
  <si>
    <t>201605_x_at</t>
  </si>
  <si>
    <t>CNN2</t>
  </si>
  <si>
    <t>216001_at</t>
  </si>
  <si>
    <t>PRAMEF12</t>
  </si>
  <si>
    <t>209815_at</t>
  </si>
  <si>
    <t>PTCH1</t>
  </si>
  <si>
    <t>218624_s_at</t>
  </si>
  <si>
    <t>MGC2752</t>
  </si>
  <si>
    <t>206111_at</t>
  </si>
  <si>
    <t>RNASE2</t>
  </si>
  <si>
    <t>215427_s_at</t>
  </si>
  <si>
    <t>217276_x_at</t>
  </si>
  <si>
    <t>221447_s_at</t>
  </si>
  <si>
    <t>GLT8D2</t>
  </si>
  <si>
    <t>206762_at</t>
  </si>
  <si>
    <t>KCNA5</t>
  </si>
  <si>
    <t>214354_x_at</t>
  </si>
  <si>
    <t>204139_x_at</t>
  </si>
  <si>
    <t>205877_s_at</t>
  </si>
  <si>
    <t>209461_x_at</t>
  </si>
  <si>
    <t>WDR18</t>
  </si>
  <si>
    <t>206036_s_at</t>
  </si>
  <si>
    <t>214105_at</t>
  </si>
  <si>
    <t>208079_s_at</t>
  </si>
  <si>
    <t>AURKA</t>
  </si>
  <si>
    <t>218538_s_at</t>
  </si>
  <si>
    <t>220449_at</t>
  </si>
  <si>
    <t>MGC5566</t>
  </si>
  <si>
    <t>212108_at</t>
  </si>
  <si>
    <t>FAF2</t>
  </si>
  <si>
    <t>208797_s_at</t>
  </si>
  <si>
    <t>212079_s_at</t>
  </si>
  <si>
    <t>220826_at</t>
  </si>
  <si>
    <t>TCP10L</t>
  </si>
  <si>
    <t>217421_at</t>
  </si>
  <si>
    <t>205676_at</t>
  </si>
  <si>
    <t>CYP27B1</t>
  </si>
  <si>
    <t>216377_x_at</t>
  </si>
  <si>
    <t>218802_at</t>
  </si>
  <si>
    <t>CCDC109B</t>
  </si>
  <si>
    <t>212206_s_at</t>
  </si>
  <si>
    <t>209117_at</t>
  </si>
  <si>
    <t>WBP2</t>
  </si>
  <si>
    <t>212821_at</t>
  </si>
  <si>
    <t>209984_at</t>
  </si>
  <si>
    <t>KDM4C</t>
  </si>
  <si>
    <t>214864_s_at</t>
  </si>
  <si>
    <t>200015_s_at</t>
  </si>
  <si>
    <t>212137_at</t>
  </si>
  <si>
    <t>201585_s_at</t>
  </si>
  <si>
    <t>214080_x_at</t>
  </si>
  <si>
    <t>PRKCSH</t>
  </si>
  <si>
    <t>200639_s_at</t>
  </si>
  <si>
    <t>YWHAZ</t>
  </si>
  <si>
    <t>202204_s_at</t>
  </si>
  <si>
    <t>206263_at</t>
  </si>
  <si>
    <t>FMO4</t>
  </si>
  <si>
    <t>204546_at</t>
  </si>
  <si>
    <t>KIAA0513</t>
  </si>
  <si>
    <t>201069_at</t>
  </si>
  <si>
    <t>MMP2</t>
  </si>
  <si>
    <t>201963_at</t>
  </si>
  <si>
    <t>ACSL1</t>
  </si>
  <si>
    <t>211887_x_at</t>
  </si>
  <si>
    <t>MSR1</t>
  </si>
  <si>
    <t>221495_s_at</t>
  </si>
  <si>
    <t>207509_s_at</t>
  </si>
  <si>
    <t>LAIR2</t>
  </si>
  <si>
    <t>201506_at</t>
  </si>
  <si>
    <t>TGFBI</t>
  </si>
  <si>
    <t>219808_at</t>
  </si>
  <si>
    <t>200081_s_at</t>
  </si>
  <si>
    <t>201512_s_at</t>
  </si>
  <si>
    <t>TOMM70A</t>
  </si>
  <si>
    <t>208107_s_at</t>
  </si>
  <si>
    <t>LOC81691</t>
  </si>
  <si>
    <t>210968_s_at</t>
  </si>
  <si>
    <t>212309_at</t>
  </si>
  <si>
    <t>212334_at</t>
  </si>
  <si>
    <t>GNS</t>
  </si>
  <si>
    <t>212607_at</t>
  </si>
  <si>
    <t>AKT3</t>
  </si>
  <si>
    <t>213540_at</t>
  </si>
  <si>
    <t>HSD17B8</t>
  </si>
  <si>
    <t>217383_at</t>
  </si>
  <si>
    <t>211312_s_at</t>
  </si>
  <si>
    <t>WISP1</t>
  </si>
  <si>
    <t>200957_s_at</t>
  </si>
  <si>
    <t>SSRP1</t>
  </si>
  <si>
    <t>209199_s_at</t>
  </si>
  <si>
    <t>204715_at</t>
  </si>
  <si>
    <t>PANX1</t>
  </si>
  <si>
    <t>221106_at</t>
  </si>
  <si>
    <t>203019_x_at</t>
  </si>
  <si>
    <t>203533_s_at</t>
  </si>
  <si>
    <t>CUL5</t>
  </si>
  <si>
    <t>209426_s_at</t>
  </si>
  <si>
    <t>211395_x_at</t>
  </si>
  <si>
    <t>FCGR2C</t>
  </si>
  <si>
    <t>213372_at</t>
  </si>
  <si>
    <t>PAQR3</t>
  </si>
  <si>
    <t>215224_at</t>
  </si>
  <si>
    <t>SNORA21</t>
  </si>
  <si>
    <t>217830_s_at</t>
  </si>
  <si>
    <t>217901_at</t>
  </si>
  <si>
    <t>DSG2</t>
  </si>
  <si>
    <t>220488_s_at</t>
  </si>
  <si>
    <t>BCAS3</t>
  </si>
  <si>
    <t>222201_s_at</t>
  </si>
  <si>
    <t>CASP8AP2</t>
  </si>
  <si>
    <t>213975_s_at</t>
  </si>
  <si>
    <t>LYZ</t>
  </si>
  <si>
    <t>201269_s_at</t>
  </si>
  <si>
    <t>210443_x_at</t>
  </si>
  <si>
    <t>218523_at</t>
  </si>
  <si>
    <t>LHPP</t>
  </si>
  <si>
    <t>209926_at</t>
  </si>
  <si>
    <t>LOC729991</t>
  </si>
  <si>
    <t>206904_at</t>
  </si>
  <si>
    <t>208785_s_at</t>
  </si>
  <si>
    <t>206301_at</t>
  </si>
  <si>
    <t>TEC</t>
  </si>
  <si>
    <t>214010_s_at</t>
  </si>
  <si>
    <t>202397_at</t>
  </si>
  <si>
    <t>NUTF2</t>
  </si>
  <si>
    <t>202707_at</t>
  </si>
  <si>
    <t>221199_at</t>
  </si>
  <si>
    <t>GFRA4</t>
  </si>
  <si>
    <t>211081_s_at</t>
  </si>
  <si>
    <t>218532_s_at</t>
  </si>
  <si>
    <t>FAM134B</t>
  </si>
  <si>
    <t>213511_s_at</t>
  </si>
  <si>
    <t>MTMR1</t>
  </si>
  <si>
    <t>206800_at</t>
  </si>
  <si>
    <t>211763_s_at</t>
  </si>
  <si>
    <t>UBE2B</t>
  </si>
  <si>
    <t>202702_at</t>
  </si>
  <si>
    <t>TRIM26</t>
  </si>
  <si>
    <t>209196_at</t>
  </si>
  <si>
    <t>WDR46</t>
  </si>
  <si>
    <t>214288_s_at</t>
  </si>
  <si>
    <t>204657_s_at</t>
  </si>
  <si>
    <t>221140_s_at</t>
  </si>
  <si>
    <t>GPR132</t>
  </si>
  <si>
    <t>202193_at</t>
  </si>
  <si>
    <t>218994_s_at</t>
  </si>
  <si>
    <t>STAG3L4</t>
  </si>
  <si>
    <t>33132_at</t>
  </si>
  <si>
    <t>217886_at</t>
  </si>
  <si>
    <t>214819_at</t>
  </si>
  <si>
    <t>IQSEC2</t>
  </si>
  <si>
    <t>216205_s_at</t>
  </si>
  <si>
    <t>202640_s_at</t>
  </si>
  <si>
    <t>202670_at</t>
  </si>
  <si>
    <t>MAP2K1</t>
  </si>
  <si>
    <t>219907_at</t>
  </si>
  <si>
    <t>FRS3</t>
  </si>
  <si>
    <t>210100_s_at</t>
  </si>
  <si>
    <t>209828_s_at</t>
  </si>
  <si>
    <t>IL16</t>
  </si>
  <si>
    <t>214999_s_at</t>
  </si>
  <si>
    <t>208649_s_at</t>
  </si>
  <si>
    <t>VCP</t>
  </si>
  <si>
    <t>207365_x_at</t>
  </si>
  <si>
    <t>USP34</t>
  </si>
  <si>
    <t>218106_s_at</t>
  </si>
  <si>
    <t>MRPS10</t>
  </si>
  <si>
    <t>212500_at</t>
  </si>
  <si>
    <t>205687_at</t>
  </si>
  <si>
    <t>UBFD1</t>
  </si>
  <si>
    <t>217483_at</t>
  </si>
  <si>
    <t>FOLH1</t>
  </si>
  <si>
    <t>210695_s_at</t>
  </si>
  <si>
    <t>221652_s_at</t>
  </si>
  <si>
    <t>C12orf11</t>
  </si>
  <si>
    <t>204777_s_at</t>
  </si>
  <si>
    <t>MAL</t>
  </si>
  <si>
    <t>207258_at</t>
  </si>
  <si>
    <t>DSCR4</t>
  </si>
  <si>
    <t>207853_s_at</t>
  </si>
  <si>
    <t>SNCB</t>
  </si>
  <si>
    <t>211457_at</t>
  </si>
  <si>
    <t>GABARAPL3</t>
  </si>
  <si>
    <t>215357_s_at</t>
  </si>
  <si>
    <t>216034_at</t>
  </si>
  <si>
    <t>ZNF280A</t>
  </si>
  <si>
    <t>203576_at</t>
  </si>
  <si>
    <t>215733_x_at</t>
  </si>
  <si>
    <t>CTAG2</t>
  </si>
  <si>
    <t>203037_s_at</t>
  </si>
  <si>
    <t>MTSS1</t>
  </si>
  <si>
    <t>214539_at</t>
  </si>
  <si>
    <t>SERPINB10</t>
  </si>
  <si>
    <t>201454_s_at</t>
  </si>
  <si>
    <t>NPEPPS</t>
  </si>
  <si>
    <t>117_at</t>
  </si>
  <si>
    <t>HSPA6</t>
  </si>
  <si>
    <t>202148_s_at</t>
  </si>
  <si>
    <t>PYCR1</t>
  </si>
  <si>
    <t>210166_at</t>
  </si>
  <si>
    <t>TLR5</t>
  </si>
  <si>
    <t>202942_at</t>
  </si>
  <si>
    <t>ETFB</t>
  </si>
  <si>
    <t>203478_at</t>
  </si>
  <si>
    <t>NDUFC1</t>
  </si>
  <si>
    <t>205323_s_at</t>
  </si>
  <si>
    <t>204323_x_at</t>
  </si>
  <si>
    <t>206474_at</t>
  </si>
  <si>
    <t>PCTK2</t>
  </si>
  <si>
    <t>208100_x_at</t>
  </si>
  <si>
    <t>SEMA6C</t>
  </si>
  <si>
    <t>221866_at</t>
  </si>
  <si>
    <t>TFEB</t>
  </si>
  <si>
    <t>203266_s_at</t>
  </si>
  <si>
    <t>MAP2K4</t>
  </si>
  <si>
    <t>64418_at</t>
  </si>
  <si>
    <t>SYNRG</t>
  </si>
  <si>
    <t>202417_at</t>
  </si>
  <si>
    <t>KEAP1</t>
  </si>
  <si>
    <t>222120_at</t>
  </si>
  <si>
    <t>ZNF764</t>
  </si>
  <si>
    <t>208723_at</t>
  </si>
  <si>
    <t>USP11</t>
  </si>
  <si>
    <t>220082_at</t>
  </si>
  <si>
    <t>PPP1R14D</t>
  </si>
  <si>
    <t>89476_r_at</t>
  </si>
  <si>
    <t>215348_at</t>
  </si>
  <si>
    <t>215959_at</t>
  </si>
  <si>
    <t>206767_at</t>
  </si>
  <si>
    <t>RBMS3</t>
  </si>
  <si>
    <t>220747_at</t>
  </si>
  <si>
    <t>HSPC072</t>
  </si>
  <si>
    <t>217227_x_at</t>
  </si>
  <si>
    <t>IGL@ /// IGLV1-44 /// LOC100290557</t>
  </si>
  <si>
    <t>219988_s_at</t>
  </si>
  <si>
    <t>RNF220</t>
  </si>
  <si>
    <t>211545_at</t>
  </si>
  <si>
    <t>217890_s_at</t>
  </si>
  <si>
    <t>PARVA</t>
  </si>
  <si>
    <t>218493_at</t>
  </si>
  <si>
    <t>SNRNP25</t>
  </si>
  <si>
    <t>204329_s_at</t>
  </si>
  <si>
    <t>ZNF202</t>
  </si>
  <si>
    <t>205952_at</t>
  </si>
  <si>
    <t>KCNK3</t>
  </si>
  <si>
    <t>215255_at</t>
  </si>
  <si>
    <t>IGSF9B</t>
  </si>
  <si>
    <t>218153_at</t>
  </si>
  <si>
    <t>CARS2</t>
  </si>
  <si>
    <t>204626_s_at</t>
  </si>
  <si>
    <t>205807_s_at</t>
  </si>
  <si>
    <t>TUFT1</t>
  </si>
  <si>
    <t>206472_s_at</t>
  </si>
  <si>
    <t>212721_at</t>
  </si>
  <si>
    <t>SFRS12</t>
  </si>
  <si>
    <t>215045_at</t>
  </si>
  <si>
    <t>219296_at</t>
  </si>
  <si>
    <t>ZDHHC13</t>
  </si>
  <si>
    <t>204987_at</t>
  </si>
  <si>
    <t>ITIH2</t>
  </si>
  <si>
    <t>205053_at</t>
  </si>
  <si>
    <t>PRIM1</t>
  </si>
  <si>
    <t>205405_at</t>
  </si>
  <si>
    <t>SEMA5A</t>
  </si>
  <si>
    <t>211603_s_at</t>
  </si>
  <si>
    <t>ETV4</t>
  </si>
  <si>
    <t>219290_x_at</t>
  </si>
  <si>
    <t>DAPP1</t>
  </si>
  <si>
    <t>213772_s_at</t>
  </si>
  <si>
    <t>220526_s_at</t>
  </si>
  <si>
    <t>MRPL20</t>
  </si>
  <si>
    <t>205340_at</t>
  </si>
  <si>
    <t>ZBTB24</t>
  </si>
  <si>
    <t>205604_at</t>
  </si>
  <si>
    <t>202448_s_at</t>
  </si>
  <si>
    <t>207715_at</t>
  </si>
  <si>
    <t>CRYGB</t>
  </si>
  <si>
    <t>203005_at</t>
  </si>
  <si>
    <t>LTBR</t>
  </si>
  <si>
    <t>205075_at</t>
  </si>
  <si>
    <t>SERPINF2</t>
  </si>
  <si>
    <t>208480_s_at</t>
  </si>
  <si>
    <t>202561_at</t>
  </si>
  <si>
    <t>TNKS</t>
  </si>
  <si>
    <t>213945_s_at</t>
  </si>
  <si>
    <t>200752_s_at</t>
  </si>
  <si>
    <t>CAPN1</t>
  </si>
  <si>
    <t>200809_x_at</t>
  </si>
  <si>
    <t>206516_at</t>
  </si>
  <si>
    <t>AMH</t>
  </si>
  <si>
    <t>208768_x_at</t>
  </si>
  <si>
    <t>209097_s_at</t>
  </si>
  <si>
    <t>213490_s_at</t>
  </si>
  <si>
    <t>216736_at</t>
  </si>
  <si>
    <t>TM6SF2</t>
  </si>
  <si>
    <t>218383_at</t>
  </si>
  <si>
    <t>HAUS4</t>
  </si>
  <si>
    <t>210769_at</t>
  </si>
  <si>
    <t>CNGB1</t>
  </si>
  <si>
    <t>202831_at</t>
  </si>
  <si>
    <t>GPX2</t>
  </si>
  <si>
    <t>204065_at</t>
  </si>
  <si>
    <t>CHST10</t>
  </si>
  <si>
    <t>201447_at</t>
  </si>
  <si>
    <t>TIA1</t>
  </si>
  <si>
    <t>219086_at</t>
  </si>
  <si>
    <t>ZNF839</t>
  </si>
  <si>
    <t>206593_s_at</t>
  </si>
  <si>
    <t>MED22</t>
  </si>
  <si>
    <t>218732_at</t>
  </si>
  <si>
    <t>PTRH2</t>
  </si>
  <si>
    <t>214356_s_at</t>
  </si>
  <si>
    <t>219845_at</t>
  </si>
  <si>
    <t>BARX1</t>
  </si>
  <si>
    <t>203448_s_at</t>
  </si>
  <si>
    <t>TERF1</t>
  </si>
  <si>
    <t>213673_x_at</t>
  </si>
  <si>
    <t>217696_at</t>
  </si>
  <si>
    <t>208382_s_at</t>
  </si>
  <si>
    <t>DMC1</t>
  </si>
  <si>
    <t>220331_at</t>
  </si>
  <si>
    <t>CYP46A1</t>
  </si>
  <si>
    <t>202044_at</t>
  </si>
  <si>
    <t>212927_at</t>
  </si>
  <si>
    <t>216962_at</t>
  </si>
  <si>
    <t>221905_at</t>
  </si>
  <si>
    <t>205163_at</t>
  </si>
  <si>
    <t>MYLPF</t>
  </si>
  <si>
    <t>200984_s_at</t>
  </si>
  <si>
    <t>221690_s_at</t>
  </si>
  <si>
    <t>NLRP2</t>
  </si>
  <si>
    <t>205096_at</t>
  </si>
  <si>
    <t>POM121</t>
  </si>
  <si>
    <t>205927_s_at</t>
  </si>
  <si>
    <t>CTSE</t>
  </si>
  <si>
    <t>218257_s_at</t>
  </si>
  <si>
    <t>UGGT1</t>
  </si>
  <si>
    <t>203718_at</t>
  </si>
  <si>
    <t>PNPLA6</t>
  </si>
  <si>
    <t>212443_at</t>
  </si>
  <si>
    <t>NBEAL2</t>
  </si>
  <si>
    <t>212320_at</t>
  </si>
  <si>
    <t>214283_at</t>
  </si>
  <si>
    <t>221503_s_at</t>
  </si>
  <si>
    <t>222083_at</t>
  </si>
  <si>
    <t>GLYAT</t>
  </si>
  <si>
    <t>202922_at</t>
  </si>
  <si>
    <t>GCLC</t>
  </si>
  <si>
    <t>206080_at</t>
  </si>
  <si>
    <t>PLCH2</t>
  </si>
  <si>
    <t>202109_at</t>
  </si>
  <si>
    <t>ARFIP2</t>
  </si>
  <si>
    <t>208359_s_at</t>
  </si>
  <si>
    <t>KCNJ4</t>
  </si>
  <si>
    <t>213290_at</t>
  </si>
  <si>
    <t>COL6A2</t>
  </si>
  <si>
    <t>203157_s_at</t>
  </si>
  <si>
    <t>1007_s_at</t>
  </si>
  <si>
    <t>206294_at</t>
  </si>
  <si>
    <t>HSD3B2</t>
  </si>
  <si>
    <t>204924_at</t>
  </si>
  <si>
    <t>TLR2</t>
  </si>
  <si>
    <t>212383_at</t>
  </si>
  <si>
    <t>211870_s_at</t>
  </si>
  <si>
    <t>PCDHA3</t>
  </si>
  <si>
    <t>202748_at</t>
  </si>
  <si>
    <t>GBP2</t>
  </si>
  <si>
    <t>AFFX-HUMGAPDH/M33197_3_at</t>
  </si>
  <si>
    <t>208824_x_at</t>
  </si>
  <si>
    <t>221229_s_at</t>
  </si>
  <si>
    <t>TRMT61B</t>
  </si>
  <si>
    <t>205259_at</t>
  </si>
  <si>
    <t>NR3C2</t>
  </si>
  <si>
    <t>204543_at</t>
  </si>
  <si>
    <t>RAPGEF1</t>
  </si>
  <si>
    <t>210967_x_at</t>
  </si>
  <si>
    <t>201930_at</t>
  </si>
  <si>
    <t>MCM6</t>
  </si>
  <si>
    <t>214883_at</t>
  </si>
  <si>
    <t>218999_at</t>
  </si>
  <si>
    <t>TMEM140</t>
  </si>
  <si>
    <t>205718_at</t>
  </si>
  <si>
    <t>ITGB7</t>
  </si>
  <si>
    <t>215394_at</t>
  </si>
  <si>
    <t>218673_s_at</t>
  </si>
  <si>
    <t>ATG7</t>
  </si>
  <si>
    <t>212095_s_at</t>
  </si>
  <si>
    <t>MTUS1</t>
  </si>
  <si>
    <t>216671_x_at</t>
  </si>
  <si>
    <t>220547_s_at</t>
  </si>
  <si>
    <t>FAM35A</t>
  </si>
  <si>
    <t>206061_s_at</t>
  </si>
  <si>
    <t>218433_at</t>
  </si>
  <si>
    <t>PANK3</t>
  </si>
  <si>
    <t>202998_s_at</t>
  </si>
  <si>
    <t>219238_at</t>
  </si>
  <si>
    <t>PIGV</t>
  </si>
  <si>
    <t>215990_s_at</t>
  </si>
  <si>
    <t>216092_s_at</t>
  </si>
  <si>
    <t>221928_at</t>
  </si>
  <si>
    <t>ACACB</t>
  </si>
  <si>
    <t>203511_s_at</t>
  </si>
  <si>
    <t>TRAPPC3</t>
  </si>
  <si>
    <t>205211_s_at</t>
  </si>
  <si>
    <t>RIN1</t>
  </si>
  <si>
    <t>207576_x_at</t>
  </si>
  <si>
    <t>OXT</t>
  </si>
  <si>
    <t>209913_x_at</t>
  </si>
  <si>
    <t>KIAA0415</t>
  </si>
  <si>
    <t>216263_s_at</t>
  </si>
  <si>
    <t>203947_at</t>
  </si>
  <si>
    <t>CSTF3</t>
  </si>
  <si>
    <t>215481_s_at</t>
  </si>
  <si>
    <t>204150_at</t>
  </si>
  <si>
    <t>STAB1</t>
  </si>
  <si>
    <t>210869_s_at</t>
  </si>
  <si>
    <t>203437_at</t>
  </si>
  <si>
    <t>TMEM11</t>
  </si>
  <si>
    <t>219163_at</t>
  </si>
  <si>
    <t>ZNF562</t>
  </si>
  <si>
    <t>207650_x_at</t>
  </si>
  <si>
    <t>205136_s_at</t>
  </si>
  <si>
    <t>220509_at</t>
  </si>
  <si>
    <t>208908_s_at</t>
  </si>
  <si>
    <t>202361_at</t>
  </si>
  <si>
    <t>SEC24C</t>
  </si>
  <si>
    <t>218516_s_at</t>
  </si>
  <si>
    <t>IMPAD1</t>
  </si>
  <si>
    <t>207357_s_at</t>
  </si>
  <si>
    <t>219771_at</t>
  </si>
  <si>
    <t>TBC1D8B</t>
  </si>
  <si>
    <t>220768_s_at</t>
  </si>
  <si>
    <t>CSNK1G3</t>
  </si>
  <si>
    <t>217910_x_at</t>
  </si>
  <si>
    <t>212540_at</t>
  </si>
  <si>
    <t>CDC34</t>
  </si>
  <si>
    <t>213060_s_at</t>
  </si>
  <si>
    <t>CHI3L2</t>
  </si>
  <si>
    <t>219310_at</t>
  </si>
  <si>
    <t>TMEM90B</t>
  </si>
  <si>
    <t>208429_x_at</t>
  </si>
  <si>
    <t>201632_at</t>
  </si>
  <si>
    <t>EIF2B1</t>
  </si>
  <si>
    <t>43977_at</t>
  </si>
  <si>
    <t>213839_at</t>
  </si>
  <si>
    <t>CLMN</t>
  </si>
  <si>
    <t>214786_at</t>
  </si>
  <si>
    <t>MAP3K1</t>
  </si>
  <si>
    <t>210228_at</t>
  </si>
  <si>
    <t>205321_at</t>
  </si>
  <si>
    <t>EIF2S3</t>
  </si>
  <si>
    <t>201517_at</t>
  </si>
  <si>
    <t>213407_at</t>
  </si>
  <si>
    <t>215644_at</t>
  </si>
  <si>
    <t>218520_at</t>
  </si>
  <si>
    <t>TBK1</t>
  </si>
  <si>
    <t>203085_s_at</t>
  </si>
  <si>
    <t>203345_s_at</t>
  </si>
  <si>
    <t>221522_at</t>
  </si>
  <si>
    <t>ANKRD27</t>
  </si>
  <si>
    <t>205855_at</t>
  </si>
  <si>
    <t>ZNF197</t>
  </si>
  <si>
    <t>205133_s_at</t>
  </si>
  <si>
    <t>HSPE1</t>
  </si>
  <si>
    <t>212925_at</t>
  </si>
  <si>
    <t>C19orf21</t>
  </si>
  <si>
    <t>203181_x_at</t>
  </si>
  <si>
    <t>206213_at</t>
  </si>
  <si>
    <t>WNT10B</t>
  </si>
  <si>
    <t>207389_at</t>
  </si>
  <si>
    <t>GP1BA</t>
  </si>
  <si>
    <t>207752_x_at</t>
  </si>
  <si>
    <t>209862_s_at</t>
  </si>
  <si>
    <t>210457_x_at</t>
  </si>
  <si>
    <t>HMGA1</t>
  </si>
  <si>
    <t>212919_at</t>
  </si>
  <si>
    <t>DCP2</t>
  </si>
  <si>
    <t>214715_x_at</t>
  </si>
  <si>
    <t>ZNF160</t>
  </si>
  <si>
    <t>218579_s_at</t>
  </si>
  <si>
    <t>DHX35</t>
  </si>
  <si>
    <t>221700_s_at</t>
  </si>
  <si>
    <t>UBA52</t>
  </si>
  <si>
    <t>210705_s_at</t>
  </si>
  <si>
    <t>TRIM5</t>
  </si>
  <si>
    <t>216968_at</t>
  </si>
  <si>
    <t>MASP2</t>
  </si>
  <si>
    <t>220371_s_at</t>
  </si>
  <si>
    <t>SLC12A9</t>
  </si>
  <si>
    <t>204909_at</t>
  </si>
  <si>
    <t>DDX6</t>
  </si>
  <si>
    <t>215176_x_at</t>
  </si>
  <si>
    <t>LOC100291464</t>
  </si>
  <si>
    <t>208869_s_at</t>
  </si>
  <si>
    <t>219565_at</t>
  </si>
  <si>
    <t>CYP20A1</t>
  </si>
  <si>
    <t>216598_s_at</t>
  </si>
  <si>
    <t>CCL2</t>
  </si>
  <si>
    <t>204049_s_at</t>
  </si>
  <si>
    <t>204409_s_at</t>
  </si>
  <si>
    <t>205456_at</t>
  </si>
  <si>
    <t>CD3E</t>
  </si>
  <si>
    <t>219725_at</t>
  </si>
  <si>
    <t>TREM2</t>
  </si>
  <si>
    <t>214869_x_at</t>
  </si>
  <si>
    <t>GAPVD1</t>
  </si>
  <si>
    <t>219693_at</t>
  </si>
  <si>
    <t>AGPAT4</t>
  </si>
  <si>
    <t>207991_x_at</t>
  </si>
  <si>
    <t>ACRV1</t>
  </si>
  <si>
    <t>205870_at</t>
  </si>
  <si>
    <t>BDKRB2</t>
  </si>
  <si>
    <t>202113_s_at</t>
  </si>
  <si>
    <t>202284_s_at</t>
  </si>
  <si>
    <t>CDKN1A</t>
  </si>
  <si>
    <t>207121_s_at</t>
  </si>
  <si>
    <t>MAPK6</t>
  </si>
  <si>
    <t>217763_s_at</t>
  </si>
  <si>
    <t>RAB31</t>
  </si>
  <si>
    <t>211673_s_at</t>
  </si>
  <si>
    <t>MOCS1</t>
  </si>
  <si>
    <t>209214_s_at</t>
  </si>
  <si>
    <t>212084_at</t>
  </si>
  <si>
    <t>210150_s_at</t>
  </si>
  <si>
    <t>LAMA5</t>
  </si>
  <si>
    <t>216391_s_at</t>
  </si>
  <si>
    <t>KLHL1</t>
  </si>
  <si>
    <t>50965_at</t>
  </si>
  <si>
    <t>RAB26</t>
  </si>
  <si>
    <t>204225_at</t>
  </si>
  <si>
    <t>HDAC4</t>
  </si>
  <si>
    <t>204945_at</t>
  </si>
  <si>
    <t>PTPRN</t>
  </si>
  <si>
    <t>205602_x_at</t>
  </si>
  <si>
    <t>PSG7</t>
  </si>
  <si>
    <t>206745_at</t>
  </si>
  <si>
    <t>HOXC11</t>
  </si>
  <si>
    <t>208657_s_at</t>
  </si>
  <si>
    <t>210132_at</t>
  </si>
  <si>
    <t>EFNA3</t>
  </si>
  <si>
    <t>210284_s_at</t>
  </si>
  <si>
    <t>MAP3K7IP2</t>
  </si>
  <si>
    <t>213871_s_at</t>
  </si>
  <si>
    <t>219981_x_at</t>
  </si>
  <si>
    <t>ZNF587</t>
  </si>
  <si>
    <t>220731_s_at</t>
  </si>
  <si>
    <t>NECAP2</t>
  </si>
  <si>
    <t>206752_s_at</t>
  </si>
  <si>
    <t>DFFB</t>
  </si>
  <si>
    <t>209659_s_at</t>
  </si>
  <si>
    <t>210082_at</t>
  </si>
  <si>
    <t>ABCA4</t>
  </si>
  <si>
    <t>212080_at</t>
  </si>
  <si>
    <t>219336_s_at</t>
  </si>
  <si>
    <t>ASCC1</t>
  </si>
  <si>
    <t>205480_s_at</t>
  </si>
  <si>
    <t>UGP2</t>
  </si>
  <si>
    <t>205836_s_at</t>
  </si>
  <si>
    <t>213109_at</t>
  </si>
  <si>
    <t>TNIK</t>
  </si>
  <si>
    <t>202471_s_at</t>
  </si>
  <si>
    <t>IDH3G</t>
  </si>
  <si>
    <t>201467_s_at</t>
  </si>
  <si>
    <t>213008_at</t>
  </si>
  <si>
    <t>FANCI</t>
  </si>
  <si>
    <t>206088_at</t>
  </si>
  <si>
    <t>LRRC37A /// LRRC37A2 /// LRRC37A3</t>
  </si>
  <si>
    <t>200004_at</t>
  </si>
  <si>
    <t>EIF4G2</t>
  </si>
  <si>
    <t>209393_s_at</t>
  </si>
  <si>
    <t>205775_at</t>
  </si>
  <si>
    <t>FAM50B</t>
  </si>
  <si>
    <t>208832_at</t>
  </si>
  <si>
    <t>201146_at</t>
  </si>
  <si>
    <t>NFE2L2</t>
  </si>
  <si>
    <t>203172_at</t>
  </si>
  <si>
    <t>205487_s_at</t>
  </si>
  <si>
    <t>VGLL1</t>
  </si>
  <si>
    <t>212729_at</t>
  </si>
  <si>
    <t>202041_s_at</t>
  </si>
  <si>
    <t>FIBP</t>
  </si>
  <si>
    <t>60471_at</t>
  </si>
  <si>
    <t>200832_s_at</t>
  </si>
  <si>
    <t>216199_s_at</t>
  </si>
  <si>
    <t>MAP3K4</t>
  </si>
  <si>
    <t>206979_at</t>
  </si>
  <si>
    <t>C8B</t>
  </si>
  <si>
    <t>202900_s_at</t>
  </si>
  <si>
    <t>NUP88</t>
  </si>
  <si>
    <t>206657_s_at</t>
  </si>
  <si>
    <t>MYOD1</t>
  </si>
  <si>
    <t>217857_s_at</t>
  </si>
  <si>
    <t>202627_s_at</t>
  </si>
  <si>
    <t>SERPINE1</t>
  </si>
  <si>
    <t>203473_at</t>
  </si>
  <si>
    <t>SLCO2B1</t>
  </si>
  <si>
    <t>203645_s_at</t>
  </si>
  <si>
    <t>220236_at</t>
  </si>
  <si>
    <t>PDPR</t>
  </si>
  <si>
    <t>211759_x_at</t>
  </si>
  <si>
    <t>219172_at</t>
  </si>
  <si>
    <t>UBTD1</t>
  </si>
  <si>
    <t>221241_s_at</t>
  </si>
  <si>
    <t>BCL2L14</t>
  </si>
  <si>
    <t>208780_x_at</t>
  </si>
  <si>
    <t>VAPA</t>
  </si>
  <si>
    <t>210006_at</t>
  </si>
  <si>
    <t>ABHD14A</t>
  </si>
  <si>
    <t>212105_s_at</t>
  </si>
  <si>
    <t>205128_x_at</t>
  </si>
  <si>
    <t>PTGS1</t>
  </si>
  <si>
    <t>209212_s_at</t>
  </si>
  <si>
    <t>KLF5</t>
  </si>
  <si>
    <t>217024_x_at</t>
  </si>
  <si>
    <t>206837_at</t>
  </si>
  <si>
    <t>ALX1</t>
  </si>
  <si>
    <t>219824_at</t>
  </si>
  <si>
    <t>SLC13A4</t>
  </si>
  <si>
    <t>202929_s_at</t>
  </si>
  <si>
    <t>DDT</t>
  </si>
  <si>
    <t>204641_at</t>
  </si>
  <si>
    <t>NEK2</t>
  </si>
  <si>
    <t>205175_s_at</t>
  </si>
  <si>
    <t>209001_s_at</t>
  </si>
  <si>
    <t>ANAPC13</t>
  </si>
  <si>
    <t>211329_x_at</t>
  </si>
  <si>
    <t>218636_s_at</t>
  </si>
  <si>
    <t>MAN1B1</t>
  </si>
  <si>
    <t>200633_at</t>
  </si>
  <si>
    <t>UBB</t>
  </si>
  <si>
    <t>220153_at</t>
  </si>
  <si>
    <t>ENTPD7</t>
  </si>
  <si>
    <t>205971_s_at</t>
  </si>
  <si>
    <t>CTRB1 /// CTRB2</t>
  </si>
  <si>
    <t>212164_at</t>
  </si>
  <si>
    <t>TMEM183A</t>
  </si>
  <si>
    <t>202800_at</t>
  </si>
  <si>
    <t>SLC1A3</t>
  </si>
  <si>
    <t>210984_x_at</t>
  </si>
  <si>
    <t>212690_at</t>
  </si>
  <si>
    <t>DDHD2</t>
  </si>
  <si>
    <t>200913_at</t>
  </si>
  <si>
    <t>PPM1G</t>
  </si>
  <si>
    <t>211387_x_at</t>
  </si>
  <si>
    <t>217092_x_at</t>
  </si>
  <si>
    <t>RPL7</t>
  </si>
  <si>
    <t>220337_at</t>
  </si>
  <si>
    <t>NGB</t>
  </si>
  <si>
    <t>202802_at</t>
  </si>
  <si>
    <t>203305_at</t>
  </si>
  <si>
    <t>F13A1</t>
  </si>
  <si>
    <t>207369_at</t>
  </si>
  <si>
    <t>BRS3</t>
  </si>
  <si>
    <t>209834_at</t>
  </si>
  <si>
    <t>212103_at</t>
  </si>
  <si>
    <t>212982_at</t>
  </si>
  <si>
    <t>218522_s_at</t>
  </si>
  <si>
    <t>MAP1S</t>
  </si>
  <si>
    <t>48030_i_at</t>
  </si>
  <si>
    <t>C5orf4</t>
  </si>
  <si>
    <t>48612_at</t>
  </si>
  <si>
    <t>204770_at</t>
  </si>
  <si>
    <t>TAP2</t>
  </si>
  <si>
    <t>209364_at</t>
  </si>
  <si>
    <t>BAD</t>
  </si>
  <si>
    <t>212096_s_at</t>
  </si>
  <si>
    <t>215672_s_at</t>
  </si>
  <si>
    <t>220017_x_at</t>
  </si>
  <si>
    <t>201135_at</t>
  </si>
  <si>
    <t>ECHS1</t>
  </si>
  <si>
    <t>211818_s_at</t>
  </si>
  <si>
    <t>215496_at</t>
  </si>
  <si>
    <t>215437_x_at</t>
  </si>
  <si>
    <t>200601_at</t>
  </si>
  <si>
    <t>ACTN4</t>
  </si>
  <si>
    <t>204180_s_at</t>
  </si>
  <si>
    <t>209152_s_at</t>
  </si>
  <si>
    <t>207508_at</t>
  </si>
  <si>
    <t>212036_s_at</t>
  </si>
  <si>
    <t>203248_at</t>
  </si>
  <si>
    <t>ZNF24</t>
  </si>
  <si>
    <t>219603_s_at</t>
  </si>
  <si>
    <t>ZNF226</t>
  </si>
  <si>
    <t>222118_at</t>
  </si>
  <si>
    <t>CENPN</t>
  </si>
  <si>
    <t>201411_s_at</t>
  </si>
  <si>
    <t>PLEKHB2</t>
  </si>
  <si>
    <t>207547_s_at</t>
  </si>
  <si>
    <t>FAM107A</t>
  </si>
  <si>
    <t>202891_at</t>
  </si>
  <si>
    <t>NIT1</t>
  </si>
  <si>
    <t>204583_x_at</t>
  </si>
  <si>
    <t>KLK3</t>
  </si>
  <si>
    <t>205093_at</t>
  </si>
  <si>
    <t>PLEKHA6</t>
  </si>
  <si>
    <t>209460_at</t>
  </si>
  <si>
    <t>ABAT</t>
  </si>
  <si>
    <t>216203_at</t>
  </si>
  <si>
    <t>221709_s_at</t>
  </si>
  <si>
    <t>201490_s_at</t>
  </si>
  <si>
    <t>PPIF</t>
  </si>
  <si>
    <t>212610_at</t>
  </si>
  <si>
    <t>PTPN11</t>
  </si>
  <si>
    <t>219055_at</t>
  </si>
  <si>
    <t>SRBD1</t>
  </si>
  <si>
    <t>214839_at</t>
  </si>
  <si>
    <t>LOC157627</t>
  </si>
  <si>
    <t>216853_x_at</t>
  </si>
  <si>
    <t>IGLV3-19</t>
  </si>
  <si>
    <t>202951_at</t>
  </si>
  <si>
    <t>STK38</t>
  </si>
  <si>
    <t>212948_at</t>
  </si>
  <si>
    <t>CAMTA2</t>
  </si>
  <si>
    <t>218280_x_at</t>
  </si>
  <si>
    <t>206109_at</t>
  </si>
  <si>
    <t>FUT1</t>
  </si>
  <si>
    <t>210247_at</t>
  </si>
  <si>
    <t>SYN2</t>
  </si>
  <si>
    <t>203707_at</t>
  </si>
  <si>
    <t>ZNF263</t>
  </si>
  <si>
    <t>206174_s_at</t>
  </si>
  <si>
    <t>PPP6C</t>
  </si>
  <si>
    <t>203885_at</t>
  </si>
  <si>
    <t>RAB21</t>
  </si>
  <si>
    <t>206395_at</t>
  </si>
  <si>
    <t>DGKG</t>
  </si>
  <si>
    <t>206833_s_at</t>
  </si>
  <si>
    <t>ACYP2</t>
  </si>
  <si>
    <t>201149_s_at</t>
  </si>
  <si>
    <t>TIMP3</t>
  </si>
  <si>
    <t>201931_at</t>
  </si>
  <si>
    <t>ETFA</t>
  </si>
  <si>
    <t>203547_at</t>
  </si>
  <si>
    <t>CD4</t>
  </si>
  <si>
    <t>208059_at</t>
  </si>
  <si>
    <t>CCR8</t>
  </si>
  <si>
    <t>214694_at</t>
  </si>
  <si>
    <t>LOC729143 /// MPRIP</t>
  </si>
  <si>
    <t>216025_x_at</t>
  </si>
  <si>
    <t>201665_x_at</t>
  </si>
  <si>
    <t>RPS17</t>
  </si>
  <si>
    <t>221330_at</t>
  </si>
  <si>
    <t>CHRM2</t>
  </si>
  <si>
    <t>205599_at</t>
  </si>
  <si>
    <t>TRAF1</t>
  </si>
  <si>
    <t>215356_at</t>
  </si>
  <si>
    <t>TDRD12</t>
  </si>
  <si>
    <t>216997_x_at</t>
  </si>
  <si>
    <t>212889_x_at</t>
  </si>
  <si>
    <t>GADD45GIP1</t>
  </si>
  <si>
    <t>203286_at</t>
  </si>
  <si>
    <t>RNF44</t>
  </si>
  <si>
    <t>211743_s_at</t>
  </si>
  <si>
    <t>PRG2</t>
  </si>
  <si>
    <t>217490_at</t>
  </si>
  <si>
    <t>EXOSC6</t>
  </si>
  <si>
    <t>207396_s_at</t>
  </si>
  <si>
    <t>ALG3</t>
  </si>
  <si>
    <t>222104_x_at</t>
  </si>
  <si>
    <t>GTF2H3</t>
  </si>
  <si>
    <t>219509_at</t>
  </si>
  <si>
    <t>MYOZ1</t>
  </si>
  <si>
    <t>205656_at</t>
  </si>
  <si>
    <t>PCDH17</t>
  </si>
  <si>
    <t>213776_at</t>
  </si>
  <si>
    <t>LOC157562</t>
  </si>
  <si>
    <t>221597_s_at</t>
  </si>
  <si>
    <t>TMEM208</t>
  </si>
  <si>
    <t>202134_s_at</t>
  </si>
  <si>
    <t>WWTR1</t>
  </si>
  <si>
    <t>206747_at</t>
  </si>
  <si>
    <t>GPRIN2</t>
  </si>
  <si>
    <t>202564_x_at</t>
  </si>
  <si>
    <t>ARL2</t>
  </si>
  <si>
    <t>205237_at</t>
  </si>
  <si>
    <t>FCN1</t>
  </si>
  <si>
    <t>34726_at</t>
  </si>
  <si>
    <t>214030_at</t>
  </si>
  <si>
    <t>CRYBG3</t>
  </si>
  <si>
    <t>207446_at</t>
  </si>
  <si>
    <t>TLR6</t>
  </si>
  <si>
    <t>210205_at</t>
  </si>
  <si>
    <t>B3GALT4</t>
  </si>
  <si>
    <t>213646_x_at</t>
  </si>
  <si>
    <t>202653_s_at</t>
  </si>
  <si>
    <t>_x001A__x001A__x001A_-07</t>
  </si>
  <si>
    <t>204765_at</t>
  </si>
  <si>
    <t>ARHGEF5</t>
  </si>
  <si>
    <t>209316_s_at</t>
  </si>
  <si>
    <t>49327_at</t>
  </si>
  <si>
    <t>SIRT3</t>
  </si>
  <si>
    <t>219652_s_at</t>
  </si>
  <si>
    <t>CXorf36</t>
  </si>
  <si>
    <t>41657_at</t>
  </si>
  <si>
    <t>STK11</t>
  </si>
  <si>
    <t>58994_at</t>
  </si>
  <si>
    <t>CC2D1A</t>
  </si>
  <si>
    <t>211930_at</t>
  </si>
  <si>
    <t>214024_s_at</t>
  </si>
  <si>
    <t>DGCR6L</t>
  </si>
  <si>
    <t>218894_s_at</t>
  </si>
  <si>
    <t>MAGOHB</t>
  </si>
  <si>
    <t>220002_at</t>
  </si>
  <si>
    <t>KIF26B</t>
  </si>
  <si>
    <t>209763_at</t>
  </si>
  <si>
    <t>CHRDL1</t>
  </si>
  <si>
    <t>203135_at</t>
  </si>
  <si>
    <t>TBP</t>
  </si>
  <si>
    <t>213353_at</t>
  </si>
  <si>
    <t>ABCA5</t>
  </si>
  <si>
    <t>44040_at</t>
  </si>
  <si>
    <t>FBXO41</t>
  </si>
  <si>
    <t>210253_at</t>
  </si>
  <si>
    <t>219387_at</t>
  </si>
  <si>
    <t>CCDC88A</t>
  </si>
  <si>
    <t>211663_x_at</t>
  </si>
  <si>
    <t>203411_s_at</t>
  </si>
  <si>
    <t>201034_at</t>
  </si>
  <si>
    <t>202846_s_at</t>
  </si>
  <si>
    <t>PIGC</t>
  </si>
  <si>
    <t>217738_at</t>
  </si>
  <si>
    <t>NAMPT</t>
  </si>
  <si>
    <t>210597_x_at</t>
  </si>
  <si>
    <t>PRB1</t>
  </si>
  <si>
    <t>215999_at</t>
  </si>
  <si>
    <t>CDRT1</t>
  </si>
  <si>
    <t>202385_s_at</t>
  </si>
  <si>
    <t>TCOF1</t>
  </si>
  <si>
    <t>213763_at</t>
  </si>
  <si>
    <t>221828_s_at</t>
  </si>
  <si>
    <t>210260_s_at</t>
  </si>
  <si>
    <t>TNFAIP8</t>
  </si>
  <si>
    <t>207892_at</t>
  </si>
  <si>
    <t>CD40LG</t>
  </si>
  <si>
    <t>205070_at</t>
  </si>
  <si>
    <t>ING3</t>
  </si>
  <si>
    <t>209494_s_at</t>
  </si>
  <si>
    <t>216348_at</t>
  </si>
  <si>
    <t>RPS17P5</t>
  </si>
  <si>
    <t>215815_at</t>
  </si>
  <si>
    <t>BUD31</t>
  </si>
  <si>
    <t>200667_at</t>
  </si>
  <si>
    <t>204526_s_at</t>
  </si>
  <si>
    <t>TBC1D8</t>
  </si>
  <si>
    <t>218074_at</t>
  </si>
  <si>
    <t>FAM96B</t>
  </si>
  <si>
    <t>221223_x_at</t>
  </si>
  <si>
    <t>CISH</t>
  </si>
  <si>
    <t>218218_at</t>
  </si>
  <si>
    <t>APPL2</t>
  </si>
  <si>
    <t>207777_s_at</t>
  </si>
  <si>
    <t>SP140</t>
  </si>
  <si>
    <t>212086_x_at</t>
  </si>
  <si>
    <t>216471_x_at</t>
  </si>
  <si>
    <t>221176_x_at</t>
  </si>
  <si>
    <t>WBSCR23</t>
  </si>
  <si>
    <t>203164_at</t>
  </si>
  <si>
    <t>SLC33A1</t>
  </si>
  <si>
    <t>204560_at</t>
  </si>
  <si>
    <t>FKBP5</t>
  </si>
  <si>
    <t>210947_s_at</t>
  </si>
  <si>
    <t>208517_x_at</t>
  </si>
  <si>
    <t>BTF3</t>
  </si>
  <si>
    <t>201323_at</t>
  </si>
  <si>
    <t>EBNA1BP2</t>
  </si>
  <si>
    <t>211356_x_at</t>
  </si>
  <si>
    <t>LEPR</t>
  </si>
  <si>
    <t>221982_x_at</t>
  </si>
  <si>
    <t>205094_at</t>
  </si>
  <si>
    <t>PEX12</t>
  </si>
  <si>
    <t>220156_at</t>
  </si>
  <si>
    <t>EFCAB1</t>
  </si>
  <si>
    <t>216503_s_at</t>
  </si>
  <si>
    <t>219331_s_at</t>
  </si>
  <si>
    <t>KLHDC8A</t>
  </si>
  <si>
    <t>209240_at</t>
  </si>
  <si>
    <t>218185_s_at</t>
  </si>
  <si>
    <t>ARMC1</t>
  </si>
  <si>
    <t>201304_at</t>
  </si>
  <si>
    <t>211248_s_at</t>
  </si>
  <si>
    <t>215096_s_at</t>
  </si>
  <si>
    <t>204817_at</t>
  </si>
  <si>
    <t>ESPL1</t>
  </si>
  <si>
    <t>35147_at</t>
  </si>
  <si>
    <t>219653_at</t>
  </si>
  <si>
    <t>LSM14B</t>
  </si>
  <si>
    <t>214213_x_at</t>
  </si>
  <si>
    <t>48531_at</t>
  </si>
  <si>
    <t>TNIP2</t>
  </si>
  <si>
    <t>211692_s_at</t>
  </si>
  <si>
    <t>BBC3</t>
  </si>
  <si>
    <t>201866_s_at</t>
  </si>
  <si>
    <t>213762_x_at</t>
  </si>
  <si>
    <t>RBMX</t>
  </si>
  <si>
    <t>202008_s_at</t>
  </si>
  <si>
    <t>NID1</t>
  </si>
  <si>
    <t>203475_at</t>
  </si>
  <si>
    <t>CYP19A1</t>
  </si>
  <si>
    <t>218191_s_at</t>
  </si>
  <si>
    <t>LMBRD1</t>
  </si>
  <si>
    <t>218695_at</t>
  </si>
  <si>
    <t>219424_at</t>
  </si>
  <si>
    <t>EBI3</t>
  </si>
  <si>
    <t>217376_at</t>
  </si>
  <si>
    <t>LOC100289473 /// LOC100291000</t>
  </si>
  <si>
    <t>205350_at</t>
  </si>
  <si>
    <t>CRABP1</t>
  </si>
  <si>
    <t>212978_at</t>
  </si>
  <si>
    <t>LRRC8B</t>
  </si>
  <si>
    <t>202690_s_at</t>
  </si>
  <si>
    <t>201230_s_at</t>
  </si>
  <si>
    <t>209563_x_at</t>
  </si>
  <si>
    <t>209066_x_at</t>
  </si>
  <si>
    <t>214253_s_at</t>
  </si>
  <si>
    <t>DTNB</t>
  </si>
  <si>
    <t>209792_s_at</t>
  </si>
  <si>
    <t>KLK10</t>
  </si>
  <si>
    <t>221185_s_at</t>
  </si>
  <si>
    <t>IQCG</t>
  </si>
  <si>
    <t>201157_s_at</t>
  </si>
  <si>
    <t>203293_s_at</t>
  </si>
  <si>
    <t>LMAN1</t>
  </si>
  <si>
    <t>208698_s_at</t>
  </si>
  <si>
    <t>208884_s_at</t>
  </si>
  <si>
    <t>211326_x_at</t>
  </si>
  <si>
    <t>221524_s_at</t>
  </si>
  <si>
    <t>218540_at</t>
  </si>
  <si>
    <t>221940_at</t>
  </si>
  <si>
    <t>RPUSD2</t>
  </si>
  <si>
    <t>220903_at</t>
  </si>
  <si>
    <t>GFM1</t>
  </si>
  <si>
    <t>222173_s_at</t>
  </si>
  <si>
    <t>TBC1D2</t>
  </si>
  <si>
    <t>204732_s_at</t>
  </si>
  <si>
    <t>TRIM23</t>
  </si>
  <si>
    <t>213980_s_at</t>
  </si>
  <si>
    <t>202683_s_at</t>
  </si>
  <si>
    <t>RNMT</t>
  </si>
  <si>
    <t>205874_at</t>
  </si>
  <si>
    <t>ITPKA</t>
  </si>
  <si>
    <t>207321_s_at</t>
  </si>
  <si>
    <t>ABCB9</t>
  </si>
  <si>
    <t>214270_s_at</t>
  </si>
  <si>
    <t>220631_at</t>
  </si>
  <si>
    <t>OSGEPL1</t>
  </si>
  <si>
    <t>203389_at</t>
  </si>
  <si>
    <t>KIF3C</t>
  </si>
  <si>
    <t>221206_at</t>
  </si>
  <si>
    <t>200903_s_at</t>
  </si>
  <si>
    <t>AHCY</t>
  </si>
  <si>
    <t>202396_at</t>
  </si>
  <si>
    <t>TCERG1</t>
  </si>
  <si>
    <t>208013_s_at</t>
  </si>
  <si>
    <t>200820_at</t>
  </si>
  <si>
    <t>PSMD8</t>
  </si>
  <si>
    <t>202767_at</t>
  </si>
  <si>
    <t>ACP2</t>
  </si>
  <si>
    <t>205654_at</t>
  </si>
  <si>
    <t>C4BPA</t>
  </si>
  <si>
    <t>208206_s_at</t>
  </si>
  <si>
    <t>209036_s_at</t>
  </si>
  <si>
    <t>212007_at</t>
  </si>
  <si>
    <t>214622_at</t>
  </si>
  <si>
    <t>CYP21A2</t>
  </si>
  <si>
    <t>219840_s_at</t>
  </si>
  <si>
    <t>222004_s_at</t>
  </si>
  <si>
    <t>217550_at</t>
  </si>
  <si>
    <t>ATF6</t>
  </si>
  <si>
    <t>205076_s_at</t>
  </si>
  <si>
    <t>MTMR11</t>
  </si>
  <si>
    <t>200618_at</t>
  </si>
  <si>
    <t>LASP1</t>
  </si>
  <si>
    <t>205909_at</t>
  </si>
  <si>
    <t>POLE2</t>
  </si>
  <si>
    <t>212784_at</t>
  </si>
  <si>
    <t>CIC</t>
  </si>
  <si>
    <t>213688_at</t>
  </si>
  <si>
    <t>213897_s_at</t>
  </si>
  <si>
    <t>MRPL23</t>
  </si>
  <si>
    <t>214650_x_at</t>
  </si>
  <si>
    <t>MOG</t>
  </si>
  <si>
    <t>218659_at</t>
  </si>
  <si>
    <t>ASXL2</t>
  </si>
  <si>
    <t>205519_at</t>
  </si>
  <si>
    <t>WDR76</t>
  </si>
  <si>
    <t>212308_at</t>
  </si>
  <si>
    <t>200628_s_at</t>
  </si>
  <si>
    <t>213062_at</t>
  </si>
  <si>
    <t>NTAN1</t>
  </si>
  <si>
    <t>213118_at</t>
  </si>
  <si>
    <t>UHRF1BP1L</t>
  </si>
  <si>
    <t>216957_at</t>
  </si>
  <si>
    <t>220816_at</t>
  </si>
  <si>
    <t>LPAR3</t>
  </si>
  <si>
    <t>203119_at</t>
  </si>
  <si>
    <t>CCDC86</t>
  </si>
  <si>
    <t>212054_x_at</t>
  </si>
  <si>
    <t>214442_s_at</t>
  </si>
  <si>
    <t>PIAS2</t>
  </si>
  <si>
    <t>205601_s_at</t>
  </si>
  <si>
    <t>HOXB5</t>
  </si>
  <si>
    <t>212885_at</t>
  </si>
  <si>
    <t>MPHOSPH10</t>
  </si>
  <si>
    <t>201436_at</t>
  </si>
  <si>
    <t>206027_at</t>
  </si>
  <si>
    <t>S100A3</t>
  </si>
  <si>
    <t>210312_s_at</t>
  </si>
  <si>
    <t>IFT20</t>
  </si>
  <si>
    <t>213936_x_at</t>
  </si>
  <si>
    <t>214230_at</t>
  </si>
  <si>
    <t>CDC42</t>
  </si>
  <si>
    <t>220953_s_at</t>
  </si>
  <si>
    <t>MTMR12</t>
  </si>
  <si>
    <t>212566_at</t>
  </si>
  <si>
    <t>202427_s_at</t>
  </si>
  <si>
    <t>BRP44</t>
  </si>
  <si>
    <t>211189_x_at</t>
  </si>
  <si>
    <t>201000_at</t>
  </si>
  <si>
    <t>AARS</t>
  </si>
  <si>
    <t>210843_s_at</t>
  </si>
  <si>
    <t>MFAP3L</t>
  </si>
  <si>
    <t>214619_at</t>
  </si>
  <si>
    <t>218548_x_at</t>
  </si>
  <si>
    <t>TEX264</t>
  </si>
  <si>
    <t>43427_at</t>
  </si>
  <si>
    <t>217508_s_at</t>
  </si>
  <si>
    <t>C18orf25</t>
  </si>
  <si>
    <t>209088_s_at</t>
  </si>
  <si>
    <t>UBN1</t>
  </si>
  <si>
    <t>217553_at</t>
  </si>
  <si>
    <t>MGC87042</t>
  </si>
  <si>
    <t>218600_at</t>
  </si>
  <si>
    <t>LIMD2</t>
  </si>
  <si>
    <t>202525_at</t>
  </si>
  <si>
    <t>PRSS8</t>
  </si>
  <si>
    <t>204976_s_at</t>
  </si>
  <si>
    <t>AMMECR1</t>
  </si>
  <si>
    <t>211231_x_at</t>
  </si>
  <si>
    <t>CYP4A11</t>
  </si>
  <si>
    <t>201342_at</t>
  </si>
  <si>
    <t>SNRPC</t>
  </si>
  <si>
    <t>204502_at</t>
  </si>
  <si>
    <t>SAMHD1</t>
  </si>
  <si>
    <t>204742_s_at</t>
  </si>
  <si>
    <t>206480_at</t>
  </si>
  <si>
    <t>LTC4S</t>
  </si>
  <si>
    <t>211831_s_at</t>
  </si>
  <si>
    <t>THPO</t>
  </si>
  <si>
    <t>205645_at</t>
  </si>
  <si>
    <t>REPS2</t>
  </si>
  <si>
    <t>208721_s_at</t>
  </si>
  <si>
    <t>ANAPC5</t>
  </si>
  <si>
    <t>210774_s_at</t>
  </si>
  <si>
    <t>NCOA4</t>
  </si>
  <si>
    <t>212269_s_at</t>
  </si>
  <si>
    <t>204681_s_at</t>
  </si>
  <si>
    <t>RAPGEF5</t>
  </si>
  <si>
    <t>201968_s_at</t>
  </si>
  <si>
    <t>PGM1</t>
  </si>
  <si>
    <t>205551_at</t>
  </si>
  <si>
    <t>SV2B</t>
  </si>
  <si>
    <t>208453_s_at</t>
  </si>
  <si>
    <t>201848_s_at</t>
  </si>
  <si>
    <t>221409_at</t>
  </si>
  <si>
    <t>OR2S2</t>
  </si>
  <si>
    <t>220528_at</t>
  </si>
  <si>
    <t>VNN3</t>
  </si>
  <si>
    <t>219960_s_at</t>
  </si>
  <si>
    <t>UCHL5</t>
  </si>
  <si>
    <t>203618_at</t>
  </si>
  <si>
    <t>FAIM2</t>
  </si>
  <si>
    <t>209188_x_at</t>
  </si>
  <si>
    <t>201448_at</t>
  </si>
  <si>
    <t>200025_s_at</t>
  </si>
  <si>
    <t>RPL27</t>
  </si>
  <si>
    <t>209164_s_at</t>
  </si>
  <si>
    <t>213149_at</t>
  </si>
  <si>
    <t>DLAT</t>
  </si>
  <si>
    <t>213996_at</t>
  </si>
  <si>
    <t>YPEL1</t>
  </si>
  <si>
    <t>201757_at</t>
  </si>
  <si>
    <t>NDUFS5</t>
  </si>
  <si>
    <t>205806_at</t>
  </si>
  <si>
    <t>ROM1</t>
  </si>
  <si>
    <t>203061_s_at</t>
  </si>
  <si>
    <t>MDC1</t>
  </si>
  <si>
    <t>218198_at</t>
  </si>
  <si>
    <t>DHX32</t>
  </si>
  <si>
    <t>219431_at</t>
  </si>
  <si>
    <t>ARHGAP10</t>
  </si>
  <si>
    <t>220567_at</t>
  </si>
  <si>
    <t>IKZF2</t>
  </si>
  <si>
    <t>218210_at</t>
  </si>
  <si>
    <t>FN3KRP</t>
  </si>
  <si>
    <t>206335_at</t>
  </si>
  <si>
    <t>GALNS</t>
  </si>
  <si>
    <t>207639_at</t>
  </si>
  <si>
    <t>FZD9</t>
  </si>
  <si>
    <t>201919_at</t>
  </si>
  <si>
    <t>214892_x_at</t>
  </si>
  <si>
    <t>221770_at</t>
  </si>
  <si>
    <t>RPE</t>
  </si>
  <si>
    <t>220858_at</t>
  </si>
  <si>
    <t>201223_s_at</t>
  </si>
  <si>
    <t>RAD23B</t>
  </si>
  <si>
    <t>210417_s_at</t>
  </si>
  <si>
    <t>204887_s_at</t>
  </si>
  <si>
    <t>PLK4</t>
  </si>
  <si>
    <t>217847_s_at</t>
  </si>
  <si>
    <t>THRAP3</t>
  </si>
  <si>
    <t>200036_s_at</t>
  </si>
  <si>
    <t>RPL10A</t>
  </si>
  <si>
    <t>202684_s_at</t>
  </si>
  <si>
    <t>211402_x_at</t>
  </si>
  <si>
    <t>215667_x_at</t>
  </si>
  <si>
    <t>LOC100132832 /// LOC441259 /// PMS2L1 /// PMS2L2 /// PMS2L3 /// PMS2L5</t>
  </si>
  <si>
    <t>212506_at</t>
  </si>
  <si>
    <t>221848_at</t>
  </si>
  <si>
    <t>221633_at</t>
  </si>
  <si>
    <t>208372_s_at</t>
  </si>
  <si>
    <t>209565_at</t>
  </si>
  <si>
    <t>RNF113A</t>
  </si>
  <si>
    <t>204427_s_at</t>
  </si>
  <si>
    <t>TMED2</t>
  </si>
  <si>
    <t>219830_at</t>
  </si>
  <si>
    <t>RAI1</t>
  </si>
  <si>
    <t>217225_x_at</t>
  </si>
  <si>
    <t>208109_s_at</t>
  </si>
  <si>
    <t>C15orf5</t>
  </si>
  <si>
    <t>209726_at</t>
  </si>
  <si>
    <t>CA11</t>
  </si>
  <si>
    <t>211297_s_at</t>
  </si>
  <si>
    <t>CDK7</t>
  </si>
  <si>
    <t>205985_x_at</t>
  </si>
  <si>
    <t>CLCNKB</t>
  </si>
  <si>
    <t>208364_at</t>
  </si>
  <si>
    <t>211507_s_at</t>
  </si>
  <si>
    <t>219839_x_at</t>
  </si>
  <si>
    <t>212651_at</t>
  </si>
  <si>
    <t>RHOBTB1</t>
  </si>
  <si>
    <t>215500_at</t>
  </si>
  <si>
    <t>SNX29</t>
  </si>
  <si>
    <t>201382_at</t>
  </si>
  <si>
    <t>217954_s_at</t>
  </si>
  <si>
    <t>218432_at</t>
  </si>
  <si>
    <t>FBXO3</t>
  </si>
  <si>
    <t>205441_at</t>
  </si>
  <si>
    <t>OCEL1</t>
  </si>
  <si>
    <t>2028_s_at</t>
  </si>
  <si>
    <t>202785_at</t>
  </si>
  <si>
    <t>NDUFA7</t>
  </si>
  <si>
    <t>209942_x_at</t>
  </si>
  <si>
    <t>MAGEA3</t>
  </si>
  <si>
    <t>211611_s_at</t>
  </si>
  <si>
    <t>ATF6B /// TNXB</t>
  </si>
  <si>
    <t>212916_at</t>
  </si>
  <si>
    <t>215188_at</t>
  </si>
  <si>
    <t>218914_at</t>
  </si>
  <si>
    <t>C1orf66</t>
  </si>
  <si>
    <t>219715_s_at</t>
  </si>
  <si>
    <t>TDP1</t>
  </si>
  <si>
    <t>201386_s_at</t>
  </si>
  <si>
    <t>212393_at</t>
  </si>
  <si>
    <t>215521_at</t>
  </si>
  <si>
    <t>PHC3</t>
  </si>
  <si>
    <t>218714_at</t>
  </si>
  <si>
    <t>219333_s_at</t>
  </si>
  <si>
    <t>CAPN10</t>
  </si>
  <si>
    <t>219347_at</t>
  </si>
  <si>
    <t>NUDT15</t>
  </si>
  <si>
    <t>221162_at</t>
  </si>
  <si>
    <t>HHLA1</t>
  </si>
  <si>
    <t>209462_at</t>
  </si>
  <si>
    <t>APLP1</t>
  </si>
  <si>
    <t>222076_at</t>
  </si>
  <si>
    <t>213098_at</t>
  </si>
  <si>
    <t>202026_at</t>
  </si>
  <si>
    <t>SDHD</t>
  </si>
  <si>
    <t>202726_at</t>
  </si>
  <si>
    <t>LIG1</t>
  </si>
  <si>
    <t>216236_s_at</t>
  </si>
  <si>
    <t>216679_at</t>
  </si>
  <si>
    <t>TIGD1L</t>
  </si>
  <si>
    <t>219497_s_at</t>
  </si>
  <si>
    <t>213477_x_at</t>
  </si>
  <si>
    <t>201901_s_at</t>
  </si>
  <si>
    <t>211333_s_at</t>
  </si>
  <si>
    <t>FASLG</t>
  </si>
  <si>
    <t>204477_at</t>
  </si>
  <si>
    <t>RABIF</t>
  </si>
  <si>
    <t>203453_at</t>
  </si>
  <si>
    <t>216907_x_at</t>
  </si>
  <si>
    <t>KIR3DL2 /// LOC727787</t>
  </si>
  <si>
    <t>204882_at</t>
  </si>
  <si>
    <t>ARHGAP25</t>
  </si>
  <si>
    <t>204798_at</t>
  </si>
  <si>
    <t>MYB</t>
  </si>
  <si>
    <t>212321_at</t>
  </si>
  <si>
    <t>203409_at</t>
  </si>
  <si>
    <t>DDB2</t>
  </si>
  <si>
    <t>207601_at</t>
  </si>
  <si>
    <t>SULT1B1</t>
  </si>
  <si>
    <t>217782_s_at</t>
  </si>
  <si>
    <t>GPS1</t>
  </si>
  <si>
    <t>219947_at</t>
  </si>
  <si>
    <t>CLEC4A</t>
  </si>
  <si>
    <t>218275_at</t>
  </si>
  <si>
    <t>SLC25A10</t>
  </si>
  <si>
    <t>212461_at</t>
  </si>
  <si>
    <t>AZIN1</t>
  </si>
  <si>
    <t>204812_at</t>
  </si>
  <si>
    <t>ZW10</t>
  </si>
  <si>
    <t>220195_at</t>
  </si>
  <si>
    <t>MBD5</t>
  </si>
  <si>
    <t>203768_s_at</t>
  </si>
  <si>
    <t>211980_at</t>
  </si>
  <si>
    <t>COL4A1</t>
  </si>
  <si>
    <t>214228_x_at</t>
  </si>
  <si>
    <t>TNFRSF4</t>
  </si>
  <si>
    <t>218551_at</t>
  </si>
  <si>
    <t>202104_s_at</t>
  </si>
  <si>
    <t>202730_s_at</t>
  </si>
  <si>
    <t>200996_at</t>
  </si>
  <si>
    <t>200073_s_at</t>
  </si>
  <si>
    <t>205606_at</t>
  </si>
  <si>
    <t>LRP6</t>
  </si>
  <si>
    <t>211145_x_at</t>
  </si>
  <si>
    <t>IFNA21</t>
  </si>
  <si>
    <t>203649_s_at</t>
  </si>
  <si>
    <t>PLA2G2A</t>
  </si>
  <si>
    <t>219343_at</t>
  </si>
  <si>
    <t>CDC37L1</t>
  </si>
  <si>
    <t>219406_at</t>
  </si>
  <si>
    <t>216218_s_at</t>
  </si>
  <si>
    <t>PLCL2</t>
  </si>
  <si>
    <t>201709_s_at</t>
  </si>
  <si>
    <t>202260_s_at</t>
  </si>
  <si>
    <t>STXBP1</t>
  </si>
  <si>
    <t>200002_at</t>
  </si>
  <si>
    <t>RPL35</t>
  </si>
  <si>
    <t>215418_at</t>
  </si>
  <si>
    <t>221220_s_at</t>
  </si>
  <si>
    <t>SCYL2</t>
  </si>
  <si>
    <t>204346_s_at</t>
  </si>
  <si>
    <t>RASSF1</t>
  </si>
  <si>
    <t>218336_at</t>
  </si>
  <si>
    <t>PFDN2</t>
  </si>
  <si>
    <t>221755_at</t>
  </si>
  <si>
    <t>EHBP1L1</t>
  </si>
  <si>
    <t>201072_s_at</t>
  </si>
  <si>
    <t>210796_x_at</t>
  </si>
  <si>
    <t>201037_at</t>
  </si>
  <si>
    <t>PFKP</t>
  </si>
  <si>
    <t>203356_at</t>
  </si>
  <si>
    <t>CAPN7</t>
  </si>
  <si>
    <t>205050_s_at</t>
  </si>
  <si>
    <t>205620_at</t>
  </si>
  <si>
    <t>F10</t>
  </si>
  <si>
    <t>207784_at</t>
  </si>
  <si>
    <t>215537_x_at</t>
  </si>
  <si>
    <t>220576_at</t>
  </si>
  <si>
    <t>PGAP1</t>
  </si>
  <si>
    <t>219188_s_at</t>
  </si>
  <si>
    <t>MACROD1</t>
  </si>
  <si>
    <t>219634_at</t>
  </si>
  <si>
    <t>CHST11</t>
  </si>
  <si>
    <t>208850_s_at</t>
  </si>
  <si>
    <t>213351_s_at</t>
  </si>
  <si>
    <t>TMCC1</t>
  </si>
  <si>
    <t>211953_s_at</t>
  </si>
  <si>
    <t>IPO5</t>
  </si>
  <si>
    <t>218229_s_at</t>
  </si>
  <si>
    <t>POGK</t>
  </si>
  <si>
    <t>211175_at</t>
  </si>
  <si>
    <t>GPR45</t>
  </si>
  <si>
    <t>219180_s_at</t>
  </si>
  <si>
    <t>PEX26</t>
  </si>
  <si>
    <t>216535_at</t>
  </si>
  <si>
    <t>203701_s_at</t>
  </si>
  <si>
    <t>TRMT1</t>
  </si>
  <si>
    <t>214792_x_at</t>
  </si>
  <si>
    <t>200823_x_at</t>
  </si>
  <si>
    <t>RPL29</t>
  </si>
  <si>
    <t>212791_at</t>
  </si>
  <si>
    <t>C1orf216</t>
  </si>
  <si>
    <t>217228_s_at</t>
  </si>
  <si>
    <t>ASB4</t>
  </si>
  <si>
    <t>201951_at</t>
  </si>
  <si>
    <t>211773_s_at</t>
  </si>
  <si>
    <t>ZKSCAN3</t>
  </si>
  <si>
    <t>216750_at</t>
  </si>
  <si>
    <t>206132_at</t>
  </si>
  <si>
    <t>MCC</t>
  </si>
  <si>
    <t>217399_s_at</t>
  </si>
  <si>
    <t>211461_at</t>
  </si>
  <si>
    <t>CSPG4LYP1 /// CSPG4LYP2</t>
  </si>
  <si>
    <t>220016_at</t>
  </si>
  <si>
    <t>202135_s_at</t>
  </si>
  <si>
    <t>ACTR1B</t>
  </si>
  <si>
    <t>204047_s_at</t>
  </si>
  <si>
    <t>204362_at</t>
  </si>
  <si>
    <t>SKAP2</t>
  </si>
  <si>
    <t>211972_x_at</t>
  </si>
  <si>
    <t>204804_at</t>
  </si>
  <si>
    <t>TRIM21</t>
  </si>
  <si>
    <t>213086_s_at</t>
  </si>
  <si>
    <t>209200_at</t>
  </si>
  <si>
    <t>215485_s_at</t>
  </si>
  <si>
    <t>ICAM1</t>
  </si>
  <si>
    <t>216333_x_at</t>
  </si>
  <si>
    <t>53987_at</t>
  </si>
  <si>
    <t>RANBP10</t>
  </si>
  <si>
    <t>213738_s_at</t>
  </si>
  <si>
    <t>ATP5A1</t>
  </si>
  <si>
    <t>214407_x_at</t>
  </si>
  <si>
    <t>GYPB</t>
  </si>
  <si>
    <t>210249_s_at</t>
  </si>
  <si>
    <t>207673_at</t>
  </si>
  <si>
    <t>NPHS1</t>
  </si>
  <si>
    <t>213585_s_at</t>
  </si>
  <si>
    <t>210182_at</t>
  </si>
  <si>
    <t>CORT</t>
  </si>
  <si>
    <t>205120_s_at</t>
  </si>
  <si>
    <t>SGCB</t>
  </si>
  <si>
    <t>216640_s_at</t>
  </si>
  <si>
    <t>201603_at</t>
  </si>
  <si>
    <t>203402_at</t>
  </si>
  <si>
    <t>KCNAB2</t>
  </si>
  <si>
    <t>214919_s_at</t>
  </si>
  <si>
    <t>ANKHD1-EIF4EBP3 /// EIF4EBP3</t>
  </si>
  <si>
    <t>212457_at</t>
  </si>
  <si>
    <t>TFE3</t>
  </si>
  <si>
    <t>204731_at</t>
  </si>
  <si>
    <t>TGFBR3</t>
  </si>
  <si>
    <t>209440_at</t>
  </si>
  <si>
    <t>PRPS1</t>
  </si>
  <si>
    <t>215438_x_at</t>
  </si>
  <si>
    <t>GSPT1</t>
  </si>
  <si>
    <t>218444_at</t>
  </si>
  <si>
    <t>ALG12</t>
  </si>
  <si>
    <t>208290_s_at</t>
  </si>
  <si>
    <t>219092_s_at</t>
  </si>
  <si>
    <t>IPPK</t>
  </si>
  <si>
    <t>208784_s_at</t>
  </si>
  <si>
    <t>KLHDC3</t>
  </si>
  <si>
    <t>210764_s_at</t>
  </si>
  <si>
    <t>CYR61</t>
  </si>
  <si>
    <t>205513_at</t>
  </si>
  <si>
    <t>TCN1</t>
  </si>
  <si>
    <t>202824_s_at</t>
  </si>
  <si>
    <t>213420_at</t>
  </si>
  <si>
    <t>DHX57</t>
  </si>
  <si>
    <t>202912_at</t>
  </si>
  <si>
    <t>ADM</t>
  </si>
  <si>
    <t>210168_at</t>
  </si>
  <si>
    <t>C6</t>
  </si>
  <si>
    <t>220617_s_at</t>
  </si>
  <si>
    <t>ZNF532</t>
  </si>
  <si>
    <t>215266_at</t>
  </si>
  <si>
    <t>DNAH3</t>
  </si>
  <si>
    <t>215169_at</t>
  </si>
  <si>
    <t>SLC35E2</t>
  </si>
  <si>
    <t>204317_at</t>
  </si>
  <si>
    <t>219998_at</t>
  </si>
  <si>
    <t>HSPC159</t>
  </si>
  <si>
    <t>215141_at</t>
  </si>
  <si>
    <t>C4orf10</t>
  </si>
  <si>
    <t>212688_at</t>
  </si>
  <si>
    <t>PIK3CB</t>
  </si>
  <si>
    <t>219625_s_at</t>
  </si>
  <si>
    <t>COL4A3BP</t>
  </si>
  <si>
    <t>222221_x_at</t>
  </si>
  <si>
    <t>206399_x_at</t>
  </si>
  <si>
    <t>32099_at</t>
  </si>
  <si>
    <t>SAFB2</t>
  </si>
  <si>
    <t>218865_at</t>
  </si>
  <si>
    <t>MOSC1</t>
  </si>
  <si>
    <t>214616_at</t>
  </si>
  <si>
    <t>HIST1H3E</t>
  </si>
  <si>
    <t>215084_s_at</t>
  </si>
  <si>
    <t>LRRC42</t>
  </si>
  <si>
    <t>220234_at</t>
  </si>
  <si>
    <t>CA8</t>
  </si>
  <si>
    <t>201639_s_at</t>
  </si>
  <si>
    <t>200835_s_at</t>
  </si>
  <si>
    <t>205592_at</t>
  </si>
  <si>
    <t>SLC4A1</t>
  </si>
  <si>
    <t>207377_at</t>
  </si>
  <si>
    <t>PPP1R2P9</t>
  </si>
  <si>
    <t>211238_at</t>
  </si>
  <si>
    <t>ADAM7</t>
  </si>
  <si>
    <t>212685_s_at</t>
  </si>
  <si>
    <t>TBL2</t>
  </si>
  <si>
    <t>213972_at</t>
  </si>
  <si>
    <t>FOXD1</t>
  </si>
  <si>
    <t>217602_at</t>
  </si>
  <si>
    <t>206079_at</t>
  </si>
  <si>
    <t>CHML</t>
  </si>
  <si>
    <t>212180_at</t>
  </si>
  <si>
    <t>CRKL</t>
  </si>
  <si>
    <t>219991_at</t>
  </si>
  <si>
    <t>SLC2A9</t>
  </si>
  <si>
    <t>212749_s_at</t>
  </si>
  <si>
    <t>214909_s_at</t>
  </si>
  <si>
    <t>202631_s_at</t>
  </si>
  <si>
    <t>203443_at</t>
  </si>
  <si>
    <t>205939_at</t>
  </si>
  <si>
    <t>CYP3A7</t>
  </si>
  <si>
    <t>213923_at</t>
  </si>
  <si>
    <t>RAP2B</t>
  </si>
  <si>
    <t>212877_at</t>
  </si>
  <si>
    <t>213111_at</t>
  </si>
  <si>
    <t>PIKFYVE</t>
  </si>
  <si>
    <t>208035_at</t>
  </si>
  <si>
    <t>GRM6</t>
  </si>
  <si>
    <t>205894_at</t>
  </si>
  <si>
    <t>ARSE</t>
  </si>
  <si>
    <t>218575_at</t>
  </si>
  <si>
    <t>ANAPC1</t>
  </si>
  <si>
    <t>206928_at</t>
  </si>
  <si>
    <t>ZNF124</t>
  </si>
  <si>
    <t>208439_s_at</t>
  </si>
  <si>
    <t>FCN2</t>
  </si>
  <si>
    <t>211813_x_at</t>
  </si>
  <si>
    <t>DCN</t>
  </si>
  <si>
    <t>212213_x_at</t>
  </si>
  <si>
    <t>219241_x_at</t>
  </si>
  <si>
    <t>SSH3</t>
  </si>
  <si>
    <t>212542_s_at</t>
  </si>
  <si>
    <t>PHIP</t>
  </si>
  <si>
    <t>217348_x_at</t>
  </si>
  <si>
    <t>210386_s_at</t>
  </si>
  <si>
    <t>MTX1</t>
  </si>
  <si>
    <t>218243_at</t>
  </si>
  <si>
    <t>RUFY1</t>
  </si>
  <si>
    <t>203213_at</t>
  </si>
  <si>
    <t>203606_at</t>
  </si>
  <si>
    <t>NDUFS6</t>
  </si>
  <si>
    <t>212930_at</t>
  </si>
  <si>
    <t>202116_at</t>
  </si>
  <si>
    <t>DPF2</t>
  </si>
  <si>
    <t>210651_s_at</t>
  </si>
  <si>
    <t>EPHB2</t>
  </si>
  <si>
    <t>221292_at</t>
  </si>
  <si>
    <t>PTCH2</t>
  </si>
  <si>
    <t>222346_at</t>
  </si>
  <si>
    <t>LAMA1</t>
  </si>
  <si>
    <t>200697_at</t>
  </si>
  <si>
    <t>HK1</t>
  </si>
  <si>
    <t>209322_s_at</t>
  </si>
  <si>
    <t>212971_at</t>
  </si>
  <si>
    <t>CARS</t>
  </si>
  <si>
    <t>221216_s_at</t>
  </si>
  <si>
    <t>SCMH1</t>
  </si>
  <si>
    <t>206045_s_at</t>
  </si>
  <si>
    <t>NOL4</t>
  </si>
  <si>
    <t>208520_at</t>
  </si>
  <si>
    <t>OR10H3</t>
  </si>
  <si>
    <t>202764_at</t>
  </si>
  <si>
    <t>STIM1</t>
  </si>
  <si>
    <t>204558_at</t>
  </si>
  <si>
    <t>RAD54L</t>
  </si>
  <si>
    <t>214920_at</t>
  </si>
  <si>
    <t>THSD7A</t>
  </si>
  <si>
    <t>220618_s_at</t>
  </si>
  <si>
    <t>ZCWPW1</t>
  </si>
  <si>
    <t>208293_x_at</t>
  </si>
  <si>
    <t>213140_s_at</t>
  </si>
  <si>
    <t>SS18L1</t>
  </si>
  <si>
    <t>215820_x_at</t>
  </si>
  <si>
    <t>209215_at</t>
  </si>
  <si>
    <t>MFSD10</t>
  </si>
  <si>
    <t>221333_at</t>
  </si>
  <si>
    <t>211904_x_at</t>
  </si>
  <si>
    <t>RAD52</t>
  </si>
  <si>
    <t>221946_at</t>
  </si>
  <si>
    <t>C9orf116</t>
  </si>
  <si>
    <t>211762_s_at</t>
  </si>
  <si>
    <t>KPNA2</t>
  </si>
  <si>
    <t>211962_s_at</t>
  </si>
  <si>
    <t>221191_at</t>
  </si>
  <si>
    <t>STAG3L1</t>
  </si>
  <si>
    <t>206106_at</t>
  </si>
  <si>
    <t>MAPK12</t>
  </si>
  <si>
    <t>211417_x_at</t>
  </si>
  <si>
    <t>GGT1</t>
  </si>
  <si>
    <t>218890_x_at</t>
  </si>
  <si>
    <t>MRPL35</t>
  </si>
  <si>
    <t>204467_s_at</t>
  </si>
  <si>
    <t>SNCA</t>
  </si>
  <si>
    <t>206695_x_at</t>
  </si>
  <si>
    <t>ZNF43</t>
  </si>
  <si>
    <t>207503_at</t>
  </si>
  <si>
    <t>TCP10</t>
  </si>
  <si>
    <t>205361_s_at</t>
  </si>
  <si>
    <t>203793_x_at</t>
  </si>
  <si>
    <t>203028_s_at</t>
  </si>
  <si>
    <t>CYBA</t>
  </si>
  <si>
    <t>204892_x_at</t>
  </si>
  <si>
    <t>205205_at</t>
  </si>
  <si>
    <t>RELB</t>
  </si>
  <si>
    <t>208986_at</t>
  </si>
  <si>
    <t>TCF12</t>
  </si>
  <si>
    <t>212568_s_at</t>
  </si>
  <si>
    <t>212093_s_at</t>
  </si>
  <si>
    <t>210282_at</t>
  </si>
  <si>
    <t>215706_x_at</t>
  </si>
  <si>
    <t>219208_at</t>
  </si>
  <si>
    <t>203978_at</t>
  </si>
  <si>
    <t>NUBP1</t>
  </si>
  <si>
    <t>200770_s_at</t>
  </si>
  <si>
    <t>213823_at</t>
  </si>
  <si>
    <t>HOXA11</t>
  </si>
  <si>
    <t>202337_at</t>
  </si>
  <si>
    <t>PMF1</t>
  </si>
  <si>
    <t>218215_s_at</t>
  </si>
  <si>
    <t>NR1H2</t>
  </si>
  <si>
    <t>205383_s_at</t>
  </si>
  <si>
    <t>ZBTB20</t>
  </si>
  <si>
    <t>208521_at</t>
  </si>
  <si>
    <t>OR5I1</t>
  </si>
  <si>
    <t>214969_at</t>
  </si>
  <si>
    <t>MAP3K9</t>
  </si>
  <si>
    <t>204043_at</t>
  </si>
  <si>
    <t>TCN2</t>
  </si>
  <si>
    <t>210628_x_at</t>
  </si>
  <si>
    <t>LTBP4</t>
  </si>
  <si>
    <t>220805_at</t>
  </si>
  <si>
    <t>HRH2</t>
  </si>
  <si>
    <t>205705_at</t>
  </si>
  <si>
    <t>ANKRD26</t>
  </si>
  <si>
    <t>204312_x_at</t>
  </si>
  <si>
    <t>202097_at</t>
  </si>
  <si>
    <t>NUP153</t>
  </si>
  <si>
    <t>207618_s_at</t>
  </si>
  <si>
    <t>BCS1L</t>
  </si>
  <si>
    <t>208749_x_at</t>
  </si>
  <si>
    <t>FLOT1</t>
  </si>
  <si>
    <t>209796_s_at</t>
  </si>
  <si>
    <t>200744_s_at</t>
  </si>
  <si>
    <t>GNB1</t>
  </si>
  <si>
    <t>201613_s_at</t>
  </si>
  <si>
    <t>AP1G2</t>
  </si>
  <si>
    <t>210349_at</t>
  </si>
  <si>
    <t>CAMK4</t>
  </si>
  <si>
    <t>211846_s_at</t>
  </si>
  <si>
    <t>PVRL1</t>
  </si>
  <si>
    <t>201053_s_at</t>
  </si>
  <si>
    <t>208699_x_at</t>
  </si>
  <si>
    <t>214039_s_at</t>
  </si>
  <si>
    <t>LAPTM4B</t>
  </si>
  <si>
    <t>209145_s_at</t>
  </si>
  <si>
    <t>202701_at</t>
  </si>
  <si>
    <t>203467_at</t>
  </si>
  <si>
    <t>PMM1</t>
  </si>
  <si>
    <t>208523_x_at</t>
  </si>
  <si>
    <t>HIST1H2BI</t>
  </si>
  <si>
    <t>211204_at</t>
  </si>
  <si>
    <t>ME1</t>
  </si>
  <si>
    <t>219749_at</t>
  </si>
  <si>
    <t>SH2D4A</t>
  </si>
  <si>
    <t>220807_at</t>
  </si>
  <si>
    <t>HBQ1</t>
  </si>
  <si>
    <t>222185_at</t>
  </si>
  <si>
    <t>213244_at</t>
  </si>
  <si>
    <t>SCAMP4</t>
  </si>
  <si>
    <t>220797_at</t>
  </si>
  <si>
    <t>METT10D</t>
  </si>
  <si>
    <t>50221_at</t>
  </si>
  <si>
    <t>203861_s_at</t>
  </si>
  <si>
    <t>ACTN2</t>
  </si>
  <si>
    <t>212331_at</t>
  </si>
  <si>
    <t>RBL2</t>
  </si>
  <si>
    <t>213393_at</t>
  </si>
  <si>
    <t>MFSD9</t>
  </si>
  <si>
    <t>220074_at</t>
  </si>
  <si>
    <t>220894_x_at</t>
  </si>
  <si>
    <t>PRDM12</t>
  </si>
  <si>
    <t>38766_at</t>
  </si>
  <si>
    <t>210761_s_at</t>
  </si>
  <si>
    <t>GRB7</t>
  </si>
  <si>
    <t>218842_at</t>
  </si>
  <si>
    <t>RPAP3</t>
  </si>
  <si>
    <t>213349_at</t>
  </si>
  <si>
    <t>219416_at</t>
  </si>
  <si>
    <t>SCARA3</t>
  </si>
  <si>
    <t>203052_at</t>
  </si>
  <si>
    <t>C2</t>
  </si>
  <si>
    <t>204466_s_at</t>
  </si>
  <si>
    <t>207225_at</t>
  </si>
  <si>
    <t>AANAT</t>
  </si>
  <si>
    <t>212802_s_at</t>
  </si>
  <si>
    <t>215154_at</t>
  </si>
  <si>
    <t>216474_x_at</t>
  </si>
  <si>
    <t>TPSAB1 /// TPSB2</t>
  </si>
  <si>
    <t>218155_x_at</t>
  </si>
  <si>
    <t>TSR1</t>
  </si>
  <si>
    <t>218592_s_at</t>
  </si>
  <si>
    <t>CECR5</t>
  </si>
  <si>
    <t>219040_at</t>
  </si>
  <si>
    <t>CORO7</t>
  </si>
  <si>
    <t>222033_s_at</t>
  </si>
  <si>
    <t>219992_at</t>
  </si>
  <si>
    <t>TAC3</t>
  </si>
  <si>
    <t>208356_x_at</t>
  </si>
  <si>
    <t>218607_s_at</t>
  </si>
  <si>
    <t>SDAD1</t>
  </si>
  <si>
    <t>209582_s_at</t>
  </si>
  <si>
    <t>204197_s_at</t>
  </si>
  <si>
    <t>RUNX3</t>
  </si>
  <si>
    <t>209168_at</t>
  </si>
  <si>
    <t>202306_at</t>
  </si>
  <si>
    <t>POLR2G</t>
  </si>
  <si>
    <t>221378_at</t>
  </si>
  <si>
    <t>CER1</t>
  </si>
  <si>
    <t>204228_at</t>
  </si>
  <si>
    <t>PPIH</t>
  </si>
  <si>
    <t>207467_x_at</t>
  </si>
  <si>
    <t>207937_x_at</t>
  </si>
  <si>
    <t>214339_s_at</t>
  </si>
  <si>
    <t>MAP4K1</t>
  </si>
  <si>
    <t>201836_s_at</t>
  </si>
  <si>
    <t>220674_at</t>
  </si>
  <si>
    <t>204886_at</t>
  </si>
  <si>
    <t>210624_s_at</t>
  </si>
  <si>
    <t>203509_at</t>
  </si>
  <si>
    <t>SORL1</t>
  </si>
  <si>
    <t>203733_at</t>
  </si>
  <si>
    <t>DEXI</t>
  </si>
  <si>
    <t>220862_s_at</t>
  </si>
  <si>
    <t>216261_at</t>
  </si>
  <si>
    <t>219260_s_at</t>
  </si>
  <si>
    <t>C17orf81</t>
  </si>
  <si>
    <t>211941_s_at</t>
  </si>
  <si>
    <t>214210_at</t>
  </si>
  <si>
    <t>200867_at</t>
  </si>
  <si>
    <t>202538_s_at</t>
  </si>
  <si>
    <t>203616_at</t>
  </si>
  <si>
    <t>POLB</t>
  </si>
  <si>
    <t>217844_at</t>
  </si>
  <si>
    <t>CTDSP1</t>
  </si>
  <si>
    <t>219888_at</t>
  </si>
  <si>
    <t>SPAG4</t>
  </si>
  <si>
    <t>201575_at</t>
  </si>
  <si>
    <t>204754_at</t>
  </si>
  <si>
    <t>HLF</t>
  </si>
  <si>
    <t>200914_x_at</t>
  </si>
  <si>
    <t>219245_s_at</t>
  </si>
  <si>
    <t>219362_at</t>
  </si>
  <si>
    <t>MAK10</t>
  </si>
  <si>
    <t>213148_at</t>
  </si>
  <si>
    <t>208580_x_at</t>
  </si>
  <si>
    <t>HIST1H4J /// HIST1H4K</t>
  </si>
  <si>
    <t>213716_s_at</t>
  </si>
  <si>
    <t>SECTM1</t>
  </si>
  <si>
    <t>206948_at</t>
  </si>
  <si>
    <t>220554_at</t>
  </si>
  <si>
    <t>SLC22A7</t>
  </si>
  <si>
    <t>204490_s_at</t>
  </si>
  <si>
    <t>209392_at</t>
  </si>
  <si>
    <t>ENPP2</t>
  </si>
  <si>
    <t>210097_s_at</t>
  </si>
  <si>
    <t>220438_at</t>
  </si>
  <si>
    <t>QPCTL</t>
  </si>
  <si>
    <t>222078_at</t>
  </si>
  <si>
    <t>222258_s_at</t>
  </si>
  <si>
    <t>SH3BP4</t>
  </si>
  <si>
    <t>212522_at</t>
  </si>
  <si>
    <t>210559_s_at</t>
  </si>
  <si>
    <t>219735_s_at</t>
  </si>
  <si>
    <t>TFCP2L1</t>
  </si>
  <si>
    <t>204071_s_at</t>
  </si>
  <si>
    <t>TOPORS</t>
  </si>
  <si>
    <t>214067_at</t>
  </si>
  <si>
    <t>C16orf42</t>
  </si>
  <si>
    <t>218993_at</t>
  </si>
  <si>
    <t>RNMTL1</t>
  </si>
  <si>
    <t>205642_at</t>
  </si>
  <si>
    <t>CEP110</t>
  </si>
  <si>
    <t>211285_s_at</t>
  </si>
  <si>
    <t>214115_at</t>
  </si>
  <si>
    <t>VAMP5</t>
  </si>
  <si>
    <t>215985_at</t>
  </si>
  <si>
    <t>NCRNA00171</t>
  </si>
  <si>
    <t>221251_x_at</t>
  </si>
  <si>
    <t>202450_s_at</t>
  </si>
  <si>
    <t>CTSK</t>
  </si>
  <si>
    <t>213619_at</t>
  </si>
  <si>
    <t>216825_s_at</t>
  </si>
  <si>
    <t>MPL</t>
  </si>
  <si>
    <t>219303_at</t>
  </si>
  <si>
    <t>RNF219</t>
  </si>
  <si>
    <t>206463_s_at</t>
  </si>
  <si>
    <t>DHRS2</t>
  </si>
  <si>
    <t>221918_at</t>
  </si>
  <si>
    <t>220737_at</t>
  </si>
  <si>
    <t>RPS6KA6</t>
  </si>
  <si>
    <t>200956_s_at</t>
  </si>
  <si>
    <t>204245_s_at</t>
  </si>
  <si>
    <t>RPP14</t>
  </si>
  <si>
    <t>202778_s_at</t>
  </si>
  <si>
    <t>207087_x_at</t>
  </si>
  <si>
    <t>214241_at</t>
  </si>
  <si>
    <t>NDUFB8</t>
  </si>
  <si>
    <t>200005_at</t>
  </si>
  <si>
    <t>EIF3D</t>
  </si>
  <si>
    <t>204216_s_at</t>
  </si>
  <si>
    <t>209054_s_at</t>
  </si>
  <si>
    <t>WHSC1</t>
  </si>
  <si>
    <t>212046_x_at</t>
  </si>
  <si>
    <t>MAPK3</t>
  </si>
  <si>
    <t>212446_s_at</t>
  </si>
  <si>
    <t>LASS6</t>
  </si>
  <si>
    <t>206484_s_at</t>
  </si>
  <si>
    <t>XPNPEP2</t>
  </si>
  <si>
    <t>214988_s_at</t>
  </si>
  <si>
    <t>220199_s_at</t>
  </si>
  <si>
    <t>AIDA</t>
  </si>
  <si>
    <t>209053_s_at</t>
  </si>
  <si>
    <t>65630_at</t>
  </si>
  <si>
    <t>214206_at</t>
  </si>
  <si>
    <t>PPIL6</t>
  </si>
  <si>
    <t>209166_s_at</t>
  </si>
  <si>
    <t>MAN2B1</t>
  </si>
  <si>
    <t>200603_at</t>
  </si>
  <si>
    <t>201712_s_at</t>
  </si>
  <si>
    <t>202038_at</t>
  </si>
  <si>
    <t>UBE4A</t>
  </si>
  <si>
    <t>203679_at</t>
  </si>
  <si>
    <t>TMED1</t>
  </si>
  <si>
    <t>208468_at</t>
  </si>
  <si>
    <t>SOX21</t>
  </si>
  <si>
    <t>208731_at</t>
  </si>
  <si>
    <t>211012_s_at</t>
  </si>
  <si>
    <t>LOC161527 /// PML</t>
  </si>
  <si>
    <t>212803_at</t>
  </si>
  <si>
    <t>NAB2</t>
  </si>
  <si>
    <t>216434_at</t>
  </si>
  <si>
    <t>TTC38</t>
  </si>
  <si>
    <t>219111_s_at</t>
  </si>
  <si>
    <t>DDX54</t>
  </si>
  <si>
    <t>200941_at</t>
  </si>
  <si>
    <t>201166_s_at</t>
  </si>
  <si>
    <t>202527_s_at</t>
  </si>
  <si>
    <t>SMAD4</t>
  </si>
  <si>
    <t>202795_x_at</t>
  </si>
  <si>
    <t>205171_at</t>
  </si>
  <si>
    <t>PTPN4</t>
  </si>
  <si>
    <t>205813_s_at</t>
  </si>
  <si>
    <t>MAT1A</t>
  </si>
  <si>
    <t>208900_s_at</t>
  </si>
  <si>
    <t>TOP1</t>
  </si>
  <si>
    <t>219679_s_at</t>
  </si>
  <si>
    <t>WAC</t>
  </si>
  <si>
    <t>211404_s_at</t>
  </si>
  <si>
    <t>219186_at</t>
  </si>
  <si>
    <t>221344_at</t>
  </si>
  <si>
    <t>OR12D2</t>
  </si>
  <si>
    <t>207427_at</t>
  </si>
  <si>
    <t>ACR /// LOC645529</t>
  </si>
  <si>
    <t>41160_at</t>
  </si>
  <si>
    <t>MBD3</t>
  </si>
  <si>
    <t>201861_s_at</t>
  </si>
  <si>
    <t>LRRFIP1</t>
  </si>
  <si>
    <t>208695_s_at</t>
  </si>
  <si>
    <t>RPL39</t>
  </si>
  <si>
    <t>211031_s_at</t>
  </si>
  <si>
    <t>CLIP2</t>
  </si>
  <si>
    <t>221945_at</t>
  </si>
  <si>
    <t>204369_at</t>
  </si>
  <si>
    <t>PIK3CA</t>
  </si>
  <si>
    <t>210202_s_at</t>
  </si>
  <si>
    <t>BIN1</t>
  </si>
  <si>
    <t>213186_at</t>
  </si>
  <si>
    <t>215012_at</t>
  </si>
  <si>
    <t>ZNF451</t>
  </si>
  <si>
    <t>209899_s_at</t>
  </si>
  <si>
    <t>PUF60</t>
  </si>
  <si>
    <t>220071_x_at</t>
  </si>
  <si>
    <t>HAUS2</t>
  </si>
  <si>
    <t>201748_s_at</t>
  </si>
  <si>
    <t>SAFB</t>
  </si>
  <si>
    <t>222067_x_at</t>
  </si>
  <si>
    <t>HIST1H2BD</t>
  </si>
  <si>
    <t>212578_x_at</t>
  </si>
  <si>
    <t>201458_s_at</t>
  </si>
  <si>
    <t>202416_at</t>
  </si>
  <si>
    <t>DNAJC7</t>
  </si>
  <si>
    <t>207822_at</t>
  </si>
  <si>
    <t>201649_at</t>
  </si>
  <si>
    <t>UBE2L6</t>
  </si>
  <si>
    <t>205819_at</t>
  </si>
  <si>
    <t>MARCO</t>
  </si>
  <si>
    <t>206148_at</t>
  </si>
  <si>
    <t>IL3RA</t>
  </si>
  <si>
    <t>211138_s_at</t>
  </si>
  <si>
    <t>211787_s_at</t>
  </si>
  <si>
    <t>EIF4A1</t>
  </si>
  <si>
    <t>212546_s_at</t>
  </si>
  <si>
    <t>FRYL</t>
  </si>
  <si>
    <t>213592_at</t>
  </si>
  <si>
    <t>APLNR</t>
  </si>
  <si>
    <t>218011_at</t>
  </si>
  <si>
    <t>UBL5</t>
  </si>
  <si>
    <t>218689_at</t>
  </si>
  <si>
    <t>FANCF</t>
  </si>
  <si>
    <t>221519_at</t>
  </si>
  <si>
    <t>FBXW4</t>
  </si>
  <si>
    <t>207648_at</t>
  </si>
  <si>
    <t>DRP2</t>
  </si>
  <si>
    <t>215307_at</t>
  </si>
  <si>
    <t>ZNF529</t>
  </si>
  <si>
    <t>208435_s_at</t>
  </si>
  <si>
    <t>218572_at</t>
  </si>
  <si>
    <t>CHMP4A</t>
  </si>
  <si>
    <t>218358_at</t>
  </si>
  <si>
    <t>CRELD2</t>
  </si>
  <si>
    <t>215451_s_at</t>
  </si>
  <si>
    <t>AFF1</t>
  </si>
  <si>
    <t>201804_x_at</t>
  </si>
  <si>
    <t>203416_at</t>
  </si>
  <si>
    <t>CD53</t>
  </si>
  <si>
    <t>214908_s_at</t>
  </si>
  <si>
    <t>TRRAP</t>
  </si>
  <si>
    <t>215536_at</t>
  </si>
  <si>
    <t>HLA-DQB2</t>
  </si>
  <si>
    <t>208416_s_at</t>
  </si>
  <si>
    <t>202060_at</t>
  </si>
  <si>
    <t>CTR9</t>
  </si>
  <si>
    <t>202757_at</t>
  </si>
  <si>
    <t>COBRA1</t>
  </si>
  <si>
    <t>207217_s_at</t>
  </si>
  <si>
    <t>NOX1</t>
  </si>
  <si>
    <t>207391_s_at</t>
  </si>
  <si>
    <t>213899_at</t>
  </si>
  <si>
    <t>METAP2</t>
  </si>
  <si>
    <t>216249_at</t>
  </si>
  <si>
    <t>221775_x_at</t>
  </si>
  <si>
    <t>221823_at</t>
  </si>
  <si>
    <t>C5orf30</t>
  </si>
  <si>
    <t>206531_at</t>
  </si>
  <si>
    <t>DPF1</t>
  </si>
  <si>
    <t>218449_at</t>
  </si>
  <si>
    <t>UFSP2</t>
  </si>
  <si>
    <t>203490_at</t>
  </si>
  <si>
    <t>206225_at</t>
  </si>
  <si>
    <t>ZNF507</t>
  </si>
  <si>
    <t>201455_s_at</t>
  </si>
  <si>
    <t>214747_at</t>
  </si>
  <si>
    <t>ZBED4</t>
  </si>
  <si>
    <t>202497_x_at</t>
  </si>
  <si>
    <t>220683_at</t>
  </si>
  <si>
    <t>RDH8</t>
  </si>
  <si>
    <t>205404_at</t>
  </si>
  <si>
    <t>HSD11B1</t>
  </si>
  <si>
    <t>217769_s_at</t>
  </si>
  <si>
    <t>POMP</t>
  </si>
  <si>
    <t>205257_s_at</t>
  </si>
  <si>
    <t>AMPH</t>
  </si>
  <si>
    <t>202018_s_at</t>
  </si>
  <si>
    <t>LTF</t>
  </si>
  <si>
    <t>211535_s_at</t>
  </si>
  <si>
    <t>219891_at</t>
  </si>
  <si>
    <t>PGPEP1</t>
  </si>
  <si>
    <t>205212_s_at</t>
  </si>
  <si>
    <t>ACAP1</t>
  </si>
  <si>
    <t>211115_x_at</t>
  </si>
  <si>
    <t>SIP1</t>
  </si>
  <si>
    <t>212774_at</t>
  </si>
  <si>
    <t>ZNF238</t>
  </si>
  <si>
    <t>217748_at</t>
  </si>
  <si>
    <t>ADIPOR1</t>
  </si>
  <si>
    <t>209624_s_at</t>
  </si>
  <si>
    <t>215359_x_at</t>
  </si>
  <si>
    <t>ZNF44</t>
  </si>
  <si>
    <t>213510_x_at</t>
  </si>
  <si>
    <t>LOC220594</t>
  </si>
  <si>
    <t>215771_x_at</t>
  </si>
  <si>
    <t>217822_at</t>
  </si>
  <si>
    <t>WBP11</t>
  </si>
  <si>
    <t>205817_at</t>
  </si>
  <si>
    <t>SIX1</t>
  </si>
  <si>
    <t>209850_s_at</t>
  </si>
  <si>
    <t>202978_s_at</t>
  </si>
  <si>
    <t>210285_x_at</t>
  </si>
  <si>
    <t>207244_x_at</t>
  </si>
  <si>
    <t>CYP2A6 /// CYP2A7</t>
  </si>
  <si>
    <t>203048_s_at</t>
  </si>
  <si>
    <t>201840_at</t>
  </si>
  <si>
    <t>NEDD8</t>
  </si>
  <si>
    <t>201935_s_at</t>
  </si>
  <si>
    <t>EIF4G3</t>
  </si>
  <si>
    <t>203627_at</t>
  </si>
  <si>
    <t>204695_at</t>
  </si>
  <si>
    <t>206430_at</t>
  </si>
  <si>
    <t>CDX1</t>
  </si>
  <si>
    <t>206597_at</t>
  </si>
  <si>
    <t>NRL</t>
  </si>
  <si>
    <t>213711_at</t>
  </si>
  <si>
    <t>KRT81</t>
  </si>
  <si>
    <t>217223_s_at</t>
  </si>
  <si>
    <t>219670_at</t>
  </si>
  <si>
    <t>BEND5</t>
  </si>
  <si>
    <t>222099_s_at</t>
  </si>
  <si>
    <t>216998_s_at</t>
  </si>
  <si>
    <t>ADAM5P</t>
  </si>
  <si>
    <t>220138_at</t>
  </si>
  <si>
    <t>HAND1</t>
  </si>
  <si>
    <t>221600_s_at</t>
  </si>
  <si>
    <t>221885_at</t>
  </si>
  <si>
    <t>212135_s_at</t>
  </si>
  <si>
    <t>202957_at</t>
  </si>
  <si>
    <t>HCLS1</t>
  </si>
  <si>
    <t>205545_x_at</t>
  </si>
  <si>
    <t>202909_at</t>
  </si>
  <si>
    <t>EPM2AIP1</t>
  </si>
  <si>
    <t>212260_at</t>
  </si>
  <si>
    <t>204762_s_at</t>
  </si>
  <si>
    <t>204813_at</t>
  </si>
  <si>
    <t>MAPK10</t>
  </si>
  <si>
    <t>206364_at</t>
  </si>
  <si>
    <t>KIF14</t>
  </si>
  <si>
    <t>207266_x_at</t>
  </si>
  <si>
    <t>210332_at</t>
  </si>
  <si>
    <t>LOC100291176</t>
  </si>
  <si>
    <t>211223_at</t>
  </si>
  <si>
    <t>PROP1</t>
  </si>
  <si>
    <t>218953_s_at</t>
  </si>
  <si>
    <t>PCYOX1L</t>
  </si>
  <si>
    <t>221041_s_at</t>
  </si>
  <si>
    <t>SLC17A5</t>
  </si>
  <si>
    <t>209937_at</t>
  </si>
  <si>
    <t>TM4SF4</t>
  </si>
  <si>
    <t>221947_at</t>
  </si>
  <si>
    <t>LOC100293792</t>
  </si>
  <si>
    <t>206331_at</t>
  </si>
  <si>
    <t>CALCRL</t>
  </si>
  <si>
    <t>202292_x_at</t>
  </si>
  <si>
    <t>217854_s_at</t>
  </si>
  <si>
    <t>201350_at</t>
  </si>
  <si>
    <t>FLOT2</t>
  </si>
  <si>
    <t>213970_at</t>
  </si>
  <si>
    <t>RABL3</t>
  </si>
  <si>
    <t>220600_at</t>
  </si>
  <si>
    <t>C3orf75</t>
  </si>
  <si>
    <t>213648_at</t>
  </si>
  <si>
    <t>EXOSC7</t>
  </si>
  <si>
    <t>219114_at</t>
  </si>
  <si>
    <t>C3orf18</t>
  </si>
  <si>
    <t>217517_x_at</t>
  </si>
  <si>
    <t>204998_s_at</t>
  </si>
  <si>
    <t>208673_s_at</t>
  </si>
  <si>
    <t>212782_x_at</t>
  </si>
  <si>
    <t>POLR2J</t>
  </si>
  <si>
    <t>220592_at</t>
  </si>
  <si>
    <t>CCDC40</t>
  </si>
  <si>
    <t>221771_s_at</t>
  </si>
  <si>
    <t>MPHOSPH8</t>
  </si>
  <si>
    <t>215867_x_at</t>
  </si>
  <si>
    <t>206402_s_at</t>
  </si>
  <si>
    <t>219763_at</t>
  </si>
  <si>
    <t>DENND1A</t>
  </si>
  <si>
    <t>221282_x_at</t>
  </si>
  <si>
    <t>203347_s_at</t>
  </si>
  <si>
    <t>64488_at</t>
  </si>
  <si>
    <t>IRGQ</t>
  </si>
  <si>
    <t>209498_at</t>
  </si>
  <si>
    <t>219610_at</t>
  </si>
  <si>
    <t>RGNEF</t>
  </si>
  <si>
    <t>212324_s_at</t>
  </si>
  <si>
    <t>214695_at</t>
  </si>
  <si>
    <t>208666_s_at</t>
  </si>
  <si>
    <t>211880_x_at</t>
  </si>
  <si>
    <t>PCDHGA1</t>
  </si>
  <si>
    <t>219078_at</t>
  </si>
  <si>
    <t>GPATCH2</t>
  </si>
  <si>
    <t>222024_s_at</t>
  </si>
  <si>
    <t>200001_at</t>
  </si>
  <si>
    <t>CAPNS1</t>
  </si>
  <si>
    <t>200038_s_at</t>
  </si>
  <si>
    <t>RPL17</t>
  </si>
  <si>
    <t>34697_at</t>
  </si>
  <si>
    <t>37170_at</t>
  </si>
  <si>
    <t>37549_g_at</t>
  </si>
  <si>
    <t>BBS9</t>
  </si>
  <si>
    <t>39313_at</t>
  </si>
  <si>
    <t>51228_at</t>
  </si>
  <si>
    <t>52285_f_at</t>
  </si>
  <si>
    <t>CEP76</t>
  </si>
  <si>
    <t>65472_at</t>
  </si>
  <si>
    <t>C2orf68</t>
  </si>
  <si>
    <t>71933_at</t>
  </si>
  <si>
    <t>200627_at</t>
  </si>
  <si>
    <t>PTGES3</t>
  </si>
  <si>
    <t>200962_at</t>
  </si>
  <si>
    <t>201047_x_at</t>
  </si>
  <si>
    <t>201169_s_at</t>
  </si>
  <si>
    <t>201412_at</t>
  </si>
  <si>
    <t>LRP10</t>
  </si>
  <si>
    <t>201427_s_at</t>
  </si>
  <si>
    <t>SEPP1</t>
  </si>
  <si>
    <t>202069_s_at</t>
  </si>
  <si>
    <t>202319_at</t>
  </si>
  <si>
    <t>202342_s_at</t>
  </si>
  <si>
    <t>202349_at</t>
  </si>
  <si>
    <t>TOR1A</t>
  </si>
  <si>
    <t>202589_at</t>
  </si>
  <si>
    <t>TYMS</t>
  </si>
  <si>
    <t>202782_s_at</t>
  </si>
  <si>
    <t>INPP5K</t>
  </si>
  <si>
    <t>202901_x_at</t>
  </si>
  <si>
    <t>CTSS</t>
  </si>
  <si>
    <t>203093_s_at</t>
  </si>
  <si>
    <t>203115_at</t>
  </si>
  <si>
    <t>FECH</t>
  </si>
  <si>
    <t>203231_s_at</t>
  </si>
  <si>
    <t>ATXN1</t>
  </si>
  <si>
    <t>203232_s_at</t>
  </si>
  <si>
    <t>203239_s_at</t>
  </si>
  <si>
    <t>CNOT3</t>
  </si>
  <si>
    <t>203491_s_at</t>
  </si>
  <si>
    <t>203566_s_at</t>
  </si>
  <si>
    <t>AGL</t>
  </si>
  <si>
    <t>203568_s_at</t>
  </si>
  <si>
    <t>TRIM38</t>
  </si>
  <si>
    <t>203584_at</t>
  </si>
  <si>
    <t>TTC35</t>
  </si>
  <si>
    <t>203657_s_at</t>
  </si>
  <si>
    <t>CTSF</t>
  </si>
  <si>
    <t>203711_s_at</t>
  </si>
  <si>
    <t>203767_s_at</t>
  </si>
  <si>
    <t>203799_at</t>
  </si>
  <si>
    <t>CD302</t>
  </si>
  <si>
    <t>203870_at</t>
  </si>
  <si>
    <t>USP46</t>
  </si>
  <si>
    <t>203915_at</t>
  </si>
  <si>
    <t>CXCL9</t>
  </si>
  <si>
    <t>203943_at</t>
  </si>
  <si>
    <t>KIF3B</t>
  </si>
  <si>
    <t>203945_at</t>
  </si>
  <si>
    <t>ARG2</t>
  </si>
  <si>
    <t>203991_s_at</t>
  </si>
  <si>
    <t>204055_s_at</t>
  </si>
  <si>
    <t>204128_s_at</t>
  </si>
  <si>
    <t>RFC3</t>
  </si>
  <si>
    <t>204166_at</t>
  </si>
  <si>
    <t>SBNO2</t>
  </si>
  <si>
    <t>204230_s_at</t>
  </si>
  <si>
    <t>204268_at</t>
  </si>
  <si>
    <t>S100A2</t>
  </si>
  <si>
    <t>204333_s_at</t>
  </si>
  <si>
    <t>204569_at</t>
  </si>
  <si>
    <t>ICK</t>
  </si>
  <si>
    <t>204616_at</t>
  </si>
  <si>
    <t>UCHL3</t>
  </si>
  <si>
    <t>204671_s_at</t>
  </si>
  <si>
    <t>ANKRD6</t>
  </si>
  <si>
    <t>204783_at</t>
  </si>
  <si>
    <t>MLF1</t>
  </si>
  <si>
    <t>204784_s_at</t>
  </si>
  <si>
    <t>204839_at</t>
  </si>
  <si>
    <t>POP5</t>
  </si>
  <si>
    <t>204867_at</t>
  </si>
  <si>
    <t>GCHFR</t>
  </si>
  <si>
    <t>204946_s_at</t>
  </si>
  <si>
    <t>204953_at</t>
  </si>
  <si>
    <t>SNAP91</t>
  </si>
  <si>
    <t>205071_x_at</t>
  </si>
  <si>
    <t>XRCC4</t>
  </si>
  <si>
    <t>205078_at</t>
  </si>
  <si>
    <t>205106_at</t>
  </si>
  <si>
    <t>MTCP1</t>
  </si>
  <si>
    <t>205110_s_at</t>
  </si>
  <si>
    <t>FGF13</t>
  </si>
  <si>
    <t>205142_x_at</t>
  </si>
  <si>
    <t>ABCD1</t>
  </si>
  <si>
    <t>205167_s_at</t>
  </si>
  <si>
    <t>CDC25C</t>
  </si>
  <si>
    <t>205198_s_at</t>
  </si>
  <si>
    <t>ATP7A</t>
  </si>
  <si>
    <t>205296_at</t>
  </si>
  <si>
    <t>RBL1</t>
  </si>
  <si>
    <t>205420_at</t>
  </si>
  <si>
    <t>205454_at</t>
  </si>
  <si>
    <t>HPCA</t>
  </si>
  <si>
    <t>205462_s_at</t>
  </si>
  <si>
    <t>HPCAL1</t>
  </si>
  <si>
    <t>205472_s_at</t>
  </si>
  <si>
    <t>DACH1</t>
  </si>
  <si>
    <t>205652_s_at</t>
  </si>
  <si>
    <t>TTLL1</t>
  </si>
  <si>
    <t>205679_x_at</t>
  </si>
  <si>
    <t>ACAN</t>
  </si>
  <si>
    <t>205706_s_at</t>
  </si>
  <si>
    <t>205841_at</t>
  </si>
  <si>
    <t>205844_at</t>
  </si>
  <si>
    <t>VNN1</t>
  </si>
  <si>
    <t>205891_at</t>
  </si>
  <si>
    <t>ADORA2B</t>
  </si>
  <si>
    <t>205923_at</t>
  </si>
  <si>
    <t>RELN</t>
  </si>
  <si>
    <t>205940_at</t>
  </si>
  <si>
    <t>MYH3</t>
  </si>
  <si>
    <t>206023_at</t>
  </si>
  <si>
    <t>NMU</t>
  </si>
  <si>
    <t>206060_s_at</t>
  </si>
  <si>
    <t>PTPN22</t>
  </si>
  <si>
    <t>206131_at</t>
  </si>
  <si>
    <t>CLPS</t>
  </si>
  <si>
    <t>206281_at</t>
  </si>
  <si>
    <t>ADCYAP1</t>
  </si>
  <si>
    <t>206451_at</t>
  </si>
  <si>
    <t>TBCCD1</t>
  </si>
  <si>
    <t>206454_s_at</t>
  </si>
  <si>
    <t>RHO</t>
  </si>
  <si>
    <t>206483_at</t>
  </si>
  <si>
    <t>LRRC6</t>
  </si>
  <si>
    <t>206487_at</t>
  </si>
  <si>
    <t>UNC84A</t>
  </si>
  <si>
    <t>206633_at</t>
  </si>
  <si>
    <t>CHRNA1</t>
  </si>
  <si>
    <t>206653_at</t>
  </si>
  <si>
    <t>POLR3G</t>
  </si>
  <si>
    <t>206677_at</t>
  </si>
  <si>
    <t>KRT31</t>
  </si>
  <si>
    <t>206715_at</t>
  </si>
  <si>
    <t>TFEC</t>
  </si>
  <si>
    <t>206753_at</t>
  </si>
  <si>
    <t>RDH16</t>
  </si>
  <si>
    <t>206773_at</t>
  </si>
  <si>
    <t>LY6H</t>
  </si>
  <si>
    <t>207222_at</t>
  </si>
  <si>
    <t>PLA2G10</t>
  </si>
  <si>
    <t>207475_at</t>
  </si>
  <si>
    <t>FABP2</t>
  </si>
  <si>
    <t>207627_s_at</t>
  </si>
  <si>
    <t>207691_x_at</t>
  </si>
  <si>
    <t>207811_at</t>
  </si>
  <si>
    <t>KRT12</t>
  </si>
  <si>
    <t>207887_s_at</t>
  </si>
  <si>
    <t>CALCR</t>
  </si>
  <si>
    <t>207943_x_at</t>
  </si>
  <si>
    <t>208017_s_at</t>
  </si>
  <si>
    <t>MCF2</t>
  </si>
  <si>
    <t>208026_at</t>
  </si>
  <si>
    <t>HIST1H4F</t>
  </si>
  <si>
    <t>208062_s_at</t>
  </si>
  <si>
    <t>NRG2</t>
  </si>
  <si>
    <t>208115_x_at</t>
  </si>
  <si>
    <t>208121_s_at</t>
  </si>
  <si>
    <t>PTPRO</t>
  </si>
  <si>
    <t>208258_s_at</t>
  </si>
  <si>
    <t>208336_s_at</t>
  </si>
  <si>
    <t>TECR</t>
  </si>
  <si>
    <t>208389_s_at</t>
  </si>
  <si>
    <t>SLC1A2</t>
  </si>
  <si>
    <t>208458_at</t>
  </si>
  <si>
    <t>SCNN1D</t>
  </si>
  <si>
    <t>208585_at</t>
  </si>
  <si>
    <t>BTN2A3</t>
  </si>
  <si>
    <t>208587_s_at</t>
  </si>
  <si>
    <t>OR1E1 /// OR1E2</t>
  </si>
  <si>
    <t>208653_s_at</t>
  </si>
  <si>
    <t>208712_at</t>
  </si>
  <si>
    <t>208922_s_at</t>
  </si>
  <si>
    <t>NXF1</t>
  </si>
  <si>
    <t>209176_at</t>
  </si>
  <si>
    <t>209198_s_at</t>
  </si>
  <si>
    <t>209371_s_at</t>
  </si>
  <si>
    <t>209474_s_at</t>
  </si>
  <si>
    <t>209485_s_at</t>
  </si>
  <si>
    <t>209504_s_at</t>
  </si>
  <si>
    <t>PLEKHB1</t>
  </si>
  <si>
    <t>209512_at</t>
  </si>
  <si>
    <t>209576_at</t>
  </si>
  <si>
    <t>GNAI1</t>
  </si>
  <si>
    <t>209585_s_at</t>
  </si>
  <si>
    <t>MINPP1</t>
  </si>
  <si>
    <t>209600_s_at</t>
  </si>
  <si>
    <t>209640_at</t>
  </si>
  <si>
    <t>PML</t>
  </si>
  <si>
    <t>209649_at</t>
  </si>
  <si>
    <t>STAM2</t>
  </si>
  <si>
    <t>209702_at</t>
  </si>
  <si>
    <t>FTO</t>
  </si>
  <si>
    <t>209737_at</t>
  </si>
  <si>
    <t>MAGI2</t>
  </si>
  <si>
    <t>209758_s_at</t>
  </si>
  <si>
    <t>MFAP5</t>
  </si>
  <si>
    <t>209883_at</t>
  </si>
  <si>
    <t>GLT25D2</t>
  </si>
  <si>
    <t>209895_at</t>
  </si>
  <si>
    <t>210044_s_at</t>
  </si>
  <si>
    <t>LYL1</t>
  </si>
  <si>
    <t>210144_at</t>
  </si>
  <si>
    <t>LOC100289878</t>
  </si>
  <si>
    <t>210255_at</t>
  </si>
  <si>
    <t>RAD51L1</t>
  </si>
  <si>
    <t>210504_at</t>
  </si>
  <si>
    <t>KLF1</t>
  </si>
  <si>
    <t>210539_at</t>
  </si>
  <si>
    <t>210641_at</t>
  </si>
  <si>
    <t>210708_x_at</t>
  </si>
  <si>
    <t>CASP10</t>
  </si>
  <si>
    <t>210775_x_at</t>
  </si>
  <si>
    <t>CASP9</t>
  </si>
  <si>
    <t>210807_s_at</t>
  </si>
  <si>
    <t>210811_s_at</t>
  </si>
  <si>
    <t>210882_s_at</t>
  </si>
  <si>
    <t>210940_s_at</t>
  </si>
  <si>
    <t>211044_at</t>
  </si>
  <si>
    <t>211200_s_at</t>
  </si>
  <si>
    <t>EFCAB2</t>
  </si>
  <si>
    <t>211317_s_at</t>
  </si>
  <si>
    <t>211527_x_at</t>
  </si>
  <si>
    <t>211814_s_at</t>
  </si>
  <si>
    <t>212078_s_at</t>
  </si>
  <si>
    <t>212172_at</t>
  </si>
  <si>
    <t>212199_at</t>
  </si>
  <si>
    <t>MRFAP1L1</t>
  </si>
  <si>
    <t>212217_at</t>
  </si>
  <si>
    <t>212289_at</t>
  </si>
  <si>
    <t>212302_at</t>
  </si>
  <si>
    <t>212335_at</t>
  </si>
  <si>
    <t>212597_s_at</t>
  </si>
  <si>
    <t>212609_s_at</t>
  </si>
  <si>
    <t>212647_at</t>
  </si>
  <si>
    <t>RRAS</t>
  </si>
  <si>
    <t>212686_at</t>
  </si>
  <si>
    <t>PPM1H</t>
  </si>
  <si>
    <t>212697_at</t>
  </si>
  <si>
    <t>FAM134C</t>
  </si>
  <si>
    <t>212759_s_at</t>
  </si>
  <si>
    <t>212792_at</t>
  </si>
  <si>
    <t>DPY19L1</t>
  </si>
  <si>
    <t>212893_at</t>
  </si>
  <si>
    <t>ZZZ3</t>
  </si>
  <si>
    <t>212934_at</t>
  </si>
  <si>
    <t>UBXN2B</t>
  </si>
  <si>
    <t>212981_s_at</t>
  </si>
  <si>
    <t>213116_at</t>
  </si>
  <si>
    <t>NEK3</t>
  </si>
  <si>
    <t>213152_s_at</t>
  </si>
  <si>
    <t>213198_at</t>
  </si>
  <si>
    <t>213242_x_at</t>
  </si>
  <si>
    <t>KIAA0284</t>
  </si>
  <si>
    <t>213316_at</t>
  </si>
  <si>
    <t>KIAA1462</t>
  </si>
  <si>
    <t>213417_at</t>
  </si>
  <si>
    <t>213461_at</t>
  </si>
  <si>
    <t>NUDT21</t>
  </si>
  <si>
    <t>213470_s_at</t>
  </si>
  <si>
    <t>213506_at</t>
  </si>
  <si>
    <t>213526_s_at</t>
  </si>
  <si>
    <t>LIN37</t>
  </si>
  <si>
    <t>213709_at</t>
  </si>
  <si>
    <t>BHLHB9</t>
  </si>
  <si>
    <t>213761_at</t>
  </si>
  <si>
    <t>MDM1</t>
  </si>
  <si>
    <t>213859_x_at</t>
  </si>
  <si>
    <t>213895_at</t>
  </si>
  <si>
    <t>213902_at</t>
  </si>
  <si>
    <t>ASAH1</t>
  </si>
  <si>
    <t>213906_at</t>
  </si>
  <si>
    <t>MYBL1</t>
  </si>
  <si>
    <t>213916_at</t>
  </si>
  <si>
    <t>ZNF20 /// ZNF625</t>
  </si>
  <si>
    <t>214056_at</t>
  </si>
  <si>
    <t>214199_at</t>
  </si>
  <si>
    <t>SFTPD</t>
  </si>
  <si>
    <t>214220_s_at</t>
  </si>
  <si>
    <t>214248_s_at</t>
  </si>
  <si>
    <t>214252_s_at</t>
  </si>
  <si>
    <t>214271_x_at</t>
  </si>
  <si>
    <t>214397_at</t>
  </si>
  <si>
    <t>214615_at</t>
  </si>
  <si>
    <t>P2RY10</t>
  </si>
  <si>
    <t>214706_at</t>
  </si>
  <si>
    <t>ZNF200</t>
  </si>
  <si>
    <t>214755_at</t>
  </si>
  <si>
    <t>UAP1L1</t>
  </si>
  <si>
    <t>214985_at</t>
  </si>
  <si>
    <t>214998_at</t>
  </si>
  <si>
    <t>215018_at</t>
  </si>
  <si>
    <t>KIAA1731</t>
  </si>
  <si>
    <t>215207_x_at</t>
  </si>
  <si>
    <t>NUS1 /// YDD19</t>
  </si>
  <si>
    <t>215382_x_at</t>
  </si>
  <si>
    <t>215400_x_at</t>
  </si>
  <si>
    <t>ADCY9</t>
  </si>
  <si>
    <t>215421_at</t>
  </si>
  <si>
    <t>LOC100131510</t>
  </si>
  <si>
    <t>215760_s_at</t>
  </si>
  <si>
    <t>216095_x_at</t>
  </si>
  <si>
    <t>216191_s_at</t>
  </si>
  <si>
    <t>TRA@ /// TRD@</t>
  </si>
  <si>
    <t>216264_s_at</t>
  </si>
  <si>
    <t>LAMB2</t>
  </si>
  <si>
    <t>216411_s_at</t>
  </si>
  <si>
    <t>GALK2</t>
  </si>
  <si>
    <t>216460_at</t>
  </si>
  <si>
    <t>216713_at</t>
  </si>
  <si>
    <t>216910_at</t>
  </si>
  <si>
    <t>216921_s_at</t>
  </si>
  <si>
    <t>KRT35</t>
  </si>
  <si>
    <t>217134_at</t>
  </si>
  <si>
    <t>217236_x_at</t>
  </si>
  <si>
    <t>IGH@ /// IGHA1 /// IGHA2 /// IGHD /// IGHG1 /// IGHG3 /// IGHG4 /// IGHM /// LOC100126583 /// LOC100</t>
  </si>
  <si>
    <t>217349_s_at</t>
  </si>
  <si>
    <t>PRICKLE3</t>
  </si>
  <si>
    <t>217353_at</t>
  </si>
  <si>
    <t>HNRNPA1 /// HNRNPA1L2 /// HNRPA1L-2 /// HNRPA1P5 /// LOC120364 /// LOC642817 /// LOC644037 /// LOC72</t>
  </si>
  <si>
    <t>217540_at</t>
  </si>
  <si>
    <t>FAM55C</t>
  </si>
  <si>
    <t>217649_at</t>
  </si>
  <si>
    <t>217712_at</t>
  </si>
  <si>
    <t>LOC389906</t>
  </si>
  <si>
    <t>217873_at</t>
  </si>
  <si>
    <t>CAB39</t>
  </si>
  <si>
    <t>217945_at</t>
  </si>
  <si>
    <t>BTBD1</t>
  </si>
  <si>
    <t>218111_s_at</t>
  </si>
  <si>
    <t>CMAS</t>
  </si>
  <si>
    <t>218128_at</t>
  </si>
  <si>
    <t>218147_s_at</t>
  </si>
  <si>
    <t>218298_s_at</t>
  </si>
  <si>
    <t>C14orf159</t>
  </si>
  <si>
    <t>218344_s_at</t>
  </si>
  <si>
    <t>RCOR3</t>
  </si>
  <si>
    <t>218390_s_at</t>
  </si>
  <si>
    <t>C10orf84</t>
  </si>
  <si>
    <t>218468_s_at</t>
  </si>
  <si>
    <t>GREM1</t>
  </si>
  <si>
    <t>218495_at</t>
  </si>
  <si>
    <t>UXT</t>
  </si>
  <si>
    <t>218519_at</t>
  </si>
  <si>
    <t>SLC35A5</t>
  </si>
  <si>
    <t>218643_s_at</t>
  </si>
  <si>
    <t>CRIPT</t>
  </si>
  <si>
    <t>218701_at</t>
  </si>
  <si>
    <t>LACTB2</t>
  </si>
  <si>
    <t>218759_at</t>
  </si>
  <si>
    <t>DVL2</t>
  </si>
  <si>
    <t>218930_s_at</t>
  </si>
  <si>
    <t>TMEM106B</t>
  </si>
  <si>
    <t>218931_at</t>
  </si>
  <si>
    <t>RAB17</t>
  </si>
  <si>
    <t>218981_at</t>
  </si>
  <si>
    <t>ACN9</t>
  </si>
  <si>
    <t>219080_s_at</t>
  </si>
  <si>
    <t>CTPS2</t>
  </si>
  <si>
    <t>219156_at</t>
  </si>
  <si>
    <t>SYNJ2BP</t>
  </si>
  <si>
    <t>219171_s_at</t>
  </si>
  <si>
    <t>219178_at</t>
  </si>
  <si>
    <t>QTRTD1</t>
  </si>
  <si>
    <t>219300_s_at</t>
  </si>
  <si>
    <t>CNTNAP2</t>
  </si>
  <si>
    <t>219304_s_at</t>
  </si>
  <si>
    <t>PDGFD</t>
  </si>
  <si>
    <t>219372_at</t>
  </si>
  <si>
    <t>IFT81</t>
  </si>
  <si>
    <t>219381_at</t>
  </si>
  <si>
    <t>C5orf42</t>
  </si>
  <si>
    <t>219421_at</t>
  </si>
  <si>
    <t>TTC33</t>
  </si>
  <si>
    <t>219604_s_at</t>
  </si>
  <si>
    <t>219607_s_at</t>
  </si>
  <si>
    <t>MS4A4A</t>
  </si>
  <si>
    <t>219852_s_at</t>
  </si>
  <si>
    <t>MORN1</t>
  </si>
  <si>
    <t>219890_at</t>
  </si>
  <si>
    <t>CLEC5A</t>
  </si>
  <si>
    <t>220009_at</t>
  </si>
  <si>
    <t>LONRF3</t>
  </si>
  <si>
    <t>220030_at</t>
  </si>
  <si>
    <t>STYK1</t>
  </si>
  <si>
    <t>220197_at</t>
  </si>
  <si>
    <t>ATP6V0A4</t>
  </si>
  <si>
    <t>220235_s_at</t>
  </si>
  <si>
    <t>C1orf103</t>
  </si>
  <si>
    <t>220271_x_at</t>
  </si>
  <si>
    <t>EFCAB6</t>
  </si>
  <si>
    <t>220353_at</t>
  </si>
  <si>
    <t>FAM86C</t>
  </si>
  <si>
    <t>220397_at</t>
  </si>
  <si>
    <t>220413_at</t>
  </si>
  <si>
    <t>SLC39A2</t>
  </si>
  <si>
    <t>220775_s_at</t>
  </si>
  <si>
    <t>UEVLD</t>
  </si>
  <si>
    <t>220921_at</t>
  </si>
  <si>
    <t>SPANXB1 /// SPANXB2 /// SPANXF1</t>
  </si>
  <si>
    <t>220958_at</t>
  </si>
  <si>
    <t>ULK4</t>
  </si>
  <si>
    <t>221018_s_at</t>
  </si>
  <si>
    <t>TDRD1</t>
  </si>
  <si>
    <t>221129_at</t>
  </si>
  <si>
    <t>C17orf88</t>
  </si>
  <si>
    <t>221207_s_at</t>
  </si>
  <si>
    <t>NBEA</t>
  </si>
  <si>
    <t>221870_at</t>
  </si>
  <si>
    <t>221882_s_at</t>
  </si>
  <si>
    <t>TMEM8A</t>
  </si>
  <si>
    <t>221884_at</t>
  </si>
  <si>
    <t>MECOM</t>
  </si>
  <si>
    <t>221954_at</t>
  </si>
  <si>
    <t>221971_x_at</t>
  </si>
  <si>
    <t>AGAP10 /// AGAP4 /// AGAP5 /// AGAP9</t>
  </si>
  <si>
    <t>221972_s_at</t>
  </si>
  <si>
    <t>222062_at</t>
  </si>
  <si>
    <t>IL27RA</t>
  </si>
  <si>
    <t>222080_s_at</t>
  </si>
  <si>
    <t>222107_x_at</t>
  </si>
  <si>
    <t>222134_at</t>
  </si>
  <si>
    <t>DDO</t>
  </si>
  <si>
    <t>222164_at</t>
  </si>
  <si>
    <t>222262_s_at</t>
  </si>
  <si>
    <t>ETNK1</t>
  </si>
  <si>
    <t>210365_at</t>
  </si>
  <si>
    <t>210410_s_at</t>
  </si>
  <si>
    <t>C6orf26 /// MSH5</t>
  </si>
  <si>
    <t>212918_at</t>
  </si>
  <si>
    <t>219957_at</t>
  </si>
  <si>
    <t>RUFY2</t>
  </si>
  <si>
    <t>221480_at</t>
  </si>
  <si>
    <t>215404_x_at</t>
  </si>
  <si>
    <t>208044_s_at</t>
  </si>
  <si>
    <t>PPARD</t>
  </si>
  <si>
    <t>212347_x_at</t>
  </si>
  <si>
    <t>215085_x_at</t>
  </si>
  <si>
    <t>216979_at</t>
  </si>
  <si>
    <t>206083_at</t>
  </si>
  <si>
    <t>BAI1</t>
  </si>
  <si>
    <t>213894_at</t>
  </si>
  <si>
    <t>219101_x_at</t>
  </si>
  <si>
    <t>ABHD8</t>
  </si>
  <si>
    <t>214925_s_at</t>
  </si>
  <si>
    <t>SPTAN1</t>
  </si>
  <si>
    <t>217405_x_at</t>
  </si>
  <si>
    <t>GPLD1</t>
  </si>
  <si>
    <t>219702_at</t>
  </si>
  <si>
    <t>PLAC1</t>
  </si>
  <si>
    <t>207692_s_at</t>
  </si>
  <si>
    <t>220887_at</t>
  </si>
  <si>
    <t>C14orf162</t>
  </si>
  <si>
    <t>209404_s_at</t>
  </si>
  <si>
    <t>TMED7</t>
  </si>
  <si>
    <t>208799_at</t>
  </si>
  <si>
    <t>PSMB5</t>
  </si>
  <si>
    <t>205085_at</t>
  </si>
  <si>
    <t>ORC1L</t>
  </si>
  <si>
    <t>217342_x_at</t>
  </si>
  <si>
    <t>FLJ11292</t>
  </si>
  <si>
    <t>219084_at</t>
  </si>
  <si>
    <t>NSD1</t>
  </si>
  <si>
    <t>209422_at</t>
  </si>
  <si>
    <t>206056_x_at</t>
  </si>
  <si>
    <t>218250_s_at</t>
  </si>
  <si>
    <t>CNOT7</t>
  </si>
  <si>
    <t>201530_x_at</t>
  </si>
  <si>
    <t>214508_x_at</t>
  </si>
  <si>
    <t>203207_s_at</t>
  </si>
  <si>
    <t>213442_x_at</t>
  </si>
  <si>
    <t>214693_x_at</t>
  </si>
  <si>
    <t>NBPF10</t>
  </si>
  <si>
    <t>212892_at</t>
  </si>
  <si>
    <t>ZNF282</t>
  </si>
  <si>
    <t>212184_s_at</t>
  </si>
  <si>
    <t>201446_s_at</t>
  </si>
  <si>
    <t>203034_s_at</t>
  </si>
  <si>
    <t>206408_at</t>
  </si>
  <si>
    <t>LRRTM2</t>
  </si>
  <si>
    <t>207235_s_at</t>
  </si>
  <si>
    <t>GRM5</t>
  </si>
  <si>
    <t>208087_s_at</t>
  </si>
  <si>
    <t>ZBP1</t>
  </si>
  <si>
    <t>208457_at</t>
  </si>
  <si>
    <t>GABRD</t>
  </si>
  <si>
    <t>209051_s_at</t>
  </si>
  <si>
    <t>RALGDS</t>
  </si>
  <si>
    <t>209081_s_at</t>
  </si>
  <si>
    <t>COL18A1</t>
  </si>
  <si>
    <t>211051_s_at</t>
  </si>
  <si>
    <t>219013_at</t>
  </si>
  <si>
    <t>GALNT11</t>
  </si>
  <si>
    <t>220742_s_at</t>
  </si>
  <si>
    <t>218225_at</t>
  </si>
  <si>
    <t>ECSIT</t>
  </si>
  <si>
    <t>210031_at</t>
  </si>
  <si>
    <t>CD247</t>
  </si>
  <si>
    <t>206765_at</t>
  </si>
  <si>
    <t>KCNJ2</t>
  </si>
  <si>
    <t>209477_at</t>
  </si>
  <si>
    <t>EMD</t>
  </si>
  <si>
    <t>210734_x_at</t>
  </si>
  <si>
    <t>217487_x_at</t>
  </si>
  <si>
    <t>220285_at</t>
  </si>
  <si>
    <t>FAM108B1</t>
  </si>
  <si>
    <t>202454_s_at</t>
  </si>
  <si>
    <t>ERBB3</t>
  </si>
  <si>
    <t>203855_at</t>
  </si>
  <si>
    <t>WDR47</t>
  </si>
  <si>
    <t>222305_at</t>
  </si>
  <si>
    <t>HK2</t>
  </si>
  <si>
    <t>213987_s_at</t>
  </si>
  <si>
    <t>CDC2L5</t>
  </si>
  <si>
    <t>221627_at</t>
  </si>
  <si>
    <t>201483_s_at</t>
  </si>
  <si>
    <t>SUPT4H1</t>
  </si>
  <si>
    <t>204950_at</t>
  </si>
  <si>
    <t>CARD8</t>
  </si>
  <si>
    <t>204001_at</t>
  </si>
  <si>
    <t>SNAPC3</t>
  </si>
  <si>
    <t>202084_s_at</t>
  </si>
  <si>
    <t>SEC14L1</t>
  </si>
  <si>
    <t>203017_s_at</t>
  </si>
  <si>
    <t>203514_at</t>
  </si>
  <si>
    <t>MAP3K3</t>
  </si>
  <si>
    <t>203751_x_at</t>
  </si>
  <si>
    <t>JUND</t>
  </si>
  <si>
    <t>213385_at</t>
  </si>
  <si>
    <t>CHN2</t>
  </si>
  <si>
    <t>218571_s_at</t>
  </si>
  <si>
    <t>200717_x_at</t>
  </si>
  <si>
    <t>202982_s_at</t>
  </si>
  <si>
    <t>ACOT1 /// ACOT2</t>
  </si>
  <si>
    <t>205080_at</t>
  </si>
  <si>
    <t>202595_s_at</t>
  </si>
  <si>
    <t>209237_s_at</t>
  </si>
  <si>
    <t>SLC23A2</t>
  </si>
  <si>
    <t>216594_x_at</t>
  </si>
  <si>
    <t>206818_s_at</t>
  </si>
  <si>
    <t>201609_x_at</t>
  </si>
  <si>
    <t>206713_at</t>
  </si>
  <si>
    <t>NTNG1</t>
  </si>
  <si>
    <t>210758_at</t>
  </si>
  <si>
    <t>202411_at</t>
  </si>
  <si>
    <t>IFI27</t>
  </si>
  <si>
    <t>211001_at</t>
  </si>
  <si>
    <t>218972_at</t>
  </si>
  <si>
    <t>TTC17</t>
  </si>
  <si>
    <t>219361_s_at</t>
  </si>
  <si>
    <t>AEN</t>
  </si>
  <si>
    <t>220542_s_at</t>
  </si>
  <si>
    <t>PLUNC</t>
  </si>
  <si>
    <t>221983_at</t>
  </si>
  <si>
    <t>FAM134A</t>
  </si>
  <si>
    <t>222194_at</t>
  </si>
  <si>
    <t>FAM66D</t>
  </si>
  <si>
    <t>211610_at</t>
  </si>
  <si>
    <t>203454_s_at</t>
  </si>
  <si>
    <t>ATOX1</t>
  </si>
  <si>
    <t>209273_s_at</t>
  </si>
  <si>
    <t>210865_at</t>
  </si>
  <si>
    <t>220796_x_at</t>
  </si>
  <si>
    <t>214759_at</t>
  </si>
  <si>
    <t>211234_x_at</t>
  </si>
  <si>
    <t>202327_s_at</t>
  </si>
  <si>
    <t>209651_at</t>
  </si>
  <si>
    <t>TGFB1I1</t>
  </si>
  <si>
    <t>215158_s_at</t>
  </si>
  <si>
    <t>205419_at</t>
  </si>
  <si>
    <t>GPR183</t>
  </si>
  <si>
    <t>214167_s_at</t>
  </si>
  <si>
    <t>RPLP0 /// RPLP0P6</t>
  </si>
  <si>
    <t>214358_at</t>
  </si>
  <si>
    <t>215044_s_at</t>
  </si>
  <si>
    <t>217315_s_at</t>
  </si>
  <si>
    <t>211832_s_at</t>
  </si>
  <si>
    <t>212863_x_at</t>
  </si>
  <si>
    <t>210739_x_at</t>
  </si>
  <si>
    <t>202814_s_at</t>
  </si>
  <si>
    <t>HEXIM1</t>
  </si>
  <si>
    <t>220675_s_at</t>
  </si>
  <si>
    <t>PNPLA3</t>
  </si>
  <si>
    <t>206694_at</t>
  </si>
  <si>
    <t>PNLIPRP1</t>
  </si>
  <si>
    <t>214456_x_at</t>
  </si>
  <si>
    <t>221913_at</t>
  </si>
  <si>
    <t>218779_x_at</t>
  </si>
  <si>
    <t>201837_s_at</t>
  </si>
  <si>
    <t>218348_s_at</t>
  </si>
  <si>
    <t>ZC3H7A</t>
  </si>
  <si>
    <t>204148_s_at</t>
  </si>
  <si>
    <t>POMZP3 /// ZP3</t>
  </si>
  <si>
    <t>219079_at</t>
  </si>
  <si>
    <t>CYB5R4</t>
  </si>
  <si>
    <t>202638_s_at</t>
  </si>
  <si>
    <t>219867_at</t>
  </si>
  <si>
    <t>CHODL</t>
  </si>
  <si>
    <t>219515_at</t>
  </si>
  <si>
    <t>PRDM10</t>
  </si>
  <si>
    <t>211981_at</t>
  </si>
  <si>
    <t>203325_s_at</t>
  </si>
  <si>
    <t>213835_x_at</t>
  </si>
  <si>
    <t>GTPBP3</t>
  </si>
  <si>
    <t>202963_at</t>
  </si>
  <si>
    <t>211967_at</t>
  </si>
  <si>
    <t>TMEM123</t>
  </si>
  <si>
    <t>201962_s_at</t>
  </si>
  <si>
    <t>RNF41</t>
  </si>
  <si>
    <t>202729_s_at</t>
  </si>
  <si>
    <t>203101_s_at</t>
  </si>
  <si>
    <t>205327_s_at</t>
  </si>
  <si>
    <t>ACVR2A</t>
  </si>
  <si>
    <t>211888_x_at</t>
  </si>
  <si>
    <t>204411_at</t>
  </si>
  <si>
    <t>KIF21B</t>
  </si>
  <si>
    <t>213760_s_at</t>
  </si>
  <si>
    <t>219805_at</t>
  </si>
  <si>
    <t>CXorf56</t>
  </si>
  <si>
    <t>213162_at</t>
  </si>
  <si>
    <t>207143_at</t>
  </si>
  <si>
    <t>CDK6</t>
  </si>
  <si>
    <t>212490_at</t>
  </si>
  <si>
    <t>207861_at</t>
  </si>
  <si>
    <t>CCL22</t>
  </si>
  <si>
    <t>201504_s_at</t>
  </si>
  <si>
    <t>TSN</t>
  </si>
  <si>
    <t>205266_at</t>
  </si>
  <si>
    <t>LIF</t>
  </si>
  <si>
    <t>219109_at</t>
  </si>
  <si>
    <t>SPAG16</t>
  </si>
  <si>
    <t>218013_x_at</t>
  </si>
  <si>
    <t>DCTN4</t>
  </si>
  <si>
    <t>212864_at</t>
  </si>
  <si>
    <t>221708_s_at</t>
  </si>
  <si>
    <t>220048_at</t>
  </si>
  <si>
    <t>EDAR</t>
  </si>
  <si>
    <t>215984_s_at</t>
  </si>
  <si>
    <t>215022_x_at</t>
  </si>
  <si>
    <t>ZNF33B</t>
  </si>
  <si>
    <t>207570_at</t>
  </si>
  <si>
    <t>SHOX</t>
  </si>
  <si>
    <t>206587_at</t>
  </si>
  <si>
    <t>CCT6B</t>
  </si>
  <si>
    <t>203211_s_at</t>
  </si>
  <si>
    <t>MTMR2</t>
  </si>
  <si>
    <t>220334_at</t>
  </si>
  <si>
    <t>RGS17</t>
  </si>
  <si>
    <t>213059_at</t>
  </si>
  <si>
    <t>210009_s_at</t>
  </si>
  <si>
    <t>203519_s_at</t>
  </si>
  <si>
    <t>UPF2</t>
  </si>
  <si>
    <t>210580_x_at</t>
  </si>
  <si>
    <t>217948_at</t>
  </si>
  <si>
    <t>FAM127B</t>
  </si>
  <si>
    <t>203241_at</t>
  </si>
  <si>
    <t>UVRAG</t>
  </si>
  <si>
    <t>201498_at</t>
  </si>
  <si>
    <t>202821_s_at</t>
  </si>
  <si>
    <t>208198_x_at</t>
  </si>
  <si>
    <t>KIR2DS1</t>
  </si>
  <si>
    <t>208685_x_at</t>
  </si>
  <si>
    <t>AFFX-HUMGAPDH/M33197_5_at</t>
  </si>
  <si>
    <t>201876_at</t>
  </si>
  <si>
    <t>220653_at</t>
  </si>
  <si>
    <t>ZIM2</t>
  </si>
  <si>
    <t>208736_at</t>
  </si>
  <si>
    <t>ARPC3</t>
  </si>
  <si>
    <t>206123_at</t>
  </si>
  <si>
    <t>214326_x_at</t>
  </si>
  <si>
    <t>208742_s_at</t>
  </si>
  <si>
    <t>211502_s_at</t>
  </si>
  <si>
    <t>PFTK1</t>
  </si>
  <si>
    <t>213604_at</t>
  </si>
  <si>
    <t>TCEB3</t>
  </si>
  <si>
    <t>217908_s_at</t>
  </si>
  <si>
    <t>DCAF6</t>
  </si>
  <si>
    <t>211182_x_at</t>
  </si>
  <si>
    <t>206565_x_at</t>
  </si>
  <si>
    <t>SMA4</t>
  </si>
  <si>
    <t>204129_at</t>
  </si>
  <si>
    <t>BCL9</t>
  </si>
  <si>
    <t>210172_at</t>
  </si>
  <si>
    <t>214463_x_at</t>
  </si>
  <si>
    <t>HIST1H4J</t>
  </si>
  <si>
    <t>218330_s_at</t>
  </si>
  <si>
    <t>NAV2</t>
  </si>
  <si>
    <t>210406_s_at</t>
  </si>
  <si>
    <t>RAB6A /// RAB6C</t>
  </si>
  <si>
    <t>204837_at</t>
  </si>
  <si>
    <t>MTMR9</t>
  </si>
  <si>
    <t>221044_s_at</t>
  </si>
  <si>
    <t>TRIM34 /// TRIM6-TRIM34</t>
  </si>
  <si>
    <t>209916_at</t>
  </si>
  <si>
    <t>DHTKD1</t>
  </si>
  <si>
    <t>215551_at</t>
  </si>
  <si>
    <t>202298_at</t>
  </si>
  <si>
    <t>NDUFA1</t>
  </si>
  <si>
    <t>218164_at</t>
  </si>
  <si>
    <t>SPATA20</t>
  </si>
  <si>
    <t>201643_x_at</t>
  </si>
  <si>
    <t>KDM3B</t>
  </si>
  <si>
    <t>206648_at</t>
  </si>
  <si>
    <t>ZNF571</t>
  </si>
  <si>
    <t>211195_s_at</t>
  </si>
  <si>
    <t>211801_x_at</t>
  </si>
  <si>
    <t>MFN1</t>
  </si>
  <si>
    <t>221560_at</t>
  </si>
  <si>
    <t>MARK4</t>
  </si>
  <si>
    <t>65884_at</t>
  </si>
  <si>
    <t>202359_s_at</t>
  </si>
  <si>
    <t>219032_x_at</t>
  </si>
  <si>
    <t>OPN3</t>
  </si>
  <si>
    <t>217936_at</t>
  </si>
  <si>
    <t>ARHGAP5</t>
  </si>
  <si>
    <t>208913_at</t>
  </si>
  <si>
    <t>212900_at</t>
  </si>
  <si>
    <t>SEC24A</t>
  </si>
  <si>
    <t>218469_at</t>
  </si>
  <si>
    <t>219672_at</t>
  </si>
  <si>
    <t>ERAF</t>
  </si>
  <si>
    <t>207215_at</t>
  </si>
  <si>
    <t>GSTTP1</t>
  </si>
  <si>
    <t>211036_x_at</t>
  </si>
  <si>
    <t>213201_s_at</t>
  </si>
  <si>
    <t>TNNT1</t>
  </si>
  <si>
    <t>212621_at</t>
  </si>
  <si>
    <t>TMEM194A</t>
  </si>
  <si>
    <t>213494_s_at</t>
  </si>
  <si>
    <t>200018_at</t>
  </si>
  <si>
    <t>RPS13</t>
  </si>
  <si>
    <t>41644_at</t>
  </si>
  <si>
    <t>SASH1</t>
  </si>
  <si>
    <t>207782_s_at</t>
  </si>
  <si>
    <t>212448_at</t>
  </si>
  <si>
    <t>NEDD4L</t>
  </si>
  <si>
    <t>214448_x_at</t>
  </si>
  <si>
    <t>221446_at</t>
  </si>
  <si>
    <t>ADAM30</t>
  </si>
  <si>
    <t>201583_s_at</t>
  </si>
  <si>
    <t>207658_s_at</t>
  </si>
  <si>
    <t>FOXG1</t>
  </si>
  <si>
    <t>218771_at</t>
  </si>
  <si>
    <t>PANK4</t>
  </si>
  <si>
    <t>210074_at</t>
  </si>
  <si>
    <t>CTSL2</t>
  </si>
  <si>
    <t>213212_x_at</t>
  </si>
  <si>
    <t>FLJ40113 /// LOC440295</t>
  </si>
  <si>
    <t>209005_at</t>
  </si>
  <si>
    <t>215790_at</t>
  </si>
  <si>
    <t>209219_at</t>
  </si>
  <si>
    <t>RDBP</t>
  </si>
  <si>
    <t>210441_at</t>
  </si>
  <si>
    <t>CDC14A</t>
  </si>
  <si>
    <t>217457_s_at</t>
  </si>
  <si>
    <t>202725_at</t>
  </si>
  <si>
    <t>POLR2A</t>
  </si>
  <si>
    <t>210376_x_at</t>
  </si>
  <si>
    <t>ELK1</t>
  </si>
  <si>
    <t>211607_x_at</t>
  </si>
  <si>
    <t>203818_s_at</t>
  </si>
  <si>
    <t>SF3A3</t>
  </si>
  <si>
    <t>209029_at</t>
  </si>
  <si>
    <t>COPS7A</t>
  </si>
  <si>
    <t>209118_s_at</t>
  </si>
  <si>
    <t>TUBA1A</t>
  </si>
  <si>
    <t>202004_x_at</t>
  </si>
  <si>
    <t>210655_s_at</t>
  </si>
  <si>
    <t>207675_x_at</t>
  </si>
  <si>
    <t>210137_s_at</t>
  </si>
  <si>
    <t>216911_s_at</t>
  </si>
  <si>
    <t>211810_s_at</t>
  </si>
  <si>
    <t>211947_s_at</t>
  </si>
  <si>
    <t>214058_at</t>
  </si>
  <si>
    <t>MYCL1</t>
  </si>
  <si>
    <t>211332_x_at</t>
  </si>
  <si>
    <t>215213_at</t>
  </si>
  <si>
    <t>217739_s_at</t>
  </si>
  <si>
    <t>219363_s_at</t>
  </si>
  <si>
    <t>MTERFD1</t>
  </si>
  <si>
    <t>201513_at</t>
  </si>
  <si>
    <t>206086_x_at</t>
  </si>
  <si>
    <t>220209_at</t>
  </si>
  <si>
    <t>PYY2</t>
  </si>
  <si>
    <t>221215_s_at</t>
  </si>
  <si>
    <t>RIPK4</t>
  </si>
  <si>
    <t>201357_s_at</t>
  </si>
  <si>
    <t>207314_x_at</t>
  </si>
  <si>
    <t>215152_at</t>
  </si>
  <si>
    <t>209471_s_at</t>
  </si>
  <si>
    <t>FNTA</t>
  </si>
  <si>
    <t>205683_x_at</t>
  </si>
  <si>
    <t>216393_at</t>
  </si>
  <si>
    <t>C10orf12</t>
  </si>
  <si>
    <t>210294_at</t>
  </si>
  <si>
    <t>201181_at</t>
  </si>
  <si>
    <t>GNAI3</t>
  </si>
  <si>
    <t>221134_at</t>
  </si>
  <si>
    <t>ANGPT4</t>
  </si>
  <si>
    <t>204325_s_at</t>
  </si>
  <si>
    <t>210962_s_at</t>
  </si>
  <si>
    <t>AKAP9</t>
  </si>
  <si>
    <t>214570_x_at</t>
  </si>
  <si>
    <t>LOC100294050 /// LOC646652 /// LOC729915 /// POM121L10P /// POM121L1P /// POM121L4P /// POM121L8P //</t>
  </si>
  <si>
    <t>206809_s_at</t>
  </si>
  <si>
    <t>HNRNPA3 /// HNRNPA3P1</t>
  </si>
  <si>
    <t>205292_s_at</t>
  </si>
  <si>
    <t>HNRNPA2B1</t>
  </si>
  <si>
    <t>207275_s_at</t>
  </si>
  <si>
    <t>221053_s_at</t>
  </si>
  <si>
    <t>TDRKH</t>
  </si>
  <si>
    <t>206943_at</t>
  </si>
  <si>
    <t>TGFBR1</t>
  </si>
  <si>
    <t>221711_s_at</t>
  </si>
  <si>
    <t>C19orf62</t>
  </si>
  <si>
    <t>200776_s_at</t>
  </si>
  <si>
    <t>BZW1 /// BZW1L1</t>
  </si>
  <si>
    <t>201332_s_at</t>
  </si>
  <si>
    <t>STAT6</t>
  </si>
  <si>
    <t>201830_s_at</t>
  </si>
  <si>
    <t>203483_at</t>
  </si>
  <si>
    <t>206524_at</t>
  </si>
  <si>
    <t>T</t>
  </si>
  <si>
    <t>207403_at</t>
  </si>
  <si>
    <t>IRS4</t>
  </si>
  <si>
    <t>207600_at</t>
  </si>
  <si>
    <t>KCNC3</t>
  </si>
  <si>
    <t>208029_s_at</t>
  </si>
  <si>
    <t>211660_at</t>
  </si>
  <si>
    <t>214911_s_at</t>
  </si>
  <si>
    <t>219216_at</t>
  </si>
  <si>
    <t>ETAA1</t>
  </si>
  <si>
    <t>202095_s_at</t>
  </si>
  <si>
    <t>202931_x_at</t>
  </si>
  <si>
    <t>208856_x_at</t>
  </si>
  <si>
    <t>215787_at</t>
  </si>
  <si>
    <t>ACTA2</t>
  </si>
  <si>
    <t>201445_at</t>
  </si>
  <si>
    <t>CNN3</t>
  </si>
  <si>
    <t>204509_at</t>
  </si>
  <si>
    <t>208164_s_at</t>
  </si>
  <si>
    <t>209506_s_at</t>
  </si>
  <si>
    <t>NR2F1</t>
  </si>
  <si>
    <t>212422_at</t>
  </si>
  <si>
    <t>213457_at</t>
  </si>
  <si>
    <t>MFHAS1</t>
  </si>
  <si>
    <t>222129_at</t>
  </si>
  <si>
    <t>213985_s_at</t>
  </si>
  <si>
    <t>C19orf6</t>
  </si>
  <si>
    <t>221366_at</t>
  </si>
  <si>
    <t>NKX6-1</t>
  </si>
  <si>
    <t>210368_at</t>
  </si>
  <si>
    <t>PCDHGA8</t>
  </si>
  <si>
    <t>45633_at</t>
  </si>
  <si>
    <t>GINS3</t>
  </si>
  <si>
    <t>206963_s_at</t>
  </si>
  <si>
    <t>NAT8 /// NAT8B</t>
  </si>
  <si>
    <t>213910_at</t>
  </si>
  <si>
    <t>220266_s_at</t>
  </si>
  <si>
    <t>222136_x_at</t>
  </si>
  <si>
    <t>201091_s_at</t>
  </si>
  <si>
    <t>CBX3</t>
  </si>
  <si>
    <t>219492_at</t>
  </si>
  <si>
    <t>CHIC2</t>
  </si>
  <si>
    <t>AFFX-HUMGAPDH/M33197_M_at</t>
  </si>
  <si>
    <t>204462_s_at</t>
  </si>
  <si>
    <t>SLC16A2</t>
  </si>
  <si>
    <t>212312_at</t>
  </si>
  <si>
    <t>215483_at</t>
  </si>
  <si>
    <t>216274_s_at</t>
  </si>
  <si>
    <t>221067_s_at</t>
  </si>
  <si>
    <t>C12orf39</t>
  </si>
  <si>
    <t>202166_s_at</t>
  </si>
  <si>
    <t>PPP1R2</t>
  </si>
  <si>
    <t>213065_at</t>
  </si>
  <si>
    <t>ZFC3H1</t>
  </si>
  <si>
    <t>201627_s_at</t>
  </si>
  <si>
    <t>215743_at</t>
  </si>
  <si>
    <t>212694_s_at</t>
  </si>
  <si>
    <t>PCCB</t>
  </si>
  <si>
    <t>205390_s_at</t>
  </si>
  <si>
    <t>209183_s_at</t>
  </si>
  <si>
    <t>203054_s_at</t>
  </si>
  <si>
    <t>TCTA</t>
  </si>
  <si>
    <t>217607_x_at</t>
  </si>
  <si>
    <t>222327_x_at</t>
  </si>
  <si>
    <t>OR7E156P</t>
  </si>
  <si>
    <t>207376_at</t>
  </si>
  <si>
    <t>VENTX</t>
  </si>
  <si>
    <t>218412_s_at</t>
  </si>
  <si>
    <t>GTF2IRD1</t>
  </si>
  <si>
    <t>201175_at</t>
  </si>
  <si>
    <t>TMX2</t>
  </si>
  <si>
    <t>200958_s_at</t>
  </si>
  <si>
    <t>SDCBP</t>
  </si>
  <si>
    <t>209545_s_at</t>
  </si>
  <si>
    <t>RIPK2</t>
  </si>
  <si>
    <t>221290_s_at</t>
  </si>
  <si>
    <t>MUM1</t>
  </si>
  <si>
    <t>214926_at</t>
  </si>
  <si>
    <t>200728_at</t>
  </si>
  <si>
    <t>200651_at</t>
  </si>
  <si>
    <t>214684_at</t>
  </si>
  <si>
    <t>MEF2A</t>
  </si>
  <si>
    <t>203459_s_at</t>
  </si>
  <si>
    <t>VPS16</t>
  </si>
  <si>
    <t>212252_at</t>
  </si>
  <si>
    <t>207652_s_at</t>
  </si>
  <si>
    <t>CMKLR1</t>
  </si>
  <si>
    <t>207604_s_at</t>
  </si>
  <si>
    <t>SLC4A7</t>
  </si>
  <si>
    <t>220377_at</t>
  </si>
  <si>
    <t>FAM30A</t>
  </si>
  <si>
    <t>206716_at</t>
  </si>
  <si>
    <t>UMOD</t>
  </si>
  <si>
    <t>215208_x_at</t>
  </si>
  <si>
    <t>RPL35A</t>
  </si>
  <si>
    <t>213834_at</t>
  </si>
  <si>
    <t>IQSEC3</t>
  </si>
  <si>
    <t>202721_s_at</t>
  </si>
  <si>
    <t>GFPT1</t>
  </si>
  <si>
    <t>210012_s_at</t>
  </si>
  <si>
    <t>212475_at</t>
  </si>
  <si>
    <t>219281_at</t>
  </si>
  <si>
    <t>MSRA</t>
  </si>
  <si>
    <t>207791_s_at</t>
  </si>
  <si>
    <t>210839_s_at</t>
  </si>
  <si>
    <t>209981_at</t>
  </si>
  <si>
    <t>CSDC2</t>
  </si>
  <si>
    <t>212052_s_at</t>
  </si>
  <si>
    <t>200641_s_at</t>
  </si>
  <si>
    <t>203127_s_at</t>
  </si>
  <si>
    <t>204733_at</t>
  </si>
  <si>
    <t>KLK6</t>
  </si>
  <si>
    <t>206455_s_at</t>
  </si>
  <si>
    <t>209499_x_at</t>
  </si>
  <si>
    <t>TNFSF12-TNFSF13 /// TNFSF13</t>
  </si>
  <si>
    <t>211778_s_at</t>
  </si>
  <si>
    <t>OVOL2</t>
  </si>
  <si>
    <t>212635_at</t>
  </si>
  <si>
    <t>TNPO1</t>
  </si>
  <si>
    <t>214629_x_at</t>
  </si>
  <si>
    <t>216401_x_at</t>
  </si>
  <si>
    <t>LOC652493 /// LOC652694</t>
  </si>
  <si>
    <t>220660_at</t>
  </si>
  <si>
    <t>C9orf27</t>
  </si>
  <si>
    <t>221920_s_at</t>
  </si>
  <si>
    <t>SLC25A37</t>
  </si>
  <si>
    <t>200875_s_at</t>
  </si>
  <si>
    <t>209653_at</t>
  </si>
  <si>
    <t>KPNA4</t>
  </si>
  <si>
    <t>206792_x_at</t>
  </si>
  <si>
    <t>37793_r_at</t>
  </si>
  <si>
    <t>202903_at</t>
  </si>
  <si>
    <t>204016_at</t>
  </si>
  <si>
    <t>LARS2</t>
  </si>
  <si>
    <t>205857_at</t>
  </si>
  <si>
    <t>SLC18A2</t>
  </si>
  <si>
    <t>220813_at</t>
  </si>
  <si>
    <t>CYSLTR2</t>
  </si>
  <si>
    <t>202793_at</t>
  </si>
  <si>
    <t>LPCAT3</t>
  </si>
  <si>
    <t>208774_at</t>
  </si>
  <si>
    <t>214917_at</t>
  </si>
  <si>
    <t>200983_x_at</t>
  </si>
  <si>
    <t>201986_at</t>
  </si>
  <si>
    <t>204686_at</t>
  </si>
  <si>
    <t>IRS1</t>
  </si>
  <si>
    <t>208957_at</t>
  </si>
  <si>
    <t>ERP44</t>
  </si>
  <si>
    <t>206200_s_at</t>
  </si>
  <si>
    <t>208803_s_at</t>
  </si>
  <si>
    <t>209360_s_at</t>
  </si>
  <si>
    <t>209501_at</t>
  </si>
  <si>
    <t>CDR2</t>
  </si>
  <si>
    <t>221988_at</t>
  </si>
  <si>
    <t>222011_s_at</t>
  </si>
  <si>
    <t>TCP1</t>
  </si>
  <si>
    <t>222377_at</t>
  </si>
  <si>
    <t>TBX10</t>
  </si>
  <si>
    <t>221135_s_at</t>
  </si>
  <si>
    <t>ASTE1</t>
  </si>
  <si>
    <t>202255_s_at</t>
  </si>
  <si>
    <t>41220_at</t>
  </si>
  <si>
    <t>208595_s_at</t>
  </si>
  <si>
    <t>MBD1</t>
  </si>
  <si>
    <t>200935_at</t>
  </si>
  <si>
    <t>CALR</t>
  </si>
  <si>
    <t>201690_s_at</t>
  </si>
  <si>
    <t>TPD52</t>
  </si>
  <si>
    <t>209283_at</t>
  </si>
  <si>
    <t>CRYAB</t>
  </si>
  <si>
    <t>221832_s_at</t>
  </si>
  <si>
    <t>LUZP1</t>
  </si>
  <si>
    <t>203107_x_at</t>
  </si>
  <si>
    <t>RPS2</t>
  </si>
  <si>
    <t>221987_s_at</t>
  </si>
  <si>
    <t>218100_s_at</t>
  </si>
  <si>
    <t>IFT57</t>
  </si>
  <si>
    <t>212163_at</t>
  </si>
  <si>
    <t>221236_s_at</t>
  </si>
  <si>
    <t>STMN4</t>
  </si>
  <si>
    <t>203360_s_at</t>
  </si>
  <si>
    <t>207660_at</t>
  </si>
  <si>
    <t>DMD</t>
  </si>
  <si>
    <t>210570_x_at</t>
  </si>
  <si>
    <t>213074_at</t>
  </si>
  <si>
    <t>219990_at</t>
  </si>
  <si>
    <t>E2F8</t>
  </si>
  <si>
    <t>221122_at</t>
  </si>
  <si>
    <t>218403_at</t>
  </si>
  <si>
    <t>TRIAP1</t>
  </si>
  <si>
    <t>201883_s_at</t>
  </si>
  <si>
    <t>204415_at</t>
  </si>
  <si>
    <t>IFI6</t>
  </si>
  <si>
    <t>215603_x_at</t>
  </si>
  <si>
    <t>GGT1 /// GGT2 /// GGT3P /// GGTLC2 /// GGTLC3</t>
  </si>
  <si>
    <t>211222_s_at</t>
  </si>
  <si>
    <t>219017_at</t>
  </si>
  <si>
    <t>220946_s_at</t>
  </si>
  <si>
    <t>SETD2</t>
  </si>
  <si>
    <t>212592_at</t>
  </si>
  <si>
    <t>IGJ</t>
  </si>
  <si>
    <t>220085_at</t>
  </si>
  <si>
    <t>HELLS</t>
  </si>
  <si>
    <t>201592_at</t>
  </si>
  <si>
    <t>EIF3H</t>
  </si>
  <si>
    <t>206922_at</t>
  </si>
  <si>
    <t>VCY /// VCY1B</t>
  </si>
  <si>
    <t>209957_s_at</t>
  </si>
  <si>
    <t>NPPA</t>
  </si>
  <si>
    <t>217609_at</t>
  </si>
  <si>
    <t>220925_at</t>
  </si>
  <si>
    <t>205046_at</t>
  </si>
  <si>
    <t>CENPE</t>
  </si>
  <si>
    <t>204350_s_at</t>
  </si>
  <si>
    <t>MED7</t>
  </si>
  <si>
    <t>221671_x_at</t>
  </si>
  <si>
    <t>IGK@ /// IGKC</t>
  </si>
  <si>
    <t>202524_s_at</t>
  </si>
  <si>
    <t>219360_s_at</t>
  </si>
  <si>
    <t>TRPM4</t>
  </si>
  <si>
    <t>202173_s_at</t>
  </si>
  <si>
    <t>213016_at</t>
  </si>
  <si>
    <t>BBX</t>
  </si>
  <si>
    <t>204640_s_at</t>
  </si>
  <si>
    <t>219392_x_at</t>
  </si>
  <si>
    <t>PRR11</t>
  </si>
  <si>
    <t>205701_at</t>
  </si>
  <si>
    <t>IPO8</t>
  </si>
  <si>
    <t>207211_at</t>
  </si>
  <si>
    <t>USP2</t>
  </si>
  <si>
    <t>219784_at</t>
  </si>
  <si>
    <t>FBXO31</t>
  </si>
  <si>
    <t>201651_s_at</t>
  </si>
  <si>
    <t>PACSIN2</t>
  </si>
  <si>
    <t>206034_at</t>
  </si>
  <si>
    <t>SERPINB8</t>
  </si>
  <si>
    <t>217501_at</t>
  </si>
  <si>
    <t>CIAO1</t>
  </si>
  <si>
    <t>218288_s_at</t>
  </si>
  <si>
    <t>CCDC90B</t>
  </si>
  <si>
    <t>203310_at</t>
  </si>
  <si>
    <t>STXBP3</t>
  </si>
  <si>
    <t>200844_s_at</t>
  </si>
  <si>
    <t>205397_x_at</t>
  </si>
  <si>
    <t>204668_at</t>
  </si>
  <si>
    <t>209428_s_at</t>
  </si>
  <si>
    <t>209658_at</t>
  </si>
  <si>
    <t>213319_s_at</t>
  </si>
  <si>
    <t>214385_s_at</t>
  </si>
  <si>
    <t>LOC100293983 /// MUC5AC</t>
  </si>
  <si>
    <t>218367_x_at</t>
  </si>
  <si>
    <t>USP21</t>
  </si>
  <si>
    <t>220546_at</t>
  </si>
  <si>
    <t>221809_at</t>
  </si>
  <si>
    <t>204706_at</t>
  </si>
  <si>
    <t>INPP5E</t>
  </si>
  <si>
    <t>213117_at</t>
  </si>
  <si>
    <t>201633_s_at</t>
  </si>
  <si>
    <t>CYB5B</t>
  </si>
  <si>
    <t>212581_x_at</t>
  </si>
  <si>
    <t>219525_at</t>
  </si>
  <si>
    <t>SLC47A1</t>
  </si>
  <si>
    <t>200620_at</t>
  </si>
  <si>
    <t>TMEM59</t>
  </si>
  <si>
    <t>201177_s_at</t>
  </si>
  <si>
    <t>UBA2</t>
  </si>
  <si>
    <t>202666_s_at</t>
  </si>
  <si>
    <t>ACTL6A</t>
  </si>
  <si>
    <t>204271_s_at</t>
  </si>
  <si>
    <t>EDNRB</t>
  </si>
  <si>
    <t>209129_at</t>
  </si>
  <si>
    <t>TRIP6</t>
  </si>
  <si>
    <t>203873_at</t>
  </si>
  <si>
    <t>SMARCA1</t>
  </si>
  <si>
    <t>205021_s_at</t>
  </si>
  <si>
    <t>221859_at</t>
  </si>
  <si>
    <t>SYT13</t>
  </si>
  <si>
    <t>221839_s_at</t>
  </si>
  <si>
    <t>UBAP2</t>
  </si>
  <si>
    <t>209390_at</t>
  </si>
  <si>
    <t>TSC1</t>
  </si>
  <si>
    <t>200787_s_at</t>
  </si>
  <si>
    <t>PEA15</t>
  </si>
  <si>
    <t>203517_at</t>
  </si>
  <si>
    <t>MTX2</t>
  </si>
  <si>
    <t>203805_s_at</t>
  </si>
  <si>
    <t>202384_s_at</t>
  </si>
  <si>
    <t>214703_s_at</t>
  </si>
  <si>
    <t>MAN2B2</t>
  </si>
  <si>
    <t>216009_at</t>
  </si>
  <si>
    <t>SLC39A9</t>
  </si>
  <si>
    <t>209368_at</t>
  </si>
  <si>
    <t>EPHX2</t>
  </si>
  <si>
    <t>205014_at</t>
  </si>
  <si>
    <t>FGFBP1</t>
  </si>
  <si>
    <t>205298_s_at</t>
  </si>
  <si>
    <t>BTN2A2</t>
  </si>
  <si>
    <t>214187_x_at</t>
  </si>
  <si>
    <t>215181_at</t>
  </si>
  <si>
    <t>CDH22</t>
  </si>
  <si>
    <t>216559_x_at</t>
  </si>
  <si>
    <t>HNRNPA1 /// HNRNPA1L2 /// HNRPA1L-2 /// LOC100290205 /// LOC120364 /// LOC642817 /// LOC644037 /// L</t>
  </si>
  <si>
    <t>40850_at</t>
  </si>
  <si>
    <t>212026_s_at</t>
  </si>
  <si>
    <t>208128_x_at</t>
  </si>
  <si>
    <t>KIF25</t>
  </si>
  <si>
    <t>201494_at</t>
  </si>
  <si>
    <t>PRCP</t>
  </si>
  <si>
    <t>202403_s_at</t>
  </si>
  <si>
    <t>COL1A2</t>
  </si>
  <si>
    <t>211112_at</t>
  </si>
  <si>
    <t>220348_at</t>
  </si>
  <si>
    <t>KLHL29</t>
  </si>
  <si>
    <t>221336_at</t>
  </si>
  <si>
    <t>ATOH1</t>
  </si>
  <si>
    <t>206570_s_at</t>
  </si>
  <si>
    <t>PSG11</t>
  </si>
  <si>
    <t>221471_at</t>
  </si>
  <si>
    <t>219455_at</t>
  </si>
  <si>
    <t>C7orf63</t>
  </si>
  <si>
    <t>206192_at</t>
  </si>
  <si>
    <t>CDSN</t>
  </si>
  <si>
    <t>204339_s_at</t>
  </si>
  <si>
    <t>RGS4</t>
  </si>
  <si>
    <t>213857_s_at</t>
  </si>
  <si>
    <t>218734_at</t>
  </si>
  <si>
    <t>NAT11</t>
  </si>
  <si>
    <t>217367_s_at</t>
  </si>
  <si>
    <t>217398_x_at</t>
  </si>
  <si>
    <t>222127_s_at</t>
  </si>
  <si>
    <t>EXOC1</t>
  </si>
  <si>
    <t>210060_at</t>
  </si>
  <si>
    <t>PDE6G</t>
  </si>
  <si>
    <t>210232_at</t>
  </si>
  <si>
    <t>213586_at</t>
  </si>
  <si>
    <t>LOC100292793</t>
  </si>
  <si>
    <t>204066_s_at</t>
  </si>
  <si>
    <t>AGAP1</t>
  </si>
  <si>
    <t>222301_at</t>
  </si>
  <si>
    <t>201489_at</t>
  </si>
  <si>
    <t>213451_x_at</t>
  </si>
  <si>
    <t>221466_at</t>
  </si>
  <si>
    <t>P2RY4</t>
  </si>
  <si>
    <t>219733_s_at</t>
  </si>
  <si>
    <t>SLC27A5</t>
  </si>
  <si>
    <t>221883_at</t>
  </si>
  <si>
    <t>216382_s_at</t>
  </si>
  <si>
    <t>208447_s_at</t>
  </si>
  <si>
    <t>210191_s_at</t>
  </si>
  <si>
    <t>212106_at</t>
  </si>
  <si>
    <t>216451_at</t>
  </si>
  <si>
    <t>200765_x_at</t>
  </si>
  <si>
    <t>CTNNA1</t>
  </si>
  <si>
    <t>210563_x_at</t>
  </si>
  <si>
    <t>204930_s_at</t>
  </si>
  <si>
    <t>BNIP1</t>
  </si>
  <si>
    <t>219635_at</t>
  </si>
  <si>
    <t>ZNF606</t>
  </si>
  <si>
    <t>217672_x_at</t>
  </si>
  <si>
    <t>208746_x_at</t>
  </si>
  <si>
    <t>209704_at</t>
  </si>
  <si>
    <t>202570_s_at</t>
  </si>
  <si>
    <t>211572_s_at</t>
  </si>
  <si>
    <t>214243_s_at</t>
  </si>
  <si>
    <t>SERHL /// SERHL2</t>
  </si>
  <si>
    <t>218787_x_at</t>
  </si>
  <si>
    <t>CWF19L1</t>
  </si>
  <si>
    <t>216852_x_at</t>
  </si>
  <si>
    <t>218265_at</t>
  </si>
  <si>
    <t>SECISBP2</t>
  </si>
  <si>
    <t>203290_at</t>
  </si>
  <si>
    <t>HLA-DQA1</t>
  </si>
  <si>
    <t>207961_x_at</t>
  </si>
  <si>
    <t>209310_s_at</t>
  </si>
  <si>
    <t>CASP4</t>
  </si>
  <si>
    <t>221520_s_at</t>
  </si>
  <si>
    <t>CDCA8</t>
  </si>
  <si>
    <t>221535_at</t>
  </si>
  <si>
    <t>206183_s_at</t>
  </si>
  <si>
    <t>HERC3</t>
  </si>
  <si>
    <t>213969_x_at</t>
  </si>
  <si>
    <t>220669_at</t>
  </si>
  <si>
    <t>206736_x_at</t>
  </si>
  <si>
    <t>CHRNA4</t>
  </si>
  <si>
    <t>214582_at</t>
  </si>
  <si>
    <t>211465_x_at</t>
  </si>
  <si>
    <t>218397_at</t>
  </si>
  <si>
    <t>FANCL</t>
  </si>
  <si>
    <t>200644_at</t>
  </si>
  <si>
    <t>MARCKSL1</t>
  </si>
  <si>
    <t>209579_s_at</t>
  </si>
  <si>
    <t>201384_s_at</t>
  </si>
  <si>
    <t>214956_at</t>
  </si>
  <si>
    <t>54632_at</t>
  </si>
  <si>
    <t>202522_at</t>
  </si>
  <si>
    <t>PITPNB</t>
  </si>
  <si>
    <t>204408_at</t>
  </si>
  <si>
    <t>APEX2</t>
  </si>
  <si>
    <t>204451_at</t>
  </si>
  <si>
    <t>FZD1</t>
  </si>
  <si>
    <t>207473_at</t>
  </si>
  <si>
    <t>MLN</t>
  </si>
  <si>
    <t>209253_at</t>
  </si>
  <si>
    <t>SORBS3</t>
  </si>
  <si>
    <t>214473_x_at</t>
  </si>
  <si>
    <t>218561_s_at</t>
  </si>
  <si>
    <t>LYRM4</t>
  </si>
  <si>
    <t>32502_at</t>
  </si>
  <si>
    <t>GDPD5</t>
  </si>
  <si>
    <t>201040_at</t>
  </si>
  <si>
    <t>GNAI2</t>
  </si>
  <si>
    <t>202871_at</t>
  </si>
  <si>
    <t>TRAF4</t>
  </si>
  <si>
    <t>202990_at</t>
  </si>
  <si>
    <t>PYGL</t>
  </si>
  <si>
    <t>205849_s_at</t>
  </si>
  <si>
    <t>207525_s_at</t>
  </si>
  <si>
    <t>GIPC1</t>
  </si>
  <si>
    <t>219219_at</t>
  </si>
  <si>
    <t>TMEM160</t>
  </si>
  <si>
    <t>220224_at</t>
  </si>
  <si>
    <t>HAO1</t>
  </si>
  <si>
    <t>210233_at</t>
  </si>
  <si>
    <t>210236_at</t>
  </si>
  <si>
    <t>220868_s_at</t>
  </si>
  <si>
    <t>SLC7A10</t>
  </si>
  <si>
    <t>212766_s_at</t>
  </si>
  <si>
    <t>ISG20L2</t>
  </si>
  <si>
    <t>206921_at</t>
  </si>
  <si>
    <t>208878_s_at</t>
  </si>
  <si>
    <t>205590_at</t>
  </si>
  <si>
    <t>RASGRP1</t>
  </si>
  <si>
    <t>207444_at</t>
  </si>
  <si>
    <t>SLC22A13</t>
  </si>
  <si>
    <t>202155_s_at</t>
  </si>
  <si>
    <t>NUP214</t>
  </si>
  <si>
    <t>204161_s_at</t>
  </si>
  <si>
    <t>209536_s_at</t>
  </si>
  <si>
    <t>EHD4</t>
  </si>
  <si>
    <t>209190_s_at</t>
  </si>
  <si>
    <t>211548_s_at</t>
  </si>
  <si>
    <t>205199_at</t>
  </si>
  <si>
    <t>CA9</t>
  </si>
  <si>
    <t>208296_x_at</t>
  </si>
  <si>
    <t>209968_s_at</t>
  </si>
  <si>
    <t>219503_s_at</t>
  </si>
  <si>
    <t>TMEM40</t>
  </si>
  <si>
    <t>219093_at</t>
  </si>
  <si>
    <t>PID1</t>
  </si>
  <si>
    <t>221078_s_at</t>
  </si>
  <si>
    <t>204331_s_at</t>
  </si>
  <si>
    <t>204908_s_at</t>
  </si>
  <si>
    <t>BCL3</t>
  </si>
  <si>
    <t>204176_at</t>
  </si>
  <si>
    <t>212133_at</t>
  </si>
  <si>
    <t>38149_at</t>
  </si>
  <si>
    <t>202376_at</t>
  </si>
  <si>
    <t>SERPINA3</t>
  </si>
  <si>
    <t>205151_s_at</t>
  </si>
  <si>
    <t>TRIL</t>
  </si>
  <si>
    <t>207123_s_at</t>
  </si>
  <si>
    <t>MATN4</t>
  </si>
  <si>
    <t>209861_s_at</t>
  </si>
  <si>
    <t>213258_at</t>
  </si>
  <si>
    <t>200599_s_at</t>
  </si>
  <si>
    <t>HSP90B1</t>
  </si>
  <si>
    <t>210544_s_at</t>
  </si>
  <si>
    <t>218803_at</t>
  </si>
  <si>
    <t>CHFR</t>
  </si>
  <si>
    <t>221746_at</t>
  </si>
  <si>
    <t>UBL4A</t>
  </si>
  <si>
    <t>211050_x_at</t>
  </si>
  <si>
    <t>DKFZP434B2016 /// LOC643313</t>
  </si>
  <si>
    <t>219116_s_at</t>
  </si>
  <si>
    <t>DCUN1D2</t>
  </si>
  <si>
    <t>216959_x_at</t>
  </si>
  <si>
    <t>NRCAM</t>
  </si>
  <si>
    <t>207093_s_at</t>
  </si>
  <si>
    <t>OMG</t>
  </si>
  <si>
    <t>1773_at</t>
  </si>
  <si>
    <t>FNTB</t>
  </si>
  <si>
    <t>202430_s_at</t>
  </si>
  <si>
    <t>203653_s_at</t>
  </si>
  <si>
    <t>203658_at</t>
  </si>
  <si>
    <t>SLC25A20</t>
  </si>
  <si>
    <t>205549_at</t>
  </si>
  <si>
    <t>PCP4</t>
  </si>
  <si>
    <t>210990_s_at</t>
  </si>
  <si>
    <t>219411_at</t>
  </si>
  <si>
    <t>ELMO3</t>
  </si>
  <si>
    <t>219649_at</t>
  </si>
  <si>
    <t>ALG6</t>
  </si>
  <si>
    <t>220122_at</t>
  </si>
  <si>
    <t>MCTP1</t>
  </si>
  <si>
    <t>205303_at</t>
  </si>
  <si>
    <t>KCNJ8</t>
  </si>
  <si>
    <t>213497_at</t>
  </si>
  <si>
    <t>ABTB2</t>
  </si>
  <si>
    <t>203105_s_at</t>
  </si>
  <si>
    <t>DNM1L</t>
  </si>
  <si>
    <t>201594_s_at</t>
  </si>
  <si>
    <t>PPP4R1</t>
  </si>
  <si>
    <t>208640_at</t>
  </si>
  <si>
    <t>RAC1</t>
  </si>
  <si>
    <t>209128_s_at</t>
  </si>
  <si>
    <t>SART3</t>
  </si>
  <si>
    <t>212714_at</t>
  </si>
  <si>
    <t>LARP4</t>
  </si>
  <si>
    <t>217915_s_at</t>
  </si>
  <si>
    <t>RSL24D1</t>
  </si>
  <si>
    <t>218430_s_at</t>
  </si>
  <si>
    <t>RFX7</t>
  </si>
  <si>
    <t>201511_at</t>
  </si>
  <si>
    <t>AAMP</t>
  </si>
  <si>
    <t>220586_at</t>
  </si>
  <si>
    <t>CHD9</t>
  </si>
  <si>
    <t>213779_at</t>
  </si>
  <si>
    <t>EMID1</t>
  </si>
  <si>
    <t>206729_at</t>
  </si>
  <si>
    <t>TNFRSF8</t>
  </si>
  <si>
    <t>207774_at</t>
  </si>
  <si>
    <t>ATG10</t>
  </si>
  <si>
    <t>215761_at</t>
  </si>
  <si>
    <t>211643_x_at</t>
  </si>
  <si>
    <t>IGK@ /// IGKC /// IGKV3-20 /// IGKV3D-11 /// IGKV3D-15 /// LOC440871</t>
  </si>
  <si>
    <t>218977_s_at</t>
  </si>
  <si>
    <t>TRNAU1AP</t>
  </si>
  <si>
    <t>212181_s_at</t>
  </si>
  <si>
    <t>200059_s_at</t>
  </si>
  <si>
    <t>RHOA</t>
  </si>
  <si>
    <t>211708_s_at</t>
  </si>
  <si>
    <t>207169_x_at</t>
  </si>
  <si>
    <t>202801_at</t>
  </si>
  <si>
    <t>PRKACA</t>
  </si>
  <si>
    <t>200743_s_at</t>
  </si>
  <si>
    <t>207132_x_at</t>
  </si>
  <si>
    <t>PFDN5</t>
  </si>
  <si>
    <t>215323_at</t>
  </si>
  <si>
    <t>LUZP2</t>
  </si>
  <si>
    <t>218028_at</t>
  </si>
  <si>
    <t>222270_at</t>
  </si>
  <si>
    <t>SMEK2</t>
  </si>
  <si>
    <t>212107_s_at</t>
  </si>
  <si>
    <t>214406_s_at</t>
  </si>
  <si>
    <t>208998_at</t>
  </si>
  <si>
    <t>UCP2</t>
  </si>
  <si>
    <t>212947_at</t>
  </si>
  <si>
    <t>SLC9A8</t>
  </si>
  <si>
    <t>221540_x_at</t>
  </si>
  <si>
    <t>GTF2H2 /// GTF2H2B /// GTF2H2C /// GTF2H2D</t>
  </si>
  <si>
    <t>210221_at</t>
  </si>
  <si>
    <t>205614_x_at</t>
  </si>
  <si>
    <t>208852_s_at</t>
  </si>
  <si>
    <t>215340_at</t>
  </si>
  <si>
    <t>217200_x_at</t>
  </si>
  <si>
    <t>214103_s_at</t>
  </si>
  <si>
    <t>221346_at</t>
  </si>
  <si>
    <t>OR10J1</t>
  </si>
  <si>
    <t>207393_at</t>
  </si>
  <si>
    <t>HCRTR2</t>
  </si>
  <si>
    <t>217176_s_at</t>
  </si>
  <si>
    <t>215611_at</t>
  </si>
  <si>
    <t>202512_s_at</t>
  </si>
  <si>
    <t>ATG5</t>
  </si>
  <si>
    <t>210080_x_at</t>
  </si>
  <si>
    <t>CELA3A</t>
  </si>
  <si>
    <t>218156_s_at</t>
  </si>
  <si>
    <t>217468_at</t>
  </si>
  <si>
    <t>218045_x_at</t>
  </si>
  <si>
    <t>PTMS</t>
  </si>
  <si>
    <t>207181_s_at</t>
  </si>
  <si>
    <t>CASP7</t>
  </si>
  <si>
    <t>221516_s_at</t>
  </si>
  <si>
    <t>216306_x_at</t>
  </si>
  <si>
    <t>219760_at</t>
  </si>
  <si>
    <t>LIN7B</t>
  </si>
  <si>
    <t>203419_at</t>
  </si>
  <si>
    <t>MLL4</t>
  </si>
  <si>
    <t>217001_x_at</t>
  </si>
  <si>
    <t>208441_at</t>
  </si>
  <si>
    <t>210334_x_at</t>
  </si>
  <si>
    <t>203938_s_at</t>
  </si>
  <si>
    <t>TAF1C</t>
  </si>
  <si>
    <t>201528_at</t>
  </si>
  <si>
    <t>RPA1</t>
  </si>
  <si>
    <t>218515_at</t>
  </si>
  <si>
    <t>200087_s_at</t>
  </si>
  <si>
    <t>204067_at</t>
  </si>
  <si>
    <t>SUOX</t>
  </si>
  <si>
    <t>206537_at</t>
  </si>
  <si>
    <t>XIAP</t>
  </si>
  <si>
    <t>207919_at</t>
  </si>
  <si>
    <t>ART1</t>
  </si>
  <si>
    <t>209492_x_at</t>
  </si>
  <si>
    <t>ATP5I</t>
  </si>
  <si>
    <t>45572_s_at</t>
  </si>
  <si>
    <t>216833_x_at</t>
  </si>
  <si>
    <t>GYPB /// GYPE</t>
  </si>
  <si>
    <t>208182_x_at</t>
  </si>
  <si>
    <t>IFNA14</t>
  </si>
  <si>
    <t>210879_s_at</t>
  </si>
  <si>
    <t>RAB11FIP5</t>
  </si>
  <si>
    <t>214572_s_at</t>
  </si>
  <si>
    <t>INSL3 /// JAK3</t>
  </si>
  <si>
    <t>221385_s_at</t>
  </si>
  <si>
    <t>FFAR3</t>
  </si>
  <si>
    <t>211901_s_at</t>
  </si>
  <si>
    <t>202608_s_at</t>
  </si>
  <si>
    <t>NDST1</t>
  </si>
  <si>
    <t>210465_s_at</t>
  </si>
  <si>
    <t>215384_s_at</t>
  </si>
  <si>
    <t>208114_s_at</t>
  </si>
  <si>
    <t>221077_at</t>
  </si>
  <si>
    <t>ARMC4</t>
  </si>
  <si>
    <t>208726_s_at</t>
  </si>
  <si>
    <t>213522_s_at</t>
  </si>
  <si>
    <t>214659_x_at</t>
  </si>
  <si>
    <t>206869_at</t>
  </si>
  <si>
    <t>CHAD</t>
  </si>
  <si>
    <t>218954_s_at</t>
  </si>
  <si>
    <t>BRF2</t>
  </si>
  <si>
    <t>201591_s_at</t>
  </si>
  <si>
    <t>NISCH</t>
  </si>
  <si>
    <t>202554_s_at</t>
  </si>
  <si>
    <t>GSTM3</t>
  </si>
  <si>
    <t>216546_s_at</t>
  </si>
  <si>
    <t>CHI3L1</t>
  </si>
  <si>
    <t>215895_x_at</t>
  </si>
  <si>
    <t>ADFP</t>
  </si>
  <si>
    <t>220832_at</t>
  </si>
  <si>
    <t>TLR8</t>
  </si>
  <si>
    <t>218652_s_at</t>
  </si>
  <si>
    <t>PIGG</t>
  </si>
  <si>
    <t>202810_at</t>
  </si>
  <si>
    <t>DRG1</t>
  </si>
  <si>
    <t>209241_x_at</t>
  </si>
  <si>
    <t>201038_s_at</t>
  </si>
  <si>
    <t>217477_at</t>
  </si>
  <si>
    <t>202239_at</t>
  </si>
  <si>
    <t>PARP4</t>
  </si>
  <si>
    <t>203696_s_at</t>
  </si>
  <si>
    <t>RFC2</t>
  </si>
  <si>
    <t>204337_at</t>
  </si>
  <si>
    <t>211540_s_at</t>
  </si>
  <si>
    <t>212541_at</t>
  </si>
  <si>
    <t>216374_at</t>
  </si>
  <si>
    <t>LOC728395 /// TSPY1 /// TSPY3</t>
  </si>
  <si>
    <t>207263_x_at</t>
  </si>
  <si>
    <t>VEZT</t>
  </si>
  <si>
    <t>202402_s_at</t>
  </si>
  <si>
    <t>215471_s_at</t>
  </si>
  <si>
    <t>MAP7</t>
  </si>
  <si>
    <t>219441_s_at</t>
  </si>
  <si>
    <t>LRRK1</t>
  </si>
  <si>
    <t>220332_at</t>
  </si>
  <si>
    <t>CLDN16</t>
  </si>
  <si>
    <t>205247_at</t>
  </si>
  <si>
    <t>NOTCH4</t>
  </si>
  <si>
    <t>211620_x_at</t>
  </si>
  <si>
    <t>RUNX1 /// SH3D19</t>
  </si>
  <si>
    <t>222036_s_at</t>
  </si>
  <si>
    <t>212615_at</t>
  </si>
  <si>
    <t>214529_at</t>
  </si>
  <si>
    <t>TSHB</t>
  </si>
  <si>
    <t>50374_at</t>
  </si>
  <si>
    <t>C17orf90</t>
  </si>
  <si>
    <t>214692_s_at</t>
  </si>
  <si>
    <t>JRK</t>
  </si>
  <si>
    <t>207305_s_at</t>
  </si>
  <si>
    <t>KIAA1012</t>
  </si>
  <si>
    <t>221637_s_at</t>
  </si>
  <si>
    <t>C11orf48</t>
  </si>
  <si>
    <t>216688_at</t>
  </si>
  <si>
    <t>LOC728564</t>
  </si>
  <si>
    <t>208589_at</t>
  </si>
  <si>
    <t>TRPC7</t>
  </si>
  <si>
    <t>219022_at</t>
  </si>
  <si>
    <t>C12orf43</t>
  </si>
  <si>
    <t>208760_at</t>
  </si>
  <si>
    <t>205693_at</t>
  </si>
  <si>
    <t>TNNT3</t>
  </si>
  <si>
    <t>211178_s_at</t>
  </si>
  <si>
    <t>PSTPIP1</t>
  </si>
  <si>
    <t>214432_at</t>
  </si>
  <si>
    <t>ATP1A3</t>
  </si>
  <si>
    <t>217995_at</t>
  </si>
  <si>
    <t>SQRDL</t>
  </si>
  <si>
    <t>221084_at</t>
  </si>
  <si>
    <t>HTR3B</t>
  </si>
  <si>
    <t>206072_at</t>
  </si>
  <si>
    <t>UCN</t>
  </si>
  <si>
    <t>217112_at</t>
  </si>
  <si>
    <t>204405_x_at</t>
  </si>
  <si>
    <t>219445_at</t>
  </si>
  <si>
    <t>GLTSCR1</t>
  </si>
  <si>
    <t>221629_x_at</t>
  </si>
  <si>
    <t>C8orf30A</t>
  </si>
  <si>
    <t>220287_at</t>
  </si>
  <si>
    <t>ADAMTS9</t>
  </si>
  <si>
    <t>201222_s_at</t>
  </si>
  <si>
    <t>218385_at</t>
  </si>
  <si>
    <t>202374_s_at</t>
  </si>
  <si>
    <t>208675_s_at</t>
  </si>
  <si>
    <t>201128_s_at</t>
  </si>
  <si>
    <t>203103_s_at</t>
  </si>
  <si>
    <t>PRPF19</t>
  </si>
  <si>
    <t>202820_at</t>
  </si>
  <si>
    <t>AHR</t>
  </si>
  <si>
    <t>205432_at</t>
  </si>
  <si>
    <t>OVGP1</t>
  </si>
  <si>
    <t>202633_at</t>
  </si>
  <si>
    <t>TOPBP1</t>
  </si>
  <si>
    <t>206448_at</t>
  </si>
  <si>
    <t>ZNF365</t>
  </si>
  <si>
    <t>206559_x_at</t>
  </si>
  <si>
    <t>219738_s_at</t>
  </si>
  <si>
    <t>209034_at</t>
  </si>
  <si>
    <t>PNRC1</t>
  </si>
  <si>
    <t>215159_s_at</t>
  </si>
  <si>
    <t>220114_s_at</t>
  </si>
  <si>
    <t>STAB2</t>
  </si>
  <si>
    <t>220012_at</t>
  </si>
  <si>
    <t>ERO1LB</t>
  </si>
  <si>
    <t>214439_x_at</t>
  </si>
  <si>
    <t>202889_x_at</t>
  </si>
  <si>
    <t>201206_s_at</t>
  </si>
  <si>
    <t>211916_s_at</t>
  </si>
  <si>
    <t>MYO1A</t>
  </si>
  <si>
    <t>211129_x_at</t>
  </si>
  <si>
    <t>210081_at</t>
  </si>
  <si>
    <t>202455_at</t>
  </si>
  <si>
    <t>HDAC5</t>
  </si>
  <si>
    <t>206673_at</t>
  </si>
  <si>
    <t>GPR176</t>
  </si>
  <si>
    <t>201628_s_at</t>
  </si>
  <si>
    <t>RRAGA</t>
  </si>
  <si>
    <t>219437_s_at</t>
  </si>
  <si>
    <t>ANKRD11</t>
  </si>
  <si>
    <t>221724_s_at</t>
  </si>
  <si>
    <t>211938_at</t>
  </si>
  <si>
    <t>212435_at</t>
  </si>
  <si>
    <t>204321_at</t>
  </si>
  <si>
    <t>NEO1</t>
  </si>
  <si>
    <t>209950_s_at</t>
  </si>
  <si>
    <t>VILL</t>
  </si>
  <si>
    <t>205197_s_at</t>
  </si>
  <si>
    <t>220510_at</t>
  </si>
  <si>
    <t>RHBG</t>
  </si>
  <si>
    <t>222229_x_at</t>
  </si>
  <si>
    <t>RPL26</t>
  </si>
  <si>
    <t>220562_at</t>
  </si>
  <si>
    <t>CYP2W1</t>
  </si>
  <si>
    <t>220646_s_at</t>
  </si>
  <si>
    <t>KLRF1</t>
  </si>
  <si>
    <t>204368_at</t>
  </si>
  <si>
    <t>SLCO2A1</t>
  </si>
  <si>
    <t>221323_at</t>
  </si>
  <si>
    <t>ULBP1</t>
  </si>
  <si>
    <t>202024_at</t>
  </si>
  <si>
    <t>ASNA1</t>
  </si>
  <si>
    <t>208719_s_at</t>
  </si>
  <si>
    <t>DDX17</t>
  </si>
  <si>
    <t>210608_s_at</t>
  </si>
  <si>
    <t>31637_s_at</t>
  </si>
  <si>
    <t>NR1D1 /// THRA</t>
  </si>
  <si>
    <t>209180_at</t>
  </si>
  <si>
    <t>220485_s_at</t>
  </si>
  <si>
    <t>SIRPG</t>
  </si>
  <si>
    <t>212974_at</t>
  </si>
  <si>
    <t>DENND3</t>
  </si>
  <si>
    <t>218332_at</t>
  </si>
  <si>
    <t>BEX1</t>
  </si>
  <si>
    <t>203688_at</t>
  </si>
  <si>
    <t>PKD2</t>
  </si>
  <si>
    <t>209524_at</t>
  </si>
  <si>
    <t>HDGFRP3</t>
  </si>
  <si>
    <t>206441_s_at</t>
  </si>
  <si>
    <t>211833_s_at</t>
  </si>
  <si>
    <t>BAX</t>
  </si>
  <si>
    <t>202719_s_at</t>
  </si>
  <si>
    <t>TES</t>
  </si>
  <si>
    <t>216114_at</t>
  </si>
  <si>
    <t>219926_at</t>
  </si>
  <si>
    <t>POPDC3</t>
  </si>
  <si>
    <t>214800_x_at</t>
  </si>
  <si>
    <t>203867_s_at</t>
  </si>
  <si>
    <t>NLE1</t>
  </si>
  <si>
    <t>207788_s_at</t>
  </si>
  <si>
    <t>218180_s_at</t>
  </si>
  <si>
    <t>EPS8L2</t>
  </si>
  <si>
    <t>211331_x_at</t>
  </si>
  <si>
    <t>219491_at</t>
  </si>
  <si>
    <t>LRFN4</t>
  </si>
  <si>
    <t>219495_s_at</t>
  </si>
  <si>
    <t>ZNF180</t>
  </si>
  <si>
    <t>55065_at</t>
  </si>
  <si>
    <t>207277_at</t>
  </si>
  <si>
    <t>CD209</t>
  </si>
  <si>
    <t>210530_s_at</t>
  </si>
  <si>
    <t>220239_at</t>
  </si>
  <si>
    <t>KLHL7</t>
  </si>
  <si>
    <t>200075_s_at</t>
  </si>
  <si>
    <t>204269_at</t>
  </si>
  <si>
    <t>PIM2</t>
  </si>
  <si>
    <t>206611_at</t>
  </si>
  <si>
    <t>C2orf27A</t>
  </si>
  <si>
    <t>208108_s_at</t>
  </si>
  <si>
    <t>209661_at</t>
  </si>
  <si>
    <t>KIFC3</t>
  </si>
  <si>
    <t>216355_at</t>
  </si>
  <si>
    <t>PCDHB17</t>
  </si>
  <si>
    <t>218347_at</t>
  </si>
  <si>
    <t>TYW1</t>
  </si>
  <si>
    <t>218466_at</t>
  </si>
  <si>
    <t>TBC1D17</t>
  </si>
  <si>
    <t>218997_at</t>
  </si>
  <si>
    <t>POLR1E</t>
  </si>
  <si>
    <t>219543_at</t>
  </si>
  <si>
    <t>PBLD</t>
  </si>
  <si>
    <t>206127_at</t>
  </si>
  <si>
    <t>207426_s_at</t>
  </si>
  <si>
    <t>TNFSF4</t>
  </si>
  <si>
    <t>210420_at</t>
  </si>
  <si>
    <t>216823_at</t>
  </si>
  <si>
    <t>204652_s_at</t>
  </si>
  <si>
    <t>202126_at</t>
  </si>
  <si>
    <t>212053_at</t>
  </si>
  <si>
    <t>PDXDC1</t>
  </si>
  <si>
    <t>220783_at</t>
  </si>
  <si>
    <t>MMP27</t>
  </si>
  <si>
    <t>200654_at</t>
  </si>
  <si>
    <t>201834_at</t>
  </si>
  <si>
    <t>202618_s_at</t>
  </si>
  <si>
    <t>205991_s_at</t>
  </si>
  <si>
    <t>PRRX1</t>
  </si>
  <si>
    <t>206407_s_at</t>
  </si>
  <si>
    <t>215913_s_at</t>
  </si>
  <si>
    <t>GULP1</t>
  </si>
  <si>
    <t>219164_s_at</t>
  </si>
  <si>
    <t>ATG2B</t>
  </si>
  <si>
    <t>204527_at</t>
  </si>
  <si>
    <t>MYO5A</t>
  </si>
  <si>
    <t>216589_at</t>
  </si>
  <si>
    <t>LOC390998</t>
  </si>
  <si>
    <t>32091_at</t>
  </si>
  <si>
    <t>SLC25A44</t>
  </si>
  <si>
    <t>207288_at</t>
  </si>
  <si>
    <t>NCRNA00105</t>
  </si>
  <si>
    <t>209172_s_at</t>
  </si>
  <si>
    <t>209713_s_at</t>
  </si>
  <si>
    <t>216013_at</t>
  </si>
  <si>
    <t>ZXDB</t>
  </si>
  <si>
    <t>218908_at</t>
  </si>
  <si>
    <t>ASPSCR1</t>
  </si>
  <si>
    <t>206082_at</t>
  </si>
  <si>
    <t>HCP5</t>
  </si>
  <si>
    <t>219617_at</t>
  </si>
  <si>
    <t>C2orf34</t>
  </si>
  <si>
    <t>212786_at</t>
  </si>
  <si>
    <t>CLEC16A</t>
  </si>
  <si>
    <t>200731_s_at</t>
  </si>
  <si>
    <t>201936_s_at</t>
  </si>
  <si>
    <t>202689_at</t>
  </si>
  <si>
    <t>RBM15B</t>
  </si>
  <si>
    <t>204512_at</t>
  </si>
  <si>
    <t>HIVEP1</t>
  </si>
  <si>
    <t>208732_at</t>
  </si>
  <si>
    <t>216470_x_at</t>
  </si>
  <si>
    <t>PRSS1 /// PRSS2 /// PRSS3 /// TRY6</t>
  </si>
  <si>
    <t>217437_s_at</t>
  </si>
  <si>
    <t>221095_s_at</t>
  </si>
  <si>
    <t>KCNE2</t>
  </si>
  <si>
    <t>212588_at</t>
  </si>
  <si>
    <t>214361_s_at</t>
  </si>
  <si>
    <t>216615_s_at</t>
  </si>
  <si>
    <t>HTR3A</t>
  </si>
  <si>
    <t>207044_at</t>
  </si>
  <si>
    <t>THRB</t>
  </si>
  <si>
    <t>211900_x_at</t>
  </si>
  <si>
    <t>211988_at</t>
  </si>
  <si>
    <t>SMARCE1</t>
  </si>
  <si>
    <t>214183_s_at</t>
  </si>
  <si>
    <t>TKTL1</t>
  </si>
  <si>
    <t>221263_s_at</t>
  </si>
  <si>
    <t>SF3B5</t>
  </si>
  <si>
    <t>204636_at</t>
  </si>
  <si>
    <t>COL17A1</t>
  </si>
  <si>
    <t>207532_at</t>
  </si>
  <si>
    <t>CRYGD</t>
  </si>
  <si>
    <t>221132_at</t>
  </si>
  <si>
    <t>202991_at</t>
  </si>
  <si>
    <t>STARD3</t>
  </si>
  <si>
    <t>217034_at</t>
  </si>
  <si>
    <t>NTN3</t>
  </si>
  <si>
    <t>209845_at</t>
  </si>
  <si>
    <t>211100_x_at</t>
  </si>
  <si>
    <t>216273_at</t>
  </si>
  <si>
    <t>ZNF460</t>
  </si>
  <si>
    <t>217818_s_at</t>
  </si>
  <si>
    <t>ARPC4 /// TTLL3</t>
  </si>
  <si>
    <t>222206_s_at</t>
  </si>
  <si>
    <t>212618_at</t>
  </si>
  <si>
    <t>221723_s_at</t>
  </si>
  <si>
    <t>SLC4A5</t>
  </si>
  <si>
    <t>200595_s_at</t>
  </si>
  <si>
    <t>220167_s_at</t>
  </si>
  <si>
    <t>TP53TG3 /// TP53TG3</t>
  </si>
  <si>
    <t>214394_x_at</t>
  </si>
  <si>
    <t>201440_at</t>
  </si>
  <si>
    <t>DDX23</t>
  </si>
  <si>
    <t>201574_at</t>
  </si>
  <si>
    <t>214851_at</t>
  </si>
  <si>
    <t>209141_at</t>
  </si>
  <si>
    <t>UBE2G1</t>
  </si>
  <si>
    <t>201033_x_at</t>
  </si>
  <si>
    <t>219510_at</t>
  </si>
  <si>
    <t>POLQ</t>
  </si>
  <si>
    <t>209765_at</t>
  </si>
  <si>
    <t>208556_at</t>
  </si>
  <si>
    <t>GPR31</t>
  </si>
  <si>
    <t>205831_at</t>
  </si>
  <si>
    <t>CD2</t>
  </si>
  <si>
    <t>208234_x_at</t>
  </si>
  <si>
    <t>212998_x_at</t>
  </si>
  <si>
    <t>213061_s_at</t>
  </si>
  <si>
    <t>213070_at</t>
  </si>
  <si>
    <t>PIK3C2A</t>
  </si>
  <si>
    <t>214825_at</t>
  </si>
  <si>
    <t>FAM155A</t>
  </si>
  <si>
    <t>218982_s_at</t>
  </si>
  <si>
    <t>MRPS17 /// ZNF713</t>
  </si>
  <si>
    <t>210115_at</t>
  </si>
  <si>
    <t>RPL39L</t>
  </si>
  <si>
    <t>213922_at</t>
  </si>
  <si>
    <t>TTBK2</t>
  </si>
  <si>
    <t>218286_s_at</t>
  </si>
  <si>
    <t>RNF7</t>
  </si>
  <si>
    <t>218889_at</t>
  </si>
  <si>
    <t>NOC3L</t>
  </si>
  <si>
    <t>201439_at</t>
  </si>
  <si>
    <t>GBF1</t>
  </si>
  <si>
    <t>35776_at</t>
  </si>
  <si>
    <t>204723_at</t>
  </si>
  <si>
    <t>SCN3B</t>
  </si>
  <si>
    <t>209864_at</t>
  </si>
  <si>
    <t>FRAT2</t>
  </si>
  <si>
    <t>210495_x_at</t>
  </si>
  <si>
    <t>201948_at</t>
  </si>
  <si>
    <t>GNL2</t>
  </si>
  <si>
    <t>221324_at</t>
  </si>
  <si>
    <t>TAS2R1</t>
  </si>
  <si>
    <t>204513_s_at</t>
  </si>
  <si>
    <t>ELMO1</t>
  </si>
  <si>
    <t>214012_at</t>
  </si>
  <si>
    <t>ERAP1</t>
  </si>
  <si>
    <t>215055_at</t>
  </si>
  <si>
    <t>220866_at</t>
  </si>
  <si>
    <t>ADAMTS6</t>
  </si>
  <si>
    <t>207491_at</t>
  </si>
  <si>
    <t>MOGAT2</t>
  </si>
  <si>
    <t>201854_s_at</t>
  </si>
  <si>
    <t>201055_s_at</t>
  </si>
  <si>
    <t>HNRNPA0</t>
  </si>
  <si>
    <t>208645_s_at</t>
  </si>
  <si>
    <t>RPS14</t>
  </si>
  <si>
    <t>208754_s_at</t>
  </si>
  <si>
    <t>216031_x_at</t>
  </si>
  <si>
    <t>211677_x_at</t>
  </si>
  <si>
    <t>208745_at</t>
  </si>
  <si>
    <t>201462_at</t>
  </si>
  <si>
    <t>SCRN1</t>
  </si>
  <si>
    <t>209239_at</t>
  </si>
  <si>
    <t>NFKB1</t>
  </si>
  <si>
    <t>218974_at</t>
  </si>
  <si>
    <t>SOBP</t>
  </si>
  <si>
    <t>207720_at</t>
  </si>
  <si>
    <t>LOR</t>
  </si>
  <si>
    <t>204105_s_at</t>
  </si>
  <si>
    <t>215903_s_at</t>
  </si>
  <si>
    <t>209639_s_at</t>
  </si>
  <si>
    <t>221926_s_at</t>
  </si>
  <si>
    <t>205091_x_at</t>
  </si>
  <si>
    <t>218783_at</t>
  </si>
  <si>
    <t>201159_s_at</t>
  </si>
  <si>
    <t>202566_s_at</t>
  </si>
  <si>
    <t>206598_at</t>
  </si>
  <si>
    <t>INS</t>
  </si>
  <si>
    <t>200065_s_at</t>
  </si>
  <si>
    <t>ARF1</t>
  </si>
  <si>
    <t>202182_at</t>
  </si>
  <si>
    <t>KAT2A</t>
  </si>
  <si>
    <t>207414_s_at</t>
  </si>
  <si>
    <t>219741_x_at</t>
  </si>
  <si>
    <t>ZNF552</t>
  </si>
  <si>
    <t>204829_s_at</t>
  </si>
  <si>
    <t>FOLR2</t>
  </si>
  <si>
    <t>204000_at</t>
  </si>
  <si>
    <t>221197_s_at</t>
  </si>
  <si>
    <t>CHAT</t>
  </si>
  <si>
    <t>38158_at</t>
  </si>
  <si>
    <t>208611_s_at</t>
  </si>
  <si>
    <t>214113_s_at</t>
  </si>
  <si>
    <t>220890_s_at</t>
  </si>
  <si>
    <t>DDX47</t>
  </si>
  <si>
    <t>221695_s_at</t>
  </si>
  <si>
    <t>MAP3K2</t>
  </si>
  <si>
    <t>212139_at</t>
  </si>
  <si>
    <t>GCN1L1</t>
  </si>
  <si>
    <t>221897_at</t>
  </si>
  <si>
    <t>TRIM52</t>
  </si>
  <si>
    <t>204590_x_at</t>
  </si>
  <si>
    <t>VPS33A</t>
  </si>
  <si>
    <t>204305_at</t>
  </si>
  <si>
    <t>MIPEP</t>
  </si>
  <si>
    <t>218104_at</t>
  </si>
  <si>
    <t>TEX10</t>
  </si>
  <si>
    <t>210309_at</t>
  </si>
  <si>
    <t>213973_at</t>
  </si>
  <si>
    <t>201514_s_at</t>
  </si>
  <si>
    <t>201880_at</t>
  </si>
  <si>
    <t>203720_s_at</t>
  </si>
  <si>
    <t>208777_s_at</t>
  </si>
  <si>
    <t>218569_s_at</t>
  </si>
  <si>
    <t>KBTBD4</t>
  </si>
  <si>
    <t>203277_at</t>
  </si>
  <si>
    <t>DFFA</t>
  </si>
  <si>
    <t>215199_at</t>
  </si>
  <si>
    <t>201056_at</t>
  </si>
  <si>
    <t>210606_x_at</t>
  </si>
  <si>
    <t>KLRD1</t>
  </si>
  <si>
    <t>221626_at</t>
  </si>
  <si>
    <t>ZNF506</t>
  </si>
  <si>
    <t>209218_at</t>
  </si>
  <si>
    <t>204283_at</t>
  </si>
  <si>
    <t>209445_x_at</t>
  </si>
  <si>
    <t>C7orf44</t>
  </si>
  <si>
    <t>209734_at</t>
  </si>
  <si>
    <t>NCKAP1L</t>
  </si>
  <si>
    <t>209967_s_at</t>
  </si>
  <si>
    <t>205685_at</t>
  </si>
  <si>
    <t>CD86</t>
  </si>
  <si>
    <t>207096_at</t>
  </si>
  <si>
    <t>SAA4</t>
  </si>
  <si>
    <t>210845_s_at</t>
  </si>
  <si>
    <t>220782_x_at</t>
  </si>
  <si>
    <t>KLK12</t>
  </si>
  <si>
    <t>209643_s_at</t>
  </si>
  <si>
    <t>PLD2</t>
  </si>
  <si>
    <t>206603_at</t>
  </si>
  <si>
    <t>SLC2A4</t>
  </si>
  <si>
    <t>201556_s_at</t>
  </si>
  <si>
    <t>219999_at</t>
  </si>
  <si>
    <t>215216_at</t>
  </si>
  <si>
    <t>AFFX-HUMISGF3A/M97935_MB_at</t>
  </si>
  <si>
    <t>221481_x_at</t>
  </si>
  <si>
    <t>203198_at</t>
  </si>
  <si>
    <t>CDK9</t>
  </si>
  <si>
    <t>216268_s_at</t>
  </si>
  <si>
    <t>213278_at</t>
  </si>
  <si>
    <t>201932_at</t>
  </si>
  <si>
    <t>LRRC41</t>
  </si>
  <si>
    <t>217987_at</t>
  </si>
  <si>
    <t>ASNSD1</t>
  </si>
  <si>
    <t>219076_s_at</t>
  </si>
  <si>
    <t>PXMP2</t>
  </si>
  <si>
    <t>203927_at</t>
  </si>
  <si>
    <t>NFKBIE</t>
  </si>
  <si>
    <t>208103_s_at</t>
  </si>
  <si>
    <t>204041_at</t>
  </si>
  <si>
    <t>MAOB</t>
  </si>
  <si>
    <t>202577_s_at</t>
  </si>
  <si>
    <t>DDX19A</t>
  </si>
  <si>
    <t>212033_at</t>
  </si>
  <si>
    <t>217689_at</t>
  </si>
  <si>
    <t>PTPN1</t>
  </si>
  <si>
    <t>203673_at</t>
  </si>
  <si>
    <t>TG</t>
  </si>
  <si>
    <t>207416_s_at</t>
  </si>
  <si>
    <t>212398_at</t>
  </si>
  <si>
    <t>212928_at</t>
  </si>
  <si>
    <t>TSPYL4</t>
  </si>
  <si>
    <t>221651_x_at</t>
  </si>
  <si>
    <t>208244_at</t>
  </si>
  <si>
    <t>BMP3</t>
  </si>
  <si>
    <t>210130_s_at</t>
  </si>
  <si>
    <t>TM7SF2</t>
  </si>
  <si>
    <t>208110_x_at</t>
  </si>
  <si>
    <t>MED25</t>
  </si>
  <si>
    <t>202552_s_at</t>
  </si>
  <si>
    <t>202781_s_at</t>
  </si>
  <si>
    <t>203008_x_at</t>
  </si>
  <si>
    <t>TXNDC9</t>
  </si>
  <si>
    <t>210141_s_at</t>
  </si>
  <si>
    <t>INHA</t>
  </si>
  <si>
    <t>210298_x_at</t>
  </si>
  <si>
    <t>214849_at</t>
  </si>
  <si>
    <t>KCTD20</t>
  </si>
  <si>
    <t>215416_s_at</t>
  </si>
  <si>
    <t>STOML2</t>
  </si>
  <si>
    <t>217317_s_at</t>
  </si>
  <si>
    <t>HERC2P2 /// HERC2P3 /// LOC440248</t>
  </si>
  <si>
    <t>215931_s_at</t>
  </si>
  <si>
    <t>ARFGEF2</t>
  </si>
  <si>
    <t>201783_s_at</t>
  </si>
  <si>
    <t>RELA</t>
  </si>
  <si>
    <t>212483_at</t>
  </si>
  <si>
    <t>213850_s_at</t>
  </si>
  <si>
    <t>39650_s_at</t>
  </si>
  <si>
    <t>PCNXL2</t>
  </si>
  <si>
    <t>210454_s_at</t>
  </si>
  <si>
    <t>KCNJ6</t>
  </si>
  <si>
    <t>219689_at</t>
  </si>
  <si>
    <t>SEMA3G</t>
  </si>
  <si>
    <t>212990_at</t>
  </si>
  <si>
    <t>SYNJ1</t>
  </si>
  <si>
    <t>204761_at</t>
  </si>
  <si>
    <t>USP6NL</t>
  </si>
  <si>
    <t>205500_at</t>
  </si>
  <si>
    <t>C5</t>
  </si>
  <si>
    <t>222193_at</t>
  </si>
  <si>
    <t>219918_s_at</t>
  </si>
  <si>
    <t>ASPM</t>
  </si>
  <si>
    <t>219348_at</t>
  </si>
  <si>
    <t>USE1</t>
  </si>
  <si>
    <t>207082_at</t>
  </si>
  <si>
    <t>217778_at</t>
  </si>
  <si>
    <t>SLC39A1</t>
  </si>
  <si>
    <t>218562_s_at</t>
  </si>
  <si>
    <t>TMEM57</t>
  </si>
  <si>
    <t>207243_s_at</t>
  </si>
  <si>
    <t>C2orf61 /// CALM2</t>
  </si>
  <si>
    <t>222338_x_at</t>
  </si>
  <si>
    <t>LOC646808</t>
  </si>
  <si>
    <t>203111_s_at</t>
  </si>
  <si>
    <t>PTK2B</t>
  </si>
  <si>
    <t>218446_s_at</t>
  </si>
  <si>
    <t>FAM18B</t>
  </si>
  <si>
    <t>212535_at</t>
  </si>
  <si>
    <t>214536_at</t>
  </si>
  <si>
    <t>SLURP1</t>
  </si>
  <si>
    <t>221714_s_at</t>
  </si>
  <si>
    <t>LOC730092</t>
  </si>
  <si>
    <t>202304_at</t>
  </si>
  <si>
    <t>FNDC3A</t>
  </si>
  <si>
    <t>213864_s_at</t>
  </si>
  <si>
    <t>208450_at</t>
  </si>
  <si>
    <t>LGALS2</t>
  </si>
  <si>
    <t>212197_x_at</t>
  </si>
  <si>
    <t>MPRIP</t>
  </si>
  <si>
    <t>218098_at</t>
  </si>
  <si>
    <t>220056_at</t>
  </si>
  <si>
    <t>IL22RA1</t>
  </si>
  <si>
    <t>205643_s_at</t>
  </si>
  <si>
    <t>PPP2R2B</t>
  </si>
  <si>
    <t>220750_s_at</t>
  </si>
  <si>
    <t>LEPRE1</t>
  </si>
  <si>
    <t>202855_s_at</t>
  </si>
  <si>
    <t>212279_at</t>
  </si>
  <si>
    <t>205369_x_at</t>
  </si>
  <si>
    <t>212582_at</t>
  </si>
  <si>
    <t>211640_x_at</t>
  </si>
  <si>
    <t>212984_at</t>
  </si>
  <si>
    <t>210159_s_at</t>
  </si>
  <si>
    <t>210629_x_at</t>
  </si>
  <si>
    <t>205038_at</t>
  </si>
  <si>
    <t>221656_s_at</t>
  </si>
  <si>
    <t>ARHGEF10L</t>
  </si>
  <si>
    <t>207494_s_at</t>
  </si>
  <si>
    <t>ZNF76</t>
  </si>
  <si>
    <t>204741_at</t>
  </si>
  <si>
    <t>BICD1</t>
  </si>
  <si>
    <t>206662_at</t>
  </si>
  <si>
    <t>212292_at</t>
  </si>
  <si>
    <t>219534_x_at</t>
  </si>
  <si>
    <t>203529_at</t>
  </si>
  <si>
    <t>207146_at</t>
  </si>
  <si>
    <t>KRT32</t>
  </si>
  <si>
    <t>207671_s_at</t>
  </si>
  <si>
    <t>BEST1</t>
  </si>
  <si>
    <t>201182_s_at</t>
  </si>
  <si>
    <t>212571_at</t>
  </si>
  <si>
    <t>CHD8</t>
  </si>
  <si>
    <t>219569_s_at</t>
  </si>
  <si>
    <t>TMEM22</t>
  </si>
  <si>
    <t>214846_s_at</t>
  </si>
  <si>
    <t>ALPK3</t>
  </si>
  <si>
    <t>211472_at</t>
  </si>
  <si>
    <t>210872_x_at</t>
  </si>
  <si>
    <t>209915_s_at</t>
  </si>
  <si>
    <t>NRXN1</t>
  </si>
  <si>
    <t>218366_x_at</t>
  </si>
  <si>
    <t>LOC731602 /// METT11D1</t>
  </si>
  <si>
    <t>203040_s_at</t>
  </si>
  <si>
    <t>HMBS</t>
  </si>
  <si>
    <t>219598_s_at</t>
  </si>
  <si>
    <t>RWDD1</t>
  </si>
  <si>
    <t>204809_at</t>
  </si>
  <si>
    <t>CLPX</t>
  </si>
  <si>
    <t>217567_at</t>
  </si>
  <si>
    <t>TGM4</t>
  </si>
  <si>
    <t>217884_at</t>
  </si>
  <si>
    <t>NAT10</t>
  </si>
  <si>
    <t>212995_x_at</t>
  </si>
  <si>
    <t>219499_at</t>
  </si>
  <si>
    <t>SEC61A2</t>
  </si>
  <si>
    <t>213767_at</t>
  </si>
  <si>
    <t>211821_x_at</t>
  </si>
  <si>
    <t>GYPA</t>
  </si>
  <si>
    <t>205464_at</t>
  </si>
  <si>
    <t>SCNN1B</t>
  </si>
  <si>
    <t>213209_at</t>
  </si>
  <si>
    <t>217611_at</t>
  </si>
  <si>
    <t>ERICH1</t>
  </si>
  <si>
    <t>201484_at</t>
  </si>
  <si>
    <t>209586_s_at</t>
  </si>
  <si>
    <t>PRUNE</t>
  </si>
  <si>
    <t>217716_s_at</t>
  </si>
  <si>
    <t>SEC61A1</t>
  </si>
  <si>
    <t>219345_at</t>
  </si>
  <si>
    <t>BOLA1</t>
  </si>
  <si>
    <t>204922_at</t>
  </si>
  <si>
    <t>C11orf80</t>
  </si>
  <si>
    <t>218846_at</t>
  </si>
  <si>
    <t>MED23</t>
  </si>
  <si>
    <t>211731_x_at</t>
  </si>
  <si>
    <t>204986_s_at</t>
  </si>
  <si>
    <t>202761_s_at</t>
  </si>
  <si>
    <t>SYNE2</t>
  </si>
  <si>
    <t>203175_at</t>
  </si>
  <si>
    <t>RHOG</t>
  </si>
  <si>
    <t>217792_at</t>
  </si>
  <si>
    <t>SNX5</t>
  </si>
  <si>
    <t>36830_at</t>
  </si>
  <si>
    <t>210895_s_at</t>
  </si>
  <si>
    <t>210904_s_at</t>
  </si>
  <si>
    <t>218252_at</t>
  </si>
  <si>
    <t>CKAP2</t>
  </si>
  <si>
    <t>38964_r_at</t>
  </si>
  <si>
    <t>213875_x_at</t>
  </si>
  <si>
    <t>215248_at</t>
  </si>
  <si>
    <t>203754_s_at</t>
  </si>
  <si>
    <t>221208_s_at</t>
  </si>
  <si>
    <t>C11orf61</t>
  </si>
  <si>
    <t>200028_s_at</t>
  </si>
  <si>
    <t>STARD7</t>
  </si>
  <si>
    <t>205596_s_at</t>
  </si>
  <si>
    <t>SMURF2</t>
  </si>
  <si>
    <t>208948_s_at</t>
  </si>
  <si>
    <t>217171_at</t>
  </si>
  <si>
    <t>SMPD1</t>
  </si>
  <si>
    <t>221036_s_at</t>
  </si>
  <si>
    <t>APH1B</t>
  </si>
  <si>
    <t>217927_at</t>
  </si>
  <si>
    <t>SPCS1</t>
  </si>
  <si>
    <t>213264_at</t>
  </si>
  <si>
    <t>201582_at</t>
  </si>
  <si>
    <t>204589_at</t>
  </si>
  <si>
    <t>NUAK1</t>
  </si>
  <si>
    <t>213702_x_at</t>
  </si>
  <si>
    <t>217491_x_at</t>
  </si>
  <si>
    <t>COX7C</t>
  </si>
  <si>
    <t>216381_x_at</t>
  </si>
  <si>
    <t>AKR7A3</t>
  </si>
  <si>
    <t>202708_s_at</t>
  </si>
  <si>
    <t>HIST2H2BE</t>
  </si>
  <si>
    <t>216570_x_at</t>
  </si>
  <si>
    <t>206735_at</t>
  </si>
  <si>
    <t>208929_x_at</t>
  </si>
  <si>
    <t>200085_s_at</t>
  </si>
  <si>
    <t>205294_at</t>
  </si>
  <si>
    <t>210045_at</t>
  </si>
  <si>
    <t>206850_at</t>
  </si>
  <si>
    <t>RASL10A</t>
  </si>
  <si>
    <t>222001_x_at</t>
  </si>
  <si>
    <t>LOC728855</t>
  </si>
  <si>
    <t>210183_x_at</t>
  </si>
  <si>
    <t>211566_x_at</t>
  </si>
  <si>
    <t>BRE</t>
  </si>
  <si>
    <t>200023_s_at</t>
  </si>
  <si>
    <t>EIF3F</t>
  </si>
  <si>
    <t>201310_s_at</t>
  </si>
  <si>
    <t>201821_s_at</t>
  </si>
  <si>
    <t>204113_at</t>
  </si>
  <si>
    <t>211837_s_at</t>
  </si>
  <si>
    <t>221873_at</t>
  </si>
  <si>
    <t>208455_at</t>
  </si>
  <si>
    <t>212985_at</t>
  </si>
  <si>
    <t>218978_s_at</t>
  </si>
  <si>
    <t>202837_at</t>
  </si>
  <si>
    <t>202869_at</t>
  </si>
  <si>
    <t>OAS1</t>
  </si>
  <si>
    <t>214427_at</t>
  </si>
  <si>
    <t>NOP2</t>
  </si>
  <si>
    <t>218113_at</t>
  </si>
  <si>
    <t>TMEM2</t>
  </si>
  <si>
    <t>201634_s_at</t>
  </si>
  <si>
    <t>202843_at</t>
  </si>
  <si>
    <t>206584_at</t>
  </si>
  <si>
    <t>LY96</t>
  </si>
  <si>
    <t>208211_s_at</t>
  </si>
  <si>
    <t>ALK</t>
  </si>
  <si>
    <t>213643_s_at</t>
  </si>
  <si>
    <t>INPP5B</t>
  </si>
  <si>
    <t>217719_at</t>
  </si>
  <si>
    <t>EIF3L</t>
  </si>
  <si>
    <t>204060_s_at</t>
  </si>
  <si>
    <t>PRKX /// PRKY</t>
  </si>
  <si>
    <t>203596_s_at</t>
  </si>
  <si>
    <t>205901_at</t>
  </si>
  <si>
    <t>PNOC</t>
  </si>
  <si>
    <t>206151_x_at</t>
  </si>
  <si>
    <t>CELA3B</t>
  </si>
  <si>
    <t>217379_at</t>
  </si>
  <si>
    <t>220223_at</t>
  </si>
  <si>
    <t>ATAD5</t>
  </si>
  <si>
    <t>214526_x_at</t>
  </si>
  <si>
    <t>216977_x_at</t>
  </si>
  <si>
    <t>215778_x_at</t>
  </si>
  <si>
    <t>LOC100293596</t>
  </si>
  <si>
    <t>200056_s_at</t>
  </si>
  <si>
    <t>C1D</t>
  </si>
  <si>
    <t>202174_s_at</t>
  </si>
  <si>
    <t>207533_at</t>
  </si>
  <si>
    <t>CCL1</t>
  </si>
  <si>
    <t>206934_at</t>
  </si>
  <si>
    <t>SIRPB1</t>
  </si>
  <si>
    <t>204767_s_at</t>
  </si>
  <si>
    <t>209345_s_at</t>
  </si>
  <si>
    <t>215932_at</t>
  </si>
  <si>
    <t>LOC100292575 /// MAGEC2</t>
  </si>
  <si>
    <t>210022_at</t>
  </si>
  <si>
    <t>PCGF1</t>
  </si>
  <si>
    <t>214433_s_at</t>
  </si>
  <si>
    <t>SELENBP1</t>
  </si>
  <si>
    <t>211452_x_at</t>
  </si>
  <si>
    <t>202348_s_at</t>
  </si>
  <si>
    <t>209772_s_at</t>
  </si>
  <si>
    <t>CD24</t>
  </si>
  <si>
    <t>203183_s_at</t>
  </si>
  <si>
    <t>207156_at</t>
  </si>
  <si>
    <t>HIST1H2AG</t>
  </si>
  <si>
    <t>209069_s_at</t>
  </si>
  <si>
    <t>219126_at</t>
  </si>
  <si>
    <t>PHF10</t>
  </si>
  <si>
    <t>211257_x_at</t>
  </si>
  <si>
    <t>ZNF638</t>
  </si>
  <si>
    <t>218697_at</t>
  </si>
  <si>
    <t>217810_x_at</t>
  </si>
  <si>
    <t>LARS</t>
  </si>
  <si>
    <t>201226_at</t>
  </si>
  <si>
    <t>NDUFB8 /// SEC31B</t>
  </si>
  <si>
    <t>215130_s_at</t>
  </si>
  <si>
    <t>IQCK</t>
  </si>
  <si>
    <t>209078_s_at</t>
  </si>
  <si>
    <t>217833_at</t>
  </si>
  <si>
    <t>218707_at</t>
  </si>
  <si>
    <t>214658_at</t>
  </si>
  <si>
    <t>217005_at</t>
  </si>
  <si>
    <t>209994_s_at</t>
  </si>
  <si>
    <t>ABCB1 /// ABCB4</t>
  </si>
  <si>
    <t>201884_at</t>
  </si>
  <si>
    <t>CEACAM5</t>
  </si>
  <si>
    <t>200714_x_at</t>
  </si>
  <si>
    <t>207134_x_at</t>
  </si>
  <si>
    <t>TPSB2</t>
  </si>
  <si>
    <t>220057_at</t>
  </si>
  <si>
    <t>XAGE1A /// XAGE1B /// XAGE1C /// XAGE1D /// XAGE1E</t>
  </si>
  <si>
    <t>203534_at</t>
  </si>
  <si>
    <t>LSM1</t>
  </si>
  <si>
    <t>203167_at</t>
  </si>
  <si>
    <t>TIMP2</t>
  </si>
  <si>
    <t>213203_at</t>
  </si>
  <si>
    <t>SNAPC5</t>
  </si>
  <si>
    <t>200901_s_at</t>
  </si>
  <si>
    <t>203496_s_at</t>
  </si>
  <si>
    <t>210077_s_at</t>
  </si>
  <si>
    <t>209479_at</t>
  </si>
  <si>
    <t>CCDC28A</t>
  </si>
  <si>
    <t>214404_x_at</t>
  </si>
  <si>
    <t>210224_at</t>
  </si>
  <si>
    <t>214928_at</t>
  </si>
  <si>
    <t>207104_x_at</t>
  </si>
  <si>
    <t>208434_at</t>
  </si>
  <si>
    <t>203465_at</t>
  </si>
  <si>
    <t>MRPL19</t>
  </si>
  <si>
    <t>210333_at</t>
  </si>
  <si>
    <t>NR5A1</t>
  </si>
  <si>
    <t>202453_s_at</t>
  </si>
  <si>
    <t>203704_s_at</t>
  </si>
  <si>
    <t>RREB1</t>
  </si>
  <si>
    <t>214094_at</t>
  </si>
  <si>
    <t>217853_at</t>
  </si>
  <si>
    <t>TNS3</t>
  </si>
  <si>
    <t>214844_s_at</t>
  </si>
  <si>
    <t>DOK5</t>
  </si>
  <si>
    <t>211946_s_at</t>
  </si>
  <si>
    <t>214006_s_at</t>
  </si>
  <si>
    <t>GGCX</t>
  </si>
  <si>
    <t>215754_at</t>
  </si>
  <si>
    <t>200963_x_at</t>
  </si>
  <si>
    <t>221731_x_at</t>
  </si>
  <si>
    <t>218249_at</t>
  </si>
  <si>
    <t>ZDHHC6</t>
  </si>
  <si>
    <t>207385_at</t>
  </si>
  <si>
    <t>TFDP3</t>
  </si>
  <si>
    <t>211929_at</t>
  </si>
  <si>
    <t>216914_at</t>
  </si>
  <si>
    <t>209497_s_at</t>
  </si>
  <si>
    <t>RBM4B</t>
  </si>
  <si>
    <t>212627_s_at</t>
  </si>
  <si>
    <t>209945_s_at</t>
  </si>
  <si>
    <t>GSK3B</t>
  </si>
  <si>
    <t>213355_at</t>
  </si>
  <si>
    <t>ST3GAL6</t>
  </si>
  <si>
    <t>211062_s_at</t>
  </si>
  <si>
    <t>CPZ</t>
  </si>
  <si>
    <t>207097_s_at</t>
  </si>
  <si>
    <t>SLC17A2</t>
  </si>
  <si>
    <t>210637_at</t>
  </si>
  <si>
    <t>TACR1</t>
  </si>
  <si>
    <t>202706_s_at</t>
  </si>
  <si>
    <t>212035_s_at</t>
  </si>
  <si>
    <t>206417_at</t>
  </si>
  <si>
    <t>CNGA1</t>
  </si>
  <si>
    <t>208996_s_at</t>
  </si>
  <si>
    <t>POLR2C</t>
  </si>
  <si>
    <t>202712_s_at</t>
  </si>
  <si>
    <t>CKMT1A /// CKMT1B</t>
  </si>
  <si>
    <t>210157_at</t>
  </si>
  <si>
    <t>C19orf2</t>
  </si>
  <si>
    <t>203995_at</t>
  </si>
  <si>
    <t>218269_at</t>
  </si>
  <si>
    <t>RNASEN</t>
  </si>
  <si>
    <t>204062_s_at</t>
  </si>
  <si>
    <t>213204_at</t>
  </si>
  <si>
    <t>CUL9</t>
  </si>
  <si>
    <t>214118_x_at</t>
  </si>
  <si>
    <t>211101_x_at</t>
  </si>
  <si>
    <t>213677_s_at</t>
  </si>
  <si>
    <t>PMS1</t>
  </si>
  <si>
    <t>215105_at</t>
  </si>
  <si>
    <t>CG030</t>
  </si>
  <si>
    <t>210499_s_at</t>
  </si>
  <si>
    <t>220725_x_at</t>
  </si>
  <si>
    <t>221845_s_at</t>
  </si>
  <si>
    <t>CLPB</t>
  </si>
  <si>
    <t>203190_at</t>
  </si>
  <si>
    <t>NDUFS8</t>
  </si>
  <si>
    <t>200596_s_at</t>
  </si>
  <si>
    <t>202062_s_at</t>
  </si>
  <si>
    <t>205779_at</t>
  </si>
  <si>
    <t>RAMP2</t>
  </si>
  <si>
    <t>209247_s_at</t>
  </si>
  <si>
    <t>209736_at</t>
  </si>
  <si>
    <t>SOX13</t>
  </si>
  <si>
    <t>221073_s_at</t>
  </si>
  <si>
    <t>NOD1</t>
  </si>
  <si>
    <t>202775_s_at</t>
  </si>
  <si>
    <t>221295_at</t>
  </si>
  <si>
    <t>CIDEA</t>
  </si>
  <si>
    <t>206156_at</t>
  </si>
  <si>
    <t>GJB5</t>
  </si>
  <si>
    <t>208638_at</t>
  </si>
  <si>
    <t>200666_s_at</t>
  </si>
  <si>
    <t>213560_at</t>
  </si>
  <si>
    <t>GADD45B</t>
  </si>
  <si>
    <t>200638_s_at</t>
  </si>
  <si>
    <t>206276_at</t>
  </si>
  <si>
    <t>LY6D</t>
  </si>
  <si>
    <t>214313_s_at</t>
  </si>
  <si>
    <t>221924_at</t>
  </si>
  <si>
    <t>211439_at</t>
  </si>
  <si>
    <t>203555_at</t>
  </si>
  <si>
    <t>PTPN18</t>
  </si>
  <si>
    <t>207015_s_at</t>
  </si>
  <si>
    <t>ALDH1A2</t>
  </si>
  <si>
    <t>214049_x_at</t>
  </si>
  <si>
    <t>CD7</t>
  </si>
  <si>
    <t>215285_s_at</t>
  </si>
  <si>
    <t>201075_s_at</t>
  </si>
  <si>
    <t>221496_s_at</t>
  </si>
  <si>
    <t>222128_at</t>
  </si>
  <si>
    <t>NSUN6</t>
  </si>
  <si>
    <t>208708_x_at</t>
  </si>
  <si>
    <t>214542_x_at</t>
  </si>
  <si>
    <t>HIST1H2AI</t>
  </si>
  <si>
    <t>206269_at</t>
  </si>
  <si>
    <t>GCM1</t>
  </si>
  <si>
    <t>218706_s_at</t>
  </si>
  <si>
    <t>GRAMD3</t>
  </si>
  <si>
    <t>207466_at</t>
  </si>
  <si>
    <t>GAL</t>
  </si>
  <si>
    <t>218761_at</t>
  </si>
  <si>
    <t>RNF111</t>
  </si>
  <si>
    <t>207183_at</t>
  </si>
  <si>
    <t>GPR19</t>
  </si>
  <si>
    <t>210453_x_at</t>
  </si>
  <si>
    <t>204984_at</t>
  </si>
  <si>
    <t>GPC4</t>
  </si>
  <si>
    <t>205416_s_at</t>
  </si>
  <si>
    <t>213983_s_at</t>
  </si>
  <si>
    <t>214682_at</t>
  </si>
  <si>
    <t>LOC399491</t>
  </si>
  <si>
    <t>205608_s_at</t>
  </si>
  <si>
    <t>ANGPT1</t>
  </si>
  <si>
    <t>216392_s_at</t>
  </si>
  <si>
    <t>214893_x_at</t>
  </si>
  <si>
    <t>HCN2</t>
  </si>
  <si>
    <t>208225_at</t>
  </si>
  <si>
    <t>202745_at</t>
  </si>
  <si>
    <t>USP8</t>
  </si>
  <si>
    <t>207553_at</t>
  </si>
  <si>
    <t>OPRK1</t>
  </si>
  <si>
    <t>211891_s_at</t>
  </si>
  <si>
    <t>218626_at</t>
  </si>
  <si>
    <t>EIF4ENIF1</t>
  </si>
  <si>
    <t>220521_s_at</t>
  </si>
  <si>
    <t>ATG16L1</t>
  </si>
  <si>
    <t>209339_at</t>
  </si>
  <si>
    <t>SIAH2</t>
  </si>
  <si>
    <t>218849_s_at</t>
  </si>
  <si>
    <t>PPP1R13L</t>
  </si>
  <si>
    <t>40829_at</t>
  </si>
  <si>
    <t>202000_at</t>
  </si>
  <si>
    <t>NDUFA6</t>
  </si>
  <si>
    <t>208220_x_at</t>
  </si>
  <si>
    <t>AMELY</t>
  </si>
  <si>
    <t>209755_at</t>
  </si>
  <si>
    <t>NMNAT2</t>
  </si>
  <si>
    <t>217892_s_at</t>
  </si>
  <si>
    <t>LIMA1</t>
  </si>
  <si>
    <t>221335_x_at</t>
  </si>
  <si>
    <t>C19orf61</t>
  </si>
  <si>
    <t>206517_at</t>
  </si>
  <si>
    <t>CDH16</t>
  </si>
  <si>
    <t>203009_at</t>
  </si>
  <si>
    <t>210751_s_at</t>
  </si>
  <si>
    <t>RGN</t>
  </si>
  <si>
    <t>208537_at</t>
  </si>
  <si>
    <t>S1PR2</t>
  </si>
  <si>
    <t>219398_at</t>
  </si>
  <si>
    <t>CIDEC</t>
  </si>
  <si>
    <t>212701_at</t>
  </si>
  <si>
    <t>207490_at</t>
  </si>
  <si>
    <t>TUBA4B</t>
  </si>
  <si>
    <t>205527_s_at</t>
  </si>
  <si>
    <t>216913_s_at</t>
  </si>
  <si>
    <t>RRP12</t>
  </si>
  <si>
    <t>205910_s_at</t>
  </si>
  <si>
    <t>CEL</t>
  </si>
  <si>
    <t>214829_at</t>
  </si>
  <si>
    <t>AASS</t>
  </si>
  <si>
    <t>201086_x_at</t>
  </si>
  <si>
    <t>216843_x_at</t>
  </si>
  <si>
    <t>202150_s_at</t>
  </si>
  <si>
    <t>204181_s_at</t>
  </si>
  <si>
    <t>217051_s_at</t>
  </si>
  <si>
    <t>218047_at</t>
  </si>
  <si>
    <t>OSBPL9</t>
  </si>
  <si>
    <t>218639_s_at</t>
  </si>
  <si>
    <t>ZXDC</t>
  </si>
  <si>
    <t>212538_at</t>
  </si>
  <si>
    <t>203280_at</t>
  </si>
  <si>
    <t>218521_s_at</t>
  </si>
  <si>
    <t>UBE2W</t>
  </si>
  <si>
    <t>208208_at</t>
  </si>
  <si>
    <t>MYH13</t>
  </si>
  <si>
    <t>202341_s_at</t>
  </si>
  <si>
    <t>204465_s_at</t>
  </si>
  <si>
    <t>INA</t>
  </si>
  <si>
    <t>207250_at</t>
  </si>
  <si>
    <t>SIX6</t>
  </si>
  <si>
    <t>212921_at</t>
  </si>
  <si>
    <t>217418_x_at</t>
  </si>
  <si>
    <t>MS4A1</t>
  </si>
  <si>
    <t>221227_x_at</t>
  </si>
  <si>
    <t>COQ3</t>
  </si>
  <si>
    <t>208901_s_at</t>
  </si>
  <si>
    <t>211117_x_at</t>
  </si>
  <si>
    <t>204497_at</t>
  </si>
  <si>
    <t>219371_s_at</t>
  </si>
  <si>
    <t>KLF2</t>
  </si>
  <si>
    <t>202066_at</t>
  </si>
  <si>
    <t>205312_at</t>
  </si>
  <si>
    <t>SPI1</t>
  </si>
  <si>
    <t>206019_at</t>
  </si>
  <si>
    <t>RBM19</t>
  </si>
  <si>
    <t>206054_at</t>
  </si>
  <si>
    <t>KNG1</t>
  </si>
  <si>
    <t>209157_at</t>
  </si>
  <si>
    <t>DNAJA2</t>
  </si>
  <si>
    <t>213024_at</t>
  </si>
  <si>
    <t>205243_at</t>
  </si>
  <si>
    <t>201174_s_at</t>
  </si>
  <si>
    <t>TERF2IP</t>
  </si>
  <si>
    <t>221849_s_at</t>
  </si>
  <si>
    <t>204088_at</t>
  </si>
  <si>
    <t>P2RX4</t>
  </si>
  <si>
    <t>212833_at</t>
  </si>
  <si>
    <t>SLC25A46</t>
  </si>
  <si>
    <t>221429_x_at</t>
  </si>
  <si>
    <t>TEX13A</t>
  </si>
  <si>
    <t>221559_s_at</t>
  </si>
  <si>
    <t>MIS12</t>
  </si>
  <si>
    <t>212019_at</t>
  </si>
  <si>
    <t>206888_s_at</t>
  </si>
  <si>
    <t>ARHGDIG</t>
  </si>
  <si>
    <t>211886_s_at</t>
  </si>
  <si>
    <t>TBX5</t>
  </si>
  <si>
    <t>218807_at</t>
  </si>
  <si>
    <t>VAV3</t>
  </si>
  <si>
    <t>218955_at</t>
  </si>
  <si>
    <t>201859_at</t>
  </si>
  <si>
    <t>213924_at</t>
  </si>
  <si>
    <t>214859_at</t>
  </si>
  <si>
    <t>FSTL4</t>
  </si>
  <si>
    <t>214197_s_at</t>
  </si>
  <si>
    <t>202372_at</t>
  </si>
  <si>
    <t>207179_at</t>
  </si>
  <si>
    <t>TLX1</t>
  </si>
  <si>
    <t>212642_s_at</t>
  </si>
  <si>
    <t>HIVEP2</t>
  </si>
  <si>
    <t>215535_s_at</t>
  </si>
  <si>
    <t>AGPAT1</t>
  </si>
  <si>
    <t>207741_x_at</t>
  </si>
  <si>
    <t>203866_at</t>
  </si>
  <si>
    <t>208861_s_at</t>
  </si>
  <si>
    <t>200967_at</t>
  </si>
  <si>
    <t>PPIB</t>
  </si>
  <si>
    <t>218813_s_at</t>
  </si>
  <si>
    <t>SH3GLB2</t>
  </si>
  <si>
    <t>202876_s_at</t>
  </si>
  <si>
    <t>212433_x_at</t>
  </si>
  <si>
    <t>202400_s_at</t>
  </si>
  <si>
    <t>SRF</t>
  </si>
  <si>
    <t>208485_x_at</t>
  </si>
  <si>
    <t>218684_at</t>
  </si>
  <si>
    <t>LRRC8D</t>
  </si>
  <si>
    <t>202022_at</t>
  </si>
  <si>
    <t>ALDOC</t>
  </si>
  <si>
    <t>206605_at</t>
  </si>
  <si>
    <t>P11</t>
  </si>
  <si>
    <t>213288_at</t>
  </si>
  <si>
    <t>MBOAT2</t>
  </si>
  <si>
    <t>211039_at</t>
  </si>
  <si>
    <t>201869_s_at</t>
  </si>
  <si>
    <t>210942_s_at</t>
  </si>
  <si>
    <t>212728_at</t>
  </si>
  <si>
    <t>218134_s_at</t>
  </si>
  <si>
    <t>RBM22</t>
  </si>
  <si>
    <t>217969_at</t>
  </si>
  <si>
    <t>C11orf2</t>
  </si>
  <si>
    <t>219444_at</t>
  </si>
  <si>
    <t>BCORL1</t>
  </si>
  <si>
    <t>36865_at</t>
  </si>
  <si>
    <t>ANGEL1</t>
  </si>
  <si>
    <t>213600_at</t>
  </si>
  <si>
    <t>SIPA1L3</t>
  </si>
  <si>
    <t>218995_s_at</t>
  </si>
  <si>
    <t>EDN1</t>
  </si>
  <si>
    <t>220316_at</t>
  </si>
  <si>
    <t>NPAS3</t>
  </si>
  <si>
    <t>214114_x_at</t>
  </si>
  <si>
    <t>201042_at</t>
  </si>
  <si>
    <t>210092_at</t>
  </si>
  <si>
    <t>MAGOH</t>
  </si>
  <si>
    <t>202832_at</t>
  </si>
  <si>
    <t>GCC2</t>
  </si>
  <si>
    <t>215175_at</t>
  </si>
  <si>
    <t>PCNX</t>
  </si>
  <si>
    <t>205098_at</t>
  </si>
  <si>
    <t>CCR1</t>
  </si>
  <si>
    <t>206625_at</t>
  </si>
  <si>
    <t>PRPH2</t>
  </si>
  <si>
    <t>211758_x_at</t>
  </si>
  <si>
    <t>220580_at</t>
  </si>
  <si>
    <t>BICC1</t>
  </si>
  <si>
    <t>211110_s_at</t>
  </si>
  <si>
    <t>AR</t>
  </si>
  <si>
    <t>203513_at</t>
  </si>
  <si>
    <t>SPG11</t>
  </si>
  <si>
    <t>217897_at</t>
  </si>
  <si>
    <t>FXYD6</t>
  </si>
  <si>
    <t>209777_s_at</t>
  </si>
  <si>
    <t>213130_at</t>
  </si>
  <si>
    <t>ZNF473</t>
  </si>
  <si>
    <t>221894_at</t>
  </si>
  <si>
    <t>212082_s_at</t>
  </si>
  <si>
    <t>MYL6</t>
  </si>
  <si>
    <t>221049_s_at</t>
  </si>
  <si>
    <t>POLL</t>
  </si>
  <si>
    <t>218274_s_at</t>
  </si>
  <si>
    <t>ANKZF1</t>
  </si>
  <si>
    <t>213199_at</t>
  </si>
  <si>
    <t>C2CD3</t>
  </si>
  <si>
    <t>202815_s_at</t>
  </si>
  <si>
    <t>203825_at</t>
  </si>
  <si>
    <t>207665_at</t>
  </si>
  <si>
    <t>ADAM21 /// ADAM21P</t>
  </si>
  <si>
    <t>212980_at</t>
  </si>
  <si>
    <t>222113_s_at</t>
  </si>
  <si>
    <t>211128_at</t>
  </si>
  <si>
    <t>213531_s_at</t>
  </si>
  <si>
    <t>217162_at</t>
  </si>
  <si>
    <t>220079_s_at</t>
  </si>
  <si>
    <t>USP48</t>
  </si>
  <si>
    <t>221392_at</t>
  </si>
  <si>
    <t>TAS2R4</t>
  </si>
  <si>
    <t>202331_at</t>
  </si>
  <si>
    <t>BCKDHA</t>
  </si>
  <si>
    <t>205258_at</t>
  </si>
  <si>
    <t>INHBB</t>
  </si>
  <si>
    <t>208689_s_at</t>
  </si>
  <si>
    <t>221141_x_at</t>
  </si>
  <si>
    <t>EPN1</t>
  </si>
  <si>
    <t>205017_s_at</t>
  </si>
  <si>
    <t>210792_x_at</t>
  </si>
  <si>
    <t>221337_s_at</t>
  </si>
  <si>
    <t>ADAM29</t>
  </si>
  <si>
    <t>206283_s_at</t>
  </si>
  <si>
    <t>207335_x_at</t>
  </si>
  <si>
    <t>219878_s_at</t>
  </si>
  <si>
    <t>KLF13</t>
  </si>
  <si>
    <t>203065_s_at</t>
  </si>
  <si>
    <t>CAV1</t>
  </si>
  <si>
    <t>216011_at</t>
  </si>
  <si>
    <t>217803_at</t>
  </si>
  <si>
    <t>GOLPH3</t>
  </si>
  <si>
    <t>212009_s_at</t>
  </si>
  <si>
    <t>214009_at</t>
  </si>
  <si>
    <t>209044_x_at</t>
  </si>
  <si>
    <t>SF3B4</t>
  </si>
  <si>
    <t>207026_s_at</t>
  </si>
  <si>
    <t>ATP2B3</t>
  </si>
  <si>
    <t>218876_at</t>
  </si>
  <si>
    <t>TPPP3</t>
  </si>
  <si>
    <t>209500_x_at</t>
  </si>
  <si>
    <t>37831_at</t>
  </si>
  <si>
    <t>202742_s_at</t>
  </si>
  <si>
    <t>205011_at</t>
  </si>
  <si>
    <t>VWA5A</t>
  </si>
  <si>
    <t>214583_at</t>
  </si>
  <si>
    <t>RSC1A1</t>
  </si>
  <si>
    <t>216409_at</t>
  </si>
  <si>
    <t>ACSL6</t>
  </si>
  <si>
    <t>210821_x_at</t>
  </si>
  <si>
    <t>216525_x_at</t>
  </si>
  <si>
    <t>205557_at</t>
  </si>
  <si>
    <t>BPI</t>
  </si>
  <si>
    <t>213460_x_at</t>
  </si>
  <si>
    <t>211926_s_at</t>
  </si>
  <si>
    <t>MYH9</t>
  </si>
  <si>
    <t>217153_at</t>
  </si>
  <si>
    <t>ARHGAP1</t>
  </si>
  <si>
    <t>213595_s_at</t>
  </si>
  <si>
    <t>206126_at</t>
  </si>
  <si>
    <t>CXCR5</t>
  </si>
  <si>
    <t>213309_at</t>
  </si>
  <si>
    <t>219772_s_at</t>
  </si>
  <si>
    <t>SMPX</t>
  </si>
  <si>
    <t>211875_x_at</t>
  </si>
  <si>
    <t>PCDHGA10</t>
  </si>
  <si>
    <t>201742_x_at</t>
  </si>
  <si>
    <t>201886_at</t>
  </si>
  <si>
    <t>DCAF11</t>
  </si>
  <si>
    <t>201428_at</t>
  </si>
  <si>
    <t>CLDN4</t>
  </si>
  <si>
    <t>214585_s_at</t>
  </si>
  <si>
    <t>VPS52</t>
  </si>
  <si>
    <t>210391_at</t>
  </si>
  <si>
    <t>214250_at</t>
  </si>
  <si>
    <t>208827_at</t>
  </si>
  <si>
    <t>PSMB6</t>
  </si>
  <si>
    <t>220604_x_at</t>
  </si>
  <si>
    <t>FTCD</t>
  </si>
  <si>
    <t>203258_at</t>
  </si>
  <si>
    <t>DRAP1</t>
  </si>
  <si>
    <t>221810_at</t>
  </si>
  <si>
    <t>214264_s_at</t>
  </si>
  <si>
    <t>C14orf143</t>
  </si>
  <si>
    <t>207274_at</t>
  </si>
  <si>
    <t>219879_s_at</t>
  </si>
  <si>
    <t>C17orf53</t>
  </si>
  <si>
    <t>210201_x_at</t>
  </si>
  <si>
    <t>215393_s_at</t>
  </si>
  <si>
    <t>COBLL1</t>
  </si>
  <si>
    <t>211505_s_at</t>
  </si>
  <si>
    <t>208106_x_at</t>
  </si>
  <si>
    <t>PSG6</t>
  </si>
  <si>
    <t>221080_s_at</t>
  </si>
  <si>
    <t>DENND1C</t>
  </si>
  <si>
    <t>201581_at</t>
  </si>
  <si>
    <t>TMX4</t>
  </si>
  <si>
    <t>202834_at</t>
  </si>
  <si>
    <t>AGT</t>
  </si>
  <si>
    <t>205658_s_at</t>
  </si>
  <si>
    <t>218166_s_at</t>
  </si>
  <si>
    <t>RSF1</t>
  </si>
  <si>
    <t>214225_at</t>
  </si>
  <si>
    <t>209851_at</t>
  </si>
  <si>
    <t>213676_at</t>
  </si>
  <si>
    <t>TMEM151B</t>
  </si>
  <si>
    <t>206229_x_at</t>
  </si>
  <si>
    <t>PAX2</t>
  </si>
  <si>
    <t>220942_x_at</t>
  </si>
  <si>
    <t>207707_s_at</t>
  </si>
  <si>
    <t>SEC13</t>
  </si>
  <si>
    <t>218790_s_at</t>
  </si>
  <si>
    <t>TMLHE</t>
  </si>
  <si>
    <t>214381_at</t>
  </si>
  <si>
    <t>LOC441601</t>
  </si>
  <si>
    <t>219910_at</t>
  </si>
  <si>
    <t>FICD</t>
  </si>
  <si>
    <t>200652_at</t>
  </si>
  <si>
    <t>SSR2</t>
  </si>
  <si>
    <t>205890_s_at</t>
  </si>
  <si>
    <t>GABBR1 /// UBD</t>
  </si>
  <si>
    <t>206527_at</t>
  </si>
  <si>
    <t>212555_at</t>
  </si>
  <si>
    <t>214196_s_at</t>
  </si>
  <si>
    <t>215636_at</t>
  </si>
  <si>
    <t>202125_s_at</t>
  </si>
  <si>
    <t>TRAK2</t>
  </si>
  <si>
    <t>217974_at</t>
  </si>
  <si>
    <t>TM7SF3</t>
  </si>
  <si>
    <t>218754_at</t>
  </si>
  <si>
    <t>NOL9</t>
  </si>
  <si>
    <t>220757_s_at</t>
  </si>
  <si>
    <t>UBXN6</t>
  </si>
  <si>
    <t>202858_at</t>
  </si>
  <si>
    <t>U2AF1</t>
  </si>
  <si>
    <t>204635_at</t>
  </si>
  <si>
    <t>203878_s_at</t>
  </si>
  <si>
    <t>205104_at</t>
  </si>
  <si>
    <t>SNPH</t>
  </si>
  <si>
    <t>206621_s_at</t>
  </si>
  <si>
    <t>EIF4H</t>
  </si>
  <si>
    <t>217863_at</t>
  </si>
  <si>
    <t>201236_s_at</t>
  </si>
  <si>
    <t>202947_s_at</t>
  </si>
  <si>
    <t>GYPC</t>
  </si>
  <si>
    <t>207899_at</t>
  </si>
  <si>
    <t>GIP</t>
  </si>
  <si>
    <t>207921_x_at</t>
  </si>
  <si>
    <t>214753_at</t>
  </si>
  <si>
    <t>N4BP2L2</t>
  </si>
  <si>
    <t>221799_at</t>
  </si>
  <si>
    <t>CHPF2</t>
  </si>
  <si>
    <t>222023_at</t>
  </si>
  <si>
    <t>203179_at</t>
  </si>
  <si>
    <t>GALT</t>
  </si>
  <si>
    <t>211150_s_at</t>
  </si>
  <si>
    <t>218084_x_at</t>
  </si>
  <si>
    <t>FXYD5</t>
  </si>
  <si>
    <t>220973_s_at</t>
  </si>
  <si>
    <t>SHARPIN</t>
  </si>
  <si>
    <t>219384_s_at</t>
  </si>
  <si>
    <t>ADAT1</t>
  </si>
  <si>
    <t>215190_at</t>
  </si>
  <si>
    <t>203913_s_at</t>
  </si>
  <si>
    <t>211707_s_at</t>
  </si>
  <si>
    <t>IQCB1</t>
  </si>
  <si>
    <t>215375_x_at</t>
  </si>
  <si>
    <t>201686_x_at</t>
  </si>
  <si>
    <t>220098_at</t>
  </si>
  <si>
    <t>HYDIN</t>
  </si>
  <si>
    <t>210676_x_at</t>
  </si>
  <si>
    <t>RGPD5 /// RGPD6 /// RGPD8</t>
  </si>
  <si>
    <t>208921_s_at</t>
  </si>
  <si>
    <t>SRI</t>
  </si>
  <si>
    <t>210251_s_at</t>
  </si>
  <si>
    <t>218760_at</t>
  </si>
  <si>
    <t>COQ6</t>
  </si>
  <si>
    <t>53720_at</t>
  </si>
  <si>
    <t>C19orf66</t>
  </si>
  <si>
    <t>210388_at</t>
  </si>
  <si>
    <t>219562_at</t>
  </si>
  <si>
    <t>203860_at</t>
  </si>
  <si>
    <t>PCCA</t>
  </si>
  <si>
    <t>220624_s_at</t>
  </si>
  <si>
    <t>ELF5</t>
  </si>
  <si>
    <t>200753_x_at</t>
  </si>
  <si>
    <t>206959_s_at</t>
  </si>
  <si>
    <t>208057_s_at</t>
  </si>
  <si>
    <t>GLI2</t>
  </si>
  <si>
    <t>210683_at</t>
  </si>
  <si>
    <t>NRTN</t>
  </si>
  <si>
    <t>217686_at</t>
  </si>
  <si>
    <t>204968_at</t>
  </si>
  <si>
    <t>C6orf47</t>
  </si>
  <si>
    <t>204275_at</t>
  </si>
  <si>
    <t>SOLH</t>
  </si>
  <si>
    <t>205147_x_at</t>
  </si>
  <si>
    <t>NCF4</t>
  </si>
  <si>
    <t>208486_at</t>
  </si>
  <si>
    <t>DRD5</t>
  </si>
  <si>
    <t>214675_at</t>
  </si>
  <si>
    <t>221343_at</t>
  </si>
  <si>
    <t>OR11A1</t>
  </si>
  <si>
    <t>211235_s_at</t>
  </si>
  <si>
    <t>215639_at</t>
  </si>
  <si>
    <t>SH2D3C</t>
  </si>
  <si>
    <t>220261_s_at</t>
  </si>
  <si>
    <t>ZDHHC4</t>
  </si>
  <si>
    <t>217600_at</t>
  </si>
  <si>
    <t>SCUBE3</t>
  </si>
  <si>
    <t>212953_x_at</t>
  </si>
  <si>
    <t>212025_s_at</t>
  </si>
  <si>
    <t>FLII</t>
  </si>
  <si>
    <t>212087_s_at</t>
  </si>
  <si>
    <t>ERAL1</t>
  </si>
  <si>
    <t>220847_x_at</t>
  </si>
  <si>
    <t>ZNF221</t>
  </si>
  <si>
    <t>204137_at</t>
  </si>
  <si>
    <t>GPR137B</t>
  </si>
  <si>
    <t>200793_s_at</t>
  </si>
  <si>
    <t>ACO2</t>
  </si>
  <si>
    <t>207835_at</t>
  </si>
  <si>
    <t>208268_at</t>
  </si>
  <si>
    <t>204883_s_at</t>
  </si>
  <si>
    <t>HUS1</t>
  </si>
  <si>
    <t>209873_s_at</t>
  </si>
  <si>
    <t>PKP3</t>
  </si>
  <si>
    <t>207194_s_at</t>
  </si>
  <si>
    <t>ICAM4</t>
  </si>
  <si>
    <t>217935_s_at</t>
  </si>
  <si>
    <t>UQCC</t>
  </si>
  <si>
    <t>214163_at</t>
  </si>
  <si>
    <t>HSPB11</t>
  </si>
  <si>
    <t>214620_x_at</t>
  </si>
  <si>
    <t>218629_at</t>
  </si>
  <si>
    <t>SMO</t>
  </si>
  <si>
    <t>214219_x_at</t>
  </si>
  <si>
    <t>219011_at</t>
  </si>
  <si>
    <t>PLEKHA4</t>
  </si>
  <si>
    <t>214877_at</t>
  </si>
  <si>
    <t>CDKAL1</t>
  </si>
  <si>
    <t>202652_at</t>
  </si>
  <si>
    <t>APBB1</t>
  </si>
  <si>
    <t>205809_s_at</t>
  </si>
  <si>
    <t>206168_at</t>
  </si>
  <si>
    <t>222009_at</t>
  </si>
  <si>
    <t>CEMP1</t>
  </si>
  <si>
    <t>202688_at</t>
  </si>
  <si>
    <t>TNFSF10</t>
  </si>
  <si>
    <t>212310_at</t>
  </si>
  <si>
    <t>211352_s_at</t>
  </si>
  <si>
    <t>214158_s_at</t>
  </si>
  <si>
    <t>206133_at</t>
  </si>
  <si>
    <t>XAF1</t>
  </si>
  <si>
    <t>211544_s_at</t>
  </si>
  <si>
    <t>213844_at</t>
  </si>
  <si>
    <t>HOXA5</t>
  </si>
  <si>
    <t>218964_at</t>
  </si>
  <si>
    <t>ARID3B</t>
  </si>
  <si>
    <t>210541_s_at</t>
  </si>
  <si>
    <t>TRIM27</t>
  </si>
  <si>
    <t>214946_x_at</t>
  </si>
  <si>
    <t>FAM21A /// FAM21B /// FAM21C /// FAM21D</t>
  </si>
  <si>
    <t>218851_s_at</t>
  </si>
  <si>
    <t>WDR33</t>
  </si>
  <si>
    <t>214234_s_at</t>
  </si>
  <si>
    <t>217835_x_at</t>
  </si>
  <si>
    <t>C20orf24</t>
  </si>
  <si>
    <t>202198_s_at</t>
  </si>
  <si>
    <t>214317_x_at</t>
  </si>
  <si>
    <t>RPS9</t>
  </si>
  <si>
    <t>222234_s_at</t>
  </si>
  <si>
    <t>DBNDD1</t>
  </si>
  <si>
    <t>215606_s_at</t>
  </si>
  <si>
    <t>ERC1</t>
  </si>
  <si>
    <t>207418_s_at</t>
  </si>
  <si>
    <t>219655_at</t>
  </si>
  <si>
    <t>C7orf10</t>
  </si>
  <si>
    <t>207394_at</t>
  </si>
  <si>
    <t>ZNF137</t>
  </si>
  <si>
    <t>202614_at</t>
  </si>
  <si>
    <t>SLC30A9</t>
  </si>
  <si>
    <t>202672_s_at</t>
  </si>
  <si>
    <t>ATF3</t>
  </si>
  <si>
    <t>201096_s_at</t>
  </si>
  <si>
    <t>ARF4</t>
  </si>
  <si>
    <t>222171_s_at</t>
  </si>
  <si>
    <t>205562_at</t>
  </si>
  <si>
    <t>RPP38</t>
  </si>
  <si>
    <t>203939_at</t>
  </si>
  <si>
    <t>NT5E</t>
  </si>
  <si>
    <t>206573_at</t>
  </si>
  <si>
    <t>KCNQ3</t>
  </si>
  <si>
    <t>211310_at</t>
  </si>
  <si>
    <t>EZH1</t>
  </si>
  <si>
    <t>216954_x_at</t>
  </si>
  <si>
    <t>1294_at</t>
  </si>
  <si>
    <t>UBA7</t>
  </si>
  <si>
    <t>1053_at</t>
  </si>
  <si>
    <t>218093_s_at</t>
  </si>
  <si>
    <t>ANKRD10</t>
  </si>
  <si>
    <t>208975_s_at</t>
  </si>
  <si>
    <t>KPNB1</t>
  </si>
  <si>
    <t>200817_x_at</t>
  </si>
  <si>
    <t>RPS10</t>
  </si>
  <si>
    <t>201224_s_at</t>
  </si>
  <si>
    <t>SRRM1</t>
  </si>
  <si>
    <t>210880_s_at</t>
  </si>
  <si>
    <t>EFS</t>
  </si>
  <si>
    <t>222140_s_at</t>
  </si>
  <si>
    <t>GPR89A /// GPR89B /// GPR89C</t>
  </si>
  <si>
    <t>204566_at</t>
  </si>
  <si>
    <t>PPM1D</t>
  </si>
  <si>
    <t>207714_s_at</t>
  </si>
  <si>
    <t>SERPINH1</t>
  </si>
  <si>
    <t>213169_at</t>
  </si>
  <si>
    <t>217757_at</t>
  </si>
  <si>
    <t>A2M</t>
  </si>
  <si>
    <t>207944_at</t>
  </si>
  <si>
    <t>OCM2</t>
  </si>
  <si>
    <t>220536_at</t>
  </si>
  <si>
    <t>C14orf115</t>
  </si>
  <si>
    <t>214751_at</t>
  </si>
  <si>
    <t>ZNF468</t>
  </si>
  <si>
    <t>243_g_at</t>
  </si>
  <si>
    <t>206227_at</t>
  </si>
  <si>
    <t>CILP</t>
  </si>
  <si>
    <t>208134_x_at</t>
  </si>
  <si>
    <t>PSG2</t>
  </si>
  <si>
    <t>208616_s_at</t>
  </si>
  <si>
    <t>211820_x_at</t>
  </si>
  <si>
    <t>GYPA /// GYPB</t>
  </si>
  <si>
    <t>209902_at</t>
  </si>
  <si>
    <t>ATR</t>
  </si>
  <si>
    <t>220275_at</t>
  </si>
  <si>
    <t>CUZD1</t>
  </si>
  <si>
    <t>210719_s_at</t>
  </si>
  <si>
    <t>HMG20B</t>
  </si>
  <si>
    <t>213588_x_at</t>
  </si>
  <si>
    <t>222048_at</t>
  </si>
  <si>
    <t>CRYBB2P1</t>
  </si>
  <si>
    <t>201715_s_at</t>
  </si>
  <si>
    <t>ACIN1</t>
  </si>
  <si>
    <t>201449_at</t>
  </si>
  <si>
    <t>203268_s_at</t>
  </si>
  <si>
    <t>DRG2</t>
  </si>
  <si>
    <t>218615_s_at</t>
  </si>
  <si>
    <t>TMEM39A</t>
  </si>
  <si>
    <t>205030_at</t>
  </si>
  <si>
    <t>220581_at</t>
  </si>
  <si>
    <t>C6orf97</t>
  </si>
  <si>
    <t>221169_s_at</t>
  </si>
  <si>
    <t>HRH4</t>
  </si>
  <si>
    <t>212679_at</t>
  </si>
  <si>
    <t>207230_at</t>
  </si>
  <si>
    <t>CDON</t>
  </si>
  <si>
    <t>210256_s_at</t>
  </si>
  <si>
    <t>214719_at</t>
  </si>
  <si>
    <t>SLC46A3</t>
  </si>
  <si>
    <t>219506_at</t>
  </si>
  <si>
    <t>C1orf54</t>
  </si>
  <si>
    <t>221373_x_at</t>
  </si>
  <si>
    <t>PSPN</t>
  </si>
  <si>
    <t>212274_at</t>
  </si>
  <si>
    <t>217017_at</t>
  </si>
  <si>
    <t>213982_s_at</t>
  </si>
  <si>
    <t>RABGAP1L</t>
  </si>
  <si>
    <t>211881_x_at</t>
  </si>
  <si>
    <t>IGLJ3</t>
  </si>
  <si>
    <t>219717_at</t>
  </si>
  <si>
    <t>DCAF16</t>
  </si>
  <si>
    <t>211852_s_at</t>
  </si>
  <si>
    <t>212191_x_at</t>
  </si>
  <si>
    <t>213147_at</t>
  </si>
  <si>
    <t>HOXA10</t>
  </si>
  <si>
    <t>213612_x_at</t>
  </si>
  <si>
    <t>NBPF10 /// NBPF15 /// NBPF16 /// NBPF20 /// NBPF8</t>
  </si>
  <si>
    <t>214775_at</t>
  </si>
  <si>
    <t>N4BP3</t>
  </si>
  <si>
    <t>218058_at</t>
  </si>
  <si>
    <t>218272_at</t>
  </si>
  <si>
    <t>220445_s_at</t>
  </si>
  <si>
    <t>CSAG2 /// CSAG3</t>
  </si>
  <si>
    <t>218068_s_at</t>
  </si>
  <si>
    <t>ZNF672</t>
  </si>
  <si>
    <t>202526_at</t>
  </si>
  <si>
    <t>204127_at</t>
  </si>
  <si>
    <t>205778_at</t>
  </si>
  <si>
    <t>KLK7</t>
  </si>
  <si>
    <t>203357_s_at</t>
  </si>
  <si>
    <t>203833_s_at</t>
  </si>
  <si>
    <t>213171_s_at</t>
  </si>
  <si>
    <t>221136_at</t>
  </si>
  <si>
    <t>GDF2</t>
  </si>
  <si>
    <t>201405_s_at</t>
  </si>
  <si>
    <t>212452_x_at</t>
  </si>
  <si>
    <t>201754_at</t>
  </si>
  <si>
    <t>COX6C</t>
  </si>
  <si>
    <t>214116_at</t>
  </si>
  <si>
    <t>202677_at</t>
  </si>
  <si>
    <t>207224_s_at</t>
  </si>
  <si>
    <t>209958_s_at</t>
  </si>
  <si>
    <t>212381_at</t>
  </si>
  <si>
    <t>USP24</t>
  </si>
  <si>
    <t>221910_at</t>
  </si>
  <si>
    <t>222318_at</t>
  </si>
  <si>
    <t>ZNF324B /// ZNF584</t>
  </si>
  <si>
    <t>41512_at</t>
  </si>
  <si>
    <t>203537_at</t>
  </si>
  <si>
    <t>PRPSAP2</t>
  </si>
  <si>
    <t>204563_at</t>
  </si>
  <si>
    <t>SELL</t>
  </si>
  <si>
    <t>202654_x_at</t>
  </si>
  <si>
    <t>208893_s_at</t>
  </si>
  <si>
    <t>211693_at</t>
  </si>
  <si>
    <t>220150_s_at</t>
  </si>
  <si>
    <t>FAM184A</t>
  </si>
  <si>
    <t>218294_s_at</t>
  </si>
  <si>
    <t>NUP50</t>
  </si>
  <si>
    <t>208153_s_at</t>
  </si>
  <si>
    <t>FAT2</t>
  </si>
  <si>
    <t>219555_s_at</t>
  </si>
  <si>
    <t>219722_s_at</t>
  </si>
  <si>
    <t>GDPD3</t>
  </si>
  <si>
    <t>35685_at</t>
  </si>
  <si>
    <t>RING1</t>
  </si>
  <si>
    <t>200712_s_at</t>
  </si>
  <si>
    <t>MAPRE1</t>
  </si>
  <si>
    <t>201679_at</t>
  </si>
  <si>
    <t>204215_at</t>
  </si>
  <si>
    <t>C7orf23</t>
  </si>
  <si>
    <t>208727_s_at</t>
  </si>
  <si>
    <t>211883_x_at</t>
  </si>
  <si>
    <t>219071_x_at</t>
  </si>
  <si>
    <t>220352_x_at</t>
  </si>
  <si>
    <t>204594_s_at</t>
  </si>
  <si>
    <t>218067_s_at</t>
  </si>
  <si>
    <t>ARGLU1</t>
  </si>
  <si>
    <t>209063_x_at</t>
  </si>
  <si>
    <t>210216_x_at</t>
  </si>
  <si>
    <t>RAD1</t>
  </si>
  <si>
    <t>214762_at</t>
  </si>
  <si>
    <t>ATP6V1G2</t>
  </si>
  <si>
    <t>213260_at</t>
  </si>
  <si>
    <t>FOXC1</t>
  </si>
  <si>
    <t>219214_s_at</t>
  </si>
  <si>
    <t>NT5C</t>
  </si>
  <si>
    <t>202986_at</t>
  </si>
  <si>
    <t>ARNT2</t>
  </si>
  <si>
    <t>212048_s_at</t>
  </si>
  <si>
    <t>YARS</t>
  </si>
  <si>
    <t>205674_x_at</t>
  </si>
  <si>
    <t>FXYD2</t>
  </si>
  <si>
    <t>208025_s_at</t>
  </si>
  <si>
    <t>HMGA2</t>
  </si>
  <si>
    <t>209281_s_at</t>
  </si>
  <si>
    <t>218337_at</t>
  </si>
  <si>
    <t>FAM160B2</t>
  </si>
  <si>
    <t>203147_s_at</t>
  </si>
  <si>
    <t>207070_at</t>
  </si>
  <si>
    <t>RGR</t>
  </si>
  <si>
    <t>203531_at</t>
  </si>
  <si>
    <t>215258_at</t>
  </si>
  <si>
    <t>CADM4</t>
  </si>
  <si>
    <t>200924_s_at</t>
  </si>
  <si>
    <t>SLC3A2</t>
  </si>
  <si>
    <t>215833_s_at</t>
  </si>
  <si>
    <t>200086_s_at</t>
  </si>
  <si>
    <t>202334_s_at</t>
  </si>
  <si>
    <t>207552_at</t>
  </si>
  <si>
    <t>215666_at</t>
  </si>
  <si>
    <t>HLA-DRB4</t>
  </si>
  <si>
    <t>201438_at</t>
  </si>
  <si>
    <t>COL6A3</t>
  </si>
  <si>
    <t>204990_s_at</t>
  </si>
  <si>
    <t>ITGB4</t>
  </si>
  <si>
    <t>206215_at</t>
  </si>
  <si>
    <t>OPCML</t>
  </si>
  <si>
    <t>212119_at</t>
  </si>
  <si>
    <t>RHOQ</t>
  </si>
  <si>
    <t>216877_at</t>
  </si>
  <si>
    <t>DKFZp686O1327</t>
  </si>
  <si>
    <t>212730_at</t>
  </si>
  <si>
    <t>SYNM</t>
  </si>
  <si>
    <t>209610_s_at</t>
  </si>
  <si>
    <t>200613_at</t>
  </si>
  <si>
    <t>AP2M1</t>
  </si>
  <si>
    <t>211438_at</t>
  </si>
  <si>
    <t>TRHR</t>
  </si>
  <si>
    <t>215235_at</t>
  </si>
  <si>
    <t>222149_x_at</t>
  </si>
  <si>
    <t>GOLGA8C /// GOLGA8D /// GOLGA8E /// GOLGA8G /// LOC653061</t>
  </si>
  <si>
    <t>216326_s_at</t>
  </si>
  <si>
    <t>HDAC3</t>
  </si>
  <si>
    <t>206989_s_at</t>
  </si>
  <si>
    <t>206510_at</t>
  </si>
  <si>
    <t>209456_s_at</t>
  </si>
  <si>
    <t>FBXW11</t>
  </si>
  <si>
    <t>217002_s_at</t>
  </si>
  <si>
    <t>205089_at</t>
  </si>
  <si>
    <t>ZNF7</t>
  </si>
  <si>
    <t>217527_s_at</t>
  </si>
  <si>
    <t>220867_s_at</t>
  </si>
  <si>
    <t>SLC24A2</t>
  </si>
  <si>
    <t>200049_at</t>
  </si>
  <si>
    <t>MYST2</t>
  </si>
  <si>
    <t>177_at</t>
  </si>
  <si>
    <t>38290_at</t>
  </si>
  <si>
    <t>41037_at</t>
  </si>
  <si>
    <t>50277_at</t>
  </si>
  <si>
    <t>55616_at</t>
  </si>
  <si>
    <t>PGAP3</t>
  </si>
  <si>
    <t>200646_s_at</t>
  </si>
  <si>
    <t>NUCB1</t>
  </si>
  <si>
    <t>201245_s_at</t>
  </si>
  <si>
    <t>201741_x_at</t>
  </si>
  <si>
    <t>201842_s_at</t>
  </si>
  <si>
    <t>EFEMP1</t>
  </si>
  <si>
    <t>201891_s_at</t>
  </si>
  <si>
    <t>B2M</t>
  </si>
  <si>
    <t>201950_x_at</t>
  </si>
  <si>
    <t>201983_s_at</t>
  </si>
  <si>
    <t>202351_at</t>
  </si>
  <si>
    <t>ITGAV</t>
  </si>
  <si>
    <t>202452_at</t>
  </si>
  <si>
    <t>202459_s_at</t>
  </si>
  <si>
    <t>202494_at</t>
  </si>
  <si>
    <t>PPIE</t>
  </si>
  <si>
    <t>202546_at</t>
  </si>
  <si>
    <t>VAMP8</t>
  </si>
  <si>
    <t>202632_at</t>
  </si>
  <si>
    <t>DPH1 /// OVCA2</t>
  </si>
  <si>
    <t>202906_s_at</t>
  </si>
  <si>
    <t>202914_s_at</t>
  </si>
  <si>
    <t>203130_s_at</t>
  </si>
  <si>
    <t>KIF5C</t>
  </si>
  <si>
    <t>203162_s_at</t>
  </si>
  <si>
    <t>KATNB1</t>
  </si>
  <si>
    <t>203194_s_at</t>
  </si>
  <si>
    <t>203571_s_at</t>
  </si>
  <si>
    <t>C10orf116</t>
  </si>
  <si>
    <t>203639_s_at</t>
  </si>
  <si>
    <t>203651_at</t>
  </si>
  <si>
    <t>ZFYVE16</t>
  </si>
  <si>
    <t>203697_at</t>
  </si>
  <si>
    <t>FRZB</t>
  </si>
  <si>
    <t>203715_at</t>
  </si>
  <si>
    <t>203766_s_at</t>
  </si>
  <si>
    <t>LMOD1</t>
  </si>
  <si>
    <t>203841_x_at</t>
  </si>
  <si>
    <t>203849_s_at</t>
  </si>
  <si>
    <t>KIF1A</t>
  </si>
  <si>
    <t>203881_s_at</t>
  </si>
  <si>
    <t>204163_at</t>
  </si>
  <si>
    <t>EMILIN1</t>
  </si>
  <si>
    <t>204398_s_at</t>
  </si>
  <si>
    <t>204450_x_at</t>
  </si>
  <si>
    <t>APOA1</t>
  </si>
  <si>
    <t>204460_s_at</t>
  </si>
  <si>
    <t>204625_s_at</t>
  </si>
  <si>
    <t>204717_s_at</t>
  </si>
  <si>
    <t>SLC29A2</t>
  </si>
  <si>
    <t>204870_s_at</t>
  </si>
  <si>
    <t>PCSK2</t>
  </si>
  <si>
    <t>204919_at</t>
  </si>
  <si>
    <t>PRR4</t>
  </si>
  <si>
    <t>205149_s_at</t>
  </si>
  <si>
    <t>CLCN4</t>
  </si>
  <si>
    <t>205219_s_at</t>
  </si>
  <si>
    <t>205254_x_at</t>
  </si>
  <si>
    <t>205537_s_at</t>
  </si>
  <si>
    <t>205559_s_at</t>
  </si>
  <si>
    <t>PCSK5</t>
  </si>
  <si>
    <t>205567_at</t>
  </si>
  <si>
    <t>CHST1</t>
  </si>
  <si>
    <t>205581_s_at</t>
  </si>
  <si>
    <t>NOS3</t>
  </si>
  <si>
    <t>205722_s_at</t>
  </si>
  <si>
    <t>205893_at</t>
  </si>
  <si>
    <t>NLGN1</t>
  </si>
  <si>
    <t>205954_at</t>
  </si>
  <si>
    <t>RXRG</t>
  </si>
  <si>
    <t>205999_x_at</t>
  </si>
  <si>
    <t>206144_at</t>
  </si>
  <si>
    <t>MAGI1</t>
  </si>
  <si>
    <t>206261_at</t>
  </si>
  <si>
    <t>ZNF239</t>
  </si>
  <si>
    <t>206359_at</t>
  </si>
  <si>
    <t>206568_at</t>
  </si>
  <si>
    <t>TNP1</t>
  </si>
  <si>
    <t>206624_at</t>
  </si>
  <si>
    <t>USP9Y</t>
  </si>
  <si>
    <t>206761_at</t>
  </si>
  <si>
    <t>CD96</t>
  </si>
  <si>
    <t>206811_at</t>
  </si>
  <si>
    <t>ADCY8</t>
  </si>
  <si>
    <t>206903_at</t>
  </si>
  <si>
    <t>206942_s_at</t>
  </si>
  <si>
    <t>PMCH</t>
  </si>
  <si>
    <t>206945_at</t>
  </si>
  <si>
    <t>LCT</t>
  </si>
  <si>
    <t>206969_at</t>
  </si>
  <si>
    <t>KRT34</t>
  </si>
  <si>
    <t>206999_at</t>
  </si>
  <si>
    <t>IL12RB2</t>
  </si>
  <si>
    <t>207006_s_at</t>
  </si>
  <si>
    <t>CCDC106</t>
  </si>
  <si>
    <t>207091_at</t>
  </si>
  <si>
    <t>P2RX7</t>
  </si>
  <si>
    <t>207140_at</t>
  </si>
  <si>
    <t>ALPI</t>
  </si>
  <si>
    <t>207290_at</t>
  </si>
  <si>
    <t>207296_at</t>
  </si>
  <si>
    <t>ZNF343</t>
  </si>
  <si>
    <t>207318_s_at</t>
  </si>
  <si>
    <t>207327_at</t>
  </si>
  <si>
    <t>EYA4</t>
  </si>
  <si>
    <t>207440_at</t>
  </si>
  <si>
    <t>207524_at</t>
  </si>
  <si>
    <t>ST7</t>
  </si>
  <si>
    <t>207635_s_at</t>
  </si>
  <si>
    <t>KCNH1</t>
  </si>
  <si>
    <t>207638_at</t>
  </si>
  <si>
    <t>PRSS7</t>
  </si>
  <si>
    <t>207740_s_at</t>
  </si>
  <si>
    <t>207796_x_at</t>
  </si>
  <si>
    <t>207841_at</t>
  </si>
  <si>
    <t>SPIN2A</t>
  </si>
  <si>
    <t>208183_at</t>
  </si>
  <si>
    <t>TACR3</t>
  </si>
  <si>
    <t>208281_x_at</t>
  </si>
  <si>
    <t>DAZ1 /// DAZ2 /// DAZ3 /// DAZ4</t>
  </si>
  <si>
    <t>208345_s_at</t>
  </si>
  <si>
    <t>POU3F1</t>
  </si>
  <si>
    <t>208393_s_at</t>
  </si>
  <si>
    <t>RAD50</t>
  </si>
  <si>
    <t>208499_s_at</t>
  </si>
  <si>
    <t>DNAJC3</t>
  </si>
  <si>
    <t>208562_s_at</t>
  </si>
  <si>
    <t>ABCC9</t>
  </si>
  <si>
    <t>208572_at</t>
  </si>
  <si>
    <t>HIST3H3</t>
  </si>
  <si>
    <t>208594_x_at</t>
  </si>
  <si>
    <t>LILRA6</t>
  </si>
  <si>
    <t>208741_at</t>
  </si>
  <si>
    <t>209007_s_at</t>
  </si>
  <si>
    <t>C1orf63</t>
  </si>
  <si>
    <t>209114_at</t>
  </si>
  <si>
    <t>TSPAN1</t>
  </si>
  <si>
    <t>209122_at</t>
  </si>
  <si>
    <t>PLIN2</t>
  </si>
  <si>
    <t>209151_x_at</t>
  </si>
  <si>
    <t>209454_s_at</t>
  </si>
  <si>
    <t>TEAD3</t>
  </si>
  <si>
    <t>209521_s_at</t>
  </si>
  <si>
    <t>AMOT</t>
  </si>
  <si>
    <t>209591_s_at</t>
  </si>
  <si>
    <t>209654_at</t>
  </si>
  <si>
    <t>KIAA0947</t>
  </si>
  <si>
    <t>209691_s_at</t>
  </si>
  <si>
    <t>209908_s_at</t>
  </si>
  <si>
    <t>TGFB2</t>
  </si>
  <si>
    <t>210099_at</t>
  </si>
  <si>
    <t>210119_at</t>
  </si>
  <si>
    <t>210310_s_at</t>
  </si>
  <si>
    <t>FGF5</t>
  </si>
  <si>
    <t>210329_s_at</t>
  </si>
  <si>
    <t>210408_s_at</t>
  </si>
  <si>
    <t>210481_s_at</t>
  </si>
  <si>
    <t>210507_s_at</t>
  </si>
  <si>
    <t>AVIL</t>
  </si>
  <si>
    <t>210569_s_at</t>
  </si>
  <si>
    <t>SIGLEC9</t>
  </si>
  <si>
    <t>210682_at</t>
  </si>
  <si>
    <t>LPO</t>
  </si>
  <si>
    <t>210691_s_at</t>
  </si>
  <si>
    <t>210828_s_at</t>
  </si>
  <si>
    <t>210986_s_at</t>
  </si>
  <si>
    <t>211004_s_at</t>
  </si>
  <si>
    <t>211052_s_at</t>
  </si>
  <si>
    <t>211080_s_at</t>
  </si>
  <si>
    <t>211146_at</t>
  </si>
  <si>
    <t>211198_s_at</t>
  </si>
  <si>
    <t>ICOSLG</t>
  </si>
  <si>
    <t>211475_s_at</t>
  </si>
  <si>
    <t>BAG1</t>
  </si>
  <si>
    <t>211591_s_at</t>
  </si>
  <si>
    <t>211621_at</t>
  </si>
  <si>
    <t>211670_x_at</t>
  </si>
  <si>
    <t>211705_s_at</t>
  </si>
  <si>
    <t>211826_s_at</t>
  </si>
  <si>
    <t>211913_s_at</t>
  </si>
  <si>
    <t>212669_at</t>
  </si>
  <si>
    <t>CAMK2G</t>
  </si>
  <si>
    <t>212785_s_at</t>
  </si>
  <si>
    <t>LARP7</t>
  </si>
  <si>
    <t>212837_at</t>
  </si>
  <si>
    <t>212888_at</t>
  </si>
  <si>
    <t>212938_at</t>
  </si>
  <si>
    <t>213010_at</t>
  </si>
  <si>
    <t>PRKCDBP</t>
  </si>
  <si>
    <t>213043_s_at</t>
  </si>
  <si>
    <t>213125_at</t>
  </si>
  <si>
    <t>OLFML2B</t>
  </si>
  <si>
    <t>213219_at</t>
  </si>
  <si>
    <t>213237_at</t>
  </si>
  <si>
    <t>213381_at</t>
  </si>
  <si>
    <t>C10orf72</t>
  </si>
  <si>
    <t>213384_x_at</t>
  </si>
  <si>
    <t>PLCB3</t>
  </si>
  <si>
    <t>213524_s_at</t>
  </si>
  <si>
    <t>G0S2</t>
  </si>
  <si>
    <t>213712_at</t>
  </si>
  <si>
    <t>213816_s_at</t>
  </si>
  <si>
    <t>213862_at</t>
  </si>
  <si>
    <t>PNPLA2</t>
  </si>
  <si>
    <t>213928_s_at</t>
  </si>
  <si>
    <t>214509_at</t>
  </si>
  <si>
    <t>HIST1H3I</t>
  </si>
  <si>
    <t>214520_at</t>
  </si>
  <si>
    <t>FOXC2</t>
  </si>
  <si>
    <t>214565_s_at</t>
  </si>
  <si>
    <t>SMR3A /// SMR3B</t>
  </si>
  <si>
    <t>214576_at</t>
  </si>
  <si>
    <t>KRT36</t>
  </si>
  <si>
    <t>214611_at</t>
  </si>
  <si>
    <t>GRIK1</t>
  </si>
  <si>
    <t>214641_at</t>
  </si>
  <si>
    <t>COL4A3</t>
  </si>
  <si>
    <t>214644_at</t>
  </si>
  <si>
    <t>HIST1H2AK</t>
  </si>
  <si>
    <t>214771_x_at</t>
  </si>
  <si>
    <t>214793_at</t>
  </si>
  <si>
    <t>214895_s_at</t>
  </si>
  <si>
    <t>214935_at</t>
  </si>
  <si>
    <t>IL4I1 /// NUP62 /// SIGLEC11</t>
  </si>
  <si>
    <t>214939_x_at</t>
  </si>
  <si>
    <t>MLLT4</t>
  </si>
  <si>
    <t>214945_at</t>
  </si>
  <si>
    <t>FAM153A /// FAM153B /// FAM153C</t>
  </si>
  <si>
    <t>215114_at</t>
  </si>
  <si>
    <t>SENP3</t>
  </si>
  <si>
    <t>215142_at</t>
  </si>
  <si>
    <t>CXorf27</t>
  </si>
  <si>
    <t>215143_at</t>
  </si>
  <si>
    <t>DPY19L2P2</t>
  </si>
  <si>
    <t>215431_at</t>
  </si>
  <si>
    <t>215491_at</t>
  </si>
  <si>
    <t>215509_s_at</t>
  </si>
  <si>
    <t>215547_at</t>
  </si>
  <si>
    <t>215569_at</t>
  </si>
  <si>
    <t>GTF2IRD2 /// GTF2IRD2B</t>
  </si>
  <si>
    <t>215759_at</t>
  </si>
  <si>
    <t>ANKRD53</t>
  </si>
  <si>
    <t>215797_at</t>
  </si>
  <si>
    <t>TRAV8-3</t>
  </si>
  <si>
    <t>215821_x_at</t>
  </si>
  <si>
    <t>PSG3</t>
  </si>
  <si>
    <t>215847_at</t>
  </si>
  <si>
    <t>HERC2P3</t>
  </si>
  <si>
    <t>215852_x_at</t>
  </si>
  <si>
    <t>216200_at</t>
  </si>
  <si>
    <t>PLEKHM1</t>
  </si>
  <si>
    <t>216402_at</t>
  </si>
  <si>
    <t>SEC14L4</t>
  </si>
  <si>
    <t>216482_x_at</t>
  </si>
  <si>
    <t>216572_at</t>
  </si>
  <si>
    <t>FOXL1</t>
  </si>
  <si>
    <t>216627_s_at</t>
  </si>
  <si>
    <t>216701_at</t>
  </si>
  <si>
    <t>216855_s_at</t>
  </si>
  <si>
    <t>216867_s_at</t>
  </si>
  <si>
    <t>216905_s_at</t>
  </si>
  <si>
    <t>ST14</t>
  </si>
  <si>
    <t>217262_s_at</t>
  </si>
  <si>
    <t>217325_at</t>
  </si>
  <si>
    <t>KRT3</t>
  </si>
  <si>
    <t>217385_at</t>
  </si>
  <si>
    <t>LOC392555</t>
  </si>
  <si>
    <t>217495_x_at</t>
  </si>
  <si>
    <t>CALCA</t>
  </si>
  <si>
    <t>217650_x_at</t>
  </si>
  <si>
    <t>217702_at</t>
  </si>
  <si>
    <t>217891_at</t>
  </si>
  <si>
    <t>C16orf58</t>
  </si>
  <si>
    <t>217902_s_at</t>
  </si>
  <si>
    <t>HERC2</t>
  </si>
  <si>
    <t>218461_at</t>
  </si>
  <si>
    <t>GPN3</t>
  </si>
  <si>
    <t>218612_s_at</t>
  </si>
  <si>
    <t>TSSC4</t>
  </si>
  <si>
    <t>218772_x_at</t>
  </si>
  <si>
    <t>TMEM38B</t>
  </si>
  <si>
    <t>218963_s_at</t>
  </si>
  <si>
    <t>KRT23</t>
  </si>
  <si>
    <t>219189_at</t>
  </si>
  <si>
    <t>FBXL6</t>
  </si>
  <si>
    <t>219199_at</t>
  </si>
  <si>
    <t>AFF4</t>
  </si>
  <si>
    <t>219330_at</t>
  </si>
  <si>
    <t>VANGL1</t>
  </si>
  <si>
    <t>219373_at</t>
  </si>
  <si>
    <t>DPM3</t>
  </si>
  <si>
    <t>219388_at</t>
  </si>
  <si>
    <t>GRHL2</t>
  </si>
  <si>
    <t>219461_at</t>
  </si>
  <si>
    <t>PAK6</t>
  </si>
  <si>
    <t>219585_at</t>
  </si>
  <si>
    <t>CCDC28B</t>
  </si>
  <si>
    <t>219613_s_at</t>
  </si>
  <si>
    <t>SIRT6</t>
  </si>
  <si>
    <t>219742_at</t>
  </si>
  <si>
    <t>PRR7</t>
  </si>
  <si>
    <t>219751_at</t>
  </si>
  <si>
    <t>SETD6</t>
  </si>
  <si>
    <t>219901_at</t>
  </si>
  <si>
    <t>FGD6</t>
  </si>
  <si>
    <t>219905_at</t>
  </si>
  <si>
    <t>ERMAP</t>
  </si>
  <si>
    <t>220065_at</t>
  </si>
  <si>
    <t>TNMD</t>
  </si>
  <si>
    <t>220078_at</t>
  </si>
  <si>
    <t>220083_x_at</t>
  </si>
  <si>
    <t>220226_at</t>
  </si>
  <si>
    <t>TRPM8</t>
  </si>
  <si>
    <t>220716_at</t>
  </si>
  <si>
    <t>GNL3LP</t>
  </si>
  <si>
    <t>220792_at</t>
  </si>
  <si>
    <t>PRDM5</t>
  </si>
  <si>
    <t>220806_x_at</t>
  </si>
  <si>
    <t>GNG13</t>
  </si>
  <si>
    <t>221042_s_at</t>
  </si>
  <si>
    <t>221110_x_at</t>
  </si>
  <si>
    <t>PDE11A</t>
  </si>
  <si>
    <t>221279_at</t>
  </si>
  <si>
    <t>GDAP1</t>
  </si>
  <si>
    <t>221284_s_at</t>
  </si>
  <si>
    <t>221312_at</t>
  </si>
  <si>
    <t>GLP2R</t>
  </si>
  <si>
    <t>221345_at</t>
  </si>
  <si>
    <t>FFAR2</t>
  </si>
  <si>
    <t>221391_at</t>
  </si>
  <si>
    <t>TAS2R14</t>
  </si>
  <si>
    <t>221416_at</t>
  </si>
  <si>
    <t>PLA2G2F</t>
  </si>
  <si>
    <t>221512_at</t>
  </si>
  <si>
    <t>221646_s_at</t>
  </si>
  <si>
    <t>ZDHHC11</t>
  </si>
  <si>
    <t>221698_s_at</t>
  </si>
  <si>
    <t>CLEC7A</t>
  </si>
  <si>
    <t>221707_s_at</t>
  </si>
  <si>
    <t>VPS53</t>
  </si>
  <si>
    <t>221867_at</t>
  </si>
  <si>
    <t>221958_s_at</t>
  </si>
  <si>
    <t>GPR177</t>
  </si>
  <si>
    <t>222073_at</t>
  </si>
  <si>
    <t>222176_at</t>
  </si>
  <si>
    <t>222289_at</t>
  </si>
  <si>
    <t>KCNC2</t>
  </si>
  <si>
    <t>222347_at</t>
  </si>
  <si>
    <t>LOC644450</t>
  </si>
  <si>
    <t>222348_at</t>
  </si>
  <si>
    <t>222349_x_at</t>
  </si>
  <si>
    <t>RNF126P1</t>
  </si>
  <si>
    <t>201316_at</t>
  </si>
  <si>
    <t>219685_at</t>
  </si>
  <si>
    <t>TMEM35</t>
  </si>
  <si>
    <t>218596_at</t>
  </si>
  <si>
    <t>203652_at</t>
  </si>
  <si>
    <t>MAP3K11</t>
  </si>
  <si>
    <t>201134_x_at</t>
  </si>
  <si>
    <t>209357_at</t>
  </si>
  <si>
    <t>CITED2</t>
  </si>
  <si>
    <t>212641_at</t>
  </si>
  <si>
    <t>213185_at</t>
  </si>
  <si>
    <t>KIAA0556</t>
  </si>
  <si>
    <t>202169_s_at</t>
  </si>
  <si>
    <t>219648_at</t>
  </si>
  <si>
    <t>MREG</t>
  </si>
  <si>
    <t>201106_at</t>
  </si>
  <si>
    <t>GPX4</t>
  </si>
  <si>
    <t>208223_s_at</t>
  </si>
  <si>
    <t>203976_s_at</t>
  </si>
  <si>
    <t>CHAF1A</t>
  </si>
  <si>
    <t>207157_s_at</t>
  </si>
  <si>
    <t>GNG5</t>
  </si>
  <si>
    <t>218057_x_at</t>
  </si>
  <si>
    <t>COX4NB</t>
  </si>
  <si>
    <t>215136_s_at</t>
  </si>
  <si>
    <t>EXOSC8</t>
  </si>
  <si>
    <t>215538_at</t>
  </si>
  <si>
    <t>201229_s_at</t>
  </si>
  <si>
    <t>216841_s_at</t>
  </si>
  <si>
    <t>219755_at</t>
  </si>
  <si>
    <t>CBX8</t>
  </si>
  <si>
    <t>221401_at</t>
  </si>
  <si>
    <t>CACNG5</t>
  </si>
  <si>
    <t>220788_s_at</t>
  </si>
  <si>
    <t>RNF31</t>
  </si>
  <si>
    <t>216878_x_at</t>
  </si>
  <si>
    <t>HAB1</t>
  </si>
  <si>
    <t>203113_s_at</t>
  </si>
  <si>
    <t>203641_s_at</t>
  </si>
  <si>
    <t>216375_s_at</t>
  </si>
  <si>
    <t>ETV5</t>
  </si>
  <si>
    <t>211519_s_at</t>
  </si>
  <si>
    <t>KIF2C</t>
  </si>
  <si>
    <t>209798_at</t>
  </si>
  <si>
    <t>NPAT</t>
  </si>
  <si>
    <t>203312_x_at</t>
  </si>
  <si>
    <t>ARF6</t>
  </si>
  <si>
    <t>221306_at</t>
  </si>
  <si>
    <t>GPR27</t>
  </si>
  <si>
    <t>219064_at</t>
  </si>
  <si>
    <t>ITIH5</t>
  </si>
  <si>
    <t>216483_s_at</t>
  </si>
  <si>
    <t>C19orf10</t>
  </si>
  <si>
    <t>222094_at</t>
  </si>
  <si>
    <t>205959_at</t>
  </si>
  <si>
    <t>MMP13</t>
  </si>
  <si>
    <t>203904_x_at</t>
  </si>
  <si>
    <t>CD82</t>
  </si>
  <si>
    <t>213165_at</t>
  </si>
  <si>
    <t>212041_at</t>
  </si>
  <si>
    <t>ATP6V0D1</t>
  </si>
  <si>
    <t>204722_at</t>
  </si>
  <si>
    <t>216768_x_at</t>
  </si>
  <si>
    <t>205636_at</t>
  </si>
  <si>
    <t>209148_at</t>
  </si>
  <si>
    <t>RXRB</t>
  </si>
  <si>
    <t>215550_at</t>
  </si>
  <si>
    <t>207223_s_at</t>
  </si>
  <si>
    <t>208728_s_at</t>
  </si>
  <si>
    <t>219783_at</t>
  </si>
  <si>
    <t>C2orf18</t>
  </si>
  <si>
    <t>206846_s_at</t>
  </si>
  <si>
    <t>203500_at</t>
  </si>
  <si>
    <t>217509_x_at</t>
  </si>
  <si>
    <t>GRIK5</t>
  </si>
  <si>
    <t>210644_s_at</t>
  </si>
  <si>
    <t>221467_at</t>
  </si>
  <si>
    <t>MC4R</t>
  </si>
  <si>
    <t>209751_s_at</t>
  </si>
  <si>
    <t>TRAPPC2 /// TRAPPC2P1</t>
  </si>
  <si>
    <t>212740_at</t>
  </si>
  <si>
    <t>PIK3R4</t>
  </si>
  <si>
    <t>204854_at</t>
  </si>
  <si>
    <t>GPR162 /// LEPREL2</t>
  </si>
  <si>
    <t>206848_at</t>
  </si>
  <si>
    <t>FAM36A /// HOXA7</t>
  </si>
  <si>
    <t>221762_s_at</t>
  </si>
  <si>
    <t>207813_s_at</t>
  </si>
  <si>
    <t>FDXR</t>
  </si>
  <si>
    <t>210718_s_at</t>
  </si>
  <si>
    <t>ARL17P1 /// LOC100294341</t>
  </si>
  <si>
    <t>217529_at</t>
  </si>
  <si>
    <t>201960_s_at</t>
  </si>
  <si>
    <t>MYCBP2</t>
  </si>
  <si>
    <t>218911_at</t>
  </si>
  <si>
    <t>YEATS4</t>
  </si>
  <si>
    <t>216747_at</t>
  </si>
  <si>
    <t>201545_s_at</t>
  </si>
  <si>
    <t>215419_at</t>
  </si>
  <si>
    <t>ZFR2</t>
  </si>
  <si>
    <t>217120_s_at</t>
  </si>
  <si>
    <t>LOC728142</t>
  </si>
  <si>
    <t>202157_s_at</t>
  </si>
  <si>
    <t>209768_s_at</t>
  </si>
  <si>
    <t>221691_x_at</t>
  </si>
  <si>
    <t>214198_s_at</t>
  </si>
  <si>
    <t>217559_at</t>
  </si>
  <si>
    <t>RPL10L</t>
  </si>
  <si>
    <t>221579_s_at</t>
  </si>
  <si>
    <t>NUDT3</t>
  </si>
  <si>
    <t>210472_at</t>
  </si>
  <si>
    <t>221406_s_at</t>
  </si>
  <si>
    <t>204473_s_at</t>
  </si>
  <si>
    <t>217734_s_at</t>
  </si>
  <si>
    <t>WDR6</t>
  </si>
  <si>
    <t>210702_s_at</t>
  </si>
  <si>
    <t>213590_at</t>
  </si>
  <si>
    <t>SLC16A5</t>
  </si>
  <si>
    <t>222137_at</t>
  </si>
  <si>
    <t>216430_x_at</t>
  </si>
  <si>
    <t>211014_s_at</t>
  </si>
  <si>
    <t>212741_at</t>
  </si>
  <si>
    <t>MAOA</t>
  </si>
  <si>
    <t>209804_at</t>
  </si>
  <si>
    <t>DCLRE1A</t>
  </si>
  <si>
    <t>204441_s_at</t>
  </si>
  <si>
    <t>POLA2</t>
  </si>
  <si>
    <t>217655_at</t>
  </si>
  <si>
    <t>LOC100127972</t>
  </si>
  <si>
    <t>208750_s_at</t>
  </si>
  <si>
    <t>208934_s_at</t>
  </si>
  <si>
    <t>214763_at</t>
  </si>
  <si>
    <t>ACOT11</t>
  </si>
  <si>
    <t>207830_s_at</t>
  </si>
  <si>
    <t>PPP1R8</t>
  </si>
  <si>
    <t>216734_s_at</t>
  </si>
  <si>
    <t>212683_at</t>
  </si>
  <si>
    <t>214299_at</t>
  </si>
  <si>
    <t>207167_at</t>
  </si>
  <si>
    <t>IGSF2</t>
  </si>
  <si>
    <t>217608_at</t>
  </si>
  <si>
    <t>SFRS12IP1</t>
  </si>
  <si>
    <t>203748_x_at</t>
  </si>
  <si>
    <t>205318_at</t>
  </si>
  <si>
    <t>KIF5A</t>
  </si>
  <si>
    <t>209411_s_at</t>
  </si>
  <si>
    <t>GGA3</t>
  </si>
  <si>
    <t>215205_x_at</t>
  </si>
  <si>
    <t>219940_s_at</t>
  </si>
  <si>
    <t>PCID2</t>
  </si>
  <si>
    <t>203845_at</t>
  </si>
  <si>
    <t>KAT2B</t>
  </si>
  <si>
    <t>207372_s_at</t>
  </si>
  <si>
    <t>ENTPD2</t>
  </si>
  <si>
    <t>221829_s_at</t>
  </si>
  <si>
    <t>222369_at</t>
  </si>
  <si>
    <t>213279_at</t>
  </si>
  <si>
    <t>DHRS1</t>
  </si>
  <si>
    <t>205341_at</t>
  </si>
  <si>
    <t>214686_at</t>
  </si>
  <si>
    <t>ZNF266</t>
  </si>
  <si>
    <t>217811_at</t>
  </si>
  <si>
    <t>SELT</t>
  </si>
  <si>
    <t>200080_s_at</t>
  </si>
  <si>
    <t>217039_x_at</t>
  </si>
  <si>
    <t>200789_at</t>
  </si>
  <si>
    <t>ECH1</t>
  </si>
  <si>
    <t>204482_at</t>
  </si>
  <si>
    <t>CLDN5</t>
  </si>
  <si>
    <t>211939_x_at</t>
  </si>
  <si>
    <t>218786_at</t>
  </si>
  <si>
    <t>NT5DC3</t>
  </si>
  <si>
    <t>200858_s_at</t>
  </si>
  <si>
    <t>RPS8</t>
  </si>
  <si>
    <t>210056_at</t>
  </si>
  <si>
    <t>RND1</t>
  </si>
  <si>
    <t>205457_at</t>
  </si>
  <si>
    <t>C6orf106</t>
  </si>
  <si>
    <t>207338_s_at</t>
  </si>
  <si>
    <t>220995_at</t>
  </si>
  <si>
    <t>STXBP6</t>
  </si>
  <si>
    <t>216693_x_at</t>
  </si>
  <si>
    <t>201190_s_at</t>
  </si>
  <si>
    <t>PITPNA</t>
  </si>
  <si>
    <t>216398_at</t>
  </si>
  <si>
    <t>207346_at</t>
  </si>
  <si>
    <t>211931_s_at</t>
  </si>
  <si>
    <t>221970_s_at</t>
  </si>
  <si>
    <t>NOL11</t>
  </si>
  <si>
    <t>211433_x_at</t>
  </si>
  <si>
    <t>KIAA1539</t>
  </si>
  <si>
    <t>207390_s_at</t>
  </si>
  <si>
    <t>SMTN</t>
  </si>
  <si>
    <t>216293_at</t>
  </si>
  <si>
    <t>207721_x_at</t>
  </si>
  <si>
    <t>HINT1</t>
  </si>
  <si>
    <t>221704_s_at</t>
  </si>
  <si>
    <t>VPS37B</t>
  </si>
  <si>
    <t>221568_s_at</t>
  </si>
  <si>
    <t>LIN7C</t>
  </si>
  <si>
    <t>221571_at</t>
  </si>
  <si>
    <t>202399_s_at</t>
  </si>
  <si>
    <t>AP3S2</t>
  </si>
  <si>
    <t>200986_at</t>
  </si>
  <si>
    <t>SERPING1</t>
  </si>
  <si>
    <t>211546_x_at</t>
  </si>
  <si>
    <t>215920_s_at</t>
  </si>
  <si>
    <t>LOC100288442 /// LOC100289169 /// LOC728888 /// LOC729602 /// NPIPL2 /// NPIPL3 /// PDXDC2</t>
  </si>
  <si>
    <t>219530_at</t>
  </si>
  <si>
    <t>PALB2</t>
  </si>
  <si>
    <t>202071_at</t>
  </si>
  <si>
    <t>SDC4</t>
  </si>
  <si>
    <t>221892_at</t>
  </si>
  <si>
    <t>203901_at</t>
  </si>
  <si>
    <t>MAP3K7IP1</t>
  </si>
  <si>
    <t>212783_at</t>
  </si>
  <si>
    <t>RBBP6</t>
  </si>
  <si>
    <t>210852_s_at</t>
  </si>
  <si>
    <t>212358_at</t>
  </si>
  <si>
    <t>CLIP3</t>
  </si>
  <si>
    <t>205942_s_at</t>
  </si>
  <si>
    <t>219468_s_at</t>
  </si>
  <si>
    <t>CUEDC1</t>
  </si>
  <si>
    <t>210826_x_at</t>
  </si>
  <si>
    <t>213215_at</t>
  </si>
  <si>
    <t>220219_s_at</t>
  </si>
  <si>
    <t>LOC100294335 /// LOC644397 /// LRRC37A /// LRRC37A2 /// LRRC37A3 /// LRRC37A4</t>
  </si>
  <si>
    <t>220282_at</t>
  </si>
  <si>
    <t>RIC3</t>
  </si>
  <si>
    <t>221219_s_at</t>
  </si>
  <si>
    <t>KLHDC4</t>
  </si>
  <si>
    <t>209584_x_at</t>
  </si>
  <si>
    <t>APOBEC3C</t>
  </si>
  <si>
    <t>214449_s_at</t>
  </si>
  <si>
    <t>213392_at</t>
  </si>
  <si>
    <t>202216_x_at</t>
  </si>
  <si>
    <t>204758_s_at</t>
  </si>
  <si>
    <t>206450_at</t>
  </si>
  <si>
    <t>DBH</t>
  </si>
  <si>
    <t>209875_s_at</t>
  </si>
  <si>
    <t>SPP1</t>
  </si>
  <si>
    <t>213694_at</t>
  </si>
  <si>
    <t>RSBN1</t>
  </si>
  <si>
    <t>207522_s_at</t>
  </si>
  <si>
    <t>218114_at</t>
  </si>
  <si>
    <t>205252_at</t>
  </si>
  <si>
    <t>215975_x_at</t>
  </si>
  <si>
    <t>211750_x_at</t>
  </si>
  <si>
    <t>218023_s_at</t>
  </si>
  <si>
    <t>FAM53C</t>
  </si>
  <si>
    <t>209467_s_at</t>
  </si>
  <si>
    <t>MKNK1</t>
  </si>
  <si>
    <t>219868_s_at</t>
  </si>
  <si>
    <t>ANKFY1</t>
  </si>
  <si>
    <t>222257_s_at</t>
  </si>
  <si>
    <t>ACE2</t>
  </si>
  <si>
    <t>210744_s_at</t>
  </si>
  <si>
    <t>IL5RA</t>
  </si>
  <si>
    <t>216343_at</t>
  </si>
  <si>
    <t>PCDHGA3</t>
  </si>
  <si>
    <t>206208_at</t>
  </si>
  <si>
    <t>212624_s_at</t>
  </si>
  <si>
    <t>CHN1</t>
  </si>
  <si>
    <t>218259_at</t>
  </si>
  <si>
    <t>MKL2</t>
  </si>
  <si>
    <t>207358_x_at</t>
  </si>
  <si>
    <t>208352_x_at</t>
  </si>
  <si>
    <t>219540_at</t>
  </si>
  <si>
    <t>ZNF267</t>
  </si>
  <si>
    <t>221653_x_at</t>
  </si>
  <si>
    <t>204912_at</t>
  </si>
  <si>
    <t>IL10RA</t>
  </si>
  <si>
    <t>203318_s_at</t>
  </si>
  <si>
    <t>ZNF148</t>
  </si>
  <si>
    <t>219034_at</t>
  </si>
  <si>
    <t>PARP16</t>
  </si>
  <si>
    <t>219414_at</t>
  </si>
  <si>
    <t>CLSTN2</t>
  </si>
  <si>
    <t>201788_at</t>
  </si>
  <si>
    <t>DDX42</t>
  </si>
  <si>
    <t>201148_s_at</t>
  </si>
  <si>
    <t>205623_at</t>
  </si>
  <si>
    <t>ALDH3A1</t>
  </si>
  <si>
    <t>200931_s_at</t>
  </si>
  <si>
    <t>VCL</t>
  </si>
  <si>
    <t>210988_s_at</t>
  </si>
  <si>
    <t>210746_s_at</t>
  </si>
  <si>
    <t>EPB42</t>
  </si>
  <si>
    <t>218585_s_at</t>
  </si>
  <si>
    <t>DTL</t>
  </si>
  <si>
    <t>218987_at</t>
  </si>
  <si>
    <t>214099_s_at</t>
  </si>
  <si>
    <t>203489_at</t>
  </si>
  <si>
    <t>210871_x_at</t>
  </si>
  <si>
    <t>220707_s_at</t>
  </si>
  <si>
    <t>FOXRED2</t>
  </si>
  <si>
    <t>204086_at</t>
  </si>
  <si>
    <t>PRAME</t>
  </si>
  <si>
    <t>207486_x_at</t>
  </si>
  <si>
    <t>215891_s_at</t>
  </si>
  <si>
    <t>212059_s_at</t>
  </si>
  <si>
    <t>TRPC4AP</t>
  </si>
  <si>
    <t>213085_s_at</t>
  </si>
  <si>
    <t>WWC1</t>
  </si>
  <si>
    <t>210079_x_at</t>
  </si>
  <si>
    <t>KCNAB1</t>
  </si>
  <si>
    <t>209139_s_at</t>
  </si>
  <si>
    <t>PRKRA</t>
  </si>
  <si>
    <t>210036_s_at</t>
  </si>
  <si>
    <t>210790_s_at</t>
  </si>
  <si>
    <t>219922_s_at</t>
  </si>
  <si>
    <t>LTBP3</t>
  </si>
  <si>
    <t>91703_at</t>
  </si>
  <si>
    <t>205610_at</t>
  </si>
  <si>
    <t>MYOM1</t>
  </si>
  <si>
    <t>209608_s_at</t>
  </si>
  <si>
    <t>ACAT2</t>
  </si>
  <si>
    <t>205468_s_at</t>
  </si>
  <si>
    <t>209455_at</t>
  </si>
  <si>
    <t>212034_s_at</t>
  </si>
  <si>
    <t>213346_at</t>
  </si>
  <si>
    <t>C13orf27</t>
  </si>
  <si>
    <t>220125_at</t>
  </si>
  <si>
    <t>DNAI1</t>
  </si>
  <si>
    <t>202665_s_at</t>
  </si>
  <si>
    <t>215660_s_at</t>
  </si>
  <si>
    <t>210350_x_at</t>
  </si>
  <si>
    <t>ING1</t>
  </si>
  <si>
    <t>211933_s_at</t>
  </si>
  <si>
    <t>221114_at</t>
  </si>
  <si>
    <t>AMBN</t>
  </si>
  <si>
    <t>200887_s_at</t>
  </si>
  <si>
    <t>206473_at</t>
  </si>
  <si>
    <t>MBTPS2</t>
  </si>
  <si>
    <t>214435_x_at</t>
  </si>
  <si>
    <t>RALA</t>
  </si>
  <si>
    <t>201602_s_at</t>
  </si>
  <si>
    <t>206877_at</t>
  </si>
  <si>
    <t>MXD1</t>
  </si>
  <si>
    <t>206356_s_at</t>
  </si>
  <si>
    <t>GNAL</t>
  </si>
  <si>
    <t>207624_s_at</t>
  </si>
  <si>
    <t>RPGR</t>
  </si>
  <si>
    <t>216215_s_at</t>
  </si>
  <si>
    <t>200012_x_at</t>
  </si>
  <si>
    <t>RPL21</t>
  </si>
  <si>
    <t>201774_s_at</t>
  </si>
  <si>
    <t>NCAPD2</t>
  </si>
  <si>
    <t>209622_at</t>
  </si>
  <si>
    <t>STK16</t>
  </si>
  <si>
    <t>219305_x_at</t>
  </si>
  <si>
    <t>FBXO2</t>
  </si>
  <si>
    <t>218777_at</t>
  </si>
  <si>
    <t>REEP4</t>
  </si>
  <si>
    <t>203226_s_at</t>
  </si>
  <si>
    <t>208650_s_at</t>
  </si>
  <si>
    <t>221428_s_at</t>
  </si>
  <si>
    <t>TBL1XR1</t>
  </si>
  <si>
    <t>218950_at</t>
  </si>
  <si>
    <t>ARAP3</t>
  </si>
  <si>
    <t>221836_s_at</t>
  </si>
  <si>
    <t>217880_at</t>
  </si>
  <si>
    <t>55583_at</t>
  </si>
  <si>
    <t>203979_at</t>
  </si>
  <si>
    <t>CYP27A1</t>
  </si>
  <si>
    <t>204208_at</t>
  </si>
  <si>
    <t>207073_at</t>
  </si>
  <si>
    <t>CDKL2</t>
  </si>
  <si>
    <t>211202_s_at</t>
  </si>
  <si>
    <t>213112_s_at</t>
  </si>
  <si>
    <t>203098_at</t>
  </si>
  <si>
    <t>212734_x_at</t>
  </si>
  <si>
    <t>221907_at</t>
  </si>
  <si>
    <t>219608_s_at</t>
  </si>
  <si>
    <t>FBXO38</t>
  </si>
  <si>
    <t>203806_s_at</t>
  </si>
  <si>
    <t>219699_at</t>
  </si>
  <si>
    <t>LGI2</t>
  </si>
  <si>
    <t>215638_at</t>
  </si>
  <si>
    <t>209980_s_at</t>
  </si>
  <si>
    <t>SHMT1</t>
  </si>
  <si>
    <t>219129_s_at</t>
  </si>
  <si>
    <t>SAP30L</t>
  </si>
  <si>
    <t>212454_x_at</t>
  </si>
  <si>
    <t>220950_s_at</t>
  </si>
  <si>
    <t>KIAA1310</t>
  </si>
  <si>
    <t>204659_s_at</t>
  </si>
  <si>
    <t>GFER</t>
  </si>
  <si>
    <t>220112_at</t>
  </si>
  <si>
    <t>ANKRD55</t>
  </si>
  <si>
    <t>200041_s_at</t>
  </si>
  <si>
    <t>216368_s_at</t>
  </si>
  <si>
    <t>211280_s_at</t>
  </si>
  <si>
    <t>211483_x_at</t>
  </si>
  <si>
    <t>213893_x_at</t>
  </si>
  <si>
    <t>PMS2L5</t>
  </si>
  <si>
    <t>218482_at</t>
  </si>
  <si>
    <t>ENY2</t>
  </si>
  <si>
    <t>206277_at</t>
  </si>
  <si>
    <t>P2RY2</t>
  </si>
  <si>
    <t>213728_at</t>
  </si>
  <si>
    <t>210956_at</t>
  </si>
  <si>
    <t>PPYR1</t>
  </si>
  <si>
    <t>215109_at</t>
  </si>
  <si>
    <t>LOC100288007</t>
  </si>
  <si>
    <t>203095_at</t>
  </si>
  <si>
    <t>MTIF2</t>
  </si>
  <si>
    <t>212072_s_at</t>
  </si>
  <si>
    <t>216708_x_at</t>
  </si>
  <si>
    <t>219762_s_at</t>
  </si>
  <si>
    <t>RPL36</t>
  </si>
  <si>
    <t>203728_at</t>
  </si>
  <si>
    <t>BAK1</t>
  </si>
  <si>
    <t>202788_at</t>
  </si>
  <si>
    <t>MAPKAPK3</t>
  </si>
  <si>
    <t>220642_x_at</t>
  </si>
  <si>
    <t>217973_at</t>
  </si>
  <si>
    <t>DCXR</t>
  </si>
  <si>
    <t>211848_s_at</t>
  </si>
  <si>
    <t>CEACAM7</t>
  </si>
  <si>
    <t>217307_at</t>
  </si>
  <si>
    <t>204272_at</t>
  </si>
  <si>
    <t>LGALS4</t>
  </si>
  <si>
    <t>204277_s_at</t>
  </si>
  <si>
    <t>209636_at</t>
  </si>
  <si>
    <t>218258_at</t>
  </si>
  <si>
    <t>POLR1D</t>
  </si>
  <si>
    <t>221277_s_at</t>
  </si>
  <si>
    <t>PUS3</t>
  </si>
  <si>
    <t>204089_x_at</t>
  </si>
  <si>
    <t>221697_at</t>
  </si>
  <si>
    <t>MAP1LC3C</t>
  </si>
  <si>
    <t>205220_at</t>
  </si>
  <si>
    <t>NIACR2</t>
  </si>
  <si>
    <t>215178_x_at</t>
  </si>
  <si>
    <t>218558_s_at</t>
  </si>
  <si>
    <t>MRPL39</t>
  </si>
  <si>
    <t>203078_at</t>
  </si>
  <si>
    <t>205304_s_at</t>
  </si>
  <si>
    <t>208801_at</t>
  </si>
  <si>
    <t>217143_s_at</t>
  </si>
  <si>
    <t>218223_s_at</t>
  </si>
  <si>
    <t>PLEKHO1</t>
  </si>
  <si>
    <t>218855_at</t>
  </si>
  <si>
    <t>TPRA1</t>
  </si>
  <si>
    <t>219278_at</t>
  </si>
  <si>
    <t>MAP3K6</t>
  </si>
  <si>
    <t>200706_s_at</t>
  </si>
  <si>
    <t>201475_x_at</t>
  </si>
  <si>
    <t>MARS</t>
  </si>
  <si>
    <t>206803_at</t>
  </si>
  <si>
    <t>PDYN</t>
  </si>
  <si>
    <t>211242_x_at</t>
  </si>
  <si>
    <t>KIR2DL4</t>
  </si>
  <si>
    <t>205714_s_at</t>
  </si>
  <si>
    <t>ZMYND10</t>
  </si>
  <si>
    <t>214496_x_at</t>
  </si>
  <si>
    <t>204925_at</t>
  </si>
  <si>
    <t>210155_at</t>
  </si>
  <si>
    <t>MYOC</t>
  </si>
  <si>
    <t>213386_at</t>
  </si>
  <si>
    <t>C9orf125</t>
  </si>
  <si>
    <t>215927_at</t>
  </si>
  <si>
    <t>211068_x_at</t>
  </si>
  <si>
    <t>FAM21C /// FAM21D</t>
  </si>
  <si>
    <t>215670_s_at</t>
  </si>
  <si>
    <t>204555_s_at</t>
  </si>
  <si>
    <t>PPP1R3D</t>
  </si>
  <si>
    <t>211313_s_at</t>
  </si>
  <si>
    <t>212216_at</t>
  </si>
  <si>
    <t>220457_at</t>
  </si>
  <si>
    <t>SAMD4B</t>
  </si>
  <si>
    <t>210177_at</t>
  </si>
  <si>
    <t>213018_at</t>
  </si>
  <si>
    <t>216023_at</t>
  </si>
  <si>
    <t>221286_s_at</t>
  </si>
  <si>
    <t>MGC29506</t>
  </si>
  <si>
    <t>204724_s_at</t>
  </si>
  <si>
    <t>COL9A3</t>
  </si>
  <si>
    <t>205291_at</t>
  </si>
  <si>
    <t>IL2RB</t>
  </si>
  <si>
    <t>211380_s_at</t>
  </si>
  <si>
    <t>PRKG1</t>
  </si>
  <si>
    <t>218898_at</t>
  </si>
  <si>
    <t>FAM57A</t>
  </si>
  <si>
    <t>91684_g_at</t>
  </si>
  <si>
    <t>200612_s_at</t>
  </si>
  <si>
    <t>201124_at</t>
  </si>
  <si>
    <t>205579_at</t>
  </si>
  <si>
    <t>207170_s_at</t>
  </si>
  <si>
    <t>LETMD1</t>
  </si>
  <si>
    <t>208173_at</t>
  </si>
  <si>
    <t>IFNB1</t>
  </si>
  <si>
    <t>208847_s_at</t>
  </si>
  <si>
    <t>209592_s_at</t>
  </si>
  <si>
    <t>213554_s_at</t>
  </si>
  <si>
    <t>CDV3</t>
  </si>
  <si>
    <t>213775_x_at</t>
  </si>
  <si>
    <t>215244_at</t>
  </si>
  <si>
    <t>DGCR5</t>
  </si>
  <si>
    <t>212796_s_at</t>
  </si>
  <si>
    <t>213284_at</t>
  </si>
  <si>
    <t>216873_s_at</t>
  </si>
  <si>
    <t>ATP8B2</t>
  </si>
  <si>
    <t>201879_at</t>
  </si>
  <si>
    <t>206491_s_at</t>
  </si>
  <si>
    <t>NAPA</t>
  </si>
  <si>
    <t>211898_s_at</t>
  </si>
  <si>
    <t>212574_x_at</t>
  </si>
  <si>
    <t>202005_at</t>
  </si>
  <si>
    <t>210042_s_at</t>
  </si>
  <si>
    <t>216680_s_at</t>
  </si>
  <si>
    <t>200029_at</t>
  </si>
  <si>
    <t>RPL19</t>
  </si>
  <si>
    <t>211828_s_at</t>
  </si>
  <si>
    <t>207587_at</t>
  </si>
  <si>
    <t>CRYGA</t>
  </si>
  <si>
    <t>212136_at</t>
  </si>
  <si>
    <t>206929_s_at</t>
  </si>
  <si>
    <t>210523_at</t>
  </si>
  <si>
    <t>BMPR1B</t>
  </si>
  <si>
    <t>210652_s_at</t>
  </si>
  <si>
    <t>215560_x_at</t>
  </si>
  <si>
    <t>MTRF1L</t>
  </si>
  <si>
    <t>211038_s_at</t>
  </si>
  <si>
    <t>CROCCL1</t>
  </si>
  <si>
    <t>204315_s_at</t>
  </si>
  <si>
    <t>202587_s_at</t>
  </si>
  <si>
    <t>215683_at</t>
  </si>
  <si>
    <t>207392_x_at</t>
  </si>
  <si>
    <t>UGT2B15</t>
  </si>
  <si>
    <t>216330_s_at</t>
  </si>
  <si>
    <t>220023_at</t>
  </si>
  <si>
    <t>APOB48R</t>
  </si>
  <si>
    <t>211960_s_at</t>
  </si>
  <si>
    <t>206367_at</t>
  </si>
  <si>
    <t>REN</t>
  </si>
  <si>
    <t>207364_at</t>
  </si>
  <si>
    <t>TEX28</t>
  </si>
  <si>
    <t>217049_x_at</t>
  </si>
  <si>
    <t>PCDH11Y</t>
  </si>
  <si>
    <t>220922_s_at</t>
  </si>
  <si>
    <t>SPANXA1 /// SPANXA2 /// SPANXB1 /// SPANXB2 /// SPANXC /// SPANXF1</t>
  </si>
  <si>
    <t>221793_at</t>
  </si>
  <si>
    <t>210065_s_at</t>
  </si>
  <si>
    <t>UPK1B</t>
  </si>
  <si>
    <t>204996_s_at</t>
  </si>
  <si>
    <t>CDK5R1</t>
  </si>
  <si>
    <t>212763_at</t>
  </si>
  <si>
    <t>CAMSAP1L1</t>
  </si>
  <si>
    <t>219825_at</t>
  </si>
  <si>
    <t>CYP26B1</t>
  </si>
  <si>
    <t>220421_at</t>
  </si>
  <si>
    <t>BTNL8</t>
  </si>
  <si>
    <t>214905_at</t>
  </si>
  <si>
    <t>218142_s_at</t>
  </si>
  <si>
    <t>CRBN</t>
  </si>
  <si>
    <t>222231_s_at</t>
  </si>
  <si>
    <t>LRRC59</t>
  </si>
  <si>
    <t>209944_at</t>
  </si>
  <si>
    <t>ZNF410</t>
  </si>
  <si>
    <t>214717_at</t>
  </si>
  <si>
    <t>DKFZp434H1419</t>
  </si>
  <si>
    <t>202263_at</t>
  </si>
  <si>
    <t>CYB5R1</t>
  </si>
  <si>
    <t>209961_s_at</t>
  </si>
  <si>
    <t>HGF</t>
  </si>
  <si>
    <t>212780_at</t>
  </si>
  <si>
    <t>SOS1</t>
  </si>
  <si>
    <t>213007_at</t>
  </si>
  <si>
    <t>218365_s_at</t>
  </si>
  <si>
    <t>DARS2</t>
  </si>
  <si>
    <t>205723_at</t>
  </si>
  <si>
    <t>CNTFR</t>
  </si>
  <si>
    <t>208493_at</t>
  </si>
  <si>
    <t>210396_s_at</t>
  </si>
  <si>
    <t>BOLA2 /// LOC440354 /// LOC595101</t>
  </si>
  <si>
    <t>220134_x_at</t>
  </si>
  <si>
    <t>FAM176B</t>
  </si>
  <si>
    <t>217754_at</t>
  </si>
  <si>
    <t>DDX56</t>
  </si>
  <si>
    <t>202067_s_at</t>
  </si>
  <si>
    <t>204146_at</t>
  </si>
  <si>
    <t>RAD51AP1</t>
  </si>
  <si>
    <t>207693_at</t>
  </si>
  <si>
    <t>CACNB4</t>
  </si>
  <si>
    <t>210510_s_at</t>
  </si>
  <si>
    <t>NRP1</t>
  </si>
  <si>
    <t>202572_s_at</t>
  </si>
  <si>
    <t>200751_s_at</t>
  </si>
  <si>
    <t>203499_at</t>
  </si>
  <si>
    <t>EPHA2</t>
  </si>
  <si>
    <t>203558_at</t>
  </si>
  <si>
    <t>209284_s_at</t>
  </si>
  <si>
    <t>213128_s_at</t>
  </si>
  <si>
    <t>214327_x_at</t>
  </si>
  <si>
    <t>221394_at</t>
  </si>
  <si>
    <t>TAAR2</t>
  </si>
  <si>
    <t>218015_s_at</t>
  </si>
  <si>
    <t>WRNIP1</t>
  </si>
  <si>
    <t>217940_s_at</t>
  </si>
  <si>
    <t>CARKD</t>
  </si>
  <si>
    <t>205730_s_at</t>
  </si>
  <si>
    <t>ABLIM3</t>
  </si>
  <si>
    <t>201167_x_at</t>
  </si>
  <si>
    <t>ARHGDIA</t>
  </si>
  <si>
    <t>201227_s_at</t>
  </si>
  <si>
    <t>219221_at</t>
  </si>
  <si>
    <t>ZBTB38</t>
  </si>
  <si>
    <t>219917_at</t>
  </si>
  <si>
    <t>ZCCHC4</t>
  </si>
  <si>
    <t>220433_at</t>
  </si>
  <si>
    <t>PRRG3</t>
  </si>
  <si>
    <t>220640_at</t>
  </si>
  <si>
    <t>CSNK1G1</t>
  </si>
  <si>
    <t>200822_x_at</t>
  </si>
  <si>
    <t>TPI1</t>
  </si>
  <si>
    <t>217466_x_at</t>
  </si>
  <si>
    <t>209932_s_at</t>
  </si>
  <si>
    <t>205926_at</t>
  </si>
  <si>
    <t>217815_at</t>
  </si>
  <si>
    <t>SUPT16H</t>
  </si>
  <si>
    <t>200013_at</t>
  </si>
  <si>
    <t>RPL24</t>
  </si>
  <si>
    <t>201942_s_at</t>
  </si>
  <si>
    <t>218816_at</t>
  </si>
  <si>
    <t>LRRC1</t>
  </si>
  <si>
    <t>37860_at</t>
  </si>
  <si>
    <t>ZNF337</t>
  </si>
  <si>
    <t>210673_x_at</t>
  </si>
  <si>
    <t>NKX2-1</t>
  </si>
  <si>
    <t>200854_at</t>
  </si>
  <si>
    <t>205965_at</t>
  </si>
  <si>
    <t>BATF</t>
  </si>
  <si>
    <t>215343_at</t>
  </si>
  <si>
    <t>CCDC88C</t>
  </si>
  <si>
    <t>221822_at</t>
  </si>
  <si>
    <t>201024_x_at</t>
  </si>
  <si>
    <t>207111_at</t>
  </si>
  <si>
    <t>EMR1</t>
  </si>
  <si>
    <t>208403_x_at</t>
  </si>
  <si>
    <t>211560_s_at</t>
  </si>
  <si>
    <t>ALAS2</t>
  </si>
  <si>
    <t>216017_s_at</t>
  </si>
  <si>
    <t>219641_at</t>
  </si>
  <si>
    <t>DET1</t>
  </si>
  <si>
    <t>215792_s_at</t>
  </si>
  <si>
    <t>DNAJC11</t>
  </si>
  <si>
    <t>216963_s_at</t>
  </si>
  <si>
    <t>GAP43</t>
  </si>
  <si>
    <t>215505_s_at</t>
  </si>
  <si>
    <t>221090_s_at</t>
  </si>
  <si>
    <t>OGFOD1</t>
  </si>
  <si>
    <t>221815_at</t>
  </si>
  <si>
    <t>221413_at</t>
  </si>
  <si>
    <t>KCNAB3</t>
  </si>
  <si>
    <t>203983_at</t>
  </si>
  <si>
    <t>TSNAX</t>
  </si>
  <si>
    <t>213011_s_at</t>
  </si>
  <si>
    <t>201314_at</t>
  </si>
  <si>
    <t>STK25</t>
  </si>
  <si>
    <t>212211_at</t>
  </si>
  <si>
    <t>ANKRD17</t>
  </si>
  <si>
    <t>220838_at</t>
  </si>
  <si>
    <t>EXD3</t>
  </si>
  <si>
    <t>211841_s_at</t>
  </si>
  <si>
    <t>215487_x_at</t>
  </si>
  <si>
    <t>FAM182B</t>
  </si>
  <si>
    <t>207700_s_at</t>
  </si>
  <si>
    <t>209106_at</t>
  </si>
  <si>
    <t>203605_at</t>
  </si>
  <si>
    <t>SRP54</t>
  </si>
  <si>
    <t>214578_s_at</t>
  </si>
  <si>
    <t>201904_s_at</t>
  </si>
  <si>
    <t>207605_x_at</t>
  </si>
  <si>
    <t>ZNF117</t>
  </si>
  <si>
    <t>209380_s_at</t>
  </si>
  <si>
    <t>ABCC5</t>
  </si>
  <si>
    <t>203787_at</t>
  </si>
  <si>
    <t>222074_at</t>
  </si>
  <si>
    <t>UROD</t>
  </si>
  <si>
    <t>214992_s_at</t>
  </si>
  <si>
    <t>208316_s_at</t>
  </si>
  <si>
    <t>201079_at</t>
  </si>
  <si>
    <t>SYNGR2</t>
  </si>
  <si>
    <t>220367_s_at</t>
  </si>
  <si>
    <t>SAP130</t>
  </si>
  <si>
    <t>200710_at</t>
  </si>
  <si>
    <t>ACADVL</t>
  </si>
  <si>
    <t>37152_at</t>
  </si>
  <si>
    <t>206873_at</t>
  </si>
  <si>
    <t>CA6</t>
  </si>
  <si>
    <t>207643_s_at</t>
  </si>
  <si>
    <t>TNFRSF1A</t>
  </si>
  <si>
    <t>213020_at</t>
  </si>
  <si>
    <t>GOSR1</t>
  </si>
  <si>
    <t>207049_at</t>
  </si>
  <si>
    <t>SCN8A</t>
  </si>
  <si>
    <t>200598_s_at</t>
  </si>
  <si>
    <t>210505_at</t>
  </si>
  <si>
    <t>ADH7</t>
  </si>
  <si>
    <t>203043_at</t>
  </si>
  <si>
    <t>ZBED1</t>
  </si>
  <si>
    <t>218509_at</t>
  </si>
  <si>
    <t>204442_x_at</t>
  </si>
  <si>
    <t>221069_s_at</t>
  </si>
  <si>
    <t>TACO1</t>
  </si>
  <si>
    <t>218194_at</t>
  </si>
  <si>
    <t>REXO2</t>
  </si>
  <si>
    <t>202892_at</t>
  </si>
  <si>
    <t>CDC23</t>
  </si>
  <si>
    <t>214802_at</t>
  </si>
  <si>
    <t>203755_at</t>
  </si>
  <si>
    <t>BUB1B</t>
  </si>
  <si>
    <t>211233_x_at</t>
  </si>
  <si>
    <t>204092_s_at</t>
  </si>
  <si>
    <t>212902_at</t>
  </si>
  <si>
    <t>213369_at</t>
  </si>
  <si>
    <t>PCDH21</t>
  </si>
  <si>
    <t>215447_at</t>
  </si>
  <si>
    <t>208266_at</t>
  </si>
  <si>
    <t>C8orf17</t>
  </si>
  <si>
    <t>213960_at</t>
  </si>
  <si>
    <t>217441_at</t>
  </si>
  <si>
    <t>213569_at</t>
  </si>
  <si>
    <t>205686_s_at</t>
  </si>
  <si>
    <t>221308_at</t>
  </si>
  <si>
    <t>FRS2</t>
  </si>
  <si>
    <t>209055_s_at</t>
  </si>
  <si>
    <t>201779_s_at</t>
  </si>
  <si>
    <t>219669_at</t>
  </si>
  <si>
    <t>CD177</t>
  </si>
  <si>
    <t>220798_x_at</t>
  </si>
  <si>
    <t>207946_at</t>
  </si>
  <si>
    <t>MAML3</t>
  </si>
  <si>
    <t>204198_s_at</t>
  </si>
  <si>
    <t>219708_at</t>
  </si>
  <si>
    <t>NT5M</t>
  </si>
  <si>
    <t>91617_at</t>
  </si>
  <si>
    <t>204328_at</t>
  </si>
  <si>
    <t>212707_s_at</t>
  </si>
  <si>
    <t>LOC100132214 /// RASA4 /// RASA4B /// RASA4P</t>
  </si>
  <si>
    <t>207999_s_at</t>
  </si>
  <si>
    <t>200707_at</t>
  </si>
  <si>
    <t>203381_s_at</t>
  </si>
  <si>
    <t>APOE</t>
  </si>
  <si>
    <t>201631_s_at</t>
  </si>
  <si>
    <t>IER3</t>
  </si>
  <si>
    <t>201961_s_at</t>
  </si>
  <si>
    <t>202124_s_at</t>
  </si>
  <si>
    <t>202270_at</t>
  </si>
  <si>
    <t>GBP1</t>
  </si>
  <si>
    <t>203036_s_at</t>
  </si>
  <si>
    <t>208210_at</t>
  </si>
  <si>
    <t>MAS1</t>
  </si>
  <si>
    <t>211542_x_at</t>
  </si>
  <si>
    <t>207840_at</t>
  </si>
  <si>
    <t>CD160</t>
  </si>
  <si>
    <t>209840_s_at</t>
  </si>
  <si>
    <t>LRRN3</t>
  </si>
  <si>
    <t>217745_s_at</t>
  </si>
  <si>
    <t>NAT13</t>
  </si>
  <si>
    <t>207380_x_at</t>
  </si>
  <si>
    <t>218132_s_at</t>
  </si>
  <si>
    <t>TSEN34</t>
  </si>
  <si>
    <t>219242_at</t>
  </si>
  <si>
    <t>CEP63</t>
  </si>
  <si>
    <t>207460_at</t>
  </si>
  <si>
    <t>GZMM</t>
  </si>
  <si>
    <t>214070_s_at</t>
  </si>
  <si>
    <t>ATP10B</t>
  </si>
  <si>
    <t>220763_at</t>
  </si>
  <si>
    <t>HSPA12A</t>
  </si>
  <si>
    <t>49679_s_at</t>
  </si>
  <si>
    <t>203797_at</t>
  </si>
  <si>
    <t>VSNL1</t>
  </si>
  <si>
    <t>210733_at</t>
  </si>
  <si>
    <t>218033_s_at</t>
  </si>
  <si>
    <t>SNN</t>
  </si>
  <si>
    <t>201120_s_at</t>
  </si>
  <si>
    <t>207980_s_at</t>
  </si>
  <si>
    <t>209876_at</t>
  </si>
  <si>
    <t>202621_at</t>
  </si>
  <si>
    <t>IRF3</t>
  </si>
  <si>
    <t>203661_s_at</t>
  </si>
  <si>
    <t>204541_at</t>
  </si>
  <si>
    <t>SEC14L2</t>
  </si>
  <si>
    <t>216036_x_at</t>
  </si>
  <si>
    <t>220399_at</t>
  </si>
  <si>
    <t>NCRNA00115</t>
  </si>
  <si>
    <t>220461_at</t>
  </si>
  <si>
    <t>64486_at</t>
  </si>
  <si>
    <t>CORO1B</t>
  </si>
  <si>
    <t>200713_s_at</t>
  </si>
  <si>
    <t>206523_at</t>
  </si>
  <si>
    <t>CYTH3</t>
  </si>
  <si>
    <t>220207_at</t>
  </si>
  <si>
    <t>YIF1B</t>
  </si>
  <si>
    <t>203917_at</t>
  </si>
  <si>
    <t>CXADR</t>
  </si>
  <si>
    <t>219512_at</t>
  </si>
  <si>
    <t>DSN1</t>
  </si>
  <si>
    <t>221562_s_at</t>
  </si>
  <si>
    <t>206554_x_at</t>
  </si>
  <si>
    <t>SETMAR</t>
  </si>
  <si>
    <t>216217_at</t>
  </si>
  <si>
    <t>209225_x_at</t>
  </si>
  <si>
    <t>210798_x_at</t>
  </si>
  <si>
    <t>207845_s_at</t>
  </si>
  <si>
    <t>ANAPC10</t>
  </si>
  <si>
    <t>217476_at</t>
  </si>
  <si>
    <t>209774_x_at</t>
  </si>
  <si>
    <t>CXCL2</t>
  </si>
  <si>
    <t>213099_at</t>
  </si>
  <si>
    <t>214486_x_at</t>
  </si>
  <si>
    <t>218938_at</t>
  </si>
  <si>
    <t>FBXL15</t>
  </si>
  <si>
    <t>210844_x_at</t>
  </si>
  <si>
    <t>212480_at</t>
  </si>
  <si>
    <t>CYTSA</t>
  </si>
  <si>
    <t>200909_s_at</t>
  </si>
  <si>
    <t>203449_s_at</t>
  </si>
  <si>
    <t>206010_at</t>
  </si>
  <si>
    <t>HABP2</t>
  </si>
  <si>
    <t>206919_at</t>
  </si>
  <si>
    <t>204756_at</t>
  </si>
  <si>
    <t>MAP2K5</t>
  </si>
  <si>
    <t>202927_at</t>
  </si>
  <si>
    <t>PIN1</t>
  </si>
  <si>
    <t>209820_s_at</t>
  </si>
  <si>
    <t>TBL3</t>
  </si>
  <si>
    <t>217992_s_at</t>
  </si>
  <si>
    <t>EFHD2</t>
  </si>
  <si>
    <t>203110_at</t>
  </si>
  <si>
    <t>201544_x_at</t>
  </si>
  <si>
    <t>211685_s_at</t>
  </si>
  <si>
    <t>NCALD</t>
  </si>
  <si>
    <t>221750_at</t>
  </si>
  <si>
    <t>HMGCS1</t>
  </si>
  <si>
    <t>205059_s_at</t>
  </si>
  <si>
    <t>221303_at</t>
  </si>
  <si>
    <t>PCDHB1</t>
  </si>
  <si>
    <t>210827_s_at</t>
  </si>
  <si>
    <t>ELF3</t>
  </si>
  <si>
    <t>205595_at</t>
  </si>
  <si>
    <t>DSG3</t>
  </si>
  <si>
    <t>219794_at</t>
  </si>
  <si>
    <t>201809_s_at</t>
  </si>
  <si>
    <t>ENG</t>
  </si>
  <si>
    <t>210248_at</t>
  </si>
  <si>
    <t>WNT7A</t>
  </si>
  <si>
    <t>214575_s_at</t>
  </si>
  <si>
    <t>AZU1</t>
  </si>
  <si>
    <t>208219_at</t>
  </si>
  <si>
    <t>220381_at</t>
  </si>
  <si>
    <t>ARHGAP28</t>
  </si>
  <si>
    <t>209668_x_at</t>
  </si>
  <si>
    <t>201808_s_at</t>
  </si>
  <si>
    <t>207608_x_at</t>
  </si>
  <si>
    <t>CYP1A2</t>
  </si>
  <si>
    <t>208077_at</t>
  </si>
  <si>
    <t>C9orf38</t>
  </si>
  <si>
    <t>218062_x_at</t>
  </si>
  <si>
    <t>201637_s_at</t>
  </si>
  <si>
    <t>211085_s_at</t>
  </si>
  <si>
    <t>212544_at</t>
  </si>
  <si>
    <t>ZNHIT3</t>
  </si>
  <si>
    <t>208577_at</t>
  </si>
  <si>
    <t>HIST1H3C</t>
  </si>
  <si>
    <t>214885_at</t>
  </si>
  <si>
    <t>MYST1</t>
  </si>
  <si>
    <t>208853_s_at</t>
  </si>
  <si>
    <t>208844_at</t>
  </si>
  <si>
    <t>222018_at</t>
  </si>
  <si>
    <t>NACA /// NACAP1</t>
  </si>
  <si>
    <t>200972_at</t>
  </si>
  <si>
    <t>TSPAN3</t>
  </si>
  <si>
    <t>203969_at</t>
  </si>
  <si>
    <t>200715_x_at</t>
  </si>
  <si>
    <t>RPL13A</t>
  </si>
  <si>
    <t>1316_at</t>
  </si>
  <si>
    <t>205170_at</t>
  </si>
  <si>
    <t>218818_at</t>
  </si>
  <si>
    <t>FHL3</t>
  </si>
  <si>
    <t>201088_at</t>
  </si>
  <si>
    <t>203937_s_at</t>
  </si>
  <si>
    <t>213950_s_at</t>
  </si>
  <si>
    <t>216582_at</t>
  </si>
  <si>
    <t>POM121L2</t>
  </si>
  <si>
    <t>210093_s_at</t>
  </si>
  <si>
    <t>200814_at</t>
  </si>
  <si>
    <t>PSME1</t>
  </si>
  <si>
    <t>208838_at</t>
  </si>
  <si>
    <t>205024_s_at</t>
  </si>
  <si>
    <t>RAD51</t>
  </si>
  <si>
    <t>208353_x_at</t>
  </si>
  <si>
    <t>201527_at</t>
  </si>
  <si>
    <t>ATP6V1F</t>
  </si>
  <si>
    <t>214608_s_at</t>
  </si>
  <si>
    <t>EYA1</t>
  </si>
  <si>
    <t>217720_at</t>
  </si>
  <si>
    <t>CHCHD2</t>
  </si>
  <si>
    <t>201176_s_at</t>
  </si>
  <si>
    <t>ARCN1</t>
  </si>
  <si>
    <t>213733_at</t>
  </si>
  <si>
    <t>MYO1F</t>
  </si>
  <si>
    <t>202445_s_at</t>
  </si>
  <si>
    <t>210536_s_at</t>
  </si>
  <si>
    <t>SPAM1</t>
  </si>
  <si>
    <t>205689_at</t>
  </si>
  <si>
    <t>212509_s_at</t>
  </si>
  <si>
    <t>MXRA7</t>
  </si>
  <si>
    <t>216024_at</t>
  </si>
  <si>
    <t>DNM2</t>
  </si>
  <si>
    <t>218471_s_at</t>
  </si>
  <si>
    <t>BBS1</t>
  </si>
  <si>
    <t>217851_s_at</t>
  </si>
  <si>
    <t>SLMO2</t>
  </si>
  <si>
    <t>208391_s_at</t>
  </si>
  <si>
    <t>208971_at</t>
  </si>
  <si>
    <t>208215_x_at</t>
  </si>
  <si>
    <t>DRD4</t>
  </si>
  <si>
    <t>203341_at</t>
  </si>
  <si>
    <t>CEBPZ</t>
  </si>
  <si>
    <t>220040_x_at</t>
  </si>
  <si>
    <t>ZC4H2</t>
  </si>
  <si>
    <t>212654_at</t>
  </si>
  <si>
    <t>218492_s_at</t>
  </si>
  <si>
    <t>THAP7</t>
  </si>
  <si>
    <t>205190_at</t>
  </si>
  <si>
    <t>PLS1</t>
  </si>
  <si>
    <t>205704_s_at</t>
  </si>
  <si>
    <t>ATP6V0A2</t>
  </si>
  <si>
    <t>213827_at</t>
  </si>
  <si>
    <t>221035_s_at</t>
  </si>
  <si>
    <t>TEX14</t>
  </si>
  <si>
    <t>202710_at</t>
  </si>
  <si>
    <t>BET1</t>
  </si>
  <si>
    <t>211672_s_at</t>
  </si>
  <si>
    <t>221023_s_at</t>
  </si>
  <si>
    <t>KCNH6</t>
  </si>
  <si>
    <t>213004_at</t>
  </si>
  <si>
    <t>219507_at</t>
  </si>
  <si>
    <t>RSRC1</t>
  </si>
  <si>
    <t>220498_at</t>
  </si>
  <si>
    <t>ACTL7B</t>
  </si>
  <si>
    <t>221900_at</t>
  </si>
  <si>
    <t>221572_s_at</t>
  </si>
  <si>
    <t>SLC26A6</t>
  </si>
  <si>
    <t>201727_s_at</t>
  </si>
  <si>
    <t>208769_at</t>
  </si>
  <si>
    <t>217378_x_at</t>
  </si>
  <si>
    <t>LOC100130100 /// LOC100291464</t>
  </si>
  <si>
    <t>57516_at</t>
  </si>
  <si>
    <t>204653_at</t>
  </si>
  <si>
    <t>TFAP2A</t>
  </si>
  <si>
    <t>219025_at</t>
  </si>
  <si>
    <t>CD248</t>
  </si>
  <si>
    <t>215019_x_at</t>
  </si>
  <si>
    <t>ZNF528</t>
  </si>
  <si>
    <t>215097_at</t>
  </si>
  <si>
    <t>202185_at</t>
  </si>
  <si>
    <t>PLOD3</t>
  </si>
  <si>
    <t>212726_at</t>
  </si>
  <si>
    <t>PHF2</t>
  </si>
  <si>
    <t>221489_s_at</t>
  </si>
  <si>
    <t>SPRY4</t>
  </si>
  <si>
    <t>206954_at</t>
  </si>
  <si>
    <t>WIT1</t>
  </si>
  <si>
    <t>216341_s_at</t>
  </si>
  <si>
    <t>GNRHR</t>
  </si>
  <si>
    <t>220073_s_at</t>
  </si>
  <si>
    <t>PLEKHG6</t>
  </si>
  <si>
    <t>207695_s_at</t>
  </si>
  <si>
    <t>IGSF1</t>
  </si>
  <si>
    <t>204678_s_at</t>
  </si>
  <si>
    <t>KCNK1</t>
  </si>
  <si>
    <t>207373_at</t>
  </si>
  <si>
    <t>HOXD10</t>
  </si>
  <si>
    <t>212752_at</t>
  </si>
  <si>
    <t>CLASP1</t>
  </si>
  <si>
    <t>217913_at</t>
  </si>
  <si>
    <t>VPS4A</t>
  </si>
  <si>
    <t>202407_s_at</t>
  </si>
  <si>
    <t>207955_at</t>
  </si>
  <si>
    <t>CCL27</t>
  </si>
  <si>
    <t>217187_at</t>
  </si>
  <si>
    <t>207459_x_at</t>
  </si>
  <si>
    <t>219676_at</t>
  </si>
  <si>
    <t>ZSCAN16</t>
  </si>
  <si>
    <t>221097_s_at</t>
  </si>
  <si>
    <t>KCNMB2</t>
  </si>
  <si>
    <t>203281_s_at</t>
  </si>
  <si>
    <t>204744_s_at</t>
  </si>
  <si>
    <t>IARS</t>
  </si>
  <si>
    <t>208826_x_at</t>
  </si>
  <si>
    <t>209127_s_at</t>
  </si>
  <si>
    <t>213078_x_at</t>
  </si>
  <si>
    <t>213583_x_at</t>
  </si>
  <si>
    <t>EEF1A1 /// EEF1AL7 /// LOC645715</t>
  </si>
  <si>
    <t>214242_at</t>
  </si>
  <si>
    <t>MAN1A2</t>
  </si>
  <si>
    <t>217959_s_at</t>
  </si>
  <si>
    <t>218377_s_at</t>
  </si>
  <si>
    <t>RWDD2B</t>
  </si>
  <si>
    <t>218975_at</t>
  </si>
  <si>
    <t>201078_at</t>
  </si>
  <si>
    <t>TM9SF2</t>
  </si>
  <si>
    <t>221381_s_at</t>
  </si>
  <si>
    <t>MORF4 /// MORF4L1</t>
  </si>
  <si>
    <t>219344_at</t>
  </si>
  <si>
    <t>SLC29A3</t>
  </si>
  <si>
    <t>207059_at</t>
  </si>
  <si>
    <t>PAX9</t>
  </si>
  <si>
    <t>202908_at</t>
  </si>
  <si>
    <t>WFS1</t>
  </si>
  <si>
    <t>220591_s_at</t>
  </si>
  <si>
    <t>EFHC2</t>
  </si>
  <si>
    <t>203623_at</t>
  </si>
  <si>
    <t>PLXNA3</t>
  </si>
  <si>
    <t>209797_at</t>
  </si>
  <si>
    <t>216106_at</t>
  </si>
  <si>
    <t>LOC145678</t>
  </si>
  <si>
    <t>207336_at</t>
  </si>
  <si>
    <t>SOX5</t>
  </si>
  <si>
    <t>211030_s_at</t>
  </si>
  <si>
    <t>201766_at</t>
  </si>
  <si>
    <t>ELAC2</t>
  </si>
  <si>
    <t>201795_at</t>
  </si>
  <si>
    <t>LBR</t>
  </si>
  <si>
    <t>212795_at</t>
  </si>
  <si>
    <t>202107_s_at</t>
  </si>
  <si>
    <t>MCM2</t>
  </si>
  <si>
    <t>205230_at</t>
  </si>
  <si>
    <t>RPH3A</t>
  </si>
  <si>
    <t>212472_at</t>
  </si>
  <si>
    <t>MICAL2</t>
  </si>
  <si>
    <t>218819_at</t>
  </si>
  <si>
    <t>INTS6</t>
  </si>
  <si>
    <t>221112_at</t>
  </si>
  <si>
    <t>IL1RAPL2</t>
  </si>
  <si>
    <t>40465_at</t>
  </si>
  <si>
    <t>221054_s_at</t>
  </si>
  <si>
    <t>205478_at</t>
  </si>
  <si>
    <t>PPP1R1A</t>
  </si>
  <si>
    <t>219588_s_at</t>
  </si>
  <si>
    <t>NCAPG2</t>
  </si>
  <si>
    <t>212781_at</t>
  </si>
  <si>
    <t>214806_at</t>
  </si>
  <si>
    <t>216221_s_at</t>
  </si>
  <si>
    <t>61734_at</t>
  </si>
  <si>
    <t>218371_s_at</t>
  </si>
  <si>
    <t>PSPC1</t>
  </si>
  <si>
    <t>201101_s_at</t>
  </si>
  <si>
    <t>BCLAF1</t>
  </si>
  <si>
    <t>221224_s_at</t>
  </si>
  <si>
    <t>DCAKD</t>
  </si>
  <si>
    <t>201373_at</t>
  </si>
  <si>
    <t>PLEC1</t>
  </si>
  <si>
    <t>221374_at</t>
  </si>
  <si>
    <t>FGF16</t>
  </si>
  <si>
    <t>204716_at</t>
  </si>
  <si>
    <t>CCDC6</t>
  </si>
  <si>
    <t>209008_x_at</t>
  </si>
  <si>
    <t>KRT8</t>
  </si>
  <si>
    <t>201208_s_at</t>
  </si>
  <si>
    <t>203530_s_at</t>
  </si>
  <si>
    <t>STX4</t>
  </si>
  <si>
    <t>218835_at</t>
  </si>
  <si>
    <t>SFTPA2</t>
  </si>
  <si>
    <t>49329_at</t>
  </si>
  <si>
    <t>KLHL22</t>
  </si>
  <si>
    <t>201026_at</t>
  </si>
  <si>
    <t>208177_at</t>
  </si>
  <si>
    <t>SLC34A1</t>
  </si>
  <si>
    <t>219542_at</t>
  </si>
  <si>
    <t>NEK11</t>
  </si>
  <si>
    <t>202268_s_at</t>
  </si>
  <si>
    <t>NAE1</t>
  </si>
  <si>
    <t>209715_at</t>
  </si>
  <si>
    <t>202142_at</t>
  </si>
  <si>
    <t>COPS8</t>
  </si>
  <si>
    <t>220003_at</t>
  </si>
  <si>
    <t>LRRC36</t>
  </si>
  <si>
    <t>220645_at</t>
  </si>
  <si>
    <t>FAM55D</t>
  </si>
  <si>
    <t>212410_at</t>
  </si>
  <si>
    <t>EFHA1</t>
  </si>
  <si>
    <t>213978_at</t>
  </si>
  <si>
    <t>MTSS1L</t>
  </si>
  <si>
    <t>221314_at</t>
  </si>
  <si>
    <t>GDF9</t>
  </si>
  <si>
    <t>209107_x_at</t>
  </si>
  <si>
    <t>202739_s_at</t>
  </si>
  <si>
    <t>PHKB</t>
  </si>
  <si>
    <t>202902_s_at</t>
  </si>
  <si>
    <t>203161_s_at</t>
  </si>
  <si>
    <t>215669_at</t>
  </si>
  <si>
    <t>206170_at</t>
  </si>
  <si>
    <t>ADRB2</t>
  </si>
  <si>
    <t>205162_at</t>
  </si>
  <si>
    <t>ERCC8</t>
  </si>
  <si>
    <t>213047_x_at</t>
  </si>
  <si>
    <t>212123_at</t>
  </si>
  <si>
    <t>208839_s_at</t>
  </si>
  <si>
    <t>39582_at</t>
  </si>
  <si>
    <t>203804_s_at</t>
  </si>
  <si>
    <t>LUC7L3</t>
  </si>
  <si>
    <t>212537_x_at</t>
  </si>
  <si>
    <t>212543_at</t>
  </si>
  <si>
    <t>AIM1</t>
  </si>
  <si>
    <t>202083_s_at</t>
  </si>
  <si>
    <t>203871_at</t>
  </si>
  <si>
    <t>207718_x_at</t>
  </si>
  <si>
    <t>CYP2A7</t>
  </si>
  <si>
    <t>207542_s_at</t>
  </si>
  <si>
    <t>213338_at</t>
  </si>
  <si>
    <t>TMEM158</t>
  </si>
  <si>
    <t>216003_at</t>
  </si>
  <si>
    <t>COX10</t>
  </si>
  <si>
    <t>219259_at</t>
  </si>
  <si>
    <t>SEMA4A</t>
  </si>
  <si>
    <t>208000_at</t>
  </si>
  <si>
    <t>GML</t>
  </si>
  <si>
    <t>206703_at</t>
  </si>
  <si>
    <t>CHRNB1</t>
  </si>
  <si>
    <t>204680_s_at</t>
  </si>
  <si>
    <t>210143_at</t>
  </si>
  <si>
    <t>ANXA10</t>
  </si>
  <si>
    <t>206252_s_at</t>
  </si>
  <si>
    <t>AVPR1A</t>
  </si>
  <si>
    <t>209523_at</t>
  </si>
  <si>
    <t>TAF2</t>
  </si>
  <si>
    <t>209553_at</t>
  </si>
  <si>
    <t>VPS8</t>
  </si>
  <si>
    <t>221767_x_at</t>
  </si>
  <si>
    <t>218044_x_at</t>
  </si>
  <si>
    <t>210090_at</t>
  </si>
  <si>
    <t>ARC</t>
  </si>
  <si>
    <t>202539_s_at</t>
  </si>
  <si>
    <t>221974_at</t>
  </si>
  <si>
    <t>IPW</t>
  </si>
  <si>
    <t>206249_at</t>
  </si>
  <si>
    <t>MAP3K13</t>
  </si>
  <si>
    <t>212258_s_at</t>
  </si>
  <si>
    <t>218037_at</t>
  </si>
  <si>
    <t>320_at</t>
  </si>
  <si>
    <t>PEX6</t>
  </si>
  <si>
    <t>44669_at</t>
  </si>
  <si>
    <t>212975_at</t>
  </si>
  <si>
    <t>203169_at</t>
  </si>
  <si>
    <t>RGP1</t>
  </si>
  <si>
    <t>204567_s_at</t>
  </si>
  <si>
    <t>206592_s_at</t>
  </si>
  <si>
    <t>AP3D1</t>
  </si>
  <si>
    <t>208070_s_at</t>
  </si>
  <si>
    <t>REV3L</t>
  </si>
  <si>
    <t>218753_at</t>
  </si>
  <si>
    <t>XKR8</t>
  </si>
  <si>
    <t>204957_at</t>
  </si>
  <si>
    <t>ORC5L</t>
  </si>
  <si>
    <t>53076_at</t>
  </si>
  <si>
    <t>B4GALT7</t>
  </si>
  <si>
    <t>203730_s_at</t>
  </si>
  <si>
    <t>ZKSCAN5</t>
  </si>
  <si>
    <t>207795_s_at</t>
  </si>
  <si>
    <t>209867_s_at</t>
  </si>
  <si>
    <t>212355_at</t>
  </si>
  <si>
    <t>KIAA0323</t>
  </si>
  <si>
    <t>213036_x_at</t>
  </si>
  <si>
    <t>212373_at</t>
  </si>
  <si>
    <t>219769_at</t>
  </si>
  <si>
    <t>INCENP</t>
  </si>
  <si>
    <t>200694_s_at</t>
  </si>
  <si>
    <t>DDX24</t>
  </si>
  <si>
    <t>211481_at</t>
  </si>
  <si>
    <t>SLCO1A2</t>
  </si>
  <si>
    <t>211889_x_at</t>
  </si>
  <si>
    <t>37278_at</t>
  </si>
  <si>
    <t>TAZ</t>
  </si>
  <si>
    <t>205012_s_at</t>
  </si>
  <si>
    <t>HAGH</t>
  </si>
  <si>
    <t>202340_x_at</t>
  </si>
  <si>
    <t>219678_x_at</t>
  </si>
  <si>
    <t>DCLRE1C</t>
  </si>
  <si>
    <t>218027_at</t>
  </si>
  <si>
    <t>MRPL15</t>
  </si>
  <si>
    <t>201151_s_at</t>
  </si>
  <si>
    <t>214426_x_at</t>
  </si>
  <si>
    <t>201150_s_at</t>
  </si>
  <si>
    <t>222269_at</t>
  </si>
  <si>
    <t>212066_s_at</t>
  </si>
  <si>
    <t>218941_at</t>
  </si>
  <si>
    <t>219433_at</t>
  </si>
  <si>
    <t>BCOR</t>
  </si>
  <si>
    <t>220988_s_at</t>
  </si>
  <si>
    <t>AMACR /// C1QTNF3</t>
  </si>
  <si>
    <t>201907_x_at</t>
  </si>
  <si>
    <t>DVL3</t>
  </si>
  <si>
    <t>202875_s_at</t>
  </si>
  <si>
    <t>205137_x_at</t>
  </si>
  <si>
    <t>215156_at</t>
  </si>
  <si>
    <t>215624_at</t>
  </si>
  <si>
    <t>TSC2</t>
  </si>
  <si>
    <t>213931_at</t>
  </si>
  <si>
    <t>ID2 /// ID2B</t>
  </si>
  <si>
    <t>219478_at</t>
  </si>
  <si>
    <t>WFDC1</t>
  </si>
  <si>
    <t>211469_s_at</t>
  </si>
  <si>
    <t>CXCR6</t>
  </si>
  <si>
    <t>200968_s_at</t>
  </si>
  <si>
    <t>201410_at</t>
  </si>
  <si>
    <t>202511_s_at</t>
  </si>
  <si>
    <t>202898_at</t>
  </si>
  <si>
    <t>SDC3</t>
  </si>
  <si>
    <t>203540_at</t>
  </si>
  <si>
    <t>GFAP</t>
  </si>
  <si>
    <t>204358_s_at</t>
  </si>
  <si>
    <t>FLRT2</t>
  </si>
  <si>
    <t>204528_s_at</t>
  </si>
  <si>
    <t>206314_at</t>
  </si>
  <si>
    <t>ZNF167</t>
  </si>
  <si>
    <t>206760_s_at</t>
  </si>
  <si>
    <t>FCER2</t>
  </si>
  <si>
    <t>210005_at</t>
  </si>
  <si>
    <t>212441_at</t>
  </si>
  <si>
    <t>KIAA0232</t>
  </si>
  <si>
    <t>212550_at</t>
  </si>
  <si>
    <t>214805_at</t>
  </si>
  <si>
    <t>215153_at</t>
  </si>
  <si>
    <t>NOS1AP</t>
  </si>
  <si>
    <t>218396_at</t>
  </si>
  <si>
    <t>220948_s_at</t>
  </si>
  <si>
    <t>ATP1A1</t>
  </si>
  <si>
    <t>213720_s_at</t>
  </si>
  <si>
    <t>203525_s_at</t>
  </si>
  <si>
    <t>APC</t>
  </si>
  <si>
    <t>207983_s_at</t>
  </si>
  <si>
    <t>203597_s_at</t>
  </si>
  <si>
    <t>206741_at</t>
  </si>
  <si>
    <t>C3orf32</t>
  </si>
  <si>
    <t>210766_s_at</t>
  </si>
  <si>
    <t>211005_at</t>
  </si>
  <si>
    <t>211197_s_at</t>
  </si>
  <si>
    <t>217930_s_at</t>
  </si>
  <si>
    <t>TOLLIP</t>
  </si>
  <si>
    <t>208105_at</t>
  </si>
  <si>
    <t>GIPR</t>
  </si>
  <si>
    <t>214240_at</t>
  </si>
  <si>
    <t>221360_s_at</t>
  </si>
  <si>
    <t>GHSR</t>
  </si>
  <si>
    <t>222055_at</t>
  </si>
  <si>
    <t>FAHD2A /// FAHD2B /// LOC729234</t>
  </si>
  <si>
    <t>216837_at</t>
  </si>
  <si>
    <t>EPHA5</t>
  </si>
  <si>
    <t>210400_at</t>
  </si>
  <si>
    <t>GRIN2C</t>
  </si>
  <si>
    <t>213181_s_at</t>
  </si>
  <si>
    <t>210571_s_at</t>
  </si>
  <si>
    <t>CMAH</t>
  </si>
  <si>
    <t>217240_at</t>
  </si>
  <si>
    <t>LOC654056 /// SIRPB1</t>
  </si>
  <si>
    <t>213547_at</t>
  </si>
  <si>
    <t>CAND2</t>
  </si>
  <si>
    <t>209115_at</t>
  </si>
  <si>
    <t>UBA3</t>
  </si>
  <si>
    <t>211949_s_at</t>
  </si>
  <si>
    <t>208546_x_at</t>
  </si>
  <si>
    <t>HIST1H2BH</t>
  </si>
  <si>
    <t>207323_s_at</t>
  </si>
  <si>
    <t>209245_s_at</t>
  </si>
  <si>
    <t>KIF1C</t>
  </si>
  <si>
    <t>216245_at</t>
  </si>
  <si>
    <t>202736_s_at</t>
  </si>
  <si>
    <t>204825_at</t>
  </si>
  <si>
    <t>MELK</t>
  </si>
  <si>
    <t>213039_at</t>
  </si>
  <si>
    <t>ARHGEF18</t>
  </si>
  <si>
    <t>213840_s_at</t>
  </si>
  <si>
    <t>219070_s_at</t>
  </si>
  <si>
    <t>MOSPD3</t>
  </si>
  <si>
    <t>220221_at</t>
  </si>
  <si>
    <t>205613_at</t>
  </si>
  <si>
    <t>SYT17</t>
  </si>
  <si>
    <t>209703_x_at</t>
  </si>
  <si>
    <t>217684_at</t>
  </si>
  <si>
    <t>212244_at</t>
  </si>
  <si>
    <t>220843_s_at</t>
  </si>
  <si>
    <t>DCAF13</t>
  </si>
  <si>
    <t>217289_s_at</t>
  </si>
  <si>
    <t>217231_s_at</t>
  </si>
  <si>
    <t>MAST1</t>
  </si>
  <si>
    <t>201762_s_at</t>
  </si>
  <si>
    <t>PSME2</t>
  </si>
  <si>
    <t>202777_at</t>
  </si>
  <si>
    <t>SHOC2</t>
  </si>
  <si>
    <t>204501_at</t>
  </si>
  <si>
    <t>220587_s_at</t>
  </si>
  <si>
    <t>MLST8</t>
  </si>
  <si>
    <t>205099_s_at</t>
  </si>
  <si>
    <t>200792_at</t>
  </si>
  <si>
    <t>XRCC6</t>
  </si>
  <si>
    <t>202716_at</t>
  </si>
  <si>
    <t>212117_at</t>
  </si>
  <si>
    <t>213689_x_at</t>
  </si>
  <si>
    <t>204592_at</t>
  </si>
  <si>
    <t>208935_s_at</t>
  </si>
  <si>
    <t>216909_at</t>
  </si>
  <si>
    <t>201743_at</t>
  </si>
  <si>
    <t>CD14</t>
  </si>
  <si>
    <t>202835_at</t>
  </si>
  <si>
    <t>205518_s_at</t>
  </si>
  <si>
    <t>34868_at</t>
  </si>
  <si>
    <t>203163_at</t>
  </si>
  <si>
    <t>209905_at</t>
  </si>
  <si>
    <t>HOXA9</t>
  </si>
  <si>
    <t>211405_x_at</t>
  </si>
  <si>
    <t>IFNA17</t>
  </si>
  <si>
    <t>201200_at</t>
  </si>
  <si>
    <t>CREG1</t>
  </si>
  <si>
    <t>218809_at</t>
  </si>
  <si>
    <t>PANK2</t>
  </si>
  <si>
    <t>201704_at</t>
  </si>
  <si>
    <t>ENTPD6</t>
  </si>
  <si>
    <t>214221_at</t>
  </si>
  <si>
    <t>220206_at</t>
  </si>
  <si>
    <t>ZMYM1</t>
  </si>
  <si>
    <t>200769_s_at</t>
  </si>
  <si>
    <t>209516_at</t>
  </si>
  <si>
    <t>SMYD5</t>
  </si>
  <si>
    <t>219394_at</t>
  </si>
  <si>
    <t>PGS1</t>
  </si>
  <si>
    <t>205009_at</t>
  </si>
  <si>
    <t>TFF1</t>
  </si>
  <si>
    <t>205650_s_at</t>
  </si>
  <si>
    <t>FGA</t>
  </si>
  <si>
    <t>207021_at</t>
  </si>
  <si>
    <t>ZPBP</t>
  </si>
  <si>
    <t>208627_s_at</t>
  </si>
  <si>
    <t>YBX1</t>
  </si>
  <si>
    <t>215752_at</t>
  </si>
  <si>
    <t>SIK2</t>
  </si>
  <si>
    <t>204617_s_at</t>
  </si>
  <si>
    <t>ACD</t>
  </si>
  <si>
    <t>203353_s_at</t>
  </si>
  <si>
    <t>211262_at</t>
  </si>
  <si>
    <t>213778_x_at</t>
  </si>
  <si>
    <t>ZNF276</t>
  </si>
  <si>
    <t>218372_at</t>
  </si>
  <si>
    <t>MED9</t>
  </si>
  <si>
    <t>203384_s_at</t>
  </si>
  <si>
    <t>40569_at</t>
  </si>
  <si>
    <t>217895_at</t>
  </si>
  <si>
    <t>PTCD3</t>
  </si>
  <si>
    <t>217962_at</t>
  </si>
  <si>
    <t>NOP10</t>
  </si>
  <si>
    <t>209938_at</t>
  </si>
  <si>
    <t>217144_at</t>
  </si>
  <si>
    <t>201823_s_at</t>
  </si>
  <si>
    <t>RNF14</t>
  </si>
  <si>
    <t>206720_at</t>
  </si>
  <si>
    <t>MGAT5</t>
  </si>
  <si>
    <t>209451_at</t>
  </si>
  <si>
    <t>203249_at</t>
  </si>
  <si>
    <t>208264_s_at</t>
  </si>
  <si>
    <t>200044_at</t>
  </si>
  <si>
    <t>SFRS9</t>
  </si>
  <si>
    <t>41469_at</t>
  </si>
  <si>
    <t>212409_s_at</t>
  </si>
  <si>
    <t>203941_at</t>
  </si>
  <si>
    <t>INTS9</t>
  </si>
  <si>
    <t>206234_s_at</t>
  </si>
  <si>
    <t>MMP17</t>
  </si>
  <si>
    <t>211662_s_at</t>
  </si>
  <si>
    <t>VDAC2</t>
  </si>
  <si>
    <t>220149_at</t>
  </si>
  <si>
    <t>C2orf54</t>
  </si>
  <si>
    <t>218750_at</t>
  </si>
  <si>
    <t>TAF1D</t>
  </si>
  <si>
    <t>211562_s_at</t>
  </si>
  <si>
    <t>214054_at</t>
  </si>
  <si>
    <t>DOK2</t>
  </si>
  <si>
    <t>216809_at</t>
  </si>
  <si>
    <t>202862_at</t>
  </si>
  <si>
    <t>FAH</t>
  </si>
  <si>
    <t>210622_x_at</t>
  </si>
  <si>
    <t>CDK10</t>
  </si>
  <si>
    <t>204437_s_at</t>
  </si>
  <si>
    <t>FOLR1</t>
  </si>
  <si>
    <t>201934_at</t>
  </si>
  <si>
    <t>WDR82</t>
  </si>
  <si>
    <t>212286_at</t>
  </si>
  <si>
    <t>211037_s_at</t>
  </si>
  <si>
    <t>MBOAT7</t>
  </si>
  <si>
    <t>218260_at</t>
  </si>
  <si>
    <t>DDA1</t>
  </si>
  <si>
    <t>211464_x_at</t>
  </si>
  <si>
    <t>215750_at</t>
  </si>
  <si>
    <t>KIAA1659</t>
  </si>
  <si>
    <t>207236_at</t>
  </si>
  <si>
    <t>ZNF345</t>
  </si>
  <si>
    <t>206538_at</t>
  </si>
  <si>
    <t>MRAS</t>
  </si>
  <si>
    <t>207598_x_at</t>
  </si>
  <si>
    <t>XRCC2</t>
  </si>
  <si>
    <t>219633_at</t>
  </si>
  <si>
    <t>TTPAL</t>
  </si>
  <si>
    <t>209738_x_at</t>
  </si>
  <si>
    <t>202642_s_at</t>
  </si>
  <si>
    <t>212339_at</t>
  </si>
  <si>
    <t>EPB41L1</t>
  </si>
  <si>
    <t>213314_at</t>
  </si>
  <si>
    <t>220606_s_at</t>
  </si>
  <si>
    <t>C17orf48</t>
  </si>
  <si>
    <t>202580_x_at</t>
  </si>
  <si>
    <t>FOXM1</t>
  </si>
  <si>
    <t>218159_at</t>
  </si>
  <si>
    <t>DDRGK1</t>
  </si>
  <si>
    <t>221407_at</t>
  </si>
  <si>
    <t>GJD2</t>
  </si>
  <si>
    <t>200785_s_at</t>
  </si>
  <si>
    <t>202330_s_at</t>
  </si>
  <si>
    <t>UNG</t>
  </si>
  <si>
    <t>219273_at</t>
  </si>
  <si>
    <t>CCNK</t>
  </si>
  <si>
    <t>201341_at</t>
  </si>
  <si>
    <t>ENC1</t>
  </si>
  <si>
    <t>203854_at</t>
  </si>
  <si>
    <t>CFI</t>
  </si>
  <si>
    <t>221797_at</t>
  </si>
  <si>
    <t>210018_x_at</t>
  </si>
  <si>
    <t>200794_x_at</t>
  </si>
  <si>
    <t>201321_s_at</t>
  </si>
  <si>
    <t>219098_at</t>
  </si>
  <si>
    <t>MYBBP1A</t>
  </si>
  <si>
    <t>202412_s_at</t>
  </si>
  <si>
    <t>206781_at</t>
  </si>
  <si>
    <t>206370_at</t>
  </si>
  <si>
    <t>219577_s_at</t>
  </si>
  <si>
    <t>ABCA7</t>
  </si>
  <si>
    <t>200960_x_at</t>
  </si>
  <si>
    <t>204828_at</t>
  </si>
  <si>
    <t>RAD9A</t>
  </si>
  <si>
    <t>211275_s_at</t>
  </si>
  <si>
    <t>217630_at</t>
  </si>
  <si>
    <t>219498_s_at</t>
  </si>
  <si>
    <t>220341_s_at</t>
  </si>
  <si>
    <t>C5orf45</t>
  </si>
  <si>
    <t>220484_at</t>
  </si>
  <si>
    <t>MCOLN3</t>
  </si>
  <si>
    <t>210356_x_at</t>
  </si>
  <si>
    <t>221203_s_at</t>
  </si>
  <si>
    <t>YEATS2</t>
  </si>
  <si>
    <t>203608_at</t>
  </si>
  <si>
    <t>ALDH5A1</t>
  </si>
  <si>
    <t>208415_x_at</t>
  </si>
  <si>
    <t>212536_at</t>
  </si>
  <si>
    <t>ATP11B</t>
  </si>
  <si>
    <t>216923_at</t>
  </si>
  <si>
    <t>CDKL5</t>
  </si>
  <si>
    <t>219209_at</t>
  </si>
  <si>
    <t>IFIH1</t>
  </si>
  <si>
    <t>205804_s_at</t>
  </si>
  <si>
    <t>201682_at</t>
  </si>
  <si>
    <t>PMPCB</t>
  </si>
  <si>
    <t>203512_at</t>
  </si>
  <si>
    <t>203975_s_at</t>
  </si>
  <si>
    <t>203977_at</t>
  </si>
  <si>
    <t>203734_at</t>
  </si>
  <si>
    <t>FOXJ2</t>
  </si>
  <si>
    <t>209667_at</t>
  </si>
  <si>
    <t>202468_s_at</t>
  </si>
  <si>
    <t>CTNNAL1</t>
  </si>
  <si>
    <t>209841_s_at</t>
  </si>
  <si>
    <t>211245_x_at</t>
  </si>
  <si>
    <t>214937_x_at</t>
  </si>
  <si>
    <t>220481_at</t>
  </si>
  <si>
    <t>GPR75</t>
  </si>
  <si>
    <t>222351_at</t>
  </si>
  <si>
    <t>203676_at</t>
  </si>
  <si>
    <t>217530_at</t>
  </si>
  <si>
    <t>220054_at</t>
  </si>
  <si>
    <t>IL23A</t>
  </si>
  <si>
    <t>200607_s_at</t>
  </si>
  <si>
    <t>204981_at</t>
  </si>
  <si>
    <t>SLC22A18</t>
  </si>
  <si>
    <t>209186_at</t>
  </si>
  <si>
    <t>221541_at</t>
  </si>
  <si>
    <t>CRISPLD2</t>
  </si>
  <si>
    <t>218287_s_at</t>
  </si>
  <si>
    <t>EIF2C1</t>
  </si>
  <si>
    <t>217896_s_at</t>
  </si>
  <si>
    <t>FAM192A</t>
  </si>
  <si>
    <t>219240_s_at</t>
  </si>
  <si>
    <t>C10orf88</t>
  </si>
  <si>
    <t>220593_s_at</t>
  </si>
  <si>
    <t>210113_s_at</t>
  </si>
  <si>
    <t>NLRP1</t>
  </si>
  <si>
    <t>200019_s_at</t>
  </si>
  <si>
    <t>FAU</t>
  </si>
  <si>
    <t>211845_at</t>
  </si>
  <si>
    <t>220274_at</t>
  </si>
  <si>
    <t>IQCA1</t>
  </si>
  <si>
    <t>200863_s_at</t>
  </si>
  <si>
    <t>214734_at</t>
  </si>
  <si>
    <t>200094_s_at</t>
  </si>
  <si>
    <t>206409_at</t>
  </si>
  <si>
    <t>207615_s_at</t>
  </si>
  <si>
    <t>C16orf3</t>
  </si>
  <si>
    <t>214815_at</t>
  </si>
  <si>
    <t>204093_at</t>
  </si>
  <si>
    <t>CCNH</t>
  </si>
  <si>
    <t>220927_s_at</t>
  </si>
  <si>
    <t>HPSE2</t>
  </si>
  <si>
    <t>210381_s_at</t>
  </si>
  <si>
    <t>CCKBR</t>
  </si>
  <si>
    <t>219311_at</t>
  </si>
  <si>
    <t>205060_at</t>
  </si>
  <si>
    <t>PARG</t>
  </si>
  <si>
    <t>219088_s_at</t>
  </si>
  <si>
    <t>221313_at</t>
  </si>
  <si>
    <t>GPR52</t>
  </si>
  <si>
    <t>214750_at</t>
  </si>
  <si>
    <t>PLAC4</t>
  </si>
  <si>
    <t>218400_at</t>
  </si>
  <si>
    <t>OAS3</t>
  </si>
  <si>
    <t>220113_x_at</t>
  </si>
  <si>
    <t>POLR1B</t>
  </si>
  <si>
    <t>202189_x_at</t>
  </si>
  <si>
    <t>209425_at</t>
  </si>
  <si>
    <t>205146_x_at</t>
  </si>
  <si>
    <t>APBA3</t>
  </si>
  <si>
    <t>209537_at</t>
  </si>
  <si>
    <t>EXTL2</t>
  </si>
  <si>
    <t>219483_s_at</t>
  </si>
  <si>
    <t>PORCN</t>
  </si>
  <si>
    <t>221410_x_at</t>
  </si>
  <si>
    <t>PCDHB3</t>
  </si>
  <si>
    <t>215026_x_at</t>
  </si>
  <si>
    <t>206136_at</t>
  </si>
  <si>
    <t>FZD5</t>
  </si>
  <si>
    <t>205524_s_at</t>
  </si>
  <si>
    <t>HAPLN1</t>
  </si>
  <si>
    <t>207677_s_at</t>
  </si>
  <si>
    <t>203426_s_at</t>
  </si>
  <si>
    <t>220232_at</t>
  </si>
  <si>
    <t>SCD5</t>
  </si>
  <si>
    <t>32836_at</t>
  </si>
  <si>
    <t>205333_s_at</t>
  </si>
  <si>
    <t>RCE1</t>
  </si>
  <si>
    <t>209432_s_at</t>
  </si>
  <si>
    <t>CREB3</t>
  </si>
  <si>
    <t>211633_x_at</t>
  </si>
  <si>
    <t>211979_at</t>
  </si>
  <si>
    <t>217747_s_at</t>
  </si>
  <si>
    <t>220949_s_at</t>
  </si>
  <si>
    <t>C7orf49</t>
  </si>
  <si>
    <t>216318_at</t>
  </si>
  <si>
    <t>205822_s_at</t>
  </si>
  <si>
    <t>214472_at</t>
  </si>
  <si>
    <t>216593_s_at</t>
  </si>
  <si>
    <t>LOC100289848 /// PIGC</t>
  </si>
  <si>
    <t>208060_at</t>
  </si>
  <si>
    <t>PAX7</t>
  </si>
  <si>
    <t>207746_at</t>
  </si>
  <si>
    <t>216338_s_at</t>
  </si>
  <si>
    <t>YIPF3</t>
  </si>
  <si>
    <t>204660_at</t>
  </si>
  <si>
    <t>207041_at</t>
  </si>
  <si>
    <t>212249_at</t>
  </si>
  <si>
    <t>208717_at</t>
  </si>
  <si>
    <t>OXA1L</t>
  </si>
  <si>
    <t>219747_at</t>
  </si>
  <si>
    <t>C4orf31</t>
  </si>
  <si>
    <t>213515_x_at</t>
  </si>
  <si>
    <t>HBG1 /// HBG2</t>
  </si>
  <si>
    <t>202696_at</t>
  </si>
  <si>
    <t>OXSR1</t>
  </si>
  <si>
    <t>203498_at</t>
  </si>
  <si>
    <t>RCAN2</t>
  </si>
  <si>
    <t>204764_at</t>
  </si>
  <si>
    <t>207016_s_at</t>
  </si>
  <si>
    <t>210160_at</t>
  </si>
  <si>
    <t>PAFAH1B2</t>
  </si>
  <si>
    <t>210660_at</t>
  </si>
  <si>
    <t>LILRA1</t>
  </si>
  <si>
    <t>214174_s_at</t>
  </si>
  <si>
    <t>211358_s_at</t>
  </si>
  <si>
    <t>207334_s_at</t>
  </si>
  <si>
    <t>208722_s_at</t>
  </si>
  <si>
    <t>207349_s_at</t>
  </si>
  <si>
    <t>216988_s_at</t>
  </si>
  <si>
    <t>221309_at</t>
  </si>
  <si>
    <t>RBM17</t>
  </si>
  <si>
    <t>218118_s_at</t>
  </si>
  <si>
    <t>TIMM23</t>
  </si>
  <si>
    <t>215351_at</t>
  </si>
  <si>
    <t>206097_at</t>
  </si>
  <si>
    <t>SLC22A18AS</t>
  </si>
  <si>
    <t>204354_at</t>
  </si>
  <si>
    <t>POT1</t>
  </si>
  <si>
    <t>212853_at</t>
  </si>
  <si>
    <t>219664_s_at</t>
  </si>
  <si>
    <t>DECR2 /// NME4</t>
  </si>
  <si>
    <t>203774_at</t>
  </si>
  <si>
    <t>MTR</t>
  </si>
  <si>
    <t>200691_s_at</t>
  </si>
  <si>
    <t>HSPA9</t>
  </si>
  <si>
    <t>203609_s_at</t>
  </si>
  <si>
    <t>205712_at</t>
  </si>
  <si>
    <t>PTPRD</t>
  </si>
  <si>
    <t>209162_s_at</t>
  </si>
  <si>
    <t>PRPF4</t>
  </si>
  <si>
    <t>219822_at</t>
  </si>
  <si>
    <t>MTRF1</t>
  </si>
  <si>
    <t>205672_at</t>
  </si>
  <si>
    <t>XPA</t>
  </si>
  <si>
    <t>208762_at</t>
  </si>
  <si>
    <t>SUMO1</t>
  </si>
  <si>
    <t>210142_x_at</t>
  </si>
  <si>
    <t>220727_at</t>
  </si>
  <si>
    <t>KCNK10</t>
  </si>
  <si>
    <t>201885_s_at</t>
  </si>
  <si>
    <t>CYB5R3</t>
  </si>
  <si>
    <t>206289_at</t>
  </si>
  <si>
    <t>HOXA4</t>
  </si>
  <si>
    <t>210847_x_at</t>
  </si>
  <si>
    <t>211269_s_at</t>
  </si>
  <si>
    <t>IL2RA</t>
  </si>
  <si>
    <t>210029_at</t>
  </si>
  <si>
    <t>IDO1</t>
  </si>
  <si>
    <t>210475_at</t>
  </si>
  <si>
    <t>208761_s_at</t>
  </si>
  <si>
    <t>219786_at</t>
  </si>
  <si>
    <t>MTL5</t>
  </si>
  <si>
    <t>220350_at</t>
  </si>
  <si>
    <t>ZNF235</t>
  </si>
  <si>
    <t>208865_at</t>
  </si>
  <si>
    <t>203245_s_at</t>
  </si>
  <si>
    <t>NCRNA00094</t>
  </si>
  <si>
    <t>217573_at</t>
  </si>
  <si>
    <t>210051_at</t>
  </si>
  <si>
    <t>208714_at</t>
  </si>
  <si>
    <t>NDUFV1</t>
  </si>
  <si>
    <t>206050_s_at</t>
  </si>
  <si>
    <t>RNH1</t>
  </si>
  <si>
    <t>215977_x_at</t>
  </si>
  <si>
    <t>201258_at</t>
  </si>
  <si>
    <t>RPS16</t>
  </si>
  <si>
    <t>202622_s_at</t>
  </si>
  <si>
    <t>ATXN2</t>
  </si>
  <si>
    <t>209153_s_at</t>
  </si>
  <si>
    <t>221016_s_at</t>
  </si>
  <si>
    <t>TCF7L1</t>
  </si>
  <si>
    <t>205873_at</t>
  </si>
  <si>
    <t>PIGL</t>
  </si>
  <si>
    <t>209453_at</t>
  </si>
  <si>
    <t>SLC9A1</t>
  </si>
  <si>
    <t>222207_x_at</t>
  </si>
  <si>
    <t>LOC441258</t>
  </si>
  <si>
    <t>201139_s_at</t>
  </si>
  <si>
    <t>202979_s_at</t>
  </si>
  <si>
    <t>204232_at</t>
  </si>
  <si>
    <t>FCER1G</t>
  </si>
  <si>
    <t>207445_s_at</t>
  </si>
  <si>
    <t>CCR9</t>
  </si>
  <si>
    <t>207482_at</t>
  </si>
  <si>
    <t>TP53TG5</t>
  </si>
  <si>
    <t>212652_s_at</t>
  </si>
  <si>
    <t>SNX4</t>
  </si>
  <si>
    <t>219192_at</t>
  </si>
  <si>
    <t>220442_at</t>
  </si>
  <si>
    <t>GALNT4 /// WDR51B</t>
  </si>
  <si>
    <t>213083_at</t>
  </si>
  <si>
    <t>SLC35D2</t>
  </si>
  <si>
    <t>216604_s_at</t>
  </si>
  <si>
    <t>212114_at</t>
  </si>
  <si>
    <t>203495_at</t>
  </si>
  <si>
    <t>LRRC14</t>
  </si>
  <si>
    <t>218399_s_at</t>
  </si>
  <si>
    <t>CDCA4</t>
  </si>
  <si>
    <t>209050_s_at</t>
  </si>
  <si>
    <t>210428_s_at</t>
  </si>
  <si>
    <t>HGS</t>
  </si>
  <si>
    <t>212245_at</t>
  </si>
  <si>
    <t>219550_at</t>
  </si>
  <si>
    <t>ROBO3</t>
  </si>
  <si>
    <t>221992_at</t>
  </si>
  <si>
    <t>NPIPL2</t>
  </si>
  <si>
    <t>47773_at</t>
  </si>
  <si>
    <t>201066_at</t>
  </si>
  <si>
    <t>CYC1</t>
  </si>
  <si>
    <t>211911_x_at</t>
  </si>
  <si>
    <t>218996_at</t>
  </si>
  <si>
    <t>TFPT</t>
  </si>
  <si>
    <t>203099_s_at</t>
  </si>
  <si>
    <t>205332_at</t>
  </si>
  <si>
    <t>209929_s_at</t>
  </si>
  <si>
    <t>211184_s_at</t>
  </si>
  <si>
    <t>216063_at</t>
  </si>
  <si>
    <t>HBBP1</t>
  </si>
  <si>
    <t>202934_at</t>
  </si>
  <si>
    <t>221012_s_at</t>
  </si>
  <si>
    <t>TRIM8</t>
  </si>
  <si>
    <t>214273_x_at</t>
  </si>
  <si>
    <t>C16orf35</t>
  </si>
  <si>
    <t>212704_at</t>
  </si>
  <si>
    <t>ZCCHC11</t>
  </si>
  <si>
    <t>218719_s_at</t>
  </si>
  <si>
    <t>221339_at</t>
  </si>
  <si>
    <t>OR10C1</t>
  </si>
  <si>
    <t>211215_x_at</t>
  </si>
  <si>
    <t>DIO2</t>
  </si>
  <si>
    <t>217926_at</t>
  </si>
  <si>
    <t>C19orf53</t>
  </si>
  <si>
    <t>216501_at</t>
  </si>
  <si>
    <t>217837_s_at</t>
  </si>
  <si>
    <t>RNF103 /// VPS24</t>
  </si>
  <si>
    <t>210694_s_at</t>
  </si>
  <si>
    <t>212124_at</t>
  </si>
  <si>
    <t>ZMIZ1</t>
  </si>
  <si>
    <t>212871_at</t>
  </si>
  <si>
    <t>MAPKAPK5</t>
  </si>
  <si>
    <t>218442_at</t>
  </si>
  <si>
    <t>TTC4</t>
  </si>
  <si>
    <t>219470_x_at</t>
  </si>
  <si>
    <t>CCNJ</t>
  </si>
  <si>
    <t>210731_s_at</t>
  </si>
  <si>
    <t>213398_s_at</t>
  </si>
  <si>
    <t>SDR39U1</t>
  </si>
  <si>
    <t>218283_at</t>
  </si>
  <si>
    <t>SS18L2</t>
  </si>
  <si>
    <t>221676_s_at</t>
  </si>
  <si>
    <t>CORO1C</t>
  </si>
  <si>
    <t>204173_at</t>
  </si>
  <si>
    <t>MYL6B</t>
  </si>
  <si>
    <t>213080_x_at</t>
  </si>
  <si>
    <t>RPL5</t>
  </si>
  <si>
    <t>201958_s_at</t>
  </si>
  <si>
    <t>PPP1R12B</t>
  </si>
  <si>
    <t>211654_x_at</t>
  </si>
  <si>
    <t>205228_at</t>
  </si>
  <si>
    <t>RBMS2</t>
  </si>
  <si>
    <t>206911_at</t>
  </si>
  <si>
    <t>TRIM25</t>
  </si>
  <si>
    <t>204367_at</t>
  </si>
  <si>
    <t>SP2</t>
  </si>
  <si>
    <t>204920_at</t>
  </si>
  <si>
    <t>CPS1</t>
  </si>
  <si>
    <t>206958_s_at</t>
  </si>
  <si>
    <t>222143_s_at</t>
  </si>
  <si>
    <t>MTMR14</t>
  </si>
  <si>
    <t>221816_s_at</t>
  </si>
  <si>
    <t>PHF11</t>
  </si>
  <si>
    <t>202047_s_at</t>
  </si>
  <si>
    <t>214047_s_at</t>
  </si>
  <si>
    <t>217762_s_at</t>
  </si>
  <si>
    <t>213057_at</t>
  </si>
  <si>
    <t>ATPAF2</t>
  </si>
  <si>
    <t>204012_s_at</t>
  </si>
  <si>
    <t>LCMT2</t>
  </si>
  <si>
    <t>210483_at</t>
  </si>
  <si>
    <t>MGC31957</t>
  </si>
  <si>
    <t>200045_at</t>
  </si>
  <si>
    <t>ABCF1</t>
  </si>
  <si>
    <t>213892_s_at</t>
  </si>
  <si>
    <t>217447_at</t>
  </si>
  <si>
    <t>MAG</t>
  </si>
  <si>
    <t>220635_at</t>
  </si>
  <si>
    <t>PSORS1C2</t>
  </si>
  <si>
    <t>221580_s_at</t>
  </si>
  <si>
    <t>202296_s_at</t>
  </si>
  <si>
    <t>RER1</t>
  </si>
  <si>
    <t>220734_s_at</t>
  </si>
  <si>
    <t>GLTPD1</t>
  </si>
  <si>
    <t>215583_at</t>
  </si>
  <si>
    <t>205506_at</t>
  </si>
  <si>
    <t>VIL1</t>
  </si>
  <si>
    <t>203233_at</t>
  </si>
  <si>
    <t>IL4R</t>
  </si>
  <si>
    <t>44120_at</t>
  </si>
  <si>
    <t>201694_s_at</t>
  </si>
  <si>
    <t>EGR1</t>
  </si>
  <si>
    <t>200098_s_at</t>
  </si>
  <si>
    <t>210266_s_at</t>
  </si>
  <si>
    <t>219545_at</t>
  </si>
  <si>
    <t>KCTD14</t>
  </si>
  <si>
    <t>205695_at</t>
  </si>
  <si>
    <t>SDS</t>
  </si>
  <si>
    <t>208309_s_at</t>
  </si>
  <si>
    <t>219673_at</t>
  </si>
  <si>
    <t>MCM9</t>
  </si>
  <si>
    <t>215540_at</t>
  </si>
  <si>
    <t>216983_s_at</t>
  </si>
  <si>
    <t>210512_s_at</t>
  </si>
  <si>
    <t>214454_at</t>
  </si>
  <si>
    <t>207851_s_at</t>
  </si>
  <si>
    <t>202535_at</t>
  </si>
  <si>
    <t>FADD</t>
  </si>
  <si>
    <t>208328_s_at</t>
  </si>
  <si>
    <t>210103_s_at</t>
  </si>
  <si>
    <t>212090_at</t>
  </si>
  <si>
    <t>GRINA</t>
  </si>
  <si>
    <t>208367_x_at</t>
  </si>
  <si>
    <t>220123_at</t>
  </si>
  <si>
    <t>SLC35F5</t>
  </si>
  <si>
    <t>213994_s_at</t>
  </si>
  <si>
    <t>200661_at</t>
  </si>
  <si>
    <t>CTSA</t>
  </si>
  <si>
    <t>209226_s_at</t>
  </si>
  <si>
    <t>215766_at</t>
  </si>
  <si>
    <t>GSTA1</t>
  </si>
  <si>
    <t>207560_at</t>
  </si>
  <si>
    <t>SLC28A1</t>
  </si>
  <si>
    <t>201299_s_at</t>
  </si>
  <si>
    <t>210430_x_at</t>
  </si>
  <si>
    <t>RHD</t>
  </si>
  <si>
    <t>207038_at</t>
  </si>
  <si>
    <t>SLC16A6</t>
  </si>
  <si>
    <t>216174_at</t>
  </si>
  <si>
    <t>219508_at</t>
  </si>
  <si>
    <t>GCNT3</t>
  </si>
  <si>
    <t>210477_x_at</t>
  </si>
  <si>
    <t>MAPK8</t>
  </si>
  <si>
    <t>207990_x_at</t>
  </si>
  <si>
    <t>206844_at</t>
  </si>
  <si>
    <t>FBP2</t>
  </si>
  <si>
    <t>203294_s_at</t>
  </si>
  <si>
    <t>212366_at</t>
  </si>
  <si>
    <t>ZNF292</t>
  </si>
  <si>
    <t>211982_x_at</t>
  </si>
  <si>
    <t>209827_s_at</t>
  </si>
  <si>
    <t>200816_s_at</t>
  </si>
  <si>
    <t>204848_x_at</t>
  </si>
  <si>
    <t>208729_x_at</t>
  </si>
  <si>
    <t>203016_s_at</t>
  </si>
  <si>
    <t>209443_at</t>
  </si>
  <si>
    <t>SERPINA5</t>
  </si>
  <si>
    <t>205066_s_at</t>
  </si>
  <si>
    <t>ENPP1</t>
  </si>
  <si>
    <t>218129_s_at</t>
  </si>
  <si>
    <t>204366_s_at</t>
  </si>
  <si>
    <t>210850_s_at</t>
  </si>
  <si>
    <t>211446_at</t>
  </si>
  <si>
    <t>RGSL1</t>
  </si>
  <si>
    <t>214092_x_at</t>
  </si>
  <si>
    <t>SFRS14</t>
  </si>
  <si>
    <t>206384_at</t>
  </si>
  <si>
    <t>CACNG3</t>
  </si>
  <si>
    <t>213481_at</t>
  </si>
  <si>
    <t>204419_x_at</t>
  </si>
  <si>
    <t>220251_at</t>
  </si>
  <si>
    <t>218862_at</t>
  </si>
  <si>
    <t>ASB13</t>
  </si>
  <si>
    <t>219599_at</t>
  </si>
  <si>
    <t>208497_x_at</t>
  </si>
  <si>
    <t>NEUROG1</t>
  </si>
  <si>
    <t>205401_at</t>
  </si>
  <si>
    <t>AGPS</t>
  </si>
  <si>
    <t>207923_x_at</t>
  </si>
  <si>
    <t>208161_s_at</t>
  </si>
  <si>
    <t>218429_s_at</t>
  </si>
  <si>
    <t>222050_at</t>
  </si>
  <si>
    <t>219488_at</t>
  </si>
  <si>
    <t>A4GALT</t>
  </si>
  <si>
    <t>203990_s_at</t>
  </si>
  <si>
    <t>214679_x_at</t>
  </si>
  <si>
    <t>218381_s_at</t>
  </si>
  <si>
    <t>221257_x_at</t>
  </si>
  <si>
    <t>41113_at</t>
  </si>
  <si>
    <t>201541_s_at</t>
  </si>
  <si>
    <t>ZNHIT1</t>
  </si>
  <si>
    <t>206872_at</t>
  </si>
  <si>
    <t>SLC17A1</t>
  </si>
  <si>
    <t>207555_s_at</t>
  </si>
  <si>
    <t>219099_at</t>
  </si>
  <si>
    <t>C12orf5</t>
  </si>
  <si>
    <t>216912_at</t>
  </si>
  <si>
    <t>202101_s_at</t>
  </si>
  <si>
    <t>RALB</t>
  </si>
  <si>
    <t>204199_at</t>
  </si>
  <si>
    <t>RALGPS1</t>
  </si>
  <si>
    <t>207865_s_at</t>
  </si>
  <si>
    <t>BMP8B</t>
  </si>
  <si>
    <t>210337_s_at</t>
  </si>
  <si>
    <t>218248_at</t>
  </si>
  <si>
    <t>FAM111A</t>
  </si>
  <si>
    <t>203276_at</t>
  </si>
  <si>
    <t>LMNB1</t>
  </si>
  <si>
    <t>219177_at</t>
  </si>
  <si>
    <t>BXDC2</t>
  </si>
  <si>
    <t>221673_s_at</t>
  </si>
  <si>
    <t>210480_s_at</t>
  </si>
  <si>
    <t>MYO6</t>
  </si>
  <si>
    <t>210085_s_at</t>
  </si>
  <si>
    <t>ANXA9</t>
  </si>
  <si>
    <t>208433_s_at</t>
  </si>
  <si>
    <t>LRP8</t>
  </si>
  <si>
    <t>206291_at</t>
  </si>
  <si>
    <t>NTS</t>
  </si>
  <si>
    <t>221463_at</t>
  </si>
  <si>
    <t>CCL24</t>
  </si>
  <si>
    <t>211791_s_at</t>
  </si>
  <si>
    <t>208765_s_at</t>
  </si>
  <si>
    <t>HNRNPR</t>
  </si>
  <si>
    <t>217381_s_at</t>
  </si>
  <si>
    <t>TRGV5</t>
  </si>
  <si>
    <t>203586_s_at</t>
  </si>
  <si>
    <t>ARL4D</t>
  </si>
  <si>
    <t>207098_s_at</t>
  </si>
  <si>
    <t>212470_at</t>
  </si>
  <si>
    <t>221899_at</t>
  </si>
  <si>
    <t>203677_s_at</t>
  </si>
  <si>
    <t>TARBP2</t>
  </si>
  <si>
    <t>211716_x_at</t>
  </si>
  <si>
    <t>213651_at</t>
  </si>
  <si>
    <t>INPP5J</t>
  </si>
  <si>
    <t>206622_at</t>
  </si>
  <si>
    <t>TRH</t>
  </si>
  <si>
    <t>211563_s_at</t>
  </si>
  <si>
    <t>205681_at</t>
  </si>
  <si>
    <t>BCL2A1</t>
  </si>
  <si>
    <t>78330_at</t>
  </si>
  <si>
    <t>205627_at</t>
  </si>
  <si>
    <t>CDA</t>
  </si>
  <si>
    <t>208634_s_at</t>
  </si>
  <si>
    <t>214428_x_at</t>
  </si>
  <si>
    <t>C4A /// C4B /// LOC100292046</t>
  </si>
  <si>
    <t>211487_x_at</t>
  </si>
  <si>
    <t>219120_at</t>
  </si>
  <si>
    <t>C2orf44</t>
  </si>
  <si>
    <t>201370_s_at</t>
  </si>
  <si>
    <t>221193_s_at</t>
  </si>
  <si>
    <t>ZCCHC10</t>
  </si>
  <si>
    <t>219718_at</t>
  </si>
  <si>
    <t>FGGY</t>
  </si>
  <si>
    <t>207197_at</t>
  </si>
  <si>
    <t>ZIC3</t>
  </si>
  <si>
    <t>201522_x_at</t>
  </si>
  <si>
    <t>SNRPN /// SNURF</t>
  </si>
  <si>
    <t>205851_at</t>
  </si>
  <si>
    <t>NME6</t>
  </si>
  <si>
    <t>209367_at</t>
  </si>
  <si>
    <t>STXBP2</t>
  </si>
  <si>
    <t>209341_s_at</t>
  </si>
  <si>
    <t>221586_s_at</t>
  </si>
  <si>
    <t>E2F5</t>
  </si>
  <si>
    <t>213751_at</t>
  </si>
  <si>
    <t>LRRC68</t>
  </si>
  <si>
    <t>205251_at</t>
  </si>
  <si>
    <t>213210_at</t>
  </si>
  <si>
    <t>216492_at</t>
  </si>
  <si>
    <t>KIR3DX1</t>
  </si>
  <si>
    <t>214853_s_at</t>
  </si>
  <si>
    <t>SHC1</t>
  </si>
  <si>
    <t>202507_s_at</t>
  </si>
  <si>
    <t>SNAP25</t>
  </si>
  <si>
    <t>215979_s_at</t>
  </si>
  <si>
    <t>214936_at</t>
  </si>
  <si>
    <t>LRCH1</t>
  </si>
  <si>
    <t>201331_s_at</t>
  </si>
  <si>
    <t>208188_at</t>
  </si>
  <si>
    <t>KRT9</t>
  </si>
  <si>
    <t>212743_at</t>
  </si>
  <si>
    <t>219353_at</t>
  </si>
  <si>
    <t>NHLRC2</t>
  </si>
  <si>
    <t>220357_s_at</t>
  </si>
  <si>
    <t>SGK2</t>
  </si>
  <si>
    <t>214643_x_at</t>
  </si>
  <si>
    <t>204545_at</t>
  </si>
  <si>
    <t>202059_s_at</t>
  </si>
  <si>
    <t>203086_at</t>
  </si>
  <si>
    <t>KIF2A</t>
  </si>
  <si>
    <t>215297_at</t>
  </si>
  <si>
    <t>hCG_2009921</t>
  </si>
  <si>
    <t>203319_s_at</t>
  </si>
  <si>
    <t>203066_at</t>
  </si>
  <si>
    <t>CHST15</t>
  </si>
  <si>
    <t>214499_s_at</t>
  </si>
  <si>
    <t>219951_s_at</t>
  </si>
  <si>
    <t>C20orf12</t>
  </si>
  <si>
    <t>213804_at</t>
  </si>
  <si>
    <t>200074_s_at</t>
  </si>
  <si>
    <t>209527_at</t>
  </si>
  <si>
    <t>204122_at</t>
  </si>
  <si>
    <t>TYROBP</t>
  </si>
  <si>
    <t>207074_s_at</t>
  </si>
  <si>
    <t>SLC18A1</t>
  </si>
  <si>
    <t>201620_at</t>
  </si>
  <si>
    <t>MBTPS1</t>
  </si>
  <si>
    <t>210452_x_at</t>
  </si>
  <si>
    <t>CYP4F2</t>
  </si>
  <si>
    <t>200965_s_at</t>
  </si>
  <si>
    <t>ABLIM1</t>
  </si>
  <si>
    <t>209496_at</t>
  </si>
  <si>
    <t>RARRES2</t>
  </si>
  <si>
    <t>215696_s_at</t>
  </si>
  <si>
    <t>SEC16A</t>
  </si>
  <si>
    <t>201957_at</t>
  </si>
  <si>
    <t>205750_at</t>
  </si>
  <si>
    <t>BPHL</t>
  </si>
  <si>
    <t>214513_s_at</t>
  </si>
  <si>
    <t>219400_at</t>
  </si>
  <si>
    <t>CNTNAP1</t>
  </si>
  <si>
    <t>207289_at</t>
  </si>
  <si>
    <t>211890_x_at</t>
  </si>
  <si>
    <t>214995_s_at</t>
  </si>
  <si>
    <t>APOBEC3F /// APOBEC3G</t>
  </si>
  <si>
    <t>221483_s_at</t>
  </si>
  <si>
    <t>220648_at</t>
  </si>
  <si>
    <t>ADARB2</t>
  </si>
  <si>
    <t>217845_x_at</t>
  </si>
  <si>
    <t>HIGD1A</t>
  </si>
  <si>
    <t>217914_at</t>
  </si>
  <si>
    <t>TPCN1</t>
  </si>
  <si>
    <t>202187_s_at</t>
  </si>
  <si>
    <t>PPP2R5A</t>
  </si>
  <si>
    <t>201232_s_at</t>
  </si>
  <si>
    <t>59631_at</t>
  </si>
  <si>
    <t>218144_s_at</t>
  </si>
  <si>
    <t>INF2</t>
  </si>
  <si>
    <t>220108_at</t>
  </si>
  <si>
    <t>GNA14</t>
  </si>
  <si>
    <t>203869_at</t>
  </si>
  <si>
    <t>205320_at</t>
  </si>
  <si>
    <t>APC2</t>
  </si>
  <si>
    <t>200825_s_at</t>
  </si>
  <si>
    <t>HYOU1</t>
  </si>
  <si>
    <t>209060_x_at</t>
  </si>
  <si>
    <t>200883_at</t>
  </si>
  <si>
    <t>201889_at</t>
  </si>
  <si>
    <t>FAM3C</t>
  </si>
  <si>
    <t>218686_s_at</t>
  </si>
  <si>
    <t>RHBDF1</t>
  </si>
  <si>
    <t>220328_at</t>
  </si>
  <si>
    <t>208080_at</t>
  </si>
  <si>
    <t>203637_s_at</t>
  </si>
  <si>
    <t>219549_s_at</t>
  </si>
  <si>
    <t>RTN3</t>
  </si>
  <si>
    <t>205295_at</t>
  </si>
  <si>
    <t>CKMT2</t>
  </si>
  <si>
    <t>203062_s_at</t>
  </si>
  <si>
    <t>201728_s_at</t>
  </si>
  <si>
    <t>KIAA0100</t>
  </si>
  <si>
    <t>201237_at</t>
  </si>
  <si>
    <t>217128_s_at</t>
  </si>
  <si>
    <t>CAMK1G</t>
  </si>
  <si>
    <t>218141_at</t>
  </si>
  <si>
    <t>UBE2O</t>
  </si>
  <si>
    <t>206672_at</t>
  </si>
  <si>
    <t>AQP2</t>
  </si>
  <si>
    <t>206617_s_at</t>
  </si>
  <si>
    <t>RENBP</t>
  </si>
  <si>
    <t>203438_at</t>
  </si>
  <si>
    <t>205588_s_at</t>
  </si>
  <si>
    <t>FGFR1OP</t>
  </si>
  <si>
    <t>207863_at</t>
  </si>
  <si>
    <t>ADPRH</t>
  </si>
  <si>
    <t>209187_at</t>
  </si>
  <si>
    <t>201580_s_at</t>
  </si>
  <si>
    <t>220500_s_at</t>
  </si>
  <si>
    <t>219276_x_at</t>
  </si>
  <si>
    <t>C9orf82</t>
  </si>
  <si>
    <t>216720_at</t>
  </si>
  <si>
    <t>CYP2U1</t>
  </si>
  <si>
    <t>213488_at</t>
  </si>
  <si>
    <t>SNED1</t>
  </si>
  <si>
    <t>218630_at</t>
  </si>
  <si>
    <t>MKS1</t>
  </si>
  <si>
    <t>203021_at</t>
  </si>
  <si>
    <t>SLPI</t>
  </si>
  <si>
    <t>208344_x_at</t>
  </si>
  <si>
    <t>IFNA1 /// IFNA13</t>
  </si>
  <si>
    <t>218806_s_at</t>
  </si>
  <si>
    <t>211270_x_at</t>
  </si>
  <si>
    <t>220189_s_at</t>
  </si>
  <si>
    <t>MGAT4B</t>
  </si>
  <si>
    <t>212024_x_at</t>
  </si>
  <si>
    <t>218244_at</t>
  </si>
  <si>
    <t>NOL8</t>
  </si>
  <si>
    <t>220051_at</t>
  </si>
  <si>
    <t>PRSS21</t>
  </si>
  <si>
    <t>221459_at</t>
  </si>
  <si>
    <t>TAAR5</t>
  </si>
  <si>
    <t>204423_at</t>
  </si>
  <si>
    <t>MKLN1</t>
  </si>
  <si>
    <t>209762_x_at</t>
  </si>
  <si>
    <t>215295_at</t>
  </si>
  <si>
    <t>217114_at</t>
  </si>
  <si>
    <t>LOC652147</t>
  </si>
  <si>
    <t>218110_at</t>
  </si>
  <si>
    <t>XAB2</t>
  </si>
  <si>
    <t>222025_s_at</t>
  </si>
  <si>
    <t>OPLAH</t>
  </si>
  <si>
    <t>204895_x_at</t>
  </si>
  <si>
    <t>MUC4</t>
  </si>
  <si>
    <t>214287_s_at</t>
  </si>
  <si>
    <t>221167_s_at</t>
  </si>
  <si>
    <t>CCDC70</t>
  </si>
  <si>
    <t>208851_s_at</t>
  </si>
  <si>
    <t>207827_x_at</t>
  </si>
  <si>
    <t>218335_x_at</t>
  </si>
  <si>
    <t>219665_at</t>
  </si>
  <si>
    <t>NUDT18</t>
  </si>
  <si>
    <t>205339_at</t>
  </si>
  <si>
    <t>STIL</t>
  </si>
  <si>
    <t>207048_at</t>
  </si>
  <si>
    <t>SLC6A11</t>
  </si>
  <si>
    <t>216762_at</t>
  </si>
  <si>
    <t>201281_at</t>
  </si>
  <si>
    <t>ADRM1</t>
  </si>
  <si>
    <t>207931_s_at</t>
  </si>
  <si>
    <t>217735_s_at</t>
  </si>
  <si>
    <t>EIF2AK1</t>
  </si>
  <si>
    <t>217301_x_at</t>
  </si>
  <si>
    <t>RBBP4</t>
  </si>
  <si>
    <t>206855_s_at</t>
  </si>
  <si>
    <t>HYAL2</t>
  </si>
  <si>
    <t>221087_s_at</t>
  </si>
  <si>
    <t>APOL3</t>
  </si>
  <si>
    <t>212854_x_at</t>
  </si>
  <si>
    <t>219299_at</t>
  </si>
  <si>
    <t>TRMT12</t>
  </si>
  <si>
    <t>200880_at</t>
  </si>
  <si>
    <t>DNAJA1</t>
  </si>
  <si>
    <t>213180_s_at</t>
  </si>
  <si>
    <t>201196_s_at</t>
  </si>
  <si>
    <t>210963_s_at</t>
  </si>
  <si>
    <t>GYG2</t>
  </si>
  <si>
    <t>210910_s_at</t>
  </si>
  <si>
    <t>POMZP3</t>
  </si>
  <si>
    <t>216269_s_at</t>
  </si>
  <si>
    <t>ELN</t>
  </si>
  <si>
    <t>216505_x_at</t>
  </si>
  <si>
    <t>RPS10P5</t>
  </si>
  <si>
    <t>215823_x_at</t>
  </si>
  <si>
    <t>LOC100291776 /// PABPC1 /// PABPC3 /// RLIM</t>
  </si>
  <si>
    <t>211843_x_at</t>
  </si>
  <si>
    <t>207657_x_at</t>
  </si>
  <si>
    <t>202220_at</t>
  </si>
  <si>
    <t>KIAA0907</t>
  </si>
  <si>
    <t>216781_at</t>
  </si>
  <si>
    <t>220577_at</t>
  </si>
  <si>
    <t>GVIN1</t>
  </si>
  <si>
    <t>222175_s_at</t>
  </si>
  <si>
    <t>MED15</t>
  </si>
  <si>
    <t>210671_x_at</t>
  </si>
  <si>
    <t>203617_x_at</t>
  </si>
  <si>
    <t>207287_at</t>
  </si>
  <si>
    <t>FLJ14107</t>
  </si>
  <si>
    <t>217593_at</t>
  </si>
  <si>
    <t>ZSCAN18</t>
  </si>
  <si>
    <t>200682_s_at</t>
  </si>
  <si>
    <t>211681_s_at</t>
  </si>
  <si>
    <t>PDLIM5</t>
  </si>
  <si>
    <t>201083_s_at</t>
  </si>
  <si>
    <t>212287_at</t>
  </si>
  <si>
    <t>SUZ12</t>
  </si>
  <si>
    <t>218214_at</t>
  </si>
  <si>
    <t>C12orf44</t>
  </si>
  <si>
    <t>209879_at</t>
  </si>
  <si>
    <t>218418_s_at</t>
  </si>
  <si>
    <t>221610_s_at</t>
  </si>
  <si>
    <t>STAP2</t>
  </si>
  <si>
    <t>211686_s_at</t>
  </si>
  <si>
    <t>MAK16</t>
  </si>
  <si>
    <t>219244_s_at</t>
  </si>
  <si>
    <t>MRPL46</t>
  </si>
  <si>
    <t>204973_at</t>
  </si>
  <si>
    <t>GJB1</t>
  </si>
  <si>
    <t>209975_at</t>
  </si>
  <si>
    <t>220437_at</t>
  </si>
  <si>
    <t>LOC55908</t>
  </si>
  <si>
    <t>211396_at</t>
  </si>
  <si>
    <t>211397_x_at</t>
  </si>
  <si>
    <t>KIR2DL2</t>
  </si>
  <si>
    <t>203960_s_at</t>
  </si>
  <si>
    <t>210246_s_at</t>
  </si>
  <si>
    <t>ABCC8</t>
  </si>
  <si>
    <t>209766_at</t>
  </si>
  <si>
    <t>214744_s_at</t>
  </si>
  <si>
    <t>RPL23</t>
  </si>
  <si>
    <t>215334_at</t>
  </si>
  <si>
    <t>210832_x_at</t>
  </si>
  <si>
    <t>208576_s_at</t>
  </si>
  <si>
    <t>HIST1H3B</t>
  </si>
  <si>
    <t>205811_at</t>
  </si>
  <si>
    <t>POLG2</t>
  </si>
  <si>
    <t>202940_at</t>
  </si>
  <si>
    <t>218086_at</t>
  </si>
  <si>
    <t>NPDC1</t>
  </si>
  <si>
    <t>200048_s_at</t>
  </si>
  <si>
    <t>203864_s_at</t>
  </si>
  <si>
    <t>210805_x_at</t>
  </si>
  <si>
    <t>207519_at</t>
  </si>
  <si>
    <t>SLC6A4</t>
  </si>
  <si>
    <t>215470_at</t>
  </si>
  <si>
    <t>GTF2H2B</t>
  </si>
  <si>
    <t>213984_at</t>
  </si>
  <si>
    <t>222065_s_at</t>
  </si>
  <si>
    <t>210685_s_at</t>
  </si>
  <si>
    <t>218836_at</t>
  </si>
  <si>
    <t>RPP21 /// TRIM39 /// TRIM39R</t>
  </si>
  <si>
    <t>202064_s_at</t>
  </si>
  <si>
    <t>208378_x_at</t>
  </si>
  <si>
    <t>218438_s_at</t>
  </si>
  <si>
    <t>MED28</t>
  </si>
  <si>
    <t>202050_s_at</t>
  </si>
  <si>
    <t>201689_s_at</t>
  </si>
  <si>
    <t>208534_s_at</t>
  </si>
  <si>
    <t>LOC100132214 /// RASA4 /// RASA4P</t>
  </si>
  <si>
    <t>221888_at</t>
  </si>
  <si>
    <t>207527_at</t>
  </si>
  <si>
    <t>KCNJ9</t>
  </si>
  <si>
    <t>205372_at</t>
  </si>
  <si>
    <t>PLAG1</t>
  </si>
  <si>
    <t>208157_at</t>
  </si>
  <si>
    <t>201857_at</t>
  </si>
  <si>
    <t>212387_at</t>
  </si>
  <si>
    <t>219243_at</t>
  </si>
  <si>
    <t>GIMAP4</t>
  </si>
  <si>
    <t>205153_s_at</t>
  </si>
  <si>
    <t>208484_at</t>
  </si>
  <si>
    <t>HIST1H1A</t>
  </si>
  <si>
    <t>212897_at</t>
  </si>
  <si>
    <t>217154_s_at</t>
  </si>
  <si>
    <t>EDN3</t>
  </si>
  <si>
    <t>205431_s_at</t>
  </si>
  <si>
    <t>BMP5</t>
  </si>
  <si>
    <t>205274_at</t>
  </si>
  <si>
    <t>212303_x_at</t>
  </si>
  <si>
    <t>212906_at</t>
  </si>
  <si>
    <t>GRAMD1B</t>
  </si>
  <si>
    <t>212427_at</t>
  </si>
  <si>
    <t>216418_at</t>
  </si>
  <si>
    <t>210923_at</t>
  </si>
  <si>
    <t>214799_at</t>
  </si>
  <si>
    <t>NFASC</t>
  </si>
  <si>
    <t>218830_at</t>
  </si>
  <si>
    <t>RPL26L1</t>
  </si>
  <si>
    <t>208651_x_at</t>
  </si>
  <si>
    <t>205192_at</t>
  </si>
  <si>
    <t>MAP3K14</t>
  </si>
  <si>
    <t>210023_s_at</t>
  </si>
  <si>
    <t>211752_s_at</t>
  </si>
  <si>
    <t>NDUFS7</t>
  </si>
  <si>
    <t>215364_s_at</t>
  </si>
  <si>
    <t>KIAA0467</t>
  </si>
  <si>
    <t>210239_at</t>
  </si>
  <si>
    <t>IRX5</t>
  </si>
  <si>
    <t>211211_x_at</t>
  </si>
  <si>
    <t>211710_x_at</t>
  </si>
  <si>
    <t>RPL4</t>
  </si>
  <si>
    <t>202156_s_at</t>
  </si>
  <si>
    <t>203262_s_at</t>
  </si>
  <si>
    <t>FAM50A</t>
  </si>
  <si>
    <t>213670_x_at</t>
  </si>
  <si>
    <t>217846_at</t>
  </si>
  <si>
    <t>QARS</t>
  </si>
  <si>
    <t>202177_at</t>
  </si>
  <si>
    <t>211842_s_at</t>
  </si>
  <si>
    <t>222357_at</t>
  </si>
  <si>
    <t>208146_s_at</t>
  </si>
  <si>
    <t>CPVL</t>
  </si>
  <si>
    <t>51200_at</t>
  </si>
  <si>
    <t>C19orf60</t>
  </si>
  <si>
    <t>218247_s_at</t>
  </si>
  <si>
    <t>MEX3C</t>
  </si>
  <si>
    <t>201618_x_at</t>
  </si>
  <si>
    <t>GPAA1</t>
  </si>
  <si>
    <t>213534_s_at</t>
  </si>
  <si>
    <t>210387_at</t>
  </si>
  <si>
    <t>HIST1H2BG</t>
  </si>
  <si>
    <t>219944_at</t>
  </si>
  <si>
    <t>CLIP4</t>
  </si>
  <si>
    <t>201433_s_at</t>
  </si>
  <si>
    <t>PTDSS1</t>
  </si>
  <si>
    <t>202955_s_at</t>
  </si>
  <si>
    <t>ARFGEF1</t>
  </si>
  <si>
    <t>220279_at</t>
  </si>
  <si>
    <t>TRIM17</t>
  </si>
  <si>
    <t>222293_at</t>
  </si>
  <si>
    <t>200688_at</t>
  </si>
  <si>
    <t>200746_s_at</t>
  </si>
  <si>
    <t>212340_at</t>
  </si>
  <si>
    <t>212884_x_at</t>
  </si>
  <si>
    <t>216941_s_at</t>
  </si>
  <si>
    <t>TAF1B</t>
  </si>
  <si>
    <t>218553_s_at</t>
  </si>
  <si>
    <t>KCTD15</t>
  </si>
  <si>
    <t>220939_s_at</t>
  </si>
  <si>
    <t>DPP8</t>
  </si>
  <si>
    <t>209802_at</t>
  </si>
  <si>
    <t>PHLDA2</t>
  </si>
  <si>
    <t>214505_s_at</t>
  </si>
  <si>
    <t>207434_s_at</t>
  </si>
  <si>
    <t>220100_at</t>
  </si>
  <si>
    <t>SLC22A11</t>
  </si>
  <si>
    <t>203064_s_at</t>
  </si>
  <si>
    <t>FOXK2</t>
  </si>
  <si>
    <t>205018_s_at</t>
  </si>
  <si>
    <t>205299_s_at</t>
  </si>
  <si>
    <t>221739_at</t>
  </si>
  <si>
    <t>200066_at</t>
  </si>
  <si>
    <t>IK</t>
  </si>
  <si>
    <t>213884_s_at</t>
  </si>
  <si>
    <t>TRIM3</t>
  </si>
  <si>
    <t>211261_at</t>
  </si>
  <si>
    <t>212178_s_at</t>
  </si>
  <si>
    <t>214966_at</t>
  </si>
  <si>
    <t>214657_s_at</t>
  </si>
  <si>
    <t>NEAT1</t>
  </si>
  <si>
    <t>203772_at</t>
  </si>
  <si>
    <t>210971_s_at</t>
  </si>
  <si>
    <t>201435_s_at</t>
  </si>
  <si>
    <t>215813_s_at</t>
  </si>
  <si>
    <t>219561_at</t>
  </si>
  <si>
    <t>COPZ2</t>
  </si>
  <si>
    <t>205191_at</t>
  </si>
  <si>
    <t>RP2</t>
  </si>
  <si>
    <t>218342_s_at</t>
  </si>
  <si>
    <t>ERMP1</t>
  </si>
  <si>
    <t>202463_s_at</t>
  </si>
  <si>
    <t>210038_at</t>
  </si>
  <si>
    <t>210411_s_at</t>
  </si>
  <si>
    <t>217881_s_at</t>
  </si>
  <si>
    <t>200594_x_at</t>
  </si>
  <si>
    <t>218126_at</t>
  </si>
  <si>
    <t>FAM82A2</t>
  </si>
  <si>
    <t>218341_at</t>
  </si>
  <si>
    <t>PPCS</t>
  </si>
  <si>
    <t>220193_at</t>
  </si>
  <si>
    <t>C1orf113</t>
  </si>
  <si>
    <t>219464_at</t>
  </si>
  <si>
    <t>CA14</t>
  </si>
  <si>
    <t>215645_at</t>
  </si>
  <si>
    <t>FLCN</t>
  </si>
  <si>
    <t>213967_at</t>
  </si>
  <si>
    <t>RALYL</t>
  </si>
  <si>
    <t>214903_at</t>
  </si>
  <si>
    <t>SYT2</t>
  </si>
  <si>
    <t>217339_x_at</t>
  </si>
  <si>
    <t>CTAG1A /// CTAG1B</t>
  </si>
  <si>
    <t>214383_x_at</t>
  </si>
  <si>
    <t>219320_at</t>
  </si>
  <si>
    <t>MYO19</t>
  </si>
  <si>
    <t>208303_s_at</t>
  </si>
  <si>
    <t>CRLF2</t>
  </si>
  <si>
    <t>210722_at</t>
  </si>
  <si>
    <t>219627_at</t>
  </si>
  <si>
    <t>ZNF767</t>
  </si>
  <si>
    <t>205847_at</t>
  </si>
  <si>
    <t>PRSS22</t>
  </si>
  <si>
    <t>210344_at</t>
  </si>
  <si>
    <t>213520_at</t>
  </si>
  <si>
    <t>RECQL4</t>
  </si>
  <si>
    <t>210646_x_at</t>
  </si>
  <si>
    <t>37965_at</t>
  </si>
  <si>
    <t>213106_at</t>
  </si>
  <si>
    <t>ATP8A1</t>
  </si>
  <si>
    <t>201687_s_at</t>
  </si>
  <si>
    <t>218909_at</t>
  </si>
  <si>
    <t>RPS6KC1</t>
  </si>
  <si>
    <t>219364_at</t>
  </si>
  <si>
    <t>DHX58</t>
  </si>
  <si>
    <t>202818_s_at</t>
  </si>
  <si>
    <t>211416_x_at</t>
  </si>
  <si>
    <t>GGTLC1</t>
  </si>
  <si>
    <t>206512_at</t>
  </si>
  <si>
    <t>ZRSR1</t>
  </si>
  <si>
    <t>207343_at</t>
  </si>
  <si>
    <t>LYZL6</t>
  </si>
  <si>
    <t>206175_x_at</t>
  </si>
  <si>
    <t>ZNF222</t>
  </si>
  <si>
    <t>215449_at</t>
  </si>
  <si>
    <t>BZRPL1</t>
  </si>
  <si>
    <t>217677_at</t>
  </si>
  <si>
    <t>PLEKHA2</t>
  </si>
  <si>
    <t>209015_s_at</t>
  </si>
  <si>
    <t>DNAJB6</t>
  </si>
  <si>
    <t>215048_at</t>
  </si>
  <si>
    <t>ZNF280B</t>
  </si>
  <si>
    <t>217660_at</t>
  </si>
  <si>
    <t>220250_at</t>
  </si>
  <si>
    <t>ZNF286A</t>
  </si>
  <si>
    <t>211139_s_at</t>
  </si>
  <si>
    <t>212674_s_at</t>
  </si>
  <si>
    <t>DHX30</t>
  </si>
  <si>
    <t>208808_s_at</t>
  </si>
  <si>
    <t>HMGB2</t>
  </si>
  <si>
    <t>209260_at</t>
  </si>
  <si>
    <t>209646_x_at</t>
  </si>
  <si>
    <t>213339_at</t>
  </si>
  <si>
    <t>KIAA0495</t>
  </si>
  <si>
    <t>213160_at</t>
  </si>
  <si>
    <t>DOCK2</t>
  </si>
  <si>
    <t>205389_s_at</t>
  </si>
  <si>
    <t>219222_at</t>
  </si>
  <si>
    <t>RBKS</t>
  </si>
  <si>
    <t>210873_x_at</t>
  </si>
  <si>
    <t>APOBEC3A</t>
  </si>
  <si>
    <t>203282_at</t>
  </si>
  <si>
    <t>GBE1</t>
  </si>
  <si>
    <t>208569_at</t>
  </si>
  <si>
    <t>HIST1H2AB</t>
  </si>
  <si>
    <t>201526_at</t>
  </si>
  <si>
    <t>ARF5</t>
  </si>
  <si>
    <t>206186_at</t>
  </si>
  <si>
    <t>MPP3</t>
  </si>
  <si>
    <t>207303_at</t>
  </si>
  <si>
    <t>213230_at</t>
  </si>
  <si>
    <t>CDR2L</t>
  </si>
  <si>
    <t>218032_at</t>
  </si>
  <si>
    <t>210944_s_at</t>
  </si>
  <si>
    <t>202250_s_at</t>
  </si>
  <si>
    <t>219792_at</t>
  </si>
  <si>
    <t>AGMAT</t>
  </si>
  <si>
    <t>221508_at</t>
  </si>
  <si>
    <t>210341_at</t>
  </si>
  <si>
    <t>202996_at</t>
  </si>
  <si>
    <t>POLD4</t>
  </si>
  <si>
    <t>204760_s_at</t>
  </si>
  <si>
    <t>211868_x_at</t>
  </si>
  <si>
    <t>IGH@ /// IGHA1 /// IGHA2 /// IGHD /// IGHG1 /// IGHG2 /// IGHG3 /// IGHM /// IGHV3-23 /// IGHV4-31 /</t>
  </si>
  <si>
    <t>214927_at</t>
  </si>
  <si>
    <t>ITGBL1</t>
  </si>
  <si>
    <t>205145_s_at</t>
  </si>
  <si>
    <t>MYL5</t>
  </si>
  <si>
    <t>214315_x_at</t>
  </si>
  <si>
    <t>218887_at</t>
  </si>
  <si>
    <t>MRPL2</t>
  </si>
  <si>
    <t>220543_at</t>
  </si>
  <si>
    <t>C21orf62</t>
  </si>
  <si>
    <t>203200_s_at</t>
  </si>
  <si>
    <t>216765_at</t>
  </si>
  <si>
    <t>200950_at</t>
  </si>
  <si>
    <t>ARPC1A</t>
  </si>
  <si>
    <t>215885_at</t>
  </si>
  <si>
    <t>SSX7</t>
  </si>
  <si>
    <t>220044_x_at</t>
  </si>
  <si>
    <t>202592_at</t>
  </si>
  <si>
    <t>BLOC1S1</t>
  </si>
  <si>
    <t>211003_x_at</t>
  </si>
  <si>
    <t>213190_at</t>
  </si>
  <si>
    <t>COG7</t>
  </si>
  <si>
    <t>211589_at</t>
  </si>
  <si>
    <t>208748_s_at</t>
  </si>
  <si>
    <t>213719_s_at</t>
  </si>
  <si>
    <t>LOC100290129</t>
  </si>
  <si>
    <t>208615_s_at</t>
  </si>
  <si>
    <t>202078_at</t>
  </si>
  <si>
    <t>COPS3</t>
  </si>
  <si>
    <t>204608_at</t>
  </si>
  <si>
    <t>ASL</t>
  </si>
  <si>
    <t>212120_at</t>
  </si>
  <si>
    <t>210878_s_at</t>
  </si>
  <si>
    <t>214208_at</t>
  </si>
  <si>
    <t>215210_s_at</t>
  </si>
  <si>
    <t>DLST /// DLSTP</t>
  </si>
  <si>
    <t>209689_at</t>
  </si>
  <si>
    <t>210870_s_at</t>
  </si>
  <si>
    <t>200089_s_at</t>
  </si>
  <si>
    <t>214015_at</t>
  </si>
  <si>
    <t>SOCS7</t>
  </si>
  <si>
    <t>213348_at</t>
  </si>
  <si>
    <t>221824_s_at</t>
  </si>
  <si>
    <t>_x001A__x001A__x001A_-08</t>
  </si>
  <si>
    <t>205647_at</t>
  </si>
  <si>
    <t>220043_s_at</t>
  </si>
  <si>
    <t>MFI2</t>
  </si>
  <si>
    <t>211992_at</t>
  </si>
  <si>
    <t>221688_s_at</t>
  </si>
  <si>
    <t>IMP3</t>
  </si>
  <si>
    <t>220304_s_at</t>
  </si>
  <si>
    <t>CNGB3</t>
  </si>
  <si>
    <t>206296_x_at</t>
  </si>
  <si>
    <t>203987_at</t>
  </si>
  <si>
    <t>FZD6</t>
  </si>
  <si>
    <t>205206_at</t>
  </si>
  <si>
    <t>KAL1</t>
  </si>
  <si>
    <t>206459_s_at</t>
  </si>
  <si>
    <t>WNT2B</t>
  </si>
  <si>
    <t>211699_x_at</t>
  </si>
  <si>
    <t>HBA1 /// HBA2</t>
  </si>
  <si>
    <t>222374_at</t>
  </si>
  <si>
    <t>211069_s_at</t>
  </si>
  <si>
    <t>220164_s_at</t>
  </si>
  <si>
    <t>FBXO40</t>
  </si>
  <si>
    <t>211630_s_at</t>
  </si>
  <si>
    <t>GSS</t>
  </si>
  <si>
    <t>202389_s_at</t>
  </si>
  <si>
    <t>HTT</t>
  </si>
  <si>
    <t>203505_at</t>
  </si>
  <si>
    <t>ABCA1</t>
  </si>
  <si>
    <t>216676_x_at</t>
  </si>
  <si>
    <t>KIR3DL3</t>
  </si>
  <si>
    <t>221811_at</t>
  </si>
  <si>
    <t>202434_s_at</t>
  </si>
  <si>
    <t>206607_at</t>
  </si>
  <si>
    <t>CBL</t>
  </si>
  <si>
    <t>209410_s_at</t>
  </si>
  <si>
    <t>212564_at</t>
  </si>
  <si>
    <t>207614_s_at</t>
  </si>
  <si>
    <t>CUL1</t>
  </si>
  <si>
    <t>208472_at</t>
  </si>
  <si>
    <t>IKZF4</t>
  </si>
  <si>
    <t>215015_at</t>
  </si>
  <si>
    <t>CCDC64</t>
  </si>
  <si>
    <t>219994_at</t>
  </si>
  <si>
    <t>APBB1IP</t>
  </si>
  <si>
    <t>209750_at</t>
  </si>
  <si>
    <t>NR1D2</t>
  </si>
  <si>
    <t>211497_x_at</t>
  </si>
  <si>
    <t>220447_at</t>
  </si>
  <si>
    <t>214888_at</t>
  </si>
  <si>
    <t>206066_s_at</t>
  </si>
  <si>
    <t>214991_s_at</t>
  </si>
  <si>
    <t>200885_at</t>
  </si>
  <si>
    <t>RHOC</t>
  </si>
  <si>
    <t>200936_at</t>
  </si>
  <si>
    <t>RPL8</t>
  </si>
  <si>
    <t>212270_x_at</t>
  </si>
  <si>
    <t>220515_at</t>
  </si>
  <si>
    <t>DUSP21</t>
  </si>
  <si>
    <t>213378_s_at</t>
  </si>
  <si>
    <t>DDX11 /// DDX12 /// LOC642846</t>
  </si>
  <si>
    <t>207347_at</t>
  </si>
  <si>
    <t>ERCC6</t>
  </si>
  <si>
    <t>216019_x_at</t>
  </si>
  <si>
    <t>203926_x_at</t>
  </si>
  <si>
    <t>ATP5D</t>
  </si>
  <si>
    <t>213096_at</t>
  </si>
  <si>
    <t>TMCC2</t>
  </si>
  <si>
    <t>204484_at</t>
  </si>
  <si>
    <t>PIK3C2B</t>
  </si>
  <si>
    <t>AFFX-HUMISGF3A/M97935_3_at</t>
  </si>
  <si>
    <t>221851_at</t>
  </si>
  <si>
    <t>218900_at</t>
  </si>
  <si>
    <t>CNNM4</t>
  </si>
  <si>
    <t>202769_at</t>
  </si>
  <si>
    <t>CCNG2</t>
  </si>
  <si>
    <t>206381_at</t>
  </si>
  <si>
    <t>SCN2A</t>
  </si>
  <si>
    <t>218991_at</t>
  </si>
  <si>
    <t>219474_at</t>
  </si>
  <si>
    <t>C3orf52</t>
  </si>
  <si>
    <t>37201_at</t>
  </si>
  <si>
    <t>212715_s_at</t>
  </si>
  <si>
    <t>MICAL3</t>
  </si>
  <si>
    <t>211518_s_at</t>
  </si>
  <si>
    <t>BMP4</t>
  </si>
  <si>
    <t>201168_x_at</t>
  </si>
  <si>
    <t>203265_s_at</t>
  </si>
  <si>
    <t>214531_s_at</t>
  </si>
  <si>
    <t>207531_at</t>
  </si>
  <si>
    <t>CRYGC</t>
  </si>
  <si>
    <t>200035_at</t>
  </si>
  <si>
    <t>DULLARD</t>
  </si>
  <si>
    <t>207971_s_at</t>
  </si>
  <si>
    <t>202533_s_at</t>
  </si>
  <si>
    <t>210876_at</t>
  </si>
  <si>
    <t>ANXA2P1</t>
  </si>
  <si>
    <t>214005_at</t>
  </si>
  <si>
    <t>215735_s_at</t>
  </si>
  <si>
    <t>218537_at</t>
  </si>
  <si>
    <t>220951_s_at</t>
  </si>
  <si>
    <t>A1CF</t>
  </si>
  <si>
    <t>215160_x_at</t>
  </si>
  <si>
    <t>LOC642236</t>
  </si>
  <si>
    <t>201684_s_at</t>
  </si>
  <si>
    <t>218606_at</t>
  </si>
  <si>
    <t>ZDHHC7</t>
  </si>
  <si>
    <t>203462_x_at</t>
  </si>
  <si>
    <t>203236_s_at</t>
  </si>
  <si>
    <t>LGALS9</t>
  </si>
  <si>
    <t>207988_s_at</t>
  </si>
  <si>
    <t>216428_x_at</t>
  </si>
  <si>
    <t>217249_x_at</t>
  </si>
  <si>
    <t>203721_s_at</t>
  </si>
  <si>
    <t>UTP18</t>
  </si>
  <si>
    <t>209812_x_at</t>
  </si>
  <si>
    <t>216689_x_at</t>
  </si>
  <si>
    <t>219662_at</t>
  </si>
  <si>
    <t>C2orf49</t>
  </si>
  <si>
    <t>204018_x_at</t>
  </si>
  <si>
    <t>212623_at</t>
  </si>
  <si>
    <t>211999_at</t>
  </si>
  <si>
    <t>202117_at</t>
  </si>
  <si>
    <t>211532_x_at</t>
  </si>
  <si>
    <t>KIR2DS2</t>
  </si>
  <si>
    <t>220379_at</t>
  </si>
  <si>
    <t>FSCN3</t>
  </si>
  <si>
    <t>216902_s_at</t>
  </si>
  <si>
    <t>LOC653390 /// LOC730092 /// RRN3</t>
  </si>
  <si>
    <t>200861_at</t>
  </si>
  <si>
    <t>37424_at</t>
  </si>
  <si>
    <t>CCHCR1</t>
  </si>
  <si>
    <t>221291_at</t>
  </si>
  <si>
    <t>ULBP2</t>
  </si>
  <si>
    <t>200055_at</t>
  </si>
  <si>
    <t>TAF10</t>
  </si>
  <si>
    <t>44673_at</t>
  </si>
  <si>
    <t>SIGLEC1</t>
  </si>
  <si>
    <t>203053_at</t>
  </si>
  <si>
    <t>BCAS2</t>
  </si>
  <si>
    <t>205354_at</t>
  </si>
  <si>
    <t>GAMT</t>
  </si>
  <si>
    <t>202143_s_at</t>
  </si>
  <si>
    <t>213847_at</t>
  </si>
  <si>
    <t>PRPH</t>
  </si>
  <si>
    <t>204688_at</t>
  </si>
  <si>
    <t>SGCE</t>
  </si>
  <si>
    <t>201179_s_at</t>
  </si>
  <si>
    <t>213631_x_at</t>
  </si>
  <si>
    <t>DHODH</t>
  </si>
  <si>
    <t>202183_s_at</t>
  </si>
  <si>
    <t>KIF22</t>
  </si>
  <si>
    <t>221684_s_at</t>
  </si>
  <si>
    <t>NYX</t>
  </si>
  <si>
    <t>207138_at</t>
  </si>
  <si>
    <t>201256_at</t>
  </si>
  <si>
    <t>COX7A2L</t>
  </si>
  <si>
    <t>222109_at</t>
  </si>
  <si>
    <t>221814_at</t>
  </si>
  <si>
    <t>GPR124</t>
  </si>
  <si>
    <t>219340_s_at</t>
  </si>
  <si>
    <t>CLN8</t>
  </si>
  <si>
    <t>215804_at</t>
  </si>
  <si>
    <t>216897_s_at</t>
  </si>
  <si>
    <t>FAM76A</t>
  </si>
  <si>
    <t>201959_s_at</t>
  </si>
  <si>
    <t>205049_s_at</t>
  </si>
  <si>
    <t>CD79A</t>
  </si>
  <si>
    <t>208117_s_at</t>
  </si>
  <si>
    <t>LAS1L</t>
  </si>
  <si>
    <t>202893_at</t>
  </si>
  <si>
    <t>UNC13B</t>
  </si>
  <si>
    <t>212385_at</t>
  </si>
  <si>
    <t>204157_s_at</t>
  </si>
  <si>
    <t>220475_at</t>
  </si>
  <si>
    <t>SLC28A3</t>
  </si>
  <si>
    <t>203267_s_at</t>
  </si>
  <si>
    <t>220519_s_at</t>
  </si>
  <si>
    <t>LIM2</t>
  </si>
  <si>
    <t>210557_x_at</t>
  </si>
  <si>
    <t>214419_s_at</t>
  </si>
  <si>
    <t>203600_s_at</t>
  </si>
  <si>
    <t>C4orf8</t>
  </si>
  <si>
    <t>221833_at</t>
  </si>
  <si>
    <t>LONP2</t>
  </si>
  <si>
    <t>203507_at</t>
  </si>
  <si>
    <t>CD68</t>
  </si>
  <si>
    <t>203743_s_at</t>
  </si>
  <si>
    <t>210759_s_at</t>
  </si>
  <si>
    <t>PSMA1</t>
  </si>
  <si>
    <t>210779_x_at</t>
  </si>
  <si>
    <t>203487_s_at</t>
  </si>
  <si>
    <t>204211_x_at</t>
  </si>
  <si>
    <t>EIF2AK2</t>
  </si>
  <si>
    <t>207536_s_at</t>
  </si>
  <si>
    <t>TNFRSF9</t>
  </si>
  <si>
    <t>209520_s_at</t>
  </si>
  <si>
    <t>NCBP1</t>
  </si>
  <si>
    <t>221329_at</t>
  </si>
  <si>
    <t>OR52A1</t>
  </si>
  <si>
    <t>220802_at</t>
  </si>
  <si>
    <t>KCNH4</t>
  </si>
  <si>
    <t>219091_s_at</t>
  </si>
  <si>
    <t>MMRN2</t>
  </si>
  <si>
    <t>218544_s_at</t>
  </si>
  <si>
    <t>RCL1</t>
  </si>
  <si>
    <t>210992_x_at</t>
  </si>
  <si>
    <t>203538_at</t>
  </si>
  <si>
    <t>CAMLG</t>
  </si>
  <si>
    <t>215819_s_at</t>
  </si>
  <si>
    <t>RHCE /// RHD</t>
  </si>
  <si>
    <t>207162_s_at</t>
  </si>
  <si>
    <t>CACNA1B</t>
  </si>
  <si>
    <t>201693_s_at</t>
  </si>
  <si>
    <t>217813_s_at</t>
  </si>
  <si>
    <t>SPIN1</t>
  </si>
  <si>
    <t>214294_at</t>
  </si>
  <si>
    <t>KIAA0485</t>
  </si>
  <si>
    <t>205759_s_at</t>
  </si>
  <si>
    <t>SULT2B1</t>
  </si>
  <si>
    <t>213151_s_at</t>
  </si>
  <si>
    <t>208947_s_at</t>
  </si>
  <si>
    <t>212619_at</t>
  </si>
  <si>
    <t>213101_s_at</t>
  </si>
  <si>
    <t>203255_at</t>
  </si>
  <si>
    <t>209878_s_at</t>
  </si>
  <si>
    <t>213144_at</t>
  </si>
  <si>
    <t>218581_at</t>
  </si>
  <si>
    <t>ABHD4</t>
  </si>
  <si>
    <t>201688_s_at</t>
  </si>
  <si>
    <t>208678_at</t>
  </si>
  <si>
    <t>ATP6V1E1</t>
  </si>
  <si>
    <t>205930_at</t>
  </si>
  <si>
    <t>GTF2E1</t>
  </si>
  <si>
    <t>203082_at</t>
  </si>
  <si>
    <t>BMS1</t>
  </si>
  <si>
    <t>205238_at</t>
  </si>
  <si>
    <t>TRMT2B</t>
  </si>
  <si>
    <t>208974_x_at</t>
  </si>
  <si>
    <t>208209_s_at</t>
  </si>
  <si>
    <t>C4BPB</t>
  </si>
  <si>
    <t>208243_s_at</t>
  </si>
  <si>
    <t>CNR1</t>
  </si>
  <si>
    <t>201596_x_at</t>
  </si>
  <si>
    <t>KRT18</t>
  </si>
  <si>
    <t>211899_s_at</t>
  </si>
  <si>
    <t>202462_s_at</t>
  </si>
  <si>
    <t>DDX46</t>
  </si>
  <si>
    <t>212736_at</t>
  </si>
  <si>
    <t>C16orf45</t>
  </si>
  <si>
    <t>217998_at</t>
  </si>
  <si>
    <t>LOC100289208 /// PHLDA1</t>
  </si>
  <si>
    <t>65635_at</t>
  </si>
  <si>
    <t>212141_at</t>
  </si>
  <si>
    <t>218845_at</t>
  </si>
  <si>
    <t>DUSP22</t>
  </si>
  <si>
    <t>37996_s_at</t>
  </si>
  <si>
    <t>221662_s_at</t>
  </si>
  <si>
    <t>204664_at</t>
  </si>
  <si>
    <t>ALPP</t>
  </si>
  <si>
    <t>201286_at</t>
  </si>
  <si>
    <t>220904_at</t>
  </si>
  <si>
    <t>C6orf208</t>
  </si>
  <si>
    <t>206691_s_at</t>
  </si>
  <si>
    <t>200917_s_at</t>
  </si>
  <si>
    <t>213408_s_at</t>
  </si>
  <si>
    <t>PI4KA /// PI4KAP1 /// PI4KAP2</t>
  </si>
  <si>
    <t>207993_s_at</t>
  </si>
  <si>
    <t>209113_s_at</t>
  </si>
  <si>
    <t>206260_at</t>
  </si>
  <si>
    <t>200668_s_at</t>
  </si>
  <si>
    <t>210421_s_at</t>
  </si>
  <si>
    <t>215692_s_at</t>
  </si>
  <si>
    <t>MPPED2</t>
  </si>
  <si>
    <t>218382_s_at</t>
  </si>
  <si>
    <t>210654_at</t>
  </si>
  <si>
    <t>TNFRSF10D</t>
  </si>
  <si>
    <t>210908_s_at</t>
  </si>
  <si>
    <t>213034_at</t>
  </si>
  <si>
    <t>201423_s_at</t>
  </si>
  <si>
    <t>208997_s_at</t>
  </si>
  <si>
    <t>218131_s_at</t>
  </si>
  <si>
    <t>GATAD2A</t>
  </si>
  <si>
    <t>205429_s_at</t>
  </si>
  <si>
    <t>MPP6</t>
  </si>
  <si>
    <t>211799_x_at</t>
  </si>
  <si>
    <t>208707_at</t>
  </si>
  <si>
    <t>204978_at</t>
  </si>
  <si>
    <t>SFRS16</t>
  </si>
  <si>
    <t>212530_at</t>
  </si>
  <si>
    <t>NEK7</t>
  </si>
  <si>
    <t>203406_at</t>
  </si>
  <si>
    <t>MFAP1</t>
  </si>
  <si>
    <t>206887_at</t>
  </si>
  <si>
    <t>CCBP2</t>
  </si>
  <si>
    <t>210742_at</t>
  </si>
  <si>
    <t>201864_at</t>
  </si>
  <si>
    <t>GDI1</t>
  </si>
  <si>
    <t>213263_s_at</t>
  </si>
  <si>
    <t>220908_at</t>
  </si>
  <si>
    <t>CCDC33</t>
  </si>
  <si>
    <t>212010_s_at</t>
  </si>
  <si>
    <t>202495_at</t>
  </si>
  <si>
    <t>TBCC</t>
  </si>
  <si>
    <t>218727_at</t>
  </si>
  <si>
    <t>214993_at</t>
  </si>
  <si>
    <t>ASPHD1</t>
  </si>
  <si>
    <t>220671_at</t>
  </si>
  <si>
    <t>CCRN4L</t>
  </si>
  <si>
    <t>211493_x_at</t>
  </si>
  <si>
    <t>215349_at</t>
  </si>
  <si>
    <t>hCG_1730474</t>
  </si>
  <si>
    <t>205922_at</t>
  </si>
  <si>
    <t>VNN2</t>
  </si>
  <si>
    <t>207443_at</t>
  </si>
  <si>
    <t>NR2E1</t>
  </si>
  <si>
    <t>200092_s_at</t>
  </si>
  <si>
    <t>RPL37</t>
  </si>
  <si>
    <t>34063_at</t>
  </si>
  <si>
    <t>34408_at</t>
  </si>
  <si>
    <t>RTN2</t>
  </si>
  <si>
    <t>40148_at</t>
  </si>
  <si>
    <t>823_at</t>
  </si>
  <si>
    <t>57703_at</t>
  </si>
  <si>
    <t>SENP5</t>
  </si>
  <si>
    <t>59625_at</t>
  </si>
  <si>
    <t>NOL3</t>
  </si>
  <si>
    <t>64432_at</t>
  </si>
  <si>
    <t>91816_f_at</t>
  </si>
  <si>
    <t>200635_s_at</t>
  </si>
  <si>
    <t>200645_at</t>
  </si>
  <si>
    <t>GABARAP</t>
  </si>
  <si>
    <t>200834_s_at</t>
  </si>
  <si>
    <t>LOC100291837 /// RPS21</t>
  </si>
  <si>
    <t>200973_s_at</t>
  </si>
  <si>
    <t>201054_at</t>
  </si>
  <si>
    <t>201082_s_at</t>
  </si>
  <si>
    <t>201194_at</t>
  </si>
  <si>
    <t>SEPW1</t>
  </si>
  <si>
    <t>201647_s_at</t>
  </si>
  <si>
    <t>201670_s_at</t>
  </si>
  <si>
    <t>MARCKS</t>
  </si>
  <si>
    <t>201698_s_at</t>
  </si>
  <si>
    <t>201760_s_at</t>
  </si>
  <si>
    <t>201971_s_at</t>
  </si>
  <si>
    <t>201993_x_at</t>
  </si>
  <si>
    <t>202042_at</t>
  </si>
  <si>
    <t>HARS</t>
  </si>
  <si>
    <t>202093_s_at</t>
  </si>
  <si>
    <t>PAF1</t>
  </si>
  <si>
    <t>202209_at</t>
  </si>
  <si>
    <t>LSM3</t>
  </si>
  <si>
    <t>202332_at</t>
  </si>
  <si>
    <t>202398_at</t>
  </si>
  <si>
    <t>202414_at</t>
  </si>
  <si>
    <t>ERCC5</t>
  </si>
  <si>
    <t>202431_s_at</t>
  </si>
  <si>
    <t>MYC</t>
  </si>
  <si>
    <t>202458_at</t>
  </si>
  <si>
    <t>PRSS23</t>
  </si>
  <si>
    <t>202687_s_at</t>
  </si>
  <si>
    <t>202819_s_at</t>
  </si>
  <si>
    <t>202833_s_at</t>
  </si>
  <si>
    <t>SERPINA1</t>
  </si>
  <si>
    <t>203153_at</t>
  </si>
  <si>
    <t>IFIT1</t>
  </si>
  <si>
    <t>203260_at</t>
  </si>
  <si>
    <t>203308_x_at</t>
  </si>
  <si>
    <t>203323_at</t>
  </si>
  <si>
    <t>CAV2</t>
  </si>
  <si>
    <t>203469_s_at</t>
  </si>
  <si>
    <t>203502_at</t>
  </si>
  <si>
    <t>BPGM</t>
  </si>
  <si>
    <t>203526_s_at</t>
  </si>
  <si>
    <t>203648_at</t>
  </si>
  <si>
    <t>TATDN2</t>
  </si>
  <si>
    <t>203752_s_at</t>
  </si>
  <si>
    <t>203798_s_at</t>
  </si>
  <si>
    <t>203807_x_at</t>
  </si>
  <si>
    <t>203810_at</t>
  </si>
  <si>
    <t>DNAJB4</t>
  </si>
  <si>
    <t>203886_s_at</t>
  </si>
  <si>
    <t>FBLN2</t>
  </si>
  <si>
    <t>203895_at</t>
  </si>
  <si>
    <t>PLCB4</t>
  </si>
  <si>
    <t>203897_at</t>
  </si>
  <si>
    <t>LYRM1</t>
  </si>
  <si>
    <t>203968_s_at</t>
  </si>
  <si>
    <t>CDC6</t>
  </si>
  <si>
    <t>203971_at</t>
  </si>
  <si>
    <t>SLC31A1</t>
  </si>
  <si>
    <t>204024_at</t>
  </si>
  <si>
    <t>OSGIN2</t>
  </si>
  <si>
    <t>204156_at</t>
  </si>
  <si>
    <t>204270_at</t>
  </si>
  <si>
    <t>SKI</t>
  </si>
  <si>
    <t>204353_s_at</t>
  </si>
  <si>
    <t>204363_at</t>
  </si>
  <si>
    <t>F3</t>
  </si>
  <si>
    <t>204379_s_at</t>
  </si>
  <si>
    <t>FGFR3</t>
  </si>
  <si>
    <t>204453_at</t>
  </si>
  <si>
    <t>ZNF84</t>
  </si>
  <si>
    <t>204517_at</t>
  </si>
  <si>
    <t>PPIC</t>
  </si>
  <si>
    <t>204523_at</t>
  </si>
  <si>
    <t>ZNF140</t>
  </si>
  <si>
    <t>204578_at</t>
  </si>
  <si>
    <t>HISPPD2A</t>
  </si>
  <si>
    <t>204582_s_at</t>
  </si>
  <si>
    <t>204629_at</t>
  </si>
  <si>
    <t>204780_s_at</t>
  </si>
  <si>
    <t>204794_at</t>
  </si>
  <si>
    <t>DUSP2</t>
  </si>
  <si>
    <t>204822_at</t>
  </si>
  <si>
    <t>TTK</t>
  </si>
  <si>
    <t>204855_at</t>
  </si>
  <si>
    <t>SERPINB5</t>
  </si>
  <si>
    <t>204894_s_at</t>
  </si>
  <si>
    <t>AOC3</t>
  </si>
  <si>
    <t>204944_at</t>
  </si>
  <si>
    <t>PTPRG</t>
  </si>
  <si>
    <t>204959_at</t>
  </si>
  <si>
    <t>MNDA</t>
  </si>
  <si>
    <t>204991_s_at</t>
  </si>
  <si>
    <t>205004_at</t>
  </si>
  <si>
    <t>NKRF</t>
  </si>
  <si>
    <t>205054_at</t>
  </si>
  <si>
    <t>NEB</t>
  </si>
  <si>
    <t>205218_at</t>
  </si>
  <si>
    <t>POLR3F</t>
  </si>
  <si>
    <t>205239_at</t>
  </si>
  <si>
    <t>AREG</t>
  </si>
  <si>
    <t>205261_at</t>
  </si>
  <si>
    <t>PGC</t>
  </si>
  <si>
    <t>205342_s_at</t>
  </si>
  <si>
    <t>SULT1C2</t>
  </si>
  <si>
    <t>205351_at</t>
  </si>
  <si>
    <t>205413_at</t>
  </si>
  <si>
    <t>205505_at</t>
  </si>
  <si>
    <t>GCNT1</t>
  </si>
  <si>
    <t>205569_at</t>
  </si>
  <si>
    <t>LAMP3</t>
  </si>
  <si>
    <t>205630_at</t>
  </si>
  <si>
    <t>205691_at</t>
  </si>
  <si>
    <t>SYNGR3</t>
  </si>
  <si>
    <t>205728_at</t>
  </si>
  <si>
    <t>ODZ1</t>
  </si>
  <si>
    <t>205741_s_at</t>
  </si>
  <si>
    <t>205758_at</t>
  </si>
  <si>
    <t>CD8A</t>
  </si>
  <si>
    <t>205791_x_at</t>
  </si>
  <si>
    <t>ZNF230</t>
  </si>
  <si>
    <t>205814_at</t>
  </si>
  <si>
    <t>GRM3</t>
  </si>
  <si>
    <t>205827_at</t>
  </si>
  <si>
    <t>CCK</t>
  </si>
  <si>
    <t>206199_at</t>
  </si>
  <si>
    <t>206226_at</t>
  </si>
  <si>
    <t>HRG</t>
  </si>
  <si>
    <t>206250_x_at</t>
  </si>
  <si>
    <t>206264_at</t>
  </si>
  <si>
    <t>206270_at</t>
  </si>
  <si>
    <t>PRKCG</t>
  </si>
  <si>
    <t>206306_at</t>
  </si>
  <si>
    <t>RYR3</t>
  </si>
  <si>
    <t>206322_at</t>
  </si>
  <si>
    <t>SYN3</t>
  </si>
  <si>
    <t>206400_at</t>
  </si>
  <si>
    <t>LGALS7 /// LGALS7B</t>
  </si>
  <si>
    <t>206465_at</t>
  </si>
  <si>
    <t>ACSBG1</t>
  </si>
  <si>
    <t>206481_s_at</t>
  </si>
  <si>
    <t>LDB2</t>
  </si>
  <si>
    <t>206488_s_at</t>
  </si>
  <si>
    <t>CD36</t>
  </si>
  <si>
    <t>206515_at</t>
  </si>
  <si>
    <t>CYP4F3</t>
  </si>
  <si>
    <t>206545_at</t>
  </si>
  <si>
    <t>CD28</t>
  </si>
  <si>
    <t>206546_at</t>
  </si>
  <si>
    <t>SYCP2</t>
  </si>
  <si>
    <t>206561_s_at</t>
  </si>
  <si>
    <t>AKR1B10</t>
  </si>
  <si>
    <t>206563_s_at</t>
  </si>
  <si>
    <t>OPRL1</t>
  </si>
  <si>
    <t>206684_s_at</t>
  </si>
  <si>
    <t>ATF7</t>
  </si>
  <si>
    <t>206701_x_at</t>
  </si>
  <si>
    <t>206718_at</t>
  </si>
  <si>
    <t>LMO1</t>
  </si>
  <si>
    <t>206806_at</t>
  </si>
  <si>
    <t>DGKI</t>
  </si>
  <si>
    <t>206822_s_at</t>
  </si>
  <si>
    <t>206862_at</t>
  </si>
  <si>
    <t>ZNF254</t>
  </si>
  <si>
    <t>206867_at</t>
  </si>
  <si>
    <t>GCKR</t>
  </si>
  <si>
    <t>206918_s_at</t>
  </si>
  <si>
    <t>CPNE1</t>
  </si>
  <si>
    <t>206957_at</t>
  </si>
  <si>
    <t>207007_at</t>
  </si>
  <si>
    <t>NR1I3</t>
  </si>
  <si>
    <t>207033_at</t>
  </si>
  <si>
    <t>GIF</t>
  </si>
  <si>
    <t>207063_at</t>
  </si>
  <si>
    <t>NCRNA00185</t>
  </si>
  <si>
    <t>207068_at</t>
  </si>
  <si>
    <t>ZFP37</t>
  </si>
  <si>
    <t>207077_at</t>
  </si>
  <si>
    <t>CELA2B</t>
  </si>
  <si>
    <t>207084_at</t>
  </si>
  <si>
    <t>POU3F2</t>
  </si>
  <si>
    <t>207117_at</t>
  </si>
  <si>
    <t>207120_at</t>
  </si>
  <si>
    <t>ZNF667</t>
  </si>
  <si>
    <t>207128_s_at</t>
  </si>
  <si>
    <t>ZNF223</t>
  </si>
  <si>
    <t>207130_at</t>
  </si>
  <si>
    <t>207176_s_at</t>
  </si>
  <si>
    <t>CD80</t>
  </si>
  <si>
    <t>207213_s_at</t>
  </si>
  <si>
    <t>207246_at</t>
  </si>
  <si>
    <t>ZFY</t>
  </si>
  <si>
    <t>207345_at</t>
  </si>
  <si>
    <t>207378_at</t>
  </si>
  <si>
    <t>TREH</t>
  </si>
  <si>
    <t>207433_at</t>
  </si>
  <si>
    <t>IL10</t>
  </si>
  <si>
    <t>207453_s_at</t>
  </si>
  <si>
    <t>207645_s_at</t>
  </si>
  <si>
    <t>207764_s_at</t>
  </si>
  <si>
    <t>HIPK3</t>
  </si>
  <si>
    <t>207786_at</t>
  </si>
  <si>
    <t>CYP2R1</t>
  </si>
  <si>
    <t>207798_s_at</t>
  </si>
  <si>
    <t>207820_at</t>
  </si>
  <si>
    <t>ADH1A</t>
  </si>
  <si>
    <t>207829_s_at</t>
  </si>
  <si>
    <t>207833_s_at</t>
  </si>
  <si>
    <t>207859_s_at</t>
  </si>
  <si>
    <t>CHRNB3</t>
  </si>
  <si>
    <t>207868_at</t>
  </si>
  <si>
    <t>CHRNA2</t>
  </si>
  <si>
    <t>207893_at</t>
  </si>
  <si>
    <t>SRY</t>
  </si>
  <si>
    <t>207900_at</t>
  </si>
  <si>
    <t>CCL17</t>
  </si>
  <si>
    <t>207930_at</t>
  </si>
  <si>
    <t>LCN1</t>
  </si>
  <si>
    <t>207936_x_at</t>
  </si>
  <si>
    <t>RFPL3</t>
  </si>
  <si>
    <t>207964_x_at</t>
  </si>
  <si>
    <t>IFNA4</t>
  </si>
  <si>
    <t>207986_x_at</t>
  </si>
  <si>
    <t>207998_s_at</t>
  </si>
  <si>
    <t>CACNA1D</t>
  </si>
  <si>
    <t>208024_s_at</t>
  </si>
  <si>
    <t>DGCR6 /// DGCR6L</t>
  </si>
  <si>
    <t>208147_s_at</t>
  </si>
  <si>
    <t>CYP2C8</t>
  </si>
  <si>
    <t>208180_s_at</t>
  </si>
  <si>
    <t>HIST1H4H</t>
  </si>
  <si>
    <t>208247_at</t>
  </si>
  <si>
    <t>C3orf51</t>
  </si>
  <si>
    <t>208334_at</t>
  </si>
  <si>
    <t>NDST4</t>
  </si>
  <si>
    <t>208373_s_at</t>
  </si>
  <si>
    <t>P2RY6</t>
  </si>
  <si>
    <t>208395_s_at</t>
  </si>
  <si>
    <t>208456_s_at</t>
  </si>
  <si>
    <t>208462_s_at</t>
  </si>
  <si>
    <t>208583_x_at</t>
  </si>
  <si>
    <t>HIST1H2AJ</t>
  </si>
  <si>
    <t>208588_at</t>
  </si>
  <si>
    <t>FKSG2</t>
  </si>
  <si>
    <t>208605_s_at</t>
  </si>
  <si>
    <t>NTRK1</t>
  </si>
  <si>
    <t>208984_x_at</t>
  </si>
  <si>
    <t>209019_s_at</t>
  </si>
  <si>
    <t>PINK1</t>
  </si>
  <si>
    <t>209108_at</t>
  </si>
  <si>
    <t>TSPAN6</t>
  </si>
  <si>
    <t>209146_at</t>
  </si>
  <si>
    <t>SC4MOL</t>
  </si>
  <si>
    <t>209220_at</t>
  </si>
  <si>
    <t>GPC3</t>
  </si>
  <si>
    <t>209288_s_at</t>
  </si>
  <si>
    <t>209382_at</t>
  </si>
  <si>
    <t>209560_s_at</t>
  </si>
  <si>
    <t>DLK1</t>
  </si>
  <si>
    <t>209597_s_at</t>
  </si>
  <si>
    <t>PNMA2</t>
  </si>
  <si>
    <t>209603_at</t>
  </si>
  <si>
    <t>209617_s_at</t>
  </si>
  <si>
    <t>CTNND2</t>
  </si>
  <si>
    <t>209692_at</t>
  </si>
  <si>
    <t>EYA2</t>
  </si>
  <si>
    <t>209756_s_at</t>
  </si>
  <si>
    <t>209767_s_at</t>
  </si>
  <si>
    <t>209859_at</t>
  </si>
  <si>
    <t>TRIM9</t>
  </si>
  <si>
    <t>209921_at</t>
  </si>
  <si>
    <t>SLC7A11</t>
  </si>
  <si>
    <t>209977_at</t>
  </si>
  <si>
    <t>PLG</t>
  </si>
  <si>
    <t>209978_s_at</t>
  </si>
  <si>
    <t>LPA /// PLG</t>
  </si>
  <si>
    <t>209993_at</t>
  </si>
  <si>
    <t>ABCB1</t>
  </si>
  <si>
    <t>210034_s_at</t>
  </si>
  <si>
    <t>210126_at</t>
  </si>
  <si>
    <t>210148_at</t>
  </si>
  <si>
    <t>210175_at</t>
  </si>
  <si>
    <t>210192_at</t>
  </si>
  <si>
    <t>210227_at</t>
  </si>
  <si>
    <t>210393_at</t>
  </si>
  <si>
    <t>210409_at</t>
  </si>
  <si>
    <t>C6orf124</t>
  </si>
  <si>
    <t>210448_s_at</t>
  </si>
  <si>
    <t>P2RX5</t>
  </si>
  <si>
    <t>210535_at</t>
  </si>
  <si>
    <t>210602_s_at</t>
  </si>
  <si>
    <t>210689_at</t>
  </si>
  <si>
    <t>CLDN14</t>
  </si>
  <si>
    <t>210704_at</t>
  </si>
  <si>
    <t>FEZ2</t>
  </si>
  <si>
    <t>210724_at</t>
  </si>
  <si>
    <t>EMR3</t>
  </si>
  <si>
    <t>210727_at</t>
  </si>
  <si>
    <t>210745_at</t>
  </si>
  <si>
    <t>ONECUT1</t>
  </si>
  <si>
    <t>210806_at</t>
  </si>
  <si>
    <t>210818_s_at</t>
  </si>
  <si>
    <t>210819_x_at</t>
  </si>
  <si>
    <t>210834_s_at</t>
  </si>
  <si>
    <t>210836_x_at</t>
  </si>
  <si>
    <t>210842_at</t>
  </si>
  <si>
    <t>210889_s_at</t>
  </si>
  <si>
    <t>FCGR2B</t>
  </si>
  <si>
    <t>210891_s_at</t>
  </si>
  <si>
    <t>210995_s_at</t>
  </si>
  <si>
    <t>211253_x_at</t>
  </si>
  <si>
    <t>PYY</t>
  </si>
  <si>
    <t>211315_s_at</t>
  </si>
  <si>
    <t>211347_at</t>
  </si>
  <si>
    <t>211515_s_at</t>
  </si>
  <si>
    <t>DSTYK</t>
  </si>
  <si>
    <t>211619_s_at</t>
  </si>
  <si>
    <t>ALPP /// ALPPL2</t>
  </si>
  <si>
    <t>211721_s_at</t>
  </si>
  <si>
    <t>ZNF551</t>
  </si>
  <si>
    <t>211738_x_at</t>
  </si>
  <si>
    <t>211907_s_at</t>
  </si>
  <si>
    <t>PARD6B</t>
  </si>
  <si>
    <t>212005_at</t>
  </si>
  <si>
    <t>212042_x_at</t>
  </si>
  <si>
    <t>212097_at</t>
  </si>
  <si>
    <t>212102_s_at</t>
  </si>
  <si>
    <t>212122_at</t>
  </si>
  <si>
    <t>212294_at</t>
  </si>
  <si>
    <t>GNG12</t>
  </si>
  <si>
    <t>212375_at</t>
  </si>
  <si>
    <t>212403_at</t>
  </si>
  <si>
    <t>212429_s_at</t>
  </si>
  <si>
    <t>212534_at</t>
  </si>
  <si>
    <t>212664_at</t>
  </si>
  <si>
    <t>TUBB4</t>
  </si>
  <si>
    <t>212709_at</t>
  </si>
  <si>
    <t>212725_s_at</t>
  </si>
  <si>
    <t>TUG1</t>
  </si>
  <si>
    <t>212775_at</t>
  </si>
  <si>
    <t>212839_s_at</t>
  </si>
  <si>
    <t>212895_s_at</t>
  </si>
  <si>
    <t>ABR</t>
  </si>
  <si>
    <t>212929_s_at</t>
  </si>
  <si>
    <t>212939_at</t>
  </si>
  <si>
    <t>213041_s_at</t>
  </si>
  <si>
    <t>213296_at</t>
  </si>
  <si>
    <t>213307_at</t>
  </si>
  <si>
    <t>SHANK2</t>
  </si>
  <si>
    <t>213308_at</t>
  </si>
  <si>
    <t>213426_s_at</t>
  </si>
  <si>
    <t>213443_at</t>
  </si>
  <si>
    <t>213565_s_at</t>
  </si>
  <si>
    <t>213570_at</t>
  </si>
  <si>
    <t>213609_s_at</t>
  </si>
  <si>
    <t>213722_at</t>
  </si>
  <si>
    <t>213795_s_at</t>
  </si>
  <si>
    <t>213797_at</t>
  </si>
  <si>
    <t>RSAD2</t>
  </si>
  <si>
    <t>213800_at</t>
  </si>
  <si>
    <t>CFH</t>
  </si>
  <si>
    <t>213820_s_at</t>
  </si>
  <si>
    <t>STARD5</t>
  </si>
  <si>
    <t>213825_at</t>
  </si>
  <si>
    <t>OLIG2</t>
  </si>
  <si>
    <t>213831_at</t>
  </si>
  <si>
    <t>213908_at</t>
  </si>
  <si>
    <t>WHAMML1 /// WHAMML2</t>
  </si>
  <si>
    <t>213935_at</t>
  </si>
  <si>
    <t>213951_s_at</t>
  </si>
  <si>
    <t>214007_s_at</t>
  </si>
  <si>
    <t>214013_s_at</t>
  </si>
  <si>
    <t>214043_at</t>
  </si>
  <si>
    <t>214132_at</t>
  </si>
  <si>
    <t>214143_x_at</t>
  </si>
  <si>
    <t>214209_s_at</t>
  </si>
  <si>
    <t>214295_at</t>
  </si>
  <si>
    <t>214365_at</t>
  </si>
  <si>
    <t>TPM3</t>
  </si>
  <si>
    <t>214408_s_at</t>
  </si>
  <si>
    <t>RFPL1S /// RFPL3S</t>
  </si>
  <si>
    <t>214409_at</t>
  </si>
  <si>
    <t>RFPL3S</t>
  </si>
  <si>
    <t>214413_at</t>
  </si>
  <si>
    <t>TAT</t>
  </si>
  <si>
    <t>214462_at</t>
  </si>
  <si>
    <t>214480_at</t>
  </si>
  <si>
    <t>ETV3</t>
  </si>
  <si>
    <t>214561_at</t>
  </si>
  <si>
    <t>LILRP2</t>
  </si>
  <si>
    <t>214639_s_at</t>
  </si>
  <si>
    <t>HOXA1</t>
  </si>
  <si>
    <t>214669_x_at</t>
  </si>
  <si>
    <t>214680_at</t>
  </si>
  <si>
    <t>214764_at</t>
  </si>
  <si>
    <t>RRP15</t>
  </si>
  <si>
    <t>214852_x_at</t>
  </si>
  <si>
    <t>214863_at</t>
  </si>
  <si>
    <t>LOC100287602</t>
  </si>
  <si>
    <t>214910_s_at</t>
  </si>
  <si>
    <t>APOM</t>
  </si>
  <si>
    <t>214942_at</t>
  </si>
  <si>
    <t>214962_s_at</t>
  </si>
  <si>
    <t>215021_s_at</t>
  </si>
  <si>
    <t>215043_s_at</t>
  </si>
  <si>
    <t>SMA4 /// SMA5</t>
  </si>
  <si>
    <t>215057_at</t>
  </si>
  <si>
    <t>LOC100272228</t>
  </si>
  <si>
    <t>215131_at</t>
  </si>
  <si>
    <t>215162_at</t>
  </si>
  <si>
    <t>215271_at</t>
  </si>
  <si>
    <t>TNN</t>
  </si>
  <si>
    <t>215272_at</t>
  </si>
  <si>
    <t>215288_at</t>
  </si>
  <si>
    <t>TRPC2</t>
  </si>
  <si>
    <t>215458_s_at</t>
  </si>
  <si>
    <t>215486_at</t>
  </si>
  <si>
    <t>PRPS1L1</t>
  </si>
  <si>
    <t>215513_at</t>
  </si>
  <si>
    <t>HYMAI</t>
  </si>
  <si>
    <t>215532_x_at</t>
  </si>
  <si>
    <t>ZNF492</t>
  </si>
  <si>
    <t>215652_at</t>
  </si>
  <si>
    <t>215718_s_at</t>
  </si>
  <si>
    <t>215744_at</t>
  </si>
  <si>
    <t>215997_s_at</t>
  </si>
  <si>
    <t>216049_at</t>
  </si>
  <si>
    <t>216134_at</t>
  </si>
  <si>
    <t>216162_at</t>
  </si>
  <si>
    <t>216277_at</t>
  </si>
  <si>
    <t>216316_x_at</t>
  </si>
  <si>
    <t>GK /// GK3P</t>
  </si>
  <si>
    <t>216370_s_at</t>
  </si>
  <si>
    <t>216407_at</t>
  </si>
  <si>
    <t>216493_s_at</t>
  </si>
  <si>
    <t>216512_s_at</t>
  </si>
  <si>
    <t>DCT</t>
  </si>
  <si>
    <t>216555_at</t>
  </si>
  <si>
    <t>C22orf30</t>
  </si>
  <si>
    <t>216677_at</t>
  </si>
  <si>
    <t>216727_at</t>
  </si>
  <si>
    <t>216894_x_at</t>
  </si>
  <si>
    <t>216933_x_at</t>
  </si>
  <si>
    <t>217145_at</t>
  </si>
  <si>
    <t>IGK@ /// IGKC /// LOC652694</t>
  </si>
  <si>
    <t>217161_x_at</t>
  </si>
  <si>
    <t>217299_s_at</t>
  </si>
  <si>
    <t>217326_x_at</t>
  </si>
  <si>
    <t>217512_at</t>
  </si>
  <si>
    <t>217561_at</t>
  </si>
  <si>
    <t>217584_at</t>
  </si>
  <si>
    <t>NPC1</t>
  </si>
  <si>
    <t>217644_s_at</t>
  </si>
  <si>
    <t>217785_s_at</t>
  </si>
  <si>
    <t>217911_s_at</t>
  </si>
  <si>
    <t>BAG3</t>
  </si>
  <si>
    <t>217978_s_at</t>
  </si>
  <si>
    <t>UBE2Q1</t>
  </si>
  <si>
    <t>217996_at</t>
  </si>
  <si>
    <t>PHLDA1</t>
  </si>
  <si>
    <t>217997_at</t>
  </si>
  <si>
    <t>218043_s_at</t>
  </si>
  <si>
    <t>AZI2</t>
  </si>
  <si>
    <t>218204_s_at</t>
  </si>
  <si>
    <t>FYCO1</t>
  </si>
  <si>
    <t>218309_at</t>
  </si>
  <si>
    <t>CAMK2N1</t>
  </si>
  <si>
    <t>218387_s_at</t>
  </si>
  <si>
    <t>PGLS</t>
  </si>
  <si>
    <t>218404_at</t>
  </si>
  <si>
    <t>SNX10</t>
  </si>
  <si>
    <t>218472_s_at</t>
  </si>
  <si>
    <t>PELO</t>
  </si>
  <si>
    <t>218674_at</t>
  </si>
  <si>
    <t>C5orf44</t>
  </si>
  <si>
    <t>218692_at</t>
  </si>
  <si>
    <t>GOLSYN</t>
  </si>
  <si>
    <t>218804_at</t>
  </si>
  <si>
    <t>ANO1</t>
  </si>
  <si>
    <t>218840_s_at</t>
  </si>
  <si>
    <t>NADSYN1</t>
  </si>
  <si>
    <t>218910_at</t>
  </si>
  <si>
    <t>ANO10</t>
  </si>
  <si>
    <t>218921_at</t>
  </si>
  <si>
    <t>SIGIRR</t>
  </si>
  <si>
    <t>219139_s_at</t>
  </si>
  <si>
    <t>219146_at</t>
  </si>
  <si>
    <t>C17orf42</t>
  </si>
  <si>
    <t>219230_at</t>
  </si>
  <si>
    <t>TMEM100</t>
  </si>
  <si>
    <t>219280_at</t>
  </si>
  <si>
    <t>BRWD1</t>
  </si>
  <si>
    <t>219288_at</t>
  </si>
  <si>
    <t>C3orf14</t>
  </si>
  <si>
    <t>219519_s_at</t>
  </si>
  <si>
    <t>219533_at</t>
  </si>
  <si>
    <t>219587_at</t>
  </si>
  <si>
    <t>TTC12</t>
  </si>
  <si>
    <t>219592_at</t>
  </si>
  <si>
    <t>MCPH1</t>
  </si>
  <si>
    <t>219645_at</t>
  </si>
  <si>
    <t>CASQ1</t>
  </si>
  <si>
    <t>219700_at</t>
  </si>
  <si>
    <t>PLXDC1</t>
  </si>
  <si>
    <t>219705_at</t>
  </si>
  <si>
    <t>QSER1</t>
  </si>
  <si>
    <t>219818_s_at</t>
  </si>
  <si>
    <t>GPATCH1</t>
  </si>
  <si>
    <t>220133_at</t>
  </si>
  <si>
    <t>ODAM</t>
  </si>
  <si>
    <t>220161_s_at</t>
  </si>
  <si>
    <t>220237_at</t>
  </si>
  <si>
    <t>220383_at</t>
  </si>
  <si>
    <t>ABCG5</t>
  </si>
  <si>
    <t>220386_s_at</t>
  </si>
  <si>
    <t>EML4</t>
  </si>
  <si>
    <t>220400_at</t>
  </si>
  <si>
    <t>220418_at</t>
  </si>
  <si>
    <t>UBASH3A</t>
  </si>
  <si>
    <t>220537_at</t>
  </si>
  <si>
    <t>220565_at</t>
  </si>
  <si>
    <t>CCR10</t>
  </si>
  <si>
    <t>220570_at</t>
  </si>
  <si>
    <t>RETN</t>
  </si>
  <si>
    <t>220601_at</t>
  </si>
  <si>
    <t>C16orf70</t>
  </si>
  <si>
    <t>220638_s_at</t>
  </si>
  <si>
    <t>CBLC</t>
  </si>
  <si>
    <t>220703_at</t>
  </si>
  <si>
    <t>C10orf110</t>
  </si>
  <si>
    <t>220704_at</t>
  </si>
  <si>
    <t>220732_at</t>
  </si>
  <si>
    <t>PREX2</t>
  </si>
  <si>
    <t>220738_s_at</t>
  </si>
  <si>
    <t>220748_s_at</t>
  </si>
  <si>
    <t>ZNF580</t>
  </si>
  <si>
    <t>220751_s_at</t>
  </si>
  <si>
    <t>220869_at</t>
  </si>
  <si>
    <t>UBA6</t>
  </si>
  <si>
    <t>220944_at</t>
  </si>
  <si>
    <t>PGLYRP4</t>
  </si>
  <si>
    <t>220967_s_at</t>
  </si>
  <si>
    <t>ZNF696</t>
  </si>
  <si>
    <t>221015_s_at</t>
  </si>
  <si>
    <t>CDADC1</t>
  </si>
  <si>
    <t>221092_at</t>
  </si>
  <si>
    <t>IKZF3</t>
  </si>
  <si>
    <t>221107_at</t>
  </si>
  <si>
    <t>CHRNA9</t>
  </si>
  <si>
    <t>221222_s_at</t>
  </si>
  <si>
    <t>C1orf56</t>
  </si>
  <si>
    <t>221293_s_at</t>
  </si>
  <si>
    <t>DEF6</t>
  </si>
  <si>
    <t>221297_at</t>
  </si>
  <si>
    <t>GPRC5D</t>
  </si>
  <si>
    <t>221307_at</t>
  </si>
  <si>
    <t>KCNIP1</t>
  </si>
  <si>
    <t>221398_at</t>
  </si>
  <si>
    <t>TAS2R8</t>
  </si>
  <si>
    <t>221445_at</t>
  </si>
  <si>
    <t>OR1A2</t>
  </si>
  <si>
    <t>221462_x_at</t>
  </si>
  <si>
    <t>KLK15</t>
  </si>
  <si>
    <t>221561_at</t>
  </si>
  <si>
    <t>SOAT1</t>
  </si>
  <si>
    <t>221592_at</t>
  </si>
  <si>
    <t>221658_s_at</t>
  </si>
  <si>
    <t>IL21R</t>
  </si>
  <si>
    <t>221706_s_at</t>
  </si>
  <si>
    <t>221803_s_at</t>
  </si>
  <si>
    <t>NRBF2</t>
  </si>
  <si>
    <t>222038_s_at</t>
  </si>
  <si>
    <t>222317_at</t>
  </si>
  <si>
    <t>222382_x_at</t>
  </si>
  <si>
    <t>201669_s_at</t>
  </si>
  <si>
    <t>202277_at</t>
  </si>
  <si>
    <t>SPTLC1</t>
  </si>
  <si>
    <t>208426_x_at</t>
  </si>
  <si>
    <t>KIR2DL3 /// KIR2DL4 /// KIR2DL5A</t>
  </si>
  <si>
    <t>212239_at</t>
  </si>
  <si>
    <t>201772_at</t>
  </si>
  <si>
    <t>202171_at</t>
  </si>
  <si>
    <t>202763_at</t>
  </si>
  <si>
    <t>CASP3</t>
  </si>
  <si>
    <t>207878_at</t>
  </si>
  <si>
    <t>KRT76</t>
  </si>
  <si>
    <t>202549_at</t>
  </si>
  <si>
    <t>204799_at</t>
  </si>
  <si>
    <t>216920_s_at</t>
  </si>
  <si>
    <t>TARP /// TRGC2</t>
  </si>
  <si>
    <t>219848_s_at</t>
  </si>
  <si>
    <t>ZNF432</t>
  </si>
  <si>
    <t>200922_at</t>
  </si>
  <si>
    <t>KDELR1</t>
  </si>
  <si>
    <t>203828_s_at</t>
  </si>
  <si>
    <t>IL32</t>
  </si>
  <si>
    <t>205770_at</t>
  </si>
  <si>
    <t>GSR</t>
  </si>
  <si>
    <t>207973_x_at</t>
  </si>
  <si>
    <t>218720_x_at</t>
  </si>
  <si>
    <t>SEZ6L2</t>
  </si>
  <si>
    <t>218056_at</t>
  </si>
  <si>
    <t>BFAR</t>
  </si>
  <si>
    <t>202151_s_at</t>
  </si>
  <si>
    <t>UBAC1</t>
  </si>
  <si>
    <t>215243_s_at</t>
  </si>
  <si>
    <t>202269_x_at</t>
  </si>
  <si>
    <t>215731_s_at</t>
  </si>
  <si>
    <t>211653_x_at</t>
  </si>
  <si>
    <t>52169_at</t>
  </si>
  <si>
    <t>201767_s_at</t>
  </si>
  <si>
    <t>211838_x_at</t>
  </si>
  <si>
    <t>PCDHA5</t>
  </si>
  <si>
    <t>220231_at</t>
  </si>
  <si>
    <t>C7orf16</t>
  </si>
  <si>
    <t>37652_at</t>
  </si>
  <si>
    <t>CABIN1</t>
  </si>
  <si>
    <t>214567_s_at</t>
  </si>
  <si>
    <t>XCL1 /// XCL2</t>
  </si>
  <si>
    <t>212968_at</t>
  </si>
  <si>
    <t>RFNG</t>
  </si>
  <si>
    <t>203287_at</t>
  </si>
  <si>
    <t>211650_x_at</t>
  </si>
  <si>
    <t>IGHA1 /// IGHD /// IGHG1 /// IGHG3 /// IGHM /// IGHV3-23 /// IGHV4-31 /// LOC100126583 /// LOC100132</t>
  </si>
  <si>
    <t>217255_at</t>
  </si>
  <si>
    <t>213801_x_at</t>
  </si>
  <si>
    <t>RPSA</t>
  </si>
  <si>
    <t>218564_at</t>
  </si>
  <si>
    <t>RFWD3</t>
  </si>
  <si>
    <t>208573_s_at</t>
  </si>
  <si>
    <t>OR2H2</t>
  </si>
  <si>
    <t>208463_at</t>
  </si>
  <si>
    <t>GABRA4</t>
  </si>
  <si>
    <t>212171_x_at</t>
  </si>
  <si>
    <t>218119_at</t>
  </si>
  <si>
    <t>TIMM23 /// TIMM23B</t>
  </si>
  <si>
    <t>220252_x_at</t>
  </si>
  <si>
    <t>CXorf21</t>
  </si>
  <si>
    <t>208648_at</t>
  </si>
  <si>
    <t>200756_x_at</t>
  </si>
  <si>
    <t>36030_at</t>
  </si>
  <si>
    <t>212557_at</t>
  </si>
  <si>
    <t>204050_s_at</t>
  </si>
  <si>
    <t>217710_x_at</t>
  </si>
  <si>
    <t>212068_s_at</t>
  </si>
  <si>
    <t>216389_s_at</t>
  </si>
  <si>
    <t>212742_at</t>
  </si>
  <si>
    <t>RNF115</t>
  </si>
  <si>
    <t>208454_s_at</t>
  </si>
  <si>
    <t>PGCP</t>
  </si>
  <si>
    <t>206099_at</t>
  </si>
  <si>
    <t>201865_x_at</t>
  </si>
  <si>
    <t>204123_at</t>
  </si>
  <si>
    <t>37145_at</t>
  </si>
  <si>
    <t>GNLY</t>
  </si>
  <si>
    <t>215024_at</t>
  </si>
  <si>
    <t>C7orf28B</t>
  </si>
  <si>
    <t>217336_at</t>
  </si>
  <si>
    <t>RPS10 /// RPS10P5 /// RPS10P7</t>
  </si>
  <si>
    <t>207842_s_at</t>
  </si>
  <si>
    <t>CASC3</t>
  </si>
  <si>
    <t>217761_at</t>
  </si>
  <si>
    <t>ADI1</t>
  </si>
  <si>
    <t>213556_at</t>
  </si>
  <si>
    <t>LOC390940</t>
  </si>
  <si>
    <t>201519_at</t>
  </si>
  <si>
    <t>213990_s_at</t>
  </si>
  <si>
    <t>PAK7</t>
  </si>
  <si>
    <t>213999_at</t>
  </si>
  <si>
    <t>YIPF4</t>
  </si>
  <si>
    <t>216576_x_at</t>
  </si>
  <si>
    <t>IGK@ /// IGKC /// IGKV1-5 /// LOC652694</t>
  </si>
  <si>
    <t>218621_at</t>
  </si>
  <si>
    <t>210817_s_at</t>
  </si>
  <si>
    <t>CALCOCO2</t>
  </si>
  <si>
    <t>204662_at</t>
  </si>
  <si>
    <t>CP110</t>
  </si>
  <si>
    <t>210577_at</t>
  </si>
  <si>
    <t>CASR</t>
  </si>
  <si>
    <t>219963_at</t>
  </si>
  <si>
    <t>DUSP13</t>
  </si>
  <si>
    <t>201763_s_at</t>
  </si>
  <si>
    <t>203982_s_at</t>
  </si>
  <si>
    <t>221267_s_at</t>
  </si>
  <si>
    <t>FAM108A1</t>
  </si>
  <si>
    <t>221248_s_at</t>
  </si>
  <si>
    <t>205101_at</t>
  </si>
  <si>
    <t>216271_x_at</t>
  </si>
  <si>
    <t>216235_s_at</t>
  </si>
  <si>
    <t>EDNRA</t>
  </si>
  <si>
    <t>211473_s_at</t>
  </si>
  <si>
    <t>COL4A6</t>
  </si>
  <si>
    <t>203423_at</t>
  </si>
  <si>
    <t>RBP1</t>
  </si>
  <si>
    <t>206495_s_at</t>
  </si>
  <si>
    <t>HINFP</t>
  </si>
  <si>
    <t>217736_s_at</t>
  </si>
  <si>
    <t>218073_s_at</t>
  </si>
  <si>
    <t>TMEM48</t>
  </si>
  <si>
    <t>209378_s_at</t>
  </si>
  <si>
    <t>222233_s_at</t>
  </si>
  <si>
    <t>210348_at</t>
  </si>
  <si>
    <t>203575_at</t>
  </si>
  <si>
    <t>CSNK2A2</t>
  </si>
  <si>
    <t>217840_at</t>
  </si>
  <si>
    <t>DDX41</t>
  </si>
  <si>
    <t>214532_x_at</t>
  </si>
  <si>
    <t>POU5F1B</t>
  </si>
  <si>
    <t>207506_at</t>
  </si>
  <si>
    <t>218040_at</t>
  </si>
  <si>
    <t>PRPF38B</t>
  </si>
  <si>
    <t>222057_at</t>
  </si>
  <si>
    <t>NOL12</t>
  </si>
  <si>
    <t>221878_at</t>
  </si>
  <si>
    <t>205872_x_at</t>
  </si>
  <si>
    <t>218189_s_at</t>
  </si>
  <si>
    <t>NANS</t>
  </si>
  <si>
    <t>206353_at</t>
  </si>
  <si>
    <t>COX6A2</t>
  </si>
  <si>
    <t>210976_s_at</t>
  </si>
  <si>
    <t>PFKM</t>
  </si>
  <si>
    <t>211144_x_at</t>
  </si>
  <si>
    <t>211188_at</t>
  </si>
  <si>
    <t>214082_at</t>
  </si>
  <si>
    <t>CA5B</t>
  </si>
  <si>
    <t>210565_at</t>
  </si>
  <si>
    <t>GCGR</t>
  </si>
  <si>
    <t>209082_s_at</t>
  </si>
  <si>
    <t>205761_s_at</t>
  </si>
  <si>
    <t>DUS4L</t>
  </si>
  <si>
    <t>209719_x_at</t>
  </si>
  <si>
    <t>SERPINB3</t>
  </si>
  <si>
    <t>217168_s_at</t>
  </si>
  <si>
    <t>HERPUD1</t>
  </si>
  <si>
    <t>200761_s_at</t>
  </si>
  <si>
    <t>ARL6IP5</t>
  </si>
  <si>
    <t>202023_at</t>
  </si>
  <si>
    <t>EFNA1</t>
  </si>
  <si>
    <t>209826_at</t>
  </si>
  <si>
    <t>EGFL8 /// PPT2</t>
  </si>
  <si>
    <t>221877_at</t>
  </si>
  <si>
    <t>219183_s_at</t>
  </si>
  <si>
    <t>203610_s_at</t>
  </si>
  <si>
    <t>214811_at</t>
  </si>
  <si>
    <t>RIMBP2</t>
  </si>
  <si>
    <t>221320_at</t>
  </si>
  <si>
    <t>BCL2L10</t>
  </si>
  <si>
    <t>208260_at</t>
  </si>
  <si>
    <t>AVPR1B</t>
  </si>
  <si>
    <t>211952_at</t>
  </si>
  <si>
    <t>208259_x_at</t>
  </si>
  <si>
    <t>IFNA7</t>
  </si>
  <si>
    <t>201393_s_at</t>
  </si>
  <si>
    <t>200660_at</t>
  </si>
  <si>
    <t>205929_at</t>
  </si>
  <si>
    <t>GPA33</t>
  </si>
  <si>
    <t>222070_at</t>
  </si>
  <si>
    <t>DND1</t>
  </si>
  <si>
    <t>204014_at</t>
  </si>
  <si>
    <t>218693_at</t>
  </si>
  <si>
    <t>TSPAN15</t>
  </si>
  <si>
    <t>221611_s_at</t>
  </si>
  <si>
    <t>PHF7</t>
  </si>
  <si>
    <t>200625_s_at</t>
  </si>
  <si>
    <t>CAP1</t>
  </si>
  <si>
    <t>213918_s_at</t>
  </si>
  <si>
    <t>215684_s_at</t>
  </si>
  <si>
    <t>ASCC2</t>
  </si>
  <si>
    <t>218664_at</t>
  </si>
  <si>
    <t>MECR</t>
  </si>
  <si>
    <t>203709_at</t>
  </si>
  <si>
    <t>PHKG2</t>
  </si>
  <si>
    <t>204805_s_at</t>
  </si>
  <si>
    <t>H1FX</t>
  </si>
  <si>
    <t>207108_s_at</t>
  </si>
  <si>
    <t>219931_s_at</t>
  </si>
  <si>
    <t>KLHL12</t>
  </si>
  <si>
    <t>209221_s_at</t>
  </si>
  <si>
    <t>220507_s_at</t>
  </si>
  <si>
    <t>UPB1</t>
  </si>
  <si>
    <t>208432_s_at</t>
  </si>
  <si>
    <t>CACNA1E</t>
  </si>
  <si>
    <t>211575_s_at</t>
  </si>
  <si>
    <t>213485_s_at</t>
  </si>
  <si>
    <t>221217_s_at</t>
  </si>
  <si>
    <t>A2BP1</t>
  </si>
  <si>
    <t>209839_at</t>
  </si>
  <si>
    <t>DNM3</t>
  </si>
  <si>
    <t>213942_at</t>
  </si>
  <si>
    <t>MEGF6</t>
  </si>
  <si>
    <t>214342_at</t>
  </si>
  <si>
    <t>ATXN7L1</t>
  </si>
  <si>
    <t>216133_at</t>
  </si>
  <si>
    <t>216082_at</t>
  </si>
  <si>
    <t>204217_s_at</t>
  </si>
  <si>
    <t>200839_s_at</t>
  </si>
  <si>
    <t>221341_s_at</t>
  </si>
  <si>
    <t>OR1D4 /// OR1D5</t>
  </si>
  <si>
    <t>204372_s_at</t>
  </si>
  <si>
    <t>202259_s_at</t>
  </si>
  <si>
    <t>214147_at</t>
  </si>
  <si>
    <t>C1orf175 /// TTC4</t>
  </si>
  <si>
    <t>200623_s_at</t>
  </si>
  <si>
    <t>204893_s_at</t>
  </si>
  <si>
    <t>ZFYVE9</t>
  </si>
  <si>
    <t>207292_s_at</t>
  </si>
  <si>
    <t>MAPK7</t>
  </si>
  <si>
    <t>219789_at</t>
  </si>
  <si>
    <t>221050_s_at</t>
  </si>
  <si>
    <t>GTPBP2</t>
  </si>
  <si>
    <t>205621_at</t>
  </si>
  <si>
    <t>ALKBH1</t>
  </si>
  <si>
    <t>210502_s_at</t>
  </si>
  <si>
    <t>204141_at</t>
  </si>
  <si>
    <t>TUBB2A</t>
  </si>
  <si>
    <t>203956_at</t>
  </si>
  <si>
    <t>MORC2</t>
  </si>
  <si>
    <t>215982_s_at</t>
  </si>
  <si>
    <t>200782_at</t>
  </si>
  <si>
    <t>ANXA5</t>
  </si>
  <si>
    <t>219423_x_at</t>
  </si>
  <si>
    <t>206619_at</t>
  </si>
  <si>
    <t>DKK4</t>
  </si>
  <si>
    <t>208751_at</t>
  </si>
  <si>
    <t>214812_s_at</t>
  </si>
  <si>
    <t>202568_s_at</t>
  </si>
  <si>
    <t>MARK3</t>
  </si>
  <si>
    <t>218370_s_at</t>
  </si>
  <si>
    <t>S100PBP</t>
  </si>
  <si>
    <t>212614_at</t>
  </si>
  <si>
    <t>ARID5B</t>
  </si>
  <si>
    <t>219554_at</t>
  </si>
  <si>
    <t>RHCG</t>
  </si>
  <si>
    <t>213236_at</t>
  </si>
  <si>
    <t>203942_s_at</t>
  </si>
  <si>
    <t>218388_at</t>
  </si>
  <si>
    <t>204718_at</t>
  </si>
  <si>
    <t>EPHB6</t>
  </si>
  <si>
    <t>208739_x_at</t>
  </si>
  <si>
    <t>SUMO2</t>
  </si>
  <si>
    <t>216115_at</t>
  </si>
  <si>
    <t>214164_x_at</t>
  </si>
  <si>
    <t>201271_s_at</t>
  </si>
  <si>
    <t>RALY</t>
  </si>
  <si>
    <t>204575_s_at</t>
  </si>
  <si>
    <t>201786_s_at</t>
  </si>
  <si>
    <t>ADAR</t>
  </si>
  <si>
    <t>203348_s_at</t>
  </si>
  <si>
    <t>204478_s_at</t>
  </si>
  <si>
    <t>207060_at</t>
  </si>
  <si>
    <t>EN2</t>
  </si>
  <si>
    <t>207124_s_at</t>
  </si>
  <si>
    <t>207233_s_at</t>
  </si>
  <si>
    <t>MITF</t>
  </si>
  <si>
    <t>211639_x_at</t>
  </si>
  <si>
    <t>IGH@ /// IGHA1 /// IGHA2 /// IGHD /// IGHG1 /// IGHG3 /// IGHG4 /// IGHM /// IGHV4-31 /// LOC1001265</t>
  </si>
  <si>
    <t>213737_x_at</t>
  </si>
  <si>
    <t>201217_x_at</t>
  </si>
  <si>
    <t>RPL3</t>
  </si>
  <si>
    <t>200719_at</t>
  </si>
  <si>
    <t>204604_at</t>
  </si>
  <si>
    <t>210825_s_at</t>
  </si>
  <si>
    <t>204183_s_at</t>
  </si>
  <si>
    <t>213292_s_at</t>
  </si>
  <si>
    <t>221501_x_at</t>
  </si>
  <si>
    <t>LOC339047</t>
  </si>
  <si>
    <t>213313_at</t>
  </si>
  <si>
    <t>220477_s_at</t>
  </si>
  <si>
    <t>C20orf30</t>
  </si>
  <si>
    <t>201702_s_at</t>
  </si>
  <si>
    <t>201819_at</t>
  </si>
  <si>
    <t>SCARB1</t>
  </si>
  <si>
    <t>215779_s_at</t>
  </si>
  <si>
    <t>217157_x_at</t>
  </si>
  <si>
    <t>IGK@ /// IGKC /// LOC650405 /// LOC652493</t>
  </si>
  <si>
    <t>218605_at</t>
  </si>
  <si>
    <t>TFB2M</t>
  </si>
  <si>
    <t>205164_at</t>
  </si>
  <si>
    <t>206467_x_at</t>
  </si>
  <si>
    <t>RTEL1 /// TNFRSF6B</t>
  </si>
  <si>
    <t>214527_s_at</t>
  </si>
  <si>
    <t>218101_s_at</t>
  </si>
  <si>
    <t>NDUFC2</t>
  </si>
  <si>
    <t>214711_at</t>
  </si>
  <si>
    <t>GATC</t>
  </si>
  <si>
    <t>210283_x_at</t>
  </si>
  <si>
    <t>205338_s_at</t>
  </si>
  <si>
    <t>201549_x_at</t>
  </si>
  <si>
    <t>208807_s_at</t>
  </si>
  <si>
    <t>CHD3</t>
  </si>
  <si>
    <t>202531_at</t>
  </si>
  <si>
    <t>IRF1</t>
  </si>
  <si>
    <t>221317_x_at</t>
  </si>
  <si>
    <t>PCDHB6</t>
  </si>
  <si>
    <t>219144_at</t>
  </si>
  <si>
    <t>DUSP26</t>
  </si>
  <si>
    <t>202395_at</t>
  </si>
  <si>
    <t>NSF</t>
  </si>
  <si>
    <t>213900_at</t>
  </si>
  <si>
    <t>FAM189A2</t>
  </si>
  <si>
    <t>212945_s_at</t>
  </si>
  <si>
    <t>MGA</t>
  </si>
  <si>
    <t>213254_at</t>
  </si>
  <si>
    <t>ADSL /// TNRC6B</t>
  </si>
  <si>
    <t>217829_s_at</t>
  </si>
  <si>
    <t>USP39</t>
  </si>
  <si>
    <t>204106_at</t>
  </si>
  <si>
    <t>TESK1</t>
  </si>
  <si>
    <t>206785_s_at</t>
  </si>
  <si>
    <t>KLRC1 /// KLRC2</t>
  </si>
  <si>
    <t>215269_at</t>
  </si>
  <si>
    <t>215848_at</t>
  </si>
  <si>
    <t>200052_s_at</t>
  </si>
  <si>
    <t>ILF2</t>
  </si>
  <si>
    <t>214081_at</t>
  </si>
  <si>
    <t>200692_s_at</t>
  </si>
  <si>
    <t>215871_at</t>
  </si>
  <si>
    <t>PLA2G5</t>
  </si>
  <si>
    <t>210245_at</t>
  </si>
  <si>
    <t>208203_x_at</t>
  </si>
  <si>
    <t>KIR2DS5</t>
  </si>
  <si>
    <t>201255_x_at</t>
  </si>
  <si>
    <t>BAT3</t>
  </si>
  <si>
    <t>209754_s_at</t>
  </si>
  <si>
    <t>214227_at</t>
  </si>
  <si>
    <t>GNG7</t>
  </si>
  <si>
    <t>205544_s_at</t>
  </si>
  <si>
    <t>CR2</t>
  </si>
  <si>
    <t>220201_at</t>
  </si>
  <si>
    <t>RC3H2</t>
  </si>
  <si>
    <t>221147_x_at</t>
  </si>
  <si>
    <t>202132_at</t>
  </si>
  <si>
    <t>207360_s_at</t>
  </si>
  <si>
    <t>NTSR1</t>
  </si>
  <si>
    <t>217941_s_at</t>
  </si>
  <si>
    <t>ERBB2IP</t>
  </si>
  <si>
    <t>219413_at</t>
  </si>
  <si>
    <t>ACBD4</t>
  </si>
  <si>
    <t>206974_at</t>
  </si>
  <si>
    <t>212050_at</t>
  </si>
  <si>
    <t>208205_at</t>
  </si>
  <si>
    <t>PCDHA9</t>
  </si>
  <si>
    <t>203737_s_at</t>
  </si>
  <si>
    <t>PPRC1</t>
  </si>
  <si>
    <t>212645_x_at</t>
  </si>
  <si>
    <t>201154_x_at</t>
  </si>
  <si>
    <t>202714_s_at</t>
  </si>
  <si>
    <t>221754_s_at</t>
  </si>
  <si>
    <t>214544_s_at</t>
  </si>
  <si>
    <t>220249_at</t>
  </si>
  <si>
    <t>HYAL4</t>
  </si>
  <si>
    <t>213695_at</t>
  </si>
  <si>
    <t>PON3</t>
  </si>
  <si>
    <t>200095_x_at</t>
  </si>
  <si>
    <t>207095_at</t>
  </si>
  <si>
    <t>SLC10A2</t>
  </si>
  <si>
    <t>218578_at</t>
  </si>
  <si>
    <t>CDC73</t>
  </si>
  <si>
    <t>213281_at</t>
  </si>
  <si>
    <t>LOC100288387</t>
  </si>
  <si>
    <t>217414_x_at</t>
  </si>
  <si>
    <t>218410_s_at</t>
  </si>
  <si>
    <t>PGP</t>
  </si>
  <si>
    <t>202014_at</t>
  </si>
  <si>
    <t>PPP1R15A</t>
  </si>
  <si>
    <t>205409_at</t>
  </si>
  <si>
    <t>212411_at</t>
  </si>
  <si>
    <t>IMP4</t>
  </si>
  <si>
    <t>201074_at</t>
  </si>
  <si>
    <t>209067_s_at</t>
  </si>
  <si>
    <t>210169_at</t>
  </si>
  <si>
    <t>SEC14L5</t>
  </si>
  <si>
    <t>219674_s_at</t>
  </si>
  <si>
    <t>212348_s_at</t>
  </si>
  <si>
    <t>KDM1</t>
  </si>
  <si>
    <t>210471_s_at</t>
  </si>
  <si>
    <t>206576_s_at</t>
  </si>
  <si>
    <t>213042_s_at</t>
  </si>
  <si>
    <t>205209_at</t>
  </si>
  <si>
    <t>211856_x_at</t>
  </si>
  <si>
    <t>210470_x_at</t>
  </si>
  <si>
    <t>208514_at</t>
  </si>
  <si>
    <t>KCNE1</t>
  </si>
  <si>
    <t>204907_s_at</t>
  </si>
  <si>
    <t>215061_at</t>
  </si>
  <si>
    <t>METTL10</t>
  </si>
  <si>
    <t>204028_s_at</t>
  </si>
  <si>
    <t>210208_x_at</t>
  </si>
  <si>
    <t>205483_s_at</t>
  </si>
  <si>
    <t>ISG15</t>
  </si>
  <si>
    <t>219511_s_at</t>
  </si>
  <si>
    <t>SNCAIP</t>
  </si>
  <si>
    <t>203831_at</t>
  </si>
  <si>
    <t>R3HDM2</t>
  </si>
  <si>
    <t>214907_at</t>
  </si>
  <si>
    <t>202176_at</t>
  </si>
  <si>
    <t>ERCC3</t>
  </si>
  <si>
    <t>201717_at</t>
  </si>
  <si>
    <t>MRPL49</t>
  </si>
  <si>
    <t>204483_at</t>
  </si>
  <si>
    <t>ENO3</t>
  </si>
  <si>
    <t>214900_at</t>
  </si>
  <si>
    <t>218717_s_at</t>
  </si>
  <si>
    <t>LEPREL1</t>
  </si>
  <si>
    <t>220506_at</t>
  </si>
  <si>
    <t>GUCY1B2</t>
  </si>
  <si>
    <t>218937_at</t>
  </si>
  <si>
    <t>209728_at</t>
  </si>
  <si>
    <t>216591_s_at</t>
  </si>
  <si>
    <t>213340_s_at</t>
  </si>
  <si>
    <t>221194_s_at</t>
  </si>
  <si>
    <t>RNFT1</t>
  </si>
  <si>
    <t>201862_s_at</t>
  </si>
  <si>
    <t>204967_at</t>
  </si>
  <si>
    <t>SHROOM2</t>
  </si>
  <si>
    <t>214820_at</t>
  </si>
  <si>
    <t>204292_x_at</t>
  </si>
  <si>
    <t>205482_x_at</t>
  </si>
  <si>
    <t>SNX15</t>
  </si>
  <si>
    <t>208379_x_at</t>
  </si>
  <si>
    <t>NPY2R</t>
  </si>
  <si>
    <t>209947_at</t>
  </si>
  <si>
    <t>213087_s_at</t>
  </si>
  <si>
    <t>206896_s_at</t>
  </si>
  <si>
    <t>211809_x_at</t>
  </si>
  <si>
    <t>202770_s_at</t>
  </si>
  <si>
    <t>205863_at</t>
  </si>
  <si>
    <t>S100A12</t>
  </si>
  <si>
    <t>206205_at</t>
  </si>
  <si>
    <t>214330_at</t>
  </si>
  <si>
    <t>216830_at</t>
  </si>
  <si>
    <t>LOC100290629 /// LOC390561</t>
  </si>
  <si>
    <t>200003_s_at</t>
  </si>
  <si>
    <t>201926_s_at</t>
  </si>
  <si>
    <t>205467_at</t>
  </si>
  <si>
    <t>210129_s_at</t>
  </si>
  <si>
    <t>210991_s_at</t>
  </si>
  <si>
    <t>211251_x_at</t>
  </si>
  <si>
    <t>213240_s_at</t>
  </si>
  <si>
    <t>KRT4</t>
  </si>
  <si>
    <t>217163_at</t>
  </si>
  <si>
    <t>202252_at</t>
  </si>
  <si>
    <t>RAB13</t>
  </si>
  <si>
    <t>217742_s_at</t>
  </si>
  <si>
    <t>207537_at</t>
  </si>
  <si>
    <t>PFKFB1</t>
  </si>
  <si>
    <t>211152_s_at</t>
  </si>
  <si>
    <t>214417_s_at</t>
  </si>
  <si>
    <t>FETUB</t>
  </si>
  <si>
    <t>215620_at</t>
  </si>
  <si>
    <t>211964_at</t>
  </si>
  <si>
    <t>COL4A2</t>
  </si>
  <si>
    <t>211049_at</t>
  </si>
  <si>
    <t>TLX2</t>
  </si>
  <si>
    <t>220804_s_at</t>
  </si>
  <si>
    <t>TP73</t>
  </si>
  <si>
    <t>220428_at</t>
  </si>
  <si>
    <t>CD207</t>
  </si>
  <si>
    <t>202469_s_at</t>
  </si>
  <si>
    <t>203368_at</t>
  </si>
  <si>
    <t>CRELD1</t>
  </si>
  <si>
    <t>213295_at</t>
  </si>
  <si>
    <t>51192_at</t>
  </si>
  <si>
    <t>215910_s_at</t>
  </si>
  <si>
    <t>208265_at</t>
  </si>
  <si>
    <t>C2orf83</t>
  </si>
  <si>
    <t>214881_s_at</t>
  </si>
  <si>
    <t>217603_at</t>
  </si>
  <si>
    <t>207280_at</t>
  </si>
  <si>
    <t>RNF185</t>
  </si>
  <si>
    <t>204999_s_at</t>
  </si>
  <si>
    <t>202635_s_at</t>
  </si>
  <si>
    <t>203450_at</t>
  </si>
  <si>
    <t>CBY1</t>
  </si>
  <si>
    <t>215974_at</t>
  </si>
  <si>
    <t>LOC100294102</t>
  </si>
  <si>
    <t>213363_at</t>
  </si>
  <si>
    <t>CA5BP</t>
  </si>
  <si>
    <t>214596_at</t>
  </si>
  <si>
    <t>CHRM3</t>
  </si>
  <si>
    <t>200949_x_at</t>
  </si>
  <si>
    <t>209340_at</t>
  </si>
  <si>
    <t>UAP1</t>
  </si>
  <si>
    <t>209555_s_at</t>
  </si>
  <si>
    <t>209919_x_at</t>
  </si>
  <si>
    <t>210219_at</t>
  </si>
  <si>
    <t>211706_s_at</t>
  </si>
  <si>
    <t>214207_s_at</t>
  </si>
  <si>
    <t>214549_x_at</t>
  </si>
  <si>
    <t>SPRR1A</t>
  </si>
  <si>
    <t>214742_at</t>
  </si>
  <si>
    <t>AZI1</t>
  </si>
  <si>
    <t>217022_s_at</t>
  </si>
  <si>
    <t>IGH@ /// IGHA1 /// IGHA2 /// LOC100126583</t>
  </si>
  <si>
    <t>219090_at</t>
  </si>
  <si>
    <t>SLC24A3</t>
  </si>
  <si>
    <t>222244_s_at</t>
  </si>
  <si>
    <t>211345_x_at</t>
  </si>
  <si>
    <t>EEF1G /// TUT1</t>
  </si>
  <si>
    <t>206176_at</t>
  </si>
  <si>
    <t>BMP6</t>
  </si>
  <si>
    <t>210437_at</t>
  </si>
  <si>
    <t>MAGEA9 /// MAGEA9B</t>
  </si>
  <si>
    <t>215291_at</t>
  </si>
  <si>
    <t>203732_at</t>
  </si>
  <si>
    <t>TRIP4</t>
  </si>
  <si>
    <t>212370_x_at</t>
  </si>
  <si>
    <t>FAM21A /// FAM21B /// FAM21C</t>
  </si>
  <si>
    <t>206145_at</t>
  </si>
  <si>
    <t>218785_s_at</t>
  </si>
  <si>
    <t>RABL5</t>
  </si>
  <si>
    <t>208679_s_at</t>
  </si>
  <si>
    <t>212168_at</t>
  </si>
  <si>
    <t>RBM12</t>
  </si>
  <si>
    <t>200760_s_at</t>
  </si>
  <si>
    <t>220058_at</t>
  </si>
  <si>
    <t>C17orf39</t>
  </si>
  <si>
    <t>221370_at</t>
  </si>
  <si>
    <t>LOC100287163 /// ZNF717 /// ZNF73</t>
  </si>
  <si>
    <t>215681_at</t>
  </si>
  <si>
    <t>210715_s_at</t>
  </si>
  <si>
    <t>SPINT2</t>
  </si>
  <si>
    <t>204703_at</t>
  </si>
  <si>
    <t>IFT88</t>
  </si>
  <si>
    <t>202424_at</t>
  </si>
  <si>
    <t>205677_s_at</t>
  </si>
  <si>
    <t>DLEU1</t>
  </si>
  <si>
    <t>222081_at</t>
  </si>
  <si>
    <t>208436_s_at</t>
  </si>
  <si>
    <t>IRF7</t>
  </si>
  <si>
    <t>218405_at</t>
  </si>
  <si>
    <t>ABT1</t>
  </si>
  <si>
    <t>212882_at</t>
  </si>
  <si>
    <t>201564_s_at</t>
  </si>
  <si>
    <t>FSCN1</t>
  </si>
  <si>
    <t>204547_at</t>
  </si>
  <si>
    <t>205785_at</t>
  </si>
  <si>
    <t>206798_x_at</t>
  </si>
  <si>
    <t>218148_at</t>
  </si>
  <si>
    <t>CENPT</t>
  </si>
  <si>
    <t>203117_s_at</t>
  </si>
  <si>
    <t>PAN2</t>
  </si>
  <si>
    <t>217821_s_at</t>
  </si>
  <si>
    <t>217687_at</t>
  </si>
  <si>
    <t>202232_s_at</t>
  </si>
  <si>
    <t>205183_at</t>
  </si>
  <si>
    <t>201756_at</t>
  </si>
  <si>
    <t>RPA2</t>
  </si>
  <si>
    <t>218289_s_at</t>
  </si>
  <si>
    <t>UBA5</t>
  </si>
  <si>
    <t>203935_at</t>
  </si>
  <si>
    <t>ACVR1</t>
  </si>
  <si>
    <t>211114_x_at</t>
  </si>
  <si>
    <t>218961_s_at</t>
  </si>
  <si>
    <t>PNKP</t>
  </si>
  <si>
    <t>203683_s_at</t>
  </si>
  <si>
    <t>VEGFB</t>
  </si>
  <si>
    <t>217456_x_at</t>
  </si>
  <si>
    <t>217263_x_at</t>
  </si>
  <si>
    <t>203087_s_at</t>
  </si>
  <si>
    <t>213002_at</t>
  </si>
  <si>
    <t>215690_x_at</t>
  </si>
  <si>
    <t>206507_at</t>
  </si>
  <si>
    <t>ZSCAN12</t>
  </si>
  <si>
    <t>204360_s_at</t>
  </si>
  <si>
    <t>200788_s_at</t>
  </si>
  <si>
    <t>204624_at</t>
  </si>
  <si>
    <t>ATP7B</t>
  </si>
  <si>
    <t>208267_at</t>
  </si>
  <si>
    <t>TRPV5</t>
  </si>
  <si>
    <t>211682_x_at</t>
  </si>
  <si>
    <t>UGT2B28</t>
  </si>
  <si>
    <t>213089_at</t>
  </si>
  <si>
    <t>LOC100272216</t>
  </si>
  <si>
    <t>213104_at</t>
  </si>
  <si>
    <t>215707_s_at</t>
  </si>
  <si>
    <t>221923_s_at</t>
  </si>
  <si>
    <t>208392_x_at</t>
  </si>
  <si>
    <t>212943_at</t>
  </si>
  <si>
    <t>KIAA0528</t>
  </si>
  <si>
    <t>201520_s_at</t>
  </si>
  <si>
    <t>208907_s_at</t>
  </si>
  <si>
    <t>206746_at</t>
  </si>
  <si>
    <t>BFSP1</t>
  </si>
  <si>
    <t>219251_s_at</t>
  </si>
  <si>
    <t>WDR60</t>
  </si>
  <si>
    <t>211384_s_at</t>
  </si>
  <si>
    <t>218020_s_at</t>
  </si>
  <si>
    <t>ZFAND3</t>
  </si>
  <si>
    <t>216129_at</t>
  </si>
  <si>
    <t>208132_x_at</t>
  </si>
  <si>
    <t>BAT2</t>
  </si>
  <si>
    <t>200032_s_at</t>
  </si>
  <si>
    <t>RPL9</t>
  </si>
  <si>
    <t>211583_x_at</t>
  </si>
  <si>
    <t>203210_s_at</t>
  </si>
  <si>
    <t>214035_x_at</t>
  </si>
  <si>
    <t>218428_s_at</t>
  </si>
  <si>
    <t>REV1</t>
  </si>
  <si>
    <t>209458_x_at</t>
  </si>
  <si>
    <t>210064_s_at</t>
  </si>
  <si>
    <t>207024_at</t>
  </si>
  <si>
    <t>CHRND</t>
  </si>
  <si>
    <t>206514_s_at</t>
  </si>
  <si>
    <t>CYP4F2 /// CYP4F3</t>
  </si>
  <si>
    <t>212473_s_at</t>
  </si>
  <si>
    <t>209931_s_at</t>
  </si>
  <si>
    <t>FKBP1B /// MFSD2B</t>
  </si>
  <si>
    <t>219341_at</t>
  </si>
  <si>
    <t>200716_x_at</t>
  </si>
  <si>
    <t>214713_at</t>
  </si>
  <si>
    <t>213789_at</t>
  </si>
  <si>
    <t>LOC100292959</t>
  </si>
  <si>
    <t>214831_at</t>
  </si>
  <si>
    <t>209757_s_at</t>
  </si>
  <si>
    <t>216995_x_at</t>
  </si>
  <si>
    <t>221456_at</t>
  </si>
  <si>
    <t>TAS2R3</t>
  </si>
  <si>
    <t>200852_x_at</t>
  </si>
  <si>
    <t>GNB2</t>
  </si>
  <si>
    <t>201205_at</t>
  </si>
  <si>
    <t>LOC100292328</t>
  </si>
  <si>
    <t>200902_at</t>
  </si>
  <si>
    <t>_x001A__x001A__x001A__x001A__x001A__x001A_-15</t>
  </si>
  <si>
    <t>207949_s_at</t>
  </si>
  <si>
    <t>214951_at</t>
  </si>
  <si>
    <t>SLC26A10</t>
  </si>
  <si>
    <t>208753_s_at</t>
  </si>
  <si>
    <t>210415_s_at</t>
  </si>
  <si>
    <t>ODF2</t>
  </si>
  <si>
    <t>217563_at</t>
  </si>
  <si>
    <t>216450_x_at</t>
  </si>
  <si>
    <t>216266_s_at</t>
  </si>
  <si>
    <t>212112_s_at</t>
  </si>
  <si>
    <t>STX12</t>
  </si>
  <si>
    <t>217480_x_at</t>
  </si>
  <si>
    <t>LOC100287723 /// LOC642424 /// LOC642838</t>
  </si>
  <si>
    <t>202390_s_at</t>
  </si>
  <si>
    <t>211726_s_at</t>
  </si>
  <si>
    <t>FMO2</t>
  </si>
  <si>
    <t>216870_x_at</t>
  </si>
  <si>
    <t>DLEU2</t>
  </si>
  <si>
    <t>217309_s_at</t>
  </si>
  <si>
    <t>205310_at</t>
  </si>
  <si>
    <t>FBXO46</t>
  </si>
  <si>
    <t>210323_at</t>
  </si>
  <si>
    <t>TEKT2</t>
  </si>
  <si>
    <t>216682_s_at</t>
  </si>
  <si>
    <t>200961_at</t>
  </si>
  <si>
    <t>SEPHS2</t>
  </si>
  <si>
    <t>204003_s_at</t>
  </si>
  <si>
    <t>NUPL2</t>
  </si>
  <si>
    <t>204873_at</t>
  </si>
  <si>
    <t>209070_s_at</t>
  </si>
  <si>
    <t>RGS5</t>
  </si>
  <si>
    <t>212898_at</t>
  </si>
  <si>
    <t>KIAA0406</t>
  </si>
  <si>
    <t>201345_s_at</t>
  </si>
  <si>
    <t>212314_at</t>
  </si>
  <si>
    <t>KIAA0746</t>
  </si>
  <si>
    <t>216835_s_at</t>
  </si>
  <si>
    <t>DOK1</t>
  </si>
  <si>
    <t>201560_at</t>
  </si>
  <si>
    <t>205495_s_at</t>
  </si>
  <si>
    <t>206771_at</t>
  </si>
  <si>
    <t>UPK3A</t>
  </si>
  <si>
    <t>205838_at</t>
  </si>
  <si>
    <t>200884_at</t>
  </si>
  <si>
    <t>CKB</t>
  </si>
  <si>
    <t>216497_at</t>
  </si>
  <si>
    <t>HNRNPA1 /// HNRNPA1L2 /// HNRPA1L-2 /// HNRPA1P5 /// LOC100290205 /// LOC120364 /// LOC642817 /// LO</t>
  </si>
  <si>
    <t>201851_at</t>
  </si>
  <si>
    <t>SH3GL1</t>
  </si>
  <si>
    <t>201257_x_at</t>
  </si>
  <si>
    <t>205833_s_at</t>
  </si>
  <si>
    <t>208906_at</t>
  </si>
  <si>
    <t>BSCL2</t>
  </si>
  <si>
    <t>210461_s_at</t>
  </si>
  <si>
    <t>217297_s_at</t>
  </si>
  <si>
    <t>220097_s_at</t>
  </si>
  <si>
    <t>TMEM104</t>
  </si>
  <si>
    <t>210320_s_at</t>
  </si>
  <si>
    <t>205195_at</t>
  </si>
  <si>
    <t>209725_at</t>
  </si>
  <si>
    <t>UTP20</t>
  </si>
  <si>
    <t>218814_s_at</t>
  </si>
  <si>
    <t>TMEM206</t>
  </si>
  <si>
    <t>40420_at</t>
  </si>
  <si>
    <t>203858_s_at</t>
  </si>
  <si>
    <t>206238_s_at</t>
  </si>
  <si>
    <t>YAF2</t>
  </si>
  <si>
    <t>211993_at</t>
  </si>
  <si>
    <t>203952_at</t>
  </si>
  <si>
    <t>204376_at</t>
  </si>
  <si>
    <t>213781_at</t>
  </si>
  <si>
    <t>217920_at</t>
  </si>
  <si>
    <t>205776_at</t>
  </si>
  <si>
    <t>FMO5</t>
  </si>
  <si>
    <t>208311_at</t>
  </si>
  <si>
    <t>GPR50</t>
  </si>
  <si>
    <t>212625_at</t>
  </si>
  <si>
    <t>STX10</t>
  </si>
  <si>
    <t>213318_s_at</t>
  </si>
  <si>
    <t>221998_s_at</t>
  </si>
  <si>
    <t>205043_at</t>
  </si>
  <si>
    <t>CFTR</t>
  </si>
  <si>
    <t>215113_s_at</t>
  </si>
  <si>
    <t>213175_s_at</t>
  </si>
  <si>
    <t>SNRPB</t>
  </si>
  <si>
    <t>201697_s_at</t>
  </si>
  <si>
    <t>DNMT1</t>
  </si>
  <si>
    <t>209391_at</t>
  </si>
  <si>
    <t>DPM2</t>
  </si>
  <si>
    <t>216226_at</t>
  </si>
  <si>
    <t>TAF4B</t>
  </si>
  <si>
    <t>213146_at</t>
  </si>
  <si>
    <t>220505_at</t>
  </si>
  <si>
    <t>C9orf53</t>
  </si>
  <si>
    <t>212601_at</t>
  </si>
  <si>
    <t>202695_s_at</t>
  </si>
  <si>
    <t>215274_at</t>
  </si>
  <si>
    <t>210463_x_at</t>
  </si>
  <si>
    <t>201097_s_at</t>
  </si>
  <si>
    <t>211745_x_at</t>
  </si>
  <si>
    <t>200766_at</t>
  </si>
  <si>
    <t>CTSD</t>
  </si>
  <si>
    <t>220105_at</t>
  </si>
  <si>
    <t>RTDR1</t>
  </si>
  <si>
    <t>212118_at</t>
  </si>
  <si>
    <t>217545_at</t>
  </si>
  <si>
    <t>55093_at</t>
  </si>
  <si>
    <t>201977_s_at</t>
  </si>
  <si>
    <t>204204_at</t>
  </si>
  <si>
    <t>SLC31A2</t>
  </si>
  <si>
    <t>211679_x_at</t>
  </si>
  <si>
    <t>211717_at</t>
  </si>
  <si>
    <t>ANKRD40</t>
  </si>
  <si>
    <t>202180_s_at</t>
  </si>
  <si>
    <t>MVP</t>
  </si>
  <si>
    <t>210385_s_at</t>
  </si>
  <si>
    <t>201668_x_at</t>
  </si>
  <si>
    <t>35617_at</t>
  </si>
  <si>
    <t>201912_s_at</t>
  </si>
  <si>
    <t>201123_s_at</t>
  </si>
  <si>
    <t>207013_s_at</t>
  </si>
  <si>
    <t>MMP16</t>
  </si>
  <si>
    <t>200841_s_at</t>
  </si>
  <si>
    <t>207302_at</t>
  </si>
  <si>
    <t>SGCG</t>
  </si>
  <si>
    <t>59433_at</t>
  </si>
  <si>
    <t>LOC286434</t>
  </si>
  <si>
    <t>204234_s_at</t>
  </si>
  <si>
    <t>ZNF195</t>
  </si>
  <si>
    <t>201021_s_at</t>
  </si>
  <si>
    <t>DSTN</t>
  </si>
  <si>
    <t>202082_s_at</t>
  </si>
  <si>
    <t>210666_at</t>
  </si>
  <si>
    <t>213021_at</t>
  </si>
  <si>
    <t>206178_at</t>
  </si>
  <si>
    <t>205550_s_at</t>
  </si>
  <si>
    <t>208612_at</t>
  </si>
  <si>
    <t>PDIA3</t>
  </si>
  <si>
    <t>216066_at</t>
  </si>
  <si>
    <t>213166_x_at</t>
  </si>
  <si>
    <t>FAM128A</t>
  </si>
  <si>
    <t>210589_s_at</t>
  </si>
  <si>
    <t>GBAP</t>
  </si>
  <si>
    <t>213991_s_at</t>
  </si>
  <si>
    <t>HS3ST1</t>
  </si>
  <si>
    <t>202840_at</t>
  </si>
  <si>
    <t>TAF15</t>
  </si>
  <si>
    <t>202718_at</t>
  </si>
  <si>
    <t>IGFBP2</t>
  </si>
  <si>
    <t>210120_s_at</t>
  </si>
  <si>
    <t>214460_at</t>
  </si>
  <si>
    <t>LSAMP</t>
  </si>
  <si>
    <t>206692_at</t>
  </si>
  <si>
    <t>KCNJ10</t>
  </si>
  <si>
    <t>211644_x_at</t>
  </si>
  <si>
    <t>IGK@ /// IGKC /// IGKV3-20 /// IGKV3D-11 /// IGKV3D-15 /// LOC100291682 /// LOC440871</t>
  </si>
  <si>
    <t>218216_x_at</t>
  </si>
  <si>
    <t>ARL6IP4</t>
  </si>
  <si>
    <t>208943_s_at</t>
  </si>
  <si>
    <t>214138_at</t>
  </si>
  <si>
    <t>202626_s_at</t>
  </si>
  <si>
    <t>LYN</t>
  </si>
  <si>
    <t>204728_s_at</t>
  </si>
  <si>
    <t>WDHD1</t>
  </si>
  <si>
    <t>213903_s_at</t>
  </si>
  <si>
    <t>217173_s_at</t>
  </si>
  <si>
    <t>212332_at</t>
  </si>
  <si>
    <t>212909_at</t>
  </si>
  <si>
    <t>LYPD1</t>
  </si>
  <si>
    <t>209189_at</t>
  </si>
  <si>
    <t>FOS</t>
  </si>
  <si>
    <t>336_at</t>
  </si>
  <si>
    <t>212658_at</t>
  </si>
  <si>
    <t>LHFPL2</t>
  </si>
  <si>
    <t>214607_at</t>
  </si>
  <si>
    <t>PAK3</t>
  </si>
  <si>
    <t>211061_s_at</t>
  </si>
  <si>
    <t>213749_at</t>
  </si>
  <si>
    <t>217991_x_at</t>
  </si>
  <si>
    <t>SSBP3</t>
  </si>
  <si>
    <t>218004_at</t>
  </si>
  <si>
    <t>BSDC1</t>
  </si>
  <si>
    <t>211089_s_at</t>
  </si>
  <si>
    <t>37953_s_at</t>
  </si>
  <si>
    <t>215068_s_at</t>
  </si>
  <si>
    <t>203304_at</t>
  </si>
  <si>
    <t>BAMBI</t>
  </si>
  <si>
    <t>218352_at</t>
  </si>
  <si>
    <t>RCBTB1</t>
  </si>
  <si>
    <t>201264_at</t>
  </si>
  <si>
    <t>218178_s_at</t>
  </si>
  <si>
    <t>212617_at</t>
  </si>
  <si>
    <t>217221_x_at</t>
  </si>
  <si>
    <t>219298_at</t>
  </si>
  <si>
    <t>ECHDC3</t>
  </si>
  <si>
    <t>211300_s_at</t>
  </si>
  <si>
    <t>212913_at</t>
  </si>
  <si>
    <t>210482_x_at</t>
  </si>
  <si>
    <t>219575_s_at</t>
  </si>
  <si>
    <t>COG8 /// PDF</t>
  </si>
  <si>
    <t>201111_at</t>
  </si>
  <si>
    <t>204586_at</t>
  </si>
  <si>
    <t>BSN</t>
  </si>
  <si>
    <t>207526_s_at</t>
  </si>
  <si>
    <t>215605_at</t>
  </si>
  <si>
    <t>221904_at</t>
  </si>
  <si>
    <t>FAM131A</t>
  </si>
  <si>
    <t>218820_at</t>
  </si>
  <si>
    <t>C14orf132</t>
  </si>
  <si>
    <t>220853_at</t>
  </si>
  <si>
    <t>GTDC1</t>
  </si>
  <si>
    <t>209334_s_at</t>
  </si>
  <si>
    <t>211107_s_at</t>
  </si>
  <si>
    <t>AURKC</t>
  </si>
  <si>
    <t>216510_x_at</t>
  </si>
  <si>
    <t>IGHA1 /// IGHG1 /// IGHM /// IGHV3-23 /// IGHV4-31 /// LOC100132941 /// LOC100289290 /// LOC10029105</t>
  </si>
  <si>
    <t>219379_x_at</t>
  </si>
  <si>
    <t>ZNF358</t>
  </si>
  <si>
    <t>209969_s_at</t>
  </si>
  <si>
    <t>205025_at</t>
  </si>
  <si>
    <t>ZBTB48</t>
  </si>
  <si>
    <t>213455_at</t>
  </si>
  <si>
    <t>FAM114A1</t>
  </si>
  <si>
    <t>209373_at</t>
  </si>
  <si>
    <t>MALL</t>
  </si>
  <si>
    <t>200976_s_at</t>
  </si>
  <si>
    <t>TAX1BP1</t>
  </si>
  <si>
    <t>212733_at</t>
  </si>
  <si>
    <t>201507_at</t>
  </si>
  <si>
    <t>PFDN1</t>
  </si>
  <si>
    <t>216317_x_at</t>
  </si>
  <si>
    <t>RHCE</t>
  </si>
  <si>
    <t>221825_at</t>
  </si>
  <si>
    <t>205403_at</t>
  </si>
  <si>
    <t>IL1R2</t>
  </si>
  <si>
    <t>217777_s_at</t>
  </si>
  <si>
    <t>PTPLAD1</t>
  </si>
  <si>
    <t>202762_at</t>
  </si>
  <si>
    <t>201641_at</t>
  </si>
  <si>
    <t>BST2</t>
  </si>
  <si>
    <t>210413_x_at</t>
  </si>
  <si>
    <t>SERPINB3 /// SERPINB4</t>
  </si>
  <si>
    <t>211429_s_at</t>
  </si>
  <si>
    <t>213107_at</t>
  </si>
  <si>
    <t>50314_i_at</t>
  </si>
  <si>
    <t>203189_s_at</t>
  </si>
  <si>
    <t>214033_at</t>
  </si>
  <si>
    <t>ABCC6</t>
  </si>
  <si>
    <t>204474_at</t>
  </si>
  <si>
    <t>ZNF142</t>
  </si>
  <si>
    <t>209420_s_at</t>
  </si>
  <si>
    <t>209911_x_at</t>
  </si>
  <si>
    <t>213161_at</t>
  </si>
  <si>
    <t>TSTD2</t>
  </si>
  <si>
    <t>213475_s_at</t>
  </si>
  <si>
    <t>ITGAL</t>
  </si>
  <si>
    <t>219315_s_at</t>
  </si>
  <si>
    <t>TMEM204</t>
  </si>
  <si>
    <t>205522_at</t>
  </si>
  <si>
    <t>HOXD4</t>
  </si>
  <si>
    <t>215246_at</t>
  </si>
  <si>
    <t>64474_g_at</t>
  </si>
  <si>
    <t>202267_at</t>
  </si>
  <si>
    <t>LAMC2</t>
  </si>
  <si>
    <t>205452_at</t>
  </si>
  <si>
    <t>PIGB</t>
  </si>
  <si>
    <t>218888_s_at</t>
  </si>
  <si>
    <t>NETO2</t>
  </si>
  <si>
    <t>208763_s_at</t>
  </si>
  <si>
    <t>TSC22D3</t>
  </si>
  <si>
    <t>208274_at</t>
  </si>
  <si>
    <t>OCLM</t>
  </si>
  <si>
    <t>211199_s_at</t>
  </si>
  <si>
    <t>215590_x_at</t>
  </si>
  <si>
    <t>LOC100128640</t>
  </si>
  <si>
    <t>215952_s_at</t>
  </si>
  <si>
    <t>OAZ1</t>
  </si>
  <si>
    <t>217633_at</t>
  </si>
  <si>
    <t>212842_x_at</t>
  </si>
  <si>
    <t>RGPD4 /// RGPD5 /// RGPD6 /// RGPD8</t>
  </si>
  <si>
    <t>205739_x_at</t>
  </si>
  <si>
    <t>ZNF107</t>
  </si>
  <si>
    <t>205886_at</t>
  </si>
  <si>
    <t>REG1B</t>
  </si>
  <si>
    <t>200926_at</t>
  </si>
  <si>
    <t>RPS23</t>
  </si>
  <si>
    <t>205497_at</t>
  </si>
  <si>
    <t>ZNF175</t>
  </si>
  <si>
    <t>220603_s_at</t>
  </si>
  <si>
    <t>MCTP2</t>
  </si>
  <si>
    <t>221978_at</t>
  </si>
  <si>
    <t>HLA-F</t>
  </si>
  <si>
    <t>214836_x_at</t>
  </si>
  <si>
    <t>212513_s_at</t>
  </si>
  <si>
    <t>202850_at</t>
  </si>
  <si>
    <t>ABCD3</t>
  </si>
  <si>
    <t>214036_at</t>
  </si>
  <si>
    <t>220760_x_at</t>
  </si>
  <si>
    <t>ZNF665</t>
  </si>
  <si>
    <t>215806_x_at</t>
  </si>
  <si>
    <t>201415_at</t>
  </si>
  <si>
    <t>218338_at</t>
  </si>
  <si>
    <t>PHC1</t>
  </si>
  <si>
    <t>216850_at</t>
  </si>
  <si>
    <t>SNRPN</t>
  </si>
  <si>
    <t>216457_s_at</t>
  </si>
  <si>
    <t>205329_s_at</t>
  </si>
  <si>
    <t>220064_at</t>
  </si>
  <si>
    <t>TTC21B</t>
  </si>
  <si>
    <t>204461_x_at</t>
  </si>
  <si>
    <t>204008_at</t>
  </si>
  <si>
    <t>DNAL4</t>
  </si>
  <si>
    <t>220215_at</t>
  </si>
  <si>
    <t>ZNF669</t>
  </si>
  <si>
    <t>206220_s_at</t>
  </si>
  <si>
    <t>RASA3</t>
  </si>
  <si>
    <t>214481_at</t>
  </si>
  <si>
    <t>HIST1H2AM</t>
  </si>
  <si>
    <t>218505_at</t>
  </si>
  <si>
    <t>217332_at</t>
  </si>
  <si>
    <t>RP11-159J2.1</t>
  </si>
  <si>
    <t>212458_at</t>
  </si>
  <si>
    <t>SPRED2</t>
  </si>
  <si>
    <t>32259_at</t>
  </si>
  <si>
    <t>201529_s_at</t>
  </si>
  <si>
    <t>208767_s_at</t>
  </si>
  <si>
    <t>220246_at</t>
  </si>
  <si>
    <t>CAMK1D</t>
  </si>
  <si>
    <t>209998_at</t>
  </si>
  <si>
    <t>211130_x_at</t>
  </si>
  <si>
    <t>211586_s_at</t>
  </si>
  <si>
    <t>207582_at</t>
  </si>
  <si>
    <t>PIN1L</t>
  </si>
  <si>
    <t>200920_s_at</t>
  </si>
  <si>
    <t>BTG1</t>
  </si>
  <si>
    <t>221124_s_at</t>
  </si>
  <si>
    <t>VSX1</t>
  </si>
  <si>
    <t>218051_s_at</t>
  </si>
  <si>
    <t>NT5DC2</t>
  </si>
  <si>
    <t>222343_at</t>
  </si>
  <si>
    <t>BCL2L11</t>
  </si>
  <si>
    <t>219434_at</t>
  </si>
  <si>
    <t>TREM1</t>
  </si>
  <si>
    <t>221868_at</t>
  </si>
  <si>
    <t>PAIP2B</t>
  </si>
  <si>
    <t>203364_s_at</t>
  </si>
  <si>
    <t>216139_s_at</t>
  </si>
  <si>
    <t>218324_s_at</t>
  </si>
  <si>
    <t>SPATS2</t>
  </si>
  <si>
    <t>218543_s_at</t>
  </si>
  <si>
    <t>PARP12</t>
  </si>
  <si>
    <t>219217_at</t>
  </si>
  <si>
    <t>NARS2</t>
  </si>
  <si>
    <t>219950_s_at</t>
  </si>
  <si>
    <t>TIAM2</t>
  </si>
  <si>
    <t>205690_s_at</t>
  </si>
  <si>
    <t>219953_s_at</t>
  </si>
  <si>
    <t>C11orf17</t>
  </si>
  <si>
    <t>216892_at</t>
  </si>
  <si>
    <t>204355_at</t>
  </si>
  <si>
    <t>202297_s_at</t>
  </si>
  <si>
    <t>203646_at</t>
  </si>
  <si>
    <t>206017_at</t>
  </si>
  <si>
    <t>KIAA0319</t>
  </si>
  <si>
    <t>209103_s_at</t>
  </si>
  <si>
    <t>UFD1L</t>
  </si>
  <si>
    <t>209782_s_at</t>
  </si>
  <si>
    <t>213660_s_at</t>
  </si>
  <si>
    <t>PI4KA /// TOP3B</t>
  </si>
  <si>
    <t>218922_s_at</t>
  </si>
  <si>
    <t>LASS4</t>
  </si>
  <si>
    <t>212801_at</t>
  </si>
  <si>
    <t>CIT</t>
  </si>
  <si>
    <t>215462_at</t>
  </si>
  <si>
    <t>213505_s_at</t>
  </si>
  <si>
    <t>219193_at</t>
  </si>
  <si>
    <t>WDR70</t>
  </si>
  <si>
    <t>207039_at</t>
  </si>
  <si>
    <t>211029_x_at</t>
  </si>
  <si>
    <t>203965_at</t>
  </si>
  <si>
    <t>USP20</t>
  </si>
  <si>
    <t>204860_s_at</t>
  </si>
  <si>
    <t>NAIP</t>
  </si>
  <si>
    <t>221515_s_at</t>
  </si>
  <si>
    <t>LCMT1</t>
  </si>
  <si>
    <t>201388_at</t>
  </si>
  <si>
    <t>PSMD3</t>
  </si>
  <si>
    <t>221424_s_at</t>
  </si>
  <si>
    <t>OR51E2</t>
  </si>
  <si>
    <t>205564_at</t>
  </si>
  <si>
    <t>PAGE4</t>
  </si>
  <si>
    <t>219802_at</t>
  </si>
  <si>
    <t>PYROXD1</t>
  </si>
  <si>
    <t>216281_at</t>
  </si>
  <si>
    <t>210980_s_at</t>
  </si>
  <si>
    <t>220907_at</t>
  </si>
  <si>
    <t>GPR110</t>
  </si>
  <si>
    <t>213067_at</t>
  </si>
  <si>
    <t>220067_at</t>
  </si>
  <si>
    <t>SPTBN5</t>
  </si>
  <si>
    <t>203846_at</t>
  </si>
  <si>
    <t>TRIM32</t>
  </si>
  <si>
    <t>218617_at</t>
  </si>
  <si>
    <t>TRIT1</t>
  </si>
  <si>
    <t>218240_at</t>
  </si>
  <si>
    <t>218312_s_at</t>
  </si>
  <si>
    <t>202584_at</t>
  </si>
  <si>
    <t>208565_at</t>
  </si>
  <si>
    <t>MC5R</t>
  </si>
  <si>
    <t>215415_s_at</t>
  </si>
  <si>
    <t>206777_s_at</t>
  </si>
  <si>
    <t>CRYBB2 /// CRYBB2P1</t>
  </si>
  <si>
    <t>212778_at</t>
  </si>
  <si>
    <t>PACS2</t>
  </si>
  <si>
    <t>217374_x_at</t>
  </si>
  <si>
    <t>TARP /// TRGV3 /// TRGV5</t>
  </si>
  <si>
    <t>206064_s_at</t>
  </si>
  <si>
    <t>203229_s_at</t>
  </si>
  <si>
    <t>CLK2</t>
  </si>
  <si>
    <t>206698_at</t>
  </si>
  <si>
    <t>XK</t>
  </si>
  <si>
    <t>206486_at</t>
  </si>
  <si>
    <t>LAG3</t>
  </si>
  <si>
    <t>214554_at</t>
  </si>
  <si>
    <t>HIST1H2AL</t>
  </si>
  <si>
    <t>204284_at</t>
  </si>
  <si>
    <t>PPP1R3C</t>
  </si>
  <si>
    <t>205481_at</t>
  </si>
  <si>
    <t>206203_at</t>
  </si>
  <si>
    <t>RCVRN</t>
  </si>
  <si>
    <t>218455_at</t>
  </si>
  <si>
    <t>NFS1</t>
  </si>
  <si>
    <t>205348_s_at</t>
  </si>
  <si>
    <t>DYNC1I1</t>
  </si>
  <si>
    <t>201729_s_at</t>
  </si>
  <si>
    <t>204815_s_at</t>
  </si>
  <si>
    <t>DHX34</t>
  </si>
  <si>
    <t>204877_s_at</t>
  </si>
  <si>
    <t>201249_at</t>
  </si>
  <si>
    <t>214296_x_at</t>
  </si>
  <si>
    <t>C19orf36</t>
  </si>
  <si>
    <t>212311_at</t>
  </si>
  <si>
    <t>220749_at</t>
  </si>
  <si>
    <t>C10orf68</t>
  </si>
  <si>
    <t>212356_at</t>
  </si>
  <si>
    <t>204833_at</t>
  </si>
  <si>
    <t>ATG12</t>
  </si>
  <si>
    <t>213015_at</t>
  </si>
  <si>
    <t>218932_at</t>
  </si>
  <si>
    <t>ZNHIT6</t>
  </si>
  <si>
    <t>221388_at</t>
  </si>
  <si>
    <t>OR1A1</t>
  </si>
  <si>
    <t>212482_at</t>
  </si>
  <si>
    <t>213885_at</t>
  </si>
  <si>
    <t>208304_at</t>
  </si>
  <si>
    <t>CCR3</t>
  </si>
  <si>
    <t>215894_at</t>
  </si>
  <si>
    <t>PTGDR</t>
  </si>
  <si>
    <t>202224_at</t>
  </si>
  <si>
    <t>207395_at</t>
  </si>
  <si>
    <t>BTN1A1</t>
  </si>
  <si>
    <t>214212_x_at</t>
  </si>
  <si>
    <t>212757_s_at</t>
  </si>
  <si>
    <t>207114_at</t>
  </si>
  <si>
    <t>LY6G6C</t>
  </si>
  <si>
    <t>202441_at</t>
  </si>
  <si>
    <t>ERLIN1</t>
  </si>
  <si>
    <t>203836_s_at</t>
  </si>
  <si>
    <t>MAP3K5</t>
  </si>
  <si>
    <t>209907_s_at</t>
  </si>
  <si>
    <t>214245_at</t>
  </si>
  <si>
    <t>221737_at</t>
  </si>
  <si>
    <t>GNA12</t>
  </si>
  <si>
    <t>221842_s_at</t>
  </si>
  <si>
    <t>202324_s_at</t>
  </si>
  <si>
    <t>219570_at</t>
  </si>
  <si>
    <t>KIF16B</t>
  </si>
  <si>
    <t>217766_s_at</t>
  </si>
  <si>
    <t>TMEM50A</t>
  </si>
  <si>
    <t>201297_s_at</t>
  </si>
  <si>
    <t>215691_x_at</t>
  </si>
  <si>
    <t>206237_s_at</t>
  </si>
  <si>
    <t>206193_s_at</t>
  </si>
  <si>
    <t>219073_s_at</t>
  </si>
  <si>
    <t>217291_at</t>
  </si>
  <si>
    <t>219883_at</t>
  </si>
  <si>
    <t>C11orf20</t>
  </si>
  <si>
    <t>210053_at</t>
  </si>
  <si>
    <t>TAF5</t>
  </si>
  <si>
    <t>212152_x_at</t>
  </si>
  <si>
    <t>220024_s_at</t>
  </si>
  <si>
    <t>PRX</t>
  </si>
  <si>
    <t>202883_s_at</t>
  </si>
  <si>
    <t>210687_at</t>
  </si>
  <si>
    <t>213405_at</t>
  </si>
  <si>
    <t>216945_x_at</t>
  </si>
  <si>
    <t>217903_at</t>
  </si>
  <si>
    <t>STRN4</t>
  </si>
  <si>
    <t>217970_s_at</t>
  </si>
  <si>
    <t>CNOT6</t>
  </si>
  <si>
    <t>204078_at</t>
  </si>
  <si>
    <t>SC65</t>
  </si>
  <si>
    <t>216360_x_at</t>
  </si>
  <si>
    <t>205509_at</t>
  </si>
  <si>
    <t>CPB1</t>
  </si>
  <si>
    <t>209788_s_at</t>
  </si>
  <si>
    <t>220152_at</t>
  </si>
  <si>
    <t>C10orf95</t>
  </si>
  <si>
    <t>220657_at</t>
  </si>
  <si>
    <t>KLHL11</t>
  </si>
  <si>
    <t>214921_at</t>
  </si>
  <si>
    <t>221843_s_at</t>
  </si>
  <si>
    <t>213946_s_at</t>
  </si>
  <si>
    <t>213193_x_at</t>
  </si>
  <si>
    <t>TRBC1</t>
  </si>
  <si>
    <t>217618_x_at</t>
  </si>
  <si>
    <t>203191_at</t>
  </si>
  <si>
    <t>205646_s_at</t>
  </si>
  <si>
    <t>PAX6</t>
  </si>
  <si>
    <t>210165_at</t>
  </si>
  <si>
    <t>DNASE1</t>
  </si>
  <si>
    <t>217094_s_at</t>
  </si>
  <si>
    <t>212836_at</t>
  </si>
  <si>
    <t>POLD3</t>
  </si>
  <si>
    <t>217852_s_at</t>
  </si>
  <si>
    <t>ARL8B</t>
  </si>
  <si>
    <t>220217_x_at</t>
  </si>
  <si>
    <t>SPANXC</t>
  </si>
  <si>
    <t>212257_s_at</t>
  </si>
  <si>
    <t>213103_at</t>
  </si>
  <si>
    <t>STARD13</t>
  </si>
  <si>
    <t>206219_s_at</t>
  </si>
  <si>
    <t>VAV1</t>
  </si>
  <si>
    <t>220295_x_at</t>
  </si>
  <si>
    <t>DEPDC1</t>
  </si>
  <si>
    <t>209533_s_at</t>
  </si>
  <si>
    <t>PLAA</t>
  </si>
  <si>
    <t>220933_s_at</t>
  </si>
  <si>
    <t>ZCCHC6</t>
  </si>
  <si>
    <t>221003_s_at</t>
  </si>
  <si>
    <t>CAB39L</t>
  </si>
  <si>
    <t>206100_at</t>
  </si>
  <si>
    <t>CPM</t>
  </si>
  <si>
    <t>37586_at</t>
  </si>
  <si>
    <t>204263_s_at</t>
  </si>
  <si>
    <t>CPT2</t>
  </si>
  <si>
    <t>213865_at</t>
  </si>
  <si>
    <t>215511_at</t>
  </si>
  <si>
    <t>201180_s_at</t>
  </si>
  <si>
    <t>206868_at</t>
  </si>
  <si>
    <t>STARD8</t>
  </si>
  <si>
    <t>203072_at</t>
  </si>
  <si>
    <t>MYO1E</t>
  </si>
  <si>
    <t>219556_at</t>
  </si>
  <si>
    <t>C16orf59</t>
  </si>
  <si>
    <t>202515_at</t>
  </si>
  <si>
    <t>220410_s_at</t>
  </si>
  <si>
    <t>211954_s_at</t>
  </si>
  <si>
    <t>221960_s_at</t>
  </si>
  <si>
    <t>207969_x_at</t>
  </si>
  <si>
    <t>215042_at</t>
  </si>
  <si>
    <t>219190_s_at</t>
  </si>
  <si>
    <t>EIF2C4</t>
  </si>
  <si>
    <t>208597_at</t>
  </si>
  <si>
    <t>CNTF /// ZFP91 /// ZFP91-CNTF</t>
  </si>
  <si>
    <t>220072_at</t>
  </si>
  <si>
    <t>CSPP1</t>
  </si>
  <si>
    <t>208212_s_at</t>
  </si>
  <si>
    <t>207255_at</t>
  </si>
  <si>
    <t>208756_at</t>
  </si>
  <si>
    <t>EIF3I</t>
  </si>
  <si>
    <t>210021_s_at</t>
  </si>
  <si>
    <t>CCNO</t>
  </si>
  <si>
    <t>218708_at</t>
  </si>
  <si>
    <t>NXT1</t>
  </si>
  <si>
    <t>206705_at</t>
  </si>
  <si>
    <t>TULP1</t>
  </si>
  <si>
    <t>212744_at</t>
  </si>
  <si>
    <t>BBS4</t>
  </si>
  <si>
    <t>220628_s_at</t>
  </si>
  <si>
    <t>SDK2</t>
  </si>
  <si>
    <t>207253_s_at</t>
  </si>
  <si>
    <t>210313_at</t>
  </si>
  <si>
    <t>LILRA4</t>
  </si>
  <si>
    <t>216531_at</t>
  </si>
  <si>
    <t>YY2</t>
  </si>
  <si>
    <t>205459_s_at</t>
  </si>
  <si>
    <t>212485_at</t>
  </si>
  <si>
    <t>200069_at</t>
  </si>
  <si>
    <t>204126_s_at</t>
  </si>
  <si>
    <t>CDC45L</t>
  </si>
  <si>
    <t>203528_at</t>
  </si>
  <si>
    <t>SEMA4D</t>
  </si>
  <si>
    <t>204928_s_at</t>
  </si>
  <si>
    <t>SLC10A3</t>
  </si>
  <si>
    <t>207897_at</t>
  </si>
  <si>
    <t>CRHR2</t>
  </si>
  <si>
    <t>217411_s_at</t>
  </si>
  <si>
    <t>218437_s_at</t>
  </si>
  <si>
    <t>LZTFL1</t>
  </si>
  <si>
    <t>201939_at</t>
  </si>
  <si>
    <t>PLK2</t>
  </si>
  <si>
    <t>221484_at</t>
  </si>
  <si>
    <t>204747_at</t>
  </si>
  <si>
    <t>IFIT3</t>
  </si>
  <si>
    <t>213699_s_at</t>
  </si>
  <si>
    <t>210547_x_at</t>
  </si>
  <si>
    <t>206142_at</t>
  </si>
  <si>
    <t>ZNF135</t>
  </si>
  <si>
    <t>217462_at</t>
  </si>
  <si>
    <t>202722_s_at</t>
  </si>
  <si>
    <t>207954_at</t>
  </si>
  <si>
    <t>214697_s_at</t>
  </si>
  <si>
    <t>208791_at</t>
  </si>
  <si>
    <t>217544_at</t>
  </si>
  <si>
    <t>LOC729806</t>
  </si>
  <si>
    <t>217875_s_at</t>
  </si>
  <si>
    <t>PMEPA1</t>
  </si>
  <si>
    <t>212825_at</t>
  </si>
  <si>
    <t>PAXIP1</t>
  </si>
  <si>
    <t>211724_x_at</t>
  </si>
  <si>
    <t>MIOS</t>
  </si>
  <si>
    <t>204713_s_at</t>
  </si>
  <si>
    <t>F5</t>
  </si>
  <si>
    <t>217988_at</t>
  </si>
  <si>
    <t>CCNB1IP1</t>
  </si>
  <si>
    <t>222052_at</t>
  </si>
  <si>
    <t>C19orf54</t>
  </si>
  <si>
    <t>219531_at</t>
  </si>
  <si>
    <t>CEP72</t>
  </si>
  <si>
    <t>202886_s_at</t>
  </si>
  <si>
    <t>215004_s_at</t>
  </si>
  <si>
    <t>218958_at</t>
  </si>
  <si>
    <t>213957_s_at</t>
  </si>
  <si>
    <t>207933_at</t>
  </si>
  <si>
    <t>ZP2</t>
  </si>
  <si>
    <t>211136_s_at</t>
  </si>
  <si>
    <t>212051_at</t>
  </si>
  <si>
    <t>217433_at</t>
  </si>
  <si>
    <t>219921_s_at</t>
  </si>
  <si>
    <t>DOCK5</t>
  </si>
  <si>
    <t>211389_x_at</t>
  </si>
  <si>
    <t>KIR3DS1</t>
  </si>
  <si>
    <t>220032_at</t>
  </si>
  <si>
    <t>C7orf58</t>
  </si>
  <si>
    <t>213741_s_at</t>
  </si>
  <si>
    <t>217330_at</t>
  </si>
  <si>
    <t>200024_at</t>
  </si>
  <si>
    <t>RPS5</t>
  </si>
  <si>
    <t>201211_s_at</t>
  </si>
  <si>
    <t>201755_at</t>
  </si>
  <si>
    <t>MCM5</t>
  </si>
  <si>
    <t>203393_at</t>
  </si>
  <si>
    <t>HES1</t>
  </si>
  <si>
    <t>203801_at</t>
  </si>
  <si>
    <t>204403_x_at</t>
  </si>
  <si>
    <t>210812_at</t>
  </si>
  <si>
    <t>217909_s_at</t>
  </si>
  <si>
    <t>220216_at</t>
  </si>
  <si>
    <t>C8orf44</t>
  </si>
  <si>
    <t>222090_at</t>
  </si>
  <si>
    <t>LOC100134713</t>
  </si>
  <si>
    <t>211666_x_at</t>
  </si>
  <si>
    <t>217800_s_at</t>
  </si>
  <si>
    <t>NDFIP1</t>
  </si>
  <si>
    <t>214716_at</t>
  </si>
  <si>
    <t>202199_s_at</t>
  </si>
  <si>
    <t>219407_s_at</t>
  </si>
  <si>
    <t>LAMC3</t>
  </si>
  <si>
    <t>204458_at</t>
  </si>
  <si>
    <t>PLA2G15</t>
  </si>
  <si>
    <t>211391_s_at</t>
  </si>
  <si>
    <t>212670_at</t>
  </si>
  <si>
    <t>218282_at</t>
  </si>
  <si>
    <t>EDEM2</t>
  </si>
  <si>
    <t>204977_at</t>
  </si>
  <si>
    <t>DDX10</t>
  </si>
  <si>
    <t>206139_at</t>
  </si>
  <si>
    <t>201711_x_at</t>
  </si>
  <si>
    <t>213672_at</t>
  </si>
  <si>
    <t>204365_s_at</t>
  </si>
  <si>
    <t>REEP1</t>
  </si>
  <si>
    <t>202347_s_at</t>
  </si>
  <si>
    <t>209362_at</t>
  </si>
  <si>
    <t>MED21</t>
  </si>
  <si>
    <t>219787_s_at</t>
  </si>
  <si>
    <t>ECT2</t>
  </si>
  <si>
    <t>216388_s_at</t>
  </si>
  <si>
    <t>202190_at</t>
  </si>
  <si>
    <t>CSTF1</t>
  </si>
  <si>
    <t>218263_s_at</t>
  </si>
  <si>
    <t>ZBED5</t>
  </si>
  <si>
    <t>202205_at</t>
  </si>
  <si>
    <t>VASP</t>
  </si>
  <si>
    <t>203407_at</t>
  </si>
  <si>
    <t>PPL</t>
  </si>
  <si>
    <t>209441_at</t>
  </si>
  <si>
    <t>RHOBTB2</t>
  </si>
  <si>
    <t>212198_s_at</t>
  </si>
  <si>
    <t>222190_s_at</t>
  </si>
  <si>
    <t>220941_s_at</t>
  </si>
  <si>
    <t>C21orf91</t>
  </si>
  <si>
    <t>202410_x_at</t>
  </si>
  <si>
    <t>220233_at</t>
  </si>
  <si>
    <t>FBXO17 /// SARS2</t>
  </si>
  <si>
    <t>215898_at</t>
  </si>
  <si>
    <t>207636_at</t>
  </si>
  <si>
    <t>SERPINI2</t>
  </si>
  <si>
    <t>207787_at</t>
  </si>
  <si>
    <t>KRT33B</t>
  </si>
  <si>
    <t>218746_at</t>
  </si>
  <si>
    <t>TAPBPL</t>
  </si>
  <si>
    <t>204790_at</t>
  </si>
  <si>
    <t>SMAD7</t>
  </si>
  <si>
    <t>212170_at</t>
  </si>
  <si>
    <t>212826_s_at</t>
  </si>
  <si>
    <t>SLC25A6</t>
  </si>
  <si>
    <t>219982_s_at</t>
  </si>
  <si>
    <t>SERF1A /// SERF1B</t>
  </si>
  <si>
    <t>202926_at</t>
  </si>
  <si>
    <t>NBAS</t>
  </si>
  <si>
    <t>208465_at</t>
  </si>
  <si>
    <t>GRM2</t>
  </si>
  <si>
    <t>207911_s_at</t>
  </si>
  <si>
    <t>TGM5</t>
  </si>
  <si>
    <t>206405_x_at</t>
  </si>
  <si>
    <t>USP6</t>
  </si>
  <si>
    <t>203892_at</t>
  </si>
  <si>
    <t>WFDC2</t>
  </si>
  <si>
    <t>218891_at</t>
  </si>
  <si>
    <t>202787_s_at</t>
  </si>
  <si>
    <t>208420_x_at</t>
  </si>
  <si>
    <t>211528_x_at</t>
  </si>
  <si>
    <t>208495_at</t>
  </si>
  <si>
    <t>TLX3</t>
  </si>
  <si>
    <t>210486_at</t>
  </si>
  <si>
    <t>ANKMY1</t>
  </si>
  <si>
    <t>213471_at</t>
  </si>
  <si>
    <t>205821_at</t>
  </si>
  <si>
    <t>KLRK1</t>
  </si>
  <si>
    <t>210444_at</t>
  </si>
  <si>
    <t>NPY6R</t>
  </si>
  <si>
    <t>209403_at</t>
  </si>
  <si>
    <t>TBC1D3 /// TBC1D3C /// TBC1D3D /// TBC1D3F /// TBC1D3H</t>
  </si>
  <si>
    <t>204789_at</t>
  </si>
  <si>
    <t>FMNL1</t>
  </si>
  <si>
    <t>202738_s_at</t>
  </si>
  <si>
    <t>208050_s_at</t>
  </si>
  <si>
    <t>210518_at</t>
  </si>
  <si>
    <t>CDH8</t>
  </si>
  <si>
    <t>204054_at</t>
  </si>
  <si>
    <t>203964_at</t>
  </si>
  <si>
    <t>NMI</t>
  </si>
  <si>
    <t>215938_s_at</t>
  </si>
  <si>
    <t>214333_x_at</t>
  </si>
  <si>
    <t>204634_at</t>
  </si>
  <si>
    <t>NEK4</t>
  </si>
  <si>
    <t>202168_at</t>
  </si>
  <si>
    <t>213479_at</t>
  </si>
  <si>
    <t>NPTX2</t>
  </si>
  <si>
    <t>201954_at</t>
  </si>
  <si>
    <t>ARPC1B</t>
  </si>
  <si>
    <t>219661_at</t>
  </si>
  <si>
    <t>RANBP17</t>
  </si>
  <si>
    <t>218966_at</t>
  </si>
  <si>
    <t>MYO5C</t>
  </si>
  <si>
    <t>218080_x_at</t>
  </si>
  <si>
    <t>FAF1</t>
  </si>
  <si>
    <t>217150_s_at</t>
  </si>
  <si>
    <t>203615_x_at</t>
  </si>
  <si>
    <t>SULT1A1</t>
  </si>
  <si>
    <t>204109_s_at</t>
  </si>
  <si>
    <t>NFYA</t>
  </si>
  <si>
    <t>204561_x_at</t>
  </si>
  <si>
    <t>APOC2</t>
  </si>
  <si>
    <t>202650_s_at</t>
  </si>
  <si>
    <t>203370_s_at</t>
  </si>
  <si>
    <t>209813_x_at</t>
  </si>
  <si>
    <t>TARP</t>
  </si>
  <si>
    <t>205633_s_at</t>
  </si>
  <si>
    <t>ALAS1</t>
  </si>
  <si>
    <t>208371_s_at</t>
  </si>
  <si>
    <t>210593_at</t>
  </si>
  <si>
    <t>KIAA0913 /// SAT1</t>
  </si>
  <si>
    <t>201464_x_at</t>
  </si>
  <si>
    <t>203331_s_at</t>
  </si>
  <si>
    <t>208459_s_at</t>
  </si>
  <si>
    <t>XPO7</t>
  </si>
  <si>
    <t>211822_s_at</t>
  </si>
  <si>
    <t>219481_at</t>
  </si>
  <si>
    <t>TTC13</t>
  </si>
  <si>
    <t>204387_x_at</t>
  </si>
  <si>
    <t>213343_s_at</t>
  </si>
  <si>
    <t>209195_s_at</t>
  </si>
  <si>
    <t>ADCY6</t>
  </si>
  <si>
    <t>204630_s_at</t>
  </si>
  <si>
    <t>205682_x_at</t>
  </si>
  <si>
    <t>201084_s_at</t>
  </si>
  <si>
    <t>219770_at</t>
  </si>
  <si>
    <t>200827_at</t>
  </si>
  <si>
    <t>PLOD1</t>
  </si>
  <si>
    <t>211935_at</t>
  </si>
  <si>
    <t>ARL6IP1</t>
  </si>
  <si>
    <t>205911_at</t>
  </si>
  <si>
    <t>PTH1R</t>
  </si>
  <si>
    <t>207214_at</t>
  </si>
  <si>
    <t>SPINK4</t>
  </si>
  <si>
    <t>218928_s_at</t>
  </si>
  <si>
    <t>SLC37A1</t>
  </si>
  <si>
    <t>218709_s_at</t>
  </si>
  <si>
    <t>IFT52</t>
  </si>
  <si>
    <t>218374_s_at</t>
  </si>
  <si>
    <t>C12orf4</t>
  </si>
  <si>
    <t>215489_x_at</t>
  </si>
  <si>
    <t>HOMER3</t>
  </si>
  <si>
    <t>212616_at</t>
  </si>
  <si>
    <t>210999_s_at</t>
  </si>
  <si>
    <t>212932_at</t>
  </si>
  <si>
    <t>212964_at</t>
  </si>
  <si>
    <t>202237_at</t>
  </si>
  <si>
    <t>NNMT</t>
  </si>
  <si>
    <t>207602_at</t>
  </si>
  <si>
    <t>TMPRSS11D</t>
  </si>
  <si>
    <t>216673_at</t>
  </si>
  <si>
    <t>LOC100101116 /// TTTY1</t>
  </si>
  <si>
    <t>207940_x_at</t>
  </si>
  <si>
    <t>215675_at</t>
  </si>
  <si>
    <t>LOC100129648</t>
  </si>
  <si>
    <t>203088_at</t>
  </si>
  <si>
    <t>FBLN5</t>
  </si>
  <si>
    <t>205896_at</t>
  </si>
  <si>
    <t>SLC22A4</t>
  </si>
  <si>
    <t>210586_x_at</t>
  </si>
  <si>
    <t>210048_at</t>
  </si>
  <si>
    <t>NAPG</t>
  </si>
  <si>
    <t>205272_s_at</t>
  </si>
  <si>
    <t>PRH1 /// PRH2</t>
  </si>
  <si>
    <t>201112_s_at</t>
  </si>
  <si>
    <t>215038_s_at</t>
  </si>
  <si>
    <t>207051_at</t>
  </si>
  <si>
    <t>SLC17A4</t>
  </si>
  <si>
    <t>209698_at</t>
  </si>
  <si>
    <t>210604_at</t>
  </si>
  <si>
    <t>GNAT2</t>
  </si>
  <si>
    <t>207765_s_at</t>
  </si>
  <si>
    <t>207510_at</t>
  </si>
  <si>
    <t>BDKRB1</t>
  </si>
  <si>
    <t>212076_at</t>
  </si>
  <si>
    <t>220678_at</t>
  </si>
  <si>
    <t>FLJ20712</t>
  </si>
  <si>
    <t>212125_at</t>
  </si>
  <si>
    <t>213447_at</t>
  </si>
  <si>
    <t>207708_at</t>
  </si>
  <si>
    <t>ALOXE3</t>
  </si>
  <si>
    <t>213605_s_at</t>
  </si>
  <si>
    <t>LOC100272216 /// LOC100292101</t>
  </si>
  <si>
    <t>206160_at</t>
  </si>
  <si>
    <t>APOBEC2</t>
  </si>
  <si>
    <t>202779_s_at</t>
  </si>
  <si>
    <t>UBE2S</t>
  </si>
  <si>
    <t>201466_s_at</t>
  </si>
  <si>
    <t>217994_x_at</t>
  </si>
  <si>
    <t>CPSF3L</t>
  </si>
  <si>
    <t>218350_s_at</t>
  </si>
  <si>
    <t>GMNN</t>
  </si>
  <si>
    <t>216207_x_at</t>
  </si>
  <si>
    <t>IGKC /// IGKV1-5 /// LOC100291464 /// LOC650405 /// LOC652493 /// LOC652694</t>
  </si>
  <si>
    <t>203562_at</t>
  </si>
  <si>
    <t>200879_s_at</t>
  </si>
  <si>
    <t>204130_at</t>
  </si>
  <si>
    <t>HSD11B2</t>
  </si>
  <si>
    <t>205362_s_at</t>
  </si>
  <si>
    <t>207004_at</t>
  </si>
  <si>
    <t>207045_at</t>
  </si>
  <si>
    <t>CCDC132</t>
  </si>
  <si>
    <t>214980_at</t>
  </si>
  <si>
    <t>216536_at</t>
  </si>
  <si>
    <t>OR7E19P</t>
  </si>
  <si>
    <t>218747_s_at</t>
  </si>
  <si>
    <t>219759_at</t>
  </si>
  <si>
    <t>ERAP2</t>
  </si>
  <si>
    <t>221421_s_at</t>
  </si>
  <si>
    <t>ADAMTS12</t>
  </si>
  <si>
    <t>221990_at</t>
  </si>
  <si>
    <t>203145_at</t>
  </si>
  <si>
    <t>SPAG5</t>
  </si>
  <si>
    <t>202020_s_at</t>
  </si>
  <si>
    <t>208778_s_at</t>
  </si>
  <si>
    <t>209447_at</t>
  </si>
  <si>
    <t>SYNE1</t>
  </si>
  <si>
    <t>218070_s_at</t>
  </si>
  <si>
    <t>GMPPA</t>
  </si>
  <si>
    <t>216449_x_at</t>
  </si>
  <si>
    <t>207763_at</t>
  </si>
  <si>
    <t>S100A5</t>
  </si>
  <si>
    <t>216267_s_at</t>
  </si>
  <si>
    <t>TMEM115</t>
  </si>
  <si>
    <t>221289_at</t>
  </si>
  <si>
    <t>DLX6</t>
  </si>
  <si>
    <t>207281_x_at</t>
  </si>
  <si>
    <t>VCX2</t>
  </si>
  <si>
    <t>216711_s_at</t>
  </si>
  <si>
    <t>207546_at</t>
  </si>
  <si>
    <t>ATP4B</t>
  </si>
  <si>
    <t>218735_s_at</t>
  </si>
  <si>
    <t>ZNF544</t>
  </si>
  <si>
    <t>219559_at</t>
  </si>
  <si>
    <t>SLC17A9</t>
  </si>
  <si>
    <t>202058_s_at</t>
  </si>
  <si>
    <t>201813_s_at</t>
  </si>
  <si>
    <t>212218_s_at</t>
  </si>
  <si>
    <t>211615_s_at</t>
  </si>
  <si>
    <t>266_s_at</t>
  </si>
  <si>
    <t>213352_at</t>
  </si>
  <si>
    <t>216026_s_at</t>
  </si>
  <si>
    <t>POLE</t>
  </si>
  <si>
    <t>219558_at</t>
  </si>
  <si>
    <t>205995_x_at</t>
  </si>
  <si>
    <t>203007_x_at</t>
  </si>
  <si>
    <t>212018_s_at</t>
  </si>
  <si>
    <t>200757_s_at</t>
  </si>
  <si>
    <t>209948_at</t>
  </si>
  <si>
    <t>KCNMB1</t>
  </si>
  <si>
    <t>217043_s_at</t>
  </si>
  <si>
    <t>218117_at</t>
  </si>
  <si>
    <t>RBX1</t>
  </si>
  <si>
    <t>218715_at</t>
  </si>
  <si>
    <t>UTP6</t>
  </si>
  <si>
    <t>221165_s_at</t>
  </si>
  <si>
    <t>IL22</t>
  </si>
  <si>
    <t>213132_s_at</t>
  </si>
  <si>
    <t>MCAT</t>
  </si>
  <si>
    <t>206613_s_at</t>
  </si>
  <si>
    <t>TAF1A</t>
  </si>
  <si>
    <t>206860_s_at</t>
  </si>
  <si>
    <t>211423_s_at</t>
  </si>
  <si>
    <t>SC5DL</t>
  </si>
  <si>
    <t>211796_s_at</t>
  </si>
  <si>
    <t>221761_at</t>
  </si>
  <si>
    <t>ADSS</t>
  </si>
  <si>
    <t>214617_at</t>
  </si>
  <si>
    <t>PRF1</t>
  </si>
  <si>
    <t>208490_x_at</t>
  </si>
  <si>
    <t>HIST1H2BF</t>
  </si>
  <si>
    <t>200093_s_at</t>
  </si>
  <si>
    <t>205554_s_at</t>
  </si>
  <si>
    <t>DNASE1L3</t>
  </si>
  <si>
    <t>203955_at</t>
  </si>
  <si>
    <t>KIAA0649</t>
  </si>
  <si>
    <t>208539_x_at</t>
  </si>
  <si>
    <t>SPRR2B</t>
  </si>
  <si>
    <t>201306_s_at</t>
  </si>
  <si>
    <t>ANP32B</t>
  </si>
  <si>
    <t>208828_at</t>
  </si>
  <si>
    <t>POLE3</t>
  </si>
  <si>
    <t>202165_at</t>
  </si>
  <si>
    <t>202056_at</t>
  </si>
  <si>
    <t>201192_s_at</t>
  </si>
  <si>
    <t>209588_at</t>
  </si>
  <si>
    <t>210424_s_at</t>
  </si>
  <si>
    <t>GOLGA8A /// GOLGA8B /// LOC100292334</t>
  </si>
  <si>
    <t>215326_at</t>
  </si>
  <si>
    <t>200895_s_at</t>
  </si>
  <si>
    <t>FKBP4</t>
  </si>
  <si>
    <t>215756_at</t>
  </si>
  <si>
    <t>LOC730227</t>
  </si>
  <si>
    <t>204121_at</t>
  </si>
  <si>
    <t>GADD45G</t>
  </si>
  <si>
    <t>201059_at</t>
  </si>
  <si>
    <t>204007_at</t>
  </si>
  <si>
    <t>FCGR3B</t>
  </si>
  <si>
    <t>204294_at</t>
  </si>
  <si>
    <t>AMT</t>
  </si>
  <si>
    <t>36545_s_at</t>
  </si>
  <si>
    <t>213830_at</t>
  </si>
  <si>
    <t>207239_s_at</t>
  </si>
  <si>
    <t>206724_at</t>
  </si>
  <si>
    <t>CBX4</t>
  </si>
  <si>
    <t>221850_x_at</t>
  </si>
  <si>
    <t>AGAP11 /// AGAP4 /// AGAP6 /// AGAP7 /// AGAP8</t>
  </si>
  <si>
    <t>205002_at</t>
  </si>
  <si>
    <t>AHDC1</t>
  </si>
  <si>
    <t>211739_x_at</t>
  </si>
  <si>
    <t>208487_at</t>
  </si>
  <si>
    <t>LMX1B</t>
  </si>
  <si>
    <t>37872_at</t>
  </si>
  <si>
    <t>205915_x_at</t>
  </si>
  <si>
    <t>208783_s_at</t>
  </si>
  <si>
    <t>33778_at</t>
  </si>
  <si>
    <t>209438_at</t>
  </si>
  <si>
    <t>222200_s_at</t>
  </si>
  <si>
    <t>218235_s_at</t>
  </si>
  <si>
    <t>UTP11L</t>
  </si>
  <si>
    <t>213124_at</t>
  </si>
  <si>
    <t>206756_at</t>
  </si>
  <si>
    <t>CHST7</t>
  </si>
  <si>
    <t>202265_at</t>
  </si>
  <si>
    <t>BMI1</t>
  </si>
  <si>
    <t>206758_at</t>
  </si>
  <si>
    <t>EDN2</t>
  </si>
  <si>
    <t>208422_at</t>
  </si>
  <si>
    <t>220020_at</t>
  </si>
  <si>
    <t>XPNPEP3</t>
  </si>
  <si>
    <t>206839_at</t>
  </si>
  <si>
    <t>C22orf31</t>
  </si>
  <si>
    <t>209052_s_at</t>
  </si>
  <si>
    <t>204498_s_at</t>
  </si>
  <si>
    <t>212700_x_at</t>
  </si>
  <si>
    <t>LOC100291232 /// PLEKHM1 /// PLEKHM1P</t>
  </si>
  <si>
    <t>217730_at</t>
  </si>
  <si>
    <t>TMBIM1</t>
  </si>
  <si>
    <t>217749_at</t>
  </si>
  <si>
    <t>COPG</t>
  </si>
  <si>
    <t>201094_at</t>
  </si>
  <si>
    <t>RPS29</t>
  </si>
  <si>
    <t>212116_at</t>
  </si>
  <si>
    <t>207429_at</t>
  </si>
  <si>
    <t>SLC22A2</t>
  </si>
  <si>
    <t>220131_at</t>
  </si>
  <si>
    <t>FXYD7</t>
  </si>
  <si>
    <t>215148_s_at</t>
  </si>
  <si>
    <t>209951_s_at</t>
  </si>
  <si>
    <t>203340_s_at</t>
  </si>
  <si>
    <t>203535_at</t>
  </si>
  <si>
    <t>S100A9</t>
  </si>
  <si>
    <t>202758_s_at</t>
  </si>
  <si>
    <t>RFXANK</t>
  </si>
  <si>
    <t>221938_x_at</t>
  </si>
  <si>
    <t>222150_s_at</t>
  </si>
  <si>
    <t>PION</t>
  </si>
  <si>
    <t>221315_s_at</t>
  </si>
  <si>
    <t>FGF22</t>
  </si>
  <si>
    <t>213615_at</t>
  </si>
  <si>
    <t>211815_s_at</t>
  </si>
  <si>
    <t>218066_at</t>
  </si>
  <si>
    <t>SLC12A7</t>
  </si>
  <si>
    <t>216295_s_at</t>
  </si>
  <si>
    <t>206158_s_at</t>
  </si>
  <si>
    <t>CNBP</t>
  </si>
  <si>
    <t>215354_s_at</t>
  </si>
  <si>
    <t>PELP1</t>
  </si>
  <si>
    <t>218467_at</t>
  </si>
  <si>
    <t>PSMG2</t>
  </si>
  <si>
    <t>204697_s_at</t>
  </si>
  <si>
    <t>CHGA</t>
  </si>
  <si>
    <t>210747_at</t>
  </si>
  <si>
    <t>214441_at</t>
  </si>
  <si>
    <t>221465_at</t>
  </si>
  <si>
    <t>OR6A2</t>
  </si>
  <si>
    <t>204538_x_at</t>
  </si>
  <si>
    <t>NPIP</t>
  </si>
  <si>
    <t>217780_at</t>
  </si>
  <si>
    <t>C19orf56</t>
  </si>
  <si>
    <t>218453_s_at</t>
  </si>
  <si>
    <t>C6orf35</t>
  </si>
  <si>
    <t>214947_at</t>
  </si>
  <si>
    <t>214119_s_at</t>
  </si>
  <si>
    <t>202355_s_at</t>
  </si>
  <si>
    <t>211075_s_at</t>
  </si>
  <si>
    <t>215765_at</t>
  </si>
  <si>
    <t>200632_s_at</t>
  </si>
  <si>
    <t>NDRG1</t>
  </si>
  <si>
    <t>214229_at</t>
  </si>
  <si>
    <t>DNAH17</t>
  </si>
  <si>
    <t>216502_at</t>
  </si>
  <si>
    <t>204452_s_at</t>
  </si>
  <si>
    <t>206503_x_at</t>
  </si>
  <si>
    <t>216560_x_at</t>
  </si>
  <si>
    <t>220178_at</t>
  </si>
  <si>
    <t>C19orf28</t>
  </si>
  <si>
    <t>221647_s_at</t>
  </si>
  <si>
    <t>RIC8A</t>
  </si>
  <si>
    <t>208867_s_at</t>
  </si>
  <si>
    <t>202027_at</t>
  </si>
  <si>
    <t>TMEM184B</t>
  </si>
  <si>
    <t>214940_s_at</t>
  </si>
  <si>
    <t>209482_at</t>
  </si>
  <si>
    <t>POP7</t>
  </si>
  <si>
    <t>56197_at</t>
  </si>
  <si>
    <t>215352_at</t>
  </si>
  <si>
    <t>214011_s_at</t>
  </si>
  <si>
    <t>213105_s_at</t>
  </si>
  <si>
    <t>218302_at</t>
  </si>
  <si>
    <t>PSENEN</t>
  </si>
  <si>
    <t>211703_s_at</t>
  </si>
  <si>
    <t>219261_at</t>
  </si>
  <si>
    <t>202962_at</t>
  </si>
  <si>
    <t>KIF13B</t>
  </si>
  <si>
    <t>218725_at</t>
  </si>
  <si>
    <t>SLC25A22</t>
  </si>
  <si>
    <t>206268_at</t>
  </si>
  <si>
    <t>LEFTY1</t>
  </si>
  <si>
    <t>219128_at</t>
  </si>
  <si>
    <t>C2orf42</t>
  </si>
  <si>
    <t>221776_s_at</t>
  </si>
  <si>
    <t>BRD7</t>
  </si>
  <si>
    <t>205086_s_at</t>
  </si>
  <si>
    <t>215161_at</t>
  </si>
  <si>
    <t>219133_at</t>
  </si>
  <si>
    <t>OXSM</t>
  </si>
  <si>
    <t>208332_at</t>
  </si>
  <si>
    <t>PRY</t>
  </si>
  <si>
    <t>201330_at</t>
  </si>
  <si>
    <t>RARS</t>
  </si>
  <si>
    <t>203750_s_at</t>
  </si>
  <si>
    <t>200775_s_at</t>
  </si>
  <si>
    <t>220013_at</t>
  </si>
  <si>
    <t>EPHX3</t>
  </si>
  <si>
    <t>215293_s_at</t>
  </si>
  <si>
    <t>222010_at</t>
  </si>
  <si>
    <t>204823_at</t>
  </si>
  <si>
    <t>NAV3</t>
  </si>
  <si>
    <t>212518_at</t>
  </si>
  <si>
    <t>PIP5K1C</t>
  </si>
  <si>
    <t>219943_s_at</t>
  </si>
  <si>
    <t>217488_x_at</t>
  </si>
  <si>
    <t>218881_s_at</t>
  </si>
  <si>
    <t>221650_s_at</t>
  </si>
  <si>
    <t>MED18</t>
  </si>
  <si>
    <t>208775_at</t>
  </si>
  <si>
    <t>XPO1</t>
  </si>
  <si>
    <t>218662_s_at</t>
  </si>
  <si>
    <t>NCAPG</t>
  </si>
  <si>
    <t>203501_at</t>
  </si>
  <si>
    <t>204537_s_at</t>
  </si>
  <si>
    <t>GABRE</t>
  </si>
  <si>
    <t>206243_at</t>
  </si>
  <si>
    <t>TIMP4</t>
  </si>
  <si>
    <t>215963_x_at</t>
  </si>
  <si>
    <t>LOC100294182 /// RPL3</t>
  </si>
  <si>
    <t>216651_s_at</t>
  </si>
  <si>
    <t>217167_x_at</t>
  </si>
  <si>
    <t>219659_at</t>
  </si>
  <si>
    <t>ATP8A2</t>
  </si>
  <si>
    <t>211538_s_at</t>
  </si>
  <si>
    <t>HSPA2</t>
  </si>
  <si>
    <t>205488_at</t>
  </si>
  <si>
    <t>GZMA</t>
  </si>
  <si>
    <t>208284_x_at</t>
  </si>
  <si>
    <t>215883_at</t>
  </si>
  <si>
    <t>212386_at</t>
  </si>
  <si>
    <t>204516_at</t>
  </si>
  <si>
    <t>204985_s_at</t>
  </si>
  <si>
    <t>TRAPPC6A</t>
  </si>
  <si>
    <t>220776_at</t>
  </si>
  <si>
    <t>KCNJ14</t>
  </si>
  <si>
    <t>221249_s_at</t>
  </si>
  <si>
    <t>FAM117A</t>
  </si>
  <si>
    <t>212879_x_at</t>
  </si>
  <si>
    <t>216309_x_at</t>
  </si>
  <si>
    <t>203417_at</t>
  </si>
  <si>
    <t>MFAP2</t>
  </si>
  <si>
    <t>206632_s_at</t>
  </si>
  <si>
    <t>APOBEC3B</t>
  </si>
  <si>
    <t>218474_s_at</t>
  </si>
  <si>
    <t>KCTD5</t>
  </si>
  <si>
    <t>202860_at</t>
  </si>
  <si>
    <t>DENND4B</t>
  </si>
  <si>
    <t>214402_s_at</t>
  </si>
  <si>
    <t>219986_s_at</t>
  </si>
  <si>
    <t>ACAD10</t>
  </si>
  <si>
    <t>215268_at</t>
  </si>
  <si>
    <t>KIAA0754</t>
  </si>
  <si>
    <t>217088_s_at</t>
  </si>
  <si>
    <t>208624_s_at</t>
  </si>
  <si>
    <t>213270_at</t>
  </si>
  <si>
    <t>204899_s_at</t>
  </si>
  <si>
    <t>208684_at</t>
  </si>
  <si>
    <t>37796_at</t>
  </si>
  <si>
    <t>214506_at</t>
  </si>
  <si>
    <t>GPR182</t>
  </si>
  <si>
    <t>208688_x_at</t>
  </si>
  <si>
    <t>212073_at</t>
  </si>
  <si>
    <t>CSNK2A1 /// CSNK2A1P</t>
  </si>
  <si>
    <t>32402_s_at</t>
  </si>
  <si>
    <t>203116_s_at</t>
  </si>
  <si>
    <t>220028_at</t>
  </si>
  <si>
    <t>ACVR2B</t>
  </si>
  <si>
    <t>221063_x_at</t>
  </si>
  <si>
    <t>RNF123</t>
  </si>
  <si>
    <t>206377_at</t>
  </si>
  <si>
    <t>FOXF2</t>
  </si>
  <si>
    <t>214146_s_at</t>
  </si>
  <si>
    <t>PPBP</t>
  </si>
  <si>
    <t>204518_s_at</t>
  </si>
  <si>
    <t>212848_s_at</t>
  </si>
  <si>
    <t>C9orf3</t>
  </si>
  <si>
    <t>218498_s_at</t>
  </si>
  <si>
    <t>ERO1L</t>
  </si>
  <si>
    <t>213079_at</t>
  </si>
  <si>
    <t>TSR2</t>
  </si>
  <si>
    <t>200649_at</t>
  </si>
  <si>
    <t>207778_at</t>
  </si>
  <si>
    <t>REG1P</t>
  </si>
  <si>
    <t>222144_at</t>
  </si>
  <si>
    <t>KIF17</t>
  </si>
  <si>
    <t>215098_at</t>
  </si>
  <si>
    <t>201098_at</t>
  </si>
  <si>
    <t>COPB2</t>
  </si>
  <si>
    <t>212794_s_at</t>
  </si>
  <si>
    <t>210799_at</t>
  </si>
  <si>
    <t>HTR1B</t>
  </si>
  <si>
    <t>201533_at</t>
  </si>
  <si>
    <t>CTNNB1</t>
  </si>
  <si>
    <t>212319_at</t>
  </si>
  <si>
    <t>213159_at</t>
  </si>
  <si>
    <t>215333_x_at</t>
  </si>
  <si>
    <t>GSTM1</t>
  </si>
  <si>
    <t>219159_s_at</t>
  </si>
  <si>
    <t>SLAMF7</t>
  </si>
  <si>
    <t>218133_s_at</t>
  </si>
  <si>
    <t>NIF3L1</t>
  </si>
  <si>
    <t>57532_at</t>
  </si>
  <si>
    <t>200970_s_at</t>
  </si>
  <si>
    <t>33322_i_at</t>
  </si>
  <si>
    <t>200881_s_at</t>
  </si>
  <si>
    <t>214748_at</t>
  </si>
  <si>
    <t>218416_s_at</t>
  </si>
  <si>
    <t>218679_s_at</t>
  </si>
  <si>
    <t>VPS28</t>
  </si>
  <si>
    <t>214246_x_at</t>
  </si>
  <si>
    <t>213142_x_at</t>
  </si>
  <si>
    <t>207676_at</t>
  </si>
  <si>
    <t>ONECUT2</t>
  </si>
  <si>
    <t>219660_s_at</t>
  </si>
  <si>
    <t>203700_s_at</t>
  </si>
  <si>
    <t>207313_x_at</t>
  </si>
  <si>
    <t>204103_at</t>
  </si>
  <si>
    <t>CCL4</t>
  </si>
  <si>
    <t>203349_s_at</t>
  </si>
  <si>
    <t>222041_at</t>
  </si>
  <si>
    <t>213891_s_at</t>
  </si>
  <si>
    <t>204700_x_at</t>
  </si>
  <si>
    <t>207412_x_at</t>
  </si>
  <si>
    <t>CELP</t>
  </si>
  <si>
    <t>210397_at</t>
  </si>
  <si>
    <t>DEFB1</t>
  </si>
  <si>
    <t>218310_at</t>
  </si>
  <si>
    <t>KCTD7 /// RABGEF1</t>
  </si>
  <si>
    <t>220938_s_at</t>
  </si>
  <si>
    <t>GMEB1</t>
  </si>
  <si>
    <t>209872_s_at</t>
  </si>
  <si>
    <t>38487_at</t>
  </si>
  <si>
    <t>200091_s_at</t>
  </si>
  <si>
    <t>RPS25</t>
  </si>
  <si>
    <t>201752_s_at</t>
  </si>
  <si>
    <t>205377_s_at</t>
  </si>
  <si>
    <t>ACHE</t>
  </si>
  <si>
    <t>212368_at</t>
  </si>
  <si>
    <t>204550_x_at</t>
  </si>
  <si>
    <t>217862_at</t>
  </si>
  <si>
    <t>221598_s_at</t>
  </si>
  <si>
    <t>217308_at</t>
  </si>
  <si>
    <t>OR1F2P</t>
  </si>
  <si>
    <t>202010_s_at</t>
  </si>
  <si>
    <t>215032_at</t>
  </si>
  <si>
    <t>217041_at</t>
  </si>
  <si>
    <t>NPTXR</t>
  </si>
  <si>
    <t>201103_x_at</t>
  </si>
  <si>
    <t>NBPF10 /// NBPF11 /// NBPF15 /// NBPF16 /// NBPF20 /// NBPF8 /// RP11-94I2.2</t>
  </si>
  <si>
    <t>219758_at</t>
  </si>
  <si>
    <t>TTC26</t>
  </si>
  <si>
    <t>218273_s_at</t>
  </si>
  <si>
    <t>PDP1</t>
  </si>
  <si>
    <t>213561_at</t>
  </si>
  <si>
    <t>217557_s_at</t>
  </si>
  <si>
    <t>215260_s_at</t>
  </si>
  <si>
    <t>200017_at</t>
  </si>
  <si>
    <t>RPS27A</t>
  </si>
  <si>
    <t>209386_at</t>
  </si>
  <si>
    <t>TM4SF1</t>
  </si>
  <si>
    <t>203882_at</t>
  </si>
  <si>
    <t>IRF9</t>
  </si>
  <si>
    <t>201343_at</t>
  </si>
  <si>
    <t>216299_s_at</t>
  </si>
  <si>
    <t>XRCC3</t>
  </si>
  <si>
    <t>217923_at</t>
  </si>
  <si>
    <t>PEF1</t>
  </si>
  <si>
    <t>210370_s_at</t>
  </si>
  <si>
    <t>204544_at</t>
  </si>
  <si>
    <t>HPS5</t>
  </si>
  <si>
    <t>220158_at</t>
  </si>
  <si>
    <t>LGALS14</t>
  </si>
  <si>
    <t>202354_s_at</t>
  </si>
  <si>
    <t>204265_s_at</t>
  </si>
  <si>
    <t>217526_at</t>
  </si>
  <si>
    <t>208992_s_at</t>
  </si>
  <si>
    <t>209256_s_at</t>
  </si>
  <si>
    <t>LOC100287552</t>
  </si>
  <si>
    <t>200813_s_at</t>
  </si>
  <si>
    <t>206038_s_at</t>
  </si>
  <si>
    <t>NR2C2</t>
  </si>
  <si>
    <t>207413_s_at</t>
  </si>
  <si>
    <t>SCN5A</t>
  </si>
  <si>
    <t>205265_s_at</t>
  </si>
  <si>
    <t>SPEG</t>
  </si>
  <si>
    <t>218826_at</t>
  </si>
  <si>
    <t>SLC35F2</t>
  </si>
  <si>
    <t>222132_s_at</t>
  </si>
  <si>
    <t>202272_s_at</t>
  </si>
  <si>
    <t>202607_at</t>
  </si>
  <si>
    <t>209208_at</t>
  </si>
  <si>
    <t>MPDU1</t>
  </si>
  <si>
    <t>219873_at</t>
  </si>
  <si>
    <t>COLEC11</t>
  </si>
  <si>
    <t>208641_s_at</t>
  </si>
  <si>
    <t>214875_x_at</t>
  </si>
  <si>
    <t>218042_at</t>
  </si>
  <si>
    <t>COPS4</t>
  </si>
  <si>
    <t>206575_at</t>
  </si>
  <si>
    <t>208021_s_at</t>
  </si>
  <si>
    <t>218339_at</t>
  </si>
  <si>
    <t>MRPL22</t>
  </si>
  <si>
    <t>218685_s_at</t>
  </si>
  <si>
    <t>SMUG1</t>
  </si>
  <si>
    <t>217932_at</t>
  </si>
  <si>
    <t>MRPS7</t>
  </si>
  <si>
    <t>203504_s_at</t>
  </si>
  <si>
    <t>206469_x_at</t>
  </si>
  <si>
    <t>213452_at</t>
  </si>
  <si>
    <t>ZNF184</t>
  </si>
  <si>
    <t>47608_at</t>
  </si>
  <si>
    <t>TJAP1</t>
  </si>
  <si>
    <t>217148_x_at</t>
  </si>
  <si>
    <t>LOC100293440</t>
  </si>
  <si>
    <t>203607_at</t>
  </si>
  <si>
    <t>INPP5F</t>
  </si>
  <si>
    <t>217026_at</t>
  </si>
  <si>
    <t>200640_at</t>
  </si>
  <si>
    <t>214469_at</t>
  </si>
  <si>
    <t>HIST1H2AE</t>
  </si>
  <si>
    <t>212966_at</t>
  </si>
  <si>
    <t>206891_at</t>
  </si>
  <si>
    <t>ACTN3</t>
  </si>
  <si>
    <t>213846_at</t>
  </si>
  <si>
    <t>218340_s_at</t>
  </si>
  <si>
    <t>208152_s_at</t>
  </si>
  <si>
    <t>DDX21</t>
  </si>
  <si>
    <t>208216_at</t>
  </si>
  <si>
    <t>DLX4</t>
  </si>
  <si>
    <t>221161_at</t>
  </si>
  <si>
    <t>ASCL3</t>
  </si>
  <si>
    <t>208903_at</t>
  </si>
  <si>
    <t>221425_s_at</t>
  </si>
  <si>
    <t>221710_x_at</t>
  </si>
  <si>
    <t>203527_s_at</t>
  </si>
  <si>
    <t>204830_x_at</t>
  </si>
  <si>
    <t>PSG5</t>
  </si>
  <si>
    <t>209745_at</t>
  </si>
  <si>
    <t>202578_s_at</t>
  </si>
  <si>
    <t>213507_s_at</t>
  </si>
  <si>
    <t>200037_s_at</t>
  </si>
  <si>
    <t>209854_s_at</t>
  </si>
  <si>
    <t>214870_x_at</t>
  </si>
  <si>
    <t>LOC100288442 /// LOC339047 /// NPIP</t>
  </si>
  <si>
    <t>217023_x_at</t>
  </si>
  <si>
    <t>89977_at</t>
  </si>
  <si>
    <t>209903_s_at</t>
  </si>
  <si>
    <t>219919_s_at</t>
  </si>
  <si>
    <t>221531_at</t>
  </si>
  <si>
    <t>203309_s_at</t>
  </si>
  <si>
    <t>207251_at</t>
  </si>
  <si>
    <t>MEP1B</t>
  </si>
  <si>
    <t>204929_s_at</t>
  </si>
  <si>
    <t>200805_at</t>
  </si>
  <si>
    <t>LMAN2</t>
  </si>
  <si>
    <t>209161_at</t>
  </si>
  <si>
    <t>208928_at</t>
  </si>
  <si>
    <t>POR</t>
  </si>
  <si>
    <t>34764_at</t>
  </si>
  <si>
    <t>212572_at</t>
  </si>
  <si>
    <t>203567_s_at</t>
  </si>
  <si>
    <t>90610_at</t>
  </si>
  <si>
    <t>212412_at</t>
  </si>
  <si>
    <t>221846_s_at</t>
  </si>
  <si>
    <t>205570_at</t>
  </si>
  <si>
    <t>207951_at</t>
  </si>
  <si>
    <t>CSN2</t>
  </si>
  <si>
    <t>219443_at</t>
  </si>
  <si>
    <t>TASP1</t>
  </si>
  <si>
    <t>37028_at</t>
  </si>
  <si>
    <t>216379_x_at</t>
  </si>
  <si>
    <t>212290_at</t>
  </si>
  <si>
    <t>202317_s_at</t>
  </si>
  <si>
    <t>213467_at</t>
  </si>
  <si>
    <t>RND2</t>
  </si>
  <si>
    <t>220343_at</t>
  </si>
  <si>
    <t>PDE7B</t>
  </si>
  <si>
    <t>221632_s_at</t>
  </si>
  <si>
    <t>WDR4</t>
  </si>
  <si>
    <t>203468_at</t>
  </si>
  <si>
    <t>203336_s_at</t>
  </si>
  <si>
    <t>211147_s_at</t>
  </si>
  <si>
    <t>218584_at</t>
  </si>
  <si>
    <t>TCTN1</t>
  </si>
  <si>
    <t>205055_at</t>
  </si>
  <si>
    <t>ITGAE</t>
  </si>
  <si>
    <t>203712_at</t>
  </si>
  <si>
    <t>KIAA0020</t>
  </si>
  <si>
    <t>218136_s_at</t>
  </si>
  <si>
    <t>202102_s_at</t>
  </si>
  <si>
    <t>209383_at</t>
  </si>
  <si>
    <t>DDIT3 /// NR1H3</t>
  </si>
  <si>
    <t>1405_i_at</t>
  </si>
  <si>
    <t>CCL5</t>
  </si>
  <si>
    <t>206313_at</t>
  </si>
  <si>
    <t>221949_at</t>
  </si>
  <si>
    <t>204607_at</t>
  </si>
  <si>
    <t>HMGCS2</t>
  </si>
  <si>
    <t>219671_at</t>
  </si>
  <si>
    <t>202699_s_at</t>
  </si>
  <si>
    <t>212798_s_at</t>
  </si>
  <si>
    <t>ANKMY2</t>
  </si>
  <si>
    <t>211074_at</t>
  </si>
  <si>
    <t>203289_s_at</t>
  </si>
  <si>
    <t>219573_at</t>
  </si>
  <si>
    <t>LRRC16A</t>
  </si>
  <si>
    <t>203753_at</t>
  </si>
  <si>
    <t>216232_s_at</t>
  </si>
  <si>
    <t>204573_at</t>
  </si>
  <si>
    <t>CROT</t>
  </si>
  <si>
    <t>222328_x_at</t>
  </si>
  <si>
    <t>MEG3</t>
  </si>
  <si>
    <t>203114_at</t>
  </si>
  <si>
    <t>SSSCA1</t>
  </si>
  <si>
    <t>206776_x_at</t>
  </si>
  <si>
    <t>206719_at</t>
  </si>
  <si>
    <t>SYNGR4</t>
  </si>
  <si>
    <t>210915_x_at</t>
  </si>
  <si>
    <t>211701_s_at</t>
  </si>
  <si>
    <t>203430_at</t>
  </si>
  <si>
    <t>HEBP2</t>
  </si>
  <si>
    <t>217235_x_at</t>
  </si>
  <si>
    <t>IGL@ /// IGLV2-18 /// IGLV2-23</t>
  </si>
  <si>
    <t>218295_s_at</t>
  </si>
  <si>
    <t>201473_at</t>
  </si>
  <si>
    <t>JUNB</t>
  </si>
  <si>
    <t>208526_at</t>
  </si>
  <si>
    <t>OR2F1</t>
  </si>
  <si>
    <t>218650_at</t>
  </si>
  <si>
    <t>218766_s_at</t>
  </si>
  <si>
    <t>WARS2</t>
  </si>
  <si>
    <t>205950_s_at</t>
  </si>
  <si>
    <t>CA1</t>
  </si>
  <si>
    <t>216491_x_at</t>
  </si>
  <si>
    <t>215629_s_at</t>
  </si>
  <si>
    <t>DLEU2 /// DLEU2L</t>
  </si>
  <si>
    <t>204787_at</t>
  </si>
  <si>
    <t>VSIG4</t>
  </si>
  <si>
    <t>218943_s_at</t>
  </si>
  <si>
    <t>DDX58</t>
  </si>
  <si>
    <t>208871_at</t>
  </si>
  <si>
    <t>208979_at</t>
  </si>
  <si>
    <t>NCOA6</t>
  </si>
  <si>
    <t>203492_x_at</t>
  </si>
  <si>
    <t>211013_x_at</t>
  </si>
  <si>
    <t>206608_s_at</t>
  </si>
  <si>
    <t>RPGRIP1</t>
  </si>
  <si>
    <t>221716_s_at</t>
  </si>
  <si>
    <t>ACSBG2</t>
  </si>
  <si>
    <t>206881_s_at</t>
  </si>
  <si>
    <t>LILRA3</t>
  </si>
  <si>
    <t>222117_s_at</t>
  </si>
  <si>
    <t>206074_s_at</t>
  </si>
  <si>
    <t>201469_s_at</t>
  </si>
  <si>
    <t>204064_at</t>
  </si>
  <si>
    <t>THOC1</t>
  </si>
  <si>
    <t>212525_s_at</t>
  </si>
  <si>
    <t>216488_s_at</t>
  </si>
  <si>
    <t>ATP11A</t>
  </si>
  <si>
    <t>215174_at</t>
  </si>
  <si>
    <t>FMO6P</t>
  </si>
  <si>
    <t>208031_s_at</t>
  </si>
  <si>
    <t>RFX2</t>
  </si>
  <si>
    <t>203422_at</t>
  </si>
  <si>
    <t>POLD1</t>
  </si>
  <si>
    <t>212595_s_at</t>
  </si>
  <si>
    <t>220616_at</t>
  </si>
  <si>
    <t>212085_at</t>
  </si>
  <si>
    <t>210304_at</t>
  </si>
  <si>
    <t>PDE6B</t>
  </si>
  <si>
    <t>212032_s_at</t>
  </si>
  <si>
    <t>PTOV1</t>
  </si>
  <si>
    <t>201841_s_at</t>
  </si>
  <si>
    <t>HSPB1</t>
  </si>
  <si>
    <t>204178_s_at</t>
  </si>
  <si>
    <t>RBM14 /// RBM4</t>
  </si>
  <si>
    <t>205823_at</t>
  </si>
  <si>
    <t>207733_x_at</t>
  </si>
  <si>
    <t>213881_x_at</t>
  </si>
  <si>
    <t>210581_x_at</t>
  </si>
  <si>
    <t>218782_s_at</t>
  </si>
  <si>
    <t>ATAD2</t>
  </si>
  <si>
    <t>211824_x_at</t>
  </si>
  <si>
    <t>209179_s_at</t>
  </si>
  <si>
    <t>212527_at</t>
  </si>
  <si>
    <t>PPPDE2</t>
  </si>
  <si>
    <t>200804_at</t>
  </si>
  <si>
    <t>210955_at</t>
  </si>
  <si>
    <t>216242_x_at</t>
  </si>
  <si>
    <t>POLR2J2</t>
  </si>
  <si>
    <t>219462_at</t>
  </si>
  <si>
    <t>TMEM53</t>
  </si>
  <si>
    <t>206386_at</t>
  </si>
  <si>
    <t>SERPINA7</t>
  </si>
  <si>
    <t>210543_s_at</t>
  </si>
  <si>
    <t>205869_at</t>
  </si>
  <si>
    <t>PRSS1</t>
  </si>
  <si>
    <t>212276_at</t>
  </si>
  <si>
    <t>209889_at</t>
  </si>
  <si>
    <t>SEC31B</t>
  </si>
  <si>
    <t>205566_at</t>
  </si>
  <si>
    <t>208438_s_at</t>
  </si>
  <si>
    <t>FGR</t>
  </si>
  <si>
    <t>214663_at</t>
  </si>
  <si>
    <t>212702_s_at</t>
  </si>
  <si>
    <t>212756_s_at</t>
  </si>
  <si>
    <t>211484_s_at</t>
  </si>
  <si>
    <t>DSCAM</t>
  </si>
  <si>
    <t>213878_at</t>
  </si>
  <si>
    <t>212576_at</t>
  </si>
  <si>
    <t>MGRN1</t>
  </si>
  <si>
    <t>219212_at</t>
  </si>
  <si>
    <t>HSPA14</t>
  </si>
  <si>
    <t>205516_x_at</t>
  </si>
  <si>
    <t>204889_s_at</t>
  </si>
  <si>
    <t>NEURL</t>
  </si>
  <si>
    <t>213977_s_at</t>
  </si>
  <si>
    <t>213514_s_at</t>
  </si>
  <si>
    <t>222241_at</t>
  </si>
  <si>
    <t>LOC100291367</t>
  </si>
  <si>
    <t>201970_s_at</t>
  </si>
  <si>
    <t>NASP</t>
  </si>
  <si>
    <t>203291_at</t>
  </si>
  <si>
    <t>205334_at</t>
  </si>
  <si>
    <t>S100A1</t>
  </si>
  <si>
    <t>208018_s_at</t>
  </si>
  <si>
    <t>HCK</t>
  </si>
  <si>
    <t>202100_at</t>
  </si>
  <si>
    <t>202444_s_at</t>
  </si>
  <si>
    <t>214723_x_at</t>
  </si>
  <si>
    <t>ANKRD36</t>
  </si>
  <si>
    <t>210235_s_at</t>
  </si>
  <si>
    <t>217432_s_at</t>
  </si>
  <si>
    <t>208119_s_at</t>
  </si>
  <si>
    <t>209418_s_at</t>
  </si>
  <si>
    <t>THOC5</t>
  </si>
  <si>
    <t>213361_at</t>
  </si>
  <si>
    <t>TDRD7</t>
  </si>
  <si>
    <t>212015_x_at</t>
  </si>
  <si>
    <t>218559_s_at</t>
  </si>
  <si>
    <t>MAFB</t>
  </si>
  <si>
    <t>202122_s_at</t>
  </si>
  <si>
    <t>PLIN3</t>
  </si>
  <si>
    <t>211500_at</t>
  </si>
  <si>
    <t>MAPK11</t>
  </si>
  <si>
    <t>201401_s_at</t>
  </si>
  <si>
    <t>203412_at</t>
  </si>
  <si>
    <t>LZTR1</t>
  </si>
  <si>
    <t>210916_s_at</t>
  </si>
  <si>
    <t>213888_s_at</t>
  </si>
  <si>
    <t>210134_x_at</t>
  </si>
  <si>
    <t>SHOX2</t>
  </si>
  <si>
    <t>209526_s_at</t>
  </si>
  <si>
    <t>211769_x_at</t>
  </si>
  <si>
    <t>207202_s_at</t>
  </si>
  <si>
    <t>200062_s_at</t>
  </si>
  <si>
    <t>RPL30</t>
  </si>
  <si>
    <t>49452_at</t>
  </si>
  <si>
    <t>206775_at</t>
  </si>
  <si>
    <t>CUBN</t>
  </si>
  <si>
    <t>211927_x_at</t>
  </si>
  <si>
    <t>206797_at</t>
  </si>
  <si>
    <t>NAT2</t>
  </si>
  <si>
    <t>217073_x_at</t>
  </si>
  <si>
    <t>218014_at</t>
  </si>
  <si>
    <t>NUP85</t>
  </si>
  <si>
    <t>203301_s_at</t>
  </si>
  <si>
    <t>DMTF1</t>
  </si>
  <si>
    <t>202868_s_at</t>
  </si>
  <si>
    <t>POP4</t>
  </si>
  <si>
    <t>220424_at</t>
  </si>
  <si>
    <t>NPHS2</t>
  </si>
  <si>
    <t>205571_at</t>
  </si>
  <si>
    <t>LIPT1</t>
  </si>
  <si>
    <t>218439_s_at</t>
  </si>
  <si>
    <t>COMMD10</t>
  </si>
  <si>
    <t>209701_at</t>
  </si>
  <si>
    <t>216804_s_at</t>
  </si>
  <si>
    <t>207382_at</t>
  </si>
  <si>
    <t>201856_s_at</t>
  </si>
  <si>
    <t>203366_at</t>
  </si>
  <si>
    <t>203731_s_at</t>
  </si>
  <si>
    <t>208376_at</t>
  </si>
  <si>
    <t>CCR4</t>
  </si>
  <si>
    <t>210781_x_at</t>
  </si>
  <si>
    <t>203905_at</t>
  </si>
  <si>
    <t>PARN</t>
  </si>
  <si>
    <t>205047_s_at</t>
  </si>
  <si>
    <t>ASNS</t>
  </si>
  <si>
    <t>218859_s_at</t>
  </si>
  <si>
    <t>ESF1</t>
  </si>
  <si>
    <t>218510_x_at</t>
  </si>
  <si>
    <t>222146_s_at</t>
  </si>
  <si>
    <t>203681_at</t>
  </si>
  <si>
    <t>206801_at</t>
  </si>
  <si>
    <t>NPPB</t>
  </si>
  <si>
    <t>209398_at</t>
  </si>
  <si>
    <t>HIST1H1C</t>
  </si>
  <si>
    <t>212426_s_at</t>
  </si>
  <si>
    <t>215947_s_at</t>
  </si>
  <si>
    <t>FAM136A</t>
  </si>
  <si>
    <t>203997_at</t>
  </si>
  <si>
    <t>PTPN3</t>
  </si>
  <si>
    <t>206087_x_at</t>
  </si>
  <si>
    <t>200663_at</t>
  </si>
  <si>
    <t>CD63</t>
  </si>
  <si>
    <t>200735_x_at</t>
  </si>
  <si>
    <t>NACA</t>
  </si>
  <si>
    <t>64371_at</t>
  </si>
  <si>
    <t>208692_at</t>
  </si>
  <si>
    <t>RPS3</t>
  </si>
  <si>
    <t>221952_x_at</t>
  </si>
  <si>
    <t>TRMT5</t>
  </si>
  <si>
    <t>208882_s_at</t>
  </si>
  <si>
    <t>215599_at</t>
  </si>
  <si>
    <t>LOC653188</t>
  </si>
  <si>
    <t>200869_at</t>
  </si>
  <si>
    <t>206834_at</t>
  </si>
  <si>
    <t>HBD</t>
  </si>
  <si>
    <t>217198_x_at</t>
  </si>
  <si>
    <t>IGH@ /// IGHA2 /// IGHD /// IGHG1 /// LOC100126583 /// LOC100289944 /// VSIG6</t>
  </si>
  <si>
    <t>214599_at</t>
  </si>
  <si>
    <t>IVL</t>
  </si>
  <si>
    <t>204806_x_at</t>
  </si>
  <si>
    <t>211584_s_at</t>
  </si>
  <si>
    <t>200745_s_at</t>
  </si>
  <si>
    <t>206129_s_at</t>
  </si>
  <si>
    <t>ARSB</t>
  </si>
  <si>
    <t>209619_at</t>
  </si>
  <si>
    <t>CD74</t>
  </si>
  <si>
    <t>214461_at</t>
  </si>
  <si>
    <t>202797_at</t>
  </si>
  <si>
    <t>SACM1L</t>
  </si>
  <si>
    <t>203369_x_at</t>
  </si>
  <si>
    <t>200026_at</t>
  </si>
  <si>
    <t>RPL34</t>
  </si>
  <si>
    <t>202057_at</t>
  </si>
  <si>
    <t>202145_at</t>
  </si>
  <si>
    <t>LY6E</t>
  </si>
  <si>
    <t>214791_at</t>
  </si>
  <si>
    <t>SP140L</t>
  </si>
  <si>
    <t>208156_x_at</t>
  </si>
  <si>
    <t>EPPK1</t>
  </si>
  <si>
    <t>214129_at</t>
  </si>
  <si>
    <t>214543_x_at</t>
  </si>
  <si>
    <t>202545_at</t>
  </si>
  <si>
    <t>PRKCD</t>
  </si>
  <si>
    <t>202601_s_at</t>
  </si>
  <si>
    <t>201913_s_at</t>
  </si>
  <si>
    <t>COASY</t>
  </si>
  <si>
    <t>206742_at</t>
  </si>
  <si>
    <t>FIGF</t>
  </si>
  <si>
    <t>212210_at</t>
  </si>
  <si>
    <t>209995_s_at</t>
  </si>
  <si>
    <t>TCL1A</t>
  </si>
  <si>
    <t>216935_at</t>
  </si>
  <si>
    <t>C1orf46</t>
  </si>
  <si>
    <t>216863_s_at</t>
  </si>
  <si>
    <t>203390_s_at</t>
  </si>
  <si>
    <t>216237_s_at</t>
  </si>
  <si>
    <t>221473_x_at</t>
  </si>
  <si>
    <t>204943_at</t>
  </si>
  <si>
    <t>ADAM12</t>
  </si>
  <si>
    <t>202433_at</t>
  </si>
  <si>
    <t>SLC35B1</t>
  </si>
  <si>
    <t>202593_s_at</t>
  </si>
  <si>
    <t>GDE1</t>
  </si>
  <si>
    <t>221001_at</t>
  </si>
  <si>
    <t>C15orf49</t>
  </si>
  <si>
    <t>207823_s_at</t>
  </si>
  <si>
    <t>220960_x_at</t>
  </si>
  <si>
    <t>205115_s_at</t>
  </si>
  <si>
    <t>202581_at</t>
  </si>
  <si>
    <t>HSPA1A /// HSPA1B</t>
  </si>
  <si>
    <t>212790_x_at</t>
  </si>
  <si>
    <t>200991_s_at</t>
  </si>
  <si>
    <t>SNX17</t>
  </si>
  <si>
    <t>203187_at</t>
  </si>
  <si>
    <t>DOCK1</t>
  </si>
  <si>
    <t>207131_x_at</t>
  </si>
  <si>
    <t>208579_x_at</t>
  </si>
  <si>
    <t>H2BFS /// HIST1H2BK</t>
  </si>
  <si>
    <t>200034_s_at</t>
  </si>
  <si>
    <t>RPL6</t>
  </si>
  <si>
    <t>203311_s_at</t>
  </si>
  <si>
    <t>221953_s_at</t>
  </si>
  <si>
    <t>216548_x_at</t>
  </si>
  <si>
    <t>HMGB3L1</t>
  </si>
  <si>
    <t>204287_at</t>
  </si>
  <si>
    <t>39705_at</t>
  </si>
  <si>
    <t>211495_x_at</t>
  </si>
  <si>
    <t>218314_s_at</t>
  </si>
  <si>
    <t>C11orf57</t>
  </si>
  <si>
    <t>207188_at</t>
  </si>
  <si>
    <t>CDK3</t>
  </si>
  <si>
    <t>205752_s_at</t>
  </si>
  <si>
    <t>GSTM5</t>
  </si>
  <si>
    <t>214357_at</t>
  </si>
  <si>
    <t>C1orf105</t>
  </si>
  <si>
    <t>210649_s_at</t>
  </si>
  <si>
    <t>202121_s_at</t>
  </si>
  <si>
    <t>CHMP2A</t>
  </si>
  <si>
    <t>210357_s_at</t>
  </si>
  <si>
    <t>208973_at</t>
  </si>
  <si>
    <t>ERI3</t>
  </si>
  <si>
    <t>217876_at</t>
  </si>
  <si>
    <t>GTF3C5</t>
  </si>
  <si>
    <t>213527_s_at</t>
  </si>
  <si>
    <t>211375_s_at</t>
  </si>
  <si>
    <t>202212_at</t>
  </si>
  <si>
    <t>PES1</t>
  </si>
  <si>
    <t>214263_x_at</t>
  </si>
  <si>
    <t>212445_s_at</t>
  </si>
  <si>
    <t>218740_s_at</t>
  </si>
  <si>
    <t>CDK5RAP3</t>
  </si>
  <si>
    <t>209896_s_at</t>
  </si>
  <si>
    <t>218055_s_at</t>
  </si>
  <si>
    <t>WDR41</t>
  </si>
  <si>
    <t>204934_s_at</t>
  </si>
  <si>
    <t>HPN</t>
  </si>
  <si>
    <t>200690_at</t>
  </si>
  <si>
    <t>213168_at</t>
  </si>
  <si>
    <t>SP3</t>
  </si>
  <si>
    <t>217027_x_at</t>
  </si>
  <si>
    <t>202161_at</t>
  </si>
  <si>
    <t>PKN1</t>
  </si>
  <si>
    <t>200764_s_at</t>
  </si>
  <si>
    <t>203996_s_at</t>
  </si>
  <si>
    <t>213395_at</t>
  </si>
  <si>
    <t>MLC1</t>
  </si>
  <si>
    <t>219173_at</t>
  </si>
  <si>
    <t>MYO15B</t>
  </si>
  <si>
    <t>204051_s_at</t>
  </si>
  <si>
    <t>SFRP4</t>
  </si>
  <si>
    <t>207129_at</t>
  </si>
  <si>
    <t>210858_x_at</t>
  </si>
  <si>
    <t>203484_at</t>
  </si>
  <si>
    <t>SEC61G</t>
  </si>
  <si>
    <t>215031_x_at</t>
  </si>
  <si>
    <t>200777_s_at</t>
  </si>
  <si>
    <t>BZW1</t>
  </si>
  <si>
    <t>218143_s_at</t>
  </si>
  <si>
    <t>SCAMP2</t>
  </si>
  <si>
    <t>212560_at</t>
  </si>
  <si>
    <t>202288_at</t>
  </si>
  <si>
    <t>MTOR</t>
  </si>
  <si>
    <t>207001_x_at</t>
  </si>
  <si>
    <t>202249_s_at</t>
  </si>
  <si>
    <t>202383_at</t>
  </si>
  <si>
    <t>KDM5C</t>
  </si>
  <si>
    <t>214169_at</t>
  </si>
  <si>
    <t>201905_s_at</t>
  </si>
  <si>
    <t>212773_s_at</t>
  </si>
  <si>
    <t>TOMM20</t>
  </si>
  <si>
    <t>203158_s_at</t>
  </si>
  <si>
    <t>218601_at</t>
  </si>
  <si>
    <t>URG4</t>
  </si>
  <si>
    <t>202167_s_at</t>
  </si>
  <si>
    <t>MMS19</t>
  </si>
  <si>
    <t>217789_at</t>
  </si>
  <si>
    <t>SNX6</t>
  </si>
  <si>
    <t>203247_s_at</t>
  </si>
  <si>
    <t>214738_s_at</t>
  </si>
  <si>
    <t>40273_at</t>
  </si>
  <si>
    <t>201012_at</t>
  </si>
  <si>
    <t>ANXA1</t>
  </si>
  <si>
    <t>213277_at</t>
  </si>
  <si>
    <t>218892_at</t>
  </si>
  <si>
    <t>220119_at</t>
  </si>
  <si>
    <t>EPB41L4A</t>
  </si>
  <si>
    <t>212493_s_at</t>
  </si>
  <si>
    <t>209159_s_at</t>
  </si>
  <si>
    <t>NDRG4</t>
  </si>
  <si>
    <t>212283_at</t>
  </si>
  <si>
    <t>214215_s_at</t>
  </si>
  <si>
    <t>LARP5</t>
  </si>
  <si>
    <t>208647_at</t>
  </si>
  <si>
    <t>202201_at</t>
  </si>
  <si>
    <t>BLVRB</t>
  </si>
  <si>
    <t>202509_s_at</t>
  </si>
  <si>
    <t>TNFAIP2</t>
  </si>
  <si>
    <t>205062_x_at</t>
  </si>
  <si>
    <t>ARID4A</t>
  </si>
  <si>
    <t>206286_s_at</t>
  </si>
  <si>
    <t>TDGF1 /// TDGF3</t>
  </si>
  <si>
    <t>204219_s_at</t>
  </si>
  <si>
    <t>PSMC1</t>
  </si>
  <si>
    <t>213321_at</t>
  </si>
  <si>
    <t>202679_at</t>
  </si>
  <si>
    <t>203246_s_at</t>
  </si>
  <si>
    <t>219037_at</t>
  </si>
  <si>
    <t>220558_x_at</t>
  </si>
  <si>
    <t>TSPAN32</t>
  </si>
  <si>
    <t>221332_at</t>
  </si>
  <si>
    <t>BMP15</t>
  </si>
  <si>
    <t>219870_at</t>
  </si>
  <si>
    <t>ATF7IP2</t>
  </si>
  <si>
    <t>210164_at</t>
  </si>
  <si>
    <t>GZMB</t>
  </si>
  <si>
    <t>206631_at</t>
  </si>
  <si>
    <t>PTGER2</t>
  </si>
  <si>
    <t>219687_at</t>
  </si>
  <si>
    <t>HHAT</t>
  </si>
  <si>
    <t>202258_s_at</t>
  </si>
  <si>
    <t>208956_x_at</t>
  </si>
  <si>
    <t>212717_at</t>
  </si>
  <si>
    <t>218048_at</t>
  </si>
  <si>
    <t>COMMD3</t>
  </si>
  <si>
    <t>214142_at</t>
  </si>
  <si>
    <t>ZG16</t>
  </si>
  <si>
    <t>214512_s_at</t>
  </si>
  <si>
    <t>205788_s_at</t>
  </si>
  <si>
    <t>204488_at</t>
  </si>
  <si>
    <t>DOLK</t>
  </si>
  <si>
    <t>205882_x_at</t>
  </si>
  <si>
    <t>205983_at</t>
  </si>
  <si>
    <t>DPEP1</t>
  </si>
  <si>
    <t>220584_at</t>
  </si>
  <si>
    <t>FLJ22184</t>
  </si>
  <si>
    <t>209808_x_at</t>
  </si>
  <si>
    <t>220283_at</t>
  </si>
  <si>
    <t>HHIPL2</t>
  </si>
  <si>
    <t>212067_s_at</t>
  </si>
  <si>
    <t>C1R</t>
  </si>
  <si>
    <t>201064_s_at</t>
  </si>
  <si>
    <t>PABPC4</t>
  </si>
  <si>
    <t>201949_x_at</t>
  </si>
  <si>
    <t>208249_s_at</t>
  </si>
  <si>
    <t>TGDS</t>
  </si>
  <si>
    <t>208628_s_at</t>
  </si>
  <si>
    <t>213819_s_at</t>
  </si>
  <si>
    <t>208796_s_at</t>
  </si>
  <si>
    <t>CCNG1</t>
  </si>
  <si>
    <t>218968_s_at</t>
  </si>
  <si>
    <t>212630_at</t>
  </si>
  <si>
    <t>EXOC3</t>
  </si>
  <si>
    <t>203263_s_at</t>
  </si>
  <si>
    <t>205438_at</t>
  </si>
  <si>
    <t>PTPN21</t>
  </si>
  <si>
    <t>200800_s_at</t>
  </si>
  <si>
    <t>209427_at</t>
  </si>
  <si>
    <t>59375_at</t>
  </si>
  <si>
    <t>212039_x_at</t>
  </si>
  <si>
    <t>211671_s_at</t>
  </si>
  <si>
    <t>210124_x_at</t>
  </si>
  <si>
    <t>200729_s_at</t>
  </si>
  <si>
    <t>206985_at</t>
  </si>
  <si>
    <t>HSD17B3</t>
  </si>
  <si>
    <t>218266_s_at</t>
  </si>
  <si>
    <t>FREQ</t>
  </si>
  <si>
    <t>219884_at</t>
  </si>
  <si>
    <t>LHX6</t>
  </si>
  <si>
    <t>211557_x_at</t>
  </si>
  <si>
    <t>218671_s_at</t>
  </si>
  <si>
    <t>ATPIF1</t>
  </si>
  <si>
    <t>205790_at</t>
  </si>
  <si>
    <t>SKAP1</t>
  </si>
  <si>
    <t>221984_s_at</t>
  </si>
  <si>
    <t>206782_s_at</t>
  </si>
  <si>
    <t>215881_x_at</t>
  </si>
  <si>
    <t>SSX2 /// SSX3 /// SSX5 /// SSX7 /// SSX9</t>
  </si>
  <si>
    <t>209644_x_at</t>
  </si>
  <si>
    <t>218965_s_at</t>
  </si>
  <si>
    <t>TUT1</t>
  </si>
  <si>
    <t>217436_x_at</t>
  </si>
  <si>
    <t>HLA-J</t>
  </si>
  <si>
    <t>201998_at</t>
  </si>
  <si>
    <t>ST6GAL1</t>
  </si>
  <si>
    <t>206464_at</t>
  </si>
  <si>
    <t>BMX</t>
  </si>
  <si>
    <t>207554_x_at</t>
  </si>
  <si>
    <t>218907_s_at</t>
  </si>
  <si>
    <t>LRRC61</t>
  </si>
  <si>
    <t>221371_at</t>
  </si>
  <si>
    <t>TNFSF18</t>
  </si>
  <si>
    <t>205824_at</t>
  </si>
  <si>
    <t>HSPB2</t>
  </si>
  <si>
    <t>218920_at</t>
  </si>
  <si>
    <t>FLJ10404</t>
  </si>
  <si>
    <t>204613_at</t>
  </si>
  <si>
    <t>PLCG2</t>
  </si>
  <si>
    <t>214833_at</t>
  </si>
  <si>
    <t>213707_s_at</t>
  </si>
  <si>
    <t>DLX5</t>
  </si>
  <si>
    <t>203834_s_at</t>
  </si>
  <si>
    <t>219640_at</t>
  </si>
  <si>
    <t>CLDN15</t>
  </si>
  <si>
    <t>205213_at</t>
  </si>
  <si>
    <t>209126_x_at</t>
  </si>
  <si>
    <t>37226_at</t>
  </si>
  <si>
    <t>204788_s_at</t>
  </si>
  <si>
    <t>PPOX</t>
  </si>
  <si>
    <t>212000_at</t>
  </si>
  <si>
    <t>39318_at</t>
  </si>
  <si>
    <t>200985_s_at</t>
  </si>
  <si>
    <t>209132_s_at</t>
  </si>
  <si>
    <t>201803_at</t>
  </si>
  <si>
    <t>POLR2B</t>
  </si>
  <si>
    <t>202049_s_at</t>
  </si>
  <si>
    <t>210354_at</t>
  </si>
  <si>
    <t>IFNG</t>
  </si>
  <si>
    <t>212003_at</t>
  </si>
  <si>
    <t>206058_at</t>
  </si>
  <si>
    <t>SLC6A12</t>
  </si>
  <si>
    <t>208837_at</t>
  </si>
  <si>
    <t>TMED3</t>
  </si>
  <si>
    <t>212793_at</t>
  </si>
  <si>
    <t>DAAM2</t>
  </si>
  <si>
    <t>213682_at</t>
  </si>
  <si>
    <t>209134_s_at</t>
  </si>
  <si>
    <t>219284_at</t>
  </si>
  <si>
    <t>HSPBAP1</t>
  </si>
  <si>
    <t>222266_at</t>
  </si>
  <si>
    <t>204251_s_at</t>
  </si>
  <si>
    <t>CEP164</t>
  </si>
  <si>
    <t>207081_s_at</t>
  </si>
  <si>
    <t>PI4KA</t>
  </si>
  <si>
    <t>206266_at</t>
  </si>
  <si>
    <t>206992_s_at</t>
  </si>
  <si>
    <t>202283_at</t>
  </si>
  <si>
    <t>SERPINF1</t>
  </si>
  <si>
    <t>206988_at</t>
  </si>
  <si>
    <t>CCL25</t>
  </si>
  <si>
    <t>206596_s_at</t>
  </si>
  <si>
    <t>208541_x_at</t>
  </si>
  <si>
    <t>215276_at</t>
  </si>
  <si>
    <t>WFDC8</t>
  </si>
  <si>
    <t>222154_s_at</t>
  </si>
  <si>
    <t>SPATS2L</t>
  </si>
  <si>
    <t>204843_s_at</t>
  </si>
  <si>
    <t>218413_s_at</t>
  </si>
  <si>
    <t>ZNF639</t>
  </si>
  <si>
    <t>206821_x_at</t>
  </si>
  <si>
    <t>217737_x_at</t>
  </si>
  <si>
    <t>C20orf43</t>
  </si>
  <si>
    <t>211942_x_at</t>
  </si>
  <si>
    <t>RPL13A /// RPL13AP5 /// RPL13AP6</t>
  </si>
  <si>
    <t>221948_s_at</t>
  </si>
  <si>
    <t>201348_at</t>
  </si>
  <si>
    <t>GPX3</t>
  </si>
  <si>
    <t>214760_at</t>
  </si>
  <si>
    <t>201664_at</t>
  </si>
  <si>
    <t>203068_at</t>
  </si>
  <si>
    <t>KLHL21</t>
  </si>
  <si>
    <t>212805_at</t>
  </si>
  <si>
    <t>PRUNE2</t>
  </si>
  <si>
    <t>202328_s_at</t>
  </si>
  <si>
    <t>202896_s_at</t>
  </si>
  <si>
    <t>205249_at</t>
  </si>
  <si>
    <t>EGR2</t>
  </si>
  <si>
    <t>209147_s_at</t>
  </si>
  <si>
    <t>PPAP2A</t>
  </si>
  <si>
    <t>219626_at</t>
  </si>
  <si>
    <t>219862_s_at</t>
  </si>
  <si>
    <t>NARF</t>
  </si>
  <si>
    <t>220993_s_at</t>
  </si>
  <si>
    <t>GPR63</t>
  </si>
  <si>
    <t>200990_at</t>
  </si>
  <si>
    <t>TRIM28</t>
  </si>
  <si>
    <t>216197_at</t>
  </si>
  <si>
    <t>205585_at</t>
  </si>
  <si>
    <t>ETV6</t>
  </si>
  <si>
    <t>216058_s_at</t>
  </si>
  <si>
    <t>CYP2C19</t>
  </si>
  <si>
    <t>214414_x_at</t>
  </si>
  <si>
    <t>212844_at</t>
  </si>
  <si>
    <t>200749_at</t>
  </si>
  <si>
    <t>200974_at</t>
  </si>
  <si>
    <t>221458_at</t>
  </si>
  <si>
    <t>HTR1F</t>
  </si>
  <si>
    <t>209121_x_at</t>
  </si>
  <si>
    <t>NR2F2</t>
  </si>
  <si>
    <t>221351_at</t>
  </si>
  <si>
    <t>HTR1A</t>
  </si>
  <si>
    <t>221834_at</t>
  </si>
  <si>
    <t>205948_at</t>
  </si>
  <si>
    <t>PTPRT</t>
  </si>
  <si>
    <t>207011_s_at</t>
  </si>
  <si>
    <t>PTK7</t>
  </si>
  <si>
    <t>218094_s_at</t>
  </si>
  <si>
    <t>DBNDD2 /// SYS1 /// SYS1-DBNDD2</t>
  </si>
  <si>
    <t>213748_at</t>
  </si>
  <si>
    <t>TRIM66</t>
  </si>
  <si>
    <t>204651_at</t>
  </si>
  <si>
    <t>204140_at</t>
  </si>
  <si>
    <t>TPST1</t>
  </si>
  <si>
    <t>208374_s_at</t>
  </si>
  <si>
    <t>CAPZA1</t>
  </si>
  <si>
    <t>220954_s_at</t>
  </si>
  <si>
    <t>PILRB</t>
  </si>
  <si>
    <t>221937_at</t>
  </si>
  <si>
    <t>220286_at</t>
  </si>
  <si>
    <t>MTMR10</t>
  </si>
  <si>
    <t>201967_at</t>
  </si>
  <si>
    <t>RBM6</t>
  </si>
  <si>
    <t>221272_s_at</t>
  </si>
  <si>
    <t>C1orf21</t>
  </si>
  <si>
    <t>211559_s_at</t>
  </si>
  <si>
    <t>204418_x_at</t>
  </si>
  <si>
    <t>GSTM2</t>
  </si>
  <si>
    <t>205666_at</t>
  </si>
  <si>
    <t>FMO1</t>
  </si>
  <si>
    <t>37462_i_at</t>
  </si>
  <si>
    <t>SF3A2</t>
  </si>
  <si>
    <t>213788_s_at</t>
  </si>
  <si>
    <t>217925_s_at</t>
  </si>
  <si>
    <t>214816_x_at</t>
  </si>
  <si>
    <t>C19orf40</t>
  </si>
  <si>
    <t>221362_at</t>
  </si>
  <si>
    <t>HTR5A</t>
  </si>
  <si>
    <t>208821_at</t>
  </si>
  <si>
    <t>217866_at</t>
  </si>
  <si>
    <t>CPSF7</t>
  </si>
  <si>
    <t>201076_at</t>
  </si>
  <si>
    <t>208643_s_at</t>
  </si>
  <si>
    <t>213870_at</t>
  </si>
  <si>
    <t>211153_s_at</t>
  </si>
  <si>
    <t>TNFSF11</t>
  </si>
  <si>
    <t>216984_x_at</t>
  </si>
  <si>
    <t>IGL@ /// IGLV2-18 /// IGLV2-23 /// LOC100293440</t>
  </si>
  <si>
    <t>218064_s_at</t>
  </si>
  <si>
    <t>207022_s_at</t>
  </si>
  <si>
    <t>LDHC</t>
  </si>
  <si>
    <t>208970_s_at</t>
  </si>
  <si>
    <t>209663_s_at</t>
  </si>
  <si>
    <t>213998_s_at</t>
  </si>
  <si>
    <t>210195_s_at</t>
  </si>
  <si>
    <t>208172_s_at</t>
  </si>
  <si>
    <t>KCNB2</t>
  </si>
  <si>
    <t>217122_s_at</t>
  </si>
  <si>
    <t>RP11-345P4.4</t>
  </si>
  <si>
    <t>207278_s_at</t>
  </si>
  <si>
    <t>201039_s_at</t>
  </si>
  <si>
    <t>RAD23A</t>
  </si>
  <si>
    <t>214766_s_at</t>
  </si>
  <si>
    <t>AHCTF1</t>
  </si>
  <si>
    <t>216294_s_at</t>
  </si>
  <si>
    <t>204335_at</t>
  </si>
  <si>
    <t>CCDC94</t>
  </si>
  <si>
    <t>220173_at</t>
  </si>
  <si>
    <t>C14orf45</t>
  </si>
  <si>
    <t>209244_s_at</t>
  </si>
  <si>
    <t>217591_at</t>
  </si>
  <si>
    <t>SKIL</t>
  </si>
  <si>
    <t>221665_s_at</t>
  </si>
  <si>
    <t>220755_s_at</t>
  </si>
  <si>
    <t>C6orf48</t>
  </si>
  <si>
    <t>46167_at</t>
  </si>
  <si>
    <t>217502_at</t>
  </si>
  <si>
    <t>IFIT2</t>
  </si>
  <si>
    <t>213081_at</t>
  </si>
  <si>
    <t>ZBTB22</t>
  </si>
  <si>
    <t>214518_at</t>
  </si>
  <si>
    <t>PDHA2</t>
  </si>
  <si>
    <t>218205_s_at</t>
  </si>
  <si>
    <t>MKNK2</t>
  </si>
  <si>
    <t>220627_at</t>
  </si>
  <si>
    <t>CST8</t>
  </si>
  <si>
    <t>210197_at</t>
  </si>
  <si>
    <t>215503_at</t>
  </si>
  <si>
    <t>SPINT3</t>
  </si>
  <si>
    <t>208831_x_at</t>
  </si>
  <si>
    <t>206210_s_at</t>
  </si>
  <si>
    <t>CETP</t>
  </si>
  <si>
    <t>218976_at</t>
  </si>
  <si>
    <t>DNAJC12</t>
  </si>
  <si>
    <t>207367_at</t>
  </si>
  <si>
    <t>ATP12A</t>
  </si>
  <si>
    <t>218631_at</t>
  </si>
  <si>
    <t>AVPI1</t>
  </si>
  <si>
    <t>220910_at</t>
  </si>
  <si>
    <t>FRAS1</t>
  </si>
  <si>
    <t>203272_s_at</t>
  </si>
  <si>
    <t>205598_at</t>
  </si>
  <si>
    <t>TRAIP</t>
  </si>
  <si>
    <t>210111_s_at</t>
  </si>
  <si>
    <t>207556_s_at</t>
  </si>
  <si>
    <t>DGKZ</t>
  </si>
  <si>
    <t>209675_s_at</t>
  </si>
  <si>
    <t>217746_s_at</t>
  </si>
  <si>
    <t>PDCD6IP</t>
  </si>
  <si>
    <t>52940_at</t>
  </si>
  <si>
    <t>LOC100294402 /// SIGIRR</t>
  </si>
  <si>
    <t>203984_s_at</t>
  </si>
  <si>
    <t>206534_at</t>
  </si>
  <si>
    <t>GRIN2A</t>
  </si>
  <si>
    <t>203398_s_at</t>
  </si>
  <si>
    <t>205178_s_at</t>
  </si>
  <si>
    <t>203375_s_at</t>
  </si>
  <si>
    <t>211060_x_at</t>
  </si>
  <si>
    <t>218391_at</t>
  </si>
  <si>
    <t>SNF8</t>
  </si>
  <si>
    <t>200899_s_at</t>
  </si>
  <si>
    <t>205743_at</t>
  </si>
  <si>
    <t>STAC</t>
  </si>
  <si>
    <t>213332_at</t>
  </si>
  <si>
    <t>217137_x_at</t>
  </si>
  <si>
    <t>LOC100291812</t>
  </si>
  <si>
    <t>204023_at</t>
  </si>
  <si>
    <t>RFC4</t>
  </si>
  <si>
    <t>211386_at</t>
  </si>
  <si>
    <t>MGC12488</t>
  </si>
  <si>
    <t>216860_s_at</t>
  </si>
  <si>
    <t>217751_at</t>
  </si>
  <si>
    <t>GSTK1</t>
  </si>
  <si>
    <t>214173_x_at</t>
  </si>
  <si>
    <t>208527_x_at</t>
  </si>
  <si>
    <t>HIST1H2BE</t>
  </si>
  <si>
    <t>211165_x_at</t>
  </si>
  <si>
    <t>202839_s_at</t>
  </si>
  <si>
    <t>NDUFB7</t>
  </si>
  <si>
    <t>202111_at</t>
  </si>
  <si>
    <t>SLC4A2</t>
  </si>
  <si>
    <t>220340_at</t>
  </si>
  <si>
    <t>KIAA1772</t>
  </si>
  <si>
    <t>210936_at</t>
  </si>
  <si>
    <t>210778_s_at</t>
  </si>
  <si>
    <t>205949_at</t>
  </si>
  <si>
    <t>216875_x_at</t>
  </si>
  <si>
    <t>215430_at</t>
  </si>
  <si>
    <t>GK2</t>
  </si>
  <si>
    <t>215808_at</t>
  </si>
  <si>
    <t>208710_s_at</t>
  </si>
  <si>
    <t>216365_x_at</t>
  </si>
  <si>
    <t>IGL@ /// IGLV3-19</t>
  </si>
  <si>
    <t>206853_s_at</t>
  </si>
  <si>
    <t>205107_s_at</t>
  </si>
  <si>
    <t>EFNA4</t>
  </si>
  <si>
    <t>203837_at</t>
  </si>
  <si>
    <t>206649_s_at</t>
  </si>
  <si>
    <t>210265_x_at</t>
  </si>
  <si>
    <t>POU5F1P3</t>
  </si>
  <si>
    <t>208766_s_at</t>
  </si>
  <si>
    <t>202880_s_at</t>
  </si>
  <si>
    <t>218768_at</t>
  </si>
  <si>
    <t>NUP107</t>
  </si>
  <si>
    <t>208042_at</t>
  </si>
  <si>
    <t>211934_x_at</t>
  </si>
  <si>
    <t>210639_s_at</t>
  </si>
  <si>
    <t>36129_at</t>
  </si>
  <si>
    <t>210043_at</t>
  </si>
  <si>
    <t>FRMD8</t>
  </si>
  <si>
    <t>214726_x_at</t>
  </si>
  <si>
    <t>202625_at</t>
  </si>
  <si>
    <t>211688_x_at</t>
  </si>
  <si>
    <t>221318_at</t>
  </si>
  <si>
    <t>NEUROD4</t>
  </si>
  <si>
    <t>203664_s_at</t>
  </si>
  <si>
    <t>POLR2D</t>
  </si>
  <si>
    <t>206120_at</t>
  </si>
  <si>
    <t>CD33</t>
  </si>
  <si>
    <t>220243_at</t>
  </si>
  <si>
    <t>ZBTB44</t>
  </si>
  <si>
    <t>210754_s_at</t>
  </si>
  <si>
    <t>208959_s_at</t>
  </si>
  <si>
    <t>218380_at</t>
  </si>
  <si>
    <t>LOC728392 /// NLRP1</t>
  </si>
  <si>
    <t>216231_s_at</t>
  </si>
  <si>
    <t>219052_at</t>
  </si>
  <si>
    <t>HPS6</t>
  </si>
  <si>
    <t>209785_s_at</t>
  </si>
  <si>
    <t>PLA2G4C</t>
  </si>
  <si>
    <t>202866_at</t>
  </si>
  <si>
    <t>210514_x_at</t>
  </si>
  <si>
    <t>211370_s_at</t>
  </si>
  <si>
    <t>201683_x_at</t>
  </si>
  <si>
    <t>215954_s_at</t>
  </si>
  <si>
    <t>217273_at</t>
  </si>
  <si>
    <t>PRAMEF10</t>
  </si>
  <si>
    <t>210436_at</t>
  </si>
  <si>
    <t>207350_s_at</t>
  </si>
  <si>
    <t>VAMP4</t>
  </si>
  <si>
    <t>209549_s_at</t>
  </si>
  <si>
    <t>210295_at</t>
  </si>
  <si>
    <t>MAGEA10</t>
  </si>
  <si>
    <t>213387_at</t>
  </si>
  <si>
    <t>ATAD2B</t>
  </si>
  <si>
    <t>221602_s_at</t>
  </si>
  <si>
    <t>217269_s_at</t>
  </si>
  <si>
    <t>215215_s_at</t>
  </si>
  <si>
    <t>208635_x_at</t>
  </si>
  <si>
    <t>214091_s_at</t>
  </si>
  <si>
    <t>219318_x_at</t>
  </si>
  <si>
    <t>MED31</t>
  </si>
  <si>
    <t>221269_s_at</t>
  </si>
  <si>
    <t>SH3BGRL3</t>
  </si>
  <si>
    <t>203382_s_at</t>
  </si>
  <si>
    <t>221072_at</t>
  </si>
  <si>
    <t>C9orf31</t>
  </si>
  <si>
    <t>222191_s_at</t>
  </si>
  <si>
    <t>213889_at</t>
  </si>
  <si>
    <t>210672_s_at</t>
  </si>
  <si>
    <t>205447_s_at</t>
  </si>
  <si>
    <t>MAP3K12</t>
  </si>
  <si>
    <t>213088_s_at</t>
  </si>
  <si>
    <t>211695_x_at</t>
  </si>
  <si>
    <t>202768_at</t>
  </si>
  <si>
    <t>FOSB</t>
  </si>
  <si>
    <t>219187_at</t>
  </si>
  <si>
    <t>FKBPL</t>
  </si>
  <si>
    <t>220839_at</t>
  </si>
  <si>
    <t>213229_at</t>
  </si>
  <si>
    <t>201902_s_at</t>
  </si>
  <si>
    <t>208469_s_at</t>
  </si>
  <si>
    <t>218206_x_at</t>
  </si>
  <si>
    <t>SCAND1</t>
  </si>
  <si>
    <t>204218_at</t>
  </si>
  <si>
    <t>C11orf51</t>
  </si>
  <si>
    <t>205061_s_at</t>
  </si>
  <si>
    <t>EXOSC9</t>
  </si>
  <si>
    <t>221546_at</t>
  </si>
  <si>
    <t>212132_at</t>
  </si>
  <si>
    <t>213466_at</t>
  </si>
  <si>
    <t>RAB40C</t>
  </si>
  <si>
    <t>218903_s_at</t>
  </si>
  <si>
    <t>OBFC2B</t>
  </si>
  <si>
    <t>213678_at</t>
  </si>
  <si>
    <t>220314_at</t>
  </si>
  <si>
    <t>HSFX1 /// HSFX2</t>
  </si>
  <si>
    <t>214850_at</t>
  </si>
  <si>
    <t>LOC100170939</t>
  </si>
  <si>
    <t>212229_s_at</t>
  </si>
  <si>
    <t>FBXO21</t>
  </si>
  <si>
    <t>202628_s_at</t>
  </si>
  <si>
    <t>205148_s_at</t>
  </si>
  <si>
    <t>213971_s_at</t>
  </si>
  <si>
    <t>LOC100292841 /// SUZ12 /// SUZ12P</t>
  </si>
  <si>
    <t>212142_at</t>
  </si>
  <si>
    <t>212323_s_at</t>
  </si>
  <si>
    <t>204655_at</t>
  </si>
  <si>
    <t>31874_at</t>
  </si>
  <si>
    <t>201046_s_at</t>
  </si>
  <si>
    <t>203351_s_at</t>
  </si>
  <si>
    <t>ORC4L</t>
  </si>
  <si>
    <t>204647_at</t>
  </si>
  <si>
    <t>210750_s_at</t>
  </si>
  <si>
    <t>DLGAP1</t>
  </si>
  <si>
    <t>215622_x_at</t>
  </si>
  <si>
    <t>216953_s_at</t>
  </si>
  <si>
    <t>WT1</t>
  </si>
  <si>
    <t>220202_s_at</t>
  </si>
  <si>
    <t>208668_x_at</t>
  </si>
  <si>
    <t>HMGN2</t>
  </si>
  <si>
    <t>209093_s_at</t>
  </si>
  <si>
    <t>202637_s_at</t>
  </si>
  <si>
    <t>202076_at</t>
  </si>
  <si>
    <t>BIRC2</t>
  </si>
  <si>
    <t>210075_at</t>
  </si>
  <si>
    <t>_x001A__x001A__x001A_-02</t>
  </si>
  <si>
    <t>211914_x_at</t>
  </si>
  <si>
    <t>220597_s_at</t>
  </si>
  <si>
    <t>211127_x_at</t>
  </si>
  <si>
    <t>210371_s_at</t>
  </si>
  <si>
    <t>200741_s_at</t>
  </si>
  <si>
    <t>RPS27</t>
  </si>
  <si>
    <t>211073_x_at</t>
  </si>
  <si>
    <t>212166_at</t>
  </si>
  <si>
    <t>218010_x_at</t>
  </si>
  <si>
    <t>PPDPF</t>
  </si>
  <si>
    <t>208738_x_at</t>
  </si>
  <si>
    <t>LOC100130966 /// LOC728825 /// SUMO2 /// SUMO4</t>
  </si>
  <si>
    <t>214236_at</t>
  </si>
  <si>
    <t>208560_at</t>
  </si>
  <si>
    <t>KCNA10</t>
  </si>
  <si>
    <t>207836_s_at</t>
  </si>
  <si>
    <t>RBPMS</t>
  </si>
  <si>
    <t>206819_at</t>
  </si>
  <si>
    <t>POM121L9P</t>
  </si>
  <si>
    <t>221881_s_at</t>
  </si>
  <si>
    <t>203702_s_at</t>
  </si>
  <si>
    <t>213184_at</t>
  </si>
  <si>
    <t>202485_s_at</t>
  </si>
  <si>
    <t>202227_s_at</t>
  </si>
  <si>
    <t>BRD8</t>
  </si>
  <si>
    <t>216607_s_at</t>
  </si>
  <si>
    <t>202542_s_at</t>
  </si>
  <si>
    <t>200051_at</t>
  </si>
  <si>
    <t>SART1</t>
  </si>
  <si>
    <t>202905_x_at</t>
  </si>
  <si>
    <t>214450_at</t>
  </si>
  <si>
    <t>CTSW</t>
  </si>
  <si>
    <t>218423_x_at</t>
  </si>
  <si>
    <t>VPS54</t>
  </si>
  <si>
    <t>209236_at</t>
  </si>
  <si>
    <t>211884_s_at</t>
  </si>
  <si>
    <t>201191_at</t>
  </si>
  <si>
    <t>221395_at</t>
  </si>
  <si>
    <t>TAS2R13</t>
  </si>
  <si>
    <t>213450_s_at</t>
  </si>
  <si>
    <t>202510_s_at</t>
  </si>
  <si>
    <t>221300_at</t>
  </si>
  <si>
    <t>C15orf2</t>
  </si>
  <si>
    <t>209116_x_at</t>
  </si>
  <si>
    <t>HBB</t>
  </si>
  <si>
    <t>212983_at</t>
  </si>
  <si>
    <t>HRAS</t>
  </si>
  <si>
    <t>213798_s_at</t>
  </si>
  <si>
    <t>216315_x_at</t>
  </si>
  <si>
    <t>208609_s_at</t>
  </si>
  <si>
    <t>209006_s_at</t>
  </si>
  <si>
    <t>220466_at</t>
  </si>
  <si>
    <t>CCDC15</t>
  </si>
  <si>
    <t>203660_s_at</t>
  </si>
  <si>
    <t>PCNT</t>
  </si>
  <si>
    <t>208918_s_at</t>
  </si>
  <si>
    <t>212754_s_at</t>
  </si>
  <si>
    <t>MON2</t>
  </si>
  <si>
    <t>218588_s_at</t>
  </si>
  <si>
    <t>FAM114A2</t>
  </si>
  <si>
    <t>219473_at</t>
  </si>
  <si>
    <t>GDAP2</t>
  </si>
  <si>
    <t>215379_x_at</t>
  </si>
  <si>
    <t>IGL@ /// IGLV1-44</t>
  </si>
  <si>
    <t>47105_at</t>
  </si>
  <si>
    <t>202360_at</t>
  </si>
  <si>
    <t>MAML1</t>
  </si>
  <si>
    <t>215078_at</t>
  </si>
  <si>
    <t>209832_s_at</t>
  </si>
  <si>
    <t>CDT1</t>
  </si>
  <si>
    <t>52005_at</t>
  </si>
  <si>
    <t>203716_s_at</t>
  </si>
  <si>
    <t>DPP4</t>
  </si>
  <si>
    <t>200721_s_at</t>
  </si>
  <si>
    <t>ACTR1A</t>
  </si>
  <si>
    <t>220366_at</t>
  </si>
  <si>
    <t>ELSPBP1</t>
  </si>
  <si>
    <t>221340_at</t>
  </si>
  <si>
    <t>CDX4</t>
  </si>
  <si>
    <t>221862_at</t>
  </si>
  <si>
    <t>201642_at</t>
  </si>
  <si>
    <t>IFNGR2</t>
  </si>
  <si>
    <t>206191_at</t>
  </si>
  <si>
    <t>ENTPD3</t>
  </si>
  <si>
    <t>219047_s_at</t>
  </si>
  <si>
    <t>ZNF668</t>
  </si>
  <si>
    <t>211637_x_at</t>
  </si>
  <si>
    <t>IGH@ /// IGHA1 /// IGHA2 /// IGHD /// IGHG1 /// IGHG3 /// IGHG4 /// IGHM /// IGHV3-23 /// LOC1001265</t>
  </si>
  <si>
    <t>212739_s_at</t>
  </si>
  <si>
    <t>NME4</t>
  </si>
  <si>
    <t>210803_at</t>
  </si>
  <si>
    <t>208037_s_at</t>
  </si>
  <si>
    <t>MADCAM1</t>
  </si>
  <si>
    <t>200022_at</t>
  </si>
  <si>
    <t>205160_at</t>
  </si>
  <si>
    <t>PEX11A</t>
  </si>
  <si>
    <t>203138_at</t>
  </si>
  <si>
    <t>HAT1</t>
  </si>
  <si>
    <t>212001_at</t>
  </si>
  <si>
    <t>200000_s_at</t>
  </si>
  <si>
    <t>PRPF8</t>
  </si>
  <si>
    <t>200888_s_at</t>
  </si>
  <si>
    <t>203315_at</t>
  </si>
  <si>
    <t>NCK2</t>
  </si>
  <si>
    <t>203536_s_at</t>
  </si>
  <si>
    <t>201784_s_at</t>
  </si>
  <si>
    <t>206858_s_at</t>
  </si>
  <si>
    <t>HOXC6</t>
  </si>
  <si>
    <t>213874_at</t>
  </si>
  <si>
    <t>SERPINA4</t>
  </si>
  <si>
    <t>210010_s_at</t>
  </si>
  <si>
    <t>SLC25A1</t>
  </si>
  <si>
    <t>220204_s_at</t>
  </si>
  <si>
    <t>205284_at</t>
  </si>
  <si>
    <t>URB2</t>
  </si>
  <si>
    <t>211696_x_at</t>
  </si>
  <si>
    <t>215342_s_at</t>
  </si>
  <si>
    <t>213040_s_at</t>
  </si>
  <si>
    <t>209408_at</t>
  </si>
  <si>
    <t>200689_x_at</t>
  </si>
  <si>
    <t>EEF1G</t>
  </si>
  <si>
    <t>206435_at</t>
  </si>
  <si>
    <t>B4GALNT1</t>
  </si>
  <si>
    <t>209572_s_at</t>
  </si>
  <si>
    <t>EED</t>
  </si>
  <si>
    <t>205127_at</t>
  </si>
  <si>
    <t>208099_x_at</t>
  </si>
  <si>
    <t>209305_s_at</t>
  </si>
  <si>
    <t>210907_s_at</t>
  </si>
  <si>
    <t>PDCD10</t>
  </si>
  <si>
    <t>214201_x_at</t>
  </si>
  <si>
    <t>78383_at</t>
  </si>
  <si>
    <t>215189_at</t>
  </si>
  <si>
    <t>KRT86</t>
  </si>
  <si>
    <t>201908_at</t>
  </si>
  <si>
    <t>209882_at</t>
  </si>
  <si>
    <t>RIT1</t>
  </si>
  <si>
    <t>216908_x_at</t>
  </si>
  <si>
    <t>203080_s_at</t>
  </si>
  <si>
    <t>BAZ2B</t>
  </si>
  <si>
    <t>215000_s_at</t>
  </si>
  <si>
    <t>217543_s_at</t>
  </si>
  <si>
    <t>210268_at</t>
  </si>
  <si>
    <t>220679_s_at</t>
  </si>
  <si>
    <t>CDH7</t>
  </si>
  <si>
    <t>209887_at</t>
  </si>
  <si>
    <t>220166_at</t>
  </si>
  <si>
    <t>CNNM1</t>
  </si>
  <si>
    <t>218883_s_at</t>
  </si>
  <si>
    <t>MLF1IP</t>
  </si>
  <si>
    <t>205044_at</t>
  </si>
  <si>
    <t>GABRP</t>
  </si>
  <si>
    <t>203522_at</t>
  </si>
  <si>
    <t>CCS</t>
  </si>
  <si>
    <t>219035_s_at</t>
  </si>
  <si>
    <t>RNF34</t>
  </si>
  <si>
    <t>204402_at</t>
  </si>
  <si>
    <t>210568_s_at</t>
  </si>
  <si>
    <t>221785_at</t>
  </si>
  <si>
    <t>202387_at</t>
  </si>
  <si>
    <t>211530_x_at</t>
  </si>
  <si>
    <t>216304_x_at</t>
  </si>
  <si>
    <t>200711_s_at</t>
  </si>
  <si>
    <t>211955_at</t>
  </si>
  <si>
    <t>207055_at</t>
  </si>
  <si>
    <t>GPR37L1</t>
  </si>
  <si>
    <t>201924_at</t>
  </si>
  <si>
    <t>200937_s_at</t>
  </si>
  <si>
    <t>207005_s_at</t>
  </si>
  <si>
    <t>209550_at</t>
  </si>
  <si>
    <t>NDN</t>
  </si>
  <si>
    <t>210041_s_at</t>
  </si>
  <si>
    <t>PGM3</t>
  </si>
  <si>
    <t>211755_s_at</t>
  </si>
  <si>
    <t>ATP5F1</t>
  </si>
  <si>
    <t>213026_at</t>
  </si>
  <si>
    <t>218524_at</t>
  </si>
  <si>
    <t>E4F1</t>
  </si>
  <si>
    <t>207206_s_at</t>
  </si>
  <si>
    <t>ALOX12</t>
  </si>
  <si>
    <t>221059_s_at</t>
  </si>
  <si>
    <t>COTL1</t>
  </si>
  <si>
    <t>202590_s_at</t>
  </si>
  <si>
    <t>209303_at</t>
  </si>
  <si>
    <t>NDUFS4</t>
  </si>
  <si>
    <t>212111_at</t>
  </si>
  <si>
    <t>205600_x_at</t>
  </si>
  <si>
    <t>219724_s_at</t>
  </si>
  <si>
    <t>KIAA0748</t>
  </si>
  <si>
    <t>203859_s_at</t>
  </si>
  <si>
    <t>PALM</t>
  </si>
  <si>
    <t>206247_at</t>
  </si>
  <si>
    <t>MICB</t>
  </si>
  <si>
    <t>217982_s_at</t>
  </si>
  <si>
    <t>MORF4L1</t>
  </si>
  <si>
    <t>202939_at</t>
  </si>
  <si>
    <t>ZMPSTE24</t>
  </si>
  <si>
    <t>203418_at</t>
  </si>
  <si>
    <t>219375_at</t>
  </si>
  <si>
    <t>CEPT1</t>
  </si>
  <si>
    <t>221457_s_at</t>
  </si>
  <si>
    <t>BTNL2</t>
  </si>
  <si>
    <t>213544_at</t>
  </si>
  <si>
    <t>202401_s_at</t>
  </si>
  <si>
    <t>213051_at</t>
  </si>
  <si>
    <t>219153_s_at</t>
  </si>
  <si>
    <t>THSD4</t>
  </si>
  <si>
    <t>66053_at</t>
  </si>
  <si>
    <t>204172_at</t>
  </si>
  <si>
    <t>CPOX</t>
  </si>
  <si>
    <t>202597_at</t>
  </si>
  <si>
    <t>IRF6</t>
  </si>
  <si>
    <t>203254_s_at</t>
  </si>
  <si>
    <t>TLN1</t>
  </si>
  <si>
    <t>202596_at</t>
  </si>
  <si>
    <t>219319_at</t>
  </si>
  <si>
    <t>205448_s_at</t>
  </si>
  <si>
    <t>201225_s_at</t>
  </si>
  <si>
    <t>222040_at</t>
  </si>
  <si>
    <t>211381_x_at</t>
  </si>
  <si>
    <t>SPAG11B</t>
  </si>
  <si>
    <t>217796_s_at</t>
  </si>
  <si>
    <t>NPLOC4</t>
  </si>
  <si>
    <t>204053_x_at</t>
  </si>
  <si>
    <t>210109_at</t>
  </si>
  <si>
    <t>C7orf54</t>
  </si>
  <si>
    <t>221573_at</t>
  </si>
  <si>
    <t>C7orf25 /// PSMA2</t>
  </si>
  <si>
    <t>210325_at</t>
  </si>
  <si>
    <t>CD1A</t>
  </si>
  <si>
    <t>220306_at</t>
  </si>
  <si>
    <t>FAM46C</t>
  </si>
  <si>
    <t>210062_s_at</t>
  </si>
  <si>
    <t>203550_s_at</t>
  </si>
  <si>
    <t>FAM189B</t>
  </si>
  <si>
    <t>200894_s_at</t>
  </si>
  <si>
    <t>204769_s_at</t>
  </si>
  <si>
    <t>211162_x_at</t>
  </si>
  <si>
    <t>212548_s_at</t>
  </si>
  <si>
    <t>218518_at</t>
  </si>
  <si>
    <t>FAM13B</t>
  </si>
  <si>
    <t>218187_s_at</t>
  </si>
  <si>
    <t>C8orf33</t>
  </si>
  <si>
    <t>200053_at</t>
  </si>
  <si>
    <t>SPAG7</t>
  </si>
  <si>
    <t>219904_at</t>
  </si>
  <si>
    <t>ZSCAN5A</t>
  </si>
  <si>
    <t>200662_s_at</t>
  </si>
  <si>
    <t>214192_at</t>
  </si>
  <si>
    <t>209072_at</t>
  </si>
  <si>
    <t>209761_s_at</t>
  </si>
  <si>
    <t>200720_s_at</t>
  </si>
  <si>
    <t>221820_s_at</t>
  </si>
  <si>
    <t>202556_s_at</t>
  </si>
  <si>
    <t>MCRS1</t>
  </si>
  <si>
    <t>213216_at</t>
  </si>
  <si>
    <t>OTUD3</t>
  </si>
  <si>
    <t>218447_at</t>
  </si>
  <si>
    <t>C16orf61</t>
  </si>
  <si>
    <t>218998_at</t>
  </si>
  <si>
    <t>C9orf6</t>
  </si>
  <si>
    <t>210627_s_at</t>
  </si>
  <si>
    <t>MOGS</t>
  </si>
  <si>
    <t>217877_s_at</t>
  </si>
  <si>
    <t>GPBP1L1</t>
  </si>
  <si>
    <t>209304_x_at</t>
  </si>
  <si>
    <t>206769_at</t>
  </si>
  <si>
    <t>TMSB4Y</t>
  </si>
  <si>
    <t>221171_at</t>
  </si>
  <si>
    <t>CCDC30</t>
  </si>
  <si>
    <t>217868_s_at</t>
  </si>
  <si>
    <t>METTL9</t>
  </si>
  <si>
    <t>204327_s_at</t>
  </si>
  <si>
    <t>216056_at</t>
  </si>
  <si>
    <t>219206_x_at</t>
  </si>
  <si>
    <t>TMBIM4</t>
  </si>
  <si>
    <t>221857_s_at</t>
  </si>
  <si>
    <t>201893_x_at</t>
  </si>
  <si>
    <t>201095_at</t>
  </si>
  <si>
    <t>DAP</t>
  </si>
  <si>
    <t>212512_s_at</t>
  </si>
  <si>
    <t>CARM1</t>
  </si>
  <si>
    <t>201538_s_at</t>
  </si>
  <si>
    <t>204852_s_at</t>
  </si>
  <si>
    <t>PTPN7</t>
  </si>
  <si>
    <t>218663_at</t>
  </si>
  <si>
    <t>206564_at</t>
  </si>
  <si>
    <t>208596_s_at</t>
  </si>
  <si>
    <t>207574_s_at</t>
  </si>
  <si>
    <t>207902_at</t>
  </si>
  <si>
    <t>203785_s_at</t>
  </si>
  <si>
    <t>215426_at</t>
  </si>
  <si>
    <t>204342_at</t>
  </si>
  <si>
    <t>SLC25A24</t>
  </si>
  <si>
    <t>217266_at</t>
  </si>
  <si>
    <t>RPL15</t>
  </si>
  <si>
    <t>212940_at</t>
  </si>
  <si>
    <t>204553_x_at</t>
  </si>
  <si>
    <t>221006_s_at</t>
  </si>
  <si>
    <t>211718_at</t>
  </si>
  <si>
    <t>MGC2889</t>
  </si>
  <si>
    <t>208835_s_at</t>
  </si>
  <si>
    <t>221115_s_at</t>
  </si>
  <si>
    <t>LENEP</t>
  </si>
  <si>
    <t>218231_at</t>
  </si>
  <si>
    <t>NAGK</t>
  </si>
  <si>
    <t>202569_s_at</t>
  </si>
  <si>
    <t>202294_at</t>
  </si>
  <si>
    <t>206155_at</t>
  </si>
  <si>
    <t>ABCC2</t>
  </si>
  <si>
    <t>208872_s_at</t>
  </si>
  <si>
    <t>220307_at</t>
  </si>
  <si>
    <t>CD244</t>
  </si>
  <si>
    <t>217232_x_at</t>
  </si>
  <si>
    <t>218008_at</t>
  </si>
  <si>
    <t>C7orf42</t>
  </si>
  <si>
    <t>213213_at</t>
  </si>
  <si>
    <t>220335_x_at</t>
  </si>
  <si>
    <t>CES3</t>
  </si>
  <si>
    <t>212395_s_at</t>
  </si>
  <si>
    <t>215299_x_at</t>
  </si>
  <si>
    <t>208677_s_at</t>
  </si>
  <si>
    <t>BSG</t>
  </si>
  <si>
    <t>213480_at</t>
  </si>
  <si>
    <t>209223_at</t>
  </si>
  <si>
    <t>218632_at</t>
  </si>
  <si>
    <t>HECTD3</t>
  </si>
  <si>
    <t>209525_at</t>
  </si>
  <si>
    <t>200702_s_at</t>
  </si>
  <si>
    <t>217944_at</t>
  </si>
  <si>
    <t>POMGNT1</t>
  </si>
  <si>
    <t>207196_s_at</t>
  </si>
  <si>
    <t>TNIP1</t>
  </si>
  <si>
    <t>205428_s_at</t>
  </si>
  <si>
    <t>CALB2</t>
  </si>
  <si>
    <t>219338_s_at</t>
  </si>
  <si>
    <t>LRRC49</t>
  </si>
  <si>
    <t>206878_at</t>
  </si>
  <si>
    <t>DAO</t>
  </si>
  <si>
    <t>212442_s_at</t>
  </si>
  <si>
    <t>217346_at</t>
  </si>
  <si>
    <t xml:space="preserve">LOC100290509 /// LOC100293160 /// LOC126170 /// LOC131055 /// LOC342541 /// LOC390956 /// LOC401859 </t>
  </si>
  <si>
    <t>203486_s_at</t>
  </si>
  <si>
    <t>212065_s_at</t>
  </si>
  <si>
    <t>202305_s_at</t>
  </si>
  <si>
    <t>204861_s_at</t>
  </si>
  <si>
    <t>219269_at</t>
  </si>
  <si>
    <t>HMBOX1</t>
  </si>
  <si>
    <t>213145_at</t>
  </si>
  <si>
    <t>FBXL14</t>
  </si>
  <si>
    <t>212831_at</t>
  </si>
  <si>
    <t>213045_at</t>
  </si>
  <si>
    <t>MAST3</t>
  </si>
  <si>
    <t>214624_at</t>
  </si>
  <si>
    <t>UPK1A</t>
  </si>
  <si>
    <t>211143_x_at</t>
  </si>
  <si>
    <t>211936_at</t>
  </si>
  <si>
    <t>HSPA5</t>
  </si>
  <si>
    <t>34406_at</t>
  </si>
  <si>
    <t>204373_s_at</t>
  </si>
  <si>
    <t>219656_at</t>
  </si>
  <si>
    <t>PCDH12</t>
  </si>
  <si>
    <t>220309_at</t>
  </si>
  <si>
    <t>TTC22</t>
  </si>
  <si>
    <t>219142_at</t>
  </si>
  <si>
    <t>RASL11B</t>
  </si>
  <si>
    <t>215720_s_at</t>
  </si>
  <si>
    <t>221475_s_at</t>
  </si>
  <si>
    <t>209381_x_at</t>
  </si>
  <si>
    <t>221640_s_at</t>
  </si>
  <si>
    <t>218751_s_at</t>
  </si>
  <si>
    <t>FBXW7</t>
  </si>
  <si>
    <t>204107_at</t>
  </si>
  <si>
    <t>209046_s_at</t>
  </si>
  <si>
    <t>GABARAPL2</t>
  </si>
  <si>
    <t>221469_at</t>
  </si>
  <si>
    <t>GPR32</t>
  </si>
  <si>
    <t>203377_s_at</t>
  </si>
  <si>
    <t>214194_at</t>
  </si>
  <si>
    <t>209275_s_at</t>
  </si>
  <si>
    <t>CLN3</t>
  </si>
  <si>
    <t>206366_x_at</t>
  </si>
  <si>
    <t>XCL1</t>
  </si>
  <si>
    <t>202362_at</t>
  </si>
  <si>
    <t>RAP1A</t>
  </si>
  <si>
    <t>207260_at</t>
  </si>
  <si>
    <t>FEV</t>
  </si>
  <si>
    <t>208113_x_at</t>
  </si>
  <si>
    <t>PABPC3</t>
  </si>
  <si>
    <t>209912_s_at</t>
  </si>
  <si>
    <t>214550_s_at</t>
  </si>
  <si>
    <t>216032_s_at</t>
  </si>
  <si>
    <t>ERGIC3</t>
  </si>
  <si>
    <t>221476_s_at</t>
  </si>
  <si>
    <t>210242_x_at</t>
  </si>
  <si>
    <t>ST20</t>
  </si>
  <si>
    <t>201305_x_at</t>
  </si>
  <si>
    <t>213486_at</t>
  </si>
  <si>
    <t>COPG2IT1</t>
  </si>
  <si>
    <t>216091_s_at</t>
  </si>
  <si>
    <t>222054_at</t>
  </si>
  <si>
    <t>LOC728448</t>
  </si>
  <si>
    <t>202141_s_at</t>
  </si>
  <si>
    <t>208004_at</t>
  </si>
  <si>
    <t>PROL1</t>
  </si>
  <si>
    <t>217964_at</t>
  </si>
  <si>
    <t>TTC19</t>
  </si>
  <si>
    <t>212100_s_at</t>
  </si>
  <si>
    <t>213608_s_at</t>
  </si>
  <si>
    <t>SRRD</t>
  </si>
  <si>
    <t>218016_s_at</t>
  </si>
  <si>
    <t>POLR3E</t>
  </si>
  <si>
    <t>218593_at</t>
  </si>
  <si>
    <t>RBM28</t>
  </si>
  <si>
    <t>205546_s_at</t>
  </si>
  <si>
    <t>TYK2</t>
  </si>
  <si>
    <t>214323_s_at</t>
  </si>
  <si>
    <t>213671_s_at</t>
  </si>
  <si>
    <t>220684_at</t>
  </si>
  <si>
    <t>TBX21</t>
  </si>
  <si>
    <t>220790_s_at</t>
  </si>
  <si>
    <t>MS4A5</t>
  </si>
  <si>
    <t>205035_at</t>
  </si>
  <si>
    <t>CTDP1</t>
  </si>
  <si>
    <t>205335_s_at</t>
  </si>
  <si>
    <t>SRP19</t>
  </si>
  <si>
    <t>213521_at</t>
  </si>
  <si>
    <t>208126_s_at</t>
  </si>
  <si>
    <t>CYP2C18</t>
  </si>
  <si>
    <t>218666_s_at</t>
  </si>
  <si>
    <t>STX17</t>
  </si>
  <si>
    <t>219732_at</t>
  </si>
  <si>
    <t>RP11-35N6.1</t>
  </si>
  <si>
    <t>211355_x_at</t>
  </si>
  <si>
    <t>208424_s_at</t>
  </si>
  <si>
    <t>203020_at</t>
  </si>
  <si>
    <t>201450_s_at</t>
  </si>
  <si>
    <t>207922_s_at</t>
  </si>
  <si>
    <t>MAEA</t>
  </si>
  <si>
    <t>211600_at</t>
  </si>
  <si>
    <t>221889_at</t>
  </si>
  <si>
    <t>KCTD13</t>
  </si>
  <si>
    <t>210263_at</t>
  </si>
  <si>
    <t>KCNF1</t>
  </si>
  <si>
    <t>204108_at</t>
  </si>
  <si>
    <t>200090_at</t>
  </si>
  <si>
    <t>213539_at</t>
  </si>
  <si>
    <t>CD3D</t>
  </si>
  <si>
    <t>218034_at</t>
  </si>
  <si>
    <t>FIS1</t>
  </si>
  <si>
    <t>201022_s_at</t>
  </si>
  <si>
    <t>221896_s_at</t>
  </si>
  <si>
    <t>221806_s_at</t>
  </si>
  <si>
    <t>SETD5</t>
  </si>
  <si>
    <t>211400_at</t>
  </si>
  <si>
    <t>220789_s_at</t>
  </si>
  <si>
    <t>TBRG4</t>
  </si>
  <si>
    <t>204420_at</t>
  </si>
  <si>
    <t>FOSL1</t>
  </si>
  <si>
    <t>208806_at</t>
  </si>
  <si>
    <t>217626_at</t>
  </si>
  <si>
    <t>200726_at</t>
  </si>
  <si>
    <t>PPP1CC</t>
  </si>
  <si>
    <t>213622_at</t>
  </si>
  <si>
    <t>COL9A2</t>
  </si>
  <si>
    <t>213449_at</t>
  </si>
  <si>
    <t>POP1</t>
  </si>
  <si>
    <t>210328_at</t>
  </si>
  <si>
    <t>GNMT</t>
  </si>
  <si>
    <t>209664_x_at</t>
  </si>
  <si>
    <t>222277_at</t>
  </si>
  <si>
    <t>PCOTH</t>
  </si>
  <si>
    <t>209213_at</t>
  </si>
  <si>
    <t>CBR1</t>
  </si>
  <si>
    <t>205013_s_at</t>
  </si>
  <si>
    <t>ADORA2A /// CYTSA</t>
  </si>
  <si>
    <t>208702_x_at</t>
  </si>
  <si>
    <t>219327_s_at</t>
  </si>
  <si>
    <t>GPRC5C</t>
  </si>
  <si>
    <t>213009_s_at</t>
  </si>
  <si>
    <t>TRIM37</t>
  </si>
  <si>
    <t>209771_x_at</t>
  </si>
  <si>
    <t>213418_at</t>
  </si>
  <si>
    <t>221831_at</t>
  </si>
  <si>
    <t>201531_at</t>
  </si>
  <si>
    <t>ZFP36</t>
  </si>
  <si>
    <t>209940_at</t>
  </si>
  <si>
    <t>PARP3</t>
  </si>
  <si>
    <t>215452_x_at</t>
  </si>
  <si>
    <t>SUMO2 /// SUMO4</t>
  </si>
  <si>
    <t>218327_s_at</t>
  </si>
  <si>
    <t>SNAP29</t>
  </si>
  <si>
    <t>206273_at</t>
  </si>
  <si>
    <t>SLMO1</t>
  </si>
  <si>
    <t>209581_at</t>
  </si>
  <si>
    <t>PLA2G16</t>
  </si>
  <si>
    <t>201969_at</t>
  </si>
  <si>
    <t>219952_s_at</t>
  </si>
  <si>
    <t>MCOLN1</t>
  </si>
  <si>
    <t>207844_at</t>
  </si>
  <si>
    <t>IL13</t>
  </si>
  <si>
    <t>218896_s_at</t>
  </si>
  <si>
    <t>C17orf85</t>
  </si>
  <si>
    <t>212028_at</t>
  </si>
  <si>
    <t>213890_x_at</t>
  </si>
  <si>
    <t>200921_s_at</t>
  </si>
  <si>
    <t>222133_s_at</t>
  </si>
  <si>
    <t>PHF20L1</t>
  </si>
  <si>
    <t>216055_at</t>
  </si>
  <si>
    <t>207722_s_at</t>
  </si>
  <si>
    <t>BTBD2</t>
  </si>
  <si>
    <t>203195_s_at</t>
  </si>
  <si>
    <t>206184_at</t>
  </si>
  <si>
    <t>45653_at</t>
  </si>
  <si>
    <t>217729_s_at</t>
  </si>
  <si>
    <t>AES</t>
  </si>
  <si>
    <t>215817_at</t>
  </si>
  <si>
    <t>209330_s_at</t>
  </si>
  <si>
    <t>209142_s_at</t>
  </si>
  <si>
    <t>221736_at</t>
  </si>
  <si>
    <t>215186_at</t>
  </si>
  <si>
    <t>200077_s_at</t>
  </si>
  <si>
    <t>201765_s_at</t>
  </si>
  <si>
    <t>208377_s_at</t>
  </si>
  <si>
    <t>CACNA1F</t>
  </si>
  <si>
    <t>206838_at</t>
  </si>
  <si>
    <t>TBX19</t>
  </si>
  <si>
    <t>202333_s_at</t>
  </si>
  <si>
    <t>212337_at</t>
  </si>
  <si>
    <t>213941_x_at</t>
  </si>
  <si>
    <t>203182_s_at</t>
  </si>
  <si>
    <t>212777_at</t>
  </si>
  <si>
    <t>219239_s_at</t>
  </si>
  <si>
    <t>ZNF654</t>
  </si>
  <si>
    <t>220050_at</t>
  </si>
  <si>
    <t>C9orf9</t>
  </si>
  <si>
    <t>217900_at</t>
  </si>
  <si>
    <t>IARS2</t>
  </si>
  <si>
    <t>204454_at</t>
  </si>
  <si>
    <t>LDOC1</t>
  </si>
  <si>
    <t>208730_x_at</t>
  </si>
  <si>
    <t>201252_at</t>
  </si>
  <si>
    <t>PSMC4</t>
  </si>
  <si>
    <t>213955_at</t>
  </si>
  <si>
    <t>MYOZ3</t>
  </si>
  <si>
    <t>207529_at</t>
  </si>
  <si>
    <t>DEFA5</t>
  </si>
  <si>
    <t>222218_s_at</t>
  </si>
  <si>
    <t>PILRA</t>
  </si>
  <si>
    <t>214017_s_at</t>
  </si>
  <si>
    <t>219254_at</t>
  </si>
  <si>
    <t>219103_at</t>
  </si>
  <si>
    <t>205724_at</t>
  </si>
  <si>
    <t>215888_at</t>
  </si>
  <si>
    <t>218555_at</t>
  </si>
  <si>
    <t>ANAPC2</t>
  </si>
  <si>
    <t>220359_s_at</t>
  </si>
  <si>
    <t>ARPP-21</t>
  </si>
  <si>
    <t>219405_at</t>
  </si>
  <si>
    <t>TRIM68</t>
  </si>
  <si>
    <t>212161_at</t>
  </si>
  <si>
    <t>206628_at</t>
  </si>
  <si>
    <t>SLC5A1</t>
  </si>
  <si>
    <t>203235_at</t>
  </si>
  <si>
    <t>THOP1</t>
  </si>
  <si>
    <t>202253_s_at</t>
  </si>
  <si>
    <t>218470_at</t>
  </si>
  <si>
    <t>YARS2</t>
  </si>
  <si>
    <t>36552_at</t>
  </si>
  <si>
    <t>202344_at</t>
  </si>
  <si>
    <t>HSF1</t>
  </si>
  <si>
    <t>209350_s_at</t>
  </si>
  <si>
    <t>D4S234E /// GPS2</t>
  </si>
  <si>
    <t>208718_at</t>
  </si>
  <si>
    <t>212949_at</t>
  </si>
  <si>
    <t>NCAPH</t>
  </si>
  <si>
    <t>204031_s_at</t>
  </si>
  <si>
    <t>220491_at</t>
  </si>
  <si>
    <t>HAMP</t>
  </si>
  <si>
    <t>210321_at</t>
  </si>
  <si>
    <t>GZMH</t>
  </si>
  <si>
    <t>214322_at</t>
  </si>
  <si>
    <t>203678_at</t>
  </si>
  <si>
    <t>MTMR15</t>
  </si>
  <si>
    <t>208524_at</t>
  </si>
  <si>
    <t>GPR15</t>
  </si>
  <si>
    <t>203039_s_at</t>
  </si>
  <si>
    <t>NDUFS1</t>
  </si>
  <si>
    <t>212388_at</t>
  </si>
  <si>
    <t>204145_at</t>
  </si>
  <si>
    <t>FRG1</t>
  </si>
  <si>
    <t>216610_at</t>
  </si>
  <si>
    <t>200977_s_at</t>
  </si>
  <si>
    <t>205740_s_at</t>
  </si>
  <si>
    <t>RBM42</t>
  </si>
  <si>
    <t>202236_s_at</t>
  </si>
  <si>
    <t>200040_at</t>
  </si>
  <si>
    <t>205634_x_at</t>
  </si>
  <si>
    <t>ZDHHC24</t>
  </si>
  <si>
    <t>213027_at</t>
  </si>
  <si>
    <t>209138_x_at</t>
  </si>
  <si>
    <t>200940_s_at</t>
  </si>
  <si>
    <t>RERE</t>
  </si>
  <si>
    <t>220739_s_at</t>
  </si>
  <si>
    <t>CNNM3</t>
  </si>
  <si>
    <t>210752_s_at</t>
  </si>
  <si>
    <t>211102_s_at</t>
  </si>
  <si>
    <t>219816_s_at</t>
  </si>
  <si>
    <t>RBM23</t>
  </si>
  <si>
    <t>211121_s_at</t>
  </si>
  <si>
    <t>215211_at</t>
  </si>
  <si>
    <t>219527_at</t>
  </si>
  <si>
    <t>MOSC2</t>
  </si>
  <si>
    <t>213499_at</t>
  </si>
  <si>
    <t>CLCN2</t>
  </si>
  <si>
    <t>202923_s_at</t>
  </si>
  <si>
    <t>203385_at</t>
  </si>
  <si>
    <t>212391_x_at</t>
  </si>
  <si>
    <t>214057_at</t>
  </si>
  <si>
    <t>214348_at</t>
  </si>
  <si>
    <t>TACR2</t>
  </si>
  <si>
    <t>217369_at</t>
  </si>
  <si>
    <t>IGHG1 /// LOC100132941 /// LOC100289290 /// LOC100290115</t>
  </si>
  <si>
    <t>210392_x_at</t>
  </si>
  <si>
    <t>212231_at</t>
  </si>
  <si>
    <t>214436_at</t>
  </si>
  <si>
    <t>FBXL2</t>
  </si>
  <si>
    <t>215989_at</t>
  </si>
  <si>
    <t>CBX2</t>
  </si>
  <si>
    <t>211282_x_at</t>
  </si>
  <si>
    <t>218255_s_at</t>
  </si>
  <si>
    <t>FBRS</t>
  </si>
  <si>
    <t>200870_at</t>
  </si>
  <si>
    <t>STRAP</t>
  </si>
  <si>
    <t>208151_x_at</t>
  </si>
  <si>
    <t>211450_s_at</t>
  </si>
  <si>
    <t>213548_s_at</t>
  </si>
  <si>
    <t>201515_s_at</t>
  </si>
  <si>
    <t>221075_s_at</t>
  </si>
  <si>
    <t>211989_at</t>
  </si>
  <si>
    <t>211271_x_at</t>
  </si>
  <si>
    <t>203046_s_at</t>
  </si>
  <si>
    <t>219396_s_at</t>
  </si>
  <si>
    <t>NEIL1</t>
  </si>
  <si>
    <t>203579_s_at</t>
  </si>
  <si>
    <t>218556_at</t>
  </si>
  <si>
    <t>ORMDL2</t>
  </si>
  <si>
    <t>207915_at</t>
  </si>
  <si>
    <t>LOC100293553</t>
  </si>
  <si>
    <t>217258_x_at</t>
  </si>
  <si>
    <t>209781_s_at</t>
  </si>
  <si>
    <t>KHDRBS3</t>
  </si>
  <si>
    <t>214524_at</t>
  </si>
  <si>
    <t>GHRH</t>
  </si>
  <si>
    <t>219528_s_at</t>
  </si>
  <si>
    <t>BCL11B</t>
  </si>
  <si>
    <t>214777_at</t>
  </si>
  <si>
    <t>IGKV4-1</t>
  </si>
  <si>
    <t>203582_s_at</t>
  </si>
  <si>
    <t>217492_s_at</t>
  </si>
  <si>
    <t>PTEN /// PTENP1</t>
  </si>
  <si>
    <t>214552_s_at</t>
  </si>
  <si>
    <t>RABEP1</t>
  </si>
  <si>
    <t>203278_s_at</t>
  </si>
  <si>
    <t>PHF21A</t>
  </si>
  <si>
    <t>222248_s_at</t>
  </si>
  <si>
    <t>SIRT4</t>
  </si>
  <si>
    <t>214127_s_at</t>
  </si>
  <si>
    <t>204152_s_at</t>
  </si>
  <si>
    <t>214671_s_at</t>
  </si>
  <si>
    <t>218183_at</t>
  </si>
  <si>
    <t>C16orf5</t>
  </si>
  <si>
    <t>209254_at</t>
  </si>
  <si>
    <t>218393_s_at</t>
  </si>
  <si>
    <t>SMU1</t>
  </si>
  <si>
    <t>206987_x_at</t>
  </si>
  <si>
    <t>215412_x_at</t>
  </si>
  <si>
    <t>PMS2L2</t>
  </si>
  <si>
    <t>201778_s_at</t>
  </si>
  <si>
    <t>202624_s_at</t>
  </si>
  <si>
    <t>213687_s_at</t>
  </si>
  <si>
    <t>222028_at</t>
  </si>
  <si>
    <t>ZNF45</t>
  </si>
  <si>
    <t>204246_s_at</t>
  </si>
  <si>
    <t>DCTN3</t>
  </si>
  <si>
    <t>217805_at</t>
  </si>
  <si>
    <t>213375_s_at</t>
  </si>
  <si>
    <t>214182_at</t>
  </si>
  <si>
    <t>203532_x_at</t>
  </si>
  <si>
    <t>213283_s_at</t>
  </si>
  <si>
    <t>SALL2</t>
  </si>
  <si>
    <t>216958_s_at</t>
  </si>
  <si>
    <t>209833_at</t>
  </si>
  <si>
    <t>CRADD</t>
  </si>
  <si>
    <t>205465_x_at</t>
  </si>
  <si>
    <t>209018_s_at</t>
  </si>
  <si>
    <t>219308_s_at</t>
  </si>
  <si>
    <t>AK5</t>
  </si>
  <si>
    <t>209480_at</t>
  </si>
  <si>
    <t>213176_s_at</t>
  </si>
  <si>
    <t>220011_at</t>
  </si>
  <si>
    <t>C1orf135</t>
  </si>
  <si>
    <t>205547_s_at</t>
  </si>
  <si>
    <t>TAGLN</t>
  </si>
  <si>
    <t>205815_at</t>
  </si>
  <si>
    <t>REG3A</t>
  </si>
  <si>
    <t>200010_at</t>
  </si>
  <si>
    <t>RPL11</t>
  </si>
  <si>
    <t>201725_at</t>
  </si>
  <si>
    <t>CDC123</t>
  </si>
  <si>
    <t>204648_at</t>
  </si>
  <si>
    <t>214768_x_at</t>
  </si>
  <si>
    <t>219723_x_at</t>
  </si>
  <si>
    <t>AGPAT3</t>
  </si>
  <si>
    <t>209204_at</t>
  </si>
  <si>
    <t>215310_at</t>
  </si>
  <si>
    <t>213632_at</t>
  </si>
  <si>
    <t>206042_x_at</t>
  </si>
  <si>
    <t>206976_s_at</t>
  </si>
  <si>
    <t>201676_x_at</t>
  </si>
  <si>
    <t>214063_s_at</t>
  </si>
  <si>
    <t>220244_at</t>
  </si>
  <si>
    <t>LOH3CR2A</t>
  </si>
  <si>
    <t>219264_s_at</t>
  </si>
  <si>
    <t>PPP2R3B</t>
  </si>
  <si>
    <t>201636_at</t>
  </si>
  <si>
    <t>201673_s_at</t>
  </si>
  <si>
    <t>GYS1</t>
  </si>
  <si>
    <t>203212_s_at</t>
  </si>
  <si>
    <t>212999_x_at</t>
  </si>
  <si>
    <t>202697_at</t>
  </si>
  <si>
    <t>209092_s_at</t>
  </si>
  <si>
    <t>GLOD4</t>
  </si>
  <si>
    <t>204382_at</t>
  </si>
  <si>
    <t>NAT9</t>
  </si>
  <si>
    <t>216919_at</t>
  </si>
  <si>
    <t>217924_at</t>
  </si>
  <si>
    <t>206804_at</t>
  </si>
  <si>
    <t>CD3G</t>
  </si>
  <si>
    <t>208008_at</t>
  </si>
  <si>
    <t>TBC1D29</t>
  </si>
  <si>
    <t>209074_s_at</t>
  </si>
  <si>
    <t>57739_at</t>
  </si>
  <si>
    <t>211798_x_at</t>
  </si>
  <si>
    <t>202001_s_at</t>
  </si>
  <si>
    <t>222183_x_at</t>
  </si>
  <si>
    <t>202956_at</t>
  </si>
  <si>
    <t>201351_s_at</t>
  </si>
  <si>
    <t>202247_s_at</t>
  </si>
  <si>
    <t>214677_x_at</t>
  </si>
  <si>
    <t>205574_x_at</t>
  </si>
  <si>
    <t>211255_x_at</t>
  </si>
  <si>
    <t>221912_s_at</t>
  </si>
  <si>
    <t>218271_s_at</t>
  </si>
  <si>
    <t>PARL</t>
  </si>
  <si>
    <t>218157_x_at</t>
  </si>
  <si>
    <t>CDC42SE1</t>
  </si>
  <si>
    <t>212808_at</t>
  </si>
  <si>
    <t>213528_at</t>
  </si>
  <si>
    <t>C1orf156</t>
  </si>
  <si>
    <t>211746_x_at</t>
  </si>
  <si>
    <t>219964_at</t>
  </si>
  <si>
    <t>ST7L</t>
  </si>
  <si>
    <t>208330_at</t>
  </si>
  <si>
    <t>ALX4</t>
  </si>
  <si>
    <t>212552_at</t>
  </si>
  <si>
    <t>219428_s_at</t>
  </si>
  <si>
    <t>PXMP4</t>
  </si>
  <si>
    <t>208952_s_at</t>
  </si>
  <si>
    <t>204503_at</t>
  </si>
  <si>
    <t>EVPL</t>
  </si>
  <si>
    <t>212081_x_at</t>
  </si>
  <si>
    <t>215889_at</t>
  </si>
  <si>
    <t>221875_x_at</t>
  </si>
  <si>
    <t>203603_s_at</t>
  </si>
  <si>
    <t>ZEB2</t>
  </si>
  <si>
    <t>212030_at</t>
  </si>
  <si>
    <t>207858_s_at</t>
  </si>
  <si>
    <t>220712_at</t>
  </si>
  <si>
    <t>C8orf60</t>
  </si>
  <si>
    <t>207967_at</t>
  </si>
  <si>
    <t>216282_x_at</t>
  </si>
  <si>
    <t>LOC100289122 /// POLR2C</t>
  </si>
  <si>
    <t>210317_s_at</t>
  </si>
  <si>
    <t>206379_at</t>
  </si>
  <si>
    <t>EYA3</t>
  </si>
  <si>
    <t>212804_s_at</t>
  </si>
  <si>
    <t>221299_at</t>
  </si>
  <si>
    <t>GPR173</t>
  </si>
  <si>
    <t>221567_at</t>
  </si>
  <si>
    <t>210974_s_at</t>
  </si>
  <si>
    <t>215121_x_at</t>
  </si>
  <si>
    <t>204511_at</t>
  </si>
  <si>
    <t>FARP2</t>
  </si>
  <si>
    <t>206513_at</t>
  </si>
  <si>
    <t>AIM2</t>
  </si>
  <si>
    <t>212891_s_at</t>
  </si>
  <si>
    <t>211232_x_at</t>
  </si>
  <si>
    <t>210859_x_at</t>
  </si>
  <si>
    <t>217016_x_at</t>
  </si>
  <si>
    <t>TMEM212</t>
  </si>
  <si>
    <t>201203_s_at</t>
  </si>
  <si>
    <t xml:space="preserve">    NaN</t>
  </si>
  <si>
    <t>201228_s_at</t>
  </si>
  <si>
    <t>202046_s_at</t>
  </si>
  <si>
    <t>203002_at</t>
  </si>
  <si>
    <t>AMOTL2</t>
  </si>
  <si>
    <t>203141_s_at</t>
  </si>
  <si>
    <t>203929_s_at</t>
  </si>
  <si>
    <t>204577_s_at</t>
  </si>
  <si>
    <t>204750_s_at</t>
  </si>
  <si>
    <t>DSC2</t>
  </si>
  <si>
    <t>205248_at</t>
  </si>
  <si>
    <t>DOPEY2</t>
  </si>
  <si>
    <t>205282_at</t>
  </si>
  <si>
    <t>206190_at</t>
  </si>
  <si>
    <t>GPR17</t>
  </si>
  <si>
    <t>206340_at</t>
  </si>
  <si>
    <t>NR1H4</t>
  </si>
  <si>
    <t>206423_at</t>
  </si>
  <si>
    <t>ANGPTL7</t>
  </si>
  <si>
    <t>206857_s_at</t>
  </si>
  <si>
    <t>FKBP1B</t>
  </si>
  <si>
    <t>206964_at</t>
  </si>
  <si>
    <t>NAT8B</t>
  </si>
  <si>
    <t>207002_s_at</t>
  </si>
  <si>
    <t>207019_s_at</t>
  </si>
  <si>
    <t>AKAP4</t>
  </si>
  <si>
    <t>207299_s_at</t>
  </si>
  <si>
    <t>207577_at</t>
  </si>
  <si>
    <t>207682_s_at</t>
  </si>
  <si>
    <t>207797_s_at</t>
  </si>
  <si>
    <t>LRP2BP</t>
  </si>
  <si>
    <t>208064_s_at</t>
  </si>
  <si>
    <t>ST8SIA3</t>
  </si>
  <si>
    <t>208346_at</t>
  </si>
  <si>
    <t>PPBPL2</t>
  </si>
  <si>
    <t>208478_s_at</t>
  </si>
  <si>
    <t>209243_s_at</t>
  </si>
  <si>
    <t>PEG3 /// ZIM2</t>
  </si>
  <si>
    <t>210179_at</t>
  </si>
  <si>
    <t>KCNJ13</t>
  </si>
  <si>
    <t>210595_at</t>
  </si>
  <si>
    <t>210659_at</t>
  </si>
  <si>
    <t>211499_s_at</t>
  </si>
  <si>
    <t>211774_s_at</t>
  </si>
  <si>
    <t>MMACHC</t>
  </si>
  <si>
    <t>212524_x_at</t>
  </si>
  <si>
    <t>213993_at</t>
  </si>
  <si>
    <t>215695_s_at</t>
  </si>
  <si>
    <t>215769_at</t>
  </si>
  <si>
    <t>215859_at</t>
  </si>
  <si>
    <t>215912_at</t>
  </si>
  <si>
    <t>216193_at</t>
  </si>
  <si>
    <t>216213_at</t>
  </si>
  <si>
    <t>216884_at</t>
  </si>
  <si>
    <t>216904_at</t>
  </si>
  <si>
    <t>216956_s_at</t>
  </si>
  <si>
    <t>217010_s_at</t>
  </si>
  <si>
    <t>217069_at</t>
  </si>
  <si>
    <t>217316_at</t>
  </si>
  <si>
    <t>OR7A10</t>
  </si>
  <si>
    <t>217661_x_at</t>
  </si>
  <si>
    <t>SIX5</t>
  </si>
  <si>
    <t>217668_at</t>
  </si>
  <si>
    <t>C22orf36</t>
  </si>
  <si>
    <t>217764_s_at</t>
  </si>
  <si>
    <t>218824_at</t>
  </si>
  <si>
    <t>PNMAL1</t>
  </si>
  <si>
    <t>218833_at</t>
  </si>
  <si>
    <t>ZAK</t>
  </si>
  <si>
    <t>218897_at</t>
  </si>
  <si>
    <t>TMEM177</t>
  </si>
  <si>
    <t>219494_at</t>
  </si>
  <si>
    <t>RAD54B</t>
  </si>
  <si>
    <t>219597_s_at</t>
  </si>
  <si>
    <t>DUOX1</t>
  </si>
  <si>
    <t>219756_s_at</t>
  </si>
  <si>
    <t>POF1B</t>
  </si>
  <si>
    <t>219985_at</t>
  </si>
  <si>
    <t>HS3ST3A1</t>
  </si>
  <si>
    <t>220415_at</t>
  </si>
  <si>
    <t>TNNI3K</t>
  </si>
  <si>
    <t>220539_at</t>
  </si>
  <si>
    <t>C10orf92</t>
  </si>
  <si>
    <t>220579_at</t>
  </si>
  <si>
    <t>FLJ14100</t>
  </si>
  <si>
    <t>220773_s_at</t>
  </si>
  <si>
    <t>GPHN</t>
  </si>
  <si>
    <t>221143_at</t>
  </si>
  <si>
    <t>RPA4</t>
  </si>
  <si>
    <t>222019_at</t>
  </si>
  <si>
    <t>222208_s_at</t>
  </si>
  <si>
    <t>POLR2J4</t>
  </si>
  <si>
    <t>ANOVA box plots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</si>
</sst>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1"/>
    <xf numFmtId="11" fontId="0" fillId="0" borderId="0" xfId="0" applyNumberFormat="1"/>
    <xf numFmtId="16" fontId="0" fillId="0" borderId="0" xfId="0" applyNumberForma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068"/>
  <sheetViews>
    <sheetView tabSelected="1" workbookViewId="0">
      <selection activeCell="H17" sqref="H17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2</v>
      </c>
      <c r="E1" t="s">
        <v>2</v>
      </c>
      <c r="F1" t="s">
        <v>3</v>
      </c>
      <c r="G1" t="s">
        <v>4</v>
      </c>
      <c r="H1" t="s">
        <v>28483</v>
      </c>
      <c r="I1" t="s">
        <v>5</v>
      </c>
      <c r="J1" t="s">
        <v>6</v>
      </c>
      <c r="K1" t="s">
        <v>7</v>
      </c>
      <c r="L1" t="s">
        <v>6</v>
      </c>
      <c r="M1" t="s">
        <v>8</v>
      </c>
      <c r="N1" t="s">
        <v>6</v>
      </c>
    </row>
    <row r="2" spans="1:14" x14ac:dyDescent="0.25">
      <c r="A2" t="s">
        <v>9</v>
      </c>
      <c r="B2" t="s">
        <v>10</v>
      </c>
      <c r="C2" s="1" t="str">
        <f>HYPERLINK("http://www.genecards.org/cgi-bin/carddisp.pl?gene=PBX1","GeneCards")</f>
        <v>GeneCards</v>
      </c>
      <c r="D2" s="1" t="str">
        <f>HYPERLINK("http://genome-euro.ucsc.edu/cgi-bin/hgTracks?position=212148_at","UCSC")</f>
        <v>UCSC</v>
      </c>
      <c r="E2" s="1" t="str">
        <f>HYPERLINK("http://www.ncbi.nlm.nih.gov/gene/?term=PBX1","NCBI")</f>
        <v>NCBI</v>
      </c>
      <c r="F2" s="2">
        <v>2.2999999999999999E-15</v>
      </c>
      <c r="G2" s="2">
        <v>3.7999999999999998E-11</v>
      </c>
      <c r="H2" s="1" t="str">
        <f>HYPERLINK("http://www.weizmann.ac.il/complex/compphys/software/geview/data/figures/212148_at.png","Figure")</f>
        <v>Figure</v>
      </c>
      <c r="I2">
        <v>20.3</v>
      </c>
      <c r="J2" s="2">
        <v>1.9000000000000001E-9</v>
      </c>
      <c r="K2">
        <v>21</v>
      </c>
      <c r="L2" s="2">
        <v>1.9000000000000001E-9</v>
      </c>
      <c r="M2">
        <v>1.03</v>
      </c>
      <c r="N2">
        <v>0.9</v>
      </c>
    </row>
    <row r="3" spans="1:14" x14ac:dyDescent="0.25">
      <c r="A3" t="s">
        <v>11</v>
      </c>
      <c r="B3" t="s">
        <v>10</v>
      </c>
      <c r="C3" s="1" t="str">
        <f>HYPERLINK("http://www.genecards.org/cgi-bin/carddisp.pl?gene=PBX1","GeneCards")</f>
        <v>GeneCards</v>
      </c>
      <c r="D3" s="1" t="str">
        <f>HYPERLINK("http://genome-euro.ucsc.edu/cgi-bin/hgTracks?position=212151_at","UCSC")</f>
        <v>UCSC</v>
      </c>
      <c r="E3" s="1" t="str">
        <f>HYPERLINK("http://www.ncbi.nlm.nih.gov/gene/?term=PBX1","NCBI")</f>
        <v>NCBI</v>
      </c>
      <c r="F3" s="2">
        <v>3.5000000000000002E-13</v>
      </c>
      <c r="G3" s="2">
        <v>2.8999999999999999E-9</v>
      </c>
      <c r="H3" s="1" t="str">
        <f>HYPERLINK("http://www.weizmann.ac.il/complex/compphys/software/geview/data/figures/212151_at.png","Figure")</f>
        <v>Figure</v>
      </c>
      <c r="I3">
        <v>25.2</v>
      </c>
      <c r="J3" s="2">
        <v>1.9000000000000001E-9</v>
      </c>
      <c r="K3">
        <v>20.6</v>
      </c>
      <c r="L3" s="2">
        <v>1.9000000000000001E-9</v>
      </c>
      <c r="M3">
        <v>0.81699999999999995</v>
      </c>
      <c r="N3">
        <v>0.2</v>
      </c>
    </row>
    <row r="4" spans="1:14" x14ac:dyDescent="0.25">
      <c r="A4" t="s">
        <v>12</v>
      </c>
      <c r="B4" t="s">
        <v>13</v>
      </c>
      <c r="C4" s="1" t="str">
        <f>HYPERLINK("http://www.genecards.org/cgi-bin/carddisp.pl?gene=SOCS2","GeneCards")</f>
        <v>GeneCards</v>
      </c>
      <c r="D4" s="1" t="str">
        <f>HYPERLINK("http://genome-euro.ucsc.edu/cgi-bin/hgTracks?position=203373_at","UCSC")</f>
        <v>UCSC</v>
      </c>
      <c r="E4" s="1" t="str">
        <f>HYPERLINK("http://www.ncbi.nlm.nih.gov/gene/?term=SOCS2","NCBI")</f>
        <v>NCBI</v>
      </c>
      <c r="F4" s="2">
        <v>5.9000000000000003E-10</v>
      </c>
      <c r="G4" s="2">
        <v>3.4000000000000001E-6</v>
      </c>
      <c r="H4" s="1" t="str">
        <f>HYPERLINK("http://www.weizmann.ac.il/complex/compphys/software/geview/data/figures/203373_at.png","Figure")</f>
        <v>Figure</v>
      </c>
      <c r="I4">
        <v>4.4499999999999998E-2</v>
      </c>
      <c r="J4" s="2">
        <v>9.5999999999999999E-9</v>
      </c>
      <c r="K4">
        <v>3.8899999999999997E-2</v>
      </c>
      <c r="L4" s="2">
        <v>2.7000000000000002E-9</v>
      </c>
      <c r="M4">
        <v>0.874</v>
      </c>
      <c r="N4">
        <v>0.79</v>
      </c>
    </row>
    <row r="5" spans="1:14" x14ac:dyDescent="0.25">
      <c r="A5" t="s">
        <v>14</v>
      </c>
      <c r="B5" t="s">
        <v>15</v>
      </c>
      <c r="C5" s="1" t="str">
        <f>HYPERLINK("http://www.genecards.org/cgi-bin/carddisp.pl?gene=STK32B","GeneCards")</f>
        <v>GeneCards</v>
      </c>
      <c r="D5" s="1" t="str">
        <f>HYPERLINK("http://genome-euro.ucsc.edu/cgi-bin/hgTracks?position=219686_at","UCSC")</f>
        <v>UCSC</v>
      </c>
      <c r="E5" s="1" t="str">
        <f>HYPERLINK("http://www.ncbi.nlm.nih.gov/gene/?term=STK32B","NCBI")</f>
        <v>NCBI</v>
      </c>
      <c r="F5" s="2">
        <v>3.6E-9</v>
      </c>
      <c r="G5" s="2">
        <v>1.5E-5</v>
      </c>
      <c r="H5" s="1" t="str">
        <f>HYPERLINK("http://www.weizmann.ac.il/complex/compphys/software/geview/data/figures/219686_at.png","Figure")</f>
        <v>Figure</v>
      </c>
      <c r="I5">
        <v>0.316</v>
      </c>
      <c r="J5" s="2">
        <v>9.9000000000000005E-7</v>
      </c>
      <c r="K5">
        <v>0.19</v>
      </c>
      <c r="L5" s="2">
        <v>4.2999999999999996E-9</v>
      </c>
      <c r="M5">
        <v>0.60199999999999998</v>
      </c>
      <c r="N5">
        <v>1.8E-3</v>
      </c>
    </row>
    <row r="6" spans="1:14" x14ac:dyDescent="0.25">
      <c r="A6" t="s">
        <v>16</v>
      </c>
      <c r="B6" t="s">
        <v>17</v>
      </c>
      <c r="C6" s="1" t="str">
        <f>HYPERLINK("http://www.genecards.org/cgi-bin/carddisp.pl?gene=C13orf18","GeneCards")</f>
        <v>GeneCards</v>
      </c>
      <c r="D6" s="1" t="str">
        <f>HYPERLINK("http://genome-euro.ucsc.edu/cgi-bin/hgTracks?position=44790_s_at","UCSC")</f>
        <v>UCSC</v>
      </c>
      <c r="E6" s="1" t="str">
        <f>HYPERLINK("http://www.ncbi.nlm.nih.gov/gene/?term=C13orf18","NCBI")</f>
        <v>NCBI</v>
      </c>
      <c r="F6" s="2">
        <v>7.8999999999999996E-9</v>
      </c>
      <c r="G6" s="2">
        <v>2.1999999999999999E-5</v>
      </c>
      <c r="H6" s="1" t="str">
        <f>HYPERLINK("http://www.weizmann.ac.il/complex/compphys/software/geview/data/figures/44790_s_at.png","Figure")</f>
        <v>Figure</v>
      </c>
      <c r="I6">
        <v>0.28399999999999997</v>
      </c>
      <c r="J6">
        <v>2.0000000000000001E-4</v>
      </c>
      <c r="K6">
        <v>6.0499999999999998E-2</v>
      </c>
      <c r="L6" s="2">
        <v>7.4000000000000001E-9</v>
      </c>
      <c r="M6">
        <v>0.21299999999999999</v>
      </c>
      <c r="N6" s="2">
        <v>1.2E-5</v>
      </c>
    </row>
    <row r="7" spans="1:14" x14ac:dyDescent="0.25">
      <c r="A7" t="s">
        <v>18</v>
      </c>
      <c r="B7" t="s">
        <v>19</v>
      </c>
      <c r="C7" s="1" t="str">
        <f>HYPERLINK("http://www.genecards.org/cgi-bin/carddisp.pl?gene=PLVAP","GeneCards")</f>
        <v>GeneCards</v>
      </c>
      <c r="D7" s="1" t="str">
        <f>HYPERLINK("http://genome-euro.ucsc.edu/cgi-bin/hgTracks?position=221529_s_at","UCSC")</f>
        <v>UCSC</v>
      </c>
      <c r="E7" s="1" t="str">
        <f>HYPERLINK("http://www.ncbi.nlm.nih.gov/gene/?term=PLVAP","NCBI")</f>
        <v>NCBI</v>
      </c>
      <c r="F7" s="2">
        <v>7.8999999999999996E-9</v>
      </c>
      <c r="G7" s="2">
        <v>2.1999999999999999E-5</v>
      </c>
      <c r="H7" s="1" t="str">
        <f>HYPERLINK("http://www.weizmann.ac.il/complex/compphys/software/geview/data/figures/221529_s_at.png","Figure")</f>
        <v>Figure</v>
      </c>
      <c r="I7">
        <v>0.38500000000000001</v>
      </c>
      <c r="J7" s="2">
        <v>3.2000000000000002E-8</v>
      </c>
      <c r="K7">
        <v>0.998</v>
      </c>
      <c r="L7">
        <v>1</v>
      </c>
      <c r="M7">
        <v>2.59</v>
      </c>
      <c r="N7" s="2">
        <v>1.4999999999999999E-8</v>
      </c>
    </row>
    <row r="8" spans="1:14" x14ac:dyDescent="0.25">
      <c r="A8" t="s">
        <v>20</v>
      </c>
      <c r="B8" t="s">
        <v>21</v>
      </c>
      <c r="C8" s="1" t="str">
        <f>HYPERLINK("http://www.genecards.org/cgi-bin/carddisp.pl?gene=SLAMF1","GeneCards")</f>
        <v>GeneCards</v>
      </c>
      <c r="D8" s="1" t="str">
        <f>HYPERLINK("http://genome-euro.ucsc.edu/cgi-bin/hgTracks?position=206181_at","UCSC")</f>
        <v>UCSC</v>
      </c>
      <c r="E8" s="1" t="str">
        <f>HYPERLINK("http://www.ncbi.nlm.nih.gov/gene/?term=SLAMF1","NCBI")</f>
        <v>NCBI</v>
      </c>
      <c r="F8" s="2">
        <v>2.7E-8</v>
      </c>
      <c r="G8" s="2">
        <v>5.8E-5</v>
      </c>
      <c r="H8" s="1" t="str">
        <f>HYPERLINK("http://www.weizmann.ac.il/complex/compphys/software/geview/data/figures/206181_at.png","Figure")</f>
        <v>Figure</v>
      </c>
      <c r="I8">
        <v>3.48</v>
      </c>
      <c r="J8" s="2">
        <v>2.2999999999999999E-7</v>
      </c>
      <c r="K8">
        <v>3.46</v>
      </c>
      <c r="L8" s="2">
        <v>4.9000000000000002E-8</v>
      </c>
      <c r="M8">
        <v>0.996</v>
      </c>
      <c r="N8">
        <v>1</v>
      </c>
    </row>
    <row r="9" spans="1:14" x14ac:dyDescent="0.25">
      <c r="A9" t="s">
        <v>22</v>
      </c>
      <c r="B9" t="s">
        <v>23</v>
      </c>
      <c r="C9" s="1" t="str">
        <f>HYPERLINK("http://www.genecards.org/cgi-bin/carddisp.pl?gene=CYB5A","GeneCards")</f>
        <v>GeneCards</v>
      </c>
      <c r="D9" s="1" t="str">
        <f>HYPERLINK("http://genome-euro.ucsc.edu/cgi-bin/hgTracks?position=215726_s_at","UCSC")</f>
        <v>UCSC</v>
      </c>
      <c r="E9" s="1" t="str">
        <f>HYPERLINK("http://www.ncbi.nlm.nih.gov/gene/?term=CYB5A","NCBI")</f>
        <v>NCBI</v>
      </c>
      <c r="F9" s="2">
        <v>2.4999999999999999E-8</v>
      </c>
      <c r="G9" s="2">
        <v>5.8E-5</v>
      </c>
      <c r="H9" s="1" t="str">
        <f>HYPERLINK("http://www.weizmann.ac.il/complex/compphys/software/geview/data/figures/215726_s_at.png","Figure")</f>
        <v>Figure</v>
      </c>
      <c r="I9">
        <v>0.13900000000000001</v>
      </c>
      <c r="J9" s="2">
        <v>1.1999999999999999E-7</v>
      </c>
      <c r="K9">
        <v>1.07</v>
      </c>
      <c r="L9">
        <v>0.9</v>
      </c>
      <c r="M9">
        <v>7.7</v>
      </c>
      <c r="N9" s="2">
        <v>3.8000000000000003E-8</v>
      </c>
    </row>
    <row r="10" spans="1:14" x14ac:dyDescent="0.25">
      <c r="A10" t="s">
        <v>24</v>
      </c>
      <c r="B10" t="s">
        <v>25</v>
      </c>
      <c r="C10" s="1" t="str">
        <f>HYPERLINK("http://www.genecards.org/cgi-bin/carddisp.pl?gene=APAF1","GeneCards")</f>
        <v>GeneCards</v>
      </c>
      <c r="D10" s="1" t="str">
        <f>HYPERLINK("http://genome-euro.ucsc.edu/cgi-bin/hgTracks?position=204859_s_at","UCSC")</f>
        <v>UCSC</v>
      </c>
      <c r="E10" s="1" t="str">
        <f>HYPERLINK("http://www.ncbi.nlm.nih.gov/gene/?term=APAF1","NCBI")</f>
        <v>NCBI</v>
      </c>
      <c r="F10" s="2">
        <v>5.7000000000000001E-8</v>
      </c>
      <c r="G10" s="2">
        <v>9.2E-5</v>
      </c>
      <c r="H10" s="1" t="str">
        <f>HYPERLINK("http://www.weizmann.ac.il/complex/compphys/software/geview/data/figures/204859_s_at.png","Figure")</f>
        <v>Figure</v>
      </c>
      <c r="I10">
        <v>0.64600000000000002</v>
      </c>
      <c r="J10" s="2">
        <v>2.2000000000000001E-7</v>
      </c>
      <c r="K10">
        <v>1</v>
      </c>
      <c r="L10">
        <v>1</v>
      </c>
      <c r="M10">
        <v>1.55</v>
      </c>
      <c r="N10" s="2">
        <v>9.8000000000000004E-8</v>
      </c>
    </row>
    <row r="11" spans="1:14" x14ac:dyDescent="0.25">
      <c r="A11" t="s">
        <v>26</v>
      </c>
      <c r="B11" t="s">
        <v>27</v>
      </c>
      <c r="C11" s="1" t="str">
        <f>HYPERLINK("http://www.genecards.org/cgi-bin/carddisp.pl?gene=ACSL5","GeneCards")</f>
        <v>GeneCards</v>
      </c>
      <c r="D11" s="1" t="str">
        <f>HYPERLINK("http://genome-euro.ucsc.edu/cgi-bin/hgTracks?position=218322_s_at","UCSC")</f>
        <v>UCSC</v>
      </c>
      <c r="E11" s="1" t="str">
        <f>HYPERLINK("http://www.ncbi.nlm.nih.gov/gene/?term=ACSL5","NCBI")</f>
        <v>NCBI</v>
      </c>
      <c r="F11" s="2">
        <v>5.9999999999999995E-8</v>
      </c>
      <c r="G11" s="2">
        <v>9.2E-5</v>
      </c>
      <c r="H11" s="1" t="str">
        <f>HYPERLINK("http://www.weizmann.ac.il/complex/compphys/software/geview/data/figures/218322_s_at.png","Figure")</f>
        <v>Figure</v>
      </c>
      <c r="I11">
        <v>0.42699999999999999</v>
      </c>
      <c r="J11" s="2">
        <v>5.5999999999999999E-8</v>
      </c>
      <c r="K11">
        <v>0.80300000000000005</v>
      </c>
      <c r="L11">
        <v>9.1000000000000004E-3</v>
      </c>
      <c r="M11">
        <v>1.88</v>
      </c>
      <c r="N11" s="2">
        <v>8.0999999999999997E-7</v>
      </c>
    </row>
    <row r="12" spans="1:14" x14ac:dyDescent="0.25">
      <c r="A12" t="s">
        <v>28</v>
      </c>
      <c r="B12" t="s">
        <v>17</v>
      </c>
      <c r="C12" s="1" t="str">
        <f>HYPERLINK("http://www.genecards.org/cgi-bin/carddisp.pl?gene=C13orf18","GeneCards")</f>
        <v>GeneCards</v>
      </c>
      <c r="D12" s="1" t="str">
        <f>HYPERLINK("http://genome-euro.ucsc.edu/cgi-bin/hgTracks?position=219471_at","UCSC")</f>
        <v>UCSC</v>
      </c>
      <c r="E12" s="1" t="str">
        <f>HYPERLINK("http://www.ncbi.nlm.nih.gov/gene/?term=C13orf18","NCBI")</f>
        <v>NCBI</v>
      </c>
      <c r="F12" s="2">
        <v>5.1E-8</v>
      </c>
      <c r="G12" s="2">
        <v>9.2E-5</v>
      </c>
      <c r="H12" s="1" t="str">
        <f>HYPERLINK("http://www.weizmann.ac.il/complex/compphys/software/geview/data/figures/219471_at.png","Figure")</f>
        <v>Figure</v>
      </c>
      <c r="I12">
        <v>0.44</v>
      </c>
      <c r="J12">
        <v>4.1000000000000003E-3</v>
      </c>
      <c r="K12">
        <v>0.109</v>
      </c>
      <c r="L12" s="2">
        <v>4.3999999999999997E-8</v>
      </c>
      <c r="M12">
        <v>0.248</v>
      </c>
      <c r="N12" s="2">
        <v>1.8E-5</v>
      </c>
    </row>
    <row r="13" spans="1:14" x14ac:dyDescent="0.25">
      <c r="A13" t="s">
        <v>29</v>
      </c>
      <c r="B13" t="s">
        <v>30</v>
      </c>
      <c r="C13" s="1" t="str">
        <f>HYPERLINK("http://www.genecards.org/cgi-bin/carddisp.pl?gene=PDXK","GeneCards")</f>
        <v>GeneCards</v>
      </c>
      <c r="D13" s="1" t="str">
        <f>HYPERLINK("http://genome-euro.ucsc.edu/cgi-bin/hgTracks?position=202671_s_at","UCSC")</f>
        <v>UCSC</v>
      </c>
      <c r="E13" s="1" t="str">
        <f>HYPERLINK("http://www.ncbi.nlm.nih.gov/gene/?term=PDXK","NCBI")</f>
        <v>NCBI</v>
      </c>
      <c r="F13" s="2">
        <v>1.1999999999999999E-7</v>
      </c>
      <c r="G13">
        <v>1.4999999999999999E-4</v>
      </c>
      <c r="H13" s="1" t="str">
        <f>HYPERLINK("http://www.weizmann.ac.il/complex/compphys/software/geview/data/figures/202671_s_at.png","Figure")</f>
        <v>Figure</v>
      </c>
      <c r="I13">
        <v>0.43</v>
      </c>
      <c r="J13" s="2">
        <v>4.7999999999999996E-7</v>
      </c>
      <c r="K13">
        <v>1.01</v>
      </c>
      <c r="L13">
        <v>0.99</v>
      </c>
      <c r="M13">
        <v>2.35</v>
      </c>
      <c r="N13" s="2">
        <v>1.9000000000000001E-7</v>
      </c>
    </row>
    <row r="14" spans="1:14" x14ac:dyDescent="0.25">
      <c r="A14" t="s">
        <v>31</v>
      </c>
      <c r="B14" t="s">
        <v>32</v>
      </c>
      <c r="C14" s="1" t="str">
        <f>HYPERLINK("http://www.genecards.org/cgi-bin/carddisp.pl?gene=HHEX","GeneCards")</f>
        <v>GeneCards</v>
      </c>
      <c r="D14" s="1" t="str">
        <f>HYPERLINK("http://genome-euro.ucsc.edu/cgi-bin/hgTracks?position=215933_s_at","UCSC")</f>
        <v>UCSC</v>
      </c>
      <c r="E14" s="1" t="str">
        <f>HYPERLINK("http://www.ncbi.nlm.nih.gov/gene/?term=HHEX","NCBI")</f>
        <v>NCBI</v>
      </c>
      <c r="F14" s="2">
        <v>1.1999999999999999E-7</v>
      </c>
      <c r="G14">
        <v>1.4999999999999999E-4</v>
      </c>
      <c r="H14" s="1" t="str">
        <f>HYPERLINK("http://www.weizmann.ac.il/complex/compphys/software/geview/data/figures/215933_s_at.png","Figure")</f>
        <v>Figure</v>
      </c>
      <c r="I14">
        <v>0.19</v>
      </c>
      <c r="J14" s="2">
        <v>1.2E-5</v>
      </c>
      <c r="K14">
        <v>0.107</v>
      </c>
      <c r="L14" s="2">
        <v>8.9999999999999999E-8</v>
      </c>
      <c r="M14">
        <v>0.56499999999999995</v>
      </c>
      <c r="N14">
        <v>0.04</v>
      </c>
    </row>
    <row r="15" spans="1:14" x14ac:dyDescent="0.25">
      <c r="A15" t="s">
        <v>33</v>
      </c>
      <c r="B15" t="s">
        <v>34</v>
      </c>
      <c r="C15" s="1" t="str">
        <f>HYPERLINK("http://www.genecards.org/cgi-bin/carddisp.pl?gene=PTPRK","GeneCards")</f>
        <v>GeneCards</v>
      </c>
      <c r="D15" s="1" t="str">
        <f>HYPERLINK("http://genome-euro.ucsc.edu/cgi-bin/hgTracks?position=203038_at","UCSC")</f>
        <v>UCSC</v>
      </c>
      <c r="E15" s="1" t="str">
        <f>HYPERLINK("http://www.ncbi.nlm.nih.gov/gene/?term=PTPRK","NCBI")</f>
        <v>NCBI</v>
      </c>
      <c r="F15" s="2">
        <v>1.4000000000000001E-7</v>
      </c>
      <c r="G15">
        <v>1.7000000000000001E-4</v>
      </c>
      <c r="H15" s="1" t="str">
        <f>HYPERLINK("http://www.weizmann.ac.il/complex/compphys/software/geview/data/figures/203038_at.png","Figure")</f>
        <v>Figure</v>
      </c>
      <c r="I15">
        <v>1</v>
      </c>
      <c r="J15">
        <v>1</v>
      </c>
      <c r="K15">
        <v>0.104</v>
      </c>
      <c r="L15" s="2">
        <v>5.0999999999999999E-7</v>
      </c>
      <c r="M15">
        <v>0.104</v>
      </c>
      <c r="N15" s="2">
        <v>1.1000000000000001E-6</v>
      </c>
    </row>
    <row r="16" spans="1:14" x14ac:dyDescent="0.25">
      <c r="A16" t="s">
        <v>35</v>
      </c>
      <c r="B16" t="s">
        <v>36</v>
      </c>
      <c r="C16" s="1" t="str">
        <f>HYPERLINK("http://www.genecards.org/cgi-bin/carddisp.pl?gene=LRBA","GeneCards")</f>
        <v>GeneCards</v>
      </c>
      <c r="D16" s="1" t="str">
        <f>HYPERLINK("http://genome-euro.ucsc.edu/cgi-bin/hgTracks?position=212692_s_at","UCSC")</f>
        <v>UCSC</v>
      </c>
      <c r="E16" s="1" t="str">
        <f>HYPERLINK("http://www.ncbi.nlm.nih.gov/gene/?term=LRBA","NCBI")</f>
        <v>NCBI</v>
      </c>
      <c r="F16" s="2">
        <v>1.8E-7</v>
      </c>
      <c r="G16">
        <v>2.0000000000000001E-4</v>
      </c>
      <c r="H16" s="1" t="str">
        <f>HYPERLINK("http://www.weizmann.ac.il/complex/compphys/software/geview/data/figures/212692_s_at.png","Figure")</f>
        <v>Figure</v>
      </c>
      <c r="I16">
        <v>0.318</v>
      </c>
      <c r="J16" s="2">
        <v>4.3000000000000001E-7</v>
      </c>
      <c r="K16">
        <v>0.92300000000000004</v>
      </c>
      <c r="L16">
        <v>0.7</v>
      </c>
      <c r="M16">
        <v>2.9</v>
      </c>
      <c r="N16" s="2">
        <v>4.4999999999999998E-7</v>
      </c>
    </row>
    <row r="17" spans="1:14" x14ac:dyDescent="0.25">
      <c r="A17" t="s">
        <v>37</v>
      </c>
      <c r="B17" t="s">
        <v>38</v>
      </c>
      <c r="C17" s="1" t="str">
        <f>HYPERLINK("http://www.genecards.org/cgi-bin/carddisp.pl?gene=CCND2","GeneCards")</f>
        <v>GeneCards</v>
      </c>
      <c r="D17" s="1" t="str">
        <f>HYPERLINK("http://genome-euro.ucsc.edu/cgi-bin/hgTracks?position=200953_s_at","UCSC")</f>
        <v>UCSC</v>
      </c>
      <c r="E17" s="1" t="str">
        <f>HYPERLINK("http://www.ncbi.nlm.nih.gov/gene/?term=CCND2","NCBI")</f>
        <v>NCBI</v>
      </c>
      <c r="F17" s="2">
        <v>2.1E-7</v>
      </c>
      <c r="G17">
        <v>2.2000000000000001E-4</v>
      </c>
      <c r="H17" s="1" t="str">
        <f>HYPERLINK("http://www.weizmann.ac.il/complex/compphys/software/geview/data/figures/200953_s_at.png","Figure")</f>
        <v>Figure</v>
      </c>
      <c r="I17">
        <v>7.8700000000000006E-2</v>
      </c>
      <c r="J17" s="2">
        <v>1.6999999999999999E-7</v>
      </c>
      <c r="K17">
        <v>0.223</v>
      </c>
      <c r="L17" s="2">
        <v>1.4E-5</v>
      </c>
      <c r="M17">
        <v>2.83</v>
      </c>
      <c r="N17">
        <v>8.8999999999999995E-4</v>
      </c>
    </row>
    <row r="18" spans="1:14" x14ac:dyDescent="0.25">
      <c r="A18" t="s">
        <v>39</v>
      </c>
      <c r="B18" t="s">
        <v>40</v>
      </c>
      <c r="C18" s="1" t="str">
        <f>HYPERLINK("http://www.genecards.org/cgi-bin/carddisp.pl?gene=ITPR1","GeneCards")</f>
        <v>GeneCards</v>
      </c>
      <c r="D18" s="1" t="str">
        <f>HYPERLINK("http://genome-euro.ucsc.edu/cgi-bin/hgTracks?position=203710_at","UCSC")</f>
        <v>UCSC</v>
      </c>
      <c r="E18" s="1" t="str">
        <f>HYPERLINK("http://www.ncbi.nlm.nih.gov/gene/?term=ITPR1","NCBI")</f>
        <v>NCBI</v>
      </c>
      <c r="F18" s="2">
        <v>3.3000000000000002E-7</v>
      </c>
      <c r="G18">
        <v>2.7E-4</v>
      </c>
      <c r="H18" s="1" t="str">
        <f>HYPERLINK("http://www.weizmann.ac.il/complex/compphys/software/geview/data/figures/203710_at.png","Figure")</f>
        <v>Figure</v>
      </c>
      <c r="I18">
        <v>0.33500000000000002</v>
      </c>
      <c r="J18">
        <v>2.5000000000000001E-4</v>
      </c>
      <c r="K18">
        <v>0.157</v>
      </c>
      <c r="L18" s="2">
        <v>2.1E-7</v>
      </c>
      <c r="M18">
        <v>0.46800000000000003</v>
      </c>
      <c r="N18">
        <v>3.2000000000000002E-3</v>
      </c>
    </row>
    <row r="19" spans="1:14" x14ac:dyDescent="0.25">
      <c r="A19" t="s">
        <v>41</v>
      </c>
      <c r="B19" t="s">
        <v>42</v>
      </c>
      <c r="C19" s="1" t="str">
        <f>HYPERLINK("http://www.genecards.org/cgi-bin/carddisp.pl?gene=HRSP12","GeneCards")</f>
        <v>GeneCards</v>
      </c>
      <c r="D19" s="1" t="str">
        <f>HYPERLINK("http://genome-euro.ucsc.edu/cgi-bin/hgTracks?position=203790_s_at","UCSC")</f>
        <v>UCSC</v>
      </c>
      <c r="E19" s="1" t="str">
        <f>HYPERLINK("http://www.ncbi.nlm.nih.gov/gene/?term=HRSP12","NCBI")</f>
        <v>NCBI</v>
      </c>
      <c r="F19" s="2">
        <v>3.5999999999999999E-7</v>
      </c>
      <c r="G19">
        <v>2.7E-4</v>
      </c>
      <c r="H19" s="1" t="str">
        <f>HYPERLINK("http://www.weizmann.ac.il/complex/compphys/software/geview/data/figures/203790_s_at.png","Figure")</f>
        <v>Figure</v>
      </c>
      <c r="I19">
        <v>0.57399999999999995</v>
      </c>
      <c r="J19" s="2">
        <v>1.7E-5</v>
      </c>
      <c r="K19">
        <v>1.22</v>
      </c>
      <c r="L19">
        <v>2.5000000000000001E-2</v>
      </c>
      <c r="M19">
        <v>2.13</v>
      </c>
      <c r="N19" s="2">
        <v>2.4999999999999999E-7</v>
      </c>
    </row>
    <row r="20" spans="1:14" x14ac:dyDescent="0.25">
      <c r="A20" t="s">
        <v>43</v>
      </c>
      <c r="B20" t="s">
        <v>44</v>
      </c>
      <c r="C20" s="1" t="str">
        <f>HYPERLINK("http://www.genecards.org/cgi-bin/carddisp.pl?gene=BTG3","GeneCards")</f>
        <v>GeneCards</v>
      </c>
      <c r="D20" s="1" t="str">
        <f>HYPERLINK("http://genome-euro.ucsc.edu/cgi-bin/hgTracks?position=205548_s_at","UCSC")</f>
        <v>UCSC</v>
      </c>
      <c r="E20" s="1" t="str">
        <f>HYPERLINK("http://www.ncbi.nlm.nih.gov/gene/?term=BTG3","NCBI")</f>
        <v>NCBI</v>
      </c>
      <c r="F20" s="2">
        <v>3.9999999999999998E-7</v>
      </c>
      <c r="G20">
        <v>2.7E-4</v>
      </c>
      <c r="H20" s="1" t="str">
        <f>HYPERLINK("http://www.weizmann.ac.il/complex/compphys/software/geview/data/figures/205548_s_at.png","Figure")</f>
        <v>Figure</v>
      </c>
      <c r="I20">
        <v>3.26</v>
      </c>
      <c r="J20">
        <v>4.2999999999999999E-4</v>
      </c>
      <c r="K20">
        <v>0.35499999999999998</v>
      </c>
      <c r="L20">
        <v>4.2000000000000002E-4</v>
      </c>
      <c r="M20">
        <v>0.109</v>
      </c>
      <c r="N20" s="2">
        <v>2.8000000000000002E-7</v>
      </c>
    </row>
    <row r="21" spans="1:14" x14ac:dyDescent="0.25">
      <c r="A21" t="s">
        <v>45</v>
      </c>
      <c r="B21" t="s">
        <v>46</v>
      </c>
      <c r="C21" s="1" t="str">
        <f>HYPERLINK("http://www.genecards.org/cgi-bin/carddisp.pl?gene=HLA-DRB1 /// HLA-DRB4 /// HLA-DRB5","GeneCards")</f>
        <v>GeneCards</v>
      </c>
      <c r="D21" s="1" t="str">
        <f>HYPERLINK("http://genome-euro.ucsc.edu/cgi-bin/hgTracks?position=209312_x_at","UCSC")</f>
        <v>UCSC</v>
      </c>
      <c r="E21" s="1" t="str">
        <f>HYPERLINK("http://www.ncbi.nlm.nih.gov/gene/?term=HLA-DRB1 /// HLA-DRB4 /// HLA-DRB5","NCBI")</f>
        <v>NCBI</v>
      </c>
      <c r="F21" s="2">
        <v>3.5999999999999999E-7</v>
      </c>
      <c r="G21">
        <v>2.7E-4</v>
      </c>
      <c r="H21" s="1" t="str">
        <f>HYPERLINK("http://www.weizmann.ac.il/complex/compphys/software/geview/data/figures/209312_x_at.png","Figure")</f>
        <v>Figure</v>
      </c>
      <c r="I21">
        <v>0.79300000000000004</v>
      </c>
      <c r="J21">
        <v>0.1</v>
      </c>
      <c r="K21">
        <v>0.39700000000000002</v>
      </c>
      <c r="L21" s="2">
        <v>4.3000000000000001E-7</v>
      </c>
      <c r="M21">
        <v>0.501</v>
      </c>
      <c r="N21" s="2">
        <v>2.3E-5</v>
      </c>
    </row>
    <row r="22" spans="1:14" x14ac:dyDescent="0.25">
      <c r="A22" t="s">
        <v>47</v>
      </c>
      <c r="B22" t="s">
        <v>48</v>
      </c>
      <c r="C22" s="1" t="str">
        <f>HYPERLINK("http://www.genecards.org/cgi-bin/carddisp.pl?gene=NUDT9","GeneCards")</f>
        <v>GeneCards</v>
      </c>
      <c r="D22" s="1" t="str">
        <f>HYPERLINK("http://genome-euro.ucsc.edu/cgi-bin/hgTracks?position=218375_at","UCSC")</f>
        <v>UCSC</v>
      </c>
      <c r="E22" s="1" t="str">
        <f>HYPERLINK("http://www.ncbi.nlm.nih.gov/gene/?term=NUDT9","NCBI")</f>
        <v>NCBI</v>
      </c>
      <c r="F22" s="2">
        <v>4.0999999999999999E-7</v>
      </c>
      <c r="G22">
        <v>2.7E-4</v>
      </c>
      <c r="H22" s="1" t="str">
        <f>HYPERLINK("http://www.weizmann.ac.il/complex/compphys/software/geview/data/figures/218375_at.png","Figure")</f>
        <v>Figure</v>
      </c>
      <c r="I22">
        <v>0.53700000000000003</v>
      </c>
      <c r="J22" s="2">
        <v>2.5999999999999998E-5</v>
      </c>
      <c r="K22">
        <v>1.29</v>
      </c>
      <c r="L22">
        <v>1.4999999999999999E-2</v>
      </c>
      <c r="M22">
        <v>2.4</v>
      </c>
      <c r="N22" s="2">
        <v>2.7000000000000001E-7</v>
      </c>
    </row>
    <row r="23" spans="1:14" x14ac:dyDescent="0.25">
      <c r="A23" t="s">
        <v>49</v>
      </c>
      <c r="B23" t="s">
        <v>50</v>
      </c>
      <c r="C23" s="1" t="str">
        <f>HYPERLINK("http://www.genecards.org/cgi-bin/carddisp.pl?gene=MORC4","GeneCards")</f>
        <v>GeneCards</v>
      </c>
      <c r="D23" s="1" t="str">
        <f>HYPERLINK("http://genome-euro.ucsc.edu/cgi-bin/hgTracks?position=219038_at","UCSC")</f>
        <v>UCSC</v>
      </c>
      <c r="E23" s="1" t="str">
        <f>HYPERLINK("http://www.ncbi.nlm.nih.gov/gene/?term=MORC4","NCBI")</f>
        <v>NCBI</v>
      </c>
      <c r="F23" s="2">
        <v>2.8999999999999998E-7</v>
      </c>
      <c r="G23">
        <v>2.7E-4</v>
      </c>
      <c r="H23" s="1" t="str">
        <f>HYPERLINK("http://www.weizmann.ac.il/complex/compphys/software/geview/data/figures/219038_at.png","Figure")</f>
        <v>Figure</v>
      </c>
      <c r="I23">
        <v>0.35199999999999998</v>
      </c>
      <c r="J23" s="2">
        <v>9.5000000000000001E-7</v>
      </c>
      <c r="K23">
        <v>0.98199999999999998</v>
      </c>
      <c r="L23">
        <v>0.98</v>
      </c>
      <c r="M23">
        <v>2.79</v>
      </c>
      <c r="N23" s="2">
        <v>5.3000000000000001E-7</v>
      </c>
    </row>
    <row r="24" spans="1:14" x14ac:dyDescent="0.25">
      <c r="A24" t="s">
        <v>51</v>
      </c>
      <c r="B24" t="s">
        <v>52</v>
      </c>
      <c r="C24" s="1" t="str">
        <f>HYPERLINK("http://www.genecards.org/cgi-bin/carddisp.pl?gene=PITPNC1","GeneCards")</f>
        <v>GeneCards</v>
      </c>
      <c r="D24" s="1" t="str">
        <f>HYPERLINK("http://genome-euro.ucsc.edu/cgi-bin/hgTracks?position=219155_at","UCSC")</f>
        <v>UCSC</v>
      </c>
      <c r="E24" s="1" t="str">
        <f>HYPERLINK("http://www.ncbi.nlm.nih.gov/gene/?term=PITPNC1","NCBI")</f>
        <v>NCBI</v>
      </c>
      <c r="F24" s="2">
        <v>3.4999999999999998E-7</v>
      </c>
      <c r="G24">
        <v>2.7E-4</v>
      </c>
      <c r="H24" s="1" t="str">
        <f>HYPERLINK("http://www.weizmann.ac.il/complex/compphys/software/geview/data/figures/219155_at.png","Figure")</f>
        <v>Figure</v>
      </c>
      <c r="I24">
        <v>3.47</v>
      </c>
      <c r="J24" s="2">
        <v>8.8000000000000004E-7</v>
      </c>
      <c r="K24">
        <v>2.82</v>
      </c>
      <c r="L24" s="2">
        <v>1.5E-6</v>
      </c>
      <c r="M24">
        <v>0.81299999999999994</v>
      </c>
      <c r="N24">
        <v>0.24</v>
      </c>
    </row>
    <row r="25" spans="1:14" x14ac:dyDescent="0.25">
      <c r="A25" t="s">
        <v>53</v>
      </c>
      <c r="B25" t="s">
        <v>54</v>
      </c>
      <c r="C25" s="1" t="str">
        <f>HYPERLINK("http://www.genecards.org/cgi-bin/carddisp.pl?gene=POLI","GeneCards")</f>
        <v>GeneCards</v>
      </c>
      <c r="D25" s="1" t="str">
        <f>HYPERLINK("http://genome-euro.ucsc.edu/cgi-bin/hgTracks?position=219317_at","UCSC")</f>
        <v>UCSC</v>
      </c>
      <c r="E25" s="1" t="str">
        <f>HYPERLINK("http://www.ncbi.nlm.nih.gov/gene/?term=POLI","NCBI")</f>
        <v>NCBI</v>
      </c>
      <c r="F25" s="2">
        <v>2.8999999999999998E-7</v>
      </c>
      <c r="G25">
        <v>2.7E-4</v>
      </c>
      <c r="H25" s="1" t="str">
        <f>HYPERLINK("http://www.weizmann.ac.il/complex/compphys/software/geview/data/figures/219317_at.png","Figure")</f>
        <v>Figure</v>
      </c>
      <c r="I25">
        <v>0.66100000000000003</v>
      </c>
      <c r="J25" s="2">
        <v>9.9999999999999995E-7</v>
      </c>
      <c r="K25">
        <v>0.997</v>
      </c>
      <c r="L25">
        <v>1</v>
      </c>
      <c r="M25">
        <v>1.51</v>
      </c>
      <c r="N25" s="2">
        <v>5.0999999999999999E-7</v>
      </c>
    </row>
    <row r="26" spans="1:14" x14ac:dyDescent="0.25">
      <c r="A26" t="s">
        <v>55</v>
      </c>
      <c r="B26" t="s">
        <v>56</v>
      </c>
      <c r="C26" s="1" t="str">
        <f>HYPERLINK("http://www.genecards.org/cgi-bin/carddisp.pl?gene=CYB5R2","GeneCards")</f>
        <v>GeneCards</v>
      </c>
      <c r="D26" s="1" t="str">
        <f>HYPERLINK("http://genome-euro.ucsc.edu/cgi-bin/hgTracks?position=220230_s_at","UCSC")</f>
        <v>UCSC</v>
      </c>
      <c r="E26" s="1" t="str">
        <f>HYPERLINK("http://www.ncbi.nlm.nih.gov/gene/?term=CYB5R2","NCBI")</f>
        <v>NCBI</v>
      </c>
      <c r="F26" s="2">
        <v>3.9000000000000002E-7</v>
      </c>
      <c r="G26">
        <v>2.7E-4</v>
      </c>
      <c r="H26" s="1" t="str">
        <f>HYPERLINK("http://www.weizmann.ac.il/complex/compphys/software/geview/data/figures/220230_s_at.png","Figure")</f>
        <v>Figure</v>
      </c>
      <c r="I26">
        <v>0.28999999999999998</v>
      </c>
      <c r="J26" s="2">
        <v>3.1999999999999999E-5</v>
      </c>
      <c r="K26">
        <v>0.192</v>
      </c>
      <c r="L26" s="2">
        <v>2.9999999999999999E-7</v>
      </c>
      <c r="M26">
        <v>0.66200000000000003</v>
      </c>
      <c r="N26">
        <v>7.0999999999999994E-2</v>
      </c>
    </row>
    <row r="27" spans="1:14" x14ac:dyDescent="0.25">
      <c r="A27" t="s">
        <v>57</v>
      </c>
      <c r="B27" t="s">
        <v>58</v>
      </c>
      <c r="C27" s="1" t="str">
        <f>HYPERLINK("http://www.genecards.org/cgi-bin/carddisp.pl?gene=C11orf21","GeneCards")</f>
        <v>GeneCards</v>
      </c>
      <c r="D27" s="1" t="str">
        <f>HYPERLINK("http://genome-euro.ucsc.edu/cgi-bin/hgTracks?position=220560_at","UCSC")</f>
        <v>UCSC</v>
      </c>
      <c r="E27" s="1" t="str">
        <f>HYPERLINK("http://www.ncbi.nlm.nih.gov/gene/?term=C11orf21","NCBI")</f>
        <v>NCBI</v>
      </c>
      <c r="F27" s="2">
        <v>3.4999999999999998E-7</v>
      </c>
      <c r="G27">
        <v>2.7E-4</v>
      </c>
      <c r="H27" s="1" t="str">
        <f>HYPERLINK("http://www.weizmann.ac.il/complex/compphys/software/geview/data/figures/220560_at.png","Figure")</f>
        <v>Figure</v>
      </c>
      <c r="I27">
        <v>0.46500000000000002</v>
      </c>
      <c r="J27" s="2">
        <v>1.7999999999999999E-6</v>
      </c>
      <c r="K27">
        <v>1.04</v>
      </c>
      <c r="L27">
        <v>0.84</v>
      </c>
      <c r="M27">
        <v>2.25</v>
      </c>
      <c r="N27" s="2">
        <v>4.4999999999999998E-7</v>
      </c>
    </row>
    <row r="28" spans="1:14" x14ac:dyDescent="0.25">
      <c r="A28" t="s">
        <v>59</v>
      </c>
      <c r="B28" t="s">
        <v>60</v>
      </c>
      <c r="C28" s="1" t="str">
        <f>HYPERLINK("http://www.genecards.org/cgi-bin/carddisp.pl?gene=TRIB2","GeneCards")</f>
        <v>GeneCards</v>
      </c>
      <c r="D28" s="1" t="str">
        <f>HYPERLINK("http://genome-euro.ucsc.edu/cgi-bin/hgTracks?position=202479_s_at","UCSC")</f>
        <v>UCSC</v>
      </c>
      <c r="E28" s="1" t="str">
        <f>HYPERLINK("http://www.ncbi.nlm.nih.gov/gene/?term=TRIB2","NCBI")</f>
        <v>NCBI</v>
      </c>
      <c r="F28" s="2">
        <v>4.3000000000000001E-7</v>
      </c>
      <c r="G28">
        <v>2.7E-4</v>
      </c>
      <c r="H28" s="1" t="str">
        <f>HYPERLINK("http://www.weizmann.ac.il/complex/compphys/software/geview/data/figures/202479_s_at.png","Figure")</f>
        <v>Figure</v>
      </c>
      <c r="I28">
        <v>3.69</v>
      </c>
      <c r="J28" s="2">
        <v>3.1999999999999999E-6</v>
      </c>
      <c r="K28">
        <v>3.65</v>
      </c>
      <c r="L28" s="2">
        <v>7.4000000000000001E-7</v>
      </c>
      <c r="M28">
        <v>0.99099999999999999</v>
      </c>
      <c r="N28">
        <v>1</v>
      </c>
    </row>
    <row r="29" spans="1:14" x14ac:dyDescent="0.25">
      <c r="A29" t="s">
        <v>61</v>
      </c>
      <c r="B29" t="s">
        <v>62</v>
      </c>
      <c r="C29" s="1" t="str">
        <f>HYPERLINK("http://www.genecards.org/cgi-bin/carddisp.pl?gene=ACOT7","GeneCards")</f>
        <v>GeneCards</v>
      </c>
      <c r="D29" s="1" t="str">
        <f>HYPERLINK("http://genome-euro.ucsc.edu/cgi-bin/hgTracks?position=208002_s_at","UCSC")</f>
        <v>UCSC</v>
      </c>
      <c r="E29" s="1" t="str">
        <f>HYPERLINK("http://www.ncbi.nlm.nih.gov/gene/?term=ACOT7","NCBI")</f>
        <v>NCBI</v>
      </c>
      <c r="F29" s="2">
        <v>6.0999999999999998E-7</v>
      </c>
      <c r="G29">
        <v>3.6999999999999999E-4</v>
      </c>
      <c r="H29" s="1" t="str">
        <f>HYPERLINK("http://www.weizmann.ac.il/complex/compphys/software/geview/data/figures/208002_s_at.png","Figure")</f>
        <v>Figure</v>
      </c>
      <c r="I29">
        <v>1.69</v>
      </c>
      <c r="J29">
        <v>1.9000000000000001E-4</v>
      </c>
      <c r="K29">
        <v>2.27</v>
      </c>
      <c r="L29" s="2">
        <v>4.0999999999999999E-7</v>
      </c>
      <c r="M29">
        <v>1.34</v>
      </c>
      <c r="N29">
        <v>1.2E-2</v>
      </c>
    </row>
    <row r="30" spans="1:14" x14ac:dyDescent="0.25">
      <c r="A30" t="s">
        <v>63</v>
      </c>
      <c r="B30" t="s">
        <v>64</v>
      </c>
      <c r="C30" s="1" t="str">
        <f>HYPERLINK("http://www.genecards.org/cgi-bin/carddisp.pl?gene=ALG13","GeneCards")</f>
        <v>GeneCards</v>
      </c>
      <c r="D30" s="1" t="str">
        <f>HYPERLINK("http://genome-euro.ucsc.edu/cgi-bin/hgTracks?position=205584_at","UCSC")</f>
        <v>UCSC</v>
      </c>
      <c r="E30" s="1" t="str">
        <f>HYPERLINK("http://www.ncbi.nlm.nih.gov/gene/?term=ALG13","NCBI")</f>
        <v>NCBI</v>
      </c>
      <c r="F30" s="2">
        <v>6.5000000000000002E-7</v>
      </c>
      <c r="G30">
        <v>3.8000000000000002E-4</v>
      </c>
      <c r="H30" s="1" t="str">
        <f>HYPERLINK("http://www.weizmann.ac.il/complex/compphys/software/geview/data/figures/205584_at.png","Figure")</f>
        <v>Figure</v>
      </c>
      <c r="I30">
        <v>0.31</v>
      </c>
      <c r="J30" s="2">
        <v>1.5E-6</v>
      </c>
      <c r="K30">
        <v>0.92100000000000004</v>
      </c>
      <c r="L30">
        <v>0.75</v>
      </c>
      <c r="M30">
        <v>2.97</v>
      </c>
      <c r="N30" s="2">
        <v>1.5999999999999999E-6</v>
      </c>
    </row>
    <row r="31" spans="1:14" x14ac:dyDescent="0.25">
      <c r="A31" t="s">
        <v>65</v>
      </c>
      <c r="B31" t="s">
        <v>66</v>
      </c>
      <c r="C31" s="1" t="str">
        <f>HYPERLINK("http://www.genecards.org/cgi-bin/carddisp.pl?gene=TSSC1","GeneCards")</f>
        <v>GeneCards</v>
      </c>
      <c r="D31" s="1" t="str">
        <f>HYPERLINK("http://genome-euro.ucsc.edu/cgi-bin/hgTracks?position=217968_at","UCSC")</f>
        <v>UCSC</v>
      </c>
      <c r="E31" s="1" t="str">
        <f>HYPERLINK("http://www.ncbi.nlm.nih.gov/gene/?term=TSSC1","NCBI")</f>
        <v>NCBI</v>
      </c>
      <c r="F31" s="2">
        <v>7.1999999999999999E-7</v>
      </c>
      <c r="G31">
        <v>3.8999999999999999E-4</v>
      </c>
      <c r="H31" s="1" t="str">
        <f>HYPERLINK("http://www.weizmann.ac.il/complex/compphys/software/geview/data/figures/217968_at.png","Figure")</f>
        <v>Figure</v>
      </c>
      <c r="I31">
        <v>3.74</v>
      </c>
      <c r="J31" s="2">
        <v>5.6999999999999996E-6</v>
      </c>
      <c r="K31">
        <v>3.77</v>
      </c>
      <c r="L31" s="2">
        <v>1.1999999999999999E-6</v>
      </c>
      <c r="M31">
        <v>1.01</v>
      </c>
      <c r="N31">
        <v>1</v>
      </c>
    </row>
    <row r="32" spans="1:14" x14ac:dyDescent="0.25">
      <c r="A32" t="s">
        <v>67</v>
      </c>
      <c r="B32" t="s">
        <v>68</v>
      </c>
      <c r="C32" s="1" t="str">
        <f>HYPERLINK("http://www.genecards.org/cgi-bin/carddisp.pl?gene=RBM47","GeneCards")</f>
        <v>GeneCards</v>
      </c>
      <c r="D32" s="1" t="str">
        <f>HYPERLINK("http://genome-euro.ucsc.edu/cgi-bin/hgTracks?position=218035_s_at","UCSC")</f>
        <v>UCSC</v>
      </c>
      <c r="E32" s="1" t="str">
        <f>HYPERLINK("http://www.ncbi.nlm.nih.gov/gene/?term=RBM47","NCBI")</f>
        <v>NCBI</v>
      </c>
      <c r="F32" s="2">
        <v>7.0999999999999998E-7</v>
      </c>
      <c r="G32">
        <v>3.8999999999999999E-4</v>
      </c>
      <c r="H32" s="1" t="str">
        <f>HYPERLINK("http://www.weizmann.ac.il/complex/compphys/software/geview/data/figures/218035_s_at.png","Figure")</f>
        <v>Figure</v>
      </c>
      <c r="I32">
        <v>0.432</v>
      </c>
      <c r="J32" s="2">
        <v>2.5000000000000002E-6</v>
      </c>
      <c r="K32">
        <v>1</v>
      </c>
      <c r="L32">
        <v>1</v>
      </c>
      <c r="M32">
        <v>2.3199999999999998</v>
      </c>
      <c r="N32" s="2">
        <v>1.1999999999999999E-6</v>
      </c>
    </row>
    <row r="33" spans="1:14" x14ac:dyDescent="0.25">
      <c r="A33" t="s">
        <v>69</v>
      </c>
      <c r="B33" t="s">
        <v>70</v>
      </c>
      <c r="C33" s="1" t="str">
        <f>HYPERLINK("http://www.genecards.org/cgi-bin/carddisp.pl?gene=ACTN1","GeneCards")</f>
        <v>GeneCards</v>
      </c>
      <c r="D33" s="1" t="str">
        <f>HYPERLINK("http://genome-euro.ucsc.edu/cgi-bin/hgTracks?position=208636_at","UCSC")</f>
        <v>UCSC</v>
      </c>
      <c r="E33" s="1" t="str">
        <f>HYPERLINK("http://www.ncbi.nlm.nih.gov/gene/?term=ACTN1","NCBI")</f>
        <v>NCBI</v>
      </c>
      <c r="F33" s="2">
        <v>8.0999999999999997E-7</v>
      </c>
      <c r="G33">
        <v>4.2999999999999999E-4</v>
      </c>
      <c r="H33" s="1" t="str">
        <f>HYPERLINK("http://www.weizmann.ac.il/complex/compphys/software/geview/data/figures/208636_at.png","Figure")</f>
        <v>Figure</v>
      </c>
      <c r="I33">
        <v>0.18</v>
      </c>
      <c r="J33" s="2">
        <v>2.0999999999999999E-5</v>
      </c>
      <c r="K33">
        <v>1.64</v>
      </c>
      <c r="L33">
        <v>8.2000000000000003E-2</v>
      </c>
      <c r="M33">
        <v>9.09</v>
      </c>
      <c r="N33" s="2">
        <v>6.0999999999999998E-7</v>
      </c>
    </row>
    <row r="34" spans="1:14" x14ac:dyDescent="0.25">
      <c r="A34" t="s">
        <v>71</v>
      </c>
      <c r="B34" t="s">
        <v>72</v>
      </c>
      <c r="C34" s="1" t="str">
        <f>HYPERLINK("http://www.genecards.org/cgi-bin/carddisp.pl?gene=MSN","GeneCards")</f>
        <v>GeneCards</v>
      </c>
      <c r="D34" s="1" t="str">
        <f>HYPERLINK("http://genome-euro.ucsc.edu/cgi-bin/hgTracks?position=200600_at","UCSC")</f>
        <v>UCSC</v>
      </c>
      <c r="E34" s="1" t="str">
        <f>HYPERLINK("http://www.ncbi.nlm.nih.gov/gene/?term=MSN","NCBI")</f>
        <v>NCBI</v>
      </c>
      <c r="F34" s="2">
        <v>8.6000000000000002E-7</v>
      </c>
      <c r="G34">
        <v>4.4999999999999999E-4</v>
      </c>
      <c r="H34" s="1" t="str">
        <f>HYPERLINK("http://www.weizmann.ac.il/complex/compphys/software/geview/data/figures/200600_at.png","Figure")</f>
        <v>Figure</v>
      </c>
      <c r="I34">
        <v>0.309</v>
      </c>
      <c r="J34" s="2">
        <v>5.7000000000000005E-7</v>
      </c>
      <c r="K34">
        <v>0.61599999999999999</v>
      </c>
      <c r="L34">
        <v>1.1999999999999999E-3</v>
      </c>
      <c r="M34">
        <v>1.99</v>
      </c>
      <c r="N34" s="2">
        <v>8.5000000000000006E-5</v>
      </c>
    </row>
    <row r="35" spans="1:14" x14ac:dyDescent="0.25">
      <c r="A35" t="s">
        <v>73</v>
      </c>
      <c r="B35" t="s">
        <v>74</v>
      </c>
      <c r="C35" s="1" t="str">
        <f>HYPERLINK("http://www.genecards.org/cgi-bin/carddisp.pl?gene=FGF9","GeneCards")</f>
        <v>GeneCards</v>
      </c>
      <c r="D35" s="1" t="str">
        <f>HYPERLINK("http://genome-euro.ucsc.edu/cgi-bin/hgTracks?position=206404_at","UCSC")</f>
        <v>UCSC</v>
      </c>
      <c r="E35" s="1" t="str">
        <f>HYPERLINK("http://www.ncbi.nlm.nih.gov/gene/?term=FGF9","NCBI")</f>
        <v>NCBI</v>
      </c>
      <c r="F35" s="2">
        <v>9.9000000000000005E-7</v>
      </c>
      <c r="G35">
        <v>4.8000000000000001E-4</v>
      </c>
      <c r="H35" s="1" t="str">
        <f>HYPERLINK("http://www.weizmann.ac.il/complex/compphys/software/geview/data/figures/206404_at.png","Figure")</f>
        <v>Figure</v>
      </c>
      <c r="I35">
        <v>5.9</v>
      </c>
      <c r="J35" s="2">
        <v>3.1E-6</v>
      </c>
      <c r="K35">
        <v>4.68</v>
      </c>
      <c r="L35" s="2">
        <v>3.1999999999999999E-6</v>
      </c>
      <c r="M35">
        <v>0.79300000000000004</v>
      </c>
      <c r="N35">
        <v>0.48</v>
      </c>
    </row>
    <row r="36" spans="1:14" x14ac:dyDescent="0.25">
      <c r="A36" t="s">
        <v>75</v>
      </c>
      <c r="B36" t="s">
        <v>44</v>
      </c>
      <c r="C36" s="1" t="str">
        <f>HYPERLINK("http://www.genecards.org/cgi-bin/carddisp.pl?gene=BTG3","GeneCards")</f>
        <v>GeneCards</v>
      </c>
      <c r="D36" s="1" t="str">
        <f>HYPERLINK("http://genome-euro.ucsc.edu/cgi-bin/hgTracks?position=213134_x_at","UCSC")</f>
        <v>UCSC</v>
      </c>
      <c r="E36" s="1" t="str">
        <f>HYPERLINK("http://www.ncbi.nlm.nih.gov/gene/?term=BTG3","NCBI")</f>
        <v>NCBI</v>
      </c>
      <c r="F36" s="2">
        <v>9.7000000000000003E-7</v>
      </c>
      <c r="G36">
        <v>4.8000000000000001E-4</v>
      </c>
      <c r="H36" s="1" t="str">
        <f>HYPERLINK("http://www.weizmann.ac.il/complex/compphys/software/geview/data/figures/213134_x_at.png","Figure")</f>
        <v>Figure</v>
      </c>
      <c r="I36">
        <v>3.44</v>
      </c>
      <c r="J36">
        <v>5.8E-4</v>
      </c>
      <c r="K36">
        <v>0.372</v>
      </c>
      <c r="L36">
        <v>1.1999999999999999E-3</v>
      </c>
      <c r="M36">
        <v>0.108</v>
      </c>
      <c r="N36" s="2">
        <v>6.6000000000000003E-7</v>
      </c>
    </row>
    <row r="37" spans="1:14" x14ac:dyDescent="0.25">
      <c r="A37" t="s">
        <v>76</v>
      </c>
      <c r="B37" t="s">
        <v>77</v>
      </c>
      <c r="C37" s="1" t="str">
        <f>HYPERLINK("http://www.genecards.org/cgi-bin/carddisp.pl?gene=FKBP9","GeneCards")</f>
        <v>GeneCards</v>
      </c>
      <c r="D37" s="1" t="str">
        <f>HYPERLINK("http://genome-euro.ucsc.edu/cgi-bin/hgTracks?position=212169_at","UCSC")</f>
        <v>UCSC</v>
      </c>
      <c r="E37" s="1" t="str">
        <f>HYPERLINK("http://www.ncbi.nlm.nih.gov/gene/?term=FKBP9","NCBI")</f>
        <v>NCBI</v>
      </c>
      <c r="F37" s="2">
        <v>1.1000000000000001E-6</v>
      </c>
      <c r="G37">
        <v>5.0000000000000001E-4</v>
      </c>
      <c r="H37" s="1" t="str">
        <f>HYPERLINK("http://www.weizmann.ac.il/complex/compphys/software/geview/data/figures/212169_at.png","Figure")</f>
        <v>Figure</v>
      </c>
      <c r="I37">
        <v>0.47399999999999998</v>
      </c>
      <c r="J37" s="2">
        <v>2.5000000000000002E-6</v>
      </c>
      <c r="K37">
        <v>0.95499999999999996</v>
      </c>
      <c r="L37">
        <v>0.82</v>
      </c>
      <c r="M37">
        <v>2.0099999999999998</v>
      </c>
      <c r="N37" s="2">
        <v>2.3999999999999999E-6</v>
      </c>
    </row>
    <row r="38" spans="1:14" x14ac:dyDescent="0.25">
      <c r="A38" t="s">
        <v>78</v>
      </c>
      <c r="B38" t="s">
        <v>79</v>
      </c>
      <c r="C38" s="1" t="str">
        <f>HYPERLINK("http://www.genecards.org/cgi-bin/carddisp.pl?gene=NXN","GeneCards")</f>
        <v>GeneCards</v>
      </c>
      <c r="D38" s="1" t="str">
        <f>HYPERLINK("http://genome-euro.ucsc.edu/cgi-bin/hgTracks?position=219489_s_at","UCSC")</f>
        <v>UCSC</v>
      </c>
      <c r="E38" s="1" t="str">
        <f>HYPERLINK("http://www.ncbi.nlm.nih.gov/gene/?term=NXN","NCBI")</f>
        <v>NCBI</v>
      </c>
      <c r="F38" s="2">
        <v>1.1999999999999999E-6</v>
      </c>
      <c r="G38">
        <v>5.2999999999999998E-4</v>
      </c>
      <c r="H38" s="1" t="str">
        <f>HYPERLINK("http://www.weizmann.ac.il/complex/compphys/software/geview/data/figures/219489_s_at.png","Figure")</f>
        <v>Figure</v>
      </c>
      <c r="I38">
        <v>6.62</v>
      </c>
      <c r="J38" s="2">
        <v>4.3000000000000003E-6</v>
      </c>
      <c r="K38">
        <v>5.46</v>
      </c>
      <c r="L38" s="2">
        <v>3.1999999999999999E-6</v>
      </c>
      <c r="M38">
        <v>0.82399999999999995</v>
      </c>
      <c r="N38">
        <v>0.65</v>
      </c>
    </row>
    <row r="39" spans="1:14" x14ac:dyDescent="0.25">
      <c r="A39" t="s">
        <v>80</v>
      </c>
      <c r="B39" t="s">
        <v>81</v>
      </c>
      <c r="C39" s="1" t="str">
        <f>HYPERLINK("http://www.genecards.org/cgi-bin/carddisp.pl?gene=CCDC41","GeneCards")</f>
        <v>GeneCards</v>
      </c>
      <c r="D39" s="1" t="str">
        <f>HYPERLINK("http://genome-euro.ucsc.edu/cgi-bin/hgTracks?position=219644_at","UCSC")</f>
        <v>UCSC</v>
      </c>
      <c r="E39" s="1" t="str">
        <f>HYPERLINK("http://www.ncbi.nlm.nih.gov/gene/?term=CCDC41","NCBI")</f>
        <v>NCBI</v>
      </c>
      <c r="F39" s="2">
        <v>1.1999999999999999E-6</v>
      </c>
      <c r="G39">
        <v>5.2999999999999998E-4</v>
      </c>
      <c r="H39" s="1" t="str">
        <f>HYPERLINK("http://www.weizmann.ac.il/complex/compphys/software/geview/data/figures/219644_at.png","Figure")</f>
        <v>Figure</v>
      </c>
      <c r="I39">
        <v>0.77900000000000003</v>
      </c>
      <c r="J39" s="2">
        <v>4.0999999999999997E-6</v>
      </c>
      <c r="K39">
        <v>1</v>
      </c>
      <c r="L39">
        <v>1</v>
      </c>
      <c r="M39">
        <v>1.28</v>
      </c>
      <c r="N39" s="2">
        <v>1.9E-6</v>
      </c>
    </row>
    <row r="40" spans="1:14" x14ac:dyDescent="0.25">
      <c r="A40" t="s">
        <v>82</v>
      </c>
      <c r="B40" t="s">
        <v>83</v>
      </c>
      <c r="C40" s="1" t="str">
        <f>HYPERLINK("http://www.genecards.org/cgi-bin/carddisp.pl?gene=CD9","GeneCards")</f>
        <v>GeneCards</v>
      </c>
      <c r="D40" s="1" t="str">
        <f>HYPERLINK("http://genome-euro.ucsc.edu/cgi-bin/hgTracks?position=201005_at","UCSC")</f>
        <v>UCSC</v>
      </c>
      <c r="E40" s="1" t="str">
        <f>HYPERLINK("http://www.ncbi.nlm.nih.gov/gene/?term=CD9","NCBI")</f>
        <v>NCBI</v>
      </c>
      <c r="F40" s="2">
        <v>1.3E-6</v>
      </c>
      <c r="G40">
        <v>5.5000000000000003E-4</v>
      </c>
      <c r="H40" s="1" t="str">
        <f>HYPERLINK("http://www.weizmann.ac.il/complex/compphys/software/geview/data/figures/201005_at.png","Figure")</f>
        <v>Figure</v>
      </c>
      <c r="I40">
        <v>0.874</v>
      </c>
      <c r="J40">
        <v>0.92</v>
      </c>
      <c r="K40">
        <v>10.7</v>
      </c>
      <c r="L40" s="2">
        <v>6.0000000000000002E-6</v>
      </c>
      <c r="M40">
        <v>12.3</v>
      </c>
      <c r="N40" s="2">
        <v>6.9E-6</v>
      </c>
    </row>
    <row r="41" spans="1:14" x14ac:dyDescent="0.25">
      <c r="A41" t="s">
        <v>84</v>
      </c>
      <c r="B41" t="s">
        <v>85</v>
      </c>
      <c r="C41" s="1" t="str">
        <f>HYPERLINK("http://www.genecards.org/cgi-bin/carddisp.pl?gene=NID2","GeneCards")</f>
        <v>GeneCards</v>
      </c>
      <c r="D41" s="1" t="str">
        <f>HYPERLINK("http://genome-euro.ucsc.edu/cgi-bin/hgTracks?position=204114_at","UCSC")</f>
        <v>UCSC</v>
      </c>
      <c r="E41" s="1" t="str">
        <f>HYPERLINK("http://www.ncbi.nlm.nih.gov/gene/?term=NID2","NCBI")</f>
        <v>NCBI</v>
      </c>
      <c r="F41" s="2">
        <v>1.3E-6</v>
      </c>
      <c r="G41">
        <v>5.5000000000000003E-4</v>
      </c>
      <c r="H41" s="1" t="str">
        <f>HYPERLINK("http://www.weizmann.ac.il/complex/compphys/software/geview/data/figures/204114_at.png","Figure")</f>
        <v>Figure</v>
      </c>
      <c r="I41">
        <v>10.4</v>
      </c>
      <c r="J41" s="2">
        <v>6.4999999999999996E-6</v>
      </c>
      <c r="K41">
        <v>9.14</v>
      </c>
      <c r="L41" s="2">
        <v>2.7E-6</v>
      </c>
      <c r="M41">
        <v>0.879</v>
      </c>
      <c r="N41">
        <v>0.89</v>
      </c>
    </row>
    <row r="42" spans="1:14" x14ac:dyDescent="0.25">
      <c r="A42" t="s">
        <v>86</v>
      </c>
      <c r="B42" t="s">
        <v>87</v>
      </c>
      <c r="C42" s="1" t="str">
        <f>HYPERLINK("http://www.genecards.org/cgi-bin/carddisp.pl?gene=IRF4","GeneCards")</f>
        <v>GeneCards</v>
      </c>
      <c r="D42" s="1" t="str">
        <f>HYPERLINK("http://genome-euro.ucsc.edu/cgi-bin/hgTracks?position=204562_at","UCSC")</f>
        <v>UCSC</v>
      </c>
      <c r="E42" s="1" t="str">
        <f>HYPERLINK("http://www.ncbi.nlm.nih.gov/gene/?term=IRF4","NCBI")</f>
        <v>NCBI</v>
      </c>
      <c r="F42" s="2">
        <v>1.3999999999999999E-6</v>
      </c>
      <c r="G42">
        <v>5.8E-4</v>
      </c>
      <c r="H42" s="1" t="str">
        <f>HYPERLINK("http://www.weizmann.ac.il/complex/compphys/software/geview/data/figures/204562_at.png","Figure")</f>
        <v>Figure</v>
      </c>
      <c r="I42">
        <v>5.73</v>
      </c>
      <c r="J42" s="2">
        <v>9.4E-7</v>
      </c>
      <c r="K42">
        <v>2.39</v>
      </c>
      <c r="L42">
        <v>3.2000000000000003E-4</v>
      </c>
      <c r="M42">
        <v>0.41699999999999998</v>
      </c>
      <c r="N42">
        <v>5.6999999999999998E-4</v>
      </c>
    </row>
    <row r="43" spans="1:14" x14ac:dyDescent="0.25">
      <c r="A43" t="s">
        <v>88</v>
      </c>
      <c r="B43" t="s">
        <v>89</v>
      </c>
      <c r="C43" s="1" t="str">
        <f>HYPERLINK("http://www.genecards.org/cgi-bin/carddisp.pl?gene=CTNNBL1","GeneCards")</f>
        <v>GeneCards</v>
      </c>
      <c r="D43" s="1" t="str">
        <f>HYPERLINK("http://genome-euro.ucsc.edu/cgi-bin/hgTracks?position=221021_s_at","UCSC")</f>
        <v>UCSC</v>
      </c>
      <c r="E43" s="1" t="str">
        <f>HYPERLINK("http://www.ncbi.nlm.nih.gov/gene/?term=CTNNBL1","NCBI")</f>
        <v>NCBI</v>
      </c>
      <c r="F43" s="2">
        <v>1.5999999999999999E-6</v>
      </c>
      <c r="G43">
        <v>6.6E-4</v>
      </c>
      <c r="H43" s="1" t="str">
        <f>HYPERLINK("http://www.weizmann.ac.il/complex/compphys/software/geview/data/figures/221021_s_at.png","Figure")</f>
        <v>Figure</v>
      </c>
      <c r="I43">
        <v>2.92</v>
      </c>
      <c r="J43" s="2">
        <v>4.8999999999999998E-5</v>
      </c>
      <c r="K43">
        <v>3.64</v>
      </c>
      <c r="L43" s="2">
        <v>1.5E-6</v>
      </c>
      <c r="M43">
        <v>1.25</v>
      </c>
      <c r="N43">
        <v>0.35</v>
      </c>
    </row>
    <row r="44" spans="1:14" x14ac:dyDescent="0.25">
      <c r="A44" t="s">
        <v>90</v>
      </c>
      <c r="B44" t="s">
        <v>91</v>
      </c>
      <c r="C44" s="1" t="str">
        <f>HYPERLINK("http://www.genecards.org/cgi-bin/carddisp.pl?gene=ME2","GeneCards")</f>
        <v>GeneCards</v>
      </c>
      <c r="D44" s="1" t="str">
        <f>HYPERLINK("http://genome-euro.ucsc.edu/cgi-bin/hgTracks?position=209397_at","UCSC")</f>
        <v>UCSC</v>
      </c>
      <c r="E44" s="1" t="str">
        <f>HYPERLINK("http://www.ncbi.nlm.nih.gov/gene/?term=ME2","NCBI")</f>
        <v>NCBI</v>
      </c>
      <c r="F44" s="2">
        <v>1.7E-6</v>
      </c>
      <c r="G44">
        <v>6.7000000000000002E-4</v>
      </c>
      <c r="H44" s="1" t="str">
        <f>HYPERLINK("http://www.weizmann.ac.il/complex/compphys/software/geview/data/figures/209397_at.png","Figure")</f>
        <v>Figure</v>
      </c>
      <c r="I44">
        <v>0.57499999999999996</v>
      </c>
      <c r="J44">
        <v>9.7000000000000003E-3</v>
      </c>
      <c r="K44">
        <v>2.17</v>
      </c>
      <c r="L44">
        <v>2.2000000000000001E-4</v>
      </c>
      <c r="M44">
        <v>3.78</v>
      </c>
      <c r="N44" s="2">
        <v>1.5999999999999999E-6</v>
      </c>
    </row>
    <row r="45" spans="1:14" x14ac:dyDescent="0.25">
      <c r="A45" t="s">
        <v>92</v>
      </c>
      <c r="B45" t="s">
        <v>93</v>
      </c>
      <c r="C45" s="1" t="str">
        <f>HYPERLINK("http://www.genecards.org/cgi-bin/carddisp.pl?gene=PKIG","GeneCards")</f>
        <v>GeneCards</v>
      </c>
      <c r="D45" s="1" t="str">
        <f>HYPERLINK("http://genome-euro.ucsc.edu/cgi-bin/hgTracks?position=202732_at","UCSC")</f>
        <v>UCSC</v>
      </c>
      <c r="E45" s="1" t="str">
        <f>HYPERLINK("http://www.ncbi.nlm.nih.gov/gene/?term=PKIG","NCBI")</f>
        <v>NCBI</v>
      </c>
      <c r="F45" s="2">
        <v>1.7999999999999999E-6</v>
      </c>
      <c r="G45">
        <v>6.8000000000000005E-4</v>
      </c>
      <c r="H45" s="1" t="str">
        <f>HYPERLINK("http://www.weizmann.ac.il/complex/compphys/software/geview/data/figures/202732_at.png","Figure")</f>
        <v>Figure</v>
      </c>
      <c r="I45">
        <v>1.87</v>
      </c>
      <c r="J45" s="2">
        <v>9.0000000000000006E-5</v>
      </c>
      <c r="K45">
        <v>2.2400000000000002</v>
      </c>
      <c r="L45" s="2">
        <v>1.3999999999999999E-6</v>
      </c>
      <c r="M45">
        <v>1.2</v>
      </c>
      <c r="N45">
        <v>0.17</v>
      </c>
    </row>
    <row r="46" spans="1:14" x14ac:dyDescent="0.25">
      <c r="A46" t="s">
        <v>94</v>
      </c>
      <c r="B46" t="s">
        <v>95</v>
      </c>
      <c r="C46" s="1" t="str">
        <f>HYPERLINK("http://www.genecards.org/cgi-bin/carddisp.pl?gene=KANK1","GeneCards")</f>
        <v>GeneCards</v>
      </c>
      <c r="D46" s="1" t="str">
        <f>HYPERLINK("http://genome-euro.ucsc.edu/cgi-bin/hgTracks?position=213005_s_at","UCSC")</f>
        <v>UCSC</v>
      </c>
      <c r="E46" s="1" t="str">
        <f>HYPERLINK("http://www.ncbi.nlm.nih.gov/gene/?term=KANK1","NCBI")</f>
        <v>NCBI</v>
      </c>
      <c r="F46" s="2">
        <v>1.9E-6</v>
      </c>
      <c r="G46">
        <v>7.2999999999999996E-4</v>
      </c>
      <c r="H46" s="1" t="str">
        <f>HYPERLINK("http://www.weizmann.ac.il/complex/compphys/software/geview/data/figures/213005_s_at.png","Figure")</f>
        <v>Figure</v>
      </c>
      <c r="I46">
        <v>7.48</v>
      </c>
      <c r="J46" s="2">
        <v>8.7999999999999998E-5</v>
      </c>
      <c r="K46">
        <v>13</v>
      </c>
      <c r="L46" s="2">
        <v>1.5999999999999999E-6</v>
      </c>
      <c r="M46">
        <v>1.74</v>
      </c>
      <c r="N46">
        <v>0.2</v>
      </c>
    </row>
    <row r="47" spans="1:14" x14ac:dyDescent="0.25">
      <c r="A47" t="s">
        <v>96</v>
      </c>
      <c r="B47" t="s">
        <v>97</v>
      </c>
      <c r="C47" s="1" t="str">
        <f>HYPERLINK("http://www.genecards.org/cgi-bin/carddisp.pl?gene=SLC19A1","GeneCards")</f>
        <v>GeneCards</v>
      </c>
      <c r="D47" s="1" t="str">
        <f>HYPERLINK("http://genome-euro.ucsc.edu/cgi-bin/hgTracks?position=211576_s_at","UCSC")</f>
        <v>UCSC</v>
      </c>
      <c r="E47" s="1" t="str">
        <f>HYPERLINK("http://www.ncbi.nlm.nih.gov/gene/?term=SLC19A1","NCBI")</f>
        <v>NCBI</v>
      </c>
      <c r="F47" s="2">
        <v>1.9999999999999999E-6</v>
      </c>
      <c r="G47">
        <v>7.3999999999999999E-4</v>
      </c>
      <c r="H47" s="1" t="str">
        <f>HYPERLINK("http://www.weizmann.ac.il/complex/compphys/software/geview/data/figures/211576_s_at.png","Figure")</f>
        <v>Figure</v>
      </c>
      <c r="I47">
        <v>0.60199999999999998</v>
      </c>
      <c r="J47" s="2">
        <v>1.2999999999999999E-5</v>
      </c>
      <c r="K47">
        <v>1.05</v>
      </c>
      <c r="L47">
        <v>0.72</v>
      </c>
      <c r="M47">
        <v>1.74</v>
      </c>
      <c r="N47" s="2">
        <v>2.3E-6</v>
      </c>
    </row>
    <row r="48" spans="1:14" x14ac:dyDescent="0.25">
      <c r="A48" t="s">
        <v>98</v>
      </c>
      <c r="B48" t="s">
        <v>99</v>
      </c>
      <c r="C48" s="1" t="str">
        <f>HYPERLINK("http://www.genecards.org/cgi-bin/carddisp.pl?gene=ITPR3","GeneCards")</f>
        <v>GeneCards</v>
      </c>
      <c r="D48" s="1" t="str">
        <f>HYPERLINK("http://genome-euro.ucsc.edu/cgi-bin/hgTracks?position=201189_s_at","UCSC")</f>
        <v>UCSC</v>
      </c>
      <c r="E48" s="1" t="str">
        <f>HYPERLINK("http://www.ncbi.nlm.nih.gov/gene/?term=ITPR3","NCBI")</f>
        <v>NCBI</v>
      </c>
      <c r="F48" s="2">
        <v>2.0999999999999998E-6</v>
      </c>
      <c r="G48">
        <v>7.6999999999999996E-4</v>
      </c>
      <c r="H48" s="1" t="str">
        <f>HYPERLINK("http://www.weizmann.ac.il/complex/compphys/software/geview/data/figures/201189_s_at.png","Figure")</f>
        <v>Figure</v>
      </c>
      <c r="I48">
        <v>3.52</v>
      </c>
      <c r="J48" s="2">
        <v>6.9999999999999999E-6</v>
      </c>
      <c r="K48">
        <v>1.01</v>
      </c>
      <c r="L48">
        <v>1</v>
      </c>
      <c r="M48">
        <v>0.28699999999999998</v>
      </c>
      <c r="N48" s="2">
        <v>3.5999999999999998E-6</v>
      </c>
    </row>
    <row r="49" spans="1:14" x14ac:dyDescent="0.25">
      <c r="A49" t="s">
        <v>100</v>
      </c>
      <c r="B49" t="s">
        <v>101</v>
      </c>
      <c r="C49" s="1" t="str">
        <f>HYPERLINK("http://www.genecards.org/cgi-bin/carddisp.pl?gene=RRP1B","GeneCards")</f>
        <v>GeneCards</v>
      </c>
      <c r="D49" s="1" t="str">
        <f>HYPERLINK("http://genome-euro.ucsc.edu/cgi-bin/hgTracks?position=212846_at","UCSC")</f>
        <v>UCSC</v>
      </c>
      <c r="E49" s="1" t="str">
        <f>HYPERLINK("http://www.ncbi.nlm.nih.gov/gene/?term=RRP1B","NCBI")</f>
        <v>NCBI</v>
      </c>
      <c r="F49" s="2">
        <v>2.3999999999999999E-6</v>
      </c>
      <c r="G49">
        <v>8.4999999999999995E-4</v>
      </c>
      <c r="H49" s="1" t="str">
        <f>HYPERLINK("http://www.weizmann.ac.il/complex/compphys/software/geview/data/figures/212846_at.png","Figure")</f>
        <v>Figure</v>
      </c>
      <c r="I49">
        <v>0.43</v>
      </c>
      <c r="J49">
        <v>1.9000000000000001E-4</v>
      </c>
      <c r="K49">
        <v>1.49</v>
      </c>
      <c r="L49">
        <v>0.02</v>
      </c>
      <c r="M49">
        <v>3.47</v>
      </c>
      <c r="N49" s="2">
        <v>1.5999999999999999E-6</v>
      </c>
    </row>
    <row r="50" spans="1:14" x14ac:dyDescent="0.25">
      <c r="A50" t="s">
        <v>102</v>
      </c>
      <c r="B50" t="s">
        <v>103</v>
      </c>
      <c r="C50" s="1" t="str">
        <f>HYPERLINK("http://www.genecards.org/cgi-bin/carddisp.pl?gene=TSPAN7","GeneCards")</f>
        <v>GeneCards</v>
      </c>
      <c r="D50" s="1" t="str">
        <f>HYPERLINK("http://genome-euro.ucsc.edu/cgi-bin/hgTracks?position=202242_at","UCSC")</f>
        <v>UCSC</v>
      </c>
      <c r="E50" s="1" t="str">
        <f>HYPERLINK("http://www.ncbi.nlm.nih.gov/gene/?term=TSPAN7","NCBI")</f>
        <v>NCBI</v>
      </c>
      <c r="F50" s="2">
        <v>2.9000000000000002E-6</v>
      </c>
      <c r="G50">
        <v>9.7999999999999997E-4</v>
      </c>
      <c r="H50" s="1" t="str">
        <f>HYPERLINK("http://www.weizmann.ac.il/complex/compphys/software/geview/data/figures/202242_at.png","Figure")</f>
        <v>Figure</v>
      </c>
      <c r="I50">
        <v>0.125</v>
      </c>
      <c r="J50" s="2">
        <v>2.0999999999999998E-6</v>
      </c>
      <c r="K50">
        <v>0.316</v>
      </c>
      <c r="L50">
        <v>2.4000000000000001E-4</v>
      </c>
      <c r="M50">
        <v>2.52</v>
      </c>
      <c r="N50">
        <v>2.8E-3</v>
      </c>
    </row>
    <row r="51" spans="1:14" x14ac:dyDescent="0.25">
      <c r="A51" t="s">
        <v>104</v>
      </c>
      <c r="B51" t="s">
        <v>105</v>
      </c>
      <c r="C51" s="1" t="str">
        <f>HYPERLINK("http://www.genecards.org/cgi-bin/carddisp.pl?gene=AP1S2","GeneCards")</f>
        <v>GeneCards</v>
      </c>
      <c r="D51" s="1" t="str">
        <f>HYPERLINK("http://genome-euro.ucsc.edu/cgi-bin/hgTracks?position=203300_x_at","UCSC")</f>
        <v>UCSC</v>
      </c>
      <c r="E51" s="1" t="str">
        <f>HYPERLINK("http://www.ncbi.nlm.nih.gov/gene/?term=AP1S2","NCBI")</f>
        <v>NCBI</v>
      </c>
      <c r="F51" s="2">
        <v>2.9000000000000002E-6</v>
      </c>
      <c r="G51">
        <v>9.7999999999999997E-4</v>
      </c>
      <c r="H51" s="1" t="str">
        <f>HYPERLINK("http://www.weizmann.ac.il/complex/compphys/software/geview/data/figures/203300_x_at.png","Figure")</f>
        <v>Figure</v>
      </c>
      <c r="I51">
        <v>0.58599999999999997</v>
      </c>
      <c r="J51">
        <v>8.0999999999999996E-3</v>
      </c>
      <c r="K51">
        <v>1.94</v>
      </c>
      <c r="L51">
        <v>5.1000000000000004E-4</v>
      </c>
      <c r="M51">
        <v>3.31</v>
      </c>
      <c r="N51" s="2">
        <v>2.5000000000000002E-6</v>
      </c>
    </row>
    <row r="52" spans="1:14" x14ac:dyDescent="0.25">
      <c r="A52" t="s">
        <v>106</v>
      </c>
      <c r="B52" t="s">
        <v>107</v>
      </c>
      <c r="C52" s="1" t="str">
        <f>HYPERLINK("http://www.genecards.org/cgi-bin/carddisp.pl?gene=PROM1","GeneCards")</f>
        <v>GeneCards</v>
      </c>
      <c r="D52" s="1" t="str">
        <f>HYPERLINK("http://genome-euro.ucsc.edu/cgi-bin/hgTracks?position=204304_s_at","UCSC")</f>
        <v>UCSC</v>
      </c>
      <c r="E52" s="1" t="str">
        <f>HYPERLINK("http://www.ncbi.nlm.nih.gov/gene/?term=PROM1","NCBI")</f>
        <v>NCBI</v>
      </c>
      <c r="F52" s="2">
        <v>2.7999999999999999E-6</v>
      </c>
      <c r="G52">
        <v>9.7999999999999997E-4</v>
      </c>
      <c r="H52" s="1" t="str">
        <f>HYPERLINK("http://www.weizmann.ac.il/complex/compphys/software/geview/data/figures/204304_s_at.png","Figure")</f>
        <v>Figure</v>
      </c>
      <c r="I52">
        <v>0.125</v>
      </c>
      <c r="J52" s="2">
        <v>6.6000000000000003E-6</v>
      </c>
      <c r="K52">
        <v>0.877</v>
      </c>
      <c r="L52">
        <v>0.84</v>
      </c>
      <c r="M52">
        <v>7.04</v>
      </c>
      <c r="N52" s="2">
        <v>6.3999999999999997E-6</v>
      </c>
    </row>
    <row r="53" spans="1:14" x14ac:dyDescent="0.25">
      <c r="A53" t="s">
        <v>108</v>
      </c>
      <c r="B53" t="s">
        <v>109</v>
      </c>
      <c r="C53" s="1" t="str">
        <f>HYPERLINK("http://www.genecards.org/cgi-bin/carddisp.pl?gene=SUPT3H","GeneCards")</f>
        <v>GeneCards</v>
      </c>
      <c r="D53" s="1" t="str">
        <f>HYPERLINK("http://genome-euro.ucsc.edu/cgi-bin/hgTracks?position=206506_s_at","UCSC")</f>
        <v>UCSC</v>
      </c>
      <c r="E53" s="1" t="str">
        <f>HYPERLINK("http://www.ncbi.nlm.nih.gov/gene/?term=SUPT3H","NCBI")</f>
        <v>NCBI</v>
      </c>
      <c r="F53" s="2">
        <v>3.0000000000000001E-6</v>
      </c>
      <c r="G53">
        <v>9.7999999999999997E-4</v>
      </c>
      <c r="H53" s="1" t="str">
        <f>HYPERLINK("http://www.weizmann.ac.il/complex/compphys/software/geview/data/figures/206506_s_at.png","Figure")</f>
        <v>Figure</v>
      </c>
      <c r="I53">
        <v>0.46600000000000003</v>
      </c>
      <c r="J53" s="2">
        <v>3.3000000000000002E-6</v>
      </c>
      <c r="K53">
        <v>0.85399999999999998</v>
      </c>
      <c r="L53">
        <v>0.15</v>
      </c>
      <c r="M53">
        <v>1.83</v>
      </c>
      <c r="N53" s="2">
        <v>2.0000000000000002E-5</v>
      </c>
    </row>
    <row r="54" spans="1:14" x14ac:dyDescent="0.25">
      <c r="A54" t="s">
        <v>110</v>
      </c>
      <c r="B54" t="s">
        <v>111</v>
      </c>
      <c r="C54" s="1" t="str">
        <f>HYPERLINK("http://www.genecards.org/cgi-bin/carddisp.pl?gene=FAT1","GeneCards")</f>
        <v>GeneCards</v>
      </c>
      <c r="D54" s="1" t="str">
        <f>HYPERLINK("http://genome-euro.ucsc.edu/cgi-bin/hgTracks?position=201579_at","UCSC")</f>
        <v>UCSC</v>
      </c>
      <c r="E54" s="1" t="str">
        <f>HYPERLINK("http://www.ncbi.nlm.nih.gov/gene/?term=FAT1","NCBI")</f>
        <v>NCBI</v>
      </c>
      <c r="F54" s="2">
        <v>3.5999999999999998E-6</v>
      </c>
      <c r="G54">
        <v>1.1000000000000001E-3</v>
      </c>
      <c r="H54" s="1" t="str">
        <f>HYPERLINK("http://www.weizmann.ac.il/complex/compphys/software/geview/data/figures/201579_at.png","Figure")</f>
        <v>Figure</v>
      </c>
      <c r="I54">
        <v>11.4</v>
      </c>
      <c r="J54" s="2">
        <v>9.7000000000000003E-6</v>
      </c>
      <c r="K54">
        <v>7.99</v>
      </c>
      <c r="L54" s="2">
        <v>1.2E-5</v>
      </c>
      <c r="M54">
        <v>0.69899999999999995</v>
      </c>
      <c r="N54">
        <v>0.47</v>
      </c>
    </row>
    <row r="55" spans="1:14" x14ac:dyDescent="0.25">
      <c r="A55" t="s">
        <v>112</v>
      </c>
      <c r="B55" t="s">
        <v>113</v>
      </c>
      <c r="C55" s="1" t="str">
        <f>HYPERLINK("http://www.genecards.org/cgi-bin/carddisp.pl?gene=KDSR","GeneCards")</f>
        <v>GeneCards</v>
      </c>
      <c r="D55" s="1" t="str">
        <f>HYPERLINK("http://genome-euro.ucsc.edu/cgi-bin/hgTracks?position=202419_at","UCSC")</f>
        <v>UCSC</v>
      </c>
      <c r="E55" s="1" t="str">
        <f>HYPERLINK("http://www.ncbi.nlm.nih.gov/gene/?term=KDSR","NCBI")</f>
        <v>NCBI</v>
      </c>
      <c r="F55" s="2">
        <v>3.8E-6</v>
      </c>
      <c r="G55">
        <v>1.1000000000000001E-3</v>
      </c>
      <c r="H55" s="1" t="str">
        <f>HYPERLINK("http://www.weizmann.ac.il/complex/compphys/software/geview/data/figures/202419_at.png","Figure")</f>
        <v>Figure</v>
      </c>
      <c r="I55">
        <v>0.33200000000000002</v>
      </c>
      <c r="J55" s="2">
        <v>6.8000000000000001E-6</v>
      </c>
      <c r="K55">
        <v>0.88900000000000001</v>
      </c>
      <c r="L55">
        <v>0.61</v>
      </c>
      <c r="M55">
        <v>2.68</v>
      </c>
      <c r="N55" s="2">
        <v>1.1E-5</v>
      </c>
    </row>
    <row r="56" spans="1:14" x14ac:dyDescent="0.25">
      <c r="A56" t="s">
        <v>114</v>
      </c>
      <c r="B56" t="s">
        <v>115</v>
      </c>
      <c r="C56" s="1" t="str">
        <f>HYPERLINK("http://www.genecards.org/cgi-bin/carddisp.pl?gene=DDX3Y","GeneCards")</f>
        <v>GeneCards</v>
      </c>
      <c r="D56" s="1" t="str">
        <f>HYPERLINK("http://genome-euro.ucsc.edu/cgi-bin/hgTracks?position=205001_s_at","UCSC")</f>
        <v>UCSC</v>
      </c>
      <c r="E56" s="1" t="str">
        <f>HYPERLINK("http://www.ncbi.nlm.nih.gov/gene/?term=DDX3Y","NCBI")</f>
        <v>NCBI</v>
      </c>
      <c r="F56" s="2">
        <v>3.7000000000000002E-6</v>
      </c>
      <c r="G56">
        <v>1.1000000000000001E-3</v>
      </c>
      <c r="H56" s="1" t="str">
        <f>HYPERLINK("http://www.weizmann.ac.il/complex/compphys/software/geview/data/figures/205001_s_at.png","Figure")</f>
        <v>Figure</v>
      </c>
      <c r="I56">
        <v>3.25</v>
      </c>
      <c r="J56">
        <v>4.4999999999999997E-3</v>
      </c>
      <c r="K56">
        <v>0.29499999999999998</v>
      </c>
      <c r="L56">
        <v>1.1999999999999999E-3</v>
      </c>
      <c r="M56">
        <v>9.0899999999999995E-2</v>
      </c>
      <c r="N56" s="2">
        <v>2.7999999999999999E-6</v>
      </c>
    </row>
    <row r="57" spans="1:14" x14ac:dyDescent="0.25">
      <c r="A57" t="s">
        <v>116</v>
      </c>
      <c r="B57" t="s">
        <v>10</v>
      </c>
      <c r="C57" s="1" t="str">
        <f>HYPERLINK("http://www.genecards.org/cgi-bin/carddisp.pl?gene=PBX1","GeneCards")</f>
        <v>GeneCards</v>
      </c>
      <c r="D57" s="1" t="str">
        <f>HYPERLINK("http://genome-euro.ucsc.edu/cgi-bin/hgTracks?position=205253_at","UCSC")</f>
        <v>UCSC</v>
      </c>
      <c r="E57" s="1" t="str">
        <f>HYPERLINK("http://www.ncbi.nlm.nih.gov/gene/?term=PBX1","NCBI")</f>
        <v>NCBI</v>
      </c>
      <c r="F57" s="2">
        <v>3.7000000000000002E-6</v>
      </c>
      <c r="G57">
        <v>1.1000000000000001E-3</v>
      </c>
      <c r="H57" s="1" t="str">
        <f>HYPERLINK("http://www.weizmann.ac.il/complex/compphys/software/geview/data/figures/205253_at.png","Figure")</f>
        <v>Figure</v>
      </c>
      <c r="I57">
        <v>10.8</v>
      </c>
      <c r="J57" s="2">
        <v>2.5999999999999998E-5</v>
      </c>
      <c r="K57">
        <v>10.8</v>
      </c>
      <c r="L57" s="2">
        <v>6.1E-6</v>
      </c>
      <c r="M57">
        <v>1</v>
      </c>
      <c r="N57">
        <v>1</v>
      </c>
    </row>
    <row r="58" spans="1:14" x14ac:dyDescent="0.25">
      <c r="A58" t="s">
        <v>117</v>
      </c>
      <c r="B58" t="s">
        <v>118</v>
      </c>
      <c r="C58" s="1" t="str">
        <f>HYPERLINK("http://www.genecards.org/cgi-bin/carddisp.pl?gene=WDFY3","GeneCards")</f>
        <v>GeneCards</v>
      </c>
      <c r="D58" s="1" t="str">
        <f>HYPERLINK("http://genome-euro.ucsc.edu/cgi-bin/hgTracks?position=212602_at","UCSC")</f>
        <v>UCSC</v>
      </c>
      <c r="E58" s="1" t="str">
        <f>HYPERLINK("http://www.ncbi.nlm.nih.gov/gene/?term=WDFY3","NCBI")</f>
        <v>NCBI</v>
      </c>
      <c r="F58" s="2">
        <v>3.8999999999999999E-6</v>
      </c>
      <c r="G58">
        <v>1.1999999999999999E-3</v>
      </c>
      <c r="H58" s="1" t="str">
        <f>HYPERLINK("http://www.weizmann.ac.il/complex/compphys/software/geview/data/figures/212602_at.png","Figure")</f>
        <v>Figure</v>
      </c>
      <c r="I58">
        <v>0.41699999999999998</v>
      </c>
      <c r="J58">
        <v>1.9000000000000001E-4</v>
      </c>
      <c r="K58">
        <v>0.32200000000000001</v>
      </c>
      <c r="L58" s="2">
        <v>3.1E-6</v>
      </c>
      <c r="M58">
        <v>0.77100000000000002</v>
      </c>
      <c r="N58">
        <v>0.2</v>
      </c>
    </row>
    <row r="59" spans="1:14" x14ac:dyDescent="0.25">
      <c r="A59" t="s">
        <v>119</v>
      </c>
      <c r="B59" t="s">
        <v>120</v>
      </c>
      <c r="C59" s="1" t="str">
        <f>HYPERLINK("http://www.genecards.org/cgi-bin/carddisp.pl?gene=HIP1R /// LOC100294412","GeneCards")</f>
        <v>GeneCards</v>
      </c>
      <c r="D59" s="1" t="str">
        <f>HYPERLINK("http://genome-euro.ucsc.edu/cgi-bin/hgTracks?position=38340_at","UCSC")</f>
        <v>UCSC</v>
      </c>
      <c r="E59" s="1" t="str">
        <f>HYPERLINK("http://www.ncbi.nlm.nih.gov/gene/?term=HIP1R /// LOC100294412","NCBI")</f>
        <v>NCBI</v>
      </c>
      <c r="F59" s="2">
        <v>4.0999999999999997E-6</v>
      </c>
      <c r="G59">
        <v>1.1999999999999999E-3</v>
      </c>
      <c r="H59" s="1" t="str">
        <f>HYPERLINK("http://www.weizmann.ac.il/complex/compphys/software/geview/data/figures/38340_at.png","Figure")</f>
        <v>Figure</v>
      </c>
      <c r="I59">
        <v>4.84</v>
      </c>
      <c r="J59" s="2">
        <v>2.7999999999999999E-6</v>
      </c>
      <c r="K59">
        <v>2.16</v>
      </c>
      <c r="L59">
        <v>8.8999999999999995E-4</v>
      </c>
      <c r="M59">
        <v>0.44700000000000001</v>
      </c>
      <c r="N59">
        <v>1.1000000000000001E-3</v>
      </c>
    </row>
    <row r="60" spans="1:14" x14ac:dyDescent="0.25">
      <c r="A60" t="s">
        <v>121</v>
      </c>
      <c r="B60" t="s">
        <v>122</v>
      </c>
      <c r="C60" s="1" t="str">
        <f>HYPERLINK("http://www.genecards.org/cgi-bin/carddisp.pl?gene=FHIT","GeneCards")</f>
        <v>GeneCards</v>
      </c>
      <c r="D60" s="1" t="str">
        <f>HYPERLINK("http://genome-euro.ucsc.edu/cgi-bin/hgTracks?position=206492_at","UCSC")</f>
        <v>UCSC</v>
      </c>
      <c r="E60" s="1" t="str">
        <f>HYPERLINK("http://www.ncbi.nlm.nih.gov/gene/?term=FHIT","NCBI")</f>
        <v>NCBI</v>
      </c>
      <c r="F60" s="2">
        <v>4.3000000000000003E-6</v>
      </c>
      <c r="G60">
        <v>1.1999999999999999E-3</v>
      </c>
      <c r="H60" s="1" t="str">
        <f>HYPERLINK("http://www.weizmann.ac.il/complex/compphys/software/geview/data/figures/206492_at.png","Figure")</f>
        <v>Figure</v>
      </c>
      <c r="I60">
        <v>0.32300000000000001</v>
      </c>
      <c r="J60">
        <v>1.3999999999999999E-4</v>
      </c>
      <c r="K60">
        <v>0.246</v>
      </c>
      <c r="L60" s="2">
        <v>3.7000000000000002E-6</v>
      </c>
      <c r="M60">
        <v>0.76200000000000001</v>
      </c>
      <c r="N60">
        <v>0.32</v>
      </c>
    </row>
    <row r="61" spans="1:14" x14ac:dyDescent="0.25">
      <c r="A61" t="s">
        <v>123</v>
      </c>
      <c r="B61" t="s">
        <v>124</v>
      </c>
      <c r="C61" s="1" t="str">
        <f>HYPERLINK("http://www.genecards.org/cgi-bin/carddisp.pl?gene=ALOX5","GeneCards")</f>
        <v>GeneCards</v>
      </c>
      <c r="D61" s="1" t="str">
        <f>HYPERLINK("http://genome-euro.ucsc.edu/cgi-bin/hgTracks?position=204446_s_at","UCSC")</f>
        <v>UCSC</v>
      </c>
      <c r="E61" s="1" t="str">
        <f>HYPERLINK("http://www.ncbi.nlm.nih.gov/gene/?term=ALOX5","NCBI")</f>
        <v>NCBI</v>
      </c>
      <c r="F61" s="2">
        <v>4.6E-6</v>
      </c>
      <c r="G61">
        <v>1.2999999999999999E-3</v>
      </c>
      <c r="H61" s="1" t="str">
        <f>HYPERLINK("http://www.weizmann.ac.il/complex/compphys/software/geview/data/figures/204446_s_at.png","Figure")</f>
        <v>Figure</v>
      </c>
      <c r="I61">
        <v>6.3299999999999995E-2</v>
      </c>
      <c r="J61" s="2">
        <v>4.6E-5</v>
      </c>
      <c r="K61">
        <v>5.3900000000000003E-2</v>
      </c>
      <c r="L61" s="2">
        <v>6.0000000000000002E-6</v>
      </c>
      <c r="M61">
        <v>0.85199999999999998</v>
      </c>
      <c r="N61">
        <v>0.91</v>
      </c>
    </row>
    <row r="62" spans="1:14" x14ac:dyDescent="0.25">
      <c r="A62" t="s">
        <v>125</v>
      </c>
      <c r="B62" t="s">
        <v>126</v>
      </c>
      <c r="C62" s="1" t="str">
        <f>HYPERLINK("http://www.genecards.org/cgi-bin/carddisp.pl?gene=SERBP1","GeneCards")</f>
        <v>GeneCards</v>
      </c>
      <c r="D62" s="1" t="str">
        <f>HYPERLINK("http://genome-euro.ucsc.edu/cgi-bin/hgTracks?position=209669_s_at","UCSC")</f>
        <v>UCSC</v>
      </c>
      <c r="E62" s="1" t="str">
        <f>HYPERLINK("http://www.ncbi.nlm.nih.gov/gene/?term=SERBP1","NCBI")</f>
        <v>NCBI</v>
      </c>
      <c r="F62" s="2">
        <v>4.7999999999999998E-6</v>
      </c>
      <c r="G62">
        <v>1.2999999999999999E-3</v>
      </c>
      <c r="H62" s="1" t="str">
        <f>HYPERLINK("http://www.weizmann.ac.il/complex/compphys/software/geview/data/figures/209669_s_at.png","Figure")</f>
        <v>Figure</v>
      </c>
      <c r="I62">
        <v>1.81</v>
      </c>
      <c r="J62" s="2">
        <v>1.5E-5</v>
      </c>
      <c r="K62">
        <v>1.69</v>
      </c>
      <c r="L62" s="2">
        <v>1.4E-5</v>
      </c>
      <c r="M62">
        <v>0.93100000000000005</v>
      </c>
      <c r="N62">
        <v>0.62</v>
      </c>
    </row>
    <row r="63" spans="1:14" x14ac:dyDescent="0.25">
      <c r="A63" t="s">
        <v>127</v>
      </c>
      <c r="B63" t="s">
        <v>128</v>
      </c>
      <c r="C63" s="1" t="str">
        <f>HYPERLINK("http://www.genecards.org/cgi-bin/carddisp.pl?gene=VDAC1","GeneCards")</f>
        <v>GeneCards</v>
      </c>
      <c r="D63" s="1" t="str">
        <f>HYPERLINK("http://genome-euro.ucsc.edu/cgi-bin/hgTracks?position=212038_s_at","UCSC")</f>
        <v>UCSC</v>
      </c>
      <c r="E63" s="1" t="str">
        <f>HYPERLINK("http://www.ncbi.nlm.nih.gov/gene/?term=VDAC1","NCBI")</f>
        <v>NCBI</v>
      </c>
      <c r="F63" s="2">
        <v>4.6E-6</v>
      </c>
      <c r="G63">
        <v>1.2999999999999999E-3</v>
      </c>
      <c r="H63" s="1" t="str">
        <f>HYPERLINK("http://www.weizmann.ac.il/complex/compphys/software/geview/data/figures/212038_s_at.png","Figure")</f>
        <v>Figure</v>
      </c>
      <c r="I63">
        <v>1.52</v>
      </c>
      <c r="J63">
        <v>3.1E-2</v>
      </c>
      <c r="K63">
        <v>2.88</v>
      </c>
      <c r="L63" s="2">
        <v>3.7000000000000002E-6</v>
      </c>
      <c r="M63">
        <v>1.89</v>
      </c>
      <c r="N63">
        <v>1.1000000000000001E-3</v>
      </c>
    </row>
    <row r="64" spans="1:14" x14ac:dyDescent="0.25">
      <c r="A64" t="s">
        <v>129</v>
      </c>
      <c r="B64" t="s">
        <v>130</v>
      </c>
      <c r="C64" s="1" t="str">
        <f>HYPERLINK("http://www.genecards.org/cgi-bin/carddisp.pl?gene=C14orf147","GeneCards")</f>
        <v>GeneCards</v>
      </c>
      <c r="D64" s="1" t="str">
        <f>HYPERLINK("http://genome-euro.ucsc.edu/cgi-bin/hgTracks?position=212460_at","UCSC")</f>
        <v>UCSC</v>
      </c>
      <c r="E64" s="1" t="str">
        <f>HYPERLINK("http://www.ncbi.nlm.nih.gov/gene/?term=C14orf147","NCBI")</f>
        <v>NCBI</v>
      </c>
      <c r="F64" s="2">
        <v>4.7999999999999998E-6</v>
      </c>
      <c r="G64">
        <v>1.2999999999999999E-3</v>
      </c>
      <c r="H64" s="1" t="str">
        <f>HYPERLINK("http://www.weizmann.ac.il/complex/compphys/software/geview/data/figures/212460_at.png","Figure")</f>
        <v>Figure</v>
      </c>
      <c r="I64">
        <v>0.27800000000000002</v>
      </c>
      <c r="J64" s="2">
        <v>2.6999999999999999E-5</v>
      </c>
      <c r="K64">
        <v>1.1100000000000001</v>
      </c>
      <c r="L64">
        <v>0.79</v>
      </c>
      <c r="M64">
        <v>4</v>
      </c>
      <c r="N64" s="2">
        <v>5.5999999999999997E-6</v>
      </c>
    </row>
    <row r="65" spans="1:14" x14ac:dyDescent="0.25">
      <c r="A65" t="s">
        <v>131</v>
      </c>
      <c r="B65" t="s">
        <v>128</v>
      </c>
      <c r="C65" s="1" t="str">
        <f>HYPERLINK("http://www.genecards.org/cgi-bin/carddisp.pl?gene=VDAC1","GeneCards")</f>
        <v>GeneCards</v>
      </c>
      <c r="D65" s="1" t="str">
        <f>HYPERLINK("http://genome-euro.ucsc.edu/cgi-bin/hgTracks?position=217140_s_at","UCSC")</f>
        <v>UCSC</v>
      </c>
      <c r="E65" s="1" t="str">
        <f>HYPERLINK("http://www.ncbi.nlm.nih.gov/gene/?term=VDAC1","NCBI")</f>
        <v>NCBI</v>
      </c>
      <c r="F65" s="2">
        <v>4.7999999999999998E-6</v>
      </c>
      <c r="G65">
        <v>1.2999999999999999E-3</v>
      </c>
      <c r="H65" s="1" t="str">
        <f>HYPERLINK("http://www.weizmann.ac.il/complex/compphys/software/geview/data/figures/217140_s_at.png","Figure")</f>
        <v>Figure</v>
      </c>
      <c r="I65">
        <v>1.73</v>
      </c>
      <c r="J65">
        <v>6.4000000000000003E-3</v>
      </c>
      <c r="K65">
        <v>2.97</v>
      </c>
      <c r="L65" s="2">
        <v>3.1999999999999999E-6</v>
      </c>
      <c r="M65">
        <v>1.71</v>
      </c>
      <c r="N65">
        <v>4.5999999999999999E-3</v>
      </c>
    </row>
    <row r="66" spans="1:14" x14ac:dyDescent="0.25">
      <c r="A66" t="s">
        <v>132</v>
      </c>
      <c r="B66" t="s">
        <v>133</v>
      </c>
      <c r="C66" s="1" t="str">
        <f>HYPERLINK("http://www.genecards.org/cgi-bin/carddisp.pl?gene=LTK","GeneCards")</f>
        <v>GeneCards</v>
      </c>
      <c r="D66" s="1" t="str">
        <f>HYPERLINK("http://genome-euro.ucsc.edu/cgi-bin/hgTracks?position=217184_s_at","UCSC")</f>
        <v>UCSC</v>
      </c>
      <c r="E66" s="1" t="str">
        <f>HYPERLINK("http://www.ncbi.nlm.nih.gov/gene/?term=LTK","NCBI")</f>
        <v>NCBI</v>
      </c>
      <c r="F66" s="2">
        <v>4.6999999999999999E-6</v>
      </c>
      <c r="G66">
        <v>1.2999999999999999E-3</v>
      </c>
      <c r="H66" s="1" t="str">
        <f>HYPERLINK("http://www.weizmann.ac.il/complex/compphys/software/geview/data/figures/217184_s_at.png","Figure")</f>
        <v>Figure</v>
      </c>
      <c r="I66">
        <v>1.81</v>
      </c>
      <c r="J66" s="2">
        <v>1.0000000000000001E-5</v>
      </c>
      <c r="K66">
        <v>1.62</v>
      </c>
      <c r="L66" s="2">
        <v>2.1999999999999999E-5</v>
      </c>
      <c r="M66">
        <v>0.89500000000000002</v>
      </c>
      <c r="N66">
        <v>0.31</v>
      </c>
    </row>
    <row r="67" spans="1:14" x14ac:dyDescent="0.25">
      <c r="A67" t="s">
        <v>134</v>
      </c>
      <c r="B67" t="s">
        <v>135</v>
      </c>
      <c r="C67" s="1" t="str">
        <f>HYPERLINK("http://www.genecards.org/cgi-bin/carddisp.pl?gene=HLA-DRB1 /// HLA-DRB3 /// HLA-DRB4","GeneCards")</f>
        <v>GeneCards</v>
      </c>
      <c r="D67" s="1" t="str">
        <f>HYPERLINK("http://genome-euro.ucsc.edu/cgi-bin/hgTracks?position=215193_x_at","UCSC")</f>
        <v>UCSC</v>
      </c>
      <c r="E67" s="1" t="str">
        <f>HYPERLINK("http://www.ncbi.nlm.nih.gov/gene/?term=HLA-DRB1 /// HLA-DRB3 /// HLA-DRB4","NCBI")</f>
        <v>NCBI</v>
      </c>
      <c r="F67" s="2">
        <v>5.0000000000000004E-6</v>
      </c>
      <c r="G67">
        <v>1.2999999999999999E-3</v>
      </c>
      <c r="H67" s="1" t="str">
        <f>HYPERLINK("http://www.weizmann.ac.il/complex/compphys/software/geview/data/figures/215193_x_at.png","Figure")</f>
        <v>Figure</v>
      </c>
      <c r="I67">
        <v>0.755</v>
      </c>
      <c r="J67">
        <v>0.11</v>
      </c>
      <c r="K67">
        <v>0.40400000000000003</v>
      </c>
      <c r="L67" s="2">
        <v>4.8999999999999997E-6</v>
      </c>
      <c r="M67">
        <v>0.53500000000000003</v>
      </c>
      <c r="N67">
        <v>4.0999999999999999E-4</v>
      </c>
    </row>
    <row r="68" spans="1:14" x14ac:dyDescent="0.25">
      <c r="A68" t="s">
        <v>136</v>
      </c>
      <c r="B68" t="s">
        <v>137</v>
      </c>
      <c r="C68" s="1" t="str">
        <f>HYPERLINK("http://www.genecards.org/cgi-bin/carddisp.pl?gene=C14orf1","GeneCards")</f>
        <v>GeneCards</v>
      </c>
      <c r="D68" s="1" t="str">
        <f>HYPERLINK("http://genome-euro.ucsc.edu/cgi-bin/hgTracks?position=202562_s_at","UCSC")</f>
        <v>UCSC</v>
      </c>
      <c r="E68" s="1" t="str">
        <f>HYPERLINK("http://www.ncbi.nlm.nih.gov/gene/?term=C14orf1","NCBI")</f>
        <v>NCBI</v>
      </c>
      <c r="F68" s="2">
        <v>5.4E-6</v>
      </c>
      <c r="G68">
        <v>1.4E-3</v>
      </c>
      <c r="H68" s="1" t="str">
        <f>HYPERLINK("http://www.weizmann.ac.il/complex/compphys/software/geview/data/figures/202562_s_at.png","Figure")</f>
        <v>Figure</v>
      </c>
      <c r="I68">
        <v>0.373</v>
      </c>
      <c r="J68" s="2">
        <v>4.1999999999999996E-6</v>
      </c>
      <c r="K68">
        <v>0.73699999999999999</v>
      </c>
      <c r="L68">
        <v>2.9000000000000001E-2</v>
      </c>
      <c r="M68">
        <v>1.98</v>
      </c>
      <c r="N68" s="2">
        <v>9.8999999999999994E-5</v>
      </c>
    </row>
    <row r="69" spans="1:14" x14ac:dyDescent="0.25">
      <c r="A69" t="s">
        <v>138</v>
      </c>
      <c r="B69" t="s">
        <v>139</v>
      </c>
      <c r="C69" s="1" t="str">
        <f>HYPERLINK("http://www.genecards.org/cgi-bin/carddisp.pl?gene=KIAA0802","GeneCards")</f>
        <v>GeneCards</v>
      </c>
      <c r="D69" s="1" t="str">
        <f>HYPERLINK("http://genome-euro.ucsc.edu/cgi-bin/hgTracks?position=213358_at","UCSC")</f>
        <v>UCSC</v>
      </c>
      <c r="E69" s="1" t="str">
        <f>HYPERLINK("http://www.ncbi.nlm.nih.gov/gene/?term=KIAA0802","NCBI")</f>
        <v>NCBI</v>
      </c>
      <c r="F69" s="2">
        <v>5.4999999999999999E-6</v>
      </c>
      <c r="G69">
        <v>1.4E-3</v>
      </c>
      <c r="H69" s="1" t="str">
        <f>HYPERLINK("http://www.weizmann.ac.il/complex/compphys/software/geview/data/figures/213358_at.png","Figure")</f>
        <v>Figure</v>
      </c>
      <c r="I69">
        <v>16.600000000000001</v>
      </c>
      <c r="J69" s="2">
        <v>6.2999999999999998E-6</v>
      </c>
      <c r="K69">
        <v>6.96</v>
      </c>
      <c r="L69" s="2">
        <v>7.2999999999999999E-5</v>
      </c>
      <c r="M69">
        <v>0.42</v>
      </c>
      <c r="N69">
        <v>0.05</v>
      </c>
    </row>
    <row r="70" spans="1:14" x14ac:dyDescent="0.25">
      <c r="A70" t="s">
        <v>140</v>
      </c>
      <c r="B70" t="s">
        <v>141</v>
      </c>
      <c r="C70" s="1" t="str">
        <f>HYPERLINK("http://www.genecards.org/cgi-bin/carddisp.pl?gene=PARP2","GeneCards")</f>
        <v>GeneCards</v>
      </c>
      <c r="D70" s="1" t="str">
        <f>HYPERLINK("http://genome-euro.ucsc.edu/cgi-bin/hgTracks?position=214086_s_at","UCSC")</f>
        <v>UCSC</v>
      </c>
      <c r="E70" s="1" t="str">
        <f>HYPERLINK("http://www.ncbi.nlm.nih.gov/gene/?term=PARP2","NCBI")</f>
        <v>NCBI</v>
      </c>
      <c r="F70" s="2">
        <v>5.5999999999999997E-6</v>
      </c>
      <c r="G70">
        <v>1.4E-3</v>
      </c>
      <c r="H70" s="1" t="str">
        <f>HYPERLINK("http://www.weizmann.ac.il/complex/compphys/software/geview/data/figures/214086_s_at.png","Figure")</f>
        <v>Figure</v>
      </c>
      <c r="I70">
        <v>0.39800000000000002</v>
      </c>
      <c r="J70" s="2">
        <v>7.7999999999999999E-6</v>
      </c>
      <c r="K70">
        <v>0.86499999999999999</v>
      </c>
      <c r="L70">
        <v>0.36</v>
      </c>
      <c r="M70">
        <v>2.1800000000000002</v>
      </c>
      <c r="N70" s="2">
        <v>2.3E-5</v>
      </c>
    </row>
    <row r="71" spans="1:14" x14ac:dyDescent="0.25">
      <c r="A71" t="s">
        <v>142</v>
      </c>
      <c r="B71" t="s">
        <v>143</v>
      </c>
      <c r="C71" s="1" t="str">
        <f>HYPERLINK("http://www.genecards.org/cgi-bin/carddisp.pl?gene=SLC35A2","GeneCards")</f>
        <v>GeneCards</v>
      </c>
      <c r="D71" s="1" t="str">
        <f>HYPERLINK("http://genome-euro.ucsc.edu/cgi-bin/hgTracks?position=209326_at","UCSC")</f>
        <v>UCSC</v>
      </c>
      <c r="E71" s="1" t="str">
        <f>HYPERLINK("http://www.ncbi.nlm.nih.gov/gene/?term=SLC35A2","NCBI")</f>
        <v>NCBI</v>
      </c>
      <c r="F71" s="2">
        <v>6.0000000000000002E-6</v>
      </c>
      <c r="G71">
        <v>1.4E-3</v>
      </c>
      <c r="H71" s="1" t="str">
        <f>HYPERLINK("http://www.weizmann.ac.il/complex/compphys/software/geview/data/figures/209326_at.png","Figure")</f>
        <v>Figure</v>
      </c>
      <c r="I71">
        <v>0.43</v>
      </c>
      <c r="J71" s="2">
        <v>3.8999999999999999E-6</v>
      </c>
      <c r="K71">
        <v>0.68200000000000005</v>
      </c>
      <c r="L71">
        <v>2.2000000000000001E-3</v>
      </c>
      <c r="M71">
        <v>1.58</v>
      </c>
      <c r="N71">
        <v>8.1999999999999998E-4</v>
      </c>
    </row>
    <row r="72" spans="1:14" x14ac:dyDescent="0.25">
      <c r="A72" t="s">
        <v>144</v>
      </c>
      <c r="B72" t="s">
        <v>36</v>
      </c>
      <c r="C72" s="1" t="str">
        <f>HYPERLINK("http://www.genecards.org/cgi-bin/carddisp.pl?gene=LRBA","GeneCards")</f>
        <v>GeneCards</v>
      </c>
      <c r="D72" s="1" t="str">
        <f>HYPERLINK("http://genome-euro.ucsc.edu/cgi-bin/hgTracks?position=214109_at","UCSC")</f>
        <v>UCSC</v>
      </c>
      <c r="E72" s="1" t="str">
        <f>HYPERLINK("http://www.ncbi.nlm.nih.gov/gene/?term=LRBA","NCBI")</f>
        <v>NCBI</v>
      </c>
      <c r="F72" s="2">
        <v>6.0000000000000002E-6</v>
      </c>
      <c r="G72">
        <v>1.4E-3</v>
      </c>
      <c r="H72" s="1" t="str">
        <f>HYPERLINK("http://www.weizmann.ac.il/complex/compphys/software/geview/data/figures/214109_at.png","Figure")</f>
        <v>Figure</v>
      </c>
      <c r="I72">
        <v>0.40500000000000003</v>
      </c>
      <c r="J72" s="2">
        <v>1.5E-5</v>
      </c>
      <c r="K72">
        <v>0.96399999999999997</v>
      </c>
      <c r="L72">
        <v>0.94</v>
      </c>
      <c r="M72">
        <v>2.38</v>
      </c>
      <c r="N72" s="2">
        <v>1.2E-5</v>
      </c>
    </row>
    <row r="73" spans="1:14" x14ac:dyDescent="0.25">
      <c r="A73" t="s">
        <v>145</v>
      </c>
      <c r="B73" t="s">
        <v>146</v>
      </c>
      <c r="C73" s="1" t="str">
        <f>HYPERLINK("http://www.genecards.org/cgi-bin/carddisp.pl?gene=IGSF3","GeneCards")</f>
        <v>GeneCards</v>
      </c>
      <c r="D73" s="1" t="str">
        <f>HYPERLINK("http://genome-euro.ucsc.edu/cgi-bin/hgTracks?position=202421_at","UCSC")</f>
        <v>UCSC</v>
      </c>
      <c r="E73" s="1" t="str">
        <f>HYPERLINK("http://www.ncbi.nlm.nih.gov/gene/?term=IGSF3","NCBI")</f>
        <v>NCBI</v>
      </c>
      <c r="F73" s="2">
        <v>6.1999999999999999E-6</v>
      </c>
      <c r="G73">
        <v>1.5E-3</v>
      </c>
      <c r="H73" s="1" t="str">
        <f>HYPERLINK("http://www.weizmann.ac.il/complex/compphys/software/geview/data/figures/202421_at.png","Figure")</f>
        <v>Figure</v>
      </c>
      <c r="I73">
        <v>2.36</v>
      </c>
      <c r="J73" s="2">
        <v>9.7999999999999993E-6</v>
      </c>
      <c r="K73">
        <v>1.92</v>
      </c>
      <c r="L73" s="2">
        <v>4.1999999999999998E-5</v>
      </c>
      <c r="M73">
        <v>0.81399999999999995</v>
      </c>
      <c r="N73">
        <v>0.16</v>
      </c>
    </row>
    <row r="74" spans="1:14" x14ac:dyDescent="0.25">
      <c r="A74" t="s">
        <v>147</v>
      </c>
      <c r="B74" t="s">
        <v>148</v>
      </c>
      <c r="C74" s="1" t="str">
        <f>HYPERLINK("http://www.genecards.org/cgi-bin/carddisp.pl?gene=NRN1","GeneCards")</f>
        <v>GeneCards</v>
      </c>
      <c r="D74" s="1" t="str">
        <f>HYPERLINK("http://genome-euro.ucsc.edu/cgi-bin/hgTracks?position=218625_at","UCSC")</f>
        <v>UCSC</v>
      </c>
      <c r="E74" s="1" t="str">
        <f>HYPERLINK("http://www.ncbi.nlm.nih.gov/gene/?term=NRN1","NCBI")</f>
        <v>NCBI</v>
      </c>
      <c r="F74" s="2">
        <v>6.3999999999999997E-6</v>
      </c>
      <c r="G74">
        <v>1.5E-3</v>
      </c>
      <c r="H74" s="1" t="str">
        <f>HYPERLINK("http://www.weizmann.ac.il/complex/compphys/software/geview/data/figures/218625_at.png","Figure")</f>
        <v>Figure</v>
      </c>
      <c r="I74">
        <v>4.74</v>
      </c>
      <c r="J74">
        <v>1E-3</v>
      </c>
      <c r="K74">
        <v>0.373</v>
      </c>
      <c r="L74">
        <v>1.0999999999999999E-2</v>
      </c>
      <c r="M74">
        <v>7.8700000000000006E-2</v>
      </c>
      <c r="N74" s="2">
        <v>4.1999999999999996E-6</v>
      </c>
    </row>
    <row r="75" spans="1:14" x14ac:dyDescent="0.25">
      <c r="A75" t="s">
        <v>149</v>
      </c>
      <c r="B75" t="s">
        <v>150</v>
      </c>
      <c r="C75" s="1" t="str">
        <f>HYPERLINK("http://www.genecards.org/cgi-bin/carddisp.pl?gene=SYNPO","GeneCards")</f>
        <v>GeneCards</v>
      </c>
      <c r="D75" s="1" t="str">
        <f>HYPERLINK("http://genome-euro.ucsc.edu/cgi-bin/hgTracks?position=202796_at","UCSC")</f>
        <v>UCSC</v>
      </c>
      <c r="E75" s="1" t="str">
        <f>HYPERLINK("http://www.ncbi.nlm.nih.gov/gene/?term=SYNPO","NCBI")</f>
        <v>NCBI</v>
      </c>
      <c r="F75" s="2">
        <v>6.9999999999999999E-6</v>
      </c>
      <c r="G75">
        <v>1.6000000000000001E-3</v>
      </c>
      <c r="H75" s="1" t="str">
        <f>HYPERLINK("http://www.weizmann.ac.il/complex/compphys/software/geview/data/figures/202796_at.png","Figure")</f>
        <v>Figure</v>
      </c>
      <c r="I75">
        <v>2.31</v>
      </c>
      <c r="J75" s="2">
        <v>2.1999999999999999E-5</v>
      </c>
      <c r="K75">
        <v>2.09</v>
      </c>
      <c r="L75" s="2">
        <v>2.0000000000000002E-5</v>
      </c>
      <c r="M75">
        <v>0.90600000000000003</v>
      </c>
      <c r="N75">
        <v>0.65</v>
      </c>
    </row>
    <row r="76" spans="1:14" x14ac:dyDescent="0.25">
      <c r="A76" t="s">
        <v>151</v>
      </c>
      <c r="B76" t="s">
        <v>152</v>
      </c>
      <c r="C76" s="1" t="str">
        <f>HYPERLINK("http://www.genecards.org/cgi-bin/carddisp.pl?gene=DRAM1","GeneCards")</f>
        <v>GeneCards</v>
      </c>
      <c r="D76" s="1" t="str">
        <f>HYPERLINK("http://genome-euro.ucsc.edu/cgi-bin/hgTracks?position=218627_at","UCSC")</f>
        <v>UCSC</v>
      </c>
      <c r="E76" s="1" t="str">
        <f>HYPERLINK("http://www.ncbi.nlm.nih.gov/gene/?term=DRAM1","NCBI")</f>
        <v>NCBI</v>
      </c>
      <c r="F76" s="2">
        <v>6.9999999999999999E-6</v>
      </c>
      <c r="G76">
        <v>1.6000000000000001E-3</v>
      </c>
      <c r="H76" s="1" t="str">
        <f>HYPERLINK("http://www.weizmann.ac.il/complex/compphys/software/geview/data/figures/218627_at.png","Figure")</f>
        <v>Figure</v>
      </c>
      <c r="I76">
        <v>0.52500000000000002</v>
      </c>
      <c r="J76">
        <v>2.8E-3</v>
      </c>
      <c r="K76">
        <v>0.33200000000000002</v>
      </c>
      <c r="L76" s="2">
        <v>4.6E-6</v>
      </c>
      <c r="M76">
        <v>0.63200000000000001</v>
      </c>
      <c r="N76">
        <v>1.7999999999999999E-2</v>
      </c>
    </row>
    <row r="77" spans="1:14" x14ac:dyDescent="0.25">
      <c r="A77" t="s">
        <v>153</v>
      </c>
      <c r="B77" t="s">
        <v>154</v>
      </c>
      <c r="C77" s="1" t="str">
        <f>HYPERLINK("http://www.genecards.org/cgi-bin/carddisp.pl?gene=NP","GeneCards")</f>
        <v>GeneCards</v>
      </c>
      <c r="D77" s="1" t="str">
        <f>HYPERLINK("http://genome-euro.ucsc.edu/cgi-bin/hgTracks?position=201695_s_at","UCSC")</f>
        <v>UCSC</v>
      </c>
      <c r="E77" s="1" t="str">
        <f>HYPERLINK("http://www.ncbi.nlm.nih.gov/gene/?term=NP","NCBI")</f>
        <v>NCBI</v>
      </c>
      <c r="F77" s="2">
        <v>7.4000000000000003E-6</v>
      </c>
      <c r="G77">
        <v>1.6000000000000001E-3</v>
      </c>
      <c r="H77" s="1" t="str">
        <f>HYPERLINK("http://www.weizmann.ac.il/complex/compphys/software/geview/data/figures/201695_s_at.png","Figure")</f>
        <v>Figure</v>
      </c>
      <c r="I77">
        <v>1.92</v>
      </c>
      <c r="J77">
        <v>3.1E-2</v>
      </c>
      <c r="K77">
        <v>4.87</v>
      </c>
      <c r="L77" s="2">
        <v>5.6999999999999996E-6</v>
      </c>
      <c r="M77">
        <v>2.54</v>
      </c>
      <c r="N77">
        <v>1.8E-3</v>
      </c>
    </row>
    <row r="78" spans="1:14" x14ac:dyDescent="0.25">
      <c r="A78" t="s">
        <v>155</v>
      </c>
      <c r="B78" t="s">
        <v>156</v>
      </c>
      <c r="C78" s="1" t="str">
        <f>HYPERLINK("http://www.genecards.org/cgi-bin/carddisp.pl?gene=STAG3","GeneCards")</f>
        <v>GeneCards</v>
      </c>
      <c r="D78" s="1" t="str">
        <f>HYPERLINK("http://genome-euro.ucsc.edu/cgi-bin/hgTracks?position=219753_at","UCSC")</f>
        <v>UCSC</v>
      </c>
      <c r="E78" s="1" t="str">
        <f>HYPERLINK("http://www.ncbi.nlm.nih.gov/gene/?term=STAG3","NCBI")</f>
        <v>NCBI</v>
      </c>
      <c r="F78" s="2">
        <v>7.4000000000000003E-6</v>
      </c>
      <c r="G78">
        <v>1.6000000000000001E-3</v>
      </c>
      <c r="H78" s="1" t="str">
        <f>HYPERLINK("http://www.weizmann.ac.il/complex/compphys/software/geview/data/figures/219753_at.png","Figure")</f>
        <v>Figure</v>
      </c>
      <c r="I78">
        <v>0.53100000000000003</v>
      </c>
      <c r="J78">
        <v>0.23</v>
      </c>
      <c r="K78">
        <v>8.3199999999999996E-2</v>
      </c>
      <c r="L78" s="2">
        <v>8.6000000000000007E-6</v>
      </c>
      <c r="M78">
        <v>0.157</v>
      </c>
      <c r="N78">
        <v>3.2000000000000003E-4</v>
      </c>
    </row>
    <row r="79" spans="1:14" x14ac:dyDescent="0.25">
      <c r="A79" t="s">
        <v>157</v>
      </c>
      <c r="B79" t="s">
        <v>32</v>
      </c>
      <c r="C79" s="1" t="str">
        <f>HYPERLINK("http://www.genecards.org/cgi-bin/carddisp.pl?gene=HHEX","GeneCards")</f>
        <v>GeneCards</v>
      </c>
      <c r="D79" s="1" t="str">
        <f>HYPERLINK("http://genome-euro.ucsc.edu/cgi-bin/hgTracks?position=204689_at","UCSC")</f>
        <v>UCSC</v>
      </c>
      <c r="E79" s="1" t="str">
        <f>HYPERLINK("http://www.ncbi.nlm.nih.gov/gene/?term=HHEX","NCBI")</f>
        <v>NCBI</v>
      </c>
      <c r="F79" s="2">
        <v>7.6000000000000001E-6</v>
      </c>
      <c r="G79">
        <v>1.6999999999999999E-3</v>
      </c>
      <c r="H79" s="1" t="str">
        <f>HYPERLINK("http://www.weizmann.ac.il/complex/compphys/software/geview/data/figures/204689_at.png","Figure")</f>
        <v>Figure</v>
      </c>
      <c r="I79">
        <v>0.46800000000000003</v>
      </c>
      <c r="J79">
        <v>1.2999999999999999E-2</v>
      </c>
      <c r="K79">
        <v>0.20200000000000001</v>
      </c>
      <c r="L79" s="2">
        <v>5.3000000000000001E-6</v>
      </c>
      <c r="M79">
        <v>0.432</v>
      </c>
      <c r="N79">
        <v>4.1999999999999997E-3</v>
      </c>
    </row>
    <row r="80" spans="1:14" x14ac:dyDescent="0.25">
      <c r="A80" t="s">
        <v>158</v>
      </c>
      <c r="B80" t="s">
        <v>159</v>
      </c>
      <c r="C80" s="1" t="str">
        <f>HYPERLINK("http://www.genecards.org/cgi-bin/carddisp.pl?gene=SORD","GeneCards")</f>
        <v>GeneCards</v>
      </c>
      <c r="D80" s="1" t="str">
        <f>HYPERLINK("http://genome-euro.ucsc.edu/cgi-bin/hgTracks?position=201563_at","UCSC")</f>
        <v>UCSC</v>
      </c>
      <c r="E80" s="1" t="str">
        <f>HYPERLINK("http://www.ncbi.nlm.nih.gov/gene/?term=SORD","NCBI")</f>
        <v>NCBI</v>
      </c>
      <c r="F80" s="2">
        <v>7.9000000000000006E-6</v>
      </c>
      <c r="G80">
        <v>1.6999999999999999E-3</v>
      </c>
      <c r="H80" s="1" t="str">
        <f>HYPERLINK("http://www.weizmann.ac.il/complex/compphys/software/geview/data/figures/201563_at.png","Figure")</f>
        <v>Figure</v>
      </c>
      <c r="I80">
        <v>0.82</v>
      </c>
      <c r="J80">
        <v>0.41</v>
      </c>
      <c r="K80">
        <v>2.2799999999999998</v>
      </c>
      <c r="L80" s="2">
        <v>8.3999999999999995E-5</v>
      </c>
      <c r="M80">
        <v>2.78</v>
      </c>
      <c r="N80" s="2">
        <v>1.8E-5</v>
      </c>
    </row>
    <row r="81" spans="1:14" x14ac:dyDescent="0.25">
      <c r="A81" t="s">
        <v>160</v>
      </c>
      <c r="B81" t="s">
        <v>161</v>
      </c>
      <c r="C81" s="1" t="str">
        <f>HYPERLINK("http://www.genecards.org/cgi-bin/carddisp.pl?gene=MCM3APAS","GeneCards")</f>
        <v>GeneCards</v>
      </c>
      <c r="D81" s="1" t="str">
        <f>HYPERLINK("http://genome-euro.ucsc.edu/cgi-bin/hgTracks?position=220459_at","UCSC")</f>
        <v>UCSC</v>
      </c>
      <c r="E81" s="1" t="str">
        <f>HYPERLINK("http://www.ncbi.nlm.nih.gov/gene/?term=MCM3APAS","NCBI")</f>
        <v>NCBI</v>
      </c>
      <c r="F81" s="2">
        <v>8.3000000000000002E-6</v>
      </c>
      <c r="G81">
        <v>1.8E-3</v>
      </c>
      <c r="H81" s="1" t="str">
        <f>HYPERLINK("http://www.weizmann.ac.il/complex/compphys/software/geview/data/figures/220459_at.png","Figure")</f>
        <v>Figure</v>
      </c>
      <c r="I81">
        <v>0.81499999999999995</v>
      </c>
      <c r="J81" s="2">
        <v>2.6999999999999999E-5</v>
      </c>
      <c r="K81">
        <v>1</v>
      </c>
      <c r="L81">
        <v>1</v>
      </c>
      <c r="M81">
        <v>1.23</v>
      </c>
      <c r="N81" s="2">
        <v>1.2999999999999999E-5</v>
      </c>
    </row>
    <row r="82" spans="1:14" x14ac:dyDescent="0.25">
      <c r="A82" t="s">
        <v>162</v>
      </c>
      <c r="B82" t="s">
        <v>163</v>
      </c>
      <c r="C82" s="1" t="str">
        <f>HYPERLINK("http://www.genecards.org/cgi-bin/carddisp.pl?gene=VPREB1","GeneCards")</f>
        <v>GeneCards</v>
      </c>
      <c r="D82" s="1" t="str">
        <f>HYPERLINK("http://genome-euro.ucsc.edu/cgi-bin/hgTracks?position=221349_at","UCSC")</f>
        <v>UCSC</v>
      </c>
      <c r="E82" s="1" t="str">
        <f>HYPERLINK("http://www.ncbi.nlm.nih.gov/gene/?term=VPREB1","NCBI")</f>
        <v>NCBI</v>
      </c>
      <c r="F82" s="2">
        <v>8.4999999999999999E-6</v>
      </c>
      <c r="G82">
        <v>1.8E-3</v>
      </c>
      <c r="H82" s="1" t="str">
        <f>HYPERLINK("http://www.weizmann.ac.il/complex/compphys/software/geview/data/figures/221349_at.png","Figure")</f>
        <v>Figure</v>
      </c>
      <c r="I82">
        <v>0.79</v>
      </c>
      <c r="J82">
        <v>0.71</v>
      </c>
      <c r="K82">
        <v>5.28</v>
      </c>
      <c r="L82" s="2">
        <v>5.3999999999999998E-5</v>
      </c>
      <c r="M82">
        <v>6.68</v>
      </c>
      <c r="N82" s="2">
        <v>2.8E-5</v>
      </c>
    </row>
    <row r="83" spans="1:14" x14ac:dyDescent="0.25">
      <c r="A83" t="s">
        <v>164</v>
      </c>
      <c r="B83" t="s">
        <v>165</v>
      </c>
      <c r="C83" s="1" t="str">
        <f>HYPERLINK("http://www.genecards.org/cgi-bin/carddisp.pl?gene=UGCG","GeneCards")</f>
        <v>GeneCards</v>
      </c>
      <c r="D83" s="1" t="str">
        <f>HYPERLINK("http://genome-euro.ucsc.edu/cgi-bin/hgTracks?position=204881_s_at","UCSC")</f>
        <v>UCSC</v>
      </c>
      <c r="E83" s="1" t="str">
        <f>HYPERLINK("http://www.ncbi.nlm.nih.gov/gene/?term=UGCG","NCBI")</f>
        <v>NCBI</v>
      </c>
      <c r="F83" s="2">
        <v>8.6999999999999997E-6</v>
      </c>
      <c r="G83">
        <v>1.8E-3</v>
      </c>
      <c r="H83" s="1" t="str">
        <f>HYPERLINK("http://www.weizmann.ac.il/complex/compphys/software/geview/data/figures/204881_s_at.png","Figure")</f>
        <v>Figure</v>
      </c>
      <c r="I83">
        <v>0.35899999999999999</v>
      </c>
      <c r="J83" s="2">
        <v>9.2E-6</v>
      </c>
      <c r="K83">
        <v>0.503</v>
      </c>
      <c r="L83">
        <v>1.3999999999999999E-4</v>
      </c>
      <c r="M83">
        <v>1.4</v>
      </c>
      <c r="N83">
        <v>4.2999999999999997E-2</v>
      </c>
    </row>
    <row r="84" spans="1:14" x14ac:dyDescent="0.25">
      <c r="A84" t="s">
        <v>166</v>
      </c>
      <c r="B84" t="s">
        <v>167</v>
      </c>
      <c r="C84" s="1" t="str">
        <f>HYPERLINK("http://www.genecards.org/cgi-bin/carddisp.pl?gene=KCNN1","GeneCards")</f>
        <v>GeneCards</v>
      </c>
      <c r="D84" s="1" t="str">
        <f>HYPERLINK("http://genome-euro.ucsc.edu/cgi-bin/hgTracks?position=206231_at","UCSC")</f>
        <v>UCSC</v>
      </c>
      <c r="E84" s="1" t="str">
        <f>HYPERLINK("http://www.ncbi.nlm.nih.gov/gene/?term=KCNN1","NCBI")</f>
        <v>NCBI</v>
      </c>
      <c r="F84" s="2">
        <v>9.0999999999999993E-6</v>
      </c>
      <c r="G84">
        <v>1.9E-3</v>
      </c>
      <c r="H84" s="1" t="str">
        <f>HYPERLINK("http://www.weizmann.ac.il/complex/compphys/software/geview/data/figures/206231_at.png","Figure")</f>
        <v>Figure</v>
      </c>
      <c r="I84">
        <v>1.38</v>
      </c>
      <c r="J84">
        <v>8.0999999999999996E-3</v>
      </c>
      <c r="K84">
        <v>0.71699999999999997</v>
      </c>
      <c r="L84">
        <v>2.2000000000000001E-3</v>
      </c>
      <c r="M84">
        <v>0.52200000000000002</v>
      </c>
      <c r="N84" s="2">
        <v>6.9999999999999999E-6</v>
      </c>
    </row>
    <row r="85" spans="1:14" x14ac:dyDescent="0.25">
      <c r="A85" t="s">
        <v>168</v>
      </c>
      <c r="B85" t="s">
        <v>169</v>
      </c>
      <c r="C85" s="1" t="str">
        <f>HYPERLINK("http://www.genecards.org/cgi-bin/carddisp.pl?gene=PECAM1","GeneCards")</f>
        <v>GeneCards</v>
      </c>
      <c r="D85" s="1" t="str">
        <f>HYPERLINK("http://genome-euro.ucsc.edu/cgi-bin/hgTracks?position=208981_at","UCSC")</f>
        <v>UCSC</v>
      </c>
      <c r="E85" s="1" t="str">
        <f>HYPERLINK("http://www.ncbi.nlm.nih.gov/gene/?term=PECAM1","NCBI")</f>
        <v>NCBI</v>
      </c>
      <c r="F85" s="2">
        <v>9.7000000000000003E-6</v>
      </c>
      <c r="G85">
        <v>2E-3</v>
      </c>
      <c r="H85" s="1" t="str">
        <f>HYPERLINK("http://www.weizmann.ac.il/complex/compphys/software/geview/data/figures/208981_at.png","Figure")</f>
        <v>Figure</v>
      </c>
      <c r="I85">
        <v>0.26200000000000001</v>
      </c>
      <c r="J85" s="2">
        <v>7.9999999999999996E-6</v>
      </c>
      <c r="K85">
        <v>0.67700000000000005</v>
      </c>
      <c r="L85">
        <v>5.2999999999999999E-2</v>
      </c>
      <c r="M85">
        <v>2.59</v>
      </c>
      <c r="N85">
        <v>1.3999999999999999E-4</v>
      </c>
    </row>
    <row r="86" spans="1:14" x14ac:dyDescent="0.25">
      <c r="A86" t="s">
        <v>170</v>
      </c>
      <c r="B86" t="s">
        <v>171</v>
      </c>
      <c r="C86" s="1" t="str">
        <f>HYPERLINK("http://www.genecards.org/cgi-bin/carddisp.pl?gene=UGT8","GeneCards")</f>
        <v>GeneCards</v>
      </c>
      <c r="D86" s="1" t="str">
        <f>HYPERLINK("http://genome-euro.ucsc.edu/cgi-bin/hgTracks?position=208358_s_at","UCSC")</f>
        <v>UCSC</v>
      </c>
      <c r="E86" s="1" t="str">
        <f>HYPERLINK("http://www.ncbi.nlm.nih.gov/gene/?term=UGT8","NCBI")</f>
        <v>NCBI</v>
      </c>
      <c r="F86" s="2">
        <v>9.9000000000000001E-6</v>
      </c>
      <c r="G86">
        <v>2E-3</v>
      </c>
      <c r="H86" s="1" t="str">
        <f>HYPERLINK("http://www.weizmann.ac.il/complex/compphys/software/geview/data/figures/208358_s_at.png","Figure")</f>
        <v>Figure</v>
      </c>
      <c r="I86">
        <v>1.26</v>
      </c>
      <c r="J86" s="2">
        <v>6.2000000000000003E-5</v>
      </c>
      <c r="K86">
        <v>1.26</v>
      </c>
      <c r="L86" s="2">
        <v>1.5999999999999999E-5</v>
      </c>
      <c r="M86">
        <v>0.999</v>
      </c>
      <c r="N86">
        <v>1</v>
      </c>
    </row>
    <row r="87" spans="1:14" x14ac:dyDescent="0.25">
      <c r="A87" t="s">
        <v>172</v>
      </c>
      <c r="B87" t="s">
        <v>120</v>
      </c>
      <c r="C87" s="1" t="str">
        <f>HYPERLINK("http://www.genecards.org/cgi-bin/carddisp.pl?gene=HIP1R /// LOC100294412","GeneCards")</f>
        <v>GeneCards</v>
      </c>
      <c r="D87" s="1" t="str">
        <f>HYPERLINK("http://genome-euro.ucsc.edu/cgi-bin/hgTracks?position=209558_s_at","UCSC")</f>
        <v>UCSC</v>
      </c>
      <c r="E87" s="1" t="str">
        <f>HYPERLINK("http://www.ncbi.nlm.nih.gov/gene/?term=HIP1R /// LOC100294412","NCBI")</f>
        <v>NCBI</v>
      </c>
      <c r="F87" s="2">
        <v>1.0000000000000001E-5</v>
      </c>
      <c r="G87">
        <v>2E-3</v>
      </c>
      <c r="H87" s="1" t="str">
        <f>HYPERLINK("http://www.weizmann.ac.il/complex/compphys/software/geview/data/figures/209558_s_at.png","Figure")</f>
        <v>Figure</v>
      </c>
      <c r="I87">
        <v>4.99</v>
      </c>
      <c r="J87" s="2">
        <v>7.4000000000000003E-6</v>
      </c>
      <c r="K87">
        <v>2.38</v>
      </c>
      <c r="L87">
        <v>8.1999999999999998E-4</v>
      </c>
      <c r="M87">
        <v>0.47799999999999998</v>
      </c>
      <c r="N87">
        <v>5.1000000000000004E-3</v>
      </c>
    </row>
    <row r="88" spans="1:14" x14ac:dyDescent="0.25">
      <c r="A88" t="s">
        <v>173</v>
      </c>
      <c r="B88" t="s">
        <v>174</v>
      </c>
      <c r="C88" s="1" t="str">
        <f>HYPERLINK("http://www.genecards.org/cgi-bin/carddisp.pl?gene=PTPN2","GeneCards")</f>
        <v>GeneCards</v>
      </c>
      <c r="D88" s="1" t="str">
        <f>HYPERLINK("http://genome-euro.ucsc.edu/cgi-bin/hgTracks?position=213136_at","UCSC")</f>
        <v>UCSC</v>
      </c>
      <c r="E88" s="1" t="str">
        <f>HYPERLINK("http://www.ncbi.nlm.nih.gov/gene/?term=PTPN2","NCBI")</f>
        <v>NCBI</v>
      </c>
      <c r="F88" s="2">
        <v>1.1E-5</v>
      </c>
      <c r="G88">
        <v>2.2000000000000001E-3</v>
      </c>
      <c r="H88" s="1" t="str">
        <f>HYPERLINK("http://www.weizmann.ac.il/complex/compphys/software/geview/data/figures/213136_at.png","Figure")</f>
        <v>Figure</v>
      </c>
      <c r="I88">
        <v>1.39</v>
      </c>
      <c r="J88">
        <v>6.7000000000000004E-2</v>
      </c>
      <c r="K88">
        <v>2.46</v>
      </c>
      <c r="L88" s="2">
        <v>9.3999999999999998E-6</v>
      </c>
      <c r="M88">
        <v>1.77</v>
      </c>
      <c r="N88">
        <v>1.5E-3</v>
      </c>
    </row>
    <row r="89" spans="1:14" x14ac:dyDescent="0.25">
      <c r="A89" t="s">
        <v>175</v>
      </c>
      <c r="B89" t="s">
        <v>176</v>
      </c>
      <c r="C89" s="1" t="str">
        <f>HYPERLINK("http://www.genecards.org/cgi-bin/carddisp.pl?gene=SCML1","GeneCards")</f>
        <v>GeneCards</v>
      </c>
      <c r="D89" s="1" t="str">
        <f>HYPERLINK("http://genome-euro.ucsc.edu/cgi-bin/hgTracks?position=218793_s_at","UCSC")</f>
        <v>UCSC</v>
      </c>
      <c r="E89" s="1" t="str">
        <f>HYPERLINK("http://www.ncbi.nlm.nih.gov/gene/?term=SCML1","NCBI")</f>
        <v>NCBI</v>
      </c>
      <c r="F89" s="2">
        <v>1.1E-5</v>
      </c>
      <c r="G89">
        <v>2.2000000000000001E-3</v>
      </c>
      <c r="H89" s="1" t="str">
        <f>HYPERLINK("http://www.weizmann.ac.il/complex/compphys/software/geview/data/figures/218793_s_at.png","Figure")</f>
        <v>Figure</v>
      </c>
      <c r="I89">
        <v>0.186</v>
      </c>
      <c r="J89" s="2">
        <v>1.2E-5</v>
      </c>
      <c r="K89">
        <v>0.68600000000000005</v>
      </c>
      <c r="L89">
        <v>0.17</v>
      </c>
      <c r="M89">
        <v>3.69</v>
      </c>
      <c r="N89" s="2">
        <v>7.8999999999999996E-5</v>
      </c>
    </row>
    <row r="90" spans="1:14" x14ac:dyDescent="0.25">
      <c r="A90" t="s">
        <v>177</v>
      </c>
      <c r="B90" t="s">
        <v>178</v>
      </c>
      <c r="C90" s="1" t="str">
        <f>HYPERLINK("http://www.genecards.org/cgi-bin/carddisp.pl?gene=SLC39A14","GeneCards")</f>
        <v>GeneCards</v>
      </c>
      <c r="D90" s="1" t="str">
        <f>HYPERLINK("http://genome-euro.ucsc.edu/cgi-bin/hgTracks?position=212110_at","UCSC")</f>
        <v>UCSC</v>
      </c>
      <c r="E90" s="1" t="str">
        <f>HYPERLINK("http://www.ncbi.nlm.nih.gov/gene/?term=SLC39A14","NCBI")</f>
        <v>NCBI</v>
      </c>
      <c r="F90" s="2">
        <v>1.1E-5</v>
      </c>
      <c r="G90">
        <v>2.2000000000000001E-3</v>
      </c>
      <c r="H90" s="1" t="str">
        <f>HYPERLINK("http://www.weizmann.ac.il/complex/compphys/software/geview/data/figures/212110_at.png","Figure")</f>
        <v>Figure</v>
      </c>
      <c r="I90">
        <v>0.751</v>
      </c>
      <c r="J90">
        <v>3.9E-2</v>
      </c>
      <c r="K90">
        <v>1.56</v>
      </c>
      <c r="L90">
        <v>7.6000000000000004E-4</v>
      </c>
      <c r="M90">
        <v>2.0699999999999998</v>
      </c>
      <c r="N90" s="2">
        <v>1.1E-5</v>
      </c>
    </row>
    <row r="91" spans="1:14" x14ac:dyDescent="0.25">
      <c r="A91" t="s">
        <v>179</v>
      </c>
      <c r="B91" t="s">
        <v>180</v>
      </c>
      <c r="C91" s="1" t="str">
        <f>HYPERLINK("http://www.genecards.org/cgi-bin/carddisp.pl?gene=PHYH","GeneCards")</f>
        <v>GeneCards</v>
      </c>
      <c r="D91" s="1" t="str">
        <f>HYPERLINK("http://genome-euro.ucsc.edu/cgi-bin/hgTracks?position=203335_at","UCSC")</f>
        <v>UCSC</v>
      </c>
      <c r="E91" s="1" t="str">
        <f>HYPERLINK("http://www.ncbi.nlm.nih.gov/gene/?term=PHYH","NCBI")</f>
        <v>NCBI</v>
      </c>
      <c r="F91" s="2">
        <v>1.2E-5</v>
      </c>
      <c r="G91">
        <v>2.2000000000000001E-3</v>
      </c>
      <c r="H91" s="1" t="str">
        <f>HYPERLINK("http://www.weizmann.ac.il/complex/compphys/software/geview/data/figures/203335_at.png","Figure")</f>
        <v>Figure</v>
      </c>
      <c r="I91">
        <v>0.89700000000000002</v>
      </c>
      <c r="J91">
        <v>0.9</v>
      </c>
      <c r="K91">
        <v>0.214</v>
      </c>
      <c r="L91" s="2">
        <v>2.8E-5</v>
      </c>
      <c r="M91">
        <v>0.23899999999999999</v>
      </c>
      <c r="N91">
        <v>1.2E-4</v>
      </c>
    </row>
    <row r="92" spans="1:14" x14ac:dyDescent="0.25">
      <c r="A92" t="s">
        <v>181</v>
      </c>
      <c r="B92" t="s">
        <v>182</v>
      </c>
      <c r="C92" s="1" t="str">
        <f>HYPERLINK("http://www.genecards.org/cgi-bin/carddisp.pl?gene=SESN1","GeneCards")</f>
        <v>GeneCards</v>
      </c>
      <c r="D92" s="1" t="str">
        <f>HYPERLINK("http://genome-euro.ucsc.edu/cgi-bin/hgTracks?position=218346_s_at","UCSC")</f>
        <v>UCSC</v>
      </c>
      <c r="E92" s="1" t="str">
        <f>HYPERLINK("http://www.ncbi.nlm.nih.gov/gene/?term=SESN1","NCBI")</f>
        <v>NCBI</v>
      </c>
      <c r="F92" s="2">
        <v>1.2E-5</v>
      </c>
      <c r="G92">
        <v>2.2000000000000001E-3</v>
      </c>
      <c r="H92" s="1" t="str">
        <f>HYPERLINK("http://www.weizmann.ac.il/complex/compphys/software/geview/data/figures/218346_s_at.png","Figure")</f>
        <v>Figure</v>
      </c>
      <c r="I92">
        <v>0.40799999999999997</v>
      </c>
      <c r="J92">
        <v>3.3000000000000002E-2</v>
      </c>
      <c r="K92">
        <v>0.12</v>
      </c>
      <c r="L92" s="2">
        <v>9.0000000000000002E-6</v>
      </c>
      <c r="M92">
        <v>0.29499999999999998</v>
      </c>
      <c r="N92">
        <v>3.0000000000000001E-3</v>
      </c>
    </row>
    <row r="93" spans="1:14" x14ac:dyDescent="0.25">
      <c r="A93" t="s">
        <v>183</v>
      </c>
      <c r="B93" t="s">
        <v>184</v>
      </c>
      <c r="C93" s="1" t="str">
        <f>HYPERLINK("http://www.genecards.org/cgi-bin/carddisp.pl?gene=CTNND1","GeneCards")</f>
        <v>GeneCards</v>
      </c>
      <c r="D93" s="1" t="str">
        <f>HYPERLINK("http://genome-euro.ucsc.edu/cgi-bin/hgTracks?position=208407_s_at","UCSC")</f>
        <v>UCSC</v>
      </c>
      <c r="E93" s="1" t="str">
        <f>HYPERLINK("http://www.ncbi.nlm.nih.gov/gene/?term=CTNND1","NCBI")</f>
        <v>NCBI</v>
      </c>
      <c r="F93" s="2">
        <v>1.2E-5</v>
      </c>
      <c r="G93">
        <v>2.3E-3</v>
      </c>
      <c r="H93" s="1" t="str">
        <f>HYPERLINK("http://www.weizmann.ac.il/complex/compphys/software/geview/data/figures/208407_s_at.png","Figure")</f>
        <v>Figure</v>
      </c>
      <c r="I93">
        <v>0.57299999999999995</v>
      </c>
      <c r="J93">
        <v>4.4000000000000002E-4</v>
      </c>
      <c r="K93">
        <v>1.24</v>
      </c>
      <c r="L93">
        <v>8.6999999999999994E-2</v>
      </c>
      <c r="M93">
        <v>2.16</v>
      </c>
      <c r="N93" s="2">
        <v>8.4999999999999999E-6</v>
      </c>
    </row>
    <row r="94" spans="1:14" x14ac:dyDescent="0.25">
      <c r="A94" t="s">
        <v>185</v>
      </c>
      <c r="B94" t="s">
        <v>186</v>
      </c>
      <c r="C94" s="1" t="str">
        <f>HYPERLINK("http://www.genecards.org/cgi-bin/carddisp.pl?gene=XBP1","GeneCards")</f>
        <v>GeneCards</v>
      </c>
      <c r="D94" s="1" t="str">
        <f>HYPERLINK("http://genome-euro.ucsc.edu/cgi-bin/hgTracks?position=200670_at","UCSC")</f>
        <v>UCSC</v>
      </c>
      <c r="E94" s="1" t="str">
        <f>HYPERLINK("http://www.ncbi.nlm.nih.gov/gene/?term=XBP1","NCBI")</f>
        <v>NCBI</v>
      </c>
      <c r="F94" s="2">
        <v>1.2999999999999999E-5</v>
      </c>
      <c r="G94">
        <v>2.3E-3</v>
      </c>
      <c r="H94" s="1" t="str">
        <f>HYPERLINK("http://www.weizmann.ac.il/complex/compphys/software/geview/data/figures/200670_at.png","Figure")</f>
        <v>Figure</v>
      </c>
      <c r="I94">
        <v>0.20599999999999999</v>
      </c>
      <c r="J94" s="2">
        <v>9.3000000000000007E-6</v>
      </c>
      <c r="K94">
        <v>0.58299999999999996</v>
      </c>
      <c r="L94">
        <v>2.5000000000000001E-2</v>
      </c>
      <c r="M94">
        <v>2.82</v>
      </c>
      <c r="N94">
        <v>3.2000000000000003E-4</v>
      </c>
    </row>
    <row r="95" spans="1:14" x14ac:dyDescent="0.25">
      <c r="A95" t="s">
        <v>187</v>
      </c>
      <c r="B95" t="s">
        <v>188</v>
      </c>
      <c r="C95" s="1" t="str">
        <f>HYPERLINK("http://www.genecards.org/cgi-bin/carddisp.pl?gene=ITGA8","GeneCards")</f>
        <v>GeneCards</v>
      </c>
      <c r="D95" s="1" t="str">
        <f>HYPERLINK("http://genome-euro.ucsc.edu/cgi-bin/hgTracks?position=214265_at","UCSC")</f>
        <v>UCSC</v>
      </c>
      <c r="E95" s="1" t="str">
        <f>HYPERLINK("http://www.ncbi.nlm.nih.gov/gene/?term=ITGA8","NCBI")</f>
        <v>NCBI</v>
      </c>
      <c r="F95" s="2">
        <v>1.2999999999999999E-5</v>
      </c>
      <c r="G95">
        <v>2.3E-3</v>
      </c>
      <c r="H95" s="1" t="str">
        <f>HYPERLINK("http://www.weizmann.ac.il/complex/compphys/software/geview/data/figures/214265_at.png","Figure")</f>
        <v>Figure</v>
      </c>
      <c r="I95">
        <v>3.5</v>
      </c>
      <c r="J95" s="2">
        <v>7.2000000000000002E-5</v>
      </c>
      <c r="K95">
        <v>3.42</v>
      </c>
      <c r="L95" s="2">
        <v>2.1999999999999999E-5</v>
      </c>
      <c r="M95">
        <v>0.97799999999999998</v>
      </c>
      <c r="N95">
        <v>0.99</v>
      </c>
    </row>
    <row r="96" spans="1:14" x14ac:dyDescent="0.25">
      <c r="A96" t="s">
        <v>189</v>
      </c>
      <c r="B96" t="s">
        <v>190</v>
      </c>
      <c r="C96" s="1" t="str">
        <f>HYPERLINK("http://www.genecards.org/cgi-bin/carddisp.pl?gene=ZC3H14","GeneCards")</f>
        <v>GeneCards</v>
      </c>
      <c r="D96" s="1" t="str">
        <f>HYPERLINK("http://genome-euro.ucsc.edu/cgi-bin/hgTracks?position=213064_at","UCSC")</f>
        <v>UCSC</v>
      </c>
      <c r="E96" s="1" t="str">
        <f>HYPERLINK("http://www.ncbi.nlm.nih.gov/gene/?term=ZC3H14","NCBI")</f>
        <v>NCBI</v>
      </c>
      <c r="F96" s="2">
        <v>1.2999999999999999E-5</v>
      </c>
      <c r="G96">
        <v>2.3E-3</v>
      </c>
      <c r="H96" s="1" t="str">
        <f>HYPERLINK("http://www.weizmann.ac.il/complex/compphys/software/geview/data/figures/213064_at.png","Figure")</f>
        <v>Figure</v>
      </c>
      <c r="I96">
        <v>0.39900000000000002</v>
      </c>
      <c r="J96" s="2">
        <v>5.1E-5</v>
      </c>
      <c r="K96">
        <v>1.03</v>
      </c>
      <c r="L96">
        <v>0.97</v>
      </c>
      <c r="M96">
        <v>2.58</v>
      </c>
      <c r="N96" s="2">
        <v>1.8E-5</v>
      </c>
    </row>
    <row r="97" spans="1:14" x14ac:dyDescent="0.25">
      <c r="A97" t="s">
        <v>191</v>
      </c>
      <c r="B97" t="s">
        <v>192</v>
      </c>
      <c r="C97" s="1" t="str">
        <f>HYPERLINK("http://www.genecards.org/cgi-bin/carddisp.pl?gene=SSR1","GeneCards")</f>
        <v>GeneCards</v>
      </c>
      <c r="D97" s="1" t="str">
        <f>HYPERLINK("http://genome-euro.ucsc.edu/cgi-bin/hgTracks?position=200890_s_at","UCSC")</f>
        <v>UCSC</v>
      </c>
      <c r="E97" s="1" t="str">
        <f>HYPERLINK("http://www.ncbi.nlm.nih.gov/gene/?term=SSR1","NCBI")</f>
        <v>NCBI</v>
      </c>
      <c r="F97" s="2">
        <v>1.2999999999999999E-5</v>
      </c>
      <c r="G97">
        <v>2.3999999999999998E-3</v>
      </c>
      <c r="H97" s="1" t="str">
        <f>HYPERLINK("http://www.weizmann.ac.il/complex/compphys/software/geview/data/figures/200890_s_at.png","Figure")</f>
        <v>Figure</v>
      </c>
      <c r="I97">
        <v>0.44600000000000001</v>
      </c>
      <c r="J97" s="2">
        <v>3.1999999999999999E-5</v>
      </c>
      <c r="K97">
        <v>0.95899999999999996</v>
      </c>
      <c r="L97">
        <v>0.92</v>
      </c>
      <c r="M97">
        <v>2.15</v>
      </c>
      <c r="N97" s="2">
        <v>2.6999999999999999E-5</v>
      </c>
    </row>
    <row r="98" spans="1:14" x14ac:dyDescent="0.25">
      <c r="A98" t="s">
        <v>193</v>
      </c>
      <c r="B98" t="s">
        <v>194</v>
      </c>
      <c r="C98" s="1" t="str">
        <f>HYPERLINK("http://www.genecards.org/cgi-bin/carddisp.pl?gene=PDE4B","GeneCards")</f>
        <v>GeneCards</v>
      </c>
      <c r="D98" s="1" t="str">
        <f>HYPERLINK("http://genome-euro.ucsc.edu/cgi-bin/hgTracks?position=211302_s_at","UCSC")</f>
        <v>UCSC</v>
      </c>
      <c r="E98" s="1" t="str">
        <f>HYPERLINK("http://www.ncbi.nlm.nih.gov/gene/?term=PDE4B","NCBI")</f>
        <v>NCBI</v>
      </c>
      <c r="F98" s="2">
        <v>1.4E-5</v>
      </c>
      <c r="G98">
        <v>2.3999999999999998E-3</v>
      </c>
      <c r="H98" s="1" t="str">
        <f>HYPERLINK("http://www.weizmann.ac.il/complex/compphys/software/geview/data/figures/211302_s_at.png","Figure")</f>
        <v>Figure</v>
      </c>
      <c r="I98">
        <v>0.193</v>
      </c>
      <c r="J98" s="2">
        <v>1.5E-5</v>
      </c>
      <c r="K98">
        <v>0.32700000000000001</v>
      </c>
      <c r="L98">
        <v>1.9000000000000001E-4</v>
      </c>
      <c r="M98">
        <v>1.69</v>
      </c>
      <c r="N98">
        <v>6.2E-2</v>
      </c>
    </row>
    <row r="99" spans="1:14" x14ac:dyDescent="0.25">
      <c r="A99" t="s">
        <v>195</v>
      </c>
      <c r="B99" t="s">
        <v>105</v>
      </c>
      <c r="C99" s="1" t="str">
        <f>HYPERLINK("http://www.genecards.org/cgi-bin/carddisp.pl?gene=AP1S2","GeneCards")</f>
        <v>GeneCards</v>
      </c>
      <c r="D99" s="1" t="str">
        <f>HYPERLINK("http://genome-euro.ucsc.edu/cgi-bin/hgTracks?position=203299_s_at","UCSC")</f>
        <v>UCSC</v>
      </c>
      <c r="E99" s="1" t="str">
        <f>HYPERLINK("http://www.ncbi.nlm.nih.gov/gene/?term=AP1S2","NCBI")</f>
        <v>NCBI</v>
      </c>
      <c r="F99" s="2">
        <v>1.5E-5</v>
      </c>
      <c r="G99">
        <v>2.5000000000000001E-3</v>
      </c>
      <c r="H99" s="1" t="str">
        <f>HYPERLINK("http://www.weizmann.ac.il/complex/compphys/software/geview/data/figures/203299_s_at.png","Figure")</f>
        <v>Figure</v>
      </c>
      <c r="I99">
        <v>0.56899999999999995</v>
      </c>
      <c r="J99">
        <v>1.9000000000000001E-4</v>
      </c>
      <c r="K99">
        <v>1.1399999999999999</v>
      </c>
      <c r="L99">
        <v>0.33</v>
      </c>
      <c r="M99">
        <v>2</v>
      </c>
      <c r="N99" s="2">
        <v>1.2E-5</v>
      </c>
    </row>
    <row r="100" spans="1:14" x14ac:dyDescent="0.25">
      <c r="A100" t="s">
        <v>196</v>
      </c>
      <c r="B100" t="s">
        <v>197</v>
      </c>
      <c r="C100" s="1" t="str">
        <f>HYPERLINK("http://www.genecards.org/cgi-bin/carddisp.pl?gene=HLA-DPA1","GeneCards")</f>
        <v>GeneCards</v>
      </c>
      <c r="D100" s="1" t="str">
        <f>HYPERLINK("http://genome-euro.ucsc.edu/cgi-bin/hgTracks?position=213537_at","UCSC")</f>
        <v>UCSC</v>
      </c>
      <c r="E100" s="1" t="str">
        <f>HYPERLINK("http://www.ncbi.nlm.nih.gov/gene/?term=HLA-DPA1","NCBI")</f>
        <v>NCBI</v>
      </c>
      <c r="F100" s="2">
        <v>1.4E-5</v>
      </c>
      <c r="G100">
        <v>2.5000000000000001E-3</v>
      </c>
      <c r="H100" s="1" t="str">
        <f>HYPERLINK("http://www.weizmann.ac.il/complex/compphys/software/geview/data/figures/213537_at.png","Figure")</f>
        <v>Figure</v>
      </c>
      <c r="I100">
        <v>0.95199999999999996</v>
      </c>
      <c r="J100">
        <v>0.97</v>
      </c>
      <c r="K100">
        <v>0.29299999999999998</v>
      </c>
      <c r="L100" s="2">
        <v>3.8000000000000002E-5</v>
      </c>
      <c r="M100">
        <v>0.308</v>
      </c>
      <c r="N100">
        <v>1.1E-4</v>
      </c>
    </row>
    <row r="101" spans="1:14" x14ac:dyDescent="0.25">
      <c r="A101" t="s">
        <v>198</v>
      </c>
      <c r="B101" t="s">
        <v>199</v>
      </c>
      <c r="C101" s="1" t="str">
        <f>HYPERLINK("http://www.genecards.org/cgi-bin/carddisp.pl?gene=TNS1","GeneCards")</f>
        <v>GeneCards</v>
      </c>
      <c r="D101" s="1" t="str">
        <f>HYPERLINK("http://genome-euro.ucsc.edu/cgi-bin/hgTracks?position=221748_s_at","UCSC")</f>
        <v>UCSC</v>
      </c>
      <c r="E101" s="1" t="str">
        <f>HYPERLINK("http://www.ncbi.nlm.nih.gov/gene/?term=TNS1","NCBI")</f>
        <v>NCBI</v>
      </c>
      <c r="F101" s="2">
        <v>1.4E-5</v>
      </c>
      <c r="G101">
        <v>2.5000000000000001E-3</v>
      </c>
      <c r="H101" s="1" t="str">
        <f>HYPERLINK("http://www.weizmann.ac.il/complex/compphys/software/geview/data/figures/221748_s_at.png","Figure")</f>
        <v>Figure</v>
      </c>
      <c r="I101">
        <v>0.86</v>
      </c>
      <c r="J101">
        <v>0.87</v>
      </c>
      <c r="K101">
        <v>0.17100000000000001</v>
      </c>
      <c r="L101" s="2">
        <v>3.1999999999999999E-5</v>
      </c>
      <c r="M101">
        <v>0.19900000000000001</v>
      </c>
      <c r="N101">
        <v>1.4999999999999999E-4</v>
      </c>
    </row>
    <row r="102" spans="1:14" x14ac:dyDescent="0.25">
      <c r="A102" t="s">
        <v>200</v>
      </c>
      <c r="B102" t="s">
        <v>201</v>
      </c>
      <c r="C102" s="1" t="str">
        <f>HYPERLINK("http://www.genecards.org/cgi-bin/carddisp.pl?gene=TMED10","GeneCards")</f>
        <v>GeneCards</v>
      </c>
      <c r="D102" s="1" t="str">
        <f>HYPERLINK("http://genome-euro.ucsc.edu/cgi-bin/hgTracks?position=212352_s_at","UCSC")</f>
        <v>UCSC</v>
      </c>
      <c r="E102" s="1" t="str">
        <f>HYPERLINK("http://www.ncbi.nlm.nih.gov/gene/?term=TMED10","NCBI")</f>
        <v>NCBI</v>
      </c>
      <c r="F102" s="2">
        <v>1.5E-5</v>
      </c>
      <c r="G102">
        <v>2.5000000000000001E-3</v>
      </c>
      <c r="H102" s="1" t="str">
        <f>HYPERLINK("http://www.weizmann.ac.il/complex/compphys/software/geview/data/figures/212352_s_at.png","Figure")</f>
        <v>Figure</v>
      </c>
      <c r="I102">
        <v>0.36199999999999999</v>
      </c>
      <c r="J102" s="2">
        <v>8.7000000000000001E-5</v>
      </c>
      <c r="K102">
        <v>1.1100000000000001</v>
      </c>
      <c r="L102">
        <v>0.76</v>
      </c>
      <c r="M102">
        <v>3.05</v>
      </c>
      <c r="N102" s="2">
        <v>1.5999999999999999E-5</v>
      </c>
    </row>
    <row r="103" spans="1:14" x14ac:dyDescent="0.25">
      <c r="A103" t="s">
        <v>202</v>
      </c>
      <c r="B103" t="s">
        <v>203</v>
      </c>
      <c r="C103" s="1" t="str">
        <f>HYPERLINK("http://www.genecards.org/cgi-bin/carddisp.pl?gene=WWP1","GeneCards")</f>
        <v>GeneCards</v>
      </c>
      <c r="D103" s="1" t="str">
        <f>HYPERLINK("http://genome-euro.ucsc.edu/cgi-bin/hgTracks?position=212638_s_at","UCSC")</f>
        <v>UCSC</v>
      </c>
      <c r="E103" s="1" t="str">
        <f>HYPERLINK("http://www.ncbi.nlm.nih.gov/gene/?term=WWP1","NCBI")</f>
        <v>NCBI</v>
      </c>
      <c r="F103" s="2">
        <v>1.5E-5</v>
      </c>
      <c r="G103">
        <v>2.5999999999999999E-3</v>
      </c>
      <c r="H103" s="1" t="str">
        <f>HYPERLINK("http://www.weizmann.ac.il/complex/compphys/software/geview/data/figures/212638_s_at.png","Figure")</f>
        <v>Figure</v>
      </c>
      <c r="I103">
        <v>0.439</v>
      </c>
      <c r="J103" s="2">
        <v>3.8999999999999999E-5</v>
      </c>
      <c r="K103">
        <v>0.497</v>
      </c>
      <c r="L103" s="2">
        <v>5.1E-5</v>
      </c>
      <c r="M103">
        <v>1.1299999999999999</v>
      </c>
      <c r="N103">
        <v>0.55000000000000004</v>
      </c>
    </row>
    <row r="104" spans="1:14" x14ac:dyDescent="0.25">
      <c r="A104" t="s">
        <v>204</v>
      </c>
      <c r="B104" t="s">
        <v>205</v>
      </c>
      <c r="C104" s="1" t="str">
        <f>HYPERLINK("http://www.genecards.org/cgi-bin/carddisp.pl?gene=DHCR7","GeneCards")</f>
        <v>GeneCards</v>
      </c>
      <c r="D104" s="1" t="str">
        <f>HYPERLINK("http://genome-euro.ucsc.edu/cgi-bin/hgTracks?position=201791_s_at","UCSC")</f>
        <v>UCSC</v>
      </c>
      <c r="E104" s="1" t="str">
        <f>HYPERLINK("http://www.ncbi.nlm.nih.gov/gene/?term=DHCR7","NCBI")</f>
        <v>NCBI</v>
      </c>
      <c r="F104" s="2">
        <v>1.5999999999999999E-5</v>
      </c>
      <c r="G104">
        <v>2.5999999999999999E-3</v>
      </c>
      <c r="H104" s="1" t="str">
        <f>HYPERLINK("http://www.weizmann.ac.il/complex/compphys/software/geview/data/figures/201791_s_at.png","Figure")</f>
        <v>Figure</v>
      </c>
      <c r="I104">
        <v>0.79700000000000004</v>
      </c>
      <c r="J104">
        <v>1.4999999999999999E-4</v>
      </c>
      <c r="K104">
        <v>1.04</v>
      </c>
      <c r="L104">
        <v>0.48</v>
      </c>
      <c r="M104">
        <v>1.31</v>
      </c>
      <c r="N104" s="2">
        <v>1.4E-5</v>
      </c>
    </row>
    <row r="105" spans="1:14" x14ac:dyDescent="0.25">
      <c r="A105" t="s">
        <v>206</v>
      </c>
      <c r="B105" t="s">
        <v>207</v>
      </c>
      <c r="C105" s="1" t="str">
        <f>HYPERLINK("http://www.genecards.org/cgi-bin/carddisp.pl?gene=IL1B","GeneCards")</f>
        <v>GeneCards</v>
      </c>
      <c r="D105" s="1" t="str">
        <f>HYPERLINK("http://genome-euro.ucsc.edu/cgi-bin/hgTracks?position=39402_at","UCSC")</f>
        <v>UCSC</v>
      </c>
      <c r="E105" s="1" t="str">
        <f>HYPERLINK("http://www.ncbi.nlm.nih.gov/gene/?term=IL1B","NCBI")</f>
        <v>NCBI</v>
      </c>
      <c r="F105" s="2">
        <v>1.5999999999999999E-5</v>
      </c>
      <c r="G105">
        <v>2.5999999999999999E-3</v>
      </c>
      <c r="H105" s="1" t="str">
        <f>HYPERLINK("http://www.weizmann.ac.il/complex/compphys/software/geview/data/figures/39402_at.png","Figure")</f>
        <v>Figure</v>
      </c>
      <c r="I105">
        <v>0.92700000000000005</v>
      </c>
      <c r="J105">
        <v>0.94</v>
      </c>
      <c r="K105">
        <v>3.46</v>
      </c>
      <c r="L105" s="2">
        <v>6.8999999999999997E-5</v>
      </c>
      <c r="M105">
        <v>3.73</v>
      </c>
      <c r="N105" s="2">
        <v>7.4999999999999993E-5</v>
      </c>
    </row>
    <row r="106" spans="1:14" x14ac:dyDescent="0.25">
      <c r="A106" t="s">
        <v>208</v>
      </c>
      <c r="B106" t="s">
        <v>209</v>
      </c>
      <c r="C106" s="1" t="str">
        <f>HYPERLINK("http://www.genecards.org/cgi-bin/carddisp.pl?gene=SYT1","GeneCards")</f>
        <v>GeneCards</v>
      </c>
      <c r="D106" s="1" t="str">
        <f>HYPERLINK("http://genome-euro.ucsc.edu/cgi-bin/hgTracks?position=203999_at","UCSC")</f>
        <v>UCSC</v>
      </c>
      <c r="E106" s="1" t="str">
        <f>HYPERLINK("http://www.ncbi.nlm.nih.gov/gene/?term=SYT1","NCBI")</f>
        <v>NCBI</v>
      </c>
      <c r="F106" s="2">
        <v>1.5999999999999999E-5</v>
      </c>
      <c r="G106">
        <v>2.5999999999999999E-3</v>
      </c>
      <c r="H106" s="1" t="str">
        <f>HYPERLINK("http://www.weizmann.ac.il/complex/compphys/software/geview/data/figures/203999_at.png","Figure")</f>
        <v>Figure</v>
      </c>
      <c r="I106">
        <v>3.81</v>
      </c>
      <c r="J106">
        <v>2.5000000000000001E-4</v>
      </c>
      <c r="K106">
        <v>4.6399999999999997</v>
      </c>
      <c r="L106" s="2">
        <v>1.7E-5</v>
      </c>
      <c r="M106">
        <v>1.22</v>
      </c>
      <c r="N106">
        <v>0.66</v>
      </c>
    </row>
    <row r="107" spans="1:14" x14ac:dyDescent="0.25">
      <c r="A107" t="s">
        <v>210</v>
      </c>
      <c r="B107" t="s">
        <v>199</v>
      </c>
      <c r="C107" s="1" t="str">
        <f>HYPERLINK("http://www.genecards.org/cgi-bin/carddisp.pl?gene=TNS1","GeneCards")</f>
        <v>GeneCards</v>
      </c>
      <c r="D107" s="1" t="str">
        <f>HYPERLINK("http://genome-euro.ucsc.edu/cgi-bin/hgTracks?position=218864_at","UCSC")</f>
        <v>UCSC</v>
      </c>
      <c r="E107" s="1" t="str">
        <f>HYPERLINK("http://www.ncbi.nlm.nih.gov/gene/?term=TNS1","NCBI")</f>
        <v>NCBI</v>
      </c>
      <c r="F107" s="2">
        <v>1.5999999999999999E-5</v>
      </c>
      <c r="G107">
        <v>2.5999999999999999E-3</v>
      </c>
      <c r="H107" s="1" t="str">
        <f>HYPERLINK("http://www.weizmann.ac.il/complex/compphys/software/geview/data/figures/218864_at.png","Figure")</f>
        <v>Figure</v>
      </c>
      <c r="I107">
        <v>1.1299999999999999</v>
      </c>
      <c r="J107">
        <v>0.4</v>
      </c>
      <c r="K107">
        <v>0.63200000000000001</v>
      </c>
      <c r="L107">
        <v>1.8000000000000001E-4</v>
      </c>
      <c r="M107">
        <v>0.55900000000000005</v>
      </c>
      <c r="N107" s="2">
        <v>3.4E-5</v>
      </c>
    </row>
    <row r="108" spans="1:14" x14ac:dyDescent="0.25">
      <c r="A108" t="s">
        <v>211</v>
      </c>
      <c r="B108" t="s">
        <v>212</v>
      </c>
      <c r="C108" s="1" t="str">
        <f>HYPERLINK("http://www.genecards.org/cgi-bin/carddisp.pl?gene=BIRC7","GeneCards")</f>
        <v>GeneCards</v>
      </c>
      <c r="D108" s="1" t="str">
        <f>HYPERLINK("http://genome-euro.ucsc.edu/cgi-bin/hgTracks?position=220451_s_at","UCSC")</f>
        <v>UCSC</v>
      </c>
      <c r="E108" s="1" t="str">
        <f>HYPERLINK("http://www.ncbi.nlm.nih.gov/gene/?term=BIRC7","NCBI")</f>
        <v>NCBI</v>
      </c>
      <c r="F108" s="2">
        <v>1.5999999999999999E-5</v>
      </c>
      <c r="G108">
        <v>2.5999999999999999E-3</v>
      </c>
      <c r="H108" s="1" t="str">
        <f>HYPERLINK("http://www.weizmann.ac.il/complex/compphys/software/geview/data/figures/220451_s_at.png","Figure")</f>
        <v>Figure</v>
      </c>
      <c r="I108">
        <v>1.1000000000000001</v>
      </c>
      <c r="J108">
        <v>0.63</v>
      </c>
      <c r="K108">
        <v>0.57499999999999996</v>
      </c>
      <c r="L108">
        <v>1.2E-4</v>
      </c>
      <c r="M108">
        <v>0.52100000000000002</v>
      </c>
      <c r="N108" s="2">
        <v>4.6E-5</v>
      </c>
    </row>
    <row r="109" spans="1:14" x14ac:dyDescent="0.25">
      <c r="A109" t="s">
        <v>213</v>
      </c>
      <c r="B109" t="s">
        <v>214</v>
      </c>
      <c r="C109" s="1" t="str">
        <f>HYPERLINK("http://www.genecards.org/cgi-bin/carddisp.pl?gene=CYFIP2","GeneCards")</f>
        <v>GeneCards</v>
      </c>
      <c r="D109" s="1" t="str">
        <f>HYPERLINK("http://genome-euro.ucsc.edu/cgi-bin/hgTracks?position=220999_s_at","UCSC")</f>
        <v>UCSC</v>
      </c>
      <c r="E109" s="1" t="str">
        <f>HYPERLINK("http://www.ncbi.nlm.nih.gov/gene/?term=CYFIP2","NCBI")</f>
        <v>NCBI</v>
      </c>
      <c r="F109" s="2">
        <v>1.7E-5</v>
      </c>
      <c r="G109">
        <v>2.7000000000000001E-3</v>
      </c>
      <c r="H109" s="1" t="str">
        <f>HYPERLINK("http://www.weizmann.ac.il/complex/compphys/software/geview/data/figures/220999_s_at.png","Figure")</f>
        <v>Figure</v>
      </c>
      <c r="I109">
        <v>2.0299999999999998</v>
      </c>
      <c r="J109">
        <v>2.2000000000000001E-4</v>
      </c>
      <c r="K109">
        <v>2.2000000000000002</v>
      </c>
      <c r="L109" s="2">
        <v>1.9000000000000001E-5</v>
      </c>
      <c r="M109">
        <v>1.08</v>
      </c>
      <c r="N109">
        <v>0.77</v>
      </c>
    </row>
    <row r="110" spans="1:14" x14ac:dyDescent="0.25">
      <c r="A110" t="s">
        <v>215</v>
      </c>
      <c r="B110" t="s">
        <v>216</v>
      </c>
      <c r="C110" s="1" t="str">
        <f>HYPERLINK("http://www.genecards.org/cgi-bin/carddisp.pl?gene=RASAL1","GeneCards")</f>
        <v>GeneCards</v>
      </c>
      <c r="D110" s="1" t="str">
        <f>HYPERLINK("http://genome-euro.ucsc.edu/cgi-bin/hgTracks?position=219752_at","UCSC")</f>
        <v>UCSC</v>
      </c>
      <c r="E110" s="1" t="str">
        <f>HYPERLINK("http://www.ncbi.nlm.nih.gov/gene/?term=RASAL1","NCBI")</f>
        <v>NCBI</v>
      </c>
      <c r="F110" s="2">
        <v>1.7E-5</v>
      </c>
      <c r="G110">
        <v>2.7000000000000001E-3</v>
      </c>
      <c r="H110" s="1" t="str">
        <f>HYPERLINK("http://www.weizmann.ac.il/complex/compphys/software/geview/data/figures/219752_at.png","Figure")</f>
        <v>Figure</v>
      </c>
      <c r="I110">
        <v>2.64</v>
      </c>
      <c r="J110" s="2">
        <v>3.0000000000000001E-5</v>
      </c>
      <c r="K110">
        <v>2.14</v>
      </c>
      <c r="L110" s="2">
        <v>8.7999999999999998E-5</v>
      </c>
      <c r="M110">
        <v>0.81200000000000006</v>
      </c>
      <c r="N110">
        <v>0.28999999999999998</v>
      </c>
    </row>
    <row r="111" spans="1:14" x14ac:dyDescent="0.25">
      <c r="A111" t="s">
        <v>217</v>
      </c>
      <c r="B111" t="s">
        <v>218</v>
      </c>
      <c r="C111" s="1" t="str">
        <f>HYPERLINK("http://www.genecards.org/cgi-bin/carddisp.pl?gene=CTDSP2","GeneCards")</f>
        <v>GeneCards</v>
      </c>
      <c r="D111" s="1" t="str">
        <f>HYPERLINK("http://genome-euro.ucsc.edu/cgi-bin/hgTracks?position=203445_s_at","UCSC")</f>
        <v>UCSC</v>
      </c>
      <c r="E111" s="1" t="str">
        <f>HYPERLINK("http://www.ncbi.nlm.nih.gov/gene/?term=CTDSP2","NCBI")</f>
        <v>NCBI</v>
      </c>
      <c r="F111" s="2">
        <v>1.7E-5</v>
      </c>
      <c r="G111">
        <v>2.7000000000000001E-3</v>
      </c>
      <c r="H111" s="1" t="str">
        <f>HYPERLINK("http://www.weizmann.ac.il/complex/compphys/software/geview/data/figures/203445_s_at.png","Figure")</f>
        <v>Figure</v>
      </c>
      <c r="I111">
        <v>0.47699999999999998</v>
      </c>
      <c r="J111" s="2">
        <v>2.3E-5</v>
      </c>
      <c r="K111">
        <v>0.58199999999999996</v>
      </c>
      <c r="L111">
        <v>1.3999999999999999E-4</v>
      </c>
      <c r="M111">
        <v>1.22</v>
      </c>
      <c r="N111">
        <v>0.14000000000000001</v>
      </c>
    </row>
    <row r="112" spans="1:14" x14ac:dyDescent="0.25">
      <c r="A112" t="s">
        <v>219</v>
      </c>
      <c r="B112" t="s">
        <v>220</v>
      </c>
      <c r="C112" s="1" t="str">
        <f>HYPERLINK("http://www.genecards.org/cgi-bin/carddisp.pl?gene=SCML2","GeneCards")</f>
        <v>GeneCards</v>
      </c>
      <c r="D112" s="1" t="str">
        <f>HYPERLINK("http://genome-euro.ucsc.edu/cgi-bin/hgTracks?position=206147_x_at","UCSC")</f>
        <v>UCSC</v>
      </c>
      <c r="E112" s="1" t="str">
        <f>HYPERLINK("http://www.ncbi.nlm.nih.gov/gene/?term=SCML2","NCBI")</f>
        <v>NCBI</v>
      </c>
      <c r="F112" s="2">
        <v>1.8E-5</v>
      </c>
      <c r="G112">
        <v>2.7000000000000001E-3</v>
      </c>
      <c r="H112" s="1" t="str">
        <f>HYPERLINK("http://www.weizmann.ac.il/complex/compphys/software/geview/data/figures/206147_x_at.png","Figure")</f>
        <v>Figure</v>
      </c>
      <c r="I112">
        <v>0.38200000000000001</v>
      </c>
      <c r="J112" s="2">
        <v>1.2E-5</v>
      </c>
      <c r="K112">
        <v>0.60199999999999998</v>
      </c>
      <c r="L112">
        <v>1.5E-3</v>
      </c>
      <c r="M112">
        <v>1.58</v>
      </c>
      <c r="N112">
        <v>5.7999999999999996E-3</v>
      </c>
    </row>
    <row r="113" spans="1:14" x14ac:dyDescent="0.25">
      <c r="A113" t="s">
        <v>221</v>
      </c>
      <c r="B113" t="s">
        <v>40</v>
      </c>
      <c r="C113" s="1" t="str">
        <f>HYPERLINK("http://www.genecards.org/cgi-bin/carddisp.pl?gene=ITPR1","GeneCards")</f>
        <v>GeneCards</v>
      </c>
      <c r="D113" s="1" t="str">
        <f>HYPERLINK("http://genome-euro.ucsc.edu/cgi-bin/hgTracks?position=211323_s_at","UCSC")</f>
        <v>UCSC</v>
      </c>
      <c r="E113" s="1" t="str">
        <f>HYPERLINK("http://www.ncbi.nlm.nih.gov/gene/?term=ITPR1","NCBI")</f>
        <v>NCBI</v>
      </c>
      <c r="F113" s="2">
        <v>1.8E-5</v>
      </c>
      <c r="G113">
        <v>2.7000000000000001E-3</v>
      </c>
      <c r="H113" s="1" t="str">
        <f>HYPERLINK("http://www.weizmann.ac.il/complex/compphys/software/geview/data/figures/211323_s_at.png","Figure")</f>
        <v>Figure</v>
      </c>
      <c r="I113">
        <v>0.754</v>
      </c>
      <c r="J113">
        <v>0.14000000000000001</v>
      </c>
      <c r="K113">
        <v>0.41899999999999998</v>
      </c>
      <c r="L113" s="2">
        <v>1.7E-5</v>
      </c>
      <c r="M113">
        <v>0.55600000000000005</v>
      </c>
      <c r="N113">
        <v>1.2999999999999999E-3</v>
      </c>
    </row>
    <row r="114" spans="1:14" x14ac:dyDescent="0.25">
      <c r="A114" t="s">
        <v>222</v>
      </c>
      <c r="B114" t="s">
        <v>223</v>
      </c>
      <c r="C114" s="1" t="str">
        <f>HYPERLINK("http://www.genecards.org/cgi-bin/carddisp.pl?gene=THRA","GeneCards")</f>
        <v>GeneCards</v>
      </c>
      <c r="D114" s="1" t="str">
        <f>HYPERLINK("http://genome-euro.ucsc.edu/cgi-bin/hgTracks?position=35846_at","UCSC")</f>
        <v>UCSC</v>
      </c>
      <c r="E114" s="1" t="str">
        <f>HYPERLINK("http://www.ncbi.nlm.nih.gov/gene/?term=THRA","NCBI")</f>
        <v>NCBI</v>
      </c>
      <c r="F114" s="2">
        <v>1.9000000000000001E-5</v>
      </c>
      <c r="G114">
        <v>2.7000000000000001E-3</v>
      </c>
      <c r="H114" s="1" t="str">
        <f>HYPERLINK("http://www.weizmann.ac.il/complex/compphys/software/geview/data/figures/35846_at.png","Figure")</f>
        <v>Figure</v>
      </c>
      <c r="I114">
        <v>0.93500000000000005</v>
      </c>
      <c r="J114">
        <v>0.18</v>
      </c>
      <c r="K114">
        <v>1.18</v>
      </c>
      <c r="L114">
        <v>4.2000000000000002E-4</v>
      </c>
      <c r="M114">
        <v>1.26</v>
      </c>
      <c r="N114" s="2">
        <v>2.8E-5</v>
      </c>
    </row>
    <row r="115" spans="1:14" x14ac:dyDescent="0.25">
      <c r="A115" t="s">
        <v>224</v>
      </c>
      <c r="B115" t="s">
        <v>225</v>
      </c>
      <c r="C115" s="1" t="str">
        <f>HYPERLINK("http://www.genecards.org/cgi-bin/carddisp.pl?gene=AEBP1","GeneCards")</f>
        <v>GeneCards</v>
      </c>
      <c r="D115" s="1" t="str">
        <f>HYPERLINK("http://genome-euro.ucsc.edu/cgi-bin/hgTracks?position=201792_at","UCSC")</f>
        <v>UCSC</v>
      </c>
      <c r="E115" s="1" t="str">
        <f>HYPERLINK("http://www.ncbi.nlm.nih.gov/gene/?term=AEBP1","NCBI")</f>
        <v>NCBI</v>
      </c>
      <c r="F115" s="2">
        <v>1.8E-5</v>
      </c>
      <c r="G115">
        <v>2.7000000000000001E-3</v>
      </c>
      <c r="H115" s="1" t="str">
        <f>HYPERLINK("http://www.weizmann.ac.il/complex/compphys/software/geview/data/figures/201792_at.png","Figure")</f>
        <v>Figure</v>
      </c>
      <c r="I115">
        <v>3.56</v>
      </c>
      <c r="J115">
        <v>4.8000000000000001E-4</v>
      </c>
      <c r="K115">
        <v>4.8099999999999996</v>
      </c>
      <c r="L115" s="2">
        <v>1.5999999999999999E-5</v>
      </c>
      <c r="M115">
        <v>1.35</v>
      </c>
      <c r="N115">
        <v>0.41</v>
      </c>
    </row>
    <row r="116" spans="1:14" x14ac:dyDescent="0.25">
      <c r="A116" t="s">
        <v>226</v>
      </c>
      <c r="B116" t="s">
        <v>227</v>
      </c>
      <c r="C116" s="1" t="str">
        <f>HYPERLINK("http://www.genecards.org/cgi-bin/carddisp.pl?gene=ARL4C","GeneCards")</f>
        <v>GeneCards</v>
      </c>
      <c r="D116" s="1" t="str">
        <f>HYPERLINK("http://genome-euro.ucsc.edu/cgi-bin/hgTracks?position=202208_s_at","UCSC")</f>
        <v>UCSC</v>
      </c>
      <c r="E116" s="1" t="str">
        <f>HYPERLINK("http://www.ncbi.nlm.nih.gov/gene/?term=ARL4C","NCBI")</f>
        <v>NCBI</v>
      </c>
      <c r="F116" s="2">
        <v>1.9000000000000001E-5</v>
      </c>
      <c r="G116">
        <v>2.7000000000000001E-3</v>
      </c>
      <c r="H116" s="1" t="str">
        <f>HYPERLINK("http://www.weizmann.ac.il/complex/compphys/software/geview/data/figures/202208_s_at.png","Figure")</f>
        <v>Figure</v>
      </c>
      <c r="I116">
        <v>4.7699999999999996</v>
      </c>
      <c r="J116" s="2">
        <v>6.7999999999999999E-5</v>
      </c>
      <c r="K116">
        <v>4.13</v>
      </c>
      <c r="L116" s="2">
        <v>4.5000000000000003E-5</v>
      </c>
      <c r="M116">
        <v>0.86599999999999999</v>
      </c>
      <c r="N116">
        <v>0.81</v>
      </c>
    </row>
    <row r="117" spans="1:14" x14ac:dyDescent="0.25">
      <c r="A117" t="s">
        <v>228</v>
      </c>
      <c r="B117" t="s">
        <v>229</v>
      </c>
      <c r="C117" s="1" t="str">
        <f>HYPERLINK("http://www.genecards.org/cgi-bin/carddisp.pl?gene=BAG5","GeneCards")</f>
        <v>GeneCards</v>
      </c>
      <c r="D117" s="1" t="str">
        <f>HYPERLINK("http://genome-euro.ucsc.edu/cgi-bin/hgTracks?position=202984_s_at","UCSC")</f>
        <v>UCSC</v>
      </c>
      <c r="E117" s="1" t="str">
        <f>HYPERLINK("http://www.ncbi.nlm.nih.gov/gene/?term=BAG5","NCBI")</f>
        <v>NCBI</v>
      </c>
      <c r="F117" s="2">
        <v>1.9000000000000001E-5</v>
      </c>
      <c r="G117">
        <v>2.7000000000000001E-3</v>
      </c>
      <c r="H117" s="1" t="str">
        <f>HYPERLINK("http://www.weizmann.ac.il/complex/compphys/software/geview/data/figures/202984_s_at.png","Figure")</f>
        <v>Figure</v>
      </c>
      <c r="I117">
        <v>0.42199999999999999</v>
      </c>
      <c r="J117" s="2">
        <v>4.5000000000000003E-5</v>
      </c>
      <c r="K117">
        <v>0.95599999999999996</v>
      </c>
      <c r="L117">
        <v>0.92</v>
      </c>
      <c r="M117">
        <v>2.27</v>
      </c>
      <c r="N117" s="2">
        <v>3.8999999999999999E-5</v>
      </c>
    </row>
    <row r="118" spans="1:14" x14ac:dyDescent="0.25">
      <c r="A118" t="s">
        <v>230</v>
      </c>
      <c r="B118" t="s">
        <v>231</v>
      </c>
      <c r="C118" s="1" t="str">
        <f>HYPERLINK("http://www.genecards.org/cgi-bin/carddisp.pl?gene=QPRT","GeneCards")</f>
        <v>GeneCards</v>
      </c>
      <c r="D118" s="1" t="str">
        <f>HYPERLINK("http://genome-euro.ucsc.edu/cgi-bin/hgTracks?position=204044_at","UCSC")</f>
        <v>UCSC</v>
      </c>
      <c r="E118" s="1" t="str">
        <f>HYPERLINK("http://www.ncbi.nlm.nih.gov/gene/?term=QPRT","NCBI")</f>
        <v>NCBI</v>
      </c>
      <c r="F118" s="2">
        <v>1.8E-5</v>
      </c>
      <c r="G118">
        <v>2.7000000000000001E-3</v>
      </c>
      <c r="H118" s="1" t="str">
        <f>HYPERLINK("http://www.weizmann.ac.il/complex/compphys/software/geview/data/figures/204044_at.png","Figure")</f>
        <v>Figure</v>
      </c>
      <c r="I118">
        <v>1.73</v>
      </c>
      <c r="J118" s="2">
        <v>2.8E-5</v>
      </c>
      <c r="K118">
        <v>1.52</v>
      </c>
      <c r="L118">
        <v>1.2E-4</v>
      </c>
      <c r="M118">
        <v>0.874</v>
      </c>
      <c r="N118">
        <v>0.2</v>
      </c>
    </row>
    <row r="119" spans="1:14" x14ac:dyDescent="0.25">
      <c r="A119" t="s">
        <v>232</v>
      </c>
      <c r="B119" t="s">
        <v>233</v>
      </c>
      <c r="C119" s="1" t="str">
        <f>HYPERLINK("http://www.genecards.org/cgi-bin/carddisp.pl?gene=FADS3","GeneCards")</f>
        <v>GeneCards</v>
      </c>
      <c r="D119" s="1" t="str">
        <f>HYPERLINK("http://genome-euro.ucsc.edu/cgi-bin/hgTracks?position=204257_at","UCSC")</f>
        <v>UCSC</v>
      </c>
      <c r="E119" s="1" t="str">
        <f>HYPERLINK("http://www.ncbi.nlm.nih.gov/gene/?term=FADS3","NCBI")</f>
        <v>NCBI</v>
      </c>
      <c r="F119" s="2">
        <v>1.9000000000000001E-5</v>
      </c>
      <c r="G119">
        <v>2.7000000000000001E-3</v>
      </c>
      <c r="H119" s="1" t="str">
        <f>HYPERLINK("http://www.weizmann.ac.il/complex/compphys/software/geview/data/figures/204257_at.png","Figure")</f>
        <v>Figure</v>
      </c>
      <c r="I119">
        <v>2.92</v>
      </c>
      <c r="J119" s="2">
        <v>2.0000000000000002E-5</v>
      </c>
      <c r="K119">
        <v>1.26</v>
      </c>
      <c r="L119">
        <v>0.22</v>
      </c>
      <c r="M119">
        <v>0.43099999999999999</v>
      </c>
      <c r="N119">
        <v>1.2E-4</v>
      </c>
    </row>
    <row r="120" spans="1:14" x14ac:dyDescent="0.25">
      <c r="A120" t="s">
        <v>234</v>
      </c>
      <c r="B120" t="s">
        <v>235</v>
      </c>
      <c r="C120" s="1" t="str">
        <f>HYPERLINK("http://www.genecards.org/cgi-bin/carddisp.pl?gene=ARHGEF4","GeneCards")</f>
        <v>GeneCards</v>
      </c>
      <c r="D120" s="1" t="str">
        <f>HYPERLINK("http://genome-euro.ucsc.edu/cgi-bin/hgTracks?position=205109_s_at","UCSC")</f>
        <v>UCSC</v>
      </c>
      <c r="E120" s="1" t="str">
        <f>HYPERLINK("http://www.ncbi.nlm.nih.gov/gene/?term=ARHGEF4","NCBI")</f>
        <v>NCBI</v>
      </c>
      <c r="F120" s="2">
        <v>1.8E-5</v>
      </c>
      <c r="G120">
        <v>2.7000000000000001E-3</v>
      </c>
      <c r="H120" s="1" t="str">
        <f>HYPERLINK("http://www.weizmann.ac.il/complex/compphys/software/geview/data/figures/205109_s_at.png","Figure")</f>
        <v>Figure</v>
      </c>
      <c r="I120">
        <v>1</v>
      </c>
      <c r="J120">
        <v>1</v>
      </c>
      <c r="K120">
        <v>0.17199999999999999</v>
      </c>
      <c r="L120" s="2">
        <v>5.8E-5</v>
      </c>
      <c r="M120">
        <v>0.17199999999999999</v>
      </c>
      <c r="N120">
        <v>1.1E-4</v>
      </c>
    </row>
    <row r="121" spans="1:14" x14ac:dyDescent="0.25">
      <c r="A121" t="s">
        <v>236</v>
      </c>
      <c r="B121" t="s">
        <v>237</v>
      </c>
      <c r="C121" s="1" t="str">
        <f>HYPERLINK("http://www.genecards.org/cgi-bin/carddisp.pl?gene=MAPK13","GeneCards")</f>
        <v>GeneCards</v>
      </c>
      <c r="D121" s="1" t="str">
        <f>HYPERLINK("http://genome-euro.ucsc.edu/cgi-bin/hgTracks?position=210059_s_at","UCSC")</f>
        <v>UCSC</v>
      </c>
      <c r="E121" s="1" t="str">
        <f>HYPERLINK("http://www.ncbi.nlm.nih.gov/gene/?term=MAPK13","NCBI")</f>
        <v>NCBI</v>
      </c>
      <c r="F121" s="2">
        <v>2.0000000000000002E-5</v>
      </c>
      <c r="G121">
        <v>2.7000000000000001E-3</v>
      </c>
      <c r="H121" s="1" t="str">
        <f>HYPERLINK("http://www.weizmann.ac.il/complex/compphys/software/geview/data/figures/210059_s_at.png","Figure")</f>
        <v>Figure</v>
      </c>
      <c r="I121">
        <v>1.22</v>
      </c>
      <c r="J121">
        <v>8.6E-3</v>
      </c>
      <c r="K121">
        <v>0.82899999999999996</v>
      </c>
      <c r="L121">
        <v>5.7000000000000002E-3</v>
      </c>
      <c r="M121">
        <v>0.67700000000000005</v>
      </c>
      <c r="N121" s="2">
        <v>1.4E-5</v>
      </c>
    </row>
    <row r="122" spans="1:14" x14ac:dyDescent="0.25">
      <c r="A122" t="s">
        <v>238</v>
      </c>
      <c r="B122" t="s">
        <v>239</v>
      </c>
      <c r="C122" s="1" t="str">
        <f>HYPERLINK("http://www.genecards.org/cgi-bin/carddisp.pl?gene=SPRY1","GeneCards")</f>
        <v>GeneCards</v>
      </c>
      <c r="D122" s="1" t="str">
        <f>HYPERLINK("http://genome-euro.ucsc.edu/cgi-bin/hgTracks?position=212558_at","UCSC")</f>
        <v>UCSC</v>
      </c>
      <c r="E122" s="1" t="str">
        <f>HYPERLINK("http://www.ncbi.nlm.nih.gov/gene/?term=SPRY1","NCBI")</f>
        <v>NCBI</v>
      </c>
      <c r="F122" s="2">
        <v>2.0000000000000002E-5</v>
      </c>
      <c r="G122">
        <v>2.7000000000000001E-3</v>
      </c>
      <c r="H122" s="1" t="str">
        <f>HYPERLINK("http://www.weizmann.ac.il/complex/compphys/software/geview/data/figures/212558_at.png","Figure")</f>
        <v>Figure</v>
      </c>
      <c r="I122">
        <v>0.23200000000000001</v>
      </c>
      <c r="J122">
        <v>4.2000000000000002E-4</v>
      </c>
      <c r="K122">
        <v>0.17199999999999999</v>
      </c>
      <c r="L122" s="2">
        <v>1.8E-5</v>
      </c>
      <c r="M122">
        <v>0.74199999999999999</v>
      </c>
      <c r="N122">
        <v>0.5</v>
      </c>
    </row>
    <row r="123" spans="1:14" x14ac:dyDescent="0.25">
      <c r="A123" t="s">
        <v>240</v>
      </c>
      <c r="B123" t="s">
        <v>241</v>
      </c>
      <c r="C123" s="1" t="str">
        <f>HYPERLINK("http://www.genecards.org/cgi-bin/carddisp.pl?gene=LRRC15","GeneCards")</f>
        <v>GeneCards</v>
      </c>
      <c r="D123" s="1" t="str">
        <f>HYPERLINK("http://genome-euro.ucsc.edu/cgi-bin/hgTracks?position=213909_at","UCSC")</f>
        <v>UCSC</v>
      </c>
      <c r="E123" s="1" t="str">
        <f>HYPERLINK("http://www.ncbi.nlm.nih.gov/gene/?term=LRRC15","NCBI")</f>
        <v>NCBI</v>
      </c>
      <c r="F123" s="2">
        <v>1.9000000000000001E-5</v>
      </c>
      <c r="G123">
        <v>2.7000000000000001E-3</v>
      </c>
      <c r="H123" s="1" t="str">
        <f>HYPERLINK("http://www.weizmann.ac.il/complex/compphys/software/geview/data/figures/213909_at.png","Figure")</f>
        <v>Figure</v>
      </c>
      <c r="I123">
        <v>4.67</v>
      </c>
      <c r="J123" s="2">
        <v>7.6000000000000004E-5</v>
      </c>
      <c r="K123">
        <v>4.17</v>
      </c>
      <c r="L123" s="2">
        <v>4.1E-5</v>
      </c>
      <c r="M123">
        <v>0.89400000000000002</v>
      </c>
      <c r="N123">
        <v>0.88</v>
      </c>
    </row>
    <row r="124" spans="1:14" x14ac:dyDescent="0.25">
      <c r="A124" t="s">
        <v>242</v>
      </c>
      <c r="B124" t="s">
        <v>243</v>
      </c>
      <c r="C124" s="1" t="str">
        <f>HYPERLINK("http://www.genecards.org/cgi-bin/carddisp.pl?gene=CLIC5","GeneCards")</f>
        <v>GeneCards</v>
      </c>
      <c r="D124" s="1" t="str">
        <f>HYPERLINK("http://genome-euro.ucsc.edu/cgi-bin/hgTracks?position=219866_at","UCSC")</f>
        <v>UCSC</v>
      </c>
      <c r="E124" s="1" t="str">
        <f>HYPERLINK("http://www.ncbi.nlm.nih.gov/gene/?term=CLIC5","NCBI")</f>
        <v>NCBI</v>
      </c>
      <c r="F124" s="2">
        <v>1.8E-5</v>
      </c>
      <c r="G124">
        <v>2.7000000000000001E-3</v>
      </c>
      <c r="H124" s="1" t="str">
        <f>HYPERLINK("http://www.weizmann.ac.il/complex/compphys/software/geview/data/figures/219866_at.png","Figure")</f>
        <v>Figure</v>
      </c>
      <c r="I124">
        <v>1.3</v>
      </c>
      <c r="J124">
        <v>0.39</v>
      </c>
      <c r="K124">
        <v>0.378</v>
      </c>
      <c r="L124">
        <v>2.1000000000000001E-4</v>
      </c>
      <c r="M124">
        <v>0.28999999999999998</v>
      </c>
      <c r="N124" s="2">
        <v>3.6999999999999998E-5</v>
      </c>
    </row>
    <row r="125" spans="1:14" x14ac:dyDescent="0.25">
      <c r="A125" t="s">
        <v>244</v>
      </c>
      <c r="B125" t="s">
        <v>245</v>
      </c>
      <c r="C125" s="1" t="str">
        <f>HYPERLINK("http://www.genecards.org/cgi-bin/carddisp.pl?gene=SPCS3","GeneCards")</f>
        <v>GeneCards</v>
      </c>
      <c r="D125" s="1" t="str">
        <f>HYPERLINK("http://genome-euro.ucsc.edu/cgi-bin/hgTracks?position=221844_x_at","UCSC")</f>
        <v>UCSC</v>
      </c>
      <c r="E125" s="1" t="str">
        <f>HYPERLINK("http://www.ncbi.nlm.nih.gov/gene/?term=SPCS3","NCBI")</f>
        <v>NCBI</v>
      </c>
      <c r="F125" s="2">
        <v>1.9000000000000001E-5</v>
      </c>
      <c r="G125">
        <v>2.7000000000000001E-3</v>
      </c>
      <c r="H125" s="1" t="str">
        <f>HYPERLINK("http://www.weizmann.ac.il/complex/compphys/software/geview/data/figures/221844_x_at.png","Figure")</f>
        <v>Figure</v>
      </c>
      <c r="I125">
        <v>0.54300000000000004</v>
      </c>
      <c r="J125" s="2">
        <v>1.4E-5</v>
      </c>
      <c r="K125">
        <v>0.72399999999999998</v>
      </c>
      <c r="L125">
        <v>1.6000000000000001E-3</v>
      </c>
      <c r="M125">
        <v>1.33</v>
      </c>
      <c r="N125">
        <v>6.3E-3</v>
      </c>
    </row>
    <row r="126" spans="1:14" x14ac:dyDescent="0.25">
      <c r="A126" t="s">
        <v>246</v>
      </c>
      <c r="B126" t="s">
        <v>247</v>
      </c>
      <c r="C126" s="1" t="str">
        <f>HYPERLINK("http://www.genecards.org/cgi-bin/carddisp.pl?gene=NUP210","GeneCards")</f>
        <v>GeneCards</v>
      </c>
      <c r="D126" s="1" t="str">
        <f>HYPERLINK("http://genome-euro.ucsc.edu/cgi-bin/hgTracks?position=213947_s_at","UCSC")</f>
        <v>UCSC</v>
      </c>
      <c r="E126" s="1" t="str">
        <f>HYPERLINK("http://www.ncbi.nlm.nih.gov/gene/?term=NUP210","NCBI")</f>
        <v>NCBI</v>
      </c>
      <c r="F126" s="2">
        <v>2.0999999999999999E-5</v>
      </c>
      <c r="G126">
        <v>2.8E-3</v>
      </c>
      <c r="H126" s="1" t="str">
        <f>HYPERLINK("http://www.weizmann.ac.il/complex/compphys/software/geview/data/figures/213947_s_at.png","Figure")</f>
        <v>Figure</v>
      </c>
      <c r="I126">
        <v>1.71</v>
      </c>
      <c r="J126">
        <v>1.2999999999999999E-3</v>
      </c>
      <c r="K126">
        <v>2.11</v>
      </c>
      <c r="L126" s="2">
        <v>1.5E-5</v>
      </c>
      <c r="M126">
        <v>1.23</v>
      </c>
      <c r="N126">
        <v>0.17</v>
      </c>
    </row>
    <row r="127" spans="1:14" x14ac:dyDescent="0.25">
      <c r="A127" t="s">
        <v>248</v>
      </c>
      <c r="B127" t="s">
        <v>249</v>
      </c>
      <c r="C127" s="1" t="str">
        <f>HYPERLINK("http://www.genecards.org/cgi-bin/carddisp.pl?gene=TCFL5","GeneCards")</f>
        <v>GeneCards</v>
      </c>
      <c r="D127" s="1" t="str">
        <f>HYPERLINK("http://genome-euro.ucsc.edu/cgi-bin/hgTracks?position=204849_at","UCSC")</f>
        <v>UCSC</v>
      </c>
      <c r="E127" s="1" t="str">
        <f>HYPERLINK("http://www.ncbi.nlm.nih.gov/gene/?term=TCFL5","NCBI")</f>
        <v>NCBI</v>
      </c>
      <c r="F127" s="2">
        <v>2.1999999999999999E-5</v>
      </c>
      <c r="G127">
        <v>2.8999999999999998E-3</v>
      </c>
      <c r="H127" s="1" t="str">
        <f>HYPERLINK("http://www.weizmann.ac.il/complex/compphys/software/geview/data/figures/204849_at.png","Figure")</f>
        <v>Figure</v>
      </c>
      <c r="I127">
        <v>0.63900000000000001</v>
      </c>
      <c r="J127">
        <v>0.34</v>
      </c>
      <c r="K127">
        <v>0.152</v>
      </c>
      <c r="L127" s="2">
        <v>2.6999999999999999E-5</v>
      </c>
      <c r="M127">
        <v>0.23799999999999999</v>
      </c>
      <c r="N127">
        <v>6.8999999999999997E-4</v>
      </c>
    </row>
    <row r="128" spans="1:14" x14ac:dyDescent="0.25">
      <c r="A128" t="s">
        <v>250</v>
      </c>
      <c r="B128" t="s">
        <v>251</v>
      </c>
      <c r="C128" s="1" t="str">
        <f>HYPERLINK("http://www.genecards.org/cgi-bin/carddisp.pl?gene=NXT2","GeneCards")</f>
        <v>GeneCards</v>
      </c>
      <c r="D128" s="1" t="str">
        <f>HYPERLINK("http://genome-euro.ucsc.edu/cgi-bin/hgTracks?position=209628_at","UCSC")</f>
        <v>UCSC</v>
      </c>
      <c r="E128" s="1" t="str">
        <f>HYPERLINK("http://www.ncbi.nlm.nih.gov/gene/?term=NXT2","NCBI")</f>
        <v>NCBI</v>
      </c>
      <c r="F128" s="2">
        <v>2.1999999999999999E-5</v>
      </c>
      <c r="G128">
        <v>3.0000000000000001E-3</v>
      </c>
      <c r="H128" s="1" t="str">
        <f>HYPERLINK("http://www.weizmann.ac.il/complex/compphys/software/geview/data/figures/209628_at.png","Figure")</f>
        <v>Figure</v>
      </c>
      <c r="I128">
        <v>0.22600000000000001</v>
      </c>
      <c r="J128" s="2">
        <v>4.6E-5</v>
      </c>
      <c r="K128">
        <v>0.89800000000000002</v>
      </c>
      <c r="L128">
        <v>0.85</v>
      </c>
      <c r="M128">
        <v>3.98</v>
      </c>
      <c r="N128" s="2">
        <v>5.0000000000000002E-5</v>
      </c>
    </row>
    <row r="129" spans="1:14" x14ac:dyDescent="0.25">
      <c r="A129" t="s">
        <v>252</v>
      </c>
      <c r="B129" t="s">
        <v>253</v>
      </c>
      <c r="C129" s="1" t="str">
        <f>HYPERLINK("http://www.genecards.org/cgi-bin/carddisp.pl?gene=SEMA4C","GeneCards")</f>
        <v>GeneCards</v>
      </c>
      <c r="D129" s="1" t="str">
        <f>HYPERLINK("http://genome-euro.ucsc.edu/cgi-bin/hgTracks?position=46665_at","UCSC")</f>
        <v>UCSC</v>
      </c>
      <c r="E129" s="1" t="str">
        <f>HYPERLINK("http://www.ncbi.nlm.nih.gov/gene/?term=SEMA4C","NCBI")</f>
        <v>NCBI</v>
      </c>
      <c r="F129" s="2">
        <v>2.3E-5</v>
      </c>
      <c r="G129">
        <v>3.0000000000000001E-3</v>
      </c>
      <c r="H129" s="1" t="str">
        <f>HYPERLINK("http://www.weizmann.ac.il/complex/compphys/software/geview/data/figures/46665_at.png","Figure")</f>
        <v>Figure</v>
      </c>
      <c r="I129">
        <v>3.98</v>
      </c>
      <c r="J129" s="2">
        <v>3.6000000000000001E-5</v>
      </c>
      <c r="K129">
        <v>2.85</v>
      </c>
      <c r="L129">
        <v>1.3999999999999999E-4</v>
      </c>
      <c r="M129">
        <v>0.71799999999999997</v>
      </c>
      <c r="N129">
        <v>0.23</v>
      </c>
    </row>
    <row r="130" spans="1:14" x14ac:dyDescent="0.25">
      <c r="A130" t="s">
        <v>254</v>
      </c>
      <c r="B130" t="s">
        <v>255</v>
      </c>
      <c r="C130" s="1" t="str">
        <f>HYPERLINK("http://www.genecards.org/cgi-bin/carddisp.pl?gene=CLINT1","GeneCards")</f>
        <v>GeneCards</v>
      </c>
      <c r="D130" s="1" t="str">
        <f>HYPERLINK("http://genome-euro.ucsc.edu/cgi-bin/hgTracks?position=201769_at","UCSC")</f>
        <v>UCSC</v>
      </c>
      <c r="E130" s="1" t="str">
        <f>HYPERLINK("http://www.ncbi.nlm.nih.gov/gene/?term=CLINT1","NCBI")</f>
        <v>NCBI</v>
      </c>
      <c r="F130" s="2">
        <v>2.3E-5</v>
      </c>
      <c r="G130">
        <v>3.0000000000000001E-3</v>
      </c>
      <c r="H130" s="1" t="str">
        <f>HYPERLINK("http://www.weizmann.ac.il/complex/compphys/software/geview/data/figures/201769_at.png","Figure")</f>
        <v>Figure</v>
      </c>
      <c r="I130">
        <v>0.35899999999999999</v>
      </c>
      <c r="J130">
        <v>2.9E-4</v>
      </c>
      <c r="K130">
        <v>0.318</v>
      </c>
      <c r="L130" s="2">
        <v>2.5000000000000001E-5</v>
      </c>
      <c r="M130">
        <v>0.88600000000000001</v>
      </c>
      <c r="N130">
        <v>0.77</v>
      </c>
    </row>
    <row r="131" spans="1:14" x14ac:dyDescent="0.25">
      <c r="A131" t="s">
        <v>256</v>
      </c>
      <c r="B131" t="s">
        <v>257</v>
      </c>
      <c r="C131" s="1" t="str">
        <f>HYPERLINK("http://www.genecards.org/cgi-bin/carddisp.pl?gene=PTTG1","GeneCards")</f>
        <v>GeneCards</v>
      </c>
      <c r="D131" s="1" t="str">
        <f>HYPERLINK("http://genome-euro.ucsc.edu/cgi-bin/hgTracks?position=203554_x_at","UCSC")</f>
        <v>UCSC</v>
      </c>
      <c r="E131" s="1" t="str">
        <f>HYPERLINK("http://www.ncbi.nlm.nih.gov/gene/?term=PTTG1","NCBI")</f>
        <v>NCBI</v>
      </c>
      <c r="F131" s="2">
        <v>2.3E-5</v>
      </c>
      <c r="G131">
        <v>3.0000000000000001E-3</v>
      </c>
      <c r="H131" s="1" t="str">
        <f>HYPERLINK("http://www.weizmann.ac.il/complex/compphys/software/geview/data/figures/203554_x_at.png","Figure")</f>
        <v>Figure</v>
      </c>
      <c r="I131">
        <v>2.02</v>
      </c>
      <c r="J131">
        <v>1.1999999999999999E-3</v>
      </c>
      <c r="K131">
        <v>2.6</v>
      </c>
      <c r="L131" s="2">
        <v>1.7E-5</v>
      </c>
      <c r="M131">
        <v>1.29</v>
      </c>
      <c r="N131">
        <v>0.21</v>
      </c>
    </row>
    <row r="132" spans="1:14" x14ac:dyDescent="0.25">
      <c r="A132" t="s">
        <v>258</v>
      </c>
      <c r="B132" t="s">
        <v>259</v>
      </c>
      <c r="C132" s="1" t="str">
        <f>HYPERLINK("http://www.genecards.org/cgi-bin/carddisp.pl?gene=TMX1","GeneCards")</f>
        <v>GeneCards</v>
      </c>
      <c r="D132" s="1" t="str">
        <f>HYPERLINK("http://genome-euro.ucsc.edu/cgi-bin/hgTracks?position=209476_at","UCSC")</f>
        <v>UCSC</v>
      </c>
      <c r="E132" s="1" t="str">
        <f>HYPERLINK("http://www.ncbi.nlm.nih.gov/gene/?term=TMX1","NCBI")</f>
        <v>NCBI</v>
      </c>
      <c r="F132" s="2">
        <v>2.3E-5</v>
      </c>
      <c r="G132">
        <v>3.0000000000000001E-3</v>
      </c>
      <c r="H132" s="1" t="str">
        <f>HYPERLINK("http://www.weizmann.ac.il/complex/compphys/software/geview/data/figures/209476_at.png","Figure")</f>
        <v>Figure</v>
      </c>
      <c r="I132">
        <v>0.44700000000000001</v>
      </c>
      <c r="J132">
        <v>4.2000000000000002E-4</v>
      </c>
      <c r="K132">
        <v>1.26</v>
      </c>
      <c r="L132">
        <v>0.22</v>
      </c>
      <c r="M132">
        <v>2.83</v>
      </c>
      <c r="N132" s="2">
        <v>1.7E-5</v>
      </c>
    </row>
    <row r="133" spans="1:14" x14ac:dyDescent="0.25">
      <c r="A133" t="s">
        <v>260</v>
      </c>
      <c r="B133" t="s">
        <v>261</v>
      </c>
      <c r="C133" s="1" t="str">
        <f>HYPERLINK("http://www.genecards.org/cgi-bin/carddisp.pl?gene=CD93","GeneCards")</f>
        <v>GeneCards</v>
      </c>
      <c r="D133" s="1" t="str">
        <f>HYPERLINK("http://genome-euro.ucsc.edu/cgi-bin/hgTracks?position=202878_s_at","UCSC")</f>
        <v>UCSC</v>
      </c>
      <c r="E133" s="1" t="str">
        <f>HYPERLINK("http://www.ncbi.nlm.nih.gov/gene/?term=CD93","NCBI")</f>
        <v>NCBI</v>
      </c>
      <c r="F133" s="2">
        <v>2.3E-5</v>
      </c>
      <c r="G133">
        <v>3.0000000000000001E-3</v>
      </c>
      <c r="H133" s="1" t="str">
        <f>HYPERLINK("http://www.weizmann.ac.il/complex/compphys/software/geview/data/figures/202878_s_at.png","Figure")</f>
        <v>Figure</v>
      </c>
      <c r="I133">
        <v>0.35499999999999998</v>
      </c>
      <c r="J133" s="2">
        <v>5.3000000000000001E-5</v>
      </c>
      <c r="K133">
        <v>0.94399999999999995</v>
      </c>
      <c r="L133">
        <v>0.91</v>
      </c>
      <c r="M133">
        <v>2.66</v>
      </c>
      <c r="N133" s="2">
        <v>4.8000000000000001E-5</v>
      </c>
    </row>
    <row r="134" spans="1:14" x14ac:dyDescent="0.25">
      <c r="A134" t="s">
        <v>262</v>
      </c>
      <c r="B134" t="s">
        <v>263</v>
      </c>
      <c r="C134" s="1" t="str">
        <f>HYPERLINK("http://www.genecards.org/cgi-bin/carddisp.pl?gene=TJP2","GeneCards")</f>
        <v>GeneCards</v>
      </c>
      <c r="D134" s="1" t="str">
        <f>HYPERLINK("http://genome-euro.ucsc.edu/cgi-bin/hgTracks?position=202085_at","UCSC")</f>
        <v>UCSC</v>
      </c>
      <c r="E134" s="1" t="str">
        <f>HYPERLINK("http://www.ncbi.nlm.nih.gov/gene/?term=TJP2","NCBI")</f>
        <v>NCBI</v>
      </c>
      <c r="F134" s="2">
        <v>2.4000000000000001E-5</v>
      </c>
      <c r="G134">
        <v>3.0000000000000001E-3</v>
      </c>
      <c r="H134" s="1" t="str">
        <f>HYPERLINK("http://www.weizmann.ac.il/complex/compphys/software/geview/data/figures/202085_at.png","Figure")</f>
        <v>Figure</v>
      </c>
      <c r="I134">
        <v>1.07</v>
      </c>
      <c r="J134">
        <v>0.96</v>
      </c>
      <c r="K134">
        <v>4.28</v>
      </c>
      <c r="L134" s="2">
        <v>6.0000000000000002E-5</v>
      </c>
      <c r="M134">
        <v>3.99</v>
      </c>
      <c r="N134">
        <v>1.9000000000000001E-4</v>
      </c>
    </row>
    <row r="135" spans="1:14" x14ac:dyDescent="0.25">
      <c r="A135" t="s">
        <v>264</v>
      </c>
      <c r="B135" t="s">
        <v>265</v>
      </c>
      <c r="C135" s="1" t="str">
        <f>HYPERLINK("http://www.genecards.org/cgi-bin/carddisp.pl?gene=PTER","GeneCards")</f>
        <v>GeneCards</v>
      </c>
      <c r="D135" s="1" t="str">
        <f>HYPERLINK("http://genome-euro.ucsc.edu/cgi-bin/hgTracks?position=218967_s_at","UCSC")</f>
        <v>UCSC</v>
      </c>
      <c r="E135" s="1" t="str">
        <f>HYPERLINK("http://www.ncbi.nlm.nih.gov/gene/?term=PTER","NCBI")</f>
        <v>NCBI</v>
      </c>
      <c r="F135" s="2">
        <v>2.4000000000000001E-5</v>
      </c>
      <c r="G135">
        <v>3.0000000000000001E-3</v>
      </c>
      <c r="H135" s="1" t="str">
        <f>HYPERLINK("http://www.weizmann.ac.il/complex/compphys/software/geview/data/figures/218967_s_at.png","Figure")</f>
        <v>Figure</v>
      </c>
      <c r="I135">
        <v>0.49399999999999999</v>
      </c>
      <c r="J135">
        <v>1.2999999999999999E-4</v>
      </c>
      <c r="K135">
        <v>1.07</v>
      </c>
      <c r="L135">
        <v>0.78</v>
      </c>
      <c r="M135">
        <v>2.17</v>
      </c>
      <c r="N135" s="2">
        <v>2.5999999999999998E-5</v>
      </c>
    </row>
    <row r="136" spans="1:14" x14ac:dyDescent="0.25">
      <c r="A136" t="s">
        <v>266</v>
      </c>
      <c r="B136" t="s">
        <v>267</v>
      </c>
      <c r="C136" s="1" t="str">
        <f>HYPERLINK("http://www.genecards.org/cgi-bin/carddisp.pl?gene=ATP6AP2","GeneCards")</f>
        <v>GeneCards</v>
      </c>
      <c r="D136" s="1" t="str">
        <f>HYPERLINK("http://genome-euro.ucsc.edu/cgi-bin/hgTracks?position=201443_s_at","UCSC")</f>
        <v>UCSC</v>
      </c>
      <c r="E136" s="1" t="str">
        <f>HYPERLINK("http://www.ncbi.nlm.nih.gov/gene/?term=ATP6AP2","NCBI")</f>
        <v>NCBI</v>
      </c>
      <c r="F136" s="2">
        <v>2.4000000000000001E-5</v>
      </c>
      <c r="G136">
        <v>3.0999999999999999E-3</v>
      </c>
      <c r="H136" s="1" t="str">
        <f>HYPERLINK("http://www.weizmann.ac.il/complex/compphys/software/geview/data/figures/201443_s_at.png","Figure")</f>
        <v>Figure</v>
      </c>
      <c r="I136">
        <v>0.27500000000000002</v>
      </c>
      <c r="J136" s="2">
        <v>1.7E-5</v>
      </c>
      <c r="K136">
        <v>0.51900000000000002</v>
      </c>
      <c r="L136">
        <v>2.5000000000000001E-3</v>
      </c>
      <c r="M136">
        <v>1.88</v>
      </c>
      <c r="N136">
        <v>5.4000000000000003E-3</v>
      </c>
    </row>
    <row r="137" spans="1:14" x14ac:dyDescent="0.25">
      <c r="A137" t="s">
        <v>268</v>
      </c>
      <c r="B137" t="s">
        <v>269</v>
      </c>
      <c r="C137" s="1" t="str">
        <f>HYPERLINK("http://www.genecards.org/cgi-bin/carddisp.pl?gene=SH3BP5","GeneCards")</f>
        <v>GeneCards</v>
      </c>
      <c r="D137" s="1" t="str">
        <f>HYPERLINK("http://genome-euro.ucsc.edu/cgi-bin/hgTracks?position=201810_s_at","UCSC")</f>
        <v>UCSC</v>
      </c>
      <c r="E137" s="1" t="str">
        <f>HYPERLINK("http://www.ncbi.nlm.nih.gov/gene/?term=SH3BP5","NCBI")</f>
        <v>NCBI</v>
      </c>
      <c r="F137" s="2">
        <v>2.5000000000000001E-5</v>
      </c>
      <c r="G137">
        <v>3.0999999999999999E-3</v>
      </c>
      <c r="H137" s="1" t="str">
        <f>HYPERLINK("http://www.weizmann.ac.il/complex/compphys/software/geview/data/figures/201810_s_at.png","Figure")</f>
        <v>Figure</v>
      </c>
      <c r="I137">
        <v>0.14699999999999999</v>
      </c>
      <c r="J137" s="2">
        <v>5.3999999999999998E-5</v>
      </c>
      <c r="K137">
        <v>0.88300000000000001</v>
      </c>
      <c r="L137">
        <v>0.88</v>
      </c>
      <c r="M137">
        <v>6.01</v>
      </c>
      <c r="N137" s="2">
        <v>5.3000000000000001E-5</v>
      </c>
    </row>
    <row r="138" spans="1:14" x14ac:dyDescent="0.25">
      <c r="A138" t="s">
        <v>270</v>
      </c>
      <c r="B138" t="s">
        <v>271</v>
      </c>
      <c r="C138" s="1" t="str">
        <f>HYPERLINK("http://www.genecards.org/cgi-bin/carddisp.pl?gene=DHRS3","GeneCards")</f>
        <v>GeneCards</v>
      </c>
      <c r="D138" s="1" t="str">
        <f>HYPERLINK("http://genome-euro.ucsc.edu/cgi-bin/hgTracks?position=202481_at","UCSC")</f>
        <v>UCSC</v>
      </c>
      <c r="E138" s="1" t="str">
        <f>HYPERLINK("http://www.ncbi.nlm.nih.gov/gene/?term=DHRS3","NCBI")</f>
        <v>NCBI</v>
      </c>
      <c r="F138" s="2">
        <v>2.5000000000000001E-5</v>
      </c>
      <c r="G138">
        <v>3.0999999999999999E-3</v>
      </c>
      <c r="H138" s="1" t="str">
        <f>HYPERLINK("http://www.weizmann.ac.il/complex/compphys/software/geview/data/figures/202481_at.png","Figure")</f>
        <v>Figure</v>
      </c>
      <c r="I138">
        <v>1.48</v>
      </c>
      <c r="J138">
        <v>1.7000000000000001E-2</v>
      </c>
      <c r="K138">
        <v>0.65400000000000003</v>
      </c>
      <c r="L138">
        <v>4.1000000000000003E-3</v>
      </c>
      <c r="M138">
        <v>0.442</v>
      </c>
      <c r="N138" s="2">
        <v>2.0000000000000002E-5</v>
      </c>
    </row>
    <row r="139" spans="1:14" x14ac:dyDescent="0.25">
      <c r="A139" t="s">
        <v>272</v>
      </c>
      <c r="B139" t="s">
        <v>273</v>
      </c>
      <c r="C139" s="1" t="str">
        <f>HYPERLINK("http://www.genecards.org/cgi-bin/carddisp.pl?gene=KDM5D","GeneCards")</f>
        <v>GeneCards</v>
      </c>
      <c r="D139" s="1" t="str">
        <f>HYPERLINK("http://genome-euro.ucsc.edu/cgi-bin/hgTracks?position=206700_s_at","UCSC")</f>
        <v>UCSC</v>
      </c>
      <c r="E139" s="1" t="str">
        <f>HYPERLINK("http://www.ncbi.nlm.nih.gov/gene/?term=KDM5D","NCBI")</f>
        <v>NCBI</v>
      </c>
      <c r="F139" s="2">
        <v>2.5999999999999998E-5</v>
      </c>
      <c r="G139">
        <v>3.2000000000000002E-3</v>
      </c>
      <c r="H139" s="1" t="str">
        <f>HYPERLINK("http://www.weizmann.ac.il/complex/compphys/software/geview/data/figures/206700_s_at.png","Figure")</f>
        <v>Figure</v>
      </c>
      <c r="I139">
        <v>2.71</v>
      </c>
      <c r="J139">
        <v>5.1000000000000004E-3</v>
      </c>
      <c r="K139">
        <v>0.47199999999999998</v>
      </c>
      <c r="L139">
        <v>1.4E-2</v>
      </c>
      <c r="M139">
        <v>0.17399999999999999</v>
      </c>
      <c r="N139" s="2">
        <v>1.8E-5</v>
      </c>
    </row>
    <row r="140" spans="1:14" x14ac:dyDescent="0.25">
      <c r="A140" t="s">
        <v>274</v>
      </c>
      <c r="B140" t="s">
        <v>275</v>
      </c>
      <c r="C140" s="1" t="str">
        <f>HYPERLINK("http://www.genecards.org/cgi-bin/carddisp.pl?gene=IRAK3","GeneCards")</f>
        <v>GeneCards</v>
      </c>
      <c r="D140" s="1" t="str">
        <f>HYPERLINK("http://genome-euro.ucsc.edu/cgi-bin/hgTracks?position=213817_at","UCSC")</f>
        <v>UCSC</v>
      </c>
      <c r="E140" s="1" t="str">
        <f>HYPERLINK("http://www.ncbi.nlm.nih.gov/gene/?term=IRAK3","NCBI")</f>
        <v>NCBI</v>
      </c>
      <c r="F140" s="2">
        <v>2.5999999999999998E-5</v>
      </c>
      <c r="G140">
        <v>3.2000000000000002E-3</v>
      </c>
      <c r="H140" s="1" t="str">
        <f>HYPERLINK("http://www.weizmann.ac.il/complex/compphys/software/geview/data/figures/213817_at.png","Figure")</f>
        <v>Figure</v>
      </c>
      <c r="I140">
        <v>0.34200000000000003</v>
      </c>
      <c r="J140" s="2">
        <v>5.3999999999999998E-5</v>
      </c>
      <c r="K140">
        <v>0.92500000000000004</v>
      </c>
      <c r="L140">
        <v>0.85</v>
      </c>
      <c r="M140">
        <v>2.7</v>
      </c>
      <c r="N140" s="2">
        <v>5.8E-5</v>
      </c>
    </row>
    <row r="141" spans="1:14" x14ac:dyDescent="0.25">
      <c r="A141" t="s">
        <v>276</v>
      </c>
      <c r="B141" t="s">
        <v>277</v>
      </c>
      <c r="C141" s="1" t="str">
        <f>HYPERLINK("http://www.genecards.org/cgi-bin/carddisp.pl?gene=SDC2","GeneCards")</f>
        <v>GeneCards</v>
      </c>
      <c r="D141" s="1" t="str">
        <f>HYPERLINK("http://genome-euro.ucsc.edu/cgi-bin/hgTracks?position=212158_at","UCSC")</f>
        <v>UCSC</v>
      </c>
      <c r="E141" s="1" t="str">
        <f>HYPERLINK("http://www.ncbi.nlm.nih.gov/gene/?term=SDC2","NCBI")</f>
        <v>NCBI</v>
      </c>
      <c r="F141" s="2">
        <v>2.5999999999999998E-5</v>
      </c>
      <c r="G141">
        <v>3.2000000000000002E-3</v>
      </c>
      <c r="H141" s="1" t="str">
        <f>HYPERLINK("http://www.weizmann.ac.il/complex/compphys/software/geview/data/figures/212158_at.png","Figure")</f>
        <v>Figure</v>
      </c>
      <c r="I141">
        <v>2.14</v>
      </c>
      <c r="J141">
        <v>4.5999999999999999E-2</v>
      </c>
      <c r="K141">
        <v>0.33300000000000002</v>
      </c>
      <c r="L141">
        <v>1.8E-3</v>
      </c>
      <c r="M141">
        <v>0.155</v>
      </c>
      <c r="N141" s="2">
        <v>2.5000000000000001E-5</v>
      </c>
    </row>
    <row r="142" spans="1:14" x14ac:dyDescent="0.25">
      <c r="A142" t="s">
        <v>278</v>
      </c>
      <c r="B142" t="s">
        <v>279</v>
      </c>
      <c r="C142" s="1" t="str">
        <f>HYPERLINK("http://www.genecards.org/cgi-bin/carddisp.pl?gene=ASAP1","GeneCards")</f>
        <v>GeneCards</v>
      </c>
      <c r="D142" s="1" t="str">
        <f>HYPERLINK("http://genome-euro.ucsc.edu/cgi-bin/hgTracks?position=221039_s_at","UCSC")</f>
        <v>UCSC</v>
      </c>
      <c r="E142" s="1" t="str">
        <f>HYPERLINK("http://www.ncbi.nlm.nih.gov/gene/?term=ASAP1","NCBI")</f>
        <v>NCBI</v>
      </c>
      <c r="F142" s="2">
        <v>2.6999999999999999E-5</v>
      </c>
      <c r="G142">
        <v>3.2000000000000002E-3</v>
      </c>
      <c r="H142" s="1" t="str">
        <f>HYPERLINK("http://www.weizmann.ac.il/complex/compphys/software/geview/data/figures/221039_s_at.png","Figure")</f>
        <v>Figure</v>
      </c>
      <c r="I142">
        <v>0.41</v>
      </c>
      <c r="J142" s="2">
        <v>2.5000000000000001E-5</v>
      </c>
      <c r="K142">
        <v>0.80100000000000005</v>
      </c>
      <c r="L142">
        <v>0.15</v>
      </c>
      <c r="M142">
        <v>1.95</v>
      </c>
      <c r="N142">
        <v>2.2000000000000001E-4</v>
      </c>
    </row>
    <row r="143" spans="1:14" x14ac:dyDescent="0.25">
      <c r="A143" t="s">
        <v>280</v>
      </c>
      <c r="B143" t="s">
        <v>281</v>
      </c>
      <c r="C143" s="1" t="str">
        <f>HYPERLINK("http://www.genecards.org/cgi-bin/carddisp.pl?gene=KBTBD11","GeneCards")</f>
        <v>GeneCards</v>
      </c>
      <c r="D143" s="1" t="str">
        <f>HYPERLINK("http://genome-euro.ucsc.edu/cgi-bin/hgTracks?position=204301_at","UCSC")</f>
        <v>UCSC</v>
      </c>
      <c r="E143" s="1" t="str">
        <f>HYPERLINK("http://www.ncbi.nlm.nih.gov/gene/?term=KBTBD11","NCBI")</f>
        <v>NCBI</v>
      </c>
      <c r="F143" s="2">
        <v>2.6999999999999999E-5</v>
      </c>
      <c r="G143">
        <v>3.2000000000000002E-3</v>
      </c>
      <c r="H143" s="1" t="str">
        <f>HYPERLINK("http://www.weizmann.ac.il/complex/compphys/software/geview/data/figures/204301_at.png","Figure")</f>
        <v>Figure</v>
      </c>
      <c r="I143">
        <v>0.35799999999999998</v>
      </c>
      <c r="J143">
        <v>1E-4</v>
      </c>
      <c r="K143">
        <v>1.04</v>
      </c>
      <c r="L143">
        <v>0.97</v>
      </c>
      <c r="M143">
        <v>2.9</v>
      </c>
      <c r="N143" s="2">
        <v>3.6000000000000001E-5</v>
      </c>
    </row>
    <row r="144" spans="1:14" x14ac:dyDescent="0.25">
      <c r="A144" t="s">
        <v>282</v>
      </c>
      <c r="B144" t="s">
        <v>283</v>
      </c>
      <c r="C144" s="1" t="str">
        <f>HYPERLINK("http://www.genecards.org/cgi-bin/carddisp.pl?gene=VASH1","GeneCards")</f>
        <v>GeneCards</v>
      </c>
      <c r="D144" s="1" t="str">
        <f>HYPERLINK("http://genome-euro.ucsc.edu/cgi-bin/hgTracks?position=203940_s_at","UCSC")</f>
        <v>UCSC</v>
      </c>
      <c r="E144" s="1" t="str">
        <f>HYPERLINK("http://www.ncbi.nlm.nih.gov/gene/?term=VASH1","NCBI")</f>
        <v>NCBI</v>
      </c>
      <c r="F144" s="2">
        <v>2.6999999999999999E-5</v>
      </c>
      <c r="G144">
        <v>3.3E-3</v>
      </c>
      <c r="H144" s="1" t="str">
        <f>HYPERLINK("http://www.weizmann.ac.il/complex/compphys/software/geview/data/figures/203940_s_at.png","Figure")</f>
        <v>Figure</v>
      </c>
      <c r="I144">
        <v>2.44</v>
      </c>
      <c r="J144">
        <v>1.6000000000000001E-4</v>
      </c>
      <c r="K144">
        <v>2.4300000000000002</v>
      </c>
      <c r="L144" s="2">
        <v>4.3000000000000002E-5</v>
      </c>
      <c r="M144">
        <v>0.997</v>
      </c>
      <c r="N144">
        <v>1</v>
      </c>
    </row>
    <row r="145" spans="1:14" x14ac:dyDescent="0.25">
      <c r="A145" t="s">
        <v>284</v>
      </c>
      <c r="B145" t="s">
        <v>285</v>
      </c>
      <c r="C145" s="1" t="str">
        <f>HYPERLINK("http://www.genecards.org/cgi-bin/carddisp.pl?gene=GALNT1","GeneCards")</f>
        <v>GeneCards</v>
      </c>
      <c r="D145" s="1" t="str">
        <f>HYPERLINK("http://genome-euro.ucsc.edu/cgi-bin/hgTracks?position=201724_s_at","UCSC")</f>
        <v>UCSC</v>
      </c>
      <c r="E145" s="1" t="str">
        <f>HYPERLINK("http://www.ncbi.nlm.nih.gov/gene/?term=GALNT1","NCBI")</f>
        <v>NCBI</v>
      </c>
      <c r="F145" s="2">
        <v>2.8E-5</v>
      </c>
      <c r="G145">
        <v>3.3E-3</v>
      </c>
      <c r="H145" s="1" t="str">
        <f>HYPERLINK("http://www.weizmann.ac.il/complex/compphys/software/geview/data/figures/201724_s_at.png","Figure")</f>
        <v>Figure</v>
      </c>
      <c r="I145">
        <v>0.33400000000000002</v>
      </c>
      <c r="J145" s="2">
        <v>1.9000000000000001E-5</v>
      </c>
      <c r="K145">
        <v>0.58699999999999997</v>
      </c>
      <c r="L145">
        <v>3.8999999999999998E-3</v>
      </c>
      <c r="M145">
        <v>1.76</v>
      </c>
      <c r="N145">
        <v>4.3E-3</v>
      </c>
    </row>
    <row r="146" spans="1:14" x14ac:dyDescent="0.25">
      <c r="A146" t="s">
        <v>286</v>
      </c>
      <c r="B146" t="s">
        <v>287</v>
      </c>
      <c r="C146" s="1" t="str">
        <f>HYPERLINK("http://www.genecards.org/cgi-bin/carddisp.pl?gene=BRD9","GeneCards")</f>
        <v>GeneCards</v>
      </c>
      <c r="D146" s="1" t="str">
        <f>HYPERLINK("http://genome-euro.ucsc.edu/cgi-bin/hgTracks?position=220155_s_at","UCSC")</f>
        <v>UCSC</v>
      </c>
      <c r="E146" s="1" t="str">
        <f>HYPERLINK("http://www.ncbi.nlm.nih.gov/gene/?term=BRD9","NCBI")</f>
        <v>NCBI</v>
      </c>
      <c r="F146" s="2">
        <v>2.9E-5</v>
      </c>
      <c r="G146">
        <v>3.3E-3</v>
      </c>
      <c r="H146" s="1" t="str">
        <f>HYPERLINK("http://www.weizmann.ac.il/complex/compphys/software/geview/data/figures/220155_s_at.png","Figure")</f>
        <v>Figure</v>
      </c>
      <c r="I146">
        <v>1.6</v>
      </c>
      <c r="J146">
        <v>1.2999999999999999E-4</v>
      </c>
      <c r="K146">
        <v>0.96599999999999997</v>
      </c>
      <c r="L146">
        <v>0.88</v>
      </c>
      <c r="M146">
        <v>0.60199999999999998</v>
      </c>
      <c r="N146" s="2">
        <v>3.4E-5</v>
      </c>
    </row>
    <row r="147" spans="1:14" x14ac:dyDescent="0.25">
      <c r="A147" t="s">
        <v>288</v>
      </c>
      <c r="B147" t="s">
        <v>289</v>
      </c>
      <c r="C147" s="1" t="str">
        <f>HYPERLINK("http://www.genecards.org/cgi-bin/carddisp.pl?gene=MAN1A1","GeneCards")</f>
        <v>GeneCards</v>
      </c>
      <c r="D147" s="1" t="str">
        <f>HYPERLINK("http://genome-euro.ucsc.edu/cgi-bin/hgTracks?position=221760_at","UCSC")</f>
        <v>UCSC</v>
      </c>
      <c r="E147" s="1" t="str">
        <f>HYPERLINK("http://www.ncbi.nlm.nih.gov/gene/?term=MAN1A1","NCBI")</f>
        <v>NCBI</v>
      </c>
      <c r="F147" s="2">
        <v>2.9E-5</v>
      </c>
      <c r="G147">
        <v>3.3E-3</v>
      </c>
      <c r="H147" s="1" t="str">
        <f>HYPERLINK("http://www.weizmann.ac.il/complex/compphys/software/geview/data/figures/221760_at.png","Figure")</f>
        <v>Figure</v>
      </c>
      <c r="I147">
        <v>0.14099999999999999</v>
      </c>
      <c r="J147" s="2">
        <v>5.0000000000000002E-5</v>
      </c>
      <c r="K147">
        <v>0.216</v>
      </c>
      <c r="L147">
        <v>1.3999999999999999E-4</v>
      </c>
      <c r="M147">
        <v>1.53</v>
      </c>
      <c r="N147">
        <v>0.31</v>
      </c>
    </row>
    <row r="148" spans="1:14" x14ac:dyDescent="0.25">
      <c r="A148" t="s">
        <v>290</v>
      </c>
      <c r="B148" t="s">
        <v>291</v>
      </c>
      <c r="C148" s="1" t="str">
        <f>HYPERLINK("http://www.genecards.org/cgi-bin/carddisp.pl?gene=FABP5","GeneCards")</f>
        <v>GeneCards</v>
      </c>
      <c r="D148" s="1" t="str">
        <f>HYPERLINK("http://genome-euro.ucsc.edu/cgi-bin/hgTracks?position=202345_s_at","UCSC")</f>
        <v>UCSC</v>
      </c>
      <c r="E148" s="1" t="str">
        <f>HYPERLINK("http://www.ncbi.nlm.nih.gov/gene/?term=FABP5","NCBI")</f>
        <v>NCBI</v>
      </c>
      <c r="F148" s="2">
        <v>3.1000000000000001E-5</v>
      </c>
      <c r="G148">
        <v>3.5000000000000001E-3</v>
      </c>
      <c r="H148" s="1" t="str">
        <f>HYPERLINK("http://www.weizmann.ac.il/complex/compphys/software/geview/data/figures/202345_s_at.png","Figure")</f>
        <v>Figure</v>
      </c>
      <c r="I148">
        <v>0.70199999999999996</v>
      </c>
      <c r="J148">
        <v>0.14000000000000001</v>
      </c>
      <c r="K148">
        <v>2.1</v>
      </c>
      <c r="L148">
        <v>8.1999999999999998E-4</v>
      </c>
      <c r="M148">
        <v>2.99</v>
      </c>
      <c r="N148" s="2">
        <v>3.8999999999999999E-5</v>
      </c>
    </row>
    <row r="149" spans="1:14" x14ac:dyDescent="0.25">
      <c r="A149" t="s">
        <v>292</v>
      </c>
      <c r="B149" t="s">
        <v>293</v>
      </c>
      <c r="C149" s="1" t="str">
        <f>HYPERLINK("http://www.genecards.org/cgi-bin/carddisp.pl?gene=GNAZ","GeneCards")</f>
        <v>GeneCards</v>
      </c>
      <c r="D149" s="1" t="str">
        <f>HYPERLINK("http://genome-euro.ucsc.edu/cgi-bin/hgTracks?position=204993_at","UCSC")</f>
        <v>UCSC</v>
      </c>
      <c r="E149" s="1" t="str">
        <f>HYPERLINK("http://www.ncbi.nlm.nih.gov/gene/?term=GNAZ","NCBI")</f>
        <v>NCBI</v>
      </c>
      <c r="F149" s="2">
        <v>3.1000000000000001E-5</v>
      </c>
      <c r="G149">
        <v>3.5000000000000001E-3</v>
      </c>
      <c r="H149" s="1" t="str">
        <f>HYPERLINK("http://www.weizmann.ac.il/complex/compphys/software/geview/data/figures/204993_at.png","Figure")</f>
        <v>Figure</v>
      </c>
      <c r="I149">
        <v>1.62</v>
      </c>
      <c r="J149">
        <v>1.1E-4</v>
      </c>
      <c r="K149">
        <v>1.55</v>
      </c>
      <c r="L149" s="2">
        <v>7.2000000000000002E-5</v>
      </c>
      <c r="M149">
        <v>0.95699999999999996</v>
      </c>
      <c r="N149">
        <v>0.83</v>
      </c>
    </row>
    <row r="150" spans="1:14" x14ac:dyDescent="0.25">
      <c r="A150" t="s">
        <v>294</v>
      </c>
      <c r="B150" t="s">
        <v>295</v>
      </c>
      <c r="C150" s="1" t="str">
        <f>HYPERLINK("http://www.genecards.org/cgi-bin/carddisp.pl?gene=PTP4A3","GeneCards")</f>
        <v>GeneCards</v>
      </c>
      <c r="D150" s="1" t="str">
        <f>HYPERLINK("http://genome-euro.ucsc.edu/cgi-bin/hgTracks?position=209695_at","UCSC")</f>
        <v>UCSC</v>
      </c>
      <c r="E150" s="1" t="str">
        <f>HYPERLINK("http://www.ncbi.nlm.nih.gov/gene/?term=PTP4A3","NCBI")</f>
        <v>NCBI</v>
      </c>
      <c r="F150" s="2">
        <v>3.1000000000000001E-5</v>
      </c>
      <c r="G150">
        <v>3.5000000000000001E-3</v>
      </c>
      <c r="H150" s="1" t="str">
        <f>HYPERLINK("http://www.weizmann.ac.il/complex/compphys/software/geview/data/figures/209695_at.png","Figure")</f>
        <v>Figure</v>
      </c>
      <c r="I150">
        <v>1.01</v>
      </c>
      <c r="J150">
        <v>1</v>
      </c>
      <c r="K150">
        <v>0.40600000000000003</v>
      </c>
      <c r="L150">
        <v>1E-4</v>
      </c>
      <c r="M150">
        <v>0.40100000000000002</v>
      </c>
      <c r="N150">
        <v>1.7000000000000001E-4</v>
      </c>
    </row>
    <row r="151" spans="1:14" x14ac:dyDescent="0.25">
      <c r="A151" t="s">
        <v>296</v>
      </c>
      <c r="B151" t="s">
        <v>297</v>
      </c>
      <c r="C151" s="1" t="str">
        <f>HYPERLINK("http://www.genecards.org/cgi-bin/carddisp.pl?gene=C1orf38","GeneCards")</f>
        <v>GeneCards</v>
      </c>
      <c r="D151" s="1" t="str">
        <f>HYPERLINK("http://genome-euro.ucsc.edu/cgi-bin/hgTracks?position=210785_s_at","UCSC")</f>
        <v>UCSC</v>
      </c>
      <c r="E151" s="1" t="str">
        <f>HYPERLINK("http://www.ncbi.nlm.nih.gov/gene/?term=C1orf38","NCBI")</f>
        <v>NCBI</v>
      </c>
      <c r="F151" s="2">
        <v>3.1000000000000001E-5</v>
      </c>
      <c r="G151">
        <v>3.5000000000000001E-3</v>
      </c>
      <c r="H151" s="1" t="str">
        <f>HYPERLINK("http://www.weizmann.ac.il/complex/compphys/software/geview/data/figures/210785_s_at.png","Figure")</f>
        <v>Figure</v>
      </c>
      <c r="I151">
        <v>0.33700000000000002</v>
      </c>
      <c r="J151">
        <v>2.3E-3</v>
      </c>
      <c r="K151">
        <v>0.20799999999999999</v>
      </c>
      <c r="L151" s="2">
        <v>2.1999999999999999E-5</v>
      </c>
      <c r="M151">
        <v>0.61899999999999999</v>
      </c>
      <c r="N151">
        <v>0.14000000000000001</v>
      </c>
    </row>
    <row r="152" spans="1:14" x14ac:dyDescent="0.25">
      <c r="A152" t="s">
        <v>298</v>
      </c>
      <c r="B152" t="s">
        <v>299</v>
      </c>
      <c r="C152" s="1" t="str">
        <f>HYPERLINK("http://www.genecards.org/cgi-bin/carddisp.pl?gene=SMAD1","GeneCards")</f>
        <v>GeneCards</v>
      </c>
      <c r="D152" s="1" t="str">
        <f>HYPERLINK("http://genome-euro.ucsc.edu/cgi-bin/hgTracks?position=210993_s_at","UCSC")</f>
        <v>UCSC</v>
      </c>
      <c r="E152" s="1" t="str">
        <f>HYPERLINK("http://www.ncbi.nlm.nih.gov/gene/?term=SMAD1","NCBI")</f>
        <v>NCBI</v>
      </c>
      <c r="F152" s="2">
        <v>3.1999999999999999E-5</v>
      </c>
      <c r="G152">
        <v>3.5000000000000001E-3</v>
      </c>
      <c r="H152" s="1" t="str">
        <f>HYPERLINK("http://www.weizmann.ac.il/complex/compphys/software/geview/data/figures/210993_s_at.png","Figure")</f>
        <v>Figure</v>
      </c>
      <c r="I152">
        <v>0.25600000000000001</v>
      </c>
      <c r="J152">
        <v>1.8E-3</v>
      </c>
      <c r="K152">
        <v>0.151</v>
      </c>
      <c r="L152" s="2">
        <v>2.3E-5</v>
      </c>
      <c r="M152">
        <v>0.58799999999999997</v>
      </c>
      <c r="N152">
        <v>0.19</v>
      </c>
    </row>
    <row r="153" spans="1:14" x14ac:dyDescent="0.25">
      <c r="A153" t="s">
        <v>300</v>
      </c>
      <c r="B153" t="s">
        <v>301</v>
      </c>
      <c r="C153" s="1" t="str">
        <f>HYPERLINK("http://www.genecards.org/cgi-bin/carddisp.pl?gene=GCSH","GeneCards")</f>
        <v>GeneCards</v>
      </c>
      <c r="D153" s="1" t="str">
        <f>HYPERLINK("http://genome-euro.ucsc.edu/cgi-bin/hgTracks?position=213129_s_at","UCSC")</f>
        <v>UCSC</v>
      </c>
      <c r="E153" s="1" t="str">
        <f>HYPERLINK("http://www.ncbi.nlm.nih.gov/gene/?term=GCSH","NCBI")</f>
        <v>NCBI</v>
      </c>
      <c r="F153" s="2">
        <v>3.1000000000000001E-5</v>
      </c>
      <c r="G153">
        <v>3.5000000000000001E-3</v>
      </c>
      <c r="H153" s="1" t="str">
        <f>HYPERLINK("http://www.weizmann.ac.il/complex/compphys/software/geview/data/figures/213129_s_at.png","Figure")</f>
        <v>Figure</v>
      </c>
      <c r="I153">
        <v>0.47699999999999998</v>
      </c>
      <c r="J153">
        <v>4.7999999999999996E-3</v>
      </c>
      <c r="K153">
        <v>1.69</v>
      </c>
      <c r="L153">
        <v>1.9E-2</v>
      </c>
      <c r="M153">
        <v>3.54</v>
      </c>
      <c r="N153" s="2">
        <v>2.0999999999999999E-5</v>
      </c>
    </row>
    <row r="154" spans="1:14" x14ac:dyDescent="0.25">
      <c r="A154" t="s">
        <v>302</v>
      </c>
      <c r="B154" t="s">
        <v>303</v>
      </c>
      <c r="C154" s="1" t="str">
        <f>HYPERLINK("http://www.genecards.org/cgi-bin/carddisp.pl?gene=CCDC81","GeneCards")</f>
        <v>GeneCards</v>
      </c>
      <c r="D154" s="1" t="str">
        <f>HYPERLINK("http://genome-euro.ucsc.edu/cgi-bin/hgTracks?position=220389_at","UCSC")</f>
        <v>UCSC</v>
      </c>
      <c r="E154" s="1" t="str">
        <f>HYPERLINK("http://www.ncbi.nlm.nih.gov/gene/?term=CCDC81","NCBI")</f>
        <v>NCBI</v>
      </c>
      <c r="F154" s="2">
        <v>3.1999999999999999E-5</v>
      </c>
      <c r="G154">
        <v>3.5000000000000001E-3</v>
      </c>
      <c r="H154" s="1" t="str">
        <f>HYPERLINK("http://www.weizmann.ac.il/complex/compphys/software/geview/data/figures/220389_at.png","Figure")</f>
        <v>Figure</v>
      </c>
      <c r="I154">
        <v>2.0699999999999998</v>
      </c>
      <c r="J154">
        <v>3.7000000000000002E-3</v>
      </c>
      <c r="K154">
        <v>3.06</v>
      </c>
      <c r="L154" s="2">
        <v>2.1999999999999999E-5</v>
      </c>
      <c r="M154">
        <v>1.48</v>
      </c>
      <c r="N154">
        <v>8.6999999999999994E-2</v>
      </c>
    </row>
    <row r="155" spans="1:14" x14ac:dyDescent="0.25">
      <c r="A155" t="s">
        <v>304</v>
      </c>
      <c r="B155" t="s">
        <v>305</v>
      </c>
      <c r="C155" s="1" t="str">
        <f>HYPERLINK("http://www.genecards.org/cgi-bin/carddisp.pl?gene=IPO7","GeneCards")</f>
        <v>GeneCards</v>
      </c>
      <c r="D155" s="1" t="str">
        <f>HYPERLINK("http://genome-euro.ucsc.edu/cgi-bin/hgTracks?position=200995_at","UCSC")</f>
        <v>UCSC</v>
      </c>
      <c r="E155" s="1" t="str">
        <f>HYPERLINK("http://www.ncbi.nlm.nih.gov/gene/?term=IPO7","NCBI")</f>
        <v>NCBI</v>
      </c>
      <c r="F155" s="2">
        <v>3.3000000000000003E-5</v>
      </c>
      <c r="G155">
        <v>3.7000000000000002E-3</v>
      </c>
      <c r="H155" s="1" t="str">
        <f>HYPERLINK("http://www.weizmann.ac.il/complex/compphys/software/geview/data/figures/200995_at.png","Figure")</f>
        <v>Figure</v>
      </c>
      <c r="I155">
        <v>0.47599999999999998</v>
      </c>
      <c r="J155" s="2">
        <v>6.7999999999999999E-5</v>
      </c>
      <c r="K155">
        <v>0.94699999999999995</v>
      </c>
      <c r="L155">
        <v>0.86</v>
      </c>
      <c r="M155">
        <v>1.99</v>
      </c>
      <c r="N155" s="2">
        <v>7.3999999999999996E-5</v>
      </c>
    </row>
    <row r="156" spans="1:14" x14ac:dyDescent="0.25">
      <c r="A156" t="s">
        <v>306</v>
      </c>
      <c r="B156" t="s">
        <v>115</v>
      </c>
      <c r="C156" s="1" t="str">
        <f>HYPERLINK("http://www.genecards.org/cgi-bin/carddisp.pl?gene=DDX3Y","GeneCards")</f>
        <v>GeneCards</v>
      </c>
      <c r="D156" s="1" t="str">
        <f>HYPERLINK("http://genome-euro.ucsc.edu/cgi-bin/hgTracks?position=205000_at","UCSC")</f>
        <v>UCSC</v>
      </c>
      <c r="E156" s="1" t="str">
        <f>HYPERLINK("http://www.ncbi.nlm.nih.gov/gene/?term=DDX3Y","NCBI")</f>
        <v>NCBI</v>
      </c>
      <c r="F156" s="2">
        <v>3.6000000000000001E-5</v>
      </c>
      <c r="G156">
        <v>3.8999999999999998E-3</v>
      </c>
      <c r="H156" s="1" t="str">
        <f>HYPERLINK("http://www.weizmann.ac.il/complex/compphys/software/geview/data/figures/205000_at.png","Figure")</f>
        <v>Figure</v>
      </c>
      <c r="I156">
        <v>8.98</v>
      </c>
      <c r="J156">
        <v>2E-3</v>
      </c>
      <c r="K156">
        <v>0.33300000000000002</v>
      </c>
      <c r="L156">
        <v>6.2E-2</v>
      </c>
      <c r="M156">
        <v>3.6999999999999998E-2</v>
      </c>
      <c r="N156" s="2">
        <v>2.4000000000000001E-5</v>
      </c>
    </row>
    <row r="157" spans="1:14" x14ac:dyDescent="0.25">
      <c r="A157" t="s">
        <v>307</v>
      </c>
      <c r="B157" t="s">
        <v>308</v>
      </c>
      <c r="C157" s="1" t="str">
        <f>HYPERLINK("http://www.genecards.org/cgi-bin/carddisp.pl?gene=GALNT14","GeneCards")</f>
        <v>GeneCards</v>
      </c>
      <c r="D157" s="1" t="str">
        <f>HYPERLINK("http://genome-euro.ucsc.edu/cgi-bin/hgTracks?position=219271_at","UCSC")</f>
        <v>UCSC</v>
      </c>
      <c r="E157" s="1" t="str">
        <f>HYPERLINK("http://www.ncbi.nlm.nih.gov/gene/?term=GALNT14","NCBI")</f>
        <v>NCBI</v>
      </c>
      <c r="F157" s="2">
        <v>3.4999999999999997E-5</v>
      </c>
      <c r="G157">
        <v>3.8999999999999998E-3</v>
      </c>
      <c r="H157" s="1" t="str">
        <f>HYPERLINK("http://www.weizmann.ac.il/complex/compphys/software/geview/data/figures/219271_at.png","Figure")</f>
        <v>Figure</v>
      </c>
      <c r="I157">
        <v>2.33</v>
      </c>
      <c r="J157">
        <v>5.4000000000000001E-4</v>
      </c>
      <c r="K157">
        <v>2.66</v>
      </c>
      <c r="L157" s="2">
        <v>3.4999999999999997E-5</v>
      </c>
      <c r="M157">
        <v>1.1399999999999999</v>
      </c>
      <c r="N157">
        <v>0.67</v>
      </c>
    </row>
    <row r="158" spans="1:14" x14ac:dyDescent="0.25">
      <c r="A158" t="s">
        <v>309</v>
      </c>
      <c r="B158" t="s">
        <v>38</v>
      </c>
      <c r="C158" s="1" t="str">
        <f>HYPERLINK("http://www.genecards.org/cgi-bin/carddisp.pl?gene=CCND2","GeneCards")</f>
        <v>GeneCards</v>
      </c>
      <c r="D158" s="1" t="str">
        <f>HYPERLINK("http://genome-euro.ucsc.edu/cgi-bin/hgTracks?position=200951_s_at","UCSC")</f>
        <v>UCSC</v>
      </c>
      <c r="E158" s="1" t="str">
        <f>HYPERLINK("http://www.ncbi.nlm.nih.gov/gene/?term=CCND2","NCBI")</f>
        <v>NCBI</v>
      </c>
      <c r="F158" s="2">
        <v>3.8000000000000002E-5</v>
      </c>
      <c r="G158">
        <v>4.0000000000000001E-3</v>
      </c>
      <c r="H158" s="1" t="str">
        <f>HYPERLINK("http://www.weizmann.ac.il/complex/compphys/software/geview/data/figures/200951_s_at.png","Figure")</f>
        <v>Figure</v>
      </c>
      <c r="I158">
        <v>0.372</v>
      </c>
      <c r="J158" s="2">
        <v>3.1000000000000001E-5</v>
      </c>
      <c r="K158">
        <v>0.74399999999999999</v>
      </c>
      <c r="L158">
        <v>8.3000000000000004E-2</v>
      </c>
      <c r="M158">
        <v>2</v>
      </c>
      <c r="N158">
        <v>4.8999999999999998E-4</v>
      </c>
    </row>
    <row r="159" spans="1:14" x14ac:dyDescent="0.25">
      <c r="A159" t="s">
        <v>310</v>
      </c>
      <c r="B159" t="s">
        <v>311</v>
      </c>
      <c r="C159" s="1" t="str">
        <f>HYPERLINK("http://www.genecards.org/cgi-bin/carddisp.pl?gene=ELOVL5","GeneCards")</f>
        <v>GeneCards</v>
      </c>
      <c r="D159" s="1" t="str">
        <f>HYPERLINK("http://genome-euro.ucsc.edu/cgi-bin/hgTracks?position=208788_at","UCSC")</f>
        <v>UCSC</v>
      </c>
      <c r="E159" s="1" t="str">
        <f>HYPERLINK("http://www.ncbi.nlm.nih.gov/gene/?term=ELOVL5","NCBI")</f>
        <v>NCBI</v>
      </c>
      <c r="F159" s="2">
        <v>3.6999999999999998E-5</v>
      </c>
      <c r="G159">
        <v>4.0000000000000001E-3</v>
      </c>
      <c r="H159" s="1" t="str">
        <f>HYPERLINK("http://www.weizmann.ac.il/complex/compphys/software/geview/data/figures/208788_at.png","Figure")</f>
        <v>Figure</v>
      </c>
      <c r="I159">
        <v>2.6</v>
      </c>
      <c r="J159">
        <v>1.2999999999999999E-4</v>
      </c>
      <c r="K159">
        <v>2.4</v>
      </c>
      <c r="L159" s="2">
        <v>8.2999999999999998E-5</v>
      </c>
      <c r="M159">
        <v>0.92300000000000004</v>
      </c>
      <c r="N159">
        <v>0.86</v>
      </c>
    </row>
    <row r="160" spans="1:14" x14ac:dyDescent="0.25">
      <c r="A160" t="s">
        <v>312</v>
      </c>
      <c r="B160" t="s">
        <v>313</v>
      </c>
      <c r="C160" s="1" t="str">
        <f>HYPERLINK("http://www.genecards.org/cgi-bin/carddisp.pl?gene=LPAR6","GeneCards")</f>
        <v>GeneCards</v>
      </c>
      <c r="D160" s="1" t="str">
        <f>HYPERLINK("http://genome-euro.ucsc.edu/cgi-bin/hgTracks?position=218589_at","UCSC")</f>
        <v>UCSC</v>
      </c>
      <c r="E160" s="1" t="str">
        <f>HYPERLINK("http://www.ncbi.nlm.nih.gov/gene/?term=LPAR6","NCBI")</f>
        <v>NCBI</v>
      </c>
      <c r="F160" s="2">
        <v>3.8000000000000002E-5</v>
      </c>
      <c r="G160">
        <v>4.0000000000000001E-3</v>
      </c>
      <c r="H160" s="1" t="str">
        <f>HYPERLINK("http://www.weizmann.ac.il/complex/compphys/software/geview/data/figures/218589_at.png","Figure")</f>
        <v>Figure</v>
      </c>
      <c r="I160">
        <v>0.32500000000000001</v>
      </c>
      <c r="J160">
        <v>4.1000000000000003E-3</v>
      </c>
      <c r="K160">
        <v>0.17899999999999999</v>
      </c>
      <c r="L160" s="2">
        <v>2.5999999999999998E-5</v>
      </c>
      <c r="M160">
        <v>0.54900000000000004</v>
      </c>
      <c r="N160">
        <v>9.5000000000000001E-2</v>
      </c>
    </row>
    <row r="161" spans="1:14" x14ac:dyDescent="0.25">
      <c r="A161" t="s">
        <v>314</v>
      </c>
      <c r="B161" t="s">
        <v>315</v>
      </c>
      <c r="C161" s="1" t="str">
        <f>HYPERLINK("http://www.genecards.org/cgi-bin/carddisp.pl?gene=RAB33B","GeneCards")</f>
        <v>GeneCards</v>
      </c>
      <c r="D161" s="1" t="str">
        <f>HYPERLINK("http://genome-euro.ucsc.edu/cgi-bin/hgTracks?position=221014_s_at","UCSC")</f>
        <v>UCSC</v>
      </c>
      <c r="E161" s="1" t="str">
        <f>HYPERLINK("http://www.ncbi.nlm.nih.gov/gene/?term=RAB33B","NCBI")</f>
        <v>NCBI</v>
      </c>
      <c r="F161" s="2">
        <v>3.6999999999999998E-5</v>
      </c>
      <c r="G161">
        <v>4.0000000000000001E-3</v>
      </c>
      <c r="H161" s="1" t="str">
        <f>HYPERLINK("http://www.weizmann.ac.il/complex/compphys/software/geview/data/figures/221014_s_at.png","Figure")</f>
        <v>Figure</v>
      </c>
      <c r="I161">
        <v>0.433</v>
      </c>
      <c r="J161" s="2">
        <v>2.5000000000000001E-5</v>
      </c>
      <c r="K161">
        <v>0.68500000000000005</v>
      </c>
      <c r="L161">
        <v>7.7999999999999996E-3</v>
      </c>
      <c r="M161">
        <v>1.58</v>
      </c>
      <c r="N161">
        <v>3.2000000000000002E-3</v>
      </c>
    </row>
    <row r="162" spans="1:14" x14ac:dyDescent="0.25">
      <c r="A162" t="s">
        <v>316</v>
      </c>
      <c r="B162" t="s">
        <v>317</v>
      </c>
      <c r="C162" s="1" t="str">
        <f>HYPERLINK("http://www.genecards.org/cgi-bin/carddisp.pl?gene=PIGP","GeneCards")</f>
        <v>GeneCards</v>
      </c>
      <c r="D162" s="1" t="str">
        <f>HYPERLINK("http://genome-euro.ucsc.edu/cgi-bin/hgTracks?position=221689_s_at","UCSC")</f>
        <v>UCSC</v>
      </c>
      <c r="E162" s="1" t="str">
        <f>HYPERLINK("http://www.ncbi.nlm.nih.gov/gene/?term=PIGP","NCBI")</f>
        <v>NCBI</v>
      </c>
      <c r="F162" s="2">
        <v>3.8000000000000002E-5</v>
      </c>
      <c r="G162">
        <v>4.0000000000000001E-3</v>
      </c>
      <c r="H162" s="1" t="str">
        <f>HYPERLINK("http://www.weizmann.ac.il/complex/compphys/software/geview/data/figures/221689_s_at.png","Figure")</f>
        <v>Figure</v>
      </c>
      <c r="I162">
        <v>0.33200000000000002</v>
      </c>
      <c r="J162">
        <v>4.8000000000000001E-4</v>
      </c>
      <c r="K162">
        <v>1.3</v>
      </c>
      <c r="L162">
        <v>0.36</v>
      </c>
      <c r="M162">
        <v>3.92</v>
      </c>
      <c r="N162" s="2">
        <v>3.1000000000000001E-5</v>
      </c>
    </row>
    <row r="163" spans="1:14" x14ac:dyDescent="0.25">
      <c r="A163" t="s">
        <v>318</v>
      </c>
      <c r="B163" t="s">
        <v>319</v>
      </c>
      <c r="C163" s="1" t="str">
        <f>HYPERLINK("http://www.genecards.org/cgi-bin/carddisp.pl?gene=NOL7","GeneCards")</f>
        <v>GeneCards</v>
      </c>
      <c r="D163" s="1" t="str">
        <f>HYPERLINK("http://genome-euro.ucsc.edu/cgi-bin/hgTracks?position=213838_at","UCSC")</f>
        <v>UCSC</v>
      </c>
      <c r="E163" s="1" t="str">
        <f>HYPERLINK("http://www.ncbi.nlm.nih.gov/gene/?term=NOL7","NCBI")</f>
        <v>NCBI</v>
      </c>
      <c r="F163" s="2">
        <v>3.8000000000000002E-5</v>
      </c>
      <c r="G163">
        <v>4.0000000000000001E-3</v>
      </c>
      <c r="H163" s="1" t="str">
        <f>HYPERLINK("http://www.weizmann.ac.il/complex/compphys/software/geview/data/figures/213838_at.png","Figure")</f>
        <v>Figure</v>
      </c>
      <c r="I163">
        <v>0.495</v>
      </c>
      <c r="J163">
        <v>1.2E-4</v>
      </c>
      <c r="K163">
        <v>1</v>
      </c>
      <c r="L163">
        <v>1</v>
      </c>
      <c r="M163">
        <v>2.02</v>
      </c>
      <c r="N163" s="2">
        <v>5.8E-5</v>
      </c>
    </row>
    <row r="164" spans="1:14" x14ac:dyDescent="0.25">
      <c r="A164" t="s">
        <v>320</v>
      </c>
      <c r="B164" t="s">
        <v>321</v>
      </c>
      <c r="C164" s="1" t="str">
        <f>HYPERLINK("http://www.genecards.org/cgi-bin/carddisp.pl?gene=G6PC3","GeneCards")</f>
        <v>GeneCards</v>
      </c>
      <c r="D164" s="1" t="str">
        <f>HYPERLINK("http://genome-euro.ucsc.edu/cgi-bin/hgTracks?position=44654_at","UCSC")</f>
        <v>UCSC</v>
      </c>
      <c r="E164" s="1" t="str">
        <f>HYPERLINK("http://www.ncbi.nlm.nih.gov/gene/?term=G6PC3","NCBI")</f>
        <v>NCBI</v>
      </c>
      <c r="F164" s="2">
        <v>3.8999999999999999E-5</v>
      </c>
      <c r="G164">
        <v>4.0000000000000001E-3</v>
      </c>
      <c r="H164" s="1" t="str">
        <f>HYPERLINK("http://www.weizmann.ac.il/complex/compphys/software/geview/data/figures/44654_at.png","Figure")</f>
        <v>Figure</v>
      </c>
      <c r="I164">
        <v>0.78800000000000003</v>
      </c>
      <c r="J164">
        <v>0.01</v>
      </c>
      <c r="K164">
        <v>1.23</v>
      </c>
      <c r="L164">
        <v>1.0999999999999999E-2</v>
      </c>
      <c r="M164">
        <v>1.56</v>
      </c>
      <c r="N164" s="2">
        <v>2.8E-5</v>
      </c>
    </row>
    <row r="165" spans="1:14" x14ac:dyDescent="0.25">
      <c r="A165" t="s">
        <v>322</v>
      </c>
      <c r="B165" t="s">
        <v>323</v>
      </c>
      <c r="C165" s="1" t="str">
        <f>HYPERLINK("http://www.genecards.org/cgi-bin/carddisp.pl?gene=PCBD1","GeneCards")</f>
        <v>GeneCards</v>
      </c>
      <c r="D165" s="1" t="str">
        <f>HYPERLINK("http://genome-euro.ucsc.edu/cgi-bin/hgTracks?position=203557_s_at","UCSC")</f>
        <v>UCSC</v>
      </c>
      <c r="E165" s="1" t="str">
        <f>HYPERLINK("http://www.ncbi.nlm.nih.gov/gene/?term=PCBD1","NCBI")</f>
        <v>NCBI</v>
      </c>
      <c r="F165" s="2">
        <v>4.0000000000000003E-5</v>
      </c>
      <c r="G165">
        <v>4.1000000000000003E-3</v>
      </c>
      <c r="H165" s="1" t="str">
        <f>HYPERLINK("http://www.weizmann.ac.il/complex/compphys/software/geview/data/figures/203557_s_at.png","Figure")</f>
        <v>Figure</v>
      </c>
      <c r="I165">
        <v>1.27</v>
      </c>
      <c r="J165">
        <v>2.0000000000000001E-4</v>
      </c>
      <c r="K165">
        <v>1.26</v>
      </c>
      <c r="L165" s="2">
        <v>6.7999999999999999E-5</v>
      </c>
      <c r="M165">
        <v>0.99399999999999999</v>
      </c>
      <c r="N165">
        <v>0.99</v>
      </c>
    </row>
    <row r="166" spans="1:14" x14ac:dyDescent="0.25">
      <c r="A166" t="s">
        <v>324</v>
      </c>
      <c r="B166" t="s">
        <v>325</v>
      </c>
      <c r="C166" s="1" t="str">
        <f>HYPERLINK("http://www.genecards.org/cgi-bin/carddisp.pl?gene=PCDH9","GeneCards")</f>
        <v>GeneCards</v>
      </c>
      <c r="D166" s="1" t="str">
        <f>HYPERLINK("http://genome-euro.ucsc.edu/cgi-bin/hgTracks?position=219737_s_at","UCSC")</f>
        <v>UCSC</v>
      </c>
      <c r="E166" s="1" t="str">
        <f>HYPERLINK("http://www.ncbi.nlm.nih.gov/gene/?term=PCDH9","NCBI")</f>
        <v>NCBI</v>
      </c>
      <c r="F166" s="2">
        <v>4.0000000000000003E-5</v>
      </c>
      <c r="G166">
        <v>4.1000000000000003E-3</v>
      </c>
      <c r="H166" s="1" t="str">
        <f>HYPERLINK("http://www.weizmann.ac.il/complex/compphys/software/geview/data/figures/219737_s_at.png","Figure")</f>
        <v>Figure</v>
      </c>
      <c r="I166">
        <v>18.3</v>
      </c>
      <c r="J166" s="2">
        <v>7.8999999999999996E-5</v>
      </c>
      <c r="K166">
        <v>1.26</v>
      </c>
      <c r="L166">
        <v>0.84</v>
      </c>
      <c r="M166">
        <v>6.8599999999999994E-2</v>
      </c>
      <c r="N166" s="2">
        <v>9.2E-5</v>
      </c>
    </row>
    <row r="167" spans="1:14" x14ac:dyDescent="0.25">
      <c r="A167" t="s">
        <v>326</v>
      </c>
      <c r="B167" t="s">
        <v>199</v>
      </c>
      <c r="C167" s="1" t="str">
        <f>HYPERLINK("http://www.genecards.org/cgi-bin/carddisp.pl?gene=TNS1","GeneCards")</f>
        <v>GeneCards</v>
      </c>
      <c r="D167" s="1" t="str">
        <f>HYPERLINK("http://genome-euro.ucsc.edu/cgi-bin/hgTracks?position=221747_at","UCSC")</f>
        <v>UCSC</v>
      </c>
      <c r="E167" s="1" t="str">
        <f>HYPERLINK("http://www.ncbi.nlm.nih.gov/gene/?term=TNS1","NCBI")</f>
        <v>NCBI</v>
      </c>
      <c r="F167" s="2">
        <v>4.0000000000000003E-5</v>
      </c>
      <c r="G167">
        <v>4.1000000000000003E-3</v>
      </c>
      <c r="H167" s="1" t="str">
        <f>HYPERLINK("http://www.weizmann.ac.il/complex/compphys/software/geview/data/figures/221747_at.png","Figure")</f>
        <v>Figure</v>
      </c>
      <c r="I167">
        <v>1.1200000000000001</v>
      </c>
      <c r="J167">
        <v>0.72</v>
      </c>
      <c r="K167">
        <v>0.48399999999999999</v>
      </c>
      <c r="L167">
        <v>2.5000000000000001E-4</v>
      </c>
      <c r="M167">
        <v>0.43099999999999999</v>
      </c>
      <c r="N167">
        <v>1.2E-4</v>
      </c>
    </row>
    <row r="168" spans="1:14" x14ac:dyDescent="0.25">
      <c r="A168" t="s">
        <v>327</v>
      </c>
      <c r="B168" t="s">
        <v>328</v>
      </c>
      <c r="C168" s="1" t="str">
        <f>HYPERLINK("http://www.genecards.org/cgi-bin/carddisp.pl?gene=DIP2C","GeneCards")</f>
        <v>GeneCards</v>
      </c>
      <c r="D168" s="1" t="str">
        <f>HYPERLINK("http://genome-euro.ucsc.edu/cgi-bin/hgTracks?position=212504_at","UCSC")</f>
        <v>UCSC</v>
      </c>
      <c r="E168" s="1" t="str">
        <f>HYPERLINK("http://www.ncbi.nlm.nih.gov/gene/?term=DIP2C","NCBI")</f>
        <v>NCBI</v>
      </c>
      <c r="F168" s="2">
        <v>4.1E-5</v>
      </c>
      <c r="G168">
        <v>4.1000000000000003E-3</v>
      </c>
      <c r="H168" s="1" t="str">
        <f>HYPERLINK("http://www.weizmann.ac.il/complex/compphys/software/geview/data/figures/212504_at.png","Figure")</f>
        <v>Figure</v>
      </c>
      <c r="I168">
        <v>2.1800000000000002</v>
      </c>
      <c r="J168" s="2">
        <v>3.8000000000000002E-5</v>
      </c>
      <c r="K168">
        <v>1.21</v>
      </c>
      <c r="L168">
        <v>0.17</v>
      </c>
      <c r="M168">
        <v>0.55800000000000005</v>
      </c>
      <c r="N168">
        <v>3.2000000000000003E-4</v>
      </c>
    </row>
    <row r="169" spans="1:14" x14ac:dyDescent="0.25">
      <c r="A169" t="s">
        <v>329</v>
      </c>
      <c r="B169" t="s">
        <v>330</v>
      </c>
      <c r="C169" s="1" t="str">
        <f>HYPERLINK("http://www.genecards.org/cgi-bin/carddisp.pl?gene=CKLF","GeneCards")</f>
        <v>GeneCards</v>
      </c>
      <c r="D169" s="1" t="str">
        <f>HYPERLINK("http://genome-euro.ucsc.edu/cgi-bin/hgTracks?position=219161_s_at","UCSC")</f>
        <v>UCSC</v>
      </c>
      <c r="E169" s="1" t="str">
        <f>HYPERLINK("http://www.ncbi.nlm.nih.gov/gene/?term=CKLF","NCBI")</f>
        <v>NCBI</v>
      </c>
      <c r="F169" s="2">
        <v>4.1E-5</v>
      </c>
      <c r="G169">
        <v>4.1000000000000003E-3</v>
      </c>
      <c r="H169" s="1" t="str">
        <f>HYPERLINK("http://www.weizmann.ac.il/complex/compphys/software/geview/data/figures/219161_s_at.png","Figure")</f>
        <v>Figure</v>
      </c>
      <c r="I169">
        <v>0.13800000000000001</v>
      </c>
      <c r="J169" s="2">
        <v>2.9E-5</v>
      </c>
      <c r="K169">
        <v>0.35599999999999998</v>
      </c>
      <c r="L169">
        <v>3.0999999999999999E-3</v>
      </c>
      <c r="M169">
        <v>2.58</v>
      </c>
      <c r="N169">
        <v>9.2999999999999992E-3</v>
      </c>
    </row>
    <row r="170" spans="1:14" x14ac:dyDescent="0.25">
      <c r="A170" t="s">
        <v>331</v>
      </c>
      <c r="B170" t="s">
        <v>332</v>
      </c>
      <c r="C170" s="1" t="str">
        <f>HYPERLINK("http://www.genecards.org/cgi-bin/carddisp.pl?gene=MRC1 /// MRC1L1","GeneCards")</f>
        <v>GeneCards</v>
      </c>
      <c r="D170" s="1" t="str">
        <f>HYPERLINK("http://genome-euro.ucsc.edu/cgi-bin/hgTracks?position=204438_at","UCSC")</f>
        <v>UCSC</v>
      </c>
      <c r="E170" s="1" t="str">
        <f>HYPERLINK("http://www.ncbi.nlm.nih.gov/gene/?term=MRC1 /// MRC1L1","NCBI")</f>
        <v>NCBI</v>
      </c>
      <c r="F170" s="2">
        <v>4.1E-5</v>
      </c>
      <c r="G170">
        <v>4.1000000000000003E-3</v>
      </c>
      <c r="H170" s="1" t="str">
        <f>HYPERLINK("http://www.weizmann.ac.il/complex/compphys/software/geview/data/figures/204438_at.png","Figure")</f>
        <v>Figure</v>
      </c>
      <c r="I170">
        <v>0.14799999999999999</v>
      </c>
      <c r="J170" s="2">
        <v>2.8E-5</v>
      </c>
      <c r="K170">
        <v>0.40500000000000003</v>
      </c>
      <c r="L170">
        <v>6.1999999999999998E-3</v>
      </c>
      <c r="M170">
        <v>2.74</v>
      </c>
      <c r="N170">
        <v>4.5999999999999999E-3</v>
      </c>
    </row>
    <row r="171" spans="1:14" x14ac:dyDescent="0.25">
      <c r="A171" t="s">
        <v>333</v>
      </c>
      <c r="B171" t="s">
        <v>334</v>
      </c>
      <c r="C171" s="1" t="str">
        <f>HYPERLINK("http://www.genecards.org/cgi-bin/carddisp.pl?gene=SMAGP","GeneCards")</f>
        <v>GeneCards</v>
      </c>
      <c r="D171" s="1" t="str">
        <f>HYPERLINK("http://genome-euro.ucsc.edu/cgi-bin/hgTracks?position=209679_s_at","UCSC")</f>
        <v>UCSC</v>
      </c>
      <c r="E171" s="1" t="str">
        <f>HYPERLINK("http://www.ncbi.nlm.nih.gov/gene/?term=SMAGP","NCBI")</f>
        <v>NCBI</v>
      </c>
      <c r="F171" s="2">
        <v>4.1999999999999998E-5</v>
      </c>
      <c r="G171">
        <v>4.1999999999999997E-3</v>
      </c>
      <c r="H171" s="1" t="str">
        <f>HYPERLINK("http://www.weizmann.ac.il/complex/compphys/software/geview/data/figures/209679_s_at.png","Figure")</f>
        <v>Figure</v>
      </c>
      <c r="I171">
        <v>0.27</v>
      </c>
      <c r="J171" s="2">
        <v>2.9E-5</v>
      </c>
      <c r="K171">
        <v>0.59199999999999997</v>
      </c>
      <c r="L171">
        <v>1.9E-2</v>
      </c>
      <c r="M171">
        <v>2.19</v>
      </c>
      <c r="N171">
        <v>1.8E-3</v>
      </c>
    </row>
    <row r="172" spans="1:14" x14ac:dyDescent="0.25">
      <c r="A172" t="s">
        <v>335</v>
      </c>
      <c r="B172" t="s">
        <v>336</v>
      </c>
      <c r="C172" s="1" t="str">
        <f>HYPERLINK("http://www.genecards.org/cgi-bin/carddisp.pl?gene=HDHD1A","GeneCards")</f>
        <v>GeneCards</v>
      </c>
      <c r="D172" s="1" t="str">
        <f>HYPERLINK("http://genome-euro.ucsc.edu/cgi-bin/hgTracks?position=203974_at","UCSC")</f>
        <v>UCSC</v>
      </c>
      <c r="E172" s="1" t="str">
        <f>HYPERLINK("http://www.ncbi.nlm.nih.gov/gene/?term=HDHD1A","NCBI")</f>
        <v>NCBI</v>
      </c>
      <c r="F172" s="2">
        <v>4.3999999999999999E-5</v>
      </c>
      <c r="G172">
        <v>4.1999999999999997E-3</v>
      </c>
      <c r="H172" s="1" t="str">
        <f>HYPERLINK("http://www.weizmann.ac.il/complex/compphys/software/geview/data/figures/203974_at.png","Figure")</f>
        <v>Figure</v>
      </c>
      <c r="I172">
        <v>0.45</v>
      </c>
      <c r="J172">
        <v>3.1E-4</v>
      </c>
      <c r="K172">
        <v>1.1200000000000001</v>
      </c>
      <c r="L172">
        <v>0.65</v>
      </c>
      <c r="M172">
        <v>2.5</v>
      </c>
      <c r="N172" s="2">
        <v>4.3000000000000002E-5</v>
      </c>
    </row>
    <row r="173" spans="1:14" x14ac:dyDescent="0.25">
      <c r="A173" t="s">
        <v>337</v>
      </c>
      <c r="B173" t="s">
        <v>338</v>
      </c>
      <c r="C173" s="1" t="str">
        <f>HYPERLINK("http://www.genecards.org/cgi-bin/carddisp.pl?gene=THBS4","GeneCards")</f>
        <v>GeneCards</v>
      </c>
      <c r="D173" s="1" t="str">
        <f>HYPERLINK("http://genome-euro.ucsc.edu/cgi-bin/hgTracks?position=204776_at","UCSC")</f>
        <v>UCSC</v>
      </c>
      <c r="E173" s="1" t="str">
        <f>HYPERLINK("http://www.ncbi.nlm.nih.gov/gene/?term=THBS4","NCBI")</f>
        <v>NCBI</v>
      </c>
      <c r="F173" s="2">
        <v>4.3999999999999999E-5</v>
      </c>
      <c r="G173">
        <v>4.1999999999999997E-3</v>
      </c>
      <c r="H173" s="1" t="str">
        <f>HYPERLINK("http://www.weizmann.ac.il/complex/compphys/software/geview/data/figures/204776_at.png","Figure")</f>
        <v>Figure</v>
      </c>
      <c r="I173">
        <v>2.17</v>
      </c>
      <c r="J173" s="2">
        <v>8.8999999999999995E-5</v>
      </c>
      <c r="K173">
        <v>1.88</v>
      </c>
      <c r="L173">
        <v>1.7000000000000001E-4</v>
      </c>
      <c r="M173">
        <v>0.86799999999999999</v>
      </c>
      <c r="N173">
        <v>0.47</v>
      </c>
    </row>
    <row r="174" spans="1:14" x14ac:dyDescent="0.25">
      <c r="A174" t="s">
        <v>339</v>
      </c>
      <c r="B174" t="s">
        <v>340</v>
      </c>
      <c r="C174" s="1" t="str">
        <f>HYPERLINK("http://www.genecards.org/cgi-bin/carddisp.pl?gene=CD164","GeneCards")</f>
        <v>GeneCards</v>
      </c>
      <c r="D174" s="1" t="str">
        <f>HYPERLINK("http://genome-euro.ucsc.edu/cgi-bin/hgTracks?position=208654_s_at","UCSC")</f>
        <v>UCSC</v>
      </c>
      <c r="E174" s="1" t="str">
        <f>HYPERLINK("http://www.ncbi.nlm.nih.gov/gene/?term=CD164","NCBI")</f>
        <v>NCBI</v>
      </c>
      <c r="F174" s="2">
        <v>4.3000000000000002E-5</v>
      </c>
      <c r="G174">
        <v>4.1999999999999997E-3</v>
      </c>
      <c r="H174" s="1" t="str">
        <f>HYPERLINK("http://www.weizmann.ac.il/complex/compphys/software/geview/data/figures/208654_s_at.png","Figure")</f>
        <v>Figure</v>
      </c>
      <c r="I174">
        <v>0.26600000000000001</v>
      </c>
      <c r="J174">
        <v>1.2999999999999999E-4</v>
      </c>
      <c r="K174">
        <v>1</v>
      </c>
      <c r="L174">
        <v>1</v>
      </c>
      <c r="M174">
        <v>3.77</v>
      </c>
      <c r="N174" s="2">
        <v>6.4999999999999994E-5</v>
      </c>
    </row>
    <row r="175" spans="1:14" x14ac:dyDescent="0.25">
      <c r="A175" t="s">
        <v>341</v>
      </c>
      <c r="B175" t="s">
        <v>342</v>
      </c>
      <c r="C175" s="1" t="str">
        <f>HYPERLINK("http://www.genecards.org/cgi-bin/carddisp.pl?gene=SRP72","GeneCards")</f>
        <v>GeneCards</v>
      </c>
      <c r="D175" s="1" t="str">
        <f>HYPERLINK("http://genome-euro.ucsc.edu/cgi-bin/hgTracks?position=208802_at","UCSC")</f>
        <v>UCSC</v>
      </c>
      <c r="E175" s="1" t="str">
        <f>HYPERLINK("http://www.ncbi.nlm.nih.gov/gene/?term=SRP72","NCBI")</f>
        <v>NCBI</v>
      </c>
      <c r="F175" s="2">
        <v>4.3999999999999999E-5</v>
      </c>
      <c r="G175">
        <v>4.1999999999999997E-3</v>
      </c>
      <c r="H175" s="1" t="str">
        <f>HYPERLINK("http://www.weizmann.ac.il/complex/compphys/software/geview/data/figures/208802_at.png","Figure")</f>
        <v>Figure</v>
      </c>
      <c r="I175">
        <v>0.46899999999999997</v>
      </c>
      <c r="J175" s="2">
        <v>9.7999999999999997E-5</v>
      </c>
      <c r="K175">
        <v>0.96</v>
      </c>
      <c r="L175">
        <v>0.93</v>
      </c>
      <c r="M175">
        <v>2.0499999999999998</v>
      </c>
      <c r="N175" s="2">
        <v>8.7000000000000001E-5</v>
      </c>
    </row>
    <row r="176" spans="1:14" x14ac:dyDescent="0.25">
      <c r="A176" t="s">
        <v>343</v>
      </c>
      <c r="B176" t="s">
        <v>344</v>
      </c>
      <c r="C176" s="1" t="str">
        <f>HYPERLINK("http://www.genecards.org/cgi-bin/carddisp.pl?gene=TSPYL5","GeneCards")</f>
        <v>GeneCards</v>
      </c>
      <c r="D176" s="1" t="str">
        <f>HYPERLINK("http://genome-euro.ucsc.edu/cgi-bin/hgTracks?position=213122_at","UCSC")</f>
        <v>UCSC</v>
      </c>
      <c r="E176" s="1" t="str">
        <f>HYPERLINK("http://www.ncbi.nlm.nih.gov/gene/?term=TSPYL5","NCBI")</f>
        <v>NCBI</v>
      </c>
      <c r="F176" s="2">
        <v>4.3999999999999999E-5</v>
      </c>
      <c r="G176">
        <v>4.1999999999999997E-3</v>
      </c>
      <c r="H176" s="1" t="str">
        <f>HYPERLINK("http://www.weizmann.ac.il/complex/compphys/software/geview/data/figures/213122_at.png","Figure")</f>
        <v>Figure</v>
      </c>
      <c r="I176">
        <v>1.02</v>
      </c>
      <c r="J176">
        <v>0.99</v>
      </c>
      <c r="K176">
        <v>0.29199999999999998</v>
      </c>
      <c r="L176">
        <v>1.3999999999999999E-4</v>
      </c>
      <c r="M176">
        <v>0.28499999999999998</v>
      </c>
      <c r="N176">
        <v>2.3000000000000001E-4</v>
      </c>
    </row>
    <row r="177" spans="1:14" x14ac:dyDescent="0.25">
      <c r="A177" t="s">
        <v>345</v>
      </c>
      <c r="B177" t="s">
        <v>346</v>
      </c>
      <c r="C177" s="1" t="str">
        <f>HYPERLINK("http://www.genecards.org/cgi-bin/carddisp.pl?gene=ALDH6A1","GeneCards")</f>
        <v>GeneCards</v>
      </c>
      <c r="D177" s="1" t="str">
        <f>HYPERLINK("http://genome-euro.ucsc.edu/cgi-bin/hgTracks?position=221588_x_at","UCSC")</f>
        <v>UCSC</v>
      </c>
      <c r="E177" s="1" t="str">
        <f>HYPERLINK("http://www.ncbi.nlm.nih.gov/gene/?term=ALDH6A1","NCBI")</f>
        <v>NCBI</v>
      </c>
      <c r="F177" s="2">
        <v>4.3999999999999999E-5</v>
      </c>
      <c r="G177">
        <v>4.1999999999999997E-3</v>
      </c>
      <c r="H177" s="1" t="str">
        <f>HYPERLINK("http://www.weizmann.ac.il/complex/compphys/software/geview/data/figures/221588_x_at.png","Figure")</f>
        <v>Figure</v>
      </c>
      <c r="I177">
        <v>0.54300000000000004</v>
      </c>
      <c r="J177">
        <v>2.0000000000000001E-4</v>
      </c>
      <c r="K177">
        <v>1.05</v>
      </c>
      <c r="L177">
        <v>0.88</v>
      </c>
      <c r="M177">
        <v>1.93</v>
      </c>
      <c r="N177" s="2">
        <v>5.1999999999999997E-5</v>
      </c>
    </row>
    <row r="178" spans="1:14" x14ac:dyDescent="0.25">
      <c r="A178" t="s">
        <v>347</v>
      </c>
      <c r="B178" t="s">
        <v>297</v>
      </c>
      <c r="C178" s="1" t="str">
        <f>HYPERLINK("http://www.genecards.org/cgi-bin/carddisp.pl?gene=C1orf38","GeneCards")</f>
        <v>GeneCards</v>
      </c>
      <c r="D178" s="1" t="str">
        <f>HYPERLINK("http://genome-euro.ucsc.edu/cgi-bin/hgTracks?position=207571_x_at","UCSC")</f>
        <v>UCSC</v>
      </c>
      <c r="E178" s="1" t="str">
        <f>HYPERLINK("http://www.ncbi.nlm.nih.gov/gene/?term=C1orf38","NCBI")</f>
        <v>NCBI</v>
      </c>
      <c r="F178" s="2">
        <v>4.6E-5</v>
      </c>
      <c r="G178">
        <v>4.4000000000000003E-3</v>
      </c>
      <c r="H178" s="1" t="str">
        <f>HYPERLINK("http://www.weizmann.ac.il/complex/compphys/software/geview/data/figures/207571_x_at.png","Figure")</f>
        <v>Figure</v>
      </c>
      <c r="I178">
        <v>0.36899999999999999</v>
      </c>
      <c r="J178">
        <v>3.5000000000000001E-3</v>
      </c>
      <c r="K178">
        <v>0.23100000000000001</v>
      </c>
      <c r="L178" s="2">
        <v>3.1999999999999999E-5</v>
      </c>
      <c r="M178">
        <v>0.626</v>
      </c>
      <c r="N178">
        <v>0.14000000000000001</v>
      </c>
    </row>
    <row r="179" spans="1:14" x14ac:dyDescent="0.25">
      <c r="A179" t="s">
        <v>348</v>
      </c>
      <c r="B179" t="s">
        <v>349</v>
      </c>
      <c r="C179" s="1" t="str">
        <f>HYPERLINK("http://www.genecards.org/cgi-bin/carddisp.pl?gene=COX16","GeneCards")</f>
        <v>GeneCards</v>
      </c>
      <c r="D179" s="1" t="str">
        <f>HYPERLINK("http://genome-euro.ucsc.edu/cgi-bin/hgTracks?position=217645_at","UCSC")</f>
        <v>UCSC</v>
      </c>
      <c r="E179" s="1" t="str">
        <f>HYPERLINK("http://www.ncbi.nlm.nih.gov/gene/?term=COX16","NCBI")</f>
        <v>NCBI</v>
      </c>
      <c r="F179" s="2">
        <v>4.6E-5</v>
      </c>
      <c r="G179">
        <v>4.4000000000000003E-3</v>
      </c>
      <c r="H179" s="1" t="str">
        <f>HYPERLINK("http://www.weizmann.ac.il/complex/compphys/software/geview/data/figures/217645_at.png","Figure")</f>
        <v>Figure</v>
      </c>
      <c r="I179">
        <v>0.51600000000000001</v>
      </c>
      <c r="J179">
        <v>1.6000000000000001E-4</v>
      </c>
      <c r="K179">
        <v>1.02</v>
      </c>
      <c r="L179">
        <v>0.98</v>
      </c>
      <c r="M179">
        <v>1.97</v>
      </c>
      <c r="N179" s="2">
        <v>6.3999999999999997E-5</v>
      </c>
    </row>
    <row r="180" spans="1:14" x14ac:dyDescent="0.25">
      <c r="A180" t="s">
        <v>350</v>
      </c>
      <c r="B180" t="s">
        <v>351</v>
      </c>
      <c r="C180" s="1" t="str">
        <f>HYPERLINK("http://www.genecards.org/cgi-bin/carddisp.pl?gene=ITIH3","GeneCards")</f>
        <v>GeneCards</v>
      </c>
      <c r="D180" s="1" t="str">
        <f>HYPERLINK("http://genome-euro.ucsc.edu/cgi-bin/hgTracks?position=205755_at","UCSC")</f>
        <v>UCSC</v>
      </c>
      <c r="E180" s="1" t="str">
        <f>HYPERLINK("http://www.ncbi.nlm.nih.gov/gene/?term=ITIH3","NCBI")</f>
        <v>NCBI</v>
      </c>
      <c r="F180" s="2">
        <v>4.6999999999999997E-5</v>
      </c>
      <c r="G180">
        <v>4.4000000000000003E-3</v>
      </c>
      <c r="H180" s="1" t="str">
        <f>HYPERLINK("http://www.weizmann.ac.il/complex/compphys/software/geview/data/figures/205755_at.png","Figure")</f>
        <v>Figure</v>
      </c>
      <c r="I180">
        <v>3.06</v>
      </c>
      <c r="J180">
        <v>2.1000000000000001E-4</v>
      </c>
      <c r="K180">
        <v>2.91</v>
      </c>
      <c r="L180" s="2">
        <v>8.5000000000000006E-5</v>
      </c>
      <c r="M180">
        <v>0.95299999999999996</v>
      </c>
      <c r="N180">
        <v>0.96</v>
      </c>
    </row>
    <row r="181" spans="1:14" x14ac:dyDescent="0.25">
      <c r="A181" t="s">
        <v>352</v>
      </c>
      <c r="B181" t="s">
        <v>353</v>
      </c>
      <c r="C181" s="1" t="str">
        <f>HYPERLINK("http://www.genecards.org/cgi-bin/carddisp.pl?gene=UBE2J1","GeneCards")</f>
        <v>GeneCards</v>
      </c>
      <c r="D181" s="1" t="str">
        <f>HYPERLINK("http://genome-euro.ucsc.edu/cgi-bin/hgTracks?position=217823_s_at","UCSC")</f>
        <v>UCSC</v>
      </c>
      <c r="E181" s="1" t="str">
        <f>HYPERLINK("http://www.ncbi.nlm.nih.gov/gene/?term=UBE2J1","NCBI")</f>
        <v>NCBI</v>
      </c>
      <c r="F181" s="2">
        <v>4.6999999999999997E-5</v>
      </c>
      <c r="G181">
        <v>4.4000000000000003E-3</v>
      </c>
      <c r="H181" s="1" t="str">
        <f>HYPERLINK("http://www.weizmann.ac.il/complex/compphys/software/geview/data/figures/217823_s_at.png","Figure")</f>
        <v>Figure</v>
      </c>
      <c r="I181">
        <v>0.29299999999999998</v>
      </c>
      <c r="J181" s="2">
        <v>5.1999999999999997E-5</v>
      </c>
      <c r="K181">
        <v>0.78300000000000003</v>
      </c>
      <c r="L181">
        <v>0.33</v>
      </c>
      <c r="M181">
        <v>2.67</v>
      </c>
      <c r="N181">
        <v>2.4000000000000001E-4</v>
      </c>
    </row>
    <row r="182" spans="1:14" x14ac:dyDescent="0.25">
      <c r="A182" t="s">
        <v>354</v>
      </c>
      <c r="B182" t="s">
        <v>355</v>
      </c>
      <c r="C182" s="1" t="str">
        <f>HYPERLINK("http://www.genecards.org/cgi-bin/carddisp.pl?gene=FAM127A","GeneCards")</f>
        <v>GeneCards</v>
      </c>
      <c r="D182" s="1" t="str">
        <f>HYPERLINK("http://genome-euro.ucsc.edu/cgi-bin/hgTracks?position=201828_x_at","UCSC")</f>
        <v>UCSC</v>
      </c>
      <c r="E182" s="1" t="str">
        <f>HYPERLINK("http://www.ncbi.nlm.nih.gov/gene/?term=FAM127A","NCBI")</f>
        <v>NCBI</v>
      </c>
      <c r="F182" s="2">
        <v>4.6999999999999997E-5</v>
      </c>
      <c r="G182">
        <v>4.4000000000000003E-3</v>
      </c>
      <c r="H182" s="1" t="str">
        <f>HYPERLINK("http://www.weizmann.ac.il/complex/compphys/software/geview/data/figures/201828_x_at.png","Figure")</f>
        <v>Figure</v>
      </c>
      <c r="I182">
        <v>0.52800000000000002</v>
      </c>
      <c r="J182">
        <v>1.1999999999999999E-3</v>
      </c>
      <c r="K182">
        <v>1.27</v>
      </c>
      <c r="L182">
        <v>0.16</v>
      </c>
      <c r="M182">
        <v>2.4</v>
      </c>
      <c r="N182" s="2">
        <v>3.4E-5</v>
      </c>
    </row>
    <row r="183" spans="1:14" x14ac:dyDescent="0.25">
      <c r="A183" t="s">
        <v>356</v>
      </c>
      <c r="B183" t="s">
        <v>357</v>
      </c>
      <c r="C183" s="1" t="str">
        <f>HYPERLINK("http://www.genecards.org/cgi-bin/carddisp.pl?gene=RP6-213H19.1","GeneCards")</f>
        <v>GeneCards</v>
      </c>
      <c r="D183" s="1" t="str">
        <f>HYPERLINK("http://genome-euro.ucsc.edu/cgi-bin/hgTracks?position=218499_at","UCSC")</f>
        <v>UCSC</v>
      </c>
      <c r="E183" s="1" t="str">
        <f>HYPERLINK("http://www.ncbi.nlm.nih.gov/gene/?term=RP6-213H19.1","NCBI")</f>
        <v>NCBI</v>
      </c>
      <c r="F183" s="2">
        <v>4.6999999999999997E-5</v>
      </c>
      <c r="G183">
        <v>4.4000000000000003E-3</v>
      </c>
      <c r="H183" s="1" t="str">
        <f>HYPERLINK("http://www.weizmann.ac.il/complex/compphys/software/geview/data/figures/218499_at.png","Figure")</f>
        <v>Figure</v>
      </c>
      <c r="I183">
        <v>0.32900000000000001</v>
      </c>
      <c r="J183" s="2">
        <v>3.1999999999999999E-5</v>
      </c>
      <c r="K183">
        <v>0.625</v>
      </c>
      <c r="L183">
        <v>1.4E-2</v>
      </c>
      <c r="M183">
        <v>1.9</v>
      </c>
      <c r="N183">
        <v>2.5999999999999999E-3</v>
      </c>
    </row>
    <row r="184" spans="1:14" x14ac:dyDescent="0.25">
      <c r="A184" t="s">
        <v>358</v>
      </c>
      <c r="B184" t="s">
        <v>243</v>
      </c>
      <c r="C184" s="1" t="str">
        <f>HYPERLINK("http://www.genecards.org/cgi-bin/carddisp.pl?gene=CLIC5","GeneCards")</f>
        <v>GeneCards</v>
      </c>
      <c r="D184" s="1" t="str">
        <f>HYPERLINK("http://genome-euro.ucsc.edu/cgi-bin/hgTracks?position=213317_at","UCSC")</f>
        <v>UCSC</v>
      </c>
      <c r="E184" s="1" t="str">
        <f>HYPERLINK("http://www.ncbi.nlm.nih.gov/gene/?term=CLIC5","NCBI")</f>
        <v>NCBI</v>
      </c>
      <c r="F184" s="2">
        <v>4.8000000000000001E-5</v>
      </c>
      <c r="G184">
        <v>4.4000000000000003E-3</v>
      </c>
      <c r="H184" s="1" t="str">
        <f>HYPERLINK("http://www.weizmann.ac.il/complex/compphys/software/geview/data/figures/213317_at.png","Figure")</f>
        <v>Figure</v>
      </c>
      <c r="I184">
        <v>1</v>
      </c>
      <c r="J184">
        <v>1</v>
      </c>
      <c r="K184">
        <v>0.245</v>
      </c>
      <c r="L184">
        <v>1.3999999999999999E-4</v>
      </c>
      <c r="M184">
        <v>0.245</v>
      </c>
      <c r="N184">
        <v>2.7E-4</v>
      </c>
    </row>
    <row r="185" spans="1:14" x14ac:dyDescent="0.25">
      <c r="A185" t="s">
        <v>359</v>
      </c>
      <c r="B185" t="s">
        <v>360</v>
      </c>
      <c r="C185" s="1" t="str">
        <f>HYPERLINK("http://www.genecards.org/cgi-bin/carddisp.pl?gene=LRMP","GeneCards")</f>
        <v>GeneCards</v>
      </c>
      <c r="D185" s="1" t="str">
        <f>HYPERLINK("http://genome-euro.ucsc.edu/cgi-bin/hgTracks?position=35974_at","UCSC")</f>
        <v>UCSC</v>
      </c>
      <c r="E185" s="1" t="str">
        <f>HYPERLINK("http://www.ncbi.nlm.nih.gov/gene/?term=LRMP","NCBI")</f>
        <v>NCBI</v>
      </c>
      <c r="F185" s="2">
        <v>4.8000000000000001E-5</v>
      </c>
      <c r="G185">
        <v>4.4999999999999997E-3</v>
      </c>
      <c r="H185" s="1" t="str">
        <f>HYPERLINK("http://www.weizmann.ac.il/complex/compphys/software/geview/data/figures/35974_at.png","Figure")</f>
        <v>Figure</v>
      </c>
      <c r="I185">
        <v>7.67</v>
      </c>
      <c r="J185">
        <v>8.9999999999999998E-4</v>
      </c>
      <c r="K185">
        <v>11.6</v>
      </c>
      <c r="L185" s="2">
        <v>4.3999999999999999E-5</v>
      </c>
      <c r="M185">
        <v>1.51</v>
      </c>
      <c r="N185">
        <v>0.56000000000000005</v>
      </c>
    </row>
    <row r="186" spans="1:14" x14ac:dyDescent="0.25">
      <c r="A186" t="s">
        <v>361</v>
      </c>
      <c r="B186" t="s">
        <v>362</v>
      </c>
      <c r="C186" s="1" t="str">
        <f>HYPERLINK("http://www.genecards.org/cgi-bin/carddisp.pl?gene=PTGER4","GeneCards")</f>
        <v>GeneCards</v>
      </c>
      <c r="D186" s="1" t="str">
        <f>HYPERLINK("http://genome-euro.ucsc.edu/cgi-bin/hgTracks?position=204896_s_at","UCSC")</f>
        <v>UCSC</v>
      </c>
      <c r="E186" s="1" t="str">
        <f>HYPERLINK("http://www.ncbi.nlm.nih.gov/gene/?term=PTGER4","NCBI")</f>
        <v>NCBI</v>
      </c>
      <c r="F186" s="2">
        <v>5.0000000000000002E-5</v>
      </c>
      <c r="G186">
        <v>4.5999999999999999E-3</v>
      </c>
      <c r="H186" s="1" t="str">
        <f>HYPERLINK("http://www.weizmann.ac.il/complex/compphys/software/geview/data/figures/204896_s_at.png","Figure")</f>
        <v>Figure</v>
      </c>
      <c r="I186">
        <v>1.33</v>
      </c>
      <c r="J186">
        <v>2.5999999999999998E-4</v>
      </c>
      <c r="K186">
        <v>1.33</v>
      </c>
      <c r="L186" s="2">
        <v>8.1000000000000004E-5</v>
      </c>
      <c r="M186">
        <v>0.996</v>
      </c>
      <c r="N186">
        <v>1</v>
      </c>
    </row>
    <row r="187" spans="1:14" x14ac:dyDescent="0.25">
      <c r="A187" t="s">
        <v>363</v>
      </c>
      <c r="B187" t="s">
        <v>364</v>
      </c>
      <c r="C187" s="1" t="str">
        <f>HYPERLINK("http://www.genecards.org/cgi-bin/carddisp.pl?gene=BMP2K","GeneCards")</f>
        <v>GeneCards</v>
      </c>
      <c r="D187" s="1" t="str">
        <f>HYPERLINK("http://genome-euro.ucsc.edu/cgi-bin/hgTracks?position=59644_at","UCSC")</f>
        <v>UCSC</v>
      </c>
      <c r="E187" s="1" t="str">
        <f>HYPERLINK("http://www.ncbi.nlm.nih.gov/gene/?term=BMP2K","NCBI")</f>
        <v>NCBI</v>
      </c>
      <c r="F187" s="2">
        <v>5.3000000000000001E-5</v>
      </c>
      <c r="G187">
        <v>4.7999999999999996E-3</v>
      </c>
      <c r="H187" s="1" t="str">
        <f>HYPERLINK("http://www.weizmann.ac.il/complex/compphys/software/geview/data/figures/59644_at.png","Figure")</f>
        <v>Figure</v>
      </c>
      <c r="I187">
        <v>0.35</v>
      </c>
      <c r="J187" s="2">
        <v>3.6000000000000001E-5</v>
      </c>
      <c r="K187">
        <v>0.63400000000000001</v>
      </c>
      <c r="L187">
        <v>1.2999999999999999E-2</v>
      </c>
      <c r="M187">
        <v>1.81</v>
      </c>
      <c r="N187">
        <v>3.2000000000000002E-3</v>
      </c>
    </row>
    <row r="188" spans="1:14" x14ac:dyDescent="0.25">
      <c r="A188" t="s">
        <v>365</v>
      </c>
      <c r="B188" t="s">
        <v>366</v>
      </c>
      <c r="C188" s="1" t="str">
        <f>HYPERLINK("http://www.genecards.org/cgi-bin/carddisp.pl?gene=AOX1","GeneCards")</f>
        <v>GeneCards</v>
      </c>
      <c r="D188" s="1" t="str">
        <f>HYPERLINK("http://genome-euro.ucsc.edu/cgi-bin/hgTracks?position=205082_s_at","UCSC")</f>
        <v>UCSC</v>
      </c>
      <c r="E188" s="1" t="str">
        <f>HYPERLINK("http://www.ncbi.nlm.nih.gov/gene/?term=AOX1","NCBI")</f>
        <v>NCBI</v>
      </c>
      <c r="F188" s="2">
        <v>5.3000000000000001E-5</v>
      </c>
      <c r="G188">
        <v>4.7999999999999996E-3</v>
      </c>
      <c r="H188" s="1" t="str">
        <f>HYPERLINK("http://www.weizmann.ac.il/complex/compphys/software/geview/data/figures/205082_s_at.png","Figure")</f>
        <v>Figure</v>
      </c>
      <c r="I188">
        <v>2</v>
      </c>
      <c r="J188">
        <v>1.3999999999999999E-4</v>
      </c>
      <c r="K188">
        <v>1.83</v>
      </c>
      <c r="L188">
        <v>1.4999999999999999E-4</v>
      </c>
      <c r="M188">
        <v>0.91400000000000003</v>
      </c>
      <c r="N188">
        <v>0.7</v>
      </c>
    </row>
    <row r="189" spans="1:14" x14ac:dyDescent="0.25">
      <c r="A189" t="s">
        <v>367</v>
      </c>
      <c r="B189" t="s">
        <v>368</v>
      </c>
      <c r="C189" s="1" t="str">
        <f>HYPERLINK("http://www.genecards.org/cgi-bin/carddisp.pl?gene=BMP2","GeneCards")</f>
        <v>GeneCards</v>
      </c>
      <c r="D189" s="1" t="str">
        <f>HYPERLINK("http://genome-euro.ucsc.edu/cgi-bin/hgTracks?position=205290_s_at","UCSC")</f>
        <v>UCSC</v>
      </c>
      <c r="E189" s="1" t="str">
        <f>HYPERLINK("http://www.ncbi.nlm.nih.gov/gene/?term=BMP2","NCBI")</f>
        <v>NCBI</v>
      </c>
      <c r="F189" s="2">
        <v>5.3000000000000001E-5</v>
      </c>
      <c r="G189">
        <v>4.7999999999999996E-3</v>
      </c>
      <c r="H189" s="1" t="str">
        <f>HYPERLINK("http://www.weizmann.ac.il/complex/compphys/software/geview/data/figures/205290_s_at.png","Figure")</f>
        <v>Figure</v>
      </c>
      <c r="I189">
        <v>0.121</v>
      </c>
      <c r="J189">
        <v>7.7999999999999999E-4</v>
      </c>
      <c r="K189">
        <v>8.5999999999999993E-2</v>
      </c>
      <c r="L189" s="2">
        <v>5.1999999999999997E-5</v>
      </c>
      <c r="M189">
        <v>0.70799999999999996</v>
      </c>
      <c r="N189">
        <v>0.67</v>
      </c>
    </row>
    <row r="190" spans="1:14" x14ac:dyDescent="0.25">
      <c r="A190" t="s">
        <v>369</v>
      </c>
      <c r="B190" t="s">
        <v>370</v>
      </c>
      <c r="C190" s="1" t="str">
        <f>HYPERLINK("http://www.genecards.org/cgi-bin/carddisp.pl?gene=ZNF185","GeneCards")</f>
        <v>GeneCards</v>
      </c>
      <c r="D190" s="1" t="str">
        <f>HYPERLINK("http://genome-euro.ucsc.edu/cgi-bin/hgTracks?position=203585_at","UCSC")</f>
        <v>UCSC</v>
      </c>
      <c r="E190" s="1" t="str">
        <f>HYPERLINK("http://www.ncbi.nlm.nih.gov/gene/?term=ZNF185","NCBI")</f>
        <v>NCBI</v>
      </c>
      <c r="F190" s="2">
        <v>5.3999999999999998E-5</v>
      </c>
      <c r="G190">
        <v>4.8999999999999998E-3</v>
      </c>
      <c r="H190" s="1" t="str">
        <f>HYPERLINK("http://www.weizmann.ac.il/complex/compphys/software/geview/data/figures/203585_at.png","Figure")</f>
        <v>Figure</v>
      </c>
      <c r="I190">
        <v>0.42299999999999999</v>
      </c>
      <c r="J190" s="2">
        <v>5.8E-5</v>
      </c>
      <c r="K190">
        <v>0.83399999999999996</v>
      </c>
      <c r="L190">
        <v>0.28999999999999998</v>
      </c>
      <c r="M190">
        <v>1.97</v>
      </c>
      <c r="N190">
        <v>2.9999999999999997E-4</v>
      </c>
    </row>
    <row r="191" spans="1:14" x14ac:dyDescent="0.25">
      <c r="A191" t="s">
        <v>371</v>
      </c>
      <c r="B191" t="s">
        <v>372</v>
      </c>
      <c r="C191" s="1" t="str">
        <f>HYPERLINK("http://www.genecards.org/cgi-bin/carddisp.pl?gene=INSR","GeneCards")</f>
        <v>GeneCards</v>
      </c>
      <c r="D191" s="1" t="str">
        <f>HYPERLINK("http://genome-euro.ucsc.edu/cgi-bin/hgTracks?position=213792_s_at","UCSC")</f>
        <v>UCSC</v>
      </c>
      <c r="E191" s="1" t="str">
        <f>HYPERLINK("http://www.ncbi.nlm.nih.gov/gene/?term=INSR","NCBI")</f>
        <v>NCBI</v>
      </c>
      <c r="F191" s="2">
        <v>5.5000000000000002E-5</v>
      </c>
      <c r="G191">
        <v>4.8999999999999998E-3</v>
      </c>
      <c r="H191" s="1" t="str">
        <f>HYPERLINK("http://www.weizmann.ac.il/complex/compphys/software/geview/data/figures/213792_s_at.png","Figure")</f>
        <v>Figure</v>
      </c>
      <c r="I191">
        <v>1.74</v>
      </c>
      <c r="J191">
        <v>2.1000000000000001E-2</v>
      </c>
      <c r="K191">
        <v>0.57599999999999996</v>
      </c>
      <c r="L191">
        <v>8.8000000000000005E-3</v>
      </c>
      <c r="M191">
        <v>0.33200000000000002</v>
      </c>
      <c r="N191" s="2">
        <v>4.1999999999999998E-5</v>
      </c>
    </row>
    <row r="192" spans="1:14" x14ac:dyDescent="0.25">
      <c r="A192" t="s">
        <v>373</v>
      </c>
      <c r="B192" t="s">
        <v>374</v>
      </c>
      <c r="C192" s="1" t="str">
        <f>HYPERLINK("http://www.genecards.org/cgi-bin/carddisp.pl?gene=PCBP3","GeneCards")</f>
        <v>GeneCards</v>
      </c>
      <c r="D192" s="1" t="str">
        <f>HYPERLINK("http://genome-euro.ucsc.edu/cgi-bin/hgTracks?position=205663_at","UCSC")</f>
        <v>UCSC</v>
      </c>
      <c r="E192" s="1" t="str">
        <f>HYPERLINK("http://www.ncbi.nlm.nih.gov/gene/?term=PCBP3","NCBI")</f>
        <v>NCBI</v>
      </c>
      <c r="F192" s="2">
        <v>5.5000000000000002E-5</v>
      </c>
      <c r="G192">
        <v>4.8999999999999998E-3</v>
      </c>
      <c r="H192" s="1" t="str">
        <f>HYPERLINK("http://www.weizmann.ac.il/complex/compphys/software/geview/data/figures/205663_at.png","Figure")</f>
        <v>Figure</v>
      </c>
      <c r="I192">
        <v>1.46</v>
      </c>
      <c r="J192" s="2">
        <v>3.6999999999999998E-5</v>
      </c>
      <c r="K192">
        <v>1.17</v>
      </c>
      <c r="L192">
        <v>1.6E-2</v>
      </c>
      <c r="M192">
        <v>0.80400000000000005</v>
      </c>
      <c r="N192">
        <v>2.8999999999999998E-3</v>
      </c>
    </row>
    <row r="193" spans="1:14" x14ac:dyDescent="0.25">
      <c r="A193" t="s">
        <v>375</v>
      </c>
      <c r="B193" t="s">
        <v>376</v>
      </c>
      <c r="C193" s="1" t="str">
        <f>HYPERLINK("http://www.genecards.org/cgi-bin/carddisp.pl?gene=PARP1","GeneCards")</f>
        <v>GeneCards</v>
      </c>
      <c r="D193" s="1" t="str">
        <f>HYPERLINK("http://genome-euro.ucsc.edu/cgi-bin/hgTracks?position=208644_at","UCSC")</f>
        <v>UCSC</v>
      </c>
      <c r="E193" s="1" t="str">
        <f>HYPERLINK("http://www.ncbi.nlm.nih.gov/gene/?term=PARP1","NCBI")</f>
        <v>NCBI</v>
      </c>
      <c r="F193" s="2">
        <v>5.5000000000000002E-5</v>
      </c>
      <c r="G193">
        <v>4.8999999999999998E-3</v>
      </c>
      <c r="H193" s="1" t="str">
        <f>HYPERLINK("http://www.weizmann.ac.il/complex/compphys/software/geview/data/figures/208644_at.png","Figure")</f>
        <v>Figure</v>
      </c>
      <c r="I193">
        <v>3.3</v>
      </c>
      <c r="J193">
        <v>4.4999999999999999E-4</v>
      </c>
      <c r="K193">
        <v>3.56</v>
      </c>
      <c r="L193" s="2">
        <v>6.8999999999999997E-5</v>
      </c>
      <c r="M193">
        <v>1.08</v>
      </c>
      <c r="N193">
        <v>0.93</v>
      </c>
    </row>
    <row r="194" spans="1:14" x14ac:dyDescent="0.25">
      <c r="A194" t="s">
        <v>377</v>
      </c>
      <c r="B194" t="s">
        <v>378</v>
      </c>
      <c r="C194" s="1" t="str">
        <f>HYPERLINK("http://www.genecards.org/cgi-bin/carddisp.pl?gene=IQCE","GeneCards")</f>
        <v>GeneCards</v>
      </c>
      <c r="D194" s="1" t="str">
        <f>HYPERLINK("http://genome-euro.ucsc.edu/cgi-bin/hgTracks?position=204202_at","UCSC")</f>
        <v>UCSC</v>
      </c>
      <c r="E194" s="1" t="str">
        <f>HYPERLINK("http://www.ncbi.nlm.nih.gov/gene/?term=IQCE","NCBI")</f>
        <v>NCBI</v>
      </c>
      <c r="F194" s="2">
        <v>5.5999999999999999E-5</v>
      </c>
      <c r="G194">
        <v>4.8999999999999998E-3</v>
      </c>
      <c r="H194" s="1" t="str">
        <f>HYPERLINK("http://www.weizmann.ac.il/complex/compphys/software/geview/data/figures/204202_at.png","Figure")</f>
        <v>Figure</v>
      </c>
      <c r="I194">
        <v>1.78</v>
      </c>
      <c r="J194">
        <v>3.4000000000000002E-4</v>
      </c>
      <c r="K194">
        <v>1.8</v>
      </c>
      <c r="L194" s="2">
        <v>8.2000000000000001E-5</v>
      </c>
      <c r="M194">
        <v>1.01</v>
      </c>
      <c r="N194">
        <v>1</v>
      </c>
    </row>
    <row r="195" spans="1:14" x14ac:dyDescent="0.25">
      <c r="A195" t="s">
        <v>379</v>
      </c>
      <c r="B195" t="s">
        <v>380</v>
      </c>
      <c r="C195" s="1" t="str">
        <f>HYPERLINK("http://www.genecards.org/cgi-bin/carddisp.pl?gene=ELF1","GeneCards")</f>
        <v>GeneCards</v>
      </c>
      <c r="D195" s="1" t="str">
        <f>HYPERLINK("http://genome-euro.ucsc.edu/cgi-bin/hgTracks?position=212418_at","UCSC")</f>
        <v>UCSC</v>
      </c>
      <c r="E195" s="1" t="str">
        <f>HYPERLINK("http://www.ncbi.nlm.nih.gov/gene/?term=ELF1","NCBI")</f>
        <v>NCBI</v>
      </c>
      <c r="F195" s="2">
        <v>5.7000000000000003E-5</v>
      </c>
      <c r="G195">
        <v>5.0000000000000001E-3</v>
      </c>
      <c r="H195" s="1" t="str">
        <f>HYPERLINK("http://www.weizmann.ac.il/complex/compphys/software/geview/data/figures/212418_at.png","Figure")</f>
        <v>Figure</v>
      </c>
      <c r="I195">
        <v>1.39</v>
      </c>
      <c r="J195">
        <v>8.8999999999999996E-2</v>
      </c>
      <c r="K195">
        <v>0.58599999999999997</v>
      </c>
      <c r="L195">
        <v>2.3999999999999998E-3</v>
      </c>
      <c r="M195">
        <v>0.42099999999999999</v>
      </c>
      <c r="N195" s="2">
        <v>5.8999999999999998E-5</v>
      </c>
    </row>
    <row r="196" spans="1:14" x14ac:dyDescent="0.25">
      <c r="A196" t="s">
        <v>381</v>
      </c>
      <c r="B196" t="s">
        <v>382</v>
      </c>
      <c r="C196" s="1" t="str">
        <f>HYPERLINK("http://www.genecards.org/cgi-bin/carddisp.pl?gene=FAM149B1","GeneCards")</f>
        <v>GeneCards</v>
      </c>
      <c r="D196" s="1" t="str">
        <f>HYPERLINK("http://genome-euro.ucsc.edu/cgi-bin/hgTracks?position=213463_s_at","UCSC")</f>
        <v>UCSC</v>
      </c>
      <c r="E196" s="1" t="str">
        <f>HYPERLINK("http://www.ncbi.nlm.nih.gov/gene/?term=FAM149B1","NCBI")</f>
        <v>NCBI</v>
      </c>
      <c r="F196" s="2">
        <v>5.8E-5</v>
      </c>
      <c r="G196">
        <v>5.0000000000000001E-3</v>
      </c>
      <c r="H196" s="1" t="str">
        <f>HYPERLINK("http://www.weizmann.ac.il/complex/compphys/software/geview/data/figures/213463_s_at.png","Figure")</f>
        <v>Figure</v>
      </c>
      <c r="I196">
        <v>0.67200000000000004</v>
      </c>
      <c r="J196">
        <v>1.7000000000000001E-4</v>
      </c>
      <c r="K196">
        <v>1</v>
      </c>
      <c r="L196">
        <v>1</v>
      </c>
      <c r="M196">
        <v>1.49</v>
      </c>
      <c r="N196" s="2">
        <v>8.7999999999999998E-5</v>
      </c>
    </row>
    <row r="197" spans="1:14" x14ac:dyDescent="0.25">
      <c r="A197" t="s">
        <v>383</v>
      </c>
      <c r="B197" t="s">
        <v>384</v>
      </c>
      <c r="C197" s="1" t="str">
        <f>HYPERLINK("http://www.genecards.org/cgi-bin/carddisp.pl?gene=RRAGD","GeneCards")</f>
        <v>GeneCards</v>
      </c>
      <c r="D197" s="1" t="str">
        <f>HYPERLINK("http://genome-euro.ucsc.edu/cgi-bin/hgTracks?position=221523_s_at","UCSC")</f>
        <v>UCSC</v>
      </c>
      <c r="E197" s="1" t="str">
        <f>HYPERLINK("http://www.ncbi.nlm.nih.gov/gene/?term=RRAGD","NCBI")</f>
        <v>NCBI</v>
      </c>
      <c r="F197" s="2">
        <v>5.7000000000000003E-5</v>
      </c>
      <c r="G197">
        <v>5.0000000000000001E-3</v>
      </c>
      <c r="H197" s="1" t="str">
        <f>HYPERLINK("http://www.weizmann.ac.il/complex/compphys/software/geview/data/figures/221523_s_at.png","Figure")</f>
        <v>Figure</v>
      </c>
      <c r="I197">
        <v>0.35599999999999998</v>
      </c>
      <c r="J197" s="2">
        <v>6.4999999999999994E-5</v>
      </c>
      <c r="K197">
        <v>0.81599999999999995</v>
      </c>
      <c r="L197">
        <v>0.35</v>
      </c>
      <c r="M197">
        <v>2.29</v>
      </c>
      <c r="N197">
        <v>2.7999999999999998E-4</v>
      </c>
    </row>
    <row r="198" spans="1:14" x14ac:dyDescent="0.25">
      <c r="A198" t="s">
        <v>385</v>
      </c>
      <c r="B198" t="s">
        <v>386</v>
      </c>
      <c r="C198" s="1" t="str">
        <f>HYPERLINK("http://www.genecards.org/cgi-bin/carddisp.pl?gene=EPRS","GeneCards")</f>
        <v>GeneCards</v>
      </c>
      <c r="D198" s="1" t="str">
        <f>HYPERLINK("http://genome-euro.ucsc.edu/cgi-bin/hgTracks?position=200842_s_at","UCSC")</f>
        <v>UCSC</v>
      </c>
      <c r="E198" s="1" t="str">
        <f>HYPERLINK("http://www.ncbi.nlm.nih.gov/gene/?term=EPRS","NCBI")</f>
        <v>NCBI</v>
      </c>
      <c r="F198" s="2">
        <v>5.8E-5</v>
      </c>
      <c r="G198">
        <v>5.0000000000000001E-3</v>
      </c>
      <c r="H198" s="1" t="str">
        <f>HYPERLINK("http://www.weizmann.ac.il/complex/compphys/software/geview/data/figures/200842_s_at.png","Figure")</f>
        <v>Figure</v>
      </c>
      <c r="I198">
        <v>1.49</v>
      </c>
      <c r="J198">
        <v>0.04</v>
      </c>
      <c r="K198">
        <v>2.33</v>
      </c>
      <c r="L198" s="2">
        <v>4.1999999999999998E-5</v>
      </c>
      <c r="M198">
        <v>1.56</v>
      </c>
      <c r="N198">
        <v>1.4999999999999999E-2</v>
      </c>
    </row>
    <row r="199" spans="1:14" x14ac:dyDescent="0.25">
      <c r="A199" t="s">
        <v>387</v>
      </c>
      <c r="B199" t="s">
        <v>388</v>
      </c>
      <c r="C199" s="1" t="str">
        <f>HYPERLINK("http://www.genecards.org/cgi-bin/carddisp.pl?gene=RPS4X","GeneCards")</f>
        <v>GeneCards</v>
      </c>
      <c r="D199" s="1" t="str">
        <f>HYPERLINK("http://genome-euro.ucsc.edu/cgi-bin/hgTracks?position=200933_x_at","UCSC")</f>
        <v>UCSC</v>
      </c>
      <c r="E199" s="1" t="str">
        <f>HYPERLINK("http://www.ncbi.nlm.nih.gov/gene/?term=RPS4X","NCBI")</f>
        <v>NCBI</v>
      </c>
      <c r="F199" s="2">
        <v>6.0000000000000002E-5</v>
      </c>
      <c r="G199">
        <v>5.0000000000000001E-3</v>
      </c>
      <c r="H199" s="1" t="str">
        <f>HYPERLINK("http://www.weizmann.ac.il/complex/compphys/software/geview/data/figures/200933_x_at.png","Figure")</f>
        <v>Figure</v>
      </c>
      <c r="I199">
        <v>0.65700000000000003</v>
      </c>
      <c r="J199">
        <v>2.7999999999999998E-4</v>
      </c>
      <c r="K199">
        <v>1.03</v>
      </c>
      <c r="L199">
        <v>0.87</v>
      </c>
      <c r="M199">
        <v>1.57</v>
      </c>
      <c r="N199" s="2">
        <v>6.9999999999999994E-5</v>
      </c>
    </row>
    <row r="200" spans="1:14" x14ac:dyDescent="0.25">
      <c r="A200" t="s">
        <v>389</v>
      </c>
      <c r="B200" t="s">
        <v>360</v>
      </c>
      <c r="C200" s="1" t="str">
        <f>HYPERLINK("http://www.genecards.org/cgi-bin/carddisp.pl?gene=LRMP","GeneCards")</f>
        <v>GeneCards</v>
      </c>
      <c r="D200" s="1" t="str">
        <f>HYPERLINK("http://genome-euro.ucsc.edu/cgi-bin/hgTracks?position=204674_at","UCSC")</f>
        <v>UCSC</v>
      </c>
      <c r="E200" s="1" t="str">
        <f>HYPERLINK("http://www.ncbi.nlm.nih.gov/gene/?term=LRMP","NCBI")</f>
        <v>NCBI</v>
      </c>
      <c r="F200" s="2">
        <v>6.0000000000000002E-5</v>
      </c>
      <c r="G200">
        <v>5.0000000000000001E-3</v>
      </c>
      <c r="H200" s="1" t="str">
        <f>HYPERLINK("http://www.weizmann.ac.il/complex/compphys/software/geview/data/figures/204674_at.png","Figure")</f>
        <v>Figure</v>
      </c>
      <c r="I200">
        <v>7.45</v>
      </c>
      <c r="J200">
        <v>6.3000000000000003E-4</v>
      </c>
      <c r="K200">
        <v>9.27</v>
      </c>
      <c r="L200" s="2">
        <v>6.7000000000000002E-5</v>
      </c>
      <c r="M200">
        <v>1.24</v>
      </c>
      <c r="N200">
        <v>0.83</v>
      </c>
    </row>
    <row r="201" spans="1:14" x14ac:dyDescent="0.25">
      <c r="A201" t="s">
        <v>390</v>
      </c>
      <c r="B201" t="s">
        <v>207</v>
      </c>
      <c r="C201" s="1" t="str">
        <f>HYPERLINK("http://www.genecards.org/cgi-bin/carddisp.pl?gene=IL1B","GeneCards")</f>
        <v>GeneCards</v>
      </c>
      <c r="D201" s="1" t="str">
        <f>HYPERLINK("http://genome-euro.ucsc.edu/cgi-bin/hgTracks?position=205067_at","UCSC")</f>
        <v>UCSC</v>
      </c>
      <c r="E201" s="1" t="str">
        <f>HYPERLINK("http://www.ncbi.nlm.nih.gov/gene/?term=IL1B","NCBI")</f>
        <v>NCBI</v>
      </c>
      <c r="F201" s="2">
        <v>6.0000000000000002E-5</v>
      </c>
      <c r="G201">
        <v>5.0000000000000001E-3</v>
      </c>
      <c r="H201" s="1" t="str">
        <f>HYPERLINK("http://www.weizmann.ac.il/complex/compphys/software/geview/data/figures/205067_at.png","Figure")</f>
        <v>Figure</v>
      </c>
      <c r="I201">
        <v>0.95099999999999996</v>
      </c>
      <c r="J201">
        <v>0.98</v>
      </c>
      <c r="K201">
        <v>3.79</v>
      </c>
      <c r="L201">
        <v>2.1000000000000001E-4</v>
      </c>
      <c r="M201">
        <v>3.99</v>
      </c>
      <c r="N201">
        <v>2.7999999999999998E-4</v>
      </c>
    </row>
    <row r="202" spans="1:14" x14ac:dyDescent="0.25">
      <c r="A202" t="s">
        <v>391</v>
      </c>
      <c r="B202" t="s">
        <v>392</v>
      </c>
      <c r="C202" s="1" t="str">
        <f>HYPERLINK("http://www.genecards.org/cgi-bin/carddisp.pl?gene=OGT","GeneCards")</f>
        <v>GeneCards</v>
      </c>
      <c r="D202" s="1" t="str">
        <f>HYPERLINK("http://genome-euro.ucsc.edu/cgi-bin/hgTracks?position=207564_x_at","UCSC")</f>
        <v>UCSC</v>
      </c>
      <c r="E202" s="1" t="str">
        <f>HYPERLINK("http://www.ncbi.nlm.nih.gov/gene/?term=OGT","NCBI")</f>
        <v>NCBI</v>
      </c>
      <c r="F202" s="2">
        <v>6.0000000000000002E-5</v>
      </c>
      <c r="G202">
        <v>5.0000000000000001E-3</v>
      </c>
      <c r="H202" s="1" t="str">
        <f>HYPERLINK("http://www.weizmann.ac.il/complex/compphys/software/geview/data/figures/207564_x_at.png","Figure")</f>
        <v>Figure</v>
      </c>
      <c r="I202">
        <v>0.38100000000000001</v>
      </c>
      <c r="J202">
        <v>4.8000000000000001E-4</v>
      </c>
      <c r="K202">
        <v>1.18</v>
      </c>
      <c r="L202">
        <v>0.56999999999999995</v>
      </c>
      <c r="M202">
        <v>3.1</v>
      </c>
      <c r="N202" s="2">
        <v>5.5000000000000002E-5</v>
      </c>
    </row>
    <row r="203" spans="1:14" x14ac:dyDescent="0.25">
      <c r="A203" t="s">
        <v>393</v>
      </c>
      <c r="B203" t="s">
        <v>394</v>
      </c>
      <c r="C203" s="1" t="str">
        <f>HYPERLINK("http://www.genecards.org/cgi-bin/carddisp.pl?gene=MTCP1NB","GeneCards")</f>
        <v>GeneCards</v>
      </c>
      <c r="D203" s="1" t="str">
        <f>HYPERLINK("http://genome-euro.ucsc.edu/cgi-bin/hgTracks?position=216862_s_at","UCSC")</f>
        <v>UCSC</v>
      </c>
      <c r="E203" s="1" t="str">
        <f>HYPERLINK("http://www.ncbi.nlm.nih.gov/gene/?term=MTCP1NB","NCBI")</f>
        <v>NCBI</v>
      </c>
      <c r="F203" s="2">
        <v>5.8999999999999998E-5</v>
      </c>
      <c r="G203">
        <v>5.0000000000000001E-3</v>
      </c>
      <c r="H203" s="1" t="str">
        <f>HYPERLINK("http://www.weizmann.ac.il/complex/compphys/software/geview/data/figures/216862_s_at.png","Figure")</f>
        <v>Figure</v>
      </c>
      <c r="I203">
        <v>0.38800000000000001</v>
      </c>
      <c r="J203">
        <v>1E-4</v>
      </c>
      <c r="K203">
        <v>0.90400000000000003</v>
      </c>
      <c r="L203">
        <v>0.74</v>
      </c>
      <c r="M203">
        <v>2.33</v>
      </c>
      <c r="N203">
        <v>1.4999999999999999E-4</v>
      </c>
    </row>
    <row r="204" spans="1:14" x14ac:dyDescent="0.25">
      <c r="A204" t="s">
        <v>395</v>
      </c>
      <c r="B204" t="s">
        <v>396</v>
      </c>
      <c r="C204" s="1" t="str">
        <f>HYPERLINK("http://www.genecards.org/cgi-bin/carddisp.pl?gene=CD320","GeneCards")</f>
        <v>GeneCards</v>
      </c>
      <c r="D204" s="1" t="str">
        <f>HYPERLINK("http://genome-euro.ucsc.edu/cgi-bin/hgTracks?position=218529_at","UCSC")</f>
        <v>UCSC</v>
      </c>
      <c r="E204" s="1" t="str">
        <f>HYPERLINK("http://www.ncbi.nlm.nih.gov/gene/?term=CD320","NCBI")</f>
        <v>NCBI</v>
      </c>
      <c r="F204" s="2">
        <v>5.8999999999999998E-5</v>
      </c>
      <c r="G204">
        <v>5.0000000000000001E-3</v>
      </c>
      <c r="H204" s="1" t="str">
        <f>HYPERLINK("http://www.weizmann.ac.il/complex/compphys/software/geview/data/figures/218529_at.png","Figure")</f>
        <v>Figure</v>
      </c>
      <c r="I204">
        <v>1.39</v>
      </c>
      <c r="J204">
        <v>2.0000000000000001E-4</v>
      </c>
      <c r="K204">
        <v>1.35</v>
      </c>
      <c r="L204">
        <v>1.2999999999999999E-4</v>
      </c>
      <c r="M204">
        <v>0.97299999999999998</v>
      </c>
      <c r="N204">
        <v>0.87</v>
      </c>
    </row>
    <row r="205" spans="1:14" x14ac:dyDescent="0.25">
      <c r="A205" t="s">
        <v>397</v>
      </c>
      <c r="B205" t="s">
        <v>398</v>
      </c>
      <c r="C205" s="1" t="str">
        <f>HYPERLINK("http://www.genecards.org/cgi-bin/carddisp.pl?gene=CDH4","GeneCards")</f>
        <v>GeneCards</v>
      </c>
      <c r="D205" s="1" t="str">
        <f>HYPERLINK("http://genome-euro.ucsc.edu/cgi-bin/hgTracks?position=220227_at","UCSC")</f>
        <v>UCSC</v>
      </c>
      <c r="E205" s="1" t="str">
        <f>HYPERLINK("http://www.ncbi.nlm.nih.gov/gene/?term=CDH4","NCBI")</f>
        <v>NCBI</v>
      </c>
      <c r="F205" s="2">
        <v>6.0000000000000002E-5</v>
      </c>
      <c r="G205">
        <v>5.0000000000000001E-3</v>
      </c>
      <c r="H205" s="1" t="str">
        <f>HYPERLINK("http://www.weizmann.ac.il/complex/compphys/software/geview/data/figures/220227_at.png","Figure")</f>
        <v>Figure</v>
      </c>
      <c r="I205">
        <v>1.1000000000000001</v>
      </c>
      <c r="J205">
        <v>0.76</v>
      </c>
      <c r="K205">
        <v>0.55100000000000005</v>
      </c>
      <c r="L205">
        <v>3.5E-4</v>
      </c>
      <c r="M205">
        <v>0.503</v>
      </c>
      <c r="N205">
        <v>1.7000000000000001E-4</v>
      </c>
    </row>
    <row r="206" spans="1:14" x14ac:dyDescent="0.25">
      <c r="A206" t="s">
        <v>399</v>
      </c>
      <c r="B206" t="s">
        <v>400</v>
      </c>
      <c r="C206" s="1" t="str">
        <f>HYPERLINK("http://www.genecards.org/cgi-bin/carddisp.pl?gene=BNIP3L","GeneCards")</f>
        <v>GeneCards</v>
      </c>
      <c r="D206" s="1" t="str">
        <f>HYPERLINK("http://genome-euro.ucsc.edu/cgi-bin/hgTracks?position=221478_at","UCSC")</f>
        <v>UCSC</v>
      </c>
      <c r="E206" s="1" t="str">
        <f>HYPERLINK("http://www.ncbi.nlm.nih.gov/gene/?term=BNIP3L","NCBI")</f>
        <v>NCBI</v>
      </c>
      <c r="F206" s="2">
        <v>6.0000000000000002E-5</v>
      </c>
      <c r="G206">
        <v>5.0000000000000001E-3</v>
      </c>
      <c r="H206" s="1" t="str">
        <f>HYPERLINK("http://www.weizmann.ac.il/complex/compphys/software/geview/data/figures/221478_at.png","Figure")</f>
        <v>Figure</v>
      </c>
      <c r="I206">
        <v>0.57899999999999996</v>
      </c>
      <c r="J206">
        <v>5.8000000000000003E-2</v>
      </c>
      <c r="K206">
        <v>0.28899999999999998</v>
      </c>
      <c r="L206" s="2">
        <v>4.5000000000000003E-5</v>
      </c>
      <c r="M206">
        <v>0.5</v>
      </c>
      <c r="N206">
        <v>1.0999999999999999E-2</v>
      </c>
    </row>
    <row r="207" spans="1:14" x14ac:dyDescent="0.25">
      <c r="A207" t="s">
        <v>401</v>
      </c>
      <c r="B207" t="s">
        <v>402</v>
      </c>
      <c r="C207" s="1" t="str">
        <f>HYPERLINK("http://www.genecards.org/cgi-bin/carddisp.pl?gene=ZCCHC24","GeneCards")</f>
        <v>GeneCards</v>
      </c>
      <c r="D207" s="1" t="str">
        <f>HYPERLINK("http://genome-euro.ucsc.edu/cgi-bin/hgTracks?position=212423_at","UCSC")</f>
        <v>UCSC</v>
      </c>
      <c r="E207" s="1" t="str">
        <f>HYPERLINK("http://www.ncbi.nlm.nih.gov/gene/?term=ZCCHC24","NCBI")</f>
        <v>NCBI</v>
      </c>
      <c r="F207" s="2">
        <v>6.0999999999999999E-5</v>
      </c>
      <c r="G207">
        <v>5.0000000000000001E-3</v>
      </c>
      <c r="H207" s="1" t="str">
        <f>HYPERLINK("http://www.weizmann.ac.il/complex/compphys/software/geview/data/figures/212423_at.png","Figure")</f>
        <v>Figure</v>
      </c>
      <c r="I207">
        <v>0.52400000000000002</v>
      </c>
      <c r="J207">
        <v>9.5E-4</v>
      </c>
      <c r="K207">
        <v>1.2</v>
      </c>
      <c r="L207">
        <v>0.28999999999999998</v>
      </c>
      <c r="M207">
        <v>2.2999999999999998</v>
      </c>
      <c r="N207" s="2">
        <v>4.6999999999999997E-5</v>
      </c>
    </row>
    <row r="208" spans="1:14" x14ac:dyDescent="0.25">
      <c r="A208" t="s">
        <v>403</v>
      </c>
      <c r="B208" t="s">
        <v>404</v>
      </c>
      <c r="C208" s="1" t="str">
        <f>HYPERLINK("http://www.genecards.org/cgi-bin/carddisp.pl?gene=PRKACB","GeneCards")</f>
        <v>GeneCards</v>
      </c>
      <c r="D208" s="1" t="str">
        <f>HYPERLINK("http://genome-euro.ucsc.edu/cgi-bin/hgTracks?position=202741_at","UCSC")</f>
        <v>UCSC</v>
      </c>
      <c r="E208" s="1" t="str">
        <f>HYPERLINK("http://www.ncbi.nlm.nih.gov/gene/?term=PRKACB","NCBI")</f>
        <v>NCBI</v>
      </c>
      <c r="F208" s="2">
        <v>6.0999999999999999E-5</v>
      </c>
      <c r="G208">
        <v>5.0000000000000001E-3</v>
      </c>
      <c r="H208" s="1" t="str">
        <f>HYPERLINK("http://www.weizmann.ac.il/complex/compphys/software/geview/data/figures/202741_at.png","Figure")</f>
        <v>Figure</v>
      </c>
      <c r="I208">
        <v>0.53500000000000003</v>
      </c>
      <c r="J208">
        <v>4.4999999999999997E-3</v>
      </c>
      <c r="K208">
        <v>0.39600000000000002</v>
      </c>
      <c r="L208" s="2">
        <v>4.3000000000000002E-5</v>
      </c>
      <c r="M208">
        <v>0.74099999999999999</v>
      </c>
      <c r="N208">
        <v>0.15</v>
      </c>
    </row>
    <row r="209" spans="1:14" x14ac:dyDescent="0.25">
      <c r="A209" t="s">
        <v>405</v>
      </c>
      <c r="B209" t="s">
        <v>406</v>
      </c>
      <c r="C209" s="1" t="str">
        <f>HYPERLINK("http://www.genecards.org/cgi-bin/carddisp.pl?gene=ANKRD28","GeneCards")</f>
        <v>GeneCards</v>
      </c>
      <c r="D209" s="1" t="str">
        <f>HYPERLINK("http://genome-euro.ucsc.edu/cgi-bin/hgTracks?position=213035_at","UCSC")</f>
        <v>UCSC</v>
      </c>
      <c r="E209" s="1" t="str">
        <f>HYPERLINK("http://www.ncbi.nlm.nih.gov/gene/?term=ANKRD28","NCBI")</f>
        <v>NCBI</v>
      </c>
      <c r="F209" s="2">
        <v>6.3E-5</v>
      </c>
      <c r="G209">
        <v>5.1000000000000004E-3</v>
      </c>
      <c r="H209" s="1" t="str">
        <f>HYPERLINK("http://www.weizmann.ac.il/complex/compphys/software/geview/data/figures/213035_at.png","Figure")</f>
        <v>Figure</v>
      </c>
      <c r="I209">
        <v>0.39100000000000001</v>
      </c>
      <c r="J209" s="2">
        <v>7.2000000000000002E-5</v>
      </c>
      <c r="K209">
        <v>0.83399999999999996</v>
      </c>
      <c r="L209">
        <v>0.37</v>
      </c>
      <c r="M209">
        <v>2.13</v>
      </c>
      <c r="N209">
        <v>2.9999999999999997E-4</v>
      </c>
    </row>
    <row r="210" spans="1:14" x14ac:dyDescent="0.25">
      <c r="A210" t="s">
        <v>407</v>
      </c>
      <c r="B210" t="s">
        <v>408</v>
      </c>
      <c r="C210" s="1" t="str">
        <f>HYPERLINK("http://www.genecards.org/cgi-bin/carddisp.pl?gene=NMT2","GeneCards")</f>
        <v>GeneCards</v>
      </c>
      <c r="D210" s="1" t="str">
        <f>HYPERLINK("http://genome-euro.ucsc.edu/cgi-bin/hgTracks?position=205006_s_at","UCSC")</f>
        <v>UCSC</v>
      </c>
      <c r="E210" s="1" t="str">
        <f>HYPERLINK("http://www.ncbi.nlm.nih.gov/gene/?term=NMT2","NCBI")</f>
        <v>NCBI</v>
      </c>
      <c r="F210" s="2">
        <v>6.4999999999999994E-5</v>
      </c>
      <c r="G210">
        <v>5.3E-3</v>
      </c>
      <c r="H210" s="1" t="str">
        <f>HYPERLINK("http://www.weizmann.ac.il/complex/compphys/software/geview/data/figures/205006_s_at.png","Figure")</f>
        <v>Figure</v>
      </c>
      <c r="I210">
        <v>0.83399999999999996</v>
      </c>
      <c r="J210">
        <v>0.82</v>
      </c>
      <c r="K210">
        <v>0.21</v>
      </c>
      <c r="L210">
        <v>1.2E-4</v>
      </c>
      <c r="M210">
        <v>0.252</v>
      </c>
      <c r="N210">
        <v>7.1000000000000002E-4</v>
      </c>
    </row>
    <row r="211" spans="1:14" x14ac:dyDescent="0.25">
      <c r="A211" t="s">
        <v>409</v>
      </c>
      <c r="B211" t="s">
        <v>410</v>
      </c>
      <c r="C211" s="1" t="str">
        <f>HYPERLINK("http://www.genecards.org/cgi-bin/carddisp.pl?gene=GALC","GeneCards")</f>
        <v>GeneCards</v>
      </c>
      <c r="D211" s="1" t="str">
        <f>HYPERLINK("http://genome-euro.ucsc.edu/cgi-bin/hgTracks?position=204417_at","UCSC")</f>
        <v>UCSC</v>
      </c>
      <c r="E211" s="1" t="str">
        <f>HYPERLINK("http://www.ncbi.nlm.nih.gov/gene/?term=GALC","NCBI")</f>
        <v>NCBI</v>
      </c>
      <c r="F211" s="2">
        <v>6.6000000000000005E-5</v>
      </c>
      <c r="G211">
        <v>5.4000000000000003E-3</v>
      </c>
      <c r="H211" s="1" t="str">
        <f>HYPERLINK("http://www.weizmann.ac.il/complex/compphys/software/geview/data/figures/204417_at.png","Figure")</f>
        <v>Figure</v>
      </c>
      <c r="I211">
        <v>0.35499999999999998</v>
      </c>
      <c r="J211">
        <v>7.9000000000000001E-4</v>
      </c>
      <c r="K211">
        <v>1.29</v>
      </c>
      <c r="L211">
        <v>0.38</v>
      </c>
      <c r="M211">
        <v>3.63</v>
      </c>
      <c r="N211" s="2">
        <v>5.3999999999999998E-5</v>
      </c>
    </row>
    <row r="212" spans="1:14" x14ac:dyDescent="0.25">
      <c r="A212" t="s">
        <v>411</v>
      </c>
      <c r="B212" t="s">
        <v>269</v>
      </c>
      <c r="C212" s="1" t="str">
        <f>HYPERLINK("http://www.genecards.org/cgi-bin/carddisp.pl?gene=SH3BP5","GeneCards")</f>
        <v>GeneCards</v>
      </c>
      <c r="D212" s="1" t="str">
        <f>HYPERLINK("http://genome-euro.ucsc.edu/cgi-bin/hgTracks?position=201811_x_at","UCSC")</f>
        <v>UCSC</v>
      </c>
      <c r="E212" s="1" t="str">
        <f>HYPERLINK("http://www.ncbi.nlm.nih.gov/gene/?term=SH3BP5","NCBI")</f>
        <v>NCBI</v>
      </c>
      <c r="F212" s="2">
        <v>6.7000000000000002E-5</v>
      </c>
      <c r="G212">
        <v>5.4000000000000003E-3</v>
      </c>
      <c r="H212" s="1" t="str">
        <f>HYPERLINK("http://www.weizmann.ac.il/complex/compphys/software/geview/data/figures/201811_x_at.png","Figure")</f>
        <v>Figure</v>
      </c>
      <c r="I212">
        <v>0.125</v>
      </c>
      <c r="J212">
        <v>1.1E-4</v>
      </c>
      <c r="K212">
        <v>0.78100000000000003</v>
      </c>
      <c r="L212">
        <v>0.69</v>
      </c>
      <c r="M212">
        <v>6.24</v>
      </c>
      <c r="N212">
        <v>1.9000000000000001E-4</v>
      </c>
    </row>
    <row r="213" spans="1:14" x14ac:dyDescent="0.25">
      <c r="A213" t="s">
        <v>412</v>
      </c>
      <c r="B213" t="s">
        <v>413</v>
      </c>
      <c r="C213" s="1" t="str">
        <f>HYPERLINK("http://www.genecards.org/cgi-bin/carddisp.pl?gene=FUCA1","GeneCards")</f>
        <v>GeneCards</v>
      </c>
      <c r="D213" s="1" t="str">
        <f>HYPERLINK("http://genome-euro.ucsc.edu/cgi-bin/hgTracks?position=202838_at","UCSC")</f>
        <v>UCSC</v>
      </c>
      <c r="E213" s="1" t="str">
        <f>HYPERLINK("http://www.ncbi.nlm.nih.gov/gene/?term=FUCA1","NCBI")</f>
        <v>NCBI</v>
      </c>
      <c r="F213" s="2">
        <v>6.7000000000000002E-5</v>
      </c>
      <c r="G213">
        <v>5.4000000000000003E-3</v>
      </c>
      <c r="H213" s="1" t="str">
        <f>HYPERLINK("http://www.weizmann.ac.il/complex/compphys/software/geview/data/figures/202838_at.png","Figure")</f>
        <v>Figure</v>
      </c>
      <c r="I213">
        <v>0.44700000000000001</v>
      </c>
      <c r="J213">
        <v>2.0999999999999999E-3</v>
      </c>
      <c r="K213">
        <v>0.34799999999999998</v>
      </c>
      <c r="L213" s="2">
        <v>5.3000000000000001E-5</v>
      </c>
      <c r="M213">
        <v>0.77800000000000002</v>
      </c>
      <c r="N213">
        <v>0.35</v>
      </c>
    </row>
    <row r="214" spans="1:14" x14ac:dyDescent="0.25">
      <c r="A214" t="s">
        <v>414</v>
      </c>
      <c r="B214" t="s">
        <v>415</v>
      </c>
      <c r="C214" s="1" t="str">
        <f>HYPERLINK("http://www.genecards.org/cgi-bin/carddisp.pl?gene=IDS","GeneCards")</f>
        <v>GeneCards</v>
      </c>
      <c r="D214" s="1" t="str">
        <f>HYPERLINK("http://genome-euro.ucsc.edu/cgi-bin/hgTracks?position=212221_x_at","UCSC")</f>
        <v>UCSC</v>
      </c>
      <c r="E214" s="1" t="str">
        <f>HYPERLINK("http://www.ncbi.nlm.nih.gov/gene/?term=IDS","NCBI")</f>
        <v>NCBI</v>
      </c>
      <c r="F214" s="2">
        <v>6.7999999999999999E-5</v>
      </c>
      <c r="G214">
        <v>5.4000000000000003E-3</v>
      </c>
      <c r="H214" s="1" t="str">
        <f>HYPERLINK("http://www.weizmann.ac.il/complex/compphys/software/geview/data/figures/212221_x_at.png","Figure")</f>
        <v>Figure</v>
      </c>
      <c r="I214">
        <v>0.377</v>
      </c>
      <c r="J214" s="2">
        <v>4.8999999999999998E-5</v>
      </c>
      <c r="K214">
        <v>0.69799999999999995</v>
      </c>
      <c r="L214">
        <v>3.9E-2</v>
      </c>
      <c r="M214">
        <v>1.85</v>
      </c>
      <c r="N214">
        <v>1.6999999999999999E-3</v>
      </c>
    </row>
    <row r="215" spans="1:14" x14ac:dyDescent="0.25">
      <c r="A215" t="s">
        <v>416</v>
      </c>
      <c r="B215" t="s">
        <v>417</v>
      </c>
      <c r="C215" s="1" t="str">
        <f>HYPERLINK("http://www.genecards.org/cgi-bin/carddisp.pl?gene=LY6G5C","GeneCards")</f>
        <v>GeneCards</v>
      </c>
      <c r="D215" s="1" t="str">
        <f>HYPERLINK("http://genome-euro.ucsc.edu/cgi-bin/hgTracks?position=219860_at","UCSC")</f>
        <v>UCSC</v>
      </c>
      <c r="E215" s="1" t="str">
        <f>HYPERLINK("http://www.ncbi.nlm.nih.gov/gene/?term=LY6G5C","NCBI")</f>
        <v>NCBI</v>
      </c>
      <c r="F215" s="2">
        <v>6.8999999999999997E-5</v>
      </c>
      <c r="G215">
        <v>5.4000000000000003E-3</v>
      </c>
      <c r="H215" s="1" t="str">
        <f>HYPERLINK("http://www.weizmann.ac.il/complex/compphys/software/geview/data/figures/219860_at.png","Figure")</f>
        <v>Figure</v>
      </c>
      <c r="I215">
        <v>0.73899999999999999</v>
      </c>
      <c r="J215">
        <v>1.6000000000000001E-4</v>
      </c>
      <c r="K215">
        <v>0.98699999999999999</v>
      </c>
      <c r="L215">
        <v>0.95</v>
      </c>
      <c r="M215">
        <v>1.33</v>
      </c>
      <c r="N215">
        <v>1.2999999999999999E-4</v>
      </c>
    </row>
    <row r="216" spans="1:14" x14ac:dyDescent="0.25">
      <c r="A216" t="s">
        <v>418</v>
      </c>
      <c r="B216" t="s">
        <v>419</v>
      </c>
      <c r="C216" s="1" t="str">
        <f>HYPERLINK("http://www.genecards.org/cgi-bin/carddisp.pl?gene=PER1","GeneCards")</f>
        <v>GeneCards</v>
      </c>
      <c r="D216" s="1" t="str">
        <f>HYPERLINK("http://genome-euro.ucsc.edu/cgi-bin/hgTracks?position=202861_at","UCSC")</f>
        <v>UCSC</v>
      </c>
      <c r="E216" s="1" t="str">
        <f>HYPERLINK("http://www.ncbi.nlm.nih.gov/gene/?term=PER1","NCBI")</f>
        <v>NCBI</v>
      </c>
      <c r="F216" s="2">
        <v>6.9999999999999994E-5</v>
      </c>
      <c r="G216">
        <v>5.4999999999999997E-3</v>
      </c>
      <c r="H216" s="1" t="str">
        <f>HYPERLINK("http://www.weizmann.ac.il/complex/compphys/software/geview/data/figures/202861_at.png","Figure")</f>
        <v>Figure</v>
      </c>
      <c r="I216">
        <v>1.2</v>
      </c>
      <c r="J216">
        <v>0.32</v>
      </c>
      <c r="K216">
        <v>0.60399999999999998</v>
      </c>
      <c r="L216">
        <v>9.7999999999999997E-4</v>
      </c>
      <c r="M216">
        <v>0.504</v>
      </c>
      <c r="N216">
        <v>1.1E-4</v>
      </c>
    </row>
    <row r="217" spans="1:14" x14ac:dyDescent="0.25">
      <c r="A217" t="s">
        <v>420</v>
      </c>
      <c r="B217" t="s">
        <v>133</v>
      </c>
      <c r="C217" s="1" t="str">
        <f>HYPERLINK("http://www.genecards.org/cgi-bin/carddisp.pl?gene=LTK","GeneCards")</f>
        <v>GeneCards</v>
      </c>
      <c r="D217" s="1" t="str">
        <f>HYPERLINK("http://genome-euro.ucsc.edu/cgi-bin/hgTracks?position=207106_s_at","UCSC")</f>
        <v>UCSC</v>
      </c>
      <c r="E217" s="1" t="str">
        <f>HYPERLINK("http://www.ncbi.nlm.nih.gov/gene/?term=LTK","NCBI")</f>
        <v>NCBI</v>
      </c>
      <c r="F217" s="2">
        <v>6.9999999999999994E-5</v>
      </c>
      <c r="G217">
        <v>5.4999999999999997E-3</v>
      </c>
      <c r="H217" s="1" t="str">
        <f>HYPERLINK("http://www.weizmann.ac.il/complex/compphys/software/geview/data/figures/207106_s_at.png","Figure")</f>
        <v>Figure</v>
      </c>
      <c r="I217">
        <v>2.57</v>
      </c>
      <c r="J217">
        <v>2.9999999999999997E-4</v>
      </c>
      <c r="K217">
        <v>2.4700000000000002</v>
      </c>
      <c r="L217">
        <v>1.2999999999999999E-4</v>
      </c>
      <c r="M217">
        <v>0.95899999999999996</v>
      </c>
      <c r="N217">
        <v>0.96</v>
      </c>
    </row>
    <row r="218" spans="1:14" x14ac:dyDescent="0.25">
      <c r="A218" t="s">
        <v>421</v>
      </c>
      <c r="B218" t="s">
        <v>422</v>
      </c>
      <c r="C218" s="1" t="str">
        <f>HYPERLINK("http://www.genecards.org/cgi-bin/carddisp.pl?gene=MORC3","GeneCards")</f>
        <v>GeneCards</v>
      </c>
      <c r="D218" s="1" t="str">
        <f>HYPERLINK("http://genome-euro.ucsc.edu/cgi-bin/hgTracks?position=213000_at","UCSC")</f>
        <v>UCSC</v>
      </c>
      <c r="E218" s="1" t="str">
        <f>HYPERLINK("http://www.ncbi.nlm.nih.gov/gene/?term=MORC3","NCBI")</f>
        <v>NCBI</v>
      </c>
      <c r="F218" s="2">
        <v>6.9999999999999994E-5</v>
      </c>
      <c r="G218">
        <v>5.4999999999999997E-3</v>
      </c>
      <c r="H218" s="1" t="str">
        <f>HYPERLINK("http://www.weizmann.ac.il/complex/compphys/software/geview/data/figures/213000_at.png","Figure")</f>
        <v>Figure</v>
      </c>
      <c r="I218">
        <v>0.36899999999999999</v>
      </c>
      <c r="J218" s="2">
        <v>7.3999999999999996E-5</v>
      </c>
      <c r="K218">
        <v>0.51</v>
      </c>
      <c r="L218">
        <v>8.0000000000000004E-4</v>
      </c>
      <c r="M218">
        <v>1.38</v>
      </c>
      <c r="N218">
        <v>0.11</v>
      </c>
    </row>
    <row r="219" spans="1:14" x14ac:dyDescent="0.25">
      <c r="A219" t="s">
        <v>423</v>
      </c>
      <c r="B219" t="s">
        <v>30</v>
      </c>
      <c r="C219" s="1" t="str">
        <f>HYPERLINK("http://www.genecards.org/cgi-bin/carddisp.pl?gene=PDXK","GeneCards")</f>
        <v>GeneCards</v>
      </c>
      <c r="D219" s="1" t="str">
        <f>HYPERLINK("http://genome-euro.ucsc.edu/cgi-bin/hgTracks?position=218019_s_at","UCSC")</f>
        <v>UCSC</v>
      </c>
      <c r="E219" s="1" t="str">
        <f>HYPERLINK("http://www.ncbi.nlm.nih.gov/gene/?term=PDXK","NCBI")</f>
        <v>NCBI</v>
      </c>
      <c r="F219" s="2">
        <v>7.1000000000000005E-5</v>
      </c>
      <c r="G219">
        <v>5.4999999999999997E-3</v>
      </c>
      <c r="H219" s="1" t="str">
        <f>HYPERLINK("http://www.weizmann.ac.il/complex/compphys/software/geview/data/figures/218019_s_at.png","Figure")</f>
        <v>Figure</v>
      </c>
      <c r="I219">
        <v>0.38700000000000001</v>
      </c>
      <c r="J219">
        <v>1.1E-4</v>
      </c>
      <c r="K219">
        <v>0.89200000000000002</v>
      </c>
      <c r="L219">
        <v>0.69</v>
      </c>
      <c r="M219">
        <v>2.31</v>
      </c>
      <c r="N219">
        <v>2.0000000000000001E-4</v>
      </c>
    </row>
    <row r="220" spans="1:14" x14ac:dyDescent="0.25">
      <c r="A220" t="s">
        <v>424</v>
      </c>
      <c r="B220" t="s">
        <v>425</v>
      </c>
      <c r="C220" s="1" t="str">
        <f>HYPERLINK("http://www.genecards.org/cgi-bin/carddisp.pl?gene=DYRK4","GeneCards")</f>
        <v>GeneCards</v>
      </c>
      <c r="D220" s="1" t="str">
        <f>HYPERLINK("http://genome-euro.ucsc.edu/cgi-bin/hgTracks?position=212954_at","UCSC")</f>
        <v>UCSC</v>
      </c>
      <c r="E220" s="1" t="str">
        <f>HYPERLINK("http://www.ncbi.nlm.nih.gov/gene/?term=DYRK4","NCBI")</f>
        <v>NCBI</v>
      </c>
      <c r="F220" s="2">
        <v>7.1000000000000005E-5</v>
      </c>
      <c r="G220">
        <v>5.4999999999999997E-3</v>
      </c>
      <c r="H220" s="1" t="str">
        <f>HYPERLINK("http://www.weizmann.ac.il/complex/compphys/software/geview/data/figures/212954_at.png","Figure")</f>
        <v>Figure</v>
      </c>
      <c r="I220">
        <v>0.61699999999999999</v>
      </c>
      <c r="J220">
        <v>4.0999999999999999E-4</v>
      </c>
      <c r="K220">
        <v>1.06</v>
      </c>
      <c r="L220">
        <v>0.75</v>
      </c>
      <c r="M220">
        <v>1.72</v>
      </c>
      <c r="N220" s="2">
        <v>7.3999999999999996E-5</v>
      </c>
    </row>
    <row r="221" spans="1:14" x14ac:dyDescent="0.25">
      <c r="A221" t="s">
        <v>426</v>
      </c>
      <c r="B221" t="s">
        <v>427</v>
      </c>
      <c r="C221" s="1" t="str">
        <f>HYPERLINK("http://www.genecards.org/cgi-bin/carddisp.pl?gene=ARL3","GeneCards")</f>
        <v>GeneCards</v>
      </c>
      <c r="D221" s="1" t="str">
        <f>HYPERLINK("http://genome-euro.ucsc.edu/cgi-bin/hgTracks?position=202641_at","UCSC")</f>
        <v>UCSC</v>
      </c>
      <c r="E221" s="1" t="str">
        <f>HYPERLINK("http://www.ncbi.nlm.nih.gov/gene/?term=ARL3","NCBI")</f>
        <v>NCBI</v>
      </c>
      <c r="F221" s="2">
        <v>7.2000000000000002E-5</v>
      </c>
      <c r="G221">
        <v>5.4999999999999997E-3</v>
      </c>
      <c r="H221" s="1" t="str">
        <f>HYPERLINK("http://www.weizmann.ac.il/complex/compphys/software/geview/data/figures/202641_at.png","Figure")</f>
        <v>Figure</v>
      </c>
      <c r="I221">
        <v>0.93100000000000005</v>
      </c>
      <c r="J221">
        <v>0.81</v>
      </c>
      <c r="K221">
        <v>1.71</v>
      </c>
      <c r="L221">
        <v>3.6999999999999999E-4</v>
      </c>
      <c r="M221">
        <v>1.84</v>
      </c>
      <c r="N221">
        <v>2.2000000000000001E-4</v>
      </c>
    </row>
    <row r="222" spans="1:14" x14ac:dyDescent="0.25">
      <c r="A222" t="s">
        <v>428</v>
      </c>
      <c r="B222" t="s">
        <v>429</v>
      </c>
      <c r="C222" s="1" t="str">
        <f>HYPERLINK("http://www.genecards.org/cgi-bin/carddisp.pl?gene=PCMT1","GeneCards")</f>
        <v>GeneCards</v>
      </c>
      <c r="D222" s="1" t="str">
        <f>HYPERLINK("http://genome-euro.ucsc.edu/cgi-bin/hgTracks?position=208857_s_at","UCSC")</f>
        <v>UCSC</v>
      </c>
      <c r="E222" s="1" t="str">
        <f>HYPERLINK("http://www.ncbi.nlm.nih.gov/gene/?term=PCMT1","NCBI")</f>
        <v>NCBI</v>
      </c>
      <c r="F222" s="2">
        <v>7.2999999999999999E-5</v>
      </c>
      <c r="G222">
        <v>5.7000000000000002E-3</v>
      </c>
      <c r="H222" s="1" t="str">
        <f>HYPERLINK("http://www.weizmann.ac.il/complex/compphys/software/geview/data/figures/208857_s_at.png","Figure")</f>
        <v>Figure</v>
      </c>
      <c r="I222">
        <v>0.496</v>
      </c>
      <c r="J222">
        <v>9.2999999999999992E-3</v>
      </c>
      <c r="K222">
        <v>1.67</v>
      </c>
      <c r="L222">
        <v>2.8000000000000001E-2</v>
      </c>
      <c r="M222">
        <v>3.36</v>
      </c>
      <c r="N222" s="2">
        <v>5.1E-5</v>
      </c>
    </row>
    <row r="223" spans="1:14" x14ac:dyDescent="0.25">
      <c r="A223" t="s">
        <v>430</v>
      </c>
      <c r="B223" t="s">
        <v>431</v>
      </c>
      <c r="C223" s="1" t="str">
        <f>HYPERLINK("http://www.genecards.org/cgi-bin/carddisp.pl?gene=GOT2","GeneCards")</f>
        <v>GeneCards</v>
      </c>
      <c r="D223" s="1" t="str">
        <f>HYPERLINK("http://genome-euro.ucsc.edu/cgi-bin/hgTracks?position=200708_at","UCSC")</f>
        <v>UCSC</v>
      </c>
      <c r="E223" s="1" t="str">
        <f>HYPERLINK("http://www.ncbi.nlm.nih.gov/gene/?term=GOT2","NCBI")</f>
        <v>NCBI</v>
      </c>
      <c r="F223" s="2">
        <v>7.6000000000000004E-5</v>
      </c>
      <c r="G223">
        <v>5.7000000000000002E-3</v>
      </c>
      <c r="H223" s="1" t="str">
        <f>HYPERLINK("http://www.weizmann.ac.il/complex/compphys/software/geview/data/figures/200708_at.png","Figure")</f>
        <v>Figure</v>
      </c>
      <c r="I223">
        <v>1.25</v>
      </c>
      <c r="J223">
        <v>3.5999999999999997E-2</v>
      </c>
      <c r="K223">
        <v>1.56</v>
      </c>
      <c r="L223" s="2">
        <v>5.3000000000000001E-5</v>
      </c>
      <c r="M223">
        <v>1.25</v>
      </c>
      <c r="N223">
        <v>2.1999999999999999E-2</v>
      </c>
    </row>
    <row r="224" spans="1:14" x14ac:dyDescent="0.25">
      <c r="A224" t="s">
        <v>432</v>
      </c>
      <c r="B224" t="s">
        <v>433</v>
      </c>
      <c r="C224" s="1" t="str">
        <f>HYPERLINK("http://www.genecards.org/cgi-bin/carddisp.pl?gene=USP13","GeneCards")</f>
        <v>GeneCards</v>
      </c>
      <c r="D224" s="1" t="str">
        <f>HYPERLINK("http://genome-euro.ucsc.edu/cgi-bin/hgTracks?position=205356_at","UCSC")</f>
        <v>UCSC</v>
      </c>
      <c r="E224" s="1" t="str">
        <f>HYPERLINK("http://www.ncbi.nlm.nih.gov/gene/?term=USP13","NCBI")</f>
        <v>NCBI</v>
      </c>
      <c r="F224" s="2">
        <v>7.6000000000000004E-5</v>
      </c>
      <c r="G224">
        <v>5.7000000000000002E-3</v>
      </c>
      <c r="H224" s="1" t="str">
        <f>HYPERLINK("http://www.weizmann.ac.il/complex/compphys/software/geview/data/figures/205356_at.png","Figure")</f>
        <v>Figure</v>
      </c>
      <c r="I224">
        <v>1.1200000000000001</v>
      </c>
      <c r="J224">
        <v>0.51</v>
      </c>
      <c r="K224">
        <v>1.69</v>
      </c>
      <c r="L224" s="2">
        <v>9.8999999999999994E-5</v>
      </c>
      <c r="M224">
        <v>1.51</v>
      </c>
      <c r="N224">
        <v>1.6000000000000001E-3</v>
      </c>
    </row>
    <row r="225" spans="1:14" x14ac:dyDescent="0.25">
      <c r="A225" t="s">
        <v>434</v>
      </c>
      <c r="B225" t="s">
        <v>435</v>
      </c>
      <c r="C225" s="1" t="str">
        <f>HYPERLINK("http://www.genecards.org/cgi-bin/carddisp.pl?gene=CLTB","GeneCards")</f>
        <v>GeneCards</v>
      </c>
      <c r="D225" s="1" t="str">
        <f>HYPERLINK("http://genome-euro.ucsc.edu/cgi-bin/hgTracks?position=211043_s_at","UCSC")</f>
        <v>UCSC</v>
      </c>
      <c r="E225" s="1" t="str">
        <f>HYPERLINK("http://www.ncbi.nlm.nih.gov/gene/?term=CLTB","NCBI")</f>
        <v>NCBI</v>
      </c>
      <c r="F225" s="2">
        <v>7.6000000000000004E-5</v>
      </c>
      <c r="G225">
        <v>5.7000000000000002E-3</v>
      </c>
      <c r="H225" s="1" t="str">
        <f>HYPERLINK("http://www.weizmann.ac.il/complex/compphys/software/geview/data/figures/211043_s_at.png","Figure")</f>
        <v>Figure</v>
      </c>
      <c r="I225">
        <v>1.38</v>
      </c>
      <c r="J225">
        <v>2.8999999999999998E-3</v>
      </c>
      <c r="K225">
        <v>1.54</v>
      </c>
      <c r="L225" s="2">
        <v>5.8E-5</v>
      </c>
      <c r="M225">
        <v>1.1200000000000001</v>
      </c>
      <c r="N225">
        <v>0.28999999999999998</v>
      </c>
    </row>
    <row r="226" spans="1:14" x14ac:dyDescent="0.25">
      <c r="A226" t="s">
        <v>436</v>
      </c>
      <c r="B226" t="s">
        <v>437</v>
      </c>
      <c r="C226" s="1" t="str">
        <f>HYPERLINK("http://www.genecards.org/cgi-bin/carddisp.pl?gene=FYN","GeneCards")</f>
        <v>GeneCards</v>
      </c>
      <c r="D226" s="1" t="str">
        <f>HYPERLINK("http://genome-euro.ucsc.edu/cgi-bin/hgTracks?position=212486_s_at","UCSC")</f>
        <v>UCSC</v>
      </c>
      <c r="E226" s="1" t="str">
        <f>HYPERLINK("http://www.ncbi.nlm.nih.gov/gene/?term=FYN","NCBI")</f>
        <v>NCBI</v>
      </c>
      <c r="F226" s="2">
        <v>7.6000000000000004E-5</v>
      </c>
      <c r="G226">
        <v>5.7000000000000002E-3</v>
      </c>
      <c r="H226" s="1" t="str">
        <f>HYPERLINK("http://www.weizmann.ac.il/complex/compphys/software/geview/data/figures/212486_s_at.png","Figure")</f>
        <v>Figure</v>
      </c>
      <c r="I226">
        <v>0.41099999999999998</v>
      </c>
      <c r="J226">
        <v>1.1E-4</v>
      </c>
      <c r="K226">
        <v>0.88</v>
      </c>
      <c r="L226">
        <v>0.59</v>
      </c>
      <c r="M226">
        <v>2.14</v>
      </c>
      <c r="N226">
        <v>2.5000000000000001E-4</v>
      </c>
    </row>
    <row r="227" spans="1:14" x14ac:dyDescent="0.25">
      <c r="A227" t="s">
        <v>438</v>
      </c>
      <c r="B227" t="s">
        <v>388</v>
      </c>
      <c r="C227" s="1" t="str">
        <f>HYPERLINK("http://www.genecards.org/cgi-bin/carddisp.pl?gene=RPS4X","GeneCards")</f>
        <v>GeneCards</v>
      </c>
      <c r="D227" s="1" t="str">
        <f>HYPERLINK("http://genome-euro.ucsc.edu/cgi-bin/hgTracks?position=213347_x_at","UCSC")</f>
        <v>UCSC</v>
      </c>
      <c r="E227" s="1" t="str">
        <f>HYPERLINK("http://www.ncbi.nlm.nih.gov/gene/?term=RPS4X","NCBI")</f>
        <v>NCBI</v>
      </c>
      <c r="F227" s="2">
        <v>7.6000000000000004E-5</v>
      </c>
      <c r="G227">
        <v>5.7000000000000002E-3</v>
      </c>
      <c r="H227" s="1" t="str">
        <f>HYPERLINK("http://www.weizmann.ac.il/complex/compphys/software/geview/data/figures/213347_x_at.png","Figure")</f>
        <v>Figure</v>
      </c>
      <c r="I227">
        <v>0.61299999999999999</v>
      </c>
      <c r="J227">
        <v>4.6000000000000001E-4</v>
      </c>
      <c r="K227">
        <v>1.07</v>
      </c>
      <c r="L227">
        <v>0.73</v>
      </c>
      <c r="M227">
        <v>1.74</v>
      </c>
      <c r="N227" s="2">
        <v>7.7000000000000001E-5</v>
      </c>
    </row>
    <row r="228" spans="1:14" x14ac:dyDescent="0.25">
      <c r="A228" t="s">
        <v>439</v>
      </c>
      <c r="B228" t="s">
        <v>440</v>
      </c>
      <c r="C228" s="1" t="str">
        <f>HYPERLINK("http://www.genecards.org/cgi-bin/carddisp.pl?gene=CCDC69","GeneCards")</f>
        <v>GeneCards</v>
      </c>
      <c r="D228" s="1" t="str">
        <f>HYPERLINK("http://genome-euro.ucsc.edu/cgi-bin/hgTracks?position=212886_at","UCSC")</f>
        <v>UCSC</v>
      </c>
      <c r="E228" s="1" t="str">
        <f>HYPERLINK("http://www.ncbi.nlm.nih.gov/gene/?term=CCDC69","NCBI")</f>
        <v>NCBI</v>
      </c>
      <c r="F228" s="2">
        <v>7.7000000000000001E-5</v>
      </c>
      <c r="G228">
        <v>5.7999999999999996E-3</v>
      </c>
      <c r="H228" s="1" t="str">
        <f>HYPERLINK("http://www.weizmann.ac.il/complex/compphys/software/geview/data/figures/212886_at.png","Figure")</f>
        <v>Figure</v>
      </c>
      <c r="I228">
        <v>1.98</v>
      </c>
      <c r="J228">
        <v>2.9000000000000001E-2</v>
      </c>
      <c r="K228">
        <v>3.77</v>
      </c>
      <c r="L228" s="2">
        <v>5.3000000000000001E-5</v>
      </c>
      <c r="M228">
        <v>1.9</v>
      </c>
      <c r="N228">
        <v>2.9000000000000001E-2</v>
      </c>
    </row>
    <row r="229" spans="1:14" x14ac:dyDescent="0.25">
      <c r="A229" t="s">
        <v>441</v>
      </c>
      <c r="B229" t="s">
        <v>442</v>
      </c>
      <c r="C229" s="1" t="str">
        <f>HYPERLINK("http://www.genecards.org/cgi-bin/carddisp.pl?gene=KIAA1797","GeneCards")</f>
        <v>GeneCards</v>
      </c>
      <c r="D229" s="1" t="str">
        <f>HYPERLINK("http://genome-euro.ucsc.edu/cgi-bin/hgTracks?position=218503_at","UCSC")</f>
        <v>UCSC</v>
      </c>
      <c r="E229" s="1" t="str">
        <f>HYPERLINK("http://www.ncbi.nlm.nih.gov/gene/?term=KIAA1797","NCBI")</f>
        <v>NCBI</v>
      </c>
      <c r="F229" s="2">
        <v>7.7000000000000001E-5</v>
      </c>
      <c r="G229">
        <v>5.7999999999999996E-3</v>
      </c>
      <c r="H229" s="1" t="str">
        <f>HYPERLINK("http://www.weizmann.ac.il/complex/compphys/software/geview/data/figures/218503_at.png","Figure")</f>
        <v>Figure</v>
      </c>
      <c r="I229">
        <v>0.434</v>
      </c>
      <c r="J229" s="2">
        <v>7.1000000000000005E-5</v>
      </c>
      <c r="K229">
        <v>0.80800000000000005</v>
      </c>
      <c r="L229">
        <v>0.19</v>
      </c>
      <c r="M229">
        <v>1.86</v>
      </c>
      <c r="N229">
        <v>5.9999999999999995E-4</v>
      </c>
    </row>
    <row r="230" spans="1:14" x14ac:dyDescent="0.25">
      <c r="A230" t="s">
        <v>443</v>
      </c>
      <c r="B230" t="s">
        <v>444</v>
      </c>
      <c r="C230" s="1" t="str">
        <f>HYPERLINK("http://www.genecards.org/cgi-bin/carddisp.pl?gene=TSPAN9","GeneCards")</f>
        <v>GeneCards</v>
      </c>
      <c r="D230" s="1" t="str">
        <f>HYPERLINK("http://genome-euro.ucsc.edu/cgi-bin/hgTracks?position=220968_s_at","UCSC")</f>
        <v>UCSC</v>
      </c>
      <c r="E230" s="1" t="str">
        <f>HYPERLINK("http://www.ncbi.nlm.nih.gov/gene/?term=TSPAN9","NCBI")</f>
        <v>NCBI</v>
      </c>
      <c r="F230" s="2">
        <v>7.7000000000000001E-5</v>
      </c>
      <c r="G230">
        <v>5.7999999999999996E-3</v>
      </c>
      <c r="H230" s="1" t="str">
        <f>HYPERLINK("http://www.weizmann.ac.il/complex/compphys/software/geview/data/figures/220968_s_at.png","Figure")</f>
        <v>Figure</v>
      </c>
      <c r="I230">
        <v>1.25</v>
      </c>
      <c r="J230">
        <v>2.1000000000000001E-2</v>
      </c>
      <c r="K230">
        <v>0.80900000000000005</v>
      </c>
      <c r="L230">
        <v>1.2999999999999999E-2</v>
      </c>
      <c r="M230">
        <v>0.64500000000000002</v>
      </c>
      <c r="N230" s="2">
        <v>5.8E-5</v>
      </c>
    </row>
    <row r="231" spans="1:14" x14ac:dyDescent="0.25">
      <c r="A231" t="s">
        <v>445</v>
      </c>
      <c r="B231" t="s">
        <v>446</v>
      </c>
      <c r="C231" s="1" t="str">
        <f>HYPERLINK("http://www.genecards.org/cgi-bin/carddisp.pl?gene=RRAGB","GeneCards")</f>
        <v>GeneCards</v>
      </c>
      <c r="D231" s="1" t="str">
        <f>HYPERLINK("http://genome-euro.ucsc.edu/cgi-bin/hgTracks?position=205540_s_at","UCSC")</f>
        <v>UCSC</v>
      </c>
      <c r="E231" s="1" t="str">
        <f>HYPERLINK("http://www.ncbi.nlm.nih.gov/gene/?term=RRAGB","NCBI")</f>
        <v>NCBI</v>
      </c>
      <c r="F231" s="2">
        <v>7.7999999999999999E-5</v>
      </c>
      <c r="G231">
        <v>5.7999999999999996E-3</v>
      </c>
      <c r="H231" s="1" t="str">
        <f>HYPERLINK("http://www.weizmann.ac.il/complex/compphys/software/geview/data/figures/205540_s_at.png","Figure")</f>
        <v>Figure</v>
      </c>
      <c r="I231">
        <v>0.6</v>
      </c>
      <c r="J231">
        <v>2.3000000000000001E-4</v>
      </c>
      <c r="K231">
        <v>1</v>
      </c>
      <c r="L231">
        <v>1</v>
      </c>
      <c r="M231">
        <v>1.67</v>
      </c>
      <c r="N231">
        <v>1.2E-4</v>
      </c>
    </row>
    <row r="232" spans="1:14" x14ac:dyDescent="0.25">
      <c r="A232" t="s">
        <v>447</v>
      </c>
      <c r="B232" t="s">
        <v>448</v>
      </c>
      <c r="C232" s="1" t="str">
        <f>HYPERLINK("http://www.genecards.org/cgi-bin/carddisp.pl?gene=AKAP12","GeneCards")</f>
        <v>GeneCards</v>
      </c>
      <c r="D232" s="1" t="str">
        <f>HYPERLINK("http://genome-euro.ucsc.edu/cgi-bin/hgTracks?position=210517_s_at","UCSC")</f>
        <v>UCSC</v>
      </c>
      <c r="E232" s="1" t="str">
        <f>HYPERLINK("http://www.ncbi.nlm.nih.gov/gene/?term=AKAP12","NCBI")</f>
        <v>NCBI</v>
      </c>
      <c r="F232" s="2">
        <v>8.0000000000000007E-5</v>
      </c>
      <c r="G232">
        <v>5.8999999999999999E-3</v>
      </c>
      <c r="H232" s="1" t="str">
        <f>HYPERLINK("http://www.weizmann.ac.il/complex/compphys/software/geview/data/figures/210517_s_at.png","Figure")</f>
        <v>Figure</v>
      </c>
      <c r="I232">
        <v>5.67</v>
      </c>
      <c r="J232" s="2">
        <v>6.3E-5</v>
      </c>
      <c r="K232">
        <v>1.73</v>
      </c>
      <c r="L232">
        <v>8.5999999999999993E-2</v>
      </c>
      <c r="M232">
        <v>0.30599999999999999</v>
      </c>
      <c r="N232">
        <v>1.1000000000000001E-3</v>
      </c>
    </row>
    <row r="233" spans="1:14" x14ac:dyDescent="0.25">
      <c r="A233" t="s">
        <v>449</v>
      </c>
      <c r="B233" t="s">
        <v>194</v>
      </c>
      <c r="C233" s="1" t="str">
        <f>HYPERLINK("http://www.genecards.org/cgi-bin/carddisp.pl?gene=PDE4B","GeneCards")</f>
        <v>GeneCards</v>
      </c>
      <c r="D233" s="1" t="str">
        <f>HYPERLINK("http://genome-euro.ucsc.edu/cgi-bin/hgTracks?position=203708_at","UCSC")</f>
        <v>UCSC</v>
      </c>
      <c r="E233" s="1" t="str">
        <f>HYPERLINK("http://www.ncbi.nlm.nih.gov/gene/?term=PDE4B","NCBI")</f>
        <v>NCBI</v>
      </c>
      <c r="F233" s="2">
        <v>8.2999999999999998E-5</v>
      </c>
      <c r="G233">
        <v>6.0000000000000001E-3</v>
      </c>
      <c r="H233" s="1" t="str">
        <f>HYPERLINK("http://www.weizmann.ac.il/complex/compphys/software/geview/data/figures/203708_at.png","Figure")</f>
        <v>Figure</v>
      </c>
      <c r="I233">
        <v>0.127</v>
      </c>
      <c r="J233">
        <v>1.3999999999999999E-4</v>
      </c>
      <c r="K233">
        <v>0.20100000000000001</v>
      </c>
      <c r="L233">
        <v>4.0000000000000002E-4</v>
      </c>
      <c r="M233">
        <v>1.59</v>
      </c>
      <c r="N233">
        <v>0.36</v>
      </c>
    </row>
    <row r="234" spans="1:14" x14ac:dyDescent="0.25">
      <c r="A234" t="s">
        <v>450</v>
      </c>
      <c r="B234" t="s">
        <v>451</v>
      </c>
      <c r="C234" s="1" t="str">
        <f>HYPERLINK("http://www.genecards.org/cgi-bin/carddisp.pl?gene=RDH11","GeneCards")</f>
        <v>GeneCards</v>
      </c>
      <c r="D234" s="1" t="str">
        <f>HYPERLINK("http://genome-euro.ucsc.edu/cgi-bin/hgTracks?position=217775_s_at","UCSC")</f>
        <v>UCSC</v>
      </c>
      <c r="E234" s="1" t="str">
        <f>HYPERLINK("http://www.ncbi.nlm.nih.gov/gene/?term=RDH11","NCBI")</f>
        <v>NCBI</v>
      </c>
      <c r="F234" s="2">
        <v>8.2000000000000001E-5</v>
      </c>
      <c r="G234">
        <v>6.0000000000000001E-3</v>
      </c>
      <c r="H234" s="1" t="str">
        <f>HYPERLINK("http://www.weizmann.ac.il/complex/compphys/software/geview/data/figures/217775_s_at.png","Figure")</f>
        <v>Figure</v>
      </c>
      <c r="I234">
        <v>0.53900000000000003</v>
      </c>
      <c r="J234">
        <v>4.6999999999999999E-4</v>
      </c>
      <c r="K234">
        <v>1.08</v>
      </c>
      <c r="L234">
        <v>0.76</v>
      </c>
      <c r="M234">
        <v>2</v>
      </c>
      <c r="N234" s="2">
        <v>8.5000000000000006E-5</v>
      </c>
    </row>
    <row r="235" spans="1:14" x14ac:dyDescent="0.25">
      <c r="A235" t="s">
        <v>452</v>
      </c>
      <c r="B235" t="s">
        <v>453</v>
      </c>
      <c r="C235" s="1" t="str">
        <f>HYPERLINK("http://www.genecards.org/cgi-bin/carddisp.pl?gene=PRDX1","GeneCards")</f>
        <v>GeneCards</v>
      </c>
      <c r="D235" s="1" t="str">
        <f>HYPERLINK("http://genome-euro.ucsc.edu/cgi-bin/hgTracks?position=208680_at","UCSC")</f>
        <v>UCSC</v>
      </c>
      <c r="E235" s="1" t="str">
        <f>HYPERLINK("http://www.ncbi.nlm.nih.gov/gene/?term=PRDX1","NCBI")</f>
        <v>NCBI</v>
      </c>
      <c r="F235" s="2">
        <v>8.5000000000000006E-5</v>
      </c>
      <c r="G235">
        <v>6.1999999999999998E-3</v>
      </c>
      <c r="H235" s="1" t="str">
        <f>HYPERLINK("http://www.weizmann.ac.il/complex/compphys/software/geview/data/figures/208680_at.png","Figure")</f>
        <v>Figure</v>
      </c>
      <c r="I235">
        <v>1.33</v>
      </c>
      <c r="J235">
        <v>0.47</v>
      </c>
      <c r="K235">
        <v>3.54</v>
      </c>
      <c r="L235">
        <v>1.1E-4</v>
      </c>
      <c r="M235">
        <v>2.66</v>
      </c>
      <c r="N235">
        <v>1.9E-3</v>
      </c>
    </row>
    <row r="236" spans="1:14" x14ac:dyDescent="0.25">
      <c r="A236" t="s">
        <v>454</v>
      </c>
      <c r="B236" t="s">
        <v>455</v>
      </c>
      <c r="C236" s="1" t="str">
        <f>HYPERLINK("http://www.genecards.org/cgi-bin/carddisp.pl?gene=CRYZL1","GeneCards")</f>
        <v>GeneCards</v>
      </c>
      <c r="D236" s="1" t="str">
        <f>HYPERLINK("http://genome-euro.ucsc.edu/cgi-bin/hgTracks?position=219767_s_at","UCSC")</f>
        <v>UCSC</v>
      </c>
      <c r="E236" s="1" t="str">
        <f>HYPERLINK("http://www.ncbi.nlm.nih.gov/gene/?term=CRYZL1","NCBI")</f>
        <v>NCBI</v>
      </c>
      <c r="F236" s="2">
        <v>8.5000000000000006E-5</v>
      </c>
      <c r="G236">
        <v>6.1999999999999998E-3</v>
      </c>
      <c r="H236" s="1" t="str">
        <f>HYPERLINK("http://www.weizmann.ac.il/complex/compphys/software/geview/data/figures/219767_s_at.png","Figure")</f>
        <v>Figure</v>
      </c>
      <c r="I236">
        <v>0.39900000000000002</v>
      </c>
      <c r="J236">
        <v>2.7E-4</v>
      </c>
      <c r="K236">
        <v>1.01</v>
      </c>
      <c r="L236">
        <v>1</v>
      </c>
      <c r="M236">
        <v>2.54</v>
      </c>
      <c r="N236">
        <v>1.2E-4</v>
      </c>
    </row>
    <row r="237" spans="1:14" x14ac:dyDescent="0.25">
      <c r="A237" t="s">
        <v>456</v>
      </c>
      <c r="B237" t="s">
        <v>457</v>
      </c>
      <c r="C237" s="1" t="str">
        <f>HYPERLINK("http://www.genecards.org/cgi-bin/carddisp.pl?gene=ATP5C1","GeneCards")</f>
        <v>GeneCards</v>
      </c>
      <c r="D237" s="1" t="str">
        <f>HYPERLINK("http://genome-euro.ucsc.edu/cgi-bin/hgTracks?position=205711_x_at","UCSC")</f>
        <v>UCSC</v>
      </c>
      <c r="E237" s="1" t="str">
        <f>HYPERLINK("http://www.ncbi.nlm.nih.gov/gene/?term=ATP5C1","NCBI")</f>
        <v>NCBI</v>
      </c>
      <c r="F237" s="2">
        <v>8.6000000000000003E-5</v>
      </c>
      <c r="G237">
        <v>6.1999999999999998E-3</v>
      </c>
      <c r="H237" s="1" t="str">
        <f>HYPERLINK("http://www.weizmann.ac.il/complex/compphys/software/geview/data/figures/205711_x_at.png","Figure")</f>
        <v>Figure</v>
      </c>
      <c r="I237">
        <v>0.77100000000000002</v>
      </c>
      <c r="J237">
        <v>9.1999999999999998E-2</v>
      </c>
      <c r="K237">
        <v>1.49</v>
      </c>
      <c r="L237">
        <v>3.7000000000000002E-3</v>
      </c>
      <c r="M237">
        <v>1.93</v>
      </c>
      <c r="N237" s="2">
        <v>8.5000000000000006E-5</v>
      </c>
    </row>
    <row r="238" spans="1:14" x14ac:dyDescent="0.25">
      <c r="A238" t="s">
        <v>458</v>
      </c>
      <c r="B238" t="s">
        <v>459</v>
      </c>
      <c r="C238" s="1" t="str">
        <f>HYPERLINK("http://www.genecards.org/cgi-bin/carddisp.pl?gene=RLBP1","GeneCards")</f>
        <v>GeneCards</v>
      </c>
      <c r="D238" s="1" t="str">
        <f>HYPERLINK("http://genome-euro.ucsc.edu/cgi-bin/hgTracks?position=206154_at","UCSC")</f>
        <v>UCSC</v>
      </c>
      <c r="E238" s="1" t="str">
        <f>HYPERLINK("http://www.ncbi.nlm.nih.gov/gene/?term=RLBP1","NCBI")</f>
        <v>NCBI</v>
      </c>
      <c r="F238" s="2">
        <v>8.6000000000000003E-5</v>
      </c>
      <c r="G238">
        <v>6.1999999999999998E-3</v>
      </c>
      <c r="H238" s="1" t="str">
        <f>HYPERLINK("http://www.weizmann.ac.il/complex/compphys/software/geview/data/figures/206154_at.png","Figure")</f>
        <v>Figure</v>
      </c>
      <c r="I238">
        <v>1.3</v>
      </c>
      <c r="J238" s="2">
        <v>8.2000000000000001E-5</v>
      </c>
      <c r="K238">
        <v>1.19</v>
      </c>
      <c r="L238">
        <v>1.2999999999999999E-3</v>
      </c>
      <c r="M238">
        <v>0.91</v>
      </c>
      <c r="N238">
        <v>7.8E-2</v>
      </c>
    </row>
    <row r="239" spans="1:14" x14ac:dyDescent="0.25">
      <c r="A239" t="s">
        <v>460</v>
      </c>
      <c r="B239" t="s">
        <v>461</v>
      </c>
      <c r="C239" s="1" t="str">
        <f>HYPERLINK("http://www.genecards.org/cgi-bin/carddisp.pl?gene=KDELR2","GeneCards")</f>
        <v>GeneCards</v>
      </c>
      <c r="D239" s="1" t="str">
        <f>HYPERLINK("http://genome-euro.ucsc.edu/cgi-bin/hgTracks?position=200699_at","UCSC")</f>
        <v>UCSC</v>
      </c>
      <c r="E239" s="1" t="str">
        <f>HYPERLINK("http://www.ncbi.nlm.nih.gov/gene/?term=KDELR2","NCBI")</f>
        <v>NCBI</v>
      </c>
      <c r="F239" s="2">
        <v>8.7999999999999998E-5</v>
      </c>
      <c r="G239">
        <v>6.3E-3</v>
      </c>
      <c r="H239" s="1" t="str">
        <f>HYPERLINK("http://www.weizmann.ac.il/complex/compphys/software/geview/data/figures/200699_at.png","Figure")</f>
        <v>Figure</v>
      </c>
      <c r="I239">
        <v>0.59</v>
      </c>
      <c r="J239">
        <v>8.0999999999999996E-4</v>
      </c>
      <c r="K239">
        <v>1.1100000000000001</v>
      </c>
      <c r="L239">
        <v>0.5</v>
      </c>
      <c r="M239">
        <v>1.89</v>
      </c>
      <c r="N239" s="2">
        <v>7.6000000000000004E-5</v>
      </c>
    </row>
    <row r="240" spans="1:14" x14ac:dyDescent="0.25">
      <c r="A240" t="s">
        <v>462</v>
      </c>
      <c r="B240" t="s">
        <v>463</v>
      </c>
      <c r="C240" s="1" t="str">
        <f>HYPERLINK("http://www.genecards.org/cgi-bin/carddisp.pl?gene=MGST2","GeneCards")</f>
        <v>GeneCards</v>
      </c>
      <c r="D240" s="1" t="str">
        <f>HYPERLINK("http://genome-euro.ucsc.edu/cgi-bin/hgTracks?position=204168_at","UCSC")</f>
        <v>UCSC</v>
      </c>
      <c r="E240" s="1" t="str">
        <f>HYPERLINK("http://www.ncbi.nlm.nih.gov/gene/?term=MGST2","NCBI")</f>
        <v>NCBI</v>
      </c>
      <c r="F240" s="2">
        <v>8.8999999999999995E-5</v>
      </c>
      <c r="G240">
        <v>6.3E-3</v>
      </c>
      <c r="H240" s="1" t="str">
        <f>HYPERLINK("http://www.weizmann.ac.il/complex/compphys/software/geview/data/figures/204168_at.png","Figure")</f>
        <v>Figure</v>
      </c>
      <c r="I240">
        <v>0.754</v>
      </c>
      <c r="J240">
        <v>0.04</v>
      </c>
      <c r="K240">
        <v>1.38</v>
      </c>
      <c r="L240">
        <v>8.3999999999999995E-3</v>
      </c>
      <c r="M240">
        <v>1.83</v>
      </c>
      <c r="N240" s="2">
        <v>7.2000000000000002E-5</v>
      </c>
    </row>
    <row r="241" spans="1:14" x14ac:dyDescent="0.25">
      <c r="A241" t="s">
        <v>464</v>
      </c>
      <c r="B241" t="s">
        <v>465</v>
      </c>
      <c r="C241" s="1" t="str">
        <f>HYPERLINK("http://www.genecards.org/cgi-bin/carddisp.pl?gene=GLG1","GeneCards")</f>
        <v>GeneCards</v>
      </c>
      <c r="D241" s="1" t="str">
        <f>HYPERLINK("http://genome-euro.ucsc.edu/cgi-bin/hgTracks?position=212045_at","UCSC")</f>
        <v>UCSC</v>
      </c>
      <c r="E241" s="1" t="str">
        <f>HYPERLINK("http://www.ncbi.nlm.nih.gov/gene/?term=GLG1","NCBI")</f>
        <v>NCBI</v>
      </c>
      <c r="F241" s="2">
        <v>8.8999999999999995E-5</v>
      </c>
      <c r="G241">
        <v>6.3E-3</v>
      </c>
      <c r="H241" s="1" t="str">
        <f>HYPERLINK("http://www.weizmann.ac.il/complex/compphys/software/geview/data/figures/212045_at.png","Figure")</f>
        <v>Figure</v>
      </c>
      <c r="I241">
        <v>1.1299999999999999</v>
      </c>
      <c r="J241">
        <v>0.28000000000000003</v>
      </c>
      <c r="K241">
        <v>0.73099999999999998</v>
      </c>
      <c r="L241">
        <v>1.4E-3</v>
      </c>
      <c r="M241">
        <v>0.64500000000000002</v>
      </c>
      <c r="N241">
        <v>1.2999999999999999E-4</v>
      </c>
    </row>
    <row r="242" spans="1:14" x14ac:dyDescent="0.25">
      <c r="A242" t="s">
        <v>466</v>
      </c>
      <c r="B242" t="s">
        <v>467</v>
      </c>
      <c r="C242" s="1" t="str">
        <f>HYPERLINK("http://www.genecards.org/cgi-bin/carddisp.pl?gene=CSH1 /// CSH2 /// CSHL1 /// GH1 /// GH2","GeneCards")</f>
        <v>GeneCards</v>
      </c>
      <c r="D242" s="1" t="str">
        <f>HYPERLINK("http://genome-euro.ucsc.edu/cgi-bin/hgTracks?position=208068_x_at","UCSC")</f>
        <v>UCSC</v>
      </c>
      <c r="E242" s="1" t="str">
        <f>HYPERLINK("http://www.ncbi.nlm.nih.gov/gene/?term=CSH1 /// CSH2 /// CSHL1 /// GH1 /// GH2","NCBI")</f>
        <v>NCBI</v>
      </c>
      <c r="F242" s="2">
        <v>8.8999999999999995E-5</v>
      </c>
      <c r="G242">
        <v>6.3E-3</v>
      </c>
      <c r="H242" s="1" t="str">
        <f>HYPERLINK("http://www.weizmann.ac.il/complex/compphys/software/geview/data/figures/208068_x_at.png","Figure")</f>
        <v>Figure</v>
      </c>
      <c r="I242">
        <v>1.74</v>
      </c>
      <c r="J242">
        <v>1.2E-4</v>
      </c>
      <c r="K242">
        <v>1.5</v>
      </c>
      <c r="L242">
        <v>6.0999999999999997E-4</v>
      </c>
      <c r="M242">
        <v>0.86099999999999999</v>
      </c>
      <c r="N242">
        <v>0.23</v>
      </c>
    </row>
    <row r="243" spans="1:14" x14ac:dyDescent="0.25">
      <c r="A243" t="s">
        <v>468</v>
      </c>
      <c r="B243" t="s">
        <v>469</v>
      </c>
      <c r="C243" s="1" t="str">
        <f>HYPERLINK("http://www.genecards.org/cgi-bin/carddisp.pl?gene=DNAJB9","GeneCards")</f>
        <v>GeneCards</v>
      </c>
      <c r="D243" s="1" t="str">
        <f>HYPERLINK("http://genome-euro.ucsc.edu/cgi-bin/hgTracks?position=202842_s_at","UCSC")</f>
        <v>UCSC</v>
      </c>
      <c r="E243" s="1" t="str">
        <f>HYPERLINK("http://www.ncbi.nlm.nih.gov/gene/?term=DNAJB9","NCBI")</f>
        <v>NCBI</v>
      </c>
      <c r="F243" s="2">
        <v>9.0000000000000006E-5</v>
      </c>
      <c r="G243">
        <v>6.3E-3</v>
      </c>
      <c r="H243" s="1" t="str">
        <f>HYPERLINK("http://www.weizmann.ac.il/complex/compphys/software/geview/data/figures/202842_s_at.png","Figure")</f>
        <v>Figure</v>
      </c>
      <c r="I243">
        <v>0.55500000000000005</v>
      </c>
      <c r="J243">
        <v>6.3E-2</v>
      </c>
      <c r="K243">
        <v>0.27100000000000002</v>
      </c>
      <c r="L243" s="2">
        <v>6.6000000000000005E-5</v>
      </c>
      <c r="M243">
        <v>0.48799999999999999</v>
      </c>
      <c r="N243">
        <v>1.6E-2</v>
      </c>
    </row>
    <row r="244" spans="1:14" x14ac:dyDescent="0.25">
      <c r="A244" t="s">
        <v>470</v>
      </c>
      <c r="B244" t="s">
        <v>471</v>
      </c>
      <c r="C244" s="1" t="str">
        <f>HYPERLINK("http://www.genecards.org/cgi-bin/carddisp.pl?gene=CPNE3","GeneCards")</f>
        <v>GeneCards</v>
      </c>
      <c r="D244" s="1" t="str">
        <f>HYPERLINK("http://genome-euro.ucsc.edu/cgi-bin/hgTracks?position=202119_s_at","UCSC")</f>
        <v>UCSC</v>
      </c>
      <c r="E244" s="1" t="str">
        <f>HYPERLINK("http://www.ncbi.nlm.nih.gov/gene/?term=CPNE3","NCBI")</f>
        <v>NCBI</v>
      </c>
      <c r="F244" s="2">
        <v>9.2E-5</v>
      </c>
      <c r="G244">
        <v>6.4999999999999997E-3</v>
      </c>
      <c r="H244" s="1" t="str">
        <f>HYPERLINK("http://www.weizmann.ac.il/complex/compphys/software/geview/data/figures/202119_s_at.png","Figure")</f>
        <v>Figure</v>
      </c>
      <c r="I244">
        <v>0.50900000000000001</v>
      </c>
      <c r="J244">
        <v>2.5999999999999998E-4</v>
      </c>
      <c r="K244">
        <v>0.998</v>
      </c>
      <c r="L244">
        <v>1</v>
      </c>
      <c r="M244">
        <v>1.96</v>
      </c>
      <c r="N244">
        <v>1.3999999999999999E-4</v>
      </c>
    </row>
    <row r="245" spans="1:14" x14ac:dyDescent="0.25">
      <c r="A245" t="s">
        <v>472</v>
      </c>
      <c r="B245" t="s">
        <v>473</v>
      </c>
      <c r="C245" s="1" t="str">
        <f>HYPERLINK("http://www.genecards.org/cgi-bin/carddisp.pl?gene=PET112L","GeneCards")</f>
        <v>GeneCards</v>
      </c>
      <c r="D245" s="1" t="str">
        <f>HYPERLINK("http://genome-euro.ucsc.edu/cgi-bin/hgTracks?position=204300_at","UCSC")</f>
        <v>UCSC</v>
      </c>
      <c r="E245" s="1" t="str">
        <f>HYPERLINK("http://www.ncbi.nlm.nih.gov/gene/?term=PET112L","NCBI")</f>
        <v>NCBI</v>
      </c>
      <c r="F245" s="2">
        <v>9.5000000000000005E-5</v>
      </c>
      <c r="G245">
        <v>6.7000000000000002E-3</v>
      </c>
      <c r="H245" s="1" t="str">
        <f>HYPERLINK("http://www.weizmann.ac.il/complex/compphys/software/geview/data/figures/204300_at.png","Figure")</f>
        <v>Figure</v>
      </c>
      <c r="I245">
        <v>0.63600000000000001</v>
      </c>
      <c r="J245">
        <v>1.1000000000000001E-3</v>
      </c>
      <c r="K245">
        <v>1.1200000000000001</v>
      </c>
      <c r="L245">
        <v>0.4</v>
      </c>
      <c r="M245">
        <v>1.76</v>
      </c>
      <c r="N245" s="2">
        <v>7.7000000000000001E-5</v>
      </c>
    </row>
    <row r="246" spans="1:14" x14ac:dyDescent="0.25">
      <c r="A246" t="s">
        <v>474</v>
      </c>
      <c r="B246" t="s">
        <v>475</v>
      </c>
      <c r="C246" s="1" t="str">
        <f>HYPERLINK("http://www.genecards.org/cgi-bin/carddisp.pl?gene=PDGFRB","GeneCards")</f>
        <v>GeneCards</v>
      </c>
      <c r="D246" s="1" t="str">
        <f>HYPERLINK("http://genome-euro.ucsc.edu/cgi-bin/hgTracks?position=202273_at","UCSC")</f>
        <v>UCSC</v>
      </c>
      <c r="E246" s="1" t="str">
        <f>HYPERLINK("http://www.ncbi.nlm.nih.gov/gene/?term=PDGFRB","NCBI")</f>
        <v>NCBI</v>
      </c>
      <c r="F246" s="2">
        <v>9.6000000000000002E-5</v>
      </c>
      <c r="G246">
        <v>6.7000000000000002E-3</v>
      </c>
      <c r="H246" s="1" t="str">
        <f>HYPERLINK("http://www.weizmann.ac.il/complex/compphys/software/geview/data/figures/202273_at.png","Figure")</f>
        <v>Figure</v>
      </c>
      <c r="I246">
        <v>1.48</v>
      </c>
      <c r="J246" s="2">
        <v>6.4999999999999994E-5</v>
      </c>
      <c r="K246">
        <v>1.18</v>
      </c>
      <c r="L246">
        <v>2.3E-2</v>
      </c>
      <c r="M246">
        <v>0.79600000000000004</v>
      </c>
      <c r="N246">
        <v>4.1000000000000003E-3</v>
      </c>
    </row>
    <row r="247" spans="1:14" x14ac:dyDescent="0.25">
      <c r="A247" t="s">
        <v>476</v>
      </c>
      <c r="B247" t="s">
        <v>477</v>
      </c>
      <c r="C247" s="1" t="str">
        <f>HYPERLINK("http://www.genecards.org/cgi-bin/carddisp.pl?gene=LYST","GeneCards")</f>
        <v>GeneCards</v>
      </c>
      <c r="D247" s="1" t="str">
        <f>HYPERLINK("http://genome-euro.ucsc.edu/cgi-bin/hgTracks?position=203518_at","UCSC")</f>
        <v>UCSC</v>
      </c>
      <c r="E247" s="1" t="str">
        <f>HYPERLINK("http://www.ncbi.nlm.nih.gov/gene/?term=LYST","NCBI")</f>
        <v>NCBI</v>
      </c>
      <c r="F247" s="2">
        <v>9.7E-5</v>
      </c>
      <c r="G247">
        <v>6.7000000000000002E-3</v>
      </c>
      <c r="H247" s="1" t="str">
        <f>HYPERLINK("http://www.weizmann.ac.il/complex/compphys/software/geview/data/figures/203518_at.png","Figure")</f>
        <v>Figure</v>
      </c>
      <c r="I247">
        <v>0.27</v>
      </c>
      <c r="J247">
        <v>3.8999999999999999E-4</v>
      </c>
      <c r="K247">
        <v>1.08</v>
      </c>
      <c r="L247">
        <v>0.93</v>
      </c>
      <c r="M247">
        <v>4.01</v>
      </c>
      <c r="N247">
        <v>1.2E-4</v>
      </c>
    </row>
    <row r="248" spans="1:14" x14ac:dyDescent="0.25">
      <c r="A248" t="s">
        <v>478</v>
      </c>
      <c r="B248" t="s">
        <v>479</v>
      </c>
      <c r="C248" s="1" t="str">
        <f>HYPERLINK("http://www.genecards.org/cgi-bin/carddisp.pl?gene=TXNIP","GeneCards")</f>
        <v>GeneCards</v>
      </c>
      <c r="D248" s="1" t="str">
        <f>HYPERLINK("http://genome-euro.ucsc.edu/cgi-bin/hgTracks?position=201009_s_at","UCSC")</f>
        <v>UCSC</v>
      </c>
      <c r="E248" s="1" t="str">
        <f>HYPERLINK("http://www.ncbi.nlm.nih.gov/gene/?term=TXNIP","NCBI")</f>
        <v>NCBI</v>
      </c>
      <c r="F248" s="2">
        <v>9.8999999999999994E-5</v>
      </c>
      <c r="G248">
        <v>6.7999999999999996E-3</v>
      </c>
      <c r="H248" s="1" t="str">
        <f>HYPERLINK("http://www.weizmann.ac.il/complex/compphys/software/geview/data/figures/201009_s_at.png","Figure")</f>
        <v>Figure</v>
      </c>
      <c r="I248">
        <v>0.93</v>
      </c>
      <c r="J248">
        <v>0.95</v>
      </c>
      <c r="K248">
        <v>0.307</v>
      </c>
      <c r="L248">
        <v>2.2000000000000001E-4</v>
      </c>
      <c r="M248">
        <v>0.33</v>
      </c>
      <c r="N248">
        <v>7.2999999999999996E-4</v>
      </c>
    </row>
    <row r="249" spans="1:14" x14ac:dyDescent="0.25">
      <c r="A249" t="s">
        <v>480</v>
      </c>
      <c r="B249" t="s">
        <v>481</v>
      </c>
      <c r="C249" s="1" t="str">
        <f>HYPERLINK("http://www.genecards.org/cgi-bin/carddisp.pl?gene=CSF3R","GeneCards")</f>
        <v>GeneCards</v>
      </c>
      <c r="D249" s="1" t="str">
        <f>HYPERLINK("http://genome-euro.ucsc.edu/cgi-bin/hgTracks?position=203591_s_at","UCSC")</f>
        <v>UCSC</v>
      </c>
      <c r="E249" s="1" t="str">
        <f>HYPERLINK("http://www.ncbi.nlm.nih.gov/gene/?term=CSF3R","NCBI")</f>
        <v>NCBI</v>
      </c>
      <c r="F249" s="2">
        <v>9.7999999999999997E-5</v>
      </c>
      <c r="G249">
        <v>6.7999999999999996E-3</v>
      </c>
      <c r="H249" s="1" t="str">
        <f>HYPERLINK("http://www.weizmann.ac.il/complex/compphys/software/geview/data/figures/203591_s_at.png","Figure")</f>
        <v>Figure</v>
      </c>
      <c r="I249">
        <v>0.25900000000000001</v>
      </c>
      <c r="J249" s="2">
        <v>6.9999999999999994E-5</v>
      </c>
      <c r="K249">
        <v>0.60599999999999998</v>
      </c>
      <c r="L249">
        <v>4.4999999999999998E-2</v>
      </c>
      <c r="M249">
        <v>2.34</v>
      </c>
      <c r="N249">
        <v>2.3999999999999998E-3</v>
      </c>
    </row>
    <row r="250" spans="1:14" x14ac:dyDescent="0.25">
      <c r="A250" t="s">
        <v>482</v>
      </c>
      <c r="B250" t="s">
        <v>483</v>
      </c>
      <c r="C250" s="1" t="str">
        <f>HYPERLINK("http://www.genecards.org/cgi-bin/carddisp.pl?gene=FUSIP1","GeneCards")</f>
        <v>GeneCards</v>
      </c>
      <c r="D250" s="1" t="str">
        <f>HYPERLINK("http://genome-euro.ucsc.edu/cgi-bin/hgTracks?position=204299_at","UCSC")</f>
        <v>UCSC</v>
      </c>
      <c r="E250" s="1" t="str">
        <f>HYPERLINK("http://www.ncbi.nlm.nih.gov/gene/?term=FUSIP1","NCBI")</f>
        <v>NCBI</v>
      </c>
      <c r="F250" s="2">
        <v>9.8999999999999994E-5</v>
      </c>
      <c r="G250">
        <v>6.7999999999999996E-3</v>
      </c>
      <c r="H250" s="1" t="str">
        <f>HYPERLINK("http://www.weizmann.ac.il/complex/compphys/software/geview/data/figures/204299_at.png","Figure")</f>
        <v>Figure</v>
      </c>
      <c r="I250">
        <v>0.58399999999999996</v>
      </c>
      <c r="J250">
        <v>2.7E-2</v>
      </c>
      <c r="K250">
        <v>0.36399999999999999</v>
      </c>
      <c r="L250" s="2">
        <v>6.7999999999999999E-5</v>
      </c>
      <c r="M250">
        <v>0.624</v>
      </c>
      <c r="N250">
        <v>3.9E-2</v>
      </c>
    </row>
    <row r="251" spans="1:14" x14ac:dyDescent="0.25">
      <c r="A251" t="s">
        <v>484</v>
      </c>
      <c r="B251" t="s">
        <v>485</v>
      </c>
      <c r="C251" s="1" t="str">
        <f>HYPERLINK("http://www.genecards.org/cgi-bin/carddisp.pl?gene=RICS","GeneCards")</f>
        <v>GeneCards</v>
      </c>
      <c r="D251" s="1" t="str">
        <f>HYPERLINK("http://genome-euro.ucsc.edu/cgi-bin/hgTracks?position=203431_s_at","UCSC")</f>
        <v>UCSC</v>
      </c>
      <c r="E251" s="1" t="str">
        <f>HYPERLINK("http://www.ncbi.nlm.nih.gov/gene/?term=RICS","NCBI")</f>
        <v>NCBI</v>
      </c>
      <c r="F251">
        <v>1E-4</v>
      </c>
      <c r="G251">
        <v>6.8999999999999999E-3</v>
      </c>
      <c r="H251" s="1" t="str">
        <f>HYPERLINK("http://www.weizmann.ac.il/complex/compphys/software/geview/data/figures/203431_s_at.png","Figure")</f>
        <v>Figure</v>
      </c>
      <c r="I251">
        <v>1.25</v>
      </c>
      <c r="J251">
        <v>0.65</v>
      </c>
      <c r="K251">
        <v>0.33900000000000002</v>
      </c>
      <c r="L251">
        <v>7.1000000000000002E-4</v>
      </c>
      <c r="M251">
        <v>0.27100000000000002</v>
      </c>
      <c r="N251">
        <v>2.4000000000000001E-4</v>
      </c>
    </row>
    <row r="252" spans="1:14" x14ac:dyDescent="0.25">
      <c r="A252" t="s">
        <v>486</v>
      </c>
      <c r="B252" t="s">
        <v>487</v>
      </c>
      <c r="C252" s="1" t="str">
        <f>HYPERLINK("http://www.genecards.org/cgi-bin/carddisp.pl?gene=LILRB2","GeneCards")</f>
        <v>GeneCards</v>
      </c>
      <c r="D252" s="1" t="str">
        <f>HYPERLINK("http://genome-euro.ucsc.edu/cgi-bin/hgTracks?position=210146_x_at","UCSC")</f>
        <v>UCSC</v>
      </c>
      <c r="E252" s="1" t="str">
        <f>HYPERLINK("http://www.ncbi.nlm.nih.gov/gene/?term=LILRB2","NCBI")</f>
        <v>NCBI</v>
      </c>
      <c r="F252">
        <v>1E-4</v>
      </c>
      <c r="G252">
        <v>7.0000000000000001E-3</v>
      </c>
      <c r="H252" s="1" t="str">
        <f>HYPERLINK("http://www.weizmann.ac.il/complex/compphys/software/geview/data/figures/210146_x_at.png","Figure")</f>
        <v>Figure</v>
      </c>
      <c r="I252">
        <v>0.41899999999999998</v>
      </c>
      <c r="J252">
        <v>2.5999999999999998E-4</v>
      </c>
      <c r="K252">
        <v>0.97899999999999998</v>
      </c>
      <c r="L252">
        <v>0.99</v>
      </c>
      <c r="M252">
        <v>2.34</v>
      </c>
      <c r="N252">
        <v>1.7000000000000001E-4</v>
      </c>
    </row>
    <row r="253" spans="1:14" x14ac:dyDescent="0.25">
      <c r="A253" t="s">
        <v>488</v>
      </c>
      <c r="B253" t="s">
        <v>237</v>
      </c>
      <c r="C253" s="1" t="str">
        <f>HYPERLINK("http://www.genecards.org/cgi-bin/carddisp.pl?gene=MAPK13","GeneCards")</f>
        <v>GeneCards</v>
      </c>
      <c r="D253" s="1" t="str">
        <f>HYPERLINK("http://genome-euro.ucsc.edu/cgi-bin/hgTracks?position=210058_at","UCSC")</f>
        <v>UCSC</v>
      </c>
      <c r="E253" s="1" t="str">
        <f>HYPERLINK("http://www.ncbi.nlm.nih.gov/gene/?term=MAPK13","NCBI")</f>
        <v>NCBI</v>
      </c>
      <c r="F253">
        <v>1E-4</v>
      </c>
      <c r="G253">
        <v>7.0000000000000001E-3</v>
      </c>
      <c r="H253" s="1" t="str">
        <f>HYPERLINK("http://www.weizmann.ac.il/complex/compphys/software/geview/data/figures/210058_at.png","Figure")</f>
        <v>Figure</v>
      </c>
      <c r="I253">
        <v>1.25</v>
      </c>
      <c r="J253">
        <v>1.7999999999999999E-2</v>
      </c>
      <c r="K253">
        <v>0.82899999999999996</v>
      </c>
      <c r="L253">
        <v>2.1000000000000001E-2</v>
      </c>
      <c r="M253">
        <v>0.66600000000000004</v>
      </c>
      <c r="N253" s="2">
        <v>7.4999999999999993E-5</v>
      </c>
    </row>
    <row r="254" spans="1:14" x14ac:dyDescent="0.25">
      <c r="A254" t="s">
        <v>489</v>
      </c>
      <c r="B254" t="s">
        <v>490</v>
      </c>
      <c r="C254" s="1" t="str">
        <f>HYPERLINK("http://www.genecards.org/cgi-bin/carddisp.pl?gene=ADARB1","GeneCards")</f>
        <v>GeneCards</v>
      </c>
      <c r="D254" s="1" t="str">
        <f>HYPERLINK("http://genome-euro.ucsc.edu/cgi-bin/hgTracks?position=203865_s_at","UCSC")</f>
        <v>UCSC</v>
      </c>
      <c r="E254" s="1" t="str">
        <f>HYPERLINK("http://www.ncbi.nlm.nih.gov/gene/?term=ADARB1","NCBI")</f>
        <v>NCBI</v>
      </c>
      <c r="F254">
        <v>1E-4</v>
      </c>
      <c r="G254">
        <v>7.0000000000000001E-3</v>
      </c>
      <c r="H254" s="1" t="str">
        <f>HYPERLINK("http://www.weizmann.ac.il/complex/compphys/software/geview/data/figures/203865_s_at.png","Figure")</f>
        <v>Figure</v>
      </c>
      <c r="I254">
        <v>6.96</v>
      </c>
      <c r="J254">
        <v>8.9999999999999998E-4</v>
      </c>
      <c r="K254">
        <v>8.2100000000000009</v>
      </c>
      <c r="L254">
        <v>1.2E-4</v>
      </c>
      <c r="M254">
        <v>1.18</v>
      </c>
      <c r="N254">
        <v>0.9</v>
      </c>
    </row>
    <row r="255" spans="1:14" x14ac:dyDescent="0.25">
      <c r="A255" t="s">
        <v>491</v>
      </c>
      <c r="B255" t="s">
        <v>492</v>
      </c>
      <c r="C255" s="1" t="str">
        <f>HYPERLINK("http://www.genecards.org/cgi-bin/carddisp.pl?gene=FADS1","GeneCards")</f>
        <v>GeneCards</v>
      </c>
      <c r="D255" s="1" t="str">
        <f>HYPERLINK("http://genome-euro.ucsc.edu/cgi-bin/hgTracks?position=208964_s_at","UCSC")</f>
        <v>UCSC</v>
      </c>
      <c r="E255" s="1" t="str">
        <f>HYPERLINK("http://www.ncbi.nlm.nih.gov/gene/?term=FADS1","NCBI")</f>
        <v>NCBI</v>
      </c>
      <c r="F255">
        <v>1E-4</v>
      </c>
      <c r="G255">
        <v>7.0000000000000001E-3</v>
      </c>
      <c r="H255" s="1" t="str">
        <f>HYPERLINK("http://www.weizmann.ac.il/complex/compphys/software/geview/data/figures/208964_s_at.png","Figure")</f>
        <v>Figure</v>
      </c>
      <c r="I255">
        <v>1.47</v>
      </c>
      <c r="J255">
        <v>2.9999999999999997E-4</v>
      </c>
      <c r="K255">
        <v>1.41</v>
      </c>
      <c r="L255">
        <v>2.5000000000000001E-4</v>
      </c>
      <c r="M255">
        <v>0.95799999999999996</v>
      </c>
      <c r="N255">
        <v>0.8</v>
      </c>
    </row>
    <row r="256" spans="1:14" x14ac:dyDescent="0.25">
      <c r="A256" t="s">
        <v>493</v>
      </c>
      <c r="B256" t="s">
        <v>494</v>
      </c>
      <c r="C256" s="1" t="str">
        <f>HYPERLINK("http://www.genecards.org/cgi-bin/carddisp.pl?gene=HBXIP","GeneCards")</f>
        <v>GeneCards</v>
      </c>
      <c r="D256" s="1" t="str">
        <f>HYPERLINK("http://genome-euro.ucsc.edu/cgi-bin/hgTracks?position=202299_s_at","UCSC")</f>
        <v>UCSC</v>
      </c>
      <c r="E256" s="1" t="str">
        <f>HYPERLINK("http://www.ncbi.nlm.nih.gov/gene/?term=HBXIP","NCBI")</f>
        <v>NCBI</v>
      </c>
      <c r="F256">
        <v>1.1E-4</v>
      </c>
      <c r="G256">
        <v>7.1000000000000004E-3</v>
      </c>
      <c r="H256" s="1" t="str">
        <f>HYPERLINK("http://www.weizmann.ac.il/complex/compphys/software/geview/data/figures/202299_s_at.png","Figure")</f>
        <v>Figure</v>
      </c>
      <c r="I256">
        <v>0.89300000000000002</v>
      </c>
      <c r="J256">
        <v>0.42</v>
      </c>
      <c r="K256">
        <v>0.63200000000000001</v>
      </c>
      <c r="L256">
        <v>1.2E-4</v>
      </c>
      <c r="M256">
        <v>0.70899999999999996</v>
      </c>
      <c r="N256">
        <v>2.7000000000000001E-3</v>
      </c>
    </row>
    <row r="257" spans="1:14" x14ac:dyDescent="0.25">
      <c r="A257" t="s">
        <v>495</v>
      </c>
      <c r="B257" t="s">
        <v>496</v>
      </c>
      <c r="C257" s="1" t="str">
        <f>HYPERLINK("http://www.genecards.org/cgi-bin/carddisp.pl?gene=HEATR1","GeneCards")</f>
        <v>GeneCards</v>
      </c>
      <c r="D257" s="1" t="str">
        <f>HYPERLINK("http://genome-euro.ucsc.edu/cgi-bin/hgTracks?position=218594_at","UCSC")</f>
        <v>UCSC</v>
      </c>
      <c r="E257" s="1" t="str">
        <f>HYPERLINK("http://www.ncbi.nlm.nih.gov/gene/?term=HEATR1","NCBI")</f>
        <v>NCBI</v>
      </c>
      <c r="F257">
        <v>1.1E-4</v>
      </c>
      <c r="G257">
        <v>7.1000000000000004E-3</v>
      </c>
      <c r="H257" s="1" t="str">
        <f>HYPERLINK("http://www.weizmann.ac.il/complex/compphys/software/geview/data/figures/218594_at.png","Figure")</f>
        <v>Figure</v>
      </c>
      <c r="I257">
        <v>1.88</v>
      </c>
      <c r="J257">
        <v>1.8000000000000001E-4</v>
      </c>
      <c r="K257">
        <v>1.64</v>
      </c>
      <c r="L257">
        <v>4.8000000000000001E-4</v>
      </c>
      <c r="M257">
        <v>0.874</v>
      </c>
      <c r="N257">
        <v>0.41</v>
      </c>
    </row>
    <row r="258" spans="1:14" x14ac:dyDescent="0.25">
      <c r="A258" t="s">
        <v>497</v>
      </c>
      <c r="B258" t="s">
        <v>498</v>
      </c>
      <c r="C258" s="1" t="str">
        <f>HYPERLINK("http://www.genecards.org/cgi-bin/carddisp.pl?gene=ETS2","GeneCards")</f>
        <v>GeneCards</v>
      </c>
      <c r="D258" s="1" t="str">
        <f>HYPERLINK("http://genome-euro.ucsc.edu/cgi-bin/hgTracks?position=201329_s_at","UCSC")</f>
        <v>UCSC</v>
      </c>
      <c r="E258" s="1" t="str">
        <f>HYPERLINK("http://www.ncbi.nlm.nih.gov/gene/?term=ETS2","NCBI")</f>
        <v>NCBI</v>
      </c>
      <c r="F258">
        <v>1.1E-4</v>
      </c>
      <c r="G258">
        <v>7.3000000000000001E-3</v>
      </c>
      <c r="H258" s="1" t="str">
        <f>HYPERLINK("http://www.weizmann.ac.il/complex/compphys/software/geview/data/figures/201329_s_at.png","Figure")</f>
        <v>Figure</v>
      </c>
      <c r="I258">
        <v>0.32100000000000001</v>
      </c>
      <c r="J258">
        <v>1.2999999999999999E-3</v>
      </c>
      <c r="K258">
        <v>0.27400000000000002</v>
      </c>
      <c r="L258">
        <v>1.2E-4</v>
      </c>
      <c r="M258">
        <v>0.85299999999999998</v>
      </c>
      <c r="N258">
        <v>0.77</v>
      </c>
    </row>
    <row r="259" spans="1:14" x14ac:dyDescent="0.25">
      <c r="A259" t="s">
        <v>499</v>
      </c>
      <c r="B259" t="s">
        <v>500</v>
      </c>
      <c r="C259" s="1" t="str">
        <f>HYPERLINK("http://www.genecards.org/cgi-bin/carddisp.pl?gene=ITM2A","GeneCards")</f>
        <v>GeneCards</v>
      </c>
      <c r="D259" s="1" t="str">
        <f>HYPERLINK("http://genome-euro.ucsc.edu/cgi-bin/hgTracks?position=202747_s_at","UCSC")</f>
        <v>UCSC</v>
      </c>
      <c r="E259" s="1" t="str">
        <f>HYPERLINK("http://www.ncbi.nlm.nih.gov/gene/?term=ITM2A","NCBI")</f>
        <v>NCBI</v>
      </c>
      <c r="F259">
        <v>1.1E-4</v>
      </c>
      <c r="G259">
        <v>7.3000000000000001E-3</v>
      </c>
      <c r="H259" s="1" t="str">
        <f>HYPERLINK("http://www.weizmann.ac.il/complex/compphys/software/geview/data/figures/202747_s_at.png","Figure")</f>
        <v>Figure</v>
      </c>
      <c r="I259">
        <v>1.39</v>
      </c>
      <c r="J259">
        <v>0.14000000000000001</v>
      </c>
      <c r="K259">
        <v>0.56499999999999995</v>
      </c>
      <c r="L259">
        <v>3.3999999999999998E-3</v>
      </c>
      <c r="M259">
        <v>0.40799999999999997</v>
      </c>
      <c r="N259">
        <v>1.2E-4</v>
      </c>
    </row>
    <row r="260" spans="1:14" x14ac:dyDescent="0.25">
      <c r="A260" t="s">
        <v>501</v>
      </c>
      <c r="B260" t="s">
        <v>502</v>
      </c>
      <c r="C260" s="1" t="str">
        <f>HYPERLINK("http://www.genecards.org/cgi-bin/carddisp.pl?gene=SCHIP1","GeneCards")</f>
        <v>GeneCards</v>
      </c>
      <c r="D260" s="1" t="str">
        <f>HYPERLINK("http://genome-euro.ucsc.edu/cgi-bin/hgTracks?position=204030_s_at","UCSC")</f>
        <v>UCSC</v>
      </c>
      <c r="E260" s="1" t="str">
        <f>HYPERLINK("http://www.ncbi.nlm.nih.gov/gene/?term=SCHIP1","NCBI")</f>
        <v>NCBI</v>
      </c>
      <c r="F260">
        <v>1.1E-4</v>
      </c>
      <c r="G260">
        <v>7.3000000000000001E-3</v>
      </c>
      <c r="H260" s="1" t="str">
        <f>HYPERLINK("http://www.weizmann.ac.il/complex/compphys/software/geview/data/figures/204030_s_at.png","Figure")</f>
        <v>Figure</v>
      </c>
      <c r="I260">
        <v>0.161</v>
      </c>
      <c r="J260">
        <v>2.0000000000000001E-4</v>
      </c>
      <c r="K260">
        <v>0.23100000000000001</v>
      </c>
      <c r="L260">
        <v>4.4999999999999999E-4</v>
      </c>
      <c r="M260">
        <v>1.44</v>
      </c>
      <c r="N260">
        <v>0.47</v>
      </c>
    </row>
    <row r="261" spans="1:14" x14ac:dyDescent="0.25">
      <c r="A261" t="s">
        <v>503</v>
      </c>
      <c r="B261" t="s">
        <v>504</v>
      </c>
      <c r="C261" s="1" t="str">
        <f>HYPERLINK("http://www.genecards.org/cgi-bin/carddisp.pl?gene=FLNB","GeneCards")</f>
        <v>GeneCards</v>
      </c>
      <c r="D261" s="1" t="str">
        <f>HYPERLINK("http://genome-euro.ucsc.edu/cgi-bin/hgTracks?position=208614_s_at","UCSC")</f>
        <v>UCSC</v>
      </c>
      <c r="E261" s="1" t="str">
        <f>HYPERLINK("http://www.ncbi.nlm.nih.gov/gene/?term=FLNB","NCBI")</f>
        <v>NCBI</v>
      </c>
      <c r="F261">
        <v>1.1E-4</v>
      </c>
      <c r="G261">
        <v>7.3000000000000001E-3</v>
      </c>
      <c r="H261" s="1" t="str">
        <f>HYPERLINK("http://www.weizmann.ac.il/complex/compphys/software/geview/data/figures/208614_s_at.png","Figure")</f>
        <v>Figure</v>
      </c>
      <c r="I261">
        <v>0.432</v>
      </c>
      <c r="J261">
        <v>1.3999999999999999E-4</v>
      </c>
      <c r="K261">
        <v>0.86499999999999999</v>
      </c>
      <c r="L261">
        <v>0.49</v>
      </c>
      <c r="M261">
        <v>2</v>
      </c>
      <c r="N261">
        <v>4.2999999999999999E-4</v>
      </c>
    </row>
    <row r="262" spans="1:14" x14ac:dyDescent="0.25">
      <c r="A262" t="s">
        <v>505</v>
      </c>
      <c r="B262" t="s">
        <v>506</v>
      </c>
      <c r="C262" s="1" t="str">
        <f>HYPERLINK("http://www.genecards.org/cgi-bin/carddisp.pl?gene=CREBL2","GeneCards")</f>
        <v>GeneCards</v>
      </c>
      <c r="D262" s="1" t="str">
        <f>HYPERLINK("http://genome-euro.ucsc.edu/cgi-bin/hgTracks?position=201989_s_at","UCSC")</f>
        <v>UCSC</v>
      </c>
      <c r="E262" s="1" t="str">
        <f>HYPERLINK("http://www.ncbi.nlm.nih.gov/gene/?term=CREBL2","NCBI")</f>
        <v>NCBI</v>
      </c>
      <c r="F262">
        <v>1.1E-4</v>
      </c>
      <c r="G262">
        <v>7.4000000000000003E-3</v>
      </c>
      <c r="H262" s="1" t="str">
        <f>HYPERLINK("http://www.weizmann.ac.il/complex/compphys/software/geview/data/figures/201989_s_at.png","Figure")</f>
        <v>Figure</v>
      </c>
      <c r="I262">
        <v>0.71</v>
      </c>
      <c r="J262">
        <v>3.1E-2</v>
      </c>
      <c r="K262">
        <v>1.41</v>
      </c>
      <c r="L262">
        <v>1.4E-2</v>
      </c>
      <c r="M262">
        <v>1.98</v>
      </c>
      <c r="N262" s="2">
        <v>8.7999999999999998E-5</v>
      </c>
    </row>
    <row r="263" spans="1:14" x14ac:dyDescent="0.25">
      <c r="A263" t="s">
        <v>507</v>
      </c>
      <c r="B263" t="s">
        <v>508</v>
      </c>
      <c r="C263" s="1" t="str">
        <f>HYPERLINK("http://www.genecards.org/cgi-bin/carddisp.pl?gene=UTY","GeneCards")</f>
        <v>GeneCards</v>
      </c>
      <c r="D263" s="1" t="str">
        <f>HYPERLINK("http://genome-euro.ucsc.edu/cgi-bin/hgTracks?position=210322_x_at","UCSC")</f>
        <v>UCSC</v>
      </c>
      <c r="E263" s="1" t="str">
        <f>HYPERLINK("http://www.ncbi.nlm.nih.gov/gene/?term=UTY","NCBI")</f>
        <v>NCBI</v>
      </c>
      <c r="F263">
        <v>1.1E-4</v>
      </c>
      <c r="G263">
        <v>7.4000000000000003E-3</v>
      </c>
      <c r="H263" s="1" t="str">
        <f>HYPERLINK("http://www.weizmann.ac.il/complex/compphys/software/geview/data/figures/210322_x_at.png","Figure")</f>
        <v>Figure</v>
      </c>
      <c r="I263">
        <v>1.4</v>
      </c>
      <c r="J263">
        <v>1.2999999999999999E-2</v>
      </c>
      <c r="K263">
        <v>0.77900000000000003</v>
      </c>
      <c r="L263">
        <v>3.3000000000000002E-2</v>
      </c>
      <c r="M263">
        <v>0.55800000000000005</v>
      </c>
      <c r="N263" s="2">
        <v>8.0000000000000007E-5</v>
      </c>
    </row>
    <row r="264" spans="1:14" x14ac:dyDescent="0.25">
      <c r="A264" t="s">
        <v>509</v>
      </c>
      <c r="B264" t="s">
        <v>510</v>
      </c>
      <c r="C264" s="1" t="str">
        <f>HYPERLINK("http://www.genecards.org/cgi-bin/carddisp.pl?gene=RPP40","GeneCards")</f>
        <v>GeneCards</v>
      </c>
      <c r="D264" s="1" t="str">
        <f>HYPERLINK("http://genome-euro.ucsc.edu/cgi-bin/hgTracks?position=213427_at","UCSC")</f>
        <v>UCSC</v>
      </c>
      <c r="E264" s="1" t="str">
        <f>HYPERLINK("http://www.ncbi.nlm.nih.gov/gene/?term=RPP40","NCBI")</f>
        <v>NCBI</v>
      </c>
      <c r="F264">
        <v>1.1E-4</v>
      </c>
      <c r="G264">
        <v>7.4000000000000003E-3</v>
      </c>
      <c r="H264" s="1" t="str">
        <f>HYPERLINK("http://www.weizmann.ac.il/complex/compphys/software/geview/data/figures/213427_at.png","Figure")</f>
        <v>Figure</v>
      </c>
      <c r="I264">
        <v>0.621</v>
      </c>
      <c r="J264">
        <v>2.5000000000000001E-2</v>
      </c>
      <c r="K264">
        <v>1.56</v>
      </c>
      <c r="L264">
        <v>1.7999999999999999E-2</v>
      </c>
      <c r="M264">
        <v>2.5099999999999998</v>
      </c>
      <c r="N264" s="2">
        <v>8.5000000000000006E-5</v>
      </c>
    </row>
    <row r="265" spans="1:14" x14ac:dyDescent="0.25">
      <c r="A265" t="s">
        <v>511</v>
      </c>
      <c r="B265" t="s">
        <v>512</v>
      </c>
      <c r="C265" s="1" t="str">
        <f>HYPERLINK("http://www.genecards.org/cgi-bin/carddisp.pl?gene=PDLIM2","GeneCards")</f>
        <v>GeneCards</v>
      </c>
      <c r="D265" s="1" t="str">
        <f>HYPERLINK("http://genome-euro.ucsc.edu/cgi-bin/hgTracks?position=219165_at","UCSC")</f>
        <v>UCSC</v>
      </c>
      <c r="E265" s="1" t="str">
        <f>HYPERLINK("http://www.ncbi.nlm.nih.gov/gene/?term=PDLIM2","NCBI")</f>
        <v>NCBI</v>
      </c>
      <c r="F265">
        <v>1.2E-4</v>
      </c>
      <c r="G265">
        <v>7.4000000000000003E-3</v>
      </c>
      <c r="H265" s="1" t="str">
        <f>HYPERLINK("http://www.weizmann.ac.il/complex/compphys/software/geview/data/figures/219165_at.png","Figure")</f>
        <v>Figure</v>
      </c>
      <c r="I265">
        <v>0.48499999999999999</v>
      </c>
      <c r="J265" s="2">
        <v>8.2000000000000001E-5</v>
      </c>
      <c r="K265">
        <v>0.68799999999999994</v>
      </c>
      <c r="L265">
        <v>6.8999999999999999E-3</v>
      </c>
      <c r="M265">
        <v>1.42</v>
      </c>
      <c r="N265">
        <v>1.7000000000000001E-2</v>
      </c>
    </row>
    <row r="266" spans="1:14" x14ac:dyDescent="0.25">
      <c r="A266" t="s">
        <v>513</v>
      </c>
      <c r="B266" t="s">
        <v>514</v>
      </c>
      <c r="C266" s="1" t="str">
        <f>HYPERLINK("http://www.genecards.org/cgi-bin/carddisp.pl?gene=NQO2","GeneCards")</f>
        <v>GeneCards</v>
      </c>
      <c r="D266" s="1" t="str">
        <f>HYPERLINK("http://genome-euro.ucsc.edu/cgi-bin/hgTracks?position=203814_s_at","UCSC")</f>
        <v>UCSC</v>
      </c>
      <c r="E266" s="1" t="str">
        <f>HYPERLINK("http://www.ncbi.nlm.nih.gov/gene/?term=NQO2","NCBI")</f>
        <v>NCBI</v>
      </c>
      <c r="F266">
        <v>1.2E-4</v>
      </c>
      <c r="G266">
        <v>7.4999999999999997E-3</v>
      </c>
      <c r="H266" s="1" t="str">
        <f>HYPERLINK("http://www.weizmann.ac.il/complex/compphys/software/geview/data/figures/203814_s_at.png","Figure")</f>
        <v>Figure</v>
      </c>
      <c r="I266">
        <v>0.85699999999999998</v>
      </c>
      <c r="J266">
        <v>2.7E-4</v>
      </c>
      <c r="K266">
        <v>0.99399999999999999</v>
      </c>
      <c r="L266">
        <v>0.96</v>
      </c>
      <c r="M266">
        <v>1.1599999999999999</v>
      </c>
      <c r="N266">
        <v>2.1000000000000001E-4</v>
      </c>
    </row>
    <row r="267" spans="1:14" x14ac:dyDescent="0.25">
      <c r="A267" t="s">
        <v>515</v>
      </c>
      <c r="B267" t="s">
        <v>130</v>
      </c>
      <c r="C267" s="1" t="str">
        <f>HYPERLINK("http://www.genecards.org/cgi-bin/carddisp.pl?gene=C14orf147","GeneCards")</f>
        <v>GeneCards</v>
      </c>
      <c r="D267" s="1" t="str">
        <f>HYPERLINK("http://genome-euro.ucsc.edu/cgi-bin/hgTracks?position=213508_at","UCSC")</f>
        <v>UCSC</v>
      </c>
      <c r="E267" s="1" t="str">
        <f>HYPERLINK("http://www.ncbi.nlm.nih.gov/gene/?term=C14orf147","NCBI")</f>
        <v>NCBI</v>
      </c>
      <c r="F267">
        <v>1.2E-4</v>
      </c>
      <c r="G267">
        <v>7.4999999999999997E-3</v>
      </c>
      <c r="H267" s="1" t="str">
        <f>HYPERLINK("http://www.weizmann.ac.il/complex/compphys/software/geview/data/figures/213508_at.png","Figure")</f>
        <v>Figure</v>
      </c>
      <c r="I267">
        <v>0.58099999999999996</v>
      </c>
      <c r="J267">
        <v>1E-3</v>
      </c>
      <c r="K267">
        <v>1.1200000000000001</v>
      </c>
      <c r="L267">
        <v>0.53</v>
      </c>
      <c r="M267">
        <v>1.92</v>
      </c>
      <c r="N267">
        <v>1E-4</v>
      </c>
    </row>
    <row r="268" spans="1:14" x14ac:dyDescent="0.25">
      <c r="A268" t="s">
        <v>516</v>
      </c>
      <c r="B268" t="s">
        <v>517</v>
      </c>
      <c r="C268" s="1" t="str">
        <f>HYPERLINK("http://www.genecards.org/cgi-bin/carddisp.pl?gene=POU4F1","GeneCards")</f>
        <v>GeneCards</v>
      </c>
      <c r="D268" s="1" t="str">
        <f>HYPERLINK("http://genome-euro.ucsc.edu/cgi-bin/hgTracks?position=211341_at","UCSC")</f>
        <v>UCSC</v>
      </c>
      <c r="E268" s="1" t="str">
        <f>HYPERLINK("http://www.ncbi.nlm.nih.gov/gene/?term=POU4F1","NCBI")</f>
        <v>NCBI</v>
      </c>
      <c r="F268">
        <v>1.2E-4</v>
      </c>
      <c r="G268">
        <v>7.4999999999999997E-3</v>
      </c>
      <c r="H268" s="1" t="str">
        <f>HYPERLINK("http://www.weizmann.ac.il/complex/compphys/software/geview/data/figures/211341_at.png","Figure")</f>
        <v>Figure</v>
      </c>
      <c r="I268">
        <v>8.5199999999999998E-2</v>
      </c>
      <c r="J268">
        <v>4.6999999999999999E-4</v>
      </c>
      <c r="K268">
        <v>9.5899999999999999E-2</v>
      </c>
      <c r="L268">
        <v>2.1000000000000001E-4</v>
      </c>
      <c r="M268">
        <v>1.1299999999999999</v>
      </c>
      <c r="N268">
        <v>0.96</v>
      </c>
    </row>
    <row r="269" spans="1:14" x14ac:dyDescent="0.25">
      <c r="A269" t="s">
        <v>518</v>
      </c>
      <c r="B269" t="s">
        <v>519</v>
      </c>
      <c r="C269" s="1" t="str">
        <f>HYPERLINK("http://www.genecards.org/cgi-bin/carddisp.pl?gene=AMIGO2","GeneCards")</f>
        <v>GeneCards</v>
      </c>
      <c r="D269" s="1" t="str">
        <f>HYPERLINK("http://genome-euro.ucsc.edu/cgi-bin/hgTracks?position=222108_at","UCSC")</f>
        <v>UCSC</v>
      </c>
      <c r="E269" s="1" t="str">
        <f>HYPERLINK("http://www.ncbi.nlm.nih.gov/gene/?term=AMIGO2","NCBI")</f>
        <v>NCBI</v>
      </c>
      <c r="F269">
        <v>1.2E-4</v>
      </c>
      <c r="G269">
        <v>7.6E-3</v>
      </c>
      <c r="H269" s="1" t="str">
        <f>HYPERLINK("http://www.weizmann.ac.il/complex/compphys/software/geview/data/figures/222108_at.png","Figure")</f>
        <v>Figure</v>
      </c>
      <c r="I269">
        <v>0.91700000000000004</v>
      </c>
      <c r="J269">
        <v>0.87</v>
      </c>
      <c r="K269">
        <v>0.433</v>
      </c>
      <c r="L269">
        <v>2.3000000000000001E-4</v>
      </c>
      <c r="M269">
        <v>0.47199999999999998</v>
      </c>
      <c r="N269">
        <v>1.1000000000000001E-3</v>
      </c>
    </row>
    <row r="270" spans="1:14" x14ac:dyDescent="0.25">
      <c r="A270" t="s">
        <v>520</v>
      </c>
      <c r="B270" t="s">
        <v>521</v>
      </c>
      <c r="C270" s="1" t="str">
        <f>HYPERLINK("http://www.genecards.org/cgi-bin/carddisp.pl?gene=GPX1","GeneCards")</f>
        <v>GeneCards</v>
      </c>
      <c r="D270" s="1" t="str">
        <f>HYPERLINK("http://genome-euro.ucsc.edu/cgi-bin/hgTracks?position=200736_s_at","UCSC")</f>
        <v>UCSC</v>
      </c>
      <c r="E270" s="1" t="str">
        <f>HYPERLINK("http://www.ncbi.nlm.nih.gov/gene/?term=GPX1","NCBI")</f>
        <v>NCBI</v>
      </c>
      <c r="F270">
        <v>1.2E-4</v>
      </c>
      <c r="G270">
        <v>7.6E-3</v>
      </c>
      <c r="H270" s="1" t="str">
        <f>HYPERLINK("http://www.weizmann.ac.il/complex/compphys/software/geview/data/figures/200736_s_at.png","Figure")</f>
        <v>Figure</v>
      </c>
      <c r="I270">
        <v>0.23499999999999999</v>
      </c>
      <c r="J270">
        <v>1.4999999999999999E-4</v>
      </c>
      <c r="K270">
        <v>0.78800000000000003</v>
      </c>
      <c r="L270">
        <v>0.53</v>
      </c>
      <c r="M270">
        <v>3.36</v>
      </c>
      <c r="N270">
        <v>4.2999999999999999E-4</v>
      </c>
    </row>
    <row r="271" spans="1:14" x14ac:dyDescent="0.25">
      <c r="A271" t="s">
        <v>522</v>
      </c>
      <c r="B271" t="s">
        <v>523</v>
      </c>
      <c r="C271" s="1" t="str">
        <f>HYPERLINK("http://www.genecards.org/cgi-bin/carddisp.pl?gene=LOC92249","GeneCards")</f>
        <v>GeneCards</v>
      </c>
      <c r="D271" s="1" t="str">
        <f>HYPERLINK("http://genome-euro.ucsc.edu/cgi-bin/hgTracks?position=216838_at","UCSC")</f>
        <v>UCSC</v>
      </c>
      <c r="E271" s="1" t="str">
        <f>HYPERLINK("http://www.ncbi.nlm.nih.gov/gene/?term=LOC92249","NCBI")</f>
        <v>NCBI</v>
      </c>
      <c r="F271">
        <v>1.2E-4</v>
      </c>
      <c r="G271">
        <v>7.7000000000000002E-3</v>
      </c>
      <c r="H271" s="1" t="str">
        <f>HYPERLINK("http://www.weizmann.ac.il/complex/compphys/software/geview/data/figures/216838_at.png","Figure")</f>
        <v>Figure</v>
      </c>
      <c r="I271">
        <v>1.21</v>
      </c>
      <c r="J271">
        <v>3.5000000000000001E-3</v>
      </c>
      <c r="K271">
        <v>0.92</v>
      </c>
      <c r="L271">
        <v>0.15</v>
      </c>
      <c r="M271">
        <v>0.75800000000000001</v>
      </c>
      <c r="N271" s="2">
        <v>8.5000000000000006E-5</v>
      </c>
    </row>
    <row r="272" spans="1:14" x14ac:dyDescent="0.25">
      <c r="A272" t="s">
        <v>524</v>
      </c>
      <c r="B272" t="s">
        <v>364</v>
      </c>
      <c r="C272" s="1" t="str">
        <f>HYPERLINK("http://www.genecards.org/cgi-bin/carddisp.pl?gene=BMP2K","GeneCards")</f>
        <v>GeneCards</v>
      </c>
      <c r="D272" s="1" t="str">
        <f>HYPERLINK("http://genome-euro.ucsc.edu/cgi-bin/hgTracks?position=219546_at","UCSC")</f>
        <v>UCSC</v>
      </c>
      <c r="E272" s="1" t="str">
        <f>HYPERLINK("http://www.ncbi.nlm.nih.gov/gene/?term=BMP2K","NCBI")</f>
        <v>NCBI</v>
      </c>
      <c r="F272">
        <v>1.2E-4</v>
      </c>
      <c r="G272">
        <v>7.7000000000000002E-3</v>
      </c>
      <c r="H272" s="1" t="str">
        <f>HYPERLINK("http://www.weizmann.ac.il/complex/compphys/software/geview/data/figures/219546_at.png","Figure")</f>
        <v>Figure</v>
      </c>
      <c r="I272">
        <v>0.32</v>
      </c>
      <c r="J272" s="2">
        <v>8.3999999999999995E-5</v>
      </c>
      <c r="K272">
        <v>0.57699999999999996</v>
      </c>
      <c r="L272">
        <v>1.0999999999999999E-2</v>
      </c>
      <c r="M272">
        <v>1.8</v>
      </c>
      <c r="N272">
        <v>1.0999999999999999E-2</v>
      </c>
    </row>
    <row r="273" spans="1:14" x14ac:dyDescent="0.25">
      <c r="A273" t="s">
        <v>525</v>
      </c>
      <c r="B273" t="s">
        <v>526</v>
      </c>
      <c r="C273" s="1" t="str">
        <f>HYPERLINK("http://www.genecards.org/cgi-bin/carddisp.pl?gene=C10orf119","GeneCards")</f>
        <v>GeneCards</v>
      </c>
      <c r="D273" s="1" t="str">
        <f>HYPERLINK("http://genome-euro.ucsc.edu/cgi-bin/hgTracks?position=217905_at","UCSC")</f>
        <v>UCSC</v>
      </c>
      <c r="E273" s="1" t="str">
        <f>HYPERLINK("http://www.ncbi.nlm.nih.gov/gene/?term=C10orf119","NCBI")</f>
        <v>NCBI</v>
      </c>
      <c r="F273">
        <v>1.2E-4</v>
      </c>
      <c r="G273">
        <v>7.7000000000000002E-3</v>
      </c>
      <c r="H273" s="1" t="str">
        <f>HYPERLINK("http://www.weizmann.ac.il/complex/compphys/software/geview/data/figures/217905_at.png","Figure")</f>
        <v>Figure</v>
      </c>
      <c r="I273">
        <v>0.52200000000000002</v>
      </c>
      <c r="J273">
        <v>1.1000000000000001E-3</v>
      </c>
      <c r="K273">
        <v>1.1499999999999999</v>
      </c>
      <c r="L273">
        <v>0.5</v>
      </c>
      <c r="M273">
        <v>2.2000000000000002</v>
      </c>
      <c r="N273">
        <v>1E-4</v>
      </c>
    </row>
    <row r="274" spans="1:14" x14ac:dyDescent="0.25">
      <c r="A274" t="s">
        <v>527</v>
      </c>
      <c r="B274" t="s">
        <v>528</v>
      </c>
      <c r="C274" s="1" t="str">
        <f>HYPERLINK("http://www.genecards.org/cgi-bin/carddisp.pl?gene=ACAT1","GeneCards")</f>
        <v>GeneCards</v>
      </c>
      <c r="D274" s="1" t="str">
        <f>HYPERLINK("http://genome-euro.ucsc.edu/cgi-bin/hgTracks?position=205412_at","UCSC")</f>
        <v>UCSC</v>
      </c>
      <c r="E274" s="1" t="str">
        <f>HYPERLINK("http://www.ncbi.nlm.nih.gov/gene/?term=ACAT1","NCBI")</f>
        <v>NCBI</v>
      </c>
      <c r="F274">
        <v>1.2E-4</v>
      </c>
      <c r="G274">
        <v>7.7000000000000002E-3</v>
      </c>
      <c r="H274" s="1" t="str">
        <f>HYPERLINK("http://www.weizmann.ac.il/complex/compphys/software/geview/data/figures/205412_at.png","Figure")</f>
        <v>Figure</v>
      </c>
      <c r="I274">
        <v>0.63900000000000001</v>
      </c>
      <c r="J274">
        <v>2.9000000000000001E-2</v>
      </c>
      <c r="K274">
        <v>1.54</v>
      </c>
      <c r="L274">
        <v>1.6E-2</v>
      </c>
      <c r="M274">
        <v>2.41</v>
      </c>
      <c r="N274" s="2">
        <v>9.3999999999999994E-5</v>
      </c>
    </row>
    <row r="275" spans="1:14" x14ac:dyDescent="0.25">
      <c r="A275" t="s">
        <v>529</v>
      </c>
      <c r="B275" t="s">
        <v>530</v>
      </c>
      <c r="C275" s="1" t="str">
        <f>HYPERLINK("http://www.genecards.org/cgi-bin/carddisp.pl?gene=DECR1","GeneCards")</f>
        <v>GeneCards</v>
      </c>
      <c r="D275" s="1" t="str">
        <f>HYPERLINK("http://genome-euro.ucsc.edu/cgi-bin/hgTracks?position=202447_at","UCSC")</f>
        <v>UCSC</v>
      </c>
      <c r="E275" s="1" t="str">
        <f>HYPERLINK("http://www.ncbi.nlm.nih.gov/gene/?term=DECR1","NCBI")</f>
        <v>NCBI</v>
      </c>
      <c r="F275">
        <v>1.2999999999999999E-4</v>
      </c>
      <c r="G275">
        <v>7.9000000000000008E-3</v>
      </c>
      <c r="H275" s="1" t="str">
        <f>HYPERLINK("http://www.weizmann.ac.il/complex/compphys/software/geview/data/figures/202447_at.png","Figure")</f>
        <v>Figure</v>
      </c>
      <c r="I275">
        <v>1.1200000000000001</v>
      </c>
      <c r="J275">
        <v>0.79</v>
      </c>
      <c r="K275">
        <v>2.34</v>
      </c>
      <c r="L275">
        <v>2.2000000000000001E-4</v>
      </c>
      <c r="M275">
        <v>2.09</v>
      </c>
      <c r="N275">
        <v>1.4E-3</v>
      </c>
    </row>
    <row r="276" spans="1:14" x14ac:dyDescent="0.25">
      <c r="A276" t="s">
        <v>531</v>
      </c>
      <c r="B276" t="s">
        <v>532</v>
      </c>
      <c r="C276" s="1" t="str">
        <f>HYPERLINK("http://www.genecards.org/cgi-bin/carddisp.pl?gene=IMPA2","GeneCards")</f>
        <v>GeneCards</v>
      </c>
      <c r="D276" s="1" t="str">
        <f>HYPERLINK("http://genome-euro.ucsc.edu/cgi-bin/hgTracks?position=203126_at","UCSC")</f>
        <v>UCSC</v>
      </c>
      <c r="E276" s="1" t="str">
        <f>HYPERLINK("http://www.ncbi.nlm.nih.gov/gene/?term=IMPA2","NCBI")</f>
        <v>NCBI</v>
      </c>
      <c r="F276">
        <v>1.2999999999999999E-4</v>
      </c>
      <c r="G276">
        <v>7.9000000000000008E-3</v>
      </c>
      <c r="H276" s="1" t="str">
        <f>HYPERLINK("http://www.weizmann.ac.il/complex/compphys/software/geview/data/figures/203126_at.png","Figure")</f>
        <v>Figure</v>
      </c>
      <c r="I276">
        <v>0.82199999999999995</v>
      </c>
      <c r="J276">
        <v>0.28999999999999998</v>
      </c>
      <c r="K276">
        <v>1.61</v>
      </c>
      <c r="L276">
        <v>2E-3</v>
      </c>
      <c r="M276">
        <v>1.96</v>
      </c>
      <c r="N276">
        <v>1.8000000000000001E-4</v>
      </c>
    </row>
    <row r="277" spans="1:14" x14ac:dyDescent="0.25">
      <c r="A277" t="s">
        <v>533</v>
      </c>
      <c r="B277" t="s">
        <v>534</v>
      </c>
      <c r="C277" s="1" t="str">
        <f>HYPERLINK("http://www.genecards.org/cgi-bin/carddisp.pl?gene=RRS1","GeneCards")</f>
        <v>GeneCards</v>
      </c>
      <c r="D277" s="1" t="str">
        <f>HYPERLINK("http://genome-euro.ucsc.edu/cgi-bin/hgTracks?position=209567_at","UCSC")</f>
        <v>UCSC</v>
      </c>
      <c r="E277" s="1" t="str">
        <f>HYPERLINK("http://www.ncbi.nlm.nih.gov/gene/?term=RRS1","NCBI")</f>
        <v>NCBI</v>
      </c>
      <c r="F277">
        <v>1.2999999999999999E-4</v>
      </c>
      <c r="G277">
        <v>7.9000000000000008E-3</v>
      </c>
      <c r="H277" s="1" t="str">
        <f>HYPERLINK("http://www.weizmann.ac.il/complex/compphys/software/geview/data/figures/209567_at.png","Figure")</f>
        <v>Figure</v>
      </c>
      <c r="I277">
        <v>1.31</v>
      </c>
      <c r="J277">
        <v>1.6999999999999999E-3</v>
      </c>
      <c r="K277">
        <v>1.37</v>
      </c>
      <c r="L277">
        <v>1.2999999999999999E-4</v>
      </c>
      <c r="M277">
        <v>1.05</v>
      </c>
      <c r="N277">
        <v>0.72</v>
      </c>
    </row>
    <row r="278" spans="1:14" x14ac:dyDescent="0.25">
      <c r="A278" t="s">
        <v>535</v>
      </c>
      <c r="B278" t="s">
        <v>536</v>
      </c>
      <c r="C278" s="1" t="str">
        <f>HYPERLINK("http://www.genecards.org/cgi-bin/carddisp.pl?gene=CDC2L2","GeneCards")</f>
        <v>GeneCards</v>
      </c>
      <c r="D278" s="1" t="str">
        <f>HYPERLINK("http://genome-euro.ucsc.edu/cgi-bin/hgTracks?position=212401_s_at","UCSC")</f>
        <v>UCSC</v>
      </c>
      <c r="E278" s="1" t="str">
        <f>HYPERLINK("http://www.ncbi.nlm.nih.gov/gene/?term=CDC2L2","NCBI")</f>
        <v>NCBI</v>
      </c>
      <c r="F278">
        <v>1.2999999999999999E-4</v>
      </c>
      <c r="G278">
        <v>7.9000000000000008E-3</v>
      </c>
      <c r="H278" s="1" t="str">
        <f>HYPERLINK("http://www.weizmann.ac.il/complex/compphys/software/geview/data/figures/212401_s_at.png","Figure")</f>
        <v>Figure</v>
      </c>
      <c r="I278">
        <v>1.49</v>
      </c>
      <c r="J278">
        <v>4.2999999999999997E-2</v>
      </c>
      <c r="K278">
        <v>0.64700000000000002</v>
      </c>
      <c r="L278">
        <v>1.2E-2</v>
      </c>
      <c r="M278">
        <v>0.435</v>
      </c>
      <c r="N278">
        <v>1E-4</v>
      </c>
    </row>
    <row r="279" spans="1:14" x14ac:dyDescent="0.25">
      <c r="A279" t="s">
        <v>537</v>
      </c>
      <c r="B279" t="s">
        <v>538</v>
      </c>
      <c r="C279" s="1" t="str">
        <f>HYPERLINK("http://www.genecards.org/cgi-bin/carddisp.pl?gene=HLA-DRB1 /// HLA-DRB4","GeneCards")</f>
        <v>GeneCards</v>
      </c>
      <c r="D279" s="1" t="str">
        <f>HYPERLINK("http://genome-euro.ucsc.edu/cgi-bin/hgTracks?position=204670_x_at","UCSC")</f>
        <v>UCSC</v>
      </c>
      <c r="E279" s="1" t="str">
        <f>HYPERLINK("http://www.ncbi.nlm.nih.gov/gene/?term=HLA-DRB1 /// HLA-DRB4","NCBI")</f>
        <v>NCBI</v>
      </c>
      <c r="F279">
        <v>1.2999999999999999E-4</v>
      </c>
      <c r="G279">
        <v>8.0999999999999996E-3</v>
      </c>
      <c r="H279" s="1" t="str">
        <f>HYPERLINK("http://www.weizmann.ac.il/complex/compphys/software/geview/data/figures/204670_x_at.png","Figure")</f>
        <v>Figure</v>
      </c>
      <c r="I279">
        <v>0.75800000000000001</v>
      </c>
      <c r="J279">
        <v>0.35</v>
      </c>
      <c r="K279">
        <v>0.36799999999999999</v>
      </c>
      <c r="L279">
        <v>1.3999999999999999E-4</v>
      </c>
      <c r="M279">
        <v>0.48499999999999999</v>
      </c>
      <c r="N279">
        <v>4.1000000000000003E-3</v>
      </c>
    </row>
    <row r="280" spans="1:14" x14ac:dyDescent="0.25">
      <c r="A280" t="s">
        <v>539</v>
      </c>
      <c r="B280" t="s">
        <v>540</v>
      </c>
      <c r="C280" s="1" t="str">
        <f>HYPERLINK("http://www.genecards.org/cgi-bin/carddisp.pl?gene=TMCO1","GeneCards")</f>
        <v>GeneCards</v>
      </c>
      <c r="D280" s="1" t="str">
        <f>HYPERLINK("http://genome-euro.ucsc.edu/cgi-bin/hgTracks?position=208716_s_at","UCSC")</f>
        <v>UCSC</v>
      </c>
      <c r="E280" s="1" t="str">
        <f>HYPERLINK("http://www.ncbi.nlm.nih.gov/gene/?term=TMCO1","NCBI")</f>
        <v>NCBI</v>
      </c>
      <c r="F280">
        <v>1.3999999999999999E-4</v>
      </c>
      <c r="G280">
        <v>8.2000000000000007E-3</v>
      </c>
      <c r="H280" s="1" t="str">
        <f>HYPERLINK("http://www.weizmann.ac.il/complex/compphys/software/geview/data/figures/208716_s_at.png","Figure")</f>
        <v>Figure</v>
      </c>
      <c r="I280">
        <v>2</v>
      </c>
      <c r="J280">
        <v>6.3E-3</v>
      </c>
      <c r="K280">
        <v>2.69</v>
      </c>
      <c r="L280" s="2">
        <v>9.8999999999999994E-5</v>
      </c>
      <c r="M280">
        <v>1.34</v>
      </c>
      <c r="N280">
        <v>0.24</v>
      </c>
    </row>
    <row r="281" spans="1:14" x14ac:dyDescent="0.25">
      <c r="A281" t="s">
        <v>541</v>
      </c>
      <c r="B281" t="s">
        <v>233</v>
      </c>
      <c r="C281" s="1" t="str">
        <f>HYPERLINK("http://www.genecards.org/cgi-bin/carddisp.pl?gene=FADS3","GeneCards")</f>
        <v>GeneCards</v>
      </c>
      <c r="D281" s="1" t="str">
        <f>HYPERLINK("http://genome-euro.ucsc.edu/cgi-bin/hgTracks?position=216080_s_at","UCSC")</f>
        <v>UCSC</v>
      </c>
      <c r="E281" s="1" t="str">
        <f>HYPERLINK("http://www.ncbi.nlm.nih.gov/gene/?term=FADS3","NCBI")</f>
        <v>NCBI</v>
      </c>
      <c r="F281">
        <v>1.3999999999999999E-4</v>
      </c>
      <c r="G281">
        <v>8.2000000000000007E-3</v>
      </c>
      <c r="H281" s="1" t="str">
        <f>HYPERLINK("http://www.weizmann.ac.il/complex/compphys/software/geview/data/figures/216080_s_at.png","Figure")</f>
        <v>Figure</v>
      </c>
      <c r="I281">
        <v>2.71</v>
      </c>
      <c r="J281">
        <v>1.9000000000000001E-4</v>
      </c>
      <c r="K281">
        <v>1.1499999999999999</v>
      </c>
      <c r="L281">
        <v>0.65</v>
      </c>
      <c r="M281">
        <v>0.42299999999999999</v>
      </c>
      <c r="N281">
        <v>4.0999999999999999E-4</v>
      </c>
    </row>
    <row r="282" spans="1:14" x14ac:dyDescent="0.25">
      <c r="A282" t="s">
        <v>542</v>
      </c>
      <c r="B282" t="s">
        <v>543</v>
      </c>
      <c r="C282" s="1" t="str">
        <f>HYPERLINK("http://www.genecards.org/cgi-bin/carddisp.pl?gene=WDR91","GeneCards")</f>
        <v>GeneCards</v>
      </c>
      <c r="D282" s="1" t="str">
        <f>HYPERLINK("http://genome-euro.ucsc.edu/cgi-bin/hgTracks?position=218971_s_at","UCSC")</f>
        <v>UCSC</v>
      </c>
      <c r="E282" s="1" t="str">
        <f>HYPERLINK("http://www.ncbi.nlm.nih.gov/gene/?term=WDR91","NCBI")</f>
        <v>NCBI</v>
      </c>
      <c r="F282">
        <v>1.3999999999999999E-4</v>
      </c>
      <c r="G282">
        <v>8.2000000000000007E-3</v>
      </c>
      <c r="H282" s="1" t="str">
        <f>HYPERLINK("http://www.weizmann.ac.il/complex/compphys/software/geview/data/figures/218971_s_at.png","Figure")</f>
        <v>Figure</v>
      </c>
      <c r="I282">
        <v>1.21</v>
      </c>
      <c r="J282">
        <v>0.36</v>
      </c>
      <c r="K282">
        <v>0.59299999999999997</v>
      </c>
      <c r="L282">
        <v>1.8E-3</v>
      </c>
      <c r="M282">
        <v>0.49</v>
      </c>
      <c r="N282">
        <v>2.1000000000000001E-4</v>
      </c>
    </row>
    <row r="283" spans="1:14" x14ac:dyDescent="0.25">
      <c r="A283" t="s">
        <v>544</v>
      </c>
      <c r="B283" t="s">
        <v>380</v>
      </c>
      <c r="C283" s="1" t="str">
        <f>HYPERLINK("http://www.genecards.org/cgi-bin/carddisp.pl?gene=ELF1","GeneCards")</f>
        <v>GeneCards</v>
      </c>
      <c r="D283" s="1" t="str">
        <f>HYPERLINK("http://genome-euro.ucsc.edu/cgi-bin/hgTracks?position=212420_at","UCSC")</f>
        <v>UCSC</v>
      </c>
      <c r="E283" s="1" t="str">
        <f>HYPERLINK("http://www.ncbi.nlm.nih.gov/gene/?term=ELF1","NCBI")</f>
        <v>NCBI</v>
      </c>
      <c r="F283">
        <v>1.3999999999999999E-4</v>
      </c>
      <c r="G283">
        <v>8.3000000000000001E-3</v>
      </c>
      <c r="H283" s="1" t="str">
        <f>HYPERLINK("http://www.weizmann.ac.il/complex/compphys/software/geview/data/figures/212420_at.png","Figure")</f>
        <v>Figure</v>
      </c>
      <c r="I283">
        <v>1.88</v>
      </c>
      <c r="J283">
        <v>1.4E-2</v>
      </c>
      <c r="K283">
        <v>0.63300000000000001</v>
      </c>
      <c r="L283">
        <v>0.04</v>
      </c>
      <c r="M283">
        <v>0.33600000000000002</v>
      </c>
      <c r="N283" s="2">
        <v>9.6000000000000002E-5</v>
      </c>
    </row>
    <row r="284" spans="1:14" x14ac:dyDescent="0.25">
      <c r="A284" t="s">
        <v>545</v>
      </c>
      <c r="B284" t="s">
        <v>546</v>
      </c>
      <c r="C284" s="1" t="str">
        <f>HYPERLINK("http://www.genecards.org/cgi-bin/carddisp.pl?gene=LAT2","GeneCards")</f>
        <v>GeneCards</v>
      </c>
      <c r="D284" s="1" t="str">
        <f>HYPERLINK("http://genome-euro.ucsc.edu/cgi-bin/hgTracks?position=221581_s_at","UCSC")</f>
        <v>UCSC</v>
      </c>
      <c r="E284" s="1" t="str">
        <f>HYPERLINK("http://www.ncbi.nlm.nih.gov/gene/?term=LAT2","NCBI")</f>
        <v>NCBI</v>
      </c>
      <c r="F284">
        <v>1.3999999999999999E-4</v>
      </c>
      <c r="G284">
        <v>8.3000000000000001E-3</v>
      </c>
      <c r="H284" s="1" t="str">
        <f>HYPERLINK("http://www.weizmann.ac.il/complex/compphys/software/geview/data/figures/221581_s_at.png","Figure")</f>
        <v>Figure</v>
      </c>
      <c r="I284">
        <v>0.96699999999999997</v>
      </c>
      <c r="J284">
        <v>0.99</v>
      </c>
      <c r="K284">
        <v>4.46</v>
      </c>
      <c r="L284">
        <v>4.2999999999999999E-4</v>
      </c>
      <c r="M284">
        <v>4.6100000000000003</v>
      </c>
      <c r="N284">
        <v>6.4000000000000005E-4</v>
      </c>
    </row>
    <row r="285" spans="1:14" x14ac:dyDescent="0.25">
      <c r="A285" t="s">
        <v>547</v>
      </c>
      <c r="B285" t="s">
        <v>548</v>
      </c>
      <c r="C285" s="1" t="str">
        <f>HYPERLINK("http://www.genecards.org/cgi-bin/carddisp.pl?gene=PAICS","GeneCards")</f>
        <v>GeneCards</v>
      </c>
      <c r="D285" s="1" t="str">
        <f>HYPERLINK("http://genome-euro.ucsc.edu/cgi-bin/hgTracks?position=201013_s_at","UCSC")</f>
        <v>UCSC</v>
      </c>
      <c r="E285" s="1" t="str">
        <f>HYPERLINK("http://www.ncbi.nlm.nih.gov/gene/?term=PAICS","NCBI")</f>
        <v>NCBI</v>
      </c>
      <c r="F285">
        <v>1.3999999999999999E-4</v>
      </c>
      <c r="G285">
        <v>8.3999999999999995E-3</v>
      </c>
      <c r="H285" s="1" t="str">
        <f>HYPERLINK("http://www.weizmann.ac.il/complex/compphys/software/geview/data/figures/201013_s_at.png","Figure")</f>
        <v>Figure</v>
      </c>
      <c r="I285">
        <v>0.71399999999999997</v>
      </c>
      <c r="J285">
        <v>0.37</v>
      </c>
      <c r="K285">
        <v>2.5499999999999998</v>
      </c>
      <c r="L285">
        <v>1.8E-3</v>
      </c>
      <c r="M285">
        <v>3.57</v>
      </c>
      <c r="N285">
        <v>2.2000000000000001E-4</v>
      </c>
    </row>
    <row r="286" spans="1:14" x14ac:dyDescent="0.25">
      <c r="A286" t="s">
        <v>549</v>
      </c>
      <c r="B286" t="s">
        <v>550</v>
      </c>
      <c r="C286" s="1" t="str">
        <f>HYPERLINK("http://www.genecards.org/cgi-bin/carddisp.pl?gene=OGG1","GeneCards")</f>
        <v>GeneCards</v>
      </c>
      <c r="D286" s="1" t="str">
        <f>HYPERLINK("http://genome-euro.ucsc.edu/cgi-bin/hgTracks?position=205760_s_at","UCSC")</f>
        <v>UCSC</v>
      </c>
      <c r="E286" s="1" t="str">
        <f>HYPERLINK("http://www.ncbi.nlm.nih.gov/gene/?term=OGG1","NCBI")</f>
        <v>NCBI</v>
      </c>
      <c r="F286">
        <v>1.3999999999999999E-4</v>
      </c>
      <c r="G286">
        <v>8.3999999999999995E-3</v>
      </c>
      <c r="H286" s="1" t="str">
        <f>HYPERLINK("http://www.weizmann.ac.il/complex/compphys/software/geview/data/figures/205760_s_at.png","Figure")</f>
        <v>Figure</v>
      </c>
      <c r="I286">
        <v>0.67100000000000004</v>
      </c>
      <c r="J286">
        <v>5.9000000000000003E-4</v>
      </c>
      <c r="K286">
        <v>1.03</v>
      </c>
      <c r="L286">
        <v>0.91</v>
      </c>
      <c r="M286">
        <v>1.53</v>
      </c>
      <c r="N286">
        <v>1.6000000000000001E-4</v>
      </c>
    </row>
    <row r="287" spans="1:14" x14ac:dyDescent="0.25">
      <c r="A287" t="s">
        <v>551</v>
      </c>
      <c r="B287" t="s">
        <v>552</v>
      </c>
      <c r="C287" s="1" t="str">
        <f>HYPERLINK("http://www.genecards.org/cgi-bin/carddisp.pl?gene=GNPTAB","GeneCards")</f>
        <v>GeneCards</v>
      </c>
      <c r="D287" s="1" t="str">
        <f>HYPERLINK("http://genome-euro.ucsc.edu/cgi-bin/hgTracks?position=212959_s_at","UCSC")</f>
        <v>UCSC</v>
      </c>
      <c r="E287" s="1" t="str">
        <f>HYPERLINK("http://www.ncbi.nlm.nih.gov/gene/?term=GNPTAB","NCBI")</f>
        <v>NCBI</v>
      </c>
      <c r="F287">
        <v>1.3999999999999999E-4</v>
      </c>
      <c r="G287">
        <v>8.3999999999999995E-3</v>
      </c>
      <c r="H287" s="1" t="str">
        <f>HYPERLINK("http://www.weizmann.ac.il/complex/compphys/software/geview/data/figures/212959_s_at.png","Figure")</f>
        <v>Figure</v>
      </c>
      <c r="I287">
        <v>0.373</v>
      </c>
      <c r="J287">
        <v>1.2E-2</v>
      </c>
      <c r="K287">
        <v>0.21099999999999999</v>
      </c>
      <c r="L287" s="2">
        <v>9.7999999999999997E-5</v>
      </c>
      <c r="M287">
        <v>0.56499999999999995</v>
      </c>
      <c r="N287">
        <v>0.13</v>
      </c>
    </row>
    <row r="288" spans="1:14" x14ac:dyDescent="0.25">
      <c r="A288" t="s">
        <v>553</v>
      </c>
      <c r="B288" t="s">
        <v>554</v>
      </c>
      <c r="C288" s="1" t="str">
        <f>HYPERLINK("http://www.genecards.org/cgi-bin/carddisp.pl?gene=MYLIP","GeneCards")</f>
        <v>GeneCards</v>
      </c>
      <c r="D288" s="1" t="str">
        <f>HYPERLINK("http://genome-euro.ucsc.edu/cgi-bin/hgTracks?position=220319_s_at","UCSC")</f>
        <v>UCSC</v>
      </c>
      <c r="E288" s="1" t="str">
        <f>HYPERLINK("http://www.ncbi.nlm.nih.gov/gene/?term=MYLIP","NCBI")</f>
        <v>NCBI</v>
      </c>
      <c r="F288">
        <v>1.3999999999999999E-4</v>
      </c>
      <c r="G288">
        <v>8.6E-3</v>
      </c>
      <c r="H288" s="1" t="str">
        <f>HYPERLINK("http://www.weizmann.ac.il/complex/compphys/software/geview/data/figures/220319_s_at.png","Figure")</f>
        <v>Figure</v>
      </c>
      <c r="I288">
        <v>0.26600000000000001</v>
      </c>
      <c r="J288">
        <v>6.8999999999999997E-4</v>
      </c>
      <c r="K288">
        <v>0.27100000000000002</v>
      </c>
      <c r="L288">
        <v>2.3000000000000001E-4</v>
      </c>
      <c r="M288">
        <v>1.02</v>
      </c>
      <c r="N288">
        <v>1</v>
      </c>
    </row>
    <row r="289" spans="1:14" x14ac:dyDescent="0.25">
      <c r="A289" t="s">
        <v>555</v>
      </c>
      <c r="B289" t="s">
        <v>556</v>
      </c>
      <c r="C289" s="1" t="str">
        <f>HYPERLINK("http://www.genecards.org/cgi-bin/carddisp.pl?gene=SIAH1","GeneCards")</f>
        <v>GeneCards</v>
      </c>
      <c r="D289" s="1" t="str">
        <f>HYPERLINK("http://genome-euro.ucsc.edu/cgi-bin/hgTracks?position=202981_x_at","UCSC")</f>
        <v>UCSC</v>
      </c>
      <c r="E289" s="1" t="str">
        <f>HYPERLINK("http://www.ncbi.nlm.nih.gov/gene/?term=SIAH1","NCBI")</f>
        <v>NCBI</v>
      </c>
      <c r="F289">
        <v>1.4999999999999999E-4</v>
      </c>
      <c r="G289">
        <v>8.8000000000000005E-3</v>
      </c>
      <c r="H289" s="1" t="str">
        <f>HYPERLINK("http://www.weizmann.ac.il/complex/compphys/software/geview/data/figures/202981_x_at.png","Figure")</f>
        <v>Figure</v>
      </c>
      <c r="I289">
        <v>0.75</v>
      </c>
      <c r="J289">
        <v>0.32</v>
      </c>
      <c r="K289">
        <v>0.378</v>
      </c>
      <c r="L289">
        <v>1.4999999999999999E-4</v>
      </c>
      <c r="M289">
        <v>0.504</v>
      </c>
      <c r="N289">
        <v>5.1999999999999998E-3</v>
      </c>
    </row>
    <row r="290" spans="1:14" x14ac:dyDescent="0.25">
      <c r="A290" t="s">
        <v>557</v>
      </c>
      <c r="B290" t="s">
        <v>558</v>
      </c>
      <c r="C290" s="1" t="str">
        <f>HYPERLINK("http://www.genecards.org/cgi-bin/carddisp.pl?gene=IRF8","GeneCards")</f>
        <v>GeneCards</v>
      </c>
      <c r="D290" s="1" t="str">
        <f>HYPERLINK("http://genome-euro.ucsc.edu/cgi-bin/hgTracks?position=204057_at","UCSC")</f>
        <v>UCSC</v>
      </c>
      <c r="E290" s="1" t="str">
        <f>HYPERLINK("http://www.ncbi.nlm.nih.gov/gene/?term=IRF8","NCBI")</f>
        <v>NCBI</v>
      </c>
      <c r="F290">
        <v>1.4999999999999999E-4</v>
      </c>
      <c r="G290">
        <v>8.8000000000000005E-3</v>
      </c>
      <c r="H290" s="1" t="str">
        <f>HYPERLINK("http://www.weizmann.ac.il/complex/compphys/software/geview/data/figures/204057_at.png","Figure")</f>
        <v>Figure</v>
      </c>
      <c r="I290">
        <v>0.29099999999999998</v>
      </c>
      <c r="J290">
        <v>1.6000000000000001E-4</v>
      </c>
      <c r="K290">
        <v>0.436</v>
      </c>
      <c r="L290">
        <v>1.6000000000000001E-3</v>
      </c>
      <c r="M290">
        <v>1.5</v>
      </c>
      <c r="N290">
        <v>0.14000000000000001</v>
      </c>
    </row>
    <row r="291" spans="1:14" x14ac:dyDescent="0.25">
      <c r="A291" t="s">
        <v>559</v>
      </c>
      <c r="B291" t="s">
        <v>560</v>
      </c>
      <c r="C291" s="1" t="str">
        <f>HYPERLINK("http://www.genecards.org/cgi-bin/carddisp.pl?gene=PPA1","GeneCards")</f>
        <v>GeneCards</v>
      </c>
      <c r="D291" s="1" t="str">
        <f>HYPERLINK("http://genome-euro.ucsc.edu/cgi-bin/hgTracks?position=217848_s_at","UCSC")</f>
        <v>UCSC</v>
      </c>
      <c r="E291" s="1" t="str">
        <f>HYPERLINK("http://www.ncbi.nlm.nih.gov/gene/?term=PPA1","NCBI")</f>
        <v>NCBI</v>
      </c>
      <c r="F291">
        <v>1.4999999999999999E-4</v>
      </c>
      <c r="G291">
        <v>8.8000000000000005E-3</v>
      </c>
      <c r="H291" s="1" t="str">
        <f>HYPERLINK("http://www.weizmann.ac.il/complex/compphys/software/geview/data/figures/217848_s_at.png","Figure")</f>
        <v>Figure</v>
      </c>
      <c r="I291">
        <v>1.56</v>
      </c>
      <c r="J291">
        <v>0.33</v>
      </c>
      <c r="K291">
        <v>4.66</v>
      </c>
      <c r="L291">
        <v>1.4999999999999999E-4</v>
      </c>
      <c r="M291">
        <v>2.99</v>
      </c>
      <c r="N291">
        <v>4.8999999999999998E-3</v>
      </c>
    </row>
    <row r="292" spans="1:14" x14ac:dyDescent="0.25">
      <c r="A292" t="s">
        <v>561</v>
      </c>
      <c r="B292" t="s">
        <v>30</v>
      </c>
      <c r="C292" s="1" t="str">
        <f>HYPERLINK("http://www.genecards.org/cgi-bin/carddisp.pl?gene=PDXK","GeneCards")</f>
        <v>GeneCards</v>
      </c>
      <c r="D292" s="1" t="str">
        <f>HYPERLINK("http://genome-euro.ucsc.edu/cgi-bin/hgTracks?position=218018_at","UCSC")</f>
        <v>UCSC</v>
      </c>
      <c r="E292" s="1" t="str">
        <f>HYPERLINK("http://www.ncbi.nlm.nih.gov/gene/?term=PDXK","NCBI")</f>
        <v>NCBI</v>
      </c>
      <c r="F292">
        <v>1.4999999999999999E-4</v>
      </c>
      <c r="G292">
        <v>8.8000000000000005E-3</v>
      </c>
      <c r="H292" s="1" t="str">
        <f>HYPERLINK("http://www.weizmann.ac.il/complex/compphys/software/geview/data/figures/218018_at.png","Figure")</f>
        <v>Figure</v>
      </c>
      <c r="I292">
        <v>0.61199999999999999</v>
      </c>
      <c r="J292">
        <v>1.9000000000000001E-4</v>
      </c>
      <c r="K292">
        <v>0.92300000000000004</v>
      </c>
      <c r="L292">
        <v>0.55000000000000004</v>
      </c>
      <c r="M292">
        <v>1.51</v>
      </c>
      <c r="N292">
        <v>5.2999999999999998E-4</v>
      </c>
    </row>
    <row r="293" spans="1:14" x14ac:dyDescent="0.25">
      <c r="A293" t="s">
        <v>562</v>
      </c>
      <c r="B293" t="s">
        <v>563</v>
      </c>
      <c r="C293" s="1" t="str">
        <f>HYPERLINK("http://www.genecards.org/cgi-bin/carddisp.pl?gene=CALD1","GeneCards")</f>
        <v>GeneCards</v>
      </c>
      <c r="D293" s="1" t="str">
        <f>HYPERLINK("http://genome-euro.ucsc.edu/cgi-bin/hgTracks?position=201615_x_at","UCSC")</f>
        <v>UCSC</v>
      </c>
      <c r="E293" s="1" t="str">
        <f>HYPERLINK("http://www.ncbi.nlm.nih.gov/gene/?term=CALD1","NCBI")</f>
        <v>NCBI</v>
      </c>
      <c r="F293">
        <v>1.4999999999999999E-4</v>
      </c>
      <c r="G293">
        <v>8.8000000000000005E-3</v>
      </c>
      <c r="H293" s="1" t="str">
        <f>HYPERLINK("http://www.weizmann.ac.il/complex/compphys/software/geview/data/figures/201615_x_at.png","Figure")</f>
        <v>Figure</v>
      </c>
      <c r="I293">
        <v>1.42</v>
      </c>
      <c r="J293">
        <v>1.9000000000000001E-4</v>
      </c>
      <c r="K293">
        <v>1.29</v>
      </c>
      <c r="L293">
        <v>1.1000000000000001E-3</v>
      </c>
      <c r="M293">
        <v>0.90600000000000003</v>
      </c>
      <c r="N293">
        <v>0.24</v>
      </c>
    </row>
    <row r="294" spans="1:14" x14ac:dyDescent="0.25">
      <c r="A294" t="s">
        <v>564</v>
      </c>
      <c r="B294" t="s">
        <v>227</v>
      </c>
      <c r="C294" s="1" t="str">
        <f>HYPERLINK("http://www.genecards.org/cgi-bin/carddisp.pl?gene=ARL4C","GeneCards")</f>
        <v>GeneCards</v>
      </c>
      <c r="D294" s="1" t="str">
        <f>HYPERLINK("http://genome-euro.ucsc.edu/cgi-bin/hgTracks?position=202206_at","UCSC")</f>
        <v>UCSC</v>
      </c>
      <c r="E294" s="1" t="str">
        <f>HYPERLINK("http://www.ncbi.nlm.nih.gov/gene/?term=ARL4C","NCBI")</f>
        <v>NCBI</v>
      </c>
      <c r="F294">
        <v>1.4999999999999999E-4</v>
      </c>
      <c r="G294">
        <v>8.8000000000000005E-3</v>
      </c>
      <c r="H294" s="1" t="str">
        <f>HYPERLINK("http://www.weizmann.ac.il/complex/compphys/software/geview/data/figures/202206_at.png","Figure")</f>
        <v>Figure</v>
      </c>
      <c r="I294">
        <v>6.89</v>
      </c>
      <c r="J294">
        <v>6.8000000000000005E-4</v>
      </c>
      <c r="K294">
        <v>6.56</v>
      </c>
      <c r="L294">
        <v>2.5000000000000001E-4</v>
      </c>
      <c r="M294">
        <v>0.95199999999999996</v>
      </c>
      <c r="N294">
        <v>0.99</v>
      </c>
    </row>
    <row r="295" spans="1:14" x14ac:dyDescent="0.25">
      <c r="A295" t="s">
        <v>565</v>
      </c>
      <c r="B295" t="s">
        <v>566</v>
      </c>
      <c r="C295" s="1" t="str">
        <f>HYPERLINK("http://www.genecards.org/cgi-bin/carddisp.pl?gene=FTSJ1","GeneCards")</f>
        <v>GeneCards</v>
      </c>
      <c r="D295" s="1" t="str">
        <f>HYPERLINK("http://genome-euro.ucsc.edu/cgi-bin/hgTracks?position=205324_s_at","UCSC")</f>
        <v>UCSC</v>
      </c>
      <c r="E295" s="1" t="str">
        <f>HYPERLINK("http://www.ncbi.nlm.nih.gov/gene/?term=FTSJ1","NCBI")</f>
        <v>NCBI</v>
      </c>
      <c r="F295">
        <v>1.4999999999999999E-4</v>
      </c>
      <c r="G295">
        <v>8.8000000000000005E-3</v>
      </c>
      <c r="H295" s="1" t="str">
        <f>HYPERLINK("http://www.weizmann.ac.il/complex/compphys/software/geview/data/figures/205324_s_at.png","Figure")</f>
        <v>Figure</v>
      </c>
      <c r="I295">
        <v>0.41</v>
      </c>
      <c r="J295">
        <v>1.1E-4</v>
      </c>
      <c r="K295">
        <v>0.70099999999999996</v>
      </c>
      <c r="L295">
        <v>3.9E-2</v>
      </c>
      <c r="M295">
        <v>1.71</v>
      </c>
      <c r="N295">
        <v>4.5999999999999999E-3</v>
      </c>
    </row>
    <row r="296" spans="1:14" x14ac:dyDescent="0.25">
      <c r="A296" t="s">
        <v>567</v>
      </c>
      <c r="B296" t="s">
        <v>568</v>
      </c>
      <c r="C296" s="1" t="str">
        <f>HYPERLINK("http://www.genecards.org/cgi-bin/carddisp.pl?gene=H1F0","GeneCards")</f>
        <v>GeneCards</v>
      </c>
      <c r="D296" s="1" t="str">
        <f>HYPERLINK("http://genome-euro.ucsc.edu/cgi-bin/hgTracks?position=208886_at","UCSC")</f>
        <v>UCSC</v>
      </c>
      <c r="E296" s="1" t="str">
        <f>HYPERLINK("http://www.ncbi.nlm.nih.gov/gene/?term=H1F0","NCBI")</f>
        <v>NCBI</v>
      </c>
      <c r="F296">
        <v>1.4999999999999999E-4</v>
      </c>
      <c r="G296">
        <v>8.8000000000000005E-3</v>
      </c>
      <c r="H296" s="1" t="str">
        <f>HYPERLINK("http://www.weizmann.ac.il/complex/compphys/software/geview/data/figures/208886_at.png","Figure")</f>
        <v>Figure</v>
      </c>
      <c r="I296">
        <v>0.35</v>
      </c>
      <c r="J296">
        <v>5.8000000000000003E-2</v>
      </c>
      <c r="K296">
        <v>0.114</v>
      </c>
      <c r="L296">
        <v>1.1E-4</v>
      </c>
      <c r="M296">
        <v>0.32500000000000001</v>
      </c>
      <c r="N296">
        <v>2.9000000000000001E-2</v>
      </c>
    </row>
    <row r="297" spans="1:14" x14ac:dyDescent="0.25">
      <c r="A297" t="s">
        <v>569</v>
      </c>
      <c r="B297" t="s">
        <v>570</v>
      </c>
      <c r="C297" s="1" t="str">
        <f>HYPERLINK("http://www.genecards.org/cgi-bin/carddisp.pl?gene=KRI1","GeneCards")</f>
        <v>GeneCards</v>
      </c>
      <c r="D297" s="1" t="str">
        <f>HYPERLINK("http://genome-euro.ucsc.edu/cgi-bin/hgTracks?position=218798_at","UCSC")</f>
        <v>UCSC</v>
      </c>
      <c r="E297" s="1" t="str">
        <f>HYPERLINK("http://www.ncbi.nlm.nih.gov/gene/?term=KRI1","NCBI")</f>
        <v>NCBI</v>
      </c>
      <c r="F297">
        <v>1.4999999999999999E-4</v>
      </c>
      <c r="G297">
        <v>8.8000000000000005E-3</v>
      </c>
      <c r="H297" s="1" t="str">
        <f>HYPERLINK("http://www.weizmann.ac.il/complex/compphys/software/geview/data/figures/218798_at.png","Figure")</f>
        <v>Figure</v>
      </c>
      <c r="I297">
        <v>1.1200000000000001</v>
      </c>
      <c r="J297">
        <v>0.54</v>
      </c>
      <c r="K297">
        <v>1.71</v>
      </c>
      <c r="L297">
        <v>1.9000000000000001E-4</v>
      </c>
      <c r="M297">
        <v>1.52</v>
      </c>
      <c r="N297">
        <v>2.8999999999999998E-3</v>
      </c>
    </row>
    <row r="298" spans="1:14" x14ac:dyDescent="0.25">
      <c r="A298" t="s">
        <v>571</v>
      </c>
      <c r="B298" t="s">
        <v>572</v>
      </c>
      <c r="C298" s="1" t="str">
        <f>HYPERLINK("http://www.genecards.org/cgi-bin/carddisp.pl?gene=LOC285359 /// PDCL3","GeneCards")</f>
        <v>GeneCards</v>
      </c>
      <c r="D298" s="1" t="str">
        <f>HYPERLINK("http://genome-euro.ucsc.edu/cgi-bin/hgTracks?position=219043_s_at","UCSC")</f>
        <v>UCSC</v>
      </c>
      <c r="E298" s="1" t="str">
        <f>HYPERLINK("http://www.ncbi.nlm.nih.gov/gene/?term=LOC285359 /// PDCL3","NCBI")</f>
        <v>NCBI</v>
      </c>
      <c r="F298">
        <v>1.4999999999999999E-4</v>
      </c>
      <c r="G298">
        <v>8.8000000000000005E-3</v>
      </c>
      <c r="H298" s="1" t="str">
        <f>HYPERLINK("http://www.weizmann.ac.il/complex/compphys/software/geview/data/figures/219043_s_at.png","Figure")</f>
        <v>Figure</v>
      </c>
      <c r="I298">
        <v>0.76900000000000002</v>
      </c>
      <c r="J298">
        <v>5.6000000000000001E-2</v>
      </c>
      <c r="K298">
        <v>1.36</v>
      </c>
      <c r="L298">
        <v>1.0999999999999999E-2</v>
      </c>
      <c r="M298">
        <v>1.77</v>
      </c>
      <c r="N298">
        <v>1.2999999999999999E-4</v>
      </c>
    </row>
    <row r="299" spans="1:14" x14ac:dyDescent="0.25">
      <c r="A299" t="s">
        <v>573</v>
      </c>
      <c r="B299" t="s">
        <v>60</v>
      </c>
      <c r="C299" s="1" t="str">
        <f>HYPERLINK("http://www.genecards.org/cgi-bin/carddisp.pl?gene=TRIB2","GeneCards")</f>
        <v>GeneCards</v>
      </c>
      <c r="D299" s="1" t="str">
        <f>HYPERLINK("http://genome-euro.ucsc.edu/cgi-bin/hgTracks?position=202478_at","UCSC")</f>
        <v>UCSC</v>
      </c>
      <c r="E299" s="1" t="str">
        <f>HYPERLINK("http://www.ncbi.nlm.nih.gov/gene/?term=TRIB2","NCBI")</f>
        <v>NCBI</v>
      </c>
      <c r="F299">
        <v>1.6000000000000001E-4</v>
      </c>
      <c r="G299">
        <v>8.8000000000000005E-3</v>
      </c>
      <c r="H299" s="1" t="str">
        <f>HYPERLINK("http://www.weizmann.ac.il/complex/compphys/software/geview/data/figures/202478_at.png","Figure")</f>
        <v>Figure</v>
      </c>
      <c r="I299">
        <v>2.48</v>
      </c>
      <c r="J299">
        <v>3.7000000000000002E-3</v>
      </c>
      <c r="K299">
        <v>3.24</v>
      </c>
      <c r="L299">
        <v>1.2999999999999999E-4</v>
      </c>
      <c r="M299">
        <v>1.3</v>
      </c>
      <c r="N299">
        <v>0.44</v>
      </c>
    </row>
    <row r="300" spans="1:14" x14ac:dyDescent="0.25">
      <c r="A300" t="s">
        <v>574</v>
      </c>
      <c r="B300" t="s">
        <v>575</v>
      </c>
      <c r="C300" s="1" t="str">
        <f>HYPERLINK("http://www.genecards.org/cgi-bin/carddisp.pl?gene=SNTA1","GeneCards")</f>
        <v>GeneCards</v>
      </c>
      <c r="D300" s="1" t="str">
        <f>HYPERLINK("http://genome-euro.ucsc.edu/cgi-bin/hgTracks?position=203516_at","UCSC")</f>
        <v>UCSC</v>
      </c>
      <c r="E300" s="1" t="str">
        <f>HYPERLINK("http://www.ncbi.nlm.nih.gov/gene/?term=SNTA1","NCBI")</f>
        <v>NCBI</v>
      </c>
      <c r="F300">
        <v>1.6000000000000001E-4</v>
      </c>
      <c r="G300">
        <v>8.8000000000000005E-3</v>
      </c>
      <c r="H300" s="1" t="str">
        <f>HYPERLINK("http://www.weizmann.ac.il/complex/compphys/software/geview/data/figures/203516_at.png","Figure")</f>
        <v>Figure</v>
      </c>
      <c r="I300">
        <v>1.76</v>
      </c>
      <c r="J300">
        <v>1.2E-4</v>
      </c>
      <c r="K300">
        <v>1.36</v>
      </c>
      <c r="L300">
        <v>6.1999999999999998E-3</v>
      </c>
      <c r="M300">
        <v>0.77300000000000002</v>
      </c>
      <c r="N300">
        <v>2.9000000000000001E-2</v>
      </c>
    </row>
    <row r="301" spans="1:14" x14ac:dyDescent="0.25">
      <c r="A301" t="s">
        <v>576</v>
      </c>
      <c r="B301" t="s">
        <v>577</v>
      </c>
      <c r="C301" s="1" t="str">
        <f>HYPERLINK("http://www.genecards.org/cgi-bin/carddisp.pl?gene=RPS27L","GeneCards")</f>
        <v>GeneCards</v>
      </c>
      <c r="D301" s="1" t="str">
        <f>HYPERLINK("http://genome-euro.ucsc.edu/cgi-bin/hgTracks?position=218007_s_at","UCSC")</f>
        <v>UCSC</v>
      </c>
      <c r="E301" s="1" t="str">
        <f>HYPERLINK("http://www.ncbi.nlm.nih.gov/gene/?term=RPS27L","NCBI")</f>
        <v>NCBI</v>
      </c>
      <c r="F301">
        <v>1.4999999999999999E-4</v>
      </c>
      <c r="G301">
        <v>8.8000000000000005E-3</v>
      </c>
      <c r="H301" s="1" t="str">
        <f>HYPERLINK("http://www.weizmann.ac.il/complex/compphys/software/geview/data/figures/218007_s_at.png","Figure")</f>
        <v>Figure</v>
      </c>
      <c r="I301">
        <v>1.0900000000000001</v>
      </c>
      <c r="J301">
        <v>0.93</v>
      </c>
      <c r="K301">
        <v>2.95</v>
      </c>
      <c r="L301">
        <v>3.2000000000000003E-4</v>
      </c>
      <c r="M301">
        <v>2.7</v>
      </c>
      <c r="N301">
        <v>1.1999999999999999E-3</v>
      </c>
    </row>
    <row r="302" spans="1:14" x14ac:dyDescent="0.25">
      <c r="A302" t="s">
        <v>578</v>
      </c>
      <c r="B302" t="s">
        <v>579</v>
      </c>
      <c r="C302" s="1" t="str">
        <f>HYPERLINK("http://www.genecards.org/cgi-bin/carddisp.pl?gene=ASF1A","GeneCards")</f>
        <v>GeneCards</v>
      </c>
      <c r="D302" s="1" t="str">
        <f>HYPERLINK("http://genome-euro.ucsc.edu/cgi-bin/hgTracks?position=203427_at","UCSC")</f>
        <v>UCSC</v>
      </c>
      <c r="E302" s="1" t="str">
        <f>HYPERLINK("http://www.ncbi.nlm.nih.gov/gene/?term=ASF1A","NCBI")</f>
        <v>NCBI</v>
      </c>
      <c r="F302">
        <v>1.6000000000000001E-4</v>
      </c>
      <c r="G302">
        <v>8.8000000000000005E-3</v>
      </c>
      <c r="H302" s="1" t="str">
        <f>HYPERLINK("http://www.weizmann.ac.il/complex/compphys/software/geview/data/figures/203427_at.png","Figure")</f>
        <v>Figure</v>
      </c>
      <c r="I302">
        <v>0.40100000000000002</v>
      </c>
      <c r="J302">
        <v>4.2999999999999999E-4</v>
      </c>
      <c r="K302">
        <v>0.997</v>
      </c>
      <c r="L302">
        <v>1</v>
      </c>
      <c r="M302">
        <v>2.4900000000000002</v>
      </c>
      <c r="N302">
        <v>2.4000000000000001E-4</v>
      </c>
    </row>
    <row r="303" spans="1:14" x14ac:dyDescent="0.25">
      <c r="A303" t="s">
        <v>580</v>
      </c>
      <c r="B303" t="s">
        <v>581</v>
      </c>
      <c r="C303" s="1" t="str">
        <f>HYPERLINK("http://www.genecards.org/cgi-bin/carddisp.pl?gene=CD52","GeneCards")</f>
        <v>GeneCards</v>
      </c>
      <c r="D303" s="1" t="str">
        <f>HYPERLINK("http://genome-euro.ucsc.edu/cgi-bin/hgTracks?position=204661_at","UCSC")</f>
        <v>UCSC</v>
      </c>
      <c r="E303" s="1" t="str">
        <f>HYPERLINK("http://www.ncbi.nlm.nih.gov/gene/?term=CD52","NCBI")</f>
        <v>NCBI</v>
      </c>
      <c r="F303">
        <v>1.6000000000000001E-4</v>
      </c>
      <c r="G303">
        <v>8.8999999999999999E-3</v>
      </c>
      <c r="H303" s="1" t="str">
        <f>HYPERLINK("http://www.weizmann.ac.il/complex/compphys/software/geview/data/figures/204661_at.png","Figure")</f>
        <v>Figure</v>
      </c>
      <c r="I303">
        <v>0.43099999999999999</v>
      </c>
      <c r="J303">
        <v>5.6999999999999998E-4</v>
      </c>
      <c r="K303">
        <v>0.45400000000000001</v>
      </c>
      <c r="L303">
        <v>2.9999999999999997E-4</v>
      </c>
      <c r="M303">
        <v>1.05</v>
      </c>
      <c r="N303">
        <v>0.94</v>
      </c>
    </row>
    <row r="304" spans="1:14" x14ac:dyDescent="0.25">
      <c r="A304" t="s">
        <v>582</v>
      </c>
      <c r="B304" t="s">
        <v>583</v>
      </c>
      <c r="C304" s="1" t="str">
        <f>HYPERLINK("http://www.genecards.org/cgi-bin/carddisp.pl?gene=SNRK","GeneCards")</f>
        <v>GeneCards</v>
      </c>
      <c r="D304" s="1" t="str">
        <f>HYPERLINK("http://genome-euro.ucsc.edu/cgi-bin/hgTracks?position=209481_at","UCSC")</f>
        <v>UCSC</v>
      </c>
      <c r="E304" s="1" t="str">
        <f>HYPERLINK("http://www.ncbi.nlm.nih.gov/gene/?term=SNRK","NCBI")</f>
        <v>NCBI</v>
      </c>
      <c r="F304">
        <v>1.6000000000000001E-4</v>
      </c>
      <c r="G304">
        <v>8.8999999999999999E-3</v>
      </c>
      <c r="H304" s="1" t="str">
        <f>HYPERLINK("http://www.weizmann.ac.il/complex/compphys/software/geview/data/figures/209481_at.png","Figure")</f>
        <v>Figure</v>
      </c>
      <c r="I304">
        <v>0.61399999999999999</v>
      </c>
      <c r="J304">
        <v>8.1000000000000003E-2</v>
      </c>
      <c r="K304">
        <v>0.33900000000000002</v>
      </c>
      <c r="L304">
        <v>1.2E-4</v>
      </c>
      <c r="M304">
        <v>0.55100000000000005</v>
      </c>
      <c r="N304">
        <v>2.1999999999999999E-2</v>
      </c>
    </row>
    <row r="305" spans="1:14" x14ac:dyDescent="0.25">
      <c r="A305" t="s">
        <v>584</v>
      </c>
      <c r="B305" t="s">
        <v>585</v>
      </c>
      <c r="C305" s="1" t="str">
        <f>HYPERLINK("http://www.genecards.org/cgi-bin/carddisp.pl?gene=ZNF187","GeneCards")</f>
        <v>GeneCards</v>
      </c>
      <c r="D305" s="1" t="str">
        <f>HYPERLINK("http://genome-euro.ucsc.edu/cgi-bin/hgTracks?position=213218_at","UCSC")</f>
        <v>UCSC</v>
      </c>
      <c r="E305" s="1" t="str">
        <f>HYPERLINK("http://www.ncbi.nlm.nih.gov/gene/?term=ZNF187","NCBI")</f>
        <v>NCBI</v>
      </c>
      <c r="F305">
        <v>1.6000000000000001E-4</v>
      </c>
      <c r="G305">
        <v>8.8999999999999999E-3</v>
      </c>
      <c r="H305" s="1" t="str">
        <f>HYPERLINK("http://www.weizmann.ac.il/complex/compphys/software/geview/data/figures/213218_at.png","Figure")</f>
        <v>Figure</v>
      </c>
      <c r="I305">
        <v>0.70599999999999996</v>
      </c>
      <c r="J305">
        <v>3.5E-4</v>
      </c>
      <c r="K305">
        <v>0.98499999999999999</v>
      </c>
      <c r="L305">
        <v>0.96</v>
      </c>
      <c r="M305">
        <v>1.4</v>
      </c>
      <c r="N305">
        <v>2.9E-4</v>
      </c>
    </row>
    <row r="306" spans="1:14" x14ac:dyDescent="0.25">
      <c r="A306" t="s">
        <v>586</v>
      </c>
      <c r="B306" t="s">
        <v>587</v>
      </c>
      <c r="C306" s="1" t="str">
        <f>HYPERLINK("http://www.genecards.org/cgi-bin/carddisp.pl?gene=C11orf24","GeneCards")</f>
        <v>GeneCards</v>
      </c>
      <c r="D306" s="1" t="str">
        <f>HYPERLINK("http://genome-euro.ucsc.edu/cgi-bin/hgTracks?position=218299_at","UCSC")</f>
        <v>UCSC</v>
      </c>
      <c r="E306" s="1" t="str">
        <f>HYPERLINK("http://www.ncbi.nlm.nih.gov/gene/?term=C11orf24","NCBI")</f>
        <v>NCBI</v>
      </c>
      <c r="F306">
        <v>1.6000000000000001E-4</v>
      </c>
      <c r="G306">
        <v>8.8999999999999999E-3</v>
      </c>
      <c r="H306" s="1" t="str">
        <f>HYPERLINK("http://www.weizmann.ac.il/complex/compphys/software/geview/data/figures/218299_at.png","Figure")</f>
        <v>Figure</v>
      </c>
      <c r="I306">
        <v>1.18</v>
      </c>
      <c r="J306">
        <v>2.1000000000000001E-2</v>
      </c>
      <c r="K306">
        <v>1.33</v>
      </c>
      <c r="L306">
        <v>1.1E-4</v>
      </c>
      <c r="M306">
        <v>1.1200000000000001</v>
      </c>
      <c r="N306">
        <v>8.5000000000000006E-2</v>
      </c>
    </row>
    <row r="307" spans="1:14" x14ac:dyDescent="0.25">
      <c r="A307" t="s">
        <v>588</v>
      </c>
      <c r="B307" t="s">
        <v>589</v>
      </c>
      <c r="C307" s="1" t="str">
        <f>HYPERLINK("http://www.genecards.org/cgi-bin/carddisp.pl?gene=ARMCX6 /// LOC653354","GeneCards")</f>
        <v>GeneCards</v>
      </c>
      <c r="D307" s="1" t="str">
        <f>HYPERLINK("http://genome-euro.ucsc.edu/cgi-bin/hgTracks?position=214749_s_at","UCSC")</f>
        <v>UCSC</v>
      </c>
      <c r="E307" s="1" t="str">
        <f>HYPERLINK("http://www.ncbi.nlm.nih.gov/gene/?term=ARMCX6 /// LOC653354","NCBI")</f>
        <v>NCBI</v>
      </c>
      <c r="F307">
        <v>1.6000000000000001E-4</v>
      </c>
      <c r="G307">
        <v>9.1000000000000004E-3</v>
      </c>
      <c r="H307" s="1" t="str">
        <f>HYPERLINK("http://www.weizmann.ac.il/complex/compphys/software/geview/data/figures/214749_s_at.png","Figure")</f>
        <v>Figure</v>
      </c>
      <c r="I307">
        <v>0.54300000000000004</v>
      </c>
      <c r="J307">
        <v>1.3999999999999999E-4</v>
      </c>
      <c r="K307">
        <v>0.69299999999999995</v>
      </c>
      <c r="L307">
        <v>3.3999999999999998E-3</v>
      </c>
      <c r="M307">
        <v>1.28</v>
      </c>
      <c r="N307">
        <v>0.06</v>
      </c>
    </row>
    <row r="308" spans="1:14" x14ac:dyDescent="0.25">
      <c r="A308" t="s">
        <v>590</v>
      </c>
      <c r="B308" t="s">
        <v>591</v>
      </c>
      <c r="C308" s="1" t="str">
        <f>HYPERLINK("http://www.genecards.org/cgi-bin/carddisp.pl?gene=MCTS1","GeneCards")</f>
        <v>GeneCards</v>
      </c>
      <c r="D308" s="1" t="str">
        <f>HYPERLINK("http://genome-euro.ucsc.edu/cgi-bin/hgTracks?position=218163_at","UCSC")</f>
        <v>UCSC</v>
      </c>
      <c r="E308" s="1" t="str">
        <f>HYPERLINK("http://www.ncbi.nlm.nih.gov/gene/?term=MCTS1","NCBI")</f>
        <v>NCBI</v>
      </c>
      <c r="F308">
        <v>1.6000000000000001E-4</v>
      </c>
      <c r="G308">
        <v>9.1000000000000004E-3</v>
      </c>
      <c r="H308" s="1" t="str">
        <f>HYPERLINK("http://www.weizmann.ac.il/complex/compphys/software/geview/data/figures/218163_at.png","Figure")</f>
        <v>Figure</v>
      </c>
      <c r="I308">
        <v>0.52700000000000002</v>
      </c>
      <c r="J308">
        <v>2.7E-2</v>
      </c>
      <c r="K308">
        <v>1.76</v>
      </c>
      <c r="L308">
        <v>2.5000000000000001E-2</v>
      </c>
      <c r="M308">
        <v>3.34</v>
      </c>
      <c r="N308">
        <v>1.2E-4</v>
      </c>
    </row>
    <row r="309" spans="1:14" x14ac:dyDescent="0.25">
      <c r="A309" t="s">
        <v>592</v>
      </c>
      <c r="B309" t="s">
        <v>99</v>
      </c>
      <c r="C309" s="1" t="str">
        <f>HYPERLINK("http://www.genecards.org/cgi-bin/carddisp.pl?gene=ITPR3","GeneCards")</f>
        <v>GeneCards</v>
      </c>
      <c r="D309" s="1" t="str">
        <f>HYPERLINK("http://genome-euro.ucsc.edu/cgi-bin/hgTracks?position=201188_s_at","UCSC")</f>
        <v>UCSC</v>
      </c>
      <c r="E309" s="1" t="str">
        <f>HYPERLINK("http://www.ncbi.nlm.nih.gov/gene/?term=ITPR3","NCBI")</f>
        <v>NCBI</v>
      </c>
      <c r="F309">
        <v>1.6000000000000001E-4</v>
      </c>
      <c r="G309">
        <v>9.1000000000000004E-3</v>
      </c>
      <c r="H309" s="1" t="str">
        <f>HYPERLINK("http://www.weizmann.ac.il/complex/compphys/software/geview/data/figures/201188_s_at.png","Figure")</f>
        <v>Figure</v>
      </c>
      <c r="I309">
        <v>1.73</v>
      </c>
      <c r="J309">
        <v>5.2999999999999998E-4</v>
      </c>
      <c r="K309">
        <v>0.98599999999999999</v>
      </c>
      <c r="L309">
        <v>0.99</v>
      </c>
      <c r="M309">
        <v>0.56799999999999995</v>
      </c>
      <c r="N309">
        <v>2.2000000000000001E-4</v>
      </c>
    </row>
    <row r="310" spans="1:14" x14ac:dyDescent="0.25">
      <c r="A310" t="s">
        <v>593</v>
      </c>
      <c r="B310" t="s">
        <v>594</v>
      </c>
      <c r="C310" s="1" t="str">
        <f>HYPERLINK("http://www.genecards.org/cgi-bin/carddisp.pl?gene=SORT1","GeneCards")</f>
        <v>GeneCards</v>
      </c>
      <c r="D310" s="1" t="str">
        <f>HYPERLINK("http://genome-euro.ucsc.edu/cgi-bin/hgTracks?position=212807_s_at","UCSC")</f>
        <v>UCSC</v>
      </c>
      <c r="E310" s="1" t="str">
        <f>HYPERLINK("http://www.ncbi.nlm.nih.gov/gene/?term=SORT1","NCBI")</f>
        <v>NCBI</v>
      </c>
      <c r="F310">
        <v>1.7000000000000001E-4</v>
      </c>
      <c r="G310">
        <v>9.2999999999999992E-3</v>
      </c>
      <c r="H310" s="1" t="str">
        <f>HYPERLINK("http://www.weizmann.ac.il/complex/compphys/software/geview/data/figures/212807_s_at.png","Figure")</f>
        <v>Figure</v>
      </c>
      <c r="I310">
        <v>1.3</v>
      </c>
      <c r="J310">
        <v>1.8000000000000001E-4</v>
      </c>
      <c r="K310">
        <v>1.2</v>
      </c>
      <c r="L310">
        <v>1.6000000000000001E-3</v>
      </c>
      <c r="M310">
        <v>0.92</v>
      </c>
      <c r="N310">
        <v>0.16</v>
      </c>
    </row>
    <row r="311" spans="1:14" x14ac:dyDescent="0.25">
      <c r="A311" t="s">
        <v>595</v>
      </c>
      <c r="B311" t="s">
        <v>301</v>
      </c>
      <c r="C311" s="1" t="str">
        <f>HYPERLINK("http://www.genecards.org/cgi-bin/carddisp.pl?gene=GCSH","GeneCards")</f>
        <v>GeneCards</v>
      </c>
      <c r="D311" s="1" t="str">
        <f>HYPERLINK("http://genome-euro.ucsc.edu/cgi-bin/hgTracks?position=213133_s_at","UCSC")</f>
        <v>UCSC</v>
      </c>
      <c r="E311" s="1" t="str">
        <f>HYPERLINK("http://www.ncbi.nlm.nih.gov/gene/?term=GCSH","NCBI")</f>
        <v>NCBI</v>
      </c>
      <c r="F311">
        <v>1.7000000000000001E-4</v>
      </c>
      <c r="G311">
        <v>9.2999999999999992E-3</v>
      </c>
      <c r="H311" s="1" t="str">
        <f>HYPERLINK("http://www.weizmann.ac.il/complex/compphys/software/geview/data/figures/213133_s_at.png","Figure")</f>
        <v>Figure</v>
      </c>
      <c r="I311">
        <v>0.85099999999999998</v>
      </c>
      <c r="J311">
        <v>0.39</v>
      </c>
      <c r="K311">
        <v>1.57</v>
      </c>
      <c r="L311">
        <v>2E-3</v>
      </c>
      <c r="M311">
        <v>1.85</v>
      </c>
      <c r="N311">
        <v>2.7E-4</v>
      </c>
    </row>
    <row r="312" spans="1:14" x14ac:dyDescent="0.25">
      <c r="A312" t="s">
        <v>596</v>
      </c>
      <c r="B312" t="s">
        <v>311</v>
      </c>
      <c r="C312" s="1" t="str">
        <f>HYPERLINK("http://www.genecards.org/cgi-bin/carddisp.pl?gene=ELOVL5","GeneCards")</f>
        <v>GeneCards</v>
      </c>
      <c r="D312" s="1" t="str">
        <f>HYPERLINK("http://genome-euro.ucsc.edu/cgi-bin/hgTracks?position=214153_at","UCSC")</f>
        <v>UCSC</v>
      </c>
      <c r="E312" s="1" t="str">
        <f>HYPERLINK("http://www.ncbi.nlm.nih.gov/gene/?term=ELOVL5","NCBI")</f>
        <v>NCBI</v>
      </c>
      <c r="F312">
        <v>1.7000000000000001E-4</v>
      </c>
      <c r="G312">
        <v>9.2999999999999992E-3</v>
      </c>
      <c r="H312" s="1" t="str">
        <f>HYPERLINK("http://www.weizmann.ac.il/complex/compphys/software/geview/data/figures/214153_at.png","Figure")</f>
        <v>Figure</v>
      </c>
      <c r="I312">
        <v>3.16</v>
      </c>
      <c r="J312">
        <v>4.6000000000000001E-4</v>
      </c>
      <c r="K312">
        <v>2.76</v>
      </c>
      <c r="L312">
        <v>4.0999999999999999E-4</v>
      </c>
      <c r="M312">
        <v>0.874</v>
      </c>
      <c r="N312">
        <v>0.79</v>
      </c>
    </row>
    <row r="313" spans="1:14" x14ac:dyDescent="0.25">
      <c r="A313" t="s">
        <v>597</v>
      </c>
      <c r="B313" t="s">
        <v>598</v>
      </c>
      <c r="C313" s="1" t="str">
        <f>HYPERLINK("http://www.genecards.org/cgi-bin/carddisp.pl?gene=TTC31","GeneCards")</f>
        <v>GeneCards</v>
      </c>
      <c r="D313" s="1" t="str">
        <f>HYPERLINK("http://genome-euro.ucsc.edu/cgi-bin/hgTracks?position=218838_s_at","UCSC")</f>
        <v>UCSC</v>
      </c>
      <c r="E313" s="1" t="str">
        <f>HYPERLINK("http://www.ncbi.nlm.nih.gov/gene/?term=TTC31","NCBI")</f>
        <v>NCBI</v>
      </c>
      <c r="F313">
        <v>1.7000000000000001E-4</v>
      </c>
      <c r="G313">
        <v>9.2999999999999992E-3</v>
      </c>
      <c r="H313" s="1" t="str">
        <f>HYPERLINK("http://www.weizmann.ac.il/complex/compphys/software/geview/data/figures/218838_s_at.png","Figure")</f>
        <v>Figure</v>
      </c>
      <c r="I313">
        <v>0.64400000000000002</v>
      </c>
      <c r="J313">
        <v>2.7E-4</v>
      </c>
      <c r="K313">
        <v>0.95099999999999996</v>
      </c>
      <c r="L313">
        <v>0.75</v>
      </c>
      <c r="M313">
        <v>1.48</v>
      </c>
      <c r="N313">
        <v>4.4000000000000002E-4</v>
      </c>
    </row>
    <row r="314" spans="1:14" x14ac:dyDescent="0.25">
      <c r="A314" t="s">
        <v>599</v>
      </c>
      <c r="B314" t="s">
        <v>467</v>
      </c>
      <c r="C314" s="1" t="str">
        <f>HYPERLINK("http://www.genecards.org/cgi-bin/carddisp.pl?gene=CSH1 /// CSH2 /// CSHL1 /// GH1 /// GH2","GeneCards")</f>
        <v>GeneCards</v>
      </c>
      <c r="D314" s="1" t="str">
        <f>HYPERLINK("http://genome-euro.ucsc.edu/cgi-bin/hgTracks?position=208069_x_at","UCSC")</f>
        <v>UCSC</v>
      </c>
      <c r="E314" s="1" t="str">
        <f>HYPERLINK("http://www.ncbi.nlm.nih.gov/gene/?term=CSH1 /// CSH2 /// CSHL1 /// GH1 /// GH2","NCBI")</f>
        <v>NCBI</v>
      </c>
      <c r="F314">
        <v>1.7000000000000001E-4</v>
      </c>
      <c r="G314">
        <v>9.4000000000000004E-3</v>
      </c>
      <c r="H314" s="1" t="str">
        <f>HYPERLINK("http://www.weizmann.ac.il/complex/compphys/software/geview/data/figures/208069_x_at.png","Figure")</f>
        <v>Figure</v>
      </c>
      <c r="I314">
        <v>1.67</v>
      </c>
      <c r="J314">
        <v>2.9999999999999997E-4</v>
      </c>
      <c r="K314">
        <v>1.5</v>
      </c>
      <c r="L314">
        <v>7.1000000000000002E-4</v>
      </c>
      <c r="M314">
        <v>0.89900000000000002</v>
      </c>
      <c r="N314">
        <v>0.46</v>
      </c>
    </row>
    <row r="315" spans="1:14" x14ac:dyDescent="0.25">
      <c r="A315" t="s">
        <v>600</v>
      </c>
      <c r="B315" t="s">
        <v>601</v>
      </c>
      <c r="C315" s="1" t="str">
        <f>HYPERLINK("http://www.genecards.org/cgi-bin/carddisp.pl?gene=TUSC3","GeneCards")</f>
        <v>GeneCards</v>
      </c>
      <c r="D315" s="1" t="str">
        <f>HYPERLINK("http://genome-euro.ucsc.edu/cgi-bin/hgTracks?position=209228_x_at","UCSC")</f>
        <v>UCSC</v>
      </c>
      <c r="E315" s="1" t="str">
        <f>HYPERLINK("http://www.ncbi.nlm.nih.gov/gene/?term=TUSC3","NCBI")</f>
        <v>NCBI</v>
      </c>
      <c r="F315">
        <v>1.7000000000000001E-4</v>
      </c>
      <c r="G315">
        <v>9.4000000000000004E-3</v>
      </c>
      <c r="H315" s="1" t="str">
        <f>HYPERLINK("http://www.weizmann.ac.il/complex/compphys/software/geview/data/figures/209228_x_at.png","Figure")</f>
        <v>Figure</v>
      </c>
      <c r="I315">
        <v>1.1499999999999999</v>
      </c>
      <c r="J315">
        <v>0.8</v>
      </c>
      <c r="K315">
        <v>0.40500000000000003</v>
      </c>
      <c r="L315">
        <v>9.1E-4</v>
      </c>
      <c r="M315">
        <v>0.35199999999999998</v>
      </c>
      <c r="N315">
        <v>4.6999999999999999E-4</v>
      </c>
    </row>
    <row r="316" spans="1:14" x14ac:dyDescent="0.25">
      <c r="A316" t="s">
        <v>602</v>
      </c>
      <c r="B316" t="s">
        <v>603</v>
      </c>
      <c r="C316" s="1" t="str">
        <f>HYPERLINK("http://www.genecards.org/cgi-bin/carddisp.pl?gene=RSU1","GeneCards")</f>
        <v>GeneCards</v>
      </c>
      <c r="D316" s="1" t="str">
        <f>HYPERLINK("http://genome-euro.ucsc.edu/cgi-bin/hgTracks?position=201980_s_at","UCSC")</f>
        <v>UCSC</v>
      </c>
      <c r="E316" s="1" t="str">
        <f>HYPERLINK("http://www.ncbi.nlm.nih.gov/gene/?term=RSU1","NCBI")</f>
        <v>NCBI</v>
      </c>
      <c r="F316">
        <v>1.8000000000000001E-4</v>
      </c>
      <c r="G316">
        <v>9.4999999999999998E-3</v>
      </c>
      <c r="H316" s="1" t="str">
        <f>HYPERLINK("http://www.weizmann.ac.il/complex/compphys/software/geview/data/figures/201980_s_at.png","Figure")</f>
        <v>Figure</v>
      </c>
      <c r="I316">
        <v>0.55600000000000005</v>
      </c>
      <c r="J316">
        <v>2.1999999999999999E-2</v>
      </c>
      <c r="K316">
        <v>1.61</v>
      </c>
      <c r="L316">
        <v>3.3000000000000002E-2</v>
      </c>
      <c r="M316">
        <v>2.9</v>
      </c>
      <c r="N316">
        <v>1.2999999999999999E-4</v>
      </c>
    </row>
    <row r="317" spans="1:14" x14ac:dyDescent="0.25">
      <c r="A317" t="s">
        <v>604</v>
      </c>
      <c r="B317" t="s">
        <v>605</v>
      </c>
      <c r="C317" s="1" t="str">
        <f>HYPERLINK("http://www.genecards.org/cgi-bin/carddisp.pl?gene=PDE4DIP","GeneCards")</f>
        <v>GeneCards</v>
      </c>
      <c r="D317" s="1" t="str">
        <f>HYPERLINK("http://genome-euro.ucsc.edu/cgi-bin/hgTracks?position=212390_at","UCSC")</f>
        <v>UCSC</v>
      </c>
      <c r="E317" s="1" t="str">
        <f>HYPERLINK("http://www.ncbi.nlm.nih.gov/gene/?term=PDE4DIP","NCBI")</f>
        <v>NCBI</v>
      </c>
      <c r="F317">
        <v>1.8000000000000001E-4</v>
      </c>
      <c r="G317">
        <v>9.4999999999999998E-3</v>
      </c>
      <c r="H317" s="1" t="str">
        <f>HYPERLINK("http://www.weizmann.ac.il/complex/compphys/software/geview/data/figures/212390_at.png","Figure")</f>
        <v>Figure</v>
      </c>
      <c r="I317">
        <v>1.68</v>
      </c>
      <c r="J317">
        <v>3.6000000000000002E-4</v>
      </c>
      <c r="K317">
        <v>1.54</v>
      </c>
      <c r="L317">
        <v>5.6999999999999998E-4</v>
      </c>
      <c r="M317">
        <v>0.91500000000000004</v>
      </c>
      <c r="N317">
        <v>0.6</v>
      </c>
    </row>
    <row r="318" spans="1:14" x14ac:dyDescent="0.25">
      <c r="A318" t="s">
        <v>606</v>
      </c>
      <c r="B318" t="s">
        <v>607</v>
      </c>
      <c r="C318" s="1" t="str">
        <f>HYPERLINK("http://www.genecards.org/cgi-bin/carddisp.pl?gene=TARS2","GeneCards")</f>
        <v>GeneCards</v>
      </c>
      <c r="D318" s="1" t="str">
        <f>HYPERLINK("http://genome-euro.ucsc.edu/cgi-bin/hgTracks?position=221189_s_at","UCSC")</f>
        <v>UCSC</v>
      </c>
      <c r="E318" s="1" t="str">
        <f>HYPERLINK("http://www.ncbi.nlm.nih.gov/gene/?term=TARS2","NCBI")</f>
        <v>NCBI</v>
      </c>
      <c r="F318">
        <v>1.8000000000000001E-4</v>
      </c>
      <c r="G318">
        <v>9.4999999999999998E-3</v>
      </c>
      <c r="H318" s="1" t="str">
        <f>HYPERLINK("http://www.weizmann.ac.il/complex/compphys/software/geview/data/figures/221189_s_at.png","Figure")</f>
        <v>Figure</v>
      </c>
      <c r="I318">
        <v>1.25</v>
      </c>
      <c r="J318">
        <v>9.6000000000000002E-4</v>
      </c>
      <c r="K318">
        <v>0.97199999999999998</v>
      </c>
      <c r="L318">
        <v>0.77</v>
      </c>
      <c r="M318">
        <v>0.77600000000000002</v>
      </c>
      <c r="N318">
        <v>1.8000000000000001E-4</v>
      </c>
    </row>
    <row r="319" spans="1:14" x14ac:dyDescent="0.25">
      <c r="A319" t="s">
        <v>608</v>
      </c>
      <c r="B319" t="s">
        <v>609</v>
      </c>
      <c r="C319" s="1" t="str">
        <f>HYPERLINK("http://www.genecards.org/cgi-bin/carddisp.pl?gene=ATP5O /// DONSON","GeneCards")</f>
        <v>GeneCards</v>
      </c>
      <c r="D319" s="1" t="str">
        <f>HYPERLINK("http://genome-euro.ucsc.edu/cgi-bin/hgTracks?position=221677_s_at","UCSC")</f>
        <v>UCSC</v>
      </c>
      <c r="E319" s="1" t="str">
        <f>HYPERLINK("http://www.ncbi.nlm.nih.gov/gene/?term=ATP5O /// DONSON","NCBI")</f>
        <v>NCBI</v>
      </c>
      <c r="F319">
        <v>1.8000000000000001E-4</v>
      </c>
      <c r="G319">
        <v>9.4999999999999998E-3</v>
      </c>
      <c r="H319" s="1" t="str">
        <f>HYPERLINK("http://www.weizmann.ac.il/complex/compphys/software/geview/data/figures/221677_s_at.png","Figure")</f>
        <v>Figure</v>
      </c>
      <c r="I319">
        <v>0.437</v>
      </c>
      <c r="J319">
        <v>3.6999999999999999E-4</v>
      </c>
      <c r="K319">
        <v>0.95599999999999996</v>
      </c>
      <c r="L319">
        <v>0.94</v>
      </c>
      <c r="M319">
        <v>2.19</v>
      </c>
      <c r="N319">
        <v>3.3E-4</v>
      </c>
    </row>
    <row r="320" spans="1:14" x14ac:dyDescent="0.25">
      <c r="A320" t="s">
        <v>610</v>
      </c>
      <c r="B320" t="s">
        <v>611</v>
      </c>
      <c r="C320" s="1" t="str">
        <f>HYPERLINK("http://www.genecards.org/cgi-bin/carddisp.pl?gene=PIK3IP1","GeneCards")</f>
        <v>GeneCards</v>
      </c>
      <c r="D320" s="1" t="str">
        <f>HYPERLINK("http://genome-euro.ucsc.edu/cgi-bin/hgTracks?position=221756_at","UCSC")</f>
        <v>UCSC</v>
      </c>
      <c r="E320" s="1" t="str">
        <f>HYPERLINK("http://www.ncbi.nlm.nih.gov/gene/?term=PIK3IP1","NCBI")</f>
        <v>NCBI</v>
      </c>
      <c r="F320">
        <v>1.8000000000000001E-4</v>
      </c>
      <c r="G320">
        <v>9.4999999999999998E-3</v>
      </c>
      <c r="H320" s="1" t="str">
        <f>HYPERLINK("http://www.weizmann.ac.il/complex/compphys/software/geview/data/figures/221756_at.png","Figure")</f>
        <v>Figure</v>
      </c>
      <c r="I320">
        <v>0.93300000000000005</v>
      </c>
      <c r="J320">
        <v>0.92</v>
      </c>
      <c r="K320">
        <v>0.438</v>
      </c>
      <c r="L320">
        <v>3.6000000000000002E-4</v>
      </c>
      <c r="M320">
        <v>0.46899999999999997</v>
      </c>
      <c r="N320">
        <v>1.4E-3</v>
      </c>
    </row>
    <row r="321" spans="1:14" x14ac:dyDescent="0.25">
      <c r="A321" t="s">
        <v>612</v>
      </c>
      <c r="B321" t="s">
        <v>613</v>
      </c>
      <c r="C321" s="1" t="str">
        <f>HYPERLINK("http://www.genecards.org/cgi-bin/carddisp.pl?gene=NME1","GeneCards")</f>
        <v>GeneCards</v>
      </c>
      <c r="D321" s="1" t="str">
        <f>HYPERLINK("http://genome-euro.ucsc.edu/cgi-bin/hgTracks?position=201577_at","UCSC")</f>
        <v>UCSC</v>
      </c>
      <c r="E321" s="1" t="str">
        <f>HYPERLINK("http://www.ncbi.nlm.nih.gov/gene/?term=NME1","NCBI")</f>
        <v>NCBI</v>
      </c>
      <c r="F321">
        <v>1.8000000000000001E-4</v>
      </c>
      <c r="G321">
        <v>9.7000000000000003E-3</v>
      </c>
      <c r="H321" s="1" t="str">
        <f>HYPERLINK("http://www.weizmann.ac.il/complex/compphys/software/geview/data/figures/201577_at.png","Figure")</f>
        <v>Figure</v>
      </c>
      <c r="I321">
        <v>1.49</v>
      </c>
      <c r="J321">
        <v>0.2</v>
      </c>
      <c r="K321">
        <v>3.09</v>
      </c>
      <c r="L321">
        <v>1.6000000000000001E-4</v>
      </c>
      <c r="M321">
        <v>2.0699999999999998</v>
      </c>
      <c r="N321">
        <v>9.9000000000000008E-3</v>
      </c>
    </row>
    <row r="322" spans="1:14" x14ac:dyDescent="0.25">
      <c r="A322" t="s">
        <v>614</v>
      </c>
      <c r="B322" t="s">
        <v>615</v>
      </c>
      <c r="C322" s="1" t="str">
        <f>HYPERLINK("http://www.genecards.org/cgi-bin/carddisp.pl?gene=DYRK2","GeneCards")</f>
        <v>GeneCards</v>
      </c>
      <c r="D322" s="1" t="str">
        <f>HYPERLINK("http://genome-euro.ucsc.edu/cgi-bin/hgTracks?position=202968_s_at","UCSC")</f>
        <v>UCSC</v>
      </c>
      <c r="E322" s="1" t="str">
        <f>HYPERLINK("http://www.ncbi.nlm.nih.gov/gene/?term=DYRK2","NCBI")</f>
        <v>NCBI</v>
      </c>
      <c r="F322">
        <v>1.8000000000000001E-4</v>
      </c>
      <c r="G322">
        <v>9.7000000000000003E-3</v>
      </c>
      <c r="H322" s="1" t="str">
        <f>HYPERLINK("http://www.weizmann.ac.il/complex/compphys/software/geview/data/figures/202968_s_at.png","Figure")</f>
        <v>Figure</v>
      </c>
      <c r="I322">
        <v>0.81799999999999995</v>
      </c>
      <c r="J322">
        <v>0.28999999999999998</v>
      </c>
      <c r="K322">
        <v>0.52800000000000002</v>
      </c>
      <c r="L322">
        <v>1.8000000000000001E-4</v>
      </c>
      <c r="M322">
        <v>0.64500000000000002</v>
      </c>
      <c r="N322">
        <v>7.0000000000000001E-3</v>
      </c>
    </row>
    <row r="323" spans="1:14" x14ac:dyDescent="0.25">
      <c r="A323" t="s">
        <v>616</v>
      </c>
      <c r="B323" t="s">
        <v>617</v>
      </c>
      <c r="C323" s="1" t="str">
        <f>HYPERLINK("http://www.genecards.org/cgi-bin/carddisp.pl?gene=TP53BP1","GeneCards")</f>
        <v>GeneCards</v>
      </c>
      <c r="D323" s="1" t="str">
        <f>HYPERLINK("http://genome-euro.ucsc.edu/cgi-bin/hgTracks?position=203050_at","UCSC")</f>
        <v>UCSC</v>
      </c>
      <c r="E323" s="1" t="str">
        <f>HYPERLINK("http://www.ncbi.nlm.nih.gov/gene/?term=TP53BP1","NCBI")</f>
        <v>NCBI</v>
      </c>
      <c r="F323">
        <v>1.8000000000000001E-4</v>
      </c>
      <c r="G323">
        <v>9.7000000000000003E-3</v>
      </c>
      <c r="H323" s="1" t="str">
        <f>HYPERLINK("http://www.weizmann.ac.il/complex/compphys/software/geview/data/figures/203050_at.png","Figure")</f>
        <v>Figure</v>
      </c>
      <c r="I323">
        <v>1.79</v>
      </c>
      <c r="J323">
        <v>1.2999999999999999E-4</v>
      </c>
      <c r="K323">
        <v>1.34</v>
      </c>
      <c r="L323">
        <v>1.0999999999999999E-2</v>
      </c>
      <c r="M323">
        <v>0.752</v>
      </c>
      <c r="N323">
        <v>0.02</v>
      </c>
    </row>
    <row r="324" spans="1:14" x14ac:dyDescent="0.25">
      <c r="A324" t="s">
        <v>618</v>
      </c>
      <c r="B324" t="s">
        <v>214</v>
      </c>
      <c r="C324" s="1" t="str">
        <f>HYPERLINK("http://www.genecards.org/cgi-bin/carddisp.pl?gene=CYFIP2","GeneCards")</f>
        <v>GeneCards</v>
      </c>
      <c r="D324" s="1" t="str">
        <f>HYPERLINK("http://genome-euro.ucsc.edu/cgi-bin/hgTracks?position=215785_s_at","UCSC")</f>
        <v>UCSC</v>
      </c>
      <c r="E324" s="1" t="str">
        <f>HYPERLINK("http://www.ncbi.nlm.nih.gov/gene/?term=CYFIP2","NCBI")</f>
        <v>NCBI</v>
      </c>
      <c r="F324">
        <v>1.8000000000000001E-4</v>
      </c>
      <c r="G324">
        <v>9.7000000000000003E-3</v>
      </c>
      <c r="H324" s="1" t="str">
        <f>HYPERLINK("http://www.weizmann.ac.il/complex/compphys/software/geview/data/figures/215785_s_at.png","Figure")</f>
        <v>Figure</v>
      </c>
      <c r="I324">
        <v>2.2799999999999998</v>
      </c>
      <c r="J324">
        <v>1.8E-3</v>
      </c>
      <c r="K324">
        <v>2.5299999999999998</v>
      </c>
      <c r="L324">
        <v>2.0000000000000001E-4</v>
      </c>
      <c r="M324">
        <v>1.1100000000000001</v>
      </c>
      <c r="N324">
        <v>0.83</v>
      </c>
    </row>
    <row r="325" spans="1:14" x14ac:dyDescent="0.25">
      <c r="A325" t="s">
        <v>619</v>
      </c>
      <c r="B325" t="s">
        <v>620</v>
      </c>
      <c r="C325" s="1" t="str">
        <f>HYPERLINK("http://www.genecards.org/cgi-bin/carddisp.pl?gene=CD38","GeneCards")</f>
        <v>GeneCards</v>
      </c>
      <c r="D325" s="1" t="str">
        <f>HYPERLINK("http://genome-euro.ucsc.edu/cgi-bin/hgTracks?position=205692_s_at","UCSC")</f>
        <v>UCSC</v>
      </c>
      <c r="E325" s="1" t="str">
        <f>HYPERLINK("http://www.ncbi.nlm.nih.gov/gene/?term=CD38","NCBI")</f>
        <v>NCBI</v>
      </c>
      <c r="F325">
        <v>1.9000000000000001E-4</v>
      </c>
      <c r="G325">
        <v>9.7000000000000003E-3</v>
      </c>
      <c r="H325" s="1" t="str">
        <f>HYPERLINK("http://www.weizmann.ac.il/complex/compphys/software/geview/data/figures/205692_s_at.png","Figure")</f>
        <v>Figure</v>
      </c>
      <c r="I325">
        <v>2.09</v>
      </c>
      <c r="J325">
        <v>1.2999999999999999E-3</v>
      </c>
      <c r="K325">
        <v>2.19</v>
      </c>
      <c r="L325">
        <v>2.3000000000000001E-4</v>
      </c>
      <c r="M325">
        <v>1.05</v>
      </c>
      <c r="N325">
        <v>0.95</v>
      </c>
    </row>
    <row r="326" spans="1:14" x14ac:dyDescent="0.25">
      <c r="A326" t="s">
        <v>621</v>
      </c>
      <c r="B326" t="s">
        <v>622</v>
      </c>
      <c r="C326" s="1" t="str">
        <f>HYPERLINK("http://www.genecards.org/cgi-bin/carddisp.pl?gene=POLR2H","GeneCards")</f>
        <v>GeneCards</v>
      </c>
      <c r="D326" s="1" t="str">
        <f>HYPERLINK("http://genome-euro.ucsc.edu/cgi-bin/hgTracks?position=209302_at","UCSC")</f>
        <v>UCSC</v>
      </c>
      <c r="E326" s="1" t="str">
        <f>HYPERLINK("http://www.ncbi.nlm.nih.gov/gene/?term=POLR2H","NCBI")</f>
        <v>NCBI</v>
      </c>
      <c r="F326">
        <v>1.9000000000000001E-4</v>
      </c>
      <c r="G326">
        <v>9.7000000000000003E-3</v>
      </c>
      <c r="H326" s="1" t="str">
        <f>HYPERLINK("http://www.weizmann.ac.il/complex/compphys/software/geview/data/figures/209302_at.png","Figure")</f>
        <v>Figure</v>
      </c>
      <c r="I326">
        <v>1.18</v>
      </c>
      <c r="J326">
        <v>0.45</v>
      </c>
      <c r="K326">
        <v>1.94</v>
      </c>
      <c r="L326">
        <v>2.1000000000000001E-4</v>
      </c>
      <c r="M326">
        <v>1.64</v>
      </c>
      <c r="N326">
        <v>4.4000000000000003E-3</v>
      </c>
    </row>
    <row r="327" spans="1:14" x14ac:dyDescent="0.25">
      <c r="A327" t="s">
        <v>623</v>
      </c>
      <c r="B327" t="s">
        <v>394</v>
      </c>
      <c r="C327" s="1" t="str">
        <f>HYPERLINK("http://www.genecards.org/cgi-bin/carddisp.pl?gene=MTCP1NB","GeneCards")</f>
        <v>GeneCards</v>
      </c>
      <c r="D327" s="1" t="str">
        <f>HYPERLINK("http://genome-euro.ucsc.edu/cgi-bin/hgTracks?position=210212_x_at","UCSC")</f>
        <v>UCSC</v>
      </c>
      <c r="E327" s="1" t="str">
        <f>HYPERLINK("http://www.ncbi.nlm.nih.gov/gene/?term=MTCP1NB","NCBI")</f>
        <v>NCBI</v>
      </c>
      <c r="F327">
        <v>1.9000000000000001E-4</v>
      </c>
      <c r="G327">
        <v>9.7999999999999997E-3</v>
      </c>
      <c r="H327" s="1" t="str">
        <f>HYPERLINK("http://www.weizmann.ac.il/complex/compphys/software/geview/data/figures/210212_x_at.png","Figure")</f>
        <v>Figure</v>
      </c>
      <c r="I327">
        <v>0.32300000000000001</v>
      </c>
      <c r="J327">
        <v>1.7000000000000001E-4</v>
      </c>
      <c r="K327">
        <v>0.74</v>
      </c>
      <c r="L327">
        <v>0.22</v>
      </c>
      <c r="M327">
        <v>2.29</v>
      </c>
      <c r="N327">
        <v>1.4E-3</v>
      </c>
    </row>
    <row r="328" spans="1:14" x14ac:dyDescent="0.25">
      <c r="A328" t="s">
        <v>624</v>
      </c>
      <c r="B328" t="s">
        <v>625</v>
      </c>
      <c r="C328" s="1" t="str">
        <f>HYPERLINK("http://www.genecards.org/cgi-bin/carddisp.pl?gene=CALHM2","GeneCards")</f>
        <v>GeneCards</v>
      </c>
      <c r="D328" s="1" t="str">
        <f>HYPERLINK("http://genome-euro.ucsc.edu/cgi-bin/hgTracks?position=57715_at","UCSC")</f>
        <v>UCSC</v>
      </c>
      <c r="E328" s="1" t="str">
        <f>HYPERLINK("http://www.ncbi.nlm.nih.gov/gene/?term=CALHM2","NCBI")</f>
        <v>NCBI</v>
      </c>
      <c r="F328">
        <v>1.9000000000000001E-4</v>
      </c>
      <c r="G328">
        <v>9.7999999999999997E-3</v>
      </c>
      <c r="H328" s="1" t="str">
        <f>HYPERLINK("http://www.weizmann.ac.il/complex/compphys/software/geview/data/figures/57715_at.png","Figure")</f>
        <v>Figure</v>
      </c>
      <c r="I328">
        <v>0.73799999999999999</v>
      </c>
      <c r="J328">
        <v>4.7999999999999996E-3</v>
      </c>
      <c r="K328">
        <v>1.1399999999999999</v>
      </c>
      <c r="L328">
        <v>0.18</v>
      </c>
      <c r="M328">
        <v>1.54</v>
      </c>
      <c r="N328">
        <v>1.2999999999999999E-4</v>
      </c>
    </row>
    <row r="329" spans="1:14" x14ac:dyDescent="0.25">
      <c r="A329" t="s">
        <v>626</v>
      </c>
      <c r="B329" t="s">
        <v>627</v>
      </c>
      <c r="C329" s="1" t="str">
        <f>HYPERLINK("http://www.genecards.org/cgi-bin/carddisp.pl?gene=NARG2","GeneCards")</f>
        <v>GeneCards</v>
      </c>
      <c r="D329" s="1" t="str">
        <f>HYPERLINK("http://genome-euro.ucsc.edu/cgi-bin/hgTracks?position=218713_at","UCSC")</f>
        <v>UCSC</v>
      </c>
      <c r="E329" s="1" t="str">
        <f>HYPERLINK("http://www.ncbi.nlm.nih.gov/gene/?term=NARG2","NCBI")</f>
        <v>NCBI</v>
      </c>
      <c r="F329">
        <v>1.9000000000000001E-4</v>
      </c>
      <c r="G329">
        <v>0.01</v>
      </c>
      <c r="H329" s="1" t="str">
        <f>HYPERLINK("http://www.weizmann.ac.il/complex/compphys/software/geview/data/figures/218713_at.png","Figure")</f>
        <v>Figure</v>
      </c>
      <c r="I329">
        <v>0.48199999999999998</v>
      </c>
      <c r="J329">
        <v>1.9E-3</v>
      </c>
      <c r="K329">
        <v>1.19</v>
      </c>
      <c r="L329">
        <v>0.47</v>
      </c>
      <c r="M329">
        <v>2.4700000000000002</v>
      </c>
      <c r="N329">
        <v>1.6000000000000001E-4</v>
      </c>
    </row>
    <row r="330" spans="1:14" x14ac:dyDescent="0.25">
      <c r="A330" t="s">
        <v>628</v>
      </c>
      <c r="B330" t="s">
        <v>629</v>
      </c>
      <c r="C330" s="1" t="str">
        <f>HYPERLINK("http://www.genecards.org/cgi-bin/carddisp.pl?gene=RAB14","GeneCards")</f>
        <v>GeneCards</v>
      </c>
      <c r="D330" s="1" t="str">
        <f>HYPERLINK("http://genome-euro.ucsc.edu/cgi-bin/hgTracks?position=200927_s_at","UCSC")</f>
        <v>UCSC</v>
      </c>
      <c r="E330" s="1" t="str">
        <f>HYPERLINK("http://www.ncbi.nlm.nih.gov/gene/?term=RAB14","NCBI")</f>
        <v>NCBI</v>
      </c>
      <c r="F330">
        <v>2.0000000000000001E-4</v>
      </c>
      <c r="G330">
        <v>0.01</v>
      </c>
      <c r="H330" s="1" t="str">
        <f>HYPERLINK("http://www.weizmann.ac.il/complex/compphys/software/geview/data/figures/200927_s_at.png","Figure")</f>
        <v>Figure</v>
      </c>
      <c r="I330">
        <v>0.75600000000000001</v>
      </c>
      <c r="J330">
        <v>7.5999999999999998E-2</v>
      </c>
      <c r="K330">
        <v>0.54900000000000004</v>
      </c>
      <c r="L330">
        <v>1.3999999999999999E-4</v>
      </c>
      <c r="M330">
        <v>0.72599999999999998</v>
      </c>
      <c r="N330">
        <v>2.9000000000000001E-2</v>
      </c>
    </row>
    <row r="331" spans="1:14" x14ac:dyDescent="0.25">
      <c r="A331" t="s">
        <v>630</v>
      </c>
      <c r="B331" t="s">
        <v>631</v>
      </c>
      <c r="C331" s="1" t="str">
        <f>HYPERLINK("http://www.genecards.org/cgi-bin/carddisp.pl?gene=PLP2","GeneCards")</f>
        <v>GeneCards</v>
      </c>
      <c r="D331" s="1" t="str">
        <f>HYPERLINK("http://genome-euro.ucsc.edu/cgi-bin/hgTracks?position=201136_at","UCSC")</f>
        <v>UCSC</v>
      </c>
      <c r="E331" s="1" t="str">
        <f>HYPERLINK("http://www.ncbi.nlm.nih.gov/gene/?term=PLP2","NCBI")</f>
        <v>NCBI</v>
      </c>
      <c r="F331">
        <v>2.0000000000000001E-4</v>
      </c>
      <c r="G331">
        <v>0.01</v>
      </c>
      <c r="H331" s="1" t="str">
        <f>HYPERLINK("http://www.weizmann.ac.il/complex/compphys/software/geview/data/figures/201136_at.png","Figure")</f>
        <v>Figure</v>
      </c>
      <c r="I331">
        <v>0.36699999999999999</v>
      </c>
      <c r="J331">
        <v>2E-3</v>
      </c>
      <c r="K331">
        <v>1.27</v>
      </c>
      <c r="L331">
        <v>0.46</v>
      </c>
      <c r="M331">
        <v>3.47</v>
      </c>
      <c r="N331">
        <v>1.6000000000000001E-4</v>
      </c>
    </row>
    <row r="332" spans="1:14" x14ac:dyDescent="0.25">
      <c r="A332" t="s">
        <v>632</v>
      </c>
      <c r="B332" t="s">
        <v>633</v>
      </c>
      <c r="C332" s="1" t="str">
        <f>HYPERLINK("http://www.genecards.org/cgi-bin/carddisp.pl?gene=DYNC1LI2","GeneCards")</f>
        <v>GeneCards</v>
      </c>
      <c r="D332" s="1" t="str">
        <f>HYPERLINK("http://genome-euro.ucsc.edu/cgi-bin/hgTracks?position=203590_at","UCSC")</f>
        <v>UCSC</v>
      </c>
      <c r="E332" s="1" t="str">
        <f>HYPERLINK("http://www.ncbi.nlm.nih.gov/gene/?term=DYNC1LI2","NCBI")</f>
        <v>NCBI</v>
      </c>
      <c r="F332">
        <v>2.0000000000000001E-4</v>
      </c>
      <c r="G332">
        <v>0.01</v>
      </c>
      <c r="H332" s="1" t="str">
        <f>HYPERLINK("http://www.weizmann.ac.il/complex/compphys/software/geview/data/figures/203590_at.png","Figure")</f>
        <v>Figure</v>
      </c>
      <c r="I332">
        <v>1.1100000000000001</v>
      </c>
      <c r="J332">
        <v>0.69</v>
      </c>
      <c r="K332">
        <v>0.59599999999999997</v>
      </c>
      <c r="L332">
        <v>1.2999999999999999E-3</v>
      </c>
      <c r="M332">
        <v>0.53600000000000003</v>
      </c>
      <c r="N332">
        <v>4.4999999999999999E-4</v>
      </c>
    </row>
    <row r="333" spans="1:14" x14ac:dyDescent="0.25">
      <c r="A333" t="s">
        <v>634</v>
      </c>
      <c r="B333" t="s">
        <v>635</v>
      </c>
      <c r="C333" s="1" t="str">
        <f>HYPERLINK("http://www.genecards.org/cgi-bin/carddisp.pl?gene=SMYD2","GeneCards")</f>
        <v>GeneCards</v>
      </c>
      <c r="D333" s="1" t="str">
        <f>HYPERLINK("http://genome-euro.ucsc.edu/cgi-bin/hgTracks?position=212922_s_at","UCSC")</f>
        <v>UCSC</v>
      </c>
      <c r="E333" s="1" t="str">
        <f>HYPERLINK("http://www.ncbi.nlm.nih.gov/gene/?term=SMYD2","NCBI")</f>
        <v>NCBI</v>
      </c>
      <c r="F333">
        <v>2.0000000000000001E-4</v>
      </c>
      <c r="G333">
        <v>0.01</v>
      </c>
      <c r="H333" s="1" t="str">
        <f>HYPERLINK("http://www.weizmann.ac.il/complex/compphys/software/geview/data/figures/212922_s_at.png","Figure")</f>
        <v>Figure</v>
      </c>
      <c r="I333">
        <v>2.5299999999999998</v>
      </c>
      <c r="J333">
        <v>5.7999999999999996E-3</v>
      </c>
      <c r="K333">
        <v>3.49</v>
      </c>
      <c r="L333">
        <v>1.4999999999999999E-4</v>
      </c>
      <c r="M333">
        <v>1.38</v>
      </c>
      <c r="N333">
        <v>0.36</v>
      </c>
    </row>
    <row r="334" spans="1:14" x14ac:dyDescent="0.25">
      <c r="A334" t="s">
        <v>636</v>
      </c>
      <c r="B334" t="s">
        <v>637</v>
      </c>
      <c r="C334" s="1" t="str">
        <f>HYPERLINK("http://www.genecards.org/cgi-bin/carddisp.pl?gene=ZNF467","GeneCards")</f>
        <v>GeneCards</v>
      </c>
      <c r="D334" s="1" t="str">
        <f>HYPERLINK("http://genome-euro.ucsc.edu/cgi-bin/hgTracks?position=213559_s_at","UCSC")</f>
        <v>UCSC</v>
      </c>
      <c r="E334" s="1" t="str">
        <f>HYPERLINK("http://www.ncbi.nlm.nih.gov/gene/?term=ZNF467","NCBI")</f>
        <v>NCBI</v>
      </c>
      <c r="F334">
        <v>2.0000000000000001E-4</v>
      </c>
      <c r="G334">
        <v>0.01</v>
      </c>
      <c r="H334" s="1" t="str">
        <f>HYPERLINK("http://www.weizmann.ac.il/complex/compphys/software/geview/data/figures/213559_s_at.png","Figure")</f>
        <v>Figure</v>
      </c>
      <c r="I334">
        <v>1.1399999999999999</v>
      </c>
      <c r="J334">
        <v>9.7999999999999997E-3</v>
      </c>
      <c r="K334">
        <v>0.92800000000000005</v>
      </c>
      <c r="L334">
        <v>8.5999999999999993E-2</v>
      </c>
      <c r="M334">
        <v>0.81699999999999995</v>
      </c>
      <c r="N334">
        <v>1.2999999999999999E-4</v>
      </c>
    </row>
    <row r="335" spans="1:14" x14ac:dyDescent="0.25">
      <c r="A335" t="s">
        <v>638</v>
      </c>
      <c r="B335" t="s">
        <v>639</v>
      </c>
      <c r="C335" s="1" t="str">
        <f>HYPERLINK("http://www.genecards.org/cgi-bin/carddisp.pl?gene=LST1","GeneCards")</f>
        <v>GeneCards</v>
      </c>
      <c r="D335" s="1" t="str">
        <f>HYPERLINK("http://genome-euro.ucsc.edu/cgi-bin/hgTracks?position=214181_x_at","UCSC")</f>
        <v>UCSC</v>
      </c>
      <c r="E335" s="1" t="str">
        <f>HYPERLINK("http://www.ncbi.nlm.nih.gov/gene/?term=LST1","NCBI")</f>
        <v>NCBI</v>
      </c>
      <c r="F335">
        <v>2.0000000000000001E-4</v>
      </c>
      <c r="G335">
        <v>0.01</v>
      </c>
      <c r="H335" s="1" t="str">
        <f>HYPERLINK("http://www.weizmann.ac.il/complex/compphys/software/geview/data/figures/214181_x_at.png","Figure")</f>
        <v>Figure</v>
      </c>
      <c r="I335">
        <v>0.30399999999999999</v>
      </c>
      <c r="J335">
        <v>2.5999999999999998E-4</v>
      </c>
      <c r="K335">
        <v>0.41799999999999998</v>
      </c>
      <c r="L335">
        <v>1.1999999999999999E-3</v>
      </c>
      <c r="M335">
        <v>1.38</v>
      </c>
      <c r="N335">
        <v>0.28000000000000003</v>
      </c>
    </row>
    <row r="336" spans="1:14" x14ac:dyDescent="0.25">
      <c r="A336" t="s">
        <v>640</v>
      </c>
      <c r="B336" t="s">
        <v>641</v>
      </c>
      <c r="C336" s="1" t="str">
        <f>HYPERLINK("http://www.genecards.org/cgi-bin/carddisp.pl?gene=RAB20","GeneCards")</f>
        <v>GeneCards</v>
      </c>
      <c r="D336" s="1" t="str">
        <f>HYPERLINK("http://genome-euro.ucsc.edu/cgi-bin/hgTracks?position=219622_at","UCSC")</f>
        <v>UCSC</v>
      </c>
      <c r="E336" s="1" t="str">
        <f>HYPERLINK("http://www.ncbi.nlm.nih.gov/gene/?term=RAB20","NCBI")</f>
        <v>NCBI</v>
      </c>
      <c r="F336">
        <v>2.0000000000000001E-4</v>
      </c>
      <c r="G336">
        <v>0.01</v>
      </c>
      <c r="H336" s="1" t="str">
        <f>HYPERLINK("http://www.weizmann.ac.il/complex/compphys/software/geview/data/figures/219622_at.png","Figure")</f>
        <v>Figure</v>
      </c>
      <c r="I336">
        <v>1.56</v>
      </c>
      <c r="J336">
        <v>1.8000000000000001E-4</v>
      </c>
      <c r="K336">
        <v>1.32</v>
      </c>
      <c r="L336">
        <v>3.2000000000000002E-3</v>
      </c>
      <c r="M336">
        <v>0.84399999999999997</v>
      </c>
      <c r="N336">
        <v>8.5000000000000006E-2</v>
      </c>
    </row>
    <row r="337" spans="1:14" x14ac:dyDescent="0.25">
      <c r="A337" t="s">
        <v>642</v>
      </c>
      <c r="B337" t="s">
        <v>643</v>
      </c>
      <c r="C337" s="1" t="str">
        <f>HYPERLINK("http://www.genecards.org/cgi-bin/carddisp.pl?gene=EIF1","GeneCards")</f>
        <v>GeneCards</v>
      </c>
      <c r="D337" s="1" t="str">
        <f>HYPERLINK("http://genome-euro.ucsc.edu/cgi-bin/hgTracks?position=211956_s_at","UCSC")</f>
        <v>UCSC</v>
      </c>
      <c r="E337" s="1" t="str">
        <f>HYPERLINK("http://www.ncbi.nlm.nih.gov/gene/?term=EIF1","NCBI")</f>
        <v>NCBI</v>
      </c>
      <c r="F337">
        <v>2.0000000000000001E-4</v>
      </c>
      <c r="G337">
        <v>0.01</v>
      </c>
      <c r="H337" s="1" t="str">
        <f>HYPERLINK("http://www.weizmann.ac.il/complex/compphys/software/geview/data/figures/211956_s_at.png","Figure")</f>
        <v>Figure</v>
      </c>
      <c r="I337">
        <v>0.624</v>
      </c>
      <c r="J337">
        <v>6.7000000000000002E-3</v>
      </c>
      <c r="K337">
        <v>0.52200000000000002</v>
      </c>
      <c r="L337">
        <v>1.4999999999999999E-4</v>
      </c>
      <c r="M337">
        <v>0.83699999999999997</v>
      </c>
      <c r="N337">
        <v>0.32</v>
      </c>
    </row>
    <row r="338" spans="1:14" x14ac:dyDescent="0.25">
      <c r="A338" t="s">
        <v>644</v>
      </c>
      <c r="B338" t="s">
        <v>645</v>
      </c>
      <c r="C338" s="1" t="str">
        <f>HYPERLINK("http://www.genecards.org/cgi-bin/carddisp.pl?gene=GGNBP2","GeneCards")</f>
        <v>GeneCards</v>
      </c>
      <c r="D338" s="1" t="str">
        <f>HYPERLINK("http://genome-euro.ucsc.edu/cgi-bin/hgTracks?position=218079_s_at","UCSC")</f>
        <v>UCSC</v>
      </c>
      <c r="E338" s="1" t="str">
        <f>HYPERLINK("http://www.ncbi.nlm.nih.gov/gene/?term=GGNBP2","NCBI")</f>
        <v>NCBI</v>
      </c>
      <c r="F338">
        <v>2.0000000000000001E-4</v>
      </c>
      <c r="G338">
        <v>0.01</v>
      </c>
      <c r="H338" s="1" t="str">
        <f>HYPERLINK("http://www.weizmann.ac.il/complex/compphys/software/geview/data/figures/218079_s_at.png","Figure")</f>
        <v>Figure</v>
      </c>
      <c r="I338">
        <v>0.66300000000000003</v>
      </c>
      <c r="J338">
        <v>0.03</v>
      </c>
      <c r="K338">
        <v>0.48399999999999999</v>
      </c>
      <c r="L338">
        <v>1.3999999999999999E-4</v>
      </c>
      <c r="M338">
        <v>0.72899999999999998</v>
      </c>
      <c r="N338">
        <v>7.5999999999999998E-2</v>
      </c>
    </row>
    <row r="339" spans="1:14" x14ac:dyDescent="0.25">
      <c r="A339" t="s">
        <v>646</v>
      </c>
      <c r="B339" t="s">
        <v>647</v>
      </c>
      <c r="C339" s="1" t="str">
        <f>HYPERLINK("http://www.genecards.org/cgi-bin/carddisp.pl?gene=PRKCZ","GeneCards")</f>
        <v>GeneCards</v>
      </c>
      <c r="D339" s="1" t="str">
        <f>HYPERLINK("http://genome-euro.ucsc.edu/cgi-bin/hgTracks?position=202178_at","UCSC")</f>
        <v>UCSC</v>
      </c>
      <c r="E339" s="1" t="str">
        <f>HYPERLINK("http://www.ncbi.nlm.nih.gov/gene/?term=PRKCZ","NCBI")</f>
        <v>NCBI</v>
      </c>
      <c r="F339">
        <v>2.0000000000000001E-4</v>
      </c>
      <c r="G339">
        <v>0.01</v>
      </c>
      <c r="H339" s="1" t="str">
        <f>HYPERLINK("http://www.weizmann.ac.il/complex/compphys/software/geview/data/figures/202178_at.png","Figure")</f>
        <v>Figure</v>
      </c>
      <c r="I339">
        <v>6.83</v>
      </c>
      <c r="J339">
        <v>3.4000000000000002E-4</v>
      </c>
      <c r="K339">
        <v>4.54</v>
      </c>
      <c r="L339">
        <v>8.4000000000000003E-4</v>
      </c>
      <c r="M339">
        <v>0.66500000000000004</v>
      </c>
      <c r="N339">
        <v>0.46</v>
      </c>
    </row>
    <row r="340" spans="1:14" x14ac:dyDescent="0.25">
      <c r="A340" t="s">
        <v>648</v>
      </c>
      <c r="B340" t="s">
        <v>23</v>
      </c>
      <c r="C340" s="1" t="str">
        <f>HYPERLINK("http://www.genecards.org/cgi-bin/carddisp.pl?gene=CYB5A","GeneCards")</f>
        <v>GeneCards</v>
      </c>
      <c r="D340" s="1" t="str">
        <f>HYPERLINK("http://genome-euro.ucsc.edu/cgi-bin/hgTracks?position=207843_x_at","UCSC")</f>
        <v>UCSC</v>
      </c>
      <c r="E340" s="1" t="str">
        <f>HYPERLINK("http://www.ncbi.nlm.nih.gov/gene/?term=CYB5A","NCBI")</f>
        <v>NCBI</v>
      </c>
      <c r="F340">
        <v>2.0000000000000001E-4</v>
      </c>
      <c r="G340">
        <v>0.01</v>
      </c>
      <c r="H340" s="1" t="str">
        <f>HYPERLINK("http://www.weizmann.ac.il/complex/compphys/software/geview/data/figures/207843_x_at.png","Figure")</f>
        <v>Figure</v>
      </c>
      <c r="I340">
        <v>0.33700000000000002</v>
      </c>
      <c r="J340">
        <v>1.6999999999999999E-3</v>
      </c>
      <c r="K340">
        <v>1.26</v>
      </c>
      <c r="L340">
        <v>0.54</v>
      </c>
      <c r="M340">
        <v>3.74</v>
      </c>
      <c r="N340">
        <v>1.7000000000000001E-4</v>
      </c>
    </row>
    <row r="341" spans="1:14" x14ac:dyDescent="0.25">
      <c r="A341" t="s">
        <v>649</v>
      </c>
      <c r="B341" t="s">
        <v>91</v>
      </c>
      <c r="C341" s="1" t="str">
        <f>HYPERLINK("http://www.genecards.org/cgi-bin/carddisp.pl?gene=ME2","GeneCards")</f>
        <v>GeneCards</v>
      </c>
      <c r="D341" s="1" t="str">
        <f>HYPERLINK("http://genome-euro.ucsc.edu/cgi-bin/hgTracks?position=210154_at","UCSC")</f>
        <v>UCSC</v>
      </c>
      <c r="E341" s="1" t="str">
        <f>HYPERLINK("http://www.ncbi.nlm.nih.gov/gene/?term=ME2","NCBI")</f>
        <v>NCBI</v>
      </c>
      <c r="F341">
        <v>2.0000000000000001E-4</v>
      </c>
      <c r="G341">
        <v>0.01</v>
      </c>
      <c r="H341" s="1" t="str">
        <f>HYPERLINK("http://www.weizmann.ac.il/complex/compphys/software/geview/data/figures/210154_at.png","Figure")</f>
        <v>Figure</v>
      </c>
      <c r="I341">
        <v>0.58699999999999997</v>
      </c>
      <c r="J341">
        <v>2.3E-3</v>
      </c>
      <c r="K341">
        <v>1.1499999999999999</v>
      </c>
      <c r="L341">
        <v>0.41</v>
      </c>
      <c r="M341">
        <v>1.96</v>
      </c>
      <c r="N341">
        <v>1.6000000000000001E-4</v>
      </c>
    </row>
    <row r="342" spans="1:14" x14ac:dyDescent="0.25">
      <c r="A342" t="s">
        <v>650</v>
      </c>
      <c r="B342" t="s">
        <v>651</v>
      </c>
      <c r="C342" s="1" t="str">
        <f>HYPERLINK("http://www.genecards.org/cgi-bin/carddisp.pl?gene=BLK","GeneCards")</f>
        <v>GeneCards</v>
      </c>
      <c r="D342" s="1" t="str">
        <f>HYPERLINK("http://genome-euro.ucsc.edu/cgi-bin/hgTracks?position=206255_at","UCSC")</f>
        <v>UCSC</v>
      </c>
      <c r="E342" s="1" t="str">
        <f>HYPERLINK("http://www.ncbi.nlm.nih.gov/gene/?term=BLK","NCBI")</f>
        <v>NCBI</v>
      </c>
      <c r="F342">
        <v>2.1000000000000001E-4</v>
      </c>
      <c r="G342">
        <v>0.01</v>
      </c>
      <c r="H342" s="1" t="str">
        <f>HYPERLINK("http://www.weizmann.ac.il/complex/compphys/software/geview/data/figures/206255_at.png","Figure")</f>
        <v>Figure</v>
      </c>
      <c r="I342">
        <v>4.49</v>
      </c>
      <c r="J342">
        <v>1.6000000000000001E-3</v>
      </c>
      <c r="K342">
        <v>5.13</v>
      </c>
      <c r="L342">
        <v>2.4000000000000001E-4</v>
      </c>
      <c r="M342">
        <v>1.1399999999999999</v>
      </c>
      <c r="N342">
        <v>0.9</v>
      </c>
    </row>
    <row r="343" spans="1:14" x14ac:dyDescent="0.25">
      <c r="A343" t="s">
        <v>652</v>
      </c>
      <c r="B343" t="s">
        <v>653</v>
      </c>
      <c r="C343" s="1" t="str">
        <f>HYPERLINK("http://www.genecards.org/cgi-bin/carddisp.pl?gene=TMEM121","GeneCards")</f>
        <v>GeneCards</v>
      </c>
      <c r="D343" s="1" t="str">
        <f>HYPERLINK("http://genome-euro.ucsc.edu/cgi-bin/hgTracks?position=219663_s_at","UCSC")</f>
        <v>UCSC</v>
      </c>
      <c r="E343" s="1" t="str">
        <f>HYPERLINK("http://www.ncbi.nlm.nih.gov/gene/?term=TMEM121","NCBI")</f>
        <v>NCBI</v>
      </c>
      <c r="F343">
        <v>2.1000000000000001E-4</v>
      </c>
      <c r="G343">
        <v>0.01</v>
      </c>
      <c r="H343" s="1" t="str">
        <f>HYPERLINK("http://www.weizmann.ac.il/complex/compphys/software/geview/data/figures/219663_s_at.png","Figure")</f>
        <v>Figure</v>
      </c>
      <c r="I343">
        <v>1.38</v>
      </c>
      <c r="J343">
        <v>1.8E-3</v>
      </c>
      <c r="K343">
        <v>1.43</v>
      </c>
      <c r="L343">
        <v>2.3000000000000001E-4</v>
      </c>
      <c r="M343">
        <v>1.04</v>
      </c>
      <c r="N343">
        <v>0.86</v>
      </c>
    </row>
    <row r="344" spans="1:14" x14ac:dyDescent="0.25">
      <c r="A344" t="s">
        <v>654</v>
      </c>
      <c r="B344" t="s">
        <v>655</v>
      </c>
      <c r="C344" s="1" t="str">
        <f>HYPERLINK("http://www.genecards.org/cgi-bin/carddisp.pl?gene=PIK3C3","GeneCards")</f>
        <v>GeneCards</v>
      </c>
      <c r="D344" s="1" t="str">
        <f>HYPERLINK("http://genome-euro.ucsc.edu/cgi-bin/hgTracks?position=204297_at","UCSC")</f>
        <v>UCSC</v>
      </c>
      <c r="E344" s="1" t="str">
        <f>HYPERLINK("http://www.ncbi.nlm.nih.gov/gene/?term=PIK3C3","NCBI")</f>
        <v>NCBI</v>
      </c>
      <c r="F344">
        <v>2.1000000000000001E-4</v>
      </c>
      <c r="G344">
        <v>0.01</v>
      </c>
      <c r="H344" s="1" t="str">
        <f>HYPERLINK("http://www.weizmann.ac.il/complex/compphys/software/geview/data/figures/204297_at.png","Figure")</f>
        <v>Figure</v>
      </c>
      <c r="I344">
        <v>0.98799999999999999</v>
      </c>
      <c r="J344">
        <v>0.99</v>
      </c>
      <c r="K344">
        <v>0.625</v>
      </c>
      <c r="L344">
        <v>5.1000000000000004E-4</v>
      </c>
      <c r="M344">
        <v>0.63300000000000001</v>
      </c>
      <c r="N344">
        <v>1.1999999999999999E-3</v>
      </c>
    </row>
    <row r="345" spans="1:14" x14ac:dyDescent="0.25">
      <c r="A345" t="s">
        <v>656</v>
      </c>
      <c r="B345" t="s">
        <v>227</v>
      </c>
      <c r="C345" s="1" t="str">
        <f>HYPERLINK("http://www.genecards.org/cgi-bin/carddisp.pl?gene=ARL4C","GeneCards")</f>
        <v>GeneCards</v>
      </c>
      <c r="D345" s="1" t="str">
        <f>HYPERLINK("http://genome-euro.ucsc.edu/cgi-bin/hgTracks?position=202207_at","UCSC")</f>
        <v>UCSC</v>
      </c>
      <c r="E345" s="1" t="str">
        <f>HYPERLINK("http://www.ncbi.nlm.nih.gov/gene/?term=ARL4C","NCBI")</f>
        <v>NCBI</v>
      </c>
      <c r="F345">
        <v>2.1000000000000001E-4</v>
      </c>
      <c r="G345">
        <v>0.01</v>
      </c>
      <c r="H345" s="1" t="str">
        <f>HYPERLINK("http://www.weizmann.ac.il/complex/compphys/software/geview/data/figures/202207_at.png","Figure")</f>
        <v>Figure</v>
      </c>
      <c r="I345">
        <v>4.88</v>
      </c>
      <c r="J345">
        <v>8.1999999999999998E-4</v>
      </c>
      <c r="K345">
        <v>4.57</v>
      </c>
      <c r="L345">
        <v>3.6000000000000002E-4</v>
      </c>
      <c r="M345">
        <v>0.93600000000000005</v>
      </c>
      <c r="N345">
        <v>0.97</v>
      </c>
    </row>
    <row r="346" spans="1:14" x14ac:dyDescent="0.25">
      <c r="A346" t="s">
        <v>657</v>
      </c>
      <c r="B346" t="s">
        <v>658</v>
      </c>
      <c r="C346" s="1" t="str">
        <f>HYPERLINK("http://www.genecards.org/cgi-bin/carddisp.pl?gene=MYL12A","GeneCards")</f>
        <v>GeneCards</v>
      </c>
      <c r="D346" s="1" t="str">
        <f>HYPERLINK("http://genome-euro.ucsc.edu/cgi-bin/hgTracks?position=201319_at","UCSC")</f>
        <v>UCSC</v>
      </c>
      <c r="E346" s="1" t="str">
        <f>HYPERLINK("http://www.ncbi.nlm.nih.gov/gene/?term=MYL12A","NCBI")</f>
        <v>NCBI</v>
      </c>
      <c r="F346">
        <v>2.1000000000000001E-4</v>
      </c>
      <c r="G346">
        <v>0.01</v>
      </c>
      <c r="H346" s="1" t="str">
        <f>HYPERLINK("http://www.weizmann.ac.il/complex/compphys/software/geview/data/figures/201319_at.png","Figure")</f>
        <v>Figure</v>
      </c>
      <c r="I346">
        <v>0.93300000000000005</v>
      </c>
      <c r="J346">
        <v>0.86</v>
      </c>
      <c r="K346">
        <v>1.73</v>
      </c>
      <c r="L346">
        <v>9.7000000000000005E-4</v>
      </c>
      <c r="M346">
        <v>1.85</v>
      </c>
      <c r="N346">
        <v>6.3000000000000003E-4</v>
      </c>
    </row>
    <row r="347" spans="1:14" x14ac:dyDescent="0.25">
      <c r="A347" t="s">
        <v>659</v>
      </c>
      <c r="B347" t="s">
        <v>660</v>
      </c>
      <c r="C347" s="1" t="str">
        <f>HYPERLINK("http://www.genecards.org/cgi-bin/carddisp.pl?gene=ZNF783","GeneCards")</f>
        <v>GeneCards</v>
      </c>
      <c r="D347" s="1" t="str">
        <f>HYPERLINK("http://genome-euro.ucsc.edu/cgi-bin/hgTracks?position=213367_at","UCSC")</f>
        <v>UCSC</v>
      </c>
      <c r="E347" s="1" t="str">
        <f>HYPERLINK("http://www.ncbi.nlm.nih.gov/gene/?term=ZNF783","NCBI")</f>
        <v>NCBI</v>
      </c>
      <c r="F347">
        <v>2.1000000000000001E-4</v>
      </c>
      <c r="G347">
        <v>0.01</v>
      </c>
      <c r="H347" s="1" t="str">
        <f>HYPERLINK("http://www.weizmann.ac.il/complex/compphys/software/geview/data/figures/213367_at.png","Figure")</f>
        <v>Figure</v>
      </c>
      <c r="I347">
        <v>1.39</v>
      </c>
      <c r="J347">
        <v>3.2000000000000003E-4</v>
      </c>
      <c r="K347">
        <v>1.04</v>
      </c>
      <c r="L347">
        <v>0.72</v>
      </c>
      <c r="M347">
        <v>0.752</v>
      </c>
      <c r="N347">
        <v>5.8E-4</v>
      </c>
    </row>
    <row r="348" spans="1:14" x14ac:dyDescent="0.25">
      <c r="A348" t="s">
        <v>661</v>
      </c>
      <c r="B348" t="s">
        <v>662</v>
      </c>
      <c r="C348" s="1" t="str">
        <f>HYPERLINK("http://www.genecards.org/cgi-bin/carddisp.pl?gene=SUCLG1","GeneCards")</f>
        <v>GeneCards</v>
      </c>
      <c r="D348" s="1" t="str">
        <f>HYPERLINK("http://genome-euro.ucsc.edu/cgi-bin/hgTracks?position=217874_at","UCSC")</f>
        <v>UCSC</v>
      </c>
      <c r="E348" s="1" t="str">
        <f>HYPERLINK("http://www.ncbi.nlm.nih.gov/gene/?term=SUCLG1","NCBI")</f>
        <v>NCBI</v>
      </c>
      <c r="F348">
        <v>2.1000000000000001E-4</v>
      </c>
      <c r="G348">
        <v>0.01</v>
      </c>
      <c r="H348" s="1" t="str">
        <f>HYPERLINK("http://www.weizmann.ac.il/complex/compphys/software/geview/data/figures/217874_at.png","Figure")</f>
        <v>Figure</v>
      </c>
      <c r="I348">
        <v>1.22</v>
      </c>
      <c r="J348">
        <v>0.31</v>
      </c>
      <c r="K348">
        <v>1.9</v>
      </c>
      <c r="L348">
        <v>2.1000000000000001E-4</v>
      </c>
      <c r="M348">
        <v>1.56</v>
      </c>
      <c r="N348">
        <v>7.4999999999999997E-3</v>
      </c>
    </row>
    <row r="349" spans="1:14" x14ac:dyDescent="0.25">
      <c r="A349" t="s">
        <v>663</v>
      </c>
      <c r="B349" t="s">
        <v>664</v>
      </c>
      <c r="C349" s="1" t="str">
        <f>HYPERLINK("http://www.genecards.org/cgi-bin/carddisp.pl?gene=EPB41L2","GeneCards")</f>
        <v>GeneCards</v>
      </c>
      <c r="D349" s="1" t="str">
        <f>HYPERLINK("http://genome-euro.ucsc.edu/cgi-bin/hgTracks?position=201718_s_at","UCSC")</f>
        <v>UCSC</v>
      </c>
      <c r="E349" s="1" t="str">
        <f>HYPERLINK("http://www.ncbi.nlm.nih.gov/gene/?term=EPB41L2","NCBI")</f>
        <v>NCBI</v>
      </c>
      <c r="F349">
        <v>2.1000000000000001E-4</v>
      </c>
      <c r="G349">
        <v>0.01</v>
      </c>
      <c r="H349" s="1" t="str">
        <f>HYPERLINK("http://www.weizmann.ac.il/complex/compphys/software/geview/data/figures/201718_s_at.png","Figure")</f>
        <v>Figure</v>
      </c>
      <c r="I349">
        <v>1.73</v>
      </c>
      <c r="J349">
        <v>1E-3</v>
      </c>
      <c r="K349">
        <v>1.72</v>
      </c>
      <c r="L349">
        <v>3.2000000000000003E-4</v>
      </c>
      <c r="M349">
        <v>0.998</v>
      </c>
      <c r="N349">
        <v>1</v>
      </c>
    </row>
    <row r="350" spans="1:14" x14ac:dyDescent="0.25">
      <c r="A350" t="s">
        <v>665</v>
      </c>
      <c r="B350" t="s">
        <v>666</v>
      </c>
      <c r="C350" s="1" t="str">
        <f>HYPERLINK("http://www.genecards.org/cgi-bin/carddisp.pl?gene=FNBP1","GeneCards")</f>
        <v>GeneCards</v>
      </c>
      <c r="D350" s="1" t="str">
        <f>HYPERLINK("http://genome-euro.ucsc.edu/cgi-bin/hgTracks?position=212288_at","UCSC")</f>
        <v>UCSC</v>
      </c>
      <c r="E350" s="1" t="str">
        <f>HYPERLINK("http://www.ncbi.nlm.nih.gov/gene/?term=FNBP1","NCBI")</f>
        <v>NCBI</v>
      </c>
      <c r="F350">
        <v>2.2000000000000001E-4</v>
      </c>
      <c r="G350">
        <v>0.01</v>
      </c>
      <c r="H350" s="1" t="str">
        <f>HYPERLINK("http://www.weizmann.ac.il/complex/compphys/software/geview/data/figures/212288_at.png","Figure")</f>
        <v>Figure</v>
      </c>
      <c r="I350">
        <v>0.252</v>
      </c>
      <c r="J350">
        <v>1.7000000000000001E-4</v>
      </c>
      <c r="K350">
        <v>0.45200000000000001</v>
      </c>
      <c r="L350">
        <v>5.4999999999999997E-3</v>
      </c>
      <c r="M350">
        <v>1.79</v>
      </c>
      <c r="N350">
        <v>5.0999999999999997E-2</v>
      </c>
    </row>
    <row r="351" spans="1:14" x14ac:dyDescent="0.25">
      <c r="A351" t="s">
        <v>667</v>
      </c>
      <c r="B351" t="s">
        <v>651</v>
      </c>
      <c r="C351" s="1" t="str">
        <f>HYPERLINK("http://www.genecards.org/cgi-bin/carddisp.pl?gene=BLK","GeneCards")</f>
        <v>GeneCards</v>
      </c>
      <c r="D351" s="1" t="str">
        <f>HYPERLINK("http://genome-euro.ucsc.edu/cgi-bin/hgTracks?position=210934_at","UCSC")</f>
        <v>UCSC</v>
      </c>
      <c r="E351" s="1" t="str">
        <f>HYPERLINK("http://www.ncbi.nlm.nih.gov/gene/?term=BLK","NCBI")</f>
        <v>NCBI</v>
      </c>
      <c r="F351">
        <v>2.2000000000000001E-4</v>
      </c>
      <c r="G351">
        <v>1.0999999999999999E-2</v>
      </c>
      <c r="H351" s="1" t="str">
        <f>HYPERLINK("http://www.weizmann.ac.il/complex/compphys/software/geview/data/figures/210934_at.png","Figure")</f>
        <v>Figure</v>
      </c>
      <c r="I351">
        <v>2.44</v>
      </c>
      <c r="J351">
        <v>8.8000000000000003E-4</v>
      </c>
      <c r="K351">
        <v>2.37</v>
      </c>
      <c r="L351">
        <v>3.6000000000000002E-4</v>
      </c>
      <c r="M351">
        <v>0.96899999999999997</v>
      </c>
      <c r="N351">
        <v>0.98</v>
      </c>
    </row>
    <row r="352" spans="1:14" x14ac:dyDescent="0.25">
      <c r="A352" t="s">
        <v>668</v>
      </c>
      <c r="B352" t="s">
        <v>669</v>
      </c>
      <c r="C352" s="1" t="str">
        <f>HYPERLINK("http://www.genecards.org/cgi-bin/carddisp.pl?gene=ADCY7","GeneCards")</f>
        <v>GeneCards</v>
      </c>
      <c r="D352" s="1" t="str">
        <f>HYPERLINK("http://genome-euro.ucsc.edu/cgi-bin/hgTracks?position=203741_s_at","UCSC")</f>
        <v>UCSC</v>
      </c>
      <c r="E352" s="1" t="str">
        <f>HYPERLINK("http://www.ncbi.nlm.nih.gov/gene/?term=ADCY7","NCBI")</f>
        <v>NCBI</v>
      </c>
      <c r="F352">
        <v>2.2000000000000001E-4</v>
      </c>
      <c r="G352">
        <v>1.0999999999999999E-2</v>
      </c>
      <c r="H352" s="1" t="str">
        <f>HYPERLINK("http://www.weizmann.ac.il/complex/compphys/software/geview/data/figures/203741_s_at.png","Figure")</f>
        <v>Figure</v>
      </c>
      <c r="I352">
        <v>0.36299999999999999</v>
      </c>
      <c r="J352">
        <v>5.9999999999999995E-4</v>
      </c>
      <c r="K352">
        <v>1</v>
      </c>
      <c r="L352">
        <v>1</v>
      </c>
      <c r="M352">
        <v>2.75</v>
      </c>
      <c r="N352">
        <v>3.2000000000000003E-4</v>
      </c>
    </row>
    <row r="353" spans="1:14" x14ac:dyDescent="0.25">
      <c r="A353" t="s">
        <v>670</v>
      </c>
      <c r="B353" t="s">
        <v>671</v>
      </c>
      <c r="C353" s="1" t="str">
        <f>HYPERLINK("http://www.genecards.org/cgi-bin/carddisp.pl?gene=DALRD3","GeneCards")</f>
        <v>GeneCards</v>
      </c>
      <c r="D353" s="1" t="str">
        <f>HYPERLINK("http://genome-euro.ucsc.edu/cgi-bin/hgTracks?position=221934_s_at","UCSC")</f>
        <v>UCSC</v>
      </c>
      <c r="E353" s="1" t="str">
        <f>HYPERLINK("http://www.ncbi.nlm.nih.gov/gene/?term=DALRD3","NCBI")</f>
        <v>NCBI</v>
      </c>
      <c r="F353">
        <v>2.2000000000000001E-4</v>
      </c>
      <c r="G353">
        <v>1.0999999999999999E-2</v>
      </c>
      <c r="H353" s="1" t="str">
        <f>HYPERLINK("http://www.weizmann.ac.il/complex/compphys/software/geview/data/figures/221934_s_at.png","Figure")</f>
        <v>Figure</v>
      </c>
      <c r="I353">
        <v>1.94</v>
      </c>
      <c r="J353">
        <v>4.6000000000000001E-4</v>
      </c>
      <c r="K353">
        <v>1.74</v>
      </c>
      <c r="L353">
        <v>6.8999999999999997E-4</v>
      </c>
      <c r="M353">
        <v>0.89500000000000002</v>
      </c>
      <c r="N353">
        <v>0.63</v>
      </c>
    </row>
    <row r="354" spans="1:14" x14ac:dyDescent="0.25">
      <c r="A354" t="s">
        <v>672</v>
      </c>
      <c r="B354" t="s">
        <v>673</v>
      </c>
      <c r="C354" s="1" t="str">
        <f>HYPERLINK("http://www.genecards.org/cgi-bin/carddisp.pl?gene=CTSC","GeneCards")</f>
        <v>GeneCards</v>
      </c>
      <c r="D354" s="1" t="str">
        <f>HYPERLINK("http://genome-euro.ucsc.edu/cgi-bin/hgTracks?position=201487_at","UCSC")</f>
        <v>UCSC</v>
      </c>
      <c r="E354" s="1" t="str">
        <f>HYPERLINK("http://www.ncbi.nlm.nih.gov/gene/?term=CTSC","NCBI")</f>
        <v>NCBI</v>
      </c>
      <c r="F354">
        <v>2.2000000000000001E-4</v>
      </c>
      <c r="G354">
        <v>1.0999999999999999E-2</v>
      </c>
      <c r="H354" s="1" t="str">
        <f>HYPERLINK("http://www.weizmann.ac.il/complex/compphys/software/geview/data/figures/201487_at.png","Figure")</f>
        <v>Figure</v>
      </c>
      <c r="I354">
        <v>1.68</v>
      </c>
      <c r="J354">
        <v>1.2999999999999999E-2</v>
      </c>
      <c r="K354">
        <v>2.2000000000000002</v>
      </c>
      <c r="L354">
        <v>1.6000000000000001E-4</v>
      </c>
      <c r="M354">
        <v>1.31</v>
      </c>
      <c r="N354">
        <v>0.19</v>
      </c>
    </row>
    <row r="355" spans="1:14" x14ac:dyDescent="0.25">
      <c r="A355" t="s">
        <v>674</v>
      </c>
      <c r="B355" t="s">
        <v>408</v>
      </c>
      <c r="C355" s="1" t="str">
        <f>HYPERLINK("http://www.genecards.org/cgi-bin/carddisp.pl?gene=NMT2","GeneCards")</f>
        <v>GeneCards</v>
      </c>
      <c r="D355" s="1" t="str">
        <f>HYPERLINK("http://genome-euro.ucsc.edu/cgi-bin/hgTracks?position=205005_s_at","UCSC")</f>
        <v>UCSC</v>
      </c>
      <c r="E355" s="1" t="str">
        <f>HYPERLINK("http://www.ncbi.nlm.nih.gov/gene/?term=NMT2","NCBI")</f>
        <v>NCBI</v>
      </c>
      <c r="F355">
        <v>2.3000000000000001E-4</v>
      </c>
      <c r="G355">
        <v>1.0999999999999999E-2</v>
      </c>
      <c r="H355" s="1" t="str">
        <f>HYPERLINK("http://www.weizmann.ac.il/complex/compphys/software/geview/data/figures/205005_s_at.png","Figure")</f>
        <v>Figure</v>
      </c>
      <c r="I355">
        <v>0.93600000000000005</v>
      </c>
      <c r="J355">
        <v>0.95</v>
      </c>
      <c r="K355">
        <v>0.38200000000000001</v>
      </c>
      <c r="L355">
        <v>4.8000000000000001E-4</v>
      </c>
      <c r="M355">
        <v>0.40799999999999997</v>
      </c>
      <c r="N355">
        <v>1.6000000000000001E-3</v>
      </c>
    </row>
    <row r="356" spans="1:14" x14ac:dyDescent="0.25">
      <c r="A356" t="s">
        <v>675</v>
      </c>
      <c r="B356" t="s">
        <v>676</v>
      </c>
      <c r="C356" s="1" t="str">
        <f>HYPERLINK("http://www.genecards.org/cgi-bin/carddisp.pl?gene=TTC3","GeneCards")</f>
        <v>GeneCards</v>
      </c>
      <c r="D356" s="1" t="str">
        <f>HYPERLINK("http://genome-euro.ucsc.edu/cgi-bin/hgTracks?position=208661_s_at","UCSC")</f>
        <v>UCSC</v>
      </c>
      <c r="E356" s="1" t="str">
        <f>HYPERLINK("http://www.ncbi.nlm.nih.gov/gene/?term=TTC3","NCBI")</f>
        <v>NCBI</v>
      </c>
      <c r="F356">
        <v>2.3000000000000001E-4</v>
      </c>
      <c r="G356">
        <v>1.0999999999999999E-2</v>
      </c>
      <c r="H356" s="1" t="str">
        <f>HYPERLINK("http://www.weizmann.ac.il/complex/compphys/software/geview/data/figures/208661_s_at.png","Figure")</f>
        <v>Figure</v>
      </c>
      <c r="I356">
        <v>0.62</v>
      </c>
      <c r="J356">
        <v>4.6000000000000001E-4</v>
      </c>
      <c r="K356">
        <v>0.97099999999999997</v>
      </c>
      <c r="L356">
        <v>0.93</v>
      </c>
      <c r="M356">
        <v>1.56</v>
      </c>
      <c r="N356">
        <v>4.4000000000000002E-4</v>
      </c>
    </row>
    <row r="357" spans="1:14" x14ac:dyDescent="0.25">
      <c r="A357" t="s">
        <v>677</v>
      </c>
      <c r="B357" t="s">
        <v>678</v>
      </c>
      <c r="C357" s="1" t="str">
        <f>HYPERLINK("http://www.genecards.org/cgi-bin/carddisp.pl?gene=ZNF32","GeneCards")</f>
        <v>GeneCards</v>
      </c>
      <c r="D357" s="1" t="str">
        <f>HYPERLINK("http://genome-euro.ucsc.edu/cgi-bin/hgTracks?position=209538_at","UCSC")</f>
        <v>UCSC</v>
      </c>
      <c r="E357" s="1" t="str">
        <f>HYPERLINK("http://www.ncbi.nlm.nih.gov/gene/?term=ZNF32","NCBI")</f>
        <v>NCBI</v>
      </c>
      <c r="F357">
        <v>2.3000000000000001E-4</v>
      </c>
      <c r="G357">
        <v>1.0999999999999999E-2</v>
      </c>
      <c r="H357" s="1" t="str">
        <f>HYPERLINK("http://www.weizmann.ac.il/complex/compphys/software/geview/data/figures/209538_at.png","Figure")</f>
        <v>Figure</v>
      </c>
      <c r="I357">
        <v>0.80200000000000005</v>
      </c>
      <c r="J357">
        <v>0.15</v>
      </c>
      <c r="K357">
        <v>1.43</v>
      </c>
      <c r="L357">
        <v>6.8999999999999999E-3</v>
      </c>
      <c r="M357">
        <v>1.78</v>
      </c>
      <c r="N357">
        <v>2.4000000000000001E-4</v>
      </c>
    </row>
    <row r="358" spans="1:14" x14ac:dyDescent="0.25">
      <c r="A358" t="s">
        <v>679</v>
      </c>
      <c r="B358" t="s">
        <v>680</v>
      </c>
      <c r="C358" s="1" t="str">
        <f>HYPERLINK("http://www.genecards.org/cgi-bin/carddisp.pl?gene=KIR2DL1 /// KIR2DL2 /// KIR2DL3 /// KIR2DL5A /// KIR2DL5B /// KIR2DS1 /// KIR2DS2 /// KIR2DS3 /// KI","GeneCards")</f>
        <v>GeneCards</v>
      </c>
      <c r="D358" s="1" t="str">
        <f>HYPERLINK("http://genome-euro.ucsc.edu/cgi-bin/hgTracks?position=217318_x_at","UCSC")</f>
        <v>UCSC</v>
      </c>
      <c r="E358" s="1" t="str">
        <f>HYPERLINK("http://www.ncbi.nlm.nih.gov/gene/?term=KIR2DL1 /// KIR2DL2 /// KIR2DL3 /// KIR2DL5A /// KIR2DL5B /// KIR2DS1 /// KIR2DS2 /// KIR2DS3 /// KI","NCBI")</f>
        <v>NCBI</v>
      </c>
      <c r="F358">
        <v>2.3000000000000001E-4</v>
      </c>
      <c r="G358">
        <v>1.0999999999999999E-2</v>
      </c>
      <c r="H358" s="1" t="str">
        <f>HYPERLINK("http://www.weizmann.ac.il/complex/compphys/software/geview/data/figures/217318_x_at.png","Figure")</f>
        <v>Figure</v>
      </c>
      <c r="I358">
        <v>1.29</v>
      </c>
      <c r="J358">
        <v>3.6999999999999999E-4</v>
      </c>
      <c r="K358">
        <v>1.22</v>
      </c>
      <c r="L358">
        <v>1E-3</v>
      </c>
      <c r="M358">
        <v>0.94499999999999995</v>
      </c>
      <c r="N358">
        <v>0.44</v>
      </c>
    </row>
    <row r="359" spans="1:14" x14ac:dyDescent="0.25">
      <c r="A359" t="s">
        <v>681</v>
      </c>
      <c r="B359" t="s">
        <v>682</v>
      </c>
      <c r="C359" s="1" t="str">
        <f>HYPERLINK("http://www.genecards.org/cgi-bin/carddisp.pl?gene=KLF12","GeneCards")</f>
        <v>GeneCards</v>
      </c>
      <c r="D359" s="1" t="str">
        <f>HYPERLINK("http://genome-euro.ucsc.edu/cgi-bin/hgTracks?position=206966_s_at","UCSC")</f>
        <v>UCSC</v>
      </c>
      <c r="E359" s="1" t="str">
        <f>HYPERLINK("http://www.ncbi.nlm.nih.gov/gene/?term=KLF12","NCBI")</f>
        <v>NCBI</v>
      </c>
      <c r="F359">
        <v>2.3000000000000001E-4</v>
      </c>
      <c r="G359">
        <v>1.0999999999999999E-2</v>
      </c>
      <c r="H359" s="1" t="str">
        <f>HYPERLINK("http://www.weizmann.ac.il/complex/compphys/software/geview/data/figures/206966_s_at.png","Figure")</f>
        <v>Figure</v>
      </c>
      <c r="I359">
        <v>1.55</v>
      </c>
      <c r="J359">
        <v>6.0999999999999997E-4</v>
      </c>
      <c r="K359">
        <v>1</v>
      </c>
      <c r="L359">
        <v>1</v>
      </c>
      <c r="M359">
        <v>0.64900000000000002</v>
      </c>
      <c r="N359">
        <v>3.5E-4</v>
      </c>
    </row>
    <row r="360" spans="1:14" x14ac:dyDescent="0.25">
      <c r="A360" t="s">
        <v>683</v>
      </c>
      <c r="B360" t="s">
        <v>169</v>
      </c>
      <c r="C360" s="1" t="str">
        <f>HYPERLINK("http://www.genecards.org/cgi-bin/carddisp.pl?gene=PECAM1","GeneCards")</f>
        <v>GeneCards</v>
      </c>
      <c r="D360" s="1" t="str">
        <f>HYPERLINK("http://genome-euro.ucsc.edu/cgi-bin/hgTracks?position=208982_at","UCSC")</f>
        <v>UCSC</v>
      </c>
      <c r="E360" s="1" t="str">
        <f>HYPERLINK("http://www.ncbi.nlm.nih.gov/gene/?term=PECAM1","NCBI")</f>
        <v>NCBI</v>
      </c>
      <c r="F360">
        <v>2.3000000000000001E-4</v>
      </c>
      <c r="G360">
        <v>1.0999999999999999E-2</v>
      </c>
      <c r="H360" s="1" t="str">
        <f>HYPERLINK("http://www.weizmann.ac.il/complex/compphys/software/geview/data/figures/208982_at.png","Figure")</f>
        <v>Figure</v>
      </c>
      <c r="I360">
        <v>0.215</v>
      </c>
      <c r="J360">
        <v>1.9000000000000001E-4</v>
      </c>
      <c r="K360">
        <v>0.621</v>
      </c>
      <c r="L360">
        <v>0.14000000000000001</v>
      </c>
      <c r="M360">
        <v>2.89</v>
      </c>
      <c r="N360">
        <v>2.5999999999999999E-3</v>
      </c>
    </row>
    <row r="361" spans="1:14" x14ac:dyDescent="0.25">
      <c r="A361" t="s">
        <v>684</v>
      </c>
      <c r="B361" t="s">
        <v>685</v>
      </c>
      <c r="C361" s="1" t="str">
        <f>HYPERLINK("http://www.genecards.org/cgi-bin/carddisp.pl?gene=NOTCH3","GeneCards")</f>
        <v>GeneCards</v>
      </c>
      <c r="D361" s="1" t="str">
        <f>HYPERLINK("http://genome-euro.ucsc.edu/cgi-bin/hgTracks?position=203238_s_at","UCSC")</f>
        <v>UCSC</v>
      </c>
      <c r="E361" s="1" t="str">
        <f>HYPERLINK("http://www.ncbi.nlm.nih.gov/gene/?term=NOTCH3","NCBI")</f>
        <v>NCBI</v>
      </c>
      <c r="F361">
        <v>2.4000000000000001E-4</v>
      </c>
      <c r="G361">
        <v>1.0999999999999999E-2</v>
      </c>
      <c r="H361" s="1" t="str">
        <f>HYPERLINK("http://www.weizmann.ac.il/complex/compphys/software/geview/data/figures/203238_s_at.png","Figure")</f>
        <v>Figure</v>
      </c>
      <c r="I361">
        <v>1.34</v>
      </c>
      <c r="J361">
        <v>2.4000000000000001E-4</v>
      </c>
      <c r="K361">
        <v>1.22</v>
      </c>
      <c r="L361">
        <v>2.5000000000000001E-3</v>
      </c>
      <c r="M361">
        <v>0.90500000000000003</v>
      </c>
      <c r="N361">
        <v>0.15</v>
      </c>
    </row>
    <row r="362" spans="1:14" x14ac:dyDescent="0.25">
      <c r="A362" t="s">
        <v>686</v>
      </c>
      <c r="B362" t="s">
        <v>120</v>
      </c>
      <c r="C362" s="1" t="str">
        <f>HYPERLINK("http://www.genecards.org/cgi-bin/carddisp.pl?gene=HIP1R /// LOC100294412","GeneCards")</f>
        <v>GeneCards</v>
      </c>
      <c r="D362" s="1" t="str">
        <f>HYPERLINK("http://genome-euro.ucsc.edu/cgi-bin/hgTracks?position=209559_at","UCSC")</f>
        <v>UCSC</v>
      </c>
      <c r="E362" s="1" t="str">
        <f>HYPERLINK("http://www.ncbi.nlm.nih.gov/gene/?term=HIP1R /// LOC100294412","NCBI")</f>
        <v>NCBI</v>
      </c>
      <c r="F362">
        <v>2.4000000000000001E-4</v>
      </c>
      <c r="G362">
        <v>1.0999999999999999E-2</v>
      </c>
      <c r="H362" s="1" t="str">
        <f>HYPERLINK("http://www.weizmann.ac.il/complex/compphys/software/geview/data/figures/209559_at.png","Figure")</f>
        <v>Figure</v>
      </c>
      <c r="I362">
        <v>1.67</v>
      </c>
      <c r="J362">
        <v>2.0000000000000001E-4</v>
      </c>
      <c r="K362">
        <v>1.36</v>
      </c>
      <c r="L362">
        <v>4.7000000000000002E-3</v>
      </c>
      <c r="M362">
        <v>0.81399999999999995</v>
      </c>
      <c r="N362">
        <v>7.0999999999999994E-2</v>
      </c>
    </row>
    <row r="363" spans="1:14" x14ac:dyDescent="0.25">
      <c r="A363" t="s">
        <v>687</v>
      </c>
      <c r="B363" t="s">
        <v>483</v>
      </c>
      <c r="C363" s="1" t="str">
        <f>HYPERLINK("http://www.genecards.org/cgi-bin/carddisp.pl?gene=FUSIP1","GeneCards")</f>
        <v>GeneCards</v>
      </c>
      <c r="D363" s="1" t="str">
        <f>HYPERLINK("http://genome-euro.ucsc.edu/cgi-bin/hgTracks?position=213594_x_at","UCSC")</f>
        <v>UCSC</v>
      </c>
      <c r="E363" s="1" t="str">
        <f>HYPERLINK("http://www.ncbi.nlm.nih.gov/gene/?term=FUSIP1","NCBI")</f>
        <v>NCBI</v>
      </c>
      <c r="F363">
        <v>2.4000000000000001E-4</v>
      </c>
      <c r="G363">
        <v>1.0999999999999999E-2</v>
      </c>
      <c r="H363" s="1" t="str">
        <f>HYPERLINK("http://www.weizmann.ac.il/complex/compphys/software/geview/data/figures/213594_x_at.png","Figure")</f>
        <v>Figure</v>
      </c>
      <c r="I363">
        <v>0.90800000000000003</v>
      </c>
      <c r="J363">
        <v>0.89</v>
      </c>
      <c r="K363">
        <v>0.38600000000000001</v>
      </c>
      <c r="L363">
        <v>4.4000000000000002E-4</v>
      </c>
      <c r="M363">
        <v>0.42499999999999999</v>
      </c>
      <c r="N363">
        <v>1.9E-3</v>
      </c>
    </row>
    <row r="364" spans="1:14" x14ac:dyDescent="0.25">
      <c r="A364" t="s">
        <v>688</v>
      </c>
      <c r="B364" t="s">
        <v>689</v>
      </c>
      <c r="C364" s="1" t="str">
        <f>HYPERLINK("http://www.genecards.org/cgi-bin/carddisp.pl?gene=CD1C","GeneCards")</f>
        <v>GeneCards</v>
      </c>
      <c r="D364" s="1" t="str">
        <f>HYPERLINK("http://genome-euro.ucsc.edu/cgi-bin/hgTracks?position=205987_at","UCSC")</f>
        <v>UCSC</v>
      </c>
      <c r="E364" s="1" t="str">
        <f>HYPERLINK("http://www.ncbi.nlm.nih.gov/gene/?term=CD1C","NCBI")</f>
        <v>NCBI</v>
      </c>
      <c r="F364">
        <v>2.4000000000000001E-4</v>
      </c>
      <c r="G364">
        <v>1.0999999999999999E-2</v>
      </c>
      <c r="H364" s="1" t="str">
        <f>HYPERLINK("http://www.weizmann.ac.il/complex/compphys/software/geview/data/figures/205987_at.png","Figure")</f>
        <v>Figure</v>
      </c>
      <c r="I364">
        <v>0.35599999999999998</v>
      </c>
      <c r="J364">
        <v>4.0999999999999999E-4</v>
      </c>
      <c r="K364">
        <v>0.90600000000000003</v>
      </c>
      <c r="L364">
        <v>0.83</v>
      </c>
      <c r="M364">
        <v>2.5499999999999998</v>
      </c>
      <c r="N364">
        <v>5.5000000000000003E-4</v>
      </c>
    </row>
    <row r="365" spans="1:14" x14ac:dyDescent="0.25">
      <c r="A365" t="s">
        <v>690</v>
      </c>
      <c r="B365" t="s">
        <v>691</v>
      </c>
      <c r="C365" s="1" t="str">
        <f>HYPERLINK("http://www.genecards.org/cgi-bin/carddisp.pl?gene=RAG1","GeneCards")</f>
        <v>GeneCards</v>
      </c>
      <c r="D365" s="1" t="str">
        <f>HYPERLINK("http://genome-euro.ucsc.edu/cgi-bin/hgTracks?position=206591_at","UCSC")</f>
        <v>UCSC</v>
      </c>
      <c r="E365" s="1" t="str">
        <f>HYPERLINK("http://www.ncbi.nlm.nih.gov/gene/?term=RAG1","NCBI")</f>
        <v>NCBI</v>
      </c>
      <c r="F365">
        <v>2.4000000000000001E-4</v>
      </c>
      <c r="G365">
        <v>1.0999999999999999E-2</v>
      </c>
      <c r="H365" s="1" t="str">
        <f>HYPERLINK("http://www.weizmann.ac.il/complex/compphys/software/geview/data/figures/206591_at.png","Figure")</f>
        <v>Figure</v>
      </c>
      <c r="I365">
        <v>0.63400000000000001</v>
      </c>
      <c r="J365">
        <v>0.33</v>
      </c>
      <c r="K365">
        <v>0.221</v>
      </c>
      <c r="L365">
        <v>2.4000000000000001E-4</v>
      </c>
      <c r="M365">
        <v>0.34899999999999998</v>
      </c>
      <c r="N365">
        <v>7.7000000000000002E-3</v>
      </c>
    </row>
    <row r="366" spans="1:14" x14ac:dyDescent="0.25">
      <c r="A366" t="s">
        <v>692</v>
      </c>
      <c r="B366" t="s">
        <v>693</v>
      </c>
      <c r="C366" s="1" t="str">
        <f>HYPERLINK("http://www.genecards.org/cgi-bin/carddisp.pl?gene=IBTK","GeneCards")</f>
        <v>GeneCards</v>
      </c>
      <c r="D366" s="1" t="str">
        <f>HYPERLINK("http://genome-euro.ucsc.edu/cgi-bin/hgTracks?position=210970_s_at","UCSC")</f>
        <v>UCSC</v>
      </c>
      <c r="E366" s="1" t="str">
        <f>HYPERLINK("http://www.ncbi.nlm.nih.gov/gene/?term=IBTK","NCBI")</f>
        <v>NCBI</v>
      </c>
      <c r="F366">
        <v>2.4000000000000001E-4</v>
      </c>
      <c r="G366">
        <v>1.0999999999999999E-2</v>
      </c>
      <c r="H366" s="1" t="str">
        <f>HYPERLINK("http://www.weizmann.ac.il/complex/compphys/software/geview/data/figures/210970_s_at.png","Figure")</f>
        <v>Figure</v>
      </c>
      <c r="I366">
        <v>0.376</v>
      </c>
      <c r="J366">
        <v>5.1000000000000004E-4</v>
      </c>
      <c r="K366">
        <v>0.95299999999999996</v>
      </c>
      <c r="L366">
        <v>0.95</v>
      </c>
      <c r="M366">
        <v>2.5299999999999998</v>
      </c>
      <c r="N366">
        <v>4.4000000000000002E-4</v>
      </c>
    </row>
    <row r="367" spans="1:14" x14ac:dyDescent="0.25">
      <c r="A367" t="s">
        <v>694</v>
      </c>
      <c r="B367" t="s">
        <v>695</v>
      </c>
      <c r="C367" s="1" t="str">
        <f>HYPERLINK("http://www.genecards.org/cgi-bin/carddisp.pl?gene=HIF1A","GeneCards")</f>
        <v>GeneCards</v>
      </c>
      <c r="D367" s="1" t="str">
        <f>HYPERLINK("http://genome-euro.ucsc.edu/cgi-bin/hgTracks?position=200989_at","UCSC")</f>
        <v>UCSC</v>
      </c>
      <c r="E367" s="1" t="str">
        <f>HYPERLINK("http://www.ncbi.nlm.nih.gov/gene/?term=HIF1A","NCBI")</f>
        <v>NCBI</v>
      </c>
      <c r="F367">
        <v>2.5000000000000001E-4</v>
      </c>
      <c r="G367">
        <v>1.0999999999999999E-2</v>
      </c>
      <c r="H367" s="1" t="str">
        <f>HYPERLINK("http://www.weizmann.ac.il/complex/compphys/software/geview/data/figures/200989_at.png","Figure")</f>
        <v>Figure</v>
      </c>
      <c r="I367">
        <v>0.56000000000000005</v>
      </c>
      <c r="J367">
        <v>1.2999999999999999E-2</v>
      </c>
      <c r="K367">
        <v>0.42</v>
      </c>
      <c r="L367">
        <v>1.7000000000000001E-4</v>
      </c>
      <c r="M367">
        <v>0.75</v>
      </c>
      <c r="N367">
        <v>0.21</v>
      </c>
    </row>
    <row r="368" spans="1:14" x14ac:dyDescent="0.25">
      <c r="A368" t="s">
        <v>696</v>
      </c>
      <c r="B368" t="s">
        <v>697</v>
      </c>
      <c r="C368" s="1" t="str">
        <f>HYPERLINK("http://www.genecards.org/cgi-bin/carddisp.pl?gene=EIF1AX","GeneCards")</f>
        <v>GeneCards</v>
      </c>
      <c r="D368" s="1" t="str">
        <f>HYPERLINK("http://genome-euro.ucsc.edu/cgi-bin/hgTracks?position=201018_at","UCSC")</f>
        <v>UCSC</v>
      </c>
      <c r="E368" s="1" t="str">
        <f>HYPERLINK("http://www.ncbi.nlm.nih.gov/gene/?term=EIF1AX","NCBI")</f>
        <v>NCBI</v>
      </c>
      <c r="F368">
        <v>2.4000000000000001E-4</v>
      </c>
      <c r="G368">
        <v>1.0999999999999999E-2</v>
      </c>
      <c r="H368" s="1" t="str">
        <f>HYPERLINK("http://www.weizmann.ac.il/complex/compphys/software/geview/data/figures/201018_at.png","Figure")</f>
        <v>Figure</v>
      </c>
      <c r="I368">
        <v>0.30099999999999999</v>
      </c>
      <c r="J368">
        <v>1.9000000000000001E-4</v>
      </c>
      <c r="K368">
        <v>0.67800000000000005</v>
      </c>
      <c r="L368">
        <v>0.12</v>
      </c>
      <c r="M368">
        <v>2.25</v>
      </c>
      <c r="N368">
        <v>3.0000000000000001E-3</v>
      </c>
    </row>
    <row r="369" spans="1:14" x14ac:dyDescent="0.25">
      <c r="A369" t="s">
        <v>698</v>
      </c>
      <c r="B369" t="s">
        <v>699</v>
      </c>
      <c r="C369" s="1" t="str">
        <f>HYPERLINK("http://www.genecards.org/cgi-bin/carddisp.pl?gene=TCEAL4","GeneCards")</f>
        <v>GeneCards</v>
      </c>
      <c r="D369" s="1" t="str">
        <f>HYPERLINK("http://genome-euro.ucsc.edu/cgi-bin/hgTracks?position=202371_at","UCSC")</f>
        <v>UCSC</v>
      </c>
      <c r="E369" s="1" t="str">
        <f>HYPERLINK("http://www.ncbi.nlm.nih.gov/gene/?term=TCEAL4","NCBI")</f>
        <v>NCBI</v>
      </c>
      <c r="F369">
        <v>2.4000000000000001E-4</v>
      </c>
      <c r="G369">
        <v>1.0999999999999999E-2</v>
      </c>
      <c r="H369" s="1" t="str">
        <f>HYPERLINK("http://www.weizmann.ac.il/complex/compphys/software/geview/data/figures/202371_at.png","Figure")</f>
        <v>Figure</v>
      </c>
      <c r="I369">
        <v>0.27</v>
      </c>
      <c r="J369">
        <v>1.7000000000000001E-4</v>
      </c>
      <c r="K369">
        <v>0.59</v>
      </c>
      <c r="L369">
        <v>4.7E-2</v>
      </c>
      <c r="M369">
        <v>2.19</v>
      </c>
      <c r="N369">
        <v>6.8999999999999999E-3</v>
      </c>
    </row>
    <row r="370" spans="1:14" x14ac:dyDescent="0.25">
      <c r="A370" t="s">
        <v>700</v>
      </c>
      <c r="B370" t="s">
        <v>701</v>
      </c>
      <c r="C370" s="1" t="str">
        <f>HYPERLINK("http://www.genecards.org/cgi-bin/carddisp.pl?gene=BCL7A","GeneCards")</f>
        <v>GeneCards</v>
      </c>
      <c r="D370" s="1" t="str">
        <f>HYPERLINK("http://genome-euro.ucsc.edu/cgi-bin/hgTracks?position=203795_s_at","UCSC")</f>
        <v>UCSC</v>
      </c>
      <c r="E370" s="1" t="str">
        <f>HYPERLINK("http://www.ncbi.nlm.nih.gov/gene/?term=BCL7A","NCBI")</f>
        <v>NCBI</v>
      </c>
      <c r="F370">
        <v>2.5000000000000001E-4</v>
      </c>
      <c r="G370">
        <v>1.0999999999999999E-2</v>
      </c>
      <c r="H370" s="1" t="str">
        <f>HYPERLINK("http://www.weizmann.ac.il/complex/compphys/software/geview/data/figures/203795_s_at.png","Figure")</f>
        <v>Figure</v>
      </c>
      <c r="I370">
        <v>1.94</v>
      </c>
      <c r="J370">
        <v>1.8000000000000001E-4</v>
      </c>
      <c r="K370">
        <v>1.41</v>
      </c>
      <c r="L370">
        <v>1.0999999999999999E-2</v>
      </c>
      <c r="M370">
        <v>0.72799999999999998</v>
      </c>
      <c r="N370">
        <v>2.8000000000000001E-2</v>
      </c>
    </row>
    <row r="371" spans="1:14" x14ac:dyDescent="0.25">
      <c r="A371" t="s">
        <v>702</v>
      </c>
      <c r="B371" t="s">
        <v>703</v>
      </c>
      <c r="C371" s="1" t="str">
        <f>HYPERLINK("http://www.genecards.org/cgi-bin/carddisp.pl?gene=PRL","GeneCards")</f>
        <v>GeneCards</v>
      </c>
      <c r="D371" s="1" t="str">
        <f>HYPERLINK("http://genome-euro.ucsc.edu/cgi-bin/hgTracks?position=205445_at","UCSC")</f>
        <v>UCSC</v>
      </c>
      <c r="E371" s="1" t="str">
        <f>HYPERLINK("http://www.ncbi.nlm.nih.gov/gene/?term=PRL","NCBI")</f>
        <v>NCBI</v>
      </c>
      <c r="F371">
        <v>2.4000000000000001E-4</v>
      </c>
      <c r="G371">
        <v>1.0999999999999999E-2</v>
      </c>
      <c r="H371" s="1" t="str">
        <f>HYPERLINK("http://www.weizmann.ac.il/complex/compphys/software/geview/data/figures/205445_at.png","Figure")</f>
        <v>Figure</v>
      </c>
      <c r="I371">
        <v>1.42</v>
      </c>
      <c r="J371">
        <v>5.2999999999999998E-4</v>
      </c>
      <c r="K371">
        <v>1.34</v>
      </c>
      <c r="L371">
        <v>7.1000000000000002E-4</v>
      </c>
      <c r="M371">
        <v>0.94699999999999995</v>
      </c>
      <c r="N371">
        <v>0.68</v>
      </c>
    </row>
    <row r="372" spans="1:14" x14ac:dyDescent="0.25">
      <c r="A372" t="s">
        <v>704</v>
      </c>
      <c r="B372" t="s">
        <v>705</v>
      </c>
      <c r="C372" s="1" t="str">
        <f>HYPERLINK("http://www.genecards.org/cgi-bin/carddisp.pl?gene=NR2F6","GeneCards")</f>
        <v>GeneCards</v>
      </c>
      <c r="D372" s="1" t="str">
        <f>HYPERLINK("http://genome-euro.ucsc.edu/cgi-bin/hgTracks?position=209262_s_at","UCSC")</f>
        <v>UCSC</v>
      </c>
      <c r="E372" s="1" t="str">
        <f>HYPERLINK("http://www.ncbi.nlm.nih.gov/gene/?term=NR2F6","NCBI")</f>
        <v>NCBI</v>
      </c>
      <c r="F372">
        <v>2.5000000000000001E-4</v>
      </c>
      <c r="G372">
        <v>1.0999999999999999E-2</v>
      </c>
      <c r="H372" s="1" t="str">
        <f>HYPERLINK("http://www.weizmann.ac.il/complex/compphys/software/geview/data/figures/209262_s_at.png","Figure")</f>
        <v>Figure</v>
      </c>
      <c r="I372">
        <v>1.41</v>
      </c>
      <c r="J372">
        <v>8.4999999999999995E-4</v>
      </c>
      <c r="K372">
        <v>1.38</v>
      </c>
      <c r="L372">
        <v>4.6000000000000001E-4</v>
      </c>
      <c r="M372">
        <v>0.97799999999999998</v>
      </c>
      <c r="N372">
        <v>0.94</v>
      </c>
    </row>
    <row r="373" spans="1:14" x14ac:dyDescent="0.25">
      <c r="A373" t="s">
        <v>706</v>
      </c>
      <c r="B373" t="s">
        <v>707</v>
      </c>
      <c r="C373" s="1" t="str">
        <f>HYPERLINK("http://www.genecards.org/cgi-bin/carddisp.pl?gene=CDKN3","GeneCards")</f>
        <v>GeneCards</v>
      </c>
      <c r="D373" s="1" t="str">
        <f>HYPERLINK("http://genome-euro.ucsc.edu/cgi-bin/hgTracks?position=209714_s_at","UCSC")</f>
        <v>UCSC</v>
      </c>
      <c r="E373" s="1" t="str">
        <f>HYPERLINK("http://www.ncbi.nlm.nih.gov/gene/?term=CDKN3","NCBI")</f>
        <v>NCBI</v>
      </c>
      <c r="F373">
        <v>2.4000000000000001E-4</v>
      </c>
      <c r="G373">
        <v>1.0999999999999999E-2</v>
      </c>
      <c r="H373" s="1" t="str">
        <f>HYPERLINK("http://www.weizmann.ac.il/complex/compphys/software/geview/data/figures/209714_s_at.png","Figure")</f>
        <v>Figure</v>
      </c>
      <c r="I373">
        <v>0.79700000000000004</v>
      </c>
      <c r="J373">
        <v>0.47</v>
      </c>
      <c r="K373">
        <v>2.0299999999999998</v>
      </c>
      <c r="L373">
        <v>2.3999999999999998E-3</v>
      </c>
      <c r="M373">
        <v>2.54</v>
      </c>
      <c r="N373">
        <v>4.0000000000000002E-4</v>
      </c>
    </row>
    <row r="374" spans="1:14" x14ac:dyDescent="0.25">
      <c r="A374" t="s">
        <v>708</v>
      </c>
      <c r="B374" t="s">
        <v>709</v>
      </c>
      <c r="C374" s="1" t="str">
        <f>HYPERLINK("http://www.genecards.org/cgi-bin/carddisp.pl?gene=SOD1","GeneCards")</f>
        <v>GeneCards</v>
      </c>
      <c r="D374" s="1" t="str">
        <f>HYPERLINK("http://genome-euro.ucsc.edu/cgi-bin/hgTracks?position=200642_at","UCSC")</f>
        <v>UCSC</v>
      </c>
      <c r="E374" s="1" t="str">
        <f>HYPERLINK("http://www.ncbi.nlm.nih.gov/gene/?term=SOD1","NCBI")</f>
        <v>NCBI</v>
      </c>
      <c r="F374">
        <v>2.5000000000000001E-4</v>
      </c>
      <c r="G374">
        <v>1.0999999999999999E-2</v>
      </c>
      <c r="H374" s="1" t="str">
        <f>HYPERLINK("http://www.weizmann.ac.il/complex/compphys/software/geview/data/figures/200642_at.png","Figure")</f>
        <v>Figure</v>
      </c>
      <c r="I374">
        <v>0.45300000000000001</v>
      </c>
      <c r="J374">
        <v>4.7000000000000002E-3</v>
      </c>
      <c r="K374">
        <v>1.35</v>
      </c>
      <c r="L374">
        <v>0.25</v>
      </c>
      <c r="M374">
        <v>2.97</v>
      </c>
      <c r="N374">
        <v>1.8000000000000001E-4</v>
      </c>
    </row>
    <row r="375" spans="1:14" x14ac:dyDescent="0.25">
      <c r="A375" t="s">
        <v>710</v>
      </c>
      <c r="B375" t="s">
        <v>711</v>
      </c>
      <c r="C375" s="1" t="str">
        <f>HYPERLINK("http://www.genecards.org/cgi-bin/carddisp.pl?gene=TUBB6","GeneCards")</f>
        <v>GeneCards</v>
      </c>
      <c r="D375" s="1" t="str">
        <f>HYPERLINK("http://genome-euro.ucsc.edu/cgi-bin/hgTracks?position=209191_at","UCSC")</f>
        <v>UCSC</v>
      </c>
      <c r="E375" s="1" t="str">
        <f>HYPERLINK("http://www.ncbi.nlm.nih.gov/gene/?term=TUBB6","NCBI")</f>
        <v>NCBI</v>
      </c>
      <c r="F375">
        <v>2.5000000000000001E-4</v>
      </c>
      <c r="G375">
        <v>1.0999999999999999E-2</v>
      </c>
      <c r="H375" s="1" t="str">
        <f>HYPERLINK("http://www.weizmann.ac.il/complex/compphys/software/geview/data/figures/209191_at.png","Figure")</f>
        <v>Figure</v>
      </c>
      <c r="I375">
        <v>6.83</v>
      </c>
      <c r="J375">
        <v>2.0000000000000001E-4</v>
      </c>
      <c r="K375">
        <v>3.02</v>
      </c>
      <c r="L375">
        <v>6.1999999999999998E-3</v>
      </c>
      <c r="M375">
        <v>0.443</v>
      </c>
      <c r="N375">
        <v>5.5E-2</v>
      </c>
    </row>
    <row r="376" spans="1:14" x14ac:dyDescent="0.25">
      <c r="A376" t="s">
        <v>712</v>
      </c>
      <c r="B376" t="s">
        <v>713</v>
      </c>
      <c r="C376" s="1" t="str">
        <f>HYPERLINK("http://www.genecards.org/cgi-bin/carddisp.pl?gene=APEX1","GeneCards")</f>
        <v>GeneCards</v>
      </c>
      <c r="D376" s="1" t="str">
        <f>HYPERLINK("http://genome-euro.ucsc.edu/cgi-bin/hgTracks?position=210027_s_at","UCSC")</f>
        <v>UCSC</v>
      </c>
      <c r="E376" s="1" t="str">
        <f>HYPERLINK("http://www.ncbi.nlm.nih.gov/gene/?term=APEX1","NCBI")</f>
        <v>NCBI</v>
      </c>
      <c r="F376">
        <v>2.5000000000000001E-4</v>
      </c>
      <c r="G376">
        <v>1.0999999999999999E-2</v>
      </c>
      <c r="H376" s="1" t="str">
        <f>HYPERLINK("http://www.weizmann.ac.il/complex/compphys/software/geview/data/figures/210027_s_at.png","Figure")</f>
        <v>Figure</v>
      </c>
      <c r="I376">
        <v>0.79500000000000004</v>
      </c>
      <c r="J376">
        <v>0.19</v>
      </c>
      <c r="K376">
        <v>1.5</v>
      </c>
      <c r="L376">
        <v>6.0000000000000001E-3</v>
      </c>
      <c r="M376">
        <v>1.89</v>
      </c>
      <c r="N376">
        <v>2.7E-4</v>
      </c>
    </row>
    <row r="377" spans="1:14" x14ac:dyDescent="0.25">
      <c r="A377" t="s">
        <v>714</v>
      </c>
      <c r="B377" t="s">
        <v>471</v>
      </c>
      <c r="C377" s="1" t="str">
        <f>HYPERLINK("http://www.genecards.org/cgi-bin/carddisp.pl?gene=CPNE3","GeneCards")</f>
        <v>GeneCards</v>
      </c>
      <c r="D377" s="1" t="str">
        <f>HYPERLINK("http://genome-euro.ucsc.edu/cgi-bin/hgTracks?position=202118_s_at","UCSC")</f>
        <v>UCSC</v>
      </c>
      <c r="E377" s="1" t="str">
        <f>HYPERLINK("http://www.ncbi.nlm.nih.gov/gene/?term=CPNE3","NCBI")</f>
        <v>NCBI</v>
      </c>
      <c r="F377">
        <v>2.5000000000000001E-4</v>
      </c>
      <c r="G377">
        <v>1.0999999999999999E-2</v>
      </c>
      <c r="H377" s="1" t="str">
        <f>HYPERLINK("http://www.weizmann.ac.il/complex/compphys/software/geview/data/figures/202118_s_at.png","Figure")</f>
        <v>Figure</v>
      </c>
      <c r="I377">
        <v>0.41599999999999998</v>
      </c>
      <c r="J377">
        <v>2.9999999999999997E-4</v>
      </c>
      <c r="K377">
        <v>0.85199999999999998</v>
      </c>
      <c r="L377">
        <v>0.5</v>
      </c>
      <c r="M377">
        <v>2.0499999999999998</v>
      </c>
      <c r="N377">
        <v>9.7000000000000005E-4</v>
      </c>
    </row>
    <row r="378" spans="1:14" x14ac:dyDescent="0.25">
      <c r="A378" t="s">
        <v>715</v>
      </c>
      <c r="B378" t="s">
        <v>126</v>
      </c>
      <c r="C378" s="1" t="str">
        <f>HYPERLINK("http://www.genecards.org/cgi-bin/carddisp.pl?gene=SERBP1","GeneCards")</f>
        <v>GeneCards</v>
      </c>
      <c r="D378" s="1" t="str">
        <f>HYPERLINK("http://genome-euro.ucsc.edu/cgi-bin/hgTracks?position=210076_x_at","UCSC")</f>
        <v>UCSC</v>
      </c>
      <c r="E378" s="1" t="str">
        <f>HYPERLINK("http://www.ncbi.nlm.nih.gov/gene/?term=SERBP1","NCBI")</f>
        <v>NCBI</v>
      </c>
      <c r="F378">
        <v>2.5000000000000001E-4</v>
      </c>
      <c r="G378">
        <v>1.0999999999999999E-2</v>
      </c>
      <c r="H378" s="1" t="str">
        <f>HYPERLINK("http://www.weizmann.ac.il/complex/compphys/software/geview/data/figures/210076_x_at.png","Figure")</f>
        <v>Figure</v>
      </c>
      <c r="I378">
        <v>1.64</v>
      </c>
      <c r="J378">
        <v>2.5000000000000001E-4</v>
      </c>
      <c r="K378">
        <v>1.39</v>
      </c>
      <c r="L378">
        <v>2.7000000000000001E-3</v>
      </c>
      <c r="M378">
        <v>0.84499999999999997</v>
      </c>
      <c r="N378">
        <v>0.15</v>
      </c>
    </row>
    <row r="379" spans="1:14" x14ac:dyDescent="0.25">
      <c r="A379" t="s">
        <v>716</v>
      </c>
      <c r="B379" t="s">
        <v>717</v>
      </c>
      <c r="C379" s="1" t="str">
        <f>HYPERLINK("http://www.genecards.org/cgi-bin/carddisp.pl?gene=NFRKB","GeneCards")</f>
        <v>GeneCards</v>
      </c>
      <c r="D379" s="1" t="str">
        <f>HYPERLINK("http://genome-euro.ucsc.edu/cgi-bin/hgTracks?position=213028_at","UCSC")</f>
        <v>UCSC</v>
      </c>
      <c r="E379" s="1" t="str">
        <f>HYPERLINK("http://www.ncbi.nlm.nih.gov/gene/?term=NFRKB","NCBI")</f>
        <v>NCBI</v>
      </c>
      <c r="F379">
        <v>2.5000000000000001E-4</v>
      </c>
      <c r="G379">
        <v>1.0999999999999999E-2</v>
      </c>
      <c r="H379" s="1" t="str">
        <f>HYPERLINK("http://www.weizmann.ac.il/complex/compphys/software/geview/data/figures/213028_at.png","Figure")</f>
        <v>Figure</v>
      </c>
      <c r="I379">
        <v>1.26</v>
      </c>
      <c r="J379">
        <v>1.4E-3</v>
      </c>
      <c r="K379">
        <v>0.97</v>
      </c>
      <c r="L379">
        <v>0.77</v>
      </c>
      <c r="M379">
        <v>0.76900000000000002</v>
      </c>
      <c r="N379">
        <v>2.5000000000000001E-4</v>
      </c>
    </row>
    <row r="380" spans="1:14" x14ac:dyDescent="0.25">
      <c r="A380" t="s">
        <v>718</v>
      </c>
      <c r="B380" t="s">
        <v>719</v>
      </c>
      <c r="C380" s="1" t="str">
        <f>HYPERLINK("http://www.genecards.org/cgi-bin/carddisp.pl?gene=TMEM70","GeneCards")</f>
        <v>GeneCards</v>
      </c>
      <c r="D380" s="1" t="str">
        <f>HYPERLINK("http://genome-euro.ucsc.edu/cgi-bin/hgTracks?position=219448_at","UCSC")</f>
        <v>UCSC</v>
      </c>
      <c r="E380" s="1" t="str">
        <f>HYPERLINK("http://www.ncbi.nlm.nih.gov/gene/?term=TMEM70","NCBI")</f>
        <v>NCBI</v>
      </c>
      <c r="F380">
        <v>2.5000000000000001E-4</v>
      </c>
      <c r="G380">
        <v>1.0999999999999999E-2</v>
      </c>
      <c r="H380" s="1" t="str">
        <f>HYPERLINK("http://www.weizmann.ac.il/complex/compphys/software/geview/data/figures/219448_at.png","Figure")</f>
        <v>Figure</v>
      </c>
      <c r="I380">
        <v>0.754</v>
      </c>
      <c r="J380">
        <v>3.6999999999999999E-4</v>
      </c>
      <c r="K380">
        <v>0.96499999999999997</v>
      </c>
      <c r="L380">
        <v>0.73</v>
      </c>
      <c r="M380">
        <v>1.28</v>
      </c>
      <c r="N380">
        <v>6.8000000000000005E-4</v>
      </c>
    </row>
    <row r="381" spans="1:14" x14ac:dyDescent="0.25">
      <c r="A381" t="s">
        <v>720</v>
      </c>
      <c r="B381" t="s">
        <v>721</v>
      </c>
      <c r="C381" s="1" t="str">
        <f>HYPERLINK("http://www.genecards.org/cgi-bin/carddisp.pl?gene=UGDH","GeneCards")</f>
        <v>GeneCards</v>
      </c>
      <c r="D381" s="1" t="str">
        <f>HYPERLINK("http://genome-euro.ucsc.edu/cgi-bin/hgTracks?position=203343_at","UCSC")</f>
        <v>UCSC</v>
      </c>
      <c r="E381" s="1" t="str">
        <f>HYPERLINK("http://www.ncbi.nlm.nih.gov/gene/?term=UGDH","NCBI")</f>
        <v>NCBI</v>
      </c>
      <c r="F381">
        <v>2.5000000000000001E-4</v>
      </c>
      <c r="G381">
        <v>1.0999999999999999E-2</v>
      </c>
      <c r="H381" s="1" t="str">
        <f>HYPERLINK("http://www.weizmann.ac.il/complex/compphys/software/geview/data/figures/203343_at.png","Figure")</f>
        <v>Figure</v>
      </c>
      <c r="I381">
        <v>0.54400000000000004</v>
      </c>
      <c r="J381">
        <v>3.8999999999999998E-3</v>
      </c>
      <c r="K381">
        <v>1.23</v>
      </c>
      <c r="L381">
        <v>0.31</v>
      </c>
      <c r="M381">
        <v>2.25</v>
      </c>
      <c r="N381">
        <v>1.9000000000000001E-4</v>
      </c>
    </row>
    <row r="382" spans="1:14" x14ac:dyDescent="0.25">
      <c r="A382" t="s">
        <v>722</v>
      </c>
      <c r="B382" t="s">
        <v>723</v>
      </c>
      <c r="C382" s="1" t="str">
        <f>HYPERLINK("http://www.genecards.org/cgi-bin/carddisp.pl?gene=ADIPOR2","GeneCards")</f>
        <v>GeneCards</v>
      </c>
      <c r="D382" s="1" t="str">
        <f>HYPERLINK("http://genome-euro.ucsc.edu/cgi-bin/hgTracks?position=201346_at","UCSC")</f>
        <v>UCSC</v>
      </c>
      <c r="E382" s="1" t="str">
        <f>HYPERLINK("http://www.ncbi.nlm.nih.gov/gene/?term=ADIPOR2","NCBI")</f>
        <v>NCBI</v>
      </c>
      <c r="F382">
        <v>2.5999999999999998E-4</v>
      </c>
      <c r="G382">
        <v>1.0999999999999999E-2</v>
      </c>
      <c r="H382" s="1" t="str">
        <f>HYPERLINK("http://www.weizmann.ac.il/complex/compphys/software/geview/data/figures/201346_at.png","Figure")</f>
        <v>Figure</v>
      </c>
      <c r="I382">
        <v>0.54400000000000004</v>
      </c>
      <c r="J382">
        <v>5.0000000000000001E-3</v>
      </c>
      <c r="K382">
        <v>1.26</v>
      </c>
      <c r="L382">
        <v>0.24</v>
      </c>
      <c r="M382">
        <v>2.3199999999999998</v>
      </c>
      <c r="N382">
        <v>1.9000000000000001E-4</v>
      </c>
    </row>
    <row r="383" spans="1:14" x14ac:dyDescent="0.25">
      <c r="A383" t="s">
        <v>724</v>
      </c>
      <c r="B383" t="s">
        <v>725</v>
      </c>
      <c r="C383" s="1" t="str">
        <f>HYPERLINK("http://www.genecards.org/cgi-bin/carddisp.pl?gene=SMAD2","GeneCards")</f>
        <v>GeneCards</v>
      </c>
      <c r="D383" s="1" t="str">
        <f>HYPERLINK("http://genome-euro.ucsc.edu/cgi-bin/hgTracks?position=203077_s_at","UCSC")</f>
        <v>UCSC</v>
      </c>
      <c r="E383" s="1" t="str">
        <f>HYPERLINK("http://www.ncbi.nlm.nih.gov/gene/?term=SMAD2","NCBI")</f>
        <v>NCBI</v>
      </c>
      <c r="F383">
        <v>2.5999999999999998E-4</v>
      </c>
      <c r="G383">
        <v>1.2E-2</v>
      </c>
      <c r="H383" s="1" t="str">
        <f>HYPERLINK("http://www.weizmann.ac.il/complex/compphys/software/geview/data/figures/203077_s_at.png","Figure")</f>
        <v>Figure</v>
      </c>
      <c r="I383">
        <v>0.439</v>
      </c>
      <c r="J383">
        <v>4.4999999999999999E-4</v>
      </c>
      <c r="K383">
        <v>0.92600000000000005</v>
      </c>
      <c r="L383">
        <v>0.84</v>
      </c>
      <c r="M383">
        <v>2.11</v>
      </c>
      <c r="N383">
        <v>5.8E-4</v>
      </c>
    </row>
    <row r="384" spans="1:14" x14ac:dyDescent="0.25">
      <c r="A384" t="s">
        <v>726</v>
      </c>
      <c r="B384" t="s">
        <v>727</v>
      </c>
      <c r="C384" s="1" t="str">
        <f>HYPERLINK("http://www.genecards.org/cgi-bin/carddisp.pl?gene=PGK1","GeneCards")</f>
        <v>GeneCards</v>
      </c>
      <c r="D384" s="1" t="str">
        <f>HYPERLINK("http://genome-euro.ucsc.edu/cgi-bin/hgTracks?position=200738_s_at","UCSC")</f>
        <v>UCSC</v>
      </c>
      <c r="E384" s="1" t="str">
        <f>HYPERLINK("http://www.ncbi.nlm.nih.gov/gene/?term=PGK1","NCBI")</f>
        <v>NCBI</v>
      </c>
      <c r="F384">
        <v>2.5999999999999998E-4</v>
      </c>
      <c r="G384">
        <v>1.2E-2</v>
      </c>
      <c r="H384" s="1" t="str">
        <f>HYPERLINK("http://www.weizmann.ac.il/complex/compphys/software/geview/data/figures/200738_s_at.png","Figure")</f>
        <v>Figure</v>
      </c>
      <c r="I384">
        <v>0.51500000000000001</v>
      </c>
      <c r="J384">
        <v>6.8999999999999997E-4</v>
      </c>
      <c r="K384">
        <v>0.997</v>
      </c>
      <c r="L384">
        <v>1</v>
      </c>
      <c r="M384">
        <v>1.94</v>
      </c>
      <c r="N384">
        <v>3.8999999999999999E-4</v>
      </c>
    </row>
    <row r="385" spans="1:14" x14ac:dyDescent="0.25">
      <c r="A385" t="s">
        <v>728</v>
      </c>
      <c r="B385" t="s">
        <v>388</v>
      </c>
      <c r="C385" s="1" t="str">
        <f>HYPERLINK("http://www.genecards.org/cgi-bin/carddisp.pl?gene=RPS4X","GeneCards")</f>
        <v>GeneCards</v>
      </c>
      <c r="D385" s="1" t="str">
        <f>HYPERLINK("http://genome-euro.ucsc.edu/cgi-bin/hgTracks?position=216342_x_at","UCSC")</f>
        <v>UCSC</v>
      </c>
      <c r="E385" s="1" t="str">
        <f>HYPERLINK("http://www.ncbi.nlm.nih.gov/gene/?term=RPS4X","NCBI")</f>
        <v>NCBI</v>
      </c>
      <c r="F385">
        <v>2.5999999999999998E-4</v>
      </c>
      <c r="G385">
        <v>1.2E-2</v>
      </c>
      <c r="H385" s="1" t="str">
        <f>HYPERLINK("http://www.weizmann.ac.il/complex/compphys/software/geview/data/figures/216342_x_at.png","Figure")</f>
        <v>Figure</v>
      </c>
      <c r="I385">
        <v>0.49099999999999999</v>
      </c>
      <c r="J385">
        <v>1E-3</v>
      </c>
      <c r="K385">
        <v>1.05</v>
      </c>
      <c r="L385">
        <v>0.92</v>
      </c>
      <c r="M385">
        <v>2.14</v>
      </c>
      <c r="N385">
        <v>3.1E-4</v>
      </c>
    </row>
    <row r="386" spans="1:14" x14ac:dyDescent="0.25">
      <c r="A386" t="s">
        <v>729</v>
      </c>
      <c r="B386" t="s">
        <v>277</v>
      </c>
      <c r="C386" s="1" t="str">
        <f>HYPERLINK("http://www.genecards.org/cgi-bin/carddisp.pl?gene=SDC2","GeneCards")</f>
        <v>GeneCards</v>
      </c>
      <c r="D386" s="1" t="str">
        <f>HYPERLINK("http://genome-euro.ucsc.edu/cgi-bin/hgTracks?position=212154_at","UCSC")</f>
        <v>UCSC</v>
      </c>
      <c r="E386" s="1" t="str">
        <f>HYPERLINK("http://www.ncbi.nlm.nih.gov/gene/?term=SDC2","NCBI")</f>
        <v>NCBI</v>
      </c>
      <c r="F386">
        <v>2.7E-4</v>
      </c>
      <c r="G386">
        <v>1.2E-2</v>
      </c>
      <c r="H386" s="1" t="str">
        <f>HYPERLINK("http://www.weizmann.ac.il/complex/compphys/software/geview/data/figures/212154_at.png","Figure")</f>
        <v>Figure</v>
      </c>
      <c r="I386">
        <v>1.9</v>
      </c>
      <c r="J386">
        <v>6.9000000000000006E-2</v>
      </c>
      <c r="K386">
        <v>0.48</v>
      </c>
      <c r="L386">
        <v>1.7000000000000001E-2</v>
      </c>
      <c r="M386">
        <v>0.253</v>
      </c>
      <c r="N386">
        <v>2.2000000000000001E-4</v>
      </c>
    </row>
    <row r="387" spans="1:14" x14ac:dyDescent="0.25">
      <c r="A387" t="s">
        <v>730</v>
      </c>
      <c r="B387" t="s">
        <v>731</v>
      </c>
      <c r="C387" s="1" t="str">
        <f>HYPERLINK("http://www.genecards.org/cgi-bin/carddisp.pl?gene=JAG2","GeneCards")</f>
        <v>GeneCards</v>
      </c>
      <c r="D387" s="1" t="str">
        <f>HYPERLINK("http://genome-euro.ucsc.edu/cgi-bin/hgTracks?position=32137_at","UCSC")</f>
        <v>UCSC</v>
      </c>
      <c r="E387" s="1" t="str">
        <f>HYPERLINK("http://www.ncbi.nlm.nih.gov/gene/?term=JAG2","NCBI")</f>
        <v>NCBI</v>
      </c>
      <c r="F387">
        <v>2.7E-4</v>
      </c>
      <c r="G387">
        <v>1.2E-2</v>
      </c>
      <c r="H387" s="1" t="str">
        <f>HYPERLINK("http://www.weizmann.ac.il/complex/compphys/software/geview/data/figures/32137_at.png","Figure")</f>
        <v>Figure</v>
      </c>
      <c r="I387">
        <v>1.59</v>
      </c>
      <c r="J387">
        <v>2.7E-4</v>
      </c>
      <c r="K387">
        <v>1.36</v>
      </c>
      <c r="L387">
        <v>2.8999999999999998E-3</v>
      </c>
      <c r="M387">
        <v>0.85399999999999998</v>
      </c>
      <c r="N387">
        <v>0.15</v>
      </c>
    </row>
    <row r="388" spans="1:14" x14ac:dyDescent="0.25">
      <c r="A388" t="s">
        <v>732</v>
      </c>
      <c r="B388" t="s">
        <v>733</v>
      </c>
      <c r="C388" s="1" t="str">
        <f>HYPERLINK("http://www.genecards.org/cgi-bin/carddisp.pl?gene=C10orf76","GeneCards")</f>
        <v>GeneCards</v>
      </c>
      <c r="D388" s="1" t="str">
        <f>HYPERLINK("http://genome-euro.ucsc.edu/cgi-bin/hgTracks?position=55662_at","UCSC")</f>
        <v>UCSC</v>
      </c>
      <c r="E388" s="1" t="str">
        <f>HYPERLINK("http://www.ncbi.nlm.nih.gov/gene/?term=C10orf76","NCBI")</f>
        <v>NCBI</v>
      </c>
      <c r="F388">
        <v>2.7E-4</v>
      </c>
      <c r="G388">
        <v>1.2E-2</v>
      </c>
      <c r="H388" s="1" t="str">
        <f>HYPERLINK("http://www.weizmann.ac.il/complex/compphys/software/geview/data/figures/55662_at.png","Figure")</f>
        <v>Figure</v>
      </c>
      <c r="I388">
        <v>0.73399999999999999</v>
      </c>
      <c r="J388">
        <v>1E-3</v>
      </c>
      <c r="K388">
        <v>1.02</v>
      </c>
      <c r="L388">
        <v>0.94</v>
      </c>
      <c r="M388">
        <v>1.39</v>
      </c>
      <c r="N388">
        <v>3.2000000000000003E-4</v>
      </c>
    </row>
    <row r="389" spans="1:14" x14ac:dyDescent="0.25">
      <c r="A389" t="s">
        <v>734</v>
      </c>
      <c r="B389" t="s">
        <v>735</v>
      </c>
      <c r="C389" s="1" t="str">
        <f>HYPERLINK("http://www.genecards.org/cgi-bin/carddisp.pl?gene=GSTO1","GeneCards")</f>
        <v>GeneCards</v>
      </c>
      <c r="D389" s="1" t="str">
        <f>HYPERLINK("http://genome-euro.ucsc.edu/cgi-bin/hgTracks?position=201470_at","UCSC")</f>
        <v>UCSC</v>
      </c>
      <c r="E389" s="1" t="str">
        <f>HYPERLINK("http://www.ncbi.nlm.nih.gov/gene/?term=GSTO1","NCBI")</f>
        <v>NCBI</v>
      </c>
      <c r="F389">
        <v>2.7E-4</v>
      </c>
      <c r="G389">
        <v>1.2E-2</v>
      </c>
      <c r="H389" s="1" t="str">
        <f>HYPERLINK("http://www.weizmann.ac.il/complex/compphys/software/geview/data/figures/201470_at.png","Figure")</f>
        <v>Figure</v>
      </c>
      <c r="I389">
        <v>1.26</v>
      </c>
      <c r="J389">
        <v>0.48</v>
      </c>
      <c r="K389">
        <v>2.5099999999999998</v>
      </c>
      <c r="L389">
        <v>2.9999999999999997E-4</v>
      </c>
      <c r="M389">
        <v>1.99</v>
      </c>
      <c r="N389">
        <v>5.7000000000000002E-3</v>
      </c>
    </row>
    <row r="390" spans="1:14" x14ac:dyDescent="0.25">
      <c r="A390" t="s">
        <v>736</v>
      </c>
      <c r="B390" t="s">
        <v>346</v>
      </c>
      <c r="C390" s="1" t="str">
        <f>HYPERLINK("http://www.genecards.org/cgi-bin/carddisp.pl?gene=ALDH6A1","GeneCards")</f>
        <v>GeneCards</v>
      </c>
      <c r="D390" s="1" t="str">
        <f>HYPERLINK("http://genome-euro.ucsc.edu/cgi-bin/hgTracks?position=204290_s_at","UCSC")</f>
        <v>UCSC</v>
      </c>
      <c r="E390" s="1" t="str">
        <f>HYPERLINK("http://www.ncbi.nlm.nih.gov/gene/?term=ALDH6A1","NCBI")</f>
        <v>NCBI</v>
      </c>
      <c r="F390">
        <v>2.7E-4</v>
      </c>
      <c r="G390">
        <v>1.2E-2</v>
      </c>
      <c r="H390" s="1" t="str">
        <f>HYPERLINK("http://www.weizmann.ac.il/complex/compphys/software/geview/data/figures/204290_s_at.png","Figure")</f>
        <v>Figure</v>
      </c>
      <c r="I390">
        <v>0.72299999999999998</v>
      </c>
      <c r="J390">
        <v>8.8999999999999999E-3</v>
      </c>
      <c r="K390">
        <v>1.18</v>
      </c>
      <c r="L390">
        <v>0.14000000000000001</v>
      </c>
      <c r="M390">
        <v>1.63</v>
      </c>
      <c r="N390">
        <v>1.9000000000000001E-4</v>
      </c>
    </row>
    <row r="391" spans="1:14" x14ac:dyDescent="0.25">
      <c r="A391" t="s">
        <v>737</v>
      </c>
      <c r="B391" t="s">
        <v>738</v>
      </c>
      <c r="C391" s="1" t="str">
        <f>HYPERLINK("http://www.genecards.org/cgi-bin/carddisp.pl?gene=QDPR","GeneCards")</f>
        <v>GeneCards</v>
      </c>
      <c r="D391" s="1" t="str">
        <f>HYPERLINK("http://genome-euro.ucsc.edu/cgi-bin/hgTracks?position=209123_at","UCSC")</f>
        <v>UCSC</v>
      </c>
      <c r="E391" s="1" t="str">
        <f>HYPERLINK("http://www.ncbi.nlm.nih.gov/gene/?term=QDPR","NCBI")</f>
        <v>NCBI</v>
      </c>
      <c r="F391">
        <v>2.7E-4</v>
      </c>
      <c r="G391">
        <v>1.2E-2</v>
      </c>
      <c r="H391" s="1" t="str">
        <f>HYPERLINK("http://www.weizmann.ac.il/complex/compphys/software/geview/data/figures/209123_at.png","Figure")</f>
        <v>Figure</v>
      </c>
      <c r="I391">
        <v>0.59</v>
      </c>
      <c r="J391">
        <v>1.6E-2</v>
      </c>
      <c r="K391">
        <v>1.4</v>
      </c>
      <c r="L391">
        <v>7.6999999999999999E-2</v>
      </c>
      <c r="M391">
        <v>2.38</v>
      </c>
      <c r="N391">
        <v>1.9000000000000001E-4</v>
      </c>
    </row>
    <row r="392" spans="1:14" x14ac:dyDescent="0.25">
      <c r="A392" t="s">
        <v>739</v>
      </c>
      <c r="B392" t="s">
        <v>740</v>
      </c>
      <c r="C392" s="1" t="str">
        <f>HYPERLINK("http://www.genecards.org/cgi-bin/carddisp.pl?gene=ITGB1","GeneCards")</f>
        <v>GeneCards</v>
      </c>
      <c r="D392" s="1" t="str">
        <f>HYPERLINK("http://genome-euro.ucsc.edu/cgi-bin/hgTracks?position=211945_s_at","UCSC")</f>
        <v>UCSC</v>
      </c>
      <c r="E392" s="1" t="str">
        <f>HYPERLINK("http://www.ncbi.nlm.nih.gov/gene/?term=ITGB1","NCBI")</f>
        <v>NCBI</v>
      </c>
      <c r="F392">
        <v>2.7E-4</v>
      </c>
      <c r="G392">
        <v>1.2E-2</v>
      </c>
      <c r="H392" s="1" t="str">
        <f>HYPERLINK("http://www.weizmann.ac.il/complex/compphys/software/geview/data/figures/211945_s_at.png","Figure")</f>
        <v>Figure</v>
      </c>
      <c r="I392">
        <v>0.51800000000000002</v>
      </c>
      <c r="J392">
        <v>3.6000000000000002E-4</v>
      </c>
      <c r="K392">
        <v>0.61399999999999999</v>
      </c>
      <c r="L392">
        <v>1.5E-3</v>
      </c>
      <c r="M392">
        <v>1.19</v>
      </c>
      <c r="N392">
        <v>0.33</v>
      </c>
    </row>
    <row r="393" spans="1:14" x14ac:dyDescent="0.25">
      <c r="A393" t="s">
        <v>741</v>
      </c>
      <c r="B393" t="s">
        <v>742</v>
      </c>
      <c r="C393" s="1" t="str">
        <f>HYPERLINK("http://www.genecards.org/cgi-bin/carddisp.pl?gene=SF3A1","GeneCards")</f>
        <v>GeneCards</v>
      </c>
      <c r="D393" s="1" t="str">
        <f>HYPERLINK("http://genome-euro.ucsc.edu/cgi-bin/hgTracks?position=201356_at","UCSC")</f>
        <v>UCSC</v>
      </c>
      <c r="E393" s="1" t="str">
        <f>HYPERLINK("http://www.ncbi.nlm.nih.gov/gene/?term=SF3A1","NCBI")</f>
        <v>NCBI</v>
      </c>
      <c r="F393">
        <v>2.7E-4</v>
      </c>
      <c r="G393">
        <v>1.2E-2</v>
      </c>
      <c r="H393" s="1" t="str">
        <f>HYPERLINK("http://www.weizmann.ac.il/complex/compphys/software/geview/data/figures/201356_at.png","Figure")</f>
        <v>Figure</v>
      </c>
      <c r="I393">
        <v>1.07</v>
      </c>
      <c r="J393">
        <v>0.79</v>
      </c>
      <c r="K393">
        <v>0.66100000000000003</v>
      </c>
      <c r="L393">
        <v>1.4E-3</v>
      </c>
      <c r="M393">
        <v>0.61699999999999999</v>
      </c>
      <c r="N393">
        <v>6.8999999999999997E-4</v>
      </c>
    </row>
    <row r="394" spans="1:14" x14ac:dyDescent="0.25">
      <c r="A394" t="s">
        <v>743</v>
      </c>
      <c r="B394" t="s">
        <v>205</v>
      </c>
      <c r="C394" s="1" t="str">
        <f>HYPERLINK("http://www.genecards.org/cgi-bin/carddisp.pl?gene=DHCR7","GeneCards")</f>
        <v>GeneCards</v>
      </c>
      <c r="D394" s="1" t="str">
        <f>HYPERLINK("http://genome-euro.ucsc.edu/cgi-bin/hgTracks?position=201790_s_at","UCSC")</f>
        <v>UCSC</v>
      </c>
      <c r="E394" s="1" t="str">
        <f>HYPERLINK("http://www.ncbi.nlm.nih.gov/gene/?term=DHCR7","NCBI")</f>
        <v>NCBI</v>
      </c>
      <c r="F394">
        <v>2.7E-4</v>
      </c>
      <c r="G394">
        <v>1.2E-2</v>
      </c>
      <c r="H394" s="1" t="str">
        <f>HYPERLINK("http://www.weizmann.ac.il/complex/compphys/software/geview/data/figures/201790_s_at.png","Figure")</f>
        <v>Figure</v>
      </c>
      <c r="I394">
        <v>0.745</v>
      </c>
      <c r="J394">
        <v>9.7999999999999997E-4</v>
      </c>
      <c r="K394">
        <v>1.02</v>
      </c>
      <c r="L394">
        <v>0.95</v>
      </c>
      <c r="M394">
        <v>1.36</v>
      </c>
      <c r="N394">
        <v>3.4000000000000002E-4</v>
      </c>
    </row>
    <row r="395" spans="1:14" x14ac:dyDescent="0.25">
      <c r="A395" t="s">
        <v>744</v>
      </c>
      <c r="B395" t="s">
        <v>745</v>
      </c>
      <c r="C395" s="1" t="str">
        <f>HYPERLINK("http://www.genecards.org/cgi-bin/carddisp.pl?gene=NTRK3","GeneCards")</f>
        <v>GeneCards</v>
      </c>
      <c r="D395" s="1" t="str">
        <f>HYPERLINK("http://genome-euro.ucsc.edu/cgi-bin/hgTracks?position=217033_x_at","UCSC")</f>
        <v>UCSC</v>
      </c>
      <c r="E395" s="1" t="str">
        <f>HYPERLINK("http://www.ncbi.nlm.nih.gov/gene/?term=NTRK3","NCBI")</f>
        <v>NCBI</v>
      </c>
      <c r="F395">
        <v>2.7E-4</v>
      </c>
      <c r="G395">
        <v>1.2E-2</v>
      </c>
      <c r="H395" s="1" t="str">
        <f>HYPERLINK("http://www.weizmann.ac.il/complex/compphys/software/geview/data/figures/217033_x_at.png","Figure")</f>
        <v>Figure</v>
      </c>
      <c r="I395">
        <v>1.58</v>
      </c>
      <c r="J395">
        <v>2.2000000000000001E-4</v>
      </c>
      <c r="K395">
        <v>1.1499999999999999</v>
      </c>
      <c r="L395">
        <v>0.15</v>
      </c>
      <c r="M395">
        <v>0.72899999999999998</v>
      </c>
      <c r="N395">
        <v>2.8999999999999998E-3</v>
      </c>
    </row>
    <row r="396" spans="1:14" x14ac:dyDescent="0.25">
      <c r="A396" t="s">
        <v>746</v>
      </c>
      <c r="B396" t="s">
        <v>747</v>
      </c>
      <c r="C396" s="1" t="str">
        <f>HYPERLINK("http://www.genecards.org/cgi-bin/carddisp.pl?gene=ARMCX2","GeneCards")</f>
        <v>GeneCards</v>
      </c>
      <c r="D396" s="1" t="str">
        <f>HYPERLINK("http://genome-euro.ucsc.edu/cgi-bin/hgTracks?position=203404_at","UCSC")</f>
        <v>UCSC</v>
      </c>
      <c r="E396" s="1" t="str">
        <f>HYPERLINK("http://www.ncbi.nlm.nih.gov/gene/?term=ARMCX2","NCBI")</f>
        <v>NCBI</v>
      </c>
      <c r="F396">
        <v>2.7999999999999998E-4</v>
      </c>
      <c r="G396">
        <v>1.2E-2</v>
      </c>
      <c r="H396" s="1" t="str">
        <f>HYPERLINK("http://www.weizmann.ac.il/complex/compphys/software/geview/data/figures/203404_at.png","Figure")</f>
        <v>Figure</v>
      </c>
      <c r="I396">
        <v>0.47199999999999998</v>
      </c>
      <c r="J396">
        <v>4.8999999999999998E-4</v>
      </c>
      <c r="K396">
        <v>0.93799999999999994</v>
      </c>
      <c r="L396">
        <v>0.87</v>
      </c>
      <c r="M396">
        <v>1.99</v>
      </c>
      <c r="N396">
        <v>5.9000000000000003E-4</v>
      </c>
    </row>
    <row r="397" spans="1:14" x14ac:dyDescent="0.25">
      <c r="A397" t="s">
        <v>748</v>
      </c>
      <c r="B397" t="s">
        <v>749</v>
      </c>
      <c r="C397" s="1" t="str">
        <f>HYPERLINK("http://www.genecards.org/cgi-bin/carddisp.pl?gene=KBTBD2","GeneCards")</f>
        <v>GeneCards</v>
      </c>
      <c r="D397" s="1" t="str">
        <f>HYPERLINK("http://genome-euro.ucsc.edu/cgi-bin/hgTracks?position=212447_at","UCSC")</f>
        <v>UCSC</v>
      </c>
      <c r="E397" s="1" t="str">
        <f>HYPERLINK("http://www.ncbi.nlm.nih.gov/gene/?term=KBTBD2","NCBI")</f>
        <v>NCBI</v>
      </c>
      <c r="F397">
        <v>2.7999999999999998E-4</v>
      </c>
      <c r="G397">
        <v>1.2E-2</v>
      </c>
      <c r="H397" s="1" t="str">
        <f>HYPERLINK("http://www.weizmann.ac.il/complex/compphys/software/geview/data/figures/212447_at.png","Figure")</f>
        <v>Figure</v>
      </c>
      <c r="I397">
        <v>0.67</v>
      </c>
      <c r="J397">
        <v>4.3999999999999997E-2</v>
      </c>
      <c r="K397">
        <v>0.47899999999999998</v>
      </c>
      <c r="L397">
        <v>1.9000000000000001E-4</v>
      </c>
      <c r="M397">
        <v>0.71399999999999997</v>
      </c>
      <c r="N397">
        <v>7.0999999999999994E-2</v>
      </c>
    </row>
    <row r="398" spans="1:14" x14ac:dyDescent="0.25">
      <c r="A398" t="s">
        <v>750</v>
      </c>
      <c r="B398" t="s">
        <v>64</v>
      </c>
      <c r="C398" s="1" t="str">
        <f>HYPERLINK("http://www.genecards.org/cgi-bin/carddisp.pl?gene=ALG13","GeneCards")</f>
        <v>GeneCards</v>
      </c>
      <c r="D398" s="1" t="str">
        <f>HYPERLINK("http://genome-euro.ucsc.edu/cgi-bin/hgTracks?position=205583_s_at","UCSC")</f>
        <v>UCSC</v>
      </c>
      <c r="E398" s="1" t="str">
        <f>HYPERLINK("http://www.ncbi.nlm.nih.gov/gene/?term=ALG13","NCBI")</f>
        <v>NCBI</v>
      </c>
      <c r="F398">
        <v>2.7999999999999998E-4</v>
      </c>
      <c r="G398">
        <v>1.2E-2</v>
      </c>
      <c r="H398" s="1" t="str">
        <f>HYPERLINK("http://www.weizmann.ac.il/complex/compphys/software/geview/data/figures/205583_s_at.png","Figure")</f>
        <v>Figure</v>
      </c>
      <c r="I398">
        <v>0.245</v>
      </c>
      <c r="J398">
        <v>1.1000000000000001E-3</v>
      </c>
      <c r="K398">
        <v>1.1100000000000001</v>
      </c>
      <c r="L398">
        <v>0.91</v>
      </c>
      <c r="M398">
        <v>4.54</v>
      </c>
      <c r="N398">
        <v>3.2000000000000003E-4</v>
      </c>
    </row>
    <row r="399" spans="1:14" x14ac:dyDescent="0.25">
      <c r="A399" t="s">
        <v>751</v>
      </c>
      <c r="B399" t="s">
        <v>752</v>
      </c>
      <c r="C399" s="1" t="str">
        <f>HYPERLINK("http://www.genecards.org/cgi-bin/carddisp.pl?gene=IRS2","GeneCards")</f>
        <v>GeneCards</v>
      </c>
      <c r="D399" s="1" t="str">
        <f>HYPERLINK("http://genome-euro.ucsc.edu/cgi-bin/hgTracks?position=209185_s_at","UCSC")</f>
        <v>UCSC</v>
      </c>
      <c r="E399" s="1" t="str">
        <f>HYPERLINK("http://www.ncbi.nlm.nih.gov/gene/?term=IRS2","NCBI")</f>
        <v>NCBI</v>
      </c>
      <c r="F399">
        <v>2.7999999999999998E-4</v>
      </c>
      <c r="G399">
        <v>1.2E-2</v>
      </c>
      <c r="H399" s="1" t="str">
        <f>HYPERLINK("http://www.weizmann.ac.il/complex/compphys/software/geview/data/figures/209185_s_at.png","Figure")</f>
        <v>Figure</v>
      </c>
      <c r="I399">
        <v>0.46100000000000002</v>
      </c>
      <c r="J399">
        <v>7.2999999999999995E-2</v>
      </c>
      <c r="K399">
        <v>0.20599999999999999</v>
      </c>
      <c r="L399">
        <v>2.0000000000000001E-4</v>
      </c>
      <c r="M399">
        <v>0.44700000000000001</v>
      </c>
      <c r="N399">
        <v>4.3999999999999997E-2</v>
      </c>
    </row>
    <row r="400" spans="1:14" x14ac:dyDescent="0.25">
      <c r="A400" t="s">
        <v>753</v>
      </c>
      <c r="B400" t="s">
        <v>754</v>
      </c>
      <c r="C400" s="1" t="str">
        <f>HYPERLINK("http://www.genecards.org/cgi-bin/carddisp.pl?gene=GLUL","GeneCards")</f>
        <v>GeneCards</v>
      </c>
      <c r="D400" s="1" t="str">
        <f>HYPERLINK("http://genome-euro.ucsc.edu/cgi-bin/hgTracks?position=200648_s_at","UCSC")</f>
        <v>UCSC</v>
      </c>
      <c r="E400" s="1" t="str">
        <f>HYPERLINK("http://www.ncbi.nlm.nih.gov/gene/?term=GLUL","NCBI")</f>
        <v>NCBI</v>
      </c>
      <c r="F400">
        <v>2.9E-4</v>
      </c>
      <c r="G400">
        <v>1.2E-2</v>
      </c>
      <c r="H400" s="1" t="str">
        <f>HYPERLINK("http://www.weizmann.ac.il/complex/compphys/software/geview/data/figures/200648_s_at.png","Figure")</f>
        <v>Figure</v>
      </c>
      <c r="I400">
        <v>1.92</v>
      </c>
      <c r="J400">
        <v>1E-3</v>
      </c>
      <c r="K400">
        <v>1.85</v>
      </c>
      <c r="L400">
        <v>5.1999999999999995E-4</v>
      </c>
      <c r="M400">
        <v>0.96399999999999997</v>
      </c>
      <c r="N400">
        <v>0.96</v>
      </c>
    </row>
    <row r="401" spans="1:14" x14ac:dyDescent="0.25">
      <c r="A401" t="s">
        <v>755</v>
      </c>
      <c r="B401" t="s">
        <v>756</v>
      </c>
      <c r="C401" s="1" t="str">
        <f>HYPERLINK("http://www.genecards.org/cgi-bin/carddisp.pl?gene=VIPR2","GeneCards")</f>
        <v>GeneCards</v>
      </c>
      <c r="D401" s="1" t="str">
        <f>HYPERLINK("http://genome-euro.ucsc.edu/cgi-bin/hgTracks?position=205946_at","UCSC")</f>
        <v>UCSC</v>
      </c>
      <c r="E401" s="1" t="str">
        <f>HYPERLINK("http://www.ncbi.nlm.nih.gov/gene/?term=VIPR2","NCBI")</f>
        <v>NCBI</v>
      </c>
      <c r="F401">
        <v>2.9E-4</v>
      </c>
      <c r="G401">
        <v>1.2E-2</v>
      </c>
      <c r="H401" s="1" t="str">
        <f>HYPERLINK("http://www.weizmann.ac.il/complex/compphys/software/geview/data/figures/205946_at.png","Figure")</f>
        <v>Figure</v>
      </c>
      <c r="I401">
        <v>1.98</v>
      </c>
      <c r="J401">
        <v>2.9999999999999997E-4</v>
      </c>
      <c r="K401">
        <v>1.58</v>
      </c>
      <c r="L401">
        <v>2.8E-3</v>
      </c>
      <c r="M401">
        <v>0.79800000000000004</v>
      </c>
      <c r="N401">
        <v>0.17</v>
      </c>
    </row>
    <row r="402" spans="1:14" x14ac:dyDescent="0.25">
      <c r="A402" t="s">
        <v>757</v>
      </c>
      <c r="B402" t="s">
        <v>758</v>
      </c>
      <c r="C402" s="1" t="str">
        <f>HYPERLINK("http://www.genecards.org/cgi-bin/carddisp.pl?gene=C6orf62","GeneCards")</f>
        <v>GeneCards</v>
      </c>
      <c r="D402" s="1" t="str">
        <f>HYPERLINK("http://genome-euro.ucsc.edu/cgi-bin/hgTracks?position=208809_s_at","UCSC")</f>
        <v>UCSC</v>
      </c>
      <c r="E402" s="1" t="str">
        <f>HYPERLINK("http://www.ncbi.nlm.nih.gov/gene/?term=C6orf62","NCBI")</f>
        <v>NCBI</v>
      </c>
      <c r="F402">
        <v>2.9E-4</v>
      </c>
      <c r="G402">
        <v>1.2E-2</v>
      </c>
      <c r="H402" s="1" t="str">
        <f>HYPERLINK("http://www.weizmann.ac.il/complex/compphys/software/geview/data/figures/208809_s_at.png","Figure")</f>
        <v>Figure</v>
      </c>
      <c r="I402">
        <v>0.41499999999999998</v>
      </c>
      <c r="J402">
        <v>2.1000000000000001E-4</v>
      </c>
      <c r="K402">
        <v>0.63200000000000001</v>
      </c>
      <c r="L402">
        <v>1.2999999999999999E-2</v>
      </c>
      <c r="M402">
        <v>1.52</v>
      </c>
      <c r="N402">
        <v>3.1E-2</v>
      </c>
    </row>
    <row r="403" spans="1:14" x14ac:dyDescent="0.25">
      <c r="A403" t="s">
        <v>759</v>
      </c>
      <c r="B403" t="s">
        <v>760</v>
      </c>
      <c r="C403" s="1" t="str">
        <f>HYPERLINK("http://www.genecards.org/cgi-bin/carddisp.pl?gene=ITM2C","GeneCards")</f>
        <v>GeneCards</v>
      </c>
      <c r="D403" s="1" t="str">
        <f>HYPERLINK("http://genome-euro.ucsc.edu/cgi-bin/hgTracks?position=221004_s_at","UCSC")</f>
        <v>UCSC</v>
      </c>
      <c r="E403" s="1" t="str">
        <f>HYPERLINK("http://www.ncbi.nlm.nih.gov/gene/?term=ITM2C","NCBI")</f>
        <v>NCBI</v>
      </c>
      <c r="F403">
        <v>2.9E-4</v>
      </c>
      <c r="G403">
        <v>1.2E-2</v>
      </c>
      <c r="H403" s="1" t="str">
        <f>HYPERLINK("http://www.weizmann.ac.il/complex/compphys/software/geview/data/figures/221004_s_at.png","Figure")</f>
        <v>Figure</v>
      </c>
      <c r="I403">
        <v>1.76</v>
      </c>
      <c r="J403">
        <v>4.1999999999999997E-3</v>
      </c>
      <c r="K403">
        <v>2</v>
      </c>
      <c r="L403">
        <v>2.5999999999999998E-4</v>
      </c>
      <c r="M403">
        <v>1.1299999999999999</v>
      </c>
      <c r="N403">
        <v>0.63</v>
      </c>
    </row>
    <row r="404" spans="1:14" x14ac:dyDescent="0.25">
      <c r="A404" t="s">
        <v>761</v>
      </c>
      <c r="B404" t="s">
        <v>762</v>
      </c>
      <c r="C404" s="1" t="str">
        <f>HYPERLINK("http://www.genecards.org/cgi-bin/carddisp.pl?gene=FAM125B","GeneCards")</f>
        <v>GeneCards</v>
      </c>
      <c r="D404" s="1" t="str">
        <f>HYPERLINK("http://genome-euro.ucsc.edu/cgi-bin/hgTracks?position=52975_at","UCSC")</f>
        <v>UCSC</v>
      </c>
      <c r="E404" s="1" t="str">
        <f>HYPERLINK("http://www.ncbi.nlm.nih.gov/gene/?term=FAM125B","NCBI")</f>
        <v>NCBI</v>
      </c>
      <c r="F404">
        <v>2.9999999999999997E-4</v>
      </c>
      <c r="G404">
        <v>1.2E-2</v>
      </c>
      <c r="H404" s="1" t="str">
        <f>HYPERLINK("http://www.weizmann.ac.il/complex/compphys/software/geview/data/figures/52975_at.png","Figure")</f>
        <v>Figure</v>
      </c>
      <c r="I404">
        <v>1.1000000000000001</v>
      </c>
      <c r="J404">
        <v>0.35</v>
      </c>
      <c r="K404">
        <v>1.36</v>
      </c>
      <c r="L404">
        <v>2.9999999999999997E-4</v>
      </c>
      <c r="M404">
        <v>1.24</v>
      </c>
      <c r="N404">
        <v>9.1999999999999998E-3</v>
      </c>
    </row>
    <row r="405" spans="1:14" x14ac:dyDescent="0.25">
      <c r="A405" t="s">
        <v>763</v>
      </c>
      <c r="B405" t="s">
        <v>386</v>
      </c>
      <c r="C405" s="1" t="str">
        <f>HYPERLINK("http://www.genecards.org/cgi-bin/carddisp.pl?gene=EPRS","GeneCards")</f>
        <v>GeneCards</v>
      </c>
      <c r="D405" s="1" t="str">
        <f>HYPERLINK("http://genome-euro.ucsc.edu/cgi-bin/hgTracks?position=200843_s_at","UCSC")</f>
        <v>UCSC</v>
      </c>
      <c r="E405" s="1" t="str">
        <f>HYPERLINK("http://www.ncbi.nlm.nih.gov/gene/?term=EPRS","NCBI")</f>
        <v>NCBI</v>
      </c>
      <c r="F405">
        <v>2.9999999999999997E-4</v>
      </c>
      <c r="G405">
        <v>1.2E-2</v>
      </c>
      <c r="H405" s="1" t="str">
        <f>HYPERLINK("http://www.weizmann.ac.il/complex/compphys/software/geview/data/figures/200843_s_at.png","Figure")</f>
        <v>Figure</v>
      </c>
      <c r="I405">
        <v>1.55</v>
      </c>
      <c r="J405">
        <v>1.7000000000000001E-2</v>
      </c>
      <c r="K405">
        <v>1.96</v>
      </c>
      <c r="L405">
        <v>2.1000000000000001E-4</v>
      </c>
      <c r="M405">
        <v>1.26</v>
      </c>
      <c r="N405">
        <v>0.2</v>
      </c>
    </row>
    <row r="406" spans="1:14" x14ac:dyDescent="0.25">
      <c r="A406" t="s">
        <v>764</v>
      </c>
      <c r="B406" t="s">
        <v>765</v>
      </c>
      <c r="C406" s="1" t="str">
        <f>HYPERLINK("http://www.genecards.org/cgi-bin/carddisp.pl?gene=FH","GeneCards")</f>
        <v>GeneCards</v>
      </c>
      <c r="D406" s="1" t="str">
        <f>HYPERLINK("http://genome-euro.ucsc.edu/cgi-bin/hgTracks?position=203033_x_at","UCSC")</f>
        <v>UCSC</v>
      </c>
      <c r="E406" s="1" t="str">
        <f>HYPERLINK("http://www.ncbi.nlm.nih.gov/gene/?term=FH","NCBI")</f>
        <v>NCBI</v>
      </c>
      <c r="F406">
        <v>2.9999999999999997E-4</v>
      </c>
      <c r="G406">
        <v>1.2E-2</v>
      </c>
      <c r="H406" s="1" t="str">
        <f>HYPERLINK("http://www.weizmann.ac.il/complex/compphys/software/geview/data/figures/203033_x_at.png","Figure")</f>
        <v>Figure</v>
      </c>
      <c r="I406">
        <v>1.65</v>
      </c>
      <c r="J406">
        <v>9.1999999999999998E-3</v>
      </c>
      <c r="K406">
        <v>1.99</v>
      </c>
      <c r="L406">
        <v>2.3000000000000001E-4</v>
      </c>
      <c r="M406">
        <v>1.21</v>
      </c>
      <c r="N406">
        <v>0.35</v>
      </c>
    </row>
    <row r="407" spans="1:14" x14ac:dyDescent="0.25">
      <c r="A407" t="s">
        <v>766</v>
      </c>
      <c r="B407" t="s">
        <v>767</v>
      </c>
      <c r="C407" s="1" t="str">
        <f>HYPERLINK("http://www.genecards.org/cgi-bin/carddisp.pl?gene=IQGAP2","GeneCards")</f>
        <v>GeneCards</v>
      </c>
      <c r="D407" s="1" t="str">
        <f>HYPERLINK("http://genome-euro.ucsc.edu/cgi-bin/hgTracks?position=203474_at","UCSC")</f>
        <v>UCSC</v>
      </c>
      <c r="E407" s="1" t="str">
        <f>HYPERLINK("http://www.ncbi.nlm.nih.gov/gene/?term=IQGAP2","NCBI")</f>
        <v>NCBI</v>
      </c>
      <c r="F407">
        <v>2.9999999999999997E-4</v>
      </c>
      <c r="G407">
        <v>1.2E-2</v>
      </c>
      <c r="H407" s="1" t="str">
        <f>HYPERLINK("http://www.weizmann.ac.il/complex/compphys/software/geview/data/figures/203474_at.png","Figure")</f>
        <v>Figure</v>
      </c>
      <c r="I407">
        <v>0.67100000000000004</v>
      </c>
      <c r="J407">
        <v>0.17</v>
      </c>
      <c r="K407">
        <v>1.92</v>
      </c>
      <c r="L407">
        <v>8.3000000000000001E-3</v>
      </c>
      <c r="M407">
        <v>2.86</v>
      </c>
      <c r="N407">
        <v>3.1E-4</v>
      </c>
    </row>
    <row r="408" spans="1:14" x14ac:dyDescent="0.25">
      <c r="A408" t="s">
        <v>768</v>
      </c>
      <c r="B408" t="s">
        <v>769</v>
      </c>
      <c r="C408" s="1" t="str">
        <f>HYPERLINK("http://www.genecards.org/cgi-bin/carddisp.pl?gene=SORBS2","GeneCards")</f>
        <v>GeneCards</v>
      </c>
      <c r="D408" s="1" t="str">
        <f>HYPERLINK("http://genome-euro.ucsc.edu/cgi-bin/hgTracks?position=204288_s_at","UCSC")</f>
        <v>UCSC</v>
      </c>
      <c r="E408" s="1" t="str">
        <f>HYPERLINK("http://www.ncbi.nlm.nih.gov/gene/?term=SORBS2","NCBI")</f>
        <v>NCBI</v>
      </c>
      <c r="F408">
        <v>2.9999999999999997E-4</v>
      </c>
      <c r="G408">
        <v>1.2E-2</v>
      </c>
      <c r="H408" s="1" t="str">
        <f>HYPERLINK("http://www.weizmann.ac.il/complex/compphys/software/geview/data/figures/204288_s_at.png","Figure")</f>
        <v>Figure</v>
      </c>
      <c r="I408">
        <v>1.52</v>
      </c>
      <c r="J408">
        <v>2.4000000000000001E-4</v>
      </c>
      <c r="K408">
        <v>1.1399999999999999</v>
      </c>
      <c r="L408">
        <v>0.16</v>
      </c>
      <c r="M408">
        <v>0.747</v>
      </c>
      <c r="N408">
        <v>3.0999999999999999E-3</v>
      </c>
    </row>
    <row r="409" spans="1:14" x14ac:dyDescent="0.25">
      <c r="A409" t="s">
        <v>770</v>
      </c>
      <c r="B409" t="s">
        <v>771</v>
      </c>
      <c r="C409" s="1" t="str">
        <f>HYPERLINK("http://www.genecards.org/cgi-bin/carddisp.pl?gene=MYBPC2","GeneCards")</f>
        <v>GeneCards</v>
      </c>
      <c r="D409" s="1" t="str">
        <f>HYPERLINK("http://genome-euro.ucsc.edu/cgi-bin/hgTracks?position=206394_at","UCSC")</f>
        <v>UCSC</v>
      </c>
      <c r="E409" s="1" t="str">
        <f>HYPERLINK("http://www.ncbi.nlm.nih.gov/gene/?term=MYBPC2","NCBI")</f>
        <v>NCBI</v>
      </c>
      <c r="F409">
        <v>3.1E-4</v>
      </c>
      <c r="G409">
        <v>1.2E-2</v>
      </c>
      <c r="H409" s="1" t="str">
        <f>HYPERLINK("http://www.weizmann.ac.il/complex/compphys/software/geview/data/figures/206394_at.png","Figure")</f>
        <v>Figure</v>
      </c>
      <c r="I409">
        <v>0.4</v>
      </c>
      <c r="J409">
        <v>9.5E-4</v>
      </c>
      <c r="K409">
        <v>1.03</v>
      </c>
      <c r="L409">
        <v>0.99</v>
      </c>
      <c r="M409">
        <v>2.57</v>
      </c>
      <c r="N409">
        <v>4.0999999999999999E-4</v>
      </c>
    </row>
    <row r="410" spans="1:14" x14ac:dyDescent="0.25">
      <c r="A410" t="s">
        <v>772</v>
      </c>
      <c r="B410" t="s">
        <v>773</v>
      </c>
      <c r="C410" s="1" t="str">
        <f>HYPERLINK("http://www.genecards.org/cgi-bin/carddisp.pl?gene=HNRPDL","GeneCards")</f>
        <v>GeneCards</v>
      </c>
      <c r="D410" s="1" t="str">
        <f>HYPERLINK("http://genome-euro.ucsc.edu/cgi-bin/hgTracks?position=209068_at","UCSC")</f>
        <v>UCSC</v>
      </c>
      <c r="E410" s="1" t="str">
        <f>HYPERLINK("http://www.ncbi.nlm.nih.gov/gene/?term=HNRPDL","NCBI")</f>
        <v>NCBI</v>
      </c>
      <c r="F410">
        <v>2.9999999999999997E-4</v>
      </c>
      <c r="G410">
        <v>1.2E-2</v>
      </c>
      <c r="H410" s="1" t="str">
        <f>HYPERLINK("http://www.weizmann.ac.il/complex/compphys/software/geview/data/figures/209068_at.png","Figure")</f>
        <v>Figure</v>
      </c>
      <c r="I410">
        <v>0.56299999999999994</v>
      </c>
      <c r="J410">
        <v>2.5000000000000001E-4</v>
      </c>
      <c r="K410">
        <v>0.70699999999999996</v>
      </c>
      <c r="L410">
        <v>5.4000000000000003E-3</v>
      </c>
      <c r="M410">
        <v>1.26</v>
      </c>
      <c r="N410">
        <v>8.1000000000000003E-2</v>
      </c>
    </row>
    <row r="411" spans="1:14" x14ac:dyDescent="0.25">
      <c r="A411" t="s">
        <v>774</v>
      </c>
      <c r="B411" t="s">
        <v>775</v>
      </c>
      <c r="C411" s="1" t="str">
        <f>HYPERLINK("http://www.genecards.org/cgi-bin/carddisp.pl?gene=VTI1B","GeneCards")</f>
        <v>GeneCards</v>
      </c>
      <c r="D411" s="1" t="str">
        <f>HYPERLINK("http://genome-euro.ucsc.edu/cgi-bin/hgTracks?position=209452_s_at","UCSC")</f>
        <v>UCSC</v>
      </c>
      <c r="E411" s="1" t="str">
        <f>HYPERLINK("http://www.ncbi.nlm.nih.gov/gene/?term=VTI1B","NCBI")</f>
        <v>NCBI</v>
      </c>
      <c r="F411">
        <v>2.9999999999999997E-4</v>
      </c>
      <c r="G411">
        <v>1.2E-2</v>
      </c>
      <c r="H411" s="1" t="str">
        <f>HYPERLINK("http://www.weizmann.ac.il/complex/compphys/software/geview/data/figures/209452_s_at.png","Figure")</f>
        <v>Figure</v>
      </c>
      <c r="I411">
        <v>0.47499999999999998</v>
      </c>
      <c r="J411">
        <v>2.7E-4</v>
      </c>
      <c r="K411">
        <v>0.82499999999999996</v>
      </c>
      <c r="L411">
        <v>0.27</v>
      </c>
      <c r="M411">
        <v>1.74</v>
      </c>
      <c r="N411">
        <v>2E-3</v>
      </c>
    </row>
    <row r="412" spans="1:14" x14ac:dyDescent="0.25">
      <c r="A412" t="s">
        <v>776</v>
      </c>
      <c r="B412" t="s">
        <v>777</v>
      </c>
      <c r="C412" s="1" t="str">
        <f>HYPERLINK("http://www.genecards.org/cgi-bin/carddisp.pl?gene=CASP6","GeneCards")</f>
        <v>GeneCards</v>
      </c>
      <c r="D412" s="1" t="str">
        <f>HYPERLINK("http://genome-euro.ucsc.edu/cgi-bin/hgTracks?position=209790_s_at","UCSC")</f>
        <v>UCSC</v>
      </c>
      <c r="E412" s="1" t="str">
        <f>HYPERLINK("http://www.ncbi.nlm.nih.gov/gene/?term=CASP6","NCBI")</f>
        <v>NCBI</v>
      </c>
      <c r="F412">
        <v>2.9999999999999997E-4</v>
      </c>
      <c r="G412">
        <v>1.2E-2</v>
      </c>
      <c r="H412" s="1" t="str">
        <f>HYPERLINK("http://www.weizmann.ac.il/complex/compphys/software/geview/data/figures/209790_s_at.png","Figure")</f>
        <v>Figure</v>
      </c>
      <c r="I412">
        <v>0.501</v>
      </c>
      <c r="J412">
        <v>3.2000000000000003E-4</v>
      </c>
      <c r="K412">
        <v>0.86499999999999999</v>
      </c>
      <c r="L412">
        <v>0.42</v>
      </c>
      <c r="M412">
        <v>1.73</v>
      </c>
      <c r="N412">
        <v>1.4E-3</v>
      </c>
    </row>
    <row r="413" spans="1:14" x14ac:dyDescent="0.25">
      <c r="A413" t="s">
        <v>778</v>
      </c>
      <c r="B413" t="s">
        <v>779</v>
      </c>
      <c r="C413" s="1" t="str">
        <f>HYPERLINK("http://www.genecards.org/cgi-bin/carddisp.pl?gene=TBC1D9","GeneCards")</f>
        <v>GeneCards</v>
      </c>
      <c r="D413" s="1" t="str">
        <f>HYPERLINK("http://genome-euro.ucsc.edu/cgi-bin/hgTracks?position=212956_at","UCSC")</f>
        <v>UCSC</v>
      </c>
      <c r="E413" s="1" t="str">
        <f>HYPERLINK("http://www.ncbi.nlm.nih.gov/gene/?term=TBC1D9","NCBI")</f>
        <v>NCBI</v>
      </c>
      <c r="F413">
        <v>2.9999999999999997E-4</v>
      </c>
      <c r="G413">
        <v>1.2E-2</v>
      </c>
      <c r="H413" s="1" t="str">
        <f>HYPERLINK("http://www.weizmann.ac.il/complex/compphys/software/geview/data/figures/212956_at.png","Figure")</f>
        <v>Figure</v>
      </c>
      <c r="I413">
        <v>0.19600000000000001</v>
      </c>
      <c r="J413">
        <v>1.6999999999999999E-3</v>
      </c>
      <c r="K413">
        <v>0.186</v>
      </c>
      <c r="L413">
        <v>4.0000000000000002E-4</v>
      </c>
      <c r="M413">
        <v>0.95</v>
      </c>
      <c r="N413">
        <v>0.99</v>
      </c>
    </row>
    <row r="414" spans="1:14" x14ac:dyDescent="0.25">
      <c r="A414" t="s">
        <v>780</v>
      </c>
      <c r="B414" t="s">
        <v>781</v>
      </c>
      <c r="C414" s="1" t="str">
        <f>HYPERLINK("http://www.genecards.org/cgi-bin/carddisp.pl?gene=GARNL1","GeneCards")</f>
        <v>GeneCards</v>
      </c>
      <c r="D414" s="1" t="str">
        <f>HYPERLINK("http://genome-euro.ucsc.edu/cgi-bin/hgTracks?position=214855_s_at","UCSC")</f>
        <v>UCSC</v>
      </c>
      <c r="E414" s="1" t="str">
        <f>HYPERLINK("http://www.ncbi.nlm.nih.gov/gene/?term=GARNL1","NCBI")</f>
        <v>NCBI</v>
      </c>
      <c r="F414">
        <v>2.9999999999999997E-4</v>
      </c>
      <c r="G414">
        <v>1.2E-2</v>
      </c>
      <c r="H414" s="1" t="str">
        <f>HYPERLINK("http://www.weizmann.ac.il/complex/compphys/software/geview/data/figures/214855_s_at.png","Figure")</f>
        <v>Figure</v>
      </c>
      <c r="I414">
        <v>0.46600000000000003</v>
      </c>
      <c r="J414">
        <v>3.1E-4</v>
      </c>
      <c r="K414">
        <v>0.84399999999999997</v>
      </c>
      <c r="L414">
        <v>0.38</v>
      </c>
      <c r="M414">
        <v>1.81</v>
      </c>
      <c r="N414">
        <v>1.5E-3</v>
      </c>
    </row>
    <row r="415" spans="1:14" x14ac:dyDescent="0.25">
      <c r="A415" t="s">
        <v>782</v>
      </c>
      <c r="B415" t="s">
        <v>783</v>
      </c>
      <c r="C415" s="1" t="str">
        <f>HYPERLINK("http://www.genecards.org/cgi-bin/carddisp.pl?gene=TM9SF3","GeneCards")</f>
        <v>GeneCards</v>
      </c>
      <c r="D415" s="1" t="str">
        <f>HYPERLINK("http://genome-euro.ucsc.edu/cgi-bin/hgTracks?position=217758_s_at","UCSC")</f>
        <v>UCSC</v>
      </c>
      <c r="E415" s="1" t="str">
        <f>HYPERLINK("http://www.ncbi.nlm.nih.gov/gene/?term=TM9SF3","NCBI")</f>
        <v>NCBI</v>
      </c>
      <c r="F415">
        <v>2.9999999999999997E-4</v>
      </c>
      <c r="G415">
        <v>1.2E-2</v>
      </c>
      <c r="H415" s="1" t="str">
        <f>HYPERLINK("http://www.weizmann.ac.il/complex/compphys/software/geview/data/figures/217758_s_at.png","Figure")</f>
        <v>Figure</v>
      </c>
      <c r="I415">
        <v>0.35899999999999999</v>
      </c>
      <c r="J415">
        <v>2.3000000000000001E-4</v>
      </c>
      <c r="K415">
        <v>0.57299999999999995</v>
      </c>
      <c r="L415">
        <v>0.01</v>
      </c>
      <c r="M415">
        <v>1.59</v>
      </c>
      <c r="N415">
        <v>4.2000000000000003E-2</v>
      </c>
    </row>
    <row r="416" spans="1:14" x14ac:dyDescent="0.25">
      <c r="A416" t="s">
        <v>784</v>
      </c>
      <c r="B416" t="s">
        <v>785</v>
      </c>
      <c r="C416" s="1" t="str">
        <f>HYPERLINK("http://www.genecards.org/cgi-bin/carddisp.pl?gene=ZNF706","GeneCards")</f>
        <v>GeneCards</v>
      </c>
      <c r="D416" s="1" t="str">
        <f>HYPERLINK("http://genome-euro.ucsc.edu/cgi-bin/hgTracks?position=218059_at","UCSC")</f>
        <v>UCSC</v>
      </c>
      <c r="E416" s="1" t="str">
        <f>HYPERLINK("http://www.ncbi.nlm.nih.gov/gene/?term=ZNF706","NCBI")</f>
        <v>NCBI</v>
      </c>
      <c r="F416">
        <v>3.1E-4</v>
      </c>
      <c r="G416">
        <v>1.2E-2</v>
      </c>
      <c r="H416" s="1" t="str">
        <f>HYPERLINK("http://www.weizmann.ac.il/complex/compphys/software/geview/data/figures/218059_at.png","Figure")</f>
        <v>Figure</v>
      </c>
      <c r="I416">
        <v>0.48599999999999999</v>
      </c>
      <c r="J416">
        <v>4.2000000000000002E-4</v>
      </c>
      <c r="K416">
        <v>0.58299999999999996</v>
      </c>
      <c r="L416">
        <v>1.6000000000000001E-3</v>
      </c>
      <c r="M416">
        <v>1.2</v>
      </c>
      <c r="N416">
        <v>0.36</v>
      </c>
    </row>
    <row r="417" spans="1:14" x14ac:dyDescent="0.25">
      <c r="A417" t="s">
        <v>786</v>
      </c>
      <c r="B417" t="s">
        <v>787</v>
      </c>
      <c r="C417" s="1" t="str">
        <f>HYPERLINK("http://www.genecards.org/cgi-bin/carddisp.pl?gene=LAGE3","GeneCards")</f>
        <v>GeneCards</v>
      </c>
      <c r="D417" s="1" t="str">
        <f>HYPERLINK("http://genome-euro.ucsc.edu/cgi-bin/hgTracks?position=219061_s_at","UCSC")</f>
        <v>UCSC</v>
      </c>
      <c r="E417" s="1" t="str">
        <f>HYPERLINK("http://www.ncbi.nlm.nih.gov/gene/?term=LAGE3","NCBI")</f>
        <v>NCBI</v>
      </c>
      <c r="F417">
        <v>3.1E-4</v>
      </c>
      <c r="G417">
        <v>1.2E-2</v>
      </c>
      <c r="H417" s="1" t="str">
        <f>HYPERLINK("http://www.weizmann.ac.il/complex/compphys/software/geview/data/figures/219061_s_at.png","Figure")</f>
        <v>Figure</v>
      </c>
      <c r="I417">
        <v>0.56599999999999995</v>
      </c>
      <c r="J417">
        <v>1.8E-3</v>
      </c>
      <c r="K417">
        <v>1.0900000000000001</v>
      </c>
      <c r="L417">
        <v>0.71</v>
      </c>
      <c r="M417">
        <v>1.93</v>
      </c>
      <c r="N417">
        <v>2.9E-4</v>
      </c>
    </row>
    <row r="418" spans="1:14" x14ac:dyDescent="0.25">
      <c r="A418" t="s">
        <v>788</v>
      </c>
      <c r="B418" t="s">
        <v>789</v>
      </c>
      <c r="C418" s="1" t="str">
        <f>HYPERLINK("http://www.genecards.org/cgi-bin/carddisp.pl?gene=C20orf19","GeneCards")</f>
        <v>GeneCards</v>
      </c>
      <c r="D418" s="1" t="str">
        <f>HYPERLINK("http://genome-euro.ucsc.edu/cgi-bin/hgTracks?position=219961_s_at","UCSC")</f>
        <v>UCSC</v>
      </c>
      <c r="E418" s="1" t="str">
        <f>HYPERLINK("http://www.ncbi.nlm.nih.gov/gene/?term=C20orf19","NCBI")</f>
        <v>NCBI</v>
      </c>
      <c r="F418">
        <v>2.9E-4</v>
      </c>
      <c r="G418">
        <v>1.2E-2</v>
      </c>
      <c r="H418" s="1" t="str">
        <f>HYPERLINK("http://www.weizmann.ac.il/complex/compphys/software/geview/data/figures/219961_s_at.png","Figure")</f>
        <v>Figure</v>
      </c>
      <c r="I418">
        <v>0.66300000000000003</v>
      </c>
      <c r="J418">
        <v>1.6000000000000001E-3</v>
      </c>
      <c r="K418">
        <v>1.06</v>
      </c>
      <c r="L418">
        <v>0.78</v>
      </c>
      <c r="M418">
        <v>1.59</v>
      </c>
      <c r="N418">
        <v>2.9E-4</v>
      </c>
    </row>
    <row r="419" spans="1:14" x14ac:dyDescent="0.25">
      <c r="A419" t="s">
        <v>790</v>
      </c>
      <c r="B419" t="s">
        <v>791</v>
      </c>
      <c r="C419" s="1" t="str">
        <f>HYPERLINK("http://www.genecards.org/cgi-bin/carddisp.pl?gene=SLC2A6","GeneCards")</f>
        <v>GeneCards</v>
      </c>
      <c r="D419" s="1" t="str">
        <f>HYPERLINK("http://genome-euro.ucsc.edu/cgi-bin/hgTracks?position=220091_at","UCSC")</f>
        <v>UCSC</v>
      </c>
      <c r="E419" s="1" t="str">
        <f>HYPERLINK("http://www.ncbi.nlm.nih.gov/gene/?term=SLC2A6","NCBI")</f>
        <v>NCBI</v>
      </c>
      <c r="F419">
        <v>2.9999999999999997E-4</v>
      </c>
      <c r="G419">
        <v>1.2E-2</v>
      </c>
      <c r="H419" s="1" t="str">
        <f>HYPERLINK("http://www.weizmann.ac.il/complex/compphys/software/geview/data/figures/220091_at.png","Figure")</f>
        <v>Figure</v>
      </c>
      <c r="I419">
        <v>1.64</v>
      </c>
      <c r="J419">
        <v>2.5000000000000001E-3</v>
      </c>
      <c r="K419">
        <v>1.72</v>
      </c>
      <c r="L419">
        <v>3.4000000000000002E-4</v>
      </c>
      <c r="M419">
        <v>1.05</v>
      </c>
      <c r="N419">
        <v>0.88</v>
      </c>
    </row>
    <row r="420" spans="1:14" x14ac:dyDescent="0.25">
      <c r="A420" t="s">
        <v>792</v>
      </c>
      <c r="B420" t="s">
        <v>346</v>
      </c>
      <c r="C420" s="1" t="str">
        <f>HYPERLINK("http://www.genecards.org/cgi-bin/carddisp.pl?gene=ALDH6A1","GeneCards")</f>
        <v>GeneCards</v>
      </c>
      <c r="D420" s="1" t="str">
        <f>HYPERLINK("http://genome-euro.ucsc.edu/cgi-bin/hgTracks?position=221589_s_at","UCSC")</f>
        <v>UCSC</v>
      </c>
      <c r="E420" s="1" t="str">
        <f>HYPERLINK("http://www.ncbi.nlm.nih.gov/gene/?term=ALDH6A1","NCBI")</f>
        <v>NCBI</v>
      </c>
      <c r="F420">
        <v>2.9999999999999997E-4</v>
      </c>
      <c r="G420">
        <v>1.2E-2</v>
      </c>
      <c r="H420" s="1" t="str">
        <f>HYPERLINK("http://www.weizmann.ac.il/complex/compphys/software/geview/data/figures/221589_s_at.png","Figure")</f>
        <v>Figure</v>
      </c>
      <c r="I420">
        <v>0.40200000000000002</v>
      </c>
      <c r="J420">
        <v>7.9000000000000001E-4</v>
      </c>
      <c r="K420">
        <v>1</v>
      </c>
      <c r="L420">
        <v>1</v>
      </c>
      <c r="M420">
        <v>2.4900000000000002</v>
      </c>
      <c r="N420">
        <v>4.4000000000000002E-4</v>
      </c>
    </row>
    <row r="421" spans="1:14" x14ac:dyDescent="0.25">
      <c r="A421" t="s">
        <v>793</v>
      </c>
      <c r="B421" t="s">
        <v>794</v>
      </c>
      <c r="C421" s="1" t="str">
        <f>HYPERLINK("http://www.genecards.org/cgi-bin/carddisp.pl?gene=DAB2","GeneCards")</f>
        <v>GeneCards</v>
      </c>
      <c r="D421" s="1" t="str">
        <f>HYPERLINK("http://genome-euro.ucsc.edu/cgi-bin/hgTracks?position=201280_s_at","UCSC")</f>
        <v>UCSC</v>
      </c>
      <c r="E421" s="1" t="str">
        <f>HYPERLINK("http://www.ncbi.nlm.nih.gov/gene/?term=DAB2","NCBI")</f>
        <v>NCBI</v>
      </c>
      <c r="F421">
        <v>3.1E-4</v>
      </c>
      <c r="G421">
        <v>1.2999999999999999E-2</v>
      </c>
      <c r="H421" s="1" t="str">
        <f>HYPERLINK("http://www.weizmann.ac.il/complex/compphys/software/geview/data/figures/201280_s_at.png","Figure")</f>
        <v>Figure</v>
      </c>
      <c r="I421">
        <v>0.54700000000000004</v>
      </c>
      <c r="J421">
        <v>2.9999999999999997E-4</v>
      </c>
      <c r="K421">
        <v>0.67900000000000005</v>
      </c>
      <c r="L421">
        <v>3.8E-3</v>
      </c>
      <c r="M421">
        <v>1.24</v>
      </c>
      <c r="N421">
        <v>0.13</v>
      </c>
    </row>
    <row r="422" spans="1:14" x14ac:dyDescent="0.25">
      <c r="A422" t="s">
        <v>795</v>
      </c>
      <c r="B422" t="s">
        <v>796</v>
      </c>
      <c r="C422" s="1" t="str">
        <f>HYPERLINK("http://www.genecards.org/cgi-bin/carddisp.pl?gene=GM2A","GeneCards")</f>
        <v>GeneCards</v>
      </c>
      <c r="D422" s="1" t="str">
        <f>HYPERLINK("http://genome-euro.ucsc.edu/cgi-bin/hgTracks?position=212737_at","UCSC")</f>
        <v>UCSC</v>
      </c>
      <c r="E422" s="1" t="str">
        <f>HYPERLINK("http://www.ncbi.nlm.nih.gov/gene/?term=GM2A","NCBI")</f>
        <v>NCBI</v>
      </c>
      <c r="F422">
        <v>3.1E-4</v>
      </c>
      <c r="G422">
        <v>1.2999999999999999E-2</v>
      </c>
      <c r="H422" s="1" t="str">
        <f>HYPERLINK("http://www.weizmann.ac.il/complex/compphys/software/geview/data/figures/212737_at.png","Figure")</f>
        <v>Figure</v>
      </c>
      <c r="I422">
        <v>1.1299999999999999</v>
      </c>
      <c r="J422">
        <v>0.42</v>
      </c>
      <c r="K422">
        <v>1.55</v>
      </c>
      <c r="L422">
        <v>3.3E-4</v>
      </c>
      <c r="M422">
        <v>1.38</v>
      </c>
      <c r="N422">
        <v>7.6E-3</v>
      </c>
    </row>
    <row r="423" spans="1:14" x14ac:dyDescent="0.25">
      <c r="A423" t="s">
        <v>797</v>
      </c>
      <c r="B423" t="s">
        <v>798</v>
      </c>
      <c r="C423" s="1" t="str">
        <f>HYPERLINK("http://www.genecards.org/cgi-bin/carddisp.pl?gene=CCT5","GeneCards")</f>
        <v>GeneCards</v>
      </c>
      <c r="D423" s="1" t="str">
        <f>HYPERLINK("http://genome-euro.ucsc.edu/cgi-bin/hgTracks?position=208696_at","UCSC")</f>
        <v>UCSC</v>
      </c>
      <c r="E423" s="1" t="str">
        <f>HYPERLINK("http://www.ncbi.nlm.nih.gov/gene/?term=CCT5","NCBI")</f>
        <v>NCBI</v>
      </c>
      <c r="F423">
        <v>3.2000000000000003E-4</v>
      </c>
      <c r="G423">
        <v>1.2999999999999999E-2</v>
      </c>
      <c r="H423" s="1" t="str">
        <f>HYPERLINK("http://www.weizmann.ac.il/complex/compphys/software/geview/data/figures/208696_at.png","Figure")</f>
        <v>Figure</v>
      </c>
      <c r="I423">
        <v>1.32</v>
      </c>
      <c r="J423">
        <v>6.6000000000000003E-2</v>
      </c>
      <c r="K423">
        <v>1.74</v>
      </c>
      <c r="L423">
        <v>2.2000000000000001E-4</v>
      </c>
      <c r="M423">
        <v>1.31</v>
      </c>
      <c r="N423">
        <v>5.3999999999999999E-2</v>
      </c>
    </row>
    <row r="424" spans="1:14" x14ac:dyDescent="0.25">
      <c r="A424" t="s">
        <v>799</v>
      </c>
      <c r="B424" t="s">
        <v>800</v>
      </c>
      <c r="C424" s="1" t="str">
        <f>HYPERLINK("http://www.genecards.org/cgi-bin/carddisp.pl?gene=EPOR","GeneCards")</f>
        <v>GeneCards</v>
      </c>
      <c r="D424" s="1" t="str">
        <f>HYPERLINK("http://genome-euro.ucsc.edu/cgi-bin/hgTracks?position=209962_at","UCSC")</f>
        <v>UCSC</v>
      </c>
      <c r="E424" s="1" t="str">
        <f>HYPERLINK("http://www.ncbi.nlm.nih.gov/gene/?term=EPOR","NCBI")</f>
        <v>NCBI</v>
      </c>
      <c r="F424">
        <v>3.2000000000000003E-4</v>
      </c>
      <c r="G424">
        <v>1.2999999999999999E-2</v>
      </c>
      <c r="H424" s="1" t="str">
        <f>HYPERLINK("http://www.weizmann.ac.il/complex/compphys/software/geview/data/figures/209962_at.png","Figure")</f>
        <v>Figure</v>
      </c>
      <c r="I424">
        <v>1.3</v>
      </c>
      <c r="J424">
        <v>0.28000000000000003</v>
      </c>
      <c r="K424">
        <v>0.57699999999999996</v>
      </c>
      <c r="L424">
        <v>5.3E-3</v>
      </c>
      <c r="M424">
        <v>0.443</v>
      </c>
      <c r="N424">
        <v>3.8999999999999999E-4</v>
      </c>
    </row>
    <row r="425" spans="1:14" x14ac:dyDescent="0.25">
      <c r="A425" t="s">
        <v>801</v>
      </c>
      <c r="B425" t="s">
        <v>802</v>
      </c>
      <c r="C425" s="1" t="str">
        <f>HYPERLINK("http://www.genecards.org/cgi-bin/carddisp.pl?gene=PDCD6","GeneCards")</f>
        <v>GeneCards</v>
      </c>
      <c r="D425" s="1" t="str">
        <f>HYPERLINK("http://genome-euro.ucsc.edu/cgi-bin/hgTracks?position=222380_s_at","UCSC")</f>
        <v>UCSC</v>
      </c>
      <c r="E425" s="1" t="str">
        <f>HYPERLINK("http://www.ncbi.nlm.nih.gov/gene/?term=PDCD6","NCBI")</f>
        <v>NCBI</v>
      </c>
      <c r="F425">
        <v>3.2000000000000003E-4</v>
      </c>
      <c r="G425">
        <v>1.2999999999999999E-2</v>
      </c>
      <c r="H425" s="1" t="str">
        <f>HYPERLINK("http://www.weizmann.ac.il/complex/compphys/software/geview/data/figures/222380_s_at.png","Figure")</f>
        <v>Figure</v>
      </c>
      <c r="I425">
        <v>3.42</v>
      </c>
      <c r="J425">
        <v>9.7000000000000005E-4</v>
      </c>
      <c r="K425">
        <v>3.08</v>
      </c>
      <c r="L425">
        <v>6.4000000000000005E-4</v>
      </c>
      <c r="M425">
        <v>0.90100000000000002</v>
      </c>
      <c r="N425">
        <v>0.9</v>
      </c>
    </row>
    <row r="426" spans="1:14" x14ac:dyDescent="0.25">
      <c r="A426" t="s">
        <v>803</v>
      </c>
      <c r="B426" t="s">
        <v>267</v>
      </c>
      <c r="C426" s="1" t="str">
        <f>HYPERLINK("http://www.genecards.org/cgi-bin/carddisp.pl?gene=ATP6AP2","GeneCards")</f>
        <v>GeneCards</v>
      </c>
      <c r="D426" s="1" t="str">
        <f>HYPERLINK("http://genome-euro.ucsc.edu/cgi-bin/hgTracks?position=201444_s_at","UCSC")</f>
        <v>UCSC</v>
      </c>
      <c r="E426" s="1" t="str">
        <f>HYPERLINK("http://www.ncbi.nlm.nih.gov/gene/?term=ATP6AP2","NCBI")</f>
        <v>NCBI</v>
      </c>
      <c r="F426">
        <v>3.2000000000000003E-4</v>
      </c>
      <c r="G426">
        <v>1.2999999999999999E-2</v>
      </c>
      <c r="H426" s="1" t="str">
        <f>HYPERLINK("http://www.weizmann.ac.il/complex/compphys/software/geview/data/figures/201444_s_at.png","Figure")</f>
        <v>Figure</v>
      </c>
      <c r="I426">
        <v>0.35199999999999998</v>
      </c>
      <c r="J426">
        <v>2.3000000000000001E-4</v>
      </c>
      <c r="K426">
        <v>0.67700000000000005</v>
      </c>
      <c r="L426">
        <v>7.6999999999999999E-2</v>
      </c>
      <c r="M426">
        <v>1.93</v>
      </c>
      <c r="N426">
        <v>6.1000000000000004E-3</v>
      </c>
    </row>
    <row r="427" spans="1:14" x14ac:dyDescent="0.25">
      <c r="A427" t="s">
        <v>804</v>
      </c>
      <c r="B427" t="s">
        <v>805</v>
      </c>
      <c r="C427" s="1" t="str">
        <f>HYPERLINK("http://www.genecards.org/cgi-bin/carddisp.pl?gene=TMEM183A /// TMEM183B","GeneCards")</f>
        <v>GeneCards</v>
      </c>
      <c r="D427" s="1" t="str">
        <f>HYPERLINK("http://genome-euro.ucsc.edu/cgi-bin/hgTracks?position=212165_at","UCSC")</f>
        <v>UCSC</v>
      </c>
      <c r="E427" s="1" t="str">
        <f>HYPERLINK("http://www.ncbi.nlm.nih.gov/gene/?term=TMEM183A /// TMEM183B","NCBI")</f>
        <v>NCBI</v>
      </c>
      <c r="F427">
        <v>3.2000000000000003E-4</v>
      </c>
      <c r="G427">
        <v>1.2999999999999999E-2</v>
      </c>
      <c r="H427" s="1" t="str">
        <f>HYPERLINK("http://www.weizmann.ac.il/complex/compphys/software/geview/data/figures/212165_at.png","Figure")</f>
        <v>Figure</v>
      </c>
      <c r="I427">
        <v>1.9</v>
      </c>
      <c r="J427">
        <v>2.5000000000000001E-4</v>
      </c>
      <c r="K427">
        <v>1.44</v>
      </c>
      <c r="L427">
        <v>8.0999999999999996E-3</v>
      </c>
      <c r="M427">
        <v>0.75700000000000001</v>
      </c>
      <c r="N427">
        <v>5.6000000000000001E-2</v>
      </c>
    </row>
    <row r="428" spans="1:14" x14ac:dyDescent="0.25">
      <c r="A428" t="s">
        <v>806</v>
      </c>
      <c r="B428" t="s">
        <v>807</v>
      </c>
      <c r="C428" s="1" t="str">
        <f>HYPERLINK("http://www.genecards.org/cgi-bin/carddisp.pl?gene=IL6ST","GeneCards")</f>
        <v>GeneCards</v>
      </c>
      <c r="D428" s="1" t="str">
        <f>HYPERLINK("http://genome-euro.ucsc.edu/cgi-bin/hgTracks?position=212195_at","UCSC")</f>
        <v>UCSC</v>
      </c>
      <c r="E428" s="1" t="str">
        <f>HYPERLINK("http://www.ncbi.nlm.nih.gov/gene/?term=IL6ST","NCBI")</f>
        <v>NCBI</v>
      </c>
      <c r="F428">
        <v>3.2000000000000003E-4</v>
      </c>
      <c r="G428">
        <v>1.2999999999999999E-2</v>
      </c>
      <c r="H428" s="1" t="str">
        <f>HYPERLINK("http://www.weizmann.ac.il/complex/compphys/software/geview/data/figures/212195_at.png","Figure")</f>
        <v>Figure</v>
      </c>
      <c r="I428">
        <v>0.32300000000000001</v>
      </c>
      <c r="J428">
        <v>2.1000000000000001E-2</v>
      </c>
      <c r="K428">
        <v>0.16800000000000001</v>
      </c>
      <c r="L428">
        <v>2.2000000000000001E-4</v>
      </c>
      <c r="M428">
        <v>0.52</v>
      </c>
      <c r="N428">
        <v>0.17</v>
      </c>
    </row>
    <row r="429" spans="1:14" x14ac:dyDescent="0.25">
      <c r="A429" t="s">
        <v>808</v>
      </c>
      <c r="B429" t="s">
        <v>809</v>
      </c>
      <c r="C429" s="1" t="str">
        <f>HYPERLINK("http://www.genecards.org/cgi-bin/carddisp.pl?gene=DENND2A","GeneCards")</f>
        <v>GeneCards</v>
      </c>
      <c r="D429" s="1" t="str">
        <f>HYPERLINK("http://genome-euro.ucsc.edu/cgi-bin/hgTracks?position=53991_at","UCSC")</f>
        <v>UCSC</v>
      </c>
      <c r="E429" s="1" t="str">
        <f>HYPERLINK("http://www.ncbi.nlm.nih.gov/gene/?term=DENND2A","NCBI")</f>
        <v>NCBI</v>
      </c>
      <c r="F429">
        <v>3.3E-4</v>
      </c>
      <c r="G429">
        <v>1.2999999999999999E-2</v>
      </c>
      <c r="H429" s="1" t="str">
        <f>HYPERLINK("http://www.weizmann.ac.il/complex/compphys/software/geview/data/figures/53991_at.png","Figure")</f>
        <v>Figure</v>
      </c>
      <c r="I429">
        <v>1.1200000000000001</v>
      </c>
      <c r="J429">
        <v>4.8999999999999998E-4</v>
      </c>
      <c r="K429">
        <v>1.0900000000000001</v>
      </c>
      <c r="L429">
        <v>1.5E-3</v>
      </c>
      <c r="M429">
        <v>0.97499999999999998</v>
      </c>
      <c r="N429">
        <v>0.43</v>
      </c>
    </row>
    <row r="430" spans="1:14" x14ac:dyDescent="0.25">
      <c r="A430" t="s">
        <v>810</v>
      </c>
      <c r="B430" t="s">
        <v>811</v>
      </c>
      <c r="C430" s="1" t="str">
        <f>HYPERLINK("http://www.genecards.org/cgi-bin/carddisp.pl?gene=QTRT1","GeneCards")</f>
        <v>GeneCards</v>
      </c>
      <c r="D430" s="1" t="str">
        <f>HYPERLINK("http://genome-euro.ucsc.edu/cgi-bin/hgTracks?position=221270_s_at","UCSC")</f>
        <v>UCSC</v>
      </c>
      <c r="E430" s="1" t="str">
        <f>HYPERLINK("http://www.ncbi.nlm.nih.gov/gene/?term=QTRT1","NCBI")</f>
        <v>NCBI</v>
      </c>
      <c r="F430">
        <v>3.3E-4</v>
      </c>
      <c r="G430">
        <v>1.2999999999999999E-2</v>
      </c>
      <c r="H430" s="1" t="str">
        <f>HYPERLINK("http://www.weizmann.ac.il/complex/compphys/software/geview/data/figures/221270_s_at.png","Figure")</f>
        <v>Figure</v>
      </c>
      <c r="I430">
        <v>0.92400000000000004</v>
      </c>
      <c r="J430">
        <v>0.51</v>
      </c>
      <c r="K430">
        <v>1.29</v>
      </c>
      <c r="L430">
        <v>2.8999999999999998E-3</v>
      </c>
      <c r="M430">
        <v>1.4</v>
      </c>
      <c r="N430">
        <v>5.5000000000000003E-4</v>
      </c>
    </row>
    <row r="431" spans="1:14" x14ac:dyDescent="0.25">
      <c r="A431" t="s">
        <v>812</v>
      </c>
      <c r="B431" t="s">
        <v>813</v>
      </c>
      <c r="C431" s="1" t="str">
        <f>HYPERLINK("http://www.genecards.org/cgi-bin/carddisp.pl?gene=RYK","GeneCards")</f>
        <v>GeneCards</v>
      </c>
      <c r="D431" s="1" t="str">
        <f>HYPERLINK("http://genome-euro.ucsc.edu/cgi-bin/hgTracks?position=202853_s_at","UCSC")</f>
        <v>UCSC</v>
      </c>
      <c r="E431" s="1" t="str">
        <f>HYPERLINK("http://www.ncbi.nlm.nih.gov/gene/?term=RYK","NCBI")</f>
        <v>NCBI</v>
      </c>
      <c r="F431">
        <v>3.3E-4</v>
      </c>
      <c r="G431">
        <v>1.2999999999999999E-2</v>
      </c>
      <c r="H431" s="1" t="str">
        <f>HYPERLINK("http://www.weizmann.ac.il/complex/compphys/software/geview/data/figures/202853_s_at.png","Figure")</f>
        <v>Figure</v>
      </c>
      <c r="I431">
        <v>0.42799999999999999</v>
      </c>
      <c r="J431">
        <v>2.3999999999999998E-3</v>
      </c>
      <c r="K431">
        <v>0.39900000000000002</v>
      </c>
      <c r="L431">
        <v>3.8000000000000002E-4</v>
      </c>
      <c r="M431">
        <v>0.93100000000000005</v>
      </c>
      <c r="N431">
        <v>0.92</v>
      </c>
    </row>
    <row r="432" spans="1:14" x14ac:dyDescent="0.25">
      <c r="A432" t="s">
        <v>814</v>
      </c>
      <c r="B432" t="s">
        <v>815</v>
      </c>
      <c r="C432" s="1" t="str">
        <f>HYPERLINK("http://www.genecards.org/cgi-bin/carddisp.pl?gene=GNL3L","GeneCards")</f>
        <v>GeneCards</v>
      </c>
      <c r="D432" s="1" t="str">
        <f>HYPERLINK("http://genome-euro.ucsc.edu/cgi-bin/hgTracks?position=46947_at","UCSC")</f>
        <v>UCSC</v>
      </c>
      <c r="E432" s="1" t="str">
        <f>HYPERLINK("http://www.ncbi.nlm.nih.gov/gene/?term=GNL3L","NCBI")</f>
        <v>NCBI</v>
      </c>
      <c r="F432">
        <v>3.3E-4</v>
      </c>
      <c r="G432">
        <v>1.2999999999999999E-2</v>
      </c>
      <c r="H432" s="1" t="str">
        <f>HYPERLINK("http://www.weizmann.ac.il/complex/compphys/software/geview/data/figures/46947_at.png","Figure")</f>
        <v>Figure</v>
      </c>
      <c r="I432">
        <v>0.66800000000000004</v>
      </c>
      <c r="J432">
        <v>9.5E-4</v>
      </c>
      <c r="K432">
        <v>1.01</v>
      </c>
      <c r="L432">
        <v>1</v>
      </c>
      <c r="M432">
        <v>1.51</v>
      </c>
      <c r="N432">
        <v>4.6000000000000001E-4</v>
      </c>
    </row>
    <row r="433" spans="1:14" x14ac:dyDescent="0.25">
      <c r="A433" t="s">
        <v>816</v>
      </c>
      <c r="B433" t="s">
        <v>817</v>
      </c>
      <c r="C433" s="1" t="str">
        <f>HYPERLINK("http://www.genecards.org/cgi-bin/carddisp.pl?gene=ITGA9","GeneCards")</f>
        <v>GeneCards</v>
      </c>
      <c r="D433" s="1" t="str">
        <f>HYPERLINK("http://genome-euro.ucsc.edu/cgi-bin/hgTracks?position=206009_at","UCSC")</f>
        <v>UCSC</v>
      </c>
      <c r="E433" s="1" t="str">
        <f>HYPERLINK("http://www.ncbi.nlm.nih.gov/gene/?term=ITGA9","NCBI")</f>
        <v>NCBI</v>
      </c>
      <c r="F433">
        <v>3.3E-4</v>
      </c>
      <c r="G433">
        <v>1.2999999999999999E-2</v>
      </c>
      <c r="H433" s="1" t="str">
        <f>HYPERLINK("http://www.weizmann.ac.il/complex/compphys/software/geview/data/figures/206009_at.png","Figure")</f>
        <v>Figure</v>
      </c>
      <c r="I433">
        <v>1.44</v>
      </c>
      <c r="J433">
        <v>9.3000000000000005E-4</v>
      </c>
      <c r="K433">
        <v>1.39</v>
      </c>
      <c r="L433">
        <v>7.2000000000000005E-4</v>
      </c>
      <c r="M433">
        <v>0.96399999999999997</v>
      </c>
      <c r="N433">
        <v>0.86</v>
      </c>
    </row>
    <row r="434" spans="1:14" x14ac:dyDescent="0.25">
      <c r="A434" t="s">
        <v>818</v>
      </c>
      <c r="B434" t="s">
        <v>754</v>
      </c>
      <c r="C434" s="1" t="str">
        <f>HYPERLINK("http://www.genecards.org/cgi-bin/carddisp.pl?gene=GLUL","GeneCards")</f>
        <v>GeneCards</v>
      </c>
      <c r="D434" s="1" t="str">
        <f>HYPERLINK("http://genome-euro.ucsc.edu/cgi-bin/hgTracks?position=217202_s_at","UCSC")</f>
        <v>UCSC</v>
      </c>
      <c r="E434" s="1" t="str">
        <f>HYPERLINK("http://www.ncbi.nlm.nih.gov/gene/?term=GLUL","NCBI")</f>
        <v>NCBI</v>
      </c>
      <c r="F434">
        <v>3.3E-4</v>
      </c>
      <c r="G434">
        <v>1.2999999999999999E-2</v>
      </c>
      <c r="H434" s="1" t="str">
        <f>HYPERLINK("http://www.weizmann.ac.il/complex/compphys/software/geview/data/figures/217202_s_at.png","Figure")</f>
        <v>Figure</v>
      </c>
      <c r="I434">
        <v>1.79</v>
      </c>
      <c r="J434">
        <v>3.0999999999999999E-3</v>
      </c>
      <c r="K434">
        <v>1.93</v>
      </c>
      <c r="L434">
        <v>3.4000000000000002E-4</v>
      </c>
      <c r="M434">
        <v>1.08</v>
      </c>
      <c r="N434">
        <v>0.82</v>
      </c>
    </row>
    <row r="435" spans="1:14" x14ac:dyDescent="0.25">
      <c r="A435" t="s">
        <v>819</v>
      </c>
      <c r="B435" t="s">
        <v>820</v>
      </c>
      <c r="C435" s="1" t="str">
        <f>HYPERLINK("http://www.genecards.org/cgi-bin/carddisp.pl?gene=GORASP2","GeneCards")</f>
        <v>GeneCards</v>
      </c>
      <c r="D435" s="1" t="str">
        <f>HYPERLINK("http://genome-euro.ucsc.edu/cgi-bin/hgTracks?position=208843_s_at","UCSC")</f>
        <v>UCSC</v>
      </c>
      <c r="E435" s="1" t="str">
        <f>HYPERLINK("http://www.ncbi.nlm.nih.gov/gene/?term=GORASP2","NCBI")</f>
        <v>NCBI</v>
      </c>
      <c r="F435">
        <v>3.3E-4</v>
      </c>
      <c r="G435">
        <v>1.2999999999999999E-2</v>
      </c>
      <c r="H435" s="1" t="str">
        <f>HYPERLINK("http://www.weizmann.ac.il/complex/compphys/software/geview/data/figures/208843_s_at.png","Figure")</f>
        <v>Figure</v>
      </c>
      <c r="I435">
        <v>0.55200000000000005</v>
      </c>
      <c r="J435">
        <v>1.0999999999999999E-2</v>
      </c>
      <c r="K435">
        <v>0.433</v>
      </c>
      <c r="L435">
        <v>2.5000000000000001E-4</v>
      </c>
      <c r="M435">
        <v>0.78500000000000003</v>
      </c>
      <c r="N435">
        <v>0.32</v>
      </c>
    </row>
    <row r="436" spans="1:14" x14ac:dyDescent="0.25">
      <c r="A436" t="s">
        <v>821</v>
      </c>
      <c r="B436" t="s">
        <v>822</v>
      </c>
      <c r="C436" s="1" t="str">
        <f>HYPERLINK("http://www.genecards.org/cgi-bin/carddisp.pl?gene=ATP5J","GeneCards")</f>
        <v>GeneCards</v>
      </c>
      <c r="D436" s="1" t="str">
        <f>HYPERLINK("http://genome-euro.ucsc.edu/cgi-bin/hgTracks?position=202325_s_at","UCSC")</f>
        <v>UCSC</v>
      </c>
      <c r="E436" s="1" t="str">
        <f>HYPERLINK("http://www.ncbi.nlm.nih.gov/gene/?term=ATP5J","NCBI")</f>
        <v>NCBI</v>
      </c>
      <c r="F436">
        <v>3.4000000000000002E-4</v>
      </c>
      <c r="G436">
        <v>1.2999999999999999E-2</v>
      </c>
      <c r="H436" s="1" t="str">
        <f>HYPERLINK("http://www.weizmann.ac.il/complex/compphys/software/geview/data/figures/202325_s_at.png","Figure")</f>
        <v>Figure</v>
      </c>
      <c r="I436">
        <v>0.432</v>
      </c>
      <c r="J436">
        <v>3.0000000000000001E-3</v>
      </c>
      <c r="K436">
        <v>1.22</v>
      </c>
      <c r="L436">
        <v>0.52</v>
      </c>
      <c r="M436">
        <v>2.82</v>
      </c>
      <c r="N436">
        <v>2.7999999999999998E-4</v>
      </c>
    </row>
    <row r="437" spans="1:14" x14ac:dyDescent="0.25">
      <c r="A437" t="s">
        <v>823</v>
      </c>
      <c r="B437" t="s">
        <v>824</v>
      </c>
      <c r="C437" s="1" t="str">
        <f>HYPERLINK("http://www.genecards.org/cgi-bin/carddisp.pl?gene=PLCG1","GeneCards")</f>
        <v>GeneCards</v>
      </c>
      <c r="D437" s="1" t="str">
        <f>HYPERLINK("http://genome-euro.ucsc.edu/cgi-bin/hgTracks?position=202789_at","UCSC")</f>
        <v>UCSC</v>
      </c>
      <c r="E437" s="1" t="str">
        <f>HYPERLINK("http://www.ncbi.nlm.nih.gov/gene/?term=PLCG1","NCBI")</f>
        <v>NCBI</v>
      </c>
      <c r="F437">
        <v>3.4000000000000002E-4</v>
      </c>
      <c r="G437">
        <v>1.2999999999999999E-2</v>
      </c>
      <c r="H437" s="1" t="str">
        <f>HYPERLINK("http://www.weizmann.ac.il/complex/compphys/software/geview/data/figures/202789_at.png","Figure")</f>
        <v>Figure</v>
      </c>
      <c r="I437">
        <v>1.19</v>
      </c>
      <c r="J437">
        <v>0.49</v>
      </c>
      <c r="K437">
        <v>0.58199999999999996</v>
      </c>
      <c r="L437">
        <v>3.2000000000000002E-3</v>
      </c>
      <c r="M437">
        <v>0.48799999999999999</v>
      </c>
      <c r="N437">
        <v>5.5000000000000003E-4</v>
      </c>
    </row>
    <row r="438" spans="1:14" x14ac:dyDescent="0.25">
      <c r="A438" t="s">
        <v>825</v>
      </c>
      <c r="B438" t="s">
        <v>826</v>
      </c>
      <c r="C438" s="1" t="str">
        <f>HYPERLINK("http://www.genecards.org/cgi-bin/carddisp.pl?gene=FOXN3","GeneCards")</f>
        <v>GeneCards</v>
      </c>
      <c r="D438" s="1" t="str">
        <f>HYPERLINK("http://genome-euro.ucsc.edu/cgi-bin/hgTracks?position=205022_s_at","UCSC")</f>
        <v>UCSC</v>
      </c>
      <c r="E438" s="1" t="str">
        <f>HYPERLINK("http://www.ncbi.nlm.nih.gov/gene/?term=FOXN3","NCBI")</f>
        <v>NCBI</v>
      </c>
      <c r="F438">
        <v>3.4000000000000002E-4</v>
      </c>
      <c r="G438">
        <v>1.2999999999999999E-2</v>
      </c>
      <c r="H438" s="1" t="str">
        <f>HYPERLINK("http://www.weizmann.ac.il/complex/compphys/software/geview/data/figures/205022_s_at.png","Figure")</f>
        <v>Figure</v>
      </c>
      <c r="I438">
        <v>0.64</v>
      </c>
      <c r="J438">
        <v>6.6E-4</v>
      </c>
      <c r="K438">
        <v>0.69199999999999995</v>
      </c>
      <c r="L438">
        <v>1.1000000000000001E-3</v>
      </c>
      <c r="M438">
        <v>1.08</v>
      </c>
      <c r="N438">
        <v>0.62</v>
      </c>
    </row>
    <row r="439" spans="1:14" x14ac:dyDescent="0.25">
      <c r="A439" t="s">
        <v>827</v>
      </c>
      <c r="B439" t="s">
        <v>828</v>
      </c>
      <c r="C439" s="1" t="str">
        <f>HYPERLINK("http://www.genecards.org/cgi-bin/carddisp.pl?gene=EFR3A","GeneCards")</f>
        <v>GeneCards</v>
      </c>
      <c r="D439" s="1" t="str">
        <f>HYPERLINK("http://genome-euro.ucsc.edu/cgi-bin/hgTracks?position=212149_at","UCSC")</f>
        <v>UCSC</v>
      </c>
      <c r="E439" s="1" t="str">
        <f>HYPERLINK("http://www.ncbi.nlm.nih.gov/gene/?term=EFR3A","NCBI")</f>
        <v>NCBI</v>
      </c>
      <c r="F439">
        <v>3.4000000000000002E-4</v>
      </c>
      <c r="G439">
        <v>1.2999999999999999E-2</v>
      </c>
      <c r="H439" s="1" t="str">
        <f>HYPERLINK("http://www.weizmann.ac.il/complex/compphys/software/geview/data/figures/212149_at.png","Figure")</f>
        <v>Figure</v>
      </c>
      <c r="I439">
        <v>0.26900000000000002</v>
      </c>
      <c r="J439">
        <v>1.8E-3</v>
      </c>
      <c r="K439">
        <v>0.26100000000000001</v>
      </c>
      <c r="L439">
        <v>4.6000000000000001E-4</v>
      </c>
      <c r="M439">
        <v>0.97099999999999997</v>
      </c>
      <c r="N439">
        <v>0.99</v>
      </c>
    </row>
    <row r="440" spans="1:14" x14ac:dyDescent="0.25">
      <c r="A440" t="s">
        <v>829</v>
      </c>
      <c r="B440" t="s">
        <v>830</v>
      </c>
      <c r="C440" s="1" t="str">
        <f>HYPERLINK("http://www.genecards.org/cgi-bin/carddisp.pl?gene=AP3B1","GeneCards")</f>
        <v>GeneCards</v>
      </c>
      <c r="D440" s="1" t="str">
        <f>HYPERLINK("http://genome-euro.ucsc.edu/cgi-bin/hgTracks?position=203142_s_at","UCSC")</f>
        <v>UCSC</v>
      </c>
      <c r="E440" s="1" t="str">
        <f>HYPERLINK("http://www.ncbi.nlm.nih.gov/gene/?term=AP3B1","NCBI")</f>
        <v>NCBI</v>
      </c>
      <c r="F440">
        <v>3.4000000000000002E-4</v>
      </c>
      <c r="G440">
        <v>1.2999999999999999E-2</v>
      </c>
      <c r="H440" s="1" t="str">
        <f>HYPERLINK("http://www.weizmann.ac.il/complex/compphys/software/geview/data/figures/203142_s_at.png","Figure")</f>
        <v>Figure</v>
      </c>
      <c r="I440">
        <v>1.45</v>
      </c>
      <c r="J440">
        <v>8.9999999999999998E-4</v>
      </c>
      <c r="K440">
        <v>1.39</v>
      </c>
      <c r="L440">
        <v>7.6999999999999996E-4</v>
      </c>
      <c r="M440">
        <v>0.96</v>
      </c>
      <c r="N440">
        <v>0.84</v>
      </c>
    </row>
    <row r="441" spans="1:14" x14ac:dyDescent="0.25">
      <c r="A441" t="s">
        <v>831</v>
      </c>
      <c r="B441" t="s">
        <v>832</v>
      </c>
      <c r="C441" s="1" t="str">
        <f>HYPERLINK("http://www.genecards.org/cgi-bin/carddisp.pl?gene=CYorf15B","GeneCards")</f>
        <v>GeneCards</v>
      </c>
      <c r="D441" s="1" t="str">
        <f>HYPERLINK("http://genome-euro.ucsc.edu/cgi-bin/hgTracks?position=214131_at","UCSC")</f>
        <v>UCSC</v>
      </c>
      <c r="E441" s="1" t="str">
        <f>HYPERLINK("http://www.ncbi.nlm.nih.gov/gene/?term=CYorf15B","NCBI")</f>
        <v>NCBI</v>
      </c>
      <c r="F441">
        <v>3.4000000000000002E-4</v>
      </c>
      <c r="G441">
        <v>1.2999999999999999E-2</v>
      </c>
      <c r="H441" s="1" t="str">
        <f>HYPERLINK("http://www.weizmann.ac.il/complex/compphys/software/geview/data/figures/214131_at.png","Figure")</f>
        <v>Figure</v>
      </c>
      <c r="I441">
        <v>5.25</v>
      </c>
      <c r="J441">
        <v>2.5000000000000001E-3</v>
      </c>
      <c r="K441">
        <v>0.72199999999999998</v>
      </c>
      <c r="L441">
        <v>0.61</v>
      </c>
      <c r="M441">
        <v>0.13800000000000001</v>
      </c>
      <c r="N441">
        <v>2.9999999999999997E-4</v>
      </c>
    </row>
    <row r="442" spans="1:14" x14ac:dyDescent="0.25">
      <c r="A442" t="s">
        <v>833</v>
      </c>
      <c r="B442" t="s">
        <v>834</v>
      </c>
      <c r="C442" s="1" t="str">
        <f>HYPERLINK("http://www.genecards.org/cgi-bin/carddisp.pl?gene=SDHALP1","GeneCards")</f>
        <v>GeneCards</v>
      </c>
      <c r="D442" s="1" t="str">
        <f>HYPERLINK("http://genome-euro.ucsc.edu/cgi-bin/hgTracks?position=222021_x_at","UCSC")</f>
        <v>UCSC</v>
      </c>
      <c r="E442" s="1" t="str">
        <f>HYPERLINK("http://www.ncbi.nlm.nih.gov/gene/?term=SDHALP1","NCBI")</f>
        <v>NCBI</v>
      </c>
      <c r="F442">
        <v>3.4000000000000002E-4</v>
      </c>
      <c r="G442">
        <v>1.2999999999999999E-2</v>
      </c>
      <c r="H442" s="1" t="str">
        <f>HYPERLINK("http://www.weizmann.ac.il/complex/compphys/software/geview/data/figures/222021_x_at.png","Figure")</f>
        <v>Figure</v>
      </c>
      <c r="I442">
        <v>1.86</v>
      </c>
      <c r="J442">
        <v>1.6000000000000001E-3</v>
      </c>
      <c r="K442">
        <v>1.87</v>
      </c>
      <c r="L442">
        <v>4.8999999999999998E-4</v>
      </c>
      <c r="M442">
        <v>1</v>
      </c>
      <c r="N442">
        <v>1</v>
      </c>
    </row>
    <row r="443" spans="1:14" x14ac:dyDescent="0.25">
      <c r="A443" t="s">
        <v>835</v>
      </c>
      <c r="B443" t="s">
        <v>836</v>
      </c>
      <c r="C443" s="1" t="str">
        <f>HYPERLINK("http://www.genecards.org/cgi-bin/carddisp.pl?gene=C2orf3","GeneCards")</f>
        <v>GeneCards</v>
      </c>
      <c r="D443" s="1" t="str">
        <f>HYPERLINK("http://genome-euro.ucsc.edu/cgi-bin/hgTracks?position=216305_s_at","UCSC")</f>
        <v>UCSC</v>
      </c>
      <c r="E443" s="1" t="str">
        <f>HYPERLINK("http://www.ncbi.nlm.nih.gov/gene/?term=C2orf3","NCBI")</f>
        <v>NCBI</v>
      </c>
      <c r="F443">
        <v>3.4000000000000002E-4</v>
      </c>
      <c r="G443">
        <v>1.2999999999999999E-2</v>
      </c>
      <c r="H443" s="1" t="str">
        <f>HYPERLINK("http://www.weizmann.ac.il/complex/compphys/software/geview/data/figures/216305_s_at.png","Figure")</f>
        <v>Figure</v>
      </c>
      <c r="I443">
        <v>0.63800000000000001</v>
      </c>
      <c r="J443">
        <v>4.8999999999999998E-4</v>
      </c>
      <c r="K443">
        <v>0.94299999999999995</v>
      </c>
      <c r="L443">
        <v>0.73</v>
      </c>
      <c r="M443">
        <v>1.48</v>
      </c>
      <c r="N443">
        <v>9.3000000000000005E-4</v>
      </c>
    </row>
    <row r="444" spans="1:14" x14ac:dyDescent="0.25">
      <c r="A444" t="s">
        <v>837</v>
      </c>
      <c r="B444" t="s">
        <v>838</v>
      </c>
      <c r="C444" s="1" t="str">
        <f>HYPERLINK("http://www.genecards.org/cgi-bin/carddisp.pl?gene=XPNPEP1","GeneCards")</f>
        <v>GeneCards</v>
      </c>
      <c r="D444" s="1" t="str">
        <f>HYPERLINK("http://genome-euro.ucsc.edu/cgi-bin/hgTracks?position=209045_at","UCSC")</f>
        <v>UCSC</v>
      </c>
      <c r="E444" s="1" t="str">
        <f>HYPERLINK("http://www.ncbi.nlm.nih.gov/gene/?term=XPNPEP1","NCBI")</f>
        <v>NCBI</v>
      </c>
      <c r="F444">
        <v>3.5E-4</v>
      </c>
      <c r="G444">
        <v>1.2999999999999999E-2</v>
      </c>
      <c r="H444" s="1" t="str">
        <f>HYPERLINK("http://www.weizmann.ac.il/complex/compphys/software/geview/data/figures/209045_at.png","Figure")</f>
        <v>Figure</v>
      </c>
      <c r="I444">
        <v>0.878</v>
      </c>
      <c r="J444">
        <v>0.36</v>
      </c>
      <c r="K444">
        <v>0.65100000000000002</v>
      </c>
      <c r="L444">
        <v>3.4000000000000002E-4</v>
      </c>
      <c r="M444">
        <v>0.74199999999999999</v>
      </c>
      <c r="N444">
        <v>0.01</v>
      </c>
    </row>
    <row r="445" spans="1:14" x14ac:dyDescent="0.25">
      <c r="A445" t="s">
        <v>839</v>
      </c>
      <c r="B445" t="s">
        <v>840</v>
      </c>
      <c r="C445" s="1" t="str">
        <f>HYPERLINK("http://www.genecards.org/cgi-bin/carddisp.pl?gene=VGLL4","GeneCards")</f>
        <v>GeneCards</v>
      </c>
      <c r="D445" s="1" t="str">
        <f>HYPERLINK("http://genome-euro.ucsc.edu/cgi-bin/hgTracks?position=212399_s_at","UCSC")</f>
        <v>UCSC</v>
      </c>
      <c r="E445" s="1" t="str">
        <f>HYPERLINK("http://www.ncbi.nlm.nih.gov/gene/?term=VGLL4","NCBI")</f>
        <v>NCBI</v>
      </c>
      <c r="F445">
        <v>3.5E-4</v>
      </c>
      <c r="G445">
        <v>1.2999999999999999E-2</v>
      </c>
      <c r="H445" s="1" t="str">
        <f>HYPERLINK("http://www.weizmann.ac.il/complex/compphys/software/geview/data/figures/212399_s_at.png","Figure")</f>
        <v>Figure</v>
      </c>
      <c r="I445">
        <v>0.88100000000000001</v>
      </c>
      <c r="J445">
        <v>0.72</v>
      </c>
      <c r="K445">
        <v>0.48199999999999998</v>
      </c>
      <c r="L445">
        <v>4.8999999999999998E-4</v>
      </c>
      <c r="M445">
        <v>0.54800000000000004</v>
      </c>
      <c r="N445">
        <v>4.1000000000000003E-3</v>
      </c>
    </row>
    <row r="446" spans="1:14" x14ac:dyDescent="0.25">
      <c r="A446" t="s">
        <v>841</v>
      </c>
      <c r="B446" t="s">
        <v>842</v>
      </c>
      <c r="C446" s="1" t="str">
        <f>HYPERLINK("http://www.genecards.org/cgi-bin/carddisp.pl?gene=MERTK","GeneCards")</f>
        <v>GeneCards</v>
      </c>
      <c r="D446" s="1" t="str">
        <f>HYPERLINK("http://genome-euro.ucsc.edu/cgi-bin/hgTracks?position=206028_s_at","UCSC")</f>
        <v>UCSC</v>
      </c>
      <c r="E446" s="1" t="str">
        <f>HYPERLINK("http://www.ncbi.nlm.nih.gov/gene/?term=MERTK","NCBI")</f>
        <v>NCBI</v>
      </c>
      <c r="F446">
        <v>3.5E-4</v>
      </c>
      <c r="G446">
        <v>1.2999999999999999E-2</v>
      </c>
      <c r="H446" s="1" t="str">
        <f>HYPERLINK("http://www.weizmann.ac.il/complex/compphys/software/geview/data/figures/206028_s_at.png","Figure")</f>
        <v>Figure</v>
      </c>
      <c r="I446">
        <v>3.85</v>
      </c>
      <c r="J446">
        <v>1.8E-3</v>
      </c>
      <c r="K446">
        <v>3.96</v>
      </c>
      <c r="L446">
        <v>4.8000000000000001E-4</v>
      </c>
      <c r="M446">
        <v>1.03</v>
      </c>
      <c r="N446">
        <v>0.99</v>
      </c>
    </row>
    <row r="447" spans="1:14" x14ac:dyDescent="0.25">
      <c r="A447" t="s">
        <v>843</v>
      </c>
      <c r="B447" t="s">
        <v>826</v>
      </c>
      <c r="C447" s="1" t="str">
        <f>HYPERLINK("http://www.genecards.org/cgi-bin/carddisp.pl?gene=FOXN3","GeneCards")</f>
        <v>GeneCards</v>
      </c>
      <c r="D447" s="1" t="str">
        <f>HYPERLINK("http://genome-euro.ucsc.edu/cgi-bin/hgTracks?position=218031_s_at","UCSC")</f>
        <v>UCSC</v>
      </c>
      <c r="E447" s="1" t="str">
        <f>HYPERLINK("http://www.ncbi.nlm.nih.gov/gene/?term=FOXN3","NCBI")</f>
        <v>NCBI</v>
      </c>
      <c r="F447">
        <v>3.5E-4</v>
      </c>
      <c r="G447">
        <v>1.2999999999999999E-2</v>
      </c>
      <c r="H447" s="1" t="str">
        <f>HYPERLINK("http://www.weizmann.ac.il/complex/compphys/software/geview/data/figures/218031_s_at.png","Figure")</f>
        <v>Figure</v>
      </c>
      <c r="I447">
        <v>0.52900000000000003</v>
      </c>
      <c r="J447">
        <v>2.9E-4</v>
      </c>
      <c r="K447">
        <v>0.68700000000000006</v>
      </c>
      <c r="L447">
        <v>7.0000000000000001E-3</v>
      </c>
      <c r="M447">
        <v>1.3</v>
      </c>
      <c r="N447">
        <v>7.4999999999999997E-2</v>
      </c>
    </row>
    <row r="448" spans="1:14" x14ac:dyDescent="0.25">
      <c r="A448" t="s">
        <v>844</v>
      </c>
      <c r="B448" t="s">
        <v>754</v>
      </c>
      <c r="C448" s="1" t="str">
        <f>HYPERLINK("http://www.genecards.org/cgi-bin/carddisp.pl?gene=GLUL","GeneCards")</f>
        <v>GeneCards</v>
      </c>
      <c r="D448" s="1" t="str">
        <f>HYPERLINK("http://genome-euro.ucsc.edu/cgi-bin/hgTracks?position=215001_s_at","UCSC")</f>
        <v>UCSC</v>
      </c>
      <c r="E448" s="1" t="str">
        <f>HYPERLINK("http://www.ncbi.nlm.nih.gov/gene/?term=GLUL","NCBI")</f>
        <v>NCBI</v>
      </c>
      <c r="F448">
        <v>3.5E-4</v>
      </c>
      <c r="G448">
        <v>1.2999999999999999E-2</v>
      </c>
      <c r="H448" s="1" t="str">
        <f>HYPERLINK("http://www.weizmann.ac.il/complex/compphys/software/geview/data/figures/215001_s_at.png","Figure")</f>
        <v>Figure</v>
      </c>
      <c r="I448">
        <v>2.0499999999999998</v>
      </c>
      <c r="J448">
        <v>7.3000000000000001E-3</v>
      </c>
      <c r="K448">
        <v>2.5499999999999998</v>
      </c>
      <c r="L448">
        <v>2.9E-4</v>
      </c>
      <c r="M448">
        <v>1.24</v>
      </c>
      <c r="N448">
        <v>0.48</v>
      </c>
    </row>
    <row r="449" spans="1:14" x14ac:dyDescent="0.25">
      <c r="A449" t="s">
        <v>845</v>
      </c>
      <c r="B449" t="s">
        <v>846</v>
      </c>
      <c r="C449" s="1" t="str">
        <f>HYPERLINK("http://www.genecards.org/cgi-bin/carddisp.pl?gene=USP32","GeneCards")</f>
        <v>GeneCards</v>
      </c>
      <c r="D449" s="1" t="str">
        <f>HYPERLINK("http://genome-euro.ucsc.edu/cgi-bin/hgTracks?position=211702_s_at","UCSC")</f>
        <v>UCSC</v>
      </c>
      <c r="E449" s="1" t="str">
        <f>HYPERLINK("http://www.ncbi.nlm.nih.gov/gene/?term=USP32","NCBI")</f>
        <v>NCBI</v>
      </c>
      <c r="F449">
        <v>3.5E-4</v>
      </c>
      <c r="G449">
        <v>1.2999999999999999E-2</v>
      </c>
      <c r="H449" s="1" t="str">
        <f>HYPERLINK("http://www.weizmann.ac.il/complex/compphys/software/geview/data/figures/211702_s_at.png","Figure")</f>
        <v>Figure</v>
      </c>
      <c r="I449">
        <v>0.77200000000000002</v>
      </c>
      <c r="J449">
        <v>4.8999999999999998E-4</v>
      </c>
      <c r="K449">
        <v>0.96399999999999997</v>
      </c>
      <c r="L449">
        <v>0.68</v>
      </c>
      <c r="M449">
        <v>1.25</v>
      </c>
      <c r="N449">
        <v>1E-3</v>
      </c>
    </row>
    <row r="450" spans="1:14" x14ac:dyDescent="0.25">
      <c r="A450" t="s">
        <v>847</v>
      </c>
      <c r="B450" t="s">
        <v>848</v>
      </c>
      <c r="C450" s="1" t="str">
        <f>HYPERLINK("http://www.genecards.org/cgi-bin/carddisp.pl?gene=PLEK","GeneCards")</f>
        <v>GeneCards</v>
      </c>
      <c r="D450" s="1" t="str">
        <f>HYPERLINK("http://genome-euro.ucsc.edu/cgi-bin/hgTracks?position=203471_s_at","UCSC")</f>
        <v>UCSC</v>
      </c>
      <c r="E450" s="1" t="str">
        <f>HYPERLINK("http://www.ncbi.nlm.nih.gov/gene/?term=PLEK","NCBI")</f>
        <v>NCBI</v>
      </c>
      <c r="F450">
        <v>3.6000000000000002E-4</v>
      </c>
      <c r="G450">
        <v>1.2999999999999999E-2</v>
      </c>
      <c r="H450" s="1" t="str">
        <f>HYPERLINK("http://www.weizmann.ac.il/complex/compphys/software/geview/data/figures/203471_s_at.png","Figure")</f>
        <v>Figure</v>
      </c>
      <c r="I450">
        <v>0.316</v>
      </c>
      <c r="J450">
        <v>5.9999999999999995E-4</v>
      </c>
      <c r="K450">
        <v>0.89500000000000002</v>
      </c>
      <c r="L450">
        <v>0.84</v>
      </c>
      <c r="M450">
        <v>2.83</v>
      </c>
      <c r="N450">
        <v>8.0000000000000004E-4</v>
      </c>
    </row>
    <row r="451" spans="1:14" x14ac:dyDescent="0.25">
      <c r="A451" t="s">
        <v>849</v>
      </c>
      <c r="B451" t="s">
        <v>850</v>
      </c>
      <c r="C451" s="1" t="str">
        <f>HYPERLINK("http://www.genecards.org/cgi-bin/carddisp.pl?gene=CAPN2","GeneCards")</f>
        <v>GeneCards</v>
      </c>
      <c r="D451" s="1" t="str">
        <f>HYPERLINK("http://genome-euro.ucsc.edu/cgi-bin/hgTracks?position=208683_at","UCSC")</f>
        <v>UCSC</v>
      </c>
      <c r="E451" s="1" t="str">
        <f>HYPERLINK("http://www.ncbi.nlm.nih.gov/gene/?term=CAPN2","NCBI")</f>
        <v>NCBI</v>
      </c>
      <c r="F451">
        <v>3.6000000000000002E-4</v>
      </c>
      <c r="G451">
        <v>1.2999999999999999E-2</v>
      </c>
      <c r="H451" s="1" t="str">
        <f>HYPERLINK("http://www.weizmann.ac.il/complex/compphys/software/geview/data/figures/208683_at.png","Figure")</f>
        <v>Figure</v>
      </c>
      <c r="I451">
        <v>0.53900000000000003</v>
      </c>
      <c r="J451">
        <v>7.4999999999999997E-2</v>
      </c>
      <c r="K451">
        <v>2</v>
      </c>
      <c r="L451">
        <v>2.1000000000000001E-2</v>
      </c>
      <c r="M451">
        <v>3.71</v>
      </c>
      <c r="N451">
        <v>2.9E-4</v>
      </c>
    </row>
    <row r="452" spans="1:14" x14ac:dyDescent="0.25">
      <c r="A452" t="s">
        <v>851</v>
      </c>
      <c r="B452" t="s">
        <v>852</v>
      </c>
      <c r="C452" s="1" t="str">
        <f>HYPERLINK("http://www.genecards.org/cgi-bin/carddisp.pl?gene=NFATC2IP","GeneCards")</f>
        <v>GeneCards</v>
      </c>
      <c r="D452" s="1" t="str">
        <f>HYPERLINK("http://genome-euro.ucsc.edu/cgi-bin/hgTracks?position=212809_at","UCSC")</f>
        <v>UCSC</v>
      </c>
      <c r="E452" s="1" t="str">
        <f>HYPERLINK("http://www.ncbi.nlm.nih.gov/gene/?term=NFATC2IP","NCBI")</f>
        <v>NCBI</v>
      </c>
      <c r="F452">
        <v>3.6000000000000002E-4</v>
      </c>
      <c r="G452">
        <v>1.2999999999999999E-2</v>
      </c>
      <c r="H452" s="1" t="str">
        <f>HYPERLINK("http://www.weizmann.ac.il/complex/compphys/software/geview/data/figures/212809_at.png","Figure")</f>
        <v>Figure</v>
      </c>
      <c r="I452">
        <v>1.71</v>
      </c>
      <c r="J452">
        <v>6.7000000000000002E-4</v>
      </c>
      <c r="K452">
        <v>1.55</v>
      </c>
      <c r="L452">
        <v>1.1999999999999999E-3</v>
      </c>
      <c r="M452">
        <v>0.90700000000000003</v>
      </c>
      <c r="N452">
        <v>0.61</v>
      </c>
    </row>
    <row r="453" spans="1:14" x14ac:dyDescent="0.25">
      <c r="A453" t="s">
        <v>853</v>
      </c>
      <c r="B453" t="s">
        <v>854</v>
      </c>
      <c r="C453" s="1" t="str">
        <f>HYPERLINK("http://www.genecards.org/cgi-bin/carddisp.pl?gene=BASP1","GeneCards")</f>
        <v>GeneCards</v>
      </c>
      <c r="D453" s="1" t="str">
        <f>HYPERLINK("http://genome-euro.ucsc.edu/cgi-bin/hgTracks?position=202391_at","UCSC")</f>
        <v>UCSC</v>
      </c>
      <c r="E453" s="1" t="str">
        <f>HYPERLINK("http://www.ncbi.nlm.nih.gov/gene/?term=BASP1","NCBI")</f>
        <v>NCBI</v>
      </c>
      <c r="F453">
        <v>3.6000000000000002E-4</v>
      </c>
      <c r="G453">
        <v>1.4E-2</v>
      </c>
      <c r="H453" s="1" t="str">
        <f>HYPERLINK("http://www.weizmann.ac.il/complex/compphys/software/geview/data/figures/202391_at.png","Figure")</f>
        <v>Figure</v>
      </c>
      <c r="I453">
        <v>5.75</v>
      </c>
      <c r="J453">
        <v>3.5E-4</v>
      </c>
      <c r="K453">
        <v>1.51</v>
      </c>
      <c r="L453">
        <v>0.35</v>
      </c>
      <c r="M453">
        <v>0.26200000000000001</v>
      </c>
      <c r="N453">
        <v>1.9E-3</v>
      </c>
    </row>
    <row r="454" spans="1:14" x14ac:dyDescent="0.25">
      <c r="A454" t="s">
        <v>855</v>
      </c>
      <c r="B454" t="s">
        <v>856</v>
      </c>
      <c r="C454" s="1" t="str">
        <f>HYPERLINK("http://www.genecards.org/cgi-bin/carddisp.pl?gene=CTBP2","GeneCards")</f>
        <v>GeneCards</v>
      </c>
      <c r="D454" s="1" t="str">
        <f>HYPERLINK("http://genome-euro.ucsc.edu/cgi-bin/hgTracks?position=201218_at","UCSC")</f>
        <v>UCSC</v>
      </c>
      <c r="E454" s="1" t="str">
        <f>HYPERLINK("http://www.ncbi.nlm.nih.gov/gene/?term=CTBP2","NCBI")</f>
        <v>NCBI</v>
      </c>
      <c r="F454">
        <v>3.6000000000000002E-4</v>
      </c>
      <c r="G454">
        <v>1.4E-2</v>
      </c>
      <c r="H454" s="1" t="str">
        <f>HYPERLINK("http://www.weizmann.ac.il/complex/compphys/software/geview/data/figures/201218_at.png","Figure")</f>
        <v>Figure</v>
      </c>
      <c r="I454">
        <v>0.68799999999999994</v>
      </c>
      <c r="J454">
        <v>0.32</v>
      </c>
      <c r="K454">
        <v>2.29</v>
      </c>
      <c r="L454">
        <v>5.4000000000000003E-3</v>
      </c>
      <c r="M454">
        <v>3.33</v>
      </c>
      <c r="N454">
        <v>4.6000000000000001E-4</v>
      </c>
    </row>
    <row r="455" spans="1:14" x14ac:dyDescent="0.25">
      <c r="A455" t="s">
        <v>857</v>
      </c>
      <c r="B455" t="s">
        <v>858</v>
      </c>
      <c r="C455" s="1" t="str">
        <f>HYPERLINK("http://www.genecards.org/cgi-bin/carddisp.pl?gene=MAPK1","GeneCards")</f>
        <v>GeneCards</v>
      </c>
      <c r="D455" s="1" t="str">
        <f>HYPERLINK("http://genome-euro.ucsc.edu/cgi-bin/hgTracks?position=208351_s_at","UCSC")</f>
        <v>UCSC</v>
      </c>
      <c r="E455" s="1" t="str">
        <f>HYPERLINK("http://www.ncbi.nlm.nih.gov/gene/?term=MAPK1","NCBI")</f>
        <v>NCBI</v>
      </c>
      <c r="F455">
        <v>3.6000000000000002E-4</v>
      </c>
      <c r="G455">
        <v>1.4E-2</v>
      </c>
      <c r="H455" s="1" t="str">
        <f>HYPERLINK("http://www.weizmann.ac.il/complex/compphys/software/geview/data/figures/208351_s_at.png","Figure")</f>
        <v>Figure</v>
      </c>
      <c r="I455">
        <v>0.80500000000000005</v>
      </c>
      <c r="J455">
        <v>6.6E-3</v>
      </c>
      <c r="K455">
        <v>1.0900000000000001</v>
      </c>
      <c r="L455">
        <v>0.26</v>
      </c>
      <c r="M455">
        <v>1.35</v>
      </c>
      <c r="N455">
        <v>2.5999999999999998E-4</v>
      </c>
    </row>
    <row r="456" spans="1:14" x14ac:dyDescent="0.25">
      <c r="A456" t="s">
        <v>859</v>
      </c>
      <c r="B456" t="s">
        <v>23</v>
      </c>
      <c r="C456" s="1" t="str">
        <f>HYPERLINK("http://www.genecards.org/cgi-bin/carddisp.pl?gene=CYB5A","GeneCards")</f>
        <v>GeneCards</v>
      </c>
      <c r="D456" s="1" t="str">
        <f>HYPERLINK("http://genome-euro.ucsc.edu/cgi-bin/hgTracks?position=209366_x_at","UCSC")</f>
        <v>UCSC</v>
      </c>
      <c r="E456" s="1" t="str">
        <f>HYPERLINK("http://www.ncbi.nlm.nih.gov/gene/?term=CYB5A","NCBI")</f>
        <v>NCBI</v>
      </c>
      <c r="F456">
        <v>3.6000000000000002E-4</v>
      </c>
      <c r="G456">
        <v>1.4E-2</v>
      </c>
      <c r="H456" s="1" t="str">
        <f>HYPERLINK("http://www.weizmann.ac.il/complex/compphys/software/geview/data/figures/209366_x_at.png","Figure")</f>
        <v>Figure</v>
      </c>
      <c r="I456">
        <v>0.32800000000000001</v>
      </c>
      <c r="J456">
        <v>2.8E-3</v>
      </c>
      <c r="K456">
        <v>1.26</v>
      </c>
      <c r="L456">
        <v>0.59</v>
      </c>
      <c r="M456">
        <v>3.85</v>
      </c>
      <c r="N456">
        <v>3.1E-4</v>
      </c>
    </row>
    <row r="457" spans="1:14" x14ac:dyDescent="0.25">
      <c r="A457" t="s">
        <v>860</v>
      </c>
      <c r="B457" t="s">
        <v>861</v>
      </c>
      <c r="C457" s="1" t="str">
        <f>HYPERLINK("http://www.genecards.org/cgi-bin/carddisp.pl?gene=COX11","GeneCards")</f>
        <v>GeneCards</v>
      </c>
      <c r="D457" s="1" t="str">
        <f>HYPERLINK("http://genome-euro.ucsc.edu/cgi-bin/hgTracks?position=211727_s_at","UCSC")</f>
        <v>UCSC</v>
      </c>
      <c r="E457" s="1" t="str">
        <f>HYPERLINK("http://www.ncbi.nlm.nih.gov/gene/?term=COX11","NCBI")</f>
        <v>NCBI</v>
      </c>
      <c r="F457">
        <v>3.6000000000000002E-4</v>
      </c>
      <c r="G457">
        <v>1.4E-2</v>
      </c>
      <c r="H457" s="1" t="str">
        <f>HYPERLINK("http://www.weizmann.ac.il/complex/compphys/software/geview/data/figures/211727_s_at.png","Figure")</f>
        <v>Figure</v>
      </c>
      <c r="I457">
        <v>0.34499999999999997</v>
      </c>
      <c r="J457">
        <v>8.9999999999999998E-4</v>
      </c>
      <c r="K457">
        <v>0.98499999999999999</v>
      </c>
      <c r="L457">
        <v>1</v>
      </c>
      <c r="M457">
        <v>2.85</v>
      </c>
      <c r="N457">
        <v>5.5999999999999995E-4</v>
      </c>
    </row>
    <row r="458" spans="1:14" x14ac:dyDescent="0.25">
      <c r="A458" t="s">
        <v>862</v>
      </c>
      <c r="B458" t="s">
        <v>863</v>
      </c>
      <c r="C458" s="1" t="str">
        <f>HYPERLINK("http://www.genecards.org/cgi-bin/carddisp.pl?gene=OBFC1","GeneCards")</f>
        <v>GeneCards</v>
      </c>
      <c r="D458" s="1" t="str">
        <f>HYPERLINK("http://genome-euro.ucsc.edu/cgi-bin/hgTracks?position=219100_at","UCSC")</f>
        <v>UCSC</v>
      </c>
      <c r="E458" s="1" t="str">
        <f>HYPERLINK("http://www.ncbi.nlm.nih.gov/gene/?term=OBFC1","NCBI")</f>
        <v>NCBI</v>
      </c>
      <c r="F458">
        <v>3.6999999999999999E-4</v>
      </c>
      <c r="G458">
        <v>1.4E-2</v>
      </c>
      <c r="H458" s="1" t="str">
        <f>HYPERLINK("http://www.weizmann.ac.il/complex/compphys/software/geview/data/figures/219100_at.png","Figure")</f>
        <v>Figure</v>
      </c>
      <c r="I458">
        <v>0.67</v>
      </c>
      <c r="J458">
        <v>1.2999999999999999E-3</v>
      </c>
      <c r="K458">
        <v>1.02</v>
      </c>
      <c r="L458">
        <v>0.96</v>
      </c>
      <c r="M458">
        <v>1.52</v>
      </c>
      <c r="N458">
        <v>4.4999999999999999E-4</v>
      </c>
    </row>
    <row r="459" spans="1:14" x14ac:dyDescent="0.25">
      <c r="A459" t="s">
        <v>864</v>
      </c>
      <c r="B459" t="s">
        <v>865</v>
      </c>
      <c r="C459" s="1" t="str">
        <f>HYPERLINK("http://www.genecards.org/cgi-bin/carddisp.pl?gene=SIDT1","GeneCards")</f>
        <v>GeneCards</v>
      </c>
      <c r="D459" s="1" t="str">
        <f>HYPERLINK("http://genome-euro.ucsc.edu/cgi-bin/hgTracks?position=219734_at","UCSC")</f>
        <v>UCSC</v>
      </c>
      <c r="E459" s="1" t="str">
        <f>HYPERLINK("http://www.ncbi.nlm.nih.gov/gene/?term=SIDT1","NCBI")</f>
        <v>NCBI</v>
      </c>
      <c r="F459">
        <v>3.6999999999999999E-4</v>
      </c>
      <c r="G459">
        <v>1.4E-2</v>
      </c>
      <c r="H459" s="1" t="str">
        <f>HYPERLINK("http://www.weizmann.ac.il/complex/compphys/software/geview/data/figures/219734_at.png","Figure")</f>
        <v>Figure</v>
      </c>
      <c r="I459">
        <v>0.40400000000000003</v>
      </c>
      <c r="J459">
        <v>2.3E-3</v>
      </c>
      <c r="K459">
        <v>0.38200000000000001</v>
      </c>
      <c r="L459">
        <v>4.4999999999999999E-4</v>
      </c>
      <c r="M459">
        <v>0.94699999999999995</v>
      </c>
      <c r="N459">
        <v>0.96</v>
      </c>
    </row>
    <row r="460" spans="1:14" x14ac:dyDescent="0.25">
      <c r="A460" t="s">
        <v>866</v>
      </c>
      <c r="B460" t="s">
        <v>867</v>
      </c>
      <c r="C460" s="1" t="str">
        <f>HYPERLINK("http://www.genecards.org/cgi-bin/carddisp.pl?gene=GHITM","GeneCards")</f>
        <v>GeneCards</v>
      </c>
      <c r="D460" s="1" t="str">
        <f>HYPERLINK("http://genome-euro.ucsc.edu/cgi-bin/hgTracks?position=209248_at","UCSC")</f>
        <v>UCSC</v>
      </c>
      <c r="E460" s="1" t="str">
        <f>HYPERLINK("http://www.ncbi.nlm.nih.gov/gene/?term=GHITM","NCBI")</f>
        <v>NCBI</v>
      </c>
      <c r="F460">
        <v>3.6999999999999999E-4</v>
      </c>
      <c r="G460">
        <v>1.4E-2</v>
      </c>
      <c r="H460" s="1" t="str">
        <f>HYPERLINK("http://www.weizmann.ac.il/complex/compphys/software/geview/data/figures/209248_at.png","Figure")</f>
        <v>Figure</v>
      </c>
      <c r="I460">
        <v>0.48</v>
      </c>
      <c r="J460">
        <v>4.2000000000000002E-4</v>
      </c>
      <c r="K460">
        <v>0.86899999999999999</v>
      </c>
      <c r="L460">
        <v>0.5</v>
      </c>
      <c r="M460">
        <v>1.81</v>
      </c>
      <c r="N460">
        <v>1.5E-3</v>
      </c>
    </row>
    <row r="461" spans="1:14" x14ac:dyDescent="0.25">
      <c r="A461" t="s">
        <v>868</v>
      </c>
      <c r="B461" t="s">
        <v>869</v>
      </c>
      <c r="C461" s="1" t="str">
        <f>HYPERLINK("http://www.genecards.org/cgi-bin/carddisp.pl?gene=ZNF217","GeneCards")</f>
        <v>GeneCards</v>
      </c>
      <c r="D461" s="1" t="str">
        <f>HYPERLINK("http://genome-euro.ucsc.edu/cgi-bin/hgTracks?position=203739_at","UCSC")</f>
        <v>UCSC</v>
      </c>
      <c r="E461" s="1" t="str">
        <f>HYPERLINK("http://www.ncbi.nlm.nih.gov/gene/?term=ZNF217","NCBI")</f>
        <v>NCBI</v>
      </c>
      <c r="F461">
        <v>3.6999999999999999E-4</v>
      </c>
      <c r="G461">
        <v>1.4E-2</v>
      </c>
      <c r="H461" s="1" t="str">
        <f>HYPERLINK("http://www.weizmann.ac.il/complex/compphys/software/geview/data/figures/203739_at.png","Figure")</f>
        <v>Figure</v>
      </c>
      <c r="I461">
        <v>0.53500000000000003</v>
      </c>
      <c r="J461">
        <v>5.1999999999999998E-3</v>
      </c>
      <c r="K461">
        <v>0.46600000000000003</v>
      </c>
      <c r="L461">
        <v>3.3E-4</v>
      </c>
      <c r="M461">
        <v>0.871</v>
      </c>
      <c r="N461">
        <v>0.64</v>
      </c>
    </row>
    <row r="462" spans="1:14" x14ac:dyDescent="0.25">
      <c r="A462" t="s">
        <v>870</v>
      </c>
      <c r="B462" t="s">
        <v>871</v>
      </c>
      <c r="C462" s="1" t="str">
        <f>HYPERLINK("http://www.genecards.org/cgi-bin/carddisp.pl?gene=PPAT","GeneCards")</f>
        <v>GeneCards</v>
      </c>
      <c r="D462" s="1" t="str">
        <f>HYPERLINK("http://genome-euro.ucsc.edu/cgi-bin/hgTracks?position=209434_s_at","UCSC")</f>
        <v>UCSC</v>
      </c>
      <c r="E462" s="1" t="str">
        <f>HYPERLINK("http://www.ncbi.nlm.nih.gov/gene/?term=PPAT","NCBI")</f>
        <v>NCBI</v>
      </c>
      <c r="F462">
        <v>3.6999999999999999E-4</v>
      </c>
      <c r="G462">
        <v>1.4E-2</v>
      </c>
      <c r="H462" s="1" t="str">
        <f>HYPERLINK("http://www.weizmann.ac.il/complex/compphys/software/geview/data/figures/209434_s_at.png","Figure")</f>
        <v>Figure</v>
      </c>
      <c r="I462">
        <v>0.64300000000000002</v>
      </c>
      <c r="J462">
        <v>3.0999999999999999E-3</v>
      </c>
      <c r="K462">
        <v>1.1000000000000001</v>
      </c>
      <c r="L462">
        <v>0.55000000000000004</v>
      </c>
      <c r="M462">
        <v>1.72</v>
      </c>
      <c r="N462">
        <v>3.2000000000000003E-4</v>
      </c>
    </row>
    <row r="463" spans="1:14" x14ac:dyDescent="0.25">
      <c r="A463" t="s">
        <v>872</v>
      </c>
      <c r="B463" t="s">
        <v>873</v>
      </c>
      <c r="C463" s="1" t="str">
        <f>HYPERLINK("http://www.genecards.org/cgi-bin/carddisp.pl?gene=LAMP2","GeneCards")</f>
        <v>GeneCards</v>
      </c>
      <c r="D463" s="1" t="str">
        <f>HYPERLINK("http://genome-euro.ucsc.edu/cgi-bin/hgTracks?position=203041_s_at","UCSC")</f>
        <v>UCSC</v>
      </c>
      <c r="E463" s="1" t="str">
        <f>HYPERLINK("http://www.ncbi.nlm.nih.gov/gene/?term=LAMP2","NCBI")</f>
        <v>NCBI</v>
      </c>
      <c r="F463">
        <v>3.8000000000000002E-4</v>
      </c>
      <c r="G463">
        <v>1.4E-2</v>
      </c>
      <c r="H463" s="1" t="str">
        <f>HYPERLINK("http://www.weizmann.ac.il/complex/compphys/software/geview/data/figures/203041_s_at.png","Figure")</f>
        <v>Figure</v>
      </c>
      <c r="I463">
        <v>0.316</v>
      </c>
      <c r="J463">
        <v>3.5E-4</v>
      </c>
      <c r="K463">
        <v>0.747</v>
      </c>
      <c r="L463">
        <v>0.3</v>
      </c>
      <c r="M463">
        <v>2.36</v>
      </c>
      <c r="N463">
        <v>2.3E-3</v>
      </c>
    </row>
    <row r="464" spans="1:14" x14ac:dyDescent="0.25">
      <c r="A464" t="s">
        <v>874</v>
      </c>
      <c r="B464" t="s">
        <v>875</v>
      </c>
      <c r="C464" s="1" t="str">
        <f>HYPERLINK("http://www.genecards.org/cgi-bin/carddisp.pl?gene=STAM","GeneCards")</f>
        <v>GeneCards</v>
      </c>
      <c r="D464" s="1" t="str">
        <f>HYPERLINK("http://genome-euro.ucsc.edu/cgi-bin/hgTracks?position=203544_s_at","UCSC")</f>
        <v>UCSC</v>
      </c>
      <c r="E464" s="1" t="str">
        <f>HYPERLINK("http://www.ncbi.nlm.nih.gov/gene/?term=STAM","NCBI")</f>
        <v>NCBI</v>
      </c>
      <c r="F464">
        <v>3.8000000000000002E-4</v>
      </c>
      <c r="G464">
        <v>1.4E-2</v>
      </c>
      <c r="H464" s="1" t="str">
        <f>HYPERLINK("http://www.weizmann.ac.il/complex/compphys/software/geview/data/figures/203544_s_at.png","Figure")</f>
        <v>Figure</v>
      </c>
      <c r="I464">
        <v>0.503</v>
      </c>
      <c r="J464">
        <v>3.3000000000000002E-2</v>
      </c>
      <c r="K464">
        <v>0.313</v>
      </c>
      <c r="L464">
        <v>2.5999999999999998E-4</v>
      </c>
      <c r="M464">
        <v>0.622</v>
      </c>
      <c r="N464">
        <v>0.12</v>
      </c>
    </row>
    <row r="465" spans="1:14" x14ac:dyDescent="0.25">
      <c r="A465" t="s">
        <v>876</v>
      </c>
      <c r="B465" t="s">
        <v>877</v>
      </c>
      <c r="C465" s="1" t="str">
        <f>HYPERLINK("http://www.genecards.org/cgi-bin/carddisp.pl?gene=VPS11","GeneCards")</f>
        <v>GeneCards</v>
      </c>
      <c r="D465" s="1" t="str">
        <f>HYPERLINK("http://genome-euro.ucsc.edu/cgi-bin/hgTracks?position=203292_s_at","UCSC")</f>
        <v>UCSC</v>
      </c>
      <c r="E465" s="1" t="str">
        <f>HYPERLINK("http://www.ncbi.nlm.nih.gov/gene/?term=VPS11","NCBI")</f>
        <v>NCBI</v>
      </c>
      <c r="F465">
        <v>3.8000000000000002E-4</v>
      </c>
      <c r="G465">
        <v>1.4E-2</v>
      </c>
      <c r="H465" s="1" t="str">
        <f>HYPERLINK("http://www.weizmann.ac.il/complex/compphys/software/geview/data/figures/203292_s_at.png","Figure")</f>
        <v>Figure</v>
      </c>
      <c r="I465">
        <v>1.19</v>
      </c>
      <c r="J465">
        <v>0.1</v>
      </c>
      <c r="K465">
        <v>0.79900000000000004</v>
      </c>
      <c r="L465">
        <v>1.7000000000000001E-2</v>
      </c>
      <c r="M465">
        <v>0.66900000000000004</v>
      </c>
      <c r="N465">
        <v>3.3E-4</v>
      </c>
    </row>
    <row r="466" spans="1:14" x14ac:dyDescent="0.25">
      <c r="A466" t="s">
        <v>878</v>
      </c>
      <c r="B466" t="s">
        <v>879</v>
      </c>
      <c r="C466" s="1" t="str">
        <f>HYPERLINK("http://www.genecards.org/cgi-bin/carddisp.pl?gene=LTB","GeneCards")</f>
        <v>GeneCards</v>
      </c>
      <c r="D466" s="1" t="str">
        <f>HYPERLINK("http://genome-euro.ucsc.edu/cgi-bin/hgTracks?position=207339_s_at","UCSC")</f>
        <v>UCSC</v>
      </c>
      <c r="E466" s="1" t="str">
        <f>HYPERLINK("http://www.ncbi.nlm.nih.gov/gene/?term=LTB","NCBI")</f>
        <v>NCBI</v>
      </c>
      <c r="F466">
        <v>3.8000000000000002E-4</v>
      </c>
      <c r="G466">
        <v>1.4E-2</v>
      </c>
      <c r="H466" s="1" t="str">
        <f>HYPERLINK("http://www.weizmann.ac.il/complex/compphys/software/geview/data/figures/207339_s_at.png","Figure")</f>
        <v>Figure</v>
      </c>
      <c r="I466">
        <v>0.29099999999999998</v>
      </c>
      <c r="J466">
        <v>3.3E-3</v>
      </c>
      <c r="K466">
        <v>0.25</v>
      </c>
      <c r="L466">
        <v>4.0000000000000002E-4</v>
      </c>
      <c r="M466">
        <v>0.85899999999999999</v>
      </c>
      <c r="N466">
        <v>0.85</v>
      </c>
    </row>
    <row r="467" spans="1:14" x14ac:dyDescent="0.25">
      <c r="A467" t="s">
        <v>880</v>
      </c>
      <c r="B467" t="s">
        <v>881</v>
      </c>
      <c r="C467" s="1" t="str">
        <f>HYPERLINK("http://www.genecards.org/cgi-bin/carddisp.pl?gene=SREBF1","GeneCards")</f>
        <v>GeneCards</v>
      </c>
      <c r="D467" s="1" t="str">
        <f>HYPERLINK("http://genome-euro.ucsc.edu/cgi-bin/hgTracks?position=202308_at","UCSC")</f>
        <v>UCSC</v>
      </c>
      <c r="E467" s="1" t="str">
        <f>HYPERLINK("http://www.ncbi.nlm.nih.gov/gene/?term=SREBF1","NCBI")</f>
        <v>NCBI</v>
      </c>
      <c r="F467">
        <v>3.8000000000000002E-4</v>
      </c>
      <c r="G467">
        <v>1.4E-2</v>
      </c>
      <c r="H467" s="1" t="str">
        <f>HYPERLINK("http://www.weizmann.ac.il/complex/compphys/software/geview/data/figures/202308_at.png","Figure")</f>
        <v>Figure</v>
      </c>
      <c r="I467">
        <v>1.18</v>
      </c>
      <c r="J467">
        <v>0.2</v>
      </c>
      <c r="K467">
        <v>0.751</v>
      </c>
      <c r="L467">
        <v>8.8999999999999999E-3</v>
      </c>
      <c r="M467">
        <v>0.63500000000000001</v>
      </c>
      <c r="N467">
        <v>4.0000000000000002E-4</v>
      </c>
    </row>
    <row r="468" spans="1:14" x14ac:dyDescent="0.25">
      <c r="A468" t="s">
        <v>882</v>
      </c>
      <c r="B468" t="s">
        <v>883</v>
      </c>
      <c r="C468" s="1" t="str">
        <f>HYPERLINK("http://www.genecards.org/cgi-bin/carddisp.pl?gene=DHX9","GeneCards")</f>
        <v>GeneCards</v>
      </c>
      <c r="D468" s="1" t="str">
        <f>HYPERLINK("http://genome-euro.ucsc.edu/cgi-bin/hgTracks?position=202420_s_at","UCSC")</f>
        <v>UCSC</v>
      </c>
      <c r="E468" s="1" t="str">
        <f>HYPERLINK("http://www.ncbi.nlm.nih.gov/gene/?term=DHX9","NCBI")</f>
        <v>NCBI</v>
      </c>
      <c r="F468">
        <v>3.8999999999999999E-4</v>
      </c>
      <c r="G468">
        <v>1.4E-2</v>
      </c>
      <c r="H468" s="1" t="str">
        <f>HYPERLINK("http://www.weizmann.ac.il/complex/compphys/software/geview/data/figures/202420_s_at.png","Figure")</f>
        <v>Figure</v>
      </c>
      <c r="I468">
        <v>1.85</v>
      </c>
      <c r="J468">
        <v>1E-3</v>
      </c>
      <c r="K468">
        <v>1</v>
      </c>
      <c r="L468">
        <v>1</v>
      </c>
      <c r="M468">
        <v>0.54200000000000004</v>
      </c>
      <c r="N468">
        <v>5.6999999999999998E-4</v>
      </c>
    </row>
    <row r="469" spans="1:14" x14ac:dyDescent="0.25">
      <c r="A469" t="s">
        <v>884</v>
      </c>
      <c r="B469" t="s">
        <v>885</v>
      </c>
      <c r="C469" s="1" t="str">
        <f>HYPERLINK("http://www.genecards.org/cgi-bin/carddisp.pl?gene=PRPF4B","GeneCards")</f>
        <v>GeneCards</v>
      </c>
      <c r="D469" s="1" t="str">
        <f>HYPERLINK("http://genome-euro.ucsc.edu/cgi-bin/hgTracks?position=211090_s_at","UCSC")</f>
        <v>UCSC</v>
      </c>
      <c r="E469" s="1" t="str">
        <f>HYPERLINK("http://www.ncbi.nlm.nih.gov/gene/?term=PRPF4B","NCBI")</f>
        <v>NCBI</v>
      </c>
      <c r="F469">
        <v>3.8999999999999999E-4</v>
      </c>
      <c r="G469">
        <v>1.4E-2</v>
      </c>
      <c r="H469" s="1" t="str">
        <f>HYPERLINK("http://www.weizmann.ac.il/complex/compphys/software/geview/data/figures/211090_s_at.png","Figure")</f>
        <v>Figure</v>
      </c>
      <c r="I469">
        <v>0.46100000000000002</v>
      </c>
      <c r="J469">
        <v>3.3E-3</v>
      </c>
      <c r="K469">
        <v>0.42</v>
      </c>
      <c r="L469">
        <v>4.0999999999999999E-4</v>
      </c>
      <c r="M469">
        <v>0.91100000000000003</v>
      </c>
      <c r="N469">
        <v>0.86</v>
      </c>
    </row>
    <row r="470" spans="1:14" x14ac:dyDescent="0.25">
      <c r="A470" t="s">
        <v>886</v>
      </c>
      <c r="B470" t="s">
        <v>887</v>
      </c>
      <c r="C470" s="1" t="str">
        <f>HYPERLINK("http://www.genecards.org/cgi-bin/carddisp.pl?gene=UBQLN2","GeneCards")</f>
        <v>GeneCards</v>
      </c>
      <c r="D470" s="1" t="str">
        <f>HYPERLINK("http://genome-euro.ucsc.edu/cgi-bin/hgTracks?position=215884_s_at","UCSC")</f>
        <v>UCSC</v>
      </c>
      <c r="E470" s="1" t="str">
        <f>HYPERLINK("http://www.ncbi.nlm.nih.gov/gene/?term=UBQLN2","NCBI")</f>
        <v>NCBI</v>
      </c>
      <c r="F470">
        <v>3.8999999999999999E-4</v>
      </c>
      <c r="G470">
        <v>1.4E-2</v>
      </c>
      <c r="H470" s="1" t="str">
        <f>HYPERLINK("http://www.weizmann.ac.il/complex/compphys/software/geview/data/figures/215884_s_at.png","Figure")</f>
        <v>Figure</v>
      </c>
      <c r="I470">
        <v>0.35099999999999998</v>
      </c>
      <c r="J470">
        <v>3.4000000000000002E-4</v>
      </c>
      <c r="K470">
        <v>0.748</v>
      </c>
      <c r="L470">
        <v>0.24</v>
      </c>
      <c r="M470">
        <v>2.13</v>
      </c>
      <c r="N470">
        <v>2.8999999999999998E-3</v>
      </c>
    </row>
    <row r="471" spans="1:14" x14ac:dyDescent="0.25">
      <c r="A471" t="s">
        <v>888</v>
      </c>
      <c r="B471" t="s">
        <v>889</v>
      </c>
      <c r="C471" s="1" t="str">
        <f>HYPERLINK("http://www.genecards.org/cgi-bin/carddisp.pl?gene=UPP1","GeneCards")</f>
        <v>GeneCards</v>
      </c>
      <c r="D471" s="1" t="str">
        <f>HYPERLINK("http://genome-euro.ucsc.edu/cgi-bin/hgTracks?position=203234_at","UCSC")</f>
        <v>UCSC</v>
      </c>
      <c r="E471" s="1" t="str">
        <f>HYPERLINK("http://www.ncbi.nlm.nih.gov/gene/?term=UPP1","NCBI")</f>
        <v>NCBI</v>
      </c>
      <c r="F471">
        <v>3.8999999999999999E-4</v>
      </c>
      <c r="G471">
        <v>1.4E-2</v>
      </c>
      <c r="H471" s="1" t="str">
        <f>HYPERLINK("http://www.weizmann.ac.il/complex/compphys/software/geview/data/figures/203234_at.png","Figure")</f>
        <v>Figure</v>
      </c>
      <c r="I471">
        <v>1.1399999999999999</v>
      </c>
      <c r="J471">
        <v>0.4</v>
      </c>
      <c r="K471">
        <v>0.71499999999999997</v>
      </c>
      <c r="L471">
        <v>4.4999999999999997E-3</v>
      </c>
      <c r="M471">
        <v>0.628</v>
      </c>
      <c r="N471">
        <v>5.5000000000000003E-4</v>
      </c>
    </row>
    <row r="472" spans="1:14" x14ac:dyDescent="0.25">
      <c r="A472" t="s">
        <v>890</v>
      </c>
      <c r="B472" t="s">
        <v>891</v>
      </c>
      <c r="C472" s="1" t="str">
        <f>HYPERLINK("http://www.genecards.org/cgi-bin/carddisp.pl?gene=HSBP1","GeneCards")</f>
        <v>GeneCards</v>
      </c>
      <c r="D472" s="1" t="str">
        <f>HYPERLINK("http://genome-euro.ucsc.edu/cgi-bin/hgTracks?position=200942_s_at","UCSC")</f>
        <v>UCSC</v>
      </c>
      <c r="E472" s="1" t="str">
        <f>HYPERLINK("http://www.ncbi.nlm.nih.gov/gene/?term=HSBP1","NCBI")</f>
        <v>NCBI</v>
      </c>
      <c r="F472">
        <v>3.8999999999999999E-4</v>
      </c>
      <c r="G472">
        <v>1.4E-2</v>
      </c>
      <c r="H472" s="1" t="str">
        <f>HYPERLINK("http://www.weizmann.ac.il/complex/compphys/software/geview/data/figures/200942_s_at.png","Figure")</f>
        <v>Figure</v>
      </c>
      <c r="I472">
        <v>1.53</v>
      </c>
      <c r="J472">
        <v>6.1999999999999998E-3</v>
      </c>
      <c r="K472">
        <v>1.7</v>
      </c>
      <c r="L472">
        <v>3.4000000000000002E-4</v>
      </c>
      <c r="M472">
        <v>1.1100000000000001</v>
      </c>
      <c r="N472">
        <v>0.59</v>
      </c>
    </row>
    <row r="473" spans="1:14" x14ac:dyDescent="0.25">
      <c r="A473" t="s">
        <v>892</v>
      </c>
      <c r="B473" t="s">
        <v>305</v>
      </c>
      <c r="C473" s="1" t="str">
        <f>HYPERLINK("http://www.genecards.org/cgi-bin/carddisp.pl?gene=IPO7","GeneCards")</f>
        <v>GeneCards</v>
      </c>
      <c r="D473" s="1" t="str">
        <f>HYPERLINK("http://genome-euro.ucsc.edu/cgi-bin/hgTracks?position=200993_at","UCSC")</f>
        <v>UCSC</v>
      </c>
      <c r="E473" s="1" t="str">
        <f>HYPERLINK("http://www.ncbi.nlm.nih.gov/gene/?term=IPO7","NCBI")</f>
        <v>NCBI</v>
      </c>
      <c r="F473">
        <v>3.8999999999999999E-4</v>
      </c>
      <c r="G473">
        <v>1.4E-2</v>
      </c>
      <c r="H473" s="1" t="str">
        <f>HYPERLINK("http://www.weizmann.ac.il/complex/compphys/software/geview/data/figures/200993_at.png","Figure")</f>
        <v>Figure</v>
      </c>
      <c r="I473">
        <v>0.48299999999999998</v>
      </c>
      <c r="J473">
        <v>7.7999999999999999E-4</v>
      </c>
      <c r="K473">
        <v>0.95799999999999996</v>
      </c>
      <c r="L473">
        <v>0.94</v>
      </c>
      <c r="M473">
        <v>1.99</v>
      </c>
      <c r="N473">
        <v>7.2999999999999996E-4</v>
      </c>
    </row>
    <row r="474" spans="1:14" x14ac:dyDescent="0.25">
      <c r="A474" t="s">
        <v>893</v>
      </c>
      <c r="B474" t="s">
        <v>295</v>
      </c>
      <c r="C474" s="1" t="str">
        <f>HYPERLINK("http://www.genecards.org/cgi-bin/carddisp.pl?gene=PTP4A3","GeneCards")</f>
        <v>GeneCards</v>
      </c>
      <c r="D474" s="1" t="str">
        <f>HYPERLINK("http://genome-euro.ucsc.edu/cgi-bin/hgTracks?position=206574_s_at","UCSC")</f>
        <v>UCSC</v>
      </c>
      <c r="E474" s="1" t="str">
        <f>HYPERLINK("http://www.ncbi.nlm.nih.gov/gene/?term=PTP4A3","NCBI")</f>
        <v>NCBI</v>
      </c>
      <c r="F474">
        <v>3.8999999999999999E-4</v>
      </c>
      <c r="G474">
        <v>1.4E-2</v>
      </c>
      <c r="H474" s="1" t="str">
        <f>HYPERLINK("http://www.weizmann.ac.il/complex/compphys/software/geview/data/figures/206574_s_at.png","Figure")</f>
        <v>Figure</v>
      </c>
      <c r="I474">
        <v>0.93300000000000005</v>
      </c>
      <c r="J474">
        <v>0.92</v>
      </c>
      <c r="K474">
        <v>0.46700000000000003</v>
      </c>
      <c r="L474">
        <v>7.3999999999999999E-4</v>
      </c>
      <c r="M474">
        <v>0.501</v>
      </c>
      <c r="N474">
        <v>2.8E-3</v>
      </c>
    </row>
    <row r="475" spans="1:14" x14ac:dyDescent="0.25">
      <c r="A475" t="s">
        <v>894</v>
      </c>
      <c r="B475" t="s">
        <v>895</v>
      </c>
      <c r="C475" s="1" t="str">
        <f>HYPERLINK("http://www.genecards.org/cgi-bin/carddisp.pl?gene=C18orf1","GeneCards")</f>
        <v>GeneCards</v>
      </c>
      <c r="D475" s="1" t="str">
        <f>HYPERLINK("http://genome-euro.ucsc.edu/cgi-bin/hgTracks?position=209573_s_at","UCSC")</f>
        <v>UCSC</v>
      </c>
      <c r="E475" s="1" t="str">
        <f>HYPERLINK("http://www.ncbi.nlm.nih.gov/gene/?term=C18orf1","NCBI")</f>
        <v>NCBI</v>
      </c>
      <c r="F475">
        <v>4.0000000000000002E-4</v>
      </c>
      <c r="G475">
        <v>1.4E-2</v>
      </c>
      <c r="H475" s="1" t="str">
        <f>HYPERLINK("http://www.weizmann.ac.il/complex/compphys/software/geview/data/figures/209573_s_at.png","Figure")</f>
        <v>Figure</v>
      </c>
      <c r="I475">
        <v>1.38</v>
      </c>
      <c r="J475">
        <v>4.5999999999999999E-3</v>
      </c>
      <c r="K475">
        <v>1.46</v>
      </c>
      <c r="L475">
        <v>3.6999999999999999E-4</v>
      </c>
      <c r="M475">
        <v>1.06</v>
      </c>
      <c r="N475">
        <v>0.72</v>
      </c>
    </row>
    <row r="476" spans="1:14" x14ac:dyDescent="0.25">
      <c r="A476" t="s">
        <v>896</v>
      </c>
      <c r="B476" t="s">
        <v>897</v>
      </c>
      <c r="C476" s="1" t="str">
        <f>HYPERLINK("http://www.genecards.org/cgi-bin/carddisp.pl?gene=MAP7D1","GeneCards")</f>
        <v>GeneCards</v>
      </c>
      <c r="D476" s="1" t="str">
        <f>HYPERLINK("http://genome-euro.ucsc.edu/cgi-bin/hgTracks?position=217943_s_at","UCSC")</f>
        <v>UCSC</v>
      </c>
      <c r="E476" s="1" t="str">
        <f>HYPERLINK("http://www.ncbi.nlm.nih.gov/gene/?term=MAP7D1","NCBI")</f>
        <v>NCBI</v>
      </c>
      <c r="F476">
        <v>3.8999999999999999E-4</v>
      </c>
      <c r="G476">
        <v>1.4E-2</v>
      </c>
      <c r="H476" s="1" t="str">
        <f>HYPERLINK("http://www.weizmann.ac.il/complex/compphys/software/geview/data/figures/217943_s_at.png","Figure")</f>
        <v>Figure</v>
      </c>
      <c r="I476">
        <v>0.78400000000000003</v>
      </c>
      <c r="J476">
        <v>5.7000000000000002E-2</v>
      </c>
      <c r="K476">
        <v>0.63500000000000001</v>
      </c>
      <c r="L476">
        <v>2.7999999999999998E-4</v>
      </c>
      <c r="M476">
        <v>0.81</v>
      </c>
      <c r="N476">
        <v>7.8E-2</v>
      </c>
    </row>
    <row r="477" spans="1:14" x14ac:dyDescent="0.25">
      <c r="A477" t="s">
        <v>898</v>
      </c>
      <c r="B477" t="s">
        <v>253</v>
      </c>
      <c r="C477" s="1" t="str">
        <f>HYPERLINK("http://www.genecards.org/cgi-bin/carddisp.pl?gene=SEMA4C","GeneCards")</f>
        <v>GeneCards</v>
      </c>
      <c r="D477" s="1" t="str">
        <f>HYPERLINK("http://genome-euro.ucsc.edu/cgi-bin/hgTracks?position=219039_at","UCSC")</f>
        <v>UCSC</v>
      </c>
      <c r="E477" s="1" t="str">
        <f>HYPERLINK("http://www.ncbi.nlm.nih.gov/gene/?term=SEMA4C","NCBI")</f>
        <v>NCBI</v>
      </c>
      <c r="F477">
        <v>3.8999999999999999E-4</v>
      </c>
      <c r="G477">
        <v>1.4E-2</v>
      </c>
      <c r="H477" s="1" t="str">
        <f>HYPERLINK("http://www.weizmann.ac.il/complex/compphys/software/geview/data/figures/219039_at.png","Figure")</f>
        <v>Figure</v>
      </c>
      <c r="I477">
        <v>1.81</v>
      </c>
      <c r="J477">
        <v>4.4000000000000002E-4</v>
      </c>
      <c r="K477">
        <v>1.51</v>
      </c>
      <c r="L477">
        <v>3.0000000000000001E-3</v>
      </c>
      <c r="M477">
        <v>0.83399999999999996</v>
      </c>
      <c r="N477">
        <v>0.24</v>
      </c>
    </row>
    <row r="478" spans="1:14" x14ac:dyDescent="0.25">
      <c r="A478" t="s">
        <v>899</v>
      </c>
      <c r="B478" t="s">
        <v>900</v>
      </c>
      <c r="C478" s="1" t="str">
        <f>HYPERLINK("http://www.genecards.org/cgi-bin/carddisp.pl?gene=IGFBP7","GeneCards")</f>
        <v>GeneCards</v>
      </c>
      <c r="D478" s="1" t="str">
        <f>HYPERLINK("http://genome-euro.ucsc.edu/cgi-bin/hgTracks?position=201162_at","UCSC")</f>
        <v>UCSC</v>
      </c>
      <c r="E478" s="1" t="str">
        <f>HYPERLINK("http://www.ncbi.nlm.nih.gov/gene/?term=IGFBP7","NCBI")</f>
        <v>NCBI</v>
      </c>
      <c r="F478">
        <v>4.0000000000000002E-4</v>
      </c>
      <c r="G478">
        <v>1.4E-2</v>
      </c>
      <c r="H478" s="1" t="str">
        <f>HYPERLINK("http://www.weizmann.ac.il/complex/compphys/software/geview/data/figures/201162_at.png","Figure")</f>
        <v>Figure</v>
      </c>
      <c r="I478">
        <v>2.57</v>
      </c>
      <c r="J478">
        <v>4.4999999999999997E-3</v>
      </c>
      <c r="K478">
        <v>3.05</v>
      </c>
      <c r="L478">
        <v>3.8000000000000002E-4</v>
      </c>
      <c r="M478">
        <v>1.18</v>
      </c>
      <c r="N478">
        <v>0.74</v>
      </c>
    </row>
    <row r="479" spans="1:14" x14ac:dyDescent="0.25">
      <c r="A479" t="s">
        <v>901</v>
      </c>
      <c r="B479" t="s">
        <v>902</v>
      </c>
      <c r="C479" s="1" t="str">
        <f>HYPERLINK("http://www.genecards.org/cgi-bin/carddisp.pl?gene=TFG","GeneCards")</f>
        <v>GeneCards</v>
      </c>
      <c r="D479" s="1" t="str">
        <f>HYPERLINK("http://genome-euro.ucsc.edu/cgi-bin/hgTracks?position=217839_at","UCSC")</f>
        <v>UCSC</v>
      </c>
      <c r="E479" s="1" t="str">
        <f>HYPERLINK("http://www.ncbi.nlm.nih.gov/gene/?term=TFG","NCBI")</f>
        <v>NCBI</v>
      </c>
      <c r="F479">
        <v>4.0000000000000002E-4</v>
      </c>
      <c r="G479">
        <v>1.4E-2</v>
      </c>
      <c r="H479" s="1" t="str">
        <f>HYPERLINK("http://www.weizmann.ac.il/complex/compphys/software/geview/data/figures/217839_at.png","Figure")</f>
        <v>Figure</v>
      </c>
      <c r="I479">
        <v>1.1100000000000001</v>
      </c>
      <c r="J479">
        <v>0.6</v>
      </c>
      <c r="K479">
        <v>0.68400000000000005</v>
      </c>
      <c r="L479">
        <v>2.8999999999999998E-3</v>
      </c>
      <c r="M479">
        <v>0.61799999999999999</v>
      </c>
      <c r="N479">
        <v>7.2999999999999996E-4</v>
      </c>
    </row>
    <row r="480" spans="1:14" x14ac:dyDescent="0.25">
      <c r="A480" t="s">
        <v>903</v>
      </c>
      <c r="B480" t="s">
        <v>904</v>
      </c>
      <c r="C480" s="1" t="str">
        <f>HYPERLINK("http://www.genecards.org/cgi-bin/carddisp.pl?gene=FKBP3","GeneCards")</f>
        <v>GeneCards</v>
      </c>
      <c r="D480" s="1" t="str">
        <f>HYPERLINK("http://genome-euro.ucsc.edu/cgi-bin/hgTracks?position=218003_s_at","UCSC")</f>
        <v>UCSC</v>
      </c>
      <c r="E480" s="1" t="str">
        <f>HYPERLINK("http://www.ncbi.nlm.nih.gov/gene/?term=FKBP3","NCBI")</f>
        <v>NCBI</v>
      </c>
      <c r="F480">
        <v>4.0000000000000002E-4</v>
      </c>
      <c r="G480">
        <v>1.4E-2</v>
      </c>
      <c r="H480" s="1" t="str">
        <f>HYPERLINK("http://www.weizmann.ac.il/complex/compphys/software/geview/data/figures/218003_s_at.png","Figure")</f>
        <v>Figure</v>
      </c>
      <c r="I480">
        <v>0.48499999999999999</v>
      </c>
      <c r="J480">
        <v>3.0999999999999999E-3</v>
      </c>
      <c r="K480">
        <v>1.17</v>
      </c>
      <c r="L480">
        <v>0.57999999999999996</v>
      </c>
      <c r="M480">
        <v>2.4</v>
      </c>
      <c r="N480">
        <v>3.5E-4</v>
      </c>
    </row>
    <row r="481" spans="1:14" x14ac:dyDescent="0.25">
      <c r="A481" t="s">
        <v>905</v>
      </c>
      <c r="B481" t="s">
        <v>174</v>
      </c>
      <c r="C481" s="1" t="str">
        <f>HYPERLINK("http://www.genecards.org/cgi-bin/carddisp.pl?gene=PTPN2","GeneCards")</f>
        <v>GeneCards</v>
      </c>
      <c r="D481" s="1" t="str">
        <f>HYPERLINK("http://genome-euro.ucsc.edu/cgi-bin/hgTracks?position=213137_s_at","UCSC")</f>
        <v>UCSC</v>
      </c>
      <c r="E481" s="1" t="str">
        <f>HYPERLINK("http://www.ncbi.nlm.nih.gov/gene/?term=PTPN2","NCBI")</f>
        <v>NCBI</v>
      </c>
      <c r="F481">
        <v>4.0999999999999999E-4</v>
      </c>
      <c r="G481">
        <v>1.4E-2</v>
      </c>
      <c r="H481" s="1" t="str">
        <f>HYPERLINK("http://www.weizmann.ac.il/complex/compphys/software/geview/data/figures/213137_s_at.png","Figure")</f>
        <v>Figure</v>
      </c>
      <c r="I481">
        <v>1.26</v>
      </c>
      <c r="J481">
        <v>0.46</v>
      </c>
      <c r="K481">
        <v>2.34</v>
      </c>
      <c r="L481">
        <v>4.4000000000000002E-4</v>
      </c>
      <c r="M481">
        <v>1.87</v>
      </c>
      <c r="N481">
        <v>8.8000000000000005E-3</v>
      </c>
    </row>
    <row r="482" spans="1:14" x14ac:dyDescent="0.25">
      <c r="A482" t="s">
        <v>906</v>
      </c>
      <c r="B482" t="s">
        <v>907</v>
      </c>
      <c r="C482" s="1" t="str">
        <f>HYPERLINK("http://www.genecards.org/cgi-bin/carddisp.pl?gene=JOSD1","GeneCards")</f>
        <v>GeneCards</v>
      </c>
      <c r="D482" s="1" t="str">
        <f>HYPERLINK("http://genome-euro.ucsc.edu/cgi-bin/hgTracks?position=201751_at","UCSC")</f>
        <v>UCSC</v>
      </c>
      <c r="E482" s="1" t="str">
        <f>HYPERLINK("http://www.ncbi.nlm.nih.gov/gene/?term=JOSD1","NCBI")</f>
        <v>NCBI</v>
      </c>
      <c r="F482">
        <v>4.0999999999999999E-4</v>
      </c>
      <c r="G482">
        <v>1.4E-2</v>
      </c>
      <c r="H482" s="1" t="str">
        <f>HYPERLINK("http://www.weizmann.ac.il/complex/compphys/software/geview/data/figures/201751_at.png","Figure")</f>
        <v>Figure</v>
      </c>
      <c r="I482">
        <v>0.84399999999999997</v>
      </c>
      <c r="J482">
        <v>0.39</v>
      </c>
      <c r="K482">
        <v>0.56100000000000005</v>
      </c>
      <c r="L482">
        <v>4.0999999999999999E-4</v>
      </c>
      <c r="M482">
        <v>0.66500000000000004</v>
      </c>
      <c r="N482">
        <v>1.0999999999999999E-2</v>
      </c>
    </row>
    <row r="483" spans="1:14" x14ac:dyDescent="0.25">
      <c r="A483" t="s">
        <v>908</v>
      </c>
      <c r="B483" t="s">
        <v>909</v>
      </c>
      <c r="C483" s="1" t="str">
        <f>HYPERLINK("http://www.genecards.org/cgi-bin/carddisp.pl?gene=EPN2","GeneCards")</f>
        <v>GeneCards</v>
      </c>
      <c r="D483" s="1" t="str">
        <f>HYPERLINK("http://genome-euro.ucsc.edu/cgi-bin/hgTracks?position=203463_s_at","UCSC")</f>
        <v>UCSC</v>
      </c>
      <c r="E483" s="1" t="str">
        <f>HYPERLINK("http://www.ncbi.nlm.nih.gov/gene/?term=EPN2","NCBI")</f>
        <v>NCBI</v>
      </c>
      <c r="F483">
        <v>4.0999999999999999E-4</v>
      </c>
      <c r="G483">
        <v>1.4E-2</v>
      </c>
      <c r="H483" s="1" t="str">
        <f>HYPERLINK("http://www.weizmann.ac.il/complex/compphys/software/geview/data/figures/203463_s_at.png","Figure")</f>
        <v>Figure</v>
      </c>
      <c r="I483">
        <v>1.1200000000000001</v>
      </c>
      <c r="J483">
        <v>0.4</v>
      </c>
      <c r="K483">
        <v>0.75800000000000001</v>
      </c>
      <c r="L483">
        <v>4.7999999999999996E-3</v>
      </c>
      <c r="M483">
        <v>0.67900000000000005</v>
      </c>
      <c r="N483">
        <v>5.6999999999999998E-4</v>
      </c>
    </row>
    <row r="484" spans="1:14" x14ac:dyDescent="0.25">
      <c r="A484" t="s">
        <v>910</v>
      </c>
      <c r="B484" t="s">
        <v>911</v>
      </c>
      <c r="C484" s="1" t="str">
        <f>HYPERLINK("http://www.genecards.org/cgi-bin/carddisp.pl?gene=UNC93B1","GeneCards")</f>
        <v>GeneCards</v>
      </c>
      <c r="D484" s="1" t="str">
        <f>HYPERLINK("http://genome-euro.ucsc.edu/cgi-bin/hgTracks?position=220998_s_at","UCSC")</f>
        <v>UCSC</v>
      </c>
      <c r="E484" s="1" t="str">
        <f>HYPERLINK("http://www.ncbi.nlm.nih.gov/gene/?term=UNC93B1","NCBI")</f>
        <v>NCBI</v>
      </c>
      <c r="F484">
        <v>4.0999999999999999E-4</v>
      </c>
      <c r="G484">
        <v>1.4E-2</v>
      </c>
      <c r="H484" s="1" t="str">
        <f>HYPERLINK("http://www.weizmann.ac.il/complex/compphys/software/geview/data/figures/220998_s_at.png","Figure")</f>
        <v>Figure</v>
      </c>
      <c r="I484">
        <v>1.41</v>
      </c>
      <c r="J484">
        <v>2.7E-2</v>
      </c>
      <c r="K484">
        <v>1.74</v>
      </c>
      <c r="L484">
        <v>2.9E-4</v>
      </c>
      <c r="M484">
        <v>1.23</v>
      </c>
      <c r="N484">
        <v>0.17</v>
      </c>
    </row>
    <row r="485" spans="1:14" x14ac:dyDescent="0.25">
      <c r="A485" t="s">
        <v>912</v>
      </c>
      <c r="B485" t="s">
        <v>913</v>
      </c>
      <c r="C485" s="1" t="str">
        <f>HYPERLINK("http://www.genecards.org/cgi-bin/carddisp.pl?gene=HISPPD1","GeneCards")</f>
        <v>GeneCards</v>
      </c>
      <c r="D485" s="1" t="str">
        <f>HYPERLINK("http://genome-euro.ucsc.edu/cgi-bin/hgTracks?position=203253_s_at","UCSC")</f>
        <v>UCSC</v>
      </c>
      <c r="E485" s="1" t="str">
        <f>HYPERLINK("http://www.ncbi.nlm.nih.gov/gene/?term=HISPPD1","NCBI")</f>
        <v>NCBI</v>
      </c>
      <c r="F485">
        <v>4.0999999999999999E-4</v>
      </c>
      <c r="G485">
        <v>1.4E-2</v>
      </c>
      <c r="H485" s="1" t="str">
        <f>HYPERLINK("http://www.weizmann.ac.il/complex/compphys/software/geview/data/figures/203253_s_at.png","Figure")</f>
        <v>Figure</v>
      </c>
      <c r="I485">
        <v>0.4</v>
      </c>
      <c r="J485">
        <v>3.2000000000000003E-4</v>
      </c>
      <c r="K485">
        <v>0.747</v>
      </c>
      <c r="L485">
        <v>0.16</v>
      </c>
      <c r="M485">
        <v>1.87</v>
      </c>
      <c r="N485">
        <v>4.4000000000000003E-3</v>
      </c>
    </row>
    <row r="486" spans="1:14" x14ac:dyDescent="0.25">
      <c r="A486" t="s">
        <v>914</v>
      </c>
      <c r="B486" t="s">
        <v>915</v>
      </c>
      <c r="C486" s="1" t="str">
        <f>HYPERLINK("http://www.genecards.org/cgi-bin/carddisp.pl?gene=GNG11","GeneCards")</f>
        <v>GeneCards</v>
      </c>
      <c r="D486" s="1" t="str">
        <f>HYPERLINK("http://genome-euro.ucsc.edu/cgi-bin/hgTracks?position=204115_at","UCSC")</f>
        <v>UCSC</v>
      </c>
      <c r="E486" s="1" t="str">
        <f>HYPERLINK("http://www.ncbi.nlm.nih.gov/gene/?term=GNG11","NCBI")</f>
        <v>NCBI</v>
      </c>
      <c r="F486">
        <v>4.2000000000000002E-4</v>
      </c>
      <c r="G486">
        <v>1.4999999999999999E-2</v>
      </c>
      <c r="H486" s="1" t="str">
        <f>HYPERLINK("http://www.weizmann.ac.il/complex/compphys/software/geview/data/figures/204115_at.png","Figure")</f>
        <v>Figure</v>
      </c>
      <c r="I486">
        <v>0.67900000000000005</v>
      </c>
      <c r="J486">
        <v>0.45</v>
      </c>
      <c r="K486">
        <v>0.24</v>
      </c>
      <c r="L486">
        <v>4.4999999999999999E-4</v>
      </c>
      <c r="M486">
        <v>0.35399999999999998</v>
      </c>
      <c r="N486">
        <v>9.1000000000000004E-3</v>
      </c>
    </row>
    <row r="487" spans="1:14" x14ac:dyDescent="0.25">
      <c r="A487" t="s">
        <v>916</v>
      </c>
      <c r="B487" t="s">
        <v>917</v>
      </c>
      <c r="C487" s="1" t="str">
        <f>HYPERLINK("http://www.genecards.org/cgi-bin/carddisp.pl?gene=RAP2C","GeneCards")</f>
        <v>GeneCards</v>
      </c>
      <c r="D487" s="1" t="str">
        <f>HYPERLINK("http://genome-euro.ucsc.edu/cgi-bin/hgTracks?position=218668_s_at","UCSC")</f>
        <v>UCSC</v>
      </c>
      <c r="E487" s="1" t="str">
        <f>HYPERLINK("http://www.ncbi.nlm.nih.gov/gene/?term=RAP2C","NCBI")</f>
        <v>NCBI</v>
      </c>
      <c r="F487">
        <v>4.2000000000000002E-4</v>
      </c>
      <c r="G487">
        <v>1.4999999999999999E-2</v>
      </c>
      <c r="H487" s="1" t="str">
        <f>HYPERLINK("http://www.weizmann.ac.il/complex/compphys/software/geview/data/figures/218668_s_at.png","Figure")</f>
        <v>Figure</v>
      </c>
      <c r="I487">
        <v>0.184</v>
      </c>
      <c r="J487">
        <v>7.1000000000000002E-4</v>
      </c>
      <c r="K487">
        <v>0.25900000000000001</v>
      </c>
      <c r="L487">
        <v>1.5E-3</v>
      </c>
      <c r="M487">
        <v>1.41</v>
      </c>
      <c r="N487">
        <v>0.55000000000000004</v>
      </c>
    </row>
    <row r="488" spans="1:14" x14ac:dyDescent="0.25">
      <c r="A488" t="s">
        <v>918</v>
      </c>
      <c r="B488" t="s">
        <v>919</v>
      </c>
      <c r="C488" s="1" t="str">
        <f>HYPERLINK("http://www.genecards.org/cgi-bin/carddisp.pl?gene=PPFIBP1","GeneCards")</f>
        <v>GeneCards</v>
      </c>
      <c r="D488" s="1" t="str">
        <f>HYPERLINK("http://genome-euro.ucsc.edu/cgi-bin/hgTracks?position=214374_s_at","UCSC")</f>
        <v>UCSC</v>
      </c>
      <c r="E488" s="1" t="str">
        <f>HYPERLINK("http://www.ncbi.nlm.nih.gov/gene/?term=PPFIBP1","NCBI")</f>
        <v>NCBI</v>
      </c>
      <c r="F488">
        <v>4.2000000000000002E-4</v>
      </c>
      <c r="G488">
        <v>1.4999999999999999E-2</v>
      </c>
      <c r="H488" s="1" t="str">
        <f>HYPERLINK("http://www.weizmann.ac.il/complex/compphys/software/geview/data/figures/214374_s_at.png","Figure")</f>
        <v>Figure</v>
      </c>
      <c r="I488">
        <v>3.03</v>
      </c>
      <c r="J488">
        <v>2E-3</v>
      </c>
      <c r="K488">
        <v>3.06</v>
      </c>
      <c r="L488">
        <v>5.9000000000000003E-4</v>
      </c>
      <c r="M488">
        <v>1.01</v>
      </c>
      <c r="N488">
        <v>1</v>
      </c>
    </row>
    <row r="489" spans="1:14" x14ac:dyDescent="0.25">
      <c r="A489" t="s">
        <v>920</v>
      </c>
      <c r="B489" t="s">
        <v>921</v>
      </c>
      <c r="C489" s="1" t="str">
        <f>HYPERLINK("http://www.genecards.org/cgi-bin/carddisp.pl?gene=DAD1","GeneCards")</f>
        <v>GeneCards</v>
      </c>
      <c r="D489" s="1" t="str">
        <f>HYPERLINK("http://genome-euro.ucsc.edu/cgi-bin/hgTracks?position=200046_at","UCSC")</f>
        <v>UCSC</v>
      </c>
      <c r="E489" s="1" t="str">
        <f>HYPERLINK("http://www.ncbi.nlm.nih.gov/gene/?term=DAD1","NCBI")</f>
        <v>NCBI</v>
      </c>
      <c r="F489">
        <v>4.2000000000000002E-4</v>
      </c>
      <c r="G489">
        <v>1.4999999999999999E-2</v>
      </c>
      <c r="H489" s="1" t="str">
        <f>HYPERLINK("http://www.weizmann.ac.il/complex/compphys/software/geview/data/figures/200046_at.png","Figure")</f>
        <v>Figure</v>
      </c>
      <c r="I489">
        <v>0.57199999999999995</v>
      </c>
      <c r="J489">
        <v>3.4000000000000002E-2</v>
      </c>
      <c r="K489">
        <v>1.55</v>
      </c>
      <c r="L489">
        <v>5.7000000000000002E-2</v>
      </c>
      <c r="M489">
        <v>2.72</v>
      </c>
      <c r="N489">
        <v>2.9999999999999997E-4</v>
      </c>
    </row>
    <row r="490" spans="1:14" x14ac:dyDescent="0.25">
      <c r="A490" t="s">
        <v>922</v>
      </c>
      <c r="B490" t="s">
        <v>485</v>
      </c>
      <c r="C490" s="1" t="str">
        <f>HYPERLINK("http://www.genecards.org/cgi-bin/carddisp.pl?gene=RICS","GeneCards")</f>
        <v>GeneCards</v>
      </c>
      <c r="D490" s="1" t="str">
        <f>HYPERLINK("http://genome-euro.ucsc.edu/cgi-bin/hgTracks?position=210791_s_at","UCSC")</f>
        <v>UCSC</v>
      </c>
      <c r="E490" s="1" t="str">
        <f>HYPERLINK("http://www.ncbi.nlm.nih.gov/gene/?term=RICS","NCBI")</f>
        <v>NCBI</v>
      </c>
      <c r="F490">
        <v>4.2000000000000002E-4</v>
      </c>
      <c r="G490">
        <v>1.4999999999999999E-2</v>
      </c>
      <c r="H490" s="1" t="str">
        <f>HYPERLINK("http://www.weizmann.ac.il/complex/compphys/software/geview/data/figures/210791_s_at.png","Figure")</f>
        <v>Figure</v>
      </c>
      <c r="I490">
        <v>1.1100000000000001</v>
      </c>
      <c r="J490">
        <v>0.69</v>
      </c>
      <c r="K490">
        <v>0.628</v>
      </c>
      <c r="L490">
        <v>2.5999999999999999E-3</v>
      </c>
      <c r="M490">
        <v>0.56499999999999995</v>
      </c>
      <c r="N490">
        <v>8.7000000000000001E-4</v>
      </c>
    </row>
    <row r="491" spans="1:14" x14ac:dyDescent="0.25">
      <c r="A491" t="s">
        <v>923</v>
      </c>
      <c r="B491" t="s">
        <v>924</v>
      </c>
      <c r="C491" s="1" t="str">
        <f>HYPERLINK("http://www.genecards.org/cgi-bin/carddisp.pl?gene=MYL12A /// MYL12B","GeneCards")</f>
        <v>GeneCards</v>
      </c>
      <c r="D491" s="1" t="str">
        <f>HYPERLINK("http://genome-euro.ucsc.edu/cgi-bin/hgTracks?position=201318_s_at","UCSC")</f>
        <v>UCSC</v>
      </c>
      <c r="E491" s="1" t="str">
        <f>HYPERLINK("http://www.ncbi.nlm.nih.gov/gene/?term=MYL12A /// MYL12B","NCBI")</f>
        <v>NCBI</v>
      </c>
      <c r="F491">
        <v>4.2000000000000002E-4</v>
      </c>
      <c r="G491">
        <v>1.4999999999999999E-2</v>
      </c>
      <c r="H491" s="1" t="str">
        <f>HYPERLINK("http://www.weizmann.ac.il/complex/compphys/software/geview/data/figures/201318_s_at.png","Figure")</f>
        <v>Figure</v>
      </c>
      <c r="I491">
        <v>1.1000000000000001</v>
      </c>
      <c r="J491">
        <v>0.91</v>
      </c>
      <c r="K491">
        <v>2.6</v>
      </c>
      <c r="L491">
        <v>7.6999999999999996E-4</v>
      </c>
      <c r="M491">
        <v>2.37</v>
      </c>
      <c r="N491">
        <v>3.0999999999999999E-3</v>
      </c>
    </row>
    <row r="492" spans="1:14" x14ac:dyDescent="0.25">
      <c r="A492" t="s">
        <v>925</v>
      </c>
      <c r="B492" t="s">
        <v>192</v>
      </c>
      <c r="C492" s="1" t="str">
        <f>HYPERLINK("http://www.genecards.org/cgi-bin/carddisp.pl?gene=SSR1","GeneCards")</f>
        <v>GeneCards</v>
      </c>
      <c r="D492" s="1" t="str">
        <f>HYPERLINK("http://genome-euro.ucsc.edu/cgi-bin/hgTracks?position=200891_s_at","UCSC")</f>
        <v>UCSC</v>
      </c>
      <c r="E492" s="1" t="str">
        <f>HYPERLINK("http://www.ncbi.nlm.nih.gov/gene/?term=SSR1","NCBI")</f>
        <v>NCBI</v>
      </c>
      <c r="F492">
        <v>4.2999999999999999E-4</v>
      </c>
      <c r="G492">
        <v>1.4999999999999999E-2</v>
      </c>
      <c r="H492" s="1" t="str">
        <f>HYPERLINK("http://www.weizmann.ac.il/complex/compphys/software/geview/data/figures/200891_s_at.png","Figure")</f>
        <v>Figure</v>
      </c>
      <c r="I492">
        <v>0.38100000000000001</v>
      </c>
      <c r="J492">
        <v>5.9000000000000003E-4</v>
      </c>
      <c r="K492">
        <v>0.875</v>
      </c>
      <c r="L492">
        <v>0.71</v>
      </c>
      <c r="M492">
        <v>2.2999999999999998</v>
      </c>
      <c r="N492">
        <v>1.1999999999999999E-3</v>
      </c>
    </row>
    <row r="493" spans="1:14" x14ac:dyDescent="0.25">
      <c r="A493" t="s">
        <v>926</v>
      </c>
      <c r="B493" t="s">
        <v>927</v>
      </c>
      <c r="C493" s="1" t="str">
        <f>HYPERLINK("http://www.genecards.org/cgi-bin/carddisp.pl?gene=ISG20","GeneCards")</f>
        <v>GeneCards</v>
      </c>
      <c r="D493" s="1" t="str">
        <f>HYPERLINK("http://genome-euro.ucsc.edu/cgi-bin/hgTracks?position=33304_at","UCSC")</f>
        <v>UCSC</v>
      </c>
      <c r="E493" s="1" t="str">
        <f>HYPERLINK("http://www.ncbi.nlm.nih.gov/gene/?term=ISG20","NCBI")</f>
        <v>NCBI</v>
      </c>
      <c r="F493">
        <v>4.2999999999999999E-4</v>
      </c>
      <c r="G493">
        <v>1.4999999999999999E-2</v>
      </c>
      <c r="H493" s="1" t="str">
        <f>HYPERLINK("http://www.weizmann.ac.il/complex/compphys/software/geview/data/figures/33304_at.png","Figure")</f>
        <v>Figure</v>
      </c>
      <c r="I493">
        <v>0.66100000000000003</v>
      </c>
      <c r="J493">
        <v>0.38</v>
      </c>
      <c r="K493">
        <v>0.252</v>
      </c>
      <c r="L493">
        <v>4.2999999999999999E-4</v>
      </c>
      <c r="M493">
        <v>0.38100000000000001</v>
      </c>
      <c r="N493">
        <v>1.0999999999999999E-2</v>
      </c>
    </row>
    <row r="494" spans="1:14" x14ac:dyDescent="0.25">
      <c r="A494" t="s">
        <v>928</v>
      </c>
      <c r="B494" t="s">
        <v>305</v>
      </c>
      <c r="C494" s="1" t="str">
        <f>HYPERLINK("http://www.genecards.org/cgi-bin/carddisp.pl?gene=IPO7","GeneCards")</f>
        <v>GeneCards</v>
      </c>
      <c r="D494" s="1" t="str">
        <f>HYPERLINK("http://genome-euro.ucsc.edu/cgi-bin/hgTracks?position=200994_at","UCSC")</f>
        <v>UCSC</v>
      </c>
      <c r="E494" s="1" t="str">
        <f>HYPERLINK("http://www.ncbi.nlm.nih.gov/gene/?term=IPO7","NCBI")</f>
        <v>NCBI</v>
      </c>
      <c r="F494">
        <v>4.2999999999999999E-4</v>
      </c>
      <c r="G494">
        <v>1.4999999999999999E-2</v>
      </c>
      <c r="H494" s="1" t="str">
        <f>HYPERLINK("http://www.weizmann.ac.il/complex/compphys/software/geview/data/figures/200994_at.png","Figure")</f>
        <v>Figure</v>
      </c>
      <c r="I494">
        <v>0.56999999999999995</v>
      </c>
      <c r="J494">
        <v>1.6999999999999999E-3</v>
      </c>
      <c r="K494">
        <v>1.05</v>
      </c>
      <c r="L494">
        <v>0.9</v>
      </c>
      <c r="M494">
        <v>1.84</v>
      </c>
      <c r="N494">
        <v>4.8000000000000001E-4</v>
      </c>
    </row>
    <row r="495" spans="1:14" x14ac:dyDescent="0.25">
      <c r="A495" t="s">
        <v>929</v>
      </c>
      <c r="B495" t="s">
        <v>930</v>
      </c>
      <c r="C495" s="1" t="str">
        <f>HYPERLINK("http://www.genecards.org/cgi-bin/carddisp.pl?gene=GNPDA1","GeneCards")</f>
        <v>GeneCards</v>
      </c>
      <c r="D495" s="1" t="str">
        <f>HYPERLINK("http://genome-euro.ucsc.edu/cgi-bin/hgTracks?position=202382_s_at","UCSC")</f>
        <v>UCSC</v>
      </c>
      <c r="E495" s="1" t="str">
        <f>HYPERLINK("http://www.ncbi.nlm.nih.gov/gene/?term=GNPDA1","NCBI")</f>
        <v>NCBI</v>
      </c>
      <c r="F495">
        <v>4.2999999999999999E-4</v>
      </c>
      <c r="G495">
        <v>1.4999999999999999E-2</v>
      </c>
      <c r="H495" s="1" t="str">
        <f>HYPERLINK("http://www.weizmann.ac.il/complex/compphys/software/geview/data/figures/202382_s_at.png","Figure")</f>
        <v>Figure</v>
      </c>
      <c r="I495">
        <v>1.07</v>
      </c>
      <c r="J495">
        <v>0.78</v>
      </c>
      <c r="K495">
        <v>0.67900000000000005</v>
      </c>
      <c r="L495">
        <v>2.3E-3</v>
      </c>
      <c r="M495">
        <v>0.63300000000000001</v>
      </c>
      <c r="N495">
        <v>1E-3</v>
      </c>
    </row>
    <row r="496" spans="1:14" x14ac:dyDescent="0.25">
      <c r="A496" t="s">
        <v>931</v>
      </c>
      <c r="B496" t="s">
        <v>932</v>
      </c>
      <c r="C496" s="1" t="str">
        <f>HYPERLINK("http://www.genecards.org/cgi-bin/carddisp.pl?gene=CRY1","GeneCards")</f>
        <v>GeneCards</v>
      </c>
      <c r="D496" s="1" t="str">
        <f>HYPERLINK("http://genome-euro.ucsc.edu/cgi-bin/hgTracks?position=209674_at","UCSC")</f>
        <v>UCSC</v>
      </c>
      <c r="E496" s="1" t="str">
        <f>HYPERLINK("http://www.ncbi.nlm.nih.gov/gene/?term=CRY1","NCBI")</f>
        <v>NCBI</v>
      </c>
      <c r="F496">
        <v>4.2999999999999999E-4</v>
      </c>
      <c r="G496">
        <v>1.4999999999999999E-2</v>
      </c>
      <c r="H496" s="1" t="str">
        <f>HYPERLINK("http://www.weizmann.ac.il/complex/compphys/software/geview/data/figures/209674_at.png","Figure")</f>
        <v>Figure</v>
      </c>
      <c r="I496">
        <v>0.32300000000000001</v>
      </c>
      <c r="J496">
        <v>5.8999999999999999E-3</v>
      </c>
      <c r="K496">
        <v>0.251</v>
      </c>
      <c r="L496">
        <v>3.8999999999999999E-4</v>
      </c>
      <c r="M496">
        <v>0.77900000000000003</v>
      </c>
      <c r="N496">
        <v>0.65</v>
      </c>
    </row>
    <row r="497" spans="1:14" x14ac:dyDescent="0.25">
      <c r="A497" t="s">
        <v>933</v>
      </c>
      <c r="B497" t="s">
        <v>934</v>
      </c>
      <c r="C497" s="1" t="str">
        <f>HYPERLINK("http://www.genecards.org/cgi-bin/carddisp.pl?gene=PPP1R7","GeneCards")</f>
        <v>GeneCards</v>
      </c>
      <c r="D497" s="1" t="str">
        <f>HYPERLINK("http://genome-euro.ucsc.edu/cgi-bin/hgTracks?position=201214_s_at","UCSC")</f>
        <v>UCSC</v>
      </c>
      <c r="E497" s="1" t="str">
        <f>HYPERLINK("http://www.ncbi.nlm.nih.gov/gene/?term=PPP1R7","NCBI")</f>
        <v>NCBI</v>
      </c>
      <c r="F497">
        <v>4.4000000000000002E-4</v>
      </c>
      <c r="G497">
        <v>1.4999999999999999E-2</v>
      </c>
      <c r="H497" s="1" t="str">
        <f>HYPERLINK("http://www.weizmann.ac.il/complex/compphys/software/geview/data/figures/201214_s_at.png","Figure")</f>
        <v>Figure</v>
      </c>
      <c r="I497">
        <v>0.71699999999999997</v>
      </c>
      <c r="J497">
        <v>8.4000000000000005E-2</v>
      </c>
      <c r="K497">
        <v>1.45</v>
      </c>
      <c r="L497">
        <v>2.4E-2</v>
      </c>
      <c r="M497">
        <v>2.0299999999999998</v>
      </c>
      <c r="N497">
        <v>3.6000000000000002E-4</v>
      </c>
    </row>
    <row r="498" spans="1:14" x14ac:dyDescent="0.25">
      <c r="A498" t="s">
        <v>935</v>
      </c>
      <c r="B498" t="s">
        <v>936</v>
      </c>
      <c r="C498" s="1" t="str">
        <f>HYPERLINK("http://www.genecards.org/cgi-bin/carddisp.pl?gene=OTUD4","GeneCards")</f>
        <v>GeneCards</v>
      </c>
      <c r="D498" s="1" t="str">
        <f>HYPERLINK("http://genome-euro.ucsc.edu/cgi-bin/hgTracks?position=203480_s_at","UCSC")</f>
        <v>UCSC</v>
      </c>
      <c r="E498" s="1" t="str">
        <f>HYPERLINK("http://www.ncbi.nlm.nih.gov/gene/?term=OTUD4","NCBI")</f>
        <v>NCBI</v>
      </c>
      <c r="F498">
        <v>4.4000000000000002E-4</v>
      </c>
      <c r="G498">
        <v>1.4999999999999999E-2</v>
      </c>
      <c r="H498" s="1" t="str">
        <f>HYPERLINK("http://www.weizmann.ac.il/complex/compphys/software/geview/data/figures/203480_s_at.png","Figure")</f>
        <v>Figure</v>
      </c>
      <c r="I498">
        <v>0.61499999999999999</v>
      </c>
      <c r="J498">
        <v>2.8999999999999998E-3</v>
      </c>
      <c r="K498">
        <v>0.59399999999999997</v>
      </c>
      <c r="L498">
        <v>5.1999999999999995E-4</v>
      </c>
      <c r="M498">
        <v>0.96499999999999997</v>
      </c>
      <c r="N498">
        <v>0.94</v>
      </c>
    </row>
    <row r="499" spans="1:14" x14ac:dyDescent="0.25">
      <c r="A499" t="s">
        <v>937</v>
      </c>
      <c r="B499" t="s">
        <v>938</v>
      </c>
      <c r="C499" s="1" t="str">
        <f>HYPERLINK("http://www.genecards.org/cgi-bin/carddisp.pl?gene=FST","GeneCards")</f>
        <v>GeneCards</v>
      </c>
      <c r="D499" s="1" t="str">
        <f>HYPERLINK("http://genome-euro.ucsc.edu/cgi-bin/hgTracks?position=204948_s_at","UCSC")</f>
        <v>UCSC</v>
      </c>
      <c r="E499" s="1" t="str">
        <f>HYPERLINK("http://www.ncbi.nlm.nih.gov/gene/?term=FST","NCBI")</f>
        <v>NCBI</v>
      </c>
      <c r="F499">
        <v>4.4000000000000002E-4</v>
      </c>
      <c r="G499">
        <v>1.4999999999999999E-2</v>
      </c>
      <c r="H499" s="1" t="str">
        <f>HYPERLINK("http://www.weizmann.ac.il/complex/compphys/software/geview/data/figures/204948_s_at.png","Figure")</f>
        <v>Figure</v>
      </c>
      <c r="I499">
        <v>1.1200000000000001</v>
      </c>
      <c r="J499">
        <v>0.47</v>
      </c>
      <c r="K499">
        <v>0.72599999999999998</v>
      </c>
      <c r="L499">
        <v>4.3E-3</v>
      </c>
      <c r="M499">
        <v>0.64900000000000002</v>
      </c>
      <c r="N499">
        <v>6.7000000000000002E-4</v>
      </c>
    </row>
    <row r="500" spans="1:14" x14ac:dyDescent="0.25">
      <c r="A500" t="s">
        <v>939</v>
      </c>
      <c r="B500" t="s">
        <v>940</v>
      </c>
      <c r="C500" s="1" t="str">
        <f>HYPERLINK("http://www.genecards.org/cgi-bin/carddisp.pl?gene=ERG","GeneCards")</f>
        <v>GeneCards</v>
      </c>
      <c r="D500" s="1" t="str">
        <f>HYPERLINK("http://genome-euro.ucsc.edu/cgi-bin/hgTracks?position=213541_s_at","UCSC")</f>
        <v>UCSC</v>
      </c>
      <c r="E500" s="1" t="str">
        <f>HYPERLINK("http://www.ncbi.nlm.nih.gov/gene/?term=ERG","NCBI")</f>
        <v>NCBI</v>
      </c>
      <c r="F500">
        <v>4.4000000000000002E-4</v>
      </c>
      <c r="G500">
        <v>1.4999999999999999E-2</v>
      </c>
      <c r="H500" s="1" t="str">
        <f>HYPERLINK("http://www.weizmann.ac.il/complex/compphys/software/geview/data/figures/213541_s_at.png","Figure")</f>
        <v>Figure</v>
      </c>
      <c r="I500">
        <v>0.21299999999999999</v>
      </c>
      <c r="J500">
        <v>2.9999999999999997E-4</v>
      </c>
      <c r="K500">
        <v>0.49099999999999999</v>
      </c>
      <c r="L500">
        <v>3.3000000000000002E-2</v>
      </c>
      <c r="M500">
        <v>2.2999999999999998</v>
      </c>
      <c r="N500">
        <v>0.02</v>
      </c>
    </row>
    <row r="501" spans="1:14" x14ac:dyDescent="0.25">
      <c r="A501" t="s">
        <v>941</v>
      </c>
      <c r="B501" t="s">
        <v>942</v>
      </c>
      <c r="C501" s="1" t="str">
        <f>HYPERLINK("http://www.genecards.org/cgi-bin/carddisp.pl?gene=NFIL3","GeneCards")</f>
        <v>GeneCards</v>
      </c>
      <c r="D501" s="1" t="str">
        <f>HYPERLINK("http://genome-euro.ucsc.edu/cgi-bin/hgTracks?position=203574_at","UCSC")</f>
        <v>UCSC</v>
      </c>
      <c r="E501" s="1" t="str">
        <f>HYPERLINK("http://www.ncbi.nlm.nih.gov/gene/?term=NFIL3","NCBI")</f>
        <v>NCBI</v>
      </c>
      <c r="F501">
        <v>4.4000000000000002E-4</v>
      </c>
      <c r="G501">
        <v>1.4999999999999999E-2</v>
      </c>
      <c r="H501" s="1" t="str">
        <f>HYPERLINK("http://www.weizmann.ac.il/complex/compphys/software/geview/data/figures/203574_at.png","Figure")</f>
        <v>Figure</v>
      </c>
      <c r="I501">
        <v>0.748</v>
      </c>
      <c r="J501">
        <v>0.66</v>
      </c>
      <c r="K501">
        <v>0.23400000000000001</v>
      </c>
      <c r="L501">
        <v>5.8E-4</v>
      </c>
      <c r="M501">
        <v>0.313</v>
      </c>
      <c r="N501">
        <v>5.8999999999999999E-3</v>
      </c>
    </row>
    <row r="502" spans="1:14" x14ac:dyDescent="0.25">
      <c r="A502" t="s">
        <v>943</v>
      </c>
      <c r="B502" t="s">
        <v>944</v>
      </c>
      <c r="C502" s="1" t="str">
        <f>HYPERLINK("http://www.genecards.org/cgi-bin/carddisp.pl?gene=RAB1A","GeneCards")</f>
        <v>GeneCards</v>
      </c>
      <c r="D502" s="1" t="str">
        <f>HYPERLINK("http://genome-euro.ucsc.edu/cgi-bin/hgTracks?position=208724_s_at","UCSC")</f>
        <v>UCSC</v>
      </c>
      <c r="E502" s="1" t="str">
        <f>HYPERLINK("http://www.ncbi.nlm.nih.gov/gene/?term=RAB1A","NCBI")</f>
        <v>NCBI</v>
      </c>
      <c r="F502">
        <v>4.4000000000000002E-4</v>
      </c>
      <c r="G502">
        <v>1.4999999999999999E-2</v>
      </c>
      <c r="H502" s="1" t="str">
        <f>HYPERLINK("http://www.weizmann.ac.il/complex/compphys/software/geview/data/figures/208724_s_at.png","Figure")</f>
        <v>Figure</v>
      </c>
      <c r="I502">
        <v>0.65600000000000003</v>
      </c>
      <c r="J502">
        <v>0.18</v>
      </c>
      <c r="K502">
        <v>0.35399999999999998</v>
      </c>
      <c r="L502">
        <v>3.5E-4</v>
      </c>
      <c r="M502">
        <v>0.54</v>
      </c>
      <c r="N502">
        <v>2.7E-2</v>
      </c>
    </row>
    <row r="503" spans="1:14" x14ac:dyDescent="0.25">
      <c r="A503" t="s">
        <v>945</v>
      </c>
      <c r="B503" t="s">
        <v>946</v>
      </c>
      <c r="C503" s="1" t="str">
        <f>HYPERLINK("http://www.genecards.org/cgi-bin/carddisp.pl?gene=HOMER2","GeneCards")</f>
        <v>GeneCards</v>
      </c>
      <c r="D503" s="1" t="str">
        <f>HYPERLINK("http://genome-euro.ucsc.edu/cgi-bin/hgTracks?position=217080_s_at","UCSC")</f>
        <v>UCSC</v>
      </c>
      <c r="E503" s="1" t="str">
        <f>HYPERLINK("http://www.ncbi.nlm.nih.gov/gene/?term=HOMER2","NCBI")</f>
        <v>NCBI</v>
      </c>
      <c r="F503">
        <v>4.4000000000000002E-4</v>
      </c>
      <c r="G503">
        <v>1.4999999999999999E-2</v>
      </c>
      <c r="H503" s="1" t="str">
        <f>HYPERLINK("http://www.weizmann.ac.il/complex/compphys/software/geview/data/figures/217080_s_at.png","Figure")</f>
        <v>Figure</v>
      </c>
      <c r="I503">
        <v>1.42</v>
      </c>
      <c r="J503">
        <v>3.1E-4</v>
      </c>
      <c r="K503">
        <v>1.17</v>
      </c>
      <c r="L503">
        <v>3.6999999999999998E-2</v>
      </c>
      <c r="M503">
        <v>0.82499999999999996</v>
      </c>
      <c r="N503">
        <v>1.7000000000000001E-2</v>
      </c>
    </row>
    <row r="504" spans="1:14" x14ac:dyDescent="0.25">
      <c r="A504" t="s">
        <v>947</v>
      </c>
      <c r="B504" t="s">
        <v>917</v>
      </c>
      <c r="C504" s="1" t="str">
        <f>HYPERLINK("http://www.genecards.org/cgi-bin/carddisp.pl?gene=RAP2C","GeneCards")</f>
        <v>GeneCards</v>
      </c>
      <c r="D504" s="1" t="str">
        <f>HYPERLINK("http://genome-euro.ucsc.edu/cgi-bin/hgTracks?position=218669_at","UCSC")</f>
        <v>UCSC</v>
      </c>
      <c r="E504" s="1" t="str">
        <f>HYPERLINK("http://www.ncbi.nlm.nih.gov/gene/?term=RAP2C","NCBI")</f>
        <v>NCBI</v>
      </c>
      <c r="F504">
        <v>4.4000000000000002E-4</v>
      </c>
      <c r="G504">
        <v>1.4999999999999999E-2</v>
      </c>
      <c r="H504" s="1" t="str">
        <f>HYPERLINK("http://www.weizmann.ac.il/complex/compphys/software/geview/data/figures/218669_at.png","Figure")</f>
        <v>Figure</v>
      </c>
      <c r="I504">
        <v>0.42399999999999999</v>
      </c>
      <c r="J504">
        <v>1.4E-3</v>
      </c>
      <c r="K504">
        <v>0.44800000000000001</v>
      </c>
      <c r="L504">
        <v>8.0999999999999996E-4</v>
      </c>
      <c r="M504">
        <v>1.06</v>
      </c>
      <c r="N504">
        <v>0.95</v>
      </c>
    </row>
    <row r="505" spans="1:14" x14ac:dyDescent="0.25">
      <c r="A505" t="s">
        <v>948</v>
      </c>
      <c r="B505" t="s">
        <v>949</v>
      </c>
      <c r="C505" s="1" t="str">
        <f>HYPERLINK("http://www.genecards.org/cgi-bin/carddisp.pl?gene=HDGF","GeneCards")</f>
        <v>GeneCards</v>
      </c>
      <c r="D505" s="1" t="str">
        <f>HYPERLINK("http://genome-euro.ucsc.edu/cgi-bin/hgTracks?position=200896_x_at","UCSC")</f>
        <v>UCSC</v>
      </c>
      <c r="E505" s="1" t="str">
        <f>HYPERLINK("http://www.ncbi.nlm.nih.gov/gene/?term=HDGF","NCBI")</f>
        <v>NCBI</v>
      </c>
      <c r="F505">
        <v>4.4999999999999999E-4</v>
      </c>
      <c r="G505">
        <v>1.4999999999999999E-2</v>
      </c>
      <c r="H505" s="1" t="str">
        <f>HYPERLINK("http://www.weizmann.ac.il/complex/compphys/software/geview/data/figures/200896_x_at.png","Figure")</f>
        <v>Figure</v>
      </c>
      <c r="I505">
        <v>1.8</v>
      </c>
      <c r="J505">
        <v>2.8E-3</v>
      </c>
      <c r="K505">
        <v>1.87</v>
      </c>
      <c r="L505">
        <v>5.4000000000000001E-4</v>
      </c>
      <c r="M505">
        <v>1.04</v>
      </c>
      <c r="N505">
        <v>0.95</v>
      </c>
    </row>
    <row r="506" spans="1:14" x14ac:dyDescent="0.25">
      <c r="A506" t="s">
        <v>950</v>
      </c>
      <c r="B506" t="s">
        <v>951</v>
      </c>
      <c r="C506" s="1" t="str">
        <f>HYPERLINK("http://www.genecards.org/cgi-bin/carddisp.pl?gene=GSPT2","GeneCards")</f>
        <v>GeneCards</v>
      </c>
      <c r="D506" s="1" t="str">
        <f>HYPERLINK("http://genome-euro.ucsc.edu/cgi-bin/hgTracks?position=205541_s_at","UCSC")</f>
        <v>UCSC</v>
      </c>
      <c r="E506" s="1" t="str">
        <f>HYPERLINK("http://www.ncbi.nlm.nih.gov/gene/?term=GSPT2","NCBI")</f>
        <v>NCBI</v>
      </c>
      <c r="F506">
        <v>4.4999999999999999E-4</v>
      </c>
      <c r="G506">
        <v>1.4999999999999999E-2</v>
      </c>
      <c r="H506" s="1" t="str">
        <f>HYPERLINK("http://www.weizmann.ac.il/complex/compphys/software/geview/data/figures/205541_s_at.png","Figure")</f>
        <v>Figure</v>
      </c>
      <c r="I506">
        <v>0.36399999999999999</v>
      </c>
      <c r="J506">
        <v>4.8999999999999998E-4</v>
      </c>
      <c r="K506">
        <v>0.498</v>
      </c>
      <c r="L506">
        <v>3.3999999999999998E-3</v>
      </c>
      <c r="M506">
        <v>1.37</v>
      </c>
      <c r="N506">
        <v>0.24</v>
      </c>
    </row>
    <row r="507" spans="1:14" x14ac:dyDescent="0.25">
      <c r="A507" t="s">
        <v>952</v>
      </c>
      <c r="B507" t="s">
        <v>953</v>
      </c>
      <c r="C507" s="1" t="str">
        <f>HYPERLINK("http://www.genecards.org/cgi-bin/carddisp.pl?gene=YTHDC1","GeneCards")</f>
        <v>GeneCards</v>
      </c>
      <c r="D507" s="1" t="str">
        <f>HYPERLINK("http://genome-euro.ucsc.edu/cgi-bin/hgTracks?position=214814_at","UCSC")</f>
        <v>UCSC</v>
      </c>
      <c r="E507" s="1" t="str">
        <f>HYPERLINK("http://www.ncbi.nlm.nih.gov/gene/?term=YTHDC1","NCBI")</f>
        <v>NCBI</v>
      </c>
      <c r="F507">
        <v>4.4999999999999999E-4</v>
      </c>
      <c r="G507">
        <v>1.4999999999999999E-2</v>
      </c>
      <c r="H507" s="1" t="str">
        <f>HYPERLINK("http://www.weizmann.ac.il/complex/compphys/software/geview/data/figures/214814_at.png","Figure")</f>
        <v>Figure</v>
      </c>
      <c r="I507">
        <v>0.58099999999999996</v>
      </c>
      <c r="J507">
        <v>1.6E-2</v>
      </c>
      <c r="K507">
        <v>0.45600000000000002</v>
      </c>
      <c r="L507">
        <v>3.3E-4</v>
      </c>
      <c r="M507">
        <v>0.78500000000000003</v>
      </c>
      <c r="N507">
        <v>0.3</v>
      </c>
    </row>
    <row r="508" spans="1:14" x14ac:dyDescent="0.25">
      <c r="A508" t="s">
        <v>954</v>
      </c>
      <c r="B508" t="s">
        <v>91</v>
      </c>
      <c r="C508" s="1" t="str">
        <f>HYPERLINK("http://www.genecards.org/cgi-bin/carddisp.pl?gene=ME2","GeneCards")</f>
        <v>GeneCards</v>
      </c>
      <c r="D508" s="1" t="str">
        <f>HYPERLINK("http://genome-euro.ucsc.edu/cgi-bin/hgTracks?position=210153_s_at","UCSC")</f>
        <v>UCSC</v>
      </c>
      <c r="E508" s="1" t="str">
        <f>HYPERLINK("http://www.ncbi.nlm.nih.gov/gene/?term=ME2","NCBI")</f>
        <v>NCBI</v>
      </c>
      <c r="F508">
        <v>4.4999999999999999E-4</v>
      </c>
      <c r="G508">
        <v>1.4999999999999999E-2</v>
      </c>
      <c r="H508" s="1" t="str">
        <f>HYPERLINK("http://www.weizmann.ac.il/complex/compphys/software/geview/data/figures/210153_s_at.png","Figure")</f>
        <v>Figure</v>
      </c>
      <c r="I508">
        <v>0.85399999999999998</v>
      </c>
      <c r="J508">
        <v>0.21</v>
      </c>
      <c r="K508">
        <v>1.3</v>
      </c>
      <c r="L508">
        <v>0.01</v>
      </c>
      <c r="M508">
        <v>1.53</v>
      </c>
      <c r="N508">
        <v>4.6999999999999999E-4</v>
      </c>
    </row>
    <row r="509" spans="1:14" x14ac:dyDescent="0.25">
      <c r="A509" t="s">
        <v>955</v>
      </c>
      <c r="B509" t="s">
        <v>676</v>
      </c>
      <c r="C509" s="1" t="str">
        <f>HYPERLINK("http://www.genecards.org/cgi-bin/carddisp.pl?gene=TTC3","GeneCards")</f>
        <v>GeneCards</v>
      </c>
      <c r="D509" s="1" t="str">
        <f>HYPERLINK("http://genome-euro.ucsc.edu/cgi-bin/hgTracks?position=210645_s_at","UCSC")</f>
        <v>UCSC</v>
      </c>
      <c r="E509" s="1" t="str">
        <f>HYPERLINK("http://www.ncbi.nlm.nih.gov/gene/?term=TTC3","NCBI")</f>
        <v>NCBI</v>
      </c>
      <c r="F509">
        <v>4.4999999999999999E-4</v>
      </c>
      <c r="G509">
        <v>1.4999999999999999E-2</v>
      </c>
      <c r="H509" s="1" t="str">
        <f>HYPERLINK("http://www.weizmann.ac.il/complex/compphys/software/geview/data/figures/210645_s_at.png","Figure")</f>
        <v>Figure</v>
      </c>
      <c r="I509">
        <v>0.44400000000000001</v>
      </c>
      <c r="J509">
        <v>6.2E-4</v>
      </c>
      <c r="K509">
        <v>0.89200000000000002</v>
      </c>
      <c r="L509">
        <v>0.7</v>
      </c>
      <c r="M509">
        <v>2.0099999999999998</v>
      </c>
      <c r="N509">
        <v>1.2999999999999999E-3</v>
      </c>
    </row>
    <row r="510" spans="1:14" x14ac:dyDescent="0.25">
      <c r="A510" t="s">
        <v>956</v>
      </c>
      <c r="B510" t="s">
        <v>957</v>
      </c>
      <c r="C510" s="1" t="str">
        <f>HYPERLINK("http://www.genecards.org/cgi-bin/carddisp.pl?gene=PLEKHJ1","GeneCards")</f>
        <v>GeneCards</v>
      </c>
      <c r="D510" s="1" t="str">
        <f>HYPERLINK("http://genome-euro.ucsc.edu/cgi-bin/hgTracks?position=218290_at","UCSC")</f>
        <v>UCSC</v>
      </c>
      <c r="E510" s="1" t="str">
        <f>HYPERLINK("http://www.ncbi.nlm.nih.gov/gene/?term=PLEKHJ1","NCBI")</f>
        <v>NCBI</v>
      </c>
      <c r="F510">
        <v>4.4999999999999999E-4</v>
      </c>
      <c r="G510">
        <v>1.4999999999999999E-2</v>
      </c>
      <c r="H510" s="1" t="str">
        <f>HYPERLINK("http://www.weizmann.ac.il/complex/compphys/software/geview/data/figures/218290_at.png","Figure")</f>
        <v>Figure</v>
      </c>
      <c r="I510">
        <v>1.47</v>
      </c>
      <c r="J510">
        <v>7.6000000000000004E-4</v>
      </c>
      <c r="K510">
        <v>1.36</v>
      </c>
      <c r="L510">
        <v>1.6000000000000001E-3</v>
      </c>
      <c r="M510">
        <v>0.92500000000000004</v>
      </c>
      <c r="N510">
        <v>0.55000000000000004</v>
      </c>
    </row>
    <row r="511" spans="1:14" x14ac:dyDescent="0.25">
      <c r="A511" t="s">
        <v>958</v>
      </c>
      <c r="B511" t="s">
        <v>959</v>
      </c>
      <c r="C511" s="1" t="str">
        <f>HYPERLINK("http://www.genecards.org/cgi-bin/carddisp.pl?gene=CORO2B","GeneCards")</f>
        <v>GeneCards</v>
      </c>
      <c r="D511" s="1" t="str">
        <f>HYPERLINK("http://genome-euro.ucsc.edu/cgi-bin/hgTracks?position=209789_at","UCSC")</f>
        <v>UCSC</v>
      </c>
      <c r="E511" s="1" t="str">
        <f>HYPERLINK("http://www.ncbi.nlm.nih.gov/gene/?term=CORO2B","NCBI")</f>
        <v>NCBI</v>
      </c>
      <c r="F511">
        <v>4.4999999999999999E-4</v>
      </c>
      <c r="G511">
        <v>1.4999999999999999E-2</v>
      </c>
      <c r="H511" s="1" t="str">
        <f>HYPERLINK("http://www.weizmann.ac.il/complex/compphys/software/geview/data/figures/209789_at.png","Figure")</f>
        <v>Figure</v>
      </c>
      <c r="I511">
        <v>1.71</v>
      </c>
      <c r="J511">
        <v>1.2E-2</v>
      </c>
      <c r="K511">
        <v>2.08</v>
      </c>
      <c r="L511">
        <v>3.5E-4</v>
      </c>
      <c r="M511">
        <v>1.22</v>
      </c>
      <c r="N511">
        <v>0.39</v>
      </c>
    </row>
    <row r="512" spans="1:14" x14ac:dyDescent="0.25">
      <c r="A512" t="s">
        <v>960</v>
      </c>
      <c r="B512" t="s">
        <v>961</v>
      </c>
      <c r="C512" s="1" t="str">
        <f>HYPERLINK("http://www.genecards.org/cgi-bin/carddisp.pl?gene=MYL12B","GeneCards")</f>
        <v>GeneCards</v>
      </c>
      <c r="D512" s="1" t="str">
        <f>HYPERLINK("http://genome-euro.ucsc.edu/cgi-bin/hgTracks?position=221474_at","UCSC")</f>
        <v>UCSC</v>
      </c>
      <c r="E512" s="1" t="str">
        <f>HYPERLINK("http://www.ncbi.nlm.nih.gov/gene/?term=MYL12B","NCBI")</f>
        <v>NCBI</v>
      </c>
      <c r="F512">
        <v>4.4999999999999999E-4</v>
      </c>
      <c r="G512">
        <v>1.4999999999999999E-2</v>
      </c>
      <c r="H512" s="1" t="str">
        <f>HYPERLINK("http://www.weizmann.ac.il/complex/compphys/software/geview/data/figures/221474_at.png","Figure")</f>
        <v>Figure</v>
      </c>
      <c r="I512">
        <v>1</v>
      </c>
      <c r="J512">
        <v>1</v>
      </c>
      <c r="K512">
        <v>1.98</v>
      </c>
      <c r="L512">
        <v>1.1999999999999999E-3</v>
      </c>
      <c r="M512">
        <v>1.98</v>
      </c>
      <c r="N512">
        <v>2.0999999999999999E-3</v>
      </c>
    </row>
    <row r="513" spans="1:14" x14ac:dyDescent="0.25">
      <c r="A513" t="s">
        <v>962</v>
      </c>
      <c r="B513" t="s">
        <v>963</v>
      </c>
      <c r="C513" s="1" t="str">
        <f>HYPERLINK("http://www.genecards.org/cgi-bin/carddisp.pl?gene=S100A4","GeneCards")</f>
        <v>GeneCards</v>
      </c>
      <c r="D513" s="1" t="str">
        <f>HYPERLINK("http://genome-euro.ucsc.edu/cgi-bin/hgTracks?position=203186_s_at","UCSC")</f>
        <v>UCSC</v>
      </c>
      <c r="E513" s="1" t="str">
        <f>HYPERLINK("http://www.ncbi.nlm.nih.gov/gene/?term=S100A4","NCBI")</f>
        <v>NCBI</v>
      </c>
      <c r="F513">
        <v>4.6000000000000001E-4</v>
      </c>
      <c r="G513">
        <v>1.4999999999999999E-2</v>
      </c>
      <c r="H513" s="1" t="str">
        <f>HYPERLINK("http://www.weizmann.ac.il/complex/compphys/software/geview/data/figures/203186_s_at.png","Figure")</f>
        <v>Figure</v>
      </c>
      <c r="I513">
        <v>0.80800000000000005</v>
      </c>
      <c r="J513">
        <v>0.49</v>
      </c>
      <c r="K513">
        <v>1.87</v>
      </c>
      <c r="L513">
        <v>4.3E-3</v>
      </c>
      <c r="M513">
        <v>2.3199999999999998</v>
      </c>
      <c r="N513">
        <v>7.1000000000000002E-4</v>
      </c>
    </row>
    <row r="514" spans="1:14" x14ac:dyDescent="0.25">
      <c r="A514" t="s">
        <v>964</v>
      </c>
      <c r="B514" t="s">
        <v>965</v>
      </c>
      <c r="C514" s="1" t="str">
        <f>HYPERLINK("http://www.genecards.org/cgi-bin/carddisp.pl?gene=EBAG9","GeneCards")</f>
        <v>GeneCards</v>
      </c>
      <c r="D514" s="1" t="str">
        <f>HYPERLINK("http://genome-euro.ucsc.edu/cgi-bin/hgTracks?position=204274_at","UCSC")</f>
        <v>UCSC</v>
      </c>
      <c r="E514" s="1" t="str">
        <f>HYPERLINK("http://www.ncbi.nlm.nih.gov/gene/?term=EBAG9","NCBI")</f>
        <v>NCBI</v>
      </c>
      <c r="F514">
        <v>4.6000000000000001E-4</v>
      </c>
      <c r="G514">
        <v>1.4999999999999999E-2</v>
      </c>
      <c r="H514" s="1" t="str">
        <f>HYPERLINK("http://www.weizmann.ac.il/complex/compphys/software/geview/data/figures/204274_at.png","Figure")</f>
        <v>Figure</v>
      </c>
      <c r="I514">
        <v>0.42199999999999999</v>
      </c>
      <c r="J514">
        <v>8.0000000000000004E-4</v>
      </c>
      <c r="K514">
        <v>0.92800000000000005</v>
      </c>
      <c r="L514">
        <v>0.88</v>
      </c>
      <c r="M514">
        <v>2.2000000000000002</v>
      </c>
      <c r="N514">
        <v>9.6000000000000002E-4</v>
      </c>
    </row>
    <row r="515" spans="1:14" x14ac:dyDescent="0.25">
      <c r="A515" t="s">
        <v>966</v>
      </c>
      <c r="B515" t="s">
        <v>967</v>
      </c>
      <c r="C515" s="1" t="str">
        <f>HYPERLINK("http://www.genecards.org/cgi-bin/carddisp.pl?gene=AHSA1","GeneCards")</f>
        <v>GeneCards</v>
      </c>
      <c r="D515" s="1" t="str">
        <f>HYPERLINK("http://genome-euro.ucsc.edu/cgi-bin/hgTracks?position=201491_at","UCSC")</f>
        <v>UCSC</v>
      </c>
      <c r="E515" s="1" t="str">
        <f>HYPERLINK("http://www.ncbi.nlm.nih.gov/gene/?term=AHSA1","NCBI")</f>
        <v>NCBI</v>
      </c>
      <c r="F515">
        <v>4.6000000000000001E-4</v>
      </c>
      <c r="G515">
        <v>1.4999999999999999E-2</v>
      </c>
      <c r="H515" s="1" t="str">
        <f>HYPERLINK("http://www.weizmann.ac.il/complex/compphys/software/geview/data/figures/201491_at.png","Figure")</f>
        <v>Figure</v>
      </c>
      <c r="I515">
        <v>0.78100000000000003</v>
      </c>
      <c r="J515">
        <v>0.36</v>
      </c>
      <c r="K515">
        <v>1.79</v>
      </c>
      <c r="L515">
        <v>6.0000000000000001E-3</v>
      </c>
      <c r="M515">
        <v>2.29</v>
      </c>
      <c r="N515">
        <v>6.0999999999999997E-4</v>
      </c>
    </row>
    <row r="516" spans="1:14" x14ac:dyDescent="0.25">
      <c r="A516" t="s">
        <v>968</v>
      </c>
      <c r="B516" t="s">
        <v>969</v>
      </c>
      <c r="C516" s="1" t="str">
        <f>HYPERLINK("http://www.genecards.org/cgi-bin/carddisp.pl?gene=CKAP5","GeneCards")</f>
        <v>GeneCards</v>
      </c>
      <c r="D516" s="1" t="str">
        <f>HYPERLINK("http://genome-euro.ucsc.edu/cgi-bin/hgTracks?position=212832_s_at","UCSC")</f>
        <v>UCSC</v>
      </c>
      <c r="E516" s="1" t="str">
        <f>HYPERLINK("http://www.ncbi.nlm.nih.gov/gene/?term=CKAP5","NCBI")</f>
        <v>NCBI</v>
      </c>
      <c r="F516">
        <v>4.6000000000000001E-4</v>
      </c>
      <c r="G516">
        <v>1.4999999999999999E-2</v>
      </c>
      <c r="H516" s="1" t="str">
        <f>HYPERLINK("http://www.weizmann.ac.il/complex/compphys/software/geview/data/figures/212832_s_at.png","Figure")</f>
        <v>Figure</v>
      </c>
      <c r="I516">
        <v>1.72</v>
      </c>
      <c r="J516">
        <v>5.7000000000000002E-3</v>
      </c>
      <c r="K516">
        <v>1.92</v>
      </c>
      <c r="L516">
        <v>4.2999999999999999E-4</v>
      </c>
      <c r="M516">
        <v>1.1200000000000001</v>
      </c>
      <c r="N516">
        <v>0.69</v>
      </c>
    </row>
    <row r="517" spans="1:14" x14ac:dyDescent="0.25">
      <c r="A517" t="s">
        <v>970</v>
      </c>
      <c r="B517" t="s">
        <v>940</v>
      </c>
      <c r="C517" s="1" t="str">
        <f>HYPERLINK("http://www.genecards.org/cgi-bin/carddisp.pl?gene=ERG","GeneCards")</f>
        <v>GeneCards</v>
      </c>
      <c r="D517" s="1" t="str">
        <f>HYPERLINK("http://genome-euro.ucsc.edu/cgi-bin/hgTracks?position=222079_at","UCSC")</f>
        <v>UCSC</v>
      </c>
      <c r="E517" s="1" t="str">
        <f>HYPERLINK("http://www.ncbi.nlm.nih.gov/gene/?term=ERG","NCBI")</f>
        <v>NCBI</v>
      </c>
      <c r="F517">
        <v>4.6999999999999999E-4</v>
      </c>
      <c r="G517">
        <v>1.4999999999999999E-2</v>
      </c>
      <c r="H517" s="1" t="str">
        <f>HYPERLINK("http://www.weizmann.ac.il/complex/compphys/software/geview/data/figures/222079_at.png","Figure")</f>
        <v>Figure</v>
      </c>
      <c r="I517">
        <v>0.41299999999999998</v>
      </c>
      <c r="J517">
        <v>8.1999999999999998E-4</v>
      </c>
      <c r="K517">
        <v>0.92900000000000005</v>
      </c>
      <c r="L517">
        <v>0.89</v>
      </c>
      <c r="M517">
        <v>2.25</v>
      </c>
      <c r="N517">
        <v>9.6000000000000002E-4</v>
      </c>
    </row>
    <row r="518" spans="1:14" x14ac:dyDescent="0.25">
      <c r="A518" t="s">
        <v>971</v>
      </c>
      <c r="B518" t="s">
        <v>70</v>
      </c>
      <c r="C518" s="1" t="str">
        <f>HYPERLINK("http://www.genecards.org/cgi-bin/carddisp.pl?gene=ACTN1","GeneCards")</f>
        <v>GeneCards</v>
      </c>
      <c r="D518" s="1" t="str">
        <f>HYPERLINK("http://genome-euro.ucsc.edu/cgi-bin/hgTracks?position=211160_x_at","UCSC")</f>
        <v>UCSC</v>
      </c>
      <c r="E518" s="1" t="str">
        <f>HYPERLINK("http://www.ncbi.nlm.nih.gov/gene/?term=ACTN1","NCBI")</f>
        <v>NCBI</v>
      </c>
      <c r="F518">
        <v>4.6999999999999999E-4</v>
      </c>
      <c r="G518">
        <v>1.4999999999999999E-2</v>
      </c>
      <c r="H518" s="1" t="str">
        <f>HYPERLINK("http://www.weizmann.ac.il/complex/compphys/software/geview/data/figures/211160_x_at.png","Figure")</f>
        <v>Figure</v>
      </c>
      <c r="I518">
        <v>0.56299999999999994</v>
      </c>
      <c r="J518">
        <v>2.3E-3</v>
      </c>
      <c r="K518">
        <v>1.07</v>
      </c>
      <c r="L518">
        <v>0.81</v>
      </c>
      <c r="M518">
        <v>1.91</v>
      </c>
      <c r="N518">
        <v>4.6999999999999999E-4</v>
      </c>
    </row>
    <row r="519" spans="1:14" x14ac:dyDescent="0.25">
      <c r="A519" t="s">
        <v>972</v>
      </c>
      <c r="B519" t="s">
        <v>973</v>
      </c>
      <c r="C519" s="1" t="str">
        <f>HYPERLINK("http://www.genecards.org/cgi-bin/carddisp.pl?gene=PSMD14","GeneCards")</f>
        <v>GeneCards</v>
      </c>
      <c r="D519" s="1" t="str">
        <f>HYPERLINK("http://genome-euro.ucsc.edu/cgi-bin/hgTracks?position=212296_at","UCSC")</f>
        <v>UCSC</v>
      </c>
      <c r="E519" s="1" t="str">
        <f>HYPERLINK("http://www.ncbi.nlm.nih.gov/gene/?term=PSMD14","NCBI")</f>
        <v>NCBI</v>
      </c>
      <c r="F519">
        <v>4.6999999999999999E-4</v>
      </c>
      <c r="G519">
        <v>1.4999999999999999E-2</v>
      </c>
      <c r="H519" s="1" t="str">
        <f>HYPERLINK("http://www.weizmann.ac.il/complex/compphys/software/geview/data/figures/212296_at.png","Figure")</f>
        <v>Figure</v>
      </c>
      <c r="I519">
        <v>1</v>
      </c>
      <c r="J519">
        <v>1</v>
      </c>
      <c r="K519">
        <v>2.5499999999999998</v>
      </c>
      <c r="L519">
        <v>1.1999999999999999E-3</v>
      </c>
      <c r="M519">
        <v>2.54</v>
      </c>
      <c r="N519">
        <v>2.0999999999999999E-3</v>
      </c>
    </row>
    <row r="520" spans="1:14" x14ac:dyDescent="0.25">
      <c r="A520" t="s">
        <v>974</v>
      </c>
      <c r="B520" t="s">
        <v>975</v>
      </c>
      <c r="C520" s="1" t="str">
        <f>HYPERLINK("http://www.genecards.org/cgi-bin/carddisp.pl?gene=SLC25A38","GeneCards")</f>
        <v>GeneCards</v>
      </c>
      <c r="D520" s="1" t="str">
        <f>HYPERLINK("http://genome-euro.ucsc.edu/cgi-bin/hgTracks?position=217961_at","UCSC")</f>
        <v>UCSC</v>
      </c>
      <c r="E520" s="1" t="str">
        <f>HYPERLINK("http://www.ncbi.nlm.nih.gov/gene/?term=SLC25A38","NCBI")</f>
        <v>NCBI</v>
      </c>
      <c r="F520">
        <v>4.6999999999999999E-4</v>
      </c>
      <c r="G520">
        <v>1.4999999999999999E-2</v>
      </c>
      <c r="H520" s="1" t="str">
        <f>HYPERLINK("http://www.weizmann.ac.il/complex/compphys/software/geview/data/figures/217961_at.png","Figure")</f>
        <v>Figure</v>
      </c>
      <c r="I520">
        <v>1.18</v>
      </c>
      <c r="J520">
        <v>0.22</v>
      </c>
      <c r="K520">
        <v>0.745</v>
      </c>
      <c r="L520">
        <v>0.01</v>
      </c>
      <c r="M520">
        <v>0.63</v>
      </c>
      <c r="N520">
        <v>5.1000000000000004E-4</v>
      </c>
    </row>
    <row r="521" spans="1:14" x14ac:dyDescent="0.25">
      <c r="A521" t="s">
        <v>976</v>
      </c>
      <c r="B521" t="s">
        <v>581</v>
      </c>
      <c r="C521" s="1" t="str">
        <f>HYPERLINK("http://www.genecards.org/cgi-bin/carddisp.pl?gene=CD52","GeneCards")</f>
        <v>GeneCards</v>
      </c>
      <c r="D521" s="1" t="str">
        <f>HYPERLINK("http://genome-euro.ucsc.edu/cgi-bin/hgTracks?position=34210_at","UCSC")</f>
        <v>UCSC</v>
      </c>
      <c r="E521" s="1" t="str">
        <f>HYPERLINK("http://www.ncbi.nlm.nih.gov/gene/?term=CD52","NCBI")</f>
        <v>NCBI</v>
      </c>
      <c r="F521">
        <v>4.6999999999999999E-4</v>
      </c>
      <c r="G521">
        <v>1.4999999999999999E-2</v>
      </c>
      <c r="H521" s="1" t="str">
        <f>HYPERLINK("http://www.weizmann.ac.il/complex/compphys/software/geview/data/figures/34210_at.png","Figure")</f>
        <v>Figure</v>
      </c>
      <c r="I521">
        <v>0.38300000000000001</v>
      </c>
      <c r="J521">
        <v>3.0000000000000001E-3</v>
      </c>
      <c r="K521">
        <v>0.35899999999999999</v>
      </c>
      <c r="L521">
        <v>5.6999999999999998E-4</v>
      </c>
      <c r="M521">
        <v>0.93700000000000006</v>
      </c>
      <c r="N521">
        <v>0.95</v>
      </c>
    </row>
    <row r="522" spans="1:14" x14ac:dyDescent="0.25">
      <c r="A522" t="s">
        <v>977</v>
      </c>
      <c r="B522" t="s">
        <v>978</v>
      </c>
      <c r="C522" s="1" t="str">
        <f>HYPERLINK("http://www.genecards.org/cgi-bin/carddisp.pl?gene=TIMM13","GeneCards")</f>
        <v>GeneCards</v>
      </c>
      <c r="D522" s="1" t="str">
        <f>HYPERLINK("http://genome-euro.ucsc.edu/cgi-bin/hgTracks?position=218188_s_at","UCSC")</f>
        <v>UCSC</v>
      </c>
      <c r="E522" s="1" t="str">
        <f>HYPERLINK("http://www.ncbi.nlm.nih.gov/gene/?term=TIMM13","NCBI")</f>
        <v>NCBI</v>
      </c>
      <c r="F522">
        <v>4.6999999999999999E-4</v>
      </c>
      <c r="G522">
        <v>1.4999999999999999E-2</v>
      </c>
      <c r="H522" s="1" t="str">
        <f>HYPERLINK("http://www.weizmann.ac.il/complex/compphys/software/geview/data/figures/218188_s_at.png","Figure")</f>
        <v>Figure</v>
      </c>
      <c r="I522">
        <v>0.67700000000000005</v>
      </c>
      <c r="J522">
        <v>7.8E-2</v>
      </c>
      <c r="K522">
        <v>1.52</v>
      </c>
      <c r="L522">
        <v>2.8000000000000001E-2</v>
      </c>
      <c r="M522">
        <v>2.25</v>
      </c>
      <c r="N522">
        <v>3.8000000000000002E-4</v>
      </c>
    </row>
    <row r="523" spans="1:14" x14ac:dyDescent="0.25">
      <c r="A523" t="s">
        <v>979</v>
      </c>
      <c r="B523" t="s">
        <v>980</v>
      </c>
      <c r="C523" s="1" t="str">
        <f>HYPERLINK("http://www.genecards.org/cgi-bin/carddisp.pl?gene=KIAA0922","GeneCards")</f>
        <v>GeneCards</v>
      </c>
      <c r="D523" s="1" t="str">
        <f>HYPERLINK("http://genome-euro.ucsc.edu/cgi-bin/hgTracks?position=209760_at","UCSC")</f>
        <v>UCSC</v>
      </c>
      <c r="E523" s="1" t="str">
        <f>HYPERLINK("http://www.ncbi.nlm.nih.gov/gene/?term=KIAA0922","NCBI")</f>
        <v>NCBI</v>
      </c>
      <c r="F523">
        <v>4.8000000000000001E-4</v>
      </c>
      <c r="G523">
        <v>1.4999999999999999E-2</v>
      </c>
      <c r="H523" s="1" t="str">
        <f>HYPERLINK("http://www.weizmann.ac.il/complex/compphys/software/geview/data/figures/209760_at.png","Figure")</f>
        <v>Figure</v>
      </c>
      <c r="I523">
        <v>6.1</v>
      </c>
      <c r="J523">
        <v>1.4E-3</v>
      </c>
      <c r="K523">
        <v>5.21</v>
      </c>
      <c r="L523">
        <v>9.5E-4</v>
      </c>
      <c r="M523">
        <v>0.85399999999999998</v>
      </c>
      <c r="N523">
        <v>0.9</v>
      </c>
    </row>
    <row r="524" spans="1:14" x14ac:dyDescent="0.25">
      <c r="A524" t="s">
        <v>981</v>
      </c>
      <c r="B524" t="s">
        <v>982</v>
      </c>
      <c r="C524" s="1" t="str">
        <f>HYPERLINK("http://www.genecards.org/cgi-bin/carddisp.pl?gene=TOE1","GeneCards")</f>
        <v>GeneCards</v>
      </c>
      <c r="D524" s="1" t="str">
        <f>HYPERLINK("http://genome-euro.ucsc.edu/cgi-bin/hgTracks?position=204080_at","UCSC")</f>
        <v>UCSC</v>
      </c>
      <c r="E524" s="1" t="str">
        <f>HYPERLINK("http://www.ncbi.nlm.nih.gov/gene/?term=TOE1","NCBI")</f>
        <v>NCBI</v>
      </c>
      <c r="F524">
        <v>4.8000000000000001E-4</v>
      </c>
      <c r="G524">
        <v>1.4999999999999999E-2</v>
      </c>
      <c r="H524" s="1" t="str">
        <f>HYPERLINK("http://www.weizmann.ac.il/complex/compphys/software/geview/data/figures/204080_at.png","Figure")</f>
        <v>Figure</v>
      </c>
      <c r="I524">
        <v>1.48</v>
      </c>
      <c r="J524">
        <v>1.1000000000000001E-3</v>
      </c>
      <c r="K524">
        <v>1.01</v>
      </c>
      <c r="L524">
        <v>0.99</v>
      </c>
      <c r="M524">
        <v>0.68100000000000005</v>
      </c>
      <c r="N524">
        <v>7.6000000000000004E-4</v>
      </c>
    </row>
    <row r="525" spans="1:14" x14ac:dyDescent="0.25">
      <c r="A525" t="s">
        <v>983</v>
      </c>
      <c r="B525" t="s">
        <v>984</v>
      </c>
      <c r="C525" s="1" t="str">
        <f>HYPERLINK("http://www.genecards.org/cgi-bin/carddisp.pl?gene=SPSB3","GeneCards")</f>
        <v>GeneCards</v>
      </c>
      <c r="D525" s="1" t="str">
        <f>HYPERLINK("http://genome-euro.ucsc.edu/cgi-bin/hgTracks?position=46256_at","UCSC")</f>
        <v>UCSC</v>
      </c>
      <c r="E525" s="1" t="str">
        <f>HYPERLINK("http://www.ncbi.nlm.nih.gov/gene/?term=SPSB3","NCBI")</f>
        <v>NCBI</v>
      </c>
      <c r="F525">
        <v>4.8000000000000001E-4</v>
      </c>
      <c r="G525">
        <v>1.6E-2</v>
      </c>
      <c r="H525" s="1" t="str">
        <f>HYPERLINK("http://www.weizmann.ac.il/complex/compphys/software/geview/data/figures/46256_at.png","Figure")</f>
        <v>Figure</v>
      </c>
      <c r="I525">
        <v>1.69</v>
      </c>
      <c r="J525">
        <v>6.8000000000000005E-4</v>
      </c>
      <c r="K525">
        <v>1.07</v>
      </c>
      <c r="L525">
        <v>0.73</v>
      </c>
      <c r="M525">
        <v>0.63600000000000001</v>
      </c>
      <c r="N525">
        <v>1.2999999999999999E-3</v>
      </c>
    </row>
    <row r="526" spans="1:14" x14ac:dyDescent="0.25">
      <c r="A526" t="s">
        <v>985</v>
      </c>
      <c r="B526" t="s">
        <v>660</v>
      </c>
      <c r="C526" s="1" t="str">
        <f>HYPERLINK("http://www.genecards.org/cgi-bin/carddisp.pl?gene=ZNF783","GeneCards")</f>
        <v>GeneCards</v>
      </c>
      <c r="D526" s="1" t="str">
        <f>HYPERLINK("http://genome-euro.ucsc.edu/cgi-bin/hgTracks?position=78495_at","UCSC")</f>
        <v>UCSC</v>
      </c>
      <c r="E526" s="1" t="str">
        <f>HYPERLINK("http://www.ncbi.nlm.nih.gov/gene/?term=ZNF783","NCBI")</f>
        <v>NCBI</v>
      </c>
      <c r="F526">
        <v>4.8000000000000001E-4</v>
      </c>
      <c r="G526">
        <v>1.6E-2</v>
      </c>
      <c r="H526" s="1" t="str">
        <f>HYPERLINK("http://www.weizmann.ac.il/complex/compphys/software/geview/data/figures/78495_at.png","Figure")</f>
        <v>Figure</v>
      </c>
      <c r="I526">
        <v>1.39</v>
      </c>
      <c r="J526">
        <v>5.5000000000000003E-4</v>
      </c>
      <c r="K526">
        <v>1.06</v>
      </c>
      <c r="L526">
        <v>0.54</v>
      </c>
      <c r="M526">
        <v>0.76700000000000002</v>
      </c>
      <c r="N526">
        <v>1.8E-3</v>
      </c>
    </row>
    <row r="527" spans="1:14" x14ac:dyDescent="0.25">
      <c r="A527" t="s">
        <v>986</v>
      </c>
      <c r="B527" t="s">
        <v>987</v>
      </c>
      <c r="C527" s="1" t="str">
        <f>HYPERLINK("http://www.genecards.org/cgi-bin/carddisp.pl?gene=POLA1","GeneCards")</f>
        <v>GeneCards</v>
      </c>
      <c r="D527" s="1" t="str">
        <f>HYPERLINK("http://genome-euro.ucsc.edu/cgi-bin/hgTracks?position=204835_at","UCSC")</f>
        <v>UCSC</v>
      </c>
      <c r="E527" s="1" t="str">
        <f>HYPERLINK("http://www.ncbi.nlm.nih.gov/gene/?term=POLA1","NCBI")</f>
        <v>NCBI</v>
      </c>
      <c r="F527">
        <v>5.0000000000000001E-4</v>
      </c>
      <c r="G527">
        <v>1.6E-2</v>
      </c>
      <c r="H527" s="1" t="str">
        <f>HYPERLINK("http://www.weizmann.ac.il/complex/compphys/software/geview/data/figures/204835_at.png","Figure")</f>
        <v>Figure</v>
      </c>
      <c r="I527">
        <v>0.65100000000000002</v>
      </c>
      <c r="J527">
        <v>0.13</v>
      </c>
      <c r="K527">
        <v>1.76</v>
      </c>
      <c r="L527">
        <v>1.7999999999999999E-2</v>
      </c>
      <c r="M527">
        <v>2.7</v>
      </c>
      <c r="N527">
        <v>4.4000000000000002E-4</v>
      </c>
    </row>
    <row r="528" spans="1:14" x14ac:dyDescent="0.25">
      <c r="A528" t="s">
        <v>988</v>
      </c>
      <c r="B528" t="s">
        <v>989</v>
      </c>
      <c r="C528" s="1" t="str">
        <f>HYPERLINK("http://www.genecards.org/cgi-bin/carddisp.pl?gene=ACO1","GeneCards")</f>
        <v>GeneCards</v>
      </c>
      <c r="D528" s="1" t="str">
        <f>HYPERLINK("http://genome-euro.ucsc.edu/cgi-bin/hgTracks?position=207071_s_at","UCSC")</f>
        <v>UCSC</v>
      </c>
      <c r="E528" s="1" t="str">
        <f>HYPERLINK("http://www.ncbi.nlm.nih.gov/gene/?term=ACO1","NCBI")</f>
        <v>NCBI</v>
      </c>
      <c r="F528">
        <v>5.0000000000000001E-4</v>
      </c>
      <c r="G528">
        <v>1.6E-2</v>
      </c>
      <c r="H528" s="1" t="str">
        <f>HYPERLINK("http://www.weizmann.ac.il/complex/compphys/software/geview/data/figures/207071_s_at.png","Figure")</f>
        <v>Figure</v>
      </c>
      <c r="I528">
        <v>0.69599999999999995</v>
      </c>
      <c r="J528">
        <v>4.4999999999999999E-4</v>
      </c>
      <c r="K528">
        <v>0.90900000000000003</v>
      </c>
      <c r="L528">
        <v>0.28999999999999998</v>
      </c>
      <c r="M528">
        <v>1.31</v>
      </c>
      <c r="N528">
        <v>3.2000000000000002E-3</v>
      </c>
    </row>
    <row r="529" spans="1:14" x14ac:dyDescent="0.25">
      <c r="A529" t="s">
        <v>990</v>
      </c>
      <c r="B529" t="s">
        <v>991</v>
      </c>
      <c r="C529" s="1" t="str">
        <f>HYPERLINK("http://www.genecards.org/cgi-bin/carddisp.pl?gene=SIRT5","GeneCards")</f>
        <v>GeneCards</v>
      </c>
      <c r="D529" s="1" t="str">
        <f>HYPERLINK("http://genome-euro.ucsc.edu/cgi-bin/hgTracks?position=219185_at","UCSC")</f>
        <v>UCSC</v>
      </c>
      <c r="E529" s="1" t="str">
        <f>HYPERLINK("http://www.ncbi.nlm.nih.gov/gene/?term=SIRT5","NCBI")</f>
        <v>NCBI</v>
      </c>
      <c r="F529">
        <v>5.0000000000000001E-4</v>
      </c>
      <c r="G529">
        <v>1.6E-2</v>
      </c>
      <c r="H529" s="1" t="str">
        <f>HYPERLINK("http://www.weizmann.ac.il/complex/compphys/software/geview/data/figures/219185_at.png","Figure")</f>
        <v>Figure</v>
      </c>
      <c r="I529">
        <v>0.80400000000000005</v>
      </c>
      <c r="J529">
        <v>4.3999999999999997E-2</v>
      </c>
      <c r="K529">
        <v>1.2</v>
      </c>
      <c r="L529">
        <v>5.2999999999999999E-2</v>
      </c>
      <c r="M529">
        <v>1.49</v>
      </c>
      <c r="N529">
        <v>3.6000000000000002E-4</v>
      </c>
    </row>
    <row r="530" spans="1:14" x14ac:dyDescent="0.25">
      <c r="A530" t="s">
        <v>992</v>
      </c>
      <c r="B530" t="s">
        <v>993</v>
      </c>
      <c r="C530" s="1" t="str">
        <f>HYPERLINK("http://www.genecards.org/cgi-bin/carddisp.pl?gene=RPS6KA1","GeneCards")</f>
        <v>GeneCards</v>
      </c>
      <c r="D530" s="1" t="str">
        <f>HYPERLINK("http://genome-euro.ucsc.edu/cgi-bin/hgTracks?position=203379_at","UCSC")</f>
        <v>UCSC</v>
      </c>
      <c r="E530" s="1" t="str">
        <f>HYPERLINK("http://www.ncbi.nlm.nih.gov/gene/?term=RPS6KA1","NCBI")</f>
        <v>NCBI</v>
      </c>
      <c r="F530">
        <v>5.0000000000000001E-4</v>
      </c>
      <c r="G530">
        <v>1.6E-2</v>
      </c>
      <c r="H530" s="1" t="str">
        <f>HYPERLINK("http://www.weizmann.ac.il/complex/compphys/software/geview/data/figures/203379_at.png","Figure")</f>
        <v>Figure</v>
      </c>
      <c r="I530">
        <v>0.84599999999999997</v>
      </c>
      <c r="J530">
        <v>0.47</v>
      </c>
      <c r="K530">
        <v>1.6</v>
      </c>
      <c r="L530">
        <v>4.8999999999999998E-3</v>
      </c>
      <c r="M530">
        <v>1.9</v>
      </c>
      <c r="N530">
        <v>7.6000000000000004E-4</v>
      </c>
    </row>
    <row r="531" spans="1:14" x14ac:dyDescent="0.25">
      <c r="A531" t="s">
        <v>994</v>
      </c>
      <c r="B531" t="s">
        <v>995</v>
      </c>
      <c r="C531" s="1" t="str">
        <f>HYPERLINK("http://www.genecards.org/cgi-bin/carddisp.pl?gene=ARAP2","GeneCards")</f>
        <v>GeneCards</v>
      </c>
      <c r="D531" s="1" t="str">
        <f>HYPERLINK("http://genome-euro.ucsc.edu/cgi-bin/hgTracks?position=213618_at","UCSC")</f>
        <v>UCSC</v>
      </c>
      <c r="E531" s="1" t="str">
        <f>HYPERLINK("http://www.ncbi.nlm.nih.gov/gene/?term=ARAP2","NCBI")</f>
        <v>NCBI</v>
      </c>
      <c r="F531">
        <v>5.0000000000000001E-4</v>
      </c>
      <c r="G531">
        <v>1.6E-2</v>
      </c>
      <c r="H531" s="1" t="str">
        <f>HYPERLINK("http://www.weizmann.ac.il/complex/compphys/software/geview/data/figures/213618_at.png","Figure")</f>
        <v>Figure</v>
      </c>
      <c r="I531">
        <v>0.379</v>
      </c>
      <c r="J531">
        <v>6.8999999999999997E-4</v>
      </c>
      <c r="K531">
        <v>0.48399999999999999</v>
      </c>
      <c r="L531">
        <v>2.5000000000000001E-3</v>
      </c>
      <c r="M531">
        <v>1.28</v>
      </c>
      <c r="N531">
        <v>0.4</v>
      </c>
    </row>
    <row r="532" spans="1:14" x14ac:dyDescent="0.25">
      <c r="A532" t="s">
        <v>996</v>
      </c>
      <c r="B532" t="s">
        <v>997</v>
      </c>
      <c r="C532" s="1" t="str">
        <f>HYPERLINK("http://www.genecards.org/cgi-bin/carddisp.pl?gene=IQSEC1","GeneCards")</f>
        <v>GeneCards</v>
      </c>
      <c r="D532" s="1" t="str">
        <f>HYPERLINK("http://genome-euro.ucsc.edu/cgi-bin/hgTracks?position=203906_at","UCSC")</f>
        <v>UCSC</v>
      </c>
      <c r="E532" s="1" t="str">
        <f>HYPERLINK("http://www.ncbi.nlm.nih.gov/gene/?term=IQSEC1","NCBI")</f>
        <v>NCBI</v>
      </c>
      <c r="F532">
        <v>5.1000000000000004E-4</v>
      </c>
      <c r="G532">
        <v>1.6E-2</v>
      </c>
      <c r="H532" s="1" t="str">
        <f>HYPERLINK("http://www.weizmann.ac.il/complex/compphys/software/geview/data/figures/203906_at.png","Figure")</f>
        <v>Figure</v>
      </c>
      <c r="I532">
        <v>2.08</v>
      </c>
      <c r="J532">
        <v>1.6E-2</v>
      </c>
      <c r="K532">
        <v>2.82</v>
      </c>
      <c r="L532">
        <v>3.8000000000000002E-4</v>
      </c>
      <c r="M532">
        <v>1.36</v>
      </c>
      <c r="N532">
        <v>0.34</v>
      </c>
    </row>
    <row r="533" spans="1:14" x14ac:dyDescent="0.25">
      <c r="A533" t="s">
        <v>998</v>
      </c>
      <c r="B533" t="s">
        <v>999</v>
      </c>
      <c r="C533" s="1" t="str">
        <f>HYPERLINK("http://www.genecards.org/cgi-bin/carddisp.pl?gene=SHPK","GeneCards")</f>
        <v>GeneCards</v>
      </c>
      <c r="D533" s="1" t="str">
        <f>HYPERLINK("http://genome-euro.ucsc.edu/cgi-bin/hgTracks?position=219713_at","UCSC")</f>
        <v>UCSC</v>
      </c>
      <c r="E533" s="1" t="str">
        <f>HYPERLINK("http://www.ncbi.nlm.nih.gov/gene/?term=SHPK","NCBI")</f>
        <v>NCBI</v>
      </c>
      <c r="F533">
        <v>5.1000000000000004E-4</v>
      </c>
      <c r="G533">
        <v>1.6E-2</v>
      </c>
      <c r="H533" s="1" t="str">
        <f>HYPERLINK("http://www.weizmann.ac.il/complex/compphys/software/geview/data/figures/219713_at.png","Figure")</f>
        <v>Figure</v>
      </c>
      <c r="I533">
        <v>1.23</v>
      </c>
      <c r="J533">
        <v>1.4E-2</v>
      </c>
      <c r="K533">
        <v>0.90200000000000002</v>
      </c>
      <c r="L533">
        <v>0.17</v>
      </c>
      <c r="M533">
        <v>0.73599999999999999</v>
      </c>
      <c r="N533">
        <v>3.6000000000000002E-4</v>
      </c>
    </row>
    <row r="534" spans="1:14" x14ac:dyDescent="0.25">
      <c r="A534" t="s">
        <v>1000</v>
      </c>
      <c r="B534" t="s">
        <v>1001</v>
      </c>
      <c r="C534" s="1" t="str">
        <f>HYPERLINK("http://www.genecards.org/cgi-bin/carddisp.pl?gene=HEG1","GeneCards")</f>
        <v>GeneCards</v>
      </c>
      <c r="D534" s="1" t="str">
        <f>HYPERLINK("http://genome-euro.ucsc.edu/cgi-bin/hgTracks?position=212822_at","UCSC")</f>
        <v>UCSC</v>
      </c>
      <c r="E534" s="1" t="str">
        <f>HYPERLINK("http://www.ncbi.nlm.nih.gov/gene/?term=HEG1","NCBI")</f>
        <v>NCBI</v>
      </c>
      <c r="F534">
        <v>5.1000000000000004E-4</v>
      </c>
      <c r="G534">
        <v>1.6E-2</v>
      </c>
      <c r="H534" s="1" t="str">
        <f>HYPERLINK("http://www.weizmann.ac.il/complex/compphys/software/geview/data/figures/212822_at.png","Figure")</f>
        <v>Figure</v>
      </c>
      <c r="I534">
        <v>1.36</v>
      </c>
      <c r="J534">
        <v>2.7000000000000001E-3</v>
      </c>
      <c r="K534">
        <v>1.37</v>
      </c>
      <c r="L534">
        <v>6.7000000000000002E-4</v>
      </c>
      <c r="M534">
        <v>1.01</v>
      </c>
      <c r="N534">
        <v>0.99</v>
      </c>
    </row>
    <row r="535" spans="1:14" x14ac:dyDescent="0.25">
      <c r="A535" t="s">
        <v>1002</v>
      </c>
      <c r="B535" t="s">
        <v>415</v>
      </c>
      <c r="C535" s="1" t="str">
        <f>HYPERLINK("http://www.genecards.org/cgi-bin/carddisp.pl?gene=IDS","GeneCards")</f>
        <v>GeneCards</v>
      </c>
      <c r="D535" s="1" t="str">
        <f>HYPERLINK("http://genome-euro.ucsc.edu/cgi-bin/hgTracks?position=212223_at","UCSC")</f>
        <v>UCSC</v>
      </c>
      <c r="E535" s="1" t="str">
        <f>HYPERLINK("http://www.ncbi.nlm.nih.gov/gene/?term=IDS","NCBI")</f>
        <v>NCBI</v>
      </c>
      <c r="F535">
        <v>5.1999999999999995E-4</v>
      </c>
      <c r="G535">
        <v>1.7000000000000001E-2</v>
      </c>
      <c r="H535" s="1" t="str">
        <f>HYPERLINK("http://www.weizmann.ac.il/complex/compphys/software/geview/data/figures/212223_at.png","Figure")</f>
        <v>Figure</v>
      </c>
      <c r="I535">
        <v>0.45300000000000001</v>
      </c>
      <c r="J535">
        <v>7.3999999999999999E-4</v>
      </c>
      <c r="K535">
        <v>0.90100000000000002</v>
      </c>
      <c r="L535">
        <v>0.74</v>
      </c>
      <c r="M535">
        <v>1.99</v>
      </c>
      <c r="N535">
        <v>1.4E-3</v>
      </c>
    </row>
    <row r="536" spans="1:14" x14ac:dyDescent="0.25">
      <c r="A536" t="s">
        <v>1003</v>
      </c>
      <c r="B536" t="s">
        <v>1004</v>
      </c>
      <c r="C536" s="1" t="str">
        <f>HYPERLINK("http://www.genecards.org/cgi-bin/carddisp.pl?gene=TCEAL1","GeneCards")</f>
        <v>GeneCards</v>
      </c>
      <c r="D536" s="1" t="str">
        <f>HYPERLINK("http://genome-euro.ucsc.edu/cgi-bin/hgTracks?position=204045_at","UCSC")</f>
        <v>UCSC</v>
      </c>
      <c r="E536" s="1" t="str">
        <f>HYPERLINK("http://www.ncbi.nlm.nih.gov/gene/?term=TCEAL1","NCBI")</f>
        <v>NCBI</v>
      </c>
      <c r="F536">
        <v>5.1999999999999995E-4</v>
      </c>
      <c r="G536">
        <v>1.7000000000000001E-2</v>
      </c>
      <c r="H536" s="1" t="str">
        <f>HYPERLINK("http://www.weizmann.ac.il/complex/compphys/software/geview/data/figures/204045_at.png","Figure")</f>
        <v>Figure</v>
      </c>
      <c r="I536">
        <v>0.57199999999999995</v>
      </c>
      <c r="J536">
        <v>6.7999999999999996E-3</v>
      </c>
      <c r="K536">
        <v>1.2</v>
      </c>
      <c r="L536">
        <v>0.36</v>
      </c>
      <c r="M536">
        <v>2.11</v>
      </c>
      <c r="N536">
        <v>3.8999999999999999E-4</v>
      </c>
    </row>
    <row r="537" spans="1:14" x14ac:dyDescent="0.25">
      <c r="A537" t="s">
        <v>1005</v>
      </c>
      <c r="B537" t="s">
        <v>1006</v>
      </c>
      <c r="C537" s="1" t="str">
        <f>HYPERLINK("http://www.genecards.org/cgi-bin/carddisp.pl?gene=GGCT","GeneCards")</f>
        <v>GeneCards</v>
      </c>
      <c r="D537" s="1" t="str">
        <f>HYPERLINK("http://genome-euro.ucsc.edu/cgi-bin/hgTracks?position=215380_s_at","UCSC")</f>
        <v>UCSC</v>
      </c>
      <c r="E537" s="1" t="str">
        <f>HYPERLINK("http://www.ncbi.nlm.nih.gov/gene/?term=GGCT","NCBI")</f>
        <v>NCBI</v>
      </c>
      <c r="F537">
        <v>5.1999999999999995E-4</v>
      </c>
      <c r="G537">
        <v>1.7000000000000001E-2</v>
      </c>
      <c r="H537" s="1" t="str">
        <f>HYPERLINK("http://www.weizmann.ac.il/complex/compphys/software/geview/data/figures/215380_s_at.png","Figure")</f>
        <v>Figure</v>
      </c>
      <c r="I537">
        <v>0.70399999999999996</v>
      </c>
      <c r="J537">
        <v>8.5999999999999993E-2</v>
      </c>
      <c r="K537">
        <v>1.47</v>
      </c>
      <c r="L537">
        <v>2.8000000000000001E-2</v>
      </c>
      <c r="M537">
        <v>2.09</v>
      </c>
      <c r="N537">
        <v>4.2999999999999999E-4</v>
      </c>
    </row>
    <row r="538" spans="1:14" x14ac:dyDescent="0.25">
      <c r="A538" t="s">
        <v>1007</v>
      </c>
      <c r="B538" t="s">
        <v>1008</v>
      </c>
      <c r="C538" s="1" t="str">
        <f>HYPERLINK("http://www.genecards.org/cgi-bin/carddisp.pl?gene=LOC100286937","GeneCards")</f>
        <v>GeneCards</v>
      </c>
      <c r="D538" s="1" t="str">
        <f>HYPERLINK("http://genome-euro.ucsc.edu/cgi-bin/hgTracks?position=220692_at","UCSC")</f>
        <v>UCSC</v>
      </c>
      <c r="E538" s="1" t="str">
        <f>HYPERLINK("http://www.ncbi.nlm.nih.gov/gene/?term=LOC100286937","NCBI")</f>
        <v>NCBI</v>
      </c>
      <c r="F538">
        <v>5.1999999999999995E-4</v>
      </c>
      <c r="G538">
        <v>1.7000000000000001E-2</v>
      </c>
      <c r="H538" s="1" t="str">
        <f>HYPERLINK("http://www.weizmann.ac.il/complex/compphys/software/geview/data/figures/220692_at.png","Figure")</f>
        <v>Figure</v>
      </c>
      <c r="I538">
        <v>0.93</v>
      </c>
      <c r="J538">
        <v>0.91</v>
      </c>
      <c r="K538">
        <v>0.47799999999999998</v>
      </c>
      <c r="L538">
        <v>9.5E-4</v>
      </c>
      <c r="M538">
        <v>0.51400000000000001</v>
      </c>
      <c r="N538">
        <v>3.7000000000000002E-3</v>
      </c>
    </row>
    <row r="539" spans="1:14" x14ac:dyDescent="0.25">
      <c r="A539" t="s">
        <v>1009</v>
      </c>
      <c r="B539" t="s">
        <v>1010</v>
      </c>
      <c r="C539" s="1" t="str">
        <f>HYPERLINK("http://www.genecards.org/cgi-bin/carddisp.pl?gene=PRDX2","GeneCards")</f>
        <v>GeneCards</v>
      </c>
      <c r="D539" s="1" t="str">
        <f>HYPERLINK("http://genome-euro.ucsc.edu/cgi-bin/hgTracks?position=211658_at","UCSC")</f>
        <v>UCSC</v>
      </c>
      <c r="E539" s="1" t="str">
        <f>HYPERLINK("http://www.ncbi.nlm.nih.gov/gene/?term=PRDX2","NCBI")</f>
        <v>NCBI</v>
      </c>
      <c r="F539">
        <v>5.2999999999999998E-4</v>
      </c>
      <c r="G539">
        <v>1.7000000000000001E-2</v>
      </c>
      <c r="H539" s="1" t="str">
        <f>HYPERLINK("http://www.weizmann.ac.il/complex/compphys/software/geview/data/figures/211658_at.png","Figure")</f>
        <v>Figure</v>
      </c>
      <c r="I539">
        <v>1.44</v>
      </c>
      <c r="J539">
        <v>1.1000000000000001E-3</v>
      </c>
      <c r="K539">
        <v>1.36</v>
      </c>
      <c r="L539">
        <v>1.5E-3</v>
      </c>
      <c r="M539">
        <v>0.94299999999999995</v>
      </c>
      <c r="N539">
        <v>0.7</v>
      </c>
    </row>
    <row r="540" spans="1:14" x14ac:dyDescent="0.25">
      <c r="A540" t="s">
        <v>1011</v>
      </c>
      <c r="B540" t="s">
        <v>1012</v>
      </c>
      <c r="C540" s="1" t="str">
        <f>HYPERLINK("http://www.genecards.org/cgi-bin/carddisp.pl?gene=ADSL","GeneCards")</f>
        <v>GeneCards</v>
      </c>
      <c r="D540" s="1" t="str">
        <f>HYPERLINK("http://genome-euro.ucsc.edu/cgi-bin/hgTracks?position=202144_s_at","UCSC")</f>
        <v>UCSC</v>
      </c>
      <c r="E540" s="1" t="str">
        <f>HYPERLINK("http://www.ncbi.nlm.nih.gov/gene/?term=ADSL","NCBI")</f>
        <v>NCBI</v>
      </c>
      <c r="F540">
        <v>5.2999999999999998E-4</v>
      </c>
      <c r="G540">
        <v>1.7000000000000001E-2</v>
      </c>
      <c r="H540" s="1" t="str">
        <f>HYPERLINK("http://www.weizmann.ac.il/complex/compphys/software/geview/data/figures/202144_s_at.png","Figure")</f>
        <v>Figure</v>
      </c>
      <c r="I540">
        <v>1.24</v>
      </c>
      <c r="J540">
        <v>0.21</v>
      </c>
      <c r="K540">
        <v>1.75</v>
      </c>
      <c r="L540">
        <v>4.4000000000000002E-4</v>
      </c>
      <c r="M540">
        <v>1.41</v>
      </c>
      <c r="N540">
        <v>2.7E-2</v>
      </c>
    </row>
    <row r="541" spans="1:14" x14ac:dyDescent="0.25">
      <c r="A541" t="s">
        <v>1013</v>
      </c>
      <c r="B541" t="s">
        <v>1014</v>
      </c>
      <c r="C541" s="1" t="str">
        <f>HYPERLINK("http://www.genecards.org/cgi-bin/carddisp.pl?gene=CLDND1","GeneCards")</f>
        <v>GeneCards</v>
      </c>
      <c r="D541" s="1" t="str">
        <f>HYPERLINK("http://genome-euro.ucsc.edu/cgi-bin/hgTracks?position=208925_at","UCSC")</f>
        <v>UCSC</v>
      </c>
      <c r="E541" s="1" t="str">
        <f>HYPERLINK("http://www.ncbi.nlm.nih.gov/gene/?term=CLDND1","NCBI")</f>
        <v>NCBI</v>
      </c>
      <c r="F541">
        <v>5.2999999999999998E-4</v>
      </c>
      <c r="G541">
        <v>1.7000000000000001E-2</v>
      </c>
      <c r="H541" s="1" t="str">
        <f>HYPERLINK("http://www.weizmann.ac.il/complex/compphys/software/geview/data/figures/208925_at.png","Figure")</f>
        <v>Figure</v>
      </c>
      <c r="I541">
        <v>0.37</v>
      </c>
      <c r="J541">
        <v>1.1000000000000001E-3</v>
      </c>
      <c r="K541">
        <v>0.432</v>
      </c>
      <c r="L541">
        <v>1.5E-3</v>
      </c>
      <c r="M541">
        <v>1.17</v>
      </c>
      <c r="N541">
        <v>0.71</v>
      </c>
    </row>
    <row r="542" spans="1:14" x14ac:dyDescent="0.25">
      <c r="A542" t="s">
        <v>1015</v>
      </c>
      <c r="B542" t="s">
        <v>1016</v>
      </c>
      <c r="C542" s="1" t="str">
        <f>HYPERLINK("http://www.genecards.org/cgi-bin/carddisp.pl?gene=ILVBL","GeneCards")</f>
        <v>GeneCards</v>
      </c>
      <c r="D542" s="1" t="str">
        <f>HYPERLINK("http://genome-euro.ucsc.edu/cgi-bin/hgTracks?position=202993_at","UCSC")</f>
        <v>UCSC</v>
      </c>
      <c r="E542" s="1" t="str">
        <f>HYPERLINK("http://www.ncbi.nlm.nih.gov/gene/?term=ILVBL","NCBI")</f>
        <v>NCBI</v>
      </c>
      <c r="F542">
        <v>5.4000000000000001E-4</v>
      </c>
      <c r="G542">
        <v>1.7000000000000001E-2</v>
      </c>
      <c r="H542" s="1" t="str">
        <f>HYPERLINK("http://www.weizmann.ac.il/complex/compphys/software/geview/data/figures/202993_at.png","Figure")</f>
        <v>Figure</v>
      </c>
      <c r="I542">
        <v>0.70399999999999996</v>
      </c>
      <c r="J542">
        <v>1.2999999999999999E-3</v>
      </c>
      <c r="K542">
        <v>0.73599999999999999</v>
      </c>
      <c r="L542">
        <v>1.2999999999999999E-3</v>
      </c>
      <c r="M542">
        <v>1.04</v>
      </c>
      <c r="N542">
        <v>0.81</v>
      </c>
    </row>
    <row r="543" spans="1:14" x14ac:dyDescent="0.25">
      <c r="A543" t="s">
        <v>1017</v>
      </c>
      <c r="B543" t="s">
        <v>1018</v>
      </c>
      <c r="C543" s="1" t="str">
        <f>HYPERLINK("http://www.genecards.org/cgi-bin/carddisp.pl?gene=HLA-DRA","GeneCards")</f>
        <v>GeneCards</v>
      </c>
      <c r="D543" s="1" t="str">
        <f>HYPERLINK("http://genome-euro.ucsc.edu/cgi-bin/hgTracks?position=210982_s_at","UCSC")</f>
        <v>UCSC</v>
      </c>
      <c r="E543" s="1" t="str">
        <f>HYPERLINK("http://www.ncbi.nlm.nih.gov/gene/?term=HLA-DRA","NCBI")</f>
        <v>NCBI</v>
      </c>
      <c r="F543">
        <v>5.4000000000000001E-4</v>
      </c>
      <c r="G543">
        <v>1.7000000000000001E-2</v>
      </c>
      <c r="H543" s="1" t="str">
        <f>HYPERLINK("http://www.weizmann.ac.il/complex/compphys/software/geview/data/figures/210982_s_at.png","Figure")</f>
        <v>Figure</v>
      </c>
      <c r="I543">
        <v>0.77100000000000002</v>
      </c>
      <c r="J543">
        <v>0.36</v>
      </c>
      <c r="K543">
        <v>0.44</v>
      </c>
      <c r="L543">
        <v>5.1999999999999995E-4</v>
      </c>
      <c r="M543">
        <v>0.56999999999999995</v>
      </c>
      <c r="N543">
        <v>1.4999999999999999E-2</v>
      </c>
    </row>
    <row r="544" spans="1:14" x14ac:dyDescent="0.25">
      <c r="A544" t="s">
        <v>1019</v>
      </c>
      <c r="B544" t="s">
        <v>1020</v>
      </c>
      <c r="C544" s="1" t="str">
        <f>HYPERLINK("http://www.genecards.org/cgi-bin/carddisp.pl?gene=KDM4B","GeneCards")</f>
        <v>GeneCards</v>
      </c>
      <c r="D544" s="1" t="str">
        <f>HYPERLINK("http://genome-euro.ucsc.edu/cgi-bin/hgTracks?position=212496_s_at","UCSC")</f>
        <v>UCSC</v>
      </c>
      <c r="E544" s="1" t="str">
        <f>HYPERLINK("http://www.ncbi.nlm.nih.gov/gene/?term=KDM4B","NCBI")</f>
        <v>NCBI</v>
      </c>
      <c r="F544">
        <v>5.4000000000000001E-4</v>
      </c>
      <c r="G544">
        <v>1.7000000000000001E-2</v>
      </c>
      <c r="H544" s="1" t="str">
        <f>HYPERLINK("http://www.weizmann.ac.il/complex/compphys/software/geview/data/figures/212496_s_at.png","Figure")</f>
        <v>Figure</v>
      </c>
      <c r="I544">
        <v>0.45800000000000002</v>
      </c>
      <c r="J544">
        <v>6.9999999999999999E-4</v>
      </c>
      <c r="K544">
        <v>0.56299999999999994</v>
      </c>
      <c r="L544">
        <v>2.8E-3</v>
      </c>
      <c r="M544">
        <v>1.23</v>
      </c>
      <c r="N544">
        <v>0.37</v>
      </c>
    </row>
    <row r="545" spans="1:14" x14ac:dyDescent="0.25">
      <c r="A545" t="s">
        <v>1021</v>
      </c>
      <c r="B545" t="s">
        <v>1022</v>
      </c>
      <c r="C545" s="1" t="str">
        <f>HYPERLINK("http://www.genecards.org/cgi-bin/carddisp.pl?gene=JMJD1C","GeneCards")</f>
        <v>GeneCards</v>
      </c>
      <c r="D545" s="1" t="str">
        <f>HYPERLINK("http://genome-euro.ucsc.edu/cgi-bin/hgTracks?position=221763_at","UCSC")</f>
        <v>UCSC</v>
      </c>
      <c r="E545" s="1" t="str">
        <f>HYPERLINK("http://www.ncbi.nlm.nih.gov/gene/?term=JMJD1C","NCBI")</f>
        <v>NCBI</v>
      </c>
      <c r="F545">
        <v>5.4000000000000001E-4</v>
      </c>
      <c r="G545">
        <v>1.7000000000000001E-2</v>
      </c>
      <c r="H545" s="1" t="str">
        <f>HYPERLINK("http://www.weizmann.ac.il/complex/compphys/software/geview/data/figures/221763_at.png","Figure")</f>
        <v>Figure</v>
      </c>
      <c r="I545">
        <v>0.36199999999999999</v>
      </c>
      <c r="J545">
        <v>1.0999999999999999E-2</v>
      </c>
      <c r="K545">
        <v>0.26100000000000001</v>
      </c>
      <c r="L545">
        <v>4.2999999999999999E-4</v>
      </c>
      <c r="M545">
        <v>0.72199999999999998</v>
      </c>
      <c r="N545">
        <v>0.48</v>
      </c>
    </row>
    <row r="546" spans="1:14" x14ac:dyDescent="0.25">
      <c r="A546" t="s">
        <v>1023</v>
      </c>
      <c r="B546" t="s">
        <v>197</v>
      </c>
      <c r="C546" s="1" t="str">
        <f>HYPERLINK("http://www.genecards.org/cgi-bin/carddisp.pl?gene=HLA-DPA1","GeneCards")</f>
        <v>GeneCards</v>
      </c>
      <c r="D546" s="1" t="str">
        <f>HYPERLINK("http://genome-euro.ucsc.edu/cgi-bin/hgTracks?position=211990_at","UCSC")</f>
        <v>UCSC</v>
      </c>
      <c r="E546" s="1" t="str">
        <f>HYPERLINK("http://www.ncbi.nlm.nih.gov/gene/?term=HLA-DPA1","NCBI")</f>
        <v>NCBI</v>
      </c>
      <c r="F546">
        <v>5.5000000000000003E-4</v>
      </c>
      <c r="G546">
        <v>1.7000000000000001E-2</v>
      </c>
      <c r="H546" s="1" t="str">
        <f>HYPERLINK("http://www.weizmann.ac.il/complex/compphys/software/geview/data/figures/211990_at.png","Figure")</f>
        <v>Figure</v>
      </c>
      <c r="I546">
        <v>0.75800000000000001</v>
      </c>
      <c r="J546">
        <v>0.13</v>
      </c>
      <c r="K546">
        <v>0.54700000000000004</v>
      </c>
      <c r="L546">
        <v>4.0999999999999999E-4</v>
      </c>
      <c r="M546">
        <v>0.72099999999999997</v>
      </c>
      <c r="N546">
        <v>4.8000000000000001E-2</v>
      </c>
    </row>
    <row r="547" spans="1:14" x14ac:dyDescent="0.25">
      <c r="A547" t="s">
        <v>1024</v>
      </c>
      <c r="B547" t="s">
        <v>1025</v>
      </c>
      <c r="C547" s="1" t="str">
        <f>HYPERLINK("http://www.genecards.org/cgi-bin/carddisp.pl?gene=hCG_2024410 /// RPE","GeneCards")</f>
        <v>GeneCards</v>
      </c>
      <c r="D547" s="1" t="str">
        <f>HYPERLINK("http://genome-euro.ucsc.edu/cgi-bin/hgTracks?position=216574_s_at","UCSC")</f>
        <v>UCSC</v>
      </c>
      <c r="E547" s="1" t="str">
        <f>HYPERLINK("http://www.ncbi.nlm.nih.gov/gene/?term=hCG_2024410 /// RPE","NCBI")</f>
        <v>NCBI</v>
      </c>
      <c r="F547">
        <v>5.5000000000000003E-4</v>
      </c>
      <c r="G547">
        <v>1.7000000000000001E-2</v>
      </c>
      <c r="H547" s="1" t="str">
        <f>HYPERLINK("http://www.weizmann.ac.il/complex/compphys/software/geview/data/figures/216574_s_at.png","Figure")</f>
        <v>Figure</v>
      </c>
      <c r="I547">
        <v>1.19</v>
      </c>
      <c r="J547">
        <v>8.3000000000000001E-4</v>
      </c>
      <c r="K547">
        <v>1.02</v>
      </c>
      <c r="L547">
        <v>0.8</v>
      </c>
      <c r="M547">
        <v>0.85499999999999998</v>
      </c>
      <c r="N547">
        <v>1.2999999999999999E-3</v>
      </c>
    </row>
    <row r="548" spans="1:14" x14ac:dyDescent="0.25">
      <c r="A548" t="s">
        <v>1026</v>
      </c>
      <c r="B548" t="s">
        <v>479</v>
      </c>
      <c r="C548" s="1" t="str">
        <f>HYPERLINK("http://www.genecards.org/cgi-bin/carddisp.pl?gene=TXNIP","GeneCards")</f>
        <v>GeneCards</v>
      </c>
      <c r="D548" s="1" t="str">
        <f>HYPERLINK("http://genome-euro.ucsc.edu/cgi-bin/hgTracks?position=201010_s_at","UCSC")</f>
        <v>UCSC</v>
      </c>
      <c r="E548" s="1" t="str">
        <f>HYPERLINK("http://www.ncbi.nlm.nih.gov/gene/?term=TXNIP","NCBI")</f>
        <v>NCBI</v>
      </c>
      <c r="F548">
        <v>5.5000000000000003E-4</v>
      </c>
      <c r="G548">
        <v>1.7000000000000001E-2</v>
      </c>
      <c r="H548" s="1" t="str">
        <f>HYPERLINK("http://www.weizmann.ac.il/complex/compphys/software/geview/data/figures/201010_s_at.png","Figure")</f>
        <v>Figure</v>
      </c>
      <c r="I548">
        <v>0.78900000000000003</v>
      </c>
      <c r="J548">
        <v>0.74</v>
      </c>
      <c r="K548">
        <v>0.26100000000000001</v>
      </c>
      <c r="L548">
        <v>7.6999999999999996E-4</v>
      </c>
      <c r="M548">
        <v>0.33</v>
      </c>
      <c r="N548">
        <v>6.0000000000000001E-3</v>
      </c>
    </row>
    <row r="549" spans="1:14" x14ac:dyDescent="0.25">
      <c r="A549" t="s">
        <v>1027</v>
      </c>
      <c r="B549" t="s">
        <v>1028</v>
      </c>
      <c r="C549" s="1" t="str">
        <f>HYPERLINK("http://www.genecards.org/cgi-bin/carddisp.pl?gene=SLC7A4","GeneCards")</f>
        <v>GeneCards</v>
      </c>
      <c r="D549" s="1" t="str">
        <f>HYPERLINK("http://genome-euro.ucsc.edu/cgi-bin/hgTracks?position=205864_at","UCSC")</f>
        <v>UCSC</v>
      </c>
      <c r="E549" s="1" t="str">
        <f>HYPERLINK("http://www.ncbi.nlm.nih.gov/gene/?term=SLC7A4","NCBI")</f>
        <v>NCBI</v>
      </c>
      <c r="F549">
        <v>5.5000000000000003E-4</v>
      </c>
      <c r="G549">
        <v>1.7000000000000001E-2</v>
      </c>
      <c r="H549" s="1" t="str">
        <f>HYPERLINK("http://www.weizmann.ac.il/complex/compphys/software/geview/data/figures/205864_at.png","Figure")</f>
        <v>Figure</v>
      </c>
      <c r="I549">
        <v>1.22</v>
      </c>
      <c r="J549">
        <v>4.6999999999999999E-4</v>
      </c>
      <c r="K549">
        <v>1.06</v>
      </c>
      <c r="L549">
        <v>0.24</v>
      </c>
      <c r="M549">
        <v>0.87</v>
      </c>
      <c r="N549">
        <v>4.1999999999999997E-3</v>
      </c>
    </row>
    <row r="550" spans="1:14" x14ac:dyDescent="0.25">
      <c r="A550" t="s">
        <v>1029</v>
      </c>
      <c r="B550" t="s">
        <v>1030</v>
      </c>
      <c r="C550" s="1" t="str">
        <f>HYPERLINK("http://www.genecards.org/cgi-bin/carddisp.pl?gene=ATP1B1","GeneCards")</f>
        <v>GeneCards</v>
      </c>
      <c r="D550" s="1" t="str">
        <f>HYPERLINK("http://genome-euro.ucsc.edu/cgi-bin/hgTracks?position=201243_s_at","UCSC")</f>
        <v>UCSC</v>
      </c>
      <c r="E550" s="1" t="str">
        <f>HYPERLINK("http://www.ncbi.nlm.nih.gov/gene/?term=ATP1B1","NCBI")</f>
        <v>NCBI</v>
      </c>
      <c r="F550">
        <v>5.5000000000000003E-4</v>
      </c>
      <c r="G550">
        <v>1.7000000000000001E-2</v>
      </c>
      <c r="H550" s="1" t="str">
        <f>HYPERLINK("http://www.weizmann.ac.il/complex/compphys/software/geview/data/figures/201243_s_at.png","Figure")</f>
        <v>Figure</v>
      </c>
      <c r="I550">
        <v>1.26</v>
      </c>
      <c r="J550">
        <v>5.8E-4</v>
      </c>
      <c r="K550">
        <v>1.05</v>
      </c>
      <c r="L550">
        <v>0.45</v>
      </c>
      <c r="M550">
        <v>0.83299999999999996</v>
      </c>
      <c r="N550">
        <v>2.3999999999999998E-3</v>
      </c>
    </row>
    <row r="551" spans="1:14" x14ac:dyDescent="0.25">
      <c r="A551" t="s">
        <v>1031</v>
      </c>
      <c r="B551" t="s">
        <v>498</v>
      </c>
      <c r="C551" s="1" t="str">
        <f>HYPERLINK("http://www.genecards.org/cgi-bin/carddisp.pl?gene=ETS2","GeneCards")</f>
        <v>GeneCards</v>
      </c>
      <c r="D551" s="1" t="str">
        <f>HYPERLINK("http://genome-euro.ucsc.edu/cgi-bin/hgTracks?position=201328_at","UCSC")</f>
        <v>UCSC</v>
      </c>
      <c r="E551" s="1" t="str">
        <f>HYPERLINK("http://www.ncbi.nlm.nih.gov/gene/?term=ETS2","NCBI")</f>
        <v>NCBI</v>
      </c>
      <c r="F551">
        <v>5.5999999999999995E-4</v>
      </c>
      <c r="G551">
        <v>1.7000000000000001E-2</v>
      </c>
      <c r="H551" s="1" t="str">
        <f>HYPERLINK("http://www.weizmann.ac.il/complex/compphys/software/geview/data/figures/201328_at.png","Figure")</f>
        <v>Figure</v>
      </c>
      <c r="I551">
        <v>0.32900000000000001</v>
      </c>
      <c r="J551">
        <v>1.9E-3</v>
      </c>
      <c r="K551">
        <v>0.34899999999999998</v>
      </c>
      <c r="L551">
        <v>9.6000000000000002E-4</v>
      </c>
      <c r="M551">
        <v>1.06</v>
      </c>
      <c r="N551">
        <v>0.97</v>
      </c>
    </row>
    <row r="552" spans="1:14" x14ac:dyDescent="0.25">
      <c r="A552" t="s">
        <v>1032</v>
      </c>
      <c r="B552" t="s">
        <v>815</v>
      </c>
      <c r="C552" s="1" t="str">
        <f>HYPERLINK("http://www.genecards.org/cgi-bin/carddisp.pl?gene=GNL3L","GeneCards")</f>
        <v>GeneCards</v>
      </c>
      <c r="D552" s="1" t="str">
        <f>HYPERLINK("http://genome-euro.ucsc.edu/cgi-bin/hgTracks?position=205010_at","UCSC")</f>
        <v>UCSC</v>
      </c>
      <c r="E552" s="1" t="str">
        <f>HYPERLINK("http://www.ncbi.nlm.nih.gov/gene/?term=GNL3L","NCBI")</f>
        <v>NCBI</v>
      </c>
      <c r="F552">
        <v>5.5999999999999995E-4</v>
      </c>
      <c r="G552">
        <v>1.7000000000000001E-2</v>
      </c>
      <c r="H552" s="1" t="str">
        <f>HYPERLINK("http://www.weizmann.ac.il/complex/compphys/software/geview/data/figures/205010_at.png","Figure")</f>
        <v>Figure</v>
      </c>
      <c r="I552">
        <v>0.47399999999999998</v>
      </c>
      <c r="J552">
        <v>4.4000000000000002E-4</v>
      </c>
      <c r="K552">
        <v>0.78800000000000003</v>
      </c>
      <c r="L552">
        <v>0.17</v>
      </c>
      <c r="M552">
        <v>1.66</v>
      </c>
      <c r="N552">
        <v>5.7000000000000002E-3</v>
      </c>
    </row>
    <row r="553" spans="1:14" x14ac:dyDescent="0.25">
      <c r="A553" t="s">
        <v>1033</v>
      </c>
      <c r="B553" t="s">
        <v>1034</v>
      </c>
      <c r="C553" s="1" t="str">
        <f>HYPERLINK("http://www.genecards.org/cgi-bin/carddisp.pl?gene=PSTPIP2","GeneCards")</f>
        <v>GeneCards</v>
      </c>
      <c r="D553" s="1" t="str">
        <f>HYPERLINK("http://genome-euro.ucsc.edu/cgi-bin/hgTracks?position=219938_s_at","UCSC")</f>
        <v>UCSC</v>
      </c>
      <c r="E553" s="1" t="str">
        <f>HYPERLINK("http://www.ncbi.nlm.nih.gov/gene/?term=PSTPIP2","NCBI")</f>
        <v>NCBI</v>
      </c>
      <c r="F553">
        <v>5.5999999999999995E-4</v>
      </c>
      <c r="G553">
        <v>1.7000000000000001E-2</v>
      </c>
      <c r="H553" s="1" t="str">
        <f>HYPERLINK("http://www.weizmann.ac.il/complex/compphys/software/geview/data/figures/219938_s_at.png","Figure")</f>
        <v>Figure</v>
      </c>
      <c r="I553">
        <v>0.83799999999999997</v>
      </c>
      <c r="J553">
        <v>1.4E-3</v>
      </c>
      <c r="K553">
        <v>1</v>
      </c>
      <c r="L553">
        <v>1</v>
      </c>
      <c r="M553">
        <v>1.19</v>
      </c>
      <c r="N553">
        <v>8.0999999999999996E-4</v>
      </c>
    </row>
    <row r="554" spans="1:14" x14ac:dyDescent="0.25">
      <c r="A554" t="s">
        <v>1035</v>
      </c>
      <c r="B554" t="s">
        <v>419</v>
      </c>
      <c r="C554" s="1" t="str">
        <f>HYPERLINK("http://www.genecards.org/cgi-bin/carddisp.pl?gene=PER1","GeneCards")</f>
        <v>GeneCards</v>
      </c>
      <c r="D554" s="1" t="str">
        <f>HYPERLINK("http://genome-euro.ucsc.edu/cgi-bin/hgTracks?position=36829_at","UCSC")</f>
        <v>UCSC</v>
      </c>
      <c r="E554" s="1" t="str">
        <f>HYPERLINK("http://www.ncbi.nlm.nih.gov/gene/?term=PER1","NCBI")</f>
        <v>NCBI</v>
      </c>
      <c r="F554">
        <v>5.5999999999999995E-4</v>
      </c>
      <c r="G554">
        <v>1.7000000000000001E-2</v>
      </c>
      <c r="H554" s="1" t="str">
        <f>HYPERLINK("http://www.weizmann.ac.il/complex/compphys/software/geview/data/figures/36829_at.png","Figure")</f>
        <v>Figure</v>
      </c>
      <c r="I554">
        <v>1.37</v>
      </c>
      <c r="J554">
        <v>0.03</v>
      </c>
      <c r="K554">
        <v>0.80100000000000005</v>
      </c>
      <c r="L554">
        <v>8.6999999999999994E-2</v>
      </c>
      <c r="M554">
        <v>0.58399999999999996</v>
      </c>
      <c r="N554">
        <v>4.0000000000000002E-4</v>
      </c>
    </row>
    <row r="555" spans="1:14" x14ac:dyDescent="0.25">
      <c r="A555" t="s">
        <v>1036</v>
      </c>
      <c r="B555" t="s">
        <v>141</v>
      </c>
      <c r="C555" s="1" t="str">
        <f>HYPERLINK("http://www.genecards.org/cgi-bin/carddisp.pl?gene=PARP2","GeneCards")</f>
        <v>GeneCards</v>
      </c>
      <c r="D555" s="1" t="str">
        <f>HYPERLINK("http://genome-euro.ucsc.edu/cgi-bin/hgTracks?position=215773_x_at","UCSC")</f>
        <v>UCSC</v>
      </c>
      <c r="E555" s="1" t="str">
        <f>HYPERLINK("http://www.ncbi.nlm.nih.gov/gene/?term=PARP2","NCBI")</f>
        <v>NCBI</v>
      </c>
      <c r="F555">
        <v>5.5999999999999995E-4</v>
      </c>
      <c r="G555">
        <v>1.7000000000000001E-2</v>
      </c>
      <c r="H555" s="1" t="str">
        <f>HYPERLINK("http://www.weizmann.ac.il/complex/compphys/software/geview/data/figures/215773_x_at.png","Figure")</f>
        <v>Figure</v>
      </c>
      <c r="I555">
        <v>0.61399999999999999</v>
      </c>
      <c r="J555">
        <v>5.0000000000000001E-4</v>
      </c>
      <c r="K555">
        <v>0.876</v>
      </c>
      <c r="L555">
        <v>0.28000000000000003</v>
      </c>
      <c r="M555">
        <v>1.43</v>
      </c>
      <c r="N555">
        <v>3.8E-3</v>
      </c>
    </row>
    <row r="556" spans="1:14" x14ac:dyDescent="0.25">
      <c r="A556" t="s">
        <v>1037</v>
      </c>
      <c r="B556" t="s">
        <v>1038</v>
      </c>
      <c r="C556" s="1" t="str">
        <f>HYPERLINK("http://www.genecards.org/cgi-bin/carddisp.pl?gene=TMEM30A","GeneCards")</f>
        <v>GeneCards</v>
      </c>
      <c r="D556" s="1" t="str">
        <f>HYPERLINK("http://genome-euro.ucsc.edu/cgi-bin/hgTracks?position=217743_s_at","UCSC")</f>
        <v>UCSC</v>
      </c>
      <c r="E556" s="1" t="str">
        <f>HYPERLINK("http://www.ncbi.nlm.nih.gov/gene/?term=TMEM30A","NCBI")</f>
        <v>NCBI</v>
      </c>
      <c r="F556">
        <v>5.5999999999999995E-4</v>
      </c>
      <c r="G556">
        <v>1.7000000000000001E-2</v>
      </c>
      <c r="H556" s="1" t="str">
        <f>HYPERLINK("http://www.weizmann.ac.il/complex/compphys/software/geview/data/figures/217743_s_at.png","Figure")</f>
        <v>Figure</v>
      </c>
      <c r="I556">
        <v>0.39700000000000002</v>
      </c>
      <c r="J556">
        <v>8.4000000000000003E-4</v>
      </c>
      <c r="K556">
        <v>0.49099999999999999</v>
      </c>
      <c r="L556">
        <v>2.3E-3</v>
      </c>
      <c r="M556">
        <v>1.24</v>
      </c>
      <c r="N556">
        <v>0.48</v>
      </c>
    </row>
    <row r="557" spans="1:14" x14ac:dyDescent="0.25">
      <c r="A557" t="s">
        <v>1039</v>
      </c>
      <c r="B557" t="s">
        <v>1040</v>
      </c>
      <c r="C557" s="1" t="str">
        <f>HYPERLINK("http://www.genecards.org/cgi-bin/carddisp.pl?gene=SGSM3","GeneCards")</f>
        <v>GeneCards</v>
      </c>
      <c r="D557" s="1" t="str">
        <f>HYPERLINK("http://genome-euro.ucsc.edu/cgi-bin/hgTracks?position=215519_x_at","UCSC")</f>
        <v>UCSC</v>
      </c>
      <c r="E557" s="1" t="str">
        <f>HYPERLINK("http://www.ncbi.nlm.nih.gov/gene/?term=SGSM3","NCBI")</f>
        <v>NCBI</v>
      </c>
      <c r="F557">
        <v>5.6999999999999998E-4</v>
      </c>
      <c r="G557">
        <v>1.7000000000000001E-2</v>
      </c>
      <c r="H557" s="1" t="str">
        <f>HYPERLINK("http://www.weizmann.ac.il/complex/compphys/software/geview/data/figures/215519_x_at.png","Figure")</f>
        <v>Figure</v>
      </c>
      <c r="I557">
        <v>1.3</v>
      </c>
      <c r="J557">
        <v>2E-3</v>
      </c>
      <c r="K557">
        <v>1.28</v>
      </c>
      <c r="L557">
        <v>9.5E-4</v>
      </c>
      <c r="M557">
        <v>0.98899999999999999</v>
      </c>
      <c r="N557">
        <v>0.98</v>
      </c>
    </row>
    <row r="558" spans="1:14" x14ac:dyDescent="0.25">
      <c r="A558" t="s">
        <v>1041</v>
      </c>
      <c r="B558" t="s">
        <v>1042</v>
      </c>
      <c r="C558" s="1" t="str">
        <f>HYPERLINK("http://www.genecards.org/cgi-bin/carddisp.pl?gene=HBS1L","GeneCards")</f>
        <v>GeneCards</v>
      </c>
      <c r="D558" s="1" t="str">
        <f>HYPERLINK("http://genome-euro.ucsc.edu/cgi-bin/hgTracks?position=209315_at","UCSC")</f>
        <v>UCSC</v>
      </c>
      <c r="E558" s="1" t="str">
        <f>HYPERLINK("http://www.ncbi.nlm.nih.gov/gene/?term=HBS1L","NCBI")</f>
        <v>NCBI</v>
      </c>
      <c r="F558">
        <v>5.6999999999999998E-4</v>
      </c>
      <c r="G558">
        <v>1.7000000000000001E-2</v>
      </c>
      <c r="H558" s="1" t="str">
        <f>HYPERLINK("http://www.weizmann.ac.il/complex/compphys/software/geview/data/figures/209315_at.png","Figure")</f>
        <v>Figure</v>
      </c>
      <c r="I558">
        <v>0.214</v>
      </c>
      <c r="J558">
        <v>9.1E-4</v>
      </c>
      <c r="K558">
        <v>0.85299999999999998</v>
      </c>
      <c r="L558">
        <v>0.84</v>
      </c>
      <c r="M558">
        <v>3.99</v>
      </c>
      <c r="N558">
        <v>1.2999999999999999E-3</v>
      </c>
    </row>
    <row r="559" spans="1:14" x14ac:dyDescent="0.25">
      <c r="A559" t="s">
        <v>1043</v>
      </c>
      <c r="B559" t="s">
        <v>1044</v>
      </c>
      <c r="C559" s="1" t="str">
        <f>HYPERLINK("http://www.genecards.org/cgi-bin/carddisp.pl?gene=MTHFD1","GeneCards")</f>
        <v>GeneCards</v>
      </c>
      <c r="D559" s="1" t="str">
        <f>HYPERLINK("http://genome-euro.ucsc.edu/cgi-bin/hgTracks?position=202309_at","UCSC")</f>
        <v>UCSC</v>
      </c>
      <c r="E559" s="1" t="str">
        <f>HYPERLINK("http://www.ncbi.nlm.nih.gov/gene/?term=MTHFD1","NCBI")</f>
        <v>NCBI</v>
      </c>
      <c r="F559">
        <v>5.6999999999999998E-4</v>
      </c>
      <c r="G559">
        <v>1.7000000000000001E-2</v>
      </c>
      <c r="H559" s="1" t="str">
        <f>HYPERLINK("http://www.weizmann.ac.il/complex/compphys/software/geview/data/figures/202309_at.png","Figure")</f>
        <v>Figure</v>
      </c>
      <c r="I559">
        <v>0.71199999999999997</v>
      </c>
      <c r="J559">
        <v>9.6000000000000002E-2</v>
      </c>
      <c r="K559">
        <v>1.47</v>
      </c>
      <c r="L559">
        <v>2.8000000000000001E-2</v>
      </c>
      <c r="M559">
        <v>2.0699999999999998</v>
      </c>
      <c r="N559">
        <v>4.6999999999999999E-4</v>
      </c>
    </row>
    <row r="560" spans="1:14" x14ac:dyDescent="0.25">
      <c r="A560" t="s">
        <v>1045</v>
      </c>
      <c r="B560" t="s">
        <v>1046</v>
      </c>
      <c r="C560" s="1" t="str">
        <f>HYPERLINK("http://www.genecards.org/cgi-bin/carddisp.pl?gene=HLA-DOB","GeneCards")</f>
        <v>GeneCards</v>
      </c>
      <c r="D560" s="1" t="str">
        <f>HYPERLINK("http://genome-euro.ucsc.edu/cgi-bin/hgTracks?position=205671_s_at","UCSC")</f>
        <v>UCSC</v>
      </c>
      <c r="E560" s="1" t="str">
        <f>HYPERLINK("http://www.ncbi.nlm.nih.gov/gene/?term=HLA-DOB","NCBI")</f>
        <v>NCBI</v>
      </c>
      <c r="F560">
        <v>5.8E-4</v>
      </c>
      <c r="G560">
        <v>1.7999999999999999E-2</v>
      </c>
      <c r="H560" s="1" t="str">
        <f>HYPERLINK("http://www.weizmann.ac.il/complex/compphys/software/geview/data/figures/205671_s_at.png","Figure")</f>
        <v>Figure</v>
      </c>
      <c r="I560">
        <v>1.18</v>
      </c>
      <c r="J560">
        <v>0.6</v>
      </c>
      <c r="K560">
        <v>0.55200000000000005</v>
      </c>
      <c r="L560">
        <v>4.3E-3</v>
      </c>
      <c r="M560">
        <v>0.46600000000000003</v>
      </c>
      <c r="N560">
        <v>1E-3</v>
      </c>
    </row>
    <row r="561" spans="1:14" x14ac:dyDescent="0.25">
      <c r="A561" t="s">
        <v>1047</v>
      </c>
      <c r="B561" t="s">
        <v>1048</v>
      </c>
      <c r="C561" s="1" t="str">
        <f>HYPERLINK("http://www.genecards.org/cgi-bin/carddisp.pl?gene=CYFIP1","GeneCards")</f>
        <v>GeneCards</v>
      </c>
      <c r="D561" s="1" t="str">
        <f>HYPERLINK("http://genome-euro.ucsc.edu/cgi-bin/hgTracks?position=208923_at","UCSC")</f>
        <v>UCSC</v>
      </c>
      <c r="E561" s="1" t="str">
        <f>HYPERLINK("http://www.ncbi.nlm.nih.gov/gene/?term=CYFIP1","NCBI")</f>
        <v>NCBI</v>
      </c>
      <c r="F561">
        <v>5.9000000000000003E-4</v>
      </c>
      <c r="G561">
        <v>1.7999999999999999E-2</v>
      </c>
      <c r="H561" s="1" t="str">
        <f>HYPERLINK("http://www.weizmann.ac.il/complex/compphys/software/geview/data/figures/208923_at.png","Figure")</f>
        <v>Figure</v>
      </c>
      <c r="I561">
        <v>2.31</v>
      </c>
      <c r="J561">
        <v>5.4000000000000003E-3</v>
      </c>
      <c r="K561">
        <v>2.63</v>
      </c>
      <c r="L561">
        <v>5.9000000000000003E-4</v>
      </c>
      <c r="M561">
        <v>1.1399999999999999</v>
      </c>
      <c r="N561">
        <v>0.81</v>
      </c>
    </row>
    <row r="562" spans="1:14" x14ac:dyDescent="0.25">
      <c r="A562" t="s">
        <v>1049</v>
      </c>
      <c r="B562" t="s">
        <v>1050</v>
      </c>
      <c r="C562" s="1" t="str">
        <f>HYPERLINK("http://www.genecards.org/cgi-bin/carddisp.pl?gene=ASPH","GeneCards")</f>
        <v>GeneCards</v>
      </c>
      <c r="D562" s="1" t="str">
        <f>HYPERLINK("http://genome-euro.ucsc.edu/cgi-bin/hgTracks?position=210896_s_at","UCSC")</f>
        <v>UCSC</v>
      </c>
      <c r="E562" s="1" t="str">
        <f>HYPERLINK("http://www.ncbi.nlm.nih.gov/gene/?term=ASPH","NCBI")</f>
        <v>NCBI</v>
      </c>
      <c r="F562">
        <v>5.8E-4</v>
      </c>
      <c r="G562">
        <v>1.7999999999999999E-2</v>
      </c>
      <c r="H562" s="1" t="str">
        <f>HYPERLINK("http://www.weizmann.ac.il/complex/compphys/software/geview/data/figures/210896_s_at.png","Figure")</f>
        <v>Figure</v>
      </c>
      <c r="I562">
        <v>0.80300000000000005</v>
      </c>
      <c r="J562">
        <v>6.4000000000000005E-4</v>
      </c>
      <c r="K562">
        <v>0.95699999999999996</v>
      </c>
      <c r="L562">
        <v>0.5</v>
      </c>
      <c r="M562">
        <v>1.19</v>
      </c>
      <c r="N562">
        <v>2.3E-3</v>
      </c>
    </row>
    <row r="563" spans="1:14" x14ac:dyDescent="0.25">
      <c r="A563" t="s">
        <v>1051</v>
      </c>
      <c r="B563" t="s">
        <v>1052</v>
      </c>
      <c r="C563" s="1" t="str">
        <f>HYPERLINK("http://www.genecards.org/cgi-bin/carddisp.pl?gene=FTL","GeneCards")</f>
        <v>GeneCards</v>
      </c>
      <c r="D563" s="1" t="str">
        <f>HYPERLINK("http://genome-euro.ucsc.edu/cgi-bin/hgTracks?position=213187_x_at","UCSC")</f>
        <v>UCSC</v>
      </c>
      <c r="E563" s="1" t="str">
        <f>HYPERLINK("http://www.ncbi.nlm.nih.gov/gene/?term=FTL","NCBI")</f>
        <v>NCBI</v>
      </c>
      <c r="F563">
        <v>5.9000000000000003E-4</v>
      </c>
      <c r="G563">
        <v>1.7999999999999999E-2</v>
      </c>
      <c r="H563" s="1" t="str">
        <f>HYPERLINK("http://www.weizmann.ac.il/complex/compphys/software/geview/data/figures/213187_x_at.png","Figure")</f>
        <v>Figure</v>
      </c>
      <c r="I563">
        <v>0.63500000000000001</v>
      </c>
      <c r="J563">
        <v>8.0999999999999996E-3</v>
      </c>
      <c r="K563">
        <v>0.56899999999999995</v>
      </c>
      <c r="L563">
        <v>5.1000000000000004E-4</v>
      </c>
      <c r="M563">
        <v>0.89700000000000002</v>
      </c>
      <c r="N563">
        <v>0.63</v>
      </c>
    </row>
    <row r="564" spans="1:14" x14ac:dyDescent="0.25">
      <c r="A564" t="s">
        <v>1053</v>
      </c>
      <c r="B564" t="s">
        <v>1054</v>
      </c>
      <c r="C564" s="1" t="str">
        <f>HYPERLINK("http://www.genecards.org/cgi-bin/carddisp.pl?gene=PYHIN1","GeneCards")</f>
        <v>GeneCards</v>
      </c>
      <c r="D564" s="1" t="str">
        <f>HYPERLINK("http://genome-euro.ucsc.edu/cgi-bin/hgTracks?position=216748_at","UCSC")</f>
        <v>UCSC</v>
      </c>
      <c r="E564" s="1" t="str">
        <f>HYPERLINK("http://www.ncbi.nlm.nih.gov/gene/?term=PYHIN1","NCBI")</f>
        <v>NCBI</v>
      </c>
      <c r="F564">
        <v>5.9000000000000003E-4</v>
      </c>
      <c r="G564">
        <v>1.7999999999999999E-2</v>
      </c>
      <c r="H564" s="1" t="str">
        <f>HYPERLINK("http://www.weizmann.ac.il/complex/compphys/software/geview/data/figures/216748_at.png","Figure")</f>
        <v>Figure</v>
      </c>
      <c r="I564">
        <v>1</v>
      </c>
      <c r="J564">
        <v>1</v>
      </c>
      <c r="K564">
        <v>0.47199999999999998</v>
      </c>
      <c r="L564">
        <v>1.5E-3</v>
      </c>
      <c r="M564">
        <v>0.47199999999999998</v>
      </c>
      <c r="N564">
        <v>2.5999999999999999E-3</v>
      </c>
    </row>
    <row r="565" spans="1:14" x14ac:dyDescent="0.25">
      <c r="A565" t="s">
        <v>1055</v>
      </c>
      <c r="B565" t="s">
        <v>1056</v>
      </c>
      <c r="C565" s="1" t="str">
        <f>HYPERLINK("http://www.genecards.org/cgi-bin/carddisp.pl?gene=HGSNAT","GeneCards")</f>
        <v>GeneCards</v>
      </c>
      <c r="D565" s="1" t="str">
        <f>HYPERLINK("http://genome-euro.ucsc.edu/cgi-bin/hgTracks?position=218017_s_at","UCSC")</f>
        <v>UCSC</v>
      </c>
      <c r="E565" s="1" t="str">
        <f>HYPERLINK("http://www.ncbi.nlm.nih.gov/gene/?term=HGSNAT","NCBI")</f>
        <v>NCBI</v>
      </c>
      <c r="F565">
        <v>5.9000000000000003E-4</v>
      </c>
      <c r="G565">
        <v>1.7999999999999999E-2</v>
      </c>
      <c r="H565" s="1" t="str">
        <f>HYPERLINK("http://www.weizmann.ac.il/complex/compphys/software/geview/data/figures/218017_s_at.png","Figure")</f>
        <v>Figure</v>
      </c>
      <c r="I565">
        <v>0.73599999999999999</v>
      </c>
      <c r="J565">
        <v>0.18</v>
      </c>
      <c r="K565">
        <v>0.48099999999999998</v>
      </c>
      <c r="L565">
        <v>4.6000000000000001E-4</v>
      </c>
      <c r="M565">
        <v>0.65300000000000002</v>
      </c>
      <c r="N565">
        <v>3.5999999999999997E-2</v>
      </c>
    </row>
    <row r="566" spans="1:14" x14ac:dyDescent="0.25">
      <c r="A566" t="s">
        <v>1057</v>
      </c>
      <c r="B566" t="s">
        <v>1058</v>
      </c>
      <c r="C566" s="1" t="str">
        <f>HYPERLINK("http://www.genecards.org/cgi-bin/carddisp.pl?gene=IRF5","GeneCards")</f>
        <v>GeneCards</v>
      </c>
      <c r="D566" s="1" t="str">
        <f>HYPERLINK("http://genome-euro.ucsc.edu/cgi-bin/hgTracks?position=205469_s_at","UCSC")</f>
        <v>UCSC</v>
      </c>
      <c r="E566" s="1" t="str">
        <f>HYPERLINK("http://www.ncbi.nlm.nih.gov/gene/?term=IRF5","NCBI")</f>
        <v>NCBI</v>
      </c>
      <c r="F566">
        <v>5.9000000000000003E-4</v>
      </c>
      <c r="G566">
        <v>1.7999999999999999E-2</v>
      </c>
      <c r="H566" s="1" t="str">
        <f>HYPERLINK("http://www.weizmann.ac.il/complex/compphys/software/geview/data/figures/205469_s_at.png","Figure")</f>
        <v>Figure</v>
      </c>
      <c r="I566">
        <v>1.53</v>
      </c>
      <c r="J566">
        <v>7.9000000000000001E-4</v>
      </c>
      <c r="K566">
        <v>1.37</v>
      </c>
      <c r="L566">
        <v>2.8999999999999998E-3</v>
      </c>
      <c r="M566">
        <v>0.89700000000000002</v>
      </c>
      <c r="N566">
        <v>0.4</v>
      </c>
    </row>
    <row r="567" spans="1:14" x14ac:dyDescent="0.25">
      <c r="A567" t="s">
        <v>1059</v>
      </c>
      <c r="B567" t="s">
        <v>330</v>
      </c>
      <c r="C567" s="1" t="str">
        <f>HYPERLINK("http://www.genecards.org/cgi-bin/carddisp.pl?gene=CKLF","GeneCards")</f>
        <v>GeneCards</v>
      </c>
      <c r="D567" s="1" t="str">
        <f>HYPERLINK("http://genome-euro.ucsc.edu/cgi-bin/hgTracks?position=221058_s_at","UCSC")</f>
        <v>UCSC</v>
      </c>
      <c r="E567" s="1" t="str">
        <f>HYPERLINK("http://www.ncbi.nlm.nih.gov/gene/?term=CKLF","NCBI")</f>
        <v>NCBI</v>
      </c>
      <c r="F567">
        <v>5.9000000000000003E-4</v>
      </c>
      <c r="G567">
        <v>1.7999999999999999E-2</v>
      </c>
      <c r="H567" s="1" t="str">
        <f>HYPERLINK("http://www.weizmann.ac.il/complex/compphys/software/geview/data/figures/221058_s_at.png","Figure")</f>
        <v>Figure</v>
      </c>
      <c r="I567">
        <v>0.34599999999999997</v>
      </c>
      <c r="J567">
        <v>5.8E-4</v>
      </c>
      <c r="K567">
        <v>0.78100000000000003</v>
      </c>
      <c r="L567">
        <v>0.39</v>
      </c>
      <c r="M567">
        <v>2.2599999999999998</v>
      </c>
      <c r="N567">
        <v>3.0000000000000001E-3</v>
      </c>
    </row>
    <row r="568" spans="1:14" x14ac:dyDescent="0.25">
      <c r="A568" t="s">
        <v>1060</v>
      </c>
      <c r="B568" t="s">
        <v>1061</v>
      </c>
      <c r="C568" s="1" t="str">
        <f>HYPERLINK("http://www.genecards.org/cgi-bin/carddisp.pl?gene=GPR153","GeneCards")</f>
        <v>GeneCards</v>
      </c>
      <c r="D568" s="1" t="str">
        <f>HYPERLINK("http://genome-euro.ucsc.edu/cgi-bin/hgTracks?position=221902_at","UCSC")</f>
        <v>UCSC</v>
      </c>
      <c r="E568" s="1" t="str">
        <f>HYPERLINK("http://www.ncbi.nlm.nih.gov/gene/?term=GPR153","NCBI")</f>
        <v>NCBI</v>
      </c>
      <c r="F568">
        <v>5.9000000000000003E-4</v>
      </c>
      <c r="G568">
        <v>1.7999999999999999E-2</v>
      </c>
      <c r="H568" s="1" t="str">
        <f>HYPERLINK("http://www.weizmann.ac.il/complex/compphys/software/geview/data/figures/221902_at.png","Figure")</f>
        <v>Figure</v>
      </c>
      <c r="I568">
        <v>1.62</v>
      </c>
      <c r="J568">
        <v>5.8E-4</v>
      </c>
      <c r="K568">
        <v>1.37</v>
      </c>
      <c r="L568">
        <v>5.8999999999999999E-3</v>
      </c>
      <c r="M568">
        <v>0.84499999999999997</v>
      </c>
      <c r="N568">
        <v>0.18</v>
      </c>
    </row>
    <row r="569" spans="1:14" x14ac:dyDescent="0.25">
      <c r="A569" t="s">
        <v>1062</v>
      </c>
      <c r="B569" t="s">
        <v>1063</v>
      </c>
      <c r="C569" s="1" t="str">
        <f>HYPERLINK("http://www.genecards.org/cgi-bin/carddisp.pl?gene=WNT16","GeneCards")</f>
        <v>GeneCards</v>
      </c>
      <c r="D569" s="1" t="str">
        <f>HYPERLINK("http://genome-euro.ucsc.edu/cgi-bin/hgTracks?position=221113_s_at","UCSC")</f>
        <v>UCSC</v>
      </c>
      <c r="E569" s="1" t="str">
        <f>HYPERLINK("http://www.ncbi.nlm.nih.gov/gene/?term=WNT16","NCBI")</f>
        <v>NCBI</v>
      </c>
      <c r="F569">
        <v>5.9999999999999995E-4</v>
      </c>
      <c r="G569">
        <v>1.7999999999999999E-2</v>
      </c>
      <c r="H569" s="1" t="str">
        <f>HYPERLINK("http://www.weizmann.ac.il/complex/compphys/software/geview/data/figures/221113_s_at.png","Figure")</f>
        <v>Figure</v>
      </c>
      <c r="I569">
        <v>2.04</v>
      </c>
      <c r="J569">
        <v>2E-3</v>
      </c>
      <c r="K569">
        <v>1.97</v>
      </c>
      <c r="L569">
        <v>1E-3</v>
      </c>
      <c r="M569">
        <v>0.96599999999999997</v>
      </c>
      <c r="N569">
        <v>0.97</v>
      </c>
    </row>
    <row r="570" spans="1:14" x14ac:dyDescent="0.25">
      <c r="A570" t="s">
        <v>1064</v>
      </c>
      <c r="B570" t="s">
        <v>1065</v>
      </c>
      <c r="C570" s="1" t="str">
        <f>HYPERLINK("http://www.genecards.org/cgi-bin/carddisp.pl?gene=NEK1","GeneCards")</f>
        <v>GeneCards</v>
      </c>
      <c r="D570" s="1" t="str">
        <f>HYPERLINK("http://genome-euro.ucsc.edu/cgi-bin/hgTracks?position=213331_s_at","UCSC")</f>
        <v>UCSC</v>
      </c>
      <c r="E570" s="1" t="str">
        <f>HYPERLINK("http://www.ncbi.nlm.nih.gov/gene/?term=NEK1","NCBI")</f>
        <v>NCBI</v>
      </c>
      <c r="F570">
        <v>5.9999999999999995E-4</v>
      </c>
      <c r="G570">
        <v>1.7999999999999999E-2</v>
      </c>
      <c r="H570" s="1" t="str">
        <f>HYPERLINK("http://www.weizmann.ac.il/complex/compphys/software/geview/data/figures/213331_s_at.png","Figure")</f>
        <v>Figure</v>
      </c>
      <c r="I570">
        <v>0.59199999999999997</v>
      </c>
      <c r="J570">
        <v>8.8000000000000003E-4</v>
      </c>
      <c r="K570">
        <v>0.93799999999999994</v>
      </c>
      <c r="L570">
        <v>0.78</v>
      </c>
      <c r="M570">
        <v>1.59</v>
      </c>
      <c r="N570">
        <v>1.5E-3</v>
      </c>
    </row>
    <row r="571" spans="1:14" x14ac:dyDescent="0.25">
      <c r="A571" t="s">
        <v>1066</v>
      </c>
      <c r="B571" t="s">
        <v>1067</v>
      </c>
      <c r="C571" s="1" t="str">
        <f>HYPERLINK("http://www.genecards.org/cgi-bin/carddisp.pl?gene=NR4A2","GeneCards")</f>
        <v>GeneCards</v>
      </c>
      <c r="D571" s="1" t="str">
        <f>HYPERLINK("http://genome-euro.ucsc.edu/cgi-bin/hgTracks?position=216248_s_at","UCSC")</f>
        <v>UCSC</v>
      </c>
      <c r="E571" s="1" t="str">
        <f>HYPERLINK("http://www.ncbi.nlm.nih.gov/gene/?term=NR4A2","NCBI")</f>
        <v>NCBI</v>
      </c>
      <c r="F571">
        <v>5.9999999999999995E-4</v>
      </c>
      <c r="G571">
        <v>1.7999999999999999E-2</v>
      </c>
      <c r="H571" s="1" t="str">
        <f>HYPERLINK("http://www.weizmann.ac.il/complex/compphys/software/geview/data/figures/216248_s_at.png","Figure")</f>
        <v>Figure</v>
      </c>
      <c r="I571">
        <v>0.158</v>
      </c>
      <c r="J571">
        <v>5.0000000000000001E-4</v>
      </c>
      <c r="K571">
        <v>0.33400000000000002</v>
      </c>
      <c r="L571">
        <v>9.7999999999999997E-3</v>
      </c>
      <c r="M571">
        <v>2.11</v>
      </c>
      <c r="N571">
        <v>0.1</v>
      </c>
    </row>
    <row r="572" spans="1:14" x14ac:dyDescent="0.25">
      <c r="A572" t="s">
        <v>1068</v>
      </c>
      <c r="B572" t="s">
        <v>1069</v>
      </c>
      <c r="C572" s="1" t="str">
        <f>HYPERLINK("http://www.genecards.org/cgi-bin/carddisp.pl?gene=ARHGAP8 /// PRR5","GeneCards")</f>
        <v>GeneCards</v>
      </c>
      <c r="D572" s="1" t="str">
        <f>HYPERLINK("http://genome-euro.ucsc.edu/cgi-bin/hgTracks?position=219168_s_at","UCSC")</f>
        <v>UCSC</v>
      </c>
      <c r="E572" s="1" t="str">
        <f>HYPERLINK("http://www.ncbi.nlm.nih.gov/gene/?term=ARHGAP8 /// PRR5","NCBI")</f>
        <v>NCBI</v>
      </c>
      <c r="F572">
        <v>5.9999999999999995E-4</v>
      </c>
      <c r="G572">
        <v>1.7999999999999999E-2</v>
      </c>
      <c r="H572" s="1" t="str">
        <f>HYPERLINK("http://www.weizmann.ac.il/complex/compphys/software/geview/data/figures/219168_s_at.png","Figure")</f>
        <v>Figure</v>
      </c>
      <c r="I572">
        <v>1.4</v>
      </c>
      <c r="J572">
        <v>1E-3</v>
      </c>
      <c r="K572">
        <v>1.31</v>
      </c>
      <c r="L572">
        <v>2E-3</v>
      </c>
      <c r="M572">
        <v>0.93600000000000005</v>
      </c>
      <c r="N572">
        <v>0.59</v>
      </c>
    </row>
    <row r="573" spans="1:14" x14ac:dyDescent="0.25">
      <c r="A573" t="s">
        <v>1070</v>
      </c>
      <c r="B573" t="s">
        <v>1071</v>
      </c>
      <c r="C573" s="1" t="str">
        <f>HYPERLINK("http://www.genecards.org/cgi-bin/carddisp.pl?gene=ENPP4","GeneCards")</f>
        <v>GeneCards</v>
      </c>
      <c r="D573" s="1" t="str">
        <f>HYPERLINK("http://genome-euro.ucsc.edu/cgi-bin/hgTracks?position=204160_s_at","UCSC")</f>
        <v>UCSC</v>
      </c>
      <c r="E573" s="1" t="str">
        <f>HYPERLINK("http://www.ncbi.nlm.nih.gov/gene/?term=ENPP4","NCBI")</f>
        <v>NCBI</v>
      </c>
      <c r="F573">
        <v>6.0999999999999997E-4</v>
      </c>
      <c r="G573">
        <v>1.7999999999999999E-2</v>
      </c>
      <c r="H573" s="1" t="str">
        <f>HYPERLINK("http://www.weizmann.ac.il/complex/compphys/software/geview/data/figures/204160_s_at.png","Figure")</f>
        <v>Figure</v>
      </c>
      <c r="I573">
        <v>1</v>
      </c>
      <c r="J573">
        <v>1</v>
      </c>
      <c r="K573">
        <v>0.35799999999999998</v>
      </c>
      <c r="L573">
        <v>1.5E-3</v>
      </c>
      <c r="M573">
        <v>0.35799999999999998</v>
      </c>
      <c r="N573">
        <v>2.5999999999999999E-3</v>
      </c>
    </row>
    <row r="574" spans="1:14" x14ac:dyDescent="0.25">
      <c r="A574" t="s">
        <v>1072</v>
      </c>
      <c r="B574" t="s">
        <v>1073</v>
      </c>
      <c r="C574" s="1" t="str">
        <f>HYPERLINK("http://www.genecards.org/cgi-bin/carddisp.pl?gene=RPS4Y1","GeneCards")</f>
        <v>GeneCards</v>
      </c>
      <c r="D574" s="1" t="str">
        <f>HYPERLINK("http://genome-euro.ucsc.edu/cgi-bin/hgTracks?position=201909_at","UCSC")</f>
        <v>UCSC</v>
      </c>
      <c r="E574" s="1" t="str">
        <f>HYPERLINK("http://www.ncbi.nlm.nih.gov/gene/?term=RPS4Y1","NCBI")</f>
        <v>NCBI</v>
      </c>
      <c r="F574">
        <v>6.0999999999999997E-4</v>
      </c>
      <c r="G574">
        <v>1.7999999999999999E-2</v>
      </c>
      <c r="H574" s="1" t="str">
        <f>HYPERLINK("http://www.weizmann.ac.il/complex/compphys/software/geview/data/figures/201909_at.png","Figure")</f>
        <v>Figure</v>
      </c>
      <c r="I574">
        <v>8.7799999999999994</v>
      </c>
      <c r="J574">
        <v>4.1000000000000003E-3</v>
      </c>
      <c r="K574">
        <v>0.64600000000000002</v>
      </c>
      <c r="L574">
        <v>0.64</v>
      </c>
      <c r="M574">
        <v>7.3599999999999999E-2</v>
      </c>
      <c r="N574">
        <v>5.2999999999999998E-4</v>
      </c>
    </row>
    <row r="575" spans="1:14" x14ac:dyDescent="0.25">
      <c r="A575" t="s">
        <v>1074</v>
      </c>
      <c r="B575" t="s">
        <v>1075</v>
      </c>
      <c r="C575" s="1" t="str">
        <f>HYPERLINK("http://www.genecards.org/cgi-bin/carddisp.pl?gene=ZDHHC14","GeneCards")</f>
        <v>GeneCards</v>
      </c>
      <c r="D575" s="1" t="str">
        <f>HYPERLINK("http://genome-euro.ucsc.edu/cgi-bin/hgTracks?position=219247_s_at","UCSC")</f>
        <v>UCSC</v>
      </c>
      <c r="E575" s="1" t="str">
        <f>HYPERLINK("http://www.ncbi.nlm.nih.gov/gene/?term=ZDHHC14","NCBI")</f>
        <v>NCBI</v>
      </c>
      <c r="F575">
        <v>6.0999999999999997E-4</v>
      </c>
      <c r="G575">
        <v>1.7999999999999999E-2</v>
      </c>
      <c r="H575" s="1" t="str">
        <f>HYPERLINK("http://www.weizmann.ac.il/complex/compphys/software/geview/data/figures/219247_s_at.png","Figure")</f>
        <v>Figure</v>
      </c>
      <c r="I575">
        <v>1.42</v>
      </c>
      <c r="J575">
        <v>1.1999999999999999E-3</v>
      </c>
      <c r="K575">
        <v>1.34</v>
      </c>
      <c r="L575">
        <v>1.6999999999999999E-3</v>
      </c>
      <c r="M575">
        <v>0.94699999999999995</v>
      </c>
      <c r="N575">
        <v>0.72</v>
      </c>
    </row>
    <row r="576" spans="1:14" x14ac:dyDescent="0.25">
      <c r="A576" t="s">
        <v>1076</v>
      </c>
      <c r="B576" t="s">
        <v>1077</v>
      </c>
      <c r="C576" s="1" t="str">
        <f>HYPERLINK("http://www.genecards.org/cgi-bin/carddisp.pl?gene=PHC2","GeneCards")</f>
        <v>GeneCards</v>
      </c>
      <c r="D576" s="1" t="str">
        <f>HYPERLINK("http://genome-euro.ucsc.edu/cgi-bin/hgTracks?position=200919_at","UCSC")</f>
        <v>UCSC</v>
      </c>
      <c r="E576" s="1" t="str">
        <f>HYPERLINK("http://www.ncbi.nlm.nih.gov/gene/?term=PHC2","NCBI")</f>
        <v>NCBI</v>
      </c>
      <c r="F576">
        <v>6.2E-4</v>
      </c>
      <c r="G576">
        <v>1.7999999999999999E-2</v>
      </c>
      <c r="H576" s="1" t="str">
        <f>HYPERLINK("http://www.weizmann.ac.il/complex/compphys/software/geview/data/figures/200919_at.png","Figure")</f>
        <v>Figure</v>
      </c>
      <c r="I576">
        <v>1.45</v>
      </c>
      <c r="J576">
        <v>4.8000000000000001E-4</v>
      </c>
      <c r="K576">
        <v>1.1299999999999999</v>
      </c>
      <c r="L576">
        <v>0.17</v>
      </c>
      <c r="M576">
        <v>0.77800000000000002</v>
      </c>
      <c r="N576">
        <v>6.4000000000000003E-3</v>
      </c>
    </row>
    <row r="577" spans="1:14" x14ac:dyDescent="0.25">
      <c r="A577" t="s">
        <v>1078</v>
      </c>
      <c r="B577" t="s">
        <v>1079</v>
      </c>
      <c r="C577" s="1" t="str">
        <f>HYPERLINK("http://www.genecards.org/cgi-bin/carddisp.pl?gene=TXNL1","GeneCards")</f>
        <v>GeneCards</v>
      </c>
      <c r="D577" s="1" t="str">
        <f>HYPERLINK("http://genome-euro.ucsc.edu/cgi-bin/hgTracks?position=201588_at","UCSC")</f>
        <v>UCSC</v>
      </c>
      <c r="E577" s="1" t="str">
        <f>HYPERLINK("http://www.ncbi.nlm.nih.gov/gene/?term=TXNL1","NCBI")</f>
        <v>NCBI</v>
      </c>
      <c r="F577">
        <v>6.0999999999999997E-4</v>
      </c>
      <c r="G577">
        <v>1.7999999999999999E-2</v>
      </c>
      <c r="H577" s="1" t="str">
        <f>HYPERLINK("http://www.weizmann.ac.il/complex/compphys/software/geview/data/figures/201588_at.png","Figure")</f>
        <v>Figure</v>
      </c>
      <c r="I577">
        <v>0.59199999999999997</v>
      </c>
      <c r="J577">
        <v>5.4000000000000001E-4</v>
      </c>
      <c r="K577">
        <v>0.72399999999999998</v>
      </c>
      <c r="L577">
        <v>8.2000000000000007E-3</v>
      </c>
      <c r="M577">
        <v>1.22</v>
      </c>
      <c r="N577">
        <v>0.13</v>
      </c>
    </row>
    <row r="578" spans="1:14" x14ac:dyDescent="0.25">
      <c r="A578" t="s">
        <v>1080</v>
      </c>
      <c r="B578" t="s">
        <v>1081</v>
      </c>
      <c r="C578" s="1" t="str">
        <f>HYPERLINK("http://www.genecards.org/cgi-bin/carddisp.pl?gene=TEAD4","GeneCards")</f>
        <v>GeneCards</v>
      </c>
      <c r="D578" s="1" t="str">
        <f>HYPERLINK("http://genome-euro.ucsc.edu/cgi-bin/hgTracks?position=204281_at","UCSC")</f>
        <v>UCSC</v>
      </c>
      <c r="E578" s="1" t="str">
        <f>HYPERLINK("http://www.ncbi.nlm.nih.gov/gene/?term=TEAD4","NCBI")</f>
        <v>NCBI</v>
      </c>
      <c r="F578">
        <v>6.2E-4</v>
      </c>
      <c r="G578">
        <v>1.7999999999999999E-2</v>
      </c>
      <c r="H578" s="1" t="str">
        <f>HYPERLINK("http://www.weizmann.ac.il/complex/compphys/software/geview/data/figures/204281_at.png","Figure")</f>
        <v>Figure</v>
      </c>
      <c r="I578">
        <v>1.55</v>
      </c>
      <c r="J578">
        <v>6.6E-4</v>
      </c>
      <c r="K578">
        <v>1.35</v>
      </c>
      <c r="L578">
        <v>4.7999999999999996E-3</v>
      </c>
      <c r="M578">
        <v>0.86899999999999999</v>
      </c>
      <c r="N578">
        <v>0.24</v>
      </c>
    </row>
    <row r="579" spans="1:14" x14ac:dyDescent="0.25">
      <c r="A579" t="s">
        <v>1082</v>
      </c>
      <c r="B579" t="s">
        <v>752</v>
      </c>
      <c r="C579" s="1" t="str">
        <f>HYPERLINK("http://www.genecards.org/cgi-bin/carddisp.pl?gene=IRS2","GeneCards")</f>
        <v>GeneCards</v>
      </c>
      <c r="D579" s="1" t="str">
        <f>HYPERLINK("http://genome-euro.ucsc.edu/cgi-bin/hgTracks?position=209184_s_at","UCSC")</f>
        <v>UCSC</v>
      </c>
      <c r="E579" s="1" t="str">
        <f>HYPERLINK("http://www.ncbi.nlm.nih.gov/gene/?term=IRS2","NCBI")</f>
        <v>NCBI</v>
      </c>
      <c r="F579">
        <v>6.2E-4</v>
      </c>
      <c r="G579">
        <v>1.7999999999999999E-2</v>
      </c>
      <c r="H579" s="1" t="str">
        <f>HYPERLINK("http://www.weizmann.ac.il/complex/compphys/software/geview/data/figures/209184_s_at.png","Figure")</f>
        <v>Figure</v>
      </c>
      <c r="I579">
        <v>0.61699999999999999</v>
      </c>
      <c r="J579">
        <v>0.28999999999999998</v>
      </c>
      <c r="K579">
        <v>0.25700000000000001</v>
      </c>
      <c r="L579">
        <v>5.4000000000000001E-4</v>
      </c>
      <c r="M579">
        <v>0.41599999999999998</v>
      </c>
      <c r="N579">
        <v>2.1999999999999999E-2</v>
      </c>
    </row>
    <row r="580" spans="1:14" x14ac:dyDescent="0.25">
      <c r="A580" t="s">
        <v>1083</v>
      </c>
      <c r="B580" t="s">
        <v>1084</v>
      </c>
      <c r="C580" s="1" t="str">
        <f>HYPERLINK("http://www.genecards.org/cgi-bin/carddisp.pl?gene=RABGGTB","GeneCards")</f>
        <v>GeneCards</v>
      </c>
      <c r="D580" s="1" t="str">
        <f>HYPERLINK("http://genome-euro.ucsc.edu/cgi-bin/hgTracks?position=213704_at","UCSC")</f>
        <v>UCSC</v>
      </c>
      <c r="E580" s="1" t="str">
        <f>HYPERLINK("http://www.ncbi.nlm.nih.gov/gene/?term=RABGGTB","NCBI")</f>
        <v>NCBI</v>
      </c>
      <c r="F580">
        <v>6.2E-4</v>
      </c>
      <c r="G580">
        <v>1.7999999999999999E-2</v>
      </c>
      <c r="H580" s="1" t="str">
        <f>HYPERLINK("http://www.weizmann.ac.il/complex/compphys/software/geview/data/figures/213704_at.png","Figure")</f>
        <v>Figure</v>
      </c>
      <c r="I580">
        <v>0.35299999999999998</v>
      </c>
      <c r="J580">
        <v>1.5E-3</v>
      </c>
      <c r="K580">
        <v>0.40100000000000002</v>
      </c>
      <c r="L580">
        <v>1.4E-3</v>
      </c>
      <c r="M580">
        <v>1.1399999999999999</v>
      </c>
      <c r="N580">
        <v>0.83</v>
      </c>
    </row>
    <row r="581" spans="1:14" x14ac:dyDescent="0.25">
      <c r="A581" t="s">
        <v>1085</v>
      </c>
      <c r="B581" t="s">
        <v>1086</v>
      </c>
      <c r="C581" s="1" t="str">
        <f>HYPERLINK("http://www.genecards.org/cgi-bin/carddisp.pl?gene=CTBS","GeneCards")</f>
        <v>GeneCards</v>
      </c>
      <c r="D581" s="1" t="str">
        <f>HYPERLINK("http://genome-euro.ucsc.edu/cgi-bin/hgTracks?position=218923_at","UCSC")</f>
        <v>UCSC</v>
      </c>
      <c r="E581" s="1" t="str">
        <f>HYPERLINK("http://www.ncbi.nlm.nih.gov/gene/?term=CTBS","NCBI")</f>
        <v>NCBI</v>
      </c>
      <c r="F581">
        <v>6.2E-4</v>
      </c>
      <c r="G581">
        <v>1.7999999999999999E-2</v>
      </c>
      <c r="H581" s="1" t="str">
        <f>HYPERLINK("http://www.weizmann.ac.il/complex/compphys/software/geview/data/figures/218923_at.png","Figure")</f>
        <v>Figure</v>
      </c>
      <c r="I581">
        <v>0.77800000000000002</v>
      </c>
      <c r="J581">
        <v>7.1000000000000002E-4</v>
      </c>
      <c r="K581">
        <v>0.95499999999999996</v>
      </c>
      <c r="L581">
        <v>0.56000000000000005</v>
      </c>
      <c r="M581">
        <v>1.23</v>
      </c>
      <c r="N581">
        <v>2.2000000000000001E-3</v>
      </c>
    </row>
    <row r="582" spans="1:14" x14ac:dyDescent="0.25">
      <c r="A582" t="s">
        <v>1087</v>
      </c>
      <c r="B582" t="s">
        <v>1088</v>
      </c>
      <c r="C582" s="1" t="str">
        <f>HYPERLINK("http://www.genecards.org/cgi-bin/carddisp.pl?gene=FKBP15","GeneCards")</f>
        <v>GeneCards</v>
      </c>
      <c r="D582" s="1" t="str">
        <f>HYPERLINK("http://genome-euro.ucsc.edu/cgi-bin/hgTracks?position=212663_at","UCSC")</f>
        <v>UCSC</v>
      </c>
      <c r="E582" s="1" t="str">
        <f>HYPERLINK("http://www.ncbi.nlm.nih.gov/gene/?term=FKBP15","NCBI")</f>
        <v>NCBI</v>
      </c>
      <c r="F582">
        <v>6.2E-4</v>
      </c>
      <c r="G582">
        <v>1.7999999999999999E-2</v>
      </c>
      <c r="H582" s="1" t="str">
        <f>HYPERLINK("http://www.weizmann.ac.il/complex/compphys/software/geview/data/figures/212663_at.png","Figure")</f>
        <v>Figure</v>
      </c>
      <c r="I582">
        <v>1.64</v>
      </c>
      <c r="J582">
        <v>1.1000000000000001E-3</v>
      </c>
      <c r="K582">
        <v>1.49</v>
      </c>
      <c r="L582">
        <v>2.0999999999999999E-3</v>
      </c>
      <c r="M582">
        <v>0.90800000000000003</v>
      </c>
      <c r="N582">
        <v>0.6</v>
      </c>
    </row>
    <row r="583" spans="1:14" x14ac:dyDescent="0.25">
      <c r="A583" t="s">
        <v>1089</v>
      </c>
      <c r="B583" t="s">
        <v>1090</v>
      </c>
      <c r="C583" s="1" t="str">
        <f>HYPERLINK("http://www.genecards.org/cgi-bin/carddisp.pl?gene=MED13L","GeneCards")</f>
        <v>GeneCards</v>
      </c>
      <c r="D583" s="1" t="str">
        <f>HYPERLINK("http://genome-euro.ucsc.edu/cgi-bin/hgTracks?position=212209_at","UCSC")</f>
        <v>UCSC</v>
      </c>
      <c r="E583" s="1" t="str">
        <f>HYPERLINK("http://www.ncbi.nlm.nih.gov/gene/?term=MED13L","NCBI")</f>
        <v>NCBI</v>
      </c>
      <c r="F583">
        <v>6.3000000000000003E-4</v>
      </c>
      <c r="G583">
        <v>1.7999999999999999E-2</v>
      </c>
      <c r="H583" s="1" t="str">
        <f>HYPERLINK("http://www.weizmann.ac.il/complex/compphys/software/geview/data/figures/212209_at.png","Figure")</f>
        <v>Figure</v>
      </c>
      <c r="I583">
        <v>0.39800000000000002</v>
      </c>
      <c r="J583">
        <v>1.6000000000000001E-3</v>
      </c>
      <c r="K583">
        <v>0.44</v>
      </c>
      <c r="L583">
        <v>1.4E-3</v>
      </c>
      <c r="M583">
        <v>1.1100000000000001</v>
      </c>
      <c r="N583">
        <v>0.86</v>
      </c>
    </row>
    <row r="584" spans="1:14" x14ac:dyDescent="0.25">
      <c r="A584" t="s">
        <v>1091</v>
      </c>
      <c r="B584" t="s">
        <v>697</v>
      </c>
      <c r="C584" s="1" t="str">
        <f>HYPERLINK("http://www.genecards.org/cgi-bin/carddisp.pl?gene=EIF1AX","GeneCards")</f>
        <v>GeneCards</v>
      </c>
      <c r="D584" s="1" t="str">
        <f>HYPERLINK("http://genome-euro.ucsc.edu/cgi-bin/hgTracks?position=201017_at","UCSC")</f>
        <v>UCSC</v>
      </c>
      <c r="E584" s="1" t="str">
        <f>HYPERLINK("http://www.ncbi.nlm.nih.gov/gene/?term=EIF1AX","NCBI")</f>
        <v>NCBI</v>
      </c>
      <c r="F584">
        <v>6.3000000000000003E-4</v>
      </c>
      <c r="G584">
        <v>1.7999999999999999E-2</v>
      </c>
      <c r="H584" s="1" t="str">
        <f>HYPERLINK("http://www.weizmann.ac.il/complex/compphys/software/geview/data/figures/201017_at.png","Figure")</f>
        <v>Figure</v>
      </c>
      <c r="I584">
        <v>0.44</v>
      </c>
      <c r="J584">
        <v>9.6000000000000002E-4</v>
      </c>
      <c r="K584">
        <v>0.91</v>
      </c>
      <c r="L584">
        <v>0.8</v>
      </c>
      <c r="M584">
        <v>2.0699999999999998</v>
      </c>
      <c r="N584">
        <v>1.5E-3</v>
      </c>
    </row>
    <row r="585" spans="1:14" x14ac:dyDescent="0.25">
      <c r="A585" t="s">
        <v>1092</v>
      </c>
      <c r="B585" t="s">
        <v>1093</v>
      </c>
      <c r="C585" s="1" t="str">
        <f>HYPERLINK("http://www.genecards.org/cgi-bin/carddisp.pl?gene=HPRT1","GeneCards")</f>
        <v>GeneCards</v>
      </c>
      <c r="D585" s="1" t="str">
        <f>HYPERLINK("http://genome-euro.ucsc.edu/cgi-bin/hgTracks?position=202854_at","UCSC")</f>
        <v>UCSC</v>
      </c>
      <c r="E585" s="1" t="str">
        <f>HYPERLINK("http://www.ncbi.nlm.nih.gov/gene/?term=HPRT1","NCBI")</f>
        <v>NCBI</v>
      </c>
      <c r="F585">
        <v>6.3000000000000003E-4</v>
      </c>
      <c r="G585">
        <v>1.7999999999999999E-2</v>
      </c>
      <c r="H585" s="1" t="str">
        <f>HYPERLINK("http://www.weizmann.ac.il/complex/compphys/software/geview/data/figures/202854_at.png","Figure")</f>
        <v>Figure</v>
      </c>
      <c r="I585">
        <v>0.60199999999999998</v>
      </c>
      <c r="J585">
        <v>3.9E-2</v>
      </c>
      <c r="K585">
        <v>1.47</v>
      </c>
      <c r="L585">
        <v>7.6999999999999999E-2</v>
      </c>
      <c r="M585">
        <v>2.44</v>
      </c>
      <c r="N585">
        <v>4.6000000000000001E-4</v>
      </c>
    </row>
    <row r="586" spans="1:14" x14ac:dyDescent="0.25">
      <c r="A586" t="s">
        <v>1094</v>
      </c>
      <c r="B586" t="s">
        <v>1095</v>
      </c>
      <c r="C586" s="1" t="str">
        <f>HYPERLINK("http://www.genecards.org/cgi-bin/carddisp.pl?gene=PAPOLA","GeneCards")</f>
        <v>GeneCards</v>
      </c>
      <c r="D586" s="1" t="str">
        <f>HYPERLINK("http://genome-euro.ucsc.edu/cgi-bin/hgTracks?position=209388_at","UCSC")</f>
        <v>UCSC</v>
      </c>
      <c r="E586" s="1" t="str">
        <f>HYPERLINK("http://www.ncbi.nlm.nih.gov/gene/?term=PAPOLA","NCBI")</f>
        <v>NCBI</v>
      </c>
      <c r="F586">
        <v>6.3000000000000003E-4</v>
      </c>
      <c r="G586">
        <v>1.7999999999999999E-2</v>
      </c>
      <c r="H586" s="1" t="str">
        <f>HYPERLINK("http://www.weizmann.ac.il/complex/compphys/software/geview/data/figures/209388_at.png","Figure")</f>
        <v>Figure</v>
      </c>
      <c r="I586">
        <v>0.68200000000000005</v>
      </c>
      <c r="J586">
        <v>0.22</v>
      </c>
      <c r="K586">
        <v>0.38</v>
      </c>
      <c r="L586">
        <v>5.1999999999999995E-4</v>
      </c>
      <c r="M586">
        <v>0.55800000000000005</v>
      </c>
      <c r="N586">
        <v>3.1E-2</v>
      </c>
    </row>
    <row r="587" spans="1:14" x14ac:dyDescent="0.25">
      <c r="A587" t="s">
        <v>1096</v>
      </c>
      <c r="B587" t="s">
        <v>885</v>
      </c>
      <c r="C587" s="1" t="str">
        <f>HYPERLINK("http://www.genecards.org/cgi-bin/carddisp.pl?gene=PRPF4B","GeneCards")</f>
        <v>GeneCards</v>
      </c>
      <c r="D587" s="1" t="str">
        <f>HYPERLINK("http://genome-euro.ucsc.edu/cgi-bin/hgTracks?position=202127_at","UCSC")</f>
        <v>UCSC</v>
      </c>
      <c r="E587" s="1" t="str">
        <f>HYPERLINK("http://www.ncbi.nlm.nih.gov/gene/?term=PRPF4B","NCBI")</f>
        <v>NCBI</v>
      </c>
      <c r="F587">
        <v>6.4999999999999997E-4</v>
      </c>
      <c r="G587">
        <v>1.9E-2</v>
      </c>
      <c r="H587" s="1" t="str">
        <f>HYPERLINK("http://www.weizmann.ac.il/complex/compphys/software/geview/data/figures/202127_at.png","Figure")</f>
        <v>Figure</v>
      </c>
      <c r="I587">
        <v>0.49</v>
      </c>
      <c r="J587">
        <v>4.1000000000000003E-3</v>
      </c>
      <c r="K587">
        <v>0.46300000000000002</v>
      </c>
      <c r="L587">
        <v>7.5000000000000002E-4</v>
      </c>
      <c r="M587">
        <v>0.94499999999999995</v>
      </c>
      <c r="N587">
        <v>0.94</v>
      </c>
    </row>
    <row r="588" spans="1:14" x14ac:dyDescent="0.25">
      <c r="A588" t="s">
        <v>1097</v>
      </c>
      <c r="B588" t="s">
        <v>927</v>
      </c>
      <c r="C588" s="1" t="str">
        <f>HYPERLINK("http://www.genecards.org/cgi-bin/carddisp.pl?gene=ISG20","GeneCards")</f>
        <v>GeneCards</v>
      </c>
      <c r="D588" s="1" t="str">
        <f>HYPERLINK("http://genome-euro.ucsc.edu/cgi-bin/hgTracks?position=204698_at","UCSC")</f>
        <v>UCSC</v>
      </c>
      <c r="E588" s="1" t="str">
        <f>HYPERLINK("http://www.ncbi.nlm.nih.gov/gene/?term=ISG20","NCBI")</f>
        <v>NCBI</v>
      </c>
      <c r="F588">
        <v>6.4999999999999997E-4</v>
      </c>
      <c r="G588">
        <v>1.9E-2</v>
      </c>
      <c r="H588" s="1" t="str">
        <f>HYPERLINK("http://www.weizmann.ac.il/complex/compphys/software/geview/data/figures/204698_at.png","Figure")</f>
        <v>Figure</v>
      </c>
      <c r="I588">
        <v>0.67300000000000004</v>
      </c>
      <c r="J588">
        <v>0.47</v>
      </c>
      <c r="K588">
        <v>0.24099999999999999</v>
      </c>
      <c r="L588">
        <v>6.8000000000000005E-4</v>
      </c>
      <c r="M588">
        <v>0.35799999999999998</v>
      </c>
      <c r="N588">
        <v>1.2999999999999999E-2</v>
      </c>
    </row>
    <row r="589" spans="1:14" x14ac:dyDescent="0.25">
      <c r="A589" t="s">
        <v>1098</v>
      </c>
      <c r="B589" t="s">
        <v>1099</v>
      </c>
      <c r="C589" s="1" t="str">
        <f>HYPERLINK("http://www.genecards.org/cgi-bin/carddisp.pl?gene=CACNA2D2","GeneCards")</f>
        <v>GeneCards</v>
      </c>
      <c r="D589" s="1" t="str">
        <f>HYPERLINK("http://genome-euro.ucsc.edu/cgi-bin/hgTracks?position=204811_s_at","UCSC")</f>
        <v>UCSC</v>
      </c>
      <c r="E589" s="1" t="str">
        <f>HYPERLINK("http://www.ncbi.nlm.nih.gov/gene/?term=CACNA2D2","NCBI")</f>
        <v>NCBI</v>
      </c>
      <c r="F589">
        <v>6.4999999999999997E-4</v>
      </c>
      <c r="G589">
        <v>1.9E-2</v>
      </c>
      <c r="H589" s="1" t="str">
        <f>HYPERLINK("http://www.weizmann.ac.il/complex/compphys/software/geview/data/figures/204811_s_at.png","Figure")</f>
        <v>Figure</v>
      </c>
      <c r="I589">
        <v>1.23</v>
      </c>
      <c r="J589">
        <v>8.1000000000000003E-2</v>
      </c>
      <c r="K589">
        <v>0.80900000000000005</v>
      </c>
      <c r="L589">
        <v>3.7999999999999999E-2</v>
      </c>
      <c r="M589">
        <v>0.65900000000000003</v>
      </c>
      <c r="N589">
        <v>5.1000000000000004E-4</v>
      </c>
    </row>
    <row r="590" spans="1:14" x14ac:dyDescent="0.25">
      <c r="A590" t="s">
        <v>1100</v>
      </c>
      <c r="B590" t="s">
        <v>70</v>
      </c>
      <c r="C590" s="1" t="str">
        <f>HYPERLINK("http://www.genecards.org/cgi-bin/carddisp.pl?gene=ACTN1","GeneCards")</f>
        <v>GeneCards</v>
      </c>
      <c r="D590" s="1" t="str">
        <f>HYPERLINK("http://genome-euro.ucsc.edu/cgi-bin/hgTracks?position=208637_x_at","UCSC")</f>
        <v>UCSC</v>
      </c>
      <c r="E590" s="1" t="str">
        <f>HYPERLINK("http://www.ncbi.nlm.nih.gov/gene/?term=ACTN1","NCBI")</f>
        <v>NCBI</v>
      </c>
      <c r="F590">
        <v>6.4000000000000005E-4</v>
      </c>
      <c r="G590">
        <v>1.9E-2</v>
      </c>
      <c r="H590" s="1" t="str">
        <f>HYPERLINK("http://www.weizmann.ac.il/complex/compphys/software/geview/data/figures/208637_x_at.png","Figure")</f>
        <v>Figure</v>
      </c>
      <c r="I590">
        <v>0.44800000000000001</v>
      </c>
      <c r="J590">
        <v>4.4999999999999997E-3</v>
      </c>
      <c r="K590">
        <v>1.18</v>
      </c>
      <c r="L590">
        <v>0.63</v>
      </c>
      <c r="M590">
        <v>2.64</v>
      </c>
      <c r="N590">
        <v>5.5999999999999995E-4</v>
      </c>
    </row>
    <row r="591" spans="1:14" x14ac:dyDescent="0.25">
      <c r="A591" t="s">
        <v>1101</v>
      </c>
      <c r="B591" t="s">
        <v>1102</v>
      </c>
      <c r="C591" s="1" t="str">
        <f>HYPERLINK("http://www.genecards.org/cgi-bin/carddisp.pl?gene=R3HCC1","GeneCards")</f>
        <v>GeneCards</v>
      </c>
      <c r="D591" s="1" t="str">
        <f>HYPERLINK("http://genome-euro.ucsc.edu/cgi-bin/hgTracks?position=212866_at","UCSC")</f>
        <v>UCSC</v>
      </c>
      <c r="E591" s="1" t="str">
        <f>HYPERLINK("http://www.ncbi.nlm.nih.gov/gene/?term=R3HCC1","NCBI")</f>
        <v>NCBI</v>
      </c>
      <c r="F591">
        <v>6.4999999999999997E-4</v>
      </c>
      <c r="G591">
        <v>1.9E-2</v>
      </c>
      <c r="H591" s="1" t="str">
        <f>HYPERLINK("http://www.weizmann.ac.il/complex/compphys/software/geview/data/figures/212866_at.png","Figure")</f>
        <v>Figure</v>
      </c>
      <c r="I591">
        <v>0.79900000000000004</v>
      </c>
      <c r="J591">
        <v>6.4000000000000001E-2</v>
      </c>
      <c r="K591">
        <v>1.23</v>
      </c>
      <c r="L591">
        <v>4.8000000000000001E-2</v>
      </c>
      <c r="M591">
        <v>1.54</v>
      </c>
      <c r="N591">
        <v>4.8999999999999998E-4</v>
      </c>
    </row>
    <row r="592" spans="1:14" x14ac:dyDescent="0.25">
      <c r="A592" t="s">
        <v>1103</v>
      </c>
      <c r="B592" t="s">
        <v>126</v>
      </c>
      <c r="C592" s="1" t="str">
        <f>HYPERLINK("http://www.genecards.org/cgi-bin/carddisp.pl?gene=SERBP1","GeneCards")</f>
        <v>GeneCards</v>
      </c>
      <c r="D592" s="1" t="str">
        <f>HYPERLINK("http://genome-euro.ucsc.edu/cgi-bin/hgTracks?position=217724_at","UCSC")</f>
        <v>UCSC</v>
      </c>
      <c r="E592" s="1" t="str">
        <f>HYPERLINK("http://www.ncbi.nlm.nih.gov/gene/?term=SERBP1","NCBI")</f>
        <v>NCBI</v>
      </c>
      <c r="F592">
        <v>6.4000000000000005E-4</v>
      </c>
      <c r="G592">
        <v>1.9E-2</v>
      </c>
      <c r="H592" s="1" t="str">
        <f>HYPERLINK("http://www.weizmann.ac.il/complex/compphys/software/geview/data/figures/217724_at.png","Figure")</f>
        <v>Figure</v>
      </c>
      <c r="I592">
        <v>1.08</v>
      </c>
      <c r="J592">
        <v>0.92</v>
      </c>
      <c r="K592">
        <v>2.2400000000000002</v>
      </c>
      <c r="L592">
        <v>1.1999999999999999E-3</v>
      </c>
      <c r="M592">
        <v>2.08</v>
      </c>
      <c r="N592">
        <v>4.3E-3</v>
      </c>
    </row>
    <row r="593" spans="1:14" x14ac:dyDescent="0.25">
      <c r="A593" t="s">
        <v>1104</v>
      </c>
      <c r="B593" t="s">
        <v>1105</v>
      </c>
      <c r="C593" s="1" t="str">
        <f>HYPERLINK("http://www.genecards.org/cgi-bin/carddisp.pl?gene=PIGN","GeneCards")</f>
        <v>GeneCards</v>
      </c>
      <c r="D593" s="1" t="str">
        <f>HYPERLINK("http://genome-euro.ucsc.edu/cgi-bin/hgTracks?position=219048_at","UCSC")</f>
        <v>UCSC</v>
      </c>
      <c r="E593" s="1" t="str">
        <f>HYPERLINK("http://www.ncbi.nlm.nih.gov/gene/?term=PIGN","NCBI")</f>
        <v>NCBI</v>
      </c>
      <c r="F593">
        <v>6.4999999999999997E-4</v>
      </c>
      <c r="G593">
        <v>1.9E-2</v>
      </c>
      <c r="H593" s="1" t="str">
        <f>HYPERLINK("http://www.weizmann.ac.il/complex/compphys/software/geview/data/figures/219048_at.png","Figure")</f>
        <v>Figure</v>
      </c>
      <c r="I593">
        <v>0.78200000000000003</v>
      </c>
      <c r="J593">
        <v>0.1</v>
      </c>
      <c r="K593">
        <v>1.32</v>
      </c>
      <c r="L593">
        <v>0.03</v>
      </c>
      <c r="M593">
        <v>1.69</v>
      </c>
      <c r="N593">
        <v>5.4000000000000001E-4</v>
      </c>
    </row>
    <row r="594" spans="1:14" x14ac:dyDescent="0.25">
      <c r="A594" t="s">
        <v>1106</v>
      </c>
      <c r="B594" t="s">
        <v>1107</v>
      </c>
      <c r="C594" s="1" t="str">
        <f>HYPERLINK("http://www.genecards.org/cgi-bin/carddisp.pl?gene=CYTL1","GeneCards")</f>
        <v>GeneCards</v>
      </c>
      <c r="D594" s="1" t="str">
        <f>HYPERLINK("http://genome-euro.ucsc.edu/cgi-bin/hgTracks?position=219837_s_at","UCSC")</f>
        <v>UCSC</v>
      </c>
      <c r="E594" s="1" t="str">
        <f>HYPERLINK("http://www.ncbi.nlm.nih.gov/gene/?term=CYTL1","NCBI")</f>
        <v>NCBI</v>
      </c>
      <c r="F594">
        <v>6.4000000000000005E-4</v>
      </c>
      <c r="G594">
        <v>1.9E-2</v>
      </c>
      <c r="H594" s="1" t="str">
        <f>HYPERLINK("http://www.weizmann.ac.il/complex/compphys/software/geview/data/figures/219837_s_at.png","Figure")</f>
        <v>Figure</v>
      </c>
      <c r="I594">
        <v>0.14000000000000001</v>
      </c>
      <c r="J594">
        <v>4.8999999999999998E-4</v>
      </c>
      <c r="K594">
        <v>0.51400000000000001</v>
      </c>
      <c r="L594">
        <v>0.15</v>
      </c>
      <c r="M594">
        <v>3.66</v>
      </c>
      <c r="N594">
        <v>7.6E-3</v>
      </c>
    </row>
    <row r="595" spans="1:14" x14ac:dyDescent="0.25">
      <c r="A595" t="s">
        <v>1108</v>
      </c>
      <c r="B595" t="s">
        <v>1109</v>
      </c>
      <c r="C595" s="1" t="str">
        <f>HYPERLINK("http://www.genecards.org/cgi-bin/carddisp.pl?gene=RNPS1","GeneCards")</f>
        <v>GeneCards</v>
      </c>
      <c r="D595" s="1" t="str">
        <f>HYPERLINK("http://genome-euro.ucsc.edu/cgi-bin/hgTracks?position=207939_x_at","UCSC")</f>
        <v>UCSC</v>
      </c>
      <c r="E595" s="1" t="str">
        <f>HYPERLINK("http://www.ncbi.nlm.nih.gov/gene/?term=RNPS1","NCBI")</f>
        <v>NCBI</v>
      </c>
      <c r="F595">
        <v>6.4999999999999997E-4</v>
      </c>
      <c r="G595">
        <v>1.9E-2</v>
      </c>
      <c r="H595" s="1" t="str">
        <f>HYPERLINK("http://www.weizmann.ac.il/complex/compphys/software/geview/data/figures/207939_x_at.png","Figure")</f>
        <v>Figure</v>
      </c>
      <c r="I595">
        <v>1.27</v>
      </c>
      <c r="J595">
        <v>4.2999999999999997E-2</v>
      </c>
      <c r="K595">
        <v>0.83</v>
      </c>
      <c r="L595">
        <v>7.0999999999999994E-2</v>
      </c>
      <c r="M595">
        <v>0.65400000000000003</v>
      </c>
      <c r="N595">
        <v>4.6999999999999999E-4</v>
      </c>
    </row>
    <row r="596" spans="1:14" x14ac:dyDescent="0.25">
      <c r="A596" t="s">
        <v>1110</v>
      </c>
      <c r="B596" t="s">
        <v>1111</v>
      </c>
      <c r="C596" s="1" t="str">
        <f>HYPERLINK("http://www.genecards.org/cgi-bin/carddisp.pl?gene=SEMA3B","GeneCards")</f>
        <v>GeneCards</v>
      </c>
      <c r="D596" s="1" t="str">
        <f>HYPERLINK("http://genome-euro.ucsc.edu/cgi-bin/hgTracks?position=203070_at","UCSC")</f>
        <v>UCSC</v>
      </c>
      <c r="E596" s="1" t="str">
        <f>HYPERLINK("http://www.ncbi.nlm.nih.gov/gene/?term=SEMA3B","NCBI")</f>
        <v>NCBI</v>
      </c>
      <c r="F596">
        <v>6.4999999999999997E-4</v>
      </c>
      <c r="G596">
        <v>1.9E-2</v>
      </c>
      <c r="H596" s="1" t="str">
        <f>HYPERLINK("http://www.weizmann.ac.il/complex/compphys/software/geview/data/figures/203070_at.png","Figure")</f>
        <v>Figure</v>
      </c>
      <c r="I596">
        <v>1.28</v>
      </c>
      <c r="J596">
        <v>9.7999999999999997E-4</v>
      </c>
      <c r="K596">
        <v>1.21</v>
      </c>
      <c r="L596">
        <v>2.7000000000000001E-3</v>
      </c>
      <c r="M596">
        <v>0.94499999999999995</v>
      </c>
      <c r="N596">
        <v>0.49</v>
      </c>
    </row>
    <row r="597" spans="1:14" x14ac:dyDescent="0.25">
      <c r="A597" t="s">
        <v>1112</v>
      </c>
      <c r="B597" t="s">
        <v>141</v>
      </c>
      <c r="C597" s="1" t="str">
        <f>HYPERLINK("http://www.genecards.org/cgi-bin/carddisp.pl?gene=PARP2","GeneCards")</f>
        <v>GeneCards</v>
      </c>
      <c r="D597" s="1" t="str">
        <f>HYPERLINK("http://genome-euro.ucsc.edu/cgi-bin/hgTracks?position=204752_x_at","UCSC")</f>
        <v>UCSC</v>
      </c>
      <c r="E597" s="1" t="str">
        <f>HYPERLINK("http://www.ncbi.nlm.nih.gov/gene/?term=PARP2","NCBI")</f>
        <v>NCBI</v>
      </c>
      <c r="F597">
        <v>6.6E-4</v>
      </c>
      <c r="G597">
        <v>1.9E-2</v>
      </c>
      <c r="H597" s="1" t="str">
        <f>HYPERLINK("http://www.weizmann.ac.il/complex/compphys/software/geview/data/figures/204752_x_at.png","Figure")</f>
        <v>Figure</v>
      </c>
      <c r="I597">
        <v>0.625</v>
      </c>
      <c r="J597">
        <v>5.1000000000000004E-4</v>
      </c>
      <c r="K597">
        <v>0.85799999999999998</v>
      </c>
      <c r="L597">
        <v>0.17</v>
      </c>
      <c r="M597">
        <v>1.37</v>
      </c>
      <c r="N597">
        <v>6.7999999999999996E-3</v>
      </c>
    </row>
    <row r="598" spans="1:14" x14ac:dyDescent="0.25">
      <c r="A598" t="s">
        <v>1113</v>
      </c>
      <c r="B598" t="s">
        <v>1114</v>
      </c>
      <c r="C598" s="1" t="str">
        <f>HYPERLINK("http://www.genecards.org/cgi-bin/carddisp.pl?gene=DCHS2","GeneCards")</f>
        <v>GeneCards</v>
      </c>
      <c r="D598" s="1" t="str">
        <f>HYPERLINK("http://genome-euro.ucsc.edu/cgi-bin/hgTracks?position=220373_at","UCSC")</f>
        <v>UCSC</v>
      </c>
      <c r="E598" s="1" t="str">
        <f>HYPERLINK("http://www.ncbi.nlm.nih.gov/gene/?term=DCHS2","NCBI")</f>
        <v>NCBI</v>
      </c>
      <c r="F598">
        <v>6.6E-4</v>
      </c>
      <c r="G598">
        <v>1.9E-2</v>
      </c>
      <c r="H598" s="1" t="str">
        <f>HYPERLINK("http://www.weizmann.ac.il/complex/compphys/software/geview/data/figures/220373_at.png","Figure")</f>
        <v>Figure</v>
      </c>
      <c r="I598">
        <v>1.85</v>
      </c>
      <c r="J598">
        <v>6.9999999999999999E-4</v>
      </c>
      <c r="K598">
        <v>1.52</v>
      </c>
      <c r="L598">
        <v>5.1000000000000004E-3</v>
      </c>
      <c r="M598">
        <v>0.82099999999999995</v>
      </c>
      <c r="N598">
        <v>0.24</v>
      </c>
    </row>
    <row r="599" spans="1:14" x14ac:dyDescent="0.25">
      <c r="A599" t="s">
        <v>1115</v>
      </c>
      <c r="B599" t="s">
        <v>1010</v>
      </c>
      <c r="C599" s="1" t="str">
        <f>HYPERLINK("http://www.genecards.org/cgi-bin/carddisp.pl?gene=PRDX2","GeneCards")</f>
        <v>GeneCards</v>
      </c>
      <c r="D599" s="1" t="str">
        <f>HYPERLINK("http://genome-euro.ucsc.edu/cgi-bin/hgTracks?position=39729_at","UCSC")</f>
        <v>UCSC</v>
      </c>
      <c r="E599" s="1" t="str">
        <f>HYPERLINK("http://www.ncbi.nlm.nih.gov/gene/?term=PRDX2","NCBI")</f>
        <v>NCBI</v>
      </c>
      <c r="F599">
        <v>6.6E-4</v>
      </c>
      <c r="G599">
        <v>1.9E-2</v>
      </c>
      <c r="H599" s="1" t="str">
        <f>HYPERLINK("http://www.weizmann.ac.il/complex/compphys/software/geview/data/figures/39729_at.png","Figure")</f>
        <v>Figure</v>
      </c>
      <c r="I599">
        <v>5.54</v>
      </c>
      <c r="J599">
        <v>8.0999999999999996E-4</v>
      </c>
      <c r="K599">
        <v>3.43</v>
      </c>
      <c r="L599">
        <v>3.8E-3</v>
      </c>
      <c r="M599">
        <v>0.62</v>
      </c>
      <c r="N599">
        <v>0.34</v>
      </c>
    </row>
    <row r="600" spans="1:14" x14ac:dyDescent="0.25">
      <c r="A600" t="s">
        <v>1116</v>
      </c>
      <c r="B600" t="s">
        <v>1117</v>
      </c>
      <c r="C600" s="1" t="str">
        <f>HYPERLINK("http://www.genecards.org/cgi-bin/carddisp.pl?gene=ACAA2","GeneCards")</f>
        <v>GeneCards</v>
      </c>
      <c r="D600" s="1" t="str">
        <f>HYPERLINK("http://genome-euro.ucsc.edu/cgi-bin/hgTracks?position=202003_s_at","UCSC")</f>
        <v>UCSC</v>
      </c>
      <c r="E600" s="1" t="str">
        <f>HYPERLINK("http://www.ncbi.nlm.nih.gov/gene/?term=ACAA2","NCBI")</f>
        <v>NCBI</v>
      </c>
      <c r="F600">
        <v>6.7000000000000002E-4</v>
      </c>
      <c r="G600">
        <v>1.9E-2</v>
      </c>
      <c r="H600" s="1" t="str">
        <f>HYPERLINK("http://www.weizmann.ac.il/complex/compphys/software/geview/data/figures/202003_s_at.png","Figure")</f>
        <v>Figure</v>
      </c>
      <c r="I600">
        <v>0.79900000000000004</v>
      </c>
      <c r="J600">
        <v>0.25</v>
      </c>
      <c r="K600">
        <v>1.48</v>
      </c>
      <c r="L600">
        <v>1.2999999999999999E-2</v>
      </c>
      <c r="M600">
        <v>1.85</v>
      </c>
      <c r="N600">
        <v>7.1000000000000002E-4</v>
      </c>
    </row>
    <row r="601" spans="1:14" x14ac:dyDescent="0.25">
      <c r="A601" t="s">
        <v>1118</v>
      </c>
      <c r="B601" t="s">
        <v>1119</v>
      </c>
      <c r="C601" s="1" t="str">
        <f>HYPERLINK("http://www.genecards.org/cgi-bin/carddisp.pl?gene=COCH","GeneCards")</f>
        <v>GeneCards</v>
      </c>
      <c r="D601" s="1" t="str">
        <f>HYPERLINK("http://genome-euro.ucsc.edu/cgi-bin/hgTracks?position=205229_s_at","UCSC")</f>
        <v>UCSC</v>
      </c>
      <c r="E601" s="1" t="str">
        <f>HYPERLINK("http://www.ncbi.nlm.nih.gov/gene/?term=COCH","NCBI")</f>
        <v>NCBI</v>
      </c>
      <c r="F601">
        <v>6.7000000000000002E-4</v>
      </c>
      <c r="G601">
        <v>1.9E-2</v>
      </c>
      <c r="H601" s="1" t="str">
        <f>HYPERLINK("http://www.weizmann.ac.il/complex/compphys/software/geview/data/figures/205229_s_at.png","Figure")</f>
        <v>Figure</v>
      </c>
      <c r="I601">
        <v>2.04</v>
      </c>
      <c r="J601">
        <v>2.1999999999999999E-2</v>
      </c>
      <c r="K601">
        <v>2.84</v>
      </c>
      <c r="L601">
        <v>4.8999999999999998E-4</v>
      </c>
      <c r="M601">
        <v>1.39</v>
      </c>
      <c r="N601">
        <v>0.31</v>
      </c>
    </row>
    <row r="602" spans="1:14" x14ac:dyDescent="0.25">
      <c r="A602" t="s">
        <v>1120</v>
      </c>
      <c r="B602" t="s">
        <v>1121</v>
      </c>
      <c r="C602" s="1" t="str">
        <f>HYPERLINK("http://www.genecards.org/cgi-bin/carddisp.pl?gene=PRKCH","GeneCards")</f>
        <v>GeneCards</v>
      </c>
      <c r="D602" s="1" t="str">
        <f>HYPERLINK("http://genome-euro.ucsc.edu/cgi-bin/hgTracks?position=218764_at","UCSC")</f>
        <v>UCSC</v>
      </c>
      <c r="E602" s="1" t="str">
        <f>HYPERLINK("http://www.ncbi.nlm.nih.gov/gene/?term=PRKCH","NCBI")</f>
        <v>NCBI</v>
      </c>
      <c r="F602">
        <v>6.7000000000000002E-4</v>
      </c>
      <c r="G602">
        <v>1.9E-2</v>
      </c>
      <c r="H602" s="1" t="str">
        <f>HYPERLINK("http://www.weizmann.ac.il/complex/compphys/software/geview/data/figures/218764_at.png","Figure")</f>
        <v>Figure</v>
      </c>
      <c r="I602">
        <v>0.39700000000000002</v>
      </c>
      <c r="J602">
        <v>6.4000000000000005E-4</v>
      </c>
      <c r="K602">
        <v>0.55000000000000004</v>
      </c>
      <c r="L602">
        <v>6.7000000000000002E-3</v>
      </c>
      <c r="M602">
        <v>1.38</v>
      </c>
      <c r="N602">
        <v>0.18</v>
      </c>
    </row>
    <row r="603" spans="1:14" x14ac:dyDescent="0.25">
      <c r="A603" t="s">
        <v>1122</v>
      </c>
      <c r="B603" t="s">
        <v>1123</v>
      </c>
      <c r="C603" s="1" t="str">
        <f>HYPERLINK("http://www.genecards.org/cgi-bin/carddisp.pl?gene=RGL1","GeneCards")</f>
        <v>GeneCards</v>
      </c>
      <c r="D603" s="1" t="str">
        <f>HYPERLINK("http://genome-euro.ucsc.edu/cgi-bin/hgTracks?position=209568_s_at","UCSC")</f>
        <v>UCSC</v>
      </c>
      <c r="E603" s="1" t="str">
        <f>HYPERLINK("http://www.ncbi.nlm.nih.gov/gene/?term=RGL1","NCBI")</f>
        <v>NCBI</v>
      </c>
      <c r="F603">
        <v>6.8000000000000005E-4</v>
      </c>
      <c r="G603">
        <v>1.9E-2</v>
      </c>
      <c r="H603" s="1" t="str">
        <f>HYPERLINK("http://www.weizmann.ac.il/complex/compphys/software/geview/data/figures/209568_s_at.png","Figure")</f>
        <v>Figure</v>
      </c>
      <c r="I603">
        <v>0.41899999999999998</v>
      </c>
      <c r="J603">
        <v>7.6999999999999996E-4</v>
      </c>
      <c r="K603">
        <v>0.54300000000000004</v>
      </c>
      <c r="L603">
        <v>4.4999999999999997E-3</v>
      </c>
      <c r="M603">
        <v>1.3</v>
      </c>
      <c r="N603">
        <v>0.28999999999999998</v>
      </c>
    </row>
    <row r="604" spans="1:14" x14ac:dyDescent="0.25">
      <c r="A604" t="s">
        <v>1124</v>
      </c>
      <c r="B604" t="s">
        <v>1125</v>
      </c>
      <c r="C604" s="1" t="str">
        <f>HYPERLINK("http://www.genecards.org/cgi-bin/carddisp.pl?gene=CFP","GeneCards")</f>
        <v>GeneCards</v>
      </c>
      <c r="D604" s="1" t="str">
        <f>HYPERLINK("http://genome-euro.ucsc.edu/cgi-bin/hgTracks?position=206380_s_at","UCSC")</f>
        <v>UCSC</v>
      </c>
      <c r="E604" s="1" t="str">
        <f>HYPERLINK("http://www.ncbi.nlm.nih.gov/gene/?term=CFP","NCBI")</f>
        <v>NCBI</v>
      </c>
      <c r="F604">
        <v>6.8999999999999997E-4</v>
      </c>
      <c r="G604">
        <v>1.9E-2</v>
      </c>
      <c r="H604" s="1" t="str">
        <f>HYPERLINK("http://www.weizmann.ac.il/complex/compphys/software/geview/data/figures/206380_s_at.png","Figure")</f>
        <v>Figure</v>
      </c>
      <c r="I604">
        <v>0.50600000000000001</v>
      </c>
      <c r="J604">
        <v>1.9E-3</v>
      </c>
      <c r="K604">
        <v>1.02</v>
      </c>
      <c r="L604">
        <v>0.99</v>
      </c>
      <c r="M604">
        <v>2.0099999999999998</v>
      </c>
      <c r="N604">
        <v>9.2000000000000003E-4</v>
      </c>
    </row>
    <row r="605" spans="1:14" x14ac:dyDescent="0.25">
      <c r="A605" t="s">
        <v>1126</v>
      </c>
      <c r="B605" t="s">
        <v>1127</v>
      </c>
      <c r="C605" s="1" t="str">
        <f>HYPERLINK("http://www.genecards.org/cgi-bin/carddisp.pl?gene=ERH","GeneCards")</f>
        <v>GeneCards</v>
      </c>
      <c r="D605" s="1" t="str">
        <f>HYPERLINK("http://genome-euro.ucsc.edu/cgi-bin/hgTracks?position=200043_at","UCSC")</f>
        <v>UCSC</v>
      </c>
      <c r="E605" s="1" t="str">
        <f>HYPERLINK("http://www.ncbi.nlm.nih.gov/gene/?term=ERH","NCBI")</f>
        <v>NCBI</v>
      </c>
      <c r="F605">
        <v>6.8999999999999997E-4</v>
      </c>
      <c r="G605">
        <v>0.02</v>
      </c>
      <c r="H605" s="1" t="str">
        <f>HYPERLINK("http://www.weizmann.ac.il/complex/compphys/software/geview/data/figures/200043_at.png","Figure")</f>
        <v>Figure</v>
      </c>
      <c r="I605">
        <v>0.76300000000000001</v>
      </c>
      <c r="J605">
        <v>2.9000000000000001E-2</v>
      </c>
      <c r="K605">
        <v>1.19</v>
      </c>
      <c r="L605">
        <v>0.11</v>
      </c>
      <c r="M605">
        <v>1.56</v>
      </c>
      <c r="N605">
        <v>4.8999999999999998E-4</v>
      </c>
    </row>
    <row r="606" spans="1:14" x14ac:dyDescent="0.25">
      <c r="A606" t="s">
        <v>1128</v>
      </c>
      <c r="B606" t="s">
        <v>1129</v>
      </c>
      <c r="C606" s="1" t="str">
        <f>HYPERLINK("http://www.genecards.org/cgi-bin/carddisp.pl?gene=TFDP1","GeneCards")</f>
        <v>GeneCards</v>
      </c>
      <c r="D606" s="1" t="str">
        <f>HYPERLINK("http://genome-euro.ucsc.edu/cgi-bin/hgTracks?position=204147_s_at","UCSC")</f>
        <v>UCSC</v>
      </c>
      <c r="E606" s="1" t="str">
        <f>HYPERLINK("http://www.ncbi.nlm.nih.gov/gene/?term=TFDP1","NCBI")</f>
        <v>NCBI</v>
      </c>
      <c r="F606">
        <v>6.9999999999999999E-4</v>
      </c>
      <c r="G606">
        <v>0.02</v>
      </c>
      <c r="H606" s="1" t="str">
        <f>HYPERLINK("http://www.weizmann.ac.il/complex/compphys/software/geview/data/figures/204147_s_at.png","Figure")</f>
        <v>Figure</v>
      </c>
      <c r="I606">
        <v>1.1499999999999999</v>
      </c>
      <c r="J606">
        <v>2.0999999999999999E-3</v>
      </c>
      <c r="K606">
        <v>1.1399999999999999</v>
      </c>
      <c r="L606">
        <v>1.2999999999999999E-3</v>
      </c>
      <c r="M606">
        <v>0.99</v>
      </c>
      <c r="N606">
        <v>0.94</v>
      </c>
    </row>
    <row r="607" spans="1:14" x14ac:dyDescent="0.25">
      <c r="A607" t="s">
        <v>1130</v>
      </c>
      <c r="B607" t="s">
        <v>856</v>
      </c>
      <c r="C607" s="1" t="str">
        <f>HYPERLINK("http://www.genecards.org/cgi-bin/carddisp.pl?gene=CTBP2","GeneCards")</f>
        <v>GeneCards</v>
      </c>
      <c r="D607" s="1" t="str">
        <f>HYPERLINK("http://genome-euro.ucsc.edu/cgi-bin/hgTracks?position=210835_s_at","UCSC")</f>
        <v>UCSC</v>
      </c>
      <c r="E607" s="1" t="str">
        <f>HYPERLINK("http://www.ncbi.nlm.nih.gov/gene/?term=CTBP2","NCBI")</f>
        <v>NCBI</v>
      </c>
      <c r="F607">
        <v>6.9999999999999999E-4</v>
      </c>
      <c r="G607">
        <v>0.02</v>
      </c>
      <c r="H607" s="1" t="str">
        <f>HYPERLINK("http://www.weizmann.ac.il/complex/compphys/software/geview/data/figures/210835_s_at.png","Figure")</f>
        <v>Figure</v>
      </c>
      <c r="I607">
        <v>1.32</v>
      </c>
      <c r="J607">
        <v>0.4</v>
      </c>
      <c r="K607">
        <v>2.4700000000000002</v>
      </c>
      <c r="L607">
        <v>6.8999999999999997E-4</v>
      </c>
      <c r="M607">
        <v>1.87</v>
      </c>
      <c r="N607">
        <v>1.7000000000000001E-2</v>
      </c>
    </row>
    <row r="608" spans="1:14" x14ac:dyDescent="0.25">
      <c r="A608" t="s">
        <v>1131</v>
      </c>
      <c r="B608" t="s">
        <v>1132</v>
      </c>
      <c r="C608" s="1" t="str">
        <f>HYPERLINK("http://www.genecards.org/cgi-bin/carddisp.pl?gene=NOP14","GeneCards")</f>
        <v>GeneCards</v>
      </c>
      <c r="D608" s="1" t="str">
        <f>HYPERLINK("http://genome-euro.ucsc.edu/cgi-bin/hgTracks?position=214661_s_at","UCSC")</f>
        <v>UCSC</v>
      </c>
      <c r="E608" s="1" t="str">
        <f>HYPERLINK("http://www.ncbi.nlm.nih.gov/gene/?term=NOP14","NCBI")</f>
        <v>NCBI</v>
      </c>
      <c r="F608">
        <v>6.9999999999999999E-4</v>
      </c>
      <c r="G608">
        <v>0.02</v>
      </c>
      <c r="H608" s="1" t="str">
        <f>HYPERLINK("http://www.weizmann.ac.il/complex/compphys/software/geview/data/figures/214661_s_at.png","Figure")</f>
        <v>Figure</v>
      </c>
      <c r="I608">
        <v>1.32</v>
      </c>
      <c r="J608">
        <v>2.5999999999999999E-2</v>
      </c>
      <c r="K608">
        <v>1.52</v>
      </c>
      <c r="L608">
        <v>5.1000000000000004E-4</v>
      </c>
      <c r="M608">
        <v>1.1499999999999999</v>
      </c>
      <c r="N608">
        <v>0.28000000000000003</v>
      </c>
    </row>
    <row r="609" spans="1:14" x14ac:dyDescent="0.25">
      <c r="A609" t="s">
        <v>1133</v>
      </c>
      <c r="B609" t="s">
        <v>1134</v>
      </c>
      <c r="C609" s="1" t="str">
        <f>HYPERLINK("http://www.genecards.org/cgi-bin/carddisp.pl?gene=FAM49A","GeneCards")</f>
        <v>GeneCards</v>
      </c>
      <c r="D609" s="1" t="str">
        <f>HYPERLINK("http://genome-euro.ucsc.edu/cgi-bin/hgTracks?position=208092_s_at","UCSC")</f>
        <v>UCSC</v>
      </c>
      <c r="E609" s="1" t="str">
        <f>HYPERLINK("http://www.ncbi.nlm.nih.gov/gene/?term=FAM49A","NCBI")</f>
        <v>NCBI</v>
      </c>
      <c r="F609">
        <v>7.1000000000000002E-4</v>
      </c>
      <c r="G609">
        <v>0.02</v>
      </c>
      <c r="H609" s="1" t="str">
        <f>HYPERLINK("http://www.weizmann.ac.il/complex/compphys/software/geview/data/figures/208092_s_at.png","Figure")</f>
        <v>Figure</v>
      </c>
      <c r="I609">
        <v>0.62</v>
      </c>
      <c r="J609">
        <v>0.24</v>
      </c>
      <c r="K609">
        <v>0.29099999999999998</v>
      </c>
      <c r="L609">
        <v>5.9000000000000003E-4</v>
      </c>
      <c r="M609">
        <v>0.47</v>
      </c>
      <c r="N609">
        <v>3.1E-2</v>
      </c>
    </row>
    <row r="610" spans="1:14" x14ac:dyDescent="0.25">
      <c r="A610" t="s">
        <v>1135</v>
      </c>
      <c r="B610" t="s">
        <v>1136</v>
      </c>
      <c r="C610" s="1" t="str">
        <f>HYPERLINK("http://www.genecards.org/cgi-bin/carddisp.pl?gene=SPAG6","GeneCards")</f>
        <v>GeneCards</v>
      </c>
      <c r="D610" s="1" t="str">
        <f>HYPERLINK("http://genome-euro.ucsc.edu/cgi-bin/hgTracks?position=210032_s_at","UCSC")</f>
        <v>UCSC</v>
      </c>
      <c r="E610" s="1" t="str">
        <f>HYPERLINK("http://www.ncbi.nlm.nih.gov/gene/?term=SPAG6","NCBI")</f>
        <v>NCBI</v>
      </c>
      <c r="F610">
        <v>7.1000000000000002E-4</v>
      </c>
      <c r="G610">
        <v>0.02</v>
      </c>
      <c r="H610" s="1" t="str">
        <f>HYPERLINK("http://www.weizmann.ac.il/complex/compphys/software/geview/data/figures/210032_s_at.png","Figure")</f>
        <v>Figure</v>
      </c>
      <c r="I610">
        <v>1.43</v>
      </c>
      <c r="J610">
        <v>5.0000000000000001E-3</v>
      </c>
      <c r="K610">
        <v>1.48</v>
      </c>
      <c r="L610">
        <v>7.6999999999999996E-4</v>
      </c>
      <c r="M610">
        <v>1.04</v>
      </c>
      <c r="N610">
        <v>0.9</v>
      </c>
    </row>
    <row r="611" spans="1:14" x14ac:dyDescent="0.25">
      <c r="A611" t="s">
        <v>1137</v>
      </c>
      <c r="B611" t="s">
        <v>940</v>
      </c>
      <c r="C611" s="1" t="str">
        <f>HYPERLINK("http://www.genecards.org/cgi-bin/carddisp.pl?gene=ERG","GeneCards")</f>
        <v>GeneCards</v>
      </c>
      <c r="D611" s="1" t="str">
        <f>HYPERLINK("http://genome-euro.ucsc.edu/cgi-bin/hgTracks?position=211626_x_at","UCSC")</f>
        <v>UCSC</v>
      </c>
      <c r="E611" s="1" t="str">
        <f>HYPERLINK("http://www.ncbi.nlm.nih.gov/gene/?term=ERG","NCBI")</f>
        <v>NCBI</v>
      </c>
      <c r="F611">
        <v>7.1000000000000002E-4</v>
      </c>
      <c r="G611">
        <v>0.02</v>
      </c>
      <c r="H611" s="1" t="str">
        <f>HYPERLINK("http://www.weizmann.ac.il/complex/compphys/software/geview/data/figures/211626_x_at.png","Figure")</f>
        <v>Figure</v>
      </c>
      <c r="I611">
        <v>0.59799999999999998</v>
      </c>
      <c r="J611">
        <v>8.4000000000000003E-4</v>
      </c>
      <c r="K611">
        <v>0.69399999999999995</v>
      </c>
      <c r="L611">
        <v>4.3E-3</v>
      </c>
      <c r="M611">
        <v>1.1599999999999999</v>
      </c>
      <c r="N611">
        <v>0.32</v>
      </c>
    </row>
    <row r="612" spans="1:14" x14ac:dyDescent="0.25">
      <c r="A612" t="s">
        <v>1138</v>
      </c>
      <c r="B612" t="s">
        <v>1139</v>
      </c>
      <c r="C612" s="1" t="str">
        <f>HYPERLINK("http://www.genecards.org/cgi-bin/carddisp.pl?gene=TBL1X","GeneCards")</f>
        <v>GeneCards</v>
      </c>
      <c r="D612" s="1" t="str">
        <f>HYPERLINK("http://genome-euro.ucsc.edu/cgi-bin/hgTracks?position=213400_s_at","UCSC")</f>
        <v>UCSC</v>
      </c>
      <c r="E612" s="1" t="str">
        <f>HYPERLINK("http://www.ncbi.nlm.nih.gov/gene/?term=TBL1X","NCBI")</f>
        <v>NCBI</v>
      </c>
      <c r="F612">
        <v>7.1000000000000002E-4</v>
      </c>
      <c r="G612">
        <v>0.02</v>
      </c>
      <c r="H612" s="1" t="str">
        <f>HYPERLINK("http://www.weizmann.ac.il/complex/compphys/software/geview/data/figures/213400_s_at.png","Figure")</f>
        <v>Figure</v>
      </c>
      <c r="I612">
        <v>0.23799999999999999</v>
      </c>
      <c r="J612">
        <v>3.3E-3</v>
      </c>
      <c r="K612">
        <v>0.23200000000000001</v>
      </c>
      <c r="L612">
        <v>9.7000000000000005E-4</v>
      </c>
      <c r="M612">
        <v>0.97599999999999998</v>
      </c>
      <c r="N612">
        <v>1</v>
      </c>
    </row>
    <row r="613" spans="1:14" x14ac:dyDescent="0.25">
      <c r="A613" t="s">
        <v>1140</v>
      </c>
      <c r="B613" t="s">
        <v>1141</v>
      </c>
      <c r="C613" s="1" t="str">
        <f>HYPERLINK("http://www.genecards.org/cgi-bin/carddisp.pl?gene=UBR7","GeneCards")</f>
        <v>GeneCards</v>
      </c>
      <c r="D613" s="1" t="str">
        <f>HYPERLINK("http://genome-euro.ucsc.edu/cgi-bin/hgTracks?position=218108_at","UCSC")</f>
        <v>UCSC</v>
      </c>
      <c r="E613" s="1" t="str">
        <f>HYPERLINK("http://www.ncbi.nlm.nih.gov/gene/?term=UBR7","NCBI")</f>
        <v>NCBI</v>
      </c>
      <c r="F613">
        <v>7.1000000000000002E-4</v>
      </c>
      <c r="G613">
        <v>0.02</v>
      </c>
      <c r="H613" s="1" t="str">
        <f>HYPERLINK("http://www.weizmann.ac.il/complex/compphys/software/geview/data/figures/218108_at.png","Figure")</f>
        <v>Figure</v>
      </c>
      <c r="I613">
        <v>0.47199999999999998</v>
      </c>
      <c r="J613">
        <v>4.1000000000000003E-3</v>
      </c>
      <c r="K613">
        <v>1.1399999999999999</v>
      </c>
      <c r="L613">
        <v>0.72</v>
      </c>
      <c r="M613">
        <v>2.41</v>
      </c>
      <c r="N613">
        <v>6.4999999999999997E-4</v>
      </c>
    </row>
    <row r="614" spans="1:14" x14ac:dyDescent="0.25">
      <c r="A614" t="s">
        <v>1142</v>
      </c>
      <c r="B614" t="s">
        <v>1143</v>
      </c>
      <c r="C614" s="1" t="str">
        <f>HYPERLINK("http://www.genecards.org/cgi-bin/carddisp.pl?gene=TWF2","GeneCards")</f>
        <v>GeneCards</v>
      </c>
      <c r="D614" s="1" t="str">
        <f>HYPERLINK("http://genome-euro.ucsc.edu/cgi-bin/hgTracks?position=202009_at","UCSC")</f>
        <v>UCSC</v>
      </c>
      <c r="E614" s="1" t="str">
        <f>HYPERLINK("http://www.ncbi.nlm.nih.gov/gene/?term=TWF2","NCBI")</f>
        <v>NCBI</v>
      </c>
      <c r="F614">
        <v>7.2000000000000005E-4</v>
      </c>
      <c r="G614">
        <v>0.02</v>
      </c>
      <c r="H614" s="1" t="str">
        <f>HYPERLINK("http://www.weizmann.ac.il/complex/compphys/software/geview/data/figures/202009_at.png","Figure")</f>
        <v>Figure</v>
      </c>
      <c r="I614">
        <v>1.45</v>
      </c>
      <c r="J614">
        <v>8.3000000000000001E-3</v>
      </c>
      <c r="K614">
        <v>1.57</v>
      </c>
      <c r="L614">
        <v>6.4999999999999997E-4</v>
      </c>
      <c r="M614">
        <v>1.08</v>
      </c>
      <c r="N614">
        <v>0.7</v>
      </c>
    </row>
    <row r="615" spans="1:14" x14ac:dyDescent="0.25">
      <c r="A615" t="s">
        <v>1144</v>
      </c>
      <c r="B615" t="s">
        <v>1145</v>
      </c>
      <c r="C615" s="1" t="str">
        <f>HYPERLINK("http://www.genecards.org/cgi-bin/carddisp.pl?gene=PRKCB","GeneCards")</f>
        <v>GeneCards</v>
      </c>
      <c r="D615" s="1" t="str">
        <f>HYPERLINK("http://genome-euro.ucsc.edu/cgi-bin/hgTracks?position=207957_s_at","UCSC")</f>
        <v>UCSC</v>
      </c>
      <c r="E615" s="1" t="str">
        <f>HYPERLINK("http://www.ncbi.nlm.nih.gov/gene/?term=PRKCB","NCBI")</f>
        <v>NCBI</v>
      </c>
      <c r="F615">
        <v>7.1000000000000002E-4</v>
      </c>
      <c r="G615">
        <v>0.02</v>
      </c>
      <c r="H615" s="1" t="str">
        <f>HYPERLINK("http://www.weizmann.ac.il/complex/compphys/software/geview/data/figures/207957_s_at.png","Figure")</f>
        <v>Figure</v>
      </c>
      <c r="I615">
        <v>0.34</v>
      </c>
      <c r="J615">
        <v>7.7000000000000002E-3</v>
      </c>
      <c r="K615">
        <v>0.27600000000000002</v>
      </c>
      <c r="L615">
        <v>6.7000000000000002E-4</v>
      </c>
      <c r="M615">
        <v>0.81100000000000005</v>
      </c>
      <c r="N615">
        <v>0.73</v>
      </c>
    </row>
    <row r="616" spans="1:14" x14ac:dyDescent="0.25">
      <c r="A616" t="s">
        <v>1146</v>
      </c>
      <c r="B616" t="s">
        <v>1147</v>
      </c>
      <c r="C616" s="1" t="str">
        <f>HYPERLINK("http://www.genecards.org/cgi-bin/carddisp.pl?gene=UBE2E3","GeneCards")</f>
        <v>GeneCards</v>
      </c>
      <c r="D616" s="1" t="str">
        <f>HYPERLINK("http://genome-euro.ucsc.edu/cgi-bin/hgTracks?position=210024_s_at","UCSC")</f>
        <v>UCSC</v>
      </c>
      <c r="E616" s="1" t="str">
        <f>HYPERLINK("http://www.ncbi.nlm.nih.gov/gene/?term=UBE2E3","NCBI")</f>
        <v>NCBI</v>
      </c>
      <c r="F616">
        <v>7.2000000000000005E-4</v>
      </c>
      <c r="G616">
        <v>0.02</v>
      </c>
      <c r="H616" s="1" t="str">
        <f>HYPERLINK("http://www.weizmann.ac.il/complex/compphys/software/geview/data/figures/210024_s_at.png","Figure")</f>
        <v>Figure</v>
      </c>
      <c r="I616">
        <v>0.79100000000000004</v>
      </c>
      <c r="J616">
        <v>0.74</v>
      </c>
      <c r="K616">
        <v>0.27300000000000002</v>
      </c>
      <c r="L616">
        <v>9.7999999999999997E-4</v>
      </c>
      <c r="M616">
        <v>0.34599999999999997</v>
      </c>
      <c r="N616">
        <v>7.6E-3</v>
      </c>
    </row>
    <row r="617" spans="1:14" x14ac:dyDescent="0.25">
      <c r="A617" t="s">
        <v>1148</v>
      </c>
      <c r="B617" t="s">
        <v>1149</v>
      </c>
      <c r="C617" s="1" t="str">
        <f>HYPERLINK("http://www.genecards.org/cgi-bin/carddisp.pl?gene=XIST","GeneCards")</f>
        <v>GeneCards</v>
      </c>
      <c r="D617" s="1" t="str">
        <f>HYPERLINK("http://genome-euro.ucsc.edu/cgi-bin/hgTracks?position=214218_s_at","UCSC")</f>
        <v>UCSC</v>
      </c>
      <c r="E617" s="1" t="str">
        <f>HYPERLINK("http://www.ncbi.nlm.nih.gov/gene/?term=XIST","NCBI")</f>
        <v>NCBI</v>
      </c>
      <c r="F617">
        <v>7.2000000000000005E-4</v>
      </c>
      <c r="G617">
        <v>0.02</v>
      </c>
      <c r="H617" s="1" t="str">
        <f>HYPERLINK("http://www.weizmann.ac.il/complex/compphys/software/geview/data/figures/214218_s_at.png","Figure")</f>
        <v>Figure</v>
      </c>
      <c r="I617">
        <v>0.21299999999999999</v>
      </c>
      <c r="J617">
        <v>2.2000000000000001E-3</v>
      </c>
      <c r="K617">
        <v>1.07</v>
      </c>
      <c r="L617">
        <v>0.98</v>
      </c>
      <c r="M617">
        <v>5</v>
      </c>
      <c r="N617">
        <v>8.9999999999999998E-4</v>
      </c>
    </row>
    <row r="618" spans="1:14" x14ac:dyDescent="0.25">
      <c r="A618" t="s">
        <v>1150</v>
      </c>
      <c r="B618" t="s">
        <v>1151</v>
      </c>
      <c r="C618" s="1" t="str">
        <f>HYPERLINK("http://www.genecards.org/cgi-bin/carddisp.pl?gene=MTERFD2","GeneCards")</f>
        <v>GeneCards</v>
      </c>
      <c r="D618" s="1" t="str">
        <f>HYPERLINK("http://genome-euro.ucsc.edu/cgi-bin/hgTracks?position=214364_at","UCSC")</f>
        <v>UCSC</v>
      </c>
      <c r="E618" s="1" t="str">
        <f>HYPERLINK("http://www.ncbi.nlm.nih.gov/gene/?term=MTERFD2","NCBI")</f>
        <v>NCBI</v>
      </c>
      <c r="F618">
        <v>7.2000000000000005E-4</v>
      </c>
      <c r="G618">
        <v>0.02</v>
      </c>
      <c r="H618" s="1" t="str">
        <f>HYPERLINK("http://www.weizmann.ac.il/complex/compphys/software/geview/data/figures/214364_at.png","Figure")</f>
        <v>Figure</v>
      </c>
      <c r="I618">
        <v>0.96499999999999997</v>
      </c>
      <c r="J618">
        <v>0.69</v>
      </c>
      <c r="K618">
        <v>1.1599999999999999</v>
      </c>
      <c r="L618">
        <v>4.4000000000000003E-3</v>
      </c>
      <c r="M618">
        <v>1.2</v>
      </c>
      <c r="N618">
        <v>1.4E-3</v>
      </c>
    </row>
    <row r="619" spans="1:14" x14ac:dyDescent="0.25">
      <c r="A619" t="s">
        <v>1152</v>
      </c>
      <c r="B619" t="s">
        <v>1153</v>
      </c>
      <c r="C619" s="1" t="str">
        <f>HYPERLINK("http://www.genecards.org/cgi-bin/carddisp.pl?gene=NDUFS2","GeneCards")</f>
        <v>GeneCards</v>
      </c>
      <c r="D619" s="1" t="str">
        <f>HYPERLINK("http://genome-euro.ucsc.edu/cgi-bin/hgTracks?position=201966_at","UCSC")</f>
        <v>UCSC</v>
      </c>
      <c r="E619" s="1" t="str">
        <f>HYPERLINK("http://www.ncbi.nlm.nih.gov/gene/?term=NDUFS2","NCBI")</f>
        <v>NCBI</v>
      </c>
      <c r="F619">
        <v>7.2000000000000005E-4</v>
      </c>
      <c r="G619">
        <v>0.02</v>
      </c>
      <c r="H619" s="1" t="str">
        <f>HYPERLINK("http://www.weizmann.ac.il/complex/compphys/software/geview/data/figures/201966_at.png","Figure")</f>
        <v>Figure</v>
      </c>
      <c r="I619">
        <v>1.39</v>
      </c>
      <c r="J619">
        <v>1.8E-3</v>
      </c>
      <c r="K619">
        <v>1.34</v>
      </c>
      <c r="L619">
        <v>1.6000000000000001E-3</v>
      </c>
      <c r="M619">
        <v>0.96399999999999997</v>
      </c>
      <c r="N619">
        <v>0.86</v>
      </c>
    </row>
    <row r="620" spans="1:14" x14ac:dyDescent="0.25">
      <c r="A620" t="s">
        <v>1154</v>
      </c>
      <c r="B620" t="s">
        <v>1155</v>
      </c>
      <c r="C620" s="1" t="str">
        <f>HYPERLINK("http://www.genecards.org/cgi-bin/carddisp.pl?gene=AKAP1","GeneCards")</f>
        <v>GeneCards</v>
      </c>
      <c r="D620" s="1" t="str">
        <f>HYPERLINK("http://genome-euro.ucsc.edu/cgi-bin/hgTracks?position=210625_s_at","UCSC")</f>
        <v>UCSC</v>
      </c>
      <c r="E620" s="1" t="str">
        <f>HYPERLINK("http://www.ncbi.nlm.nih.gov/gene/?term=AKAP1","NCBI")</f>
        <v>NCBI</v>
      </c>
      <c r="F620">
        <v>7.3999999999999999E-4</v>
      </c>
      <c r="G620">
        <v>0.02</v>
      </c>
      <c r="H620" s="1" t="str">
        <f>HYPERLINK("http://www.weizmann.ac.il/complex/compphys/software/geview/data/figures/210625_s_at.png","Figure")</f>
        <v>Figure</v>
      </c>
      <c r="I620">
        <v>1.23</v>
      </c>
      <c r="J620">
        <v>4.7E-2</v>
      </c>
      <c r="K620">
        <v>1.42</v>
      </c>
      <c r="L620">
        <v>5.1999999999999995E-4</v>
      </c>
      <c r="M620">
        <v>1.1499999999999999</v>
      </c>
      <c r="N620">
        <v>0.17</v>
      </c>
    </row>
    <row r="621" spans="1:14" x14ac:dyDescent="0.25">
      <c r="A621" t="s">
        <v>1156</v>
      </c>
      <c r="B621" t="s">
        <v>1157</v>
      </c>
      <c r="C621" s="1" t="str">
        <f>HYPERLINK("http://www.genecards.org/cgi-bin/carddisp.pl?gene=C19orf22","GeneCards")</f>
        <v>GeneCards</v>
      </c>
      <c r="D621" s="1" t="str">
        <f>HYPERLINK("http://genome-euro.ucsc.edu/cgi-bin/hgTracks?position=221764_at","UCSC")</f>
        <v>UCSC</v>
      </c>
      <c r="E621" s="1" t="str">
        <f>HYPERLINK("http://www.ncbi.nlm.nih.gov/gene/?term=C19orf22","NCBI")</f>
        <v>NCBI</v>
      </c>
      <c r="F621">
        <v>7.3999999999999999E-4</v>
      </c>
      <c r="G621">
        <v>0.02</v>
      </c>
      <c r="H621" s="1" t="str">
        <f>HYPERLINK("http://www.weizmann.ac.il/complex/compphys/software/geview/data/figures/221764_at.png","Figure")</f>
        <v>Figure</v>
      </c>
      <c r="I621">
        <v>0.58599999999999997</v>
      </c>
      <c r="J621">
        <v>1.6E-2</v>
      </c>
      <c r="K621">
        <v>0.48199999999999998</v>
      </c>
      <c r="L621">
        <v>5.6999999999999998E-4</v>
      </c>
      <c r="M621">
        <v>0.82299999999999995</v>
      </c>
      <c r="N621">
        <v>0.43</v>
      </c>
    </row>
    <row r="622" spans="1:14" x14ac:dyDescent="0.25">
      <c r="A622" t="s">
        <v>1158</v>
      </c>
      <c r="B622" t="s">
        <v>1159</v>
      </c>
      <c r="C622" s="1" t="str">
        <f>HYPERLINK("http://www.genecards.org/cgi-bin/carddisp.pl?gene=MME","GeneCards")</f>
        <v>GeneCards</v>
      </c>
      <c r="D622" s="1" t="str">
        <f>HYPERLINK("http://genome-euro.ucsc.edu/cgi-bin/hgTracks?position=203434_s_at","UCSC")</f>
        <v>UCSC</v>
      </c>
      <c r="E622" s="1" t="str">
        <f>HYPERLINK("http://www.ncbi.nlm.nih.gov/gene/?term=MME","NCBI")</f>
        <v>NCBI</v>
      </c>
      <c r="F622">
        <v>7.3999999999999999E-4</v>
      </c>
      <c r="G622">
        <v>0.02</v>
      </c>
      <c r="H622" s="1" t="str">
        <f>HYPERLINK("http://www.weizmann.ac.il/complex/compphys/software/geview/data/figures/203434_s_at.png","Figure")</f>
        <v>Figure</v>
      </c>
      <c r="I622">
        <v>0.42399999999999999</v>
      </c>
      <c r="J622">
        <v>5.1000000000000004E-3</v>
      </c>
      <c r="K622">
        <v>0.39</v>
      </c>
      <c r="L622">
        <v>8.1999999999999998E-4</v>
      </c>
      <c r="M622">
        <v>0.91900000000000004</v>
      </c>
      <c r="N622">
        <v>0.91</v>
      </c>
    </row>
    <row r="623" spans="1:14" x14ac:dyDescent="0.25">
      <c r="A623" t="s">
        <v>1160</v>
      </c>
      <c r="B623" t="s">
        <v>840</v>
      </c>
      <c r="C623" s="1" t="str">
        <f>HYPERLINK("http://www.genecards.org/cgi-bin/carddisp.pl?gene=VGLL4","GeneCards")</f>
        <v>GeneCards</v>
      </c>
      <c r="D623" s="1" t="str">
        <f>HYPERLINK("http://genome-euro.ucsc.edu/cgi-bin/hgTracks?position=214004_s_at","UCSC")</f>
        <v>UCSC</v>
      </c>
      <c r="E623" s="1" t="str">
        <f>HYPERLINK("http://www.ncbi.nlm.nih.gov/gene/?term=VGLL4","NCBI")</f>
        <v>NCBI</v>
      </c>
      <c r="F623">
        <v>7.3999999999999999E-4</v>
      </c>
      <c r="G623">
        <v>0.02</v>
      </c>
      <c r="H623" s="1" t="str">
        <f>HYPERLINK("http://www.weizmann.ac.il/complex/compphys/software/geview/data/figures/214004_s_at.png","Figure")</f>
        <v>Figure</v>
      </c>
      <c r="I623">
        <v>0.88100000000000001</v>
      </c>
      <c r="J623">
        <v>0.53</v>
      </c>
      <c r="K623">
        <v>0.61399999999999999</v>
      </c>
      <c r="L623">
        <v>8.1999999999999998E-4</v>
      </c>
      <c r="M623">
        <v>0.69699999999999995</v>
      </c>
      <c r="N623">
        <v>1.2999999999999999E-2</v>
      </c>
    </row>
    <row r="624" spans="1:14" x14ac:dyDescent="0.25">
      <c r="A624" t="s">
        <v>1161</v>
      </c>
      <c r="B624" t="s">
        <v>1162</v>
      </c>
      <c r="C624" s="1" t="str">
        <f>HYPERLINK("http://www.genecards.org/cgi-bin/carddisp.pl?gene=KIAA0174","GeneCards")</f>
        <v>GeneCards</v>
      </c>
      <c r="D624" s="1" t="str">
        <f>HYPERLINK("http://genome-euro.ucsc.edu/cgi-bin/hgTracks?position=200851_s_at","UCSC")</f>
        <v>UCSC</v>
      </c>
      <c r="E624" s="1" t="str">
        <f>HYPERLINK("http://www.ncbi.nlm.nih.gov/gene/?term=KIAA0174","NCBI")</f>
        <v>NCBI</v>
      </c>
      <c r="F624">
        <v>7.5000000000000002E-4</v>
      </c>
      <c r="G624">
        <v>0.02</v>
      </c>
      <c r="H624" s="1" t="str">
        <f>HYPERLINK("http://www.weizmann.ac.il/complex/compphys/software/geview/data/figures/200851_s_at.png","Figure")</f>
        <v>Figure</v>
      </c>
      <c r="I624">
        <v>1.35</v>
      </c>
      <c r="J624">
        <v>0.26</v>
      </c>
      <c r="K624">
        <v>0.58299999999999996</v>
      </c>
      <c r="L624">
        <v>1.2999999999999999E-2</v>
      </c>
      <c r="M624">
        <v>0.43099999999999999</v>
      </c>
      <c r="N624">
        <v>8.0999999999999996E-4</v>
      </c>
    </row>
    <row r="625" spans="1:14" x14ac:dyDescent="0.25">
      <c r="A625" t="s">
        <v>1163</v>
      </c>
      <c r="B625" t="s">
        <v>1164</v>
      </c>
      <c r="C625" s="1" t="str">
        <f>HYPERLINK("http://www.genecards.org/cgi-bin/carddisp.pl?gene=HIST1H2BK","GeneCards")</f>
        <v>GeneCards</v>
      </c>
      <c r="D625" s="1" t="str">
        <f>HYPERLINK("http://genome-euro.ucsc.edu/cgi-bin/hgTracks?position=209806_at","UCSC")</f>
        <v>UCSC</v>
      </c>
      <c r="E625" s="1" t="str">
        <f>HYPERLINK("http://www.ncbi.nlm.nih.gov/gene/?term=HIST1H2BK","NCBI")</f>
        <v>NCBI</v>
      </c>
      <c r="F625">
        <v>7.5000000000000002E-4</v>
      </c>
      <c r="G625">
        <v>0.02</v>
      </c>
      <c r="H625" s="1" t="str">
        <f>HYPERLINK("http://www.weizmann.ac.il/complex/compphys/software/geview/data/figures/209806_at.png","Figure")</f>
        <v>Figure</v>
      </c>
      <c r="I625">
        <v>0.29199999999999998</v>
      </c>
      <c r="J625">
        <v>3.2000000000000002E-3</v>
      </c>
      <c r="K625">
        <v>0.29099999999999998</v>
      </c>
      <c r="L625">
        <v>1.1000000000000001E-3</v>
      </c>
      <c r="M625">
        <v>0.99399999999999999</v>
      </c>
      <c r="N625">
        <v>1</v>
      </c>
    </row>
    <row r="626" spans="1:14" x14ac:dyDescent="0.25">
      <c r="A626" t="s">
        <v>1165</v>
      </c>
      <c r="B626" t="s">
        <v>1166</v>
      </c>
      <c r="C626" s="1" t="str">
        <f>HYPERLINK("http://www.genecards.org/cgi-bin/carddisp.pl?gene=SLIT3","GeneCards")</f>
        <v>GeneCards</v>
      </c>
      <c r="D626" s="1" t="str">
        <f>HYPERLINK("http://genome-euro.ucsc.edu/cgi-bin/hgTracks?position=203813_s_at","UCSC")</f>
        <v>UCSC</v>
      </c>
      <c r="E626" s="1" t="str">
        <f>HYPERLINK("http://www.ncbi.nlm.nih.gov/gene/?term=SLIT3","NCBI")</f>
        <v>NCBI</v>
      </c>
      <c r="F626">
        <v>7.5000000000000002E-4</v>
      </c>
      <c r="G626">
        <v>0.02</v>
      </c>
      <c r="H626" s="1" t="str">
        <f>HYPERLINK("http://www.weizmann.ac.il/complex/compphys/software/geview/data/figures/203813_s_at.png","Figure")</f>
        <v>Figure</v>
      </c>
      <c r="I626">
        <v>1.17</v>
      </c>
      <c r="J626">
        <v>4.7999999999999996E-3</v>
      </c>
      <c r="K626">
        <v>0.97</v>
      </c>
      <c r="L626">
        <v>0.67</v>
      </c>
      <c r="M626">
        <v>0.83</v>
      </c>
      <c r="N626">
        <v>6.6E-4</v>
      </c>
    </row>
    <row r="627" spans="1:14" x14ac:dyDescent="0.25">
      <c r="A627" t="s">
        <v>1167</v>
      </c>
      <c r="B627" t="s">
        <v>1168</v>
      </c>
      <c r="C627" s="1" t="str">
        <f>HYPERLINK("http://www.genecards.org/cgi-bin/carddisp.pl?gene=ZNF211","GeneCards")</f>
        <v>GeneCards</v>
      </c>
      <c r="D627" s="1" t="str">
        <f>HYPERLINK("http://genome-euro.ucsc.edu/cgi-bin/hgTracks?position=205437_at","UCSC")</f>
        <v>UCSC</v>
      </c>
      <c r="E627" s="1" t="str">
        <f>HYPERLINK("http://www.ncbi.nlm.nih.gov/gene/?term=ZNF211","NCBI")</f>
        <v>NCBI</v>
      </c>
      <c r="F627">
        <v>7.6000000000000004E-4</v>
      </c>
      <c r="G627">
        <v>0.02</v>
      </c>
      <c r="H627" s="1" t="str">
        <f>HYPERLINK("http://www.weizmann.ac.il/complex/compphys/software/geview/data/figures/205437_at.png","Figure")</f>
        <v>Figure</v>
      </c>
      <c r="I627">
        <v>0.97099999999999997</v>
      </c>
      <c r="J627">
        <v>0.97</v>
      </c>
      <c r="K627">
        <v>0.59199999999999997</v>
      </c>
      <c r="L627">
        <v>1.5E-3</v>
      </c>
      <c r="M627">
        <v>0.61</v>
      </c>
      <c r="N627">
        <v>4.1000000000000003E-3</v>
      </c>
    </row>
    <row r="628" spans="1:14" x14ac:dyDescent="0.25">
      <c r="A628" t="s">
        <v>1169</v>
      </c>
      <c r="B628" t="s">
        <v>828</v>
      </c>
      <c r="C628" s="1" t="str">
        <f>HYPERLINK("http://www.genecards.org/cgi-bin/carddisp.pl?gene=EFR3A","GeneCards")</f>
        <v>GeneCards</v>
      </c>
      <c r="D628" s="1" t="str">
        <f>HYPERLINK("http://genome-euro.ucsc.edu/cgi-bin/hgTracks?position=212150_at","UCSC")</f>
        <v>UCSC</v>
      </c>
      <c r="E628" s="1" t="str">
        <f>HYPERLINK("http://www.ncbi.nlm.nih.gov/gene/?term=EFR3A","NCBI")</f>
        <v>NCBI</v>
      </c>
      <c r="F628">
        <v>7.5000000000000002E-4</v>
      </c>
      <c r="G628">
        <v>0.02</v>
      </c>
      <c r="H628" s="1" t="str">
        <f>HYPERLINK("http://www.weizmann.ac.il/complex/compphys/software/geview/data/figures/212150_at.png","Figure")</f>
        <v>Figure</v>
      </c>
      <c r="I628">
        <v>0.34300000000000003</v>
      </c>
      <c r="J628">
        <v>4.4999999999999997E-3</v>
      </c>
      <c r="K628">
        <v>0.31900000000000001</v>
      </c>
      <c r="L628">
        <v>8.8999999999999995E-4</v>
      </c>
      <c r="M628">
        <v>0.92900000000000005</v>
      </c>
      <c r="N628">
        <v>0.95</v>
      </c>
    </row>
    <row r="629" spans="1:14" x14ac:dyDescent="0.25">
      <c r="A629" t="s">
        <v>1170</v>
      </c>
      <c r="B629" t="s">
        <v>1171</v>
      </c>
      <c r="C629" s="1" t="str">
        <f>HYPERLINK("http://www.genecards.org/cgi-bin/carddisp.pl?gene=WSCD1","GeneCards")</f>
        <v>GeneCards</v>
      </c>
      <c r="D629" s="1" t="str">
        <f>HYPERLINK("http://genome-euro.ucsc.edu/cgi-bin/hgTracks?position=213155_at","UCSC")</f>
        <v>UCSC</v>
      </c>
      <c r="E629" s="1" t="str">
        <f>HYPERLINK("http://www.ncbi.nlm.nih.gov/gene/?term=WSCD1","NCBI")</f>
        <v>NCBI</v>
      </c>
      <c r="F629">
        <v>7.5000000000000002E-4</v>
      </c>
      <c r="G629">
        <v>0.02</v>
      </c>
      <c r="H629" s="1" t="str">
        <f>HYPERLINK("http://www.weizmann.ac.il/complex/compphys/software/geview/data/figures/213155_at.png","Figure")</f>
        <v>Figure</v>
      </c>
      <c r="I629">
        <v>1.24</v>
      </c>
      <c r="J629">
        <v>2.7E-2</v>
      </c>
      <c r="K629">
        <v>0.879</v>
      </c>
      <c r="L629">
        <v>0.13</v>
      </c>
      <c r="M629">
        <v>0.70899999999999996</v>
      </c>
      <c r="N629">
        <v>5.2999999999999998E-4</v>
      </c>
    </row>
    <row r="630" spans="1:14" x14ac:dyDescent="0.25">
      <c r="A630" t="s">
        <v>1172</v>
      </c>
      <c r="B630" t="s">
        <v>1173</v>
      </c>
      <c r="C630" s="1" t="str">
        <f>HYPERLINK("http://www.genecards.org/cgi-bin/carddisp.pl?gene=DHRS11","GeneCards")</f>
        <v>GeneCards</v>
      </c>
      <c r="D630" s="1" t="str">
        <f>HYPERLINK("http://genome-euro.ucsc.edu/cgi-bin/hgTracks?position=218756_s_at","UCSC")</f>
        <v>UCSC</v>
      </c>
      <c r="E630" s="1" t="str">
        <f>HYPERLINK("http://www.ncbi.nlm.nih.gov/gene/?term=DHRS11","NCBI")</f>
        <v>NCBI</v>
      </c>
      <c r="F630">
        <v>7.6000000000000004E-4</v>
      </c>
      <c r="G630">
        <v>0.02</v>
      </c>
      <c r="H630" s="1" t="str">
        <f>HYPERLINK("http://www.weizmann.ac.il/complex/compphys/software/geview/data/figures/218756_s_at.png","Figure")</f>
        <v>Figure</v>
      </c>
      <c r="I630">
        <v>0.73699999999999999</v>
      </c>
      <c r="J630">
        <v>1.9E-3</v>
      </c>
      <c r="K630">
        <v>1</v>
      </c>
      <c r="L630">
        <v>1</v>
      </c>
      <c r="M630">
        <v>1.36</v>
      </c>
      <c r="N630">
        <v>1.1000000000000001E-3</v>
      </c>
    </row>
    <row r="631" spans="1:14" x14ac:dyDescent="0.25">
      <c r="A631" t="s">
        <v>1174</v>
      </c>
      <c r="B631" t="s">
        <v>676</v>
      </c>
      <c r="C631" s="1" t="str">
        <f>HYPERLINK("http://www.genecards.org/cgi-bin/carddisp.pl?gene=TTC3","GeneCards")</f>
        <v>GeneCards</v>
      </c>
      <c r="D631" s="1" t="str">
        <f>HYPERLINK("http://genome-euro.ucsc.edu/cgi-bin/hgTracks?position=208073_x_at","UCSC")</f>
        <v>UCSC</v>
      </c>
      <c r="E631" s="1" t="str">
        <f>HYPERLINK("http://www.ncbi.nlm.nih.gov/gene/?term=TTC3","NCBI")</f>
        <v>NCBI</v>
      </c>
      <c r="F631">
        <v>7.6000000000000004E-4</v>
      </c>
      <c r="G631">
        <v>2.1000000000000001E-2</v>
      </c>
      <c r="H631" s="1" t="str">
        <f>HYPERLINK("http://www.weizmann.ac.il/complex/compphys/software/geview/data/figures/208073_x_at.png","Figure")</f>
        <v>Figure</v>
      </c>
      <c r="I631">
        <v>0.439</v>
      </c>
      <c r="J631">
        <v>1.1999999999999999E-3</v>
      </c>
      <c r="K631">
        <v>0.91900000000000004</v>
      </c>
      <c r="L631">
        <v>0.85</v>
      </c>
      <c r="M631">
        <v>2.09</v>
      </c>
      <c r="N631">
        <v>1.6999999999999999E-3</v>
      </c>
    </row>
    <row r="632" spans="1:14" x14ac:dyDescent="0.25">
      <c r="A632" t="s">
        <v>1175</v>
      </c>
      <c r="B632" t="s">
        <v>169</v>
      </c>
      <c r="C632" s="1" t="str">
        <f>HYPERLINK("http://www.genecards.org/cgi-bin/carddisp.pl?gene=PECAM1","GeneCards")</f>
        <v>GeneCards</v>
      </c>
      <c r="D632" s="1" t="str">
        <f>HYPERLINK("http://genome-euro.ucsc.edu/cgi-bin/hgTracks?position=208983_s_at","UCSC")</f>
        <v>UCSC</v>
      </c>
      <c r="E632" s="1" t="str">
        <f>HYPERLINK("http://www.ncbi.nlm.nih.gov/gene/?term=PECAM1","NCBI")</f>
        <v>NCBI</v>
      </c>
      <c r="F632">
        <v>7.6000000000000004E-4</v>
      </c>
      <c r="G632">
        <v>2.1000000000000001E-2</v>
      </c>
      <c r="H632" s="1" t="str">
        <f>HYPERLINK("http://www.weizmann.ac.il/complex/compphys/software/geview/data/figures/208983_s_at.png","Figure")</f>
        <v>Figure</v>
      </c>
      <c r="I632">
        <v>0.32600000000000001</v>
      </c>
      <c r="J632">
        <v>7.1000000000000002E-4</v>
      </c>
      <c r="K632">
        <v>0.755</v>
      </c>
      <c r="L632">
        <v>0.36</v>
      </c>
      <c r="M632">
        <v>2.31</v>
      </c>
      <c r="N632">
        <v>4.1999999999999997E-3</v>
      </c>
    </row>
    <row r="633" spans="1:14" x14ac:dyDescent="0.25">
      <c r="A633" t="s">
        <v>1176</v>
      </c>
      <c r="B633" t="s">
        <v>1177</v>
      </c>
      <c r="C633" s="1" t="str">
        <f>HYPERLINK("http://www.genecards.org/cgi-bin/carddisp.pl?gene=TOR3A","GeneCards")</f>
        <v>GeneCards</v>
      </c>
      <c r="D633" s="1" t="str">
        <f>HYPERLINK("http://genome-euro.ucsc.edu/cgi-bin/hgTracks?position=218459_at","UCSC")</f>
        <v>UCSC</v>
      </c>
      <c r="E633" s="1" t="str">
        <f>HYPERLINK("http://www.ncbi.nlm.nih.gov/gene/?term=TOR3A","NCBI")</f>
        <v>NCBI</v>
      </c>
      <c r="F633">
        <v>7.6999999999999996E-4</v>
      </c>
      <c r="G633">
        <v>2.1000000000000001E-2</v>
      </c>
      <c r="H633" s="1" t="str">
        <f>HYPERLINK("http://www.weizmann.ac.il/complex/compphys/software/geview/data/figures/218459_at.png","Figure")</f>
        <v>Figure</v>
      </c>
      <c r="I633">
        <v>1.78</v>
      </c>
      <c r="J633">
        <v>1.1999999999999999E-3</v>
      </c>
      <c r="K633">
        <v>1.57</v>
      </c>
      <c r="L633">
        <v>2.8E-3</v>
      </c>
      <c r="M633">
        <v>0.88400000000000001</v>
      </c>
      <c r="N633">
        <v>0.55000000000000004</v>
      </c>
    </row>
    <row r="634" spans="1:14" x14ac:dyDescent="0.25">
      <c r="A634" t="s">
        <v>1178</v>
      </c>
      <c r="B634" t="s">
        <v>1179</v>
      </c>
      <c r="C634" s="1" t="str">
        <f>HYPERLINK("http://www.genecards.org/cgi-bin/carddisp.pl?gene=USO1","GeneCards")</f>
        <v>GeneCards</v>
      </c>
      <c r="D634" s="1" t="str">
        <f>HYPERLINK("http://genome-euro.ucsc.edu/cgi-bin/hgTracks?position=201831_s_at","UCSC")</f>
        <v>UCSC</v>
      </c>
      <c r="E634" s="1" t="str">
        <f>HYPERLINK("http://www.ncbi.nlm.nih.gov/gene/?term=USO1","NCBI")</f>
        <v>NCBI</v>
      </c>
      <c r="F634">
        <v>7.7999999999999999E-4</v>
      </c>
      <c r="G634">
        <v>2.1000000000000001E-2</v>
      </c>
      <c r="H634" s="1" t="str">
        <f>HYPERLINK("http://www.weizmann.ac.il/complex/compphys/software/geview/data/figures/201831_s_at.png","Figure")</f>
        <v>Figure</v>
      </c>
      <c r="I634">
        <v>0.93</v>
      </c>
      <c r="J634">
        <v>0.92</v>
      </c>
      <c r="K634">
        <v>1.98</v>
      </c>
      <c r="L634">
        <v>2.8E-3</v>
      </c>
      <c r="M634">
        <v>2.13</v>
      </c>
      <c r="N634">
        <v>2.2000000000000001E-3</v>
      </c>
    </row>
    <row r="635" spans="1:14" x14ac:dyDescent="0.25">
      <c r="A635" t="s">
        <v>1180</v>
      </c>
      <c r="B635" t="s">
        <v>1181</v>
      </c>
      <c r="C635" s="1" t="str">
        <f>HYPERLINK("http://www.genecards.org/cgi-bin/carddisp.pl?gene=DGKQ","GeneCards")</f>
        <v>GeneCards</v>
      </c>
      <c r="D635" s="1" t="str">
        <f>HYPERLINK("http://genome-euro.ucsc.edu/cgi-bin/hgTracks?position=207562_at","UCSC")</f>
        <v>UCSC</v>
      </c>
      <c r="E635" s="1" t="str">
        <f>HYPERLINK("http://www.ncbi.nlm.nih.gov/gene/?term=DGKQ","NCBI")</f>
        <v>NCBI</v>
      </c>
      <c r="F635">
        <v>7.7999999999999999E-4</v>
      </c>
      <c r="G635">
        <v>2.1000000000000001E-2</v>
      </c>
      <c r="H635" s="1" t="str">
        <f>HYPERLINK("http://www.weizmann.ac.il/complex/compphys/software/geview/data/figures/207562_at.png","Figure")</f>
        <v>Figure</v>
      </c>
      <c r="I635">
        <v>1.0900000000000001</v>
      </c>
      <c r="J635">
        <v>2.3E-3</v>
      </c>
      <c r="K635">
        <v>1.08</v>
      </c>
      <c r="L635">
        <v>1.4E-3</v>
      </c>
      <c r="M635">
        <v>0.99399999999999999</v>
      </c>
      <c r="N635">
        <v>0.94</v>
      </c>
    </row>
    <row r="636" spans="1:14" x14ac:dyDescent="0.25">
      <c r="A636" t="s">
        <v>1182</v>
      </c>
      <c r="B636" t="s">
        <v>1183</v>
      </c>
      <c r="C636" s="1" t="str">
        <f>HYPERLINK("http://www.genecards.org/cgi-bin/carddisp.pl?gene=EVI2A","GeneCards")</f>
        <v>GeneCards</v>
      </c>
      <c r="D636" s="1" t="str">
        <f>HYPERLINK("http://genome-euro.ucsc.edu/cgi-bin/hgTracks?position=204774_at","UCSC")</f>
        <v>UCSC</v>
      </c>
      <c r="E636" s="1" t="str">
        <f>HYPERLINK("http://www.ncbi.nlm.nih.gov/gene/?term=EVI2A","NCBI")</f>
        <v>NCBI</v>
      </c>
      <c r="F636">
        <v>7.7999999999999999E-4</v>
      </c>
      <c r="G636">
        <v>2.1000000000000001E-2</v>
      </c>
      <c r="H636" s="1" t="str">
        <f>HYPERLINK("http://www.weizmann.ac.il/complex/compphys/software/geview/data/figures/204774_at.png","Figure")</f>
        <v>Figure</v>
      </c>
      <c r="I636">
        <v>0.33400000000000002</v>
      </c>
      <c r="J636">
        <v>1.6000000000000001E-3</v>
      </c>
      <c r="K636">
        <v>0.39800000000000002</v>
      </c>
      <c r="L636">
        <v>2.0999999999999999E-3</v>
      </c>
      <c r="M636">
        <v>1.19</v>
      </c>
      <c r="N636">
        <v>0.72</v>
      </c>
    </row>
    <row r="637" spans="1:14" x14ac:dyDescent="0.25">
      <c r="A637" t="s">
        <v>1184</v>
      </c>
      <c r="B637" t="s">
        <v>1185</v>
      </c>
      <c r="C637" s="1" t="str">
        <f>HYPERLINK("http://www.genecards.org/cgi-bin/carddisp.pl?gene=RAD17","GeneCards")</f>
        <v>GeneCards</v>
      </c>
      <c r="D637" s="1" t="str">
        <f>HYPERLINK("http://genome-euro.ucsc.edu/cgi-bin/hgTracks?position=207405_s_at","UCSC")</f>
        <v>UCSC</v>
      </c>
      <c r="E637" s="1" t="str">
        <f>HYPERLINK("http://www.ncbi.nlm.nih.gov/gene/?term=RAD17","NCBI")</f>
        <v>NCBI</v>
      </c>
      <c r="F637">
        <v>7.7999999999999999E-4</v>
      </c>
      <c r="G637">
        <v>2.1000000000000001E-2</v>
      </c>
      <c r="H637" s="1" t="str">
        <f>HYPERLINK("http://www.weizmann.ac.il/complex/compphys/software/geview/data/figures/207405_s_at.png","Figure")</f>
        <v>Figure</v>
      </c>
      <c r="I637">
        <v>0.46500000000000002</v>
      </c>
      <c r="J637">
        <v>5.6999999999999998E-4</v>
      </c>
      <c r="K637">
        <v>0.748</v>
      </c>
      <c r="L637">
        <v>0.11</v>
      </c>
      <c r="M637">
        <v>1.61</v>
      </c>
      <c r="N637">
        <v>1.2999999999999999E-2</v>
      </c>
    </row>
    <row r="638" spans="1:14" x14ac:dyDescent="0.25">
      <c r="A638" t="s">
        <v>1186</v>
      </c>
      <c r="B638" t="s">
        <v>540</v>
      </c>
      <c r="C638" s="1" t="str">
        <f>HYPERLINK("http://www.genecards.org/cgi-bin/carddisp.pl?gene=TMCO1","GeneCards")</f>
        <v>GeneCards</v>
      </c>
      <c r="D638" s="1" t="str">
        <f>HYPERLINK("http://genome-euro.ucsc.edu/cgi-bin/hgTracks?position=210768_x_at","UCSC")</f>
        <v>UCSC</v>
      </c>
      <c r="E638" s="1" t="str">
        <f>HYPERLINK("http://www.ncbi.nlm.nih.gov/gene/?term=TMCO1","NCBI")</f>
        <v>NCBI</v>
      </c>
      <c r="F638">
        <v>7.7999999999999999E-4</v>
      </c>
      <c r="G638">
        <v>2.1000000000000001E-2</v>
      </c>
      <c r="H638" s="1" t="str">
        <f>HYPERLINK("http://www.weizmann.ac.il/complex/compphys/software/geview/data/figures/210768_x_at.png","Figure")</f>
        <v>Figure</v>
      </c>
      <c r="I638">
        <v>1.34</v>
      </c>
      <c r="J638">
        <v>1.7999999999999999E-2</v>
      </c>
      <c r="K638">
        <v>1.5</v>
      </c>
      <c r="L638">
        <v>5.9999999999999995E-4</v>
      </c>
      <c r="M638">
        <v>1.1200000000000001</v>
      </c>
      <c r="N638">
        <v>0.43</v>
      </c>
    </row>
    <row r="639" spans="1:14" x14ac:dyDescent="0.25">
      <c r="A639" t="s">
        <v>1187</v>
      </c>
      <c r="B639" t="s">
        <v>1188</v>
      </c>
      <c r="C639" s="1" t="str">
        <f>HYPERLINK("http://www.genecards.org/cgi-bin/carddisp.pl?gene=IER3IP1","GeneCards")</f>
        <v>GeneCards</v>
      </c>
      <c r="D639" s="1" t="str">
        <f>HYPERLINK("http://genome-euro.ucsc.edu/cgi-bin/hgTracks?position=211406_at","UCSC")</f>
        <v>UCSC</v>
      </c>
      <c r="E639" s="1" t="str">
        <f>HYPERLINK("http://www.ncbi.nlm.nih.gov/gene/?term=IER3IP1","NCBI")</f>
        <v>NCBI</v>
      </c>
      <c r="F639">
        <v>7.9000000000000001E-4</v>
      </c>
      <c r="G639">
        <v>2.1000000000000001E-2</v>
      </c>
      <c r="H639" s="1" t="str">
        <f>HYPERLINK("http://www.weizmann.ac.il/complex/compphys/software/geview/data/figures/211406_at.png","Figure")</f>
        <v>Figure</v>
      </c>
      <c r="I639">
        <v>0.66100000000000003</v>
      </c>
      <c r="J639">
        <v>1.8E-3</v>
      </c>
      <c r="K639">
        <v>0.99099999999999999</v>
      </c>
      <c r="L639">
        <v>0.99</v>
      </c>
      <c r="M639">
        <v>1.5</v>
      </c>
      <c r="N639">
        <v>1.1999999999999999E-3</v>
      </c>
    </row>
    <row r="640" spans="1:14" x14ac:dyDescent="0.25">
      <c r="A640" t="s">
        <v>1189</v>
      </c>
      <c r="B640" t="s">
        <v>1190</v>
      </c>
      <c r="C640" s="1" t="str">
        <f>HYPERLINK("http://www.genecards.org/cgi-bin/carddisp.pl?gene=GOLGA5","GeneCards")</f>
        <v>GeneCards</v>
      </c>
      <c r="D640" s="1" t="str">
        <f>HYPERLINK("http://genome-euro.ucsc.edu/cgi-bin/hgTracks?position=218241_at","UCSC")</f>
        <v>UCSC</v>
      </c>
      <c r="E640" s="1" t="str">
        <f>HYPERLINK("http://www.ncbi.nlm.nih.gov/gene/?term=GOLGA5","NCBI")</f>
        <v>NCBI</v>
      </c>
      <c r="F640">
        <v>7.7999999999999999E-4</v>
      </c>
      <c r="G640">
        <v>2.1000000000000001E-2</v>
      </c>
      <c r="H640" s="1" t="str">
        <f>HYPERLINK("http://www.weizmann.ac.il/complex/compphys/software/geview/data/figures/218241_at.png","Figure")</f>
        <v>Figure</v>
      </c>
      <c r="I640">
        <v>0.34499999999999997</v>
      </c>
      <c r="J640">
        <v>7.2000000000000005E-4</v>
      </c>
      <c r="K640">
        <v>0.76</v>
      </c>
      <c r="L640">
        <v>0.34</v>
      </c>
      <c r="M640">
        <v>2.2000000000000002</v>
      </c>
      <c r="N640">
        <v>4.4999999999999997E-3</v>
      </c>
    </row>
    <row r="641" spans="1:14" x14ac:dyDescent="0.25">
      <c r="A641" t="s">
        <v>1191</v>
      </c>
      <c r="B641" t="s">
        <v>451</v>
      </c>
      <c r="C641" s="1" t="str">
        <f>HYPERLINK("http://www.genecards.org/cgi-bin/carddisp.pl?gene=RDH11","GeneCards")</f>
        <v>GeneCards</v>
      </c>
      <c r="D641" s="1" t="str">
        <f>HYPERLINK("http://genome-euro.ucsc.edu/cgi-bin/hgTracks?position=217776_at","UCSC")</f>
        <v>UCSC</v>
      </c>
      <c r="E641" s="1" t="str">
        <f>HYPERLINK("http://www.ncbi.nlm.nih.gov/gene/?term=RDH11","NCBI")</f>
        <v>NCBI</v>
      </c>
      <c r="F641">
        <v>7.9000000000000001E-4</v>
      </c>
      <c r="G641">
        <v>2.1000000000000001E-2</v>
      </c>
      <c r="H641" s="1" t="str">
        <f>HYPERLINK("http://www.weizmann.ac.il/complex/compphys/software/geview/data/figures/217776_at.png","Figure")</f>
        <v>Figure</v>
      </c>
      <c r="I641">
        <v>0.53800000000000003</v>
      </c>
      <c r="J641">
        <v>3.8E-3</v>
      </c>
      <c r="K641">
        <v>1.0900000000000001</v>
      </c>
      <c r="L641">
        <v>0.81</v>
      </c>
      <c r="M641">
        <v>2.02</v>
      </c>
      <c r="N641">
        <v>7.7999999999999999E-4</v>
      </c>
    </row>
    <row r="642" spans="1:14" x14ac:dyDescent="0.25">
      <c r="A642" t="s">
        <v>1192</v>
      </c>
      <c r="B642" t="s">
        <v>457</v>
      </c>
      <c r="C642" s="1" t="str">
        <f>HYPERLINK("http://www.genecards.org/cgi-bin/carddisp.pl?gene=ATP5C1","GeneCards")</f>
        <v>GeneCards</v>
      </c>
      <c r="D642" s="1" t="str">
        <f>HYPERLINK("http://genome-euro.ucsc.edu/cgi-bin/hgTracks?position=213366_x_at","UCSC")</f>
        <v>UCSC</v>
      </c>
      <c r="E642" s="1" t="str">
        <f>HYPERLINK("http://www.ncbi.nlm.nih.gov/gene/?term=ATP5C1","NCBI")</f>
        <v>NCBI</v>
      </c>
      <c r="F642">
        <v>7.9000000000000001E-4</v>
      </c>
      <c r="G642">
        <v>2.1000000000000001E-2</v>
      </c>
      <c r="H642" s="1" t="str">
        <f>HYPERLINK("http://www.weizmann.ac.il/complex/compphys/software/geview/data/figures/213366_x_at.png","Figure")</f>
        <v>Figure</v>
      </c>
      <c r="I642">
        <v>0.83099999999999996</v>
      </c>
      <c r="J642">
        <v>0.56000000000000005</v>
      </c>
      <c r="K642">
        <v>1.78</v>
      </c>
      <c r="L642">
        <v>6.3E-3</v>
      </c>
      <c r="M642">
        <v>2.14</v>
      </c>
      <c r="N642">
        <v>1.2999999999999999E-3</v>
      </c>
    </row>
    <row r="643" spans="1:14" x14ac:dyDescent="0.25">
      <c r="A643" t="s">
        <v>1193</v>
      </c>
      <c r="B643" t="s">
        <v>1194</v>
      </c>
      <c r="C643" s="1" t="str">
        <f>HYPERLINK("http://www.genecards.org/cgi-bin/carddisp.pl?gene=MAP1A","GeneCards")</f>
        <v>GeneCards</v>
      </c>
      <c r="D643" s="1" t="str">
        <f>HYPERLINK("http://genome-euro.ucsc.edu/cgi-bin/hgTracks?position=203151_at","UCSC")</f>
        <v>UCSC</v>
      </c>
      <c r="E643" s="1" t="str">
        <f>HYPERLINK("http://www.ncbi.nlm.nih.gov/gene/?term=MAP1A","NCBI")</f>
        <v>NCBI</v>
      </c>
      <c r="F643">
        <v>8.0000000000000004E-4</v>
      </c>
      <c r="G643">
        <v>2.1000000000000001E-2</v>
      </c>
      <c r="H643" s="1" t="str">
        <f>HYPERLINK("http://www.weizmann.ac.il/complex/compphys/software/geview/data/figures/203151_at.png","Figure")</f>
        <v>Figure</v>
      </c>
      <c r="I643">
        <v>1.56</v>
      </c>
      <c r="J643">
        <v>1.8E-3</v>
      </c>
      <c r="K643">
        <v>1.48</v>
      </c>
      <c r="L643">
        <v>1.8E-3</v>
      </c>
      <c r="M643">
        <v>0.94499999999999995</v>
      </c>
      <c r="N643">
        <v>0.82</v>
      </c>
    </row>
    <row r="644" spans="1:14" x14ac:dyDescent="0.25">
      <c r="A644" t="s">
        <v>1195</v>
      </c>
      <c r="B644" t="s">
        <v>1196</v>
      </c>
      <c r="C644" s="1" t="str">
        <f>HYPERLINK("http://www.genecards.org/cgi-bin/carddisp.pl?gene=LETM1","GeneCards")</f>
        <v>GeneCards</v>
      </c>
      <c r="D644" s="1" t="str">
        <f>HYPERLINK("http://genome-euro.ucsc.edu/cgi-bin/hgTracks?position=222006_at","UCSC")</f>
        <v>UCSC</v>
      </c>
      <c r="E644" s="1" t="str">
        <f>HYPERLINK("http://www.ncbi.nlm.nih.gov/gene/?term=LETM1","NCBI")</f>
        <v>NCBI</v>
      </c>
      <c r="F644">
        <v>8.0000000000000004E-4</v>
      </c>
      <c r="G644">
        <v>2.1000000000000001E-2</v>
      </c>
      <c r="H644" s="1" t="str">
        <f>HYPERLINK("http://www.weizmann.ac.il/complex/compphys/software/geview/data/figures/222006_at.png","Figure")</f>
        <v>Figure</v>
      </c>
      <c r="I644">
        <v>0.76600000000000001</v>
      </c>
      <c r="J644">
        <v>6.6000000000000003E-2</v>
      </c>
      <c r="K644">
        <v>1.27</v>
      </c>
      <c r="L644">
        <v>5.7000000000000002E-2</v>
      </c>
      <c r="M644">
        <v>1.66</v>
      </c>
      <c r="N644">
        <v>5.9999999999999995E-4</v>
      </c>
    </row>
    <row r="645" spans="1:14" x14ac:dyDescent="0.25">
      <c r="A645" t="s">
        <v>1197</v>
      </c>
      <c r="B645" t="s">
        <v>1198</v>
      </c>
      <c r="C645" s="1" t="str">
        <f>HYPERLINK("http://www.genecards.org/cgi-bin/carddisp.pl?gene=PRPS2","GeneCards")</f>
        <v>GeneCards</v>
      </c>
      <c r="D645" s="1" t="str">
        <f>HYPERLINK("http://genome-euro.ucsc.edu/cgi-bin/hgTracks?position=203401_at","UCSC")</f>
        <v>UCSC</v>
      </c>
      <c r="E645" s="1" t="str">
        <f>HYPERLINK("http://www.ncbi.nlm.nih.gov/gene/?term=PRPS2","NCBI")</f>
        <v>NCBI</v>
      </c>
      <c r="F645">
        <v>8.0000000000000004E-4</v>
      </c>
      <c r="G645">
        <v>2.1000000000000001E-2</v>
      </c>
      <c r="H645" s="1" t="str">
        <f>HYPERLINK("http://www.weizmann.ac.il/complex/compphys/software/geview/data/figures/203401_at.png","Figure")</f>
        <v>Figure</v>
      </c>
      <c r="I645">
        <v>0.47399999999999998</v>
      </c>
      <c r="J645">
        <v>2.4E-2</v>
      </c>
      <c r="K645">
        <v>1.53</v>
      </c>
      <c r="L645">
        <v>0.16</v>
      </c>
      <c r="M645">
        <v>3.23</v>
      </c>
      <c r="N645">
        <v>5.6999999999999998E-4</v>
      </c>
    </row>
    <row r="646" spans="1:14" x14ac:dyDescent="0.25">
      <c r="A646" t="s">
        <v>1199</v>
      </c>
      <c r="B646" t="s">
        <v>1200</v>
      </c>
      <c r="C646" s="1" t="str">
        <f>HYPERLINK("http://www.genecards.org/cgi-bin/carddisp.pl?gene=PDLIM1","GeneCards")</f>
        <v>GeneCards</v>
      </c>
      <c r="D646" s="1" t="str">
        <f>HYPERLINK("http://genome-euro.ucsc.edu/cgi-bin/hgTracks?position=208690_s_at","UCSC")</f>
        <v>UCSC</v>
      </c>
      <c r="E646" s="1" t="str">
        <f>HYPERLINK("http://www.ncbi.nlm.nih.gov/gene/?term=PDLIM1","NCBI")</f>
        <v>NCBI</v>
      </c>
      <c r="F646">
        <v>8.0000000000000004E-4</v>
      </c>
      <c r="G646">
        <v>2.1000000000000001E-2</v>
      </c>
      <c r="H646" s="1" t="str">
        <f>HYPERLINK("http://www.weizmann.ac.il/complex/compphys/software/geview/data/figures/208690_s_at.png","Figure")</f>
        <v>Figure</v>
      </c>
      <c r="I646">
        <v>0.51600000000000001</v>
      </c>
      <c r="J646">
        <v>0.3</v>
      </c>
      <c r="K646">
        <v>3.53</v>
      </c>
      <c r="L646">
        <v>1.2999999999999999E-2</v>
      </c>
      <c r="M646">
        <v>6.83</v>
      </c>
      <c r="N646">
        <v>9.1E-4</v>
      </c>
    </row>
    <row r="647" spans="1:14" x14ac:dyDescent="0.25">
      <c r="A647" t="s">
        <v>1201</v>
      </c>
      <c r="B647" t="s">
        <v>1202</v>
      </c>
      <c r="C647" s="1" t="str">
        <f>HYPERLINK("http://www.genecards.org/cgi-bin/carddisp.pl?gene=GCC1","GeneCards")</f>
        <v>GeneCards</v>
      </c>
      <c r="D647" s="1" t="str">
        <f>HYPERLINK("http://genome-euro.ucsc.edu/cgi-bin/hgTracks?position=218912_at","UCSC")</f>
        <v>UCSC</v>
      </c>
      <c r="E647" s="1" t="str">
        <f>HYPERLINK("http://www.ncbi.nlm.nih.gov/gene/?term=GCC1","NCBI")</f>
        <v>NCBI</v>
      </c>
      <c r="F647">
        <v>8.0000000000000004E-4</v>
      </c>
      <c r="G647">
        <v>2.1000000000000001E-2</v>
      </c>
      <c r="H647" s="1" t="str">
        <f>HYPERLINK("http://www.weizmann.ac.il/complex/compphys/software/geview/data/figures/218912_at.png","Figure")</f>
        <v>Figure</v>
      </c>
      <c r="I647">
        <v>0.89400000000000002</v>
      </c>
      <c r="J647">
        <v>0.51</v>
      </c>
      <c r="K647">
        <v>0.65900000000000003</v>
      </c>
      <c r="L647">
        <v>8.5999999999999998E-4</v>
      </c>
      <c r="M647">
        <v>0.73699999999999999</v>
      </c>
      <c r="N647">
        <v>1.4E-2</v>
      </c>
    </row>
    <row r="648" spans="1:14" x14ac:dyDescent="0.25">
      <c r="A648" t="s">
        <v>1203</v>
      </c>
      <c r="B648" t="s">
        <v>1204</v>
      </c>
      <c r="C648" s="1" t="str">
        <f>HYPERLINK("http://www.genecards.org/cgi-bin/carddisp.pl?gene=APP","GeneCards")</f>
        <v>GeneCards</v>
      </c>
      <c r="D648" s="1" t="str">
        <f>HYPERLINK("http://genome-euro.ucsc.edu/cgi-bin/hgTracks?position=200602_at","UCSC")</f>
        <v>UCSC</v>
      </c>
      <c r="E648" s="1" t="str">
        <f>HYPERLINK("http://www.ncbi.nlm.nih.gov/gene/?term=APP","NCBI")</f>
        <v>NCBI</v>
      </c>
      <c r="F648">
        <v>8.0999999999999996E-4</v>
      </c>
      <c r="G648">
        <v>2.1000000000000001E-2</v>
      </c>
      <c r="H648" s="1" t="str">
        <f>HYPERLINK("http://www.weizmann.ac.il/complex/compphys/software/geview/data/figures/200602_at.png","Figure")</f>
        <v>Figure</v>
      </c>
      <c r="I648">
        <v>0.502</v>
      </c>
      <c r="J648">
        <v>6.8999999999999997E-4</v>
      </c>
      <c r="K648">
        <v>0.65800000000000003</v>
      </c>
      <c r="L648">
        <v>1.0999999999999999E-2</v>
      </c>
      <c r="M648">
        <v>1.31</v>
      </c>
      <c r="N648">
        <v>0.13</v>
      </c>
    </row>
    <row r="649" spans="1:14" x14ac:dyDescent="0.25">
      <c r="A649" t="s">
        <v>1205</v>
      </c>
      <c r="B649" t="s">
        <v>1206</v>
      </c>
      <c r="C649" s="1" t="str">
        <f>HYPERLINK("http://www.genecards.org/cgi-bin/carddisp.pl?gene=FARP1","GeneCards")</f>
        <v>GeneCards</v>
      </c>
      <c r="D649" s="1" t="str">
        <f>HYPERLINK("http://genome-euro.ucsc.edu/cgi-bin/hgTracks?position=201910_at","UCSC")</f>
        <v>UCSC</v>
      </c>
      <c r="E649" s="1" t="str">
        <f>HYPERLINK("http://www.ncbi.nlm.nih.gov/gene/?term=FARP1","NCBI")</f>
        <v>NCBI</v>
      </c>
      <c r="F649">
        <v>8.0999999999999996E-4</v>
      </c>
      <c r="G649">
        <v>2.1000000000000001E-2</v>
      </c>
      <c r="H649" s="1" t="str">
        <f>HYPERLINK("http://www.weizmann.ac.il/complex/compphys/software/geview/data/figures/201910_at.png","Figure")</f>
        <v>Figure</v>
      </c>
      <c r="I649">
        <v>1.17</v>
      </c>
      <c r="J649">
        <v>0.47</v>
      </c>
      <c r="K649">
        <v>0.66900000000000004</v>
      </c>
      <c r="L649">
        <v>7.9000000000000008E-3</v>
      </c>
      <c r="M649">
        <v>0.57399999999999995</v>
      </c>
      <c r="N649">
        <v>1.1000000000000001E-3</v>
      </c>
    </row>
    <row r="650" spans="1:14" x14ac:dyDescent="0.25">
      <c r="A650" t="s">
        <v>1207</v>
      </c>
      <c r="B650" t="s">
        <v>1208</v>
      </c>
      <c r="C650" s="1" t="str">
        <f>HYPERLINK("http://www.genecards.org/cgi-bin/carddisp.pl?gene=EXTL1","GeneCards")</f>
        <v>GeneCards</v>
      </c>
      <c r="D650" s="1" t="str">
        <f>HYPERLINK("http://genome-euro.ucsc.edu/cgi-bin/hgTracks?position=206329_at","UCSC")</f>
        <v>UCSC</v>
      </c>
      <c r="E650" s="1" t="str">
        <f>HYPERLINK("http://www.ncbi.nlm.nih.gov/gene/?term=EXTL1","NCBI")</f>
        <v>NCBI</v>
      </c>
      <c r="F650">
        <v>8.0999999999999996E-4</v>
      </c>
      <c r="G650">
        <v>2.1000000000000001E-2</v>
      </c>
      <c r="H650" s="1" t="str">
        <f>HYPERLINK("http://www.weizmann.ac.il/complex/compphys/software/geview/data/figures/206329_at.png","Figure")</f>
        <v>Figure</v>
      </c>
      <c r="I650">
        <v>1.37</v>
      </c>
      <c r="J650">
        <v>5.9000000000000003E-4</v>
      </c>
      <c r="K650">
        <v>1.17</v>
      </c>
      <c r="L650">
        <v>2.9000000000000001E-2</v>
      </c>
      <c r="M650">
        <v>0.85799999999999998</v>
      </c>
      <c r="N650">
        <v>4.7E-2</v>
      </c>
    </row>
    <row r="651" spans="1:14" x14ac:dyDescent="0.25">
      <c r="A651" t="s">
        <v>1209</v>
      </c>
      <c r="B651" t="s">
        <v>159</v>
      </c>
      <c r="C651" s="1" t="str">
        <f>HYPERLINK("http://www.genecards.org/cgi-bin/carddisp.pl?gene=SORD","GeneCards")</f>
        <v>GeneCards</v>
      </c>
      <c r="D651" s="1" t="str">
        <f>HYPERLINK("http://genome-euro.ucsc.edu/cgi-bin/hgTracks?position=201562_s_at","UCSC")</f>
        <v>UCSC</v>
      </c>
      <c r="E651" s="1" t="str">
        <f>HYPERLINK("http://www.ncbi.nlm.nih.gov/gene/?term=SORD","NCBI")</f>
        <v>NCBI</v>
      </c>
      <c r="F651">
        <v>8.1999999999999998E-4</v>
      </c>
      <c r="G651">
        <v>2.1000000000000001E-2</v>
      </c>
      <c r="H651" s="1" t="str">
        <f>HYPERLINK("http://www.weizmann.ac.il/complex/compphys/software/geview/data/figures/201562_s_at.png","Figure")</f>
        <v>Figure</v>
      </c>
      <c r="I651">
        <v>1.25</v>
      </c>
      <c r="J651">
        <v>7.0999999999999994E-2</v>
      </c>
      <c r="K651">
        <v>1.51</v>
      </c>
      <c r="L651">
        <v>5.8E-4</v>
      </c>
      <c r="M651">
        <v>1.2</v>
      </c>
      <c r="N651">
        <v>0.12</v>
      </c>
    </row>
    <row r="652" spans="1:14" x14ac:dyDescent="0.25">
      <c r="A652" t="s">
        <v>1210</v>
      </c>
      <c r="B652" t="s">
        <v>1211</v>
      </c>
      <c r="C652" s="1" t="str">
        <f>HYPERLINK("http://www.genecards.org/cgi-bin/carddisp.pl?gene=EGR3","GeneCards")</f>
        <v>GeneCards</v>
      </c>
      <c r="D652" s="1" t="str">
        <f>HYPERLINK("http://genome-euro.ucsc.edu/cgi-bin/hgTracks?position=206115_at","UCSC")</f>
        <v>UCSC</v>
      </c>
      <c r="E652" s="1" t="str">
        <f>HYPERLINK("http://www.ncbi.nlm.nih.gov/gene/?term=EGR3","NCBI")</f>
        <v>NCBI</v>
      </c>
      <c r="F652">
        <v>8.1999999999999998E-4</v>
      </c>
      <c r="G652">
        <v>2.1000000000000001E-2</v>
      </c>
      <c r="H652" s="1" t="str">
        <f>HYPERLINK("http://www.weizmann.ac.il/complex/compphys/software/geview/data/figures/206115_at.png","Figure")</f>
        <v>Figure</v>
      </c>
      <c r="I652">
        <v>0.16900000000000001</v>
      </c>
      <c r="J652">
        <v>1.8E-3</v>
      </c>
      <c r="K652">
        <v>0.96499999999999997</v>
      </c>
      <c r="L652">
        <v>0.99</v>
      </c>
      <c r="M652">
        <v>5.7</v>
      </c>
      <c r="N652">
        <v>1.2999999999999999E-3</v>
      </c>
    </row>
    <row r="653" spans="1:14" x14ac:dyDescent="0.25">
      <c r="A653" t="s">
        <v>1212</v>
      </c>
      <c r="B653" t="s">
        <v>483</v>
      </c>
      <c r="C653" s="1" t="str">
        <f>HYPERLINK("http://www.genecards.org/cgi-bin/carddisp.pl?gene=FUSIP1","GeneCards")</f>
        <v>GeneCards</v>
      </c>
      <c r="D653" s="1" t="str">
        <f>HYPERLINK("http://genome-euro.ucsc.edu/cgi-bin/hgTracks?position=210178_x_at","UCSC")</f>
        <v>UCSC</v>
      </c>
      <c r="E653" s="1" t="str">
        <f>HYPERLINK("http://www.ncbi.nlm.nih.gov/gene/?term=FUSIP1","NCBI")</f>
        <v>NCBI</v>
      </c>
      <c r="F653">
        <v>8.1999999999999998E-4</v>
      </c>
      <c r="G653">
        <v>2.1000000000000001E-2</v>
      </c>
      <c r="H653" s="1" t="str">
        <f>HYPERLINK("http://www.weizmann.ac.il/complex/compphys/software/geview/data/figures/210178_x_at.png","Figure")</f>
        <v>Figure</v>
      </c>
      <c r="I653">
        <v>1.17</v>
      </c>
      <c r="J653">
        <v>0.6</v>
      </c>
      <c r="K653">
        <v>0.57999999999999996</v>
      </c>
      <c r="L653">
        <v>5.8999999999999999E-3</v>
      </c>
      <c r="M653">
        <v>0.49399999999999999</v>
      </c>
      <c r="N653">
        <v>1.4E-3</v>
      </c>
    </row>
    <row r="654" spans="1:14" x14ac:dyDescent="0.25">
      <c r="A654" t="s">
        <v>1213</v>
      </c>
      <c r="B654" t="s">
        <v>1214</v>
      </c>
      <c r="C654" s="1" t="str">
        <f>HYPERLINK("http://www.genecards.org/cgi-bin/carddisp.pl?gene=SOX4","GeneCards")</f>
        <v>GeneCards</v>
      </c>
      <c r="D654" s="1" t="str">
        <f>HYPERLINK("http://genome-euro.ucsc.edu/cgi-bin/hgTracks?position=213665_at","UCSC")</f>
        <v>UCSC</v>
      </c>
      <c r="E654" s="1" t="str">
        <f>HYPERLINK("http://www.ncbi.nlm.nih.gov/gene/?term=SOX4","NCBI")</f>
        <v>NCBI</v>
      </c>
      <c r="F654">
        <v>8.1999999999999998E-4</v>
      </c>
      <c r="G654">
        <v>2.1000000000000001E-2</v>
      </c>
      <c r="H654" s="1" t="str">
        <f>HYPERLINK("http://www.weizmann.ac.il/complex/compphys/software/geview/data/figures/213665_at.png","Figure")</f>
        <v>Figure</v>
      </c>
      <c r="I654">
        <v>1.36</v>
      </c>
      <c r="J654">
        <v>3.3999999999999998E-3</v>
      </c>
      <c r="K654">
        <v>1.36</v>
      </c>
      <c r="L654">
        <v>1.1999999999999999E-3</v>
      </c>
      <c r="M654">
        <v>1</v>
      </c>
      <c r="N654">
        <v>1</v>
      </c>
    </row>
    <row r="655" spans="1:14" x14ac:dyDescent="0.25">
      <c r="A655" t="s">
        <v>1215</v>
      </c>
      <c r="B655" t="s">
        <v>1216</v>
      </c>
      <c r="C655" s="1" t="str">
        <f>HYPERLINK("http://www.genecards.org/cgi-bin/carddisp.pl?gene=IRAK1","GeneCards")</f>
        <v>GeneCards</v>
      </c>
      <c r="D655" s="1" t="str">
        <f>HYPERLINK("http://genome-euro.ucsc.edu/cgi-bin/hgTracks?position=201587_s_at","UCSC")</f>
        <v>UCSC</v>
      </c>
      <c r="E655" s="1" t="str">
        <f>HYPERLINK("http://www.ncbi.nlm.nih.gov/gene/?term=IRAK1","NCBI")</f>
        <v>NCBI</v>
      </c>
      <c r="F655">
        <v>8.3000000000000001E-4</v>
      </c>
      <c r="G655">
        <v>2.1000000000000001E-2</v>
      </c>
      <c r="H655" s="1" t="str">
        <f>HYPERLINK("http://www.weizmann.ac.il/complex/compphys/software/geview/data/figures/201587_s_at.png","Figure")</f>
        <v>Figure</v>
      </c>
      <c r="I655">
        <v>0.751</v>
      </c>
      <c r="J655">
        <v>9.7000000000000003E-2</v>
      </c>
      <c r="K655">
        <v>1.36</v>
      </c>
      <c r="L655">
        <v>0.04</v>
      </c>
      <c r="M655">
        <v>1.8</v>
      </c>
      <c r="N655">
        <v>6.6E-4</v>
      </c>
    </row>
    <row r="656" spans="1:14" x14ac:dyDescent="0.25">
      <c r="A656" t="s">
        <v>1217</v>
      </c>
      <c r="B656" t="s">
        <v>1218</v>
      </c>
      <c r="C656" s="1" t="str">
        <f>HYPERLINK("http://www.genecards.org/cgi-bin/carddisp.pl?gene=OPTN","GeneCards")</f>
        <v>GeneCards</v>
      </c>
      <c r="D656" s="1" t="str">
        <f>HYPERLINK("http://genome-euro.ucsc.edu/cgi-bin/hgTracks?position=202073_at","UCSC")</f>
        <v>UCSC</v>
      </c>
      <c r="E656" s="1" t="str">
        <f>HYPERLINK("http://www.ncbi.nlm.nih.gov/gene/?term=OPTN","NCBI")</f>
        <v>NCBI</v>
      </c>
      <c r="F656">
        <v>8.3000000000000001E-4</v>
      </c>
      <c r="G656">
        <v>2.1000000000000001E-2</v>
      </c>
      <c r="H656" s="1" t="str">
        <f>HYPERLINK("http://www.weizmann.ac.il/complex/compphys/software/geview/data/figures/202073_at.png","Figure")</f>
        <v>Figure</v>
      </c>
      <c r="I656">
        <v>0.38</v>
      </c>
      <c r="J656">
        <v>7.2000000000000005E-4</v>
      </c>
      <c r="K656">
        <v>0.55300000000000005</v>
      </c>
      <c r="L656">
        <v>1.0999999999999999E-2</v>
      </c>
      <c r="M656">
        <v>1.46</v>
      </c>
      <c r="N656">
        <v>0.14000000000000001</v>
      </c>
    </row>
    <row r="657" spans="1:14" x14ac:dyDescent="0.25">
      <c r="A657" t="s">
        <v>1219</v>
      </c>
      <c r="B657" t="s">
        <v>1220</v>
      </c>
      <c r="C657" s="1" t="str">
        <f>HYPERLINK("http://www.genecards.org/cgi-bin/carddisp.pl?gene=KIAA0391","GeneCards")</f>
        <v>GeneCards</v>
      </c>
      <c r="D657" s="1" t="str">
        <f>HYPERLINK("http://genome-euro.ucsc.edu/cgi-bin/hgTracks?position=202713_s_at","UCSC")</f>
        <v>UCSC</v>
      </c>
      <c r="E657" s="1" t="str">
        <f>HYPERLINK("http://www.ncbi.nlm.nih.gov/gene/?term=KIAA0391","NCBI")</f>
        <v>NCBI</v>
      </c>
      <c r="F657">
        <v>8.3000000000000001E-4</v>
      </c>
      <c r="G657">
        <v>2.1000000000000001E-2</v>
      </c>
      <c r="H657" s="1" t="str">
        <f>HYPERLINK("http://www.weizmann.ac.il/complex/compphys/software/geview/data/figures/202713_s_at.png","Figure")</f>
        <v>Figure</v>
      </c>
      <c r="I657">
        <v>0.76400000000000001</v>
      </c>
      <c r="J657">
        <v>7.0000000000000007E-2</v>
      </c>
      <c r="K657">
        <v>1.28</v>
      </c>
      <c r="L657">
        <v>5.6000000000000001E-2</v>
      </c>
      <c r="M657">
        <v>1.68</v>
      </c>
      <c r="N657">
        <v>6.3000000000000003E-4</v>
      </c>
    </row>
    <row r="658" spans="1:14" x14ac:dyDescent="0.25">
      <c r="A658" t="s">
        <v>1221</v>
      </c>
      <c r="B658" t="s">
        <v>1222</v>
      </c>
      <c r="C658" s="1" t="str">
        <f>HYPERLINK("http://www.genecards.org/cgi-bin/carddisp.pl?gene=UCKL1","GeneCards")</f>
        <v>GeneCards</v>
      </c>
      <c r="D658" s="1" t="str">
        <f>HYPERLINK("http://genome-euro.ucsc.edu/cgi-bin/hgTracks?position=218533_s_at","UCSC")</f>
        <v>UCSC</v>
      </c>
      <c r="E658" s="1" t="str">
        <f>HYPERLINK("http://www.ncbi.nlm.nih.gov/gene/?term=UCKL1","NCBI")</f>
        <v>NCBI</v>
      </c>
      <c r="F658">
        <v>8.3000000000000001E-4</v>
      </c>
      <c r="G658">
        <v>2.1000000000000001E-2</v>
      </c>
      <c r="H658" s="1" t="str">
        <f>HYPERLINK("http://www.weizmann.ac.il/complex/compphys/software/geview/data/figures/218533_s_at.png","Figure")</f>
        <v>Figure</v>
      </c>
      <c r="I658">
        <v>1.95</v>
      </c>
      <c r="J658">
        <v>2.7000000000000001E-3</v>
      </c>
      <c r="K658">
        <v>1.88</v>
      </c>
      <c r="L658">
        <v>1.4E-3</v>
      </c>
      <c r="M658">
        <v>0.96599999999999997</v>
      </c>
      <c r="N658">
        <v>0.97</v>
      </c>
    </row>
    <row r="659" spans="1:14" x14ac:dyDescent="0.25">
      <c r="A659" t="s">
        <v>1223</v>
      </c>
      <c r="B659" t="s">
        <v>1224</v>
      </c>
      <c r="C659" s="1" t="str">
        <f>HYPERLINK("http://www.genecards.org/cgi-bin/carddisp.pl?gene=BCCIP","GeneCards")</f>
        <v>GeneCards</v>
      </c>
      <c r="D659" s="1" t="str">
        <f>HYPERLINK("http://genome-euro.ucsc.edu/cgi-bin/hgTracks?position=218264_at","UCSC")</f>
        <v>UCSC</v>
      </c>
      <c r="E659" s="1" t="str">
        <f>HYPERLINK("http://www.ncbi.nlm.nih.gov/gene/?term=BCCIP","NCBI")</f>
        <v>NCBI</v>
      </c>
      <c r="F659">
        <v>8.3000000000000001E-4</v>
      </c>
      <c r="G659">
        <v>2.1000000000000001E-2</v>
      </c>
      <c r="H659" s="1" t="str">
        <f>HYPERLINK("http://www.weizmann.ac.il/complex/compphys/software/geview/data/figures/218264_at.png","Figure")</f>
        <v>Figure</v>
      </c>
      <c r="I659">
        <v>0.77500000000000002</v>
      </c>
      <c r="J659">
        <v>0.2</v>
      </c>
      <c r="K659">
        <v>1.46</v>
      </c>
      <c r="L659">
        <v>0.02</v>
      </c>
      <c r="M659">
        <v>1.89</v>
      </c>
      <c r="N659">
        <v>8.0000000000000004E-4</v>
      </c>
    </row>
    <row r="660" spans="1:14" x14ac:dyDescent="0.25">
      <c r="A660" t="s">
        <v>1225</v>
      </c>
      <c r="B660" t="s">
        <v>1226</v>
      </c>
      <c r="C660" s="1" t="str">
        <f>HYPERLINK("http://www.genecards.org/cgi-bin/carddisp.pl?gene=LDLRAP1","GeneCards")</f>
        <v>GeneCards</v>
      </c>
      <c r="D660" s="1" t="str">
        <f>HYPERLINK("http://genome-euro.ucsc.edu/cgi-bin/hgTracks?position=57082_at","UCSC")</f>
        <v>UCSC</v>
      </c>
      <c r="E660" s="1" t="str">
        <f>HYPERLINK("http://www.ncbi.nlm.nih.gov/gene/?term=LDLRAP1","NCBI")</f>
        <v>NCBI</v>
      </c>
      <c r="F660">
        <v>8.4000000000000003E-4</v>
      </c>
      <c r="G660">
        <v>2.1999999999999999E-2</v>
      </c>
      <c r="H660" s="1" t="str">
        <f>HYPERLINK("http://www.weizmann.ac.il/complex/compphys/software/geview/data/figures/57082_at.png","Figure")</f>
        <v>Figure</v>
      </c>
      <c r="I660">
        <v>0.91300000000000003</v>
      </c>
      <c r="J660">
        <v>0.6</v>
      </c>
      <c r="K660">
        <v>1.36</v>
      </c>
      <c r="L660">
        <v>6.0000000000000001E-3</v>
      </c>
      <c r="M660">
        <v>1.49</v>
      </c>
      <c r="N660">
        <v>1.4E-3</v>
      </c>
    </row>
    <row r="661" spans="1:14" x14ac:dyDescent="0.25">
      <c r="A661" t="s">
        <v>1227</v>
      </c>
      <c r="B661" t="s">
        <v>1228</v>
      </c>
      <c r="C661" s="1" t="str">
        <f>HYPERLINK("http://www.genecards.org/cgi-bin/carddisp.pl?gene=CHMP1A","GeneCards")</f>
        <v>GeneCards</v>
      </c>
      <c r="D661" s="1" t="str">
        <f>HYPERLINK("http://genome-euro.ucsc.edu/cgi-bin/hgTracks?position=201933_at","UCSC")</f>
        <v>UCSC</v>
      </c>
      <c r="E661" s="1" t="str">
        <f>HYPERLINK("http://www.ncbi.nlm.nih.gov/gene/?term=CHMP1A","NCBI")</f>
        <v>NCBI</v>
      </c>
      <c r="F661">
        <v>8.4000000000000003E-4</v>
      </c>
      <c r="G661">
        <v>2.1999999999999999E-2</v>
      </c>
      <c r="H661" s="1" t="str">
        <f>HYPERLINK("http://www.weizmann.ac.il/complex/compphys/software/geview/data/figures/201933_at.png","Figure")</f>
        <v>Figure</v>
      </c>
      <c r="I661">
        <v>1.47</v>
      </c>
      <c r="J661">
        <v>1.6000000000000001E-3</v>
      </c>
      <c r="K661">
        <v>1.02</v>
      </c>
      <c r="L661">
        <v>0.96</v>
      </c>
      <c r="M661">
        <v>0.69499999999999995</v>
      </c>
      <c r="N661">
        <v>1.5E-3</v>
      </c>
    </row>
    <row r="662" spans="1:14" x14ac:dyDescent="0.25">
      <c r="A662" t="s">
        <v>1229</v>
      </c>
      <c r="B662" t="s">
        <v>1230</v>
      </c>
      <c r="C662" s="1" t="str">
        <f>HYPERLINK("http://www.genecards.org/cgi-bin/carddisp.pl?gene=UBE2G2","GeneCards")</f>
        <v>GeneCards</v>
      </c>
      <c r="D662" s="1" t="str">
        <f>HYPERLINK("http://genome-euro.ucsc.edu/cgi-bin/hgTracks?position=209041_s_at","UCSC")</f>
        <v>UCSC</v>
      </c>
      <c r="E662" s="1" t="str">
        <f>HYPERLINK("http://www.ncbi.nlm.nih.gov/gene/?term=UBE2G2","NCBI")</f>
        <v>NCBI</v>
      </c>
      <c r="F662">
        <v>8.4000000000000003E-4</v>
      </c>
      <c r="G662">
        <v>2.1999999999999999E-2</v>
      </c>
      <c r="H662" s="1" t="str">
        <f>HYPERLINK("http://www.weizmann.ac.il/complex/compphys/software/geview/data/figures/209041_s_at.png","Figure")</f>
        <v>Figure</v>
      </c>
      <c r="I662">
        <v>0.82199999999999995</v>
      </c>
      <c r="J662">
        <v>3.9E-2</v>
      </c>
      <c r="K662">
        <v>1.1499999999999999</v>
      </c>
      <c r="L662">
        <v>0.1</v>
      </c>
      <c r="M662">
        <v>1.4</v>
      </c>
      <c r="N662">
        <v>5.9999999999999995E-4</v>
      </c>
    </row>
    <row r="663" spans="1:14" x14ac:dyDescent="0.25">
      <c r="A663" t="s">
        <v>1231</v>
      </c>
      <c r="B663" t="s">
        <v>1232</v>
      </c>
      <c r="C663" s="1" t="str">
        <f>HYPERLINK("http://www.genecards.org/cgi-bin/carddisp.pl?gene=EHBP1","GeneCards")</f>
        <v>GeneCards</v>
      </c>
      <c r="D663" s="1" t="str">
        <f>HYPERLINK("http://genome-euro.ucsc.edu/cgi-bin/hgTracks?position=212653_s_at","UCSC")</f>
        <v>UCSC</v>
      </c>
      <c r="E663" s="1" t="str">
        <f>HYPERLINK("http://www.ncbi.nlm.nih.gov/gene/?term=EHBP1","NCBI")</f>
        <v>NCBI</v>
      </c>
      <c r="F663">
        <v>8.4000000000000003E-4</v>
      </c>
      <c r="G663">
        <v>2.1999999999999999E-2</v>
      </c>
      <c r="H663" s="1" t="str">
        <f>HYPERLINK("http://www.weizmann.ac.il/complex/compphys/software/geview/data/figures/212653_s_at.png","Figure")</f>
        <v>Figure</v>
      </c>
      <c r="I663">
        <v>0.42499999999999999</v>
      </c>
      <c r="J663">
        <v>2.2000000000000001E-3</v>
      </c>
      <c r="K663">
        <v>1.01</v>
      </c>
      <c r="L663">
        <v>1</v>
      </c>
      <c r="M663">
        <v>2.37</v>
      </c>
      <c r="N663">
        <v>1.1999999999999999E-3</v>
      </c>
    </row>
    <row r="664" spans="1:14" x14ac:dyDescent="0.25">
      <c r="A664" t="s">
        <v>1233</v>
      </c>
      <c r="B664" t="s">
        <v>1234</v>
      </c>
      <c r="C664" s="1" t="str">
        <f>HYPERLINK("http://www.genecards.org/cgi-bin/carddisp.pl?gene=TSSK2","GeneCards")</f>
        <v>GeneCards</v>
      </c>
      <c r="D664" s="1" t="str">
        <f>HYPERLINK("http://genome-euro.ucsc.edu/cgi-bin/hgTracks?position=217275_at","UCSC")</f>
        <v>UCSC</v>
      </c>
      <c r="E664" s="1" t="str">
        <f>HYPERLINK("http://www.ncbi.nlm.nih.gov/gene/?term=TSSK2","NCBI")</f>
        <v>NCBI</v>
      </c>
      <c r="F664">
        <v>8.4000000000000003E-4</v>
      </c>
      <c r="G664">
        <v>2.1999999999999999E-2</v>
      </c>
      <c r="H664" s="1" t="str">
        <f>HYPERLINK("http://www.weizmann.ac.il/complex/compphys/software/geview/data/figures/217275_at.png","Figure")</f>
        <v>Figure</v>
      </c>
      <c r="I664">
        <v>1.32</v>
      </c>
      <c r="J664">
        <v>7.2999999999999996E-4</v>
      </c>
      <c r="K664">
        <v>1.18</v>
      </c>
      <c r="L664">
        <v>1.0999999999999999E-2</v>
      </c>
      <c r="M664">
        <v>0.89800000000000002</v>
      </c>
      <c r="N664">
        <v>0.13</v>
      </c>
    </row>
    <row r="665" spans="1:14" x14ac:dyDescent="0.25">
      <c r="A665" t="s">
        <v>1235</v>
      </c>
      <c r="B665" t="s">
        <v>1236</v>
      </c>
      <c r="C665" s="1" t="str">
        <f>HYPERLINK("http://www.genecards.org/cgi-bin/carddisp.pl?gene=MRS2","GeneCards")</f>
        <v>GeneCards</v>
      </c>
      <c r="D665" s="1" t="str">
        <f>HYPERLINK("http://genome-euro.ucsc.edu/cgi-bin/hgTracks?position=218536_at","UCSC")</f>
        <v>UCSC</v>
      </c>
      <c r="E665" s="1" t="str">
        <f>HYPERLINK("http://www.ncbi.nlm.nih.gov/gene/?term=MRS2","NCBI")</f>
        <v>NCBI</v>
      </c>
      <c r="F665">
        <v>8.4999999999999995E-4</v>
      </c>
      <c r="G665">
        <v>2.1999999999999999E-2</v>
      </c>
      <c r="H665" s="1" t="str">
        <f>HYPERLINK("http://www.weizmann.ac.il/complex/compphys/software/geview/data/figures/218536_at.png","Figure")</f>
        <v>Figure</v>
      </c>
      <c r="I665">
        <v>0.59599999999999997</v>
      </c>
      <c r="J665">
        <v>1.6000000000000001E-3</v>
      </c>
      <c r="K665">
        <v>0.97</v>
      </c>
      <c r="L665">
        <v>0.95</v>
      </c>
      <c r="M665">
        <v>1.63</v>
      </c>
      <c r="N665">
        <v>1.5E-3</v>
      </c>
    </row>
    <row r="666" spans="1:14" x14ac:dyDescent="0.25">
      <c r="A666" t="s">
        <v>1237</v>
      </c>
      <c r="B666" t="s">
        <v>1238</v>
      </c>
      <c r="C666" s="1" t="str">
        <f>HYPERLINK("http://www.genecards.org/cgi-bin/carddisp.pl?gene=IL6R","GeneCards")</f>
        <v>GeneCards</v>
      </c>
      <c r="D666" s="1" t="str">
        <f>HYPERLINK("http://genome-euro.ucsc.edu/cgi-bin/hgTracks?position=205945_at","UCSC")</f>
        <v>UCSC</v>
      </c>
      <c r="E666" s="1" t="str">
        <f>HYPERLINK("http://www.ncbi.nlm.nih.gov/gene/?term=IL6R","NCBI")</f>
        <v>NCBI</v>
      </c>
      <c r="F666">
        <v>8.4999999999999995E-4</v>
      </c>
      <c r="G666">
        <v>2.1999999999999999E-2</v>
      </c>
      <c r="H666" s="1" t="str">
        <f>HYPERLINK("http://www.weizmann.ac.il/complex/compphys/software/geview/data/figures/205945_at.png","Figure")</f>
        <v>Figure</v>
      </c>
      <c r="I666">
        <v>0.33300000000000002</v>
      </c>
      <c r="J666">
        <v>2.0999999999999999E-3</v>
      </c>
      <c r="K666">
        <v>1</v>
      </c>
      <c r="L666">
        <v>1</v>
      </c>
      <c r="M666">
        <v>3.01</v>
      </c>
      <c r="N666">
        <v>1.1999999999999999E-3</v>
      </c>
    </row>
    <row r="667" spans="1:14" x14ac:dyDescent="0.25">
      <c r="A667" t="s">
        <v>1239</v>
      </c>
      <c r="B667" t="s">
        <v>1240</v>
      </c>
      <c r="C667" s="1" t="str">
        <f>HYPERLINK("http://www.genecards.org/cgi-bin/carddisp.pl?gene=SSH1","GeneCards")</f>
        <v>GeneCards</v>
      </c>
      <c r="D667" s="1" t="str">
        <f>HYPERLINK("http://genome-euro.ucsc.edu/cgi-bin/hgTracks?position=221752_at","UCSC")</f>
        <v>UCSC</v>
      </c>
      <c r="E667" s="1" t="str">
        <f>HYPERLINK("http://www.ncbi.nlm.nih.gov/gene/?term=SSH1","NCBI")</f>
        <v>NCBI</v>
      </c>
      <c r="F667">
        <v>8.4999999999999995E-4</v>
      </c>
      <c r="G667">
        <v>2.1999999999999999E-2</v>
      </c>
      <c r="H667" s="1" t="str">
        <f>HYPERLINK("http://www.weizmann.ac.il/complex/compphys/software/geview/data/figures/221752_at.png","Figure")</f>
        <v>Figure</v>
      </c>
      <c r="I667">
        <v>0.53600000000000003</v>
      </c>
      <c r="J667">
        <v>1.1999999999999999E-3</v>
      </c>
      <c r="K667">
        <v>0.62</v>
      </c>
      <c r="L667">
        <v>3.5000000000000001E-3</v>
      </c>
      <c r="M667">
        <v>1.1599999999999999</v>
      </c>
      <c r="N667">
        <v>0.49</v>
      </c>
    </row>
    <row r="668" spans="1:14" x14ac:dyDescent="0.25">
      <c r="A668" t="s">
        <v>1241</v>
      </c>
      <c r="B668" t="s">
        <v>1242</v>
      </c>
      <c r="C668" s="1" t="str">
        <f>HYPERLINK("http://www.genecards.org/cgi-bin/carddisp.pl?gene=KLHL20","GeneCards")</f>
        <v>GeneCards</v>
      </c>
      <c r="D668" s="1" t="str">
        <f>HYPERLINK("http://genome-euro.ucsc.edu/cgi-bin/hgTracks?position=210635_s_at","UCSC")</f>
        <v>UCSC</v>
      </c>
      <c r="E668" s="1" t="str">
        <f>HYPERLINK("http://www.ncbi.nlm.nih.gov/gene/?term=KLHL20","NCBI")</f>
        <v>NCBI</v>
      </c>
      <c r="F668">
        <v>8.4999999999999995E-4</v>
      </c>
      <c r="G668">
        <v>2.1999999999999999E-2</v>
      </c>
      <c r="H668" s="1" t="str">
        <f>HYPERLINK("http://www.weizmann.ac.il/complex/compphys/software/geview/data/figures/210635_s_at.png","Figure")</f>
        <v>Figure</v>
      </c>
      <c r="I668">
        <v>1.35</v>
      </c>
      <c r="J668">
        <v>6.4000000000000001E-2</v>
      </c>
      <c r="K668">
        <v>0.76800000000000002</v>
      </c>
      <c r="L668">
        <v>6.4000000000000001E-2</v>
      </c>
      <c r="M668">
        <v>0.56699999999999995</v>
      </c>
      <c r="N668">
        <v>6.4000000000000005E-4</v>
      </c>
    </row>
    <row r="669" spans="1:14" x14ac:dyDescent="0.25">
      <c r="A669" t="s">
        <v>1243</v>
      </c>
      <c r="B669" t="s">
        <v>1244</v>
      </c>
      <c r="C669" s="1" t="str">
        <f>HYPERLINK("http://www.genecards.org/cgi-bin/carddisp.pl?gene=KLHL28","GeneCards")</f>
        <v>GeneCards</v>
      </c>
      <c r="D669" s="1" t="str">
        <f>HYPERLINK("http://genome-euro.ucsc.edu/cgi-bin/hgTracks?position=220374_at","UCSC")</f>
        <v>UCSC</v>
      </c>
      <c r="E669" s="1" t="str">
        <f>HYPERLINK("http://www.ncbi.nlm.nih.gov/gene/?term=KLHL28","NCBI")</f>
        <v>NCBI</v>
      </c>
      <c r="F669">
        <v>8.4999999999999995E-4</v>
      </c>
      <c r="G669">
        <v>2.1999999999999999E-2</v>
      </c>
      <c r="H669" s="1" t="str">
        <f>HYPERLINK("http://www.weizmann.ac.il/complex/compphys/software/geview/data/figures/220374_at.png","Figure")</f>
        <v>Figure</v>
      </c>
      <c r="I669">
        <v>0.92400000000000004</v>
      </c>
      <c r="J669">
        <v>0.57999999999999996</v>
      </c>
      <c r="K669">
        <v>0.72399999999999998</v>
      </c>
      <c r="L669">
        <v>9.7999999999999997E-4</v>
      </c>
      <c r="M669">
        <v>0.78300000000000003</v>
      </c>
      <c r="N669">
        <v>1.2999999999999999E-2</v>
      </c>
    </row>
    <row r="670" spans="1:14" x14ac:dyDescent="0.25">
      <c r="A670" t="s">
        <v>1245</v>
      </c>
      <c r="B670" t="s">
        <v>1246</v>
      </c>
      <c r="C670" s="1" t="str">
        <f>HYPERLINK("http://www.genecards.org/cgi-bin/carddisp.pl?gene=LPHN1","GeneCards")</f>
        <v>GeneCards</v>
      </c>
      <c r="D670" s="1" t="str">
        <f>HYPERLINK("http://genome-euro.ucsc.edu/cgi-bin/hgTracks?position=47560_at","UCSC")</f>
        <v>UCSC</v>
      </c>
      <c r="E670" s="1" t="str">
        <f>HYPERLINK("http://www.ncbi.nlm.nih.gov/gene/?term=LPHN1","NCBI")</f>
        <v>NCBI</v>
      </c>
      <c r="F670">
        <v>8.5999999999999998E-4</v>
      </c>
      <c r="G670">
        <v>2.1999999999999999E-2</v>
      </c>
      <c r="H670" s="1" t="str">
        <f>HYPERLINK("http://www.weizmann.ac.il/complex/compphys/software/geview/data/figures/47560_at.png","Figure")</f>
        <v>Figure</v>
      </c>
      <c r="I670">
        <v>1.1100000000000001</v>
      </c>
      <c r="J670">
        <v>0.26</v>
      </c>
      <c r="K670">
        <v>0.82899999999999996</v>
      </c>
      <c r="L670">
        <v>1.4999999999999999E-2</v>
      </c>
      <c r="M670">
        <v>0.74399999999999999</v>
      </c>
      <c r="N670">
        <v>9.1E-4</v>
      </c>
    </row>
    <row r="671" spans="1:14" x14ac:dyDescent="0.25">
      <c r="A671" t="s">
        <v>1247</v>
      </c>
      <c r="B671" t="s">
        <v>1248</v>
      </c>
      <c r="C671" s="1" t="str">
        <f>HYPERLINK("http://www.genecards.org/cgi-bin/carddisp.pl?gene=BCL2L2","GeneCards")</f>
        <v>GeneCards</v>
      </c>
      <c r="D671" s="1" t="str">
        <f>HYPERLINK("http://genome-euro.ucsc.edu/cgi-bin/hgTracks?position=209311_at","UCSC")</f>
        <v>UCSC</v>
      </c>
      <c r="E671" s="1" t="str">
        <f>HYPERLINK("http://www.ncbi.nlm.nih.gov/gene/?term=BCL2L2","NCBI")</f>
        <v>NCBI</v>
      </c>
      <c r="F671">
        <v>8.5999999999999998E-4</v>
      </c>
      <c r="G671">
        <v>2.1999999999999999E-2</v>
      </c>
      <c r="H671" s="1" t="str">
        <f>HYPERLINK("http://www.weizmann.ac.il/complex/compphys/software/geview/data/figures/209311_at.png","Figure")</f>
        <v>Figure</v>
      </c>
      <c r="I671">
        <v>0.58099999999999996</v>
      </c>
      <c r="J671">
        <v>6.8999999999999997E-4</v>
      </c>
      <c r="K671">
        <v>0.73199999999999998</v>
      </c>
      <c r="L671">
        <v>1.6E-2</v>
      </c>
      <c r="M671">
        <v>1.26</v>
      </c>
      <c r="N671">
        <v>9.6000000000000002E-2</v>
      </c>
    </row>
    <row r="672" spans="1:14" x14ac:dyDescent="0.25">
      <c r="A672" t="s">
        <v>1249</v>
      </c>
      <c r="B672" t="s">
        <v>1250</v>
      </c>
      <c r="C672" s="1" t="str">
        <f>HYPERLINK("http://www.genecards.org/cgi-bin/carddisp.pl?gene=YTHDF3","GeneCards")</f>
        <v>GeneCards</v>
      </c>
      <c r="D672" s="1" t="str">
        <f>HYPERLINK("http://genome-euro.ucsc.edu/cgi-bin/hgTracks?position=221749_at","UCSC")</f>
        <v>UCSC</v>
      </c>
      <c r="E672" s="1" t="str">
        <f>HYPERLINK("http://www.ncbi.nlm.nih.gov/gene/?term=YTHDF3","NCBI")</f>
        <v>NCBI</v>
      </c>
      <c r="F672">
        <v>8.5999999999999998E-4</v>
      </c>
      <c r="G672">
        <v>2.1999999999999999E-2</v>
      </c>
      <c r="H672" s="1" t="str">
        <f>HYPERLINK("http://www.weizmann.ac.il/complex/compphys/software/geview/data/figures/221749_at.png","Figure")</f>
        <v>Figure</v>
      </c>
      <c r="I672">
        <v>0.443</v>
      </c>
      <c r="J672">
        <v>1.7000000000000001E-2</v>
      </c>
      <c r="K672">
        <v>0.33300000000000002</v>
      </c>
      <c r="L672">
        <v>6.7000000000000002E-4</v>
      </c>
      <c r="M672">
        <v>0.751</v>
      </c>
      <c r="N672">
        <v>0.47</v>
      </c>
    </row>
    <row r="673" spans="1:14" x14ac:dyDescent="0.25">
      <c r="A673" t="s">
        <v>1251</v>
      </c>
      <c r="B673" t="s">
        <v>1252</v>
      </c>
      <c r="C673" s="1" t="str">
        <f>HYPERLINK("http://www.genecards.org/cgi-bin/carddisp.pl?gene=MTDH","GeneCards")</f>
        <v>GeneCards</v>
      </c>
      <c r="D673" s="1" t="str">
        <f>HYPERLINK("http://genome-euro.ucsc.edu/cgi-bin/hgTracks?position=212248_at","UCSC")</f>
        <v>UCSC</v>
      </c>
      <c r="E673" s="1" t="str">
        <f>HYPERLINK("http://www.ncbi.nlm.nih.gov/gene/?term=MTDH","NCBI")</f>
        <v>NCBI</v>
      </c>
      <c r="F673">
        <v>8.5999999999999998E-4</v>
      </c>
      <c r="G673">
        <v>2.1999999999999999E-2</v>
      </c>
      <c r="H673" s="1" t="str">
        <f>HYPERLINK("http://www.weizmann.ac.il/complex/compphys/software/geview/data/figures/212248_at.png","Figure")</f>
        <v>Figure</v>
      </c>
      <c r="I673">
        <v>0.54200000000000004</v>
      </c>
      <c r="J673">
        <v>0.04</v>
      </c>
      <c r="K673">
        <v>1.54</v>
      </c>
      <c r="L673">
        <v>0.1</v>
      </c>
      <c r="M673">
        <v>2.84</v>
      </c>
      <c r="N673">
        <v>6.2E-4</v>
      </c>
    </row>
    <row r="674" spans="1:14" x14ac:dyDescent="0.25">
      <c r="A674" t="s">
        <v>1253</v>
      </c>
      <c r="B674" t="s">
        <v>1254</v>
      </c>
      <c r="C674" s="1" t="str">
        <f>HYPERLINK("http://www.genecards.org/cgi-bin/carddisp.pl?gene=MKKS","GeneCards")</f>
        <v>GeneCards</v>
      </c>
      <c r="D674" s="1" t="str">
        <f>HYPERLINK("http://genome-euro.ucsc.edu/cgi-bin/hgTracks?position=218138_at","UCSC")</f>
        <v>UCSC</v>
      </c>
      <c r="E674" s="1" t="str">
        <f>HYPERLINK("http://www.ncbi.nlm.nih.gov/gene/?term=MKKS","NCBI")</f>
        <v>NCBI</v>
      </c>
      <c r="F674">
        <v>8.5999999999999998E-4</v>
      </c>
      <c r="G674">
        <v>2.1999999999999999E-2</v>
      </c>
      <c r="H674" s="1" t="str">
        <f>HYPERLINK("http://www.weizmann.ac.il/complex/compphys/software/geview/data/figures/218138_at.png","Figure")</f>
        <v>Figure</v>
      </c>
      <c r="I674">
        <v>0.62</v>
      </c>
      <c r="J674">
        <v>4.2000000000000003E-2</v>
      </c>
      <c r="K674">
        <v>1.41</v>
      </c>
      <c r="L674">
        <v>9.8000000000000004E-2</v>
      </c>
      <c r="M674">
        <v>2.27</v>
      </c>
      <c r="N674">
        <v>6.2E-4</v>
      </c>
    </row>
    <row r="675" spans="1:14" x14ac:dyDescent="0.25">
      <c r="A675" t="s">
        <v>1255</v>
      </c>
      <c r="B675" t="s">
        <v>1256</v>
      </c>
      <c r="C675" s="1" t="str">
        <f>HYPERLINK("http://www.genecards.org/cgi-bin/carddisp.pl?gene=PPP2CB","GeneCards")</f>
        <v>GeneCards</v>
      </c>
      <c r="D675" s="1" t="str">
        <f>HYPERLINK("http://genome-euro.ucsc.edu/cgi-bin/hgTracks?position=201375_s_at","UCSC")</f>
        <v>UCSC</v>
      </c>
      <c r="E675" s="1" t="str">
        <f>HYPERLINK("http://www.ncbi.nlm.nih.gov/gene/?term=PPP2CB","NCBI")</f>
        <v>NCBI</v>
      </c>
      <c r="F675">
        <v>8.7000000000000001E-4</v>
      </c>
      <c r="G675">
        <v>2.1999999999999999E-2</v>
      </c>
      <c r="H675" s="1" t="str">
        <f>HYPERLINK("http://www.weizmann.ac.il/complex/compphys/software/geview/data/figures/201375_s_at.png","Figure")</f>
        <v>Figure</v>
      </c>
      <c r="I675">
        <v>0.28999999999999998</v>
      </c>
      <c r="J675">
        <v>6.3000000000000003E-4</v>
      </c>
      <c r="K675">
        <v>0.627</v>
      </c>
      <c r="L675">
        <v>0.11</v>
      </c>
      <c r="M675">
        <v>2.16</v>
      </c>
      <c r="N675">
        <v>1.4E-2</v>
      </c>
    </row>
    <row r="676" spans="1:14" x14ac:dyDescent="0.25">
      <c r="A676" t="s">
        <v>1257</v>
      </c>
      <c r="B676" t="s">
        <v>1226</v>
      </c>
      <c r="C676" s="1" t="str">
        <f>HYPERLINK("http://www.genecards.org/cgi-bin/carddisp.pl?gene=LDLRAP1","GeneCards")</f>
        <v>GeneCards</v>
      </c>
      <c r="D676" s="1" t="str">
        <f>HYPERLINK("http://genome-euro.ucsc.edu/cgi-bin/hgTracks?position=221790_s_at","UCSC")</f>
        <v>UCSC</v>
      </c>
      <c r="E676" s="1" t="str">
        <f>HYPERLINK("http://www.ncbi.nlm.nih.gov/gene/?term=LDLRAP1","NCBI")</f>
        <v>NCBI</v>
      </c>
      <c r="F676">
        <v>8.7000000000000001E-4</v>
      </c>
      <c r="G676">
        <v>2.1999999999999999E-2</v>
      </c>
      <c r="H676" s="1" t="str">
        <f>HYPERLINK("http://www.weizmann.ac.il/complex/compphys/software/geview/data/figures/221790_s_at.png","Figure")</f>
        <v>Figure</v>
      </c>
      <c r="I676">
        <v>1.05</v>
      </c>
      <c r="J676">
        <v>0.84</v>
      </c>
      <c r="K676">
        <v>1.42</v>
      </c>
      <c r="L676">
        <v>1.2999999999999999E-3</v>
      </c>
      <c r="M676">
        <v>1.35</v>
      </c>
      <c r="N676">
        <v>7.1000000000000004E-3</v>
      </c>
    </row>
    <row r="677" spans="1:14" x14ac:dyDescent="0.25">
      <c r="A677" t="s">
        <v>1258</v>
      </c>
      <c r="B677" t="s">
        <v>1259</v>
      </c>
      <c r="C677" s="1" t="str">
        <f>HYPERLINK("http://www.genecards.org/cgi-bin/carddisp.pl?gene=RHOT1","GeneCards")</f>
        <v>GeneCards</v>
      </c>
      <c r="D677" s="1" t="str">
        <f>HYPERLINK("http://genome-euro.ucsc.edu/cgi-bin/hgTracks?position=222148_s_at","UCSC")</f>
        <v>UCSC</v>
      </c>
      <c r="E677" s="1" t="str">
        <f>HYPERLINK("http://www.ncbi.nlm.nih.gov/gene/?term=RHOT1","NCBI")</f>
        <v>NCBI</v>
      </c>
      <c r="F677">
        <v>8.8000000000000003E-4</v>
      </c>
      <c r="G677">
        <v>2.1999999999999999E-2</v>
      </c>
      <c r="H677" s="1" t="str">
        <f>HYPERLINK("http://www.weizmann.ac.il/complex/compphys/software/geview/data/figures/222148_s_at.png","Figure")</f>
        <v>Figure</v>
      </c>
      <c r="I677">
        <v>0.56499999999999995</v>
      </c>
      <c r="J677">
        <v>1.0999999999999999E-2</v>
      </c>
      <c r="K677">
        <v>1.22</v>
      </c>
      <c r="L677">
        <v>0.37</v>
      </c>
      <c r="M677">
        <v>2.16</v>
      </c>
      <c r="N677">
        <v>6.6E-4</v>
      </c>
    </row>
    <row r="678" spans="1:14" x14ac:dyDescent="0.25">
      <c r="A678" t="s">
        <v>1260</v>
      </c>
      <c r="B678" t="s">
        <v>1261</v>
      </c>
      <c r="C678" s="1" t="str">
        <f>HYPERLINK("http://www.genecards.org/cgi-bin/carddisp.pl?gene=CIRBP","GeneCards")</f>
        <v>GeneCards</v>
      </c>
      <c r="D678" s="1" t="str">
        <f>HYPERLINK("http://genome-euro.ucsc.edu/cgi-bin/hgTracks?position=200810_s_at","UCSC")</f>
        <v>UCSC</v>
      </c>
      <c r="E678" s="1" t="str">
        <f>HYPERLINK("http://www.ncbi.nlm.nih.gov/gene/?term=CIRBP","NCBI")</f>
        <v>NCBI</v>
      </c>
      <c r="F678">
        <v>8.9999999999999998E-4</v>
      </c>
      <c r="G678">
        <v>2.1999999999999999E-2</v>
      </c>
      <c r="H678" s="1" t="str">
        <f>HYPERLINK("http://www.weizmann.ac.il/complex/compphys/software/geview/data/figures/200810_s_at.png","Figure")</f>
        <v>Figure</v>
      </c>
      <c r="I678">
        <v>0.55500000000000005</v>
      </c>
      <c r="J678">
        <v>8.5000000000000006E-2</v>
      </c>
      <c r="K678">
        <v>0.33200000000000002</v>
      </c>
      <c r="L678">
        <v>6.4000000000000005E-4</v>
      </c>
      <c r="M678">
        <v>0.59799999999999998</v>
      </c>
      <c r="N678">
        <v>0.11</v>
      </c>
    </row>
    <row r="679" spans="1:14" x14ac:dyDescent="0.25">
      <c r="A679" t="s">
        <v>1262</v>
      </c>
      <c r="B679" t="s">
        <v>1263</v>
      </c>
      <c r="C679" s="1" t="str">
        <f>HYPERLINK("http://www.genecards.org/cgi-bin/carddisp.pl?gene=CTCF","GeneCards")</f>
        <v>GeneCards</v>
      </c>
      <c r="D679" s="1" t="str">
        <f>HYPERLINK("http://genome-euro.ucsc.edu/cgi-bin/hgTracks?position=202521_at","UCSC")</f>
        <v>UCSC</v>
      </c>
      <c r="E679" s="1" t="str">
        <f>HYPERLINK("http://www.ncbi.nlm.nih.gov/gene/?term=CTCF","NCBI")</f>
        <v>NCBI</v>
      </c>
      <c r="F679">
        <v>8.8999999999999995E-4</v>
      </c>
      <c r="G679">
        <v>2.1999999999999999E-2</v>
      </c>
      <c r="H679" s="1" t="str">
        <f>HYPERLINK("http://www.weizmann.ac.il/complex/compphys/software/geview/data/figures/202521_at.png","Figure")</f>
        <v>Figure</v>
      </c>
      <c r="I679">
        <v>1.7</v>
      </c>
      <c r="J679">
        <v>3.8E-3</v>
      </c>
      <c r="K679">
        <v>1.7</v>
      </c>
      <c r="L679">
        <v>1.1999999999999999E-3</v>
      </c>
      <c r="M679">
        <v>1</v>
      </c>
      <c r="N679">
        <v>1</v>
      </c>
    </row>
    <row r="680" spans="1:14" x14ac:dyDescent="0.25">
      <c r="A680" t="s">
        <v>1264</v>
      </c>
      <c r="B680" t="s">
        <v>1265</v>
      </c>
      <c r="C680" s="1" t="str">
        <f>HYPERLINK("http://www.genecards.org/cgi-bin/carddisp.pl?gene=SNRPD3","GeneCards")</f>
        <v>GeneCards</v>
      </c>
      <c r="D680" s="1" t="str">
        <f>HYPERLINK("http://genome-euro.ucsc.edu/cgi-bin/hgTracks?position=202567_at","UCSC")</f>
        <v>UCSC</v>
      </c>
      <c r="E680" s="1" t="str">
        <f>HYPERLINK("http://www.ncbi.nlm.nih.gov/gene/?term=SNRPD3","NCBI")</f>
        <v>NCBI</v>
      </c>
      <c r="F680">
        <v>8.8999999999999995E-4</v>
      </c>
      <c r="G680">
        <v>2.1999999999999999E-2</v>
      </c>
      <c r="H680" s="1" t="str">
        <f>HYPERLINK("http://www.weizmann.ac.il/complex/compphys/software/geview/data/figures/202567_at.png","Figure")</f>
        <v>Figure</v>
      </c>
      <c r="I680">
        <v>1.06</v>
      </c>
      <c r="J680">
        <v>0.89</v>
      </c>
      <c r="K680">
        <v>1.67</v>
      </c>
      <c r="L680">
        <v>1.5E-3</v>
      </c>
      <c r="M680">
        <v>1.58</v>
      </c>
      <c r="N680">
        <v>6.3E-3</v>
      </c>
    </row>
    <row r="681" spans="1:14" x14ac:dyDescent="0.25">
      <c r="A681" t="s">
        <v>1266</v>
      </c>
      <c r="B681" t="s">
        <v>1267</v>
      </c>
      <c r="C681" s="1" t="str">
        <f>HYPERLINK("http://www.genecards.org/cgi-bin/carddisp.pl?gene=FOXO1","GeneCards")</f>
        <v>GeneCards</v>
      </c>
      <c r="D681" s="1" t="str">
        <f>HYPERLINK("http://genome-euro.ucsc.edu/cgi-bin/hgTracks?position=202724_s_at","UCSC")</f>
        <v>UCSC</v>
      </c>
      <c r="E681" s="1" t="str">
        <f>HYPERLINK("http://www.ncbi.nlm.nih.gov/gene/?term=FOXO1","NCBI")</f>
        <v>NCBI</v>
      </c>
      <c r="F681">
        <v>8.9999999999999998E-4</v>
      </c>
      <c r="G681">
        <v>2.1999999999999999E-2</v>
      </c>
      <c r="H681" s="1" t="str">
        <f>HYPERLINK("http://www.weizmann.ac.il/complex/compphys/software/geview/data/figures/202724_s_at.png","Figure")</f>
        <v>Figure</v>
      </c>
      <c r="I681">
        <v>1.2</v>
      </c>
      <c r="J681">
        <v>0.76</v>
      </c>
      <c r="K681">
        <v>0.40699999999999997</v>
      </c>
      <c r="L681">
        <v>4.5999999999999999E-3</v>
      </c>
      <c r="M681">
        <v>0.33800000000000002</v>
      </c>
      <c r="N681">
        <v>1.9E-3</v>
      </c>
    </row>
    <row r="682" spans="1:14" x14ac:dyDescent="0.25">
      <c r="A682" t="s">
        <v>1268</v>
      </c>
      <c r="B682" t="s">
        <v>1269</v>
      </c>
      <c r="C682" s="1" t="str">
        <f>HYPERLINK("http://www.genecards.org/cgi-bin/carddisp.pl?gene=HSP90AA1","GeneCards")</f>
        <v>GeneCards</v>
      </c>
      <c r="D682" s="1" t="str">
        <f>HYPERLINK("http://genome-euro.ucsc.edu/cgi-bin/hgTracks?position=210211_s_at","UCSC")</f>
        <v>UCSC</v>
      </c>
      <c r="E682" s="1" t="str">
        <f>HYPERLINK("http://www.ncbi.nlm.nih.gov/gene/?term=HSP90AA1","NCBI")</f>
        <v>NCBI</v>
      </c>
      <c r="F682">
        <v>8.9999999999999998E-4</v>
      </c>
      <c r="G682">
        <v>2.1999999999999999E-2</v>
      </c>
      <c r="H682" s="1" t="str">
        <f>HYPERLINK("http://www.weizmann.ac.il/complex/compphys/software/geview/data/figures/210211_s_at.png","Figure")</f>
        <v>Figure</v>
      </c>
      <c r="I682">
        <v>0.94</v>
      </c>
      <c r="J682">
        <v>0.89</v>
      </c>
      <c r="K682">
        <v>1.62</v>
      </c>
      <c r="L682">
        <v>3.5000000000000001E-3</v>
      </c>
      <c r="M682">
        <v>1.72</v>
      </c>
      <c r="N682">
        <v>2.3E-3</v>
      </c>
    </row>
    <row r="683" spans="1:14" x14ac:dyDescent="0.25">
      <c r="A683" t="s">
        <v>1270</v>
      </c>
      <c r="B683" t="s">
        <v>1271</v>
      </c>
      <c r="C683" s="1" t="str">
        <f>HYPERLINK("http://www.genecards.org/cgi-bin/carddisp.pl?gene=RANGAP1","GeneCards")</f>
        <v>GeneCards</v>
      </c>
      <c r="D683" s="1" t="str">
        <f>HYPERLINK("http://genome-euro.ucsc.edu/cgi-bin/hgTracks?position=212127_at","UCSC")</f>
        <v>UCSC</v>
      </c>
      <c r="E683" s="1" t="str">
        <f>HYPERLINK("http://www.ncbi.nlm.nih.gov/gene/?term=RANGAP1","NCBI")</f>
        <v>NCBI</v>
      </c>
      <c r="F683">
        <v>8.9999999999999998E-4</v>
      </c>
      <c r="G683">
        <v>2.1999999999999999E-2</v>
      </c>
      <c r="H683" s="1" t="str">
        <f>HYPERLINK("http://www.weizmann.ac.il/complex/compphys/software/geview/data/figures/212127_at.png","Figure")</f>
        <v>Figure</v>
      </c>
      <c r="I683">
        <v>1.56</v>
      </c>
      <c r="J683">
        <v>1.1000000000000001E-3</v>
      </c>
      <c r="K683">
        <v>1.39</v>
      </c>
      <c r="L683">
        <v>4.4999999999999997E-3</v>
      </c>
      <c r="M683">
        <v>0.88700000000000001</v>
      </c>
      <c r="N683">
        <v>0.4</v>
      </c>
    </row>
    <row r="684" spans="1:14" x14ac:dyDescent="0.25">
      <c r="A684" t="s">
        <v>1272</v>
      </c>
      <c r="B684" t="s">
        <v>1273</v>
      </c>
      <c r="C684" s="1" t="str">
        <f>HYPERLINK("http://www.genecards.org/cgi-bin/carddisp.pl?gene=ACTG1","GeneCards")</f>
        <v>GeneCards</v>
      </c>
      <c r="D684" s="1" t="str">
        <f>HYPERLINK("http://genome-euro.ucsc.edu/cgi-bin/hgTracks?position=212363_x_at","UCSC")</f>
        <v>UCSC</v>
      </c>
      <c r="E684" s="1" t="str">
        <f>HYPERLINK("http://www.ncbi.nlm.nih.gov/gene/?term=ACTG1","NCBI")</f>
        <v>NCBI</v>
      </c>
      <c r="F684">
        <v>8.8999999999999995E-4</v>
      </c>
      <c r="G684">
        <v>2.1999999999999999E-2</v>
      </c>
      <c r="H684" s="1" t="str">
        <f>HYPERLINK("http://www.weizmann.ac.il/complex/compphys/software/geview/data/figures/212363_x_at.png","Figure")</f>
        <v>Figure</v>
      </c>
      <c r="I684">
        <v>1.25</v>
      </c>
      <c r="J684">
        <v>2.5000000000000001E-2</v>
      </c>
      <c r="K684">
        <v>1.38</v>
      </c>
      <c r="L684">
        <v>6.6E-4</v>
      </c>
      <c r="M684">
        <v>1.1000000000000001</v>
      </c>
      <c r="N684">
        <v>0.35</v>
      </c>
    </row>
    <row r="685" spans="1:14" x14ac:dyDescent="0.25">
      <c r="A685" t="s">
        <v>1274</v>
      </c>
      <c r="B685" t="s">
        <v>1275</v>
      </c>
      <c r="C685" s="1" t="str">
        <f>HYPERLINK("http://www.genecards.org/cgi-bin/carddisp.pl?gene=HAUS7","GeneCards")</f>
        <v>GeneCards</v>
      </c>
      <c r="D685" s="1" t="str">
        <f>HYPERLINK("http://genome-euro.ucsc.edu/cgi-bin/hgTracks?position=213334_x_at","UCSC")</f>
        <v>UCSC</v>
      </c>
      <c r="E685" s="1" t="str">
        <f>HYPERLINK("http://www.ncbi.nlm.nih.gov/gene/?term=HAUS7","NCBI")</f>
        <v>NCBI</v>
      </c>
      <c r="F685">
        <v>8.8999999999999995E-4</v>
      </c>
      <c r="G685">
        <v>2.1999999999999999E-2</v>
      </c>
      <c r="H685" s="1" t="str">
        <f>HYPERLINK("http://www.weizmann.ac.il/complex/compphys/software/geview/data/figures/213334_x_at.png","Figure")</f>
        <v>Figure</v>
      </c>
      <c r="I685">
        <v>0.58899999999999997</v>
      </c>
      <c r="J685">
        <v>8.5000000000000006E-3</v>
      </c>
      <c r="K685">
        <v>1.17</v>
      </c>
      <c r="L685">
        <v>0.48</v>
      </c>
      <c r="M685">
        <v>1.98</v>
      </c>
      <c r="N685">
        <v>6.9999999999999999E-4</v>
      </c>
    </row>
    <row r="686" spans="1:14" x14ac:dyDescent="0.25">
      <c r="A686" t="s">
        <v>1276</v>
      </c>
      <c r="B686" t="s">
        <v>1277</v>
      </c>
      <c r="C686" s="1" t="str">
        <f>HYPERLINK("http://www.genecards.org/cgi-bin/carddisp.pl?gene=ZNF75D","GeneCards")</f>
        <v>GeneCards</v>
      </c>
      <c r="D686" s="1" t="str">
        <f>HYPERLINK("http://genome-euro.ucsc.edu/cgi-bin/hgTracks?position=213659_at","UCSC")</f>
        <v>UCSC</v>
      </c>
      <c r="E686" s="1" t="str">
        <f>HYPERLINK("http://www.ncbi.nlm.nih.gov/gene/?term=ZNF75D","NCBI")</f>
        <v>NCBI</v>
      </c>
      <c r="F686">
        <v>8.8999999999999995E-4</v>
      </c>
      <c r="G686">
        <v>2.1999999999999999E-2</v>
      </c>
      <c r="H686" s="1" t="str">
        <f>HYPERLINK("http://www.weizmann.ac.il/complex/compphys/software/geview/data/figures/213659_at.png","Figure")</f>
        <v>Figure</v>
      </c>
      <c r="I686">
        <v>0.60399999999999998</v>
      </c>
      <c r="J686">
        <v>2.3999999999999998E-3</v>
      </c>
      <c r="K686">
        <v>1.01</v>
      </c>
      <c r="L686">
        <v>0.99</v>
      </c>
      <c r="M686">
        <v>1.67</v>
      </c>
      <c r="N686">
        <v>1.1999999999999999E-3</v>
      </c>
    </row>
    <row r="687" spans="1:14" x14ac:dyDescent="0.25">
      <c r="A687" t="s">
        <v>1278</v>
      </c>
      <c r="B687" t="s">
        <v>1279</v>
      </c>
      <c r="C687" s="1" t="str">
        <f>HYPERLINK("http://www.genecards.org/cgi-bin/carddisp.pl?gene=UBXN7","GeneCards")</f>
        <v>GeneCards</v>
      </c>
      <c r="D687" s="1" t="str">
        <f>HYPERLINK("http://genome-euro.ucsc.edu/cgi-bin/hgTracks?position=217100_s_at","UCSC")</f>
        <v>UCSC</v>
      </c>
      <c r="E687" s="1" t="str">
        <f>HYPERLINK("http://www.ncbi.nlm.nih.gov/gene/?term=UBXN7","NCBI")</f>
        <v>NCBI</v>
      </c>
      <c r="F687">
        <v>8.8999999999999995E-4</v>
      </c>
      <c r="G687">
        <v>2.1999999999999999E-2</v>
      </c>
      <c r="H687" s="1" t="str">
        <f>HYPERLINK("http://www.weizmann.ac.il/complex/compphys/software/geview/data/figures/217100_s_at.png","Figure")</f>
        <v>Figure</v>
      </c>
      <c r="I687">
        <v>0.78</v>
      </c>
      <c r="J687">
        <v>0.25</v>
      </c>
      <c r="K687">
        <v>0.52900000000000003</v>
      </c>
      <c r="L687">
        <v>7.3999999999999999E-4</v>
      </c>
      <c r="M687">
        <v>0.67800000000000005</v>
      </c>
      <c r="N687">
        <v>3.6999999999999998E-2</v>
      </c>
    </row>
    <row r="688" spans="1:14" x14ac:dyDescent="0.25">
      <c r="A688" t="s">
        <v>1280</v>
      </c>
      <c r="B688" t="s">
        <v>1281</v>
      </c>
      <c r="C688" s="1" t="str">
        <f>HYPERLINK("http://www.genecards.org/cgi-bin/carddisp.pl?gene=ARMCX1","GeneCards")</f>
        <v>GeneCards</v>
      </c>
      <c r="D688" s="1" t="str">
        <f>HYPERLINK("http://genome-euro.ucsc.edu/cgi-bin/hgTracks?position=218694_at","UCSC")</f>
        <v>UCSC</v>
      </c>
      <c r="E688" s="1" t="str">
        <f>HYPERLINK("http://www.ncbi.nlm.nih.gov/gene/?term=ARMCX1","NCBI")</f>
        <v>NCBI</v>
      </c>
      <c r="F688">
        <v>8.9999999999999998E-4</v>
      </c>
      <c r="G688">
        <v>2.1999999999999999E-2</v>
      </c>
      <c r="H688" s="1" t="str">
        <f>HYPERLINK("http://www.weizmann.ac.il/complex/compphys/software/geview/data/figures/218694_at.png","Figure")</f>
        <v>Figure</v>
      </c>
      <c r="I688">
        <v>0.16700000000000001</v>
      </c>
      <c r="J688">
        <v>6.6E-4</v>
      </c>
      <c r="K688">
        <v>0.51100000000000001</v>
      </c>
      <c r="L688">
        <v>0.12</v>
      </c>
      <c r="M688">
        <v>3.07</v>
      </c>
      <c r="N688">
        <v>1.2999999999999999E-2</v>
      </c>
    </row>
    <row r="689" spans="1:14" x14ac:dyDescent="0.25">
      <c r="A689" t="s">
        <v>1282</v>
      </c>
      <c r="B689" t="s">
        <v>1283</v>
      </c>
      <c r="C689" s="1" t="str">
        <f>HYPERLINK("http://www.genecards.org/cgi-bin/carddisp.pl?gene=TSPYL1","GeneCards")</f>
        <v>GeneCards</v>
      </c>
      <c r="D689" s="1" t="str">
        <f>HYPERLINK("http://genome-euro.ucsc.edu/cgi-bin/hgTracks?position=221493_at","UCSC")</f>
        <v>UCSC</v>
      </c>
      <c r="E689" s="1" t="str">
        <f>HYPERLINK("http://www.ncbi.nlm.nih.gov/gene/?term=TSPYL1","NCBI")</f>
        <v>NCBI</v>
      </c>
      <c r="F689">
        <v>8.9999999999999998E-4</v>
      </c>
      <c r="G689">
        <v>2.1999999999999999E-2</v>
      </c>
      <c r="H689" s="1" t="str">
        <f>HYPERLINK("http://www.weizmann.ac.il/complex/compphys/software/geview/data/figures/221493_at.png","Figure")</f>
        <v>Figure</v>
      </c>
      <c r="I689">
        <v>0.52100000000000002</v>
      </c>
      <c r="J689">
        <v>7.3000000000000001E-3</v>
      </c>
      <c r="K689">
        <v>0.47399999999999998</v>
      </c>
      <c r="L689">
        <v>9.1E-4</v>
      </c>
      <c r="M689">
        <v>0.91</v>
      </c>
      <c r="N689">
        <v>0.84</v>
      </c>
    </row>
    <row r="690" spans="1:14" x14ac:dyDescent="0.25">
      <c r="A690" t="s">
        <v>1284</v>
      </c>
      <c r="B690" t="s">
        <v>1285</v>
      </c>
      <c r="C690" s="1" t="str">
        <f>HYPERLINK("http://www.genecards.org/cgi-bin/carddisp.pl?gene=LRRC37A2","GeneCards")</f>
        <v>GeneCards</v>
      </c>
      <c r="D690" s="1" t="str">
        <f>HYPERLINK("http://genome-euro.ucsc.edu/cgi-bin/hgTracks?position=221740_x_at","UCSC")</f>
        <v>UCSC</v>
      </c>
      <c r="E690" s="1" t="str">
        <f>HYPERLINK("http://www.ncbi.nlm.nih.gov/gene/?term=LRRC37A2","NCBI")</f>
        <v>NCBI</v>
      </c>
      <c r="F690">
        <v>8.9999999999999998E-4</v>
      </c>
      <c r="G690">
        <v>2.1999999999999999E-2</v>
      </c>
      <c r="H690" s="1" t="str">
        <f>HYPERLINK("http://www.weizmann.ac.il/complex/compphys/software/geview/data/figures/221740_x_at.png","Figure")</f>
        <v>Figure</v>
      </c>
      <c r="I690">
        <v>0.621</v>
      </c>
      <c r="J690">
        <v>2.5000000000000001E-3</v>
      </c>
      <c r="K690">
        <v>1.01</v>
      </c>
      <c r="L690">
        <v>0.99</v>
      </c>
      <c r="M690">
        <v>1.63</v>
      </c>
      <c r="N690">
        <v>1.1999999999999999E-3</v>
      </c>
    </row>
    <row r="691" spans="1:14" x14ac:dyDescent="0.25">
      <c r="A691" t="s">
        <v>1286</v>
      </c>
      <c r="B691" t="s">
        <v>247</v>
      </c>
      <c r="C691" s="1" t="str">
        <f>HYPERLINK("http://www.genecards.org/cgi-bin/carddisp.pl?gene=NUP210","GeneCards")</f>
        <v>GeneCards</v>
      </c>
      <c r="D691" s="1" t="str">
        <f>HYPERLINK("http://genome-euro.ucsc.edu/cgi-bin/hgTracks?position=212315_s_at","UCSC")</f>
        <v>UCSC</v>
      </c>
      <c r="E691" s="1" t="str">
        <f>HYPERLINK("http://www.ncbi.nlm.nih.gov/gene/?term=NUP210","NCBI")</f>
        <v>NCBI</v>
      </c>
      <c r="F691">
        <v>8.9999999999999998E-4</v>
      </c>
      <c r="G691">
        <v>2.1999999999999999E-2</v>
      </c>
      <c r="H691" s="1" t="str">
        <f>HYPERLINK("http://www.weizmann.ac.il/complex/compphys/software/geview/data/figures/212315_s_at.png","Figure")</f>
        <v>Figure</v>
      </c>
      <c r="I691">
        <v>1.36</v>
      </c>
      <c r="J691">
        <v>5.7000000000000002E-2</v>
      </c>
      <c r="K691">
        <v>1.68</v>
      </c>
      <c r="L691">
        <v>6.4000000000000005E-4</v>
      </c>
      <c r="M691">
        <v>1.24</v>
      </c>
      <c r="N691">
        <v>0.17</v>
      </c>
    </row>
    <row r="692" spans="1:14" x14ac:dyDescent="0.25">
      <c r="A692" t="s">
        <v>1287</v>
      </c>
      <c r="B692" t="s">
        <v>1288</v>
      </c>
      <c r="C692" s="1" t="str">
        <f>HYPERLINK("http://www.genecards.org/cgi-bin/carddisp.pl?gene=EIF2S1","GeneCards")</f>
        <v>GeneCards</v>
      </c>
      <c r="D692" s="1" t="str">
        <f>HYPERLINK("http://genome-euro.ucsc.edu/cgi-bin/hgTracks?position=201144_s_at","UCSC")</f>
        <v>UCSC</v>
      </c>
      <c r="E692" s="1" t="str">
        <f>HYPERLINK("http://www.ncbi.nlm.nih.gov/gene/?term=EIF2S1","NCBI")</f>
        <v>NCBI</v>
      </c>
      <c r="F692">
        <v>9.1E-4</v>
      </c>
      <c r="G692">
        <v>2.1999999999999999E-2</v>
      </c>
      <c r="H692" s="1" t="str">
        <f>HYPERLINK("http://www.weizmann.ac.il/complex/compphys/software/geview/data/figures/201144_s_at.png","Figure")</f>
        <v>Figure</v>
      </c>
      <c r="I692">
        <v>0.90500000000000003</v>
      </c>
      <c r="J692">
        <v>0.7</v>
      </c>
      <c r="K692">
        <v>1.51</v>
      </c>
      <c r="L692">
        <v>5.3E-3</v>
      </c>
      <c r="M692">
        <v>1.66</v>
      </c>
      <c r="N692">
        <v>1.6999999999999999E-3</v>
      </c>
    </row>
    <row r="693" spans="1:14" x14ac:dyDescent="0.25">
      <c r="A693" t="s">
        <v>1289</v>
      </c>
      <c r="B693" t="s">
        <v>1290</v>
      </c>
      <c r="C693" s="1" t="str">
        <f>HYPERLINK("http://www.genecards.org/cgi-bin/carddisp.pl?gene=SF3B1","GeneCards")</f>
        <v>GeneCards</v>
      </c>
      <c r="D693" s="1" t="str">
        <f>HYPERLINK("http://genome-euro.ucsc.edu/cgi-bin/hgTracks?position=211185_s_at","UCSC")</f>
        <v>UCSC</v>
      </c>
      <c r="E693" s="1" t="str">
        <f>HYPERLINK("http://www.ncbi.nlm.nih.gov/gene/?term=SF3B1","NCBI")</f>
        <v>NCBI</v>
      </c>
      <c r="F693">
        <v>9.2000000000000003E-4</v>
      </c>
      <c r="G693">
        <v>2.1999999999999999E-2</v>
      </c>
      <c r="H693" s="1" t="str">
        <f>HYPERLINK("http://www.weizmann.ac.il/complex/compphys/software/geview/data/figures/211185_s_at.png","Figure")</f>
        <v>Figure</v>
      </c>
      <c r="I693">
        <v>1.34</v>
      </c>
      <c r="J693">
        <v>3.9E-2</v>
      </c>
      <c r="K693">
        <v>0.82</v>
      </c>
      <c r="L693">
        <v>0.11</v>
      </c>
      <c r="M693">
        <v>0.61399999999999999</v>
      </c>
      <c r="N693">
        <v>6.4999999999999997E-4</v>
      </c>
    </row>
    <row r="694" spans="1:14" x14ac:dyDescent="0.25">
      <c r="A694" t="s">
        <v>1291</v>
      </c>
      <c r="B694" t="s">
        <v>1292</v>
      </c>
      <c r="C694" s="1" t="str">
        <f>HYPERLINK("http://www.genecards.org/cgi-bin/carddisp.pl?gene=SPTBN1","GeneCards")</f>
        <v>GeneCards</v>
      </c>
      <c r="D694" s="1" t="str">
        <f>HYPERLINK("http://genome-euro.ucsc.edu/cgi-bin/hgTracks?position=200672_x_at","UCSC")</f>
        <v>UCSC</v>
      </c>
      <c r="E694" s="1" t="str">
        <f>HYPERLINK("http://www.ncbi.nlm.nih.gov/gene/?term=SPTBN1","NCBI")</f>
        <v>NCBI</v>
      </c>
      <c r="F694">
        <v>9.2000000000000003E-4</v>
      </c>
      <c r="G694">
        <v>2.1999999999999999E-2</v>
      </c>
      <c r="H694" s="1" t="str">
        <f>HYPERLINK("http://www.weizmann.ac.il/complex/compphys/software/geview/data/figures/200672_x_at.png","Figure")</f>
        <v>Figure</v>
      </c>
      <c r="I694">
        <v>1.82</v>
      </c>
      <c r="J694">
        <v>8.7000000000000001E-4</v>
      </c>
      <c r="K694">
        <v>1.1599999999999999</v>
      </c>
      <c r="L694">
        <v>0.38</v>
      </c>
      <c r="M694">
        <v>0.63800000000000001</v>
      </c>
      <c r="N694">
        <v>4.7999999999999996E-3</v>
      </c>
    </row>
    <row r="695" spans="1:14" x14ac:dyDescent="0.25">
      <c r="A695" t="s">
        <v>1293</v>
      </c>
      <c r="B695" t="s">
        <v>1294</v>
      </c>
      <c r="C695" s="1" t="str">
        <f>HYPERLINK("http://www.genecards.org/cgi-bin/carddisp.pl?gene=GRK5","GeneCards")</f>
        <v>GeneCards</v>
      </c>
      <c r="D695" s="1" t="str">
        <f>HYPERLINK("http://genome-euro.ucsc.edu/cgi-bin/hgTracks?position=204396_s_at","UCSC")</f>
        <v>UCSC</v>
      </c>
      <c r="E695" s="1" t="str">
        <f>HYPERLINK("http://www.ncbi.nlm.nih.gov/gene/?term=GRK5","NCBI")</f>
        <v>NCBI</v>
      </c>
      <c r="F695">
        <v>9.2000000000000003E-4</v>
      </c>
      <c r="G695">
        <v>2.1999999999999999E-2</v>
      </c>
      <c r="H695" s="1" t="str">
        <f>HYPERLINK("http://www.weizmann.ac.il/complex/compphys/software/geview/data/figures/204396_s_at.png","Figure")</f>
        <v>Figure</v>
      </c>
      <c r="I695">
        <v>0.93</v>
      </c>
      <c r="J695">
        <v>0.99</v>
      </c>
      <c r="K695">
        <v>0.16700000000000001</v>
      </c>
      <c r="L695">
        <v>2E-3</v>
      </c>
      <c r="M695">
        <v>0.18</v>
      </c>
      <c r="N695">
        <v>4.4999999999999997E-3</v>
      </c>
    </row>
    <row r="696" spans="1:14" x14ac:dyDescent="0.25">
      <c r="A696" t="s">
        <v>1295</v>
      </c>
      <c r="B696" t="s">
        <v>1296</v>
      </c>
      <c r="C696" s="1" t="str">
        <f>HYPERLINK("http://www.genecards.org/cgi-bin/carddisp.pl?gene=CSHL1","GeneCards")</f>
        <v>GeneCards</v>
      </c>
      <c r="D696" s="1" t="str">
        <f>HYPERLINK("http://genome-euro.ucsc.edu/cgi-bin/hgTracks?position=208294_x_at","UCSC")</f>
        <v>UCSC</v>
      </c>
      <c r="E696" s="1" t="str">
        <f>HYPERLINK("http://www.ncbi.nlm.nih.gov/gene/?term=CSHL1","NCBI")</f>
        <v>NCBI</v>
      </c>
      <c r="F696">
        <v>9.2000000000000003E-4</v>
      </c>
      <c r="G696">
        <v>2.1999999999999999E-2</v>
      </c>
      <c r="H696" s="1" t="str">
        <f>HYPERLINK("http://www.weizmann.ac.il/complex/compphys/software/geview/data/figures/208294_x_at.png","Figure")</f>
        <v>Figure</v>
      </c>
      <c r="I696">
        <v>1.1299999999999999</v>
      </c>
      <c r="J696">
        <v>1.4E-3</v>
      </c>
      <c r="K696">
        <v>1.1000000000000001</v>
      </c>
      <c r="L696">
        <v>3.5999999999999999E-3</v>
      </c>
      <c r="M696">
        <v>0.97199999999999998</v>
      </c>
      <c r="N696">
        <v>0.52</v>
      </c>
    </row>
    <row r="697" spans="1:14" x14ac:dyDescent="0.25">
      <c r="A697" t="s">
        <v>1297</v>
      </c>
      <c r="B697" t="s">
        <v>1298</v>
      </c>
      <c r="C697" s="1" t="str">
        <f>HYPERLINK("http://www.genecards.org/cgi-bin/carddisp.pl?gene=L3MBTL","GeneCards")</f>
        <v>GeneCards</v>
      </c>
      <c r="D697" s="1" t="str">
        <f>HYPERLINK("http://genome-euro.ucsc.edu/cgi-bin/hgTracks?position=213837_at","UCSC")</f>
        <v>UCSC</v>
      </c>
      <c r="E697" s="1" t="str">
        <f>HYPERLINK("http://www.ncbi.nlm.nih.gov/gene/?term=L3MBTL","NCBI")</f>
        <v>NCBI</v>
      </c>
      <c r="F697">
        <v>9.2000000000000003E-4</v>
      </c>
      <c r="G697">
        <v>2.1999999999999999E-2</v>
      </c>
      <c r="H697" s="1" t="str">
        <f>HYPERLINK("http://www.weizmann.ac.il/complex/compphys/software/geview/data/figures/213837_at.png","Figure")</f>
        <v>Figure</v>
      </c>
      <c r="I697">
        <v>1.23</v>
      </c>
      <c r="J697">
        <v>2.5000000000000001E-2</v>
      </c>
      <c r="K697">
        <v>0.89400000000000002</v>
      </c>
      <c r="L697">
        <v>0.18</v>
      </c>
      <c r="M697">
        <v>0.72899999999999998</v>
      </c>
      <c r="N697">
        <v>6.4999999999999997E-4</v>
      </c>
    </row>
    <row r="698" spans="1:14" x14ac:dyDescent="0.25">
      <c r="A698" t="s">
        <v>1299</v>
      </c>
      <c r="B698" t="s">
        <v>1300</v>
      </c>
      <c r="C698" s="1" t="str">
        <f>HYPERLINK("http://www.genecards.org/cgi-bin/carddisp.pl?gene=CETN2","GeneCards")</f>
        <v>GeneCards</v>
      </c>
      <c r="D698" s="1" t="str">
        <f>HYPERLINK("http://genome-euro.ucsc.edu/cgi-bin/hgTracks?position=209194_at","UCSC")</f>
        <v>UCSC</v>
      </c>
      <c r="E698" s="1" t="str">
        <f>HYPERLINK("http://www.ncbi.nlm.nih.gov/gene/?term=CETN2","NCBI")</f>
        <v>NCBI</v>
      </c>
      <c r="F698">
        <v>9.3000000000000005E-4</v>
      </c>
      <c r="G698">
        <v>2.3E-2</v>
      </c>
      <c r="H698" s="1" t="str">
        <f>HYPERLINK("http://www.weizmann.ac.il/complex/compphys/software/geview/data/figures/209194_at.png","Figure")</f>
        <v>Figure</v>
      </c>
      <c r="I698">
        <v>0.44500000000000001</v>
      </c>
      <c r="J698">
        <v>7.4999999999999997E-3</v>
      </c>
      <c r="K698">
        <v>1.23</v>
      </c>
      <c r="L698">
        <v>0.55000000000000004</v>
      </c>
      <c r="M698">
        <v>2.76</v>
      </c>
      <c r="N698">
        <v>7.6000000000000004E-4</v>
      </c>
    </row>
    <row r="699" spans="1:14" x14ac:dyDescent="0.25">
      <c r="A699" t="s">
        <v>1301</v>
      </c>
      <c r="B699" t="s">
        <v>1302</v>
      </c>
      <c r="C699" s="1" t="str">
        <f>HYPERLINK("http://www.genecards.org/cgi-bin/carddisp.pl?gene=EIF1B","GeneCards")</f>
        <v>GeneCards</v>
      </c>
      <c r="D699" s="1" t="str">
        <f>HYPERLINK("http://genome-euro.ucsc.edu/cgi-bin/hgTracks?position=201738_at","UCSC")</f>
        <v>UCSC</v>
      </c>
      <c r="E699" s="1" t="str">
        <f>HYPERLINK("http://www.ncbi.nlm.nih.gov/gene/?term=EIF1B","NCBI")</f>
        <v>NCBI</v>
      </c>
      <c r="F699">
        <v>9.3000000000000005E-4</v>
      </c>
      <c r="G699">
        <v>2.3E-2</v>
      </c>
      <c r="H699" s="1" t="str">
        <f>HYPERLINK("http://www.weizmann.ac.il/complex/compphys/software/geview/data/figures/201738_at.png","Figure")</f>
        <v>Figure</v>
      </c>
      <c r="I699">
        <v>1.27</v>
      </c>
      <c r="J699">
        <v>0.39</v>
      </c>
      <c r="K699">
        <v>0.59299999999999997</v>
      </c>
      <c r="L699">
        <v>1.0999999999999999E-2</v>
      </c>
      <c r="M699">
        <v>0.46800000000000003</v>
      </c>
      <c r="N699">
        <v>1.1999999999999999E-3</v>
      </c>
    </row>
    <row r="700" spans="1:14" x14ac:dyDescent="0.25">
      <c r="A700" t="s">
        <v>1303</v>
      </c>
      <c r="B700" t="s">
        <v>1304</v>
      </c>
      <c r="C700" s="1" t="str">
        <f>HYPERLINK("http://www.genecards.org/cgi-bin/carddisp.pl?gene=C21orf33 /// PWP2","GeneCards")</f>
        <v>GeneCards</v>
      </c>
      <c r="D700" s="1" t="str">
        <f>HYPERLINK("http://genome-euro.ucsc.edu/cgi-bin/hgTracks?position=202217_at","UCSC")</f>
        <v>UCSC</v>
      </c>
      <c r="E700" s="1" t="str">
        <f>HYPERLINK("http://www.ncbi.nlm.nih.gov/gene/?term=C21orf33 /// PWP2","NCBI")</f>
        <v>NCBI</v>
      </c>
      <c r="F700">
        <v>9.3000000000000005E-4</v>
      </c>
      <c r="G700">
        <v>2.3E-2</v>
      </c>
      <c r="H700" s="1" t="str">
        <f>HYPERLINK("http://www.weizmann.ac.il/complex/compphys/software/geview/data/figures/202217_at.png","Figure")</f>
        <v>Figure</v>
      </c>
      <c r="I700">
        <v>0.67500000000000004</v>
      </c>
      <c r="J700">
        <v>5.3999999999999999E-2</v>
      </c>
      <c r="K700">
        <v>1.36</v>
      </c>
      <c r="L700">
        <v>8.3000000000000004E-2</v>
      </c>
      <c r="M700">
        <v>2.02</v>
      </c>
      <c r="N700">
        <v>6.8000000000000005E-4</v>
      </c>
    </row>
    <row r="701" spans="1:14" x14ac:dyDescent="0.25">
      <c r="A701" t="s">
        <v>1305</v>
      </c>
      <c r="B701" t="s">
        <v>1306</v>
      </c>
      <c r="C701" s="1" t="str">
        <f>HYPERLINK("http://www.genecards.org/cgi-bin/carddisp.pl?gene=F12","GeneCards")</f>
        <v>GeneCards</v>
      </c>
      <c r="D701" s="1" t="str">
        <f>HYPERLINK("http://genome-euro.ucsc.edu/cgi-bin/hgTracks?position=205774_at","UCSC")</f>
        <v>UCSC</v>
      </c>
      <c r="E701" s="1" t="str">
        <f>HYPERLINK("http://www.ncbi.nlm.nih.gov/gene/?term=F12","NCBI")</f>
        <v>NCBI</v>
      </c>
      <c r="F701">
        <v>9.3000000000000005E-4</v>
      </c>
      <c r="G701">
        <v>2.3E-2</v>
      </c>
      <c r="H701" s="1" t="str">
        <f>HYPERLINK("http://www.weizmann.ac.il/complex/compphys/software/geview/data/figures/205774_at.png","Figure")</f>
        <v>Figure</v>
      </c>
      <c r="I701">
        <v>1.47</v>
      </c>
      <c r="J701">
        <v>6.6E-4</v>
      </c>
      <c r="K701">
        <v>1.18</v>
      </c>
      <c r="L701">
        <v>6.7000000000000004E-2</v>
      </c>
      <c r="M701">
        <v>0.80400000000000005</v>
      </c>
      <c r="N701">
        <v>2.4E-2</v>
      </c>
    </row>
    <row r="702" spans="1:14" x14ac:dyDescent="0.25">
      <c r="A702" t="s">
        <v>1307</v>
      </c>
      <c r="B702" t="s">
        <v>1308</v>
      </c>
      <c r="C702" s="1" t="str">
        <f>HYPERLINK("http://www.genecards.org/cgi-bin/carddisp.pl?gene=CSDA","GeneCards")</f>
        <v>GeneCards</v>
      </c>
      <c r="D702" s="1" t="str">
        <f>HYPERLINK("http://genome-euro.ucsc.edu/cgi-bin/hgTracks?position=201160_s_at","UCSC")</f>
        <v>UCSC</v>
      </c>
      <c r="E702" s="1" t="str">
        <f>HYPERLINK("http://www.ncbi.nlm.nih.gov/gene/?term=CSDA","NCBI")</f>
        <v>NCBI</v>
      </c>
      <c r="F702">
        <v>9.3999999999999997E-4</v>
      </c>
      <c r="G702">
        <v>2.3E-2</v>
      </c>
      <c r="H702" s="1" t="str">
        <f>HYPERLINK("http://www.weizmann.ac.il/complex/compphys/software/geview/data/figures/201160_s_at.png","Figure")</f>
        <v>Figure</v>
      </c>
      <c r="I702">
        <v>0.28100000000000003</v>
      </c>
      <c r="J702">
        <v>6.7000000000000002E-3</v>
      </c>
      <c r="K702">
        <v>0.24199999999999999</v>
      </c>
      <c r="L702">
        <v>9.8999999999999999E-4</v>
      </c>
      <c r="M702">
        <v>0.86</v>
      </c>
      <c r="N702">
        <v>0.88</v>
      </c>
    </row>
    <row r="703" spans="1:14" x14ac:dyDescent="0.25">
      <c r="A703" t="s">
        <v>1309</v>
      </c>
      <c r="B703" t="s">
        <v>1310</v>
      </c>
      <c r="C703" s="1" t="str">
        <f>HYPERLINK("http://www.genecards.org/cgi-bin/carddisp.pl?gene=SH2B3","GeneCards")</f>
        <v>GeneCards</v>
      </c>
      <c r="D703" s="1" t="str">
        <f>HYPERLINK("http://genome-euro.ucsc.edu/cgi-bin/hgTracks?position=203320_at","UCSC")</f>
        <v>UCSC</v>
      </c>
      <c r="E703" s="1" t="str">
        <f>HYPERLINK("http://www.ncbi.nlm.nih.gov/gene/?term=SH2B3","NCBI")</f>
        <v>NCBI</v>
      </c>
      <c r="F703">
        <v>9.3999999999999997E-4</v>
      </c>
      <c r="G703">
        <v>2.3E-2</v>
      </c>
      <c r="H703" s="1" t="str">
        <f>HYPERLINK("http://www.weizmann.ac.il/complex/compphys/software/geview/data/figures/203320_at.png","Figure")</f>
        <v>Figure</v>
      </c>
      <c r="I703">
        <v>0.28100000000000003</v>
      </c>
      <c r="J703">
        <v>1.1000000000000001E-3</v>
      </c>
      <c r="K703">
        <v>0.41099999999999998</v>
      </c>
      <c r="L703">
        <v>5.8999999999999999E-3</v>
      </c>
      <c r="M703">
        <v>1.46</v>
      </c>
      <c r="N703">
        <v>0.31</v>
      </c>
    </row>
    <row r="704" spans="1:14" x14ac:dyDescent="0.25">
      <c r="A704" t="s">
        <v>1311</v>
      </c>
      <c r="B704" t="s">
        <v>1312</v>
      </c>
      <c r="C704" s="1" t="str">
        <f>HYPERLINK("http://www.genecards.org/cgi-bin/carddisp.pl?gene=SEPHS1","GeneCards")</f>
        <v>GeneCards</v>
      </c>
      <c r="D704" s="1" t="str">
        <f>HYPERLINK("http://genome-euro.ucsc.edu/cgi-bin/hgTracks?position=208939_at","UCSC")</f>
        <v>UCSC</v>
      </c>
      <c r="E704" s="1" t="str">
        <f>HYPERLINK("http://www.ncbi.nlm.nih.gov/gene/?term=SEPHS1","NCBI")</f>
        <v>NCBI</v>
      </c>
      <c r="F704">
        <v>9.3999999999999997E-4</v>
      </c>
      <c r="G704">
        <v>2.3E-2</v>
      </c>
      <c r="H704" s="1" t="str">
        <f>HYPERLINK("http://www.weizmann.ac.il/complex/compphys/software/geview/data/figures/208939_at.png","Figure")</f>
        <v>Figure</v>
      </c>
      <c r="I704">
        <v>0.61599999999999999</v>
      </c>
      <c r="J704">
        <v>1.6E-2</v>
      </c>
      <c r="K704">
        <v>0.52700000000000002</v>
      </c>
      <c r="L704">
        <v>7.6000000000000004E-4</v>
      </c>
      <c r="M704">
        <v>0.85499999999999998</v>
      </c>
      <c r="N704">
        <v>0.52</v>
      </c>
    </row>
    <row r="705" spans="1:14" x14ac:dyDescent="0.25">
      <c r="A705" t="s">
        <v>1313</v>
      </c>
      <c r="B705" t="s">
        <v>1314</v>
      </c>
      <c r="C705" s="1" t="str">
        <f>HYPERLINK("http://www.genecards.org/cgi-bin/carddisp.pl?gene=AGFG1","GeneCards")</f>
        <v>GeneCards</v>
      </c>
      <c r="D705" s="1" t="str">
        <f>HYPERLINK("http://genome-euro.ucsc.edu/cgi-bin/hgTracks?position=218091_at","UCSC")</f>
        <v>UCSC</v>
      </c>
      <c r="E705" s="1" t="str">
        <f>HYPERLINK("http://www.ncbi.nlm.nih.gov/gene/?term=AGFG1","NCBI")</f>
        <v>NCBI</v>
      </c>
      <c r="F705">
        <v>9.3999999999999997E-4</v>
      </c>
      <c r="G705">
        <v>2.3E-2</v>
      </c>
      <c r="H705" s="1" t="str">
        <f>HYPERLINK("http://www.weizmann.ac.il/complex/compphys/software/geview/data/figures/218091_at.png","Figure")</f>
        <v>Figure</v>
      </c>
      <c r="I705">
        <v>0.96099999999999997</v>
      </c>
      <c r="J705">
        <v>0.98</v>
      </c>
      <c r="K705">
        <v>0.47</v>
      </c>
      <c r="L705">
        <v>1.9E-3</v>
      </c>
      <c r="M705">
        <v>0.48799999999999999</v>
      </c>
      <c r="N705">
        <v>4.8999999999999998E-3</v>
      </c>
    </row>
    <row r="706" spans="1:14" x14ac:dyDescent="0.25">
      <c r="A706" t="s">
        <v>1315</v>
      </c>
      <c r="B706" t="s">
        <v>1316</v>
      </c>
      <c r="C706" s="1" t="str">
        <f>HYPERLINK("http://www.genecards.org/cgi-bin/carddisp.pl?gene=MPP1","GeneCards")</f>
        <v>GeneCards</v>
      </c>
      <c r="D706" s="1" t="str">
        <f>HYPERLINK("http://genome-euro.ucsc.edu/cgi-bin/hgTracks?position=202974_at","UCSC")</f>
        <v>UCSC</v>
      </c>
      <c r="E706" s="1" t="str">
        <f>HYPERLINK("http://www.ncbi.nlm.nih.gov/gene/?term=MPP1","NCBI")</f>
        <v>NCBI</v>
      </c>
      <c r="F706">
        <v>9.5E-4</v>
      </c>
      <c r="G706">
        <v>2.3E-2</v>
      </c>
      <c r="H706" s="1" t="str">
        <f>HYPERLINK("http://www.weizmann.ac.il/complex/compphys/software/geview/data/figures/202974_at.png","Figure")</f>
        <v>Figure</v>
      </c>
      <c r="I706">
        <v>0.60699999999999998</v>
      </c>
      <c r="J706">
        <v>4.5999999999999999E-2</v>
      </c>
      <c r="K706">
        <v>1.44</v>
      </c>
      <c r="L706">
        <v>9.9000000000000005E-2</v>
      </c>
      <c r="M706">
        <v>2.38</v>
      </c>
      <c r="N706">
        <v>6.8000000000000005E-4</v>
      </c>
    </row>
    <row r="707" spans="1:14" x14ac:dyDescent="0.25">
      <c r="A707" t="s">
        <v>1317</v>
      </c>
      <c r="B707" t="s">
        <v>1318</v>
      </c>
      <c r="C707" s="1" t="str">
        <f>HYPERLINK("http://www.genecards.org/cgi-bin/carddisp.pl?gene=SAPS1","GeneCards")</f>
        <v>GeneCards</v>
      </c>
      <c r="D707" s="1" t="str">
        <f>HYPERLINK("http://genome-euro.ucsc.edu/cgi-bin/hgTracks?position=209229_s_at","UCSC")</f>
        <v>UCSC</v>
      </c>
      <c r="E707" s="1" t="str">
        <f>HYPERLINK("http://www.ncbi.nlm.nih.gov/gene/?term=SAPS1","NCBI")</f>
        <v>NCBI</v>
      </c>
      <c r="F707">
        <v>9.3999999999999997E-4</v>
      </c>
      <c r="G707">
        <v>2.3E-2</v>
      </c>
      <c r="H707" s="1" t="str">
        <f>HYPERLINK("http://www.weizmann.ac.il/complex/compphys/software/geview/data/figures/209229_s_at.png","Figure")</f>
        <v>Figure</v>
      </c>
      <c r="I707">
        <v>1.6</v>
      </c>
      <c r="J707">
        <v>6.8000000000000005E-4</v>
      </c>
      <c r="K707">
        <v>1.2</v>
      </c>
      <c r="L707">
        <v>0.1</v>
      </c>
      <c r="M707">
        <v>0.752</v>
      </c>
      <c r="N707">
        <v>1.6E-2</v>
      </c>
    </row>
    <row r="708" spans="1:14" x14ac:dyDescent="0.25">
      <c r="A708" t="s">
        <v>1319</v>
      </c>
      <c r="B708" t="s">
        <v>1320</v>
      </c>
      <c r="C708" s="1" t="str">
        <f>HYPERLINK("http://www.genecards.org/cgi-bin/carddisp.pl?gene=PROSC","GeneCards")</f>
        <v>GeneCards</v>
      </c>
      <c r="D708" s="1" t="str">
        <f>HYPERLINK("http://genome-euro.ucsc.edu/cgi-bin/hgTracks?position=209385_s_at","UCSC")</f>
        <v>UCSC</v>
      </c>
      <c r="E708" s="1" t="str">
        <f>HYPERLINK("http://www.ncbi.nlm.nih.gov/gene/?term=PROSC","NCBI")</f>
        <v>NCBI</v>
      </c>
      <c r="F708">
        <v>9.5E-4</v>
      </c>
      <c r="G708">
        <v>2.3E-2</v>
      </c>
      <c r="H708" s="1" t="str">
        <f>HYPERLINK("http://www.weizmann.ac.il/complex/compphys/software/geview/data/figures/209385_s_at.png","Figure")</f>
        <v>Figure</v>
      </c>
      <c r="I708">
        <v>0.81299999999999994</v>
      </c>
      <c r="J708">
        <v>0.55000000000000004</v>
      </c>
      <c r="K708">
        <v>1.85</v>
      </c>
      <c r="L708">
        <v>7.7000000000000002E-3</v>
      </c>
      <c r="M708">
        <v>2.2799999999999998</v>
      </c>
      <c r="N708">
        <v>1.4E-3</v>
      </c>
    </row>
    <row r="709" spans="1:14" x14ac:dyDescent="0.25">
      <c r="A709" t="s">
        <v>1321</v>
      </c>
      <c r="B709" t="s">
        <v>1322</v>
      </c>
      <c r="C709" s="1" t="str">
        <f>HYPERLINK("http://www.genecards.org/cgi-bin/carddisp.pl?gene=ADD1","GeneCards")</f>
        <v>GeneCards</v>
      </c>
      <c r="D709" s="1" t="str">
        <f>HYPERLINK("http://genome-euro.ucsc.edu/cgi-bin/hgTracks?position=214736_s_at","UCSC")</f>
        <v>UCSC</v>
      </c>
      <c r="E709" s="1" t="str">
        <f>HYPERLINK("http://www.ncbi.nlm.nih.gov/gene/?term=ADD1","NCBI")</f>
        <v>NCBI</v>
      </c>
      <c r="F709">
        <v>9.5E-4</v>
      </c>
      <c r="G709">
        <v>2.3E-2</v>
      </c>
      <c r="H709" s="1" t="str">
        <f>HYPERLINK("http://www.weizmann.ac.il/complex/compphys/software/geview/data/figures/214736_s_at.png","Figure")</f>
        <v>Figure</v>
      </c>
      <c r="I709">
        <v>1.07</v>
      </c>
      <c r="J709">
        <v>0.79</v>
      </c>
      <c r="K709">
        <v>1.51</v>
      </c>
      <c r="L709">
        <v>1.4E-3</v>
      </c>
      <c r="M709">
        <v>1.41</v>
      </c>
      <c r="N709">
        <v>8.5000000000000006E-3</v>
      </c>
    </row>
    <row r="710" spans="1:14" x14ac:dyDescent="0.25">
      <c r="A710" t="s">
        <v>1323</v>
      </c>
      <c r="B710" t="s">
        <v>1324</v>
      </c>
      <c r="C710" s="1" t="str">
        <f>HYPERLINK("http://www.genecards.org/cgi-bin/carddisp.pl?gene=PTPLA","GeneCards")</f>
        <v>GeneCards</v>
      </c>
      <c r="D710" s="1" t="str">
        <f>HYPERLINK("http://genome-euro.ucsc.edu/cgi-bin/hgTracks?position=219654_at","UCSC")</f>
        <v>UCSC</v>
      </c>
      <c r="E710" s="1" t="str">
        <f>HYPERLINK("http://www.ncbi.nlm.nih.gov/gene/?term=PTPLA","NCBI")</f>
        <v>NCBI</v>
      </c>
      <c r="F710">
        <v>9.5E-4</v>
      </c>
      <c r="G710">
        <v>2.3E-2</v>
      </c>
      <c r="H710" s="1" t="str">
        <f>HYPERLINK("http://www.weizmann.ac.il/complex/compphys/software/geview/data/figures/219654_at.png","Figure")</f>
        <v>Figure</v>
      </c>
      <c r="I710">
        <v>0.434</v>
      </c>
      <c r="J710">
        <v>8.7000000000000001E-4</v>
      </c>
      <c r="K710">
        <v>0.58899999999999997</v>
      </c>
      <c r="L710">
        <v>9.7999999999999997E-3</v>
      </c>
      <c r="M710">
        <v>1.36</v>
      </c>
      <c r="N710">
        <v>0.18</v>
      </c>
    </row>
    <row r="711" spans="1:14" x14ac:dyDescent="0.25">
      <c r="A711" t="s">
        <v>1325</v>
      </c>
      <c r="B711" t="s">
        <v>1326</v>
      </c>
      <c r="C711" s="1" t="str">
        <f>HYPERLINK("http://www.genecards.org/cgi-bin/carddisp.pl?gene=CSH2","GeneCards")</f>
        <v>GeneCards</v>
      </c>
      <c r="D711" s="1" t="str">
        <f>HYPERLINK("http://genome-euro.ucsc.edu/cgi-bin/hgTracks?position=208342_x_at","UCSC")</f>
        <v>UCSC</v>
      </c>
      <c r="E711" s="1" t="str">
        <f>HYPERLINK("http://www.ncbi.nlm.nih.gov/gene/?term=CSH2","NCBI")</f>
        <v>NCBI</v>
      </c>
      <c r="F711">
        <v>9.5E-4</v>
      </c>
      <c r="G711">
        <v>2.3E-2</v>
      </c>
      <c r="H711" s="1" t="str">
        <f>HYPERLINK("http://www.weizmann.ac.il/complex/compphys/software/geview/data/figures/208342_x_at.png","Figure")</f>
        <v>Figure</v>
      </c>
      <c r="I711">
        <v>1.1299999999999999</v>
      </c>
      <c r="J711">
        <v>2.2000000000000001E-3</v>
      </c>
      <c r="K711">
        <v>1.1100000000000001</v>
      </c>
      <c r="L711">
        <v>2.2000000000000001E-3</v>
      </c>
      <c r="M711">
        <v>0.98499999999999999</v>
      </c>
      <c r="N711">
        <v>0.83</v>
      </c>
    </row>
    <row r="712" spans="1:14" x14ac:dyDescent="0.25">
      <c r="A712" t="s">
        <v>1327</v>
      </c>
      <c r="B712" t="s">
        <v>1328</v>
      </c>
      <c r="C712" s="1" t="str">
        <f>HYPERLINK("http://www.genecards.org/cgi-bin/carddisp.pl?gene=SNRPE","GeneCards")</f>
        <v>GeneCards</v>
      </c>
      <c r="D712" s="1" t="str">
        <f>HYPERLINK("http://genome-euro.ucsc.edu/cgi-bin/hgTracks?position=203316_s_at","UCSC")</f>
        <v>UCSC</v>
      </c>
      <c r="E712" s="1" t="str">
        <f>HYPERLINK("http://www.ncbi.nlm.nih.gov/gene/?term=SNRPE","NCBI")</f>
        <v>NCBI</v>
      </c>
      <c r="F712">
        <v>9.5E-4</v>
      </c>
      <c r="G712">
        <v>2.3E-2</v>
      </c>
      <c r="H712" s="1" t="str">
        <f>HYPERLINK("http://www.weizmann.ac.il/complex/compphys/software/geview/data/figures/203316_s_at.png","Figure")</f>
        <v>Figure</v>
      </c>
      <c r="I712">
        <v>1.9</v>
      </c>
      <c r="J712">
        <v>6.4000000000000003E-3</v>
      </c>
      <c r="K712">
        <v>2.04</v>
      </c>
      <c r="L712">
        <v>1E-3</v>
      </c>
      <c r="M712">
        <v>1.07</v>
      </c>
      <c r="N712">
        <v>0.91</v>
      </c>
    </row>
    <row r="713" spans="1:14" x14ac:dyDescent="0.25">
      <c r="A713" t="s">
        <v>1329</v>
      </c>
      <c r="B713" t="s">
        <v>1330</v>
      </c>
      <c r="C713" s="1" t="str">
        <f>HYPERLINK("http://www.genecards.org/cgi-bin/carddisp.pl?gene=PRKAA1","GeneCards")</f>
        <v>GeneCards</v>
      </c>
      <c r="D713" s="1" t="str">
        <f>HYPERLINK("http://genome-euro.ucsc.edu/cgi-bin/hgTracks?position=209799_at","UCSC")</f>
        <v>UCSC</v>
      </c>
      <c r="E713" s="1" t="str">
        <f>HYPERLINK("http://www.ncbi.nlm.nih.gov/gene/?term=PRKAA1","NCBI")</f>
        <v>NCBI</v>
      </c>
      <c r="F713">
        <v>9.5E-4</v>
      </c>
      <c r="G713">
        <v>2.3E-2</v>
      </c>
      <c r="H713" s="1" t="str">
        <f>HYPERLINK("http://www.weizmann.ac.il/complex/compphys/software/geview/data/figures/209799_at.png","Figure")</f>
        <v>Figure</v>
      </c>
      <c r="I713">
        <v>0.748</v>
      </c>
      <c r="J713">
        <v>0.48</v>
      </c>
      <c r="K713">
        <v>0.36099999999999999</v>
      </c>
      <c r="L713">
        <v>9.7999999999999997E-4</v>
      </c>
      <c r="M713">
        <v>0.48199999999999998</v>
      </c>
      <c r="N713">
        <v>1.7999999999999999E-2</v>
      </c>
    </row>
    <row r="714" spans="1:14" x14ac:dyDescent="0.25">
      <c r="A714" t="s">
        <v>1331</v>
      </c>
      <c r="B714" t="s">
        <v>496</v>
      </c>
      <c r="C714" s="1" t="str">
        <f>HYPERLINK("http://www.genecards.org/cgi-bin/carddisp.pl?gene=HEATR1","GeneCards")</f>
        <v>GeneCards</v>
      </c>
      <c r="D714" s="1" t="str">
        <f>HYPERLINK("http://genome-euro.ucsc.edu/cgi-bin/hgTracks?position=218595_s_at","UCSC")</f>
        <v>UCSC</v>
      </c>
      <c r="E714" s="1" t="str">
        <f>HYPERLINK("http://www.ncbi.nlm.nih.gov/gene/?term=HEATR1","NCBI")</f>
        <v>NCBI</v>
      </c>
      <c r="F714">
        <v>9.5E-4</v>
      </c>
      <c r="G714">
        <v>2.3E-2</v>
      </c>
      <c r="H714" s="1" t="str">
        <f>HYPERLINK("http://www.weizmann.ac.il/complex/compphys/software/geview/data/figures/218595_s_at.png","Figure")</f>
        <v>Figure</v>
      </c>
      <c r="I714">
        <v>1.55</v>
      </c>
      <c r="J714">
        <v>9.3999999999999997E-4</v>
      </c>
      <c r="K714">
        <v>1.33</v>
      </c>
      <c r="L714">
        <v>8.3000000000000001E-3</v>
      </c>
      <c r="M714">
        <v>0.86</v>
      </c>
      <c r="N714">
        <v>0.22</v>
      </c>
    </row>
    <row r="715" spans="1:14" x14ac:dyDescent="0.25">
      <c r="A715" t="s">
        <v>1332</v>
      </c>
      <c r="B715" t="s">
        <v>1333</v>
      </c>
      <c r="C715" s="1" t="str">
        <f>HYPERLINK("http://www.genecards.org/cgi-bin/carddisp.pl?gene=CLEC11A","GeneCards")</f>
        <v>GeneCards</v>
      </c>
      <c r="D715" s="1" t="str">
        <f>HYPERLINK("http://genome-euro.ucsc.edu/cgi-bin/hgTracks?position=210783_x_at","UCSC")</f>
        <v>UCSC</v>
      </c>
      <c r="E715" s="1" t="str">
        <f>HYPERLINK("http://www.ncbi.nlm.nih.gov/gene/?term=CLEC11A","NCBI")</f>
        <v>NCBI</v>
      </c>
      <c r="F715">
        <v>9.7000000000000005E-4</v>
      </c>
      <c r="G715">
        <v>2.3E-2</v>
      </c>
      <c r="H715" s="1" t="str">
        <f>HYPERLINK("http://www.weizmann.ac.il/complex/compphys/software/geview/data/figures/210783_x_at.png","Figure")</f>
        <v>Figure</v>
      </c>
      <c r="I715">
        <v>2.04</v>
      </c>
      <c r="J715">
        <v>8.8000000000000005E-3</v>
      </c>
      <c r="K715">
        <v>2.31</v>
      </c>
      <c r="L715">
        <v>9.3000000000000005E-4</v>
      </c>
      <c r="M715">
        <v>1.1299999999999999</v>
      </c>
      <c r="N715">
        <v>0.79</v>
      </c>
    </row>
    <row r="716" spans="1:14" x14ac:dyDescent="0.25">
      <c r="A716" t="s">
        <v>1334</v>
      </c>
      <c r="B716" t="s">
        <v>1335</v>
      </c>
      <c r="C716" s="1" t="str">
        <f>HYPERLINK("http://www.genecards.org/cgi-bin/carddisp.pl?gene=GABARAPL1 /// GABARAPL3","GeneCards")</f>
        <v>GeneCards</v>
      </c>
      <c r="D716" s="1" t="str">
        <f>HYPERLINK("http://genome-euro.ucsc.edu/cgi-bin/hgTracks?position=211458_s_at","UCSC")</f>
        <v>UCSC</v>
      </c>
      <c r="E716" s="1" t="str">
        <f>HYPERLINK("http://www.ncbi.nlm.nih.gov/gene/?term=GABARAPL1 /// GABARAPL3","NCBI")</f>
        <v>NCBI</v>
      </c>
      <c r="F716">
        <v>9.6000000000000002E-4</v>
      </c>
      <c r="G716">
        <v>2.3E-2</v>
      </c>
      <c r="H716" s="1" t="str">
        <f>HYPERLINK("http://www.weizmann.ac.il/complex/compphys/software/geview/data/figures/211458_s_at.png","Figure")</f>
        <v>Figure</v>
      </c>
      <c r="I716">
        <v>0.29199999999999998</v>
      </c>
      <c r="J716">
        <v>1.0999999999999999E-2</v>
      </c>
      <c r="K716">
        <v>0.22</v>
      </c>
      <c r="L716">
        <v>8.5999999999999998E-4</v>
      </c>
      <c r="M716">
        <v>0.755</v>
      </c>
      <c r="N716">
        <v>0.68</v>
      </c>
    </row>
    <row r="717" spans="1:14" x14ac:dyDescent="0.25">
      <c r="A717" t="s">
        <v>1336</v>
      </c>
      <c r="B717" t="s">
        <v>1337</v>
      </c>
      <c r="C717" s="1" t="str">
        <f>HYPERLINK("http://www.genecards.org/cgi-bin/carddisp.pl?gene=KIAA0090","GeneCards")</f>
        <v>GeneCards</v>
      </c>
      <c r="D717" s="1" t="str">
        <f>HYPERLINK("http://genome-euro.ucsc.edu/cgi-bin/hgTracks?position=212394_at","UCSC")</f>
        <v>UCSC</v>
      </c>
      <c r="E717" s="1" t="str">
        <f>HYPERLINK("http://www.ncbi.nlm.nih.gov/gene/?term=KIAA0090","NCBI")</f>
        <v>NCBI</v>
      </c>
      <c r="F717">
        <v>9.7000000000000005E-4</v>
      </c>
      <c r="G717">
        <v>2.3E-2</v>
      </c>
      <c r="H717" s="1" t="str">
        <f>HYPERLINK("http://www.weizmann.ac.il/complex/compphys/software/geview/data/figures/212394_at.png","Figure")</f>
        <v>Figure</v>
      </c>
      <c r="I717">
        <v>0.91800000000000004</v>
      </c>
      <c r="J717">
        <v>0.19</v>
      </c>
      <c r="K717">
        <v>1.1299999999999999</v>
      </c>
      <c r="L717">
        <v>2.4E-2</v>
      </c>
      <c r="M717">
        <v>1.23</v>
      </c>
      <c r="N717">
        <v>9.1E-4</v>
      </c>
    </row>
    <row r="718" spans="1:14" x14ac:dyDescent="0.25">
      <c r="A718" t="s">
        <v>1338</v>
      </c>
      <c r="B718" t="s">
        <v>1339</v>
      </c>
      <c r="C718" s="1" t="str">
        <f>HYPERLINK("http://www.genecards.org/cgi-bin/carddisp.pl?gene=PTPLB","GeneCards")</f>
        <v>GeneCards</v>
      </c>
      <c r="D718" s="1" t="str">
        <f>HYPERLINK("http://genome-euro.ucsc.edu/cgi-bin/hgTracks?position=212640_at","UCSC")</f>
        <v>UCSC</v>
      </c>
      <c r="E718" s="1" t="str">
        <f>HYPERLINK("http://www.ncbi.nlm.nih.gov/gene/?term=PTPLB","NCBI")</f>
        <v>NCBI</v>
      </c>
      <c r="F718">
        <v>9.7000000000000005E-4</v>
      </c>
      <c r="G718">
        <v>2.3E-2</v>
      </c>
      <c r="H718" s="1" t="str">
        <f>HYPERLINK("http://www.weizmann.ac.il/complex/compphys/software/geview/data/figures/212640_at.png","Figure")</f>
        <v>Figure</v>
      </c>
      <c r="I718">
        <v>0.57199999999999995</v>
      </c>
      <c r="J718">
        <v>4.1000000000000002E-2</v>
      </c>
      <c r="K718">
        <v>1.47</v>
      </c>
      <c r="L718">
        <v>0.11</v>
      </c>
      <c r="M718">
        <v>2.58</v>
      </c>
      <c r="N718">
        <v>6.8999999999999997E-4</v>
      </c>
    </row>
    <row r="719" spans="1:14" x14ac:dyDescent="0.25">
      <c r="A719" t="s">
        <v>1340</v>
      </c>
      <c r="B719" t="s">
        <v>1341</v>
      </c>
      <c r="C719" s="1" t="str">
        <f>HYPERLINK("http://www.genecards.org/cgi-bin/carddisp.pl?gene=ABHD3","GeneCards")</f>
        <v>GeneCards</v>
      </c>
      <c r="D719" s="1" t="str">
        <f>HYPERLINK("http://genome-euro.ucsc.edu/cgi-bin/hgTracks?position=213017_at","UCSC")</f>
        <v>UCSC</v>
      </c>
      <c r="E719" s="1" t="str">
        <f>HYPERLINK("http://www.ncbi.nlm.nih.gov/gene/?term=ABHD3","NCBI")</f>
        <v>NCBI</v>
      </c>
      <c r="F719">
        <v>9.7000000000000005E-4</v>
      </c>
      <c r="G719">
        <v>2.3E-2</v>
      </c>
      <c r="H719" s="1" t="str">
        <f>HYPERLINK("http://www.weizmann.ac.il/complex/compphys/software/geview/data/figures/213017_at.png","Figure")</f>
        <v>Figure</v>
      </c>
      <c r="I719">
        <v>0.94199999999999995</v>
      </c>
      <c r="J719">
        <v>0.96</v>
      </c>
      <c r="K719">
        <v>0.43</v>
      </c>
      <c r="L719">
        <v>1.9E-3</v>
      </c>
      <c r="M719">
        <v>0.45600000000000002</v>
      </c>
      <c r="N719">
        <v>5.4000000000000003E-3</v>
      </c>
    </row>
    <row r="720" spans="1:14" x14ac:dyDescent="0.25">
      <c r="A720" t="s">
        <v>1342</v>
      </c>
      <c r="B720" t="s">
        <v>1343</v>
      </c>
      <c r="C720" s="1" t="str">
        <f>HYPERLINK("http://www.genecards.org/cgi-bin/carddisp.pl?gene=ZNF394","GeneCards")</f>
        <v>GeneCards</v>
      </c>
      <c r="D720" s="1" t="str">
        <f>HYPERLINK("http://genome-euro.ucsc.edu/cgi-bin/hgTracks?position=214714_at","UCSC")</f>
        <v>UCSC</v>
      </c>
      <c r="E720" s="1" t="str">
        <f>HYPERLINK("http://www.ncbi.nlm.nih.gov/gene/?term=ZNF394","NCBI")</f>
        <v>NCBI</v>
      </c>
      <c r="F720">
        <v>9.7000000000000005E-4</v>
      </c>
      <c r="G720">
        <v>2.3E-2</v>
      </c>
      <c r="H720" s="1" t="str">
        <f>HYPERLINK("http://www.weizmann.ac.il/complex/compphys/software/geview/data/figures/214714_at.png","Figure")</f>
        <v>Figure</v>
      </c>
      <c r="I720">
        <v>0.71199999999999997</v>
      </c>
      <c r="J720">
        <v>0.28999999999999998</v>
      </c>
      <c r="K720">
        <v>0.39800000000000002</v>
      </c>
      <c r="L720">
        <v>8.4000000000000003E-4</v>
      </c>
      <c r="M720">
        <v>0.55900000000000005</v>
      </c>
      <c r="N720">
        <v>3.3000000000000002E-2</v>
      </c>
    </row>
    <row r="721" spans="1:14" x14ac:dyDescent="0.25">
      <c r="A721" t="s">
        <v>1344</v>
      </c>
      <c r="B721" t="s">
        <v>1345</v>
      </c>
      <c r="C721" s="1" t="str">
        <f>HYPERLINK("http://www.genecards.org/cgi-bin/carddisp.pl?gene=NOTCH1","GeneCards")</f>
        <v>GeneCards</v>
      </c>
      <c r="D721" s="1" t="str">
        <f>HYPERLINK("http://genome-euro.ucsc.edu/cgi-bin/hgTracks?position=218902_at","UCSC")</f>
        <v>UCSC</v>
      </c>
      <c r="E721" s="1" t="str">
        <f>HYPERLINK("http://www.ncbi.nlm.nih.gov/gene/?term=NOTCH1","NCBI")</f>
        <v>NCBI</v>
      </c>
      <c r="F721">
        <v>9.7000000000000005E-4</v>
      </c>
      <c r="G721">
        <v>2.3E-2</v>
      </c>
      <c r="H721" s="1" t="str">
        <f>HYPERLINK("http://www.weizmann.ac.il/complex/compphys/software/geview/data/figures/218902_at.png","Figure")</f>
        <v>Figure</v>
      </c>
      <c r="I721">
        <v>1.24</v>
      </c>
      <c r="J721">
        <v>0.25</v>
      </c>
      <c r="K721">
        <v>0.70499999999999996</v>
      </c>
      <c r="L721">
        <v>1.9E-2</v>
      </c>
      <c r="M721">
        <v>0.57099999999999995</v>
      </c>
      <c r="N721">
        <v>9.8999999999999999E-4</v>
      </c>
    </row>
    <row r="722" spans="1:14" x14ac:dyDescent="0.25">
      <c r="A722" t="s">
        <v>1346</v>
      </c>
      <c r="B722" t="s">
        <v>1347</v>
      </c>
      <c r="C722" s="1" t="str">
        <f>HYPERLINK("http://www.genecards.org/cgi-bin/carddisp.pl?gene=SDHA","GeneCards")</f>
        <v>GeneCards</v>
      </c>
      <c r="D722" s="1" t="str">
        <f>HYPERLINK("http://genome-euro.ucsc.edu/cgi-bin/hgTracks?position=201093_x_at","UCSC")</f>
        <v>UCSC</v>
      </c>
      <c r="E722" s="1" t="str">
        <f>HYPERLINK("http://www.ncbi.nlm.nih.gov/gene/?term=SDHA","NCBI")</f>
        <v>NCBI</v>
      </c>
      <c r="F722">
        <v>9.7999999999999997E-4</v>
      </c>
      <c r="G722">
        <v>2.3E-2</v>
      </c>
      <c r="H722" s="1" t="str">
        <f>HYPERLINK("http://www.weizmann.ac.il/complex/compphys/software/geview/data/figures/201093_x_at.png","Figure")</f>
        <v>Figure</v>
      </c>
      <c r="I722">
        <v>1.62</v>
      </c>
      <c r="J722">
        <v>5.1000000000000004E-3</v>
      </c>
      <c r="K722">
        <v>1.66</v>
      </c>
      <c r="L722">
        <v>1.1999999999999999E-3</v>
      </c>
      <c r="M722">
        <v>1.03</v>
      </c>
      <c r="N722">
        <v>0.97</v>
      </c>
    </row>
    <row r="723" spans="1:14" x14ac:dyDescent="0.25">
      <c r="A723" t="s">
        <v>1348</v>
      </c>
      <c r="B723" t="s">
        <v>1349</v>
      </c>
      <c r="C723" s="1" t="str">
        <f>HYPERLINK("http://www.genecards.org/cgi-bin/carddisp.pl?gene=TNK2","GeneCards")</f>
        <v>GeneCards</v>
      </c>
      <c r="D723" s="1" t="str">
        <f>HYPERLINK("http://genome-euro.ucsc.edu/cgi-bin/hgTracks?position=203839_s_at","UCSC")</f>
        <v>UCSC</v>
      </c>
      <c r="E723" s="1" t="str">
        <f>HYPERLINK("http://www.ncbi.nlm.nih.gov/gene/?term=TNK2","NCBI")</f>
        <v>NCBI</v>
      </c>
      <c r="F723">
        <v>9.7999999999999997E-4</v>
      </c>
      <c r="G723">
        <v>2.3E-2</v>
      </c>
      <c r="H723" s="1" t="str">
        <f>HYPERLINK("http://www.weizmann.ac.il/complex/compphys/software/geview/data/figures/203839_s_at.png","Figure")</f>
        <v>Figure</v>
      </c>
      <c r="I723">
        <v>2.21</v>
      </c>
      <c r="J723">
        <v>3.5999999999999999E-3</v>
      </c>
      <c r="K723">
        <v>2.1800000000000002</v>
      </c>
      <c r="L723">
        <v>1.5E-3</v>
      </c>
      <c r="M723">
        <v>0.98399999999999999</v>
      </c>
      <c r="N723">
        <v>1</v>
      </c>
    </row>
    <row r="724" spans="1:14" x14ac:dyDescent="0.25">
      <c r="A724" t="s">
        <v>1350</v>
      </c>
      <c r="B724" t="s">
        <v>1351</v>
      </c>
      <c r="C724" s="1" t="str">
        <f>HYPERLINK("http://www.genecards.org/cgi-bin/carddisp.pl?gene=ME3","GeneCards")</f>
        <v>GeneCards</v>
      </c>
      <c r="D724" s="1" t="str">
        <f>HYPERLINK("http://genome-euro.ucsc.edu/cgi-bin/hgTracks?position=204663_at","UCSC")</f>
        <v>UCSC</v>
      </c>
      <c r="E724" s="1" t="str">
        <f>HYPERLINK("http://www.ncbi.nlm.nih.gov/gene/?term=ME3","NCBI")</f>
        <v>NCBI</v>
      </c>
      <c r="F724">
        <v>9.7999999999999997E-4</v>
      </c>
      <c r="G724">
        <v>2.3E-2</v>
      </c>
      <c r="H724" s="1" t="str">
        <f>HYPERLINK("http://www.weizmann.ac.il/complex/compphys/software/geview/data/figures/204663_at.png","Figure")</f>
        <v>Figure</v>
      </c>
      <c r="I724">
        <v>1.39</v>
      </c>
      <c r="J724">
        <v>0.18</v>
      </c>
      <c r="K724">
        <v>2.12</v>
      </c>
      <c r="L724">
        <v>7.5000000000000002E-4</v>
      </c>
      <c r="M724">
        <v>1.52</v>
      </c>
      <c r="N724">
        <v>5.7000000000000002E-2</v>
      </c>
    </row>
    <row r="725" spans="1:14" x14ac:dyDescent="0.25">
      <c r="A725" t="s">
        <v>1352</v>
      </c>
      <c r="B725" t="s">
        <v>1353</v>
      </c>
      <c r="C725" s="1" t="str">
        <f>HYPERLINK("http://www.genecards.org/cgi-bin/carddisp.pl?gene=ERCC6L","GeneCards")</f>
        <v>GeneCards</v>
      </c>
      <c r="D725" s="1" t="str">
        <f>HYPERLINK("http://genome-euro.ucsc.edu/cgi-bin/hgTracks?position=219650_at","UCSC")</f>
        <v>UCSC</v>
      </c>
      <c r="E725" s="1" t="str">
        <f>HYPERLINK("http://www.ncbi.nlm.nih.gov/gene/?term=ERCC6L","NCBI")</f>
        <v>NCBI</v>
      </c>
      <c r="F725">
        <v>9.7999999999999997E-4</v>
      </c>
      <c r="G725">
        <v>2.3E-2</v>
      </c>
      <c r="H725" s="1" t="str">
        <f>HYPERLINK("http://www.weizmann.ac.il/complex/compphys/software/geview/data/figures/219650_at.png","Figure")</f>
        <v>Figure</v>
      </c>
      <c r="I725">
        <v>0.88</v>
      </c>
      <c r="J725">
        <v>2.3999999999999998E-3</v>
      </c>
      <c r="K725">
        <v>1</v>
      </c>
      <c r="L725">
        <v>1</v>
      </c>
      <c r="M725">
        <v>1.1399999999999999</v>
      </c>
      <c r="N725">
        <v>1.4E-3</v>
      </c>
    </row>
    <row r="726" spans="1:14" x14ac:dyDescent="0.25">
      <c r="A726" t="s">
        <v>1354</v>
      </c>
      <c r="B726" t="s">
        <v>1355</v>
      </c>
      <c r="C726" s="1" t="str">
        <f>HYPERLINK("http://www.genecards.org/cgi-bin/carddisp.pl?gene=PSMA7","GeneCards")</f>
        <v>GeneCards</v>
      </c>
      <c r="D726" s="1" t="str">
        <f>HYPERLINK("http://genome-euro.ucsc.edu/cgi-bin/hgTracks?position=201114_x_at","UCSC")</f>
        <v>UCSC</v>
      </c>
      <c r="E726" s="1" t="str">
        <f>HYPERLINK("http://www.ncbi.nlm.nih.gov/gene/?term=PSMA7","NCBI")</f>
        <v>NCBI</v>
      </c>
      <c r="F726">
        <v>9.8999999999999999E-4</v>
      </c>
      <c r="G726">
        <v>2.3E-2</v>
      </c>
      <c r="H726" s="1" t="str">
        <f>HYPERLINK("http://www.weizmann.ac.il/complex/compphys/software/geview/data/figures/201114_x_at.png","Figure")</f>
        <v>Figure</v>
      </c>
      <c r="I726">
        <v>1.4</v>
      </c>
      <c r="J726">
        <v>0.08</v>
      </c>
      <c r="K726">
        <v>1.84</v>
      </c>
      <c r="L726">
        <v>6.9999999999999999E-4</v>
      </c>
      <c r="M726">
        <v>1.32</v>
      </c>
      <c r="N726">
        <v>0.13</v>
      </c>
    </row>
    <row r="727" spans="1:14" x14ac:dyDescent="0.25">
      <c r="A727" t="s">
        <v>1356</v>
      </c>
      <c r="B727" t="s">
        <v>1357</v>
      </c>
      <c r="C727" s="1" t="str">
        <f>HYPERLINK("http://www.genecards.org/cgi-bin/carddisp.pl?gene=MYO10","GeneCards")</f>
        <v>GeneCards</v>
      </c>
      <c r="D727" s="1" t="str">
        <f>HYPERLINK("http://genome-euro.ucsc.edu/cgi-bin/hgTracks?position=201976_s_at","UCSC")</f>
        <v>UCSC</v>
      </c>
      <c r="E727" s="1" t="str">
        <f>HYPERLINK("http://www.ncbi.nlm.nih.gov/gene/?term=MYO10","NCBI")</f>
        <v>NCBI</v>
      </c>
      <c r="F727">
        <v>9.8999999999999999E-4</v>
      </c>
      <c r="G727">
        <v>2.3E-2</v>
      </c>
      <c r="H727" s="1" t="str">
        <f>HYPERLINK("http://www.weizmann.ac.il/complex/compphys/software/geview/data/figures/201976_s_at.png","Figure")</f>
        <v>Figure</v>
      </c>
      <c r="I727">
        <v>0.72099999999999997</v>
      </c>
      <c r="J727">
        <v>0.67</v>
      </c>
      <c r="K727">
        <v>0.214</v>
      </c>
      <c r="L727">
        <v>1.1999999999999999E-3</v>
      </c>
      <c r="M727">
        <v>0.29699999999999999</v>
      </c>
      <c r="N727">
        <v>1.2E-2</v>
      </c>
    </row>
    <row r="728" spans="1:14" x14ac:dyDescent="0.25">
      <c r="A728" t="s">
        <v>1358</v>
      </c>
      <c r="B728" t="s">
        <v>1359</v>
      </c>
      <c r="C728" s="1" t="str">
        <f>HYPERLINK("http://www.genecards.org/cgi-bin/carddisp.pl?gene=ENOSF1","GeneCards")</f>
        <v>GeneCards</v>
      </c>
      <c r="D728" s="1" t="str">
        <f>HYPERLINK("http://genome-euro.ucsc.edu/cgi-bin/hgTracks?position=213645_at","UCSC")</f>
        <v>UCSC</v>
      </c>
      <c r="E728" s="1" t="str">
        <f>HYPERLINK("http://www.ncbi.nlm.nih.gov/gene/?term=ENOSF1","NCBI")</f>
        <v>NCBI</v>
      </c>
      <c r="F728">
        <v>9.8999999999999999E-4</v>
      </c>
      <c r="G728">
        <v>2.3E-2</v>
      </c>
      <c r="H728" s="1" t="str">
        <f>HYPERLINK("http://www.weizmann.ac.il/complex/compphys/software/geview/data/figures/213645_at.png","Figure")</f>
        <v>Figure</v>
      </c>
      <c r="I728">
        <v>0.73699999999999999</v>
      </c>
      <c r="J728">
        <v>5.7000000000000002E-2</v>
      </c>
      <c r="K728">
        <v>0.59699999999999998</v>
      </c>
      <c r="L728">
        <v>6.9999999999999999E-4</v>
      </c>
      <c r="M728">
        <v>0.81</v>
      </c>
      <c r="N728">
        <v>0.18</v>
      </c>
    </row>
    <row r="729" spans="1:14" x14ac:dyDescent="0.25">
      <c r="A729" t="s">
        <v>1360</v>
      </c>
      <c r="B729" t="s">
        <v>1361</v>
      </c>
      <c r="C729" s="1" t="str">
        <f>HYPERLINK("http://www.genecards.org/cgi-bin/carddisp.pl?gene=C16orf67","GeneCards")</f>
        <v>GeneCards</v>
      </c>
      <c r="D729" s="1" t="str">
        <f>HYPERLINK("http://genome-euro.ucsc.edu/cgi-bin/hgTracks?position=219442_at","UCSC")</f>
        <v>UCSC</v>
      </c>
      <c r="E729" s="1" t="str">
        <f>HYPERLINK("http://www.ncbi.nlm.nih.gov/gene/?term=C16orf67","NCBI")</f>
        <v>NCBI</v>
      </c>
      <c r="F729">
        <v>9.7999999999999997E-4</v>
      </c>
      <c r="G729">
        <v>2.3E-2</v>
      </c>
      <c r="H729" s="1" t="str">
        <f>HYPERLINK("http://www.weizmann.ac.il/complex/compphys/software/geview/data/figures/219442_at.png","Figure")</f>
        <v>Figure</v>
      </c>
      <c r="I729">
        <v>1</v>
      </c>
      <c r="J729">
        <v>1</v>
      </c>
      <c r="K729">
        <v>0.71399999999999997</v>
      </c>
      <c r="L729">
        <v>2.3999999999999998E-3</v>
      </c>
      <c r="M729">
        <v>0.71299999999999997</v>
      </c>
      <c r="N729">
        <v>4.0000000000000001E-3</v>
      </c>
    </row>
    <row r="730" spans="1:14" x14ac:dyDescent="0.25">
      <c r="A730" t="s">
        <v>1362</v>
      </c>
      <c r="B730" t="s">
        <v>796</v>
      </c>
      <c r="C730" s="1" t="str">
        <f>HYPERLINK("http://www.genecards.org/cgi-bin/carddisp.pl?gene=GM2A","GeneCards")</f>
        <v>GeneCards</v>
      </c>
      <c r="D730" s="1" t="str">
        <f>HYPERLINK("http://genome-euro.ucsc.edu/cgi-bin/hgTracks?position=35820_at","UCSC")</f>
        <v>UCSC</v>
      </c>
      <c r="E730" s="1" t="str">
        <f>HYPERLINK("http://www.ncbi.nlm.nih.gov/gene/?term=GM2A","NCBI")</f>
        <v>NCBI</v>
      </c>
      <c r="F730">
        <v>9.8999999999999999E-4</v>
      </c>
      <c r="G730">
        <v>2.3E-2</v>
      </c>
      <c r="H730" s="1" t="str">
        <f>HYPERLINK("http://www.weizmann.ac.il/complex/compphys/software/geview/data/figures/35820_at.png","Figure")</f>
        <v>Figure</v>
      </c>
      <c r="I730">
        <v>1.31</v>
      </c>
      <c r="J730">
        <v>4.4999999999999997E-3</v>
      </c>
      <c r="K730">
        <v>1.31</v>
      </c>
      <c r="L730">
        <v>1.2999999999999999E-3</v>
      </c>
      <c r="M730">
        <v>1.01</v>
      </c>
      <c r="N730">
        <v>1</v>
      </c>
    </row>
    <row r="731" spans="1:14" x14ac:dyDescent="0.25">
      <c r="A731" t="s">
        <v>1363</v>
      </c>
      <c r="B731" t="s">
        <v>1364</v>
      </c>
      <c r="C731" s="1" t="str">
        <f>HYPERLINK("http://www.genecards.org/cgi-bin/carddisp.pl?gene=BACH1","GeneCards")</f>
        <v>GeneCards</v>
      </c>
      <c r="D731" s="1" t="str">
        <f>HYPERLINK("http://genome-euro.ucsc.edu/cgi-bin/hgTracks?position=204194_at","UCSC")</f>
        <v>UCSC</v>
      </c>
      <c r="E731" s="1" t="str">
        <f>HYPERLINK("http://www.ncbi.nlm.nih.gov/gene/?term=BACH1","NCBI")</f>
        <v>NCBI</v>
      </c>
      <c r="F731">
        <v>9.8999999999999999E-4</v>
      </c>
      <c r="G731">
        <v>2.3E-2</v>
      </c>
      <c r="H731" s="1" t="str">
        <f>HYPERLINK("http://www.weizmann.ac.il/complex/compphys/software/geview/data/figures/204194_at.png","Figure")</f>
        <v>Figure</v>
      </c>
      <c r="I731">
        <v>0.38700000000000001</v>
      </c>
      <c r="J731">
        <v>7.1000000000000004E-3</v>
      </c>
      <c r="K731">
        <v>0.34599999999999997</v>
      </c>
      <c r="L731">
        <v>1.1000000000000001E-3</v>
      </c>
      <c r="M731">
        <v>0.89300000000000002</v>
      </c>
      <c r="N731">
        <v>0.89</v>
      </c>
    </row>
    <row r="732" spans="1:14" x14ac:dyDescent="0.25">
      <c r="A732" t="s">
        <v>1365</v>
      </c>
      <c r="B732" t="s">
        <v>1155</v>
      </c>
      <c r="C732" s="1" t="str">
        <f>HYPERLINK("http://www.genecards.org/cgi-bin/carddisp.pl?gene=AKAP1","GeneCards")</f>
        <v>GeneCards</v>
      </c>
      <c r="D732" s="1" t="str">
        <f>HYPERLINK("http://genome-euro.ucsc.edu/cgi-bin/hgTracks?position=201674_s_at","UCSC")</f>
        <v>UCSC</v>
      </c>
      <c r="E732" s="1" t="str">
        <f>HYPERLINK("http://www.ncbi.nlm.nih.gov/gene/?term=AKAP1","NCBI")</f>
        <v>NCBI</v>
      </c>
      <c r="F732">
        <v>1E-3</v>
      </c>
      <c r="G732">
        <v>2.3E-2</v>
      </c>
      <c r="H732" s="1" t="str">
        <f>HYPERLINK("http://www.weizmann.ac.il/complex/compphys/software/geview/data/figures/201674_s_at.png","Figure")</f>
        <v>Figure</v>
      </c>
      <c r="I732">
        <v>1.04</v>
      </c>
      <c r="J732">
        <v>0.96</v>
      </c>
      <c r="K732">
        <v>1.84</v>
      </c>
      <c r="L732">
        <v>1.9E-3</v>
      </c>
      <c r="M732">
        <v>1.77</v>
      </c>
      <c r="N732">
        <v>5.4999999999999997E-3</v>
      </c>
    </row>
    <row r="733" spans="1:14" x14ac:dyDescent="0.25">
      <c r="A733" t="s">
        <v>1366</v>
      </c>
      <c r="B733" t="s">
        <v>1367</v>
      </c>
      <c r="C733" s="1" t="str">
        <f>HYPERLINK("http://www.genecards.org/cgi-bin/carddisp.pl?gene=GNPAT","GeneCards")</f>
        <v>GeneCards</v>
      </c>
      <c r="D733" s="1" t="str">
        <f>HYPERLINK("http://genome-euro.ucsc.edu/cgi-bin/hgTracks?position=201956_s_at","UCSC")</f>
        <v>UCSC</v>
      </c>
      <c r="E733" s="1" t="str">
        <f>HYPERLINK("http://www.ncbi.nlm.nih.gov/gene/?term=GNPAT","NCBI")</f>
        <v>NCBI</v>
      </c>
      <c r="F733">
        <v>1E-3</v>
      </c>
      <c r="G733">
        <v>2.3E-2</v>
      </c>
      <c r="H733" s="1" t="str">
        <f>HYPERLINK("http://www.weizmann.ac.il/complex/compphys/software/geview/data/figures/201956_s_at.png","Figure")</f>
        <v>Figure</v>
      </c>
      <c r="I733">
        <v>1.72</v>
      </c>
      <c r="J733">
        <v>7.5999999999999998E-2</v>
      </c>
      <c r="K733">
        <v>2.65</v>
      </c>
      <c r="L733">
        <v>7.1000000000000002E-4</v>
      </c>
      <c r="M733">
        <v>1.54</v>
      </c>
      <c r="N733">
        <v>0.14000000000000001</v>
      </c>
    </row>
    <row r="734" spans="1:14" x14ac:dyDescent="0.25">
      <c r="A734" t="s">
        <v>1368</v>
      </c>
      <c r="B734" t="s">
        <v>1369</v>
      </c>
      <c r="C734" s="1" t="str">
        <f>HYPERLINK("http://www.genecards.org/cgi-bin/carddisp.pl?gene=ZMYND11","GeneCards")</f>
        <v>GeneCards</v>
      </c>
      <c r="D734" s="1" t="str">
        <f>HYPERLINK("http://genome-euro.ucsc.edu/cgi-bin/hgTracks?position=202136_at","UCSC")</f>
        <v>UCSC</v>
      </c>
      <c r="E734" s="1" t="str">
        <f>HYPERLINK("http://www.ncbi.nlm.nih.gov/gene/?term=ZMYND11","NCBI")</f>
        <v>NCBI</v>
      </c>
      <c r="F734">
        <v>1E-3</v>
      </c>
      <c r="G734">
        <v>2.3E-2</v>
      </c>
      <c r="H734" s="1" t="str">
        <f>HYPERLINK("http://www.weizmann.ac.il/complex/compphys/software/geview/data/figures/202136_at.png","Figure")</f>
        <v>Figure</v>
      </c>
      <c r="I734">
        <v>0.42799999999999999</v>
      </c>
      <c r="J734">
        <v>2.2000000000000001E-3</v>
      </c>
      <c r="K734">
        <v>0.97899999999999998</v>
      </c>
      <c r="L734">
        <v>0.99</v>
      </c>
      <c r="M734">
        <v>2.29</v>
      </c>
      <c r="N734">
        <v>1.5E-3</v>
      </c>
    </row>
    <row r="735" spans="1:14" x14ac:dyDescent="0.25">
      <c r="A735" t="s">
        <v>1370</v>
      </c>
      <c r="B735" t="s">
        <v>1371</v>
      </c>
      <c r="C735" s="1" t="str">
        <f>HYPERLINK("http://www.genecards.org/cgi-bin/carddisp.pl?gene=CUX1","GeneCards")</f>
        <v>GeneCards</v>
      </c>
      <c r="D735" s="1" t="str">
        <f>HYPERLINK("http://genome-euro.ucsc.edu/cgi-bin/hgTracks?position=214743_at","UCSC")</f>
        <v>UCSC</v>
      </c>
      <c r="E735" s="1" t="str">
        <f>HYPERLINK("http://www.ncbi.nlm.nih.gov/gene/?term=CUX1","NCBI")</f>
        <v>NCBI</v>
      </c>
      <c r="F735">
        <v>1E-3</v>
      </c>
      <c r="G735">
        <v>2.3E-2</v>
      </c>
      <c r="H735" s="1" t="str">
        <f>HYPERLINK("http://www.weizmann.ac.il/complex/compphys/software/geview/data/figures/214743_at.png","Figure")</f>
        <v>Figure</v>
      </c>
      <c r="I735">
        <v>1.5</v>
      </c>
      <c r="J735">
        <v>1.0999999999999999E-2</v>
      </c>
      <c r="K735">
        <v>0.872</v>
      </c>
      <c r="L735">
        <v>0.41</v>
      </c>
      <c r="M735">
        <v>0.57999999999999996</v>
      </c>
      <c r="N735">
        <v>7.6999999999999996E-4</v>
      </c>
    </row>
    <row r="736" spans="1:14" x14ac:dyDescent="0.25">
      <c r="A736" t="s">
        <v>1372</v>
      </c>
      <c r="B736" t="s">
        <v>1373</v>
      </c>
      <c r="C736" s="1" t="str">
        <f>HYPERLINK("http://www.genecards.org/cgi-bin/carddisp.pl?gene=FLJ34077","GeneCards")</f>
        <v>GeneCards</v>
      </c>
      <c r="D736" s="1" t="str">
        <f>HYPERLINK("http://genome-euro.ucsc.edu/cgi-bin/hgTracks?position=219731_at","UCSC")</f>
        <v>UCSC</v>
      </c>
      <c r="E736" s="1" t="str">
        <f>HYPERLINK("http://www.ncbi.nlm.nih.gov/gene/?term=FLJ34077","NCBI")</f>
        <v>NCBI</v>
      </c>
      <c r="F736">
        <v>1E-3</v>
      </c>
      <c r="G736">
        <v>2.3E-2</v>
      </c>
      <c r="H736" s="1" t="str">
        <f>HYPERLINK("http://www.weizmann.ac.il/complex/compphys/software/geview/data/figures/219731_at.png","Figure")</f>
        <v>Figure</v>
      </c>
      <c r="I736">
        <v>0.61499999999999999</v>
      </c>
      <c r="J736">
        <v>6.4999999999999997E-3</v>
      </c>
      <c r="K736">
        <v>1.1100000000000001</v>
      </c>
      <c r="L736">
        <v>0.65</v>
      </c>
      <c r="M736">
        <v>1.8</v>
      </c>
      <c r="N736">
        <v>8.8000000000000003E-4</v>
      </c>
    </row>
    <row r="737" spans="1:14" x14ac:dyDescent="0.25">
      <c r="A737" t="s">
        <v>1374</v>
      </c>
      <c r="B737" t="s">
        <v>1375</v>
      </c>
      <c r="C737" s="1" t="str">
        <f>HYPERLINK("http://www.genecards.org/cgi-bin/carddisp.pl?gene=HMOX2","GeneCards")</f>
        <v>GeneCards</v>
      </c>
      <c r="D737" s="1" t="str">
        <f>HYPERLINK("http://genome-euro.ucsc.edu/cgi-bin/hgTracks?position=218121_at","UCSC")</f>
        <v>UCSC</v>
      </c>
      <c r="E737" s="1" t="str">
        <f>HYPERLINK("http://www.ncbi.nlm.nih.gov/gene/?term=HMOX2","NCBI")</f>
        <v>NCBI</v>
      </c>
      <c r="F737">
        <v>1E-3</v>
      </c>
      <c r="G737">
        <v>2.3E-2</v>
      </c>
      <c r="H737" s="1" t="str">
        <f>HYPERLINK("http://www.weizmann.ac.il/complex/compphys/software/geview/data/figures/218121_at.png","Figure")</f>
        <v>Figure</v>
      </c>
      <c r="I737">
        <v>1.19</v>
      </c>
      <c r="J737">
        <v>1.6E-2</v>
      </c>
      <c r="K737">
        <v>0.93</v>
      </c>
      <c r="L737">
        <v>0.3</v>
      </c>
      <c r="M737">
        <v>0.78</v>
      </c>
      <c r="N737">
        <v>7.2999999999999996E-4</v>
      </c>
    </row>
    <row r="738" spans="1:14" x14ac:dyDescent="0.25">
      <c r="A738" t="s">
        <v>1376</v>
      </c>
      <c r="B738" t="s">
        <v>192</v>
      </c>
      <c r="C738" s="1" t="str">
        <f>HYPERLINK("http://www.genecards.org/cgi-bin/carddisp.pl?gene=SSR1","GeneCards")</f>
        <v>GeneCards</v>
      </c>
      <c r="D738" s="1" t="str">
        <f>HYPERLINK("http://genome-euro.ucsc.edu/cgi-bin/hgTracks?position=200889_s_at","UCSC")</f>
        <v>UCSC</v>
      </c>
      <c r="E738" s="1" t="str">
        <f>HYPERLINK("http://www.ncbi.nlm.nih.gov/gene/?term=SSR1","NCBI")</f>
        <v>NCBI</v>
      </c>
      <c r="F738">
        <v>1E-3</v>
      </c>
      <c r="G738">
        <v>2.3E-2</v>
      </c>
      <c r="H738" s="1" t="str">
        <f>HYPERLINK("http://www.weizmann.ac.il/complex/compphys/software/geview/data/figures/200889_s_at.png","Figure")</f>
        <v>Figure</v>
      </c>
      <c r="I738">
        <v>0.58099999999999996</v>
      </c>
      <c r="J738">
        <v>4.4000000000000003E-3</v>
      </c>
      <c r="K738">
        <v>1.07</v>
      </c>
      <c r="L738">
        <v>0.84</v>
      </c>
      <c r="M738">
        <v>1.84</v>
      </c>
      <c r="N738">
        <v>1E-3</v>
      </c>
    </row>
    <row r="739" spans="1:14" x14ac:dyDescent="0.25">
      <c r="A739" t="s">
        <v>1377</v>
      </c>
      <c r="B739" t="s">
        <v>909</v>
      </c>
      <c r="C739" s="1" t="str">
        <f>HYPERLINK("http://www.genecards.org/cgi-bin/carddisp.pl?gene=EPN2","GeneCards")</f>
        <v>GeneCards</v>
      </c>
      <c r="D739" s="1" t="str">
        <f>HYPERLINK("http://genome-euro.ucsc.edu/cgi-bin/hgTracks?position=203464_s_at","UCSC")</f>
        <v>UCSC</v>
      </c>
      <c r="E739" s="1" t="str">
        <f>HYPERLINK("http://www.ncbi.nlm.nih.gov/gene/?term=EPN2","NCBI")</f>
        <v>NCBI</v>
      </c>
      <c r="F739">
        <v>1E-3</v>
      </c>
      <c r="G739">
        <v>2.3E-2</v>
      </c>
      <c r="H739" s="1" t="str">
        <f>HYPERLINK("http://www.weizmann.ac.il/complex/compphys/software/geview/data/figures/203464_s_at.png","Figure")</f>
        <v>Figure</v>
      </c>
      <c r="I739">
        <v>0.96899999999999997</v>
      </c>
      <c r="J739">
        <v>0.93</v>
      </c>
      <c r="K739">
        <v>0.71699999999999997</v>
      </c>
      <c r="L739">
        <v>1.8E-3</v>
      </c>
      <c r="M739">
        <v>0.74</v>
      </c>
      <c r="N739">
        <v>6.3E-3</v>
      </c>
    </row>
    <row r="740" spans="1:14" x14ac:dyDescent="0.25">
      <c r="A740" t="s">
        <v>1378</v>
      </c>
      <c r="B740" t="s">
        <v>1379</v>
      </c>
      <c r="C740" s="1" t="str">
        <f>HYPERLINK("http://www.genecards.org/cgi-bin/carddisp.pl?gene=NIT2","GeneCards")</f>
        <v>GeneCards</v>
      </c>
      <c r="D740" s="1" t="str">
        <f>HYPERLINK("http://genome-euro.ucsc.edu/cgi-bin/hgTracks?position=218557_at","UCSC")</f>
        <v>UCSC</v>
      </c>
      <c r="E740" s="1" t="str">
        <f>HYPERLINK("http://www.ncbi.nlm.nih.gov/gene/?term=NIT2","NCBI")</f>
        <v>NCBI</v>
      </c>
      <c r="F740">
        <v>1E-3</v>
      </c>
      <c r="G740">
        <v>2.3E-2</v>
      </c>
      <c r="H740" s="1" t="str">
        <f>HYPERLINK("http://www.weizmann.ac.il/complex/compphys/software/geview/data/figures/218557_at.png","Figure")</f>
        <v>Figure</v>
      </c>
      <c r="I740">
        <v>0.89200000000000002</v>
      </c>
      <c r="J740">
        <v>0.69</v>
      </c>
      <c r="K740">
        <v>1.57</v>
      </c>
      <c r="L740">
        <v>6.1000000000000004E-3</v>
      </c>
      <c r="M740">
        <v>1.76</v>
      </c>
      <c r="N740">
        <v>1.9E-3</v>
      </c>
    </row>
    <row r="741" spans="1:14" x14ac:dyDescent="0.25">
      <c r="A741" t="s">
        <v>1380</v>
      </c>
      <c r="B741" t="s">
        <v>1381</v>
      </c>
      <c r="C741" s="1" t="str">
        <f>HYPERLINK("http://www.genecards.org/cgi-bin/carddisp.pl?gene=PRMT5","GeneCards")</f>
        <v>GeneCards</v>
      </c>
      <c r="D741" s="1" t="str">
        <f>HYPERLINK("http://genome-euro.ucsc.edu/cgi-bin/hgTracks?position=217786_at","UCSC")</f>
        <v>UCSC</v>
      </c>
      <c r="E741" s="1" t="str">
        <f>HYPERLINK("http://www.ncbi.nlm.nih.gov/gene/?term=PRMT5","NCBI")</f>
        <v>NCBI</v>
      </c>
      <c r="F741">
        <v>1E-3</v>
      </c>
      <c r="G741">
        <v>2.3E-2</v>
      </c>
      <c r="H741" s="1" t="str">
        <f>HYPERLINK("http://www.weizmann.ac.il/complex/compphys/software/geview/data/figures/217786_at.png","Figure")</f>
        <v>Figure</v>
      </c>
      <c r="I741">
        <v>0.81299999999999994</v>
      </c>
      <c r="J741">
        <v>0.16</v>
      </c>
      <c r="K741">
        <v>1.31</v>
      </c>
      <c r="L741">
        <v>0.03</v>
      </c>
      <c r="M741">
        <v>1.61</v>
      </c>
      <c r="N741">
        <v>9.1E-4</v>
      </c>
    </row>
    <row r="742" spans="1:14" x14ac:dyDescent="0.25">
      <c r="A742" t="s">
        <v>1382</v>
      </c>
      <c r="B742" t="s">
        <v>1383</v>
      </c>
      <c r="C742" s="1" t="str">
        <f>HYPERLINK("http://www.genecards.org/cgi-bin/carddisp.pl?gene=STAP1","GeneCards")</f>
        <v>GeneCards</v>
      </c>
      <c r="D742" s="1" t="str">
        <f>HYPERLINK("http://genome-euro.ucsc.edu/cgi-bin/hgTracks?position=220059_at","UCSC")</f>
        <v>UCSC</v>
      </c>
      <c r="E742" s="1" t="str">
        <f>HYPERLINK("http://www.ncbi.nlm.nih.gov/gene/?term=STAP1","NCBI")</f>
        <v>NCBI</v>
      </c>
      <c r="F742">
        <v>1E-3</v>
      </c>
      <c r="G742">
        <v>2.4E-2</v>
      </c>
      <c r="H742" s="1" t="str">
        <f>HYPERLINK("http://www.weizmann.ac.il/complex/compphys/software/geview/data/figures/220059_at.png","Figure")</f>
        <v>Figure</v>
      </c>
      <c r="I742">
        <v>0.67200000000000004</v>
      </c>
      <c r="J742">
        <v>8.1000000000000003E-2</v>
      </c>
      <c r="K742">
        <v>0.48399999999999999</v>
      </c>
      <c r="L742">
        <v>7.2999999999999996E-4</v>
      </c>
      <c r="M742">
        <v>0.72</v>
      </c>
      <c r="N742">
        <v>0.13</v>
      </c>
    </row>
    <row r="743" spans="1:14" x14ac:dyDescent="0.25">
      <c r="A743" t="s">
        <v>1384</v>
      </c>
      <c r="B743" t="s">
        <v>1385</v>
      </c>
      <c r="C743" s="1" t="str">
        <f>HYPERLINK("http://www.genecards.org/cgi-bin/carddisp.pl?gene=MOAP1","GeneCards")</f>
        <v>GeneCards</v>
      </c>
      <c r="D743" s="1" t="str">
        <f>HYPERLINK("http://genome-euro.ucsc.edu/cgi-bin/hgTracks?position=212508_at","UCSC")</f>
        <v>UCSC</v>
      </c>
      <c r="E743" s="1" t="str">
        <f>HYPERLINK("http://www.ncbi.nlm.nih.gov/gene/?term=MOAP1","NCBI")</f>
        <v>NCBI</v>
      </c>
      <c r="F743">
        <v>1E-3</v>
      </c>
      <c r="G743">
        <v>2.4E-2</v>
      </c>
      <c r="H743" s="1" t="str">
        <f>HYPERLINK("http://www.weizmann.ac.il/complex/compphys/software/geview/data/figures/212508_at.png","Figure")</f>
        <v>Figure</v>
      </c>
      <c r="I743">
        <v>0.373</v>
      </c>
      <c r="J743">
        <v>7.2999999999999996E-4</v>
      </c>
      <c r="K743">
        <v>0.65800000000000003</v>
      </c>
      <c r="L743">
        <v>7.5999999999999998E-2</v>
      </c>
      <c r="M743">
        <v>1.76</v>
      </c>
      <c r="N743">
        <v>2.4E-2</v>
      </c>
    </row>
    <row r="744" spans="1:14" x14ac:dyDescent="0.25">
      <c r="A744" t="s">
        <v>1386</v>
      </c>
      <c r="B744" t="s">
        <v>1387</v>
      </c>
      <c r="C744" s="1" t="str">
        <f>HYPERLINK("http://www.genecards.org/cgi-bin/carddisp.pl?gene=ZNF673","GeneCards")</f>
        <v>GeneCards</v>
      </c>
      <c r="D744" s="1" t="str">
        <f>HYPERLINK("http://genome-euro.ucsc.edu/cgi-bin/hgTracks?position=206583_at","UCSC")</f>
        <v>UCSC</v>
      </c>
      <c r="E744" s="1" t="str">
        <f>HYPERLINK("http://www.ncbi.nlm.nih.gov/gene/?term=ZNF673","NCBI")</f>
        <v>NCBI</v>
      </c>
      <c r="F744">
        <v>1E-3</v>
      </c>
      <c r="G744">
        <v>2.4E-2</v>
      </c>
      <c r="H744" s="1" t="str">
        <f>HYPERLINK("http://www.weizmann.ac.il/complex/compphys/software/geview/data/figures/206583_at.png","Figure")</f>
        <v>Figure</v>
      </c>
      <c r="I744">
        <v>0.33700000000000002</v>
      </c>
      <c r="J744">
        <v>2.8E-3</v>
      </c>
      <c r="K744">
        <v>1.02</v>
      </c>
      <c r="L744">
        <v>0.99</v>
      </c>
      <c r="M744">
        <v>3.04</v>
      </c>
      <c r="N744">
        <v>1.4E-3</v>
      </c>
    </row>
    <row r="745" spans="1:14" x14ac:dyDescent="0.25">
      <c r="A745" t="s">
        <v>1388</v>
      </c>
      <c r="B745" t="s">
        <v>1389</v>
      </c>
      <c r="C745" s="1" t="str">
        <f>HYPERLINK("http://www.genecards.org/cgi-bin/carddisp.pl?gene=TNPO3","GeneCards")</f>
        <v>GeneCards</v>
      </c>
      <c r="D745" s="1" t="str">
        <f>HYPERLINK("http://genome-euro.ucsc.edu/cgi-bin/hgTracks?position=212318_at","UCSC")</f>
        <v>UCSC</v>
      </c>
      <c r="E745" s="1" t="str">
        <f>HYPERLINK("http://www.ncbi.nlm.nih.gov/gene/?term=TNPO3","NCBI")</f>
        <v>NCBI</v>
      </c>
      <c r="F745">
        <v>1E-3</v>
      </c>
      <c r="G745">
        <v>2.4E-2</v>
      </c>
      <c r="H745" s="1" t="str">
        <f>HYPERLINK("http://www.weizmann.ac.il/complex/compphys/software/geview/data/figures/212318_at.png","Figure")</f>
        <v>Figure</v>
      </c>
      <c r="I745">
        <v>1.47</v>
      </c>
      <c r="J745">
        <v>7.5000000000000002E-4</v>
      </c>
      <c r="K745">
        <v>1.2</v>
      </c>
      <c r="L745">
        <v>4.4999999999999998E-2</v>
      </c>
      <c r="M745">
        <v>0.81899999999999995</v>
      </c>
      <c r="N745">
        <v>0.04</v>
      </c>
    </row>
    <row r="746" spans="1:14" x14ac:dyDescent="0.25">
      <c r="A746" t="s">
        <v>1390</v>
      </c>
      <c r="B746" t="s">
        <v>1391</v>
      </c>
      <c r="C746" s="1" t="str">
        <f>HYPERLINK("http://www.genecards.org/cgi-bin/carddisp.pl?gene=GLE1","GeneCards")</f>
        <v>GeneCards</v>
      </c>
      <c r="D746" s="1" t="str">
        <f>HYPERLINK("http://genome-euro.ucsc.edu/cgi-bin/hgTracks?position=206920_s_at","UCSC")</f>
        <v>UCSC</v>
      </c>
      <c r="E746" s="1" t="str">
        <f>HYPERLINK("http://www.ncbi.nlm.nih.gov/gene/?term=GLE1","NCBI")</f>
        <v>NCBI</v>
      </c>
      <c r="F746">
        <v>1.1000000000000001E-3</v>
      </c>
      <c r="G746">
        <v>2.4E-2</v>
      </c>
      <c r="H746" s="1" t="str">
        <f>HYPERLINK("http://www.weizmann.ac.il/complex/compphys/software/geview/data/figures/206920_s_at.png","Figure")</f>
        <v>Figure</v>
      </c>
      <c r="I746">
        <v>1.27</v>
      </c>
      <c r="J746">
        <v>3.3999999999999998E-3</v>
      </c>
      <c r="K746">
        <v>0.98499999999999999</v>
      </c>
      <c r="L746">
        <v>0.96</v>
      </c>
      <c r="M746">
        <v>0.77400000000000002</v>
      </c>
      <c r="N746">
        <v>1.1999999999999999E-3</v>
      </c>
    </row>
    <row r="747" spans="1:14" x14ac:dyDescent="0.25">
      <c r="A747" t="s">
        <v>1392</v>
      </c>
      <c r="B747" t="s">
        <v>1393</v>
      </c>
      <c r="C747" s="1" t="str">
        <f>HYPERLINK("http://www.genecards.org/cgi-bin/carddisp.pl?gene=TRAPPC10","GeneCards")</f>
        <v>GeneCards</v>
      </c>
      <c r="D747" s="1" t="str">
        <f>HYPERLINK("http://genome-euro.ucsc.edu/cgi-bin/hgTracks?position=209412_at","UCSC")</f>
        <v>UCSC</v>
      </c>
      <c r="E747" s="1" t="str">
        <f>HYPERLINK("http://www.ncbi.nlm.nih.gov/gene/?term=TRAPPC10","NCBI")</f>
        <v>NCBI</v>
      </c>
      <c r="F747">
        <v>1.1000000000000001E-3</v>
      </c>
      <c r="G747">
        <v>2.4E-2</v>
      </c>
      <c r="H747" s="1" t="str">
        <f>HYPERLINK("http://www.weizmann.ac.il/complex/compphys/software/geview/data/figures/209412_at.png","Figure")</f>
        <v>Figure</v>
      </c>
      <c r="I747">
        <v>0.41399999999999998</v>
      </c>
      <c r="J747">
        <v>2.3E-3</v>
      </c>
      <c r="K747">
        <v>0.98199999999999998</v>
      </c>
      <c r="L747">
        <v>0.99</v>
      </c>
      <c r="M747">
        <v>2.37</v>
      </c>
      <c r="N747">
        <v>1.6000000000000001E-3</v>
      </c>
    </row>
    <row r="748" spans="1:14" x14ac:dyDescent="0.25">
      <c r="A748" t="s">
        <v>1394</v>
      </c>
      <c r="B748" t="s">
        <v>1395</v>
      </c>
      <c r="C748" s="1" t="str">
        <f>HYPERLINK("http://www.genecards.org/cgi-bin/carddisp.pl?gene=IDH3B","GeneCards")</f>
        <v>GeneCards</v>
      </c>
      <c r="D748" s="1" t="str">
        <f>HYPERLINK("http://genome-euro.ucsc.edu/cgi-bin/hgTracks?position=210014_x_at","UCSC")</f>
        <v>UCSC</v>
      </c>
      <c r="E748" s="1" t="str">
        <f>HYPERLINK("http://www.ncbi.nlm.nih.gov/gene/?term=IDH3B","NCBI")</f>
        <v>NCBI</v>
      </c>
      <c r="F748">
        <v>1.1000000000000001E-3</v>
      </c>
      <c r="G748">
        <v>2.4E-2</v>
      </c>
      <c r="H748" s="1" t="str">
        <f>HYPERLINK("http://www.weizmann.ac.il/complex/compphys/software/geview/data/figures/210014_x_at.png","Figure")</f>
        <v>Figure</v>
      </c>
      <c r="I748">
        <v>1.23</v>
      </c>
      <c r="J748">
        <v>7.8E-2</v>
      </c>
      <c r="K748">
        <v>0.82799999999999996</v>
      </c>
      <c r="L748">
        <v>6.5000000000000002E-2</v>
      </c>
      <c r="M748">
        <v>0.67300000000000004</v>
      </c>
      <c r="N748">
        <v>8.0000000000000004E-4</v>
      </c>
    </row>
    <row r="749" spans="1:14" x14ac:dyDescent="0.25">
      <c r="A749" t="s">
        <v>1396</v>
      </c>
      <c r="B749" t="s">
        <v>1397</v>
      </c>
      <c r="C749" s="1" t="str">
        <f>HYPERLINK("http://www.genecards.org/cgi-bin/carddisp.pl?gene=C7orf20 /// UNC84A","GeneCards")</f>
        <v>GeneCards</v>
      </c>
      <c r="D749" s="1" t="str">
        <f>HYPERLINK("http://genome-euro.ucsc.edu/cgi-bin/hgTracks?position=212074_at","UCSC")</f>
        <v>UCSC</v>
      </c>
      <c r="E749" s="1" t="str">
        <f>HYPERLINK("http://www.ncbi.nlm.nih.gov/gene/?term=C7orf20 /// UNC84A","NCBI")</f>
        <v>NCBI</v>
      </c>
      <c r="F749">
        <v>1.1000000000000001E-3</v>
      </c>
      <c r="G749">
        <v>2.4E-2</v>
      </c>
      <c r="H749" s="1" t="str">
        <f>HYPERLINK("http://www.weizmann.ac.il/complex/compphys/software/geview/data/figures/212074_at.png","Figure")</f>
        <v>Figure</v>
      </c>
      <c r="I749">
        <v>0.245</v>
      </c>
      <c r="J749">
        <v>1.1000000000000001E-3</v>
      </c>
      <c r="K749">
        <v>0.73299999999999998</v>
      </c>
      <c r="L749">
        <v>0.48</v>
      </c>
      <c r="M749">
        <v>2.99</v>
      </c>
      <c r="N749">
        <v>4.4999999999999997E-3</v>
      </c>
    </row>
    <row r="750" spans="1:14" x14ac:dyDescent="0.25">
      <c r="A750" t="s">
        <v>1398</v>
      </c>
      <c r="B750" t="s">
        <v>126</v>
      </c>
      <c r="C750" s="1" t="str">
        <f>HYPERLINK("http://www.genecards.org/cgi-bin/carddisp.pl?gene=SERBP1","GeneCards")</f>
        <v>GeneCards</v>
      </c>
      <c r="D750" s="1" t="str">
        <f>HYPERLINK("http://genome-euro.ucsc.edu/cgi-bin/hgTracks?position=217725_x_at","UCSC")</f>
        <v>UCSC</v>
      </c>
      <c r="E750" s="1" t="str">
        <f>HYPERLINK("http://www.ncbi.nlm.nih.gov/gene/?term=SERBP1","NCBI")</f>
        <v>NCBI</v>
      </c>
      <c r="F750">
        <v>1E-3</v>
      </c>
      <c r="G750">
        <v>2.4E-2</v>
      </c>
      <c r="H750" s="1" t="str">
        <f>HYPERLINK("http://www.weizmann.ac.il/complex/compphys/software/geview/data/figures/217725_x_at.png","Figure")</f>
        <v>Figure</v>
      </c>
      <c r="I750">
        <v>1.68</v>
      </c>
      <c r="J750">
        <v>2.3E-3</v>
      </c>
      <c r="K750">
        <v>1.57</v>
      </c>
      <c r="L750">
        <v>2.5000000000000001E-3</v>
      </c>
      <c r="M750">
        <v>0.93100000000000005</v>
      </c>
      <c r="N750">
        <v>0.8</v>
      </c>
    </row>
    <row r="751" spans="1:14" x14ac:dyDescent="0.25">
      <c r="A751" t="s">
        <v>1399</v>
      </c>
      <c r="B751" t="s">
        <v>1400</v>
      </c>
      <c r="C751" s="1" t="str">
        <f>HYPERLINK("http://www.genecards.org/cgi-bin/carddisp.pl?gene=CCND3","GeneCards")</f>
        <v>GeneCards</v>
      </c>
      <c r="D751" s="1" t="str">
        <f>HYPERLINK("http://genome-euro.ucsc.edu/cgi-bin/hgTracks?position=201700_at","UCSC")</f>
        <v>UCSC</v>
      </c>
      <c r="E751" s="1" t="str">
        <f>HYPERLINK("http://www.ncbi.nlm.nih.gov/gene/?term=CCND3","NCBI")</f>
        <v>NCBI</v>
      </c>
      <c r="F751">
        <v>1.1000000000000001E-3</v>
      </c>
      <c r="G751">
        <v>2.4E-2</v>
      </c>
      <c r="H751" s="1" t="str">
        <f>HYPERLINK("http://www.weizmann.ac.il/complex/compphys/software/geview/data/figures/201700_at.png","Figure")</f>
        <v>Figure</v>
      </c>
      <c r="I751">
        <v>0.80800000000000005</v>
      </c>
      <c r="J751">
        <v>0.67</v>
      </c>
      <c r="K751">
        <v>2.23</v>
      </c>
      <c r="L751">
        <v>6.4999999999999997E-3</v>
      </c>
      <c r="M751">
        <v>2.76</v>
      </c>
      <c r="N751">
        <v>1.9E-3</v>
      </c>
    </row>
    <row r="752" spans="1:14" x14ac:dyDescent="0.25">
      <c r="A752" t="s">
        <v>1401</v>
      </c>
      <c r="B752" t="s">
        <v>1402</v>
      </c>
      <c r="C752" s="1" t="str">
        <f>HYPERLINK("http://www.genecards.org/cgi-bin/carddisp.pl?gene=MED14","GeneCards")</f>
        <v>GeneCards</v>
      </c>
      <c r="D752" s="1" t="str">
        <f>HYPERLINK("http://genome-euro.ucsc.edu/cgi-bin/hgTracks?position=202611_s_at","UCSC")</f>
        <v>UCSC</v>
      </c>
      <c r="E752" s="1" t="str">
        <f>HYPERLINK("http://www.ncbi.nlm.nih.gov/gene/?term=MED14","NCBI")</f>
        <v>NCBI</v>
      </c>
      <c r="F752">
        <v>1.1000000000000001E-3</v>
      </c>
      <c r="G752">
        <v>2.4E-2</v>
      </c>
      <c r="H752" s="1" t="str">
        <f>HYPERLINK("http://www.weizmann.ac.il/complex/compphys/software/geview/data/figures/202611_s_at.png","Figure")</f>
        <v>Figure</v>
      </c>
      <c r="I752">
        <v>0.40100000000000002</v>
      </c>
      <c r="J752">
        <v>1.1000000000000001E-3</v>
      </c>
      <c r="K752">
        <v>0.81899999999999995</v>
      </c>
      <c r="L752">
        <v>0.48</v>
      </c>
      <c r="M752">
        <v>2.04</v>
      </c>
      <c r="N752">
        <v>4.4999999999999997E-3</v>
      </c>
    </row>
    <row r="753" spans="1:14" x14ac:dyDescent="0.25">
      <c r="A753" t="s">
        <v>1403</v>
      </c>
      <c r="B753" t="s">
        <v>1067</v>
      </c>
      <c r="C753" s="1" t="str">
        <f>HYPERLINK("http://www.genecards.org/cgi-bin/carddisp.pl?gene=NR4A2","GeneCards")</f>
        <v>GeneCards</v>
      </c>
      <c r="D753" s="1" t="str">
        <f>HYPERLINK("http://genome-euro.ucsc.edu/cgi-bin/hgTracks?position=204622_x_at","UCSC")</f>
        <v>UCSC</v>
      </c>
      <c r="E753" s="1" t="str">
        <f>HYPERLINK("http://www.ncbi.nlm.nih.gov/gene/?term=NR4A2","NCBI")</f>
        <v>NCBI</v>
      </c>
      <c r="F753">
        <v>1.1000000000000001E-3</v>
      </c>
      <c r="G753">
        <v>2.4E-2</v>
      </c>
      <c r="H753" s="1" t="str">
        <f>HYPERLINK("http://www.weizmann.ac.il/complex/compphys/software/geview/data/figures/204622_x_at.png","Figure")</f>
        <v>Figure</v>
      </c>
      <c r="I753">
        <v>0.17</v>
      </c>
      <c r="J753">
        <v>1E-3</v>
      </c>
      <c r="K753">
        <v>0.31900000000000001</v>
      </c>
      <c r="L753">
        <v>9.9000000000000008E-3</v>
      </c>
      <c r="M753">
        <v>1.88</v>
      </c>
      <c r="N753">
        <v>0.2</v>
      </c>
    </row>
    <row r="754" spans="1:14" x14ac:dyDescent="0.25">
      <c r="A754" t="s">
        <v>1404</v>
      </c>
      <c r="B754" t="s">
        <v>1405</v>
      </c>
      <c r="C754" s="1" t="str">
        <f>HYPERLINK("http://www.genecards.org/cgi-bin/carddisp.pl?gene=CEP68","GeneCards")</f>
        <v>GeneCards</v>
      </c>
      <c r="D754" s="1" t="str">
        <f>HYPERLINK("http://genome-euro.ucsc.edu/cgi-bin/hgTracks?position=212675_s_at","UCSC")</f>
        <v>UCSC</v>
      </c>
      <c r="E754" s="1" t="str">
        <f>HYPERLINK("http://www.ncbi.nlm.nih.gov/gene/?term=CEP68","NCBI")</f>
        <v>NCBI</v>
      </c>
      <c r="F754">
        <v>1.1000000000000001E-3</v>
      </c>
      <c r="G754">
        <v>2.4E-2</v>
      </c>
      <c r="H754" s="1" t="str">
        <f>HYPERLINK("http://www.weizmann.ac.il/complex/compphys/software/geview/data/figures/212675_s_at.png","Figure")</f>
        <v>Figure</v>
      </c>
      <c r="I754">
        <v>0.318</v>
      </c>
      <c r="J754">
        <v>8.0000000000000004E-4</v>
      </c>
      <c r="K754">
        <v>0.66600000000000004</v>
      </c>
      <c r="L754">
        <v>0.15</v>
      </c>
      <c r="M754">
        <v>2.09</v>
      </c>
      <c r="N754">
        <v>1.2999999999999999E-2</v>
      </c>
    </row>
    <row r="755" spans="1:14" x14ac:dyDescent="0.25">
      <c r="A755" t="s">
        <v>1406</v>
      </c>
      <c r="B755" t="s">
        <v>1407</v>
      </c>
      <c r="C755" s="1" t="str">
        <f>HYPERLINK("http://www.genecards.org/cgi-bin/carddisp.pl?gene=NFATC4","GeneCards")</f>
        <v>GeneCards</v>
      </c>
      <c r="D755" s="1" t="str">
        <f>HYPERLINK("http://genome-euro.ucsc.edu/cgi-bin/hgTracks?position=213345_at","UCSC")</f>
        <v>UCSC</v>
      </c>
      <c r="E755" s="1" t="str">
        <f>HYPERLINK("http://www.ncbi.nlm.nih.gov/gene/?term=NFATC4","NCBI")</f>
        <v>NCBI</v>
      </c>
      <c r="F755">
        <v>1.1000000000000001E-3</v>
      </c>
      <c r="G755">
        <v>2.4E-2</v>
      </c>
      <c r="H755" s="1" t="str">
        <f>HYPERLINK("http://www.weizmann.ac.il/complex/compphys/software/geview/data/figures/213345_at.png","Figure")</f>
        <v>Figure</v>
      </c>
      <c r="I755">
        <v>1.46</v>
      </c>
      <c r="J755">
        <v>1.5E-3</v>
      </c>
      <c r="K755">
        <v>1.33</v>
      </c>
      <c r="L755">
        <v>4.3E-3</v>
      </c>
      <c r="M755">
        <v>0.91400000000000003</v>
      </c>
      <c r="N755">
        <v>0.5</v>
      </c>
    </row>
    <row r="756" spans="1:14" x14ac:dyDescent="0.25">
      <c r="A756" t="s">
        <v>1408</v>
      </c>
      <c r="B756" t="s">
        <v>1409</v>
      </c>
      <c r="C756" s="1" t="str">
        <f>HYPERLINK("http://www.genecards.org/cgi-bin/carddisp.pl?gene=MLH3","GeneCards")</f>
        <v>GeneCards</v>
      </c>
      <c r="D756" s="1" t="str">
        <f>HYPERLINK("http://genome-euro.ucsc.edu/cgi-bin/hgTracks?position=217216_x_at","UCSC")</f>
        <v>UCSC</v>
      </c>
      <c r="E756" s="1" t="str">
        <f>HYPERLINK("http://www.ncbi.nlm.nih.gov/gene/?term=MLH3","NCBI")</f>
        <v>NCBI</v>
      </c>
      <c r="F756">
        <v>1.1000000000000001E-3</v>
      </c>
      <c r="G756">
        <v>2.4E-2</v>
      </c>
      <c r="H756" s="1" t="str">
        <f>HYPERLINK("http://www.weizmann.ac.il/complex/compphys/software/geview/data/figures/217216_x_at.png","Figure")</f>
        <v>Figure</v>
      </c>
      <c r="I756">
        <v>1.08</v>
      </c>
      <c r="J756">
        <v>0.2</v>
      </c>
      <c r="K756">
        <v>1.2</v>
      </c>
      <c r="L756">
        <v>8.3000000000000001E-4</v>
      </c>
      <c r="M756">
        <v>1.1100000000000001</v>
      </c>
      <c r="N756">
        <v>5.6000000000000001E-2</v>
      </c>
    </row>
    <row r="757" spans="1:14" x14ac:dyDescent="0.25">
      <c r="A757" t="s">
        <v>1410</v>
      </c>
      <c r="B757" t="s">
        <v>1411</v>
      </c>
      <c r="C757" s="1" t="str">
        <f>HYPERLINK("http://www.genecards.org/cgi-bin/carddisp.pl?gene=MIR21 /// TMEM49","GeneCards")</f>
        <v>GeneCards</v>
      </c>
      <c r="D757" s="1" t="str">
        <f>HYPERLINK("http://genome-euro.ucsc.edu/cgi-bin/hgTracks?position=220990_s_at","UCSC")</f>
        <v>UCSC</v>
      </c>
      <c r="E757" s="1" t="str">
        <f>HYPERLINK("http://www.ncbi.nlm.nih.gov/gene/?term=MIR21 /// TMEM49","NCBI")</f>
        <v>NCBI</v>
      </c>
      <c r="F757">
        <v>1.1000000000000001E-3</v>
      </c>
      <c r="G757">
        <v>2.4E-2</v>
      </c>
      <c r="H757" s="1" t="str">
        <f>HYPERLINK("http://www.weizmann.ac.il/complex/compphys/software/geview/data/figures/220990_s_at.png","Figure")</f>
        <v>Figure</v>
      </c>
      <c r="I757">
        <v>0.377</v>
      </c>
      <c r="J757">
        <v>4.0000000000000001E-3</v>
      </c>
      <c r="K757">
        <v>1.1000000000000001</v>
      </c>
      <c r="L757">
        <v>0.9</v>
      </c>
      <c r="M757">
        <v>2.91</v>
      </c>
      <c r="N757">
        <v>1.1000000000000001E-3</v>
      </c>
    </row>
    <row r="758" spans="1:14" x14ac:dyDescent="0.25">
      <c r="A758" t="s">
        <v>1412</v>
      </c>
      <c r="B758" t="s">
        <v>1413</v>
      </c>
      <c r="C758" s="1" t="str">
        <f>HYPERLINK("http://www.genecards.org/cgi-bin/carddisp.pl?gene=ZNF593","GeneCards")</f>
        <v>GeneCards</v>
      </c>
      <c r="D758" s="1" t="str">
        <f>HYPERLINK("http://genome-euro.ucsc.edu/cgi-bin/hgTracks?position=204175_at","UCSC")</f>
        <v>UCSC</v>
      </c>
      <c r="E758" s="1" t="str">
        <f>HYPERLINK("http://www.ncbi.nlm.nih.gov/gene/?term=ZNF593","NCBI")</f>
        <v>NCBI</v>
      </c>
      <c r="F758">
        <v>1.1000000000000001E-3</v>
      </c>
      <c r="G758">
        <v>2.4E-2</v>
      </c>
      <c r="H758" s="1" t="str">
        <f>HYPERLINK("http://www.weizmann.ac.il/complex/compphys/software/geview/data/figures/204175_at.png","Figure")</f>
        <v>Figure</v>
      </c>
      <c r="I758">
        <v>1.1100000000000001</v>
      </c>
      <c r="J758">
        <v>0.2</v>
      </c>
      <c r="K758">
        <v>1.27</v>
      </c>
      <c r="L758">
        <v>8.4000000000000003E-4</v>
      </c>
      <c r="M758">
        <v>1.1499999999999999</v>
      </c>
      <c r="N758">
        <v>5.5E-2</v>
      </c>
    </row>
    <row r="759" spans="1:14" x14ac:dyDescent="0.25">
      <c r="A759" t="s">
        <v>1414</v>
      </c>
      <c r="B759" t="s">
        <v>1415</v>
      </c>
      <c r="C759" s="1" t="str">
        <f>HYPERLINK("http://www.genecards.org/cgi-bin/carddisp.pl?gene=PSMA5","GeneCards")</f>
        <v>GeneCards</v>
      </c>
      <c r="D759" s="1" t="str">
        <f>HYPERLINK("http://genome-euro.ucsc.edu/cgi-bin/hgTracks?position=201274_at","UCSC")</f>
        <v>UCSC</v>
      </c>
      <c r="E759" s="1" t="str">
        <f>HYPERLINK("http://www.ncbi.nlm.nih.gov/gene/?term=PSMA5","NCBI")</f>
        <v>NCBI</v>
      </c>
      <c r="F759">
        <v>1.1000000000000001E-3</v>
      </c>
      <c r="G759">
        <v>2.4E-2</v>
      </c>
      <c r="H759" s="1" t="str">
        <f>HYPERLINK("http://www.weizmann.ac.il/complex/compphys/software/geview/data/figures/201274_at.png","Figure")</f>
        <v>Figure</v>
      </c>
      <c r="I759">
        <v>1.34</v>
      </c>
      <c r="J759">
        <v>0.2</v>
      </c>
      <c r="K759">
        <v>1.97</v>
      </c>
      <c r="L759">
        <v>8.4000000000000003E-4</v>
      </c>
      <c r="M759">
        <v>1.47</v>
      </c>
      <c r="N759">
        <v>5.3999999999999999E-2</v>
      </c>
    </row>
    <row r="760" spans="1:14" x14ac:dyDescent="0.25">
      <c r="A760" t="s">
        <v>1416</v>
      </c>
      <c r="B760" t="s">
        <v>1417</v>
      </c>
      <c r="C760" s="1" t="str">
        <f>HYPERLINK("http://www.genecards.org/cgi-bin/carddisp.pl?gene=ELK3","GeneCards")</f>
        <v>GeneCards</v>
      </c>
      <c r="D760" s="1" t="str">
        <f>HYPERLINK("http://genome-euro.ucsc.edu/cgi-bin/hgTracks?position=221773_at","UCSC")</f>
        <v>UCSC</v>
      </c>
      <c r="E760" s="1" t="str">
        <f>HYPERLINK("http://www.ncbi.nlm.nih.gov/gene/?term=ELK3","NCBI")</f>
        <v>NCBI</v>
      </c>
      <c r="F760">
        <v>1.1000000000000001E-3</v>
      </c>
      <c r="G760">
        <v>2.4E-2</v>
      </c>
      <c r="H760" s="1" t="str">
        <f>HYPERLINK("http://www.weizmann.ac.il/complex/compphys/software/geview/data/figures/221773_at.png","Figure")</f>
        <v>Figure</v>
      </c>
      <c r="I760">
        <v>0.19500000000000001</v>
      </c>
      <c r="J760">
        <v>1.6000000000000001E-3</v>
      </c>
      <c r="K760">
        <v>0.27900000000000003</v>
      </c>
      <c r="L760">
        <v>3.8999999999999998E-3</v>
      </c>
      <c r="M760">
        <v>1.43</v>
      </c>
      <c r="N760">
        <v>0.56000000000000005</v>
      </c>
    </row>
    <row r="761" spans="1:14" x14ac:dyDescent="0.25">
      <c r="A761" t="s">
        <v>1418</v>
      </c>
      <c r="B761" t="s">
        <v>1419</v>
      </c>
      <c r="C761" s="1" t="str">
        <f>HYPERLINK("http://www.genecards.org/cgi-bin/carddisp.pl?gene=PSMA6","GeneCards")</f>
        <v>GeneCards</v>
      </c>
      <c r="D761" s="1" t="str">
        <f>HYPERLINK("http://genome-euro.ucsc.edu/cgi-bin/hgTracks?position=208805_at","UCSC")</f>
        <v>UCSC</v>
      </c>
      <c r="E761" s="1" t="str">
        <f>HYPERLINK("http://www.ncbi.nlm.nih.gov/gene/?term=PSMA6","NCBI")</f>
        <v>NCBI</v>
      </c>
      <c r="F761">
        <v>1.1000000000000001E-3</v>
      </c>
      <c r="G761">
        <v>2.4E-2</v>
      </c>
      <c r="H761" s="1" t="str">
        <f>HYPERLINK("http://www.weizmann.ac.il/complex/compphys/software/geview/data/figures/208805_at.png","Figure")</f>
        <v>Figure</v>
      </c>
      <c r="I761">
        <v>0.57899999999999996</v>
      </c>
      <c r="J761">
        <v>4.7999999999999996E-3</v>
      </c>
      <c r="K761">
        <v>1.07</v>
      </c>
      <c r="L761">
        <v>0.83</v>
      </c>
      <c r="M761">
        <v>1.86</v>
      </c>
      <c r="N761">
        <v>1.1000000000000001E-3</v>
      </c>
    </row>
    <row r="762" spans="1:14" x14ac:dyDescent="0.25">
      <c r="A762" t="s">
        <v>1420</v>
      </c>
      <c r="B762" t="s">
        <v>1421</v>
      </c>
      <c r="C762" s="1" t="str">
        <f>HYPERLINK("http://www.genecards.org/cgi-bin/carddisp.pl?gene=VAV2","GeneCards")</f>
        <v>GeneCards</v>
      </c>
      <c r="D762" s="1" t="str">
        <f>HYPERLINK("http://genome-euro.ucsc.edu/cgi-bin/hgTracks?position=205536_at","UCSC")</f>
        <v>UCSC</v>
      </c>
      <c r="E762" s="1" t="str">
        <f>HYPERLINK("http://www.ncbi.nlm.nih.gov/gene/?term=VAV2","NCBI")</f>
        <v>NCBI</v>
      </c>
      <c r="F762">
        <v>1.1000000000000001E-3</v>
      </c>
      <c r="G762">
        <v>2.4E-2</v>
      </c>
      <c r="H762" s="1" t="str">
        <f>HYPERLINK("http://www.weizmann.ac.il/complex/compphys/software/geview/data/figures/205536_at.png","Figure")</f>
        <v>Figure</v>
      </c>
      <c r="I762">
        <v>1.38</v>
      </c>
      <c r="J762">
        <v>3.2000000000000002E-3</v>
      </c>
      <c r="K762">
        <v>0.98499999999999999</v>
      </c>
      <c r="L762">
        <v>0.98</v>
      </c>
      <c r="M762">
        <v>0.71199999999999997</v>
      </c>
      <c r="N762">
        <v>1.2999999999999999E-3</v>
      </c>
    </row>
    <row r="763" spans="1:14" x14ac:dyDescent="0.25">
      <c r="A763" t="s">
        <v>1422</v>
      </c>
      <c r="B763" t="s">
        <v>1423</v>
      </c>
      <c r="C763" s="1" t="str">
        <f>HYPERLINK("http://www.genecards.org/cgi-bin/carddisp.pl?gene=LIPE","GeneCards")</f>
        <v>GeneCards</v>
      </c>
      <c r="D763" s="1" t="str">
        <f>HYPERLINK("http://genome-euro.ucsc.edu/cgi-bin/hgTracks?position=208186_s_at","UCSC")</f>
        <v>UCSC</v>
      </c>
      <c r="E763" s="1" t="str">
        <f>HYPERLINK("http://www.ncbi.nlm.nih.gov/gene/?term=LIPE","NCBI")</f>
        <v>NCBI</v>
      </c>
      <c r="F763">
        <v>1.1000000000000001E-3</v>
      </c>
      <c r="G763">
        <v>2.4E-2</v>
      </c>
      <c r="H763" s="1" t="str">
        <f>HYPERLINK("http://www.weizmann.ac.il/complex/compphys/software/geview/data/figures/208186_s_at.png","Figure")</f>
        <v>Figure</v>
      </c>
      <c r="I763">
        <v>1.36</v>
      </c>
      <c r="J763">
        <v>7.6999999999999996E-4</v>
      </c>
      <c r="K763">
        <v>1.1399999999999999</v>
      </c>
      <c r="L763">
        <v>7.0999999999999994E-2</v>
      </c>
      <c r="M763">
        <v>0.83899999999999997</v>
      </c>
      <c r="N763">
        <v>2.7E-2</v>
      </c>
    </row>
    <row r="764" spans="1:14" x14ac:dyDescent="0.25">
      <c r="A764" t="s">
        <v>1424</v>
      </c>
      <c r="B764" t="s">
        <v>1425</v>
      </c>
      <c r="C764" s="1" t="str">
        <f>HYPERLINK("http://www.genecards.org/cgi-bin/carddisp.pl?gene=UBE2L3","GeneCards")</f>
        <v>GeneCards</v>
      </c>
      <c r="D764" s="1" t="str">
        <f>HYPERLINK("http://genome-euro.ucsc.edu/cgi-bin/hgTracks?position=200676_s_at","UCSC")</f>
        <v>UCSC</v>
      </c>
      <c r="E764" s="1" t="str">
        <f>HYPERLINK("http://www.ncbi.nlm.nih.gov/gene/?term=UBE2L3","NCBI")</f>
        <v>NCBI</v>
      </c>
      <c r="F764">
        <v>1.1000000000000001E-3</v>
      </c>
      <c r="G764">
        <v>2.4E-2</v>
      </c>
      <c r="H764" s="1" t="str">
        <f>HYPERLINK("http://www.weizmann.ac.il/complex/compphys/software/geview/data/figures/200676_s_at.png","Figure")</f>
        <v>Figure</v>
      </c>
      <c r="I764">
        <v>0.66300000000000003</v>
      </c>
      <c r="J764">
        <v>0.13</v>
      </c>
      <c r="K764">
        <v>1.59</v>
      </c>
      <c r="L764">
        <v>4.2000000000000003E-2</v>
      </c>
      <c r="M764">
        <v>2.4</v>
      </c>
      <c r="N764">
        <v>8.9999999999999998E-4</v>
      </c>
    </row>
    <row r="765" spans="1:14" x14ac:dyDescent="0.25">
      <c r="A765" t="s">
        <v>1426</v>
      </c>
      <c r="B765" t="s">
        <v>1427</v>
      </c>
      <c r="C765" s="1" t="str">
        <f>HYPERLINK("http://www.genecards.org/cgi-bin/carddisp.pl?gene=MEPCE","GeneCards")</f>
        <v>GeneCards</v>
      </c>
      <c r="D765" s="1" t="str">
        <f>HYPERLINK("http://genome-euro.ucsc.edu/cgi-bin/hgTracks?position=219798_s_at","UCSC")</f>
        <v>UCSC</v>
      </c>
      <c r="E765" s="1" t="str">
        <f>HYPERLINK("http://www.ncbi.nlm.nih.gov/gene/?term=MEPCE","NCBI")</f>
        <v>NCBI</v>
      </c>
      <c r="F765">
        <v>1.1000000000000001E-3</v>
      </c>
      <c r="G765">
        <v>2.4E-2</v>
      </c>
      <c r="H765" s="1" t="str">
        <f>HYPERLINK("http://www.weizmann.ac.il/complex/compphys/software/geview/data/figures/219798_s_at.png","Figure")</f>
        <v>Figure</v>
      </c>
      <c r="I765">
        <v>1.19</v>
      </c>
      <c r="J765">
        <v>7.3999999999999996E-2</v>
      </c>
      <c r="K765">
        <v>0.85599999999999998</v>
      </c>
      <c r="L765">
        <v>7.0000000000000007E-2</v>
      </c>
      <c r="M765">
        <v>0.71799999999999997</v>
      </c>
      <c r="N765">
        <v>8.1999999999999998E-4</v>
      </c>
    </row>
    <row r="766" spans="1:14" x14ac:dyDescent="0.25">
      <c r="A766" t="s">
        <v>1428</v>
      </c>
      <c r="B766" t="s">
        <v>1425</v>
      </c>
      <c r="C766" s="1" t="str">
        <f>HYPERLINK("http://www.genecards.org/cgi-bin/carddisp.pl?gene=UBE2L3","GeneCards")</f>
        <v>GeneCards</v>
      </c>
      <c r="D766" s="1" t="str">
        <f>HYPERLINK("http://genome-euro.ucsc.edu/cgi-bin/hgTracks?position=200683_s_at","UCSC")</f>
        <v>UCSC</v>
      </c>
      <c r="E766" s="1" t="str">
        <f>HYPERLINK("http://www.ncbi.nlm.nih.gov/gene/?term=UBE2L3","NCBI")</f>
        <v>NCBI</v>
      </c>
      <c r="F766">
        <v>1.1000000000000001E-3</v>
      </c>
      <c r="G766">
        <v>2.4E-2</v>
      </c>
      <c r="H766" s="1" t="str">
        <f>HYPERLINK("http://www.weizmann.ac.il/complex/compphys/software/geview/data/figures/200683_s_at.png","Figure")</f>
        <v>Figure</v>
      </c>
      <c r="I766">
        <v>1.1599999999999999</v>
      </c>
      <c r="J766">
        <v>0.56000000000000005</v>
      </c>
      <c r="K766">
        <v>1.79</v>
      </c>
      <c r="L766">
        <v>1.1999999999999999E-3</v>
      </c>
      <c r="M766">
        <v>1.54</v>
      </c>
      <c r="N766">
        <v>1.7000000000000001E-2</v>
      </c>
    </row>
    <row r="767" spans="1:14" x14ac:dyDescent="0.25">
      <c r="A767" t="s">
        <v>1429</v>
      </c>
      <c r="B767" t="s">
        <v>1430</v>
      </c>
      <c r="C767" s="1" t="str">
        <f>HYPERLINK("http://www.genecards.org/cgi-bin/carddisp.pl?gene=CDC2L1 /// CDC2L2","GeneCards")</f>
        <v>GeneCards</v>
      </c>
      <c r="D767" s="1" t="str">
        <f>HYPERLINK("http://genome-euro.ucsc.edu/cgi-bin/hgTracks?position=207428_x_at","UCSC")</f>
        <v>UCSC</v>
      </c>
      <c r="E767" s="1" t="str">
        <f>HYPERLINK("http://www.ncbi.nlm.nih.gov/gene/?term=CDC2L1 /// CDC2L2","NCBI")</f>
        <v>NCBI</v>
      </c>
      <c r="F767">
        <v>1.1000000000000001E-3</v>
      </c>
      <c r="G767">
        <v>2.4E-2</v>
      </c>
      <c r="H767" s="1" t="str">
        <f>HYPERLINK("http://www.weizmann.ac.il/complex/compphys/software/geview/data/figures/207428_x_at.png","Figure")</f>
        <v>Figure</v>
      </c>
      <c r="I767">
        <v>1.34</v>
      </c>
      <c r="J767">
        <v>2.9000000000000001E-2</v>
      </c>
      <c r="K767">
        <v>0.84899999999999998</v>
      </c>
      <c r="L767">
        <v>0.18</v>
      </c>
      <c r="M767">
        <v>0.63400000000000001</v>
      </c>
      <c r="N767">
        <v>7.6999999999999996E-4</v>
      </c>
    </row>
    <row r="768" spans="1:14" x14ac:dyDescent="0.25">
      <c r="A768" t="s">
        <v>1431</v>
      </c>
      <c r="B768" t="s">
        <v>1432</v>
      </c>
      <c r="C768" s="1" t="str">
        <f>HYPERLINK("http://www.genecards.org/cgi-bin/carddisp.pl?gene=MORF4L2","GeneCards")</f>
        <v>GeneCards</v>
      </c>
      <c r="D768" s="1" t="str">
        <f>HYPERLINK("http://genome-euro.ucsc.edu/cgi-bin/hgTracks?position=201994_at","UCSC")</f>
        <v>UCSC</v>
      </c>
      <c r="E768" s="1" t="str">
        <f>HYPERLINK("http://www.ncbi.nlm.nih.gov/gene/?term=MORF4L2","NCBI")</f>
        <v>NCBI</v>
      </c>
      <c r="F768">
        <v>1.1000000000000001E-3</v>
      </c>
      <c r="G768">
        <v>2.4E-2</v>
      </c>
      <c r="H768" s="1" t="str">
        <f>HYPERLINK("http://www.weizmann.ac.il/complex/compphys/software/geview/data/figures/201994_at.png","Figure")</f>
        <v>Figure</v>
      </c>
      <c r="I768">
        <v>0.42599999999999999</v>
      </c>
      <c r="J768">
        <v>1.5E-3</v>
      </c>
      <c r="K768">
        <v>0.52200000000000002</v>
      </c>
      <c r="L768">
        <v>4.4000000000000003E-3</v>
      </c>
      <c r="M768">
        <v>1.22</v>
      </c>
      <c r="N768">
        <v>0.5</v>
      </c>
    </row>
    <row r="769" spans="1:14" x14ac:dyDescent="0.25">
      <c r="A769" t="s">
        <v>1433</v>
      </c>
      <c r="B769" t="s">
        <v>1434</v>
      </c>
      <c r="C769" s="1" t="str">
        <f>HYPERLINK("http://www.genecards.org/cgi-bin/carddisp.pl?gene=USP3","GeneCards")</f>
        <v>GeneCards</v>
      </c>
      <c r="D769" s="1" t="str">
        <f>HYPERLINK("http://genome-euro.ucsc.edu/cgi-bin/hgTracks?position=221654_s_at","UCSC")</f>
        <v>UCSC</v>
      </c>
      <c r="E769" s="1" t="str">
        <f>HYPERLINK("http://www.ncbi.nlm.nih.gov/gene/?term=USP3","NCBI")</f>
        <v>NCBI</v>
      </c>
      <c r="F769">
        <v>1.1000000000000001E-3</v>
      </c>
      <c r="G769">
        <v>2.4E-2</v>
      </c>
      <c r="H769" s="1" t="str">
        <f>HYPERLINK("http://www.weizmann.ac.il/complex/compphys/software/geview/data/figures/221654_s_at.png","Figure")</f>
        <v>Figure</v>
      </c>
      <c r="I769">
        <v>1.55</v>
      </c>
      <c r="J769">
        <v>0.18</v>
      </c>
      <c r="K769">
        <v>0.55300000000000005</v>
      </c>
      <c r="L769">
        <v>2.9000000000000001E-2</v>
      </c>
      <c r="M769">
        <v>0.35599999999999998</v>
      </c>
      <c r="N769">
        <v>9.8999999999999999E-4</v>
      </c>
    </row>
    <row r="770" spans="1:14" x14ac:dyDescent="0.25">
      <c r="A770" t="s">
        <v>1435</v>
      </c>
      <c r="B770" t="s">
        <v>1436</v>
      </c>
      <c r="C770" s="1" t="str">
        <f>HYPERLINK("http://www.genecards.org/cgi-bin/carddisp.pl?gene=VPS45","GeneCards")</f>
        <v>GeneCards</v>
      </c>
      <c r="D770" s="1" t="str">
        <f>HYPERLINK("http://genome-euro.ucsc.edu/cgi-bin/hgTracks?position=209268_at","UCSC")</f>
        <v>UCSC</v>
      </c>
      <c r="E770" s="1" t="str">
        <f>HYPERLINK("http://www.ncbi.nlm.nih.gov/gene/?term=VPS45","NCBI")</f>
        <v>NCBI</v>
      </c>
      <c r="F770">
        <v>1.1000000000000001E-3</v>
      </c>
      <c r="G770">
        <v>2.4E-2</v>
      </c>
      <c r="H770" s="1" t="str">
        <f>HYPERLINK("http://www.weizmann.ac.il/complex/compphys/software/geview/data/figures/209268_at.png","Figure")</f>
        <v>Figure</v>
      </c>
      <c r="I770">
        <v>0.62</v>
      </c>
      <c r="J770">
        <v>9.6000000000000002E-2</v>
      </c>
      <c r="K770">
        <v>1.61</v>
      </c>
      <c r="L770">
        <v>5.5E-2</v>
      </c>
      <c r="M770">
        <v>2.6</v>
      </c>
      <c r="N770">
        <v>8.5999999999999998E-4</v>
      </c>
    </row>
    <row r="771" spans="1:14" x14ac:dyDescent="0.25">
      <c r="A771" t="s">
        <v>1437</v>
      </c>
      <c r="B771" t="s">
        <v>1204</v>
      </c>
      <c r="C771" s="1" t="str">
        <f>HYPERLINK("http://www.genecards.org/cgi-bin/carddisp.pl?gene=APP","GeneCards")</f>
        <v>GeneCards</v>
      </c>
      <c r="D771" s="1" t="str">
        <f>HYPERLINK("http://genome-euro.ucsc.edu/cgi-bin/hgTracks?position=214953_s_at","UCSC")</f>
        <v>UCSC</v>
      </c>
      <c r="E771" s="1" t="str">
        <f>HYPERLINK("http://www.ncbi.nlm.nih.gov/gene/?term=APP","NCBI")</f>
        <v>NCBI</v>
      </c>
      <c r="F771">
        <v>1.1000000000000001E-3</v>
      </c>
      <c r="G771">
        <v>2.4E-2</v>
      </c>
      <c r="H771" s="1" t="str">
        <f>HYPERLINK("http://www.weizmann.ac.il/complex/compphys/software/geview/data/figures/214953_s_at.png","Figure")</f>
        <v>Figure</v>
      </c>
      <c r="I771">
        <v>0.58399999999999996</v>
      </c>
      <c r="J771">
        <v>2.5000000000000001E-3</v>
      </c>
      <c r="K771">
        <v>0.624</v>
      </c>
      <c r="L771">
        <v>2.3999999999999998E-3</v>
      </c>
      <c r="M771">
        <v>1.07</v>
      </c>
      <c r="N771">
        <v>0.84</v>
      </c>
    </row>
    <row r="772" spans="1:14" x14ac:dyDescent="0.25">
      <c r="A772" t="s">
        <v>1438</v>
      </c>
      <c r="B772" t="s">
        <v>1439</v>
      </c>
      <c r="C772" s="1" t="str">
        <f>HYPERLINK("http://www.genecards.org/cgi-bin/carddisp.pl?gene=ICMT","GeneCards")</f>
        <v>GeneCards</v>
      </c>
      <c r="D772" s="1" t="str">
        <f>HYPERLINK("http://genome-euro.ucsc.edu/cgi-bin/hgTracks?position=201611_s_at","UCSC")</f>
        <v>UCSC</v>
      </c>
      <c r="E772" s="1" t="str">
        <f>HYPERLINK("http://www.ncbi.nlm.nih.gov/gene/?term=ICMT","NCBI")</f>
        <v>NCBI</v>
      </c>
      <c r="F772">
        <v>1.1000000000000001E-3</v>
      </c>
      <c r="G772">
        <v>2.4E-2</v>
      </c>
      <c r="H772" s="1" t="str">
        <f>HYPERLINK("http://www.weizmann.ac.il/complex/compphys/software/geview/data/figures/201611_s_at.png","Figure")</f>
        <v>Figure</v>
      </c>
      <c r="I772">
        <v>0.84899999999999998</v>
      </c>
      <c r="J772">
        <v>0.22</v>
      </c>
      <c r="K772">
        <v>1.28</v>
      </c>
      <c r="L772">
        <v>2.4E-2</v>
      </c>
      <c r="M772">
        <v>1.51</v>
      </c>
      <c r="N772">
        <v>1.1000000000000001E-3</v>
      </c>
    </row>
    <row r="773" spans="1:14" x14ac:dyDescent="0.25">
      <c r="A773" t="s">
        <v>1440</v>
      </c>
      <c r="B773" t="s">
        <v>1441</v>
      </c>
      <c r="C773" s="1" t="str">
        <f>HYPERLINK("http://www.genecards.org/cgi-bin/carddisp.pl?gene=JMJD5","GeneCards")</f>
        <v>GeneCards</v>
      </c>
      <c r="D773" s="1" t="str">
        <f>HYPERLINK("http://genome-euro.ucsc.edu/cgi-bin/hgTracks?position=220070_at","UCSC")</f>
        <v>UCSC</v>
      </c>
      <c r="E773" s="1" t="str">
        <f>HYPERLINK("http://www.ncbi.nlm.nih.gov/gene/?term=JMJD5","NCBI")</f>
        <v>NCBI</v>
      </c>
      <c r="F773">
        <v>1.1000000000000001E-3</v>
      </c>
      <c r="G773">
        <v>2.4E-2</v>
      </c>
      <c r="H773" s="1" t="str">
        <f>HYPERLINK("http://www.weizmann.ac.il/complex/compphys/software/geview/data/figures/220070_at.png","Figure")</f>
        <v>Figure</v>
      </c>
      <c r="I773">
        <v>1.22</v>
      </c>
      <c r="J773">
        <v>8.0000000000000004E-4</v>
      </c>
      <c r="K773">
        <v>1.1000000000000001</v>
      </c>
      <c r="L773">
        <v>3.6999999999999998E-2</v>
      </c>
      <c r="M773">
        <v>0.90600000000000003</v>
      </c>
      <c r="N773">
        <v>5.1999999999999998E-2</v>
      </c>
    </row>
    <row r="774" spans="1:14" x14ac:dyDescent="0.25">
      <c r="A774" t="s">
        <v>1442</v>
      </c>
      <c r="B774" t="s">
        <v>1443</v>
      </c>
      <c r="C774" s="1" t="str">
        <f>HYPERLINK("http://www.genecards.org/cgi-bin/carddisp.pl?gene=CEACAM6","GeneCards")</f>
        <v>GeneCards</v>
      </c>
      <c r="D774" s="1" t="str">
        <f>HYPERLINK("http://genome-euro.ucsc.edu/cgi-bin/hgTracks?position=203757_s_at","UCSC")</f>
        <v>UCSC</v>
      </c>
      <c r="E774" s="1" t="str">
        <f>HYPERLINK("http://www.ncbi.nlm.nih.gov/gene/?term=CEACAM6","NCBI")</f>
        <v>NCBI</v>
      </c>
      <c r="F774">
        <v>1.1000000000000001E-3</v>
      </c>
      <c r="G774">
        <v>2.4E-2</v>
      </c>
      <c r="H774" s="1" t="str">
        <f>HYPERLINK("http://www.weizmann.ac.il/complex/compphys/software/geview/data/figures/203757_s_at.png","Figure")</f>
        <v>Figure</v>
      </c>
      <c r="I774">
        <v>0.39600000000000002</v>
      </c>
      <c r="J774">
        <v>2.8E-3</v>
      </c>
      <c r="K774">
        <v>1.01</v>
      </c>
      <c r="L774">
        <v>1</v>
      </c>
      <c r="M774">
        <v>2.54</v>
      </c>
      <c r="N774">
        <v>1.5E-3</v>
      </c>
    </row>
    <row r="775" spans="1:14" x14ac:dyDescent="0.25">
      <c r="A775" t="s">
        <v>1444</v>
      </c>
      <c r="B775" t="s">
        <v>1445</v>
      </c>
      <c r="C775" s="1" t="str">
        <f>HYPERLINK("http://www.genecards.org/cgi-bin/carddisp.pl?gene=APOOL","GeneCards")</f>
        <v>GeneCards</v>
      </c>
      <c r="D775" s="1" t="str">
        <f>HYPERLINK("http://genome-euro.ucsc.edu/cgi-bin/hgTracks?position=213282_at","UCSC")</f>
        <v>UCSC</v>
      </c>
      <c r="E775" s="1" t="str">
        <f>HYPERLINK("http://www.ncbi.nlm.nih.gov/gene/?term=APOOL","NCBI")</f>
        <v>NCBI</v>
      </c>
      <c r="F775">
        <v>1.1000000000000001E-3</v>
      </c>
      <c r="G775">
        <v>2.4E-2</v>
      </c>
      <c r="H775" s="1" t="str">
        <f>HYPERLINK("http://www.weizmann.ac.il/complex/compphys/software/geview/data/figures/213282_at.png","Figure")</f>
        <v>Figure</v>
      </c>
      <c r="I775">
        <v>0.57499999999999996</v>
      </c>
      <c r="J775">
        <v>1.1999999999999999E-3</v>
      </c>
      <c r="K775">
        <v>0.89800000000000002</v>
      </c>
      <c r="L775">
        <v>0.56999999999999995</v>
      </c>
      <c r="M775">
        <v>1.56</v>
      </c>
      <c r="N775">
        <v>4.0000000000000001E-3</v>
      </c>
    </row>
    <row r="776" spans="1:14" x14ac:dyDescent="0.25">
      <c r="A776" t="s">
        <v>1446</v>
      </c>
      <c r="B776" t="s">
        <v>1447</v>
      </c>
      <c r="C776" s="1" t="str">
        <f>HYPERLINK("http://www.genecards.org/cgi-bin/carddisp.pl?gene=PAPPA2","GeneCards")</f>
        <v>GeneCards</v>
      </c>
      <c r="D776" s="1" t="str">
        <f>HYPERLINK("http://genome-euro.ucsc.edu/cgi-bin/hgTracks?position=214689_at","UCSC")</f>
        <v>UCSC</v>
      </c>
      <c r="E776" s="1" t="str">
        <f>HYPERLINK("http://www.ncbi.nlm.nih.gov/gene/?term=PAPPA2","NCBI")</f>
        <v>NCBI</v>
      </c>
      <c r="F776">
        <v>1.1000000000000001E-3</v>
      </c>
      <c r="G776">
        <v>2.4E-2</v>
      </c>
      <c r="H776" s="1" t="str">
        <f>HYPERLINK("http://www.weizmann.ac.il/complex/compphys/software/geview/data/figures/214689_at.png","Figure")</f>
        <v>Figure</v>
      </c>
      <c r="I776">
        <v>1.28</v>
      </c>
      <c r="J776">
        <v>8.7000000000000001E-4</v>
      </c>
      <c r="K776">
        <v>1.0900000000000001</v>
      </c>
      <c r="L776">
        <v>0.2</v>
      </c>
      <c r="M776">
        <v>0.84699999999999998</v>
      </c>
      <c r="N776">
        <v>1.0999999999999999E-2</v>
      </c>
    </row>
    <row r="777" spans="1:14" x14ac:dyDescent="0.25">
      <c r="A777" t="s">
        <v>1448</v>
      </c>
      <c r="B777" t="s">
        <v>1449</v>
      </c>
      <c r="C777" s="1" t="str">
        <f>HYPERLINK("http://www.genecards.org/cgi-bin/carddisp.pl?gene=EIF2AK3","GeneCards")</f>
        <v>GeneCards</v>
      </c>
      <c r="D777" s="1" t="str">
        <f>HYPERLINK("http://genome-euro.ucsc.edu/cgi-bin/hgTracks?position=218696_at","UCSC")</f>
        <v>UCSC</v>
      </c>
      <c r="E777" s="1" t="str">
        <f>HYPERLINK("http://www.ncbi.nlm.nih.gov/gene/?term=EIF2AK3","NCBI")</f>
        <v>NCBI</v>
      </c>
      <c r="F777">
        <v>1.1000000000000001E-3</v>
      </c>
      <c r="G777">
        <v>2.4E-2</v>
      </c>
      <c r="H777" s="1" t="str">
        <f>HYPERLINK("http://www.weizmann.ac.il/complex/compphys/software/geview/data/figures/218696_at.png","Figure")</f>
        <v>Figure</v>
      </c>
      <c r="I777">
        <v>1.33</v>
      </c>
      <c r="J777">
        <v>0.51</v>
      </c>
      <c r="K777">
        <v>0.46899999999999997</v>
      </c>
      <c r="L777">
        <v>9.7999999999999997E-3</v>
      </c>
      <c r="M777">
        <v>0.35399999999999998</v>
      </c>
      <c r="N777">
        <v>1.6000000000000001E-3</v>
      </c>
    </row>
    <row r="778" spans="1:14" x14ac:dyDescent="0.25">
      <c r="A778" t="s">
        <v>1450</v>
      </c>
      <c r="B778" t="s">
        <v>1451</v>
      </c>
      <c r="C778" s="1" t="str">
        <f>HYPERLINK("http://www.genecards.org/cgi-bin/carddisp.pl?gene=ACTB","GeneCards")</f>
        <v>GeneCards</v>
      </c>
      <c r="D778" s="1" t="str">
        <f>HYPERLINK("http://genome-euro.ucsc.edu/cgi-bin/hgTracks?position=AFFX-HSAC07/X00351_M_at","UCSC")</f>
        <v>UCSC</v>
      </c>
      <c r="E778" s="1" t="str">
        <f>HYPERLINK("http://www.ncbi.nlm.nih.gov/gene/?term=ACTB","NCBI")</f>
        <v>NCBI</v>
      </c>
      <c r="F778">
        <v>1.1000000000000001E-3</v>
      </c>
      <c r="G778">
        <v>2.4E-2</v>
      </c>
      <c r="H778" s="1" t="str">
        <f>HYPERLINK("http://www.weizmann.ac.il/complex/compphys/software/geview/data/figures/AFFX-HSAC07/X00351_M_at.png","Figure")</f>
        <v>Figure</v>
      </c>
      <c r="I778">
        <v>1.24</v>
      </c>
      <c r="J778">
        <v>0.52</v>
      </c>
      <c r="K778">
        <v>2.21</v>
      </c>
      <c r="L778">
        <v>1.1999999999999999E-3</v>
      </c>
      <c r="M778">
        <v>1.78</v>
      </c>
      <c r="N778">
        <v>1.9E-2</v>
      </c>
    </row>
    <row r="779" spans="1:14" x14ac:dyDescent="0.25">
      <c r="A779" t="s">
        <v>1452</v>
      </c>
      <c r="B779" t="s">
        <v>1453</v>
      </c>
      <c r="C779" s="1" t="str">
        <f>HYPERLINK("http://www.genecards.org/cgi-bin/carddisp.pl?gene=GLDC","GeneCards")</f>
        <v>GeneCards</v>
      </c>
      <c r="D779" s="1" t="str">
        <f>HYPERLINK("http://genome-euro.ucsc.edu/cgi-bin/hgTracks?position=204836_at","UCSC")</f>
        <v>UCSC</v>
      </c>
      <c r="E779" s="1" t="str">
        <f>HYPERLINK("http://www.ncbi.nlm.nih.gov/gene/?term=GLDC","NCBI")</f>
        <v>NCBI</v>
      </c>
      <c r="F779">
        <v>1.1000000000000001E-3</v>
      </c>
      <c r="G779">
        <v>2.4E-2</v>
      </c>
      <c r="H779" s="1" t="str">
        <f>HYPERLINK("http://www.weizmann.ac.il/complex/compphys/software/geview/data/figures/204836_at.png","Figure")</f>
        <v>Figure</v>
      </c>
      <c r="I779">
        <v>1.98</v>
      </c>
      <c r="J779">
        <v>1.2E-2</v>
      </c>
      <c r="K779">
        <v>2.2999999999999998</v>
      </c>
      <c r="L779">
        <v>1E-3</v>
      </c>
      <c r="M779">
        <v>1.1599999999999999</v>
      </c>
      <c r="N779">
        <v>0.71</v>
      </c>
    </row>
    <row r="780" spans="1:14" x14ac:dyDescent="0.25">
      <c r="A780" t="s">
        <v>1454</v>
      </c>
      <c r="B780" t="s">
        <v>1455</v>
      </c>
      <c r="C780" s="1" t="str">
        <f>HYPERLINK("http://www.genecards.org/cgi-bin/carddisp.pl?gene=DNAJC1","GeneCards")</f>
        <v>GeneCards</v>
      </c>
      <c r="D780" s="1" t="str">
        <f>HYPERLINK("http://genome-euro.ucsc.edu/cgi-bin/hgTracks?position=218409_s_at","UCSC")</f>
        <v>UCSC</v>
      </c>
      <c r="E780" s="1" t="str">
        <f>HYPERLINK("http://www.ncbi.nlm.nih.gov/gene/?term=DNAJC1","NCBI")</f>
        <v>NCBI</v>
      </c>
      <c r="F780">
        <v>1.1000000000000001E-3</v>
      </c>
      <c r="G780">
        <v>2.4E-2</v>
      </c>
      <c r="H780" s="1" t="str">
        <f>HYPERLINK("http://www.weizmann.ac.il/complex/compphys/software/geview/data/figures/218409_s_at.png","Figure")</f>
        <v>Figure</v>
      </c>
      <c r="I780">
        <v>1.03</v>
      </c>
      <c r="J780">
        <v>0.96</v>
      </c>
      <c r="K780">
        <v>1.45</v>
      </c>
      <c r="L780">
        <v>2.0999999999999999E-3</v>
      </c>
      <c r="M780">
        <v>1.41</v>
      </c>
      <c r="N780">
        <v>6.1999999999999998E-3</v>
      </c>
    </row>
    <row r="781" spans="1:14" x14ac:dyDescent="0.25">
      <c r="A781" t="s">
        <v>1456</v>
      </c>
      <c r="B781" t="s">
        <v>997</v>
      </c>
      <c r="C781" s="1" t="str">
        <f>HYPERLINK("http://www.genecards.org/cgi-bin/carddisp.pl?gene=IQSEC1","GeneCards")</f>
        <v>GeneCards</v>
      </c>
      <c r="D781" s="1" t="str">
        <f>HYPERLINK("http://genome-euro.ucsc.edu/cgi-bin/hgTracks?position=203907_s_at","UCSC")</f>
        <v>UCSC</v>
      </c>
      <c r="E781" s="1" t="str">
        <f>HYPERLINK("http://www.ncbi.nlm.nih.gov/gene/?term=IQSEC1","NCBI")</f>
        <v>NCBI</v>
      </c>
      <c r="F781">
        <v>1.1000000000000001E-3</v>
      </c>
      <c r="G781">
        <v>2.4E-2</v>
      </c>
      <c r="H781" s="1" t="str">
        <f>HYPERLINK("http://www.weizmann.ac.il/complex/compphys/software/geview/data/figures/203907_s_at.png","Figure")</f>
        <v>Figure</v>
      </c>
      <c r="I781">
        <v>1.88</v>
      </c>
      <c r="J781">
        <v>6.7999999999999996E-3</v>
      </c>
      <c r="K781">
        <v>2</v>
      </c>
      <c r="L781">
        <v>1.2999999999999999E-3</v>
      </c>
      <c r="M781">
        <v>1.06</v>
      </c>
      <c r="N781">
        <v>0.93</v>
      </c>
    </row>
    <row r="782" spans="1:14" x14ac:dyDescent="0.25">
      <c r="A782" t="s">
        <v>1457</v>
      </c>
      <c r="B782" t="s">
        <v>540</v>
      </c>
      <c r="C782" s="1" t="str">
        <f>HYPERLINK("http://www.genecards.org/cgi-bin/carddisp.pl?gene=TMCO1","GeneCards")</f>
        <v>GeneCards</v>
      </c>
      <c r="D782" s="1" t="str">
        <f>HYPERLINK("http://genome-euro.ucsc.edu/cgi-bin/hgTracks?position=211098_x_at","UCSC")</f>
        <v>UCSC</v>
      </c>
      <c r="E782" s="1" t="str">
        <f>HYPERLINK("http://www.ncbi.nlm.nih.gov/gene/?term=TMCO1","NCBI")</f>
        <v>NCBI</v>
      </c>
      <c r="F782">
        <v>1.1000000000000001E-3</v>
      </c>
      <c r="G782">
        <v>2.4E-2</v>
      </c>
      <c r="H782" s="1" t="str">
        <f>HYPERLINK("http://www.weizmann.ac.il/complex/compphys/software/geview/data/figures/211098_x_at.png","Figure")</f>
        <v>Figure</v>
      </c>
      <c r="I782">
        <v>1.29</v>
      </c>
      <c r="J782">
        <v>4.2999999999999997E-2</v>
      </c>
      <c r="K782">
        <v>1.5</v>
      </c>
      <c r="L782">
        <v>8.0000000000000004E-4</v>
      </c>
      <c r="M782">
        <v>1.1599999999999999</v>
      </c>
      <c r="N782">
        <v>0.26</v>
      </c>
    </row>
    <row r="783" spans="1:14" x14ac:dyDescent="0.25">
      <c r="A783" t="s">
        <v>1458</v>
      </c>
      <c r="B783" t="s">
        <v>1459</v>
      </c>
      <c r="C783" s="1" t="str">
        <f>HYPERLINK("http://www.genecards.org/cgi-bin/carddisp.pl?gene=DARS","GeneCards")</f>
        <v>GeneCards</v>
      </c>
      <c r="D783" s="1" t="str">
        <f>HYPERLINK("http://genome-euro.ucsc.edu/cgi-bin/hgTracks?position=201623_s_at","UCSC")</f>
        <v>UCSC</v>
      </c>
      <c r="E783" s="1" t="str">
        <f>HYPERLINK("http://www.ncbi.nlm.nih.gov/gene/?term=DARS","NCBI")</f>
        <v>NCBI</v>
      </c>
      <c r="F783">
        <v>1.1000000000000001E-3</v>
      </c>
      <c r="G783">
        <v>2.4E-2</v>
      </c>
      <c r="H783" s="1" t="str">
        <f>HYPERLINK("http://www.weizmann.ac.il/complex/compphys/software/geview/data/figures/201623_s_at.png","Figure")</f>
        <v>Figure</v>
      </c>
      <c r="I783">
        <v>1.17</v>
      </c>
      <c r="J783">
        <v>0.59</v>
      </c>
      <c r="K783">
        <v>1.9</v>
      </c>
      <c r="L783">
        <v>1.2999999999999999E-3</v>
      </c>
      <c r="M783">
        <v>1.63</v>
      </c>
      <c r="N783">
        <v>1.6E-2</v>
      </c>
    </row>
    <row r="784" spans="1:14" x14ac:dyDescent="0.25">
      <c r="A784" t="s">
        <v>1460</v>
      </c>
      <c r="B784" t="s">
        <v>1369</v>
      </c>
      <c r="C784" s="1" t="str">
        <f>HYPERLINK("http://www.genecards.org/cgi-bin/carddisp.pl?gene=ZMYND11","GeneCards")</f>
        <v>GeneCards</v>
      </c>
      <c r="D784" s="1" t="str">
        <f>HYPERLINK("http://genome-euro.ucsc.edu/cgi-bin/hgTracks?position=202137_s_at","UCSC")</f>
        <v>UCSC</v>
      </c>
      <c r="E784" s="1" t="str">
        <f>HYPERLINK("http://www.ncbi.nlm.nih.gov/gene/?term=ZMYND11","NCBI")</f>
        <v>NCBI</v>
      </c>
      <c r="F784">
        <v>1.1000000000000001E-3</v>
      </c>
      <c r="G784">
        <v>2.4E-2</v>
      </c>
      <c r="H784" s="1" t="str">
        <f>HYPERLINK("http://www.weizmann.ac.il/complex/compphys/software/geview/data/figures/202137_s_at.png","Figure")</f>
        <v>Figure</v>
      </c>
      <c r="I784">
        <v>0.85599999999999998</v>
      </c>
      <c r="J784">
        <v>2.7000000000000001E-3</v>
      </c>
      <c r="K784">
        <v>1</v>
      </c>
      <c r="L784">
        <v>1</v>
      </c>
      <c r="M784">
        <v>1.17</v>
      </c>
      <c r="N784">
        <v>1.6000000000000001E-3</v>
      </c>
    </row>
    <row r="785" spans="1:14" x14ac:dyDescent="0.25">
      <c r="A785" t="s">
        <v>1461</v>
      </c>
      <c r="B785" t="s">
        <v>1462</v>
      </c>
      <c r="C785" s="1" t="str">
        <f>HYPERLINK("http://www.genecards.org/cgi-bin/carddisp.pl?gene=MED17","GeneCards")</f>
        <v>GeneCards</v>
      </c>
      <c r="D785" s="1" t="str">
        <f>HYPERLINK("http://genome-euro.ucsc.edu/cgi-bin/hgTracks?position=221517_s_at","UCSC")</f>
        <v>UCSC</v>
      </c>
      <c r="E785" s="1" t="str">
        <f>HYPERLINK("http://www.ncbi.nlm.nih.gov/gene/?term=MED17","NCBI")</f>
        <v>NCBI</v>
      </c>
      <c r="F785">
        <v>1.1000000000000001E-3</v>
      </c>
      <c r="G785">
        <v>2.4E-2</v>
      </c>
      <c r="H785" s="1" t="str">
        <f>HYPERLINK("http://www.weizmann.ac.il/complex/compphys/software/geview/data/figures/221517_s_at.png","Figure")</f>
        <v>Figure</v>
      </c>
      <c r="I785">
        <v>0.55900000000000005</v>
      </c>
      <c r="J785">
        <v>4.3999999999999997E-2</v>
      </c>
      <c r="K785">
        <v>0.40200000000000002</v>
      </c>
      <c r="L785">
        <v>8.0999999999999996E-4</v>
      </c>
      <c r="M785">
        <v>0.71799999999999997</v>
      </c>
      <c r="N785">
        <v>0.26</v>
      </c>
    </row>
    <row r="786" spans="1:14" x14ac:dyDescent="0.25">
      <c r="A786" t="s">
        <v>1463</v>
      </c>
      <c r="B786" t="s">
        <v>548</v>
      </c>
      <c r="C786" s="1" t="str">
        <f>HYPERLINK("http://www.genecards.org/cgi-bin/carddisp.pl?gene=PAICS","GeneCards")</f>
        <v>GeneCards</v>
      </c>
      <c r="D786" s="1" t="str">
        <f>HYPERLINK("http://genome-euro.ucsc.edu/cgi-bin/hgTracks?position=201014_s_at","UCSC")</f>
        <v>UCSC</v>
      </c>
      <c r="E786" s="1" t="str">
        <f>HYPERLINK("http://www.ncbi.nlm.nih.gov/gene/?term=PAICS","NCBI")</f>
        <v>NCBI</v>
      </c>
      <c r="F786">
        <v>1.1000000000000001E-3</v>
      </c>
      <c r="G786">
        <v>2.5000000000000001E-2</v>
      </c>
      <c r="H786" s="1" t="str">
        <f>HYPERLINK("http://www.weizmann.ac.il/complex/compphys/software/geview/data/figures/201014_s_at.png","Figure")</f>
        <v>Figure</v>
      </c>
      <c r="I786">
        <v>0.92100000000000004</v>
      </c>
      <c r="J786">
        <v>0.95</v>
      </c>
      <c r="K786">
        <v>2.6</v>
      </c>
      <c r="L786">
        <v>3.7000000000000002E-3</v>
      </c>
      <c r="M786">
        <v>2.83</v>
      </c>
      <c r="N786">
        <v>3.3E-3</v>
      </c>
    </row>
    <row r="787" spans="1:14" x14ac:dyDescent="0.25">
      <c r="A787" t="s">
        <v>1464</v>
      </c>
      <c r="B787" t="s">
        <v>1465</v>
      </c>
      <c r="C787" s="1" t="str">
        <f>HYPERLINK("http://www.genecards.org/cgi-bin/carddisp.pl?gene=PSMC6","GeneCards")</f>
        <v>GeneCards</v>
      </c>
      <c r="D787" s="1" t="str">
        <f>HYPERLINK("http://genome-euro.ucsc.edu/cgi-bin/hgTracks?position=201699_at","UCSC")</f>
        <v>UCSC</v>
      </c>
      <c r="E787" s="1" t="str">
        <f>HYPERLINK("http://www.ncbi.nlm.nih.gov/gene/?term=PSMC6","NCBI")</f>
        <v>NCBI</v>
      </c>
      <c r="F787">
        <v>1.1000000000000001E-3</v>
      </c>
      <c r="G787">
        <v>2.5000000000000001E-2</v>
      </c>
      <c r="H787" s="1" t="str">
        <f>HYPERLINK("http://www.weizmann.ac.il/complex/compphys/software/geview/data/figures/201699_at.png","Figure")</f>
        <v>Figure</v>
      </c>
      <c r="I787">
        <v>0.54700000000000004</v>
      </c>
      <c r="J787">
        <v>3.0999999999999999E-3</v>
      </c>
      <c r="K787">
        <v>0.57599999999999996</v>
      </c>
      <c r="L787">
        <v>2.0999999999999999E-3</v>
      </c>
      <c r="M787">
        <v>1.05</v>
      </c>
      <c r="N787">
        <v>0.92</v>
      </c>
    </row>
    <row r="788" spans="1:14" x14ac:dyDescent="0.25">
      <c r="A788" t="s">
        <v>1466</v>
      </c>
      <c r="B788" t="s">
        <v>1467</v>
      </c>
      <c r="C788" s="1" t="str">
        <f>HYPERLINK("http://www.genecards.org/cgi-bin/carddisp.pl?gene=IGLL1","GeneCards")</f>
        <v>GeneCards</v>
      </c>
      <c r="D788" s="1" t="str">
        <f>HYPERLINK("http://genome-euro.ucsc.edu/cgi-bin/hgTracks?position=206660_at","UCSC")</f>
        <v>UCSC</v>
      </c>
      <c r="E788" s="1" t="str">
        <f>HYPERLINK("http://www.ncbi.nlm.nih.gov/gene/?term=IGLL1","NCBI")</f>
        <v>NCBI</v>
      </c>
      <c r="F788">
        <v>1.1000000000000001E-3</v>
      </c>
      <c r="G788">
        <v>2.5000000000000001E-2</v>
      </c>
      <c r="H788" s="1" t="str">
        <f>HYPERLINK("http://www.weizmann.ac.il/complex/compphys/software/geview/data/figures/206660_at.png","Figure")</f>
        <v>Figure</v>
      </c>
      <c r="I788">
        <v>2.4700000000000002</v>
      </c>
      <c r="J788">
        <v>0.08</v>
      </c>
      <c r="K788">
        <v>5.09</v>
      </c>
      <c r="L788">
        <v>8.0999999999999996E-4</v>
      </c>
      <c r="M788">
        <v>2.06</v>
      </c>
      <c r="N788">
        <v>0.15</v>
      </c>
    </row>
    <row r="789" spans="1:14" x14ac:dyDescent="0.25">
      <c r="A789" t="s">
        <v>1468</v>
      </c>
      <c r="B789" t="s">
        <v>1469</v>
      </c>
      <c r="C789" s="1" t="str">
        <f>HYPERLINK("http://www.genecards.org/cgi-bin/carddisp.pl?gene=GPR56","GeneCards")</f>
        <v>GeneCards</v>
      </c>
      <c r="D789" s="1" t="str">
        <f>HYPERLINK("http://genome-euro.ucsc.edu/cgi-bin/hgTracks?position=212070_at","UCSC")</f>
        <v>UCSC</v>
      </c>
      <c r="E789" s="1" t="str">
        <f>HYPERLINK("http://www.ncbi.nlm.nih.gov/gene/?term=GPR56","NCBI")</f>
        <v>NCBI</v>
      </c>
      <c r="F789">
        <v>1.1000000000000001E-3</v>
      </c>
      <c r="G789">
        <v>2.5000000000000001E-2</v>
      </c>
      <c r="H789" s="1" t="str">
        <f>HYPERLINK("http://www.weizmann.ac.il/complex/compphys/software/geview/data/figures/212070_at.png","Figure")</f>
        <v>Figure</v>
      </c>
      <c r="I789">
        <v>0.2</v>
      </c>
      <c r="J789">
        <v>8.0999999999999996E-4</v>
      </c>
      <c r="K789">
        <v>0.47599999999999998</v>
      </c>
      <c r="L789">
        <v>5.5E-2</v>
      </c>
      <c r="M789">
        <v>2.38</v>
      </c>
      <c r="N789">
        <v>3.5999999999999997E-2</v>
      </c>
    </row>
    <row r="790" spans="1:14" x14ac:dyDescent="0.25">
      <c r="A790" t="s">
        <v>1470</v>
      </c>
      <c r="B790" t="s">
        <v>1471</v>
      </c>
      <c r="C790" s="1" t="str">
        <f>HYPERLINK("http://www.genecards.org/cgi-bin/carddisp.pl?gene=ARID4B","GeneCards")</f>
        <v>GeneCards</v>
      </c>
      <c r="D790" s="1" t="str">
        <f>HYPERLINK("http://genome-euro.ucsc.edu/cgi-bin/hgTracks?position=214139_at","UCSC")</f>
        <v>UCSC</v>
      </c>
      <c r="E790" s="1" t="str">
        <f>HYPERLINK("http://www.ncbi.nlm.nih.gov/gene/?term=ARID4B","NCBI")</f>
        <v>NCBI</v>
      </c>
      <c r="F790">
        <v>1.1000000000000001E-3</v>
      </c>
      <c r="G790">
        <v>2.5000000000000001E-2</v>
      </c>
      <c r="H790" s="1" t="str">
        <f>HYPERLINK("http://www.weizmann.ac.il/complex/compphys/software/geview/data/figures/214139_at.png","Figure")</f>
        <v>Figure</v>
      </c>
      <c r="I790">
        <v>1.08</v>
      </c>
      <c r="J790">
        <v>0.19</v>
      </c>
      <c r="K790">
        <v>0.89500000000000002</v>
      </c>
      <c r="L790">
        <v>2.8000000000000001E-2</v>
      </c>
      <c r="M790">
        <v>0.82599999999999996</v>
      </c>
      <c r="N790">
        <v>1.1000000000000001E-3</v>
      </c>
    </row>
    <row r="791" spans="1:14" x14ac:dyDescent="0.25">
      <c r="A791" t="s">
        <v>1472</v>
      </c>
      <c r="B791" t="s">
        <v>1473</v>
      </c>
      <c r="C791" s="1" t="str">
        <f>HYPERLINK("http://www.genecards.org/cgi-bin/carddisp.pl?gene=LOC339290","GeneCards")</f>
        <v>GeneCards</v>
      </c>
      <c r="D791" s="1" t="str">
        <f>HYPERLINK("http://genome-euro.ucsc.edu/cgi-bin/hgTracks?position=215283_at","UCSC")</f>
        <v>UCSC</v>
      </c>
      <c r="E791" s="1" t="str">
        <f>HYPERLINK("http://www.ncbi.nlm.nih.gov/gene/?term=LOC339290","NCBI")</f>
        <v>NCBI</v>
      </c>
      <c r="F791">
        <v>1.1000000000000001E-3</v>
      </c>
      <c r="G791">
        <v>2.5000000000000001E-2</v>
      </c>
      <c r="H791" s="1" t="str">
        <f>HYPERLINK("http://www.weizmann.ac.il/complex/compphys/software/geview/data/figures/215283_at.png","Figure")</f>
        <v>Figure</v>
      </c>
      <c r="I791">
        <v>0.67</v>
      </c>
      <c r="J791">
        <v>8.0999999999999996E-4</v>
      </c>
      <c r="K791">
        <v>0.82799999999999996</v>
      </c>
      <c r="L791">
        <v>0.05</v>
      </c>
      <c r="M791">
        <v>1.24</v>
      </c>
      <c r="N791">
        <v>0.04</v>
      </c>
    </row>
    <row r="792" spans="1:14" x14ac:dyDescent="0.25">
      <c r="A792" t="s">
        <v>1474</v>
      </c>
      <c r="B792" t="s">
        <v>1475</v>
      </c>
      <c r="C792" s="1" t="str">
        <f>HYPERLINK("http://www.genecards.org/cgi-bin/carddisp.pl?gene=SLC13A2","GeneCards")</f>
        <v>GeneCards</v>
      </c>
      <c r="D792" s="1" t="str">
        <f>HYPERLINK("http://genome-euro.ucsc.edu/cgi-bin/hgTracks?position=207567_at","UCSC")</f>
        <v>UCSC</v>
      </c>
      <c r="E792" s="1" t="str">
        <f>HYPERLINK("http://www.ncbi.nlm.nih.gov/gene/?term=SLC13A2","NCBI")</f>
        <v>NCBI</v>
      </c>
      <c r="F792">
        <v>1.1000000000000001E-3</v>
      </c>
      <c r="G792">
        <v>2.5000000000000001E-2</v>
      </c>
      <c r="H792" s="1" t="str">
        <f>HYPERLINK("http://www.weizmann.ac.il/complex/compphys/software/geview/data/figures/207567_at.png","Figure")</f>
        <v>Figure</v>
      </c>
      <c r="I792">
        <v>1.1299999999999999</v>
      </c>
      <c r="J792">
        <v>4.3E-3</v>
      </c>
      <c r="K792">
        <v>1.1299999999999999</v>
      </c>
      <c r="L792">
        <v>1.6999999999999999E-3</v>
      </c>
      <c r="M792">
        <v>0.998</v>
      </c>
      <c r="N792">
        <v>1</v>
      </c>
    </row>
    <row r="793" spans="1:14" x14ac:dyDescent="0.25">
      <c r="A793" t="s">
        <v>1476</v>
      </c>
      <c r="B793" t="s">
        <v>1477</v>
      </c>
      <c r="C793" s="1" t="str">
        <f>HYPERLINK("http://www.genecards.org/cgi-bin/carddisp.pl?gene=HLA-DMA /// HLA-DMB","GeneCards")</f>
        <v>GeneCards</v>
      </c>
      <c r="D793" s="1" t="str">
        <f>HYPERLINK("http://genome-euro.ucsc.edu/cgi-bin/hgTracks?position=217478_s_at","UCSC")</f>
        <v>UCSC</v>
      </c>
      <c r="E793" s="1" t="str">
        <f>HYPERLINK("http://www.ncbi.nlm.nih.gov/gene/?term=HLA-DMA /// HLA-DMB","NCBI")</f>
        <v>NCBI</v>
      </c>
      <c r="F793">
        <v>1.1000000000000001E-3</v>
      </c>
      <c r="G793">
        <v>2.5000000000000001E-2</v>
      </c>
      <c r="H793" s="1" t="str">
        <f>HYPERLINK("http://www.weizmann.ac.il/complex/compphys/software/geview/data/figures/217478_s_at.png","Figure")</f>
        <v>Figure</v>
      </c>
      <c r="I793">
        <v>0.99099999999999999</v>
      </c>
      <c r="J793">
        <v>1</v>
      </c>
      <c r="K793">
        <v>0.42</v>
      </c>
      <c r="L793">
        <v>2.7000000000000001E-3</v>
      </c>
      <c r="M793">
        <v>0.42399999999999999</v>
      </c>
      <c r="N793">
        <v>4.7999999999999996E-3</v>
      </c>
    </row>
    <row r="794" spans="1:14" x14ac:dyDescent="0.25">
      <c r="A794" t="s">
        <v>1478</v>
      </c>
      <c r="B794" t="s">
        <v>1479</v>
      </c>
      <c r="C794" s="1" t="str">
        <f>HYPERLINK("http://www.genecards.org/cgi-bin/carddisp.pl?gene=MED6","GeneCards")</f>
        <v>GeneCards</v>
      </c>
      <c r="D794" s="1" t="str">
        <f>HYPERLINK("http://genome-euro.ucsc.edu/cgi-bin/hgTracks?position=207078_at","UCSC")</f>
        <v>UCSC</v>
      </c>
      <c r="E794" s="1" t="str">
        <f>HYPERLINK("http://www.ncbi.nlm.nih.gov/gene/?term=MED6","NCBI")</f>
        <v>NCBI</v>
      </c>
      <c r="F794">
        <v>1.1999999999999999E-3</v>
      </c>
      <c r="G794">
        <v>2.5000000000000001E-2</v>
      </c>
      <c r="H794" s="1" t="str">
        <f>HYPERLINK("http://www.weizmann.ac.il/complex/compphys/software/geview/data/figures/207078_at.png","Figure")</f>
        <v>Figure</v>
      </c>
      <c r="I794">
        <v>0.39</v>
      </c>
      <c r="J794">
        <v>6.1999999999999998E-3</v>
      </c>
      <c r="K794">
        <v>0.36699999999999999</v>
      </c>
      <c r="L794">
        <v>1.4E-3</v>
      </c>
      <c r="M794">
        <v>0.94199999999999995</v>
      </c>
      <c r="N794">
        <v>0.96</v>
      </c>
    </row>
    <row r="795" spans="1:14" x14ac:dyDescent="0.25">
      <c r="A795" t="s">
        <v>1480</v>
      </c>
      <c r="B795" t="s">
        <v>1481</v>
      </c>
      <c r="C795" s="1" t="str">
        <f>HYPERLINK("http://www.genecards.org/cgi-bin/carddisp.pl?gene=HPS4","GeneCards")</f>
        <v>GeneCards</v>
      </c>
      <c r="D795" s="1" t="str">
        <f>HYPERLINK("http://genome-euro.ucsc.edu/cgi-bin/hgTracks?position=218402_s_at","UCSC")</f>
        <v>UCSC</v>
      </c>
      <c r="E795" s="1" t="str">
        <f>HYPERLINK("http://www.ncbi.nlm.nih.gov/gene/?term=HPS4","NCBI")</f>
        <v>NCBI</v>
      </c>
      <c r="F795">
        <v>1.1999999999999999E-3</v>
      </c>
      <c r="G795">
        <v>2.5000000000000001E-2</v>
      </c>
      <c r="H795" s="1" t="str">
        <f>HYPERLINK("http://www.weizmann.ac.il/complex/compphys/software/geview/data/figures/218402_s_at.png","Figure")</f>
        <v>Figure</v>
      </c>
      <c r="I795">
        <v>4.0999999999999996</v>
      </c>
      <c r="J795">
        <v>9.1E-4</v>
      </c>
      <c r="K795">
        <v>1.59</v>
      </c>
      <c r="L795">
        <v>0.2</v>
      </c>
      <c r="M795">
        <v>0.38700000000000001</v>
      </c>
      <c r="N795">
        <v>1.0999999999999999E-2</v>
      </c>
    </row>
    <row r="796" spans="1:14" x14ac:dyDescent="0.25">
      <c r="A796" t="s">
        <v>1482</v>
      </c>
      <c r="B796" t="s">
        <v>1483</v>
      </c>
      <c r="C796" s="1" t="str">
        <f>HYPERLINK("http://www.genecards.org/cgi-bin/carddisp.pl?gene=MYO1B","GeneCards")</f>
        <v>GeneCards</v>
      </c>
      <c r="D796" s="1" t="str">
        <f>HYPERLINK("http://genome-euro.ucsc.edu/cgi-bin/hgTracks?position=212364_at","UCSC")</f>
        <v>UCSC</v>
      </c>
      <c r="E796" s="1" t="str">
        <f>HYPERLINK("http://www.ncbi.nlm.nih.gov/gene/?term=MYO1B","NCBI")</f>
        <v>NCBI</v>
      </c>
      <c r="F796">
        <v>1.1999999999999999E-3</v>
      </c>
      <c r="G796">
        <v>2.5000000000000001E-2</v>
      </c>
      <c r="H796" s="1" t="str">
        <f>HYPERLINK("http://www.weizmann.ac.il/complex/compphys/software/geview/data/figures/212364_at.png","Figure")</f>
        <v>Figure</v>
      </c>
      <c r="I796">
        <v>0.499</v>
      </c>
      <c r="J796">
        <v>8.4000000000000003E-4</v>
      </c>
      <c r="K796">
        <v>0.76500000000000001</v>
      </c>
      <c r="L796">
        <v>0.12</v>
      </c>
      <c r="M796">
        <v>1.53</v>
      </c>
      <c r="N796">
        <v>1.7999999999999999E-2</v>
      </c>
    </row>
    <row r="797" spans="1:14" x14ac:dyDescent="0.25">
      <c r="A797" t="s">
        <v>1484</v>
      </c>
      <c r="B797" t="s">
        <v>1485</v>
      </c>
      <c r="C797" s="1" t="str">
        <f>HYPERLINK("http://www.genecards.org/cgi-bin/carddisp.pl?gene=CUL4B","GeneCards")</f>
        <v>GeneCards</v>
      </c>
      <c r="D797" s="1" t="str">
        <f>HYPERLINK("http://genome-euro.ucsc.edu/cgi-bin/hgTracks?position=202214_s_at","UCSC")</f>
        <v>UCSC</v>
      </c>
      <c r="E797" s="1" t="str">
        <f>HYPERLINK("http://www.ncbi.nlm.nih.gov/gene/?term=CUL4B","NCBI")</f>
        <v>NCBI</v>
      </c>
      <c r="F797">
        <v>1.1999999999999999E-3</v>
      </c>
      <c r="G797">
        <v>2.5000000000000001E-2</v>
      </c>
      <c r="H797" s="1" t="str">
        <f>HYPERLINK("http://www.weizmann.ac.il/complex/compphys/software/geview/data/figures/202214_s_at.png","Figure")</f>
        <v>Figure</v>
      </c>
      <c r="I797">
        <v>0.502</v>
      </c>
      <c r="J797">
        <v>1.6000000000000001E-3</v>
      </c>
      <c r="K797">
        <v>0.91600000000000004</v>
      </c>
      <c r="L797">
        <v>0.79</v>
      </c>
      <c r="M797">
        <v>1.83</v>
      </c>
      <c r="N797">
        <v>2.8E-3</v>
      </c>
    </row>
    <row r="798" spans="1:14" x14ac:dyDescent="0.25">
      <c r="A798" t="s">
        <v>1486</v>
      </c>
      <c r="B798" t="s">
        <v>1487</v>
      </c>
      <c r="C798" s="1" t="str">
        <f>HYPERLINK("http://www.genecards.org/cgi-bin/carddisp.pl?gene=KCND1","GeneCards")</f>
        <v>GeneCards</v>
      </c>
      <c r="D798" s="1" t="str">
        <f>HYPERLINK("http://genome-euro.ucsc.edu/cgi-bin/hgTracks?position=206842_at","UCSC")</f>
        <v>UCSC</v>
      </c>
      <c r="E798" s="1" t="str">
        <f>HYPERLINK("http://www.ncbi.nlm.nih.gov/gene/?term=KCND1","NCBI")</f>
        <v>NCBI</v>
      </c>
      <c r="F798">
        <v>1.1999999999999999E-3</v>
      </c>
      <c r="G798">
        <v>2.5000000000000001E-2</v>
      </c>
      <c r="H798" s="1" t="str">
        <f>HYPERLINK("http://www.weizmann.ac.il/complex/compphys/software/geview/data/figures/206842_at.png","Figure")</f>
        <v>Figure</v>
      </c>
      <c r="I798">
        <v>0.65400000000000003</v>
      </c>
      <c r="J798">
        <v>1E-3</v>
      </c>
      <c r="K798">
        <v>0.77100000000000002</v>
      </c>
      <c r="L798">
        <v>1.4E-2</v>
      </c>
      <c r="M798">
        <v>1.18</v>
      </c>
      <c r="N798">
        <v>0.16</v>
      </c>
    </row>
    <row r="799" spans="1:14" x14ac:dyDescent="0.25">
      <c r="A799" t="s">
        <v>1488</v>
      </c>
      <c r="B799" t="s">
        <v>1489</v>
      </c>
      <c r="C799" s="1" t="str">
        <f>HYPERLINK("http://www.genecards.org/cgi-bin/carddisp.pl?gene=ABO","GeneCards")</f>
        <v>GeneCards</v>
      </c>
      <c r="D799" s="1" t="str">
        <f>HYPERLINK("http://genome-euro.ucsc.edu/cgi-bin/hgTracks?position=216929_x_at","UCSC")</f>
        <v>UCSC</v>
      </c>
      <c r="E799" s="1" t="str">
        <f>HYPERLINK("http://www.ncbi.nlm.nih.gov/gene/?term=ABO","NCBI")</f>
        <v>NCBI</v>
      </c>
      <c r="F799">
        <v>1.1999999999999999E-3</v>
      </c>
      <c r="G799">
        <v>2.5000000000000001E-2</v>
      </c>
      <c r="H799" s="1" t="str">
        <f>HYPERLINK("http://www.weizmann.ac.il/complex/compphys/software/geview/data/figures/216929_x_at.png","Figure")</f>
        <v>Figure</v>
      </c>
      <c r="I799">
        <v>0.89300000000000002</v>
      </c>
      <c r="J799">
        <v>9.1E-4</v>
      </c>
      <c r="K799">
        <v>0.96299999999999997</v>
      </c>
      <c r="L799">
        <v>0.19</v>
      </c>
      <c r="M799">
        <v>1.08</v>
      </c>
      <c r="N799">
        <v>1.2E-2</v>
      </c>
    </row>
    <row r="800" spans="1:14" x14ac:dyDescent="0.25">
      <c r="A800" t="s">
        <v>1490</v>
      </c>
      <c r="B800" t="s">
        <v>1491</v>
      </c>
      <c r="C800" s="1" t="str">
        <f>HYPERLINK("http://www.genecards.org/cgi-bin/carddisp.pl?gene=IDI1","GeneCards")</f>
        <v>GeneCards</v>
      </c>
      <c r="D800" s="1" t="str">
        <f>HYPERLINK("http://genome-euro.ucsc.edu/cgi-bin/hgTracks?position=204615_x_at","UCSC")</f>
        <v>UCSC</v>
      </c>
      <c r="E800" s="1" t="str">
        <f>HYPERLINK("http://www.ncbi.nlm.nih.gov/gene/?term=IDI1","NCBI")</f>
        <v>NCBI</v>
      </c>
      <c r="F800">
        <v>1.1999999999999999E-3</v>
      </c>
      <c r="G800">
        <v>2.5000000000000001E-2</v>
      </c>
      <c r="H800" s="1" t="str">
        <f>HYPERLINK("http://www.weizmann.ac.il/complex/compphys/software/geview/data/figures/204615_x_at.png","Figure")</f>
        <v>Figure</v>
      </c>
      <c r="I800">
        <v>1.19</v>
      </c>
      <c r="J800">
        <v>0.73</v>
      </c>
      <c r="K800">
        <v>0.47899999999999998</v>
      </c>
      <c r="L800">
        <v>6.4000000000000003E-3</v>
      </c>
      <c r="M800">
        <v>0.40300000000000002</v>
      </c>
      <c r="N800">
        <v>2.2000000000000001E-3</v>
      </c>
    </row>
    <row r="801" spans="1:14" x14ac:dyDescent="0.25">
      <c r="A801" t="s">
        <v>1492</v>
      </c>
      <c r="B801" t="s">
        <v>1493</v>
      </c>
      <c r="C801" s="1" t="str">
        <f>HYPERLINK("http://www.genecards.org/cgi-bin/carddisp.pl?gene=HSDL2","GeneCards")</f>
        <v>GeneCards</v>
      </c>
      <c r="D801" s="1" t="str">
        <f>HYPERLINK("http://genome-euro.ucsc.edu/cgi-bin/hgTracks?position=209513_s_at","UCSC")</f>
        <v>UCSC</v>
      </c>
      <c r="E801" s="1" t="str">
        <f>HYPERLINK("http://www.ncbi.nlm.nih.gov/gene/?term=HSDL2","NCBI")</f>
        <v>NCBI</v>
      </c>
      <c r="F801">
        <v>1.1999999999999999E-3</v>
      </c>
      <c r="G801">
        <v>2.5000000000000001E-2</v>
      </c>
      <c r="H801" s="1" t="str">
        <f>HYPERLINK("http://www.weizmann.ac.il/complex/compphys/software/geview/data/figures/209513_s_at.png","Figure")</f>
        <v>Figure</v>
      </c>
      <c r="I801">
        <v>0.82799999999999996</v>
      </c>
      <c r="J801">
        <v>0.37</v>
      </c>
      <c r="K801">
        <v>1.48</v>
      </c>
      <c r="L801">
        <v>1.4999999999999999E-2</v>
      </c>
      <c r="M801">
        <v>1.79</v>
      </c>
      <c r="N801">
        <v>1.4E-3</v>
      </c>
    </row>
    <row r="802" spans="1:14" x14ac:dyDescent="0.25">
      <c r="A802" t="s">
        <v>1494</v>
      </c>
      <c r="B802" t="s">
        <v>1495</v>
      </c>
      <c r="C802" s="1" t="str">
        <f>HYPERLINK("http://www.genecards.org/cgi-bin/carddisp.pl?gene=TST","GeneCards")</f>
        <v>GeneCards</v>
      </c>
      <c r="D802" s="1" t="str">
        <f>HYPERLINK("http://genome-euro.ucsc.edu/cgi-bin/hgTracks?position=209605_at","UCSC")</f>
        <v>UCSC</v>
      </c>
      <c r="E802" s="1" t="str">
        <f>HYPERLINK("http://www.ncbi.nlm.nih.gov/gene/?term=TST","NCBI")</f>
        <v>NCBI</v>
      </c>
      <c r="F802">
        <v>1.1999999999999999E-3</v>
      </c>
      <c r="G802">
        <v>2.5000000000000001E-2</v>
      </c>
      <c r="H802" s="1" t="str">
        <f>HYPERLINK("http://www.weizmann.ac.il/complex/compphys/software/geview/data/figures/209605_at.png","Figure")</f>
        <v>Figure</v>
      </c>
      <c r="I802">
        <v>1.57</v>
      </c>
      <c r="J802">
        <v>0.15</v>
      </c>
      <c r="K802">
        <v>2.58</v>
      </c>
      <c r="L802">
        <v>8.8000000000000003E-4</v>
      </c>
      <c r="M802">
        <v>1.65</v>
      </c>
      <c r="N802">
        <v>0.08</v>
      </c>
    </row>
    <row r="803" spans="1:14" x14ac:dyDescent="0.25">
      <c r="A803" t="s">
        <v>1496</v>
      </c>
      <c r="B803" t="s">
        <v>1497</v>
      </c>
      <c r="C803" s="1" t="str">
        <f>HYPERLINK("http://www.genecards.org/cgi-bin/carddisp.pl?gene=ZNF330","GeneCards")</f>
        <v>GeneCards</v>
      </c>
      <c r="D803" s="1" t="str">
        <f>HYPERLINK("http://genome-euro.ucsc.edu/cgi-bin/hgTracks?position=209814_at","UCSC")</f>
        <v>UCSC</v>
      </c>
      <c r="E803" s="1" t="str">
        <f>HYPERLINK("http://www.ncbi.nlm.nih.gov/gene/?term=ZNF330","NCBI")</f>
        <v>NCBI</v>
      </c>
      <c r="F803">
        <v>1.1999999999999999E-3</v>
      </c>
      <c r="G803">
        <v>2.5000000000000001E-2</v>
      </c>
      <c r="H803" s="1" t="str">
        <f>HYPERLINK("http://www.weizmann.ac.il/complex/compphys/software/geview/data/figures/209814_at.png","Figure")</f>
        <v>Figure</v>
      </c>
      <c r="I803">
        <v>0.53</v>
      </c>
      <c r="J803">
        <v>0.01</v>
      </c>
      <c r="K803">
        <v>0.47499999999999998</v>
      </c>
      <c r="L803">
        <v>1.1000000000000001E-3</v>
      </c>
      <c r="M803">
        <v>0.89600000000000002</v>
      </c>
      <c r="N803">
        <v>0.8</v>
      </c>
    </row>
    <row r="804" spans="1:14" x14ac:dyDescent="0.25">
      <c r="A804" t="s">
        <v>1498</v>
      </c>
      <c r="B804" t="s">
        <v>1499</v>
      </c>
      <c r="C804" s="1" t="str">
        <f>HYPERLINK("http://www.genecards.org/cgi-bin/carddisp.pl?gene=QKI","GeneCards")</f>
        <v>GeneCards</v>
      </c>
      <c r="D804" s="1" t="str">
        <f>HYPERLINK("http://genome-euro.ucsc.edu/cgi-bin/hgTracks?position=212263_at","UCSC")</f>
        <v>UCSC</v>
      </c>
      <c r="E804" s="1" t="str">
        <f>HYPERLINK("http://www.ncbi.nlm.nih.gov/gene/?term=QKI","NCBI")</f>
        <v>NCBI</v>
      </c>
      <c r="F804">
        <v>1.1999999999999999E-3</v>
      </c>
      <c r="G804">
        <v>2.5000000000000001E-2</v>
      </c>
      <c r="H804" s="1" t="str">
        <f>HYPERLINK("http://www.weizmann.ac.il/complex/compphys/software/geview/data/figures/212263_at.png","Figure")</f>
        <v>Figure</v>
      </c>
      <c r="I804">
        <v>0.499</v>
      </c>
      <c r="J804">
        <v>1.1000000000000001E-3</v>
      </c>
      <c r="K804">
        <v>0.64700000000000002</v>
      </c>
      <c r="L804">
        <v>1.2999999999999999E-2</v>
      </c>
      <c r="M804">
        <v>1.3</v>
      </c>
      <c r="N804">
        <v>0.18</v>
      </c>
    </row>
    <row r="805" spans="1:14" x14ac:dyDescent="0.25">
      <c r="A805" t="s">
        <v>1500</v>
      </c>
      <c r="B805" t="s">
        <v>1501</v>
      </c>
      <c r="C805" s="1" t="str">
        <f>HYPERLINK("http://www.genecards.org/cgi-bin/carddisp.pl?gene=FUBP1","GeneCards")</f>
        <v>GeneCards</v>
      </c>
      <c r="D805" s="1" t="str">
        <f>HYPERLINK("http://genome-euro.ucsc.edu/cgi-bin/hgTracks?position=212847_at","UCSC")</f>
        <v>UCSC</v>
      </c>
      <c r="E805" s="1" t="str">
        <f>HYPERLINK("http://www.ncbi.nlm.nih.gov/gene/?term=FUBP1","NCBI")</f>
        <v>NCBI</v>
      </c>
      <c r="F805">
        <v>1.1999999999999999E-3</v>
      </c>
      <c r="G805">
        <v>2.5000000000000001E-2</v>
      </c>
      <c r="H805" s="1" t="str">
        <f>HYPERLINK("http://www.weizmann.ac.il/complex/compphys/software/geview/data/figures/212847_at.png","Figure")</f>
        <v>Figure</v>
      </c>
      <c r="I805">
        <v>0.50700000000000001</v>
      </c>
      <c r="J805">
        <v>3.9E-2</v>
      </c>
      <c r="K805">
        <v>0.35499999999999998</v>
      </c>
      <c r="L805">
        <v>8.5999999999999998E-4</v>
      </c>
      <c r="M805">
        <v>0.69899999999999995</v>
      </c>
      <c r="N805">
        <v>0.28999999999999998</v>
      </c>
    </row>
    <row r="806" spans="1:14" x14ac:dyDescent="0.25">
      <c r="A806" t="s">
        <v>1502</v>
      </c>
      <c r="B806" t="s">
        <v>1503</v>
      </c>
      <c r="C806" s="1" t="str">
        <f>HYPERLINK("http://www.genecards.org/cgi-bin/carddisp.pl?gene=CDK5RAP1","GeneCards")</f>
        <v>GeneCards</v>
      </c>
      <c r="D806" s="1" t="str">
        <f>HYPERLINK("http://genome-euro.ucsc.edu/cgi-bin/hgTracks?position=218315_s_at","UCSC")</f>
        <v>UCSC</v>
      </c>
      <c r="E806" s="1" t="str">
        <f>HYPERLINK("http://www.ncbi.nlm.nih.gov/gene/?term=CDK5RAP1","NCBI")</f>
        <v>NCBI</v>
      </c>
      <c r="F806">
        <v>1.1999999999999999E-3</v>
      </c>
      <c r="G806">
        <v>2.5000000000000001E-2</v>
      </c>
      <c r="H806" s="1" t="str">
        <f>HYPERLINK("http://www.weizmann.ac.il/complex/compphys/software/geview/data/figures/218315_s_at.png","Figure")</f>
        <v>Figure</v>
      </c>
      <c r="I806">
        <v>1.37</v>
      </c>
      <c r="J806">
        <v>1.2999999999999999E-2</v>
      </c>
      <c r="K806">
        <v>0.90100000000000002</v>
      </c>
      <c r="L806">
        <v>0.43</v>
      </c>
      <c r="M806">
        <v>0.65900000000000003</v>
      </c>
      <c r="N806">
        <v>9.1E-4</v>
      </c>
    </row>
    <row r="807" spans="1:14" x14ac:dyDescent="0.25">
      <c r="A807" t="s">
        <v>1504</v>
      </c>
      <c r="B807" t="s">
        <v>1505</v>
      </c>
      <c r="C807" s="1" t="str">
        <f>HYPERLINK("http://www.genecards.org/cgi-bin/carddisp.pl?gene=CLEC4E","GeneCards")</f>
        <v>GeneCards</v>
      </c>
      <c r="D807" s="1" t="str">
        <f>HYPERLINK("http://genome-euro.ucsc.edu/cgi-bin/hgTracks?position=219859_at","UCSC")</f>
        <v>UCSC</v>
      </c>
      <c r="E807" s="1" t="str">
        <f>HYPERLINK("http://www.ncbi.nlm.nih.gov/gene/?term=CLEC4E","NCBI")</f>
        <v>NCBI</v>
      </c>
      <c r="F807">
        <v>1.1999999999999999E-3</v>
      </c>
      <c r="G807">
        <v>2.5000000000000001E-2</v>
      </c>
      <c r="H807" s="1" t="str">
        <f>HYPERLINK("http://www.weizmann.ac.il/complex/compphys/software/geview/data/figures/219859_at.png","Figure")</f>
        <v>Figure</v>
      </c>
      <c r="I807">
        <v>0.56499999999999995</v>
      </c>
      <c r="J807">
        <v>3.0999999999999999E-3</v>
      </c>
      <c r="K807">
        <v>1.01</v>
      </c>
      <c r="L807">
        <v>1</v>
      </c>
      <c r="M807">
        <v>1.78</v>
      </c>
      <c r="N807">
        <v>1.6000000000000001E-3</v>
      </c>
    </row>
    <row r="808" spans="1:14" x14ac:dyDescent="0.25">
      <c r="A808" t="s">
        <v>1506</v>
      </c>
      <c r="B808" t="s">
        <v>1507</v>
      </c>
      <c r="C808" s="1" t="str">
        <f>HYPERLINK("http://www.genecards.org/cgi-bin/carddisp.pl?gene=GLIPR1","GeneCards")</f>
        <v>GeneCards</v>
      </c>
      <c r="D808" s="1" t="str">
        <f>HYPERLINK("http://genome-euro.ucsc.edu/cgi-bin/hgTracks?position=204222_s_at","UCSC")</f>
        <v>UCSC</v>
      </c>
      <c r="E808" s="1" t="str">
        <f>HYPERLINK("http://www.ncbi.nlm.nih.gov/gene/?term=GLIPR1","NCBI")</f>
        <v>NCBI</v>
      </c>
      <c r="F808">
        <v>1.1999999999999999E-3</v>
      </c>
      <c r="G808">
        <v>2.5000000000000001E-2</v>
      </c>
      <c r="H808" s="1" t="str">
        <f>HYPERLINK("http://www.weizmann.ac.il/complex/compphys/software/geview/data/figures/204222_s_at.png","Figure")</f>
        <v>Figure</v>
      </c>
      <c r="I808">
        <v>0.433</v>
      </c>
      <c r="J808">
        <v>8.9999999999999998E-4</v>
      </c>
      <c r="K808">
        <v>0.74399999999999999</v>
      </c>
      <c r="L808">
        <v>0.16</v>
      </c>
      <c r="M808">
        <v>1.72</v>
      </c>
      <c r="N808">
        <v>1.4E-2</v>
      </c>
    </row>
    <row r="809" spans="1:14" x14ac:dyDescent="0.25">
      <c r="A809" t="s">
        <v>1508</v>
      </c>
      <c r="B809" t="s">
        <v>1509</v>
      </c>
      <c r="C809" s="1" t="str">
        <f>HYPERLINK("http://www.genecards.org/cgi-bin/carddisp.pl?gene=SMG7","GeneCards")</f>
        <v>GeneCards</v>
      </c>
      <c r="D809" s="1" t="str">
        <f>HYPERLINK("http://genome-euro.ucsc.edu/cgi-bin/hgTracks?position=217189_s_at","UCSC")</f>
        <v>UCSC</v>
      </c>
      <c r="E809" s="1" t="str">
        <f>HYPERLINK("http://www.ncbi.nlm.nih.gov/gene/?term=SMG7","NCBI")</f>
        <v>NCBI</v>
      </c>
      <c r="F809">
        <v>1.1999999999999999E-3</v>
      </c>
      <c r="G809">
        <v>2.5000000000000001E-2</v>
      </c>
      <c r="H809" s="1" t="str">
        <f>HYPERLINK("http://www.weizmann.ac.il/complex/compphys/software/geview/data/figures/217189_s_at.png","Figure")</f>
        <v>Figure</v>
      </c>
      <c r="I809">
        <v>1.32</v>
      </c>
      <c r="J809">
        <v>2.3999999999999998E-3</v>
      </c>
      <c r="K809">
        <v>1.01</v>
      </c>
      <c r="L809">
        <v>0.98</v>
      </c>
      <c r="M809">
        <v>0.76800000000000002</v>
      </c>
      <c r="N809">
        <v>1.9E-3</v>
      </c>
    </row>
    <row r="810" spans="1:14" x14ac:dyDescent="0.25">
      <c r="A810" t="s">
        <v>1510</v>
      </c>
      <c r="B810" t="s">
        <v>1511</v>
      </c>
      <c r="C810" s="1" t="str">
        <f>HYPERLINK("http://www.genecards.org/cgi-bin/carddisp.pl?gene=H3F3A /// H3F3B /// LOC440926","GeneCards")</f>
        <v>GeneCards</v>
      </c>
      <c r="D810" s="1" t="str">
        <f>HYPERLINK("http://genome-euro.ucsc.edu/cgi-bin/hgTracks?position=208755_x_at","UCSC")</f>
        <v>UCSC</v>
      </c>
      <c r="E810" s="1" t="str">
        <f>HYPERLINK("http://www.ncbi.nlm.nih.gov/gene/?term=H3F3A /// H3F3B /// LOC440926","NCBI")</f>
        <v>NCBI</v>
      </c>
      <c r="F810">
        <v>1.1999999999999999E-3</v>
      </c>
      <c r="G810">
        <v>2.5000000000000001E-2</v>
      </c>
      <c r="H810" s="1" t="str">
        <f>HYPERLINK("http://www.weizmann.ac.il/complex/compphys/software/geview/data/figures/208755_x_at.png","Figure")</f>
        <v>Figure</v>
      </c>
      <c r="I810">
        <v>1.57</v>
      </c>
      <c r="J810">
        <v>3.0999999999999999E-3</v>
      </c>
      <c r="K810">
        <v>1.51</v>
      </c>
      <c r="L810">
        <v>2.3E-3</v>
      </c>
      <c r="M810">
        <v>0.95899999999999996</v>
      </c>
      <c r="N810">
        <v>0.91</v>
      </c>
    </row>
    <row r="811" spans="1:14" x14ac:dyDescent="0.25">
      <c r="A811" t="s">
        <v>1512</v>
      </c>
      <c r="B811" t="s">
        <v>1513</v>
      </c>
      <c r="C811" s="1" t="str">
        <f>HYPERLINK("http://www.genecards.org/cgi-bin/carddisp.pl?gene=RNF139","GeneCards")</f>
        <v>GeneCards</v>
      </c>
      <c r="D811" s="1" t="str">
        <f>HYPERLINK("http://genome-euro.ucsc.edu/cgi-bin/hgTracks?position=209510_at","UCSC")</f>
        <v>UCSC</v>
      </c>
      <c r="E811" s="1" t="str">
        <f>HYPERLINK("http://www.ncbi.nlm.nih.gov/gene/?term=RNF139","NCBI")</f>
        <v>NCBI</v>
      </c>
      <c r="F811">
        <v>1.1999999999999999E-3</v>
      </c>
      <c r="G811">
        <v>2.5000000000000001E-2</v>
      </c>
      <c r="H811" s="1" t="str">
        <f>HYPERLINK("http://www.weizmann.ac.il/complex/compphys/software/geview/data/figures/209510_at.png","Figure")</f>
        <v>Figure</v>
      </c>
      <c r="I811">
        <v>0.49399999999999999</v>
      </c>
      <c r="J811">
        <v>8.5000000000000006E-3</v>
      </c>
      <c r="K811">
        <v>0.45200000000000001</v>
      </c>
      <c r="L811">
        <v>1.1999999999999999E-3</v>
      </c>
      <c r="M811">
        <v>0.91500000000000004</v>
      </c>
      <c r="N811">
        <v>0.88</v>
      </c>
    </row>
    <row r="812" spans="1:14" x14ac:dyDescent="0.25">
      <c r="A812" t="s">
        <v>1514</v>
      </c>
      <c r="B812" t="s">
        <v>1515</v>
      </c>
      <c r="C812" s="1" t="str">
        <f>HYPERLINK("http://www.genecards.org/cgi-bin/carddisp.pl?gene=EVI2B","GeneCards")</f>
        <v>GeneCards</v>
      </c>
      <c r="D812" s="1" t="str">
        <f>HYPERLINK("http://genome-euro.ucsc.edu/cgi-bin/hgTracks?position=211742_s_at","UCSC")</f>
        <v>UCSC</v>
      </c>
      <c r="E812" s="1" t="str">
        <f>HYPERLINK("http://www.ncbi.nlm.nih.gov/gene/?term=EVI2B","NCBI")</f>
        <v>NCBI</v>
      </c>
      <c r="F812">
        <v>1.1999999999999999E-3</v>
      </c>
      <c r="G812">
        <v>2.5000000000000001E-2</v>
      </c>
      <c r="H812" s="1" t="str">
        <f>HYPERLINK("http://www.weizmann.ac.il/complex/compphys/software/geview/data/figures/211742_s_at.png","Figure")</f>
        <v>Figure</v>
      </c>
      <c r="I812">
        <v>0.39300000000000002</v>
      </c>
      <c r="J812">
        <v>1.6000000000000001E-3</v>
      </c>
      <c r="K812">
        <v>0.874</v>
      </c>
      <c r="L812">
        <v>0.74</v>
      </c>
      <c r="M812">
        <v>2.2200000000000002</v>
      </c>
      <c r="N812">
        <v>3.2000000000000002E-3</v>
      </c>
    </row>
    <row r="813" spans="1:14" x14ac:dyDescent="0.25">
      <c r="A813" t="s">
        <v>1516</v>
      </c>
      <c r="B813" t="s">
        <v>1517</v>
      </c>
      <c r="C813" s="1" t="str">
        <f>HYPERLINK("http://www.genecards.org/cgi-bin/carddisp.pl?gene=LCP1","GeneCards")</f>
        <v>GeneCards</v>
      </c>
      <c r="D813" s="1" t="str">
        <f>HYPERLINK("http://genome-euro.ucsc.edu/cgi-bin/hgTracks?position=208885_at","UCSC")</f>
        <v>UCSC</v>
      </c>
      <c r="E813" s="1" t="str">
        <f>HYPERLINK("http://www.ncbi.nlm.nih.gov/gene/?term=LCP1","NCBI")</f>
        <v>NCBI</v>
      </c>
      <c r="F813">
        <v>1.1999999999999999E-3</v>
      </c>
      <c r="G813">
        <v>2.5000000000000001E-2</v>
      </c>
      <c r="H813" s="1" t="str">
        <f>HYPERLINK("http://www.weizmann.ac.il/complex/compphys/software/geview/data/figures/208885_at.png","Figure")</f>
        <v>Figure</v>
      </c>
      <c r="I813">
        <v>0.78900000000000003</v>
      </c>
      <c r="J813">
        <v>0.18</v>
      </c>
      <c r="K813">
        <v>1.36</v>
      </c>
      <c r="L813">
        <v>3.3000000000000002E-2</v>
      </c>
      <c r="M813">
        <v>1.73</v>
      </c>
      <c r="N813">
        <v>1.1000000000000001E-3</v>
      </c>
    </row>
    <row r="814" spans="1:14" x14ac:dyDescent="0.25">
      <c r="A814" t="s">
        <v>1518</v>
      </c>
      <c r="B814" t="s">
        <v>1519</v>
      </c>
      <c r="C814" s="1" t="str">
        <f>HYPERLINK("http://www.genecards.org/cgi-bin/carddisp.pl?gene=AIF1","GeneCards")</f>
        <v>GeneCards</v>
      </c>
      <c r="D814" s="1" t="str">
        <f>HYPERLINK("http://genome-euro.ucsc.edu/cgi-bin/hgTracks?position=213095_x_at","UCSC")</f>
        <v>UCSC</v>
      </c>
      <c r="E814" s="1" t="str">
        <f>HYPERLINK("http://www.ncbi.nlm.nih.gov/gene/?term=AIF1","NCBI")</f>
        <v>NCBI</v>
      </c>
      <c r="F814">
        <v>1.1999999999999999E-3</v>
      </c>
      <c r="G814">
        <v>2.5000000000000001E-2</v>
      </c>
      <c r="H814" s="1" t="str">
        <f>HYPERLINK("http://www.weizmann.ac.il/complex/compphys/software/geview/data/figures/213095_x_at.png","Figure")</f>
        <v>Figure</v>
      </c>
      <c r="I814">
        <v>0.432</v>
      </c>
      <c r="J814">
        <v>6.1999999999999998E-3</v>
      </c>
      <c r="K814">
        <v>0.41199999999999998</v>
      </c>
      <c r="L814">
        <v>1.5E-3</v>
      </c>
      <c r="M814">
        <v>0.95499999999999996</v>
      </c>
      <c r="N814">
        <v>0.97</v>
      </c>
    </row>
    <row r="815" spans="1:14" x14ac:dyDescent="0.25">
      <c r="A815" t="s">
        <v>1520</v>
      </c>
      <c r="B815" t="s">
        <v>1521</v>
      </c>
      <c r="C815" s="1" t="str">
        <f>HYPERLINK("http://www.genecards.org/cgi-bin/carddisp.pl?gene=RGS2","GeneCards")</f>
        <v>GeneCards</v>
      </c>
      <c r="D815" s="1" t="str">
        <f>HYPERLINK("http://genome-euro.ucsc.edu/cgi-bin/hgTracks?position=202388_at","UCSC")</f>
        <v>UCSC</v>
      </c>
      <c r="E815" s="1" t="str">
        <f>HYPERLINK("http://www.ncbi.nlm.nih.gov/gene/?term=RGS2","NCBI")</f>
        <v>NCBI</v>
      </c>
      <c r="F815">
        <v>1.1999999999999999E-3</v>
      </c>
      <c r="G815">
        <v>2.5000000000000001E-2</v>
      </c>
      <c r="H815" s="1" t="str">
        <f>HYPERLINK("http://www.weizmann.ac.il/complex/compphys/software/geview/data/figures/202388_at.png","Figure")</f>
        <v>Figure</v>
      </c>
      <c r="I815">
        <v>3.94</v>
      </c>
      <c r="J815">
        <v>1E-3</v>
      </c>
      <c r="K815">
        <v>2.27</v>
      </c>
      <c r="L815">
        <v>1.6E-2</v>
      </c>
      <c r="M815">
        <v>0.57599999999999996</v>
      </c>
      <c r="N815">
        <v>0.14000000000000001</v>
      </c>
    </row>
    <row r="816" spans="1:14" x14ac:dyDescent="0.25">
      <c r="A816" t="s">
        <v>1522</v>
      </c>
      <c r="B816" t="s">
        <v>1523</v>
      </c>
      <c r="C816" s="1" t="str">
        <f>HYPERLINK("http://www.genecards.org/cgi-bin/carddisp.pl?gene=PMAIP1","GeneCards")</f>
        <v>GeneCards</v>
      </c>
      <c r="D816" s="1" t="str">
        <f>HYPERLINK("http://genome-euro.ucsc.edu/cgi-bin/hgTracks?position=204286_s_at","UCSC")</f>
        <v>UCSC</v>
      </c>
      <c r="E816" s="1" t="str">
        <f>HYPERLINK("http://www.ncbi.nlm.nih.gov/gene/?term=PMAIP1","NCBI")</f>
        <v>NCBI</v>
      </c>
      <c r="F816">
        <v>1.1999999999999999E-3</v>
      </c>
      <c r="G816">
        <v>2.5000000000000001E-2</v>
      </c>
      <c r="H816" s="1" t="str">
        <f>HYPERLINK("http://www.weizmann.ac.il/complex/compphys/software/geview/data/figures/204286_s_at.png","Figure")</f>
        <v>Figure</v>
      </c>
      <c r="I816">
        <v>0.33100000000000002</v>
      </c>
      <c r="J816">
        <v>3.5000000000000001E-3</v>
      </c>
      <c r="K816">
        <v>0.35699999999999998</v>
      </c>
      <c r="L816">
        <v>2.2000000000000001E-3</v>
      </c>
      <c r="M816">
        <v>1.08</v>
      </c>
      <c r="N816">
        <v>0.95</v>
      </c>
    </row>
    <row r="817" spans="1:14" x14ac:dyDescent="0.25">
      <c r="A817" t="s">
        <v>1524</v>
      </c>
      <c r="B817" t="s">
        <v>1525</v>
      </c>
      <c r="C817" s="1" t="str">
        <f>HYPERLINK("http://www.genecards.org/cgi-bin/carddisp.pl?gene=NCKIPSD","GeneCards")</f>
        <v>GeneCards</v>
      </c>
      <c r="D817" s="1" t="str">
        <f>HYPERLINK("http://genome-euro.ucsc.edu/cgi-bin/hgTracks?position=216116_at","UCSC")</f>
        <v>UCSC</v>
      </c>
      <c r="E817" s="1" t="str">
        <f>HYPERLINK("http://www.ncbi.nlm.nih.gov/gene/?term=NCKIPSD","NCBI")</f>
        <v>NCBI</v>
      </c>
      <c r="F817">
        <v>1.1999999999999999E-3</v>
      </c>
      <c r="G817">
        <v>2.5000000000000001E-2</v>
      </c>
      <c r="H817" s="1" t="str">
        <f>HYPERLINK("http://www.weizmann.ac.il/complex/compphys/software/geview/data/figures/216116_at.png","Figure")</f>
        <v>Figure</v>
      </c>
      <c r="I817">
        <v>1.21</v>
      </c>
      <c r="J817">
        <v>8.8999999999999995E-4</v>
      </c>
      <c r="K817">
        <v>1.1000000000000001</v>
      </c>
      <c r="L817">
        <v>3.5999999999999997E-2</v>
      </c>
      <c r="M817">
        <v>0.91100000000000003</v>
      </c>
      <c r="N817">
        <v>0.06</v>
      </c>
    </row>
    <row r="818" spans="1:14" x14ac:dyDescent="0.25">
      <c r="A818" t="s">
        <v>1526</v>
      </c>
      <c r="B818" t="s">
        <v>1527</v>
      </c>
      <c r="C818" s="1" t="str">
        <f>HYPERLINK("http://www.genecards.org/cgi-bin/carddisp.pl?gene=LGALS3BP","GeneCards")</f>
        <v>GeneCards</v>
      </c>
      <c r="D818" s="1" t="str">
        <f>HYPERLINK("http://genome-euro.ucsc.edu/cgi-bin/hgTracks?position=200923_at","UCSC")</f>
        <v>UCSC</v>
      </c>
      <c r="E818" s="1" t="str">
        <f>HYPERLINK("http://www.ncbi.nlm.nih.gov/gene/?term=LGALS3BP","NCBI")</f>
        <v>NCBI</v>
      </c>
      <c r="F818">
        <v>1.1999999999999999E-3</v>
      </c>
      <c r="G818">
        <v>2.5999999999999999E-2</v>
      </c>
      <c r="H818" s="1" t="str">
        <f>HYPERLINK("http://www.weizmann.ac.il/complex/compphys/software/geview/data/figures/200923_at.png","Figure")</f>
        <v>Figure</v>
      </c>
      <c r="I818">
        <v>0.496</v>
      </c>
      <c r="J818">
        <v>2.7E-2</v>
      </c>
      <c r="K818">
        <v>1.44</v>
      </c>
      <c r="L818">
        <v>0.22</v>
      </c>
      <c r="M818">
        <v>2.91</v>
      </c>
      <c r="N818">
        <v>8.7000000000000001E-4</v>
      </c>
    </row>
    <row r="819" spans="1:14" x14ac:dyDescent="0.25">
      <c r="A819" t="s">
        <v>1528</v>
      </c>
      <c r="B819" t="s">
        <v>1529</v>
      </c>
      <c r="C819" s="1" t="str">
        <f>HYPERLINK("http://www.genecards.org/cgi-bin/carddisp.pl?gene=ALOX5AP","GeneCards")</f>
        <v>GeneCards</v>
      </c>
      <c r="D819" s="1" t="str">
        <f>HYPERLINK("http://genome-euro.ucsc.edu/cgi-bin/hgTracks?position=204174_at","UCSC")</f>
        <v>UCSC</v>
      </c>
      <c r="E819" s="1" t="str">
        <f>HYPERLINK("http://www.ncbi.nlm.nih.gov/gene/?term=ALOX5AP","NCBI")</f>
        <v>NCBI</v>
      </c>
      <c r="F819">
        <v>1.1999999999999999E-3</v>
      </c>
      <c r="G819">
        <v>2.5999999999999999E-2</v>
      </c>
      <c r="H819" s="1" t="str">
        <f>HYPERLINK("http://www.weizmann.ac.il/complex/compphys/software/geview/data/figures/204174_at.png","Figure")</f>
        <v>Figure</v>
      </c>
      <c r="I819">
        <v>0.43</v>
      </c>
      <c r="J819">
        <v>2.0999999999999999E-3</v>
      </c>
      <c r="K819">
        <v>0.50600000000000001</v>
      </c>
      <c r="L819">
        <v>3.8E-3</v>
      </c>
      <c r="M819">
        <v>1.17</v>
      </c>
      <c r="N819">
        <v>0.66</v>
      </c>
    </row>
    <row r="820" spans="1:14" x14ac:dyDescent="0.25">
      <c r="A820" t="s">
        <v>1530</v>
      </c>
      <c r="B820" t="s">
        <v>1531</v>
      </c>
      <c r="C820" s="1" t="str">
        <f>HYPERLINK("http://www.genecards.org/cgi-bin/carddisp.pl?gene=MED8","GeneCards")</f>
        <v>GeneCards</v>
      </c>
      <c r="D820" s="1" t="str">
        <f>HYPERLINK("http://genome-euro.ucsc.edu/cgi-bin/hgTracks?position=213127_s_at","UCSC")</f>
        <v>UCSC</v>
      </c>
      <c r="E820" s="1" t="str">
        <f>HYPERLINK("http://www.ncbi.nlm.nih.gov/gene/?term=MED8","NCBI")</f>
        <v>NCBI</v>
      </c>
      <c r="F820">
        <v>1.1999999999999999E-3</v>
      </c>
      <c r="G820">
        <v>2.5999999999999999E-2</v>
      </c>
      <c r="H820" s="1" t="str">
        <f>HYPERLINK("http://www.weizmann.ac.il/complex/compphys/software/geview/data/figures/213127_s_at.png","Figure")</f>
        <v>Figure</v>
      </c>
      <c r="I820">
        <v>1.31</v>
      </c>
      <c r="J820">
        <v>9.2000000000000003E-4</v>
      </c>
      <c r="K820">
        <v>1.1499999999999999</v>
      </c>
      <c r="L820">
        <v>3.1E-2</v>
      </c>
      <c r="M820">
        <v>0.879</v>
      </c>
      <c r="N820">
        <v>7.1999999999999995E-2</v>
      </c>
    </row>
    <row r="821" spans="1:14" x14ac:dyDescent="0.25">
      <c r="A821" t="s">
        <v>1532</v>
      </c>
      <c r="B821" t="s">
        <v>1533</v>
      </c>
      <c r="C821" s="1" t="str">
        <f>HYPERLINK("http://www.genecards.org/cgi-bin/carddisp.pl?gene=CRYL1","GeneCards")</f>
        <v>GeneCards</v>
      </c>
      <c r="D821" s="1" t="str">
        <f>HYPERLINK("http://genome-euro.ucsc.edu/cgi-bin/hgTracks?position=220753_s_at","UCSC")</f>
        <v>UCSC</v>
      </c>
      <c r="E821" s="1" t="str">
        <f>HYPERLINK("http://www.ncbi.nlm.nih.gov/gene/?term=CRYL1","NCBI")</f>
        <v>NCBI</v>
      </c>
      <c r="F821">
        <v>1.1999999999999999E-3</v>
      </c>
      <c r="G821">
        <v>2.5999999999999999E-2</v>
      </c>
      <c r="H821" s="1" t="str">
        <f>HYPERLINK("http://www.weizmann.ac.il/complex/compphys/software/geview/data/figures/220753_s_at.png","Figure")</f>
        <v>Figure</v>
      </c>
      <c r="I821">
        <v>0.747</v>
      </c>
      <c r="J821">
        <v>8.5000000000000006E-3</v>
      </c>
      <c r="K821">
        <v>1.07</v>
      </c>
      <c r="L821">
        <v>0.62</v>
      </c>
      <c r="M821">
        <v>1.43</v>
      </c>
      <c r="N821">
        <v>1E-3</v>
      </c>
    </row>
    <row r="822" spans="1:14" x14ac:dyDescent="0.25">
      <c r="A822" t="s">
        <v>1534</v>
      </c>
      <c r="B822" t="s">
        <v>1535</v>
      </c>
      <c r="C822" s="1" t="str">
        <f>HYPERLINK("http://www.genecards.org/cgi-bin/carddisp.pl?gene=ATIC","GeneCards")</f>
        <v>GeneCards</v>
      </c>
      <c r="D822" s="1" t="str">
        <f>HYPERLINK("http://genome-euro.ucsc.edu/cgi-bin/hgTracks?position=208758_at","UCSC")</f>
        <v>UCSC</v>
      </c>
      <c r="E822" s="1" t="str">
        <f>HYPERLINK("http://www.ncbi.nlm.nih.gov/gene/?term=ATIC","NCBI")</f>
        <v>NCBI</v>
      </c>
      <c r="F822">
        <v>1.1999999999999999E-3</v>
      </c>
      <c r="G822">
        <v>2.5999999999999999E-2</v>
      </c>
      <c r="H822" s="1" t="str">
        <f>HYPERLINK("http://www.weizmann.ac.il/complex/compphys/software/geview/data/figures/208758_at.png","Figure")</f>
        <v>Figure</v>
      </c>
      <c r="I822">
        <v>1.58</v>
      </c>
      <c r="J822">
        <v>7.9000000000000001E-2</v>
      </c>
      <c r="K822">
        <v>2.25</v>
      </c>
      <c r="L822">
        <v>8.8000000000000003E-4</v>
      </c>
      <c r="M822">
        <v>1.43</v>
      </c>
      <c r="N822">
        <v>0.16</v>
      </c>
    </row>
    <row r="823" spans="1:14" x14ac:dyDescent="0.25">
      <c r="A823" t="s">
        <v>1536</v>
      </c>
      <c r="B823" t="s">
        <v>1537</v>
      </c>
      <c r="C823" s="1" t="str">
        <f>HYPERLINK("http://www.genecards.org/cgi-bin/carddisp.pl?gene=ATG9A","GeneCards")</f>
        <v>GeneCards</v>
      </c>
      <c r="D823" s="1" t="str">
        <f>HYPERLINK("http://genome-euro.ucsc.edu/cgi-bin/hgTracks?position=202492_at","UCSC")</f>
        <v>UCSC</v>
      </c>
      <c r="E823" s="1" t="str">
        <f>HYPERLINK("http://www.ncbi.nlm.nih.gov/gene/?term=ATG9A","NCBI")</f>
        <v>NCBI</v>
      </c>
      <c r="F823">
        <v>1.1999999999999999E-3</v>
      </c>
      <c r="G823">
        <v>2.5999999999999999E-2</v>
      </c>
      <c r="H823" s="1" t="str">
        <f>HYPERLINK("http://www.weizmann.ac.il/complex/compphys/software/geview/data/figures/202492_at.png","Figure")</f>
        <v>Figure</v>
      </c>
      <c r="I823">
        <v>0.88200000000000001</v>
      </c>
      <c r="J823">
        <v>0.59</v>
      </c>
      <c r="K823">
        <v>0.60399999999999998</v>
      </c>
      <c r="L823">
        <v>1.4E-3</v>
      </c>
      <c r="M823">
        <v>0.68500000000000005</v>
      </c>
      <c r="N823">
        <v>1.7000000000000001E-2</v>
      </c>
    </row>
    <row r="824" spans="1:14" x14ac:dyDescent="0.25">
      <c r="A824" t="s">
        <v>1538</v>
      </c>
      <c r="B824" t="s">
        <v>1539</v>
      </c>
      <c r="C824" s="1" t="str">
        <f>HYPERLINK("http://www.genecards.org/cgi-bin/carddisp.pl?gene=CEP250","GeneCards")</f>
        <v>GeneCards</v>
      </c>
      <c r="D824" s="1" t="str">
        <f>HYPERLINK("http://genome-euro.ucsc.edu/cgi-bin/hgTracks?position=209495_at","UCSC")</f>
        <v>UCSC</v>
      </c>
      <c r="E824" s="1" t="str">
        <f>HYPERLINK("http://www.ncbi.nlm.nih.gov/gene/?term=CEP250","NCBI")</f>
        <v>NCBI</v>
      </c>
      <c r="F824">
        <v>1.1999999999999999E-3</v>
      </c>
      <c r="G824">
        <v>2.5999999999999999E-2</v>
      </c>
      <c r="H824" s="1" t="str">
        <f>HYPERLINK("http://www.weizmann.ac.il/complex/compphys/software/geview/data/figures/209495_at.png","Figure")</f>
        <v>Figure</v>
      </c>
      <c r="I824">
        <v>1.36</v>
      </c>
      <c r="J824">
        <v>1E-3</v>
      </c>
      <c r="K824">
        <v>1.19</v>
      </c>
      <c r="L824">
        <v>1.9E-2</v>
      </c>
      <c r="M824">
        <v>0.879</v>
      </c>
      <c r="N824">
        <v>0.12</v>
      </c>
    </row>
    <row r="825" spans="1:14" x14ac:dyDescent="0.25">
      <c r="A825" t="s">
        <v>1540</v>
      </c>
      <c r="B825" t="s">
        <v>1541</v>
      </c>
      <c r="C825" s="1" t="str">
        <f>HYPERLINK("http://www.genecards.org/cgi-bin/carddisp.pl?gene=KAT5","GeneCards")</f>
        <v>GeneCards</v>
      </c>
      <c r="D825" s="1" t="str">
        <f>HYPERLINK("http://genome-euro.ucsc.edu/cgi-bin/hgTracks?position=209192_x_at","UCSC")</f>
        <v>UCSC</v>
      </c>
      <c r="E825" s="1" t="str">
        <f>HYPERLINK("http://www.ncbi.nlm.nih.gov/gene/?term=KAT5","NCBI")</f>
        <v>NCBI</v>
      </c>
      <c r="F825">
        <v>1.1999999999999999E-3</v>
      </c>
      <c r="G825">
        <v>2.5999999999999999E-2</v>
      </c>
      <c r="H825" s="1" t="str">
        <f>HYPERLINK("http://www.weizmann.ac.il/complex/compphys/software/geview/data/figures/209192_x_at.png","Figure")</f>
        <v>Figure</v>
      </c>
      <c r="I825">
        <v>1.48</v>
      </c>
      <c r="J825">
        <v>8.9999999999999998E-4</v>
      </c>
      <c r="K825">
        <v>1.1599999999999999</v>
      </c>
      <c r="L825">
        <v>0.12</v>
      </c>
      <c r="M825">
        <v>0.78700000000000003</v>
      </c>
      <c r="N825">
        <v>1.9E-2</v>
      </c>
    </row>
    <row r="826" spans="1:14" x14ac:dyDescent="0.25">
      <c r="A826" t="s">
        <v>1542</v>
      </c>
      <c r="B826" t="s">
        <v>1543</v>
      </c>
      <c r="C826" s="1" t="str">
        <f>HYPERLINK("http://www.genecards.org/cgi-bin/carddisp.pl?gene=PHF15","GeneCards")</f>
        <v>GeneCards</v>
      </c>
      <c r="D826" s="1" t="str">
        <f>HYPERLINK("http://genome-euro.ucsc.edu/cgi-bin/hgTracks?position=212660_at","UCSC")</f>
        <v>UCSC</v>
      </c>
      <c r="E826" s="1" t="str">
        <f>HYPERLINK("http://www.ncbi.nlm.nih.gov/gene/?term=PHF15","NCBI")</f>
        <v>NCBI</v>
      </c>
      <c r="F826">
        <v>1.1999999999999999E-3</v>
      </c>
      <c r="G826">
        <v>2.5999999999999999E-2</v>
      </c>
      <c r="H826" s="1" t="str">
        <f>HYPERLINK("http://www.weizmann.ac.il/complex/compphys/software/geview/data/figures/212660_at.png","Figure")</f>
        <v>Figure</v>
      </c>
      <c r="I826">
        <v>0.65800000000000003</v>
      </c>
      <c r="J826">
        <v>2.5000000000000001E-2</v>
      </c>
      <c r="K826">
        <v>1.23</v>
      </c>
      <c r="L826">
        <v>0.23</v>
      </c>
      <c r="M826">
        <v>1.87</v>
      </c>
      <c r="N826">
        <v>8.8999999999999995E-4</v>
      </c>
    </row>
    <row r="827" spans="1:14" x14ac:dyDescent="0.25">
      <c r="A827" t="s">
        <v>1544</v>
      </c>
      <c r="B827" t="s">
        <v>1326</v>
      </c>
      <c r="C827" s="1" t="str">
        <f>HYPERLINK("http://www.genecards.org/cgi-bin/carddisp.pl?gene=CSH2","GeneCards")</f>
        <v>GeneCards</v>
      </c>
      <c r="D827" s="1" t="str">
        <f>HYPERLINK("http://genome-euro.ucsc.edu/cgi-bin/hgTracks?position=208341_x_at","UCSC")</f>
        <v>UCSC</v>
      </c>
      <c r="E827" s="1" t="str">
        <f>HYPERLINK("http://www.ncbi.nlm.nih.gov/gene/?term=CSH2","NCBI")</f>
        <v>NCBI</v>
      </c>
      <c r="F827">
        <v>1.2999999999999999E-3</v>
      </c>
      <c r="G827">
        <v>2.5999999999999999E-2</v>
      </c>
      <c r="H827" s="1" t="str">
        <f>HYPERLINK("http://www.weizmann.ac.il/complex/compphys/software/geview/data/figures/208341_x_at.png","Figure")</f>
        <v>Figure</v>
      </c>
      <c r="I827">
        <v>1.23</v>
      </c>
      <c r="J827">
        <v>1.9E-3</v>
      </c>
      <c r="K827">
        <v>1.18</v>
      </c>
      <c r="L827">
        <v>4.4999999999999997E-3</v>
      </c>
      <c r="M827">
        <v>0.95499999999999996</v>
      </c>
      <c r="N827">
        <v>0.56999999999999995</v>
      </c>
    </row>
    <row r="828" spans="1:14" x14ac:dyDescent="0.25">
      <c r="A828" t="s">
        <v>1545</v>
      </c>
      <c r="B828" t="s">
        <v>1546</v>
      </c>
      <c r="C828" s="1" t="str">
        <f>HYPERLINK("http://www.genecards.org/cgi-bin/carddisp.pl?gene=MAGED1","GeneCards")</f>
        <v>GeneCards</v>
      </c>
      <c r="D828" s="1" t="str">
        <f>HYPERLINK("http://genome-euro.ucsc.edu/cgi-bin/hgTracks?position=209014_at","UCSC")</f>
        <v>UCSC</v>
      </c>
      <c r="E828" s="1" t="str">
        <f>HYPERLINK("http://www.ncbi.nlm.nih.gov/gene/?term=MAGED1","NCBI")</f>
        <v>NCBI</v>
      </c>
      <c r="F828">
        <v>1.2999999999999999E-3</v>
      </c>
      <c r="G828">
        <v>2.5999999999999999E-2</v>
      </c>
      <c r="H828" s="1" t="str">
        <f>HYPERLINK("http://www.weizmann.ac.il/complex/compphys/software/geview/data/figures/209014_at.png","Figure")</f>
        <v>Figure</v>
      </c>
      <c r="I828">
        <v>0.99299999999999999</v>
      </c>
      <c r="J828">
        <v>1</v>
      </c>
      <c r="K828">
        <v>1.89</v>
      </c>
      <c r="L828">
        <v>3.0999999999999999E-3</v>
      </c>
      <c r="M828">
        <v>1.9</v>
      </c>
      <c r="N828">
        <v>4.7999999999999996E-3</v>
      </c>
    </row>
    <row r="829" spans="1:14" x14ac:dyDescent="0.25">
      <c r="A829" t="s">
        <v>1547</v>
      </c>
      <c r="B829" t="s">
        <v>1548</v>
      </c>
      <c r="C829" s="1" t="str">
        <f>HYPERLINK("http://www.genecards.org/cgi-bin/carddisp.pl?gene=ARHGEF3","GeneCards")</f>
        <v>GeneCards</v>
      </c>
      <c r="D829" s="1" t="str">
        <f>HYPERLINK("http://genome-euro.ucsc.edu/cgi-bin/hgTracks?position=218501_at","UCSC")</f>
        <v>UCSC</v>
      </c>
      <c r="E829" s="1" t="str">
        <f>HYPERLINK("http://www.ncbi.nlm.nih.gov/gene/?term=ARHGEF3","NCBI")</f>
        <v>NCBI</v>
      </c>
      <c r="F829">
        <v>1.2999999999999999E-3</v>
      </c>
      <c r="G829">
        <v>2.5999999999999999E-2</v>
      </c>
      <c r="H829" s="1" t="str">
        <f>HYPERLINK("http://www.weizmann.ac.il/complex/compphys/software/geview/data/figures/218501_at.png","Figure")</f>
        <v>Figure</v>
      </c>
      <c r="I829">
        <v>0.72599999999999998</v>
      </c>
      <c r="J829">
        <v>3.0000000000000001E-3</v>
      </c>
      <c r="K829">
        <v>1</v>
      </c>
      <c r="L829">
        <v>1</v>
      </c>
      <c r="M829">
        <v>1.38</v>
      </c>
      <c r="N829">
        <v>1.8E-3</v>
      </c>
    </row>
    <row r="830" spans="1:14" x14ac:dyDescent="0.25">
      <c r="A830" t="s">
        <v>1549</v>
      </c>
      <c r="B830" t="s">
        <v>1550</v>
      </c>
      <c r="C830" s="1" t="str">
        <f>HYPERLINK("http://www.genecards.org/cgi-bin/carddisp.pl?gene=SHQ1","GeneCards")</f>
        <v>GeneCards</v>
      </c>
      <c r="D830" s="1" t="str">
        <f>HYPERLINK("http://genome-euro.ucsc.edu/cgi-bin/hgTracks?position=219083_at","UCSC")</f>
        <v>UCSC</v>
      </c>
      <c r="E830" s="1" t="str">
        <f>HYPERLINK("http://www.ncbi.nlm.nih.gov/gene/?term=SHQ1","NCBI")</f>
        <v>NCBI</v>
      </c>
      <c r="F830">
        <v>1.2999999999999999E-3</v>
      </c>
      <c r="G830">
        <v>2.5999999999999999E-2</v>
      </c>
      <c r="H830" s="1" t="str">
        <f>HYPERLINK("http://www.weizmann.ac.il/complex/compphys/software/geview/data/figures/219083_at.png","Figure")</f>
        <v>Figure</v>
      </c>
      <c r="I830">
        <v>0.71099999999999997</v>
      </c>
      <c r="J830">
        <v>0.38</v>
      </c>
      <c r="K830">
        <v>2.02</v>
      </c>
      <c r="L830">
        <v>1.6E-2</v>
      </c>
      <c r="M830">
        <v>2.84</v>
      </c>
      <c r="N830">
        <v>1.5E-3</v>
      </c>
    </row>
    <row r="831" spans="1:14" x14ac:dyDescent="0.25">
      <c r="A831" t="s">
        <v>1551</v>
      </c>
      <c r="B831" t="s">
        <v>1552</v>
      </c>
      <c r="C831" s="1" t="str">
        <f>HYPERLINK("http://www.genecards.org/cgi-bin/carddisp.pl?gene=TUBA8","GeneCards")</f>
        <v>GeneCards</v>
      </c>
      <c r="D831" s="1" t="str">
        <f>HYPERLINK("http://genome-euro.ucsc.edu/cgi-bin/hgTracks?position=220069_at","UCSC")</f>
        <v>UCSC</v>
      </c>
      <c r="E831" s="1" t="str">
        <f>HYPERLINK("http://www.ncbi.nlm.nih.gov/gene/?term=TUBA8","NCBI")</f>
        <v>NCBI</v>
      </c>
      <c r="F831">
        <v>1.2999999999999999E-3</v>
      </c>
      <c r="G831">
        <v>2.5999999999999999E-2</v>
      </c>
      <c r="H831" s="1" t="str">
        <f>HYPERLINK("http://www.weizmann.ac.il/complex/compphys/software/geview/data/figures/220069_at.png","Figure")</f>
        <v>Figure</v>
      </c>
      <c r="I831">
        <v>0.89300000000000002</v>
      </c>
      <c r="J831">
        <v>8.2000000000000007E-3</v>
      </c>
      <c r="K831">
        <v>1.03</v>
      </c>
      <c r="L831">
        <v>0.64</v>
      </c>
      <c r="M831">
        <v>1.1499999999999999</v>
      </c>
      <c r="N831">
        <v>1.1000000000000001E-3</v>
      </c>
    </row>
    <row r="832" spans="1:14" x14ac:dyDescent="0.25">
      <c r="A832" t="s">
        <v>1553</v>
      </c>
      <c r="B832" t="s">
        <v>1554</v>
      </c>
      <c r="C832" s="1" t="str">
        <f>HYPERLINK("http://www.genecards.org/cgi-bin/carddisp.pl?gene=SSX2IP","GeneCards")</f>
        <v>GeneCards</v>
      </c>
      <c r="D832" s="1" t="str">
        <f>HYPERLINK("http://genome-euro.ucsc.edu/cgi-bin/hgTracks?position=203015_s_at","UCSC")</f>
        <v>UCSC</v>
      </c>
      <c r="E832" s="1" t="str">
        <f>HYPERLINK("http://www.ncbi.nlm.nih.gov/gene/?term=SSX2IP","NCBI")</f>
        <v>NCBI</v>
      </c>
      <c r="F832">
        <v>1.2999999999999999E-3</v>
      </c>
      <c r="G832">
        <v>2.5999999999999999E-2</v>
      </c>
      <c r="H832" s="1" t="str">
        <f>HYPERLINK("http://www.weizmann.ac.il/complex/compphys/software/geview/data/figures/203015_s_at.png","Figure")</f>
        <v>Figure</v>
      </c>
      <c r="I832">
        <v>1.24</v>
      </c>
      <c r="J832">
        <v>5.7999999999999996E-3</v>
      </c>
      <c r="K832">
        <v>0.97</v>
      </c>
      <c r="L832">
        <v>0.81</v>
      </c>
      <c r="M832">
        <v>0.78300000000000003</v>
      </c>
      <c r="N832">
        <v>1.1999999999999999E-3</v>
      </c>
    </row>
    <row r="833" spans="1:14" x14ac:dyDescent="0.25">
      <c r="A833" t="s">
        <v>1555</v>
      </c>
      <c r="B833" t="s">
        <v>1556</v>
      </c>
      <c r="C833" s="1" t="str">
        <f>HYPERLINK("http://www.genecards.org/cgi-bin/carddisp.pl?gene=DYNC2H1","GeneCards")</f>
        <v>GeneCards</v>
      </c>
      <c r="D833" s="1" t="str">
        <f>HYPERLINK("http://genome-euro.ucsc.edu/cgi-bin/hgTracks?position=219469_at","UCSC")</f>
        <v>UCSC</v>
      </c>
      <c r="E833" s="1" t="str">
        <f>HYPERLINK("http://www.ncbi.nlm.nih.gov/gene/?term=DYNC2H1","NCBI")</f>
        <v>NCBI</v>
      </c>
      <c r="F833">
        <v>1.2999999999999999E-3</v>
      </c>
      <c r="G833">
        <v>2.5999999999999999E-2</v>
      </c>
      <c r="H833" s="1" t="str">
        <f>HYPERLINK("http://www.weizmann.ac.il/complex/compphys/software/geview/data/figures/219469_at.png","Figure")</f>
        <v>Figure</v>
      </c>
      <c r="I833">
        <v>0.55400000000000005</v>
      </c>
      <c r="J833">
        <v>2.3E-3</v>
      </c>
      <c r="K833">
        <v>0.96099999999999997</v>
      </c>
      <c r="L833">
        <v>0.94</v>
      </c>
      <c r="M833">
        <v>1.73</v>
      </c>
      <c r="N833">
        <v>2.3E-3</v>
      </c>
    </row>
    <row r="834" spans="1:14" x14ac:dyDescent="0.25">
      <c r="A834" t="s">
        <v>1557</v>
      </c>
      <c r="B834" t="s">
        <v>500</v>
      </c>
      <c r="C834" s="1" t="str">
        <f>HYPERLINK("http://www.genecards.org/cgi-bin/carddisp.pl?gene=ITM2A","GeneCards")</f>
        <v>GeneCards</v>
      </c>
      <c r="D834" s="1" t="str">
        <f>HYPERLINK("http://genome-euro.ucsc.edu/cgi-bin/hgTracks?position=202746_at","UCSC")</f>
        <v>UCSC</v>
      </c>
      <c r="E834" s="1" t="str">
        <f>HYPERLINK("http://www.ncbi.nlm.nih.gov/gene/?term=ITM2A","NCBI")</f>
        <v>NCBI</v>
      </c>
      <c r="F834">
        <v>1.2999999999999999E-3</v>
      </c>
      <c r="G834">
        <v>2.5999999999999999E-2</v>
      </c>
      <c r="H834" s="1" t="str">
        <f>HYPERLINK("http://www.weizmann.ac.il/complex/compphys/software/geview/data/figures/202746_at.png","Figure")</f>
        <v>Figure</v>
      </c>
      <c r="I834">
        <v>1</v>
      </c>
      <c r="J834">
        <v>1</v>
      </c>
      <c r="K834">
        <v>0.439</v>
      </c>
      <c r="L834">
        <v>3.0999999999999999E-3</v>
      </c>
      <c r="M834">
        <v>0.439</v>
      </c>
      <c r="N834">
        <v>5.1000000000000004E-3</v>
      </c>
    </row>
    <row r="835" spans="1:14" x14ac:dyDescent="0.25">
      <c r="A835" t="s">
        <v>1558</v>
      </c>
      <c r="B835" t="s">
        <v>1559</v>
      </c>
      <c r="C835" s="1" t="str">
        <f>HYPERLINK("http://www.genecards.org/cgi-bin/carddisp.pl?gene=RIN2","GeneCards")</f>
        <v>GeneCards</v>
      </c>
      <c r="D835" s="1" t="str">
        <f>HYPERLINK("http://genome-euro.ucsc.edu/cgi-bin/hgTracks?position=209684_at","UCSC")</f>
        <v>UCSC</v>
      </c>
      <c r="E835" s="1" t="str">
        <f>HYPERLINK("http://www.ncbi.nlm.nih.gov/gene/?term=RIN2","NCBI")</f>
        <v>NCBI</v>
      </c>
      <c r="F835">
        <v>1.2999999999999999E-3</v>
      </c>
      <c r="G835">
        <v>2.5999999999999999E-2</v>
      </c>
      <c r="H835" s="1" t="str">
        <f>HYPERLINK("http://www.weizmann.ac.il/complex/compphys/software/geview/data/figures/209684_at.png","Figure")</f>
        <v>Figure</v>
      </c>
      <c r="I835">
        <v>0.84099999999999997</v>
      </c>
      <c r="J835">
        <v>3.0999999999999999E-3</v>
      </c>
      <c r="K835">
        <v>1</v>
      </c>
      <c r="L835">
        <v>1</v>
      </c>
      <c r="M835">
        <v>1.19</v>
      </c>
      <c r="N835">
        <v>1.8E-3</v>
      </c>
    </row>
    <row r="836" spans="1:14" x14ac:dyDescent="0.25">
      <c r="A836" t="s">
        <v>1560</v>
      </c>
      <c r="B836" t="s">
        <v>1561</v>
      </c>
      <c r="C836" s="1" t="str">
        <f>HYPERLINK("http://www.genecards.org/cgi-bin/carddisp.pl?gene=FAM190B","GeneCards")</f>
        <v>GeneCards</v>
      </c>
      <c r="D836" s="1" t="str">
        <f>HYPERLINK("http://genome-euro.ucsc.edu/cgi-bin/hgTracks?position=209379_s_at","UCSC")</f>
        <v>UCSC</v>
      </c>
      <c r="E836" s="1" t="str">
        <f>HYPERLINK("http://www.ncbi.nlm.nih.gov/gene/?term=FAM190B","NCBI")</f>
        <v>NCBI</v>
      </c>
      <c r="F836">
        <v>1.2999999999999999E-3</v>
      </c>
      <c r="G836">
        <v>2.5999999999999999E-2</v>
      </c>
      <c r="H836" s="1" t="str">
        <f>HYPERLINK("http://www.weizmann.ac.il/complex/compphys/software/geview/data/figures/209379_s_at.png","Figure")</f>
        <v>Figure</v>
      </c>
      <c r="I836">
        <v>0.34699999999999998</v>
      </c>
      <c r="J836">
        <v>9.7000000000000005E-4</v>
      </c>
      <c r="K836">
        <v>0.68899999999999995</v>
      </c>
      <c r="L836">
        <v>0.17</v>
      </c>
      <c r="M836">
        <v>1.98</v>
      </c>
      <c r="N836">
        <v>1.4E-2</v>
      </c>
    </row>
    <row r="837" spans="1:14" x14ac:dyDescent="0.25">
      <c r="A837" t="s">
        <v>1562</v>
      </c>
      <c r="B837" t="s">
        <v>1563</v>
      </c>
      <c r="C837" s="1" t="str">
        <f>HYPERLINK("http://www.genecards.org/cgi-bin/carddisp.pl?gene=PQLC3","GeneCards")</f>
        <v>GeneCards</v>
      </c>
      <c r="D837" s="1" t="str">
        <f>HYPERLINK("http://genome-euro.ucsc.edu/cgi-bin/hgTracks?position=216458_at","UCSC")</f>
        <v>UCSC</v>
      </c>
      <c r="E837" s="1" t="str">
        <f>HYPERLINK("http://www.ncbi.nlm.nih.gov/gene/?term=PQLC3","NCBI")</f>
        <v>NCBI</v>
      </c>
      <c r="F837">
        <v>1.2999999999999999E-3</v>
      </c>
      <c r="G837">
        <v>2.5999999999999999E-2</v>
      </c>
      <c r="H837" s="1" t="str">
        <f>HYPERLINK("http://www.weizmann.ac.il/complex/compphys/software/geview/data/figures/216458_at.png","Figure")</f>
        <v>Figure</v>
      </c>
      <c r="I837">
        <v>1.31</v>
      </c>
      <c r="J837">
        <v>1.1999999999999999E-3</v>
      </c>
      <c r="K837">
        <v>1.07</v>
      </c>
      <c r="L837">
        <v>0.37</v>
      </c>
      <c r="M837">
        <v>0.82</v>
      </c>
      <c r="N837">
        <v>6.8999999999999999E-3</v>
      </c>
    </row>
    <row r="838" spans="1:14" x14ac:dyDescent="0.25">
      <c r="A838" t="s">
        <v>1564</v>
      </c>
      <c r="B838" t="s">
        <v>1425</v>
      </c>
      <c r="C838" s="1" t="str">
        <f>HYPERLINK("http://www.genecards.org/cgi-bin/carddisp.pl?gene=UBE2L3","GeneCards")</f>
        <v>GeneCards</v>
      </c>
      <c r="D838" s="1" t="str">
        <f>HYPERLINK("http://genome-euro.ucsc.edu/cgi-bin/hgTracks?position=200684_s_at","UCSC")</f>
        <v>UCSC</v>
      </c>
      <c r="E838" s="1" t="str">
        <f>HYPERLINK("http://www.ncbi.nlm.nih.gov/gene/?term=UBE2L3","NCBI")</f>
        <v>NCBI</v>
      </c>
      <c r="F838">
        <v>1.2999999999999999E-3</v>
      </c>
      <c r="G838">
        <v>2.5999999999999999E-2</v>
      </c>
      <c r="H838" s="1" t="str">
        <f>HYPERLINK("http://www.weizmann.ac.il/complex/compphys/software/geview/data/figures/200684_s_at.png","Figure")</f>
        <v>Figure</v>
      </c>
      <c r="I838">
        <v>0.84599999999999997</v>
      </c>
      <c r="J838">
        <v>0.54</v>
      </c>
      <c r="K838">
        <v>1.59</v>
      </c>
      <c r="L838">
        <v>1.0999999999999999E-2</v>
      </c>
      <c r="M838">
        <v>1.88</v>
      </c>
      <c r="N838">
        <v>1.9E-3</v>
      </c>
    </row>
    <row r="839" spans="1:14" x14ac:dyDescent="0.25">
      <c r="A839" t="s">
        <v>1565</v>
      </c>
      <c r="B839" t="s">
        <v>1566</v>
      </c>
      <c r="C839" s="1" t="str">
        <f>HYPERLINK("http://www.genecards.org/cgi-bin/carddisp.pl?gene=PPIL2","GeneCards")</f>
        <v>GeneCards</v>
      </c>
      <c r="D839" s="1" t="str">
        <f>HYPERLINK("http://genome-euro.ucsc.edu/cgi-bin/hgTracks?position=209299_x_at","UCSC")</f>
        <v>UCSC</v>
      </c>
      <c r="E839" s="1" t="str">
        <f>HYPERLINK("http://www.ncbi.nlm.nih.gov/gene/?term=PPIL2","NCBI")</f>
        <v>NCBI</v>
      </c>
      <c r="F839">
        <v>1.2999999999999999E-3</v>
      </c>
      <c r="G839">
        <v>2.5999999999999999E-2</v>
      </c>
      <c r="H839" s="1" t="str">
        <f>HYPERLINK("http://www.weizmann.ac.il/complex/compphys/software/geview/data/figures/209299_x_at.png","Figure")</f>
        <v>Figure</v>
      </c>
      <c r="I839">
        <v>1.41</v>
      </c>
      <c r="J839">
        <v>9.6000000000000002E-4</v>
      </c>
      <c r="K839">
        <v>1.2</v>
      </c>
      <c r="L839">
        <v>3.4000000000000002E-2</v>
      </c>
      <c r="M839">
        <v>0.84899999999999998</v>
      </c>
      <c r="N839">
        <v>7.0000000000000007E-2</v>
      </c>
    </row>
    <row r="840" spans="1:14" x14ac:dyDescent="0.25">
      <c r="A840" t="s">
        <v>1567</v>
      </c>
      <c r="B840" t="s">
        <v>1568</v>
      </c>
      <c r="C840" s="1" t="str">
        <f>HYPERLINK("http://www.genecards.org/cgi-bin/carddisp.pl?gene=BRD1","GeneCards")</f>
        <v>GeneCards</v>
      </c>
      <c r="D840" s="1" t="str">
        <f>HYPERLINK("http://genome-euro.ucsc.edu/cgi-bin/hgTracks?position=215460_x_at","UCSC")</f>
        <v>UCSC</v>
      </c>
      <c r="E840" s="1" t="str">
        <f>HYPERLINK("http://www.ncbi.nlm.nih.gov/gene/?term=BRD1","NCBI")</f>
        <v>NCBI</v>
      </c>
      <c r="F840">
        <v>1.2999999999999999E-3</v>
      </c>
      <c r="G840">
        <v>2.5999999999999999E-2</v>
      </c>
      <c r="H840" s="1" t="str">
        <f>HYPERLINK("http://www.weizmann.ac.il/complex/compphys/software/geview/data/figures/215460_x_at.png","Figure")</f>
        <v>Figure</v>
      </c>
      <c r="I840">
        <v>0.92100000000000004</v>
      </c>
      <c r="J840">
        <v>0.91</v>
      </c>
      <c r="K840">
        <v>0.48199999999999998</v>
      </c>
      <c r="L840">
        <v>2.0999999999999999E-3</v>
      </c>
      <c r="M840">
        <v>0.52400000000000002</v>
      </c>
      <c r="N840">
        <v>8.3999999999999995E-3</v>
      </c>
    </row>
    <row r="841" spans="1:14" x14ac:dyDescent="0.25">
      <c r="A841" t="s">
        <v>1569</v>
      </c>
      <c r="B841" t="s">
        <v>1570</v>
      </c>
      <c r="C841" s="1" t="str">
        <f>HYPERLINK("http://www.genecards.org/cgi-bin/carddisp.pl?gene=MAP4K3","GeneCards")</f>
        <v>GeneCards</v>
      </c>
      <c r="D841" s="1" t="str">
        <f>HYPERLINK("http://genome-euro.ucsc.edu/cgi-bin/hgTracks?position=218311_at","UCSC")</f>
        <v>UCSC</v>
      </c>
      <c r="E841" s="1" t="str">
        <f>HYPERLINK("http://www.ncbi.nlm.nih.gov/gene/?term=MAP4K3","NCBI")</f>
        <v>NCBI</v>
      </c>
      <c r="F841">
        <v>1.2999999999999999E-3</v>
      </c>
      <c r="G841">
        <v>2.5999999999999999E-2</v>
      </c>
      <c r="H841" s="1" t="str">
        <f>HYPERLINK("http://www.weizmann.ac.il/complex/compphys/software/geview/data/figures/218311_at.png","Figure")</f>
        <v>Figure</v>
      </c>
      <c r="I841">
        <v>0.45600000000000002</v>
      </c>
      <c r="J841">
        <v>0.11</v>
      </c>
      <c r="K841">
        <v>0.222</v>
      </c>
      <c r="L841">
        <v>9.3999999999999997E-4</v>
      </c>
      <c r="M841">
        <v>0.48699999999999999</v>
      </c>
      <c r="N841">
        <v>0.12</v>
      </c>
    </row>
    <row r="842" spans="1:14" x14ac:dyDescent="0.25">
      <c r="A842" t="s">
        <v>1571</v>
      </c>
      <c r="B842" t="s">
        <v>1572</v>
      </c>
      <c r="C842" s="1" t="str">
        <f>HYPERLINK("http://www.genecards.org/cgi-bin/carddisp.pl?gene=ASB9","GeneCards")</f>
        <v>GeneCards</v>
      </c>
      <c r="D842" s="1" t="str">
        <f>HYPERLINK("http://genome-euro.ucsc.edu/cgi-bin/hgTracks?position=205673_s_at","UCSC")</f>
        <v>UCSC</v>
      </c>
      <c r="E842" s="1" t="str">
        <f>HYPERLINK("http://www.ncbi.nlm.nih.gov/gene/?term=ASB9","NCBI")</f>
        <v>NCBI</v>
      </c>
      <c r="F842">
        <v>1.2999999999999999E-3</v>
      </c>
      <c r="G842">
        <v>2.5999999999999999E-2</v>
      </c>
      <c r="H842" s="1" t="str">
        <f>HYPERLINK("http://www.weizmann.ac.il/complex/compphys/software/geview/data/figures/205673_s_at.png","Figure")</f>
        <v>Figure</v>
      </c>
      <c r="I842">
        <v>0.56899999999999995</v>
      </c>
      <c r="J842">
        <v>2.7000000000000001E-3</v>
      </c>
      <c r="K842">
        <v>0.98399999999999999</v>
      </c>
      <c r="L842">
        <v>0.99</v>
      </c>
      <c r="M842">
        <v>1.73</v>
      </c>
      <c r="N842">
        <v>2E-3</v>
      </c>
    </row>
    <row r="843" spans="1:14" x14ac:dyDescent="0.25">
      <c r="A843" t="s">
        <v>1573</v>
      </c>
      <c r="B843" t="s">
        <v>1574</v>
      </c>
      <c r="C843" s="1" t="str">
        <f>HYPERLINK("http://www.genecards.org/cgi-bin/carddisp.pl?gene=HAUS3","GeneCards")</f>
        <v>GeneCards</v>
      </c>
      <c r="D843" s="1" t="str">
        <f>HYPERLINK("http://genome-euro.ucsc.edu/cgi-bin/hgTracks?position=210054_at","UCSC")</f>
        <v>UCSC</v>
      </c>
      <c r="E843" s="1" t="str">
        <f>HYPERLINK("http://www.ncbi.nlm.nih.gov/gene/?term=HAUS3","NCBI")</f>
        <v>NCBI</v>
      </c>
      <c r="F843">
        <v>1.2999999999999999E-3</v>
      </c>
      <c r="G843">
        <v>2.5999999999999999E-2</v>
      </c>
      <c r="H843" s="1" t="str">
        <f>HYPERLINK("http://www.weizmann.ac.il/complex/compphys/software/geview/data/figures/210054_at.png","Figure")</f>
        <v>Figure</v>
      </c>
      <c r="I843">
        <v>0.36299999999999999</v>
      </c>
      <c r="J843">
        <v>3.8E-3</v>
      </c>
      <c r="K843">
        <v>0.39</v>
      </c>
      <c r="L843">
        <v>2.3E-3</v>
      </c>
      <c r="M843">
        <v>1.07</v>
      </c>
      <c r="N843">
        <v>0.95</v>
      </c>
    </row>
    <row r="844" spans="1:14" x14ac:dyDescent="0.25">
      <c r="A844" t="s">
        <v>1575</v>
      </c>
      <c r="B844" t="s">
        <v>1576</v>
      </c>
      <c r="C844" s="1" t="str">
        <f>HYPERLINK("http://www.genecards.org/cgi-bin/carddisp.pl?gene=KTN1","GeneCards")</f>
        <v>GeneCards</v>
      </c>
      <c r="D844" s="1" t="str">
        <f>HYPERLINK("http://genome-euro.ucsc.edu/cgi-bin/hgTracks?position=200915_x_at","UCSC")</f>
        <v>UCSC</v>
      </c>
      <c r="E844" s="1" t="str">
        <f>HYPERLINK("http://www.ncbi.nlm.nih.gov/gene/?term=KTN1","NCBI")</f>
        <v>NCBI</v>
      </c>
      <c r="F844">
        <v>1.2999999999999999E-3</v>
      </c>
      <c r="G844">
        <v>2.7E-2</v>
      </c>
      <c r="H844" s="1" t="str">
        <f>HYPERLINK("http://www.weizmann.ac.il/complex/compphys/software/geview/data/figures/200915_x_at.png","Figure")</f>
        <v>Figure</v>
      </c>
      <c r="I844">
        <v>0.78400000000000003</v>
      </c>
      <c r="J844">
        <v>8.7999999999999995E-2</v>
      </c>
      <c r="K844">
        <v>1.25</v>
      </c>
      <c r="L844">
        <v>7.1999999999999995E-2</v>
      </c>
      <c r="M844">
        <v>1.59</v>
      </c>
      <c r="N844">
        <v>1E-3</v>
      </c>
    </row>
    <row r="845" spans="1:14" x14ac:dyDescent="0.25">
      <c r="A845" t="s">
        <v>1577</v>
      </c>
      <c r="B845" t="s">
        <v>1578</v>
      </c>
      <c r="C845" s="1" t="str">
        <f>HYPERLINK("http://www.genecards.org/cgi-bin/carddisp.pl?gene=AMBP","GeneCards")</f>
        <v>GeneCards</v>
      </c>
      <c r="D845" s="1" t="str">
        <f>HYPERLINK("http://genome-euro.ucsc.edu/cgi-bin/hgTracks?position=205477_s_at","UCSC")</f>
        <v>UCSC</v>
      </c>
      <c r="E845" s="1" t="str">
        <f>HYPERLINK("http://www.ncbi.nlm.nih.gov/gene/?term=AMBP","NCBI")</f>
        <v>NCBI</v>
      </c>
      <c r="F845">
        <v>1.2999999999999999E-3</v>
      </c>
      <c r="G845">
        <v>2.7E-2</v>
      </c>
      <c r="H845" s="1" t="str">
        <f>HYPERLINK("http://www.weizmann.ac.il/complex/compphys/software/geview/data/figures/205477_s_at.png","Figure")</f>
        <v>Figure</v>
      </c>
      <c r="I845">
        <v>1.67</v>
      </c>
      <c r="J845">
        <v>4.7999999999999996E-3</v>
      </c>
      <c r="K845">
        <v>1.66</v>
      </c>
      <c r="L845">
        <v>2E-3</v>
      </c>
      <c r="M845">
        <v>0.99</v>
      </c>
      <c r="N845">
        <v>1</v>
      </c>
    </row>
    <row r="846" spans="1:14" x14ac:dyDescent="0.25">
      <c r="A846" t="s">
        <v>1579</v>
      </c>
      <c r="B846" t="s">
        <v>1580</v>
      </c>
      <c r="C846" s="1" t="str">
        <f>HYPERLINK("http://www.genecards.org/cgi-bin/carddisp.pl?gene=WDR7","GeneCards")</f>
        <v>GeneCards</v>
      </c>
      <c r="D846" s="1" t="str">
        <f>HYPERLINK("http://genome-euro.ucsc.edu/cgi-bin/hgTracks?position=212880_at","UCSC")</f>
        <v>UCSC</v>
      </c>
      <c r="E846" s="1" t="str">
        <f>HYPERLINK("http://www.ncbi.nlm.nih.gov/gene/?term=WDR7","NCBI")</f>
        <v>NCBI</v>
      </c>
      <c r="F846">
        <v>1.2999999999999999E-3</v>
      </c>
      <c r="G846">
        <v>2.7E-2</v>
      </c>
      <c r="H846" s="1" t="str">
        <f>HYPERLINK("http://www.weizmann.ac.il/complex/compphys/software/geview/data/figures/212880_at.png","Figure")</f>
        <v>Figure</v>
      </c>
      <c r="I846">
        <v>0.436</v>
      </c>
      <c r="J846">
        <v>6.4999999999999997E-3</v>
      </c>
      <c r="K846">
        <v>1.1399999999999999</v>
      </c>
      <c r="L846">
        <v>0.78</v>
      </c>
      <c r="M846">
        <v>2.61</v>
      </c>
      <c r="N846">
        <v>1.1999999999999999E-3</v>
      </c>
    </row>
    <row r="847" spans="1:14" x14ac:dyDescent="0.25">
      <c r="A847" t="s">
        <v>1581</v>
      </c>
      <c r="B847" t="s">
        <v>984</v>
      </c>
      <c r="C847" s="1" t="str">
        <f>HYPERLINK("http://www.genecards.org/cgi-bin/carddisp.pl?gene=SPSB3","GeneCards")</f>
        <v>GeneCards</v>
      </c>
      <c r="D847" s="1" t="str">
        <f>HYPERLINK("http://genome-euro.ucsc.edu/cgi-bin/hgTracks?position=221769_at","UCSC")</f>
        <v>UCSC</v>
      </c>
      <c r="E847" s="1" t="str">
        <f>HYPERLINK("http://www.ncbi.nlm.nih.gov/gene/?term=SPSB3","NCBI")</f>
        <v>NCBI</v>
      </c>
      <c r="F847">
        <v>1.2999999999999999E-3</v>
      </c>
      <c r="G847">
        <v>2.7E-2</v>
      </c>
      <c r="H847" s="1" t="str">
        <f>HYPERLINK("http://www.weizmann.ac.il/complex/compphys/software/geview/data/figures/221769_at.png","Figure")</f>
        <v>Figure</v>
      </c>
      <c r="I847">
        <v>1.51</v>
      </c>
      <c r="J847">
        <v>1.6000000000000001E-3</v>
      </c>
      <c r="K847">
        <v>1.07</v>
      </c>
      <c r="L847">
        <v>0.69</v>
      </c>
      <c r="M847">
        <v>0.70799999999999996</v>
      </c>
      <c r="N847">
        <v>3.8999999999999998E-3</v>
      </c>
    </row>
    <row r="848" spans="1:14" x14ac:dyDescent="0.25">
      <c r="A848" t="s">
        <v>1582</v>
      </c>
      <c r="B848" t="s">
        <v>1583</v>
      </c>
      <c r="C848" s="1" t="str">
        <f>HYPERLINK("http://www.genecards.org/cgi-bin/carddisp.pl?gene=CSRP1","GeneCards")</f>
        <v>GeneCards</v>
      </c>
      <c r="D848" s="1" t="str">
        <f>HYPERLINK("http://genome-euro.ucsc.edu/cgi-bin/hgTracks?position=200621_at","UCSC")</f>
        <v>UCSC</v>
      </c>
      <c r="E848" s="1" t="str">
        <f>HYPERLINK("http://www.ncbi.nlm.nih.gov/gene/?term=CSRP1","NCBI")</f>
        <v>NCBI</v>
      </c>
      <c r="F848">
        <v>1.2999999999999999E-3</v>
      </c>
      <c r="G848">
        <v>2.7E-2</v>
      </c>
      <c r="H848" s="1" t="str">
        <f>HYPERLINK("http://www.weizmann.ac.il/complex/compphys/software/geview/data/figures/200621_at.png","Figure")</f>
        <v>Figure</v>
      </c>
      <c r="I848">
        <v>1.57</v>
      </c>
      <c r="J848">
        <v>5.7999999999999996E-3</v>
      </c>
      <c r="K848">
        <v>1.59</v>
      </c>
      <c r="L848">
        <v>1.6999999999999999E-3</v>
      </c>
      <c r="M848">
        <v>1.01</v>
      </c>
      <c r="N848">
        <v>0.99</v>
      </c>
    </row>
    <row r="849" spans="1:14" x14ac:dyDescent="0.25">
      <c r="A849" t="s">
        <v>1584</v>
      </c>
      <c r="B849" t="s">
        <v>1585</v>
      </c>
      <c r="C849" s="1" t="str">
        <f>HYPERLINK("http://www.genecards.org/cgi-bin/carddisp.pl?gene=CD81","GeneCards")</f>
        <v>GeneCards</v>
      </c>
      <c r="D849" s="1" t="str">
        <f>HYPERLINK("http://genome-euro.ucsc.edu/cgi-bin/hgTracks?position=200675_at","UCSC")</f>
        <v>UCSC</v>
      </c>
      <c r="E849" s="1" t="str">
        <f>HYPERLINK("http://www.ncbi.nlm.nih.gov/gene/?term=CD81","NCBI")</f>
        <v>NCBI</v>
      </c>
      <c r="F849">
        <v>1.2999999999999999E-3</v>
      </c>
      <c r="G849">
        <v>2.7E-2</v>
      </c>
      <c r="H849" s="1" t="str">
        <f>HYPERLINK("http://www.weizmann.ac.il/complex/compphys/software/geview/data/figures/200675_at.png","Figure")</f>
        <v>Figure</v>
      </c>
      <c r="I849">
        <v>1.32</v>
      </c>
      <c r="J849">
        <v>0.1</v>
      </c>
      <c r="K849">
        <v>1.68</v>
      </c>
      <c r="L849">
        <v>9.6000000000000002E-4</v>
      </c>
      <c r="M849">
        <v>1.27</v>
      </c>
      <c r="N849">
        <v>0.13</v>
      </c>
    </row>
    <row r="850" spans="1:14" x14ac:dyDescent="0.25">
      <c r="A850" t="s">
        <v>1586</v>
      </c>
      <c r="B850" t="s">
        <v>1587</v>
      </c>
      <c r="C850" s="1" t="str">
        <f>HYPERLINK("http://www.genecards.org/cgi-bin/carddisp.pl?gene=TSC22D2","GeneCards")</f>
        <v>GeneCards</v>
      </c>
      <c r="D850" s="1" t="str">
        <f>HYPERLINK("http://genome-euro.ucsc.edu/cgi-bin/hgTracks?position=204094_s_at","UCSC")</f>
        <v>UCSC</v>
      </c>
      <c r="E850" s="1" t="str">
        <f>HYPERLINK("http://www.ncbi.nlm.nih.gov/gene/?term=TSC22D2","NCBI")</f>
        <v>NCBI</v>
      </c>
      <c r="F850">
        <v>1.2999999999999999E-3</v>
      </c>
      <c r="G850">
        <v>2.7E-2</v>
      </c>
      <c r="H850" s="1" t="str">
        <f>HYPERLINK("http://www.weizmann.ac.il/complex/compphys/software/geview/data/figures/204094_s_at.png","Figure")</f>
        <v>Figure</v>
      </c>
      <c r="I850">
        <v>0.46899999999999997</v>
      </c>
      <c r="J850">
        <v>5.3E-3</v>
      </c>
      <c r="K850">
        <v>0.46899999999999997</v>
      </c>
      <c r="L850">
        <v>1.9E-3</v>
      </c>
      <c r="M850">
        <v>0.999</v>
      </c>
      <c r="N850">
        <v>1</v>
      </c>
    </row>
    <row r="851" spans="1:14" x14ac:dyDescent="0.25">
      <c r="A851" t="s">
        <v>1588</v>
      </c>
      <c r="B851" t="s">
        <v>1589</v>
      </c>
      <c r="C851" s="1" t="str">
        <f>HYPERLINK("http://www.genecards.org/cgi-bin/carddisp.pl?gene=IL2RG","GeneCards")</f>
        <v>GeneCards</v>
      </c>
      <c r="D851" s="1" t="str">
        <f>HYPERLINK("http://genome-euro.ucsc.edu/cgi-bin/hgTracks?position=204116_at","UCSC")</f>
        <v>UCSC</v>
      </c>
      <c r="E851" s="1" t="str">
        <f>HYPERLINK("http://www.ncbi.nlm.nih.gov/gene/?term=IL2RG","NCBI")</f>
        <v>NCBI</v>
      </c>
      <c r="F851">
        <v>1.2999999999999999E-3</v>
      </c>
      <c r="G851">
        <v>2.7E-2</v>
      </c>
      <c r="H851" s="1" t="str">
        <f>HYPERLINK("http://www.weizmann.ac.il/complex/compphys/software/geview/data/figures/204116_at.png","Figure")</f>
        <v>Figure</v>
      </c>
      <c r="I851">
        <v>0.47799999999999998</v>
      </c>
      <c r="J851">
        <v>7.3000000000000001E-3</v>
      </c>
      <c r="K851">
        <v>1.1399999999999999</v>
      </c>
      <c r="L851">
        <v>0.73</v>
      </c>
      <c r="M851">
        <v>2.39</v>
      </c>
      <c r="N851">
        <v>1.1999999999999999E-3</v>
      </c>
    </row>
    <row r="852" spans="1:14" x14ac:dyDescent="0.25">
      <c r="A852" t="s">
        <v>1590</v>
      </c>
      <c r="B852" t="s">
        <v>1591</v>
      </c>
      <c r="C852" s="1" t="str">
        <f>HYPERLINK("http://www.genecards.org/cgi-bin/carddisp.pl?gene=ZNF91","GeneCards")</f>
        <v>GeneCards</v>
      </c>
      <c r="D852" s="1" t="str">
        <f>HYPERLINK("http://genome-euro.ucsc.edu/cgi-bin/hgTracks?position=206059_at","UCSC")</f>
        <v>UCSC</v>
      </c>
      <c r="E852" s="1" t="str">
        <f>HYPERLINK("http://www.ncbi.nlm.nih.gov/gene/?term=ZNF91","NCBI")</f>
        <v>NCBI</v>
      </c>
      <c r="F852">
        <v>1.2999999999999999E-3</v>
      </c>
      <c r="G852">
        <v>2.7E-2</v>
      </c>
      <c r="H852" s="1" t="str">
        <f>HYPERLINK("http://www.weizmann.ac.il/complex/compphys/software/geview/data/figures/206059_at.png","Figure")</f>
        <v>Figure</v>
      </c>
      <c r="I852">
        <v>0.76200000000000001</v>
      </c>
      <c r="J852">
        <v>0.34</v>
      </c>
      <c r="K852">
        <v>0.46600000000000003</v>
      </c>
      <c r="L852">
        <v>1.1999999999999999E-3</v>
      </c>
      <c r="M852">
        <v>0.61199999999999999</v>
      </c>
      <c r="N852">
        <v>3.6999999999999998E-2</v>
      </c>
    </row>
    <row r="853" spans="1:14" x14ac:dyDescent="0.25">
      <c r="A853" t="s">
        <v>1592</v>
      </c>
      <c r="B853" t="s">
        <v>1593</v>
      </c>
      <c r="C853" s="1" t="str">
        <f>HYPERLINK("http://www.genecards.org/cgi-bin/carddisp.pl?gene=TRIP11","GeneCards")</f>
        <v>GeneCards</v>
      </c>
      <c r="D853" s="1" t="str">
        <f>HYPERLINK("http://genome-euro.ucsc.edu/cgi-bin/hgTracks?position=209778_at","UCSC")</f>
        <v>UCSC</v>
      </c>
      <c r="E853" s="1" t="str">
        <f>HYPERLINK("http://www.ncbi.nlm.nih.gov/gene/?term=TRIP11","NCBI")</f>
        <v>NCBI</v>
      </c>
      <c r="F853">
        <v>1.2999999999999999E-3</v>
      </c>
      <c r="G853">
        <v>2.7E-2</v>
      </c>
      <c r="H853" s="1" t="str">
        <f>HYPERLINK("http://www.weizmann.ac.il/complex/compphys/software/geview/data/figures/209778_at.png","Figure")</f>
        <v>Figure</v>
      </c>
      <c r="I853">
        <v>0.72699999999999998</v>
      </c>
      <c r="J853">
        <v>5.5999999999999999E-3</v>
      </c>
      <c r="K853">
        <v>1.04</v>
      </c>
      <c r="L853">
        <v>0.85</v>
      </c>
      <c r="M853">
        <v>1.43</v>
      </c>
      <c r="N853">
        <v>1.2999999999999999E-3</v>
      </c>
    </row>
    <row r="854" spans="1:14" x14ac:dyDescent="0.25">
      <c r="A854" t="s">
        <v>1594</v>
      </c>
      <c r="B854" t="s">
        <v>1595</v>
      </c>
      <c r="C854" s="1" t="str">
        <f>HYPERLINK("http://www.genecards.org/cgi-bin/carddisp.pl?gene=FBXO9","GeneCards")</f>
        <v>GeneCards</v>
      </c>
      <c r="D854" s="1" t="str">
        <f>HYPERLINK("http://genome-euro.ucsc.edu/cgi-bin/hgTracks?position=210638_s_at","UCSC")</f>
        <v>UCSC</v>
      </c>
      <c r="E854" s="1" t="str">
        <f>HYPERLINK("http://www.ncbi.nlm.nih.gov/gene/?term=FBXO9","NCBI")</f>
        <v>NCBI</v>
      </c>
      <c r="F854">
        <v>1.2999999999999999E-3</v>
      </c>
      <c r="G854">
        <v>2.7E-2</v>
      </c>
      <c r="H854" s="1" t="str">
        <f>HYPERLINK("http://www.weizmann.ac.il/complex/compphys/software/geview/data/figures/210638_s_at.png","Figure")</f>
        <v>Figure</v>
      </c>
      <c r="I854">
        <v>0.84899999999999998</v>
      </c>
      <c r="J854">
        <v>0.32</v>
      </c>
      <c r="K854">
        <v>1.35</v>
      </c>
      <c r="L854">
        <v>0.02</v>
      </c>
      <c r="M854">
        <v>1.58</v>
      </c>
      <c r="N854">
        <v>1.5E-3</v>
      </c>
    </row>
    <row r="855" spans="1:14" x14ac:dyDescent="0.25">
      <c r="A855" t="s">
        <v>1596</v>
      </c>
      <c r="B855" t="s">
        <v>402</v>
      </c>
      <c r="C855" s="1" t="str">
        <f>HYPERLINK("http://www.genecards.org/cgi-bin/carddisp.pl?gene=ZCCHC24","GeneCards")</f>
        <v>GeneCards</v>
      </c>
      <c r="D855" s="1" t="str">
        <f>HYPERLINK("http://genome-euro.ucsc.edu/cgi-bin/hgTracks?position=212419_at","UCSC")</f>
        <v>UCSC</v>
      </c>
      <c r="E855" s="1" t="str">
        <f>HYPERLINK("http://www.ncbi.nlm.nih.gov/gene/?term=ZCCHC24","NCBI")</f>
        <v>NCBI</v>
      </c>
      <c r="F855">
        <v>1.2999999999999999E-3</v>
      </c>
      <c r="G855">
        <v>2.7E-2</v>
      </c>
      <c r="H855" s="1" t="str">
        <f>HYPERLINK("http://www.weizmann.ac.il/complex/compphys/software/geview/data/figures/212419_at.png","Figure")</f>
        <v>Figure</v>
      </c>
      <c r="I855">
        <v>0.55400000000000005</v>
      </c>
      <c r="J855">
        <v>2.4E-2</v>
      </c>
      <c r="K855">
        <v>1.32</v>
      </c>
      <c r="L855">
        <v>0.26</v>
      </c>
      <c r="M855">
        <v>2.38</v>
      </c>
      <c r="N855">
        <v>9.6000000000000002E-4</v>
      </c>
    </row>
    <row r="856" spans="1:14" x14ac:dyDescent="0.25">
      <c r="A856" t="s">
        <v>1597</v>
      </c>
      <c r="B856" t="s">
        <v>1598</v>
      </c>
      <c r="C856" s="1" t="str">
        <f>HYPERLINK("http://www.genecards.org/cgi-bin/carddisp.pl?gene=TRAF6","GeneCards")</f>
        <v>GeneCards</v>
      </c>
      <c r="D856" s="1" t="str">
        <f>HYPERLINK("http://genome-euro.ucsc.edu/cgi-bin/hgTracks?position=205558_at","UCSC")</f>
        <v>UCSC</v>
      </c>
      <c r="E856" s="1" t="str">
        <f>HYPERLINK("http://www.ncbi.nlm.nih.gov/gene/?term=TRAF6","NCBI")</f>
        <v>NCBI</v>
      </c>
      <c r="F856">
        <v>1.2999999999999999E-3</v>
      </c>
      <c r="G856">
        <v>2.7E-2</v>
      </c>
      <c r="H856" s="1" t="str">
        <f>HYPERLINK("http://www.weizmann.ac.il/complex/compphys/software/geview/data/figures/205558_at.png","Figure")</f>
        <v>Figure</v>
      </c>
      <c r="I856">
        <v>0.97699999999999998</v>
      </c>
      <c r="J856">
        <v>0.98</v>
      </c>
      <c r="K856">
        <v>0.65900000000000003</v>
      </c>
      <c r="L856">
        <v>2.7000000000000001E-3</v>
      </c>
      <c r="M856">
        <v>0.67400000000000004</v>
      </c>
      <c r="N856">
        <v>6.7000000000000002E-3</v>
      </c>
    </row>
    <row r="857" spans="1:14" x14ac:dyDescent="0.25">
      <c r="A857" t="s">
        <v>1599</v>
      </c>
      <c r="B857" t="s">
        <v>1600</v>
      </c>
      <c r="C857" s="1" t="str">
        <f>HYPERLINK("http://www.genecards.org/cgi-bin/carddisp.pl?gene=STK17B","GeneCards")</f>
        <v>GeneCards</v>
      </c>
      <c r="D857" s="1" t="str">
        <f>HYPERLINK("http://genome-euro.ucsc.edu/cgi-bin/hgTracks?position=205214_at","UCSC")</f>
        <v>UCSC</v>
      </c>
      <c r="E857" s="1" t="str">
        <f>HYPERLINK("http://www.ncbi.nlm.nih.gov/gene/?term=STK17B","NCBI")</f>
        <v>NCBI</v>
      </c>
      <c r="F857">
        <v>1.2999999999999999E-3</v>
      </c>
      <c r="G857">
        <v>2.7E-2</v>
      </c>
      <c r="H857" s="1" t="str">
        <f>HYPERLINK("http://www.weizmann.ac.il/complex/compphys/software/geview/data/figures/205214_at.png","Figure")</f>
        <v>Figure</v>
      </c>
      <c r="I857">
        <v>0.223</v>
      </c>
      <c r="J857">
        <v>2E-3</v>
      </c>
      <c r="K857">
        <v>0.315</v>
      </c>
      <c r="L857">
        <v>5.0000000000000001E-3</v>
      </c>
      <c r="M857">
        <v>1.41</v>
      </c>
      <c r="N857">
        <v>0.54</v>
      </c>
    </row>
    <row r="858" spans="1:14" x14ac:dyDescent="0.25">
      <c r="A858" t="s">
        <v>1601</v>
      </c>
      <c r="B858" t="s">
        <v>1602</v>
      </c>
      <c r="C858" s="1" t="str">
        <f>HYPERLINK("http://www.genecards.org/cgi-bin/carddisp.pl?gene=C6orf130","GeneCards")</f>
        <v>GeneCards</v>
      </c>
      <c r="D858" s="1" t="str">
        <f>HYPERLINK("http://genome-euro.ucsc.edu/cgi-bin/hgTracks?position=213322_at","UCSC")</f>
        <v>UCSC</v>
      </c>
      <c r="E858" s="1" t="str">
        <f>HYPERLINK("http://www.ncbi.nlm.nih.gov/gene/?term=C6orf130","NCBI")</f>
        <v>NCBI</v>
      </c>
      <c r="F858">
        <v>1.2999999999999999E-3</v>
      </c>
      <c r="G858">
        <v>2.7E-2</v>
      </c>
      <c r="H858" s="1" t="str">
        <f>HYPERLINK("http://www.weizmann.ac.il/complex/compphys/software/geview/data/figures/213322_at.png","Figure")</f>
        <v>Figure</v>
      </c>
      <c r="I858">
        <v>0.61099999999999999</v>
      </c>
      <c r="J858">
        <v>3.3E-3</v>
      </c>
      <c r="K858">
        <v>1</v>
      </c>
      <c r="L858">
        <v>1</v>
      </c>
      <c r="M858">
        <v>1.64</v>
      </c>
      <c r="N858">
        <v>1.9E-3</v>
      </c>
    </row>
    <row r="859" spans="1:14" x14ac:dyDescent="0.25">
      <c r="A859" t="s">
        <v>1603</v>
      </c>
      <c r="B859" t="s">
        <v>479</v>
      </c>
      <c r="C859" s="1" t="str">
        <f>HYPERLINK("http://www.genecards.org/cgi-bin/carddisp.pl?gene=TXNIP","GeneCards")</f>
        <v>GeneCards</v>
      </c>
      <c r="D859" s="1" t="str">
        <f>HYPERLINK("http://genome-euro.ucsc.edu/cgi-bin/hgTracks?position=201008_s_at","UCSC")</f>
        <v>UCSC</v>
      </c>
      <c r="E859" s="1" t="str">
        <f>HYPERLINK("http://www.ncbi.nlm.nih.gov/gene/?term=TXNIP","NCBI")</f>
        <v>NCBI</v>
      </c>
      <c r="F859">
        <v>1.4E-3</v>
      </c>
      <c r="G859">
        <v>2.7E-2</v>
      </c>
      <c r="H859" s="1" t="str">
        <f>HYPERLINK("http://www.weizmann.ac.il/complex/compphys/software/geview/data/figures/201008_s_at.png","Figure")</f>
        <v>Figure</v>
      </c>
      <c r="I859">
        <v>1.21</v>
      </c>
      <c r="J859">
        <v>0.84</v>
      </c>
      <c r="K859">
        <v>0.33400000000000002</v>
      </c>
      <c r="L859">
        <v>5.7999999999999996E-3</v>
      </c>
      <c r="M859">
        <v>0.27700000000000002</v>
      </c>
      <c r="N859">
        <v>3.0000000000000001E-3</v>
      </c>
    </row>
    <row r="860" spans="1:14" x14ac:dyDescent="0.25">
      <c r="A860" t="s">
        <v>1604</v>
      </c>
      <c r="B860" t="s">
        <v>1605</v>
      </c>
      <c r="C860" s="1" t="str">
        <f>HYPERLINK("http://www.genecards.org/cgi-bin/carddisp.pl?gene=SCN3A","GeneCards")</f>
        <v>GeneCards</v>
      </c>
      <c r="D860" s="1" t="str">
        <f>HYPERLINK("http://genome-euro.ucsc.edu/cgi-bin/hgTracks?position=210432_s_at","UCSC")</f>
        <v>UCSC</v>
      </c>
      <c r="E860" s="1" t="str">
        <f>HYPERLINK("http://www.ncbi.nlm.nih.gov/gene/?term=SCN3A","NCBI")</f>
        <v>NCBI</v>
      </c>
      <c r="F860">
        <v>1.4E-3</v>
      </c>
      <c r="G860">
        <v>2.7E-2</v>
      </c>
      <c r="H860" s="1" t="str">
        <f>HYPERLINK("http://www.weizmann.ac.il/complex/compphys/software/geview/data/figures/210432_s_at.png","Figure")</f>
        <v>Figure</v>
      </c>
      <c r="I860">
        <v>0.72199999999999998</v>
      </c>
      <c r="J860">
        <v>0.77</v>
      </c>
      <c r="K860">
        <v>0.16700000000000001</v>
      </c>
      <c r="L860">
        <v>1.8E-3</v>
      </c>
      <c r="M860">
        <v>0.23100000000000001</v>
      </c>
      <c r="N860">
        <v>1.2999999999999999E-2</v>
      </c>
    </row>
    <row r="861" spans="1:14" x14ac:dyDescent="0.25">
      <c r="A861" t="s">
        <v>1606</v>
      </c>
      <c r="B861" t="s">
        <v>1607</v>
      </c>
      <c r="C861" s="1" t="str">
        <f>HYPERLINK("http://www.genecards.org/cgi-bin/carddisp.pl?gene=STK3","GeneCards")</f>
        <v>GeneCards</v>
      </c>
      <c r="D861" s="1" t="str">
        <f>HYPERLINK("http://genome-euro.ucsc.edu/cgi-bin/hgTracks?position=204068_at","UCSC")</f>
        <v>UCSC</v>
      </c>
      <c r="E861" s="1" t="str">
        <f>HYPERLINK("http://www.ncbi.nlm.nih.gov/gene/?term=STK3","NCBI")</f>
        <v>NCBI</v>
      </c>
      <c r="F861">
        <v>1.4E-3</v>
      </c>
      <c r="G861">
        <v>2.7E-2</v>
      </c>
      <c r="H861" s="1" t="str">
        <f>HYPERLINK("http://www.weizmann.ac.il/complex/compphys/software/geview/data/figures/204068_at.png","Figure")</f>
        <v>Figure</v>
      </c>
      <c r="I861">
        <v>0.69</v>
      </c>
      <c r="J861">
        <v>0.02</v>
      </c>
      <c r="K861">
        <v>1.17</v>
      </c>
      <c r="L861">
        <v>0.32</v>
      </c>
      <c r="M861">
        <v>1.7</v>
      </c>
      <c r="N861">
        <v>1E-3</v>
      </c>
    </row>
    <row r="862" spans="1:14" x14ac:dyDescent="0.25">
      <c r="A862" t="s">
        <v>1608</v>
      </c>
      <c r="B862" t="s">
        <v>1609</v>
      </c>
      <c r="C862" s="1" t="str">
        <f>HYPERLINK("http://www.genecards.org/cgi-bin/carddisp.pl?gene=SLC2A3","GeneCards")</f>
        <v>GeneCards</v>
      </c>
      <c r="D862" s="1" t="str">
        <f>HYPERLINK("http://genome-euro.ucsc.edu/cgi-bin/hgTracks?position=202499_s_at","UCSC")</f>
        <v>UCSC</v>
      </c>
      <c r="E862" s="1" t="str">
        <f>HYPERLINK("http://www.ncbi.nlm.nih.gov/gene/?term=SLC2A3","NCBI")</f>
        <v>NCBI</v>
      </c>
      <c r="F862">
        <v>1.4E-3</v>
      </c>
      <c r="G862">
        <v>2.7E-2</v>
      </c>
      <c r="H862" s="1" t="str">
        <f>HYPERLINK("http://www.weizmann.ac.il/complex/compphys/software/geview/data/figures/202499_s_at.png","Figure")</f>
        <v>Figure</v>
      </c>
      <c r="I862">
        <v>0.223</v>
      </c>
      <c r="J862">
        <v>3.0999999999999999E-3</v>
      </c>
      <c r="K862">
        <v>0.26900000000000002</v>
      </c>
      <c r="L862">
        <v>3.0000000000000001E-3</v>
      </c>
      <c r="M862">
        <v>1.21</v>
      </c>
      <c r="N862">
        <v>0.85</v>
      </c>
    </row>
    <row r="863" spans="1:14" x14ac:dyDescent="0.25">
      <c r="A863" t="s">
        <v>1610</v>
      </c>
      <c r="B863" t="s">
        <v>1611</v>
      </c>
      <c r="C863" s="1" t="str">
        <f>HYPERLINK("http://www.genecards.org/cgi-bin/carddisp.pl?gene=CRMP1","GeneCards")</f>
        <v>GeneCards</v>
      </c>
      <c r="D863" s="1" t="str">
        <f>HYPERLINK("http://genome-euro.ucsc.edu/cgi-bin/hgTracks?position=202517_at","UCSC")</f>
        <v>UCSC</v>
      </c>
      <c r="E863" s="1" t="str">
        <f>HYPERLINK("http://www.ncbi.nlm.nih.gov/gene/?term=CRMP1","NCBI")</f>
        <v>NCBI</v>
      </c>
      <c r="F863">
        <v>1.4E-3</v>
      </c>
      <c r="G863">
        <v>2.7E-2</v>
      </c>
      <c r="H863" s="1" t="str">
        <f>HYPERLINK("http://www.weizmann.ac.il/complex/compphys/software/geview/data/figures/202517_at.png","Figure")</f>
        <v>Figure</v>
      </c>
      <c r="I863">
        <v>2.5099999999999998</v>
      </c>
      <c r="J863">
        <v>2.5999999999999999E-3</v>
      </c>
      <c r="K863">
        <v>1.05</v>
      </c>
      <c r="L863">
        <v>0.96</v>
      </c>
      <c r="M863">
        <v>0.41899999999999998</v>
      </c>
      <c r="N863">
        <v>2.3E-3</v>
      </c>
    </row>
    <row r="864" spans="1:14" x14ac:dyDescent="0.25">
      <c r="A864" t="s">
        <v>1612</v>
      </c>
      <c r="B864" t="s">
        <v>1613</v>
      </c>
      <c r="C864" s="1" t="str">
        <f>HYPERLINK("http://www.genecards.org/cgi-bin/carddisp.pl?gene=CSTB","GeneCards")</f>
        <v>GeneCards</v>
      </c>
      <c r="D864" s="1" t="str">
        <f>HYPERLINK("http://genome-euro.ucsc.edu/cgi-bin/hgTracks?position=201201_at","UCSC")</f>
        <v>UCSC</v>
      </c>
      <c r="E864" s="1" t="str">
        <f>HYPERLINK("http://www.ncbi.nlm.nih.gov/gene/?term=CSTB","NCBI")</f>
        <v>NCBI</v>
      </c>
      <c r="F864">
        <v>1.4E-3</v>
      </c>
      <c r="G864">
        <v>2.7E-2</v>
      </c>
      <c r="H864" s="1" t="str">
        <f>HYPERLINK("http://www.weizmann.ac.il/complex/compphys/software/geview/data/figures/201201_at.png","Figure")</f>
        <v>Figure</v>
      </c>
      <c r="I864">
        <v>0.36</v>
      </c>
      <c r="J864">
        <v>2.4E-2</v>
      </c>
      <c r="K864">
        <v>1.61</v>
      </c>
      <c r="L864">
        <v>0.27</v>
      </c>
      <c r="M864">
        <v>4.47</v>
      </c>
      <c r="N864">
        <v>9.8999999999999999E-4</v>
      </c>
    </row>
    <row r="865" spans="1:14" x14ac:dyDescent="0.25">
      <c r="A865" t="s">
        <v>1614</v>
      </c>
      <c r="B865" t="s">
        <v>1040</v>
      </c>
      <c r="C865" s="1" t="str">
        <f>HYPERLINK("http://www.genecards.org/cgi-bin/carddisp.pl?gene=SGSM3","GeneCards")</f>
        <v>GeneCards</v>
      </c>
      <c r="D865" s="1" t="str">
        <f>HYPERLINK("http://genome-euro.ucsc.edu/cgi-bin/hgTracks?position=214779_s_at","UCSC")</f>
        <v>UCSC</v>
      </c>
      <c r="E865" s="1" t="str">
        <f>HYPERLINK("http://www.ncbi.nlm.nih.gov/gene/?term=SGSM3","NCBI")</f>
        <v>NCBI</v>
      </c>
      <c r="F865">
        <v>1.4E-3</v>
      </c>
      <c r="G865">
        <v>2.7E-2</v>
      </c>
      <c r="H865" s="1" t="str">
        <f>HYPERLINK("http://www.weizmann.ac.il/complex/compphys/software/geview/data/figures/214779_s_at.png","Figure")</f>
        <v>Figure</v>
      </c>
      <c r="I865">
        <v>1.6</v>
      </c>
      <c r="J865">
        <v>4.3E-3</v>
      </c>
      <c r="K865">
        <v>1.56</v>
      </c>
      <c r="L865">
        <v>2.3E-3</v>
      </c>
      <c r="M865">
        <v>0.97699999999999998</v>
      </c>
      <c r="N865">
        <v>0.97</v>
      </c>
    </row>
    <row r="866" spans="1:14" x14ac:dyDescent="0.25">
      <c r="A866" t="s">
        <v>1615</v>
      </c>
      <c r="B866" t="s">
        <v>1616</v>
      </c>
      <c r="C866" s="1" t="str">
        <f>HYPERLINK("http://www.genecards.org/cgi-bin/carddisp.pl?gene=NCR2","GeneCards")</f>
        <v>GeneCards</v>
      </c>
      <c r="D866" s="1" t="str">
        <f>HYPERLINK("http://genome-euro.ucsc.edu/cgi-bin/hgTracks?position=221074_at","UCSC")</f>
        <v>UCSC</v>
      </c>
      <c r="E866" s="1" t="str">
        <f>HYPERLINK("http://www.ncbi.nlm.nih.gov/gene/?term=NCR2","NCBI")</f>
        <v>NCBI</v>
      </c>
      <c r="F866">
        <v>1.4E-3</v>
      </c>
      <c r="G866">
        <v>2.7E-2</v>
      </c>
      <c r="H866" s="1" t="str">
        <f>HYPERLINK("http://www.weizmann.ac.il/complex/compphys/software/geview/data/figures/221074_at.png","Figure")</f>
        <v>Figure</v>
      </c>
      <c r="I866">
        <v>1.21</v>
      </c>
      <c r="J866">
        <v>5.5999999999999999E-3</v>
      </c>
      <c r="K866">
        <v>0.97699999999999998</v>
      </c>
      <c r="L866">
        <v>0.86</v>
      </c>
      <c r="M866">
        <v>0.80800000000000005</v>
      </c>
      <c r="N866">
        <v>1.4E-3</v>
      </c>
    </row>
    <row r="867" spans="1:14" x14ac:dyDescent="0.25">
      <c r="A867" t="s">
        <v>1617</v>
      </c>
      <c r="B867" t="s">
        <v>1618</v>
      </c>
      <c r="C867" s="1" t="str">
        <f>HYPERLINK("http://www.genecards.org/cgi-bin/carddisp.pl?gene=ATP10A","GeneCards")</f>
        <v>GeneCards</v>
      </c>
      <c r="D867" s="1" t="str">
        <f>HYPERLINK("http://genome-euro.ucsc.edu/cgi-bin/hgTracks?position=214255_at","UCSC")</f>
        <v>UCSC</v>
      </c>
      <c r="E867" s="1" t="str">
        <f>HYPERLINK("http://www.ncbi.nlm.nih.gov/gene/?term=ATP10A","NCBI")</f>
        <v>NCBI</v>
      </c>
      <c r="F867">
        <v>1.4E-3</v>
      </c>
      <c r="G867">
        <v>2.7E-2</v>
      </c>
      <c r="H867" s="1" t="str">
        <f>HYPERLINK("http://www.weizmann.ac.il/complex/compphys/software/geview/data/figures/214255_at.png","Figure")</f>
        <v>Figure</v>
      </c>
      <c r="I867">
        <v>0.54700000000000004</v>
      </c>
      <c r="J867">
        <v>1E-3</v>
      </c>
      <c r="K867">
        <v>0.749</v>
      </c>
      <c r="L867">
        <v>5.1999999999999998E-2</v>
      </c>
      <c r="M867">
        <v>1.37</v>
      </c>
      <c r="N867">
        <v>4.9000000000000002E-2</v>
      </c>
    </row>
    <row r="868" spans="1:14" x14ac:dyDescent="0.25">
      <c r="A868" t="s">
        <v>1619</v>
      </c>
      <c r="B868" t="s">
        <v>1620</v>
      </c>
      <c r="C868" s="1" t="str">
        <f>HYPERLINK("http://www.genecards.org/cgi-bin/carddisp.pl?gene=HNRNPK","GeneCards")</f>
        <v>GeneCards</v>
      </c>
      <c r="D868" s="1" t="str">
        <f>HYPERLINK("http://genome-euro.ucsc.edu/cgi-bin/hgTracks?position=200097_s_at","UCSC")</f>
        <v>UCSC</v>
      </c>
      <c r="E868" s="1" t="str">
        <f>HYPERLINK("http://www.ncbi.nlm.nih.gov/gene/?term=HNRNPK","NCBI")</f>
        <v>NCBI</v>
      </c>
      <c r="F868">
        <v>1.4E-3</v>
      </c>
      <c r="G868">
        <v>2.7E-2</v>
      </c>
      <c r="H868" s="1" t="str">
        <f>HYPERLINK("http://www.weizmann.ac.il/complex/compphys/software/geview/data/figures/200097_s_at.png","Figure")</f>
        <v>Figure</v>
      </c>
      <c r="I868">
        <v>1.0900000000000001</v>
      </c>
      <c r="J868">
        <v>0.62</v>
      </c>
      <c r="K868">
        <v>0.745</v>
      </c>
      <c r="L868">
        <v>9.2999999999999992E-3</v>
      </c>
      <c r="M868">
        <v>0.68100000000000005</v>
      </c>
      <c r="N868">
        <v>2.2000000000000001E-3</v>
      </c>
    </row>
    <row r="869" spans="1:14" x14ac:dyDescent="0.25">
      <c r="A869" t="s">
        <v>1621</v>
      </c>
      <c r="B869" t="s">
        <v>1622</v>
      </c>
      <c r="C869" s="1" t="str">
        <f>HYPERLINK("http://www.genecards.org/cgi-bin/carddisp.pl?gene=SAT1","GeneCards")</f>
        <v>GeneCards</v>
      </c>
      <c r="D869" s="1" t="str">
        <f>HYPERLINK("http://genome-euro.ucsc.edu/cgi-bin/hgTracks?position=210592_s_at","UCSC")</f>
        <v>UCSC</v>
      </c>
      <c r="E869" s="1" t="str">
        <f>HYPERLINK("http://www.ncbi.nlm.nih.gov/gene/?term=SAT1","NCBI")</f>
        <v>NCBI</v>
      </c>
      <c r="F869">
        <v>1.4E-3</v>
      </c>
      <c r="G869">
        <v>2.7E-2</v>
      </c>
      <c r="H869" s="1" t="str">
        <f>HYPERLINK("http://www.weizmann.ac.il/complex/compphys/software/geview/data/figures/210592_s_at.png","Figure")</f>
        <v>Figure</v>
      </c>
      <c r="I869">
        <v>0.377</v>
      </c>
      <c r="J869">
        <v>1.4E-2</v>
      </c>
      <c r="K869">
        <v>0.30499999999999999</v>
      </c>
      <c r="L869">
        <v>1.2999999999999999E-3</v>
      </c>
      <c r="M869">
        <v>0.80800000000000005</v>
      </c>
      <c r="N869">
        <v>0.72</v>
      </c>
    </row>
    <row r="870" spans="1:14" x14ac:dyDescent="0.25">
      <c r="A870" t="s">
        <v>1623</v>
      </c>
      <c r="B870" t="s">
        <v>1624</v>
      </c>
      <c r="C870" s="1" t="str">
        <f>HYPERLINK("http://www.genecards.org/cgi-bin/carddisp.pl?gene=SEMA6D","GeneCards")</f>
        <v>GeneCards</v>
      </c>
      <c r="D870" s="1" t="str">
        <f>HYPERLINK("http://genome-euro.ucsc.edu/cgi-bin/hgTracks?position=220574_at","UCSC")</f>
        <v>UCSC</v>
      </c>
      <c r="E870" s="1" t="str">
        <f>HYPERLINK("http://www.ncbi.nlm.nih.gov/gene/?term=SEMA6D","NCBI")</f>
        <v>NCBI</v>
      </c>
      <c r="F870">
        <v>1.4E-3</v>
      </c>
      <c r="G870">
        <v>2.7E-2</v>
      </c>
      <c r="H870" s="1" t="str">
        <f>HYPERLINK("http://www.weizmann.ac.il/complex/compphys/software/geview/data/figures/220574_at.png","Figure")</f>
        <v>Figure</v>
      </c>
      <c r="I870">
        <v>2.84</v>
      </c>
      <c r="J870">
        <v>3.0999999999999999E-3</v>
      </c>
      <c r="K870">
        <v>2.4900000000000002</v>
      </c>
      <c r="L870">
        <v>3.0999999999999999E-3</v>
      </c>
      <c r="M870">
        <v>0.876</v>
      </c>
      <c r="N870">
        <v>0.84</v>
      </c>
    </row>
    <row r="871" spans="1:14" x14ac:dyDescent="0.25">
      <c r="A871" t="s">
        <v>1625</v>
      </c>
      <c r="B871" t="s">
        <v>1626</v>
      </c>
      <c r="C871" s="1" t="str">
        <f>HYPERLINK("http://www.genecards.org/cgi-bin/carddisp.pl?gene=PCOLCE","GeneCards")</f>
        <v>GeneCards</v>
      </c>
      <c r="D871" s="1" t="str">
        <f>HYPERLINK("http://genome-euro.ucsc.edu/cgi-bin/hgTracks?position=202465_at","UCSC")</f>
        <v>UCSC</v>
      </c>
      <c r="E871" s="1" t="str">
        <f>HYPERLINK("http://www.ncbi.nlm.nih.gov/gene/?term=PCOLCE","NCBI")</f>
        <v>NCBI</v>
      </c>
      <c r="F871">
        <v>1.4E-3</v>
      </c>
      <c r="G871">
        <v>2.7E-2</v>
      </c>
      <c r="H871" s="1" t="str">
        <f>HYPERLINK("http://www.weizmann.ac.il/complex/compphys/software/geview/data/figures/202465_at.png","Figure")</f>
        <v>Figure</v>
      </c>
      <c r="I871">
        <v>1.28</v>
      </c>
      <c r="J871">
        <v>2.4E-2</v>
      </c>
      <c r="K871">
        <v>0.89300000000000002</v>
      </c>
      <c r="L871">
        <v>0.27</v>
      </c>
      <c r="M871">
        <v>0.69899999999999995</v>
      </c>
      <c r="N871">
        <v>1E-3</v>
      </c>
    </row>
    <row r="872" spans="1:14" x14ac:dyDescent="0.25">
      <c r="A872" t="s">
        <v>1627</v>
      </c>
      <c r="B872" t="s">
        <v>1628</v>
      </c>
      <c r="C872" s="1" t="str">
        <f>HYPERLINK("http://www.genecards.org/cgi-bin/carddisp.pl?gene=AFG3L2","GeneCards")</f>
        <v>GeneCards</v>
      </c>
      <c r="D872" s="1" t="str">
        <f>HYPERLINK("http://genome-euro.ucsc.edu/cgi-bin/hgTracks?position=202486_at","UCSC")</f>
        <v>UCSC</v>
      </c>
      <c r="E872" s="1" t="str">
        <f>HYPERLINK("http://www.ncbi.nlm.nih.gov/gene/?term=AFG3L2","NCBI")</f>
        <v>NCBI</v>
      </c>
      <c r="F872">
        <v>1.4E-3</v>
      </c>
      <c r="G872">
        <v>2.7E-2</v>
      </c>
      <c r="H872" s="1" t="str">
        <f>HYPERLINK("http://www.weizmann.ac.il/complex/compphys/software/geview/data/figures/202486_at.png","Figure")</f>
        <v>Figure</v>
      </c>
      <c r="I872">
        <v>0.878</v>
      </c>
      <c r="J872">
        <v>0.37</v>
      </c>
      <c r="K872">
        <v>1.3</v>
      </c>
      <c r="L872">
        <v>1.7000000000000001E-2</v>
      </c>
      <c r="M872">
        <v>1.48</v>
      </c>
      <c r="N872">
        <v>1.6000000000000001E-3</v>
      </c>
    </row>
    <row r="873" spans="1:14" x14ac:dyDescent="0.25">
      <c r="A873" t="s">
        <v>1629</v>
      </c>
      <c r="B873" t="s">
        <v>1630</v>
      </c>
      <c r="C873" s="1" t="str">
        <f>HYPERLINK("http://www.genecards.org/cgi-bin/carddisp.pl?gene=NCSTN","GeneCards")</f>
        <v>GeneCards</v>
      </c>
      <c r="D873" s="1" t="str">
        <f>HYPERLINK("http://genome-euro.ucsc.edu/cgi-bin/hgTracks?position=208759_at","UCSC")</f>
        <v>UCSC</v>
      </c>
      <c r="E873" s="1" t="str">
        <f>HYPERLINK("http://www.ncbi.nlm.nih.gov/gene/?term=NCSTN","NCBI")</f>
        <v>NCBI</v>
      </c>
      <c r="F873">
        <v>1.4E-3</v>
      </c>
      <c r="G873">
        <v>2.7E-2</v>
      </c>
      <c r="H873" s="1" t="str">
        <f>HYPERLINK("http://www.weizmann.ac.il/complex/compphys/software/geview/data/figures/208759_at.png","Figure")</f>
        <v>Figure</v>
      </c>
      <c r="I873">
        <v>1.37</v>
      </c>
      <c r="J873">
        <v>1E-3</v>
      </c>
      <c r="K873">
        <v>1.17</v>
      </c>
      <c r="L873">
        <v>3.9E-2</v>
      </c>
      <c r="M873">
        <v>0.85699999999999998</v>
      </c>
      <c r="N873">
        <v>6.6000000000000003E-2</v>
      </c>
    </row>
    <row r="874" spans="1:14" x14ac:dyDescent="0.25">
      <c r="A874" t="s">
        <v>1631</v>
      </c>
      <c r="B874" t="s">
        <v>1632</v>
      </c>
      <c r="C874" s="1" t="str">
        <f>HYPERLINK("http://www.genecards.org/cgi-bin/carddisp.pl?gene=SETD3","GeneCards")</f>
        <v>GeneCards</v>
      </c>
      <c r="D874" s="1" t="str">
        <f>HYPERLINK("http://genome-euro.ucsc.edu/cgi-bin/hgTracks?position=212465_at","UCSC")</f>
        <v>UCSC</v>
      </c>
      <c r="E874" s="1" t="str">
        <f>HYPERLINK("http://www.ncbi.nlm.nih.gov/gene/?term=SETD3","NCBI")</f>
        <v>NCBI</v>
      </c>
      <c r="F874">
        <v>1.4E-3</v>
      </c>
      <c r="G874">
        <v>2.7E-2</v>
      </c>
      <c r="H874" s="1" t="str">
        <f>HYPERLINK("http://www.weizmann.ac.il/complex/compphys/software/geview/data/figures/212465_at.png","Figure")</f>
        <v>Figure</v>
      </c>
      <c r="I874">
        <v>0.58099999999999996</v>
      </c>
      <c r="J874">
        <v>3.0999999999999999E-3</v>
      </c>
      <c r="K874">
        <v>0.99099999999999999</v>
      </c>
      <c r="L874">
        <v>1</v>
      </c>
      <c r="M874">
        <v>1.7</v>
      </c>
      <c r="N874">
        <v>2.0999999999999999E-3</v>
      </c>
    </row>
    <row r="875" spans="1:14" x14ac:dyDescent="0.25">
      <c r="A875" t="s">
        <v>1633</v>
      </c>
      <c r="B875" t="s">
        <v>1634</v>
      </c>
      <c r="C875" s="1" t="str">
        <f>HYPERLINK("http://www.genecards.org/cgi-bin/carddisp.pl?gene=CYBRD1","GeneCards")</f>
        <v>GeneCards</v>
      </c>
      <c r="D875" s="1" t="str">
        <f>HYPERLINK("http://genome-euro.ucsc.edu/cgi-bin/hgTracks?position=217889_s_at","UCSC")</f>
        <v>UCSC</v>
      </c>
      <c r="E875" s="1" t="str">
        <f>HYPERLINK("http://www.ncbi.nlm.nih.gov/gene/?term=CYBRD1","NCBI")</f>
        <v>NCBI</v>
      </c>
      <c r="F875">
        <v>1.4E-3</v>
      </c>
      <c r="G875">
        <v>2.7E-2</v>
      </c>
      <c r="H875" s="1" t="str">
        <f>HYPERLINK("http://www.weizmann.ac.il/complex/compphys/software/geview/data/figures/217889_s_at.png","Figure")</f>
        <v>Figure</v>
      </c>
      <c r="I875">
        <v>0.78600000000000003</v>
      </c>
      <c r="J875">
        <v>1.1999999999999999E-3</v>
      </c>
      <c r="K875">
        <v>0.93700000000000006</v>
      </c>
      <c r="L875">
        <v>0.35</v>
      </c>
      <c r="M875">
        <v>1.19</v>
      </c>
      <c r="N875">
        <v>8.0000000000000002E-3</v>
      </c>
    </row>
    <row r="876" spans="1:14" x14ac:dyDescent="0.25">
      <c r="A876" t="s">
        <v>1635</v>
      </c>
      <c r="B876" t="s">
        <v>1636</v>
      </c>
      <c r="C876" s="1" t="str">
        <f>HYPERLINK("http://www.genecards.org/cgi-bin/carddisp.pl?gene=FAM102A","GeneCards")</f>
        <v>GeneCards</v>
      </c>
      <c r="D876" s="1" t="str">
        <f>HYPERLINK("http://genome-euro.ucsc.edu/cgi-bin/hgTracks?position=212400_at","UCSC")</f>
        <v>UCSC</v>
      </c>
      <c r="E876" s="1" t="str">
        <f>HYPERLINK("http://www.ncbi.nlm.nih.gov/gene/?term=FAM102A","NCBI")</f>
        <v>NCBI</v>
      </c>
      <c r="F876">
        <v>1.4E-3</v>
      </c>
      <c r="G876">
        <v>2.7E-2</v>
      </c>
      <c r="H876" s="1" t="str">
        <f>HYPERLINK("http://www.weizmann.ac.il/complex/compphys/software/geview/data/figures/212400_at.png","Figure")</f>
        <v>Figure</v>
      </c>
      <c r="I876">
        <v>1.27</v>
      </c>
      <c r="J876">
        <v>6.5000000000000002E-2</v>
      </c>
      <c r="K876">
        <v>0.82799999999999996</v>
      </c>
      <c r="L876">
        <v>0.1</v>
      </c>
      <c r="M876">
        <v>0.65</v>
      </c>
      <c r="N876">
        <v>1E-3</v>
      </c>
    </row>
    <row r="877" spans="1:14" x14ac:dyDescent="0.25">
      <c r="A877" t="s">
        <v>1637</v>
      </c>
      <c r="B877" t="s">
        <v>731</v>
      </c>
      <c r="C877" s="1" t="str">
        <f>HYPERLINK("http://www.genecards.org/cgi-bin/carddisp.pl?gene=JAG2","GeneCards")</f>
        <v>GeneCards</v>
      </c>
      <c r="D877" s="1" t="str">
        <f>HYPERLINK("http://genome-euro.ucsc.edu/cgi-bin/hgTracks?position=209784_s_at","UCSC")</f>
        <v>UCSC</v>
      </c>
      <c r="E877" s="1" t="str">
        <f>HYPERLINK("http://www.ncbi.nlm.nih.gov/gene/?term=JAG2","NCBI")</f>
        <v>NCBI</v>
      </c>
      <c r="F877">
        <v>1.4E-3</v>
      </c>
      <c r="G877">
        <v>2.7E-2</v>
      </c>
      <c r="H877" s="1" t="str">
        <f>HYPERLINK("http://www.weizmann.ac.il/complex/compphys/software/geview/data/figures/209784_s_at.png","Figure")</f>
        <v>Figure</v>
      </c>
      <c r="I877">
        <v>1.56</v>
      </c>
      <c r="J877">
        <v>1E-3</v>
      </c>
      <c r="K877">
        <v>1.21</v>
      </c>
      <c r="L877">
        <v>8.8999999999999996E-2</v>
      </c>
      <c r="M877">
        <v>0.77500000000000002</v>
      </c>
      <c r="N877">
        <v>2.9000000000000001E-2</v>
      </c>
    </row>
    <row r="878" spans="1:14" x14ac:dyDescent="0.25">
      <c r="A878" t="s">
        <v>1638</v>
      </c>
      <c r="B878" t="s">
        <v>1639</v>
      </c>
      <c r="C878" s="1" t="str">
        <f>HYPERLINK("http://www.genecards.org/cgi-bin/carddisp.pl?gene=DAP3","GeneCards")</f>
        <v>GeneCards</v>
      </c>
      <c r="D878" s="1" t="str">
        <f>HYPERLINK("http://genome-euro.ucsc.edu/cgi-bin/hgTracks?position=208822_s_at","UCSC")</f>
        <v>UCSC</v>
      </c>
      <c r="E878" s="1" t="str">
        <f>HYPERLINK("http://www.ncbi.nlm.nih.gov/gene/?term=DAP3","NCBI")</f>
        <v>NCBI</v>
      </c>
      <c r="F878">
        <v>1.4E-3</v>
      </c>
      <c r="G878">
        <v>2.7E-2</v>
      </c>
      <c r="H878" s="1" t="str">
        <f>HYPERLINK("http://www.weizmann.ac.il/complex/compphys/software/geview/data/figures/208822_s_at.png","Figure")</f>
        <v>Figure</v>
      </c>
      <c r="I878">
        <v>1.52</v>
      </c>
      <c r="J878">
        <v>2.5000000000000001E-2</v>
      </c>
      <c r="K878">
        <v>1.77</v>
      </c>
      <c r="L878">
        <v>1.1000000000000001E-3</v>
      </c>
      <c r="M878">
        <v>1.1599999999999999</v>
      </c>
      <c r="N878">
        <v>0.49</v>
      </c>
    </row>
    <row r="879" spans="1:14" x14ac:dyDescent="0.25">
      <c r="A879" t="s">
        <v>1640</v>
      </c>
      <c r="B879" t="s">
        <v>1641</v>
      </c>
      <c r="C879" s="1" t="str">
        <f>HYPERLINK("http://www.genecards.org/cgi-bin/carddisp.pl?gene=SYNJ2","GeneCards")</f>
        <v>GeneCards</v>
      </c>
      <c r="D879" s="1" t="str">
        <f>HYPERLINK("http://genome-euro.ucsc.edu/cgi-bin/hgTracks?position=212828_at","UCSC")</f>
        <v>UCSC</v>
      </c>
      <c r="E879" s="1" t="str">
        <f>HYPERLINK("http://www.ncbi.nlm.nih.gov/gene/?term=SYNJ2","NCBI")</f>
        <v>NCBI</v>
      </c>
      <c r="F879">
        <v>1.4E-3</v>
      </c>
      <c r="G879">
        <v>2.8000000000000001E-2</v>
      </c>
      <c r="H879" s="1" t="str">
        <f>HYPERLINK("http://www.weizmann.ac.il/complex/compphys/software/geview/data/figures/212828_at.png","Figure")</f>
        <v>Figure</v>
      </c>
      <c r="I879">
        <v>1.45</v>
      </c>
      <c r="J879">
        <v>0.41</v>
      </c>
      <c r="K879">
        <v>3.09</v>
      </c>
      <c r="L879">
        <v>1.2999999999999999E-3</v>
      </c>
      <c r="M879">
        <v>2.13</v>
      </c>
      <c r="N879">
        <v>3.2000000000000001E-2</v>
      </c>
    </row>
    <row r="880" spans="1:14" x14ac:dyDescent="0.25">
      <c r="A880" t="s">
        <v>1642</v>
      </c>
      <c r="B880" t="s">
        <v>1643</v>
      </c>
      <c r="C880" s="1" t="str">
        <f>HYPERLINK("http://www.genecards.org/cgi-bin/carddisp.pl?gene=NDUFAF4","GeneCards")</f>
        <v>GeneCards</v>
      </c>
      <c r="D880" s="1" t="str">
        <f>HYPERLINK("http://genome-euro.ucsc.edu/cgi-bin/hgTracks?position=219006_at","UCSC")</f>
        <v>UCSC</v>
      </c>
      <c r="E880" s="1" t="str">
        <f>HYPERLINK("http://www.ncbi.nlm.nih.gov/gene/?term=NDUFAF4","NCBI")</f>
        <v>NCBI</v>
      </c>
      <c r="F880">
        <v>1.4E-3</v>
      </c>
      <c r="G880">
        <v>2.8000000000000001E-2</v>
      </c>
      <c r="H880" s="1" t="str">
        <f>HYPERLINK("http://www.weizmann.ac.il/complex/compphys/software/geview/data/figures/219006_at.png","Figure")</f>
        <v>Figure</v>
      </c>
      <c r="I880">
        <v>0.73499999999999999</v>
      </c>
      <c r="J880">
        <v>1.6000000000000001E-3</v>
      </c>
      <c r="K880">
        <v>0.94199999999999995</v>
      </c>
      <c r="L880">
        <v>0.57999999999999996</v>
      </c>
      <c r="M880">
        <v>1.28</v>
      </c>
      <c r="N880">
        <v>4.8999999999999998E-3</v>
      </c>
    </row>
    <row r="881" spans="1:14" x14ac:dyDescent="0.25">
      <c r="A881" t="s">
        <v>1644</v>
      </c>
      <c r="B881" t="s">
        <v>340</v>
      </c>
      <c r="C881" s="1" t="str">
        <f>HYPERLINK("http://www.genecards.org/cgi-bin/carddisp.pl?gene=CD164","GeneCards")</f>
        <v>GeneCards</v>
      </c>
      <c r="D881" s="1" t="str">
        <f>HYPERLINK("http://genome-euro.ucsc.edu/cgi-bin/hgTracks?position=208405_s_at","UCSC")</f>
        <v>UCSC</v>
      </c>
      <c r="E881" s="1" t="str">
        <f>HYPERLINK("http://www.ncbi.nlm.nih.gov/gene/?term=CD164","NCBI")</f>
        <v>NCBI</v>
      </c>
      <c r="F881">
        <v>1.4E-3</v>
      </c>
      <c r="G881">
        <v>2.8000000000000001E-2</v>
      </c>
      <c r="H881" s="1" t="str">
        <f>HYPERLINK("http://www.weizmann.ac.il/complex/compphys/software/geview/data/figures/208405_s_at.png","Figure")</f>
        <v>Figure</v>
      </c>
      <c r="I881">
        <v>0.34300000000000003</v>
      </c>
      <c r="J881">
        <v>2.3999999999999998E-3</v>
      </c>
      <c r="K881">
        <v>0.91700000000000004</v>
      </c>
      <c r="L881">
        <v>0.92</v>
      </c>
      <c r="M881">
        <v>2.68</v>
      </c>
      <c r="N881">
        <v>2.7000000000000001E-3</v>
      </c>
    </row>
    <row r="882" spans="1:14" x14ac:dyDescent="0.25">
      <c r="A882" t="s">
        <v>1645</v>
      </c>
      <c r="B882" t="s">
        <v>1646</v>
      </c>
      <c r="C882" s="1" t="str">
        <f>HYPERLINK("http://www.genecards.org/cgi-bin/carddisp.pl?gene=AAK1","GeneCards")</f>
        <v>GeneCards</v>
      </c>
      <c r="D882" s="1" t="str">
        <f>HYPERLINK("http://genome-euro.ucsc.edu/cgi-bin/hgTracks?position=205435_s_at","UCSC")</f>
        <v>UCSC</v>
      </c>
      <c r="E882" s="1" t="str">
        <f>HYPERLINK("http://www.ncbi.nlm.nih.gov/gene/?term=AAK1","NCBI")</f>
        <v>NCBI</v>
      </c>
      <c r="F882">
        <v>1.4E-3</v>
      </c>
      <c r="G882">
        <v>2.8000000000000001E-2</v>
      </c>
      <c r="H882" s="1" t="str">
        <f>HYPERLINK("http://www.weizmann.ac.il/complex/compphys/software/geview/data/figures/205435_s_at.png","Figure")</f>
        <v>Figure</v>
      </c>
      <c r="I882">
        <v>1.47</v>
      </c>
      <c r="J882">
        <v>1E-3</v>
      </c>
      <c r="K882">
        <v>1.21</v>
      </c>
      <c r="L882">
        <v>4.7E-2</v>
      </c>
      <c r="M882">
        <v>0.82299999999999995</v>
      </c>
      <c r="N882">
        <v>5.6000000000000001E-2</v>
      </c>
    </row>
    <row r="883" spans="1:14" x14ac:dyDescent="0.25">
      <c r="A883" t="s">
        <v>1647</v>
      </c>
      <c r="B883" t="s">
        <v>1648</v>
      </c>
      <c r="C883" s="1" t="str">
        <f>HYPERLINK("http://www.genecards.org/cgi-bin/carddisp.pl?gene=TMEM87A","GeneCards")</f>
        <v>GeneCards</v>
      </c>
      <c r="D883" s="1" t="str">
        <f>HYPERLINK("http://genome-euro.ucsc.edu/cgi-bin/hgTracks?position=212202_s_at","UCSC")</f>
        <v>UCSC</v>
      </c>
      <c r="E883" s="1" t="str">
        <f>HYPERLINK("http://www.ncbi.nlm.nih.gov/gene/?term=TMEM87A","NCBI")</f>
        <v>NCBI</v>
      </c>
      <c r="F883">
        <v>1.4E-3</v>
      </c>
      <c r="G883">
        <v>2.8000000000000001E-2</v>
      </c>
      <c r="H883" s="1" t="str">
        <f>HYPERLINK("http://www.weizmann.ac.il/complex/compphys/software/geview/data/figures/212202_s_at.png","Figure")</f>
        <v>Figure</v>
      </c>
      <c r="I883">
        <v>0.871</v>
      </c>
      <c r="J883">
        <v>0.81</v>
      </c>
      <c r="K883">
        <v>0.432</v>
      </c>
      <c r="L883">
        <v>2E-3</v>
      </c>
      <c r="M883">
        <v>0.496</v>
      </c>
      <c r="N883">
        <v>1.2E-2</v>
      </c>
    </row>
    <row r="884" spans="1:14" x14ac:dyDescent="0.25">
      <c r="A884" t="s">
        <v>1649</v>
      </c>
      <c r="B884" t="s">
        <v>1650</v>
      </c>
      <c r="C884" s="1" t="str">
        <f>HYPERLINK("http://www.genecards.org/cgi-bin/carddisp.pl?gene=RAB11B","GeneCards")</f>
        <v>GeneCards</v>
      </c>
      <c r="D884" s="1" t="str">
        <f>HYPERLINK("http://genome-euro.ucsc.edu/cgi-bin/hgTracks?position=217793_at","UCSC")</f>
        <v>UCSC</v>
      </c>
      <c r="E884" s="1" t="str">
        <f>HYPERLINK("http://www.ncbi.nlm.nih.gov/gene/?term=RAB11B","NCBI")</f>
        <v>NCBI</v>
      </c>
      <c r="F884">
        <v>1.4E-3</v>
      </c>
      <c r="G884">
        <v>2.8000000000000001E-2</v>
      </c>
      <c r="H884" s="1" t="str">
        <f>HYPERLINK("http://www.weizmann.ac.il/complex/compphys/software/geview/data/figures/217793_at.png","Figure")</f>
        <v>Figure</v>
      </c>
      <c r="I884">
        <v>1.37</v>
      </c>
      <c r="J884">
        <v>1.1000000000000001E-3</v>
      </c>
      <c r="K884">
        <v>1.1299999999999999</v>
      </c>
      <c r="L884">
        <v>0.15</v>
      </c>
      <c r="M884">
        <v>0.81899999999999995</v>
      </c>
      <c r="N884">
        <v>1.9E-2</v>
      </c>
    </row>
    <row r="885" spans="1:14" x14ac:dyDescent="0.25">
      <c r="A885" t="s">
        <v>1651</v>
      </c>
      <c r="B885" t="s">
        <v>1652</v>
      </c>
      <c r="C885" s="1" t="str">
        <f>HYPERLINK("http://www.genecards.org/cgi-bin/carddisp.pl?gene=ERGIC2","GeneCards")</f>
        <v>GeneCards</v>
      </c>
      <c r="D885" s="1" t="str">
        <f>HYPERLINK("http://genome-euro.ucsc.edu/cgi-bin/hgTracks?position=218135_at","UCSC")</f>
        <v>UCSC</v>
      </c>
      <c r="E885" s="1" t="str">
        <f>HYPERLINK("http://www.ncbi.nlm.nih.gov/gene/?term=ERGIC2","NCBI")</f>
        <v>NCBI</v>
      </c>
      <c r="F885">
        <v>1.4E-3</v>
      </c>
      <c r="G885">
        <v>2.8000000000000001E-2</v>
      </c>
      <c r="H885" s="1" t="str">
        <f>HYPERLINK("http://www.weizmann.ac.il/complex/compphys/software/geview/data/figures/218135_at.png","Figure")</f>
        <v>Figure</v>
      </c>
      <c r="I885">
        <v>0.443</v>
      </c>
      <c r="J885">
        <v>3.3E-3</v>
      </c>
      <c r="K885">
        <v>0.99399999999999999</v>
      </c>
      <c r="L885">
        <v>1</v>
      </c>
      <c r="M885">
        <v>2.2400000000000002</v>
      </c>
      <c r="N885">
        <v>2.0999999999999999E-3</v>
      </c>
    </row>
    <row r="886" spans="1:14" x14ac:dyDescent="0.25">
      <c r="A886" t="s">
        <v>1653</v>
      </c>
      <c r="B886" t="s">
        <v>1654</v>
      </c>
      <c r="C886" s="1" t="str">
        <f>HYPERLINK("http://www.genecards.org/cgi-bin/carddisp.pl?gene=GSTA4","GeneCards")</f>
        <v>GeneCards</v>
      </c>
      <c r="D886" s="1" t="str">
        <f>HYPERLINK("http://genome-euro.ucsc.edu/cgi-bin/hgTracks?position=202967_at","UCSC")</f>
        <v>UCSC</v>
      </c>
      <c r="E886" s="1" t="str">
        <f>HYPERLINK("http://www.ncbi.nlm.nih.gov/gene/?term=GSTA4","NCBI")</f>
        <v>NCBI</v>
      </c>
      <c r="F886">
        <v>1.5E-3</v>
      </c>
      <c r="G886">
        <v>2.8000000000000001E-2</v>
      </c>
      <c r="H886" s="1" t="str">
        <f>HYPERLINK("http://www.weizmann.ac.il/complex/compphys/software/geview/data/figures/202967_at.png","Figure")</f>
        <v>Figure</v>
      </c>
      <c r="I886">
        <v>0.57799999999999996</v>
      </c>
      <c r="J886">
        <v>2.5000000000000001E-3</v>
      </c>
      <c r="K886">
        <v>0.95799999999999996</v>
      </c>
      <c r="L886">
        <v>0.92</v>
      </c>
      <c r="M886">
        <v>1.66</v>
      </c>
      <c r="N886">
        <v>2.7000000000000001E-3</v>
      </c>
    </row>
    <row r="887" spans="1:14" x14ac:dyDescent="0.25">
      <c r="A887" t="s">
        <v>1655</v>
      </c>
      <c r="B887" t="s">
        <v>1656</v>
      </c>
      <c r="C887" s="1" t="str">
        <f>HYPERLINK("http://www.genecards.org/cgi-bin/carddisp.pl?gene=HLA-DMB","GeneCards")</f>
        <v>GeneCards</v>
      </c>
      <c r="D887" s="1" t="str">
        <f>HYPERLINK("http://genome-euro.ucsc.edu/cgi-bin/hgTracks?position=203932_at","UCSC")</f>
        <v>UCSC</v>
      </c>
      <c r="E887" s="1" t="str">
        <f>HYPERLINK("http://www.ncbi.nlm.nih.gov/gene/?term=HLA-DMB","NCBI")</f>
        <v>NCBI</v>
      </c>
      <c r="F887">
        <v>1.5E-3</v>
      </c>
      <c r="G887">
        <v>2.8000000000000001E-2</v>
      </c>
      <c r="H887" s="1" t="str">
        <f>HYPERLINK("http://www.weizmann.ac.il/complex/compphys/software/geview/data/figures/203932_at.png","Figure")</f>
        <v>Figure</v>
      </c>
      <c r="I887">
        <v>0.92400000000000004</v>
      </c>
      <c r="J887">
        <v>0.91</v>
      </c>
      <c r="K887">
        <v>0.48299999999999998</v>
      </c>
      <c r="L887">
        <v>2.3999999999999998E-3</v>
      </c>
      <c r="M887">
        <v>0.52200000000000002</v>
      </c>
      <c r="N887">
        <v>9.1000000000000004E-3</v>
      </c>
    </row>
    <row r="888" spans="1:14" x14ac:dyDescent="0.25">
      <c r="A888" t="s">
        <v>1657</v>
      </c>
      <c r="B888" t="s">
        <v>1658</v>
      </c>
      <c r="C888" s="1" t="str">
        <f>HYPERLINK("http://www.genecards.org/cgi-bin/carddisp.pl?gene=GAS7","GeneCards")</f>
        <v>GeneCards</v>
      </c>
      <c r="D888" s="1" t="str">
        <f>HYPERLINK("http://genome-euro.ucsc.edu/cgi-bin/hgTracks?position=211067_s_at","UCSC")</f>
        <v>UCSC</v>
      </c>
      <c r="E888" s="1" t="str">
        <f>HYPERLINK("http://www.ncbi.nlm.nih.gov/gene/?term=GAS7","NCBI")</f>
        <v>NCBI</v>
      </c>
      <c r="F888">
        <v>1.5E-3</v>
      </c>
      <c r="G888">
        <v>2.8000000000000001E-2</v>
      </c>
      <c r="H888" s="1" t="str">
        <f>HYPERLINK("http://www.weizmann.ac.il/complex/compphys/software/geview/data/figures/211067_s_at.png","Figure")</f>
        <v>Figure</v>
      </c>
      <c r="I888">
        <v>0.39500000000000002</v>
      </c>
      <c r="J888">
        <v>7.0000000000000001E-3</v>
      </c>
      <c r="K888">
        <v>1.1599999999999999</v>
      </c>
      <c r="L888">
        <v>0.79</v>
      </c>
      <c r="M888">
        <v>2.93</v>
      </c>
      <c r="N888">
        <v>1.4E-3</v>
      </c>
    </row>
    <row r="889" spans="1:14" x14ac:dyDescent="0.25">
      <c r="A889" t="s">
        <v>1659</v>
      </c>
      <c r="B889" t="s">
        <v>1660</v>
      </c>
      <c r="C889" s="1" t="str">
        <f>HYPERLINK("http://www.genecards.org/cgi-bin/carddisp.pl?gene=ANXA2","GeneCards")</f>
        <v>GeneCards</v>
      </c>
      <c r="D889" s="1" t="str">
        <f>HYPERLINK("http://genome-euro.ucsc.edu/cgi-bin/hgTracks?position=213503_x_at","UCSC")</f>
        <v>UCSC</v>
      </c>
      <c r="E889" s="1" t="str">
        <f>HYPERLINK("http://www.ncbi.nlm.nih.gov/gene/?term=ANXA2","NCBI")</f>
        <v>NCBI</v>
      </c>
      <c r="F889">
        <v>1.5E-3</v>
      </c>
      <c r="G889">
        <v>2.8000000000000001E-2</v>
      </c>
      <c r="H889" s="1" t="str">
        <f>HYPERLINK("http://www.weizmann.ac.il/complex/compphys/software/geview/data/figures/213503_x_at.png","Figure")</f>
        <v>Figure</v>
      </c>
      <c r="I889">
        <v>1.78</v>
      </c>
      <c r="J889">
        <v>0.21</v>
      </c>
      <c r="K889">
        <v>3.72</v>
      </c>
      <c r="L889">
        <v>1.1000000000000001E-3</v>
      </c>
      <c r="M889">
        <v>2.1</v>
      </c>
      <c r="N889">
        <v>6.8000000000000005E-2</v>
      </c>
    </row>
    <row r="890" spans="1:14" x14ac:dyDescent="0.25">
      <c r="A890" t="s">
        <v>1661</v>
      </c>
      <c r="B890" t="s">
        <v>1662</v>
      </c>
      <c r="C890" s="1" t="str">
        <f>HYPERLINK("http://www.genecards.org/cgi-bin/carddisp.pl?gene=MRPS28","GeneCards")</f>
        <v>GeneCards</v>
      </c>
      <c r="D890" s="1" t="str">
        <f>HYPERLINK("http://genome-euro.ucsc.edu/cgi-bin/hgTracks?position=219819_s_at","UCSC")</f>
        <v>UCSC</v>
      </c>
      <c r="E890" s="1" t="str">
        <f>HYPERLINK("http://www.ncbi.nlm.nih.gov/gene/?term=MRPS28","NCBI")</f>
        <v>NCBI</v>
      </c>
      <c r="F890">
        <v>1.5E-3</v>
      </c>
      <c r="G890">
        <v>2.8000000000000001E-2</v>
      </c>
      <c r="H890" s="1" t="str">
        <f>HYPERLINK("http://www.weizmann.ac.il/complex/compphys/software/geview/data/figures/219819_s_at.png","Figure")</f>
        <v>Figure</v>
      </c>
      <c r="I890">
        <v>0.88300000000000001</v>
      </c>
      <c r="J890">
        <v>4.4000000000000003E-3</v>
      </c>
      <c r="K890">
        <v>1.01</v>
      </c>
      <c r="L890">
        <v>0.97</v>
      </c>
      <c r="M890">
        <v>1.1399999999999999</v>
      </c>
      <c r="N890">
        <v>1.6999999999999999E-3</v>
      </c>
    </row>
    <row r="891" spans="1:14" x14ac:dyDescent="0.25">
      <c r="A891" t="s">
        <v>1663</v>
      </c>
      <c r="B891" t="s">
        <v>1664</v>
      </c>
      <c r="C891" s="1" t="str">
        <f>HYPERLINK("http://www.genecards.org/cgi-bin/carddisp.pl?gene=EID1","GeneCards")</f>
        <v>GeneCards</v>
      </c>
      <c r="D891" s="1" t="str">
        <f>HYPERLINK("http://genome-euro.ucsc.edu/cgi-bin/hgTracks?position=211698_at","UCSC")</f>
        <v>UCSC</v>
      </c>
      <c r="E891" s="1" t="str">
        <f>HYPERLINK("http://www.ncbi.nlm.nih.gov/gene/?term=EID1","NCBI")</f>
        <v>NCBI</v>
      </c>
      <c r="F891">
        <v>1.5E-3</v>
      </c>
      <c r="G891">
        <v>2.8000000000000001E-2</v>
      </c>
      <c r="H891" s="1" t="str">
        <f>HYPERLINK("http://www.weizmann.ac.il/complex/compphys/software/geview/data/figures/211698_at.png","Figure")</f>
        <v>Figure</v>
      </c>
      <c r="I891">
        <v>0.50900000000000001</v>
      </c>
      <c r="J891">
        <v>3.3999999999999998E-3</v>
      </c>
      <c r="K891">
        <v>0.995</v>
      </c>
      <c r="L891">
        <v>1</v>
      </c>
      <c r="M891">
        <v>1.95</v>
      </c>
      <c r="N891">
        <v>2.0999999999999999E-3</v>
      </c>
    </row>
    <row r="892" spans="1:14" x14ac:dyDescent="0.25">
      <c r="A892" t="s">
        <v>1665</v>
      </c>
      <c r="B892" t="s">
        <v>1290</v>
      </c>
      <c r="C892" s="1" t="str">
        <f>HYPERLINK("http://www.genecards.org/cgi-bin/carddisp.pl?gene=SF3B1","GeneCards")</f>
        <v>GeneCards</v>
      </c>
      <c r="D892" s="1" t="str">
        <f>HYPERLINK("http://genome-euro.ucsc.edu/cgi-bin/hgTracks?position=214305_s_at","UCSC")</f>
        <v>UCSC</v>
      </c>
      <c r="E892" s="1" t="str">
        <f>HYPERLINK("http://www.ncbi.nlm.nih.gov/gene/?term=SF3B1","NCBI")</f>
        <v>NCBI</v>
      </c>
      <c r="F892">
        <v>1.5E-3</v>
      </c>
      <c r="G892">
        <v>2.8000000000000001E-2</v>
      </c>
      <c r="H892" s="1" t="str">
        <f>HYPERLINK("http://www.weizmann.ac.il/complex/compphys/software/geview/data/figures/214305_s_at.png","Figure")</f>
        <v>Figure</v>
      </c>
      <c r="I892">
        <v>1.63</v>
      </c>
      <c r="J892">
        <v>6.6E-3</v>
      </c>
      <c r="K892">
        <v>0.93300000000000005</v>
      </c>
      <c r="L892">
        <v>0.82</v>
      </c>
      <c r="M892">
        <v>0.57299999999999995</v>
      </c>
      <c r="N892">
        <v>1.4E-3</v>
      </c>
    </row>
    <row r="893" spans="1:14" x14ac:dyDescent="0.25">
      <c r="A893" t="s">
        <v>1666</v>
      </c>
      <c r="B893" t="s">
        <v>1667</v>
      </c>
      <c r="C893" s="1" t="str">
        <f>HYPERLINK("http://www.genecards.org/cgi-bin/carddisp.pl?gene=PWP1","GeneCards")</f>
        <v>GeneCards</v>
      </c>
      <c r="D893" s="1" t="str">
        <f>HYPERLINK("http://genome-euro.ucsc.edu/cgi-bin/hgTracks?position=201608_s_at","UCSC")</f>
        <v>UCSC</v>
      </c>
      <c r="E893" s="1" t="str">
        <f>HYPERLINK("http://www.ncbi.nlm.nih.gov/gene/?term=PWP1","NCBI")</f>
        <v>NCBI</v>
      </c>
      <c r="F893">
        <v>1.5E-3</v>
      </c>
      <c r="G893">
        <v>2.8000000000000001E-2</v>
      </c>
      <c r="H893" s="1" t="str">
        <f>HYPERLINK("http://www.weizmann.ac.il/complex/compphys/software/geview/data/figures/201608_s_at.png","Figure")</f>
        <v>Figure</v>
      </c>
      <c r="I893">
        <v>1.55</v>
      </c>
      <c r="J893">
        <v>2.3E-3</v>
      </c>
      <c r="K893">
        <v>1.05</v>
      </c>
      <c r="L893">
        <v>0.87</v>
      </c>
      <c r="M893">
        <v>0.67400000000000004</v>
      </c>
      <c r="N893">
        <v>3.0999999999999999E-3</v>
      </c>
    </row>
    <row r="894" spans="1:14" x14ac:dyDescent="0.25">
      <c r="A894" t="s">
        <v>1668</v>
      </c>
      <c r="B894" t="s">
        <v>1267</v>
      </c>
      <c r="C894" s="1" t="str">
        <f>HYPERLINK("http://www.genecards.org/cgi-bin/carddisp.pl?gene=FOXO1","GeneCards")</f>
        <v>GeneCards</v>
      </c>
      <c r="D894" s="1" t="str">
        <f>HYPERLINK("http://genome-euro.ucsc.edu/cgi-bin/hgTracks?position=202723_s_at","UCSC")</f>
        <v>UCSC</v>
      </c>
      <c r="E894" s="1" t="str">
        <f>HYPERLINK("http://www.ncbi.nlm.nih.gov/gene/?term=FOXO1","NCBI")</f>
        <v>NCBI</v>
      </c>
      <c r="F894">
        <v>1.5E-3</v>
      </c>
      <c r="G894">
        <v>2.8000000000000001E-2</v>
      </c>
      <c r="H894" s="1" t="str">
        <f>HYPERLINK("http://www.weizmann.ac.il/complex/compphys/software/geview/data/figures/202723_s_at.png","Figure")</f>
        <v>Figure</v>
      </c>
      <c r="I894">
        <v>1.22</v>
      </c>
      <c r="J894">
        <v>0.72</v>
      </c>
      <c r="K894">
        <v>0.45700000000000002</v>
      </c>
      <c r="L894">
        <v>8.0999999999999996E-3</v>
      </c>
      <c r="M894">
        <v>0.376</v>
      </c>
      <c r="N894">
        <v>2.7000000000000001E-3</v>
      </c>
    </row>
    <row r="895" spans="1:14" x14ac:dyDescent="0.25">
      <c r="A895" t="s">
        <v>1669</v>
      </c>
      <c r="B895" t="s">
        <v>1670</v>
      </c>
      <c r="C895" s="1" t="str">
        <f>HYPERLINK("http://www.genecards.org/cgi-bin/carddisp.pl?gene=BARD1","GeneCards")</f>
        <v>GeneCards</v>
      </c>
      <c r="D895" s="1" t="str">
        <f>HYPERLINK("http://genome-euro.ucsc.edu/cgi-bin/hgTracks?position=205345_at","UCSC")</f>
        <v>UCSC</v>
      </c>
      <c r="E895" s="1" t="str">
        <f>HYPERLINK("http://www.ncbi.nlm.nih.gov/gene/?term=BARD1","NCBI")</f>
        <v>NCBI</v>
      </c>
      <c r="F895">
        <v>1.5E-3</v>
      </c>
      <c r="G895">
        <v>2.8000000000000001E-2</v>
      </c>
      <c r="H895" s="1" t="str">
        <f>HYPERLINK("http://www.weizmann.ac.il/complex/compphys/software/geview/data/figures/205345_at.png","Figure")</f>
        <v>Figure</v>
      </c>
      <c r="I895">
        <v>1.77</v>
      </c>
      <c r="J895">
        <v>1.4E-3</v>
      </c>
      <c r="K895">
        <v>1.1399999999999999</v>
      </c>
      <c r="L895">
        <v>0.46</v>
      </c>
      <c r="M895">
        <v>0.64500000000000002</v>
      </c>
      <c r="N895">
        <v>6.4999999999999997E-3</v>
      </c>
    </row>
    <row r="896" spans="1:14" x14ac:dyDescent="0.25">
      <c r="A896" t="s">
        <v>1671</v>
      </c>
      <c r="B896" t="s">
        <v>1672</v>
      </c>
      <c r="C896" s="1" t="str">
        <f>HYPERLINK("http://www.genecards.org/cgi-bin/carddisp.pl?gene=MRPL3","GeneCards")</f>
        <v>GeneCards</v>
      </c>
      <c r="D896" s="1" t="str">
        <f>HYPERLINK("http://genome-euro.ucsc.edu/cgi-bin/hgTracks?position=208787_at","UCSC")</f>
        <v>UCSC</v>
      </c>
      <c r="E896" s="1" t="str">
        <f>HYPERLINK("http://www.ncbi.nlm.nih.gov/gene/?term=MRPL3","NCBI")</f>
        <v>NCBI</v>
      </c>
      <c r="F896">
        <v>1.5E-3</v>
      </c>
      <c r="G896">
        <v>2.8000000000000001E-2</v>
      </c>
      <c r="H896" s="1" t="str">
        <f>HYPERLINK("http://www.weizmann.ac.il/complex/compphys/software/geview/data/figures/208787_at.png","Figure")</f>
        <v>Figure</v>
      </c>
      <c r="I896">
        <v>1.1299999999999999</v>
      </c>
      <c r="J896">
        <v>0.78</v>
      </c>
      <c r="K896">
        <v>1.97</v>
      </c>
      <c r="L896">
        <v>2E-3</v>
      </c>
      <c r="M896">
        <v>1.74</v>
      </c>
      <c r="N896">
        <v>1.2999999999999999E-2</v>
      </c>
    </row>
    <row r="897" spans="1:14" x14ac:dyDescent="0.25">
      <c r="A897" t="s">
        <v>1673</v>
      </c>
      <c r="B897" t="s">
        <v>1674</v>
      </c>
      <c r="C897" s="1" t="str">
        <f>HYPERLINK("http://www.genecards.org/cgi-bin/carddisp.pl?gene=ARHGEF2","GeneCards")</f>
        <v>GeneCards</v>
      </c>
      <c r="D897" s="1" t="str">
        <f>HYPERLINK("http://genome-euro.ucsc.edu/cgi-bin/hgTracks?position=209435_s_at","UCSC")</f>
        <v>UCSC</v>
      </c>
      <c r="E897" s="1" t="str">
        <f>HYPERLINK("http://www.ncbi.nlm.nih.gov/gene/?term=ARHGEF2","NCBI")</f>
        <v>NCBI</v>
      </c>
      <c r="F897">
        <v>1.5E-3</v>
      </c>
      <c r="G897">
        <v>2.8000000000000001E-2</v>
      </c>
      <c r="H897" s="1" t="str">
        <f>HYPERLINK("http://www.weizmann.ac.il/complex/compphys/software/geview/data/figures/209435_s_at.png","Figure")</f>
        <v>Figure</v>
      </c>
      <c r="I897">
        <v>1.43</v>
      </c>
      <c r="J897">
        <v>5.5999999999999999E-3</v>
      </c>
      <c r="K897">
        <v>1.43</v>
      </c>
      <c r="L897">
        <v>2.0999999999999999E-3</v>
      </c>
      <c r="M897">
        <v>0.998</v>
      </c>
      <c r="N897">
        <v>1</v>
      </c>
    </row>
    <row r="898" spans="1:14" x14ac:dyDescent="0.25">
      <c r="A898" t="s">
        <v>1675</v>
      </c>
      <c r="B898" t="s">
        <v>1676</v>
      </c>
      <c r="C898" s="1" t="str">
        <f>HYPERLINK("http://www.genecards.org/cgi-bin/carddisp.pl?gene=HPS1","GeneCards")</f>
        <v>GeneCards</v>
      </c>
      <c r="D898" s="1" t="str">
        <f>HYPERLINK("http://genome-euro.ucsc.edu/cgi-bin/hgTracks?position=210112_at","UCSC")</f>
        <v>UCSC</v>
      </c>
      <c r="E898" s="1" t="str">
        <f>HYPERLINK("http://www.ncbi.nlm.nih.gov/gene/?term=HPS1","NCBI")</f>
        <v>NCBI</v>
      </c>
      <c r="F898">
        <v>1.5E-3</v>
      </c>
      <c r="G898">
        <v>2.8000000000000001E-2</v>
      </c>
      <c r="H898" s="1" t="str">
        <f>HYPERLINK("http://www.weizmann.ac.il/complex/compphys/software/geview/data/figures/210112_at.png","Figure")</f>
        <v>Figure</v>
      </c>
      <c r="I898">
        <v>0.96699999999999997</v>
      </c>
      <c r="J898">
        <v>0.86</v>
      </c>
      <c r="K898">
        <v>0.78800000000000003</v>
      </c>
      <c r="L898">
        <v>2.2000000000000001E-3</v>
      </c>
      <c r="M898">
        <v>0.81499999999999995</v>
      </c>
      <c r="N898">
        <v>1.0999999999999999E-2</v>
      </c>
    </row>
    <row r="899" spans="1:14" x14ac:dyDescent="0.25">
      <c r="A899" t="s">
        <v>1677</v>
      </c>
      <c r="B899" t="s">
        <v>1678</v>
      </c>
      <c r="C899" s="1" t="str">
        <f>HYPERLINK("http://www.genecards.org/cgi-bin/carddisp.pl?gene=SMARCA5","GeneCards")</f>
        <v>GeneCards</v>
      </c>
      <c r="D899" s="1" t="str">
        <f>HYPERLINK("http://genome-euro.ucsc.edu/cgi-bin/hgTracks?position=213251_at","UCSC")</f>
        <v>UCSC</v>
      </c>
      <c r="E899" s="1" t="str">
        <f>HYPERLINK("http://www.ncbi.nlm.nih.gov/gene/?term=SMARCA5","NCBI")</f>
        <v>NCBI</v>
      </c>
      <c r="F899">
        <v>1.5E-3</v>
      </c>
      <c r="G899">
        <v>2.8000000000000001E-2</v>
      </c>
      <c r="H899" s="1" t="str">
        <f>HYPERLINK("http://www.weizmann.ac.il/complex/compphys/software/geview/data/figures/213251_at.png","Figure")</f>
        <v>Figure</v>
      </c>
      <c r="I899">
        <v>0.45</v>
      </c>
      <c r="J899">
        <v>1.2999999999999999E-3</v>
      </c>
      <c r="K899">
        <v>0.61199999999999999</v>
      </c>
      <c r="L899">
        <v>1.6E-2</v>
      </c>
      <c r="M899">
        <v>1.36</v>
      </c>
      <c r="N899">
        <v>0.17</v>
      </c>
    </row>
    <row r="900" spans="1:14" x14ac:dyDescent="0.25">
      <c r="A900" t="s">
        <v>1679</v>
      </c>
      <c r="B900" t="s">
        <v>1680</v>
      </c>
      <c r="C900" s="1" t="str">
        <f>HYPERLINK("http://www.genecards.org/cgi-bin/carddisp.pl?gene=CACYBP","GeneCards")</f>
        <v>GeneCards</v>
      </c>
      <c r="D900" s="1" t="str">
        <f>HYPERLINK("http://genome-euro.ucsc.edu/cgi-bin/hgTracks?position=201381_x_at","UCSC")</f>
        <v>UCSC</v>
      </c>
      <c r="E900" s="1" t="str">
        <f>HYPERLINK("http://www.ncbi.nlm.nih.gov/gene/?term=CACYBP","NCBI")</f>
        <v>NCBI</v>
      </c>
      <c r="F900">
        <v>1.5E-3</v>
      </c>
      <c r="G900">
        <v>2.8000000000000001E-2</v>
      </c>
      <c r="H900" s="1" t="str">
        <f>HYPERLINK("http://www.weizmann.ac.il/complex/compphys/software/geview/data/figures/201381_x_at.png","Figure")</f>
        <v>Figure</v>
      </c>
      <c r="I900">
        <v>1.95</v>
      </c>
      <c r="J900">
        <v>8.2000000000000007E-3</v>
      </c>
      <c r="K900">
        <v>2.06</v>
      </c>
      <c r="L900">
        <v>1.6999999999999999E-3</v>
      </c>
      <c r="M900">
        <v>1.05</v>
      </c>
      <c r="N900">
        <v>0.95</v>
      </c>
    </row>
    <row r="901" spans="1:14" x14ac:dyDescent="0.25">
      <c r="A901" t="s">
        <v>1681</v>
      </c>
      <c r="B901" t="s">
        <v>1682</v>
      </c>
      <c r="C901" s="1" t="str">
        <f>HYPERLINK("http://www.genecards.org/cgi-bin/carddisp.pl?gene=VCPIP1","GeneCards")</f>
        <v>GeneCards</v>
      </c>
      <c r="D901" s="1" t="str">
        <f>HYPERLINK("http://genome-euro.ucsc.edu/cgi-bin/hgTracks?position=219810_at","UCSC")</f>
        <v>UCSC</v>
      </c>
      <c r="E901" s="1" t="str">
        <f>HYPERLINK("http://www.ncbi.nlm.nih.gov/gene/?term=VCPIP1","NCBI")</f>
        <v>NCBI</v>
      </c>
      <c r="F901">
        <v>1.5E-3</v>
      </c>
      <c r="G901">
        <v>2.8000000000000001E-2</v>
      </c>
      <c r="H901" s="1" t="str">
        <f>HYPERLINK("http://www.weizmann.ac.il/complex/compphys/software/geview/data/figures/219810_at.png","Figure")</f>
        <v>Figure</v>
      </c>
      <c r="I901">
        <v>0.86199999999999999</v>
      </c>
      <c r="J901">
        <v>0.35</v>
      </c>
      <c r="K901">
        <v>0.66</v>
      </c>
      <c r="L901">
        <v>1.2999999999999999E-3</v>
      </c>
      <c r="M901">
        <v>0.76600000000000001</v>
      </c>
      <c r="N901">
        <v>0.04</v>
      </c>
    </row>
    <row r="902" spans="1:14" x14ac:dyDescent="0.25">
      <c r="A902" t="s">
        <v>1683</v>
      </c>
      <c r="B902" t="s">
        <v>1322</v>
      </c>
      <c r="C902" s="1" t="str">
        <f>HYPERLINK("http://www.genecards.org/cgi-bin/carddisp.pl?gene=ADD1","GeneCards")</f>
        <v>GeneCards</v>
      </c>
      <c r="D902" s="1" t="str">
        <f>HYPERLINK("http://genome-euro.ucsc.edu/cgi-bin/hgTracks?position=208030_s_at","UCSC")</f>
        <v>UCSC</v>
      </c>
      <c r="E902" s="1" t="str">
        <f>HYPERLINK("http://www.ncbi.nlm.nih.gov/gene/?term=ADD1","NCBI")</f>
        <v>NCBI</v>
      </c>
      <c r="F902">
        <v>1.5E-3</v>
      </c>
      <c r="G902">
        <v>2.8000000000000001E-2</v>
      </c>
      <c r="H902" s="1" t="str">
        <f>HYPERLINK("http://www.weizmann.ac.il/complex/compphys/software/geview/data/figures/208030_s_at.png","Figure")</f>
        <v>Figure</v>
      </c>
      <c r="I902">
        <v>0.76</v>
      </c>
      <c r="J902">
        <v>7.8E-2</v>
      </c>
      <c r="K902">
        <v>1.26</v>
      </c>
      <c r="L902">
        <v>9.2999999999999999E-2</v>
      </c>
      <c r="M902">
        <v>1.65</v>
      </c>
      <c r="N902">
        <v>1.1000000000000001E-3</v>
      </c>
    </row>
    <row r="903" spans="1:14" x14ac:dyDescent="0.25">
      <c r="A903" t="s">
        <v>1684</v>
      </c>
      <c r="B903" t="s">
        <v>1685</v>
      </c>
      <c r="C903" s="1" t="str">
        <f>HYPERLINK("http://www.genecards.org/cgi-bin/carddisp.pl?gene=CBFA2T3","GeneCards")</f>
        <v>GeneCards</v>
      </c>
      <c r="D903" s="1" t="str">
        <f>HYPERLINK("http://genome-euro.ucsc.edu/cgi-bin/hgTracks?position=208056_s_at","UCSC")</f>
        <v>UCSC</v>
      </c>
      <c r="E903" s="1" t="str">
        <f>HYPERLINK("http://www.ncbi.nlm.nih.gov/gene/?term=CBFA2T3","NCBI")</f>
        <v>NCBI</v>
      </c>
      <c r="F903">
        <v>1.5E-3</v>
      </c>
      <c r="G903">
        <v>2.8000000000000001E-2</v>
      </c>
      <c r="H903" s="1" t="str">
        <f>HYPERLINK("http://www.weizmann.ac.il/complex/compphys/software/geview/data/figures/208056_s_at.png","Figure")</f>
        <v>Figure</v>
      </c>
      <c r="I903">
        <v>0.73499999999999999</v>
      </c>
      <c r="J903">
        <v>0.5</v>
      </c>
      <c r="K903">
        <v>0.34899999999999998</v>
      </c>
      <c r="L903">
        <v>1.5E-3</v>
      </c>
      <c r="M903">
        <v>0.47499999999999998</v>
      </c>
      <c r="N903">
        <v>2.5999999999999999E-2</v>
      </c>
    </row>
    <row r="904" spans="1:14" x14ac:dyDescent="0.25">
      <c r="A904" t="s">
        <v>1686</v>
      </c>
      <c r="B904" t="s">
        <v>1149</v>
      </c>
      <c r="C904" s="1" t="str">
        <f>HYPERLINK("http://www.genecards.org/cgi-bin/carddisp.pl?gene=XIST","GeneCards")</f>
        <v>GeneCards</v>
      </c>
      <c r="D904" s="1" t="str">
        <f>HYPERLINK("http://genome-euro.ucsc.edu/cgi-bin/hgTracks?position=221728_x_at","UCSC")</f>
        <v>UCSC</v>
      </c>
      <c r="E904" s="1" t="str">
        <f>HYPERLINK("http://www.ncbi.nlm.nih.gov/gene/?term=XIST","NCBI")</f>
        <v>NCBI</v>
      </c>
      <c r="F904">
        <v>1.5E-3</v>
      </c>
      <c r="G904">
        <v>2.8000000000000001E-2</v>
      </c>
      <c r="H904" s="1" t="str">
        <f>HYPERLINK("http://www.weizmann.ac.il/complex/compphys/software/geview/data/figures/221728_x_at.png","Figure")</f>
        <v>Figure</v>
      </c>
      <c r="I904">
        <v>0.121</v>
      </c>
      <c r="J904">
        <v>6.0000000000000001E-3</v>
      </c>
      <c r="K904">
        <v>1.29</v>
      </c>
      <c r="L904">
        <v>0.87</v>
      </c>
      <c r="M904">
        <v>10.7</v>
      </c>
      <c r="N904">
        <v>1.5E-3</v>
      </c>
    </row>
    <row r="905" spans="1:14" x14ac:dyDescent="0.25">
      <c r="A905" t="s">
        <v>1687</v>
      </c>
      <c r="B905" t="s">
        <v>1688</v>
      </c>
      <c r="C905" s="1" t="str">
        <f>HYPERLINK("http://www.genecards.org/cgi-bin/carddisp.pl?gene=CD22","GeneCards")</f>
        <v>GeneCards</v>
      </c>
      <c r="D905" s="1" t="str">
        <f>HYPERLINK("http://genome-euro.ucsc.edu/cgi-bin/hgTracks?position=217422_s_at","UCSC")</f>
        <v>UCSC</v>
      </c>
      <c r="E905" s="1" t="str">
        <f>HYPERLINK("http://www.ncbi.nlm.nih.gov/gene/?term=CD22","NCBI")</f>
        <v>NCBI</v>
      </c>
      <c r="F905">
        <v>1.5E-3</v>
      </c>
      <c r="G905">
        <v>2.8000000000000001E-2</v>
      </c>
      <c r="H905" s="1" t="str">
        <f>HYPERLINK("http://www.weizmann.ac.il/complex/compphys/software/geview/data/figures/217422_s_at.png","Figure")</f>
        <v>Figure</v>
      </c>
      <c r="I905">
        <v>1.21</v>
      </c>
      <c r="J905">
        <v>3.2000000000000001E-2</v>
      </c>
      <c r="K905">
        <v>1.3</v>
      </c>
      <c r="L905">
        <v>1.1000000000000001E-3</v>
      </c>
      <c r="M905">
        <v>1.08</v>
      </c>
      <c r="N905">
        <v>0.42</v>
      </c>
    </row>
    <row r="906" spans="1:14" x14ac:dyDescent="0.25">
      <c r="A906" t="s">
        <v>1689</v>
      </c>
      <c r="B906" t="s">
        <v>1690</v>
      </c>
      <c r="C906" s="1" t="str">
        <f>HYPERLINK("http://www.genecards.org/cgi-bin/carddisp.pl?gene=DAPK2","GeneCards")</f>
        <v>GeneCards</v>
      </c>
      <c r="D906" s="1" t="str">
        <f>HYPERLINK("http://genome-euro.ucsc.edu/cgi-bin/hgTracks?position=206324_s_at","UCSC")</f>
        <v>UCSC</v>
      </c>
      <c r="E906" s="1" t="str">
        <f>HYPERLINK("http://www.ncbi.nlm.nih.gov/gene/?term=DAPK2","NCBI")</f>
        <v>NCBI</v>
      </c>
      <c r="F906">
        <v>1.5E-3</v>
      </c>
      <c r="G906">
        <v>2.8000000000000001E-2</v>
      </c>
      <c r="H906" s="1" t="str">
        <f>HYPERLINK("http://www.weizmann.ac.il/complex/compphys/software/geview/data/figures/206324_s_at.png","Figure")</f>
        <v>Figure</v>
      </c>
      <c r="I906">
        <v>1.06</v>
      </c>
      <c r="J906">
        <v>0.71</v>
      </c>
      <c r="K906">
        <v>0.81</v>
      </c>
      <c r="L906">
        <v>8.5000000000000006E-3</v>
      </c>
      <c r="M906">
        <v>0.76800000000000002</v>
      </c>
      <c r="N906">
        <v>2.7000000000000001E-3</v>
      </c>
    </row>
    <row r="907" spans="1:14" x14ac:dyDescent="0.25">
      <c r="A907" t="s">
        <v>1691</v>
      </c>
      <c r="B907" t="s">
        <v>1692</v>
      </c>
      <c r="C907" s="1" t="str">
        <f>HYPERLINK("http://www.genecards.org/cgi-bin/carddisp.pl?gene=DYRK1B","GeneCards")</f>
        <v>GeneCards</v>
      </c>
      <c r="D907" s="1" t="str">
        <f>HYPERLINK("http://genome-euro.ucsc.edu/cgi-bin/hgTracks?position=204954_s_at","UCSC")</f>
        <v>UCSC</v>
      </c>
      <c r="E907" s="1" t="str">
        <f>HYPERLINK("http://www.ncbi.nlm.nih.gov/gene/?term=DYRK1B","NCBI")</f>
        <v>NCBI</v>
      </c>
      <c r="F907">
        <v>1.5E-3</v>
      </c>
      <c r="G907">
        <v>2.8000000000000001E-2</v>
      </c>
      <c r="H907" s="1" t="str">
        <f>HYPERLINK("http://www.weizmann.ac.il/complex/compphys/software/geview/data/figures/204954_s_at.png","Figure")</f>
        <v>Figure</v>
      </c>
      <c r="I907">
        <v>1.1599999999999999</v>
      </c>
      <c r="J907">
        <v>7.8E-2</v>
      </c>
      <c r="K907">
        <v>0.88300000000000001</v>
      </c>
      <c r="L907">
        <v>9.2999999999999999E-2</v>
      </c>
      <c r="M907">
        <v>0.76200000000000001</v>
      </c>
      <c r="N907">
        <v>1.1000000000000001E-3</v>
      </c>
    </row>
    <row r="908" spans="1:14" x14ac:dyDescent="0.25">
      <c r="A908" t="s">
        <v>1693</v>
      </c>
      <c r="B908" t="s">
        <v>1694</v>
      </c>
      <c r="C908" s="1" t="str">
        <f>HYPERLINK("http://www.genecards.org/cgi-bin/carddisp.pl?gene=MFN2","GeneCards")</f>
        <v>GeneCards</v>
      </c>
      <c r="D908" s="1" t="str">
        <f>HYPERLINK("http://genome-euro.ucsc.edu/cgi-bin/hgTracks?position=201155_s_at","UCSC")</f>
        <v>UCSC</v>
      </c>
      <c r="E908" s="1" t="str">
        <f>HYPERLINK("http://www.ncbi.nlm.nih.gov/gene/?term=MFN2","NCBI")</f>
        <v>NCBI</v>
      </c>
      <c r="F908">
        <v>1.5E-3</v>
      </c>
      <c r="G908">
        <v>2.8000000000000001E-2</v>
      </c>
      <c r="H908" s="1" t="str">
        <f>HYPERLINK("http://www.weizmann.ac.il/complex/compphys/software/geview/data/figures/201155_s_at.png","Figure")</f>
        <v>Figure</v>
      </c>
      <c r="I908">
        <v>1.47</v>
      </c>
      <c r="J908">
        <v>3.3000000000000002E-2</v>
      </c>
      <c r="K908">
        <v>0.81499999999999995</v>
      </c>
      <c r="L908">
        <v>0.22</v>
      </c>
      <c r="M908">
        <v>0.55600000000000005</v>
      </c>
      <c r="N908">
        <v>1.1000000000000001E-3</v>
      </c>
    </row>
    <row r="909" spans="1:14" x14ac:dyDescent="0.25">
      <c r="A909" t="s">
        <v>1695</v>
      </c>
      <c r="B909" t="s">
        <v>1696</v>
      </c>
      <c r="C909" s="1" t="str">
        <f>HYPERLINK("http://www.genecards.org/cgi-bin/carddisp.pl?gene=PER2","GeneCards")</f>
        <v>GeneCards</v>
      </c>
      <c r="D909" s="1" t="str">
        <f>HYPERLINK("http://genome-euro.ucsc.edu/cgi-bin/hgTracks?position=208518_s_at","UCSC")</f>
        <v>UCSC</v>
      </c>
      <c r="E909" s="1" t="str">
        <f>HYPERLINK("http://www.ncbi.nlm.nih.gov/gene/?term=PER2","NCBI")</f>
        <v>NCBI</v>
      </c>
      <c r="F909">
        <v>1.5E-3</v>
      </c>
      <c r="G909">
        <v>2.8000000000000001E-2</v>
      </c>
      <c r="H909" s="1" t="str">
        <f>HYPERLINK("http://www.weizmann.ac.il/complex/compphys/software/geview/data/figures/208518_s_at.png","Figure")</f>
        <v>Figure</v>
      </c>
      <c r="I909">
        <v>1.1299999999999999</v>
      </c>
      <c r="J909">
        <v>0.34</v>
      </c>
      <c r="K909">
        <v>0.79500000000000004</v>
      </c>
      <c r="L909">
        <v>2.1000000000000001E-2</v>
      </c>
      <c r="M909">
        <v>0.70199999999999996</v>
      </c>
      <c r="N909">
        <v>1.6999999999999999E-3</v>
      </c>
    </row>
    <row r="910" spans="1:14" x14ac:dyDescent="0.25">
      <c r="A910" t="s">
        <v>1697</v>
      </c>
      <c r="B910" t="s">
        <v>1698</v>
      </c>
      <c r="C910" s="1" t="str">
        <f>HYPERLINK("http://www.genecards.org/cgi-bin/carddisp.pl?gene=TMPRSS5","GeneCards")</f>
        <v>GeneCards</v>
      </c>
      <c r="D910" s="1" t="str">
        <f>HYPERLINK("http://genome-euro.ucsc.edu/cgi-bin/hgTracks?position=221032_s_at","UCSC")</f>
        <v>UCSC</v>
      </c>
      <c r="E910" s="1" t="str">
        <f>HYPERLINK("http://www.ncbi.nlm.nih.gov/gene/?term=TMPRSS5","NCBI")</f>
        <v>NCBI</v>
      </c>
      <c r="F910">
        <v>1.5E-3</v>
      </c>
      <c r="G910">
        <v>2.8000000000000001E-2</v>
      </c>
      <c r="H910" s="1" t="str">
        <f>HYPERLINK("http://www.weizmann.ac.il/complex/compphys/software/geview/data/figures/221032_s_at.png","Figure")</f>
        <v>Figure</v>
      </c>
      <c r="I910">
        <v>1.29</v>
      </c>
      <c r="J910">
        <v>2.7000000000000001E-3</v>
      </c>
      <c r="K910">
        <v>1.02</v>
      </c>
      <c r="L910">
        <v>0.95</v>
      </c>
      <c r="M910">
        <v>0.78800000000000003</v>
      </c>
      <c r="N910">
        <v>2.7000000000000001E-3</v>
      </c>
    </row>
    <row r="911" spans="1:14" x14ac:dyDescent="0.25">
      <c r="A911" t="s">
        <v>1699</v>
      </c>
      <c r="B911" t="s">
        <v>1700</v>
      </c>
      <c r="C911" s="1" t="str">
        <f>HYPERLINK("http://www.genecards.org/cgi-bin/carddisp.pl?gene=NDUFB6","GeneCards")</f>
        <v>GeneCards</v>
      </c>
      <c r="D911" s="1" t="str">
        <f>HYPERLINK("http://genome-euro.ucsc.edu/cgi-bin/hgTracks?position=203613_s_at","UCSC")</f>
        <v>UCSC</v>
      </c>
      <c r="E911" s="1" t="str">
        <f>HYPERLINK("http://www.ncbi.nlm.nih.gov/gene/?term=NDUFB6","NCBI")</f>
        <v>NCBI</v>
      </c>
      <c r="F911">
        <v>1.5E-3</v>
      </c>
      <c r="G911">
        <v>2.9000000000000001E-2</v>
      </c>
      <c r="H911" s="1" t="str">
        <f>HYPERLINK("http://www.weizmann.ac.il/complex/compphys/software/geview/data/figures/203613_s_at.png","Figure")</f>
        <v>Figure</v>
      </c>
      <c r="I911">
        <v>0.77700000000000002</v>
      </c>
      <c r="J911">
        <v>0.35</v>
      </c>
      <c r="K911">
        <v>1.61</v>
      </c>
      <c r="L911">
        <v>2.1000000000000001E-2</v>
      </c>
      <c r="M911">
        <v>2.0699999999999998</v>
      </c>
      <c r="N911">
        <v>1.6999999999999999E-3</v>
      </c>
    </row>
    <row r="912" spans="1:14" x14ac:dyDescent="0.25">
      <c r="A912" t="s">
        <v>1701</v>
      </c>
      <c r="B912" t="s">
        <v>1702</v>
      </c>
      <c r="C912" s="1" t="str">
        <f>HYPERLINK("http://www.genecards.org/cgi-bin/carddisp.pl?gene=GART","GeneCards")</f>
        <v>GeneCards</v>
      </c>
      <c r="D912" s="1" t="str">
        <f>HYPERLINK("http://genome-euro.ucsc.edu/cgi-bin/hgTracks?position=212378_at","UCSC")</f>
        <v>UCSC</v>
      </c>
      <c r="E912" s="1" t="str">
        <f>HYPERLINK("http://www.ncbi.nlm.nih.gov/gene/?term=GART","NCBI")</f>
        <v>NCBI</v>
      </c>
      <c r="F912">
        <v>1.5E-3</v>
      </c>
      <c r="G912">
        <v>2.9000000000000001E-2</v>
      </c>
      <c r="H912" s="1" t="str">
        <f>HYPERLINK("http://www.weizmann.ac.il/complex/compphys/software/geview/data/figures/212378_at.png","Figure")</f>
        <v>Figure</v>
      </c>
      <c r="I912">
        <v>0.71199999999999997</v>
      </c>
      <c r="J912">
        <v>0.22</v>
      </c>
      <c r="K912">
        <v>1.63</v>
      </c>
      <c r="L912">
        <v>3.2000000000000001E-2</v>
      </c>
      <c r="M912">
        <v>2.29</v>
      </c>
      <c r="N912">
        <v>1.4E-3</v>
      </c>
    </row>
    <row r="913" spans="1:14" x14ac:dyDescent="0.25">
      <c r="A913" t="s">
        <v>1703</v>
      </c>
      <c r="B913" t="s">
        <v>1704</v>
      </c>
      <c r="C913" s="1" t="str">
        <f>HYPERLINK("http://www.genecards.org/cgi-bin/carddisp.pl?gene=SMARCD2","GeneCards")</f>
        <v>GeneCards</v>
      </c>
      <c r="D913" s="1" t="str">
        <f>HYPERLINK("http://genome-euro.ucsc.edu/cgi-bin/hgTracks?position=201827_at","UCSC")</f>
        <v>UCSC</v>
      </c>
      <c r="E913" s="1" t="str">
        <f>HYPERLINK("http://www.ncbi.nlm.nih.gov/gene/?term=SMARCD2","NCBI")</f>
        <v>NCBI</v>
      </c>
      <c r="F913">
        <v>1.5E-3</v>
      </c>
      <c r="G913">
        <v>2.9000000000000001E-2</v>
      </c>
      <c r="H913" s="1" t="str">
        <f>HYPERLINK("http://www.weizmann.ac.il/complex/compphys/software/geview/data/figures/201827_at.png","Figure")</f>
        <v>Figure</v>
      </c>
      <c r="I913">
        <v>1.17</v>
      </c>
      <c r="J913">
        <v>0.16</v>
      </c>
      <c r="K913">
        <v>1.38</v>
      </c>
      <c r="L913">
        <v>1.1000000000000001E-3</v>
      </c>
      <c r="M913">
        <v>1.18</v>
      </c>
      <c r="N913">
        <v>9.7000000000000003E-2</v>
      </c>
    </row>
    <row r="914" spans="1:14" x14ac:dyDescent="0.25">
      <c r="A914" t="s">
        <v>1705</v>
      </c>
      <c r="B914" t="s">
        <v>1706</v>
      </c>
      <c r="C914" s="1" t="str">
        <f>HYPERLINK("http://www.genecards.org/cgi-bin/carddisp.pl?gene=C14orf166","GeneCards")</f>
        <v>GeneCards</v>
      </c>
      <c r="D914" s="1" t="str">
        <f>HYPERLINK("http://genome-euro.ucsc.edu/cgi-bin/hgTracks?position=217768_at","UCSC")</f>
        <v>UCSC</v>
      </c>
      <c r="E914" s="1" t="str">
        <f>HYPERLINK("http://www.ncbi.nlm.nih.gov/gene/?term=C14orf166","NCBI")</f>
        <v>NCBI</v>
      </c>
      <c r="F914">
        <v>1.5E-3</v>
      </c>
      <c r="G914">
        <v>2.9000000000000001E-2</v>
      </c>
      <c r="H914" s="1" t="str">
        <f>HYPERLINK("http://www.weizmann.ac.il/complex/compphys/software/geview/data/figures/217768_at.png","Figure")</f>
        <v>Figure</v>
      </c>
      <c r="I914">
        <v>0.94299999999999995</v>
      </c>
      <c r="J914">
        <v>0.92</v>
      </c>
      <c r="K914">
        <v>1.63</v>
      </c>
      <c r="L914">
        <v>5.4000000000000003E-3</v>
      </c>
      <c r="M914">
        <v>1.73</v>
      </c>
      <c r="N914">
        <v>3.8999999999999998E-3</v>
      </c>
    </row>
    <row r="915" spans="1:14" x14ac:dyDescent="0.25">
      <c r="A915" t="s">
        <v>1707</v>
      </c>
      <c r="B915" t="s">
        <v>1708</v>
      </c>
      <c r="C915" s="1" t="str">
        <f>HYPERLINK("http://www.genecards.org/cgi-bin/carddisp.pl?gene=ABCE1","GeneCards")</f>
        <v>GeneCards</v>
      </c>
      <c r="D915" s="1" t="str">
        <f>HYPERLINK("http://genome-euro.ucsc.edu/cgi-bin/hgTracks?position=201872_s_at","UCSC")</f>
        <v>UCSC</v>
      </c>
      <c r="E915" s="1" t="str">
        <f>HYPERLINK("http://www.ncbi.nlm.nih.gov/gene/?term=ABCE1","NCBI")</f>
        <v>NCBI</v>
      </c>
      <c r="F915">
        <v>1.5E-3</v>
      </c>
      <c r="G915">
        <v>2.9000000000000001E-2</v>
      </c>
      <c r="H915" s="1" t="str">
        <f>HYPERLINK("http://www.weizmann.ac.il/complex/compphys/software/geview/data/figures/201872_s_at.png","Figure")</f>
        <v>Figure</v>
      </c>
      <c r="I915">
        <v>0.58699999999999997</v>
      </c>
      <c r="J915">
        <v>3.4000000000000002E-2</v>
      </c>
      <c r="K915">
        <v>1.34</v>
      </c>
      <c r="L915">
        <v>0.21</v>
      </c>
      <c r="M915">
        <v>2.2799999999999998</v>
      </c>
      <c r="N915">
        <v>1.1000000000000001E-3</v>
      </c>
    </row>
    <row r="916" spans="1:14" x14ac:dyDescent="0.25">
      <c r="A916" t="s">
        <v>1709</v>
      </c>
      <c r="B916" t="s">
        <v>1710</v>
      </c>
      <c r="C916" s="1" t="str">
        <f>HYPERLINK("http://www.genecards.org/cgi-bin/carddisp.pl?gene=HNRNPC","GeneCards")</f>
        <v>GeneCards</v>
      </c>
      <c r="D916" s="1" t="str">
        <f>HYPERLINK("http://genome-euro.ucsc.edu/cgi-bin/hgTracks?position=212626_x_at","UCSC")</f>
        <v>UCSC</v>
      </c>
      <c r="E916" s="1" t="str">
        <f>HYPERLINK("http://www.ncbi.nlm.nih.gov/gene/?term=HNRNPC","NCBI")</f>
        <v>NCBI</v>
      </c>
      <c r="F916">
        <v>1.6000000000000001E-3</v>
      </c>
      <c r="G916">
        <v>2.9000000000000001E-2</v>
      </c>
      <c r="H916" s="1" t="str">
        <f>HYPERLINK("http://www.weizmann.ac.il/complex/compphys/software/geview/data/figures/212626_x_at.png","Figure")</f>
        <v>Figure</v>
      </c>
      <c r="I916">
        <v>1.51</v>
      </c>
      <c r="J916">
        <v>2.7E-2</v>
      </c>
      <c r="K916">
        <v>1.75</v>
      </c>
      <c r="L916">
        <v>1.1999999999999999E-3</v>
      </c>
      <c r="M916">
        <v>1.1599999999999999</v>
      </c>
      <c r="N916">
        <v>0.5</v>
      </c>
    </row>
    <row r="917" spans="1:14" x14ac:dyDescent="0.25">
      <c r="A917" t="s">
        <v>1711</v>
      </c>
      <c r="B917" t="s">
        <v>1712</v>
      </c>
      <c r="C917" s="1" t="str">
        <f>HYPERLINK("http://www.genecards.org/cgi-bin/carddisp.pl?gene=IPO9","GeneCards")</f>
        <v>GeneCards</v>
      </c>
      <c r="D917" s="1" t="str">
        <f>HYPERLINK("http://genome-euro.ucsc.edu/cgi-bin/hgTracks?position=213785_at","UCSC")</f>
        <v>UCSC</v>
      </c>
      <c r="E917" s="1" t="str">
        <f>HYPERLINK("http://www.ncbi.nlm.nih.gov/gene/?term=IPO9","NCBI")</f>
        <v>NCBI</v>
      </c>
      <c r="F917">
        <v>1.6000000000000001E-3</v>
      </c>
      <c r="G917">
        <v>2.9000000000000001E-2</v>
      </c>
      <c r="H917" s="1" t="str">
        <f>HYPERLINK("http://www.weizmann.ac.il/complex/compphys/software/geview/data/figures/213785_at.png","Figure")</f>
        <v>Figure</v>
      </c>
      <c r="I917">
        <v>1.43</v>
      </c>
      <c r="J917">
        <v>3.5000000000000001E-3</v>
      </c>
      <c r="K917">
        <v>1.37</v>
      </c>
      <c r="L917">
        <v>3.3E-3</v>
      </c>
      <c r="M917">
        <v>0.95699999999999996</v>
      </c>
      <c r="N917">
        <v>0.85</v>
      </c>
    </row>
    <row r="918" spans="1:14" x14ac:dyDescent="0.25">
      <c r="A918" t="s">
        <v>1713</v>
      </c>
      <c r="B918" t="s">
        <v>765</v>
      </c>
      <c r="C918" s="1" t="str">
        <f>HYPERLINK("http://www.genecards.org/cgi-bin/carddisp.pl?gene=FH","GeneCards")</f>
        <v>GeneCards</v>
      </c>
      <c r="D918" s="1" t="str">
        <f>HYPERLINK("http://genome-euro.ucsc.edu/cgi-bin/hgTracks?position=214170_x_at","UCSC")</f>
        <v>UCSC</v>
      </c>
      <c r="E918" s="1" t="str">
        <f>HYPERLINK("http://www.ncbi.nlm.nih.gov/gene/?term=FH","NCBI")</f>
        <v>NCBI</v>
      </c>
      <c r="F918">
        <v>1.5E-3</v>
      </c>
      <c r="G918">
        <v>2.9000000000000001E-2</v>
      </c>
      <c r="H918" s="1" t="str">
        <f>HYPERLINK("http://www.weizmann.ac.il/complex/compphys/software/geview/data/figures/214170_x_at.png","Figure")</f>
        <v>Figure</v>
      </c>
      <c r="I918">
        <v>1.56</v>
      </c>
      <c r="J918">
        <v>7.1999999999999995E-2</v>
      </c>
      <c r="K918">
        <v>2.11</v>
      </c>
      <c r="L918">
        <v>1.1000000000000001E-3</v>
      </c>
      <c r="M918">
        <v>1.35</v>
      </c>
      <c r="N918">
        <v>0.21</v>
      </c>
    </row>
    <row r="919" spans="1:14" x14ac:dyDescent="0.25">
      <c r="A919" t="s">
        <v>1714</v>
      </c>
      <c r="B919" t="s">
        <v>1715</v>
      </c>
      <c r="C919" s="1" t="str">
        <f>HYPERLINK("http://www.genecards.org/cgi-bin/carddisp.pl?gene=TMCO3","GeneCards")</f>
        <v>GeneCards</v>
      </c>
      <c r="D919" s="1" t="str">
        <f>HYPERLINK("http://genome-euro.ucsc.edu/cgi-bin/hgTracks?position=220240_s_at","UCSC")</f>
        <v>UCSC</v>
      </c>
      <c r="E919" s="1" t="str">
        <f>HYPERLINK("http://www.ncbi.nlm.nih.gov/gene/?term=TMCO3","NCBI")</f>
        <v>NCBI</v>
      </c>
      <c r="F919">
        <v>1.6000000000000001E-3</v>
      </c>
      <c r="G919">
        <v>2.9000000000000001E-2</v>
      </c>
      <c r="H919" s="1" t="str">
        <f>HYPERLINK("http://www.weizmann.ac.il/complex/compphys/software/geview/data/figures/220240_s_at.png","Figure")</f>
        <v>Figure</v>
      </c>
      <c r="I919">
        <v>0.85399999999999998</v>
      </c>
      <c r="J919">
        <v>3.5999999999999999E-3</v>
      </c>
      <c r="K919">
        <v>1</v>
      </c>
      <c r="L919">
        <v>1</v>
      </c>
      <c r="M919">
        <v>1.17</v>
      </c>
      <c r="N919">
        <v>2.2000000000000001E-3</v>
      </c>
    </row>
    <row r="920" spans="1:14" x14ac:dyDescent="0.25">
      <c r="A920" t="s">
        <v>1716</v>
      </c>
      <c r="B920" t="s">
        <v>1717</v>
      </c>
      <c r="C920" s="1" t="str">
        <f>HYPERLINK("http://www.genecards.org/cgi-bin/carddisp.pl?gene=FAM65A","GeneCards")</f>
        <v>GeneCards</v>
      </c>
      <c r="D920" s="1" t="str">
        <f>HYPERLINK("http://genome-euro.ucsc.edu/cgi-bin/hgTracks?position=45749_at","UCSC")</f>
        <v>UCSC</v>
      </c>
      <c r="E920" s="1" t="str">
        <f>HYPERLINK("http://www.ncbi.nlm.nih.gov/gene/?term=FAM65A","NCBI")</f>
        <v>NCBI</v>
      </c>
      <c r="F920">
        <v>1.6000000000000001E-3</v>
      </c>
      <c r="G920">
        <v>2.9000000000000001E-2</v>
      </c>
      <c r="H920" s="1" t="str">
        <f>HYPERLINK("http://www.weizmann.ac.il/complex/compphys/software/geview/data/figures/45749_at.png","Figure")</f>
        <v>Figure</v>
      </c>
      <c r="I920">
        <v>1.58</v>
      </c>
      <c r="J920">
        <v>1.5E-3</v>
      </c>
      <c r="K920">
        <v>1.1100000000000001</v>
      </c>
      <c r="L920">
        <v>0.46</v>
      </c>
      <c r="M920">
        <v>0.70599999999999996</v>
      </c>
      <c r="N920">
        <v>6.8999999999999999E-3</v>
      </c>
    </row>
    <row r="921" spans="1:14" x14ac:dyDescent="0.25">
      <c r="A921" t="s">
        <v>1718</v>
      </c>
      <c r="B921" t="s">
        <v>1719</v>
      </c>
      <c r="C921" s="1" t="str">
        <f>HYPERLINK("http://www.genecards.org/cgi-bin/carddisp.pl?gene=ATRNL1","GeneCards")</f>
        <v>GeneCards</v>
      </c>
      <c r="D921" s="1" t="str">
        <f>HYPERLINK("http://genome-euro.ucsc.edu/cgi-bin/hgTracks?position=213744_at","UCSC")</f>
        <v>UCSC</v>
      </c>
      <c r="E921" s="1" t="str">
        <f>HYPERLINK("http://www.ncbi.nlm.nih.gov/gene/?term=ATRNL1","NCBI")</f>
        <v>NCBI</v>
      </c>
      <c r="F921">
        <v>1.6000000000000001E-3</v>
      </c>
      <c r="G921">
        <v>2.9000000000000001E-2</v>
      </c>
      <c r="H921" s="1" t="str">
        <f>HYPERLINK("http://www.weizmann.ac.il/complex/compphys/software/geview/data/figures/213744_at.png","Figure")</f>
        <v>Figure</v>
      </c>
      <c r="I921">
        <v>1.17</v>
      </c>
      <c r="J921">
        <v>9.2999999999999992E-3</v>
      </c>
      <c r="K921">
        <v>1.19</v>
      </c>
      <c r="L921">
        <v>1.6999999999999999E-3</v>
      </c>
      <c r="M921">
        <v>1.02</v>
      </c>
      <c r="N921">
        <v>0.93</v>
      </c>
    </row>
    <row r="922" spans="1:14" x14ac:dyDescent="0.25">
      <c r="A922" t="s">
        <v>1720</v>
      </c>
      <c r="B922" t="s">
        <v>1721</v>
      </c>
      <c r="C922" s="1" t="str">
        <f>HYPERLINK("http://www.genecards.org/cgi-bin/carddisp.pl?gene=SERPINI1","GeneCards")</f>
        <v>GeneCards</v>
      </c>
      <c r="D922" s="1" t="str">
        <f>HYPERLINK("http://genome-euro.ucsc.edu/cgi-bin/hgTracks?position=205352_at","UCSC")</f>
        <v>UCSC</v>
      </c>
      <c r="E922" s="1" t="str">
        <f>HYPERLINK("http://www.ncbi.nlm.nih.gov/gene/?term=SERPINI1","NCBI")</f>
        <v>NCBI</v>
      </c>
      <c r="F922">
        <v>1.6000000000000001E-3</v>
      </c>
      <c r="G922">
        <v>2.9000000000000001E-2</v>
      </c>
      <c r="H922" s="1" t="str">
        <f>HYPERLINK("http://www.weizmann.ac.il/complex/compphys/software/geview/data/figures/205352_at.png","Figure")</f>
        <v>Figure</v>
      </c>
      <c r="I922">
        <v>0.625</v>
      </c>
      <c r="J922">
        <v>1.4E-3</v>
      </c>
      <c r="K922">
        <v>0.876</v>
      </c>
      <c r="L922">
        <v>0.33</v>
      </c>
      <c r="M922">
        <v>1.4</v>
      </c>
      <c r="N922">
        <v>9.4999999999999998E-3</v>
      </c>
    </row>
    <row r="923" spans="1:14" x14ac:dyDescent="0.25">
      <c r="A923" t="s">
        <v>1722</v>
      </c>
      <c r="B923" t="s">
        <v>1723</v>
      </c>
      <c r="C923" s="1" t="str">
        <f>HYPERLINK("http://www.genecards.org/cgi-bin/carddisp.pl?gene=IL1RL2","GeneCards")</f>
        <v>GeneCards</v>
      </c>
      <c r="D923" s="1" t="str">
        <f>HYPERLINK("http://genome-euro.ucsc.edu/cgi-bin/hgTracks?position=208038_at","UCSC")</f>
        <v>UCSC</v>
      </c>
      <c r="E923" s="1" t="str">
        <f>HYPERLINK("http://www.ncbi.nlm.nih.gov/gene/?term=IL1RL2","NCBI")</f>
        <v>NCBI</v>
      </c>
      <c r="F923">
        <v>1.6000000000000001E-3</v>
      </c>
      <c r="G923">
        <v>2.9000000000000001E-2</v>
      </c>
      <c r="H923" s="1" t="str">
        <f>HYPERLINK("http://www.weizmann.ac.il/complex/compphys/software/geview/data/figures/208038_at.png","Figure")</f>
        <v>Figure</v>
      </c>
      <c r="I923">
        <v>1.24</v>
      </c>
      <c r="J923">
        <v>2.5000000000000001E-3</v>
      </c>
      <c r="K923">
        <v>1.02</v>
      </c>
      <c r="L923">
        <v>0.9</v>
      </c>
      <c r="M923">
        <v>0.82099999999999995</v>
      </c>
      <c r="N923">
        <v>3.0999999999999999E-3</v>
      </c>
    </row>
    <row r="924" spans="1:14" x14ac:dyDescent="0.25">
      <c r="A924" t="s">
        <v>1724</v>
      </c>
      <c r="B924" t="s">
        <v>227</v>
      </c>
      <c r="C924" s="1" t="str">
        <f>HYPERLINK("http://www.genecards.org/cgi-bin/carddisp.pl?gene=ARL4C","GeneCards")</f>
        <v>GeneCards</v>
      </c>
      <c r="D924" s="1" t="str">
        <f>HYPERLINK("http://genome-euro.ucsc.edu/cgi-bin/hgTracks?position=213759_at","UCSC")</f>
        <v>UCSC</v>
      </c>
      <c r="E924" s="1" t="str">
        <f>HYPERLINK("http://www.ncbi.nlm.nih.gov/gene/?term=ARL4C","NCBI")</f>
        <v>NCBI</v>
      </c>
      <c r="F924">
        <v>1.6000000000000001E-3</v>
      </c>
      <c r="G924">
        <v>2.9000000000000001E-2</v>
      </c>
      <c r="H924" s="1" t="str">
        <f>HYPERLINK("http://www.weizmann.ac.il/complex/compphys/software/geview/data/figures/213759_at.png","Figure")</f>
        <v>Figure</v>
      </c>
      <c r="I924">
        <v>1.21</v>
      </c>
      <c r="J924">
        <v>2.3E-3</v>
      </c>
      <c r="K924">
        <v>1.1499999999999999</v>
      </c>
      <c r="L924">
        <v>5.7999999999999996E-3</v>
      </c>
      <c r="M924">
        <v>0.95799999999999996</v>
      </c>
      <c r="N924">
        <v>0.56000000000000005</v>
      </c>
    </row>
    <row r="925" spans="1:14" x14ac:dyDescent="0.25">
      <c r="A925" t="s">
        <v>1725</v>
      </c>
      <c r="B925" t="s">
        <v>1726</v>
      </c>
      <c r="C925" s="1" t="str">
        <f>HYPERLINK("http://www.genecards.org/cgi-bin/carddisp.pl?gene=AIMP2","GeneCards")</f>
        <v>GeneCards</v>
      </c>
      <c r="D925" s="1" t="str">
        <f>HYPERLINK("http://genome-euro.ucsc.edu/cgi-bin/hgTracks?position=202138_x_at","UCSC")</f>
        <v>UCSC</v>
      </c>
      <c r="E925" s="1" t="str">
        <f>HYPERLINK("http://www.ncbi.nlm.nih.gov/gene/?term=AIMP2","NCBI")</f>
        <v>NCBI</v>
      </c>
      <c r="F925">
        <v>1.6000000000000001E-3</v>
      </c>
      <c r="G925">
        <v>2.9000000000000001E-2</v>
      </c>
      <c r="H925" s="1" t="str">
        <f>HYPERLINK("http://www.weizmann.ac.il/complex/compphys/software/geview/data/figures/202138_x_at.png","Figure")</f>
        <v>Figure</v>
      </c>
      <c r="I925">
        <v>1.3</v>
      </c>
      <c r="J925">
        <v>0.14000000000000001</v>
      </c>
      <c r="K925">
        <v>1.69</v>
      </c>
      <c r="L925">
        <v>1.1999999999999999E-3</v>
      </c>
      <c r="M925">
        <v>1.3</v>
      </c>
      <c r="N925">
        <v>0.11</v>
      </c>
    </row>
    <row r="926" spans="1:14" x14ac:dyDescent="0.25">
      <c r="A926" t="s">
        <v>1727</v>
      </c>
      <c r="B926" t="s">
        <v>1728</v>
      </c>
      <c r="C926" s="1" t="str">
        <f>HYPERLINK("http://www.genecards.org/cgi-bin/carddisp.pl?gene=HCCS","GeneCards")</f>
        <v>GeneCards</v>
      </c>
      <c r="D926" s="1" t="str">
        <f>HYPERLINK("http://genome-euro.ucsc.edu/cgi-bin/hgTracks?position=203745_at","UCSC")</f>
        <v>UCSC</v>
      </c>
      <c r="E926" s="1" t="str">
        <f>HYPERLINK("http://www.ncbi.nlm.nih.gov/gene/?term=HCCS","NCBI")</f>
        <v>NCBI</v>
      </c>
      <c r="F926">
        <v>1.6000000000000001E-3</v>
      </c>
      <c r="G926">
        <v>2.9000000000000001E-2</v>
      </c>
      <c r="H926" s="1" t="str">
        <f>HYPERLINK("http://www.weizmann.ac.il/complex/compphys/software/geview/data/figures/203745_at.png","Figure")</f>
        <v>Figure</v>
      </c>
      <c r="I926">
        <v>0.34699999999999998</v>
      </c>
      <c r="J926">
        <v>1.1000000000000001E-3</v>
      </c>
      <c r="K926">
        <v>0.629</v>
      </c>
      <c r="L926">
        <v>8.3000000000000004E-2</v>
      </c>
      <c r="M926">
        <v>1.81</v>
      </c>
      <c r="N926">
        <v>3.5999999999999997E-2</v>
      </c>
    </row>
    <row r="927" spans="1:14" x14ac:dyDescent="0.25">
      <c r="A927" t="s">
        <v>1729</v>
      </c>
      <c r="B927" t="s">
        <v>1730</v>
      </c>
      <c r="C927" s="1" t="str">
        <f>HYPERLINK("http://www.genecards.org/cgi-bin/carddisp.pl?gene=MYBPH","GeneCards")</f>
        <v>GeneCards</v>
      </c>
      <c r="D927" s="1" t="str">
        <f>HYPERLINK("http://genome-euro.ucsc.edu/cgi-bin/hgTracks?position=206304_at","UCSC")</f>
        <v>UCSC</v>
      </c>
      <c r="E927" s="1" t="str">
        <f>HYPERLINK("http://www.ncbi.nlm.nih.gov/gene/?term=MYBPH","NCBI")</f>
        <v>NCBI</v>
      </c>
      <c r="F927">
        <v>1.6000000000000001E-3</v>
      </c>
      <c r="G927">
        <v>2.9000000000000001E-2</v>
      </c>
      <c r="H927" s="1" t="str">
        <f>HYPERLINK("http://www.weizmann.ac.il/complex/compphys/software/geview/data/figures/206304_at.png","Figure")</f>
        <v>Figure</v>
      </c>
      <c r="I927">
        <v>1.79</v>
      </c>
      <c r="J927">
        <v>3.5999999999999999E-3</v>
      </c>
      <c r="K927">
        <v>1.67</v>
      </c>
      <c r="L927">
        <v>3.3E-3</v>
      </c>
      <c r="M927">
        <v>0.93300000000000005</v>
      </c>
      <c r="N927">
        <v>0.87</v>
      </c>
    </row>
    <row r="928" spans="1:14" x14ac:dyDescent="0.25">
      <c r="A928" t="s">
        <v>1731</v>
      </c>
      <c r="B928" t="s">
        <v>1732</v>
      </c>
      <c r="C928" s="1" t="str">
        <f>HYPERLINK("http://www.genecards.org/cgi-bin/carddisp.pl?gene=NUP93","GeneCards")</f>
        <v>GeneCards</v>
      </c>
      <c r="D928" s="1" t="str">
        <f>HYPERLINK("http://genome-euro.ucsc.edu/cgi-bin/hgTracks?position=202188_at","UCSC")</f>
        <v>UCSC</v>
      </c>
      <c r="E928" s="1" t="str">
        <f>HYPERLINK("http://www.ncbi.nlm.nih.gov/gene/?term=NUP93","NCBI")</f>
        <v>NCBI</v>
      </c>
      <c r="F928">
        <v>1.6000000000000001E-3</v>
      </c>
      <c r="G928">
        <v>2.9000000000000001E-2</v>
      </c>
      <c r="H928" s="1" t="str">
        <f>HYPERLINK("http://www.weizmann.ac.il/complex/compphys/software/geview/data/figures/202188_at.png","Figure")</f>
        <v>Figure</v>
      </c>
      <c r="I928">
        <v>1.41</v>
      </c>
      <c r="J928">
        <v>1.1000000000000001E-3</v>
      </c>
      <c r="K928">
        <v>1.17</v>
      </c>
      <c r="L928">
        <v>7.0000000000000007E-2</v>
      </c>
      <c r="M928">
        <v>0.83099999999999996</v>
      </c>
      <c r="N928">
        <v>4.2999999999999997E-2</v>
      </c>
    </row>
    <row r="929" spans="1:14" x14ac:dyDescent="0.25">
      <c r="A929" t="s">
        <v>1733</v>
      </c>
      <c r="B929" t="s">
        <v>1734</v>
      </c>
      <c r="C929" s="1" t="str">
        <f>HYPERLINK("http://www.genecards.org/cgi-bin/carddisp.pl?gene=DAPK1","GeneCards")</f>
        <v>GeneCards</v>
      </c>
      <c r="D929" s="1" t="str">
        <f>HYPERLINK("http://genome-euro.ucsc.edu/cgi-bin/hgTracks?position=203139_at","UCSC")</f>
        <v>UCSC</v>
      </c>
      <c r="E929" s="1" t="str">
        <f>HYPERLINK("http://www.ncbi.nlm.nih.gov/gene/?term=DAPK1","NCBI")</f>
        <v>NCBI</v>
      </c>
      <c r="F929">
        <v>1.6000000000000001E-3</v>
      </c>
      <c r="G929">
        <v>2.9000000000000001E-2</v>
      </c>
      <c r="H929" s="1" t="str">
        <f>HYPERLINK("http://www.weizmann.ac.il/complex/compphys/software/geview/data/figures/203139_at.png","Figure")</f>
        <v>Figure</v>
      </c>
      <c r="I929">
        <v>0.22700000000000001</v>
      </c>
      <c r="J929">
        <v>3.0000000000000001E-3</v>
      </c>
      <c r="K929">
        <v>0.28999999999999998</v>
      </c>
      <c r="L929">
        <v>4.1000000000000003E-3</v>
      </c>
      <c r="M929">
        <v>1.28</v>
      </c>
      <c r="N929">
        <v>0.75</v>
      </c>
    </row>
    <row r="930" spans="1:14" x14ac:dyDescent="0.25">
      <c r="A930" t="s">
        <v>1735</v>
      </c>
      <c r="B930" t="s">
        <v>1736</v>
      </c>
      <c r="C930" s="1" t="str">
        <f>HYPERLINK("http://www.genecards.org/cgi-bin/carddisp.pl?gene=VPS4B","GeneCards")</f>
        <v>GeneCards</v>
      </c>
      <c r="D930" s="1" t="str">
        <f>HYPERLINK("http://genome-euro.ucsc.edu/cgi-bin/hgTracks?position=218171_at","UCSC")</f>
        <v>UCSC</v>
      </c>
      <c r="E930" s="1" t="str">
        <f>HYPERLINK("http://www.ncbi.nlm.nih.gov/gene/?term=VPS4B","NCBI")</f>
        <v>NCBI</v>
      </c>
      <c r="F930">
        <v>1.6000000000000001E-3</v>
      </c>
      <c r="G930">
        <v>2.9000000000000001E-2</v>
      </c>
      <c r="H930" s="1" t="str">
        <f>HYPERLINK("http://www.weizmann.ac.il/complex/compphys/software/geview/data/figures/218171_at.png","Figure")</f>
        <v>Figure</v>
      </c>
      <c r="I930">
        <v>0.51400000000000001</v>
      </c>
      <c r="J930">
        <v>1.1000000000000001E-3</v>
      </c>
      <c r="K930">
        <v>0.73299999999999998</v>
      </c>
      <c r="L930">
        <v>6.3E-2</v>
      </c>
      <c r="M930">
        <v>1.42</v>
      </c>
      <c r="N930">
        <v>4.7E-2</v>
      </c>
    </row>
    <row r="931" spans="1:14" x14ac:dyDescent="0.25">
      <c r="A931" t="s">
        <v>1737</v>
      </c>
      <c r="B931" t="s">
        <v>1738</v>
      </c>
      <c r="C931" s="1" t="str">
        <f>HYPERLINK("http://www.genecards.org/cgi-bin/carddisp.pl?gene=FHL1","GeneCards")</f>
        <v>GeneCards</v>
      </c>
      <c r="D931" s="1" t="str">
        <f>HYPERLINK("http://genome-euro.ucsc.edu/cgi-bin/hgTracks?position=201539_s_at","UCSC")</f>
        <v>UCSC</v>
      </c>
      <c r="E931" s="1" t="str">
        <f>HYPERLINK("http://www.ncbi.nlm.nih.gov/gene/?term=FHL1","NCBI")</f>
        <v>NCBI</v>
      </c>
      <c r="F931">
        <v>1.6000000000000001E-3</v>
      </c>
      <c r="G931">
        <v>2.9000000000000001E-2</v>
      </c>
      <c r="H931" s="1" t="str">
        <f>HYPERLINK("http://www.weizmann.ac.il/complex/compphys/software/geview/data/figures/201539_s_at.png","Figure")</f>
        <v>Figure</v>
      </c>
      <c r="I931">
        <v>0.76</v>
      </c>
      <c r="J931">
        <v>1.5E-3</v>
      </c>
      <c r="K931">
        <v>0.93</v>
      </c>
      <c r="L931">
        <v>0.38</v>
      </c>
      <c r="M931">
        <v>1.22</v>
      </c>
      <c r="N931">
        <v>8.6E-3</v>
      </c>
    </row>
    <row r="932" spans="1:14" x14ac:dyDescent="0.25">
      <c r="A932" t="s">
        <v>1739</v>
      </c>
      <c r="B932" t="s">
        <v>1740</v>
      </c>
      <c r="C932" s="1" t="str">
        <f>HYPERLINK("http://www.genecards.org/cgi-bin/carddisp.pl?gene=SLC2A5","GeneCards")</f>
        <v>GeneCards</v>
      </c>
      <c r="D932" s="1" t="str">
        <f>HYPERLINK("http://genome-euro.ucsc.edu/cgi-bin/hgTracks?position=204429_s_at","UCSC")</f>
        <v>UCSC</v>
      </c>
      <c r="E932" s="1" t="str">
        <f>HYPERLINK("http://www.ncbi.nlm.nih.gov/gene/?term=SLC2A5","NCBI")</f>
        <v>NCBI</v>
      </c>
      <c r="F932">
        <v>1.6000000000000001E-3</v>
      </c>
      <c r="G932">
        <v>2.9000000000000001E-2</v>
      </c>
      <c r="H932" s="1" t="str">
        <f>HYPERLINK("http://www.weizmann.ac.il/complex/compphys/software/geview/data/figures/204429_s_at.png","Figure")</f>
        <v>Figure</v>
      </c>
      <c r="I932">
        <v>0.95799999999999996</v>
      </c>
      <c r="J932">
        <v>0.75</v>
      </c>
      <c r="K932">
        <v>0.79900000000000004</v>
      </c>
      <c r="L932">
        <v>2.0999999999999999E-3</v>
      </c>
      <c r="M932">
        <v>0.83399999999999996</v>
      </c>
      <c r="N932">
        <v>1.4999999999999999E-2</v>
      </c>
    </row>
    <row r="933" spans="1:14" x14ac:dyDescent="0.25">
      <c r="A933" t="s">
        <v>1741</v>
      </c>
      <c r="B933" t="s">
        <v>1742</v>
      </c>
      <c r="C933" s="1" t="str">
        <f>HYPERLINK("http://www.genecards.org/cgi-bin/carddisp.pl?gene=KIF1B","GeneCards")</f>
        <v>GeneCards</v>
      </c>
      <c r="D933" s="1" t="str">
        <f>HYPERLINK("http://genome-euro.ucsc.edu/cgi-bin/hgTracks?position=209234_at","UCSC")</f>
        <v>UCSC</v>
      </c>
      <c r="E933" s="1" t="str">
        <f>HYPERLINK("http://www.ncbi.nlm.nih.gov/gene/?term=KIF1B","NCBI")</f>
        <v>NCBI</v>
      </c>
      <c r="F933">
        <v>1.6000000000000001E-3</v>
      </c>
      <c r="G933">
        <v>2.9000000000000001E-2</v>
      </c>
      <c r="H933" s="1" t="str">
        <f>HYPERLINK("http://www.weizmann.ac.il/complex/compphys/software/geview/data/figures/209234_at.png","Figure")</f>
        <v>Figure</v>
      </c>
      <c r="I933">
        <v>0.58099999999999996</v>
      </c>
      <c r="J933">
        <v>5.3E-3</v>
      </c>
      <c r="K933">
        <v>1.04</v>
      </c>
      <c r="L933">
        <v>0.94</v>
      </c>
      <c r="M933">
        <v>1.79</v>
      </c>
      <c r="N933">
        <v>1.8E-3</v>
      </c>
    </row>
    <row r="934" spans="1:14" x14ac:dyDescent="0.25">
      <c r="A934" t="s">
        <v>1743</v>
      </c>
      <c r="B934" t="s">
        <v>1445</v>
      </c>
      <c r="C934" s="1" t="str">
        <f>HYPERLINK("http://www.genecards.org/cgi-bin/carddisp.pl?gene=APOOL","GeneCards")</f>
        <v>GeneCards</v>
      </c>
      <c r="D934" s="1" t="str">
        <f>HYPERLINK("http://genome-euro.ucsc.edu/cgi-bin/hgTracks?position=213289_at","UCSC")</f>
        <v>UCSC</v>
      </c>
      <c r="E934" s="1" t="str">
        <f>HYPERLINK("http://www.ncbi.nlm.nih.gov/gene/?term=APOOL","NCBI")</f>
        <v>NCBI</v>
      </c>
      <c r="F934">
        <v>1.6000000000000001E-3</v>
      </c>
      <c r="G934">
        <v>2.9000000000000001E-2</v>
      </c>
      <c r="H934" s="1" t="str">
        <f>HYPERLINK("http://www.weizmann.ac.il/complex/compphys/software/geview/data/figures/213289_at.png","Figure")</f>
        <v>Figure</v>
      </c>
      <c r="I934">
        <v>0.56499999999999995</v>
      </c>
      <c r="J934">
        <v>1.6999999999999999E-3</v>
      </c>
      <c r="K934">
        <v>0.89100000000000001</v>
      </c>
      <c r="L934">
        <v>0.56999999999999995</v>
      </c>
      <c r="M934">
        <v>1.58</v>
      </c>
      <c r="N934">
        <v>5.7000000000000002E-3</v>
      </c>
    </row>
    <row r="935" spans="1:14" x14ac:dyDescent="0.25">
      <c r="A935" t="s">
        <v>1744</v>
      </c>
      <c r="B935" t="s">
        <v>1745</v>
      </c>
      <c r="C935" s="1" t="str">
        <f>HYPERLINK("http://www.genecards.org/cgi-bin/carddisp.pl?gene=RNASEL","GeneCards")</f>
        <v>GeneCards</v>
      </c>
      <c r="D935" s="1" t="str">
        <f>HYPERLINK("http://genome-euro.ucsc.edu/cgi-bin/hgTracks?position=221287_at","UCSC")</f>
        <v>UCSC</v>
      </c>
      <c r="E935" s="1" t="str">
        <f>HYPERLINK("http://www.ncbi.nlm.nih.gov/gene/?term=RNASEL","NCBI")</f>
        <v>NCBI</v>
      </c>
      <c r="F935">
        <v>1.6000000000000001E-3</v>
      </c>
      <c r="G935">
        <v>2.9000000000000001E-2</v>
      </c>
      <c r="H935" s="1" t="str">
        <f>HYPERLINK("http://www.weizmann.ac.il/complex/compphys/software/geview/data/figures/221287_at.png","Figure")</f>
        <v>Figure</v>
      </c>
      <c r="I935">
        <v>1.36</v>
      </c>
      <c r="J935">
        <v>2.8E-3</v>
      </c>
      <c r="K935">
        <v>1.28</v>
      </c>
      <c r="L935">
        <v>4.4999999999999997E-3</v>
      </c>
      <c r="M935">
        <v>0.94699999999999995</v>
      </c>
      <c r="N935">
        <v>0.71</v>
      </c>
    </row>
    <row r="936" spans="1:14" x14ac:dyDescent="0.25">
      <c r="A936" t="s">
        <v>1746</v>
      </c>
      <c r="B936" t="s">
        <v>1747</v>
      </c>
      <c r="C936" s="1" t="str">
        <f>HYPERLINK("http://www.genecards.org/cgi-bin/carddisp.pl?gene=LOC729046 /// RPL17","GeneCards")</f>
        <v>GeneCards</v>
      </c>
      <c r="D936" s="1" t="str">
        <f>HYPERLINK("http://genome-euro.ucsc.edu/cgi-bin/hgTracks?position=214291_at","UCSC")</f>
        <v>UCSC</v>
      </c>
      <c r="E936" s="1" t="str">
        <f>HYPERLINK("http://www.ncbi.nlm.nih.gov/gene/?term=LOC729046 /// RPL17","NCBI")</f>
        <v>NCBI</v>
      </c>
      <c r="F936">
        <v>1.6000000000000001E-3</v>
      </c>
      <c r="G936">
        <v>0.03</v>
      </c>
      <c r="H936" s="1" t="str">
        <f>HYPERLINK("http://www.weizmann.ac.il/complex/compphys/software/geview/data/figures/214291_at.png","Figure")</f>
        <v>Figure</v>
      </c>
      <c r="I936">
        <v>0.57599999999999996</v>
      </c>
      <c r="J936">
        <v>1.2999999999999999E-2</v>
      </c>
      <c r="K936">
        <v>0.52700000000000002</v>
      </c>
      <c r="L936">
        <v>1.6000000000000001E-3</v>
      </c>
      <c r="M936">
        <v>0.91400000000000003</v>
      </c>
      <c r="N936">
        <v>0.83</v>
      </c>
    </row>
    <row r="937" spans="1:14" x14ac:dyDescent="0.25">
      <c r="A937" t="s">
        <v>1748</v>
      </c>
      <c r="B937" t="s">
        <v>1749</v>
      </c>
      <c r="C937" s="1" t="str">
        <f>HYPERLINK("http://www.genecards.org/cgi-bin/carddisp.pl?gene=RNF125","GeneCards")</f>
        <v>GeneCards</v>
      </c>
      <c r="D937" s="1" t="str">
        <f>HYPERLINK("http://genome-euro.ucsc.edu/cgi-bin/hgTracks?position=207735_at","UCSC")</f>
        <v>UCSC</v>
      </c>
      <c r="E937" s="1" t="str">
        <f>HYPERLINK("http://www.ncbi.nlm.nih.gov/gene/?term=RNF125","NCBI")</f>
        <v>NCBI</v>
      </c>
      <c r="F937">
        <v>1.6000000000000001E-3</v>
      </c>
      <c r="G937">
        <v>0.03</v>
      </c>
      <c r="H937" s="1" t="str">
        <f>HYPERLINK("http://www.weizmann.ac.il/complex/compphys/software/geview/data/figures/207735_at.png","Figure")</f>
        <v>Figure</v>
      </c>
      <c r="I937">
        <v>0.45400000000000001</v>
      </c>
      <c r="J937">
        <v>0.02</v>
      </c>
      <c r="K937">
        <v>0.36399999999999999</v>
      </c>
      <c r="L937">
        <v>1.4E-3</v>
      </c>
      <c r="M937">
        <v>0.80200000000000005</v>
      </c>
      <c r="N937">
        <v>0.63</v>
      </c>
    </row>
    <row r="938" spans="1:14" x14ac:dyDescent="0.25">
      <c r="A938" t="s">
        <v>1750</v>
      </c>
      <c r="B938" t="s">
        <v>1751</v>
      </c>
      <c r="C938" s="1" t="str">
        <f>HYPERLINK("http://www.genecards.org/cgi-bin/carddisp.pl?gene=HNRNPD","GeneCards")</f>
        <v>GeneCards</v>
      </c>
      <c r="D938" s="1" t="str">
        <f>HYPERLINK("http://genome-euro.ucsc.edu/cgi-bin/hgTracks?position=213359_at","UCSC")</f>
        <v>UCSC</v>
      </c>
      <c r="E938" s="1" t="str">
        <f>HYPERLINK("http://www.ncbi.nlm.nih.gov/gene/?term=HNRNPD","NCBI")</f>
        <v>NCBI</v>
      </c>
      <c r="F938">
        <v>1.6000000000000001E-3</v>
      </c>
      <c r="G938">
        <v>0.03</v>
      </c>
      <c r="H938" s="1" t="str">
        <f>HYPERLINK("http://www.weizmann.ac.il/complex/compphys/software/geview/data/figures/213359_at.png","Figure")</f>
        <v>Figure</v>
      </c>
      <c r="I938">
        <v>0.70099999999999996</v>
      </c>
      <c r="J938">
        <v>5.8999999999999997E-2</v>
      </c>
      <c r="K938">
        <v>0.56599999999999995</v>
      </c>
      <c r="L938">
        <v>1.1999999999999999E-3</v>
      </c>
      <c r="M938">
        <v>0.80700000000000005</v>
      </c>
      <c r="N938">
        <v>0.26</v>
      </c>
    </row>
    <row r="939" spans="1:14" x14ac:dyDescent="0.25">
      <c r="A939" t="s">
        <v>1752</v>
      </c>
      <c r="B939" t="s">
        <v>1717</v>
      </c>
      <c r="C939" s="1" t="str">
        <f>HYPERLINK("http://www.genecards.org/cgi-bin/carddisp.pl?gene=FAM65A","GeneCards")</f>
        <v>GeneCards</v>
      </c>
      <c r="D939" s="1" t="str">
        <f>HYPERLINK("http://genome-euro.ucsc.edu/cgi-bin/hgTracks?position=218029_at","UCSC")</f>
        <v>UCSC</v>
      </c>
      <c r="E939" s="1" t="str">
        <f>HYPERLINK("http://www.ncbi.nlm.nih.gov/gene/?term=FAM65A","NCBI")</f>
        <v>NCBI</v>
      </c>
      <c r="F939">
        <v>1.6000000000000001E-3</v>
      </c>
      <c r="G939">
        <v>0.03</v>
      </c>
      <c r="H939" s="1" t="str">
        <f>HYPERLINK("http://www.weizmann.ac.il/complex/compphys/software/geview/data/figures/218029_at.png","Figure")</f>
        <v>Figure</v>
      </c>
      <c r="I939">
        <v>1.45</v>
      </c>
      <c r="J939">
        <v>9.7999999999999997E-3</v>
      </c>
      <c r="K939">
        <v>0.92400000000000004</v>
      </c>
      <c r="L939">
        <v>0.68</v>
      </c>
      <c r="M939">
        <v>0.63500000000000001</v>
      </c>
      <c r="N939">
        <v>1.4E-3</v>
      </c>
    </row>
    <row r="940" spans="1:14" x14ac:dyDescent="0.25">
      <c r="A940" t="s">
        <v>1753</v>
      </c>
      <c r="B940" t="s">
        <v>1754</v>
      </c>
      <c r="C940" s="1" t="str">
        <f>HYPERLINK("http://www.genecards.org/cgi-bin/carddisp.pl?gene=SETX","GeneCards")</f>
        <v>GeneCards</v>
      </c>
      <c r="D940" s="1" t="str">
        <f>HYPERLINK("http://genome-euro.ucsc.edu/cgi-bin/hgTracks?position=201965_s_at","UCSC")</f>
        <v>UCSC</v>
      </c>
      <c r="E940" s="1" t="str">
        <f>HYPERLINK("http://www.ncbi.nlm.nih.gov/gene/?term=SETX","NCBI")</f>
        <v>NCBI</v>
      </c>
      <c r="F940">
        <v>1.6000000000000001E-3</v>
      </c>
      <c r="G940">
        <v>0.03</v>
      </c>
      <c r="H940" s="1" t="str">
        <f>HYPERLINK("http://www.weizmann.ac.il/complex/compphys/software/geview/data/figures/201965_s_at.png","Figure")</f>
        <v>Figure</v>
      </c>
      <c r="I940">
        <v>2.16</v>
      </c>
      <c r="J940">
        <v>3.8E-3</v>
      </c>
      <c r="K940">
        <v>1.97</v>
      </c>
      <c r="L940">
        <v>3.3999999999999998E-3</v>
      </c>
      <c r="M940">
        <v>0.91400000000000003</v>
      </c>
      <c r="N940">
        <v>0.87</v>
      </c>
    </row>
    <row r="941" spans="1:14" x14ac:dyDescent="0.25">
      <c r="A941" t="s">
        <v>1755</v>
      </c>
      <c r="B941" t="s">
        <v>1756</v>
      </c>
      <c r="C941" s="1" t="str">
        <f>HYPERLINK("http://www.genecards.org/cgi-bin/carddisp.pl?gene=ACOT8","GeneCards")</f>
        <v>GeneCards</v>
      </c>
      <c r="D941" s="1" t="str">
        <f>HYPERLINK("http://genome-euro.ucsc.edu/cgi-bin/hgTracks?position=204212_at","UCSC")</f>
        <v>UCSC</v>
      </c>
      <c r="E941" s="1" t="str">
        <f>HYPERLINK("http://www.ncbi.nlm.nih.gov/gene/?term=ACOT8","NCBI")</f>
        <v>NCBI</v>
      </c>
      <c r="F941">
        <v>1.6000000000000001E-3</v>
      </c>
      <c r="G941">
        <v>0.03</v>
      </c>
      <c r="H941" s="1" t="str">
        <f>HYPERLINK("http://www.weizmann.ac.il/complex/compphys/software/geview/data/figures/204212_at.png","Figure")</f>
        <v>Figure</v>
      </c>
      <c r="I941">
        <v>1.1399999999999999</v>
      </c>
      <c r="J941">
        <v>0.13</v>
      </c>
      <c r="K941">
        <v>1.3</v>
      </c>
      <c r="L941">
        <v>1.1999999999999999E-3</v>
      </c>
      <c r="M941">
        <v>1.1399999999999999</v>
      </c>
      <c r="N941">
        <v>0.12</v>
      </c>
    </row>
    <row r="942" spans="1:14" x14ac:dyDescent="0.25">
      <c r="A942" t="s">
        <v>1757</v>
      </c>
      <c r="B942" t="s">
        <v>1758</v>
      </c>
      <c r="C942" s="1" t="str">
        <f>HYPERLINK("http://www.genecards.org/cgi-bin/carddisp.pl?gene=WDR45L","GeneCards")</f>
        <v>GeneCards</v>
      </c>
      <c r="D942" s="1" t="str">
        <f>HYPERLINK("http://genome-euro.ucsc.edu/cgi-bin/hgTracks?position=209076_s_at","UCSC")</f>
        <v>UCSC</v>
      </c>
      <c r="E942" s="1" t="str">
        <f>HYPERLINK("http://www.ncbi.nlm.nih.gov/gene/?term=WDR45L","NCBI")</f>
        <v>NCBI</v>
      </c>
      <c r="F942">
        <v>1.6999999999999999E-3</v>
      </c>
      <c r="G942">
        <v>0.03</v>
      </c>
      <c r="H942" s="1" t="str">
        <f>HYPERLINK("http://www.weizmann.ac.il/complex/compphys/software/geview/data/figures/209076_s_at.png","Figure")</f>
        <v>Figure</v>
      </c>
      <c r="I942">
        <v>0.48299999999999998</v>
      </c>
      <c r="J942">
        <v>2.2000000000000001E-3</v>
      </c>
      <c r="K942">
        <v>0.58099999999999996</v>
      </c>
      <c r="L942">
        <v>6.8999999999999999E-3</v>
      </c>
      <c r="M942">
        <v>1.2</v>
      </c>
      <c r="N942">
        <v>0.49</v>
      </c>
    </row>
    <row r="943" spans="1:14" x14ac:dyDescent="0.25">
      <c r="A943" t="s">
        <v>1759</v>
      </c>
      <c r="B943" t="s">
        <v>1760</v>
      </c>
      <c r="C943" s="1" t="str">
        <f>HYPERLINK("http://www.genecards.org/cgi-bin/carddisp.pl?gene=PIK3R3","GeneCards")</f>
        <v>GeneCards</v>
      </c>
      <c r="D943" s="1" t="str">
        <f>HYPERLINK("http://genome-euro.ucsc.edu/cgi-bin/hgTracks?position=202743_at","UCSC")</f>
        <v>UCSC</v>
      </c>
      <c r="E943" s="1" t="str">
        <f>HYPERLINK("http://www.ncbi.nlm.nih.gov/gene/?term=PIK3R3","NCBI")</f>
        <v>NCBI</v>
      </c>
      <c r="F943">
        <v>1.6999999999999999E-3</v>
      </c>
      <c r="G943">
        <v>0.03</v>
      </c>
      <c r="H943" s="1" t="str">
        <f>HYPERLINK("http://www.weizmann.ac.il/complex/compphys/software/geview/data/figures/202743_at.png","Figure")</f>
        <v>Figure</v>
      </c>
      <c r="I943">
        <v>1.46</v>
      </c>
      <c r="J943">
        <v>3.8E-3</v>
      </c>
      <c r="K943">
        <v>1.39</v>
      </c>
      <c r="L943">
        <v>3.5000000000000001E-3</v>
      </c>
      <c r="M943">
        <v>0.95699999999999996</v>
      </c>
      <c r="N943">
        <v>0.87</v>
      </c>
    </row>
    <row r="944" spans="1:14" x14ac:dyDescent="0.25">
      <c r="A944" t="s">
        <v>1761</v>
      </c>
      <c r="B944" t="s">
        <v>1762</v>
      </c>
      <c r="C944" s="1" t="str">
        <f>HYPERLINK("http://www.genecards.org/cgi-bin/carddisp.pl?gene=RALBP1","GeneCards")</f>
        <v>GeneCards</v>
      </c>
      <c r="D944" s="1" t="str">
        <f>HYPERLINK("http://genome-euro.ucsc.edu/cgi-bin/hgTracks?position=202845_s_at","UCSC")</f>
        <v>UCSC</v>
      </c>
      <c r="E944" s="1" t="str">
        <f>HYPERLINK("http://www.ncbi.nlm.nih.gov/gene/?term=RALBP1","NCBI")</f>
        <v>NCBI</v>
      </c>
      <c r="F944">
        <v>1.6999999999999999E-3</v>
      </c>
      <c r="G944">
        <v>0.03</v>
      </c>
      <c r="H944" s="1" t="str">
        <f>HYPERLINK("http://www.weizmann.ac.il/complex/compphys/software/geview/data/figures/202845_s_at.png","Figure")</f>
        <v>Figure</v>
      </c>
      <c r="I944">
        <v>0.67700000000000005</v>
      </c>
      <c r="J944">
        <v>0.05</v>
      </c>
      <c r="K944">
        <v>1.29</v>
      </c>
      <c r="L944">
        <v>0.16</v>
      </c>
      <c r="M944">
        <v>1.9</v>
      </c>
      <c r="N944">
        <v>1.1999999999999999E-3</v>
      </c>
    </row>
    <row r="945" spans="1:14" x14ac:dyDescent="0.25">
      <c r="A945" t="s">
        <v>1763</v>
      </c>
      <c r="B945" t="s">
        <v>1764</v>
      </c>
      <c r="C945" s="1" t="str">
        <f>HYPERLINK("http://www.genecards.org/cgi-bin/carddisp.pl?gene=SLC12A2","GeneCards")</f>
        <v>GeneCards</v>
      </c>
      <c r="D945" s="1" t="str">
        <f>HYPERLINK("http://genome-euro.ucsc.edu/cgi-bin/hgTracks?position=204404_at","UCSC")</f>
        <v>UCSC</v>
      </c>
      <c r="E945" s="1" t="str">
        <f>HYPERLINK("http://www.ncbi.nlm.nih.gov/gene/?term=SLC12A2","NCBI")</f>
        <v>NCBI</v>
      </c>
      <c r="F945">
        <v>1.6999999999999999E-3</v>
      </c>
      <c r="G945">
        <v>0.03</v>
      </c>
      <c r="H945" s="1" t="str">
        <f>HYPERLINK("http://www.weizmann.ac.il/complex/compphys/software/geview/data/figures/204404_at.png","Figure")</f>
        <v>Figure</v>
      </c>
      <c r="I945">
        <v>1.29</v>
      </c>
      <c r="J945">
        <v>0.04</v>
      </c>
      <c r="K945">
        <v>0.86199999999999999</v>
      </c>
      <c r="L945">
        <v>0.2</v>
      </c>
      <c r="M945">
        <v>0.66700000000000004</v>
      </c>
      <c r="N945">
        <v>1.1999999999999999E-3</v>
      </c>
    </row>
    <row r="946" spans="1:14" x14ac:dyDescent="0.25">
      <c r="A946" t="s">
        <v>1765</v>
      </c>
      <c r="B946" t="s">
        <v>1766</v>
      </c>
      <c r="C946" s="1" t="str">
        <f>HYPERLINK("http://www.genecards.org/cgi-bin/carddisp.pl?gene=CLK1 /// PPIL3","GeneCards")</f>
        <v>GeneCards</v>
      </c>
      <c r="D946" s="1" t="str">
        <f>HYPERLINK("http://genome-euro.ucsc.edu/cgi-bin/hgTracks?position=214683_s_at","UCSC")</f>
        <v>UCSC</v>
      </c>
      <c r="E946" s="1" t="str">
        <f>HYPERLINK("http://www.ncbi.nlm.nih.gov/gene/?term=CLK1 /// PPIL3","NCBI")</f>
        <v>NCBI</v>
      </c>
      <c r="F946">
        <v>1.6999999999999999E-3</v>
      </c>
      <c r="G946">
        <v>0.03</v>
      </c>
      <c r="H946" s="1" t="str">
        <f>HYPERLINK("http://www.weizmann.ac.il/complex/compphys/software/geview/data/figures/214683_s_at.png","Figure")</f>
        <v>Figure</v>
      </c>
      <c r="I946">
        <v>0.47799999999999998</v>
      </c>
      <c r="J946">
        <v>1.4E-2</v>
      </c>
      <c r="K946">
        <v>0.41699999999999998</v>
      </c>
      <c r="L946">
        <v>1.6000000000000001E-3</v>
      </c>
      <c r="M946">
        <v>0.872</v>
      </c>
      <c r="N946">
        <v>0.79</v>
      </c>
    </row>
    <row r="947" spans="1:14" x14ac:dyDescent="0.25">
      <c r="A947" t="s">
        <v>1767</v>
      </c>
      <c r="B947" t="s">
        <v>1768</v>
      </c>
      <c r="C947" s="1" t="str">
        <f>HYPERLINK("http://www.genecards.org/cgi-bin/carddisp.pl?gene=CBARA1","GeneCards")</f>
        <v>GeneCards</v>
      </c>
      <c r="D947" s="1" t="str">
        <f>HYPERLINK("http://genome-euro.ucsc.edu/cgi-bin/hgTracks?position=216903_s_at","UCSC")</f>
        <v>UCSC</v>
      </c>
      <c r="E947" s="1" t="str">
        <f>HYPERLINK("http://www.ncbi.nlm.nih.gov/gene/?term=CBARA1","NCBI")</f>
        <v>NCBI</v>
      </c>
      <c r="F947">
        <v>1.6999999999999999E-3</v>
      </c>
      <c r="G947">
        <v>0.03</v>
      </c>
      <c r="H947" s="1" t="str">
        <f>HYPERLINK("http://www.weizmann.ac.il/complex/compphys/software/geview/data/figures/216903_s_at.png","Figure")</f>
        <v>Figure</v>
      </c>
      <c r="I947">
        <v>0.73599999999999999</v>
      </c>
      <c r="J947">
        <v>6.7999999999999996E-3</v>
      </c>
      <c r="K947">
        <v>1.04</v>
      </c>
      <c r="L947">
        <v>0.85</v>
      </c>
      <c r="M947">
        <v>1.41</v>
      </c>
      <c r="N947">
        <v>1.6999999999999999E-3</v>
      </c>
    </row>
    <row r="948" spans="1:14" x14ac:dyDescent="0.25">
      <c r="A948" t="s">
        <v>1769</v>
      </c>
      <c r="B948" t="s">
        <v>1770</v>
      </c>
      <c r="C948" s="1" t="str">
        <f>HYPERLINK("http://www.genecards.org/cgi-bin/carddisp.pl?gene=TMEM165","GeneCards")</f>
        <v>GeneCards</v>
      </c>
      <c r="D948" s="1" t="str">
        <f>HYPERLINK("http://genome-euro.ucsc.edu/cgi-bin/hgTracks?position=218095_s_at","UCSC")</f>
        <v>UCSC</v>
      </c>
      <c r="E948" s="1" t="str">
        <f>HYPERLINK("http://www.ncbi.nlm.nih.gov/gene/?term=TMEM165","NCBI")</f>
        <v>NCBI</v>
      </c>
      <c r="F948">
        <v>1.6999999999999999E-3</v>
      </c>
      <c r="G948">
        <v>0.03</v>
      </c>
      <c r="H948" s="1" t="str">
        <f>HYPERLINK("http://www.weizmann.ac.il/complex/compphys/software/geview/data/figures/218095_s_at.png","Figure")</f>
        <v>Figure</v>
      </c>
      <c r="I948">
        <v>0.56100000000000005</v>
      </c>
      <c r="J948">
        <v>2.8E-3</v>
      </c>
      <c r="K948">
        <v>0.95399999999999996</v>
      </c>
      <c r="L948">
        <v>0.92</v>
      </c>
      <c r="M948">
        <v>1.7</v>
      </c>
      <c r="N948">
        <v>3.2000000000000002E-3</v>
      </c>
    </row>
    <row r="949" spans="1:14" x14ac:dyDescent="0.25">
      <c r="A949" t="s">
        <v>1771</v>
      </c>
      <c r="B949" t="s">
        <v>1772</v>
      </c>
      <c r="C949" s="1" t="str">
        <f>HYPERLINK("http://www.genecards.org/cgi-bin/carddisp.pl?gene=NXF2","GeneCards")</f>
        <v>GeneCards</v>
      </c>
      <c r="D949" s="1" t="str">
        <f>HYPERLINK("http://genome-euro.ucsc.edu/cgi-bin/hgTracks?position=220257_x_at","UCSC")</f>
        <v>UCSC</v>
      </c>
      <c r="E949" s="1" t="str">
        <f>HYPERLINK("http://www.ncbi.nlm.nih.gov/gene/?term=NXF2","NCBI")</f>
        <v>NCBI</v>
      </c>
      <c r="F949">
        <v>1.6999999999999999E-3</v>
      </c>
      <c r="G949">
        <v>0.03</v>
      </c>
      <c r="H949" s="1" t="str">
        <f>HYPERLINK("http://www.weizmann.ac.il/complex/compphys/software/geview/data/figures/220257_x_at.png","Figure")</f>
        <v>Figure</v>
      </c>
      <c r="I949">
        <v>1.19</v>
      </c>
      <c r="J949">
        <v>5.4999999999999997E-3</v>
      </c>
      <c r="K949">
        <v>0.98599999999999999</v>
      </c>
      <c r="L949">
        <v>0.94</v>
      </c>
      <c r="M949">
        <v>0.83</v>
      </c>
      <c r="N949">
        <v>1.9E-3</v>
      </c>
    </row>
    <row r="950" spans="1:14" x14ac:dyDescent="0.25">
      <c r="A950" t="s">
        <v>1773</v>
      </c>
      <c r="B950" t="s">
        <v>1774</v>
      </c>
      <c r="C950" s="1" t="str">
        <f>HYPERLINK("http://www.genecards.org/cgi-bin/carddisp.pl?gene=RBM4","GeneCards")</f>
        <v>GeneCards</v>
      </c>
      <c r="D950" s="1" t="str">
        <f>HYPERLINK("http://genome-euro.ucsc.edu/cgi-bin/hgTracks?position=200997_at","UCSC")</f>
        <v>UCSC</v>
      </c>
      <c r="E950" s="1" t="str">
        <f>HYPERLINK("http://www.ncbi.nlm.nih.gov/gene/?term=RBM4","NCBI")</f>
        <v>NCBI</v>
      </c>
      <c r="F950">
        <v>1.6999999999999999E-3</v>
      </c>
      <c r="G950">
        <v>0.03</v>
      </c>
      <c r="H950" s="1" t="str">
        <f>HYPERLINK("http://www.weizmann.ac.il/complex/compphys/software/geview/data/figures/200997_at.png","Figure")</f>
        <v>Figure</v>
      </c>
      <c r="I950">
        <v>1.18</v>
      </c>
      <c r="J950">
        <v>0.19</v>
      </c>
      <c r="K950">
        <v>0.81100000000000005</v>
      </c>
      <c r="L950">
        <v>4.2999999999999997E-2</v>
      </c>
      <c r="M950">
        <v>0.68799999999999994</v>
      </c>
      <c r="N950">
        <v>1.5E-3</v>
      </c>
    </row>
    <row r="951" spans="1:14" x14ac:dyDescent="0.25">
      <c r="A951" t="s">
        <v>1775</v>
      </c>
      <c r="B951" t="s">
        <v>1776</v>
      </c>
      <c r="C951" s="1" t="str">
        <f>HYPERLINK("http://www.genecards.org/cgi-bin/carddisp.pl?gene=DDX3X","GeneCards")</f>
        <v>GeneCards</v>
      </c>
      <c r="D951" s="1" t="str">
        <f>HYPERLINK("http://genome-euro.ucsc.edu/cgi-bin/hgTracks?position=212515_s_at","UCSC")</f>
        <v>UCSC</v>
      </c>
      <c r="E951" s="1" t="str">
        <f>HYPERLINK("http://www.ncbi.nlm.nih.gov/gene/?term=DDX3X","NCBI")</f>
        <v>NCBI</v>
      </c>
      <c r="F951">
        <v>1.6999999999999999E-3</v>
      </c>
      <c r="G951">
        <v>0.03</v>
      </c>
      <c r="H951" s="1" t="str">
        <f>HYPERLINK("http://www.weizmann.ac.il/complex/compphys/software/geview/data/figures/212515_s_at.png","Figure")</f>
        <v>Figure</v>
      </c>
      <c r="I951">
        <v>0.34599999999999997</v>
      </c>
      <c r="J951">
        <v>1.1999999999999999E-3</v>
      </c>
      <c r="K951">
        <v>0.58199999999999996</v>
      </c>
      <c r="L951">
        <v>4.3999999999999997E-2</v>
      </c>
      <c r="M951">
        <v>1.68</v>
      </c>
      <c r="N951">
        <v>7.1999999999999995E-2</v>
      </c>
    </row>
    <row r="952" spans="1:14" x14ac:dyDescent="0.25">
      <c r="A952" t="s">
        <v>1777</v>
      </c>
      <c r="B952" t="s">
        <v>666</v>
      </c>
      <c r="C952" s="1" t="str">
        <f>HYPERLINK("http://www.genecards.org/cgi-bin/carddisp.pl?gene=FNBP1","GeneCards")</f>
        <v>GeneCards</v>
      </c>
      <c r="D952" s="1" t="str">
        <f>HYPERLINK("http://genome-euro.ucsc.edu/cgi-bin/hgTracks?position=213940_s_at","UCSC")</f>
        <v>UCSC</v>
      </c>
      <c r="E952" s="1" t="str">
        <f>HYPERLINK("http://www.ncbi.nlm.nih.gov/gene/?term=FNBP1","NCBI")</f>
        <v>NCBI</v>
      </c>
      <c r="F952">
        <v>1.6999999999999999E-3</v>
      </c>
      <c r="G952">
        <v>0.03</v>
      </c>
      <c r="H952" s="1" t="str">
        <f>HYPERLINK("http://www.weizmann.ac.il/complex/compphys/software/geview/data/figures/213940_s_at.png","Figure")</f>
        <v>Figure</v>
      </c>
      <c r="I952">
        <v>0.53300000000000003</v>
      </c>
      <c r="J952">
        <v>2.8000000000000001E-2</v>
      </c>
      <c r="K952">
        <v>0.42499999999999999</v>
      </c>
      <c r="L952">
        <v>1.2999999999999999E-3</v>
      </c>
      <c r="M952">
        <v>0.79700000000000004</v>
      </c>
      <c r="N952">
        <v>0.51</v>
      </c>
    </row>
    <row r="953" spans="1:14" x14ac:dyDescent="0.25">
      <c r="A953" t="s">
        <v>1778</v>
      </c>
      <c r="B953" t="s">
        <v>1779</v>
      </c>
      <c r="C953" s="1" t="str">
        <f>HYPERLINK("http://www.genecards.org/cgi-bin/carddisp.pl?gene=PFN2","GeneCards")</f>
        <v>GeneCards</v>
      </c>
      <c r="D953" s="1" t="str">
        <f>HYPERLINK("http://genome-euro.ucsc.edu/cgi-bin/hgTracks?position=204992_s_at","UCSC")</f>
        <v>UCSC</v>
      </c>
      <c r="E953" s="1" t="str">
        <f>HYPERLINK("http://www.ncbi.nlm.nih.gov/gene/?term=PFN2","NCBI")</f>
        <v>NCBI</v>
      </c>
      <c r="F953">
        <v>1.6999999999999999E-3</v>
      </c>
      <c r="G953">
        <v>0.03</v>
      </c>
      <c r="H953" s="1" t="str">
        <f>HYPERLINK("http://www.weizmann.ac.il/complex/compphys/software/geview/data/figures/204992_s_at.png","Figure")</f>
        <v>Figure</v>
      </c>
      <c r="I953">
        <v>0.442</v>
      </c>
      <c r="J953">
        <v>1.1999999999999999E-3</v>
      </c>
      <c r="K953">
        <v>0.71</v>
      </c>
      <c r="L953">
        <v>0.1</v>
      </c>
      <c r="M953">
        <v>1.61</v>
      </c>
      <c r="N953">
        <v>3.1E-2</v>
      </c>
    </row>
    <row r="954" spans="1:14" x14ac:dyDescent="0.25">
      <c r="A954" t="s">
        <v>1780</v>
      </c>
      <c r="B954" t="s">
        <v>1781</v>
      </c>
      <c r="C954" s="1" t="str">
        <f>HYPERLINK("http://www.genecards.org/cgi-bin/carddisp.pl?gene=PDE8A","GeneCards")</f>
        <v>GeneCards</v>
      </c>
      <c r="D954" s="1" t="str">
        <f>HYPERLINK("http://genome-euro.ucsc.edu/cgi-bin/hgTracks?position=212521_s_at","UCSC")</f>
        <v>UCSC</v>
      </c>
      <c r="E954" s="1" t="str">
        <f>HYPERLINK("http://www.ncbi.nlm.nih.gov/gene/?term=PDE8A","NCBI")</f>
        <v>NCBI</v>
      </c>
      <c r="F954">
        <v>1.6999999999999999E-3</v>
      </c>
      <c r="G954">
        <v>0.03</v>
      </c>
      <c r="H954" s="1" t="str">
        <f>HYPERLINK("http://www.weizmann.ac.il/complex/compphys/software/geview/data/figures/212521_s_at.png","Figure")</f>
        <v>Figure</v>
      </c>
      <c r="I954">
        <v>1.62</v>
      </c>
      <c r="J954">
        <v>1.5E-3</v>
      </c>
      <c r="K954">
        <v>1.1299999999999999</v>
      </c>
      <c r="L954">
        <v>0.4</v>
      </c>
      <c r="M954">
        <v>0.69799999999999995</v>
      </c>
      <c r="N954">
        <v>8.6E-3</v>
      </c>
    </row>
    <row r="955" spans="1:14" x14ac:dyDescent="0.25">
      <c r="A955" t="s">
        <v>1782</v>
      </c>
      <c r="B955" t="s">
        <v>1783</v>
      </c>
      <c r="C955" s="1" t="str">
        <f>HYPERLINK("http://www.genecards.org/cgi-bin/carddisp.pl?gene=CD99","GeneCards")</f>
        <v>GeneCards</v>
      </c>
      <c r="D955" s="1" t="str">
        <f>HYPERLINK("http://genome-euro.ucsc.edu/cgi-bin/hgTracks?position=201029_s_at","UCSC")</f>
        <v>UCSC</v>
      </c>
      <c r="E955" s="1" t="str">
        <f>HYPERLINK("http://www.ncbi.nlm.nih.gov/gene/?term=CD99","NCBI")</f>
        <v>NCBI</v>
      </c>
      <c r="F955">
        <v>1.6999999999999999E-3</v>
      </c>
      <c r="G955">
        <v>0.03</v>
      </c>
      <c r="H955" s="1" t="str">
        <f>HYPERLINK("http://www.weizmann.ac.il/complex/compphys/software/geview/data/figures/201029_s_at.png","Figure")</f>
        <v>Figure</v>
      </c>
      <c r="I955">
        <v>0.30499999999999999</v>
      </c>
      <c r="J955">
        <v>6.1999999999999998E-3</v>
      </c>
      <c r="K955">
        <v>0.308</v>
      </c>
      <c r="L955">
        <v>2.3999999999999998E-3</v>
      </c>
      <c r="M955">
        <v>1.01</v>
      </c>
      <c r="N955">
        <v>1</v>
      </c>
    </row>
    <row r="956" spans="1:14" x14ac:dyDescent="0.25">
      <c r="A956" t="s">
        <v>1784</v>
      </c>
      <c r="B956" t="s">
        <v>856</v>
      </c>
      <c r="C956" s="1" t="str">
        <f>HYPERLINK("http://www.genecards.org/cgi-bin/carddisp.pl?gene=CTBP2","GeneCards")</f>
        <v>GeneCards</v>
      </c>
      <c r="D956" s="1" t="str">
        <f>HYPERLINK("http://genome-euro.ucsc.edu/cgi-bin/hgTracks?position=201219_at","UCSC")</f>
        <v>UCSC</v>
      </c>
      <c r="E956" s="1" t="str">
        <f>HYPERLINK("http://www.ncbi.nlm.nih.gov/gene/?term=CTBP2","NCBI")</f>
        <v>NCBI</v>
      </c>
      <c r="F956">
        <v>1.6999999999999999E-3</v>
      </c>
      <c r="G956">
        <v>0.03</v>
      </c>
      <c r="H956" s="1" t="str">
        <f>HYPERLINK("http://www.weizmann.ac.il/complex/compphys/software/geview/data/figures/201219_at.png","Figure")</f>
        <v>Figure</v>
      </c>
      <c r="I956">
        <v>0.77400000000000002</v>
      </c>
      <c r="J956">
        <v>0.45</v>
      </c>
      <c r="K956">
        <v>1.79</v>
      </c>
      <c r="L956">
        <v>1.7000000000000001E-2</v>
      </c>
      <c r="M956">
        <v>2.31</v>
      </c>
      <c r="N956">
        <v>2.0999999999999999E-3</v>
      </c>
    </row>
    <row r="957" spans="1:14" x14ac:dyDescent="0.25">
      <c r="A957" t="s">
        <v>1785</v>
      </c>
      <c r="B957" t="s">
        <v>1786</v>
      </c>
      <c r="C957" s="1" t="str">
        <f>HYPERLINK("http://www.genecards.org/cgi-bin/carddisp.pl?gene=RANBP1","GeneCards")</f>
        <v>GeneCards</v>
      </c>
      <c r="D957" s="1" t="str">
        <f>HYPERLINK("http://genome-euro.ucsc.edu/cgi-bin/hgTracks?position=202483_s_at","UCSC")</f>
        <v>UCSC</v>
      </c>
      <c r="E957" s="1" t="str">
        <f>HYPERLINK("http://www.ncbi.nlm.nih.gov/gene/?term=RANBP1","NCBI")</f>
        <v>NCBI</v>
      </c>
      <c r="F957">
        <v>1.6999999999999999E-3</v>
      </c>
      <c r="G957">
        <v>0.03</v>
      </c>
      <c r="H957" s="1" t="str">
        <f>HYPERLINK("http://www.weizmann.ac.il/complex/compphys/software/geview/data/figures/202483_s_at.png","Figure")</f>
        <v>Figure</v>
      </c>
      <c r="I957">
        <v>1.26</v>
      </c>
      <c r="J957">
        <v>0.25</v>
      </c>
      <c r="K957">
        <v>1.74</v>
      </c>
      <c r="L957">
        <v>1.4E-3</v>
      </c>
      <c r="M957">
        <v>1.38</v>
      </c>
      <c r="N957">
        <v>6.6000000000000003E-2</v>
      </c>
    </row>
    <row r="958" spans="1:14" x14ac:dyDescent="0.25">
      <c r="A958" t="s">
        <v>1787</v>
      </c>
      <c r="B958" t="s">
        <v>1788</v>
      </c>
      <c r="C958" s="1" t="str">
        <f>HYPERLINK("http://www.genecards.org/cgi-bin/carddisp.pl?gene=SLC9A6","GeneCards")</f>
        <v>GeneCards</v>
      </c>
      <c r="D958" s="1" t="str">
        <f>HYPERLINK("http://genome-euro.ucsc.edu/cgi-bin/hgTracks?position=203909_at","UCSC")</f>
        <v>UCSC</v>
      </c>
      <c r="E958" s="1" t="str">
        <f>HYPERLINK("http://www.ncbi.nlm.nih.gov/gene/?term=SLC9A6","NCBI")</f>
        <v>NCBI</v>
      </c>
      <c r="F958">
        <v>1.6999999999999999E-3</v>
      </c>
      <c r="G958">
        <v>0.03</v>
      </c>
      <c r="H958" s="1" t="str">
        <f>HYPERLINK("http://www.weizmann.ac.il/complex/compphys/software/geview/data/figures/203909_at.png","Figure")</f>
        <v>Figure</v>
      </c>
      <c r="I958">
        <v>0.379</v>
      </c>
      <c r="J958">
        <v>1.9E-3</v>
      </c>
      <c r="K958">
        <v>0.50900000000000001</v>
      </c>
      <c r="L958">
        <v>9.7999999999999997E-3</v>
      </c>
      <c r="M958">
        <v>1.34</v>
      </c>
      <c r="N958">
        <v>0.35</v>
      </c>
    </row>
    <row r="959" spans="1:14" x14ac:dyDescent="0.25">
      <c r="A959" t="s">
        <v>1789</v>
      </c>
      <c r="B959" t="s">
        <v>1790</v>
      </c>
      <c r="C959" s="1" t="str">
        <f>HYPERLINK("http://www.genecards.org/cgi-bin/carddisp.pl?gene=GLRA2","GeneCards")</f>
        <v>GeneCards</v>
      </c>
      <c r="D959" s="1" t="str">
        <f>HYPERLINK("http://genome-euro.ucsc.edu/cgi-bin/hgTracks?position=207462_at","UCSC")</f>
        <v>UCSC</v>
      </c>
      <c r="E959" s="1" t="str">
        <f>HYPERLINK("http://www.ncbi.nlm.nih.gov/gene/?term=GLRA2","NCBI")</f>
        <v>NCBI</v>
      </c>
      <c r="F959">
        <v>1.6999999999999999E-3</v>
      </c>
      <c r="G959">
        <v>0.03</v>
      </c>
      <c r="H959" s="1" t="str">
        <f>HYPERLINK("http://www.weizmann.ac.il/complex/compphys/software/geview/data/figures/207462_at.png","Figure")</f>
        <v>Figure</v>
      </c>
      <c r="I959">
        <v>1.2</v>
      </c>
      <c r="J959">
        <v>1.4E-2</v>
      </c>
      <c r="K959">
        <v>0.95</v>
      </c>
      <c r="L959">
        <v>0.54</v>
      </c>
      <c r="M959">
        <v>0.79400000000000004</v>
      </c>
      <c r="N959">
        <v>1.4E-3</v>
      </c>
    </row>
    <row r="960" spans="1:14" x14ac:dyDescent="0.25">
      <c r="A960" t="s">
        <v>1791</v>
      </c>
      <c r="B960" t="s">
        <v>1792</v>
      </c>
      <c r="C960" s="1" t="str">
        <f>HYPERLINK("http://www.genecards.org/cgi-bin/carddisp.pl?gene=BOLA2 /// BOLA2B","GeneCards")</f>
        <v>GeneCards</v>
      </c>
      <c r="D960" s="1" t="str">
        <f>HYPERLINK("http://genome-euro.ucsc.edu/cgi-bin/hgTracks?position=209836_x_at","UCSC")</f>
        <v>UCSC</v>
      </c>
      <c r="E960" s="1" t="str">
        <f>HYPERLINK("http://www.ncbi.nlm.nih.gov/gene/?term=BOLA2 /// BOLA2B","NCBI")</f>
        <v>NCBI</v>
      </c>
      <c r="F960">
        <v>1.6999999999999999E-3</v>
      </c>
      <c r="G960">
        <v>0.03</v>
      </c>
      <c r="H960" s="1" t="str">
        <f>HYPERLINK("http://www.weizmann.ac.il/complex/compphys/software/geview/data/figures/209836_x_at.png","Figure")</f>
        <v>Figure</v>
      </c>
      <c r="I960">
        <v>1.24</v>
      </c>
      <c r="J960">
        <v>8.8999999999999996E-2</v>
      </c>
      <c r="K960">
        <v>1.46</v>
      </c>
      <c r="L960">
        <v>1.1999999999999999E-3</v>
      </c>
      <c r="M960">
        <v>1.18</v>
      </c>
      <c r="N960">
        <v>0.19</v>
      </c>
    </row>
    <row r="961" spans="1:14" x14ac:dyDescent="0.25">
      <c r="A961" t="s">
        <v>1793</v>
      </c>
      <c r="B961" t="s">
        <v>1794</v>
      </c>
      <c r="C961" s="1" t="str">
        <f>HYPERLINK("http://www.genecards.org/cgi-bin/carddisp.pl?gene=KIAA1279","GeneCards")</f>
        <v>GeneCards</v>
      </c>
      <c r="D961" s="1" t="str">
        <f>HYPERLINK("http://genome-euro.ucsc.edu/cgi-bin/hgTracks?position=212453_at","UCSC")</f>
        <v>UCSC</v>
      </c>
      <c r="E961" s="1" t="str">
        <f>HYPERLINK("http://www.ncbi.nlm.nih.gov/gene/?term=KIAA1279","NCBI")</f>
        <v>NCBI</v>
      </c>
      <c r="F961">
        <v>1.6999999999999999E-3</v>
      </c>
      <c r="G961">
        <v>0.03</v>
      </c>
      <c r="H961" s="1" t="str">
        <f>HYPERLINK("http://www.weizmann.ac.il/complex/compphys/software/geview/data/figures/212453_at.png","Figure")</f>
        <v>Figure</v>
      </c>
      <c r="I961">
        <v>0.753</v>
      </c>
      <c r="J961">
        <v>1.7999999999999999E-2</v>
      </c>
      <c r="K961">
        <v>1.1100000000000001</v>
      </c>
      <c r="L961">
        <v>0.41</v>
      </c>
      <c r="M961">
        <v>1.47</v>
      </c>
      <c r="N961">
        <v>1.2999999999999999E-3</v>
      </c>
    </row>
    <row r="962" spans="1:14" x14ac:dyDescent="0.25">
      <c r="A962" t="s">
        <v>1795</v>
      </c>
      <c r="B962" t="s">
        <v>1796</v>
      </c>
      <c r="C962" s="1" t="str">
        <f>HYPERLINK("http://www.genecards.org/cgi-bin/carddisp.pl?gene=IFI44","GeneCards")</f>
        <v>GeneCards</v>
      </c>
      <c r="D962" s="1" t="str">
        <f>HYPERLINK("http://genome-euro.ucsc.edu/cgi-bin/hgTracks?position=214453_s_at","UCSC")</f>
        <v>UCSC</v>
      </c>
      <c r="E962" s="1" t="str">
        <f>HYPERLINK("http://www.ncbi.nlm.nih.gov/gene/?term=IFI44","NCBI")</f>
        <v>NCBI</v>
      </c>
      <c r="F962">
        <v>1.6999999999999999E-3</v>
      </c>
      <c r="G962">
        <v>0.03</v>
      </c>
      <c r="H962" s="1" t="str">
        <f>HYPERLINK("http://www.weizmann.ac.il/complex/compphys/software/geview/data/figures/214453_s_at.png","Figure")</f>
        <v>Figure</v>
      </c>
      <c r="I962">
        <v>0.27900000000000003</v>
      </c>
      <c r="J962">
        <v>1.6E-2</v>
      </c>
      <c r="K962">
        <v>0.21299999999999999</v>
      </c>
      <c r="L962">
        <v>1.5E-3</v>
      </c>
      <c r="M962">
        <v>0.76200000000000001</v>
      </c>
      <c r="N962">
        <v>0.74</v>
      </c>
    </row>
    <row r="963" spans="1:14" x14ac:dyDescent="0.25">
      <c r="A963" t="s">
        <v>1797</v>
      </c>
      <c r="B963" t="s">
        <v>1798</v>
      </c>
      <c r="C963" s="1" t="str">
        <f>HYPERLINK("http://www.genecards.org/cgi-bin/carddisp.pl?gene=DCHS1","GeneCards")</f>
        <v>GeneCards</v>
      </c>
      <c r="D963" s="1" t="str">
        <f>HYPERLINK("http://genome-euro.ucsc.edu/cgi-bin/hgTracks?position=222101_s_at","UCSC")</f>
        <v>UCSC</v>
      </c>
      <c r="E963" s="1" t="str">
        <f>HYPERLINK("http://www.ncbi.nlm.nih.gov/gene/?term=DCHS1","NCBI")</f>
        <v>NCBI</v>
      </c>
      <c r="F963">
        <v>1.6999999999999999E-3</v>
      </c>
      <c r="G963">
        <v>0.03</v>
      </c>
      <c r="H963" s="1" t="str">
        <f>HYPERLINK("http://www.weizmann.ac.il/complex/compphys/software/geview/data/figures/222101_s_at.png","Figure")</f>
        <v>Figure</v>
      </c>
      <c r="I963">
        <v>0.48699999999999999</v>
      </c>
      <c r="J963">
        <v>4.5999999999999999E-3</v>
      </c>
      <c r="K963">
        <v>0.51300000000000001</v>
      </c>
      <c r="L963">
        <v>3.0000000000000001E-3</v>
      </c>
      <c r="M963">
        <v>1.05</v>
      </c>
      <c r="N963">
        <v>0.95</v>
      </c>
    </row>
    <row r="964" spans="1:14" x14ac:dyDescent="0.25">
      <c r="A964" t="s">
        <v>1799</v>
      </c>
      <c r="B964" t="s">
        <v>1800</v>
      </c>
      <c r="C964" s="1" t="str">
        <f>HYPERLINK("http://www.genecards.org/cgi-bin/carddisp.pl?gene=ANXA4","GeneCards")</f>
        <v>GeneCards</v>
      </c>
      <c r="D964" s="1" t="str">
        <f>HYPERLINK("http://genome-euro.ucsc.edu/cgi-bin/hgTracks?position=201302_at","UCSC")</f>
        <v>UCSC</v>
      </c>
      <c r="E964" s="1" t="str">
        <f>HYPERLINK("http://www.ncbi.nlm.nih.gov/gene/?term=ANXA4","NCBI")</f>
        <v>NCBI</v>
      </c>
      <c r="F964">
        <v>1.6999999999999999E-3</v>
      </c>
      <c r="G964">
        <v>0.03</v>
      </c>
      <c r="H964" s="1" t="str">
        <f>HYPERLINK("http://www.weizmann.ac.il/complex/compphys/software/geview/data/figures/201302_at.png","Figure")</f>
        <v>Figure</v>
      </c>
      <c r="I964">
        <v>0.48899999999999999</v>
      </c>
      <c r="J964">
        <v>1.2E-2</v>
      </c>
      <c r="K964">
        <v>1.19</v>
      </c>
      <c r="L964">
        <v>0.61</v>
      </c>
      <c r="M964">
        <v>2.44</v>
      </c>
      <c r="N964">
        <v>1.4E-3</v>
      </c>
    </row>
    <row r="965" spans="1:14" x14ac:dyDescent="0.25">
      <c r="A965" t="s">
        <v>1801</v>
      </c>
      <c r="B965" t="s">
        <v>1802</v>
      </c>
      <c r="C965" s="1" t="str">
        <f>HYPERLINK("http://www.genecards.org/cgi-bin/carddisp.pl?gene=IL1RAP","GeneCards")</f>
        <v>GeneCards</v>
      </c>
      <c r="D965" s="1" t="str">
        <f>HYPERLINK("http://genome-euro.ucsc.edu/cgi-bin/hgTracks?position=205227_at","UCSC")</f>
        <v>UCSC</v>
      </c>
      <c r="E965" s="1" t="str">
        <f>HYPERLINK("http://www.ncbi.nlm.nih.gov/gene/?term=IL1RAP","NCBI")</f>
        <v>NCBI</v>
      </c>
      <c r="F965">
        <v>1.6999999999999999E-3</v>
      </c>
      <c r="G965">
        <v>0.03</v>
      </c>
      <c r="H965" s="1" t="str">
        <f>HYPERLINK("http://www.weizmann.ac.il/complex/compphys/software/geview/data/figures/205227_at.png","Figure")</f>
        <v>Figure</v>
      </c>
      <c r="I965">
        <v>1.04</v>
      </c>
      <c r="J965">
        <v>0.8</v>
      </c>
      <c r="K965">
        <v>0.84199999999999997</v>
      </c>
      <c r="L965">
        <v>7.7999999999999996E-3</v>
      </c>
      <c r="M965">
        <v>0.81299999999999994</v>
      </c>
      <c r="N965">
        <v>3.3999999999999998E-3</v>
      </c>
    </row>
    <row r="966" spans="1:14" x14ac:dyDescent="0.25">
      <c r="A966" t="s">
        <v>1803</v>
      </c>
      <c r="B966" t="s">
        <v>1804</v>
      </c>
      <c r="C966" s="1" t="str">
        <f>HYPERLINK("http://www.genecards.org/cgi-bin/carddisp.pl?gene=H2AFZ","GeneCards")</f>
        <v>GeneCards</v>
      </c>
      <c r="D966" s="1" t="str">
        <f>HYPERLINK("http://genome-euro.ucsc.edu/cgi-bin/hgTracks?position=200853_at","UCSC")</f>
        <v>UCSC</v>
      </c>
      <c r="E966" s="1" t="str">
        <f>HYPERLINK("http://www.ncbi.nlm.nih.gov/gene/?term=H2AFZ","NCBI")</f>
        <v>NCBI</v>
      </c>
      <c r="F966">
        <v>1.6999999999999999E-3</v>
      </c>
      <c r="G966">
        <v>0.03</v>
      </c>
      <c r="H966" s="1" t="str">
        <f>HYPERLINK("http://www.weizmann.ac.il/complex/compphys/software/geview/data/figures/200853_at.png","Figure")</f>
        <v>Figure</v>
      </c>
      <c r="I966">
        <v>0.83499999999999996</v>
      </c>
      <c r="J966">
        <v>0.34</v>
      </c>
      <c r="K966">
        <v>1.39</v>
      </c>
      <c r="L966">
        <v>2.3E-2</v>
      </c>
      <c r="M966">
        <v>1.67</v>
      </c>
      <c r="N966">
        <v>1.9E-3</v>
      </c>
    </row>
    <row r="967" spans="1:14" x14ac:dyDescent="0.25">
      <c r="A967" t="s">
        <v>1805</v>
      </c>
      <c r="B967" t="s">
        <v>1806</v>
      </c>
      <c r="C967" s="1" t="str">
        <f>HYPERLINK("http://www.genecards.org/cgi-bin/carddisp.pl?gene=LDB3","GeneCards")</f>
        <v>GeneCards</v>
      </c>
      <c r="D967" s="1" t="str">
        <f>HYPERLINK("http://genome-euro.ucsc.edu/cgi-bin/hgTracks?position=213717_at","UCSC")</f>
        <v>UCSC</v>
      </c>
      <c r="E967" s="1" t="str">
        <f>HYPERLINK("http://www.ncbi.nlm.nih.gov/gene/?term=LDB3","NCBI")</f>
        <v>NCBI</v>
      </c>
      <c r="F967">
        <v>1.6999999999999999E-3</v>
      </c>
      <c r="G967">
        <v>0.03</v>
      </c>
      <c r="H967" s="1" t="str">
        <f>HYPERLINK("http://www.weizmann.ac.il/complex/compphys/software/geview/data/figures/213717_at.png","Figure")</f>
        <v>Figure</v>
      </c>
      <c r="I967">
        <v>1.22</v>
      </c>
      <c r="J967">
        <v>2.2000000000000001E-3</v>
      </c>
      <c r="K967">
        <v>1.1599999999999999</v>
      </c>
      <c r="L967">
        <v>7.6E-3</v>
      </c>
      <c r="M967">
        <v>0.94899999999999995</v>
      </c>
      <c r="N967">
        <v>0.46</v>
      </c>
    </row>
    <row r="968" spans="1:14" x14ac:dyDescent="0.25">
      <c r="A968" t="s">
        <v>1807</v>
      </c>
      <c r="B968" t="s">
        <v>1018</v>
      </c>
      <c r="C968" s="1" t="str">
        <f>HYPERLINK("http://www.genecards.org/cgi-bin/carddisp.pl?gene=HLA-DRA","GeneCards")</f>
        <v>GeneCards</v>
      </c>
      <c r="D968" s="1" t="str">
        <f>HYPERLINK("http://genome-euro.ucsc.edu/cgi-bin/hgTracks?position=208894_at","UCSC")</f>
        <v>UCSC</v>
      </c>
      <c r="E968" s="1" t="str">
        <f>HYPERLINK("http://www.ncbi.nlm.nih.gov/gene/?term=HLA-DRA","NCBI")</f>
        <v>NCBI</v>
      </c>
      <c r="F968">
        <v>1.6999999999999999E-3</v>
      </c>
      <c r="G968">
        <v>0.03</v>
      </c>
      <c r="H968" s="1" t="str">
        <f>HYPERLINK("http://www.weizmann.ac.il/complex/compphys/software/geview/data/figures/208894_at.png","Figure")</f>
        <v>Figure</v>
      </c>
      <c r="I968">
        <v>0.80100000000000005</v>
      </c>
      <c r="J968">
        <v>0.54</v>
      </c>
      <c r="K968">
        <v>0.45300000000000001</v>
      </c>
      <c r="L968">
        <v>1.8E-3</v>
      </c>
      <c r="M968">
        <v>0.56599999999999995</v>
      </c>
      <c r="N968">
        <v>2.5999999999999999E-2</v>
      </c>
    </row>
    <row r="969" spans="1:14" x14ac:dyDescent="0.25">
      <c r="A969" t="s">
        <v>1808</v>
      </c>
      <c r="B969" t="s">
        <v>1809</v>
      </c>
      <c r="C969" s="1" t="str">
        <f>HYPERLINK("http://www.genecards.org/cgi-bin/carddisp.pl?gene=ARHGAP29","GeneCards")</f>
        <v>GeneCards</v>
      </c>
      <c r="D969" s="1" t="str">
        <f>HYPERLINK("http://genome-euro.ucsc.edu/cgi-bin/hgTracks?position=203910_at","UCSC")</f>
        <v>UCSC</v>
      </c>
      <c r="E969" s="1" t="str">
        <f>HYPERLINK("http://www.ncbi.nlm.nih.gov/gene/?term=ARHGAP29","NCBI")</f>
        <v>NCBI</v>
      </c>
      <c r="F969">
        <v>1.6999999999999999E-3</v>
      </c>
      <c r="G969">
        <v>3.1E-2</v>
      </c>
      <c r="H969" s="1" t="str">
        <f>HYPERLINK("http://www.weizmann.ac.il/complex/compphys/software/geview/data/figures/203910_at.png","Figure")</f>
        <v>Figure</v>
      </c>
      <c r="I969">
        <v>2.12</v>
      </c>
      <c r="J969">
        <v>0.36</v>
      </c>
      <c r="K969">
        <v>0.24099999999999999</v>
      </c>
      <c r="L969">
        <v>2.1999999999999999E-2</v>
      </c>
      <c r="M969">
        <v>0.114</v>
      </c>
      <c r="N969">
        <v>1.9E-3</v>
      </c>
    </row>
    <row r="970" spans="1:14" x14ac:dyDescent="0.25">
      <c r="A970" t="s">
        <v>1810</v>
      </c>
      <c r="B970" t="s">
        <v>1811</v>
      </c>
      <c r="C970" s="1" t="str">
        <f>HYPERLINK("http://www.genecards.org/cgi-bin/carddisp.pl?gene=UNC119B","GeneCards")</f>
        <v>GeneCards</v>
      </c>
      <c r="D970" s="1" t="str">
        <f>HYPERLINK("http://genome-euro.ucsc.edu/cgi-bin/hgTracks?position=202365_at","UCSC")</f>
        <v>UCSC</v>
      </c>
      <c r="E970" s="1" t="str">
        <f>HYPERLINK("http://www.ncbi.nlm.nih.gov/gene/?term=UNC119B","NCBI")</f>
        <v>NCBI</v>
      </c>
      <c r="F970">
        <v>1.6999999999999999E-3</v>
      </c>
      <c r="G970">
        <v>3.1E-2</v>
      </c>
      <c r="H970" s="1" t="str">
        <f>HYPERLINK("http://www.weizmann.ac.il/complex/compphys/software/geview/data/figures/202365_at.png","Figure")</f>
        <v>Figure</v>
      </c>
      <c r="I970">
        <v>1.56</v>
      </c>
      <c r="J970">
        <v>1.7999999999999999E-2</v>
      </c>
      <c r="K970">
        <v>1.73</v>
      </c>
      <c r="L970">
        <v>1.5E-3</v>
      </c>
      <c r="M970">
        <v>1.1100000000000001</v>
      </c>
      <c r="N970">
        <v>0.71</v>
      </c>
    </row>
    <row r="971" spans="1:14" x14ac:dyDescent="0.25">
      <c r="A971" t="s">
        <v>1812</v>
      </c>
      <c r="B971" t="s">
        <v>1813</v>
      </c>
      <c r="C971" s="1" t="str">
        <f>HYPERLINK("http://www.genecards.org/cgi-bin/carddisp.pl?gene=ACOT13","GeneCards")</f>
        <v>GeneCards</v>
      </c>
      <c r="D971" s="1" t="str">
        <f>HYPERLINK("http://genome-euro.ucsc.edu/cgi-bin/hgTracks?position=204565_at","UCSC")</f>
        <v>UCSC</v>
      </c>
      <c r="E971" s="1" t="str">
        <f>HYPERLINK("http://www.ncbi.nlm.nih.gov/gene/?term=ACOT13","NCBI")</f>
        <v>NCBI</v>
      </c>
      <c r="F971">
        <v>1.8E-3</v>
      </c>
      <c r="G971">
        <v>3.1E-2</v>
      </c>
      <c r="H971" s="1" t="str">
        <f>HYPERLINK("http://www.weizmann.ac.il/complex/compphys/software/geview/data/figures/204565_at.png","Figure")</f>
        <v>Figure</v>
      </c>
      <c r="I971">
        <v>0.94799999999999995</v>
      </c>
      <c r="J971">
        <v>0.87</v>
      </c>
      <c r="K971">
        <v>1.4</v>
      </c>
      <c r="L971">
        <v>6.8999999999999999E-3</v>
      </c>
      <c r="M971">
        <v>1.47</v>
      </c>
      <c r="N971">
        <v>3.8999999999999998E-3</v>
      </c>
    </row>
    <row r="972" spans="1:14" x14ac:dyDescent="0.25">
      <c r="A972" t="s">
        <v>1814</v>
      </c>
      <c r="B972" t="s">
        <v>1660</v>
      </c>
      <c r="C972" s="1" t="str">
        <f>HYPERLINK("http://www.genecards.org/cgi-bin/carddisp.pl?gene=ANXA2","GeneCards")</f>
        <v>GeneCards</v>
      </c>
      <c r="D972" s="1" t="str">
        <f>HYPERLINK("http://genome-euro.ucsc.edu/cgi-bin/hgTracks?position=210427_x_at","UCSC")</f>
        <v>UCSC</v>
      </c>
      <c r="E972" s="1" t="str">
        <f>HYPERLINK("http://www.ncbi.nlm.nih.gov/gene/?term=ANXA2","NCBI")</f>
        <v>NCBI</v>
      </c>
      <c r="F972">
        <v>1.8E-3</v>
      </c>
      <c r="G972">
        <v>3.1E-2</v>
      </c>
      <c r="H972" s="1" t="str">
        <f>HYPERLINK("http://www.weizmann.ac.il/complex/compphys/software/geview/data/figures/210427_x_at.png","Figure")</f>
        <v>Figure</v>
      </c>
      <c r="I972">
        <v>1.8</v>
      </c>
      <c r="J972">
        <v>0.17</v>
      </c>
      <c r="K972">
        <v>3.38</v>
      </c>
      <c r="L972">
        <v>1.2999999999999999E-3</v>
      </c>
      <c r="M972">
        <v>1.88</v>
      </c>
      <c r="N972">
        <v>0.1</v>
      </c>
    </row>
    <row r="973" spans="1:14" x14ac:dyDescent="0.25">
      <c r="A973" t="s">
        <v>1815</v>
      </c>
      <c r="B973" t="s">
        <v>1816</v>
      </c>
      <c r="C973" s="1" t="str">
        <f>HYPERLINK("http://www.genecards.org/cgi-bin/carddisp.pl?gene=TBCA","GeneCards")</f>
        <v>GeneCards</v>
      </c>
      <c r="D973" s="1" t="str">
        <f>HYPERLINK("http://genome-euro.ucsc.edu/cgi-bin/hgTracks?position=203667_at","UCSC")</f>
        <v>UCSC</v>
      </c>
      <c r="E973" s="1" t="str">
        <f>HYPERLINK("http://www.ncbi.nlm.nih.gov/gene/?term=TBCA","NCBI")</f>
        <v>NCBI</v>
      </c>
      <c r="F973">
        <v>1.8E-3</v>
      </c>
      <c r="G973">
        <v>3.1E-2</v>
      </c>
      <c r="H973" s="1" t="str">
        <f>HYPERLINK("http://www.weizmann.ac.il/complex/compphys/software/geview/data/figures/203667_at.png","Figure")</f>
        <v>Figure</v>
      </c>
      <c r="I973">
        <v>0.88</v>
      </c>
      <c r="J973">
        <v>0.88</v>
      </c>
      <c r="K973">
        <v>2.34</v>
      </c>
      <c r="L973">
        <v>6.7999999999999996E-3</v>
      </c>
      <c r="M973">
        <v>2.66</v>
      </c>
      <c r="N973">
        <v>4.0000000000000001E-3</v>
      </c>
    </row>
    <row r="974" spans="1:14" x14ac:dyDescent="0.25">
      <c r="A974" t="s">
        <v>1817</v>
      </c>
      <c r="B974" t="s">
        <v>1818</v>
      </c>
      <c r="C974" s="1" t="str">
        <f>HYPERLINK("http://www.genecards.org/cgi-bin/carddisp.pl?gene=ABHD11","GeneCards")</f>
        <v>GeneCards</v>
      </c>
      <c r="D974" s="1" t="str">
        <f>HYPERLINK("http://genome-euro.ucsc.edu/cgi-bin/hgTracks?position=221927_s_at","UCSC")</f>
        <v>UCSC</v>
      </c>
      <c r="E974" s="1" t="str">
        <f>HYPERLINK("http://www.ncbi.nlm.nih.gov/gene/?term=ABHD11","NCBI")</f>
        <v>NCBI</v>
      </c>
      <c r="F974">
        <v>1.8E-3</v>
      </c>
      <c r="G974">
        <v>3.1E-2</v>
      </c>
      <c r="H974" s="1" t="str">
        <f>HYPERLINK("http://www.weizmann.ac.il/complex/compphys/software/geview/data/figures/221927_s_at.png","Figure")</f>
        <v>Figure</v>
      </c>
      <c r="I974">
        <v>1.35</v>
      </c>
      <c r="J974">
        <v>3.8999999999999998E-3</v>
      </c>
      <c r="K974">
        <v>1.3</v>
      </c>
      <c r="L974">
        <v>3.8E-3</v>
      </c>
      <c r="M974">
        <v>0.96299999999999997</v>
      </c>
      <c r="N974">
        <v>0.85</v>
      </c>
    </row>
    <row r="975" spans="1:14" x14ac:dyDescent="0.25">
      <c r="A975" t="s">
        <v>1819</v>
      </c>
      <c r="B975" t="s">
        <v>676</v>
      </c>
      <c r="C975" s="1" t="str">
        <f>HYPERLINK("http://www.genecards.org/cgi-bin/carddisp.pl?gene=TTC3","GeneCards")</f>
        <v>GeneCards</v>
      </c>
      <c r="D975" s="1" t="str">
        <f>HYPERLINK("http://genome-euro.ucsc.edu/cgi-bin/hgTracks?position=208662_s_at","UCSC")</f>
        <v>UCSC</v>
      </c>
      <c r="E975" s="1" t="str">
        <f>HYPERLINK("http://www.ncbi.nlm.nih.gov/gene/?term=TTC3","NCBI")</f>
        <v>NCBI</v>
      </c>
      <c r="F975">
        <v>1.8E-3</v>
      </c>
      <c r="G975">
        <v>3.1E-2</v>
      </c>
      <c r="H975" s="1" t="str">
        <f>HYPERLINK("http://www.weizmann.ac.il/complex/compphys/software/geview/data/figures/208662_s_at.png","Figure")</f>
        <v>Figure</v>
      </c>
      <c r="I975">
        <v>0.58899999999999997</v>
      </c>
      <c r="J975">
        <v>7.7000000000000002E-3</v>
      </c>
      <c r="K975">
        <v>1.08</v>
      </c>
      <c r="L975">
        <v>0.82</v>
      </c>
      <c r="M975">
        <v>1.83</v>
      </c>
      <c r="N975">
        <v>1.6999999999999999E-3</v>
      </c>
    </row>
    <row r="976" spans="1:14" x14ac:dyDescent="0.25">
      <c r="A976" t="s">
        <v>1820</v>
      </c>
      <c r="B976" t="s">
        <v>1821</v>
      </c>
      <c r="C976" s="1" t="str">
        <f>HYPERLINK("http://www.genecards.org/cgi-bin/carddisp.pl?gene=MNAT1","GeneCards")</f>
        <v>GeneCards</v>
      </c>
      <c r="D976" s="1" t="str">
        <f>HYPERLINK("http://genome-euro.ucsc.edu/cgi-bin/hgTracks?position=203565_s_at","UCSC")</f>
        <v>UCSC</v>
      </c>
      <c r="E976" s="1" t="str">
        <f>HYPERLINK("http://www.ncbi.nlm.nih.gov/gene/?term=MNAT1","NCBI")</f>
        <v>NCBI</v>
      </c>
      <c r="F976">
        <v>1.8E-3</v>
      </c>
      <c r="G976">
        <v>3.1E-2</v>
      </c>
      <c r="H976" s="1" t="str">
        <f>HYPERLINK("http://www.weizmann.ac.il/complex/compphys/software/geview/data/figures/203565_s_at.png","Figure")</f>
        <v>Figure</v>
      </c>
      <c r="I976">
        <v>0.82</v>
      </c>
      <c r="J976">
        <v>0.14000000000000001</v>
      </c>
      <c r="K976">
        <v>1.24</v>
      </c>
      <c r="L976">
        <v>6.0999999999999999E-2</v>
      </c>
      <c r="M976">
        <v>1.51</v>
      </c>
      <c r="N976">
        <v>1.4E-3</v>
      </c>
    </row>
    <row r="977" spans="1:14" x14ac:dyDescent="0.25">
      <c r="A977" t="s">
        <v>1822</v>
      </c>
      <c r="B977" t="s">
        <v>676</v>
      </c>
      <c r="C977" s="1" t="str">
        <f>HYPERLINK("http://www.genecards.org/cgi-bin/carddisp.pl?gene=TTC3","GeneCards")</f>
        <v>GeneCards</v>
      </c>
      <c r="D977" s="1" t="str">
        <f>HYPERLINK("http://genome-euro.ucsc.edu/cgi-bin/hgTracks?position=208663_s_at","UCSC")</f>
        <v>UCSC</v>
      </c>
      <c r="E977" s="1" t="str">
        <f>HYPERLINK("http://www.ncbi.nlm.nih.gov/gene/?term=TTC3","NCBI")</f>
        <v>NCBI</v>
      </c>
      <c r="F977">
        <v>1.8E-3</v>
      </c>
      <c r="G977">
        <v>3.1E-2</v>
      </c>
      <c r="H977" s="1" t="str">
        <f>HYPERLINK("http://www.weizmann.ac.il/complex/compphys/software/geview/data/figures/208663_s_at.png","Figure")</f>
        <v>Figure</v>
      </c>
      <c r="I977">
        <v>0.47799999999999998</v>
      </c>
      <c r="J977">
        <v>2.7000000000000001E-3</v>
      </c>
      <c r="K977">
        <v>0.92500000000000004</v>
      </c>
      <c r="L977">
        <v>0.87</v>
      </c>
      <c r="M977">
        <v>1.94</v>
      </c>
      <c r="N977">
        <v>3.7000000000000002E-3</v>
      </c>
    </row>
    <row r="978" spans="1:14" x14ac:dyDescent="0.25">
      <c r="A978" t="s">
        <v>1823</v>
      </c>
      <c r="B978" t="s">
        <v>1824</v>
      </c>
      <c r="C978" s="1" t="str">
        <f>HYPERLINK("http://www.genecards.org/cgi-bin/carddisp.pl?gene=GOLGA8A","GeneCards")</f>
        <v>GeneCards</v>
      </c>
      <c r="D978" s="1" t="str">
        <f>HYPERLINK("http://genome-euro.ucsc.edu/cgi-bin/hgTracks?position=208798_x_at","UCSC")</f>
        <v>UCSC</v>
      </c>
      <c r="E978" s="1" t="str">
        <f>HYPERLINK("http://www.ncbi.nlm.nih.gov/gene/?term=GOLGA8A","NCBI")</f>
        <v>NCBI</v>
      </c>
      <c r="F978">
        <v>1.8E-3</v>
      </c>
      <c r="G978">
        <v>3.1E-2</v>
      </c>
      <c r="H978" s="1" t="str">
        <f>HYPERLINK("http://www.weizmann.ac.il/complex/compphys/software/geview/data/figures/208798_x_at.png","Figure")</f>
        <v>Figure</v>
      </c>
      <c r="I978">
        <v>0.251</v>
      </c>
      <c r="J978">
        <v>5.0000000000000001E-3</v>
      </c>
      <c r="K978">
        <v>0.27400000000000002</v>
      </c>
      <c r="L978">
        <v>3.0000000000000001E-3</v>
      </c>
      <c r="M978">
        <v>1.0900000000000001</v>
      </c>
      <c r="N978">
        <v>0.96</v>
      </c>
    </row>
    <row r="979" spans="1:14" x14ac:dyDescent="0.25">
      <c r="A979" t="s">
        <v>1825</v>
      </c>
      <c r="B979" t="s">
        <v>1826</v>
      </c>
      <c r="C979" s="1" t="str">
        <f>HYPERLINK("http://www.genecards.org/cgi-bin/carddisp.pl?gene=EXTL3","GeneCards")</f>
        <v>GeneCards</v>
      </c>
      <c r="D979" s="1" t="str">
        <f>HYPERLINK("http://genome-euro.ucsc.edu/cgi-bin/hgTracks?position=209202_s_at","UCSC")</f>
        <v>UCSC</v>
      </c>
      <c r="E979" s="1" t="str">
        <f>HYPERLINK("http://www.ncbi.nlm.nih.gov/gene/?term=EXTL3","NCBI")</f>
        <v>NCBI</v>
      </c>
      <c r="F979">
        <v>1.8E-3</v>
      </c>
      <c r="G979">
        <v>3.1E-2</v>
      </c>
      <c r="H979" s="1" t="str">
        <f>HYPERLINK("http://www.weizmann.ac.il/complex/compphys/software/geview/data/figures/209202_s_at.png","Figure")</f>
        <v>Figure</v>
      </c>
      <c r="I979">
        <v>1.39</v>
      </c>
      <c r="J979">
        <v>4.3E-3</v>
      </c>
      <c r="K979">
        <v>1.34</v>
      </c>
      <c r="L979">
        <v>3.3999999999999998E-3</v>
      </c>
      <c r="M979">
        <v>0.96799999999999997</v>
      </c>
      <c r="N979">
        <v>0.91</v>
      </c>
    </row>
    <row r="980" spans="1:14" x14ac:dyDescent="0.25">
      <c r="A980" t="s">
        <v>1827</v>
      </c>
      <c r="B980" t="s">
        <v>1828</v>
      </c>
      <c r="C980" s="1" t="str">
        <f>HYPERLINK("http://www.genecards.org/cgi-bin/carddisp.pl?gene=PRICKLE4 /// TOMM6","GeneCards")</f>
        <v>GeneCards</v>
      </c>
      <c r="D980" s="1" t="str">
        <f>HYPERLINK("http://genome-euro.ucsc.edu/cgi-bin/hgTracks?position=218233_s_at","UCSC")</f>
        <v>UCSC</v>
      </c>
      <c r="E980" s="1" t="str">
        <f>HYPERLINK("http://www.ncbi.nlm.nih.gov/gene/?term=PRICKLE4 /// TOMM6","NCBI")</f>
        <v>NCBI</v>
      </c>
      <c r="F980">
        <v>1.8E-3</v>
      </c>
      <c r="G980">
        <v>3.1E-2</v>
      </c>
      <c r="H980" s="1" t="str">
        <f>HYPERLINK("http://www.weizmann.ac.il/complex/compphys/software/geview/data/figures/218233_s_at.png","Figure")</f>
        <v>Figure</v>
      </c>
      <c r="I980">
        <v>0.83799999999999997</v>
      </c>
      <c r="J980">
        <v>0.28999999999999998</v>
      </c>
      <c r="K980">
        <v>1.33</v>
      </c>
      <c r="L980">
        <v>2.9000000000000001E-2</v>
      </c>
      <c r="M980">
        <v>1.59</v>
      </c>
      <c r="N980">
        <v>1.8E-3</v>
      </c>
    </row>
    <row r="981" spans="1:14" x14ac:dyDescent="0.25">
      <c r="A981" t="s">
        <v>1829</v>
      </c>
      <c r="B981" t="s">
        <v>1830</v>
      </c>
      <c r="C981" s="1" t="str">
        <f>HYPERLINK("http://www.genecards.org/cgi-bin/carddisp.pl?gene=CD46","GeneCards")</f>
        <v>GeneCards</v>
      </c>
      <c r="D981" s="1" t="str">
        <f>HYPERLINK("http://genome-euro.ucsc.edu/cgi-bin/hgTracks?position=207549_x_at","UCSC")</f>
        <v>UCSC</v>
      </c>
      <c r="E981" s="1" t="str">
        <f>HYPERLINK("http://www.ncbi.nlm.nih.gov/gene/?term=CD46","NCBI")</f>
        <v>NCBI</v>
      </c>
      <c r="F981">
        <v>1.8E-3</v>
      </c>
      <c r="G981">
        <v>3.1E-2</v>
      </c>
      <c r="H981" s="1" t="str">
        <f>HYPERLINK("http://www.weizmann.ac.il/complex/compphys/software/geview/data/figures/207549_x_at.png","Figure")</f>
        <v>Figure</v>
      </c>
      <c r="I981">
        <v>1.4</v>
      </c>
      <c r="J981">
        <v>7.7000000000000002E-3</v>
      </c>
      <c r="K981">
        <v>0.95399999999999996</v>
      </c>
      <c r="L981">
        <v>0.83</v>
      </c>
      <c r="M981">
        <v>0.68200000000000005</v>
      </c>
      <c r="N981">
        <v>1.6999999999999999E-3</v>
      </c>
    </row>
    <row r="982" spans="1:14" x14ac:dyDescent="0.25">
      <c r="A982" t="s">
        <v>1831</v>
      </c>
      <c r="B982" t="s">
        <v>1832</v>
      </c>
      <c r="C982" s="1" t="str">
        <f>HYPERLINK("http://www.genecards.org/cgi-bin/carddisp.pl?gene=BTNL3","GeneCards")</f>
        <v>GeneCards</v>
      </c>
      <c r="D982" s="1" t="str">
        <f>HYPERLINK("http://genome-euro.ucsc.edu/cgi-bin/hgTracks?position=217207_s_at","UCSC")</f>
        <v>UCSC</v>
      </c>
      <c r="E982" s="1" t="str">
        <f>HYPERLINK("http://www.ncbi.nlm.nih.gov/gene/?term=BTNL3","NCBI")</f>
        <v>NCBI</v>
      </c>
      <c r="F982">
        <v>1.8E-3</v>
      </c>
      <c r="G982">
        <v>3.1E-2</v>
      </c>
      <c r="H982" s="1" t="str">
        <f>HYPERLINK("http://www.weizmann.ac.il/complex/compphys/software/geview/data/figures/217207_s_at.png","Figure")</f>
        <v>Figure</v>
      </c>
      <c r="I982">
        <v>1.41</v>
      </c>
      <c r="J982">
        <v>5.4000000000000003E-3</v>
      </c>
      <c r="K982">
        <v>0.98</v>
      </c>
      <c r="L982">
        <v>0.96</v>
      </c>
      <c r="M982">
        <v>0.69599999999999995</v>
      </c>
      <c r="N982">
        <v>2.0999999999999999E-3</v>
      </c>
    </row>
    <row r="983" spans="1:14" x14ac:dyDescent="0.25">
      <c r="A983" t="s">
        <v>1833</v>
      </c>
      <c r="B983" t="s">
        <v>1834</v>
      </c>
      <c r="C983" s="1" t="str">
        <f>HYPERLINK("http://www.genecards.org/cgi-bin/carddisp.pl?gene=NEDD4","GeneCards")</f>
        <v>GeneCards</v>
      </c>
      <c r="D983" s="1" t="str">
        <f>HYPERLINK("http://genome-euro.ucsc.edu/cgi-bin/hgTracks?position=213012_at","UCSC")</f>
        <v>UCSC</v>
      </c>
      <c r="E983" s="1" t="str">
        <f>HYPERLINK("http://www.ncbi.nlm.nih.gov/gene/?term=NEDD4","NCBI")</f>
        <v>NCBI</v>
      </c>
      <c r="F983">
        <v>1.8E-3</v>
      </c>
      <c r="G983">
        <v>3.1E-2</v>
      </c>
      <c r="H983" s="1" t="str">
        <f>HYPERLINK("http://www.weizmann.ac.il/complex/compphys/software/geview/data/figures/213012_at.png","Figure")</f>
        <v>Figure</v>
      </c>
      <c r="I983">
        <v>0.75700000000000001</v>
      </c>
      <c r="J983">
        <v>0.01</v>
      </c>
      <c r="K983">
        <v>1.06</v>
      </c>
      <c r="L983">
        <v>0.69</v>
      </c>
      <c r="M983">
        <v>1.4</v>
      </c>
      <c r="N983">
        <v>1.6000000000000001E-3</v>
      </c>
    </row>
    <row r="984" spans="1:14" x14ac:dyDescent="0.25">
      <c r="A984" t="s">
        <v>1835</v>
      </c>
      <c r="B984" t="s">
        <v>1836</v>
      </c>
      <c r="C984" s="1" t="str">
        <f>HYPERLINK("http://www.genecards.org/cgi-bin/carddisp.pl?gene=FANCC","GeneCards")</f>
        <v>GeneCards</v>
      </c>
      <c r="D984" s="1" t="str">
        <f>HYPERLINK("http://genome-euro.ucsc.edu/cgi-bin/hgTracks?position=205189_s_at","UCSC")</f>
        <v>UCSC</v>
      </c>
      <c r="E984" s="1" t="str">
        <f>HYPERLINK("http://www.ncbi.nlm.nih.gov/gene/?term=FANCC","NCBI")</f>
        <v>NCBI</v>
      </c>
      <c r="F984">
        <v>1.8E-3</v>
      </c>
      <c r="G984">
        <v>3.1E-2</v>
      </c>
      <c r="H984" s="1" t="str">
        <f>HYPERLINK("http://www.weizmann.ac.il/complex/compphys/software/geview/data/figures/205189_s_at.png","Figure")</f>
        <v>Figure</v>
      </c>
      <c r="I984">
        <v>1.35</v>
      </c>
      <c r="J984">
        <v>4.3E-3</v>
      </c>
      <c r="K984">
        <v>1.31</v>
      </c>
      <c r="L984">
        <v>3.5999999999999999E-3</v>
      </c>
      <c r="M984">
        <v>0.96899999999999997</v>
      </c>
      <c r="N984">
        <v>0.9</v>
      </c>
    </row>
    <row r="985" spans="1:14" x14ac:dyDescent="0.25">
      <c r="A985" t="s">
        <v>1837</v>
      </c>
      <c r="B985" t="s">
        <v>1838</v>
      </c>
      <c r="C985" s="1" t="str">
        <f>HYPERLINK("http://www.genecards.org/cgi-bin/carddisp.pl?gene=TFIP11","GeneCards")</f>
        <v>GeneCards</v>
      </c>
      <c r="D985" s="1" t="str">
        <f>HYPERLINK("http://genome-euro.ucsc.edu/cgi-bin/hgTracks?position=202750_s_at","UCSC")</f>
        <v>UCSC</v>
      </c>
      <c r="E985" s="1" t="str">
        <f>HYPERLINK("http://www.ncbi.nlm.nih.gov/gene/?term=TFIP11","NCBI")</f>
        <v>NCBI</v>
      </c>
      <c r="F985">
        <v>1.8E-3</v>
      </c>
      <c r="G985">
        <v>3.1E-2</v>
      </c>
      <c r="H985" s="1" t="str">
        <f>HYPERLINK("http://www.weizmann.ac.il/complex/compphys/software/geview/data/figures/202750_s_at.png","Figure")</f>
        <v>Figure</v>
      </c>
      <c r="I985">
        <v>1.41</v>
      </c>
      <c r="J985">
        <v>4.8000000000000001E-2</v>
      </c>
      <c r="K985">
        <v>0.80600000000000005</v>
      </c>
      <c r="L985">
        <v>0.18</v>
      </c>
      <c r="M985">
        <v>0.56999999999999995</v>
      </c>
      <c r="N985">
        <v>1.2999999999999999E-3</v>
      </c>
    </row>
    <row r="986" spans="1:14" x14ac:dyDescent="0.25">
      <c r="A986" t="s">
        <v>1839</v>
      </c>
      <c r="B986" t="s">
        <v>1840</v>
      </c>
      <c r="C986" s="1" t="str">
        <f>HYPERLINK("http://www.genecards.org/cgi-bin/carddisp.pl?gene=WDR45","GeneCards")</f>
        <v>GeneCards</v>
      </c>
      <c r="D986" s="1" t="str">
        <f>HYPERLINK("http://genome-euro.ucsc.edu/cgi-bin/hgTracks?position=209216_at","UCSC")</f>
        <v>UCSC</v>
      </c>
      <c r="E986" s="1" t="str">
        <f>HYPERLINK("http://www.ncbi.nlm.nih.gov/gene/?term=WDR45","NCBI")</f>
        <v>NCBI</v>
      </c>
      <c r="F986">
        <v>1.8E-3</v>
      </c>
      <c r="G986">
        <v>3.1E-2</v>
      </c>
      <c r="H986" s="1" t="str">
        <f>HYPERLINK("http://www.weizmann.ac.il/complex/compphys/software/geview/data/figures/209216_at.png","Figure")</f>
        <v>Figure</v>
      </c>
      <c r="I986">
        <v>0.47699999999999998</v>
      </c>
      <c r="J986">
        <v>1.2999999999999999E-3</v>
      </c>
      <c r="K986">
        <v>0.72899999999999998</v>
      </c>
      <c r="L986">
        <v>9.8000000000000004E-2</v>
      </c>
      <c r="M986">
        <v>1.53</v>
      </c>
      <c r="N986">
        <v>3.5000000000000003E-2</v>
      </c>
    </row>
    <row r="987" spans="1:14" x14ac:dyDescent="0.25">
      <c r="A987" t="s">
        <v>1841</v>
      </c>
      <c r="B987" t="s">
        <v>1842</v>
      </c>
      <c r="C987" s="1" t="str">
        <f>HYPERLINK("http://www.genecards.org/cgi-bin/carddisp.pl?gene=PODXL","GeneCards")</f>
        <v>GeneCards</v>
      </c>
      <c r="D987" s="1" t="str">
        <f>HYPERLINK("http://genome-euro.ucsc.edu/cgi-bin/hgTracks?position=201578_at","UCSC")</f>
        <v>UCSC</v>
      </c>
      <c r="E987" s="1" t="str">
        <f>HYPERLINK("http://www.ncbi.nlm.nih.gov/gene/?term=PODXL","NCBI")</f>
        <v>NCBI</v>
      </c>
      <c r="F987">
        <v>1.8E-3</v>
      </c>
      <c r="G987">
        <v>3.1E-2</v>
      </c>
      <c r="H987" s="1" t="str">
        <f>HYPERLINK("http://www.weizmann.ac.il/complex/compphys/software/geview/data/figures/201578_at.png","Figure")</f>
        <v>Figure</v>
      </c>
      <c r="I987">
        <v>1.1200000000000001</v>
      </c>
      <c r="J987">
        <v>6.8999999999999999E-3</v>
      </c>
      <c r="K987">
        <v>1.1200000000000001</v>
      </c>
      <c r="L987">
        <v>2.5000000000000001E-3</v>
      </c>
      <c r="M987">
        <v>1</v>
      </c>
      <c r="N987">
        <v>1</v>
      </c>
    </row>
    <row r="988" spans="1:14" x14ac:dyDescent="0.25">
      <c r="A988" t="s">
        <v>1843</v>
      </c>
      <c r="B988" t="s">
        <v>1844</v>
      </c>
      <c r="C988" s="1" t="str">
        <f>HYPERLINK("http://www.genecards.org/cgi-bin/carddisp.pl?gene=LY86","GeneCards")</f>
        <v>GeneCards</v>
      </c>
      <c r="D988" s="1" t="str">
        <f>HYPERLINK("http://genome-euro.ucsc.edu/cgi-bin/hgTracks?position=205859_at","UCSC")</f>
        <v>UCSC</v>
      </c>
      <c r="E988" s="1" t="str">
        <f>HYPERLINK("http://www.ncbi.nlm.nih.gov/gene/?term=LY86","NCBI")</f>
        <v>NCBI</v>
      </c>
      <c r="F988">
        <v>1.8E-3</v>
      </c>
      <c r="G988">
        <v>3.1E-2</v>
      </c>
      <c r="H988" s="1" t="str">
        <f>HYPERLINK("http://www.weizmann.ac.il/complex/compphys/software/geview/data/figures/205859_at.png","Figure")</f>
        <v>Figure</v>
      </c>
      <c r="I988">
        <v>1.24</v>
      </c>
      <c r="J988">
        <v>0.56999999999999995</v>
      </c>
      <c r="K988">
        <v>2.21</v>
      </c>
      <c r="L988">
        <v>1.9E-3</v>
      </c>
      <c r="M988">
        <v>1.79</v>
      </c>
      <c r="N988">
        <v>2.5999999999999999E-2</v>
      </c>
    </row>
    <row r="989" spans="1:14" x14ac:dyDescent="0.25">
      <c r="A989" t="s">
        <v>1845</v>
      </c>
      <c r="B989" t="s">
        <v>64</v>
      </c>
      <c r="C989" s="1" t="str">
        <f>HYPERLINK("http://www.genecards.org/cgi-bin/carddisp.pl?gene=ALG13","GeneCards")</f>
        <v>GeneCards</v>
      </c>
      <c r="D989" s="1" t="str">
        <f>HYPERLINK("http://genome-euro.ucsc.edu/cgi-bin/hgTracks?position=219015_s_at","UCSC")</f>
        <v>UCSC</v>
      </c>
      <c r="E989" s="1" t="str">
        <f>HYPERLINK("http://www.ncbi.nlm.nih.gov/gene/?term=ALG13","NCBI")</f>
        <v>NCBI</v>
      </c>
      <c r="F989">
        <v>1.8E-3</v>
      </c>
      <c r="G989">
        <v>3.1E-2</v>
      </c>
      <c r="H989" s="1" t="str">
        <f>HYPERLINK("http://www.weizmann.ac.il/complex/compphys/software/geview/data/figures/219015_s_at.png","Figure")</f>
        <v>Figure</v>
      </c>
      <c r="I989">
        <v>0.73199999999999998</v>
      </c>
      <c r="J989">
        <v>3.0999999999999999E-3</v>
      </c>
      <c r="K989">
        <v>0.97699999999999998</v>
      </c>
      <c r="L989">
        <v>0.94</v>
      </c>
      <c r="M989">
        <v>1.34</v>
      </c>
      <c r="N989">
        <v>3.3E-3</v>
      </c>
    </row>
    <row r="990" spans="1:14" x14ac:dyDescent="0.25">
      <c r="A990" t="s">
        <v>1846</v>
      </c>
      <c r="B990" t="s">
        <v>1847</v>
      </c>
      <c r="C990" s="1" t="str">
        <f>HYPERLINK("http://www.genecards.org/cgi-bin/carddisp.pl?gene=PFDN6","GeneCards")</f>
        <v>GeneCards</v>
      </c>
      <c r="D990" s="1" t="str">
        <f>HYPERLINK("http://genome-euro.ucsc.edu/cgi-bin/hgTracks?position=222029_x_at","UCSC")</f>
        <v>UCSC</v>
      </c>
      <c r="E990" s="1" t="str">
        <f>HYPERLINK("http://www.ncbi.nlm.nih.gov/gene/?term=PFDN6","NCBI")</f>
        <v>NCBI</v>
      </c>
      <c r="F990">
        <v>1.8E-3</v>
      </c>
      <c r="G990">
        <v>3.1E-2</v>
      </c>
      <c r="H990" s="1" t="str">
        <f>HYPERLINK("http://www.weizmann.ac.il/complex/compphys/software/geview/data/figures/222029_x_at.png","Figure")</f>
        <v>Figure</v>
      </c>
      <c r="I990">
        <v>0.876</v>
      </c>
      <c r="J990">
        <v>0.23</v>
      </c>
      <c r="K990">
        <v>1.21</v>
      </c>
      <c r="L990">
        <v>3.6999999999999998E-2</v>
      </c>
      <c r="M990">
        <v>1.38</v>
      </c>
      <c r="N990">
        <v>1.6999999999999999E-3</v>
      </c>
    </row>
    <row r="991" spans="1:14" x14ac:dyDescent="0.25">
      <c r="A991" t="s">
        <v>1848</v>
      </c>
      <c r="B991" t="s">
        <v>1849</v>
      </c>
      <c r="C991" s="1" t="str">
        <f>HYPERLINK("http://www.genecards.org/cgi-bin/carddisp.pl?gene=SLC38A2","GeneCards")</f>
        <v>GeneCards</v>
      </c>
      <c r="D991" s="1" t="str">
        <f>HYPERLINK("http://genome-euro.ucsc.edu/cgi-bin/hgTracks?position=218041_x_at","UCSC")</f>
        <v>UCSC</v>
      </c>
      <c r="E991" s="1" t="str">
        <f>HYPERLINK("http://www.ncbi.nlm.nih.gov/gene/?term=SLC38A2","NCBI")</f>
        <v>NCBI</v>
      </c>
      <c r="F991">
        <v>1.8E-3</v>
      </c>
      <c r="G991">
        <v>3.1E-2</v>
      </c>
      <c r="H991" s="1" t="str">
        <f>HYPERLINK("http://www.weizmann.ac.il/complex/compphys/software/geview/data/figures/218041_x_at.png","Figure")</f>
        <v>Figure</v>
      </c>
      <c r="I991">
        <v>0.441</v>
      </c>
      <c r="J991">
        <v>3.5999999999999999E-3</v>
      </c>
      <c r="K991">
        <v>0.498</v>
      </c>
      <c r="L991">
        <v>4.4000000000000003E-3</v>
      </c>
      <c r="M991">
        <v>1.1299999999999999</v>
      </c>
      <c r="N991">
        <v>0.8</v>
      </c>
    </row>
    <row r="992" spans="1:14" x14ac:dyDescent="0.25">
      <c r="A992" t="s">
        <v>1850</v>
      </c>
      <c r="B992" t="s">
        <v>1851</v>
      </c>
      <c r="C992" s="1" t="str">
        <f>HYPERLINK("http://www.genecards.org/cgi-bin/carddisp.pl?gene=AP2B1","GeneCards")</f>
        <v>GeneCards</v>
      </c>
      <c r="D992" s="1" t="str">
        <f>HYPERLINK("http://genome-euro.ucsc.edu/cgi-bin/hgTracks?position=200615_s_at","UCSC")</f>
        <v>UCSC</v>
      </c>
      <c r="E992" s="1" t="str">
        <f>HYPERLINK("http://www.ncbi.nlm.nih.gov/gene/?term=AP2B1","NCBI")</f>
        <v>NCBI</v>
      </c>
      <c r="F992">
        <v>1.8E-3</v>
      </c>
      <c r="G992">
        <v>3.2000000000000001E-2</v>
      </c>
      <c r="H992" s="1" t="str">
        <f>HYPERLINK("http://www.weizmann.ac.il/complex/compphys/software/geview/data/figures/200615_s_at.png","Figure")</f>
        <v>Figure</v>
      </c>
      <c r="I992">
        <v>1.18</v>
      </c>
      <c r="J992">
        <v>0.63</v>
      </c>
      <c r="K992">
        <v>1.96</v>
      </c>
      <c r="L992">
        <v>2.0999999999999999E-3</v>
      </c>
      <c r="M992">
        <v>1.66</v>
      </c>
      <c r="N992">
        <v>2.3E-2</v>
      </c>
    </row>
    <row r="993" spans="1:14" x14ac:dyDescent="0.25">
      <c r="A993" t="s">
        <v>1852</v>
      </c>
      <c r="B993" t="s">
        <v>1853</v>
      </c>
      <c r="C993" s="1" t="str">
        <f>HYPERLINK("http://www.genecards.org/cgi-bin/carddisp.pl?gene=TRIM13","GeneCards")</f>
        <v>GeneCards</v>
      </c>
      <c r="D993" s="1" t="str">
        <f>HYPERLINK("http://genome-euro.ucsc.edu/cgi-bin/hgTracks?position=203659_s_at","UCSC")</f>
        <v>UCSC</v>
      </c>
      <c r="E993" s="1" t="str">
        <f>HYPERLINK("http://www.ncbi.nlm.nih.gov/gene/?term=TRIM13","NCBI")</f>
        <v>NCBI</v>
      </c>
      <c r="F993">
        <v>1.8E-3</v>
      </c>
      <c r="G993">
        <v>3.2000000000000001E-2</v>
      </c>
      <c r="H993" s="1" t="str">
        <f>HYPERLINK("http://www.weizmann.ac.il/complex/compphys/software/geview/data/figures/203659_s_at.png","Figure")</f>
        <v>Figure</v>
      </c>
      <c r="I993">
        <v>0.70599999999999996</v>
      </c>
      <c r="J993">
        <v>0.35</v>
      </c>
      <c r="K993">
        <v>0.38600000000000001</v>
      </c>
      <c r="L993">
        <v>1.6000000000000001E-3</v>
      </c>
      <c r="M993">
        <v>0.54700000000000004</v>
      </c>
      <c r="N993">
        <v>4.8000000000000001E-2</v>
      </c>
    </row>
    <row r="994" spans="1:14" x14ac:dyDescent="0.25">
      <c r="A994" t="s">
        <v>1854</v>
      </c>
      <c r="B994" t="s">
        <v>1855</v>
      </c>
      <c r="C994" s="1" t="str">
        <f>HYPERLINK("http://www.genecards.org/cgi-bin/carddisp.pl?gene=PPPDE1","GeneCards")</f>
        <v>GeneCards</v>
      </c>
      <c r="D994" s="1" t="str">
        <f>HYPERLINK("http://genome-euro.ucsc.edu/cgi-bin/hgTracks?position=212371_at","UCSC")</f>
        <v>UCSC</v>
      </c>
      <c r="E994" s="1" t="str">
        <f>HYPERLINK("http://www.ncbi.nlm.nih.gov/gene/?term=PPPDE1","NCBI")</f>
        <v>NCBI</v>
      </c>
      <c r="F994">
        <v>1.8E-3</v>
      </c>
      <c r="G994">
        <v>3.2000000000000001E-2</v>
      </c>
      <c r="H994" s="1" t="str">
        <f>HYPERLINK("http://www.weizmann.ac.il/complex/compphys/software/geview/data/figures/212371_at.png","Figure")</f>
        <v>Figure</v>
      </c>
      <c r="I994">
        <v>2.2999999999999998</v>
      </c>
      <c r="J994">
        <v>2.1999999999999999E-2</v>
      </c>
      <c r="K994">
        <v>2.89</v>
      </c>
      <c r="L994">
        <v>1.6000000000000001E-3</v>
      </c>
      <c r="M994">
        <v>1.26</v>
      </c>
      <c r="N994">
        <v>0.64</v>
      </c>
    </row>
    <row r="995" spans="1:14" x14ac:dyDescent="0.25">
      <c r="A995" t="s">
        <v>1856</v>
      </c>
      <c r="B995" t="s">
        <v>1857</v>
      </c>
      <c r="C995" s="1" t="str">
        <f>HYPERLINK("http://www.genecards.org/cgi-bin/carddisp.pl?gene=SCCPDH","GeneCards")</f>
        <v>GeneCards</v>
      </c>
      <c r="D995" s="1" t="str">
        <f>HYPERLINK("http://genome-euro.ucsc.edu/cgi-bin/hgTracks?position=201825_s_at","UCSC")</f>
        <v>UCSC</v>
      </c>
      <c r="E995" s="1" t="str">
        <f>HYPERLINK("http://www.ncbi.nlm.nih.gov/gene/?term=SCCPDH","NCBI")</f>
        <v>NCBI</v>
      </c>
      <c r="F995">
        <v>1.9E-3</v>
      </c>
      <c r="G995">
        <v>3.2000000000000001E-2</v>
      </c>
      <c r="H995" s="1" t="str">
        <f>HYPERLINK("http://www.weizmann.ac.il/complex/compphys/software/geview/data/figures/201825_s_at.png","Figure")</f>
        <v>Figure</v>
      </c>
      <c r="I995">
        <v>1.95</v>
      </c>
      <c r="J995">
        <v>2.7E-2</v>
      </c>
      <c r="K995">
        <v>2.4300000000000002</v>
      </c>
      <c r="L995">
        <v>1.5E-3</v>
      </c>
      <c r="M995">
        <v>1.25</v>
      </c>
      <c r="N995">
        <v>0.55000000000000004</v>
      </c>
    </row>
    <row r="996" spans="1:14" x14ac:dyDescent="0.25">
      <c r="A996" t="s">
        <v>1858</v>
      </c>
      <c r="B996" t="s">
        <v>1859</v>
      </c>
      <c r="C996" s="1" t="str">
        <f>HYPERLINK("http://www.genecards.org/cgi-bin/carddisp.pl?gene=BTBD3","GeneCards")</f>
        <v>GeneCards</v>
      </c>
      <c r="D996" s="1" t="str">
        <f>HYPERLINK("http://genome-euro.ucsc.edu/cgi-bin/hgTracks?position=202946_s_at","UCSC")</f>
        <v>UCSC</v>
      </c>
      <c r="E996" s="1" t="str">
        <f>HYPERLINK("http://www.ncbi.nlm.nih.gov/gene/?term=BTBD3","NCBI")</f>
        <v>NCBI</v>
      </c>
      <c r="F996">
        <v>1.9E-3</v>
      </c>
      <c r="G996">
        <v>3.2000000000000001E-2</v>
      </c>
      <c r="H996" s="1" t="str">
        <f>HYPERLINK("http://www.weizmann.ac.il/complex/compphys/software/geview/data/figures/202946_s_at.png","Figure")</f>
        <v>Figure</v>
      </c>
      <c r="I996">
        <v>0.61299999999999999</v>
      </c>
      <c r="J996">
        <v>0.4</v>
      </c>
      <c r="K996">
        <v>0.23899999999999999</v>
      </c>
      <c r="L996">
        <v>1.6999999999999999E-3</v>
      </c>
      <c r="M996">
        <v>0.39</v>
      </c>
      <c r="N996">
        <v>4.1000000000000002E-2</v>
      </c>
    </row>
    <row r="997" spans="1:14" x14ac:dyDescent="0.25">
      <c r="A997" t="s">
        <v>1860</v>
      </c>
      <c r="B997" t="s">
        <v>1861</v>
      </c>
      <c r="C997" s="1" t="str">
        <f>HYPERLINK("http://www.genecards.org/cgi-bin/carddisp.pl?gene=ZNF274","GeneCards")</f>
        <v>GeneCards</v>
      </c>
      <c r="D997" s="1" t="str">
        <f>HYPERLINK("http://genome-euro.ucsc.edu/cgi-bin/hgTracks?position=204937_s_at","UCSC")</f>
        <v>UCSC</v>
      </c>
      <c r="E997" s="1" t="str">
        <f>HYPERLINK("http://www.ncbi.nlm.nih.gov/gene/?term=ZNF274","NCBI")</f>
        <v>NCBI</v>
      </c>
      <c r="F997">
        <v>1.9E-3</v>
      </c>
      <c r="G997">
        <v>3.2000000000000001E-2</v>
      </c>
      <c r="H997" s="1" t="str">
        <f>HYPERLINK("http://www.weizmann.ac.il/complex/compphys/software/geview/data/figures/204937_s_at.png","Figure")</f>
        <v>Figure</v>
      </c>
      <c r="I997">
        <v>1.25</v>
      </c>
      <c r="J997">
        <v>0.31</v>
      </c>
      <c r="K997">
        <v>0.68300000000000005</v>
      </c>
      <c r="L997">
        <v>2.8000000000000001E-2</v>
      </c>
      <c r="M997">
        <v>0.54500000000000004</v>
      </c>
      <c r="N997">
        <v>1.9E-3</v>
      </c>
    </row>
    <row r="998" spans="1:14" x14ac:dyDescent="0.25">
      <c r="A998" t="s">
        <v>1862</v>
      </c>
      <c r="B998" t="s">
        <v>1863</v>
      </c>
      <c r="C998" s="1" t="str">
        <f>HYPERLINK("http://www.genecards.org/cgi-bin/carddisp.pl?gene=TRA2B","GeneCards")</f>
        <v>GeneCards</v>
      </c>
      <c r="D998" s="1" t="str">
        <f>HYPERLINK("http://genome-euro.ucsc.edu/cgi-bin/hgTracks?position=210180_s_at","UCSC")</f>
        <v>UCSC</v>
      </c>
      <c r="E998" s="1" t="str">
        <f>HYPERLINK("http://www.ncbi.nlm.nih.gov/gene/?term=TRA2B","NCBI")</f>
        <v>NCBI</v>
      </c>
      <c r="F998">
        <v>1.8E-3</v>
      </c>
      <c r="G998">
        <v>3.2000000000000001E-2</v>
      </c>
      <c r="H998" s="1" t="str">
        <f>HYPERLINK("http://www.weizmann.ac.il/complex/compphys/software/geview/data/figures/210180_s_at.png","Figure")</f>
        <v>Figure</v>
      </c>
      <c r="I998">
        <v>0.81100000000000005</v>
      </c>
      <c r="J998">
        <v>0.48</v>
      </c>
      <c r="K998">
        <v>0.50800000000000001</v>
      </c>
      <c r="L998">
        <v>1.8E-3</v>
      </c>
      <c r="M998">
        <v>0.626</v>
      </c>
      <c r="N998">
        <v>3.3000000000000002E-2</v>
      </c>
    </row>
    <row r="999" spans="1:14" x14ac:dyDescent="0.25">
      <c r="A999" t="s">
        <v>1864</v>
      </c>
      <c r="B999" t="s">
        <v>1865</v>
      </c>
      <c r="C999" s="1" t="str">
        <f>HYPERLINK("http://www.genecards.org/cgi-bin/carddisp.pl?gene=AK2","GeneCards")</f>
        <v>GeneCards</v>
      </c>
      <c r="D999" s="1" t="str">
        <f>HYPERLINK("http://genome-euro.ucsc.edu/cgi-bin/hgTracks?position=212174_at","UCSC")</f>
        <v>UCSC</v>
      </c>
      <c r="E999" s="1" t="str">
        <f>HYPERLINK("http://www.ncbi.nlm.nih.gov/gene/?term=AK2","NCBI")</f>
        <v>NCBI</v>
      </c>
      <c r="F999">
        <v>1.9E-3</v>
      </c>
      <c r="G999">
        <v>3.2000000000000001E-2</v>
      </c>
      <c r="H999" s="1" t="str">
        <f>HYPERLINK("http://www.weizmann.ac.il/complex/compphys/software/geview/data/figures/212174_at.png","Figure")</f>
        <v>Figure</v>
      </c>
      <c r="I999">
        <v>0.82499999999999996</v>
      </c>
      <c r="J999">
        <v>0.49</v>
      </c>
      <c r="K999">
        <v>1.6</v>
      </c>
      <c r="L999">
        <v>1.6E-2</v>
      </c>
      <c r="M999">
        <v>1.93</v>
      </c>
      <c r="N999">
        <v>2.3999999999999998E-3</v>
      </c>
    </row>
    <row r="1000" spans="1:14" x14ac:dyDescent="0.25">
      <c r="A1000" t="s">
        <v>1866</v>
      </c>
      <c r="B1000" t="s">
        <v>1867</v>
      </c>
      <c r="C1000" s="1" t="str">
        <f>HYPERLINK("http://www.genecards.org/cgi-bin/carddisp.pl?gene=NUBP2","GeneCards")</f>
        <v>GeneCards</v>
      </c>
      <c r="D1000" s="1" t="str">
        <f>HYPERLINK("http://genome-euro.ucsc.edu/cgi-bin/hgTracks?position=218227_at","UCSC")</f>
        <v>UCSC</v>
      </c>
      <c r="E1000" s="1" t="str">
        <f>HYPERLINK("http://www.ncbi.nlm.nih.gov/gene/?term=NUBP2","NCBI")</f>
        <v>NCBI</v>
      </c>
      <c r="F1000">
        <v>1.9E-3</v>
      </c>
      <c r="G1000">
        <v>3.2000000000000001E-2</v>
      </c>
      <c r="H1000" s="1" t="str">
        <f>HYPERLINK("http://www.weizmann.ac.il/complex/compphys/software/geview/data/figures/218227_at.png","Figure")</f>
        <v>Figure</v>
      </c>
      <c r="I1000">
        <v>1.43</v>
      </c>
      <c r="J1000">
        <v>2.5999999999999999E-3</v>
      </c>
      <c r="K1000">
        <v>1.32</v>
      </c>
      <c r="L1000">
        <v>6.8999999999999999E-3</v>
      </c>
      <c r="M1000">
        <v>0.91800000000000004</v>
      </c>
      <c r="N1000">
        <v>0.54</v>
      </c>
    </row>
    <row r="1001" spans="1:14" x14ac:dyDescent="0.25">
      <c r="A1001" t="s">
        <v>1868</v>
      </c>
      <c r="B1001" t="s">
        <v>1869</v>
      </c>
      <c r="C1001" s="1" t="str">
        <f>HYPERLINK("http://www.genecards.org/cgi-bin/carddisp.pl?gene=GATM","GeneCards")</f>
        <v>GeneCards</v>
      </c>
      <c r="D1001" s="1" t="str">
        <f>HYPERLINK("http://genome-euro.ucsc.edu/cgi-bin/hgTracks?position=216733_s_at","UCSC")</f>
        <v>UCSC</v>
      </c>
      <c r="E1001" s="1" t="str">
        <f>HYPERLINK("http://www.ncbi.nlm.nih.gov/gene/?term=GATM","NCBI")</f>
        <v>NCBI</v>
      </c>
      <c r="F1001">
        <v>1.9E-3</v>
      </c>
      <c r="G1001">
        <v>3.2000000000000001E-2</v>
      </c>
      <c r="H1001" s="1" t="str">
        <f>HYPERLINK("http://www.weizmann.ac.il/complex/compphys/software/geview/data/figures/216733_s_at.png","Figure")</f>
        <v>Figure</v>
      </c>
      <c r="I1001">
        <v>2.1800000000000002</v>
      </c>
      <c r="J1001">
        <v>3.8999999999999998E-3</v>
      </c>
      <c r="K1001">
        <v>1.96</v>
      </c>
      <c r="L1001">
        <v>4.1999999999999997E-3</v>
      </c>
      <c r="M1001">
        <v>0.9</v>
      </c>
      <c r="N1001">
        <v>0.83</v>
      </c>
    </row>
    <row r="1002" spans="1:14" x14ac:dyDescent="0.25">
      <c r="A1002" t="s">
        <v>1870</v>
      </c>
      <c r="B1002" t="s">
        <v>1871</v>
      </c>
      <c r="C1002" s="1" t="str">
        <f>HYPERLINK("http://www.genecards.org/cgi-bin/carddisp.pl?gene=RASA2","GeneCards")</f>
        <v>GeneCards</v>
      </c>
      <c r="D1002" s="1" t="str">
        <f>HYPERLINK("http://genome-euro.ucsc.edu/cgi-bin/hgTracks?position=206636_at","UCSC")</f>
        <v>UCSC</v>
      </c>
      <c r="E1002" s="1" t="str">
        <f>HYPERLINK("http://www.ncbi.nlm.nih.gov/gene/?term=RASA2","NCBI")</f>
        <v>NCBI</v>
      </c>
      <c r="F1002">
        <v>1.9E-3</v>
      </c>
      <c r="G1002">
        <v>3.2000000000000001E-2</v>
      </c>
      <c r="H1002" s="1" t="str">
        <f>HYPERLINK("http://www.weizmann.ac.il/complex/compphys/software/geview/data/figures/206636_at.png","Figure")</f>
        <v>Figure</v>
      </c>
      <c r="I1002">
        <v>0.61599999999999999</v>
      </c>
      <c r="J1002">
        <v>1.4E-3</v>
      </c>
      <c r="K1002">
        <v>0.84599999999999997</v>
      </c>
      <c r="L1002">
        <v>0.21</v>
      </c>
      <c r="M1002">
        <v>1.37</v>
      </c>
      <c r="N1002">
        <v>1.7999999999999999E-2</v>
      </c>
    </row>
    <row r="1003" spans="1:14" x14ac:dyDescent="0.25">
      <c r="A1003" t="s">
        <v>1872</v>
      </c>
      <c r="B1003" t="s">
        <v>895</v>
      </c>
      <c r="C1003" s="1" t="str">
        <f>HYPERLINK("http://www.genecards.org/cgi-bin/carddisp.pl?gene=C18orf1","GeneCards")</f>
        <v>GeneCards</v>
      </c>
      <c r="D1003" s="1" t="str">
        <f>HYPERLINK("http://genome-euro.ucsc.edu/cgi-bin/hgTracks?position=209574_s_at","UCSC")</f>
        <v>UCSC</v>
      </c>
      <c r="E1003" s="1" t="str">
        <f>HYPERLINK("http://www.ncbi.nlm.nih.gov/gene/?term=C18orf1","NCBI")</f>
        <v>NCBI</v>
      </c>
      <c r="F1003">
        <v>1.9E-3</v>
      </c>
      <c r="G1003">
        <v>3.2000000000000001E-2</v>
      </c>
      <c r="H1003" s="1" t="str">
        <f>HYPERLINK("http://www.weizmann.ac.il/complex/compphys/software/geview/data/figures/209574_s_at.png","Figure")</f>
        <v>Figure</v>
      </c>
      <c r="I1003">
        <v>3.31</v>
      </c>
      <c r="J1003">
        <v>2E-3</v>
      </c>
      <c r="K1003">
        <v>2.25</v>
      </c>
      <c r="L1003">
        <v>1.2E-2</v>
      </c>
      <c r="M1003">
        <v>0.68</v>
      </c>
      <c r="N1003">
        <v>0.32</v>
      </c>
    </row>
    <row r="1004" spans="1:14" x14ac:dyDescent="0.25">
      <c r="A1004" t="s">
        <v>1873</v>
      </c>
      <c r="B1004" t="s">
        <v>1874</v>
      </c>
      <c r="C1004" s="1" t="str">
        <f>HYPERLINK("http://www.genecards.org/cgi-bin/carddisp.pl?gene=ATAD3A","GeneCards")</f>
        <v>GeneCards</v>
      </c>
      <c r="D1004" s="1" t="str">
        <f>HYPERLINK("http://genome-euro.ucsc.edu/cgi-bin/hgTracks?position=219068_x_at","UCSC")</f>
        <v>UCSC</v>
      </c>
      <c r="E1004" s="1" t="str">
        <f>HYPERLINK("http://www.ncbi.nlm.nih.gov/gene/?term=ATAD3A","NCBI")</f>
        <v>NCBI</v>
      </c>
      <c r="F1004">
        <v>1.9E-3</v>
      </c>
      <c r="G1004">
        <v>3.2000000000000001E-2</v>
      </c>
      <c r="H1004" s="1" t="str">
        <f>HYPERLINK("http://www.weizmann.ac.il/complex/compphys/software/geview/data/figures/219068_x_at.png","Figure")</f>
        <v>Figure</v>
      </c>
      <c r="I1004">
        <v>1.51</v>
      </c>
      <c r="J1004">
        <v>1.5E-3</v>
      </c>
      <c r="K1004">
        <v>1.27</v>
      </c>
      <c r="L1004">
        <v>2.5000000000000001E-2</v>
      </c>
      <c r="M1004">
        <v>0.84299999999999997</v>
      </c>
      <c r="N1004">
        <v>0.15</v>
      </c>
    </row>
    <row r="1005" spans="1:14" x14ac:dyDescent="0.25">
      <c r="A1005" t="s">
        <v>1875</v>
      </c>
      <c r="B1005" t="s">
        <v>1876</v>
      </c>
      <c r="C1005" s="1" t="str">
        <f>HYPERLINK("http://www.genecards.org/cgi-bin/carddisp.pl?gene=CPNE7","GeneCards")</f>
        <v>GeneCards</v>
      </c>
      <c r="D1005" s="1" t="str">
        <f>HYPERLINK("http://genome-euro.ucsc.edu/cgi-bin/hgTracks?position=219707_at","UCSC")</f>
        <v>UCSC</v>
      </c>
      <c r="E1005" s="1" t="str">
        <f>HYPERLINK("http://www.ncbi.nlm.nih.gov/gene/?term=CPNE7","NCBI")</f>
        <v>NCBI</v>
      </c>
      <c r="F1005">
        <v>1.9E-3</v>
      </c>
      <c r="G1005">
        <v>3.2000000000000001E-2</v>
      </c>
      <c r="H1005" s="1" t="str">
        <f>HYPERLINK("http://www.weizmann.ac.il/complex/compphys/software/geview/data/figures/219707_at.png","Figure")</f>
        <v>Figure</v>
      </c>
      <c r="I1005">
        <v>1.54</v>
      </c>
      <c r="J1005">
        <v>3.3E-3</v>
      </c>
      <c r="K1005">
        <v>1.43</v>
      </c>
      <c r="L1005">
        <v>5.1000000000000004E-3</v>
      </c>
      <c r="M1005">
        <v>0.92500000000000004</v>
      </c>
      <c r="N1005">
        <v>0.72</v>
      </c>
    </row>
    <row r="1006" spans="1:14" x14ac:dyDescent="0.25">
      <c r="A1006" t="s">
        <v>1877</v>
      </c>
      <c r="B1006" t="s">
        <v>1095</v>
      </c>
      <c r="C1006" s="1" t="str">
        <f>HYPERLINK("http://www.genecards.org/cgi-bin/carddisp.pl?gene=PAPOLA","GeneCards")</f>
        <v>GeneCards</v>
      </c>
      <c r="D1006" s="1" t="str">
        <f>HYPERLINK("http://genome-euro.ucsc.edu/cgi-bin/hgTracks?position=222035_s_at","UCSC")</f>
        <v>UCSC</v>
      </c>
      <c r="E1006" s="1" t="str">
        <f>HYPERLINK("http://www.ncbi.nlm.nih.gov/gene/?term=PAPOLA","NCBI")</f>
        <v>NCBI</v>
      </c>
      <c r="F1006">
        <v>1.9E-3</v>
      </c>
      <c r="G1006">
        <v>3.2000000000000001E-2</v>
      </c>
      <c r="H1006" s="1" t="str">
        <f>HYPERLINK("http://www.weizmann.ac.il/complex/compphys/software/geview/data/figures/222035_s_at.png","Figure")</f>
        <v>Figure</v>
      </c>
      <c r="I1006">
        <v>0.66400000000000003</v>
      </c>
      <c r="J1006">
        <v>0.15</v>
      </c>
      <c r="K1006">
        <v>0.44500000000000001</v>
      </c>
      <c r="L1006">
        <v>1.4E-3</v>
      </c>
      <c r="M1006">
        <v>0.67</v>
      </c>
      <c r="N1006">
        <v>0.12</v>
      </c>
    </row>
    <row r="1007" spans="1:14" x14ac:dyDescent="0.25">
      <c r="A1007" t="s">
        <v>1878</v>
      </c>
      <c r="B1007" t="s">
        <v>1879</v>
      </c>
      <c r="C1007" s="1" t="str">
        <f>HYPERLINK("http://www.genecards.org/cgi-bin/carddisp.pl?gene=TIMELESS","GeneCards")</f>
        <v>GeneCards</v>
      </c>
      <c r="D1007" s="1" t="str">
        <f>HYPERLINK("http://genome-euro.ucsc.edu/cgi-bin/hgTracks?position=215455_at","UCSC")</f>
        <v>UCSC</v>
      </c>
      <c r="E1007" s="1" t="str">
        <f>HYPERLINK("http://www.ncbi.nlm.nih.gov/gene/?term=TIMELESS","NCBI")</f>
        <v>NCBI</v>
      </c>
      <c r="F1007">
        <v>1.9E-3</v>
      </c>
      <c r="G1007">
        <v>3.2000000000000001E-2</v>
      </c>
      <c r="H1007" s="1" t="str">
        <f>HYPERLINK("http://www.weizmann.ac.il/complex/compphys/software/geview/data/figures/215455_at.png","Figure")</f>
        <v>Figure</v>
      </c>
      <c r="I1007">
        <v>1.21</v>
      </c>
      <c r="J1007">
        <v>1.2E-2</v>
      </c>
      <c r="K1007">
        <v>0.95699999999999996</v>
      </c>
      <c r="L1007">
        <v>0.65</v>
      </c>
      <c r="M1007">
        <v>0.79300000000000004</v>
      </c>
      <c r="N1007">
        <v>1.6000000000000001E-3</v>
      </c>
    </row>
    <row r="1008" spans="1:14" x14ac:dyDescent="0.25">
      <c r="A1008" t="s">
        <v>1880</v>
      </c>
      <c r="B1008" t="s">
        <v>1881</v>
      </c>
      <c r="C1008" s="1" t="str">
        <f>HYPERLINK("http://www.genecards.org/cgi-bin/carddisp.pl?gene=CDC25B","GeneCards")</f>
        <v>GeneCards</v>
      </c>
      <c r="D1008" s="1" t="str">
        <f>HYPERLINK("http://genome-euro.ucsc.edu/cgi-bin/hgTracks?position=201853_s_at","UCSC")</f>
        <v>UCSC</v>
      </c>
      <c r="E1008" s="1" t="str">
        <f>HYPERLINK("http://www.ncbi.nlm.nih.gov/gene/?term=CDC25B","NCBI")</f>
        <v>NCBI</v>
      </c>
      <c r="F1008">
        <v>1.9E-3</v>
      </c>
      <c r="G1008">
        <v>3.2000000000000001E-2</v>
      </c>
      <c r="H1008" s="1" t="str">
        <f>HYPERLINK("http://www.weizmann.ac.il/complex/compphys/software/geview/data/figures/201853_s_at.png","Figure")</f>
        <v>Figure</v>
      </c>
      <c r="I1008">
        <v>1.74</v>
      </c>
      <c r="J1008">
        <v>1.6999999999999999E-3</v>
      </c>
      <c r="K1008">
        <v>1.41</v>
      </c>
      <c r="L1008">
        <v>1.7999999999999999E-2</v>
      </c>
      <c r="M1008">
        <v>0.81399999999999995</v>
      </c>
      <c r="N1008">
        <v>0.21</v>
      </c>
    </row>
    <row r="1009" spans="1:14" x14ac:dyDescent="0.25">
      <c r="A1009" t="s">
        <v>1882</v>
      </c>
      <c r="B1009" t="s">
        <v>1883</v>
      </c>
      <c r="C1009" s="1" t="str">
        <f>HYPERLINK("http://www.genecards.org/cgi-bin/carddisp.pl?gene=HBEGF","GeneCards")</f>
        <v>GeneCards</v>
      </c>
      <c r="D1009" s="1" t="str">
        <f>HYPERLINK("http://genome-euro.ucsc.edu/cgi-bin/hgTracks?position=38037_at","UCSC")</f>
        <v>UCSC</v>
      </c>
      <c r="E1009" s="1" t="str">
        <f>HYPERLINK("http://www.ncbi.nlm.nih.gov/gene/?term=HBEGF","NCBI")</f>
        <v>NCBI</v>
      </c>
      <c r="F1009">
        <v>1.9E-3</v>
      </c>
      <c r="G1009">
        <v>3.2000000000000001E-2</v>
      </c>
      <c r="H1009" s="1" t="str">
        <f>HYPERLINK("http://www.weizmann.ac.il/complex/compphys/software/geview/data/figures/38037_at.png","Figure")</f>
        <v>Figure</v>
      </c>
      <c r="I1009">
        <v>0.29199999999999998</v>
      </c>
      <c r="J1009">
        <v>1.6999999999999999E-3</v>
      </c>
      <c r="K1009">
        <v>0.72</v>
      </c>
      <c r="L1009">
        <v>0.39</v>
      </c>
      <c r="M1009">
        <v>2.4700000000000002</v>
      </c>
      <c r="N1009">
        <v>0.01</v>
      </c>
    </row>
    <row r="1010" spans="1:14" x14ac:dyDescent="0.25">
      <c r="A1010" t="s">
        <v>1884</v>
      </c>
      <c r="B1010" t="s">
        <v>1885</v>
      </c>
      <c r="C1010" s="1" t="str">
        <f>HYPERLINK("http://www.genecards.org/cgi-bin/carddisp.pl?gene=GNA11","GeneCards")</f>
        <v>GeneCards</v>
      </c>
      <c r="D1010" s="1" t="str">
        <f>HYPERLINK("http://genome-euro.ucsc.edu/cgi-bin/hgTracks?position=40562_at","UCSC")</f>
        <v>UCSC</v>
      </c>
      <c r="E1010" s="1" t="str">
        <f>HYPERLINK("http://www.ncbi.nlm.nih.gov/gene/?term=GNA11","NCBI")</f>
        <v>NCBI</v>
      </c>
      <c r="F1010">
        <v>1.9E-3</v>
      </c>
      <c r="G1010">
        <v>3.2000000000000001E-2</v>
      </c>
      <c r="H1010" s="1" t="str">
        <f>HYPERLINK("http://www.weizmann.ac.il/complex/compphys/software/geview/data/figures/40562_at.png","Figure")</f>
        <v>Figure</v>
      </c>
      <c r="I1010">
        <v>0.72299999999999998</v>
      </c>
      <c r="J1010">
        <v>1.2E-2</v>
      </c>
      <c r="K1010">
        <v>1.07</v>
      </c>
      <c r="L1010">
        <v>0.67</v>
      </c>
      <c r="M1010">
        <v>1.49</v>
      </c>
      <c r="N1010">
        <v>1.6000000000000001E-3</v>
      </c>
    </row>
    <row r="1011" spans="1:14" x14ac:dyDescent="0.25">
      <c r="A1011" t="s">
        <v>1886</v>
      </c>
      <c r="B1011" t="s">
        <v>1887</v>
      </c>
      <c r="C1011" s="1" t="str">
        <f>HYPERLINK("http://www.genecards.org/cgi-bin/carddisp.pl?gene=IMMT","GeneCards")</f>
        <v>GeneCards</v>
      </c>
      <c r="D1011" s="1" t="str">
        <f>HYPERLINK("http://genome-euro.ucsc.edu/cgi-bin/hgTracks?position=200955_at","UCSC")</f>
        <v>UCSC</v>
      </c>
      <c r="E1011" s="1" t="str">
        <f>HYPERLINK("http://www.ncbi.nlm.nih.gov/gene/?term=IMMT","NCBI")</f>
        <v>NCBI</v>
      </c>
      <c r="F1011">
        <v>1.9E-3</v>
      </c>
      <c r="G1011">
        <v>3.2000000000000001E-2</v>
      </c>
      <c r="H1011" s="1" t="str">
        <f>HYPERLINK("http://www.weizmann.ac.il/complex/compphys/software/geview/data/figures/200955_at.png","Figure")</f>
        <v>Figure</v>
      </c>
      <c r="I1011">
        <v>1.4</v>
      </c>
      <c r="J1011">
        <v>0.04</v>
      </c>
      <c r="K1011">
        <v>1.63</v>
      </c>
      <c r="L1011">
        <v>1.4E-3</v>
      </c>
      <c r="M1011">
        <v>1.1599999999999999</v>
      </c>
      <c r="N1011">
        <v>0.42</v>
      </c>
    </row>
    <row r="1012" spans="1:14" x14ac:dyDescent="0.25">
      <c r="A1012" t="s">
        <v>1888</v>
      </c>
      <c r="B1012" t="s">
        <v>1889</v>
      </c>
      <c r="C1012" s="1" t="str">
        <f>HYPERLINK("http://www.genecards.org/cgi-bin/carddisp.pl?gene=LTBP2","GeneCards")</f>
        <v>GeneCards</v>
      </c>
      <c r="D1012" s="1" t="str">
        <f>HYPERLINK("http://genome-euro.ucsc.edu/cgi-bin/hgTracks?position=204682_at","UCSC")</f>
        <v>UCSC</v>
      </c>
      <c r="E1012" s="1" t="str">
        <f>HYPERLINK("http://www.ncbi.nlm.nih.gov/gene/?term=LTBP2","NCBI")</f>
        <v>NCBI</v>
      </c>
      <c r="F1012">
        <v>1.9E-3</v>
      </c>
      <c r="G1012">
        <v>3.2000000000000001E-2</v>
      </c>
      <c r="H1012" s="1" t="str">
        <f>HYPERLINK("http://www.weizmann.ac.il/complex/compphys/software/geview/data/figures/204682_at.png","Figure")</f>
        <v>Figure</v>
      </c>
      <c r="I1012">
        <v>1.62</v>
      </c>
      <c r="J1012">
        <v>2.7000000000000001E-3</v>
      </c>
      <c r="K1012">
        <v>1.45</v>
      </c>
      <c r="L1012">
        <v>6.8999999999999999E-3</v>
      </c>
      <c r="M1012">
        <v>0.89300000000000002</v>
      </c>
      <c r="N1012">
        <v>0.56000000000000005</v>
      </c>
    </row>
    <row r="1013" spans="1:14" x14ac:dyDescent="0.25">
      <c r="A1013" t="s">
        <v>1890</v>
      </c>
      <c r="B1013" t="s">
        <v>1891</v>
      </c>
      <c r="C1013" s="1" t="str">
        <f>HYPERLINK("http://www.genecards.org/cgi-bin/carddisp.pl?gene=STIP1","GeneCards")</f>
        <v>GeneCards</v>
      </c>
      <c r="D1013" s="1" t="str">
        <f>HYPERLINK("http://genome-euro.ucsc.edu/cgi-bin/hgTracks?position=213330_s_at","UCSC")</f>
        <v>UCSC</v>
      </c>
      <c r="E1013" s="1" t="str">
        <f>HYPERLINK("http://www.ncbi.nlm.nih.gov/gene/?term=STIP1","NCBI")</f>
        <v>NCBI</v>
      </c>
      <c r="F1013">
        <v>1.9E-3</v>
      </c>
      <c r="G1013">
        <v>3.2000000000000001E-2</v>
      </c>
      <c r="H1013" s="1" t="str">
        <f>HYPERLINK("http://www.weizmann.ac.il/complex/compphys/software/geview/data/figures/213330_s_at.png","Figure")</f>
        <v>Figure</v>
      </c>
      <c r="I1013">
        <v>1.34</v>
      </c>
      <c r="J1013">
        <v>2.1999999999999999E-2</v>
      </c>
      <c r="K1013">
        <v>1.45</v>
      </c>
      <c r="L1013">
        <v>1.6000000000000001E-3</v>
      </c>
      <c r="M1013">
        <v>1.08</v>
      </c>
      <c r="N1013">
        <v>0.65</v>
      </c>
    </row>
    <row r="1014" spans="1:14" x14ac:dyDescent="0.25">
      <c r="A1014" t="s">
        <v>1892</v>
      </c>
      <c r="B1014" t="s">
        <v>1893</v>
      </c>
      <c r="C1014" s="1" t="str">
        <f>HYPERLINK("http://www.genecards.org/cgi-bin/carddisp.pl?gene=TUBB3","GeneCards")</f>
        <v>GeneCards</v>
      </c>
      <c r="D1014" s="1" t="str">
        <f>HYPERLINK("http://genome-euro.ucsc.edu/cgi-bin/hgTracks?position=213476_x_at","UCSC")</f>
        <v>UCSC</v>
      </c>
      <c r="E1014" s="1" t="str">
        <f>HYPERLINK("http://www.ncbi.nlm.nih.gov/gene/?term=TUBB3","NCBI")</f>
        <v>NCBI</v>
      </c>
      <c r="F1014">
        <v>1.9E-3</v>
      </c>
      <c r="G1014">
        <v>3.2000000000000001E-2</v>
      </c>
      <c r="H1014" s="1" t="str">
        <f>HYPERLINK("http://www.weizmann.ac.il/complex/compphys/software/geview/data/figures/213476_x_at.png","Figure")</f>
        <v>Figure</v>
      </c>
      <c r="I1014">
        <v>2.13</v>
      </c>
      <c r="J1014">
        <v>4.8999999999999998E-3</v>
      </c>
      <c r="K1014">
        <v>2</v>
      </c>
      <c r="L1014">
        <v>3.5000000000000001E-3</v>
      </c>
      <c r="M1014">
        <v>0.93700000000000006</v>
      </c>
      <c r="N1014">
        <v>0.93</v>
      </c>
    </row>
    <row r="1015" spans="1:14" x14ac:dyDescent="0.25">
      <c r="A1015" t="s">
        <v>1894</v>
      </c>
      <c r="B1015" t="s">
        <v>1895</v>
      </c>
      <c r="C1015" s="1" t="str">
        <f>HYPERLINK("http://www.genecards.org/cgi-bin/carddisp.pl?gene=ECHDC2","GeneCards")</f>
        <v>GeneCards</v>
      </c>
      <c r="D1015" s="1" t="str">
        <f>HYPERLINK("http://genome-euro.ucsc.edu/cgi-bin/hgTracks?position=218552_at","UCSC")</f>
        <v>UCSC</v>
      </c>
      <c r="E1015" s="1" t="str">
        <f>HYPERLINK("http://www.ncbi.nlm.nih.gov/gene/?term=ECHDC2","NCBI")</f>
        <v>NCBI</v>
      </c>
      <c r="F1015">
        <v>1.9E-3</v>
      </c>
      <c r="G1015">
        <v>3.2000000000000001E-2</v>
      </c>
      <c r="H1015" s="1" t="str">
        <f>HYPERLINK("http://www.weizmann.ac.il/complex/compphys/software/geview/data/figures/218552_at.png","Figure")</f>
        <v>Figure</v>
      </c>
      <c r="I1015">
        <v>2.46</v>
      </c>
      <c r="J1015">
        <v>2E-3</v>
      </c>
      <c r="K1015">
        <v>1.84</v>
      </c>
      <c r="L1015">
        <v>1.2E-2</v>
      </c>
      <c r="M1015">
        <v>0.747</v>
      </c>
      <c r="N1015">
        <v>0.31</v>
      </c>
    </row>
    <row r="1016" spans="1:14" x14ac:dyDescent="0.25">
      <c r="A1016" t="s">
        <v>1896</v>
      </c>
      <c r="B1016" t="s">
        <v>1897</v>
      </c>
      <c r="C1016" s="1" t="str">
        <f>HYPERLINK("http://www.genecards.org/cgi-bin/carddisp.pl?gene=CCDC51","GeneCards")</f>
        <v>GeneCards</v>
      </c>
      <c r="D1016" s="1" t="str">
        <f>HYPERLINK("http://genome-euro.ucsc.edu/cgi-bin/hgTracks?position=218722_s_at","UCSC")</f>
        <v>UCSC</v>
      </c>
      <c r="E1016" s="1" t="str">
        <f>HYPERLINK("http://www.ncbi.nlm.nih.gov/gene/?term=CCDC51","NCBI")</f>
        <v>NCBI</v>
      </c>
      <c r="F1016">
        <v>1.9E-3</v>
      </c>
      <c r="G1016">
        <v>3.2000000000000001E-2</v>
      </c>
      <c r="H1016" s="1" t="str">
        <f>HYPERLINK("http://www.weizmann.ac.il/complex/compphys/software/geview/data/figures/218722_s_at.png","Figure")</f>
        <v>Figure</v>
      </c>
      <c r="I1016">
        <v>1.1499999999999999</v>
      </c>
      <c r="J1016">
        <v>0.15</v>
      </c>
      <c r="K1016">
        <v>1.33</v>
      </c>
      <c r="L1016">
        <v>1.4E-3</v>
      </c>
      <c r="M1016">
        <v>1.1499999999999999</v>
      </c>
      <c r="N1016">
        <v>0.12</v>
      </c>
    </row>
    <row r="1017" spans="1:14" x14ac:dyDescent="0.25">
      <c r="A1017" t="s">
        <v>1898</v>
      </c>
      <c r="B1017" t="s">
        <v>1899</v>
      </c>
      <c r="C1017" s="1" t="str">
        <f>HYPERLINK("http://www.genecards.org/cgi-bin/carddisp.pl?gene=LRRFIP2","GeneCards")</f>
        <v>GeneCards</v>
      </c>
      <c r="D1017" s="1" t="str">
        <f>HYPERLINK("http://genome-euro.ucsc.edu/cgi-bin/hgTracks?position=220610_s_at","UCSC")</f>
        <v>UCSC</v>
      </c>
      <c r="E1017" s="1" t="str">
        <f>HYPERLINK("http://www.ncbi.nlm.nih.gov/gene/?term=LRRFIP2","NCBI")</f>
        <v>NCBI</v>
      </c>
      <c r="F1017">
        <v>1.9E-3</v>
      </c>
      <c r="G1017">
        <v>3.2000000000000001E-2</v>
      </c>
      <c r="H1017" s="1" t="str">
        <f>HYPERLINK("http://www.weizmann.ac.il/complex/compphys/software/geview/data/figures/220610_s_at.png","Figure")</f>
        <v>Figure</v>
      </c>
      <c r="I1017">
        <v>1.59</v>
      </c>
      <c r="J1017">
        <v>1.8E-3</v>
      </c>
      <c r="K1017">
        <v>1.35</v>
      </c>
      <c r="L1017">
        <v>1.4999999999999999E-2</v>
      </c>
      <c r="M1017">
        <v>0.84899999999999998</v>
      </c>
      <c r="N1017">
        <v>0.25</v>
      </c>
    </row>
    <row r="1018" spans="1:14" x14ac:dyDescent="0.25">
      <c r="A1018" t="s">
        <v>1900</v>
      </c>
      <c r="B1018" t="s">
        <v>1901</v>
      </c>
      <c r="C1018" s="1" t="str">
        <f>HYPERLINK("http://www.genecards.org/cgi-bin/carddisp.pl?gene=RMND5B","GeneCards")</f>
        <v>GeneCards</v>
      </c>
      <c r="D1018" s="1" t="str">
        <f>HYPERLINK("http://genome-euro.ucsc.edu/cgi-bin/hgTracks?position=218262_at","UCSC")</f>
        <v>UCSC</v>
      </c>
      <c r="E1018" s="1" t="str">
        <f>HYPERLINK("http://www.ncbi.nlm.nih.gov/gene/?term=RMND5B","NCBI")</f>
        <v>NCBI</v>
      </c>
      <c r="F1018">
        <v>1.9E-3</v>
      </c>
      <c r="G1018">
        <v>3.2000000000000001E-2</v>
      </c>
      <c r="H1018" s="1" t="str">
        <f>HYPERLINK("http://www.weizmann.ac.il/complex/compphys/software/geview/data/figures/218262_at.png","Figure")</f>
        <v>Figure</v>
      </c>
      <c r="I1018">
        <v>1.31</v>
      </c>
      <c r="J1018">
        <v>1.4E-2</v>
      </c>
      <c r="K1018">
        <v>1.37</v>
      </c>
      <c r="L1018">
        <v>1.9E-3</v>
      </c>
      <c r="M1018">
        <v>1.04</v>
      </c>
      <c r="N1018">
        <v>0.85</v>
      </c>
    </row>
    <row r="1019" spans="1:14" x14ac:dyDescent="0.25">
      <c r="A1019" t="s">
        <v>1902</v>
      </c>
      <c r="B1019" t="s">
        <v>1903</v>
      </c>
      <c r="C1019" s="1" t="str">
        <f>HYPERLINK("http://www.genecards.org/cgi-bin/carddisp.pl?gene=CNTLN","GeneCards")</f>
        <v>GeneCards</v>
      </c>
      <c r="D1019" s="1" t="str">
        <f>HYPERLINK("http://genome-euro.ucsc.edu/cgi-bin/hgTracks?position=220095_at","UCSC")</f>
        <v>UCSC</v>
      </c>
      <c r="E1019" s="1" t="str">
        <f>HYPERLINK("http://www.ncbi.nlm.nih.gov/gene/?term=CNTLN","NCBI")</f>
        <v>NCBI</v>
      </c>
      <c r="F1019">
        <v>1.9E-3</v>
      </c>
      <c r="G1019">
        <v>3.2000000000000001E-2</v>
      </c>
      <c r="H1019" s="1" t="str">
        <f>HYPERLINK("http://www.weizmann.ac.il/complex/compphys/software/geview/data/figures/220095_at.png","Figure")</f>
        <v>Figure</v>
      </c>
      <c r="I1019">
        <v>0.81100000000000005</v>
      </c>
      <c r="J1019">
        <v>4.4999999999999997E-3</v>
      </c>
      <c r="K1019">
        <v>1</v>
      </c>
      <c r="L1019">
        <v>1</v>
      </c>
      <c r="M1019">
        <v>1.23</v>
      </c>
      <c r="N1019">
        <v>2.7000000000000001E-3</v>
      </c>
    </row>
    <row r="1020" spans="1:14" x14ac:dyDescent="0.25">
      <c r="A1020" t="s">
        <v>1904</v>
      </c>
      <c r="B1020" t="s">
        <v>1849</v>
      </c>
      <c r="C1020" s="1" t="str">
        <f>HYPERLINK("http://www.genecards.org/cgi-bin/carddisp.pl?gene=SLC38A2","GeneCards")</f>
        <v>GeneCards</v>
      </c>
      <c r="D1020" s="1" t="str">
        <f>HYPERLINK("http://genome-euro.ucsc.edu/cgi-bin/hgTracks?position=220924_s_at","UCSC")</f>
        <v>UCSC</v>
      </c>
      <c r="E1020" s="1" t="str">
        <f>HYPERLINK("http://www.ncbi.nlm.nih.gov/gene/?term=SLC38A2","NCBI")</f>
        <v>NCBI</v>
      </c>
      <c r="F1020">
        <v>1.9E-3</v>
      </c>
      <c r="G1020">
        <v>3.2000000000000001E-2</v>
      </c>
      <c r="H1020" s="1" t="str">
        <f>HYPERLINK("http://www.weizmann.ac.il/complex/compphys/software/geview/data/figures/220924_s_at.png","Figure")</f>
        <v>Figure</v>
      </c>
      <c r="I1020">
        <v>0.46899999999999997</v>
      </c>
      <c r="J1020">
        <v>5.0000000000000001E-3</v>
      </c>
      <c r="K1020">
        <v>0.5</v>
      </c>
      <c r="L1020">
        <v>3.5000000000000001E-3</v>
      </c>
      <c r="M1020">
        <v>1.06</v>
      </c>
      <c r="N1020">
        <v>0.94</v>
      </c>
    </row>
    <row r="1021" spans="1:14" x14ac:dyDescent="0.25">
      <c r="A1021" t="s">
        <v>1905</v>
      </c>
      <c r="B1021" t="s">
        <v>1906</v>
      </c>
      <c r="C1021" s="1" t="str">
        <f>HYPERLINK("http://www.genecards.org/cgi-bin/carddisp.pl?gene=PTMA","GeneCards")</f>
        <v>GeneCards</v>
      </c>
      <c r="D1021" s="1" t="str">
        <f>HYPERLINK("http://genome-euro.ucsc.edu/cgi-bin/hgTracks?position=200772_x_at","UCSC")</f>
        <v>UCSC</v>
      </c>
      <c r="E1021" s="1" t="str">
        <f>HYPERLINK("http://www.ncbi.nlm.nih.gov/gene/?term=PTMA","NCBI")</f>
        <v>NCBI</v>
      </c>
      <c r="F1021">
        <v>1.9E-3</v>
      </c>
      <c r="G1021">
        <v>3.2000000000000001E-2</v>
      </c>
      <c r="H1021" s="1" t="str">
        <f>HYPERLINK("http://www.weizmann.ac.il/complex/compphys/software/geview/data/figures/200772_x_at.png","Figure")</f>
        <v>Figure</v>
      </c>
      <c r="I1021">
        <v>1.37</v>
      </c>
      <c r="J1021">
        <v>2.8000000000000001E-2</v>
      </c>
      <c r="K1021">
        <v>1.52</v>
      </c>
      <c r="L1021">
        <v>1.6000000000000001E-3</v>
      </c>
      <c r="M1021">
        <v>1.1100000000000001</v>
      </c>
      <c r="N1021">
        <v>0.56000000000000005</v>
      </c>
    </row>
    <row r="1022" spans="1:14" x14ac:dyDescent="0.25">
      <c r="A1022" t="s">
        <v>1907</v>
      </c>
      <c r="B1022" t="s">
        <v>697</v>
      </c>
      <c r="C1022" s="1" t="str">
        <f>HYPERLINK("http://www.genecards.org/cgi-bin/carddisp.pl?gene=EIF1AX","GeneCards")</f>
        <v>GeneCards</v>
      </c>
      <c r="D1022" s="1" t="str">
        <f>HYPERLINK("http://genome-euro.ucsc.edu/cgi-bin/hgTracks?position=201016_at","UCSC")</f>
        <v>UCSC</v>
      </c>
      <c r="E1022" s="1" t="str">
        <f>HYPERLINK("http://www.ncbi.nlm.nih.gov/gene/?term=EIF1AX","NCBI")</f>
        <v>NCBI</v>
      </c>
      <c r="F1022">
        <v>1.9E-3</v>
      </c>
      <c r="G1022">
        <v>3.2000000000000001E-2</v>
      </c>
      <c r="H1022" s="1" t="str">
        <f>HYPERLINK("http://www.weizmann.ac.il/complex/compphys/software/geview/data/figures/201016_at.png","Figure")</f>
        <v>Figure</v>
      </c>
      <c r="I1022">
        <v>0.51200000000000001</v>
      </c>
      <c r="J1022">
        <v>5.5999999999999999E-3</v>
      </c>
      <c r="K1022">
        <v>1.04</v>
      </c>
      <c r="L1022">
        <v>0.97</v>
      </c>
      <c r="M1022">
        <v>2.02</v>
      </c>
      <c r="N1022">
        <v>2.3E-3</v>
      </c>
    </row>
    <row r="1023" spans="1:14" x14ac:dyDescent="0.25">
      <c r="A1023" t="s">
        <v>1908</v>
      </c>
      <c r="B1023" t="s">
        <v>1909</v>
      </c>
      <c r="C1023" s="1" t="str">
        <f>HYPERLINK("http://www.genecards.org/cgi-bin/carddisp.pl?gene=EMP2","GeneCards")</f>
        <v>GeneCards</v>
      </c>
      <c r="D1023" s="1" t="str">
        <f>HYPERLINK("http://genome-euro.ucsc.edu/cgi-bin/hgTracks?position=204975_at","UCSC")</f>
        <v>UCSC</v>
      </c>
      <c r="E1023" s="1" t="str">
        <f>HYPERLINK("http://www.ncbi.nlm.nih.gov/gene/?term=EMP2","NCBI")</f>
        <v>NCBI</v>
      </c>
      <c r="F1023">
        <v>2E-3</v>
      </c>
      <c r="G1023">
        <v>3.3000000000000002E-2</v>
      </c>
      <c r="H1023" s="1" t="str">
        <f>HYPERLINK("http://www.weizmann.ac.il/complex/compphys/software/geview/data/figures/204975_at.png","Figure")</f>
        <v>Figure</v>
      </c>
      <c r="I1023">
        <v>1.66</v>
      </c>
      <c r="J1023">
        <v>1.4E-3</v>
      </c>
      <c r="K1023">
        <v>1.27</v>
      </c>
      <c r="L1023">
        <v>6.5000000000000002E-2</v>
      </c>
      <c r="M1023">
        <v>0.76700000000000002</v>
      </c>
      <c r="N1023">
        <v>5.8000000000000003E-2</v>
      </c>
    </row>
    <row r="1024" spans="1:14" x14ac:dyDescent="0.25">
      <c r="A1024" t="s">
        <v>1910</v>
      </c>
      <c r="B1024" t="s">
        <v>1911</v>
      </c>
      <c r="C1024" s="1" t="str">
        <f>HYPERLINK("http://www.genecards.org/cgi-bin/carddisp.pl?gene=PPM1F","GeneCards")</f>
        <v>GeneCards</v>
      </c>
      <c r="D1024" s="1" t="str">
        <f>HYPERLINK("http://genome-euro.ucsc.edu/cgi-bin/hgTracks?position=37384_at","UCSC")</f>
        <v>UCSC</v>
      </c>
      <c r="E1024" s="1" t="str">
        <f>HYPERLINK("http://www.ncbi.nlm.nih.gov/gene/?term=PPM1F","NCBI")</f>
        <v>NCBI</v>
      </c>
      <c r="F1024">
        <v>2E-3</v>
      </c>
      <c r="G1024">
        <v>3.3000000000000002E-2</v>
      </c>
      <c r="H1024" s="1" t="str">
        <f>HYPERLINK("http://www.weizmann.ac.il/complex/compphys/software/geview/data/figures/37384_at.png","Figure")</f>
        <v>Figure</v>
      </c>
      <c r="I1024">
        <v>0.51</v>
      </c>
      <c r="J1024">
        <v>1.4E-2</v>
      </c>
      <c r="K1024">
        <v>1.2</v>
      </c>
      <c r="L1024">
        <v>0.57999999999999996</v>
      </c>
      <c r="M1024">
        <v>2.35</v>
      </c>
      <c r="N1024">
        <v>1.6000000000000001E-3</v>
      </c>
    </row>
    <row r="1025" spans="1:14" x14ac:dyDescent="0.25">
      <c r="A1025" t="s">
        <v>1912</v>
      </c>
      <c r="B1025" t="s">
        <v>1913</v>
      </c>
      <c r="C1025" s="1" t="str">
        <f>HYPERLINK("http://www.genecards.org/cgi-bin/carddisp.pl?gene=ST6GALNAC4","GeneCards")</f>
        <v>GeneCards</v>
      </c>
      <c r="D1025" s="1" t="str">
        <f>HYPERLINK("http://genome-euro.ucsc.edu/cgi-bin/hgTracks?position=221551_x_at","UCSC")</f>
        <v>UCSC</v>
      </c>
      <c r="E1025" s="1" t="str">
        <f>HYPERLINK("http://www.ncbi.nlm.nih.gov/gene/?term=ST6GALNAC4","NCBI")</f>
        <v>NCBI</v>
      </c>
      <c r="F1025">
        <v>2E-3</v>
      </c>
      <c r="G1025">
        <v>3.3000000000000002E-2</v>
      </c>
      <c r="H1025" s="1" t="str">
        <f>HYPERLINK("http://www.weizmann.ac.il/complex/compphys/software/geview/data/figures/221551_x_at.png","Figure")</f>
        <v>Figure</v>
      </c>
      <c r="I1025">
        <v>1.24</v>
      </c>
      <c r="J1025">
        <v>5.3E-3</v>
      </c>
      <c r="K1025">
        <v>1.22</v>
      </c>
      <c r="L1025">
        <v>3.3999999999999998E-3</v>
      </c>
      <c r="M1025">
        <v>0.98399999999999999</v>
      </c>
      <c r="N1025">
        <v>0.95</v>
      </c>
    </row>
    <row r="1026" spans="1:14" x14ac:dyDescent="0.25">
      <c r="A1026" t="s">
        <v>1914</v>
      </c>
      <c r="B1026" t="s">
        <v>1911</v>
      </c>
      <c r="C1026" s="1" t="str">
        <f>HYPERLINK("http://www.genecards.org/cgi-bin/carddisp.pl?gene=PPM1F","GeneCards")</f>
        <v>GeneCards</v>
      </c>
      <c r="D1026" s="1" t="str">
        <f>HYPERLINK("http://genome-euro.ucsc.edu/cgi-bin/hgTracks?position=203063_at","UCSC")</f>
        <v>UCSC</v>
      </c>
      <c r="E1026" s="1" t="str">
        <f>HYPERLINK("http://www.ncbi.nlm.nih.gov/gene/?term=PPM1F","NCBI")</f>
        <v>NCBI</v>
      </c>
      <c r="F1026">
        <v>2E-3</v>
      </c>
      <c r="G1026">
        <v>3.3000000000000002E-2</v>
      </c>
      <c r="H1026" s="1" t="str">
        <f>HYPERLINK("http://www.weizmann.ac.il/complex/compphys/software/geview/data/figures/203063_at.png","Figure")</f>
        <v>Figure</v>
      </c>
      <c r="I1026">
        <v>0.53100000000000003</v>
      </c>
      <c r="J1026">
        <v>1.2999999999999999E-2</v>
      </c>
      <c r="K1026">
        <v>1.17</v>
      </c>
      <c r="L1026">
        <v>0.62</v>
      </c>
      <c r="M1026">
        <v>2.2000000000000002</v>
      </c>
      <c r="N1026">
        <v>1.6000000000000001E-3</v>
      </c>
    </row>
    <row r="1027" spans="1:14" x14ac:dyDescent="0.25">
      <c r="A1027" t="s">
        <v>1915</v>
      </c>
      <c r="B1027" t="s">
        <v>1916</v>
      </c>
      <c r="C1027" s="1" t="str">
        <f>HYPERLINK("http://www.genecards.org/cgi-bin/carddisp.pl?gene=S100A13","GeneCards")</f>
        <v>GeneCards</v>
      </c>
      <c r="D1027" s="1" t="str">
        <f>HYPERLINK("http://genome-euro.ucsc.edu/cgi-bin/hgTracks?position=202598_at","UCSC")</f>
        <v>UCSC</v>
      </c>
      <c r="E1027" s="1" t="str">
        <f>HYPERLINK("http://www.ncbi.nlm.nih.gov/gene/?term=S100A13","NCBI")</f>
        <v>NCBI</v>
      </c>
      <c r="F1027">
        <v>2E-3</v>
      </c>
      <c r="G1027">
        <v>3.3000000000000002E-2</v>
      </c>
      <c r="H1027" s="1" t="str">
        <f>HYPERLINK("http://www.weizmann.ac.il/complex/compphys/software/geview/data/figures/202598_at.png","Figure")</f>
        <v>Figure</v>
      </c>
      <c r="I1027">
        <v>0.64700000000000002</v>
      </c>
      <c r="J1027">
        <v>2.1999999999999999E-2</v>
      </c>
      <c r="K1027">
        <v>1.18</v>
      </c>
      <c r="L1027">
        <v>0.4</v>
      </c>
      <c r="M1027">
        <v>1.82</v>
      </c>
      <c r="N1027">
        <v>1.5E-3</v>
      </c>
    </row>
    <row r="1028" spans="1:14" x14ac:dyDescent="0.25">
      <c r="A1028" t="s">
        <v>1917</v>
      </c>
      <c r="B1028" t="s">
        <v>1519</v>
      </c>
      <c r="C1028" s="1" t="str">
        <f>HYPERLINK("http://www.genecards.org/cgi-bin/carddisp.pl?gene=AIF1","GeneCards")</f>
        <v>GeneCards</v>
      </c>
      <c r="D1028" s="1" t="str">
        <f>HYPERLINK("http://genome-euro.ucsc.edu/cgi-bin/hgTracks?position=215051_x_at","UCSC")</f>
        <v>UCSC</v>
      </c>
      <c r="E1028" s="1" t="str">
        <f>HYPERLINK("http://www.ncbi.nlm.nih.gov/gene/?term=AIF1","NCBI")</f>
        <v>NCBI</v>
      </c>
      <c r="F1028">
        <v>2E-3</v>
      </c>
      <c r="G1028">
        <v>3.3000000000000002E-2</v>
      </c>
      <c r="H1028" s="1" t="str">
        <f>HYPERLINK("http://www.weizmann.ac.il/complex/compphys/software/geview/data/figures/215051_x_at.png","Figure")</f>
        <v>Figure</v>
      </c>
      <c r="I1028">
        <v>0.38800000000000001</v>
      </c>
      <c r="J1028">
        <v>6.3E-3</v>
      </c>
      <c r="K1028">
        <v>0.40200000000000002</v>
      </c>
      <c r="L1028">
        <v>3.0000000000000001E-3</v>
      </c>
      <c r="M1028">
        <v>1.04</v>
      </c>
      <c r="N1028">
        <v>0.99</v>
      </c>
    </row>
    <row r="1029" spans="1:14" x14ac:dyDescent="0.25">
      <c r="A1029" t="s">
        <v>1918</v>
      </c>
      <c r="B1029" t="s">
        <v>457</v>
      </c>
      <c r="C1029" s="1" t="str">
        <f>HYPERLINK("http://www.genecards.org/cgi-bin/carddisp.pl?gene=ATP5C1","GeneCards")</f>
        <v>GeneCards</v>
      </c>
      <c r="D1029" s="1" t="str">
        <f>HYPERLINK("http://genome-euro.ucsc.edu/cgi-bin/hgTracks?position=208870_x_at","UCSC")</f>
        <v>UCSC</v>
      </c>
      <c r="E1029" s="1" t="str">
        <f>HYPERLINK("http://www.ncbi.nlm.nih.gov/gene/?term=ATP5C1","NCBI")</f>
        <v>NCBI</v>
      </c>
      <c r="F1029">
        <v>2E-3</v>
      </c>
      <c r="G1029">
        <v>3.3000000000000002E-2</v>
      </c>
      <c r="H1029" s="1" t="str">
        <f>HYPERLINK("http://www.weizmann.ac.il/complex/compphys/software/geview/data/figures/208870_x_at.png","Figure")</f>
        <v>Figure</v>
      </c>
      <c r="I1029">
        <v>0.84899999999999998</v>
      </c>
      <c r="J1029">
        <v>0.53</v>
      </c>
      <c r="K1029">
        <v>1.52</v>
      </c>
      <c r="L1029">
        <v>1.6E-2</v>
      </c>
      <c r="M1029">
        <v>1.79</v>
      </c>
      <c r="N1029">
        <v>2.7000000000000001E-3</v>
      </c>
    </row>
    <row r="1030" spans="1:14" x14ac:dyDescent="0.25">
      <c r="A1030" t="s">
        <v>1919</v>
      </c>
      <c r="B1030" t="s">
        <v>1920</v>
      </c>
      <c r="C1030" s="1" t="str">
        <f>HYPERLINK("http://www.genecards.org/cgi-bin/carddisp.pl?gene=YPEL5","GeneCards")</f>
        <v>GeneCards</v>
      </c>
      <c r="D1030" s="1" t="str">
        <f>HYPERLINK("http://genome-euro.ucsc.edu/cgi-bin/hgTracks?position=217783_s_at","UCSC")</f>
        <v>UCSC</v>
      </c>
      <c r="E1030" s="1" t="str">
        <f>HYPERLINK("http://www.ncbi.nlm.nih.gov/gene/?term=YPEL5","NCBI")</f>
        <v>NCBI</v>
      </c>
      <c r="F1030">
        <v>2E-3</v>
      </c>
      <c r="G1030">
        <v>3.3000000000000002E-2</v>
      </c>
      <c r="H1030" s="1" t="str">
        <f>HYPERLINK("http://www.weizmann.ac.il/complex/compphys/software/geview/data/figures/217783_s_at.png","Figure")</f>
        <v>Figure</v>
      </c>
      <c r="I1030">
        <v>0.69499999999999995</v>
      </c>
      <c r="J1030">
        <v>0.22</v>
      </c>
      <c r="K1030">
        <v>0.44400000000000001</v>
      </c>
      <c r="L1030">
        <v>1.5E-3</v>
      </c>
      <c r="M1030">
        <v>0.63900000000000001</v>
      </c>
      <c r="N1030">
        <v>8.5999999999999993E-2</v>
      </c>
    </row>
    <row r="1031" spans="1:14" x14ac:dyDescent="0.25">
      <c r="A1031" t="s">
        <v>1921</v>
      </c>
      <c r="B1031" t="s">
        <v>1290</v>
      </c>
      <c r="C1031" s="1" t="str">
        <f>HYPERLINK("http://www.genecards.org/cgi-bin/carddisp.pl?gene=SF3B1","GeneCards")</f>
        <v>GeneCards</v>
      </c>
      <c r="D1031" s="1" t="str">
        <f>HYPERLINK("http://genome-euro.ucsc.edu/cgi-bin/hgTracks?position=201071_x_at","UCSC")</f>
        <v>UCSC</v>
      </c>
      <c r="E1031" s="1" t="str">
        <f>HYPERLINK("http://www.ncbi.nlm.nih.gov/gene/?term=SF3B1","NCBI")</f>
        <v>NCBI</v>
      </c>
      <c r="F1031">
        <v>2E-3</v>
      </c>
      <c r="G1031">
        <v>3.3000000000000002E-2</v>
      </c>
      <c r="H1031" s="1" t="str">
        <f>HYPERLINK("http://www.weizmann.ac.il/complex/compphys/software/geview/data/figures/201071_x_at.png","Figure")</f>
        <v>Figure</v>
      </c>
      <c r="I1031">
        <v>1.24</v>
      </c>
      <c r="J1031">
        <v>0.18</v>
      </c>
      <c r="K1031">
        <v>0.77100000000000002</v>
      </c>
      <c r="L1031">
        <v>5.3999999999999999E-2</v>
      </c>
      <c r="M1031">
        <v>0.62</v>
      </c>
      <c r="N1031">
        <v>1.6999999999999999E-3</v>
      </c>
    </row>
    <row r="1032" spans="1:14" x14ac:dyDescent="0.25">
      <c r="A1032" t="s">
        <v>1922</v>
      </c>
      <c r="B1032" t="s">
        <v>261</v>
      </c>
      <c r="C1032" s="1" t="str">
        <f>HYPERLINK("http://www.genecards.org/cgi-bin/carddisp.pl?gene=CD93","GeneCards")</f>
        <v>GeneCards</v>
      </c>
      <c r="D1032" s="1" t="str">
        <f>HYPERLINK("http://genome-euro.ucsc.edu/cgi-bin/hgTracks?position=202877_s_at","UCSC")</f>
        <v>UCSC</v>
      </c>
      <c r="E1032" s="1" t="str">
        <f>HYPERLINK("http://www.ncbi.nlm.nih.gov/gene/?term=CD93","NCBI")</f>
        <v>NCBI</v>
      </c>
      <c r="F1032">
        <v>2E-3</v>
      </c>
      <c r="G1032">
        <v>3.3000000000000002E-2</v>
      </c>
      <c r="H1032" s="1" t="str">
        <f>HYPERLINK("http://www.weizmann.ac.il/complex/compphys/software/geview/data/figures/202877_s_at.png","Figure")</f>
        <v>Figure</v>
      </c>
      <c r="I1032">
        <v>0.64200000000000002</v>
      </c>
      <c r="J1032">
        <v>1.5E-3</v>
      </c>
      <c r="K1032">
        <v>0.84799999999999998</v>
      </c>
      <c r="L1032">
        <v>0.17</v>
      </c>
      <c r="M1032">
        <v>1.32</v>
      </c>
      <c r="N1032">
        <v>2.3E-2</v>
      </c>
    </row>
    <row r="1033" spans="1:14" x14ac:dyDescent="0.25">
      <c r="A1033" t="s">
        <v>1923</v>
      </c>
      <c r="B1033" t="s">
        <v>1924</v>
      </c>
      <c r="C1033" s="1" t="str">
        <f>HYPERLINK("http://www.genecards.org/cgi-bin/carddisp.pl?gene=ADK","GeneCards")</f>
        <v>GeneCards</v>
      </c>
      <c r="D1033" s="1" t="str">
        <f>HYPERLINK("http://genome-euro.ucsc.edu/cgi-bin/hgTracks?position=204119_s_at","UCSC")</f>
        <v>UCSC</v>
      </c>
      <c r="E1033" s="1" t="str">
        <f>HYPERLINK("http://www.ncbi.nlm.nih.gov/gene/?term=ADK","NCBI")</f>
        <v>NCBI</v>
      </c>
      <c r="F1033">
        <v>2E-3</v>
      </c>
      <c r="G1033">
        <v>3.3000000000000002E-2</v>
      </c>
      <c r="H1033" s="1" t="str">
        <f>HYPERLINK("http://www.weizmann.ac.il/complex/compphys/software/geview/data/figures/204119_s_at.png","Figure")</f>
        <v>Figure</v>
      </c>
      <c r="I1033">
        <v>1.61</v>
      </c>
      <c r="J1033">
        <v>0.13</v>
      </c>
      <c r="K1033">
        <v>2.4700000000000002</v>
      </c>
      <c r="L1033">
        <v>1.5E-3</v>
      </c>
      <c r="M1033">
        <v>1.53</v>
      </c>
      <c r="N1033">
        <v>0.15</v>
      </c>
    </row>
    <row r="1034" spans="1:14" x14ac:dyDescent="0.25">
      <c r="A1034" t="s">
        <v>1925</v>
      </c>
      <c r="B1034" t="s">
        <v>1926</v>
      </c>
      <c r="C1034" s="1" t="str">
        <f>HYPERLINK("http://www.genecards.org/cgi-bin/carddisp.pl?gene=NOP16","GeneCards")</f>
        <v>GeneCards</v>
      </c>
      <c r="D1034" s="1" t="str">
        <f>HYPERLINK("http://genome-euro.ucsc.edu/cgi-bin/hgTracks?position=209327_s_at","UCSC")</f>
        <v>UCSC</v>
      </c>
      <c r="E1034" s="1" t="str">
        <f>HYPERLINK("http://www.ncbi.nlm.nih.gov/gene/?term=NOP16","NCBI")</f>
        <v>NCBI</v>
      </c>
      <c r="F1034">
        <v>2E-3</v>
      </c>
      <c r="G1034">
        <v>3.3000000000000002E-2</v>
      </c>
      <c r="H1034" s="1" t="str">
        <f>HYPERLINK("http://www.weizmann.ac.il/complex/compphys/software/geview/data/figures/209327_s_at.png","Figure")</f>
        <v>Figure</v>
      </c>
      <c r="I1034">
        <v>1.23</v>
      </c>
      <c r="J1034">
        <v>1.8E-3</v>
      </c>
      <c r="K1034">
        <v>1.1399999999999999</v>
      </c>
      <c r="L1034">
        <v>1.7999999999999999E-2</v>
      </c>
      <c r="M1034">
        <v>0.92500000000000004</v>
      </c>
      <c r="N1034">
        <v>0.22</v>
      </c>
    </row>
    <row r="1035" spans="1:14" x14ac:dyDescent="0.25">
      <c r="A1035" t="s">
        <v>1927</v>
      </c>
      <c r="B1035" t="s">
        <v>1928</v>
      </c>
      <c r="C1035" s="1" t="str">
        <f>HYPERLINK("http://www.genecards.org/cgi-bin/carddisp.pl?gene=TLR1","GeneCards")</f>
        <v>GeneCards</v>
      </c>
      <c r="D1035" s="1" t="str">
        <f>HYPERLINK("http://genome-euro.ucsc.edu/cgi-bin/hgTracks?position=210176_at","UCSC")</f>
        <v>UCSC</v>
      </c>
      <c r="E1035" s="1" t="str">
        <f>HYPERLINK("http://www.ncbi.nlm.nih.gov/gene/?term=TLR1","NCBI")</f>
        <v>NCBI</v>
      </c>
      <c r="F1035">
        <v>2E-3</v>
      </c>
      <c r="G1035">
        <v>3.3000000000000002E-2</v>
      </c>
      <c r="H1035" s="1" t="str">
        <f>HYPERLINK("http://www.weizmann.ac.il/complex/compphys/software/geview/data/figures/210176_at.png","Figure")</f>
        <v>Figure</v>
      </c>
      <c r="I1035">
        <v>0.44600000000000001</v>
      </c>
      <c r="J1035">
        <v>3.3999999999999998E-3</v>
      </c>
      <c r="K1035">
        <v>0.51700000000000002</v>
      </c>
      <c r="L1035">
        <v>5.4999999999999997E-3</v>
      </c>
      <c r="M1035">
        <v>1.1599999999999999</v>
      </c>
      <c r="N1035">
        <v>0.71</v>
      </c>
    </row>
    <row r="1036" spans="1:14" x14ac:dyDescent="0.25">
      <c r="A1036" t="s">
        <v>1929</v>
      </c>
      <c r="B1036" t="s">
        <v>1930</v>
      </c>
      <c r="C1036" s="1" t="str">
        <f>HYPERLINK("http://www.genecards.org/cgi-bin/carddisp.pl?gene=KIAA0240","GeneCards")</f>
        <v>GeneCards</v>
      </c>
      <c r="D1036" s="1" t="str">
        <f>HYPERLINK("http://genome-euro.ucsc.edu/cgi-bin/hgTracks?position=213208_at","UCSC")</f>
        <v>UCSC</v>
      </c>
      <c r="E1036" s="1" t="str">
        <f>HYPERLINK("http://www.ncbi.nlm.nih.gov/gene/?term=KIAA0240","NCBI")</f>
        <v>NCBI</v>
      </c>
      <c r="F1036">
        <v>2E-3</v>
      </c>
      <c r="G1036">
        <v>3.3000000000000002E-2</v>
      </c>
      <c r="H1036" s="1" t="str">
        <f>HYPERLINK("http://www.weizmann.ac.il/complex/compphys/software/geview/data/figures/213208_at.png","Figure")</f>
        <v>Figure</v>
      </c>
      <c r="I1036">
        <v>0.63</v>
      </c>
      <c r="J1036">
        <v>2.1000000000000001E-2</v>
      </c>
      <c r="K1036">
        <v>1.18</v>
      </c>
      <c r="L1036">
        <v>0.43</v>
      </c>
      <c r="M1036">
        <v>1.87</v>
      </c>
      <c r="N1036">
        <v>1.5E-3</v>
      </c>
    </row>
    <row r="1037" spans="1:14" x14ac:dyDescent="0.25">
      <c r="A1037" t="s">
        <v>1931</v>
      </c>
      <c r="B1037" t="s">
        <v>1932</v>
      </c>
      <c r="C1037" s="1" t="str">
        <f>HYPERLINK("http://www.genecards.org/cgi-bin/carddisp.pl?gene=B3GNTL1","GeneCards")</f>
        <v>GeneCards</v>
      </c>
      <c r="D1037" s="1" t="str">
        <f>HYPERLINK("http://genome-euro.ucsc.edu/cgi-bin/hgTracks?position=213589_s_at","UCSC")</f>
        <v>UCSC</v>
      </c>
      <c r="E1037" s="1" t="str">
        <f>HYPERLINK("http://www.ncbi.nlm.nih.gov/gene/?term=B3GNTL1","NCBI")</f>
        <v>NCBI</v>
      </c>
      <c r="F1037">
        <v>2E-3</v>
      </c>
      <c r="G1037">
        <v>3.3000000000000002E-2</v>
      </c>
      <c r="H1037" s="1" t="str">
        <f>HYPERLINK("http://www.weizmann.ac.il/complex/compphys/software/geview/data/figures/213589_s_at.png","Figure")</f>
        <v>Figure</v>
      </c>
      <c r="I1037">
        <v>0.68100000000000005</v>
      </c>
      <c r="J1037">
        <v>3.5000000000000001E-3</v>
      </c>
      <c r="K1037">
        <v>0.97399999999999998</v>
      </c>
      <c r="L1037">
        <v>0.95</v>
      </c>
      <c r="M1037">
        <v>1.43</v>
      </c>
      <c r="N1037">
        <v>3.5000000000000001E-3</v>
      </c>
    </row>
    <row r="1038" spans="1:14" x14ac:dyDescent="0.25">
      <c r="A1038" t="s">
        <v>1933</v>
      </c>
      <c r="B1038" t="s">
        <v>1934</v>
      </c>
      <c r="C1038" s="1" t="str">
        <f>HYPERLINK("http://www.genecards.org/cgi-bin/carddisp.pl?gene=COX4I1","GeneCards")</f>
        <v>GeneCards</v>
      </c>
      <c r="D1038" s="1" t="str">
        <f>HYPERLINK("http://genome-euro.ucsc.edu/cgi-bin/hgTracks?position=213758_at","UCSC")</f>
        <v>UCSC</v>
      </c>
      <c r="E1038" s="1" t="str">
        <f>HYPERLINK("http://www.ncbi.nlm.nih.gov/gene/?term=COX4I1","NCBI")</f>
        <v>NCBI</v>
      </c>
      <c r="F1038">
        <v>2E-3</v>
      </c>
      <c r="G1038">
        <v>3.3000000000000002E-2</v>
      </c>
      <c r="H1038" s="1" t="str">
        <f>HYPERLINK("http://www.weizmann.ac.il/complex/compphys/software/geview/data/figures/213758_at.png","Figure")</f>
        <v>Figure</v>
      </c>
      <c r="I1038">
        <v>1.28</v>
      </c>
      <c r="J1038">
        <v>0.56000000000000005</v>
      </c>
      <c r="K1038">
        <v>0.51200000000000001</v>
      </c>
      <c r="L1038">
        <v>1.4999999999999999E-2</v>
      </c>
      <c r="M1038">
        <v>0.4</v>
      </c>
      <c r="N1038">
        <v>2.8E-3</v>
      </c>
    </row>
    <row r="1039" spans="1:14" x14ac:dyDescent="0.25">
      <c r="A1039" t="s">
        <v>1935</v>
      </c>
      <c r="B1039" t="s">
        <v>1936</v>
      </c>
      <c r="C1039" s="1" t="str">
        <f>HYPERLINK("http://www.genecards.org/cgi-bin/carddisp.pl?gene=SSTR2","GeneCards")</f>
        <v>GeneCards</v>
      </c>
      <c r="D1039" s="1" t="str">
        <f>HYPERLINK("http://genome-euro.ucsc.edu/cgi-bin/hgTracks?position=217455_s_at","UCSC")</f>
        <v>UCSC</v>
      </c>
      <c r="E1039" s="1" t="str">
        <f>HYPERLINK("http://www.ncbi.nlm.nih.gov/gene/?term=SSTR2","NCBI")</f>
        <v>NCBI</v>
      </c>
      <c r="F1039">
        <v>2E-3</v>
      </c>
      <c r="G1039">
        <v>3.3000000000000002E-2</v>
      </c>
      <c r="H1039" s="1" t="str">
        <f>HYPERLINK("http://www.weizmann.ac.il/complex/compphys/software/geview/data/figures/217455_s_at.png","Figure")</f>
        <v>Figure</v>
      </c>
      <c r="I1039">
        <v>1.2</v>
      </c>
      <c r="J1039">
        <v>1.6000000000000001E-3</v>
      </c>
      <c r="K1039">
        <v>1.1100000000000001</v>
      </c>
      <c r="L1039">
        <v>2.9000000000000001E-2</v>
      </c>
      <c r="M1039">
        <v>0.92400000000000004</v>
      </c>
      <c r="N1039">
        <v>0.13</v>
      </c>
    </row>
    <row r="1040" spans="1:14" x14ac:dyDescent="0.25">
      <c r="A1040" t="s">
        <v>1937</v>
      </c>
      <c r="B1040" t="s">
        <v>1938</v>
      </c>
      <c r="C1040" s="1" t="str">
        <f>HYPERLINK("http://www.genecards.org/cgi-bin/carddisp.pl?gene=PCDHB12","GeneCards")</f>
        <v>GeneCards</v>
      </c>
      <c r="D1040" s="1" t="str">
        <f>HYPERLINK("http://genome-euro.ucsc.edu/cgi-bin/hgTracks?position=221408_x_at","UCSC")</f>
        <v>UCSC</v>
      </c>
      <c r="E1040" s="1" t="str">
        <f>HYPERLINK("http://www.ncbi.nlm.nih.gov/gene/?term=PCDHB12","NCBI")</f>
        <v>NCBI</v>
      </c>
      <c r="F1040">
        <v>2E-3</v>
      </c>
      <c r="G1040">
        <v>3.3000000000000002E-2</v>
      </c>
      <c r="H1040" s="1" t="str">
        <f>HYPERLINK("http://www.weizmann.ac.il/complex/compphys/software/geview/data/figures/221408_x_at.png","Figure")</f>
        <v>Figure</v>
      </c>
      <c r="I1040">
        <v>1</v>
      </c>
      <c r="J1040">
        <v>1</v>
      </c>
      <c r="K1040">
        <v>0.69499999999999995</v>
      </c>
      <c r="L1040">
        <v>4.7999999999999996E-3</v>
      </c>
      <c r="M1040">
        <v>0.69199999999999995</v>
      </c>
      <c r="N1040">
        <v>7.1999999999999998E-3</v>
      </c>
    </row>
    <row r="1041" spans="1:14" x14ac:dyDescent="0.25">
      <c r="A1041" t="s">
        <v>1939</v>
      </c>
      <c r="B1041" t="s">
        <v>1940</v>
      </c>
      <c r="C1041" s="1" t="str">
        <f>HYPERLINK("http://www.genecards.org/cgi-bin/carddisp.pl?gene=UTP14A","GeneCards")</f>
        <v>GeneCards</v>
      </c>
      <c r="D1041" s="1" t="str">
        <f>HYPERLINK("http://genome-euro.ucsc.edu/cgi-bin/hgTracks?position=221514_at","UCSC")</f>
        <v>UCSC</v>
      </c>
      <c r="E1041" s="1" t="str">
        <f>HYPERLINK("http://www.ncbi.nlm.nih.gov/gene/?term=UTP14A","NCBI")</f>
        <v>NCBI</v>
      </c>
      <c r="F1041">
        <v>2E-3</v>
      </c>
      <c r="G1041">
        <v>3.3000000000000002E-2</v>
      </c>
      <c r="H1041" s="1" t="str">
        <f>HYPERLINK("http://www.weizmann.ac.il/complex/compphys/software/geview/data/figures/221514_at.png","Figure")</f>
        <v>Figure</v>
      </c>
      <c r="I1041">
        <v>0.63</v>
      </c>
      <c r="J1041">
        <v>4.1000000000000002E-2</v>
      </c>
      <c r="K1041">
        <v>1.29</v>
      </c>
      <c r="L1041">
        <v>0.24</v>
      </c>
      <c r="M1041">
        <v>2.04</v>
      </c>
      <c r="N1041">
        <v>1.5E-3</v>
      </c>
    </row>
    <row r="1042" spans="1:14" x14ac:dyDescent="0.25">
      <c r="A1042" t="s">
        <v>1941</v>
      </c>
      <c r="B1042" t="s">
        <v>1942</v>
      </c>
      <c r="C1042" s="1" t="str">
        <f>HYPERLINK("http://www.genecards.org/cgi-bin/carddisp.pl?gene=ROR1","GeneCards")</f>
        <v>GeneCards</v>
      </c>
      <c r="D1042" s="1" t="str">
        <f>HYPERLINK("http://genome-euro.ucsc.edu/cgi-bin/hgTracks?position=205805_s_at","UCSC")</f>
        <v>UCSC</v>
      </c>
      <c r="E1042" s="1" t="str">
        <f>HYPERLINK("http://www.ncbi.nlm.nih.gov/gene/?term=ROR1","NCBI")</f>
        <v>NCBI</v>
      </c>
      <c r="F1042">
        <v>2E-3</v>
      </c>
      <c r="G1042">
        <v>3.3000000000000002E-2</v>
      </c>
      <c r="H1042" s="1" t="str">
        <f>HYPERLINK("http://www.weizmann.ac.il/complex/compphys/software/geview/data/figures/205805_s_at.png","Figure")</f>
        <v>Figure</v>
      </c>
      <c r="I1042">
        <v>1.29</v>
      </c>
      <c r="J1042">
        <v>5.0000000000000001E-3</v>
      </c>
      <c r="K1042">
        <v>1.26</v>
      </c>
      <c r="L1042">
        <v>3.8E-3</v>
      </c>
      <c r="M1042">
        <v>0.97699999999999998</v>
      </c>
      <c r="N1042">
        <v>0.92</v>
      </c>
    </row>
    <row r="1043" spans="1:14" x14ac:dyDescent="0.25">
      <c r="A1043" t="s">
        <v>1943</v>
      </c>
      <c r="B1043" t="s">
        <v>1944</v>
      </c>
      <c r="C1043" s="1" t="str">
        <f>HYPERLINK("http://www.genecards.org/cgi-bin/carddisp.pl?gene=ZAP70","GeneCards")</f>
        <v>GeneCards</v>
      </c>
      <c r="D1043" s="1" t="str">
        <f>HYPERLINK("http://genome-euro.ucsc.edu/cgi-bin/hgTracks?position=214032_at","UCSC")</f>
        <v>UCSC</v>
      </c>
      <c r="E1043" s="1" t="str">
        <f>HYPERLINK("http://www.ncbi.nlm.nih.gov/gene/?term=ZAP70","NCBI")</f>
        <v>NCBI</v>
      </c>
      <c r="F1043">
        <v>2E-3</v>
      </c>
      <c r="G1043">
        <v>3.3000000000000002E-2</v>
      </c>
      <c r="H1043" s="1" t="str">
        <f>HYPERLINK("http://www.weizmann.ac.il/complex/compphys/software/geview/data/figures/214032_at.png","Figure")</f>
        <v>Figure</v>
      </c>
      <c r="I1043">
        <v>2.12</v>
      </c>
      <c r="J1043">
        <v>2E-3</v>
      </c>
      <c r="K1043">
        <v>1.65</v>
      </c>
      <c r="L1043">
        <v>1.4E-2</v>
      </c>
      <c r="M1043">
        <v>0.77900000000000003</v>
      </c>
      <c r="N1043">
        <v>0.3</v>
      </c>
    </row>
    <row r="1044" spans="1:14" x14ac:dyDescent="0.25">
      <c r="A1044" t="s">
        <v>1945</v>
      </c>
      <c r="B1044" t="s">
        <v>1946</v>
      </c>
      <c r="C1044" s="1" t="str">
        <f>HYPERLINK("http://www.genecards.org/cgi-bin/carddisp.pl?gene=SYNGR1","GeneCards")</f>
        <v>GeneCards</v>
      </c>
      <c r="D1044" s="1" t="str">
        <f>HYPERLINK("http://genome-euro.ucsc.edu/cgi-bin/hgTracks?position=210613_s_at","UCSC")</f>
        <v>UCSC</v>
      </c>
      <c r="E1044" s="1" t="str">
        <f>HYPERLINK("http://www.ncbi.nlm.nih.gov/gene/?term=SYNGR1","NCBI")</f>
        <v>NCBI</v>
      </c>
      <c r="F1044">
        <v>2E-3</v>
      </c>
      <c r="G1044">
        <v>3.3000000000000002E-2</v>
      </c>
      <c r="H1044" s="1" t="str">
        <f>HYPERLINK("http://www.weizmann.ac.il/complex/compphys/software/geview/data/figures/210613_s_at.png","Figure")</f>
        <v>Figure</v>
      </c>
      <c r="I1044">
        <v>0.28000000000000003</v>
      </c>
      <c r="J1044">
        <v>1.5E-3</v>
      </c>
      <c r="K1044">
        <v>0.52500000000000002</v>
      </c>
      <c r="L1044">
        <v>5.0999999999999997E-2</v>
      </c>
      <c r="M1044">
        <v>1.87</v>
      </c>
      <c r="N1044">
        <v>7.8E-2</v>
      </c>
    </row>
    <row r="1045" spans="1:14" x14ac:dyDescent="0.25">
      <c r="A1045" t="s">
        <v>1947</v>
      </c>
      <c r="B1045" t="s">
        <v>1948</v>
      </c>
      <c r="C1045" s="1" t="str">
        <f>HYPERLINK("http://www.genecards.org/cgi-bin/carddisp.pl?gene=EP400","GeneCards")</f>
        <v>GeneCards</v>
      </c>
      <c r="D1045" s="1" t="str">
        <f>HYPERLINK("http://genome-euro.ucsc.edu/cgi-bin/hgTracks?position=212376_s_at","UCSC")</f>
        <v>UCSC</v>
      </c>
      <c r="E1045" s="1" t="str">
        <f>HYPERLINK("http://www.ncbi.nlm.nih.gov/gene/?term=EP400","NCBI")</f>
        <v>NCBI</v>
      </c>
      <c r="F1045">
        <v>2E-3</v>
      </c>
      <c r="G1045">
        <v>3.3000000000000002E-2</v>
      </c>
      <c r="H1045" s="1" t="str">
        <f>HYPERLINK("http://www.weizmann.ac.il/complex/compphys/software/geview/data/figures/212376_s_at.png","Figure")</f>
        <v>Figure</v>
      </c>
      <c r="I1045">
        <v>1.33</v>
      </c>
      <c r="J1045">
        <v>1.5E-3</v>
      </c>
      <c r="K1045">
        <v>1.1599999999999999</v>
      </c>
      <c r="L1045">
        <v>4.1000000000000002E-2</v>
      </c>
      <c r="M1045">
        <v>0.874</v>
      </c>
      <c r="N1045">
        <v>9.6000000000000002E-2</v>
      </c>
    </row>
    <row r="1046" spans="1:14" x14ac:dyDescent="0.25">
      <c r="A1046" t="s">
        <v>1949</v>
      </c>
      <c r="B1046" t="s">
        <v>1950</v>
      </c>
      <c r="C1046" s="1" t="str">
        <f>HYPERLINK("http://www.genecards.org/cgi-bin/carddisp.pl?gene=AP1M2","GeneCards")</f>
        <v>GeneCards</v>
      </c>
      <c r="D1046" s="1" t="str">
        <f>HYPERLINK("http://genome-euro.ucsc.edu/cgi-bin/hgTracks?position=218261_at","UCSC")</f>
        <v>UCSC</v>
      </c>
      <c r="E1046" s="1" t="str">
        <f>HYPERLINK("http://www.ncbi.nlm.nih.gov/gene/?term=AP1M2","NCBI")</f>
        <v>NCBI</v>
      </c>
      <c r="F1046">
        <v>2E-3</v>
      </c>
      <c r="G1046">
        <v>3.3000000000000002E-2</v>
      </c>
      <c r="H1046" s="1" t="str">
        <f>HYPERLINK("http://www.weizmann.ac.il/complex/compphys/software/geview/data/figures/218261_at.png","Figure")</f>
        <v>Figure</v>
      </c>
      <c r="I1046">
        <v>1.5</v>
      </c>
      <c r="J1046">
        <v>1.5E-3</v>
      </c>
      <c r="K1046">
        <v>1.1599999999999999</v>
      </c>
      <c r="L1046">
        <v>0.17</v>
      </c>
      <c r="M1046">
        <v>0.77600000000000002</v>
      </c>
      <c r="N1046">
        <v>2.3E-2</v>
      </c>
    </row>
    <row r="1047" spans="1:14" x14ac:dyDescent="0.25">
      <c r="A1047" t="s">
        <v>1951</v>
      </c>
      <c r="B1047" t="s">
        <v>1952</v>
      </c>
      <c r="C1047" s="1" t="str">
        <f>HYPERLINK("http://www.genecards.org/cgi-bin/carddisp.pl?gene=ZC3H15","GeneCards")</f>
        <v>GeneCards</v>
      </c>
      <c r="D1047" s="1" t="str">
        <f>HYPERLINK("http://genome-euro.ucsc.edu/cgi-bin/hgTracks?position=201593_s_at","UCSC")</f>
        <v>UCSC</v>
      </c>
      <c r="E1047" s="1" t="str">
        <f>HYPERLINK("http://www.ncbi.nlm.nih.gov/gene/?term=ZC3H15","NCBI")</f>
        <v>NCBI</v>
      </c>
      <c r="F1047">
        <v>2E-3</v>
      </c>
      <c r="G1047">
        <v>3.3000000000000002E-2</v>
      </c>
      <c r="H1047" s="1" t="str">
        <f>HYPERLINK("http://www.weizmann.ac.il/complex/compphys/software/geview/data/figures/201593_s_at.png","Figure")</f>
        <v>Figure</v>
      </c>
      <c r="I1047">
        <v>1.1100000000000001</v>
      </c>
      <c r="J1047">
        <v>0.63</v>
      </c>
      <c r="K1047">
        <v>0.71899999999999997</v>
      </c>
      <c r="L1047">
        <v>1.2999999999999999E-2</v>
      </c>
      <c r="M1047">
        <v>0.64700000000000002</v>
      </c>
      <c r="N1047">
        <v>3.0999999999999999E-3</v>
      </c>
    </row>
    <row r="1048" spans="1:14" x14ac:dyDescent="0.25">
      <c r="A1048" t="s">
        <v>1953</v>
      </c>
      <c r="B1048" t="s">
        <v>492</v>
      </c>
      <c r="C1048" s="1" t="str">
        <f>HYPERLINK("http://www.genecards.org/cgi-bin/carddisp.pl?gene=FADS1","GeneCards")</f>
        <v>GeneCards</v>
      </c>
      <c r="D1048" s="1" t="str">
        <f>HYPERLINK("http://genome-euro.ucsc.edu/cgi-bin/hgTracks?position=208962_s_at","UCSC")</f>
        <v>UCSC</v>
      </c>
      <c r="E1048" s="1" t="str">
        <f>HYPERLINK("http://www.ncbi.nlm.nih.gov/gene/?term=FADS1","NCBI")</f>
        <v>NCBI</v>
      </c>
      <c r="F1048">
        <v>2.0999999999999999E-3</v>
      </c>
      <c r="G1048">
        <v>3.3000000000000002E-2</v>
      </c>
      <c r="H1048" s="1" t="str">
        <f>HYPERLINK("http://www.weizmann.ac.il/complex/compphys/software/geview/data/figures/208962_s_at.png","Figure")</f>
        <v>Figure</v>
      </c>
      <c r="I1048">
        <v>2.02</v>
      </c>
      <c r="J1048">
        <v>4.8999999999999998E-3</v>
      </c>
      <c r="K1048">
        <v>1.88</v>
      </c>
      <c r="L1048">
        <v>4.0000000000000001E-3</v>
      </c>
      <c r="M1048">
        <v>0.93100000000000005</v>
      </c>
      <c r="N1048">
        <v>0.91</v>
      </c>
    </row>
    <row r="1049" spans="1:14" x14ac:dyDescent="0.25">
      <c r="A1049" t="s">
        <v>1954</v>
      </c>
      <c r="B1049" t="s">
        <v>1955</v>
      </c>
      <c r="C1049" s="1" t="str">
        <f>HYPERLINK("http://www.genecards.org/cgi-bin/carddisp.pl?gene=FBLN1","GeneCards")</f>
        <v>GeneCards</v>
      </c>
      <c r="D1049" s="1" t="str">
        <f>HYPERLINK("http://genome-euro.ucsc.edu/cgi-bin/hgTracks?position=202994_s_at","UCSC")</f>
        <v>UCSC</v>
      </c>
      <c r="E1049" s="1" t="str">
        <f>HYPERLINK("http://www.ncbi.nlm.nih.gov/gene/?term=FBLN1","NCBI")</f>
        <v>NCBI</v>
      </c>
      <c r="F1049">
        <v>2.0999999999999999E-3</v>
      </c>
      <c r="G1049">
        <v>3.4000000000000002E-2</v>
      </c>
      <c r="H1049" s="1" t="str">
        <f>HYPERLINK("http://www.weizmann.ac.il/complex/compphys/software/geview/data/figures/202994_s_at.png","Figure")</f>
        <v>Figure</v>
      </c>
      <c r="I1049">
        <v>1.34</v>
      </c>
      <c r="J1049">
        <v>1.6000000000000001E-3</v>
      </c>
      <c r="K1049">
        <v>1.18</v>
      </c>
      <c r="L1049">
        <v>3.1E-2</v>
      </c>
      <c r="M1049">
        <v>0.88</v>
      </c>
      <c r="N1049">
        <v>0.13</v>
      </c>
    </row>
    <row r="1050" spans="1:14" x14ac:dyDescent="0.25">
      <c r="A1050" t="s">
        <v>1956</v>
      </c>
      <c r="B1050" t="s">
        <v>1957</v>
      </c>
      <c r="C1050" s="1" t="str">
        <f>HYPERLINK("http://www.genecards.org/cgi-bin/carddisp.pl?gene=KIAA0182","GeneCards")</f>
        <v>GeneCards</v>
      </c>
      <c r="D1050" s="1" t="str">
        <f>HYPERLINK("http://genome-euro.ucsc.edu/cgi-bin/hgTracks?position=212056_at","UCSC")</f>
        <v>UCSC</v>
      </c>
      <c r="E1050" s="1" t="str">
        <f>HYPERLINK("http://www.ncbi.nlm.nih.gov/gene/?term=KIAA0182","NCBI")</f>
        <v>NCBI</v>
      </c>
      <c r="F1050">
        <v>2.0999999999999999E-3</v>
      </c>
      <c r="G1050">
        <v>3.4000000000000002E-2</v>
      </c>
      <c r="H1050" s="1" t="str">
        <f>HYPERLINK("http://www.weizmann.ac.il/complex/compphys/software/geview/data/figures/212056_at.png","Figure")</f>
        <v>Figure</v>
      </c>
      <c r="I1050">
        <v>1.95</v>
      </c>
      <c r="J1050">
        <v>4.0000000000000001E-3</v>
      </c>
      <c r="K1050">
        <v>1.76</v>
      </c>
      <c r="L1050">
        <v>4.8999999999999998E-3</v>
      </c>
      <c r="M1050">
        <v>0.90500000000000003</v>
      </c>
      <c r="N1050">
        <v>0.8</v>
      </c>
    </row>
    <row r="1051" spans="1:14" x14ac:dyDescent="0.25">
      <c r="A1051" t="s">
        <v>1958</v>
      </c>
      <c r="B1051" t="s">
        <v>1959</v>
      </c>
      <c r="C1051" s="1" t="str">
        <f>HYPERLINK("http://www.genecards.org/cgi-bin/carddisp.pl?gene=RPS6","GeneCards")</f>
        <v>GeneCards</v>
      </c>
      <c r="D1051" s="1" t="str">
        <f>HYPERLINK("http://genome-euro.ucsc.edu/cgi-bin/hgTracks?position=201254_x_at","UCSC")</f>
        <v>UCSC</v>
      </c>
      <c r="E1051" s="1" t="str">
        <f>HYPERLINK("http://www.ncbi.nlm.nih.gov/gene/?term=RPS6","NCBI")</f>
        <v>NCBI</v>
      </c>
      <c r="F1051">
        <v>2.0999999999999999E-3</v>
      </c>
      <c r="G1051">
        <v>3.4000000000000002E-2</v>
      </c>
      <c r="H1051" s="1" t="str">
        <f>HYPERLINK("http://www.weizmann.ac.il/complex/compphys/software/geview/data/figures/201254_x_at.png","Figure")</f>
        <v>Figure</v>
      </c>
      <c r="I1051">
        <v>0.80700000000000005</v>
      </c>
      <c r="J1051">
        <v>2.7000000000000001E-3</v>
      </c>
      <c r="K1051">
        <v>0.85199999999999998</v>
      </c>
      <c r="L1051">
        <v>8.3999999999999995E-3</v>
      </c>
      <c r="M1051">
        <v>1.06</v>
      </c>
      <c r="N1051">
        <v>0.51</v>
      </c>
    </row>
    <row r="1052" spans="1:14" x14ac:dyDescent="0.25">
      <c r="A1052" t="s">
        <v>1960</v>
      </c>
      <c r="B1052" t="s">
        <v>1961</v>
      </c>
      <c r="C1052" s="1" t="str">
        <f>HYPERLINK("http://www.genecards.org/cgi-bin/carddisp.pl?gene=HAUS5","GeneCards")</f>
        <v>GeneCards</v>
      </c>
      <c r="D1052" s="1" t="str">
        <f>HYPERLINK("http://genome-euro.ucsc.edu/cgi-bin/hgTracks?position=213054_at","UCSC")</f>
        <v>UCSC</v>
      </c>
      <c r="E1052" s="1" t="str">
        <f>HYPERLINK("http://www.ncbi.nlm.nih.gov/gene/?term=HAUS5","NCBI")</f>
        <v>NCBI</v>
      </c>
      <c r="F1052">
        <v>2.0999999999999999E-3</v>
      </c>
      <c r="G1052">
        <v>3.4000000000000002E-2</v>
      </c>
      <c r="H1052" s="1" t="str">
        <f>HYPERLINK("http://www.weizmann.ac.il/complex/compphys/software/geview/data/figures/213054_at.png","Figure")</f>
        <v>Figure</v>
      </c>
      <c r="I1052">
        <v>0.78400000000000003</v>
      </c>
      <c r="J1052">
        <v>0.19</v>
      </c>
      <c r="K1052">
        <v>0.59599999999999997</v>
      </c>
      <c r="L1052">
        <v>1.6000000000000001E-3</v>
      </c>
      <c r="M1052">
        <v>0.76</v>
      </c>
      <c r="N1052">
        <v>0.1</v>
      </c>
    </row>
    <row r="1053" spans="1:14" x14ac:dyDescent="0.25">
      <c r="A1053" t="s">
        <v>1962</v>
      </c>
      <c r="B1053" t="s">
        <v>1963</v>
      </c>
      <c r="C1053" s="1" t="str">
        <f>HYPERLINK("http://www.genecards.org/cgi-bin/carddisp.pl?gene=SNRPF","GeneCards")</f>
        <v>GeneCards</v>
      </c>
      <c r="D1053" s="1" t="str">
        <f>HYPERLINK("http://genome-euro.ucsc.edu/cgi-bin/hgTracks?position=203832_at","UCSC")</f>
        <v>UCSC</v>
      </c>
      <c r="E1053" s="1" t="str">
        <f>HYPERLINK("http://www.ncbi.nlm.nih.gov/gene/?term=SNRPF","NCBI")</f>
        <v>NCBI</v>
      </c>
      <c r="F1053">
        <v>2.0999999999999999E-3</v>
      </c>
      <c r="G1053">
        <v>3.4000000000000002E-2</v>
      </c>
      <c r="H1053" s="1" t="str">
        <f>HYPERLINK("http://www.weizmann.ac.il/complex/compphys/software/geview/data/figures/203832_at.png","Figure")</f>
        <v>Figure</v>
      </c>
      <c r="I1053">
        <v>1.49</v>
      </c>
      <c r="J1053">
        <v>2.3E-3</v>
      </c>
      <c r="K1053">
        <v>1.33</v>
      </c>
      <c r="L1053">
        <v>1.0999999999999999E-2</v>
      </c>
      <c r="M1053">
        <v>0.88700000000000001</v>
      </c>
      <c r="N1053">
        <v>0.38</v>
      </c>
    </row>
    <row r="1054" spans="1:14" x14ac:dyDescent="0.25">
      <c r="A1054" t="s">
        <v>1964</v>
      </c>
      <c r="B1054" t="s">
        <v>1965</v>
      </c>
      <c r="C1054" s="1" t="str">
        <f>HYPERLINK("http://www.genecards.org/cgi-bin/carddisp.pl?gene=CREBBP","GeneCards")</f>
        <v>GeneCards</v>
      </c>
      <c r="D1054" s="1" t="str">
        <f>HYPERLINK("http://genome-euro.ucsc.edu/cgi-bin/hgTracks?position=211808_s_at","UCSC")</f>
        <v>UCSC</v>
      </c>
      <c r="E1054" s="1" t="str">
        <f>HYPERLINK("http://www.ncbi.nlm.nih.gov/gene/?term=CREBBP","NCBI")</f>
        <v>NCBI</v>
      </c>
      <c r="F1054">
        <v>2.0999999999999999E-3</v>
      </c>
      <c r="G1054">
        <v>3.4000000000000002E-2</v>
      </c>
      <c r="H1054" s="1" t="str">
        <f>HYPERLINK("http://www.weizmann.ac.il/complex/compphys/software/geview/data/figures/211808_s_at.png","Figure")</f>
        <v>Figure</v>
      </c>
      <c r="I1054">
        <v>1.45</v>
      </c>
      <c r="J1054">
        <v>2.5999999999999999E-3</v>
      </c>
      <c r="K1054">
        <v>1.31</v>
      </c>
      <c r="L1054">
        <v>9.1000000000000004E-3</v>
      </c>
      <c r="M1054">
        <v>0.90500000000000003</v>
      </c>
      <c r="N1054">
        <v>0.47</v>
      </c>
    </row>
    <row r="1055" spans="1:14" x14ac:dyDescent="0.25">
      <c r="A1055" t="s">
        <v>1966</v>
      </c>
      <c r="B1055" t="s">
        <v>1967</v>
      </c>
      <c r="C1055" s="1" t="str">
        <f>HYPERLINK("http://www.genecards.org/cgi-bin/carddisp.pl?gene=PCGF3","GeneCards")</f>
        <v>GeneCards</v>
      </c>
      <c r="D1055" s="1" t="str">
        <f>HYPERLINK("http://genome-euro.ucsc.edu/cgi-bin/hgTracks?position=212753_at","UCSC")</f>
        <v>UCSC</v>
      </c>
      <c r="E1055" s="1" t="str">
        <f>HYPERLINK("http://www.ncbi.nlm.nih.gov/gene/?term=PCGF3","NCBI")</f>
        <v>NCBI</v>
      </c>
      <c r="F1055">
        <v>2.0999999999999999E-3</v>
      </c>
      <c r="G1055">
        <v>3.4000000000000002E-2</v>
      </c>
      <c r="H1055" s="1" t="str">
        <f>HYPERLINK("http://www.weizmann.ac.il/complex/compphys/software/geview/data/figures/212753_at.png","Figure")</f>
        <v>Figure</v>
      </c>
      <c r="I1055">
        <v>0.34799999999999998</v>
      </c>
      <c r="J1055">
        <v>4.0000000000000001E-3</v>
      </c>
      <c r="K1055">
        <v>0.40799999999999997</v>
      </c>
      <c r="L1055">
        <v>5.0000000000000001E-3</v>
      </c>
      <c r="M1055">
        <v>1.17</v>
      </c>
      <c r="N1055">
        <v>0.8</v>
      </c>
    </row>
    <row r="1056" spans="1:14" x14ac:dyDescent="0.25">
      <c r="A1056" t="s">
        <v>1968</v>
      </c>
      <c r="B1056" t="s">
        <v>1969</v>
      </c>
      <c r="C1056" s="1" t="str">
        <f>HYPERLINK("http://www.genecards.org/cgi-bin/carddisp.pl?gene=QRSL1","GeneCards")</f>
        <v>GeneCards</v>
      </c>
      <c r="D1056" s="1" t="str">
        <f>HYPERLINK("http://genome-euro.ucsc.edu/cgi-bin/hgTracks?position=218949_s_at","UCSC")</f>
        <v>UCSC</v>
      </c>
      <c r="E1056" s="1" t="str">
        <f>HYPERLINK("http://www.ncbi.nlm.nih.gov/gene/?term=QRSL1","NCBI")</f>
        <v>NCBI</v>
      </c>
      <c r="F1056">
        <v>2.0999999999999999E-3</v>
      </c>
      <c r="G1056">
        <v>3.4000000000000002E-2</v>
      </c>
      <c r="H1056" s="1" t="str">
        <f>HYPERLINK("http://www.weizmann.ac.il/complex/compphys/software/geview/data/figures/218949_s_at.png","Figure")</f>
        <v>Figure</v>
      </c>
      <c r="I1056">
        <v>3.17</v>
      </c>
      <c r="J1056">
        <v>2.1999999999999999E-2</v>
      </c>
      <c r="K1056">
        <v>4.22</v>
      </c>
      <c r="L1056">
        <v>1.8E-3</v>
      </c>
      <c r="M1056">
        <v>1.33</v>
      </c>
      <c r="N1056">
        <v>0.7</v>
      </c>
    </row>
    <row r="1057" spans="1:14" x14ac:dyDescent="0.25">
      <c r="A1057" t="s">
        <v>1970</v>
      </c>
      <c r="B1057" t="s">
        <v>1971</v>
      </c>
      <c r="C1057" s="1" t="str">
        <f>HYPERLINK("http://www.genecards.org/cgi-bin/carddisp.pl?gene=UBL3","GeneCards")</f>
        <v>GeneCards</v>
      </c>
      <c r="D1057" s="1" t="str">
        <f>HYPERLINK("http://genome-euro.ucsc.edu/cgi-bin/hgTracks?position=201534_s_at","UCSC")</f>
        <v>UCSC</v>
      </c>
      <c r="E1057" s="1" t="str">
        <f>HYPERLINK("http://www.ncbi.nlm.nih.gov/gene/?term=UBL3","NCBI")</f>
        <v>NCBI</v>
      </c>
      <c r="F1057">
        <v>2.0999999999999999E-3</v>
      </c>
      <c r="G1057">
        <v>3.4000000000000002E-2</v>
      </c>
      <c r="H1057" s="1" t="str">
        <f>HYPERLINK("http://www.weizmann.ac.il/complex/compphys/software/geview/data/figures/201534_s_at.png","Figure")</f>
        <v>Figure</v>
      </c>
      <c r="I1057">
        <v>0.44600000000000001</v>
      </c>
      <c r="J1057">
        <v>5.7999999999999996E-3</v>
      </c>
      <c r="K1057">
        <v>0.47099999999999997</v>
      </c>
      <c r="L1057">
        <v>3.5999999999999999E-3</v>
      </c>
      <c r="M1057">
        <v>1.06</v>
      </c>
      <c r="N1057">
        <v>0.96</v>
      </c>
    </row>
    <row r="1058" spans="1:14" x14ac:dyDescent="0.25">
      <c r="A1058" t="s">
        <v>1972</v>
      </c>
      <c r="B1058" t="s">
        <v>1973</v>
      </c>
      <c r="C1058" s="1" t="str">
        <f>HYPERLINK("http://www.genecards.org/cgi-bin/carddisp.pl?gene=SON","GeneCards")</f>
        <v>GeneCards</v>
      </c>
      <c r="D1058" s="1" t="str">
        <f>HYPERLINK("http://genome-euro.ucsc.edu/cgi-bin/hgTracks?position=213538_at","UCSC")</f>
        <v>UCSC</v>
      </c>
      <c r="E1058" s="1" t="str">
        <f>HYPERLINK("http://www.ncbi.nlm.nih.gov/gene/?term=SON","NCBI")</f>
        <v>NCBI</v>
      </c>
      <c r="F1058">
        <v>2.0999999999999999E-3</v>
      </c>
      <c r="G1058">
        <v>3.4000000000000002E-2</v>
      </c>
      <c r="H1058" s="1" t="str">
        <f>HYPERLINK("http://www.weizmann.ac.il/complex/compphys/software/geview/data/figures/213538_at.png","Figure")</f>
        <v>Figure</v>
      </c>
      <c r="I1058">
        <v>0.52700000000000002</v>
      </c>
      <c r="J1058">
        <v>8.3000000000000001E-3</v>
      </c>
      <c r="K1058">
        <v>0.52200000000000002</v>
      </c>
      <c r="L1058">
        <v>2.8E-3</v>
      </c>
      <c r="M1058">
        <v>0.99099999999999999</v>
      </c>
      <c r="N1058">
        <v>1</v>
      </c>
    </row>
    <row r="1059" spans="1:14" x14ac:dyDescent="0.25">
      <c r="A1059" t="s">
        <v>1974</v>
      </c>
      <c r="B1059" t="s">
        <v>1975</v>
      </c>
      <c r="C1059" s="1" t="str">
        <f>HYPERLINK("http://www.genecards.org/cgi-bin/carddisp.pl?gene=KLF3","GeneCards")</f>
        <v>GeneCards</v>
      </c>
      <c r="D1059" s="1" t="str">
        <f>HYPERLINK("http://genome-euro.ucsc.edu/cgi-bin/hgTracks?position=219657_s_at","UCSC")</f>
        <v>UCSC</v>
      </c>
      <c r="E1059" s="1" t="str">
        <f>HYPERLINK("http://www.ncbi.nlm.nih.gov/gene/?term=KLF3","NCBI")</f>
        <v>NCBI</v>
      </c>
      <c r="F1059">
        <v>2.0999999999999999E-3</v>
      </c>
      <c r="G1059">
        <v>3.4000000000000002E-2</v>
      </c>
      <c r="H1059" s="1" t="str">
        <f>HYPERLINK("http://www.weizmann.ac.il/complex/compphys/software/geview/data/figures/219657_s_at.png","Figure")</f>
        <v>Figure</v>
      </c>
      <c r="I1059">
        <v>0.94399999999999995</v>
      </c>
      <c r="J1059">
        <v>0.86</v>
      </c>
      <c r="K1059">
        <v>0.67500000000000004</v>
      </c>
      <c r="L1059">
        <v>3.0999999999999999E-3</v>
      </c>
      <c r="M1059">
        <v>0.71499999999999997</v>
      </c>
      <c r="N1059">
        <v>1.4999999999999999E-2</v>
      </c>
    </row>
    <row r="1060" spans="1:14" x14ac:dyDescent="0.25">
      <c r="A1060" t="s">
        <v>1976</v>
      </c>
      <c r="B1060" t="s">
        <v>1977</v>
      </c>
      <c r="C1060" s="1" t="str">
        <f>HYPERLINK("http://www.genecards.org/cgi-bin/carddisp.pl?gene=SPTLC2","GeneCards")</f>
        <v>GeneCards</v>
      </c>
      <c r="D1060" s="1" t="str">
        <f>HYPERLINK("http://genome-euro.ucsc.edu/cgi-bin/hgTracks?position=203128_at","UCSC")</f>
        <v>UCSC</v>
      </c>
      <c r="E1060" s="1" t="str">
        <f>HYPERLINK("http://www.ncbi.nlm.nih.gov/gene/?term=SPTLC2","NCBI")</f>
        <v>NCBI</v>
      </c>
      <c r="F1060">
        <v>2.0999999999999999E-3</v>
      </c>
      <c r="G1060">
        <v>3.4000000000000002E-2</v>
      </c>
      <c r="H1060" s="1" t="str">
        <f>HYPERLINK("http://www.weizmann.ac.il/complex/compphys/software/geview/data/figures/203128_at.png","Figure")</f>
        <v>Figure</v>
      </c>
      <c r="I1060">
        <v>0.51400000000000001</v>
      </c>
      <c r="J1060">
        <v>4.5999999999999999E-3</v>
      </c>
      <c r="K1060">
        <v>0.99299999999999999</v>
      </c>
      <c r="L1060">
        <v>1</v>
      </c>
      <c r="M1060">
        <v>1.93</v>
      </c>
      <c r="N1060">
        <v>3.0000000000000001E-3</v>
      </c>
    </row>
    <row r="1061" spans="1:14" x14ac:dyDescent="0.25">
      <c r="A1061" t="s">
        <v>1978</v>
      </c>
      <c r="B1061" t="s">
        <v>353</v>
      </c>
      <c r="C1061" s="1" t="str">
        <f>HYPERLINK("http://www.genecards.org/cgi-bin/carddisp.pl?gene=UBE2J1","GeneCards")</f>
        <v>GeneCards</v>
      </c>
      <c r="D1061" s="1" t="str">
        <f>HYPERLINK("http://genome-euro.ucsc.edu/cgi-bin/hgTracks?position=217825_s_at","UCSC")</f>
        <v>UCSC</v>
      </c>
      <c r="E1061" s="1" t="str">
        <f>HYPERLINK("http://www.ncbi.nlm.nih.gov/gene/?term=UBE2J1","NCBI")</f>
        <v>NCBI</v>
      </c>
      <c r="F1061">
        <v>2.0999999999999999E-3</v>
      </c>
      <c r="G1061">
        <v>3.4000000000000002E-2</v>
      </c>
      <c r="H1061" s="1" t="str">
        <f>HYPERLINK("http://www.weizmann.ac.il/complex/compphys/software/geview/data/figures/217825_s_at.png","Figure")</f>
        <v>Figure</v>
      </c>
      <c r="I1061">
        <v>0.46400000000000002</v>
      </c>
      <c r="J1061">
        <v>1.6000000000000001E-3</v>
      </c>
      <c r="K1061">
        <v>0.67400000000000004</v>
      </c>
      <c r="L1061">
        <v>4.9000000000000002E-2</v>
      </c>
      <c r="M1061">
        <v>1.45</v>
      </c>
      <c r="N1061">
        <v>8.4000000000000005E-2</v>
      </c>
    </row>
    <row r="1062" spans="1:14" x14ac:dyDescent="0.25">
      <c r="A1062" t="s">
        <v>1979</v>
      </c>
      <c r="B1062" t="s">
        <v>1980</v>
      </c>
      <c r="C1062" s="1" t="str">
        <f>HYPERLINK("http://www.genecards.org/cgi-bin/carddisp.pl?gene=MYST4","GeneCards")</f>
        <v>GeneCards</v>
      </c>
      <c r="D1062" s="1" t="str">
        <f>HYPERLINK("http://genome-euro.ucsc.edu/cgi-bin/hgTracks?position=212462_at","UCSC")</f>
        <v>UCSC</v>
      </c>
      <c r="E1062" s="1" t="str">
        <f>HYPERLINK("http://www.ncbi.nlm.nih.gov/gene/?term=MYST4","NCBI")</f>
        <v>NCBI</v>
      </c>
      <c r="F1062">
        <v>2.0999999999999999E-3</v>
      </c>
      <c r="G1062">
        <v>3.4000000000000002E-2</v>
      </c>
      <c r="H1062" s="1" t="str">
        <f>HYPERLINK("http://www.weizmann.ac.il/complex/compphys/software/geview/data/figures/212462_at.png","Figure")</f>
        <v>Figure</v>
      </c>
      <c r="I1062">
        <v>0.53900000000000003</v>
      </c>
      <c r="J1062">
        <v>2.3E-3</v>
      </c>
      <c r="K1062">
        <v>0.65100000000000002</v>
      </c>
      <c r="L1062">
        <v>1.2E-2</v>
      </c>
      <c r="M1062">
        <v>1.21</v>
      </c>
      <c r="N1062">
        <v>0.36</v>
      </c>
    </row>
    <row r="1063" spans="1:14" x14ac:dyDescent="0.25">
      <c r="A1063" t="s">
        <v>1981</v>
      </c>
      <c r="B1063" t="s">
        <v>1982</v>
      </c>
      <c r="C1063" s="1" t="str">
        <f>HYPERLINK("http://www.genecards.org/cgi-bin/carddisp.pl?gene=SF3B3","GeneCards")</f>
        <v>GeneCards</v>
      </c>
      <c r="D1063" s="1" t="str">
        <f>HYPERLINK("http://genome-euro.ucsc.edu/cgi-bin/hgTracks?position=200687_s_at","UCSC")</f>
        <v>UCSC</v>
      </c>
      <c r="E1063" s="1" t="str">
        <f>HYPERLINK("http://www.ncbi.nlm.nih.gov/gene/?term=SF3B3","NCBI")</f>
        <v>NCBI</v>
      </c>
      <c r="F1063">
        <v>2.0999999999999999E-3</v>
      </c>
      <c r="G1063">
        <v>3.4000000000000002E-2</v>
      </c>
      <c r="H1063" s="1" t="str">
        <f>HYPERLINK("http://www.weizmann.ac.il/complex/compphys/software/geview/data/figures/200687_s_at.png","Figure")</f>
        <v>Figure</v>
      </c>
      <c r="I1063">
        <v>1.53</v>
      </c>
      <c r="J1063">
        <v>8.8999999999999999E-3</v>
      </c>
      <c r="K1063">
        <v>1.55</v>
      </c>
      <c r="L1063">
        <v>2.7000000000000001E-3</v>
      </c>
      <c r="M1063">
        <v>1.01</v>
      </c>
      <c r="N1063">
        <v>0.99</v>
      </c>
    </row>
    <row r="1064" spans="1:14" x14ac:dyDescent="0.25">
      <c r="A1064" t="s">
        <v>1983</v>
      </c>
      <c r="B1064" t="s">
        <v>1984</v>
      </c>
      <c r="C1064" s="1" t="str">
        <f>HYPERLINK("http://www.genecards.org/cgi-bin/carddisp.pl?gene=PSMG1","GeneCards")</f>
        <v>GeneCards</v>
      </c>
      <c r="D1064" s="1" t="str">
        <f>HYPERLINK("http://genome-euro.ucsc.edu/cgi-bin/hgTracks?position=203405_at","UCSC")</f>
        <v>UCSC</v>
      </c>
      <c r="E1064" s="1" t="str">
        <f>HYPERLINK("http://www.ncbi.nlm.nih.gov/gene/?term=PSMG1","NCBI")</f>
        <v>NCBI</v>
      </c>
      <c r="F1064">
        <v>2.0999999999999999E-3</v>
      </c>
      <c r="G1064">
        <v>3.4000000000000002E-2</v>
      </c>
      <c r="H1064" s="1" t="str">
        <f>HYPERLINK("http://www.weizmann.ac.il/complex/compphys/software/geview/data/figures/203405_at.png","Figure")</f>
        <v>Figure</v>
      </c>
      <c r="I1064">
        <v>0.58399999999999996</v>
      </c>
      <c r="J1064">
        <v>2.1000000000000001E-2</v>
      </c>
      <c r="K1064">
        <v>1.2</v>
      </c>
      <c r="L1064">
        <v>0.46</v>
      </c>
      <c r="M1064">
        <v>2.06</v>
      </c>
      <c r="N1064">
        <v>1.6000000000000001E-3</v>
      </c>
    </row>
    <row r="1065" spans="1:14" x14ac:dyDescent="0.25">
      <c r="A1065" t="s">
        <v>1985</v>
      </c>
      <c r="B1065" t="s">
        <v>1986</v>
      </c>
      <c r="C1065" s="1" t="str">
        <f>HYPERLINK("http://www.genecards.org/cgi-bin/carddisp.pl?gene=CEP55","GeneCards")</f>
        <v>GeneCards</v>
      </c>
      <c r="D1065" s="1" t="str">
        <f>HYPERLINK("http://genome-euro.ucsc.edu/cgi-bin/hgTracks?position=218542_at","UCSC")</f>
        <v>UCSC</v>
      </c>
      <c r="E1065" s="1" t="str">
        <f>HYPERLINK("http://www.ncbi.nlm.nih.gov/gene/?term=CEP55","NCBI")</f>
        <v>NCBI</v>
      </c>
      <c r="F1065">
        <v>2.0999999999999999E-3</v>
      </c>
      <c r="G1065">
        <v>3.4000000000000002E-2</v>
      </c>
      <c r="H1065" s="1" t="str">
        <f>HYPERLINK("http://www.weizmann.ac.il/complex/compphys/software/geview/data/figures/218542_at.png","Figure")</f>
        <v>Figure</v>
      </c>
      <c r="I1065">
        <v>0.57799999999999996</v>
      </c>
      <c r="J1065">
        <v>0.14000000000000001</v>
      </c>
      <c r="K1065">
        <v>1.78</v>
      </c>
      <c r="L1065">
        <v>7.1999999999999995E-2</v>
      </c>
      <c r="M1065">
        <v>3.07</v>
      </c>
      <c r="N1065">
        <v>1.6999999999999999E-3</v>
      </c>
    </row>
    <row r="1066" spans="1:14" x14ac:dyDescent="0.25">
      <c r="A1066" t="s">
        <v>1987</v>
      </c>
      <c r="B1066" t="s">
        <v>1988</v>
      </c>
      <c r="C1066" s="1" t="str">
        <f>HYPERLINK("http://www.genecards.org/cgi-bin/carddisp.pl?gene=LOC642585 /// VDAC1","GeneCards")</f>
        <v>GeneCards</v>
      </c>
      <c r="D1066" s="1" t="str">
        <f>HYPERLINK("http://genome-euro.ucsc.edu/cgi-bin/hgTracks?position=217139_at","UCSC")</f>
        <v>UCSC</v>
      </c>
      <c r="E1066" s="1" t="str">
        <f>HYPERLINK("http://www.ncbi.nlm.nih.gov/gene/?term=LOC642585 /// VDAC1","NCBI")</f>
        <v>NCBI</v>
      </c>
      <c r="F1066">
        <v>2.0999999999999999E-3</v>
      </c>
      <c r="G1066">
        <v>3.4000000000000002E-2</v>
      </c>
      <c r="H1066" s="1" t="str">
        <f>HYPERLINK("http://www.weizmann.ac.il/complex/compphys/software/geview/data/figures/217139_at.png","Figure")</f>
        <v>Figure</v>
      </c>
      <c r="I1066">
        <v>1.22</v>
      </c>
      <c r="J1066">
        <v>1.8E-3</v>
      </c>
      <c r="K1066">
        <v>1.1200000000000001</v>
      </c>
      <c r="L1066">
        <v>2.4E-2</v>
      </c>
      <c r="M1066">
        <v>0.92500000000000004</v>
      </c>
      <c r="N1066">
        <v>0.18</v>
      </c>
    </row>
    <row r="1067" spans="1:14" x14ac:dyDescent="0.25">
      <c r="A1067" t="s">
        <v>1989</v>
      </c>
      <c r="B1067" t="s">
        <v>1990</v>
      </c>
      <c r="C1067" s="1" t="str">
        <f>HYPERLINK("http://www.genecards.org/cgi-bin/carddisp.pl?gene=GPX7","GeneCards")</f>
        <v>GeneCards</v>
      </c>
      <c r="D1067" s="1" t="str">
        <f>HYPERLINK("http://genome-euro.ucsc.edu/cgi-bin/hgTracks?position=213170_at","UCSC")</f>
        <v>UCSC</v>
      </c>
      <c r="E1067" s="1" t="str">
        <f>HYPERLINK("http://www.ncbi.nlm.nih.gov/gene/?term=GPX7","NCBI")</f>
        <v>NCBI</v>
      </c>
      <c r="F1067">
        <v>2.2000000000000001E-3</v>
      </c>
      <c r="G1067">
        <v>3.4000000000000002E-2</v>
      </c>
      <c r="H1067" s="1" t="str">
        <f>HYPERLINK("http://www.weizmann.ac.il/complex/compphys/software/geview/data/figures/213170_at.png","Figure")</f>
        <v>Figure</v>
      </c>
      <c r="I1067">
        <v>0.84599999999999997</v>
      </c>
      <c r="J1067">
        <v>0.7</v>
      </c>
      <c r="K1067">
        <v>1.83</v>
      </c>
      <c r="L1067">
        <v>1.2E-2</v>
      </c>
      <c r="M1067">
        <v>2.16</v>
      </c>
      <c r="N1067">
        <v>3.5999999999999999E-3</v>
      </c>
    </row>
    <row r="1068" spans="1:14" x14ac:dyDescent="0.25">
      <c r="A1068" t="s">
        <v>1991</v>
      </c>
      <c r="B1068" t="s">
        <v>1992</v>
      </c>
      <c r="C1068" s="1" t="str">
        <f>HYPERLINK("http://www.genecards.org/cgi-bin/carddisp.pl?gene=KLC2","GeneCards")</f>
        <v>GeneCards</v>
      </c>
      <c r="D1068" s="1" t="str">
        <f>HYPERLINK("http://genome-euro.ucsc.edu/cgi-bin/hgTracks?position=218906_x_at","UCSC")</f>
        <v>UCSC</v>
      </c>
      <c r="E1068" s="1" t="str">
        <f>HYPERLINK("http://www.ncbi.nlm.nih.gov/gene/?term=KLC2","NCBI")</f>
        <v>NCBI</v>
      </c>
      <c r="F1068">
        <v>2.2000000000000001E-3</v>
      </c>
      <c r="G1068">
        <v>3.4000000000000002E-2</v>
      </c>
      <c r="H1068" s="1" t="str">
        <f>HYPERLINK("http://www.weizmann.ac.il/complex/compphys/software/geview/data/figures/218906_x_at.png","Figure")</f>
        <v>Figure</v>
      </c>
      <c r="I1068">
        <v>1.1599999999999999</v>
      </c>
      <c r="J1068">
        <v>1.4E-2</v>
      </c>
      <c r="K1068">
        <v>1.19</v>
      </c>
      <c r="L1068">
        <v>2.2000000000000001E-3</v>
      </c>
      <c r="M1068">
        <v>1.02</v>
      </c>
      <c r="N1068">
        <v>0.89</v>
      </c>
    </row>
    <row r="1069" spans="1:14" x14ac:dyDescent="0.25">
      <c r="A1069" t="s">
        <v>1993</v>
      </c>
      <c r="B1069" t="s">
        <v>1994</v>
      </c>
      <c r="C1069" s="1" t="str">
        <f>HYPERLINK("http://www.genecards.org/cgi-bin/carddisp.pl?gene=CSGALNACT1","GeneCards")</f>
        <v>GeneCards</v>
      </c>
      <c r="D1069" s="1" t="str">
        <f>HYPERLINK("http://genome-euro.ucsc.edu/cgi-bin/hgTracks?position=219049_at","UCSC")</f>
        <v>UCSC</v>
      </c>
      <c r="E1069" s="1" t="str">
        <f>HYPERLINK("http://www.ncbi.nlm.nih.gov/gene/?term=CSGALNACT1","NCBI")</f>
        <v>NCBI</v>
      </c>
      <c r="F1069">
        <v>2.0999999999999999E-3</v>
      </c>
      <c r="G1069">
        <v>3.4000000000000002E-2</v>
      </c>
      <c r="H1069" s="1" t="str">
        <f>HYPERLINK("http://www.weizmann.ac.il/complex/compphys/software/geview/data/figures/219049_at.png","Figure")</f>
        <v>Figure</v>
      </c>
      <c r="I1069">
        <v>0.186</v>
      </c>
      <c r="J1069">
        <v>2.0999999999999999E-3</v>
      </c>
      <c r="K1069">
        <v>0.67200000000000004</v>
      </c>
      <c r="L1069">
        <v>0.49</v>
      </c>
      <c r="M1069">
        <v>3.62</v>
      </c>
      <c r="N1069">
        <v>9.1000000000000004E-3</v>
      </c>
    </row>
    <row r="1070" spans="1:14" x14ac:dyDescent="0.25">
      <c r="A1070" t="s">
        <v>1995</v>
      </c>
      <c r="B1070" t="s">
        <v>1996</v>
      </c>
      <c r="C1070" s="1" t="str">
        <f>HYPERLINK("http://www.genecards.org/cgi-bin/carddisp.pl?gene=MRPS14","GeneCards")</f>
        <v>GeneCards</v>
      </c>
      <c r="D1070" s="1" t="str">
        <f>HYPERLINK("http://genome-euro.ucsc.edu/cgi-bin/hgTracks?position=203800_s_at","UCSC")</f>
        <v>UCSC</v>
      </c>
      <c r="E1070" s="1" t="str">
        <f>HYPERLINK("http://www.ncbi.nlm.nih.gov/gene/?term=MRPS14","NCBI")</f>
        <v>NCBI</v>
      </c>
      <c r="F1070">
        <v>2.2000000000000001E-3</v>
      </c>
      <c r="G1070">
        <v>3.4000000000000002E-2</v>
      </c>
      <c r="H1070" s="1" t="str">
        <f>HYPERLINK("http://www.weizmann.ac.il/complex/compphys/software/geview/data/figures/203800_s_at.png","Figure")</f>
        <v>Figure</v>
      </c>
      <c r="I1070">
        <v>1.56</v>
      </c>
      <c r="J1070">
        <v>0.11</v>
      </c>
      <c r="K1070">
        <v>2.2200000000000002</v>
      </c>
      <c r="L1070">
        <v>1.6000000000000001E-3</v>
      </c>
      <c r="M1070">
        <v>1.42</v>
      </c>
      <c r="N1070">
        <v>0.19</v>
      </c>
    </row>
    <row r="1071" spans="1:14" x14ac:dyDescent="0.25">
      <c r="A1071" t="s">
        <v>1997</v>
      </c>
      <c r="B1071" t="s">
        <v>1998</v>
      </c>
      <c r="C1071" s="1" t="str">
        <f>HYPERLINK("http://www.genecards.org/cgi-bin/carddisp.pl?gene=SLC12A6","GeneCards")</f>
        <v>GeneCards</v>
      </c>
      <c r="D1071" s="1" t="str">
        <f>HYPERLINK("http://genome-euro.ucsc.edu/cgi-bin/hgTracks?position=220740_s_at","UCSC")</f>
        <v>UCSC</v>
      </c>
      <c r="E1071" s="1" t="str">
        <f>HYPERLINK("http://www.ncbi.nlm.nih.gov/gene/?term=SLC12A6","NCBI")</f>
        <v>NCBI</v>
      </c>
      <c r="F1071">
        <v>2.2000000000000001E-3</v>
      </c>
      <c r="G1071">
        <v>3.4000000000000002E-2</v>
      </c>
      <c r="H1071" s="1" t="str">
        <f>HYPERLINK("http://www.weizmann.ac.il/complex/compphys/software/geview/data/figures/220740_s_at.png","Figure")</f>
        <v>Figure</v>
      </c>
      <c r="I1071">
        <v>0.82799999999999996</v>
      </c>
      <c r="J1071">
        <v>0.66</v>
      </c>
      <c r="K1071">
        <v>0.45300000000000001</v>
      </c>
      <c r="L1071">
        <v>2.5000000000000001E-3</v>
      </c>
      <c r="M1071">
        <v>0.54700000000000004</v>
      </c>
      <c r="N1071">
        <v>2.4E-2</v>
      </c>
    </row>
    <row r="1072" spans="1:14" x14ac:dyDescent="0.25">
      <c r="A1072" t="s">
        <v>1999</v>
      </c>
      <c r="B1072" t="s">
        <v>611</v>
      </c>
      <c r="C1072" s="1" t="str">
        <f>HYPERLINK("http://www.genecards.org/cgi-bin/carddisp.pl?gene=PIK3IP1","GeneCards")</f>
        <v>GeneCards</v>
      </c>
      <c r="D1072" s="1" t="str">
        <f>HYPERLINK("http://genome-euro.ucsc.edu/cgi-bin/hgTracks?position=221757_at","UCSC")</f>
        <v>UCSC</v>
      </c>
      <c r="E1072" s="1" t="str">
        <f>HYPERLINK("http://www.ncbi.nlm.nih.gov/gene/?term=PIK3IP1","NCBI")</f>
        <v>NCBI</v>
      </c>
      <c r="F1072">
        <v>2.2000000000000001E-3</v>
      </c>
      <c r="G1072">
        <v>3.4000000000000002E-2</v>
      </c>
      <c r="H1072" s="1" t="str">
        <f>HYPERLINK("http://www.weizmann.ac.il/complex/compphys/software/geview/data/figures/221757_at.png","Figure")</f>
        <v>Figure</v>
      </c>
      <c r="I1072">
        <v>1.1100000000000001</v>
      </c>
      <c r="J1072">
        <v>0.45</v>
      </c>
      <c r="K1072">
        <v>0.79700000000000004</v>
      </c>
      <c r="L1072">
        <v>2.1000000000000001E-2</v>
      </c>
      <c r="M1072">
        <v>0.71799999999999997</v>
      </c>
      <c r="N1072">
        <v>2.5999999999999999E-3</v>
      </c>
    </row>
    <row r="1073" spans="1:14" x14ac:dyDescent="0.25">
      <c r="A1073" t="s">
        <v>2000</v>
      </c>
      <c r="B1073" t="s">
        <v>2001</v>
      </c>
      <c r="C1073" s="1" t="str">
        <f>HYPERLINK("http://www.genecards.org/cgi-bin/carddisp.pl?gene=NCAPD3","GeneCards")</f>
        <v>GeneCards</v>
      </c>
      <c r="D1073" s="1" t="str">
        <f>HYPERLINK("http://genome-euro.ucsc.edu/cgi-bin/hgTracks?position=212789_at","UCSC")</f>
        <v>UCSC</v>
      </c>
      <c r="E1073" s="1" t="str">
        <f>HYPERLINK("http://www.ncbi.nlm.nih.gov/gene/?term=NCAPD3","NCBI")</f>
        <v>NCBI</v>
      </c>
      <c r="F1073">
        <v>2.2000000000000001E-3</v>
      </c>
      <c r="G1073">
        <v>3.4000000000000002E-2</v>
      </c>
      <c r="H1073" s="1" t="str">
        <f>HYPERLINK("http://www.weizmann.ac.il/complex/compphys/software/geview/data/figures/212789_at.png","Figure")</f>
        <v>Figure</v>
      </c>
      <c r="I1073">
        <v>1.99</v>
      </c>
      <c r="J1073">
        <v>3.3000000000000002E-2</v>
      </c>
      <c r="K1073">
        <v>2.5499999999999998</v>
      </c>
      <c r="L1073">
        <v>1.6999999999999999E-3</v>
      </c>
      <c r="M1073">
        <v>1.28</v>
      </c>
      <c r="N1073">
        <v>0.53</v>
      </c>
    </row>
    <row r="1074" spans="1:14" x14ac:dyDescent="0.25">
      <c r="A1074" t="s">
        <v>2002</v>
      </c>
      <c r="B1074" t="s">
        <v>2003</v>
      </c>
      <c r="C1074" s="1" t="str">
        <f>HYPERLINK("http://www.genecards.org/cgi-bin/carddisp.pl?gene=TRAK1","GeneCards")</f>
        <v>GeneCards</v>
      </c>
      <c r="D1074" s="1" t="str">
        <f>HYPERLINK("http://genome-euro.ucsc.edu/cgi-bin/hgTracks?position=202080_s_at","UCSC")</f>
        <v>UCSC</v>
      </c>
      <c r="E1074" s="1" t="str">
        <f>HYPERLINK("http://www.ncbi.nlm.nih.gov/gene/?term=TRAK1","NCBI")</f>
        <v>NCBI</v>
      </c>
      <c r="F1074">
        <v>2.2000000000000001E-3</v>
      </c>
      <c r="G1074">
        <v>3.4000000000000002E-2</v>
      </c>
      <c r="H1074" s="1" t="str">
        <f>HYPERLINK("http://www.weizmann.ac.il/complex/compphys/software/geview/data/figures/202080_s_at.png","Figure")</f>
        <v>Figure</v>
      </c>
      <c r="I1074">
        <v>1.38</v>
      </c>
      <c r="J1074">
        <v>1.2999999999999999E-2</v>
      </c>
      <c r="K1074">
        <v>1.43</v>
      </c>
      <c r="L1074">
        <v>2.3E-3</v>
      </c>
      <c r="M1074">
        <v>1.04</v>
      </c>
      <c r="N1074">
        <v>0.9</v>
      </c>
    </row>
    <row r="1075" spans="1:14" x14ac:dyDescent="0.25">
      <c r="A1075" t="s">
        <v>2004</v>
      </c>
      <c r="B1075" t="s">
        <v>2005</v>
      </c>
      <c r="C1075" s="1" t="str">
        <f>HYPERLINK("http://www.genecards.org/cgi-bin/carddisp.pl?gene=ATP13A2","GeneCards")</f>
        <v>GeneCards</v>
      </c>
      <c r="D1075" s="1" t="str">
        <f>HYPERLINK("http://genome-euro.ucsc.edu/cgi-bin/hgTracks?position=218608_at","UCSC")</f>
        <v>UCSC</v>
      </c>
      <c r="E1075" s="1" t="str">
        <f>HYPERLINK("http://www.ncbi.nlm.nih.gov/gene/?term=ATP13A2","NCBI")</f>
        <v>NCBI</v>
      </c>
      <c r="F1075">
        <v>2.2000000000000001E-3</v>
      </c>
      <c r="G1075">
        <v>3.4000000000000002E-2</v>
      </c>
      <c r="H1075" s="1" t="str">
        <f>HYPERLINK("http://www.weizmann.ac.il/complex/compphys/software/geview/data/figures/218608_at.png","Figure")</f>
        <v>Figure</v>
      </c>
      <c r="I1075">
        <v>0.80500000000000005</v>
      </c>
      <c r="J1075">
        <v>0.43</v>
      </c>
      <c r="K1075">
        <v>1.57</v>
      </c>
      <c r="L1075">
        <v>2.3E-2</v>
      </c>
      <c r="M1075">
        <v>1.96</v>
      </c>
      <c r="N1075">
        <v>2.5999999999999999E-3</v>
      </c>
    </row>
    <row r="1076" spans="1:14" x14ac:dyDescent="0.25">
      <c r="A1076" t="s">
        <v>2006</v>
      </c>
      <c r="B1076" t="s">
        <v>2007</v>
      </c>
      <c r="C1076" s="1" t="str">
        <f>HYPERLINK("http://www.genecards.org/cgi-bin/carddisp.pl?gene=ANKRA2","GeneCards")</f>
        <v>GeneCards</v>
      </c>
      <c r="D1076" s="1" t="str">
        <f>HYPERLINK("http://genome-euro.ucsc.edu/cgi-bin/hgTracks?position=218769_s_at","UCSC")</f>
        <v>UCSC</v>
      </c>
      <c r="E1076" s="1" t="str">
        <f>HYPERLINK("http://www.ncbi.nlm.nih.gov/gene/?term=ANKRA2","NCBI")</f>
        <v>NCBI</v>
      </c>
      <c r="F1076">
        <v>2.2000000000000001E-3</v>
      </c>
      <c r="G1076">
        <v>3.4000000000000002E-2</v>
      </c>
      <c r="H1076" s="1" t="str">
        <f>HYPERLINK("http://www.weizmann.ac.il/complex/compphys/software/geview/data/figures/218769_s_at.png","Figure")</f>
        <v>Figure</v>
      </c>
      <c r="I1076">
        <v>0.44600000000000001</v>
      </c>
      <c r="J1076">
        <v>5.1000000000000004E-3</v>
      </c>
      <c r="K1076">
        <v>0.48499999999999999</v>
      </c>
      <c r="L1076">
        <v>4.1999999999999997E-3</v>
      </c>
      <c r="M1076">
        <v>1.0900000000000001</v>
      </c>
      <c r="N1076">
        <v>0.9</v>
      </c>
    </row>
    <row r="1077" spans="1:14" x14ac:dyDescent="0.25">
      <c r="A1077" t="s">
        <v>2008</v>
      </c>
      <c r="B1077" t="s">
        <v>2009</v>
      </c>
      <c r="C1077" s="1" t="str">
        <f>HYPERLINK("http://www.genecards.org/cgi-bin/carddisp.pl?gene=SPATA2","GeneCards")</f>
        <v>GeneCards</v>
      </c>
      <c r="D1077" s="1" t="str">
        <f>HYPERLINK("http://genome-euro.ucsc.edu/cgi-bin/hgTracks?position=204434_at","UCSC")</f>
        <v>UCSC</v>
      </c>
      <c r="E1077" s="1" t="str">
        <f>HYPERLINK("http://www.ncbi.nlm.nih.gov/gene/?term=SPATA2","NCBI")</f>
        <v>NCBI</v>
      </c>
      <c r="F1077">
        <v>2.2000000000000001E-3</v>
      </c>
      <c r="G1077">
        <v>3.5000000000000003E-2</v>
      </c>
      <c r="H1077" s="1" t="str">
        <f>HYPERLINK("http://www.weizmann.ac.il/complex/compphys/software/geview/data/figures/204434_at.png","Figure")</f>
        <v>Figure</v>
      </c>
      <c r="I1077">
        <v>1.01</v>
      </c>
      <c r="J1077">
        <v>1</v>
      </c>
      <c r="K1077">
        <v>0.68200000000000005</v>
      </c>
      <c r="L1077">
        <v>5.4000000000000003E-3</v>
      </c>
      <c r="M1077">
        <v>0.67600000000000005</v>
      </c>
      <c r="N1077">
        <v>7.4000000000000003E-3</v>
      </c>
    </row>
    <row r="1078" spans="1:14" x14ac:dyDescent="0.25">
      <c r="A1078" t="s">
        <v>2010</v>
      </c>
      <c r="B1078" t="s">
        <v>2011</v>
      </c>
      <c r="C1078" s="1" t="str">
        <f>HYPERLINK("http://www.genecards.org/cgi-bin/carddisp.pl?gene=PBXIP1","GeneCards")</f>
        <v>GeneCards</v>
      </c>
      <c r="D1078" s="1" t="str">
        <f>HYPERLINK("http://genome-euro.ucsc.edu/cgi-bin/hgTracks?position=212259_s_at","UCSC")</f>
        <v>UCSC</v>
      </c>
      <c r="E1078" s="1" t="str">
        <f>HYPERLINK("http://www.ncbi.nlm.nih.gov/gene/?term=PBXIP1","NCBI")</f>
        <v>NCBI</v>
      </c>
      <c r="F1078">
        <v>2.2000000000000001E-3</v>
      </c>
      <c r="G1078">
        <v>3.5000000000000003E-2</v>
      </c>
      <c r="H1078" s="1" t="str">
        <f>HYPERLINK("http://www.weizmann.ac.il/complex/compphys/software/geview/data/figures/212259_s_at.png","Figure")</f>
        <v>Figure</v>
      </c>
      <c r="I1078">
        <v>1.55</v>
      </c>
      <c r="J1078">
        <v>7.0000000000000001E-3</v>
      </c>
      <c r="K1078">
        <v>0.96599999999999997</v>
      </c>
      <c r="L1078">
        <v>0.94</v>
      </c>
      <c r="M1078">
        <v>0.623</v>
      </c>
      <c r="N1078">
        <v>2.3999999999999998E-3</v>
      </c>
    </row>
    <row r="1079" spans="1:14" x14ac:dyDescent="0.25">
      <c r="A1079" t="s">
        <v>2012</v>
      </c>
      <c r="B1079" t="s">
        <v>2013</v>
      </c>
      <c r="C1079" s="1" t="str">
        <f>HYPERLINK("http://www.genecards.org/cgi-bin/carddisp.pl?gene=ARMC6","GeneCards")</f>
        <v>GeneCards</v>
      </c>
      <c r="D1079" s="1" t="str">
        <f>HYPERLINK("http://genome-euro.ucsc.edu/cgi-bin/hgTracks?position=221758_at","UCSC")</f>
        <v>UCSC</v>
      </c>
      <c r="E1079" s="1" t="str">
        <f>HYPERLINK("http://www.ncbi.nlm.nih.gov/gene/?term=ARMC6","NCBI")</f>
        <v>NCBI</v>
      </c>
      <c r="F1079">
        <v>2.2000000000000001E-3</v>
      </c>
      <c r="G1079">
        <v>3.5000000000000003E-2</v>
      </c>
      <c r="H1079" s="1" t="str">
        <f>HYPERLINK("http://www.weizmann.ac.il/complex/compphys/software/geview/data/figures/221758_at.png","Figure")</f>
        <v>Figure</v>
      </c>
      <c r="I1079">
        <v>1.17</v>
      </c>
      <c r="J1079">
        <v>3.5999999999999997E-2</v>
      </c>
      <c r="K1079">
        <v>1.24</v>
      </c>
      <c r="L1079">
        <v>1.6999999999999999E-3</v>
      </c>
      <c r="M1079">
        <v>1.06</v>
      </c>
      <c r="N1079">
        <v>0.5</v>
      </c>
    </row>
    <row r="1080" spans="1:14" x14ac:dyDescent="0.25">
      <c r="A1080" t="s">
        <v>2014</v>
      </c>
      <c r="B1080" t="s">
        <v>2015</v>
      </c>
      <c r="C1080" s="1" t="str">
        <f>HYPERLINK("http://www.genecards.org/cgi-bin/carddisp.pl?gene=TP53I11","GeneCards")</f>
        <v>GeneCards</v>
      </c>
      <c r="D1080" s="1" t="str">
        <f>HYPERLINK("http://genome-euro.ucsc.edu/cgi-bin/hgTracks?position=203421_at","UCSC")</f>
        <v>UCSC</v>
      </c>
      <c r="E1080" s="1" t="str">
        <f>HYPERLINK("http://www.ncbi.nlm.nih.gov/gene/?term=TP53I11","NCBI")</f>
        <v>NCBI</v>
      </c>
      <c r="F1080">
        <v>2.2000000000000001E-3</v>
      </c>
      <c r="G1080">
        <v>3.5000000000000003E-2</v>
      </c>
      <c r="H1080" s="1" t="str">
        <f>HYPERLINK("http://www.weizmann.ac.il/complex/compphys/software/geview/data/figures/203421_at.png","Figure")</f>
        <v>Figure</v>
      </c>
      <c r="I1080">
        <v>1.72</v>
      </c>
      <c r="J1080">
        <v>1.6999999999999999E-3</v>
      </c>
      <c r="K1080">
        <v>1.35</v>
      </c>
      <c r="L1080">
        <v>3.6999999999999998E-2</v>
      </c>
      <c r="M1080">
        <v>0.78200000000000003</v>
      </c>
      <c r="N1080">
        <v>0.12</v>
      </c>
    </row>
    <row r="1081" spans="1:14" x14ac:dyDescent="0.25">
      <c r="A1081" t="s">
        <v>2016</v>
      </c>
      <c r="B1081" t="s">
        <v>2017</v>
      </c>
      <c r="C1081" s="1" t="str">
        <f>HYPERLINK("http://www.genecards.org/cgi-bin/carddisp.pl?gene=LMO4","GeneCards")</f>
        <v>GeneCards</v>
      </c>
      <c r="D1081" s="1" t="str">
        <f>HYPERLINK("http://genome-euro.ucsc.edu/cgi-bin/hgTracks?position=209205_s_at","UCSC")</f>
        <v>UCSC</v>
      </c>
      <c r="E1081" s="1" t="str">
        <f>HYPERLINK("http://www.ncbi.nlm.nih.gov/gene/?term=LMO4","NCBI")</f>
        <v>NCBI</v>
      </c>
      <c r="F1081">
        <v>2.2000000000000001E-3</v>
      </c>
      <c r="G1081">
        <v>3.5000000000000003E-2</v>
      </c>
      <c r="H1081" s="1" t="str">
        <f>HYPERLINK("http://www.weizmann.ac.il/complex/compphys/software/geview/data/figures/209205_s_at.png","Figure")</f>
        <v>Figure</v>
      </c>
      <c r="I1081">
        <v>0.72399999999999998</v>
      </c>
      <c r="J1081">
        <v>0.23</v>
      </c>
      <c r="K1081">
        <v>0.48299999999999998</v>
      </c>
      <c r="L1081">
        <v>1.6999999999999999E-3</v>
      </c>
      <c r="M1081">
        <v>0.66700000000000004</v>
      </c>
      <c r="N1081">
        <v>8.7999999999999995E-2</v>
      </c>
    </row>
    <row r="1082" spans="1:14" x14ac:dyDescent="0.25">
      <c r="A1082" t="s">
        <v>2018</v>
      </c>
      <c r="B1082" t="s">
        <v>2019</v>
      </c>
      <c r="C1082" s="1" t="str">
        <f>HYPERLINK("http://www.genecards.org/cgi-bin/carddisp.pl?gene=FGF21","GeneCards")</f>
        <v>GeneCards</v>
      </c>
      <c r="D1082" s="1" t="str">
        <f>HYPERLINK("http://genome-euro.ucsc.edu/cgi-bin/hgTracks?position=221433_at","UCSC")</f>
        <v>UCSC</v>
      </c>
      <c r="E1082" s="1" t="str">
        <f>HYPERLINK("http://www.ncbi.nlm.nih.gov/gene/?term=FGF21","NCBI")</f>
        <v>NCBI</v>
      </c>
      <c r="F1082">
        <v>2.2000000000000001E-3</v>
      </c>
      <c r="G1082">
        <v>3.5000000000000003E-2</v>
      </c>
      <c r="H1082" s="1" t="str">
        <f>HYPERLINK("http://www.weizmann.ac.il/complex/compphys/software/geview/data/figures/221433_at.png","Figure")</f>
        <v>Figure</v>
      </c>
      <c r="I1082">
        <v>1.19</v>
      </c>
      <c r="J1082">
        <v>1.6999999999999999E-3</v>
      </c>
      <c r="K1082">
        <v>1.1000000000000001</v>
      </c>
      <c r="L1082">
        <v>4.2000000000000003E-2</v>
      </c>
      <c r="M1082">
        <v>0.92100000000000004</v>
      </c>
      <c r="N1082">
        <v>0.1</v>
      </c>
    </row>
    <row r="1083" spans="1:14" x14ac:dyDescent="0.25">
      <c r="A1083" t="s">
        <v>2020</v>
      </c>
      <c r="B1083" t="s">
        <v>2021</v>
      </c>
      <c r="C1083" s="1" t="str">
        <f>HYPERLINK("http://www.genecards.org/cgi-bin/carddisp.pl?gene=ZNF134","GeneCards")</f>
        <v>GeneCards</v>
      </c>
      <c r="D1083" s="1" t="str">
        <f>HYPERLINK("http://genome-euro.ucsc.edu/cgi-bin/hgTracks?position=206182_at","UCSC")</f>
        <v>UCSC</v>
      </c>
      <c r="E1083" s="1" t="str">
        <f>HYPERLINK("http://www.ncbi.nlm.nih.gov/gene/?term=ZNF134","NCBI")</f>
        <v>NCBI</v>
      </c>
      <c r="F1083">
        <v>2.2000000000000001E-3</v>
      </c>
      <c r="G1083">
        <v>3.5000000000000003E-2</v>
      </c>
      <c r="H1083" s="1" t="str">
        <f>HYPERLINK("http://www.weizmann.ac.il/complex/compphys/software/geview/data/figures/206182_at.png","Figure")</f>
        <v>Figure</v>
      </c>
      <c r="I1083">
        <v>1.1000000000000001</v>
      </c>
      <c r="J1083">
        <v>0.8</v>
      </c>
      <c r="K1083">
        <v>0.626</v>
      </c>
      <c r="L1083">
        <v>9.9000000000000008E-3</v>
      </c>
      <c r="M1083">
        <v>0.56699999999999995</v>
      </c>
      <c r="N1083">
        <v>4.3E-3</v>
      </c>
    </row>
    <row r="1084" spans="1:14" x14ac:dyDescent="0.25">
      <c r="A1084" t="s">
        <v>2022</v>
      </c>
      <c r="B1084" t="s">
        <v>1660</v>
      </c>
      <c r="C1084" s="1" t="str">
        <f>HYPERLINK("http://www.genecards.org/cgi-bin/carddisp.pl?gene=ANXA2","GeneCards")</f>
        <v>GeneCards</v>
      </c>
      <c r="D1084" s="1" t="str">
        <f>HYPERLINK("http://genome-euro.ucsc.edu/cgi-bin/hgTracks?position=201590_x_at","UCSC")</f>
        <v>UCSC</v>
      </c>
      <c r="E1084" s="1" t="str">
        <f>HYPERLINK("http://www.ncbi.nlm.nih.gov/gene/?term=ANXA2","NCBI")</f>
        <v>NCBI</v>
      </c>
      <c r="F1084">
        <v>2.2000000000000001E-3</v>
      </c>
      <c r="G1084">
        <v>3.5000000000000003E-2</v>
      </c>
      <c r="H1084" s="1" t="str">
        <f>HYPERLINK("http://www.weizmann.ac.il/complex/compphys/software/geview/data/figures/201590_x_at.png","Figure")</f>
        <v>Figure</v>
      </c>
      <c r="I1084">
        <v>1.71</v>
      </c>
      <c r="J1084">
        <v>0.25</v>
      </c>
      <c r="K1084">
        <v>3.46</v>
      </c>
      <c r="L1084">
        <v>1.8E-3</v>
      </c>
      <c r="M1084">
        <v>2.0299999999999998</v>
      </c>
      <c r="N1084">
        <v>8.1000000000000003E-2</v>
      </c>
    </row>
    <row r="1085" spans="1:14" x14ac:dyDescent="0.25">
      <c r="A1085" t="s">
        <v>2023</v>
      </c>
      <c r="B1085" t="s">
        <v>2024</v>
      </c>
      <c r="C1085" s="1" t="str">
        <f>HYPERLINK("http://www.genecards.org/cgi-bin/carddisp.pl?gene=CASP1","GeneCards")</f>
        <v>GeneCards</v>
      </c>
      <c r="D1085" s="1" t="str">
        <f>HYPERLINK("http://genome-euro.ucsc.edu/cgi-bin/hgTracks?position=206011_at","UCSC")</f>
        <v>UCSC</v>
      </c>
      <c r="E1085" s="1" t="str">
        <f>HYPERLINK("http://www.ncbi.nlm.nih.gov/gene/?term=CASP1","NCBI")</f>
        <v>NCBI</v>
      </c>
      <c r="F1085">
        <v>2.2000000000000001E-3</v>
      </c>
      <c r="G1085">
        <v>3.5000000000000003E-2</v>
      </c>
      <c r="H1085" s="1" t="str">
        <f>HYPERLINK("http://www.weizmann.ac.il/complex/compphys/software/geview/data/figures/206011_at.png","Figure")</f>
        <v>Figure</v>
      </c>
      <c r="I1085">
        <v>0.45500000000000002</v>
      </c>
      <c r="J1085">
        <v>1.6E-2</v>
      </c>
      <c r="K1085">
        <v>1.24</v>
      </c>
      <c r="L1085">
        <v>0.56999999999999995</v>
      </c>
      <c r="M1085">
        <v>2.73</v>
      </c>
      <c r="N1085">
        <v>1.8E-3</v>
      </c>
    </row>
    <row r="1086" spans="1:14" x14ac:dyDescent="0.25">
      <c r="A1086" t="s">
        <v>2025</v>
      </c>
      <c r="B1086" t="s">
        <v>2026</v>
      </c>
      <c r="C1086" s="1" t="str">
        <f>HYPERLINK("http://www.genecards.org/cgi-bin/carddisp.pl?gene=PPP1CA","GeneCards")</f>
        <v>GeneCards</v>
      </c>
      <c r="D1086" s="1" t="str">
        <f>HYPERLINK("http://genome-euro.ucsc.edu/cgi-bin/hgTracks?position=200846_s_at","UCSC")</f>
        <v>UCSC</v>
      </c>
      <c r="E1086" s="1" t="str">
        <f>HYPERLINK("http://www.ncbi.nlm.nih.gov/gene/?term=PPP1CA","NCBI")</f>
        <v>NCBI</v>
      </c>
      <c r="F1086">
        <v>2.2000000000000001E-3</v>
      </c>
      <c r="G1086">
        <v>3.5000000000000003E-2</v>
      </c>
      <c r="H1086" s="1" t="str">
        <f>HYPERLINK("http://www.weizmann.ac.il/complex/compphys/software/geview/data/figures/200846_s_at.png","Figure")</f>
        <v>Figure</v>
      </c>
      <c r="I1086">
        <v>1.25</v>
      </c>
      <c r="J1086">
        <v>0.45</v>
      </c>
      <c r="K1086">
        <v>2</v>
      </c>
      <c r="L1086">
        <v>2.0999999999999999E-3</v>
      </c>
      <c r="M1086">
        <v>1.59</v>
      </c>
      <c r="N1086">
        <v>4.1000000000000002E-2</v>
      </c>
    </row>
    <row r="1087" spans="1:14" x14ac:dyDescent="0.25">
      <c r="A1087" t="s">
        <v>2027</v>
      </c>
      <c r="B1087" t="s">
        <v>2028</v>
      </c>
      <c r="C1087" s="1" t="str">
        <f>HYPERLINK("http://www.genecards.org/cgi-bin/carddisp.pl?gene=VIM","GeneCards")</f>
        <v>GeneCards</v>
      </c>
      <c r="D1087" s="1" t="str">
        <f>HYPERLINK("http://genome-euro.ucsc.edu/cgi-bin/hgTracks?position=201426_s_at","UCSC")</f>
        <v>UCSC</v>
      </c>
      <c r="E1087" s="1" t="str">
        <f>HYPERLINK("http://www.ncbi.nlm.nih.gov/gene/?term=VIM","NCBI")</f>
        <v>NCBI</v>
      </c>
      <c r="F1087">
        <v>2.2000000000000001E-3</v>
      </c>
      <c r="G1087">
        <v>3.5000000000000003E-2</v>
      </c>
      <c r="H1087" s="1" t="str">
        <f>HYPERLINK("http://www.weizmann.ac.il/complex/compphys/software/geview/data/figures/201426_s_at.png","Figure")</f>
        <v>Figure</v>
      </c>
      <c r="I1087">
        <v>0.97299999999999998</v>
      </c>
      <c r="J1087">
        <v>1</v>
      </c>
      <c r="K1087">
        <v>2.66</v>
      </c>
      <c r="L1087">
        <v>5.5999999999999999E-3</v>
      </c>
      <c r="M1087">
        <v>2.74</v>
      </c>
      <c r="N1087">
        <v>7.4000000000000003E-3</v>
      </c>
    </row>
    <row r="1088" spans="1:14" x14ac:dyDescent="0.25">
      <c r="A1088" t="s">
        <v>2029</v>
      </c>
      <c r="B1088" t="s">
        <v>1206</v>
      </c>
      <c r="C1088" s="1" t="str">
        <f>HYPERLINK("http://www.genecards.org/cgi-bin/carddisp.pl?gene=FARP1","GeneCards")</f>
        <v>GeneCards</v>
      </c>
      <c r="D1088" s="1" t="str">
        <f>HYPERLINK("http://genome-euro.ucsc.edu/cgi-bin/hgTracks?position=201911_s_at","UCSC")</f>
        <v>UCSC</v>
      </c>
      <c r="E1088" s="1" t="str">
        <f>HYPERLINK("http://www.ncbi.nlm.nih.gov/gene/?term=FARP1","NCBI")</f>
        <v>NCBI</v>
      </c>
      <c r="F1088">
        <v>2.2000000000000001E-3</v>
      </c>
      <c r="G1088">
        <v>3.5000000000000003E-2</v>
      </c>
      <c r="H1088" s="1" t="str">
        <f>HYPERLINK("http://www.weizmann.ac.il/complex/compphys/software/geview/data/figures/201911_s_at.png","Figure")</f>
        <v>Figure</v>
      </c>
      <c r="I1088">
        <v>1.17</v>
      </c>
      <c r="J1088">
        <v>0.4</v>
      </c>
      <c r="K1088">
        <v>0.72899999999999998</v>
      </c>
      <c r="L1088">
        <v>2.5000000000000001E-2</v>
      </c>
      <c r="M1088">
        <v>0.622</v>
      </c>
      <c r="N1088">
        <v>2.5000000000000001E-3</v>
      </c>
    </row>
    <row r="1089" spans="1:14" x14ac:dyDescent="0.25">
      <c r="A1089" t="s">
        <v>2030</v>
      </c>
      <c r="B1089" t="s">
        <v>2031</v>
      </c>
      <c r="C1089" s="1" t="str">
        <f>HYPERLINK("http://www.genecards.org/cgi-bin/carddisp.pl?gene=GPSM2","GeneCards")</f>
        <v>GeneCards</v>
      </c>
      <c r="D1089" s="1" t="str">
        <f>HYPERLINK("http://genome-euro.ucsc.edu/cgi-bin/hgTracks?position=205240_at","UCSC")</f>
        <v>UCSC</v>
      </c>
      <c r="E1089" s="1" t="str">
        <f>HYPERLINK("http://www.ncbi.nlm.nih.gov/gene/?term=GPSM2","NCBI")</f>
        <v>NCBI</v>
      </c>
      <c r="F1089">
        <v>2.2000000000000001E-3</v>
      </c>
      <c r="G1089">
        <v>3.5000000000000003E-2</v>
      </c>
      <c r="H1089" s="1" t="str">
        <f>HYPERLINK("http://www.weizmann.ac.il/complex/compphys/software/geview/data/figures/205240_at.png","Figure")</f>
        <v>Figure</v>
      </c>
      <c r="I1089">
        <v>1.06</v>
      </c>
      <c r="J1089">
        <v>0.74</v>
      </c>
      <c r="K1089">
        <v>1.33</v>
      </c>
      <c r="L1089">
        <v>2.8E-3</v>
      </c>
      <c r="M1089">
        <v>1.26</v>
      </c>
      <c r="N1089">
        <v>2.1000000000000001E-2</v>
      </c>
    </row>
    <row r="1090" spans="1:14" x14ac:dyDescent="0.25">
      <c r="A1090" t="s">
        <v>2032</v>
      </c>
      <c r="B1090" t="s">
        <v>2033</v>
      </c>
      <c r="C1090" s="1" t="str">
        <f>HYPERLINK("http://www.genecards.org/cgi-bin/carddisp.pl?gene=SLC1A5","GeneCards")</f>
        <v>GeneCards</v>
      </c>
      <c r="D1090" s="1" t="str">
        <f>HYPERLINK("http://genome-euro.ucsc.edu/cgi-bin/hgTracks?position=208916_at","UCSC")</f>
        <v>UCSC</v>
      </c>
      <c r="E1090" s="1" t="str">
        <f>HYPERLINK("http://www.ncbi.nlm.nih.gov/gene/?term=SLC1A5","NCBI")</f>
        <v>NCBI</v>
      </c>
      <c r="F1090">
        <v>2.2000000000000001E-3</v>
      </c>
      <c r="G1090">
        <v>3.5000000000000003E-2</v>
      </c>
      <c r="H1090" s="1" t="str">
        <f>HYPERLINK("http://www.weizmann.ac.il/complex/compphys/software/geview/data/figures/208916_at.png","Figure")</f>
        <v>Figure</v>
      </c>
      <c r="I1090">
        <v>1.29</v>
      </c>
      <c r="J1090">
        <v>2.7E-2</v>
      </c>
      <c r="K1090">
        <v>1.39</v>
      </c>
      <c r="L1090">
        <v>1.9E-3</v>
      </c>
      <c r="M1090">
        <v>1.08</v>
      </c>
      <c r="N1090">
        <v>0.63</v>
      </c>
    </row>
    <row r="1091" spans="1:14" x14ac:dyDescent="0.25">
      <c r="A1091" t="s">
        <v>2034</v>
      </c>
      <c r="B1091" t="s">
        <v>2035</v>
      </c>
      <c r="C1091" s="1" t="str">
        <f>HYPERLINK("http://www.genecards.org/cgi-bin/carddisp.pl?gene=TLE3","GeneCards")</f>
        <v>GeneCards</v>
      </c>
      <c r="D1091" s="1" t="str">
        <f>HYPERLINK("http://genome-euro.ucsc.edu/cgi-bin/hgTracks?position=212769_at","UCSC")</f>
        <v>UCSC</v>
      </c>
      <c r="E1091" s="1" t="str">
        <f>HYPERLINK("http://www.ncbi.nlm.nih.gov/gene/?term=TLE3","NCBI")</f>
        <v>NCBI</v>
      </c>
      <c r="F1091">
        <v>2.2000000000000001E-3</v>
      </c>
      <c r="G1091">
        <v>3.5000000000000003E-2</v>
      </c>
      <c r="H1091" s="1" t="str">
        <f>HYPERLINK("http://www.weizmann.ac.il/complex/compphys/software/geview/data/figures/212769_at.png","Figure")</f>
        <v>Figure</v>
      </c>
      <c r="I1091">
        <v>0.872</v>
      </c>
      <c r="J1091">
        <v>0.4</v>
      </c>
      <c r="K1091">
        <v>0.67800000000000005</v>
      </c>
      <c r="L1091">
        <v>2E-3</v>
      </c>
      <c r="M1091">
        <v>0.77700000000000002</v>
      </c>
      <c r="N1091">
        <v>4.9000000000000002E-2</v>
      </c>
    </row>
    <row r="1092" spans="1:14" x14ac:dyDescent="0.25">
      <c r="A1092" t="s">
        <v>2036</v>
      </c>
      <c r="B1092" t="s">
        <v>2037</v>
      </c>
      <c r="C1092" s="1" t="str">
        <f>HYPERLINK("http://www.genecards.org/cgi-bin/carddisp.pl?gene=EI24","GeneCards")</f>
        <v>GeneCards</v>
      </c>
      <c r="D1092" s="1" t="str">
        <f>HYPERLINK("http://genome-euro.ucsc.edu/cgi-bin/hgTracks?position=216396_s_at","UCSC")</f>
        <v>UCSC</v>
      </c>
      <c r="E1092" s="1" t="str">
        <f>HYPERLINK("http://www.ncbi.nlm.nih.gov/gene/?term=EI24","NCBI")</f>
        <v>NCBI</v>
      </c>
      <c r="F1092">
        <v>2.2000000000000001E-3</v>
      </c>
      <c r="G1092">
        <v>3.5000000000000003E-2</v>
      </c>
      <c r="H1092" s="1" t="str">
        <f>HYPERLINK("http://www.weizmann.ac.il/complex/compphys/software/geview/data/figures/216396_s_at.png","Figure")</f>
        <v>Figure</v>
      </c>
      <c r="I1092">
        <v>0.70099999999999996</v>
      </c>
      <c r="J1092">
        <v>2.1000000000000001E-2</v>
      </c>
      <c r="K1092">
        <v>0.64600000000000002</v>
      </c>
      <c r="L1092">
        <v>2E-3</v>
      </c>
      <c r="M1092">
        <v>0.92200000000000004</v>
      </c>
      <c r="N1092">
        <v>0.73</v>
      </c>
    </row>
    <row r="1093" spans="1:14" x14ac:dyDescent="0.25">
      <c r="A1093" t="s">
        <v>2038</v>
      </c>
      <c r="B1093" t="s">
        <v>2039</v>
      </c>
      <c r="C1093" s="1" t="str">
        <f>HYPERLINK("http://www.genecards.org/cgi-bin/carddisp.pl?gene=HS1BP3","GeneCards")</f>
        <v>GeneCards</v>
      </c>
      <c r="D1093" s="1" t="str">
        <f>HYPERLINK("http://genome-euro.ucsc.edu/cgi-bin/hgTracks?position=219020_at","UCSC")</f>
        <v>UCSC</v>
      </c>
      <c r="E1093" s="1" t="str">
        <f>HYPERLINK("http://www.ncbi.nlm.nih.gov/gene/?term=HS1BP3","NCBI")</f>
        <v>NCBI</v>
      </c>
      <c r="F1093">
        <v>2.2000000000000001E-3</v>
      </c>
      <c r="G1093">
        <v>3.5000000000000003E-2</v>
      </c>
      <c r="H1093" s="1" t="str">
        <f>HYPERLINK("http://www.weizmann.ac.il/complex/compphys/software/geview/data/figures/219020_at.png","Figure")</f>
        <v>Figure</v>
      </c>
      <c r="I1093">
        <v>1.27</v>
      </c>
      <c r="J1093">
        <v>1.9E-3</v>
      </c>
      <c r="K1093">
        <v>1.1499999999999999</v>
      </c>
      <c r="L1093">
        <v>2.5000000000000001E-2</v>
      </c>
      <c r="M1093">
        <v>0.90800000000000003</v>
      </c>
      <c r="N1093">
        <v>0.18</v>
      </c>
    </row>
    <row r="1094" spans="1:14" x14ac:dyDescent="0.25">
      <c r="A1094" t="s">
        <v>2040</v>
      </c>
      <c r="B1094" t="s">
        <v>2041</v>
      </c>
      <c r="C1094" s="1" t="str">
        <f>HYPERLINK("http://www.genecards.org/cgi-bin/carddisp.pl?gene=PLXNB2","GeneCards")</f>
        <v>GeneCards</v>
      </c>
      <c r="D1094" s="1" t="str">
        <f>HYPERLINK("http://genome-euro.ucsc.edu/cgi-bin/hgTracks?position=208890_s_at","UCSC")</f>
        <v>UCSC</v>
      </c>
      <c r="E1094" s="1" t="str">
        <f>HYPERLINK("http://www.ncbi.nlm.nih.gov/gene/?term=PLXNB2","NCBI")</f>
        <v>NCBI</v>
      </c>
      <c r="F1094">
        <v>2.2000000000000001E-3</v>
      </c>
      <c r="G1094">
        <v>3.5000000000000003E-2</v>
      </c>
      <c r="H1094" s="1" t="str">
        <f>HYPERLINK("http://www.weizmann.ac.il/complex/compphys/software/geview/data/figures/208890_s_at.png","Figure")</f>
        <v>Figure</v>
      </c>
      <c r="I1094">
        <v>1.64</v>
      </c>
      <c r="J1094">
        <v>3.2000000000000001E-2</v>
      </c>
      <c r="K1094">
        <v>1.95</v>
      </c>
      <c r="L1094">
        <v>1.8E-3</v>
      </c>
      <c r="M1094">
        <v>1.19</v>
      </c>
      <c r="N1094">
        <v>0.55000000000000004</v>
      </c>
    </row>
    <row r="1095" spans="1:14" x14ac:dyDescent="0.25">
      <c r="A1095" t="s">
        <v>2042</v>
      </c>
      <c r="B1095" t="s">
        <v>2043</v>
      </c>
      <c r="C1095" s="1" t="str">
        <f>HYPERLINK("http://www.genecards.org/cgi-bin/carddisp.pl?gene=CCT6A","GeneCards")</f>
        <v>GeneCards</v>
      </c>
      <c r="D1095" s="1" t="str">
        <f>HYPERLINK("http://genome-euro.ucsc.edu/cgi-bin/hgTracks?position=201326_at","UCSC")</f>
        <v>UCSC</v>
      </c>
      <c r="E1095" s="1" t="str">
        <f>HYPERLINK("http://www.ncbi.nlm.nih.gov/gene/?term=CCT6A","NCBI")</f>
        <v>NCBI</v>
      </c>
      <c r="F1095">
        <v>2.2000000000000001E-3</v>
      </c>
      <c r="G1095">
        <v>3.5000000000000003E-2</v>
      </c>
      <c r="H1095" s="1" t="str">
        <f>HYPERLINK("http://www.weizmann.ac.il/complex/compphys/software/geview/data/figures/201326_at.png","Figure")</f>
        <v>Figure</v>
      </c>
      <c r="I1095">
        <v>0.79500000000000004</v>
      </c>
      <c r="J1095">
        <v>0.46</v>
      </c>
      <c r="K1095">
        <v>1.66</v>
      </c>
      <c r="L1095">
        <v>2.1000000000000001E-2</v>
      </c>
      <c r="M1095">
        <v>2.09</v>
      </c>
      <c r="N1095">
        <v>2.8E-3</v>
      </c>
    </row>
    <row r="1096" spans="1:14" x14ac:dyDescent="0.25">
      <c r="A1096" t="s">
        <v>2044</v>
      </c>
      <c r="B1096" t="s">
        <v>2045</v>
      </c>
      <c r="C1096" s="1" t="str">
        <f>HYPERLINK("http://www.genecards.org/cgi-bin/carddisp.pl?gene=RNF11","GeneCards")</f>
        <v>GeneCards</v>
      </c>
      <c r="D1096" s="1" t="str">
        <f>HYPERLINK("http://genome-euro.ucsc.edu/cgi-bin/hgTracks?position=208924_at","UCSC")</f>
        <v>UCSC</v>
      </c>
      <c r="E1096" s="1" t="str">
        <f>HYPERLINK("http://www.ncbi.nlm.nih.gov/gene/?term=RNF11","NCBI")</f>
        <v>NCBI</v>
      </c>
      <c r="F1096">
        <v>2.2000000000000001E-3</v>
      </c>
      <c r="G1096">
        <v>3.5000000000000003E-2</v>
      </c>
      <c r="H1096" s="1" t="str">
        <f>HYPERLINK("http://www.weizmann.ac.il/complex/compphys/software/geview/data/figures/208924_at.png","Figure")</f>
        <v>Figure</v>
      </c>
      <c r="I1096">
        <v>0.34699999999999998</v>
      </c>
      <c r="J1096">
        <v>2.1999999999999999E-2</v>
      </c>
      <c r="K1096">
        <v>0.27</v>
      </c>
      <c r="L1096">
        <v>2E-3</v>
      </c>
      <c r="M1096">
        <v>0.78</v>
      </c>
      <c r="N1096">
        <v>0.72</v>
      </c>
    </row>
    <row r="1097" spans="1:14" x14ac:dyDescent="0.25">
      <c r="A1097" t="s">
        <v>2046</v>
      </c>
      <c r="B1097" t="s">
        <v>197</v>
      </c>
      <c r="C1097" s="1" t="str">
        <f>HYPERLINK("http://www.genecards.org/cgi-bin/carddisp.pl?gene=HLA-DPA1","GeneCards")</f>
        <v>GeneCards</v>
      </c>
      <c r="D1097" s="1" t="str">
        <f>HYPERLINK("http://genome-euro.ucsc.edu/cgi-bin/hgTracks?position=211991_s_at","UCSC")</f>
        <v>UCSC</v>
      </c>
      <c r="E1097" s="1" t="str">
        <f>HYPERLINK("http://www.ncbi.nlm.nih.gov/gene/?term=HLA-DPA1","NCBI")</f>
        <v>NCBI</v>
      </c>
      <c r="F1097">
        <v>2.2000000000000001E-3</v>
      </c>
      <c r="G1097">
        <v>3.5000000000000003E-2</v>
      </c>
      <c r="H1097" s="1" t="str">
        <f>HYPERLINK("http://www.weizmann.ac.il/complex/compphys/software/geview/data/figures/211991_s_at.png","Figure")</f>
        <v>Figure</v>
      </c>
      <c r="I1097">
        <v>0.65900000000000003</v>
      </c>
      <c r="J1097">
        <v>0.27</v>
      </c>
      <c r="K1097">
        <v>0.36899999999999999</v>
      </c>
      <c r="L1097">
        <v>1.8E-3</v>
      </c>
      <c r="M1097">
        <v>0.56100000000000005</v>
      </c>
      <c r="N1097">
        <v>7.5999999999999998E-2</v>
      </c>
    </row>
    <row r="1098" spans="1:14" x14ac:dyDescent="0.25">
      <c r="A1098" t="s">
        <v>2047</v>
      </c>
      <c r="B1098" t="s">
        <v>2048</v>
      </c>
      <c r="C1098" s="1" t="str">
        <f>HYPERLINK("http://www.genecards.org/cgi-bin/carddisp.pl?gene=APPBP2","GeneCards")</f>
        <v>GeneCards</v>
      </c>
      <c r="D1098" s="1" t="str">
        <f>HYPERLINK("http://genome-euro.ucsc.edu/cgi-bin/hgTracks?position=202630_at","UCSC")</f>
        <v>UCSC</v>
      </c>
      <c r="E1098" s="1" t="str">
        <f>HYPERLINK("http://www.ncbi.nlm.nih.gov/gene/?term=APPBP2","NCBI")</f>
        <v>NCBI</v>
      </c>
      <c r="F1098">
        <v>2.3E-3</v>
      </c>
      <c r="G1098">
        <v>3.5000000000000003E-2</v>
      </c>
      <c r="H1098" s="1" t="str">
        <f>HYPERLINK("http://www.weizmann.ac.il/complex/compphys/software/geview/data/figures/202630_at.png","Figure")</f>
        <v>Figure</v>
      </c>
      <c r="I1098">
        <v>0.57799999999999996</v>
      </c>
      <c r="J1098">
        <v>6.1999999999999998E-3</v>
      </c>
      <c r="K1098">
        <v>1.02</v>
      </c>
      <c r="L1098">
        <v>0.98</v>
      </c>
      <c r="M1098">
        <v>1.77</v>
      </c>
      <c r="N1098">
        <v>2.7000000000000001E-3</v>
      </c>
    </row>
    <row r="1099" spans="1:14" x14ac:dyDescent="0.25">
      <c r="A1099" t="s">
        <v>2049</v>
      </c>
      <c r="B1099" t="s">
        <v>2050</v>
      </c>
      <c r="C1099" s="1" t="str">
        <f>HYPERLINK("http://www.genecards.org/cgi-bin/carddisp.pl?gene=ENO2","GeneCards")</f>
        <v>GeneCards</v>
      </c>
      <c r="D1099" s="1" t="str">
        <f>HYPERLINK("http://genome-euro.ucsc.edu/cgi-bin/hgTracks?position=201313_at","UCSC")</f>
        <v>UCSC</v>
      </c>
      <c r="E1099" s="1" t="str">
        <f>HYPERLINK("http://www.ncbi.nlm.nih.gov/gene/?term=ENO2","NCBI")</f>
        <v>NCBI</v>
      </c>
      <c r="F1099">
        <v>2.3E-3</v>
      </c>
      <c r="G1099">
        <v>3.5000000000000003E-2</v>
      </c>
      <c r="H1099" s="1" t="str">
        <f>HYPERLINK("http://www.weizmann.ac.il/complex/compphys/software/geview/data/figures/201313_at.png","Figure")</f>
        <v>Figure</v>
      </c>
      <c r="I1099">
        <v>2.12</v>
      </c>
      <c r="J1099">
        <v>2.0999999999999999E-3</v>
      </c>
      <c r="K1099">
        <v>1.62</v>
      </c>
      <c r="L1099">
        <v>1.7999999999999999E-2</v>
      </c>
      <c r="M1099">
        <v>0.76600000000000001</v>
      </c>
      <c r="N1099">
        <v>0.26</v>
      </c>
    </row>
    <row r="1100" spans="1:14" x14ac:dyDescent="0.25">
      <c r="A1100" t="s">
        <v>2051</v>
      </c>
      <c r="B1100" t="s">
        <v>2052</v>
      </c>
      <c r="C1100" s="1" t="str">
        <f>HYPERLINK("http://www.genecards.org/cgi-bin/carddisp.pl?gene=IL17RA","GeneCards")</f>
        <v>GeneCards</v>
      </c>
      <c r="D1100" s="1" t="str">
        <f>HYPERLINK("http://genome-euro.ucsc.edu/cgi-bin/hgTracks?position=205707_at","UCSC")</f>
        <v>UCSC</v>
      </c>
      <c r="E1100" s="1" t="str">
        <f>HYPERLINK("http://www.ncbi.nlm.nih.gov/gene/?term=IL17RA","NCBI")</f>
        <v>NCBI</v>
      </c>
      <c r="F1100">
        <v>2.3E-3</v>
      </c>
      <c r="G1100">
        <v>3.5000000000000003E-2</v>
      </c>
      <c r="H1100" s="1" t="str">
        <f>HYPERLINK("http://www.weizmann.ac.il/complex/compphys/software/geview/data/figures/205707_at.png","Figure")</f>
        <v>Figure</v>
      </c>
      <c r="I1100">
        <v>0.50800000000000001</v>
      </c>
      <c r="J1100">
        <v>7.1999999999999998E-3</v>
      </c>
      <c r="K1100">
        <v>1.06</v>
      </c>
      <c r="L1100">
        <v>0.94</v>
      </c>
      <c r="M1100">
        <v>2.08</v>
      </c>
      <c r="N1100">
        <v>2.5000000000000001E-3</v>
      </c>
    </row>
    <row r="1101" spans="1:14" x14ac:dyDescent="0.25">
      <c r="A1101" t="s">
        <v>2053</v>
      </c>
      <c r="B1101" t="s">
        <v>2054</v>
      </c>
      <c r="C1101" s="1" t="str">
        <f>HYPERLINK("http://www.genecards.org/cgi-bin/carddisp.pl?gene=FLT3","GeneCards")</f>
        <v>GeneCards</v>
      </c>
      <c r="D1101" s="1" t="str">
        <f>HYPERLINK("http://genome-euro.ucsc.edu/cgi-bin/hgTracks?position=206674_at","UCSC")</f>
        <v>UCSC</v>
      </c>
      <c r="E1101" s="1" t="str">
        <f>HYPERLINK("http://www.ncbi.nlm.nih.gov/gene/?term=FLT3","NCBI")</f>
        <v>NCBI</v>
      </c>
      <c r="F1101">
        <v>2.3E-3</v>
      </c>
      <c r="G1101">
        <v>3.5000000000000003E-2</v>
      </c>
      <c r="H1101" s="1" t="str">
        <f>HYPERLINK("http://www.weizmann.ac.il/complex/compphys/software/geview/data/figures/206674_at.png","Figure")</f>
        <v>Figure</v>
      </c>
      <c r="I1101">
        <v>0.16</v>
      </c>
      <c r="J1101">
        <v>2E-3</v>
      </c>
      <c r="K1101">
        <v>0.60099999999999998</v>
      </c>
      <c r="L1101">
        <v>0.37</v>
      </c>
      <c r="M1101">
        <v>3.75</v>
      </c>
      <c r="N1101">
        <v>1.2999999999999999E-2</v>
      </c>
    </row>
    <row r="1102" spans="1:14" x14ac:dyDescent="0.25">
      <c r="A1102" t="s">
        <v>2055</v>
      </c>
      <c r="B1102" t="s">
        <v>1830</v>
      </c>
      <c r="C1102" s="1" t="str">
        <f>HYPERLINK("http://www.genecards.org/cgi-bin/carddisp.pl?gene=CD46","GeneCards")</f>
        <v>GeneCards</v>
      </c>
      <c r="D1102" s="1" t="str">
        <f>HYPERLINK("http://genome-euro.ucsc.edu/cgi-bin/hgTracks?position=211574_s_at","UCSC")</f>
        <v>UCSC</v>
      </c>
      <c r="E1102" s="1" t="str">
        <f>HYPERLINK("http://www.ncbi.nlm.nih.gov/gene/?term=CD46","NCBI")</f>
        <v>NCBI</v>
      </c>
      <c r="F1102">
        <v>2.3E-3</v>
      </c>
      <c r="G1102">
        <v>3.5000000000000003E-2</v>
      </c>
      <c r="H1102" s="1" t="str">
        <f>HYPERLINK("http://www.weizmann.ac.il/complex/compphys/software/geview/data/figures/211574_s_at.png","Figure")</f>
        <v>Figure</v>
      </c>
      <c r="I1102">
        <v>1.25</v>
      </c>
      <c r="J1102">
        <v>3.3000000000000002E-2</v>
      </c>
      <c r="K1102">
        <v>0.90200000000000002</v>
      </c>
      <c r="L1102">
        <v>0.32</v>
      </c>
      <c r="M1102">
        <v>0.72099999999999997</v>
      </c>
      <c r="N1102">
        <v>1.6999999999999999E-3</v>
      </c>
    </row>
    <row r="1103" spans="1:14" x14ac:dyDescent="0.25">
      <c r="A1103" t="s">
        <v>2056</v>
      </c>
      <c r="B1103" t="s">
        <v>2057</v>
      </c>
      <c r="C1103" s="1" t="str">
        <f>HYPERLINK("http://www.genecards.org/cgi-bin/carddisp.pl?gene=LOC100288178","GeneCards")</f>
        <v>GeneCards</v>
      </c>
      <c r="D1103" s="1" t="str">
        <f>HYPERLINK("http://genome-euro.ucsc.edu/cgi-bin/hgTracks?position=214233_at","UCSC")</f>
        <v>UCSC</v>
      </c>
      <c r="E1103" s="1" t="str">
        <f>HYPERLINK("http://www.ncbi.nlm.nih.gov/gene/?term=LOC100288178","NCBI")</f>
        <v>NCBI</v>
      </c>
      <c r="F1103">
        <v>2.3E-3</v>
      </c>
      <c r="G1103">
        <v>3.5000000000000003E-2</v>
      </c>
      <c r="H1103" s="1" t="str">
        <f>HYPERLINK("http://www.weizmann.ac.il/complex/compphys/software/geview/data/figures/214233_at.png","Figure")</f>
        <v>Figure</v>
      </c>
      <c r="I1103">
        <v>1.1599999999999999</v>
      </c>
      <c r="J1103">
        <v>2.5999999999999999E-2</v>
      </c>
      <c r="K1103">
        <v>1.21</v>
      </c>
      <c r="L1103">
        <v>1.9E-3</v>
      </c>
      <c r="M1103">
        <v>1.04</v>
      </c>
      <c r="N1103">
        <v>0.65</v>
      </c>
    </row>
    <row r="1104" spans="1:14" x14ac:dyDescent="0.25">
      <c r="A1104" t="s">
        <v>2058</v>
      </c>
      <c r="B1104" t="s">
        <v>2059</v>
      </c>
      <c r="C1104" s="1" t="str">
        <f>HYPERLINK("http://www.genecards.org/cgi-bin/carddisp.pl?gene=AGFG2","GeneCards")</f>
        <v>GeneCards</v>
      </c>
      <c r="D1104" s="1" t="str">
        <f>HYPERLINK("http://genome-euro.ucsc.edu/cgi-bin/hgTracks?position=222126_at","UCSC")</f>
        <v>UCSC</v>
      </c>
      <c r="E1104" s="1" t="str">
        <f>HYPERLINK("http://www.ncbi.nlm.nih.gov/gene/?term=AGFG2","NCBI")</f>
        <v>NCBI</v>
      </c>
      <c r="F1104">
        <v>2.3E-3</v>
      </c>
      <c r="G1104">
        <v>3.5000000000000003E-2</v>
      </c>
      <c r="H1104" s="1" t="str">
        <f>HYPERLINK("http://www.weizmann.ac.il/complex/compphys/software/geview/data/figures/222126_at.png","Figure")</f>
        <v>Figure</v>
      </c>
      <c r="I1104">
        <v>1.23</v>
      </c>
      <c r="J1104">
        <v>2.1000000000000001E-2</v>
      </c>
      <c r="K1104">
        <v>0.93300000000000005</v>
      </c>
      <c r="L1104">
        <v>0.47</v>
      </c>
      <c r="M1104">
        <v>0.76</v>
      </c>
      <c r="N1104">
        <v>1.8E-3</v>
      </c>
    </row>
    <row r="1105" spans="1:14" x14ac:dyDescent="0.25">
      <c r="A1105" t="s">
        <v>2060</v>
      </c>
      <c r="B1105" t="s">
        <v>2061</v>
      </c>
      <c r="C1105" s="1" t="str">
        <f>HYPERLINK("http://www.genecards.org/cgi-bin/carddisp.pl?gene=AKAP8","GeneCards")</f>
        <v>GeneCards</v>
      </c>
      <c r="D1105" s="1" t="str">
        <f>HYPERLINK("http://genome-euro.ucsc.edu/cgi-bin/hgTracks?position=203847_s_at","UCSC")</f>
        <v>UCSC</v>
      </c>
      <c r="E1105" s="1" t="str">
        <f>HYPERLINK("http://www.ncbi.nlm.nih.gov/gene/?term=AKAP8","NCBI")</f>
        <v>NCBI</v>
      </c>
      <c r="F1105">
        <v>2.3E-3</v>
      </c>
      <c r="G1105">
        <v>3.5000000000000003E-2</v>
      </c>
      <c r="H1105" s="1" t="str">
        <f>HYPERLINK("http://www.weizmann.ac.il/complex/compphys/software/geview/data/figures/203847_s_at.png","Figure")</f>
        <v>Figure</v>
      </c>
      <c r="I1105">
        <v>1.43</v>
      </c>
      <c r="J1105">
        <v>0.02</v>
      </c>
      <c r="K1105">
        <v>0.89300000000000002</v>
      </c>
      <c r="L1105">
        <v>0.51</v>
      </c>
      <c r="M1105">
        <v>0.624</v>
      </c>
      <c r="N1105">
        <v>1.8E-3</v>
      </c>
    </row>
    <row r="1106" spans="1:14" x14ac:dyDescent="0.25">
      <c r="A1106" t="s">
        <v>2062</v>
      </c>
      <c r="B1106" t="s">
        <v>2063</v>
      </c>
      <c r="C1106" s="1" t="str">
        <f>HYPERLINK("http://www.genecards.org/cgi-bin/carddisp.pl?gene=MRPL18","GeneCards")</f>
        <v>GeneCards</v>
      </c>
      <c r="D1106" s="1" t="str">
        <f>HYPERLINK("http://genome-euro.ucsc.edu/cgi-bin/hgTracks?position=217907_at","UCSC")</f>
        <v>UCSC</v>
      </c>
      <c r="E1106" s="1" t="str">
        <f>HYPERLINK("http://www.ncbi.nlm.nih.gov/gene/?term=MRPL18","NCBI")</f>
        <v>NCBI</v>
      </c>
      <c r="F1106">
        <v>2.3E-3</v>
      </c>
      <c r="G1106">
        <v>3.5000000000000003E-2</v>
      </c>
      <c r="H1106" s="1" t="str">
        <f>HYPERLINK("http://www.weizmann.ac.il/complex/compphys/software/geview/data/figures/217907_at.png","Figure")</f>
        <v>Figure</v>
      </c>
      <c r="I1106">
        <v>0.94099999999999995</v>
      </c>
      <c r="J1106">
        <v>0.91</v>
      </c>
      <c r="K1106">
        <v>1.59</v>
      </c>
      <c r="L1106">
        <v>7.9000000000000008E-3</v>
      </c>
      <c r="M1106">
        <v>1.69</v>
      </c>
      <c r="N1106">
        <v>5.4000000000000003E-3</v>
      </c>
    </row>
    <row r="1107" spans="1:14" x14ac:dyDescent="0.25">
      <c r="A1107" t="s">
        <v>2064</v>
      </c>
      <c r="B1107" t="s">
        <v>2065</v>
      </c>
      <c r="C1107" s="1" t="str">
        <f>HYPERLINK("http://www.genecards.org/cgi-bin/carddisp.pl?gene=E2F4","GeneCards")</f>
        <v>GeneCards</v>
      </c>
      <c r="D1107" s="1" t="str">
        <f>HYPERLINK("http://genome-euro.ucsc.edu/cgi-bin/hgTracks?position=202248_at","UCSC")</f>
        <v>UCSC</v>
      </c>
      <c r="E1107" s="1" t="str">
        <f>HYPERLINK("http://www.ncbi.nlm.nih.gov/gene/?term=E2F4","NCBI")</f>
        <v>NCBI</v>
      </c>
      <c r="F1107">
        <v>2.3E-3</v>
      </c>
      <c r="G1107">
        <v>3.5000000000000003E-2</v>
      </c>
      <c r="H1107" s="1" t="str">
        <f>HYPERLINK("http://www.weizmann.ac.il/complex/compphys/software/geview/data/figures/202248_at.png","Figure")</f>
        <v>Figure</v>
      </c>
      <c r="I1107">
        <v>1.38</v>
      </c>
      <c r="J1107">
        <v>2.3E-3</v>
      </c>
      <c r="K1107">
        <v>1.07</v>
      </c>
      <c r="L1107">
        <v>0.54</v>
      </c>
      <c r="M1107">
        <v>0.77800000000000002</v>
      </c>
      <c r="N1107">
        <v>8.6E-3</v>
      </c>
    </row>
    <row r="1108" spans="1:14" x14ac:dyDescent="0.25">
      <c r="A1108" t="s">
        <v>2066</v>
      </c>
      <c r="B1108" t="s">
        <v>2067</v>
      </c>
      <c r="C1108" s="1" t="str">
        <f>HYPERLINK("http://www.genecards.org/cgi-bin/carddisp.pl?gene=CD84","GeneCards")</f>
        <v>GeneCards</v>
      </c>
      <c r="D1108" s="1" t="str">
        <f>HYPERLINK("http://genome-euro.ucsc.edu/cgi-bin/hgTracks?position=211190_x_at","UCSC")</f>
        <v>UCSC</v>
      </c>
      <c r="E1108" s="1" t="str">
        <f>HYPERLINK("http://www.ncbi.nlm.nih.gov/gene/?term=CD84","NCBI")</f>
        <v>NCBI</v>
      </c>
      <c r="F1108">
        <v>2.3E-3</v>
      </c>
      <c r="G1108">
        <v>3.5000000000000003E-2</v>
      </c>
      <c r="H1108" s="1" t="str">
        <f>HYPERLINK("http://www.weizmann.ac.il/complex/compphys/software/geview/data/figures/211190_x_at.png","Figure")</f>
        <v>Figure</v>
      </c>
      <c r="I1108">
        <v>1.47</v>
      </c>
      <c r="J1108">
        <v>3.0000000000000001E-3</v>
      </c>
      <c r="K1108">
        <v>1.34</v>
      </c>
      <c r="L1108">
        <v>9.1999999999999998E-3</v>
      </c>
      <c r="M1108">
        <v>0.90600000000000003</v>
      </c>
      <c r="N1108">
        <v>0.51</v>
      </c>
    </row>
    <row r="1109" spans="1:14" x14ac:dyDescent="0.25">
      <c r="A1109" t="s">
        <v>2068</v>
      </c>
      <c r="B1109" t="s">
        <v>2069</v>
      </c>
      <c r="C1109" s="1" t="str">
        <f>HYPERLINK("http://www.genecards.org/cgi-bin/carddisp.pl?gene=RASL12","GeneCards")</f>
        <v>GeneCards</v>
      </c>
      <c r="D1109" s="1" t="str">
        <f>HYPERLINK("http://genome-euro.ucsc.edu/cgi-bin/hgTracks?position=219167_at","UCSC")</f>
        <v>UCSC</v>
      </c>
      <c r="E1109" s="1" t="str">
        <f>HYPERLINK("http://www.ncbi.nlm.nih.gov/gene/?term=RASL12","NCBI")</f>
        <v>NCBI</v>
      </c>
      <c r="F1109">
        <v>2.3E-3</v>
      </c>
      <c r="G1109">
        <v>3.5000000000000003E-2</v>
      </c>
      <c r="H1109" s="1" t="str">
        <f>HYPERLINK("http://www.weizmann.ac.il/complex/compphys/software/geview/data/figures/219167_at.png","Figure")</f>
        <v>Figure</v>
      </c>
      <c r="I1109">
        <v>1.32</v>
      </c>
      <c r="J1109">
        <v>5.1000000000000004E-3</v>
      </c>
      <c r="K1109">
        <v>1.28</v>
      </c>
      <c r="L1109">
        <v>4.7000000000000002E-3</v>
      </c>
      <c r="M1109">
        <v>0.96799999999999997</v>
      </c>
      <c r="N1109">
        <v>0.88</v>
      </c>
    </row>
    <row r="1110" spans="1:14" x14ac:dyDescent="0.25">
      <c r="A1110" t="s">
        <v>2070</v>
      </c>
      <c r="B1110" t="s">
        <v>2071</v>
      </c>
      <c r="C1110" s="1" t="str">
        <f>HYPERLINK("http://www.genecards.org/cgi-bin/carddisp.pl?gene=RBM7","GeneCards")</f>
        <v>GeneCards</v>
      </c>
      <c r="D1110" s="1" t="str">
        <f>HYPERLINK("http://genome-euro.ucsc.edu/cgi-bin/hgTracks?position=218379_at","UCSC")</f>
        <v>UCSC</v>
      </c>
      <c r="E1110" s="1" t="str">
        <f>HYPERLINK("http://www.ncbi.nlm.nih.gov/gene/?term=RBM7","NCBI")</f>
        <v>NCBI</v>
      </c>
      <c r="F1110">
        <v>2.3E-3</v>
      </c>
      <c r="G1110">
        <v>3.5000000000000003E-2</v>
      </c>
      <c r="H1110" s="1" t="str">
        <f>HYPERLINK("http://www.weizmann.ac.il/complex/compphys/software/geview/data/figures/218379_at.png","Figure")</f>
        <v>Figure</v>
      </c>
      <c r="I1110">
        <v>0.57999999999999996</v>
      </c>
      <c r="J1110">
        <v>5.0999999999999997E-2</v>
      </c>
      <c r="K1110">
        <v>0.44600000000000001</v>
      </c>
      <c r="L1110">
        <v>1.6999999999999999E-3</v>
      </c>
      <c r="M1110">
        <v>0.77</v>
      </c>
      <c r="N1110">
        <v>0.39</v>
      </c>
    </row>
    <row r="1111" spans="1:14" x14ac:dyDescent="0.25">
      <c r="A1111" t="s">
        <v>2072</v>
      </c>
      <c r="B1111" t="s">
        <v>2073</v>
      </c>
      <c r="C1111" s="1" t="str">
        <f>HYPERLINK("http://www.genecards.org/cgi-bin/carddisp.pl?gene=POGZ","GeneCards")</f>
        <v>GeneCards</v>
      </c>
      <c r="D1111" s="1" t="str">
        <f>HYPERLINK("http://genome-euro.ucsc.edu/cgi-bin/hgTracks?position=212153_at","UCSC")</f>
        <v>UCSC</v>
      </c>
      <c r="E1111" s="1" t="str">
        <f>HYPERLINK("http://www.ncbi.nlm.nih.gov/gene/?term=POGZ","NCBI")</f>
        <v>NCBI</v>
      </c>
      <c r="F1111">
        <v>2.3E-3</v>
      </c>
      <c r="G1111">
        <v>3.5000000000000003E-2</v>
      </c>
      <c r="H1111" s="1" t="str">
        <f>HYPERLINK("http://www.weizmann.ac.il/complex/compphys/software/geview/data/figures/212153_at.png","Figure")</f>
        <v>Figure</v>
      </c>
      <c r="I1111">
        <v>1.31</v>
      </c>
      <c r="J1111">
        <v>7.4000000000000003E-3</v>
      </c>
      <c r="K1111">
        <v>1.3</v>
      </c>
      <c r="L1111">
        <v>3.5000000000000001E-3</v>
      </c>
      <c r="M1111">
        <v>0.99199999999999999</v>
      </c>
      <c r="N1111">
        <v>0.99</v>
      </c>
    </row>
    <row r="1112" spans="1:14" x14ac:dyDescent="0.25">
      <c r="A1112" t="s">
        <v>2074</v>
      </c>
      <c r="B1112" t="s">
        <v>2075</v>
      </c>
      <c r="C1112" s="1" t="str">
        <f>HYPERLINK("http://www.genecards.org/cgi-bin/carddisp.pl?gene=GTF2H1","GeneCards")</f>
        <v>GeneCards</v>
      </c>
      <c r="D1112" s="1" t="str">
        <f>HYPERLINK("http://genome-euro.ucsc.edu/cgi-bin/hgTracks?position=202451_at","UCSC")</f>
        <v>UCSC</v>
      </c>
      <c r="E1112" s="1" t="str">
        <f>HYPERLINK("http://www.ncbi.nlm.nih.gov/gene/?term=GTF2H1","NCBI")</f>
        <v>NCBI</v>
      </c>
      <c r="F1112">
        <v>2.3E-3</v>
      </c>
      <c r="G1112">
        <v>3.5999999999999997E-2</v>
      </c>
      <c r="H1112" s="1" t="str">
        <f>HYPERLINK("http://www.weizmann.ac.il/complex/compphys/software/geview/data/figures/202451_at.png","Figure")</f>
        <v>Figure</v>
      </c>
      <c r="I1112">
        <v>0.58199999999999996</v>
      </c>
      <c r="J1112">
        <v>3.5000000000000003E-2</v>
      </c>
      <c r="K1112">
        <v>1.29</v>
      </c>
      <c r="L1112">
        <v>0.31</v>
      </c>
      <c r="M1112">
        <v>2.2200000000000002</v>
      </c>
      <c r="N1112">
        <v>1.6999999999999999E-3</v>
      </c>
    </row>
    <row r="1113" spans="1:14" x14ac:dyDescent="0.25">
      <c r="A1113" t="s">
        <v>2076</v>
      </c>
      <c r="B1113" t="s">
        <v>2077</v>
      </c>
      <c r="C1113" s="1" t="str">
        <f>HYPERLINK("http://www.genecards.org/cgi-bin/carddisp.pl?gene=CCT8L2","GeneCards")</f>
        <v>GeneCards</v>
      </c>
      <c r="D1113" s="1" t="str">
        <f>HYPERLINK("http://genome-euro.ucsc.edu/cgi-bin/hgTracks?position=220508_at","UCSC")</f>
        <v>UCSC</v>
      </c>
      <c r="E1113" s="1" t="str">
        <f>HYPERLINK("http://www.ncbi.nlm.nih.gov/gene/?term=CCT8L2","NCBI")</f>
        <v>NCBI</v>
      </c>
      <c r="F1113">
        <v>2.3E-3</v>
      </c>
      <c r="G1113">
        <v>3.5999999999999997E-2</v>
      </c>
      <c r="H1113" s="1" t="str">
        <f>HYPERLINK("http://www.weizmann.ac.il/complex/compphys/software/geview/data/figures/220508_at.png","Figure")</f>
        <v>Figure</v>
      </c>
      <c r="I1113">
        <v>1.2</v>
      </c>
      <c r="J1113">
        <v>1.8E-3</v>
      </c>
      <c r="K1113">
        <v>1.07</v>
      </c>
      <c r="L1113">
        <v>0.21</v>
      </c>
      <c r="M1113">
        <v>0.88900000000000001</v>
      </c>
      <c r="N1113">
        <v>2.1999999999999999E-2</v>
      </c>
    </row>
    <row r="1114" spans="1:14" x14ac:dyDescent="0.25">
      <c r="A1114" t="s">
        <v>2078</v>
      </c>
      <c r="B1114" t="s">
        <v>2079</v>
      </c>
      <c r="C1114" s="1" t="str">
        <f>HYPERLINK("http://www.genecards.org/cgi-bin/carddisp.pl?gene=DUSP9","GeneCards")</f>
        <v>GeneCards</v>
      </c>
      <c r="D1114" s="1" t="str">
        <f>HYPERLINK("http://genome-euro.ucsc.edu/cgi-bin/hgTracks?position=205777_at","UCSC")</f>
        <v>UCSC</v>
      </c>
      <c r="E1114" s="1" t="str">
        <f>HYPERLINK("http://www.ncbi.nlm.nih.gov/gene/?term=DUSP9","NCBI")</f>
        <v>NCBI</v>
      </c>
      <c r="F1114">
        <v>2.3E-3</v>
      </c>
      <c r="G1114">
        <v>3.5999999999999997E-2</v>
      </c>
      <c r="H1114" s="1" t="str">
        <f>HYPERLINK("http://www.weizmann.ac.il/complex/compphys/software/geview/data/figures/205777_at.png","Figure")</f>
        <v>Figure</v>
      </c>
      <c r="I1114">
        <v>1.1399999999999999</v>
      </c>
      <c r="J1114">
        <v>4.8000000000000001E-2</v>
      </c>
      <c r="K1114">
        <v>0.92800000000000005</v>
      </c>
      <c r="L1114">
        <v>0.23</v>
      </c>
      <c r="M1114">
        <v>0.81499999999999995</v>
      </c>
      <c r="N1114">
        <v>1.6999999999999999E-3</v>
      </c>
    </row>
    <row r="1115" spans="1:14" x14ac:dyDescent="0.25">
      <c r="A1115" t="s">
        <v>2080</v>
      </c>
      <c r="B1115" t="s">
        <v>2081</v>
      </c>
      <c r="C1115" s="1" t="str">
        <f>HYPERLINK("http://www.genecards.org/cgi-bin/carddisp.pl?gene=BRCC3","GeneCards")</f>
        <v>GeneCards</v>
      </c>
      <c r="D1115" s="1" t="str">
        <f>HYPERLINK("http://genome-euro.ucsc.edu/cgi-bin/hgTracks?position=221196_x_at","UCSC")</f>
        <v>UCSC</v>
      </c>
      <c r="E1115" s="1" t="str">
        <f>HYPERLINK("http://www.ncbi.nlm.nih.gov/gene/?term=BRCC3","NCBI")</f>
        <v>NCBI</v>
      </c>
      <c r="F1115">
        <v>2.3E-3</v>
      </c>
      <c r="G1115">
        <v>3.5999999999999997E-2</v>
      </c>
      <c r="H1115" s="1" t="str">
        <f>HYPERLINK("http://www.weizmann.ac.il/complex/compphys/software/geview/data/figures/221196_x_at.png","Figure")</f>
        <v>Figure</v>
      </c>
      <c r="I1115">
        <v>0.995</v>
      </c>
      <c r="J1115">
        <v>1</v>
      </c>
      <c r="K1115">
        <v>1.45</v>
      </c>
      <c r="L1115">
        <v>5.4999999999999997E-3</v>
      </c>
      <c r="M1115">
        <v>1.45</v>
      </c>
      <c r="N1115">
        <v>8.0999999999999996E-3</v>
      </c>
    </row>
    <row r="1116" spans="1:14" x14ac:dyDescent="0.25">
      <c r="A1116" t="s">
        <v>2082</v>
      </c>
      <c r="B1116" t="s">
        <v>2083</v>
      </c>
      <c r="C1116" s="1" t="str">
        <f>HYPERLINK("http://www.genecards.org/cgi-bin/carddisp.pl?gene=KCNC4","GeneCards")</f>
        <v>GeneCards</v>
      </c>
      <c r="D1116" s="1" t="str">
        <f>HYPERLINK("http://genome-euro.ucsc.edu/cgi-bin/hgTracks?position=208251_at","UCSC")</f>
        <v>UCSC</v>
      </c>
      <c r="E1116" s="1" t="str">
        <f>HYPERLINK("http://www.ncbi.nlm.nih.gov/gene/?term=KCNC4","NCBI")</f>
        <v>NCBI</v>
      </c>
      <c r="F1116">
        <v>2.3E-3</v>
      </c>
      <c r="G1116">
        <v>3.5999999999999997E-2</v>
      </c>
      <c r="H1116" s="1" t="str">
        <f>HYPERLINK("http://www.weizmann.ac.il/complex/compphys/software/geview/data/figures/208251_at.png","Figure")</f>
        <v>Figure</v>
      </c>
      <c r="I1116">
        <v>1.1599999999999999</v>
      </c>
      <c r="J1116">
        <v>1.9E-3</v>
      </c>
      <c r="K1116">
        <v>1.0900000000000001</v>
      </c>
      <c r="L1116">
        <v>3.2000000000000001E-2</v>
      </c>
      <c r="M1116">
        <v>0.93700000000000006</v>
      </c>
      <c r="N1116">
        <v>0.15</v>
      </c>
    </row>
    <row r="1117" spans="1:14" x14ac:dyDescent="0.25">
      <c r="A1117" t="s">
        <v>2084</v>
      </c>
      <c r="B1117" t="s">
        <v>2085</v>
      </c>
      <c r="C1117" s="1" t="str">
        <f>HYPERLINK("http://www.genecards.org/cgi-bin/carddisp.pl?gene=ZNF3","GeneCards")</f>
        <v>GeneCards</v>
      </c>
      <c r="D1117" s="1" t="str">
        <f>HYPERLINK("http://genome-euro.ucsc.edu/cgi-bin/hgTracks?position=212684_at","UCSC")</f>
        <v>UCSC</v>
      </c>
      <c r="E1117" s="1" t="str">
        <f>HYPERLINK("http://www.ncbi.nlm.nih.gov/gene/?term=ZNF3","NCBI")</f>
        <v>NCBI</v>
      </c>
      <c r="F1117">
        <v>2.3E-3</v>
      </c>
      <c r="G1117">
        <v>3.5999999999999997E-2</v>
      </c>
      <c r="H1117" s="1" t="str">
        <f>HYPERLINK("http://www.weizmann.ac.il/complex/compphys/software/geview/data/figures/212684_at.png","Figure")</f>
        <v>Figure</v>
      </c>
      <c r="I1117">
        <v>0.871</v>
      </c>
      <c r="J1117">
        <v>0.7</v>
      </c>
      <c r="K1117">
        <v>0.54200000000000004</v>
      </c>
      <c r="L1117">
        <v>2.8E-3</v>
      </c>
      <c r="M1117">
        <v>0.622</v>
      </c>
      <c r="N1117">
        <v>2.4E-2</v>
      </c>
    </row>
    <row r="1118" spans="1:14" x14ac:dyDescent="0.25">
      <c r="A1118" t="s">
        <v>2086</v>
      </c>
      <c r="B1118" t="s">
        <v>2087</v>
      </c>
      <c r="C1118" s="1" t="str">
        <f>HYPERLINK("http://www.genecards.org/cgi-bin/carddisp.pl?gene=TPT1","GeneCards")</f>
        <v>GeneCards</v>
      </c>
      <c r="D1118" s="1" t="str">
        <f>HYPERLINK("http://genome-euro.ucsc.edu/cgi-bin/hgTracks?position=216520_s_at","UCSC")</f>
        <v>UCSC</v>
      </c>
      <c r="E1118" s="1" t="str">
        <f>HYPERLINK("http://www.ncbi.nlm.nih.gov/gene/?term=TPT1","NCBI")</f>
        <v>NCBI</v>
      </c>
      <c r="F1118">
        <v>2.3999999999999998E-3</v>
      </c>
      <c r="G1118">
        <v>3.5999999999999997E-2</v>
      </c>
      <c r="H1118" s="1" t="str">
        <f>HYPERLINK("http://www.weizmann.ac.il/complex/compphys/software/geview/data/figures/216520_s_at.png","Figure")</f>
        <v>Figure</v>
      </c>
      <c r="I1118">
        <v>0.747</v>
      </c>
      <c r="J1118">
        <v>4.1999999999999997E-3</v>
      </c>
      <c r="K1118">
        <v>0.78500000000000003</v>
      </c>
      <c r="L1118">
        <v>6.0000000000000001E-3</v>
      </c>
      <c r="M1118">
        <v>1.05</v>
      </c>
      <c r="N1118">
        <v>0.75</v>
      </c>
    </row>
    <row r="1119" spans="1:14" x14ac:dyDescent="0.25">
      <c r="A1119" t="s">
        <v>2088</v>
      </c>
      <c r="B1119" t="s">
        <v>2089</v>
      </c>
      <c r="C1119" s="1" t="str">
        <f>HYPERLINK("http://www.genecards.org/cgi-bin/carddisp.pl?gene=GALNT3","GeneCards")</f>
        <v>GeneCards</v>
      </c>
      <c r="D1119" s="1" t="str">
        <f>HYPERLINK("http://genome-euro.ucsc.edu/cgi-bin/hgTracks?position=203397_s_at","UCSC")</f>
        <v>UCSC</v>
      </c>
      <c r="E1119" s="1" t="str">
        <f>HYPERLINK("http://www.ncbi.nlm.nih.gov/gene/?term=GALNT3","NCBI")</f>
        <v>NCBI</v>
      </c>
      <c r="F1119">
        <v>2.3999999999999998E-3</v>
      </c>
      <c r="G1119">
        <v>3.5999999999999997E-2</v>
      </c>
      <c r="H1119" s="1" t="str">
        <f>HYPERLINK("http://www.weizmann.ac.il/complex/compphys/software/geview/data/figures/203397_s_at.png","Figure")</f>
        <v>Figure</v>
      </c>
      <c r="I1119">
        <v>0.23100000000000001</v>
      </c>
      <c r="J1119">
        <v>2.8999999999999998E-3</v>
      </c>
      <c r="K1119">
        <v>0.78800000000000003</v>
      </c>
      <c r="L1119">
        <v>0.72</v>
      </c>
      <c r="M1119">
        <v>3.42</v>
      </c>
      <c r="N1119">
        <v>6.4000000000000003E-3</v>
      </c>
    </row>
    <row r="1120" spans="1:14" x14ac:dyDescent="0.25">
      <c r="A1120" t="s">
        <v>2090</v>
      </c>
      <c r="B1120" t="s">
        <v>2091</v>
      </c>
      <c r="C1120" s="1" t="str">
        <f>HYPERLINK("http://www.genecards.org/cgi-bin/carddisp.pl?gene=PRMT2","GeneCards")</f>
        <v>GeneCards</v>
      </c>
      <c r="D1120" s="1" t="str">
        <f>HYPERLINK("http://genome-euro.ucsc.edu/cgi-bin/hgTracks?position=221564_at","UCSC")</f>
        <v>UCSC</v>
      </c>
      <c r="E1120" s="1" t="str">
        <f>HYPERLINK("http://www.ncbi.nlm.nih.gov/gene/?term=PRMT2","NCBI")</f>
        <v>NCBI</v>
      </c>
      <c r="F1120">
        <v>2.3999999999999998E-3</v>
      </c>
      <c r="G1120">
        <v>3.5999999999999997E-2</v>
      </c>
      <c r="H1120" s="1" t="str">
        <f>HYPERLINK("http://www.weizmann.ac.il/complex/compphys/software/geview/data/figures/221564_at.png","Figure")</f>
        <v>Figure</v>
      </c>
      <c r="I1120">
        <v>0.53500000000000003</v>
      </c>
      <c r="J1120">
        <v>2.7000000000000001E-3</v>
      </c>
      <c r="K1120">
        <v>0.89400000000000002</v>
      </c>
      <c r="L1120">
        <v>0.67</v>
      </c>
      <c r="M1120">
        <v>1.67</v>
      </c>
      <c r="N1120">
        <v>7.0000000000000001E-3</v>
      </c>
    </row>
    <row r="1121" spans="1:14" x14ac:dyDescent="0.25">
      <c r="A1121" t="s">
        <v>2092</v>
      </c>
      <c r="B1121" t="s">
        <v>900</v>
      </c>
      <c r="C1121" s="1" t="str">
        <f>HYPERLINK("http://www.genecards.org/cgi-bin/carddisp.pl?gene=IGFBP7","GeneCards")</f>
        <v>GeneCards</v>
      </c>
      <c r="D1121" s="1" t="str">
        <f>HYPERLINK("http://genome-euro.ucsc.edu/cgi-bin/hgTracks?position=201163_s_at","UCSC")</f>
        <v>UCSC</v>
      </c>
      <c r="E1121" s="1" t="str">
        <f>HYPERLINK("http://www.ncbi.nlm.nih.gov/gene/?term=IGFBP7","NCBI")</f>
        <v>NCBI</v>
      </c>
      <c r="F1121">
        <v>2.3999999999999998E-3</v>
      </c>
      <c r="G1121">
        <v>3.5999999999999997E-2</v>
      </c>
      <c r="H1121" s="1" t="str">
        <f>HYPERLINK("http://www.weizmann.ac.il/complex/compphys/software/geview/data/figures/201163_s_at.png","Figure")</f>
        <v>Figure</v>
      </c>
      <c r="I1121">
        <v>2.58</v>
      </c>
      <c r="J1121">
        <v>0.12</v>
      </c>
      <c r="K1121">
        <v>5.69</v>
      </c>
      <c r="L1121">
        <v>1.6999999999999999E-3</v>
      </c>
      <c r="M1121">
        <v>2.2000000000000002</v>
      </c>
      <c r="N1121">
        <v>0.18</v>
      </c>
    </row>
    <row r="1122" spans="1:14" x14ac:dyDescent="0.25">
      <c r="A1122" t="s">
        <v>2093</v>
      </c>
      <c r="B1122" t="s">
        <v>2094</v>
      </c>
      <c r="C1122" s="1" t="str">
        <f>HYPERLINK("http://www.genecards.org/cgi-bin/carddisp.pl?gene=UBAP2L","GeneCards")</f>
        <v>GeneCards</v>
      </c>
      <c r="D1122" s="1" t="str">
        <f>HYPERLINK("http://genome-euro.ucsc.edu/cgi-bin/hgTracks?position=201377_at","UCSC")</f>
        <v>UCSC</v>
      </c>
      <c r="E1122" s="1" t="str">
        <f>HYPERLINK("http://www.ncbi.nlm.nih.gov/gene/?term=UBAP2L","NCBI")</f>
        <v>NCBI</v>
      </c>
      <c r="F1122">
        <v>2.3999999999999998E-3</v>
      </c>
      <c r="G1122">
        <v>3.5999999999999997E-2</v>
      </c>
      <c r="H1122" s="1" t="str">
        <f>HYPERLINK("http://www.weizmann.ac.il/complex/compphys/software/geview/data/figures/201377_at.png","Figure")</f>
        <v>Figure</v>
      </c>
      <c r="I1122">
        <v>1.5</v>
      </c>
      <c r="J1122">
        <v>9.1999999999999998E-2</v>
      </c>
      <c r="K1122">
        <v>0.72</v>
      </c>
      <c r="L1122">
        <v>0.12</v>
      </c>
      <c r="M1122">
        <v>0.47899999999999998</v>
      </c>
      <c r="N1122">
        <v>1.8E-3</v>
      </c>
    </row>
    <row r="1123" spans="1:14" x14ac:dyDescent="0.25">
      <c r="A1123" t="s">
        <v>2095</v>
      </c>
      <c r="B1123" t="s">
        <v>2096</v>
      </c>
      <c r="C1123" s="1" t="str">
        <f>HYPERLINK("http://www.genecards.org/cgi-bin/carddisp.pl?gene=P2RX6","GeneCards")</f>
        <v>GeneCards</v>
      </c>
      <c r="D1123" s="1" t="str">
        <f>HYPERLINK("http://genome-euro.ucsc.edu/cgi-bin/hgTracks?position=206880_at","UCSC")</f>
        <v>UCSC</v>
      </c>
      <c r="E1123" s="1" t="str">
        <f>HYPERLINK("http://www.ncbi.nlm.nih.gov/gene/?term=P2RX6","NCBI")</f>
        <v>NCBI</v>
      </c>
      <c r="F1123">
        <v>2.3999999999999998E-3</v>
      </c>
      <c r="G1123">
        <v>3.5999999999999997E-2</v>
      </c>
      <c r="H1123" s="1" t="str">
        <f>HYPERLINK("http://www.weizmann.ac.il/complex/compphys/software/geview/data/figures/206880_at.png","Figure")</f>
        <v>Figure</v>
      </c>
      <c r="I1123">
        <v>1.42</v>
      </c>
      <c r="J1123">
        <v>1.8E-3</v>
      </c>
      <c r="K1123">
        <v>1.1399999999999999</v>
      </c>
      <c r="L1123">
        <v>0.2</v>
      </c>
      <c r="M1123">
        <v>0.8</v>
      </c>
      <c r="N1123">
        <v>2.5000000000000001E-2</v>
      </c>
    </row>
    <row r="1124" spans="1:14" x14ac:dyDescent="0.25">
      <c r="A1124" t="s">
        <v>2097</v>
      </c>
      <c r="B1124" t="s">
        <v>2098</v>
      </c>
      <c r="C1124" s="1" t="str">
        <f>HYPERLINK("http://www.genecards.org/cgi-bin/carddisp.pl?gene=FCF1 /// MAPK1IP1L","GeneCards")</f>
        <v>GeneCards</v>
      </c>
      <c r="D1124" s="1" t="str">
        <f>HYPERLINK("http://genome-euro.ucsc.edu/cgi-bin/hgTracks?position=212499_s_at","UCSC")</f>
        <v>UCSC</v>
      </c>
      <c r="E1124" s="1" t="str">
        <f>HYPERLINK("http://www.ncbi.nlm.nih.gov/gene/?term=FCF1 /// MAPK1IP1L","NCBI")</f>
        <v>NCBI</v>
      </c>
      <c r="F1124">
        <v>2.3999999999999998E-3</v>
      </c>
      <c r="G1124">
        <v>3.5999999999999997E-2</v>
      </c>
      <c r="H1124" s="1" t="str">
        <f>HYPERLINK("http://www.weizmann.ac.il/complex/compphys/software/geview/data/figures/212499_s_at.png","Figure")</f>
        <v>Figure</v>
      </c>
      <c r="I1124">
        <v>0.47199999999999998</v>
      </c>
      <c r="J1124">
        <v>1.9E-3</v>
      </c>
      <c r="K1124">
        <v>0.78100000000000003</v>
      </c>
      <c r="L1124">
        <v>0.25</v>
      </c>
      <c r="M1124">
        <v>1.65</v>
      </c>
      <c r="N1124">
        <v>1.9E-2</v>
      </c>
    </row>
    <row r="1125" spans="1:14" x14ac:dyDescent="0.25">
      <c r="A1125" t="s">
        <v>2099</v>
      </c>
      <c r="B1125" t="s">
        <v>2100</v>
      </c>
      <c r="C1125" s="1" t="str">
        <f>HYPERLINK("http://www.genecards.org/cgi-bin/carddisp.pl?gene=SMAP1","GeneCards")</f>
        <v>GeneCards</v>
      </c>
      <c r="D1125" s="1" t="str">
        <f>HYPERLINK("http://genome-euro.ucsc.edu/cgi-bin/hgTracks?position=218137_s_at","UCSC")</f>
        <v>UCSC</v>
      </c>
      <c r="E1125" s="1" t="str">
        <f>HYPERLINK("http://www.ncbi.nlm.nih.gov/gene/?term=SMAP1","NCBI")</f>
        <v>NCBI</v>
      </c>
      <c r="F1125">
        <v>2.3999999999999998E-3</v>
      </c>
      <c r="G1125">
        <v>3.5999999999999997E-2</v>
      </c>
      <c r="H1125" s="1" t="str">
        <f>HYPERLINK("http://www.weizmann.ac.il/complex/compphys/software/geview/data/figures/218137_s_at.png","Figure")</f>
        <v>Figure</v>
      </c>
      <c r="I1125">
        <v>1.26</v>
      </c>
      <c r="J1125">
        <v>0.41</v>
      </c>
      <c r="K1125">
        <v>1.93</v>
      </c>
      <c r="L1125">
        <v>2.0999999999999999E-3</v>
      </c>
      <c r="M1125">
        <v>1.54</v>
      </c>
      <c r="N1125">
        <v>0.05</v>
      </c>
    </row>
    <row r="1126" spans="1:14" x14ac:dyDescent="0.25">
      <c r="A1126" t="s">
        <v>2101</v>
      </c>
      <c r="B1126" t="s">
        <v>2102</v>
      </c>
      <c r="C1126" s="1" t="str">
        <f>HYPERLINK("http://www.genecards.org/cgi-bin/carddisp.pl?gene=ACSM5","GeneCards")</f>
        <v>GeneCards</v>
      </c>
      <c r="D1126" s="1" t="str">
        <f>HYPERLINK("http://genome-euro.ucsc.edu/cgi-bin/hgTracks?position=220061_at","UCSC")</f>
        <v>UCSC</v>
      </c>
      <c r="E1126" s="1" t="str">
        <f>HYPERLINK("http://www.ncbi.nlm.nih.gov/gene/?term=ACSM5","NCBI")</f>
        <v>NCBI</v>
      </c>
      <c r="F1126">
        <v>2.3999999999999998E-3</v>
      </c>
      <c r="G1126">
        <v>3.5999999999999997E-2</v>
      </c>
      <c r="H1126" s="1" t="str">
        <f>HYPERLINK("http://www.weizmann.ac.il/complex/compphys/software/geview/data/figures/220061_at.png","Figure")</f>
        <v>Figure</v>
      </c>
      <c r="I1126">
        <v>1.32</v>
      </c>
      <c r="J1126">
        <v>2.2000000000000001E-3</v>
      </c>
      <c r="K1126">
        <v>1.2</v>
      </c>
      <c r="L1126">
        <v>1.9E-2</v>
      </c>
      <c r="M1126">
        <v>0.90500000000000003</v>
      </c>
      <c r="N1126">
        <v>0.26</v>
      </c>
    </row>
    <row r="1127" spans="1:14" x14ac:dyDescent="0.25">
      <c r="A1127" t="s">
        <v>2103</v>
      </c>
      <c r="B1127" t="s">
        <v>2104</v>
      </c>
      <c r="C1127" s="1" t="str">
        <f>HYPERLINK("http://www.genecards.org/cgi-bin/carddisp.pl?gene=PACS1","GeneCards")</f>
        <v>GeneCards</v>
      </c>
      <c r="D1127" s="1" t="str">
        <f>HYPERLINK("http://genome-euro.ucsc.edu/cgi-bin/hgTracks?position=220557_s_at","UCSC")</f>
        <v>UCSC</v>
      </c>
      <c r="E1127" s="1" t="str">
        <f>HYPERLINK("http://www.ncbi.nlm.nih.gov/gene/?term=PACS1","NCBI")</f>
        <v>NCBI</v>
      </c>
      <c r="F1127">
        <v>2.3999999999999998E-3</v>
      </c>
      <c r="G1127">
        <v>3.5999999999999997E-2</v>
      </c>
      <c r="H1127" s="1" t="str">
        <f>HYPERLINK("http://www.weizmann.ac.il/complex/compphys/software/geview/data/figures/220557_s_at.png","Figure")</f>
        <v>Figure</v>
      </c>
      <c r="I1127">
        <v>1.0900000000000001</v>
      </c>
      <c r="J1127">
        <v>0.23</v>
      </c>
      <c r="K1127">
        <v>0.89700000000000002</v>
      </c>
      <c r="L1127">
        <v>0.05</v>
      </c>
      <c r="M1127">
        <v>0.82599999999999996</v>
      </c>
      <c r="N1127">
        <v>2.2000000000000001E-3</v>
      </c>
    </row>
    <row r="1128" spans="1:14" x14ac:dyDescent="0.25">
      <c r="A1128" t="s">
        <v>2105</v>
      </c>
      <c r="B1128" t="s">
        <v>601</v>
      </c>
      <c r="C1128" s="1" t="str">
        <f>HYPERLINK("http://www.genecards.org/cgi-bin/carddisp.pl?gene=TUSC3","GeneCards")</f>
        <v>GeneCards</v>
      </c>
      <c r="D1128" s="1" t="str">
        <f>HYPERLINK("http://genome-euro.ucsc.edu/cgi-bin/hgTracks?position=213423_x_at","UCSC")</f>
        <v>UCSC</v>
      </c>
      <c r="E1128" s="1" t="str">
        <f>HYPERLINK("http://www.ncbi.nlm.nih.gov/gene/?term=TUSC3","NCBI")</f>
        <v>NCBI</v>
      </c>
      <c r="F1128">
        <v>2.3999999999999998E-3</v>
      </c>
      <c r="G1128">
        <v>3.5999999999999997E-2</v>
      </c>
      <c r="H1128" s="1" t="str">
        <f>HYPERLINK("http://www.weizmann.ac.il/complex/compphys/software/geview/data/figures/213423_x_at.png","Figure")</f>
        <v>Figure</v>
      </c>
      <c r="I1128">
        <v>1</v>
      </c>
      <c r="J1128">
        <v>1</v>
      </c>
      <c r="K1128">
        <v>0.40400000000000003</v>
      </c>
      <c r="L1128">
        <v>5.4000000000000003E-3</v>
      </c>
      <c r="M1128">
        <v>0.40400000000000003</v>
      </c>
      <c r="N1128">
        <v>8.6999999999999994E-3</v>
      </c>
    </row>
    <row r="1129" spans="1:14" x14ac:dyDescent="0.25">
      <c r="A1129" t="s">
        <v>2106</v>
      </c>
      <c r="B1129" t="s">
        <v>2107</v>
      </c>
      <c r="C1129" s="1" t="str">
        <f>HYPERLINK("http://www.genecards.org/cgi-bin/carddisp.pl?gene=KLHDC2","GeneCards")</f>
        <v>GeneCards</v>
      </c>
      <c r="D1129" s="1" t="str">
        <f>HYPERLINK("http://genome-euro.ucsc.edu/cgi-bin/hgTracks?position=217906_at","UCSC")</f>
        <v>UCSC</v>
      </c>
      <c r="E1129" s="1" t="str">
        <f>HYPERLINK("http://www.ncbi.nlm.nih.gov/gene/?term=KLHDC2","NCBI")</f>
        <v>NCBI</v>
      </c>
      <c r="F1129">
        <v>2.3999999999999998E-3</v>
      </c>
      <c r="G1129">
        <v>3.5999999999999997E-2</v>
      </c>
      <c r="H1129" s="1" t="str">
        <f>HYPERLINK("http://www.weizmann.ac.il/complex/compphys/software/geview/data/figures/217906_at.png","Figure")</f>
        <v>Figure</v>
      </c>
      <c r="I1129">
        <v>0.54700000000000004</v>
      </c>
      <c r="J1129">
        <v>2.7000000000000001E-3</v>
      </c>
      <c r="K1129">
        <v>0.65300000000000002</v>
      </c>
      <c r="L1129">
        <v>1.2E-2</v>
      </c>
      <c r="M1129">
        <v>1.2</v>
      </c>
      <c r="N1129">
        <v>0.4</v>
      </c>
    </row>
    <row r="1130" spans="1:14" x14ac:dyDescent="0.25">
      <c r="A1130" t="s">
        <v>2108</v>
      </c>
      <c r="B1130" t="s">
        <v>2109</v>
      </c>
      <c r="C1130" s="1" t="str">
        <f>HYPERLINK("http://www.genecards.org/cgi-bin/carddisp.pl?gene=PCLO","GeneCards")</f>
        <v>GeneCards</v>
      </c>
      <c r="D1130" s="1" t="str">
        <f>HYPERLINK("http://genome-euro.ucsc.edu/cgi-bin/hgTracks?position=213558_at","UCSC")</f>
        <v>UCSC</v>
      </c>
      <c r="E1130" s="1" t="str">
        <f>HYPERLINK("http://www.ncbi.nlm.nih.gov/gene/?term=PCLO","NCBI")</f>
        <v>NCBI</v>
      </c>
      <c r="F1130">
        <v>2.3999999999999998E-3</v>
      </c>
      <c r="G1130">
        <v>3.5999999999999997E-2</v>
      </c>
      <c r="H1130" s="1" t="str">
        <f>HYPERLINK("http://www.weizmann.ac.il/complex/compphys/software/geview/data/figures/213558_at.png","Figure")</f>
        <v>Figure</v>
      </c>
      <c r="I1130">
        <v>0.27100000000000002</v>
      </c>
      <c r="J1130">
        <v>0.17</v>
      </c>
      <c r="K1130">
        <v>7.2400000000000006E-2</v>
      </c>
      <c r="L1130">
        <v>1.8E-3</v>
      </c>
      <c r="M1130">
        <v>0.26700000000000002</v>
      </c>
      <c r="N1130">
        <v>0.13</v>
      </c>
    </row>
    <row r="1131" spans="1:14" x14ac:dyDescent="0.25">
      <c r="A1131" t="s">
        <v>2110</v>
      </c>
      <c r="B1131" t="s">
        <v>2111</v>
      </c>
      <c r="C1131" s="1" t="str">
        <f>HYPERLINK("http://www.genecards.org/cgi-bin/carddisp.pl?gene=SERTAD2","GeneCards")</f>
        <v>GeneCards</v>
      </c>
      <c r="D1131" s="1" t="str">
        <f>HYPERLINK("http://genome-euro.ucsc.edu/cgi-bin/hgTracks?position=202657_s_at","UCSC")</f>
        <v>UCSC</v>
      </c>
      <c r="E1131" s="1" t="str">
        <f>HYPERLINK("http://www.ncbi.nlm.nih.gov/gene/?term=SERTAD2","NCBI")</f>
        <v>NCBI</v>
      </c>
      <c r="F1131">
        <v>2.3999999999999998E-3</v>
      </c>
      <c r="G1131">
        <v>3.5999999999999997E-2</v>
      </c>
      <c r="H1131" s="1" t="str">
        <f>HYPERLINK("http://www.weizmann.ac.il/complex/compphys/software/geview/data/figures/202657_s_at.png","Figure")</f>
        <v>Figure</v>
      </c>
      <c r="I1131">
        <v>0.746</v>
      </c>
      <c r="J1131">
        <v>0.3</v>
      </c>
      <c r="K1131">
        <v>0.48399999999999999</v>
      </c>
      <c r="L1131">
        <v>2E-3</v>
      </c>
      <c r="M1131">
        <v>0.64800000000000002</v>
      </c>
      <c r="N1131">
        <v>7.0999999999999994E-2</v>
      </c>
    </row>
    <row r="1132" spans="1:14" x14ac:dyDescent="0.25">
      <c r="A1132" t="s">
        <v>2112</v>
      </c>
      <c r="B1132" t="s">
        <v>2113</v>
      </c>
      <c r="C1132" s="1" t="str">
        <f>HYPERLINK("http://www.genecards.org/cgi-bin/carddisp.pl?gene=GP1BB /// SEPT5","GeneCards")</f>
        <v>GeneCards</v>
      </c>
      <c r="D1132" s="1" t="str">
        <f>HYPERLINK("http://genome-euro.ucsc.edu/cgi-bin/hgTracks?position=206655_s_at","UCSC")</f>
        <v>UCSC</v>
      </c>
      <c r="E1132" s="1" t="str">
        <f>HYPERLINK("http://www.ncbi.nlm.nih.gov/gene/?term=GP1BB /// SEPT5","NCBI")</f>
        <v>NCBI</v>
      </c>
      <c r="F1132">
        <v>2.3999999999999998E-3</v>
      </c>
      <c r="G1132">
        <v>3.5999999999999997E-2</v>
      </c>
      <c r="H1132" s="1" t="str">
        <f>HYPERLINK("http://www.weizmann.ac.il/complex/compphys/software/geview/data/figures/206655_s_at.png","Figure")</f>
        <v>Figure</v>
      </c>
      <c r="I1132">
        <v>1.2</v>
      </c>
      <c r="J1132">
        <v>5.3E-3</v>
      </c>
      <c r="K1132">
        <v>1.17</v>
      </c>
      <c r="L1132">
        <v>4.8999999999999998E-3</v>
      </c>
      <c r="M1132">
        <v>0.97899999999999998</v>
      </c>
      <c r="N1132">
        <v>0.88</v>
      </c>
    </row>
    <row r="1133" spans="1:14" x14ac:dyDescent="0.25">
      <c r="A1133" t="s">
        <v>2114</v>
      </c>
      <c r="B1133" t="s">
        <v>873</v>
      </c>
      <c r="C1133" s="1" t="str">
        <f>HYPERLINK("http://www.genecards.org/cgi-bin/carddisp.pl?gene=LAMP2","GeneCards")</f>
        <v>GeneCards</v>
      </c>
      <c r="D1133" s="1" t="str">
        <f>HYPERLINK("http://genome-euro.ucsc.edu/cgi-bin/hgTracks?position=203042_at","UCSC")</f>
        <v>UCSC</v>
      </c>
      <c r="E1133" s="1" t="str">
        <f>HYPERLINK("http://www.ncbi.nlm.nih.gov/gene/?term=LAMP2","NCBI")</f>
        <v>NCBI</v>
      </c>
      <c r="F1133">
        <v>2.3999999999999998E-3</v>
      </c>
      <c r="G1133">
        <v>3.5999999999999997E-2</v>
      </c>
      <c r="H1133" s="1" t="str">
        <f>HYPERLINK("http://www.weizmann.ac.il/complex/compphys/software/geview/data/figures/203042_at.png","Figure")</f>
        <v>Figure</v>
      </c>
      <c r="I1133">
        <v>0.36299999999999999</v>
      </c>
      <c r="J1133">
        <v>3.0999999999999999E-3</v>
      </c>
      <c r="K1133">
        <v>0.86499999999999999</v>
      </c>
      <c r="L1133">
        <v>0.78</v>
      </c>
      <c r="M1133">
        <v>2.38</v>
      </c>
      <c r="N1133">
        <v>5.8999999999999999E-3</v>
      </c>
    </row>
    <row r="1134" spans="1:14" x14ac:dyDescent="0.25">
      <c r="A1134" t="s">
        <v>2115</v>
      </c>
      <c r="B1134" t="s">
        <v>2116</v>
      </c>
      <c r="C1134" s="1" t="str">
        <f>HYPERLINK("http://www.genecards.org/cgi-bin/carddisp.pl?gene=UFM1","GeneCards")</f>
        <v>GeneCards</v>
      </c>
      <c r="D1134" s="1" t="str">
        <f>HYPERLINK("http://genome-euro.ucsc.edu/cgi-bin/hgTracks?position=218050_at","UCSC")</f>
        <v>UCSC</v>
      </c>
      <c r="E1134" s="1" t="str">
        <f>HYPERLINK("http://www.ncbi.nlm.nih.gov/gene/?term=UFM1","NCBI")</f>
        <v>NCBI</v>
      </c>
      <c r="F1134">
        <v>2.3999999999999998E-3</v>
      </c>
      <c r="G1134">
        <v>3.5999999999999997E-2</v>
      </c>
      <c r="H1134" s="1" t="str">
        <f>HYPERLINK("http://www.weizmann.ac.il/complex/compphys/software/geview/data/figures/218050_at.png","Figure")</f>
        <v>Figure</v>
      </c>
      <c r="I1134">
        <v>0.95599999999999996</v>
      </c>
      <c r="J1134">
        <v>0.93</v>
      </c>
      <c r="K1134">
        <v>0.63600000000000001</v>
      </c>
      <c r="L1134">
        <v>4.0000000000000001E-3</v>
      </c>
      <c r="M1134">
        <v>0.66600000000000004</v>
      </c>
      <c r="N1134">
        <v>1.2999999999999999E-2</v>
      </c>
    </row>
    <row r="1135" spans="1:14" x14ac:dyDescent="0.25">
      <c r="A1135" t="s">
        <v>2117</v>
      </c>
      <c r="B1135" t="s">
        <v>2118</v>
      </c>
      <c r="C1135" s="1" t="str">
        <f>HYPERLINK("http://www.genecards.org/cgi-bin/carddisp.pl?gene=HECA","GeneCards")</f>
        <v>GeneCards</v>
      </c>
      <c r="D1135" s="1" t="str">
        <f>HYPERLINK("http://genome-euro.ucsc.edu/cgi-bin/hgTracks?position=218603_at","UCSC")</f>
        <v>UCSC</v>
      </c>
      <c r="E1135" s="1" t="str">
        <f>HYPERLINK("http://www.ncbi.nlm.nih.gov/gene/?term=HECA","NCBI")</f>
        <v>NCBI</v>
      </c>
      <c r="F1135">
        <v>2.3999999999999998E-3</v>
      </c>
      <c r="G1135">
        <v>3.5999999999999997E-2</v>
      </c>
      <c r="H1135" s="1" t="str">
        <f>HYPERLINK("http://www.weizmann.ac.il/complex/compphys/software/geview/data/figures/218603_at.png","Figure")</f>
        <v>Figure</v>
      </c>
      <c r="I1135">
        <v>0.56699999999999995</v>
      </c>
      <c r="J1135">
        <v>0.12</v>
      </c>
      <c r="K1135">
        <v>0.35799999999999998</v>
      </c>
      <c r="L1135">
        <v>1.8E-3</v>
      </c>
      <c r="M1135">
        <v>0.63100000000000001</v>
      </c>
      <c r="N1135">
        <v>0.19</v>
      </c>
    </row>
    <row r="1136" spans="1:14" x14ac:dyDescent="0.25">
      <c r="A1136" t="s">
        <v>2119</v>
      </c>
      <c r="B1136" t="s">
        <v>2120</v>
      </c>
      <c r="C1136" s="1" t="str">
        <f>HYPERLINK("http://www.genecards.org/cgi-bin/carddisp.pl?gene=BTK","GeneCards")</f>
        <v>GeneCards</v>
      </c>
      <c r="D1136" s="1" t="str">
        <f>HYPERLINK("http://genome-euro.ucsc.edu/cgi-bin/hgTracks?position=205504_at","UCSC")</f>
        <v>UCSC</v>
      </c>
      <c r="E1136" s="1" t="str">
        <f>HYPERLINK("http://www.ncbi.nlm.nih.gov/gene/?term=BTK","NCBI")</f>
        <v>NCBI</v>
      </c>
      <c r="F1136">
        <v>2.3999999999999998E-3</v>
      </c>
      <c r="G1136">
        <v>3.5999999999999997E-2</v>
      </c>
      <c r="H1136" s="1" t="str">
        <f>HYPERLINK("http://www.weizmann.ac.il/complex/compphys/software/geview/data/figures/205504_at.png","Figure")</f>
        <v>Figure</v>
      </c>
      <c r="I1136">
        <v>1.0900000000000001</v>
      </c>
      <c r="J1136">
        <v>0.92</v>
      </c>
      <c r="K1136">
        <v>2.09</v>
      </c>
      <c r="L1136">
        <v>3.8999999999999998E-3</v>
      </c>
      <c r="M1136">
        <v>1.93</v>
      </c>
      <c r="N1136">
        <v>1.4E-2</v>
      </c>
    </row>
    <row r="1137" spans="1:14" x14ac:dyDescent="0.25">
      <c r="A1137" t="s">
        <v>2121</v>
      </c>
      <c r="B1137" t="s">
        <v>2122</v>
      </c>
      <c r="C1137" s="1" t="str">
        <f>HYPERLINK("http://www.genecards.org/cgi-bin/carddisp.pl?gene=ADAMTSL4","GeneCards")</f>
        <v>GeneCards</v>
      </c>
      <c r="D1137" s="1" t="str">
        <f>HYPERLINK("http://genome-euro.ucsc.edu/cgi-bin/hgTracks?position=220578_at","UCSC")</f>
        <v>UCSC</v>
      </c>
      <c r="E1137" s="1" t="str">
        <f>HYPERLINK("http://www.ncbi.nlm.nih.gov/gene/?term=ADAMTSL4","NCBI")</f>
        <v>NCBI</v>
      </c>
      <c r="F1137">
        <v>2.3999999999999998E-3</v>
      </c>
      <c r="G1137">
        <v>3.5999999999999997E-2</v>
      </c>
      <c r="H1137" s="1" t="str">
        <f>HYPERLINK("http://www.weizmann.ac.il/complex/compphys/software/geview/data/figures/220578_at.png","Figure")</f>
        <v>Figure</v>
      </c>
      <c r="I1137">
        <v>1.31</v>
      </c>
      <c r="J1137">
        <v>3.2000000000000002E-3</v>
      </c>
      <c r="K1137">
        <v>1.04</v>
      </c>
      <c r="L1137">
        <v>0.79</v>
      </c>
      <c r="M1137">
        <v>0.79400000000000004</v>
      </c>
      <c r="N1137">
        <v>5.7999999999999996E-3</v>
      </c>
    </row>
    <row r="1138" spans="1:14" x14ac:dyDescent="0.25">
      <c r="A1138" t="s">
        <v>2123</v>
      </c>
      <c r="B1138" t="s">
        <v>2124</v>
      </c>
      <c r="C1138" s="1" t="str">
        <f>HYPERLINK("http://www.genecards.org/cgi-bin/carddisp.pl?gene=HOXC8","GeneCards")</f>
        <v>GeneCards</v>
      </c>
      <c r="D1138" s="1" t="str">
        <f>HYPERLINK("http://genome-euro.ucsc.edu/cgi-bin/hgTracks?position=221350_at","UCSC")</f>
        <v>UCSC</v>
      </c>
      <c r="E1138" s="1" t="str">
        <f>HYPERLINK("http://www.ncbi.nlm.nih.gov/gene/?term=HOXC8","NCBI")</f>
        <v>NCBI</v>
      </c>
      <c r="F1138">
        <v>2.3999999999999998E-3</v>
      </c>
      <c r="G1138">
        <v>3.5999999999999997E-2</v>
      </c>
      <c r="H1138" s="1" t="str">
        <f>HYPERLINK("http://www.weizmann.ac.il/complex/compphys/software/geview/data/figures/221350_at.png","Figure")</f>
        <v>Figure</v>
      </c>
      <c r="I1138">
        <v>1.1599999999999999</v>
      </c>
      <c r="J1138">
        <v>0.08</v>
      </c>
      <c r="K1138">
        <v>0.89700000000000002</v>
      </c>
      <c r="L1138">
        <v>0.14000000000000001</v>
      </c>
      <c r="M1138">
        <v>0.77600000000000002</v>
      </c>
      <c r="N1138">
        <v>1.8E-3</v>
      </c>
    </row>
    <row r="1139" spans="1:14" x14ac:dyDescent="0.25">
      <c r="A1139" t="s">
        <v>2125</v>
      </c>
      <c r="B1139" t="s">
        <v>2126</v>
      </c>
      <c r="C1139" s="1" t="str">
        <f>HYPERLINK("http://www.genecards.org/cgi-bin/carddisp.pl?gene=PPIA","GeneCards")</f>
        <v>GeneCards</v>
      </c>
      <c r="D1139" s="1" t="str">
        <f>HYPERLINK("http://genome-euro.ucsc.edu/cgi-bin/hgTracks?position=211765_x_at","UCSC")</f>
        <v>UCSC</v>
      </c>
      <c r="E1139" s="1" t="str">
        <f>HYPERLINK("http://www.ncbi.nlm.nih.gov/gene/?term=PPIA","NCBI")</f>
        <v>NCBI</v>
      </c>
      <c r="F1139">
        <v>2.3999999999999998E-3</v>
      </c>
      <c r="G1139">
        <v>3.6999999999999998E-2</v>
      </c>
      <c r="H1139" s="1" t="str">
        <f>HYPERLINK("http://www.weizmann.ac.il/complex/compphys/software/geview/data/figures/211765_x_at.png","Figure")</f>
        <v>Figure</v>
      </c>
      <c r="I1139">
        <v>1.05</v>
      </c>
      <c r="J1139">
        <v>0.92</v>
      </c>
      <c r="K1139">
        <v>1.59</v>
      </c>
      <c r="L1139">
        <v>3.8999999999999998E-3</v>
      </c>
      <c r="M1139">
        <v>1.51</v>
      </c>
      <c r="N1139">
        <v>1.4E-2</v>
      </c>
    </row>
    <row r="1140" spans="1:14" x14ac:dyDescent="0.25">
      <c r="A1140" t="s">
        <v>2127</v>
      </c>
      <c r="B1140" t="s">
        <v>2128</v>
      </c>
      <c r="C1140" s="1" t="str">
        <f>HYPERLINK("http://www.genecards.org/cgi-bin/carddisp.pl?gene=ARHGEF10","GeneCards")</f>
        <v>GeneCards</v>
      </c>
      <c r="D1140" s="1" t="str">
        <f>HYPERLINK("http://genome-euro.ucsc.edu/cgi-bin/hgTracks?position=216620_s_at","UCSC")</f>
        <v>UCSC</v>
      </c>
      <c r="E1140" s="1" t="str">
        <f>HYPERLINK("http://www.ncbi.nlm.nih.gov/gene/?term=ARHGEF10","NCBI")</f>
        <v>NCBI</v>
      </c>
      <c r="F1140">
        <v>2.3999999999999998E-3</v>
      </c>
      <c r="G1140">
        <v>3.6999999999999998E-2</v>
      </c>
      <c r="H1140" s="1" t="str">
        <f>HYPERLINK("http://www.weizmann.ac.il/complex/compphys/software/geview/data/figures/216620_s_at.png","Figure")</f>
        <v>Figure</v>
      </c>
      <c r="I1140">
        <v>0.27300000000000002</v>
      </c>
      <c r="J1140">
        <v>6.8999999999999999E-3</v>
      </c>
      <c r="K1140">
        <v>1.07</v>
      </c>
      <c r="L1140">
        <v>0.97</v>
      </c>
      <c r="M1140">
        <v>3.93</v>
      </c>
      <c r="N1140">
        <v>2.8999999999999998E-3</v>
      </c>
    </row>
    <row r="1141" spans="1:14" x14ac:dyDescent="0.25">
      <c r="A1141" t="s">
        <v>2129</v>
      </c>
      <c r="B1141" t="s">
        <v>2130</v>
      </c>
      <c r="C1141" s="1" t="str">
        <f>HYPERLINK("http://www.genecards.org/cgi-bin/carddisp.pl?gene=TNFRSF21","GeneCards")</f>
        <v>GeneCards</v>
      </c>
      <c r="D1141" s="1" t="str">
        <f>HYPERLINK("http://genome-euro.ucsc.edu/cgi-bin/hgTracks?position=218856_at","UCSC")</f>
        <v>UCSC</v>
      </c>
      <c r="E1141" s="1" t="str">
        <f>HYPERLINK("http://www.ncbi.nlm.nih.gov/gene/?term=TNFRSF21","NCBI")</f>
        <v>NCBI</v>
      </c>
      <c r="F1141">
        <v>2.5000000000000001E-3</v>
      </c>
      <c r="G1141">
        <v>3.6999999999999998E-2</v>
      </c>
      <c r="H1141" s="1" t="str">
        <f>HYPERLINK("http://www.weizmann.ac.il/complex/compphys/software/geview/data/figures/218856_at.png","Figure")</f>
        <v>Figure</v>
      </c>
      <c r="I1141">
        <v>0.504</v>
      </c>
      <c r="J1141">
        <v>0.38</v>
      </c>
      <c r="K1141">
        <v>0.151</v>
      </c>
      <c r="L1141">
        <v>2.2000000000000001E-3</v>
      </c>
      <c r="M1141">
        <v>0.29899999999999999</v>
      </c>
      <c r="N1141">
        <v>5.5E-2</v>
      </c>
    </row>
    <row r="1142" spans="1:14" x14ac:dyDescent="0.25">
      <c r="A1142" t="s">
        <v>2131</v>
      </c>
      <c r="B1142" t="s">
        <v>2132</v>
      </c>
      <c r="C1142" s="1" t="str">
        <f>HYPERLINK("http://www.genecards.org/cgi-bin/carddisp.pl?gene=MGST3","GeneCards")</f>
        <v>GeneCards</v>
      </c>
      <c r="D1142" s="1" t="str">
        <f>HYPERLINK("http://genome-euro.ucsc.edu/cgi-bin/hgTracks?position=201403_s_at","UCSC")</f>
        <v>UCSC</v>
      </c>
      <c r="E1142" s="1" t="str">
        <f>HYPERLINK("http://www.ncbi.nlm.nih.gov/gene/?term=MGST3","NCBI")</f>
        <v>NCBI</v>
      </c>
      <c r="F1142">
        <v>2.5000000000000001E-3</v>
      </c>
      <c r="G1142">
        <v>3.6999999999999998E-2</v>
      </c>
      <c r="H1142" s="1" t="str">
        <f>HYPERLINK("http://www.weizmann.ac.il/complex/compphys/software/geview/data/figures/201403_s_at.png","Figure")</f>
        <v>Figure</v>
      </c>
      <c r="I1142">
        <v>1.55</v>
      </c>
      <c r="J1142">
        <v>2.4E-2</v>
      </c>
      <c r="K1142">
        <v>1.72</v>
      </c>
      <c r="L1142">
        <v>2.2000000000000001E-3</v>
      </c>
      <c r="M1142">
        <v>1.1100000000000001</v>
      </c>
      <c r="N1142">
        <v>0.71</v>
      </c>
    </row>
    <row r="1143" spans="1:14" x14ac:dyDescent="0.25">
      <c r="A1143" t="s">
        <v>2133</v>
      </c>
      <c r="B1143" t="s">
        <v>2134</v>
      </c>
      <c r="C1143" s="1" t="str">
        <f>HYPERLINK("http://www.genecards.org/cgi-bin/carddisp.pl?gene=PPFIA3","GeneCards")</f>
        <v>GeneCards</v>
      </c>
      <c r="D1143" s="1" t="str">
        <f>HYPERLINK("http://genome-euro.ucsc.edu/cgi-bin/hgTracks?position=215280_s_at","UCSC")</f>
        <v>UCSC</v>
      </c>
      <c r="E1143" s="1" t="str">
        <f>HYPERLINK("http://www.ncbi.nlm.nih.gov/gene/?term=PPFIA3","NCBI")</f>
        <v>NCBI</v>
      </c>
      <c r="F1143">
        <v>2.5000000000000001E-3</v>
      </c>
      <c r="G1143">
        <v>3.6999999999999998E-2</v>
      </c>
      <c r="H1143" s="1" t="str">
        <f>HYPERLINK("http://www.weizmann.ac.il/complex/compphys/software/geview/data/figures/215280_s_at.png","Figure")</f>
        <v>Figure</v>
      </c>
      <c r="I1143">
        <v>1.3</v>
      </c>
      <c r="J1143">
        <v>3.8999999999999998E-3</v>
      </c>
      <c r="K1143">
        <v>1.02</v>
      </c>
      <c r="L1143">
        <v>0.91</v>
      </c>
      <c r="M1143">
        <v>0.78900000000000003</v>
      </c>
      <c r="N1143">
        <v>4.7000000000000002E-3</v>
      </c>
    </row>
    <row r="1144" spans="1:14" x14ac:dyDescent="0.25">
      <c r="A1144" t="s">
        <v>2135</v>
      </c>
      <c r="B1144" t="s">
        <v>2136</v>
      </c>
      <c r="C1144" s="1" t="str">
        <f>HYPERLINK("http://www.genecards.org/cgi-bin/carddisp.pl?gene=KIAA0652","GeneCards")</f>
        <v>GeneCards</v>
      </c>
      <c r="D1144" s="1" t="str">
        <f>HYPERLINK("http://genome-euro.ucsc.edu/cgi-bin/hgTracks?position=209021_x_at","UCSC")</f>
        <v>UCSC</v>
      </c>
      <c r="E1144" s="1" t="str">
        <f>HYPERLINK("http://www.ncbi.nlm.nih.gov/gene/?term=KIAA0652","NCBI")</f>
        <v>NCBI</v>
      </c>
      <c r="F1144">
        <v>2.5000000000000001E-3</v>
      </c>
      <c r="G1144">
        <v>3.6999999999999998E-2</v>
      </c>
      <c r="H1144" s="1" t="str">
        <f>HYPERLINK("http://www.weizmann.ac.il/complex/compphys/software/geview/data/figures/209021_x_at.png","Figure")</f>
        <v>Figure</v>
      </c>
      <c r="I1144">
        <v>1.44</v>
      </c>
      <c r="J1144">
        <v>4.4000000000000003E-3</v>
      </c>
      <c r="K1144">
        <v>1.02</v>
      </c>
      <c r="L1144">
        <v>0.96</v>
      </c>
      <c r="M1144">
        <v>0.71</v>
      </c>
      <c r="N1144">
        <v>4.1999999999999997E-3</v>
      </c>
    </row>
    <row r="1145" spans="1:14" x14ac:dyDescent="0.25">
      <c r="A1145" t="s">
        <v>2137</v>
      </c>
      <c r="B1145" t="s">
        <v>2138</v>
      </c>
      <c r="C1145" s="1" t="str">
        <f>HYPERLINK("http://www.genecards.org/cgi-bin/carddisp.pl?gene=FAM82B","GeneCards")</f>
        <v>GeneCards</v>
      </c>
      <c r="D1145" s="1" t="str">
        <f>HYPERLINK("http://genome-euro.ucsc.edu/cgi-bin/hgTracks?position=218549_s_at","UCSC")</f>
        <v>UCSC</v>
      </c>
      <c r="E1145" s="1" t="str">
        <f>HYPERLINK("http://www.ncbi.nlm.nih.gov/gene/?term=FAM82B","NCBI")</f>
        <v>NCBI</v>
      </c>
      <c r="F1145">
        <v>2.5000000000000001E-3</v>
      </c>
      <c r="G1145">
        <v>3.6999999999999998E-2</v>
      </c>
      <c r="H1145" s="1" t="str">
        <f>HYPERLINK("http://www.weizmann.ac.il/complex/compphys/software/geview/data/figures/218549_s_at.png","Figure")</f>
        <v>Figure</v>
      </c>
      <c r="I1145">
        <v>0.69399999999999995</v>
      </c>
      <c r="J1145">
        <v>1.9E-2</v>
      </c>
      <c r="K1145">
        <v>1.1100000000000001</v>
      </c>
      <c r="L1145">
        <v>0.56000000000000005</v>
      </c>
      <c r="M1145">
        <v>1.6</v>
      </c>
      <c r="N1145">
        <v>2E-3</v>
      </c>
    </row>
    <row r="1146" spans="1:14" x14ac:dyDescent="0.25">
      <c r="A1146" t="s">
        <v>2139</v>
      </c>
      <c r="B1146" t="s">
        <v>2140</v>
      </c>
      <c r="C1146" s="1" t="str">
        <f>HYPERLINK("http://www.genecards.org/cgi-bin/carddisp.pl?gene=EIF1AP1 /// EIF1AX","GeneCards")</f>
        <v>GeneCards</v>
      </c>
      <c r="D1146" s="1" t="str">
        <f>HYPERLINK("http://genome-euro.ucsc.edu/cgi-bin/hgTracks?position=201019_s_at","UCSC")</f>
        <v>UCSC</v>
      </c>
      <c r="E1146" s="1" t="str">
        <f>HYPERLINK("http://www.ncbi.nlm.nih.gov/gene/?term=EIF1AP1 /// EIF1AX","NCBI")</f>
        <v>NCBI</v>
      </c>
      <c r="F1146">
        <v>2.5000000000000001E-3</v>
      </c>
      <c r="G1146">
        <v>3.6999999999999998E-2</v>
      </c>
      <c r="H1146" s="1" t="str">
        <f>HYPERLINK("http://www.weizmann.ac.il/complex/compphys/software/geview/data/figures/201019_s_at.png","Figure")</f>
        <v>Figure</v>
      </c>
      <c r="I1146">
        <v>0.53700000000000003</v>
      </c>
      <c r="J1146">
        <v>7.1999999999999998E-3</v>
      </c>
      <c r="K1146">
        <v>1.04</v>
      </c>
      <c r="L1146">
        <v>0.97</v>
      </c>
      <c r="M1146">
        <v>1.93</v>
      </c>
      <c r="N1146">
        <v>2.8999999999999998E-3</v>
      </c>
    </row>
    <row r="1147" spans="1:14" x14ac:dyDescent="0.25">
      <c r="A1147" t="s">
        <v>2141</v>
      </c>
      <c r="B1147" t="s">
        <v>2142</v>
      </c>
      <c r="C1147" s="1" t="str">
        <f>HYPERLINK("http://www.genecards.org/cgi-bin/carddisp.pl?gene=SNX3","GeneCards")</f>
        <v>GeneCards</v>
      </c>
      <c r="D1147" s="1" t="str">
        <f>HYPERLINK("http://genome-euro.ucsc.edu/cgi-bin/hgTracks?position=208781_x_at","UCSC")</f>
        <v>UCSC</v>
      </c>
      <c r="E1147" s="1" t="str">
        <f>HYPERLINK("http://www.ncbi.nlm.nih.gov/gene/?term=SNX3","NCBI")</f>
        <v>NCBI</v>
      </c>
      <c r="F1147">
        <v>2.5000000000000001E-3</v>
      </c>
      <c r="G1147">
        <v>3.6999999999999998E-2</v>
      </c>
      <c r="H1147" s="1" t="str">
        <f>HYPERLINK("http://www.weizmann.ac.il/complex/compphys/software/geview/data/figures/208781_x_at.png","Figure")</f>
        <v>Figure</v>
      </c>
      <c r="I1147">
        <v>0.56799999999999995</v>
      </c>
      <c r="J1147">
        <v>1.9E-3</v>
      </c>
      <c r="K1147">
        <v>0.81499999999999995</v>
      </c>
      <c r="L1147">
        <v>0.2</v>
      </c>
      <c r="M1147">
        <v>1.44</v>
      </c>
      <c r="N1147">
        <v>2.5000000000000001E-2</v>
      </c>
    </row>
    <row r="1148" spans="1:14" x14ac:dyDescent="0.25">
      <c r="A1148" t="s">
        <v>2143</v>
      </c>
      <c r="B1148" t="s">
        <v>2144</v>
      </c>
      <c r="C1148" s="1" t="str">
        <f>HYPERLINK("http://www.genecards.org/cgi-bin/carddisp.pl?gene=CALM1","GeneCards")</f>
        <v>GeneCards</v>
      </c>
      <c r="D1148" s="1" t="str">
        <f>HYPERLINK("http://genome-euro.ucsc.edu/cgi-bin/hgTracks?position=211985_s_at","UCSC")</f>
        <v>UCSC</v>
      </c>
      <c r="E1148" s="1" t="str">
        <f>HYPERLINK("http://www.ncbi.nlm.nih.gov/gene/?term=CALM1","NCBI")</f>
        <v>NCBI</v>
      </c>
      <c r="F1148">
        <v>2.5000000000000001E-3</v>
      </c>
      <c r="G1148">
        <v>3.6999999999999998E-2</v>
      </c>
      <c r="H1148" s="1" t="str">
        <f>HYPERLINK("http://www.weizmann.ac.il/complex/compphys/software/geview/data/figures/211985_s_at.png","Figure")</f>
        <v>Figure</v>
      </c>
      <c r="I1148">
        <v>0.53500000000000003</v>
      </c>
      <c r="J1148">
        <v>4.1000000000000002E-2</v>
      </c>
      <c r="K1148">
        <v>1.37</v>
      </c>
      <c r="L1148">
        <v>0.28000000000000003</v>
      </c>
      <c r="M1148">
        <v>2.57</v>
      </c>
      <c r="N1148">
        <v>1.8E-3</v>
      </c>
    </row>
    <row r="1149" spans="1:14" x14ac:dyDescent="0.25">
      <c r="A1149" t="s">
        <v>2145</v>
      </c>
      <c r="B1149" t="s">
        <v>2146</v>
      </c>
      <c r="C1149" s="1" t="str">
        <f>HYPERLINK("http://www.genecards.org/cgi-bin/carddisp.pl?gene=CLUAP1","GeneCards")</f>
        <v>GeneCards</v>
      </c>
      <c r="D1149" s="1" t="str">
        <f>HYPERLINK("http://genome-euro.ucsc.edu/cgi-bin/hgTracks?position=204576_s_at","UCSC")</f>
        <v>UCSC</v>
      </c>
      <c r="E1149" s="1" t="str">
        <f>HYPERLINK("http://www.ncbi.nlm.nih.gov/gene/?term=CLUAP1","NCBI")</f>
        <v>NCBI</v>
      </c>
      <c r="F1149">
        <v>2.5000000000000001E-3</v>
      </c>
      <c r="G1149">
        <v>3.6999999999999998E-2</v>
      </c>
      <c r="H1149" s="1" t="str">
        <f>HYPERLINK("http://www.weizmann.ac.il/complex/compphys/software/geview/data/figures/204576_s_at.png","Figure")</f>
        <v>Figure</v>
      </c>
      <c r="I1149">
        <v>1.1200000000000001</v>
      </c>
      <c r="J1149">
        <v>0.32</v>
      </c>
      <c r="K1149">
        <v>1.32</v>
      </c>
      <c r="L1149">
        <v>2.0999999999999999E-3</v>
      </c>
      <c r="M1149">
        <v>1.18</v>
      </c>
      <c r="N1149">
        <v>6.8000000000000005E-2</v>
      </c>
    </row>
    <row r="1150" spans="1:14" x14ac:dyDescent="0.25">
      <c r="A1150" t="s">
        <v>2147</v>
      </c>
      <c r="B1150" t="s">
        <v>2148</v>
      </c>
      <c r="C1150" s="1" t="str">
        <f>HYPERLINK("http://www.genecards.org/cgi-bin/carddisp.pl?gene=SPHK1","GeneCards")</f>
        <v>GeneCards</v>
      </c>
      <c r="D1150" s="1" t="str">
        <f>HYPERLINK("http://genome-euro.ucsc.edu/cgi-bin/hgTracks?position=219257_s_at","UCSC")</f>
        <v>UCSC</v>
      </c>
      <c r="E1150" s="1" t="str">
        <f>HYPERLINK("http://www.ncbi.nlm.nih.gov/gene/?term=SPHK1","NCBI")</f>
        <v>NCBI</v>
      </c>
      <c r="F1150">
        <v>2.5000000000000001E-3</v>
      </c>
      <c r="G1150">
        <v>3.6999999999999998E-2</v>
      </c>
      <c r="H1150" s="1" t="str">
        <f>HYPERLINK("http://www.weizmann.ac.il/complex/compphys/software/geview/data/figures/219257_s_at.png","Figure")</f>
        <v>Figure</v>
      </c>
      <c r="I1150">
        <v>1.26</v>
      </c>
      <c r="J1150">
        <v>1.7999999999999999E-2</v>
      </c>
      <c r="K1150">
        <v>0.93799999999999994</v>
      </c>
      <c r="L1150">
        <v>0.57999999999999996</v>
      </c>
      <c r="M1150">
        <v>0.74299999999999999</v>
      </c>
      <c r="N1150">
        <v>2E-3</v>
      </c>
    </row>
    <row r="1151" spans="1:14" x14ac:dyDescent="0.25">
      <c r="A1151" t="s">
        <v>2149</v>
      </c>
      <c r="B1151" t="s">
        <v>2150</v>
      </c>
      <c r="C1151" s="1" t="str">
        <f>HYPERLINK("http://www.genecards.org/cgi-bin/carddisp.pl?gene=BYSL","GeneCards")</f>
        <v>GeneCards</v>
      </c>
      <c r="D1151" s="1" t="str">
        <f>HYPERLINK("http://genome-euro.ucsc.edu/cgi-bin/hgTracks?position=203612_at","UCSC")</f>
        <v>UCSC</v>
      </c>
      <c r="E1151" s="1" t="str">
        <f>HYPERLINK("http://www.ncbi.nlm.nih.gov/gene/?term=BYSL","NCBI")</f>
        <v>NCBI</v>
      </c>
      <c r="F1151">
        <v>2.5000000000000001E-3</v>
      </c>
      <c r="G1151">
        <v>3.6999999999999998E-2</v>
      </c>
      <c r="H1151" s="1" t="str">
        <f>HYPERLINK("http://www.weizmann.ac.il/complex/compphys/software/geview/data/figures/203612_at.png","Figure")</f>
        <v>Figure</v>
      </c>
      <c r="I1151">
        <v>1.21</v>
      </c>
      <c r="J1151">
        <v>2.1999999999999999E-2</v>
      </c>
      <c r="K1151">
        <v>1.26</v>
      </c>
      <c r="L1151">
        <v>2.3E-3</v>
      </c>
      <c r="M1151">
        <v>1.04</v>
      </c>
      <c r="N1151">
        <v>0.75</v>
      </c>
    </row>
    <row r="1152" spans="1:14" x14ac:dyDescent="0.25">
      <c r="A1152" t="s">
        <v>2151</v>
      </c>
      <c r="B1152" t="s">
        <v>2152</v>
      </c>
      <c r="C1152" s="1" t="str">
        <f>HYPERLINK("http://www.genecards.org/cgi-bin/carddisp.pl?gene=DNASE1L1","GeneCards")</f>
        <v>GeneCards</v>
      </c>
      <c r="D1152" s="1" t="str">
        <f>HYPERLINK("http://genome-euro.ucsc.edu/cgi-bin/hgTracks?position=203912_s_at","UCSC")</f>
        <v>UCSC</v>
      </c>
      <c r="E1152" s="1" t="str">
        <f>HYPERLINK("http://www.ncbi.nlm.nih.gov/gene/?term=DNASE1L1","NCBI")</f>
        <v>NCBI</v>
      </c>
      <c r="F1152">
        <v>2.5000000000000001E-3</v>
      </c>
      <c r="G1152">
        <v>3.6999999999999998E-2</v>
      </c>
      <c r="H1152" s="1" t="str">
        <f>HYPERLINK("http://www.weizmann.ac.il/complex/compphys/software/geview/data/figures/203912_s_at.png","Figure")</f>
        <v>Figure</v>
      </c>
      <c r="I1152">
        <v>0.60099999999999998</v>
      </c>
      <c r="J1152">
        <v>1.9E-3</v>
      </c>
      <c r="K1152">
        <v>0.82599999999999996</v>
      </c>
      <c r="L1152">
        <v>0.18</v>
      </c>
      <c r="M1152">
        <v>1.37</v>
      </c>
      <c r="N1152">
        <v>2.8000000000000001E-2</v>
      </c>
    </row>
    <row r="1153" spans="1:14" x14ac:dyDescent="0.25">
      <c r="A1153" t="s">
        <v>2153</v>
      </c>
      <c r="B1153" t="s">
        <v>2154</v>
      </c>
      <c r="C1153" s="1" t="str">
        <f>HYPERLINK("http://www.genecards.org/cgi-bin/carddisp.pl?gene=GOLIM4","GeneCards")</f>
        <v>GeneCards</v>
      </c>
      <c r="D1153" s="1" t="str">
        <f>HYPERLINK("http://genome-euro.ucsc.edu/cgi-bin/hgTracks?position=204324_s_at","UCSC")</f>
        <v>UCSC</v>
      </c>
      <c r="E1153" s="1" t="str">
        <f>HYPERLINK("http://www.ncbi.nlm.nih.gov/gene/?term=GOLIM4","NCBI")</f>
        <v>NCBI</v>
      </c>
      <c r="F1153">
        <v>2.5000000000000001E-3</v>
      </c>
      <c r="G1153">
        <v>3.6999999999999998E-2</v>
      </c>
      <c r="H1153" s="1" t="str">
        <f>HYPERLINK("http://www.weizmann.ac.il/complex/compphys/software/geview/data/figures/204324_s_at.png","Figure")</f>
        <v>Figure</v>
      </c>
      <c r="I1153">
        <v>1.0900000000000001</v>
      </c>
      <c r="J1153">
        <v>0.57999999999999996</v>
      </c>
      <c r="K1153">
        <v>1.37</v>
      </c>
      <c r="L1153">
        <v>2.5999999999999999E-3</v>
      </c>
      <c r="M1153">
        <v>1.26</v>
      </c>
      <c r="N1153">
        <v>3.3000000000000002E-2</v>
      </c>
    </row>
    <row r="1154" spans="1:14" x14ac:dyDescent="0.25">
      <c r="A1154" t="s">
        <v>2155</v>
      </c>
      <c r="B1154" t="s">
        <v>2156</v>
      </c>
      <c r="C1154" s="1" t="str">
        <f>HYPERLINK("http://www.genecards.org/cgi-bin/carddisp.pl?gene=CHKB-CPT1B /// CPT1B","GeneCards")</f>
        <v>GeneCards</v>
      </c>
      <c r="D1154" s="1" t="str">
        <f>HYPERLINK("http://genome-euro.ucsc.edu/cgi-bin/hgTracks?position=210070_s_at","UCSC")</f>
        <v>UCSC</v>
      </c>
      <c r="E1154" s="1" t="str">
        <f>HYPERLINK("http://www.ncbi.nlm.nih.gov/gene/?term=CHKB-CPT1B /// CPT1B","NCBI")</f>
        <v>NCBI</v>
      </c>
      <c r="F1154">
        <v>2.5000000000000001E-3</v>
      </c>
      <c r="G1154">
        <v>3.6999999999999998E-2</v>
      </c>
      <c r="H1154" s="1" t="str">
        <f>HYPERLINK("http://www.weizmann.ac.il/complex/compphys/software/geview/data/figures/210070_s_at.png","Figure")</f>
        <v>Figure</v>
      </c>
      <c r="I1154">
        <v>0.58499999999999996</v>
      </c>
      <c r="J1154">
        <v>2.4E-2</v>
      </c>
      <c r="K1154">
        <v>1.21</v>
      </c>
      <c r="L1154">
        <v>0.46</v>
      </c>
      <c r="M1154">
        <v>2.06</v>
      </c>
      <c r="N1154">
        <v>1.9E-3</v>
      </c>
    </row>
    <row r="1155" spans="1:14" x14ac:dyDescent="0.25">
      <c r="A1155" t="s">
        <v>2157</v>
      </c>
      <c r="B1155" t="s">
        <v>2158</v>
      </c>
      <c r="C1155" s="1" t="str">
        <f>HYPERLINK("http://www.genecards.org/cgi-bin/carddisp.pl?gene=SLC28A2","GeneCards")</f>
        <v>GeneCards</v>
      </c>
      <c r="D1155" s="1" t="str">
        <f>HYPERLINK("http://genome-euro.ucsc.edu/cgi-bin/hgTracks?position=216432_at","UCSC")</f>
        <v>UCSC</v>
      </c>
      <c r="E1155" s="1" t="str">
        <f>HYPERLINK("http://www.ncbi.nlm.nih.gov/gene/?term=SLC28A2","NCBI")</f>
        <v>NCBI</v>
      </c>
      <c r="F1155">
        <v>2.5000000000000001E-3</v>
      </c>
      <c r="G1155">
        <v>3.6999999999999998E-2</v>
      </c>
      <c r="H1155" s="1" t="str">
        <f>HYPERLINK("http://www.weizmann.ac.il/complex/compphys/software/geview/data/figures/216432_at.png","Figure")</f>
        <v>Figure</v>
      </c>
      <c r="I1155">
        <v>1.34</v>
      </c>
      <c r="J1155">
        <v>1.9E-3</v>
      </c>
      <c r="K1155">
        <v>1.1100000000000001</v>
      </c>
      <c r="L1155">
        <v>0.19</v>
      </c>
      <c r="M1155">
        <v>0.83199999999999996</v>
      </c>
      <c r="N1155">
        <v>2.7E-2</v>
      </c>
    </row>
    <row r="1156" spans="1:14" x14ac:dyDescent="0.25">
      <c r="A1156" t="s">
        <v>2159</v>
      </c>
      <c r="B1156" t="s">
        <v>2160</v>
      </c>
      <c r="C1156" s="1" t="str">
        <f>HYPERLINK("http://www.genecards.org/cgi-bin/carddisp.pl?gene=TAF7","GeneCards")</f>
        <v>GeneCards</v>
      </c>
      <c r="D1156" s="1" t="str">
        <f>HYPERLINK("http://genome-euro.ucsc.edu/cgi-bin/hgTracks?position=201023_at","UCSC")</f>
        <v>UCSC</v>
      </c>
      <c r="E1156" s="1" t="str">
        <f>HYPERLINK("http://www.ncbi.nlm.nih.gov/gene/?term=TAF7","NCBI")</f>
        <v>NCBI</v>
      </c>
      <c r="F1156">
        <v>2.5000000000000001E-3</v>
      </c>
      <c r="G1156">
        <v>3.6999999999999998E-2</v>
      </c>
      <c r="H1156" s="1" t="str">
        <f>HYPERLINK("http://www.weizmann.ac.il/complex/compphys/software/geview/data/figures/201023_at.png","Figure")</f>
        <v>Figure</v>
      </c>
      <c r="I1156">
        <v>0.85799999999999998</v>
      </c>
      <c r="J1156">
        <v>0.38</v>
      </c>
      <c r="K1156">
        <v>0.65800000000000003</v>
      </c>
      <c r="L1156">
        <v>2.2000000000000001E-3</v>
      </c>
      <c r="M1156">
        <v>0.76700000000000002</v>
      </c>
      <c r="N1156">
        <v>5.7000000000000002E-2</v>
      </c>
    </row>
    <row r="1157" spans="1:14" x14ac:dyDescent="0.25">
      <c r="A1157" t="s">
        <v>2161</v>
      </c>
      <c r="B1157" t="s">
        <v>2162</v>
      </c>
      <c r="C1157" s="1" t="str">
        <f>HYPERLINK("http://www.genecards.org/cgi-bin/carddisp.pl?gene=ZNF22","GeneCards")</f>
        <v>GeneCards</v>
      </c>
      <c r="D1157" s="1" t="str">
        <f>HYPERLINK("http://genome-euro.ucsc.edu/cgi-bin/hgTracks?position=218006_s_at","UCSC")</f>
        <v>UCSC</v>
      </c>
      <c r="E1157" s="1" t="str">
        <f>HYPERLINK("http://www.ncbi.nlm.nih.gov/gene/?term=ZNF22","NCBI")</f>
        <v>NCBI</v>
      </c>
      <c r="F1157">
        <v>2.5000000000000001E-3</v>
      </c>
      <c r="G1157">
        <v>3.6999999999999998E-2</v>
      </c>
      <c r="H1157" s="1" t="str">
        <f>HYPERLINK("http://www.weizmann.ac.il/complex/compphys/software/geview/data/figures/218006_s_at.png","Figure")</f>
        <v>Figure</v>
      </c>
      <c r="I1157">
        <v>0.79800000000000004</v>
      </c>
      <c r="J1157">
        <v>0.36</v>
      </c>
      <c r="K1157">
        <v>1.49</v>
      </c>
      <c r="L1157">
        <v>3.2000000000000001E-2</v>
      </c>
      <c r="M1157">
        <v>1.86</v>
      </c>
      <c r="N1157">
        <v>2.7000000000000001E-3</v>
      </c>
    </row>
    <row r="1158" spans="1:14" x14ac:dyDescent="0.25">
      <c r="A1158" t="s">
        <v>2163</v>
      </c>
      <c r="B1158" t="s">
        <v>2164</v>
      </c>
      <c r="C1158" s="1" t="str">
        <f>HYPERLINK("http://www.genecards.org/cgi-bin/carddisp.pl?gene=KIAA0427","GeneCards")</f>
        <v>GeneCards</v>
      </c>
      <c r="D1158" s="1" t="str">
        <f>HYPERLINK("http://genome-euro.ucsc.edu/cgi-bin/hgTracks?position=204303_s_at","UCSC")</f>
        <v>UCSC</v>
      </c>
      <c r="E1158" s="1" t="str">
        <f>HYPERLINK("http://www.ncbi.nlm.nih.gov/gene/?term=KIAA0427","NCBI")</f>
        <v>NCBI</v>
      </c>
      <c r="F1158">
        <v>2.5000000000000001E-3</v>
      </c>
      <c r="G1158">
        <v>3.6999999999999998E-2</v>
      </c>
      <c r="H1158" s="1" t="str">
        <f>HYPERLINK("http://www.weizmann.ac.il/complex/compphys/software/geview/data/figures/204303_s_at.png","Figure")</f>
        <v>Figure</v>
      </c>
      <c r="I1158">
        <v>0.73</v>
      </c>
      <c r="J1158">
        <v>1.9E-3</v>
      </c>
      <c r="K1158">
        <v>0.84599999999999997</v>
      </c>
      <c r="L1158">
        <v>4.5999999999999999E-2</v>
      </c>
      <c r="M1158">
        <v>1.1599999999999999</v>
      </c>
      <c r="N1158">
        <v>0.11</v>
      </c>
    </row>
    <row r="1159" spans="1:14" x14ac:dyDescent="0.25">
      <c r="A1159" t="s">
        <v>2165</v>
      </c>
      <c r="B1159" t="s">
        <v>2166</v>
      </c>
      <c r="C1159" s="1" t="str">
        <f>HYPERLINK("http://www.genecards.org/cgi-bin/carddisp.pl?gene=TMEM187","GeneCards")</f>
        <v>GeneCards</v>
      </c>
      <c r="D1159" s="1" t="str">
        <f>HYPERLINK("http://genome-euro.ucsc.edu/cgi-bin/hgTracks?position=204340_at","UCSC")</f>
        <v>UCSC</v>
      </c>
      <c r="E1159" s="1" t="str">
        <f>HYPERLINK("http://www.ncbi.nlm.nih.gov/gene/?term=TMEM187","NCBI")</f>
        <v>NCBI</v>
      </c>
      <c r="F1159">
        <v>2.5000000000000001E-3</v>
      </c>
      <c r="G1159">
        <v>3.6999999999999998E-2</v>
      </c>
      <c r="H1159" s="1" t="str">
        <f>HYPERLINK("http://www.weizmann.ac.il/complex/compphys/software/geview/data/figures/204340_at.png","Figure")</f>
        <v>Figure</v>
      </c>
      <c r="I1159">
        <v>0.65100000000000002</v>
      </c>
      <c r="J1159">
        <v>9.7000000000000003E-3</v>
      </c>
      <c r="K1159">
        <v>1.06</v>
      </c>
      <c r="L1159">
        <v>0.87</v>
      </c>
      <c r="M1159">
        <v>1.62</v>
      </c>
      <c r="N1159">
        <v>2.5000000000000001E-3</v>
      </c>
    </row>
    <row r="1160" spans="1:14" x14ac:dyDescent="0.25">
      <c r="A1160" t="s">
        <v>2167</v>
      </c>
      <c r="B1160" t="s">
        <v>2168</v>
      </c>
      <c r="C1160" s="1" t="str">
        <f>HYPERLINK("http://www.genecards.org/cgi-bin/carddisp.pl?gene=COX15","GeneCards")</f>
        <v>GeneCards</v>
      </c>
      <c r="D1160" s="1" t="str">
        <f>HYPERLINK("http://genome-euro.ucsc.edu/cgi-bin/hgTracks?position=219547_at","UCSC")</f>
        <v>UCSC</v>
      </c>
      <c r="E1160" s="1" t="str">
        <f>HYPERLINK("http://www.ncbi.nlm.nih.gov/gene/?term=COX15","NCBI")</f>
        <v>NCBI</v>
      </c>
      <c r="F1160">
        <v>2.5000000000000001E-3</v>
      </c>
      <c r="G1160">
        <v>3.6999999999999998E-2</v>
      </c>
      <c r="H1160" s="1" t="str">
        <f>HYPERLINK("http://www.weizmann.ac.il/complex/compphys/software/geview/data/figures/219547_at.png","Figure")</f>
        <v>Figure</v>
      </c>
      <c r="I1160">
        <v>0.80100000000000005</v>
      </c>
      <c r="J1160">
        <v>0.14000000000000001</v>
      </c>
      <c r="K1160">
        <v>1.25</v>
      </c>
      <c r="L1160">
        <v>8.4000000000000005E-2</v>
      </c>
      <c r="M1160">
        <v>1.56</v>
      </c>
      <c r="N1160">
        <v>2E-3</v>
      </c>
    </row>
    <row r="1161" spans="1:14" x14ac:dyDescent="0.25">
      <c r="A1161" t="s">
        <v>2169</v>
      </c>
      <c r="B1161" t="s">
        <v>2170</v>
      </c>
      <c r="C1161" s="1" t="str">
        <f>HYPERLINK("http://www.genecards.org/cgi-bin/carddisp.pl?gene=ELMO2","GeneCards")</f>
        <v>GeneCards</v>
      </c>
      <c r="D1161" s="1" t="str">
        <f>HYPERLINK("http://genome-euro.ucsc.edu/cgi-bin/hgTracks?position=221528_s_at","UCSC")</f>
        <v>UCSC</v>
      </c>
      <c r="E1161" s="1" t="str">
        <f>HYPERLINK("http://www.ncbi.nlm.nih.gov/gene/?term=ELMO2","NCBI")</f>
        <v>NCBI</v>
      </c>
      <c r="F1161">
        <v>2.5000000000000001E-3</v>
      </c>
      <c r="G1161">
        <v>3.6999999999999998E-2</v>
      </c>
      <c r="H1161" s="1" t="str">
        <f>HYPERLINK("http://www.weizmann.ac.il/complex/compphys/software/geview/data/figures/221528_s_at.png","Figure")</f>
        <v>Figure</v>
      </c>
      <c r="I1161">
        <v>0.93200000000000005</v>
      </c>
      <c r="J1161">
        <v>0.77</v>
      </c>
      <c r="K1161">
        <v>0.69399999999999995</v>
      </c>
      <c r="L1161">
        <v>3.3E-3</v>
      </c>
      <c r="M1161">
        <v>0.74399999999999999</v>
      </c>
      <c r="N1161">
        <v>2.1000000000000001E-2</v>
      </c>
    </row>
    <row r="1162" spans="1:14" x14ac:dyDescent="0.25">
      <c r="A1162" t="s">
        <v>2171</v>
      </c>
      <c r="B1162" t="s">
        <v>2172</v>
      </c>
      <c r="C1162" s="1" t="str">
        <f>HYPERLINK("http://www.genecards.org/cgi-bin/carddisp.pl?gene=MPZL1","GeneCards")</f>
        <v>GeneCards</v>
      </c>
      <c r="D1162" s="1" t="str">
        <f>HYPERLINK("http://genome-euro.ucsc.edu/cgi-bin/hgTracks?position=201875_s_at","UCSC")</f>
        <v>UCSC</v>
      </c>
      <c r="E1162" s="1" t="str">
        <f>HYPERLINK("http://www.ncbi.nlm.nih.gov/gene/?term=MPZL1","NCBI")</f>
        <v>NCBI</v>
      </c>
      <c r="F1162">
        <v>2.5999999999999999E-3</v>
      </c>
      <c r="G1162">
        <v>3.6999999999999998E-2</v>
      </c>
      <c r="H1162" s="1" t="str">
        <f>HYPERLINK("http://www.weizmann.ac.il/complex/compphys/software/geview/data/figures/201875_s_at.png","Figure")</f>
        <v>Figure</v>
      </c>
      <c r="I1162">
        <v>1.26</v>
      </c>
      <c r="J1162">
        <v>0.36</v>
      </c>
      <c r="K1162">
        <v>1.84</v>
      </c>
      <c r="L1162">
        <v>2.2000000000000001E-3</v>
      </c>
      <c r="M1162">
        <v>1.47</v>
      </c>
      <c r="N1162">
        <v>6.0999999999999999E-2</v>
      </c>
    </row>
    <row r="1163" spans="1:14" x14ac:dyDescent="0.25">
      <c r="A1163" t="s">
        <v>2173</v>
      </c>
      <c r="B1163" t="s">
        <v>2174</v>
      </c>
      <c r="C1163" s="1" t="str">
        <f>HYPERLINK("http://www.genecards.org/cgi-bin/carddisp.pl?gene=BMP1","GeneCards")</f>
        <v>GeneCards</v>
      </c>
      <c r="D1163" s="1" t="str">
        <f>HYPERLINK("http://genome-euro.ucsc.edu/cgi-bin/hgTracks?position=207595_s_at","UCSC")</f>
        <v>UCSC</v>
      </c>
      <c r="E1163" s="1" t="str">
        <f>HYPERLINK("http://www.ncbi.nlm.nih.gov/gene/?term=BMP1","NCBI")</f>
        <v>NCBI</v>
      </c>
      <c r="F1163">
        <v>2.5999999999999999E-3</v>
      </c>
      <c r="G1163">
        <v>3.6999999999999998E-2</v>
      </c>
      <c r="H1163" s="1" t="str">
        <f>HYPERLINK("http://www.weizmann.ac.il/complex/compphys/software/geview/data/figures/207595_s_at.png","Figure")</f>
        <v>Figure</v>
      </c>
      <c r="I1163">
        <v>1.29</v>
      </c>
      <c r="J1163">
        <v>1.9E-3</v>
      </c>
      <c r="K1163">
        <v>1.1100000000000001</v>
      </c>
      <c r="L1163">
        <v>0.12</v>
      </c>
      <c r="M1163">
        <v>0.86399999999999999</v>
      </c>
      <c r="N1163">
        <v>4.2000000000000003E-2</v>
      </c>
    </row>
    <row r="1164" spans="1:14" x14ac:dyDescent="0.25">
      <c r="A1164" t="s">
        <v>2175</v>
      </c>
      <c r="B1164" t="s">
        <v>2176</v>
      </c>
      <c r="C1164" s="1" t="str">
        <f>HYPERLINK("http://www.genecards.org/cgi-bin/carddisp.pl?gene=SLC2A14 /// SLC2A3","GeneCards")</f>
        <v>GeneCards</v>
      </c>
      <c r="D1164" s="1" t="str">
        <f>HYPERLINK("http://genome-euro.ucsc.edu/cgi-bin/hgTracks?position=222088_s_at","UCSC")</f>
        <v>UCSC</v>
      </c>
      <c r="E1164" s="1" t="str">
        <f>HYPERLINK("http://www.ncbi.nlm.nih.gov/gene/?term=SLC2A14 /// SLC2A3","NCBI")</f>
        <v>NCBI</v>
      </c>
      <c r="F1164">
        <v>2.5999999999999999E-3</v>
      </c>
      <c r="G1164">
        <v>3.6999999999999998E-2</v>
      </c>
      <c r="H1164" s="1" t="str">
        <f>HYPERLINK("http://www.weizmann.ac.il/complex/compphys/software/geview/data/figures/222088_s_at.png","Figure")</f>
        <v>Figure</v>
      </c>
      <c r="I1164">
        <v>0.48499999999999999</v>
      </c>
      <c r="J1164">
        <v>2.2000000000000001E-3</v>
      </c>
      <c r="K1164">
        <v>0.64700000000000002</v>
      </c>
      <c r="L1164">
        <v>2.7E-2</v>
      </c>
      <c r="M1164">
        <v>1.33</v>
      </c>
      <c r="N1164">
        <v>0.19</v>
      </c>
    </row>
    <row r="1165" spans="1:14" x14ac:dyDescent="0.25">
      <c r="A1165" t="s">
        <v>2177</v>
      </c>
      <c r="B1165" t="s">
        <v>2178</v>
      </c>
      <c r="C1165" s="1" t="str">
        <f>HYPERLINK("http://www.genecards.org/cgi-bin/carddisp.pl?gene=SLC24A1","GeneCards")</f>
        <v>GeneCards</v>
      </c>
      <c r="D1165" s="1" t="str">
        <f>HYPERLINK("http://genome-euro.ucsc.edu/cgi-bin/hgTracks?position=206081_at","UCSC")</f>
        <v>UCSC</v>
      </c>
      <c r="E1165" s="1" t="str">
        <f>HYPERLINK("http://www.ncbi.nlm.nih.gov/gene/?term=SLC24A1","NCBI")</f>
        <v>NCBI</v>
      </c>
      <c r="F1165">
        <v>2.5999999999999999E-3</v>
      </c>
      <c r="G1165">
        <v>3.6999999999999998E-2</v>
      </c>
      <c r="H1165" s="1" t="str">
        <f>HYPERLINK("http://www.weizmann.ac.il/complex/compphys/software/geview/data/figures/206081_at.png","Figure")</f>
        <v>Figure</v>
      </c>
      <c r="I1165">
        <v>0.72599999999999998</v>
      </c>
      <c r="J1165">
        <v>4.5999999999999999E-3</v>
      </c>
      <c r="K1165">
        <v>0.98199999999999998</v>
      </c>
      <c r="L1165">
        <v>0.97</v>
      </c>
      <c r="M1165">
        <v>1.35</v>
      </c>
      <c r="N1165">
        <v>4.1999999999999997E-3</v>
      </c>
    </row>
    <row r="1166" spans="1:14" x14ac:dyDescent="0.25">
      <c r="A1166" t="s">
        <v>2179</v>
      </c>
      <c r="B1166" t="s">
        <v>2180</v>
      </c>
      <c r="C1166" s="1" t="str">
        <f>HYPERLINK("http://www.genecards.org/cgi-bin/carddisp.pl?gene=WAPAL","GeneCards")</f>
        <v>GeneCards</v>
      </c>
      <c r="D1166" s="1" t="str">
        <f>HYPERLINK("http://genome-euro.ucsc.edu/cgi-bin/hgTracks?position=212264_s_at","UCSC")</f>
        <v>UCSC</v>
      </c>
      <c r="E1166" s="1" t="str">
        <f>HYPERLINK("http://www.ncbi.nlm.nih.gov/gene/?term=WAPAL","NCBI")</f>
        <v>NCBI</v>
      </c>
      <c r="F1166">
        <v>2.5999999999999999E-3</v>
      </c>
      <c r="G1166">
        <v>3.6999999999999998E-2</v>
      </c>
      <c r="H1166" s="1" t="str">
        <f>HYPERLINK("http://www.weizmann.ac.il/complex/compphys/software/geview/data/figures/212264_s_at.png","Figure")</f>
        <v>Figure</v>
      </c>
      <c r="I1166">
        <v>1.43</v>
      </c>
      <c r="J1166">
        <v>0.22</v>
      </c>
      <c r="K1166">
        <v>2.17</v>
      </c>
      <c r="L1166">
        <v>2E-3</v>
      </c>
      <c r="M1166">
        <v>1.52</v>
      </c>
      <c r="N1166">
        <v>0.11</v>
      </c>
    </row>
    <row r="1167" spans="1:14" x14ac:dyDescent="0.25">
      <c r="A1167" t="s">
        <v>2181</v>
      </c>
      <c r="B1167" t="s">
        <v>2182</v>
      </c>
      <c r="C1167" s="1" t="str">
        <f>HYPERLINK("http://www.genecards.org/cgi-bin/carddisp.pl?gene=AKR1B1","GeneCards")</f>
        <v>GeneCards</v>
      </c>
      <c r="D1167" s="1" t="str">
        <f>HYPERLINK("http://genome-euro.ucsc.edu/cgi-bin/hgTracks?position=201272_at","UCSC")</f>
        <v>UCSC</v>
      </c>
      <c r="E1167" s="1" t="str">
        <f>HYPERLINK("http://www.ncbi.nlm.nih.gov/gene/?term=AKR1B1","NCBI")</f>
        <v>NCBI</v>
      </c>
      <c r="F1167">
        <v>2.5999999999999999E-3</v>
      </c>
      <c r="G1167">
        <v>3.6999999999999998E-2</v>
      </c>
      <c r="H1167" s="1" t="str">
        <f>HYPERLINK("http://www.weizmann.ac.il/complex/compphys/software/geview/data/figures/201272_at.png","Figure")</f>
        <v>Figure</v>
      </c>
      <c r="I1167">
        <v>1.59</v>
      </c>
      <c r="J1167">
        <v>0.19</v>
      </c>
      <c r="K1167">
        <v>2.63</v>
      </c>
      <c r="L1167">
        <v>1.9E-3</v>
      </c>
      <c r="M1167">
        <v>1.65</v>
      </c>
      <c r="N1167">
        <v>0.12</v>
      </c>
    </row>
    <row r="1168" spans="1:14" x14ac:dyDescent="0.25">
      <c r="A1168" t="s">
        <v>2183</v>
      </c>
      <c r="B1168" t="s">
        <v>2184</v>
      </c>
      <c r="C1168" s="1" t="str">
        <f>HYPERLINK("http://www.genecards.org/cgi-bin/carddisp.pl?gene=DYNLT3","GeneCards")</f>
        <v>GeneCards</v>
      </c>
      <c r="D1168" s="1" t="str">
        <f>HYPERLINK("http://genome-euro.ucsc.edu/cgi-bin/hgTracks?position=203303_at","UCSC")</f>
        <v>UCSC</v>
      </c>
      <c r="E1168" s="1" t="str">
        <f>HYPERLINK("http://www.ncbi.nlm.nih.gov/gene/?term=DYNLT3","NCBI")</f>
        <v>NCBI</v>
      </c>
      <c r="F1168">
        <v>2.5999999999999999E-3</v>
      </c>
      <c r="G1168">
        <v>3.6999999999999998E-2</v>
      </c>
      <c r="H1168" s="1" t="str">
        <f>HYPERLINK("http://www.weizmann.ac.il/complex/compphys/software/geview/data/figures/203303_at.png","Figure")</f>
        <v>Figure</v>
      </c>
      <c r="I1168">
        <v>0.48599999999999999</v>
      </c>
      <c r="J1168">
        <v>1.9E-3</v>
      </c>
      <c r="K1168">
        <v>0.70699999999999996</v>
      </c>
      <c r="L1168">
        <v>7.1999999999999995E-2</v>
      </c>
      <c r="M1168">
        <v>1.45</v>
      </c>
      <c r="N1168">
        <v>7.0000000000000007E-2</v>
      </c>
    </row>
    <row r="1169" spans="1:14" x14ac:dyDescent="0.25">
      <c r="A1169" t="s">
        <v>2185</v>
      </c>
      <c r="B1169" t="s">
        <v>2186</v>
      </c>
      <c r="C1169" s="1" t="str">
        <f>HYPERLINK("http://www.genecards.org/cgi-bin/carddisp.pl?gene=CRNN","GeneCards")</f>
        <v>GeneCards</v>
      </c>
      <c r="D1169" s="1" t="str">
        <f>HYPERLINK("http://genome-euro.ucsc.edu/cgi-bin/hgTracks?position=220090_at","UCSC")</f>
        <v>UCSC</v>
      </c>
      <c r="E1169" s="1" t="str">
        <f>HYPERLINK("http://www.ncbi.nlm.nih.gov/gene/?term=CRNN","NCBI")</f>
        <v>NCBI</v>
      </c>
      <c r="F1169">
        <v>2.5999999999999999E-3</v>
      </c>
      <c r="G1169">
        <v>3.6999999999999998E-2</v>
      </c>
      <c r="H1169" s="1" t="str">
        <f>HYPERLINK("http://www.weizmann.ac.il/complex/compphys/software/geview/data/figures/220090_at.png","Figure")</f>
        <v>Figure</v>
      </c>
      <c r="I1169">
        <v>1.1299999999999999</v>
      </c>
      <c r="J1169">
        <v>1.7000000000000001E-2</v>
      </c>
      <c r="K1169">
        <v>0.96799999999999997</v>
      </c>
      <c r="L1169">
        <v>0.61</v>
      </c>
      <c r="M1169">
        <v>0.85499999999999998</v>
      </c>
      <c r="N1169">
        <v>2.0999999999999999E-3</v>
      </c>
    </row>
    <row r="1170" spans="1:14" x14ac:dyDescent="0.25">
      <c r="A1170" t="s">
        <v>2187</v>
      </c>
      <c r="B1170" t="s">
        <v>2188</v>
      </c>
      <c r="C1170" s="1" t="str">
        <f>HYPERLINK("http://www.genecards.org/cgi-bin/carddisp.pl?gene=AZGP1","GeneCards")</f>
        <v>GeneCards</v>
      </c>
      <c r="D1170" s="1" t="str">
        <f>HYPERLINK("http://genome-euro.ucsc.edu/cgi-bin/hgTracks?position=217014_s_at","UCSC")</f>
        <v>UCSC</v>
      </c>
      <c r="E1170" s="1" t="str">
        <f>HYPERLINK("http://www.ncbi.nlm.nih.gov/gene/?term=AZGP1","NCBI")</f>
        <v>NCBI</v>
      </c>
      <c r="F1170">
        <v>2.5999999999999999E-3</v>
      </c>
      <c r="G1170">
        <v>3.6999999999999998E-2</v>
      </c>
      <c r="H1170" s="1" t="str">
        <f>HYPERLINK("http://www.weizmann.ac.il/complex/compphys/software/geview/data/figures/217014_s_at.png","Figure")</f>
        <v>Figure</v>
      </c>
      <c r="I1170">
        <v>1.26</v>
      </c>
      <c r="J1170">
        <v>2E-3</v>
      </c>
      <c r="K1170">
        <v>1.08</v>
      </c>
      <c r="L1170">
        <v>0.23</v>
      </c>
      <c r="M1170">
        <v>0.85899999999999999</v>
      </c>
      <c r="N1170">
        <v>2.3E-2</v>
      </c>
    </row>
    <row r="1171" spans="1:14" x14ac:dyDescent="0.25">
      <c r="A1171" t="s">
        <v>2189</v>
      </c>
      <c r="B1171" t="s">
        <v>2190</v>
      </c>
      <c r="C1171" s="1" t="str">
        <f>HYPERLINK("http://www.genecards.org/cgi-bin/carddisp.pl?gene=PLCD1","GeneCards")</f>
        <v>GeneCards</v>
      </c>
      <c r="D1171" s="1" t="str">
        <f>HYPERLINK("http://genome-euro.ucsc.edu/cgi-bin/hgTracks?position=205125_at","UCSC")</f>
        <v>UCSC</v>
      </c>
      <c r="E1171" s="1" t="str">
        <f>HYPERLINK("http://www.ncbi.nlm.nih.gov/gene/?term=PLCD1","NCBI")</f>
        <v>NCBI</v>
      </c>
      <c r="F1171">
        <v>2.5999999999999999E-3</v>
      </c>
      <c r="G1171">
        <v>3.7999999999999999E-2</v>
      </c>
      <c r="H1171" s="1" t="str">
        <f>HYPERLINK("http://www.weizmann.ac.il/complex/compphys/software/geview/data/figures/205125_at.png","Figure")</f>
        <v>Figure</v>
      </c>
      <c r="I1171">
        <v>1.45</v>
      </c>
      <c r="J1171">
        <v>4.5999999999999999E-3</v>
      </c>
      <c r="K1171">
        <v>1.02</v>
      </c>
      <c r="L1171">
        <v>0.96</v>
      </c>
      <c r="M1171">
        <v>0.70699999999999996</v>
      </c>
      <c r="N1171">
        <v>4.4000000000000003E-3</v>
      </c>
    </row>
    <row r="1172" spans="1:14" x14ac:dyDescent="0.25">
      <c r="A1172" t="s">
        <v>2191</v>
      </c>
      <c r="B1172" t="s">
        <v>2192</v>
      </c>
      <c r="C1172" s="1" t="str">
        <f>HYPERLINK("http://www.genecards.org/cgi-bin/carddisp.pl?gene=TRIP13","GeneCards")</f>
        <v>GeneCards</v>
      </c>
      <c r="D1172" s="1" t="str">
        <f>HYPERLINK("http://genome-euro.ucsc.edu/cgi-bin/hgTracks?position=204033_at","UCSC")</f>
        <v>UCSC</v>
      </c>
      <c r="E1172" s="1" t="str">
        <f>HYPERLINK("http://www.ncbi.nlm.nih.gov/gene/?term=TRIP13","NCBI")</f>
        <v>NCBI</v>
      </c>
      <c r="F1172">
        <v>2.5999999999999999E-3</v>
      </c>
      <c r="G1172">
        <v>3.7999999999999999E-2</v>
      </c>
      <c r="H1172" s="1" t="str">
        <f>HYPERLINK("http://www.weizmann.ac.il/complex/compphys/software/geview/data/figures/204033_at.png","Figure")</f>
        <v>Figure</v>
      </c>
      <c r="I1172">
        <v>0.86899999999999999</v>
      </c>
      <c r="J1172">
        <v>0.66</v>
      </c>
      <c r="K1172">
        <v>1.57</v>
      </c>
      <c r="L1172">
        <v>1.6E-2</v>
      </c>
      <c r="M1172">
        <v>1.81</v>
      </c>
      <c r="N1172">
        <v>4.0000000000000001E-3</v>
      </c>
    </row>
    <row r="1173" spans="1:14" x14ac:dyDescent="0.25">
      <c r="A1173" t="s">
        <v>2193</v>
      </c>
      <c r="B1173" t="s">
        <v>2194</v>
      </c>
      <c r="C1173" s="1" t="str">
        <f>HYPERLINK("http://www.genecards.org/cgi-bin/carddisp.pl?gene=TNFRSF10B","GeneCards")</f>
        <v>GeneCards</v>
      </c>
      <c r="D1173" s="1" t="str">
        <f>HYPERLINK("http://genome-euro.ucsc.edu/cgi-bin/hgTracks?position=209295_at","UCSC")</f>
        <v>UCSC</v>
      </c>
      <c r="E1173" s="1" t="str">
        <f>HYPERLINK("http://www.ncbi.nlm.nih.gov/gene/?term=TNFRSF10B","NCBI")</f>
        <v>NCBI</v>
      </c>
      <c r="F1173">
        <v>2.5999999999999999E-3</v>
      </c>
      <c r="G1173">
        <v>3.7999999999999999E-2</v>
      </c>
      <c r="H1173" s="1" t="str">
        <f>HYPERLINK("http://www.weizmann.ac.il/complex/compphys/software/geview/data/figures/209295_at.png","Figure")</f>
        <v>Figure</v>
      </c>
      <c r="I1173">
        <v>0.30599999999999999</v>
      </c>
      <c r="J1173">
        <v>3.2000000000000002E-3</v>
      </c>
      <c r="K1173">
        <v>0.42099999999999999</v>
      </c>
      <c r="L1173">
        <v>1.0999999999999999E-2</v>
      </c>
      <c r="M1173">
        <v>1.38</v>
      </c>
      <c r="N1173">
        <v>0.48</v>
      </c>
    </row>
    <row r="1174" spans="1:14" x14ac:dyDescent="0.25">
      <c r="A1174" t="s">
        <v>2195</v>
      </c>
      <c r="B1174" t="s">
        <v>2196</v>
      </c>
      <c r="C1174" s="1" t="str">
        <f>HYPERLINK("http://www.genecards.org/cgi-bin/carddisp.pl?gene=CETN3","GeneCards")</f>
        <v>GeneCards</v>
      </c>
      <c r="D1174" s="1" t="str">
        <f>HYPERLINK("http://genome-euro.ucsc.edu/cgi-bin/hgTracks?position=209662_at","UCSC")</f>
        <v>UCSC</v>
      </c>
      <c r="E1174" s="1" t="str">
        <f>HYPERLINK("http://www.ncbi.nlm.nih.gov/gene/?term=CETN3","NCBI")</f>
        <v>NCBI</v>
      </c>
      <c r="F1174">
        <v>2.5999999999999999E-3</v>
      </c>
      <c r="G1174">
        <v>3.7999999999999999E-2</v>
      </c>
      <c r="H1174" s="1" t="str">
        <f>HYPERLINK("http://www.weizmann.ac.il/complex/compphys/software/geview/data/figures/209662_at.png","Figure")</f>
        <v>Figure</v>
      </c>
      <c r="I1174">
        <v>0.432</v>
      </c>
      <c r="J1174">
        <v>5.7999999999999996E-3</v>
      </c>
      <c r="K1174">
        <v>1</v>
      </c>
      <c r="L1174">
        <v>1</v>
      </c>
      <c r="M1174">
        <v>2.3199999999999998</v>
      </c>
      <c r="N1174">
        <v>3.5999999999999999E-3</v>
      </c>
    </row>
    <row r="1175" spans="1:14" x14ac:dyDescent="0.25">
      <c r="A1175" t="s">
        <v>2197</v>
      </c>
      <c r="B1175" t="s">
        <v>2198</v>
      </c>
      <c r="C1175" s="1" t="str">
        <f>HYPERLINK("http://www.genecards.org/cgi-bin/carddisp.pl?gene=FGFR4","GeneCards")</f>
        <v>GeneCards</v>
      </c>
      <c r="D1175" s="1" t="str">
        <f>HYPERLINK("http://genome-euro.ucsc.edu/cgi-bin/hgTracks?position=211237_s_at","UCSC")</f>
        <v>UCSC</v>
      </c>
      <c r="E1175" s="1" t="str">
        <f>HYPERLINK("http://www.ncbi.nlm.nih.gov/gene/?term=FGFR4","NCBI")</f>
        <v>NCBI</v>
      </c>
      <c r="F1175">
        <v>2.5999999999999999E-3</v>
      </c>
      <c r="G1175">
        <v>3.7999999999999999E-2</v>
      </c>
      <c r="H1175" s="1" t="str">
        <f>HYPERLINK("http://www.weizmann.ac.il/complex/compphys/software/geview/data/figures/211237_s_at.png","Figure")</f>
        <v>Figure</v>
      </c>
      <c r="I1175">
        <v>1.24</v>
      </c>
      <c r="J1175">
        <v>1.9E-3</v>
      </c>
      <c r="K1175">
        <v>1.0900000000000001</v>
      </c>
      <c r="L1175">
        <v>0.13</v>
      </c>
      <c r="M1175">
        <v>0.88200000000000001</v>
      </c>
      <c r="N1175">
        <v>4.1000000000000002E-2</v>
      </c>
    </row>
    <row r="1176" spans="1:14" x14ac:dyDescent="0.25">
      <c r="A1176" t="s">
        <v>2199</v>
      </c>
      <c r="B1176" t="s">
        <v>2200</v>
      </c>
      <c r="C1176" s="1" t="str">
        <f>HYPERLINK("http://www.genecards.org/cgi-bin/carddisp.pl?gene=IGKC /// IGKV1-5 /// LOC652493","GeneCards")</f>
        <v>GeneCards</v>
      </c>
      <c r="D1176" s="1" t="str">
        <f>HYPERLINK("http://genome-euro.ucsc.edu/cgi-bin/hgTracks?position=211835_at","UCSC")</f>
        <v>UCSC</v>
      </c>
      <c r="E1176" s="1" t="str">
        <f>HYPERLINK("http://www.ncbi.nlm.nih.gov/gene/?term=IGKC /// IGKV1-5 /// LOC652493","NCBI")</f>
        <v>NCBI</v>
      </c>
      <c r="F1176">
        <v>2.5999999999999999E-3</v>
      </c>
      <c r="G1176">
        <v>3.7999999999999999E-2</v>
      </c>
      <c r="H1176" s="1" t="str">
        <f>HYPERLINK("http://www.weizmann.ac.il/complex/compphys/software/geview/data/figures/211835_at.png","Figure")</f>
        <v>Figure</v>
      </c>
      <c r="I1176">
        <v>1.26</v>
      </c>
      <c r="J1176">
        <v>2.8999999999999998E-3</v>
      </c>
      <c r="K1176">
        <v>1.04</v>
      </c>
      <c r="L1176">
        <v>0.64</v>
      </c>
      <c r="M1176">
        <v>0.83199999999999996</v>
      </c>
      <c r="N1176">
        <v>8.2000000000000007E-3</v>
      </c>
    </row>
    <row r="1177" spans="1:14" x14ac:dyDescent="0.25">
      <c r="A1177" t="s">
        <v>2201</v>
      </c>
      <c r="B1177" t="s">
        <v>2202</v>
      </c>
      <c r="C1177" s="1" t="str">
        <f>HYPERLINK("http://www.genecards.org/cgi-bin/carddisp.pl?gene=TCEA1","GeneCards")</f>
        <v>GeneCards</v>
      </c>
      <c r="D1177" s="1" t="str">
        <f>HYPERLINK("http://genome-euro.ucsc.edu/cgi-bin/hgTracks?position=216241_s_at","UCSC")</f>
        <v>UCSC</v>
      </c>
      <c r="E1177" s="1" t="str">
        <f>HYPERLINK("http://www.ncbi.nlm.nih.gov/gene/?term=TCEA1","NCBI")</f>
        <v>NCBI</v>
      </c>
      <c r="F1177">
        <v>2.5999999999999999E-3</v>
      </c>
      <c r="G1177">
        <v>3.7999999999999999E-2</v>
      </c>
      <c r="H1177" s="1" t="str">
        <f>HYPERLINK("http://www.weizmann.ac.il/complex/compphys/software/geview/data/figures/216241_s_at.png","Figure")</f>
        <v>Figure</v>
      </c>
      <c r="I1177">
        <v>0.71599999999999997</v>
      </c>
      <c r="J1177">
        <v>2.3E-2</v>
      </c>
      <c r="K1177">
        <v>1.1200000000000001</v>
      </c>
      <c r="L1177">
        <v>0.5</v>
      </c>
      <c r="M1177">
        <v>1.56</v>
      </c>
      <c r="N1177">
        <v>2E-3</v>
      </c>
    </row>
    <row r="1178" spans="1:14" x14ac:dyDescent="0.25">
      <c r="A1178" t="s">
        <v>2203</v>
      </c>
      <c r="B1178" t="s">
        <v>2204</v>
      </c>
      <c r="C1178" s="1" t="str">
        <f>HYPERLINK("http://www.genecards.org/cgi-bin/carddisp.pl?gene=TMEM14A","GeneCards")</f>
        <v>GeneCards</v>
      </c>
      <c r="D1178" s="1" t="str">
        <f>HYPERLINK("http://genome-euro.ucsc.edu/cgi-bin/hgTracks?position=218477_at","UCSC")</f>
        <v>UCSC</v>
      </c>
      <c r="E1178" s="1" t="str">
        <f>HYPERLINK("http://www.ncbi.nlm.nih.gov/gene/?term=TMEM14A","NCBI")</f>
        <v>NCBI</v>
      </c>
      <c r="F1178">
        <v>2.5999999999999999E-3</v>
      </c>
      <c r="G1178">
        <v>3.7999999999999999E-2</v>
      </c>
      <c r="H1178" s="1" t="str">
        <f>HYPERLINK("http://www.weizmann.ac.il/complex/compphys/software/geview/data/figures/218477_at.png","Figure")</f>
        <v>Figure</v>
      </c>
      <c r="I1178">
        <v>0.92300000000000004</v>
      </c>
      <c r="J1178">
        <v>0.94</v>
      </c>
      <c r="K1178">
        <v>2.0499999999999998</v>
      </c>
      <c r="L1178">
        <v>8.3000000000000001E-3</v>
      </c>
      <c r="M1178">
        <v>2.2200000000000002</v>
      </c>
      <c r="N1178">
        <v>6.4999999999999997E-3</v>
      </c>
    </row>
    <row r="1179" spans="1:14" x14ac:dyDescent="0.25">
      <c r="A1179" t="s">
        <v>2205</v>
      </c>
      <c r="B1179" t="s">
        <v>2206</v>
      </c>
      <c r="C1179" s="1" t="str">
        <f>HYPERLINK("http://www.genecards.org/cgi-bin/carddisp.pl?gene=HAX1","GeneCards")</f>
        <v>GeneCards</v>
      </c>
      <c r="D1179" s="1" t="str">
        <f>HYPERLINK("http://genome-euro.ucsc.edu/cgi-bin/hgTracks?position=201145_at","UCSC")</f>
        <v>UCSC</v>
      </c>
      <c r="E1179" s="1" t="str">
        <f>HYPERLINK("http://www.ncbi.nlm.nih.gov/gene/?term=HAX1","NCBI")</f>
        <v>NCBI</v>
      </c>
      <c r="F1179">
        <v>2.5999999999999999E-3</v>
      </c>
      <c r="G1179">
        <v>3.7999999999999999E-2</v>
      </c>
      <c r="H1179" s="1" t="str">
        <f>HYPERLINK("http://www.weizmann.ac.il/complex/compphys/software/geview/data/figures/201145_at.png","Figure")</f>
        <v>Figure</v>
      </c>
      <c r="I1179">
        <v>1.47</v>
      </c>
      <c r="J1179">
        <v>2.1000000000000001E-2</v>
      </c>
      <c r="K1179">
        <v>1.59</v>
      </c>
      <c r="L1179">
        <v>2.3999999999999998E-3</v>
      </c>
      <c r="M1179">
        <v>1.08</v>
      </c>
      <c r="N1179">
        <v>0.79</v>
      </c>
    </row>
    <row r="1180" spans="1:14" x14ac:dyDescent="0.25">
      <c r="A1180" t="s">
        <v>2207</v>
      </c>
      <c r="B1180" t="s">
        <v>2208</v>
      </c>
      <c r="C1180" s="1" t="str">
        <f>HYPERLINK("http://www.genecards.org/cgi-bin/carddisp.pl?gene=PUM1","GeneCards")</f>
        <v>GeneCards</v>
      </c>
      <c r="D1180" s="1" t="str">
        <f>HYPERLINK("http://genome-euro.ucsc.edu/cgi-bin/hgTracks?position=201164_s_at","UCSC")</f>
        <v>UCSC</v>
      </c>
      <c r="E1180" s="1" t="str">
        <f>HYPERLINK("http://www.ncbi.nlm.nih.gov/gene/?term=PUM1","NCBI")</f>
        <v>NCBI</v>
      </c>
      <c r="F1180">
        <v>2.5999999999999999E-3</v>
      </c>
      <c r="G1180">
        <v>3.7999999999999999E-2</v>
      </c>
      <c r="H1180" s="1" t="str">
        <f>HYPERLINK("http://www.weizmann.ac.il/complex/compphys/software/geview/data/figures/201164_s_at.png","Figure")</f>
        <v>Figure</v>
      </c>
      <c r="I1180">
        <v>1.27</v>
      </c>
      <c r="J1180">
        <v>6.4000000000000001E-2</v>
      </c>
      <c r="K1180">
        <v>0.85799999999999998</v>
      </c>
      <c r="L1180">
        <v>0.19</v>
      </c>
      <c r="M1180">
        <v>0.67500000000000004</v>
      </c>
      <c r="N1180">
        <v>1.9E-3</v>
      </c>
    </row>
    <row r="1181" spans="1:14" x14ac:dyDescent="0.25">
      <c r="A1181" t="s">
        <v>2209</v>
      </c>
      <c r="B1181" t="s">
        <v>2210</v>
      </c>
      <c r="C1181" s="1" t="str">
        <f>HYPERLINK("http://www.genecards.org/cgi-bin/carddisp.pl?gene=BAP1","GeneCards")</f>
        <v>GeneCards</v>
      </c>
      <c r="D1181" s="1" t="str">
        <f>HYPERLINK("http://genome-euro.ucsc.edu/cgi-bin/hgTracks?position=201419_at","UCSC")</f>
        <v>UCSC</v>
      </c>
      <c r="E1181" s="1" t="str">
        <f>HYPERLINK("http://www.ncbi.nlm.nih.gov/gene/?term=BAP1","NCBI")</f>
        <v>NCBI</v>
      </c>
      <c r="F1181">
        <v>2.5999999999999999E-3</v>
      </c>
      <c r="G1181">
        <v>3.7999999999999999E-2</v>
      </c>
      <c r="H1181" s="1" t="str">
        <f>HYPERLINK("http://www.weizmann.ac.il/complex/compphys/software/geview/data/figures/201419_at.png","Figure")</f>
        <v>Figure</v>
      </c>
      <c r="I1181">
        <v>1.1299999999999999</v>
      </c>
      <c r="J1181">
        <v>0.32</v>
      </c>
      <c r="K1181">
        <v>0.82399999999999995</v>
      </c>
      <c r="L1181">
        <v>3.6999999999999998E-2</v>
      </c>
      <c r="M1181">
        <v>0.73199999999999998</v>
      </c>
      <c r="N1181">
        <v>2.7000000000000001E-3</v>
      </c>
    </row>
    <row r="1182" spans="1:14" x14ac:dyDescent="0.25">
      <c r="A1182" t="s">
        <v>2211</v>
      </c>
      <c r="B1182" t="s">
        <v>2212</v>
      </c>
      <c r="C1182" s="1" t="str">
        <f>HYPERLINK("http://www.genecards.org/cgi-bin/carddisp.pl?gene=TPR","GeneCards")</f>
        <v>GeneCards</v>
      </c>
      <c r="D1182" s="1" t="str">
        <f>HYPERLINK("http://genome-euro.ucsc.edu/cgi-bin/hgTracks?position=201731_s_at","UCSC")</f>
        <v>UCSC</v>
      </c>
      <c r="E1182" s="1" t="str">
        <f>HYPERLINK("http://www.ncbi.nlm.nih.gov/gene/?term=TPR","NCBI")</f>
        <v>NCBI</v>
      </c>
      <c r="F1182">
        <v>2.5999999999999999E-3</v>
      </c>
      <c r="G1182">
        <v>3.7999999999999999E-2</v>
      </c>
      <c r="H1182" s="1" t="str">
        <f>HYPERLINK("http://www.weizmann.ac.il/complex/compphys/software/geview/data/figures/201731_s_at.png","Figure")</f>
        <v>Figure</v>
      </c>
      <c r="I1182">
        <v>1.5</v>
      </c>
      <c r="J1182">
        <v>1.2E-2</v>
      </c>
      <c r="K1182">
        <v>1.53</v>
      </c>
      <c r="L1182">
        <v>3.2000000000000002E-3</v>
      </c>
      <c r="M1182">
        <v>1.02</v>
      </c>
      <c r="N1182">
        <v>0.98</v>
      </c>
    </row>
    <row r="1183" spans="1:14" x14ac:dyDescent="0.25">
      <c r="A1183" t="s">
        <v>2213</v>
      </c>
      <c r="B1183" t="s">
        <v>2214</v>
      </c>
      <c r="C1183" s="1" t="str">
        <f>HYPERLINK("http://www.genecards.org/cgi-bin/carddisp.pl?gene=TRPM2","GeneCards")</f>
        <v>GeneCards</v>
      </c>
      <c r="D1183" s="1" t="str">
        <f>HYPERLINK("http://genome-euro.ucsc.edu/cgi-bin/hgTracks?position=205708_s_at","UCSC")</f>
        <v>UCSC</v>
      </c>
      <c r="E1183" s="1" t="str">
        <f>HYPERLINK("http://www.ncbi.nlm.nih.gov/gene/?term=TRPM2","NCBI")</f>
        <v>NCBI</v>
      </c>
      <c r="F1183">
        <v>2.5999999999999999E-3</v>
      </c>
      <c r="G1183">
        <v>3.7999999999999999E-2</v>
      </c>
      <c r="H1183" s="1" t="str">
        <f>HYPERLINK("http://www.weizmann.ac.il/complex/compphys/software/geview/data/figures/205708_s_at.png","Figure")</f>
        <v>Figure</v>
      </c>
      <c r="I1183">
        <v>0.55700000000000005</v>
      </c>
      <c r="J1183">
        <v>4.8999999999999998E-3</v>
      </c>
      <c r="K1183">
        <v>0.97399999999999998</v>
      </c>
      <c r="L1183">
        <v>0.98</v>
      </c>
      <c r="M1183">
        <v>1.75</v>
      </c>
      <c r="N1183">
        <v>4.1999999999999997E-3</v>
      </c>
    </row>
    <row r="1184" spans="1:14" x14ac:dyDescent="0.25">
      <c r="A1184" t="s">
        <v>2215</v>
      </c>
      <c r="B1184" t="s">
        <v>2216</v>
      </c>
      <c r="C1184" s="1" t="str">
        <f>HYPERLINK("http://www.genecards.org/cgi-bin/carddisp.pl?gene=FOLR3","GeneCards")</f>
        <v>GeneCards</v>
      </c>
      <c r="D1184" s="1" t="str">
        <f>HYPERLINK("http://genome-euro.ucsc.edu/cgi-bin/hgTracks?position=206371_at","UCSC")</f>
        <v>UCSC</v>
      </c>
      <c r="E1184" s="1" t="str">
        <f>HYPERLINK("http://www.ncbi.nlm.nih.gov/gene/?term=FOLR3","NCBI")</f>
        <v>NCBI</v>
      </c>
      <c r="F1184">
        <v>2.5999999999999999E-3</v>
      </c>
      <c r="G1184">
        <v>3.7999999999999999E-2</v>
      </c>
      <c r="H1184" s="1" t="str">
        <f>HYPERLINK("http://www.weizmann.ac.il/complex/compphys/software/geview/data/figures/206371_at.png","Figure")</f>
        <v>Figure</v>
      </c>
      <c r="I1184">
        <v>1.34</v>
      </c>
      <c r="J1184">
        <v>2.0999999999999999E-3</v>
      </c>
      <c r="K1184">
        <v>1.18</v>
      </c>
      <c r="L1184">
        <v>3.4000000000000002E-2</v>
      </c>
      <c r="M1184">
        <v>0.88300000000000001</v>
      </c>
      <c r="N1184">
        <v>0.15</v>
      </c>
    </row>
    <row r="1185" spans="1:14" x14ac:dyDescent="0.25">
      <c r="A1185" t="s">
        <v>2217</v>
      </c>
      <c r="B1185" t="s">
        <v>2218</v>
      </c>
      <c r="C1185" s="1" t="str">
        <f>HYPERLINK("http://www.genecards.org/cgi-bin/carddisp.pl?gene=ARHGAP12","GeneCards")</f>
        <v>GeneCards</v>
      </c>
      <c r="D1185" s="1" t="str">
        <f>HYPERLINK("http://genome-euro.ucsc.edu/cgi-bin/hgTracks?position=207606_s_at","UCSC")</f>
        <v>UCSC</v>
      </c>
      <c r="E1185" s="1" t="str">
        <f>HYPERLINK("http://www.ncbi.nlm.nih.gov/gene/?term=ARHGAP12","NCBI")</f>
        <v>NCBI</v>
      </c>
      <c r="F1185">
        <v>2.5999999999999999E-3</v>
      </c>
      <c r="G1185">
        <v>3.7999999999999999E-2</v>
      </c>
      <c r="H1185" s="1" t="str">
        <f>HYPERLINK("http://www.weizmann.ac.il/complex/compphys/software/geview/data/figures/207606_s_at.png","Figure")</f>
        <v>Figure</v>
      </c>
      <c r="I1185">
        <v>0.41399999999999998</v>
      </c>
      <c r="J1185">
        <v>3.0999999999999999E-3</v>
      </c>
      <c r="K1185">
        <v>0.85699999999999998</v>
      </c>
      <c r="L1185">
        <v>0.69</v>
      </c>
      <c r="M1185">
        <v>2.0699999999999998</v>
      </c>
      <c r="N1185">
        <v>7.6E-3</v>
      </c>
    </row>
    <row r="1186" spans="1:14" x14ac:dyDescent="0.25">
      <c r="A1186" t="s">
        <v>2219</v>
      </c>
      <c r="B1186" t="s">
        <v>2220</v>
      </c>
      <c r="C1186" s="1" t="str">
        <f>HYPERLINK("http://www.genecards.org/cgi-bin/carddisp.pl?gene=ABI2","GeneCards")</f>
        <v>GeneCards</v>
      </c>
      <c r="D1186" s="1" t="str">
        <f>HYPERLINK("http://genome-euro.ucsc.edu/cgi-bin/hgTracks?position=211793_s_at","UCSC")</f>
        <v>UCSC</v>
      </c>
      <c r="E1186" s="1" t="str">
        <f>HYPERLINK("http://www.ncbi.nlm.nih.gov/gene/?term=ABI2","NCBI")</f>
        <v>NCBI</v>
      </c>
      <c r="F1186">
        <v>2.5999999999999999E-3</v>
      </c>
      <c r="G1186">
        <v>3.7999999999999999E-2</v>
      </c>
      <c r="H1186" s="1" t="str">
        <f>HYPERLINK("http://www.weizmann.ac.il/complex/compphys/software/geview/data/figures/211793_s_at.png","Figure")</f>
        <v>Figure</v>
      </c>
      <c r="I1186">
        <v>1.44</v>
      </c>
      <c r="J1186">
        <v>2E-3</v>
      </c>
      <c r="K1186">
        <v>1.21</v>
      </c>
      <c r="L1186">
        <v>5.2999999999999999E-2</v>
      </c>
      <c r="M1186">
        <v>0.83899999999999997</v>
      </c>
      <c r="N1186">
        <v>9.8000000000000004E-2</v>
      </c>
    </row>
    <row r="1187" spans="1:14" x14ac:dyDescent="0.25">
      <c r="A1187" t="s">
        <v>2221</v>
      </c>
      <c r="B1187" t="s">
        <v>2222</v>
      </c>
      <c r="C1187" s="1" t="str">
        <f>HYPERLINK("http://www.genecards.org/cgi-bin/carddisp.pl?gene=RGS11","GeneCards")</f>
        <v>GeneCards</v>
      </c>
      <c r="D1187" s="1" t="str">
        <f>HYPERLINK("http://genome-euro.ucsc.edu/cgi-bin/hgTracks?position=211872_s_at","UCSC")</f>
        <v>UCSC</v>
      </c>
      <c r="E1187" s="1" t="str">
        <f>HYPERLINK("http://www.ncbi.nlm.nih.gov/gene/?term=RGS11","NCBI")</f>
        <v>NCBI</v>
      </c>
      <c r="F1187">
        <v>2.5999999999999999E-3</v>
      </c>
      <c r="G1187">
        <v>3.7999999999999999E-2</v>
      </c>
      <c r="H1187" s="1" t="str">
        <f>HYPERLINK("http://www.weizmann.ac.il/complex/compphys/software/geview/data/figures/211872_s_at.png","Figure")</f>
        <v>Figure</v>
      </c>
      <c r="I1187">
        <v>1.25</v>
      </c>
      <c r="J1187">
        <v>2E-3</v>
      </c>
      <c r="K1187">
        <v>1.08</v>
      </c>
      <c r="L1187">
        <v>0.23</v>
      </c>
      <c r="M1187">
        <v>0.86399999999999999</v>
      </c>
      <c r="N1187">
        <v>2.3E-2</v>
      </c>
    </row>
    <row r="1188" spans="1:14" x14ac:dyDescent="0.25">
      <c r="A1188" t="s">
        <v>2223</v>
      </c>
      <c r="B1188" t="s">
        <v>2224</v>
      </c>
      <c r="C1188" s="1" t="str">
        <f>HYPERLINK("http://www.genecards.org/cgi-bin/carddisp.pl?gene=SCAMP1","GeneCards")</f>
        <v>GeneCards</v>
      </c>
      <c r="D1188" s="1" t="str">
        <f>HYPERLINK("http://genome-euro.ucsc.edu/cgi-bin/hgTracks?position=212416_at","UCSC")</f>
        <v>UCSC</v>
      </c>
      <c r="E1188" s="1" t="str">
        <f>HYPERLINK("http://www.ncbi.nlm.nih.gov/gene/?term=SCAMP1","NCBI")</f>
        <v>NCBI</v>
      </c>
      <c r="F1188">
        <v>2.5999999999999999E-3</v>
      </c>
      <c r="G1188">
        <v>3.7999999999999999E-2</v>
      </c>
      <c r="H1188" s="1" t="str">
        <f>HYPERLINK("http://www.weizmann.ac.il/complex/compphys/software/geview/data/figures/212416_at.png","Figure")</f>
        <v>Figure</v>
      </c>
      <c r="I1188">
        <v>0.63300000000000001</v>
      </c>
      <c r="J1188">
        <v>1.6E-2</v>
      </c>
      <c r="K1188">
        <v>1.1100000000000001</v>
      </c>
      <c r="L1188">
        <v>0.66</v>
      </c>
      <c r="M1188">
        <v>1.76</v>
      </c>
      <c r="N1188">
        <v>2.2000000000000001E-3</v>
      </c>
    </row>
    <row r="1189" spans="1:14" x14ac:dyDescent="0.25">
      <c r="A1189" t="s">
        <v>2225</v>
      </c>
      <c r="B1189" t="s">
        <v>2226</v>
      </c>
      <c r="C1189" s="1" t="str">
        <f>HYPERLINK("http://www.genecards.org/cgi-bin/carddisp.pl?gene=PURA","GeneCards")</f>
        <v>GeneCards</v>
      </c>
      <c r="D1189" s="1" t="str">
        <f>HYPERLINK("http://genome-euro.ucsc.edu/cgi-bin/hgTracks?position=213806_at","UCSC")</f>
        <v>UCSC</v>
      </c>
      <c r="E1189" s="1" t="str">
        <f>HYPERLINK("http://www.ncbi.nlm.nih.gov/gene/?term=PURA","NCBI")</f>
        <v>NCBI</v>
      </c>
      <c r="F1189">
        <v>2.5999999999999999E-3</v>
      </c>
      <c r="G1189">
        <v>3.7999999999999999E-2</v>
      </c>
      <c r="H1189" s="1" t="str">
        <f>HYPERLINK("http://www.weizmann.ac.il/complex/compphys/software/geview/data/figures/213806_at.png","Figure")</f>
        <v>Figure</v>
      </c>
      <c r="I1189">
        <v>1.1499999999999999</v>
      </c>
      <c r="J1189">
        <v>5.7000000000000002E-3</v>
      </c>
      <c r="K1189">
        <v>1.1299999999999999</v>
      </c>
      <c r="L1189">
        <v>5.4000000000000003E-3</v>
      </c>
      <c r="M1189">
        <v>0.98399999999999999</v>
      </c>
      <c r="N1189">
        <v>0.88</v>
      </c>
    </row>
    <row r="1190" spans="1:14" x14ac:dyDescent="0.25">
      <c r="A1190" t="s">
        <v>2227</v>
      </c>
      <c r="B1190" t="s">
        <v>1507</v>
      </c>
      <c r="C1190" s="1" t="str">
        <f>HYPERLINK("http://www.genecards.org/cgi-bin/carddisp.pl?gene=GLIPR1","GeneCards")</f>
        <v>GeneCards</v>
      </c>
      <c r="D1190" s="1" t="str">
        <f>HYPERLINK("http://genome-euro.ucsc.edu/cgi-bin/hgTracks?position=214085_x_at","UCSC")</f>
        <v>UCSC</v>
      </c>
      <c r="E1190" s="1" t="str">
        <f>HYPERLINK("http://www.ncbi.nlm.nih.gov/gene/?term=GLIPR1","NCBI")</f>
        <v>NCBI</v>
      </c>
      <c r="F1190">
        <v>2.5999999999999999E-3</v>
      </c>
      <c r="G1190">
        <v>3.7999999999999999E-2</v>
      </c>
      <c r="H1190" s="1" t="str">
        <f>HYPERLINK("http://www.weizmann.ac.il/complex/compphys/software/geview/data/figures/214085_x_at.png","Figure")</f>
        <v>Figure</v>
      </c>
      <c r="I1190">
        <v>0.38600000000000001</v>
      </c>
      <c r="J1190">
        <v>2.2000000000000001E-3</v>
      </c>
      <c r="K1190">
        <v>0.57499999999999996</v>
      </c>
      <c r="L1190">
        <v>3.2000000000000001E-2</v>
      </c>
      <c r="M1190">
        <v>1.49</v>
      </c>
      <c r="N1190">
        <v>0.17</v>
      </c>
    </row>
    <row r="1191" spans="1:14" x14ac:dyDescent="0.25">
      <c r="A1191" t="s">
        <v>2228</v>
      </c>
      <c r="B1191" t="s">
        <v>2229</v>
      </c>
      <c r="C1191" s="1" t="str">
        <f>HYPERLINK("http://www.genecards.org/cgi-bin/carddisp.pl?gene=PIN4","GeneCards")</f>
        <v>GeneCards</v>
      </c>
      <c r="D1191" s="1" t="str">
        <f>HYPERLINK("http://genome-euro.ucsc.edu/cgi-bin/hgTracks?position=214224_s_at","UCSC")</f>
        <v>UCSC</v>
      </c>
      <c r="E1191" s="1" t="str">
        <f>HYPERLINK("http://www.ncbi.nlm.nih.gov/gene/?term=PIN4","NCBI")</f>
        <v>NCBI</v>
      </c>
      <c r="F1191">
        <v>2.5999999999999999E-3</v>
      </c>
      <c r="G1191">
        <v>3.7999999999999999E-2</v>
      </c>
      <c r="H1191" s="1" t="str">
        <f>HYPERLINK("http://www.weizmann.ac.il/complex/compphys/software/geview/data/figures/214224_s_at.png","Figure")</f>
        <v>Figure</v>
      </c>
      <c r="I1191">
        <v>0.75600000000000001</v>
      </c>
      <c r="J1191">
        <v>0.53</v>
      </c>
      <c r="K1191">
        <v>1.99</v>
      </c>
      <c r="L1191">
        <v>2.1000000000000001E-2</v>
      </c>
      <c r="M1191">
        <v>2.64</v>
      </c>
      <c r="N1191">
        <v>3.3999999999999998E-3</v>
      </c>
    </row>
    <row r="1192" spans="1:14" x14ac:dyDescent="0.25">
      <c r="A1192" t="s">
        <v>2230</v>
      </c>
      <c r="B1192" t="s">
        <v>2231</v>
      </c>
      <c r="C1192" s="1" t="str">
        <f>HYPERLINK("http://www.genecards.org/cgi-bin/carddisp.pl?gene=DCTPP1","GeneCards")</f>
        <v>GeneCards</v>
      </c>
      <c r="D1192" s="1" t="str">
        <f>HYPERLINK("http://genome-euro.ucsc.edu/cgi-bin/hgTracks?position=218069_at","UCSC")</f>
        <v>UCSC</v>
      </c>
      <c r="E1192" s="1" t="str">
        <f>HYPERLINK("http://www.ncbi.nlm.nih.gov/gene/?term=DCTPP1","NCBI")</f>
        <v>NCBI</v>
      </c>
      <c r="F1192">
        <v>2.5999999999999999E-3</v>
      </c>
      <c r="G1192">
        <v>3.7999999999999999E-2</v>
      </c>
      <c r="H1192" s="1" t="str">
        <f>HYPERLINK("http://www.weizmann.ac.il/complex/compphys/software/geview/data/figures/218069_at.png","Figure")</f>
        <v>Figure</v>
      </c>
      <c r="I1192">
        <v>1.44</v>
      </c>
      <c r="J1192">
        <v>6.0999999999999999E-2</v>
      </c>
      <c r="K1192">
        <v>1.74</v>
      </c>
      <c r="L1192">
        <v>2E-3</v>
      </c>
      <c r="M1192">
        <v>1.21</v>
      </c>
      <c r="N1192">
        <v>0.37</v>
      </c>
    </row>
    <row r="1193" spans="1:14" x14ac:dyDescent="0.25">
      <c r="A1193" t="s">
        <v>2232</v>
      </c>
      <c r="B1193" t="s">
        <v>2233</v>
      </c>
      <c r="C1193" s="1" t="str">
        <f>HYPERLINK("http://www.genecards.org/cgi-bin/carddisp.pl?gene=MAGEH1","GeneCards")</f>
        <v>GeneCards</v>
      </c>
      <c r="D1193" s="1" t="str">
        <f>HYPERLINK("http://genome-euro.ucsc.edu/cgi-bin/hgTracks?position=218573_at","UCSC")</f>
        <v>UCSC</v>
      </c>
      <c r="E1193" s="1" t="str">
        <f>HYPERLINK("http://www.ncbi.nlm.nih.gov/gene/?term=MAGEH1","NCBI")</f>
        <v>NCBI</v>
      </c>
      <c r="F1193">
        <v>2.5999999999999999E-3</v>
      </c>
      <c r="G1193">
        <v>3.7999999999999999E-2</v>
      </c>
      <c r="H1193" s="1" t="str">
        <f>HYPERLINK("http://www.weizmann.ac.il/complex/compphys/software/geview/data/figures/218573_at.png","Figure")</f>
        <v>Figure</v>
      </c>
      <c r="I1193">
        <v>0.52400000000000002</v>
      </c>
      <c r="J1193">
        <v>1.9E-3</v>
      </c>
      <c r="K1193">
        <v>0.75700000000000001</v>
      </c>
      <c r="L1193">
        <v>0.11</v>
      </c>
      <c r="M1193">
        <v>1.44</v>
      </c>
      <c r="N1193">
        <v>4.7E-2</v>
      </c>
    </row>
    <row r="1194" spans="1:14" x14ac:dyDescent="0.25">
      <c r="A1194" t="s">
        <v>2234</v>
      </c>
      <c r="B1194" t="s">
        <v>2235</v>
      </c>
      <c r="C1194" s="1" t="str">
        <f>HYPERLINK("http://www.genecards.org/cgi-bin/carddisp.pl?gene=EAF2","GeneCards")</f>
        <v>GeneCards</v>
      </c>
      <c r="D1194" s="1" t="str">
        <f>HYPERLINK("http://genome-euro.ucsc.edu/cgi-bin/hgTracks?position=219551_at","UCSC")</f>
        <v>UCSC</v>
      </c>
      <c r="E1194" s="1" t="str">
        <f>HYPERLINK("http://www.ncbi.nlm.nih.gov/gene/?term=EAF2","NCBI")</f>
        <v>NCBI</v>
      </c>
      <c r="F1194">
        <v>2.5999999999999999E-3</v>
      </c>
      <c r="G1194">
        <v>3.7999999999999999E-2</v>
      </c>
      <c r="H1194" s="1" t="str">
        <f>HYPERLINK("http://www.weizmann.ac.il/complex/compphys/software/geview/data/figures/219551_at.png","Figure")</f>
        <v>Figure</v>
      </c>
      <c r="I1194">
        <v>1.72</v>
      </c>
      <c r="J1194">
        <v>0.25</v>
      </c>
      <c r="K1194">
        <v>3.45</v>
      </c>
      <c r="L1194">
        <v>2.0999999999999999E-3</v>
      </c>
      <c r="M1194">
        <v>2</v>
      </c>
      <c r="N1194">
        <v>9.4E-2</v>
      </c>
    </row>
    <row r="1195" spans="1:14" x14ac:dyDescent="0.25">
      <c r="A1195" t="s">
        <v>2236</v>
      </c>
      <c r="B1195" t="s">
        <v>2237</v>
      </c>
      <c r="C1195" s="1" t="str">
        <f>HYPERLINK("http://www.genecards.org/cgi-bin/carddisp.pl?gene=BATF3","GeneCards")</f>
        <v>GeneCards</v>
      </c>
      <c r="D1195" s="1" t="str">
        <f>HYPERLINK("http://genome-euro.ucsc.edu/cgi-bin/hgTracks?position=220358_at","UCSC")</f>
        <v>UCSC</v>
      </c>
      <c r="E1195" s="1" t="str">
        <f>HYPERLINK("http://www.ncbi.nlm.nih.gov/gene/?term=BATF3","NCBI")</f>
        <v>NCBI</v>
      </c>
      <c r="F1195">
        <v>2.5999999999999999E-3</v>
      </c>
      <c r="G1195">
        <v>3.7999999999999999E-2</v>
      </c>
      <c r="H1195" s="1" t="str">
        <f>HYPERLINK("http://www.weizmann.ac.il/complex/compphys/software/geview/data/figures/220358_at.png","Figure")</f>
        <v>Figure</v>
      </c>
      <c r="I1195">
        <v>1.42</v>
      </c>
      <c r="J1195">
        <v>2.7000000000000001E-3</v>
      </c>
      <c r="K1195">
        <v>1.26</v>
      </c>
      <c r="L1195">
        <v>1.7000000000000001E-2</v>
      </c>
      <c r="M1195">
        <v>0.89</v>
      </c>
      <c r="N1195">
        <v>0.32</v>
      </c>
    </row>
    <row r="1196" spans="1:14" x14ac:dyDescent="0.25">
      <c r="A1196" t="s">
        <v>2238</v>
      </c>
      <c r="B1196" t="s">
        <v>2239</v>
      </c>
      <c r="C1196" s="1" t="str">
        <f>HYPERLINK("http://www.genecards.org/cgi-bin/carddisp.pl?gene=ACTR5","GeneCards")</f>
        <v>GeneCards</v>
      </c>
      <c r="D1196" s="1" t="str">
        <f>HYPERLINK("http://genome-euro.ucsc.edu/cgi-bin/hgTracks?position=219623_at","UCSC")</f>
        <v>UCSC</v>
      </c>
      <c r="E1196" s="1" t="str">
        <f>HYPERLINK("http://www.ncbi.nlm.nih.gov/gene/?term=ACTR5","NCBI")</f>
        <v>NCBI</v>
      </c>
      <c r="F1196">
        <v>2.7000000000000001E-3</v>
      </c>
      <c r="G1196">
        <v>3.7999999999999999E-2</v>
      </c>
      <c r="H1196" s="1" t="str">
        <f>HYPERLINK("http://www.weizmann.ac.il/complex/compphys/software/geview/data/figures/219623_at.png","Figure")</f>
        <v>Figure</v>
      </c>
      <c r="I1196">
        <v>0.84299999999999997</v>
      </c>
      <c r="J1196">
        <v>0.55000000000000004</v>
      </c>
      <c r="K1196">
        <v>0.55300000000000005</v>
      </c>
      <c r="L1196">
        <v>2.7000000000000001E-3</v>
      </c>
      <c r="M1196">
        <v>0.65600000000000003</v>
      </c>
      <c r="N1196">
        <v>3.6999999999999998E-2</v>
      </c>
    </row>
    <row r="1197" spans="1:14" x14ac:dyDescent="0.25">
      <c r="A1197" t="s">
        <v>2240</v>
      </c>
      <c r="B1197" t="s">
        <v>194</v>
      </c>
      <c r="C1197" s="1" t="str">
        <f>HYPERLINK("http://www.genecards.org/cgi-bin/carddisp.pl?gene=PDE4B","GeneCards")</f>
        <v>GeneCards</v>
      </c>
      <c r="D1197" s="1" t="str">
        <f>HYPERLINK("http://genome-euro.ucsc.edu/cgi-bin/hgTracks?position=215671_at","UCSC")</f>
        <v>UCSC</v>
      </c>
      <c r="E1197" s="1" t="str">
        <f>HYPERLINK("http://www.ncbi.nlm.nih.gov/gene/?term=PDE4B","NCBI")</f>
        <v>NCBI</v>
      </c>
      <c r="F1197">
        <v>2.7000000000000001E-3</v>
      </c>
      <c r="G1197">
        <v>3.7999999999999999E-2</v>
      </c>
      <c r="H1197" s="1" t="str">
        <f>HYPERLINK("http://www.weizmann.ac.il/complex/compphys/software/geview/data/figures/215671_at.png","Figure")</f>
        <v>Figure</v>
      </c>
      <c r="I1197">
        <v>0.71399999999999997</v>
      </c>
      <c r="J1197">
        <v>6.0000000000000001E-3</v>
      </c>
      <c r="K1197">
        <v>1</v>
      </c>
      <c r="L1197">
        <v>1</v>
      </c>
      <c r="M1197">
        <v>1.4</v>
      </c>
      <c r="N1197">
        <v>3.5999999999999999E-3</v>
      </c>
    </row>
    <row r="1198" spans="1:14" x14ac:dyDescent="0.25">
      <c r="A1198" t="s">
        <v>2241</v>
      </c>
      <c r="B1198" t="s">
        <v>2242</v>
      </c>
      <c r="C1198" s="1" t="str">
        <f>HYPERLINK("http://www.genecards.org/cgi-bin/carddisp.pl?gene=CIB1","GeneCards")</f>
        <v>GeneCards</v>
      </c>
      <c r="D1198" s="1" t="str">
        <f>HYPERLINK("http://genome-euro.ucsc.edu/cgi-bin/hgTracks?position=201953_at","UCSC")</f>
        <v>UCSC</v>
      </c>
      <c r="E1198" s="1" t="str">
        <f>HYPERLINK("http://www.ncbi.nlm.nih.gov/gene/?term=CIB1","NCBI")</f>
        <v>NCBI</v>
      </c>
      <c r="F1198">
        <v>2.7000000000000001E-3</v>
      </c>
      <c r="G1198">
        <v>3.7999999999999999E-2</v>
      </c>
      <c r="H1198" s="1" t="str">
        <f>HYPERLINK("http://www.weizmann.ac.il/complex/compphys/software/geview/data/figures/201953_at.png","Figure")</f>
        <v>Figure</v>
      </c>
      <c r="I1198">
        <v>2.52</v>
      </c>
      <c r="J1198">
        <v>2.8E-3</v>
      </c>
      <c r="K1198">
        <v>1.88</v>
      </c>
      <c r="L1198">
        <v>1.4999999999999999E-2</v>
      </c>
      <c r="M1198">
        <v>0.747</v>
      </c>
      <c r="N1198">
        <v>0.36</v>
      </c>
    </row>
    <row r="1199" spans="1:14" x14ac:dyDescent="0.25">
      <c r="A1199" t="s">
        <v>2243</v>
      </c>
      <c r="B1199" t="s">
        <v>2244</v>
      </c>
      <c r="C1199" s="1" t="str">
        <f>HYPERLINK("http://www.genecards.org/cgi-bin/carddisp.pl?gene=COX5B","GeneCards")</f>
        <v>GeneCards</v>
      </c>
      <c r="D1199" s="1" t="str">
        <f>HYPERLINK("http://genome-euro.ucsc.edu/cgi-bin/hgTracks?position=213736_at","UCSC")</f>
        <v>UCSC</v>
      </c>
      <c r="E1199" s="1" t="str">
        <f>HYPERLINK("http://www.ncbi.nlm.nih.gov/gene/?term=COX5B","NCBI")</f>
        <v>NCBI</v>
      </c>
      <c r="F1199">
        <v>2.7000000000000001E-3</v>
      </c>
      <c r="G1199">
        <v>3.7999999999999999E-2</v>
      </c>
      <c r="H1199" s="1" t="str">
        <f>HYPERLINK("http://www.weizmann.ac.il/complex/compphys/software/geview/data/figures/213736_at.png","Figure")</f>
        <v>Figure</v>
      </c>
      <c r="I1199">
        <v>1.49</v>
      </c>
      <c r="J1199">
        <v>3.8E-3</v>
      </c>
      <c r="K1199">
        <v>1.36</v>
      </c>
      <c r="L1199">
        <v>8.8999999999999999E-3</v>
      </c>
      <c r="M1199">
        <v>0.91400000000000003</v>
      </c>
      <c r="N1199">
        <v>0.61</v>
      </c>
    </row>
    <row r="1200" spans="1:14" x14ac:dyDescent="0.25">
      <c r="A1200" t="s">
        <v>2245</v>
      </c>
      <c r="B1200" t="s">
        <v>2246</v>
      </c>
      <c r="C1200" s="1" t="str">
        <f>HYPERLINK("http://www.genecards.org/cgi-bin/carddisp.pl?gene=PCIF1","GeneCards")</f>
        <v>GeneCards</v>
      </c>
      <c r="D1200" s="1" t="str">
        <f>HYPERLINK("http://genome-euro.ucsc.edu/cgi-bin/hgTracks?position=222044_at","UCSC")</f>
        <v>UCSC</v>
      </c>
      <c r="E1200" s="1" t="str">
        <f>HYPERLINK("http://www.ncbi.nlm.nih.gov/gene/?term=PCIF1","NCBI")</f>
        <v>NCBI</v>
      </c>
      <c r="F1200">
        <v>2.7000000000000001E-3</v>
      </c>
      <c r="G1200">
        <v>3.7999999999999999E-2</v>
      </c>
      <c r="H1200" s="1" t="str">
        <f>HYPERLINK("http://www.weizmann.ac.il/complex/compphys/software/geview/data/figures/222044_at.png","Figure")</f>
        <v>Figure</v>
      </c>
      <c r="I1200">
        <v>0.86</v>
      </c>
      <c r="J1200">
        <v>0.86</v>
      </c>
      <c r="K1200">
        <v>0.36299999999999999</v>
      </c>
      <c r="L1200">
        <v>3.8E-3</v>
      </c>
      <c r="M1200">
        <v>0.42299999999999999</v>
      </c>
      <c r="N1200">
        <v>1.7999999999999999E-2</v>
      </c>
    </row>
    <row r="1201" spans="1:14" x14ac:dyDescent="0.25">
      <c r="A1201" t="s">
        <v>2247</v>
      </c>
      <c r="B1201" t="s">
        <v>2248</v>
      </c>
      <c r="C1201" s="1" t="str">
        <f>HYPERLINK("http://www.genecards.org/cgi-bin/carddisp.pl?gene=CCT3","GeneCards")</f>
        <v>GeneCards</v>
      </c>
      <c r="D1201" s="1" t="str">
        <f>HYPERLINK("http://genome-euro.ucsc.edu/cgi-bin/hgTracks?position=200910_at","UCSC")</f>
        <v>UCSC</v>
      </c>
      <c r="E1201" s="1" t="str">
        <f>HYPERLINK("http://www.ncbi.nlm.nih.gov/gene/?term=CCT3","NCBI")</f>
        <v>NCBI</v>
      </c>
      <c r="F1201">
        <v>2.7000000000000001E-3</v>
      </c>
      <c r="G1201">
        <v>3.7999999999999999E-2</v>
      </c>
      <c r="H1201" s="1" t="str">
        <f>HYPERLINK("http://www.weizmann.ac.il/complex/compphys/software/geview/data/figures/200910_at.png","Figure")</f>
        <v>Figure</v>
      </c>
      <c r="I1201">
        <v>0.98299999999999998</v>
      </c>
      <c r="J1201">
        <v>1</v>
      </c>
      <c r="K1201">
        <v>2.08</v>
      </c>
      <c r="L1201">
        <v>6.4999999999999997E-3</v>
      </c>
      <c r="M1201">
        <v>2.12</v>
      </c>
      <c r="N1201">
        <v>8.8000000000000005E-3</v>
      </c>
    </row>
    <row r="1202" spans="1:14" x14ac:dyDescent="0.25">
      <c r="A1202" t="s">
        <v>2249</v>
      </c>
      <c r="B1202" t="s">
        <v>856</v>
      </c>
      <c r="C1202" s="1" t="str">
        <f>HYPERLINK("http://www.genecards.org/cgi-bin/carddisp.pl?gene=CTBP2","GeneCards")</f>
        <v>GeneCards</v>
      </c>
      <c r="D1202" s="1" t="str">
        <f>HYPERLINK("http://genome-euro.ucsc.edu/cgi-bin/hgTracks?position=201220_x_at","UCSC")</f>
        <v>UCSC</v>
      </c>
      <c r="E1202" s="1" t="str">
        <f>HYPERLINK("http://www.ncbi.nlm.nih.gov/gene/?term=CTBP2","NCBI")</f>
        <v>NCBI</v>
      </c>
      <c r="F1202">
        <v>2.7000000000000001E-3</v>
      </c>
      <c r="G1202">
        <v>3.7999999999999999E-2</v>
      </c>
      <c r="H1202" s="1" t="str">
        <f>HYPERLINK("http://www.weizmann.ac.il/complex/compphys/software/geview/data/figures/201220_x_at.png","Figure")</f>
        <v>Figure</v>
      </c>
      <c r="I1202">
        <v>1.38</v>
      </c>
      <c r="J1202">
        <v>0.3</v>
      </c>
      <c r="K1202">
        <v>2.19</v>
      </c>
      <c r="L1202">
        <v>2.2000000000000001E-3</v>
      </c>
      <c r="M1202">
        <v>1.58</v>
      </c>
      <c r="N1202">
        <v>0.08</v>
      </c>
    </row>
    <row r="1203" spans="1:14" x14ac:dyDescent="0.25">
      <c r="A1203" t="s">
        <v>2250</v>
      </c>
      <c r="B1203" t="s">
        <v>2251</v>
      </c>
      <c r="C1203" s="1" t="str">
        <f>HYPERLINK("http://www.genecards.org/cgi-bin/carddisp.pl?gene=SOCS5","GeneCards")</f>
        <v>GeneCards</v>
      </c>
      <c r="D1203" s="1" t="str">
        <f>HYPERLINK("http://genome-euro.ucsc.edu/cgi-bin/hgTracks?position=209647_s_at","UCSC")</f>
        <v>UCSC</v>
      </c>
      <c r="E1203" s="1" t="str">
        <f>HYPERLINK("http://www.ncbi.nlm.nih.gov/gene/?term=SOCS5","NCBI")</f>
        <v>NCBI</v>
      </c>
      <c r="F1203">
        <v>2.7000000000000001E-3</v>
      </c>
      <c r="G1203">
        <v>3.7999999999999999E-2</v>
      </c>
      <c r="H1203" s="1" t="str">
        <f>HYPERLINK("http://www.weizmann.ac.il/complex/compphys/software/geview/data/figures/209647_s_at.png","Figure")</f>
        <v>Figure</v>
      </c>
      <c r="I1203">
        <v>0.71099999999999997</v>
      </c>
      <c r="J1203">
        <v>0.28999999999999998</v>
      </c>
      <c r="K1203">
        <v>0.439</v>
      </c>
      <c r="L1203">
        <v>2.2000000000000001E-3</v>
      </c>
      <c r="M1203">
        <v>0.61799999999999999</v>
      </c>
      <c r="N1203">
        <v>8.2000000000000003E-2</v>
      </c>
    </row>
    <row r="1204" spans="1:14" x14ac:dyDescent="0.25">
      <c r="A1204" t="s">
        <v>2252</v>
      </c>
      <c r="B1204" t="s">
        <v>2253</v>
      </c>
      <c r="C1204" s="1" t="str">
        <f>HYPERLINK("http://www.genecards.org/cgi-bin/carddisp.pl?gene=CTGF","GeneCards")</f>
        <v>GeneCards</v>
      </c>
      <c r="D1204" s="1" t="str">
        <f>HYPERLINK("http://genome-euro.ucsc.edu/cgi-bin/hgTracks?position=209101_at","UCSC")</f>
        <v>UCSC</v>
      </c>
      <c r="E1204" s="1" t="str">
        <f>HYPERLINK("http://www.ncbi.nlm.nih.gov/gene/?term=CTGF","NCBI")</f>
        <v>NCBI</v>
      </c>
      <c r="F1204">
        <v>2.7000000000000001E-3</v>
      </c>
      <c r="G1204">
        <v>3.7999999999999999E-2</v>
      </c>
      <c r="H1204" s="1" t="str">
        <f>HYPERLINK("http://www.weizmann.ac.il/complex/compphys/software/geview/data/figures/209101_at.png","Figure")</f>
        <v>Figure</v>
      </c>
      <c r="I1204">
        <v>0.68200000000000005</v>
      </c>
      <c r="J1204">
        <v>0.59</v>
      </c>
      <c r="K1204">
        <v>0.248</v>
      </c>
      <c r="L1204">
        <v>2.8E-3</v>
      </c>
      <c r="M1204">
        <v>0.36299999999999999</v>
      </c>
      <c r="N1204">
        <v>3.5000000000000003E-2</v>
      </c>
    </row>
    <row r="1205" spans="1:14" x14ac:dyDescent="0.25">
      <c r="A1205" t="s">
        <v>2254</v>
      </c>
      <c r="B1205" t="s">
        <v>1595</v>
      </c>
      <c r="C1205" s="1" t="str">
        <f>HYPERLINK("http://www.genecards.org/cgi-bin/carddisp.pl?gene=FBXO9","GeneCards")</f>
        <v>GeneCards</v>
      </c>
      <c r="D1205" s="1" t="str">
        <f>HYPERLINK("http://genome-euro.ucsc.edu/cgi-bin/hgTracks?position=212991_at","UCSC")</f>
        <v>UCSC</v>
      </c>
      <c r="E1205" s="1" t="str">
        <f>HYPERLINK("http://www.ncbi.nlm.nih.gov/gene/?term=FBXO9","NCBI")</f>
        <v>NCBI</v>
      </c>
      <c r="F1205">
        <v>2.7000000000000001E-3</v>
      </c>
      <c r="G1205">
        <v>3.7999999999999999E-2</v>
      </c>
      <c r="H1205" s="1" t="str">
        <f>HYPERLINK("http://www.weizmann.ac.il/complex/compphys/software/geview/data/figures/212991_at.png","Figure")</f>
        <v>Figure</v>
      </c>
      <c r="I1205">
        <v>0.56599999999999995</v>
      </c>
      <c r="J1205">
        <v>4.4000000000000003E-3</v>
      </c>
      <c r="K1205">
        <v>0.95399999999999996</v>
      </c>
      <c r="L1205">
        <v>0.93</v>
      </c>
      <c r="M1205">
        <v>1.69</v>
      </c>
      <c r="N1205">
        <v>5.0000000000000001E-3</v>
      </c>
    </row>
    <row r="1206" spans="1:14" x14ac:dyDescent="0.25">
      <c r="A1206" t="s">
        <v>2255</v>
      </c>
      <c r="B1206" t="s">
        <v>2256</v>
      </c>
      <c r="C1206" s="1" t="str">
        <f>HYPERLINK("http://www.genecards.org/cgi-bin/carddisp.pl?gene=EWSR1 /// FLI1","GeneCards")</f>
        <v>GeneCards</v>
      </c>
      <c r="D1206" s="1" t="str">
        <f>HYPERLINK("http://genome-euro.ucsc.edu/cgi-bin/hgTracks?position=211825_s_at","UCSC")</f>
        <v>UCSC</v>
      </c>
      <c r="E1206" s="1" t="str">
        <f>HYPERLINK("http://www.ncbi.nlm.nih.gov/gene/?term=EWSR1 /// FLI1","NCBI")</f>
        <v>NCBI</v>
      </c>
      <c r="F1206">
        <v>2.7000000000000001E-3</v>
      </c>
      <c r="G1206">
        <v>3.7999999999999999E-2</v>
      </c>
      <c r="H1206" s="1" t="str">
        <f>HYPERLINK("http://www.weizmann.ac.il/complex/compphys/software/geview/data/figures/211825_s_at.png","Figure")</f>
        <v>Figure</v>
      </c>
      <c r="I1206">
        <v>1.61</v>
      </c>
      <c r="J1206">
        <v>1.2E-2</v>
      </c>
      <c r="K1206">
        <v>1.65</v>
      </c>
      <c r="L1206">
        <v>3.3E-3</v>
      </c>
      <c r="M1206">
        <v>1.02</v>
      </c>
      <c r="N1206">
        <v>0.98</v>
      </c>
    </row>
    <row r="1207" spans="1:14" x14ac:dyDescent="0.25">
      <c r="A1207" t="s">
        <v>2257</v>
      </c>
      <c r="B1207" t="s">
        <v>2258</v>
      </c>
      <c r="C1207" s="1" t="str">
        <f>HYPERLINK("http://www.genecards.org/cgi-bin/carddisp.pl?gene=TMUB2","GeneCards")</f>
        <v>GeneCards</v>
      </c>
      <c r="D1207" s="1" t="str">
        <f>HYPERLINK("http://genome-euro.ucsc.edu/cgi-bin/hgTracks?position=218419_s_at","UCSC")</f>
        <v>UCSC</v>
      </c>
      <c r="E1207" s="1" t="str">
        <f>HYPERLINK("http://www.ncbi.nlm.nih.gov/gene/?term=TMUB2","NCBI")</f>
        <v>NCBI</v>
      </c>
      <c r="F1207">
        <v>2.7000000000000001E-3</v>
      </c>
      <c r="G1207">
        <v>3.7999999999999999E-2</v>
      </c>
      <c r="H1207" s="1" t="str">
        <f>HYPERLINK("http://www.weizmann.ac.il/complex/compphys/software/geview/data/figures/218419_s_at.png","Figure")</f>
        <v>Figure</v>
      </c>
      <c r="I1207">
        <v>0.76100000000000001</v>
      </c>
      <c r="J1207">
        <v>3.4000000000000002E-2</v>
      </c>
      <c r="K1207">
        <v>0.69799999999999995</v>
      </c>
      <c r="L1207">
        <v>2.2000000000000001E-3</v>
      </c>
      <c r="M1207">
        <v>0.91700000000000004</v>
      </c>
      <c r="N1207">
        <v>0.6</v>
      </c>
    </row>
    <row r="1208" spans="1:14" x14ac:dyDescent="0.25">
      <c r="A1208" t="s">
        <v>2259</v>
      </c>
      <c r="B1208" t="s">
        <v>2260</v>
      </c>
      <c r="C1208" s="1" t="str">
        <f>HYPERLINK("http://www.genecards.org/cgi-bin/carddisp.pl?gene=C21orf45","GeneCards")</f>
        <v>GeneCards</v>
      </c>
      <c r="D1208" s="1" t="str">
        <f>HYPERLINK("http://genome-euro.ucsc.edu/cgi-bin/hgTracks?position=219004_s_at","UCSC")</f>
        <v>UCSC</v>
      </c>
      <c r="E1208" s="1" t="str">
        <f>HYPERLINK("http://www.ncbi.nlm.nih.gov/gene/?term=C21orf45","NCBI")</f>
        <v>NCBI</v>
      </c>
      <c r="F1208">
        <v>2.7000000000000001E-3</v>
      </c>
      <c r="G1208">
        <v>3.7999999999999999E-2</v>
      </c>
      <c r="H1208" s="1" t="str">
        <f>HYPERLINK("http://www.weizmann.ac.il/complex/compphys/software/geview/data/figures/219004_s_at.png","Figure")</f>
        <v>Figure</v>
      </c>
      <c r="I1208">
        <v>0.60399999999999998</v>
      </c>
      <c r="J1208">
        <v>3.5999999999999997E-2</v>
      </c>
      <c r="K1208">
        <v>1.25</v>
      </c>
      <c r="L1208">
        <v>0.35</v>
      </c>
      <c r="M1208">
        <v>2.08</v>
      </c>
      <c r="N1208">
        <v>2E-3</v>
      </c>
    </row>
    <row r="1209" spans="1:14" x14ac:dyDescent="0.25">
      <c r="A1209" t="s">
        <v>2261</v>
      </c>
      <c r="B1209" t="s">
        <v>2262</v>
      </c>
      <c r="C1209" s="1" t="str">
        <f>HYPERLINK("http://www.genecards.org/cgi-bin/carddisp.pl?gene=UROS","GeneCards")</f>
        <v>GeneCards</v>
      </c>
      <c r="D1209" s="1" t="str">
        <f>HYPERLINK("http://genome-euro.ucsc.edu/cgi-bin/hgTracks?position=203031_s_at","UCSC")</f>
        <v>UCSC</v>
      </c>
      <c r="E1209" s="1" t="str">
        <f>HYPERLINK("http://www.ncbi.nlm.nih.gov/gene/?term=UROS","NCBI")</f>
        <v>NCBI</v>
      </c>
      <c r="F1209">
        <v>2.7000000000000001E-3</v>
      </c>
      <c r="G1209">
        <v>3.9E-2</v>
      </c>
      <c r="H1209" s="1" t="str">
        <f>HYPERLINK("http://www.weizmann.ac.il/complex/compphys/software/geview/data/figures/203031_s_at.png","Figure")</f>
        <v>Figure</v>
      </c>
      <c r="I1209">
        <v>0.83399999999999996</v>
      </c>
      <c r="J1209">
        <v>0.2</v>
      </c>
      <c r="K1209">
        <v>1.24</v>
      </c>
      <c r="L1209">
        <v>6.5000000000000002E-2</v>
      </c>
      <c r="M1209">
        <v>1.49</v>
      </c>
      <c r="N1209">
        <v>2.3E-3</v>
      </c>
    </row>
    <row r="1210" spans="1:14" x14ac:dyDescent="0.25">
      <c r="A1210" t="s">
        <v>2263</v>
      </c>
      <c r="B1210" t="s">
        <v>2264</v>
      </c>
      <c r="C1210" s="1" t="str">
        <f>HYPERLINK("http://www.genecards.org/cgi-bin/carddisp.pl?gene=CD48","GeneCards")</f>
        <v>GeneCards</v>
      </c>
      <c r="D1210" s="1" t="str">
        <f>HYPERLINK("http://genome-euro.ucsc.edu/cgi-bin/hgTracks?position=204118_at","UCSC")</f>
        <v>UCSC</v>
      </c>
      <c r="E1210" s="1" t="str">
        <f>HYPERLINK("http://www.ncbi.nlm.nih.gov/gene/?term=CD48","NCBI")</f>
        <v>NCBI</v>
      </c>
      <c r="F1210">
        <v>2.8E-3</v>
      </c>
      <c r="G1210">
        <v>3.9E-2</v>
      </c>
      <c r="H1210" s="1" t="str">
        <f>HYPERLINK("http://www.weizmann.ac.il/complex/compphys/software/geview/data/figures/204118_at.png","Figure")</f>
        <v>Figure</v>
      </c>
      <c r="I1210">
        <v>2.2799999999999998</v>
      </c>
      <c r="J1210">
        <v>3.5999999999999999E-3</v>
      </c>
      <c r="K1210">
        <v>1.86</v>
      </c>
      <c r="L1210">
        <v>0.01</v>
      </c>
      <c r="M1210">
        <v>0.81299999999999994</v>
      </c>
      <c r="N1210">
        <v>0.54</v>
      </c>
    </row>
    <row r="1211" spans="1:14" x14ac:dyDescent="0.25">
      <c r="A1211" t="s">
        <v>2265</v>
      </c>
      <c r="B1211" t="s">
        <v>2266</v>
      </c>
      <c r="C1211" s="1" t="str">
        <f>HYPERLINK("http://www.genecards.org/cgi-bin/carddisp.pl?gene=NCOA3","GeneCards")</f>
        <v>GeneCards</v>
      </c>
      <c r="D1211" s="1" t="str">
        <f>HYPERLINK("http://genome-euro.ucsc.edu/cgi-bin/hgTracks?position=209062_x_at","UCSC")</f>
        <v>UCSC</v>
      </c>
      <c r="E1211" s="1" t="str">
        <f>HYPERLINK("http://www.ncbi.nlm.nih.gov/gene/?term=NCOA3","NCBI")</f>
        <v>NCBI</v>
      </c>
      <c r="F1211">
        <v>2.8E-3</v>
      </c>
      <c r="G1211">
        <v>3.9E-2</v>
      </c>
      <c r="H1211" s="1" t="str">
        <f>HYPERLINK("http://www.weizmann.ac.il/complex/compphys/software/geview/data/figures/209062_x_at.png","Figure")</f>
        <v>Figure</v>
      </c>
      <c r="I1211">
        <v>1.58</v>
      </c>
      <c r="J1211">
        <v>3.2000000000000001E-2</v>
      </c>
      <c r="K1211">
        <v>0.82799999999999996</v>
      </c>
      <c r="L1211">
        <v>0.39</v>
      </c>
      <c r="M1211">
        <v>0.52300000000000002</v>
      </c>
      <c r="N1211">
        <v>2.0999999999999999E-3</v>
      </c>
    </row>
    <row r="1212" spans="1:14" x14ac:dyDescent="0.25">
      <c r="A1212" t="s">
        <v>2267</v>
      </c>
      <c r="B1212" t="s">
        <v>517</v>
      </c>
      <c r="C1212" s="1" t="str">
        <f>HYPERLINK("http://www.genecards.org/cgi-bin/carddisp.pl?gene=POU4F1","GeneCards")</f>
        <v>GeneCards</v>
      </c>
      <c r="D1212" s="1" t="str">
        <f>HYPERLINK("http://genome-euro.ucsc.edu/cgi-bin/hgTracks?position=206940_s_at","UCSC")</f>
        <v>UCSC</v>
      </c>
      <c r="E1212" s="1" t="str">
        <f>HYPERLINK("http://www.ncbi.nlm.nih.gov/gene/?term=POU4F1","NCBI")</f>
        <v>NCBI</v>
      </c>
      <c r="F1212">
        <v>2.8E-3</v>
      </c>
      <c r="G1212">
        <v>3.9E-2</v>
      </c>
      <c r="H1212" s="1" t="str">
        <f>HYPERLINK("http://www.weizmann.ac.il/complex/compphys/software/geview/data/figures/206940_s_at.png","Figure")</f>
        <v>Figure</v>
      </c>
      <c r="I1212">
        <v>0.18</v>
      </c>
      <c r="J1212">
        <v>4.7000000000000002E-3</v>
      </c>
      <c r="K1212">
        <v>0.245</v>
      </c>
      <c r="L1212">
        <v>7.3000000000000001E-3</v>
      </c>
      <c r="M1212">
        <v>1.36</v>
      </c>
      <c r="N1212">
        <v>0.74</v>
      </c>
    </row>
    <row r="1213" spans="1:14" x14ac:dyDescent="0.25">
      <c r="A1213" t="s">
        <v>2268</v>
      </c>
      <c r="B1213" t="s">
        <v>2269</v>
      </c>
      <c r="C1213" s="1" t="str">
        <f>HYPERLINK("http://www.genecards.org/cgi-bin/carddisp.pl?gene=PECI","GeneCards")</f>
        <v>GeneCards</v>
      </c>
      <c r="D1213" s="1" t="str">
        <f>HYPERLINK("http://genome-euro.ucsc.edu/cgi-bin/hgTracks?position=218025_s_at","UCSC")</f>
        <v>UCSC</v>
      </c>
      <c r="E1213" s="1" t="str">
        <f>HYPERLINK("http://www.ncbi.nlm.nih.gov/gene/?term=PECI","NCBI")</f>
        <v>NCBI</v>
      </c>
      <c r="F1213">
        <v>2.8E-3</v>
      </c>
      <c r="G1213">
        <v>3.9E-2</v>
      </c>
      <c r="H1213" s="1" t="str">
        <f>HYPERLINK("http://www.weizmann.ac.il/complex/compphys/software/geview/data/figures/218025_s_at.png","Figure")</f>
        <v>Figure</v>
      </c>
      <c r="I1213">
        <v>0.70199999999999996</v>
      </c>
      <c r="J1213">
        <v>0.17</v>
      </c>
      <c r="K1213">
        <v>1.48</v>
      </c>
      <c r="L1213">
        <v>7.4999999999999997E-2</v>
      </c>
      <c r="M1213">
        <v>2.1</v>
      </c>
      <c r="N1213">
        <v>2.3E-3</v>
      </c>
    </row>
    <row r="1214" spans="1:14" x14ac:dyDescent="0.25">
      <c r="A1214" t="s">
        <v>2270</v>
      </c>
      <c r="B1214" t="s">
        <v>2271</v>
      </c>
      <c r="C1214" s="1" t="str">
        <f>HYPERLINK("http://www.genecards.org/cgi-bin/carddisp.pl?gene=CASZ1","GeneCards")</f>
        <v>GeneCards</v>
      </c>
      <c r="D1214" s="1" t="str">
        <f>HYPERLINK("http://genome-euro.ucsc.edu/cgi-bin/hgTracks?position=220015_at","UCSC")</f>
        <v>UCSC</v>
      </c>
      <c r="E1214" s="1" t="str">
        <f>HYPERLINK("http://www.ncbi.nlm.nih.gov/gene/?term=CASZ1","NCBI")</f>
        <v>NCBI</v>
      </c>
      <c r="F1214">
        <v>2.8E-3</v>
      </c>
      <c r="G1214">
        <v>3.9E-2</v>
      </c>
      <c r="H1214" s="1" t="str">
        <f>HYPERLINK("http://www.weizmann.ac.il/complex/compphys/software/geview/data/figures/220015_at.png","Figure")</f>
        <v>Figure</v>
      </c>
      <c r="I1214">
        <v>1.44</v>
      </c>
      <c r="J1214">
        <v>1.0999999999999999E-2</v>
      </c>
      <c r="K1214">
        <v>0.95399999999999996</v>
      </c>
      <c r="L1214">
        <v>0.86</v>
      </c>
      <c r="M1214">
        <v>0.66200000000000003</v>
      </c>
      <c r="N1214">
        <v>2.8E-3</v>
      </c>
    </row>
    <row r="1215" spans="1:14" x14ac:dyDescent="0.25">
      <c r="A1215" t="s">
        <v>2272</v>
      </c>
      <c r="B1215" t="s">
        <v>2273</v>
      </c>
      <c r="C1215" s="1" t="str">
        <f>HYPERLINK("http://www.genecards.org/cgi-bin/carddisp.pl?gene=WDR74","GeneCards")</f>
        <v>GeneCards</v>
      </c>
      <c r="D1215" s="1" t="str">
        <f>HYPERLINK("http://genome-euro.ucsc.edu/cgi-bin/hgTracks?position=221712_s_at","UCSC")</f>
        <v>UCSC</v>
      </c>
      <c r="E1215" s="1" t="str">
        <f>HYPERLINK("http://www.ncbi.nlm.nih.gov/gene/?term=WDR74","NCBI")</f>
        <v>NCBI</v>
      </c>
      <c r="F1215">
        <v>2.8E-3</v>
      </c>
      <c r="G1215">
        <v>3.9E-2</v>
      </c>
      <c r="H1215" s="1" t="str">
        <f>HYPERLINK("http://www.weizmann.ac.il/complex/compphys/software/geview/data/figures/221712_s_at.png","Figure")</f>
        <v>Figure</v>
      </c>
      <c r="I1215">
        <v>1.1299999999999999</v>
      </c>
      <c r="J1215">
        <v>0.45</v>
      </c>
      <c r="K1215">
        <v>0.78200000000000003</v>
      </c>
      <c r="L1215">
        <v>2.7E-2</v>
      </c>
      <c r="M1215">
        <v>0.69499999999999995</v>
      </c>
      <c r="N1215">
        <v>3.3E-3</v>
      </c>
    </row>
    <row r="1216" spans="1:14" x14ac:dyDescent="0.25">
      <c r="A1216" t="s">
        <v>2274</v>
      </c>
      <c r="B1216" t="s">
        <v>2275</v>
      </c>
      <c r="C1216" s="1" t="str">
        <f>HYPERLINK("http://www.genecards.org/cgi-bin/carddisp.pl?gene=PLD1","GeneCards")</f>
        <v>GeneCards</v>
      </c>
      <c r="D1216" s="1" t="str">
        <f>HYPERLINK("http://genome-euro.ucsc.edu/cgi-bin/hgTracks?position=205203_at","UCSC")</f>
        <v>UCSC</v>
      </c>
      <c r="E1216" s="1" t="str">
        <f>HYPERLINK("http://www.ncbi.nlm.nih.gov/gene/?term=PLD1","NCBI")</f>
        <v>NCBI</v>
      </c>
      <c r="F1216">
        <v>2.8E-3</v>
      </c>
      <c r="G1216">
        <v>3.9E-2</v>
      </c>
      <c r="H1216" s="1" t="str">
        <f>HYPERLINK("http://www.weizmann.ac.il/complex/compphys/software/geview/data/figures/205203_at.png","Figure")</f>
        <v>Figure</v>
      </c>
      <c r="I1216">
        <v>1.35</v>
      </c>
      <c r="J1216">
        <v>2.3E-3</v>
      </c>
      <c r="K1216">
        <v>1.1000000000000001</v>
      </c>
      <c r="L1216">
        <v>0.31</v>
      </c>
      <c r="M1216">
        <v>0.81100000000000005</v>
      </c>
      <c r="N1216">
        <v>1.9E-2</v>
      </c>
    </row>
    <row r="1217" spans="1:14" x14ac:dyDescent="0.25">
      <c r="A1217" t="s">
        <v>2276</v>
      </c>
      <c r="B1217" t="s">
        <v>2277</v>
      </c>
      <c r="C1217" s="1" t="str">
        <f>HYPERLINK("http://www.genecards.org/cgi-bin/carddisp.pl?gene=MYO1C","GeneCards")</f>
        <v>GeneCards</v>
      </c>
      <c r="D1217" s="1" t="str">
        <f>HYPERLINK("http://genome-euro.ucsc.edu/cgi-bin/hgTracks?position=32811_at","UCSC")</f>
        <v>UCSC</v>
      </c>
      <c r="E1217" s="1" t="str">
        <f>HYPERLINK("http://www.ncbi.nlm.nih.gov/gene/?term=MYO1C","NCBI")</f>
        <v>NCBI</v>
      </c>
      <c r="F1217">
        <v>2.8E-3</v>
      </c>
      <c r="G1217">
        <v>3.9E-2</v>
      </c>
      <c r="H1217" s="1" t="str">
        <f>HYPERLINK("http://www.weizmann.ac.il/complex/compphys/software/geview/data/figures/32811_at.png","Figure")</f>
        <v>Figure</v>
      </c>
      <c r="I1217">
        <v>1.61</v>
      </c>
      <c r="J1217">
        <v>2.3E-3</v>
      </c>
      <c r="K1217">
        <v>1.1599999999999999</v>
      </c>
      <c r="L1217">
        <v>0.3</v>
      </c>
      <c r="M1217">
        <v>0.72199999999999998</v>
      </c>
      <c r="N1217">
        <v>1.9E-2</v>
      </c>
    </row>
    <row r="1218" spans="1:14" x14ac:dyDescent="0.25">
      <c r="A1218" t="s">
        <v>2278</v>
      </c>
      <c r="B1218" t="s">
        <v>2279</v>
      </c>
      <c r="C1218" s="1" t="str">
        <f>HYPERLINK("http://www.genecards.org/cgi-bin/carddisp.pl?gene=IFRD1","GeneCards")</f>
        <v>GeneCards</v>
      </c>
      <c r="D1218" s="1" t="str">
        <f>HYPERLINK("http://genome-euro.ucsc.edu/cgi-bin/hgTracks?position=202146_at","UCSC")</f>
        <v>UCSC</v>
      </c>
      <c r="E1218" s="1" t="str">
        <f>HYPERLINK("http://www.ncbi.nlm.nih.gov/gene/?term=IFRD1","NCBI")</f>
        <v>NCBI</v>
      </c>
      <c r="F1218">
        <v>2.8E-3</v>
      </c>
      <c r="G1218">
        <v>3.9E-2</v>
      </c>
      <c r="H1218" s="1" t="str">
        <f>HYPERLINK("http://www.weizmann.ac.il/complex/compphys/software/geview/data/figures/202146_at.png","Figure")</f>
        <v>Figure</v>
      </c>
      <c r="I1218">
        <v>0.318</v>
      </c>
      <c r="J1218">
        <v>1.2E-2</v>
      </c>
      <c r="K1218">
        <v>0.3</v>
      </c>
      <c r="L1218">
        <v>3.3999999999999998E-3</v>
      </c>
      <c r="M1218">
        <v>0.94299999999999995</v>
      </c>
      <c r="N1218">
        <v>0.98</v>
      </c>
    </row>
    <row r="1219" spans="1:14" x14ac:dyDescent="0.25">
      <c r="A1219" t="s">
        <v>2280</v>
      </c>
      <c r="B1219" t="s">
        <v>2281</v>
      </c>
      <c r="C1219" s="1" t="str">
        <f>HYPERLINK("http://www.genecards.org/cgi-bin/carddisp.pl?gene=EPHB4","GeneCards")</f>
        <v>GeneCards</v>
      </c>
      <c r="D1219" s="1" t="str">
        <f>HYPERLINK("http://genome-euro.ucsc.edu/cgi-bin/hgTracks?position=202894_at","UCSC")</f>
        <v>UCSC</v>
      </c>
      <c r="E1219" s="1" t="str">
        <f>HYPERLINK("http://www.ncbi.nlm.nih.gov/gene/?term=EPHB4","NCBI")</f>
        <v>NCBI</v>
      </c>
      <c r="F1219">
        <v>2.8E-3</v>
      </c>
      <c r="G1219">
        <v>3.9E-2</v>
      </c>
      <c r="H1219" s="1" t="str">
        <f>HYPERLINK("http://www.weizmann.ac.il/complex/compphys/software/geview/data/figures/202894_at.png","Figure")</f>
        <v>Figure</v>
      </c>
      <c r="I1219">
        <v>0.66900000000000004</v>
      </c>
      <c r="J1219">
        <v>4.4000000000000003E-3</v>
      </c>
      <c r="K1219">
        <v>0.72599999999999998</v>
      </c>
      <c r="L1219">
        <v>8.3000000000000001E-3</v>
      </c>
      <c r="M1219">
        <v>1.08</v>
      </c>
      <c r="N1219">
        <v>0.68</v>
      </c>
    </row>
    <row r="1220" spans="1:14" x14ac:dyDescent="0.25">
      <c r="A1220" t="s">
        <v>2282</v>
      </c>
      <c r="B1220" t="s">
        <v>2283</v>
      </c>
      <c r="C1220" s="1" t="str">
        <f>HYPERLINK("http://www.genecards.org/cgi-bin/carddisp.pl?gene=PIGK","GeneCards")</f>
        <v>GeneCards</v>
      </c>
      <c r="D1220" s="1" t="str">
        <f>HYPERLINK("http://genome-euro.ucsc.edu/cgi-bin/hgTracks?position=209707_at","UCSC")</f>
        <v>UCSC</v>
      </c>
      <c r="E1220" s="1" t="str">
        <f>HYPERLINK("http://www.ncbi.nlm.nih.gov/gene/?term=PIGK","NCBI")</f>
        <v>NCBI</v>
      </c>
      <c r="F1220">
        <v>2.8E-3</v>
      </c>
      <c r="G1220">
        <v>3.9E-2</v>
      </c>
      <c r="H1220" s="1" t="str">
        <f>HYPERLINK("http://www.weizmann.ac.il/complex/compphys/software/geview/data/figures/209707_at.png","Figure")</f>
        <v>Figure</v>
      </c>
      <c r="I1220">
        <v>0.55600000000000005</v>
      </c>
      <c r="J1220">
        <v>2.5999999999999999E-3</v>
      </c>
      <c r="K1220">
        <v>0.85799999999999998</v>
      </c>
      <c r="L1220">
        <v>0.44</v>
      </c>
      <c r="M1220">
        <v>1.54</v>
      </c>
      <c r="N1220">
        <v>1.2999999999999999E-2</v>
      </c>
    </row>
    <row r="1221" spans="1:14" x14ac:dyDescent="0.25">
      <c r="A1221" t="s">
        <v>2284</v>
      </c>
      <c r="B1221" t="s">
        <v>1726</v>
      </c>
      <c r="C1221" s="1" t="str">
        <f>HYPERLINK("http://www.genecards.org/cgi-bin/carddisp.pl?gene=AIMP2","GeneCards")</f>
        <v>GeneCards</v>
      </c>
      <c r="D1221" s="1" t="str">
        <f>HYPERLINK("http://genome-euro.ucsc.edu/cgi-bin/hgTracks?position=209971_x_at","UCSC")</f>
        <v>UCSC</v>
      </c>
      <c r="E1221" s="1" t="str">
        <f>HYPERLINK("http://www.ncbi.nlm.nih.gov/gene/?term=AIMP2","NCBI")</f>
        <v>NCBI</v>
      </c>
      <c r="F1221">
        <v>2.8E-3</v>
      </c>
      <c r="G1221">
        <v>3.9E-2</v>
      </c>
      <c r="H1221" s="1" t="str">
        <f>HYPERLINK("http://www.weizmann.ac.il/complex/compphys/software/geview/data/figures/209971_x_at.png","Figure")</f>
        <v>Figure</v>
      </c>
      <c r="I1221">
        <v>1.45</v>
      </c>
      <c r="J1221">
        <v>4.2999999999999997E-2</v>
      </c>
      <c r="K1221">
        <v>1.67</v>
      </c>
      <c r="L1221">
        <v>2.2000000000000001E-3</v>
      </c>
      <c r="M1221">
        <v>1.1499999999999999</v>
      </c>
      <c r="N1221">
        <v>0.52</v>
      </c>
    </row>
    <row r="1222" spans="1:14" x14ac:dyDescent="0.25">
      <c r="A1222" t="s">
        <v>2285</v>
      </c>
      <c r="B1222" t="s">
        <v>2286</v>
      </c>
      <c r="C1222" s="1" t="str">
        <f>HYPERLINK("http://www.genecards.org/cgi-bin/carddisp.pl?gene=PLAUR","GeneCards")</f>
        <v>GeneCards</v>
      </c>
      <c r="D1222" s="1" t="str">
        <f>HYPERLINK("http://genome-euro.ucsc.edu/cgi-bin/hgTracks?position=214866_at","UCSC")</f>
        <v>UCSC</v>
      </c>
      <c r="E1222" s="1" t="str">
        <f>HYPERLINK("http://www.ncbi.nlm.nih.gov/gene/?term=PLAUR","NCBI")</f>
        <v>NCBI</v>
      </c>
      <c r="F1222">
        <v>2.8E-3</v>
      </c>
      <c r="G1222">
        <v>3.9E-2</v>
      </c>
      <c r="H1222" s="1" t="str">
        <f>HYPERLINK("http://www.weizmann.ac.il/complex/compphys/software/geview/data/figures/214866_at.png","Figure")</f>
        <v>Figure</v>
      </c>
      <c r="I1222">
        <v>1.43</v>
      </c>
      <c r="J1222">
        <v>2E-3</v>
      </c>
      <c r="K1222">
        <v>1.18</v>
      </c>
      <c r="L1222">
        <v>9.0999999999999998E-2</v>
      </c>
      <c r="M1222">
        <v>0.82499999999999996</v>
      </c>
      <c r="N1222">
        <v>6.2E-2</v>
      </c>
    </row>
    <row r="1223" spans="1:14" x14ac:dyDescent="0.25">
      <c r="A1223" t="s">
        <v>2287</v>
      </c>
      <c r="B1223" t="s">
        <v>2288</v>
      </c>
      <c r="C1223" s="1" t="str">
        <f>HYPERLINK("http://www.genecards.org/cgi-bin/carddisp.pl?gene=BEX4","GeneCards")</f>
        <v>GeneCards</v>
      </c>
      <c r="D1223" s="1" t="str">
        <f>HYPERLINK("http://genome-euro.ucsc.edu/cgi-bin/hgTracks?position=215440_s_at","UCSC")</f>
        <v>UCSC</v>
      </c>
      <c r="E1223" s="1" t="str">
        <f>HYPERLINK("http://www.ncbi.nlm.nih.gov/gene/?term=BEX4","NCBI")</f>
        <v>NCBI</v>
      </c>
      <c r="F1223">
        <v>2.8E-3</v>
      </c>
      <c r="G1223">
        <v>3.9E-2</v>
      </c>
      <c r="H1223" s="1" t="str">
        <f>HYPERLINK("http://www.weizmann.ac.il/complex/compphys/software/geview/data/figures/215440_s_at.png","Figure")</f>
        <v>Figure</v>
      </c>
      <c r="I1223">
        <v>0.33200000000000002</v>
      </c>
      <c r="J1223">
        <v>5.7000000000000002E-3</v>
      </c>
      <c r="K1223">
        <v>0.38600000000000001</v>
      </c>
      <c r="L1223">
        <v>6.1999999999999998E-3</v>
      </c>
      <c r="M1223">
        <v>1.1599999999999999</v>
      </c>
      <c r="N1223">
        <v>0.84</v>
      </c>
    </row>
    <row r="1224" spans="1:14" x14ac:dyDescent="0.25">
      <c r="A1224" t="s">
        <v>2289</v>
      </c>
      <c r="B1224" t="s">
        <v>2290</v>
      </c>
      <c r="C1224" s="1" t="str">
        <f>HYPERLINK("http://www.genecards.org/cgi-bin/carddisp.pl?gene=HSD17B11","GeneCards")</f>
        <v>GeneCards</v>
      </c>
      <c r="D1224" s="1" t="str">
        <f>HYPERLINK("http://genome-euro.ucsc.edu/cgi-bin/hgTracks?position=217989_at","UCSC")</f>
        <v>UCSC</v>
      </c>
      <c r="E1224" s="1" t="str">
        <f>HYPERLINK("http://www.ncbi.nlm.nih.gov/gene/?term=HSD17B11","NCBI")</f>
        <v>NCBI</v>
      </c>
      <c r="F1224">
        <v>2.8E-3</v>
      </c>
      <c r="G1224">
        <v>3.9E-2</v>
      </c>
      <c r="H1224" s="1" t="str">
        <f>HYPERLINK("http://www.weizmann.ac.il/complex/compphys/software/geview/data/figures/217989_at.png","Figure")</f>
        <v>Figure</v>
      </c>
      <c r="I1224">
        <v>0.42099999999999999</v>
      </c>
      <c r="J1224">
        <v>2.2000000000000001E-3</v>
      </c>
      <c r="K1224">
        <v>0.625</v>
      </c>
      <c r="L1224">
        <v>4.4999999999999998E-2</v>
      </c>
      <c r="M1224">
        <v>1.48</v>
      </c>
      <c r="N1224">
        <v>0.13</v>
      </c>
    </row>
    <row r="1225" spans="1:14" x14ac:dyDescent="0.25">
      <c r="A1225" t="s">
        <v>2291</v>
      </c>
      <c r="B1225" t="s">
        <v>2292</v>
      </c>
      <c r="C1225" s="1" t="str">
        <f>HYPERLINK("http://www.genecards.org/cgi-bin/carddisp.pl?gene=PUS7L","GeneCards")</f>
        <v>GeneCards</v>
      </c>
      <c r="D1225" s="1" t="str">
        <f>HYPERLINK("http://genome-euro.ucsc.edu/cgi-bin/hgTracks?position=221025_x_at","UCSC")</f>
        <v>UCSC</v>
      </c>
      <c r="E1225" s="1" t="str">
        <f>HYPERLINK("http://www.ncbi.nlm.nih.gov/gene/?term=PUS7L","NCBI")</f>
        <v>NCBI</v>
      </c>
      <c r="F1225">
        <v>2.8E-3</v>
      </c>
      <c r="G1225">
        <v>3.9E-2</v>
      </c>
      <c r="H1225" s="1" t="str">
        <f>HYPERLINK("http://www.weizmann.ac.il/complex/compphys/software/geview/data/figures/221025_x_at.png","Figure")</f>
        <v>Figure</v>
      </c>
      <c r="I1225">
        <v>1.21</v>
      </c>
      <c r="J1225">
        <v>3.3000000000000002E-2</v>
      </c>
      <c r="K1225">
        <v>0.92500000000000004</v>
      </c>
      <c r="L1225">
        <v>0.39</v>
      </c>
      <c r="M1225">
        <v>0.76700000000000002</v>
      </c>
      <c r="N1225">
        <v>2.0999999999999999E-3</v>
      </c>
    </row>
    <row r="1226" spans="1:14" x14ac:dyDescent="0.25">
      <c r="A1226" t="s">
        <v>2293</v>
      </c>
      <c r="B1226" t="s">
        <v>625</v>
      </c>
      <c r="C1226" s="1" t="str">
        <f>HYPERLINK("http://www.genecards.org/cgi-bin/carddisp.pl?gene=CALHM2","GeneCards")</f>
        <v>GeneCards</v>
      </c>
      <c r="D1226" s="1" t="str">
        <f>HYPERLINK("http://genome-euro.ucsc.edu/cgi-bin/hgTracks?position=221565_s_at","UCSC")</f>
        <v>UCSC</v>
      </c>
      <c r="E1226" s="1" t="str">
        <f>HYPERLINK("http://www.ncbi.nlm.nih.gov/gene/?term=CALHM2","NCBI")</f>
        <v>NCBI</v>
      </c>
      <c r="F1226">
        <v>2.8E-3</v>
      </c>
      <c r="G1226">
        <v>3.9E-2</v>
      </c>
      <c r="H1226" s="1" t="str">
        <f>HYPERLINK("http://www.weizmann.ac.il/complex/compphys/software/geview/data/figures/221565_s_at.png","Figure")</f>
        <v>Figure</v>
      </c>
      <c r="I1226">
        <v>0.76500000000000001</v>
      </c>
      <c r="J1226">
        <v>3.7999999999999999E-2</v>
      </c>
      <c r="K1226">
        <v>1.1299999999999999</v>
      </c>
      <c r="L1226">
        <v>0.34</v>
      </c>
      <c r="M1226">
        <v>1.48</v>
      </c>
      <c r="N1226">
        <v>2.0999999999999999E-3</v>
      </c>
    </row>
    <row r="1227" spans="1:14" x14ac:dyDescent="0.25">
      <c r="A1227" t="s">
        <v>2294</v>
      </c>
      <c r="B1227" t="s">
        <v>2295</v>
      </c>
      <c r="C1227" s="1" t="str">
        <f>HYPERLINK("http://www.genecards.org/cgi-bin/carddisp.pl?gene=S1PR1","GeneCards")</f>
        <v>GeneCards</v>
      </c>
      <c r="D1227" s="1" t="str">
        <f>HYPERLINK("http://genome-euro.ucsc.edu/cgi-bin/hgTracks?position=204642_at","UCSC")</f>
        <v>UCSC</v>
      </c>
      <c r="E1227" s="1" t="str">
        <f>HYPERLINK("http://www.ncbi.nlm.nih.gov/gene/?term=S1PR1","NCBI")</f>
        <v>NCBI</v>
      </c>
      <c r="F1227">
        <v>2.8E-3</v>
      </c>
      <c r="G1227">
        <v>3.9E-2</v>
      </c>
      <c r="H1227" s="1" t="str">
        <f>HYPERLINK("http://www.weizmann.ac.il/complex/compphys/software/geview/data/figures/204642_at.png","Figure")</f>
        <v>Figure</v>
      </c>
      <c r="I1227">
        <v>1.07</v>
      </c>
      <c r="J1227">
        <v>0.87</v>
      </c>
      <c r="K1227">
        <v>0.68200000000000005</v>
      </c>
      <c r="L1227">
        <v>1.0999999999999999E-2</v>
      </c>
      <c r="M1227">
        <v>0.64</v>
      </c>
      <c r="N1227">
        <v>5.8999999999999999E-3</v>
      </c>
    </row>
    <row r="1228" spans="1:14" x14ac:dyDescent="0.25">
      <c r="A1228" t="s">
        <v>2296</v>
      </c>
      <c r="B1228" t="s">
        <v>2297</v>
      </c>
      <c r="C1228" s="1" t="str">
        <f>HYPERLINK("http://www.genecards.org/cgi-bin/carddisp.pl?gene=NCBP2","GeneCards")</f>
        <v>GeneCards</v>
      </c>
      <c r="D1228" s="1" t="str">
        <f>HYPERLINK("http://genome-euro.ucsc.edu/cgi-bin/hgTracks?position=201521_s_at","UCSC")</f>
        <v>UCSC</v>
      </c>
      <c r="E1228" s="1" t="str">
        <f>HYPERLINK("http://www.ncbi.nlm.nih.gov/gene/?term=NCBP2","NCBI")</f>
        <v>NCBI</v>
      </c>
      <c r="F1228">
        <v>2.8999999999999998E-3</v>
      </c>
      <c r="G1228">
        <v>0.04</v>
      </c>
      <c r="H1228" s="1" t="str">
        <f>HYPERLINK("http://www.weizmann.ac.il/complex/compphys/software/geview/data/figures/201521_s_at.png","Figure")</f>
        <v>Figure</v>
      </c>
      <c r="I1228">
        <v>1.48</v>
      </c>
      <c r="J1228">
        <v>1.0999999999999999E-2</v>
      </c>
      <c r="K1228">
        <v>1.49</v>
      </c>
      <c r="L1228">
        <v>3.5999999999999999E-3</v>
      </c>
      <c r="M1228">
        <v>1.01</v>
      </c>
      <c r="N1228">
        <v>0.99</v>
      </c>
    </row>
    <row r="1229" spans="1:14" x14ac:dyDescent="0.25">
      <c r="A1229" t="s">
        <v>2298</v>
      </c>
      <c r="B1229" t="s">
        <v>259</v>
      </c>
      <c r="C1229" s="1" t="str">
        <f>HYPERLINK("http://www.genecards.org/cgi-bin/carddisp.pl?gene=TMX1","GeneCards")</f>
        <v>GeneCards</v>
      </c>
      <c r="D1229" s="1" t="str">
        <f>HYPERLINK("http://genome-euro.ucsc.edu/cgi-bin/hgTracks?position=208097_s_at","UCSC")</f>
        <v>UCSC</v>
      </c>
      <c r="E1229" s="1" t="str">
        <f>HYPERLINK("http://www.ncbi.nlm.nih.gov/gene/?term=TMX1","NCBI")</f>
        <v>NCBI</v>
      </c>
      <c r="F1229">
        <v>2.8999999999999998E-3</v>
      </c>
      <c r="G1229">
        <v>0.04</v>
      </c>
      <c r="H1229" s="1" t="str">
        <f>HYPERLINK("http://www.weizmann.ac.il/complex/compphys/software/geview/data/figures/208097_s_at.png","Figure")</f>
        <v>Figure</v>
      </c>
      <c r="I1229">
        <v>0.56200000000000006</v>
      </c>
      <c r="J1229">
        <v>8.9999999999999993E-3</v>
      </c>
      <c r="K1229">
        <v>1.05</v>
      </c>
      <c r="L1229">
        <v>0.94</v>
      </c>
      <c r="M1229">
        <v>1.87</v>
      </c>
      <c r="N1229">
        <v>3.0999999999999999E-3</v>
      </c>
    </row>
    <row r="1230" spans="1:14" x14ac:dyDescent="0.25">
      <c r="A1230" t="s">
        <v>2299</v>
      </c>
      <c r="B1230" t="s">
        <v>2300</v>
      </c>
      <c r="C1230" s="1" t="str">
        <f>HYPERLINK("http://www.genecards.org/cgi-bin/carddisp.pl?gene=SPON1","GeneCards")</f>
        <v>GeneCards</v>
      </c>
      <c r="D1230" s="1" t="str">
        <f>HYPERLINK("http://genome-euro.ucsc.edu/cgi-bin/hgTracks?position=209436_at","UCSC")</f>
        <v>UCSC</v>
      </c>
      <c r="E1230" s="1" t="str">
        <f>HYPERLINK("http://www.ncbi.nlm.nih.gov/gene/?term=SPON1","NCBI")</f>
        <v>NCBI</v>
      </c>
      <c r="F1230">
        <v>2.8999999999999998E-3</v>
      </c>
      <c r="G1230">
        <v>0.04</v>
      </c>
      <c r="H1230" s="1" t="str">
        <f>HYPERLINK("http://www.weizmann.ac.il/complex/compphys/software/geview/data/figures/209436_at.png","Figure")</f>
        <v>Figure</v>
      </c>
      <c r="I1230">
        <v>1.35</v>
      </c>
      <c r="J1230">
        <v>0.37</v>
      </c>
      <c r="K1230">
        <v>0.58799999999999997</v>
      </c>
      <c r="L1230">
        <v>3.5000000000000003E-2</v>
      </c>
      <c r="M1230">
        <v>0.437</v>
      </c>
      <c r="N1230">
        <v>3.0999999999999999E-3</v>
      </c>
    </row>
    <row r="1231" spans="1:14" x14ac:dyDescent="0.25">
      <c r="A1231" t="s">
        <v>2301</v>
      </c>
      <c r="B1231" t="s">
        <v>2302</v>
      </c>
      <c r="C1231" s="1" t="str">
        <f>HYPERLINK("http://www.genecards.org/cgi-bin/carddisp.pl?gene=HADH","GeneCards")</f>
        <v>GeneCards</v>
      </c>
      <c r="D1231" s="1" t="str">
        <f>HYPERLINK("http://genome-euro.ucsc.edu/cgi-bin/hgTracks?position=211569_s_at","UCSC")</f>
        <v>UCSC</v>
      </c>
      <c r="E1231" s="1" t="str">
        <f>HYPERLINK("http://www.ncbi.nlm.nih.gov/gene/?term=HADH","NCBI")</f>
        <v>NCBI</v>
      </c>
      <c r="F1231">
        <v>2.8999999999999998E-3</v>
      </c>
      <c r="G1231">
        <v>0.04</v>
      </c>
      <c r="H1231" s="1" t="str">
        <f>HYPERLINK("http://www.weizmann.ac.il/complex/compphys/software/geview/data/figures/211569_s_at.png","Figure")</f>
        <v>Figure</v>
      </c>
      <c r="I1231">
        <v>0.70299999999999996</v>
      </c>
      <c r="J1231">
        <v>6.0999999999999999E-2</v>
      </c>
      <c r="K1231">
        <v>1.24</v>
      </c>
      <c r="L1231">
        <v>0.22</v>
      </c>
      <c r="M1231">
        <v>1.76</v>
      </c>
      <c r="N1231">
        <v>2.0999999999999999E-3</v>
      </c>
    </row>
    <row r="1232" spans="1:14" x14ac:dyDescent="0.25">
      <c r="A1232" t="s">
        <v>2303</v>
      </c>
      <c r="B1232" t="s">
        <v>2087</v>
      </c>
      <c r="C1232" s="1" t="str">
        <f>HYPERLINK("http://www.genecards.org/cgi-bin/carddisp.pl?gene=TPT1","GeneCards")</f>
        <v>GeneCards</v>
      </c>
      <c r="D1232" s="1" t="str">
        <f>HYPERLINK("http://genome-euro.ucsc.edu/cgi-bin/hgTracks?position=211943_x_at","UCSC")</f>
        <v>UCSC</v>
      </c>
      <c r="E1232" s="1" t="str">
        <f>HYPERLINK("http://www.ncbi.nlm.nih.gov/gene/?term=TPT1","NCBI")</f>
        <v>NCBI</v>
      </c>
      <c r="F1232">
        <v>2.8999999999999998E-3</v>
      </c>
      <c r="G1232">
        <v>0.04</v>
      </c>
      <c r="H1232" s="1" t="str">
        <f>HYPERLINK("http://www.weizmann.ac.il/complex/compphys/software/geview/data/figures/211943_x_at.png","Figure")</f>
        <v>Figure</v>
      </c>
      <c r="I1232">
        <v>0.82899999999999996</v>
      </c>
      <c r="J1232">
        <v>0.12</v>
      </c>
      <c r="K1232">
        <v>0.71799999999999997</v>
      </c>
      <c r="L1232">
        <v>2.0999999999999999E-3</v>
      </c>
      <c r="M1232">
        <v>0.86599999999999999</v>
      </c>
      <c r="N1232">
        <v>0.22</v>
      </c>
    </row>
    <row r="1233" spans="1:14" x14ac:dyDescent="0.25">
      <c r="A1233" t="s">
        <v>2304</v>
      </c>
      <c r="B1233" t="s">
        <v>1269</v>
      </c>
      <c r="C1233" s="1" t="str">
        <f>HYPERLINK("http://www.genecards.org/cgi-bin/carddisp.pl?gene=HSP90AA1","GeneCards")</f>
        <v>GeneCards</v>
      </c>
      <c r="D1233" s="1" t="str">
        <f>HYPERLINK("http://genome-euro.ucsc.edu/cgi-bin/hgTracks?position=211969_at","UCSC")</f>
        <v>UCSC</v>
      </c>
      <c r="E1233" s="1" t="str">
        <f>HYPERLINK("http://www.ncbi.nlm.nih.gov/gene/?term=HSP90AA1","NCBI")</f>
        <v>NCBI</v>
      </c>
      <c r="F1233">
        <v>2.8999999999999998E-3</v>
      </c>
      <c r="G1233">
        <v>0.04</v>
      </c>
      <c r="H1233" s="1" t="str">
        <f>HYPERLINK("http://www.weizmann.ac.il/complex/compphys/software/geview/data/figures/211969_at.png","Figure")</f>
        <v>Figure</v>
      </c>
      <c r="I1233">
        <v>1.04</v>
      </c>
      <c r="J1233">
        <v>0.93</v>
      </c>
      <c r="K1233">
        <v>1.47</v>
      </c>
      <c r="L1233">
        <v>4.5999999999999999E-3</v>
      </c>
      <c r="M1233">
        <v>1.41</v>
      </c>
      <c r="N1233">
        <v>1.6E-2</v>
      </c>
    </row>
    <row r="1234" spans="1:14" x14ac:dyDescent="0.25">
      <c r="A1234" t="s">
        <v>2305</v>
      </c>
      <c r="B1234" t="s">
        <v>2306</v>
      </c>
      <c r="C1234" s="1" t="str">
        <f>HYPERLINK("http://www.genecards.org/cgi-bin/carddisp.pl?gene=AP2A2","GeneCards")</f>
        <v>GeneCards</v>
      </c>
      <c r="D1234" s="1" t="str">
        <f>HYPERLINK("http://genome-euro.ucsc.edu/cgi-bin/hgTracks?position=212159_x_at","UCSC")</f>
        <v>UCSC</v>
      </c>
      <c r="E1234" s="1" t="str">
        <f>HYPERLINK("http://www.ncbi.nlm.nih.gov/gene/?term=AP2A2","NCBI")</f>
        <v>NCBI</v>
      </c>
      <c r="F1234">
        <v>2.8999999999999998E-3</v>
      </c>
      <c r="G1234">
        <v>0.04</v>
      </c>
      <c r="H1234" s="1" t="str">
        <f>HYPERLINK("http://www.weizmann.ac.il/complex/compphys/software/geview/data/figures/212159_x_at.png","Figure")</f>
        <v>Figure</v>
      </c>
      <c r="I1234">
        <v>1.38</v>
      </c>
      <c r="J1234">
        <v>0.11</v>
      </c>
      <c r="K1234">
        <v>1.77</v>
      </c>
      <c r="L1234">
        <v>2.0999999999999999E-3</v>
      </c>
      <c r="M1234">
        <v>1.28</v>
      </c>
      <c r="N1234">
        <v>0.22</v>
      </c>
    </row>
    <row r="1235" spans="1:14" x14ac:dyDescent="0.25">
      <c r="A1235" t="s">
        <v>2307</v>
      </c>
      <c r="B1235" t="s">
        <v>1776</v>
      </c>
      <c r="C1235" s="1" t="str">
        <f>HYPERLINK("http://www.genecards.org/cgi-bin/carddisp.pl?gene=DDX3X","GeneCards")</f>
        <v>GeneCards</v>
      </c>
      <c r="D1235" s="1" t="str">
        <f>HYPERLINK("http://genome-euro.ucsc.edu/cgi-bin/hgTracks?position=212514_x_at","UCSC")</f>
        <v>UCSC</v>
      </c>
      <c r="E1235" s="1" t="str">
        <f>HYPERLINK("http://www.ncbi.nlm.nih.gov/gene/?term=DDX3X","NCBI")</f>
        <v>NCBI</v>
      </c>
      <c r="F1235">
        <v>2.8999999999999998E-3</v>
      </c>
      <c r="G1235">
        <v>0.04</v>
      </c>
      <c r="H1235" s="1" t="str">
        <f>HYPERLINK("http://www.weizmann.ac.il/complex/compphys/software/geview/data/figures/212514_x_at.png","Figure")</f>
        <v>Figure</v>
      </c>
      <c r="I1235">
        <v>0.6</v>
      </c>
      <c r="J1235">
        <v>7.1999999999999998E-3</v>
      </c>
      <c r="K1235">
        <v>0.626</v>
      </c>
      <c r="L1235">
        <v>5.0000000000000001E-3</v>
      </c>
      <c r="M1235">
        <v>1.04</v>
      </c>
      <c r="N1235">
        <v>0.94</v>
      </c>
    </row>
    <row r="1236" spans="1:14" x14ac:dyDescent="0.25">
      <c r="A1236" t="s">
        <v>2308</v>
      </c>
      <c r="B1236" t="s">
        <v>2309</v>
      </c>
      <c r="C1236" s="1" t="str">
        <f>HYPERLINK("http://www.genecards.org/cgi-bin/carddisp.pl?gene=KIAA1109","GeneCards")</f>
        <v>GeneCards</v>
      </c>
      <c r="D1236" s="1" t="str">
        <f>HYPERLINK("http://genome-euro.ucsc.edu/cgi-bin/hgTracks?position=212779_at","UCSC")</f>
        <v>UCSC</v>
      </c>
      <c r="E1236" s="1" t="str">
        <f>HYPERLINK("http://www.ncbi.nlm.nih.gov/gene/?term=KIAA1109","NCBI")</f>
        <v>NCBI</v>
      </c>
      <c r="F1236">
        <v>2.8999999999999998E-3</v>
      </c>
      <c r="G1236">
        <v>0.04</v>
      </c>
      <c r="H1236" s="1" t="str">
        <f>HYPERLINK("http://www.weizmann.ac.il/complex/compphys/software/geview/data/figures/212779_at.png","Figure")</f>
        <v>Figure</v>
      </c>
      <c r="I1236">
        <v>0.29899999999999999</v>
      </c>
      <c r="J1236">
        <v>2.0999999999999999E-3</v>
      </c>
      <c r="K1236">
        <v>0.59</v>
      </c>
      <c r="L1236">
        <v>0.11</v>
      </c>
      <c r="M1236">
        <v>1.97</v>
      </c>
      <c r="N1236">
        <v>5.1999999999999998E-2</v>
      </c>
    </row>
    <row r="1237" spans="1:14" x14ac:dyDescent="0.25">
      <c r="A1237" t="s">
        <v>2310</v>
      </c>
      <c r="B1237" t="s">
        <v>2311</v>
      </c>
      <c r="C1237" s="1" t="str">
        <f>HYPERLINK("http://www.genecards.org/cgi-bin/carddisp.pl?gene=MAPKBP1","GeneCards")</f>
        <v>GeneCards</v>
      </c>
      <c r="D1237" s="1" t="str">
        <f>HYPERLINK("http://genome-euro.ucsc.edu/cgi-bin/hgTracks?position=213394_at","UCSC")</f>
        <v>UCSC</v>
      </c>
      <c r="E1237" s="1" t="str">
        <f>HYPERLINK("http://www.ncbi.nlm.nih.gov/gene/?term=MAPKBP1","NCBI")</f>
        <v>NCBI</v>
      </c>
      <c r="F1237">
        <v>2.8999999999999998E-3</v>
      </c>
      <c r="G1237">
        <v>0.04</v>
      </c>
      <c r="H1237" s="1" t="str">
        <f>HYPERLINK("http://www.weizmann.ac.il/complex/compphys/software/geview/data/figures/213394_at.png","Figure")</f>
        <v>Figure</v>
      </c>
      <c r="I1237">
        <v>2.11</v>
      </c>
      <c r="J1237">
        <v>1.0999999999999999E-2</v>
      </c>
      <c r="K1237">
        <v>2.16</v>
      </c>
      <c r="L1237">
        <v>3.5999999999999999E-3</v>
      </c>
      <c r="M1237">
        <v>1.02</v>
      </c>
      <c r="N1237">
        <v>0.99</v>
      </c>
    </row>
    <row r="1238" spans="1:14" x14ac:dyDescent="0.25">
      <c r="A1238" t="s">
        <v>2312</v>
      </c>
      <c r="B1238" t="s">
        <v>2313</v>
      </c>
      <c r="C1238" s="1" t="str">
        <f>HYPERLINK("http://www.genecards.org/cgi-bin/carddisp.pl?gene=LOC729222 /// PPFIBP1","GeneCards")</f>
        <v>GeneCards</v>
      </c>
      <c r="D1238" s="1" t="str">
        <f>HYPERLINK("http://genome-euro.ucsc.edu/cgi-bin/hgTracks?position=214375_at","UCSC")</f>
        <v>UCSC</v>
      </c>
      <c r="E1238" s="1" t="str">
        <f>HYPERLINK("http://www.ncbi.nlm.nih.gov/gene/?term=LOC729222 /// PPFIBP1","NCBI")</f>
        <v>NCBI</v>
      </c>
      <c r="F1238">
        <v>2.8999999999999998E-3</v>
      </c>
      <c r="G1238">
        <v>0.04</v>
      </c>
      <c r="H1238" s="1" t="str">
        <f>HYPERLINK("http://www.weizmann.ac.il/complex/compphys/software/geview/data/figures/214375_at.png","Figure")</f>
        <v>Figure</v>
      </c>
      <c r="I1238">
        <v>3.39</v>
      </c>
      <c r="J1238">
        <v>1.0999999999999999E-2</v>
      </c>
      <c r="K1238">
        <v>3.45</v>
      </c>
      <c r="L1238">
        <v>3.8E-3</v>
      </c>
      <c r="M1238">
        <v>1.02</v>
      </c>
      <c r="N1238">
        <v>1</v>
      </c>
    </row>
    <row r="1239" spans="1:14" x14ac:dyDescent="0.25">
      <c r="A1239" t="s">
        <v>2314</v>
      </c>
      <c r="B1239" t="s">
        <v>2315</v>
      </c>
      <c r="C1239" s="1" t="str">
        <f>HYPERLINK("http://www.genecards.org/cgi-bin/carddisp.pl?gene=CUTC","GeneCards")</f>
        <v>GeneCards</v>
      </c>
      <c r="D1239" s="1" t="str">
        <f>HYPERLINK("http://genome-euro.ucsc.edu/cgi-bin/hgTracks?position=218970_s_at","UCSC")</f>
        <v>UCSC</v>
      </c>
      <c r="E1239" s="1" t="str">
        <f>HYPERLINK("http://www.ncbi.nlm.nih.gov/gene/?term=CUTC","NCBI")</f>
        <v>NCBI</v>
      </c>
      <c r="F1239">
        <v>2.8999999999999998E-3</v>
      </c>
      <c r="G1239">
        <v>0.04</v>
      </c>
      <c r="H1239" s="1" t="str">
        <f>HYPERLINK("http://www.weizmann.ac.il/complex/compphys/software/geview/data/figures/218970_s_at.png","Figure")</f>
        <v>Figure</v>
      </c>
      <c r="I1239">
        <v>0.71499999999999997</v>
      </c>
      <c r="J1239">
        <v>8.6999999999999994E-2</v>
      </c>
      <c r="K1239">
        <v>1.28</v>
      </c>
      <c r="L1239">
        <v>0.16</v>
      </c>
      <c r="M1239">
        <v>1.79</v>
      </c>
      <c r="N1239">
        <v>2.0999999999999999E-3</v>
      </c>
    </row>
    <row r="1240" spans="1:14" x14ac:dyDescent="0.25">
      <c r="A1240" t="s">
        <v>2316</v>
      </c>
      <c r="B1240" t="s">
        <v>2317</v>
      </c>
      <c r="C1240" s="1" t="str">
        <f>HYPERLINK("http://www.genecards.org/cgi-bin/carddisp.pl?gene=PRKCI","GeneCards")</f>
        <v>GeneCards</v>
      </c>
      <c r="D1240" s="1" t="str">
        <f>HYPERLINK("http://genome-euro.ucsc.edu/cgi-bin/hgTracks?position=213518_at","UCSC")</f>
        <v>UCSC</v>
      </c>
      <c r="E1240" s="1" t="str">
        <f>HYPERLINK("http://www.ncbi.nlm.nih.gov/gene/?term=PRKCI","NCBI")</f>
        <v>NCBI</v>
      </c>
      <c r="F1240">
        <v>2.8999999999999998E-3</v>
      </c>
      <c r="G1240">
        <v>0.04</v>
      </c>
      <c r="H1240" s="1" t="str">
        <f>HYPERLINK("http://www.weizmann.ac.il/complex/compphys/software/geview/data/figures/213518_at.png","Figure")</f>
        <v>Figure</v>
      </c>
      <c r="I1240">
        <v>0.54800000000000004</v>
      </c>
      <c r="J1240">
        <v>3.3E-3</v>
      </c>
      <c r="K1240">
        <v>0.89900000000000002</v>
      </c>
      <c r="L1240">
        <v>0.69</v>
      </c>
      <c r="M1240">
        <v>1.64</v>
      </c>
      <c r="N1240">
        <v>8.2000000000000007E-3</v>
      </c>
    </row>
    <row r="1241" spans="1:14" x14ac:dyDescent="0.25">
      <c r="A1241" t="s">
        <v>2318</v>
      </c>
      <c r="B1241" t="s">
        <v>2319</v>
      </c>
      <c r="C1241" s="1" t="str">
        <f>HYPERLINK("http://www.genecards.org/cgi-bin/carddisp.pl?gene=SPIB","GeneCards")</f>
        <v>GeneCards</v>
      </c>
      <c r="D1241" s="1" t="str">
        <f>HYPERLINK("http://genome-euro.ucsc.edu/cgi-bin/hgTracks?position=205861_at","UCSC")</f>
        <v>UCSC</v>
      </c>
      <c r="E1241" s="1" t="str">
        <f>HYPERLINK("http://www.ncbi.nlm.nih.gov/gene/?term=SPIB","NCBI")</f>
        <v>NCBI</v>
      </c>
      <c r="F1241">
        <v>2.8999999999999998E-3</v>
      </c>
      <c r="G1241">
        <v>0.04</v>
      </c>
      <c r="H1241" s="1" t="str">
        <f>HYPERLINK("http://www.weizmann.ac.il/complex/compphys/software/geview/data/figures/205861_at.png","Figure")</f>
        <v>Figure</v>
      </c>
      <c r="I1241">
        <v>0.72399999999999998</v>
      </c>
      <c r="J1241">
        <v>0.18</v>
      </c>
      <c r="K1241">
        <v>1.44</v>
      </c>
      <c r="L1241">
        <v>7.3999999999999996E-2</v>
      </c>
      <c r="M1241">
        <v>1.98</v>
      </c>
      <c r="N1241">
        <v>2.3999999999999998E-3</v>
      </c>
    </row>
    <row r="1242" spans="1:14" x14ac:dyDescent="0.25">
      <c r="A1242" t="s">
        <v>2320</v>
      </c>
      <c r="B1242" t="s">
        <v>1471</v>
      </c>
      <c r="C1242" s="1" t="str">
        <f>HYPERLINK("http://www.genecards.org/cgi-bin/carddisp.pl?gene=ARID4B","GeneCards")</f>
        <v>GeneCards</v>
      </c>
      <c r="D1242" s="1" t="str">
        <f>HYPERLINK("http://genome-euro.ucsc.edu/cgi-bin/hgTracks?position=221230_s_at","UCSC")</f>
        <v>UCSC</v>
      </c>
      <c r="E1242" s="1" t="str">
        <f>HYPERLINK("http://www.ncbi.nlm.nih.gov/gene/?term=ARID4B","NCBI")</f>
        <v>NCBI</v>
      </c>
      <c r="F1242">
        <v>2.8999999999999998E-3</v>
      </c>
      <c r="G1242">
        <v>0.04</v>
      </c>
      <c r="H1242" s="1" t="str">
        <f>HYPERLINK("http://www.weizmann.ac.il/complex/compphys/software/geview/data/figures/221230_s_at.png","Figure")</f>
        <v>Figure</v>
      </c>
      <c r="I1242">
        <v>1.55</v>
      </c>
      <c r="J1242">
        <v>2.3E-2</v>
      </c>
      <c r="K1242">
        <v>0.871</v>
      </c>
      <c r="L1242">
        <v>0.53</v>
      </c>
      <c r="M1242">
        <v>0.56299999999999994</v>
      </c>
      <c r="N1242">
        <v>2.3E-3</v>
      </c>
    </row>
    <row r="1243" spans="1:14" x14ac:dyDescent="0.25">
      <c r="A1243" t="s">
        <v>2321</v>
      </c>
      <c r="B1243" t="s">
        <v>2322</v>
      </c>
      <c r="C1243" s="1" t="str">
        <f>HYPERLINK("http://www.genecards.org/cgi-bin/carddisp.pl?gene=PAM","GeneCards")</f>
        <v>GeneCards</v>
      </c>
      <c r="D1243" s="1" t="str">
        <f>HYPERLINK("http://genome-euro.ucsc.edu/cgi-bin/hgTracks?position=202336_s_at","UCSC")</f>
        <v>UCSC</v>
      </c>
      <c r="E1243" s="1" t="str">
        <f>HYPERLINK("http://www.ncbi.nlm.nih.gov/gene/?term=PAM","NCBI")</f>
        <v>NCBI</v>
      </c>
      <c r="F1243">
        <v>2.8999999999999998E-3</v>
      </c>
      <c r="G1243">
        <v>0.04</v>
      </c>
      <c r="H1243" s="1" t="str">
        <f>HYPERLINK("http://www.weizmann.ac.il/complex/compphys/software/geview/data/figures/202336_s_at.png","Figure")</f>
        <v>Figure</v>
      </c>
      <c r="I1243">
        <v>1.08</v>
      </c>
      <c r="J1243">
        <v>0.94</v>
      </c>
      <c r="K1243">
        <v>0.46600000000000003</v>
      </c>
      <c r="L1243">
        <v>8.9999999999999993E-3</v>
      </c>
      <c r="M1243">
        <v>0.43</v>
      </c>
      <c r="N1243">
        <v>7.3000000000000001E-3</v>
      </c>
    </row>
    <row r="1244" spans="1:14" x14ac:dyDescent="0.25">
      <c r="A1244" t="s">
        <v>2323</v>
      </c>
      <c r="B1244" t="s">
        <v>2324</v>
      </c>
      <c r="C1244" s="1" t="str">
        <f>HYPERLINK("http://www.genecards.org/cgi-bin/carddisp.pl?gene=STAT3","GeneCards")</f>
        <v>GeneCards</v>
      </c>
      <c r="D1244" s="1" t="str">
        <f>HYPERLINK("http://genome-euro.ucsc.edu/cgi-bin/hgTracks?position=208991_at","UCSC")</f>
        <v>UCSC</v>
      </c>
      <c r="E1244" s="1" t="str">
        <f>HYPERLINK("http://www.ncbi.nlm.nih.gov/gene/?term=STAT3","NCBI")</f>
        <v>NCBI</v>
      </c>
      <c r="F1244">
        <v>2.8999999999999998E-3</v>
      </c>
      <c r="G1244">
        <v>0.04</v>
      </c>
      <c r="H1244" s="1" t="str">
        <f>HYPERLINK("http://www.weizmann.ac.il/complex/compphys/software/geview/data/figures/208991_at.png","Figure")</f>
        <v>Figure</v>
      </c>
      <c r="I1244">
        <v>0.58199999999999996</v>
      </c>
      <c r="J1244">
        <v>6.8999999999999999E-3</v>
      </c>
      <c r="K1244">
        <v>0.61299999999999999</v>
      </c>
      <c r="L1244">
        <v>5.4000000000000003E-3</v>
      </c>
      <c r="M1244">
        <v>1.05</v>
      </c>
      <c r="N1244">
        <v>0.93</v>
      </c>
    </row>
    <row r="1245" spans="1:14" x14ac:dyDescent="0.25">
      <c r="A1245" t="s">
        <v>2325</v>
      </c>
      <c r="B1245" t="s">
        <v>2326</v>
      </c>
      <c r="C1245" s="1" t="str">
        <f>HYPERLINK("http://www.genecards.org/cgi-bin/carddisp.pl?gene=PCDHGA1 /// PCDHGA10 /// PCDHGA11 /// PCDHGA12 /// PCDHGA2 /// PCDHGA3 /// PCDHGA4 /// PCDHGA5 /// P","GeneCards")</f>
        <v>GeneCards</v>
      </c>
      <c r="D1245" s="1" t="str">
        <f>HYPERLINK("http://genome-euro.ucsc.edu/cgi-bin/hgTracks?position=211066_x_at","UCSC")</f>
        <v>UCSC</v>
      </c>
      <c r="E1245" s="1" t="str">
        <f>HYPERLINK("http://www.ncbi.nlm.nih.gov/gene/?term=PCDHGA1 /// PCDHGA10 /// PCDHGA11 /// PCDHGA12 /// PCDHGA2 /// PCDHGA3 /// PCDHGA4 /// PCDHGA5 /// P","NCBI")</f>
        <v>NCBI</v>
      </c>
      <c r="F1245">
        <v>2.8999999999999998E-3</v>
      </c>
      <c r="G1245">
        <v>0.04</v>
      </c>
      <c r="H1245" s="1" t="str">
        <f>HYPERLINK("http://www.weizmann.ac.il/complex/compphys/software/geview/data/figures/211066_x_at.png","Figure")</f>
        <v>Figure</v>
      </c>
      <c r="I1245">
        <v>0.33300000000000002</v>
      </c>
      <c r="J1245">
        <v>2.0999999999999999E-3</v>
      </c>
      <c r="K1245">
        <v>0.61099999999999999</v>
      </c>
      <c r="L1245">
        <v>0.1</v>
      </c>
      <c r="M1245">
        <v>1.83</v>
      </c>
      <c r="N1245">
        <v>5.7000000000000002E-2</v>
      </c>
    </row>
    <row r="1246" spans="1:14" x14ac:dyDescent="0.25">
      <c r="A1246" t="s">
        <v>2327</v>
      </c>
      <c r="B1246" t="s">
        <v>2328</v>
      </c>
      <c r="C1246" s="1" t="str">
        <f>HYPERLINK("http://www.genecards.org/cgi-bin/carddisp.pl?gene=INTS3","GeneCards")</f>
        <v>GeneCards</v>
      </c>
      <c r="D1246" s="1" t="str">
        <f>HYPERLINK("http://genome-euro.ucsc.edu/cgi-bin/hgTracks?position=211132_at","UCSC")</f>
        <v>UCSC</v>
      </c>
      <c r="E1246" s="1" t="str">
        <f>HYPERLINK("http://www.ncbi.nlm.nih.gov/gene/?term=INTS3","NCBI")</f>
        <v>NCBI</v>
      </c>
      <c r="F1246">
        <v>2.8999999999999998E-3</v>
      </c>
      <c r="G1246">
        <v>0.04</v>
      </c>
      <c r="H1246" s="1" t="str">
        <f>HYPERLINK("http://www.weizmann.ac.il/complex/compphys/software/geview/data/figures/211132_at.png","Figure")</f>
        <v>Figure</v>
      </c>
      <c r="I1246">
        <v>1.1399999999999999</v>
      </c>
      <c r="J1246">
        <v>5.6000000000000001E-2</v>
      </c>
      <c r="K1246">
        <v>0.92600000000000005</v>
      </c>
      <c r="L1246">
        <v>0.24</v>
      </c>
      <c r="M1246">
        <v>0.81100000000000005</v>
      </c>
      <c r="N1246">
        <v>2.0999999999999999E-3</v>
      </c>
    </row>
    <row r="1247" spans="1:14" x14ac:dyDescent="0.25">
      <c r="A1247" t="s">
        <v>2329</v>
      </c>
      <c r="B1247" t="s">
        <v>781</v>
      </c>
      <c r="C1247" s="1" t="str">
        <f>HYPERLINK("http://www.genecards.org/cgi-bin/carddisp.pl?gene=GARNL1","GeneCards")</f>
        <v>GeneCards</v>
      </c>
      <c r="D1247" s="1" t="str">
        <f>HYPERLINK("http://genome-euro.ucsc.edu/cgi-bin/hgTracks?position=213049_at","UCSC")</f>
        <v>UCSC</v>
      </c>
      <c r="E1247" s="1" t="str">
        <f>HYPERLINK("http://www.ncbi.nlm.nih.gov/gene/?term=GARNL1","NCBI")</f>
        <v>NCBI</v>
      </c>
      <c r="F1247">
        <v>2.8999999999999998E-3</v>
      </c>
      <c r="G1247">
        <v>0.04</v>
      </c>
      <c r="H1247" s="1" t="str">
        <f>HYPERLINK("http://www.weizmann.ac.il/complex/compphys/software/geview/data/figures/213049_at.png","Figure")</f>
        <v>Figure</v>
      </c>
      <c r="I1247">
        <v>0.38</v>
      </c>
      <c r="J1247">
        <v>3.0999999999999999E-3</v>
      </c>
      <c r="K1247">
        <v>0.82399999999999995</v>
      </c>
      <c r="L1247">
        <v>0.62</v>
      </c>
      <c r="M1247">
        <v>2.17</v>
      </c>
      <c r="N1247">
        <v>9.4000000000000004E-3</v>
      </c>
    </row>
    <row r="1248" spans="1:14" x14ac:dyDescent="0.25">
      <c r="A1248" t="s">
        <v>2330</v>
      </c>
      <c r="B1248" t="s">
        <v>2331</v>
      </c>
      <c r="C1248" s="1" t="str">
        <f>HYPERLINK("http://www.genecards.org/cgi-bin/carddisp.pl?gene=LOC201229","GeneCards")</f>
        <v>GeneCards</v>
      </c>
      <c r="D1248" s="1" t="str">
        <f>HYPERLINK("http://genome-euro.ucsc.edu/cgi-bin/hgTracks?position=213195_at","UCSC")</f>
        <v>UCSC</v>
      </c>
      <c r="E1248" s="1" t="str">
        <f>HYPERLINK("http://www.ncbi.nlm.nih.gov/gene/?term=LOC201229","NCBI")</f>
        <v>NCBI</v>
      </c>
      <c r="F1248">
        <v>2.8999999999999998E-3</v>
      </c>
      <c r="G1248">
        <v>0.04</v>
      </c>
      <c r="H1248" s="1" t="str">
        <f>HYPERLINK("http://www.weizmann.ac.il/complex/compphys/software/geview/data/figures/213195_at.png","Figure")</f>
        <v>Figure</v>
      </c>
      <c r="I1248">
        <v>0.747</v>
      </c>
      <c r="J1248">
        <v>2.2000000000000001E-3</v>
      </c>
      <c r="K1248">
        <v>0.86399999999999999</v>
      </c>
      <c r="L1248">
        <v>6.5000000000000002E-2</v>
      </c>
      <c r="M1248">
        <v>1.1599999999999999</v>
      </c>
      <c r="N1248">
        <v>8.8999999999999996E-2</v>
      </c>
    </row>
    <row r="1249" spans="1:14" x14ac:dyDescent="0.25">
      <c r="A1249" t="s">
        <v>2332</v>
      </c>
      <c r="B1249" t="s">
        <v>2333</v>
      </c>
      <c r="C1249" s="1" t="str">
        <f>HYPERLINK("http://www.genecards.org/cgi-bin/carddisp.pl?gene=MRPS16","GeneCards")</f>
        <v>GeneCards</v>
      </c>
      <c r="D1249" s="1" t="str">
        <f>HYPERLINK("http://genome-euro.ucsc.edu/cgi-bin/hgTracks?position=218046_s_at","UCSC")</f>
        <v>UCSC</v>
      </c>
      <c r="E1249" s="1" t="str">
        <f>HYPERLINK("http://www.ncbi.nlm.nih.gov/gene/?term=MRPS16","NCBI")</f>
        <v>NCBI</v>
      </c>
      <c r="F1249">
        <v>2.8999999999999998E-3</v>
      </c>
      <c r="G1249">
        <v>0.04</v>
      </c>
      <c r="H1249" s="1" t="str">
        <f>HYPERLINK("http://www.weizmann.ac.il/complex/compphys/software/geview/data/figures/218046_s_at.png","Figure")</f>
        <v>Figure</v>
      </c>
      <c r="I1249">
        <v>0.77900000000000003</v>
      </c>
      <c r="J1249">
        <v>1.9E-2</v>
      </c>
      <c r="K1249">
        <v>1.07</v>
      </c>
      <c r="L1249">
        <v>0.61</v>
      </c>
      <c r="M1249">
        <v>1.37</v>
      </c>
      <c r="N1249">
        <v>2.3999999999999998E-3</v>
      </c>
    </row>
    <row r="1250" spans="1:14" x14ac:dyDescent="0.25">
      <c r="A1250" t="s">
        <v>2334</v>
      </c>
      <c r="B1250" t="s">
        <v>2335</v>
      </c>
      <c r="C1250" s="1" t="str">
        <f>HYPERLINK("http://www.genecards.org/cgi-bin/carddisp.pl?gene=NDUFB5","GeneCards")</f>
        <v>GeneCards</v>
      </c>
      <c r="D1250" s="1" t="str">
        <f>HYPERLINK("http://genome-euro.ucsc.edu/cgi-bin/hgTracks?position=203621_at","UCSC")</f>
        <v>UCSC</v>
      </c>
      <c r="E1250" s="1" t="str">
        <f>HYPERLINK("http://www.ncbi.nlm.nih.gov/gene/?term=NDUFB5","NCBI")</f>
        <v>NCBI</v>
      </c>
      <c r="F1250">
        <v>2.8999999999999998E-3</v>
      </c>
      <c r="G1250">
        <v>0.04</v>
      </c>
      <c r="H1250" s="1" t="str">
        <f>HYPERLINK("http://www.weizmann.ac.il/complex/compphys/software/geview/data/figures/203621_at.png","Figure")</f>
        <v>Figure</v>
      </c>
      <c r="I1250">
        <v>1.21</v>
      </c>
      <c r="J1250">
        <v>0.6</v>
      </c>
      <c r="K1250">
        <v>2</v>
      </c>
      <c r="L1250">
        <v>3.0999999999999999E-3</v>
      </c>
      <c r="M1250">
        <v>1.65</v>
      </c>
      <c r="N1250">
        <v>3.5999999999999997E-2</v>
      </c>
    </row>
    <row r="1251" spans="1:14" x14ac:dyDescent="0.25">
      <c r="A1251" t="s">
        <v>2336</v>
      </c>
      <c r="B1251" t="s">
        <v>820</v>
      </c>
      <c r="C1251" s="1" t="str">
        <f>HYPERLINK("http://www.genecards.org/cgi-bin/carddisp.pl?gene=GORASP2","GeneCards")</f>
        <v>GeneCards</v>
      </c>
      <c r="D1251" s="1" t="str">
        <f>HYPERLINK("http://genome-euro.ucsc.edu/cgi-bin/hgTracks?position=208842_s_at","UCSC")</f>
        <v>UCSC</v>
      </c>
      <c r="E1251" s="1" t="str">
        <f>HYPERLINK("http://www.ncbi.nlm.nih.gov/gene/?term=GORASP2","NCBI")</f>
        <v>NCBI</v>
      </c>
      <c r="F1251">
        <v>2.8999999999999998E-3</v>
      </c>
      <c r="G1251">
        <v>0.04</v>
      </c>
      <c r="H1251" s="1" t="str">
        <f>HYPERLINK("http://www.weizmann.ac.il/complex/compphys/software/geview/data/figures/208842_s_at.png","Figure")</f>
        <v>Figure</v>
      </c>
      <c r="I1251">
        <v>1.1399999999999999</v>
      </c>
      <c r="J1251">
        <v>0.59</v>
      </c>
      <c r="K1251">
        <v>0.68899999999999995</v>
      </c>
      <c r="L1251">
        <v>0.02</v>
      </c>
      <c r="M1251">
        <v>0.60199999999999998</v>
      </c>
      <c r="N1251">
        <v>4.1000000000000003E-3</v>
      </c>
    </row>
    <row r="1252" spans="1:14" x14ac:dyDescent="0.25">
      <c r="A1252" t="s">
        <v>2337</v>
      </c>
      <c r="B1252" t="s">
        <v>2338</v>
      </c>
      <c r="C1252" s="1" t="str">
        <f>HYPERLINK("http://www.genecards.org/cgi-bin/carddisp.pl?gene=MSL2","GeneCards")</f>
        <v>GeneCards</v>
      </c>
      <c r="D1252" s="1" t="str">
        <f>HYPERLINK("http://genome-euro.ucsc.edu/cgi-bin/hgTracks?position=218733_at","UCSC")</f>
        <v>UCSC</v>
      </c>
      <c r="E1252" s="1" t="str">
        <f>HYPERLINK("http://www.ncbi.nlm.nih.gov/gene/?term=MSL2","NCBI")</f>
        <v>NCBI</v>
      </c>
      <c r="F1252">
        <v>2.8999999999999998E-3</v>
      </c>
      <c r="G1252">
        <v>0.04</v>
      </c>
      <c r="H1252" s="1" t="str">
        <f>HYPERLINK("http://www.weizmann.ac.il/complex/compphys/software/geview/data/figures/218733_at.png","Figure")</f>
        <v>Figure</v>
      </c>
      <c r="I1252">
        <v>0.89600000000000002</v>
      </c>
      <c r="J1252">
        <v>0.73</v>
      </c>
      <c r="K1252">
        <v>0.60099999999999998</v>
      </c>
      <c r="L1252">
        <v>3.5000000000000001E-3</v>
      </c>
      <c r="M1252">
        <v>0.67100000000000004</v>
      </c>
      <c r="N1252">
        <v>2.7E-2</v>
      </c>
    </row>
    <row r="1253" spans="1:14" x14ac:dyDescent="0.25">
      <c r="A1253" t="s">
        <v>2339</v>
      </c>
      <c r="B1253" t="s">
        <v>2340</v>
      </c>
      <c r="C1253" s="1" t="str">
        <f>HYPERLINK("http://www.genecards.org/cgi-bin/carddisp.pl?gene=STX2","GeneCards")</f>
        <v>GeneCards</v>
      </c>
      <c r="D1253" s="1" t="str">
        <f>HYPERLINK("http://genome-euro.ucsc.edu/cgi-bin/hgTracks?position=213434_at","UCSC")</f>
        <v>UCSC</v>
      </c>
      <c r="E1253" s="1" t="str">
        <f>HYPERLINK("http://www.ncbi.nlm.nih.gov/gene/?term=STX2","NCBI")</f>
        <v>NCBI</v>
      </c>
      <c r="F1253">
        <v>2.8999999999999998E-3</v>
      </c>
      <c r="G1253">
        <v>0.04</v>
      </c>
      <c r="H1253" s="1" t="str">
        <f>HYPERLINK("http://www.weizmann.ac.il/complex/compphys/software/geview/data/figures/213434_at.png","Figure")</f>
        <v>Figure</v>
      </c>
      <c r="I1253">
        <v>1.66</v>
      </c>
      <c r="J1253">
        <v>1.6E-2</v>
      </c>
      <c r="K1253">
        <v>1.75</v>
      </c>
      <c r="L1253">
        <v>3.2000000000000002E-3</v>
      </c>
      <c r="M1253">
        <v>1.05</v>
      </c>
      <c r="N1253">
        <v>0.93</v>
      </c>
    </row>
    <row r="1254" spans="1:14" x14ac:dyDescent="0.25">
      <c r="A1254" t="s">
        <v>2341</v>
      </c>
      <c r="B1254" t="s">
        <v>2342</v>
      </c>
      <c r="C1254" s="1" t="str">
        <f>HYPERLINK("http://www.genecards.org/cgi-bin/carddisp.pl?gene=RPL37A","GeneCards")</f>
        <v>GeneCards</v>
      </c>
      <c r="D1254" s="1" t="str">
        <f>HYPERLINK("http://genome-euro.ucsc.edu/cgi-bin/hgTracks?position=213459_at","UCSC")</f>
        <v>UCSC</v>
      </c>
      <c r="E1254" s="1" t="str">
        <f>HYPERLINK("http://www.ncbi.nlm.nih.gov/gene/?term=RPL37A","NCBI")</f>
        <v>NCBI</v>
      </c>
      <c r="F1254">
        <v>2.8999999999999998E-3</v>
      </c>
      <c r="G1254">
        <v>0.04</v>
      </c>
      <c r="H1254" s="1" t="str">
        <f>HYPERLINK("http://www.weizmann.ac.il/complex/compphys/software/geview/data/figures/213459_at.png","Figure")</f>
        <v>Figure</v>
      </c>
      <c r="I1254">
        <v>0.54800000000000004</v>
      </c>
      <c r="J1254">
        <v>5.5999999999999999E-3</v>
      </c>
      <c r="K1254">
        <v>0.59899999999999998</v>
      </c>
      <c r="L1254">
        <v>6.7000000000000002E-3</v>
      </c>
      <c r="M1254">
        <v>1.0900000000000001</v>
      </c>
      <c r="N1254">
        <v>0.82</v>
      </c>
    </row>
    <row r="1255" spans="1:14" x14ac:dyDescent="0.25">
      <c r="A1255" t="s">
        <v>2343</v>
      </c>
      <c r="B1255" t="s">
        <v>2344</v>
      </c>
      <c r="C1255" s="1" t="str">
        <f>HYPERLINK("http://www.genecards.org/cgi-bin/carddisp.pl?gene=AP1G1","GeneCards")</f>
        <v>GeneCards</v>
      </c>
      <c r="D1255" s="1" t="str">
        <f>HYPERLINK("http://genome-euro.ucsc.edu/cgi-bin/hgTracks?position=203350_at","UCSC")</f>
        <v>UCSC</v>
      </c>
      <c r="E1255" s="1" t="str">
        <f>HYPERLINK("http://www.ncbi.nlm.nih.gov/gene/?term=AP1G1","NCBI")</f>
        <v>NCBI</v>
      </c>
      <c r="F1255">
        <v>3.0000000000000001E-3</v>
      </c>
      <c r="G1255">
        <v>0.04</v>
      </c>
      <c r="H1255" s="1" t="str">
        <f>HYPERLINK("http://www.weizmann.ac.il/complex/compphys/software/geview/data/figures/203350_at.png","Figure")</f>
        <v>Figure</v>
      </c>
      <c r="I1255">
        <v>1.1399999999999999</v>
      </c>
      <c r="J1255">
        <v>0.91</v>
      </c>
      <c r="K1255">
        <v>0.39600000000000002</v>
      </c>
      <c r="L1255">
        <v>0.01</v>
      </c>
      <c r="M1255">
        <v>0.34799999999999998</v>
      </c>
      <c r="N1255">
        <v>6.7000000000000002E-3</v>
      </c>
    </row>
    <row r="1256" spans="1:14" x14ac:dyDescent="0.25">
      <c r="A1256" t="s">
        <v>2345</v>
      </c>
      <c r="B1256" t="s">
        <v>2346</v>
      </c>
      <c r="C1256" s="1" t="str">
        <f>HYPERLINK("http://www.genecards.org/cgi-bin/carddisp.pl?gene=VDR","GeneCards")</f>
        <v>GeneCards</v>
      </c>
      <c r="D1256" s="1" t="str">
        <f>HYPERLINK("http://genome-euro.ucsc.edu/cgi-bin/hgTracks?position=204254_s_at","UCSC")</f>
        <v>UCSC</v>
      </c>
      <c r="E1256" s="1" t="str">
        <f>HYPERLINK("http://www.ncbi.nlm.nih.gov/gene/?term=VDR","NCBI")</f>
        <v>NCBI</v>
      </c>
      <c r="F1256">
        <v>3.0000000000000001E-3</v>
      </c>
      <c r="G1256">
        <v>0.04</v>
      </c>
      <c r="H1256" s="1" t="str">
        <f>HYPERLINK("http://www.weizmann.ac.il/complex/compphys/software/geview/data/figures/204254_s_at.png","Figure")</f>
        <v>Figure</v>
      </c>
      <c r="I1256">
        <v>1.31</v>
      </c>
      <c r="J1256">
        <v>8.8999999999999999E-3</v>
      </c>
      <c r="K1256">
        <v>1.3</v>
      </c>
      <c r="L1256">
        <v>4.4999999999999997E-3</v>
      </c>
      <c r="M1256">
        <v>0.99</v>
      </c>
      <c r="N1256">
        <v>0.99</v>
      </c>
    </row>
    <row r="1257" spans="1:14" x14ac:dyDescent="0.25">
      <c r="A1257" t="s">
        <v>2347</v>
      </c>
      <c r="B1257" t="s">
        <v>807</v>
      </c>
      <c r="C1257" s="1" t="str">
        <f>HYPERLINK("http://www.genecards.org/cgi-bin/carddisp.pl?gene=IL6ST","GeneCards")</f>
        <v>GeneCards</v>
      </c>
      <c r="D1257" s="1" t="str">
        <f>HYPERLINK("http://genome-euro.ucsc.edu/cgi-bin/hgTracks?position=204863_s_at","UCSC")</f>
        <v>UCSC</v>
      </c>
      <c r="E1257" s="1" t="str">
        <f>HYPERLINK("http://www.ncbi.nlm.nih.gov/gene/?term=IL6ST","NCBI")</f>
        <v>NCBI</v>
      </c>
      <c r="F1257">
        <v>3.0000000000000001E-3</v>
      </c>
      <c r="G1257">
        <v>0.04</v>
      </c>
      <c r="H1257" s="1" t="str">
        <f>HYPERLINK("http://www.weizmann.ac.il/complex/compphys/software/geview/data/figures/204863_s_at.png","Figure")</f>
        <v>Figure</v>
      </c>
      <c r="I1257">
        <v>0.83199999999999996</v>
      </c>
      <c r="J1257">
        <v>0.74</v>
      </c>
      <c r="K1257">
        <v>0.41599999999999998</v>
      </c>
      <c r="L1257">
        <v>3.5999999999999999E-3</v>
      </c>
      <c r="M1257">
        <v>0.5</v>
      </c>
      <c r="N1257">
        <v>2.5999999999999999E-2</v>
      </c>
    </row>
    <row r="1258" spans="1:14" x14ac:dyDescent="0.25">
      <c r="A1258" t="s">
        <v>2348</v>
      </c>
      <c r="B1258" t="s">
        <v>2349</v>
      </c>
      <c r="C1258" s="1" t="str">
        <f>HYPERLINK("http://www.genecards.org/cgi-bin/carddisp.pl?gene=EIF3G","GeneCards")</f>
        <v>GeneCards</v>
      </c>
      <c r="D1258" s="1" t="str">
        <f>HYPERLINK("http://genome-euro.ucsc.edu/cgi-bin/hgTracks?position=208887_at","UCSC")</f>
        <v>UCSC</v>
      </c>
      <c r="E1258" s="1" t="str">
        <f>HYPERLINK("http://www.ncbi.nlm.nih.gov/gene/?term=EIF3G","NCBI")</f>
        <v>NCBI</v>
      </c>
      <c r="F1258">
        <v>3.0000000000000001E-3</v>
      </c>
      <c r="G1258">
        <v>0.04</v>
      </c>
      <c r="H1258" s="1" t="str">
        <f>HYPERLINK("http://www.weizmann.ac.il/complex/compphys/software/geview/data/figures/208887_at.png","Figure")</f>
        <v>Figure</v>
      </c>
      <c r="I1258">
        <v>1.42</v>
      </c>
      <c r="J1258">
        <v>2.3E-2</v>
      </c>
      <c r="K1258">
        <v>1.52</v>
      </c>
      <c r="L1258">
        <v>2.7000000000000001E-3</v>
      </c>
      <c r="M1258">
        <v>1.07</v>
      </c>
      <c r="N1258">
        <v>0.79</v>
      </c>
    </row>
    <row r="1259" spans="1:14" x14ac:dyDescent="0.25">
      <c r="A1259" t="s">
        <v>2350</v>
      </c>
      <c r="B1259" t="s">
        <v>2351</v>
      </c>
      <c r="C1259" s="1" t="str">
        <f>HYPERLINK("http://www.genecards.org/cgi-bin/carddisp.pl?gene=N4BP2L1","GeneCards")</f>
        <v>GeneCards</v>
      </c>
      <c r="D1259" s="1" t="str">
        <f>HYPERLINK("http://genome-euro.ucsc.edu/cgi-bin/hgTracks?position=217197_x_at","UCSC")</f>
        <v>UCSC</v>
      </c>
      <c r="E1259" s="1" t="str">
        <f>HYPERLINK("http://www.ncbi.nlm.nih.gov/gene/?term=N4BP2L1","NCBI")</f>
        <v>NCBI</v>
      </c>
      <c r="F1259">
        <v>3.0000000000000001E-3</v>
      </c>
      <c r="G1259">
        <v>0.04</v>
      </c>
      <c r="H1259" s="1" t="str">
        <f>HYPERLINK("http://www.weizmann.ac.il/complex/compphys/software/geview/data/figures/217197_x_at.png","Figure")</f>
        <v>Figure</v>
      </c>
      <c r="I1259">
        <v>1.31</v>
      </c>
      <c r="J1259">
        <v>2.2000000000000001E-3</v>
      </c>
      <c r="K1259">
        <v>1.1299999999999999</v>
      </c>
      <c r="L1259">
        <v>0.1</v>
      </c>
      <c r="M1259">
        <v>0.86199999999999999</v>
      </c>
      <c r="N1259">
        <v>5.8999999999999997E-2</v>
      </c>
    </row>
    <row r="1260" spans="1:14" x14ac:dyDescent="0.25">
      <c r="A1260" t="s">
        <v>2352</v>
      </c>
      <c r="B1260" t="s">
        <v>2353</v>
      </c>
      <c r="C1260" s="1" t="str">
        <f>HYPERLINK("http://www.genecards.org/cgi-bin/carddisp.pl?gene=HMG20A","GeneCards")</f>
        <v>GeneCards</v>
      </c>
      <c r="D1260" s="1" t="str">
        <f>HYPERLINK("http://genome-euro.ucsc.edu/cgi-bin/hgTracks?position=218152_at","UCSC")</f>
        <v>UCSC</v>
      </c>
      <c r="E1260" s="1" t="str">
        <f>HYPERLINK("http://www.ncbi.nlm.nih.gov/gene/?term=HMG20A","NCBI")</f>
        <v>NCBI</v>
      </c>
      <c r="F1260">
        <v>3.0000000000000001E-3</v>
      </c>
      <c r="G1260">
        <v>0.04</v>
      </c>
      <c r="H1260" s="1" t="str">
        <f>HYPERLINK("http://www.weizmann.ac.il/complex/compphys/software/geview/data/figures/218152_at.png","Figure")</f>
        <v>Figure</v>
      </c>
      <c r="I1260">
        <v>0.60499999999999998</v>
      </c>
      <c r="J1260">
        <v>0.21</v>
      </c>
      <c r="K1260">
        <v>0.34899999999999998</v>
      </c>
      <c r="L1260">
        <v>2.3E-3</v>
      </c>
      <c r="M1260">
        <v>0.57599999999999996</v>
      </c>
      <c r="N1260">
        <v>0.13</v>
      </c>
    </row>
    <row r="1261" spans="1:14" x14ac:dyDescent="0.25">
      <c r="A1261" t="s">
        <v>2354</v>
      </c>
      <c r="B1261" t="s">
        <v>2355</v>
      </c>
      <c r="C1261" s="1" t="str">
        <f>HYPERLINK("http://www.genecards.org/cgi-bin/carddisp.pl?gene=PJA2","GeneCards")</f>
        <v>GeneCards</v>
      </c>
      <c r="D1261" s="1" t="str">
        <f>HYPERLINK("http://genome-euro.ucsc.edu/cgi-bin/hgTracks?position=201133_s_at","UCSC")</f>
        <v>UCSC</v>
      </c>
      <c r="E1261" s="1" t="str">
        <f>HYPERLINK("http://www.ncbi.nlm.nih.gov/gene/?term=PJA2","NCBI")</f>
        <v>NCBI</v>
      </c>
      <c r="F1261">
        <v>3.0000000000000001E-3</v>
      </c>
      <c r="G1261">
        <v>0.04</v>
      </c>
      <c r="H1261" s="1" t="str">
        <f>HYPERLINK("http://www.weizmann.ac.il/complex/compphys/software/geview/data/figures/201133_s_at.png","Figure")</f>
        <v>Figure</v>
      </c>
      <c r="I1261">
        <v>0.52400000000000002</v>
      </c>
      <c r="J1261">
        <v>8.2000000000000007E-3</v>
      </c>
      <c r="K1261">
        <v>0.54400000000000004</v>
      </c>
      <c r="L1261">
        <v>4.7999999999999996E-3</v>
      </c>
      <c r="M1261">
        <v>1.04</v>
      </c>
      <c r="N1261">
        <v>0.97</v>
      </c>
    </row>
    <row r="1262" spans="1:14" x14ac:dyDescent="0.25">
      <c r="A1262" t="s">
        <v>2356</v>
      </c>
      <c r="B1262" t="s">
        <v>2357</v>
      </c>
      <c r="C1262" s="1" t="str">
        <f>HYPERLINK("http://www.genecards.org/cgi-bin/carddisp.pl?gene=IPCEF1","GeneCards")</f>
        <v>GeneCards</v>
      </c>
      <c r="D1262" s="1" t="str">
        <f>HYPERLINK("http://genome-euro.ucsc.edu/cgi-bin/hgTracks?position=214735_at","UCSC")</f>
        <v>UCSC</v>
      </c>
      <c r="E1262" s="1" t="str">
        <f>HYPERLINK("http://www.ncbi.nlm.nih.gov/gene/?term=IPCEF1","NCBI")</f>
        <v>NCBI</v>
      </c>
      <c r="F1262">
        <v>3.0000000000000001E-3</v>
      </c>
      <c r="G1262">
        <v>0.04</v>
      </c>
      <c r="H1262" s="1" t="str">
        <f>HYPERLINK("http://www.weizmann.ac.il/complex/compphys/software/geview/data/figures/214735_at.png","Figure")</f>
        <v>Figure</v>
      </c>
      <c r="I1262">
        <v>0.26100000000000001</v>
      </c>
      <c r="J1262">
        <v>4.3E-3</v>
      </c>
      <c r="K1262">
        <v>0.85799999999999998</v>
      </c>
      <c r="L1262">
        <v>0.86</v>
      </c>
      <c r="M1262">
        <v>3.29</v>
      </c>
      <c r="N1262">
        <v>6.1999999999999998E-3</v>
      </c>
    </row>
    <row r="1263" spans="1:14" x14ac:dyDescent="0.25">
      <c r="A1263" t="s">
        <v>2358</v>
      </c>
      <c r="B1263" t="s">
        <v>2359</v>
      </c>
      <c r="C1263" s="1" t="str">
        <f>HYPERLINK("http://www.genecards.org/cgi-bin/carddisp.pl?gene=DDX39","GeneCards")</f>
        <v>GeneCards</v>
      </c>
      <c r="D1263" s="1" t="str">
        <f>HYPERLINK("http://genome-euro.ucsc.edu/cgi-bin/hgTracks?position=201584_s_at","UCSC")</f>
        <v>UCSC</v>
      </c>
      <c r="E1263" s="1" t="str">
        <f>HYPERLINK("http://www.ncbi.nlm.nih.gov/gene/?term=DDX39","NCBI")</f>
        <v>NCBI</v>
      </c>
      <c r="F1263">
        <v>3.0000000000000001E-3</v>
      </c>
      <c r="G1263">
        <v>0.04</v>
      </c>
      <c r="H1263" s="1" t="str">
        <f>HYPERLINK("http://www.weizmann.ac.il/complex/compphys/software/geview/data/figures/201584_s_at.png","Figure")</f>
        <v>Figure</v>
      </c>
      <c r="I1263">
        <v>1.72</v>
      </c>
      <c r="J1263">
        <v>1.7999999999999999E-2</v>
      </c>
      <c r="K1263">
        <v>0.874</v>
      </c>
      <c r="L1263">
        <v>0.65</v>
      </c>
      <c r="M1263">
        <v>0.50800000000000001</v>
      </c>
      <c r="N1263">
        <v>2.5000000000000001E-3</v>
      </c>
    </row>
    <row r="1264" spans="1:14" x14ac:dyDescent="0.25">
      <c r="A1264" t="s">
        <v>2360</v>
      </c>
      <c r="B1264" t="s">
        <v>2361</v>
      </c>
      <c r="C1264" s="1" t="str">
        <f>HYPERLINK("http://www.genecards.org/cgi-bin/carddisp.pl?gene=VRK1","GeneCards")</f>
        <v>GeneCards</v>
      </c>
      <c r="D1264" s="1" t="str">
        <f>HYPERLINK("http://genome-euro.ucsc.edu/cgi-bin/hgTracks?position=203856_at","UCSC")</f>
        <v>UCSC</v>
      </c>
      <c r="E1264" s="1" t="str">
        <f>HYPERLINK("http://www.ncbi.nlm.nih.gov/gene/?term=VRK1","NCBI")</f>
        <v>NCBI</v>
      </c>
      <c r="F1264">
        <v>3.0000000000000001E-3</v>
      </c>
      <c r="G1264">
        <v>0.04</v>
      </c>
      <c r="H1264" s="1" t="str">
        <f>HYPERLINK("http://www.weizmann.ac.il/complex/compphys/software/geview/data/figures/203856_at.png","Figure")</f>
        <v>Figure</v>
      </c>
      <c r="I1264">
        <v>0.57599999999999996</v>
      </c>
      <c r="J1264">
        <v>1.2E-2</v>
      </c>
      <c r="K1264">
        <v>1.08</v>
      </c>
      <c r="L1264">
        <v>0.84</v>
      </c>
      <c r="M1264">
        <v>1.88</v>
      </c>
      <c r="N1264">
        <v>2.8999999999999998E-3</v>
      </c>
    </row>
    <row r="1265" spans="1:14" x14ac:dyDescent="0.25">
      <c r="A1265" t="s">
        <v>2362</v>
      </c>
      <c r="B1265" t="s">
        <v>2363</v>
      </c>
      <c r="C1265" s="1" t="str">
        <f>HYPERLINK("http://www.genecards.org/cgi-bin/carddisp.pl?gene=PDIA5","GeneCards")</f>
        <v>GeneCards</v>
      </c>
      <c r="D1265" s="1" t="str">
        <f>HYPERLINK("http://genome-euro.ucsc.edu/cgi-bin/hgTracks?position=203857_s_at","UCSC")</f>
        <v>UCSC</v>
      </c>
      <c r="E1265" s="1" t="str">
        <f>HYPERLINK("http://www.ncbi.nlm.nih.gov/gene/?term=PDIA5","NCBI")</f>
        <v>NCBI</v>
      </c>
      <c r="F1265">
        <v>3.0000000000000001E-3</v>
      </c>
      <c r="G1265">
        <v>0.04</v>
      </c>
      <c r="H1265" s="1" t="str">
        <f>HYPERLINK("http://www.weizmann.ac.il/complex/compphys/software/geview/data/figures/203857_s_at.png","Figure")</f>
        <v>Figure</v>
      </c>
      <c r="I1265">
        <v>0.63600000000000001</v>
      </c>
      <c r="J1265">
        <v>4.7999999999999996E-3</v>
      </c>
      <c r="K1265">
        <v>0.96299999999999997</v>
      </c>
      <c r="L1265">
        <v>0.93</v>
      </c>
      <c r="M1265">
        <v>1.51</v>
      </c>
      <c r="N1265">
        <v>5.4999999999999997E-3</v>
      </c>
    </row>
    <row r="1266" spans="1:14" x14ac:dyDescent="0.25">
      <c r="A1266" t="s">
        <v>2364</v>
      </c>
      <c r="B1266" t="s">
        <v>2365</v>
      </c>
      <c r="C1266" s="1" t="str">
        <f>HYPERLINK("http://www.genecards.org/cgi-bin/carddisp.pl?gene=TOMM40","GeneCards")</f>
        <v>GeneCards</v>
      </c>
      <c r="D1266" s="1" t="str">
        <f>HYPERLINK("http://genome-euro.ucsc.edu/cgi-bin/hgTracks?position=202264_s_at","UCSC")</f>
        <v>UCSC</v>
      </c>
      <c r="E1266" s="1" t="str">
        <f>HYPERLINK("http://www.ncbi.nlm.nih.gov/gene/?term=TOMM40","NCBI")</f>
        <v>NCBI</v>
      </c>
      <c r="F1266">
        <v>3.0000000000000001E-3</v>
      </c>
      <c r="G1266">
        <v>0.04</v>
      </c>
      <c r="H1266" s="1" t="str">
        <f>HYPERLINK("http://www.weizmann.ac.il/complex/compphys/software/geview/data/figures/202264_s_at.png","Figure")</f>
        <v>Figure</v>
      </c>
      <c r="I1266">
        <v>1.36</v>
      </c>
      <c r="J1266">
        <v>4.8999999999999998E-3</v>
      </c>
      <c r="K1266">
        <v>1.28</v>
      </c>
      <c r="L1266">
        <v>8.2000000000000007E-3</v>
      </c>
      <c r="M1266">
        <v>0.94299999999999995</v>
      </c>
      <c r="N1266">
        <v>0.71</v>
      </c>
    </row>
    <row r="1267" spans="1:14" x14ac:dyDescent="0.25">
      <c r="A1267" t="s">
        <v>2366</v>
      </c>
      <c r="B1267" t="s">
        <v>725</v>
      </c>
      <c r="C1267" s="1" t="str">
        <f>HYPERLINK("http://www.genecards.org/cgi-bin/carddisp.pl?gene=SMAD2","GeneCards")</f>
        <v>GeneCards</v>
      </c>
      <c r="D1267" s="1" t="str">
        <f>HYPERLINK("http://genome-euro.ucsc.edu/cgi-bin/hgTracks?position=203075_at","UCSC")</f>
        <v>UCSC</v>
      </c>
      <c r="E1267" s="1" t="str">
        <f>HYPERLINK("http://www.ncbi.nlm.nih.gov/gene/?term=SMAD2","NCBI")</f>
        <v>NCBI</v>
      </c>
      <c r="F1267">
        <v>3.0000000000000001E-3</v>
      </c>
      <c r="G1267">
        <v>0.04</v>
      </c>
      <c r="H1267" s="1" t="str">
        <f>HYPERLINK("http://www.weizmann.ac.il/complex/compphys/software/geview/data/figures/203075_at.png","Figure")</f>
        <v>Figure</v>
      </c>
      <c r="I1267">
        <v>0.48799999999999999</v>
      </c>
      <c r="J1267">
        <v>2.7E-2</v>
      </c>
      <c r="K1267">
        <v>1.29</v>
      </c>
      <c r="L1267">
        <v>0.47</v>
      </c>
      <c r="M1267">
        <v>2.64</v>
      </c>
      <c r="N1267">
        <v>2.3E-3</v>
      </c>
    </row>
    <row r="1268" spans="1:14" x14ac:dyDescent="0.25">
      <c r="A1268" t="s">
        <v>2367</v>
      </c>
      <c r="B1268" t="s">
        <v>2368</v>
      </c>
      <c r="C1268" s="1" t="str">
        <f>HYPERLINK("http://www.genecards.org/cgi-bin/carddisp.pl?gene=KATNA1","GeneCards")</f>
        <v>GeneCards</v>
      </c>
      <c r="D1268" s="1" t="str">
        <f>HYPERLINK("http://genome-euro.ucsc.edu/cgi-bin/hgTracks?position=205526_s_at","UCSC")</f>
        <v>UCSC</v>
      </c>
      <c r="E1268" s="1" t="str">
        <f>HYPERLINK("http://www.ncbi.nlm.nih.gov/gene/?term=KATNA1","NCBI")</f>
        <v>NCBI</v>
      </c>
      <c r="F1268">
        <v>3.0000000000000001E-3</v>
      </c>
      <c r="G1268">
        <v>0.04</v>
      </c>
      <c r="H1268" s="1" t="str">
        <f>HYPERLINK("http://www.weizmann.ac.il/complex/compphys/software/geview/data/figures/205526_s_at.png","Figure")</f>
        <v>Figure</v>
      </c>
      <c r="I1268">
        <v>1.01</v>
      </c>
      <c r="J1268">
        <v>1</v>
      </c>
      <c r="K1268">
        <v>1.82</v>
      </c>
      <c r="L1268">
        <v>6.1999999999999998E-3</v>
      </c>
      <c r="M1268">
        <v>1.79</v>
      </c>
      <c r="N1268">
        <v>1.0999999999999999E-2</v>
      </c>
    </row>
    <row r="1269" spans="1:14" x14ac:dyDescent="0.25">
      <c r="A1269" t="s">
        <v>2369</v>
      </c>
      <c r="B1269" t="s">
        <v>2370</v>
      </c>
      <c r="C1269" s="1" t="str">
        <f>HYPERLINK("http://www.genecards.org/cgi-bin/carddisp.pl?gene=LOC150776 /// SMPD4","GeneCards")</f>
        <v>GeneCards</v>
      </c>
      <c r="D1269" s="1" t="str">
        <f>HYPERLINK("http://genome-euro.ucsc.edu/cgi-bin/hgTracks?position=207856_s_at","UCSC")</f>
        <v>UCSC</v>
      </c>
      <c r="E1269" s="1" t="str">
        <f>HYPERLINK("http://www.ncbi.nlm.nih.gov/gene/?term=LOC150776 /// SMPD4","NCBI")</f>
        <v>NCBI</v>
      </c>
      <c r="F1269">
        <v>3.0000000000000001E-3</v>
      </c>
      <c r="G1269">
        <v>0.04</v>
      </c>
      <c r="H1269" s="1" t="str">
        <f>HYPERLINK("http://www.weizmann.ac.il/complex/compphys/software/geview/data/figures/207856_s_at.png","Figure")</f>
        <v>Figure</v>
      </c>
      <c r="I1269">
        <v>1.38</v>
      </c>
      <c r="J1269">
        <v>0.23</v>
      </c>
      <c r="K1269">
        <v>0.66500000000000004</v>
      </c>
      <c r="L1269">
        <v>6.0999999999999999E-2</v>
      </c>
      <c r="M1269">
        <v>0.48299999999999998</v>
      </c>
      <c r="N1269">
        <v>2.7000000000000001E-3</v>
      </c>
    </row>
    <row r="1270" spans="1:14" x14ac:dyDescent="0.25">
      <c r="A1270" t="s">
        <v>2371</v>
      </c>
      <c r="B1270" t="s">
        <v>2372</v>
      </c>
      <c r="C1270" s="1" t="str">
        <f>HYPERLINK("http://www.genecards.org/cgi-bin/carddisp.pl?gene=ZKSCAN1","GeneCards")</f>
        <v>GeneCards</v>
      </c>
      <c r="D1270" s="1" t="str">
        <f>HYPERLINK("http://genome-euro.ucsc.edu/cgi-bin/hgTracks?position=214670_at","UCSC")</f>
        <v>UCSC</v>
      </c>
      <c r="E1270" s="1" t="str">
        <f>HYPERLINK("http://www.ncbi.nlm.nih.gov/gene/?term=ZKSCAN1","NCBI")</f>
        <v>NCBI</v>
      </c>
      <c r="F1270">
        <v>3.0000000000000001E-3</v>
      </c>
      <c r="G1270">
        <v>0.04</v>
      </c>
      <c r="H1270" s="1" t="str">
        <f>HYPERLINK("http://www.weizmann.ac.il/complex/compphys/software/geview/data/figures/214670_at.png","Figure")</f>
        <v>Figure</v>
      </c>
      <c r="I1270">
        <v>0.60699999999999998</v>
      </c>
      <c r="J1270">
        <v>3.3E-3</v>
      </c>
      <c r="K1270">
        <v>0.90900000000000003</v>
      </c>
      <c r="L1270">
        <v>0.65</v>
      </c>
      <c r="M1270">
        <v>1.5</v>
      </c>
      <c r="N1270">
        <v>9.2999999999999992E-3</v>
      </c>
    </row>
    <row r="1271" spans="1:14" x14ac:dyDescent="0.25">
      <c r="A1271" t="s">
        <v>2373</v>
      </c>
      <c r="B1271" t="s">
        <v>2374</v>
      </c>
      <c r="C1271" s="1" t="str">
        <f>HYPERLINK("http://www.genecards.org/cgi-bin/carddisp.pl?gene=NUCKS1","GeneCards")</f>
        <v>GeneCards</v>
      </c>
      <c r="D1271" s="1" t="str">
        <f>HYPERLINK("http://genome-euro.ucsc.edu/cgi-bin/hgTracks?position=217802_s_at","UCSC")</f>
        <v>UCSC</v>
      </c>
      <c r="E1271" s="1" t="str">
        <f>HYPERLINK("http://www.ncbi.nlm.nih.gov/gene/?term=NUCKS1","NCBI")</f>
        <v>NCBI</v>
      </c>
      <c r="F1271">
        <v>3.0000000000000001E-3</v>
      </c>
      <c r="G1271">
        <v>0.04</v>
      </c>
      <c r="H1271" s="1" t="str">
        <f>HYPERLINK("http://www.weizmann.ac.il/complex/compphys/software/geview/data/figures/217802_s_at.png","Figure")</f>
        <v>Figure</v>
      </c>
      <c r="I1271">
        <v>1.57</v>
      </c>
      <c r="J1271">
        <v>2.3E-2</v>
      </c>
      <c r="K1271">
        <v>1.72</v>
      </c>
      <c r="L1271">
        <v>2.8E-3</v>
      </c>
      <c r="M1271">
        <v>1.0900000000000001</v>
      </c>
      <c r="N1271">
        <v>0.79</v>
      </c>
    </row>
    <row r="1272" spans="1:14" x14ac:dyDescent="0.25">
      <c r="A1272" t="s">
        <v>2375</v>
      </c>
      <c r="B1272" t="s">
        <v>725</v>
      </c>
      <c r="C1272" s="1" t="str">
        <f>HYPERLINK("http://www.genecards.org/cgi-bin/carddisp.pl?gene=SMAD2","GeneCards")</f>
        <v>GeneCards</v>
      </c>
      <c r="D1272" s="1" t="str">
        <f>HYPERLINK("http://genome-euro.ucsc.edu/cgi-bin/hgTracks?position=203076_s_at","UCSC")</f>
        <v>UCSC</v>
      </c>
      <c r="E1272" s="1" t="str">
        <f>HYPERLINK("http://www.ncbi.nlm.nih.gov/gene/?term=SMAD2","NCBI")</f>
        <v>NCBI</v>
      </c>
      <c r="F1272">
        <v>3.0000000000000001E-3</v>
      </c>
      <c r="G1272">
        <v>4.1000000000000002E-2</v>
      </c>
      <c r="H1272" s="1" t="str">
        <f>HYPERLINK("http://www.weizmann.ac.il/complex/compphys/software/geview/data/figures/203076_s_at.png","Figure")</f>
        <v>Figure</v>
      </c>
      <c r="I1272">
        <v>0.67700000000000005</v>
      </c>
      <c r="J1272">
        <v>3.5000000000000003E-2</v>
      </c>
      <c r="K1272">
        <v>1.18</v>
      </c>
      <c r="L1272">
        <v>0.38</v>
      </c>
      <c r="M1272">
        <v>1.74</v>
      </c>
      <c r="N1272">
        <v>2.3E-3</v>
      </c>
    </row>
    <row r="1273" spans="1:14" x14ac:dyDescent="0.25">
      <c r="A1273" t="s">
        <v>2376</v>
      </c>
      <c r="B1273" t="s">
        <v>2377</v>
      </c>
      <c r="C1273" s="1" t="str">
        <f>HYPERLINK("http://www.genecards.org/cgi-bin/carddisp.pl?gene=JMJD6","GeneCards")</f>
        <v>GeneCards</v>
      </c>
      <c r="D1273" s="1" t="str">
        <f>HYPERLINK("http://genome-euro.ucsc.edu/cgi-bin/hgTracks?position=215233_at","UCSC")</f>
        <v>UCSC</v>
      </c>
      <c r="E1273" s="1" t="str">
        <f>HYPERLINK("http://www.ncbi.nlm.nih.gov/gene/?term=JMJD6","NCBI")</f>
        <v>NCBI</v>
      </c>
      <c r="F1273">
        <v>3.0000000000000001E-3</v>
      </c>
      <c r="G1273">
        <v>4.1000000000000002E-2</v>
      </c>
      <c r="H1273" s="1" t="str">
        <f>HYPERLINK("http://www.weizmann.ac.il/complex/compphys/software/geview/data/figures/215233_at.png","Figure")</f>
        <v>Figure</v>
      </c>
      <c r="I1273">
        <v>0.55000000000000004</v>
      </c>
      <c r="J1273">
        <v>7.1999999999999998E-3</v>
      </c>
      <c r="K1273">
        <v>1.01</v>
      </c>
      <c r="L1273">
        <v>1</v>
      </c>
      <c r="M1273">
        <v>1.84</v>
      </c>
      <c r="N1273">
        <v>4.0000000000000001E-3</v>
      </c>
    </row>
    <row r="1274" spans="1:14" x14ac:dyDescent="0.25">
      <c r="A1274" t="s">
        <v>2378</v>
      </c>
      <c r="B1274" t="s">
        <v>2379</v>
      </c>
      <c r="C1274" s="1" t="str">
        <f>HYPERLINK("http://www.genecards.org/cgi-bin/carddisp.pl?gene=RGS1","GeneCards")</f>
        <v>GeneCards</v>
      </c>
      <c r="D1274" s="1" t="str">
        <f>HYPERLINK("http://genome-euro.ucsc.edu/cgi-bin/hgTracks?position=216834_at","UCSC")</f>
        <v>UCSC</v>
      </c>
      <c r="E1274" s="1" t="str">
        <f>HYPERLINK("http://www.ncbi.nlm.nih.gov/gene/?term=RGS1","NCBI")</f>
        <v>NCBI</v>
      </c>
      <c r="F1274">
        <v>3.0000000000000001E-3</v>
      </c>
      <c r="G1274">
        <v>4.1000000000000002E-2</v>
      </c>
      <c r="H1274" s="1" t="str">
        <f>HYPERLINK("http://www.weizmann.ac.il/complex/compphys/software/geview/data/figures/216834_at.png","Figure")</f>
        <v>Figure</v>
      </c>
      <c r="I1274">
        <v>1.1599999999999999</v>
      </c>
      <c r="J1274">
        <v>0.95</v>
      </c>
      <c r="K1274">
        <v>0.224</v>
      </c>
      <c r="L1274">
        <v>9.1000000000000004E-3</v>
      </c>
      <c r="M1274">
        <v>0.19400000000000001</v>
      </c>
      <c r="N1274">
        <v>7.7000000000000002E-3</v>
      </c>
    </row>
    <row r="1275" spans="1:14" x14ac:dyDescent="0.25">
      <c r="A1275" t="s">
        <v>2380</v>
      </c>
      <c r="B1275" t="s">
        <v>2381</v>
      </c>
      <c r="C1275" s="1" t="str">
        <f>HYPERLINK("http://www.genecards.org/cgi-bin/carddisp.pl?gene=C21orf2","GeneCards")</f>
        <v>GeneCards</v>
      </c>
      <c r="D1275" s="1" t="str">
        <f>HYPERLINK("http://genome-euro.ucsc.edu/cgi-bin/hgTracks?position=203993_x_at","UCSC")</f>
        <v>UCSC</v>
      </c>
      <c r="E1275" s="1" t="str">
        <f>HYPERLINK("http://www.ncbi.nlm.nih.gov/gene/?term=C21orf2","NCBI")</f>
        <v>NCBI</v>
      </c>
      <c r="F1275">
        <v>3.0999999999999999E-3</v>
      </c>
      <c r="G1275">
        <v>4.1000000000000002E-2</v>
      </c>
      <c r="H1275" s="1" t="str">
        <f>HYPERLINK("http://www.weizmann.ac.il/complex/compphys/software/geview/data/figures/203993_x_at.png","Figure")</f>
        <v>Figure</v>
      </c>
      <c r="I1275">
        <v>1.25</v>
      </c>
      <c r="J1275">
        <v>2.3E-3</v>
      </c>
      <c r="K1275">
        <v>1.1200000000000001</v>
      </c>
      <c r="L1275">
        <v>5.8999999999999997E-2</v>
      </c>
      <c r="M1275">
        <v>0.89600000000000002</v>
      </c>
      <c r="N1275">
        <v>0.1</v>
      </c>
    </row>
    <row r="1276" spans="1:14" x14ac:dyDescent="0.25">
      <c r="A1276" t="s">
        <v>2382</v>
      </c>
      <c r="B1276" t="s">
        <v>2094</v>
      </c>
      <c r="C1276" s="1" t="str">
        <f>HYPERLINK("http://www.genecards.org/cgi-bin/carddisp.pl?gene=UBAP2L","GeneCards")</f>
        <v>GeneCards</v>
      </c>
      <c r="D1276" s="1" t="str">
        <f>HYPERLINK("http://genome-euro.ucsc.edu/cgi-bin/hgTracks?position=201378_s_at","UCSC")</f>
        <v>UCSC</v>
      </c>
      <c r="E1276" s="1" t="str">
        <f>HYPERLINK("http://www.ncbi.nlm.nih.gov/gene/?term=UBAP2L","NCBI")</f>
        <v>NCBI</v>
      </c>
      <c r="F1276">
        <v>3.0999999999999999E-3</v>
      </c>
      <c r="G1276">
        <v>4.1000000000000002E-2</v>
      </c>
      <c r="H1276" s="1" t="str">
        <f>HYPERLINK("http://www.weizmann.ac.il/complex/compphys/software/geview/data/figures/201378_s_at.png","Figure")</f>
        <v>Figure</v>
      </c>
      <c r="I1276">
        <v>1.56</v>
      </c>
      <c r="J1276">
        <v>0.04</v>
      </c>
      <c r="K1276">
        <v>0.81599999999999995</v>
      </c>
      <c r="L1276">
        <v>0.34</v>
      </c>
      <c r="M1276">
        <v>0.52400000000000002</v>
      </c>
      <c r="N1276">
        <v>2.3E-3</v>
      </c>
    </row>
    <row r="1277" spans="1:14" x14ac:dyDescent="0.25">
      <c r="A1277" t="s">
        <v>2383</v>
      </c>
      <c r="B1277" t="s">
        <v>2384</v>
      </c>
      <c r="C1277" s="1" t="str">
        <f>HYPERLINK("http://www.genecards.org/cgi-bin/carddisp.pl?gene=CKS2","GeneCards")</f>
        <v>GeneCards</v>
      </c>
      <c r="D1277" s="1" t="str">
        <f>HYPERLINK("http://genome-euro.ucsc.edu/cgi-bin/hgTracks?position=204170_s_at","UCSC")</f>
        <v>UCSC</v>
      </c>
      <c r="E1277" s="1" t="str">
        <f>HYPERLINK("http://www.ncbi.nlm.nih.gov/gene/?term=CKS2","NCBI")</f>
        <v>NCBI</v>
      </c>
      <c r="F1277">
        <v>3.0999999999999999E-3</v>
      </c>
      <c r="G1277">
        <v>4.1000000000000002E-2</v>
      </c>
      <c r="H1277" s="1" t="str">
        <f>HYPERLINK("http://www.weizmann.ac.il/complex/compphys/software/geview/data/figures/204170_s_at.png","Figure")</f>
        <v>Figure</v>
      </c>
      <c r="I1277">
        <v>1.34</v>
      </c>
      <c r="J1277">
        <v>0.4</v>
      </c>
      <c r="K1277">
        <v>2.2599999999999998</v>
      </c>
      <c r="L1277">
        <v>2.7000000000000001E-3</v>
      </c>
      <c r="M1277">
        <v>1.68</v>
      </c>
      <c r="N1277">
        <v>6.3E-2</v>
      </c>
    </row>
    <row r="1278" spans="1:14" x14ac:dyDescent="0.25">
      <c r="A1278" t="s">
        <v>2385</v>
      </c>
      <c r="B1278" t="s">
        <v>2386</v>
      </c>
      <c r="C1278" s="1" t="str">
        <f>HYPERLINK("http://www.genecards.org/cgi-bin/carddisp.pl?gene=SRD5A1","GeneCards")</f>
        <v>GeneCards</v>
      </c>
      <c r="D1278" s="1" t="str">
        <f>HYPERLINK("http://genome-euro.ucsc.edu/cgi-bin/hgTracks?position=204675_at","UCSC")</f>
        <v>UCSC</v>
      </c>
      <c r="E1278" s="1" t="str">
        <f>HYPERLINK("http://www.ncbi.nlm.nih.gov/gene/?term=SRD5A1","NCBI")</f>
        <v>NCBI</v>
      </c>
      <c r="F1278">
        <v>3.0999999999999999E-3</v>
      </c>
      <c r="G1278">
        <v>4.1000000000000002E-2</v>
      </c>
      <c r="H1278" s="1" t="str">
        <f>HYPERLINK("http://www.weizmann.ac.il/complex/compphys/software/geview/data/figures/204675_at.png","Figure")</f>
        <v>Figure</v>
      </c>
      <c r="I1278">
        <v>0.64400000000000002</v>
      </c>
      <c r="J1278">
        <v>4.7000000000000002E-3</v>
      </c>
      <c r="K1278">
        <v>0.96</v>
      </c>
      <c r="L1278">
        <v>0.91</v>
      </c>
      <c r="M1278">
        <v>1.49</v>
      </c>
      <c r="N1278">
        <v>5.7999999999999996E-3</v>
      </c>
    </row>
    <row r="1279" spans="1:14" x14ac:dyDescent="0.25">
      <c r="A1279" t="s">
        <v>2387</v>
      </c>
      <c r="B1279" t="s">
        <v>2388</v>
      </c>
      <c r="C1279" s="1" t="str">
        <f>HYPERLINK("http://www.genecards.org/cgi-bin/carddisp.pl?gene=ZFP106","GeneCards")</f>
        <v>GeneCards</v>
      </c>
      <c r="D1279" s="1" t="str">
        <f>HYPERLINK("http://genome-euro.ucsc.edu/cgi-bin/hgTracks?position=217781_s_at","UCSC")</f>
        <v>UCSC</v>
      </c>
      <c r="E1279" s="1" t="str">
        <f>HYPERLINK("http://www.ncbi.nlm.nih.gov/gene/?term=ZFP106","NCBI")</f>
        <v>NCBI</v>
      </c>
      <c r="F1279">
        <v>3.0999999999999999E-3</v>
      </c>
      <c r="G1279">
        <v>4.1000000000000002E-2</v>
      </c>
      <c r="H1279" s="1" t="str">
        <f>HYPERLINK("http://www.weizmann.ac.il/complex/compphys/software/geview/data/figures/217781_s_at.png","Figure")</f>
        <v>Figure</v>
      </c>
      <c r="I1279">
        <v>0.51</v>
      </c>
      <c r="J1279">
        <v>6.6E-3</v>
      </c>
      <c r="K1279">
        <v>0.99399999999999999</v>
      </c>
      <c r="L1279">
        <v>1</v>
      </c>
      <c r="M1279">
        <v>1.95</v>
      </c>
      <c r="N1279">
        <v>4.3E-3</v>
      </c>
    </row>
    <row r="1280" spans="1:14" x14ac:dyDescent="0.25">
      <c r="A1280" t="s">
        <v>2389</v>
      </c>
      <c r="B1280" t="s">
        <v>2390</v>
      </c>
      <c r="C1280" s="1" t="str">
        <f>HYPERLINK("http://www.genecards.org/cgi-bin/carddisp.pl?gene=FUT4","GeneCards")</f>
        <v>GeneCards</v>
      </c>
      <c r="D1280" s="1" t="str">
        <f>HYPERLINK("http://genome-euro.ucsc.edu/cgi-bin/hgTracks?position=209892_at","UCSC")</f>
        <v>UCSC</v>
      </c>
      <c r="E1280" s="1" t="str">
        <f>HYPERLINK("http://www.ncbi.nlm.nih.gov/gene/?term=FUT4","NCBI")</f>
        <v>NCBI</v>
      </c>
      <c r="F1280">
        <v>3.0999999999999999E-3</v>
      </c>
      <c r="G1280">
        <v>4.1000000000000002E-2</v>
      </c>
      <c r="H1280" s="1" t="str">
        <f>HYPERLINK("http://www.weizmann.ac.il/complex/compphys/software/geview/data/figures/209892_at.png","Figure")</f>
        <v>Figure</v>
      </c>
      <c r="I1280">
        <v>0.63300000000000001</v>
      </c>
      <c r="J1280">
        <v>2.4E-2</v>
      </c>
      <c r="K1280">
        <v>0.57599999999999996</v>
      </c>
      <c r="L1280">
        <v>2.8999999999999998E-3</v>
      </c>
      <c r="M1280">
        <v>0.91</v>
      </c>
      <c r="N1280">
        <v>0.79</v>
      </c>
    </row>
    <row r="1281" spans="1:14" x14ac:dyDescent="0.25">
      <c r="A1281" t="s">
        <v>2391</v>
      </c>
      <c r="B1281" t="s">
        <v>2392</v>
      </c>
      <c r="C1281" s="1" t="str">
        <f>HYPERLINK("http://www.genecards.org/cgi-bin/carddisp.pl?gene=NENF","GeneCards")</f>
        <v>GeneCards</v>
      </c>
      <c r="D1281" s="1" t="str">
        <f>HYPERLINK("http://genome-euro.ucsc.edu/cgi-bin/hgTracks?position=214075_at","UCSC")</f>
        <v>UCSC</v>
      </c>
      <c r="E1281" s="1" t="str">
        <f>HYPERLINK("http://www.ncbi.nlm.nih.gov/gene/?term=NENF","NCBI")</f>
        <v>NCBI</v>
      </c>
      <c r="F1281">
        <v>3.0999999999999999E-3</v>
      </c>
      <c r="G1281">
        <v>4.1000000000000002E-2</v>
      </c>
      <c r="H1281" s="1" t="str">
        <f>HYPERLINK("http://www.weizmann.ac.il/complex/compphys/software/geview/data/figures/214075_at.png","Figure")</f>
        <v>Figure</v>
      </c>
      <c r="I1281">
        <v>1.1299999999999999</v>
      </c>
      <c r="J1281">
        <v>0.13</v>
      </c>
      <c r="K1281">
        <v>1.24</v>
      </c>
      <c r="L1281">
        <v>2.3E-3</v>
      </c>
      <c r="M1281">
        <v>1.1000000000000001</v>
      </c>
      <c r="N1281">
        <v>0.22</v>
      </c>
    </row>
    <row r="1282" spans="1:14" x14ac:dyDescent="0.25">
      <c r="A1282" t="s">
        <v>2393</v>
      </c>
      <c r="B1282" t="s">
        <v>1961</v>
      </c>
      <c r="C1282" s="1" t="str">
        <f>HYPERLINK("http://www.genecards.org/cgi-bin/carddisp.pl?gene=HAUS5","GeneCards")</f>
        <v>GeneCards</v>
      </c>
      <c r="D1282" s="1" t="str">
        <f>HYPERLINK("http://genome-euro.ucsc.edu/cgi-bin/hgTracks?position=213053_at","UCSC")</f>
        <v>UCSC</v>
      </c>
      <c r="E1282" s="1" t="str">
        <f>HYPERLINK("http://www.ncbi.nlm.nih.gov/gene/?term=HAUS5","NCBI")</f>
        <v>NCBI</v>
      </c>
      <c r="F1282">
        <v>3.0999999999999999E-3</v>
      </c>
      <c r="G1282">
        <v>4.1000000000000002E-2</v>
      </c>
      <c r="H1282" s="1" t="str">
        <f>HYPERLINK("http://www.weizmann.ac.il/complex/compphys/software/geview/data/figures/213053_at.png","Figure")</f>
        <v>Figure</v>
      </c>
      <c r="I1282">
        <v>1.41</v>
      </c>
      <c r="J1282">
        <v>5.7999999999999996E-3</v>
      </c>
      <c r="K1282">
        <v>1.01</v>
      </c>
      <c r="L1282">
        <v>0.98</v>
      </c>
      <c r="M1282">
        <v>0.71899999999999997</v>
      </c>
      <c r="N1282">
        <v>4.7999999999999996E-3</v>
      </c>
    </row>
    <row r="1283" spans="1:14" x14ac:dyDescent="0.25">
      <c r="A1283" t="s">
        <v>2394</v>
      </c>
      <c r="B1283" t="s">
        <v>2395</v>
      </c>
      <c r="C1283" s="1" t="str">
        <f>HYPERLINK("http://www.genecards.org/cgi-bin/carddisp.pl?gene=ARHGEF12","GeneCards")</f>
        <v>GeneCards</v>
      </c>
      <c r="D1283" s="1" t="str">
        <f>HYPERLINK("http://genome-euro.ucsc.edu/cgi-bin/hgTracks?position=201334_s_at","UCSC")</f>
        <v>UCSC</v>
      </c>
      <c r="E1283" s="1" t="str">
        <f>HYPERLINK("http://www.ncbi.nlm.nih.gov/gene/?term=ARHGEF12","NCBI")</f>
        <v>NCBI</v>
      </c>
      <c r="F1283">
        <v>3.0999999999999999E-3</v>
      </c>
      <c r="G1283">
        <v>4.1000000000000002E-2</v>
      </c>
      <c r="H1283" s="1" t="str">
        <f>HYPERLINK("http://www.weizmann.ac.il/complex/compphys/software/geview/data/figures/201334_s_at.png","Figure")</f>
        <v>Figure</v>
      </c>
      <c r="I1283">
        <v>1.49</v>
      </c>
      <c r="J1283">
        <v>0.28999999999999998</v>
      </c>
      <c r="K1283">
        <v>0.55900000000000005</v>
      </c>
      <c r="L1283">
        <v>0.05</v>
      </c>
      <c r="M1283">
        <v>0.375</v>
      </c>
      <c r="N1283">
        <v>3.0000000000000001E-3</v>
      </c>
    </row>
    <row r="1284" spans="1:14" x14ac:dyDescent="0.25">
      <c r="A1284" t="s">
        <v>2396</v>
      </c>
      <c r="B1284" t="s">
        <v>2397</v>
      </c>
      <c r="C1284" s="1" t="str">
        <f>HYPERLINK("http://www.genecards.org/cgi-bin/carddisp.pl?gene=TAF11","GeneCards")</f>
        <v>GeneCards</v>
      </c>
      <c r="D1284" s="1" t="str">
        <f>HYPERLINK("http://genome-euro.ucsc.edu/cgi-bin/hgTracks?position=209358_at","UCSC")</f>
        <v>UCSC</v>
      </c>
      <c r="E1284" s="1" t="str">
        <f>HYPERLINK("http://www.ncbi.nlm.nih.gov/gene/?term=TAF11","NCBI")</f>
        <v>NCBI</v>
      </c>
      <c r="F1284">
        <v>3.0999999999999999E-3</v>
      </c>
      <c r="G1284">
        <v>4.1000000000000002E-2</v>
      </c>
      <c r="H1284" s="1" t="str">
        <f>HYPERLINK("http://www.weizmann.ac.il/complex/compphys/software/geview/data/figures/209358_at.png","Figure")</f>
        <v>Figure</v>
      </c>
      <c r="I1284">
        <v>0.38600000000000001</v>
      </c>
      <c r="J1284">
        <v>0.01</v>
      </c>
      <c r="K1284">
        <v>0.39200000000000002</v>
      </c>
      <c r="L1284">
        <v>4.4000000000000003E-3</v>
      </c>
      <c r="M1284">
        <v>1.02</v>
      </c>
      <c r="N1284">
        <v>1</v>
      </c>
    </row>
    <row r="1285" spans="1:14" x14ac:dyDescent="0.25">
      <c r="A1285" t="s">
        <v>2398</v>
      </c>
      <c r="B1285" t="s">
        <v>2399</v>
      </c>
      <c r="C1285" s="1" t="str">
        <f>HYPERLINK("http://www.genecards.org/cgi-bin/carddisp.pl?gene=SMYD3","GeneCards")</f>
        <v>GeneCards</v>
      </c>
      <c r="D1285" s="1" t="str">
        <f>HYPERLINK("http://genome-euro.ucsc.edu/cgi-bin/hgTracks?position=218788_s_at","UCSC")</f>
        <v>UCSC</v>
      </c>
      <c r="E1285" s="1" t="str">
        <f>HYPERLINK("http://www.ncbi.nlm.nih.gov/gene/?term=SMYD3","NCBI")</f>
        <v>NCBI</v>
      </c>
      <c r="F1285">
        <v>3.0999999999999999E-3</v>
      </c>
      <c r="G1285">
        <v>4.1000000000000002E-2</v>
      </c>
      <c r="H1285" s="1" t="str">
        <f>HYPERLINK("http://www.weizmann.ac.il/complex/compphys/software/geview/data/figures/218788_s_at.png","Figure")</f>
        <v>Figure</v>
      </c>
      <c r="I1285">
        <v>1.49</v>
      </c>
      <c r="J1285">
        <v>7.0000000000000007E-2</v>
      </c>
      <c r="K1285">
        <v>1.84</v>
      </c>
      <c r="L1285">
        <v>2.3E-3</v>
      </c>
      <c r="M1285">
        <v>1.23</v>
      </c>
      <c r="N1285">
        <v>0.38</v>
      </c>
    </row>
    <row r="1286" spans="1:14" x14ac:dyDescent="0.25">
      <c r="A1286" t="s">
        <v>2400</v>
      </c>
      <c r="B1286" t="s">
        <v>2401</v>
      </c>
      <c r="C1286" s="1" t="str">
        <f>HYPERLINK("http://www.genecards.org/cgi-bin/carddisp.pl?gene=S100A8","GeneCards")</f>
        <v>GeneCards</v>
      </c>
      <c r="D1286" s="1" t="str">
        <f>HYPERLINK("http://genome-euro.ucsc.edu/cgi-bin/hgTracks?position=202917_s_at","UCSC")</f>
        <v>UCSC</v>
      </c>
      <c r="E1286" s="1" t="str">
        <f>HYPERLINK("http://www.ncbi.nlm.nih.gov/gene/?term=S100A8","NCBI")</f>
        <v>NCBI</v>
      </c>
      <c r="F1286">
        <v>3.0999999999999999E-3</v>
      </c>
      <c r="G1286">
        <v>4.1000000000000002E-2</v>
      </c>
      <c r="H1286" s="1" t="str">
        <f>HYPERLINK("http://www.weizmann.ac.il/complex/compphys/software/geview/data/figures/202917_s_at.png","Figure")</f>
        <v>Figure</v>
      </c>
      <c r="I1286">
        <v>3.11</v>
      </c>
      <c r="J1286">
        <v>3.3000000000000002E-2</v>
      </c>
      <c r="K1286">
        <v>0.63800000000000001</v>
      </c>
      <c r="L1286">
        <v>0.42</v>
      </c>
      <c r="M1286">
        <v>0.20499999999999999</v>
      </c>
      <c r="N1286">
        <v>2.3999999999999998E-3</v>
      </c>
    </row>
    <row r="1287" spans="1:14" x14ac:dyDescent="0.25">
      <c r="A1287" t="s">
        <v>2402</v>
      </c>
      <c r="B1287" t="s">
        <v>2403</v>
      </c>
      <c r="C1287" s="1" t="str">
        <f>HYPERLINK("http://www.genecards.org/cgi-bin/carddisp.pl?gene=ARRB2","GeneCards")</f>
        <v>GeneCards</v>
      </c>
      <c r="D1287" s="1" t="str">
        <f>HYPERLINK("http://genome-euro.ucsc.edu/cgi-bin/hgTracks?position=203388_at","UCSC")</f>
        <v>UCSC</v>
      </c>
      <c r="E1287" s="1" t="str">
        <f>HYPERLINK("http://www.ncbi.nlm.nih.gov/gene/?term=ARRB2","NCBI")</f>
        <v>NCBI</v>
      </c>
      <c r="F1287">
        <v>3.0999999999999999E-3</v>
      </c>
      <c r="G1287">
        <v>4.1000000000000002E-2</v>
      </c>
      <c r="H1287" s="1" t="str">
        <f>HYPERLINK("http://www.weizmann.ac.il/complex/compphys/software/geview/data/figures/203388_at.png","Figure")</f>
        <v>Figure</v>
      </c>
      <c r="I1287">
        <v>0.48599999999999999</v>
      </c>
      <c r="J1287">
        <v>2.5999999999999999E-3</v>
      </c>
      <c r="K1287">
        <v>0.65500000000000003</v>
      </c>
      <c r="L1287">
        <v>3.4000000000000002E-2</v>
      </c>
      <c r="M1287">
        <v>1.35</v>
      </c>
      <c r="N1287">
        <v>0.18</v>
      </c>
    </row>
    <row r="1288" spans="1:14" x14ac:dyDescent="0.25">
      <c r="A1288" t="s">
        <v>2404</v>
      </c>
      <c r="B1288" t="s">
        <v>2405</v>
      </c>
      <c r="C1288" s="1" t="str">
        <f>HYPERLINK("http://www.genecards.org/cgi-bin/carddisp.pl?gene=ALDH3B1","GeneCards")</f>
        <v>GeneCards</v>
      </c>
      <c r="D1288" s="1" t="str">
        <f>HYPERLINK("http://genome-euro.ucsc.edu/cgi-bin/hgTracks?position=205640_at","UCSC")</f>
        <v>UCSC</v>
      </c>
      <c r="E1288" s="1" t="str">
        <f>HYPERLINK("http://www.ncbi.nlm.nih.gov/gene/?term=ALDH3B1","NCBI")</f>
        <v>NCBI</v>
      </c>
      <c r="F1288">
        <v>3.0999999999999999E-3</v>
      </c>
      <c r="G1288">
        <v>4.1000000000000002E-2</v>
      </c>
      <c r="H1288" s="1" t="str">
        <f>HYPERLINK("http://www.weizmann.ac.il/complex/compphys/software/geview/data/figures/205640_at.png","Figure")</f>
        <v>Figure</v>
      </c>
      <c r="I1288">
        <v>0.92900000000000005</v>
      </c>
      <c r="J1288">
        <v>0.66</v>
      </c>
      <c r="K1288">
        <v>1.26</v>
      </c>
      <c r="L1288">
        <v>1.7999999999999999E-2</v>
      </c>
      <c r="M1288">
        <v>1.35</v>
      </c>
      <c r="N1288">
        <v>4.7000000000000002E-3</v>
      </c>
    </row>
    <row r="1289" spans="1:14" x14ac:dyDescent="0.25">
      <c r="A1289" t="s">
        <v>2406</v>
      </c>
      <c r="B1289" t="s">
        <v>2407</v>
      </c>
      <c r="C1289" s="1" t="str">
        <f>HYPERLINK("http://www.genecards.org/cgi-bin/carddisp.pl?gene=KIAA0664","GeneCards")</f>
        <v>GeneCards</v>
      </c>
      <c r="D1289" s="1" t="str">
        <f>HYPERLINK("http://genome-euro.ucsc.edu/cgi-bin/hgTracks?position=212456_at","UCSC")</f>
        <v>UCSC</v>
      </c>
      <c r="E1289" s="1" t="str">
        <f>HYPERLINK("http://www.ncbi.nlm.nih.gov/gene/?term=KIAA0664","NCBI")</f>
        <v>NCBI</v>
      </c>
      <c r="F1289">
        <v>3.0999999999999999E-3</v>
      </c>
      <c r="G1289">
        <v>4.1000000000000002E-2</v>
      </c>
      <c r="H1289" s="1" t="str">
        <f>HYPERLINK("http://www.weizmann.ac.il/complex/compphys/software/geview/data/figures/212456_at.png","Figure")</f>
        <v>Figure</v>
      </c>
      <c r="I1289">
        <v>1.33</v>
      </c>
      <c r="J1289">
        <v>5.1000000000000004E-3</v>
      </c>
      <c r="K1289">
        <v>1.26</v>
      </c>
      <c r="L1289">
        <v>8.5000000000000006E-3</v>
      </c>
      <c r="M1289">
        <v>0.94799999999999995</v>
      </c>
      <c r="N1289">
        <v>0.72</v>
      </c>
    </row>
    <row r="1290" spans="1:14" x14ac:dyDescent="0.25">
      <c r="A1290" t="s">
        <v>2408</v>
      </c>
      <c r="B1290" t="s">
        <v>2409</v>
      </c>
      <c r="C1290" s="1" t="str">
        <f>HYPERLINK("http://www.genecards.org/cgi-bin/carddisp.pl?gene=POLR2J /// POLR2J2 /// POLR2J3 /// POLR2J4","GeneCards")</f>
        <v>GeneCards</v>
      </c>
      <c r="D1290" s="1" t="str">
        <f>HYPERLINK("http://genome-euro.ucsc.edu/cgi-bin/hgTracks?position=214740_at","UCSC")</f>
        <v>UCSC</v>
      </c>
      <c r="E1290" s="1" t="str">
        <f>HYPERLINK("http://www.ncbi.nlm.nih.gov/gene/?term=POLR2J /// POLR2J2 /// POLR2J3 /// POLR2J4","NCBI")</f>
        <v>NCBI</v>
      </c>
      <c r="F1290">
        <v>3.0999999999999999E-3</v>
      </c>
      <c r="G1290">
        <v>4.1000000000000002E-2</v>
      </c>
      <c r="H1290" s="1" t="str">
        <f>HYPERLINK("http://www.weizmann.ac.il/complex/compphys/software/geview/data/figures/214740_at.png","Figure")</f>
        <v>Figure</v>
      </c>
      <c r="I1290">
        <v>1.42</v>
      </c>
      <c r="J1290">
        <v>2.3E-2</v>
      </c>
      <c r="K1290">
        <v>0.89900000000000002</v>
      </c>
      <c r="L1290">
        <v>0.56000000000000005</v>
      </c>
      <c r="M1290">
        <v>0.63300000000000001</v>
      </c>
      <c r="N1290">
        <v>2.5000000000000001E-3</v>
      </c>
    </row>
    <row r="1291" spans="1:14" x14ac:dyDescent="0.25">
      <c r="A1291" t="s">
        <v>2410</v>
      </c>
      <c r="B1291" t="s">
        <v>2411</v>
      </c>
      <c r="C1291" s="1" t="str">
        <f>HYPERLINK("http://www.genecards.org/cgi-bin/carddisp.pl?gene=FAM106A","GeneCards")</f>
        <v>GeneCards</v>
      </c>
      <c r="D1291" s="1" t="str">
        <f>HYPERLINK("http://genome-euro.ucsc.edu/cgi-bin/hgTracks?position=220575_at","UCSC")</f>
        <v>UCSC</v>
      </c>
      <c r="E1291" s="1" t="str">
        <f>HYPERLINK("http://www.ncbi.nlm.nih.gov/gene/?term=FAM106A","NCBI")</f>
        <v>NCBI</v>
      </c>
      <c r="F1291">
        <v>3.0999999999999999E-3</v>
      </c>
      <c r="G1291">
        <v>4.1000000000000002E-2</v>
      </c>
      <c r="H1291" s="1" t="str">
        <f>HYPERLINK("http://www.weizmann.ac.il/complex/compphys/software/geview/data/figures/220575_at.png","Figure")</f>
        <v>Figure</v>
      </c>
      <c r="I1291">
        <v>0.95299999999999996</v>
      </c>
      <c r="J1291">
        <v>0.84</v>
      </c>
      <c r="K1291">
        <v>0.745</v>
      </c>
      <c r="L1291">
        <v>4.3E-3</v>
      </c>
      <c r="M1291">
        <v>0.78200000000000003</v>
      </c>
      <c r="N1291">
        <v>2.1999999999999999E-2</v>
      </c>
    </row>
    <row r="1292" spans="1:14" x14ac:dyDescent="0.25">
      <c r="A1292" t="s">
        <v>2412</v>
      </c>
      <c r="B1292" t="s">
        <v>2413</v>
      </c>
      <c r="C1292" s="1" t="str">
        <f>HYPERLINK("http://www.genecards.org/cgi-bin/carddisp.pl?gene=ADAM19","GeneCards")</f>
        <v>GeneCards</v>
      </c>
      <c r="D1292" s="1" t="str">
        <f>HYPERLINK("http://genome-euro.ucsc.edu/cgi-bin/hgTracks?position=221128_at","UCSC")</f>
        <v>UCSC</v>
      </c>
      <c r="E1292" s="1" t="str">
        <f>HYPERLINK("http://www.ncbi.nlm.nih.gov/gene/?term=ADAM19","NCBI")</f>
        <v>NCBI</v>
      </c>
      <c r="F1292">
        <v>3.0999999999999999E-3</v>
      </c>
      <c r="G1292">
        <v>4.1000000000000002E-2</v>
      </c>
      <c r="H1292" s="1" t="str">
        <f>HYPERLINK("http://www.weizmann.ac.il/complex/compphys/software/geview/data/figures/221128_at.png","Figure")</f>
        <v>Figure</v>
      </c>
      <c r="I1292">
        <v>1.3</v>
      </c>
      <c r="J1292">
        <v>2.5999999999999999E-3</v>
      </c>
      <c r="K1292">
        <v>1.08</v>
      </c>
      <c r="L1292">
        <v>0.35</v>
      </c>
      <c r="M1292">
        <v>0.83199999999999996</v>
      </c>
      <c r="N1292">
        <v>1.7999999999999999E-2</v>
      </c>
    </row>
    <row r="1293" spans="1:14" x14ac:dyDescent="0.25">
      <c r="A1293" t="s">
        <v>2414</v>
      </c>
      <c r="B1293" t="s">
        <v>2415</v>
      </c>
      <c r="C1293" s="1" t="str">
        <f>HYPERLINK("http://www.genecards.org/cgi-bin/carddisp.pl?gene=CLEC10A","GeneCards")</f>
        <v>GeneCards</v>
      </c>
      <c r="D1293" s="1" t="str">
        <f>HYPERLINK("http://genome-euro.ucsc.edu/cgi-bin/hgTracks?position=206682_at","UCSC")</f>
        <v>UCSC</v>
      </c>
      <c r="E1293" s="1" t="str">
        <f>HYPERLINK("http://www.ncbi.nlm.nih.gov/gene/?term=CLEC10A","NCBI")</f>
        <v>NCBI</v>
      </c>
      <c r="F1293">
        <v>3.0999999999999999E-3</v>
      </c>
      <c r="G1293">
        <v>4.1000000000000002E-2</v>
      </c>
      <c r="H1293" s="1" t="str">
        <f>HYPERLINK("http://www.weizmann.ac.il/complex/compphys/software/geview/data/figures/206682_at.png","Figure")</f>
        <v>Figure</v>
      </c>
      <c r="I1293">
        <v>1.1000000000000001</v>
      </c>
      <c r="J1293">
        <v>4.4999999999999997E-3</v>
      </c>
      <c r="K1293">
        <v>1.08</v>
      </c>
      <c r="L1293">
        <v>0.01</v>
      </c>
      <c r="M1293">
        <v>0.97899999999999998</v>
      </c>
      <c r="N1293">
        <v>0.63</v>
      </c>
    </row>
    <row r="1294" spans="1:14" x14ac:dyDescent="0.25">
      <c r="A1294" t="s">
        <v>2416</v>
      </c>
      <c r="B1294" t="s">
        <v>2417</v>
      </c>
      <c r="C1294" s="1" t="str">
        <f>HYPERLINK("http://www.genecards.org/cgi-bin/carddisp.pl?gene=USPL1","GeneCards")</f>
        <v>GeneCards</v>
      </c>
      <c r="D1294" s="1" t="str">
        <f>HYPERLINK("http://genome-euro.ucsc.edu/cgi-bin/hgTracks?position=204190_at","UCSC")</f>
        <v>UCSC</v>
      </c>
      <c r="E1294" s="1" t="str">
        <f>HYPERLINK("http://www.ncbi.nlm.nih.gov/gene/?term=USPL1","NCBI")</f>
        <v>NCBI</v>
      </c>
      <c r="F1294">
        <v>3.0999999999999999E-3</v>
      </c>
      <c r="G1294">
        <v>4.1000000000000002E-2</v>
      </c>
      <c r="H1294" s="1" t="str">
        <f>HYPERLINK("http://www.weizmann.ac.il/complex/compphys/software/geview/data/figures/204190_at.png","Figure")</f>
        <v>Figure</v>
      </c>
      <c r="I1294">
        <v>0.96299999999999997</v>
      </c>
      <c r="J1294">
        <v>0.98</v>
      </c>
      <c r="K1294">
        <v>0.47299999999999998</v>
      </c>
      <c r="L1294">
        <v>5.8999999999999999E-3</v>
      </c>
      <c r="M1294">
        <v>0.49099999999999999</v>
      </c>
      <c r="N1294">
        <v>1.2999999999999999E-2</v>
      </c>
    </row>
    <row r="1295" spans="1:14" x14ac:dyDescent="0.25">
      <c r="A1295" t="s">
        <v>2418</v>
      </c>
      <c r="B1295" t="s">
        <v>2419</v>
      </c>
      <c r="C1295" s="1" t="str">
        <f>HYPERLINK("http://www.genecards.org/cgi-bin/carddisp.pl?gene=HSD17B4","GeneCards")</f>
        <v>GeneCards</v>
      </c>
      <c r="D1295" s="1" t="str">
        <f>HYPERLINK("http://genome-euro.ucsc.edu/cgi-bin/hgTracks?position=201413_at","UCSC")</f>
        <v>UCSC</v>
      </c>
      <c r="E1295" s="1" t="str">
        <f>HYPERLINK("http://www.ncbi.nlm.nih.gov/gene/?term=HSD17B4","NCBI")</f>
        <v>NCBI</v>
      </c>
      <c r="F1295">
        <v>3.2000000000000002E-3</v>
      </c>
      <c r="G1295">
        <v>4.1000000000000002E-2</v>
      </c>
      <c r="H1295" s="1" t="str">
        <f>HYPERLINK("http://www.weizmann.ac.il/complex/compphys/software/geview/data/figures/201413_at.png","Figure")</f>
        <v>Figure</v>
      </c>
      <c r="I1295">
        <v>0.99099999999999999</v>
      </c>
      <c r="J1295">
        <v>1</v>
      </c>
      <c r="K1295">
        <v>2.59</v>
      </c>
      <c r="L1295">
        <v>7.1999999999999998E-3</v>
      </c>
      <c r="M1295">
        <v>2.61</v>
      </c>
      <c r="N1295">
        <v>1.0999999999999999E-2</v>
      </c>
    </row>
    <row r="1296" spans="1:14" x14ac:dyDescent="0.25">
      <c r="A1296" t="s">
        <v>2420</v>
      </c>
      <c r="B1296" t="s">
        <v>2421</v>
      </c>
      <c r="C1296" s="1" t="str">
        <f>HYPERLINK("http://www.genecards.org/cgi-bin/carddisp.pl?gene=SARM1 /// TMEM199","GeneCards")</f>
        <v>GeneCards</v>
      </c>
      <c r="D1296" s="1" t="str">
        <f>HYPERLINK("http://genome-euro.ucsc.edu/cgi-bin/hgTracks?position=213257_at","UCSC")</f>
        <v>UCSC</v>
      </c>
      <c r="E1296" s="1" t="str">
        <f>HYPERLINK("http://www.ncbi.nlm.nih.gov/gene/?term=SARM1 /// TMEM199","NCBI")</f>
        <v>NCBI</v>
      </c>
      <c r="F1296">
        <v>3.2000000000000002E-3</v>
      </c>
      <c r="G1296">
        <v>4.1000000000000002E-2</v>
      </c>
      <c r="H1296" s="1" t="str">
        <f>HYPERLINK("http://www.weizmann.ac.il/complex/compphys/software/geview/data/figures/213257_at.png","Figure")</f>
        <v>Figure</v>
      </c>
      <c r="I1296">
        <v>1.39</v>
      </c>
      <c r="J1296">
        <v>4.4000000000000003E-3</v>
      </c>
      <c r="K1296">
        <v>1.28</v>
      </c>
      <c r="L1296">
        <v>1.0999999999999999E-2</v>
      </c>
      <c r="M1296">
        <v>0.92700000000000005</v>
      </c>
      <c r="N1296">
        <v>0.6</v>
      </c>
    </row>
    <row r="1297" spans="1:14" x14ac:dyDescent="0.25">
      <c r="A1297" t="s">
        <v>2422</v>
      </c>
      <c r="B1297" t="s">
        <v>2423</v>
      </c>
      <c r="C1297" s="1" t="str">
        <f>HYPERLINK("http://www.genecards.org/cgi-bin/carddisp.pl?gene=C12orf47","GeneCards")</f>
        <v>GeneCards</v>
      </c>
      <c r="D1297" s="1" t="str">
        <f>HYPERLINK("http://genome-euro.ucsc.edu/cgi-bin/hgTracks?position=219817_at","UCSC")</f>
        <v>UCSC</v>
      </c>
      <c r="E1297" s="1" t="str">
        <f>HYPERLINK("http://www.ncbi.nlm.nih.gov/gene/?term=C12orf47","NCBI")</f>
        <v>NCBI</v>
      </c>
      <c r="F1297">
        <v>3.2000000000000002E-3</v>
      </c>
      <c r="G1297">
        <v>4.1000000000000002E-2</v>
      </c>
      <c r="H1297" s="1" t="str">
        <f>HYPERLINK("http://www.weizmann.ac.il/complex/compphys/software/geview/data/figures/219817_at.png","Figure")</f>
        <v>Figure</v>
      </c>
      <c r="I1297">
        <v>1.02</v>
      </c>
      <c r="J1297">
        <v>0.94</v>
      </c>
      <c r="K1297">
        <v>0.79500000000000004</v>
      </c>
      <c r="L1297">
        <v>9.5999999999999992E-3</v>
      </c>
      <c r="M1297">
        <v>0.77600000000000002</v>
      </c>
      <c r="N1297">
        <v>7.7999999999999996E-3</v>
      </c>
    </row>
    <row r="1298" spans="1:14" x14ac:dyDescent="0.25">
      <c r="A1298" t="s">
        <v>2424</v>
      </c>
      <c r="B1298" t="s">
        <v>2425</v>
      </c>
      <c r="C1298" s="1" t="str">
        <f>HYPERLINK("http://www.genecards.org/cgi-bin/carddisp.pl?gene=COL5A1","GeneCards")</f>
        <v>GeneCards</v>
      </c>
      <c r="D1298" s="1" t="str">
        <f>HYPERLINK("http://genome-euro.ucsc.edu/cgi-bin/hgTracks?position=212489_at","UCSC")</f>
        <v>UCSC</v>
      </c>
      <c r="E1298" s="1" t="str">
        <f>HYPERLINK("http://www.ncbi.nlm.nih.gov/gene/?term=COL5A1","NCBI")</f>
        <v>NCBI</v>
      </c>
      <c r="F1298">
        <v>3.2000000000000002E-3</v>
      </c>
      <c r="G1298">
        <v>4.1000000000000002E-2</v>
      </c>
      <c r="H1298" s="1" t="str">
        <f>HYPERLINK("http://www.weizmann.ac.il/complex/compphys/software/geview/data/figures/212489_at.png","Figure")</f>
        <v>Figure</v>
      </c>
      <c r="I1298">
        <v>0.38100000000000001</v>
      </c>
      <c r="J1298">
        <v>2.5000000000000001E-3</v>
      </c>
      <c r="K1298">
        <v>0.72899999999999998</v>
      </c>
      <c r="L1298">
        <v>0.28000000000000003</v>
      </c>
      <c r="M1298">
        <v>1.91</v>
      </c>
      <c r="N1298">
        <v>2.3E-2</v>
      </c>
    </row>
    <row r="1299" spans="1:14" x14ac:dyDescent="0.25">
      <c r="A1299" t="s">
        <v>2426</v>
      </c>
      <c r="B1299" t="s">
        <v>1230</v>
      </c>
      <c r="C1299" s="1" t="str">
        <f>HYPERLINK("http://www.genecards.org/cgi-bin/carddisp.pl?gene=UBE2G2","GeneCards")</f>
        <v>GeneCards</v>
      </c>
      <c r="D1299" s="1" t="str">
        <f>HYPERLINK("http://genome-euro.ucsc.edu/cgi-bin/hgTracks?position=209042_s_at","UCSC")</f>
        <v>UCSC</v>
      </c>
      <c r="E1299" s="1" t="str">
        <f>HYPERLINK("http://www.ncbi.nlm.nih.gov/gene/?term=UBE2G2","NCBI")</f>
        <v>NCBI</v>
      </c>
      <c r="F1299">
        <v>3.2000000000000002E-3</v>
      </c>
      <c r="G1299">
        <v>4.2000000000000003E-2</v>
      </c>
      <c r="H1299" s="1" t="str">
        <f>HYPERLINK("http://www.weizmann.ac.il/complex/compphys/software/geview/data/figures/209042_s_at.png","Figure")</f>
        <v>Figure</v>
      </c>
      <c r="I1299">
        <v>0.59</v>
      </c>
      <c r="J1299">
        <v>5.3999999999999999E-2</v>
      </c>
      <c r="K1299">
        <v>1.34</v>
      </c>
      <c r="L1299">
        <v>0.27</v>
      </c>
      <c r="M1299">
        <v>2.27</v>
      </c>
      <c r="N1299">
        <v>2.3E-3</v>
      </c>
    </row>
    <row r="1300" spans="1:14" x14ac:dyDescent="0.25">
      <c r="A1300" t="s">
        <v>2427</v>
      </c>
      <c r="B1300" t="s">
        <v>660</v>
      </c>
      <c r="C1300" s="1" t="str">
        <f>HYPERLINK("http://www.genecards.org/cgi-bin/carddisp.pl?gene=ZNF783","GeneCards")</f>
        <v>GeneCards</v>
      </c>
      <c r="D1300" s="1" t="str">
        <f>HYPERLINK("http://genome-euro.ucsc.edu/cgi-bin/hgTracks?position=221876_at","UCSC")</f>
        <v>UCSC</v>
      </c>
      <c r="E1300" s="1" t="str">
        <f>HYPERLINK("http://www.ncbi.nlm.nih.gov/gene/?term=ZNF783","NCBI")</f>
        <v>NCBI</v>
      </c>
      <c r="F1300">
        <v>3.2000000000000002E-3</v>
      </c>
      <c r="G1300">
        <v>4.2000000000000003E-2</v>
      </c>
      <c r="H1300" s="1" t="str">
        <f>HYPERLINK("http://www.weizmann.ac.il/complex/compphys/software/geview/data/figures/221876_at.png","Figure")</f>
        <v>Figure</v>
      </c>
      <c r="I1300">
        <v>1.42</v>
      </c>
      <c r="J1300">
        <v>4.1999999999999997E-3</v>
      </c>
      <c r="K1300">
        <v>1.05</v>
      </c>
      <c r="L1300">
        <v>0.82</v>
      </c>
      <c r="M1300">
        <v>0.74</v>
      </c>
      <c r="N1300">
        <v>7.1999999999999998E-3</v>
      </c>
    </row>
    <row r="1301" spans="1:14" x14ac:dyDescent="0.25">
      <c r="A1301" t="s">
        <v>2428</v>
      </c>
      <c r="B1301" t="s">
        <v>2429</v>
      </c>
      <c r="C1301" s="1" t="str">
        <f>HYPERLINK("http://www.genecards.org/cgi-bin/carddisp.pl?gene=TSPAN31","GeneCards")</f>
        <v>GeneCards</v>
      </c>
      <c r="D1301" s="1" t="str">
        <f>HYPERLINK("http://genome-euro.ucsc.edu/cgi-bin/hgTracks?position=203227_s_at","UCSC")</f>
        <v>UCSC</v>
      </c>
      <c r="E1301" s="1" t="str">
        <f>HYPERLINK("http://www.ncbi.nlm.nih.gov/gene/?term=TSPAN31","NCBI")</f>
        <v>NCBI</v>
      </c>
      <c r="F1301">
        <v>3.2000000000000002E-3</v>
      </c>
      <c r="G1301">
        <v>4.2000000000000003E-2</v>
      </c>
      <c r="H1301" s="1" t="str">
        <f>HYPERLINK("http://www.weizmann.ac.il/complex/compphys/software/geview/data/figures/203227_s_at.png","Figure")</f>
        <v>Figure</v>
      </c>
      <c r="I1301">
        <v>0.76600000000000001</v>
      </c>
      <c r="J1301">
        <v>3.3999999999999998E-3</v>
      </c>
      <c r="K1301">
        <v>0.94699999999999995</v>
      </c>
      <c r="L1301">
        <v>0.62</v>
      </c>
      <c r="M1301">
        <v>1.24</v>
      </c>
      <c r="N1301">
        <v>0.01</v>
      </c>
    </row>
    <row r="1302" spans="1:14" x14ac:dyDescent="0.25">
      <c r="A1302" t="s">
        <v>2430</v>
      </c>
      <c r="B1302" t="s">
        <v>1865</v>
      </c>
      <c r="C1302" s="1" t="str">
        <f>HYPERLINK("http://www.genecards.org/cgi-bin/carddisp.pl?gene=AK2","GeneCards")</f>
        <v>GeneCards</v>
      </c>
      <c r="D1302" s="1" t="str">
        <f>HYPERLINK("http://genome-euro.ucsc.edu/cgi-bin/hgTracks?position=208967_s_at","UCSC")</f>
        <v>UCSC</v>
      </c>
      <c r="E1302" s="1" t="str">
        <f>HYPERLINK("http://www.ncbi.nlm.nih.gov/gene/?term=AK2","NCBI")</f>
        <v>NCBI</v>
      </c>
      <c r="F1302">
        <v>3.2000000000000002E-3</v>
      </c>
      <c r="G1302">
        <v>4.2000000000000003E-2</v>
      </c>
      <c r="H1302" s="1" t="str">
        <f>HYPERLINK("http://www.weizmann.ac.il/complex/compphys/software/geview/data/figures/208967_s_at.png","Figure")</f>
        <v>Figure</v>
      </c>
      <c r="I1302">
        <v>1.51</v>
      </c>
      <c r="J1302">
        <v>2.9000000000000001E-2</v>
      </c>
      <c r="K1302">
        <v>1.68</v>
      </c>
      <c r="L1302">
        <v>2.8E-3</v>
      </c>
      <c r="M1302">
        <v>1.1100000000000001</v>
      </c>
      <c r="N1302">
        <v>0.72</v>
      </c>
    </row>
    <row r="1303" spans="1:14" x14ac:dyDescent="0.25">
      <c r="A1303" t="s">
        <v>2431</v>
      </c>
      <c r="B1303" t="s">
        <v>2432</v>
      </c>
      <c r="C1303" s="1" t="str">
        <f>HYPERLINK("http://www.genecards.org/cgi-bin/carddisp.pl?gene=MGEA5","GeneCards")</f>
        <v>GeneCards</v>
      </c>
      <c r="D1303" s="1" t="str">
        <f>HYPERLINK("http://genome-euro.ucsc.edu/cgi-bin/hgTracks?position=200898_s_at","UCSC")</f>
        <v>UCSC</v>
      </c>
      <c r="E1303" s="1" t="str">
        <f>HYPERLINK("http://www.ncbi.nlm.nih.gov/gene/?term=MGEA5","NCBI")</f>
        <v>NCBI</v>
      </c>
      <c r="F1303">
        <v>3.2000000000000002E-3</v>
      </c>
      <c r="G1303">
        <v>4.2000000000000003E-2</v>
      </c>
      <c r="H1303" s="1" t="str">
        <f>HYPERLINK("http://www.weizmann.ac.il/complex/compphys/software/geview/data/figures/200898_s_at.png","Figure")</f>
        <v>Figure</v>
      </c>
      <c r="I1303">
        <v>1.71</v>
      </c>
      <c r="J1303">
        <v>0.14000000000000001</v>
      </c>
      <c r="K1303">
        <v>0.6</v>
      </c>
      <c r="L1303">
        <v>0.1</v>
      </c>
      <c r="M1303">
        <v>0.35099999999999998</v>
      </c>
      <c r="N1303">
        <v>2.5000000000000001E-3</v>
      </c>
    </row>
    <row r="1304" spans="1:14" x14ac:dyDescent="0.25">
      <c r="A1304" t="s">
        <v>2433</v>
      </c>
      <c r="B1304" t="s">
        <v>2434</v>
      </c>
      <c r="C1304" s="1" t="str">
        <f>HYPERLINK("http://www.genecards.org/cgi-bin/carddisp.pl?gene=ARL4A","GeneCards")</f>
        <v>GeneCards</v>
      </c>
      <c r="D1304" s="1" t="str">
        <f>HYPERLINK("http://genome-euro.ucsc.edu/cgi-bin/hgTracks?position=205020_s_at","UCSC")</f>
        <v>UCSC</v>
      </c>
      <c r="E1304" s="1" t="str">
        <f>HYPERLINK("http://www.ncbi.nlm.nih.gov/gene/?term=ARL4A","NCBI")</f>
        <v>NCBI</v>
      </c>
      <c r="F1304">
        <v>3.2000000000000002E-3</v>
      </c>
      <c r="G1304">
        <v>4.2000000000000003E-2</v>
      </c>
      <c r="H1304" s="1" t="str">
        <f>HYPERLINK("http://www.weizmann.ac.il/complex/compphys/software/geview/data/figures/205020_s_at.png","Figure")</f>
        <v>Figure</v>
      </c>
      <c r="I1304">
        <v>2.14</v>
      </c>
      <c r="J1304">
        <v>2.3999999999999998E-3</v>
      </c>
      <c r="K1304">
        <v>1.48</v>
      </c>
      <c r="L1304">
        <v>6.0999999999999999E-2</v>
      </c>
      <c r="M1304">
        <v>0.69299999999999995</v>
      </c>
      <c r="N1304">
        <v>0.11</v>
      </c>
    </row>
    <row r="1305" spans="1:14" x14ac:dyDescent="0.25">
      <c r="A1305" t="s">
        <v>2435</v>
      </c>
      <c r="B1305" t="s">
        <v>2436</v>
      </c>
      <c r="C1305" s="1" t="str">
        <f>HYPERLINK("http://www.genecards.org/cgi-bin/carddisp.pl?gene=BZW2","GeneCards")</f>
        <v>GeneCards</v>
      </c>
      <c r="D1305" s="1" t="str">
        <f>HYPERLINK("http://genome-euro.ucsc.edu/cgi-bin/hgTracks?position=217809_at","UCSC")</f>
        <v>UCSC</v>
      </c>
      <c r="E1305" s="1" t="str">
        <f>HYPERLINK("http://www.ncbi.nlm.nih.gov/gene/?term=BZW2","NCBI")</f>
        <v>NCBI</v>
      </c>
      <c r="F1305">
        <v>3.2000000000000002E-3</v>
      </c>
      <c r="G1305">
        <v>4.2000000000000003E-2</v>
      </c>
      <c r="H1305" s="1" t="str">
        <f>HYPERLINK("http://www.weizmann.ac.il/complex/compphys/software/geview/data/figures/217809_at.png","Figure")</f>
        <v>Figure</v>
      </c>
      <c r="I1305">
        <v>0.98099999999999998</v>
      </c>
      <c r="J1305">
        <v>0.99</v>
      </c>
      <c r="K1305">
        <v>1.46</v>
      </c>
      <c r="L1305">
        <v>8.2000000000000007E-3</v>
      </c>
      <c r="M1305">
        <v>1.49</v>
      </c>
      <c r="N1305">
        <v>9.4000000000000004E-3</v>
      </c>
    </row>
    <row r="1306" spans="1:14" x14ac:dyDescent="0.25">
      <c r="A1306" t="s">
        <v>2437</v>
      </c>
      <c r="B1306" t="s">
        <v>2438</v>
      </c>
      <c r="C1306" s="1" t="str">
        <f>HYPERLINK("http://www.genecards.org/cgi-bin/carddisp.pl?gene=SNAPC4","GeneCards")</f>
        <v>GeneCards</v>
      </c>
      <c r="D1306" s="1" t="str">
        <f>HYPERLINK("http://genome-euro.ucsc.edu/cgi-bin/hgTracks?position=215926_x_at","UCSC")</f>
        <v>UCSC</v>
      </c>
      <c r="E1306" s="1" t="str">
        <f>HYPERLINK("http://www.ncbi.nlm.nih.gov/gene/?term=SNAPC4","NCBI")</f>
        <v>NCBI</v>
      </c>
      <c r="F1306">
        <v>3.2000000000000002E-3</v>
      </c>
      <c r="G1306">
        <v>4.2000000000000003E-2</v>
      </c>
      <c r="H1306" s="1" t="str">
        <f>HYPERLINK("http://www.weizmann.ac.il/complex/compphys/software/geview/data/figures/215926_x_at.png","Figure")</f>
        <v>Figure</v>
      </c>
      <c r="I1306">
        <v>1.42</v>
      </c>
      <c r="J1306">
        <v>2.3999999999999998E-3</v>
      </c>
      <c r="K1306">
        <v>1.1599999999999999</v>
      </c>
      <c r="L1306">
        <v>0.14000000000000001</v>
      </c>
      <c r="M1306">
        <v>0.81499999999999995</v>
      </c>
      <c r="N1306">
        <v>4.7E-2</v>
      </c>
    </row>
    <row r="1307" spans="1:14" x14ac:dyDescent="0.25">
      <c r="A1307" t="s">
        <v>2439</v>
      </c>
      <c r="B1307" t="s">
        <v>2440</v>
      </c>
      <c r="C1307" s="1" t="str">
        <f>HYPERLINK("http://www.genecards.org/cgi-bin/carddisp.pl?gene=ZNF264","GeneCards")</f>
        <v>GeneCards</v>
      </c>
      <c r="D1307" s="1" t="str">
        <f>HYPERLINK("http://genome-euro.ucsc.edu/cgi-bin/hgTracks?position=205917_at","UCSC")</f>
        <v>UCSC</v>
      </c>
      <c r="E1307" s="1" t="str">
        <f>HYPERLINK("http://www.ncbi.nlm.nih.gov/gene/?term=ZNF264","NCBI")</f>
        <v>NCBI</v>
      </c>
      <c r="F1307">
        <v>3.2000000000000002E-3</v>
      </c>
      <c r="G1307">
        <v>4.2000000000000003E-2</v>
      </c>
      <c r="H1307" s="1" t="str">
        <f>HYPERLINK("http://www.weizmann.ac.il/complex/compphys/software/geview/data/figures/205917_at.png","Figure")</f>
        <v>Figure</v>
      </c>
      <c r="I1307">
        <v>0.57999999999999996</v>
      </c>
      <c r="J1307">
        <v>2.9000000000000001E-2</v>
      </c>
      <c r="K1307">
        <v>0.50900000000000001</v>
      </c>
      <c r="L1307">
        <v>2.8E-3</v>
      </c>
      <c r="M1307">
        <v>0.877</v>
      </c>
      <c r="N1307">
        <v>0.73</v>
      </c>
    </row>
    <row r="1308" spans="1:14" x14ac:dyDescent="0.25">
      <c r="A1308" t="s">
        <v>2441</v>
      </c>
      <c r="B1308" t="s">
        <v>2442</v>
      </c>
      <c r="C1308" s="1" t="str">
        <f>HYPERLINK("http://www.genecards.org/cgi-bin/carddisp.pl?gene=CD58","GeneCards")</f>
        <v>GeneCards</v>
      </c>
      <c r="D1308" s="1" t="str">
        <f>HYPERLINK("http://genome-euro.ucsc.edu/cgi-bin/hgTracks?position=205173_x_at","UCSC")</f>
        <v>UCSC</v>
      </c>
      <c r="E1308" s="1" t="str">
        <f>HYPERLINK("http://www.ncbi.nlm.nih.gov/gene/?term=CD58","NCBI")</f>
        <v>NCBI</v>
      </c>
      <c r="F1308">
        <v>3.2000000000000002E-3</v>
      </c>
      <c r="G1308">
        <v>4.2000000000000003E-2</v>
      </c>
      <c r="H1308" s="1" t="str">
        <f>HYPERLINK("http://www.weizmann.ac.il/complex/compphys/software/geview/data/figures/205173_x_at.png","Figure")</f>
        <v>Figure</v>
      </c>
      <c r="I1308">
        <v>1.51</v>
      </c>
      <c r="J1308">
        <v>0.62</v>
      </c>
      <c r="K1308">
        <v>4.72</v>
      </c>
      <c r="L1308">
        <v>3.3999999999999998E-3</v>
      </c>
      <c r="M1308">
        <v>3.13</v>
      </c>
      <c r="N1308">
        <v>3.6999999999999998E-2</v>
      </c>
    </row>
    <row r="1309" spans="1:14" x14ac:dyDescent="0.25">
      <c r="A1309" t="s">
        <v>2443</v>
      </c>
      <c r="B1309" t="s">
        <v>2444</v>
      </c>
      <c r="C1309" s="1" t="str">
        <f>HYPERLINK("http://www.genecards.org/cgi-bin/carddisp.pl?gene=RIOK3","GeneCards")</f>
        <v>GeneCards</v>
      </c>
      <c r="D1309" s="1" t="str">
        <f>HYPERLINK("http://genome-euro.ucsc.edu/cgi-bin/hgTracks?position=202131_s_at","UCSC")</f>
        <v>UCSC</v>
      </c>
      <c r="E1309" s="1" t="str">
        <f>HYPERLINK("http://www.ncbi.nlm.nih.gov/gene/?term=RIOK3","NCBI")</f>
        <v>NCBI</v>
      </c>
      <c r="F1309">
        <v>3.3E-3</v>
      </c>
      <c r="G1309">
        <v>4.2000000000000003E-2</v>
      </c>
      <c r="H1309" s="1" t="str">
        <f>HYPERLINK("http://www.weizmann.ac.il/complex/compphys/software/geview/data/figures/202131_s_at.png","Figure")</f>
        <v>Figure</v>
      </c>
      <c r="I1309">
        <v>0.42899999999999999</v>
      </c>
      <c r="J1309">
        <v>1.2E-2</v>
      </c>
      <c r="K1309">
        <v>0.42199999999999999</v>
      </c>
      <c r="L1309">
        <v>4.1999999999999997E-3</v>
      </c>
      <c r="M1309">
        <v>0.98499999999999999</v>
      </c>
      <c r="N1309">
        <v>1</v>
      </c>
    </row>
    <row r="1310" spans="1:14" x14ac:dyDescent="0.25">
      <c r="A1310" t="s">
        <v>2445</v>
      </c>
      <c r="B1310" t="s">
        <v>2446</v>
      </c>
      <c r="C1310" s="1" t="str">
        <f>HYPERLINK("http://www.genecards.org/cgi-bin/carddisp.pl?gene=TFAM","GeneCards")</f>
        <v>GeneCards</v>
      </c>
      <c r="D1310" s="1" t="str">
        <f>HYPERLINK("http://genome-euro.ucsc.edu/cgi-bin/hgTracks?position=203177_x_at","UCSC")</f>
        <v>UCSC</v>
      </c>
      <c r="E1310" s="1" t="str">
        <f>HYPERLINK("http://www.ncbi.nlm.nih.gov/gene/?term=TFAM","NCBI")</f>
        <v>NCBI</v>
      </c>
      <c r="F1310">
        <v>3.3E-3</v>
      </c>
      <c r="G1310">
        <v>4.2000000000000003E-2</v>
      </c>
      <c r="H1310" s="1" t="str">
        <f>HYPERLINK("http://www.weizmann.ac.il/complex/compphys/software/geview/data/figures/203177_x_at.png","Figure")</f>
        <v>Figure</v>
      </c>
      <c r="I1310">
        <v>0.46600000000000003</v>
      </c>
      <c r="J1310">
        <v>8.6E-3</v>
      </c>
      <c r="K1310">
        <v>0.49</v>
      </c>
      <c r="L1310">
        <v>5.4000000000000003E-3</v>
      </c>
      <c r="M1310">
        <v>1.05</v>
      </c>
      <c r="N1310">
        <v>0.97</v>
      </c>
    </row>
    <row r="1311" spans="1:14" x14ac:dyDescent="0.25">
      <c r="A1311" t="s">
        <v>2447</v>
      </c>
      <c r="B1311" t="s">
        <v>398</v>
      </c>
      <c r="C1311" s="1" t="str">
        <f>HYPERLINK("http://www.genecards.org/cgi-bin/carddisp.pl?gene=CDH4","GeneCards")</f>
        <v>GeneCards</v>
      </c>
      <c r="D1311" s="1" t="str">
        <f>HYPERLINK("http://genome-euro.ucsc.edu/cgi-bin/hgTracks?position=206866_at","UCSC")</f>
        <v>UCSC</v>
      </c>
      <c r="E1311" s="1" t="str">
        <f>HYPERLINK("http://www.ncbi.nlm.nih.gov/gene/?term=CDH4","NCBI")</f>
        <v>NCBI</v>
      </c>
      <c r="F1311">
        <v>3.3E-3</v>
      </c>
      <c r="G1311">
        <v>4.2000000000000003E-2</v>
      </c>
      <c r="H1311" s="1" t="str">
        <f>HYPERLINK("http://www.weizmann.ac.il/complex/compphys/software/geview/data/figures/206866_at.png","Figure")</f>
        <v>Figure</v>
      </c>
      <c r="I1311">
        <v>1.26</v>
      </c>
      <c r="J1311">
        <v>0.34</v>
      </c>
      <c r="K1311">
        <v>0.68500000000000005</v>
      </c>
      <c r="L1311">
        <v>4.2999999999999997E-2</v>
      </c>
      <c r="M1311">
        <v>0.54400000000000004</v>
      </c>
      <c r="N1311">
        <v>3.3E-3</v>
      </c>
    </row>
    <row r="1312" spans="1:14" x14ac:dyDescent="0.25">
      <c r="A1312" t="s">
        <v>2448</v>
      </c>
      <c r="B1312" t="s">
        <v>2449</v>
      </c>
      <c r="C1312" s="1" t="str">
        <f>HYPERLINK("http://www.genecards.org/cgi-bin/carddisp.pl?gene=SH3BP2","GeneCards")</f>
        <v>GeneCards</v>
      </c>
      <c r="D1312" s="1" t="str">
        <f>HYPERLINK("http://genome-euro.ucsc.edu/cgi-bin/hgTracks?position=209370_s_at","UCSC")</f>
        <v>UCSC</v>
      </c>
      <c r="E1312" s="1" t="str">
        <f>HYPERLINK("http://www.ncbi.nlm.nih.gov/gene/?term=SH3BP2","NCBI")</f>
        <v>NCBI</v>
      </c>
      <c r="F1312">
        <v>3.3E-3</v>
      </c>
      <c r="G1312">
        <v>4.2000000000000003E-2</v>
      </c>
      <c r="H1312" s="1" t="str">
        <f>HYPERLINK("http://www.weizmann.ac.il/complex/compphys/software/geview/data/figures/209370_s_at.png","Figure")</f>
        <v>Figure</v>
      </c>
      <c r="I1312">
        <v>0.96199999999999997</v>
      </c>
      <c r="J1312">
        <v>0.94</v>
      </c>
      <c r="K1312">
        <v>1.42</v>
      </c>
      <c r="L1312">
        <v>0.01</v>
      </c>
      <c r="M1312">
        <v>1.48</v>
      </c>
      <c r="N1312">
        <v>7.9000000000000008E-3</v>
      </c>
    </row>
    <row r="1313" spans="1:14" x14ac:dyDescent="0.25">
      <c r="A1313" t="s">
        <v>2450</v>
      </c>
      <c r="B1313" t="s">
        <v>2451</v>
      </c>
      <c r="C1313" s="1" t="str">
        <f>HYPERLINK("http://www.genecards.org/cgi-bin/carddisp.pl?gene=CLK4","GeneCards")</f>
        <v>GeneCards</v>
      </c>
      <c r="D1313" s="1" t="str">
        <f>HYPERLINK("http://genome-euro.ucsc.edu/cgi-bin/hgTracks?position=210346_s_at","UCSC")</f>
        <v>UCSC</v>
      </c>
      <c r="E1313" s="1" t="str">
        <f>HYPERLINK("http://www.ncbi.nlm.nih.gov/gene/?term=CLK4","NCBI")</f>
        <v>NCBI</v>
      </c>
      <c r="F1313">
        <v>3.3E-3</v>
      </c>
      <c r="G1313">
        <v>4.2000000000000003E-2</v>
      </c>
      <c r="H1313" s="1" t="str">
        <f>HYPERLINK("http://www.weizmann.ac.il/complex/compphys/software/geview/data/figures/210346_s_at.png","Figure")</f>
        <v>Figure</v>
      </c>
      <c r="I1313">
        <v>0.95699999999999996</v>
      </c>
      <c r="J1313">
        <v>0.97</v>
      </c>
      <c r="K1313">
        <v>0.51300000000000001</v>
      </c>
      <c r="L1313">
        <v>5.8999999999999999E-3</v>
      </c>
      <c r="M1313">
        <v>0.53600000000000003</v>
      </c>
      <c r="N1313">
        <v>1.4999999999999999E-2</v>
      </c>
    </row>
    <row r="1314" spans="1:14" x14ac:dyDescent="0.25">
      <c r="A1314" t="s">
        <v>2452</v>
      </c>
      <c r="B1314" t="s">
        <v>2453</v>
      </c>
      <c r="C1314" s="1" t="str">
        <f>HYPERLINK("http://www.genecards.org/cgi-bin/carddisp.pl?gene=MAGT1","GeneCards")</f>
        <v>GeneCards</v>
      </c>
      <c r="D1314" s="1" t="str">
        <f>HYPERLINK("http://genome-euro.ucsc.edu/cgi-bin/hgTracks?position=221553_at","UCSC")</f>
        <v>UCSC</v>
      </c>
      <c r="E1314" s="1" t="str">
        <f>HYPERLINK("http://www.ncbi.nlm.nih.gov/gene/?term=MAGT1","NCBI")</f>
        <v>NCBI</v>
      </c>
      <c r="F1314">
        <v>3.3E-3</v>
      </c>
      <c r="G1314">
        <v>4.2000000000000003E-2</v>
      </c>
      <c r="H1314" s="1" t="str">
        <f>HYPERLINK("http://www.weizmann.ac.il/complex/compphys/software/geview/data/figures/221553_at.png","Figure")</f>
        <v>Figure</v>
      </c>
      <c r="I1314">
        <v>0.35899999999999999</v>
      </c>
      <c r="J1314">
        <v>2.3999999999999998E-3</v>
      </c>
      <c r="K1314">
        <v>0.626</v>
      </c>
      <c r="L1314">
        <v>0.1</v>
      </c>
      <c r="M1314">
        <v>1.74</v>
      </c>
      <c r="N1314">
        <v>6.6000000000000003E-2</v>
      </c>
    </row>
    <row r="1315" spans="1:14" x14ac:dyDescent="0.25">
      <c r="A1315" t="s">
        <v>2454</v>
      </c>
      <c r="B1315" t="s">
        <v>2455</v>
      </c>
      <c r="C1315" s="1" t="str">
        <f>HYPERLINK("http://www.genecards.org/cgi-bin/carddisp.pl?gene=SNUPN","GeneCards")</f>
        <v>GeneCards</v>
      </c>
      <c r="D1315" s="1" t="str">
        <f>HYPERLINK("http://genome-euro.ucsc.edu/cgi-bin/hgTracks?position=207438_s_at","UCSC")</f>
        <v>UCSC</v>
      </c>
      <c r="E1315" s="1" t="str">
        <f>HYPERLINK("http://www.ncbi.nlm.nih.gov/gene/?term=SNUPN","NCBI")</f>
        <v>NCBI</v>
      </c>
      <c r="F1315">
        <v>3.3E-3</v>
      </c>
      <c r="G1315">
        <v>4.2000000000000003E-2</v>
      </c>
      <c r="H1315" s="1" t="str">
        <f>HYPERLINK("http://www.weizmann.ac.il/complex/compphys/software/geview/data/figures/207438_s_at.png","Figure")</f>
        <v>Figure</v>
      </c>
      <c r="I1315">
        <v>0.84899999999999998</v>
      </c>
      <c r="J1315">
        <v>0.44</v>
      </c>
      <c r="K1315">
        <v>1.39</v>
      </c>
      <c r="L1315">
        <v>3.2000000000000001E-2</v>
      </c>
      <c r="M1315">
        <v>1.63</v>
      </c>
      <c r="N1315">
        <v>3.7000000000000002E-3</v>
      </c>
    </row>
    <row r="1316" spans="1:14" x14ac:dyDescent="0.25">
      <c r="A1316" t="s">
        <v>2456</v>
      </c>
      <c r="B1316" t="s">
        <v>813</v>
      </c>
      <c r="C1316" s="1" t="str">
        <f>HYPERLINK("http://www.genecards.org/cgi-bin/carddisp.pl?gene=RYK","GeneCards")</f>
        <v>GeneCards</v>
      </c>
      <c r="D1316" s="1" t="str">
        <f>HYPERLINK("http://genome-euro.ucsc.edu/cgi-bin/hgTracks?position=214172_x_at","UCSC")</f>
        <v>UCSC</v>
      </c>
      <c r="E1316" s="1" t="str">
        <f>HYPERLINK("http://www.ncbi.nlm.nih.gov/gene/?term=RYK","NCBI")</f>
        <v>NCBI</v>
      </c>
      <c r="F1316">
        <v>3.3E-3</v>
      </c>
      <c r="G1316">
        <v>4.2000000000000003E-2</v>
      </c>
      <c r="H1316" s="1" t="str">
        <f>HYPERLINK("http://www.weizmann.ac.il/complex/compphys/software/geview/data/figures/214172_x_at.png","Figure")</f>
        <v>Figure</v>
      </c>
      <c r="I1316">
        <v>0.70099999999999996</v>
      </c>
      <c r="J1316">
        <v>1.2999999999999999E-2</v>
      </c>
      <c r="K1316">
        <v>0.69499999999999995</v>
      </c>
      <c r="L1316">
        <v>4.1999999999999997E-3</v>
      </c>
      <c r="M1316">
        <v>0.99099999999999999</v>
      </c>
      <c r="N1316">
        <v>1</v>
      </c>
    </row>
    <row r="1317" spans="1:14" x14ac:dyDescent="0.25">
      <c r="A1317" t="s">
        <v>2457</v>
      </c>
      <c r="B1317" t="s">
        <v>2458</v>
      </c>
      <c r="C1317" s="1" t="str">
        <f>HYPERLINK("http://www.genecards.org/cgi-bin/carddisp.pl?gene=CCNF","GeneCards")</f>
        <v>GeneCards</v>
      </c>
      <c r="D1317" s="1" t="str">
        <f>HYPERLINK("http://genome-euro.ucsc.edu/cgi-bin/hgTracks?position=204826_at","UCSC")</f>
        <v>UCSC</v>
      </c>
      <c r="E1317" s="1" t="str">
        <f>HYPERLINK("http://www.ncbi.nlm.nih.gov/gene/?term=CCNF","NCBI")</f>
        <v>NCBI</v>
      </c>
      <c r="F1317">
        <v>3.3E-3</v>
      </c>
      <c r="G1317">
        <v>4.2000000000000003E-2</v>
      </c>
      <c r="H1317" s="1" t="str">
        <f>HYPERLINK("http://www.weizmann.ac.il/complex/compphys/software/geview/data/figures/204826_at.png","Figure")</f>
        <v>Figure</v>
      </c>
      <c r="I1317">
        <v>1.58</v>
      </c>
      <c r="J1317">
        <v>3.0999999999999999E-3</v>
      </c>
      <c r="K1317">
        <v>1.35</v>
      </c>
      <c r="L1317">
        <v>2.3E-2</v>
      </c>
      <c r="M1317">
        <v>0.85099999999999998</v>
      </c>
      <c r="N1317">
        <v>0.3</v>
      </c>
    </row>
    <row r="1318" spans="1:14" x14ac:dyDescent="0.25">
      <c r="A1318" t="s">
        <v>2459</v>
      </c>
      <c r="B1318" t="s">
        <v>2460</v>
      </c>
      <c r="C1318" s="1" t="str">
        <f>HYPERLINK("http://www.genecards.org/cgi-bin/carddisp.pl?gene=LOC100292189 /// TGFBRAP1","GeneCards")</f>
        <v>GeneCards</v>
      </c>
      <c r="D1318" s="1" t="str">
        <f>HYPERLINK("http://genome-euro.ucsc.edu/cgi-bin/hgTracks?position=221235_s_at","UCSC")</f>
        <v>UCSC</v>
      </c>
      <c r="E1318" s="1" t="str">
        <f>HYPERLINK("http://www.ncbi.nlm.nih.gov/gene/?term=LOC100292189 /// TGFBRAP1","NCBI")</f>
        <v>NCBI</v>
      </c>
      <c r="F1318">
        <v>3.3E-3</v>
      </c>
      <c r="G1318">
        <v>4.2000000000000003E-2</v>
      </c>
      <c r="H1318" s="1" t="str">
        <f>HYPERLINK("http://www.weizmann.ac.il/complex/compphys/software/geview/data/figures/221235_s_at.png","Figure")</f>
        <v>Figure</v>
      </c>
      <c r="I1318">
        <v>0.72399999999999998</v>
      </c>
      <c r="J1318">
        <v>0.51</v>
      </c>
      <c r="K1318">
        <v>0.36199999999999999</v>
      </c>
      <c r="L1318">
        <v>3.0999999999999999E-3</v>
      </c>
      <c r="M1318">
        <v>0.499</v>
      </c>
      <c r="N1318">
        <v>0.05</v>
      </c>
    </row>
    <row r="1319" spans="1:14" x14ac:dyDescent="0.25">
      <c r="A1319" t="s">
        <v>2461</v>
      </c>
      <c r="B1319" t="s">
        <v>2462</v>
      </c>
      <c r="C1319" s="1" t="str">
        <f>HYPERLINK("http://www.genecards.org/cgi-bin/carddisp.pl?gene=ZFAND5","GeneCards")</f>
        <v>GeneCards</v>
      </c>
      <c r="D1319" s="1" t="str">
        <f>HYPERLINK("http://genome-euro.ucsc.edu/cgi-bin/hgTracks?position=210275_s_at","UCSC")</f>
        <v>UCSC</v>
      </c>
      <c r="E1319" s="1" t="str">
        <f>HYPERLINK("http://www.ncbi.nlm.nih.gov/gene/?term=ZFAND5","NCBI")</f>
        <v>NCBI</v>
      </c>
      <c r="F1319">
        <v>3.3E-3</v>
      </c>
      <c r="G1319">
        <v>4.2000000000000003E-2</v>
      </c>
      <c r="H1319" s="1" t="str">
        <f>HYPERLINK("http://www.weizmann.ac.il/complex/compphys/software/geview/data/figures/210275_s_at.png","Figure")</f>
        <v>Figure</v>
      </c>
      <c r="I1319">
        <v>0.70199999999999996</v>
      </c>
      <c r="J1319">
        <v>0.12</v>
      </c>
      <c r="K1319">
        <v>0.53700000000000003</v>
      </c>
      <c r="L1319">
        <v>2.3999999999999998E-3</v>
      </c>
      <c r="M1319">
        <v>0.76500000000000001</v>
      </c>
      <c r="N1319">
        <v>0.23</v>
      </c>
    </row>
    <row r="1320" spans="1:14" x14ac:dyDescent="0.25">
      <c r="A1320" t="s">
        <v>2463</v>
      </c>
      <c r="B1320" t="s">
        <v>2464</v>
      </c>
      <c r="C1320" s="1" t="str">
        <f>HYPERLINK("http://www.genecards.org/cgi-bin/carddisp.pl?gene=SLC25A4","GeneCards")</f>
        <v>GeneCards</v>
      </c>
      <c r="D1320" s="1" t="str">
        <f>HYPERLINK("http://genome-euro.ucsc.edu/cgi-bin/hgTracks?position=202825_at","UCSC")</f>
        <v>UCSC</v>
      </c>
      <c r="E1320" s="1" t="str">
        <f>HYPERLINK("http://www.ncbi.nlm.nih.gov/gene/?term=SLC25A4","NCBI")</f>
        <v>NCBI</v>
      </c>
      <c r="F1320">
        <v>3.3E-3</v>
      </c>
      <c r="G1320">
        <v>4.2000000000000003E-2</v>
      </c>
      <c r="H1320" s="1" t="str">
        <f>HYPERLINK("http://www.weizmann.ac.il/complex/compphys/software/geview/data/figures/202825_at.png","Figure")</f>
        <v>Figure</v>
      </c>
      <c r="I1320">
        <v>1.34</v>
      </c>
      <c r="J1320">
        <v>4.7999999999999996E-3</v>
      </c>
      <c r="K1320">
        <v>1.03</v>
      </c>
      <c r="L1320">
        <v>0.88</v>
      </c>
      <c r="M1320">
        <v>0.77</v>
      </c>
      <c r="N1320">
        <v>6.6E-3</v>
      </c>
    </row>
    <row r="1321" spans="1:14" x14ac:dyDescent="0.25">
      <c r="A1321" t="s">
        <v>2465</v>
      </c>
      <c r="B1321" t="s">
        <v>2466</v>
      </c>
      <c r="C1321" s="1" t="str">
        <f>HYPERLINK("http://www.genecards.org/cgi-bin/carddisp.pl?gene=KDELR3","GeneCards")</f>
        <v>GeneCards</v>
      </c>
      <c r="D1321" s="1" t="str">
        <f>HYPERLINK("http://genome-euro.ucsc.edu/cgi-bin/hgTracks?position=204017_at","UCSC")</f>
        <v>UCSC</v>
      </c>
      <c r="E1321" s="1" t="str">
        <f>HYPERLINK("http://www.ncbi.nlm.nih.gov/gene/?term=KDELR3","NCBI")</f>
        <v>NCBI</v>
      </c>
      <c r="F1321">
        <v>3.3E-3</v>
      </c>
      <c r="G1321">
        <v>4.2000000000000003E-2</v>
      </c>
      <c r="H1321" s="1" t="str">
        <f>HYPERLINK("http://www.weizmann.ac.il/complex/compphys/software/geview/data/figures/204017_at.png","Figure")</f>
        <v>Figure</v>
      </c>
      <c r="I1321">
        <v>1.07</v>
      </c>
      <c r="J1321">
        <v>0.37</v>
      </c>
      <c r="K1321">
        <v>0.89100000000000001</v>
      </c>
      <c r="L1321">
        <v>3.9E-2</v>
      </c>
      <c r="M1321">
        <v>0.83399999999999996</v>
      </c>
      <c r="N1321">
        <v>3.5000000000000001E-3</v>
      </c>
    </row>
    <row r="1322" spans="1:14" x14ac:dyDescent="0.25">
      <c r="A1322" t="s">
        <v>2467</v>
      </c>
      <c r="B1322" t="s">
        <v>2468</v>
      </c>
      <c r="C1322" s="1" t="str">
        <f>HYPERLINK("http://www.genecards.org/cgi-bin/carddisp.pl?gene=RABEPK","GeneCards")</f>
        <v>GeneCards</v>
      </c>
      <c r="D1322" s="1" t="str">
        <f>HYPERLINK("http://genome-euro.ucsc.edu/cgi-bin/hgTracks?position=203150_at","UCSC")</f>
        <v>UCSC</v>
      </c>
      <c r="E1322" s="1" t="str">
        <f>HYPERLINK("http://www.ncbi.nlm.nih.gov/gene/?term=RABEPK","NCBI")</f>
        <v>NCBI</v>
      </c>
      <c r="F1322">
        <v>3.3E-3</v>
      </c>
      <c r="G1322">
        <v>4.2999999999999997E-2</v>
      </c>
      <c r="H1322" s="1" t="str">
        <f>HYPERLINK("http://www.weizmann.ac.il/complex/compphys/software/geview/data/figures/203150_at.png","Figure")</f>
        <v>Figure</v>
      </c>
      <c r="I1322">
        <v>1.1399999999999999</v>
      </c>
      <c r="J1322">
        <v>0.59</v>
      </c>
      <c r="K1322">
        <v>1.61</v>
      </c>
      <c r="L1322">
        <v>3.3999999999999998E-3</v>
      </c>
      <c r="M1322">
        <v>1.41</v>
      </c>
      <c r="N1322">
        <v>4.1000000000000002E-2</v>
      </c>
    </row>
    <row r="1323" spans="1:14" x14ac:dyDescent="0.25">
      <c r="A1323" t="s">
        <v>2469</v>
      </c>
      <c r="B1323" t="s">
        <v>285</v>
      </c>
      <c r="C1323" s="1" t="str">
        <f>HYPERLINK("http://www.genecards.org/cgi-bin/carddisp.pl?gene=GALNT1","GeneCards")</f>
        <v>GeneCards</v>
      </c>
      <c r="D1323" s="1" t="str">
        <f>HYPERLINK("http://genome-euro.ucsc.edu/cgi-bin/hgTracks?position=201722_s_at","UCSC")</f>
        <v>UCSC</v>
      </c>
      <c r="E1323" s="1" t="str">
        <f>HYPERLINK("http://www.ncbi.nlm.nih.gov/gene/?term=GALNT1","NCBI")</f>
        <v>NCBI</v>
      </c>
      <c r="F1323">
        <v>3.3E-3</v>
      </c>
      <c r="G1323">
        <v>4.2999999999999997E-2</v>
      </c>
      <c r="H1323" s="1" t="str">
        <f>HYPERLINK("http://www.weizmann.ac.il/complex/compphys/software/geview/data/figures/201722_s_at.png","Figure")</f>
        <v>Figure</v>
      </c>
      <c r="I1323">
        <v>0.51</v>
      </c>
      <c r="J1323">
        <v>2.3999999999999998E-3</v>
      </c>
      <c r="K1323">
        <v>0.72199999999999998</v>
      </c>
      <c r="L1323">
        <v>8.1000000000000003E-2</v>
      </c>
      <c r="M1323">
        <v>1.42</v>
      </c>
      <c r="N1323">
        <v>8.2000000000000003E-2</v>
      </c>
    </row>
    <row r="1324" spans="1:14" x14ac:dyDescent="0.25">
      <c r="A1324" t="s">
        <v>2470</v>
      </c>
      <c r="B1324" t="s">
        <v>1622</v>
      </c>
      <c r="C1324" s="1" t="str">
        <f>HYPERLINK("http://www.genecards.org/cgi-bin/carddisp.pl?gene=SAT1","GeneCards")</f>
        <v>GeneCards</v>
      </c>
      <c r="D1324" s="1" t="str">
        <f>HYPERLINK("http://genome-euro.ucsc.edu/cgi-bin/hgTracks?position=203455_s_at","UCSC")</f>
        <v>UCSC</v>
      </c>
      <c r="E1324" s="1" t="str">
        <f>HYPERLINK("http://www.ncbi.nlm.nih.gov/gene/?term=SAT1","NCBI")</f>
        <v>NCBI</v>
      </c>
      <c r="F1324">
        <v>3.3E-3</v>
      </c>
      <c r="G1324">
        <v>4.2999999999999997E-2</v>
      </c>
      <c r="H1324" s="1" t="str">
        <f>HYPERLINK("http://www.weizmann.ac.il/complex/compphys/software/geview/data/figures/203455_s_at.png","Figure")</f>
        <v>Figure</v>
      </c>
      <c r="I1324">
        <v>0.45</v>
      </c>
      <c r="J1324">
        <v>3.6999999999999998E-2</v>
      </c>
      <c r="K1324">
        <v>0.35099999999999998</v>
      </c>
      <c r="L1324">
        <v>2.7000000000000001E-3</v>
      </c>
      <c r="M1324">
        <v>0.77900000000000003</v>
      </c>
      <c r="N1324">
        <v>0.63</v>
      </c>
    </row>
    <row r="1325" spans="1:14" x14ac:dyDescent="0.25">
      <c r="A1325" t="s">
        <v>2471</v>
      </c>
      <c r="B1325" t="s">
        <v>2472</v>
      </c>
      <c r="C1325" s="1" t="str">
        <f>HYPERLINK("http://www.genecards.org/cgi-bin/carddisp.pl?gene=CAMK1","GeneCards")</f>
        <v>GeneCards</v>
      </c>
      <c r="D1325" s="1" t="str">
        <f>HYPERLINK("http://genome-euro.ucsc.edu/cgi-bin/hgTracks?position=204392_at","UCSC")</f>
        <v>UCSC</v>
      </c>
      <c r="E1325" s="1" t="str">
        <f>HYPERLINK("http://www.ncbi.nlm.nih.gov/gene/?term=CAMK1","NCBI")</f>
        <v>NCBI</v>
      </c>
      <c r="F1325">
        <v>3.3E-3</v>
      </c>
      <c r="G1325">
        <v>4.2999999999999997E-2</v>
      </c>
      <c r="H1325" s="1" t="str">
        <f>HYPERLINK("http://www.weizmann.ac.il/complex/compphys/software/geview/data/figures/204392_at.png","Figure")</f>
        <v>Figure</v>
      </c>
      <c r="I1325">
        <v>0.86</v>
      </c>
      <c r="J1325">
        <v>7.3000000000000001E-3</v>
      </c>
      <c r="K1325">
        <v>1</v>
      </c>
      <c r="L1325">
        <v>1</v>
      </c>
      <c r="M1325">
        <v>1.1599999999999999</v>
      </c>
      <c r="N1325">
        <v>4.4999999999999997E-3</v>
      </c>
    </row>
    <row r="1326" spans="1:14" x14ac:dyDescent="0.25">
      <c r="A1326" t="s">
        <v>2473</v>
      </c>
      <c r="B1326" t="s">
        <v>2474</v>
      </c>
      <c r="C1326" s="1" t="str">
        <f>HYPERLINK("http://www.genecards.org/cgi-bin/carddisp.pl?gene=FAM65B","GeneCards")</f>
        <v>GeneCards</v>
      </c>
      <c r="D1326" s="1" t="str">
        <f>HYPERLINK("http://genome-euro.ucsc.edu/cgi-bin/hgTracks?position=209829_at","UCSC")</f>
        <v>UCSC</v>
      </c>
      <c r="E1326" s="1" t="str">
        <f>HYPERLINK("http://www.ncbi.nlm.nih.gov/gene/?term=FAM65B","NCBI")</f>
        <v>NCBI</v>
      </c>
      <c r="F1326">
        <v>3.3E-3</v>
      </c>
      <c r="G1326">
        <v>4.2999999999999997E-2</v>
      </c>
      <c r="H1326" s="1" t="str">
        <f>HYPERLINK("http://www.weizmann.ac.il/complex/compphys/software/geview/data/figures/209829_at.png","Figure")</f>
        <v>Figure</v>
      </c>
      <c r="I1326">
        <v>0.42399999999999999</v>
      </c>
      <c r="J1326">
        <v>5.1999999999999998E-3</v>
      </c>
      <c r="K1326">
        <v>0.92800000000000005</v>
      </c>
      <c r="L1326">
        <v>0.92</v>
      </c>
      <c r="M1326">
        <v>2.19</v>
      </c>
      <c r="N1326">
        <v>6.1000000000000004E-3</v>
      </c>
    </row>
    <row r="1327" spans="1:14" x14ac:dyDescent="0.25">
      <c r="A1327" t="s">
        <v>2475</v>
      </c>
      <c r="B1327" t="s">
        <v>1658</v>
      </c>
      <c r="C1327" s="1" t="str">
        <f>HYPERLINK("http://www.genecards.org/cgi-bin/carddisp.pl?gene=GAS7","GeneCards")</f>
        <v>GeneCards</v>
      </c>
      <c r="D1327" s="1" t="str">
        <f>HYPERLINK("http://genome-euro.ucsc.edu/cgi-bin/hgTracks?position=202192_s_at","UCSC")</f>
        <v>UCSC</v>
      </c>
      <c r="E1327" s="1" t="str">
        <f>HYPERLINK("http://www.ncbi.nlm.nih.gov/gene/?term=GAS7","NCBI")</f>
        <v>NCBI</v>
      </c>
      <c r="F1327">
        <v>3.3E-3</v>
      </c>
      <c r="G1327">
        <v>4.2999999999999997E-2</v>
      </c>
      <c r="H1327" s="1" t="str">
        <f>HYPERLINK("http://www.weizmann.ac.il/complex/compphys/software/geview/data/figures/202192_s_at.png","Figure")</f>
        <v>Figure</v>
      </c>
      <c r="I1327">
        <v>0.67700000000000005</v>
      </c>
      <c r="J1327">
        <v>3.9E-2</v>
      </c>
      <c r="K1327">
        <v>1.18</v>
      </c>
      <c r="L1327">
        <v>0.38</v>
      </c>
      <c r="M1327">
        <v>1.75</v>
      </c>
      <c r="N1327">
        <v>2.5000000000000001E-3</v>
      </c>
    </row>
    <row r="1328" spans="1:14" x14ac:dyDescent="0.25">
      <c r="A1328" t="s">
        <v>2476</v>
      </c>
      <c r="B1328" t="s">
        <v>2477</v>
      </c>
      <c r="C1328" s="1" t="str">
        <f>HYPERLINK("http://www.genecards.org/cgi-bin/carddisp.pl?gene=MFSD5","GeneCards")</f>
        <v>GeneCards</v>
      </c>
      <c r="D1328" s="1" t="str">
        <f>HYPERLINK("http://genome-euro.ucsc.edu/cgi-bin/hgTracks?position=212861_at","UCSC")</f>
        <v>UCSC</v>
      </c>
      <c r="E1328" s="1" t="str">
        <f>HYPERLINK("http://www.ncbi.nlm.nih.gov/gene/?term=MFSD5","NCBI")</f>
        <v>NCBI</v>
      </c>
      <c r="F1328">
        <v>3.3E-3</v>
      </c>
      <c r="G1328">
        <v>4.2999999999999997E-2</v>
      </c>
      <c r="H1328" s="1" t="str">
        <f>HYPERLINK("http://www.weizmann.ac.il/complex/compphys/software/geview/data/figures/212861_at.png","Figure")</f>
        <v>Figure</v>
      </c>
      <c r="I1328">
        <v>0.77400000000000002</v>
      </c>
      <c r="J1328">
        <v>0.38</v>
      </c>
      <c r="K1328">
        <v>0.51</v>
      </c>
      <c r="L1328">
        <v>2.8999999999999998E-3</v>
      </c>
      <c r="M1328">
        <v>0.65800000000000003</v>
      </c>
      <c r="N1328">
        <v>7.2999999999999995E-2</v>
      </c>
    </row>
    <row r="1329" spans="1:14" x14ac:dyDescent="0.25">
      <c r="A1329" t="s">
        <v>2478</v>
      </c>
      <c r="B1329" t="s">
        <v>2479</v>
      </c>
      <c r="C1329" s="1" t="str">
        <f>HYPERLINK("http://www.genecards.org/cgi-bin/carddisp.pl?gene=UBE3B","GeneCards")</f>
        <v>GeneCards</v>
      </c>
      <c r="D1329" s="1" t="str">
        <f>HYPERLINK("http://genome-euro.ucsc.edu/cgi-bin/hgTracks?position=213822_s_at","UCSC")</f>
        <v>UCSC</v>
      </c>
      <c r="E1329" s="1" t="str">
        <f>HYPERLINK("http://www.ncbi.nlm.nih.gov/gene/?term=UBE3B","NCBI")</f>
        <v>NCBI</v>
      </c>
      <c r="F1329">
        <v>3.3E-3</v>
      </c>
      <c r="G1329">
        <v>4.2999999999999997E-2</v>
      </c>
      <c r="H1329" s="1" t="str">
        <f>HYPERLINK("http://www.weizmann.ac.il/complex/compphys/software/geview/data/figures/213822_s_at.png","Figure")</f>
        <v>Figure</v>
      </c>
      <c r="I1329">
        <v>0.85099999999999998</v>
      </c>
      <c r="J1329">
        <v>0.18</v>
      </c>
      <c r="K1329">
        <v>0.72799999999999998</v>
      </c>
      <c r="L1329">
        <v>2.5000000000000001E-3</v>
      </c>
      <c r="M1329">
        <v>0.85599999999999998</v>
      </c>
      <c r="N1329">
        <v>0.16</v>
      </c>
    </row>
    <row r="1330" spans="1:14" x14ac:dyDescent="0.25">
      <c r="A1330" t="s">
        <v>2480</v>
      </c>
      <c r="B1330" t="s">
        <v>949</v>
      </c>
      <c r="C1330" s="1" t="str">
        <f>HYPERLINK("http://www.genecards.org/cgi-bin/carddisp.pl?gene=HDGF","GeneCards")</f>
        <v>GeneCards</v>
      </c>
      <c r="D1330" s="1" t="str">
        <f>HYPERLINK("http://genome-euro.ucsc.edu/cgi-bin/hgTracks?position=216484_x_at","UCSC")</f>
        <v>UCSC</v>
      </c>
      <c r="E1330" s="1" t="str">
        <f>HYPERLINK("http://www.ncbi.nlm.nih.gov/gene/?term=HDGF","NCBI")</f>
        <v>NCBI</v>
      </c>
      <c r="F1330">
        <v>3.3E-3</v>
      </c>
      <c r="G1330">
        <v>4.2999999999999997E-2</v>
      </c>
      <c r="H1330" s="1" t="str">
        <f>HYPERLINK("http://www.weizmann.ac.il/complex/compphys/software/geview/data/figures/216484_x_at.png","Figure")</f>
        <v>Figure</v>
      </c>
      <c r="I1330">
        <v>1.64</v>
      </c>
      <c r="J1330">
        <v>5.3E-3</v>
      </c>
      <c r="K1330">
        <v>1.49</v>
      </c>
      <c r="L1330">
        <v>9.1999999999999998E-3</v>
      </c>
      <c r="M1330">
        <v>0.90800000000000003</v>
      </c>
      <c r="N1330">
        <v>0.71</v>
      </c>
    </row>
    <row r="1331" spans="1:14" x14ac:dyDescent="0.25">
      <c r="A1331" t="s">
        <v>2481</v>
      </c>
      <c r="B1331" t="s">
        <v>2482</v>
      </c>
      <c r="C1331" s="1" t="str">
        <f>HYPERLINK("http://www.genecards.org/cgi-bin/carddisp.pl?gene=AMZ2","GeneCards")</f>
        <v>GeneCards</v>
      </c>
      <c r="D1331" s="1" t="str">
        <f>HYPERLINK("http://genome-euro.ucsc.edu/cgi-bin/hgTracks?position=218167_at","UCSC")</f>
        <v>UCSC</v>
      </c>
      <c r="E1331" s="1" t="str">
        <f>HYPERLINK("http://www.ncbi.nlm.nih.gov/gene/?term=AMZ2","NCBI")</f>
        <v>NCBI</v>
      </c>
      <c r="F1331">
        <v>3.3E-3</v>
      </c>
      <c r="G1331">
        <v>4.2999999999999997E-2</v>
      </c>
      <c r="H1331" s="1" t="str">
        <f>HYPERLINK("http://www.weizmann.ac.il/complex/compphys/software/geview/data/figures/218167_at.png","Figure")</f>
        <v>Figure</v>
      </c>
      <c r="I1331">
        <v>0.51100000000000001</v>
      </c>
      <c r="J1331">
        <v>2.5999999999999999E-3</v>
      </c>
      <c r="K1331">
        <v>0.69599999999999995</v>
      </c>
      <c r="L1331">
        <v>5.1999999999999998E-2</v>
      </c>
      <c r="M1331">
        <v>1.36</v>
      </c>
      <c r="N1331">
        <v>0.13</v>
      </c>
    </row>
    <row r="1332" spans="1:14" x14ac:dyDescent="0.25">
      <c r="A1332" t="s">
        <v>2483</v>
      </c>
      <c r="B1332" t="s">
        <v>2484</v>
      </c>
      <c r="C1332" s="1" t="str">
        <f>HYPERLINK("http://www.genecards.org/cgi-bin/carddisp.pl?gene=DNAJC24","GeneCards")</f>
        <v>GeneCards</v>
      </c>
      <c r="D1332" s="1" t="str">
        <f>HYPERLINK("http://genome-euro.ucsc.edu/cgi-bin/hgTracks?position=213853_at","UCSC")</f>
        <v>UCSC</v>
      </c>
      <c r="E1332" s="1" t="str">
        <f>HYPERLINK("http://www.ncbi.nlm.nih.gov/gene/?term=DNAJC24","NCBI")</f>
        <v>NCBI</v>
      </c>
      <c r="F1332">
        <v>3.3E-3</v>
      </c>
      <c r="G1332">
        <v>4.2999999999999997E-2</v>
      </c>
      <c r="H1332" s="1" t="str">
        <f>HYPERLINK("http://www.weizmann.ac.il/complex/compphys/software/geview/data/figures/213853_at.png","Figure")</f>
        <v>Figure</v>
      </c>
      <c r="I1332">
        <v>1.2</v>
      </c>
      <c r="J1332">
        <v>0.51</v>
      </c>
      <c r="K1332">
        <v>1.78</v>
      </c>
      <c r="L1332">
        <v>3.2000000000000002E-3</v>
      </c>
      <c r="M1332">
        <v>1.48</v>
      </c>
      <c r="N1332">
        <v>5.0999999999999997E-2</v>
      </c>
    </row>
    <row r="1333" spans="1:14" x14ac:dyDescent="0.25">
      <c r="A1333" t="s">
        <v>2485</v>
      </c>
      <c r="B1333" t="s">
        <v>2486</v>
      </c>
      <c r="C1333" s="1" t="str">
        <f>HYPERLINK("http://www.genecards.org/cgi-bin/carddisp.pl?gene=GTF2H5","GeneCards")</f>
        <v>GeneCards</v>
      </c>
      <c r="D1333" s="1" t="str">
        <f>HYPERLINK("http://genome-euro.ucsc.edu/cgi-bin/hgTracks?position=213357_at","UCSC")</f>
        <v>UCSC</v>
      </c>
      <c r="E1333" s="1" t="str">
        <f>HYPERLINK("http://www.ncbi.nlm.nih.gov/gene/?term=GTF2H5","NCBI")</f>
        <v>NCBI</v>
      </c>
      <c r="F1333">
        <v>3.3999999999999998E-3</v>
      </c>
      <c r="G1333">
        <v>4.2999999999999997E-2</v>
      </c>
      <c r="H1333" s="1" t="str">
        <f>HYPERLINK("http://www.weizmann.ac.il/complex/compphys/software/geview/data/figures/213357_at.png","Figure")</f>
        <v>Figure</v>
      </c>
      <c r="I1333">
        <v>0.57399999999999995</v>
      </c>
      <c r="J1333">
        <v>4.3999999999999997E-2</v>
      </c>
      <c r="K1333">
        <v>1.3</v>
      </c>
      <c r="L1333">
        <v>0.34</v>
      </c>
      <c r="M1333">
        <v>2.2599999999999998</v>
      </c>
      <c r="N1333">
        <v>2.5000000000000001E-3</v>
      </c>
    </row>
    <row r="1334" spans="1:14" x14ac:dyDescent="0.25">
      <c r="A1334" t="s">
        <v>2487</v>
      </c>
      <c r="B1334" t="s">
        <v>2488</v>
      </c>
      <c r="C1334" s="1" t="str">
        <f>HYPERLINK("http://www.genecards.org/cgi-bin/carddisp.pl?gene=USP33","GeneCards")</f>
        <v>GeneCards</v>
      </c>
      <c r="D1334" s="1" t="str">
        <f>HYPERLINK("http://genome-euro.ucsc.edu/cgi-bin/hgTracks?position=214843_s_at","UCSC")</f>
        <v>UCSC</v>
      </c>
      <c r="E1334" s="1" t="str">
        <f>HYPERLINK("http://www.ncbi.nlm.nih.gov/gene/?term=USP33","NCBI")</f>
        <v>NCBI</v>
      </c>
      <c r="F1334">
        <v>3.3999999999999998E-3</v>
      </c>
      <c r="G1334">
        <v>4.2999999999999997E-2</v>
      </c>
      <c r="H1334" s="1" t="str">
        <f>HYPERLINK("http://www.weizmann.ac.il/complex/compphys/software/geview/data/figures/214843_s_at.png","Figure")</f>
        <v>Figure</v>
      </c>
      <c r="I1334">
        <v>1.17</v>
      </c>
      <c r="J1334">
        <v>0.48</v>
      </c>
      <c r="K1334">
        <v>0.71799999999999997</v>
      </c>
      <c r="L1334">
        <v>0.03</v>
      </c>
      <c r="M1334">
        <v>0.61499999999999999</v>
      </c>
      <c r="N1334">
        <v>4.0000000000000001E-3</v>
      </c>
    </row>
    <row r="1335" spans="1:14" x14ac:dyDescent="0.25">
      <c r="A1335" t="s">
        <v>2489</v>
      </c>
      <c r="B1335" t="s">
        <v>2490</v>
      </c>
      <c r="C1335" s="1" t="str">
        <f>HYPERLINK("http://www.genecards.org/cgi-bin/carddisp.pl?gene=FAR2","GeneCards")</f>
        <v>GeneCards</v>
      </c>
      <c r="D1335" s="1" t="str">
        <f>HYPERLINK("http://genome-euro.ucsc.edu/cgi-bin/hgTracks?position=220615_s_at","UCSC")</f>
        <v>UCSC</v>
      </c>
      <c r="E1335" s="1" t="str">
        <f>HYPERLINK("http://www.ncbi.nlm.nih.gov/gene/?term=FAR2","NCBI")</f>
        <v>NCBI</v>
      </c>
      <c r="F1335">
        <v>3.3999999999999998E-3</v>
      </c>
      <c r="G1335">
        <v>4.2999999999999997E-2</v>
      </c>
      <c r="H1335" s="1" t="str">
        <f>HYPERLINK("http://www.weizmann.ac.il/complex/compphys/software/geview/data/figures/220615_s_at.png","Figure")</f>
        <v>Figure</v>
      </c>
      <c r="I1335">
        <v>0.83899999999999997</v>
      </c>
      <c r="J1335">
        <v>0.25</v>
      </c>
      <c r="K1335">
        <v>1.26</v>
      </c>
      <c r="L1335">
        <v>6.0999999999999999E-2</v>
      </c>
      <c r="M1335">
        <v>1.5</v>
      </c>
      <c r="N1335">
        <v>3.0000000000000001E-3</v>
      </c>
    </row>
    <row r="1336" spans="1:14" x14ac:dyDescent="0.25">
      <c r="A1336" t="s">
        <v>2491</v>
      </c>
      <c r="B1336" t="s">
        <v>2492</v>
      </c>
      <c r="C1336" s="1" t="str">
        <f>HYPERLINK("http://www.genecards.org/cgi-bin/carddisp.pl?gene=RNF187","GeneCards")</f>
        <v>GeneCards</v>
      </c>
      <c r="D1336" s="1" t="str">
        <f>HYPERLINK("http://genome-euro.ucsc.edu/cgi-bin/hgTracks?position=212155_at","UCSC")</f>
        <v>UCSC</v>
      </c>
      <c r="E1336" s="1" t="str">
        <f>HYPERLINK("http://www.ncbi.nlm.nih.gov/gene/?term=RNF187","NCBI")</f>
        <v>NCBI</v>
      </c>
      <c r="F1336">
        <v>3.3999999999999998E-3</v>
      </c>
      <c r="G1336">
        <v>4.2999999999999997E-2</v>
      </c>
      <c r="H1336" s="1" t="str">
        <f>HYPERLINK("http://www.weizmann.ac.il/complex/compphys/software/geview/data/figures/212155_at.png","Figure")</f>
        <v>Figure</v>
      </c>
      <c r="I1336">
        <v>1.82</v>
      </c>
      <c r="J1336">
        <v>7.7000000000000002E-3</v>
      </c>
      <c r="K1336">
        <v>1.71</v>
      </c>
      <c r="L1336">
        <v>6.1999999999999998E-3</v>
      </c>
      <c r="M1336">
        <v>0.94199999999999995</v>
      </c>
      <c r="N1336">
        <v>0.92</v>
      </c>
    </row>
    <row r="1337" spans="1:14" x14ac:dyDescent="0.25">
      <c r="A1337" t="s">
        <v>2493</v>
      </c>
      <c r="B1337" t="s">
        <v>2494</v>
      </c>
      <c r="C1337" s="1" t="str">
        <f>HYPERLINK("http://www.genecards.org/cgi-bin/carddisp.pl?gene=SUPT5H","GeneCards")</f>
        <v>GeneCards</v>
      </c>
      <c r="D1337" s="1" t="str">
        <f>HYPERLINK("http://genome-euro.ucsc.edu/cgi-bin/hgTracks?position=201480_s_at","UCSC")</f>
        <v>UCSC</v>
      </c>
      <c r="E1337" s="1" t="str">
        <f>HYPERLINK("http://www.ncbi.nlm.nih.gov/gene/?term=SUPT5H","NCBI")</f>
        <v>NCBI</v>
      </c>
      <c r="F1337">
        <v>3.3999999999999998E-3</v>
      </c>
      <c r="G1337">
        <v>4.2999999999999997E-2</v>
      </c>
      <c r="H1337" s="1" t="str">
        <f>HYPERLINK("http://www.weizmann.ac.il/complex/compphys/software/geview/data/figures/201480_s_at.png","Figure")</f>
        <v>Figure</v>
      </c>
      <c r="I1337">
        <v>1.34</v>
      </c>
      <c r="J1337">
        <v>2.5000000000000001E-3</v>
      </c>
      <c r="K1337">
        <v>1.1399999999999999</v>
      </c>
      <c r="L1337">
        <v>9.9000000000000005E-2</v>
      </c>
      <c r="M1337">
        <v>0.85399999999999998</v>
      </c>
      <c r="N1337">
        <v>6.9000000000000006E-2</v>
      </c>
    </row>
    <row r="1338" spans="1:14" x14ac:dyDescent="0.25">
      <c r="A1338" t="s">
        <v>2495</v>
      </c>
      <c r="B1338" t="s">
        <v>2496</v>
      </c>
      <c r="C1338" s="1" t="str">
        <f>HYPERLINK("http://www.genecards.org/cgi-bin/carddisp.pl?gene=PDE6D","GeneCards")</f>
        <v>GeneCards</v>
      </c>
      <c r="D1338" s="1" t="str">
        <f>HYPERLINK("http://genome-euro.ucsc.edu/cgi-bin/hgTracks?position=204091_at","UCSC")</f>
        <v>UCSC</v>
      </c>
      <c r="E1338" s="1" t="str">
        <f>HYPERLINK("http://www.ncbi.nlm.nih.gov/gene/?term=PDE6D","NCBI")</f>
        <v>NCBI</v>
      </c>
      <c r="F1338">
        <v>3.3999999999999998E-3</v>
      </c>
      <c r="G1338">
        <v>4.2999999999999997E-2</v>
      </c>
      <c r="H1338" s="1" t="str">
        <f>HYPERLINK("http://www.weizmann.ac.il/complex/compphys/software/geview/data/figures/204091_at.png","Figure")</f>
        <v>Figure</v>
      </c>
      <c r="I1338">
        <v>1.06</v>
      </c>
      <c r="J1338">
        <v>0.94</v>
      </c>
      <c r="K1338">
        <v>1.85</v>
      </c>
      <c r="L1338">
        <v>5.5999999999999999E-3</v>
      </c>
      <c r="M1338">
        <v>1.74</v>
      </c>
      <c r="N1338">
        <v>1.7000000000000001E-2</v>
      </c>
    </row>
    <row r="1339" spans="1:14" x14ac:dyDescent="0.25">
      <c r="A1339" t="s">
        <v>2497</v>
      </c>
      <c r="B1339" t="s">
        <v>2498</v>
      </c>
      <c r="C1339" s="1" t="str">
        <f>HYPERLINK("http://www.genecards.org/cgi-bin/carddisp.pl?gene=TMEM164","GeneCards")</f>
        <v>GeneCards</v>
      </c>
      <c r="D1339" s="1" t="str">
        <f>HYPERLINK("http://genome-euro.ucsc.edu/cgi-bin/hgTracks?position=220486_x_at","UCSC")</f>
        <v>UCSC</v>
      </c>
      <c r="E1339" s="1" t="str">
        <f>HYPERLINK("http://www.ncbi.nlm.nih.gov/gene/?term=TMEM164","NCBI")</f>
        <v>NCBI</v>
      </c>
      <c r="F1339">
        <v>3.3999999999999998E-3</v>
      </c>
      <c r="G1339">
        <v>4.2999999999999997E-2</v>
      </c>
      <c r="H1339" s="1" t="str">
        <f>HYPERLINK("http://www.weizmann.ac.il/complex/compphys/software/geview/data/figures/220486_x_at.png","Figure")</f>
        <v>Figure</v>
      </c>
      <c r="I1339">
        <v>0.58899999999999997</v>
      </c>
      <c r="J1339">
        <v>2.5000000000000001E-3</v>
      </c>
      <c r="K1339">
        <v>0.76500000000000001</v>
      </c>
      <c r="L1339">
        <v>6.8000000000000005E-2</v>
      </c>
      <c r="M1339">
        <v>1.3</v>
      </c>
      <c r="N1339">
        <v>0.1</v>
      </c>
    </row>
    <row r="1340" spans="1:14" x14ac:dyDescent="0.25">
      <c r="A1340" t="s">
        <v>2499</v>
      </c>
      <c r="B1340" t="s">
        <v>2500</v>
      </c>
      <c r="C1340" s="1" t="str">
        <f>HYPERLINK("http://www.genecards.org/cgi-bin/carddisp.pl?gene=WDR77","GeneCards")</f>
        <v>GeneCards</v>
      </c>
      <c r="D1340" s="1" t="str">
        <f>HYPERLINK("http://genome-euro.ucsc.edu/cgi-bin/hgTracks?position=201420_s_at","UCSC")</f>
        <v>UCSC</v>
      </c>
      <c r="E1340" s="1" t="str">
        <f>HYPERLINK("http://www.ncbi.nlm.nih.gov/gene/?term=WDR77","NCBI")</f>
        <v>NCBI</v>
      </c>
      <c r="F1340">
        <v>3.3999999999999998E-3</v>
      </c>
      <c r="G1340">
        <v>4.2999999999999997E-2</v>
      </c>
      <c r="H1340" s="1" t="str">
        <f>HYPERLINK("http://www.weizmann.ac.il/complex/compphys/software/geview/data/figures/201420_s_at.png","Figure")</f>
        <v>Figure</v>
      </c>
      <c r="I1340">
        <v>1.17</v>
      </c>
      <c r="J1340">
        <v>0.35</v>
      </c>
      <c r="K1340">
        <v>1.48</v>
      </c>
      <c r="L1340">
        <v>2.8999999999999998E-3</v>
      </c>
      <c r="M1340">
        <v>1.27</v>
      </c>
      <c r="N1340">
        <v>0.08</v>
      </c>
    </row>
    <row r="1341" spans="1:14" x14ac:dyDescent="0.25">
      <c r="A1341" t="s">
        <v>2501</v>
      </c>
      <c r="B1341" t="s">
        <v>2502</v>
      </c>
      <c r="C1341" s="1" t="str">
        <f>HYPERLINK("http://www.genecards.org/cgi-bin/carddisp.pl?gene=FCHO1","GeneCards")</f>
        <v>GeneCards</v>
      </c>
      <c r="D1341" s="1" t="str">
        <f>HYPERLINK("http://genome-euro.ucsc.edu/cgi-bin/hgTracks?position=213669_at","UCSC")</f>
        <v>UCSC</v>
      </c>
      <c r="E1341" s="1" t="str">
        <f>HYPERLINK("http://www.ncbi.nlm.nih.gov/gene/?term=FCHO1","NCBI")</f>
        <v>NCBI</v>
      </c>
      <c r="F1341">
        <v>3.3999999999999998E-3</v>
      </c>
      <c r="G1341">
        <v>4.2999999999999997E-2</v>
      </c>
      <c r="H1341" s="1" t="str">
        <f>HYPERLINK("http://www.weizmann.ac.il/complex/compphys/software/geview/data/figures/213669_at.png","Figure")</f>
        <v>Figure</v>
      </c>
      <c r="I1341">
        <v>1.1000000000000001</v>
      </c>
      <c r="J1341">
        <v>0.45</v>
      </c>
      <c r="K1341">
        <v>1.32</v>
      </c>
      <c r="L1341">
        <v>3.0999999999999999E-3</v>
      </c>
      <c r="M1341">
        <v>1.2</v>
      </c>
      <c r="N1341">
        <v>6.0999999999999999E-2</v>
      </c>
    </row>
    <row r="1342" spans="1:14" x14ac:dyDescent="0.25">
      <c r="A1342" t="s">
        <v>2503</v>
      </c>
      <c r="B1342" t="s">
        <v>2504</v>
      </c>
      <c r="C1342" s="1" t="str">
        <f>HYPERLINK("http://www.genecards.org/cgi-bin/carddisp.pl?gene=PSMB2","GeneCards")</f>
        <v>GeneCards</v>
      </c>
      <c r="D1342" s="1" t="str">
        <f>HYPERLINK("http://genome-euro.ucsc.edu/cgi-bin/hgTracks?position=200039_s_at","UCSC")</f>
        <v>UCSC</v>
      </c>
      <c r="E1342" s="1" t="str">
        <f>HYPERLINK("http://www.ncbi.nlm.nih.gov/gene/?term=PSMB2","NCBI")</f>
        <v>NCBI</v>
      </c>
      <c r="F1342">
        <v>3.3999999999999998E-3</v>
      </c>
      <c r="G1342">
        <v>4.2999999999999997E-2</v>
      </c>
      <c r="H1342" s="1" t="str">
        <f>HYPERLINK("http://www.weizmann.ac.il/complex/compphys/software/geview/data/figures/200039_s_at.png","Figure")</f>
        <v>Figure</v>
      </c>
      <c r="I1342">
        <v>1.37</v>
      </c>
      <c r="J1342">
        <v>0.22</v>
      </c>
      <c r="K1342">
        <v>1.94</v>
      </c>
      <c r="L1342">
        <v>2.5999999999999999E-3</v>
      </c>
      <c r="M1342">
        <v>1.42</v>
      </c>
      <c r="N1342">
        <v>0.13</v>
      </c>
    </row>
    <row r="1343" spans="1:14" x14ac:dyDescent="0.25">
      <c r="A1343" t="s">
        <v>2505</v>
      </c>
      <c r="B1343" t="s">
        <v>2506</v>
      </c>
      <c r="C1343" s="1" t="str">
        <f>HYPERLINK("http://www.genecards.org/cgi-bin/carddisp.pl?gene=FUS","GeneCards")</f>
        <v>GeneCards</v>
      </c>
      <c r="D1343" s="1" t="str">
        <f>HYPERLINK("http://genome-euro.ucsc.edu/cgi-bin/hgTracks?position=200959_at","UCSC")</f>
        <v>UCSC</v>
      </c>
      <c r="E1343" s="1" t="str">
        <f>HYPERLINK("http://www.ncbi.nlm.nih.gov/gene/?term=FUS","NCBI")</f>
        <v>NCBI</v>
      </c>
      <c r="F1343">
        <v>3.3999999999999998E-3</v>
      </c>
      <c r="G1343">
        <v>4.2999999999999997E-2</v>
      </c>
      <c r="H1343" s="1" t="str">
        <f>HYPERLINK("http://www.weizmann.ac.il/complex/compphys/software/geview/data/figures/200959_at.png","Figure")</f>
        <v>Figure</v>
      </c>
      <c r="I1343">
        <v>1.81</v>
      </c>
      <c r="J1343">
        <v>6.3E-3</v>
      </c>
      <c r="K1343">
        <v>1.03</v>
      </c>
      <c r="L1343">
        <v>0.98</v>
      </c>
      <c r="M1343">
        <v>0.56599999999999995</v>
      </c>
      <c r="N1343">
        <v>5.3E-3</v>
      </c>
    </row>
    <row r="1344" spans="1:14" x14ac:dyDescent="0.25">
      <c r="A1344" t="s">
        <v>2507</v>
      </c>
      <c r="B1344" t="s">
        <v>2508</v>
      </c>
      <c r="C1344" s="1" t="str">
        <f>HYPERLINK("http://www.genecards.org/cgi-bin/carddisp.pl?gene=NECAP1","GeneCards")</f>
        <v>GeneCards</v>
      </c>
      <c r="D1344" s="1" t="str">
        <f>HYPERLINK("http://genome-euro.ucsc.edu/cgi-bin/hgTracks?position=209300_s_at","UCSC")</f>
        <v>UCSC</v>
      </c>
      <c r="E1344" s="1" t="str">
        <f>HYPERLINK("http://www.ncbi.nlm.nih.gov/gene/?term=NECAP1","NCBI")</f>
        <v>NCBI</v>
      </c>
      <c r="F1344">
        <v>3.3999999999999998E-3</v>
      </c>
      <c r="G1344">
        <v>4.2999999999999997E-2</v>
      </c>
      <c r="H1344" s="1" t="str">
        <f>HYPERLINK("http://www.weizmann.ac.il/complex/compphys/software/geview/data/figures/209300_s_at.png","Figure")</f>
        <v>Figure</v>
      </c>
      <c r="I1344">
        <v>0.60599999999999998</v>
      </c>
      <c r="J1344">
        <v>0.12</v>
      </c>
      <c r="K1344">
        <v>0.42</v>
      </c>
      <c r="L1344">
        <v>2.5000000000000001E-3</v>
      </c>
      <c r="M1344">
        <v>0.69299999999999995</v>
      </c>
      <c r="N1344">
        <v>0.25</v>
      </c>
    </row>
    <row r="1345" spans="1:14" x14ac:dyDescent="0.25">
      <c r="A1345" t="s">
        <v>2509</v>
      </c>
      <c r="B1345" t="s">
        <v>2510</v>
      </c>
      <c r="C1345" s="1" t="str">
        <f>HYPERLINK("http://www.genecards.org/cgi-bin/carddisp.pl?gene=WDR62","GeneCards")</f>
        <v>GeneCards</v>
      </c>
      <c r="D1345" s="1" t="str">
        <f>HYPERLINK("http://genome-euro.ucsc.edu/cgi-bin/hgTracks?position=215218_s_at","UCSC")</f>
        <v>UCSC</v>
      </c>
      <c r="E1345" s="1" t="str">
        <f>HYPERLINK("http://www.ncbi.nlm.nih.gov/gene/?term=WDR62","NCBI")</f>
        <v>NCBI</v>
      </c>
      <c r="F1345">
        <v>3.3999999999999998E-3</v>
      </c>
      <c r="G1345">
        <v>4.2999999999999997E-2</v>
      </c>
      <c r="H1345" s="1" t="str">
        <f>HYPERLINK("http://www.weizmann.ac.il/complex/compphys/software/geview/data/figures/215218_s_at.png","Figure")</f>
        <v>Figure</v>
      </c>
      <c r="I1345">
        <v>1.33</v>
      </c>
      <c r="J1345">
        <v>2.8999999999999998E-3</v>
      </c>
      <c r="K1345">
        <v>1.19</v>
      </c>
      <c r="L1345">
        <v>3.5000000000000003E-2</v>
      </c>
      <c r="M1345">
        <v>0.89</v>
      </c>
      <c r="N1345">
        <v>0.2</v>
      </c>
    </row>
    <row r="1346" spans="1:14" x14ac:dyDescent="0.25">
      <c r="A1346" t="s">
        <v>2511</v>
      </c>
      <c r="B1346" t="s">
        <v>2512</v>
      </c>
      <c r="C1346" s="1" t="str">
        <f>HYPERLINK("http://www.genecards.org/cgi-bin/carddisp.pl?gene=IGLL3","GeneCards")</f>
        <v>GeneCards</v>
      </c>
      <c r="D1346" s="1" t="str">
        <f>HYPERLINK("http://genome-euro.ucsc.edu/cgi-bin/hgTracks?position=215946_x_at","UCSC")</f>
        <v>UCSC</v>
      </c>
      <c r="E1346" s="1" t="str">
        <f>HYPERLINK("http://www.ncbi.nlm.nih.gov/gene/?term=IGLL3","NCBI")</f>
        <v>NCBI</v>
      </c>
      <c r="F1346">
        <v>3.3999999999999998E-3</v>
      </c>
      <c r="G1346">
        <v>4.2999999999999997E-2</v>
      </c>
      <c r="H1346" s="1" t="str">
        <f>HYPERLINK("http://www.weizmann.ac.il/complex/compphys/software/geview/data/figures/215946_x_at.png","Figure")</f>
        <v>Figure</v>
      </c>
      <c r="I1346">
        <v>2</v>
      </c>
      <c r="J1346">
        <v>2.5999999999999999E-2</v>
      </c>
      <c r="K1346">
        <v>2.29</v>
      </c>
      <c r="L1346">
        <v>3.2000000000000002E-3</v>
      </c>
      <c r="M1346">
        <v>1.1499999999999999</v>
      </c>
      <c r="N1346">
        <v>0.8</v>
      </c>
    </row>
    <row r="1347" spans="1:14" x14ac:dyDescent="0.25">
      <c r="A1347" t="s">
        <v>2513</v>
      </c>
      <c r="B1347" t="s">
        <v>2514</v>
      </c>
      <c r="C1347" s="1" t="str">
        <f>HYPERLINK("http://www.genecards.org/cgi-bin/carddisp.pl?gene=EIF2B3","GeneCards")</f>
        <v>GeneCards</v>
      </c>
      <c r="D1347" s="1" t="str">
        <f>HYPERLINK("http://genome-euro.ucsc.edu/cgi-bin/hgTracks?position=218488_at","UCSC")</f>
        <v>UCSC</v>
      </c>
      <c r="E1347" s="1" t="str">
        <f>HYPERLINK("http://www.ncbi.nlm.nih.gov/gene/?term=EIF2B3","NCBI")</f>
        <v>NCBI</v>
      </c>
      <c r="F1347">
        <v>3.3999999999999998E-3</v>
      </c>
      <c r="G1347">
        <v>4.2999999999999997E-2</v>
      </c>
      <c r="H1347" s="1" t="str">
        <f>HYPERLINK("http://www.weizmann.ac.il/complex/compphys/software/geview/data/figures/218488_at.png","Figure")</f>
        <v>Figure</v>
      </c>
      <c r="I1347">
        <v>1.02</v>
      </c>
      <c r="J1347">
        <v>0.99</v>
      </c>
      <c r="K1347">
        <v>1.39</v>
      </c>
      <c r="L1347">
        <v>6.4999999999999997E-3</v>
      </c>
      <c r="M1347">
        <v>1.37</v>
      </c>
      <c r="N1347">
        <v>1.4E-2</v>
      </c>
    </row>
    <row r="1348" spans="1:14" x14ac:dyDescent="0.25">
      <c r="A1348" t="s">
        <v>2515</v>
      </c>
      <c r="B1348" t="s">
        <v>2516</v>
      </c>
      <c r="C1348" s="1" t="str">
        <f>HYPERLINK("http://www.genecards.org/cgi-bin/carddisp.pl?gene=SRGAP2","GeneCards")</f>
        <v>GeneCards</v>
      </c>
      <c r="D1348" s="1" t="str">
        <f>HYPERLINK("http://genome-euro.ucsc.edu/cgi-bin/hgTracks?position=213329_at","UCSC")</f>
        <v>UCSC</v>
      </c>
      <c r="E1348" s="1" t="str">
        <f>HYPERLINK("http://www.ncbi.nlm.nih.gov/gene/?term=SRGAP2","NCBI")</f>
        <v>NCBI</v>
      </c>
      <c r="F1348">
        <v>3.3999999999999998E-3</v>
      </c>
      <c r="G1348">
        <v>4.3999999999999997E-2</v>
      </c>
      <c r="H1348" s="1" t="str">
        <f>HYPERLINK("http://www.weizmann.ac.il/complex/compphys/software/geview/data/figures/213329_at.png","Figure")</f>
        <v>Figure</v>
      </c>
      <c r="I1348">
        <v>1.39</v>
      </c>
      <c r="J1348">
        <v>0.12</v>
      </c>
      <c r="K1348">
        <v>1.76</v>
      </c>
      <c r="L1348">
        <v>2.5000000000000001E-3</v>
      </c>
      <c r="M1348">
        <v>1.27</v>
      </c>
      <c r="N1348">
        <v>0.25</v>
      </c>
    </row>
    <row r="1349" spans="1:14" x14ac:dyDescent="0.25">
      <c r="A1349" t="s">
        <v>2517</v>
      </c>
      <c r="B1349" t="s">
        <v>2518</v>
      </c>
      <c r="C1349" s="1" t="str">
        <f>HYPERLINK("http://www.genecards.org/cgi-bin/carddisp.pl?gene=HEBP1","GeneCards")</f>
        <v>GeneCards</v>
      </c>
      <c r="D1349" s="1" t="str">
        <f>HYPERLINK("http://genome-euro.ucsc.edu/cgi-bin/hgTracks?position=218450_at","UCSC")</f>
        <v>UCSC</v>
      </c>
      <c r="E1349" s="1" t="str">
        <f>HYPERLINK("http://www.ncbi.nlm.nih.gov/gene/?term=HEBP1","NCBI")</f>
        <v>NCBI</v>
      </c>
      <c r="F1349">
        <v>3.3999999999999998E-3</v>
      </c>
      <c r="G1349">
        <v>4.3999999999999997E-2</v>
      </c>
      <c r="H1349" s="1" t="str">
        <f>HYPERLINK("http://www.weizmann.ac.il/complex/compphys/software/geview/data/figures/218450_at.png","Figure")</f>
        <v>Figure</v>
      </c>
      <c r="I1349">
        <v>0.624</v>
      </c>
      <c r="J1349">
        <v>0.16</v>
      </c>
      <c r="K1349">
        <v>1.59</v>
      </c>
      <c r="L1349">
        <v>0.1</v>
      </c>
      <c r="M1349">
        <v>2.54</v>
      </c>
      <c r="N1349">
        <v>2.8E-3</v>
      </c>
    </row>
    <row r="1350" spans="1:14" x14ac:dyDescent="0.25">
      <c r="A1350" t="s">
        <v>2519</v>
      </c>
      <c r="B1350" t="s">
        <v>2520</v>
      </c>
      <c r="C1350" s="1" t="str">
        <f>HYPERLINK("http://www.genecards.org/cgi-bin/carddisp.pl?gene=ARHGEF11","GeneCards")</f>
        <v>GeneCards</v>
      </c>
      <c r="D1350" s="1" t="str">
        <f>HYPERLINK("http://genome-euro.ucsc.edu/cgi-bin/hgTracks?position=202913_at","UCSC")</f>
        <v>UCSC</v>
      </c>
      <c r="E1350" s="1" t="str">
        <f>HYPERLINK("http://www.ncbi.nlm.nih.gov/gene/?term=ARHGEF11","NCBI")</f>
        <v>NCBI</v>
      </c>
      <c r="F1350">
        <v>3.5000000000000001E-3</v>
      </c>
      <c r="G1350">
        <v>4.3999999999999997E-2</v>
      </c>
      <c r="H1350" s="1" t="str">
        <f>HYPERLINK("http://www.weizmann.ac.il/complex/compphys/software/geview/data/figures/202913_at.png","Figure")</f>
        <v>Figure</v>
      </c>
      <c r="I1350">
        <v>1.39</v>
      </c>
      <c r="J1350">
        <v>8.3000000000000001E-3</v>
      </c>
      <c r="K1350">
        <v>1.35</v>
      </c>
      <c r="L1350">
        <v>6.1000000000000004E-3</v>
      </c>
      <c r="M1350">
        <v>0.97199999999999998</v>
      </c>
      <c r="N1350">
        <v>0.94</v>
      </c>
    </row>
    <row r="1351" spans="1:14" x14ac:dyDescent="0.25">
      <c r="A1351" t="s">
        <v>2521</v>
      </c>
      <c r="B1351" t="s">
        <v>2522</v>
      </c>
      <c r="C1351" s="1" t="str">
        <f>HYPERLINK("http://www.genecards.org/cgi-bin/carddisp.pl?gene=RRN3","GeneCards")</f>
        <v>GeneCards</v>
      </c>
      <c r="D1351" s="1" t="str">
        <f>HYPERLINK("http://genome-euro.ucsc.edu/cgi-bin/hgTracks?position=222204_s_at","UCSC")</f>
        <v>UCSC</v>
      </c>
      <c r="E1351" s="1" t="str">
        <f>HYPERLINK("http://www.ncbi.nlm.nih.gov/gene/?term=RRN3","NCBI")</f>
        <v>NCBI</v>
      </c>
      <c r="F1351">
        <v>3.5000000000000001E-3</v>
      </c>
      <c r="G1351">
        <v>4.3999999999999997E-2</v>
      </c>
      <c r="H1351" s="1" t="str">
        <f>HYPERLINK("http://www.weizmann.ac.il/complex/compphys/software/geview/data/figures/222204_s_at.png","Figure")</f>
        <v>Figure</v>
      </c>
      <c r="I1351">
        <v>0.48899999999999999</v>
      </c>
      <c r="J1351">
        <v>0.02</v>
      </c>
      <c r="K1351">
        <v>0.44600000000000001</v>
      </c>
      <c r="L1351">
        <v>3.5999999999999999E-3</v>
      </c>
      <c r="M1351">
        <v>0.91300000000000003</v>
      </c>
      <c r="N1351">
        <v>0.9</v>
      </c>
    </row>
    <row r="1352" spans="1:14" x14ac:dyDescent="0.25">
      <c r="A1352" t="s">
        <v>2523</v>
      </c>
      <c r="B1352" t="s">
        <v>2524</v>
      </c>
      <c r="C1352" s="1" t="str">
        <f>HYPERLINK("http://www.genecards.org/cgi-bin/carddisp.pl?gene=C22orf9","GeneCards")</f>
        <v>GeneCards</v>
      </c>
      <c r="D1352" s="1" t="str">
        <f>HYPERLINK("http://genome-euro.ucsc.edu/cgi-bin/hgTracks?position=217118_s_at","UCSC")</f>
        <v>UCSC</v>
      </c>
      <c r="E1352" s="1" t="str">
        <f>HYPERLINK("http://www.ncbi.nlm.nih.gov/gene/?term=C22orf9","NCBI")</f>
        <v>NCBI</v>
      </c>
      <c r="F1352">
        <v>3.5000000000000001E-3</v>
      </c>
      <c r="G1352">
        <v>4.3999999999999997E-2</v>
      </c>
      <c r="H1352" s="1" t="str">
        <f>HYPERLINK("http://www.weizmann.ac.il/complex/compphys/software/geview/data/figures/217118_s_at.png","Figure")</f>
        <v>Figure</v>
      </c>
      <c r="I1352">
        <v>1.07</v>
      </c>
      <c r="J1352">
        <v>0.96</v>
      </c>
      <c r="K1352">
        <v>2.21</v>
      </c>
      <c r="L1352">
        <v>5.8999999999999999E-3</v>
      </c>
      <c r="M1352">
        <v>2.0699999999999998</v>
      </c>
      <c r="N1352">
        <v>1.6E-2</v>
      </c>
    </row>
    <row r="1353" spans="1:14" x14ac:dyDescent="0.25">
      <c r="A1353" t="s">
        <v>2525</v>
      </c>
      <c r="B1353" t="s">
        <v>2526</v>
      </c>
      <c r="C1353" s="1" t="str">
        <f>HYPERLINK("http://www.genecards.org/cgi-bin/carddisp.pl?gene=RPS6KA3","GeneCards")</f>
        <v>GeneCards</v>
      </c>
      <c r="D1353" s="1" t="str">
        <f>HYPERLINK("http://genome-euro.ucsc.edu/cgi-bin/hgTracks?position=203843_at","UCSC")</f>
        <v>UCSC</v>
      </c>
      <c r="E1353" s="1" t="str">
        <f>HYPERLINK("http://www.ncbi.nlm.nih.gov/gene/?term=RPS6KA3","NCBI")</f>
        <v>NCBI</v>
      </c>
      <c r="F1353">
        <v>3.5000000000000001E-3</v>
      </c>
      <c r="G1353">
        <v>4.3999999999999997E-2</v>
      </c>
      <c r="H1353" s="1" t="str">
        <f>HYPERLINK("http://www.weizmann.ac.il/complex/compphys/software/geview/data/figures/203843_at.png","Figure")</f>
        <v>Figure</v>
      </c>
      <c r="I1353">
        <v>0.46200000000000002</v>
      </c>
      <c r="J1353">
        <v>2.5999999999999999E-3</v>
      </c>
      <c r="K1353">
        <v>0.73299999999999998</v>
      </c>
      <c r="L1353">
        <v>0.16</v>
      </c>
      <c r="M1353">
        <v>1.58</v>
      </c>
      <c r="N1353">
        <v>4.3999999999999997E-2</v>
      </c>
    </row>
    <row r="1354" spans="1:14" x14ac:dyDescent="0.25">
      <c r="A1354" t="s">
        <v>2527</v>
      </c>
      <c r="B1354" t="s">
        <v>2528</v>
      </c>
      <c r="C1354" s="1" t="str">
        <f>HYPERLINK("http://www.genecards.org/cgi-bin/carddisp.pl?gene=SEC31A","GeneCards")</f>
        <v>GeneCards</v>
      </c>
      <c r="D1354" s="1" t="str">
        <f>HYPERLINK("http://genome-euro.ucsc.edu/cgi-bin/hgTracks?position=215009_s_at","UCSC")</f>
        <v>UCSC</v>
      </c>
      <c r="E1354" s="1" t="str">
        <f>HYPERLINK("http://www.ncbi.nlm.nih.gov/gene/?term=SEC31A","NCBI")</f>
        <v>NCBI</v>
      </c>
      <c r="F1354">
        <v>3.5000000000000001E-3</v>
      </c>
      <c r="G1354">
        <v>4.3999999999999997E-2</v>
      </c>
      <c r="H1354" s="1" t="str">
        <f>HYPERLINK("http://www.weizmann.ac.il/complex/compphys/software/geview/data/figures/215009_s_at.png","Figure")</f>
        <v>Figure</v>
      </c>
      <c r="I1354">
        <v>0.57899999999999996</v>
      </c>
      <c r="J1354">
        <v>6.0999999999999999E-2</v>
      </c>
      <c r="K1354">
        <v>0.45100000000000001</v>
      </c>
      <c r="L1354">
        <v>2.5999999999999999E-3</v>
      </c>
      <c r="M1354">
        <v>0.77900000000000003</v>
      </c>
      <c r="N1354">
        <v>0.45</v>
      </c>
    </row>
    <row r="1355" spans="1:14" x14ac:dyDescent="0.25">
      <c r="A1355" t="s">
        <v>2529</v>
      </c>
      <c r="B1355" t="s">
        <v>2530</v>
      </c>
      <c r="C1355" s="1" t="str">
        <f>HYPERLINK("http://www.genecards.org/cgi-bin/carddisp.pl?gene=ENOX2","GeneCards")</f>
        <v>GeneCards</v>
      </c>
      <c r="D1355" s="1" t="str">
        <f>HYPERLINK("http://genome-euro.ucsc.edu/cgi-bin/hgTracks?position=204643_s_at","UCSC")</f>
        <v>UCSC</v>
      </c>
      <c r="E1355" s="1" t="str">
        <f>HYPERLINK("http://www.ncbi.nlm.nih.gov/gene/?term=ENOX2","NCBI")</f>
        <v>NCBI</v>
      </c>
      <c r="F1355">
        <v>3.5000000000000001E-3</v>
      </c>
      <c r="G1355">
        <v>4.3999999999999997E-2</v>
      </c>
      <c r="H1355" s="1" t="str">
        <f>HYPERLINK("http://www.weizmann.ac.il/complex/compphys/software/geview/data/figures/204643_s_at.png","Figure")</f>
        <v>Figure</v>
      </c>
      <c r="I1355">
        <v>0.54400000000000004</v>
      </c>
      <c r="J1355">
        <v>7.7999999999999996E-3</v>
      </c>
      <c r="K1355">
        <v>1</v>
      </c>
      <c r="L1355">
        <v>1</v>
      </c>
      <c r="M1355">
        <v>1.84</v>
      </c>
      <c r="N1355">
        <v>4.5999999999999999E-3</v>
      </c>
    </row>
    <row r="1356" spans="1:14" x14ac:dyDescent="0.25">
      <c r="A1356" t="s">
        <v>2531</v>
      </c>
      <c r="B1356" t="s">
        <v>2220</v>
      </c>
      <c r="C1356" s="1" t="str">
        <f>HYPERLINK("http://www.genecards.org/cgi-bin/carddisp.pl?gene=ABI2","GeneCards")</f>
        <v>GeneCards</v>
      </c>
      <c r="D1356" s="1" t="str">
        <f>HYPERLINK("http://genome-euro.ucsc.edu/cgi-bin/hgTracks?position=207268_x_at","UCSC")</f>
        <v>UCSC</v>
      </c>
      <c r="E1356" s="1" t="str">
        <f>HYPERLINK("http://www.ncbi.nlm.nih.gov/gene/?term=ABI2","NCBI")</f>
        <v>NCBI</v>
      </c>
      <c r="F1356">
        <v>3.5000000000000001E-3</v>
      </c>
      <c r="G1356">
        <v>4.3999999999999997E-2</v>
      </c>
      <c r="H1356" s="1" t="str">
        <f>HYPERLINK("http://www.weizmann.ac.il/complex/compphys/software/geview/data/figures/207268_x_at.png","Figure")</f>
        <v>Figure</v>
      </c>
      <c r="I1356">
        <v>1.61</v>
      </c>
      <c r="J1356">
        <v>2.5999999999999999E-3</v>
      </c>
      <c r="K1356">
        <v>1.2</v>
      </c>
      <c r="L1356">
        <v>0.19</v>
      </c>
      <c r="M1356">
        <v>0.74399999999999999</v>
      </c>
      <c r="N1356">
        <v>3.6999999999999998E-2</v>
      </c>
    </row>
    <row r="1357" spans="1:14" x14ac:dyDescent="0.25">
      <c r="A1357" t="s">
        <v>2532</v>
      </c>
      <c r="B1357" t="s">
        <v>2533</v>
      </c>
      <c r="C1357" s="1" t="str">
        <f>HYPERLINK("http://www.genecards.org/cgi-bin/carddisp.pl?gene=MAPK8IP2","GeneCards")</f>
        <v>GeneCards</v>
      </c>
      <c r="D1357" s="1" t="str">
        <f>HYPERLINK("http://genome-euro.ucsc.edu/cgi-bin/hgTracks?position=208603_s_at","UCSC")</f>
        <v>UCSC</v>
      </c>
      <c r="E1357" s="1" t="str">
        <f>HYPERLINK("http://www.ncbi.nlm.nih.gov/gene/?term=MAPK8IP2","NCBI")</f>
        <v>NCBI</v>
      </c>
      <c r="F1357">
        <v>3.5000000000000001E-3</v>
      </c>
      <c r="G1357">
        <v>4.3999999999999997E-2</v>
      </c>
      <c r="H1357" s="1" t="str">
        <f>HYPERLINK("http://www.weizmann.ac.il/complex/compphys/software/geview/data/figures/208603_s_at.png","Figure")</f>
        <v>Figure</v>
      </c>
      <c r="I1357">
        <v>1.24</v>
      </c>
      <c r="J1357">
        <v>8.6999999999999994E-3</v>
      </c>
      <c r="K1357">
        <v>0.99299999999999999</v>
      </c>
      <c r="L1357">
        <v>0.99</v>
      </c>
      <c r="M1357">
        <v>0.80400000000000005</v>
      </c>
      <c r="N1357">
        <v>4.3E-3</v>
      </c>
    </row>
    <row r="1358" spans="1:14" x14ac:dyDescent="0.25">
      <c r="A1358" t="s">
        <v>2534</v>
      </c>
      <c r="B1358" t="s">
        <v>2535</v>
      </c>
      <c r="C1358" s="1" t="str">
        <f>HYPERLINK("http://www.genecards.org/cgi-bin/carddisp.pl?gene=CD44","GeneCards")</f>
        <v>GeneCards</v>
      </c>
      <c r="D1358" s="1" t="str">
        <f>HYPERLINK("http://genome-euro.ucsc.edu/cgi-bin/hgTracks?position=212063_at","UCSC")</f>
        <v>UCSC</v>
      </c>
      <c r="E1358" s="1" t="str">
        <f>HYPERLINK("http://www.ncbi.nlm.nih.gov/gene/?term=CD44","NCBI")</f>
        <v>NCBI</v>
      </c>
      <c r="F1358">
        <v>3.5000000000000001E-3</v>
      </c>
      <c r="G1358">
        <v>4.3999999999999997E-2</v>
      </c>
      <c r="H1358" s="1" t="str">
        <f>HYPERLINK("http://www.weizmann.ac.il/complex/compphys/software/geview/data/figures/212063_at.png","Figure")</f>
        <v>Figure</v>
      </c>
      <c r="I1358">
        <v>1.1599999999999999</v>
      </c>
      <c r="J1358">
        <v>0.93</v>
      </c>
      <c r="K1358">
        <v>3.78</v>
      </c>
      <c r="L1358">
        <v>5.4999999999999997E-3</v>
      </c>
      <c r="M1358">
        <v>3.26</v>
      </c>
      <c r="N1358">
        <v>1.7999999999999999E-2</v>
      </c>
    </row>
    <row r="1359" spans="1:14" x14ac:dyDescent="0.25">
      <c r="A1359" t="s">
        <v>2536</v>
      </c>
      <c r="B1359" t="s">
        <v>2537</v>
      </c>
      <c r="C1359" s="1" t="str">
        <f>HYPERLINK("http://www.genecards.org/cgi-bin/carddisp.pl?gene=AAAS","GeneCards")</f>
        <v>GeneCards</v>
      </c>
      <c r="D1359" s="1" t="str">
        <f>HYPERLINK("http://genome-euro.ucsc.edu/cgi-bin/hgTracks?position=218075_at","UCSC")</f>
        <v>UCSC</v>
      </c>
      <c r="E1359" s="1" t="str">
        <f>HYPERLINK("http://www.ncbi.nlm.nih.gov/gene/?term=AAAS","NCBI")</f>
        <v>NCBI</v>
      </c>
      <c r="F1359">
        <v>3.5000000000000001E-3</v>
      </c>
      <c r="G1359">
        <v>4.3999999999999997E-2</v>
      </c>
      <c r="H1359" s="1" t="str">
        <f>HYPERLINK("http://www.weizmann.ac.il/complex/compphys/software/geview/data/figures/218075_at.png","Figure")</f>
        <v>Figure</v>
      </c>
      <c r="I1359">
        <v>1.61</v>
      </c>
      <c r="J1359">
        <v>2.8E-3</v>
      </c>
      <c r="K1359">
        <v>1.31</v>
      </c>
      <c r="L1359">
        <v>4.2999999999999997E-2</v>
      </c>
      <c r="M1359">
        <v>0.81200000000000006</v>
      </c>
      <c r="N1359">
        <v>0.17</v>
      </c>
    </row>
    <row r="1360" spans="1:14" x14ac:dyDescent="0.25">
      <c r="A1360" t="s">
        <v>2538</v>
      </c>
      <c r="B1360" t="s">
        <v>2539</v>
      </c>
      <c r="C1360" s="1" t="str">
        <f>HYPERLINK("http://www.genecards.org/cgi-bin/carddisp.pl?gene=YIPF1","GeneCards")</f>
        <v>GeneCards</v>
      </c>
      <c r="D1360" s="1" t="str">
        <f>HYPERLINK("http://genome-euro.ucsc.edu/cgi-bin/hgTracks?position=214733_s_at","UCSC")</f>
        <v>UCSC</v>
      </c>
      <c r="E1360" s="1" t="str">
        <f>HYPERLINK("http://www.ncbi.nlm.nih.gov/gene/?term=YIPF1","NCBI")</f>
        <v>NCBI</v>
      </c>
      <c r="F1360">
        <v>3.5000000000000001E-3</v>
      </c>
      <c r="G1360">
        <v>4.3999999999999997E-2</v>
      </c>
      <c r="H1360" s="1" t="str">
        <f>HYPERLINK("http://www.weizmann.ac.il/complex/compphys/software/geview/data/figures/214733_s_at.png","Figure")</f>
        <v>Figure</v>
      </c>
      <c r="I1360">
        <v>1</v>
      </c>
      <c r="J1360">
        <v>1</v>
      </c>
      <c r="K1360">
        <v>0.64200000000000002</v>
      </c>
      <c r="L1360">
        <v>7.7000000000000002E-3</v>
      </c>
      <c r="M1360">
        <v>0.64100000000000001</v>
      </c>
      <c r="N1360">
        <v>1.2E-2</v>
      </c>
    </row>
    <row r="1361" spans="1:14" x14ac:dyDescent="0.25">
      <c r="A1361" t="s">
        <v>2540</v>
      </c>
      <c r="B1361" t="s">
        <v>2541</v>
      </c>
      <c r="C1361" s="1" t="str">
        <f>HYPERLINK("http://www.genecards.org/cgi-bin/carddisp.pl?gene=DMXL1","GeneCards")</f>
        <v>GeneCards</v>
      </c>
      <c r="D1361" s="1" t="str">
        <f>HYPERLINK("http://genome-euro.ucsc.edu/cgi-bin/hgTracks?position=203791_at","UCSC")</f>
        <v>UCSC</v>
      </c>
      <c r="E1361" s="1" t="str">
        <f>HYPERLINK("http://www.ncbi.nlm.nih.gov/gene/?term=DMXL1","NCBI")</f>
        <v>NCBI</v>
      </c>
      <c r="F1361">
        <v>3.5000000000000001E-3</v>
      </c>
      <c r="G1361">
        <v>4.3999999999999997E-2</v>
      </c>
      <c r="H1361" s="1" t="str">
        <f>HYPERLINK("http://www.weizmann.ac.il/complex/compphys/software/geview/data/figures/203791_at.png","Figure")</f>
        <v>Figure</v>
      </c>
      <c r="I1361">
        <v>0.58699999999999997</v>
      </c>
      <c r="J1361">
        <v>0.02</v>
      </c>
      <c r="K1361">
        <v>1.1399999999999999</v>
      </c>
      <c r="L1361">
        <v>0.67</v>
      </c>
      <c r="M1361">
        <v>1.94</v>
      </c>
      <c r="N1361">
        <v>3.0000000000000001E-3</v>
      </c>
    </row>
    <row r="1362" spans="1:14" x14ac:dyDescent="0.25">
      <c r="A1362" t="s">
        <v>2542</v>
      </c>
      <c r="B1362" t="s">
        <v>2543</v>
      </c>
      <c r="C1362" s="1" t="str">
        <f>HYPERLINK("http://www.genecards.org/cgi-bin/carddisp.pl?gene=BECN1","GeneCards")</f>
        <v>GeneCards</v>
      </c>
      <c r="D1362" s="1" t="str">
        <f>HYPERLINK("http://genome-euro.ucsc.edu/cgi-bin/hgTracks?position=208946_s_at","UCSC")</f>
        <v>UCSC</v>
      </c>
      <c r="E1362" s="1" t="str">
        <f>HYPERLINK("http://www.ncbi.nlm.nih.gov/gene/?term=BECN1","NCBI")</f>
        <v>NCBI</v>
      </c>
      <c r="F1362">
        <v>3.5000000000000001E-3</v>
      </c>
      <c r="G1362">
        <v>4.3999999999999997E-2</v>
      </c>
      <c r="H1362" s="1" t="str">
        <f>HYPERLINK("http://www.weizmann.ac.il/complex/compphys/software/geview/data/figures/208946_s_at.png","Figure")</f>
        <v>Figure</v>
      </c>
      <c r="I1362">
        <v>0.47399999999999998</v>
      </c>
      <c r="J1362">
        <v>4.8999999999999998E-3</v>
      </c>
      <c r="K1362">
        <v>0.56299999999999994</v>
      </c>
      <c r="L1362">
        <v>1.2E-2</v>
      </c>
      <c r="M1362">
        <v>1.19</v>
      </c>
      <c r="N1362">
        <v>0.61</v>
      </c>
    </row>
    <row r="1363" spans="1:14" x14ac:dyDescent="0.25">
      <c r="A1363" t="s">
        <v>2544</v>
      </c>
      <c r="B1363" t="s">
        <v>2545</v>
      </c>
      <c r="C1363" s="1" t="str">
        <f>HYPERLINK("http://www.genecards.org/cgi-bin/carddisp.pl?gene=SRRT","GeneCards")</f>
        <v>GeneCards</v>
      </c>
      <c r="D1363" s="1" t="str">
        <f>HYPERLINK("http://genome-euro.ucsc.edu/cgi-bin/hgTracks?position=222047_s_at","UCSC")</f>
        <v>UCSC</v>
      </c>
      <c r="E1363" s="1" t="str">
        <f>HYPERLINK("http://www.ncbi.nlm.nih.gov/gene/?term=SRRT","NCBI")</f>
        <v>NCBI</v>
      </c>
      <c r="F1363">
        <v>3.5000000000000001E-3</v>
      </c>
      <c r="G1363">
        <v>4.3999999999999997E-2</v>
      </c>
      <c r="H1363" s="1" t="str">
        <f>HYPERLINK("http://www.weizmann.ac.il/complex/compphys/software/geview/data/figures/222047_s_at.png","Figure")</f>
        <v>Figure</v>
      </c>
      <c r="I1363">
        <v>1.56</v>
      </c>
      <c r="J1363">
        <v>1.9E-2</v>
      </c>
      <c r="K1363">
        <v>0.90500000000000003</v>
      </c>
      <c r="L1363">
        <v>0.7</v>
      </c>
      <c r="M1363">
        <v>0.58099999999999996</v>
      </c>
      <c r="N1363">
        <v>3.0000000000000001E-3</v>
      </c>
    </row>
    <row r="1364" spans="1:14" x14ac:dyDescent="0.25">
      <c r="A1364" t="s">
        <v>2546</v>
      </c>
      <c r="B1364" t="s">
        <v>2547</v>
      </c>
      <c r="C1364" s="1" t="str">
        <f>HYPERLINK("http://www.genecards.org/cgi-bin/carddisp.pl?gene=CRYM","GeneCards")</f>
        <v>GeneCards</v>
      </c>
      <c r="D1364" s="1" t="str">
        <f>HYPERLINK("http://genome-euro.ucsc.edu/cgi-bin/hgTracks?position=205489_at","UCSC")</f>
        <v>UCSC</v>
      </c>
      <c r="E1364" s="1" t="str">
        <f>HYPERLINK("http://www.ncbi.nlm.nih.gov/gene/?term=CRYM","NCBI")</f>
        <v>NCBI</v>
      </c>
      <c r="F1364">
        <v>3.5000000000000001E-3</v>
      </c>
      <c r="G1364">
        <v>4.3999999999999997E-2</v>
      </c>
      <c r="H1364" s="1" t="str">
        <f>HYPERLINK("http://www.weizmann.ac.il/complex/compphys/software/geview/data/figures/205489_at.png","Figure")</f>
        <v>Figure</v>
      </c>
      <c r="I1364">
        <v>2.15</v>
      </c>
      <c r="J1364">
        <v>4.5999999999999999E-3</v>
      </c>
      <c r="K1364">
        <v>1.77</v>
      </c>
      <c r="L1364">
        <v>1.2999999999999999E-2</v>
      </c>
      <c r="M1364">
        <v>0.82399999999999995</v>
      </c>
      <c r="N1364">
        <v>0.55000000000000004</v>
      </c>
    </row>
    <row r="1365" spans="1:14" x14ac:dyDescent="0.25">
      <c r="A1365" t="s">
        <v>2548</v>
      </c>
      <c r="B1365" t="s">
        <v>2549</v>
      </c>
      <c r="C1365" s="1" t="str">
        <f>HYPERLINK("http://www.genecards.org/cgi-bin/carddisp.pl?gene=MKI67","GeneCards")</f>
        <v>GeneCards</v>
      </c>
      <c r="D1365" s="1" t="str">
        <f>HYPERLINK("http://genome-euro.ucsc.edu/cgi-bin/hgTracks?position=212020_s_at","UCSC")</f>
        <v>UCSC</v>
      </c>
      <c r="E1365" s="1" t="str">
        <f>HYPERLINK("http://www.ncbi.nlm.nih.gov/gene/?term=MKI67","NCBI")</f>
        <v>NCBI</v>
      </c>
      <c r="F1365">
        <v>3.5000000000000001E-3</v>
      </c>
      <c r="G1365">
        <v>4.3999999999999997E-2</v>
      </c>
      <c r="H1365" s="1" t="str">
        <f>HYPERLINK("http://www.weizmann.ac.il/complex/compphys/software/geview/data/figures/212020_s_at.png","Figure")</f>
        <v>Figure</v>
      </c>
      <c r="I1365">
        <v>1.45</v>
      </c>
      <c r="J1365">
        <v>0.1</v>
      </c>
      <c r="K1365">
        <v>1.85</v>
      </c>
      <c r="L1365">
        <v>2.5999999999999999E-3</v>
      </c>
      <c r="M1365">
        <v>1.27</v>
      </c>
      <c r="N1365">
        <v>0.3</v>
      </c>
    </row>
    <row r="1366" spans="1:14" x14ac:dyDescent="0.25">
      <c r="A1366" t="s">
        <v>2550</v>
      </c>
      <c r="B1366" t="s">
        <v>2551</v>
      </c>
      <c r="C1366" s="1" t="str">
        <f>HYPERLINK("http://www.genecards.org/cgi-bin/carddisp.pl?gene=TBC1D15","GeneCards")</f>
        <v>GeneCards</v>
      </c>
      <c r="D1366" s="1" t="str">
        <f>HYPERLINK("http://genome-euro.ucsc.edu/cgi-bin/hgTracks?position=218268_at","UCSC")</f>
        <v>UCSC</v>
      </c>
      <c r="E1366" s="1" t="str">
        <f>HYPERLINK("http://www.ncbi.nlm.nih.gov/gene/?term=TBC1D15","NCBI")</f>
        <v>NCBI</v>
      </c>
      <c r="F1366">
        <v>3.5000000000000001E-3</v>
      </c>
      <c r="G1366">
        <v>4.3999999999999997E-2</v>
      </c>
      <c r="H1366" s="1" t="str">
        <f>HYPERLINK("http://www.weizmann.ac.il/complex/compphys/software/geview/data/figures/218268_at.png","Figure")</f>
        <v>Figure</v>
      </c>
      <c r="I1366">
        <v>1.39</v>
      </c>
      <c r="J1366">
        <v>0.41</v>
      </c>
      <c r="K1366">
        <v>0.54400000000000004</v>
      </c>
      <c r="L1366">
        <v>3.7999999999999999E-2</v>
      </c>
      <c r="M1366">
        <v>0.39</v>
      </c>
      <c r="N1366">
        <v>3.8E-3</v>
      </c>
    </row>
    <row r="1367" spans="1:14" x14ac:dyDescent="0.25">
      <c r="A1367" t="s">
        <v>2552</v>
      </c>
      <c r="B1367" t="s">
        <v>2553</v>
      </c>
      <c r="C1367" s="1" t="str">
        <f>HYPERLINK("http://www.genecards.org/cgi-bin/carddisp.pl?gene=TRIM31","GeneCards")</f>
        <v>GeneCards</v>
      </c>
      <c r="D1367" s="1" t="str">
        <f>HYPERLINK("http://genome-euro.ucsc.edu/cgi-bin/hgTracks?position=215444_s_at","UCSC")</f>
        <v>UCSC</v>
      </c>
      <c r="E1367" s="1" t="str">
        <f>HYPERLINK("http://www.ncbi.nlm.nih.gov/gene/?term=TRIM31","NCBI")</f>
        <v>NCBI</v>
      </c>
      <c r="F1367">
        <v>3.5000000000000001E-3</v>
      </c>
      <c r="G1367">
        <v>4.3999999999999997E-2</v>
      </c>
      <c r="H1367" s="1" t="str">
        <f>HYPERLINK("http://www.weizmann.ac.il/complex/compphys/software/geview/data/figures/215444_s_at.png","Figure")</f>
        <v>Figure</v>
      </c>
      <c r="I1367">
        <v>1.2</v>
      </c>
      <c r="J1367">
        <v>4.4999999999999997E-3</v>
      </c>
      <c r="K1367">
        <v>1.1499999999999999</v>
      </c>
      <c r="L1367">
        <v>1.4E-2</v>
      </c>
      <c r="M1367">
        <v>0.95299999999999996</v>
      </c>
      <c r="N1367">
        <v>0.53</v>
      </c>
    </row>
    <row r="1368" spans="1:14" x14ac:dyDescent="0.25">
      <c r="A1368" t="s">
        <v>2554</v>
      </c>
      <c r="B1368" t="s">
        <v>2555</v>
      </c>
      <c r="C1368" s="1" t="str">
        <f>HYPERLINK("http://www.genecards.org/cgi-bin/carddisp.pl?gene=ZRSR2","GeneCards")</f>
        <v>GeneCards</v>
      </c>
      <c r="D1368" s="1" t="str">
        <f>HYPERLINK("http://genome-euro.ucsc.edu/cgi-bin/hgTracks?position=208174_x_at","UCSC")</f>
        <v>UCSC</v>
      </c>
      <c r="E1368" s="1" t="str">
        <f>HYPERLINK("http://www.ncbi.nlm.nih.gov/gene/?term=ZRSR2","NCBI")</f>
        <v>NCBI</v>
      </c>
      <c r="F1368">
        <v>3.5999999999999999E-3</v>
      </c>
      <c r="G1368">
        <v>4.3999999999999997E-2</v>
      </c>
      <c r="H1368" s="1" t="str">
        <f>HYPERLINK("http://www.weizmann.ac.il/complex/compphys/software/geview/data/figures/208174_x_at.png","Figure")</f>
        <v>Figure</v>
      </c>
      <c r="I1368">
        <v>0.82399999999999995</v>
      </c>
      <c r="J1368">
        <v>0.05</v>
      </c>
      <c r="K1368">
        <v>1.1000000000000001</v>
      </c>
      <c r="L1368">
        <v>0.32</v>
      </c>
      <c r="M1368">
        <v>1.34</v>
      </c>
      <c r="N1368">
        <v>2.5999999999999999E-3</v>
      </c>
    </row>
    <row r="1369" spans="1:14" x14ac:dyDescent="0.25">
      <c r="A1369" t="s">
        <v>2556</v>
      </c>
      <c r="B1369" t="s">
        <v>2557</v>
      </c>
      <c r="C1369" s="1" t="str">
        <f>HYPERLINK("http://www.genecards.org/cgi-bin/carddisp.pl?gene=NGRN","GeneCards")</f>
        <v>GeneCards</v>
      </c>
      <c r="D1369" s="1" t="str">
        <f>HYPERLINK("http://genome-euro.ucsc.edu/cgi-bin/hgTracks?position=217722_s_at","UCSC")</f>
        <v>UCSC</v>
      </c>
      <c r="E1369" s="1" t="str">
        <f>HYPERLINK("http://www.ncbi.nlm.nih.gov/gene/?term=NGRN","NCBI")</f>
        <v>NCBI</v>
      </c>
      <c r="F1369">
        <v>3.5999999999999999E-3</v>
      </c>
      <c r="G1369">
        <v>4.3999999999999997E-2</v>
      </c>
      <c r="H1369" s="1" t="str">
        <f>HYPERLINK("http://www.weizmann.ac.il/complex/compphys/software/geview/data/figures/217722_s_at.png","Figure")</f>
        <v>Figure</v>
      </c>
      <c r="I1369">
        <v>1.4</v>
      </c>
      <c r="J1369">
        <v>0.11</v>
      </c>
      <c r="K1369">
        <v>0.77</v>
      </c>
      <c r="L1369">
        <v>0.16</v>
      </c>
      <c r="M1369">
        <v>0.55200000000000005</v>
      </c>
      <c r="N1369">
        <v>2.7000000000000001E-3</v>
      </c>
    </row>
    <row r="1370" spans="1:14" x14ac:dyDescent="0.25">
      <c r="A1370" t="s">
        <v>2558</v>
      </c>
      <c r="B1370" t="s">
        <v>2559</v>
      </c>
      <c r="C1370" s="1" t="str">
        <f>HYPERLINK("http://www.genecards.org/cgi-bin/carddisp.pl?gene=PTPRE","GeneCards")</f>
        <v>GeneCards</v>
      </c>
      <c r="D1370" s="1" t="str">
        <f>HYPERLINK("http://genome-euro.ucsc.edu/cgi-bin/hgTracks?position=221840_at","UCSC")</f>
        <v>UCSC</v>
      </c>
      <c r="E1370" s="1" t="str">
        <f>HYPERLINK("http://www.ncbi.nlm.nih.gov/gene/?term=PTPRE","NCBI")</f>
        <v>NCBI</v>
      </c>
      <c r="F1370">
        <v>3.5999999999999999E-3</v>
      </c>
      <c r="G1370">
        <v>4.3999999999999997E-2</v>
      </c>
      <c r="H1370" s="1" t="str">
        <f>HYPERLINK("http://www.weizmann.ac.il/complex/compphys/software/geview/data/figures/221840_at.png","Figure")</f>
        <v>Figure</v>
      </c>
      <c r="I1370">
        <v>0.32400000000000001</v>
      </c>
      <c r="J1370">
        <v>2.8E-3</v>
      </c>
      <c r="K1370">
        <v>0.67600000000000005</v>
      </c>
      <c r="L1370">
        <v>0.25</v>
      </c>
      <c r="M1370">
        <v>2.09</v>
      </c>
      <c r="N1370">
        <v>2.9000000000000001E-2</v>
      </c>
    </row>
    <row r="1371" spans="1:14" x14ac:dyDescent="0.25">
      <c r="A1371" t="s">
        <v>2560</v>
      </c>
      <c r="B1371" t="s">
        <v>2561</v>
      </c>
      <c r="C1371" s="1" t="str">
        <f>HYPERLINK("http://www.genecards.org/cgi-bin/carddisp.pl?gene=RNF10","GeneCards")</f>
        <v>GeneCards</v>
      </c>
      <c r="D1371" s="1" t="str">
        <f>HYPERLINK("http://genome-euro.ucsc.edu/cgi-bin/hgTracks?position=208632_at","UCSC")</f>
        <v>UCSC</v>
      </c>
      <c r="E1371" s="1" t="str">
        <f>HYPERLINK("http://www.ncbi.nlm.nih.gov/gene/?term=RNF10","NCBI")</f>
        <v>NCBI</v>
      </c>
      <c r="F1371">
        <v>3.5999999999999999E-3</v>
      </c>
      <c r="G1371">
        <v>4.3999999999999997E-2</v>
      </c>
      <c r="H1371" s="1" t="str">
        <f>HYPERLINK("http://www.weizmann.ac.il/complex/compphys/software/geview/data/figures/208632_at.png","Figure")</f>
        <v>Figure</v>
      </c>
      <c r="I1371">
        <v>0.84299999999999997</v>
      </c>
      <c r="J1371">
        <v>0.7</v>
      </c>
      <c r="K1371">
        <v>0.48299999999999998</v>
      </c>
      <c r="L1371">
        <v>4.1000000000000003E-3</v>
      </c>
      <c r="M1371">
        <v>0.57299999999999995</v>
      </c>
      <c r="N1371">
        <v>3.4000000000000002E-2</v>
      </c>
    </row>
    <row r="1372" spans="1:14" x14ac:dyDescent="0.25">
      <c r="A1372" t="s">
        <v>2562</v>
      </c>
      <c r="B1372" t="s">
        <v>2563</v>
      </c>
      <c r="C1372" s="1" t="str">
        <f>HYPERLINK("http://www.genecards.org/cgi-bin/carddisp.pl?gene=IFNGR1","GeneCards")</f>
        <v>GeneCards</v>
      </c>
      <c r="D1372" s="1" t="str">
        <f>HYPERLINK("http://genome-euro.ucsc.edu/cgi-bin/hgTracks?position=211676_s_at","UCSC")</f>
        <v>UCSC</v>
      </c>
      <c r="E1372" s="1" t="str">
        <f>HYPERLINK("http://www.ncbi.nlm.nih.gov/gene/?term=IFNGR1","NCBI")</f>
        <v>NCBI</v>
      </c>
      <c r="F1372">
        <v>3.5999999999999999E-3</v>
      </c>
      <c r="G1372">
        <v>4.3999999999999997E-2</v>
      </c>
      <c r="H1372" s="1" t="str">
        <f>HYPERLINK("http://www.weizmann.ac.il/complex/compphys/software/geview/data/figures/211676_s_at.png","Figure")</f>
        <v>Figure</v>
      </c>
      <c r="I1372">
        <v>0.63400000000000001</v>
      </c>
      <c r="J1372">
        <v>8.7999999999999995E-2</v>
      </c>
      <c r="K1372">
        <v>0.48499999999999999</v>
      </c>
      <c r="L1372">
        <v>2.5999999999999999E-3</v>
      </c>
      <c r="M1372">
        <v>0.76400000000000001</v>
      </c>
      <c r="N1372">
        <v>0.34</v>
      </c>
    </row>
    <row r="1373" spans="1:14" x14ac:dyDescent="0.25">
      <c r="A1373" t="s">
        <v>2564</v>
      </c>
      <c r="B1373" t="s">
        <v>2565</v>
      </c>
      <c r="C1373" s="1" t="str">
        <f>HYPERLINK("http://www.genecards.org/cgi-bin/carddisp.pl?gene=PPA2","GeneCards")</f>
        <v>GeneCards</v>
      </c>
      <c r="D1373" s="1" t="str">
        <f>HYPERLINK("http://genome-euro.ucsc.edu/cgi-bin/hgTracks?position=220741_s_at","UCSC")</f>
        <v>UCSC</v>
      </c>
      <c r="E1373" s="1" t="str">
        <f>HYPERLINK("http://www.ncbi.nlm.nih.gov/gene/?term=PPA2","NCBI")</f>
        <v>NCBI</v>
      </c>
      <c r="F1373">
        <v>3.5999999999999999E-3</v>
      </c>
      <c r="G1373">
        <v>4.4999999999999998E-2</v>
      </c>
      <c r="H1373" s="1" t="str">
        <f>HYPERLINK("http://www.weizmann.ac.il/complex/compphys/software/geview/data/figures/220741_s_at.png","Figure")</f>
        <v>Figure</v>
      </c>
      <c r="I1373">
        <v>0.83499999999999996</v>
      </c>
      <c r="J1373">
        <v>0.61</v>
      </c>
      <c r="K1373">
        <v>1.64</v>
      </c>
      <c r="L1373">
        <v>2.4E-2</v>
      </c>
      <c r="M1373">
        <v>1.97</v>
      </c>
      <c r="N1373">
        <v>4.8999999999999998E-3</v>
      </c>
    </row>
    <row r="1374" spans="1:14" x14ac:dyDescent="0.25">
      <c r="A1374" t="s">
        <v>2566</v>
      </c>
      <c r="B1374" t="s">
        <v>2567</v>
      </c>
      <c r="C1374" s="1" t="str">
        <f>HYPERLINK("http://www.genecards.org/cgi-bin/carddisp.pl?gene=LARP4B","GeneCards")</f>
        <v>GeneCards</v>
      </c>
      <c r="D1374" s="1" t="str">
        <f>HYPERLINK("http://genome-euro.ucsc.edu/cgi-bin/hgTracks?position=208953_at","UCSC")</f>
        <v>UCSC</v>
      </c>
      <c r="E1374" s="1" t="str">
        <f>HYPERLINK("http://www.ncbi.nlm.nih.gov/gene/?term=LARP4B","NCBI")</f>
        <v>NCBI</v>
      </c>
      <c r="F1374">
        <v>3.5999999999999999E-3</v>
      </c>
      <c r="G1374">
        <v>4.4999999999999998E-2</v>
      </c>
      <c r="H1374" s="1" t="str">
        <f>HYPERLINK("http://www.weizmann.ac.il/complex/compphys/software/geview/data/figures/208953_at.png","Figure")</f>
        <v>Figure</v>
      </c>
      <c r="I1374">
        <v>0.56499999999999995</v>
      </c>
      <c r="J1374">
        <v>0.02</v>
      </c>
      <c r="K1374">
        <v>1.1399999999999999</v>
      </c>
      <c r="L1374">
        <v>0.68</v>
      </c>
      <c r="M1374">
        <v>2.02</v>
      </c>
      <c r="N1374">
        <v>3.0999999999999999E-3</v>
      </c>
    </row>
    <row r="1375" spans="1:14" x14ac:dyDescent="0.25">
      <c r="A1375" t="s">
        <v>2568</v>
      </c>
      <c r="B1375" t="s">
        <v>2569</v>
      </c>
      <c r="C1375" s="1" t="str">
        <f>HYPERLINK("http://www.genecards.org/cgi-bin/carddisp.pl?gene=CYCS","GeneCards")</f>
        <v>GeneCards</v>
      </c>
      <c r="D1375" s="1" t="str">
        <f>HYPERLINK("http://genome-euro.ucsc.edu/cgi-bin/hgTracks?position=208905_at","UCSC")</f>
        <v>UCSC</v>
      </c>
      <c r="E1375" s="1" t="str">
        <f>HYPERLINK("http://www.ncbi.nlm.nih.gov/gene/?term=CYCS","NCBI")</f>
        <v>NCBI</v>
      </c>
      <c r="F1375">
        <v>3.5999999999999999E-3</v>
      </c>
      <c r="G1375">
        <v>4.4999999999999998E-2</v>
      </c>
      <c r="H1375" s="1" t="str">
        <f>HYPERLINK("http://www.weizmann.ac.il/complex/compphys/software/geview/data/figures/208905_at.png","Figure")</f>
        <v>Figure</v>
      </c>
      <c r="I1375">
        <v>1.1599999999999999</v>
      </c>
      <c r="J1375">
        <v>0.75</v>
      </c>
      <c r="K1375">
        <v>2.04</v>
      </c>
      <c r="L1375">
        <v>4.4000000000000003E-3</v>
      </c>
      <c r="M1375">
        <v>1.76</v>
      </c>
      <c r="N1375">
        <v>0.03</v>
      </c>
    </row>
    <row r="1376" spans="1:14" x14ac:dyDescent="0.25">
      <c r="A1376" t="s">
        <v>2570</v>
      </c>
      <c r="B1376" t="s">
        <v>2571</v>
      </c>
      <c r="C1376" s="1" t="str">
        <f>HYPERLINK("http://www.genecards.org/cgi-bin/carddisp.pl?gene=MBP","GeneCards")</f>
        <v>GeneCards</v>
      </c>
      <c r="D1376" s="1" t="str">
        <f>HYPERLINK("http://genome-euro.ucsc.edu/cgi-bin/hgTracks?position=210136_at","UCSC")</f>
        <v>UCSC</v>
      </c>
      <c r="E1376" s="1" t="str">
        <f>HYPERLINK("http://www.ncbi.nlm.nih.gov/gene/?term=MBP","NCBI")</f>
        <v>NCBI</v>
      </c>
      <c r="F1376">
        <v>3.5999999999999999E-3</v>
      </c>
      <c r="G1376">
        <v>4.4999999999999998E-2</v>
      </c>
      <c r="H1376" s="1" t="str">
        <f>HYPERLINK("http://www.weizmann.ac.il/complex/compphys/software/geview/data/figures/210136_at.png","Figure")</f>
        <v>Figure</v>
      </c>
      <c r="I1376">
        <v>1.52</v>
      </c>
      <c r="J1376">
        <v>0.18</v>
      </c>
      <c r="K1376">
        <v>2.27</v>
      </c>
      <c r="L1376">
        <v>2.7000000000000001E-3</v>
      </c>
      <c r="M1376">
        <v>1.49</v>
      </c>
      <c r="N1376">
        <v>0.17</v>
      </c>
    </row>
    <row r="1377" spans="1:14" x14ac:dyDescent="0.25">
      <c r="A1377" t="s">
        <v>2572</v>
      </c>
      <c r="B1377" t="s">
        <v>2573</v>
      </c>
      <c r="C1377" s="1" t="str">
        <f>HYPERLINK("http://www.genecards.org/cgi-bin/carddisp.pl?gene=FAM38B","GeneCards")</f>
        <v>GeneCards</v>
      </c>
      <c r="D1377" s="1" t="str">
        <f>HYPERLINK("http://genome-euro.ucsc.edu/cgi-bin/hgTracks?position=219602_s_at","UCSC")</f>
        <v>UCSC</v>
      </c>
      <c r="E1377" s="1" t="str">
        <f>HYPERLINK("http://www.ncbi.nlm.nih.gov/gene/?term=FAM38B","NCBI")</f>
        <v>NCBI</v>
      </c>
      <c r="F1377">
        <v>3.5999999999999999E-3</v>
      </c>
      <c r="G1377">
        <v>4.4999999999999998E-2</v>
      </c>
      <c r="H1377" s="1" t="str">
        <f>HYPERLINK("http://www.weizmann.ac.il/complex/compphys/software/geview/data/figures/219602_s_at.png","Figure")</f>
        <v>Figure</v>
      </c>
      <c r="I1377">
        <v>2.42</v>
      </c>
      <c r="J1377">
        <v>8.3999999999999995E-3</v>
      </c>
      <c r="K1377">
        <v>2.2200000000000002</v>
      </c>
      <c r="L1377">
        <v>6.6E-3</v>
      </c>
      <c r="M1377">
        <v>0.91900000000000004</v>
      </c>
      <c r="N1377">
        <v>0.93</v>
      </c>
    </row>
    <row r="1378" spans="1:14" x14ac:dyDescent="0.25">
      <c r="A1378" t="s">
        <v>2574</v>
      </c>
      <c r="B1378" t="s">
        <v>2575</v>
      </c>
      <c r="C1378" s="1" t="str">
        <f>HYPERLINK("http://www.genecards.org/cgi-bin/carddisp.pl?gene=EDEM1","GeneCards")</f>
        <v>GeneCards</v>
      </c>
      <c r="D1378" s="1" t="str">
        <f>HYPERLINK("http://genome-euro.ucsc.edu/cgi-bin/hgTracks?position=203279_at","UCSC")</f>
        <v>UCSC</v>
      </c>
      <c r="E1378" s="1" t="str">
        <f>HYPERLINK("http://www.ncbi.nlm.nih.gov/gene/?term=EDEM1","NCBI")</f>
        <v>NCBI</v>
      </c>
      <c r="F1378">
        <v>3.5999999999999999E-3</v>
      </c>
      <c r="G1378">
        <v>4.4999999999999998E-2</v>
      </c>
      <c r="H1378" s="1" t="str">
        <f>HYPERLINK("http://www.weizmann.ac.il/complex/compphys/software/geview/data/figures/203279_at.png","Figure")</f>
        <v>Figure</v>
      </c>
      <c r="I1378">
        <v>0.746</v>
      </c>
      <c r="J1378">
        <v>0.21</v>
      </c>
      <c r="K1378">
        <v>0.54800000000000004</v>
      </c>
      <c r="L1378">
        <v>2.8E-3</v>
      </c>
      <c r="M1378">
        <v>0.73499999999999999</v>
      </c>
      <c r="N1378">
        <v>0.15</v>
      </c>
    </row>
    <row r="1379" spans="1:14" x14ac:dyDescent="0.25">
      <c r="A1379" t="s">
        <v>2576</v>
      </c>
      <c r="B1379" t="s">
        <v>2577</v>
      </c>
      <c r="C1379" s="1" t="str">
        <f>HYPERLINK("http://www.genecards.org/cgi-bin/carddisp.pl?gene=ALDH1B1","GeneCards")</f>
        <v>GeneCards</v>
      </c>
      <c r="D1379" s="1" t="str">
        <f>HYPERLINK("http://genome-euro.ucsc.edu/cgi-bin/hgTracks?position=209645_s_at","UCSC")</f>
        <v>UCSC</v>
      </c>
      <c r="E1379" s="1" t="str">
        <f>HYPERLINK("http://www.ncbi.nlm.nih.gov/gene/?term=ALDH1B1","NCBI")</f>
        <v>NCBI</v>
      </c>
      <c r="F1379">
        <v>3.7000000000000002E-3</v>
      </c>
      <c r="G1379">
        <v>4.4999999999999998E-2</v>
      </c>
      <c r="H1379" s="1" t="str">
        <f>HYPERLINK("http://www.weizmann.ac.il/complex/compphys/software/geview/data/figures/209645_s_at.png","Figure")</f>
        <v>Figure</v>
      </c>
      <c r="I1379">
        <v>1.18</v>
      </c>
      <c r="J1379">
        <v>3.3999999999999998E-3</v>
      </c>
      <c r="K1379">
        <v>1.1100000000000001</v>
      </c>
      <c r="L1379">
        <v>2.8000000000000001E-2</v>
      </c>
      <c r="M1379">
        <v>0.94099999999999995</v>
      </c>
      <c r="N1379">
        <v>0.27</v>
      </c>
    </row>
    <row r="1380" spans="1:14" x14ac:dyDescent="0.25">
      <c r="A1380" t="s">
        <v>2578</v>
      </c>
      <c r="B1380" t="s">
        <v>2579</v>
      </c>
      <c r="C1380" s="1" t="str">
        <f>HYPERLINK("http://www.genecards.org/cgi-bin/carddisp.pl?gene=SMAD3","GeneCards")</f>
        <v>GeneCards</v>
      </c>
      <c r="D1380" s="1" t="str">
        <f>HYPERLINK("http://genome-euro.ucsc.edu/cgi-bin/hgTracks?position=218284_at","UCSC")</f>
        <v>UCSC</v>
      </c>
      <c r="E1380" s="1" t="str">
        <f>HYPERLINK("http://www.ncbi.nlm.nih.gov/gene/?term=SMAD3","NCBI")</f>
        <v>NCBI</v>
      </c>
      <c r="F1380">
        <v>3.7000000000000002E-3</v>
      </c>
      <c r="G1380">
        <v>4.4999999999999998E-2</v>
      </c>
      <c r="H1380" s="1" t="str">
        <f>HYPERLINK("http://www.weizmann.ac.il/complex/compphys/software/geview/data/figures/218284_at.png","Figure")</f>
        <v>Figure</v>
      </c>
      <c r="I1380">
        <v>0.77200000000000002</v>
      </c>
      <c r="J1380">
        <v>0.32</v>
      </c>
      <c r="K1380">
        <v>1.49</v>
      </c>
      <c r="L1380">
        <v>5.0999999999999997E-2</v>
      </c>
      <c r="M1380">
        <v>1.93</v>
      </c>
      <c r="N1380">
        <v>3.5999999999999999E-3</v>
      </c>
    </row>
    <row r="1381" spans="1:14" x14ac:dyDescent="0.25">
      <c r="A1381" t="s">
        <v>2580</v>
      </c>
      <c r="B1381" t="s">
        <v>1857</v>
      </c>
      <c r="C1381" s="1" t="str">
        <f>HYPERLINK("http://www.genecards.org/cgi-bin/carddisp.pl?gene=SCCPDH","GeneCards")</f>
        <v>GeneCards</v>
      </c>
      <c r="D1381" s="1" t="str">
        <f>HYPERLINK("http://genome-euro.ucsc.edu/cgi-bin/hgTracks?position=201826_s_at","UCSC")</f>
        <v>UCSC</v>
      </c>
      <c r="E1381" s="1" t="str">
        <f>HYPERLINK("http://www.ncbi.nlm.nih.gov/gene/?term=SCCPDH","NCBI")</f>
        <v>NCBI</v>
      </c>
      <c r="F1381">
        <v>3.7000000000000002E-3</v>
      </c>
      <c r="G1381">
        <v>4.4999999999999998E-2</v>
      </c>
      <c r="H1381" s="1" t="str">
        <f>HYPERLINK("http://www.weizmann.ac.il/complex/compphys/software/geview/data/figures/201826_s_at.png","Figure")</f>
        <v>Figure</v>
      </c>
      <c r="I1381">
        <v>1.39</v>
      </c>
      <c r="J1381">
        <v>0.24</v>
      </c>
      <c r="K1381">
        <v>2.04</v>
      </c>
      <c r="L1381">
        <v>2.8E-3</v>
      </c>
      <c r="M1381">
        <v>1.46</v>
      </c>
      <c r="N1381">
        <v>0.13</v>
      </c>
    </row>
    <row r="1382" spans="1:14" x14ac:dyDescent="0.25">
      <c r="A1382" t="s">
        <v>2581</v>
      </c>
      <c r="B1382" t="s">
        <v>2582</v>
      </c>
      <c r="C1382" s="1" t="str">
        <f>HYPERLINK("http://www.genecards.org/cgi-bin/carddisp.pl?gene=MDH1","GeneCards")</f>
        <v>GeneCards</v>
      </c>
      <c r="D1382" s="1" t="str">
        <f>HYPERLINK("http://genome-euro.ucsc.edu/cgi-bin/hgTracks?position=200978_at","UCSC")</f>
        <v>UCSC</v>
      </c>
      <c r="E1382" s="1" t="str">
        <f>HYPERLINK("http://www.ncbi.nlm.nih.gov/gene/?term=MDH1","NCBI")</f>
        <v>NCBI</v>
      </c>
      <c r="F1382">
        <v>3.7000000000000002E-3</v>
      </c>
      <c r="G1382">
        <v>4.4999999999999998E-2</v>
      </c>
      <c r="H1382" s="1" t="str">
        <f>HYPERLINK("http://www.weizmann.ac.il/complex/compphys/software/geview/data/figures/200978_at.png","Figure")</f>
        <v>Figure</v>
      </c>
      <c r="I1382">
        <v>1.31</v>
      </c>
      <c r="J1382">
        <v>0.22</v>
      </c>
      <c r="K1382">
        <v>1.76</v>
      </c>
      <c r="L1382">
        <v>2.8E-3</v>
      </c>
      <c r="M1382">
        <v>1.34</v>
      </c>
      <c r="N1382">
        <v>0.15</v>
      </c>
    </row>
    <row r="1383" spans="1:14" x14ac:dyDescent="0.25">
      <c r="A1383" t="s">
        <v>2583</v>
      </c>
      <c r="B1383" t="s">
        <v>2584</v>
      </c>
      <c r="C1383" s="1" t="str">
        <f>HYPERLINK("http://www.genecards.org/cgi-bin/carddisp.pl?gene=ARFGAP3","GeneCards")</f>
        <v>GeneCards</v>
      </c>
      <c r="D1383" s="1" t="str">
        <f>HYPERLINK("http://genome-euro.ucsc.edu/cgi-bin/hgTracks?position=202211_at","UCSC")</f>
        <v>UCSC</v>
      </c>
      <c r="E1383" s="1" t="str">
        <f>HYPERLINK("http://www.ncbi.nlm.nih.gov/gene/?term=ARFGAP3","NCBI")</f>
        <v>NCBI</v>
      </c>
      <c r="F1383">
        <v>3.7000000000000002E-3</v>
      </c>
      <c r="G1383">
        <v>4.4999999999999998E-2</v>
      </c>
      <c r="H1383" s="1" t="str">
        <f>HYPERLINK("http://www.weizmann.ac.il/complex/compphys/software/geview/data/figures/202211_at.png","Figure")</f>
        <v>Figure</v>
      </c>
      <c r="I1383">
        <v>0.54300000000000004</v>
      </c>
      <c r="J1383">
        <v>3.8999999999999998E-3</v>
      </c>
      <c r="K1383">
        <v>0.88400000000000001</v>
      </c>
      <c r="L1383">
        <v>0.63</v>
      </c>
      <c r="M1383">
        <v>1.63</v>
      </c>
      <c r="N1383">
        <v>1.2E-2</v>
      </c>
    </row>
    <row r="1384" spans="1:14" x14ac:dyDescent="0.25">
      <c r="A1384" t="s">
        <v>2585</v>
      </c>
      <c r="B1384" t="s">
        <v>2586</v>
      </c>
      <c r="C1384" s="1" t="str">
        <f>HYPERLINK("http://www.genecards.org/cgi-bin/carddisp.pl?gene=FHOD3","GeneCards")</f>
        <v>GeneCards</v>
      </c>
      <c r="D1384" s="1" t="str">
        <f>HYPERLINK("http://genome-euro.ucsc.edu/cgi-bin/hgTracks?position=218980_at","UCSC")</f>
        <v>UCSC</v>
      </c>
      <c r="E1384" s="1" t="str">
        <f>HYPERLINK("http://www.ncbi.nlm.nih.gov/gene/?term=FHOD3","NCBI")</f>
        <v>NCBI</v>
      </c>
      <c r="F1384">
        <v>3.7000000000000002E-3</v>
      </c>
      <c r="G1384">
        <v>4.4999999999999998E-2</v>
      </c>
      <c r="H1384" s="1" t="str">
        <f>HYPERLINK("http://www.weizmann.ac.il/complex/compphys/software/geview/data/figures/218980_at.png","Figure")</f>
        <v>Figure</v>
      </c>
      <c r="I1384">
        <v>1.87</v>
      </c>
      <c r="J1384">
        <v>1.2E-2</v>
      </c>
      <c r="K1384">
        <v>1.87</v>
      </c>
      <c r="L1384">
        <v>5.0000000000000001E-3</v>
      </c>
      <c r="M1384">
        <v>1</v>
      </c>
      <c r="N1384">
        <v>1</v>
      </c>
    </row>
    <row r="1385" spans="1:14" x14ac:dyDescent="0.25">
      <c r="A1385" t="s">
        <v>2587</v>
      </c>
      <c r="B1385" t="s">
        <v>1214</v>
      </c>
      <c r="C1385" s="1" t="str">
        <f>HYPERLINK("http://www.genecards.org/cgi-bin/carddisp.pl?gene=SOX4","GeneCards")</f>
        <v>GeneCards</v>
      </c>
      <c r="D1385" s="1" t="str">
        <f>HYPERLINK("http://genome-euro.ucsc.edu/cgi-bin/hgTracks?position=201416_at","UCSC")</f>
        <v>UCSC</v>
      </c>
      <c r="E1385" s="1" t="str">
        <f>HYPERLINK("http://www.ncbi.nlm.nih.gov/gene/?term=SOX4","NCBI")</f>
        <v>NCBI</v>
      </c>
      <c r="F1385">
        <v>3.7000000000000002E-3</v>
      </c>
      <c r="G1385">
        <v>4.4999999999999998E-2</v>
      </c>
      <c r="H1385" s="1" t="str">
        <f>HYPERLINK("http://www.weizmann.ac.il/complex/compphys/software/geview/data/figures/201416_at.png","Figure")</f>
        <v>Figure</v>
      </c>
      <c r="I1385">
        <v>1.45</v>
      </c>
      <c r="J1385">
        <v>0.26</v>
      </c>
      <c r="K1385">
        <v>2.2799999999999998</v>
      </c>
      <c r="L1385">
        <v>2.8999999999999998E-3</v>
      </c>
      <c r="M1385">
        <v>1.57</v>
      </c>
      <c r="N1385">
        <v>0.12</v>
      </c>
    </row>
    <row r="1386" spans="1:14" x14ac:dyDescent="0.25">
      <c r="A1386" t="s">
        <v>2588</v>
      </c>
      <c r="B1386" t="s">
        <v>2589</v>
      </c>
      <c r="C1386" s="1" t="str">
        <f>HYPERLINK("http://www.genecards.org/cgi-bin/carddisp.pl?gene=CDC40","GeneCards")</f>
        <v>GeneCards</v>
      </c>
      <c r="D1386" s="1" t="str">
        <f>HYPERLINK("http://genome-euro.ucsc.edu/cgi-bin/hgTracks?position=203376_at","UCSC")</f>
        <v>UCSC</v>
      </c>
      <c r="E1386" s="1" t="str">
        <f>HYPERLINK("http://www.ncbi.nlm.nih.gov/gene/?term=CDC40","NCBI")</f>
        <v>NCBI</v>
      </c>
      <c r="F1386">
        <v>3.7000000000000002E-3</v>
      </c>
      <c r="G1386">
        <v>4.4999999999999998E-2</v>
      </c>
      <c r="H1386" s="1" t="str">
        <f>HYPERLINK("http://www.weizmann.ac.il/complex/compphys/software/geview/data/figures/203376_at.png","Figure")</f>
        <v>Figure</v>
      </c>
      <c r="I1386">
        <v>1.31</v>
      </c>
      <c r="J1386">
        <v>0.02</v>
      </c>
      <c r="K1386">
        <v>1.36</v>
      </c>
      <c r="L1386">
        <v>3.8E-3</v>
      </c>
      <c r="M1386">
        <v>1.03</v>
      </c>
      <c r="N1386">
        <v>0.91</v>
      </c>
    </row>
    <row r="1387" spans="1:14" x14ac:dyDescent="0.25">
      <c r="A1387" t="s">
        <v>2590</v>
      </c>
      <c r="B1387" t="s">
        <v>2591</v>
      </c>
      <c r="C1387" s="1" t="str">
        <f>HYPERLINK("http://www.genecards.org/cgi-bin/carddisp.pl?gene=BLM","GeneCards")</f>
        <v>GeneCards</v>
      </c>
      <c r="D1387" s="1" t="str">
        <f>HYPERLINK("http://genome-euro.ucsc.edu/cgi-bin/hgTracks?position=205733_at","UCSC")</f>
        <v>UCSC</v>
      </c>
      <c r="E1387" s="1" t="str">
        <f>HYPERLINK("http://www.ncbi.nlm.nih.gov/gene/?term=BLM","NCBI")</f>
        <v>NCBI</v>
      </c>
      <c r="F1387">
        <v>3.7000000000000002E-3</v>
      </c>
      <c r="G1387">
        <v>4.4999999999999998E-2</v>
      </c>
      <c r="H1387" s="1" t="str">
        <f>HYPERLINK("http://www.weizmann.ac.il/complex/compphys/software/geview/data/figures/205733_at.png","Figure")</f>
        <v>Figure</v>
      </c>
      <c r="I1387">
        <v>1.44</v>
      </c>
      <c r="J1387">
        <v>4.4999999999999997E-3</v>
      </c>
      <c r="K1387">
        <v>1.31</v>
      </c>
      <c r="L1387">
        <v>1.4999999999999999E-2</v>
      </c>
      <c r="M1387">
        <v>0.90800000000000003</v>
      </c>
      <c r="N1387">
        <v>0.52</v>
      </c>
    </row>
    <row r="1388" spans="1:14" x14ac:dyDescent="0.25">
      <c r="A1388" t="s">
        <v>2592</v>
      </c>
      <c r="B1388" t="s">
        <v>1969</v>
      </c>
      <c r="C1388" s="1" t="str">
        <f>HYPERLINK("http://www.genecards.org/cgi-bin/carddisp.pl?gene=QRSL1","GeneCards")</f>
        <v>GeneCards</v>
      </c>
      <c r="D1388" s="1" t="str">
        <f>HYPERLINK("http://genome-euro.ucsc.edu/cgi-bin/hgTracks?position=218948_at","UCSC")</f>
        <v>UCSC</v>
      </c>
      <c r="E1388" s="1" t="str">
        <f>HYPERLINK("http://www.ncbi.nlm.nih.gov/gene/?term=QRSL1","NCBI")</f>
        <v>NCBI</v>
      </c>
      <c r="F1388">
        <v>3.7000000000000002E-3</v>
      </c>
      <c r="G1388">
        <v>4.4999999999999998E-2</v>
      </c>
      <c r="H1388" s="1" t="str">
        <f>HYPERLINK("http://www.weizmann.ac.il/complex/compphys/software/geview/data/figures/218948_at.png","Figure")</f>
        <v>Figure</v>
      </c>
      <c r="I1388">
        <v>2.4900000000000002</v>
      </c>
      <c r="J1388">
        <v>4.8000000000000001E-2</v>
      </c>
      <c r="K1388">
        <v>3.47</v>
      </c>
      <c r="L1388">
        <v>2.8999999999999998E-3</v>
      </c>
      <c r="M1388">
        <v>1.4</v>
      </c>
      <c r="N1388">
        <v>0.56000000000000005</v>
      </c>
    </row>
    <row r="1389" spans="1:14" x14ac:dyDescent="0.25">
      <c r="A1389" t="s">
        <v>2593</v>
      </c>
      <c r="B1389" t="s">
        <v>2594</v>
      </c>
      <c r="C1389" s="1" t="str">
        <f>HYPERLINK("http://www.genecards.org/cgi-bin/carddisp.pl?gene=LPP","GeneCards")</f>
        <v>GeneCards</v>
      </c>
      <c r="D1389" s="1" t="str">
        <f>HYPERLINK("http://genome-euro.ucsc.edu/cgi-bin/hgTracks?position=202822_at","UCSC")</f>
        <v>UCSC</v>
      </c>
      <c r="E1389" s="1" t="str">
        <f>HYPERLINK("http://www.ncbi.nlm.nih.gov/gene/?term=LPP","NCBI")</f>
        <v>NCBI</v>
      </c>
      <c r="F1389">
        <v>3.7000000000000002E-3</v>
      </c>
      <c r="G1389">
        <v>4.4999999999999998E-2</v>
      </c>
      <c r="H1389" s="1" t="str">
        <f>HYPERLINK("http://www.weizmann.ac.il/complex/compphys/software/geview/data/figures/202822_at.png","Figure")</f>
        <v>Figure</v>
      </c>
      <c r="I1389">
        <v>1.0900000000000001</v>
      </c>
      <c r="J1389">
        <v>0.67</v>
      </c>
      <c r="K1389">
        <v>0.75900000000000001</v>
      </c>
      <c r="L1389">
        <v>2.1000000000000001E-2</v>
      </c>
      <c r="M1389">
        <v>0.69499999999999995</v>
      </c>
      <c r="N1389">
        <v>5.4999999999999997E-3</v>
      </c>
    </row>
    <row r="1390" spans="1:14" x14ac:dyDescent="0.25">
      <c r="A1390" t="s">
        <v>2595</v>
      </c>
      <c r="B1390" t="s">
        <v>2596</v>
      </c>
      <c r="C1390" s="1" t="str">
        <f>HYPERLINK("http://www.genecards.org/cgi-bin/carddisp.pl?gene=C1orf77","GeneCards")</f>
        <v>GeneCards</v>
      </c>
      <c r="D1390" s="1" t="str">
        <f>HYPERLINK("http://genome-euro.ucsc.edu/cgi-bin/hgTracks?position=202559_x_at","UCSC")</f>
        <v>UCSC</v>
      </c>
      <c r="E1390" s="1" t="str">
        <f>HYPERLINK("http://www.ncbi.nlm.nih.gov/gene/?term=C1orf77","NCBI")</f>
        <v>NCBI</v>
      </c>
      <c r="F1390">
        <v>3.7000000000000002E-3</v>
      </c>
      <c r="G1390">
        <v>4.4999999999999998E-2</v>
      </c>
      <c r="H1390" s="1" t="str">
        <f>HYPERLINK("http://www.weizmann.ac.il/complex/compphys/software/geview/data/figures/202559_x_at.png","Figure")</f>
        <v>Figure</v>
      </c>
      <c r="I1390">
        <v>1.39</v>
      </c>
      <c r="J1390">
        <v>2.7000000000000001E-3</v>
      </c>
      <c r="K1390">
        <v>1.1499999999999999</v>
      </c>
      <c r="L1390">
        <v>0.15</v>
      </c>
      <c r="M1390">
        <v>0.82499999999999996</v>
      </c>
      <c r="N1390">
        <v>0.05</v>
      </c>
    </row>
    <row r="1391" spans="1:14" x14ac:dyDescent="0.25">
      <c r="A1391" t="s">
        <v>2597</v>
      </c>
      <c r="B1391" t="s">
        <v>2598</v>
      </c>
      <c r="C1391" s="1" t="str">
        <f>HYPERLINK("http://www.genecards.org/cgi-bin/carddisp.pl?gene=CEP57","GeneCards")</f>
        <v>GeneCards</v>
      </c>
      <c r="D1391" s="1" t="str">
        <f>HYPERLINK("http://genome-euro.ucsc.edu/cgi-bin/hgTracks?position=203494_s_at","UCSC")</f>
        <v>UCSC</v>
      </c>
      <c r="E1391" s="1" t="str">
        <f>HYPERLINK("http://www.ncbi.nlm.nih.gov/gene/?term=CEP57","NCBI")</f>
        <v>NCBI</v>
      </c>
      <c r="F1391">
        <v>3.7000000000000002E-3</v>
      </c>
      <c r="G1391">
        <v>4.4999999999999998E-2</v>
      </c>
      <c r="H1391" s="1" t="str">
        <f>HYPERLINK("http://www.weizmann.ac.il/complex/compphys/software/geview/data/figures/203494_s_at.png","Figure")</f>
        <v>Figure</v>
      </c>
      <c r="I1391">
        <v>0.69399999999999995</v>
      </c>
      <c r="J1391">
        <v>3.3000000000000002E-2</v>
      </c>
      <c r="K1391">
        <v>1.1399999999999999</v>
      </c>
      <c r="L1391">
        <v>0.47</v>
      </c>
      <c r="M1391">
        <v>1.65</v>
      </c>
      <c r="N1391">
        <v>2.8999999999999998E-3</v>
      </c>
    </row>
    <row r="1392" spans="1:14" x14ac:dyDescent="0.25">
      <c r="A1392" t="s">
        <v>2599</v>
      </c>
      <c r="B1392" t="s">
        <v>435</v>
      </c>
      <c r="C1392" s="1" t="str">
        <f>HYPERLINK("http://www.genecards.org/cgi-bin/carddisp.pl?gene=CLTB","GeneCards")</f>
        <v>GeneCards</v>
      </c>
      <c r="D1392" s="1" t="str">
        <f>HYPERLINK("http://genome-euro.ucsc.edu/cgi-bin/hgTracks?position=205172_x_at","UCSC")</f>
        <v>UCSC</v>
      </c>
      <c r="E1392" s="1" t="str">
        <f>HYPERLINK("http://www.ncbi.nlm.nih.gov/gene/?term=CLTB","NCBI")</f>
        <v>NCBI</v>
      </c>
      <c r="F1392">
        <v>3.7000000000000002E-3</v>
      </c>
      <c r="G1392">
        <v>4.4999999999999998E-2</v>
      </c>
      <c r="H1392" s="1" t="str">
        <f>HYPERLINK("http://www.weizmann.ac.il/complex/compphys/software/geview/data/figures/205172_x_at.png","Figure")</f>
        <v>Figure</v>
      </c>
      <c r="I1392">
        <v>1.19</v>
      </c>
      <c r="J1392">
        <v>4.2999999999999997E-2</v>
      </c>
      <c r="K1392">
        <v>1.26</v>
      </c>
      <c r="L1392">
        <v>3.0000000000000001E-3</v>
      </c>
      <c r="M1392">
        <v>1.06</v>
      </c>
      <c r="N1392">
        <v>0.61</v>
      </c>
    </row>
    <row r="1393" spans="1:14" x14ac:dyDescent="0.25">
      <c r="A1393" t="s">
        <v>2600</v>
      </c>
      <c r="B1393" t="s">
        <v>2601</v>
      </c>
      <c r="C1393" s="1" t="str">
        <f>HYPERLINK("http://www.genecards.org/cgi-bin/carddisp.pl?gene=ZNF136","GeneCards")</f>
        <v>GeneCards</v>
      </c>
      <c r="D1393" s="1" t="str">
        <f>HYPERLINK("http://genome-euro.ucsc.edu/cgi-bin/hgTracks?position=206240_s_at","UCSC")</f>
        <v>UCSC</v>
      </c>
      <c r="E1393" s="1" t="str">
        <f>HYPERLINK("http://www.ncbi.nlm.nih.gov/gene/?term=ZNF136","NCBI")</f>
        <v>NCBI</v>
      </c>
      <c r="F1393">
        <v>3.7000000000000002E-3</v>
      </c>
      <c r="G1393">
        <v>4.4999999999999998E-2</v>
      </c>
      <c r="H1393" s="1" t="str">
        <f>HYPERLINK("http://www.weizmann.ac.il/complex/compphys/software/geview/data/figures/206240_s_at.png","Figure")</f>
        <v>Figure</v>
      </c>
      <c r="I1393">
        <v>0.69599999999999995</v>
      </c>
      <c r="J1393">
        <v>0.2</v>
      </c>
      <c r="K1393">
        <v>0.48</v>
      </c>
      <c r="L1393">
        <v>2.8E-3</v>
      </c>
      <c r="M1393">
        <v>0.69</v>
      </c>
      <c r="N1393">
        <v>0.16</v>
      </c>
    </row>
    <row r="1394" spans="1:14" x14ac:dyDescent="0.25">
      <c r="A1394" t="s">
        <v>2602</v>
      </c>
      <c r="B1394" t="s">
        <v>1942</v>
      </c>
      <c r="C1394" s="1" t="str">
        <f>HYPERLINK("http://www.genecards.org/cgi-bin/carddisp.pl?gene=ROR1","GeneCards")</f>
        <v>GeneCards</v>
      </c>
      <c r="D1394" s="1" t="str">
        <f>HYPERLINK("http://genome-euro.ucsc.edu/cgi-bin/hgTracks?position=211057_at","UCSC")</f>
        <v>UCSC</v>
      </c>
      <c r="E1394" s="1" t="str">
        <f>HYPERLINK("http://www.ncbi.nlm.nih.gov/gene/?term=ROR1","NCBI")</f>
        <v>NCBI</v>
      </c>
      <c r="F1394">
        <v>3.7000000000000002E-3</v>
      </c>
      <c r="G1394">
        <v>4.4999999999999998E-2</v>
      </c>
      <c r="H1394" s="1" t="str">
        <f>HYPERLINK("http://www.weizmann.ac.il/complex/compphys/software/geview/data/figures/211057_at.png","Figure")</f>
        <v>Figure</v>
      </c>
      <c r="I1394">
        <v>1.42</v>
      </c>
      <c r="J1394">
        <v>7.4000000000000003E-3</v>
      </c>
      <c r="K1394">
        <v>1.35</v>
      </c>
      <c r="L1394">
        <v>7.7999999999999996E-3</v>
      </c>
      <c r="M1394">
        <v>0.95499999999999996</v>
      </c>
      <c r="N1394">
        <v>0.86</v>
      </c>
    </row>
    <row r="1395" spans="1:14" x14ac:dyDescent="0.25">
      <c r="A1395" t="s">
        <v>2603</v>
      </c>
      <c r="B1395" t="s">
        <v>2604</v>
      </c>
      <c r="C1395" s="1" t="str">
        <f>HYPERLINK("http://www.genecards.org/cgi-bin/carddisp.pl?gene=UNC5B","GeneCards")</f>
        <v>GeneCards</v>
      </c>
      <c r="D1395" s="1" t="str">
        <f>HYPERLINK("http://genome-euro.ucsc.edu/cgi-bin/hgTracks?position=213100_at","UCSC")</f>
        <v>UCSC</v>
      </c>
      <c r="E1395" s="1" t="str">
        <f>HYPERLINK("http://www.ncbi.nlm.nih.gov/gene/?term=UNC5B","NCBI")</f>
        <v>NCBI</v>
      </c>
      <c r="F1395">
        <v>3.7000000000000002E-3</v>
      </c>
      <c r="G1395">
        <v>4.4999999999999998E-2</v>
      </c>
      <c r="H1395" s="1" t="str">
        <f>HYPERLINK("http://www.weizmann.ac.il/complex/compphys/software/geview/data/figures/213100_at.png","Figure")</f>
        <v>Figure</v>
      </c>
      <c r="I1395">
        <v>1.26</v>
      </c>
      <c r="J1395">
        <v>2.7000000000000001E-3</v>
      </c>
      <c r="K1395">
        <v>1.1200000000000001</v>
      </c>
      <c r="L1395">
        <v>9.0999999999999998E-2</v>
      </c>
      <c r="M1395">
        <v>0.88600000000000001</v>
      </c>
      <c r="N1395">
        <v>8.4000000000000005E-2</v>
      </c>
    </row>
    <row r="1396" spans="1:14" x14ac:dyDescent="0.25">
      <c r="A1396" t="s">
        <v>2605</v>
      </c>
      <c r="B1396" t="s">
        <v>2606</v>
      </c>
      <c r="C1396" s="1" t="str">
        <f>HYPERLINK("http://www.genecards.org/cgi-bin/carddisp.pl?gene=NSBP1","GeneCards")</f>
        <v>GeneCards</v>
      </c>
      <c r="D1396" s="1" t="str">
        <f>HYPERLINK("http://genome-euro.ucsc.edu/cgi-bin/hgTracks?position=221606_s_at","UCSC")</f>
        <v>UCSC</v>
      </c>
      <c r="E1396" s="1" t="str">
        <f>HYPERLINK("http://www.ncbi.nlm.nih.gov/gene/?term=NSBP1","NCBI")</f>
        <v>NCBI</v>
      </c>
      <c r="F1396">
        <v>3.7000000000000002E-3</v>
      </c>
      <c r="G1396">
        <v>4.4999999999999998E-2</v>
      </c>
      <c r="H1396" s="1" t="str">
        <f>HYPERLINK("http://www.weizmann.ac.il/complex/compphys/software/geview/data/figures/221606_s_at.png","Figure")</f>
        <v>Figure</v>
      </c>
      <c r="I1396">
        <v>0.76600000000000001</v>
      </c>
      <c r="J1396">
        <v>7.7000000000000002E-3</v>
      </c>
      <c r="K1396">
        <v>0.997</v>
      </c>
      <c r="L1396">
        <v>1</v>
      </c>
      <c r="M1396">
        <v>1.3</v>
      </c>
      <c r="N1396">
        <v>5.1999999999999998E-3</v>
      </c>
    </row>
    <row r="1397" spans="1:14" x14ac:dyDescent="0.25">
      <c r="A1397" t="s">
        <v>2607</v>
      </c>
      <c r="B1397" t="s">
        <v>2608</v>
      </c>
      <c r="C1397" s="1" t="str">
        <f>HYPERLINK("http://www.genecards.org/cgi-bin/carddisp.pl?gene=ACSL3","GeneCards")</f>
        <v>GeneCards</v>
      </c>
      <c r="D1397" s="1" t="str">
        <f>HYPERLINK("http://genome-euro.ucsc.edu/cgi-bin/hgTracks?position=201662_s_at","UCSC")</f>
        <v>UCSC</v>
      </c>
      <c r="E1397" s="1" t="str">
        <f>HYPERLINK("http://www.ncbi.nlm.nih.gov/gene/?term=ACSL3","NCBI")</f>
        <v>NCBI</v>
      </c>
      <c r="F1397">
        <v>3.7000000000000002E-3</v>
      </c>
      <c r="G1397">
        <v>4.4999999999999998E-2</v>
      </c>
      <c r="H1397" s="1" t="str">
        <f>HYPERLINK("http://www.weizmann.ac.il/complex/compphys/software/geview/data/figures/201662_s_at.png","Figure")</f>
        <v>Figure</v>
      </c>
      <c r="I1397">
        <v>0.60599999999999998</v>
      </c>
      <c r="J1397">
        <v>3.4000000000000002E-2</v>
      </c>
      <c r="K1397">
        <v>0.53100000000000003</v>
      </c>
      <c r="L1397">
        <v>3.2000000000000002E-3</v>
      </c>
      <c r="M1397">
        <v>0.876</v>
      </c>
      <c r="N1397">
        <v>0.71</v>
      </c>
    </row>
    <row r="1398" spans="1:14" x14ac:dyDescent="0.25">
      <c r="A1398" t="s">
        <v>2609</v>
      </c>
      <c r="B1398" t="s">
        <v>2610</v>
      </c>
      <c r="C1398" s="1" t="str">
        <f>HYPERLINK("http://www.genecards.org/cgi-bin/carddisp.pl?gene=BAZ2A","GeneCards")</f>
        <v>GeneCards</v>
      </c>
      <c r="D1398" s="1" t="str">
        <f>HYPERLINK("http://genome-euro.ucsc.edu/cgi-bin/hgTracks?position=201355_s_at","UCSC")</f>
        <v>UCSC</v>
      </c>
      <c r="E1398" s="1" t="str">
        <f>HYPERLINK("http://www.ncbi.nlm.nih.gov/gene/?term=BAZ2A","NCBI")</f>
        <v>NCBI</v>
      </c>
      <c r="F1398">
        <v>3.7000000000000002E-3</v>
      </c>
      <c r="G1398">
        <v>4.5999999999999999E-2</v>
      </c>
      <c r="H1398" s="1" t="str">
        <f>HYPERLINK("http://www.weizmann.ac.il/complex/compphys/software/geview/data/figures/201355_s_at.png","Figure")</f>
        <v>Figure</v>
      </c>
      <c r="I1398">
        <v>1.45</v>
      </c>
      <c r="J1398">
        <v>3.3E-3</v>
      </c>
      <c r="K1398">
        <v>1.1100000000000001</v>
      </c>
      <c r="L1398">
        <v>0.41</v>
      </c>
      <c r="M1398">
        <v>0.76700000000000002</v>
      </c>
      <c r="N1398">
        <v>1.9E-2</v>
      </c>
    </row>
    <row r="1399" spans="1:14" x14ac:dyDescent="0.25">
      <c r="A1399" t="s">
        <v>2611</v>
      </c>
      <c r="B1399" t="s">
        <v>2612</v>
      </c>
      <c r="C1399" s="1" t="str">
        <f>HYPERLINK("http://www.genecards.org/cgi-bin/carddisp.pl?gene=ATP2C1","GeneCards")</f>
        <v>GeneCards</v>
      </c>
      <c r="D1399" s="1" t="str">
        <f>HYPERLINK("http://genome-euro.ucsc.edu/cgi-bin/hgTracks?position=211137_s_at","UCSC")</f>
        <v>UCSC</v>
      </c>
      <c r="E1399" s="1" t="str">
        <f>HYPERLINK("http://www.ncbi.nlm.nih.gov/gene/?term=ATP2C1","NCBI")</f>
        <v>NCBI</v>
      </c>
      <c r="F1399">
        <v>3.7000000000000002E-3</v>
      </c>
      <c r="G1399">
        <v>4.5999999999999999E-2</v>
      </c>
      <c r="H1399" s="1" t="str">
        <f>HYPERLINK("http://www.weizmann.ac.il/complex/compphys/software/geview/data/figures/211137_s_at.png","Figure")</f>
        <v>Figure</v>
      </c>
      <c r="I1399">
        <v>0.46700000000000003</v>
      </c>
      <c r="J1399">
        <v>4.7000000000000002E-3</v>
      </c>
      <c r="K1399">
        <v>0.56899999999999995</v>
      </c>
      <c r="L1399">
        <v>1.4E-2</v>
      </c>
      <c r="M1399">
        <v>1.22</v>
      </c>
      <c r="N1399">
        <v>0.54</v>
      </c>
    </row>
    <row r="1400" spans="1:14" x14ac:dyDescent="0.25">
      <c r="A1400" t="s">
        <v>2613</v>
      </c>
      <c r="B1400" t="s">
        <v>2614</v>
      </c>
      <c r="C1400" s="1" t="str">
        <f>HYPERLINK("http://www.genecards.org/cgi-bin/carddisp.pl?gene=KIAA0776","GeneCards")</f>
        <v>GeneCards</v>
      </c>
      <c r="D1400" s="1" t="str">
        <f>HYPERLINK("http://genome-euro.ucsc.edu/cgi-bin/hgTracks?position=212633_at","UCSC")</f>
        <v>UCSC</v>
      </c>
      <c r="E1400" s="1" t="str">
        <f>HYPERLINK("http://www.ncbi.nlm.nih.gov/gene/?term=KIAA0776","NCBI")</f>
        <v>NCBI</v>
      </c>
      <c r="F1400">
        <v>3.7000000000000002E-3</v>
      </c>
      <c r="G1400">
        <v>4.5999999999999999E-2</v>
      </c>
      <c r="H1400" s="1" t="str">
        <f>HYPERLINK("http://www.weizmann.ac.il/complex/compphys/software/geview/data/figures/212633_at.png","Figure")</f>
        <v>Figure</v>
      </c>
      <c r="I1400">
        <v>0.373</v>
      </c>
      <c r="J1400">
        <v>2.7000000000000001E-3</v>
      </c>
      <c r="K1400">
        <v>0.64100000000000001</v>
      </c>
      <c r="L1400">
        <v>0.11</v>
      </c>
      <c r="M1400">
        <v>1.72</v>
      </c>
      <c r="N1400">
        <v>6.8000000000000005E-2</v>
      </c>
    </row>
    <row r="1401" spans="1:14" x14ac:dyDescent="0.25">
      <c r="A1401" t="s">
        <v>2615</v>
      </c>
      <c r="B1401" t="s">
        <v>2616</v>
      </c>
      <c r="C1401" s="1" t="str">
        <f>HYPERLINK("http://www.genecards.org/cgi-bin/carddisp.pl?gene=IFT122","GeneCards")</f>
        <v>GeneCards</v>
      </c>
      <c r="D1401" s="1" t="str">
        <f>HYPERLINK("http://genome-euro.ucsc.edu/cgi-bin/hgTracks?position=220744_s_at","UCSC")</f>
        <v>UCSC</v>
      </c>
      <c r="E1401" s="1" t="str">
        <f>HYPERLINK("http://www.ncbi.nlm.nih.gov/gene/?term=IFT122","NCBI")</f>
        <v>NCBI</v>
      </c>
      <c r="F1401">
        <v>3.8E-3</v>
      </c>
      <c r="G1401">
        <v>4.5999999999999999E-2</v>
      </c>
      <c r="H1401" s="1" t="str">
        <f>HYPERLINK("http://www.weizmann.ac.il/complex/compphys/software/geview/data/figures/220744_s_at.png","Figure")</f>
        <v>Figure</v>
      </c>
      <c r="I1401">
        <v>1.38</v>
      </c>
      <c r="J1401">
        <v>2.8999999999999998E-3</v>
      </c>
      <c r="K1401">
        <v>1.1299999999999999</v>
      </c>
      <c r="L1401">
        <v>0.22</v>
      </c>
      <c r="M1401">
        <v>0.81399999999999995</v>
      </c>
      <c r="N1401">
        <v>3.5000000000000003E-2</v>
      </c>
    </row>
    <row r="1402" spans="1:14" x14ac:dyDescent="0.25">
      <c r="A1402" t="s">
        <v>2617</v>
      </c>
      <c r="B1402" t="s">
        <v>2618</v>
      </c>
      <c r="C1402" s="1" t="str">
        <f>HYPERLINK("http://www.genecards.org/cgi-bin/carddisp.pl?gene=STRN3","GeneCards")</f>
        <v>GeneCards</v>
      </c>
      <c r="D1402" s="1" t="str">
        <f>HYPERLINK("http://genome-euro.ucsc.edu/cgi-bin/hgTracks?position=204496_at","UCSC")</f>
        <v>UCSC</v>
      </c>
      <c r="E1402" s="1" t="str">
        <f>HYPERLINK("http://www.ncbi.nlm.nih.gov/gene/?term=STRN3","NCBI")</f>
        <v>NCBI</v>
      </c>
      <c r="F1402">
        <v>3.8E-3</v>
      </c>
      <c r="G1402">
        <v>4.5999999999999999E-2</v>
      </c>
      <c r="H1402" s="1" t="str">
        <f>HYPERLINK("http://www.weizmann.ac.il/complex/compphys/software/geview/data/figures/204496_at.png","Figure")</f>
        <v>Figure</v>
      </c>
      <c r="I1402">
        <v>0.45200000000000001</v>
      </c>
      <c r="J1402">
        <v>3.0999999999999999E-3</v>
      </c>
      <c r="K1402">
        <v>0.78100000000000003</v>
      </c>
      <c r="L1402">
        <v>0.33</v>
      </c>
      <c r="M1402">
        <v>1.73</v>
      </c>
      <c r="N1402">
        <v>2.3E-2</v>
      </c>
    </row>
    <row r="1403" spans="1:14" x14ac:dyDescent="0.25">
      <c r="A1403" t="s">
        <v>2619</v>
      </c>
      <c r="B1403" t="s">
        <v>2620</v>
      </c>
      <c r="C1403" s="1" t="str">
        <f>HYPERLINK("http://www.genecards.org/cgi-bin/carddisp.pl?gene=DOHH","GeneCards")</f>
        <v>GeneCards</v>
      </c>
      <c r="D1403" s="1" t="str">
        <f>HYPERLINK("http://genome-euro.ucsc.edu/cgi-bin/hgTracks?position=208141_s_at","UCSC")</f>
        <v>UCSC</v>
      </c>
      <c r="E1403" s="1" t="str">
        <f>HYPERLINK("http://www.ncbi.nlm.nih.gov/gene/?term=DOHH","NCBI")</f>
        <v>NCBI</v>
      </c>
      <c r="F1403">
        <v>3.8E-3</v>
      </c>
      <c r="G1403">
        <v>4.5999999999999999E-2</v>
      </c>
      <c r="H1403" s="1" t="str">
        <f>HYPERLINK("http://www.weizmann.ac.il/complex/compphys/software/geview/data/figures/208141_s_at.png","Figure")</f>
        <v>Figure</v>
      </c>
      <c r="I1403">
        <v>1.56</v>
      </c>
      <c r="J1403">
        <v>3.3E-3</v>
      </c>
      <c r="K1403">
        <v>1.31</v>
      </c>
      <c r="L1403">
        <v>3.2000000000000001E-2</v>
      </c>
      <c r="M1403">
        <v>0.84199999999999997</v>
      </c>
      <c r="N1403">
        <v>0.24</v>
      </c>
    </row>
    <row r="1404" spans="1:14" x14ac:dyDescent="0.25">
      <c r="A1404" t="s">
        <v>2621</v>
      </c>
      <c r="B1404" t="s">
        <v>2622</v>
      </c>
      <c r="C1404" s="1" t="str">
        <f>HYPERLINK("http://www.genecards.org/cgi-bin/carddisp.pl?gene=TRADD","GeneCards")</f>
        <v>GeneCards</v>
      </c>
      <c r="D1404" s="1" t="str">
        <f>HYPERLINK("http://genome-euro.ucsc.edu/cgi-bin/hgTracks?position=205641_s_at","UCSC")</f>
        <v>UCSC</v>
      </c>
      <c r="E1404" s="1" t="str">
        <f>HYPERLINK("http://www.ncbi.nlm.nih.gov/gene/?term=TRADD","NCBI")</f>
        <v>NCBI</v>
      </c>
      <c r="F1404">
        <v>3.8E-3</v>
      </c>
      <c r="G1404">
        <v>4.5999999999999999E-2</v>
      </c>
      <c r="H1404" s="1" t="str">
        <f>HYPERLINK("http://www.weizmann.ac.il/complex/compphys/software/geview/data/figures/205641_s_at.png","Figure")</f>
        <v>Figure</v>
      </c>
      <c r="I1404">
        <v>1.23</v>
      </c>
      <c r="J1404">
        <v>3.2000000000000002E-3</v>
      </c>
      <c r="K1404">
        <v>1.1299999999999999</v>
      </c>
      <c r="L1404">
        <v>3.9E-2</v>
      </c>
      <c r="M1404">
        <v>0.91900000000000004</v>
      </c>
      <c r="N1404">
        <v>0.2</v>
      </c>
    </row>
    <row r="1405" spans="1:14" x14ac:dyDescent="0.25">
      <c r="A1405" t="s">
        <v>2623</v>
      </c>
      <c r="B1405" t="s">
        <v>2624</v>
      </c>
      <c r="C1405" s="1" t="str">
        <f>HYPERLINK("http://www.genecards.org/cgi-bin/carddisp.pl?gene=ATP6V1D","GeneCards")</f>
        <v>GeneCards</v>
      </c>
      <c r="D1405" s="1" t="str">
        <f>HYPERLINK("http://genome-euro.ucsc.edu/cgi-bin/hgTracks?position=214923_at","UCSC")</f>
        <v>UCSC</v>
      </c>
      <c r="E1405" s="1" t="str">
        <f>HYPERLINK("http://www.ncbi.nlm.nih.gov/gene/?term=ATP6V1D","NCBI")</f>
        <v>NCBI</v>
      </c>
      <c r="F1405">
        <v>3.8E-3</v>
      </c>
      <c r="G1405">
        <v>4.5999999999999999E-2</v>
      </c>
      <c r="H1405" s="1" t="str">
        <f>HYPERLINK("http://www.weizmann.ac.il/complex/compphys/software/geview/data/figures/214923_at.png","Figure")</f>
        <v>Figure</v>
      </c>
      <c r="I1405">
        <v>1.3</v>
      </c>
      <c r="J1405">
        <v>3.0999999999999999E-3</v>
      </c>
      <c r="K1405">
        <v>1.0900000000000001</v>
      </c>
      <c r="L1405">
        <v>0.32</v>
      </c>
      <c r="M1405">
        <v>0.83399999999999996</v>
      </c>
      <c r="N1405">
        <v>2.4E-2</v>
      </c>
    </row>
    <row r="1406" spans="1:14" x14ac:dyDescent="0.25">
      <c r="A1406" t="s">
        <v>2625</v>
      </c>
      <c r="B1406" t="s">
        <v>1950</v>
      </c>
      <c r="C1406" s="1" t="str">
        <f>HYPERLINK("http://www.genecards.org/cgi-bin/carddisp.pl?gene=AP1M2","GeneCards")</f>
        <v>GeneCards</v>
      </c>
      <c r="D1406" s="1" t="str">
        <f>HYPERLINK("http://genome-euro.ucsc.edu/cgi-bin/hgTracks?position=65517_at","UCSC")</f>
        <v>UCSC</v>
      </c>
      <c r="E1406" s="1" t="str">
        <f>HYPERLINK("http://www.ncbi.nlm.nih.gov/gene/?term=AP1M2","NCBI")</f>
        <v>NCBI</v>
      </c>
      <c r="F1406">
        <v>3.8E-3</v>
      </c>
      <c r="G1406">
        <v>4.5999999999999999E-2</v>
      </c>
      <c r="H1406" s="1" t="str">
        <f>HYPERLINK("http://www.weizmann.ac.il/complex/compphys/software/geview/data/figures/65517_at.png","Figure")</f>
        <v>Figure</v>
      </c>
      <c r="I1406">
        <v>1.47</v>
      </c>
      <c r="J1406">
        <v>2.8E-3</v>
      </c>
      <c r="K1406">
        <v>1.21</v>
      </c>
      <c r="L1406">
        <v>8.5999999999999993E-2</v>
      </c>
      <c r="M1406">
        <v>0.82</v>
      </c>
      <c r="N1406">
        <v>9.0999999999999998E-2</v>
      </c>
    </row>
    <row r="1407" spans="1:14" x14ac:dyDescent="0.25">
      <c r="A1407" t="s">
        <v>2626</v>
      </c>
      <c r="B1407" t="s">
        <v>2627</v>
      </c>
      <c r="C1407" s="1" t="str">
        <f>HYPERLINK("http://www.genecards.org/cgi-bin/carddisp.pl?gene=ELL","GeneCards")</f>
        <v>GeneCards</v>
      </c>
      <c r="D1407" s="1" t="str">
        <f>HYPERLINK("http://genome-euro.ucsc.edu/cgi-bin/hgTracks?position=204096_s_at","UCSC")</f>
        <v>UCSC</v>
      </c>
      <c r="E1407" s="1" t="str">
        <f>HYPERLINK("http://www.ncbi.nlm.nih.gov/gene/?term=ELL","NCBI")</f>
        <v>NCBI</v>
      </c>
      <c r="F1407">
        <v>3.8E-3</v>
      </c>
      <c r="G1407">
        <v>4.5999999999999999E-2</v>
      </c>
      <c r="H1407" s="1" t="str">
        <f>HYPERLINK("http://www.weizmann.ac.il/complex/compphys/software/geview/data/figures/204096_s_at.png","Figure")</f>
        <v>Figure</v>
      </c>
      <c r="I1407">
        <v>1.19</v>
      </c>
      <c r="J1407">
        <v>3.2000000000000002E-3</v>
      </c>
      <c r="K1407">
        <v>1.05</v>
      </c>
      <c r="L1407">
        <v>0.38</v>
      </c>
      <c r="M1407">
        <v>0.88300000000000001</v>
      </c>
      <c r="N1407">
        <v>2.1000000000000001E-2</v>
      </c>
    </row>
    <row r="1408" spans="1:14" x14ac:dyDescent="0.25">
      <c r="A1408" t="s">
        <v>2628</v>
      </c>
      <c r="B1408" t="s">
        <v>2629</v>
      </c>
      <c r="C1408" s="1" t="str">
        <f>HYPERLINK("http://www.genecards.org/cgi-bin/carddisp.pl?gene=TECPR2","GeneCards")</f>
        <v>GeneCards</v>
      </c>
      <c r="D1408" s="1" t="str">
        <f>HYPERLINK("http://genome-euro.ucsc.edu/cgi-bin/hgTracks?position=204308_s_at","UCSC")</f>
        <v>UCSC</v>
      </c>
      <c r="E1408" s="1" t="str">
        <f>HYPERLINK("http://www.ncbi.nlm.nih.gov/gene/?term=TECPR2","NCBI")</f>
        <v>NCBI</v>
      </c>
      <c r="F1408">
        <v>3.8E-3</v>
      </c>
      <c r="G1408">
        <v>4.5999999999999999E-2</v>
      </c>
      <c r="H1408" s="1" t="str">
        <f>HYPERLINK("http://www.weizmann.ac.il/complex/compphys/software/geview/data/figures/204308_s_at.png","Figure")</f>
        <v>Figure</v>
      </c>
      <c r="I1408">
        <v>0.71499999999999997</v>
      </c>
      <c r="J1408">
        <v>6.6E-3</v>
      </c>
      <c r="K1408">
        <v>0.98199999999999998</v>
      </c>
      <c r="L1408">
        <v>0.97</v>
      </c>
      <c r="M1408">
        <v>1.37</v>
      </c>
      <c r="N1408">
        <v>6.1000000000000004E-3</v>
      </c>
    </row>
    <row r="1409" spans="1:14" x14ac:dyDescent="0.25">
      <c r="A1409" t="s">
        <v>2630</v>
      </c>
      <c r="B1409" t="s">
        <v>2631</v>
      </c>
      <c r="C1409" s="1" t="str">
        <f>HYPERLINK("http://www.genecards.org/cgi-bin/carddisp.pl?gene=GGA2","GeneCards")</f>
        <v>GeneCards</v>
      </c>
      <c r="D1409" s="1" t="str">
        <f>HYPERLINK("http://genome-euro.ucsc.edu/cgi-bin/hgTracks?position=208914_at","UCSC")</f>
        <v>UCSC</v>
      </c>
      <c r="E1409" s="1" t="str">
        <f>HYPERLINK("http://www.ncbi.nlm.nih.gov/gene/?term=GGA2","NCBI")</f>
        <v>NCBI</v>
      </c>
      <c r="F1409">
        <v>3.8E-3</v>
      </c>
      <c r="G1409">
        <v>4.5999999999999999E-2</v>
      </c>
      <c r="H1409" s="1" t="str">
        <f>HYPERLINK("http://www.weizmann.ac.il/complex/compphys/software/geview/data/figures/208914_at.png","Figure")</f>
        <v>Figure</v>
      </c>
      <c r="I1409">
        <v>0.97199999999999998</v>
      </c>
      <c r="J1409">
        <v>0.98</v>
      </c>
      <c r="K1409">
        <v>0.61099999999999999</v>
      </c>
      <c r="L1409">
        <v>6.8999999999999999E-3</v>
      </c>
      <c r="M1409">
        <v>0.629</v>
      </c>
      <c r="N1409">
        <v>1.6E-2</v>
      </c>
    </row>
    <row r="1410" spans="1:14" x14ac:dyDescent="0.25">
      <c r="A1410" t="s">
        <v>2632</v>
      </c>
      <c r="B1410" t="s">
        <v>2633</v>
      </c>
      <c r="C1410" s="1" t="str">
        <f>HYPERLINK("http://www.genecards.org/cgi-bin/carddisp.pl?gene=FAM115A","GeneCards")</f>
        <v>GeneCards</v>
      </c>
      <c r="D1410" s="1" t="str">
        <f>HYPERLINK("http://genome-euro.ucsc.edu/cgi-bin/hgTracks?position=212979_s_at","UCSC")</f>
        <v>UCSC</v>
      </c>
      <c r="E1410" s="1" t="str">
        <f>HYPERLINK("http://www.ncbi.nlm.nih.gov/gene/?term=FAM115A","NCBI")</f>
        <v>NCBI</v>
      </c>
      <c r="F1410">
        <v>3.8E-3</v>
      </c>
      <c r="G1410">
        <v>4.5999999999999999E-2</v>
      </c>
      <c r="H1410" s="1" t="str">
        <f>HYPERLINK("http://www.weizmann.ac.il/complex/compphys/software/geview/data/figures/212979_s_at.png","Figure")</f>
        <v>Figure</v>
      </c>
      <c r="I1410">
        <v>0.94799999999999995</v>
      </c>
      <c r="J1410">
        <v>8.2000000000000007E-3</v>
      </c>
      <c r="K1410">
        <v>1</v>
      </c>
      <c r="L1410">
        <v>1</v>
      </c>
      <c r="M1410">
        <v>1.06</v>
      </c>
      <c r="N1410">
        <v>5.1000000000000004E-3</v>
      </c>
    </row>
    <row r="1411" spans="1:14" x14ac:dyDescent="0.25">
      <c r="A1411" t="s">
        <v>2634</v>
      </c>
      <c r="B1411" t="s">
        <v>2635</v>
      </c>
      <c r="C1411" s="1" t="str">
        <f>HYPERLINK("http://www.genecards.org/cgi-bin/carddisp.pl?gene=KIAA1305","GeneCards")</f>
        <v>GeneCards</v>
      </c>
      <c r="D1411" s="1" t="str">
        <f>HYPERLINK("http://genome-euro.ucsc.edu/cgi-bin/hgTracks?position=220911_s_at","UCSC")</f>
        <v>UCSC</v>
      </c>
      <c r="E1411" s="1" t="str">
        <f>HYPERLINK("http://www.ncbi.nlm.nih.gov/gene/?term=KIAA1305","NCBI")</f>
        <v>NCBI</v>
      </c>
      <c r="F1411">
        <v>3.8E-3</v>
      </c>
      <c r="G1411">
        <v>4.5999999999999999E-2</v>
      </c>
      <c r="H1411" s="1" t="str">
        <f>HYPERLINK("http://www.weizmann.ac.il/complex/compphys/software/geview/data/figures/220911_s_at.png","Figure")</f>
        <v>Figure</v>
      </c>
      <c r="I1411">
        <v>1.37</v>
      </c>
      <c r="J1411">
        <v>1.2999999999999999E-2</v>
      </c>
      <c r="K1411">
        <v>1.37</v>
      </c>
      <c r="L1411">
        <v>5.1000000000000004E-3</v>
      </c>
      <c r="M1411">
        <v>1</v>
      </c>
      <c r="N1411">
        <v>1</v>
      </c>
    </row>
    <row r="1412" spans="1:14" x14ac:dyDescent="0.25">
      <c r="A1412" t="s">
        <v>2636</v>
      </c>
      <c r="B1412" t="s">
        <v>1240</v>
      </c>
      <c r="C1412" s="1" t="str">
        <f>HYPERLINK("http://www.genecards.org/cgi-bin/carddisp.pl?gene=SSH1","GeneCards")</f>
        <v>GeneCards</v>
      </c>
      <c r="D1412" s="1" t="str">
        <f>HYPERLINK("http://genome-euro.ucsc.edu/cgi-bin/hgTracks?position=221753_at","UCSC")</f>
        <v>UCSC</v>
      </c>
      <c r="E1412" s="1" t="str">
        <f>HYPERLINK("http://www.ncbi.nlm.nih.gov/gene/?term=SSH1","NCBI")</f>
        <v>NCBI</v>
      </c>
      <c r="F1412">
        <v>3.8E-3</v>
      </c>
      <c r="G1412">
        <v>4.5999999999999999E-2</v>
      </c>
      <c r="H1412" s="1" t="str">
        <f>HYPERLINK("http://www.weizmann.ac.il/complex/compphys/software/geview/data/figures/221753_at.png","Figure")</f>
        <v>Figure</v>
      </c>
      <c r="I1412">
        <v>0.96699999999999997</v>
      </c>
      <c r="J1412">
        <v>0.86</v>
      </c>
      <c r="K1412">
        <v>0.80500000000000005</v>
      </c>
      <c r="L1412">
        <v>5.3E-3</v>
      </c>
      <c r="M1412">
        <v>0.83199999999999996</v>
      </c>
      <c r="N1412">
        <v>2.4E-2</v>
      </c>
    </row>
    <row r="1413" spans="1:14" x14ac:dyDescent="0.25">
      <c r="A1413" t="s">
        <v>2637</v>
      </c>
      <c r="B1413" t="s">
        <v>2638</v>
      </c>
      <c r="C1413" s="1" t="str">
        <f>HYPERLINK("http://www.genecards.org/cgi-bin/carddisp.pl?gene=CAT","GeneCards")</f>
        <v>GeneCards</v>
      </c>
      <c r="D1413" s="1" t="str">
        <f>HYPERLINK("http://genome-euro.ucsc.edu/cgi-bin/hgTracks?position=211922_s_at","UCSC")</f>
        <v>UCSC</v>
      </c>
      <c r="E1413" s="1" t="str">
        <f>HYPERLINK("http://www.ncbi.nlm.nih.gov/gene/?term=CAT","NCBI")</f>
        <v>NCBI</v>
      </c>
      <c r="F1413">
        <v>3.8E-3</v>
      </c>
      <c r="G1413">
        <v>4.5999999999999999E-2</v>
      </c>
      <c r="H1413" s="1" t="str">
        <f>HYPERLINK("http://www.weizmann.ac.il/complex/compphys/software/geview/data/figures/211922_s_at.png","Figure")</f>
        <v>Figure</v>
      </c>
      <c r="I1413">
        <v>1.82</v>
      </c>
      <c r="J1413">
        <v>1.2999999999999999E-2</v>
      </c>
      <c r="K1413">
        <v>1.83</v>
      </c>
      <c r="L1413">
        <v>5.0000000000000001E-3</v>
      </c>
      <c r="M1413">
        <v>1.01</v>
      </c>
      <c r="N1413">
        <v>1</v>
      </c>
    </row>
    <row r="1414" spans="1:14" x14ac:dyDescent="0.25">
      <c r="A1414" t="s">
        <v>2639</v>
      </c>
      <c r="B1414" t="s">
        <v>2640</v>
      </c>
      <c r="C1414" s="1" t="str">
        <f>HYPERLINK("http://www.genecards.org/cgi-bin/carddisp.pl?gene=SSFA2","GeneCards")</f>
        <v>GeneCards</v>
      </c>
      <c r="D1414" s="1" t="str">
        <f>HYPERLINK("http://genome-euro.ucsc.edu/cgi-bin/hgTracks?position=202506_at","UCSC")</f>
        <v>UCSC</v>
      </c>
      <c r="E1414" s="1" t="str">
        <f>HYPERLINK("http://www.ncbi.nlm.nih.gov/gene/?term=SSFA2","NCBI")</f>
        <v>NCBI</v>
      </c>
      <c r="F1414">
        <v>3.8E-3</v>
      </c>
      <c r="G1414">
        <v>4.5999999999999999E-2</v>
      </c>
      <c r="H1414" s="1" t="str">
        <f>HYPERLINK("http://www.weizmann.ac.il/complex/compphys/software/geview/data/figures/202506_at.png","Figure")</f>
        <v>Figure</v>
      </c>
      <c r="I1414">
        <v>0.67700000000000005</v>
      </c>
      <c r="J1414">
        <v>3.3E-3</v>
      </c>
      <c r="K1414">
        <v>0.79200000000000004</v>
      </c>
      <c r="L1414">
        <v>3.6999999999999998E-2</v>
      </c>
      <c r="M1414">
        <v>1.17</v>
      </c>
      <c r="N1414">
        <v>0.22</v>
      </c>
    </row>
    <row r="1415" spans="1:14" x14ac:dyDescent="0.25">
      <c r="A1415" t="s">
        <v>2641</v>
      </c>
      <c r="B1415" t="s">
        <v>2642</v>
      </c>
      <c r="C1415" s="1" t="str">
        <f>HYPERLINK("http://www.genecards.org/cgi-bin/carddisp.pl?gene=OXCT1","GeneCards")</f>
        <v>GeneCards</v>
      </c>
      <c r="D1415" s="1" t="str">
        <f>HYPERLINK("http://genome-euro.ucsc.edu/cgi-bin/hgTracks?position=202780_at","UCSC")</f>
        <v>UCSC</v>
      </c>
      <c r="E1415" s="1" t="str">
        <f>HYPERLINK("http://www.ncbi.nlm.nih.gov/gene/?term=OXCT1","NCBI")</f>
        <v>NCBI</v>
      </c>
      <c r="F1415">
        <v>3.8E-3</v>
      </c>
      <c r="G1415">
        <v>4.5999999999999999E-2</v>
      </c>
      <c r="H1415" s="1" t="str">
        <f>HYPERLINK("http://www.weizmann.ac.il/complex/compphys/software/geview/data/figures/202780_at.png","Figure")</f>
        <v>Figure</v>
      </c>
      <c r="I1415">
        <v>1.51</v>
      </c>
      <c r="J1415">
        <v>5.1999999999999998E-2</v>
      </c>
      <c r="K1415">
        <v>1.77</v>
      </c>
      <c r="L1415">
        <v>3.0000000000000001E-3</v>
      </c>
      <c r="M1415">
        <v>1.17</v>
      </c>
      <c r="N1415">
        <v>0.54</v>
      </c>
    </row>
    <row r="1416" spans="1:14" x14ac:dyDescent="0.25">
      <c r="A1416" t="s">
        <v>2643</v>
      </c>
      <c r="B1416" t="s">
        <v>2644</v>
      </c>
      <c r="C1416" s="1" t="str">
        <f>HYPERLINK("http://www.genecards.org/cgi-bin/carddisp.pl?gene=MAPK14","GeneCards")</f>
        <v>GeneCards</v>
      </c>
      <c r="D1416" s="1" t="str">
        <f>HYPERLINK("http://genome-euro.ucsc.edu/cgi-bin/hgTracks?position=211561_x_at","UCSC")</f>
        <v>UCSC</v>
      </c>
      <c r="E1416" s="1" t="str">
        <f>HYPERLINK("http://www.ncbi.nlm.nih.gov/gene/?term=MAPK14","NCBI")</f>
        <v>NCBI</v>
      </c>
      <c r="F1416">
        <v>3.8E-3</v>
      </c>
      <c r="G1416">
        <v>4.5999999999999999E-2</v>
      </c>
      <c r="H1416" s="1" t="str">
        <f>HYPERLINK("http://www.weizmann.ac.il/complex/compphys/software/geview/data/figures/211561_x_at.png","Figure")</f>
        <v>Figure</v>
      </c>
      <c r="I1416">
        <v>1.26</v>
      </c>
      <c r="J1416">
        <v>3.3000000000000002E-2</v>
      </c>
      <c r="K1416">
        <v>0.92</v>
      </c>
      <c r="L1416">
        <v>0.49</v>
      </c>
      <c r="M1416">
        <v>0.72799999999999998</v>
      </c>
      <c r="N1416">
        <v>3.0000000000000001E-3</v>
      </c>
    </row>
    <row r="1417" spans="1:14" x14ac:dyDescent="0.25">
      <c r="A1417" t="s">
        <v>2645</v>
      </c>
      <c r="B1417" t="s">
        <v>2646</v>
      </c>
      <c r="C1417" s="1" t="str">
        <f>HYPERLINK("http://www.genecards.org/cgi-bin/carddisp.pl?gene=TCF3","GeneCards")</f>
        <v>GeneCards</v>
      </c>
      <c r="D1417" s="1" t="str">
        <f>HYPERLINK("http://genome-euro.ucsc.edu/cgi-bin/hgTracks?position=213730_x_at","UCSC")</f>
        <v>UCSC</v>
      </c>
      <c r="E1417" s="1" t="str">
        <f>HYPERLINK("http://www.ncbi.nlm.nih.gov/gene/?term=TCF3","NCBI")</f>
        <v>NCBI</v>
      </c>
      <c r="F1417">
        <v>3.8E-3</v>
      </c>
      <c r="G1417">
        <v>4.5999999999999999E-2</v>
      </c>
      <c r="H1417" s="1" t="str">
        <f>HYPERLINK("http://www.weizmann.ac.il/complex/compphys/software/geview/data/figures/213730_x_at.png","Figure")</f>
        <v>Figure</v>
      </c>
      <c r="I1417">
        <v>1.6</v>
      </c>
      <c r="J1417">
        <v>2.8E-3</v>
      </c>
      <c r="K1417">
        <v>1.21</v>
      </c>
      <c r="L1417">
        <v>0.16</v>
      </c>
      <c r="M1417">
        <v>0.75800000000000001</v>
      </c>
      <c r="N1417">
        <v>0.05</v>
      </c>
    </row>
    <row r="1418" spans="1:14" x14ac:dyDescent="0.25">
      <c r="A1418" t="s">
        <v>2647</v>
      </c>
      <c r="B1418" t="s">
        <v>2648</v>
      </c>
      <c r="C1418" s="1" t="str">
        <f>HYPERLINK("http://www.genecards.org/cgi-bin/carddisp.pl?gene=GLYR1","GeneCards")</f>
        <v>GeneCards</v>
      </c>
      <c r="D1418" s="1" t="str">
        <f>HYPERLINK("http://genome-euro.ucsc.edu/cgi-bin/hgTracks?position=222115_x_at","UCSC")</f>
        <v>UCSC</v>
      </c>
      <c r="E1418" s="1" t="str">
        <f>HYPERLINK("http://www.ncbi.nlm.nih.gov/gene/?term=GLYR1","NCBI")</f>
        <v>NCBI</v>
      </c>
      <c r="F1418">
        <v>3.8E-3</v>
      </c>
      <c r="G1418">
        <v>4.5999999999999999E-2</v>
      </c>
      <c r="H1418" s="1" t="str">
        <f>HYPERLINK("http://www.weizmann.ac.il/complex/compphys/software/geview/data/figures/222115_x_at.png","Figure")</f>
        <v>Figure</v>
      </c>
      <c r="I1418">
        <v>0.80900000000000005</v>
      </c>
      <c r="J1418">
        <v>1.0999999999999999E-2</v>
      </c>
      <c r="K1418">
        <v>1.02</v>
      </c>
      <c r="L1418">
        <v>0.95</v>
      </c>
      <c r="M1418">
        <v>1.26</v>
      </c>
      <c r="N1418">
        <v>4.1999999999999997E-3</v>
      </c>
    </row>
    <row r="1419" spans="1:14" x14ac:dyDescent="0.25">
      <c r="A1419" t="s">
        <v>2649</v>
      </c>
      <c r="B1419" t="s">
        <v>2650</v>
      </c>
      <c r="C1419" s="1" t="str">
        <f>HYPERLINK("http://www.genecards.org/cgi-bin/carddisp.pl?gene=PEX5","GeneCards")</f>
        <v>GeneCards</v>
      </c>
      <c r="D1419" s="1" t="str">
        <f>HYPERLINK("http://genome-euro.ucsc.edu/cgi-bin/hgTracks?position=203244_at","UCSC")</f>
        <v>UCSC</v>
      </c>
      <c r="E1419" s="1" t="str">
        <f>HYPERLINK("http://www.ncbi.nlm.nih.gov/gene/?term=PEX5","NCBI")</f>
        <v>NCBI</v>
      </c>
      <c r="F1419">
        <v>3.8999999999999998E-3</v>
      </c>
      <c r="G1419">
        <v>4.5999999999999999E-2</v>
      </c>
      <c r="H1419" s="1" t="str">
        <f>HYPERLINK("http://www.weizmann.ac.il/complex/compphys/software/geview/data/figures/203244_at.png","Figure")</f>
        <v>Figure</v>
      </c>
      <c r="I1419">
        <v>0.61599999999999999</v>
      </c>
      <c r="J1419">
        <v>2.8999999999999998E-3</v>
      </c>
      <c r="K1419">
        <v>0.83399999999999996</v>
      </c>
      <c r="L1419">
        <v>0.21</v>
      </c>
      <c r="M1419">
        <v>1.35</v>
      </c>
      <c r="N1419">
        <v>3.7999999999999999E-2</v>
      </c>
    </row>
    <row r="1420" spans="1:14" x14ac:dyDescent="0.25">
      <c r="A1420" t="s">
        <v>2651</v>
      </c>
      <c r="B1420" t="s">
        <v>2652</v>
      </c>
      <c r="C1420" s="1" t="str">
        <f>HYPERLINK("http://www.genecards.org/cgi-bin/carddisp.pl?gene=CEP170","GeneCards")</f>
        <v>GeneCards</v>
      </c>
      <c r="D1420" s="1" t="str">
        <f>HYPERLINK("http://genome-euro.ucsc.edu/cgi-bin/hgTracks?position=212746_s_at","UCSC")</f>
        <v>UCSC</v>
      </c>
      <c r="E1420" s="1" t="str">
        <f>HYPERLINK("http://www.ncbi.nlm.nih.gov/gene/?term=CEP170","NCBI")</f>
        <v>NCBI</v>
      </c>
      <c r="F1420">
        <v>3.8999999999999998E-3</v>
      </c>
      <c r="G1420">
        <v>4.5999999999999999E-2</v>
      </c>
      <c r="H1420" s="1" t="str">
        <f>HYPERLINK("http://www.weizmann.ac.il/complex/compphys/software/geview/data/figures/212746_s_at.png","Figure")</f>
        <v>Figure</v>
      </c>
      <c r="I1420">
        <v>1.4</v>
      </c>
      <c r="J1420">
        <v>0.12</v>
      </c>
      <c r="K1420">
        <v>1.76</v>
      </c>
      <c r="L1420">
        <v>2.8E-3</v>
      </c>
      <c r="M1420">
        <v>1.26</v>
      </c>
      <c r="N1420">
        <v>0.27</v>
      </c>
    </row>
    <row r="1421" spans="1:14" x14ac:dyDescent="0.25">
      <c r="A1421" t="s">
        <v>2653</v>
      </c>
      <c r="B1421" t="s">
        <v>2654</v>
      </c>
      <c r="C1421" s="1" t="str">
        <f>HYPERLINK("http://www.genecards.org/cgi-bin/carddisp.pl?gene=TMEM149","GeneCards")</f>
        <v>GeneCards</v>
      </c>
      <c r="D1421" s="1" t="str">
        <f>HYPERLINK("http://genome-euro.ucsc.edu/cgi-bin/hgTracks?position=219690_at","UCSC")</f>
        <v>UCSC</v>
      </c>
      <c r="E1421" s="1" t="str">
        <f>HYPERLINK("http://www.ncbi.nlm.nih.gov/gene/?term=TMEM149","NCBI")</f>
        <v>NCBI</v>
      </c>
      <c r="F1421">
        <v>3.8999999999999998E-3</v>
      </c>
      <c r="G1421">
        <v>4.5999999999999999E-2</v>
      </c>
      <c r="H1421" s="1" t="str">
        <f>HYPERLINK("http://www.weizmann.ac.il/complex/compphys/software/geview/data/figures/219690_at.png","Figure")</f>
        <v>Figure</v>
      </c>
      <c r="I1421">
        <v>1.41</v>
      </c>
      <c r="J1421">
        <v>3.0000000000000001E-3</v>
      </c>
      <c r="K1421">
        <v>1.2</v>
      </c>
      <c r="L1421">
        <v>5.7000000000000002E-2</v>
      </c>
      <c r="M1421">
        <v>0.85299999999999998</v>
      </c>
      <c r="N1421">
        <v>0.14000000000000001</v>
      </c>
    </row>
    <row r="1422" spans="1:14" x14ac:dyDescent="0.25">
      <c r="A1422" t="s">
        <v>2655</v>
      </c>
      <c r="B1422" t="s">
        <v>2656</v>
      </c>
      <c r="C1422" s="1" t="str">
        <f>HYPERLINK("http://www.genecards.org/cgi-bin/carddisp.pl?gene=SLC25A12","GeneCards")</f>
        <v>GeneCards</v>
      </c>
      <c r="D1422" s="1" t="str">
        <f>HYPERLINK("http://genome-euro.ucsc.edu/cgi-bin/hgTracks?position=203339_at","UCSC")</f>
        <v>UCSC</v>
      </c>
      <c r="E1422" s="1" t="str">
        <f>HYPERLINK("http://www.ncbi.nlm.nih.gov/gene/?term=SLC25A12","NCBI")</f>
        <v>NCBI</v>
      </c>
      <c r="F1422">
        <v>3.8999999999999998E-3</v>
      </c>
      <c r="G1422">
        <v>4.5999999999999999E-2</v>
      </c>
      <c r="H1422" s="1" t="str">
        <f>HYPERLINK("http://www.weizmann.ac.il/complex/compphys/software/geview/data/figures/203339_at.png","Figure")</f>
        <v>Figure</v>
      </c>
      <c r="I1422">
        <v>0.90100000000000002</v>
      </c>
      <c r="J1422">
        <v>0.71</v>
      </c>
      <c r="K1422">
        <v>0.63700000000000001</v>
      </c>
      <c r="L1422">
        <v>4.4000000000000003E-3</v>
      </c>
      <c r="M1422">
        <v>0.70699999999999996</v>
      </c>
      <c r="N1422">
        <v>3.5000000000000003E-2</v>
      </c>
    </row>
    <row r="1423" spans="1:14" x14ac:dyDescent="0.25">
      <c r="A1423" t="s">
        <v>2657</v>
      </c>
      <c r="B1423" t="s">
        <v>2658</v>
      </c>
      <c r="C1423" s="1" t="str">
        <f>HYPERLINK("http://www.genecards.org/cgi-bin/carddisp.pl?gene=TTF1","GeneCards")</f>
        <v>GeneCards</v>
      </c>
      <c r="D1423" s="1" t="str">
        <f>HYPERLINK("http://genome-euro.ucsc.edu/cgi-bin/hgTracks?position=204771_s_at","UCSC")</f>
        <v>UCSC</v>
      </c>
      <c r="E1423" s="1" t="str">
        <f>HYPERLINK("http://www.ncbi.nlm.nih.gov/gene/?term=TTF1","NCBI")</f>
        <v>NCBI</v>
      </c>
      <c r="F1423">
        <v>3.8999999999999998E-3</v>
      </c>
      <c r="G1423">
        <v>4.5999999999999999E-2</v>
      </c>
      <c r="H1423" s="1" t="str">
        <f>HYPERLINK("http://www.weizmann.ac.il/complex/compphys/software/geview/data/figures/204771_s_at.png","Figure")</f>
        <v>Figure</v>
      </c>
      <c r="I1423">
        <v>2.93</v>
      </c>
      <c r="J1423">
        <v>3.8999999999999998E-3</v>
      </c>
      <c r="K1423">
        <v>2.0499999999999998</v>
      </c>
      <c r="L1423">
        <v>2.3E-2</v>
      </c>
      <c r="M1423">
        <v>0.7</v>
      </c>
      <c r="N1423">
        <v>0.36</v>
      </c>
    </row>
    <row r="1424" spans="1:14" x14ac:dyDescent="0.25">
      <c r="A1424" t="s">
        <v>2659</v>
      </c>
      <c r="B1424" t="s">
        <v>2660</v>
      </c>
      <c r="C1424" s="1" t="str">
        <f>HYPERLINK("http://www.genecards.org/cgi-bin/carddisp.pl?gene=MAPKAPK2","GeneCards")</f>
        <v>GeneCards</v>
      </c>
      <c r="D1424" s="1" t="str">
        <f>HYPERLINK("http://genome-euro.ucsc.edu/cgi-bin/hgTracks?position=201460_at","UCSC")</f>
        <v>UCSC</v>
      </c>
      <c r="E1424" s="1" t="str">
        <f>HYPERLINK("http://www.ncbi.nlm.nih.gov/gene/?term=MAPKAPK2","NCBI")</f>
        <v>NCBI</v>
      </c>
      <c r="F1424">
        <v>3.8999999999999998E-3</v>
      </c>
      <c r="G1424">
        <v>4.5999999999999999E-2</v>
      </c>
      <c r="H1424" s="1" t="str">
        <f>HYPERLINK("http://www.weizmann.ac.il/complex/compphys/software/geview/data/figures/201460_at.png","Figure")</f>
        <v>Figure</v>
      </c>
      <c r="I1424">
        <v>1.7</v>
      </c>
      <c r="J1424">
        <v>3.2000000000000002E-3</v>
      </c>
      <c r="K1424">
        <v>1.35</v>
      </c>
      <c r="L1424">
        <v>4.4999999999999998E-2</v>
      </c>
      <c r="M1424">
        <v>0.79700000000000004</v>
      </c>
      <c r="N1424">
        <v>0.18</v>
      </c>
    </row>
    <row r="1425" spans="1:14" x14ac:dyDescent="0.25">
      <c r="A1425" t="s">
        <v>2661</v>
      </c>
      <c r="B1425" t="s">
        <v>2662</v>
      </c>
      <c r="C1425" s="1" t="str">
        <f>HYPERLINK("http://www.genecards.org/cgi-bin/carddisp.pl?gene=C17orf101","GeneCards")</f>
        <v>GeneCards</v>
      </c>
      <c r="D1425" s="1" t="str">
        <f>HYPERLINK("http://genome-euro.ucsc.edu/cgi-bin/hgTracks?position=53071_s_at","UCSC")</f>
        <v>UCSC</v>
      </c>
      <c r="E1425" s="1" t="str">
        <f>HYPERLINK("http://www.ncbi.nlm.nih.gov/gene/?term=C17orf101","NCBI")</f>
        <v>NCBI</v>
      </c>
      <c r="F1425">
        <v>3.8999999999999998E-3</v>
      </c>
      <c r="G1425">
        <v>4.5999999999999999E-2</v>
      </c>
      <c r="H1425" s="1" t="str">
        <f>HYPERLINK("http://www.weizmann.ac.il/complex/compphys/software/geview/data/figures/53071_s_at.png","Figure")</f>
        <v>Figure</v>
      </c>
      <c r="I1425">
        <v>0.53800000000000003</v>
      </c>
      <c r="J1425">
        <v>5.4000000000000003E-3</v>
      </c>
      <c r="K1425">
        <v>0.92800000000000005</v>
      </c>
      <c r="L1425">
        <v>0.86</v>
      </c>
      <c r="M1425">
        <v>1.73</v>
      </c>
      <c r="N1425">
        <v>8.2000000000000007E-3</v>
      </c>
    </row>
    <row r="1426" spans="1:14" x14ac:dyDescent="0.25">
      <c r="A1426" t="s">
        <v>2663</v>
      </c>
      <c r="B1426" t="s">
        <v>2664</v>
      </c>
      <c r="C1426" s="1" t="str">
        <f>HYPERLINK("http://www.genecards.org/cgi-bin/carddisp.pl?gene=DTX3","GeneCards")</f>
        <v>GeneCards</v>
      </c>
      <c r="D1426" s="1" t="str">
        <f>HYPERLINK("http://genome-euro.ucsc.edu/cgi-bin/hgTracks?position=49049_at","UCSC")</f>
        <v>UCSC</v>
      </c>
      <c r="E1426" s="1" t="str">
        <f>HYPERLINK("http://www.ncbi.nlm.nih.gov/gene/?term=DTX3","NCBI")</f>
        <v>NCBI</v>
      </c>
      <c r="F1426">
        <v>3.8999999999999998E-3</v>
      </c>
      <c r="G1426">
        <v>4.5999999999999999E-2</v>
      </c>
      <c r="H1426" s="1" t="str">
        <f>HYPERLINK("http://www.weizmann.ac.il/complex/compphys/software/geview/data/figures/49049_at.png","Figure")</f>
        <v>Figure</v>
      </c>
      <c r="I1426">
        <v>1.29</v>
      </c>
      <c r="J1426">
        <v>3.2000000000000002E-3</v>
      </c>
      <c r="K1426">
        <v>1.1599999999999999</v>
      </c>
      <c r="L1426">
        <v>4.4999999999999998E-2</v>
      </c>
      <c r="M1426">
        <v>0.89600000000000002</v>
      </c>
      <c r="N1426">
        <v>0.18</v>
      </c>
    </row>
    <row r="1427" spans="1:14" x14ac:dyDescent="0.25">
      <c r="A1427" t="s">
        <v>2665</v>
      </c>
      <c r="B1427" t="s">
        <v>2666</v>
      </c>
      <c r="C1427" s="1" t="str">
        <f>HYPERLINK("http://www.genecards.org/cgi-bin/carddisp.pl?gene=CCNC","GeneCards")</f>
        <v>GeneCards</v>
      </c>
      <c r="D1427" s="1" t="str">
        <f>HYPERLINK("http://genome-euro.ucsc.edu/cgi-bin/hgTracks?position=201955_at","UCSC")</f>
        <v>UCSC</v>
      </c>
      <c r="E1427" s="1" t="str">
        <f>HYPERLINK("http://www.ncbi.nlm.nih.gov/gene/?term=CCNC","NCBI")</f>
        <v>NCBI</v>
      </c>
      <c r="F1427">
        <v>3.8999999999999998E-3</v>
      </c>
      <c r="G1427">
        <v>4.5999999999999999E-2</v>
      </c>
      <c r="H1427" s="1" t="str">
        <f>HYPERLINK("http://www.weizmann.ac.il/complex/compphys/software/geview/data/figures/201955_at.png","Figure")</f>
        <v>Figure</v>
      </c>
      <c r="I1427">
        <v>0.47</v>
      </c>
      <c r="J1427">
        <v>2.8999999999999998E-3</v>
      </c>
      <c r="K1427">
        <v>0.72199999999999998</v>
      </c>
      <c r="L1427">
        <v>0.13</v>
      </c>
      <c r="M1427">
        <v>1.54</v>
      </c>
      <c r="N1427">
        <v>5.8999999999999997E-2</v>
      </c>
    </row>
    <row r="1428" spans="1:14" x14ac:dyDescent="0.25">
      <c r="A1428" t="s">
        <v>2667</v>
      </c>
      <c r="B1428" t="s">
        <v>2668</v>
      </c>
      <c r="C1428" s="1" t="str">
        <f>HYPERLINK("http://www.genecards.org/cgi-bin/carddisp.pl?gene=STK24","GeneCards")</f>
        <v>GeneCards</v>
      </c>
      <c r="D1428" s="1" t="str">
        <f>HYPERLINK("http://genome-euro.ucsc.edu/cgi-bin/hgTracks?position=208855_s_at","UCSC")</f>
        <v>UCSC</v>
      </c>
      <c r="E1428" s="1" t="str">
        <f>HYPERLINK("http://www.ncbi.nlm.nih.gov/gene/?term=STK24","NCBI")</f>
        <v>NCBI</v>
      </c>
      <c r="F1428">
        <v>3.8999999999999998E-3</v>
      </c>
      <c r="G1428">
        <v>4.5999999999999999E-2</v>
      </c>
      <c r="H1428" s="1" t="str">
        <f>HYPERLINK("http://www.weizmann.ac.il/complex/compphys/software/geview/data/figures/208855_s_at.png","Figure")</f>
        <v>Figure</v>
      </c>
      <c r="I1428">
        <v>1.19</v>
      </c>
      <c r="J1428">
        <v>0.16</v>
      </c>
      <c r="K1428">
        <v>0.84199999999999997</v>
      </c>
      <c r="L1428">
        <v>0.11</v>
      </c>
      <c r="M1428">
        <v>0.70499999999999996</v>
      </c>
      <c r="N1428">
        <v>3.0999999999999999E-3</v>
      </c>
    </row>
    <row r="1429" spans="1:14" x14ac:dyDescent="0.25">
      <c r="A1429" t="s">
        <v>2669</v>
      </c>
      <c r="B1429" t="s">
        <v>2670</v>
      </c>
      <c r="C1429" s="1" t="str">
        <f>HYPERLINK("http://www.genecards.org/cgi-bin/carddisp.pl?gene=RAB5A","GeneCards")</f>
        <v>GeneCards</v>
      </c>
      <c r="D1429" s="1" t="str">
        <f>HYPERLINK("http://genome-euro.ucsc.edu/cgi-bin/hgTracks?position=209089_at","UCSC")</f>
        <v>UCSC</v>
      </c>
      <c r="E1429" s="1" t="str">
        <f>HYPERLINK("http://www.ncbi.nlm.nih.gov/gene/?term=RAB5A","NCBI")</f>
        <v>NCBI</v>
      </c>
      <c r="F1429">
        <v>3.8999999999999998E-3</v>
      </c>
      <c r="G1429">
        <v>4.5999999999999999E-2</v>
      </c>
      <c r="H1429" s="1" t="str">
        <f>HYPERLINK("http://www.weizmann.ac.il/complex/compphys/software/geview/data/figures/209089_at.png","Figure")</f>
        <v>Figure</v>
      </c>
      <c r="I1429">
        <v>0.7</v>
      </c>
      <c r="J1429">
        <v>2.1999999999999999E-2</v>
      </c>
      <c r="K1429">
        <v>0.66800000000000004</v>
      </c>
      <c r="L1429">
        <v>4.0000000000000001E-3</v>
      </c>
      <c r="M1429">
        <v>0.95499999999999996</v>
      </c>
      <c r="N1429">
        <v>0.9</v>
      </c>
    </row>
    <row r="1430" spans="1:14" x14ac:dyDescent="0.25">
      <c r="A1430" t="s">
        <v>2671</v>
      </c>
      <c r="B1430" t="s">
        <v>2672</v>
      </c>
      <c r="C1430" s="1" t="str">
        <f>HYPERLINK("http://www.genecards.org/cgi-bin/carddisp.pl?gene=ARAP1","GeneCards")</f>
        <v>GeneCards</v>
      </c>
      <c r="D1430" s="1" t="str">
        <f>HYPERLINK("http://genome-euro.ucsc.edu/cgi-bin/hgTracks?position=212516_at","UCSC")</f>
        <v>UCSC</v>
      </c>
      <c r="E1430" s="1" t="str">
        <f>HYPERLINK("http://www.ncbi.nlm.nih.gov/gene/?term=ARAP1","NCBI")</f>
        <v>NCBI</v>
      </c>
      <c r="F1430">
        <v>3.8999999999999998E-3</v>
      </c>
      <c r="G1430">
        <v>4.7E-2</v>
      </c>
      <c r="H1430" s="1" t="str">
        <f>HYPERLINK("http://www.weizmann.ac.il/complex/compphys/software/geview/data/figures/212516_at.png","Figure")</f>
        <v>Figure</v>
      </c>
      <c r="I1430">
        <v>1.43</v>
      </c>
      <c r="J1430">
        <v>3.0999999999999999E-3</v>
      </c>
      <c r="K1430">
        <v>1.22</v>
      </c>
      <c r="L1430">
        <v>5.2999999999999999E-2</v>
      </c>
      <c r="M1430">
        <v>0.85</v>
      </c>
      <c r="N1430">
        <v>0.15</v>
      </c>
    </row>
    <row r="1431" spans="1:14" x14ac:dyDescent="0.25">
      <c r="A1431" t="s">
        <v>2673</v>
      </c>
      <c r="B1431" t="s">
        <v>2674</v>
      </c>
      <c r="C1431" s="1" t="str">
        <f>HYPERLINK("http://www.genecards.org/cgi-bin/carddisp.pl?gene=C13orf15","GeneCards")</f>
        <v>GeneCards</v>
      </c>
      <c r="D1431" s="1" t="str">
        <f>HYPERLINK("http://genome-euro.ucsc.edu/cgi-bin/hgTracks?position=218723_s_at","UCSC")</f>
        <v>UCSC</v>
      </c>
      <c r="E1431" s="1" t="str">
        <f>HYPERLINK("http://www.ncbi.nlm.nih.gov/gene/?term=C13orf15","NCBI")</f>
        <v>NCBI</v>
      </c>
      <c r="F1431">
        <v>3.8999999999999998E-3</v>
      </c>
      <c r="G1431">
        <v>4.7E-2</v>
      </c>
      <c r="H1431" s="1" t="str">
        <f>HYPERLINK("http://www.weizmann.ac.il/complex/compphys/software/geview/data/figures/218723_s_at.png","Figure")</f>
        <v>Figure</v>
      </c>
      <c r="I1431">
        <v>0.41199999999999998</v>
      </c>
      <c r="J1431">
        <v>0.24</v>
      </c>
      <c r="K1431">
        <v>0.151</v>
      </c>
      <c r="L1431">
        <v>3.0000000000000001E-3</v>
      </c>
      <c r="M1431">
        <v>0.36599999999999999</v>
      </c>
      <c r="N1431">
        <v>0.14000000000000001</v>
      </c>
    </row>
    <row r="1432" spans="1:14" x14ac:dyDescent="0.25">
      <c r="A1432" t="s">
        <v>2675</v>
      </c>
      <c r="B1432" t="s">
        <v>2676</v>
      </c>
      <c r="C1432" s="1" t="str">
        <f>HYPERLINK("http://www.genecards.org/cgi-bin/carddisp.pl?gene=MGC31957 /// TNFRSF10C","GeneCards")</f>
        <v>GeneCards</v>
      </c>
      <c r="D1432" s="1" t="str">
        <f>HYPERLINK("http://genome-euro.ucsc.edu/cgi-bin/hgTracks?position=210484_s_at","UCSC")</f>
        <v>UCSC</v>
      </c>
      <c r="E1432" s="1" t="str">
        <f>HYPERLINK("http://www.ncbi.nlm.nih.gov/gene/?term=MGC31957 /// TNFRSF10C","NCBI")</f>
        <v>NCBI</v>
      </c>
      <c r="F1432">
        <v>3.8999999999999998E-3</v>
      </c>
      <c r="G1432">
        <v>4.7E-2</v>
      </c>
      <c r="H1432" s="1" t="str">
        <f>HYPERLINK("http://www.weizmann.ac.il/complex/compphys/software/geview/data/figures/210484_s_at.png","Figure")</f>
        <v>Figure</v>
      </c>
      <c r="I1432">
        <v>1.55</v>
      </c>
      <c r="J1432">
        <v>6.1000000000000004E-3</v>
      </c>
      <c r="K1432">
        <v>1.42</v>
      </c>
      <c r="L1432">
        <v>1.0999999999999999E-2</v>
      </c>
      <c r="M1432">
        <v>0.91700000000000004</v>
      </c>
      <c r="N1432">
        <v>0.71</v>
      </c>
    </row>
    <row r="1433" spans="1:14" x14ac:dyDescent="0.25">
      <c r="A1433" t="s">
        <v>2677</v>
      </c>
      <c r="B1433" t="s">
        <v>2678</v>
      </c>
      <c r="C1433" s="1" t="str">
        <f>HYPERLINK("http://www.genecards.org/cgi-bin/carddisp.pl?gene=RAP1GAP","GeneCards")</f>
        <v>GeneCards</v>
      </c>
      <c r="D1433" s="1" t="str">
        <f>HYPERLINK("http://genome-euro.ucsc.edu/cgi-bin/hgTracks?position=210618_at","UCSC")</f>
        <v>UCSC</v>
      </c>
      <c r="E1433" s="1" t="str">
        <f>HYPERLINK("http://www.ncbi.nlm.nih.gov/gene/?term=RAP1GAP","NCBI")</f>
        <v>NCBI</v>
      </c>
      <c r="F1433">
        <v>3.8999999999999998E-3</v>
      </c>
      <c r="G1433">
        <v>4.7E-2</v>
      </c>
      <c r="H1433" s="1" t="str">
        <f>HYPERLINK("http://www.weizmann.ac.il/complex/compphys/software/geview/data/figures/210618_at.png","Figure")</f>
        <v>Figure</v>
      </c>
      <c r="I1433">
        <v>1.33</v>
      </c>
      <c r="J1433">
        <v>5.4000000000000003E-3</v>
      </c>
      <c r="K1433">
        <v>1.04</v>
      </c>
      <c r="L1433">
        <v>0.85</v>
      </c>
      <c r="M1433">
        <v>0.77800000000000002</v>
      </c>
      <c r="N1433">
        <v>8.3000000000000001E-3</v>
      </c>
    </row>
    <row r="1434" spans="1:14" x14ac:dyDescent="0.25">
      <c r="A1434" t="s">
        <v>2679</v>
      </c>
      <c r="B1434" t="s">
        <v>2011</v>
      </c>
      <c r="C1434" s="1" t="str">
        <f>HYPERLINK("http://www.genecards.org/cgi-bin/carddisp.pl?gene=PBXIP1","GeneCards")</f>
        <v>GeneCards</v>
      </c>
      <c r="D1434" s="1" t="str">
        <f>HYPERLINK("http://genome-euro.ucsc.edu/cgi-bin/hgTracks?position=214177_s_at","UCSC")</f>
        <v>UCSC</v>
      </c>
      <c r="E1434" s="1" t="str">
        <f>HYPERLINK("http://www.ncbi.nlm.nih.gov/gene/?term=PBXIP1","NCBI")</f>
        <v>NCBI</v>
      </c>
      <c r="F1434">
        <v>3.8999999999999998E-3</v>
      </c>
      <c r="G1434">
        <v>4.7E-2</v>
      </c>
      <c r="H1434" s="1" t="str">
        <f>HYPERLINK("http://www.weizmann.ac.il/complex/compphys/software/geview/data/figures/214177_s_at.png","Figure")</f>
        <v>Figure</v>
      </c>
      <c r="I1434">
        <v>1.66</v>
      </c>
      <c r="J1434">
        <v>4.7999999999999996E-3</v>
      </c>
      <c r="K1434">
        <v>1.08</v>
      </c>
      <c r="L1434">
        <v>0.77</v>
      </c>
      <c r="M1434">
        <v>0.65200000000000002</v>
      </c>
      <c r="N1434">
        <v>9.7000000000000003E-3</v>
      </c>
    </row>
    <row r="1435" spans="1:14" x14ac:dyDescent="0.25">
      <c r="A1435" t="s">
        <v>2680</v>
      </c>
      <c r="B1435" t="s">
        <v>1883</v>
      </c>
      <c r="C1435" s="1" t="str">
        <f>HYPERLINK("http://www.genecards.org/cgi-bin/carddisp.pl?gene=HBEGF","GeneCards")</f>
        <v>GeneCards</v>
      </c>
      <c r="D1435" s="1" t="str">
        <f>HYPERLINK("http://genome-euro.ucsc.edu/cgi-bin/hgTracks?position=203821_at","UCSC")</f>
        <v>UCSC</v>
      </c>
      <c r="E1435" s="1" t="str">
        <f>HYPERLINK("http://www.ncbi.nlm.nih.gov/gene/?term=HBEGF","NCBI")</f>
        <v>NCBI</v>
      </c>
      <c r="F1435">
        <v>3.8999999999999998E-3</v>
      </c>
      <c r="G1435">
        <v>4.7E-2</v>
      </c>
      <c r="H1435" s="1" t="str">
        <f>HYPERLINK("http://www.weizmann.ac.il/complex/compphys/software/geview/data/figures/203821_at.png","Figure")</f>
        <v>Figure</v>
      </c>
      <c r="I1435">
        <v>0.27</v>
      </c>
      <c r="J1435">
        <v>3.0999999999999999E-3</v>
      </c>
      <c r="K1435">
        <v>0.63</v>
      </c>
      <c r="L1435">
        <v>0.25</v>
      </c>
      <c r="M1435">
        <v>2.34</v>
      </c>
      <c r="N1435">
        <v>3.3000000000000002E-2</v>
      </c>
    </row>
    <row r="1436" spans="1:14" x14ac:dyDescent="0.25">
      <c r="A1436" t="s">
        <v>2681</v>
      </c>
      <c r="B1436" t="s">
        <v>2682</v>
      </c>
      <c r="C1436" s="1" t="str">
        <f>HYPERLINK("http://www.genecards.org/cgi-bin/carddisp.pl?gene=PIP","GeneCards")</f>
        <v>GeneCards</v>
      </c>
      <c r="D1436" s="1" t="str">
        <f>HYPERLINK("http://genome-euro.ucsc.edu/cgi-bin/hgTracks?position=206509_at","UCSC")</f>
        <v>UCSC</v>
      </c>
      <c r="E1436" s="1" t="str">
        <f>HYPERLINK("http://www.ncbi.nlm.nih.gov/gene/?term=PIP","NCBI")</f>
        <v>NCBI</v>
      </c>
      <c r="F1436">
        <v>3.8999999999999998E-3</v>
      </c>
      <c r="G1436">
        <v>4.7E-2</v>
      </c>
      <c r="H1436" s="1" t="str">
        <f>HYPERLINK("http://www.weizmann.ac.il/complex/compphys/software/geview/data/figures/206509_at.png","Figure")</f>
        <v>Figure</v>
      </c>
      <c r="I1436">
        <v>1.3</v>
      </c>
      <c r="J1436">
        <v>3.8E-3</v>
      </c>
      <c r="K1436">
        <v>1.06</v>
      </c>
      <c r="L1436">
        <v>0.54</v>
      </c>
      <c r="M1436">
        <v>0.81899999999999995</v>
      </c>
      <c r="N1436">
        <v>1.4999999999999999E-2</v>
      </c>
    </row>
    <row r="1437" spans="1:14" x14ac:dyDescent="0.25">
      <c r="A1437" t="s">
        <v>2683</v>
      </c>
      <c r="B1437" t="s">
        <v>1349</v>
      </c>
      <c r="C1437" s="1" t="str">
        <f>HYPERLINK("http://www.genecards.org/cgi-bin/carddisp.pl?gene=TNK2","GeneCards")</f>
        <v>GeneCards</v>
      </c>
      <c r="D1437" s="1" t="str">
        <f>HYPERLINK("http://genome-euro.ucsc.edu/cgi-bin/hgTracks?position=216439_at","UCSC")</f>
        <v>UCSC</v>
      </c>
      <c r="E1437" s="1" t="str">
        <f>HYPERLINK("http://www.ncbi.nlm.nih.gov/gene/?term=TNK2","NCBI")</f>
        <v>NCBI</v>
      </c>
      <c r="F1437">
        <v>3.8999999999999998E-3</v>
      </c>
      <c r="G1437">
        <v>4.7E-2</v>
      </c>
      <c r="H1437" s="1" t="str">
        <f>HYPERLINK("http://www.weizmann.ac.il/complex/compphys/software/geview/data/figures/216439_at.png","Figure")</f>
        <v>Figure</v>
      </c>
      <c r="I1437">
        <v>1.44</v>
      </c>
      <c r="J1437">
        <v>4.7000000000000002E-3</v>
      </c>
      <c r="K1437">
        <v>1.3</v>
      </c>
      <c r="L1437">
        <v>1.6E-2</v>
      </c>
      <c r="M1437">
        <v>0.90300000000000002</v>
      </c>
      <c r="N1437">
        <v>0.49</v>
      </c>
    </row>
    <row r="1438" spans="1:14" x14ac:dyDescent="0.25">
      <c r="A1438" t="s">
        <v>2684</v>
      </c>
      <c r="B1438" t="s">
        <v>2685</v>
      </c>
      <c r="C1438" s="1" t="str">
        <f>HYPERLINK("http://www.genecards.org/cgi-bin/carddisp.pl?gene=KSR1","GeneCards")</f>
        <v>GeneCards</v>
      </c>
      <c r="D1438" s="1" t="str">
        <f>HYPERLINK("http://genome-euro.ucsc.edu/cgi-bin/hgTracks?position=213769_at","UCSC")</f>
        <v>UCSC</v>
      </c>
      <c r="E1438" s="1" t="str">
        <f>HYPERLINK("http://www.ncbi.nlm.nih.gov/gene/?term=KSR1","NCBI")</f>
        <v>NCBI</v>
      </c>
      <c r="F1438">
        <v>4.0000000000000001E-3</v>
      </c>
      <c r="G1438">
        <v>4.7E-2</v>
      </c>
      <c r="H1438" s="1" t="str">
        <f>HYPERLINK("http://www.weizmann.ac.il/complex/compphys/software/geview/data/figures/213769_at.png","Figure")</f>
        <v>Figure</v>
      </c>
      <c r="I1438">
        <v>1.1100000000000001</v>
      </c>
      <c r="J1438">
        <v>3.2000000000000002E-3</v>
      </c>
      <c r="K1438">
        <v>1.06</v>
      </c>
      <c r="L1438">
        <v>4.3999999999999997E-2</v>
      </c>
      <c r="M1438">
        <v>0.95499999999999996</v>
      </c>
      <c r="N1438">
        <v>0.19</v>
      </c>
    </row>
    <row r="1439" spans="1:14" x14ac:dyDescent="0.25">
      <c r="A1439" t="s">
        <v>2686</v>
      </c>
      <c r="B1439" t="s">
        <v>2687</v>
      </c>
      <c r="C1439" s="1" t="str">
        <f>HYPERLINK("http://www.genecards.org/cgi-bin/carddisp.pl?gene=RUNX1","GeneCards")</f>
        <v>GeneCards</v>
      </c>
      <c r="D1439" s="1" t="str">
        <f>HYPERLINK("http://genome-euro.ucsc.edu/cgi-bin/hgTracks?position=211180_x_at","UCSC")</f>
        <v>UCSC</v>
      </c>
      <c r="E1439" s="1" t="str">
        <f>HYPERLINK("http://www.ncbi.nlm.nih.gov/gene/?term=RUNX1","NCBI")</f>
        <v>NCBI</v>
      </c>
      <c r="F1439">
        <v>4.0000000000000001E-3</v>
      </c>
      <c r="G1439">
        <v>4.7E-2</v>
      </c>
      <c r="H1439" s="1" t="str">
        <f>HYPERLINK("http://www.weizmann.ac.il/complex/compphys/software/geview/data/figures/211180_x_at.png","Figure")</f>
        <v>Figure</v>
      </c>
      <c r="I1439">
        <v>1.46</v>
      </c>
      <c r="J1439">
        <v>3.0000000000000001E-3</v>
      </c>
      <c r="K1439">
        <v>1.1599999999999999</v>
      </c>
      <c r="L1439">
        <v>0.18</v>
      </c>
      <c r="M1439">
        <v>0.79600000000000004</v>
      </c>
      <c r="N1439">
        <v>4.3999999999999997E-2</v>
      </c>
    </row>
    <row r="1440" spans="1:14" x14ac:dyDescent="0.25">
      <c r="A1440" t="s">
        <v>2688</v>
      </c>
      <c r="B1440" t="s">
        <v>2689</v>
      </c>
      <c r="C1440" s="1" t="str">
        <f>HYPERLINK("http://www.genecards.org/cgi-bin/carddisp.pl?gene=GARNL4","GeneCards")</f>
        <v>GeneCards</v>
      </c>
      <c r="D1440" s="1" t="str">
        <f>HYPERLINK("http://genome-euro.ucsc.edu/cgi-bin/hgTracks?position=213280_at","UCSC")</f>
        <v>UCSC</v>
      </c>
      <c r="E1440" s="1" t="str">
        <f>HYPERLINK("http://www.ncbi.nlm.nih.gov/gene/?term=GARNL4","NCBI")</f>
        <v>NCBI</v>
      </c>
      <c r="F1440">
        <v>4.0000000000000001E-3</v>
      </c>
      <c r="G1440">
        <v>4.7E-2</v>
      </c>
      <c r="H1440" s="1" t="str">
        <f>HYPERLINK("http://www.weizmann.ac.il/complex/compphys/software/geview/data/figures/213280_at.png","Figure")</f>
        <v>Figure</v>
      </c>
      <c r="I1440">
        <v>0.38200000000000001</v>
      </c>
      <c r="J1440">
        <v>4.7999999999999996E-3</v>
      </c>
      <c r="K1440">
        <v>0.86</v>
      </c>
      <c r="L1440">
        <v>0.77</v>
      </c>
      <c r="M1440">
        <v>2.25</v>
      </c>
      <c r="N1440">
        <v>9.7999999999999997E-3</v>
      </c>
    </row>
    <row r="1441" spans="1:14" x14ac:dyDescent="0.25">
      <c r="A1441" t="s">
        <v>2690</v>
      </c>
      <c r="B1441" t="s">
        <v>2691</v>
      </c>
      <c r="C1441" s="1" t="str">
        <f>HYPERLINK("http://www.genecards.org/cgi-bin/carddisp.pl?gene=TERF2","GeneCards")</f>
        <v>GeneCards</v>
      </c>
      <c r="D1441" s="1" t="str">
        <f>HYPERLINK("http://genome-euro.ucsc.edu/cgi-bin/hgTracks?position=203611_at","UCSC")</f>
        <v>UCSC</v>
      </c>
      <c r="E1441" s="1" t="str">
        <f>HYPERLINK("http://www.ncbi.nlm.nih.gov/gene/?term=TERF2","NCBI")</f>
        <v>NCBI</v>
      </c>
      <c r="F1441">
        <v>4.0000000000000001E-3</v>
      </c>
      <c r="G1441">
        <v>4.7E-2</v>
      </c>
      <c r="H1441" s="1" t="str">
        <f>HYPERLINK("http://www.weizmann.ac.il/complex/compphys/software/geview/data/figures/203611_at.png","Figure")</f>
        <v>Figure</v>
      </c>
      <c r="I1441">
        <v>0.55400000000000005</v>
      </c>
      <c r="J1441">
        <v>0.3</v>
      </c>
      <c r="K1441">
        <v>0.253</v>
      </c>
      <c r="L1441">
        <v>3.2000000000000002E-3</v>
      </c>
      <c r="M1441">
        <v>0.45600000000000002</v>
      </c>
      <c r="N1441">
        <v>0.11</v>
      </c>
    </row>
    <row r="1442" spans="1:14" x14ac:dyDescent="0.25">
      <c r="A1442" t="s">
        <v>2692</v>
      </c>
      <c r="B1442" t="s">
        <v>2693</v>
      </c>
      <c r="C1442" s="1" t="str">
        <f>HYPERLINK("http://www.genecards.org/cgi-bin/carddisp.pl?gene=WBP5","GeneCards")</f>
        <v>GeneCards</v>
      </c>
      <c r="D1442" s="1" t="str">
        <f>HYPERLINK("http://genome-euro.ucsc.edu/cgi-bin/hgTracks?position=217975_at","UCSC")</f>
        <v>UCSC</v>
      </c>
      <c r="E1442" s="1" t="str">
        <f>HYPERLINK("http://www.ncbi.nlm.nih.gov/gene/?term=WBP5","NCBI")</f>
        <v>NCBI</v>
      </c>
      <c r="F1442">
        <v>4.0000000000000001E-3</v>
      </c>
      <c r="G1442">
        <v>4.7E-2</v>
      </c>
      <c r="H1442" s="1" t="str">
        <f>HYPERLINK("http://www.weizmann.ac.il/complex/compphys/software/geview/data/figures/217975_at.png","Figure")</f>
        <v>Figure</v>
      </c>
      <c r="I1442">
        <v>0.625</v>
      </c>
      <c r="J1442">
        <v>8.6E-3</v>
      </c>
      <c r="K1442">
        <v>1</v>
      </c>
      <c r="L1442">
        <v>1</v>
      </c>
      <c r="M1442">
        <v>1.6</v>
      </c>
      <c r="N1442">
        <v>5.3E-3</v>
      </c>
    </row>
    <row r="1443" spans="1:14" x14ac:dyDescent="0.25">
      <c r="A1443" t="s">
        <v>2694</v>
      </c>
      <c r="B1443" t="s">
        <v>2695</v>
      </c>
      <c r="C1443" s="1" t="str">
        <f>HYPERLINK("http://www.genecards.org/cgi-bin/carddisp.pl?gene=PRDX4","GeneCards")</f>
        <v>GeneCards</v>
      </c>
      <c r="D1443" s="1" t="str">
        <f>HYPERLINK("http://genome-euro.ucsc.edu/cgi-bin/hgTracks?position=201923_at","UCSC")</f>
        <v>UCSC</v>
      </c>
      <c r="E1443" s="1" t="str">
        <f>HYPERLINK("http://www.ncbi.nlm.nih.gov/gene/?term=PRDX4","NCBI")</f>
        <v>NCBI</v>
      </c>
      <c r="F1443">
        <v>4.0000000000000001E-3</v>
      </c>
      <c r="G1443">
        <v>4.7E-2</v>
      </c>
      <c r="H1443" s="1" t="str">
        <f>HYPERLINK("http://www.weizmann.ac.il/complex/compphys/software/geview/data/figures/201923_at.png","Figure")</f>
        <v>Figure</v>
      </c>
      <c r="I1443">
        <v>0.29099999999999998</v>
      </c>
      <c r="J1443">
        <v>6.4000000000000003E-3</v>
      </c>
      <c r="K1443">
        <v>0.91100000000000003</v>
      </c>
      <c r="L1443">
        <v>0.94</v>
      </c>
      <c r="M1443">
        <v>3.13</v>
      </c>
      <c r="N1443">
        <v>6.8999999999999999E-3</v>
      </c>
    </row>
    <row r="1444" spans="1:14" x14ac:dyDescent="0.25">
      <c r="A1444" t="s">
        <v>2696</v>
      </c>
      <c r="B1444" t="s">
        <v>1971</v>
      </c>
      <c r="C1444" s="1" t="str">
        <f>HYPERLINK("http://www.genecards.org/cgi-bin/carddisp.pl?gene=UBL3","GeneCards")</f>
        <v>GeneCards</v>
      </c>
      <c r="D1444" s="1" t="str">
        <f>HYPERLINK("http://genome-euro.ucsc.edu/cgi-bin/hgTracks?position=201535_at","UCSC")</f>
        <v>UCSC</v>
      </c>
      <c r="E1444" s="1" t="str">
        <f>HYPERLINK("http://www.ncbi.nlm.nih.gov/gene/?term=UBL3","NCBI")</f>
        <v>NCBI</v>
      </c>
      <c r="F1444">
        <v>4.0000000000000001E-3</v>
      </c>
      <c r="G1444">
        <v>4.7E-2</v>
      </c>
      <c r="H1444" s="1" t="str">
        <f>HYPERLINK("http://www.weizmann.ac.il/complex/compphys/software/geview/data/figures/201535_at.png","Figure")</f>
        <v>Figure</v>
      </c>
      <c r="I1444">
        <v>0.50600000000000001</v>
      </c>
      <c r="J1444">
        <v>2.1000000000000001E-2</v>
      </c>
      <c r="K1444">
        <v>0.46700000000000003</v>
      </c>
      <c r="L1444">
        <v>4.1999999999999997E-3</v>
      </c>
      <c r="M1444">
        <v>0.92200000000000004</v>
      </c>
      <c r="N1444">
        <v>0.92</v>
      </c>
    </row>
    <row r="1445" spans="1:14" x14ac:dyDescent="0.25">
      <c r="A1445" t="s">
        <v>2697</v>
      </c>
      <c r="B1445" t="s">
        <v>2698</v>
      </c>
      <c r="C1445" s="1" t="str">
        <f>HYPERLINK("http://www.genecards.org/cgi-bin/carddisp.pl?gene=C20orf103","GeneCards")</f>
        <v>GeneCards</v>
      </c>
      <c r="D1445" s="1" t="str">
        <f>HYPERLINK("http://genome-euro.ucsc.edu/cgi-bin/hgTracks?position=219463_at","UCSC")</f>
        <v>UCSC</v>
      </c>
      <c r="E1445" s="1" t="str">
        <f>HYPERLINK("http://www.ncbi.nlm.nih.gov/gene/?term=C20orf103","NCBI")</f>
        <v>NCBI</v>
      </c>
      <c r="F1445">
        <v>4.0000000000000001E-3</v>
      </c>
      <c r="G1445">
        <v>4.7E-2</v>
      </c>
      <c r="H1445" s="1" t="str">
        <f>HYPERLINK("http://www.weizmann.ac.il/complex/compphys/software/geview/data/figures/219463_at.png","Figure")</f>
        <v>Figure</v>
      </c>
      <c r="I1445">
        <v>1.34</v>
      </c>
      <c r="J1445">
        <v>2.8999999999999998E-3</v>
      </c>
      <c r="K1445">
        <v>1.1399999999999999</v>
      </c>
      <c r="L1445">
        <v>0.12</v>
      </c>
      <c r="M1445">
        <v>0.85</v>
      </c>
      <c r="N1445">
        <v>6.6000000000000003E-2</v>
      </c>
    </row>
    <row r="1446" spans="1:14" x14ac:dyDescent="0.25">
      <c r="A1446" t="s">
        <v>2699</v>
      </c>
      <c r="B1446" t="s">
        <v>2700</v>
      </c>
      <c r="C1446" s="1" t="str">
        <f>HYPERLINK("http://www.genecards.org/cgi-bin/carddisp.pl?gene=NARG1L","GeneCards")</f>
        <v>GeneCards</v>
      </c>
      <c r="D1446" s="1" t="str">
        <f>HYPERLINK("http://genome-euro.ucsc.edu/cgi-bin/hgTracks?position=219378_at","UCSC")</f>
        <v>UCSC</v>
      </c>
      <c r="E1446" s="1" t="str">
        <f>HYPERLINK("http://www.ncbi.nlm.nih.gov/gene/?term=NARG1L","NCBI")</f>
        <v>NCBI</v>
      </c>
      <c r="F1446">
        <v>4.0000000000000001E-3</v>
      </c>
      <c r="G1446">
        <v>4.7E-2</v>
      </c>
      <c r="H1446" s="1" t="str">
        <f>HYPERLINK("http://www.weizmann.ac.il/complex/compphys/software/geview/data/figures/219378_at.png","Figure")</f>
        <v>Figure</v>
      </c>
      <c r="I1446">
        <v>0.57299999999999995</v>
      </c>
      <c r="J1446">
        <v>0.13</v>
      </c>
      <c r="K1446">
        <v>0.379</v>
      </c>
      <c r="L1446">
        <v>2.8999999999999998E-3</v>
      </c>
      <c r="M1446">
        <v>0.66</v>
      </c>
      <c r="N1446">
        <v>0.26</v>
      </c>
    </row>
    <row r="1447" spans="1:14" x14ac:dyDescent="0.25">
      <c r="A1447" t="s">
        <v>2701</v>
      </c>
      <c r="B1447" t="s">
        <v>2702</v>
      </c>
      <c r="C1447" s="1" t="str">
        <f>HYPERLINK("http://www.genecards.org/cgi-bin/carddisp.pl?gene=BZRAP1","GeneCards")</f>
        <v>GeneCards</v>
      </c>
      <c r="D1447" s="1" t="str">
        <f>HYPERLINK("http://genome-euro.ucsc.edu/cgi-bin/hgTracks?position=205839_s_at","UCSC")</f>
        <v>UCSC</v>
      </c>
      <c r="E1447" s="1" t="str">
        <f>HYPERLINK("http://www.ncbi.nlm.nih.gov/gene/?term=BZRAP1","NCBI")</f>
        <v>NCBI</v>
      </c>
      <c r="F1447">
        <v>4.0000000000000001E-3</v>
      </c>
      <c r="G1447">
        <v>4.7E-2</v>
      </c>
      <c r="H1447" s="1" t="str">
        <f>HYPERLINK("http://www.weizmann.ac.il/complex/compphys/software/geview/data/figures/205839_s_at.png","Figure")</f>
        <v>Figure</v>
      </c>
      <c r="I1447">
        <v>1.88</v>
      </c>
      <c r="J1447">
        <v>1.0999999999999999E-2</v>
      </c>
      <c r="K1447">
        <v>0.96699999999999997</v>
      </c>
      <c r="L1447">
        <v>0.98</v>
      </c>
      <c r="M1447">
        <v>0.51400000000000001</v>
      </c>
      <c r="N1447">
        <v>4.7000000000000002E-3</v>
      </c>
    </row>
    <row r="1448" spans="1:14" x14ac:dyDescent="0.25">
      <c r="A1448" t="s">
        <v>2703</v>
      </c>
      <c r="B1448" t="s">
        <v>2704</v>
      </c>
      <c r="C1448" s="1" t="str">
        <f>HYPERLINK("http://www.genecards.org/cgi-bin/carddisp.pl?gene=GTPBP8","GeneCards")</f>
        <v>GeneCards</v>
      </c>
      <c r="D1448" s="1" t="str">
        <f>HYPERLINK("http://genome-euro.ucsc.edu/cgi-bin/hgTracks?position=221046_s_at","UCSC")</f>
        <v>UCSC</v>
      </c>
      <c r="E1448" s="1" t="str">
        <f>HYPERLINK("http://www.ncbi.nlm.nih.gov/gene/?term=GTPBP8","NCBI")</f>
        <v>NCBI</v>
      </c>
      <c r="F1448">
        <v>4.0000000000000001E-3</v>
      </c>
      <c r="G1448">
        <v>4.7E-2</v>
      </c>
      <c r="H1448" s="1" t="str">
        <f>HYPERLINK("http://www.weizmann.ac.il/complex/compphys/software/geview/data/figures/221046_s_at.png","Figure")</f>
        <v>Figure</v>
      </c>
      <c r="I1448">
        <v>1.1399999999999999</v>
      </c>
      <c r="J1448">
        <v>0.61</v>
      </c>
      <c r="K1448">
        <v>0.69899999999999995</v>
      </c>
      <c r="L1448">
        <v>2.5999999999999999E-2</v>
      </c>
      <c r="M1448">
        <v>0.61299999999999999</v>
      </c>
      <c r="N1448">
        <v>5.4999999999999997E-3</v>
      </c>
    </row>
    <row r="1449" spans="1:14" x14ac:dyDescent="0.25">
      <c r="A1449" t="s">
        <v>2705</v>
      </c>
      <c r="B1449" t="s">
        <v>2706</v>
      </c>
      <c r="C1449" s="1" t="str">
        <f>HYPERLINK("http://www.genecards.org/cgi-bin/carddisp.pl?gene=CYHR1","GeneCards")</f>
        <v>GeneCards</v>
      </c>
      <c r="D1449" s="1" t="str">
        <f>HYPERLINK("http://genome-euro.ucsc.edu/cgi-bin/hgTracks?position=213681_at","UCSC")</f>
        <v>UCSC</v>
      </c>
      <c r="E1449" s="1" t="str">
        <f>HYPERLINK("http://www.ncbi.nlm.nih.gov/gene/?term=CYHR1","NCBI")</f>
        <v>NCBI</v>
      </c>
      <c r="F1449">
        <v>4.0000000000000001E-3</v>
      </c>
      <c r="G1449">
        <v>4.7E-2</v>
      </c>
      <c r="H1449" s="1" t="str">
        <f>HYPERLINK("http://www.weizmann.ac.il/complex/compphys/software/geview/data/figures/213681_at.png","Figure")</f>
        <v>Figure</v>
      </c>
      <c r="I1449">
        <v>1.31</v>
      </c>
      <c r="J1449">
        <v>4.7999999999999996E-3</v>
      </c>
      <c r="K1449">
        <v>1.05</v>
      </c>
      <c r="L1449">
        <v>0.75</v>
      </c>
      <c r="M1449">
        <v>0.79700000000000004</v>
      </c>
      <c r="N1449">
        <v>0.01</v>
      </c>
    </row>
    <row r="1450" spans="1:14" x14ac:dyDescent="0.25">
      <c r="A1450" t="s">
        <v>2707</v>
      </c>
      <c r="B1450" t="s">
        <v>2708</v>
      </c>
      <c r="C1450" s="1" t="str">
        <f>HYPERLINK("http://www.genecards.org/cgi-bin/carddisp.pl?gene=NACAP1","GeneCards")</f>
        <v>GeneCards</v>
      </c>
      <c r="D1450" s="1" t="str">
        <f>HYPERLINK("http://genome-euro.ucsc.edu/cgi-bin/hgTracks?position=211445_x_at","UCSC")</f>
        <v>UCSC</v>
      </c>
      <c r="E1450" s="1" t="str">
        <f>HYPERLINK("http://www.ncbi.nlm.nih.gov/gene/?term=NACAP1","NCBI")</f>
        <v>NCBI</v>
      </c>
      <c r="F1450">
        <v>4.0000000000000001E-3</v>
      </c>
      <c r="G1450">
        <v>4.8000000000000001E-2</v>
      </c>
      <c r="H1450" s="1" t="str">
        <f>HYPERLINK("http://www.weizmann.ac.il/complex/compphys/software/geview/data/figures/211445_x_at.png","Figure")</f>
        <v>Figure</v>
      </c>
      <c r="I1450">
        <v>1.53</v>
      </c>
      <c r="J1450">
        <v>3.0999999999999999E-3</v>
      </c>
      <c r="K1450">
        <v>1.17</v>
      </c>
      <c r="L1450">
        <v>0.22</v>
      </c>
      <c r="M1450">
        <v>0.76600000000000001</v>
      </c>
      <c r="N1450">
        <v>3.6999999999999998E-2</v>
      </c>
    </row>
    <row r="1451" spans="1:14" x14ac:dyDescent="0.25">
      <c r="A1451" t="s">
        <v>2709</v>
      </c>
      <c r="B1451" t="s">
        <v>2710</v>
      </c>
      <c r="C1451" s="1" t="str">
        <f>HYPERLINK("http://www.genecards.org/cgi-bin/carddisp.pl?gene=ESRRA","GeneCards")</f>
        <v>GeneCards</v>
      </c>
      <c r="D1451" s="1" t="str">
        <f>HYPERLINK("http://genome-euro.ucsc.edu/cgi-bin/hgTracks?position=1487_at","UCSC")</f>
        <v>UCSC</v>
      </c>
      <c r="E1451" s="1" t="str">
        <f>HYPERLINK("http://www.ncbi.nlm.nih.gov/gene/?term=ESRRA","NCBI")</f>
        <v>NCBI</v>
      </c>
      <c r="F1451">
        <v>4.1000000000000003E-3</v>
      </c>
      <c r="G1451">
        <v>4.8000000000000001E-2</v>
      </c>
      <c r="H1451" s="1" t="str">
        <f>HYPERLINK("http://www.weizmann.ac.il/complex/compphys/software/geview/data/figures/1487_at.png","Figure")</f>
        <v>Figure</v>
      </c>
      <c r="I1451">
        <v>1.29</v>
      </c>
      <c r="J1451">
        <v>3.0000000000000001E-3</v>
      </c>
      <c r="K1451">
        <v>1.1299999999999999</v>
      </c>
      <c r="L1451">
        <v>0.1</v>
      </c>
      <c r="M1451">
        <v>0.875</v>
      </c>
      <c r="N1451">
        <v>8.3000000000000004E-2</v>
      </c>
    </row>
    <row r="1452" spans="1:14" x14ac:dyDescent="0.25">
      <c r="A1452" t="s">
        <v>2711</v>
      </c>
      <c r="B1452" t="s">
        <v>2712</v>
      </c>
      <c r="C1452" s="1" t="str">
        <f>HYPERLINK("http://www.genecards.org/cgi-bin/carddisp.pl?gene=ATP6V1B2","GeneCards")</f>
        <v>GeneCards</v>
      </c>
      <c r="D1452" s="1" t="str">
        <f>HYPERLINK("http://genome-euro.ucsc.edu/cgi-bin/hgTracks?position=201089_at","UCSC")</f>
        <v>UCSC</v>
      </c>
      <c r="E1452" s="1" t="str">
        <f>HYPERLINK("http://www.ncbi.nlm.nih.gov/gene/?term=ATP6V1B2","NCBI")</f>
        <v>NCBI</v>
      </c>
      <c r="F1452">
        <v>4.1000000000000003E-3</v>
      </c>
      <c r="G1452">
        <v>4.8000000000000001E-2</v>
      </c>
      <c r="H1452" s="1" t="str">
        <f>HYPERLINK("http://www.weizmann.ac.il/complex/compphys/software/geview/data/figures/201089_at.png","Figure")</f>
        <v>Figure</v>
      </c>
      <c r="I1452">
        <v>1.01</v>
      </c>
      <c r="J1452">
        <v>1</v>
      </c>
      <c r="K1452">
        <v>0.71599999999999997</v>
      </c>
      <c r="L1452">
        <v>9.1999999999999998E-3</v>
      </c>
      <c r="M1452">
        <v>0.71199999999999997</v>
      </c>
      <c r="N1452">
        <v>1.2999999999999999E-2</v>
      </c>
    </row>
    <row r="1453" spans="1:14" x14ac:dyDescent="0.25">
      <c r="A1453" t="s">
        <v>2713</v>
      </c>
      <c r="B1453" t="s">
        <v>2714</v>
      </c>
      <c r="C1453" s="1" t="str">
        <f>HYPERLINK("http://www.genecards.org/cgi-bin/carddisp.pl?gene=NME1 /// NME1-NME2 /// NME2","GeneCards")</f>
        <v>GeneCards</v>
      </c>
      <c r="D1453" s="1" t="str">
        <f>HYPERLINK("http://genome-euro.ucsc.edu/cgi-bin/hgTracks?position=201268_at","UCSC")</f>
        <v>UCSC</v>
      </c>
      <c r="E1453" s="1" t="str">
        <f>HYPERLINK("http://www.ncbi.nlm.nih.gov/gene/?term=NME1 /// NME1-NME2 /// NME2","NCBI")</f>
        <v>NCBI</v>
      </c>
      <c r="F1453">
        <v>4.1000000000000003E-3</v>
      </c>
      <c r="G1453">
        <v>4.8000000000000001E-2</v>
      </c>
      <c r="H1453" s="1" t="str">
        <f>HYPERLINK("http://www.weizmann.ac.il/complex/compphys/software/geview/data/figures/201268_at.png","Figure")</f>
        <v>Figure</v>
      </c>
      <c r="I1453">
        <v>1.08</v>
      </c>
      <c r="J1453">
        <v>0.94</v>
      </c>
      <c r="K1453">
        <v>2.13</v>
      </c>
      <c r="L1453">
        <v>6.4999999999999997E-3</v>
      </c>
      <c r="M1453">
        <v>1.98</v>
      </c>
      <c r="N1453">
        <v>0.02</v>
      </c>
    </row>
    <row r="1454" spans="1:14" x14ac:dyDescent="0.25">
      <c r="A1454" t="s">
        <v>2715</v>
      </c>
      <c r="B1454" t="s">
        <v>2716</v>
      </c>
      <c r="C1454" s="1" t="str">
        <f>HYPERLINK("http://www.genecards.org/cgi-bin/carddisp.pl?gene=C12orf24","GeneCards")</f>
        <v>GeneCards</v>
      </c>
      <c r="D1454" s="1" t="str">
        <f>HYPERLINK("http://genome-euro.ucsc.edu/cgi-bin/hgTracks?position=204521_at","UCSC")</f>
        <v>UCSC</v>
      </c>
      <c r="E1454" s="1" t="str">
        <f>HYPERLINK("http://www.ncbi.nlm.nih.gov/gene/?term=C12orf24","NCBI")</f>
        <v>NCBI</v>
      </c>
      <c r="F1454">
        <v>4.1000000000000003E-3</v>
      </c>
      <c r="G1454">
        <v>4.8000000000000001E-2</v>
      </c>
      <c r="H1454" s="1" t="str">
        <f>HYPERLINK("http://www.weizmann.ac.il/complex/compphys/software/geview/data/figures/204521_at.png","Figure")</f>
        <v>Figure</v>
      </c>
      <c r="I1454">
        <v>0.52100000000000002</v>
      </c>
      <c r="J1454">
        <v>6.5000000000000002E-2</v>
      </c>
      <c r="K1454">
        <v>1.44</v>
      </c>
      <c r="L1454">
        <v>0.28000000000000003</v>
      </c>
      <c r="M1454">
        <v>2.76</v>
      </c>
      <c r="N1454">
        <v>3.0000000000000001E-3</v>
      </c>
    </row>
    <row r="1455" spans="1:14" x14ac:dyDescent="0.25">
      <c r="A1455" t="s">
        <v>2717</v>
      </c>
      <c r="B1455" t="s">
        <v>2718</v>
      </c>
      <c r="C1455" s="1" t="str">
        <f>HYPERLINK("http://www.genecards.org/cgi-bin/carddisp.pl?gene=THOC7","GeneCards")</f>
        <v>GeneCards</v>
      </c>
      <c r="D1455" s="1" t="str">
        <f>HYPERLINK("http://genome-euro.ucsc.edu/cgi-bin/hgTracks?position=218334_at","UCSC")</f>
        <v>UCSC</v>
      </c>
      <c r="E1455" s="1" t="str">
        <f>HYPERLINK("http://www.ncbi.nlm.nih.gov/gene/?term=THOC7","NCBI")</f>
        <v>NCBI</v>
      </c>
      <c r="F1455">
        <v>4.1000000000000003E-3</v>
      </c>
      <c r="G1455">
        <v>4.8000000000000001E-2</v>
      </c>
      <c r="H1455" s="1" t="str">
        <f>HYPERLINK("http://www.weizmann.ac.il/complex/compphys/software/geview/data/figures/218334_at.png","Figure")</f>
        <v>Figure</v>
      </c>
      <c r="I1455">
        <v>0.84899999999999998</v>
      </c>
      <c r="J1455">
        <v>0.56999999999999995</v>
      </c>
      <c r="K1455">
        <v>1.51</v>
      </c>
      <c r="L1455">
        <v>2.9000000000000001E-2</v>
      </c>
      <c r="M1455">
        <v>1.78</v>
      </c>
      <c r="N1455">
        <v>5.3E-3</v>
      </c>
    </row>
    <row r="1456" spans="1:14" x14ac:dyDescent="0.25">
      <c r="A1456" t="s">
        <v>2719</v>
      </c>
      <c r="B1456" t="s">
        <v>2720</v>
      </c>
      <c r="C1456" s="1" t="str">
        <f>HYPERLINK("http://www.genecards.org/cgi-bin/carddisp.pl?gene=FBXO7","GeneCards")</f>
        <v>GeneCards</v>
      </c>
      <c r="D1456" s="1" t="str">
        <f>HYPERLINK("http://genome-euro.ucsc.edu/cgi-bin/hgTracks?position=201178_at","UCSC")</f>
        <v>UCSC</v>
      </c>
      <c r="E1456" s="1" t="str">
        <f>HYPERLINK("http://www.ncbi.nlm.nih.gov/gene/?term=FBXO7","NCBI")</f>
        <v>NCBI</v>
      </c>
      <c r="F1456">
        <v>4.1000000000000003E-3</v>
      </c>
      <c r="G1456">
        <v>4.8000000000000001E-2</v>
      </c>
      <c r="H1456" s="1" t="str">
        <f>HYPERLINK("http://www.weizmann.ac.il/complex/compphys/software/geview/data/figures/201178_at.png","Figure")</f>
        <v>Figure</v>
      </c>
      <c r="I1456">
        <v>1.1499999999999999</v>
      </c>
      <c r="J1456">
        <v>0.48</v>
      </c>
      <c r="K1456">
        <v>0.74299999999999999</v>
      </c>
      <c r="L1456">
        <v>3.5999999999999997E-2</v>
      </c>
      <c r="M1456">
        <v>0.64400000000000002</v>
      </c>
      <c r="N1456">
        <v>4.7000000000000002E-3</v>
      </c>
    </row>
    <row r="1457" spans="1:14" x14ac:dyDescent="0.25">
      <c r="A1457" t="s">
        <v>2721</v>
      </c>
      <c r="B1457" t="s">
        <v>2496</v>
      </c>
      <c r="C1457" s="1" t="str">
        <f>HYPERLINK("http://www.genecards.org/cgi-bin/carddisp.pl?gene=PDE6D","GeneCards")</f>
        <v>GeneCards</v>
      </c>
      <c r="D1457" s="1" t="str">
        <f>HYPERLINK("http://genome-euro.ucsc.edu/cgi-bin/hgTracks?position=216883_x_at","UCSC")</f>
        <v>UCSC</v>
      </c>
      <c r="E1457" s="1" t="str">
        <f>HYPERLINK("http://www.ncbi.nlm.nih.gov/gene/?term=PDE6D","NCBI")</f>
        <v>NCBI</v>
      </c>
      <c r="F1457">
        <v>4.1000000000000003E-3</v>
      </c>
      <c r="G1457">
        <v>4.8000000000000001E-2</v>
      </c>
      <c r="H1457" s="1" t="str">
        <f>HYPERLINK("http://www.weizmann.ac.il/complex/compphys/software/geview/data/figures/216883_x_at.png","Figure")</f>
        <v>Figure</v>
      </c>
      <c r="I1457">
        <v>1.1100000000000001</v>
      </c>
      <c r="J1457">
        <v>0.6</v>
      </c>
      <c r="K1457">
        <v>1.45</v>
      </c>
      <c r="L1457">
        <v>4.1999999999999997E-3</v>
      </c>
      <c r="M1457">
        <v>1.31</v>
      </c>
      <c r="N1457">
        <v>4.7E-2</v>
      </c>
    </row>
    <row r="1458" spans="1:14" x14ac:dyDescent="0.25">
      <c r="A1458" t="s">
        <v>2722</v>
      </c>
      <c r="B1458" t="s">
        <v>2723</v>
      </c>
      <c r="C1458" s="1" t="str">
        <f>HYPERLINK("http://www.genecards.org/cgi-bin/carddisp.pl?gene=SMS","GeneCards")</f>
        <v>GeneCards</v>
      </c>
      <c r="D1458" s="1" t="str">
        <f>HYPERLINK("http://genome-euro.ucsc.edu/cgi-bin/hgTracks?position=202043_s_at","UCSC")</f>
        <v>UCSC</v>
      </c>
      <c r="E1458" s="1" t="str">
        <f>HYPERLINK("http://www.ncbi.nlm.nih.gov/gene/?term=SMS","NCBI")</f>
        <v>NCBI</v>
      </c>
      <c r="F1458">
        <v>4.1000000000000003E-3</v>
      </c>
      <c r="G1458">
        <v>4.8000000000000001E-2</v>
      </c>
      <c r="H1458" s="1" t="str">
        <f>HYPERLINK("http://www.weizmann.ac.il/complex/compphys/software/geview/data/figures/202043_s_at.png","Figure")</f>
        <v>Figure</v>
      </c>
      <c r="I1458">
        <v>0.442</v>
      </c>
      <c r="J1458">
        <v>2.9000000000000001E-2</v>
      </c>
      <c r="K1458">
        <v>1.29</v>
      </c>
      <c r="L1458">
        <v>0.56999999999999995</v>
      </c>
      <c r="M1458">
        <v>2.91</v>
      </c>
      <c r="N1458">
        <v>3.3E-3</v>
      </c>
    </row>
    <row r="1459" spans="1:14" x14ac:dyDescent="0.25">
      <c r="A1459" t="s">
        <v>2724</v>
      </c>
      <c r="B1459" t="s">
        <v>2563</v>
      </c>
      <c r="C1459" s="1" t="str">
        <f>HYPERLINK("http://www.genecards.org/cgi-bin/carddisp.pl?gene=IFNGR1","GeneCards")</f>
        <v>GeneCards</v>
      </c>
      <c r="D1459" s="1" t="str">
        <f>HYPERLINK("http://genome-euro.ucsc.edu/cgi-bin/hgTracks?position=202727_s_at","UCSC")</f>
        <v>UCSC</v>
      </c>
      <c r="E1459" s="1" t="str">
        <f>HYPERLINK("http://www.ncbi.nlm.nih.gov/gene/?term=IFNGR1","NCBI")</f>
        <v>NCBI</v>
      </c>
      <c r="F1459">
        <v>4.1000000000000003E-3</v>
      </c>
      <c r="G1459">
        <v>4.8000000000000001E-2</v>
      </c>
      <c r="H1459" s="1" t="str">
        <f>HYPERLINK("http://www.weizmann.ac.il/complex/compphys/software/geview/data/figures/202727_s_at.png","Figure")</f>
        <v>Figure</v>
      </c>
      <c r="I1459">
        <v>0.48399999999999999</v>
      </c>
      <c r="J1459">
        <v>3.9E-2</v>
      </c>
      <c r="K1459">
        <v>0.39600000000000002</v>
      </c>
      <c r="L1459">
        <v>3.5000000000000001E-3</v>
      </c>
      <c r="M1459">
        <v>0.81599999999999995</v>
      </c>
      <c r="N1459">
        <v>0.69</v>
      </c>
    </row>
    <row r="1460" spans="1:14" x14ac:dyDescent="0.25">
      <c r="A1460" t="s">
        <v>2725</v>
      </c>
      <c r="B1460" t="s">
        <v>540</v>
      </c>
      <c r="C1460" s="1" t="str">
        <f>HYPERLINK("http://www.genecards.org/cgi-bin/carddisp.pl?gene=TMCO1","GeneCards")</f>
        <v>GeneCards</v>
      </c>
      <c r="D1460" s="1" t="str">
        <f>HYPERLINK("http://genome-euro.ucsc.edu/cgi-bin/hgTracks?position=208715_at","UCSC")</f>
        <v>UCSC</v>
      </c>
      <c r="E1460" s="1" t="str">
        <f>HYPERLINK("http://www.ncbi.nlm.nih.gov/gene/?term=TMCO1","NCBI")</f>
        <v>NCBI</v>
      </c>
      <c r="F1460">
        <v>4.1000000000000003E-3</v>
      </c>
      <c r="G1460">
        <v>4.8000000000000001E-2</v>
      </c>
      <c r="H1460" s="1" t="str">
        <f>HYPERLINK("http://www.weizmann.ac.il/complex/compphys/software/geview/data/figures/208715_at.png","Figure")</f>
        <v>Figure</v>
      </c>
      <c r="I1460">
        <v>1.51</v>
      </c>
      <c r="J1460">
        <v>8.4000000000000005E-2</v>
      </c>
      <c r="K1460">
        <v>1.89</v>
      </c>
      <c r="L1460">
        <v>3.0999999999999999E-3</v>
      </c>
      <c r="M1460">
        <v>1.25</v>
      </c>
      <c r="N1460">
        <v>0.39</v>
      </c>
    </row>
    <row r="1461" spans="1:14" x14ac:dyDescent="0.25">
      <c r="A1461" t="s">
        <v>2726</v>
      </c>
      <c r="B1461" t="s">
        <v>2727</v>
      </c>
      <c r="C1461" s="1" t="str">
        <f>HYPERLINK("http://www.genecards.org/cgi-bin/carddisp.pl?gene=PSMD12","GeneCards")</f>
        <v>GeneCards</v>
      </c>
      <c r="D1461" s="1" t="str">
        <f>HYPERLINK("http://genome-euro.ucsc.edu/cgi-bin/hgTracks?position=202353_s_at","UCSC")</f>
        <v>UCSC</v>
      </c>
      <c r="E1461" s="1" t="str">
        <f>HYPERLINK("http://www.ncbi.nlm.nih.gov/gene/?term=PSMD12","NCBI")</f>
        <v>NCBI</v>
      </c>
      <c r="F1461">
        <v>4.1000000000000003E-3</v>
      </c>
      <c r="G1461">
        <v>4.8000000000000001E-2</v>
      </c>
      <c r="H1461" s="1" t="str">
        <f>HYPERLINK("http://www.weizmann.ac.il/complex/compphys/software/geview/data/figures/202353_s_at.png","Figure")</f>
        <v>Figure</v>
      </c>
      <c r="I1461">
        <v>0.45400000000000001</v>
      </c>
      <c r="J1461">
        <v>3.2000000000000002E-3</v>
      </c>
      <c r="K1461">
        <v>0.753</v>
      </c>
      <c r="L1461">
        <v>0.24</v>
      </c>
      <c r="M1461">
        <v>1.66</v>
      </c>
      <c r="N1461">
        <v>3.5000000000000003E-2</v>
      </c>
    </row>
    <row r="1462" spans="1:14" x14ac:dyDescent="0.25">
      <c r="A1462" t="s">
        <v>2728</v>
      </c>
      <c r="B1462" t="s">
        <v>2729</v>
      </c>
      <c r="C1462" s="1" t="str">
        <f>HYPERLINK("http://www.genecards.org/cgi-bin/carddisp.pl?gene=ATP9B","GeneCards")</f>
        <v>GeneCards</v>
      </c>
      <c r="D1462" s="1" t="str">
        <f>HYPERLINK("http://genome-euro.ucsc.edu/cgi-bin/hgTracks?position=214934_at","UCSC")</f>
        <v>UCSC</v>
      </c>
      <c r="E1462" s="1" t="str">
        <f>HYPERLINK("http://www.ncbi.nlm.nih.gov/gene/?term=ATP9B","NCBI")</f>
        <v>NCBI</v>
      </c>
      <c r="F1462">
        <v>4.1000000000000003E-3</v>
      </c>
      <c r="G1462">
        <v>4.8000000000000001E-2</v>
      </c>
      <c r="H1462" s="1" t="str">
        <f>HYPERLINK("http://www.weizmann.ac.il/complex/compphys/software/geview/data/figures/214934_at.png","Figure")</f>
        <v>Figure</v>
      </c>
      <c r="I1462">
        <v>0.60899999999999999</v>
      </c>
      <c r="J1462">
        <v>7.9000000000000008E-3</v>
      </c>
      <c r="K1462">
        <v>0.98499999999999999</v>
      </c>
      <c r="L1462">
        <v>0.99</v>
      </c>
      <c r="M1462">
        <v>1.62</v>
      </c>
      <c r="N1462">
        <v>6.1000000000000004E-3</v>
      </c>
    </row>
    <row r="1463" spans="1:14" x14ac:dyDescent="0.25">
      <c r="A1463" t="s">
        <v>2730</v>
      </c>
      <c r="B1463" t="s">
        <v>2731</v>
      </c>
      <c r="C1463" s="1" t="str">
        <f>HYPERLINK("http://www.genecards.org/cgi-bin/carddisp.pl?gene=RAD51C","GeneCards")</f>
        <v>GeneCards</v>
      </c>
      <c r="D1463" s="1" t="str">
        <f>HYPERLINK("http://genome-euro.ucsc.edu/cgi-bin/hgTracks?position=209849_s_at","UCSC")</f>
        <v>UCSC</v>
      </c>
      <c r="E1463" s="1" t="str">
        <f>HYPERLINK("http://www.ncbi.nlm.nih.gov/gene/?term=RAD51C","NCBI")</f>
        <v>NCBI</v>
      </c>
      <c r="F1463">
        <v>4.1000000000000003E-3</v>
      </c>
      <c r="G1463">
        <v>4.8000000000000001E-2</v>
      </c>
      <c r="H1463" s="1" t="str">
        <f>HYPERLINK("http://www.weizmann.ac.il/complex/compphys/software/geview/data/figures/209849_s_at.png","Figure")</f>
        <v>Figure</v>
      </c>
      <c r="I1463">
        <v>0.92600000000000005</v>
      </c>
      <c r="J1463">
        <v>0.93</v>
      </c>
      <c r="K1463">
        <v>1.88</v>
      </c>
      <c r="L1463">
        <v>1.2999999999999999E-2</v>
      </c>
      <c r="M1463">
        <v>2.0299999999999998</v>
      </c>
      <c r="N1463">
        <v>9.4000000000000004E-3</v>
      </c>
    </row>
    <row r="1464" spans="1:14" x14ac:dyDescent="0.25">
      <c r="A1464" t="s">
        <v>2732</v>
      </c>
      <c r="B1464" t="s">
        <v>2733</v>
      </c>
      <c r="C1464" s="1" t="str">
        <f>HYPERLINK("http://www.genecards.org/cgi-bin/carddisp.pl?gene=PDE6A","GeneCards")</f>
        <v>GeneCards</v>
      </c>
      <c r="D1464" s="1" t="str">
        <f>HYPERLINK("http://genome-euro.ucsc.edu/cgi-bin/hgTracks?position=206623_at","UCSC")</f>
        <v>UCSC</v>
      </c>
      <c r="E1464" s="1" t="str">
        <f>HYPERLINK("http://www.ncbi.nlm.nih.gov/gene/?term=PDE6A","NCBI")</f>
        <v>NCBI</v>
      </c>
      <c r="F1464">
        <v>4.1000000000000003E-3</v>
      </c>
      <c r="G1464">
        <v>4.8000000000000001E-2</v>
      </c>
      <c r="H1464" s="1" t="str">
        <f>HYPERLINK("http://www.weizmann.ac.il/complex/compphys/software/geview/data/figures/206623_at.png","Figure")</f>
        <v>Figure</v>
      </c>
      <c r="I1464">
        <v>1.23</v>
      </c>
      <c r="J1464">
        <v>3.2000000000000002E-3</v>
      </c>
      <c r="K1464">
        <v>1.1200000000000001</v>
      </c>
      <c r="L1464">
        <v>5.8999999999999997E-2</v>
      </c>
      <c r="M1464">
        <v>0.91</v>
      </c>
      <c r="N1464">
        <v>0.14000000000000001</v>
      </c>
    </row>
    <row r="1465" spans="1:14" x14ac:dyDescent="0.25">
      <c r="A1465" t="s">
        <v>2734</v>
      </c>
      <c r="B1465" t="s">
        <v>2735</v>
      </c>
      <c r="C1465" s="1" t="str">
        <f>HYPERLINK("http://www.genecards.org/cgi-bin/carddisp.pl?gene=BCAP31","GeneCards")</f>
        <v>GeneCards</v>
      </c>
      <c r="D1465" s="1" t="str">
        <f>HYPERLINK("http://genome-euro.ucsc.edu/cgi-bin/hgTracks?position=200837_at","UCSC")</f>
        <v>UCSC</v>
      </c>
      <c r="E1465" s="1" t="str">
        <f>HYPERLINK("http://www.ncbi.nlm.nih.gov/gene/?term=BCAP31","NCBI")</f>
        <v>NCBI</v>
      </c>
      <c r="F1465">
        <v>4.1000000000000003E-3</v>
      </c>
      <c r="G1465">
        <v>4.8000000000000001E-2</v>
      </c>
      <c r="H1465" s="1" t="str">
        <f>HYPERLINK("http://www.weizmann.ac.il/complex/compphys/software/geview/data/figures/200837_at.png","Figure")</f>
        <v>Figure</v>
      </c>
      <c r="I1465">
        <v>0.79900000000000004</v>
      </c>
      <c r="J1465">
        <v>0.31</v>
      </c>
      <c r="K1465">
        <v>1.38</v>
      </c>
      <c r="L1465">
        <v>0.06</v>
      </c>
      <c r="M1465">
        <v>1.73</v>
      </c>
      <c r="N1465">
        <v>3.8999999999999998E-3</v>
      </c>
    </row>
    <row r="1466" spans="1:14" x14ac:dyDescent="0.25">
      <c r="A1466" t="s">
        <v>2736</v>
      </c>
      <c r="B1466" t="s">
        <v>2737</v>
      </c>
      <c r="C1466" s="1" t="str">
        <f>HYPERLINK("http://www.genecards.org/cgi-bin/carddisp.pl?gene=TXNL4A","GeneCards")</f>
        <v>GeneCards</v>
      </c>
      <c r="D1466" s="1" t="str">
        <f>HYPERLINK("http://genome-euro.ucsc.edu/cgi-bin/hgTracks?position=202836_s_at","UCSC")</f>
        <v>UCSC</v>
      </c>
      <c r="E1466" s="1" t="str">
        <f>HYPERLINK("http://www.ncbi.nlm.nih.gov/gene/?term=TXNL4A","NCBI")</f>
        <v>NCBI</v>
      </c>
      <c r="F1466">
        <v>4.1000000000000003E-3</v>
      </c>
      <c r="G1466">
        <v>4.8000000000000001E-2</v>
      </c>
      <c r="H1466" s="1" t="str">
        <f>HYPERLINK("http://www.weizmann.ac.il/complex/compphys/software/geview/data/figures/202836_s_at.png","Figure")</f>
        <v>Figure</v>
      </c>
      <c r="I1466">
        <v>0.626</v>
      </c>
      <c r="J1466">
        <v>7.1999999999999998E-3</v>
      </c>
      <c r="K1466">
        <v>0.97599999999999998</v>
      </c>
      <c r="L1466">
        <v>0.97</v>
      </c>
      <c r="M1466">
        <v>1.56</v>
      </c>
      <c r="N1466">
        <v>6.6E-3</v>
      </c>
    </row>
    <row r="1467" spans="1:14" x14ac:dyDescent="0.25">
      <c r="A1467" t="s">
        <v>2738</v>
      </c>
      <c r="B1467" t="s">
        <v>2739</v>
      </c>
      <c r="C1467" s="1" t="str">
        <f>HYPERLINK("http://www.genecards.org/cgi-bin/carddisp.pl?gene=SLC11A2","GeneCards")</f>
        <v>GeneCards</v>
      </c>
      <c r="D1467" s="1" t="str">
        <f>HYPERLINK("http://genome-euro.ucsc.edu/cgi-bin/hgTracks?position=203125_x_at","UCSC")</f>
        <v>UCSC</v>
      </c>
      <c r="E1467" s="1" t="str">
        <f>HYPERLINK("http://www.ncbi.nlm.nih.gov/gene/?term=SLC11A2","NCBI")</f>
        <v>NCBI</v>
      </c>
      <c r="F1467">
        <v>4.1000000000000003E-3</v>
      </c>
      <c r="G1467">
        <v>4.8000000000000001E-2</v>
      </c>
      <c r="H1467" s="1" t="str">
        <f>HYPERLINK("http://www.weizmann.ac.il/complex/compphys/software/geview/data/figures/203125_x_at.png","Figure")</f>
        <v>Figure</v>
      </c>
      <c r="I1467">
        <v>1.24</v>
      </c>
      <c r="J1467">
        <v>0.03</v>
      </c>
      <c r="K1467">
        <v>0.93500000000000005</v>
      </c>
      <c r="L1467">
        <v>0.56000000000000005</v>
      </c>
      <c r="M1467">
        <v>0.752</v>
      </c>
      <c r="N1467">
        <v>3.3E-3</v>
      </c>
    </row>
    <row r="1468" spans="1:14" x14ac:dyDescent="0.25">
      <c r="A1468" t="s">
        <v>2740</v>
      </c>
      <c r="B1468" t="s">
        <v>1519</v>
      </c>
      <c r="C1468" s="1" t="str">
        <f>HYPERLINK("http://www.genecards.org/cgi-bin/carddisp.pl?gene=AIF1","GeneCards")</f>
        <v>GeneCards</v>
      </c>
      <c r="D1468" s="1" t="str">
        <f>HYPERLINK("http://genome-euro.ucsc.edu/cgi-bin/hgTracks?position=209901_x_at","UCSC")</f>
        <v>UCSC</v>
      </c>
      <c r="E1468" s="1" t="str">
        <f>HYPERLINK("http://www.ncbi.nlm.nih.gov/gene/?term=AIF1","NCBI")</f>
        <v>NCBI</v>
      </c>
      <c r="F1468">
        <v>4.1000000000000003E-3</v>
      </c>
      <c r="G1468">
        <v>4.8000000000000001E-2</v>
      </c>
      <c r="H1468" s="1" t="str">
        <f>HYPERLINK("http://www.weizmann.ac.il/complex/compphys/software/geview/data/figures/209901_x_at.png","Figure")</f>
        <v>Figure</v>
      </c>
      <c r="I1468">
        <v>0.48699999999999999</v>
      </c>
      <c r="J1468">
        <v>7.1999999999999998E-3</v>
      </c>
      <c r="K1468">
        <v>0.54800000000000004</v>
      </c>
      <c r="L1468">
        <v>9.7000000000000003E-3</v>
      </c>
      <c r="M1468">
        <v>1.1299999999999999</v>
      </c>
      <c r="N1468">
        <v>0.8</v>
      </c>
    </row>
    <row r="1469" spans="1:14" x14ac:dyDescent="0.25">
      <c r="A1469" t="s">
        <v>2741</v>
      </c>
      <c r="B1469" t="s">
        <v>2742</v>
      </c>
      <c r="C1469" s="1" t="str">
        <f>HYPERLINK("http://www.genecards.org/cgi-bin/carddisp.pl?gene=TMEM41B","GeneCards")</f>
        <v>GeneCards</v>
      </c>
      <c r="D1469" s="1" t="str">
        <f>HYPERLINK("http://genome-euro.ucsc.edu/cgi-bin/hgTracks?position=212622_at","UCSC")</f>
        <v>UCSC</v>
      </c>
      <c r="E1469" s="1" t="str">
        <f>HYPERLINK("http://www.ncbi.nlm.nih.gov/gene/?term=TMEM41B","NCBI")</f>
        <v>NCBI</v>
      </c>
      <c r="F1469">
        <v>4.1000000000000003E-3</v>
      </c>
      <c r="G1469">
        <v>4.8000000000000001E-2</v>
      </c>
      <c r="H1469" s="1" t="str">
        <f>HYPERLINK("http://www.weizmann.ac.il/complex/compphys/software/geview/data/figures/212622_at.png","Figure")</f>
        <v>Figure</v>
      </c>
      <c r="I1469">
        <v>0.90700000000000003</v>
      </c>
      <c r="J1469">
        <v>0.84</v>
      </c>
      <c r="K1469">
        <v>0.56699999999999995</v>
      </c>
      <c r="L1469">
        <v>5.4999999999999997E-3</v>
      </c>
      <c r="M1469">
        <v>0.625</v>
      </c>
      <c r="N1469">
        <v>2.8000000000000001E-2</v>
      </c>
    </row>
    <row r="1470" spans="1:14" x14ac:dyDescent="0.25">
      <c r="A1470" t="s">
        <v>2743</v>
      </c>
      <c r="B1470" t="s">
        <v>2744</v>
      </c>
      <c r="C1470" s="1" t="str">
        <f>HYPERLINK("http://www.genecards.org/cgi-bin/carddisp.pl?gene=DEPDC6","GeneCards")</f>
        <v>GeneCards</v>
      </c>
      <c r="D1470" s="1" t="str">
        <f>HYPERLINK("http://genome-euro.ucsc.edu/cgi-bin/hgTracks?position=218858_at","UCSC")</f>
        <v>UCSC</v>
      </c>
      <c r="E1470" s="1" t="str">
        <f>HYPERLINK("http://www.ncbi.nlm.nih.gov/gene/?term=DEPDC6","NCBI")</f>
        <v>NCBI</v>
      </c>
      <c r="F1470">
        <v>4.1000000000000003E-3</v>
      </c>
      <c r="G1470">
        <v>4.8000000000000001E-2</v>
      </c>
      <c r="H1470" s="1" t="str">
        <f>HYPERLINK("http://www.weizmann.ac.il/complex/compphys/software/geview/data/figures/218858_at.png","Figure")</f>
        <v>Figure</v>
      </c>
      <c r="I1470">
        <v>0.81599999999999995</v>
      </c>
      <c r="J1470">
        <v>8.8999999999999999E-3</v>
      </c>
      <c r="K1470">
        <v>1</v>
      </c>
      <c r="L1470">
        <v>1</v>
      </c>
      <c r="M1470">
        <v>1.22</v>
      </c>
      <c r="N1470">
        <v>5.5999999999999999E-3</v>
      </c>
    </row>
    <row r="1471" spans="1:14" x14ac:dyDescent="0.25">
      <c r="A1471" t="s">
        <v>2745</v>
      </c>
      <c r="B1471" t="s">
        <v>2746</v>
      </c>
      <c r="C1471" s="1" t="str">
        <f>HYPERLINK("http://www.genecards.org/cgi-bin/carddisp.pl?gene=HAUS7 /// TREX2","GeneCards")</f>
        <v>GeneCards</v>
      </c>
      <c r="D1471" s="1" t="str">
        <f>HYPERLINK("http://genome-euro.ucsc.edu/cgi-bin/hgTracks?position=207891_s_at","UCSC")</f>
        <v>UCSC</v>
      </c>
      <c r="E1471" s="1" t="str">
        <f>HYPERLINK("http://www.ncbi.nlm.nih.gov/gene/?term=HAUS7 /// TREX2","NCBI")</f>
        <v>NCBI</v>
      </c>
      <c r="F1471">
        <v>4.1000000000000003E-3</v>
      </c>
      <c r="G1471">
        <v>4.8000000000000001E-2</v>
      </c>
      <c r="H1471" s="1" t="str">
        <f>HYPERLINK("http://www.weizmann.ac.il/complex/compphys/software/geview/data/figures/207891_s_at.png","Figure")</f>
        <v>Figure</v>
      </c>
      <c r="I1471">
        <v>0.94499999999999995</v>
      </c>
      <c r="J1471">
        <v>0.74</v>
      </c>
      <c r="K1471">
        <v>1.23</v>
      </c>
      <c r="L1471">
        <v>0.02</v>
      </c>
      <c r="M1471">
        <v>1.3</v>
      </c>
      <c r="N1471">
        <v>6.7000000000000002E-3</v>
      </c>
    </row>
    <row r="1472" spans="1:14" x14ac:dyDescent="0.25">
      <c r="A1472" t="s">
        <v>2747</v>
      </c>
      <c r="B1472" t="s">
        <v>2748</v>
      </c>
      <c r="C1472" s="1" t="str">
        <f>HYPERLINK("http://www.genecards.org/cgi-bin/carddisp.pl?gene=ATP5G1","GeneCards")</f>
        <v>GeneCards</v>
      </c>
      <c r="D1472" s="1" t="str">
        <f>HYPERLINK("http://genome-euro.ucsc.edu/cgi-bin/hgTracks?position=208972_s_at","UCSC")</f>
        <v>UCSC</v>
      </c>
      <c r="E1472" s="1" t="str">
        <f>HYPERLINK("http://www.ncbi.nlm.nih.gov/gene/?term=ATP5G1","NCBI")</f>
        <v>NCBI</v>
      </c>
      <c r="F1472">
        <v>4.1999999999999997E-3</v>
      </c>
      <c r="G1472">
        <v>4.8000000000000001E-2</v>
      </c>
      <c r="H1472" s="1" t="str">
        <f>HYPERLINK("http://www.weizmann.ac.il/complex/compphys/software/geview/data/figures/208972_s_at.png","Figure")</f>
        <v>Figure</v>
      </c>
      <c r="I1472">
        <v>1.21</v>
      </c>
      <c r="J1472">
        <v>0.31</v>
      </c>
      <c r="K1472">
        <v>1.57</v>
      </c>
      <c r="L1472">
        <v>3.3999999999999998E-3</v>
      </c>
      <c r="M1472">
        <v>1.3</v>
      </c>
      <c r="N1472">
        <v>0.11</v>
      </c>
    </row>
    <row r="1473" spans="1:14" x14ac:dyDescent="0.25">
      <c r="A1473" t="s">
        <v>2749</v>
      </c>
      <c r="B1473" t="s">
        <v>2750</v>
      </c>
      <c r="C1473" s="1" t="str">
        <f>HYPERLINK("http://www.genecards.org/cgi-bin/carddisp.pl?gene=EVC","GeneCards")</f>
        <v>GeneCards</v>
      </c>
      <c r="D1473" s="1" t="str">
        <f>HYPERLINK("http://genome-euro.ucsc.edu/cgi-bin/hgTracks?position=210887_s_at","UCSC")</f>
        <v>UCSC</v>
      </c>
      <c r="E1473" s="1" t="str">
        <f>HYPERLINK("http://www.ncbi.nlm.nih.gov/gene/?term=EVC","NCBI")</f>
        <v>NCBI</v>
      </c>
      <c r="F1473">
        <v>4.1999999999999997E-3</v>
      </c>
      <c r="G1473">
        <v>4.8000000000000001E-2</v>
      </c>
      <c r="H1473" s="1" t="str">
        <f>HYPERLINK("http://www.weizmann.ac.il/complex/compphys/software/geview/data/figures/210887_s_at.png","Figure")</f>
        <v>Figure</v>
      </c>
      <c r="I1473">
        <v>1.4</v>
      </c>
      <c r="J1473">
        <v>3.0999999999999999E-3</v>
      </c>
      <c r="K1473">
        <v>1.18</v>
      </c>
      <c r="L1473">
        <v>9.1999999999999998E-2</v>
      </c>
      <c r="M1473">
        <v>0.84199999999999997</v>
      </c>
      <c r="N1473">
        <v>9.4E-2</v>
      </c>
    </row>
    <row r="1474" spans="1:14" x14ac:dyDescent="0.25">
      <c r="A1474" t="s">
        <v>2751</v>
      </c>
      <c r="B1474" t="s">
        <v>2752</v>
      </c>
      <c r="C1474" s="1" t="str">
        <f>HYPERLINK("http://www.genecards.org/cgi-bin/carddisp.pl?gene=TRAP1","GeneCards")</f>
        <v>GeneCards</v>
      </c>
      <c r="D1474" s="1" t="str">
        <f>HYPERLINK("http://genome-euro.ucsc.edu/cgi-bin/hgTracks?position=201391_at","UCSC")</f>
        <v>UCSC</v>
      </c>
      <c r="E1474" s="1" t="str">
        <f>HYPERLINK("http://www.ncbi.nlm.nih.gov/gene/?term=TRAP1","NCBI")</f>
        <v>NCBI</v>
      </c>
      <c r="F1474">
        <v>4.1999999999999997E-3</v>
      </c>
      <c r="G1474">
        <v>4.8000000000000001E-2</v>
      </c>
      <c r="H1474" s="1" t="str">
        <f>HYPERLINK("http://www.weizmann.ac.il/complex/compphys/software/geview/data/figures/201391_at.png","Figure")</f>
        <v>Figure</v>
      </c>
      <c r="I1474">
        <v>1.45</v>
      </c>
      <c r="J1474">
        <v>2.5999999999999999E-2</v>
      </c>
      <c r="K1474">
        <v>1.54</v>
      </c>
      <c r="L1474">
        <v>4.1000000000000003E-3</v>
      </c>
      <c r="M1474">
        <v>1.06</v>
      </c>
      <c r="N1474">
        <v>0.87</v>
      </c>
    </row>
    <row r="1475" spans="1:14" x14ac:dyDescent="0.25">
      <c r="A1475" t="s">
        <v>2753</v>
      </c>
      <c r="B1475" t="s">
        <v>2754</v>
      </c>
      <c r="C1475" s="1" t="str">
        <f>HYPERLINK("http://www.genecards.org/cgi-bin/carddisp.pl?gene=AIFM1","GeneCards")</f>
        <v>GeneCards</v>
      </c>
      <c r="D1475" s="1" t="str">
        <f>HYPERLINK("http://genome-euro.ucsc.edu/cgi-bin/hgTracks?position=205512_s_at","UCSC")</f>
        <v>UCSC</v>
      </c>
      <c r="E1475" s="1" t="str">
        <f>HYPERLINK("http://www.ncbi.nlm.nih.gov/gene/?term=AIFM1","NCBI")</f>
        <v>NCBI</v>
      </c>
      <c r="F1475">
        <v>4.1999999999999997E-3</v>
      </c>
      <c r="G1475">
        <v>4.8000000000000001E-2</v>
      </c>
      <c r="H1475" s="1" t="str">
        <f>HYPERLINK("http://www.weizmann.ac.il/complex/compphys/software/geview/data/figures/205512_s_at.png","Figure")</f>
        <v>Figure</v>
      </c>
      <c r="I1475">
        <v>0.69599999999999995</v>
      </c>
      <c r="J1475">
        <v>5.7000000000000002E-2</v>
      </c>
      <c r="K1475">
        <v>1.2</v>
      </c>
      <c r="L1475">
        <v>0.32</v>
      </c>
      <c r="M1475">
        <v>1.73</v>
      </c>
      <c r="N1475">
        <v>3.0999999999999999E-3</v>
      </c>
    </row>
    <row r="1476" spans="1:14" x14ac:dyDescent="0.25">
      <c r="A1476" t="s">
        <v>2755</v>
      </c>
      <c r="B1476" t="s">
        <v>2756</v>
      </c>
      <c r="C1476" s="1" t="str">
        <f>HYPERLINK("http://www.genecards.org/cgi-bin/carddisp.pl?gene=TMEM127","GeneCards")</f>
        <v>GeneCards</v>
      </c>
      <c r="D1476" s="1" t="str">
        <f>HYPERLINK("http://genome-euro.ucsc.edu/cgi-bin/hgTracks?position=219460_s_at","UCSC")</f>
        <v>UCSC</v>
      </c>
      <c r="E1476" s="1" t="str">
        <f>HYPERLINK("http://www.ncbi.nlm.nih.gov/gene/?term=TMEM127","NCBI")</f>
        <v>NCBI</v>
      </c>
      <c r="F1476">
        <v>4.1999999999999997E-3</v>
      </c>
      <c r="G1476">
        <v>4.8000000000000001E-2</v>
      </c>
      <c r="H1476" s="1" t="str">
        <f>HYPERLINK("http://www.weizmann.ac.il/complex/compphys/software/geview/data/figures/219460_s_at.png","Figure")</f>
        <v>Figure</v>
      </c>
      <c r="I1476">
        <v>0.94</v>
      </c>
      <c r="J1476">
        <v>0.85</v>
      </c>
      <c r="K1476">
        <v>0.68899999999999995</v>
      </c>
      <c r="L1476">
        <v>5.5999999999999999E-3</v>
      </c>
      <c r="M1476">
        <v>0.73299999999999998</v>
      </c>
      <c r="N1476">
        <v>2.7E-2</v>
      </c>
    </row>
    <row r="1477" spans="1:14" x14ac:dyDescent="0.25">
      <c r="A1477" t="s">
        <v>2757</v>
      </c>
      <c r="B1477" t="s">
        <v>2758</v>
      </c>
      <c r="C1477" s="1" t="str">
        <f>HYPERLINK("http://www.genecards.org/cgi-bin/carddisp.pl?gene=PPP2R5B","GeneCards")</f>
        <v>GeneCards</v>
      </c>
      <c r="D1477" s="1" t="str">
        <f>HYPERLINK("http://genome-euro.ucsc.edu/cgi-bin/hgTracks?position=635_s_at","UCSC")</f>
        <v>UCSC</v>
      </c>
      <c r="E1477" s="1" t="str">
        <f>HYPERLINK("http://www.ncbi.nlm.nih.gov/gene/?term=PPP2R5B","NCBI")</f>
        <v>NCBI</v>
      </c>
      <c r="F1477">
        <v>4.1999999999999997E-3</v>
      </c>
      <c r="G1477">
        <v>4.8000000000000001E-2</v>
      </c>
      <c r="H1477" s="1" t="str">
        <f>HYPERLINK("http://www.weizmann.ac.il/complex/compphys/software/geview/data/figures/635_s_at.png","Figure")</f>
        <v>Figure</v>
      </c>
      <c r="I1477">
        <v>1.22</v>
      </c>
      <c r="J1477">
        <v>4.8999999999999998E-3</v>
      </c>
      <c r="K1477">
        <v>1.1599999999999999</v>
      </c>
      <c r="L1477">
        <v>1.7000000000000001E-2</v>
      </c>
      <c r="M1477">
        <v>0.94599999999999995</v>
      </c>
      <c r="N1477">
        <v>0.5</v>
      </c>
    </row>
    <row r="1478" spans="1:14" x14ac:dyDescent="0.25">
      <c r="A1478" t="s">
        <v>2759</v>
      </c>
      <c r="B1478" t="s">
        <v>2760</v>
      </c>
      <c r="C1478" s="1" t="str">
        <f>HYPERLINK("http://www.genecards.org/cgi-bin/carddisp.pl?gene=BTRC","GeneCards")</f>
        <v>GeneCards</v>
      </c>
      <c r="D1478" s="1" t="str">
        <f>HYPERLINK("http://genome-euro.ucsc.edu/cgi-bin/hgTracks?position=204901_at","UCSC")</f>
        <v>UCSC</v>
      </c>
      <c r="E1478" s="1" t="str">
        <f>HYPERLINK("http://www.ncbi.nlm.nih.gov/gene/?term=BTRC","NCBI")</f>
        <v>NCBI</v>
      </c>
      <c r="F1478">
        <v>4.1999999999999997E-3</v>
      </c>
      <c r="G1478">
        <v>4.8000000000000001E-2</v>
      </c>
      <c r="H1478" s="1" t="str">
        <f>HYPERLINK("http://www.weizmann.ac.il/complex/compphys/software/geview/data/figures/204901_at.png","Figure")</f>
        <v>Figure</v>
      </c>
      <c r="I1478">
        <v>1.21</v>
      </c>
      <c r="J1478">
        <v>0.16</v>
      </c>
      <c r="K1478">
        <v>0.83099999999999996</v>
      </c>
      <c r="L1478">
        <v>0.12</v>
      </c>
      <c r="M1478">
        <v>0.68600000000000005</v>
      </c>
      <c r="N1478">
        <v>3.3E-3</v>
      </c>
    </row>
    <row r="1479" spans="1:14" x14ac:dyDescent="0.25">
      <c r="A1479" t="s">
        <v>2761</v>
      </c>
      <c r="B1479" t="s">
        <v>2762</v>
      </c>
      <c r="C1479" s="1" t="str">
        <f>HYPERLINK("http://www.genecards.org/cgi-bin/carddisp.pl?gene=WISP2","GeneCards")</f>
        <v>GeneCards</v>
      </c>
      <c r="D1479" s="1" t="str">
        <f>HYPERLINK("http://genome-euro.ucsc.edu/cgi-bin/hgTracks?position=205792_at","UCSC")</f>
        <v>UCSC</v>
      </c>
      <c r="E1479" s="1" t="str">
        <f>HYPERLINK("http://www.ncbi.nlm.nih.gov/gene/?term=WISP2","NCBI")</f>
        <v>NCBI</v>
      </c>
      <c r="F1479">
        <v>4.1999999999999997E-3</v>
      </c>
      <c r="G1479">
        <v>4.8000000000000001E-2</v>
      </c>
      <c r="H1479" s="1" t="str">
        <f>HYPERLINK("http://www.weizmann.ac.il/complex/compphys/software/geview/data/figures/205792_at.png","Figure")</f>
        <v>Figure</v>
      </c>
      <c r="I1479">
        <v>1.22</v>
      </c>
      <c r="J1479">
        <v>3.5999999999999999E-3</v>
      </c>
      <c r="K1479">
        <v>1.06</v>
      </c>
      <c r="L1479">
        <v>0.38</v>
      </c>
      <c r="M1479">
        <v>0.86799999999999999</v>
      </c>
      <c r="N1479">
        <v>2.3E-2</v>
      </c>
    </row>
    <row r="1480" spans="1:14" x14ac:dyDescent="0.25">
      <c r="A1480" t="s">
        <v>2763</v>
      </c>
      <c r="B1480" t="s">
        <v>1483</v>
      </c>
      <c r="C1480" s="1" t="str">
        <f>HYPERLINK("http://www.genecards.org/cgi-bin/carddisp.pl?gene=MYO1B","GeneCards")</f>
        <v>GeneCards</v>
      </c>
      <c r="D1480" s="1" t="str">
        <f>HYPERLINK("http://genome-euro.ucsc.edu/cgi-bin/hgTracks?position=212365_at","UCSC")</f>
        <v>UCSC</v>
      </c>
      <c r="E1480" s="1" t="str">
        <f>HYPERLINK("http://www.ncbi.nlm.nih.gov/gene/?term=MYO1B","NCBI")</f>
        <v>NCBI</v>
      </c>
      <c r="F1480">
        <v>4.1999999999999997E-3</v>
      </c>
      <c r="G1480">
        <v>4.8000000000000001E-2</v>
      </c>
      <c r="H1480" s="1" t="str">
        <f>HYPERLINK("http://www.weizmann.ac.il/complex/compphys/software/geview/data/figures/212365_at.png","Figure")</f>
        <v>Figure</v>
      </c>
      <c r="I1480">
        <v>0.77200000000000002</v>
      </c>
      <c r="J1480">
        <v>3.2000000000000001E-2</v>
      </c>
      <c r="K1480">
        <v>0.73</v>
      </c>
      <c r="L1480">
        <v>3.8E-3</v>
      </c>
      <c r="M1480">
        <v>0.94499999999999995</v>
      </c>
      <c r="N1480">
        <v>0.78</v>
      </c>
    </row>
    <row r="1481" spans="1:14" x14ac:dyDescent="0.25">
      <c r="A1481" t="s">
        <v>2764</v>
      </c>
      <c r="B1481" t="s">
        <v>2765</v>
      </c>
      <c r="C1481" s="1" t="str">
        <f>HYPERLINK("http://www.genecards.org/cgi-bin/carddisp.pl?gene=COQ2","GeneCards")</f>
        <v>GeneCards</v>
      </c>
      <c r="D1481" s="1" t="str">
        <f>HYPERLINK("http://genome-euro.ucsc.edu/cgi-bin/hgTracks?position=213379_at","UCSC")</f>
        <v>UCSC</v>
      </c>
      <c r="E1481" s="1" t="str">
        <f>HYPERLINK("http://www.ncbi.nlm.nih.gov/gene/?term=COQ2","NCBI")</f>
        <v>NCBI</v>
      </c>
      <c r="F1481">
        <v>4.1999999999999997E-3</v>
      </c>
      <c r="G1481">
        <v>4.8000000000000001E-2</v>
      </c>
      <c r="H1481" s="1" t="str">
        <f>HYPERLINK("http://www.weizmann.ac.il/complex/compphys/software/geview/data/figures/213379_at.png","Figure")</f>
        <v>Figure</v>
      </c>
      <c r="I1481">
        <v>0.50900000000000001</v>
      </c>
      <c r="J1481">
        <v>2.1000000000000001E-2</v>
      </c>
      <c r="K1481">
        <v>1.1499999999999999</v>
      </c>
      <c r="L1481">
        <v>0.73</v>
      </c>
      <c r="M1481">
        <v>2.27</v>
      </c>
      <c r="N1481">
        <v>3.7000000000000002E-3</v>
      </c>
    </row>
    <row r="1482" spans="1:14" x14ac:dyDescent="0.25">
      <c r="A1482" t="s">
        <v>2766</v>
      </c>
      <c r="B1482" t="s">
        <v>2767</v>
      </c>
      <c r="C1482" s="1" t="str">
        <f>HYPERLINK("http://www.genecards.org/cgi-bin/carddisp.pl?gene=OPA1","GeneCards")</f>
        <v>GeneCards</v>
      </c>
      <c r="D1482" s="1" t="str">
        <f>HYPERLINK("http://genome-euro.ucsc.edu/cgi-bin/hgTracks?position=214306_at","UCSC")</f>
        <v>UCSC</v>
      </c>
      <c r="E1482" s="1" t="str">
        <f>HYPERLINK("http://www.ncbi.nlm.nih.gov/gene/?term=OPA1","NCBI")</f>
        <v>NCBI</v>
      </c>
      <c r="F1482">
        <v>4.1999999999999997E-3</v>
      </c>
      <c r="G1482">
        <v>4.8000000000000001E-2</v>
      </c>
      <c r="H1482" s="1" t="str">
        <f>HYPERLINK("http://www.weizmann.ac.il/complex/compphys/software/geview/data/figures/214306_at.png","Figure")</f>
        <v>Figure</v>
      </c>
      <c r="I1482">
        <v>0.60199999999999998</v>
      </c>
      <c r="J1482">
        <v>2.7E-2</v>
      </c>
      <c r="K1482">
        <v>1.1599999999999999</v>
      </c>
      <c r="L1482">
        <v>0.61</v>
      </c>
      <c r="M1482">
        <v>1.92</v>
      </c>
      <c r="N1482">
        <v>3.3999999999999998E-3</v>
      </c>
    </row>
    <row r="1483" spans="1:14" x14ac:dyDescent="0.25">
      <c r="A1483" t="s">
        <v>2768</v>
      </c>
      <c r="B1483" t="s">
        <v>2769</v>
      </c>
      <c r="C1483" s="1" t="str">
        <f>HYPERLINK("http://www.genecards.org/cgi-bin/carddisp.pl?gene=IL18BP","GeneCards")</f>
        <v>GeneCards</v>
      </c>
      <c r="D1483" s="1" t="str">
        <f>HYPERLINK("http://genome-euro.ucsc.edu/cgi-bin/hgTracks?position=219323_s_at","UCSC")</f>
        <v>UCSC</v>
      </c>
      <c r="E1483" s="1" t="str">
        <f>HYPERLINK("http://www.ncbi.nlm.nih.gov/gene/?term=IL18BP","NCBI")</f>
        <v>NCBI</v>
      </c>
      <c r="F1483">
        <v>4.1999999999999997E-3</v>
      </c>
      <c r="G1483">
        <v>4.8000000000000001E-2</v>
      </c>
      <c r="H1483" s="1" t="str">
        <f>HYPERLINK("http://www.weizmann.ac.il/complex/compphys/software/geview/data/figures/219323_s_at.png","Figure")</f>
        <v>Figure</v>
      </c>
      <c r="I1483">
        <v>1.34</v>
      </c>
      <c r="J1483">
        <v>6.7000000000000002E-3</v>
      </c>
      <c r="K1483">
        <v>1.27</v>
      </c>
      <c r="L1483">
        <v>1.0999999999999999E-2</v>
      </c>
      <c r="M1483">
        <v>0.94699999999999995</v>
      </c>
      <c r="N1483">
        <v>0.74</v>
      </c>
    </row>
    <row r="1484" spans="1:14" x14ac:dyDescent="0.25">
      <c r="A1484" t="s">
        <v>2770</v>
      </c>
      <c r="B1484" t="s">
        <v>2771</v>
      </c>
      <c r="C1484" s="1" t="str">
        <f>HYPERLINK("http://www.genecards.org/cgi-bin/carddisp.pl?gene=NELF","GeneCards")</f>
        <v>GeneCards</v>
      </c>
      <c r="D1484" s="1" t="str">
        <f>HYPERLINK("http://genome-euro.ucsc.edu/cgi-bin/hgTracks?position=221214_s_at","UCSC")</f>
        <v>UCSC</v>
      </c>
      <c r="E1484" s="1" t="str">
        <f>HYPERLINK("http://www.ncbi.nlm.nih.gov/gene/?term=NELF","NCBI")</f>
        <v>NCBI</v>
      </c>
      <c r="F1484">
        <v>4.1999999999999997E-3</v>
      </c>
      <c r="G1484">
        <v>4.8000000000000001E-2</v>
      </c>
      <c r="H1484" s="1" t="str">
        <f>HYPERLINK("http://www.weizmann.ac.il/complex/compphys/software/geview/data/figures/221214_s_at.png","Figure")</f>
        <v>Figure</v>
      </c>
      <c r="I1484">
        <v>1.49</v>
      </c>
      <c r="J1484">
        <v>1.9E-2</v>
      </c>
      <c r="K1484">
        <v>1.53</v>
      </c>
      <c r="L1484">
        <v>4.7999999999999996E-3</v>
      </c>
      <c r="M1484">
        <v>1.03</v>
      </c>
      <c r="N1484">
        <v>0.97</v>
      </c>
    </row>
    <row r="1485" spans="1:14" x14ac:dyDescent="0.25">
      <c r="A1485" t="s">
        <v>2772</v>
      </c>
      <c r="B1485" t="s">
        <v>2773</v>
      </c>
      <c r="C1485" s="1" t="str">
        <f>HYPERLINK("http://www.genecards.org/cgi-bin/carddisp.pl?gene=TP53TG1","GeneCards")</f>
        <v>GeneCards</v>
      </c>
      <c r="D1485" s="1" t="str">
        <f>HYPERLINK("http://genome-euro.ucsc.edu/cgi-bin/hgTracks?position=209917_s_at","UCSC")</f>
        <v>UCSC</v>
      </c>
      <c r="E1485" s="1" t="str">
        <f>HYPERLINK("http://www.ncbi.nlm.nih.gov/gene/?term=TP53TG1","NCBI")</f>
        <v>NCBI</v>
      </c>
      <c r="F1485">
        <v>4.1999999999999997E-3</v>
      </c>
      <c r="G1485">
        <v>4.8000000000000001E-2</v>
      </c>
      <c r="H1485" s="1" t="str">
        <f>HYPERLINK("http://www.weizmann.ac.il/complex/compphys/software/geview/data/figures/209917_s_at.png","Figure")</f>
        <v>Figure</v>
      </c>
      <c r="I1485">
        <v>0.84799999999999998</v>
      </c>
      <c r="J1485">
        <v>7.3000000000000001E-3</v>
      </c>
      <c r="K1485">
        <v>0.99099999999999999</v>
      </c>
      <c r="L1485">
        <v>0.97</v>
      </c>
      <c r="M1485">
        <v>1.17</v>
      </c>
      <c r="N1485">
        <v>6.7000000000000002E-3</v>
      </c>
    </row>
    <row r="1486" spans="1:14" x14ac:dyDescent="0.25">
      <c r="A1486" t="s">
        <v>2774</v>
      </c>
      <c r="B1486" t="s">
        <v>2775</v>
      </c>
      <c r="C1486" s="1" t="str">
        <f>HYPERLINK("http://www.genecards.org/cgi-bin/carddisp.pl?gene=B3GAT3","GeneCards")</f>
        <v>GeneCards</v>
      </c>
      <c r="D1486" s="1" t="str">
        <f>HYPERLINK("http://genome-euro.ucsc.edu/cgi-bin/hgTracks?position=203452_at","UCSC")</f>
        <v>UCSC</v>
      </c>
      <c r="E1486" s="1" t="str">
        <f>HYPERLINK("http://www.ncbi.nlm.nih.gov/gene/?term=B3GAT3","NCBI")</f>
        <v>NCBI</v>
      </c>
      <c r="F1486">
        <v>4.1999999999999997E-3</v>
      </c>
      <c r="G1486">
        <v>4.8000000000000001E-2</v>
      </c>
      <c r="H1486" s="1" t="str">
        <f>HYPERLINK("http://www.weizmann.ac.il/complex/compphys/software/geview/data/figures/203452_at.png","Figure")</f>
        <v>Figure</v>
      </c>
      <c r="I1486">
        <v>1.45</v>
      </c>
      <c r="J1486">
        <v>4.4999999999999997E-3</v>
      </c>
      <c r="K1486">
        <v>1.08</v>
      </c>
      <c r="L1486">
        <v>0.64</v>
      </c>
      <c r="M1486">
        <v>0.74199999999999999</v>
      </c>
      <c r="N1486">
        <v>1.2999999999999999E-2</v>
      </c>
    </row>
    <row r="1487" spans="1:14" x14ac:dyDescent="0.25">
      <c r="A1487" t="s">
        <v>2776</v>
      </c>
      <c r="B1487" t="s">
        <v>118</v>
      </c>
      <c r="C1487" s="1" t="str">
        <f>HYPERLINK("http://www.genecards.org/cgi-bin/carddisp.pl?gene=WDFY3","GeneCards")</f>
        <v>GeneCards</v>
      </c>
      <c r="D1487" s="1" t="str">
        <f>HYPERLINK("http://genome-euro.ucsc.edu/cgi-bin/hgTracks?position=212606_at","UCSC")</f>
        <v>UCSC</v>
      </c>
      <c r="E1487" s="1" t="str">
        <f>HYPERLINK("http://www.ncbi.nlm.nih.gov/gene/?term=WDFY3","NCBI")</f>
        <v>NCBI</v>
      </c>
      <c r="F1487">
        <v>4.1999999999999997E-3</v>
      </c>
      <c r="G1487">
        <v>4.8000000000000001E-2</v>
      </c>
      <c r="H1487" s="1" t="str">
        <f>HYPERLINK("http://www.weizmann.ac.il/complex/compphys/software/geview/data/figures/212606_at.png","Figure")</f>
        <v>Figure</v>
      </c>
      <c r="I1487">
        <v>0.28499999999999998</v>
      </c>
      <c r="J1487">
        <v>4.0000000000000001E-3</v>
      </c>
      <c r="K1487">
        <v>0.44900000000000001</v>
      </c>
      <c r="L1487">
        <v>0.03</v>
      </c>
      <c r="M1487">
        <v>1.58</v>
      </c>
      <c r="N1487">
        <v>0.3</v>
      </c>
    </row>
    <row r="1488" spans="1:14" x14ac:dyDescent="0.25">
      <c r="A1488" t="s">
        <v>2777</v>
      </c>
      <c r="B1488" t="s">
        <v>2778</v>
      </c>
      <c r="C1488" s="1" t="str">
        <f>HYPERLINK("http://www.genecards.org/cgi-bin/carddisp.pl?gene=PLXNB1","GeneCards")</f>
        <v>GeneCards</v>
      </c>
      <c r="D1488" s="1" t="str">
        <f>HYPERLINK("http://genome-euro.ucsc.edu/cgi-bin/hgTracks?position=215668_s_at","UCSC")</f>
        <v>UCSC</v>
      </c>
      <c r="E1488" s="1" t="str">
        <f>HYPERLINK("http://www.ncbi.nlm.nih.gov/gene/?term=PLXNB1","NCBI")</f>
        <v>NCBI</v>
      </c>
      <c r="F1488">
        <v>4.1999999999999997E-3</v>
      </c>
      <c r="G1488">
        <v>4.8000000000000001E-2</v>
      </c>
      <c r="H1488" s="1" t="str">
        <f>HYPERLINK("http://www.weizmann.ac.il/complex/compphys/software/geview/data/figures/215668_s_at.png","Figure")</f>
        <v>Figure</v>
      </c>
      <c r="I1488">
        <v>1.23</v>
      </c>
      <c r="J1488">
        <v>1.0999999999999999E-2</v>
      </c>
      <c r="K1488">
        <v>0.98899999999999999</v>
      </c>
      <c r="L1488">
        <v>0.97</v>
      </c>
      <c r="M1488">
        <v>0.80600000000000005</v>
      </c>
      <c r="N1488">
        <v>4.8999999999999998E-3</v>
      </c>
    </row>
    <row r="1489" spans="1:14" x14ac:dyDescent="0.25">
      <c r="A1489" t="s">
        <v>2779</v>
      </c>
      <c r="B1489" t="s">
        <v>2780</v>
      </c>
      <c r="C1489" s="1" t="str">
        <f>HYPERLINK("http://www.genecards.org/cgi-bin/carddisp.pl?gene=CXCR4","GeneCards")</f>
        <v>GeneCards</v>
      </c>
      <c r="D1489" s="1" t="str">
        <f>HYPERLINK("http://genome-euro.ucsc.edu/cgi-bin/hgTracks?position=211919_s_at","UCSC")</f>
        <v>UCSC</v>
      </c>
      <c r="E1489" s="1" t="str">
        <f>HYPERLINK("http://www.ncbi.nlm.nih.gov/gene/?term=CXCR4","NCBI")</f>
        <v>NCBI</v>
      </c>
      <c r="F1489">
        <v>4.3E-3</v>
      </c>
      <c r="G1489">
        <v>4.9000000000000002E-2</v>
      </c>
      <c r="H1489" s="1" t="str">
        <f>HYPERLINK("http://www.weizmann.ac.il/complex/compphys/software/geview/data/figures/211919_s_at.png","Figure")</f>
        <v>Figure</v>
      </c>
      <c r="I1489">
        <v>1</v>
      </c>
      <c r="J1489">
        <v>1</v>
      </c>
      <c r="K1489">
        <v>0.52300000000000002</v>
      </c>
      <c r="L1489">
        <v>9.2999999999999992E-3</v>
      </c>
      <c r="M1489">
        <v>0.52100000000000002</v>
      </c>
      <c r="N1489">
        <v>1.4E-2</v>
      </c>
    </row>
    <row r="1490" spans="1:14" x14ac:dyDescent="0.25">
      <c r="A1490" t="s">
        <v>2781</v>
      </c>
      <c r="B1490" t="s">
        <v>1259</v>
      </c>
      <c r="C1490" s="1" t="str">
        <f>HYPERLINK("http://www.genecards.org/cgi-bin/carddisp.pl?gene=RHOT1","GeneCards")</f>
        <v>GeneCards</v>
      </c>
      <c r="D1490" s="1" t="str">
        <f>HYPERLINK("http://genome-euro.ucsc.edu/cgi-bin/hgTracks?position=218323_at","UCSC")</f>
        <v>UCSC</v>
      </c>
      <c r="E1490" s="1" t="str">
        <f>HYPERLINK("http://www.ncbi.nlm.nih.gov/gene/?term=RHOT1","NCBI")</f>
        <v>NCBI</v>
      </c>
      <c r="F1490">
        <v>4.3E-3</v>
      </c>
      <c r="G1490">
        <v>4.9000000000000002E-2</v>
      </c>
      <c r="H1490" s="1" t="str">
        <f>HYPERLINK("http://www.weizmann.ac.il/complex/compphys/software/geview/data/figures/218323_at.png","Figure")</f>
        <v>Figure</v>
      </c>
      <c r="I1490">
        <v>0.36799999999999999</v>
      </c>
      <c r="J1490">
        <v>7.1000000000000004E-3</v>
      </c>
      <c r="K1490">
        <v>0.93700000000000006</v>
      </c>
      <c r="L1490">
        <v>0.96</v>
      </c>
      <c r="M1490">
        <v>2.5499999999999998</v>
      </c>
      <c r="N1490">
        <v>7.1000000000000004E-3</v>
      </c>
    </row>
    <row r="1491" spans="1:14" x14ac:dyDescent="0.25">
      <c r="A1491" t="s">
        <v>2782</v>
      </c>
      <c r="B1491" t="s">
        <v>2783</v>
      </c>
      <c r="C1491" s="1" t="str">
        <f>HYPERLINK("http://www.genecards.org/cgi-bin/carddisp.pl?gene=ROCK2","GeneCards")</f>
        <v>GeneCards</v>
      </c>
      <c r="D1491" s="1" t="str">
        <f>HYPERLINK("http://genome-euro.ucsc.edu/cgi-bin/hgTracks?position=211504_x_at","UCSC")</f>
        <v>UCSC</v>
      </c>
      <c r="E1491" s="1" t="str">
        <f>HYPERLINK("http://www.ncbi.nlm.nih.gov/gene/?term=ROCK2","NCBI")</f>
        <v>NCBI</v>
      </c>
      <c r="F1491">
        <v>4.3E-3</v>
      </c>
      <c r="G1491">
        <v>4.9000000000000002E-2</v>
      </c>
      <c r="H1491" s="1" t="str">
        <f>HYPERLINK("http://www.weizmann.ac.il/complex/compphys/software/geview/data/figures/211504_x_at.png","Figure")</f>
        <v>Figure</v>
      </c>
      <c r="I1491">
        <v>1.41</v>
      </c>
      <c r="J1491">
        <v>3.2000000000000002E-3</v>
      </c>
      <c r="K1491">
        <v>1.1399999999999999</v>
      </c>
      <c r="L1491">
        <v>0.2</v>
      </c>
      <c r="M1491">
        <v>0.81100000000000005</v>
      </c>
      <c r="N1491">
        <v>4.4999999999999998E-2</v>
      </c>
    </row>
    <row r="1492" spans="1:14" x14ac:dyDescent="0.25">
      <c r="A1492" t="s">
        <v>2784</v>
      </c>
      <c r="B1492" t="s">
        <v>2302</v>
      </c>
      <c r="C1492" s="1" t="str">
        <f>HYPERLINK("http://www.genecards.org/cgi-bin/carddisp.pl?gene=HADH","GeneCards")</f>
        <v>GeneCards</v>
      </c>
      <c r="D1492" s="1" t="str">
        <f>HYPERLINK("http://genome-euro.ucsc.edu/cgi-bin/hgTracks?position=201036_s_at","UCSC")</f>
        <v>UCSC</v>
      </c>
      <c r="E1492" s="1" t="str">
        <f>HYPERLINK("http://www.ncbi.nlm.nih.gov/gene/?term=HADH","NCBI")</f>
        <v>NCBI</v>
      </c>
      <c r="F1492">
        <v>4.3E-3</v>
      </c>
      <c r="G1492">
        <v>4.9000000000000002E-2</v>
      </c>
      <c r="H1492" s="1" t="str">
        <f>HYPERLINK("http://www.weizmann.ac.il/complex/compphys/software/geview/data/figures/201036_s_at.png","Figure")</f>
        <v>Figure</v>
      </c>
      <c r="I1492">
        <v>0.59099999999999997</v>
      </c>
      <c r="J1492">
        <v>8.6999999999999994E-2</v>
      </c>
      <c r="K1492">
        <v>1.42</v>
      </c>
      <c r="L1492">
        <v>0.22</v>
      </c>
      <c r="M1492">
        <v>2.4</v>
      </c>
      <c r="N1492">
        <v>3.2000000000000002E-3</v>
      </c>
    </row>
    <row r="1493" spans="1:14" x14ac:dyDescent="0.25">
      <c r="A1493" t="s">
        <v>2785</v>
      </c>
      <c r="B1493" t="s">
        <v>126</v>
      </c>
      <c r="C1493" s="1" t="str">
        <f>HYPERLINK("http://www.genecards.org/cgi-bin/carddisp.pl?gene=SERBP1","GeneCards")</f>
        <v>GeneCards</v>
      </c>
      <c r="D1493" s="1" t="str">
        <f>HYPERLINK("http://genome-euro.ucsc.edu/cgi-bin/hgTracks?position=210466_s_at","UCSC")</f>
        <v>UCSC</v>
      </c>
      <c r="E1493" s="1" t="str">
        <f>HYPERLINK("http://www.ncbi.nlm.nih.gov/gene/?term=SERBP1","NCBI")</f>
        <v>NCBI</v>
      </c>
      <c r="F1493">
        <v>4.3E-3</v>
      </c>
      <c r="G1493">
        <v>4.9000000000000002E-2</v>
      </c>
      <c r="H1493" s="1" t="str">
        <f>HYPERLINK("http://www.weizmann.ac.il/complex/compphys/software/geview/data/figures/210466_s_at.png","Figure")</f>
        <v>Figure</v>
      </c>
      <c r="I1493">
        <v>1.44</v>
      </c>
      <c r="J1493">
        <v>1.4999999999999999E-2</v>
      </c>
      <c r="K1493">
        <v>1.44</v>
      </c>
      <c r="L1493">
        <v>5.5999999999999999E-3</v>
      </c>
      <c r="M1493">
        <v>1</v>
      </c>
      <c r="N1493">
        <v>1</v>
      </c>
    </row>
    <row r="1494" spans="1:14" x14ac:dyDescent="0.25">
      <c r="A1494" t="s">
        <v>2786</v>
      </c>
      <c r="B1494" t="s">
        <v>2787</v>
      </c>
      <c r="C1494" s="1" t="str">
        <f>HYPERLINK("http://www.genecards.org/cgi-bin/carddisp.pl?gene=RBM34","GeneCards")</f>
        <v>GeneCards</v>
      </c>
      <c r="D1494" s="1" t="str">
        <f>HYPERLINK("http://genome-euro.ucsc.edu/cgi-bin/hgTracks?position=212591_at","UCSC")</f>
        <v>UCSC</v>
      </c>
      <c r="E1494" s="1" t="str">
        <f>HYPERLINK("http://www.ncbi.nlm.nih.gov/gene/?term=RBM34","NCBI")</f>
        <v>NCBI</v>
      </c>
      <c r="F1494">
        <v>4.3E-3</v>
      </c>
      <c r="G1494">
        <v>4.9000000000000002E-2</v>
      </c>
      <c r="H1494" s="1" t="str">
        <f>HYPERLINK("http://www.weizmann.ac.il/complex/compphys/software/geview/data/figures/212591_at.png","Figure")</f>
        <v>Figure</v>
      </c>
      <c r="I1494">
        <v>1.74</v>
      </c>
      <c r="J1494">
        <v>8.0000000000000002E-3</v>
      </c>
      <c r="K1494">
        <v>1.02</v>
      </c>
      <c r="L1494">
        <v>0.99</v>
      </c>
      <c r="M1494">
        <v>0.58499999999999996</v>
      </c>
      <c r="N1494">
        <v>6.4000000000000003E-3</v>
      </c>
    </row>
    <row r="1495" spans="1:14" x14ac:dyDescent="0.25">
      <c r="A1495" t="s">
        <v>2788</v>
      </c>
      <c r="B1495" t="s">
        <v>2789</v>
      </c>
      <c r="C1495" s="1" t="str">
        <f>HYPERLINK("http://www.genecards.org/cgi-bin/carddisp.pl?gene=NEBL","GeneCards")</f>
        <v>GeneCards</v>
      </c>
      <c r="D1495" s="1" t="str">
        <f>HYPERLINK("http://genome-euro.ucsc.edu/cgi-bin/hgTracks?position=216882_s_at","UCSC")</f>
        <v>UCSC</v>
      </c>
      <c r="E1495" s="1" t="str">
        <f>HYPERLINK("http://www.ncbi.nlm.nih.gov/gene/?term=NEBL","NCBI")</f>
        <v>NCBI</v>
      </c>
      <c r="F1495">
        <v>4.3E-3</v>
      </c>
      <c r="G1495">
        <v>4.9000000000000002E-2</v>
      </c>
      <c r="H1495" s="1" t="str">
        <f>HYPERLINK("http://www.weizmann.ac.il/complex/compphys/software/geview/data/figures/216882_s_at.png","Figure")</f>
        <v>Figure</v>
      </c>
      <c r="I1495">
        <v>1.23</v>
      </c>
      <c r="J1495">
        <v>5.5999999999999999E-3</v>
      </c>
      <c r="K1495">
        <v>1.17</v>
      </c>
      <c r="L1495">
        <v>1.4999999999999999E-2</v>
      </c>
      <c r="M1495">
        <v>0.95</v>
      </c>
      <c r="N1495">
        <v>0.59</v>
      </c>
    </row>
    <row r="1496" spans="1:14" x14ac:dyDescent="0.25">
      <c r="A1496" t="s">
        <v>2790</v>
      </c>
      <c r="B1496" t="s">
        <v>2791</v>
      </c>
      <c r="C1496" s="1" t="str">
        <f>HYPERLINK("http://www.genecards.org/cgi-bin/carddisp.pl?gene=SLC35E3","GeneCards")</f>
        <v>GeneCards</v>
      </c>
      <c r="D1496" s="1" t="str">
        <f>HYPERLINK("http://genome-euro.ucsc.edu/cgi-bin/hgTracks?position=218988_at","UCSC")</f>
        <v>UCSC</v>
      </c>
      <c r="E1496" s="1" t="str">
        <f>HYPERLINK("http://www.ncbi.nlm.nih.gov/gene/?term=SLC35E3","NCBI")</f>
        <v>NCBI</v>
      </c>
      <c r="F1496">
        <v>4.3E-3</v>
      </c>
      <c r="G1496">
        <v>4.9000000000000002E-2</v>
      </c>
      <c r="H1496" s="1" t="str">
        <f>HYPERLINK("http://www.weizmann.ac.il/complex/compphys/software/geview/data/figures/218988_at.png","Figure")</f>
        <v>Figure</v>
      </c>
      <c r="I1496">
        <v>0.249</v>
      </c>
      <c r="J1496">
        <v>3.7000000000000002E-3</v>
      </c>
      <c r="K1496">
        <v>0.43</v>
      </c>
      <c r="L1496">
        <v>3.6999999999999998E-2</v>
      </c>
      <c r="M1496">
        <v>1.73</v>
      </c>
      <c r="N1496">
        <v>0.24</v>
      </c>
    </row>
    <row r="1497" spans="1:14" x14ac:dyDescent="0.25">
      <c r="A1497" t="s">
        <v>2792</v>
      </c>
      <c r="B1497" t="s">
        <v>1740</v>
      </c>
      <c r="C1497" s="1" t="str">
        <f>HYPERLINK("http://www.genecards.org/cgi-bin/carddisp.pl?gene=SLC2A5","GeneCards")</f>
        <v>GeneCards</v>
      </c>
      <c r="D1497" s="1" t="str">
        <f>HYPERLINK("http://genome-euro.ucsc.edu/cgi-bin/hgTracks?position=204430_s_at","UCSC")</f>
        <v>UCSC</v>
      </c>
      <c r="E1497" s="1" t="str">
        <f>HYPERLINK("http://www.ncbi.nlm.nih.gov/gene/?term=SLC2A5","NCBI")</f>
        <v>NCBI</v>
      </c>
      <c r="F1497">
        <v>4.3E-3</v>
      </c>
      <c r="G1497">
        <v>4.9000000000000002E-2</v>
      </c>
      <c r="H1497" s="1" t="str">
        <f>HYPERLINK("http://www.weizmann.ac.il/complex/compphys/software/geview/data/figures/204430_s_at.png","Figure")</f>
        <v>Figure</v>
      </c>
      <c r="I1497">
        <v>0.35799999999999998</v>
      </c>
      <c r="J1497">
        <v>3.3000000000000002E-2</v>
      </c>
      <c r="K1497">
        <v>0.28499999999999998</v>
      </c>
      <c r="L1497">
        <v>3.8999999999999998E-3</v>
      </c>
      <c r="M1497">
        <v>0.79600000000000004</v>
      </c>
      <c r="N1497">
        <v>0.78</v>
      </c>
    </row>
    <row r="1498" spans="1:14" x14ac:dyDescent="0.25">
      <c r="A1498" t="s">
        <v>2793</v>
      </c>
      <c r="B1498" t="s">
        <v>2794</v>
      </c>
      <c r="C1498" s="1" t="str">
        <f>HYPERLINK("http://www.genecards.org/cgi-bin/carddisp.pl?gene=FBXW2","GeneCards")</f>
        <v>GeneCards</v>
      </c>
      <c r="D1498" s="1" t="str">
        <f>HYPERLINK("http://genome-euro.ucsc.edu/cgi-bin/hgTracks?position=209630_s_at","UCSC")</f>
        <v>UCSC</v>
      </c>
      <c r="E1498" s="1" t="str">
        <f>HYPERLINK("http://www.ncbi.nlm.nih.gov/gene/?term=FBXW2","NCBI")</f>
        <v>NCBI</v>
      </c>
      <c r="F1498">
        <v>4.3E-3</v>
      </c>
      <c r="G1498">
        <v>4.9000000000000002E-2</v>
      </c>
      <c r="H1498" s="1" t="str">
        <f>HYPERLINK("http://www.weizmann.ac.il/complex/compphys/software/geview/data/figures/209630_s_at.png","Figure")</f>
        <v>Figure</v>
      </c>
      <c r="I1498">
        <v>0.47899999999999998</v>
      </c>
      <c r="J1498">
        <v>9.9000000000000005E-2</v>
      </c>
      <c r="K1498">
        <v>1.69</v>
      </c>
      <c r="L1498">
        <v>0.2</v>
      </c>
      <c r="M1498">
        <v>3.52</v>
      </c>
      <c r="N1498">
        <v>3.2000000000000002E-3</v>
      </c>
    </row>
    <row r="1499" spans="1:14" x14ac:dyDescent="0.25">
      <c r="A1499" t="s">
        <v>2795</v>
      </c>
      <c r="B1499" t="s">
        <v>2796</v>
      </c>
      <c r="C1499" s="1" t="str">
        <f>HYPERLINK("http://www.genecards.org/cgi-bin/carddisp.pl?gene=ARMCX3","GeneCards")</f>
        <v>GeneCards</v>
      </c>
      <c r="D1499" s="1" t="str">
        <f>HYPERLINK("http://genome-euro.ucsc.edu/cgi-bin/hgTracks?position=217858_s_at","UCSC")</f>
        <v>UCSC</v>
      </c>
      <c r="E1499" s="1" t="str">
        <f>HYPERLINK("http://www.ncbi.nlm.nih.gov/gene/?term=ARMCX3","NCBI")</f>
        <v>NCBI</v>
      </c>
      <c r="F1499">
        <v>4.3E-3</v>
      </c>
      <c r="G1499">
        <v>4.9000000000000002E-2</v>
      </c>
      <c r="H1499" s="1" t="str">
        <f>HYPERLINK("http://www.weizmann.ac.il/complex/compphys/software/geview/data/figures/217858_s_at.png","Figure")</f>
        <v>Figure</v>
      </c>
      <c r="I1499">
        <v>0.28100000000000003</v>
      </c>
      <c r="J1499">
        <v>3.3E-3</v>
      </c>
      <c r="K1499">
        <v>0.63700000000000001</v>
      </c>
      <c r="L1499">
        <v>0.25</v>
      </c>
      <c r="M1499">
        <v>2.27</v>
      </c>
      <c r="N1499">
        <v>3.5000000000000003E-2</v>
      </c>
    </row>
    <row r="1500" spans="1:14" x14ac:dyDescent="0.25">
      <c r="A1500" t="s">
        <v>2797</v>
      </c>
      <c r="B1500" t="s">
        <v>2798</v>
      </c>
      <c r="C1500" s="1" t="str">
        <f>HYPERLINK("http://www.genecards.org/cgi-bin/carddisp.pl?gene=LEMD3","GeneCards")</f>
        <v>GeneCards</v>
      </c>
      <c r="D1500" s="1" t="str">
        <f>HYPERLINK("http://genome-euro.ucsc.edu/cgi-bin/hgTracks?position=218604_at","UCSC")</f>
        <v>UCSC</v>
      </c>
      <c r="E1500" s="1" t="str">
        <f>HYPERLINK("http://www.ncbi.nlm.nih.gov/gene/?term=LEMD3","NCBI")</f>
        <v>NCBI</v>
      </c>
      <c r="F1500">
        <v>4.3E-3</v>
      </c>
      <c r="G1500">
        <v>4.9000000000000002E-2</v>
      </c>
      <c r="H1500" s="1" t="str">
        <f>HYPERLINK("http://www.weizmann.ac.il/complex/compphys/software/geview/data/figures/218604_at.png","Figure")</f>
        <v>Figure</v>
      </c>
      <c r="I1500">
        <v>0.93200000000000005</v>
      </c>
      <c r="J1500">
        <v>0.93</v>
      </c>
      <c r="K1500">
        <v>0.52900000000000003</v>
      </c>
      <c r="L1500">
        <v>6.7000000000000002E-3</v>
      </c>
      <c r="M1500">
        <v>0.56699999999999995</v>
      </c>
      <c r="N1500">
        <v>2.1999999999999999E-2</v>
      </c>
    </row>
    <row r="1501" spans="1:14" x14ac:dyDescent="0.25">
      <c r="A1501" t="s">
        <v>2799</v>
      </c>
      <c r="B1501" t="s">
        <v>2800</v>
      </c>
      <c r="C1501" s="1" t="str">
        <f>HYPERLINK("http://www.genecards.org/cgi-bin/carddisp.pl?gene=MARK2","GeneCards")</f>
        <v>GeneCards</v>
      </c>
      <c r="D1501" s="1" t="str">
        <f>HYPERLINK("http://genome-euro.ucsc.edu/cgi-bin/hgTracks?position=211082_x_at","UCSC")</f>
        <v>UCSC</v>
      </c>
      <c r="E1501" s="1" t="str">
        <f>HYPERLINK("http://www.ncbi.nlm.nih.gov/gene/?term=MARK2","NCBI")</f>
        <v>NCBI</v>
      </c>
      <c r="F1501">
        <v>4.3E-3</v>
      </c>
      <c r="G1501">
        <v>4.9000000000000002E-2</v>
      </c>
      <c r="H1501" s="1" t="str">
        <f>HYPERLINK("http://www.weizmann.ac.il/complex/compphys/software/geview/data/figures/211082_x_at.png","Figure")</f>
        <v>Figure</v>
      </c>
      <c r="I1501">
        <v>1.4</v>
      </c>
      <c r="J1501">
        <v>5.3E-3</v>
      </c>
      <c r="K1501">
        <v>1.28</v>
      </c>
      <c r="L1501">
        <v>1.6E-2</v>
      </c>
      <c r="M1501">
        <v>0.91600000000000004</v>
      </c>
      <c r="N1501">
        <v>0.54</v>
      </c>
    </row>
    <row r="1502" spans="1:14" x14ac:dyDescent="0.25">
      <c r="A1502" t="s">
        <v>2801</v>
      </c>
      <c r="B1502" t="s">
        <v>800</v>
      </c>
      <c r="C1502" s="1" t="str">
        <f>HYPERLINK("http://www.genecards.org/cgi-bin/carddisp.pl?gene=EPOR","GeneCards")</f>
        <v>GeneCards</v>
      </c>
      <c r="D1502" s="1" t="str">
        <f>HYPERLINK("http://genome-euro.ucsc.edu/cgi-bin/hgTracks?position=215054_at","UCSC")</f>
        <v>UCSC</v>
      </c>
      <c r="E1502" s="1" t="str">
        <f>HYPERLINK("http://www.ncbi.nlm.nih.gov/gene/?term=EPOR","NCBI")</f>
        <v>NCBI</v>
      </c>
      <c r="F1502">
        <v>4.3E-3</v>
      </c>
      <c r="G1502">
        <v>4.9000000000000002E-2</v>
      </c>
      <c r="H1502" s="1" t="str">
        <f>HYPERLINK("http://www.weizmann.ac.il/complex/compphys/software/geview/data/figures/215054_at.png","Figure")</f>
        <v>Figure</v>
      </c>
      <c r="I1502">
        <v>1.02</v>
      </c>
      <c r="J1502">
        <v>0.99</v>
      </c>
      <c r="K1502">
        <v>0.70099999999999996</v>
      </c>
      <c r="L1502">
        <v>0.01</v>
      </c>
      <c r="M1502">
        <v>0.69099999999999995</v>
      </c>
      <c r="N1502">
        <v>1.2E-2</v>
      </c>
    </row>
    <row r="1503" spans="1:14" x14ac:dyDescent="0.25">
      <c r="A1503" t="s">
        <v>2802</v>
      </c>
      <c r="B1503" t="s">
        <v>1040</v>
      </c>
      <c r="C1503" s="1" t="str">
        <f>HYPERLINK("http://www.genecards.org/cgi-bin/carddisp.pl?gene=SGSM3","GeneCards")</f>
        <v>GeneCards</v>
      </c>
      <c r="D1503" s="1" t="str">
        <f>HYPERLINK("http://genome-euro.ucsc.edu/cgi-bin/hgTracks?position=203014_x_at","UCSC")</f>
        <v>UCSC</v>
      </c>
      <c r="E1503" s="1" t="str">
        <f>HYPERLINK("http://www.ncbi.nlm.nih.gov/gene/?term=SGSM3","NCBI")</f>
        <v>NCBI</v>
      </c>
      <c r="F1503">
        <v>4.3E-3</v>
      </c>
      <c r="G1503">
        <v>4.9000000000000002E-2</v>
      </c>
      <c r="H1503" s="1" t="str">
        <f>HYPERLINK("http://www.weizmann.ac.il/complex/compphys/software/geview/data/figures/203014_x_at.png","Figure")</f>
        <v>Figure</v>
      </c>
      <c r="I1503">
        <v>1.37</v>
      </c>
      <c r="J1503">
        <v>2.4E-2</v>
      </c>
      <c r="K1503">
        <v>1.43</v>
      </c>
      <c r="L1503">
        <v>4.4000000000000003E-3</v>
      </c>
      <c r="M1503">
        <v>1.04</v>
      </c>
      <c r="N1503">
        <v>0.91</v>
      </c>
    </row>
    <row r="1504" spans="1:14" x14ac:dyDescent="0.25">
      <c r="A1504" t="s">
        <v>2803</v>
      </c>
      <c r="B1504" t="s">
        <v>1067</v>
      </c>
      <c r="C1504" s="1" t="str">
        <f>HYPERLINK("http://www.genecards.org/cgi-bin/carddisp.pl?gene=NR4A2","GeneCards")</f>
        <v>GeneCards</v>
      </c>
      <c r="D1504" s="1" t="str">
        <f>HYPERLINK("http://genome-euro.ucsc.edu/cgi-bin/hgTracks?position=204621_s_at","UCSC")</f>
        <v>UCSC</v>
      </c>
      <c r="E1504" s="1" t="str">
        <f>HYPERLINK("http://www.ncbi.nlm.nih.gov/gene/?term=NR4A2","NCBI")</f>
        <v>NCBI</v>
      </c>
      <c r="F1504">
        <v>4.3E-3</v>
      </c>
      <c r="G1504">
        <v>4.9000000000000002E-2</v>
      </c>
      <c r="H1504" s="1" t="str">
        <f>HYPERLINK("http://www.weizmann.ac.il/complex/compphys/software/geview/data/figures/204621_s_at.png","Figure")</f>
        <v>Figure</v>
      </c>
      <c r="I1504">
        <v>0.24199999999999999</v>
      </c>
      <c r="J1504">
        <v>3.2000000000000002E-3</v>
      </c>
      <c r="K1504">
        <v>0.52700000000000002</v>
      </c>
      <c r="L1504">
        <v>0.12</v>
      </c>
      <c r="M1504">
        <v>2.1800000000000002</v>
      </c>
      <c r="N1504">
        <v>7.3999999999999996E-2</v>
      </c>
    </row>
    <row r="1505" spans="1:14" x14ac:dyDescent="0.25">
      <c r="A1505" t="s">
        <v>2804</v>
      </c>
      <c r="B1505" t="s">
        <v>2805</v>
      </c>
      <c r="C1505" s="1" t="str">
        <f>HYPERLINK("http://www.genecards.org/cgi-bin/carddisp.pl?gene=ADD2","GeneCards")</f>
        <v>GeneCards</v>
      </c>
      <c r="D1505" s="1" t="str">
        <f>HYPERLINK("http://genome-euro.ucsc.edu/cgi-bin/hgTracks?position=205268_s_at","UCSC")</f>
        <v>UCSC</v>
      </c>
      <c r="E1505" s="1" t="str">
        <f>HYPERLINK("http://www.ncbi.nlm.nih.gov/gene/?term=ADD2","NCBI")</f>
        <v>NCBI</v>
      </c>
      <c r="F1505">
        <v>4.3E-3</v>
      </c>
      <c r="G1505">
        <v>4.9000000000000002E-2</v>
      </c>
      <c r="H1505" s="1" t="str">
        <f>HYPERLINK("http://www.weizmann.ac.il/complex/compphys/software/geview/data/figures/205268_s_at.png","Figure")</f>
        <v>Figure</v>
      </c>
      <c r="I1505">
        <v>1.67</v>
      </c>
      <c r="J1505">
        <v>4.8999999999999998E-3</v>
      </c>
      <c r="K1505">
        <v>1.44</v>
      </c>
      <c r="L1505">
        <v>0.02</v>
      </c>
      <c r="M1505">
        <v>0.85899999999999999</v>
      </c>
      <c r="N1505">
        <v>0.46</v>
      </c>
    </row>
    <row r="1506" spans="1:14" x14ac:dyDescent="0.25">
      <c r="A1506" t="s">
        <v>2806</v>
      </c>
      <c r="B1506" t="s">
        <v>218</v>
      </c>
      <c r="C1506" s="1" t="str">
        <f>HYPERLINK("http://www.genecards.org/cgi-bin/carddisp.pl?gene=CTDSP2","GeneCards")</f>
        <v>GeneCards</v>
      </c>
      <c r="D1506" s="1" t="str">
        <f>HYPERLINK("http://genome-euro.ucsc.edu/cgi-bin/hgTracks?position=208735_s_at","UCSC")</f>
        <v>UCSC</v>
      </c>
      <c r="E1506" s="1" t="str">
        <f>HYPERLINK("http://www.ncbi.nlm.nih.gov/gene/?term=CTDSP2","NCBI")</f>
        <v>NCBI</v>
      </c>
      <c r="F1506">
        <v>4.3E-3</v>
      </c>
      <c r="G1506">
        <v>4.9000000000000002E-2</v>
      </c>
      <c r="H1506" s="1" t="str">
        <f>HYPERLINK("http://www.weizmann.ac.il/complex/compphys/software/geview/data/figures/208735_s_at.png","Figure")</f>
        <v>Figure</v>
      </c>
      <c r="I1506">
        <v>0.93400000000000005</v>
      </c>
      <c r="J1506">
        <v>0.92</v>
      </c>
      <c r="K1506">
        <v>0.57399999999999995</v>
      </c>
      <c r="L1506">
        <v>6.4999999999999997E-3</v>
      </c>
      <c r="M1506">
        <v>0.61399999999999999</v>
      </c>
      <c r="N1506">
        <v>2.3E-2</v>
      </c>
    </row>
    <row r="1507" spans="1:14" x14ac:dyDescent="0.25">
      <c r="A1507" t="s">
        <v>2807</v>
      </c>
      <c r="B1507" t="s">
        <v>2808</v>
      </c>
      <c r="C1507" s="1" t="str">
        <f>HYPERLINK("http://www.genecards.org/cgi-bin/carddisp.pl?gene=ZBTB16","GeneCards")</f>
        <v>GeneCards</v>
      </c>
      <c r="D1507" s="1" t="str">
        <f>HYPERLINK("http://genome-euro.ucsc.edu/cgi-bin/hgTracks?position=205883_at","UCSC")</f>
        <v>UCSC</v>
      </c>
      <c r="E1507" s="1" t="str">
        <f>HYPERLINK("http://www.ncbi.nlm.nih.gov/gene/?term=ZBTB16","NCBI")</f>
        <v>NCBI</v>
      </c>
      <c r="F1507">
        <v>4.3E-3</v>
      </c>
      <c r="G1507">
        <v>4.9000000000000002E-2</v>
      </c>
      <c r="H1507" s="1" t="str">
        <f>HYPERLINK("http://www.weizmann.ac.il/complex/compphys/software/geview/data/figures/205883_at.png","Figure")</f>
        <v>Figure</v>
      </c>
      <c r="I1507">
        <v>0.89600000000000002</v>
      </c>
      <c r="J1507">
        <v>0.89</v>
      </c>
      <c r="K1507">
        <v>0.45</v>
      </c>
      <c r="L1507">
        <v>6.3E-3</v>
      </c>
      <c r="M1507">
        <v>0.502</v>
      </c>
      <c r="N1507">
        <v>2.5000000000000001E-2</v>
      </c>
    </row>
    <row r="1508" spans="1:14" x14ac:dyDescent="0.25">
      <c r="A1508" t="s">
        <v>2809</v>
      </c>
      <c r="B1508" t="s">
        <v>2180</v>
      </c>
      <c r="C1508" s="1" t="str">
        <f>HYPERLINK("http://www.genecards.org/cgi-bin/carddisp.pl?gene=WAPAL","GeneCards")</f>
        <v>GeneCards</v>
      </c>
      <c r="D1508" s="1" t="str">
        <f>HYPERLINK("http://genome-euro.ucsc.edu/cgi-bin/hgTracks?position=212267_at","UCSC")</f>
        <v>UCSC</v>
      </c>
      <c r="E1508" s="1" t="str">
        <f>HYPERLINK("http://www.ncbi.nlm.nih.gov/gene/?term=WAPAL","NCBI")</f>
        <v>NCBI</v>
      </c>
      <c r="F1508">
        <v>4.3E-3</v>
      </c>
      <c r="G1508">
        <v>4.9000000000000002E-2</v>
      </c>
      <c r="H1508" s="1" t="str">
        <f>HYPERLINK("http://www.weizmann.ac.il/complex/compphys/software/geview/data/figures/212267_at.png","Figure")</f>
        <v>Figure</v>
      </c>
      <c r="I1508">
        <v>0.94599999999999995</v>
      </c>
      <c r="J1508">
        <v>0.97</v>
      </c>
      <c r="K1508">
        <v>2.16</v>
      </c>
      <c r="L1508">
        <v>1.0999999999999999E-2</v>
      </c>
      <c r="M1508">
        <v>2.29</v>
      </c>
      <c r="N1508">
        <v>1.0999999999999999E-2</v>
      </c>
    </row>
    <row r="1509" spans="1:14" x14ac:dyDescent="0.25">
      <c r="A1509" t="s">
        <v>2810</v>
      </c>
      <c r="B1509" t="s">
        <v>2811</v>
      </c>
      <c r="C1509" s="1" t="str">
        <f>HYPERLINK("http://www.genecards.org/cgi-bin/carddisp.pl?gene=CUEDC2","GeneCards")</f>
        <v>GeneCards</v>
      </c>
      <c r="D1509" s="1" t="str">
        <f>HYPERLINK("http://genome-euro.ucsc.edu/cgi-bin/hgTracks?position=218097_s_at","UCSC")</f>
        <v>UCSC</v>
      </c>
      <c r="E1509" s="1" t="str">
        <f>HYPERLINK("http://www.ncbi.nlm.nih.gov/gene/?term=CUEDC2","NCBI")</f>
        <v>NCBI</v>
      </c>
      <c r="F1509">
        <v>4.3E-3</v>
      </c>
      <c r="G1509">
        <v>4.9000000000000002E-2</v>
      </c>
      <c r="H1509" s="1" t="str">
        <f>HYPERLINK("http://www.weizmann.ac.il/complex/compphys/software/geview/data/figures/218097_s_at.png","Figure")</f>
        <v>Figure</v>
      </c>
      <c r="I1509">
        <v>0.73399999999999999</v>
      </c>
      <c r="J1509">
        <v>9.2999999999999999E-2</v>
      </c>
      <c r="K1509">
        <v>1.23</v>
      </c>
      <c r="L1509">
        <v>0.21</v>
      </c>
      <c r="M1509">
        <v>1.68</v>
      </c>
      <c r="N1509">
        <v>3.2000000000000002E-3</v>
      </c>
    </row>
    <row r="1510" spans="1:14" x14ac:dyDescent="0.25">
      <c r="A1510" t="s">
        <v>2812</v>
      </c>
      <c r="B1510" t="s">
        <v>2813</v>
      </c>
      <c r="C1510" s="1" t="str">
        <f>HYPERLINK("http://www.genecards.org/cgi-bin/carddisp.pl?gene=SLC25A36","GeneCards")</f>
        <v>GeneCards</v>
      </c>
      <c r="D1510" s="1" t="str">
        <f>HYPERLINK("http://genome-euro.ucsc.edu/cgi-bin/hgTracks?position=201918_at","UCSC")</f>
        <v>UCSC</v>
      </c>
      <c r="E1510" s="1" t="str">
        <f>HYPERLINK("http://www.ncbi.nlm.nih.gov/gene/?term=SLC25A36","NCBI")</f>
        <v>NCBI</v>
      </c>
      <c r="F1510">
        <v>4.4000000000000003E-3</v>
      </c>
      <c r="G1510">
        <v>4.9000000000000002E-2</v>
      </c>
      <c r="H1510" s="1" t="str">
        <f>HYPERLINK("http://www.weizmann.ac.il/complex/compphys/software/geview/data/figures/201918_at.png","Figure")</f>
        <v>Figure</v>
      </c>
      <c r="I1510">
        <v>0.94299999999999995</v>
      </c>
      <c r="J1510">
        <v>0.94</v>
      </c>
      <c r="K1510">
        <v>0.56100000000000005</v>
      </c>
      <c r="L1510">
        <v>7.0000000000000001E-3</v>
      </c>
      <c r="M1510">
        <v>0.59399999999999997</v>
      </c>
      <c r="N1510">
        <v>2.1000000000000001E-2</v>
      </c>
    </row>
    <row r="1511" spans="1:14" x14ac:dyDescent="0.25">
      <c r="A1511" t="s">
        <v>2814</v>
      </c>
      <c r="B1511" t="s">
        <v>1485</v>
      </c>
      <c r="C1511" s="1" t="str">
        <f>HYPERLINK("http://www.genecards.org/cgi-bin/carddisp.pl?gene=CUL4B","GeneCards")</f>
        <v>GeneCards</v>
      </c>
      <c r="D1511" s="1" t="str">
        <f>HYPERLINK("http://genome-euro.ucsc.edu/cgi-bin/hgTracks?position=202213_s_at","UCSC")</f>
        <v>UCSC</v>
      </c>
      <c r="E1511" s="1" t="str">
        <f>HYPERLINK("http://www.ncbi.nlm.nih.gov/gene/?term=CUL4B","NCBI")</f>
        <v>NCBI</v>
      </c>
      <c r="F1511">
        <v>4.4000000000000003E-3</v>
      </c>
      <c r="G1511">
        <v>4.9000000000000002E-2</v>
      </c>
      <c r="H1511" s="1" t="str">
        <f>HYPERLINK("http://www.weizmann.ac.il/complex/compphys/software/geview/data/figures/202213_s_at.png","Figure")</f>
        <v>Figure</v>
      </c>
      <c r="I1511">
        <v>0.52100000000000002</v>
      </c>
      <c r="J1511">
        <v>4.0000000000000001E-3</v>
      </c>
      <c r="K1511">
        <v>0.66300000000000003</v>
      </c>
      <c r="L1511">
        <v>3.2000000000000001E-2</v>
      </c>
      <c r="M1511">
        <v>1.27</v>
      </c>
      <c r="N1511">
        <v>0.28999999999999998</v>
      </c>
    </row>
    <row r="1512" spans="1:14" x14ac:dyDescent="0.25">
      <c r="A1512" t="s">
        <v>2815</v>
      </c>
      <c r="B1512" t="s">
        <v>2816</v>
      </c>
      <c r="C1512" s="1" t="str">
        <f>HYPERLINK("http://www.genecards.org/cgi-bin/carddisp.pl?gene=BRF1","GeneCards")</f>
        <v>GeneCards</v>
      </c>
      <c r="D1512" s="1" t="str">
        <f>HYPERLINK("http://genome-euro.ucsc.edu/cgi-bin/hgTracks?position=215676_at","UCSC")</f>
        <v>UCSC</v>
      </c>
      <c r="E1512" s="1" t="str">
        <f>HYPERLINK("http://www.ncbi.nlm.nih.gov/gene/?term=BRF1","NCBI")</f>
        <v>NCBI</v>
      </c>
      <c r="F1512">
        <v>4.4000000000000003E-3</v>
      </c>
      <c r="G1512">
        <v>4.9000000000000002E-2</v>
      </c>
      <c r="H1512" s="1" t="str">
        <f>HYPERLINK("http://www.weizmann.ac.il/complex/compphys/software/geview/data/figures/215676_at.png","Figure")</f>
        <v>Figure</v>
      </c>
      <c r="I1512">
        <v>1.29</v>
      </c>
      <c r="J1512">
        <v>3.8999999999999998E-3</v>
      </c>
      <c r="K1512">
        <v>1.07</v>
      </c>
      <c r="L1512">
        <v>0.45</v>
      </c>
      <c r="M1512">
        <v>0.83</v>
      </c>
      <c r="N1512">
        <v>0.02</v>
      </c>
    </row>
    <row r="1513" spans="1:14" x14ac:dyDescent="0.25">
      <c r="A1513" t="s">
        <v>2817</v>
      </c>
      <c r="B1513" t="s">
        <v>2818</v>
      </c>
      <c r="C1513" s="1" t="str">
        <f>HYPERLINK("http://www.genecards.org/cgi-bin/carddisp.pl?gene=ACCN1","GeneCards")</f>
        <v>GeneCards</v>
      </c>
      <c r="D1513" s="1" t="str">
        <f>HYPERLINK("http://genome-euro.ucsc.edu/cgi-bin/hgTracks?position=206690_at","UCSC")</f>
        <v>UCSC</v>
      </c>
      <c r="E1513" s="1" t="str">
        <f>HYPERLINK("http://www.ncbi.nlm.nih.gov/gene/?term=ACCN1","NCBI")</f>
        <v>NCBI</v>
      </c>
      <c r="F1513">
        <v>4.4000000000000003E-3</v>
      </c>
      <c r="G1513">
        <v>4.9000000000000002E-2</v>
      </c>
      <c r="H1513" s="1" t="str">
        <f>HYPERLINK("http://www.weizmann.ac.il/complex/compphys/software/geview/data/figures/206690_at.png","Figure")</f>
        <v>Figure</v>
      </c>
      <c r="I1513">
        <v>1.27</v>
      </c>
      <c r="J1513">
        <v>2.3E-2</v>
      </c>
      <c r="K1513">
        <v>1.31</v>
      </c>
      <c r="L1513">
        <v>4.5999999999999999E-3</v>
      </c>
      <c r="M1513">
        <v>1.03</v>
      </c>
      <c r="N1513">
        <v>0.92</v>
      </c>
    </row>
    <row r="1514" spans="1:14" x14ac:dyDescent="0.25">
      <c r="A1514" t="s">
        <v>2819</v>
      </c>
      <c r="B1514" t="s">
        <v>2820</v>
      </c>
      <c r="C1514" s="1" t="str">
        <f>HYPERLINK("http://www.genecards.org/cgi-bin/carddisp.pl?gene=NUDT4","GeneCards")</f>
        <v>GeneCards</v>
      </c>
      <c r="D1514" s="1" t="str">
        <f>HYPERLINK("http://genome-euro.ucsc.edu/cgi-bin/hgTracks?position=212183_at","UCSC")</f>
        <v>UCSC</v>
      </c>
      <c r="E1514" s="1" t="str">
        <f>HYPERLINK("http://www.ncbi.nlm.nih.gov/gene/?term=NUDT4","NCBI")</f>
        <v>NCBI</v>
      </c>
      <c r="F1514">
        <v>4.4000000000000003E-3</v>
      </c>
      <c r="G1514">
        <v>4.9000000000000002E-2</v>
      </c>
      <c r="H1514" s="1" t="str">
        <f>HYPERLINK("http://www.weizmann.ac.il/complex/compphys/software/geview/data/figures/212183_at.png","Figure")</f>
        <v>Figure</v>
      </c>
      <c r="I1514">
        <v>0.79600000000000004</v>
      </c>
      <c r="J1514">
        <v>0.2</v>
      </c>
      <c r="K1514">
        <v>0.63700000000000001</v>
      </c>
      <c r="L1514">
        <v>3.3E-3</v>
      </c>
      <c r="M1514">
        <v>0.80100000000000005</v>
      </c>
      <c r="N1514">
        <v>0.18</v>
      </c>
    </row>
    <row r="1515" spans="1:14" x14ac:dyDescent="0.25">
      <c r="A1515" t="s">
        <v>2821</v>
      </c>
      <c r="B1515" t="s">
        <v>2822</v>
      </c>
      <c r="C1515" s="1" t="str">
        <f>HYPERLINK("http://www.genecards.org/cgi-bin/carddisp.pl?gene=INPPL1","GeneCards")</f>
        <v>GeneCards</v>
      </c>
      <c r="D1515" s="1" t="str">
        <f>HYPERLINK("http://genome-euro.ucsc.edu/cgi-bin/hgTracks?position=201598_s_at","UCSC")</f>
        <v>UCSC</v>
      </c>
      <c r="E1515" s="1" t="str">
        <f>HYPERLINK("http://www.ncbi.nlm.nih.gov/gene/?term=INPPL1","NCBI")</f>
        <v>NCBI</v>
      </c>
      <c r="F1515">
        <v>4.4000000000000003E-3</v>
      </c>
      <c r="G1515">
        <v>4.9000000000000002E-2</v>
      </c>
      <c r="H1515" s="1" t="str">
        <f>HYPERLINK("http://www.weizmann.ac.il/complex/compphys/software/geview/data/figures/201598_s_at.png","Figure")</f>
        <v>Figure</v>
      </c>
      <c r="I1515">
        <v>1.34</v>
      </c>
      <c r="J1515">
        <v>5.7999999999999996E-3</v>
      </c>
      <c r="K1515">
        <v>1.04</v>
      </c>
      <c r="L1515">
        <v>0.84</v>
      </c>
      <c r="M1515">
        <v>0.77300000000000002</v>
      </c>
      <c r="N1515">
        <v>9.4000000000000004E-3</v>
      </c>
    </row>
    <row r="1516" spans="1:14" x14ac:dyDescent="0.25">
      <c r="A1516" t="s">
        <v>2823</v>
      </c>
      <c r="B1516" t="s">
        <v>2824</v>
      </c>
      <c r="C1516" s="1" t="str">
        <f>HYPERLINK("http://www.genecards.org/cgi-bin/carddisp.pl?gene=SV2A","GeneCards")</f>
        <v>GeneCards</v>
      </c>
      <c r="D1516" s="1" t="str">
        <f>HYPERLINK("http://genome-euro.ucsc.edu/cgi-bin/hgTracks?position=203069_at","UCSC")</f>
        <v>UCSC</v>
      </c>
      <c r="E1516" s="1" t="str">
        <f>HYPERLINK("http://www.ncbi.nlm.nih.gov/gene/?term=SV2A","NCBI")</f>
        <v>NCBI</v>
      </c>
      <c r="F1516">
        <v>4.4000000000000003E-3</v>
      </c>
      <c r="G1516">
        <v>4.9000000000000002E-2</v>
      </c>
      <c r="H1516" s="1" t="str">
        <f>HYPERLINK("http://www.weizmann.ac.il/complex/compphys/software/geview/data/figures/203069_at.png","Figure")</f>
        <v>Figure</v>
      </c>
      <c r="I1516">
        <v>0.745</v>
      </c>
      <c r="J1516">
        <v>0.18</v>
      </c>
      <c r="K1516">
        <v>1.35</v>
      </c>
      <c r="L1516">
        <v>0.11</v>
      </c>
      <c r="M1516">
        <v>1.81</v>
      </c>
      <c r="N1516">
        <v>3.5999999999999999E-3</v>
      </c>
    </row>
    <row r="1517" spans="1:14" x14ac:dyDescent="0.25">
      <c r="A1517" t="s">
        <v>2825</v>
      </c>
      <c r="B1517" t="s">
        <v>2826</v>
      </c>
      <c r="C1517" s="1" t="str">
        <f>HYPERLINK("http://www.genecards.org/cgi-bin/carddisp.pl?gene=LOC100291670","GeneCards")</f>
        <v>GeneCards</v>
      </c>
      <c r="D1517" s="1" t="str">
        <f>HYPERLINK("http://genome-euro.ucsc.edu/cgi-bin/hgTracks?position=214125_s_at","UCSC")</f>
        <v>UCSC</v>
      </c>
      <c r="E1517" s="1" t="str">
        <f>HYPERLINK("http://www.ncbi.nlm.nih.gov/gene/?term=LOC100291670","NCBI")</f>
        <v>NCBI</v>
      </c>
      <c r="F1517">
        <v>4.4000000000000003E-3</v>
      </c>
      <c r="G1517">
        <v>4.9000000000000002E-2</v>
      </c>
      <c r="H1517" s="1" t="str">
        <f>HYPERLINK("http://www.weizmann.ac.il/complex/compphys/software/geview/data/figures/214125_s_at.png","Figure")</f>
        <v>Figure</v>
      </c>
      <c r="I1517">
        <v>1.52</v>
      </c>
      <c r="J1517">
        <v>3.8E-3</v>
      </c>
      <c r="K1517">
        <v>1.1299999999999999</v>
      </c>
      <c r="L1517">
        <v>0.4</v>
      </c>
      <c r="M1517">
        <v>0.74299999999999999</v>
      </c>
      <c r="N1517">
        <v>2.3E-2</v>
      </c>
    </row>
    <row r="1518" spans="1:14" x14ac:dyDescent="0.25">
      <c r="A1518" t="s">
        <v>2827</v>
      </c>
      <c r="B1518" t="s">
        <v>2828</v>
      </c>
      <c r="C1518" s="1" t="str">
        <f>HYPERLINK("http://www.genecards.org/cgi-bin/carddisp.pl?gene=HJURP","GeneCards")</f>
        <v>GeneCards</v>
      </c>
      <c r="D1518" s="1" t="str">
        <f>HYPERLINK("http://genome-euro.ucsc.edu/cgi-bin/hgTracks?position=218726_at","UCSC")</f>
        <v>UCSC</v>
      </c>
      <c r="E1518" s="1" t="str">
        <f>HYPERLINK("http://www.ncbi.nlm.nih.gov/gene/?term=HJURP","NCBI")</f>
        <v>NCBI</v>
      </c>
      <c r="F1518">
        <v>4.4000000000000003E-3</v>
      </c>
      <c r="G1518">
        <v>4.9000000000000002E-2</v>
      </c>
      <c r="H1518" s="1" t="str">
        <f>HYPERLINK("http://www.weizmann.ac.il/complex/compphys/software/geview/data/figures/218726_at.png","Figure")</f>
        <v>Figure</v>
      </c>
      <c r="I1518">
        <v>1.47</v>
      </c>
      <c r="J1518">
        <v>4.7000000000000002E-3</v>
      </c>
      <c r="K1518">
        <v>1.31</v>
      </c>
      <c r="L1518">
        <v>2.1000000000000001E-2</v>
      </c>
      <c r="M1518">
        <v>0.88800000000000001</v>
      </c>
      <c r="N1518">
        <v>0.42</v>
      </c>
    </row>
    <row r="1519" spans="1:14" x14ac:dyDescent="0.25">
      <c r="A1519" t="s">
        <v>2829</v>
      </c>
      <c r="B1519" t="s">
        <v>1491</v>
      </c>
      <c r="C1519" s="1" t="str">
        <f>HYPERLINK("http://www.genecards.org/cgi-bin/carddisp.pl?gene=IDI1","GeneCards")</f>
        <v>GeneCards</v>
      </c>
      <c r="D1519" s="1" t="str">
        <f>HYPERLINK("http://genome-euro.ucsc.edu/cgi-bin/hgTracks?position=208881_x_at","UCSC")</f>
        <v>UCSC</v>
      </c>
      <c r="E1519" s="1" t="str">
        <f>HYPERLINK("http://www.ncbi.nlm.nih.gov/gene/?term=IDI1","NCBI")</f>
        <v>NCBI</v>
      </c>
      <c r="F1519">
        <v>4.4000000000000003E-3</v>
      </c>
      <c r="G1519">
        <v>4.9000000000000002E-2</v>
      </c>
      <c r="H1519" s="1" t="str">
        <f>HYPERLINK("http://www.weizmann.ac.il/complex/compphys/software/geview/data/figures/208881_x_at.png","Figure")</f>
        <v>Figure</v>
      </c>
      <c r="I1519">
        <v>1.21</v>
      </c>
      <c r="J1519">
        <v>0.73</v>
      </c>
      <c r="K1519">
        <v>0.51200000000000001</v>
      </c>
      <c r="L1519">
        <v>2.1999999999999999E-2</v>
      </c>
      <c r="M1519">
        <v>0.42299999999999999</v>
      </c>
      <c r="N1519">
        <v>6.8999999999999999E-3</v>
      </c>
    </row>
    <row r="1520" spans="1:14" x14ac:dyDescent="0.25">
      <c r="A1520" t="s">
        <v>2830</v>
      </c>
      <c r="B1520" t="s">
        <v>2831</v>
      </c>
      <c r="C1520" s="1" t="str">
        <f>HYPERLINK("http://www.genecards.org/cgi-bin/carddisp.pl?gene=AMBRA1","GeneCards")</f>
        <v>GeneCards</v>
      </c>
      <c r="D1520" s="1" t="str">
        <f>HYPERLINK("http://genome-euro.ucsc.edu/cgi-bin/hgTracks?position=219141_s_at","UCSC")</f>
        <v>UCSC</v>
      </c>
      <c r="E1520" s="1" t="str">
        <f>HYPERLINK("http://www.ncbi.nlm.nih.gov/gene/?term=AMBRA1","NCBI")</f>
        <v>NCBI</v>
      </c>
      <c r="F1520">
        <v>4.4000000000000003E-3</v>
      </c>
      <c r="G1520">
        <v>4.9000000000000002E-2</v>
      </c>
      <c r="H1520" s="1" t="str">
        <f>HYPERLINK("http://www.weizmann.ac.il/complex/compphys/software/geview/data/figures/219141_s_at.png","Figure")</f>
        <v>Figure</v>
      </c>
      <c r="I1520">
        <v>1.17</v>
      </c>
      <c r="J1520">
        <v>0.14000000000000001</v>
      </c>
      <c r="K1520">
        <v>0.875</v>
      </c>
      <c r="L1520">
        <v>0.15</v>
      </c>
      <c r="M1520">
        <v>0.749</v>
      </c>
      <c r="N1520">
        <v>3.3999999999999998E-3</v>
      </c>
    </row>
    <row r="1521" spans="1:14" x14ac:dyDescent="0.25">
      <c r="A1521" t="s">
        <v>2832</v>
      </c>
      <c r="B1521" t="s">
        <v>2833</v>
      </c>
      <c r="C1521" s="1" t="str">
        <f>HYPERLINK("http://www.genecards.org/cgi-bin/carddisp.pl?gene=SNX27","GeneCards")</f>
        <v>GeneCards</v>
      </c>
      <c r="D1521" s="1" t="str">
        <f>HYPERLINK("http://genome-euro.ucsc.edu/cgi-bin/hgTracks?position=221498_at","UCSC")</f>
        <v>UCSC</v>
      </c>
      <c r="E1521" s="1" t="str">
        <f>HYPERLINK("http://www.ncbi.nlm.nih.gov/gene/?term=SNX27","NCBI")</f>
        <v>NCBI</v>
      </c>
      <c r="F1521">
        <v>4.4000000000000003E-3</v>
      </c>
      <c r="G1521">
        <v>4.9000000000000002E-2</v>
      </c>
      <c r="H1521" s="1" t="str">
        <f>HYPERLINK("http://www.weizmann.ac.il/complex/compphys/software/geview/data/figures/221498_at.png","Figure")</f>
        <v>Figure</v>
      </c>
      <c r="I1521">
        <v>0.75</v>
      </c>
      <c r="J1521">
        <v>2.1999999999999999E-2</v>
      </c>
      <c r="K1521">
        <v>1.07</v>
      </c>
      <c r="L1521">
        <v>0.72</v>
      </c>
      <c r="M1521">
        <v>1.42</v>
      </c>
      <c r="N1521">
        <v>3.8E-3</v>
      </c>
    </row>
    <row r="1522" spans="1:14" x14ac:dyDescent="0.25">
      <c r="A1522" t="s">
        <v>2834</v>
      </c>
      <c r="B1522" t="s">
        <v>2835</v>
      </c>
      <c r="C1522" s="1" t="str">
        <f>HYPERLINK("http://www.genecards.org/cgi-bin/carddisp.pl?gene=NHP2","GeneCards")</f>
        <v>GeneCards</v>
      </c>
      <c r="D1522" s="1" t="str">
        <f>HYPERLINK("http://genome-euro.ucsc.edu/cgi-bin/hgTracks?position=209104_s_at","UCSC")</f>
        <v>UCSC</v>
      </c>
      <c r="E1522" s="1" t="str">
        <f>HYPERLINK("http://www.ncbi.nlm.nih.gov/gene/?term=NHP2","NCBI")</f>
        <v>NCBI</v>
      </c>
      <c r="F1522">
        <v>4.4000000000000003E-3</v>
      </c>
      <c r="G1522">
        <v>4.9000000000000002E-2</v>
      </c>
      <c r="H1522" s="1" t="str">
        <f>HYPERLINK("http://www.weizmann.ac.il/complex/compphys/software/geview/data/figures/209104_s_at.png","Figure")</f>
        <v>Figure</v>
      </c>
      <c r="I1522">
        <v>1.26</v>
      </c>
      <c r="J1522">
        <v>0.49</v>
      </c>
      <c r="K1522">
        <v>2</v>
      </c>
      <c r="L1522">
        <v>4.1000000000000003E-3</v>
      </c>
      <c r="M1522">
        <v>1.58</v>
      </c>
      <c r="N1522">
        <v>6.7000000000000004E-2</v>
      </c>
    </row>
    <row r="1523" spans="1:14" x14ac:dyDescent="0.25">
      <c r="A1523" t="s">
        <v>2836</v>
      </c>
      <c r="B1523" t="s">
        <v>2837</v>
      </c>
      <c r="C1523" s="1" t="str">
        <f>HYPERLINK("http://www.genecards.org/cgi-bin/carddisp.pl?gene=PPP1R14B","GeneCards")</f>
        <v>GeneCards</v>
      </c>
      <c r="D1523" s="1" t="str">
        <f>HYPERLINK("http://genome-euro.ucsc.edu/cgi-bin/hgTracks?position=212680_x_at","UCSC")</f>
        <v>UCSC</v>
      </c>
      <c r="E1523" s="1" t="str">
        <f>HYPERLINK("http://www.ncbi.nlm.nih.gov/gene/?term=PPP1R14B","NCBI")</f>
        <v>NCBI</v>
      </c>
      <c r="F1523">
        <v>4.4000000000000003E-3</v>
      </c>
      <c r="G1523">
        <v>4.9000000000000002E-2</v>
      </c>
      <c r="H1523" s="1" t="str">
        <f>HYPERLINK("http://www.weizmann.ac.il/complex/compphys/software/geview/data/figures/212680_x_at.png","Figure")</f>
        <v>Figure</v>
      </c>
      <c r="I1523">
        <v>1.41</v>
      </c>
      <c r="J1523">
        <v>0.05</v>
      </c>
      <c r="K1523">
        <v>1.59</v>
      </c>
      <c r="L1523">
        <v>3.5999999999999999E-3</v>
      </c>
      <c r="M1523">
        <v>1.1200000000000001</v>
      </c>
      <c r="N1523">
        <v>0.61</v>
      </c>
    </row>
    <row r="1524" spans="1:14" x14ac:dyDescent="0.25">
      <c r="A1524" t="s">
        <v>2838</v>
      </c>
      <c r="B1524" t="s">
        <v>2839</v>
      </c>
      <c r="C1524" s="1" t="str">
        <f>HYPERLINK("http://www.genecards.org/cgi-bin/carddisp.pl?gene=CASP8","GeneCards")</f>
        <v>GeneCards</v>
      </c>
      <c r="D1524" s="1" t="str">
        <f>HYPERLINK("http://genome-euro.ucsc.edu/cgi-bin/hgTracks?position=213373_s_at","UCSC")</f>
        <v>UCSC</v>
      </c>
      <c r="E1524" s="1" t="str">
        <f>HYPERLINK("http://www.ncbi.nlm.nih.gov/gene/?term=CASP8","NCBI")</f>
        <v>NCBI</v>
      </c>
      <c r="F1524">
        <v>4.4000000000000003E-3</v>
      </c>
      <c r="G1524">
        <v>4.9000000000000002E-2</v>
      </c>
      <c r="H1524" s="1" t="str">
        <f>HYPERLINK("http://www.weizmann.ac.il/complex/compphys/software/geview/data/figures/213373_s_at.png","Figure")</f>
        <v>Figure</v>
      </c>
      <c r="I1524">
        <v>0.626</v>
      </c>
      <c r="J1524">
        <v>0.26</v>
      </c>
      <c r="K1524">
        <v>0.36199999999999999</v>
      </c>
      <c r="L1524">
        <v>3.3999999999999998E-3</v>
      </c>
      <c r="M1524">
        <v>0.57799999999999996</v>
      </c>
      <c r="N1524">
        <v>0.14000000000000001</v>
      </c>
    </row>
    <row r="1525" spans="1:14" x14ac:dyDescent="0.25">
      <c r="A1525" t="s">
        <v>2840</v>
      </c>
      <c r="B1525" t="s">
        <v>2841</v>
      </c>
      <c r="C1525" s="1" t="str">
        <f>HYPERLINK("http://www.genecards.org/cgi-bin/carddisp.pl?gene=SLK","GeneCards")</f>
        <v>GeneCards</v>
      </c>
      <c r="D1525" s="1" t="str">
        <f>HYPERLINK("http://genome-euro.ucsc.edu/cgi-bin/hgTracks?position=206875_s_at","UCSC")</f>
        <v>UCSC</v>
      </c>
      <c r="E1525" s="1" t="str">
        <f>HYPERLINK("http://www.ncbi.nlm.nih.gov/gene/?term=SLK","NCBI")</f>
        <v>NCBI</v>
      </c>
      <c r="F1525">
        <v>4.4000000000000003E-3</v>
      </c>
      <c r="G1525">
        <v>0.05</v>
      </c>
      <c r="H1525" s="1" t="str">
        <f>HYPERLINK("http://www.weizmann.ac.il/complex/compphys/software/geview/data/figures/206875_s_at.png","Figure")</f>
        <v>Figure</v>
      </c>
      <c r="I1525">
        <v>0.35499999999999998</v>
      </c>
      <c r="J1525">
        <v>9.1999999999999998E-3</v>
      </c>
      <c r="K1525">
        <v>0.40100000000000002</v>
      </c>
      <c r="L1525">
        <v>8.6E-3</v>
      </c>
      <c r="M1525">
        <v>1.1299999999999999</v>
      </c>
      <c r="N1525">
        <v>0.9</v>
      </c>
    </row>
    <row r="1526" spans="1:14" x14ac:dyDescent="0.25">
      <c r="A1526" t="s">
        <v>2842</v>
      </c>
      <c r="B1526" t="s">
        <v>2843</v>
      </c>
      <c r="C1526" s="1" t="str">
        <f>HYPERLINK("http://www.genecards.org/cgi-bin/carddisp.pl?gene=SLC27A2","GeneCards")</f>
        <v>GeneCards</v>
      </c>
      <c r="D1526" s="1" t="str">
        <f>HYPERLINK("http://genome-euro.ucsc.edu/cgi-bin/hgTracks?position=205769_at","UCSC")</f>
        <v>UCSC</v>
      </c>
      <c r="E1526" s="1" t="str">
        <f>HYPERLINK("http://www.ncbi.nlm.nih.gov/gene/?term=SLC27A2","NCBI")</f>
        <v>NCBI</v>
      </c>
      <c r="F1526">
        <v>4.4000000000000003E-3</v>
      </c>
      <c r="G1526">
        <v>0.05</v>
      </c>
      <c r="H1526" s="1" t="str">
        <f>HYPERLINK("http://www.weizmann.ac.il/complex/compphys/software/geview/data/figures/205769_at.png","Figure")</f>
        <v>Figure</v>
      </c>
      <c r="I1526">
        <v>1.82</v>
      </c>
      <c r="J1526">
        <v>1.4999999999999999E-2</v>
      </c>
      <c r="K1526">
        <v>1.82</v>
      </c>
      <c r="L1526">
        <v>6.0000000000000001E-3</v>
      </c>
      <c r="M1526">
        <v>1</v>
      </c>
      <c r="N1526">
        <v>1</v>
      </c>
    </row>
    <row r="1527" spans="1:14" x14ac:dyDescent="0.25">
      <c r="A1527" t="s">
        <v>2844</v>
      </c>
      <c r="B1527" t="s">
        <v>2845</v>
      </c>
      <c r="C1527" s="1" t="str">
        <f>HYPERLINK("http://www.genecards.org/cgi-bin/carddisp.pl?gene=DSCR3","GeneCards")</f>
        <v>GeneCards</v>
      </c>
      <c r="D1527" s="1" t="str">
        <f>HYPERLINK("http://genome-euro.ucsc.edu/cgi-bin/hgTracks?position=203635_at","UCSC")</f>
        <v>UCSC</v>
      </c>
      <c r="E1527" s="1" t="str">
        <f>HYPERLINK("http://www.ncbi.nlm.nih.gov/gene/?term=DSCR3","NCBI")</f>
        <v>NCBI</v>
      </c>
      <c r="F1527">
        <v>4.4999999999999997E-3</v>
      </c>
      <c r="G1527">
        <v>0.05</v>
      </c>
      <c r="H1527" s="1" t="str">
        <f>HYPERLINK("http://www.weizmann.ac.il/complex/compphys/software/geview/data/figures/203635_at.png","Figure")</f>
        <v>Figure</v>
      </c>
      <c r="I1527">
        <v>0.61399999999999999</v>
      </c>
      <c r="J1527">
        <v>1.4E-2</v>
      </c>
      <c r="K1527">
        <v>1.05</v>
      </c>
      <c r="L1527">
        <v>0.92</v>
      </c>
      <c r="M1527">
        <v>1.71</v>
      </c>
      <c r="N1527">
        <v>4.5999999999999999E-3</v>
      </c>
    </row>
    <row r="1528" spans="1:14" x14ac:dyDescent="0.25">
      <c r="A1528" t="s">
        <v>2846</v>
      </c>
      <c r="B1528" t="s">
        <v>1776</v>
      </c>
      <c r="C1528" s="1" t="str">
        <f>HYPERLINK("http://www.genecards.org/cgi-bin/carddisp.pl?gene=DDX3X","GeneCards")</f>
        <v>GeneCards</v>
      </c>
      <c r="D1528" s="1" t="str">
        <f>HYPERLINK("http://genome-euro.ucsc.edu/cgi-bin/hgTracks?position=201210_at","UCSC")</f>
        <v>UCSC</v>
      </c>
      <c r="E1528" s="1" t="str">
        <f>HYPERLINK("http://www.ncbi.nlm.nih.gov/gene/?term=DDX3X","NCBI")</f>
        <v>NCBI</v>
      </c>
      <c r="F1528">
        <v>4.4999999999999997E-3</v>
      </c>
      <c r="G1528">
        <v>0.05</v>
      </c>
      <c r="H1528" s="1" t="str">
        <f>HYPERLINK("http://www.weizmann.ac.il/complex/compphys/software/geview/data/figures/201210_at.png","Figure")</f>
        <v>Figure</v>
      </c>
      <c r="I1528">
        <v>0.44700000000000001</v>
      </c>
      <c r="J1528">
        <v>5.1000000000000004E-3</v>
      </c>
      <c r="K1528">
        <v>0.56299999999999994</v>
      </c>
      <c r="L1528">
        <v>1.9E-2</v>
      </c>
      <c r="M1528">
        <v>1.26</v>
      </c>
      <c r="N1528">
        <v>0.48</v>
      </c>
    </row>
    <row r="1529" spans="1:14" x14ac:dyDescent="0.25">
      <c r="A1529" t="s">
        <v>2847</v>
      </c>
      <c r="B1529" t="s">
        <v>2848</v>
      </c>
      <c r="C1529" s="1" t="str">
        <f>HYPERLINK("http://www.genecards.org/cgi-bin/carddisp.pl?gene=TNKS2","GeneCards")</f>
        <v>GeneCards</v>
      </c>
      <c r="D1529" s="1" t="str">
        <f>HYPERLINK("http://genome-euro.ucsc.edu/cgi-bin/hgTracks?position=218228_s_at","UCSC")</f>
        <v>UCSC</v>
      </c>
      <c r="E1529" s="1" t="str">
        <f>HYPERLINK("http://www.ncbi.nlm.nih.gov/gene/?term=TNKS2","NCBI")</f>
        <v>NCBI</v>
      </c>
      <c r="F1529">
        <v>4.4999999999999997E-3</v>
      </c>
      <c r="G1529">
        <v>0.05</v>
      </c>
      <c r="H1529" s="1" t="str">
        <f>HYPERLINK("http://www.weizmann.ac.il/complex/compphys/software/geview/data/figures/218228_s_at.png","Figure")</f>
        <v>Figure</v>
      </c>
      <c r="I1529">
        <v>0.47699999999999998</v>
      </c>
      <c r="J1529">
        <v>4.0000000000000001E-3</v>
      </c>
      <c r="K1529">
        <v>0.81599999999999995</v>
      </c>
      <c r="L1529">
        <v>0.44</v>
      </c>
      <c r="M1529">
        <v>1.71</v>
      </c>
      <c r="N1529">
        <v>2.1000000000000001E-2</v>
      </c>
    </row>
    <row r="1530" spans="1:14" x14ac:dyDescent="0.25">
      <c r="A1530" t="s">
        <v>2849</v>
      </c>
      <c r="B1530" t="s">
        <v>2850</v>
      </c>
      <c r="C1530" s="1" t="str">
        <f>HYPERLINK("http://www.genecards.org/cgi-bin/carddisp.pl?gene=GATA2","GeneCards")</f>
        <v>GeneCards</v>
      </c>
      <c r="D1530" s="1" t="str">
        <f>HYPERLINK("http://genome-euro.ucsc.edu/cgi-bin/hgTracks?position=209710_at","UCSC")</f>
        <v>UCSC</v>
      </c>
      <c r="E1530" s="1" t="str">
        <f>HYPERLINK("http://www.ncbi.nlm.nih.gov/gene/?term=GATA2","NCBI")</f>
        <v>NCBI</v>
      </c>
      <c r="F1530">
        <v>4.4999999999999997E-3</v>
      </c>
      <c r="G1530">
        <v>0.05</v>
      </c>
      <c r="H1530" s="1" t="str">
        <f>HYPERLINK("http://www.weizmann.ac.il/complex/compphys/software/geview/data/figures/209710_at.png","Figure")</f>
        <v>Figure</v>
      </c>
      <c r="I1530">
        <v>1.27</v>
      </c>
      <c r="J1530">
        <v>0.18</v>
      </c>
      <c r="K1530">
        <v>0.79</v>
      </c>
      <c r="L1530">
        <v>0.12</v>
      </c>
      <c r="M1530">
        <v>0.622</v>
      </c>
      <c r="N1530">
        <v>3.5999999999999999E-3</v>
      </c>
    </row>
    <row r="1531" spans="1:14" x14ac:dyDescent="0.25">
      <c r="A1531" t="s">
        <v>2851</v>
      </c>
      <c r="B1531" t="s">
        <v>2852</v>
      </c>
      <c r="C1531" s="1" t="str">
        <f>HYPERLINK("http://www.genecards.org/cgi-bin/carddisp.pl?gene=EIF3B","GeneCards")</f>
        <v>GeneCards</v>
      </c>
      <c r="D1531" s="1" t="str">
        <f>HYPERLINK("http://genome-euro.ucsc.edu/cgi-bin/hgTracks?position=211501_s_at","UCSC")</f>
        <v>UCSC</v>
      </c>
      <c r="E1531" s="1" t="str">
        <f>HYPERLINK("http://www.ncbi.nlm.nih.gov/gene/?term=EIF3B","NCBI")</f>
        <v>NCBI</v>
      </c>
      <c r="F1531">
        <v>4.4999999999999997E-3</v>
      </c>
      <c r="G1531">
        <v>0.05</v>
      </c>
      <c r="H1531" s="1" t="str">
        <f>HYPERLINK("http://www.weizmann.ac.il/complex/compphys/software/geview/data/figures/211501_s_at.png","Figure")</f>
        <v>Figure</v>
      </c>
      <c r="I1531">
        <v>1.02</v>
      </c>
      <c r="J1531">
        <v>0.98</v>
      </c>
      <c r="K1531">
        <v>1.31</v>
      </c>
      <c r="L1531">
        <v>8.0999999999999996E-3</v>
      </c>
      <c r="M1531">
        <v>1.29</v>
      </c>
      <c r="N1531">
        <v>1.7999999999999999E-2</v>
      </c>
    </row>
    <row r="1532" spans="1:14" x14ac:dyDescent="0.25">
      <c r="A1532" t="s">
        <v>2853</v>
      </c>
      <c r="B1532" t="s">
        <v>1095</v>
      </c>
      <c r="C1532" s="1" t="str">
        <f>HYPERLINK("http://www.genecards.org/cgi-bin/carddisp.pl?gene=PAPOLA","GeneCards")</f>
        <v>GeneCards</v>
      </c>
      <c r="D1532" s="1" t="str">
        <f>HYPERLINK("http://genome-euro.ucsc.edu/cgi-bin/hgTracks?position=212720_at","UCSC")</f>
        <v>UCSC</v>
      </c>
      <c r="E1532" s="1" t="str">
        <f>HYPERLINK("http://www.ncbi.nlm.nih.gov/gene/?term=PAPOLA","NCBI")</f>
        <v>NCBI</v>
      </c>
      <c r="F1532">
        <v>4.4999999999999997E-3</v>
      </c>
      <c r="G1532">
        <v>0.05</v>
      </c>
      <c r="H1532" s="1" t="str">
        <f>HYPERLINK("http://www.weizmann.ac.il/complex/compphys/software/geview/data/figures/212720_at.png","Figure")</f>
        <v>Figure</v>
      </c>
      <c r="I1532">
        <v>0.54800000000000004</v>
      </c>
      <c r="J1532">
        <v>7.4000000000000003E-3</v>
      </c>
      <c r="K1532">
        <v>0.96099999999999997</v>
      </c>
      <c r="L1532">
        <v>0.96</v>
      </c>
      <c r="M1532">
        <v>1.75</v>
      </c>
      <c r="N1532">
        <v>7.4999999999999997E-3</v>
      </c>
    </row>
    <row r="1533" spans="1:14" x14ac:dyDescent="0.25">
      <c r="A1533" t="s">
        <v>2854</v>
      </c>
      <c r="B1533" t="s">
        <v>2172</v>
      </c>
      <c r="C1533" s="1" t="str">
        <f>HYPERLINK("http://www.genecards.org/cgi-bin/carddisp.pl?gene=MPZL1","GeneCards")</f>
        <v>GeneCards</v>
      </c>
      <c r="D1533" s="1" t="str">
        <f>HYPERLINK("http://genome-euro.ucsc.edu/cgi-bin/hgTracks?position=210594_x_at","UCSC")</f>
        <v>UCSC</v>
      </c>
      <c r="E1533" s="1" t="str">
        <f>HYPERLINK("http://www.ncbi.nlm.nih.gov/gene/?term=MPZL1","NCBI")</f>
        <v>NCBI</v>
      </c>
      <c r="F1533">
        <v>4.4999999999999997E-3</v>
      </c>
      <c r="G1533">
        <v>0.05</v>
      </c>
      <c r="H1533" s="1" t="str">
        <f>HYPERLINK("http://www.weizmann.ac.il/complex/compphys/software/geview/data/figures/210594_x_at.png","Figure")</f>
        <v>Figure</v>
      </c>
      <c r="I1533">
        <v>1.38</v>
      </c>
      <c r="J1533">
        <v>0.02</v>
      </c>
      <c r="K1533">
        <v>1.41</v>
      </c>
      <c r="L1533">
        <v>5.1000000000000004E-3</v>
      </c>
      <c r="M1533">
        <v>1.02</v>
      </c>
      <c r="N1533">
        <v>0.97</v>
      </c>
    </row>
    <row r="1534" spans="1:14" x14ac:dyDescent="0.25">
      <c r="A1534" t="s">
        <v>2855</v>
      </c>
      <c r="B1534" t="s">
        <v>2856</v>
      </c>
      <c r="C1534" s="1" t="str">
        <f>HYPERLINK("http://www.genecards.org/cgi-bin/carddisp.pl?gene=ASS1","GeneCards")</f>
        <v>GeneCards</v>
      </c>
      <c r="D1534" s="1" t="str">
        <f>HYPERLINK("http://genome-euro.ucsc.edu/cgi-bin/hgTracks?position=207076_s_at","UCSC")</f>
        <v>UCSC</v>
      </c>
      <c r="E1534" s="1" t="str">
        <f>HYPERLINK("http://www.ncbi.nlm.nih.gov/gene/?term=ASS1","NCBI")</f>
        <v>NCBI</v>
      </c>
      <c r="F1534">
        <v>4.4999999999999997E-3</v>
      </c>
      <c r="G1534">
        <v>0.05</v>
      </c>
      <c r="H1534" s="1" t="str">
        <f>HYPERLINK("http://www.weizmann.ac.il/complex/compphys/software/geview/data/figures/207076_s_at.png","Figure")</f>
        <v>Figure</v>
      </c>
      <c r="I1534">
        <v>1.18</v>
      </c>
      <c r="J1534">
        <v>0.19</v>
      </c>
      <c r="K1534">
        <v>1.37</v>
      </c>
      <c r="L1534">
        <v>3.3999999999999998E-3</v>
      </c>
      <c r="M1534">
        <v>1.1599999999999999</v>
      </c>
      <c r="N1534">
        <v>0.2</v>
      </c>
    </row>
    <row r="1535" spans="1:14" x14ac:dyDescent="0.25">
      <c r="A1535" t="s">
        <v>2857</v>
      </c>
      <c r="B1535" t="s">
        <v>2858</v>
      </c>
      <c r="C1535" s="1" t="str">
        <f>HYPERLINK("http://www.genecards.org/cgi-bin/carddisp.pl?gene=ID2","GeneCards")</f>
        <v>GeneCards</v>
      </c>
      <c r="D1535" s="1" t="str">
        <f>HYPERLINK("http://genome-euro.ucsc.edu/cgi-bin/hgTracks?position=201565_s_at","UCSC")</f>
        <v>UCSC</v>
      </c>
      <c r="E1535" s="1" t="str">
        <f>HYPERLINK("http://www.ncbi.nlm.nih.gov/gene/?term=ID2","NCBI")</f>
        <v>NCBI</v>
      </c>
      <c r="F1535">
        <v>4.4999999999999997E-3</v>
      </c>
      <c r="G1535">
        <v>0.05</v>
      </c>
      <c r="H1535" s="1" t="str">
        <f>HYPERLINK("http://www.weizmann.ac.il/complex/compphys/software/geview/data/figures/201565_s_at.png","Figure")</f>
        <v>Figure</v>
      </c>
      <c r="I1535">
        <v>0.29599999999999999</v>
      </c>
      <c r="J1535">
        <v>7.6E-3</v>
      </c>
      <c r="K1535">
        <v>0.36599999999999999</v>
      </c>
      <c r="L1535">
        <v>1.0999999999999999E-2</v>
      </c>
      <c r="M1535">
        <v>1.24</v>
      </c>
      <c r="N1535">
        <v>0.78</v>
      </c>
    </row>
    <row r="1536" spans="1:14" x14ac:dyDescent="0.25">
      <c r="A1536" t="s">
        <v>2859</v>
      </c>
      <c r="B1536" t="s">
        <v>2860</v>
      </c>
      <c r="C1536" s="1" t="str">
        <f>HYPERLINK("http://www.genecards.org/cgi-bin/carddisp.pl?gene=SNRNP27","GeneCards")</f>
        <v>GeneCards</v>
      </c>
      <c r="D1536" s="1" t="str">
        <f>HYPERLINK("http://genome-euro.ucsc.edu/cgi-bin/hgTracks?position=212440_at","UCSC")</f>
        <v>UCSC</v>
      </c>
      <c r="E1536" s="1" t="str">
        <f>HYPERLINK("http://www.ncbi.nlm.nih.gov/gene/?term=SNRNP27","NCBI")</f>
        <v>NCBI</v>
      </c>
      <c r="F1536">
        <v>4.4999999999999997E-3</v>
      </c>
      <c r="G1536">
        <v>0.05</v>
      </c>
      <c r="H1536" s="1" t="str">
        <f>HYPERLINK("http://www.weizmann.ac.il/complex/compphys/software/geview/data/figures/212440_at.png","Figure")</f>
        <v>Figure</v>
      </c>
      <c r="I1536">
        <v>1.27</v>
      </c>
      <c r="J1536">
        <v>0.2</v>
      </c>
      <c r="K1536">
        <v>0.77600000000000002</v>
      </c>
      <c r="L1536">
        <v>0.1</v>
      </c>
      <c r="M1536">
        <v>0.61399999999999999</v>
      </c>
      <c r="N1536">
        <v>3.8E-3</v>
      </c>
    </row>
    <row r="1537" spans="1:14" x14ac:dyDescent="0.25">
      <c r="A1537" t="s">
        <v>2861</v>
      </c>
      <c r="B1537" t="s">
        <v>2862</v>
      </c>
      <c r="C1537" s="1" t="str">
        <f>HYPERLINK("http://www.genecards.org/cgi-bin/carddisp.pl?gene=SLC15A2","GeneCards")</f>
        <v>GeneCards</v>
      </c>
      <c r="D1537" s="1" t="str">
        <f>HYPERLINK("http://genome-euro.ucsc.edu/cgi-bin/hgTracks?position=205317_s_at","UCSC")</f>
        <v>UCSC</v>
      </c>
      <c r="E1537" s="1" t="str">
        <f>HYPERLINK("http://www.ncbi.nlm.nih.gov/gene/?term=SLC15A2","NCBI")</f>
        <v>NCBI</v>
      </c>
      <c r="F1537">
        <v>4.4999999999999997E-3</v>
      </c>
      <c r="G1537">
        <v>0.05</v>
      </c>
      <c r="H1537" s="1" t="str">
        <f>HYPERLINK("http://www.weizmann.ac.il/complex/compphys/software/geview/data/figures/205317_s_at.png","Figure")</f>
        <v>Figure</v>
      </c>
      <c r="I1537">
        <v>1.27</v>
      </c>
      <c r="J1537">
        <v>3.2000000000000001E-2</v>
      </c>
      <c r="K1537">
        <v>1.34</v>
      </c>
      <c r="L1537">
        <v>4.1999999999999997E-3</v>
      </c>
      <c r="M1537">
        <v>1.05</v>
      </c>
      <c r="N1537">
        <v>0.81</v>
      </c>
    </row>
    <row r="1538" spans="1:14" x14ac:dyDescent="0.25">
      <c r="A1538" t="s">
        <v>2863</v>
      </c>
      <c r="B1538" t="s">
        <v>2864</v>
      </c>
      <c r="C1538" s="1" t="str">
        <f>HYPERLINK("http://www.genecards.org/cgi-bin/carddisp.pl?gene=GTF2B","GeneCards")</f>
        <v>GeneCards</v>
      </c>
      <c r="D1538" s="1" t="str">
        <f>HYPERLINK("http://genome-euro.ucsc.edu/cgi-bin/hgTracks?position=208066_s_at","UCSC")</f>
        <v>UCSC</v>
      </c>
      <c r="E1538" s="1" t="str">
        <f>HYPERLINK("http://www.ncbi.nlm.nih.gov/gene/?term=GTF2B","NCBI")</f>
        <v>NCBI</v>
      </c>
      <c r="F1538">
        <v>4.4999999999999997E-3</v>
      </c>
      <c r="G1538">
        <v>0.05</v>
      </c>
      <c r="H1538" s="1" t="str">
        <f>HYPERLINK("http://www.weizmann.ac.il/complex/compphys/software/geview/data/figures/208066_s_at.png","Figure")</f>
        <v>Figure</v>
      </c>
      <c r="I1538">
        <v>0.82599999999999996</v>
      </c>
      <c r="J1538">
        <v>0.49</v>
      </c>
      <c r="K1538">
        <v>0.56599999999999995</v>
      </c>
      <c r="L1538">
        <v>4.1999999999999997E-3</v>
      </c>
      <c r="M1538">
        <v>0.68500000000000005</v>
      </c>
      <c r="N1538">
        <v>6.8000000000000005E-2</v>
      </c>
    </row>
    <row r="1539" spans="1:14" x14ac:dyDescent="0.25">
      <c r="A1539" t="s">
        <v>2865</v>
      </c>
      <c r="B1539" t="s">
        <v>2866</v>
      </c>
      <c r="C1539" s="1" t="str">
        <f>HYPERLINK("http://www.genecards.org/cgi-bin/carddisp.pl?gene=RFX5","GeneCards")</f>
        <v>GeneCards</v>
      </c>
      <c r="D1539" s="1" t="str">
        <f>HYPERLINK("http://genome-euro.ucsc.edu/cgi-bin/hgTracks?position=202964_s_at","UCSC")</f>
        <v>UCSC</v>
      </c>
      <c r="E1539" s="1" t="str">
        <f>HYPERLINK("http://www.ncbi.nlm.nih.gov/gene/?term=RFX5","NCBI")</f>
        <v>NCBI</v>
      </c>
      <c r="F1539">
        <v>4.5999999999999999E-3</v>
      </c>
      <c r="G1539">
        <v>0.05</v>
      </c>
      <c r="H1539" s="1" t="str">
        <f>HYPERLINK("http://www.weizmann.ac.il/complex/compphys/software/geview/data/figures/202964_s_at.png","Figure")</f>
        <v>Figure</v>
      </c>
      <c r="I1539">
        <v>1.78</v>
      </c>
      <c r="J1539">
        <v>3.8E-3</v>
      </c>
      <c r="K1539">
        <v>1.4</v>
      </c>
      <c r="L1539">
        <v>4.5999999999999999E-2</v>
      </c>
      <c r="M1539">
        <v>0.78500000000000003</v>
      </c>
      <c r="N1539">
        <v>0.21</v>
      </c>
    </row>
    <row r="1540" spans="1:14" x14ac:dyDescent="0.25">
      <c r="A1540" t="s">
        <v>2867</v>
      </c>
      <c r="B1540" t="s">
        <v>2868</v>
      </c>
      <c r="C1540" s="1" t="str">
        <f>HYPERLINK("http://www.genecards.org/cgi-bin/carddisp.pl?gene=KDM2A","GeneCards")</f>
        <v>GeneCards</v>
      </c>
      <c r="D1540" s="1" t="str">
        <f>HYPERLINK("http://genome-euro.ucsc.edu/cgi-bin/hgTracks?position=208989_s_at","UCSC")</f>
        <v>UCSC</v>
      </c>
      <c r="E1540" s="1" t="str">
        <f>HYPERLINK("http://www.ncbi.nlm.nih.gov/gene/?term=KDM2A","NCBI")</f>
        <v>NCBI</v>
      </c>
      <c r="F1540">
        <v>4.5999999999999999E-3</v>
      </c>
      <c r="G1540">
        <v>0.05</v>
      </c>
      <c r="H1540" s="1" t="str">
        <f>HYPERLINK("http://www.weizmann.ac.il/complex/compphys/software/geview/data/figures/208989_s_at.png","Figure")</f>
        <v>Figure</v>
      </c>
      <c r="I1540">
        <v>1.46</v>
      </c>
      <c r="J1540">
        <v>9.9000000000000008E-3</v>
      </c>
      <c r="K1540">
        <v>0.998</v>
      </c>
      <c r="L1540">
        <v>1</v>
      </c>
      <c r="M1540">
        <v>0.68100000000000005</v>
      </c>
      <c r="N1540">
        <v>6.0000000000000001E-3</v>
      </c>
    </row>
    <row r="1541" spans="1:14" x14ac:dyDescent="0.25">
      <c r="A1541" t="s">
        <v>2869</v>
      </c>
      <c r="B1541" t="s">
        <v>2870</v>
      </c>
      <c r="C1541" s="1" t="str">
        <f>HYPERLINK("http://www.genecards.org/cgi-bin/carddisp.pl?gene=USH1C","GeneCards")</f>
        <v>GeneCards</v>
      </c>
      <c r="D1541" s="1" t="str">
        <f>HYPERLINK("http://genome-euro.ucsc.edu/cgi-bin/hgTracks?position=221173_at","UCSC")</f>
        <v>UCSC</v>
      </c>
      <c r="E1541" s="1" t="str">
        <f>HYPERLINK("http://www.ncbi.nlm.nih.gov/gene/?term=USH1C","NCBI")</f>
        <v>NCBI</v>
      </c>
      <c r="F1541">
        <v>4.5999999999999999E-3</v>
      </c>
      <c r="G1541">
        <v>0.05</v>
      </c>
      <c r="H1541" s="1" t="str">
        <f>HYPERLINK("http://www.weizmann.ac.il/complex/compphys/software/geview/data/figures/221173_at.png","Figure")</f>
        <v>Figure</v>
      </c>
      <c r="I1541">
        <v>1.0900000000000001</v>
      </c>
      <c r="J1541">
        <v>0.54</v>
      </c>
      <c r="K1541">
        <v>0.82699999999999996</v>
      </c>
      <c r="L1541">
        <v>3.4000000000000002E-2</v>
      </c>
      <c r="M1541">
        <v>0.76100000000000001</v>
      </c>
      <c r="N1541">
        <v>5.5999999999999999E-3</v>
      </c>
    </row>
    <row r="1542" spans="1:14" x14ac:dyDescent="0.25">
      <c r="A1542" t="s">
        <v>2871</v>
      </c>
      <c r="B1542" t="s">
        <v>2142</v>
      </c>
      <c r="C1542" s="1" t="str">
        <f>HYPERLINK("http://www.genecards.org/cgi-bin/carddisp.pl?gene=SNX3","GeneCards")</f>
        <v>GeneCards</v>
      </c>
      <c r="D1542" s="1" t="str">
        <f>HYPERLINK("http://genome-euro.ucsc.edu/cgi-bin/hgTracks?position=210648_x_at","UCSC")</f>
        <v>UCSC</v>
      </c>
      <c r="E1542" s="1" t="str">
        <f>HYPERLINK("http://www.ncbi.nlm.nih.gov/gene/?term=SNX3","NCBI")</f>
        <v>NCBI</v>
      </c>
      <c r="F1542">
        <v>4.5999999999999999E-3</v>
      </c>
      <c r="G1542">
        <v>0.05</v>
      </c>
      <c r="H1542" s="1" t="str">
        <f>HYPERLINK("http://www.weizmann.ac.il/complex/compphys/software/geview/data/figures/210648_x_at.png","Figure")</f>
        <v>Figure</v>
      </c>
      <c r="I1542">
        <v>0.48899999999999999</v>
      </c>
      <c r="J1542">
        <v>3.3999999999999998E-3</v>
      </c>
      <c r="K1542">
        <v>0.746</v>
      </c>
      <c r="L1542">
        <v>0.17</v>
      </c>
      <c r="M1542">
        <v>1.53</v>
      </c>
      <c r="N1542">
        <v>5.5E-2</v>
      </c>
    </row>
    <row r="1543" spans="1:14" x14ac:dyDescent="0.25">
      <c r="A1543" t="s">
        <v>2872</v>
      </c>
      <c r="B1543" t="s">
        <v>2873</v>
      </c>
      <c r="C1543" s="1" t="str">
        <f>HYPERLINK("http://www.genecards.org/cgi-bin/carddisp.pl?gene=ZBTB17","GeneCards")</f>
        <v>GeneCards</v>
      </c>
      <c r="D1543" s="1" t="str">
        <f>HYPERLINK("http://genome-euro.ucsc.edu/cgi-bin/hgTracks?position=203601_s_at","UCSC")</f>
        <v>UCSC</v>
      </c>
      <c r="E1543" s="1" t="str">
        <f>HYPERLINK("http://www.ncbi.nlm.nih.gov/gene/?term=ZBTB17","NCBI")</f>
        <v>NCBI</v>
      </c>
      <c r="F1543">
        <v>4.5999999999999999E-3</v>
      </c>
      <c r="G1543">
        <v>5.0999999999999997E-2</v>
      </c>
      <c r="H1543" s="1" t="str">
        <f>HYPERLINK("http://www.weizmann.ac.il/complex/compphys/software/geview/data/figures/203601_s_at.png","Figure")</f>
        <v>Figure</v>
      </c>
      <c r="I1543">
        <v>1.32</v>
      </c>
      <c r="J1543">
        <v>5.1000000000000004E-3</v>
      </c>
      <c r="K1543">
        <v>1.21</v>
      </c>
      <c r="L1543">
        <v>2.1000000000000001E-2</v>
      </c>
      <c r="M1543">
        <v>0.92100000000000004</v>
      </c>
      <c r="N1543">
        <v>0.45</v>
      </c>
    </row>
    <row r="1544" spans="1:14" x14ac:dyDescent="0.25">
      <c r="A1544" t="s">
        <v>2874</v>
      </c>
      <c r="B1544" t="s">
        <v>676</v>
      </c>
      <c r="C1544" s="1" t="str">
        <f>HYPERLINK("http://www.genecards.org/cgi-bin/carddisp.pl?gene=TTC3","GeneCards")</f>
        <v>GeneCards</v>
      </c>
      <c r="D1544" s="1" t="str">
        <f>HYPERLINK("http://genome-euro.ucsc.edu/cgi-bin/hgTracks?position=208664_s_at","UCSC")</f>
        <v>UCSC</v>
      </c>
      <c r="E1544" s="1" t="str">
        <f>HYPERLINK("http://www.ncbi.nlm.nih.gov/gene/?term=TTC3","NCBI")</f>
        <v>NCBI</v>
      </c>
      <c r="F1544">
        <v>4.5999999999999999E-3</v>
      </c>
      <c r="G1544">
        <v>5.0999999999999997E-2</v>
      </c>
      <c r="H1544" s="1" t="str">
        <f>HYPERLINK("http://www.weizmann.ac.il/complex/compphys/software/geview/data/figures/208664_s_at.png","Figure")</f>
        <v>Figure</v>
      </c>
      <c r="I1544">
        <v>0.71499999999999997</v>
      </c>
      <c r="J1544">
        <v>0.01</v>
      </c>
      <c r="K1544">
        <v>1.01</v>
      </c>
      <c r="L1544">
        <v>1</v>
      </c>
      <c r="M1544">
        <v>1.41</v>
      </c>
      <c r="N1544">
        <v>5.8999999999999999E-3</v>
      </c>
    </row>
    <row r="1545" spans="1:14" x14ac:dyDescent="0.25">
      <c r="A1545" t="s">
        <v>2875</v>
      </c>
      <c r="B1545" t="s">
        <v>2876</v>
      </c>
      <c r="C1545" s="1" t="str">
        <f>HYPERLINK("http://www.genecards.org/cgi-bin/carddisp.pl?gene=HN1L","GeneCards")</f>
        <v>GeneCards</v>
      </c>
      <c r="D1545" s="1" t="str">
        <f>HYPERLINK("http://genome-euro.ucsc.edu/cgi-bin/hgTracks?position=212115_at","UCSC")</f>
        <v>UCSC</v>
      </c>
      <c r="E1545" s="1" t="str">
        <f>HYPERLINK("http://www.ncbi.nlm.nih.gov/gene/?term=HN1L","NCBI")</f>
        <v>NCBI</v>
      </c>
      <c r="F1545">
        <v>4.5999999999999999E-3</v>
      </c>
      <c r="G1545">
        <v>5.0999999999999997E-2</v>
      </c>
      <c r="H1545" s="1" t="str">
        <f>HYPERLINK("http://www.weizmann.ac.il/complex/compphys/software/geview/data/figures/212115_at.png","Figure")</f>
        <v>Figure</v>
      </c>
      <c r="I1545">
        <v>1.38</v>
      </c>
      <c r="J1545">
        <v>0.28000000000000003</v>
      </c>
      <c r="K1545">
        <v>2.0499999999999998</v>
      </c>
      <c r="L1545">
        <v>3.5999999999999999E-3</v>
      </c>
      <c r="M1545">
        <v>1.48</v>
      </c>
      <c r="N1545">
        <v>0.13</v>
      </c>
    </row>
    <row r="1546" spans="1:14" x14ac:dyDescent="0.25">
      <c r="A1546" t="s">
        <v>2877</v>
      </c>
      <c r="B1546" t="s">
        <v>2878</v>
      </c>
      <c r="C1546" s="1" t="str">
        <f>HYPERLINK("http://www.genecards.org/cgi-bin/carddisp.pl?gene=PLXND1","GeneCards")</f>
        <v>GeneCards</v>
      </c>
      <c r="D1546" s="1" t="str">
        <f>HYPERLINK("http://genome-euro.ucsc.edu/cgi-bin/hgTracks?position=38671_at","UCSC")</f>
        <v>UCSC</v>
      </c>
      <c r="E1546" s="1" t="str">
        <f>HYPERLINK("http://www.ncbi.nlm.nih.gov/gene/?term=PLXND1","NCBI")</f>
        <v>NCBI</v>
      </c>
      <c r="F1546">
        <v>4.5999999999999999E-3</v>
      </c>
      <c r="G1546">
        <v>5.0999999999999997E-2</v>
      </c>
      <c r="H1546" s="1" t="str">
        <f>HYPERLINK("http://www.weizmann.ac.il/complex/compphys/software/geview/data/figures/38671_at.png","Figure")</f>
        <v>Figure</v>
      </c>
      <c r="I1546">
        <v>0.48599999999999999</v>
      </c>
      <c r="J1546">
        <v>3.3999999999999998E-3</v>
      </c>
      <c r="K1546">
        <v>0.69899999999999995</v>
      </c>
      <c r="L1546">
        <v>8.8999999999999996E-2</v>
      </c>
      <c r="M1546">
        <v>1.44</v>
      </c>
      <c r="N1546">
        <v>0.11</v>
      </c>
    </row>
    <row r="1547" spans="1:14" x14ac:dyDescent="0.25">
      <c r="A1547" t="s">
        <v>2879</v>
      </c>
      <c r="B1547" t="s">
        <v>2880</v>
      </c>
      <c r="C1547" s="1" t="str">
        <f>HYPERLINK("http://www.genecards.org/cgi-bin/carddisp.pl?gene=C3orf63","GeneCards")</f>
        <v>GeneCards</v>
      </c>
      <c r="D1547" s="1" t="str">
        <f>HYPERLINK("http://genome-euro.ucsc.edu/cgi-bin/hgTracks?position=209285_s_at","UCSC")</f>
        <v>UCSC</v>
      </c>
      <c r="E1547" s="1" t="str">
        <f>HYPERLINK("http://www.ncbi.nlm.nih.gov/gene/?term=C3orf63","NCBI")</f>
        <v>NCBI</v>
      </c>
      <c r="F1547">
        <v>4.5999999999999999E-3</v>
      </c>
      <c r="G1547">
        <v>5.0999999999999997E-2</v>
      </c>
      <c r="H1547" s="1" t="str">
        <f>HYPERLINK("http://www.weizmann.ac.il/complex/compphys/software/geview/data/figures/209285_s_at.png","Figure")</f>
        <v>Figure</v>
      </c>
      <c r="I1547">
        <v>0.32500000000000001</v>
      </c>
      <c r="J1547">
        <v>7.6E-3</v>
      </c>
      <c r="K1547">
        <v>0.92900000000000005</v>
      </c>
      <c r="L1547">
        <v>0.96</v>
      </c>
      <c r="M1547">
        <v>2.86</v>
      </c>
      <c r="N1547">
        <v>7.6E-3</v>
      </c>
    </row>
    <row r="1548" spans="1:14" x14ac:dyDescent="0.25">
      <c r="A1548" t="s">
        <v>2881</v>
      </c>
      <c r="B1548" t="s">
        <v>2882</v>
      </c>
      <c r="C1548" s="1" t="str">
        <f>HYPERLINK("http://www.genecards.org/cgi-bin/carddisp.pl?gene=ALAD","GeneCards")</f>
        <v>GeneCards</v>
      </c>
      <c r="D1548" s="1" t="str">
        <f>HYPERLINK("http://genome-euro.ucsc.edu/cgi-bin/hgTracks?position=218489_s_at","UCSC")</f>
        <v>UCSC</v>
      </c>
      <c r="E1548" s="1" t="str">
        <f>HYPERLINK("http://www.ncbi.nlm.nih.gov/gene/?term=ALAD","NCBI")</f>
        <v>NCBI</v>
      </c>
      <c r="F1548">
        <v>4.5999999999999999E-3</v>
      </c>
      <c r="G1548">
        <v>5.0999999999999997E-2</v>
      </c>
      <c r="H1548" s="1" t="str">
        <f>HYPERLINK("http://www.weizmann.ac.il/complex/compphys/software/geview/data/figures/218489_s_at.png","Figure")</f>
        <v>Figure</v>
      </c>
      <c r="I1548">
        <v>1.36</v>
      </c>
      <c r="J1548">
        <v>3.5999999999999999E-3</v>
      </c>
      <c r="K1548">
        <v>1.18</v>
      </c>
      <c r="L1548">
        <v>5.8999999999999997E-2</v>
      </c>
      <c r="M1548">
        <v>0.86899999999999999</v>
      </c>
      <c r="N1548">
        <v>0.16</v>
      </c>
    </row>
    <row r="1549" spans="1:14" x14ac:dyDescent="0.25">
      <c r="A1549" t="s">
        <v>2883</v>
      </c>
      <c r="B1549" t="s">
        <v>2884</v>
      </c>
      <c r="C1549" s="1" t="str">
        <f>HYPERLINK("http://www.genecards.org/cgi-bin/carddisp.pl?gene=LAPTM5","GeneCards")</f>
        <v>GeneCards</v>
      </c>
      <c r="D1549" s="1" t="str">
        <f>HYPERLINK("http://genome-euro.ucsc.edu/cgi-bin/hgTracks?position=201720_s_at","UCSC")</f>
        <v>UCSC</v>
      </c>
      <c r="E1549" s="1" t="str">
        <f>HYPERLINK("http://www.ncbi.nlm.nih.gov/gene/?term=LAPTM5","NCBI")</f>
        <v>NCBI</v>
      </c>
      <c r="F1549">
        <v>4.5999999999999999E-3</v>
      </c>
      <c r="G1549">
        <v>5.0999999999999997E-2</v>
      </c>
      <c r="H1549" s="1" t="str">
        <f>HYPERLINK("http://www.weizmann.ac.il/complex/compphys/software/geview/data/figures/201720_s_at.png","Figure")</f>
        <v>Figure</v>
      </c>
      <c r="I1549">
        <v>0.7</v>
      </c>
      <c r="J1549">
        <v>6.9000000000000006E-2</v>
      </c>
      <c r="K1549">
        <v>0.59799999999999998</v>
      </c>
      <c r="L1549">
        <v>3.5000000000000001E-3</v>
      </c>
      <c r="M1549">
        <v>0.85299999999999998</v>
      </c>
      <c r="N1549">
        <v>0.49</v>
      </c>
    </row>
    <row r="1550" spans="1:14" x14ac:dyDescent="0.25">
      <c r="A1550" t="s">
        <v>2885</v>
      </c>
      <c r="B1550" t="s">
        <v>2886</v>
      </c>
      <c r="C1550" s="1" t="str">
        <f>HYPERLINK("http://www.genecards.org/cgi-bin/carddisp.pl?gene=PHF16","GeneCards")</f>
        <v>GeneCards</v>
      </c>
      <c r="D1550" s="1" t="str">
        <f>HYPERLINK("http://genome-euro.ucsc.edu/cgi-bin/hgTracks?position=204866_at","UCSC")</f>
        <v>UCSC</v>
      </c>
      <c r="E1550" s="1" t="str">
        <f>HYPERLINK("http://www.ncbi.nlm.nih.gov/gene/?term=PHF16","NCBI")</f>
        <v>NCBI</v>
      </c>
      <c r="F1550">
        <v>4.5999999999999999E-3</v>
      </c>
      <c r="G1550">
        <v>5.0999999999999997E-2</v>
      </c>
      <c r="H1550" s="1" t="str">
        <f>HYPERLINK("http://www.weizmann.ac.il/complex/compphys/software/geview/data/figures/204866_at.png","Figure")</f>
        <v>Figure</v>
      </c>
      <c r="I1550">
        <v>0.59399999999999997</v>
      </c>
      <c r="J1550">
        <v>4.1000000000000003E-3</v>
      </c>
      <c r="K1550">
        <v>0.86899999999999999</v>
      </c>
      <c r="L1550">
        <v>0.46</v>
      </c>
      <c r="M1550">
        <v>1.46</v>
      </c>
      <c r="N1550">
        <v>2.1000000000000001E-2</v>
      </c>
    </row>
    <row r="1551" spans="1:14" x14ac:dyDescent="0.25">
      <c r="A1551" t="s">
        <v>2887</v>
      </c>
      <c r="B1551" t="s">
        <v>2888</v>
      </c>
      <c r="C1551" s="1" t="str">
        <f>HYPERLINK("http://www.genecards.org/cgi-bin/carddisp.pl?gene=S100A6","GeneCards")</f>
        <v>GeneCards</v>
      </c>
      <c r="D1551" s="1" t="str">
        <f>HYPERLINK("http://genome-euro.ucsc.edu/cgi-bin/hgTracks?position=217728_at","UCSC")</f>
        <v>UCSC</v>
      </c>
      <c r="E1551" s="1" t="str">
        <f>HYPERLINK("http://www.ncbi.nlm.nih.gov/gene/?term=S100A6","NCBI")</f>
        <v>NCBI</v>
      </c>
      <c r="F1551">
        <v>4.5999999999999999E-3</v>
      </c>
      <c r="G1551">
        <v>5.0999999999999997E-2</v>
      </c>
      <c r="H1551" s="1" t="str">
        <f>HYPERLINK("http://www.weizmann.ac.il/complex/compphys/software/geview/data/figures/217728_at.png","Figure")</f>
        <v>Figure</v>
      </c>
      <c r="I1551">
        <v>0.65700000000000003</v>
      </c>
      <c r="J1551">
        <v>5.7000000000000002E-2</v>
      </c>
      <c r="K1551">
        <v>1.23</v>
      </c>
      <c r="L1551">
        <v>0.35</v>
      </c>
      <c r="M1551">
        <v>1.87</v>
      </c>
      <c r="N1551">
        <v>3.3999999999999998E-3</v>
      </c>
    </row>
    <row r="1552" spans="1:14" x14ac:dyDescent="0.25">
      <c r="A1552" t="s">
        <v>2889</v>
      </c>
      <c r="B1552" t="s">
        <v>2890</v>
      </c>
      <c r="C1552" s="1" t="str">
        <f>HYPERLINK("http://www.genecards.org/cgi-bin/carddisp.pl?gene=GGPS1","GeneCards")</f>
        <v>GeneCards</v>
      </c>
      <c r="D1552" s="1" t="str">
        <f>HYPERLINK("http://genome-euro.ucsc.edu/cgi-bin/hgTracks?position=202321_at","UCSC")</f>
        <v>UCSC</v>
      </c>
      <c r="E1552" s="1" t="str">
        <f>HYPERLINK("http://www.ncbi.nlm.nih.gov/gene/?term=GGPS1","NCBI")</f>
        <v>NCBI</v>
      </c>
      <c r="F1552">
        <v>4.5999999999999999E-3</v>
      </c>
      <c r="G1552">
        <v>5.0999999999999997E-2</v>
      </c>
      <c r="H1552" s="1" t="str">
        <f>HYPERLINK("http://www.weizmann.ac.il/complex/compphys/software/geview/data/figures/202321_at.png","Figure")</f>
        <v>Figure</v>
      </c>
      <c r="I1552">
        <v>1.08</v>
      </c>
      <c r="J1552">
        <v>0.2</v>
      </c>
      <c r="K1552">
        <v>1.17</v>
      </c>
      <c r="L1552">
        <v>3.5000000000000001E-3</v>
      </c>
      <c r="M1552">
        <v>1.08</v>
      </c>
      <c r="N1552">
        <v>0.19</v>
      </c>
    </row>
    <row r="1553" spans="1:14" x14ac:dyDescent="0.25">
      <c r="A1553" t="s">
        <v>2891</v>
      </c>
      <c r="B1553" t="s">
        <v>2892</v>
      </c>
      <c r="C1553" s="1" t="str">
        <f>HYPERLINK("http://www.genecards.org/cgi-bin/carddisp.pl?gene=IL18RAP","GeneCards")</f>
        <v>GeneCards</v>
      </c>
      <c r="D1553" s="1" t="str">
        <f>HYPERLINK("http://genome-euro.ucsc.edu/cgi-bin/hgTracks?position=207072_at","UCSC")</f>
        <v>UCSC</v>
      </c>
      <c r="E1553" s="1" t="str">
        <f>HYPERLINK("http://www.ncbi.nlm.nih.gov/gene/?term=IL18RAP","NCBI")</f>
        <v>NCBI</v>
      </c>
      <c r="F1553">
        <v>4.5999999999999999E-3</v>
      </c>
      <c r="G1553">
        <v>5.0999999999999997E-2</v>
      </c>
      <c r="H1553" s="1" t="str">
        <f>HYPERLINK("http://www.weizmann.ac.il/complex/compphys/software/geview/data/figures/207072_at.png","Figure")</f>
        <v>Figure</v>
      </c>
      <c r="I1553">
        <v>0.82699999999999996</v>
      </c>
      <c r="J1553">
        <v>0.41</v>
      </c>
      <c r="K1553">
        <v>0.60299999999999998</v>
      </c>
      <c r="L1553">
        <v>4.0000000000000001E-3</v>
      </c>
      <c r="M1553">
        <v>0.72899999999999998</v>
      </c>
      <c r="N1553">
        <v>8.5999999999999993E-2</v>
      </c>
    </row>
    <row r="1554" spans="1:14" x14ac:dyDescent="0.25">
      <c r="A1554" t="s">
        <v>2893</v>
      </c>
      <c r="B1554" t="s">
        <v>2894</v>
      </c>
      <c r="C1554" s="1" t="str">
        <f>HYPERLINK("http://www.genecards.org/cgi-bin/carddisp.pl?gene=SMC3","GeneCards")</f>
        <v>GeneCards</v>
      </c>
      <c r="D1554" s="1" t="str">
        <f>HYPERLINK("http://genome-euro.ucsc.edu/cgi-bin/hgTracks?position=209259_s_at","UCSC")</f>
        <v>UCSC</v>
      </c>
      <c r="E1554" s="1" t="str">
        <f>HYPERLINK("http://www.ncbi.nlm.nih.gov/gene/?term=SMC3","NCBI")</f>
        <v>NCBI</v>
      </c>
      <c r="F1554">
        <v>4.5999999999999999E-3</v>
      </c>
      <c r="G1554">
        <v>5.0999999999999997E-2</v>
      </c>
      <c r="H1554" s="1" t="str">
        <f>HYPERLINK("http://www.weizmann.ac.il/complex/compphys/software/geview/data/figures/209259_s_at.png","Figure")</f>
        <v>Figure</v>
      </c>
      <c r="I1554">
        <v>0.45200000000000001</v>
      </c>
      <c r="J1554">
        <v>3.5000000000000001E-3</v>
      </c>
      <c r="K1554">
        <v>0.73</v>
      </c>
      <c r="L1554">
        <v>0.19</v>
      </c>
      <c r="M1554">
        <v>1.61</v>
      </c>
      <c r="N1554">
        <v>5.0999999999999997E-2</v>
      </c>
    </row>
    <row r="1555" spans="1:14" x14ac:dyDescent="0.25">
      <c r="A1555" t="s">
        <v>2895</v>
      </c>
      <c r="B1555" t="s">
        <v>2896</v>
      </c>
      <c r="C1555" s="1" t="str">
        <f>HYPERLINK("http://www.genecards.org/cgi-bin/carddisp.pl?gene=BTN3A2","GeneCards")</f>
        <v>GeneCards</v>
      </c>
      <c r="D1555" s="1" t="str">
        <f>HYPERLINK("http://genome-euro.ucsc.edu/cgi-bin/hgTracks?position=209846_s_at","UCSC")</f>
        <v>UCSC</v>
      </c>
      <c r="E1555" s="1" t="str">
        <f>HYPERLINK("http://www.ncbi.nlm.nih.gov/gene/?term=BTN3A2","NCBI")</f>
        <v>NCBI</v>
      </c>
      <c r="F1555">
        <v>4.5999999999999999E-3</v>
      </c>
      <c r="G1555">
        <v>5.0999999999999997E-2</v>
      </c>
      <c r="H1555" s="1" t="str">
        <f>HYPERLINK("http://www.weizmann.ac.il/complex/compphys/software/geview/data/figures/209846_s_at.png","Figure")</f>
        <v>Figure</v>
      </c>
      <c r="I1555">
        <v>0.63800000000000001</v>
      </c>
      <c r="J1555">
        <v>0.15</v>
      </c>
      <c r="K1555">
        <v>1.49</v>
      </c>
      <c r="L1555">
        <v>0.14000000000000001</v>
      </c>
      <c r="M1555">
        <v>2.33</v>
      </c>
      <c r="N1555">
        <v>3.5999999999999999E-3</v>
      </c>
    </row>
    <row r="1556" spans="1:14" x14ac:dyDescent="0.25">
      <c r="A1556" t="s">
        <v>2897</v>
      </c>
      <c r="B1556" t="s">
        <v>2898</v>
      </c>
      <c r="C1556" s="1" t="str">
        <f>HYPERLINK("http://www.genecards.org/cgi-bin/carddisp.pl?gene=ISYNA1","GeneCards")</f>
        <v>GeneCards</v>
      </c>
      <c r="D1556" s="1" t="str">
        <f>HYPERLINK("http://genome-euro.ucsc.edu/cgi-bin/hgTracks?position=222240_s_at","UCSC")</f>
        <v>UCSC</v>
      </c>
      <c r="E1556" s="1" t="str">
        <f>HYPERLINK("http://www.ncbi.nlm.nih.gov/gene/?term=ISYNA1","NCBI")</f>
        <v>NCBI</v>
      </c>
      <c r="F1556">
        <v>4.5999999999999999E-3</v>
      </c>
      <c r="G1556">
        <v>5.0999999999999997E-2</v>
      </c>
      <c r="H1556" s="1" t="str">
        <f>HYPERLINK("http://www.weizmann.ac.il/complex/compphys/software/geview/data/figures/222240_s_at.png","Figure")</f>
        <v>Figure</v>
      </c>
      <c r="I1556">
        <v>1.32</v>
      </c>
      <c r="J1556">
        <v>6.7999999999999996E-3</v>
      </c>
      <c r="K1556">
        <v>1.24</v>
      </c>
      <c r="L1556">
        <v>1.2999999999999999E-2</v>
      </c>
      <c r="M1556">
        <v>0.94299999999999995</v>
      </c>
      <c r="N1556">
        <v>0.69</v>
      </c>
    </row>
    <row r="1557" spans="1:14" x14ac:dyDescent="0.25">
      <c r="A1557" t="s">
        <v>2899</v>
      </c>
      <c r="B1557" t="s">
        <v>2900</v>
      </c>
      <c r="C1557" s="1" t="str">
        <f>HYPERLINK("http://www.genecards.org/cgi-bin/carddisp.pl?gene=CNTD2","GeneCards")</f>
        <v>GeneCards</v>
      </c>
      <c r="D1557" s="1" t="str">
        <f>HYPERLINK("http://genome-euro.ucsc.edu/cgi-bin/hgTracks?position=220323_at","UCSC")</f>
        <v>UCSC</v>
      </c>
      <c r="E1557" s="1" t="str">
        <f>HYPERLINK("http://www.ncbi.nlm.nih.gov/gene/?term=CNTD2","NCBI")</f>
        <v>NCBI</v>
      </c>
      <c r="F1557">
        <v>4.5999999999999999E-3</v>
      </c>
      <c r="G1557">
        <v>5.0999999999999997E-2</v>
      </c>
      <c r="H1557" s="1" t="str">
        <f>HYPERLINK("http://www.weizmann.ac.il/complex/compphys/software/geview/data/figures/220323_at.png","Figure")</f>
        <v>Figure</v>
      </c>
      <c r="I1557">
        <v>1.62</v>
      </c>
      <c r="J1557">
        <v>3.3999999999999998E-3</v>
      </c>
      <c r="K1557">
        <v>1.24</v>
      </c>
      <c r="L1557">
        <v>0.13</v>
      </c>
      <c r="M1557">
        <v>0.76500000000000001</v>
      </c>
      <c r="N1557">
        <v>7.1999999999999995E-2</v>
      </c>
    </row>
    <row r="1558" spans="1:14" x14ac:dyDescent="0.25">
      <c r="A1558" t="s">
        <v>2901</v>
      </c>
      <c r="B1558" t="s">
        <v>2902</v>
      </c>
      <c r="C1558" s="1" t="str">
        <f>HYPERLINK("http://www.genecards.org/cgi-bin/carddisp.pl?gene=ATMIN","GeneCards")</f>
        <v>GeneCards</v>
      </c>
      <c r="D1558" s="1" t="str">
        <f>HYPERLINK("http://genome-euro.ucsc.edu/cgi-bin/hgTracks?position=201855_s_at","UCSC")</f>
        <v>UCSC</v>
      </c>
      <c r="E1558" s="1" t="str">
        <f>HYPERLINK("http://www.ncbi.nlm.nih.gov/gene/?term=ATMIN","NCBI")</f>
        <v>NCBI</v>
      </c>
      <c r="F1558">
        <v>4.5999999999999999E-3</v>
      </c>
      <c r="G1558">
        <v>5.0999999999999997E-2</v>
      </c>
      <c r="H1558" s="1" t="str">
        <f>HYPERLINK("http://www.weizmann.ac.il/complex/compphys/software/geview/data/figures/201855_s_at.png","Figure")</f>
        <v>Figure</v>
      </c>
      <c r="I1558">
        <v>0.45</v>
      </c>
      <c r="J1558">
        <v>7.0000000000000001E-3</v>
      </c>
      <c r="K1558">
        <v>0.93100000000000005</v>
      </c>
      <c r="L1558">
        <v>0.92</v>
      </c>
      <c r="M1558">
        <v>2.0699999999999998</v>
      </c>
      <c r="N1558">
        <v>8.3999999999999995E-3</v>
      </c>
    </row>
    <row r="1559" spans="1:14" x14ac:dyDescent="0.25">
      <c r="A1559" t="s">
        <v>2903</v>
      </c>
      <c r="B1559" t="s">
        <v>1568</v>
      </c>
      <c r="C1559" s="1" t="str">
        <f>HYPERLINK("http://www.genecards.org/cgi-bin/carddisp.pl?gene=BRD1","GeneCards")</f>
        <v>GeneCards</v>
      </c>
      <c r="D1559" s="1" t="str">
        <f>HYPERLINK("http://genome-euro.ucsc.edu/cgi-bin/hgTracks?position=204520_x_at","UCSC")</f>
        <v>UCSC</v>
      </c>
      <c r="E1559" s="1" t="str">
        <f>HYPERLINK("http://www.ncbi.nlm.nih.gov/gene/?term=BRD1","NCBI")</f>
        <v>NCBI</v>
      </c>
      <c r="F1559">
        <v>4.7000000000000002E-3</v>
      </c>
      <c r="G1559">
        <v>5.0999999999999997E-2</v>
      </c>
      <c r="H1559" s="1" t="str">
        <f>HYPERLINK("http://www.weizmann.ac.il/complex/compphys/software/geview/data/figures/204520_x_at.png","Figure")</f>
        <v>Figure</v>
      </c>
      <c r="I1559">
        <v>1.05</v>
      </c>
      <c r="J1559">
        <v>0.97</v>
      </c>
      <c r="K1559">
        <v>0.54100000000000004</v>
      </c>
      <c r="L1559">
        <v>1.2E-2</v>
      </c>
      <c r="M1559">
        <v>0.51700000000000002</v>
      </c>
      <c r="N1559">
        <v>1.2E-2</v>
      </c>
    </row>
    <row r="1560" spans="1:14" x14ac:dyDescent="0.25">
      <c r="A1560" t="s">
        <v>2904</v>
      </c>
      <c r="B1560" t="s">
        <v>2905</v>
      </c>
      <c r="C1560" s="1" t="str">
        <f>HYPERLINK("http://www.genecards.org/cgi-bin/carddisp.pl?gene=MMP24","GeneCards")</f>
        <v>GeneCards</v>
      </c>
      <c r="D1560" s="1" t="str">
        <f>HYPERLINK("http://genome-euro.ucsc.edu/cgi-bin/hgTracks?position=208387_s_at","UCSC")</f>
        <v>UCSC</v>
      </c>
      <c r="E1560" s="1" t="str">
        <f>HYPERLINK("http://www.ncbi.nlm.nih.gov/gene/?term=MMP24","NCBI")</f>
        <v>NCBI</v>
      </c>
      <c r="F1560">
        <v>4.7000000000000002E-3</v>
      </c>
      <c r="G1560">
        <v>5.0999999999999997E-2</v>
      </c>
      <c r="H1560" s="1" t="str">
        <f>HYPERLINK("http://www.weizmann.ac.il/complex/compphys/software/geview/data/figures/208387_s_at.png","Figure")</f>
        <v>Figure</v>
      </c>
      <c r="I1560">
        <v>1.27</v>
      </c>
      <c r="J1560">
        <v>8.8000000000000005E-3</v>
      </c>
      <c r="K1560">
        <v>1.01</v>
      </c>
      <c r="L1560">
        <v>0.99</v>
      </c>
      <c r="M1560">
        <v>0.79100000000000004</v>
      </c>
      <c r="N1560">
        <v>6.7999999999999996E-3</v>
      </c>
    </row>
    <row r="1561" spans="1:14" x14ac:dyDescent="0.25">
      <c r="A1561" t="s">
        <v>2906</v>
      </c>
      <c r="B1561" t="s">
        <v>2907</v>
      </c>
      <c r="C1561" s="1" t="str">
        <f>HYPERLINK("http://www.genecards.org/cgi-bin/carddisp.pl?gene=ERN2","GeneCards")</f>
        <v>GeneCards</v>
      </c>
      <c r="D1561" s="1" t="str">
        <f>HYPERLINK("http://genome-euro.ucsc.edu/cgi-bin/hgTracks?position=214372_x_at","UCSC")</f>
        <v>UCSC</v>
      </c>
      <c r="E1561" s="1" t="str">
        <f>HYPERLINK("http://www.ncbi.nlm.nih.gov/gene/?term=ERN2","NCBI")</f>
        <v>NCBI</v>
      </c>
      <c r="F1561">
        <v>4.5999999999999999E-3</v>
      </c>
      <c r="G1561">
        <v>5.0999999999999997E-2</v>
      </c>
      <c r="H1561" s="1" t="str">
        <f>HYPERLINK("http://www.weizmann.ac.il/complex/compphys/software/geview/data/figures/214372_x_at.png","Figure")</f>
        <v>Figure</v>
      </c>
      <c r="I1561">
        <v>1.42</v>
      </c>
      <c r="J1561">
        <v>5.1000000000000004E-3</v>
      </c>
      <c r="K1561">
        <v>1.07</v>
      </c>
      <c r="L1561">
        <v>0.69</v>
      </c>
      <c r="M1561">
        <v>0.75</v>
      </c>
      <c r="N1561">
        <v>1.2999999999999999E-2</v>
      </c>
    </row>
    <row r="1562" spans="1:14" x14ac:dyDescent="0.25">
      <c r="A1562" t="s">
        <v>2908</v>
      </c>
      <c r="B1562" t="s">
        <v>1290</v>
      </c>
      <c r="C1562" s="1" t="str">
        <f>HYPERLINK("http://www.genecards.org/cgi-bin/carddisp.pl?gene=SF3B1","GeneCards")</f>
        <v>GeneCards</v>
      </c>
      <c r="D1562" s="1" t="str">
        <f>HYPERLINK("http://genome-euro.ucsc.edu/cgi-bin/hgTracks?position=201070_x_at","UCSC")</f>
        <v>UCSC</v>
      </c>
      <c r="E1562" s="1" t="str">
        <f>HYPERLINK("http://www.ncbi.nlm.nih.gov/gene/?term=SF3B1","NCBI")</f>
        <v>NCBI</v>
      </c>
      <c r="F1562">
        <v>4.7000000000000002E-3</v>
      </c>
      <c r="G1562">
        <v>5.0999999999999997E-2</v>
      </c>
      <c r="H1562" s="1" t="str">
        <f>HYPERLINK("http://www.weizmann.ac.il/complex/compphys/software/geview/data/figures/201070_x_at.png","Figure")</f>
        <v>Figure</v>
      </c>
      <c r="I1562">
        <v>1.53</v>
      </c>
      <c r="J1562">
        <v>2.5999999999999999E-2</v>
      </c>
      <c r="K1562">
        <v>0.89800000000000002</v>
      </c>
      <c r="L1562">
        <v>0.67</v>
      </c>
      <c r="M1562">
        <v>0.58799999999999997</v>
      </c>
      <c r="N1562">
        <v>3.8999999999999998E-3</v>
      </c>
    </row>
    <row r="1563" spans="1:14" x14ac:dyDescent="0.25">
      <c r="A1563" t="s">
        <v>2909</v>
      </c>
      <c r="B1563" t="s">
        <v>2910</v>
      </c>
      <c r="C1563" s="1" t="str">
        <f>HYPERLINK("http://www.genecards.org/cgi-bin/carddisp.pl?gene=CYBB","GeneCards")</f>
        <v>GeneCards</v>
      </c>
      <c r="D1563" s="1" t="str">
        <f>HYPERLINK("http://genome-euro.ucsc.edu/cgi-bin/hgTracks?position=203922_s_at","UCSC")</f>
        <v>UCSC</v>
      </c>
      <c r="E1563" s="1" t="str">
        <f>HYPERLINK("http://www.ncbi.nlm.nih.gov/gene/?term=CYBB","NCBI")</f>
        <v>NCBI</v>
      </c>
      <c r="F1563">
        <v>4.7000000000000002E-3</v>
      </c>
      <c r="G1563">
        <v>5.0999999999999997E-2</v>
      </c>
      <c r="H1563" s="1" t="str">
        <f>HYPERLINK("http://www.weizmann.ac.il/complex/compphys/software/geview/data/figures/203922_s_at.png","Figure")</f>
        <v>Figure</v>
      </c>
      <c r="I1563">
        <v>0.39800000000000002</v>
      </c>
      <c r="J1563">
        <v>4.1000000000000003E-3</v>
      </c>
      <c r="K1563">
        <v>0.77300000000000002</v>
      </c>
      <c r="L1563">
        <v>0.43</v>
      </c>
      <c r="M1563">
        <v>1.94</v>
      </c>
      <c r="N1563">
        <v>2.1999999999999999E-2</v>
      </c>
    </row>
    <row r="1564" spans="1:14" x14ac:dyDescent="0.25">
      <c r="A1564" t="s">
        <v>2911</v>
      </c>
      <c r="B1564" t="s">
        <v>2912</v>
      </c>
      <c r="C1564" s="1" t="str">
        <f>HYPERLINK("http://www.genecards.org/cgi-bin/carddisp.pl?gene=SH2B2","GeneCards")</f>
        <v>GeneCards</v>
      </c>
      <c r="D1564" s="1" t="str">
        <f>HYPERLINK("http://genome-euro.ucsc.edu/cgi-bin/hgTracks?position=205367_at","UCSC")</f>
        <v>UCSC</v>
      </c>
      <c r="E1564" s="1" t="str">
        <f>HYPERLINK("http://www.ncbi.nlm.nih.gov/gene/?term=SH2B2","NCBI")</f>
        <v>NCBI</v>
      </c>
      <c r="F1564">
        <v>4.7000000000000002E-3</v>
      </c>
      <c r="G1564">
        <v>5.0999999999999997E-2</v>
      </c>
      <c r="H1564" s="1" t="str">
        <f>HYPERLINK("http://www.weizmann.ac.il/complex/compphys/software/geview/data/figures/205367_at.png","Figure")</f>
        <v>Figure</v>
      </c>
      <c r="I1564">
        <v>1.45</v>
      </c>
      <c r="J1564">
        <v>4.7E-2</v>
      </c>
      <c r="K1564">
        <v>0.85299999999999998</v>
      </c>
      <c r="L1564">
        <v>0.42</v>
      </c>
      <c r="M1564">
        <v>0.58699999999999997</v>
      </c>
      <c r="N1564">
        <v>3.5000000000000001E-3</v>
      </c>
    </row>
    <row r="1565" spans="1:14" x14ac:dyDescent="0.25">
      <c r="A1565" t="s">
        <v>2913</v>
      </c>
      <c r="B1565" t="s">
        <v>2914</v>
      </c>
      <c r="C1565" s="1" t="str">
        <f>HYPERLINK("http://www.genecards.org/cgi-bin/carddisp.pl?gene=UCK2","GeneCards")</f>
        <v>GeneCards</v>
      </c>
      <c r="D1565" s="1" t="str">
        <f>HYPERLINK("http://genome-euro.ucsc.edu/cgi-bin/hgTracks?position=209825_s_at","UCSC")</f>
        <v>UCSC</v>
      </c>
      <c r="E1565" s="1" t="str">
        <f>HYPERLINK("http://www.ncbi.nlm.nih.gov/gene/?term=UCK2","NCBI")</f>
        <v>NCBI</v>
      </c>
      <c r="F1565">
        <v>4.7000000000000002E-3</v>
      </c>
      <c r="G1565">
        <v>5.0999999999999997E-2</v>
      </c>
      <c r="H1565" s="1" t="str">
        <f>HYPERLINK("http://www.weizmann.ac.il/complex/compphys/software/geview/data/figures/209825_s_at.png","Figure")</f>
        <v>Figure</v>
      </c>
      <c r="I1565">
        <v>1.74</v>
      </c>
      <c r="J1565">
        <v>0.13</v>
      </c>
      <c r="K1565">
        <v>2.5499999999999998</v>
      </c>
      <c r="L1565">
        <v>3.3999999999999998E-3</v>
      </c>
      <c r="M1565">
        <v>1.47</v>
      </c>
      <c r="N1565">
        <v>0.3</v>
      </c>
    </row>
    <row r="1566" spans="1:14" x14ac:dyDescent="0.25">
      <c r="A1566" t="s">
        <v>2915</v>
      </c>
      <c r="B1566" t="s">
        <v>2916</v>
      </c>
      <c r="C1566" s="1" t="str">
        <f>HYPERLINK("http://www.genecards.org/cgi-bin/carddisp.pl?gene=PLEKHM2","GeneCards")</f>
        <v>GeneCards</v>
      </c>
      <c r="D1566" s="1" t="str">
        <f>HYPERLINK("http://genome-euro.ucsc.edu/cgi-bin/hgTracks?position=212146_at","UCSC")</f>
        <v>UCSC</v>
      </c>
      <c r="E1566" s="1" t="str">
        <f>HYPERLINK("http://www.ncbi.nlm.nih.gov/gene/?term=PLEKHM2","NCBI")</f>
        <v>NCBI</v>
      </c>
      <c r="F1566">
        <v>4.7000000000000002E-3</v>
      </c>
      <c r="G1566">
        <v>5.0999999999999997E-2</v>
      </c>
      <c r="H1566" s="1" t="str">
        <f>HYPERLINK("http://www.weizmann.ac.il/complex/compphys/software/geview/data/figures/212146_at.png","Figure")</f>
        <v>Figure</v>
      </c>
      <c r="I1566">
        <v>1.29</v>
      </c>
      <c r="J1566">
        <v>8.5999999999999993E-2</v>
      </c>
      <c r="K1566">
        <v>0.85</v>
      </c>
      <c r="L1566">
        <v>0.24</v>
      </c>
      <c r="M1566">
        <v>0.65700000000000003</v>
      </c>
      <c r="N1566">
        <v>3.3999999999999998E-3</v>
      </c>
    </row>
    <row r="1567" spans="1:14" x14ac:dyDescent="0.25">
      <c r="A1567" t="s">
        <v>2917</v>
      </c>
      <c r="B1567" t="s">
        <v>2918</v>
      </c>
      <c r="C1567" s="1" t="str">
        <f>HYPERLINK("http://www.genecards.org/cgi-bin/carddisp.pl?gene=KIAA1199","GeneCards")</f>
        <v>GeneCards</v>
      </c>
      <c r="D1567" s="1" t="str">
        <f>HYPERLINK("http://genome-euro.ucsc.edu/cgi-bin/hgTracks?position=212942_s_at","UCSC")</f>
        <v>UCSC</v>
      </c>
      <c r="E1567" s="1" t="str">
        <f>HYPERLINK("http://www.ncbi.nlm.nih.gov/gene/?term=KIAA1199","NCBI")</f>
        <v>NCBI</v>
      </c>
      <c r="F1567">
        <v>4.7000000000000002E-3</v>
      </c>
      <c r="G1567">
        <v>5.0999999999999997E-2</v>
      </c>
      <c r="H1567" s="1" t="str">
        <f>HYPERLINK("http://www.weizmann.ac.il/complex/compphys/software/geview/data/figures/212942_s_at.png","Figure")</f>
        <v>Figure</v>
      </c>
      <c r="I1567">
        <v>1.48</v>
      </c>
      <c r="J1567">
        <v>1.2E-2</v>
      </c>
      <c r="K1567">
        <v>1.44</v>
      </c>
      <c r="L1567">
        <v>7.6E-3</v>
      </c>
      <c r="M1567">
        <v>0.97299999999999998</v>
      </c>
      <c r="N1567">
        <v>0.96</v>
      </c>
    </row>
    <row r="1568" spans="1:14" x14ac:dyDescent="0.25">
      <c r="A1568" t="s">
        <v>2919</v>
      </c>
      <c r="B1568" t="s">
        <v>2920</v>
      </c>
      <c r="C1568" s="1" t="str">
        <f>HYPERLINK("http://www.genecards.org/cgi-bin/carddisp.pl?gene=ODF1","GeneCards")</f>
        <v>GeneCards</v>
      </c>
      <c r="D1568" s="1" t="str">
        <f>HYPERLINK("http://genome-euro.ucsc.edu/cgi-bin/hgTracks?position=214485_at","UCSC")</f>
        <v>UCSC</v>
      </c>
      <c r="E1568" s="1" t="str">
        <f>HYPERLINK("http://www.ncbi.nlm.nih.gov/gene/?term=ODF1","NCBI")</f>
        <v>NCBI</v>
      </c>
      <c r="F1568">
        <v>4.7000000000000002E-3</v>
      </c>
      <c r="G1568">
        <v>5.0999999999999997E-2</v>
      </c>
      <c r="H1568" s="1" t="str">
        <f>HYPERLINK("http://www.weizmann.ac.il/complex/compphys/software/geview/data/figures/214485_at.png","Figure")</f>
        <v>Figure</v>
      </c>
      <c r="I1568">
        <v>1.08</v>
      </c>
      <c r="J1568">
        <v>0.33</v>
      </c>
      <c r="K1568">
        <v>0.89400000000000002</v>
      </c>
      <c r="L1568">
        <v>6.2E-2</v>
      </c>
      <c r="M1568">
        <v>0.82799999999999996</v>
      </c>
      <c r="N1568">
        <v>4.4999999999999997E-3</v>
      </c>
    </row>
    <row r="1569" spans="1:14" x14ac:dyDescent="0.25">
      <c r="A1569" t="s">
        <v>2921</v>
      </c>
      <c r="B1569" t="s">
        <v>2922</v>
      </c>
      <c r="C1569" s="1" t="str">
        <f>HYPERLINK("http://www.genecards.org/cgi-bin/carddisp.pl?gene=SRCAP","GeneCards")</f>
        <v>GeneCards</v>
      </c>
      <c r="D1569" s="1" t="str">
        <f>HYPERLINK("http://genome-euro.ucsc.edu/cgi-bin/hgTracks?position=215053_at","UCSC")</f>
        <v>UCSC</v>
      </c>
      <c r="E1569" s="1" t="str">
        <f>HYPERLINK("http://www.ncbi.nlm.nih.gov/gene/?term=SRCAP","NCBI")</f>
        <v>NCBI</v>
      </c>
      <c r="F1569">
        <v>4.7000000000000002E-3</v>
      </c>
      <c r="G1569">
        <v>5.0999999999999997E-2</v>
      </c>
      <c r="H1569" s="1" t="str">
        <f>HYPERLINK("http://www.weizmann.ac.il/complex/compphys/software/geview/data/figures/215053_at.png","Figure")</f>
        <v>Figure</v>
      </c>
      <c r="I1569">
        <v>1.36</v>
      </c>
      <c r="J1569">
        <v>4.1999999999999997E-3</v>
      </c>
      <c r="K1569">
        <v>1.0900000000000001</v>
      </c>
      <c r="L1569">
        <v>0.46</v>
      </c>
      <c r="M1569">
        <v>0.8</v>
      </c>
      <c r="N1569">
        <v>2.1000000000000001E-2</v>
      </c>
    </row>
    <row r="1570" spans="1:14" x14ac:dyDescent="0.25">
      <c r="A1570" t="s">
        <v>2923</v>
      </c>
      <c r="B1570" t="s">
        <v>2924</v>
      </c>
      <c r="C1570" s="1" t="str">
        <f>HYPERLINK("http://www.genecards.org/cgi-bin/carddisp.pl?gene=USP7","GeneCards")</f>
        <v>GeneCards</v>
      </c>
      <c r="D1570" s="1" t="str">
        <f>HYPERLINK("http://genome-euro.ucsc.edu/cgi-bin/hgTracks?position=201499_s_at","UCSC")</f>
        <v>UCSC</v>
      </c>
      <c r="E1570" s="1" t="str">
        <f>HYPERLINK("http://www.ncbi.nlm.nih.gov/gene/?term=USP7","NCBI")</f>
        <v>NCBI</v>
      </c>
      <c r="F1570">
        <v>4.7000000000000002E-3</v>
      </c>
      <c r="G1570">
        <v>5.0999999999999997E-2</v>
      </c>
      <c r="H1570" s="1" t="str">
        <f>HYPERLINK("http://www.weizmann.ac.il/complex/compphys/software/geview/data/figures/201499_s_at.png","Figure")</f>
        <v>Figure</v>
      </c>
      <c r="I1570">
        <v>1.35</v>
      </c>
      <c r="J1570">
        <v>0.2</v>
      </c>
      <c r="K1570">
        <v>0.72699999999999998</v>
      </c>
      <c r="L1570">
        <v>0.11</v>
      </c>
      <c r="M1570">
        <v>0.53700000000000003</v>
      </c>
      <c r="N1570">
        <v>3.8999999999999998E-3</v>
      </c>
    </row>
    <row r="1571" spans="1:14" x14ac:dyDescent="0.25">
      <c r="A1571" t="s">
        <v>2925</v>
      </c>
      <c r="B1571" t="s">
        <v>2926</v>
      </c>
      <c r="C1571" s="1" t="str">
        <f>HYPERLINK("http://www.genecards.org/cgi-bin/carddisp.pl?gene=TXN","GeneCards")</f>
        <v>GeneCards</v>
      </c>
      <c r="D1571" s="1" t="str">
        <f>HYPERLINK("http://genome-euro.ucsc.edu/cgi-bin/hgTracks?position=208864_s_at","UCSC")</f>
        <v>UCSC</v>
      </c>
      <c r="E1571" s="1" t="str">
        <f>HYPERLINK("http://www.ncbi.nlm.nih.gov/gene/?term=TXN","NCBI")</f>
        <v>NCBI</v>
      </c>
      <c r="F1571">
        <v>4.7000000000000002E-3</v>
      </c>
      <c r="G1571">
        <v>5.0999999999999997E-2</v>
      </c>
      <c r="H1571" s="1" t="str">
        <f>HYPERLINK("http://www.weizmann.ac.il/complex/compphys/software/geview/data/figures/208864_s_at.png","Figure")</f>
        <v>Figure</v>
      </c>
      <c r="I1571">
        <v>0.746</v>
      </c>
      <c r="J1571">
        <v>0.51</v>
      </c>
      <c r="K1571">
        <v>1.88</v>
      </c>
      <c r="L1571">
        <v>3.7999999999999999E-2</v>
      </c>
      <c r="M1571">
        <v>2.52</v>
      </c>
      <c r="N1571">
        <v>5.4999999999999997E-3</v>
      </c>
    </row>
    <row r="1572" spans="1:14" x14ac:dyDescent="0.25">
      <c r="A1572" t="s">
        <v>2927</v>
      </c>
      <c r="B1572" t="s">
        <v>2928</v>
      </c>
      <c r="C1572" s="1" t="str">
        <f>HYPERLINK("http://www.genecards.org/cgi-bin/carddisp.pl?gene=CLEC2B","GeneCards")</f>
        <v>GeneCards</v>
      </c>
      <c r="D1572" s="1" t="str">
        <f>HYPERLINK("http://genome-euro.ucsc.edu/cgi-bin/hgTracks?position=209732_at","UCSC")</f>
        <v>UCSC</v>
      </c>
      <c r="E1572" s="1" t="str">
        <f>HYPERLINK("http://www.ncbi.nlm.nih.gov/gene/?term=CLEC2B","NCBI")</f>
        <v>NCBI</v>
      </c>
      <c r="F1572">
        <v>4.7000000000000002E-3</v>
      </c>
      <c r="G1572">
        <v>5.0999999999999997E-2</v>
      </c>
      <c r="H1572" s="1" t="str">
        <f>HYPERLINK("http://www.weizmann.ac.il/complex/compphys/software/geview/data/figures/209732_at.png","Figure")</f>
        <v>Figure</v>
      </c>
      <c r="I1572">
        <v>0.40600000000000003</v>
      </c>
      <c r="J1572">
        <v>1.2999999999999999E-2</v>
      </c>
      <c r="K1572">
        <v>0.41899999999999998</v>
      </c>
      <c r="L1572">
        <v>6.8999999999999999E-3</v>
      </c>
      <c r="M1572">
        <v>1.03</v>
      </c>
      <c r="N1572">
        <v>0.99</v>
      </c>
    </row>
    <row r="1573" spans="1:14" x14ac:dyDescent="0.25">
      <c r="A1573" t="s">
        <v>2929</v>
      </c>
      <c r="B1573" t="s">
        <v>2930</v>
      </c>
      <c r="C1573" s="1" t="str">
        <f>HYPERLINK("http://www.genecards.org/cgi-bin/carddisp.pl?gene=ENTPD4","GeneCards")</f>
        <v>GeneCards</v>
      </c>
      <c r="D1573" s="1" t="str">
        <f>HYPERLINK("http://genome-euro.ucsc.edu/cgi-bin/hgTracks?position=204076_at","UCSC")</f>
        <v>UCSC</v>
      </c>
      <c r="E1573" s="1" t="str">
        <f>HYPERLINK("http://www.ncbi.nlm.nih.gov/gene/?term=ENTPD4","NCBI")</f>
        <v>NCBI</v>
      </c>
      <c r="F1573">
        <v>4.7000000000000002E-3</v>
      </c>
      <c r="G1573">
        <v>5.0999999999999997E-2</v>
      </c>
      <c r="H1573" s="1" t="str">
        <f>HYPERLINK("http://www.weizmann.ac.il/complex/compphys/software/geview/data/figures/204076_at.png","Figure")</f>
        <v>Figure</v>
      </c>
      <c r="I1573">
        <v>0.72899999999999998</v>
      </c>
      <c r="J1573">
        <v>0.52</v>
      </c>
      <c r="K1573">
        <v>0.38</v>
      </c>
      <c r="L1573">
        <v>4.4000000000000003E-3</v>
      </c>
      <c r="M1573">
        <v>0.52100000000000002</v>
      </c>
      <c r="N1573">
        <v>6.6000000000000003E-2</v>
      </c>
    </row>
    <row r="1574" spans="1:14" x14ac:dyDescent="0.25">
      <c r="A1574" t="s">
        <v>2931</v>
      </c>
      <c r="B1574" t="s">
        <v>2932</v>
      </c>
      <c r="C1574" s="1" t="str">
        <f>HYPERLINK("http://www.genecards.org/cgi-bin/carddisp.pl?gene=SFRS15","GeneCards")</f>
        <v>GeneCards</v>
      </c>
      <c r="D1574" s="1" t="str">
        <f>HYPERLINK("http://genome-euro.ucsc.edu/cgi-bin/hgTracks?position=222310_at","UCSC")</f>
        <v>UCSC</v>
      </c>
      <c r="E1574" s="1" t="str">
        <f>HYPERLINK("http://www.ncbi.nlm.nih.gov/gene/?term=SFRS15","NCBI")</f>
        <v>NCBI</v>
      </c>
      <c r="F1574">
        <v>4.7000000000000002E-3</v>
      </c>
      <c r="G1574">
        <v>5.0999999999999997E-2</v>
      </c>
      <c r="H1574" s="1" t="str">
        <f>HYPERLINK("http://www.weizmann.ac.il/complex/compphys/software/geview/data/figures/222310_at.png","Figure")</f>
        <v>Figure</v>
      </c>
      <c r="I1574">
        <v>0.33700000000000002</v>
      </c>
      <c r="J1574">
        <v>1.4999999999999999E-2</v>
      </c>
      <c r="K1574">
        <v>0.33900000000000002</v>
      </c>
      <c r="L1574">
        <v>6.3E-3</v>
      </c>
      <c r="M1574">
        <v>1</v>
      </c>
      <c r="N1574">
        <v>1</v>
      </c>
    </row>
    <row r="1575" spans="1:14" x14ac:dyDescent="0.25">
      <c r="A1575" t="s">
        <v>2933</v>
      </c>
      <c r="B1575" t="s">
        <v>2934</v>
      </c>
      <c r="C1575" s="1" t="str">
        <f>HYPERLINK("http://www.genecards.org/cgi-bin/carddisp.pl?gene=CD37","GeneCards")</f>
        <v>GeneCards</v>
      </c>
      <c r="D1575" s="1" t="str">
        <f>HYPERLINK("http://genome-euro.ucsc.edu/cgi-bin/hgTracks?position=204192_at","UCSC")</f>
        <v>UCSC</v>
      </c>
      <c r="E1575" s="1" t="str">
        <f>HYPERLINK("http://www.ncbi.nlm.nih.gov/gene/?term=CD37","NCBI")</f>
        <v>NCBI</v>
      </c>
      <c r="F1575">
        <v>4.7000000000000002E-3</v>
      </c>
      <c r="G1575">
        <v>5.0999999999999997E-2</v>
      </c>
      <c r="H1575" s="1" t="str">
        <f>HYPERLINK("http://www.weizmann.ac.il/complex/compphys/software/geview/data/figures/204192_at.png","Figure")</f>
        <v>Figure</v>
      </c>
      <c r="I1575">
        <v>0.35899999999999999</v>
      </c>
      <c r="J1575">
        <v>4.7000000000000002E-3</v>
      </c>
      <c r="K1575">
        <v>0.50800000000000001</v>
      </c>
      <c r="L1575">
        <v>2.7E-2</v>
      </c>
      <c r="M1575">
        <v>1.41</v>
      </c>
      <c r="N1575">
        <v>0.36</v>
      </c>
    </row>
    <row r="1576" spans="1:14" x14ac:dyDescent="0.25">
      <c r="A1576" t="s">
        <v>2935</v>
      </c>
      <c r="B1576" t="s">
        <v>2936</v>
      </c>
      <c r="C1576" s="1" t="str">
        <f>HYPERLINK("http://www.genecards.org/cgi-bin/carddisp.pl?gene=MLLT10","GeneCards")</f>
        <v>GeneCards</v>
      </c>
      <c r="D1576" s="1" t="str">
        <f>HYPERLINK("http://genome-euro.ucsc.edu/cgi-bin/hgTracks?position=205408_at","UCSC")</f>
        <v>UCSC</v>
      </c>
      <c r="E1576" s="1" t="str">
        <f>HYPERLINK("http://www.ncbi.nlm.nih.gov/gene/?term=MLLT10","NCBI")</f>
        <v>NCBI</v>
      </c>
      <c r="F1576">
        <v>4.7000000000000002E-3</v>
      </c>
      <c r="G1576">
        <v>5.0999999999999997E-2</v>
      </c>
      <c r="H1576" s="1" t="str">
        <f>HYPERLINK("http://www.weizmann.ac.il/complex/compphys/software/geview/data/figures/205408_at.png","Figure")</f>
        <v>Figure</v>
      </c>
      <c r="I1576">
        <v>0.57099999999999995</v>
      </c>
      <c r="J1576">
        <v>3.5000000000000001E-3</v>
      </c>
      <c r="K1576">
        <v>0.77200000000000002</v>
      </c>
      <c r="L1576">
        <v>0.12</v>
      </c>
      <c r="M1576">
        <v>1.35</v>
      </c>
      <c r="N1576">
        <v>8.4000000000000005E-2</v>
      </c>
    </row>
    <row r="1577" spans="1:14" x14ac:dyDescent="0.25">
      <c r="A1577" t="s">
        <v>2937</v>
      </c>
      <c r="B1577" t="s">
        <v>2938</v>
      </c>
      <c r="C1577" s="1" t="str">
        <f>HYPERLINK("http://www.genecards.org/cgi-bin/carddisp.pl?gene=SPINT1","GeneCards")</f>
        <v>GeneCards</v>
      </c>
      <c r="D1577" s="1" t="str">
        <f>HYPERLINK("http://genome-euro.ucsc.edu/cgi-bin/hgTracks?position=202826_at","UCSC")</f>
        <v>UCSC</v>
      </c>
      <c r="E1577" s="1" t="str">
        <f>HYPERLINK("http://www.ncbi.nlm.nih.gov/gene/?term=SPINT1","NCBI")</f>
        <v>NCBI</v>
      </c>
      <c r="F1577">
        <v>4.7000000000000002E-3</v>
      </c>
      <c r="G1577">
        <v>5.0999999999999997E-2</v>
      </c>
      <c r="H1577" s="1" t="str">
        <f>HYPERLINK("http://www.weizmann.ac.il/complex/compphys/software/geview/data/figures/202826_at.png","Figure")</f>
        <v>Figure</v>
      </c>
      <c r="I1577">
        <v>1.04</v>
      </c>
      <c r="J1577">
        <v>0.87</v>
      </c>
      <c r="K1577">
        <v>1.26</v>
      </c>
      <c r="L1577">
        <v>6.4999999999999997E-3</v>
      </c>
      <c r="M1577">
        <v>1.22</v>
      </c>
      <c r="N1577">
        <v>2.8000000000000001E-2</v>
      </c>
    </row>
    <row r="1578" spans="1:14" x14ac:dyDescent="0.25">
      <c r="A1578" t="s">
        <v>2939</v>
      </c>
      <c r="B1578" t="s">
        <v>2940</v>
      </c>
      <c r="C1578" s="1" t="str">
        <f>HYPERLINK("http://www.genecards.org/cgi-bin/carddisp.pl?gene=FAAH","GeneCards")</f>
        <v>GeneCards</v>
      </c>
      <c r="D1578" s="1" t="str">
        <f>HYPERLINK("http://genome-euro.ucsc.edu/cgi-bin/hgTracks?position=204231_s_at","UCSC")</f>
        <v>UCSC</v>
      </c>
      <c r="E1578" s="1" t="str">
        <f>HYPERLINK("http://www.ncbi.nlm.nih.gov/gene/?term=FAAH","NCBI")</f>
        <v>NCBI</v>
      </c>
      <c r="F1578">
        <v>4.7000000000000002E-3</v>
      </c>
      <c r="G1578">
        <v>5.0999999999999997E-2</v>
      </c>
      <c r="H1578" s="1" t="str">
        <f>HYPERLINK("http://www.weizmann.ac.il/complex/compphys/software/geview/data/figures/204231_s_at.png","Figure")</f>
        <v>Figure</v>
      </c>
      <c r="I1578">
        <v>2.09</v>
      </c>
      <c r="J1578">
        <v>3.5000000000000001E-3</v>
      </c>
      <c r="K1578">
        <v>1.42</v>
      </c>
      <c r="L1578">
        <v>0.1</v>
      </c>
      <c r="M1578">
        <v>0.68</v>
      </c>
      <c r="N1578">
        <v>9.5000000000000001E-2</v>
      </c>
    </row>
    <row r="1579" spans="1:14" x14ac:dyDescent="0.25">
      <c r="A1579" t="s">
        <v>2941</v>
      </c>
      <c r="B1579" t="s">
        <v>2942</v>
      </c>
      <c r="C1579" s="1" t="str">
        <f>HYPERLINK("http://www.genecards.org/cgi-bin/carddisp.pl?gene=RLF","GeneCards")</f>
        <v>GeneCards</v>
      </c>
      <c r="D1579" s="1" t="str">
        <f>HYPERLINK("http://genome-euro.ucsc.edu/cgi-bin/hgTracks?position=204243_at","UCSC")</f>
        <v>UCSC</v>
      </c>
      <c r="E1579" s="1" t="str">
        <f>HYPERLINK("http://www.ncbi.nlm.nih.gov/gene/?term=RLF","NCBI")</f>
        <v>NCBI</v>
      </c>
      <c r="F1579">
        <v>4.7000000000000002E-3</v>
      </c>
      <c r="G1579">
        <v>5.0999999999999997E-2</v>
      </c>
      <c r="H1579" s="1" t="str">
        <f>HYPERLINK("http://www.weizmann.ac.il/complex/compphys/software/geview/data/figures/204243_at.png","Figure")</f>
        <v>Figure</v>
      </c>
      <c r="I1579">
        <v>1.0900000000000001</v>
      </c>
      <c r="J1579">
        <v>0.92</v>
      </c>
      <c r="K1579">
        <v>0.51500000000000001</v>
      </c>
      <c r="L1579">
        <v>1.4999999999999999E-2</v>
      </c>
      <c r="M1579">
        <v>0.47099999999999997</v>
      </c>
      <c r="N1579">
        <v>0.01</v>
      </c>
    </row>
    <row r="1580" spans="1:14" x14ac:dyDescent="0.25">
      <c r="A1580" t="s">
        <v>2943</v>
      </c>
      <c r="B1580" t="s">
        <v>2944</v>
      </c>
      <c r="C1580" s="1" t="str">
        <f>HYPERLINK("http://www.genecards.org/cgi-bin/carddisp.pl?gene=ZBTB11","GeneCards")</f>
        <v>GeneCards</v>
      </c>
      <c r="D1580" s="1" t="str">
        <f>HYPERLINK("http://genome-euro.ucsc.edu/cgi-bin/hgTracks?position=204847_at","UCSC")</f>
        <v>UCSC</v>
      </c>
      <c r="E1580" s="1" t="str">
        <f>HYPERLINK("http://www.ncbi.nlm.nih.gov/gene/?term=ZBTB11","NCBI")</f>
        <v>NCBI</v>
      </c>
      <c r="F1580">
        <v>4.7000000000000002E-3</v>
      </c>
      <c r="G1580">
        <v>5.0999999999999997E-2</v>
      </c>
      <c r="H1580" s="1" t="str">
        <f>HYPERLINK("http://www.weizmann.ac.il/complex/compphys/software/geview/data/figures/204847_at.png","Figure")</f>
        <v>Figure</v>
      </c>
      <c r="I1580">
        <v>0.56499999999999995</v>
      </c>
      <c r="J1580">
        <v>2.5000000000000001E-2</v>
      </c>
      <c r="K1580">
        <v>0.52400000000000002</v>
      </c>
      <c r="L1580">
        <v>4.7999999999999996E-3</v>
      </c>
      <c r="M1580">
        <v>0.92800000000000005</v>
      </c>
      <c r="N1580">
        <v>0.91</v>
      </c>
    </row>
    <row r="1581" spans="1:14" x14ac:dyDescent="0.25">
      <c r="A1581" t="s">
        <v>2945</v>
      </c>
      <c r="B1581" t="s">
        <v>2946</v>
      </c>
      <c r="C1581" s="1" t="str">
        <f>HYPERLINK("http://www.genecards.org/cgi-bin/carddisp.pl?gene=HOXB13","GeneCards")</f>
        <v>GeneCards</v>
      </c>
      <c r="D1581" s="1" t="str">
        <f>HYPERLINK("http://genome-euro.ucsc.edu/cgi-bin/hgTracks?position=209844_at","UCSC")</f>
        <v>UCSC</v>
      </c>
      <c r="E1581" s="1" t="str">
        <f>HYPERLINK("http://www.ncbi.nlm.nih.gov/gene/?term=HOXB13","NCBI")</f>
        <v>NCBI</v>
      </c>
      <c r="F1581">
        <v>4.7000000000000002E-3</v>
      </c>
      <c r="G1581">
        <v>5.0999999999999997E-2</v>
      </c>
      <c r="H1581" s="1" t="str">
        <f>HYPERLINK("http://www.weizmann.ac.il/complex/compphys/software/geview/data/figures/209844_at.png","Figure")</f>
        <v>Figure</v>
      </c>
      <c r="I1581">
        <v>1.21</v>
      </c>
      <c r="J1581">
        <v>4.1999999999999997E-3</v>
      </c>
      <c r="K1581">
        <v>1.05</v>
      </c>
      <c r="L1581">
        <v>0.44</v>
      </c>
      <c r="M1581">
        <v>0.873</v>
      </c>
      <c r="N1581">
        <v>2.1999999999999999E-2</v>
      </c>
    </row>
    <row r="1582" spans="1:14" x14ac:dyDescent="0.25">
      <c r="A1582" t="s">
        <v>2947</v>
      </c>
      <c r="B1582" t="s">
        <v>2948</v>
      </c>
      <c r="C1582" s="1" t="str">
        <f>HYPERLINK("http://www.genecards.org/cgi-bin/carddisp.pl?gene=NRP2","GeneCards")</f>
        <v>GeneCards</v>
      </c>
      <c r="D1582" s="1" t="str">
        <f>HYPERLINK("http://genome-euro.ucsc.edu/cgi-bin/hgTracks?position=210841_s_at","UCSC")</f>
        <v>UCSC</v>
      </c>
      <c r="E1582" s="1" t="str">
        <f>HYPERLINK("http://www.ncbi.nlm.nih.gov/gene/?term=NRP2","NCBI")</f>
        <v>NCBI</v>
      </c>
      <c r="F1582">
        <v>4.7000000000000002E-3</v>
      </c>
      <c r="G1582">
        <v>5.0999999999999997E-2</v>
      </c>
      <c r="H1582" s="1" t="str">
        <f>HYPERLINK("http://www.weizmann.ac.il/complex/compphys/software/geview/data/figures/210841_s_at.png","Figure")</f>
        <v>Figure</v>
      </c>
      <c r="I1582">
        <v>1.43</v>
      </c>
      <c r="J1582">
        <v>3.5999999999999999E-3</v>
      </c>
      <c r="K1582">
        <v>1.1399999999999999</v>
      </c>
      <c r="L1582">
        <v>0.22</v>
      </c>
      <c r="M1582">
        <v>0.80200000000000005</v>
      </c>
      <c r="N1582">
        <v>4.4999999999999998E-2</v>
      </c>
    </row>
    <row r="1583" spans="1:14" x14ac:dyDescent="0.25">
      <c r="A1583" t="s">
        <v>2949</v>
      </c>
      <c r="B1583" t="s">
        <v>2950</v>
      </c>
      <c r="C1583" s="1" t="str">
        <f>HYPERLINK("http://www.genecards.org/cgi-bin/carddisp.pl?gene=H6PD","GeneCards")</f>
        <v>GeneCards</v>
      </c>
      <c r="D1583" s="1" t="str">
        <f>HYPERLINK("http://genome-euro.ucsc.edu/cgi-bin/hgTracks?position=206933_s_at","UCSC")</f>
        <v>UCSC</v>
      </c>
      <c r="E1583" s="1" t="str">
        <f>HYPERLINK("http://www.ncbi.nlm.nih.gov/gene/?term=H6PD","NCBI")</f>
        <v>NCBI</v>
      </c>
      <c r="F1583">
        <v>4.7000000000000002E-3</v>
      </c>
      <c r="G1583">
        <v>5.0999999999999997E-2</v>
      </c>
      <c r="H1583" s="1" t="str">
        <f>HYPERLINK("http://www.weizmann.ac.il/complex/compphys/software/geview/data/figures/206933_s_at.png","Figure")</f>
        <v>Figure</v>
      </c>
      <c r="I1583">
        <v>1.2</v>
      </c>
      <c r="J1583">
        <v>6.1999999999999998E-3</v>
      </c>
      <c r="K1583">
        <v>1.03</v>
      </c>
      <c r="L1583">
        <v>0.83</v>
      </c>
      <c r="M1583">
        <v>0.85499999999999998</v>
      </c>
      <c r="N1583">
        <v>0.01</v>
      </c>
    </row>
    <row r="1584" spans="1:14" x14ac:dyDescent="0.25">
      <c r="A1584" t="s">
        <v>2951</v>
      </c>
      <c r="B1584" t="s">
        <v>2952</v>
      </c>
      <c r="C1584" s="1" t="str">
        <f>HYPERLINK("http://www.genecards.org/cgi-bin/carddisp.pl?gene=F2","GeneCards")</f>
        <v>GeneCards</v>
      </c>
      <c r="D1584" s="1" t="str">
        <f>HYPERLINK("http://genome-euro.ucsc.edu/cgi-bin/hgTracks?position=205754_at","UCSC")</f>
        <v>UCSC</v>
      </c>
      <c r="E1584" s="1" t="str">
        <f>HYPERLINK("http://www.ncbi.nlm.nih.gov/gene/?term=F2","NCBI")</f>
        <v>NCBI</v>
      </c>
      <c r="F1584">
        <v>4.7999999999999996E-3</v>
      </c>
      <c r="G1584">
        <v>5.0999999999999997E-2</v>
      </c>
      <c r="H1584" s="1" t="str">
        <f>HYPERLINK("http://www.weizmann.ac.il/complex/compphys/software/geview/data/figures/205754_at.png","Figure")</f>
        <v>Figure</v>
      </c>
      <c r="I1584">
        <v>1.32</v>
      </c>
      <c r="J1584">
        <v>4.3E-3</v>
      </c>
      <c r="K1584">
        <v>1.19</v>
      </c>
      <c r="L1584">
        <v>3.5999999999999997E-2</v>
      </c>
      <c r="M1584">
        <v>0.90100000000000002</v>
      </c>
      <c r="N1584">
        <v>0.28000000000000003</v>
      </c>
    </row>
    <row r="1585" spans="1:14" x14ac:dyDescent="0.25">
      <c r="A1585" t="s">
        <v>2953</v>
      </c>
      <c r="B1585" t="s">
        <v>2954</v>
      </c>
      <c r="C1585" s="1" t="str">
        <f>HYPERLINK("http://www.genecards.org/cgi-bin/carddisp.pl?gene=RCC1 /// SNHG3-RCC1","GeneCards")</f>
        <v>GeneCards</v>
      </c>
      <c r="D1585" s="1" t="str">
        <f>HYPERLINK("http://genome-euro.ucsc.edu/cgi-bin/hgTracks?position=206499_s_at","UCSC")</f>
        <v>UCSC</v>
      </c>
      <c r="E1585" s="1" t="str">
        <f>HYPERLINK("http://www.ncbi.nlm.nih.gov/gene/?term=RCC1 /// SNHG3-RCC1","NCBI")</f>
        <v>NCBI</v>
      </c>
      <c r="F1585">
        <v>4.7999999999999996E-3</v>
      </c>
      <c r="G1585">
        <v>5.0999999999999997E-2</v>
      </c>
      <c r="H1585" s="1" t="str">
        <f>HYPERLINK("http://www.weizmann.ac.il/complex/compphys/software/geview/data/figures/206499_s_at.png","Figure")</f>
        <v>Figure</v>
      </c>
      <c r="I1585">
        <v>0.875</v>
      </c>
      <c r="J1585">
        <v>0.45</v>
      </c>
      <c r="K1585">
        <v>1.29</v>
      </c>
      <c r="L1585">
        <v>4.3999999999999997E-2</v>
      </c>
      <c r="M1585">
        <v>1.47</v>
      </c>
      <c r="N1585">
        <v>5.1999999999999998E-3</v>
      </c>
    </row>
    <row r="1586" spans="1:14" x14ac:dyDescent="0.25">
      <c r="A1586" t="s">
        <v>2955</v>
      </c>
      <c r="B1586" t="s">
        <v>2956</v>
      </c>
      <c r="C1586" s="1" t="str">
        <f>HYPERLINK("http://www.genecards.org/cgi-bin/carddisp.pl?gene=MGAT2","GeneCards")</f>
        <v>GeneCards</v>
      </c>
      <c r="D1586" s="1" t="str">
        <f>HYPERLINK("http://genome-euro.ucsc.edu/cgi-bin/hgTracks?position=203102_s_at","UCSC")</f>
        <v>UCSC</v>
      </c>
      <c r="E1586" s="1" t="str">
        <f>HYPERLINK("http://www.ncbi.nlm.nih.gov/gene/?term=MGAT2","NCBI")</f>
        <v>NCBI</v>
      </c>
      <c r="F1586">
        <v>4.7999999999999996E-3</v>
      </c>
      <c r="G1586">
        <v>5.0999999999999997E-2</v>
      </c>
      <c r="H1586" s="1" t="str">
        <f>HYPERLINK("http://www.weizmann.ac.il/complex/compphys/software/geview/data/figures/203102_s_at.png","Figure")</f>
        <v>Figure</v>
      </c>
      <c r="I1586">
        <v>0.47599999999999998</v>
      </c>
      <c r="J1586">
        <v>3.1E-2</v>
      </c>
      <c r="K1586">
        <v>1.24</v>
      </c>
      <c r="L1586">
        <v>0.61</v>
      </c>
      <c r="M1586">
        <v>2.61</v>
      </c>
      <c r="N1586">
        <v>3.8E-3</v>
      </c>
    </row>
    <row r="1587" spans="1:14" x14ac:dyDescent="0.25">
      <c r="A1587" t="s">
        <v>2957</v>
      </c>
      <c r="B1587" t="s">
        <v>2958</v>
      </c>
      <c r="C1587" s="1" t="str">
        <f>HYPERLINK("http://www.genecards.org/cgi-bin/carddisp.pl?gene=FGFR2","GeneCards")</f>
        <v>GeneCards</v>
      </c>
      <c r="D1587" s="1" t="str">
        <f>HYPERLINK("http://genome-euro.ucsc.edu/cgi-bin/hgTracks?position=203638_s_at","UCSC")</f>
        <v>UCSC</v>
      </c>
      <c r="E1587" s="1" t="str">
        <f>HYPERLINK("http://www.ncbi.nlm.nih.gov/gene/?term=FGFR2","NCBI")</f>
        <v>NCBI</v>
      </c>
      <c r="F1587">
        <v>4.7999999999999996E-3</v>
      </c>
      <c r="G1587">
        <v>5.0999999999999997E-2</v>
      </c>
      <c r="H1587" s="1" t="str">
        <f>HYPERLINK("http://www.weizmann.ac.il/complex/compphys/software/geview/data/figures/203638_s_at.png","Figure")</f>
        <v>Figure</v>
      </c>
      <c r="I1587">
        <v>1.49</v>
      </c>
      <c r="J1587">
        <v>5.3E-3</v>
      </c>
      <c r="K1587">
        <v>1.33</v>
      </c>
      <c r="L1587">
        <v>2.1999999999999999E-2</v>
      </c>
      <c r="M1587">
        <v>0.88700000000000001</v>
      </c>
      <c r="N1587">
        <v>0.46</v>
      </c>
    </row>
    <row r="1588" spans="1:14" x14ac:dyDescent="0.25">
      <c r="A1588" t="s">
        <v>2959</v>
      </c>
      <c r="B1588" t="s">
        <v>2960</v>
      </c>
      <c r="C1588" s="1" t="str">
        <f>HYPERLINK("http://www.genecards.org/cgi-bin/carddisp.pl?gene=DDX27","GeneCards")</f>
        <v>GeneCards</v>
      </c>
      <c r="D1588" s="1" t="str">
        <f>HYPERLINK("http://genome-euro.ucsc.edu/cgi-bin/hgTracks?position=215693_x_at","UCSC")</f>
        <v>UCSC</v>
      </c>
      <c r="E1588" s="1" t="str">
        <f>HYPERLINK("http://www.ncbi.nlm.nih.gov/gene/?term=DDX27","NCBI")</f>
        <v>NCBI</v>
      </c>
      <c r="F1588">
        <v>4.7999999999999996E-3</v>
      </c>
      <c r="G1588">
        <v>5.0999999999999997E-2</v>
      </c>
      <c r="H1588" s="1" t="str">
        <f>HYPERLINK("http://www.weizmann.ac.il/complex/compphys/software/geview/data/figures/215693_x_at.png","Figure")</f>
        <v>Figure</v>
      </c>
      <c r="I1588">
        <v>1.48</v>
      </c>
      <c r="J1588">
        <v>0.06</v>
      </c>
      <c r="K1588">
        <v>0.82199999999999995</v>
      </c>
      <c r="L1588">
        <v>0.35</v>
      </c>
      <c r="M1588">
        <v>0.55400000000000005</v>
      </c>
      <c r="N1588">
        <v>3.5000000000000001E-3</v>
      </c>
    </row>
    <row r="1589" spans="1:14" x14ac:dyDescent="0.25">
      <c r="A1589" t="s">
        <v>2961</v>
      </c>
      <c r="B1589" t="s">
        <v>2962</v>
      </c>
      <c r="C1589" s="1" t="str">
        <f>HYPERLINK("http://www.genecards.org/cgi-bin/carddisp.pl?gene=BCL2","GeneCards")</f>
        <v>GeneCards</v>
      </c>
      <c r="D1589" s="1" t="str">
        <f>HYPERLINK("http://genome-euro.ucsc.edu/cgi-bin/hgTracks?position=203685_at","UCSC")</f>
        <v>UCSC</v>
      </c>
      <c r="E1589" s="1" t="str">
        <f>HYPERLINK("http://www.ncbi.nlm.nih.gov/gene/?term=BCL2","NCBI")</f>
        <v>NCBI</v>
      </c>
      <c r="F1589">
        <v>4.7999999999999996E-3</v>
      </c>
      <c r="G1589">
        <v>5.0999999999999997E-2</v>
      </c>
      <c r="H1589" s="1" t="str">
        <f>HYPERLINK("http://www.weizmann.ac.il/complex/compphys/software/geview/data/figures/203685_at.png","Figure")</f>
        <v>Figure</v>
      </c>
      <c r="I1589">
        <v>0.24</v>
      </c>
      <c r="J1589">
        <v>8.5000000000000006E-3</v>
      </c>
      <c r="K1589">
        <v>0.93700000000000006</v>
      </c>
      <c r="L1589">
        <v>0.98</v>
      </c>
      <c r="M1589">
        <v>3.91</v>
      </c>
      <c r="N1589">
        <v>7.4000000000000003E-3</v>
      </c>
    </row>
    <row r="1590" spans="1:14" x14ac:dyDescent="0.25">
      <c r="A1590" t="s">
        <v>2963</v>
      </c>
      <c r="B1590" t="s">
        <v>2964</v>
      </c>
      <c r="C1590" s="1" t="str">
        <f>HYPERLINK("http://www.genecards.org/cgi-bin/carddisp.pl?gene=ACAA1","GeneCards")</f>
        <v>GeneCards</v>
      </c>
      <c r="D1590" s="1" t="str">
        <f>HYPERLINK("http://genome-euro.ucsc.edu/cgi-bin/hgTracks?position=202025_x_at","UCSC")</f>
        <v>UCSC</v>
      </c>
      <c r="E1590" s="1" t="str">
        <f>HYPERLINK("http://www.ncbi.nlm.nih.gov/gene/?term=ACAA1","NCBI")</f>
        <v>NCBI</v>
      </c>
      <c r="F1590">
        <v>4.7999999999999996E-3</v>
      </c>
      <c r="G1590">
        <v>5.0999999999999997E-2</v>
      </c>
      <c r="H1590" s="1" t="str">
        <f>HYPERLINK("http://www.weizmann.ac.il/complex/compphys/software/geview/data/figures/202025_x_at.png","Figure")</f>
        <v>Figure</v>
      </c>
      <c r="I1590">
        <v>1.34</v>
      </c>
      <c r="J1590">
        <v>1.4E-2</v>
      </c>
      <c r="K1590">
        <v>1.32</v>
      </c>
      <c r="L1590">
        <v>6.8999999999999999E-3</v>
      </c>
      <c r="M1590">
        <v>0.99199999999999999</v>
      </c>
      <c r="N1590">
        <v>0.99</v>
      </c>
    </row>
    <row r="1591" spans="1:14" x14ac:dyDescent="0.25">
      <c r="A1591" t="s">
        <v>2965</v>
      </c>
      <c r="B1591" t="s">
        <v>2966</v>
      </c>
      <c r="C1591" s="1" t="str">
        <f>HYPERLINK("http://www.genecards.org/cgi-bin/carddisp.pl?gene=USP4","GeneCards")</f>
        <v>GeneCards</v>
      </c>
      <c r="D1591" s="1" t="str">
        <f>HYPERLINK("http://genome-euro.ucsc.edu/cgi-bin/hgTracks?position=202682_s_at","UCSC")</f>
        <v>UCSC</v>
      </c>
      <c r="E1591" s="1" t="str">
        <f>HYPERLINK("http://www.ncbi.nlm.nih.gov/gene/?term=USP4","NCBI")</f>
        <v>NCBI</v>
      </c>
      <c r="F1591">
        <v>4.7999999999999996E-3</v>
      </c>
      <c r="G1591">
        <v>5.0999999999999997E-2</v>
      </c>
      <c r="H1591" s="1" t="str">
        <f>HYPERLINK("http://www.weizmann.ac.il/complex/compphys/software/geview/data/figures/202682_s_at.png","Figure")</f>
        <v>Figure</v>
      </c>
      <c r="I1591">
        <v>1.61</v>
      </c>
      <c r="J1591">
        <v>3.7000000000000002E-3</v>
      </c>
      <c r="K1591">
        <v>1.18</v>
      </c>
      <c r="L1591">
        <v>0.27</v>
      </c>
      <c r="M1591">
        <v>0.73499999999999999</v>
      </c>
      <c r="N1591">
        <v>3.6999999999999998E-2</v>
      </c>
    </row>
    <row r="1592" spans="1:14" x14ac:dyDescent="0.25">
      <c r="A1592" t="s">
        <v>2967</v>
      </c>
      <c r="B1592" t="s">
        <v>2968</v>
      </c>
      <c r="C1592" s="1" t="str">
        <f>HYPERLINK("http://www.genecards.org/cgi-bin/carddisp.pl?gene=METTL13","GeneCards")</f>
        <v>GeneCards</v>
      </c>
      <c r="D1592" s="1" t="str">
        <f>HYPERLINK("http://genome-euro.ucsc.edu/cgi-bin/hgTracks?position=212405_s_at","UCSC")</f>
        <v>UCSC</v>
      </c>
      <c r="E1592" s="1" t="str">
        <f>HYPERLINK("http://www.ncbi.nlm.nih.gov/gene/?term=METTL13","NCBI")</f>
        <v>NCBI</v>
      </c>
      <c r="F1592">
        <v>4.7999999999999996E-3</v>
      </c>
      <c r="G1592">
        <v>5.0999999999999997E-2</v>
      </c>
      <c r="H1592" s="1" t="str">
        <f>HYPERLINK("http://www.weizmann.ac.il/complex/compphys/software/geview/data/figures/212405_s_at.png","Figure")</f>
        <v>Figure</v>
      </c>
      <c r="I1592">
        <v>1.18</v>
      </c>
      <c r="J1592">
        <v>0.52</v>
      </c>
      <c r="K1592">
        <v>1.66</v>
      </c>
      <c r="L1592">
        <v>4.4999999999999997E-3</v>
      </c>
      <c r="M1592">
        <v>1.41</v>
      </c>
      <c r="N1592">
        <v>6.7000000000000004E-2</v>
      </c>
    </row>
    <row r="1593" spans="1:14" x14ac:dyDescent="0.25">
      <c r="A1593" t="s">
        <v>2969</v>
      </c>
      <c r="B1593" t="s">
        <v>2970</v>
      </c>
      <c r="C1593" s="1" t="str">
        <f>HYPERLINK("http://www.genecards.org/cgi-bin/carddisp.pl?gene=C7orf43","GeneCards")</f>
        <v>GeneCards</v>
      </c>
      <c r="D1593" s="1" t="str">
        <f>HYPERLINK("http://genome-euro.ucsc.edu/cgi-bin/hgTracks?position=220659_s_at","UCSC")</f>
        <v>UCSC</v>
      </c>
      <c r="E1593" s="1" t="str">
        <f>HYPERLINK("http://www.ncbi.nlm.nih.gov/gene/?term=C7orf43","NCBI")</f>
        <v>NCBI</v>
      </c>
      <c r="F1593">
        <v>4.7999999999999996E-3</v>
      </c>
      <c r="G1593">
        <v>5.0999999999999997E-2</v>
      </c>
      <c r="H1593" s="1" t="str">
        <f>HYPERLINK("http://www.weizmann.ac.il/complex/compphys/software/geview/data/figures/220659_s_at.png","Figure")</f>
        <v>Figure</v>
      </c>
      <c r="I1593">
        <v>1.24</v>
      </c>
      <c r="J1593">
        <v>0.09</v>
      </c>
      <c r="K1593">
        <v>0.87</v>
      </c>
      <c r="L1593">
        <v>0.24</v>
      </c>
      <c r="M1593">
        <v>0.7</v>
      </c>
      <c r="N1593">
        <v>3.5000000000000001E-3</v>
      </c>
    </row>
    <row r="1594" spans="1:14" x14ac:dyDescent="0.25">
      <c r="A1594" t="s">
        <v>2971</v>
      </c>
      <c r="B1594" t="s">
        <v>2972</v>
      </c>
      <c r="C1594" s="1" t="str">
        <f>HYPERLINK("http://www.genecards.org/cgi-bin/carddisp.pl?gene=MTCH1","GeneCards")</f>
        <v>GeneCards</v>
      </c>
      <c r="D1594" s="1" t="str">
        <f>HYPERLINK("http://genome-euro.ucsc.edu/cgi-bin/hgTracks?position=221619_s_at","UCSC")</f>
        <v>UCSC</v>
      </c>
      <c r="E1594" s="1" t="str">
        <f>HYPERLINK("http://www.ncbi.nlm.nih.gov/gene/?term=MTCH1","NCBI")</f>
        <v>NCBI</v>
      </c>
      <c r="F1594">
        <v>4.7999999999999996E-3</v>
      </c>
      <c r="G1594">
        <v>5.0999999999999997E-2</v>
      </c>
      <c r="H1594" s="1" t="str">
        <f>HYPERLINK("http://www.weizmann.ac.il/complex/compphys/software/geview/data/figures/221619_s_at.png","Figure")</f>
        <v>Figure</v>
      </c>
      <c r="I1594">
        <v>0.73199999999999998</v>
      </c>
      <c r="J1594">
        <v>0.19</v>
      </c>
      <c r="K1594">
        <v>0.55200000000000005</v>
      </c>
      <c r="L1594">
        <v>3.5999999999999999E-3</v>
      </c>
      <c r="M1594">
        <v>0.754</v>
      </c>
      <c r="N1594">
        <v>0.21</v>
      </c>
    </row>
    <row r="1595" spans="1:14" x14ac:dyDescent="0.25">
      <c r="A1595" t="s">
        <v>2973</v>
      </c>
      <c r="B1595" t="s">
        <v>2974</v>
      </c>
      <c r="C1595" s="1" t="str">
        <f>HYPERLINK("http://www.genecards.org/cgi-bin/carddisp.pl?gene=GRK6","GeneCards")</f>
        <v>GeneCards</v>
      </c>
      <c r="D1595" s="1" t="str">
        <f>HYPERLINK("http://genome-euro.ucsc.edu/cgi-bin/hgTracks?position=202848_s_at","UCSC")</f>
        <v>UCSC</v>
      </c>
      <c r="E1595" s="1" t="str">
        <f>HYPERLINK("http://www.ncbi.nlm.nih.gov/gene/?term=GRK6","NCBI")</f>
        <v>NCBI</v>
      </c>
      <c r="F1595">
        <v>4.7999999999999996E-3</v>
      </c>
      <c r="G1595">
        <v>5.0999999999999997E-2</v>
      </c>
      <c r="H1595" s="1" t="str">
        <f>HYPERLINK("http://www.weizmann.ac.il/complex/compphys/software/geview/data/figures/202848_s_at.png","Figure")</f>
        <v>Figure</v>
      </c>
      <c r="I1595">
        <v>1.28</v>
      </c>
      <c r="J1595">
        <v>3.6999999999999998E-2</v>
      </c>
      <c r="K1595">
        <v>1.35</v>
      </c>
      <c r="L1595">
        <v>4.3E-3</v>
      </c>
      <c r="M1595">
        <v>1.06</v>
      </c>
      <c r="N1595">
        <v>0.77</v>
      </c>
    </row>
    <row r="1596" spans="1:14" x14ac:dyDescent="0.25">
      <c r="A1596" t="s">
        <v>2975</v>
      </c>
      <c r="B1596" t="s">
        <v>2976</v>
      </c>
      <c r="C1596" s="1" t="str">
        <f>HYPERLINK("http://www.genecards.org/cgi-bin/carddisp.pl?gene=PDCD5","GeneCards")</f>
        <v>GeneCards</v>
      </c>
      <c r="D1596" s="1" t="str">
        <f>HYPERLINK("http://genome-euro.ucsc.edu/cgi-bin/hgTracks?position=219275_at","UCSC")</f>
        <v>UCSC</v>
      </c>
      <c r="E1596" s="1" t="str">
        <f>HYPERLINK("http://www.ncbi.nlm.nih.gov/gene/?term=PDCD5","NCBI")</f>
        <v>NCBI</v>
      </c>
      <c r="F1596">
        <v>4.7999999999999996E-3</v>
      </c>
      <c r="G1596">
        <v>5.0999999999999997E-2</v>
      </c>
      <c r="H1596" s="1" t="str">
        <f>HYPERLINK("http://www.weizmann.ac.il/complex/compphys/software/geview/data/figures/219275_at.png","Figure")</f>
        <v>Figure</v>
      </c>
      <c r="I1596">
        <v>0.93600000000000005</v>
      </c>
      <c r="J1596">
        <v>0.32</v>
      </c>
      <c r="K1596">
        <v>1.1000000000000001</v>
      </c>
      <c r="L1596">
        <v>6.7000000000000004E-2</v>
      </c>
      <c r="M1596">
        <v>1.17</v>
      </c>
      <c r="N1596">
        <v>4.4999999999999997E-3</v>
      </c>
    </row>
    <row r="1597" spans="1:14" x14ac:dyDescent="0.25">
      <c r="A1597" t="s">
        <v>2977</v>
      </c>
      <c r="B1597" t="s">
        <v>2978</v>
      </c>
      <c r="C1597" s="1" t="str">
        <f>HYPERLINK("http://www.genecards.org/cgi-bin/carddisp.pl?gene=CD40","GeneCards")</f>
        <v>GeneCards</v>
      </c>
      <c r="D1597" s="1" t="str">
        <f>HYPERLINK("http://genome-euro.ucsc.edu/cgi-bin/hgTracks?position=222292_at","UCSC")</f>
        <v>UCSC</v>
      </c>
      <c r="E1597" s="1" t="str">
        <f>HYPERLINK("http://www.ncbi.nlm.nih.gov/gene/?term=CD40","NCBI")</f>
        <v>NCBI</v>
      </c>
      <c r="F1597">
        <v>4.7999999999999996E-3</v>
      </c>
      <c r="G1597">
        <v>5.0999999999999997E-2</v>
      </c>
      <c r="H1597" s="1" t="str">
        <f>HYPERLINK("http://www.weizmann.ac.il/complex/compphys/software/geview/data/figures/222292_at.png","Figure")</f>
        <v>Figure</v>
      </c>
      <c r="I1597">
        <v>1</v>
      </c>
      <c r="J1597">
        <v>1</v>
      </c>
      <c r="K1597">
        <v>0.73699999999999999</v>
      </c>
      <c r="L1597">
        <v>0.01</v>
      </c>
      <c r="M1597">
        <v>0.73699999999999999</v>
      </c>
      <c r="N1597">
        <v>1.6E-2</v>
      </c>
    </row>
    <row r="1598" spans="1:14" x14ac:dyDescent="0.25">
      <c r="A1598" t="s">
        <v>2979</v>
      </c>
      <c r="B1598" t="s">
        <v>2980</v>
      </c>
      <c r="C1598" s="1" t="str">
        <f>HYPERLINK("http://www.genecards.org/cgi-bin/carddisp.pl?gene=CHKA","GeneCards")</f>
        <v>GeneCards</v>
      </c>
      <c r="D1598" s="1" t="str">
        <f>HYPERLINK("http://genome-euro.ucsc.edu/cgi-bin/hgTracks?position=204233_s_at","UCSC")</f>
        <v>UCSC</v>
      </c>
      <c r="E1598" s="1" t="str">
        <f>HYPERLINK("http://www.ncbi.nlm.nih.gov/gene/?term=CHKA","NCBI")</f>
        <v>NCBI</v>
      </c>
      <c r="F1598">
        <v>4.7999999999999996E-3</v>
      </c>
      <c r="G1598">
        <v>5.0999999999999997E-2</v>
      </c>
      <c r="H1598" s="1" t="str">
        <f>HYPERLINK("http://www.weizmann.ac.il/complex/compphys/software/geview/data/figures/204233_s_at.png","Figure")</f>
        <v>Figure</v>
      </c>
      <c r="I1598">
        <v>1.46</v>
      </c>
      <c r="J1598">
        <v>4.0000000000000001E-3</v>
      </c>
      <c r="K1598">
        <v>1.1200000000000001</v>
      </c>
      <c r="L1598">
        <v>0.37</v>
      </c>
      <c r="M1598">
        <v>0.76800000000000002</v>
      </c>
      <c r="N1598">
        <v>2.7E-2</v>
      </c>
    </row>
    <row r="1599" spans="1:14" x14ac:dyDescent="0.25">
      <c r="A1599" t="s">
        <v>2981</v>
      </c>
      <c r="B1599" t="s">
        <v>2982</v>
      </c>
      <c r="C1599" s="1" t="str">
        <f>HYPERLINK("http://www.genecards.org/cgi-bin/carddisp.pl?gene=PUS7","GeneCards")</f>
        <v>GeneCards</v>
      </c>
      <c r="D1599" s="1" t="str">
        <f>HYPERLINK("http://genome-euro.ucsc.edu/cgi-bin/hgTracks?position=218984_at","UCSC")</f>
        <v>UCSC</v>
      </c>
      <c r="E1599" s="1" t="str">
        <f>HYPERLINK("http://www.ncbi.nlm.nih.gov/gene/?term=PUS7","NCBI")</f>
        <v>NCBI</v>
      </c>
      <c r="F1599">
        <v>4.7999999999999996E-3</v>
      </c>
      <c r="G1599">
        <v>5.0999999999999997E-2</v>
      </c>
      <c r="H1599" s="1" t="str">
        <f>HYPERLINK("http://www.weizmann.ac.il/complex/compphys/software/geview/data/figures/218984_at.png","Figure")</f>
        <v>Figure</v>
      </c>
      <c r="I1599">
        <v>0.995</v>
      </c>
      <c r="J1599">
        <v>1</v>
      </c>
      <c r="K1599">
        <v>1.96</v>
      </c>
      <c r="L1599">
        <v>0.01</v>
      </c>
      <c r="M1599">
        <v>1.97</v>
      </c>
      <c r="N1599">
        <v>1.4999999999999999E-2</v>
      </c>
    </row>
    <row r="1600" spans="1:14" x14ac:dyDescent="0.25">
      <c r="A1600" t="s">
        <v>2983</v>
      </c>
      <c r="B1600" t="s">
        <v>671</v>
      </c>
      <c r="C1600" s="1" t="str">
        <f>HYPERLINK("http://www.genecards.org/cgi-bin/carddisp.pl?gene=DALRD3","GeneCards")</f>
        <v>GeneCards</v>
      </c>
      <c r="D1600" s="1" t="str">
        <f>HYPERLINK("http://genome-euro.ucsc.edu/cgi-bin/hgTracks?position=218808_at","UCSC")</f>
        <v>UCSC</v>
      </c>
      <c r="E1600" s="1" t="str">
        <f>HYPERLINK("http://www.ncbi.nlm.nih.gov/gene/?term=DALRD3","NCBI")</f>
        <v>NCBI</v>
      </c>
      <c r="F1600">
        <v>4.7999999999999996E-3</v>
      </c>
      <c r="G1600">
        <v>5.0999999999999997E-2</v>
      </c>
      <c r="H1600" s="1" t="str">
        <f>HYPERLINK("http://www.weizmann.ac.il/complex/compphys/software/geview/data/figures/218808_at.png","Figure")</f>
        <v>Figure</v>
      </c>
      <c r="I1600">
        <v>1.46</v>
      </c>
      <c r="J1600">
        <v>5.1000000000000004E-3</v>
      </c>
      <c r="K1600">
        <v>1.29</v>
      </c>
      <c r="L1600">
        <v>2.5000000000000001E-2</v>
      </c>
      <c r="M1600">
        <v>0.88700000000000001</v>
      </c>
      <c r="N1600">
        <v>0.41</v>
      </c>
    </row>
    <row r="1601" spans="1:14" x14ac:dyDescent="0.25">
      <c r="A1601" t="s">
        <v>2984</v>
      </c>
      <c r="B1601" t="s">
        <v>2985</v>
      </c>
      <c r="C1601" s="1" t="str">
        <f>HYPERLINK("http://www.genecards.org/cgi-bin/carddisp.pl?gene=LSM8","GeneCards")</f>
        <v>GeneCards</v>
      </c>
      <c r="D1601" s="1" t="str">
        <f>HYPERLINK("http://genome-euro.ucsc.edu/cgi-bin/hgTracks?position=219119_at","UCSC")</f>
        <v>UCSC</v>
      </c>
      <c r="E1601" s="1" t="str">
        <f>HYPERLINK("http://www.ncbi.nlm.nih.gov/gene/?term=LSM8","NCBI")</f>
        <v>NCBI</v>
      </c>
      <c r="F1601">
        <v>4.7999999999999996E-3</v>
      </c>
      <c r="G1601">
        <v>5.0999999999999997E-2</v>
      </c>
      <c r="H1601" s="1" t="str">
        <f>HYPERLINK("http://www.weizmann.ac.il/complex/compphys/software/geview/data/figures/219119_at.png","Figure")</f>
        <v>Figure</v>
      </c>
      <c r="I1601">
        <v>0.99</v>
      </c>
      <c r="J1601">
        <v>1</v>
      </c>
      <c r="K1601">
        <v>0.68400000000000005</v>
      </c>
      <c r="L1601">
        <v>9.4999999999999998E-3</v>
      </c>
      <c r="M1601">
        <v>0.69099999999999995</v>
      </c>
      <c r="N1601">
        <v>1.7000000000000001E-2</v>
      </c>
    </row>
    <row r="1602" spans="1:14" x14ac:dyDescent="0.25">
      <c r="A1602" t="s">
        <v>2986</v>
      </c>
      <c r="B1602" t="s">
        <v>2987</v>
      </c>
      <c r="C1602" s="1" t="str">
        <f>HYPERLINK("http://www.genecards.org/cgi-bin/carddisp.pl?gene=C19orf50","GeneCards")</f>
        <v>GeneCards</v>
      </c>
      <c r="D1602" s="1" t="str">
        <f>HYPERLINK("http://genome-euro.ucsc.edu/cgi-bin/hgTracks?position=200076_s_at","UCSC")</f>
        <v>UCSC</v>
      </c>
      <c r="E1602" s="1" t="str">
        <f>HYPERLINK("http://www.ncbi.nlm.nih.gov/gene/?term=C19orf50","NCBI")</f>
        <v>NCBI</v>
      </c>
      <c r="F1602">
        <v>4.7999999999999996E-3</v>
      </c>
      <c r="G1602">
        <v>5.1999999999999998E-2</v>
      </c>
      <c r="H1602" s="1" t="str">
        <f>HYPERLINK("http://www.weizmann.ac.il/complex/compphys/software/geview/data/figures/200076_s_at.png","Figure")</f>
        <v>Figure</v>
      </c>
      <c r="I1602">
        <v>1.23</v>
      </c>
      <c r="J1602">
        <v>4.7000000000000002E-3</v>
      </c>
      <c r="K1602">
        <v>1.1499999999999999</v>
      </c>
      <c r="L1602">
        <v>0.03</v>
      </c>
      <c r="M1602">
        <v>0.92900000000000005</v>
      </c>
      <c r="N1602">
        <v>0.34</v>
      </c>
    </row>
    <row r="1603" spans="1:14" x14ac:dyDescent="0.25">
      <c r="A1603" t="s">
        <v>2988</v>
      </c>
      <c r="B1603" t="s">
        <v>2989</v>
      </c>
      <c r="C1603" s="1" t="str">
        <f>HYPERLINK("http://www.genecards.org/cgi-bin/carddisp.pl?gene=SPARC","GeneCards")</f>
        <v>GeneCards</v>
      </c>
      <c r="D1603" s="1" t="str">
        <f>HYPERLINK("http://genome-euro.ucsc.edu/cgi-bin/hgTracks?position=200665_s_at","UCSC")</f>
        <v>UCSC</v>
      </c>
      <c r="E1603" s="1" t="str">
        <f>HYPERLINK("http://www.ncbi.nlm.nih.gov/gene/?term=SPARC","NCBI")</f>
        <v>NCBI</v>
      </c>
      <c r="F1603">
        <v>4.8999999999999998E-3</v>
      </c>
      <c r="G1603">
        <v>5.1999999999999998E-2</v>
      </c>
      <c r="H1603" s="1" t="str">
        <f>HYPERLINK("http://www.weizmann.ac.il/complex/compphys/software/geview/data/figures/200665_s_at.png","Figure")</f>
        <v>Figure</v>
      </c>
      <c r="I1603">
        <v>0.59499999999999997</v>
      </c>
      <c r="J1603">
        <v>1.6E-2</v>
      </c>
      <c r="K1603">
        <v>1.06</v>
      </c>
      <c r="L1603">
        <v>0.91</v>
      </c>
      <c r="M1603">
        <v>1.78</v>
      </c>
      <c r="N1603">
        <v>5.0000000000000001E-3</v>
      </c>
    </row>
    <row r="1604" spans="1:14" x14ac:dyDescent="0.25">
      <c r="A1604" t="s">
        <v>2990</v>
      </c>
      <c r="B1604" t="s">
        <v>2991</v>
      </c>
      <c r="C1604" s="1" t="str">
        <f>HYPERLINK("http://www.genecards.org/cgi-bin/carddisp.pl?gene=BHLHE40","GeneCards")</f>
        <v>GeneCards</v>
      </c>
      <c r="D1604" s="1" t="str">
        <f>HYPERLINK("http://genome-euro.ucsc.edu/cgi-bin/hgTracks?position=201170_s_at","UCSC")</f>
        <v>UCSC</v>
      </c>
      <c r="E1604" s="1" t="str">
        <f>HYPERLINK("http://www.ncbi.nlm.nih.gov/gene/?term=BHLHE40","NCBI")</f>
        <v>NCBI</v>
      </c>
      <c r="F1604">
        <v>4.8999999999999998E-3</v>
      </c>
      <c r="G1604">
        <v>5.1999999999999998E-2</v>
      </c>
      <c r="H1604" s="1" t="str">
        <f>HYPERLINK("http://www.weizmann.ac.il/complex/compphys/software/geview/data/figures/201170_s_at.png","Figure")</f>
        <v>Figure</v>
      </c>
      <c r="I1604">
        <v>0.216</v>
      </c>
      <c r="J1604">
        <v>8.6E-3</v>
      </c>
      <c r="K1604">
        <v>0.27500000000000002</v>
      </c>
      <c r="L1604">
        <v>1.0999999999999999E-2</v>
      </c>
      <c r="M1604">
        <v>1.27</v>
      </c>
      <c r="N1604">
        <v>0.82</v>
      </c>
    </row>
    <row r="1605" spans="1:14" x14ac:dyDescent="0.25">
      <c r="A1605" t="s">
        <v>2992</v>
      </c>
      <c r="B1605" t="s">
        <v>2993</v>
      </c>
      <c r="C1605" s="1" t="str">
        <f>HYPERLINK("http://www.genecards.org/cgi-bin/carddisp.pl?gene=GUCA1B","GeneCards")</f>
        <v>GeneCards</v>
      </c>
      <c r="D1605" s="1" t="str">
        <f>HYPERLINK("http://genome-euro.ucsc.edu/cgi-bin/hgTracks?position=215841_at","UCSC")</f>
        <v>UCSC</v>
      </c>
      <c r="E1605" s="1" t="str">
        <f>HYPERLINK("http://www.ncbi.nlm.nih.gov/gene/?term=GUCA1B","NCBI")</f>
        <v>NCBI</v>
      </c>
      <c r="F1605">
        <v>4.8999999999999998E-3</v>
      </c>
      <c r="G1605">
        <v>5.1999999999999998E-2</v>
      </c>
      <c r="H1605" s="1" t="str">
        <f>HYPERLINK("http://www.weizmann.ac.il/complex/compphys/software/geview/data/figures/215841_at.png","Figure")</f>
        <v>Figure</v>
      </c>
      <c r="I1605">
        <v>1.26</v>
      </c>
      <c r="J1605">
        <v>3.5999999999999999E-3</v>
      </c>
      <c r="K1605">
        <v>1.1000000000000001</v>
      </c>
      <c r="L1605">
        <v>0.16</v>
      </c>
      <c r="M1605">
        <v>0.876</v>
      </c>
      <c r="N1605">
        <v>6.4000000000000001E-2</v>
      </c>
    </row>
    <row r="1606" spans="1:14" x14ac:dyDescent="0.25">
      <c r="A1606" t="s">
        <v>2994</v>
      </c>
      <c r="B1606" t="s">
        <v>2995</v>
      </c>
      <c r="C1606" s="1" t="str">
        <f>HYPERLINK("http://www.genecards.org/cgi-bin/carddisp.pl?gene=NDUFB1","GeneCards")</f>
        <v>GeneCards</v>
      </c>
      <c r="D1606" s="1" t="str">
        <f>HYPERLINK("http://genome-euro.ucsc.edu/cgi-bin/hgTracks?position=206790_s_at","UCSC")</f>
        <v>UCSC</v>
      </c>
      <c r="E1606" s="1" t="str">
        <f>HYPERLINK("http://www.ncbi.nlm.nih.gov/gene/?term=NDUFB1","NCBI")</f>
        <v>NCBI</v>
      </c>
      <c r="F1606">
        <v>4.8999999999999998E-3</v>
      </c>
      <c r="G1606">
        <v>5.1999999999999998E-2</v>
      </c>
      <c r="H1606" s="1" t="str">
        <f>HYPERLINK("http://www.weizmann.ac.il/complex/compphys/software/geview/data/figures/206790_s_at.png","Figure")</f>
        <v>Figure</v>
      </c>
      <c r="I1606">
        <v>0.70499999999999996</v>
      </c>
      <c r="J1606">
        <v>0.2</v>
      </c>
      <c r="K1606">
        <v>1.45</v>
      </c>
      <c r="L1606">
        <v>0.11</v>
      </c>
      <c r="M1606">
        <v>2.06</v>
      </c>
      <c r="N1606">
        <v>4.0000000000000001E-3</v>
      </c>
    </row>
    <row r="1607" spans="1:14" x14ac:dyDescent="0.25">
      <c r="A1607" t="s">
        <v>2996</v>
      </c>
      <c r="B1607" t="s">
        <v>2997</v>
      </c>
      <c r="C1607" s="1" t="str">
        <f>HYPERLINK("http://www.genecards.org/cgi-bin/carddisp.pl?gene=GRAMD4","GeneCards")</f>
        <v>GeneCards</v>
      </c>
      <c r="D1607" s="1" t="str">
        <f>HYPERLINK("http://genome-euro.ucsc.edu/cgi-bin/hgTracks?position=212856_at","UCSC")</f>
        <v>UCSC</v>
      </c>
      <c r="E1607" s="1" t="str">
        <f>HYPERLINK("http://www.ncbi.nlm.nih.gov/gene/?term=GRAMD4","NCBI")</f>
        <v>NCBI</v>
      </c>
      <c r="F1607">
        <v>4.8999999999999998E-3</v>
      </c>
      <c r="G1607">
        <v>5.1999999999999998E-2</v>
      </c>
      <c r="H1607" s="1" t="str">
        <f>HYPERLINK("http://www.weizmann.ac.il/complex/compphys/software/geview/data/figures/212856_at.png","Figure")</f>
        <v>Figure</v>
      </c>
      <c r="I1607">
        <v>1.89</v>
      </c>
      <c r="J1607">
        <v>4.1000000000000002E-2</v>
      </c>
      <c r="K1607">
        <v>2.23</v>
      </c>
      <c r="L1607">
        <v>4.1999999999999997E-3</v>
      </c>
      <c r="M1607">
        <v>1.18</v>
      </c>
      <c r="N1607">
        <v>0.73</v>
      </c>
    </row>
    <row r="1608" spans="1:14" x14ac:dyDescent="0.25">
      <c r="A1608" t="s">
        <v>2998</v>
      </c>
      <c r="B1608" t="s">
        <v>2999</v>
      </c>
      <c r="C1608" s="1" t="str">
        <f>HYPERLINK("http://www.genecards.org/cgi-bin/carddisp.pl?gene=ZMYM5","GeneCards")</f>
        <v>GeneCards</v>
      </c>
      <c r="D1608" s="1" t="str">
        <f>HYPERLINK("http://genome-euro.ucsc.edu/cgi-bin/hgTracks?position=215948_x_at","UCSC")</f>
        <v>UCSC</v>
      </c>
      <c r="E1608" s="1" t="str">
        <f>HYPERLINK("http://www.ncbi.nlm.nih.gov/gene/?term=ZMYM5","NCBI")</f>
        <v>NCBI</v>
      </c>
      <c r="F1608">
        <v>4.8999999999999998E-3</v>
      </c>
      <c r="G1608">
        <v>5.1999999999999998E-2</v>
      </c>
      <c r="H1608" s="1" t="str">
        <f>HYPERLINK("http://www.weizmann.ac.il/complex/compphys/software/geview/data/figures/215948_x_at.png","Figure")</f>
        <v>Figure</v>
      </c>
      <c r="I1608">
        <v>0.68</v>
      </c>
      <c r="J1608">
        <v>0.12</v>
      </c>
      <c r="K1608">
        <v>0.53200000000000003</v>
      </c>
      <c r="L1608">
        <v>3.5999999999999999E-3</v>
      </c>
      <c r="M1608">
        <v>0.78200000000000003</v>
      </c>
      <c r="N1608">
        <v>0.33</v>
      </c>
    </row>
    <row r="1609" spans="1:14" x14ac:dyDescent="0.25">
      <c r="A1609" t="s">
        <v>3000</v>
      </c>
      <c r="B1609" t="s">
        <v>3001</v>
      </c>
      <c r="C1609" s="1" t="str">
        <f>HYPERLINK("http://www.genecards.org/cgi-bin/carddisp.pl?gene=MAP4K4","GeneCards")</f>
        <v>GeneCards</v>
      </c>
      <c r="D1609" s="1" t="str">
        <f>HYPERLINK("http://genome-euro.ucsc.edu/cgi-bin/hgTracks?position=206571_s_at","UCSC")</f>
        <v>UCSC</v>
      </c>
      <c r="E1609" s="1" t="str">
        <f>HYPERLINK("http://www.ncbi.nlm.nih.gov/gene/?term=MAP4K4","NCBI")</f>
        <v>NCBI</v>
      </c>
      <c r="F1609">
        <v>4.8999999999999998E-3</v>
      </c>
      <c r="G1609">
        <v>5.1999999999999998E-2</v>
      </c>
      <c r="H1609" s="1" t="str">
        <f>HYPERLINK("http://www.weizmann.ac.il/complex/compphys/software/geview/data/figures/206571_s_at.png","Figure")</f>
        <v>Figure</v>
      </c>
      <c r="I1609">
        <v>0.95399999999999996</v>
      </c>
      <c r="J1609">
        <v>0.96</v>
      </c>
      <c r="K1609">
        <v>0.59799999999999998</v>
      </c>
      <c r="L1609">
        <v>8.0000000000000002E-3</v>
      </c>
      <c r="M1609">
        <v>0.627</v>
      </c>
      <c r="N1609">
        <v>2.1999999999999999E-2</v>
      </c>
    </row>
    <row r="1610" spans="1:14" x14ac:dyDescent="0.25">
      <c r="A1610" t="s">
        <v>3002</v>
      </c>
      <c r="B1610" t="s">
        <v>3003</v>
      </c>
      <c r="C1610" s="1" t="str">
        <f>HYPERLINK("http://www.genecards.org/cgi-bin/carddisp.pl?gene=HSD17B7","GeneCards")</f>
        <v>GeneCards</v>
      </c>
      <c r="D1610" s="1" t="str">
        <f>HYPERLINK("http://genome-euro.ucsc.edu/cgi-bin/hgTracks?position=220081_x_at","UCSC")</f>
        <v>UCSC</v>
      </c>
      <c r="E1610" s="1" t="str">
        <f>HYPERLINK("http://www.ncbi.nlm.nih.gov/gene/?term=HSD17B7","NCBI")</f>
        <v>NCBI</v>
      </c>
      <c r="F1610">
        <v>4.8999999999999998E-3</v>
      </c>
      <c r="G1610">
        <v>5.1999999999999998E-2</v>
      </c>
      <c r="H1610" s="1" t="str">
        <f>HYPERLINK("http://www.weizmann.ac.il/complex/compphys/software/geview/data/figures/220081_x_at.png","Figure")</f>
        <v>Figure</v>
      </c>
      <c r="I1610">
        <v>1.76</v>
      </c>
      <c r="J1610">
        <v>4.0000000000000001E-3</v>
      </c>
      <c r="K1610">
        <v>1.2</v>
      </c>
      <c r="L1610">
        <v>0.33</v>
      </c>
      <c r="M1610">
        <v>0.68200000000000005</v>
      </c>
      <c r="N1610">
        <v>3.1E-2</v>
      </c>
    </row>
    <row r="1611" spans="1:14" x14ac:dyDescent="0.25">
      <c r="A1611" t="s">
        <v>3004</v>
      </c>
      <c r="B1611" t="s">
        <v>3005</v>
      </c>
      <c r="C1611" s="1" t="str">
        <f>HYPERLINK("http://www.genecards.org/cgi-bin/carddisp.pl?gene=MOBKL3","GeneCards")</f>
        <v>GeneCards</v>
      </c>
      <c r="D1611" s="1" t="str">
        <f>HYPERLINK("http://genome-euro.ucsc.edu/cgi-bin/hgTracks?position=202918_s_at","UCSC")</f>
        <v>UCSC</v>
      </c>
      <c r="E1611" s="1" t="str">
        <f>HYPERLINK("http://www.ncbi.nlm.nih.gov/gene/?term=MOBKL3","NCBI")</f>
        <v>NCBI</v>
      </c>
      <c r="F1611">
        <v>4.8999999999999998E-3</v>
      </c>
      <c r="G1611">
        <v>5.1999999999999998E-2</v>
      </c>
      <c r="H1611" s="1" t="str">
        <f>HYPERLINK("http://www.weizmann.ac.il/complex/compphys/software/geview/data/figures/202918_s_at.png","Figure")</f>
        <v>Figure</v>
      </c>
      <c r="I1611">
        <v>0.86199999999999999</v>
      </c>
      <c r="J1611">
        <v>0.83</v>
      </c>
      <c r="K1611">
        <v>0.438</v>
      </c>
      <c r="L1611">
        <v>6.3E-3</v>
      </c>
      <c r="M1611">
        <v>0.50700000000000001</v>
      </c>
      <c r="N1611">
        <v>3.2000000000000001E-2</v>
      </c>
    </row>
    <row r="1612" spans="1:14" x14ac:dyDescent="0.25">
      <c r="A1612" t="s">
        <v>3006</v>
      </c>
      <c r="B1612" t="s">
        <v>3007</v>
      </c>
      <c r="C1612" s="1" t="str">
        <f>HYPERLINK("http://www.genecards.org/cgi-bin/carddisp.pl?gene=OGFR","GeneCards")</f>
        <v>GeneCards</v>
      </c>
      <c r="D1612" s="1" t="str">
        <f>HYPERLINK("http://genome-euro.ucsc.edu/cgi-bin/hgTracks?position=211512_s_at","UCSC")</f>
        <v>UCSC</v>
      </c>
      <c r="E1612" s="1" t="str">
        <f>HYPERLINK("http://www.ncbi.nlm.nih.gov/gene/?term=OGFR","NCBI")</f>
        <v>NCBI</v>
      </c>
      <c r="F1612">
        <v>4.8999999999999998E-3</v>
      </c>
      <c r="G1612">
        <v>5.1999999999999998E-2</v>
      </c>
      <c r="H1612" s="1" t="str">
        <f>HYPERLINK("http://www.weizmann.ac.il/complex/compphys/software/geview/data/figures/211512_s_at.png","Figure")</f>
        <v>Figure</v>
      </c>
      <c r="I1612">
        <v>1.57</v>
      </c>
      <c r="J1612">
        <v>6.1000000000000004E-3</v>
      </c>
      <c r="K1612">
        <v>1.39</v>
      </c>
      <c r="L1612">
        <v>1.7999999999999999E-2</v>
      </c>
      <c r="M1612">
        <v>0.89</v>
      </c>
      <c r="N1612">
        <v>0.56000000000000005</v>
      </c>
    </row>
    <row r="1613" spans="1:14" x14ac:dyDescent="0.25">
      <c r="A1613" t="s">
        <v>3008</v>
      </c>
      <c r="B1613" t="s">
        <v>1052</v>
      </c>
      <c r="C1613" s="1" t="str">
        <f>HYPERLINK("http://www.genecards.org/cgi-bin/carddisp.pl?gene=FTL","GeneCards")</f>
        <v>GeneCards</v>
      </c>
      <c r="D1613" s="1" t="str">
        <f>HYPERLINK("http://genome-euro.ucsc.edu/cgi-bin/hgTracks?position=212788_x_at","UCSC")</f>
        <v>UCSC</v>
      </c>
      <c r="E1613" s="1" t="str">
        <f>HYPERLINK("http://www.ncbi.nlm.nih.gov/gene/?term=FTL","NCBI")</f>
        <v>NCBI</v>
      </c>
      <c r="F1613">
        <v>4.8999999999999998E-3</v>
      </c>
      <c r="G1613">
        <v>5.1999999999999998E-2</v>
      </c>
      <c r="H1613" s="1" t="str">
        <f>HYPERLINK("http://www.weizmann.ac.il/complex/compphys/software/geview/data/figures/212788_x_at.png","Figure")</f>
        <v>Figure</v>
      </c>
      <c r="I1613">
        <v>0.70199999999999996</v>
      </c>
      <c r="J1613">
        <v>2.3E-2</v>
      </c>
      <c r="K1613">
        <v>0.67800000000000005</v>
      </c>
      <c r="L1613">
        <v>5.3E-3</v>
      </c>
      <c r="M1613">
        <v>0.96599999999999997</v>
      </c>
      <c r="N1613">
        <v>0.94</v>
      </c>
    </row>
    <row r="1614" spans="1:14" x14ac:dyDescent="0.25">
      <c r="A1614" t="s">
        <v>3009</v>
      </c>
      <c r="B1614" t="s">
        <v>3010</v>
      </c>
      <c r="C1614" s="1" t="str">
        <f>HYPERLINK("http://www.genecards.org/cgi-bin/carddisp.pl?gene=JMJD4","GeneCards")</f>
        <v>GeneCards</v>
      </c>
      <c r="D1614" s="1" t="str">
        <f>HYPERLINK("http://genome-euro.ucsc.edu/cgi-bin/hgTracks?position=218560_s_at","UCSC")</f>
        <v>UCSC</v>
      </c>
      <c r="E1614" s="1" t="str">
        <f>HYPERLINK("http://www.ncbi.nlm.nih.gov/gene/?term=JMJD4","NCBI")</f>
        <v>NCBI</v>
      </c>
      <c r="F1614">
        <v>4.8999999999999998E-3</v>
      </c>
      <c r="G1614">
        <v>5.1999999999999998E-2</v>
      </c>
      <c r="H1614" s="1" t="str">
        <f>HYPERLINK("http://www.weizmann.ac.il/complex/compphys/software/geview/data/figures/218560_s_at.png","Figure")</f>
        <v>Figure</v>
      </c>
      <c r="I1614">
        <v>1.23</v>
      </c>
      <c r="J1614">
        <v>4.5999999999999999E-2</v>
      </c>
      <c r="K1614">
        <v>1.31</v>
      </c>
      <c r="L1614">
        <v>4.1000000000000003E-3</v>
      </c>
      <c r="M1614">
        <v>1.06</v>
      </c>
      <c r="N1614">
        <v>0.69</v>
      </c>
    </row>
    <row r="1615" spans="1:14" x14ac:dyDescent="0.25">
      <c r="A1615" t="s">
        <v>3011</v>
      </c>
      <c r="B1615" t="s">
        <v>3012</v>
      </c>
      <c r="C1615" s="1" t="str">
        <f>HYPERLINK("http://www.genecards.org/cgi-bin/carddisp.pl?gene=TUBB2C","GeneCards")</f>
        <v>GeneCards</v>
      </c>
      <c r="D1615" s="1" t="str">
        <f>HYPERLINK("http://genome-euro.ucsc.edu/cgi-bin/hgTracks?position=213726_x_at","UCSC")</f>
        <v>UCSC</v>
      </c>
      <c r="E1615" s="1" t="str">
        <f>HYPERLINK("http://www.ncbi.nlm.nih.gov/gene/?term=TUBB2C","NCBI")</f>
        <v>NCBI</v>
      </c>
      <c r="F1615">
        <v>4.8999999999999998E-3</v>
      </c>
      <c r="G1615">
        <v>5.1999999999999998E-2</v>
      </c>
      <c r="H1615" s="1" t="str">
        <f>HYPERLINK("http://www.weizmann.ac.il/complex/compphys/software/geview/data/figures/213726_x_at.png","Figure")</f>
        <v>Figure</v>
      </c>
      <c r="I1615">
        <v>2</v>
      </c>
      <c r="J1615">
        <v>6.6000000000000003E-2</v>
      </c>
      <c r="K1615">
        <v>2.65</v>
      </c>
      <c r="L1615">
        <v>3.8999999999999998E-3</v>
      </c>
      <c r="M1615">
        <v>1.33</v>
      </c>
      <c r="N1615">
        <v>0.53</v>
      </c>
    </row>
    <row r="1616" spans="1:14" x14ac:dyDescent="0.25">
      <c r="A1616" t="s">
        <v>3013</v>
      </c>
      <c r="B1616" t="s">
        <v>3014</v>
      </c>
      <c r="C1616" s="1" t="str">
        <f>HYPERLINK("http://www.genecards.org/cgi-bin/carddisp.pl?gene=SH3YL1","GeneCards")</f>
        <v>GeneCards</v>
      </c>
      <c r="D1616" s="1" t="str">
        <f>HYPERLINK("http://genome-euro.ucsc.edu/cgi-bin/hgTracks?position=204019_s_at","UCSC")</f>
        <v>UCSC</v>
      </c>
      <c r="E1616" s="1" t="str">
        <f>HYPERLINK("http://www.ncbi.nlm.nih.gov/gene/?term=SH3YL1","NCBI")</f>
        <v>NCBI</v>
      </c>
      <c r="F1616">
        <v>4.8999999999999998E-3</v>
      </c>
      <c r="G1616">
        <v>5.1999999999999998E-2</v>
      </c>
      <c r="H1616" s="1" t="str">
        <f>HYPERLINK("http://www.weizmann.ac.il/complex/compphys/software/geview/data/figures/204019_s_at.png","Figure")</f>
        <v>Figure</v>
      </c>
      <c r="I1616">
        <v>0.98699999999999999</v>
      </c>
      <c r="J1616">
        <v>1</v>
      </c>
      <c r="K1616">
        <v>2.52</v>
      </c>
      <c r="L1616">
        <v>1.0999999999999999E-2</v>
      </c>
      <c r="M1616">
        <v>2.56</v>
      </c>
      <c r="N1616">
        <v>1.4999999999999999E-2</v>
      </c>
    </row>
    <row r="1617" spans="1:14" x14ac:dyDescent="0.25">
      <c r="A1617" t="s">
        <v>3015</v>
      </c>
      <c r="B1617" t="s">
        <v>2421</v>
      </c>
      <c r="C1617" s="1" t="str">
        <f>HYPERLINK("http://www.genecards.org/cgi-bin/carddisp.pl?gene=SARM1 /// TMEM199","GeneCards")</f>
        <v>GeneCards</v>
      </c>
      <c r="D1617" s="1" t="str">
        <f>HYPERLINK("http://genome-euro.ucsc.edu/cgi-bin/hgTracks?position=213259_s_at","UCSC")</f>
        <v>UCSC</v>
      </c>
      <c r="E1617" s="1" t="str">
        <f>HYPERLINK("http://www.ncbi.nlm.nih.gov/gene/?term=SARM1 /// TMEM199","NCBI")</f>
        <v>NCBI</v>
      </c>
      <c r="F1617">
        <v>4.8999999999999998E-3</v>
      </c>
      <c r="G1617">
        <v>5.1999999999999998E-2</v>
      </c>
      <c r="H1617" s="1" t="str">
        <f>HYPERLINK("http://www.weizmann.ac.il/complex/compphys/software/geview/data/figures/213259_s_at.png","Figure")</f>
        <v>Figure</v>
      </c>
      <c r="I1617">
        <v>1.04</v>
      </c>
      <c r="J1617">
        <v>0.79</v>
      </c>
      <c r="K1617">
        <v>1.24</v>
      </c>
      <c r="L1617">
        <v>6.0000000000000001E-3</v>
      </c>
      <c r="M1617">
        <v>1.19</v>
      </c>
      <c r="N1617">
        <v>3.5999999999999997E-2</v>
      </c>
    </row>
    <row r="1618" spans="1:14" x14ac:dyDescent="0.25">
      <c r="A1618" t="s">
        <v>3016</v>
      </c>
      <c r="B1618" t="s">
        <v>3017</v>
      </c>
      <c r="C1618" s="1" t="str">
        <f>HYPERLINK("http://www.genecards.org/cgi-bin/carddisp.pl?gene=LOC100133109","GeneCards")</f>
        <v>GeneCards</v>
      </c>
      <c r="D1618" s="1" t="str">
        <f>HYPERLINK("http://genome-euro.ucsc.edu/cgi-bin/hgTracks?position=213826_s_at","UCSC")</f>
        <v>UCSC</v>
      </c>
      <c r="E1618" s="1" t="str">
        <f>HYPERLINK("http://www.ncbi.nlm.nih.gov/gene/?term=LOC100133109","NCBI")</f>
        <v>NCBI</v>
      </c>
      <c r="F1618">
        <v>4.8999999999999998E-3</v>
      </c>
      <c r="G1618">
        <v>5.1999999999999998E-2</v>
      </c>
      <c r="H1618" s="1" t="str">
        <f>HYPERLINK("http://www.weizmann.ac.il/complex/compphys/software/geview/data/figures/213826_s_at.png","Figure")</f>
        <v>Figure</v>
      </c>
      <c r="I1618">
        <v>2.67</v>
      </c>
      <c r="J1618">
        <v>4.5999999999999999E-3</v>
      </c>
      <c r="K1618">
        <v>1.87</v>
      </c>
      <c r="L1618">
        <v>3.3000000000000002E-2</v>
      </c>
      <c r="M1618">
        <v>0.70199999999999996</v>
      </c>
      <c r="N1618">
        <v>0.32</v>
      </c>
    </row>
    <row r="1619" spans="1:14" x14ac:dyDescent="0.25">
      <c r="A1619" t="s">
        <v>3018</v>
      </c>
      <c r="B1619" t="s">
        <v>3019</v>
      </c>
      <c r="C1619" s="1" t="str">
        <f>HYPERLINK("http://www.genecards.org/cgi-bin/carddisp.pl?gene=HBP1","GeneCards")</f>
        <v>GeneCards</v>
      </c>
      <c r="D1619" s="1" t="str">
        <f>HYPERLINK("http://genome-euro.ucsc.edu/cgi-bin/hgTracks?position=209102_s_at","UCSC")</f>
        <v>UCSC</v>
      </c>
      <c r="E1619" s="1" t="str">
        <f>HYPERLINK("http://www.ncbi.nlm.nih.gov/gene/?term=HBP1","NCBI")</f>
        <v>NCBI</v>
      </c>
      <c r="F1619">
        <v>4.8999999999999998E-3</v>
      </c>
      <c r="G1619">
        <v>5.1999999999999998E-2</v>
      </c>
      <c r="H1619" s="1" t="str">
        <f>HYPERLINK("http://www.weizmann.ac.il/complex/compphys/software/geview/data/figures/209102_s_at.png","Figure")</f>
        <v>Figure</v>
      </c>
      <c r="I1619">
        <v>1.44</v>
      </c>
      <c r="J1619">
        <v>0.13</v>
      </c>
      <c r="K1619">
        <v>0.749</v>
      </c>
      <c r="L1619">
        <v>0.18</v>
      </c>
      <c r="M1619">
        <v>0.51900000000000002</v>
      </c>
      <c r="N1619">
        <v>3.8E-3</v>
      </c>
    </row>
    <row r="1620" spans="1:14" x14ac:dyDescent="0.25">
      <c r="A1620" t="s">
        <v>3020</v>
      </c>
      <c r="B1620" t="s">
        <v>3021</v>
      </c>
      <c r="C1620" s="1" t="str">
        <f>HYPERLINK("http://www.genecards.org/cgi-bin/carddisp.pl?gene=PFKFB2","GeneCards")</f>
        <v>GeneCards</v>
      </c>
      <c r="D1620" s="1" t="str">
        <f>HYPERLINK("http://genome-euro.ucsc.edu/cgi-bin/hgTracks?position=209992_at","UCSC")</f>
        <v>UCSC</v>
      </c>
      <c r="E1620" s="1" t="str">
        <f>HYPERLINK("http://www.ncbi.nlm.nih.gov/gene/?term=PFKFB2","NCBI")</f>
        <v>NCBI</v>
      </c>
      <c r="F1620">
        <v>4.8999999999999998E-3</v>
      </c>
      <c r="G1620">
        <v>5.1999999999999998E-2</v>
      </c>
      <c r="H1620" s="1" t="str">
        <f>HYPERLINK("http://www.weizmann.ac.il/complex/compphys/software/geview/data/figures/209992_at.png","Figure")</f>
        <v>Figure</v>
      </c>
      <c r="I1620">
        <v>0.94799999999999995</v>
      </c>
      <c r="J1620">
        <v>0.89</v>
      </c>
      <c r="K1620">
        <v>0.69299999999999995</v>
      </c>
      <c r="L1620">
        <v>7.0000000000000001E-3</v>
      </c>
      <c r="M1620">
        <v>0.73099999999999998</v>
      </c>
      <c r="N1620">
        <v>2.8000000000000001E-2</v>
      </c>
    </row>
    <row r="1621" spans="1:14" x14ac:dyDescent="0.25">
      <c r="A1621" t="s">
        <v>3022</v>
      </c>
      <c r="B1621" t="s">
        <v>3023</v>
      </c>
      <c r="C1621" s="1" t="str">
        <f>HYPERLINK("http://www.genecards.org/cgi-bin/carddisp.pl?gene=PDHA1","GeneCards")</f>
        <v>GeneCards</v>
      </c>
      <c r="D1621" s="1" t="str">
        <f>HYPERLINK("http://genome-euro.ucsc.edu/cgi-bin/hgTracks?position=200979_at","UCSC")</f>
        <v>UCSC</v>
      </c>
      <c r="E1621" s="1" t="str">
        <f>HYPERLINK("http://www.ncbi.nlm.nih.gov/gene/?term=PDHA1","NCBI")</f>
        <v>NCBI</v>
      </c>
      <c r="F1621">
        <v>5.0000000000000001E-3</v>
      </c>
      <c r="G1621">
        <v>5.1999999999999998E-2</v>
      </c>
      <c r="H1621" s="1" t="str">
        <f>HYPERLINK("http://www.weizmann.ac.il/complex/compphys/software/geview/data/figures/200979_at.png","Figure")</f>
        <v>Figure</v>
      </c>
      <c r="I1621">
        <v>0.498</v>
      </c>
      <c r="J1621">
        <v>1.2999999999999999E-2</v>
      </c>
      <c r="K1621">
        <v>1.04</v>
      </c>
      <c r="L1621">
        <v>0.98</v>
      </c>
      <c r="M1621">
        <v>2.08</v>
      </c>
      <c r="N1621">
        <v>5.7999999999999996E-3</v>
      </c>
    </row>
    <row r="1622" spans="1:14" x14ac:dyDescent="0.25">
      <c r="A1622" t="s">
        <v>3024</v>
      </c>
      <c r="B1622" t="s">
        <v>3025</v>
      </c>
      <c r="C1622" s="1" t="str">
        <f>HYPERLINK("http://www.genecards.org/cgi-bin/carddisp.pl?gene=ELAVL1","GeneCards")</f>
        <v>GeneCards</v>
      </c>
      <c r="D1622" s="1" t="str">
        <f>HYPERLINK("http://genome-euro.ucsc.edu/cgi-bin/hgTracks?position=201726_at","UCSC")</f>
        <v>UCSC</v>
      </c>
      <c r="E1622" s="1" t="str">
        <f>HYPERLINK("http://www.ncbi.nlm.nih.gov/gene/?term=ELAVL1","NCBI")</f>
        <v>NCBI</v>
      </c>
      <c r="F1622">
        <v>5.0000000000000001E-3</v>
      </c>
      <c r="G1622">
        <v>5.1999999999999998E-2</v>
      </c>
      <c r="H1622" s="1" t="str">
        <f>HYPERLINK("http://www.weizmann.ac.il/complex/compphys/software/geview/data/figures/201726_at.png","Figure")</f>
        <v>Figure</v>
      </c>
      <c r="I1622">
        <v>0.93400000000000005</v>
      </c>
      <c r="J1622">
        <v>0.96</v>
      </c>
      <c r="K1622">
        <v>2.0699999999999998</v>
      </c>
      <c r="L1622">
        <v>1.4E-2</v>
      </c>
      <c r="M1622">
        <v>2.21</v>
      </c>
      <c r="N1622">
        <v>1.2E-2</v>
      </c>
    </row>
    <row r="1623" spans="1:14" x14ac:dyDescent="0.25">
      <c r="A1623" t="s">
        <v>3026</v>
      </c>
      <c r="B1623" t="s">
        <v>3027</v>
      </c>
      <c r="C1623" s="1" t="str">
        <f>HYPERLINK("http://www.genecards.org/cgi-bin/carddisp.pl?gene=TIMM8B","GeneCards")</f>
        <v>GeneCards</v>
      </c>
      <c r="D1623" s="1" t="str">
        <f>HYPERLINK("http://genome-euro.ucsc.edu/cgi-bin/hgTracks?position=218357_s_at","UCSC")</f>
        <v>UCSC</v>
      </c>
      <c r="E1623" s="1" t="str">
        <f>HYPERLINK("http://www.ncbi.nlm.nih.gov/gene/?term=TIMM8B","NCBI")</f>
        <v>NCBI</v>
      </c>
      <c r="F1623">
        <v>5.0000000000000001E-3</v>
      </c>
      <c r="G1623">
        <v>5.1999999999999998E-2</v>
      </c>
      <c r="H1623" s="1" t="str">
        <f>HYPERLINK("http://www.weizmann.ac.il/complex/compphys/software/geview/data/figures/218357_s_at.png","Figure")</f>
        <v>Figure</v>
      </c>
      <c r="I1623">
        <v>1.04</v>
      </c>
      <c r="J1623">
        <v>0.99</v>
      </c>
      <c r="K1623">
        <v>1.92</v>
      </c>
      <c r="L1623">
        <v>8.9999999999999993E-3</v>
      </c>
      <c r="M1623">
        <v>1.86</v>
      </c>
      <c r="N1623">
        <v>1.9E-2</v>
      </c>
    </row>
    <row r="1624" spans="1:14" x14ac:dyDescent="0.25">
      <c r="A1624" t="s">
        <v>3028</v>
      </c>
      <c r="B1624" t="s">
        <v>3029</v>
      </c>
      <c r="C1624" s="1" t="str">
        <f>HYPERLINK("http://www.genecards.org/cgi-bin/carddisp.pl?gene=COIL","GeneCards")</f>
        <v>GeneCards</v>
      </c>
      <c r="D1624" s="1" t="str">
        <f>HYPERLINK("http://genome-euro.ucsc.edu/cgi-bin/hgTracks?position=203654_s_at","UCSC")</f>
        <v>UCSC</v>
      </c>
      <c r="E1624" s="1" t="str">
        <f>HYPERLINK("http://www.ncbi.nlm.nih.gov/gene/?term=COIL","NCBI")</f>
        <v>NCBI</v>
      </c>
      <c r="F1624">
        <v>5.0000000000000001E-3</v>
      </c>
      <c r="G1624">
        <v>5.1999999999999998E-2</v>
      </c>
      <c r="H1624" s="1" t="str">
        <f>HYPERLINK("http://www.weizmann.ac.il/complex/compphys/software/geview/data/figures/203654_s_at.png","Figure")</f>
        <v>Figure</v>
      </c>
      <c r="I1624">
        <v>0.499</v>
      </c>
      <c r="J1624">
        <v>4.3E-3</v>
      </c>
      <c r="K1624">
        <v>0.65700000000000003</v>
      </c>
      <c r="L1624">
        <v>4.1000000000000002E-2</v>
      </c>
      <c r="M1624">
        <v>1.31</v>
      </c>
      <c r="N1624">
        <v>0.25</v>
      </c>
    </row>
    <row r="1625" spans="1:14" x14ac:dyDescent="0.25">
      <c r="A1625" t="s">
        <v>3030</v>
      </c>
      <c r="B1625" t="s">
        <v>3031</v>
      </c>
      <c r="C1625" s="1" t="str">
        <f>HYPERLINK("http://www.genecards.org/cgi-bin/carddisp.pl?gene=SFRS18","GeneCards")</f>
        <v>GeneCards</v>
      </c>
      <c r="D1625" s="1" t="str">
        <f>HYPERLINK("http://genome-euro.ucsc.edu/cgi-bin/hgTracks?position=212179_at","UCSC")</f>
        <v>UCSC</v>
      </c>
      <c r="E1625" s="1" t="str">
        <f>HYPERLINK("http://www.ncbi.nlm.nih.gov/gene/?term=SFRS18","NCBI")</f>
        <v>NCBI</v>
      </c>
      <c r="F1625">
        <v>5.0000000000000001E-3</v>
      </c>
      <c r="G1625">
        <v>5.1999999999999998E-2</v>
      </c>
      <c r="H1625" s="1" t="str">
        <f>HYPERLINK("http://www.weizmann.ac.il/complex/compphys/software/geview/data/figures/212179_at.png","Figure")</f>
        <v>Figure</v>
      </c>
      <c r="I1625">
        <v>0.46700000000000003</v>
      </c>
      <c r="J1625">
        <v>5.7000000000000002E-3</v>
      </c>
      <c r="K1625">
        <v>0.876</v>
      </c>
      <c r="L1625">
        <v>0.73</v>
      </c>
      <c r="M1625">
        <v>1.88</v>
      </c>
      <c r="N1625">
        <v>1.2999999999999999E-2</v>
      </c>
    </row>
    <row r="1626" spans="1:14" x14ac:dyDescent="0.25">
      <c r="A1626" t="s">
        <v>3032</v>
      </c>
      <c r="B1626" t="s">
        <v>3033</v>
      </c>
      <c r="C1626" s="1" t="str">
        <f>HYPERLINK("http://www.genecards.org/cgi-bin/carddisp.pl?gene=RPS18","GeneCards")</f>
        <v>GeneCards</v>
      </c>
      <c r="D1626" s="1" t="str">
        <f>HYPERLINK("http://genome-euro.ucsc.edu/cgi-bin/hgTracks?position=201049_s_at","UCSC")</f>
        <v>UCSC</v>
      </c>
      <c r="E1626" s="1" t="str">
        <f>HYPERLINK("http://www.ncbi.nlm.nih.gov/gene/?term=RPS18","NCBI")</f>
        <v>NCBI</v>
      </c>
      <c r="F1626">
        <v>5.0000000000000001E-3</v>
      </c>
      <c r="G1626">
        <v>5.1999999999999998E-2</v>
      </c>
      <c r="H1626" s="1" t="str">
        <f>HYPERLINK("http://www.weizmann.ac.il/complex/compphys/software/geview/data/figures/201049_s_at.png","Figure")</f>
        <v>Figure</v>
      </c>
      <c r="I1626">
        <v>0.77600000000000002</v>
      </c>
      <c r="J1626">
        <v>0.26</v>
      </c>
      <c r="K1626">
        <v>1.36</v>
      </c>
      <c r="L1626">
        <v>8.6999999999999994E-2</v>
      </c>
      <c r="M1626">
        <v>1.75</v>
      </c>
      <c r="N1626">
        <v>4.3E-3</v>
      </c>
    </row>
    <row r="1627" spans="1:14" x14ac:dyDescent="0.25">
      <c r="A1627" t="s">
        <v>3034</v>
      </c>
      <c r="B1627" t="s">
        <v>3035</v>
      </c>
      <c r="C1627" s="1" t="str">
        <f>HYPERLINK("http://www.genecards.org/cgi-bin/carddisp.pl?gene=LPCAT4","GeneCards")</f>
        <v>GeneCards</v>
      </c>
      <c r="D1627" s="1" t="str">
        <f>HYPERLINK("http://genome-euro.ucsc.edu/cgi-bin/hgTracks?position=40472_at","UCSC")</f>
        <v>UCSC</v>
      </c>
      <c r="E1627" s="1" t="str">
        <f>HYPERLINK("http://www.ncbi.nlm.nih.gov/gene/?term=LPCAT4","NCBI")</f>
        <v>NCBI</v>
      </c>
      <c r="F1627">
        <v>5.0000000000000001E-3</v>
      </c>
      <c r="G1627">
        <v>5.1999999999999998E-2</v>
      </c>
      <c r="H1627" s="1" t="str">
        <f>HYPERLINK("http://www.weizmann.ac.il/complex/compphys/software/geview/data/figures/40472_at.png","Figure")</f>
        <v>Figure</v>
      </c>
      <c r="I1627">
        <v>0.92300000000000004</v>
      </c>
      <c r="J1627">
        <v>1.7000000000000001E-2</v>
      </c>
      <c r="K1627">
        <v>1.01</v>
      </c>
      <c r="L1627">
        <v>0.9</v>
      </c>
      <c r="M1627">
        <v>1.0900000000000001</v>
      </c>
      <c r="N1627">
        <v>5.0000000000000001E-3</v>
      </c>
    </row>
    <row r="1628" spans="1:14" x14ac:dyDescent="0.25">
      <c r="A1628" t="s">
        <v>3036</v>
      </c>
      <c r="B1628" t="s">
        <v>3037</v>
      </c>
      <c r="C1628" s="1" t="str">
        <f>HYPERLINK("http://www.genecards.org/cgi-bin/carddisp.pl?gene=CLCN3","GeneCards")</f>
        <v>GeneCards</v>
      </c>
      <c r="D1628" s="1" t="str">
        <f>HYPERLINK("http://genome-euro.ucsc.edu/cgi-bin/hgTracks?position=201735_s_at","UCSC")</f>
        <v>UCSC</v>
      </c>
      <c r="E1628" s="1" t="str">
        <f>HYPERLINK("http://www.ncbi.nlm.nih.gov/gene/?term=CLCN3","NCBI")</f>
        <v>NCBI</v>
      </c>
      <c r="F1628">
        <v>5.0000000000000001E-3</v>
      </c>
      <c r="G1628">
        <v>5.1999999999999998E-2</v>
      </c>
      <c r="H1628" s="1" t="str">
        <f>HYPERLINK("http://www.weizmann.ac.il/complex/compphys/software/geview/data/figures/201735_s_at.png","Figure")</f>
        <v>Figure</v>
      </c>
      <c r="I1628">
        <v>0.60899999999999999</v>
      </c>
      <c r="J1628">
        <v>0.02</v>
      </c>
      <c r="K1628">
        <v>1.0900000000000001</v>
      </c>
      <c r="L1628">
        <v>0.83</v>
      </c>
      <c r="M1628">
        <v>1.78</v>
      </c>
      <c r="N1628">
        <v>4.5999999999999999E-3</v>
      </c>
    </row>
    <row r="1629" spans="1:14" x14ac:dyDescent="0.25">
      <c r="A1629" t="s">
        <v>3038</v>
      </c>
      <c r="B1629" t="s">
        <v>3039</v>
      </c>
      <c r="C1629" s="1" t="str">
        <f>HYPERLINK("http://www.genecards.org/cgi-bin/carddisp.pl?gene=SHMT2","GeneCards")</f>
        <v>GeneCards</v>
      </c>
      <c r="D1629" s="1" t="str">
        <f>HYPERLINK("http://genome-euro.ucsc.edu/cgi-bin/hgTracks?position=214096_s_at","UCSC")</f>
        <v>UCSC</v>
      </c>
      <c r="E1629" s="1" t="str">
        <f>HYPERLINK("http://www.ncbi.nlm.nih.gov/gene/?term=SHMT2","NCBI")</f>
        <v>NCBI</v>
      </c>
      <c r="F1629">
        <v>5.0000000000000001E-3</v>
      </c>
      <c r="G1629">
        <v>5.1999999999999998E-2</v>
      </c>
      <c r="H1629" s="1" t="str">
        <f>HYPERLINK("http://www.weizmann.ac.il/complex/compphys/software/geview/data/figures/214096_s_at.png","Figure")</f>
        <v>Figure</v>
      </c>
      <c r="I1629">
        <v>1.39</v>
      </c>
      <c r="J1629">
        <v>5.5E-2</v>
      </c>
      <c r="K1629">
        <v>1.56</v>
      </c>
      <c r="L1629">
        <v>4.0000000000000001E-3</v>
      </c>
      <c r="M1629">
        <v>1.1200000000000001</v>
      </c>
      <c r="N1629">
        <v>0.61</v>
      </c>
    </row>
    <row r="1630" spans="1:14" x14ac:dyDescent="0.25">
      <c r="A1630" t="s">
        <v>3040</v>
      </c>
      <c r="B1630" t="s">
        <v>3041</v>
      </c>
      <c r="C1630" s="1" t="str">
        <f>HYPERLINK("http://www.genecards.org/cgi-bin/carddisp.pl?gene=ANXA2P2","GeneCards")</f>
        <v>GeneCards</v>
      </c>
      <c r="D1630" s="1" t="str">
        <f>HYPERLINK("http://genome-euro.ucsc.edu/cgi-bin/hgTracks?position=208816_x_at","UCSC")</f>
        <v>UCSC</v>
      </c>
      <c r="E1630" s="1" t="str">
        <f>HYPERLINK("http://www.ncbi.nlm.nih.gov/gene/?term=ANXA2P2","NCBI")</f>
        <v>NCBI</v>
      </c>
      <c r="F1630">
        <v>5.0000000000000001E-3</v>
      </c>
      <c r="G1630">
        <v>5.1999999999999998E-2</v>
      </c>
      <c r="H1630" s="1" t="str">
        <f>HYPERLINK("http://www.weizmann.ac.il/complex/compphys/software/geview/data/figures/208816_x_at.png","Figure")</f>
        <v>Figure</v>
      </c>
      <c r="I1630">
        <v>1.3</v>
      </c>
      <c r="J1630">
        <v>0.36</v>
      </c>
      <c r="K1630">
        <v>1.89</v>
      </c>
      <c r="L1630">
        <v>4.1000000000000003E-3</v>
      </c>
      <c r="M1630">
        <v>1.46</v>
      </c>
      <c r="N1630">
        <v>0.11</v>
      </c>
    </row>
    <row r="1631" spans="1:14" x14ac:dyDescent="0.25">
      <c r="A1631" t="s">
        <v>3042</v>
      </c>
      <c r="B1631" t="s">
        <v>3043</v>
      </c>
      <c r="C1631" s="1" t="str">
        <f>HYPERLINK("http://www.genecards.org/cgi-bin/carddisp.pl?gene=IDE","GeneCards")</f>
        <v>GeneCards</v>
      </c>
      <c r="D1631" s="1" t="str">
        <f>HYPERLINK("http://genome-euro.ucsc.edu/cgi-bin/hgTracks?position=203327_at","UCSC")</f>
        <v>UCSC</v>
      </c>
      <c r="E1631" s="1" t="str">
        <f>HYPERLINK("http://www.ncbi.nlm.nih.gov/gene/?term=IDE","NCBI")</f>
        <v>NCBI</v>
      </c>
      <c r="F1631">
        <v>5.0000000000000001E-3</v>
      </c>
      <c r="G1631">
        <v>5.1999999999999998E-2</v>
      </c>
      <c r="H1631" s="1" t="str">
        <f>HYPERLINK("http://www.weizmann.ac.il/complex/compphys/software/geview/data/figures/203327_at.png","Figure")</f>
        <v>Figure</v>
      </c>
      <c r="I1631">
        <v>0.80400000000000005</v>
      </c>
      <c r="J1631">
        <v>0.52</v>
      </c>
      <c r="K1631">
        <v>1.61</v>
      </c>
      <c r="L1631">
        <v>3.9E-2</v>
      </c>
      <c r="M1631">
        <v>2</v>
      </c>
      <c r="N1631">
        <v>5.8999999999999999E-3</v>
      </c>
    </row>
    <row r="1632" spans="1:14" x14ac:dyDescent="0.25">
      <c r="A1632" t="s">
        <v>3044</v>
      </c>
      <c r="B1632" t="s">
        <v>2003</v>
      </c>
      <c r="C1632" s="1" t="str">
        <f>HYPERLINK("http://www.genecards.org/cgi-bin/carddisp.pl?gene=TRAK1","GeneCards")</f>
        <v>GeneCards</v>
      </c>
      <c r="D1632" s="1" t="str">
        <f>HYPERLINK("http://genome-euro.ucsc.edu/cgi-bin/hgTracks?position=214924_s_at","UCSC")</f>
        <v>UCSC</v>
      </c>
      <c r="E1632" s="1" t="str">
        <f>HYPERLINK("http://www.ncbi.nlm.nih.gov/gene/?term=TRAK1","NCBI")</f>
        <v>NCBI</v>
      </c>
      <c r="F1632">
        <v>5.0000000000000001E-3</v>
      </c>
      <c r="G1632">
        <v>5.1999999999999998E-2</v>
      </c>
      <c r="H1632" s="1" t="str">
        <f>HYPERLINK("http://www.weizmann.ac.il/complex/compphys/software/geview/data/figures/214924_s_at.png","Figure")</f>
        <v>Figure</v>
      </c>
      <c r="I1632">
        <v>1.46</v>
      </c>
      <c r="J1632">
        <v>7.4000000000000003E-3</v>
      </c>
      <c r="K1632">
        <v>1.35</v>
      </c>
      <c r="L1632">
        <v>1.4E-2</v>
      </c>
      <c r="M1632">
        <v>0.92400000000000004</v>
      </c>
      <c r="N1632">
        <v>0.7</v>
      </c>
    </row>
    <row r="1633" spans="1:14" x14ac:dyDescent="0.25">
      <c r="A1633" t="s">
        <v>3045</v>
      </c>
      <c r="B1633" t="s">
        <v>3046</v>
      </c>
      <c r="C1633" s="1" t="str">
        <f>HYPERLINK("http://www.genecards.org/cgi-bin/carddisp.pl?gene=PARVB","GeneCards")</f>
        <v>GeneCards</v>
      </c>
      <c r="D1633" s="1" t="str">
        <f>HYPERLINK("http://genome-euro.ucsc.edu/cgi-bin/hgTracks?position=37966_at","UCSC")</f>
        <v>UCSC</v>
      </c>
      <c r="E1633" s="1" t="str">
        <f>HYPERLINK("http://www.ncbi.nlm.nih.gov/gene/?term=PARVB","NCBI")</f>
        <v>NCBI</v>
      </c>
      <c r="F1633">
        <v>5.0000000000000001E-3</v>
      </c>
      <c r="G1633">
        <v>5.1999999999999998E-2</v>
      </c>
      <c r="H1633" s="1" t="str">
        <f>HYPERLINK("http://www.weizmann.ac.il/complex/compphys/software/geview/data/figures/37966_at.png","Figure")</f>
        <v>Figure</v>
      </c>
      <c r="I1633">
        <v>0.72199999999999998</v>
      </c>
      <c r="J1633">
        <v>1.2999999999999999E-2</v>
      </c>
      <c r="K1633">
        <v>1.02</v>
      </c>
      <c r="L1633">
        <v>0.98</v>
      </c>
      <c r="M1633">
        <v>1.41</v>
      </c>
      <c r="N1633">
        <v>5.8999999999999999E-3</v>
      </c>
    </row>
    <row r="1634" spans="1:14" x14ac:dyDescent="0.25">
      <c r="A1634" t="s">
        <v>3047</v>
      </c>
      <c r="B1634" t="s">
        <v>3048</v>
      </c>
      <c r="C1634" s="1" t="str">
        <f>HYPERLINK("http://www.genecards.org/cgi-bin/carddisp.pl?gene=C9orf16","GeneCards")</f>
        <v>GeneCards</v>
      </c>
      <c r="D1634" s="1" t="str">
        <f>HYPERLINK("http://genome-euro.ucsc.edu/cgi-bin/hgTracks?position=41047_at","UCSC")</f>
        <v>UCSC</v>
      </c>
      <c r="E1634" s="1" t="str">
        <f>HYPERLINK("http://www.ncbi.nlm.nih.gov/gene/?term=C9orf16","NCBI")</f>
        <v>NCBI</v>
      </c>
      <c r="F1634">
        <v>5.0000000000000001E-3</v>
      </c>
      <c r="G1634">
        <v>5.1999999999999998E-2</v>
      </c>
      <c r="H1634" s="1" t="str">
        <f>HYPERLINK("http://www.weizmann.ac.il/complex/compphys/software/geview/data/figures/41047_at.png","Figure")</f>
        <v>Figure</v>
      </c>
      <c r="I1634">
        <v>1.54</v>
      </c>
      <c r="J1634">
        <v>2.8000000000000001E-2</v>
      </c>
      <c r="K1634">
        <v>1.65</v>
      </c>
      <c r="L1634">
        <v>5.0000000000000001E-3</v>
      </c>
      <c r="M1634">
        <v>1.07</v>
      </c>
      <c r="N1634">
        <v>0.89</v>
      </c>
    </row>
    <row r="1635" spans="1:14" x14ac:dyDescent="0.25">
      <c r="A1635" t="s">
        <v>3049</v>
      </c>
      <c r="B1635" t="s">
        <v>3050</v>
      </c>
      <c r="C1635" s="1" t="str">
        <f>HYPERLINK("http://www.genecards.org/cgi-bin/carddisp.pl?gene=MFF","GeneCards")</f>
        <v>GeneCards</v>
      </c>
      <c r="D1635" s="1" t="str">
        <f>HYPERLINK("http://genome-euro.ucsc.edu/cgi-bin/hgTracks?position=219137_s_at","UCSC")</f>
        <v>UCSC</v>
      </c>
      <c r="E1635" s="1" t="str">
        <f>HYPERLINK("http://www.ncbi.nlm.nih.gov/gene/?term=MFF","NCBI")</f>
        <v>NCBI</v>
      </c>
      <c r="F1635">
        <v>5.0000000000000001E-3</v>
      </c>
      <c r="G1635">
        <v>5.1999999999999998E-2</v>
      </c>
      <c r="H1635" s="1" t="str">
        <f>HYPERLINK("http://www.weizmann.ac.il/complex/compphys/software/geview/data/figures/219137_s_at.png","Figure")</f>
        <v>Figure</v>
      </c>
      <c r="I1635">
        <v>0.46300000000000002</v>
      </c>
      <c r="J1635">
        <v>1.4E-2</v>
      </c>
      <c r="K1635">
        <v>1.06</v>
      </c>
      <c r="L1635">
        <v>0.95</v>
      </c>
      <c r="M1635">
        <v>2.2999999999999998</v>
      </c>
      <c r="N1635">
        <v>5.4999999999999997E-3</v>
      </c>
    </row>
    <row r="1636" spans="1:14" x14ac:dyDescent="0.25">
      <c r="A1636" t="s">
        <v>3051</v>
      </c>
      <c r="B1636" t="s">
        <v>3052</v>
      </c>
      <c r="C1636" s="1" t="str">
        <f>HYPERLINK("http://www.genecards.org/cgi-bin/carddisp.pl?gene=IGHD","GeneCards")</f>
        <v>GeneCards</v>
      </c>
      <c r="D1636" s="1" t="str">
        <f>HYPERLINK("http://genome-euro.ucsc.edu/cgi-bin/hgTracks?position=222285_at","UCSC")</f>
        <v>UCSC</v>
      </c>
      <c r="E1636" s="1" t="str">
        <f>HYPERLINK("http://www.ncbi.nlm.nih.gov/gene/?term=IGHD","NCBI")</f>
        <v>NCBI</v>
      </c>
      <c r="F1636">
        <v>5.0000000000000001E-3</v>
      </c>
      <c r="G1636">
        <v>5.1999999999999998E-2</v>
      </c>
      <c r="H1636" s="1" t="str">
        <f>HYPERLINK("http://www.weizmann.ac.il/complex/compphys/software/geview/data/figures/222285_at.png","Figure")</f>
        <v>Figure</v>
      </c>
      <c r="I1636">
        <v>0.54600000000000004</v>
      </c>
      <c r="J1636">
        <v>3.3000000000000002E-2</v>
      </c>
      <c r="K1636">
        <v>1.2</v>
      </c>
      <c r="L1636">
        <v>0.6</v>
      </c>
      <c r="M1636">
        <v>2.2000000000000002</v>
      </c>
      <c r="N1636">
        <v>4.1000000000000003E-3</v>
      </c>
    </row>
    <row r="1637" spans="1:14" x14ac:dyDescent="0.25">
      <c r="A1637" t="s">
        <v>3053</v>
      </c>
      <c r="B1637" t="s">
        <v>3054</v>
      </c>
      <c r="C1637" s="1" t="str">
        <f>HYPERLINK("http://www.genecards.org/cgi-bin/carddisp.pl?gene=HMGB3","GeneCards")</f>
        <v>GeneCards</v>
      </c>
      <c r="D1637" s="1" t="str">
        <f>HYPERLINK("http://genome-euro.ucsc.edu/cgi-bin/hgTracks?position=203744_at","UCSC")</f>
        <v>UCSC</v>
      </c>
      <c r="E1637" s="1" t="str">
        <f>HYPERLINK("http://www.ncbi.nlm.nih.gov/gene/?term=HMGB3","NCBI")</f>
        <v>NCBI</v>
      </c>
      <c r="F1637">
        <v>5.1000000000000004E-3</v>
      </c>
      <c r="G1637">
        <v>5.1999999999999998E-2</v>
      </c>
      <c r="H1637" s="1" t="str">
        <f>HYPERLINK("http://www.weizmann.ac.il/complex/compphys/software/geview/data/figures/203744_at.png","Figure")</f>
        <v>Figure</v>
      </c>
      <c r="I1637">
        <v>0.51</v>
      </c>
      <c r="J1637">
        <v>2.5999999999999999E-2</v>
      </c>
      <c r="K1637">
        <v>1.17</v>
      </c>
      <c r="L1637">
        <v>0.7</v>
      </c>
      <c r="M1637">
        <v>2.2999999999999998</v>
      </c>
      <c r="N1637">
        <v>4.3E-3</v>
      </c>
    </row>
    <row r="1638" spans="1:14" x14ac:dyDescent="0.25">
      <c r="A1638" t="s">
        <v>3055</v>
      </c>
      <c r="B1638" t="s">
        <v>3056</v>
      </c>
      <c r="C1638" s="1" t="str">
        <f>HYPERLINK("http://www.genecards.org/cgi-bin/carddisp.pl?gene=BCAT2","GeneCards")</f>
        <v>GeneCards</v>
      </c>
      <c r="D1638" s="1" t="str">
        <f>HYPERLINK("http://genome-euro.ucsc.edu/cgi-bin/hgTracks?position=215654_at","UCSC")</f>
        <v>UCSC</v>
      </c>
      <c r="E1638" s="1" t="str">
        <f>HYPERLINK("http://www.ncbi.nlm.nih.gov/gene/?term=BCAT2","NCBI")</f>
        <v>NCBI</v>
      </c>
      <c r="F1638">
        <v>5.1000000000000004E-3</v>
      </c>
      <c r="G1638">
        <v>5.1999999999999998E-2</v>
      </c>
      <c r="H1638" s="1" t="str">
        <f>HYPERLINK("http://www.weizmann.ac.il/complex/compphys/software/geview/data/figures/215654_at.png","Figure")</f>
        <v>Figure</v>
      </c>
      <c r="I1638">
        <v>1.26</v>
      </c>
      <c r="J1638">
        <v>4.1999999999999997E-3</v>
      </c>
      <c r="K1638">
        <v>1.07</v>
      </c>
      <c r="L1638">
        <v>0.37</v>
      </c>
      <c r="M1638">
        <v>0.85199999999999998</v>
      </c>
      <c r="N1638">
        <v>2.8000000000000001E-2</v>
      </c>
    </row>
    <row r="1639" spans="1:14" x14ac:dyDescent="0.25">
      <c r="A1639" t="s">
        <v>3057</v>
      </c>
      <c r="B1639" t="s">
        <v>3058</v>
      </c>
      <c r="C1639" s="1" t="str">
        <f>HYPERLINK("http://www.genecards.org/cgi-bin/carddisp.pl?gene=IGFALS","GeneCards")</f>
        <v>GeneCards</v>
      </c>
      <c r="D1639" s="1" t="str">
        <f>HYPERLINK("http://genome-euro.ucsc.edu/cgi-bin/hgTracks?position=215712_s_at","UCSC")</f>
        <v>UCSC</v>
      </c>
      <c r="E1639" s="1" t="str">
        <f>HYPERLINK("http://www.ncbi.nlm.nih.gov/gene/?term=IGFALS","NCBI")</f>
        <v>NCBI</v>
      </c>
      <c r="F1639">
        <v>5.1000000000000004E-3</v>
      </c>
      <c r="G1639">
        <v>5.1999999999999998E-2</v>
      </c>
      <c r="H1639" s="1" t="str">
        <f>HYPERLINK("http://www.weizmann.ac.il/complex/compphys/software/geview/data/figures/215712_s_at.png","Figure")</f>
        <v>Figure</v>
      </c>
      <c r="I1639">
        <v>1.63</v>
      </c>
      <c r="J1639">
        <v>4.4000000000000003E-3</v>
      </c>
      <c r="K1639">
        <v>1.34</v>
      </c>
      <c r="L1639">
        <v>4.2999999999999997E-2</v>
      </c>
      <c r="M1639">
        <v>0.82299999999999995</v>
      </c>
      <c r="N1639">
        <v>0.25</v>
      </c>
    </row>
    <row r="1640" spans="1:14" x14ac:dyDescent="0.25">
      <c r="A1640" t="s">
        <v>3059</v>
      </c>
      <c r="B1640" t="s">
        <v>3060</v>
      </c>
      <c r="C1640" s="1" t="str">
        <f>HYPERLINK("http://www.genecards.org/cgi-bin/carddisp.pl?gene=ITFG2","GeneCards")</f>
        <v>GeneCards</v>
      </c>
      <c r="D1640" s="1" t="str">
        <f>HYPERLINK("http://genome-euro.ucsc.edu/cgi-bin/hgTracks?position=220589_s_at","UCSC")</f>
        <v>UCSC</v>
      </c>
      <c r="E1640" s="1" t="str">
        <f>HYPERLINK("http://www.ncbi.nlm.nih.gov/gene/?term=ITFG2","NCBI")</f>
        <v>NCBI</v>
      </c>
      <c r="F1640">
        <v>5.1000000000000004E-3</v>
      </c>
      <c r="G1640">
        <v>5.1999999999999998E-2</v>
      </c>
      <c r="H1640" s="1" t="str">
        <f>HYPERLINK("http://www.weizmann.ac.il/complex/compphys/software/geview/data/figures/220589_s_at.png","Figure")</f>
        <v>Figure</v>
      </c>
      <c r="I1640">
        <v>1.17</v>
      </c>
      <c r="J1640">
        <v>1.7000000000000001E-2</v>
      </c>
      <c r="K1640">
        <v>1.18</v>
      </c>
      <c r="L1640">
        <v>6.4999999999999997E-3</v>
      </c>
      <c r="M1640">
        <v>1</v>
      </c>
      <c r="N1640">
        <v>1</v>
      </c>
    </row>
    <row r="1641" spans="1:14" x14ac:dyDescent="0.25">
      <c r="A1641" t="s">
        <v>3061</v>
      </c>
      <c r="B1641" t="s">
        <v>794</v>
      </c>
      <c r="C1641" s="1" t="str">
        <f>HYPERLINK("http://www.genecards.org/cgi-bin/carddisp.pl?gene=DAB2","GeneCards")</f>
        <v>GeneCards</v>
      </c>
      <c r="D1641" s="1" t="str">
        <f>HYPERLINK("http://genome-euro.ucsc.edu/cgi-bin/hgTracks?position=210757_x_at","UCSC")</f>
        <v>UCSC</v>
      </c>
      <c r="E1641" s="1" t="str">
        <f>HYPERLINK("http://www.ncbi.nlm.nih.gov/gene/?term=DAB2","NCBI")</f>
        <v>NCBI</v>
      </c>
      <c r="F1641">
        <v>5.1000000000000004E-3</v>
      </c>
      <c r="G1641">
        <v>5.2999999999999999E-2</v>
      </c>
      <c r="H1641" s="1" t="str">
        <f>HYPERLINK("http://www.weizmann.ac.il/complex/compphys/software/geview/data/figures/210757_x_at.png","Figure")</f>
        <v>Figure</v>
      </c>
      <c r="I1641">
        <v>0.747</v>
      </c>
      <c r="J1641">
        <v>4.0000000000000001E-3</v>
      </c>
      <c r="K1641">
        <v>0.85299999999999998</v>
      </c>
      <c r="L1641">
        <v>6.5000000000000002E-2</v>
      </c>
      <c r="M1641">
        <v>1.1399999999999999</v>
      </c>
      <c r="N1641">
        <v>0.16</v>
      </c>
    </row>
    <row r="1642" spans="1:14" x14ac:dyDescent="0.25">
      <c r="A1642" t="s">
        <v>3062</v>
      </c>
      <c r="B1642" t="s">
        <v>3063</v>
      </c>
      <c r="C1642" s="1" t="str">
        <f>HYPERLINK("http://www.genecards.org/cgi-bin/carddisp.pl?gene=PRKACG","GeneCards")</f>
        <v>GeneCards</v>
      </c>
      <c r="D1642" s="1" t="str">
        <f>HYPERLINK("http://genome-euro.ucsc.edu/cgi-bin/hgTracks?position=207228_at","UCSC")</f>
        <v>UCSC</v>
      </c>
      <c r="E1642" s="1" t="str">
        <f>HYPERLINK("http://www.ncbi.nlm.nih.gov/gene/?term=PRKACG","NCBI")</f>
        <v>NCBI</v>
      </c>
      <c r="F1642">
        <v>5.1000000000000004E-3</v>
      </c>
      <c r="G1642">
        <v>5.2999999999999999E-2</v>
      </c>
      <c r="H1642" s="1" t="str">
        <f>HYPERLINK("http://www.weizmann.ac.il/complex/compphys/software/geview/data/figures/207228_at.png","Figure")</f>
        <v>Figure</v>
      </c>
      <c r="I1642">
        <v>1.3</v>
      </c>
      <c r="J1642">
        <v>4.5999999999999999E-3</v>
      </c>
      <c r="K1642">
        <v>1.17</v>
      </c>
      <c r="L1642">
        <v>3.6999999999999998E-2</v>
      </c>
      <c r="M1642">
        <v>0.90700000000000003</v>
      </c>
      <c r="N1642">
        <v>0.28999999999999998</v>
      </c>
    </row>
    <row r="1643" spans="1:14" x14ac:dyDescent="0.25">
      <c r="A1643" t="s">
        <v>3064</v>
      </c>
      <c r="B1643" t="s">
        <v>3065</v>
      </c>
      <c r="C1643" s="1" t="str">
        <f>HYPERLINK("http://www.genecards.org/cgi-bin/carddisp.pl?gene=CABP2","GeneCards")</f>
        <v>GeneCards</v>
      </c>
      <c r="D1643" s="1" t="str">
        <f>HYPERLINK("http://genome-euro.ucsc.edu/cgi-bin/hgTracks?position=207745_at","UCSC")</f>
        <v>UCSC</v>
      </c>
      <c r="E1643" s="1" t="str">
        <f>HYPERLINK("http://www.ncbi.nlm.nih.gov/gene/?term=CABP2","NCBI")</f>
        <v>NCBI</v>
      </c>
      <c r="F1643">
        <v>5.1000000000000004E-3</v>
      </c>
      <c r="G1643">
        <v>5.2999999999999999E-2</v>
      </c>
      <c r="H1643" s="1" t="str">
        <f>HYPERLINK("http://www.weizmann.ac.il/complex/compphys/software/geview/data/figures/207745_at.png","Figure")</f>
        <v>Figure</v>
      </c>
      <c r="I1643">
        <v>1.17</v>
      </c>
      <c r="J1643">
        <v>8.0000000000000002E-3</v>
      </c>
      <c r="K1643">
        <v>1.1399999999999999</v>
      </c>
      <c r="L1643">
        <v>1.2999999999999999E-2</v>
      </c>
      <c r="M1643">
        <v>0.97</v>
      </c>
      <c r="N1643">
        <v>0.74</v>
      </c>
    </row>
    <row r="1644" spans="1:14" x14ac:dyDescent="0.25">
      <c r="A1644" t="s">
        <v>3066</v>
      </c>
      <c r="B1644" t="s">
        <v>3067</v>
      </c>
      <c r="C1644" s="1" t="str">
        <f>HYPERLINK("http://www.genecards.org/cgi-bin/carddisp.pl?gene=C12orf29","GeneCards")</f>
        <v>GeneCards</v>
      </c>
      <c r="D1644" s="1" t="str">
        <f>HYPERLINK("http://genome-euro.ucsc.edu/cgi-bin/hgTracks?position=213701_at","UCSC")</f>
        <v>UCSC</v>
      </c>
      <c r="E1644" s="1" t="str">
        <f>HYPERLINK("http://www.ncbi.nlm.nih.gov/gene/?term=C12orf29","NCBI")</f>
        <v>NCBI</v>
      </c>
      <c r="F1644">
        <v>5.1000000000000004E-3</v>
      </c>
      <c r="G1644">
        <v>5.2999999999999999E-2</v>
      </c>
      <c r="H1644" s="1" t="str">
        <f>HYPERLINK("http://www.weizmann.ac.il/complex/compphys/software/geview/data/figures/213701_at.png","Figure")</f>
        <v>Figure</v>
      </c>
      <c r="I1644">
        <v>0.79100000000000004</v>
      </c>
      <c r="J1644">
        <v>1.0999999999999999E-2</v>
      </c>
      <c r="K1644">
        <v>1</v>
      </c>
      <c r="L1644">
        <v>1</v>
      </c>
      <c r="M1644">
        <v>1.26</v>
      </c>
      <c r="N1644">
        <v>6.7999999999999996E-3</v>
      </c>
    </row>
    <row r="1645" spans="1:14" x14ac:dyDescent="0.25">
      <c r="A1645" t="s">
        <v>3068</v>
      </c>
      <c r="B1645" t="s">
        <v>1273</v>
      </c>
      <c r="C1645" s="1" t="str">
        <f>HYPERLINK("http://www.genecards.org/cgi-bin/carddisp.pl?gene=ACTG1","GeneCards")</f>
        <v>GeneCards</v>
      </c>
      <c r="D1645" s="1" t="str">
        <f>HYPERLINK("http://genome-euro.ucsc.edu/cgi-bin/hgTracks?position=201550_x_at","UCSC")</f>
        <v>UCSC</v>
      </c>
      <c r="E1645" s="1" t="str">
        <f>HYPERLINK("http://www.ncbi.nlm.nih.gov/gene/?term=ACTG1","NCBI")</f>
        <v>NCBI</v>
      </c>
      <c r="F1645">
        <v>5.1000000000000004E-3</v>
      </c>
      <c r="G1645">
        <v>5.2999999999999999E-2</v>
      </c>
      <c r="H1645" s="1" t="str">
        <f>HYPERLINK("http://www.weizmann.ac.il/complex/compphys/software/geview/data/figures/201550_x_at.png","Figure")</f>
        <v>Figure</v>
      </c>
      <c r="I1645">
        <v>1.1499999999999999</v>
      </c>
      <c r="J1645">
        <v>0.16</v>
      </c>
      <c r="K1645">
        <v>1.28</v>
      </c>
      <c r="L1645">
        <v>3.8E-3</v>
      </c>
      <c r="M1645">
        <v>1.1200000000000001</v>
      </c>
      <c r="N1645">
        <v>0.26</v>
      </c>
    </row>
    <row r="1646" spans="1:14" x14ac:dyDescent="0.25">
      <c r="A1646" t="s">
        <v>3069</v>
      </c>
      <c r="B1646" t="s">
        <v>3070</v>
      </c>
      <c r="C1646" s="1" t="str">
        <f>HYPERLINK("http://www.genecards.org/cgi-bin/carddisp.pl?gene=GNAS","GeneCards")</f>
        <v>GeneCards</v>
      </c>
      <c r="D1646" s="1" t="str">
        <f>HYPERLINK("http://genome-euro.ucsc.edu/cgi-bin/hgTracks?position=211858_x_at","UCSC")</f>
        <v>UCSC</v>
      </c>
      <c r="E1646" s="1" t="str">
        <f>HYPERLINK("http://www.ncbi.nlm.nih.gov/gene/?term=GNAS","NCBI")</f>
        <v>NCBI</v>
      </c>
      <c r="F1646">
        <v>5.1000000000000004E-3</v>
      </c>
      <c r="G1646">
        <v>5.2999999999999999E-2</v>
      </c>
      <c r="H1646" s="1" t="str">
        <f>HYPERLINK("http://www.weizmann.ac.il/complex/compphys/software/geview/data/figures/211858_x_at.png","Figure")</f>
        <v>Figure</v>
      </c>
      <c r="I1646">
        <v>1.25</v>
      </c>
      <c r="J1646">
        <v>4.5999999999999999E-2</v>
      </c>
      <c r="K1646">
        <v>0.91500000000000004</v>
      </c>
      <c r="L1646">
        <v>0.46</v>
      </c>
      <c r="M1646">
        <v>0.73</v>
      </c>
      <c r="N1646">
        <v>3.8999999999999998E-3</v>
      </c>
    </row>
    <row r="1647" spans="1:14" x14ac:dyDescent="0.25">
      <c r="A1647" t="s">
        <v>3071</v>
      </c>
      <c r="B1647" t="s">
        <v>1806</v>
      </c>
      <c r="C1647" s="1" t="str">
        <f>HYPERLINK("http://www.genecards.org/cgi-bin/carddisp.pl?gene=LDB3","GeneCards")</f>
        <v>GeneCards</v>
      </c>
      <c r="D1647" s="1" t="str">
        <f>HYPERLINK("http://genome-euro.ucsc.edu/cgi-bin/hgTracks?position=216887_s_at","UCSC")</f>
        <v>UCSC</v>
      </c>
      <c r="E1647" s="1" t="str">
        <f>HYPERLINK("http://www.ncbi.nlm.nih.gov/gene/?term=LDB3","NCBI")</f>
        <v>NCBI</v>
      </c>
      <c r="F1647">
        <v>5.1000000000000004E-3</v>
      </c>
      <c r="G1647">
        <v>5.2999999999999999E-2</v>
      </c>
      <c r="H1647" s="1" t="str">
        <f>HYPERLINK("http://www.weizmann.ac.il/complex/compphys/software/geview/data/figures/216887_s_at.png","Figure")</f>
        <v>Figure</v>
      </c>
      <c r="I1647">
        <v>1.1399999999999999</v>
      </c>
      <c r="J1647">
        <v>4.2000000000000003E-2</v>
      </c>
      <c r="K1647">
        <v>0.95199999999999996</v>
      </c>
      <c r="L1647">
        <v>0.49</v>
      </c>
      <c r="M1647">
        <v>0.83399999999999996</v>
      </c>
      <c r="N1647">
        <v>3.8999999999999998E-3</v>
      </c>
    </row>
    <row r="1648" spans="1:14" x14ac:dyDescent="0.25">
      <c r="A1648" t="s">
        <v>3072</v>
      </c>
      <c r="B1648" t="s">
        <v>3073</v>
      </c>
      <c r="C1648" s="1" t="str">
        <f>HYPERLINK("http://www.genecards.org/cgi-bin/carddisp.pl?gene=PREP","GeneCards")</f>
        <v>GeneCards</v>
      </c>
      <c r="D1648" s="1" t="str">
        <f>HYPERLINK("http://genome-euro.ucsc.edu/cgi-bin/hgTracks?position=37950_at","UCSC")</f>
        <v>UCSC</v>
      </c>
      <c r="E1648" s="1" t="str">
        <f>HYPERLINK("http://www.ncbi.nlm.nih.gov/gene/?term=PREP","NCBI")</f>
        <v>NCBI</v>
      </c>
      <c r="F1648">
        <v>5.1000000000000004E-3</v>
      </c>
      <c r="G1648">
        <v>5.2999999999999999E-2</v>
      </c>
      <c r="H1648" s="1" t="str">
        <f>HYPERLINK("http://www.weizmann.ac.il/complex/compphys/software/geview/data/figures/37950_at.png","Figure")</f>
        <v>Figure</v>
      </c>
      <c r="I1648">
        <v>0.72</v>
      </c>
      <c r="J1648">
        <v>1.2999999999999999E-2</v>
      </c>
      <c r="K1648">
        <v>1.01</v>
      </c>
      <c r="L1648">
        <v>0.99</v>
      </c>
      <c r="M1648">
        <v>1.41</v>
      </c>
      <c r="N1648">
        <v>6.1000000000000004E-3</v>
      </c>
    </row>
    <row r="1649" spans="1:14" x14ac:dyDescent="0.25">
      <c r="A1649" t="s">
        <v>3074</v>
      </c>
      <c r="B1649" t="s">
        <v>3075</v>
      </c>
      <c r="C1649" s="1" t="str">
        <f>HYPERLINK("http://www.genecards.org/cgi-bin/carddisp.pl?gene=GRWD1","GeneCards")</f>
        <v>GeneCards</v>
      </c>
      <c r="D1649" s="1" t="str">
        <f>HYPERLINK("http://genome-euro.ucsc.edu/cgi-bin/hgTracks?position=221549_at","UCSC")</f>
        <v>UCSC</v>
      </c>
      <c r="E1649" s="1" t="str">
        <f>HYPERLINK("http://www.ncbi.nlm.nih.gov/gene/?term=GRWD1","NCBI")</f>
        <v>NCBI</v>
      </c>
      <c r="F1649">
        <v>5.1000000000000004E-3</v>
      </c>
      <c r="G1649">
        <v>5.2999999999999999E-2</v>
      </c>
      <c r="H1649" s="1" t="str">
        <f>HYPERLINK("http://www.weizmann.ac.il/complex/compphys/software/geview/data/figures/221549_at.png","Figure")</f>
        <v>Figure</v>
      </c>
      <c r="I1649">
        <v>1.58</v>
      </c>
      <c r="J1649">
        <v>5.7000000000000002E-3</v>
      </c>
      <c r="K1649">
        <v>1.38</v>
      </c>
      <c r="L1649">
        <v>2.1999999999999999E-2</v>
      </c>
      <c r="M1649">
        <v>0.874</v>
      </c>
      <c r="N1649">
        <v>0.47</v>
      </c>
    </row>
    <row r="1650" spans="1:14" x14ac:dyDescent="0.25">
      <c r="A1650" t="s">
        <v>3076</v>
      </c>
      <c r="B1650" t="s">
        <v>3077</v>
      </c>
      <c r="C1650" s="1" t="str">
        <f>HYPERLINK("http://www.genecards.org/cgi-bin/carddisp.pl?gene=PKIA","GeneCards")</f>
        <v>GeneCards</v>
      </c>
      <c r="D1650" s="1" t="str">
        <f>HYPERLINK("http://genome-euro.ucsc.edu/cgi-bin/hgTracks?position=204612_at","UCSC")</f>
        <v>UCSC</v>
      </c>
      <c r="E1650" s="1" t="str">
        <f>HYPERLINK("http://www.ncbi.nlm.nih.gov/gene/?term=PKIA","NCBI")</f>
        <v>NCBI</v>
      </c>
      <c r="F1650">
        <v>5.1999999999999998E-3</v>
      </c>
      <c r="G1650">
        <v>5.2999999999999999E-2</v>
      </c>
      <c r="H1650" s="1" t="str">
        <f>HYPERLINK("http://www.weizmann.ac.il/complex/compphys/software/geview/data/figures/204612_at.png","Figure")</f>
        <v>Figure</v>
      </c>
      <c r="I1650">
        <v>1.6</v>
      </c>
      <c r="J1650">
        <v>7.1000000000000004E-3</v>
      </c>
      <c r="K1650">
        <v>1.06</v>
      </c>
      <c r="L1650">
        <v>0.87</v>
      </c>
      <c r="M1650">
        <v>0.66200000000000003</v>
      </c>
      <c r="N1650">
        <v>0.01</v>
      </c>
    </row>
    <row r="1651" spans="1:14" x14ac:dyDescent="0.25">
      <c r="A1651" t="s">
        <v>3078</v>
      </c>
      <c r="B1651" t="s">
        <v>392</v>
      </c>
      <c r="C1651" s="1" t="str">
        <f>HYPERLINK("http://www.genecards.org/cgi-bin/carddisp.pl?gene=OGT","GeneCards")</f>
        <v>GeneCards</v>
      </c>
      <c r="D1651" s="1" t="str">
        <f>HYPERLINK("http://genome-euro.ucsc.edu/cgi-bin/hgTracks?position=207563_s_at","UCSC")</f>
        <v>UCSC</v>
      </c>
      <c r="E1651" s="1" t="str">
        <f>HYPERLINK("http://www.ncbi.nlm.nih.gov/gene/?term=OGT","NCBI")</f>
        <v>NCBI</v>
      </c>
      <c r="F1651">
        <v>5.1999999999999998E-3</v>
      </c>
      <c r="G1651">
        <v>5.2999999999999999E-2</v>
      </c>
      <c r="H1651" s="1" t="str">
        <f>HYPERLINK("http://www.weizmann.ac.il/complex/compphys/software/geview/data/figures/207563_s_at.png","Figure")</f>
        <v>Figure</v>
      </c>
      <c r="I1651">
        <v>0.65100000000000002</v>
      </c>
      <c r="J1651">
        <v>8.5000000000000006E-2</v>
      </c>
      <c r="K1651">
        <v>1.3</v>
      </c>
      <c r="L1651">
        <v>0.27</v>
      </c>
      <c r="M1651">
        <v>2</v>
      </c>
      <c r="N1651">
        <v>3.8E-3</v>
      </c>
    </row>
    <row r="1652" spans="1:14" x14ac:dyDescent="0.25">
      <c r="A1652" t="s">
        <v>3079</v>
      </c>
      <c r="B1652" t="s">
        <v>1312</v>
      </c>
      <c r="C1652" s="1" t="str">
        <f>HYPERLINK("http://www.genecards.org/cgi-bin/carddisp.pl?gene=SEPHS1","GeneCards")</f>
        <v>GeneCards</v>
      </c>
      <c r="D1652" s="1" t="str">
        <f>HYPERLINK("http://genome-euro.ucsc.edu/cgi-bin/hgTracks?position=208940_at","UCSC")</f>
        <v>UCSC</v>
      </c>
      <c r="E1652" s="1" t="str">
        <f>HYPERLINK("http://www.ncbi.nlm.nih.gov/gene/?term=SEPHS1","NCBI")</f>
        <v>NCBI</v>
      </c>
      <c r="F1652">
        <v>5.1999999999999998E-3</v>
      </c>
      <c r="G1652">
        <v>5.2999999999999999E-2</v>
      </c>
      <c r="H1652" s="1" t="str">
        <f>HYPERLINK("http://www.weizmann.ac.il/complex/compphys/software/geview/data/figures/208940_at.png","Figure")</f>
        <v>Figure</v>
      </c>
      <c r="I1652">
        <v>0.61699999999999999</v>
      </c>
      <c r="J1652">
        <v>1.0999999999999999E-2</v>
      </c>
      <c r="K1652">
        <v>0.65100000000000002</v>
      </c>
      <c r="L1652">
        <v>9.5999999999999992E-3</v>
      </c>
      <c r="M1652">
        <v>1.05</v>
      </c>
      <c r="N1652">
        <v>0.91</v>
      </c>
    </row>
    <row r="1653" spans="1:14" x14ac:dyDescent="0.25">
      <c r="A1653" t="s">
        <v>3080</v>
      </c>
      <c r="B1653" t="s">
        <v>639</v>
      </c>
      <c r="C1653" s="1" t="str">
        <f>HYPERLINK("http://www.genecards.org/cgi-bin/carddisp.pl?gene=LST1","GeneCards")</f>
        <v>GeneCards</v>
      </c>
      <c r="D1653" s="1" t="str">
        <f>HYPERLINK("http://genome-euro.ucsc.edu/cgi-bin/hgTracks?position=211582_x_at","UCSC")</f>
        <v>UCSC</v>
      </c>
      <c r="E1653" s="1" t="str">
        <f>HYPERLINK("http://www.ncbi.nlm.nih.gov/gene/?term=LST1","NCBI")</f>
        <v>NCBI</v>
      </c>
      <c r="F1653">
        <v>5.1999999999999998E-3</v>
      </c>
      <c r="G1653">
        <v>5.2999999999999999E-2</v>
      </c>
      <c r="H1653" s="1" t="str">
        <f>HYPERLINK("http://www.weizmann.ac.il/complex/compphys/software/geview/data/figures/211582_x_at.png","Figure")</f>
        <v>Figure</v>
      </c>
      <c r="I1653">
        <v>0.47499999999999998</v>
      </c>
      <c r="J1653">
        <v>4.7000000000000002E-3</v>
      </c>
      <c r="K1653">
        <v>0.626</v>
      </c>
      <c r="L1653">
        <v>3.5999999999999997E-2</v>
      </c>
      <c r="M1653">
        <v>1.32</v>
      </c>
      <c r="N1653">
        <v>0.3</v>
      </c>
    </row>
    <row r="1654" spans="1:14" x14ac:dyDescent="0.25">
      <c r="A1654" t="s">
        <v>3081</v>
      </c>
      <c r="B1654" t="s">
        <v>3082</v>
      </c>
      <c r="C1654" s="1" t="str">
        <f>HYPERLINK("http://www.genecards.org/cgi-bin/carddisp.pl?gene=SAMD4A","GeneCards")</f>
        <v>GeneCards</v>
      </c>
      <c r="D1654" s="1" t="str">
        <f>HYPERLINK("http://genome-euro.ucsc.edu/cgi-bin/hgTracks?position=212845_at","UCSC")</f>
        <v>UCSC</v>
      </c>
      <c r="E1654" s="1" t="str">
        <f>HYPERLINK("http://www.ncbi.nlm.nih.gov/gene/?term=SAMD4A","NCBI")</f>
        <v>NCBI</v>
      </c>
      <c r="F1654">
        <v>5.1999999999999998E-3</v>
      </c>
      <c r="G1654">
        <v>5.2999999999999999E-2</v>
      </c>
      <c r="H1654" s="1" t="str">
        <f>HYPERLINK("http://www.weizmann.ac.il/complex/compphys/software/geview/data/figures/212845_at.png","Figure")</f>
        <v>Figure</v>
      </c>
      <c r="I1654">
        <v>1.37</v>
      </c>
      <c r="J1654">
        <v>0.2</v>
      </c>
      <c r="K1654">
        <v>1.83</v>
      </c>
      <c r="L1654">
        <v>3.8999999999999998E-3</v>
      </c>
      <c r="M1654">
        <v>1.34</v>
      </c>
      <c r="N1654">
        <v>0.2</v>
      </c>
    </row>
    <row r="1655" spans="1:14" x14ac:dyDescent="0.25">
      <c r="A1655" t="s">
        <v>3083</v>
      </c>
      <c r="B1655" t="s">
        <v>3084</v>
      </c>
      <c r="C1655" s="1" t="str">
        <f>HYPERLINK("http://www.genecards.org/cgi-bin/carddisp.pl?gene=DOPEY1","GeneCards")</f>
        <v>GeneCards</v>
      </c>
      <c r="D1655" s="1" t="str">
        <f>HYPERLINK("http://genome-euro.ucsc.edu/cgi-bin/hgTracks?position=213271_s_at","UCSC")</f>
        <v>UCSC</v>
      </c>
      <c r="E1655" s="1" t="str">
        <f>HYPERLINK("http://www.ncbi.nlm.nih.gov/gene/?term=DOPEY1","NCBI")</f>
        <v>NCBI</v>
      </c>
      <c r="F1655">
        <v>5.1999999999999998E-3</v>
      </c>
      <c r="G1655">
        <v>5.2999999999999999E-2</v>
      </c>
      <c r="H1655" s="1" t="str">
        <f>HYPERLINK("http://www.weizmann.ac.il/complex/compphys/software/geview/data/figures/213271_s_at.png","Figure")</f>
        <v>Figure</v>
      </c>
      <c r="I1655">
        <v>0.51900000000000002</v>
      </c>
      <c r="J1655">
        <v>5.7999999999999996E-3</v>
      </c>
      <c r="K1655">
        <v>0.88800000000000001</v>
      </c>
      <c r="L1655">
        <v>0.71</v>
      </c>
      <c r="M1655">
        <v>1.71</v>
      </c>
      <c r="N1655">
        <v>1.4E-2</v>
      </c>
    </row>
    <row r="1656" spans="1:14" x14ac:dyDescent="0.25">
      <c r="A1656" t="s">
        <v>3085</v>
      </c>
      <c r="B1656" t="s">
        <v>3086</v>
      </c>
      <c r="C1656" s="1" t="str">
        <f>HYPERLINK("http://www.genecards.org/cgi-bin/carddisp.pl?gene=DNPEP","GeneCards")</f>
        <v>GeneCards</v>
      </c>
      <c r="D1656" s="1" t="str">
        <f>HYPERLINK("http://genome-euro.ucsc.edu/cgi-bin/hgTracks?position=215135_at","UCSC")</f>
        <v>UCSC</v>
      </c>
      <c r="E1656" s="1" t="str">
        <f>HYPERLINK("http://www.ncbi.nlm.nih.gov/gene/?term=DNPEP","NCBI")</f>
        <v>NCBI</v>
      </c>
      <c r="F1656">
        <v>5.1999999999999998E-3</v>
      </c>
      <c r="G1656">
        <v>5.2999999999999999E-2</v>
      </c>
      <c r="H1656" s="1" t="str">
        <f>HYPERLINK("http://www.weizmann.ac.il/complex/compphys/software/geview/data/figures/215135_at.png","Figure")</f>
        <v>Figure</v>
      </c>
      <c r="I1656">
        <v>0.91200000000000003</v>
      </c>
      <c r="J1656">
        <v>0.82</v>
      </c>
      <c r="K1656">
        <v>0.60899999999999999</v>
      </c>
      <c r="L1656">
        <v>6.4999999999999997E-3</v>
      </c>
      <c r="M1656">
        <v>0.66800000000000004</v>
      </c>
      <c r="N1656">
        <v>3.5000000000000003E-2</v>
      </c>
    </row>
    <row r="1657" spans="1:14" x14ac:dyDescent="0.25">
      <c r="A1657" t="s">
        <v>3087</v>
      </c>
      <c r="B1657" t="s">
        <v>3088</v>
      </c>
      <c r="C1657" s="1" t="str">
        <f>HYPERLINK("http://www.genecards.org/cgi-bin/carddisp.pl?gene=EFR3B","GeneCards")</f>
        <v>GeneCards</v>
      </c>
      <c r="D1657" s="1" t="str">
        <f>HYPERLINK("http://genome-euro.ucsc.edu/cgi-bin/hgTracks?position=215328_at","UCSC")</f>
        <v>UCSC</v>
      </c>
      <c r="E1657" s="1" t="str">
        <f>HYPERLINK("http://www.ncbi.nlm.nih.gov/gene/?term=EFR3B","NCBI")</f>
        <v>NCBI</v>
      </c>
      <c r="F1657">
        <v>5.1000000000000004E-3</v>
      </c>
      <c r="G1657">
        <v>5.2999999999999999E-2</v>
      </c>
      <c r="H1657" s="1" t="str">
        <f>HYPERLINK("http://www.weizmann.ac.il/complex/compphys/software/geview/data/figures/215328_at.png","Figure")</f>
        <v>Figure</v>
      </c>
      <c r="I1657">
        <v>1.19</v>
      </c>
      <c r="J1657">
        <v>5.8999999999999999E-3</v>
      </c>
      <c r="K1657">
        <v>1.03</v>
      </c>
      <c r="L1657">
        <v>0.74</v>
      </c>
      <c r="M1657">
        <v>0.86499999999999999</v>
      </c>
      <c r="N1657">
        <v>1.2999999999999999E-2</v>
      </c>
    </row>
    <row r="1658" spans="1:14" x14ac:dyDescent="0.25">
      <c r="A1658" t="s">
        <v>3089</v>
      </c>
      <c r="B1658" t="s">
        <v>3090</v>
      </c>
      <c r="C1658" s="1" t="str">
        <f>HYPERLINK("http://www.genecards.org/cgi-bin/carddisp.pl?gene=CBWD1 /// CBWD2 /// CBWD3 /// CBWD5 /// CBWD6 /// CBWD7","GeneCards")</f>
        <v>GeneCards</v>
      </c>
      <c r="D1658" s="1" t="str">
        <f>HYPERLINK("http://genome-euro.ucsc.edu/cgi-bin/hgTracks?position=220175_s_at","UCSC")</f>
        <v>UCSC</v>
      </c>
      <c r="E1658" s="1" t="str">
        <f>HYPERLINK("http://www.ncbi.nlm.nih.gov/gene/?term=CBWD1 /// CBWD2 /// CBWD3 /// CBWD5 /// CBWD6 /// CBWD7","NCBI")</f>
        <v>NCBI</v>
      </c>
      <c r="F1658">
        <v>5.1000000000000004E-3</v>
      </c>
      <c r="G1658">
        <v>5.2999999999999999E-2</v>
      </c>
      <c r="H1658" s="1" t="str">
        <f>HYPERLINK("http://www.weizmann.ac.il/complex/compphys/software/geview/data/figures/220175_s_at.png","Figure")</f>
        <v>Figure</v>
      </c>
      <c r="I1658">
        <v>0.64700000000000002</v>
      </c>
      <c r="J1658">
        <v>1.6E-2</v>
      </c>
      <c r="K1658">
        <v>1.05</v>
      </c>
      <c r="L1658">
        <v>0.92</v>
      </c>
      <c r="M1658">
        <v>1.62</v>
      </c>
      <c r="N1658">
        <v>5.3E-3</v>
      </c>
    </row>
    <row r="1659" spans="1:14" x14ac:dyDescent="0.25">
      <c r="A1659" t="s">
        <v>3091</v>
      </c>
      <c r="B1659" t="s">
        <v>3092</v>
      </c>
      <c r="C1659" s="1" t="str">
        <f>HYPERLINK("http://www.genecards.org/cgi-bin/carddisp.pl?gene=PHF17","GeneCards")</f>
        <v>GeneCards</v>
      </c>
      <c r="D1659" s="1" t="str">
        <f>HYPERLINK("http://genome-euro.ucsc.edu/cgi-bin/hgTracks?position=218517_at","UCSC")</f>
        <v>UCSC</v>
      </c>
      <c r="E1659" s="1" t="str">
        <f>HYPERLINK("http://www.ncbi.nlm.nih.gov/gene/?term=PHF17","NCBI")</f>
        <v>NCBI</v>
      </c>
      <c r="F1659">
        <v>5.1999999999999998E-3</v>
      </c>
      <c r="G1659">
        <v>5.2999999999999999E-2</v>
      </c>
      <c r="H1659" s="1" t="str">
        <f>HYPERLINK("http://www.weizmann.ac.il/complex/compphys/software/geview/data/figures/218517_at.png","Figure")</f>
        <v>Figure</v>
      </c>
      <c r="I1659">
        <v>0.92500000000000004</v>
      </c>
      <c r="J1659">
        <v>0.92</v>
      </c>
      <c r="K1659">
        <v>1.78</v>
      </c>
      <c r="L1659">
        <v>1.6E-2</v>
      </c>
      <c r="M1659">
        <v>1.93</v>
      </c>
      <c r="N1659">
        <v>1.0999999999999999E-2</v>
      </c>
    </row>
    <row r="1660" spans="1:14" x14ac:dyDescent="0.25">
      <c r="A1660" t="s">
        <v>3093</v>
      </c>
      <c r="B1660" t="s">
        <v>3094</v>
      </c>
      <c r="C1660" s="1" t="str">
        <f>HYPERLINK("http://www.genecards.org/cgi-bin/carddisp.pl?gene=NCK1","GeneCards")</f>
        <v>GeneCards</v>
      </c>
      <c r="D1660" s="1" t="str">
        <f>HYPERLINK("http://genome-euro.ucsc.edu/cgi-bin/hgTracks?position=204725_s_at","UCSC")</f>
        <v>UCSC</v>
      </c>
      <c r="E1660" s="1" t="str">
        <f>HYPERLINK("http://www.ncbi.nlm.nih.gov/gene/?term=NCK1","NCBI")</f>
        <v>NCBI</v>
      </c>
      <c r="F1660">
        <v>5.1999999999999998E-3</v>
      </c>
      <c r="G1660">
        <v>5.2999999999999999E-2</v>
      </c>
      <c r="H1660" s="1" t="str">
        <f>HYPERLINK("http://www.weizmann.ac.il/complex/compphys/software/geview/data/figures/204725_s_at.png","Figure")</f>
        <v>Figure</v>
      </c>
      <c r="I1660">
        <v>0.71499999999999997</v>
      </c>
      <c r="J1660">
        <v>0.12</v>
      </c>
      <c r="K1660">
        <v>0.57599999999999996</v>
      </c>
      <c r="L1660">
        <v>3.8E-3</v>
      </c>
      <c r="M1660">
        <v>0.80500000000000005</v>
      </c>
      <c r="N1660">
        <v>0.33</v>
      </c>
    </row>
    <row r="1661" spans="1:14" x14ac:dyDescent="0.25">
      <c r="A1661" t="s">
        <v>3095</v>
      </c>
      <c r="B1661" t="s">
        <v>3096</v>
      </c>
      <c r="C1661" s="1" t="str">
        <f>HYPERLINK("http://www.genecards.org/cgi-bin/carddisp.pl?gene=CLOCK","GeneCards")</f>
        <v>GeneCards</v>
      </c>
      <c r="D1661" s="1" t="str">
        <f>HYPERLINK("http://genome-euro.ucsc.edu/cgi-bin/hgTracks?position=204980_at","UCSC")</f>
        <v>UCSC</v>
      </c>
      <c r="E1661" s="1" t="str">
        <f>HYPERLINK("http://www.ncbi.nlm.nih.gov/gene/?term=CLOCK","NCBI")</f>
        <v>NCBI</v>
      </c>
      <c r="F1661">
        <v>5.1999999999999998E-3</v>
      </c>
      <c r="G1661">
        <v>5.2999999999999999E-2</v>
      </c>
      <c r="H1661" s="1" t="str">
        <f>HYPERLINK("http://www.weizmann.ac.il/complex/compphys/software/geview/data/figures/204980_at.png","Figure")</f>
        <v>Figure</v>
      </c>
      <c r="I1661">
        <v>0.78800000000000003</v>
      </c>
      <c r="J1661">
        <v>1.4999999999999999E-2</v>
      </c>
      <c r="K1661">
        <v>1.02</v>
      </c>
      <c r="L1661">
        <v>0.95</v>
      </c>
      <c r="M1661">
        <v>1.29</v>
      </c>
      <c r="N1661">
        <v>5.7000000000000002E-3</v>
      </c>
    </row>
    <row r="1662" spans="1:14" x14ac:dyDescent="0.25">
      <c r="A1662" t="s">
        <v>3097</v>
      </c>
      <c r="B1662" t="s">
        <v>3098</v>
      </c>
      <c r="C1662" s="1" t="str">
        <f>HYPERLINK("http://www.genecards.org/cgi-bin/carddisp.pl?gene=EIF2B4","GeneCards")</f>
        <v>GeneCards</v>
      </c>
      <c r="D1662" s="1" t="str">
        <f>HYPERLINK("http://genome-euro.ucsc.edu/cgi-bin/hgTracks?position=209429_x_at","UCSC")</f>
        <v>UCSC</v>
      </c>
      <c r="E1662" s="1" t="str">
        <f>HYPERLINK("http://www.ncbi.nlm.nih.gov/gene/?term=EIF2B4","NCBI")</f>
        <v>NCBI</v>
      </c>
      <c r="F1662">
        <v>5.1999999999999998E-3</v>
      </c>
      <c r="G1662">
        <v>5.2999999999999999E-2</v>
      </c>
      <c r="H1662" s="1" t="str">
        <f>HYPERLINK("http://www.weizmann.ac.il/complex/compphys/software/geview/data/figures/209429_x_at.png","Figure")</f>
        <v>Figure</v>
      </c>
      <c r="I1662">
        <v>1.29</v>
      </c>
      <c r="J1662">
        <v>2.1000000000000001E-2</v>
      </c>
      <c r="K1662">
        <v>1.31</v>
      </c>
      <c r="L1662">
        <v>6.0000000000000001E-3</v>
      </c>
      <c r="M1662">
        <v>1.02</v>
      </c>
      <c r="N1662">
        <v>0.98</v>
      </c>
    </row>
    <row r="1663" spans="1:14" x14ac:dyDescent="0.25">
      <c r="A1663" t="s">
        <v>3099</v>
      </c>
      <c r="B1663" t="s">
        <v>3100</v>
      </c>
      <c r="C1663" s="1" t="str">
        <f>HYPERLINK("http://www.genecards.org/cgi-bin/carddisp.pl?gene=ICAM3","GeneCards")</f>
        <v>GeneCards</v>
      </c>
      <c r="D1663" s="1" t="str">
        <f>HYPERLINK("http://genome-euro.ucsc.edu/cgi-bin/hgTracks?position=204949_at","UCSC")</f>
        <v>UCSC</v>
      </c>
      <c r="E1663" s="1" t="str">
        <f>HYPERLINK("http://www.ncbi.nlm.nih.gov/gene/?term=ICAM3","NCBI")</f>
        <v>NCBI</v>
      </c>
      <c r="F1663">
        <v>5.1999999999999998E-3</v>
      </c>
      <c r="G1663">
        <v>5.2999999999999999E-2</v>
      </c>
      <c r="H1663" s="1" t="str">
        <f>HYPERLINK("http://www.weizmann.ac.il/complex/compphys/software/geview/data/figures/204949_at.png","Figure")</f>
        <v>Figure</v>
      </c>
      <c r="I1663">
        <v>0.499</v>
      </c>
      <c r="J1663">
        <v>0.02</v>
      </c>
      <c r="K1663">
        <v>0.48299999999999998</v>
      </c>
      <c r="L1663">
        <v>6.1999999999999998E-3</v>
      </c>
      <c r="M1663">
        <v>0.96899999999999997</v>
      </c>
      <c r="N1663">
        <v>0.99</v>
      </c>
    </row>
    <row r="1664" spans="1:14" x14ac:dyDescent="0.25">
      <c r="A1664" t="s">
        <v>3101</v>
      </c>
      <c r="B1664" t="s">
        <v>3102</v>
      </c>
      <c r="C1664" s="1" t="str">
        <f>HYPERLINK("http://www.genecards.org/cgi-bin/carddisp.pl?gene=TRIB3","GeneCards")</f>
        <v>GeneCards</v>
      </c>
      <c r="D1664" s="1" t="str">
        <f>HYPERLINK("http://genome-euro.ucsc.edu/cgi-bin/hgTracks?position=218145_at","UCSC")</f>
        <v>UCSC</v>
      </c>
      <c r="E1664" s="1" t="str">
        <f>HYPERLINK("http://www.ncbi.nlm.nih.gov/gene/?term=TRIB3","NCBI")</f>
        <v>NCBI</v>
      </c>
      <c r="F1664">
        <v>5.1999999999999998E-3</v>
      </c>
      <c r="G1664">
        <v>5.2999999999999999E-2</v>
      </c>
      <c r="H1664" s="1" t="str">
        <f>HYPERLINK("http://www.weizmann.ac.il/complex/compphys/software/geview/data/figures/218145_at.png","Figure")</f>
        <v>Figure</v>
      </c>
      <c r="I1664">
        <v>1.28</v>
      </c>
      <c r="J1664">
        <v>1.2999999999999999E-2</v>
      </c>
      <c r="K1664">
        <v>0.98699999999999999</v>
      </c>
      <c r="L1664">
        <v>0.98</v>
      </c>
      <c r="M1664">
        <v>0.76800000000000002</v>
      </c>
      <c r="N1664">
        <v>6.0000000000000001E-3</v>
      </c>
    </row>
    <row r="1665" spans="1:14" x14ac:dyDescent="0.25">
      <c r="A1665" t="s">
        <v>3103</v>
      </c>
      <c r="B1665" t="s">
        <v>3104</v>
      </c>
      <c r="C1665" s="1" t="str">
        <f>HYPERLINK("http://www.genecards.org/cgi-bin/carddisp.pl?gene=PLXNB3","GeneCards")</f>
        <v>GeneCards</v>
      </c>
      <c r="D1665" s="1" t="str">
        <f>HYPERLINK("http://genome-euro.ucsc.edu/cgi-bin/hgTracks?position=205957_at","UCSC")</f>
        <v>UCSC</v>
      </c>
      <c r="E1665" s="1" t="str">
        <f>HYPERLINK("http://www.ncbi.nlm.nih.gov/gene/?term=PLXNB3","NCBI")</f>
        <v>NCBI</v>
      </c>
      <c r="F1665">
        <v>5.1999999999999998E-3</v>
      </c>
      <c r="G1665">
        <v>5.2999999999999999E-2</v>
      </c>
      <c r="H1665" s="1" t="str">
        <f>HYPERLINK("http://www.weizmann.ac.il/complex/compphys/software/geview/data/figures/205957_at.png","Figure")</f>
        <v>Figure</v>
      </c>
      <c r="I1665">
        <v>1.26</v>
      </c>
      <c r="J1665">
        <v>3.8999999999999998E-3</v>
      </c>
      <c r="K1665">
        <v>1.1200000000000001</v>
      </c>
      <c r="L1665">
        <v>9.1999999999999998E-2</v>
      </c>
      <c r="M1665">
        <v>0.89200000000000002</v>
      </c>
      <c r="N1665">
        <v>0.12</v>
      </c>
    </row>
    <row r="1666" spans="1:14" x14ac:dyDescent="0.25">
      <c r="A1666" t="s">
        <v>3105</v>
      </c>
      <c r="B1666" t="s">
        <v>1967</v>
      </c>
      <c r="C1666" s="1" t="str">
        <f>HYPERLINK("http://www.genecards.org/cgi-bin/carddisp.pl?gene=PCGF3","GeneCards")</f>
        <v>GeneCards</v>
      </c>
      <c r="D1666" s="1" t="str">
        <f>HYPERLINK("http://genome-euro.ucsc.edu/cgi-bin/hgTracks?position=204564_at","UCSC")</f>
        <v>UCSC</v>
      </c>
      <c r="E1666" s="1" t="str">
        <f>HYPERLINK("http://www.ncbi.nlm.nih.gov/gene/?term=PCGF3","NCBI")</f>
        <v>NCBI</v>
      </c>
      <c r="F1666">
        <v>5.1999999999999998E-3</v>
      </c>
      <c r="G1666">
        <v>5.2999999999999999E-2</v>
      </c>
      <c r="H1666" s="1" t="str">
        <f>HYPERLINK("http://www.weizmann.ac.il/complex/compphys/software/geview/data/figures/204564_at.png","Figure")</f>
        <v>Figure</v>
      </c>
      <c r="I1666">
        <v>0.95199999999999996</v>
      </c>
      <c r="J1666">
        <v>0.68</v>
      </c>
      <c r="K1666">
        <v>0.82599999999999996</v>
      </c>
      <c r="L1666">
        <v>5.7000000000000002E-3</v>
      </c>
      <c r="M1666">
        <v>0.86699999999999999</v>
      </c>
      <c r="N1666">
        <v>4.9000000000000002E-2</v>
      </c>
    </row>
    <row r="1667" spans="1:14" x14ac:dyDescent="0.25">
      <c r="A1667" t="s">
        <v>3106</v>
      </c>
      <c r="B1667" t="s">
        <v>3107</v>
      </c>
      <c r="C1667" s="1" t="str">
        <f>HYPERLINK("http://www.genecards.org/cgi-bin/carddisp.pl?gene=OR7A17","GeneCards")</f>
        <v>GeneCards</v>
      </c>
      <c r="D1667" s="1" t="str">
        <f>HYPERLINK("http://genome-euro.ucsc.edu/cgi-bin/hgTracks?position=208509_s_at","UCSC")</f>
        <v>UCSC</v>
      </c>
      <c r="E1667" s="1" t="str">
        <f>HYPERLINK("http://www.ncbi.nlm.nih.gov/gene/?term=OR7A17","NCBI")</f>
        <v>NCBI</v>
      </c>
      <c r="F1667">
        <v>5.1999999999999998E-3</v>
      </c>
      <c r="G1667">
        <v>5.2999999999999999E-2</v>
      </c>
      <c r="H1667" s="1" t="str">
        <f>HYPERLINK("http://www.weizmann.ac.il/complex/compphys/software/geview/data/figures/208509_s_at.png","Figure")</f>
        <v>Figure</v>
      </c>
      <c r="I1667">
        <v>1.04</v>
      </c>
      <c r="J1667">
        <v>0.69</v>
      </c>
      <c r="K1667">
        <v>0.88</v>
      </c>
      <c r="L1667">
        <v>2.8000000000000001E-2</v>
      </c>
      <c r="M1667">
        <v>0.84499999999999997</v>
      </c>
      <c r="N1667">
        <v>7.6E-3</v>
      </c>
    </row>
    <row r="1668" spans="1:14" x14ac:dyDescent="0.25">
      <c r="A1668" t="s">
        <v>3108</v>
      </c>
      <c r="B1668" t="s">
        <v>3109</v>
      </c>
      <c r="C1668" s="1" t="str">
        <f>HYPERLINK("http://www.genecards.org/cgi-bin/carddisp.pl?gene=COX6A1","GeneCards")</f>
        <v>GeneCards</v>
      </c>
      <c r="D1668" s="1" t="str">
        <f>HYPERLINK("http://genome-euro.ucsc.edu/cgi-bin/hgTracks?position=200925_at","UCSC")</f>
        <v>UCSC</v>
      </c>
      <c r="E1668" s="1" t="str">
        <f>HYPERLINK("http://www.ncbi.nlm.nih.gov/gene/?term=COX6A1","NCBI")</f>
        <v>NCBI</v>
      </c>
      <c r="F1668">
        <v>5.1999999999999998E-3</v>
      </c>
      <c r="G1668">
        <v>5.2999999999999999E-2</v>
      </c>
      <c r="H1668" s="1" t="str">
        <f>HYPERLINK("http://www.weizmann.ac.il/complex/compphys/software/geview/data/figures/200925_at.png","Figure")</f>
        <v>Figure</v>
      </c>
      <c r="I1668">
        <v>1.1399999999999999</v>
      </c>
      <c r="J1668">
        <v>0.75</v>
      </c>
      <c r="K1668">
        <v>1.81</v>
      </c>
      <c r="L1668">
        <v>6.1000000000000004E-3</v>
      </c>
      <c r="M1668">
        <v>1.59</v>
      </c>
      <c r="N1668">
        <v>4.1000000000000002E-2</v>
      </c>
    </row>
    <row r="1669" spans="1:14" x14ac:dyDescent="0.25">
      <c r="A1669" t="s">
        <v>3110</v>
      </c>
      <c r="B1669" t="s">
        <v>3111</v>
      </c>
      <c r="C1669" s="1" t="str">
        <f>HYPERLINK("http://www.genecards.org/cgi-bin/carddisp.pl?gene=THBD","GeneCards")</f>
        <v>GeneCards</v>
      </c>
      <c r="D1669" s="1" t="str">
        <f>HYPERLINK("http://genome-euro.ucsc.edu/cgi-bin/hgTracks?position=203888_at","UCSC")</f>
        <v>UCSC</v>
      </c>
      <c r="E1669" s="1" t="str">
        <f>HYPERLINK("http://www.ncbi.nlm.nih.gov/gene/?term=THBD","NCBI")</f>
        <v>NCBI</v>
      </c>
      <c r="F1669">
        <v>5.1999999999999998E-3</v>
      </c>
      <c r="G1669">
        <v>5.2999999999999999E-2</v>
      </c>
      <c r="H1669" s="1" t="str">
        <f>HYPERLINK("http://www.weizmann.ac.il/complex/compphys/software/geview/data/figures/203888_at.png","Figure")</f>
        <v>Figure</v>
      </c>
      <c r="I1669">
        <v>1.19</v>
      </c>
      <c r="J1669">
        <v>4.3E-3</v>
      </c>
      <c r="K1669">
        <v>1.06</v>
      </c>
      <c r="L1669">
        <v>0.36</v>
      </c>
      <c r="M1669">
        <v>0.89</v>
      </c>
      <c r="N1669">
        <v>3.1E-2</v>
      </c>
    </row>
    <row r="1670" spans="1:14" x14ac:dyDescent="0.25">
      <c r="A1670" t="s">
        <v>3112</v>
      </c>
      <c r="B1670" t="s">
        <v>3113</v>
      </c>
      <c r="C1670" s="1" t="str">
        <f>HYPERLINK("http://www.genecards.org/cgi-bin/carddisp.pl?gene=SEC23IP","GeneCards")</f>
        <v>GeneCards</v>
      </c>
      <c r="D1670" s="1" t="str">
        <f>HYPERLINK("http://genome-euro.ucsc.edu/cgi-bin/hgTracks?position=209175_at","UCSC")</f>
        <v>UCSC</v>
      </c>
      <c r="E1670" s="1" t="str">
        <f>HYPERLINK("http://www.ncbi.nlm.nih.gov/gene/?term=SEC23IP","NCBI")</f>
        <v>NCBI</v>
      </c>
      <c r="F1670">
        <v>5.3E-3</v>
      </c>
      <c r="G1670">
        <v>5.2999999999999999E-2</v>
      </c>
      <c r="H1670" s="1" t="str">
        <f>HYPERLINK("http://www.weizmann.ac.il/complex/compphys/software/geview/data/figures/209175_at.png","Figure")</f>
        <v>Figure</v>
      </c>
      <c r="I1670">
        <v>0.72299999999999998</v>
      </c>
      <c r="J1670">
        <v>5.6000000000000001E-2</v>
      </c>
      <c r="K1670">
        <v>1.1599999999999999</v>
      </c>
      <c r="L1670">
        <v>0.4</v>
      </c>
      <c r="M1670">
        <v>1.6</v>
      </c>
      <c r="N1670">
        <v>3.8999999999999998E-3</v>
      </c>
    </row>
    <row r="1671" spans="1:14" x14ac:dyDescent="0.25">
      <c r="A1671" t="s">
        <v>3114</v>
      </c>
      <c r="B1671" t="s">
        <v>3115</v>
      </c>
      <c r="C1671" s="1" t="str">
        <f>HYPERLINK("http://www.genecards.org/cgi-bin/carddisp.pl?gene=COL9A1","GeneCards")</f>
        <v>GeneCards</v>
      </c>
      <c r="D1671" s="1" t="str">
        <f>HYPERLINK("http://genome-euro.ucsc.edu/cgi-bin/hgTracks?position=222008_at","UCSC")</f>
        <v>UCSC</v>
      </c>
      <c r="E1671" s="1" t="str">
        <f>HYPERLINK("http://www.ncbi.nlm.nih.gov/gene/?term=COL9A1","NCBI")</f>
        <v>NCBI</v>
      </c>
      <c r="F1671">
        <v>5.3E-3</v>
      </c>
      <c r="G1671">
        <v>5.2999999999999999E-2</v>
      </c>
      <c r="H1671" s="1" t="str">
        <f>HYPERLINK("http://www.weizmann.ac.il/complex/compphys/software/geview/data/figures/222008_at.png","Figure")</f>
        <v>Figure</v>
      </c>
      <c r="I1671">
        <v>1.22</v>
      </c>
      <c r="J1671">
        <v>4.4999999999999997E-3</v>
      </c>
      <c r="K1671">
        <v>1.1299999999999999</v>
      </c>
      <c r="L1671">
        <v>4.3999999999999997E-2</v>
      </c>
      <c r="M1671">
        <v>0.92500000000000004</v>
      </c>
      <c r="N1671">
        <v>0.25</v>
      </c>
    </row>
    <row r="1672" spans="1:14" x14ac:dyDescent="0.25">
      <c r="A1672" t="s">
        <v>3116</v>
      </c>
      <c r="B1672" t="s">
        <v>3117</v>
      </c>
      <c r="C1672" s="1" t="str">
        <f>HYPERLINK("http://www.genecards.org/cgi-bin/carddisp.pl?gene=DDX27 /// SS18","GeneCards")</f>
        <v>GeneCards</v>
      </c>
      <c r="D1672" s="1" t="str">
        <f>HYPERLINK("http://genome-euro.ucsc.edu/cgi-bin/hgTracks?position=219108_x_at","UCSC")</f>
        <v>UCSC</v>
      </c>
      <c r="E1672" s="1" t="str">
        <f>HYPERLINK("http://www.ncbi.nlm.nih.gov/gene/?term=DDX27 /// SS18","NCBI")</f>
        <v>NCBI</v>
      </c>
      <c r="F1672">
        <v>5.3E-3</v>
      </c>
      <c r="G1672">
        <v>5.3999999999999999E-2</v>
      </c>
      <c r="H1672" s="1" t="str">
        <f>HYPERLINK("http://www.weizmann.ac.il/complex/compphys/software/geview/data/figures/219108_x_at.png","Figure")</f>
        <v>Figure</v>
      </c>
      <c r="I1672">
        <v>1.56</v>
      </c>
      <c r="J1672">
        <v>0.03</v>
      </c>
      <c r="K1672">
        <v>0.89</v>
      </c>
      <c r="L1672">
        <v>0.66</v>
      </c>
      <c r="M1672">
        <v>0.57099999999999995</v>
      </c>
      <c r="N1672">
        <v>4.4000000000000003E-3</v>
      </c>
    </row>
    <row r="1673" spans="1:14" x14ac:dyDescent="0.25">
      <c r="A1673" t="s">
        <v>3118</v>
      </c>
      <c r="B1673" t="s">
        <v>3119</v>
      </c>
      <c r="C1673" s="1" t="str">
        <f>HYPERLINK("http://www.genecards.org/cgi-bin/carddisp.pl?gene=DAAM1","GeneCards")</f>
        <v>GeneCards</v>
      </c>
      <c r="D1673" s="1" t="str">
        <f>HYPERLINK("http://genome-euro.ucsc.edu/cgi-bin/hgTracks?position=216060_s_at","UCSC")</f>
        <v>UCSC</v>
      </c>
      <c r="E1673" s="1" t="str">
        <f>HYPERLINK("http://www.ncbi.nlm.nih.gov/gene/?term=DAAM1","NCBI")</f>
        <v>NCBI</v>
      </c>
      <c r="F1673">
        <v>5.3E-3</v>
      </c>
      <c r="G1673">
        <v>5.3999999999999999E-2</v>
      </c>
      <c r="H1673" s="1" t="str">
        <f>HYPERLINK("http://www.weizmann.ac.il/complex/compphys/software/geview/data/figures/216060_s_at.png","Figure")</f>
        <v>Figure</v>
      </c>
      <c r="I1673">
        <v>0.47299999999999998</v>
      </c>
      <c r="J1673">
        <v>0.14000000000000001</v>
      </c>
      <c r="K1673">
        <v>1.85</v>
      </c>
      <c r="L1673">
        <v>0.17</v>
      </c>
      <c r="M1673">
        <v>3.91</v>
      </c>
      <c r="N1673">
        <v>4.0000000000000001E-3</v>
      </c>
    </row>
    <row r="1674" spans="1:14" x14ac:dyDescent="0.25">
      <c r="A1674" t="s">
        <v>3120</v>
      </c>
      <c r="B1674" t="s">
        <v>3121</v>
      </c>
      <c r="C1674" s="1" t="str">
        <f>HYPERLINK("http://www.genecards.org/cgi-bin/carddisp.pl?gene=ADNP2","GeneCards")</f>
        <v>GeneCards</v>
      </c>
      <c r="D1674" s="1" t="str">
        <f>HYPERLINK("http://genome-euro.ucsc.edu/cgi-bin/hgTracks?position=203322_at","UCSC")</f>
        <v>UCSC</v>
      </c>
      <c r="E1674" s="1" t="str">
        <f>HYPERLINK("http://www.ncbi.nlm.nih.gov/gene/?term=ADNP2","NCBI")</f>
        <v>NCBI</v>
      </c>
      <c r="F1674">
        <v>5.3E-3</v>
      </c>
      <c r="G1674">
        <v>5.3999999999999999E-2</v>
      </c>
      <c r="H1674" s="1" t="str">
        <f>HYPERLINK("http://www.weizmann.ac.il/complex/compphys/software/geview/data/figures/203322_at.png","Figure")</f>
        <v>Figure</v>
      </c>
      <c r="I1674">
        <v>1.08</v>
      </c>
      <c r="J1674">
        <v>0.98</v>
      </c>
      <c r="K1674">
        <v>0.34799999999999998</v>
      </c>
      <c r="L1674">
        <v>1.4E-2</v>
      </c>
      <c r="M1674">
        <v>0.32300000000000001</v>
      </c>
      <c r="N1674">
        <v>1.4E-2</v>
      </c>
    </row>
    <row r="1675" spans="1:14" x14ac:dyDescent="0.25">
      <c r="A1675" t="s">
        <v>3122</v>
      </c>
      <c r="B1675" t="s">
        <v>3123</v>
      </c>
      <c r="C1675" s="1" t="str">
        <f>HYPERLINK("http://www.genecards.org/cgi-bin/carddisp.pl?gene=PPFIA4","GeneCards")</f>
        <v>GeneCards</v>
      </c>
      <c r="D1675" s="1" t="str">
        <f>HYPERLINK("http://genome-euro.ucsc.edu/cgi-bin/hgTracks?position=214978_s_at","UCSC")</f>
        <v>UCSC</v>
      </c>
      <c r="E1675" s="1" t="str">
        <f>HYPERLINK("http://www.ncbi.nlm.nih.gov/gene/?term=PPFIA4","NCBI")</f>
        <v>NCBI</v>
      </c>
      <c r="F1675">
        <v>5.3E-3</v>
      </c>
      <c r="G1675">
        <v>5.3999999999999999E-2</v>
      </c>
      <c r="H1675" s="1" t="str">
        <f>HYPERLINK("http://www.weizmann.ac.il/complex/compphys/software/geview/data/figures/214978_s_at.png","Figure")</f>
        <v>Figure</v>
      </c>
      <c r="I1675">
        <v>1.25</v>
      </c>
      <c r="J1675">
        <v>1.0999999999999999E-2</v>
      </c>
      <c r="K1675">
        <v>1.22</v>
      </c>
      <c r="L1675">
        <v>9.5999999999999992E-3</v>
      </c>
      <c r="M1675">
        <v>0.97699999999999998</v>
      </c>
      <c r="N1675">
        <v>0.92</v>
      </c>
    </row>
    <row r="1676" spans="1:14" x14ac:dyDescent="0.25">
      <c r="A1676" t="s">
        <v>3124</v>
      </c>
      <c r="B1676" t="s">
        <v>3125</v>
      </c>
      <c r="C1676" s="1" t="str">
        <f>HYPERLINK("http://www.genecards.org/cgi-bin/carddisp.pl?gene=VPS72","GeneCards")</f>
        <v>GeneCards</v>
      </c>
      <c r="D1676" s="1" t="str">
        <f>HYPERLINK("http://genome-euro.ucsc.edu/cgi-bin/hgTracks?position=202261_at","UCSC")</f>
        <v>UCSC</v>
      </c>
      <c r="E1676" s="1" t="str">
        <f>HYPERLINK("http://www.ncbi.nlm.nih.gov/gene/?term=VPS72","NCBI")</f>
        <v>NCBI</v>
      </c>
      <c r="F1676">
        <v>5.3E-3</v>
      </c>
      <c r="G1676">
        <v>5.3999999999999999E-2</v>
      </c>
      <c r="H1676" s="1" t="str">
        <f>HYPERLINK("http://www.weizmann.ac.il/complex/compphys/software/geview/data/figures/202261_at.png","Figure")</f>
        <v>Figure</v>
      </c>
      <c r="I1676">
        <v>1.17</v>
      </c>
      <c r="J1676">
        <v>0.69</v>
      </c>
      <c r="K1676">
        <v>1.89</v>
      </c>
      <c r="L1676">
        <v>5.7999999999999996E-3</v>
      </c>
      <c r="M1676">
        <v>1.61</v>
      </c>
      <c r="N1676">
        <v>4.9000000000000002E-2</v>
      </c>
    </row>
    <row r="1677" spans="1:14" x14ac:dyDescent="0.25">
      <c r="A1677" t="s">
        <v>3126</v>
      </c>
      <c r="B1677" t="s">
        <v>3127</v>
      </c>
      <c r="C1677" s="1" t="str">
        <f>HYPERLINK("http://www.genecards.org/cgi-bin/carddisp.pl?gene=STK39","GeneCards")</f>
        <v>GeneCards</v>
      </c>
      <c r="D1677" s="1" t="str">
        <f>HYPERLINK("http://genome-euro.ucsc.edu/cgi-bin/hgTracks?position=202786_at","UCSC")</f>
        <v>UCSC</v>
      </c>
      <c r="E1677" s="1" t="str">
        <f>HYPERLINK("http://www.ncbi.nlm.nih.gov/gene/?term=STK39","NCBI")</f>
        <v>NCBI</v>
      </c>
      <c r="F1677">
        <v>5.3E-3</v>
      </c>
      <c r="G1677">
        <v>5.3999999999999999E-2</v>
      </c>
      <c r="H1677" s="1" t="str">
        <f>HYPERLINK("http://www.weizmann.ac.il/complex/compphys/software/geview/data/figures/202786_at.png","Figure")</f>
        <v>Figure</v>
      </c>
      <c r="I1677">
        <v>3.06</v>
      </c>
      <c r="J1677">
        <v>4.7999999999999996E-3</v>
      </c>
      <c r="K1677">
        <v>2.0099999999999998</v>
      </c>
      <c r="L1677">
        <v>3.6999999999999998E-2</v>
      </c>
      <c r="M1677">
        <v>0.65800000000000003</v>
      </c>
      <c r="N1677">
        <v>0.3</v>
      </c>
    </row>
    <row r="1678" spans="1:14" x14ac:dyDescent="0.25">
      <c r="A1678" t="s">
        <v>3128</v>
      </c>
      <c r="B1678" t="s">
        <v>2612</v>
      </c>
      <c r="C1678" s="1" t="str">
        <f>HYPERLINK("http://www.genecards.org/cgi-bin/carddisp.pl?gene=ATP2C1","GeneCards")</f>
        <v>GeneCards</v>
      </c>
      <c r="D1678" s="1" t="str">
        <f>HYPERLINK("http://genome-euro.ucsc.edu/cgi-bin/hgTracks?position=209934_s_at","UCSC")</f>
        <v>UCSC</v>
      </c>
      <c r="E1678" s="1" t="str">
        <f>HYPERLINK("http://www.ncbi.nlm.nih.gov/gene/?term=ATP2C1","NCBI")</f>
        <v>NCBI</v>
      </c>
      <c r="F1678">
        <v>5.3E-3</v>
      </c>
      <c r="G1678">
        <v>5.3999999999999999E-2</v>
      </c>
      <c r="H1678" s="1" t="str">
        <f>HYPERLINK("http://www.weizmann.ac.il/complex/compphys/software/geview/data/figures/209934_s_at.png","Figure")</f>
        <v>Figure</v>
      </c>
      <c r="I1678">
        <v>0.878</v>
      </c>
      <c r="J1678">
        <v>0.12</v>
      </c>
      <c r="K1678">
        <v>1.1000000000000001</v>
      </c>
      <c r="L1678">
        <v>0.2</v>
      </c>
      <c r="M1678">
        <v>1.25</v>
      </c>
      <c r="N1678">
        <v>4.0000000000000001E-3</v>
      </c>
    </row>
    <row r="1679" spans="1:14" x14ac:dyDescent="0.25">
      <c r="A1679" t="s">
        <v>3129</v>
      </c>
      <c r="B1679" t="s">
        <v>275</v>
      </c>
      <c r="C1679" s="1" t="str">
        <f>HYPERLINK("http://www.genecards.org/cgi-bin/carddisp.pl?gene=IRAK3","GeneCards")</f>
        <v>GeneCards</v>
      </c>
      <c r="D1679" s="1" t="str">
        <f>HYPERLINK("http://genome-euro.ucsc.edu/cgi-bin/hgTracks?position=220034_at","UCSC")</f>
        <v>UCSC</v>
      </c>
      <c r="E1679" s="1" t="str">
        <f>HYPERLINK("http://www.ncbi.nlm.nih.gov/gene/?term=IRAK3","NCBI")</f>
        <v>NCBI</v>
      </c>
      <c r="F1679">
        <v>5.3E-3</v>
      </c>
      <c r="G1679">
        <v>5.3999999999999999E-2</v>
      </c>
      <c r="H1679" s="1" t="str">
        <f>HYPERLINK("http://www.weizmann.ac.il/complex/compphys/software/geview/data/figures/220034_at.png","Figure")</f>
        <v>Figure</v>
      </c>
      <c r="I1679">
        <v>0.42899999999999999</v>
      </c>
      <c r="J1679">
        <v>2.9000000000000001E-2</v>
      </c>
      <c r="K1679">
        <v>0.379</v>
      </c>
      <c r="L1679">
        <v>5.3E-3</v>
      </c>
      <c r="M1679">
        <v>0.88500000000000001</v>
      </c>
      <c r="N1679">
        <v>0.89</v>
      </c>
    </row>
    <row r="1680" spans="1:14" x14ac:dyDescent="0.25">
      <c r="A1680" t="s">
        <v>3130</v>
      </c>
      <c r="B1680" t="s">
        <v>3131</v>
      </c>
      <c r="C1680" s="1" t="str">
        <f>HYPERLINK("http://www.genecards.org/cgi-bin/carddisp.pl?gene=SMARCD3","GeneCards")</f>
        <v>GeneCards</v>
      </c>
      <c r="D1680" s="1" t="str">
        <f>HYPERLINK("http://genome-euro.ucsc.edu/cgi-bin/hgTracks?position=204099_at","UCSC")</f>
        <v>UCSC</v>
      </c>
      <c r="E1680" s="1" t="str">
        <f>HYPERLINK("http://www.ncbi.nlm.nih.gov/gene/?term=SMARCD3","NCBI")</f>
        <v>NCBI</v>
      </c>
      <c r="F1680">
        <v>5.3E-3</v>
      </c>
      <c r="G1680">
        <v>5.3999999999999999E-2</v>
      </c>
      <c r="H1680" s="1" t="str">
        <f>HYPERLINK("http://www.weizmann.ac.il/complex/compphys/software/geview/data/figures/204099_at.png","Figure")</f>
        <v>Figure</v>
      </c>
      <c r="I1680">
        <v>1.17</v>
      </c>
      <c r="J1680">
        <v>1.4999999999999999E-2</v>
      </c>
      <c r="K1680">
        <v>1.17</v>
      </c>
      <c r="L1680">
        <v>7.7999999999999996E-3</v>
      </c>
      <c r="M1680">
        <v>0.99399999999999999</v>
      </c>
      <c r="N1680">
        <v>0.99</v>
      </c>
    </row>
    <row r="1681" spans="1:14" x14ac:dyDescent="0.25">
      <c r="A1681" t="s">
        <v>3132</v>
      </c>
      <c r="B1681" t="s">
        <v>3133</v>
      </c>
      <c r="C1681" s="1" t="str">
        <f>HYPERLINK("http://www.genecards.org/cgi-bin/carddisp.pl?gene=ADRBK2","GeneCards")</f>
        <v>GeneCards</v>
      </c>
      <c r="D1681" s="1" t="str">
        <f>HYPERLINK("http://genome-euro.ucsc.edu/cgi-bin/hgTracks?position=204184_s_at","UCSC")</f>
        <v>UCSC</v>
      </c>
      <c r="E1681" s="1" t="str">
        <f>HYPERLINK("http://www.ncbi.nlm.nih.gov/gene/?term=ADRBK2","NCBI")</f>
        <v>NCBI</v>
      </c>
      <c r="F1681">
        <v>5.3E-3</v>
      </c>
      <c r="G1681">
        <v>5.3999999999999999E-2</v>
      </c>
      <c r="H1681" s="1" t="str">
        <f>HYPERLINK("http://www.weizmann.ac.il/complex/compphys/software/geview/data/figures/204184_s_at.png","Figure")</f>
        <v>Figure</v>
      </c>
      <c r="I1681">
        <v>1.19</v>
      </c>
      <c r="J1681">
        <v>0.25</v>
      </c>
      <c r="K1681">
        <v>0.81</v>
      </c>
      <c r="L1681">
        <v>9.2999999999999999E-2</v>
      </c>
      <c r="M1681">
        <v>0.67800000000000005</v>
      </c>
      <c r="N1681">
        <v>4.5999999999999999E-3</v>
      </c>
    </row>
    <row r="1682" spans="1:14" x14ac:dyDescent="0.25">
      <c r="A1682" t="s">
        <v>3134</v>
      </c>
      <c r="B1682" t="s">
        <v>3135</v>
      </c>
      <c r="C1682" s="1" t="str">
        <f>HYPERLINK("http://www.genecards.org/cgi-bin/carddisp.pl?gene=PPP1R13B","GeneCards")</f>
        <v>GeneCards</v>
      </c>
      <c r="D1682" s="1" t="str">
        <f>HYPERLINK("http://genome-euro.ucsc.edu/cgi-bin/hgTracks?position=216347_s_at","UCSC")</f>
        <v>UCSC</v>
      </c>
      <c r="E1682" s="1" t="str">
        <f>HYPERLINK("http://www.ncbi.nlm.nih.gov/gene/?term=PPP1R13B","NCBI")</f>
        <v>NCBI</v>
      </c>
      <c r="F1682">
        <v>5.3E-3</v>
      </c>
      <c r="G1682">
        <v>5.3999999999999999E-2</v>
      </c>
      <c r="H1682" s="1" t="str">
        <f>HYPERLINK("http://www.weizmann.ac.il/complex/compphys/software/geview/data/figures/216347_s_at.png","Figure")</f>
        <v>Figure</v>
      </c>
      <c r="I1682">
        <v>0.69399999999999995</v>
      </c>
      <c r="J1682">
        <v>3.8999999999999998E-3</v>
      </c>
      <c r="K1682">
        <v>0.85899999999999999</v>
      </c>
      <c r="L1682">
        <v>0.17</v>
      </c>
      <c r="M1682">
        <v>1.24</v>
      </c>
      <c r="N1682">
        <v>6.4000000000000001E-2</v>
      </c>
    </row>
    <row r="1683" spans="1:14" x14ac:dyDescent="0.25">
      <c r="A1683" t="s">
        <v>3136</v>
      </c>
      <c r="B1683" t="s">
        <v>3137</v>
      </c>
      <c r="C1683" s="1" t="str">
        <f>HYPERLINK("http://www.genecards.org/cgi-bin/carddisp.pl?gene=HSPA4","GeneCards")</f>
        <v>GeneCards</v>
      </c>
      <c r="D1683" s="1" t="str">
        <f>HYPERLINK("http://genome-euro.ucsc.edu/cgi-bin/hgTracks?position=208815_x_at","UCSC")</f>
        <v>UCSC</v>
      </c>
      <c r="E1683" s="1" t="str">
        <f>HYPERLINK("http://www.ncbi.nlm.nih.gov/gene/?term=HSPA4","NCBI")</f>
        <v>NCBI</v>
      </c>
      <c r="F1683">
        <v>5.3E-3</v>
      </c>
      <c r="G1683">
        <v>5.3999999999999999E-2</v>
      </c>
      <c r="H1683" s="1" t="str">
        <f>HYPERLINK("http://www.weizmann.ac.il/complex/compphys/software/geview/data/figures/208815_x_at.png","Figure")</f>
        <v>Figure</v>
      </c>
      <c r="I1683">
        <v>1.07</v>
      </c>
      <c r="J1683">
        <v>0.94</v>
      </c>
      <c r="K1683">
        <v>0.57599999999999996</v>
      </c>
      <c r="L1683">
        <v>1.6E-2</v>
      </c>
      <c r="M1683">
        <v>0.53900000000000003</v>
      </c>
      <c r="N1683">
        <v>1.2E-2</v>
      </c>
    </row>
    <row r="1684" spans="1:14" x14ac:dyDescent="0.25">
      <c r="A1684" t="s">
        <v>3138</v>
      </c>
      <c r="B1684" t="s">
        <v>3139</v>
      </c>
      <c r="C1684" s="1" t="str">
        <f>HYPERLINK("http://www.genecards.org/cgi-bin/carddisp.pl?gene=PPM1B","GeneCards")</f>
        <v>GeneCards</v>
      </c>
      <c r="D1684" s="1" t="str">
        <f>HYPERLINK("http://genome-euro.ucsc.edu/cgi-bin/hgTracks?position=209296_at","UCSC")</f>
        <v>UCSC</v>
      </c>
      <c r="E1684" s="1" t="str">
        <f>HYPERLINK("http://www.ncbi.nlm.nih.gov/gene/?term=PPM1B","NCBI")</f>
        <v>NCBI</v>
      </c>
      <c r="F1684">
        <v>5.3E-3</v>
      </c>
      <c r="G1684">
        <v>5.3999999999999999E-2</v>
      </c>
      <c r="H1684" s="1" t="str">
        <f>HYPERLINK("http://www.weizmann.ac.il/complex/compphys/software/geview/data/figures/209296_at.png","Figure")</f>
        <v>Figure</v>
      </c>
      <c r="I1684">
        <v>0.72499999999999998</v>
      </c>
      <c r="J1684">
        <v>0.39</v>
      </c>
      <c r="K1684">
        <v>0.44400000000000001</v>
      </c>
      <c r="L1684">
        <v>4.4999999999999997E-3</v>
      </c>
      <c r="M1684">
        <v>0.61199999999999999</v>
      </c>
      <c r="N1684">
        <v>0.1</v>
      </c>
    </row>
    <row r="1685" spans="1:14" x14ac:dyDescent="0.25">
      <c r="A1685" t="s">
        <v>3140</v>
      </c>
      <c r="B1685" t="s">
        <v>3141</v>
      </c>
      <c r="C1685" s="1" t="str">
        <f>HYPERLINK("http://www.genecards.org/cgi-bin/carddisp.pl?gene=KIAA1219","GeneCards")</f>
        <v>GeneCards</v>
      </c>
      <c r="D1685" s="1" t="str">
        <f>HYPERLINK("http://genome-euro.ucsc.edu/cgi-bin/hgTracks?position=221738_at","UCSC")</f>
        <v>UCSC</v>
      </c>
      <c r="E1685" s="1" t="str">
        <f>HYPERLINK("http://www.ncbi.nlm.nih.gov/gene/?term=KIAA1219","NCBI")</f>
        <v>NCBI</v>
      </c>
      <c r="F1685">
        <v>5.3E-3</v>
      </c>
      <c r="G1685">
        <v>5.3999999999999999E-2</v>
      </c>
      <c r="H1685" s="1" t="str">
        <f>HYPERLINK("http://www.weizmann.ac.il/complex/compphys/software/geview/data/figures/221738_at.png","Figure")</f>
        <v>Figure</v>
      </c>
      <c r="I1685">
        <v>1.28</v>
      </c>
      <c r="J1685">
        <v>0.12</v>
      </c>
      <c r="K1685">
        <v>0.83199999999999996</v>
      </c>
      <c r="L1685">
        <v>0.2</v>
      </c>
      <c r="M1685">
        <v>0.64800000000000002</v>
      </c>
      <c r="N1685">
        <v>4.0000000000000001E-3</v>
      </c>
    </row>
    <row r="1686" spans="1:14" x14ac:dyDescent="0.25">
      <c r="A1686" t="s">
        <v>3142</v>
      </c>
      <c r="B1686" t="s">
        <v>99</v>
      </c>
      <c r="C1686" s="1" t="str">
        <f>HYPERLINK("http://www.genecards.org/cgi-bin/carddisp.pl?gene=ITPR3","GeneCards")</f>
        <v>GeneCards</v>
      </c>
      <c r="D1686" s="1" t="str">
        <f>HYPERLINK("http://genome-euro.ucsc.edu/cgi-bin/hgTracks?position=201187_s_at","UCSC")</f>
        <v>UCSC</v>
      </c>
      <c r="E1686" s="1" t="str">
        <f>HYPERLINK("http://www.ncbi.nlm.nih.gov/gene/?term=ITPR3","NCBI")</f>
        <v>NCBI</v>
      </c>
      <c r="F1686">
        <v>5.4000000000000003E-3</v>
      </c>
      <c r="G1686">
        <v>5.3999999999999999E-2</v>
      </c>
      <c r="H1686" s="1" t="str">
        <f>HYPERLINK("http://www.weizmann.ac.il/complex/compphys/software/geview/data/figures/201187_s_at.png","Figure")</f>
        <v>Figure</v>
      </c>
      <c r="I1686">
        <v>1.25</v>
      </c>
      <c r="J1686">
        <v>8.8999999999999999E-3</v>
      </c>
      <c r="K1686">
        <v>1.2</v>
      </c>
      <c r="L1686">
        <v>1.2999999999999999E-2</v>
      </c>
      <c r="M1686">
        <v>0.96199999999999997</v>
      </c>
      <c r="N1686">
        <v>0.79</v>
      </c>
    </row>
    <row r="1687" spans="1:14" x14ac:dyDescent="0.25">
      <c r="A1687" t="s">
        <v>3143</v>
      </c>
      <c r="B1687" t="s">
        <v>3144</v>
      </c>
      <c r="C1687" s="1" t="str">
        <f>HYPERLINK("http://www.genecards.org/cgi-bin/carddisp.pl?gene=ARHGEF7","GeneCards")</f>
        <v>GeneCards</v>
      </c>
      <c r="D1687" s="1" t="str">
        <f>HYPERLINK("http://genome-euro.ucsc.edu/cgi-bin/hgTracks?position=202547_s_at","UCSC")</f>
        <v>UCSC</v>
      </c>
      <c r="E1687" s="1" t="str">
        <f>HYPERLINK("http://www.ncbi.nlm.nih.gov/gene/?term=ARHGEF7","NCBI")</f>
        <v>NCBI</v>
      </c>
      <c r="F1687">
        <v>5.3E-3</v>
      </c>
      <c r="G1687">
        <v>5.3999999999999999E-2</v>
      </c>
      <c r="H1687" s="1" t="str">
        <f>HYPERLINK("http://www.weizmann.ac.il/complex/compphys/software/geview/data/figures/202547_s_at.png","Figure")</f>
        <v>Figure</v>
      </c>
      <c r="I1687">
        <v>1.89</v>
      </c>
      <c r="J1687">
        <v>4.0000000000000001E-3</v>
      </c>
      <c r="K1687">
        <v>1.31</v>
      </c>
      <c r="L1687">
        <v>0.17</v>
      </c>
      <c r="M1687">
        <v>0.69</v>
      </c>
      <c r="N1687">
        <v>6.5000000000000002E-2</v>
      </c>
    </row>
    <row r="1688" spans="1:14" x14ac:dyDescent="0.25">
      <c r="A1688" t="s">
        <v>3145</v>
      </c>
      <c r="B1688" t="s">
        <v>3146</v>
      </c>
      <c r="C1688" s="1" t="str">
        <f>HYPERLINK("http://www.genecards.org/cgi-bin/carddisp.pl?gene=TRIM62","GeneCards")</f>
        <v>GeneCards</v>
      </c>
      <c r="D1688" s="1" t="str">
        <f>HYPERLINK("http://genome-euro.ucsc.edu/cgi-bin/hgTracks?position=219272_at","UCSC")</f>
        <v>UCSC</v>
      </c>
      <c r="E1688" s="1" t="str">
        <f>HYPERLINK("http://www.ncbi.nlm.nih.gov/gene/?term=TRIM62","NCBI")</f>
        <v>NCBI</v>
      </c>
      <c r="F1688">
        <v>5.4000000000000003E-3</v>
      </c>
      <c r="G1688">
        <v>5.3999999999999999E-2</v>
      </c>
      <c r="H1688" s="1" t="str">
        <f>HYPERLINK("http://www.weizmann.ac.il/complex/compphys/software/geview/data/figures/219272_at.png","Figure")</f>
        <v>Figure</v>
      </c>
      <c r="I1688">
        <v>1.28</v>
      </c>
      <c r="J1688">
        <v>1.0999999999999999E-2</v>
      </c>
      <c r="K1688">
        <v>1</v>
      </c>
      <c r="L1688">
        <v>1</v>
      </c>
      <c r="M1688">
        <v>0.78500000000000003</v>
      </c>
      <c r="N1688">
        <v>7.3000000000000001E-3</v>
      </c>
    </row>
    <row r="1689" spans="1:14" x14ac:dyDescent="0.25">
      <c r="A1689" t="s">
        <v>3147</v>
      </c>
      <c r="B1689" t="s">
        <v>392</v>
      </c>
      <c r="C1689" s="1" t="str">
        <f>HYPERLINK("http://www.genecards.org/cgi-bin/carddisp.pl?gene=OGT","GeneCards")</f>
        <v>GeneCards</v>
      </c>
      <c r="D1689" s="1" t="str">
        <f>HYPERLINK("http://genome-euro.ucsc.edu/cgi-bin/hgTracks?position=212307_s_at","UCSC")</f>
        <v>UCSC</v>
      </c>
      <c r="E1689" s="1" t="str">
        <f>HYPERLINK("http://www.ncbi.nlm.nih.gov/gene/?term=OGT","NCBI")</f>
        <v>NCBI</v>
      </c>
      <c r="F1689">
        <v>5.4000000000000003E-3</v>
      </c>
      <c r="G1689">
        <v>5.3999999999999999E-2</v>
      </c>
      <c r="H1689" s="1" t="str">
        <f>HYPERLINK("http://www.weizmann.ac.il/complex/compphys/software/geview/data/figures/212307_s_at.png","Figure")</f>
        <v>Figure</v>
      </c>
      <c r="I1689">
        <v>0.47199999999999998</v>
      </c>
      <c r="J1689">
        <v>7.0999999999999994E-2</v>
      </c>
      <c r="K1689">
        <v>1.49</v>
      </c>
      <c r="L1689">
        <v>0.33</v>
      </c>
      <c r="M1689">
        <v>3.15</v>
      </c>
      <c r="N1689">
        <v>4.0000000000000001E-3</v>
      </c>
    </row>
    <row r="1690" spans="1:14" x14ac:dyDescent="0.25">
      <c r="A1690" t="s">
        <v>3148</v>
      </c>
      <c r="B1690" t="s">
        <v>3149</v>
      </c>
      <c r="C1690" s="1" t="str">
        <f>HYPERLINK("http://www.genecards.org/cgi-bin/carddisp.pl?gene=WDR48","GeneCards")</f>
        <v>GeneCards</v>
      </c>
      <c r="D1690" s="1" t="str">
        <f>HYPERLINK("http://genome-euro.ucsc.edu/cgi-bin/hgTracks?position=221735_at","UCSC")</f>
        <v>UCSC</v>
      </c>
      <c r="E1690" s="1" t="str">
        <f>HYPERLINK("http://www.ncbi.nlm.nih.gov/gene/?term=WDR48","NCBI")</f>
        <v>NCBI</v>
      </c>
      <c r="F1690">
        <v>5.4000000000000003E-3</v>
      </c>
      <c r="G1690">
        <v>5.3999999999999999E-2</v>
      </c>
      <c r="H1690" s="1" t="str">
        <f>HYPERLINK("http://www.weizmann.ac.il/complex/compphys/software/geview/data/figures/221735_at.png","Figure")</f>
        <v>Figure</v>
      </c>
      <c r="I1690">
        <v>1.48</v>
      </c>
      <c r="J1690">
        <v>7.2999999999999995E-2</v>
      </c>
      <c r="K1690">
        <v>0.80900000000000005</v>
      </c>
      <c r="L1690">
        <v>0.32</v>
      </c>
      <c r="M1690">
        <v>0.54800000000000004</v>
      </c>
      <c r="N1690">
        <v>4.0000000000000001E-3</v>
      </c>
    </row>
    <row r="1691" spans="1:14" x14ac:dyDescent="0.25">
      <c r="A1691" t="s">
        <v>3150</v>
      </c>
      <c r="B1691" t="s">
        <v>3151</v>
      </c>
      <c r="C1691" s="1" t="str">
        <f>HYPERLINK("http://www.genecards.org/cgi-bin/carddisp.pl?gene=PLSCR1","GeneCards")</f>
        <v>GeneCards</v>
      </c>
      <c r="D1691" s="1" t="str">
        <f>HYPERLINK("http://genome-euro.ucsc.edu/cgi-bin/hgTracks?position=202446_s_at","UCSC")</f>
        <v>UCSC</v>
      </c>
      <c r="E1691" s="1" t="str">
        <f>HYPERLINK("http://www.ncbi.nlm.nih.gov/gene/?term=PLSCR1","NCBI")</f>
        <v>NCBI</v>
      </c>
      <c r="F1691">
        <v>5.4000000000000003E-3</v>
      </c>
      <c r="G1691">
        <v>5.3999999999999999E-2</v>
      </c>
      <c r="H1691" s="1" t="str">
        <f>HYPERLINK("http://www.weizmann.ac.il/complex/compphys/software/geview/data/figures/202446_s_at.png","Figure")</f>
        <v>Figure</v>
      </c>
      <c r="I1691">
        <v>0.45300000000000001</v>
      </c>
      <c r="J1691">
        <v>8.2000000000000007E-3</v>
      </c>
      <c r="K1691">
        <v>0.53</v>
      </c>
      <c r="L1691">
        <v>1.4E-2</v>
      </c>
      <c r="M1691">
        <v>1.17</v>
      </c>
      <c r="N1691">
        <v>0.73</v>
      </c>
    </row>
    <row r="1692" spans="1:14" x14ac:dyDescent="0.25">
      <c r="A1692" t="s">
        <v>3152</v>
      </c>
      <c r="B1692" t="s">
        <v>3153</v>
      </c>
      <c r="C1692" s="1" t="str">
        <f>HYPERLINK("http://www.genecards.org/cgi-bin/carddisp.pl?gene=MAP4K5","GeneCards")</f>
        <v>GeneCards</v>
      </c>
      <c r="D1692" s="1" t="str">
        <f>HYPERLINK("http://genome-euro.ucsc.edu/cgi-bin/hgTracks?position=203552_at","UCSC")</f>
        <v>UCSC</v>
      </c>
      <c r="E1692" s="1" t="str">
        <f>HYPERLINK("http://www.ncbi.nlm.nih.gov/gene/?term=MAP4K5","NCBI")</f>
        <v>NCBI</v>
      </c>
      <c r="F1692">
        <v>5.4000000000000003E-3</v>
      </c>
      <c r="G1692">
        <v>5.3999999999999999E-2</v>
      </c>
      <c r="H1692" s="1" t="str">
        <f>HYPERLINK("http://www.weizmann.ac.il/complex/compphys/software/geview/data/figures/203552_at.png","Figure")</f>
        <v>Figure</v>
      </c>
      <c r="I1692">
        <v>0.32200000000000001</v>
      </c>
      <c r="J1692">
        <v>8.0000000000000002E-3</v>
      </c>
      <c r="K1692">
        <v>0.40500000000000003</v>
      </c>
      <c r="L1692">
        <v>1.4E-2</v>
      </c>
      <c r="M1692">
        <v>1.26</v>
      </c>
      <c r="N1692">
        <v>0.72</v>
      </c>
    </row>
    <row r="1693" spans="1:14" x14ac:dyDescent="0.25">
      <c r="A1693" t="s">
        <v>3154</v>
      </c>
      <c r="B1693" t="s">
        <v>1595</v>
      </c>
      <c r="C1693" s="1" t="str">
        <f>HYPERLINK("http://www.genecards.org/cgi-bin/carddisp.pl?gene=FBXO9","GeneCards")</f>
        <v>GeneCards</v>
      </c>
      <c r="D1693" s="1" t="str">
        <f>HYPERLINK("http://genome-euro.ucsc.edu/cgi-bin/hgTracks?position=212987_at","UCSC")</f>
        <v>UCSC</v>
      </c>
      <c r="E1693" s="1" t="str">
        <f>HYPERLINK("http://www.ncbi.nlm.nih.gov/gene/?term=FBXO9","NCBI")</f>
        <v>NCBI</v>
      </c>
      <c r="F1693">
        <v>5.4000000000000003E-3</v>
      </c>
      <c r="G1693">
        <v>5.3999999999999999E-2</v>
      </c>
      <c r="H1693" s="1" t="str">
        <f>HYPERLINK("http://www.weizmann.ac.il/complex/compphys/software/geview/data/figures/212987_at.png","Figure")</f>
        <v>Figure</v>
      </c>
      <c r="I1693">
        <v>0.501</v>
      </c>
      <c r="J1693">
        <v>2.1999999999999999E-2</v>
      </c>
      <c r="K1693">
        <v>1.1299999999999999</v>
      </c>
      <c r="L1693">
        <v>0.81</v>
      </c>
      <c r="M1693">
        <v>2.25</v>
      </c>
      <c r="N1693">
        <v>5.0000000000000001E-3</v>
      </c>
    </row>
    <row r="1694" spans="1:14" x14ac:dyDescent="0.25">
      <c r="A1694" t="s">
        <v>3155</v>
      </c>
      <c r="B1694" t="s">
        <v>3156</v>
      </c>
      <c r="C1694" s="1" t="str">
        <f>HYPERLINK("http://www.genecards.org/cgi-bin/carddisp.pl?gene=RAB3B","GeneCards")</f>
        <v>GeneCards</v>
      </c>
      <c r="D1694" s="1" t="str">
        <f>HYPERLINK("http://genome-euro.ucsc.edu/cgi-bin/hgTracks?position=205924_at","UCSC")</f>
        <v>UCSC</v>
      </c>
      <c r="E1694" s="1" t="str">
        <f>HYPERLINK("http://www.ncbi.nlm.nih.gov/gene/?term=RAB3B","NCBI")</f>
        <v>NCBI</v>
      </c>
      <c r="F1694">
        <v>5.4000000000000003E-3</v>
      </c>
      <c r="G1694">
        <v>5.3999999999999999E-2</v>
      </c>
      <c r="H1694" s="1" t="str">
        <f>HYPERLINK("http://www.weizmann.ac.il/complex/compphys/software/geview/data/figures/205924_at.png","Figure")</f>
        <v>Figure</v>
      </c>
      <c r="I1694">
        <v>1.1499999999999999</v>
      </c>
      <c r="J1694">
        <v>6.4000000000000003E-3</v>
      </c>
      <c r="K1694">
        <v>1.02</v>
      </c>
      <c r="L1694">
        <v>0.77</v>
      </c>
      <c r="M1694">
        <v>0.89</v>
      </c>
      <c r="N1694">
        <v>1.2999999999999999E-2</v>
      </c>
    </row>
    <row r="1695" spans="1:14" x14ac:dyDescent="0.25">
      <c r="A1695" t="s">
        <v>3157</v>
      </c>
      <c r="B1695" t="s">
        <v>3158</v>
      </c>
      <c r="C1695" s="1" t="str">
        <f>HYPERLINK("http://www.genecards.org/cgi-bin/carddisp.pl?gene=C14orf118","GeneCards")</f>
        <v>GeneCards</v>
      </c>
      <c r="D1695" s="1" t="str">
        <f>HYPERLINK("http://genome-euro.ucsc.edu/cgi-bin/hgTracks?position=219720_s_at","UCSC")</f>
        <v>UCSC</v>
      </c>
      <c r="E1695" s="1" t="str">
        <f>HYPERLINK("http://www.ncbi.nlm.nih.gov/gene/?term=C14orf118","NCBI")</f>
        <v>NCBI</v>
      </c>
      <c r="F1695">
        <v>5.4000000000000003E-3</v>
      </c>
      <c r="G1695">
        <v>5.3999999999999999E-2</v>
      </c>
      <c r="H1695" s="1" t="str">
        <f>HYPERLINK("http://www.weizmann.ac.il/complex/compphys/software/geview/data/figures/219720_s_at.png","Figure")</f>
        <v>Figure</v>
      </c>
      <c r="I1695">
        <v>1.07</v>
      </c>
      <c r="J1695">
        <v>0.47</v>
      </c>
      <c r="K1695">
        <v>0.88100000000000001</v>
      </c>
      <c r="L1695">
        <v>4.7E-2</v>
      </c>
      <c r="M1695">
        <v>0.82499999999999996</v>
      </c>
      <c r="N1695">
        <v>6.0000000000000001E-3</v>
      </c>
    </row>
    <row r="1696" spans="1:14" x14ac:dyDescent="0.25">
      <c r="A1696" t="s">
        <v>3159</v>
      </c>
      <c r="B1696" t="s">
        <v>3160</v>
      </c>
      <c r="C1696" s="1" t="str">
        <f>HYPERLINK("http://www.genecards.org/cgi-bin/carddisp.pl?gene=MAFF","GeneCards")</f>
        <v>GeneCards</v>
      </c>
      <c r="D1696" s="1" t="str">
        <f>HYPERLINK("http://genome-euro.ucsc.edu/cgi-bin/hgTracks?position=36711_at","UCSC")</f>
        <v>UCSC</v>
      </c>
      <c r="E1696" s="1" t="str">
        <f>HYPERLINK("http://www.ncbi.nlm.nih.gov/gene/?term=MAFF","NCBI")</f>
        <v>NCBI</v>
      </c>
      <c r="F1696">
        <v>5.4000000000000003E-3</v>
      </c>
      <c r="G1696">
        <v>5.3999999999999999E-2</v>
      </c>
      <c r="H1696" s="1" t="str">
        <f>HYPERLINK("http://www.weizmann.ac.il/complex/compphys/software/geview/data/figures/36711_at.png","Figure")</f>
        <v>Figure</v>
      </c>
      <c r="I1696">
        <v>0.13900000000000001</v>
      </c>
      <c r="J1696">
        <v>9.4000000000000004E-3</v>
      </c>
      <c r="K1696">
        <v>0.191</v>
      </c>
      <c r="L1696">
        <v>1.2E-2</v>
      </c>
      <c r="M1696">
        <v>1.37</v>
      </c>
      <c r="N1696">
        <v>0.82</v>
      </c>
    </row>
    <row r="1697" spans="1:14" x14ac:dyDescent="0.25">
      <c r="A1697" t="s">
        <v>3161</v>
      </c>
      <c r="B1697" t="s">
        <v>3162</v>
      </c>
      <c r="C1697" s="1" t="str">
        <f>HYPERLINK("http://www.genecards.org/cgi-bin/carddisp.pl?gene=ZCCHC8","GeneCards")</f>
        <v>GeneCards</v>
      </c>
      <c r="D1697" s="1" t="str">
        <f>HYPERLINK("http://genome-euro.ucsc.edu/cgi-bin/hgTracks?position=218478_s_at","UCSC")</f>
        <v>UCSC</v>
      </c>
      <c r="E1697" s="1" t="str">
        <f>HYPERLINK("http://www.ncbi.nlm.nih.gov/gene/?term=ZCCHC8","NCBI")</f>
        <v>NCBI</v>
      </c>
      <c r="F1697">
        <v>5.4000000000000003E-3</v>
      </c>
      <c r="G1697">
        <v>5.3999999999999999E-2</v>
      </c>
      <c r="H1697" s="1" t="str">
        <f>HYPERLINK("http://www.weizmann.ac.il/complex/compphys/software/geview/data/figures/218478_s_at.png","Figure")</f>
        <v>Figure</v>
      </c>
      <c r="I1697">
        <v>0.79100000000000004</v>
      </c>
      <c r="J1697">
        <v>0.52</v>
      </c>
      <c r="K1697">
        <v>0.49099999999999999</v>
      </c>
      <c r="L1697">
        <v>5.1000000000000004E-3</v>
      </c>
      <c r="M1697">
        <v>0.62</v>
      </c>
      <c r="N1697">
        <v>7.2999999999999995E-2</v>
      </c>
    </row>
    <row r="1698" spans="1:14" x14ac:dyDescent="0.25">
      <c r="A1698" t="s">
        <v>3163</v>
      </c>
      <c r="B1698" t="s">
        <v>3164</v>
      </c>
      <c r="C1698" s="1" t="str">
        <f>HYPERLINK("http://www.genecards.org/cgi-bin/carddisp.pl?gene=CD300A","GeneCards")</f>
        <v>GeneCards</v>
      </c>
      <c r="D1698" s="1" t="str">
        <f>HYPERLINK("http://genome-euro.ucsc.edu/cgi-bin/hgTracks?position=209933_s_at","UCSC")</f>
        <v>UCSC</v>
      </c>
      <c r="E1698" s="1" t="str">
        <f>HYPERLINK("http://www.ncbi.nlm.nih.gov/gene/?term=CD300A","NCBI")</f>
        <v>NCBI</v>
      </c>
      <c r="F1698">
        <v>5.4000000000000003E-3</v>
      </c>
      <c r="G1698">
        <v>5.3999999999999999E-2</v>
      </c>
      <c r="H1698" s="1" t="str">
        <f>HYPERLINK("http://www.weizmann.ac.il/complex/compphys/software/geview/data/figures/209933_s_at.png","Figure")</f>
        <v>Figure</v>
      </c>
      <c r="I1698">
        <v>0.67300000000000004</v>
      </c>
      <c r="J1698">
        <v>5.8999999999999999E-3</v>
      </c>
      <c r="K1698">
        <v>0.92600000000000005</v>
      </c>
      <c r="L1698">
        <v>0.69</v>
      </c>
      <c r="M1698">
        <v>1.38</v>
      </c>
      <c r="N1698">
        <v>1.4999999999999999E-2</v>
      </c>
    </row>
    <row r="1699" spans="1:14" x14ac:dyDescent="0.25">
      <c r="A1699" t="s">
        <v>3165</v>
      </c>
      <c r="B1699" t="s">
        <v>3166</v>
      </c>
      <c r="C1699" s="1" t="str">
        <f>HYPERLINK("http://www.genecards.org/cgi-bin/carddisp.pl?gene=BTG2","GeneCards")</f>
        <v>GeneCards</v>
      </c>
      <c r="D1699" s="1" t="str">
        <f>HYPERLINK("http://genome-euro.ucsc.edu/cgi-bin/hgTracks?position=201235_s_at","UCSC")</f>
        <v>UCSC</v>
      </c>
      <c r="E1699" s="1" t="str">
        <f>HYPERLINK("http://www.ncbi.nlm.nih.gov/gene/?term=BTG2","NCBI")</f>
        <v>NCBI</v>
      </c>
      <c r="F1699">
        <v>5.4000000000000003E-3</v>
      </c>
      <c r="G1699">
        <v>5.3999999999999999E-2</v>
      </c>
      <c r="H1699" s="1" t="str">
        <f>HYPERLINK("http://www.weizmann.ac.il/complex/compphys/software/geview/data/figures/201235_s_at.png","Figure")</f>
        <v>Figure</v>
      </c>
      <c r="I1699">
        <v>1.38</v>
      </c>
      <c r="J1699">
        <v>5.8999999999999999E-3</v>
      </c>
      <c r="K1699">
        <v>1.25</v>
      </c>
      <c r="L1699">
        <v>2.4E-2</v>
      </c>
      <c r="M1699">
        <v>0.90700000000000003</v>
      </c>
      <c r="N1699">
        <v>0.46</v>
      </c>
    </row>
    <row r="1700" spans="1:14" x14ac:dyDescent="0.25">
      <c r="A1700" t="s">
        <v>3167</v>
      </c>
      <c r="B1700" t="s">
        <v>3168</v>
      </c>
      <c r="C1700" s="1" t="str">
        <f>HYPERLINK("http://www.genecards.org/cgi-bin/carddisp.pl?gene=C21orf59","GeneCards")</f>
        <v>GeneCards</v>
      </c>
      <c r="D1700" s="1" t="str">
        <f>HYPERLINK("http://genome-euro.ucsc.edu/cgi-bin/hgTracks?position=218123_at","UCSC")</f>
        <v>UCSC</v>
      </c>
      <c r="E1700" s="1" t="str">
        <f>HYPERLINK("http://www.ncbi.nlm.nih.gov/gene/?term=C21orf59","NCBI")</f>
        <v>NCBI</v>
      </c>
      <c r="F1700">
        <v>5.4000000000000003E-3</v>
      </c>
      <c r="G1700">
        <v>5.3999999999999999E-2</v>
      </c>
      <c r="H1700" s="1" t="str">
        <f>HYPERLINK("http://www.weizmann.ac.il/complex/compphys/software/geview/data/figures/218123_at.png","Figure")</f>
        <v>Figure</v>
      </c>
      <c r="I1700">
        <v>0.72199999999999998</v>
      </c>
      <c r="J1700">
        <v>0.32</v>
      </c>
      <c r="K1700">
        <v>1.58</v>
      </c>
      <c r="L1700">
        <v>7.3999999999999996E-2</v>
      </c>
      <c r="M1700">
        <v>2.19</v>
      </c>
      <c r="N1700">
        <v>5.1000000000000004E-3</v>
      </c>
    </row>
    <row r="1701" spans="1:14" x14ac:dyDescent="0.25">
      <c r="A1701" t="s">
        <v>3169</v>
      </c>
      <c r="B1701" t="s">
        <v>794</v>
      </c>
      <c r="C1701" s="1" t="str">
        <f>HYPERLINK("http://www.genecards.org/cgi-bin/carddisp.pl?gene=DAB2","GeneCards")</f>
        <v>GeneCards</v>
      </c>
      <c r="D1701" s="1" t="str">
        <f>HYPERLINK("http://genome-euro.ucsc.edu/cgi-bin/hgTracks?position=201279_s_at","UCSC")</f>
        <v>UCSC</v>
      </c>
      <c r="E1701" s="1" t="str">
        <f>HYPERLINK("http://www.ncbi.nlm.nih.gov/gene/?term=DAB2","NCBI")</f>
        <v>NCBI</v>
      </c>
      <c r="F1701">
        <v>5.4000000000000003E-3</v>
      </c>
      <c r="G1701">
        <v>5.3999999999999999E-2</v>
      </c>
      <c r="H1701" s="1" t="str">
        <f>HYPERLINK("http://www.weizmann.ac.il/complex/compphys/software/geview/data/figures/201279_s_at.png","Figure")</f>
        <v>Figure</v>
      </c>
      <c r="I1701">
        <v>0.74099999999999999</v>
      </c>
      <c r="J1701">
        <v>4.1999999999999997E-3</v>
      </c>
      <c r="K1701">
        <v>0.9</v>
      </c>
      <c r="L1701">
        <v>0.28000000000000003</v>
      </c>
      <c r="M1701">
        <v>1.21</v>
      </c>
      <c r="N1701">
        <v>4.1000000000000002E-2</v>
      </c>
    </row>
    <row r="1702" spans="1:14" x14ac:dyDescent="0.25">
      <c r="A1702" t="s">
        <v>3170</v>
      </c>
      <c r="B1702" t="s">
        <v>1214</v>
      </c>
      <c r="C1702" s="1" t="str">
        <f>HYPERLINK("http://www.genecards.org/cgi-bin/carddisp.pl?gene=SOX4","GeneCards")</f>
        <v>GeneCards</v>
      </c>
      <c r="D1702" s="1" t="str">
        <f>HYPERLINK("http://genome-euro.ucsc.edu/cgi-bin/hgTracks?position=201418_s_at","UCSC")</f>
        <v>UCSC</v>
      </c>
      <c r="E1702" s="1" t="str">
        <f>HYPERLINK("http://www.ncbi.nlm.nih.gov/gene/?term=SOX4","NCBI")</f>
        <v>NCBI</v>
      </c>
      <c r="F1702">
        <v>5.4999999999999997E-3</v>
      </c>
      <c r="G1702">
        <v>5.3999999999999999E-2</v>
      </c>
      <c r="H1702" s="1" t="str">
        <f>HYPERLINK("http://www.weizmann.ac.il/complex/compphys/software/geview/data/figures/201418_s_at.png","Figure")</f>
        <v>Figure</v>
      </c>
      <c r="I1702">
        <v>1.71</v>
      </c>
      <c r="J1702">
        <v>7.4999999999999997E-2</v>
      </c>
      <c r="K1702">
        <v>2.16</v>
      </c>
      <c r="L1702">
        <v>4.1999999999999997E-3</v>
      </c>
      <c r="M1702">
        <v>1.26</v>
      </c>
      <c r="N1702">
        <v>0.52</v>
      </c>
    </row>
    <row r="1703" spans="1:14" x14ac:dyDescent="0.25">
      <c r="A1703" t="s">
        <v>3171</v>
      </c>
      <c r="B1703" t="s">
        <v>3172</v>
      </c>
      <c r="C1703" s="1" t="str">
        <f>HYPERLINK("http://www.genecards.org/cgi-bin/carddisp.pl?gene=CCNB2","GeneCards")</f>
        <v>GeneCards</v>
      </c>
      <c r="D1703" s="1" t="str">
        <f>HYPERLINK("http://genome-euro.ucsc.edu/cgi-bin/hgTracks?position=202705_at","UCSC")</f>
        <v>UCSC</v>
      </c>
      <c r="E1703" s="1" t="str">
        <f>HYPERLINK("http://www.ncbi.nlm.nih.gov/gene/?term=CCNB2","NCBI")</f>
        <v>NCBI</v>
      </c>
      <c r="F1703">
        <v>5.4999999999999997E-3</v>
      </c>
      <c r="G1703">
        <v>5.3999999999999999E-2</v>
      </c>
      <c r="H1703" s="1" t="str">
        <f>HYPERLINK("http://www.weizmann.ac.il/complex/compphys/software/geview/data/figures/202705_at.png","Figure")</f>
        <v>Figure</v>
      </c>
      <c r="I1703">
        <v>1.34</v>
      </c>
      <c r="J1703">
        <v>3.7999999999999999E-2</v>
      </c>
      <c r="K1703">
        <v>1.43</v>
      </c>
      <c r="L1703">
        <v>5.0000000000000001E-3</v>
      </c>
      <c r="M1703">
        <v>1.07</v>
      </c>
      <c r="N1703">
        <v>0.8</v>
      </c>
    </row>
    <row r="1704" spans="1:14" x14ac:dyDescent="0.25">
      <c r="A1704" t="s">
        <v>3173</v>
      </c>
      <c r="B1704" t="s">
        <v>3174</v>
      </c>
      <c r="C1704" s="1" t="str">
        <f>HYPERLINK("http://www.genecards.org/cgi-bin/carddisp.pl?gene=FGL1","GeneCards")</f>
        <v>GeneCards</v>
      </c>
      <c r="D1704" s="1" t="str">
        <f>HYPERLINK("http://genome-euro.ucsc.edu/cgi-bin/hgTracks?position=205305_at","UCSC")</f>
        <v>UCSC</v>
      </c>
      <c r="E1704" s="1" t="str">
        <f>HYPERLINK("http://www.ncbi.nlm.nih.gov/gene/?term=FGL1","NCBI")</f>
        <v>NCBI</v>
      </c>
      <c r="F1704">
        <v>5.4999999999999997E-3</v>
      </c>
      <c r="G1704">
        <v>5.3999999999999999E-2</v>
      </c>
      <c r="H1704" s="1" t="str">
        <f>HYPERLINK("http://www.weizmann.ac.il/complex/compphys/software/geview/data/figures/205305_at.png","Figure")</f>
        <v>Figure</v>
      </c>
      <c r="I1704">
        <v>1.3</v>
      </c>
      <c r="J1704">
        <v>1.0999999999999999E-2</v>
      </c>
      <c r="K1704">
        <v>1</v>
      </c>
      <c r="L1704">
        <v>1</v>
      </c>
      <c r="M1704">
        <v>0.77100000000000002</v>
      </c>
      <c r="N1704">
        <v>7.4000000000000003E-3</v>
      </c>
    </row>
    <row r="1705" spans="1:14" x14ac:dyDescent="0.25">
      <c r="A1705" t="s">
        <v>3175</v>
      </c>
      <c r="B1705" t="s">
        <v>3176</v>
      </c>
      <c r="C1705" s="1" t="str">
        <f>HYPERLINK("http://www.genecards.org/cgi-bin/carddisp.pl?gene=F8","GeneCards")</f>
        <v>GeneCards</v>
      </c>
      <c r="D1705" s="1" t="str">
        <f>HYPERLINK("http://genome-euro.ucsc.edu/cgi-bin/hgTracks?position=205756_s_at","UCSC")</f>
        <v>UCSC</v>
      </c>
      <c r="E1705" s="1" t="str">
        <f>HYPERLINK("http://www.ncbi.nlm.nih.gov/gene/?term=F8","NCBI")</f>
        <v>NCBI</v>
      </c>
      <c r="F1705">
        <v>5.4000000000000003E-3</v>
      </c>
      <c r="G1705">
        <v>5.3999999999999999E-2</v>
      </c>
      <c r="H1705" s="1" t="str">
        <f>HYPERLINK("http://www.weizmann.ac.il/complex/compphys/software/geview/data/figures/205756_s_at.png","Figure")</f>
        <v>Figure</v>
      </c>
      <c r="I1705">
        <v>0.92200000000000004</v>
      </c>
      <c r="J1705">
        <v>1.0999999999999999E-2</v>
      </c>
      <c r="K1705">
        <v>1</v>
      </c>
      <c r="L1705">
        <v>1</v>
      </c>
      <c r="M1705">
        <v>1.08</v>
      </c>
      <c r="N1705">
        <v>7.1999999999999998E-3</v>
      </c>
    </row>
    <row r="1706" spans="1:14" x14ac:dyDescent="0.25">
      <c r="A1706" t="s">
        <v>3177</v>
      </c>
      <c r="B1706" t="s">
        <v>3178</v>
      </c>
      <c r="C1706" s="1" t="str">
        <f>HYPERLINK("http://www.genecards.org/cgi-bin/carddisp.pl?gene=SERINC1","GeneCards")</f>
        <v>GeneCards</v>
      </c>
      <c r="D1706" s="1" t="str">
        <f>HYPERLINK("http://genome-euro.ucsc.edu/cgi-bin/hgTracks?position=208671_at","UCSC")</f>
        <v>UCSC</v>
      </c>
      <c r="E1706" s="1" t="str">
        <f>HYPERLINK("http://www.ncbi.nlm.nih.gov/gene/?term=SERINC1","NCBI")</f>
        <v>NCBI</v>
      </c>
      <c r="F1706">
        <v>5.4999999999999997E-3</v>
      </c>
      <c r="G1706">
        <v>5.3999999999999999E-2</v>
      </c>
      <c r="H1706" s="1" t="str">
        <f>HYPERLINK("http://www.weizmann.ac.il/complex/compphys/software/geview/data/figures/208671_at.png","Figure")</f>
        <v>Figure</v>
      </c>
      <c r="I1706">
        <v>0.45700000000000002</v>
      </c>
      <c r="J1706">
        <v>1.7000000000000001E-2</v>
      </c>
      <c r="K1706">
        <v>0.45900000000000002</v>
      </c>
      <c r="L1706">
        <v>7.4000000000000003E-3</v>
      </c>
      <c r="M1706">
        <v>1</v>
      </c>
      <c r="N1706">
        <v>1</v>
      </c>
    </row>
    <row r="1707" spans="1:14" x14ac:dyDescent="0.25">
      <c r="A1707" t="s">
        <v>3179</v>
      </c>
      <c r="B1707" t="s">
        <v>3180</v>
      </c>
      <c r="C1707" s="1" t="str">
        <f>HYPERLINK("http://www.genecards.org/cgi-bin/carddisp.pl?gene=ISCA1","GeneCards")</f>
        <v>GeneCards</v>
      </c>
      <c r="D1707" s="1" t="str">
        <f>HYPERLINK("http://genome-euro.ucsc.edu/cgi-bin/hgTracks?position=209274_s_at","UCSC")</f>
        <v>UCSC</v>
      </c>
      <c r="E1707" s="1" t="str">
        <f>HYPERLINK("http://www.ncbi.nlm.nih.gov/gene/?term=ISCA1","NCBI")</f>
        <v>NCBI</v>
      </c>
      <c r="F1707">
        <v>5.4999999999999997E-3</v>
      </c>
      <c r="G1707">
        <v>5.3999999999999999E-2</v>
      </c>
      <c r="H1707" s="1" t="str">
        <f>HYPERLINK("http://www.weizmann.ac.il/complex/compphys/software/geview/data/figures/209274_s_at.png","Figure")</f>
        <v>Figure</v>
      </c>
      <c r="I1707">
        <v>0.54400000000000004</v>
      </c>
      <c r="J1707">
        <v>8.5000000000000006E-3</v>
      </c>
      <c r="K1707">
        <v>0.61199999999999999</v>
      </c>
      <c r="L1707">
        <v>1.4E-2</v>
      </c>
      <c r="M1707">
        <v>1.1200000000000001</v>
      </c>
      <c r="N1707">
        <v>0.75</v>
      </c>
    </row>
    <row r="1708" spans="1:14" x14ac:dyDescent="0.25">
      <c r="A1708" t="s">
        <v>3181</v>
      </c>
      <c r="B1708" t="s">
        <v>1214</v>
      </c>
      <c r="C1708" s="1" t="str">
        <f>HYPERLINK("http://www.genecards.org/cgi-bin/carddisp.pl?gene=SOX4","GeneCards")</f>
        <v>GeneCards</v>
      </c>
      <c r="D1708" s="1" t="str">
        <f>HYPERLINK("http://genome-euro.ucsc.edu/cgi-bin/hgTracks?position=213668_s_at","UCSC")</f>
        <v>UCSC</v>
      </c>
      <c r="E1708" s="1" t="str">
        <f>HYPERLINK("http://www.ncbi.nlm.nih.gov/gene/?term=SOX4","NCBI")</f>
        <v>NCBI</v>
      </c>
      <c r="F1708">
        <v>5.4999999999999997E-3</v>
      </c>
      <c r="G1708">
        <v>5.3999999999999999E-2</v>
      </c>
      <c r="H1708" s="1" t="str">
        <f>HYPERLINK("http://www.weizmann.ac.il/complex/compphys/software/geview/data/figures/213668_s_at.png","Figure")</f>
        <v>Figure</v>
      </c>
      <c r="I1708">
        <v>1.3</v>
      </c>
      <c r="J1708">
        <v>0.79</v>
      </c>
      <c r="K1708">
        <v>3.58</v>
      </c>
      <c r="L1708">
        <v>6.6E-3</v>
      </c>
      <c r="M1708">
        <v>2.76</v>
      </c>
      <c r="N1708">
        <v>3.9E-2</v>
      </c>
    </row>
    <row r="1709" spans="1:14" x14ac:dyDescent="0.25">
      <c r="A1709" t="s">
        <v>3182</v>
      </c>
      <c r="B1709" t="s">
        <v>3183</v>
      </c>
      <c r="C1709" s="1" t="str">
        <f>HYPERLINK("http://www.genecards.org/cgi-bin/carddisp.pl?gene=GK","GeneCards")</f>
        <v>GeneCards</v>
      </c>
      <c r="D1709" s="1" t="str">
        <f>HYPERLINK("http://genome-euro.ucsc.edu/cgi-bin/hgTracks?position=214681_at","UCSC")</f>
        <v>UCSC</v>
      </c>
      <c r="E1709" s="1" t="str">
        <f>HYPERLINK("http://www.ncbi.nlm.nih.gov/gene/?term=GK","NCBI")</f>
        <v>NCBI</v>
      </c>
      <c r="F1709">
        <v>5.4999999999999997E-3</v>
      </c>
      <c r="G1709">
        <v>5.3999999999999999E-2</v>
      </c>
      <c r="H1709" s="1" t="str">
        <f>HYPERLINK("http://www.weizmann.ac.il/complex/compphys/software/geview/data/figures/214681_at.png","Figure")</f>
        <v>Figure</v>
      </c>
      <c r="I1709">
        <v>1</v>
      </c>
      <c r="J1709">
        <v>1</v>
      </c>
      <c r="K1709">
        <v>1.2</v>
      </c>
      <c r="L1709">
        <v>1.0999999999999999E-2</v>
      </c>
      <c r="M1709">
        <v>1.2</v>
      </c>
      <c r="N1709">
        <v>1.7999999999999999E-2</v>
      </c>
    </row>
    <row r="1710" spans="1:14" x14ac:dyDescent="0.25">
      <c r="A1710" t="s">
        <v>3184</v>
      </c>
      <c r="B1710" t="s">
        <v>3185</v>
      </c>
      <c r="C1710" s="1" t="str">
        <f>HYPERLINK("http://www.genecards.org/cgi-bin/carddisp.pl?gene=ZDHHC3","GeneCards")</f>
        <v>GeneCards</v>
      </c>
      <c r="D1710" s="1" t="str">
        <f>HYPERLINK("http://genome-euro.ucsc.edu/cgi-bin/hgTracks?position=218078_s_at","UCSC")</f>
        <v>UCSC</v>
      </c>
      <c r="E1710" s="1" t="str">
        <f>HYPERLINK("http://www.ncbi.nlm.nih.gov/gene/?term=ZDHHC3","NCBI")</f>
        <v>NCBI</v>
      </c>
      <c r="F1710">
        <v>5.4999999999999997E-3</v>
      </c>
      <c r="G1710">
        <v>5.3999999999999999E-2</v>
      </c>
      <c r="H1710" s="1" t="str">
        <f>HYPERLINK("http://www.weizmann.ac.il/complex/compphys/software/geview/data/figures/218078_s_at.png","Figure")</f>
        <v>Figure</v>
      </c>
      <c r="I1710">
        <v>0.93400000000000005</v>
      </c>
      <c r="J1710">
        <v>0.85</v>
      </c>
      <c r="K1710">
        <v>0.66400000000000003</v>
      </c>
      <c r="L1710">
        <v>7.1999999999999998E-3</v>
      </c>
      <c r="M1710">
        <v>0.71099999999999997</v>
      </c>
      <c r="N1710">
        <v>3.3000000000000002E-2</v>
      </c>
    </row>
    <row r="1711" spans="1:14" x14ac:dyDescent="0.25">
      <c r="A1711" t="s">
        <v>3186</v>
      </c>
      <c r="B1711" t="s">
        <v>3187</v>
      </c>
      <c r="C1711" s="1" t="str">
        <f>HYPERLINK("http://www.genecards.org/cgi-bin/carddisp.pl?gene=BXDC5","GeneCards")</f>
        <v>GeneCards</v>
      </c>
      <c r="D1711" s="1" t="str">
        <f>HYPERLINK("http://genome-euro.ucsc.edu/cgi-bin/hgTracks?position=218462_at","UCSC")</f>
        <v>UCSC</v>
      </c>
      <c r="E1711" s="1" t="str">
        <f>HYPERLINK("http://www.ncbi.nlm.nih.gov/gene/?term=BXDC5","NCBI")</f>
        <v>NCBI</v>
      </c>
      <c r="F1711">
        <v>5.4999999999999997E-3</v>
      </c>
      <c r="G1711">
        <v>5.3999999999999999E-2</v>
      </c>
      <c r="H1711" s="1" t="str">
        <f>HYPERLINK("http://www.weizmann.ac.il/complex/compphys/software/geview/data/figures/218462_at.png","Figure")</f>
        <v>Figure</v>
      </c>
      <c r="I1711">
        <v>0.88400000000000001</v>
      </c>
      <c r="J1711">
        <v>0.67</v>
      </c>
      <c r="K1711">
        <v>0.621</v>
      </c>
      <c r="L1711">
        <v>5.7999999999999996E-3</v>
      </c>
      <c r="M1711">
        <v>0.70299999999999996</v>
      </c>
      <c r="N1711">
        <v>5.0999999999999997E-2</v>
      </c>
    </row>
    <row r="1712" spans="1:14" x14ac:dyDescent="0.25">
      <c r="A1712" t="s">
        <v>3188</v>
      </c>
      <c r="B1712" t="s">
        <v>3189</v>
      </c>
      <c r="C1712" s="1" t="str">
        <f>HYPERLINK("http://www.genecards.org/cgi-bin/carddisp.pl?gene=FAM53B","GeneCards")</f>
        <v>GeneCards</v>
      </c>
      <c r="D1712" s="1" t="str">
        <f>HYPERLINK("http://genome-euro.ucsc.edu/cgi-bin/hgTracks?position=203206_at","UCSC")</f>
        <v>UCSC</v>
      </c>
      <c r="E1712" s="1" t="str">
        <f>HYPERLINK("http://www.ncbi.nlm.nih.gov/gene/?term=FAM53B","NCBI")</f>
        <v>NCBI</v>
      </c>
      <c r="F1712">
        <v>5.4999999999999997E-3</v>
      </c>
      <c r="G1712">
        <v>5.3999999999999999E-2</v>
      </c>
      <c r="H1712" s="1" t="str">
        <f>HYPERLINK("http://www.weizmann.ac.il/complex/compphys/software/geview/data/figures/203206_at.png","Figure")</f>
        <v>Figure</v>
      </c>
      <c r="I1712">
        <v>1.26</v>
      </c>
      <c r="J1712">
        <v>0.11</v>
      </c>
      <c r="K1712">
        <v>1.44</v>
      </c>
      <c r="L1712">
        <v>4.1000000000000003E-3</v>
      </c>
      <c r="M1712">
        <v>1.1499999999999999</v>
      </c>
      <c r="N1712">
        <v>0.37</v>
      </c>
    </row>
    <row r="1713" spans="1:14" x14ac:dyDescent="0.25">
      <c r="A1713" t="s">
        <v>3190</v>
      </c>
      <c r="B1713" t="s">
        <v>3191</v>
      </c>
      <c r="C1713" s="1" t="str">
        <f>HYPERLINK("http://www.genecards.org/cgi-bin/carddisp.pl?gene=NOTCH2","GeneCards")</f>
        <v>GeneCards</v>
      </c>
      <c r="D1713" s="1" t="str">
        <f>HYPERLINK("http://genome-euro.ucsc.edu/cgi-bin/hgTracks?position=210756_s_at","UCSC")</f>
        <v>UCSC</v>
      </c>
      <c r="E1713" s="1" t="str">
        <f>HYPERLINK("http://www.ncbi.nlm.nih.gov/gene/?term=NOTCH2","NCBI")</f>
        <v>NCBI</v>
      </c>
      <c r="F1713">
        <v>5.4999999999999997E-3</v>
      </c>
      <c r="G1713">
        <v>5.3999999999999999E-2</v>
      </c>
      <c r="H1713" s="1" t="str">
        <f>HYPERLINK("http://www.weizmann.ac.il/complex/compphys/software/geview/data/figures/210756_s_at.png","Figure")</f>
        <v>Figure</v>
      </c>
      <c r="I1713">
        <v>1.38</v>
      </c>
      <c r="J1713">
        <v>4.5999999999999999E-3</v>
      </c>
      <c r="K1713">
        <v>1.1000000000000001</v>
      </c>
      <c r="L1713">
        <v>0.39</v>
      </c>
      <c r="M1713">
        <v>0.79800000000000004</v>
      </c>
      <c r="N1713">
        <v>0.03</v>
      </c>
    </row>
    <row r="1714" spans="1:14" x14ac:dyDescent="0.25">
      <c r="A1714" t="s">
        <v>3192</v>
      </c>
      <c r="B1714" t="s">
        <v>3193</v>
      </c>
      <c r="C1714" s="1" t="str">
        <f>HYPERLINK("http://www.genecards.org/cgi-bin/carddisp.pl?gene=DR1","GeneCards")</f>
        <v>GeneCards</v>
      </c>
      <c r="D1714" s="1" t="str">
        <f>HYPERLINK("http://genome-euro.ucsc.edu/cgi-bin/hgTracks?position=216652_s_at","UCSC")</f>
        <v>UCSC</v>
      </c>
      <c r="E1714" s="1" t="str">
        <f>HYPERLINK("http://www.ncbi.nlm.nih.gov/gene/?term=DR1","NCBI")</f>
        <v>NCBI</v>
      </c>
      <c r="F1714">
        <v>5.4999999999999997E-3</v>
      </c>
      <c r="G1714">
        <v>5.3999999999999999E-2</v>
      </c>
      <c r="H1714" s="1" t="str">
        <f>HYPERLINK("http://www.weizmann.ac.il/complex/compphys/software/geview/data/figures/216652_s_at.png","Figure")</f>
        <v>Figure</v>
      </c>
      <c r="I1714">
        <v>0.72299999999999998</v>
      </c>
      <c r="J1714">
        <v>1.6E-2</v>
      </c>
      <c r="K1714">
        <v>0.73</v>
      </c>
      <c r="L1714">
        <v>7.9000000000000008E-3</v>
      </c>
      <c r="M1714">
        <v>1.01</v>
      </c>
      <c r="N1714">
        <v>0.99</v>
      </c>
    </row>
    <row r="1715" spans="1:14" x14ac:dyDescent="0.25">
      <c r="A1715" t="s">
        <v>3194</v>
      </c>
      <c r="B1715" t="s">
        <v>3195</v>
      </c>
      <c r="C1715" s="1" t="str">
        <f>HYPERLINK("http://www.genecards.org/cgi-bin/carddisp.pl?gene=SFXN1","GeneCards")</f>
        <v>GeneCards</v>
      </c>
      <c r="D1715" s="1" t="str">
        <f>HYPERLINK("http://genome-euro.ucsc.edu/cgi-bin/hgTracks?position=218392_x_at","UCSC")</f>
        <v>UCSC</v>
      </c>
      <c r="E1715" s="1" t="str">
        <f>HYPERLINK("http://www.ncbi.nlm.nih.gov/gene/?term=SFXN1","NCBI")</f>
        <v>NCBI</v>
      </c>
      <c r="F1715">
        <v>5.4999999999999997E-3</v>
      </c>
      <c r="G1715">
        <v>5.3999999999999999E-2</v>
      </c>
      <c r="H1715" s="1" t="str">
        <f>HYPERLINK("http://www.weizmann.ac.il/complex/compphys/software/geview/data/figures/218392_x_at.png","Figure")</f>
        <v>Figure</v>
      </c>
      <c r="I1715">
        <v>1.1299999999999999</v>
      </c>
      <c r="J1715">
        <v>0.92</v>
      </c>
      <c r="K1715">
        <v>0.41299999999999998</v>
      </c>
      <c r="L1715">
        <v>1.7000000000000001E-2</v>
      </c>
      <c r="M1715">
        <v>0.36499999999999999</v>
      </c>
      <c r="N1715">
        <v>1.2E-2</v>
      </c>
    </row>
    <row r="1716" spans="1:14" x14ac:dyDescent="0.25">
      <c r="A1716" t="s">
        <v>3196</v>
      </c>
      <c r="B1716" t="s">
        <v>3197</v>
      </c>
      <c r="C1716" s="1" t="str">
        <f>HYPERLINK("http://www.genecards.org/cgi-bin/carddisp.pl?gene=CSGALNACT2","GeneCards")</f>
        <v>GeneCards</v>
      </c>
      <c r="D1716" s="1" t="str">
        <f>HYPERLINK("http://genome-euro.ucsc.edu/cgi-bin/hgTracks?position=218871_x_at","UCSC")</f>
        <v>UCSC</v>
      </c>
      <c r="E1716" s="1" t="str">
        <f>HYPERLINK("http://www.ncbi.nlm.nih.gov/gene/?term=CSGALNACT2","NCBI")</f>
        <v>NCBI</v>
      </c>
      <c r="F1716">
        <v>5.4999999999999997E-3</v>
      </c>
      <c r="G1716">
        <v>5.3999999999999999E-2</v>
      </c>
      <c r="H1716" s="1" t="str">
        <f>HYPERLINK("http://www.weizmann.ac.il/complex/compphys/software/geview/data/figures/218871_x_at.png","Figure")</f>
        <v>Figure</v>
      </c>
      <c r="I1716">
        <v>0.30099999999999999</v>
      </c>
      <c r="J1716">
        <v>4.3E-3</v>
      </c>
      <c r="K1716">
        <v>0.66200000000000003</v>
      </c>
      <c r="L1716">
        <v>0.3</v>
      </c>
      <c r="M1716">
        <v>2.2000000000000002</v>
      </c>
      <c r="N1716">
        <v>3.9E-2</v>
      </c>
    </row>
    <row r="1717" spans="1:14" x14ac:dyDescent="0.25">
      <c r="A1717" t="s">
        <v>3198</v>
      </c>
      <c r="B1717" t="s">
        <v>3199</v>
      </c>
      <c r="C1717" s="1" t="str">
        <f>HYPERLINK("http://www.genecards.org/cgi-bin/carddisp.pl?gene=MIER2","GeneCards")</f>
        <v>GeneCards</v>
      </c>
      <c r="D1717" s="1" t="str">
        <f>HYPERLINK("http://genome-euro.ucsc.edu/cgi-bin/hgTracks?position=221863_at","UCSC")</f>
        <v>UCSC</v>
      </c>
      <c r="E1717" s="1" t="str">
        <f>HYPERLINK("http://www.ncbi.nlm.nih.gov/gene/?term=MIER2","NCBI")</f>
        <v>NCBI</v>
      </c>
      <c r="F1717">
        <v>5.4999999999999997E-3</v>
      </c>
      <c r="G1717">
        <v>5.3999999999999999E-2</v>
      </c>
      <c r="H1717" s="1" t="str">
        <f>HYPERLINK("http://www.weizmann.ac.il/complex/compphys/software/geview/data/figures/221863_at.png","Figure")</f>
        <v>Figure</v>
      </c>
      <c r="I1717">
        <v>1.23</v>
      </c>
      <c r="J1717">
        <v>9.1999999999999998E-2</v>
      </c>
      <c r="K1717">
        <v>0.88</v>
      </c>
      <c r="L1717">
        <v>0.26</v>
      </c>
      <c r="M1717">
        <v>0.71599999999999997</v>
      </c>
      <c r="N1717">
        <v>4.1000000000000003E-3</v>
      </c>
    </row>
    <row r="1718" spans="1:14" x14ac:dyDescent="0.25">
      <c r="A1718" t="s">
        <v>3200</v>
      </c>
      <c r="B1718" t="s">
        <v>3201</v>
      </c>
      <c r="C1718" s="1" t="str">
        <f>HYPERLINK("http://www.genecards.org/cgi-bin/carddisp.pl?gene=RBM3","GeneCards")</f>
        <v>GeneCards</v>
      </c>
      <c r="D1718" s="1" t="str">
        <f>HYPERLINK("http://genome-euro.ucsc.edu/cgi-bin/hgTracks?position=222026_at","UCSC")</f>
        <v>UCSC</v>
      </c>
      <c r="E1718" s="1" t="str">
        <f>HYPERLINK("http://www.ncbi.nlm.nih.gov/gene/?term=RBM3","NCBI")</f>
        <v>NCBI</v>
      </c>
      <c r="F1718">
        <v>5.4999999999999997E-3</v>
      </c>
      <c r="G1718">
        <v>5.3999999999999999E-2</v>
      </c>
      <c r="H1718" s="1" t="str">
        <f>HYPERLINK("http://www.weizmann.ac.il/complex/compphys/software/geview/data/figures/222026_at.png","Figure")</f>
        <v>Figure</v>
      </c>
      <c r="I1718">
        <v>0.83899999999999997</v>
      </c>
      <c r="J1718">
        <v>1.0999999999999999E-2</v>
      </c>
      <c r="K1718">
        <v>1</v>
      </c>
      <c r="L1718">
        <v>1</v>
      </c>
      <c r="M1718">
        <v>1.19</v>
      </c>
      <c r="N1718">
        <v>7.3000000000000001E-3</v>
      </c>
    </row>
    <row r="1719" spans="1:14" x14ac:dyDescent="0.25">
      <c r="A1719" t="s">
        <v>3202</v>
      </c>
      <c r="B1719" t="s">
        <v>3203</v>
      </c>
      <c r="C1719" s="1" t="str">
        <f>HYPERLINK("http://www.genecards.org/cgi-bin/carddisp.pl?gene=MYNN","GeneCards")</f>
        <v>GeneCards</v>
      </c>
      <c r="D1719" s="1" t="str">
        <f>HYPERLINK("http://genome-euro.ucsc.edu/cgi-bin/hgTracks?position=218926_at","UCSC")</f>
        <v>UCSC</v>
      </c>
      <c r="E1719" s="1" t="str">
        <f>HYPERLINK("http://www.ncbi.nlm.nih.gov/gene/?term=MYNN","NCBI")</f>
        <v>NCBI</v>
      </c>
      <c r="F1719">
        <v>5.4999999999999997E-3</v>
      </c>
      <c r="G1719">
        <v>5.5E-2</v>
      </c>
      <c r="H1719" s="1" t="str">
        <f>HYPERLINK("http://www.weizmann.ac.il/complex/compphys/software/geview/data/figures/218926_at.png","Figure")</f>
        <v>Figure</v>
      </c>
      <c r="I1719">
        <v>0.79700000000000004</v>
      </c>
      <c r="J1719">
        <v>0.18</v>
      </c>
      <c r="K1719">
        <v>0.65700000000000003</v>
      </c>
      <c r="L1719">
        <v>4.1000000000000003E-3</v>
      </c>
      <c r="M1719">
        <v>0.82499999999999996</v>
      </c>
      <c r="N1719">
        <v>0.24</v>
      </c>
    </row>
    <row r="1720" spans="1:14" x14ac:dyDescent="0.25">
      <c r="A1720" t="s">
        <v>3204</v>
      </c>
      <c r="B1720" t="s">
        <v>3205</v>
      </c>
      <c r="C1720" s="1" t="str">
        <f>HYPERLINK("http://www.genecards.org/cgi-bin/carddisp.pl?gene=NFATC3","GeneCards")</f>
        <v>GeneCards</v>
      </c>
      <c r="D1720" s="1" t="str">
        <f>HYPERLINK("http://genome-euro.ucsc.edu/cgi-bin/hgTracks?position=210555_s_at","UCSC")</f>
        <v>UCSC</v>
      </c>
      <c r="E1720" s="1" t="str">
        <f>HYPERLINK("http://www.ncbi.nlm.nih.gov/gene/?term=NFATC3","NCBI")</f>
        <v>NCBI</v>
      </c>
      <c r="F1720">
        <v>5.4999999999999997E-3</v>
      </c>
      <c r="G1720">
        <v>5.5E-2</v>
      </c>
      <c r="H1720" s="1" t="str">
        <f>HYPERLINK("http://www.weizmann.ac.il/complex/compphys/software/geview/data/figures/210555_s_at.png","Figure")</f>
        <v>Figure</v>
      </c>
      <c r="I1720">
        <v>0.54100000000000004</v>
      </c>
      <c r="J1720">
        <v>6.4999999999999997E-3</v>
      </c>
      <c r="K1720">
        <v>0.90400000000000003</v>
      </c>
      <c r="L1720">
        <v>0.77</v>
      </c>
      <c r="M1720">
        <v>1.67</v>
      </c>
      <c r="N1720">
        <v>1.4E-2</v>
      </c>
    </row>
    <row r="1721" spans="1:14" x14ac:dyDescent="0.25">
      <c r="A1721" t="s">
        <v>3206</v>
      </c>
      <c r="B1721" t="s">
        <v>353</v>
      </c>
      <c r="C1721" s="1" t="str">
        <f>HYPERLINK("http://www.genecards.org/cgi-bin/carddisp.pl?gene=UBE2J1","GeneCards")</f>
        <v>GeneCards</v>
      </c>
      <c r="D1721" s="1" t="str">
        <f>HYPERLINK("http://genome-euro.ucsc.edu/cgi-bin/hgTracks?position=217826_s_at","UCSC")</f>
        <v>UCSC</v>
      </c>
      <c r="E1721" s="1" t="str">
        <f>HYPERLINK("http://www.ncbi.nlm.nih.gov/gene/?term=UBE2J1","NCBI")</f>
        <v>NCBI</v>
      </c>
      <c r="F1721">
        <v>5.4999999999999997E-3</v>
      </c>
      <c r="G1721">
        <v>5.5E-2</v>
      </c>
      <c r="H1721" s="1" t="str">
        <f>HYPERLINK("http://www.weizmann.ac.il/complex/compphys/software/geview/data/figures/217826_s_at.png","Figure")</f>
        <v>Figure</v>
      </c>
      <c r="I1721">
        <v>0.41</v>
      </c>
      <c r="J1721">
        <v>4.4000000000000003E-3</v>
      </c>
      <c r="K1721">
        <v>0.61</v>
      </c>
      <c r="L1721">
        <v>6.3E-2</v>
      </c>
      <c r="M1721">
        <v>1.49</v>
      </c>
      <c r="N1721">
        <v>0.18</v>
      </c>
    </row>
    <row r="1722" spans="1:14" x14ac:dyDescent="0.25">
      <c r="A1722" t="s">
        <v>3207</v>
      </c>
      <c r="B1722" t="s">
        <v>3208</v>
      </c>
      <c r="C1722" s="1" t="str">
        <f>HYPERLINK("http://www.genecards.org/cgi-bin/carddisp.pl?gene=PUM2","GeneCards")</f>
        <v>GeneCards</v>
      </c>
      <c r="D1722" s="1" t="str">
        <f>HYPERLINK("http://genome-euro.ucsc.edu/cgi-bin/hgTracks?position=201493_s_at","UCSC")</f>
        <v>UCSC</v>
      </c>
      <c r="E1722" s="1" t="str">
        <f>HYPERLINK("http://www.ncbi.nlm.nih.gov/gene/?term=PUM2","NCBI")</f>
        <v>NCBI</v>
      </c>
      <c r="F1722">
        <v>5.4999999999999997E-3</v>
      </c>
      <c r="G1722">
        <v>5.5E-2</v>
      </c>
      <c r="H1722" s="1" t="str">
        <f>HYPERLINK("http://www.weizmann.ac.il/complex/compphys/software/geview/data/figures/201493_s_at.png","Figure")</f>
        <v>Figure</v>
      </c>
      <c r="I1722">
        <v>1.36</v>
      </c>
      <c r="J1722">
        <v>6.6000000000000003E-2</v>
      </c>
      <c r="K1722">
        <v>0.85799999999999998</v>
      </c>
      <c r="L1722">
        <v>0.36</v>
      </c>
      <c r="M1722">
        <v>0.63200000000000001</v>
      </c>
      <c r="N1722">
        <v>4.1000000000000003E-3</v>
      </c>
    </row>
    <row r="1723" spans="1:14" x14ac:dyDescent="0.25">
      <c r="A1723" t="s">
        <v>3209</v>
      </c>
      <c r="B1723" t="s">
        <v>3210</v>
      </c>
      <c r="C1723" s="1" t="str">
        <f>HYPERLINK("http://www.genecards.org/cgi-bin/carddisp.pl?gene=KHK","GeneCards")</f>
        <v>GeneCards</v>
      </c>
      <c r="D1723" s="1" t="str">
        <f>HYPERLINK("http://genome-euro.ucsc.edu/cgi-bin/hgTracks?position=211028_s_at","UCSC")</f>
        <v>UCSC</v>
      </c>
      <c r="E1723" s="1" t="str">
        <f>HYPERLINK("http://www.ncbi.nlm.nih.gov/gene/?term=KHK","NCBI")</f>
        <v>NCBI</v>
      </c>
      <c r="F1723">
        <v>5.4999999999999997E-3</v>
      </c>
      <c r="G1723">
        <v>5.5E-2</v>
      </c>
      <c r="H1723" s="1" t="str">
        <f>HYPERLINK("http://www.weizmann.ac.il/complex/compphys/software/geview/data/figures/211028_s_at.png","Figure")</f>
        <v>Figure</v>
      </c>
      <c r="I1723">
        <v>1.38</v>
      </c>
      <c r="J1723">
        <v>4.1000000000000003E-3</v>
      </c>
      <c r="K1723">
        <v>1.1499999999999999</v>
      </c>
      <c r="L1723">
        <v>0.14000000000000001</v>
      </c>
      <c r="M1723">
        <v>0.83699999999999997</v>
      </c>
      <c r="N1723">
        <v>8.1000000000000003E-2</v>
      </c>
    </row>
    <row r="1724" spans="1:14" x14ac:dyDescent="0.25">
      <c r="A1724" t="s">
        <v>3211</v>
      </c>
      <c r="B1724" t="s">
        <v>3212</v>
      </c>
      <c r="C1724" s="1" t="str">
        <f>HYPERLINK("http://www.genecards.org/cgi-bin/carddisp.pl?gene=MBIP","GeneCards")</f>
        <v>GeneCards</v>
      </c>
      <c r="D1724" s="1" t="str">
        <f>HYPERLINK("http://genome-euro.ucsc.edu/cgi-bin/hgTracks?position=218411_s_at","UCSC")</f>
        <v>UCSC</v>
      </c>
      <c r="E1724" s="1" t="str">
        <f>HYPERLINK("http://www.ncbi.nlm.nih.gov/gene/?term=MBIP","NCBI")</f>
        <v>NCBI</v>
      </c>
      <c r="F1724">
        <v>5.4999999999999997E-3</v>
      </c>
      <c r="G1724">
        <v>5.5E-2</v>
      </c>
      <c r="H1724" s="1" t="str">
        <f>HYPERLINK("http://www.weizmann.ac.il/complex/compphys/software/geview/data/figures/218411_s_at.png","Figure")</f>
        <v>Figure</v>
      </c>
      <c r="I1724">
        <v>0.51400000000000001</v>
      </c>
      <c r="J1724">
        <v>4.8999999999999998E-3</v>
      </c>
      <c r="K1724">
        <v>0.83</v>
      </c>
      <c r="L1724">
        <v>0.45</v>
      </c>
      <c r="M1724">
        <v>1.61</v>
      </c>
      <c r="N1724">
        <v>2.5999999999999999E-2</v>
      </c>
    </row>
    <row r="1725" spans="1:14" x14ac:dyDescent="0.25">
      <c r="A1725" t="s">
        <v>3213</v>
      </c>
      <c r="B1725" t="s">
        <v>1050</v>
      </c>
      <c r="C1725" s="1" t="str">
        <f>HYPERLINK("http://www.genecards.org/cgi-bin/carddisp.pl?gene=ASPH","GeneCards")</f>
        <v>GeneCards</v>
      </c>
      <c r="D1725" s="1" t="str">
        <f>HYPERLINK("http://genome-euro.ucsc.edu/cgi-bin/hgTracks?position=209135_at","UCSC")</f>
        <v>UCSC</v>
      </c>
      <c r="E1725" s="1" t="str">
        <f>HYPERLINK("http://www.ncbi.nlm.nih.gov/gene/?term=ASPH","NCBI")</f>
        <v>NCBI</v>
      </c>
      <c r="F1725">
        <v>5.5999999999999999E-3</v>
      </c>
      <c r="G1725">
        <v>5.5E-2</v>
      </c>
      <c r="H1725" s="1" t="str">
        <f>HYPERLINK("http://www.weizmann.ac.il/complex/compphys/software/geview/data/figures/209135_at.png","Figure")</f>
        <v>Figure</v>
      </c>
      <c r="I1725">
        <v>0.91500000000000004</v>
      </c>
      <c r="J1725">
        <v>1.2E-2</v>
      </c>
      <c r="K1725">
        <v>1</v>
      </c>
      <c r="L1725">
        <v>1</v>
      </c>
      <c r="M1725">
        <v>1.0900000000000001</v>
      </c>
      <c r="N1725">
        <v>7.4000000000000003E-3</v>
      </c>
    </row>
    <row r="1726" spans="1:14" x14ac:dyDescent="0.25">
      <c r="A1726" t="s">
        <v>3214</v>
      </c>
      <c r="B1726" t="s">
        <v>871</v>
      </c>
      <c r="C1726" s="1" t="str">
        <f>HYPERLINK("http://www.genecards.org/cgi-bin/carddisp.pl?gene=PPAT","GeneCards")</f>
        <v>GeneCards</v>
      </c>
      <c r="D1726" s="1" t="str">
        <f>HYPERLINK("http://genome-euro.ucsc.edu/cgi-bin/hgTracks?position=209433_s_at","UCSC")</f>
        <v>UCSC</v>
      </c>
      <c r="E1726" s="1" t="str">
        <f>HYPERLINK("http://www.ncbi.nlm.nih.gov/gene/?term=PPAT","NCBI")</f>
        <v>NCBI</v>
      </c>
      <c r="F1726">
        <v>5.5999999999999999E-3</v>
      </c>
      <c r="G1726">
        <v>5.5E-2</v>
      </c>
      <c r="H1726" s="1" t="str">
        <f>HYPERLINK("http://www.weizmann.ac.il/complex/compphys/software/geview/data/figures/209433_s_at.png","Figure")</f>
        <v>Figure</v>
      </c>
      <c r="I1726">
        <v>0.55300000000000005</v>
      </c>
      <c r="J1726">
        <v>2.3E-2</v>
      </c>
      <c r="K1726">
        <v>1.1100000000000001</v>
      </c>
      <c r="L1726">
        <v>0.8</v>
      </c>
      <c r="M1726">
        <v>2.0099999999999998</v>
      </c>
      <c r="N1726">
        <v>5.1000000000000004E-3</v>
      </c>
    </row>
    <row r="1727" spans="1:14" x14ac:dyDescent="0.25">
      <c r="A1727" t="s">
        <v>3215</v>
      </c>
      <c r="B1727" t="s">
        <v>247</v>
      </c>
      <c r="C1727" s="1" t="str">
        <f>HYPERLINK("http://www.genecards.org/cgi-bin/carddisp.pl?gene=NUP210","GeneCards")</f>
        <v>GeneCards</v>
      </c>
      <c r="D1727" s="1" t="str">
        <f>HYPERLINK("http://genome-euro.ucsc.edu/cgi-bin/hgTracks?position=212316_at","UCSC")</f>
        <v>UCSC</v>
      </c>
      <c r="E1727" s="1" t="str">
        <f>HYPERLINK("http://www.ncbi.nlm.nih.gov/gene/?term=NUP210","NCBI")</f>
        <v>NCBI</v>
      </c>
      <c r="F1727">
        <v>5.5999999999999999E-3</v>
      </c>
      <c r="G1727">
        <v>5.5E-2</v>
      </c>
      <c r="H1727" s="1" t="str">
        <f>HYPERLINK("http://www.weizmann.ac.il/complex/compphys/software/geview/data/figures/212316_at.png","Figure")</f>
        <v>Figure</v>
      </c>
      <c r="I1727">
        <v>1.36</v>
      </c>
      <c r="J1727">
        <v>4.5999999999999999E-2</v>
      </c>
      <c r="K1727">
        <v>1.48</v>
      </c>
      <c r="L1727">
        <v>4.7999999999999996E-3</v>
      </c>
      <c r="M1727">
        <v>1.0900000000000001</v>
      </c>
      <c r="N1727">
        <v>0.73</v>
      </c>
    </row>
    <row r="1728" spans="1:14" x14ac:dyDescent="0.25">
      <c r="A1728" t="s">
        <v>3216</v>
      </c>
      <c r="B1728" t="s">
        <v>3217</v>
      </c>
      <c r="C1728" s="1" t="str">
        <f>HYPERLINK("http://www.genecards.org/cgi-bin/carddisp.pl?gene=SLC43A3","GeneCards")</f>
        <v>GeneCards</v>
      </c>
      <c r="D1728" s="1" t="str">
        <f>HYPERLINK("http://genome-euro.ucsc.edu/cgi-bin/hgTracks?position=213113_s_at","UCSC")</f>
        <v>UCSC</v>
      </c>
      <c r="E1728" s="1" t="str">
        <f>HYPERLINK("http://www.ncbi.nlm.nih.gov/gene/?term=SLC43A3","NCBI")</f>
        <v>NCBI</v>
      </c>
      <c r="F1728">
        <v>5.5999999999999999E-3</v>
      </c>
      <c r="G1728">
        <v>5.5E-2</v>
      </c>
      <c r="H1728" s="1" t="str">
        <f>HYPERLINK("http://www.weizmann.ac.il/complex/compphys/software/geview/data/figures/213113_s_at.png","Figure")</f>
        <v>Figure</v>
      </c>
      <c r="I1728">
        <v>0.68500000000000005</v>
      </c>
      <c r="J1728">
        <v>0.08</v>
      </c>
      <c r="K1728">
        <v>1.24</v>
      </c>
      <c r="L1728">
        <v>0.3</v>
      </c>
      <c r="M1728">
        <v>1.81</v>
      </c>
      <c r="N1728">
        <v>4.1000000000000003E-3</v>
      </c>
    </row>
    <row r="1729" spans="1:14" x14ac:dyDescent="0.25">
      <c r="A1729" t="s">
        <v>3218</v>
      </c>
      <c r="B1729" t="s">
        <v>3219</v>
      </c>
      <c r="C1729" s="1" t="str">
        <f>HYPERLINK("http://www.genecards.org/cgi-bin/carddisp.pl?gene=NOX5","GeneCards")</f>
        <v>GeneCards</v>
      </c>
      <c r="D1729" s="1" t="str">
        <f>HYPERLINK("http://genome-euro.ucsc.edu/cgi-bin/hgTracks?position=220641_at","UCSC")</f>
        <v>UCSC</v>
      </c>
      <c r="E1729" s="1" t="str">
        <f>HYPERLINK("http://www.ncbi.nlm.nih.gov/gene/?term=NOX5","NCBI")</f>
        <v>NCBI</v>
      </c>
      <c r="F1729">
        <v>5.5999999999999999E-3</v>
      </c>
      <c r="G1729">
        <v>5.5E-2</v>
      </c>
      <c r="H1729" s="1" t="str">
        <f>HYPERLINK("http://www.weizmann.ac.il/complex/compphys/software/geview/data/figures/220641_at.png","Figure")</f>
        <v>Figure</v>
      </c>
      <c r="I1729">
        <v>1.57</v>
      </c>
      <c r="J1729">
        <v>4.1999999999999997E-3</v>
      </c>
      <c r="K1729">
        <v>1.2</v>
      </c>
      <c r="L1729">
        <v>0.2</v>
      </c>
      <c r="M1729">
        <v>0.76500000000000001</v>
      </c>
      <c r="N1729">
        <v>5.8999999999999997E-2</v>
      </c>
    </row>
    <row r="1730" spans="1:14" x14ac:dyDescent="0.25">
      <c r="A1730" t="s">
        <v>3220</v>
      </c>
      <c r="B1730" t="s">
        <v>3221</v>
      </c>
      <c r="C1730" s="1" t="str">
        <f>HYPERLINK("http://www.genecards.org/cgi-bin/carddisp.pl?gene=PPFIA1","GeneCards")</f>
        <v>GeneCards</v>
      </c>
      <c r="D1730" s="1" t="str">
        <f>HYPERLINK("http://genome-euro.ucsc.edu/cgi-bin/hgTracks?position=202065_s_at","UCSC")</f>
        <v>UCSC</v>
      </c>
      <c r="E1730" s="1" t="str">
        <f>HYPERLINK("http://www.ncbi.nlm.nih.gov/gene/?term=PPFIA1","NCBI")</f>
        <v>NCBI</v>
      </c>
      <c r="F1730">
        <v>5.5999999999999999E-3</v>
      </c>
      <c r="G1730">
        <v>5.5E-2</v>
      </c>
      <c r="H1730" s="1" t="str">
        <f>HYPERLINK("http://www.weizmann.ac.il/complex/compphys/software/geview/data/figures/202065_s_at.png","Figure")</f>
        <v>Figure</v>
      </c>
      <c r="I1730">
        <v>1.27</v>
      </c>
      <c r="J1730">
        <v>5.2999999999999999E-2</v>
      </c>
      <c r="K1730">
        <v>0.90300000000000002</v>
      </c>
      <c r="L1730">
        <v>0.43</v>
      </c>
      <c r="M1730">
        <v>0.71099999999999997</v>
      </c>
      <c r="N1730">
        <v>4.1999999999999997E-3</v>
      </c>
    </row>
    <row r="1731" spans="1:14" x14ac:dyDescent="0.25">
      <c r="A1731" t="s">
        <v>3222</v>
      </c>
      <c r="B1731" t="s">
        <v>3223</v>
      </c>
      <c r="C1731" s="1" t="str">
        <f>HYPERLINK("http://www.genecards.org/cgi-bin/carddisp.pl?gene=AGRN","GeneCards")</f>
        <v>GeneCards</v>
      </c>
      <c r="D1731" s="1" t="str">
        <f>HYPERLINK("http://genome-euro.ucsc.edu/cgi-bin/hgTracks?position=217419_x_at","UCSC")</f>
        <v>UCSC</v>
      </c>
      <c r="E1731" s="1" t="str">
        <f>HYPERLINK("http://www.ncbi.nlm.nih.gov/gene/?term=AGRN","NCBI")</f>
        <v>NCBI</v>
      </c>
      <c r="F1731">
        <v>5.5999999999999999E-3</v>
      </c>
      <c r="G1731">
        <v>5.5E-2</v>
      </c>
      <c r="H1731" s="1" t="str">
        <f>HYPERLINK("http://www.weizmann.ac.il/complex/compphys/software/geview/data/figures/217419_x_at.png","Figure")</f>
        <v>Figure</v>
      </c>
      <c r="I1731">
        <v>1.1399999999999999</v>
      </c>
      <c r="J1731">
        <v>0.09</v>
      </c>
      <c r="K1731">
        <v>0.92500000000000004</v>
      </c>
      <c r="L1731">
        <v>0.27</v>
      </c>
      <c r="M1731">
        <v>0.81399999999999995</v>
      </c>
      <c r="N1731">
        <v>4.1000000000000003E-3</v>
      </c>
    </row>
    <row r="1732" spans="1:14" x14ac:dyDescent="0.25">
      <c r="A1732" t="s">
        <v>3224</v>
      </c>
      <c r="B1732" t="s">
        <v>3225</v>
      </c>
      <c r="C1732" s="1" t="str">
        <f>HYPERLINK("http://www.genecards.org/cgi-bin/carddisp.pl?gene=PLAGL2","GeneCards")</f>
        <v>GeneCards</v>
      </c>
      <c r="D1732" s="1" t="str">
        <f>HYPERLINK("http://genome-euro.ucsc.edu/cgi-bin/hgTracks?position=202924_s_at","UCSC")</f>
        <v>UCSC</v>
      </c>
      <c r="E1732" s="1" t="str">
        <f>HYPERLINK("http://www.ncbi.nlm.nih.gov/gene/?term=PLAGL2","NCBI")</f>
        <v>NCBI</v>
      </c>
      <c r="F1732">
        <v>5.5999999999999999E-3</v>
      </c>
      <c r="G1732">
        <v>5.5E-2</v>
      </c>
      <c r="H1732" s="1" t="str">
        <f>HYPERLINK("http://www.weizmann.ac.il/complex/compphys/software/geview/data/figures/202924_s_at.png","Figure")</f>
        <v>Figure</v>
      </c>
      <c r="I1732">
        <v>0.873</v>
      </c>
      <c r="J1732">
        <v>0.23</v>
      </c>
      <c r="K1732">
        <v>0.76300000000000001</v>
      </c>
      <c r="L1732">
        <v>4.1999999999999997E-3</v>
      </c>
      <c r="M1732">
        <v>0.874</v>
      </c>
      <c r="N1732">
        <v>0.19</v>
      </c>
    </row>
    <row r="1733" spans="1:14" x14ac:dyDescent="0.25">
      <c r="A1733" t="s">
        <v>3226</v>
      </c>
      <c r="B1733" t="s">
        <v>1541</v>
      </c>
      <c r="C1733" s="1" t="str">
        <f>HYPERLINK("http://www.genecards.org/cgi-bin/carddisp.pl?gene=KAT5","GeneCards")</f>
        <v>GeneCards</v>
      </c>
      <c r="D1733" s="1" t="str">
        <f>HYPERLINK("http://genome-euro.ucsc.edu/cgi-bin/hgTracks?position=206689_x_at","UCSC")</f>
        <v>UCSC</v>
      </c>
      <c r="E1733" s="1" t="str">
        <f>HYPERLINK("http://www.ncbi.nlm.nih.gov/gene/?term=KAT5","NCBI")</f>
        <v>NCBI</v>
      </c>
      <c r="F1733">
        <v>5.5999999999999999E-3</v>
      </c>
      <c r="G1733">
        <v>5.5E-2</v>
      </c>
      <c r="H1733" s="1" t="str">
        <f>HYPERLINK("http://www.weizmann.ac.il/complex/compphys/software/geview/data/figures/206689_x_at.png","Figure")</f>
        <v>Figure</v>
      </c>
      <c r="I1733">
        <v>1.42</v>
      </c>
      <c r="J1733">
        <v>4.3E-3</v>
      </c>
      <c r="K1733">
        <v>1.2</v>
      </c>
      <c r="L1733">
        <v>8.1000000000000003E-2</v>
      </c>
      <c r="M1733">
        <v>0.84699999999999998</v>
      </c>
      <c r="N1733">
        <v>0.15</v>
      </c>
    </row>
    <row r="1734" spans="1:14" x14ac:dyDescent="0.25">
      <c r="A1734" t="s">
        <v>3227</v>
      </c>
      <c r="B1734" t="s">
        <v>3228</v>
      </c>
      <c r="C1734" s="1" t="str">
        <f>HYPERLINK("http://www.genecards.org/cgi-bin/carddisp.pl?gene=METTL3","GeneCards")</f>
        <v>GeneCards</v>
      </c>
      <c r="D1734" s="1" t="str">
        <f>HYPERLINK("http://genome-euro.ucsc.edu/cgi-bin/hgTracks?position=213653_at","UCSC")</f>
        <v>UCSC</v>
      </c>
      <c r="E1734" s="1" t="str">
        <f>HYPERLINK("http://www.ncbi.nlm.nih.gov/gene/?term=METTL3","NCBI")</f>
        <v>NCBI</v>
      </c>
      <c r="F1734">
        <v>5.5999999999999999E-3</v>
      </c>
      <c r="G1734">
        <v>5.5E-2</v>
      </c>
      <c r="H1734" s="1" t="str">
        <f>HYPERLINK("http://www.weizmann.ac.il/complex/compphys/software/geview/data/figures/213653_at.png","Figure")</f>
        <v>Figure</v>
      </c>
      <c r="I1734">
        <v>0.40500000000000003</v>
      </c>
      <c r="J1734">
        <v>1.4999999999999999E-2</v>
      </c>
      <c r="K1734">
        <v>1.07</v>
      </c>
      <c r="L1734">
        <v>0.96</v>
      </c>
      <c r="M1734">
        <v>2.63</v>
      </c>
      <c r="N1734">
        <v>6.1999999999999998E-3</v>
      </c>
    </row>
    <row r="1735" spans="1:14" x14ac:dyDescent="0.25">
      <c r="A1735" t="s">
        <v>3229</v>
      </c>
      <c r="B1735" t="s">
        <v>508</v>
      </c>
      <c r="C1735" s="1" t="str">
        <f>HYPERLINK("http://www.genecards.org/cgi-bin/carddisp.pl?gene=UTY","GeneCards")</f>
        <v>GeneCards</v>
      </c>
      <c r="D1735" s="1" t="str">
        <f>HYPERLINK("http://genome-euro.ucsc.edu/cgi-bin/hgTracks?position=208067_x_at","UCSC")</f>
        <v>UCSC</v>
      </c>
      <c r="E1735" s="1" t="str">
        <f>HYPERLINK("http://www.ncbi.nlm.nih.gov/gene/?term=UTY","NCBI")</f>
        <v>NCBI</v>
      </c>
      <c r="F1735">
        <v>5.5999999999999999E-3</v>
      </c>
      <c r="G1735">
        <v>5.5E-2</v>
      </c>
      <c r="H1735" s="1" t="str">
        <f>HYPERLINK("http://www.weizmann.ac.il/complex/compphys/software/geview/data/figures/208067_x_at.png","Figure")</f>
        <v>Figure</v>
      </c>
      <c r="I1735">
        <v>1.34</v>
      </c>
      <c r="J1735">
        <v>0.1</v>
      </c>
      <c r="K1735">
        <v>0.82599999999999996</v>
      </c>
      <c r="L1735">
        <v>0.25</v>
      </c>
      <c r="M1735">
        <v>0.61699999999999999</v>
      </c>
      <c r="N1735">
        <v>4.1999999999999997E-3</v>
      </c>
    </row>
    <row r="1736" spans="1:14" x14ac:dyDescent="0.25">
      <c r="A1736" t="s">
        <v>3230</v>
      </c>
      <c r="B1736" t="s">
        <v>3231</v>
      </c>
      <c r="C1736" s="1" t="str">
        <f>HYPERLINK("http://www.genecards.org/cgi-bin/carddisp.pl?gene=MX1","GeneCards")</f>
        <v>GeneCards</v>
      </c>
      <c r="D1736" s="1" t="str">
        <f>HYPERLINK("http://genome-euro.ucsc.edu/cgi-bin/hgTracks?position=202086_at","UCSC")</f>
        <v>UCSC</v>
      </c>
      <c r="E1736" s="1" t="str">
        <f>HYPERLINK("http://www.ncbi.nlm.nih.gov/gene/?term=MX1","NCBI")</f>
        <v>NCBI</v>
      </c>
      <c r="F1736">
        <v>5.5999999999999999E-3</v>
      </c>
      <c r="G1736">
        <v>5.5E-2</v>
      </c>
      <c r="H1736" s="1" t="str">
        <f>HYPERLINK("http://www.weizmann.ac.il/complex/compphys/software/geview/data/figures/202086_at.png","Figure")</f>
        <v>Figure</v>
      </c>
      <c r="I1736">
        <v>0.32200000000000001</v>
      </c>
      <c r="J1736">
        <v>4.4000000000000003E-3</v>
      </c>
      <c r="K1736">
        <v>0.54700000000000004</v>
      </c>
      <c r="L1736">
        <v>7.4999999999999997E-2</v>
      </c>
      <c r="M1736">
        <v>1.7</v>
      </c>
      <c r="N1736">
        <v>0.16</v>
      </c>
    </row>
    <row r="1737" spans="1:14" x14ac:dyDescent="0.25">
      <c r="A1737" t="s">
        <v>3232</v>
      </c>
      <c r="B1737" t="s">
        <v>3233</v>
      </c>
      <c r="C1737" s="1" t="str">
        <f>HYPERLINK("http://www.genecards.org/cgi-bin/carddisp.pl?gene=F8A1 /// F8A2 /// F8A3","GeneCards")</f>
        <v>GeneCards</v>
      </c>
      <c r="D1737" s="1" t="str">
        <f>HYPERLINK("http://genome-euro.ucsc.edu/cgi-bin/hgTracks?position=203274_at","UCSC")</f>
        <v>UCSC</v>
      </c>
      <c r="E1737" s="1" t="str">
        <f>HYPERLINK("http://www.ncbi.nlm.nih.gov/gene/?term=F8A1 /// F8A2 /// F8A3","NCBI")</f>
        <v>NCBI</v>
      </c>
      <c r="F1737">
        <v>5.5999999999999999E-3</v>
      </c>
      <c r="G1737">
        <v>5.5E-2</v>
      </c>
      <c r="H1737" s="1" t="str">
        <f>HYPERLINK("http://www.weizmann.ac.il/complex/compphys/software/geview/data/figures/203274_at.png","Figure")</f>
        <v>Figure</v>
      </c>
      <c r="I1737">
        <v>0.56499999999999995</v>
      </c>
      <c r="J1737">
        <v>4.3999999999999997E-2</v>
      </c>
      <c r="K1737">
        <v>1.23</v>
      </c>
      <c r="L1737">
        <v>0.52</v>
      </c>
      <c r="M1737">
        <v>2.1800000000000002</v>
      </c>
      <c r="N1737">
        <v>4.4000000000000003E-3</v>
      </c>
    </row>
    <row r="1738" spans="1:14" x14ac:dyDescent="0.25">
      <c r="A1738" t="s">
        <v>3234</v>
      </c>
      <c r="B1738" t="s">
        <v>3235</v>
      </c>
      <c r="C1738" s="1" t="str">
        <f>HYPERLINK("http://www.genecards.org/cgi-bin/carddisp.pl?gene=CCBL2","GeneCards")</f>
        <v>GeneCards</v>
      </c>
      <c r="D1738" s="1" t="str">
        <f>HYPERLINK("http://genome-euro.ucsc.edu/cgi-bin/hgTracks?position=209472_at","UCSC")</f>
        <v>UCSC</v>
      </c>
      <c r="E1738" s="1" t="str">
        <f>HYPERLINK("http://www.ncbi.nlm.nih.gov/gene/?term=CCBL2","NCBI")</f>
        <v>NCBI</v>
      </c>
      <c r="F1738">
        <v>5.5999999999999999E-3</v>
      </c>
      <c r="G1738">
        <v>5.5E-2</v>
      </c>
      <c r="H1738" s="1" t="str">
        <f>HYPERLINK("http://www.weizmann.ac.il/complex/compphys/software/geview/data/figures/209472_at.png","Figure")</f>
        <v>Figure</v>
      </c>
      <c r="I1738">
        <v>0.63500000000000001</v>
      </c>
      <c r="J1738">
        <v>4.5999999999999999E-3</v>
      </c>
      <c r="K1738">
        <v>0.86499999999999999</v>
      </c>
      <c r="L1738">
        <v>0.35</v>
      </c>
      <c r="M1738">
        <v>1.36</v>
      </c>
      <c r="N1738">
        <v>3.3000000000000002E-2</v>
      </c>
    </row>
    <row r="1739" spans="1:14" x14ac:dyDescent="0.25">
      <c r="A1739" t="s">
        <v>3236</v>
      </c>
      <c r="B1739" t="s">
        <v>807</v>
      </c>
      <c r="C1739" s="1" t="str">
        <f>HYPERLINK("http://www.genecards.org/cgi-bin/carddisp.pl?gene=IL6ST","GeneCards")</f>
        <v>GeneCards</v>
      </c>
      <c r="D1739" s="1" t="str">
        <f>HYPERLINK("http://genome-euro.ucsc.edu/cgi-bin/hgTracks?position=212196_at","UCSC")</f>
        <v>UCSC</v>
      </c>
      <c r="E1739" s="1" t="str">
        <f>HYPERLINK("http://www.ncbi.nlm.nih.gov/gene/?term=IL6ST","NCBI")</f>
        <v>NCBI</v>
      </c>
      <c r="F1739">
        <v>5.5999999999999999E-3</v>
      </c>
      <c r="G1739">
        <v>5.5E-2</v>
      </c>
      <c r="H1739" s="1" t="str">
        <f>HYPERLINK("http://www.weizmann.ac.il/complex/compphys/software/geview/data/figures/212196_at.png","Figure")</f>
        <v>Figure</v>
      </c>
      <c r="I1739">
        <v>0.95399999999999996</v>
      </c>
      <c r="J1739">
        <v>0.98</v>
      </c>
      <c r="K1739">
        <v>0.435</v>
      </c>
      <c r="L1739">
        <v>0.01</v>
      </c>
      <c r="M1739">
        <v>0.45600000000000002</v>
      </c>
      <c r="N1739">
        <v>2.1999999999999999E-2</v>
      </c>
    </row>
    <row r="1740" spans="1:14" x14ac:dyDescent="0.25">
      <c r="A1740" t="s">
        <v>3237</v>
      </c>
      <c r="B1740" t="s">
        <v>2873</v>
      </c>
      <c r="C1740" s="1" t="str">
        <f>HYPERLINK("http://www.genecards.org/cgi-bin/carddisp.pl?gene=ZBTB17","GeneCards")</f>
        <v>GeneCards</v>
      </c>
      <c r="D1740" s="1" t="str">
        <f>HYPERLINK("http://genome-euro.ucsc.edu/cgi-bin/hgTracks?position=203602_s_at","UCSC")</f>
        <v>UCSC</v>
      </c>
      <c r="E1740" s="1" t="str">
        <f>HYPERLINK("http://www.ncbi.nlm.nih.gov/gene/?term=ZBTB17","NCBI")</f>
        <v>NCBI</v>
      </c>
      <c r="F1740">
        <v>5.5999999999999999E-3</v>
      </c>
      <c r="G1740">
        <v>5.5E-2</v>
      </c>
      <c r="H1740" s="1" t="str">
        <f>HYPERLINK("http://www.weizmann.ac.il/complex/compphys/software/geview/data/figures/203602_s_at.png","Figure")</f>
        <v>Figure</v>
      </c>
      <c r="I1740">
        <v>1.1100000000000001</v>
      </c>
      <c r="J1740">
        <v>0.74</v>
      </c>
      <c r="K1740">
        <v>0.70099999999999996</v>
      </c>
      <c r="L1740">
        <v>2.7E-2</v>
      </c>
      <c r="M1740">
        <v>0.63300000000000001</v>
      </c>
      <c r="N1740">
        <v>8.6999999999999994E-3</v>
      </c>
    </row>
    <row r="1741" spans="1:14" x14ac:dyDescent="0.25">
      <c r="A1741" t="s">
        <v>3238</v>
      </c>
      <c r="B1741" t="s">
        <v>3239</v>
      </c>
      <c r="C1741" s="1" t="str">
        <f>HYPERLINK("http://www.genecards.org/cgi-bin/carddisp.pl?gene=PSEN2","GeneCards")</f>
        <v>GeneCards</v>
      </c>
      <c r="D1741" s="1" t="str">
        <f>HYPERLINK("http://genome-euro.ucsc.edu/cgi-bin/hgTracks?position=211373_s_at","UCSC")</f>
        <v>UCSC</v>
      </c>
      <c r="E1741" s="1" t="str">
        <f>HYPERLINK("http://www.ncbi.nlm.nih.gov/gene/?term=PSEN2","NCBI")</f>
        <v>NCBI</v>
      </c>
      <c r="F1741">
        <v>5.5999999999999999E-3</v>
      </c>
      <c r="G1741">
        <v>5.5E-2</v>
      </c>
      <c r="H1741" s="1" t="str">
        <f>HYPERLINK("http://www.weizmann.ac.il/complex/compphys/software/geview/data/figures/211373_s_at.png","Figure")</f>
        <v>Figure</v>
      </c>
      <c r="I1741">
        <v>1.55</v>
      </c>
      <c r="J1741">
        <v>1.7999999999999999E-2</v>
      </c>
      <c r="K1741">
        <v>1.55</v>
      </c>
      <c r="L1741">
        <v>7.4999999999999997E-3</v>
      </c>
      <c r="M1741">
        <v>1</v>
      </c>
      <c r="N1741">
        <v>1</v>
      </c>
    </row>
    <row r="1742" spans="1:14" x14ac:dyDescent="0.25">
      <c r="A1742" t="s">
        <v>3240</v>
      </c>
      <c r="B1742" t="s">
        <v>3241</v>
      </c>
      <c r="C1742" s="1" t="str">
        <f>HYPERLINK("http://www.genecards.org/cgi-bin/carddisp.pl?gene=C16orf88","GeneCards")</f>
        <v>GeneCards</v>
      </c>
      <c r="D1742" s="1" t="str">
        <f>HYPERLINK("http://genome-euro.ucsc.edu/cgi-bin/hgTracks?position=213235_at","UCSC")</f>
        <v>UCSC</v>
      </c>
      <c r="E1742" s="1" t="str">
        <f>HYPERLINK("http://www.ncbi.nlm.nih.gov/gene/?term=C16orf88","NCBI")</f>
        <v>NCBI</v>
      </c>
      <c r="F1742">
        <v>5.5999999999999999E-3</v>
      </c>
      <c r="G1742">
        <v>5.5E-2</v>
      </c>
      <c r="H1742" s="1" t="str">
        <f>HYPERLINK("http://www.weizmann.ac.il/complex/compphys/software/geview/data/figures/213235_at.png","Figure")</f>
        <v>Figure</v>
      </c>
      <c r="I1742">
        <v>1.4</v>
      </c>
      <c r="J1742">
        <v>9.5999999999999992E-3</v>
      </c>
      <c r="K1742">
        <v>1.32</v>
      </c>
      <c r="L1742">
        <v>1.2999999999999999E-2</v>
      </c>
      <c r="M1742">
        <v>0.94599999999999995</v>
      </c>
      <c r="N1742">
        <v>0.81</v>
      </c>
    </row>
    <row r="1743" spans="1:14" x14ac:dyDescent="0.25">
      <c r="A1743" t="s">
        <v>3242</v>
      </c>
      <c r="B1743" t="s">
        <v>3243</v>
      </c>
      <c r="C1743" s="1" t="str">
        <f>HYPERLINK("http://www.genecards.org/cgi-bin/carddisp.pl?gene=LOC100129656","GeneCards")</f>
        <v>GeneCards</v>
      </c>
      <c r="D1743" s="1" t="str">
        <f>HYPERLINK("http://genome-euro.ucsc.edu/cgi-bin/hgTracks?position=221639_x_at","UCSC")</f>
        <v>UCSC</v>
      </c>
      <c r="E1743" s="1" t="str">
        <f>HYPERLINK("http://www.ncbi.nlm.nih.gov/gene/?term=LOC100129656","NCBI")</f>
        <v>NCBI</v>
      </c>
      <c r="F1743">
        <v>5.5999999999999999E-3</v>
      </c>
      <c r="G1743">
        <v>5.5E-2</v>
      </c>
      <c r="H1743" s="1" t="str">
        <f>HYPERLINK("http://www.weizmann.ac.il/complex/compphys/software/geview/data/figures/221639_x_at.png","Figure")</f>
        <v>Figure</v>
      </c>
      <c r="I1743">
        <v>1.26</v>
      </c>
      <c r="J1743">
        <v>1.0999999999999999E-2</v>
      </c>
      <c r="K1743">
        <v>1.01</v>
      </c>
      <c r="L1743">
        <v>1</v>
      </c>
      <c r="M1743">
        <v>0.79600000000000004</v>
      </c>
      <c r="N1743">
        <v>8.0000000000000002E-3</v>
      </c>
    </row>
    <row r="1744" spans="1:14" x14ac:dyDescent="0.25">
      <c r="A1744" t="s">
        <v>3244</v>
      </c>
      <c r="B1744" t="s">
        <v>3245</v>
      </c>
      <c r="C1744" s="1" t="str">
        <f>HYPERLINK("http://www.genecards.org/cgi-bin/carddisp.pl?gene=ALDH9A1","GeneCards")</f>
        <v>GeneCards</v>
      </c>
      <c r="D1744" s="1" t="str">
        <f>HYPERLINK("http://genome-euro.ucsc.edu/cgi-bin/hgTracks?position=201612_at","UCSC")</f>
        <v>UCSC</v>
      </c>
      <c r="E1744" s="1" t="str">
        <f>HYPERLINK("http://www.ncbi.nlm.nih.gov/gene/?term=ALDH9A1","NCBI")</f>
        <v>NCBI</v>
      </c>
      <c r="F1744">
        <v>5.7000000000000002E-3</v>
      </c>
      <c r="G1744">
        <v>5.5E-2</v>
      </c>
      <c r="H1744" s="1" t="str">
        <f>HYPERLINK("http://www.weizmann.ac.il/complex/compphys/software/geview/data/figures/201612_at.png","Figure")</f>
        <v>Figure</v>
      </c>
      <c r="I1744">
        <v>1.59</v>
      </c>
      <c r="J1744">
        <v>3.9E-2</v>
      </c>
      <c r="K1744">
        <v>1.75</v>
      </c>
      <c r="L1744">
        <v>5.1999999999999998E-3</v>
      </c>
      <c r="M1744">
        <v>1.1000000000000001</v>
      </c>
      <c r="N1744">
        <v>0.81</v>
      </c>
    </row>
    <row r="1745" spans="1:14" x14ac:dyDescent="0.25">
      <c r="A1745" t="s">
        <v>3246</v>
      </c>
      <c r="B1745" t="s">
        <v>3247</v>
      </c>
      <c r="C1745" s="1" t="str">
        <f>HYPERLINK("http://www.genecards.org/cgi-bin/carddisp.pl?gene=GALE","GeneCards")</f>
        <v>GeneCards</v>
      </c>
      <c r="D1745" s="1" t="str">
        <f>HYPERLINK("http://genome-euro.ucsc.edu/cgi-bin/hgTracks?position=202528_at","UCSC")</f>
        <v>UCSC</v>
      </c>
      <c r="E1745" s="1" t="str">
        <f>HYPERLINK("http://www.ncbi.nlm.nih.gov/gene/?term=GALE","NCBI")</f>
        <v>NCBI</v>
      </c>
      <c r="F1745">
        <v>5.7000000000000002E-3</v>
      </c>
      <c r="G1745">
        <v>5.5E-2</v>
      </c>
      <c r="H1745" s="1" t="str">
        <f>HYPERLINK("http://www.weizmann.ac.il/complex/compphys/software/geview/data/figures/202528_at.png","Figure")</f>
        <v>Figure</v>
      </c>
      <c r="I1745">
        <v>0.82799999999999996</v>
      </c>
      <c r="J1745">
        <v>5.1999999999999998E-2</v>
      </c>
      <c r="K1745">
        <v>1.08</v>
      </c>
      <c r="L1745">
        <v>0.45</v>
      </c>
      <c r="M1745">
        <v>1.31</v>
      </c>
      <c r="N1745">
        <v>4.3E-3</v>
      </c>
    </row>
    <row r="1746" spans="1:14" x14ac:dyDescent="0.25">
      <c r="A1746" t="s">
        <v>3248</v>
      </c>
      <c r="B1746" t="s">
        <v>3249</v>
      </c>
      <c r="C1746" s="1" t="str">
        <f>HYPERLINK("http://www.genecards.org/cgi-bin/carddisp.pl?gene=PDE4D","GeneCards")</f>
        <v>GeneCards</v>
      </c>
      <c r="D1746" s="1" t="str">
        <f>HYPERLINK("http://genome-euro.ucsc.edu/cgi-bin/hgTracks?position=204491_at","UCSC")</f>
        <v>UCSC</v>
      </c>
      <c r="E1746" s="1" t="str">
        <f>HYPERLINK("http://www.ncbi.nlm.nih.gov/gene/?term=PDE4D","NCBI")</f>
        <v>NCBI</v>
      </c>
      <c r="F1746">
        <v>5.7000000000000002E-3</v>
      </c>
      <c r="G1746">
        <v>5.5E-2</v>
      </c>
      <c r="H1746" s="1" t="str">
        <f>HYPERLINK("http://www.weizmann.ac.il/complex/compphys/software/geview/data/figures/204491_at.png","Figure")</f>
        <v>Figure</v>
      </c>
      <c r="I1746">
        <v>1.65</v>
      </c>
      <c r="J1746">
        <v>5.1000000000000004E-3</v>
      </c>
      <c r="K1746">
        <v>1.1399999999999999</v>
      </c>
      <c r="L1746">
        <v>0.49</v>
      </c>
      <c r="M1746">
        <v>0.69299999999999995</v>
      </c>
      <c r="N1746">
        <v>2.4E-2</v>
      </c>
    </row>
    <row r="1747" spans="1:14" x14ac:dyDescent="0.25">
      <c r="A1747" t="s">
        <v>3250</v>
      </c>
      <c r="B1747" t="s">
        <v>3251</v>
      </c>
      <c r="C1747" s="1" t="str">
        <f>HYPERLINK("http://www.genecards.org/cgi-bin/carddisp.pl?gene=PIGA","GeneCards")</f>
        <v>GeneCards</v>
      </c>
      <c r="D1747" s="1" t="str">
        <f>HYPERLINK("http://genome-euro.ucsc.edu/cgi-bin/hgTracks?position=205281_s_at","UCSC")</f>
        <v>UCSC</v>
      </c>
      <c r="E1747" s="1" t="str">
        <f>HYPERLINK("http://www.ncbi.nlm.nih.gov/gene/?term=PIGA","NCBI")</f>
        <v>NCBI</v>
      </c>
      <c r="F1747">
        <v>5.7000000000000002E-3</v>
      </c>
      <c r="G1747">
        <v>5.5E-2</v>
      </c>
      <c r="H1747" s="1" t="str">
        <f>HYPERLINK("http://www.weizmann.ac.il/complex/compphys/software/geview/data/figures/205281_s_at.png","Figure")</f>
        <v>Figure</v>
      </c>
      <c r="I1747">
        <v>0.60299999999999998</v>
      </c>
      <c r="J1747">
        <v>4.3E-3</v>
      </c>
      <c r="K1747">
        <v>0.76800000000000002</v>
      </c>
      <c r="L1747">
        <v>8.2000000000000003E-2</v>
      </c>
      <c r="M1747">
        <v>1.27</v>
      </c>
      <c r="N1747">
        <v>0.14000000000000001</v>
      </c>
    </row>
    <row r="1748" spans="1:14" x14ac:dyDescent="0.25">
      <c r="A1748" t="s">
        <v>3252</v>
      </c>
      <c r="B1748" t="s">
        <v>1296</v>
      </c>
      <c r="C1748" s="1" t="str">
        <f>HYPERLINK("http://www.genecards.org/cgi-bin/carddisp.pl?gene=CSHL1","GeneCards")</f>
        <v>GeneCards</v>
      </c>
      <c r="D1748" s="1" t="str">
        <f>HYPERLINK("http://genome-euro.ucsc.edu/cgi-bin/hgTracks?position=205958_x_at","UCSC")</f>
        <v>UCSC</v>
      </c>
      <c r="E1748" s="1" t="str">
        <f>HYPERLINK("http://www.ncbi.nlm.nih.gov/gene/?term=CSHL1","NCBI")</f>
        <v>NCBI</v>
      </c>
      <c r="F1748">
        <v>5.7000000000000002E-3</v>
      </c>
      <c r="G1748">
        <v>5.5E-2</v>
      </c>
      <c r="H1748" s="1" t="str">
        <f>HYPERLINK("http://www.weizmann.ac.il/complex/compphys/software/geview/data/figures/205958_x_at.png","Figure")</f>
        <v>Figure</v>
      </c>
      <c r="I1748">
        <v>1.28</v>
      </c>
      <c r="J1748">
        <v>4.8999999999999998E-3</v>
      </c>
      <c r="K1748">
        <v>1.07</v>
      </c>
      <c r="L1748">
        <v>0.44</v>
      </c>
      <c r="M1748">
        <v>0.83799999999999997</v>
      </c>
      <c r="N1748">
        <v>2.7E-2</v>
      </c>
    </row>
    <row r="1749" spans="1:14" x14ac:dyDescent="0.25">
      <c r="A1749" t="s">
        <v>3253</v>
      </c>
      <c r="B1749" t="s">
        <v>2612</v>
      </c>
      <c r="C1749" s="1" t="str">
        <f>HYPERLINK("http://www.genecards.org/cgi-bin/carddisp.pl?gene=ATP2C1","GeneCards")</f>
        <v>GeneCards</v>
      </c>
      <c r="D1749" s="1" t="str">
        <f>HYPERLINK("http://genome-euro.ucsc.edu/cgi-bin/hgTracks?position=212255_s_at","UCSC")</f>
        <v>UCSC</v>
      </c>
      <c r="E1749" s="1" t="str">
        <f>HYPERLINK("http://www.ncbi.nlm.nih.gov/gene/?term=ATP2C1","NCBI")</f>
        <v>NCBI</v>
      </c>
      <c r="F1749">
        <v>5.7000000000000002E-3</v>
      </c>
      <c r="G1749">
        <v>5.5E-2</v>
      </c>
      <c r="H1749" s="1" t="str">
        <f>HYPERLINK("http://www.weizmann.ac.il/complex/compphys/software/geview/data/figures/212255_s_at.png","Figure")</f>
        <v>Figure</v>
      </c>
      <c r="I1749">
        <v>0.70599999999999996</v>
      </c>
      <c r="J1749">
        <v>2.4E-2</v>
      </c>
      <c r="K1749">
        <v>1.07</v>
      </c>
      <c r="L1749">
        <v>0.79</v>
      </c>
      <c r="M1749">
        <v>1.51</v>
      </c>
      <c r="N1749">
        <v>5.1000000000000004E-3</v>
      </c>
    </row>
    <row r="1750" spans="1:14" x14ac:dyDescent="0.25">
      <c r="A1750" t="s">
        <v>3254</v>
      </c>
      <c r="B1750" t="s">
        <v>3255</v>
      </c>
      <c r="C1750" s="1" t="str">
        <f>HYPERLINK("http://www.genecards.org/cgi-bin/carddisp.pl?gene=TMF1","GeneCards")</f>
        <v>GeneCards</v>
      </c>
      <c r="D1750" s="1" t="str">
        <f>HYPERLINK("http://genome-euro.ucsc.edu/cgi-bin/hgTracks?position=214948_s_at","UCSC")</f>
        <v>UCSC</v>
      </c>
      <c r="E1750" s="1" t="str">
        <f>HYPERLINK("http://www.ncbi.nlm.nih.gov/gene/?term=TMF1","NCBI")</f>
        <v>NCBI</v>
      </c>
      <c r="F1750">
        <v>5.7000000000000002E-3</v>
      </c>
      <c r="G1750">
        <v>5.5E-2</v>
      </c>
      <c r="H1750" s="1" t="str">
        <f>HYPERLINK("http://www.weizmann.ac.il/complex/compphys/software/geview/data/figures/214948_s_at.png","Figure")</f>
        <v>Figure</v>
      </c>
      <c r="I1750">
        <v>0.56299999999999994</v>
      </c>
      <c r="J1750">
        <v>5.5999999999999999E-3</v>
      </c>
      <c r="K1750">
        <v>0.68400000000000005</v>
      </c>
      <c r="L1750">
        <v>3.1E-2</v>
      </c>
      <c r="M1750">
        <v>1.21</v>
      </c>
      <c r="N1750">
        <v>0.38</v>
      </c>
    </row>
    <row r="1751" spans="1:14" x14ac:dyDescent="0.25">
      <c r="A1751" t="s">
        <v>3256</v>
      </c>
      <c r="B1751" t="s">
        <v>3257</v>
      </c>
      <c r="C1751" s="1" t="str">
        <f>HYPERLINK("http://www.genecards.org/cgi-bin/carddisp.pl?gene=IGL@","GeneCards")</f>
        <v>GeneCards</v>
      </c>
      <c r="D1751" s="1" t="str">
        <f>HYPERLINK("http://genome-euro.ucsc.edu/cgi-bin/hgTracks?position=217138_x_at","UCSC")</f>
        <v>UCSC</v>
      </c>
      <c r="E1751" s="1" t="str">
        <f>HYPERLINK("http://www.ncbi.nlm.nih.gov/gene/?term=IGL@","NCBI")</f>
        <v>NCBI</v>
      </c>
      <c r="F1751">
        <v>5.7000000000000002E-3</v>
      </c>
      <c r="G1751">
        <v>5.5E-2</v>
      </c>
      <c r="H1751" s="1" t="str">
        <f>HYPERLINK("http://www.weizmann.ac.il/complex/compphys/software/geview/data/figures/217138_x_at.png","Figure")</f>
        <v>Figure</v>
      </c>
      <c r="I1751">
        <v>1.18</v>
      </c>
      <c r="J1751">
        <v>4.1999999999999997E-3</v>
      </c>
      <c r="K1751">
        <v>1.08</v>
      </c>
      <c r="L1751">
        <v>0.12</v>
      </c>
      <c r="M1751">
        <v>0.91700000000000004</v>
      </c>
      <c r="N1751">
        <v>9.6000000000000002E-2</v>
      </c>
    </row>
    <row r="1752" spans="1:14" x14ac:dyDescent="0.25">
      <c r="A1752" t="s">
        <v>3258</v>
      </c>
      <c r="B1752" t="s">
        <v>3259</v>
      </c>
      <c r="C1752" s="1" t="str">
        <f>HYPERLINK("http://www.genecards.org/cgi-bin/carddisp.pl?gene=ASRGL1","GeneCards")</f>
        <v>GeneCards</v>
      </c>
      <c r="D1752" s="1" t="str">
        <f>HYPERLINK("http://genome-euro.ucsc.edu/cgi-bin/hgTracks?position=218857_s_at","UCSC")</f>
        <v>UCSC</v>
      </c>
      <c r="E1752" s="1" t="str">
        <f>HYPERLINK("http://www.ncbi.nlm.nih.gov/gene/?term=ASRGL1","NCBI")</f>
        <v>NCBI</v>
      </c>
      <c r="F1752">
        <v>5.7000000000000002E-3</v>
      </c>
      <c r="G1752">
        <v>5.5E-2</v>
      </c>
      <c r="H1752" s="1" t="str">
        <f>HYPERLINK("http://www.weizmann.ac.il/complex/compphys/software/geview/data/figures/218857_s_at.png","Figure")</f>
        <v>Figure</v>
      </c>
      <c r="I1752">
        <v>1.43</v>
      </c>
      <c r="J1752">
        <v>4.1999999999999997E-3</v>
      </c>
      <c r="K1752">
        <v>1.18</v>
      </c>
      <c r="L1752">
        <v>0.14000000000000001</v>
      </c>
      <c r="M1752">
        <v>0.82199999999999995</v>
      </c>
      <c r="N1752">
        <v>8.6999999999999994E-2</v>
      </c>
    </row>
    <row r="1753" spans="1:14" x14ac:dyDescent="0.25">
      <c r="A1753" t="s">
        <v>3260</v>
      </c>
      <c r="B1753" t="s">
        <v>3261</v>
      </c>
      <c r="C1753" s="1" t="str">
        <f>HYPERLINK("http://www.genecards.org/cgi-bin/carddisp.pl?gene=METTL5","GeneCards")</f>
        <v>GeneCards</v>
      </c>
      <c r="D1753" s="1" t="str">
        <f>HYPERLINK("http://genome-euro.ucsc.edu/cgi-bin/hgTracks?position=221570_s_at","UCSC")</f>
        <v>UCSC</v>
      </c>
      <c r="E1753" s="1" t="str">
        <f>HYPERLINK("http://www.ncbi.nlm.nih.gov/gene/?term=METTL5","NCBI")</f>
        <v>NCBI</v>
      </c>
      <c r="F1753">
        <v>5.7000000000000002E-3</v>
      </c>
      <c r="G1753">
        <v>5.5E-2</v>
      </c>
      <c r="H1753" s="1" t="str">
        <f>HYPERLINK("http://www.weizmann.ac.il/complex/compphys/software/geview/data/figures/221570_s_at.png","Figure")</f>
        <v>Figure</v>
      </c>
      <c r="I1753">
        <v>0.61399999999999999</v>
      </c>
      <c r="J1753">
        <v>0.19</v>
      </c>
      <c r="K1753">
        <v>1.61</v>
      </c>
      <c r="L1753">
        <v>0.13</v>
      </c>
      <c r="M1753">
        <v>2.62</v>
      </c>
      <c r="N1753">
        <v>4.5999999999999999E-3</v>
      </c>
    </row>
    <row r="1754" spans="1:14" x14ac:dyDescent="0.25">
      <c r="A1754" t="s">
        <v>3262</v>
      </c>
      <c r="B1754" t="s">
        <v>3263</v>
      </c>
      <c r="C1754" s="1" t="str">
        <f>HYPERLINK("http://www.genecards.org/cgi-bin/carddisp.pl?gene=DNAJA4","GeneCards")</f>
        <v>GeneCards</v>
      </c>
      <c r="D1754" s="1" t="str">
        <f>HYPERLINK("http://genome-euro.ucsc.edu/cgi-bin/hgTracks?position=220395_at","UCSC")</f>
        <v>UCSC</v>
      </c>
      <c r="E1754" s="1" t="str">
        <f>HYPERLINK("http://www.ncbi.nlm.nih.gov/gene/?term=DNAJA4","NCBI")</f>
        <v>NCBI</v>
      </c>
      <c r="F1754">
        <v>5.7000000000000002E-3</v>
      </c>
      <c r="G1754">
        <v>5.5E-2</v>
      </c>
      <c r="H1754" s="1" t="str">
        <f>HYPERLINK("http://www.weizmann.ac.il/complex/compphys/software/geview/data/figures/220395_at.png","Figure")</f>
        <v>Figure</v>
      </c>
      <c r="I1754">
        <v>1.43</v>
      </c>
      <c r="J1754">
        <v>8.8000000000000005E-3</v>
      </c>
      <c r="K1754">
        <v>1.03</v>
      </c>
      <c r="L1754">
        <v>0.94</v>
      </c>
      <c r="M1754">
        <v>0.71899999999999997</v>
      </c>
      <c r="N1754">
        <v>9.7999999999999997E-3</v>
      </c>
    </row>
    <row r="1755" spans="1:14" x14ac:dyDescent="0.25">
      <c r="A1755" t="s">
        <v>3264</v>
      </c>
      <c r="B1755" t="s">
        <v>3265</v>
      </c>
      <c r="C1755" s="1" t="str">
        <f>HYPERLINK("http://www.genecards.org/cgi-bin/carddisp.pl?gene=CDK4","GeneCards")</f>
        <v>GeneCards</v>
      </c>
      <c r="D1755" s="1" t="str">
        <f>HYPERLINK("http://genome-euro.ucsc.edu/cgi-bin/hgTracks?position=202246_s_at","UCSC")</f>
        <v>UCSC</v>
      </c>
      <c r="E1755" s="1" t="str">
        <f>HYPERLINK("http://www.ncbi.nlm.nih.gov/gene/?term=CDK4","NCBI")</f>
        <v>NCBI</v>
      </c>
      <c r="F1755">
        <v>5.7000000000000002E-3</v>
      </c>
      <c r="G1755">
        <v>5.5E-2</v>
      </c>
      <c r="H1755" s="1" t="str">
        <f>HYPERLINK("http://www.weizmann.ac.il/complex/compphys/software/geview/data/figures/202246_s_at.png","Figure")</f>
        <v>Figure</v>
      </c>
      <c r="I1755">
        <v>1.01</v>
      </c>
      <c r="J1755">
        <v>1</v>
      </c>
      <c r="K1755">
        <v>1.53</v>
      </c>
      <c r="L1755">
        <v>1.0999999999999999E-2</v>
      </c>
      <c r="M1755">
        <v>1.51</v>
      </c>
      <c r="N1755">
        <v>1.9E-2</v>
      </c>
    </row>
    <row r="1756" spans="1:14" x14ac:dyDescent="0.25">
      <c r="A1756" t="s">
        <v>3266</v>
      </c>
      <c r="B1756" t="s">
        <v>3267</v>
      </c>
      <c r="C1756" s="1" t="str">
        <f>HYPERLINK("http://www.genecards.org/cgi-bin/carddisp.pl?gene=RPS6KA2","GeneCards")</f>
        <v>GeneCards</v>
      </c>
      <c r="D1756" s="1" t="str">
        <f>HYPERLINK("http://genome-euro.ucsc.edu/cgi-bin/hgTracks?position=204906_at","UCSC")</f>
        <v>UCSC</v>
      </c>
      <c r="E1756" s="1" t="str">
        <f>HYPERLINK("http://www.ncbi.nlm.nih.gov/gene/?term=RPS6KA2","NCBI")</f>
        <v>NCBI</v>
      </c>
      <c r="F1756">
        <v>5.7000000000000002E-3</v>
      </c>
      <c r="G1756">
        <v>5.5E-2</v>
      </c>
      <c r="H1756" s="1" t="str">
        <f>HYPERLINK("http://www.weizmann.ac.il/complex/compphys/software/geview/data/figures/204906_at.png","Figure")</f>
        <v>Figure</v>
      </c>
      <c r="I1756">
        <v>1.25</v>
      </c>
      <c r="J1756">
        <v>0.24</v>
      </c>
      <c r="K1756">
        <v>0.77800000000000002</v>
      </c>
      <c r="L1756">
        <v>0.11</v>
      </c>
      <c r="M1756">
        <v>0.622</v>
      </c>
      <c r="N1756">
        <v>4.7999999999999996E-3</v>
      </c>
    </row>
    <row r="1757" spans="1:14" x14ac:dyDescent="0.25">
      <c r="A1757" t="s">
        <v>3268</v>
      </c>
      <c r="B1757" t="s">
        <v>3269</v>
      </c>
      <c r="C1757" s="1" t="str">
        <f>HYPERLINK("http://www.genecards.org/cgi-bin/carddisp.pl?gene=FCN3","GeneCards")</f>
        <v>GeneCards</v>
      </c>
      <c r="D1757" s="1" t="str">
        <f>HYPERLINK("http://genome-euro.ucsc.edu/cgi-bin/hgTracks?position=205866_at","UCSC")</f>
        <v>UCSC</v>
      </c>
      <c r="E1757" s="1" t="str">
        <f>HYPERLINK("http://www.ncbi.nlm.nih.gov/gene/?term=FCN3","NCBI")</f>
        <v>NCBI</v>
      </c>
      <c r="F1757">
        <v>5.7000000000000002E-3</v>
      </c>
      <c r="G1757">
        <v>5.5E-2</v>
      </c>
      <c r="H1757" s="1" t="str">
        <f>HYPERLINK("http://www.weizmann.ac.il/complex/compphys/software/geview/data/figures/205866_at.png","Figure")</f>
        <v>Figure</v>
      </c>
      <c r="I1757">
        <v>1.1000000000000001</v>
      </c>
      <c r="J1757">
        <v>0.14000000000000001</v>
      </c>
      <c r="K1757">
        <v>0.92200000000000004</v>
      </c>
      <c r="L1757">
        <v>0.18</v>
      </c>
      <c r="M1757">
        <v>0.83499999999999996</v>
      </c>
      <c r="N1757">
        <v>4.4000000000000003E-3</v>
      </c>
    </row>
    <row r="1758" spans="1:14" x14ac:dyDescent="0.25">
      <c r="A1758" t="s">
        <v>3270</v>
      </c>
      <c r="B1758" t="s">
        <v>3271</v>
      </c>
      <c r="C1758" s="1" t="str">
        <f>HYPERLINK("http://www.genecards.org/cgi-bin/carddisp.pl?gene=LRRC40","GeneCards")</f>
        <v>GeneCards</v>
      </c>
      <c r="D1758" s="1" t="str">
        <f>HYPERLINK("http://genome-euro.ucsc.edu/cgi-bin/hgTracks?position=215063_x_at","UCSC")</f>
        <v>UCSC</v>
      </c>
      <c r="E1758" s="1" t="str">
        <f>HYPERLINK("http://www.ncbi.nlm.nih.gov/gene/?term=LRRC40","NCBI")</f>
        <v>NCBI</v>
      </c>
      <c r="F1758">
        <v>5.7000000000000002E-3</v>
      </c>
      <c r="G1758">
        <v>5.5E-2</v>
      </c>
      <c r="H1758" s="1" t="str">
        <f>HYPERLINK("http://www.weizmann.ac.il/complex/compphys/software/geview/data/figures/215063_x_at.png","Figure")</f>
        <v>Figure</v>
      </c>
      <c r="I1758">
        <v>1.4</v>
      </c>
      <c r="J1758">
        <v>1.4999999999999999E-2</v>
      </c>
      <c r="K1758">
        <v>0.98</v>
      </c>
      <c r="L1758">
        <v>0.97</v>
      </c>
      <c r="M1758">
        <v>0.70099999999999996</v>
      </c>
      <c r="N1758">
        <v>6.4999999999999997E-3</v>
      </c>
    </row>
    <row r="1759" spans="1:14" x14ac:dyDescent="0.25">
      <c r="A1759" t="s">
        <v>3272</v>
      </c>
      <c r="B1759" t="s">
        <v>1246</v>
      </c>
      <c r="C1759" s="1" t="str">
        <f>HYPERLINK("http://www.genecards.org/cgi-bin/carddisp.pl?gene=LPHN1","GeneCards")</f>
        <v>GeneCards</v>
      </c>
      <c r="D1759" s="1" t="str">
        <f>HYPERLINK("http://genome-euro.ucsc.edu/cgi-bin/hgTracks?position=219145_at","UCSC")</f>
        <v>UCSC</v>
      </c>
      <c r="E1759" s="1" t="str">
        <f>HYPERLINK("http://www.ncbi.nlm.nih.gov/gene/?term=LPHN1","NCBI")</f>
        <v>NCBI</v>
      </c>
      <c r="F1759">
        <v>5.7000000000000002E-3</v>
      </c>
      <c r="G1759">
        <v>5.5E-2</v>
      </c>
      <c r="H1759" s="1" t="str">
        <f>HYPERLINK("http://www.weizmann.ac.il/complex/compphys/software/geview/data/figures/219145_at.png","Figure")</f>
        <v>Figure</v>
      </c>
      <c r="I1759">
        <v>1.2</v>
      </c>
      <c r="J1759">
        <v>2.5999999999999999E-2</v>
      </c>
      <c r="K1759">
        <v>0.96299999999999997</v>
      </c>
      <c r="L1759">
        <v>0.76</v>
      </c>
      <c r="M1759">
        <v>0.8</v>
      </c>
      <c r="N1759">
        <v>5.1000000000000004E-3</v>
      </c>
    </row>
    <row r="1760" spans="1:14" x14ac:dyDescent="0.25">
      <c r="A1760" t="s">
        <v>3273</v>
      </c>
      <c r="B1760" t="s">
        <v>3274</v>
      </c>
      <c r="C1760" s="1" t="str">
        <f>HYPERLINK("http://www.genecards.org/cgi-bin/carddisp.pl?gene=SMARCA4","GeneCards")</f>
        <v>GeneCards</v>
      </c>
      <c r="D1760" s="1" t="str">
        <f>HYPERLINK("http://genome-euro.ucsc.edu/cgi-bin/hgTracks?position=208794_s_at","UCSC")</f>
        <v>UCSC</v>
      </c>
      <c r="E1760" s="1" t="str">
        <f>HYPERLINK("http://www.ncbi.nlm.nih.gov/gene/?term=SMARCA4","NCBI")</f>
        <v>NCBI</v>
      </c>
      <c r="F1760">
        <v>5.7000000000000002E-3</v>
      </c>
      <c r="G1760">
        <v>5.5E-2</v>
      </c>
      <c r="H1760" s="1" t="str">
        <f>HYPERLINK("http://www.weizmann.ac.il/complex/compphys/software/geview/data/figures/208794_s_at.png","Figure")</f>
        <v>Figure</v>
      </c>
      <c r="I1760">
        <v>1.38</v>
      </c>
      <c r="J1760">
        <v>7.0999999999999994E-2</v>
      </c>
      <c r="K1760">
        <v>0.84499999999999997</v>
      </c>
      <c r="L1760">
        <v>0.34</v>
      </c>
      <c r="M1760">
        <v>0.61099999999999999</v>
      </c>
      <c r="N1760">
        <v>4.3E-3</v>
      </c>
    </row>
    <row r="1761" spans="1:14" x14ac:dyDescent="0.25">
      <c r="A1761" t="s">
        <v>3275</v>
      </c>
      <c r="B1761" t="s">
        <v>3276</v>
      </c>
      <c r="C1761" s="1" t="str">
        <f>HYPERLINK("http://www.genecards.org/cgi-bin/carddisp.pl?gene=PAK4","GeneCards")</f>
        <v>GeneCards</v>
      </c>
      <c r="D1761" s="1" t="str">
        <f>HYPERLINK("http://genome-euro.ucsc.edu/cgi-bin/hgTracks?position=33814_at","UCSC")</f>
        <v>UCSC</v>
      </c>
      <c r="E1761" s="1" t="str">
        <f>HYPERLINK("http://www.ncbi.nlm.nih.gov/gene/?term=PAK4","NCBI")</f>
        <v>NCBI</v>
      </c>
      <c r="F1761">
        <v>5.7000000000000002E-3</v>
      </c>
      <c r="G1761">
        <v>5.5E-2</v>
      </c>
      <c r="H1761" s="1" t="str">
        <f>HYPERLINK("http://www.weizmann.ac.il/complex/compphys/software/geview/data/figures/33814_at.png","Figure")</f>
        <v>Figure</v>
      </c>
      <c r="I1761">
        <v>1.41</v>
      </c>
      <c r="J1761">
        <v>5.1000000000000004E-3</v>
      </c>
      <c r="K1761">
        <v>1.1000000000000001</v>
      </c>
      <c r="L1761">
        <v>0.46</v>
      </c>
      <c r="M1761">
        <v>0.77800000000000002</v>
      </c>
      <c r="N1761">
        <v>2.5999999999999999E-2</v>
      </c>
    </row>
    <row r="1762" spans="1:14" x14ac:dyDescent="0.25">
      <c r="A1762" t="s">
        <v>3277</v>
      </c>
      <c r="B1762" t="s">
        <v>3278</v>
      </c>
      <c r="C1762" s="1" t="str">
        <f>HYPERLINK("http://www.genecards.org/cgi-bin/carddisp.pl?gene=PLCH1","GeneCards")</f>
        <v>GeneCards</v>
      </c>
      <c r="D1762" s="1" t="str">
        <f>HYPERLINK("http://genome-euro.ucsc.edu/cgi-bin/hgTracks?position=214745_at","UCSC")</f>
        <v>UCSC</v>
      </c>
      <c r="E1762" s="1" t="str">
        <f>HYPERLINK("http://www.ncbi.nlm.nih.gov/gene/?term=PLCH1","NCBI")</f>
        <v>NCBI</v>
      </c>
      <c r="F1762">
        <v>5.7000000000000002E-3</v>
      </c>
      <c r="G1762">
        <v>5.6000000000000001E-2</v>
      </c>
      <c r="H1762" s="1" t="str">
        <f>HYPERLINK("http://www.weizmann.ac.il/complex/compphys/software/geview/data/figures/214745_at.png","Figure")</f>
        <v>Figure</v>
      </c>
      <c r="I1762">
        <v>0.54300000000000004</v>
      </c>
      <c r="J1762">
        <v>5.3E-3</v>
      </c>
      <c r="K1762">
        <v>0.85599999999999998</v>
      </c>
      <c r="L1762">
        <v>0.52</v>
      </c>
      <c r="M1762">
        <v>1.58</v>
      </c>
      <c r="N1762">
        <v>2.3E-2</v>
      </c>
    </row>
    <row r="1763" spans="1:14" x14ac:dyDescent="0.25">
      <c r="A1763" t="s">
        <v>3279</v>
      </c>
      <c r="B1763" t="s">
        <v>3280</v>
      </c>
      <c r="C1763" s="1" t="str">
        <f>HYPERLINK("http://www.genecards.org/cgi-bin/carddisp.pl?gene=PHLDA3","GeneCards")</f>
        <v>GeneCards</v>
      </c>
      <c r="D1763" s="1" t="str">
        <f>HYPERLINK("http://genome-euro.ucsc.edu/cgi-bin/hgTracks?position=218634_at","UCSC")</f>
        <v>UCSC</v>
      </c>
      <c r="E1763" s="1" t="str">
        <f>HYPERLINK("http://www.ncbi.nlm.nih.gov/gene/?term=PHLDA3","NCBI")</f>
        <v>NCBI</v>
      </c>
      <c r="F1763">
        <v>5.7999999999999996E-3</v>
      </c>
      <c r="G1763">
        <v>5.6000000000000001E-2</v>
      </c>
      <c r="H1763" s="1" t="str">
        <f>HYPERLINK("http://www.weizmann.ac.il/complex/compphys/software/geview/data/figures/218634_at.png","Figure")</f>
        <v>Figure</v>
      </c>
      <c r="I1763">
        <v>1.35</v>
      </c>
      <c r="J1763">
        <v>4.5999999999999999E-3</v>
      </c>
      <c r="K1763">
        <v>1.18</v>
      </c>
      <c r="L1763">
        <v>6.8000000000000005E-2</v>
      </c>
      <c r="M1763">
        <v>0.872</v>
      </c>
      <c r="N1763">
        <v>0.18</v>
      </c>
    </row>
    <row r="1764" spans="1:14" x14ac:dyDescent="0.25">
      <c r="A1764" t="s">
        <v>3281</v>
      </c>
      <c r="B1764" t="s">
        <v>3282</v>
      </c>
      <c r="C1764" s="1" t="str">
        <f>HYPERLINK("http://www.genecards.org/cgi-bin/carddisp.pl?gene=MOSPD1","GeneCards")</f>
        <v>GeneCards</v>
      </c>
      <c r="D1764" s="1" t="str">
        <f>HYPERLINK("http://genome-euro.ucsc.edu/cgi-bin/hgTracks?position=218853_s_at","UCSC")</f>
        <v>UCSC</v>
      </c>
      <c r="E1764" s="1" t="str">
        <f>HYPERLINK("http://www.ncbi.nlm.nih.gov/gene/?term=MOSPD1","NCBI")</f>
        <v>NCBI</v>
      </c>
      <c r="F1764">
        <v>5.7999999999999996E-3</v>
      </c>
      <c r="G1764">
        <v>5.6000000000000001E-2</v>
      </c>
      <c r="H1764" s="1" t="str">
        <f>HYPERLINK("http://www.weizmann.ac.il/complex/compphys/software/geview/data/figures/218853_s_at.png","Figure")</f>
        <v>Figure</v>
      </c>
      <c r="I1764">
        <v>0.57699999999999996</v>
      </c>
      <c r="J1764">
        <v>0.02</v>
      </c>
      <c r="K1764">
        <v>1.08</v>
      </c>
      <c r="L1764">
        <v>0.88</v>
      </c>
      <c r="M1764">
        <v>1.86</v>
      </c>
      <c r="N1764">
        <v>5.7000000000000002E-3</v>
      </c>
    </row>
    <row r="1765" spans="1:14" x14ac:dyDescent="0.25">
      <c r="A1765" t="s">
        <v>3283</v>
      </c>
      <c r="B1765" t="s">
        <v>3284</v>
      </c>
      <c r="C1765" s="1" t="str">
        <f>HYPERLINK("http://www.genecards.org/cgi-bin/carddisp.pl?gene=WNT11","GeneCards")</f>
        <v>GeneCards</v>
      </c>
      <c r="D1765" s="1" t="str">
        <f>HYPERLINK("http://genome-euro.ucsc.edu/cgi-bin/hgTracks?position=206737_at","UCSC")</f>
        <v>UCSC</v>
      </c>
      <c r="E1765" s="1" t="str">
        <f>HYPERLINK("http://www.ncbi.nlm.nih.gov/gene/?term=WNT11","NCBI")</f>
        <v>NCBI</v>
      </c>
      <c r="F1765">
        <v>5.7999999999999996E-3</v>
      </c>
      <c r="G1765">
        <v>5.6000000000000001E-2</v>
      </c>
      <c r="H1765" s="1" t="str">
        <f>HYPERLINK("http://www.weizmann.ac.il/complex/compphys/software/geview/data/figures/206737_at.png","Figure")</f>
        <v>Figure</v>
      </c>
      <c r="I1765">
        <v>1.25</v>
      </c>
      <c r="J1765">
        <v>1.4999999999999999E-2</v>
      </c>
      <c r="K1765">
        <v>0.98699999999999999</v>
      </c>
      <c r="L1765">
        <v>0.97</v>
      </c>
      <c r="M1765">
        <v>0.79100000000000004</v>
      </c>
      <c r="N1765">
        <v>6.6E-3</v>
      </c>
    </row>
    <row r="1766" spans="1:14" x14ac:dyDescent="0.25">
      <c r="A1766" t="s">
        <v>3285</v>
      </c>
      <c r="B1766" t="s">
        <v>3286</v>
      </c>
      <c r="C1766" s="1" t="str">
        <f>HYPERLINK("http://www.genecards.org/cgi-bin/carddisp.pl?gene=TOR1B","GeneCards")</f>
        <v>GeneCards</v>
      </c>
      <c r="D1766" s="1" t="str">
        <f>HYPERLINK("http://genome-euro.ucsc.edu/cgi-bin/hgTracks?position=209593_s_at","UCSC")</f>
        <v>UCSC</v>
      </c>
      <c r="E1766" s="1" t="str">
        <f>HYPERLINK("http://www.ncbi.nlm.nih.gov/gene/?term=TOR1B","NCBI")</f>
        <v>NCBI</v>
      </c>
      <c r="F1766">
        <v>5.7999999999999996E-3</v>
      </c>
      <c r="G1766">
        <v>5.6000000000000001E-2</v>
      </c>
      <c r="H1766" s="1" t="str">
        <f>HYPERLINK("http://www.weizmann.ac.il/complex/compphys/software/geview/data/figures/209593_s_at.png","Figure")</f>
        <v>Figure</v>
      </c>
      <c r="I1766">
        <v>0.65900000000000003</v>
      </c>
      <c r="J1766">
        <v>5.8999999999999999E-3</v>
      </c>
      <c r="K1766">
        <v>0.755</v>
      </c>
      <c r="L1766">
        <v>2.9000000000000001E-2</v>
      </c>
      <c r="M1766">
        <v>1.1399999999999999</v>
      </c>
      <c r="N1766">
        <v>0.41</v>
      </c>
    </row>
    <row r="1767" spans="1:14" x14ac:dyDescent="0.25">
      <c r="A1767" t="s">
        <v>3287</v>
      </c>
      <c r="B1767" t="s">
        <v>3288</v>
      </c>
      <c r="C1767" s="1" t="str">
        <f>HYPERLINK("http://www.genecards.org/cgi-bin/carddisp.pl?gene=CRY2","GeneCards")</f>
        <v>GeneCards</v>
      </c>
      <c r="D1767" s="1" t="str">
        <f>HYPERLINK("http://genome-euro.ucsc.edu/cgi-bin/hgTracks?position=212695_at","UCSC")</f>
        <v>UCSC</v>
      </c>
      <c r="E1767" s="1" t="str">
        <f>HYPERLINK("http://www.ncbi.nlm.nih.gov/gene/?term=CRY2","NCBI")</f>
        <v>NCBI</v>
      </c>
      <c r="F1767">
        <v>5.7999999999999996E-3</v>
      </c>
      <c r="G1767">
        <v>5.6000000000000001E-2</v>
      </c>
      <c r="H1767" s="1" t="str">
        <f>HYPERLINK("http://www.weizmann.ac.il/complex/compphys/software/geview/data/figures/212695_at.png","Figure")</f>
        <v>Figure</v>
      </c>
      <c r="I1767">
        <v>1.06</v>
      </c>
      <c r="J1767">
        <v>0.68</v>
      </c>
      <c r="K1767">
        <v>0.84099999999999997</v>
      </c>
      <c r="L1767">
        <v>3.1E-2</v>
      </c>
      <c r="M1767">
        <v>0.79300000000000004</v>
      </c>
      <c r="N1767">
        <v>8.0999999999999996E-3</v>
      </c>
    </row>
    <row r="1768" spans="1:14" x14ac:dyDescent="0.25">
      <c r="A1768" t="s">
        <v>3289</v>
      </c>
      <c r="B1768" t="s">
        <v>3290</v>
      </c>
      <c r="C1768" s="1" t="str">
        <f>HYPERLINK("http://www.genecards.org/cgi-bin/carddisp.pl?gene=CCPG1","GeneCards")</f>
        <v>GeneCards</v>
      </c>
      <c r="D1768" s="1" t="str">
        <f>HYPERLINK("http://genome-euro.ucsc.edu/cgi-bin/hgTracks?position=214151_s_at","UCSC")</f>
        <v>UCSC</v>
      </c>
      <c r="E1768" s="1" t="str">
        <f>HYPERLINK("http://www.ncbi.nlm.nih.gov/gene/?term=CCPG1","NCBI")</f>
        <v>NCBI</v>
      </c>
      <c r="F1768">
        <v>5.7999999999999996E-3</v>
      </c>
      <c r="G1768">
        <v>5.6000000000000001E-2</v>
      </c>
      <c r="H1768" s="1" t="str">
        <f>HYPERLINK("http://www.weizmann.ac.il/complex/compphys/software/geview/data/figures/214151_s_at.png","Figure")</f>
        <v>Figure</v>
      </c>
      <c r="I1768">
        <v>0.84499999999999997</v>
      </c>
      <c r="J1768">
        <v>0.02</v>
      </c>
      <c r="K1768">
        <v>1.02</v>
      </c>
      <c r="L1768">
        <v>0.88</v>
      </c>
      <c r="M1768">
        <v>1.21</v>
      </c>
      <c r="N1768">
        <v>5.7000000000000002E-3</v>
      </c>
    </row>
    <row r="1769" spans="1:14" x14ac:dyDescent="0.25">
      <c r="A1769" t="s">
        <v>3291</v>
      </c>
      <c r="B1769" t="s">
        <v>3292</v>
      </c>
      <c r="C1769" s="1" t="str">
        <f>HYPERLINK("http://www.genecards.org/cgi-bin/carddisp.pl?gene=SLC24A6","GeneCards")</f>
        <v>GeneCards</v>
      </c>
      <c r="D1769" s="1" t="str">
        <f>HYPERLINK("http://genome-euro.ucsc.edu/cgi-bin/hgTracks?position=218749_s_at","UCSC")</f>
        <v>UCSC</v>
      </c>
      <c r="E1769" s="1" t="str">
        <f>HYPERLINK("http://www.ncbi.nlm.nih.gov/gene/?term=SLC24A6","NCBI")</f>
        <v>NCBI</v>
      </c>
      <c r="F1769">
        <v>5.7999999999999996E-3</v>
      </c>
      <c r="G1769">
        <v>5.6000000000000001E-2</v>
      </c>
      <c r="H1769" s="1" t="str">
        <f>HYPERLINK("http://www.weizmann.ac.il/complex/compphys/software/geview/data/figures/218749_s_at.png","Figure")</f>
        <v>Figure</v>
      </c>
      <c r="I1769">
        <v>0.92200000000000004</v>
      </c>
      <c r="J1769">
        <v>0.69</v>
      </c>
      <c r="K1769">
        <v>0.72699999999999998</v>
      </c>
      <c r="L1769">
        <v>6.3E-3</v>
      </c>
      <c r="M1769">
        <v>0.78800000000000003</v>
      </c>
      <c r="N1769">
        <v>5.1999999999999998E-2</v>
      </c>
    </row>
    <row r="1770" spans="1:14" x14ac:dyDescent="0.25">
      <c r="A1770" t="s">
        <v>3293</v>
      </c>
      <c r="B1770" t="s">
        <v>3294</v>
      </c>
      <c r="C1770" s="1" t="str">
        <f>HYPERLINK("http://www.genecards.org/cgi-bin/carddisp.pl?gene=LRDD","GeneCards")</f>
        <v>GeneCards</v>
      </c>
      <c r="D1770" s="1" t="str">
        <f>HYPERLINK("http://genome-euro.ucsc.edu/cgi-bin/hgTracks?position=219019_at","UCSC")</f>
        <v>UCSC</v>
      </c>
      <c r="E1770" s="1" t="str">
        <f>HYPERLINK("http://www.ncbi.nlm.nih.gov/gene/?term=LRDD","NCBI")</f>
        <v>NCBI</v>
      </c>
      <c r="F1770">
        <v>5.7999999999999996E-3</v>
      </c>
      <c r="G1770">
        <v>5.6000000000000001E-2</v>
      </c>
      <c r="H1770" s="1" t="str">
        <f>HYPERLINK("http://www.weizmann.ac.il/complex/compphys/software/geview/data/figures/219019_at.png","Figure")</f>
        <v>Figure</v>
      </c>
      <c r="I1770">
        <v>1.49</v>
      </c>
      <c r="J1770">
        <v>5.4000000000000003E-3</v>
      </c>
      <c r="K1770">
        <v>1.1000000000000001</v>
      </c>
      <c r="L1770">
        <v>0.54</v>
      </c>
      <c r="M1770">
        <v>0.74099999999999999</v>
      </c>
      <c r="N1770">
        <v>2.1999999999999999E-2</v>
      </c>
    </row>
    <row r="1771" spans="1:14" x14ac:dyDescent="0.25">
      <c r="A1771" t="s">
        <v>3295</v>
      </c>
      <c r="B1771" t="s">
        <v>3296</v>
      </c>
      <c r="C1771" s="1" t="str">
        <f>HYPERLINK("http://www.genecards.org/cgi-bin/carddisp.pl?gene=MAP2K6","GeneCards")</f>
        <v>GeneCards</v>
      </c>
      <c r="D1771" s="1" t="str">
        <f>HYPERLINK("http://genome-euro.ucsc.edu/cgi-bin/hgTracks?position=205698_s_at","UCSC")</f>
        <v>UCSC</v>
      </c>
      <c r="E1771" s="1" t="str">
        <f>HYPERLINK("http://www.ncbi.nlm.nih.gov/gene/?term=MAP2K6","NCBI")</f>
        <v>NCBI</v>
      </c>
      <c r="F1771">
        <v>5.7999999999999996E-3</v>
      </c>
      <c r="G1771">
        <v>5.6000000000000001E-2</v>
      </c>
      <c r="H1771" s="1" t="str">
        <f>HYPERLINK("http://www.weizmann.ac.il/complex/compphys/software/geview/data/figures/205698_s_at.png","Figure")</f>
        <v>Figure</v>
      </c>
      <c r="I1771">
        <v>1.38</v>
      </c>
      <c r="J1771">
        <v>4.5999999999999999E-3</v>
      </c>
      <c r="K1771">
        <v>1.19</v>
      </c>
      <c r="L1771">
        <v>7.0000000000000007E-2</v>
      </c>
      <c r="M1771">
        <v>0.86399999999999999</v>
      </c>
      <c r="N1771">
        <v>0.18</v>
      </c>
    </row>
    <row r="1772" spans="1:14" x14ac:dyDescent="0.25">
      <c r="A1772" t="s">
        <v>3297</v>
      </c>
      <c r="B1772" t="s">
        <v>3298</v>
      </c>
      <c r="C1772" s="1" t="str">
        <f>HYPERLINK("http://www.genecards.org/cgi-bin/carddisp.pl?gene=SSX3","GeneCards")</f>
        <v>GeneCards</v>
      </c>
      <c r="D1772" s="1" t="str">
        <f>HYPERLINK("http://genome-euro.ucsc.edu/cgi-bin/hgTracks?position=207666_x_at","UCSC")</f>
        <v>UCSC</v>
      </c>
      <c r="E1772" s="1" t="str">
        <f>HYPERLINK("http://www.ncbi.nlm.nih.gov/gene/?term=SSX3","NCBI")</f>
        <v>NCBI</v>
      </c>
      <c r="F1772">
        <v>5.7999999999999996E-3</v>
      </c>
      <c r="G1772">
        <v>5.6000000000000001E-2</v>
      </c>
      <c r="H1772" s="1" t="str">
        <f>HYPERLINK("http://www.weizmann.ac.il/complex/compphys/software/geview/data/figures/207666_x_at.png","Figure")</f>
        <v>Figure</v>
      </c>
      <c r="I1772">
        <v>1.1100000000000001</v>
      </c>
      <c r="J1772">
        <v>0.35</v>
      </c>
      <c r="K1772">
        <v>0.85199999999999998</v>
      </c>
      <c r="L1772">
        <v>7.0000000000000007E-2</v>
      </c>
      <c r="M1772">
        <v>0.76600000000000001</v>
      </c>
      <c r="N1772">
        <v>5.5999999999999999E-3</v>
      </c>
    </row>
    <row r="1773" spans="1:14" x14ac:dyDescent="0.25">
      <c r="A1773" t="s">
        <v>3299</v>
      </c>
      <c r="B1773" t="s">
        <v>3300</v>
      </c>
      <c r="C1773" s="1" t="str">
        <f>HYPERLINK("http://www.genecards.org/cgi-bin/carddisp.pl?gene=YES1","GeneCards")</f>
        <v>GeneCards</v>
      </c>
      <c r="D1773" s="1" t="str">
        <f>HYPERLINK("http://genome-euro.ucsc.edu/cgi-bin/hgTracks?position=202932_at","UCSC")</f>
        <v>UCSC</v>
      </c>
      <c r="E1773" s="1" t="str">
        <f>HYPERLINK("http://www.ncbi.nlm.nih.gov/gene/?term=YES1","NCBI")</f>
        <v>NCBI</v>
      </c>
      <c r="F1773">
        <v>5.7999999999999996E-3</v>
      </c>
      <c r="G1773">
        <v>5.6000000000000001E-2</v>
      </c>
      <c r="H1773" s="1" t="str">
        <f>HYPERLINK("http://www.weizmann.ac.il/complex/compphys/software/geview/data/figures/202932_at.png","Figure")</f>
        <v>Figure</v>
      </c>
      <c r="I1773">
        <v>0.39900000000000002</v>
      </c>
      <c r="J1773">
        <v>9.1999999999999998E-2</v>
      </c>
      <c r="K1773">
        <v>0.252</v>
      </c>
      <c r="L1773">
        <v>4.4000000000000003E-3</v>
      </c>
      <c r="M1773">
        <v>0.63100000000000001</v>
      </c>
      <c r="N1773">
        <v>0.46</v>
      </c>
    </row>
    <row r="1774" spans="1:14" x14ac:dyDescent="0.25">
      <c r="A1774" t="s">
        <v>3301</v>
      </c>
      <c r="B1774" t="s">
        <v>3302</v>
      </c>
      <c r="C1774" s="1" t="str">
        <f>HYPERLINK("http://www.genecards.org/cgi-bin/carddisp.pl?gene=PEX16","GeneCards")</f>
        <v>GeneCards</v>
      </c>
      <c r="D1774" s="1" t="str">
        <f>HYPERLINK("http://genome-euro.ucsc.edu/cgi-bin/hgTracks?position=221604_s_at","UCSC")</f>
        <v>UCSC</v>
      </c>
      <c r="E1774" s="1" t="str">
        <f>HYPERLINK("http://www.ncbi.nlm.nih.gov/gene/?term=PEX16","NCBI")</f>
        <v>NCBI</v>
      </c>
      <c r="F1774">
        <v>5.7999999999999996E-3</v>
      </c>
      <c r="G1774">
        <v>5.6000000000000001E-2</v>
      </c>
      <c r="H1774" s="1" t="str">
        <f>HYPERLINK("http://www.weizmann.ac.il/complex/compphys/software/geview/data/figures/221604_s_at.png","Figure")</f>
        <v>Figure</v>
      </c>
      <c r="I1774">
        <v>0.96499999999999997</v>
      </c>
      <c r="J1774">
        <v>0.88</v>
      </c>
      <c r="K1774">
        <v>0.79100000000000004</v>
      </c>
      <c r="L1774">
        <v>8.0000000000000002E-3</v>
      </c>
      <c r="M1774">
        <v>0.82</v>
      </c>
      <c r="N1774">
        <v>3.3000000000000002E-2</v>
      </c>
    </row>
    <row r="1775" spans="1:14" x14ac:dyDescent="0.25">
      <c r="A1775" t="s">
        <v>3303</v>
      </c>
      <c r="B1775" t="s">
        <v>2111</v>
      </c>
      <c r="C1775" s="1" t="str">
        <f>HYPERLINK("http://www.genecards.org/cgi-bin/carddisp.pl?gene=SERTAD2","GeneCards")</f>
        <v>GeneCards</v>
      </c>
      <c r="D1775" s="1" t="str">
        <f>HYPERLINK("http://genome-euro.ucsc.edu/cgi-bin/hgTracks?position=202656_s_at","UCSC")</f>
        <v>UCSC</v>
      </c>
      <c r="E1775" s="1" t="str">
        <f>HYPERLINK("http://www.ncbi.nlm.nih.gov/gene/?term=SERTAD2","NCBI")</f>
        <v>NCBI</v>
      </c>
      <c r="F1775">
        <v>5.7999999999999996E-3</v>
      </c>
      <c r="G1775">
        <v>5.6000000000000001E-2</v>
      </c>
      <c r="H1775" s="1" t="str">
        <f>HYPERLINK("http://www.weizmann.ac.il/complex/compphys/software/geview/data/figures/202656_s_at.png","Figure")</f>
        <v>Figure</v>
      </c>
      <c r="I1775">
        <v>0.86899999999999999</v>
      </c>
      <c r="J1775">
        <v>0.7</v>
      </c>
      <c r="K1775">
        <v>0.57099999999999995</v>
      </c>
      <c r="L1775">
        <v>6.4000000000000003E-3</v>
      </c>
      <c r="M1775">
        <v>0.65600000000000003</v>
      </c>
      <c r="N1775">
        <v>5.0999999999999997E-2</v>
      </c>
    </row>
    <row r="1776" spans="1:14" x14ac:dyDescent="0.25">
      <c r="A1776" t="s">
        <v>3304</v>
      </c>
      <c r="B1776" t="s">
        <v>3305</v>
      </c>
      <c r="C1776" s="1" t="str">
        <f>HYPERLINK("http://www.genecards.org/cgi-bin/carddisp.pl?gene=ASMTL","GeneCards")</f>
        <v>GeneCards</v>
      </c>
      <c r="D1776" s="1" t="str">
        <f>HYPERLINK("http://genome-euro.ucsc.edu/cgi-bin/hgTracks?position=36553_at","UCSC")</f>
        <v>UCSC</v>
      </c>
      <c r="E1776" s="1" t="str">
        <f>HYPERLINK("http://www.ncbi.nlm.nih.gov/gene/?term=ASMTL","NCBI")</f>
        <v>NCBI</v>
      </c>
      <c r="F1776">
        <v>5.7999999999999996E-3</v>
      </c>
      <c r="G1776">
        <v>5.6000000000000001E-2</v>
      </c>
      <c r="H1776" s="1" t="str">
        <f>HYPERLINK("http://www.weizmann.ac.il/complex/compphys/software/geview/data/figures/36553_at.png","Figure")</f>
        <v>Figure</v>
      </c>
      <c r="I1776">
        <v>0.43099999999999999</v>
      </c>
      <c r="J1776">
        <v>5.3E-3</v>
      </c>
      <c r="K1776">
        <v>0.80100000000000005</v>
      </c>
      <c r="L1776">
        <v>0.5</v>
      </c>
      <c r="M1776">
        <v>1.86</v>
      </c>
      <c r="N1776">
        <v>2.4E-2</v>
      </c>
    </row>
    <row r="1777" spans="1:14" x14ac:dyDescent="0.25">
      <c r="A1777" t="s">
        <v>3306</v>
      </c>
      <c r="B1777" t="s">
        <v>3307</v>
      </c>
      <c r="C1777" s="1" t="str">
        <f>HYPERLINK("http://www.genecards.org/cgi-bin/carddisp.pl?gene=CLTC","GeneCards")</f>
        <v>GeneCards</v>
      </c>
      <c r="D1777" s="1" t="str">
        <f>HYPERLINK("http://genome-euro.ucsc.edu/cgi-bin/hgTracks?position=200614_at","UCSC")</f>
        <v>UCSC</v>
      </c>
      <c r="E1777" s="1" t="str">
        <f>HYPERLINK("http://www.ncbi.nlm.nih.gov/gene/?term=CLTC","NCBI")</f>
        <v>NCBI</v>
      </c>
      <c r="F1777">
        <v>5.7999999999999996E-3</v>
      </c>
      <c r="G1777">
        <v>5.6000000000000001E-2</v>
      </c>
      <c r="H1777" s="1" t="str">
        <f>HYPERLINK("http://www.weizmann.ac.il/complex/compphys/software/geview/data/figures/200614_at.png","Figure")</f>
        <v>Figure</v>
      </c>
      <c r="I1777">
        <v>0.91100000000000003</v>
      </c>
      <c r="J1777">
        <v>0.9</v>
      </c>
      <c r="K1777">
        <v>1.79</v>
      </c>
      <c r="L1777">
        <v>1.9E-2</v>
      </c>
      <c r="M1777">
        <v>1.97</v>
      </c>
      <c r="N1777">
        <v>1.2E-2</v>
      </c>
    </row>
    <row r="1778" spans="1:14" x14ac:dyDescent="0.25">
      <c r="A1778" t="s">
        <v>3308</v>
      </c>
      <c r="B1778" t="s">
        <v>3309</v>
      </c>
      <c r="C1778" s="1" t="str">
        <f>HYPERLINK("http://www.genecards.org/cgi-bin/carddisp.pl?gene=KIAA0564","GeneCards")</f>
        <v>GeneCards</v>
      </c>
      <c r="D1778" s="1" t="str">
        <f>HYPERLINK("http://genome-euro.ucsc.edu/cgi-bin/hgTracks?position=212946_at","UCSC")</f>
        <v>UCSC</v>
      </c>
      <c r="E1778" s="1" t="str">
        <f>HYPERLINK("http://www.ncbi.nlm.nih.gov/gene/?term=KIAA0564","NCBI")</f>
        <v>NCBI</v>
      </c>
      <c r="F1778">
        <v>5.8999999999999999E-3</v>
      </c>
      <c r="G1778">
        <v>5.6000000000000001E-2</v>
      </c>
      <c r="H1778" s="1" t="str">
        <f>HYPERLINK("http://www.weizmann.ac.il/complex/compphys/software/geview/data/figures/212946_at.png","Figure")</f>
        <v>Figure</v>
      </c>
      <c r="I1778">
        <v>1.47</v>
      </c>
      <c r="J1778">
        <v>2.3E-2</v>
      </c>
      <c r="K1778">
        <v>1.51</v>
      </c>
      <c r="L1778">
        <v>6.7999999999999996E-3</v>
      </c>
      <c r="M1778">
        <v>1.02</v>
      </c>
      <c r="N1778">
        <v>0.98</v>
      </c>
    </row>
    <row r="1779" spans="1:14" x14ac:dyDescent="0.25">
      <c r="A1779" t="s">
        <v>3310</v>
      </c>
      <c r="B1779" t="s">
        <v>3311</v>
      </c>
      <c r="C1779" s="1" t="str">
        <f>HYPERLINK("http://www.genecards.org/cgi-bin/carddisp.pl?gene=PTPRJ","GeneCards")</f>
        <v>GeneCards</v>
      </c>
      <c r="D1779" s="1" t="str">
        <f>HYPERLINK("http://genome-euro.ucsc.edu/cgi-bin/hgTracks?position=214137_at","UCSC")</f>
        <v>UCSC</v>
      </c>
      <c r="E1779" s="1" t="str">
        <f>HYPERLINK("http://www.ncbi.nlm.nih.gov/gene/?term=PTPRJ","NCBI")</f>
        <v>NCBI</v>
      </c>
      <c r="F1779">
        <v>5.7999999999999996E-3</v>
      </c>
      <c r="G1779">
        <v>5.6000000000000001E-2</v>
      </c>
      <c r="H1779" s="1" t="str">
        <f>HYPERLINK("http://www.weizmann.ac.il/complex/compphys/software/geview/data/figures/214137_at.png","Figure")</f>
        <v>Figure</v>
      </c>
      <c r="I1779">
        <v>1.0900000000000001</v>
      </c>
      <c r="J1779">
        <v>0.27</v>
      </c>
      <c r="K1779">
        <v>0.9</v>
      </c>
      <c r="L1779">
        <v>9.2999999999999999E-2</v>
      </c>
      <c r="M1779">
        <v>0.82599999999999996</v>
      </c>
      <c r="N1779">
        <v>5.1000000000000004E-3</v>
      </c>
    </row>
    <row r="1780" spans="1:14" x14ac:dyDescent="0.25">
      <c r="A1780" t="s">
        <v>3312</v>
      </c>
      <c r="B1780" t="s">
        <v>1010</v>
      </c>
      <c r="C1780" s="1" t="str">
        <f>HYPERLINK("http://www.genecards.org/cgi-bin/carddisp.pl?gene=PRDX2","GeneCards")</f>
        <v>GeneCards</v>
      </c>
      <c r="D1780" s="1" t="str">
        <f>HYPERLINK("http://genome-euro.ucsc.edu/cgi-bin/hgTracks?position=201006_at","UCSC")</f>
        <v>UCSC</v>
      </c>
      <c r="E1780" s="1" t="str">
        <f>HYPERLINK("http://www.ncbi.nlm.nih.gov/gene/?term=PRDX2","NCBI")</f>
        <v>NCBI</v>
      </c>
      <c r="F1780">
        <v>5.8999999999999999E-3</v>
      </c>
      <c r="G1780">
        <v>5.6000000000000001E-2</v>
      </c>
      <c r="H1780" s="1" t="str">
        <f>HYPERLINK("http://www.weizmann.ac.il/complex/compphys/software/geview/data/figures/201006_at.png","Figure")</f>
        <v>Figure</v>
      </c>
      <c r="I1780">
        <v>1.34</v>
      </c>
      <c r="J1780">
        <v>4.7999999999999996E-3</v>
      </c>
      <c r="K1780">
        <v>1.1000000000000001</v>
      </c>
      <c r="L1780">
        <v>0.36</v>
      </c>
      <c r="M1780">
        <v>0.81899999999999995</v>
      </c>
      <c r="N1780">
        <v>3.4000000000000002E-2</v>
      </c>
    </row>
    <row r="1781" spans="1:14" x14ac:dyDescent="0.25">
      <c r="A1781" t="s">
        <v>3313</v>
      </c>
      <c r="B1781" t="s">
        <v>3314</v>
      </c>
      <c r="C1781" s="1" t="str">
        <f>HYPERLINK("http://www.genecards.org/cgi-bin/carddisp.pl?gene=SREBF2","GeneCards")</f>
        <v>GeneCards</v>
      </c>
      <c r="D1781" s="1" t="str">
        <f>HYPERLINK("http://genome-euro.ucsc.edu/cgi-bin/hgTracks?position=201247_at","UCSC")</f>
        <v>UCSC</v>
      </c>
      <c r="E1781" s="1" t="str">
        <f>HYPERLINK("http://www.ncbi.nlm.nih.gov/gene/?term=SREBF2","NCBI")</f>
        <v>NCBI</v>
      </c>
      <c r="F1781">
        <v>5.8999999999999999E-3</v>
      </c>
      <c r="G1781">
        <v>5.6000000000000001E-2</v>
      </c>
      <c r="H1781" s="1" t="str">
        <f>HYPERLINK("http://www.weizmann.ac.il/complex/compphys/software/geview/data/figures/201247_at.png","Figure")</f>
        <v>Figure</v>
      </c>
      <c r="I1781">
        <v>1.33</v>
      </c>
      <c r="J1781">
        <v>2.7E-2</v>
      </c>
      <c r="K1781">
        <v>0.94099999999999995</v>
      </c>
      <c r="L1781">
        <v>0.75</v>
      </c>
      <c r="M1781">
        <v>0.70899999999999996</v>
      </c>
      <c r="N1781">
        <v>5.1000000000000004E-3</v>
      </c>
    </row>
    <row r="1782" spans="1:14" x14ac:dyDescent="0.25">
      <c r="A1782" t="s">
        <v>3315</v>
      </c>
      <c r="B1782" t="s">
        <v>3316</v>
      </c>
      <c r="C1782" s="1" t="str">
        <f>HYPERLINK("http://www.genecards.org/cgi-bin/carddisp.pl?gene=USF2","GeneCards")</f>
        <v>GeneCards</v>
      </c>
      <c r="D1782" s="1" t="str">
        <f>HYPERLINK("http://genome-euro.ucsc.edu/cgi-bin/hgTracks?position=202152_x_at","UCSC")</f>
        <v>UCSC</v>
      </c>
      <c r="E1782" s="1" t="str">
        <f>HYPERLINK("http://www.ncbi.nlm.nih.gov/gene/?term=USF2","NCBI")</f>
        <v>NCBI</v>
      </c>
      <c r="F1782">
        <v>5.8999999999999999E-3</v>
      </c>
      <c r="G1782">
        <v>5.6000000000000001E-2</v>
      </c>
      <c r="H1782" s="1" t="str">
        <f>HYPERLINK("http://www.weizmann.ac.il/complex/compphys/software/geview/data/figures/202152_x_at.png","Figure")</f>
        <v>Figure</v>
      </c>
      <c r="I1782">
        <v>1.35</v>
      </c>
      <c r="J1782">
        <v>4.4999999999999997E-3</v>
      </c>
      <c r="K1782">
        <v>1.1200000000000001</v>
      </c>
      <c r="L1782">
        <v>0.26</v>
      </c>
      <c r="M1782">
        <v>0.82899999999999996</v>
      </c>
      <c r="N1782">
        <v>4.8000000000000001E-2</v>
      </c>
    </row>
    <row r="1783" spans="1:14" x14ac:dyDescent="0.25">
      <c r="A1783" t="s">
        <v>3317</v>
      </c>
      <c r="B1783" t="s">
        <v>3318</v>
      </c>
      <c r="C1783" s="1" t="str">
        <f>HYPERLINK("http://www.genecards.org/cgi-bin/carddisp.pl?gene=GH1","GeneCards")</f>
        <v>GeneCards</v>
      </c>
      <c r="D1783" s="1" t="str">
        <f>HYPERLINK("http://genome-euro.ucsc.edu/cgi-bin/hgTracks?position=206885_x_at","UCSC")</f>
        <v>UCSC</v>
      </c>
      <c r="E1783" s="1" t="str">
        <f>HYPERLINK("http://www.ncbi.nlm.nih.gov/gene/?term=GH1","NCBI")</f>
        <v>NCBI</v>
      </c>
      <c r="F1783">
        <v>5.8999999999999999E-3</v>
      </c>
      <c r="G1783">
        <v>5.6000000000000001E-2</v>
      </c>
      <c r="H1783" s="1" t="str">
        <f>HYPERLINK("http://www.weizmann.ac.il/complex/compphys/software/geview/data/figures/206885_x_at.png","Figure")</f>
        <v>Figure</v>
      </c>
      <c r="I1783">
        <v>1.54</v>
      </c>
      <c r="J1783">
        <v>4.4000000000000003E-3</v>
      </c>
      <c r="K1783">
        <v>1.19</v>
      </c>
      <c r="L1783">
        <v>0.21</v>
      </c>
      <c r="M1783">
        <v>0.76900000000000002</v>
      </c>
      <c r="N1783">
        <v>5.8999999999999997E-2</v>
      </c>
    </row>
    <row r="1784" spans="1:14" x14ac:dyDescent="0.25">
      <c r="A1784" t="s">
        <v>3319</v>
      </c>
      <c r="B1784" t="s">
        <v>3320</v>
      </c>
      <c r="C1784" s="1" t="str">
        <f>HYPERLINK("http://www.genecards.org/cgi-bin/carddisp.pl?gene=DSE","GeneCards")</f>
        <v>GeneCards</v>
      </c>
      <c r="D1784" s="1" t="str">
        <f>HYPERLINK("http://genome-euro.ucsc.edu/cgi-bin/hgTracks?position=218854_at","UCSC")</f>
        <v>UCSC</v>
      </c>
      <c r="E1784" s="1" t="str">
        <f>HYPERLINK("http://www.ncbi.nlm.nih.gov/gene/?term=DSE","NCBI")</f>
        <v>NCBI</v>
      </c>
      <c r="F1784">
        <v>5.8999999999999999E-3</v>
      </c>
      <c r="G1784">
        <v>5.6000000000000001E-2</v>
      </c>
      <c r="H1784" s="1" t="str">
        <f>HYPERLINK("http://www.weizmann.ac.il/complex/compphys/software/geview/data/figures/218854_at.png","Figure")</f>
        <v>Figure</v>
      </c>
      <c r="I1784">
        <v>0.47699999999999998</v>
      </c>
      <c r="J1784">
        <v>4.4999999999999997E-3</v>
      </c>
      <c r="K1784">
        <v>0.76500000000000001</v>
      </c>
      <c r="L1784">
        <v>0.27</v>
      </c>
      <c r="M1784">
        <v>1.6</v>
      </c>
      <c r="N1784">
        <v>4.5999999999999999E-2</v>
      </c>
    </row>
    <row r="1785" spans="1:14" x14ac:dyDescent="0.25">
      <c r="A1785" t="s">
        <v>3321</v>
      </c>
      <c r="B1785" t="s">
        <v>1688</v>
      </c>
      <c r="C1785" s="1" t="str">
        <f>HYPERLINK("http://www.genecards.org/cgi-bin/carddisp.pl?gene=CD22","GeneCards")</f>
        <v>GeneCards</v>
      </c>
      <c r="D1785" s="1" t="str">
        <f>HYPERLINK("http://genome-euro.ucsc.edu/cgi-bin/hgTracks?position=38521_at","UCSC")</f>
        <v>UCSC</v>
      </c>
      <c r="E1785" s="1" t="str">
        <f>HYPERLINK("http://www.ncbi.nlm.nih.gov/gene/?term=CD22","NCBI")</f>
        <v>NCBI</v>
      </c>
      <c r="F1785">
        <v>5.8999999999999999E-3</v>
      </c>
      <c r="G1785">
        <v>5.6000000000000001E-2</v>
      </c>
      <c r="H1785" s="1" t="str">
        <f>HYPERLINK("http://www.weizmann.ac.il/complex/compphys/software/geview/data/figures/38521_at.png","Figure")</f>
        <v>Figure</v>
      </c>
      <c r="I1785">
        <v>1.65</v>
      </c>
      <c r="J1785">
        <v>0.01</v>
      </c>
      <c r="K1785">
        <v>1.53</v>
      </c>
      <c r="L1785">
        <v>1.2999999999999999E-2</v>
      </c>
      <c r="M1785">
        <v>0.92400000000000004</v>
      </c>
      <c r="N1785">
        <v>0.83</v>
      </c>
    </row>
    <row r="1786" spans="1:14" x14ac:dyDescent="0.25">
      <c r="A1786" t="s">
        <v>3322</v>
      </c>
      <c r="B1786" t="s">
        <v>3323</v>
      </c>
      <c r="C1786" s="1" t="str">
        <f>HYPERLINK("http://www.genecards.org/cgi-bin/carddisp.pl?gene=SFRS8","GeneCards")</f>
        <v>GeneCards</v>
      </c>
      <c r="D1786" s="1" t="str">
        <f>HYPERLINK("http://genome-euro.ucsc.edu/cgi-bin/hgTracks?position=202774_s_at","UCSC")</f>
        <v>UCSC</v>
      </c>
      <c r="E1786" s="1" t="str">
        <f>HYPERLINK("http://www.ncbi.nlm.nih.gov/gene/?term=SFRS8","NCBI")</f>
        <v>NCBI</v>
      </c>
      <c r="F1786">
        <v>5.8999999999999999E-3</v>
      </c>
      <c r="G1786">
        <v>5.6000000000000001E-2</v>
      </c>
      <c r="H1786" s="1" t="str">
        <f>HYPERLINK("http://www.weizmann.ac.il/complex/compphys/software/geview/data/figures/202774_s_at.png","Figure")</f>
        <v>Figure</v>
      </c>
      <c r="I1786">
        <v>1.63</v>
      </c>
      <c r="J1786">
        <v>4.4999999999999997E-3</v>
      </c>
      <c r="K1786">
        <v>1.2</v>
      </c>
      <c r="L1786">
        <v>0.25</v>
      </c>
      <c r="M1786">
        <v>0.73499999999999999</v>
      </c>
      <c r="N1786">
        <v>4.9000000000000002E-2</v>
      </c>
    </row>
    <row r="1787" spans="1:14" x14ac:dyDescent="0.25">
      <c r="A1787" t="s">
        <v>3324</v>
      </c>
      <c r="B1787" t="s">
        <v>3325</v>
      </c>
      <c r="C1787" s="1" t="str">
        <f>HYPERLINK("http://www.genecards.org/cgi-bin/carddisp.pl?gene=TAGLN2","GeneCards")</f>
        <v>GeneCards</v>
      </c>
      <c r="D1787" s="1" t="str">
        <f>HYPERLINK("http://genome-euro.ucsc.edu/cgi-bin/hgTracks?position=210978_s_at","UCSC")</f>
        <v>UCSC</v>
      </c>
      <c r="E1787" s="1" t="str">
        <f>HYPERLINK("http://www.ncbi.nlm.nih.gov/gene/?term=TAGLN2","NCBI")</f>
        <v>NCBI</v>
      </c>
      <c r="F1787">
        <v>5.8999999999999999E-3</v>
      </c>
      <c r="G1787">
        <v>5.6000000000000001E-2</v>
      </c>
      <c r="H1787" s="1" t="str">
        <f>HYPERLINK("http://www.weizmann.ac.il/complex/compphys/software/geview/data/figures/210978_s_at.png","Figure")</f>
        <v>Figure</v>
      </c>
      <c r="I1787">
        <v>1.44</v>
      </c>
      <c r="J1787">
        <v>5.1000000000000004E-3</v>
      </c>
      <c r="K1787">
        <v>1.25</v>
      </c>
      <c r="L1787">
        <v>4.7E-2</v>
      </c>
      <c r="M1787">
        <v>0.86399999999999999</v>
      </c>
      <c r="N1787">
        <v>0.26</v>
      </c>
    </row>
    <row r="1788" spans="1:14" x14ac:dyDescent="0.25">
      <c r="A1788" t="s">
        <v>3326</v>
      </c>
      <c r="B1788" t="s">
        <v>3327</v>
      </c>
      <c r="C1788" s="1" t="str">
        <f>HYPERLINK("http://www.genecards.org/cgi-bin/carddisp.pl?gene=C18orf10","GeneCards")</f>
        <v>GeneCards</v>
      </c>
      <c r="D1788" s="1" t="str">
        <f>HYPERLINK("http://genome-euro.ucsc.edu/cgi-bin/hgTracks?position=213616_at","UCSC")</f>
        <v>UCSC</v>
      </c>
      <c r="E1788" s="1" t="str">
        <f>HYPERLINK("http://www.ncbi.nlm.nih.gov/gene/?term=C18orf10","NCBI")</f>
        <v>NCBI</v>
      </c>
      <c r="F1788">
        <v>5.8999999999999999E-3</v>
      </c>
      <c r="G1788">
        <v>5.6000000000000001E-2</v>
      </c>
      <c r="H1788" s="1" t="str">
        <f>HYPERLINK("http://www.weizmann.ac.il/complex/compphys/software/geview/data/figures/213616_at.png","Figure")</f>
        <v>Figure</v>
      </c>
      <c r="I1788">
        <v>0.51700000000000002</v>
      </c>
      <c r="J1788">
        <v>2.1999999999999999E-2</v>
      </c>
      <c r="K1788">
        <v>1.1100000000000001</v>
      </c>
      <c r="L1788">
        <v>0.84</v>
      </c>
      <c r="M1788">
        <v>2.16</v>
      </c>
      <c r="N1788">
        <v>5.4999999999999997E-3</v>
      </c>
    </row>
    <row r="1789" spans="1:14" x14ac:dyDescent="0.25">
      <c r="A1789" t="s">
        <v>3328</v>
      </c>
      <c r="B1789" t="s">
        <v>3329</v>
      </c>
      <c r="C1789" s="1" t="str">
        <f>HYPERLINK("http://www.genecards.org/cgi-bin/carddisp.pl?gene=TMEM109","GeneCards")</f>
        <v>GeneCards</v>
      </c>
      <c r="D1789" s="1" t="str">
        <f>HYPERLINK("http://genome-euro.ucsc.edu/cgi-bin/hgTracks?position=201361_at","UCSC")</f>
        <v>UCSC</v>
      </c>
      <c r="E1789" s="1" t="str">
        <f>HYPERLINK("http://www.ncbi.nlm.nih.gov/gene/?term=TMEM109","NCBI")</f>
        <v>NCBI</v>
      </c>
      <c r="F1789">
        <v>5.8999999999999999E-3</v>
      </c>
      <c r="G1789">
        <v>5.6000000000000001E-2</v>
      </c>
      <c r="H1789" s="1" t="str">
        <f>HYPERLINK("http://www.weizmann.ac.il/complex/compphys/software/geview/data/figures/201361_at.png","Figure")</f>
        <v>Figure</v>
      </c>
      <c r="I1789">
        <v>0.98399999999999999</v>
      </c>
      <c r="J1789">
        <v>0.99</v>
      </c>
      <c r="K1789">
        <v>1.38</v>
      </c>
      <c r="L1789">
        <v>1.4E-2</v>
      </c>
      <c r="M1789">
        <v>1.4</v>
      </c>
      <c r="N1789">
        <v>1.6E-2</v>
      </c>
    </row>
    <row r="1790" spans="1:14" x14ac:dyDescent="0.25">
      <c r="A1790" t="s">
        <v>3330</v>
      </c>
      <c r="B1790" t="s">
        <v>3331</v>
      </c>
      <c r="C1790" s="1" t="str">
        <f>HYPERLINK("http://www.genecards.org/cgi-bin/carddisp.pl?gene=GCOM1 /// GRINL1A","GeneCards")</f>
        <v>GeneCards</v>
      </c>
      <c r="D1790" s="1" t="str">
        <f>HYPERLINK("http://genome-euro.ucsc.edu/cgi-bin/hgTracks?position=212241_at","UCSC")</f>
        <v>UCSC</v>
      </c>
      <c r="E1790" s="1" t="str">
        <f>HYPERLINK("http://www.ncbi.nlm.nih.gov/gene/?term=GCOM1 /// GRINL1A","NCBI")</f>
        <v>NCBI</v>
      </c>
      <c r="F1790">
        <v>5.8999999999999999E-3</v>
      </c>
      <c r="G1790">
        <v>5.6000000000000001E-2</v>
      </c>
      <c r="H1790" s="1" t="str">
        <f>HYPERLINK("http://www.weizmann.ac.il/complex/compphys/software/geview/data/figures/212241_at.png","Figure")</f>
        <v>Figure</v>
      </c>
      <c r="I1790">
        <v>0.90400000000000003</v>
      </c>
      <c r="J1790">
        <v>0.9</v>
      </c>
      <c r="K1790">
        <v>0.49199999999999999</v>
      </c>
      <c r="L1790">
        <v>8.3000000000000001E-3</v>
      </c>
      <c r="M1790">
        <v>0.54400000000000004</v>
      </c>
      <c r="N1790">
        <v>3.2000000000000001E-2</v>
      </c>
    </row>
    <row r="1791" spans="1:14" x14ac:dyDescent="0.25">
      <c r="A1791" t="s">
        <v>3332</v>
      </c>
      <c r="B1791" t="s">
        <v>3333</v>
      </c>
      <c r="C1791" s="1" t="str">
        <f>HYPERLINK("http://www.genecards.org/cgi-bin/carddisp.pl?gene=TF","GeneCards")</f>
        <v>GeneCards</v>
      </c>
      <c r="D1791" s="1" t="str">
        <f>HYPERLINK("http://genome-euro.ucsc.edu/cgi-bin/hgTracks?position=214064_at","UCSC")</f>
        <v>UCSC</v>
      </c>
      <c r="E1791" s="1" t="str">
        <f>HYPERLINK("http://www.ncbi.nlm.nih.gov/gene/?term=TF","NCBI")</f>
        <v>NCBI</v>
      </c>
      <c r="F1791">
        <v>5.8999999999999999E-3</v>
      </c>
      <c r="G1791">
        <v>5.6000000000000001E-2</v>
      </c>
      <c r="H1791" s="1" t="str">
        <f>HYPERLINK("http://www.weizmann.ac.il/complex/compphys/software/geview/data/figures/214064_at.png","Figure")</f>
        <v>Figure</v>
      </c>
      <c r="I1791">
        <v>1.34</v>
      </c>
      <c r="J1791">
        <v>4.8999999999999998E-3</v>
      </c>
      <c r="K1791">
        <v>1.1000000000000001</v>
      </c>
      <c r="L1791">
        <v>0.37</v>
      </c>
      <c r="M1791">
        <v>0.81699999999999995</v>
      </c>
      <c r="N1791">
        <v>3.3000000000000002E-2</v>
      </c>
    </row>
    <row r="1792" spans="1:14" x14ac:dyDescent="0.25">
      <c r="A1792" t="s">
        <v>3334</v>
      </c>
      <c r="B1792" t="s">
        <v>3335</v>
      </c>
      <c r="C1792" s="1" t="str">
        <f>HYPERLINK("http://www.genecards.org/cgi-bin/carddisp.pl?gene=KCNJ5","GeneCards")</f>
        <v>GeneCards</v>
      </c>
      <c r="D1792" s="1" t="str">
        <f>HYPERLINK("http://genome-euro.ucsc.edu/cgi-bin/hgTracks?position=208404_x_at","UCSC")</f>
        <v>UCSC</v>
      </c>
      <c r="E1792" s="1" t="str">
        <f>HYPERLINK("http://www.ncbi.nlm.nih.gov/gene/?term=KCNJ5","NCBI")</f>
        <v>NCBI</v>
      </c>
      <c r="F1792">
        <v>5.8999999999999999E-3</v>
      </c>
      <c r="G1792">
        <v>5.6000000000000001E-2</v>
      </c>
      <c r="H1792" s="1" t="str">
        <f>HYPERLINK("http://www.weizmann.ac.il/complex/compphys/software/geview/data/figures/208404_x_at.png","Figure")</f>
        <v>Figure</v>
      </c>
      <c r="I1792">
        <v>1.41</v>
      </c>
      <c r="J1792">
        <v>4.4000000000000003E-3</v>
      </c>
      <c r="K1792">
        <v>1.1599999999999999</v>
      </c>
      <c r="L1792">
        <v>0.17</v>
      </c>
      <c r="M1792">
        <v>0.82199999999999995</v>
      </c>
      <c r="N1792">
        <v>7.2999999999999995E-2</v>
      </c>
    </row>
    <row r="1793" spans="1:14" x14ac:dyDescent="0.25">
      <c r="A1793" t="s">
        <v>3336</v>
      </c>
      <c r="B1793" t="s">
        <v>3337</v>
      </c>
      <c r="C1793" s="1" t="str">
        <f>HYPERLINK("http://www.genecards.org/cgi-bin/carddisp.pl?gene=NRIP1","GeneCards")</f>
        <v>GeneCards</v>
      </c>
      <c r="D1793" s="1" t="str">
        <f>HYPERLINK("http://genome-euro.ucsc.edu/cgi-bin/hgTracks?position=202600_s_at","UCSC")</f>
        <v>UCSC</v>
      </c>
      <c r="E1793" s="1" t="str">
        <f>HYPERLINK("http://www.ncbi.nlm.nih.gov/gene/?term=NRIP1","NCBI")</f>
        <v>NCBI</v>
      </c>
      <c r="F1793">
        <v>5.8999999999999999E-3</v>
      </c>
      <c r="G1793">
        <v>5.6000000000000001E-2</v>
      </c>
      <c r="H1793" s="1" t="str">
        <f>HYPERLINK("http://www.weizmann.ac.il/complex/compphys/software/geview/data/figures/202600_s_at.png","Figure")</f>
        <v>Figure</v>
      </c>
      <c r="I1793">
        <v>0.41499999999999998</v>
      </c>
      <c r="J1793">
        <v>7.9000000000000008E-3</v>
      </c>
      <c r="K1793">
        <v>0.51200000000000001</v>
      </c>
      <c r="L1793">
        <v>1.9E-2</v>
      </c>
      <c r="M1793">
        <v>1.23</v>
      </c>
      <c r="N1793">
        <v>0.63</v>
      </c>
    </row>
    <row r="1794" spans="1:14" x14ac:dyDescent="0.25">
      <c r="A1794" t="s">
        <v>3338</v>
      </c>
      <c r="B1794" t="s">
        <v>1885</v>
      </c>
      <c r="C1794" s="1" t="str">
        <f>HYPERLINK("http://www.genecards.org/cgi-bin/carddisp.pl?gene=GNA11","GeneCards")</f>
        <v>GeneCards</v>
      </c>
      <c r="D1794" s="1" t="str">
        <f>HYPERLINK("http://genome-euro.ucsc.edu/cgi-bin/hgTracks?position=564_at","UCSC")</f>
        <v>UCSC</v>
      </c>
      <c r="E1794" s="1" t="str">
        <f>HYPERLINK("http://www.ncbi.nlm.nih.gov/gene/?term=GNA11","NCBI")</f>
        <v>NCBI</v>
      </c>
      <c r="F1794">
        <v>5.8999999999999999E-3</v>
      </c>
      <c r="G1794">
        <v>5.6000000000000001E-2</v>
      </c>
      <c r="H1794" s="1" t="str">
        <f>HYPERLINK("http://www.weizmann.ac.il/complex/compphys/software/geview/data/figures/564_at.png","Figure")</f>
        <v>Figure</v>
      </c>
      <c r="I1794">
        <v>0.86</v>
      </c>
      <c r="J1794">
        <v>0.16</v>
      </c>
      <c r="K1794">
        <v>1.1399999999999999</v>
      </c>
      <c r="L1794">
        <v>0.16</v>
      </c>
      <c r="M1794">
        <v>1.33</v>
      </c>
      <c r="N1794">
        <v>4.5999999999999999E-3</v>
      </c>
    </row>
    <row r="1795" spans="1:14" x14ac:dyDescent="0.25">
      <c r="A1795" t="s">
        <v>3339</v>
      </c>
      <c r="B1795" t="s">
        <v>3340</v>
      </c>
      <c r="C1795" s="1" t="str">
        <f>HYPERLINK("http://www.genecards.org/cgi-bin/carddisp.pl?gene=MVD","GeneCards")</f>
        <v>GeneCards</v>
      </c>
      <c r="D1795" s="1" t="str">
        <f>HYPERLINK("http://genome-euro.ucsc.edu/cgi-bin/hgTracks?position=203027_s_at","UCSC")</f>
        <v>UCSC</v>
      </c>
      <c r="E1795" s="1" t="str">
        <f>HYPERLINK("http://www.ncbi.nlm.nih.gov/gene/?term=MVD","NCBI")</f>
        <v>NCBI</v>
      </c>
      <c r="F1795">
        <v>5.8999999999999999E-3</v>
      </c>
      <c r="G1795">
        <v>5.6000000000000001E-2</v>
      </c>
      <c r="H1795" s="1" t="str">
        <f>HYPERLINK("http://www.weizmann.ac.il/complex/compphys/software/geview/data/figures/203027_s_at.png","Figure")</f>
        <v>Figure</v>
      </c>
      <c r="I1795">
        <v>1.33</v>
      </c>
      <c r="J1795">
        <v>6.1999999999999998E-3</v>
      </c>
      <c r="K1795">
        <v>1.06</v>
      </c>
      <c r="L1795">
        <v>0.65</v>
      </c>
      <c r="M1795">
        <v>0.79900000000000004</v>
      </c>
      <c r="N1795">
        <v>1.7999999999999999E-2</v>
      </c>
    </row>
    <row r="1796" spans="1:14" x14ac:dyDescent="0.25">
      <c r="A1796" t="s">
        <v>3341</v>
      </c>
      <c r="B1796" t="s">
        <v>3342</v>
      </c>
      <c r="C1796" s="1" t="str">
        <f>HYPERLINK("http://www.genecards.org/cgi-bin/carddisp.pl?gene=HSPD1","GeneCards")</f>
        <v>GeneCards</v>
      </c>
      <c r="D1796" s="1" t="str">
        <f>HYPERLINK("http://genome-euro.ucsc.edu/cgi-bin/hgTracks?position=200806_s_at","UCSC")</f>
        <v>UCSC</v>
      </c>
      <c r="E1796" s="1" t="str">
        <f>HYPERLINK("http://www.ncbi.nlm.nih.gov/gene/?term=HSPD1","NCBI")</f>
        <v>NCBI</v>
      </c>
      <c r="F1796">
        <v>6.0000000000000001E-3</v>
      </c>
      <c r="G1796">
        <v>5.6000000000000001E-2</v>
      </c>
      <c r="H1796" s="1" t="str">
        <f>HYPERLINK("http://www.weizmann.ac.il/complex/compphys/software/geview/data/figures/200806_s_at.png","Figure")</f>
        <v>Figure</v>
      </c>
      <c r="I1796">
        <v>1.54</v>
      </c>
      <c r="J1796">
        <v>9.4E-2</v>
      </c>
      <c r="K1796">
        <v>1.92</v>
      </c>
      <c r="L1796">
        <v>4.4999999999999997E-3</v>
      </c>
      <c r="M1796">
        <v>1.24</v>
      </c>
      <c r="N1796">
        <v>0.46</v>
      </c>
    </row>
    <row r="1797" spans="1:14" x14ac:dyDescent="0.25">
      <c r="A1797" t="s">
        <v>3343</v>
      </c>
      <c r="B1797" t="s">
        <v>3344</v>
      </c>
      <c r="C1797" s="1" t="str">
        <f>HYPERLINK("http://www.genecards.org/cgi-bin/carddisp.pl?gene=CLCN6","GeneCards")</f>
        <v>GeneCards</v>
      </c>
      <c r="D1797" s="1" t="str">
        <f>HYPERLINK("http://genome-euro.ucsc.edu/cgi-bin/hgTracks?position=203950_s_at","UCSC")</f>
        <v>UCSC</v>
      </c>
      <c r="E1797" s="1" t="str">
        <f>HYPERLINK("http://www.ncbi.nlm.nih.gov/gene/?term=CLCN6","NCBI")</f>
        <v>NCBI</v>
      </c>
      <c r="F1797">
        <v>6.0000000000000001E-3</v>
      </c>
      <c r="G1797">
        <v>5.6000000000000001E-2</v>
      </c>
      <c r="H1797" s="1" t="str">
        <f>HYPERLINK("http://www.weizmann.ac.il/complex/compphys/software/geview/data/figures/203950_s_at.png","Figure")</f>
        <v>Figure</v>
      </c>
      <c r="I1797">
        <v>1.33</v>
      </c>
      <c r="J1797">
        <v>0.12</v>
      </c>
      <c r="K1797">
        <v>0.81100000000000005</v>
      </c>
      <c r="L1797">
        <v>0.22</v>
      </c>
      <c r="M1797">
        <v>0.60899999999999999</v>
      </c>
      <c r="N1797">
        <v>4.4999999999999997E-3</v>
      </c>
    </row>
    <row r="1798" spans="1:14" x14ac:dyDescent="0.25">
      <c r="A1798" t="s">
        <v>3345</v>
      </c>
      <c r="B1798" t="s">
        <v>2306</v>
      </c>
      <c r="C1798" s="1" t="str">
        <f>HYPERLINK("http://www.genecards.org/cgi-bin/carddisp.pl?gene=AP2A2","GeneCards")</f>
        <v>GeneCards</v>
      </c>
      <c r="D1798" s="1" t="str">
        <f>HYPERLINK("http://genome-euro.ucsc.edu/cgi-bin/hgTracks?position=211779_x_at","UCSC")</f>
        <v>UCSC</v>
      </c>
      <c r="E1798" s="1" t="str">
        <f>HYPERLINK("http://www.ncbi.nlm.nih.gov/gene/?term=AP2A2","NCBI")</f>
        <v>NCBI</v>
      </c>
      <c r="F1798">
        <v>6.0000000000000001E-3</v>
      </c>
      <c r="G1798">
        <v>5.7000000000000002E-2</v>
      </c>
      <c r="H1798" s="1" t="str">
        <f>HYPERLINK("http://www.weizmann.ac.il/complex/compphys/software/geview/data/figures/211779_x_at.png","Figure")</f>
        <v>Figure</v>
      </c>
      <c r="I1798">
        <v>1.28</v>
      </c>
      <c r="J1798">
        <v>0.28000000000000003</v>
      </c>
      <c r="K1798">
        <v>1.69</v>
      </c>
      <c r="L1798">
        <v>4.7000000000000002E-3</v>
      </c>
      <c r="M1798">
        <v>1.32</v>
      </c>
      <c r="N1798">
        <v>0.17</v>
      </c>
    </row>
    <row r="1799" spans="1:14" x14ac:dyDescent="0.25">
      <c r="A1799" t="s">
        <v>3346</v>
      </c>
      <c r="B1799" t="s">
        <v>3347</v>
      </c>
      <c r="C1799" s="1" t="str">
        <f>HYPERLINK("http://www.genecards.org/cgi-bin/carddisp.pl?gene=CAPN9","GeneCards")</f>
        <v>GeneCards</v>
      </c>
      <c r="D1799" s="1" t="str">
        <f>HYPERLINK("http://genome-euro.ucsc.edu/cgi-bin/hgTracks?position=208063_s_at","UCSC")</f>
        <v>UCSC</v>
      </c>
      <c r="E1799" s="1" t="str">
        <f>HYPERLINK("http://www.ncbi.nlm.nih.gov/gene/?term=CAPN9","NCBI")</f>
        <v>NCBI</v>
      </c>
      <c r="F1799">
        <v>6.0000000000000001E-3</v>
      </c>
      <c r="G1799">
        <v>5.7000000000000002E-2</v>
      </c>
      <c r="H1799" s="1" t="str">
        <f>HYPERLINK("http://www.weizmann.ac.il/complex/compphys/software/geview/data/figures/208063_s_at.png","Figure")</f>
        <v>Figure</v>
      </c>
      <c r="I1799">
        <v>1.2</v>
      </c>
      <c r="J1799">
        <v>5.1999999999999998E-3</v>
      </c>
      <c r="K1799">
        <v>1.05</v>
      </c>
      <c r="L1799">
        <v>0.44</v>
      </c>
      <c r="M1799">
        <v>0.878</v>
      </c>
      <c r="N1799">
        <v>2.8000000000000001E-2</v>
      </c>
    </row>
    <row r="1800" spans="1:14" x14ac:dyDescent="0.25">
      <c r="A1800" t="s">
        <v>3348</v>
      </c>
      <c r="B1800" t="s">
        <v>3349</v>
      </c>
      <c r="C1800" s="1" t="str">
        <f>HYPERLINK("http://www.genecards.org/cgi-bin/carddisp.pl?gene=EEF1D","GeneCards")</f>
        <v>GeneCards</v>
      </c>
      <c r="D1800" s="1" t="str">
        <f>HYPERLINK("http://genome-euro.ucsc.edu/cgi-bin/hgTracks?position=214395_x_at","UCSC")</f>
        <v>UCSC</v>
      </c>
      <c r="E1800" s="1" t="str">
        <f>HYPERLINK("http://www.ncbi.nlm.nih.gov/gene/?term=EEF1D","NCBI")</f>
        <v>NCBI</v>
      </c>
      <c r="F1800">
        <v>6.0000000000000001E-3</v>
      </c>
      <c r="G1800">
        <v>5.7000000000000002E-2</v>
      </c>
      <c r="H1800" s="1" t="str">
        <f>HYPERLINK("http://www.weizmann.ac.il/complex/compphys/software/geview/data/figures/214395_x_at.png","Figure")</f>
        <v>Figure</v>
      </c>
      <c r="I1800">
        <v>2.2799999999999998</v>
      </c>
      <c r="J1800">
        <v>5.8999999999999999E-3</v>
      </c>
      <c r="K1800">
        <v>1.72</v>
      </c>
      <c r="L1800">
        <v>3.3000000000000002E-2</v>
      </c>
      <c r="M1800">
        <v>0.755</v>
      </c>
      <c r="N1800">
        <v>0.38</v>
      </c>
    </row>
    <row r="1801" spans="1:14" x14ac:dyDescent="0.25">
      <c r="A1801" t="s">
        <v>3350</v>
      </c>
      <c r="B1801" t="s">
        <v>3351</v>
      </c>
      <c r="C1801" s="1" t="str">
        <f>HYPERLINK("http://www.genecards.org/cgi-bin/carddisp.pl?gene=TOM1L2","GeneCards")</f>
        <v>GeneCards</v>
      </c>
      <c r="D1801" s="1" t="str">
        <f>HYPERLINK("http://genome-euro.ucsc.edu/cgi-bin/hgTracks?position=214840_at","UCSC")</f>
        <v>UCSC</v>
      </c>
      <c r="E1801" s="1" t="str">
        <f>HYPERLINK("http://www.ncbi.nlm.nih.gov/gene/?term=TOM1L2","NCBI")</f>
        <v>NCBI</v>
      </c>
      <c r="F1801">
        <v>6.0000000000000001E-3</v>
      </c>
      <c r="G1801">
        <v>5.7000000000000002E-2</v>
      </c>
      <c r="H1801" s="1" t="str">
        <f>HYPERLINK("http://www.weizmann.ac.il/complex/compphys/software/geview/data/figures/214840_at.png","Figure")</f>
        <v>Figure</v>
      </c>
      <c r="I1801">
        <v>1.36</v>
      </c>
      <c r="J1801">
        <v>6.1999999999999998E-3</v>
      </c>
      <c r="K1801">
        <v>1.07</v>
      </c>
      <c r="L1801">
        <v>0.64</v>
      </c>
      <c r="M1801">
        <v>0.78700000000000003</v>
      </c>
      <c r="N1801">
        <v>1.9E-2</v>
      </c>
    </row>
    <row r="1802" spans="1:14" x14ac:dyDescent="0.25">
      <c r="A1802" t="s">
        <v>3352</v>
      </c>
      <c r="B1802" t="s">
        <v>3353</v>
      </c>
      <c r="C1802" s="1" t="str">
        <f>HYPERLINK("http://www.genecards.org/cgi-bin/carddisp.pl?gene=PSD3","GeneCards")</f>
        <v>GeneCards</v>
      </c>
      <c r="D1802" s="1" t="str">
        <f>HYPERLINK("http://genome-euro.ucsc.edu/cgi-bin/hgTracks?position=203355_s_at","UCSC")</f>
        <v>UCSC</v>
      </c>
      <c r="E1802" s="1" t="str">
        <f>HYPERLINK("http://www.ncbi.nlm.nih.gov/gene/?term=PSD3","NCBI")</f>
        <v>NCBI</v>
      </c>
      <c r="F1802">
        <v>6.0000000000000001E-3</v>
      </c>
      <c r="G1802">
        <v>5.7000000000000002E-2</v>
      </c>
      <c r="H1802" s="1" t="str">
        <f>HYPERLINK("http://www.weizmann.ac.il/complex/compphys/software/geview/data/figures/203355_s_at.png","Figure")</f>
        <v>Figure</v>
      </c>
      <c r="I1802">
        <v>0.42899999999999999</v>
      </c>
      <c r="J1802">
        <v>7.3999999999999996E-2</v>
      </c>
      <c r="K1802">
        <v>0.30299999999999999</v>
      </c>
      <c r="L1802">
        <v>4.7999999999999996E-3</v>
      </c>
      <c r="M1802">
        <v>0.70799999999999996</v>
      </c>
      <c r="N1802">
        <v>0.56000000000000005</v>
      </c>
    </row>
    <row r="1803" spans="1:14" x14ac:dyDescent="0.25">
      <c r="A1803" t="s">
        <v>3354</v>
      </c>
      <c r="B1803" t="s">
        <v>3355</v>
      </c>
      <c r="C1803" s="1" t="str">
        <f>HYPERLINK("http://www.genecards.org/cgi-bin/carddisp.pl?gene=DDIT4","GeneCards")</f>
        <v>GeneCards</v>
      </c>
      <c r="D1803" s="1" t="str">
        <f>HYPERLINK("http://genome-euro.ucsc.edu/cgi-bin/hgTracks?position=202887_s_at","UCSC")</f>
        <v>UCSC</v>
      </c>
      <c r="E1803" s="1" t="str">
        <f>HYPERLINK("http://www.ncbi.nlm.nih.gov/gene/?term=DDIT4","NCBI")</f>
        <v>NCBI</v>
      </c>
      <c r="F1803">
        <v>6.1000000000000004E-3</v>
      </c>
      <c r="G1803">
        <v>5.7000000000000002E-2</v>
      </c>
      <c r="H1803" s="1" t="str">
        <f>HYPERLINK("http://www.weizmann.ac.il/complex/compphys/software/geview/data/figures/202887_s_at.png","Figure")</f>
        <v>Figure</v>
      </c>
      <c r="I1803">
        <v>0.23599999999999999</v>
      </c>
      <c r="J1803">
        <v>6.7999999999999996E-3</v>
      </c>
      <c r="K1803">
        <v>0.77</v>
      </c>
      <c r="L1803">
        <v>0.73</v>
      </c>
      <c r="M1803">
        <v>3.27</v>
      </c>
      <c r="N1803">
        <v>1.6E-2</v>
      </c>
    </row>
    <row r="1804" spans="1:14" x14ac:dyDescent="0.25">
      <c r="A1804" t="s">
        <v>3356</v>
      </c>
      <c r="B1804" t="s">
        <v>3357</v>
      </c>
      <c r="C1804" s="1" t="str">
        <f>HYPERLINK("http://www.genecards.org/cgi-bin/carddisp.pl?gene=CORO2A","GeneCards")</f>
        <v>GeneCards</v>
      </c>
      <c r="D1804" s="1" t="str">
        <f>HYPERLINK("http://genome-euro.ucsc.edu/cgi-bin/hgTracks?position=205538_at","UCSC")</f>
        <v>UCSC</v>
      </c>
      <c r="E1804" s="1" t="str">
        <f>HYPERLINK("http://www.ncbi.nlm.nih.gov/gene/?term=CORO2A","NCBI")</f>
        <v>NCBI</v>
      </c>
      <c r="F1804">
        <v>6.1000000000000004E-3</v>
      </c>
      <c r="G1804">
        <v>5.7000000000000002E-2</v>
      </c>
      <c r="H1804" s="1" t="str">
        <f>HYPERLINK("http://www.weizmann.ac.il/complex/compphys/software/geview/data/figures/205538_at.png","Figure")</f>
        <v>Figure</v>
      </c>
      <c r="I1804">
        <v>1.19</v>
      </c>
      <c r="J1804">
        <v>2.4E-2</v>
      </c>
      <c r="K1804">
        <v>0.97</v>
      </c>
      <c r="L1804">
        <v>0.81</v>
      </c>
      <c r="M1804">
        <v>0.81399999999999995</v>
      </c>
      <c r="N1804">
        <v>5.5999999999999999E-3</v>
      </c>
    </row>
    <row r="1805" spans="1:14" x14ac:dyDescent="0.25">
      <c r="A1805" t="s">
        <v>3358</v>
      </c>
      <c r="B1805" t="s">
        <v>3359</v>
      </c>
      <c r="C1805" s="1" t="str">
        <f>HYPERLINK("http://www.genecards.org/cgi-bin/carddisp.pl?gene=BTAF1","GeneCards")</f>
        <v>GeneCards</v>
      </c>
      <c r="D1805" s="1" t="str">
        <f>HYPERLINK("http://genome-euro.ucsc.edu/cgi-bin/hgTracks?position=209430_at","UCSC")</f>
        <v>UCSC</v>
      </c>
      <c r="E1805" s="1" t="str">
        <f>HYPERLINK("http://www.ncbi.nlm.nih.gov/gene/?term=BTAF1","NCBI")</f>
        <v>NCBI</v>
      </c>
      <c r="F1805">
        <v>6.1000000000000004E-3</v>
      </c>
      <c r="G1805">
        <v>5.7000000000000002E-2</v>
      </c>
      <c r="H1805" s="1" t="str">
        <f>HYPERLINK("http://www.weizmann.ac.il/complex/compphys/software/geview/data/figures/209430_at.png","Figure")</f>
        <v>Figure</v>
      </c>
      <c r="I1805">
        <v>0.5</v>
      </c>
      <c r="J1805">
        <v>6.1999999999999998E-3</v>
      </c>
      <c r="K1805">
        <v>0.86299999999999999</v>
      </c>
      <c r="L1805">
        <v>0.64</v>
      </c>
      <c r="M1805">
        <v>1.73</v>
      </c>
      <c r="N1805">
        <v>1.9E-2</v>
      </c>
    </row>
    <row r="1806" spans="1:14" x14ac:dyDescent="0.25">
      <c r="A1806" t="s">
        <v>3360</v>
      </c>
      <c r="B1806" t="s">
        <v>1136</v>
      </c>
      <c r="C1806" s="1" t="str">
        <f>HYPERLINK("http://www.genecards.org/cgi-bin/carddisp.pl?gene=SPAG6","GeneCards")</f>
        <v>GeneCards</v>
      </c>
      <c r="D1806" s="1" t="str">
        <f>HYPERLINK("http://genome-euro.ucsc.edu/cgi-bin/hgTracks?position=210033_s_at","UCSC")</f>
        <v>UCSC</v>
      </c>
      <c r="E1806" s="1" t="str">
        <f>HYPERLINK("http://www.ncbi.nlm.nih.gov/gene/?term=SPAG6","NCBI")</f>
        <v>NCBI</v>
      </c>
      <c r="F1806">
        <v>6.1000000000000004E-3</v>
      </c>
      <c r="G1806">
        <v>5.7000000000000002E-2</v>
      </c>
      <c r="H1806" s="1" t="str">
        <f>HYPERLINK("http://www.weizmann.ac.il/complex/compphys/software/geview/data/figures/210033_s_at.png","Figure")</f>
        <v>Figure</v>
      </c>
      <c r="I1806">
        <v>1.65</v>
      </c>
      <c r="J1806">
        <v>1.9E-2</v>
      </c>
      <c r="K1806">
        <v>1.65</v>
      </c>
      <c r="L1806">
        <v>8.0000000000000002E-3</v>
      </c>
      <c r="M1806">
        <v>1</v>
      </c>
      <c r="N1806">
        <v>1</v>
      </c>
    </row>
    <row r="1807" spans="1:14" x14ac:dyDescent="0.25">
      <c r="A1807" t="s">
        <v>3361</v>
      </c>
      <c r="B1807" t="s">
        <v>3362</v>
      </c>
      <c r="C1807" s="1" t="str">
        <f>HYPERLINK("http://www.genecards.org/cgi-bin/carddisp.pl?gene=GIYD1 /// GIYD2","GeneCards")</f>
        <v>GeneCards</v>
      </c>
      <c r="D1807" s="1" t="str">
        <f>HYPERLINK("http://genome-euro.ucsc.edu/cgi-bin/hgTracks?position=218317_x_at","UCSC")</f>
        <v>UCSC</v>
      </c>
      <c r="E1807" s="1" t="str">
        <f>HYPERLINK("http://www.ncbi.nlm.nih.gov/gene/?term=GIYD1 /// GIYD2","NCBI")</f>
        <v>NCBI</v>
      </c>
      <c r="F1807">
        <v>6.1000000000000004E-3</v>
      </c>
      <c r="G1807">
        <v>5.7000000000000002E-2</v>
      </c>
      <c r="H1807" s="1" t="str">
        <f>HYPERLINK("http://www.weizmann.ac.il/complex/compphys/software/geview/data/figures/218317_x_at.png","Figure")</f>
        <v>Figure</v>
      </c>
      <c r="I1807">
        <v>1.44</v>
      </c>
      <c r="J1807">
        <v>7.0000000000000007E-2</v>
      </c>
      <c r="K1807">
        <v>1.66</v>
      </c>
      <c r="L1807">
        <v>4.7999999999999996E-3</v>
      </c>
      <c r="M1807">
        <v>1.1499999999999999</v>
      </c>
      <c r="N1807">
        <v>0.57999999999999996</v>
      </c>
    </row>
    <row r="1808" spans="1:14" x14ac:dyDescent="0.25">
      <c r="A1808" t="s">
        <v>3363</v>
      </c>
      <c r="B1808" t="s">
        <v>1273</v>
      </c>
      <c r="C1808" s="1" t="str">
        <f>HYPERLINK("http://www.genecards.org/cgi-bin/carddisp.pl?gene=ACTG1","GeneCards")</f>
        <v>GeneCards</v>
      </c>
      <c r="D1808" s="1" t="str">
        <f>HYPERLINK("http://genome-euro.ucsc.edu/cgi-bin/hgTracks?position=211995_x_at","UCSC")</f>
        <v>UCSC</v>
      </c>
      <c r="E1808" s="1" t="str">
        <f>HYPERLINK("http://www.ncbi.nlm.nih.gov/gene/?term=ACTG1","NCBI")</f>
        <v>NCBI</v>
      </c>
      <c r="F1808">
        <v>6.1000000000000004E-3</v>
      </c>
      <c r="G1808">
        <v>5.7000000000000002E-2</v>
      </c>
      <c r="H1808" s="1" t="str">
        <f>HYPERLINK("http://www.weizmann.ac.il/complex/compphys/software/geview/data/figures/211995_x_at.png","Figure")</f>
        <v>Figure</v>
      </c>
      <c r="I1808">
        <v>1.1100000000000001</v>
      </c>
      <c r="J1808">
        <v>0.48</v>
      </c>
      <c r="K1808">
        <v>1.35</v>
      </c>
      <c r="L1808">
        <v>5.4999999999999997E-3</v>
      </c>
      <c r="M1808">
        <v>1.22</v>
      </c>
      <c r="N1808">
        <v>8.8999999999999996E-2</v>
      </c>
    </row>
    <row r="1809" spans="1:14" x14ac:dyDescent="0.25">
      <c r="A1809" t="s">
        <v>3364</v>
      </c>
      <c r="B1809" t="s">
        <v>3365</v>
      </c>
      <c r="C1809" s="1" t="str">
        <f>HYPERLINK("http://www.genecards.org/cgi-bin/carddisp.pl?gene=HECW1","GeneCards")</f>
        <v>GeneCards</v>
      </c>
      <c r="D1809" s="1" t="str">
        <f>HYPERLINK("http://genome-euro.ucsc.edu/cgi-bin/hgTracks?position=215584_at","UCSC")</f>
        <v>UCSC</v>
      </c>
      <c r="E1809" s="1" t="str">
        <f>HYPERLINK("http://www.ncbi.nlm.nih.gov/gene/?term=HECW1","NCBI")</f>
        <v>NCBI</v>
      </c>
      <c r="F1809">
        <v>6.1000000000000004E-3</v>
      </c>
      <c r="G1809">
        <v>5.7000000000000002E-2</v>
      </c>
      <c r="H1809" s="1" t="str">
        <f>HYPERLINK("http://www.weizmann.ac.il/complex/compphys/software/geview/data/figures/215584_at.png","Figure")</f>
        <v>Figure</v>
      </c>
      <c r="I1809">
        <v>1.63</v>
      </c>
      <c r="J1809">
        <v>4.5999999999999999E-3</v>
      </c>
      <c r="K1809">
        <v>1.22</v>
      </c>
      <c r="L1809">
        <v>0.2</v>
      </c>
      <c r="M1809">
        <v>0.747</v>
      </c>
      <c r="N1809">
        <v>6.3E-2</v>
      </c>
    </row>
    <row r="1810" spans="1:14" x14ac:dyDescent="0.25">
      <c r="A1810" t="s">
        <v>3366</v>
      </c>
      <c r="B1810" t="s">
        <v>3337</v>
      </c>
      <c r="C1810" s="1" t="str">
        <f>HYPERLINK("http://www.genecards.org/cgi-bin/carddisp.pl?gene=NRIP1","GeneCards")</f>
        <v>GeneCards</v>
      </c>
      <c r="D1810" s="1" t="str">
        <f>HYPERLINK("http://genome-euro.ucsc.edu/cgi-bin/hgTracks?position=202599_s_at","UCSC")</f>
        <v>UCSC</v>
      </c>
      <c r="E1810" s="1" t="str">
        <f>HYPERLINK("http://www.ncbi.nlm.nih.gov/gene/?term=NRIP1","NCBI")</f>
        <v>NCBI</v>
      </c>
      <c r="F1810">
        <v>6.1000000000000004E-3</v>
      </c>
      <c r="G1810">
        <v>5.7000000000000002E-2</v>
      </c>
      <c r="H1810" s="1" t="str">
        <f>HYPERLINK("http://www.weizmann.ac.il/complex/compphys/software/geview/data/figures/202599_s_at.png","Figure")</f>
        <v>Figure</v>
      </c>
      <c r="I1810">
        <v>0.47199999999999998</v>
      </c>
      <c r="J1810">
        <v>7.4000000000000003E-3</v>
      </c>
      <c r="K1810">
        <v>0.57599999999999996</v>
      </c>
      <c r="L1810">
        <v>2.1999999999999999E-2</v>
      </c>
      <c r="M1810">
        <v>1.22</v>
      </c>
      <c r="N1810">
        <v>0.56999999999999995</v>
      </c>
    </row>
    <row r="1811" spans="1:14" x14ac:dyDescent="0.25">
      <c r="A1811" t="s">
        <v>3367</v>
      </c>
      <c r="B1811" t="s">
        <v>3368</v>
      </c>
      <c r="C1811" s="1" t="str">
        <f>HYPERLINK("http://www.genecards.org/cgi-bin/carddisp.pl?gene=KAZALD1","GeneCards")</f>
        <v>GeneCards</v>
      </c>
      <c r="D1811" s="1" t="str">
        <f>HYPERLINK("http://genome-euro.ucsc.edu/cgi-bin/hgTracks?position=217511_at","UCSC")</f>
        <v>UCSC</v>
      </c>
      <c r="E1811" s="1" t="str">
        <f>HYPERLINK("http://www.ncbi.nlm.nih.gov/gene/?term=KAZALD1","NCBI")</f>
        <v>NCBI</v>
      </c>
      <c r="F1811">
        <v>6.1000000000000004E-3</v>
      </c>
      <c r="G1811">
        <v>5.7000000000000002E-2</v>
      </c>
      <c r="H1811" s="1" t="str">
        <f>HYPERLINK("http://www.weizmann.ac.il/complex/compphys/software/geview/data/figures/217511_at.png","Figure")</f>
        <v>Figure</v>
      </c>
      <c r="I1811">
        <v>0.68700000000000006</v>
      </c>
      <c r="J1811">
        <v>9.9000000000000008E-3</v>
      </c>
      <c r="K1811">
        <v>0.97599999999999998</v>
      </c>
      <c r="L1811">
        <v>0.96</v>
      </c>
      <c r="M1811">
        <v>1.42</v>
      </c>
      <c r="N1811">
        <v>9.9000000000000008E-3</v>
      </c>
    </row>
    <row r="1812" spans="1:14" x14ac:dyDescent="0.25">
      <c r="A1812" t="s">
        <v>3369</v>
      </c>
      <c r="B1812" t="s">
        <v>3370</v>
      </c>
      <c r="C1812" s="1" t="str">
        <f>HYPERLINK("http://www.genecards.org/cgi-bin/carddisp.pl?gene=TBC1D4","GeneCards")</f>
        <v>GeneCards</v>
      </c>
      <c r="D1812" s="1" t="str">
        <f>HYPERLINK("http://genome-euro.ucsc.edu/cgi-bin/hgTracks?position=203386_at","UCSC")</f>
        <v>UCSC</v>
      </c>
      <c r="E1812" s="1" t="str">
        <f>HYPERLINK("http://www.ncbi.nlm.nih.gov/gene/?term=TBC1D4","NCBI")</f>
        <v>NCBI</v>
      </c>
      <c r="F1812">
        <v>6.1000000000000004E-3</v>
      </c>
      <c r="G1812">
        <v>5.7000000000000002E-2</v>
      </c>
      <c r="H1812" s="1" t="str">
        <f>HYPERLINK("http://www.weizmann.ac.il/complex/compphys/software/geview/data/figures/203386_at.png","Figure")</f>
        <v>Figure</v>
      </c>
      <c r="I1812">
        <v>0.747</v>
      </c>
      <c r="J1812">
        <v>0.52</v>
      </c>
      <c r="K1812">
        <v>1.83</v>
      </c>
      <c r="L1812">
        <v>4.7E-2</v>
      </c>
      <c r="M1812">
        <v>2.4500000000000002</v>
      </c>
      <c r="N1812">
        <v>7.0000000000000001E-3</v>
      </c>
    </row>
    <row r="1813" spans="1:14" x14ac:dyDescent="0.25">
      <c r="A1813" t="s">
        <v>3371</v>
      </c>
      <c r="B1813" t="s">
        <v>3372</v>
      </c>
      <c r="C1813" s="1" t="str">
        <f>HYPERLINK("http://www.genecards.org/cgi-bin/carddisp.pl?gene=BUB3","GeneCards")</f>
        <v>GeneCards</v>
      </c>
      <c r="D1813" s="1" t="str">
        <f>HYPERLINK("http://genome-euro.ucsc.edu/cgi-bin/hgTracks?position=201457_x_at","UCSC")</f>
        <v>UCSC</v>
      </c>
      <c r="E1813" s="1" t="str">
        <f>HYPERLINK("http://www.ncbi.nlm.nih.gov/gene/?term=BUB3","NCBI")</f>
        <v>NCBI</v>
      </c>
      <c r="F1813">
        <v>6.1999999999999998E-3</v>
      </c>
      <c r="G1813">
        <v>5.8000000000000003E-2</v>
      </c>
      <c r="H1813" s="1" t="str">
        <f>HYPERLINK("http://www.weizmann.ac.il/complex/compphys/software/geview/data/figures/201457_x_at.png","Figure")</f>
        <v>Figure</v>
      </c>
      <c r="I1813">
        <v>1.92</v>
      </c>
      <c r="J1813">
        <v>1.7999999999999999E-2</v>
      </c>
      <c r="K1813">
        <v>1.89</v>
      </c>
      <c r="L1813">
        <v>8.6E-3</v>
      </c>
      <c r="M1813">
        <v>0.98599999999999999</v>
      </c>
      <c r="N1813">
        <v>1</v>
      </c>
    </row>
    <row r="1814" spans="1:14" x14ac:dyDescent="0.25">
      <c r="A1814" t="s">
        <v>3373</v>
      </c>
      <c r="B1814" t="s">
        <v>3374</v>
      </c>
      <c r="C1814" s="1" t="str">
        <f>HYPERLINK("http://www.genecards.org/cgi-bin/carddisp.pl?gene=JARID2","GeneCards")</f>
        <v>GeneCards</v>
      </c>
      <c r="D1814" s="1" t="str">
        <f>HYPERLINK("http://genome-euro.ucsc.edu/cgi-bin/hgTracks?position=203298_s_at","UCSC")</f>
        <v>UCSC</v>
      </c>
      <c r="E1814" s="1" t="str">
        <f>HYPERLINK("http://www.ncbi.nlm.nih.gov/gene/?term=JARID2","NCBI")</f>
        <v>NCBI</v>
      </c>
      <c r="F1814">
        <v>6.1999999999999998E-3</v>
      </c>
      <c r="G1814">
        <v>5.8000000000000003E-2</v>
      </c>
      <c r="H1814" s="1" t="str">
        <f>HYPERLINK("http://www.weizmann.ac.il/complex/compphys/software/geview/data/figures/203298_s_at.png","Figure")</f>
        <v>Figure</v>
      </c>
      <c r="I1814">
        <v>2.0699999999999998</v>
      </c>
      <c r="J1814">
        <v>5.0000000000000001E-3</v>
      </c>
      <c r="K1814">
        <v>1.27</v>
      </c>
      <c r="L1814">
        <v>0.34</v>
      </c>
      <c r="M1814">
        <v>0.61299999999999999</v>
      </c>
      <c r="N1814">
        <v>3.6999999999999998E-2</v>
      </c>
    </row>
    <row r="1815" spans="1:14" x14ac:dyDescent="0.25">
      <c r="A1815" t="s">
        <v>3375</v>
      </c>
      <c r="B1815" t="s">
        <v>3376</v>
      </c>
      <c r="C1815" s="1" t="str">
        <f>HYPERLINK("http://www.genecards.org/cgi-bin/carddisp.pl?gene=DHRS12","GeneCards")</f>
        <v>GeneCards</v>
      </c>
      <c r="D1815" s="1" t="str">
        <f>HYPERLINK("http://genome-euro.ucsc.edu/cgi-bin/hgTracks?position=204801_s_at","UCSC")</f>
        <v>UCSC</v>
      </c>
      <c r="E1815" s="1" t="str">
        <f>HYPERLINK("http://www.ncbi.nlm.nih.gov/gene/?term=DHRS12","NCBI")</f>
        <v>NCBI</v>
      </c>
      <c r="F1815">
        <v>6.1999999999999998E-3</v>
      </c>
      <c r="G1815">
        <v>5.8000000000000003E-2</v>
      </c>
      <c r="H1815" s="1" t="str">
        <f>HYPERLINK("http://www.weizmann.ac.il/complex/compphys/software/geview/data/figures/204801_s_at.png","Figure")</f>
        <v>Figure</v>
      </c>
      <c r="I1815">
        <v>1.34</v>
      </c>
      <c r="J1815">
        <v>4.5999999999999999E-3</v>
      </c>
      <c r="K1815">
        <v>1.1299999999999999</v>
      </c>
      <c r="L1815">
        <v>0.17</v>
      </c>
      <c r="M1815">
        <v>0.84799999999999998</v>
      </c>
      <c r="N1815">
        <v>7.8E-2</v>
      </c>
    </row>
    <row r="1816" spans="1:14" x14ac:dyDescent="0.25">
      <c r="A1816" t="s">
        <v>3377</v>
      </c>
      <c r="B1816" t="s">
        <v>3378</v>
      </c>
      <c r="C1816" s="1" t="str">
        <f>HYPERLINK("http://www.genecards.org/cgi-bin/carddisp.pl?gene=FSTL1","GeneCards")</f>
        <v>GeneCards</v>
      </c>
      <c r="D1816" s="1" t="str">
        <f>HYPERLINK("http://genome-euro.ucsc.edu/cgi-bin/hgTracks?position=208782_at","UCSC")</f>
        <v>UCSC</v>
      </c>
      <c r="E1816" s="1" t="str">
        <f>HYPERLINK("http://www.ncbi.nlm.nih.gov/gene/?term=FSTL1","NCBI")</f>
        <v>NCBI</v>
      </c>
      <c r="F1816">
        <v>6.1999999999999998E-3</v>
      </c>
      <c r="G1816">
        <v>5.8000000000000003E-2</v>
      </c>
      <c r="H1816" s="1" t="str">
        <f>HYPERLINK("http://www.weizmann.ac.il/complex/compphys/software/geview/data/figures/208782_at.png","Figure")</f>
        <v>Figure</v>
      </c>
      <c r="I1816">
        <v>1.65</v>
      </c>
      <c r="J1816">
        <v>2.1999999999999999E-2</v>
      </c>
      <c r="K1816">
        <v>1.68</v>
      </c>
      <c r="L1816">
        <v>7.4999999999999997E-3</v>
      </c>
      <c r="M1816">
        <v>1.02</v>
      </c>
      <c r="N1816">
        <v>0.99</v>
      </c>
    </row>
    <row r="1817" spans="1:14" x14ac:dyDescent="0.25">
      <c r="A1817" t="s">
        <v>3379</v>
      </c>
      <c r="B1817" t="s">
        <v>3380</v>
      </c>
      <c r="C1817" s="1" t="str">
        <f>HYPERLINK("http://www.genecards.org/cgi-bin/carddisp.pl?gene=SMG5","GeneCards")</f>
        <v>GeneCards</v>
      </c>
      <c r="D1817" s="1" t="str">
        <f>HYPERLINK("http://genome-euro.ucsc.edu/cgi-bin/hgTracks?position=212147_at","UCSC")</f>
        <v>UCSC</v>
      </c>
      <c r="E1817" s="1" t="str">
        <f>HYPERLINK("http://www.ncbi.nlm.nih.gov/gene/?term=SMG5","NCBI")</f>
        <v>NCBI</v>
      </c>
      <c r="F1817">
        <v>6.1999999999999998E-3</v>
      </c>
      <c r="G1817">
        <v>5.8000000000000003E-2</v>
      </c>
      <c r="H1817" s="1" t="str">
        <f>HYPERLINK("http://www.weizmann.ac.il/complex/compphys/software/geview/data/figures/212147_at.png","Figure")</f>
        <v>Figure</v>
      </c>
      <c r="I1817">
        <v>1.37</v>
      </c>
      <c r="J1817">
        <v>5.7000000000000002E-3</v>
      </c>
      <c r="K1817">
        <v>1.08</v>
      </c>
      <c r="L1817">
        <v>0.52</v>
      </c>
      <c r="M1817">
        <v>0.79200000000000004</v>
      </c>
      <c r="N1817">
        <v>2.4E-2</v>
      </c>
    </row>
    <row r="1818" spans="1:14" x14ac:dyDescent="0.25">
      <c r="A1818" t="s">
        <v>3381</v>
      </c>
      <c r="B1818" s="3">
        <v>42619</v>
      </c>
      <c r="C1818" s="1" t="str">
        <f>HYPERLINK("http://www.genecards.org/cgi-bin/carddisp.pl?gene=6-Sep","GeneCards")</f>
        <v>GeneCards</v>
      </c>
      <c r="D1818" s="1" t="str">
        <f>HYPERLINK("http://genome-euro.ucsc.edu/cgi-bin/hgTracks?position=212413_at","UCSC")</f>
        <v>UCSC</v>
      </c>
      <c r="E1818" s="1" t="str">
        <f>HYPERLINK("http://www.ncbi.nlm.nih.gov/gene/?term=6-Sep","NCBI")</f>
        <v>NCBI</v>
      </c>
      <c r="F1818">
        <v>6.1999999999999998E-3</v>
      </c>
      <c r="G1818">
        <v>5.8000000000000003E-2</v>
      </c>
      <c r="H1818" s="1" t="str">
        <f>HYPERLINK("http://www.weizmann.ac.il/complex/compphys/software/geview/data/figures/212413_at.png","Figure")</f>
        <v>Figure</v>
      </c>
      <c r="I1818">
        <v>0.66800000000000004</v>
      </c>
      <c r="J1818">
        <v>3.2000000000000001E-2</v>
      </c>
      <c r="K1818">
        <v>1.1100000000000001</v>
      </c>
      <c r="L1818">
        <v>0.69</v>
      </c>
      <c r="M1818">
        <v>1.66</v>
      </c>
      <c r="N1818">
        <v>5.1999999999999998E-3</v>
      </c>
    </row>
    <row r="1819" spans="1:14" x14ac:dyDescent="0.25">
      <c r="A1819" t="s">
        <v>3382</v>
      </c>
      <c r="B1819" t="s">
        <v>3383</v>
      </c>
      <c r="C1819" s="1" t="str">
        <f>HYPERLINK("http://www.genecards.org/cgi-bin/carddisp.pl?gene=PLXNC1","GeneCards")</f>
        <v>GeneCards</v>
      </c>
      <c r="D1819" s="1" t="str">
        <f>HYPERLINK("http://genome-euro.ucsc.edu/cgi-bin/hgTracks?position=213241_at","UCSC")</f>
        <v>UCSC</v>
      </c>
      <c r="E1819" s="1" t="str">
        <f>HYPERLINK("http://www.ncbi.nlm.nih.gov/gene/?term=PLXNC1","NCBI")</f>
        <v>NCBI</v>
      </c>
      <c r="F1819">
        <v>6.1999999999999998E-3</v>
      </c>
      <c r="G1819">
        <v>5.8000000000000003E-2</v>
      </c>
      <c r="H1819" s="1" t="str">
        <f>HYPERLINK("http://www.weizmann.ac.il/complex/compphys/software/geview/data/figures/213241_at.png","Figure")</f>
        <v>Figure</v>
      </c>
      <c r="I1819">
        <v>0.73799999999999999</v>
      </c>
      <c r="J1819">
        <v>8.3000000000000004E-2</v>
      </c>
      <c r="K1819">
        <v>1.18</v>
      </c>
      <c r="L1819">
        <v>0.32</v>
      </c>
      <c r="M1819">
        <v>1.61</v>
      </c>
      <c r="N1819">
        <v>4.5999999999999999E-3</v>
      </c>
    </row>
    <row r="1820" spans="1:14" x14ac:dyDescent="0.25">
      <c r="A1820" t="s">
        <v>3384</v>
      </c>
      <c r="B1820" t="s">
        <v>1294</v>
      </c>
      <c r="C1820" s="1" t="str">
        <f>HYPERLINK("http://www.genecards.org/cgi-bin/carddisp.pl?gene=GRK5","GeneCards")</f>
        <v>GeneCards</v>
      </c>
      <c r="D1820" s="1" t="str">
        <f>HYPERLINK("http://genome-euro.ucsc.edu/cgi-bin/hgTracks?position=204395_s_at","UCSC")</f>
        <v>UCSC</v>
      </c>
      <c r="E1820" s="1" t="str">
        <f>HYPERLINK("http://www.ncbi.nlm.nih.gov/gene/?term=GRK5","NCBI")</f>
        <v>NCBI</v>
      </c>
      <c r="F1820">
        <v>6.1999999999999998E-3</v>
      </c>
      <c r="G1820">
        <v>5.8000000000000003E-2</v>
      </c>
      <c r="H1820" s="1" t="str">
        <f>HYPERLINK("http://www.weizmann.ac.il/complex/compphys/software/geview/data/figures/204395_s_at.png","Figure")</f>
        <v>Figure</v>
      </c>
      <c r="I1820">
        <v>1.1200000000000001</v>
      </c>
      <c r="J1820">
        <v>0.34</v>
      </c>
      <c r="K1820">
        <v>0.85299999999999998</v>
      </c>
      <c r="L1820">
        <v>7.8E-2</v>
      </c>
      <c r="M1820">
        <v>0.76400000000000001</v>
      </c>
      <c r="N1820">
        <v>5.7999999999999996E-3</v>
      </c>
    </row>
    <row r="1821" spans="1:14" x14ac:dyDescent="0.25">
      <c r="A1821" t="s">
        <v>3385</v>
      </c>
      <c r="B1821" t="s">
        <v>3386</v>
      </c>
      <c r="C1821" s="1" t="str">
        <f>HYPERLINK("http://www.genecards.org/cgi-bin/carddisp.pl?gene=ZNF629","GeneCards")</f>
        <v>GeneCards</v>
      </c>
      <c r="D1821" s="1" t="str">
        <f>HYPERLINK("http://genome-euro.ucsc.edu/cgi-bin/hgTracks?position=213196_at","UCSC")</f>
        <v>UCSC</v>
      </c>
      <c r="E1821" s="1" t="str">
        <f>HYPERLINK("http://www.ncbi.nlm.nih.gov/gene/?term=ZNF629","NCBI")</f>
        <v>NCBI</v>
      </c>
      <c r="F1821">
        <v>6.1999999999999998E-3</v>
      </c>
      <c r="G1821">
        <v>5.8000000000000003E-2</v>
      </c>
      <c r="H1821" s="1" t="str">
        <f>HYPERLINK("http://www.weizmann.ac.il/complex/compphys/software/geview/data/figures/213196_at.png","Figure")</f>
        <v>Figure</v>
      </c>
      <c r="I1821">
        <v>1.39</v>
      </c>
      <c r="J1821">
        <v>4.7999999999999996E-3</v>
      </c>
      <c r="K1821">
        <v>1.19</v>
      </c>
      <c r="L1821">
        <v>8.6999999999999994E-2</v>
      </c>
      <c r="M1821">
        <v>0.85399999999999998</v>
      </c>
      <c r="N1821">
        <v>0.15</v>
      </c>
    </row>
    <row r="1822" spans="1:14" x14ac:dyDescent="0.25">
      <c r="A1822" t="s">
        <v>3387</v>
      </c>
      <c r="B1822" t="s">
        <v>3388</v>
      </c>
      <c r="C1822" s="1" t="str">
        <f>HYPERLINK("http://www.genecards.org/cgi-bin/carddisp.pl?gene=ZNF821","GeneCards")</f>
        <v>GeneCards</v>
      </c>
      <c r="D1822" s="1" t="str">
        <f>HYPERLINK("http://genome-euro.ucsc.edu/cgi-bin/hgTracks?position=41397_at","UCSC")</f>
        <v>UCSC</v>
      </c>
      <c r="E1822" s="1" t="str">
        <f>HYPERLINK("http://www.ncbi.nlm.nih.gov/gene/?term=ZNF821","NCBI")</f>
        <v>NCBI</v>
      </c>
      <c r="F1822">
        <v>6.1999999999999998E-3</v>
      </c>
      <c r="G1822">
        <v>5.8000000000000003E-2</v>
      </c>
      <c r="H1822" s="1" t="str">
        <f>HYPERLINK("http://www.weizmann.ac.il/complex/compphys/software/geview/data/figures/41397_at.png","Figure")</f>
        <v>Figure</v>
      </c>
      <c r="I1822">
        <v>0.85699999999999998</v>
      </c>
      <c r="J1822">
        <v>0.6</v>
      </c>
      <c r="K1822">
        <v>0.59799999999999998</v>
      </c>
      <c r="L1822">
        <v>6.1000000000000004E-3</v>
      </c>
      <c r="M1822">
        <v>0.69799999999999995</v>
      </c>
      <c r="N1822">
        <v>6.8000000000000005E-2</v>
      </c>
    </row>
    <row r="1823" spans="1:14" x14ac:dyDescent="0.25">
      <c r="A1823" t="s">
        <v>3389</v>
      </c>
      <c r="B1823" t="s">
        <v>3390</v>
      </c>
      <c r="C1823" s="1" t="str">
        <f>HYPERLINK("http://www.genecards.org/cgi-bin/carddisp.pl?gene=PEPD","GeneCards")</f>
        <v>GeneCards</v>
      </c>
      <c r="D1823" s="1" t="str">
        <f>HYPERLINK("http://genome-euro.ucsc.edu/cgi-bin/hgTracks?position=202108_at","UCSC")</f>
        <v>UCSC</v>
      </c>
      <c r="E1823" s="1" t="str">
        <f>HYPERLINK("http://www.ncbi.nlm.nih.gov/gene/?term=PEPD","NCBI")</f>
        <v>NCBI</v>
      </c>
      <c r="F1823">
        <v>6.1999999999999998E-3</v>
      </c>
      <c r="G1823">
        <v>5.8000000000000003E-2</v>
      </c>
      <c r="H1823" s="1" t="str">
        <f>HYPERLINK("http://www.weizmann.ac.il/complex/compphys/software/geview/data/figures/202108_at.png","Figure")</f>
        <v>Figure</v>
      </c>
      <c r="I1823">
        <v>0.83</v>
      </c>
      <c r="J1823">
        <v>0.39</v>
      </c>
      <c r="K1823">
        <v>1.34</v>
      </c>
      <c r="L1823">
        <v>6.7000000000000004E-2</v>
      </c>
      <c r="M1823">
        <v>1.62</v>
      </c>
      <c r="N1823">
        <v>6.1000000000000004E-3</v>
      </c>
    </row>
    <row r="1824" spans="1:14" x14ac:dyDescent="0.25">
      <c r="A1824" t="s">
        <v>3391</v>
      </c>
      <c r="B1824" t="s">
        <v>3392</v>
      </c>
      <c r="C1824" s="1" t="str">
        <f>HYPERLINK("http://www.genecards.org/cgi-bin/carddisp.pl?gene=GMFB","GeneCards")</f>
        <v>GeneCards</v>
      </c>
      <c r="D1824" s="1" t="str">
        <f>HYPERLINK("http://genome-euro.ucsc.edu/cgi-bin/hgTracks?position=202544_at","UCSC")</f>
        <v>UCSC</v>
      </c>
      <c r="E1824" s="1" t="str">
        <f>HYPERLINK("http://www.ncbi.nlm.nih.gov/gene/?term=GMFB","NCBI")</f>
        <v>NCBI</v>
      </c>
      <c r="F1824">
        <v>6.1999999999999998E-3</v>
      </c>
      <c r="G1824">
        <v>5.8000000000000003E-2</v>
      </c>
      <c r="H1824" s="1" t="str">
        <f>HYPERLINK("http://www.weizmann.ac.il/complex/compphys/software/geview/data/figures/202544_at.png","Figure")</f>
        <v>Figure</v>
      </c>
      <c r="I1824">
        <v>0.57699999999999996</v>
      </c>
      <c r="J1824">
        <v>0.01</v>
      </c>
      <c r="K1824">
        <v>0.63600000000000001</v>
      </c>
      <c r="L1824">
        <v>1.4999999999999999E-2</v>
      </c>
      <c r="M1824">
        <v>1.1000000000000001</v>
      </c>
      <c r="N1824">
        <v>0.79</v>
      </c>
    </row>
    <row r="1825" spans="1:14" x14ac:dyDescent="0.25">
      <c r="A1825" t="s">
        <v>3393</v>
      </c>
      <c r="B1825" t="s">
        <v>3394</v>
      </c>
      <c r="C1825" s="1" t="str">
        <f>HYPERLINK("http://www.genecards.org/cgi-bin/carddisp.pl?gene=DAPK3","GeneCards")</f>
        <v>GeneCards</v>
      </c>
      <c r="D1825" s="1" t="str">
        <f>HYPERLINK("http://genome-euro.ucsc.edu/cgi-bin/hgTracks?position=203891_s_at","UCSC")</f>
        <v>UCSC</v>
      </c>
      <c r="E1825" s="1" t="str">
        <f>HYPERLINK("http://www.ncbi.nlm.nih.gov/gene/?term=DAPK3","NCBI")</f>
        <v>NCBI</v>
      </c>
      <c r="F1825">
        <v>6.1999999999999998E-3</v>
      </c>
      <c r="G1825">
        <v>5.8000000000000003E-2</v>
      </c>
      <c r="H1825" s="1" t="str">
        <f>HYPERLINK("http://www.weizmann.ac.il/complex/compphys/software/geview/data/figures/203891_s_at.png","Figure")</f>
        <v>Figure</v>
      </c>
      <c r="I1825">
        <v>1.37</v>
      </c>
      <c r="J1825">
        <v>5.3E-3</v>
      </c>
      <c r="K1825">
        <v>1.2</v>
      </c>
      <c r="L1825">
        <v>5.3999999999999999E-2</v>
      </c>
      <c r="M1825">
        <v>0.879</v>
      </c>
      <c r="N1825">
        <v>0.24</v>
      </c>
    </row>
    <row r="1826" spans="1:14" x14ac:dyDescent="0.25">
      <c r="A1826" t="s">
        <v>3395</v>
      </c>
      <c r="B1826" t="s">
        <v>3048</v>
      </c>
      <c r="C1826" s="1" t="str">
        <f>HYPERLINK("http://www.genecards.org/cgi-bin/carddisp.pl?gene=C9orf16","GeneCards")</f>
        <v>GeneCards</v>
      </c>
      <c r="D1826" s="1" t="str">
        <f>HYPERLINK("http://genome-euro.ucsc.edu/cgi-bin/hgTracks?position=204480_s_at","UCSC")</f>
        <v>UCSC</v>
      </c>
      <c r="E1826" s="1" t="str">
        <f>HYPERLINK("http://www.ncbi.nlm.nih.gov/gene/?term=C9orf16","NCBI")</f>
        <v>NCBI</v>
      </c>
      <c r="F1826">
        <v>6.1999999999999998E-3</v>
      </c>
      <c r="G1826">
        <v>5.8000000000000003E-2</v>
      </c>
      <c r="H1826" s="1" t="str">
        <f>HYPERLINK("http://www.weizmann.ac.il/complex/compphys/software/geview/data/figures/204480_s_at.png","Figure")</f>
        <v>Figure</v>
      </c>
      <c r="I1826">
        <v>1.65</v>
      </c>
      <c r="J1826">
        <v>0.04</v>
      </c>
      <c r="K1826">
        <v>1.83</v>
      </c>
      <c r="L1826">
        <v>5.7000000000000002E-3</v>
      </c>
      <c r="M1826">
        <v>1.1100000000000001</v>
      </c>
      <c r="N1826">
        <v>0.82</v>
      </c>
    </row>
    <row r="1827" spans="1:14" x14ac:dyDescent="0.25">
      <c r="A1827" t="s">
        <v>3396</v>
      </c>
      <c r="B1827" t="s">
        <v>3397</v>
      </c>
      <c r="C1827" s="1" t="str">
        <f>HYPERLINK("http://www.genecards.org/cgi-bin/carddisp.pl?gene=TCF7L2","GeneCards")</f>
        <v>GeneCards</v>
      </c>
      <c r="D1827" s="1" t="str">
        <f>HYPERLINK("http://genome-euro.ucsc.edu/cgi-bin/hgTracks?position=216511_s_at","UCSC")</f>
        <v>UCSC</v>
      </c>
      <c r="E1827" s="1" t="str">
        <f>HYPERLINK("http://www.ncbi.nlm.nih.gov/gene/?term=TCF7L2","NCBI")</f>
        <v>NCBI</v>
      </c>
      <c r="F1827">
        <v>6.1999999999999998E-3</v>
      </c>
      <c r="G1827">
        <v>5.8000000000000003E-2</v>
      </c>
      <c r="H1827" s="1" t="str">
        <f>HYPERLINK("http://www.weizmann.ac.il/complex/compphys/software/geview/data/figures/216511_s_at.png","Figure")</f>
        <v>Figure</v>
      </c>
      <c r="I1827">
        <v>0.76</v>
      </c>
      <c r="J1827">
        <v>0.36</v>
      </c>
      <c r="K1827">
        <v>0.52</v>
      </c>
      <c r="L1827">
        <v>5.1000000000000004E-3</v>
      </c>
      <c r="M1827">
        <v>0.68400000000000005</v>
      </c>
      <c r="N1827">
        <v>0.13</v>
      </c>
    </row>
    <row r="1828" spans="1:14" x14ac:dyDescent="0.25">
      <c r="A1828" t="s">
        <v>3398</v>
      </c>
      <c r="B1828" t="s">
        <v>3399</v>
      </c>
      <c r="C1828" s="1" t="str">
        <f>HYPERLINK("http://www.genecards.org/cgi-bin/carddisp.pl?gene=PRODH2","GeneCards")</f>
        <v>GeneCards</v>
      </c>
      <c r="D1828" s="1" t="str">
        <f>HYPERLINK("http://genome-euro.ucsc.edu/cgi-bin/hgTracks?position=216696_s_at","UCSC")</f>
        <v>UCSC</v>
      </c>
      <c r="E1828" s="1" t="str">
        <f>HYPERLINK("http://www.ncbi.nlm.nih.gov/gene/?term=PRODH2","NCBI")</f>
        <v>NCBI</v>
      </c>
      <c r="F1828">
        <v>6.1999999999999998E-3</v>
      </c>
      <c r="G1828">
        <v>5.8000000000000003E-2</v>
      </c>
      <c r="H1828" s="1" t="str">
        <f>HYPERLINK("http://www.weizmann.ac.il/complex/compphys/software/geview/data/figures/216696_s_at.png","Figure")</f>
        <v>Figure</v>
      </c>
      <c r="I1828">
        <v>1.29</v>
      </c>
      <c r="J1828">
        <v>2.8000000000000001E-2</v>
      </c>
      <c r="K1828">
        <v>0.94799999999999995</v>
      </c>
      <c r="L1828">
        <v>0.76</v>
      </c>
      <c r="M1828">
        <v>0.73599999999999999</v>
      </c>
      <c r="N1828">
        <v>5.4999999999999997E-3</v>
      </c>
    </row>
    <row r="1829" spans="1:14" x14ac:dyDescent="0.25">
      <c r="A1829" t="s">
        <v>3400</v>
      </c>
      <c r="B1829" t="s">
        <v>3401</v>
      </c>
      <c r="C1829" s="1" t="str">
        <f>HYPERLINK("http://www.genecards.org/cgi-bin/carddisp.pl?gene=GTF2A2","GeneCards")</f>
        <v>GeneCards</v>
      </c>
      <c r="D1829" s="1" t="str">
        <f>HYPERLINK("http://genome-euro.ucsc.edu/cgi-bin/hgTracks?position=202678_at","UCSC")</f>
        <v>UCSC</v>
      </c>
      <c r="E1829" s="1" t="str">
        <f>HYPERLINK("http://www.ncbi.nlm.nih.gov/gene/?term=GTF2A2","NCBI")</f>
        <v>NCBI</v>
      </c>
      <c r="F1829">
        <v>6.1999999999999998E-3</v>
      </c>
      <c r="G1829">
        <v>5.8000000000000003E-2</v>
      </c>
      <c r="H1829" s="1" t="str">
        <f>HYPERLINK("http://www.weizmann.ac.il/complex/compphys/software/geview/data/figures/202678_at.png","Figure")</f>
        <v>Figure</v>
      </c>
      <c r="I1829">
        <v>0.95199999999999996</v>
      </c>
      <c r="J1829">
        <v>0.93</v>
      </c>
      <c r="K1829">
        <v>1.45</v>
      </c>
      <c r="L1829">
        <v>1.9E-2</v>
      </c>
      <c r="M1829">
        <v>1.52</v>
      </c>
      <c r="N1829">
        <v>1.2999999999999999E-2</v>
      </c>
    </row>
    <row r="1830" spans="1:14" x14ac:dyDescent="0.25">
      <c r="A1830" t="s">
        <v>3402</v>
      </c>
      <c r="B1830" t="s">
        <v>3403</v>
      </c>
      <c r="C1830" s="1" t="str">
        <f>HYPERLINK("http://www.genecards.org/cgi-bin/carddisp.pl?gene=PSMD11","GeneCards")</f>
        <v>GeneCards</v>
      </c>
      <c r="D1830" s="1" t="str">
        <f>HYPERLINK("http://genome-euro.ucsc.edu/cgi-bin/hgTracks?position=208776_at","UCSC")</f>
        <v>UCSC</v>
      </c>
      <c r="E1830" s="1" t="str">
        <f>HYPERLINK("http://www.ncbi.nlm.nih.gov/gene/?term=PSMD11","NCBI")</f>
        <v>NCBI</v>
      </c>
      <c r="F1830">
        <v>6.1999999999999998E-3</v>
      </c>
      <c r="G1830">
        <v>5.8000000000000003E-2</v>
      </c>
      <c r="H1830" s="1" t="str">
        <f>HYPERLINK("http://www.weizmann.ac.il/complex/compphys/software/geview/data/figures/208776_at.png","Figure")</f>
        <v>Figure</v>
      </c>
      <c r="I1830">
        <v>0.64800000000000002</v>
      </c>
      <c r="J1830">
        <v>0.11</v>
      </c>
      <c r="K1830">
        <v>0.50600000000000001</v>
      </c>
      <c r="L1830">
        <v>4.7000000000000002E-3</v>
      </c>
      <c r="M1830">
        <v>0.78</v>
      </c>
      <c r="N1830">
        <v>0.4</v>
      </c>
    </row>
    <row r="1831" spans="1:14" x14ac:dyDescent="0.25">
      <c r="A1831" t="s">
        <v>3404</v>
      </c>
      <c r="B1831" t="s">
        <v>3405</v>
      </c>
      <c r="C1831" s="1" t="str">
        <f>HYPERLINK("http://www.genecards.org/cgi-bin/carddisp.pl?gene=PPAP2B","GeneCards")</f>
        <v>GeneCards</v>
      </c>
      <c r="D1831" s="1" t="str">
        <f>HYPERLINK("http://genome-euro.ucsc.edu/cgi-bin/hgTracks?position=212226_s_at","UCSC")</f>
        <v>UCSC</v>
      </c>
      <c r="E1831" s="1" t="str">
        <f>HYPERLINK("http://www.ncbi.nlm.nih.gov/gene/?term=PPAP2B","NCBI")</f>
        <v>NCBI</v>
      </c>
      <c r="F1831">
        <v>6.1999999999999998E-3</v>
      </c>
      <c r="G1831">
        <v>5.8000000000000003E-2</v>
      </c>
      <c r="H1831" s="1" t="str">
        <f>HYPERLINK("http://www.weizmann.ac.il/complex/compphys/software/geview/data/figures/212226_s_at.png","Figure")</f>
        <v>Figure</v>
      </c>
      <c r="I1831">
        <v>0.44500000000000001</v>
      </c>
      <c r="J1831">
        <v>6.0000000000000001E-3</v>
      </c>
      <c r="K1831">
        <v>0.82299999999999995</v>
      </c>
      <c r="L1831">
        <v>0.56000000000000005</v>
      </c>
      <c r="M1831">
        <v>1.85</v>
      </c>
      <c r="N1831">
        <v>2.1999999999999999E-2</v>
      </c>
    </row>
    <row r="1832" spans="1:14" x14ac:dyDescent="0.25">
      <c r="A1832" t="s">
        <v>3406</v>
      </c>
      <c r="B1832" t="s">
        <v>3407</v>
      </c>
      <c r="C1832" s="1" t="str">
        <f>HYPERLINK("http://www.genecards.org/cgi-bin/carddisp.pl?gene=ANKS1A","GeneCards")</f>
        <v>GeneCards</v>
      </c>
      <c r="D1832" s="1" t="str">
        <f>HYPERLINK("http://genome-euro.ucsc.edu/cgi-bin/hgTracks?position=212747_at","UCSC")</f>
        <v>UCSC</v>
      </c>
      <c r="E1832" s="1" t="str">
        <f>HYPERLINK("http://www.ncbi.nlm.nih.gov/gene/?term=ANKS1A","NCBI")</f>
        <v>NCBI</v>
      </c>
      <c r="F1832">
        <v>6.1999999999999998E-3</v>
      </c>
      <c r="G1832">
        <v>5.8000000000000003E-2</v>
      </c>
      <c r="H1832" s="1" t="str">
        <f>HYPERLINK("http://www.weizmann.ac.il/complex/compphys/software/geview/data/figures/212747_at.png","Figure")</f>
        <v>Figure</v>
      </c>
      <c r="I1832">
        <v>0.51300000000000001</v>
      </c>
      <c r="J1832">
        <v>5.3E-3</v>
      </c>
      <c r="K1832">
        <v>0.81799999999999995</v>
      </c>
      <c r="L1832">
        <v>0.41</v>
      </c>
      <c r="M1832">
        <v>1.6</v>
      </c>
      <c r="N1832">
        <v>3.2000000000000001E-2</v>
      </c>
    </row>
    <row r="1833" spans="1:14" x14ac:dyDescent="0.25">
      <c r="A1833" t="s">
        <v>3408</v>
      </c>
      <c r="B1833" t="s">
        <v>3409</v>
      </c>
      <c r="C1833" s="1" t="str">
        <f>HYPERLINK("http://www.genecards.org/cgi-bin/carddisp.pl?gene=SHANK1","GeneCards")</f>
        <v>GeneCards</v>
      </c>
      <c r="D1833" s="1" t="str">
        <f>HYPERLINK("http://genome-euro.ucsc.edu/cgi-bin/hgTracks?position=220563_s_at","UCSC")</f>
        <v>UCSC</v>
      </c>
      <c r="E1833" s="1" t="str">
        <f>HYPERLINK("http://www.ncbi.nlm.nih.gov/gene/?term=SHANK1","NCBI")</f>
        <v>NCBI</v>
      </c>
      <c r="F1833">
        <v>6.1999999999999998E-3</v>
      </c>
      <c r="G1833">
        <v>5.8000000000000003E-2</v>
      </c>
      <c r="H1833" s="1" t="str">
        <f>HYPERLINK("http://www.weizmann.ac.il/complex/compphys/software/geview/data/figures/220563_s_at.png","Figure")</f>
        <v>Figure</v>
      </c>
      <c r="I1833">
        <v>1.22</v>
      </c>
      <c r="J1833">
        <v>5.5999999999999999E-3</v>
      </c>
      <c r="K1833">
        <v>1.1299999999999999</v>
      </c>
      <c r="L1833">
        <v>4.3999999999999997E-2</v>
      </c>
      <c r="M1833">
        <v>0.92700000000000005</v>
      </c>
      <c r="N1833">
        <v>0.3</v>
      </c>
    </row>
    <row r="1834" spans="1:14" x14ac:dyDescent="0.25">
      <c r="A1834" t="s">
        <v>3410</v>
      </c>
      <c r="B1834" t="s">
        <v>3411</v>
      </c>
      <c r="C1834" s="1" t="str">
        <f>HYPERLINK("http://www.genecards.org/cgi-bin/carddisp.pl?gene=SLC11A1","GeneCards")</f>
        <v>GeneCards</v>
      </c>
      <c r="D1834" s="1" t="str">
        <f>HYPERLINK("http://genome-euro.ucsc.edu/cgi-bin/hgTracks?position=210423_s_at","UCSC")</f>
        <v>UCSC</v>
      </c>
      <c r="E1834" s="1" t="str">
        <f>HYPERLINK("http://www.ncbi.nlm.nih.gov/gene/?term=SLC11A1","NCBI")</f>
        <v>NCBI</v>
      </c>
      <c r="F1834">
        <v>6.3E-3</v>
      </c>
      <c r="G1834">
        <v>5.8000000000000003E-2</v>
      </c>
      <c r="H1834" s="1" t="str">
        <f>HYPERLINK("http://www.weizmann.ac.il/complex/compphys/software/geview/data/figures/210423_s_at.png","Figure")</f>
        <v>Figure</v>
      </c>
      <c r="I1834">
        <v>1.32</v>
      </c>
      <c r="J1834">
        <v>4.7000000000000002E-3</v>
      </c>
      <c r="K1834">
        <v>1.1200000000000001</v>
      </c>
      <c r="L1834">
        <v>0.19</v>
      </c>
      <c r="M1834">
        <v>0.85</v>
      </c>
      <c r="N1834">
        <v>7.0000000000000007E-2</v>
      </c>
    </row>
    <row r="1835" spans="1:14" x14ac:dyDescent="0.25">
      <c r="A1835" t="s">
        <v>3412</v>
      </c>
      <c r="B1835" t="s">
        <v>3413</v>
      </c>
      <c r="C1835" s="1" t="str">
        <f>HYPERLINK("http://www.genecards.org/cgi-bin/carddisp.pl?gene=LPXN","GeneCards")</f>
        <v>GeneCards</v>
      </c>
      <c r="D1835" s="1" t="str">
        <f>HYPERLINK("http://genome-euro.ucsc.edu/cgi-bin/hgTracks?position=216250_s_at","UCSC")</f>
        <v>UCSC</v>
      </c>
      <c r="E1835" s="1" t="str">
        <f>HYPERLINK("http://www.ncbi.nlm.nih.gov/gene/?term=LPXN","NCBI")</f>
        <v>NCBI</v>
      </c>
      <c r="F1835">
        <v>6.3E-3</v>
      </c>
      <c r="G1835">
        <v>5.8000000000000003E-2</v>
      </c>
      <c r="H1835" s="1" t="str">
        <f>HYPERLINK("http://www.weizmann.ac.il/complex/compphys/software/geview/data/figures/216250_s_at.png","Figure")</f>
        <v>Figure</v>
      </c>
      <c r="I1835">
        <v>1.1599999999999999</v>
      </c>
      <c r="J1835">
        <v>0.8</v>
      </c>
      <c r="K1835">
        <v>2.09</v>
      </c>
      <c r="L1835">
        <v>7.6E-3</v>
      </c>
      <c r="M1835">
        <v>1.8</v>
      </c>
      <c r="N1835">
        <v>4.2999999999999997E-2</v>
      </c>
    </row>
    <row r="1836" spans="1:14" x14ac:dyDescent="0.25">
      <c r="A1836" t="s">
        <v>3414</v>
      </c>
      <c r="B1836" t="s">
        <v>3415</v>
      </c>
      <c r="C1836" s="1" t="str">
        <f>HYPERLINK("http://www.genecards.org/cgi-bin/carddisp.pl?gene=CAMKV","GeneCards")</f>
        <v>GeneCards</v>
      </c>
      <c r="D1836" s="1" t="str">
        <f>HYPERLINK("http://genome-euro.ucsc.edu/cgi-bin/hgTracks?position=219365_s_at","UCSC")</f>
        <v>UCSC</v>
      </c>
      <c r="E1836" s="1" t="str">
        <f>HYPERLINK("http://www.ncbi.nlm.nih.gov/gene/?term=CAMKV","NCBI")</f>
        <v>NCBI</v>
      </c>
      <c r="F1836">
        <v>6.3E-3</v>
      </c>
      <c r="G1836">
        <v>5.8000000000000003E-2</v>
      </c>
      <c r="H1836" s="1" t="str">
        <f>HYPERLINK("http://www.weizmann.ac.il/complex/compphys/software/geview/data/figures/219365_s_at.png","Figure")</f>
        <v>Figure</v>
      </c>
      <c r="I1836">
        <v>1.35</v>
      </c>
      <c r="J1836">
        <v>4.7000000000000002E-3</v>
      </c>
      <c r="K1836">
        <v>1.1499999999999999</v>
      </c>
      <c r="L1836">
        <v>0.14000000000000001</v>
      </c>
      <c r="M1836">
        <v>0.84899999999999998</v>
      </c>
      <c r="N1836">
        <v>9.1999999999999998E-2</v>
      </c>
    </row>
    <row r="1837" spans="1:14" x14ac:dyDescent="0.25">
      <c r="A1837" t="s">
        <v>3416</v>
      </c>
      <c r="B1837" t="s">
        <v>3417</v>
      </c>
      <c r="C1837" s="1" t="str">
        <f>HYPERLINK("http://www.genecards.org/cgi-bin/carddisp.pl?gene=GSN","GeneCards")</f>
        <v>GeneCards</v>
      </c>
      <c r="D1837" s="1" t="str">
        <f>HYPERLINK("http://genome-euro.ucsc.edu/cgi-bin/hgTracks?position=200696_s_at","UCSC")</f>
        <v>UCSC</v>
      </c>
      <c r="E1837" s="1" t="str">
        <f>HYPERLINK("http://www.ncbi.nlm.nih.gov/gene/?term=GSN","NCBI")</f>
        <v>NCBI</v>
      </c>
      <c r="F1837">
        <v>6.3E-3</v>
      </c>
      <c r="G1837">
        <v>5.8000000000000003E-2</v>
      </c>
      <c r="H1837" s="1" t="str">
        <f>HYPERLINK("http://www.weizmann.ac.il/complex/compphys/software/geview/data/figures/200696_s_at.png","Figure")</f>
        <v>Figure</v>
      </c>
      <c r="I1837">
        <v>0.50800000000000001</v>
      </c>
      <c r="J1837">
        <v>2.4E-2</v>
      </c>
      <c r="K1837">
        <v>0.49</v>
      </c>
      <c r="L1837">
        <v>7.3000000000000001E-3</v>
      </c>
      <c r="M1837">
        <v>0.96299999999999997</v>
      </c>
      <c r="N1837">
        <v>0.98</v>
      </c>
    </row>
    <row r="1838" spans="1:14" x14ac:dyDescent="0.25">
      <c r="A1838" t="s">
        <v>3418</v>
      </c>
      <c r="B1838" t="s">
        <v>3419</v>
      </c>
      <c r="C1838" s="1" t="str">
        <f>HYPERLINK("http://www.genecards.org/cgi-bin/carddisp.pl?gene=DCK","GeneCards")</f>
        <v>GeneCards</v>
      </c>
      <c r="D1838" s="1" t="str">
        <f>HYPERLINK("http://genome-euro.ucsc.edu/cgi-bin/hgTracks?position=203302_at","UCSC")</f>
        <v>UCSC</v>
      </c>
      <c r="E1838" s="1" t="str">
        <f>HYPERLINK("http://www.ncbi.nlm.nih.gov/gene/?term=DCK","NCBI")</f>
        <v>NCBI</v>
      </c>
      <c r="F1838">
        <v>6.3E-3</v>
      </c>
      <c r="G1838">
        <v>5.8000000000000003E-2</v>
      </c>
      <c r="H1838" s="1" t="str">
        <f>HYPERLINK("http://www.weizmann.ac.il/complex/compphys/software/geview/data/figures/203302_at.png","Figure")</f>
        <v>Figure</v>
      </c>
      <c r="I1838">
        <v>0.33400000000000002</v>
      </c>
      <c r="J1838">
        <v>5.4999999999999997E-3</v>
      </c>
      <c r="K1838">
        <v>0.51700000000000002</v>
      </c>
      <c r="L1838">
        <v>0.05</v>
      </c>
      <c r="M1838">
        <v>1.55</v>
      </c>
      <c r="N1838">
        <v>0.27</v>
      </c>
    </row>
    <row r="1839" spans="1:14" x14ac:dyDescent="0.25">
      <c r="A1839" t="s">
        <v>3420</v>
      </c>
      <c r="B1839" t="s">
        <v>3421</v>
      </c>
      <c r="C1839" s="1" t="str">
        <f>HYPERLINK("http://www.genecards.org/cgi-bin/carddisp.pl?gene=MDH2","GeneCards")</f>
        <v>GeneCards</v>
      </c>
      <c r="D1839" s="1" t="str">
        <f>HYPERLINK("http://genome-euro.ucsc.edu/cgi-bin/hgTracks?position=213333_at","UCSC")</f>
        <v>UCSC</v>
      </c>
      <c r="E1839" s="1" t="str">
        <f>HYPERLINK("http://www.ncbi.nlm.nih.gov/gene/?term=MDH2","NCBI")</f>
        <v>NCBI</v>
      </c>
      <c r="F1839">
        <v>6.3E-3</v>
      </c>
      <c r="G1839">
        <v>5.8000000000000003E-2</v>
      </c>
      <c r="H1839" s="1" t="str">
        <f>HYPERLINK("http://www.weizmann.ac.il/complex/compphys/software/geview/data/figures/213333_at.png","Figure")</f>
        <v>Figure</v>
      </c>
      <c r="I1839">
        <v>0.70499999999999996</v>
      </c>
      <c r="J1839">
        <v>8.5999999999999993E-2</v>
      </c>
      <c r="K1839">
        <v>1.22</v>
      </c>
      <c r="L1839">
        <v>0.31</v>
      </c>
      <c r="M1839">
        <v>1.73</v>
      </c>
      <c r="N1839">
        <v>4.7000000000000002E-3</v>
      </c>
    </row>
    <row r="1840" spans="1:14" x14ac:dyDescent="0.25">
      <c r="A1840" t="s">
        <v>3422</v>
      </c>
      <c r="B1840" t="s">
        <v>3423</v>
      </c>
      <c r="C1840" s="1" t="str">
        <f>HYPERLINK("http://www.genecards.org/cgi-bin/carddisp.pl?gene=GMDS","GeneCards")</f>
        <v>GeneCards</v>
      </c>
      <c r="D1840" s="1" t="str">
        <f>HYPERLINK("http://genome-euro.ucsc.edu/cgi-bin/hgTracks?position=214106_s_at","UCSC")</f>
        <v>UCSC</v>
      </c>
      <c r="E1840" s="1" t="str">
        <f>HYPERLINK("http://www.ncbi.nlm.nih.gov/gene/?term=GMDS","NCBI")</f>
        <v>NCBI</v>
      </c>
      <c r="F1840">
        <v>6.3E-3</v>
      </c>
      <c r="G1840">
        <v>5.8000000000000003E-2</v>
      </c>
      <c r="H1840" s="1" t="str">
        <f>HYPERLINK("http://www.weizmann.ac.il/complex/compphys/software/geview/data/figures/214106_s_at.png","Figure")</f>
        <v>Figure</v>
      </c>
      <c r="I1840">
        <v>0.85199999999999998</v>
      </c>
      <c r="J1840">
        <v>0.28000000000000003</v>
      </c>
      <c r="K1840">
        <v>1.22</v>
      </c>
      <c r="L1840">
        <v>9.6000000000000002E-2</v>
      </c>
      <c r="M1840">
        <v>1.43</v>
      </c>
      <c r="N1840">
        <v>5.5999999999999999E-3</v>
      </c>
    </row>
    <row r="1841" spans="1:14" x14ac:dyDescent="0.25">
      <c r="A1841" t="s">
        <v>3424</v>
      </c>
      <c r="B1841" t="s">
        <v>124</v>
      </c>
      <c r="C1841" s="1" t="str">
        <f>HYPERLINK("http://www.genecards.org/cgi-bin/carddisp.pl?gene=ALOX5","GeneCards")</f>
        <v>GeneCards</v>
      </c>
      <c r="D1841" s="1" t="str">
        <f>HYPERLINK("http://genome-euro.ucsc.edu/cgi-bin/hgTracks?position=214366_s_at","UCSC")</f>
        <v>UCSC</v>
      </c>
      <c r="E1841" s="1" t="str">
        <f>HYPERLINK("http://www.ncbi.nlm.nih.gov/gene/?term=ALOX5","NCBI")</f>
        <v>NCBI</v>
      </c>
      <c r="F1841">
        <v>6.3E-3</v>
      </c>
      <c r="G1841">
        <v>5.8000000000000003E-2</v>
      </c>
      <c r="H1841" s="1" t="str">
        <f>HYPERLINK("http://www.weizmann.ac.il/complex/compphys/software/geview/data/figures/214366_s_at.png","Figure")</f>
        <v>Figure</v>
      </c>
      <c r="I1841">
        <v>0.33100000000000002</v>
      </c>
      <c r="J1841">
        <v>7.3000000000000001E-3</v>
      </c>
      <c r="K1841">
        <v>0.45200000000000001</v>
      </c>
      <c r="L1841">
        <v>2.4E-2</v>
      </c>
      <c r="M1841">
        <v>1.37</v>
      </c>
      <c r="N1841">
        <v>0.52</v>
      </c>
    </row>
    <row r="1842" spans="1:14" x14ac:dyDescent="0.25">
      <c r="A1842" t="s">
        <v>3425</v>
      </c>
      <c r="B1842" t="s">
        <v>3426</v>
      </c>
      <c r="C1842" s="1" t="str">
        <f>HYPERLINK("http://www.genecards.org/cgi-bin/carddisp.pl?gene=SIGLEC15","GeneCards")</f>
        <v>GeneCards</v>
      </c>
      <c r="D1842" s="1" t="str">
        <f>HYPERLINK("http://genome-euro.ucsc.edu/cgi-bin/hgTracks?position=215856_at","UCSC")</f>
        <v>UCSC</v>
      </c>
      <c r="E1842" s="1" t="str">
        <f>HYPERLINK("http://www.ncbi.nlm.nih.gov/gene/?term=SIGLEC15","NCBI")</f>
        <v>NCBI</v>
      </c>
      <c r="F1842">
        <v>6.3E-3</v>
      </c>
      <c r="G1842">
        <v>5.8000000000000003E-2</v>
      </c>
      <c r="H1842" s="1" t="str">
        <f>HYPERLINK("http://www.weizmann.ac.il/complex/compphys/software/geview/data/figures/215856_at.png","Figure")</f>
        <v>Figure</v>
      </c>
      <c r="I1842">
        <v>0.42899999999999999</v>
      </c>
      <c r="J1842">
        <v>6.1999999999999998E-3</v>
      </c>
      <c r="K1842">
        <v>0.82299999999999995</v>
      </c>
      <c r="L1842">
        <v>0.59</v>
      </c>
      <c r="M1842">
        <v>1.92</v>
      </c>
      <c r="N1842">
        <v>2.1000000000000001E-2</v>
      </c>
    </row>
    <row r="1843" spans="1:14" x14ac:dyDescent="0.25">
      <c r="A1843" t="s">
        <v>3427</v>
      </c>
      <c r="B1843" t="s">
        <v>3428</v>
      </c>
      <c r="C1843" s="1" t="str">
        <f>HYPERLINK("http://www.genecards.org/cgi-bin/carddisp.pl?gene=PDIA2","GeneCards")</f>
        <v>GeneCards</v>
      </c>
      <c r="D1843" s="1" t="str">
        <f>HYPERLINK("http://genome-euro.ucsc.edu/cgi-bin/hgTracks?position=216127_at","UCSC")</f>
        <v>UCSC</v>
      </c>
      <c r="E1843" s="1" t="str">
        <f>HYPERLINK("http://www.ncbi.nlm.nih.gov/gene/?term=PDIA2","NCBI")</f>
        <v>NCBI</v>
      </c>
      <c r="F1843">
        <v>6.3E-3</v>
      </c>
      <c r="G1843">
        <v>5.8000000000000003E-2</v>
      </c>
      <c r="H1843" s="1" t="str">
        <f>HYPERLINK("http://www.weizmann.ac.il/complex/compphys/software/geview/data/figures/216127_at.png","Figure")</f>
        <v>Figure</v>
      </c>
      <c r="I1843">
        <v>1.28</v>
      </c>
      <c r="J1843">
        <v>6.3E-3</v>
      </c>
      <c r="K1843">
        <v>1.18</v>
      </c>
      <c r="L1843">
        <v>3.2000000000000001E-2</v>
      </c>
      <c r="M1843">
        <v>0.92300000000000004</v>
      </c>
      <c r="N1843">
        <v>0.41</v>
      </c>
    </row>
    <row r="1844" spans="1:14" x14ac:dyDescent="0.25">
      <c r="A1844" t="s">
        <v>3429</v>
      </c>
      <c r="B1844" t="s">
        <v>3430</v>
      </c>
      <c r="C1844" s="1" t="str">
        <f>HYPERLINK("http://www.genecards.org/cgi-bin/carddisp.pl?gene=DYNLL1","GeneCards")</f>
        <v>GeneCards</v>
      </c>
      <c r="D1844" s="1" t="str">
        <f>HYPERLINK("http://genome-euro.ucsc.edu/cgi-bin/hgTracks?position=200703_at","UCSC")</f>
        <v>UCSC</v>
      </c>
      <c r="E1844" s="1" t="str">
        <f>HYPERLINK("http://www.ncbi.nlm.nih.gov/gene/?term=DYNLL1","NCBI")</f>
        <v>NCBI</v>
      </c>
      <c r="F1844">
        <v>6.3E-3</v>
      </c>
      <c r="G1844">
        <v>5.8000000000000003E-2</v>
      </c>
      <c r="H1844" s="1" t="str">
        <f>HYPERLINK("http://www.weizmann.ac.il/complex/compphys/software/geview/data/figures/200703_at.png","Figure")</f>
        <v>Figure</v>
      </c>
      <c r="I1844">
        <v>0.91500000000000004</v>
      </c>
      <c r="J1844">
        <v>0.98</v>
      </c>
      <c r="K1844">
        <v>3.49</v>
      </c>
      <c r="L1844">
        <v>1.6E-2</v>
      </c>
      <c r="M1844">
        <v>3.81</v>
      </c>
      <c r="N1844">
        <v>1.6E-2</v>
      </c>
    </row>
    <row r="1845" spans="1:14" x14ac:dyDescent="0.25">
      <c r="A1845" t="s">
        <v>3431</v>
      </c>
      <c r="B1845" t="s">
        <v>1738</v>
      </c>
      <c r="C1845" s="1" t="str">
        <f>HYPERLINK("http://www.genecards.org/cgi-bin/carddisp.pl?gene=FHL1","GeneCards")</f>
        <v>GeneCards</v>
      </c>
      <c r="D1845" s="1" t="str">
        <f>HYPERLINK("http://genome-euro.ucsc.edu/cgi-bin/hgTracks?position=201540_at","UCSC")</f>
        <v>UCSC</v>
      </c>
      <c r="E1845" s="1" t="str">
        <f>HYPERLINK("http://www.ncbi.nlm.nih.gov/gene/?term=FHL1","NCBI")</f>
        <v>NCBI</v>
      </c>
      <c r="F1845">
        <v>6.3E-3</v>
      </c>
      <c r="G1845">
        <v>5.8000000000000003E-2</v>
      </c>
      <c r="H1845" s="1" t="str">
        <f>HYPERLINK("http://www.weizmann.ac.il/complex/compphys/software/geview/data/figures/201540_at.png","Figure")</f>
        <v>Figure</v>
      </c>
      <c r="I1845">
        <v>0.38</v>
      </c>
      <c r="J1845">
        <v>4.7000000000000002E-3</v>
      </c>
      <c r="K1845">
        <v>0.65300000000000002</v>
      </c>
      <c r="L1845">
        <v>0.16</v>
      </c>
      <c r="M1845">
        <v>1.72</v>
      </c>
      <c r="N1845">
        <v>8.4000000000000005E-2</v>
      </c>
    </row>
    <row r="1846" spans="1:14" x14ac:dyDescent="0.25">
      <c r="A1846" t="s">
        <v>3432</v>
      </c>
      <c r="B1846" t="s">
        <v>3433</v>
      </c>
      <c r="C1846" s="1" t="str">
        <f>HYPERLINK("http://www.genecards.org/cgi-bin/carddisp.pl?gene=LRRC23","GeneCards")</f>
        <v>GeneCards</v>
      </c>
      <c r="D1846" s="1" t="str">
        <f>HYPERLINK("http://genome-euro.ucsc.edu/cgi-bin/hgTracks?position=206076_at","UCSC")</f>
        <v>UCSC</v>
      </c>
      <c r="E1846" s="1" t="str">
        <f>HYPERLINK("http://www.ncbi.nlm.nih.gov/gene/?term=LRRC23","NCBI")</f>
        <v>NCBI</v>
      </c>
      <c r="F1846">
        <v>6.3E-3</v>
      </c>
      <c r="G1846">
        <v>5.8000000000000003E-2</v>
      </c>
      <c r="H1846" s="1" t="str">
        <f>HYPERLINK("http://www.weizmann.ac.il/complex/compphys/software/geview/data/figures/206076_at.png","Figure")</f>
        <v>Figure</v>
      </c>
      <c r="I1846">
        <v>1.3</v>
      </c>
      <c r="J1846">
        <v>4.7000000000000002E-3</v>
      </c>
      <c r="K1846">
        <v>1.1299999999999999</v>
      </c>
      <c r="L1846">
        <v>0.13</v>
      </c>
      <c r="M1846">
        <v>0.86899999999999999</v>
      </c>
      <c r="N1846">
        <v>9.9000000000000005E-2</v>
      </c>
    </row>
    <row r="1847" spans="1:14" x14ac:dyDescent="0.25">
      <c r="A1847" t="s">
        <v>3434</v>
      </c>
      <c r="B1847" t="s">
        <v>3435</v>
      </c>
      <c r="C1847" s="1" t="str">
        <f>HYPERLINK("http://www.genecards.org/cgi-bin/carddisp.pl?gene=GPT","GeneCards")</f>
        <v>GeneCards</v>
      </c>
      <c r="D1847" s="1" t="str">
        <f>HYPERLINK("http://genome-euro.ucsc.edu/cgi-bin/hgTracks?position=206709_x_at","UCSC")</f>
        <v>UCSC</v>
      </c>
      <c r="E1847" s="1" t="str">
        <f>HYPERLINK("http://www.ncbi.nlm.nih.gov/gene/?term=GPT","NCBI")</f>
        <v>NCBI</v>
      </c>
      <c r="F1847">
        <v>6.3E-3</v>
      </c>
      <c r="G1847">
        <v>5.8000000000000003E-2</v>
      </c>
      <c r="H1847" s="1" t="str">
        <f>HYPERLINK("http://www.weizmann.ac.il/complex/compphys/software/geview/data/figures/206709_x_at.png","Figure")</f>
        <v>Figure</v>
      </c>
      <c r="I1847">
        <v>1.1499999999999999</v>
      </c>
      <c r="J1847">
        <v>4.7000000000000002E-3</v>
      </c>
      <c r="K1847">
        <v>1.06</v>
      </c>
      <c r="L1847">
        <v>0.17</v>
      </c>
      <c r="M1847">
        <v>0.92200000000000004</v>
      </c>
      <c r="N1847">
        <v>7.5999999999999998E-2</v>
      </c>
    </row>
    <row r="1848" spans="1:14" x14ac:dyDescent="0.25">
      <c r="A1848" t="s">
        <v>3436</v>
      </c>
      <c r="B1848" t="s">
        <v>3437</v>
      </c>
      <c r="C1848" s="1" t="str">
        <f>HYPERLINK("http://www.genecards.org/cgi-bin/carddisp.pl?gene=IGHG1","GeneCards")</f>
        <v>GeneCards</v>
      </c>
      <c r="D1848" s="1" t="str">
        <f>HYPERLINK("http://genome-euro.ucsc.edu/cgi-bin/hgTracks?position=211908_x_at","UCSC")</f>
        <v>UCSC</v>
      </c>
      <c r="E1848" s="1" t="str">
        <f>HYPERLINK("http://www.ncbi.nlm.nih.gov/gene/?term=IGHG1","NCBI")</f>
        <v>NCBI</v>
      </c>
      <c r="F1848">
        <v>6.3E-3</v>
      </c>
      <c r="G1848">
        <v>5.8000000000000003E-2</v>
      </c>
      <c r="H1848" s="1" t="str">
        <f>HYPERLINK("http://www.weizmann.ac.il/complex/compphys/software/geview/data/figures/211908_x_at.png","Figure")</f>
        <v>Figure</v>
      </c>
      <c r="I1848">
        <v>1.22</v>
      </c>
      <c r="J1848">
        <v>1.2999999999999999E-2</v>
      </c>
      <c r="K1848">
        <v>1</v>
      </c>
      <c r="L1848">
        <v>1</v>
      </c>
      <c r="M1848">
        <v>0.82</v>
      </c>
      <c r="N1848">
        <v>8.5000000000000006E-3</v>
      </c>
    </row>
    <row r="1849" spans="1:14" x14ac:dyDescent="0.25">
      <c r="A1849" t="s">
        <v>3438</v>
      </c>
      <c r="B1849" t="s">
        <v>3439</v>
      </c>
      <c r="C1849" s="1" t="str">
        <f>HYPERLINK("http://www.genecards.org/cgi-bin/carddisp.pl?gene=TSFM","GeneCards")</f>
        <v>GeneCards</v>
      </c>
      <c r="D1849" s="1" t="str">
        <f>HYPERLINK("http://genome-euro.ucsc.edu/cgi-bin/hgTracks?position=212656_at","UCSC")</f>
        <v>UCSC</v>
      </c>
      <c r="E1849" s="1" t="str">
        <f>HYPERLINK("http://www.ncbi.nlm.nih.gov/gene/?term=TSFM","NCBI")</f>
        <v>NCBI</v>
      </c>
      <c r="F1849">
        <v>6.3E-3</v>
      </c>
      <c r="G1849">
        <v>5.8000000000000003E-2</v>
      </c>
      <c r="H1849" s="1" t="str">
        <f>HYPERLINK("http://www.weizmann.ac.il/complex/compphys/software/geview/data/figures/212656_at.png","Figure")</f>
        <v>Figure</v>
      </c>
      <c r="I1849">
        <v>1.4</v>
      </c>
      <c r="J1849">
        <v>6.1999999999999998E-3</v>
      </c>
      <c r="K1849">
        <v>1.25</v>
      </c>
      <c r="L1849">
        <v>3.4000000000000002E-2</v>
      </c>
      <c r="M1849">
        <v>0.89300000000000002</v>
      </c>
      <c r="N1849">
        <v>0.39</v>
      </c>
    </row>
    <row r="1850" spans="1:14" x14ac:dyDescent="0.25">
      <c r="A1850" t="s">
        <v>3440</v>
      </c>
      <c r="B1850" t="s">
        <v>3441</v>
      </c>
      <c r="C1850" s="1" t="str">
        <f>HYPERLINK("http://www.genecards.org/cgi-bin/carddisp.pl?gene=ELP4","GeneCards")</f>
        <v>GeneCards</v>
      </c>
      <c r="D1850" s="1" t="str">
        <f>HYPERLINK("http://genome-euro.ucsc.edu/cgi-bin/hgTracks?position=203829_at","UCSC")</f>
        <v>UCSC</v>
      </c>
      <c r="E1850" s="1" t="str">
        <f>HYPERLINK("http://www.ncbi.nlm.nih.gov/gene/?term=ELP4","NCBI")</f>
        <v>NCBI</v>
      </c>
      <c r="F1850">
        <v>6.3E-3</v>
      </c>
      <c r="G1850">
        <v>5.8000000000000003E-2</v>
      </c>
      <c r="H1850" s="1" t="str">
        <f>HYPERLINK("http://www.weizmann.ac.il/complex/compphys/software/geview/data/figures/203829_at.png","Figure")</f>
        <v>Figure</v>
      </c>
      <c r="I1850">
        <v>1.01</v>
      </c>
      <c r="J1850">
        <v>0.99</v>
      </c>
      <c r="K1850">
        <v>1.48</v>
      </c>
      <c r="L1850">
        <v>1.2E-2</v>
      </c>
      <c r="M1850">
        <v>1.46</v>
      </c>
      <c r="N1850">
        <v>2.1999999999999999E-2</v>
      </c>
    </row>
    <row r="1851" spans="1:14" x14ac:dyDescent="0.25">
      <c r="A1851" t="s">
        <v>3442</v>
      </c>
      <c r="B1851" t="s">
        <v>3443</v>
      </c>
      <c r="C1851" s="1" t="str">
        <f>HYPERLINK("http://www.genecards.org/cgi-bin/carddisp.pl?gene=PRKAR1A","GeneCards")</f>
        <v>GeneCards</v>
      </c>
      <c r="D1851" s="1" t="str">
        <f>HYPERLINK("http://genome-euro.ucsc.edu/cgi-bin/hgTracks?position=200604_s_at","UCSC")</f>
        <v>UCSC</v>
      </c>
      <c r="E1851" s="1" t="str">
        <f>HYPERLINK("http://www.ncbi.nlm.nih.gov/gene/?term=PRKAR1A","NCBI")</f>
        <v>NCBI</v>
      </c>
      <c r="F1851">
        <v>6.3E-3</v>
      </c>
      <c r="G1851">
        <v>5.8000000000000003E-2</v>
      </c>
      <c r="H1851" s="1" t="str">
        <f>HYPERLINK("http://www.weizmann.ac.il/complex/compphys/software/geview/data/figures/200604_s_at.png","Figure")</f>
        <v>Figure</v>
      </c>
      <c r="I1851">
        <v>1.37</v>
      </c>
      <c r="J1851">
        <v>0.28000000000000003</v>
      </c>
      <c r="K1851">
        <v>1.95</v>
      </c>
      <c r="L1851">
        <v>4.8999999999999998E-3</v>
      </c>
      <c r="M1851">
        <v>1.42</v>
      </c>
      <c r="N1851">
        <v>0.17</v>
      </c>
    </row>
    <row r="1852" spans="1:14" x14ac:dyDescent="0.25">
      <c r="A1852" t="s">
        <v>3444</v>
      </c>
      <c r="B1852" t="s">
        <v>3445</v>
      </c>
      <c r="C1852" s="1" t="str">
        <f>HYPERLINK("http://www.genecards.org/cgi-bin/carddisp.pl?gene=LSM4","GeneCards")</f>
        <v>GeneCards</v>
      </c>
      <c r="D1852" s="1" t="str">
        <f>HYPERLINK("http://genome-euro.ucsc.edu/cgi-bin/hgTracks?position=202737_s_at","UCSC")</f>
        <v>UCSC</v>
      </c>
      <c r="E1852" s="1" t="str">
        <f>HYPERLINK("http://www.ncbi.nlm.nih.gov/gene/?term=LSM4","NCBI")</f>
        <v>NCBI</v>
      </c>
      <c r="F1852">
        <v>6.3E-3</v>
      </c>
      <c r="G1852">
        <v>5.8000000000000003E-2</v>
      </c>
      <c r="H1852" s="1" t="str">
        <f>HYPERLINK("http://www.weizmann.ac.il/complex/compphys/software/geview/data/figures/202737_s_at.png","Figure")</f>
        <v>Figure</v>
      </c>
      <c r="I1852">
        <v>0.83599999999999997</v>
      </c>
      <c r="J1852">
        <v>0.64</v>
      </c>
      <c r="K1852">
        <v>1.62</v>
      </c>
      <c r="L1852">
        <v>3.6999999999999998E-2</v>
      </c>
      <c r="M1852">
        <v>1.94</v>
      </c>
      <c r="N1852">
        <v>8.3999999999999995E-3</v>
      </c>
    </row>
    <row r="1853" spans="1:14" x14ac:dyDescent="0.25">
      <c r="A1853" t="s">
        <v>3446</v>
      </c>
      <c r="B1853" t="s">
        <v>3447</v>
      </c>
      <c r="C1853" s="1" t="str">
        <f>HYPERLINK("http://www.genecards.org/cgi-bin/carddisp.pl?gene=RAB27A","GeneCards")</f>
        <v>GeneCards</v>
      </c>
      <c r="D1853" s="1" t="str">
        <f>HYPERLINK("http://genome-euro.ucsc.edu/cgi-bin/hgTracks?position=209515_s_at","UCSC")</f>
        <v>UCSC</v>
      </c>
      <c r="E1853" s="1" t="str">
        <f>HYPERLINK("http://www.ncbi.nlm.nih.gov/gene/?term=RAB27A","NCBI")</f>
        <v>NCBI</v>
      </c>
      <c r="F1853">
        <v>6.3E-3</v>
      </c>
      <c r="G1853">
        <v>5.8000000000000003E-2</v>
      </c>
      <c r="H1853" s="1" t="str">
        <f>HYPERLINK("http://www.weizmann.ac.il/complex/compphys/software/geview/data/figures/209515_s_at.png","Figure")</f>
        <v>Figure</v>
      </c>
      <c r="I1853">
        <v>0.53100000000000003</v>
      </c>
      <c r="J1853">
        <v>2.5000000000000001E-2</v>
      </c>
      <c r="K1853">
        <v>1.1200000000000001</v>
      </c>
      <c r="L1853">
        <v>0.81</v>
      </c>
      <c r="M1853">
        <v>2.11</v>
      </c>
      <c r="N1853">
        <v>5.7999999999999996E-3</v>
      </c>
    </row>
    <row r="1854" spans="1:14" x14ac:dyDescent="0.25">
      <c r="A1854" t="s">
        <v>3448</v>
      </c>
      <c r="B1854" t="s">
        <v>1473</v>
      </c>
      <c r="C1854" s="1" t="str">
        <f>HYPERLINK("http://www.genecards.org/cgi-bin/carddisp.pl?gene=LOC339290","GeneCards")</f>
        <v>GeneCards</v>
      </c>
      <c r="D1854" s="1" t="str">
        <f>HYPERLINK("http://genome-euro.ucsc.edu/cgi-bin/hgTracks?position=217506_at","UCSC")</f>
        <v>UCSC</v>
      </c>
      <c r="E1854" s="1" t="str">
        <f>HYPERLINK("http://www.ncbi.nlm.nih.gov/gene/?term=LOC339290","NCBI")</f>
        <v>NCBI</v>
      </c>
      <c r="F1854">
        <v>6.3E-3</v>
      </c>
      <c r="G1854">
        <v>5.8000000000000003E-2</v>
      </c>
      <c r="H1854" s="1" t="str">
        <f>HYPERLINK("http://www.weizmann.ac.il/complex/compphys/software/geview/data/figures/217506_at.png","Figure")</f>
        <v>Figure</v>
      </c>
      <c r="I1854">
        <v>0.51</v>
      </c>
      <c r="J1854">
        <v>4.8999999999999998E-3</v>
      </c>
      <c r="K1854">
        <v>0.77800000000000002</v>
      </c>
      <c r="L1854">
        <v>0.25</v>
      </c>
      <c r="M1854">
        <v>1.53</v>
      </c>
      <c r="N1854">
        <v>5.1999999999999998E-2</v>
      </c>
    </row>
    <row r="1855" spans="1:14" x14ac:dyDescent="0.25">
      <c r="A1855" t="s">
        <v>3449</v>
      </c>
      <c r="B1855" t="s">
        <v>3450</v>
      </c>
      <c r="C1855" s="1" t="str">
        <f>HYPERLINK("http://www.genecards.org/cgi-bin/carddisp.pl?gene=MAGEF1","GeneCards")</f>
        <v>GeneCards</v>
      </c>
      <c r="D1855" s="1" t="str">
        <f>HYPERLINK("http://genome-euro.ucsc.edu/cgi-bin/hgTracks?position=218176_at","UCSC")</f>
        <v>UCSC</v>
      </c>
      <c r="E1855" s="1" t="str">
        <f>HYPERLINK("http://www.ncbi.nlm.nih.gov/gene/?term=MAGEF1","NCBI")</f>
        <v>NCBI</v>
      </c>
      <c r="F1855">
        <v>6.3E-3</v>
      </c>
      <c r="G1855">
        <v>5.8000000000000003E-2</v>
      </c>
      <c r="H1855" s="1" t="str">
        <f>HYPERLINK("http://www.weizmann.ac.il/complex/compphys/software/geview/data/figures/218176_at.png","Figure")</f>
        <v>Figure</v>
      </c>
      <c r="I1855">
        <v>1.91</v>
      </c>
      <c r="J1855">
        <v>1.7000000000000001E-2</v>
      </c>
      <c r="K1855">
        <v>1.86</v>
      </c>
      <c r="L1855">
        <v>9.1999999999999998E-3</v>
      </c>
      <c r="M1855">
        <v>0.97599999999999998</v>
      </c>
      <c r="N1855">
        <v>0.99</v>
      </c>
    </row>
    <row r="1856" spans="1:14" x14ac:dyDescent="0.25">
      <c r="A1856" t="s">
        <v>3451</v>
      </c>
      <c r="B1856" t="s">
        <v>3452</v>
      </c>
      <c r="C1856" s="1" t="str">
        <f>HYPERLINK("http://www.genecards.org/cgi-bin/carddisp.pl?gene=EXOSC5","GeneCards")</f>
        <v>GeneCards</v>
      </c>
      <c r="D1856" s="1" t="str">
        <f>HYPERLINK("http://genome-euro.ucsc.edu/cgi-bin/hgTracks?position=218481_at","UCSC")</f>
        <v>UCSC</v>
      </c>
      <c r="E1856" s="1" t="str">
        <f>HYPERLINK("http://www.ncbi.nlm.nih.gov/gene/?term=EXOSC5","NCBI")</f>
        <v>NCBI</v>
      </c>
      <c r="F1856">
        <v>6.3E-3</v>
      </c>
      <c r="G1856">
        <v>5.8000000000000003E-2</v>
      </c>
      <c r="H1856" s="1" t="str">
        <f>HYPERLINK("http://www.weizmann.ac.il/complex/compphys/software/geview/data/figures/218481_at.png","Figure")</f>
        <v>Figure</v>
      </c>
      <c r="I1856">
        <v>1.04</v>
      </c>
      <c r="J1856">
        <v>0.94</v>
      </c>
      <c r="K1856">
        <v>1.46</v>
      </c>
      <c r="L1856">
        <v>9.5999999999999992E-3</v>
      </c>
      <c r="M1856">
        <v>1.4</v>
      </c>
      <c r="N1856">
        <v>2.9000000000000001E-2</v>
      </c>
    </row>
    <row r="1857" spans="1:14" x14ac:dyDescent="0.25">
      <c r="A1857" t="s">
        <v>3453</v>
      </c>
      <c r="B1857" t="s">
        <v>3454</v>
      </c>
      <c r="C1857" s="1" t="str">
        <f>HYPERLINK("http://www.genecards.org/cgi-bin/carddisp.pl?gene=C19orf42","GeneCards")</f>
        <v>GeneCards</v>
      </c>
      <c r="D1857" s="1" t="str">
        <f>HYPERLINK("http://genome-euro.ucsc.edu/cgi-bin/hgTracks?position=219097_x_at","UCSC")</f>
        <v>UCSC</v>
      </c>
      <c r="E1857" s="1" t="str">
        <f>HYPERLINK("http://www.ncbi.nlm.nih.gov/gene/?term=C19orf42","NCBI")</f>
        <v>NCBI</v>
      </c>
      <c r="F1857">
        <v>6.3E-3</v>
      </c>
      <c r="G1857">
        <v>5.8000000000000003E-2</v>
      </c>
      <c r="H1857" s="1" t="str">
        <f>HYPERLINK("http://www.weizmann.ac.il/complex/compphys/software/geview/data/figures/219097_x_at.png","Figure")</f>
        <v>Figure</v>
      </c>
      <c r="I1857">
        <v>1.32</v>
      </c>
      <c r="J1857">
        <v>6.3E-3</v>
      </c>
      <c r="K1857">
        <v>1.21</v>
      </c>
      <c r="L1857">
        <v>3.3000000000000002E-2</v>
      </c>
      <c r="M1857">
        <v>0.91100000000000003</v>
      </c>
      <c r="N1857">
        <v>0.4</v>
      </c>
    </row>
    <row r="1858" spans="1:14" x14ac:dyDescent="0.25">
      <c r="A1858" t="s">
        <v>3455</v>
      </c>
      <c r="B1858" t="s">
        <v>3456</v>
      </c>
      <c r="C1858" s="1" t="str">
        <f>HYPERLINK("http://www.genecards.org/cgi-bin/carddisp.pl?gene=GP2","GeneCards")</f>
        <v>GeneCards</v>
      </c>
      <c r="D1858" s="1" t="str">
        <f>HYPERLINK("http://genome-euro.ucsc.edu/cgi-bin/hgTracks?position=206681_x_at","UCSC")</f>
        <v>UCSC</v>
      </c>
      <c r="E1858" s="1" t="str">
        <f>HYPERLINK("http://www.ncbi.nlm.nih.gov/gene/?term=GP2","NCBI")</f>
        <v>NCBI</v>
      </c>
      <c r="F1858">
        <v>6.3E-3</v>
      </c>
      <c r="G1858">
        <v>5.8000000000000003E-2</v>
      </c>
      <c r="H1858" s="1" t="str">
        <f>HYPERLINK("http://www.weizmann.ac.il/complex/compphys/software/geview/data/figures/206681_x_at.png","Figure")</f>
        <v>Figure</v>
      </c>
      <c r="I1858">
        <v>1.28</v>
      </c>
      <c r="J1858">
        <v>8.9999999999999993E-3</v>
      </c>
      <c r="K1858">
        <v>1.03</v>
      </c>
      <c r="L1858">
        <v>0.9</v>
      </c>
      <c r="M1858">
        <v>0.80100000000000005</v>
      </c>
      <c r="N1858">
        <v>1.2E-2</v>
      </c>
    </row>
    <row r="1859" spans="1:14" x14ac:dyDescent="0.25">
      <c r="A1859" t="s">
        <v>3457</v>
      </c>
      <c r="B1859" t="s">
        <v>3458</v>
      </c>
      <c r="C1859" s="1" t="str">
        <f>HYPERLINK("http://www.genecards.org/cgi-bin/carddisp.pl?gene=MUC2","GeneCards")</f>
        <v>GeneCards</v>
      </c>
      <c r="D1859" s="1" t="str">
        <f>HYPERLINK("http://genome-euro.ucsc.edu/cgi-bin/hgTracks?position=204673_at","UCSC")</f>
        <v>UCSC</v>
      </c>
      <c r="E1859" s="1" t="str">
        <f>HYPERLINK("http://www.ncbi.nlm.nih.gov/gene/?term=MUC2","NCBI")</f>
        <v>NCBI</v>
      </c>
      <c r="F1859">
        <v>6.4000000000000003E-3</v>
      </c>
      <c r="G1859">
        <v>5.8000000000000003E-2</v>
      </c>
      <c r="H1859" s="1" t="str">
        <f>HYPERLINK("http://www.weizmann.ac.il/complex/compphys/software/geview/data/figures/204673_at.png","Figure")</f>
        <v>Figure</v>
      </c>
      <c r="I1859">
        <v>1.17</v>
      </c>
      <c r="J1859">
        <v>0.02</v>
      </c>
      <c r="K1859">
        <v>0.98299999999999998</v>
      </c>
      <c r="L1859">
        <v>0.92</v>
      </c>
      <c r="M1859">
        <v>0.83799999999999997</v>
      </c>
      <c r="N1859">
        <v>6.4999999999999997E-3</v>
      </c>
    </row>
    <row r="1860" spans="1:14" x14ac:dyDescent="0.25">
      <c r="A1860" t="s">
        <v>3459</v>
      </c>
      <c r="B1860" t="s">
        <v>3460</v>
      </c>
      <c r="C1860" s="1" t="str">
        <f>HYPERLINK("http://www.genecards.org/cgi-bin/carddisp.pl?gene=CEP290","GeneCards")</f>
        <v>GeneCards</v>
      </c>
      <c r="D1860" s="1" t="str">
        <f>HYPERLINK("http://genome-euro.ucsc.edu/cgi-bin/hgTracks?position=205250_s_at","UCSC")</f>
        <v>UCSC</v>
      </c>
      <c r="E1860" s="1" t="str">
        <f>HYPERLINK("http://www.ncbi.nlm.nih.gov/gene/?term=CEP290","NCBI")</f>
        <v>NCBI</v>
      </c>
      <c r="F1860">
        <v>6.4000000000000003E-3</v>
      </c>
      <c r="G1860">
        <v>5.8000000000000003E-2</v>
      </c>
      <c r="H1860" s="1" t="str">
        <f>HYPERLINK("http://www.weizmann.ac.il/complex/compphys/software/geview/data/figures/205250_s_at.png","Figure")</f>
        <v>Figure</v>
      </c>
      <c r="I1860">
        <v>0.73699999999999999</v>
      </c>
      <c r="J1860">
        <v>3.4000000000000002E-2</v>
      </c>
      <c r="K1860">
        <v>1.08</v>
      </c>
      <c r="L1860">
        <v>0.68</v>
      </c>
      <c r="M1860">
        <v>1.47</v>
      </c>
      <c r="N1860">
        <v>5.3E-3</v>
      </c>
    </row>
    <row r="1861" spans="1:14" x14ac:dyDescent="0.25">
      <c r="A1861" t="s">
        <v>3461</v>
      </c>
      <c r="B1861" t="s">
        <v>3462</v>
      </c>
      <c r="C1861" s="1" t="str">
        <f>HYPERLINK("http://www.genecards.org/cgi-bin/carddisp.pl?gene=CDKN2D","GeneCards")</f>
        <v>GeneCards</v>
      </c>
      <c r="D1861" s="1" t="str">
        <f>HYPERLINK("http://genome-euro.ucsc.edu/cgi-bin/hgTracks?position=210240_s_at","UCSC")</f>
        <v>UCSC</v>
      </c>
      <c r="E1861" s="1" t="str">
        <f>HYPERLINK("http://www.ncbi.nlm.nih.gov/gene/?term=CDKN2D","NCBI")</f>
        <v>NCBI</v>
      </c>
      <c r="F1861">
        <v>6.4000000000000003E-3</v>
      </c>
      <c r="G1861">
        <v>5.8000000000000003E-2</v>
      </c>
      <c r="H1861" s="1" t="str">
        <f>HYPERLINK("http://www.weizmann.ac.il/complex/compphys/software/geview/data/figures/210240_s_at.png","Figure")</f>
        <v>Figure</v>
      </c>
      <c r="I1861">
        <v>1.41</v>
      </c>
      <c r="J1861">
        <v>0.17</v>
      </c>
      <c r="K1861">
        <v>1.85</v>
      </c>
      <c r="L1861">
        <v>4.7000000000000002E-3</v>
      </c>
      <c r="M1861">
        <v>1.31</v>
      </c>
      <c r="N1861">
        <v>0.28000000000000003</v>
      </c>
    </row>
    <row r="1862" spans="1:14" x14ac:dyDescent="0.25">
      <c r="A1862" t="s">
        <v>3463</v>
      </c>
      <c r="B1862" t="s">
        <v>3464</v>
      </c>
      <c r="C1862" s="1" t="str">
        <f>HYPERLINK("http://www.genecards.org/cgi-bin/carddisp.pl?gene=RAI14","GeneCards")</f>
        <v>GeneCards</v>
      </c>
      <c r="D1862" s="1" t="str">
        <f>HYPERLINK("http://genome-euro.ucsc.edu/cgi-bin/hgTracks?position=202052_s_at","UCSC")</f>
        <v>UCSC</v>
      </c>
      <c r="E1862" s="1" t="str">
        <f>HYPERLINK("http://www.ncbi.nlm.nih.gov/gene/?term=RAI14","NCBI")</f>
        <v>NCBI</v>
      </c>
      <c r="F1862">
        <v>6.4000000000000003E-3</v>
      </c>
      <c r="G1862">
        <v>5.8000000000000003E-2</v>
      </c>
      <c r="H1862" s="1" t="str">
        <f>HYPERLINK("http://www.weizmann.ac.il/complex/compphys/software/geview/data/figures/202052_s_at.png","Figure")</f>
        <v>Figure</v>
      </c>
      <c r="I1862">
        <v>0.625</v>
      </c>
      <c r="J1862">
        <v>9.0999999999999998E-2</v>
      </c>
      <c r="K1862">
        <v>1.32</v>
      </c>
      <c r="L1862">
        <v>0.3</v>
      </c>
      <c r="M1862">
        <v>2.11</v>
      </c>
      <c r="N1862">
        <v>4.7000000000000002E-3</v>
      </c>
    </row>
    <row r="1863" spans="1:14" x14ac:dyDescent="0.25">
      <c r="A1863" t="s">
        <v>3465</v>
      </c>
      <c r="B1863" t="s">
        <v>3466</v>
      </c>
      <c r="C1863" s="1" t="str">
        <f>HYPERLINK("http://www.genecards.org/cgi-bin/carddisp.pl?gene=NOP56","GeneCards")</f>
        <v>GeneCards</v>
      </c>
      <c r="D1863" s="1" t="str">
        <f>HYPERLINK("http://genome-euro.ucsc.edu/cgi-bin/hgTracks?position=200874_s_at","UCSC")</f>
        <v>UCSC</v>
      </c>
      <c r="E1863" s="1" t="str">
        <f>HYPERLINK("http://www.ncbi.nlm.nih.gov/gene/?term=NOP56","NCBI")</f>
        <v>NCBI</v>
      </c>
      <c r="F1863">
        <v>6.4000000000000003E-3</v>
      </c>
      <c r="G1863">
        <v>5.8000000000000003E-2</v>
      </c>
      <c r="H1863" s="1" t="str">
        <f>HYPERLINK("http://www.weizmann.ac.il/complex/compphys/software/geview/data/figures/200874_s_at.png","Figure")</f>
        <v>Figure</v>
      </c>
      <c r="I1863">
        <v>1.71</v>
      </c>
      <c r="J1863">
        <v>1.2999999999999999E-2</v>
      </c>
      <c r="K1863">
        <v>1.6</v>
      </c>
      <c r="L1863">
        <v>1.2E-2</v>
      </c>
      <c r="M1863">
        <v>0.94</v>
      </c>
      <c r="N1863">
        <v>0.91</v>
      </c>
    </row>
    <row r="1864" spans="1:14" x14ac:dyDescent="0.25">
      <c r="A1864" t="s">
        <v>3467</v>
      </c>
      <c r="B1864" t="s">
        <v>3468</v>
      </c>
      <c r="C1864" s="1" t="str">
        <f>HYPERLINK("http://www.genecards.org/cgi-bin/carddisp.pl?gene=IL10RB","GeneCards")</f>
        <v>GeneCards</v>
      </c>
      <c r="D1864" s="1" t="str">
        <f>HYPERLINK("http://genome-euro.ucsc.edu/cgi-bin/hgTracks?position=209575_at","UCSC")</f>
        <v>UCSC</v>
      </c>
      <c r="E1864" s="1" t="str">
        <f>HYPERLINK("http://www.ncbi.nlm.nih.gov/gene/?term=IL10RB","NCBI")</f>
        <v>NCBI</v>
      </c>
      <c r="F1864">
        <v>6.4000000000000003E-3</v>
      </c>
      <c r="G1864">
        <v>5.8000000000000003E-2</v>
      </c>
      <c r="H1864" s="1" t="str">
        <f>HYPERLINK("http://www.weizmann.ac.il/complex/compphys/software/geview/data/figures/209575_at.png","Figure")</f>
        <v>Figure</v>
      </c>
      <c r="I1864">
        <v>0.59</v>
      </c>
      <c r="J1864">
        <v>1.2999999999999999E-2</v>
      </c>
      <c r="K1864">
        <v>0.996</v>
      </c>
      <c r="L1864">
        <v>1</v>
      </c>
      <c r="M1864">
        <v>1.69</v>
      </c>
      <c r="N1864">
        <v>8.6E-3</v>
      </c>
    </row>
    <row r="1865" spans="1:14" x14ac:dyDescent="0.25">
      <c r="A1865" t="s">
        <v>3469</v>
      </c>
      <c r="B1865" t="s">
        <v>3470</v>
      </c>
      <c r="C1865" s="1" t="str">
        <f>HYPERLINK("http://www.genecards.org/cgi-bin/carddisp.pl?gene=USP47","GeneCards")</f>
        <v>GeneCards</v>
      </c>
      <c r="D1865" s="1" t="str">
        <f>HYPERLINK("http://genome-euro.ucsc.edu/cgi-bin/hgTracks?position=221518_s_at","UCSC")</f>
        <v>UCSC</v>
      </c>
      <c r="E1865" s="1" t="str">
        <f>HYPERLINK("http://www.ncbi.nlm.nih.gov/gene/?term=USP47","NCBI")</f>
        <v>NCBI</v>
      </c>
      <c r="F1865">
        <v>6.4000000000000003E-3</v>
      </c>
      <c r="G1865">
        <v>5.8000000000000003E-2</v>
      </c>
      <c r="H1865" s="1" t="str">
        <f>HYPERLINK("http://www.weizmann.ac.il/complex/compphys/software/geview/data/figures/221518_s_at.png","Figure")</f>
        <v>Figure</v>
      </c>
      <c r="I1865">
        <v>1.53</v>
      </c>
      <c r="J1865">
        <v>5.2999999999999999E-2</v>
      </c>
      <c r="K1865">
        <v>0.84599999999999997</v>
      </c>
      <c r="L1865">
        <v>0.49</v>
      </c>
      <c r="M1865">
        <v>0.55200000000000005</v>
      </c>
      <c r="N1865">
        <v>4.8999999999999998E-3</v>
      </c>
    </row>
    <row r="1866" spans="1:14" x14ac:dyDescent="0.25">
      <c r="A1866" t="s">
        <v>3471</v>
      </c>
      <c r="B1866" t="s">
        <v>3472</v>
      </c>
      <c r="C1866" s="1" t="str">
        <f>HYPERLINK("http://www.genecards.org/cgi-bin/carddisp.pl?gene=C3orf37","GeneCards")</f>
        <v>GeneCards</v>
      </c>
      <c r="D1866" s="1" t="str">
        <f>HYPERLINK("http://genome-euro.ucsc.edu/cgi-bin/hgTracks?position=201678_s_at","UCSC")</f>
        <v>UCSC</v>
      </c>
      <c r="E1866" s="1" t="str">
        <f>HYPERLINK("http://www.ncbi.nlm.nih.gov/gene/?term=C3orf37","NCBI")</f>
        <v>NCBI</v>
      </c>
      <c r="F1866">
        <v>6.4000000000000003E-3</v>
      </c>
      <c r="G1866">
        <v>5.8000000000000003E-2</v>
      </c>
      <c r="H1866" s="1" t="str">
        <f>HYPERLINK("http://www.weizmann.ac.il/complex/compphys/software/geview/data/figures/201678_s_at.png","Figure")</f>
        <v>Figure</v>
      </c>
      <c r="I1866">
        <v>1.85</v>
      </c>
      <c r="J1866">
        <v>6.3E-3</v>
      </c>
      <c r="K1866">
        <v>1.1499999999999999</v>
      </c>
      <c r="L1866">
        <v>0.6</v>
      </c>
      <c r="M1866">
        <v>0.623</v>
      </c>
      <c r="N1866">
        <v>2.1000000000000001E-2</v>
      </c>
    </row>
    <row r="1867" spans="1:14" x14ac:dyDescent="0.25">
      <c r="A1867" t="s">
        <v>3473</v>
      </c>
      <c r="B1867" t="s">
        <v>3474</v>
      </c>
      <c r="C1867" s="1" t="str">
        <f>HYPERLINK("http://www.genecards.org/cgi-bin/carddisp.pl?gene=TP53BP2","GeneCards")</f>
        <v>GeneCards</v>
      </c>
      <c r="D1867" s="1" t="str">
        <f>HYPERLINK("http://genome-euro.ucsc.edu/cgi-bin/hgTracks?position=203120_at","UCSC")</f>
        <v>UCSC</v>
      </c>
      <c r="E1867" s="1" t="str">
        <f>HYPERLINK("http://www.ncbi.nlm.nih.gov/gene/?term=TP53BP2","NCBI")</f>
        <v>NCBI</v>
      </c>
      <c r="F1867">
        <v>6.4000000000000003E-3</v>
      </c>
      <c r="G1867">
        <v>5.8000000000000003E-2</v>
      </c>
      <c r="H1867" s="1" t="str">
        <f>HYPERLINK("http://www.weizmann.ac.il/complex/compphys/software/geview/data/figures/203120_at.png","Figure")</f>
        <v>Figure</v>
      </c>
      <c r="I1867">
        <v>1.43</v>
      </c>
      <c r="J1867">
        <v>0.39</v>
      </c>
      <c r="K1867">
        <v>0.57299999999999995</v>
      </c>
      <c r="L1867">
        <v>7.0000000000000007E-2</v>
      </c>
      <c r="M1867">
        <v>0.40200000000000002</v>
      </c>
      <c r="N1867">
        <v>6.3E-3</v>
      </c>
    </row>
    <row r="1868" spans="1:14" x14ac:dyDescent="0.25">
      <c r="A1868" t="s">
        <v>3475</v>
      </c>
      <c r="B1868" t="s">
        <v>1481</v>
      </c>
      <c r="C1868" s="1" t="str">
        <f>HYPERLINK("http://www.genecards.org/cgi-bin/carddisp.pl?gene=HPS4","GeneCards")</f>
        <v>GeneCards</v>
      </c>
      <c r="D1868" s="1" t="str">
        <f>HYPERLINK("http://genome-euro.ucsc.edu/cgi-bin/hgTracks?position=54037_at","UCSC")</f>
        <v>UCSC</v>
      </c>
      <c r="E1868" s="1" t="str">
        <f>HYPERLINK("http://www.ncbi.nlm.nih.gov/gene/?term=HPS4","NCBI")</f>
        <v>NCBI</v>
      </c>
      <c r="F1868">
        <v>6.4000000000000003E-3</v>
      </c>
      <c r="G1868">
        <v>5.8000000000000003E-2</v>
      </c>
      <c r="H1868" s="1" t="str">
        <f>HYPERLINK("http://www.weizmann.ac.il/complex/compphys/software/geview/data/figures/54037_at.png","Figure")</f>
        <v>Figure</v>
      </c>
      <c r="I1868">
        <v>2.93</v>
      </c>
      <c r="J1868">
        <v>7.7000000000000002E-3</v>
      </c>
      <c r="K1868">
        <v>1.18</v>
      </c>
      <c r="L1868">
        <v>0.79</v>
      </c>
      <c r="M1868">
        <v>0.40400000000000003</v>
      </c>
      <c r="N1868">
        <v>1.4999999999999999E-2</v>
      </c>
    </row>
    <row r="1869" spans="1:14" x14ac:dyDescent="0.25">
      <c r="A1869" t="s">
        <v>3476</v>
      </c>
      <c r="B1869" t="s">
        <v>1511</v>
      </c>
      <c r="C1869" s="1" t="str">
        <f>HYPERLINK("http://www.genecards.org/cgi-bin/carddisp.pl?gene=H3F3A /// H3F3B /// LOC440926","GeneCards")</f>
        <v>GeneCards</v>
      </c>
      <c r="D1869" s="1" t="str">
        <f>HYPERLINK("http://genome-euro.ucsc.edu/cgi-bin/hgTracks?position=213828_x_at","UCSC")</f>
        <v>UCSC</v>
      </c>
      <c r="E1869" s="1" t="str">
        <f>HYPERLINK("http://www.ncbi.nlm.nih.gov/gene/?term=H3F3A /// H3F3B /// LOC440926","NCBI")</f>
        <v>NCBI</v>
      </c>
      <c r="F1869">
        <v>6.4000000000000003E-3</v>
      </c>
      <c r="G1869">
        <v>5.8999999999999997E-2</v>
      </c>
      <c r="H1869" s="1" t="str">
        <f>HYPERLINK("http://www.weizmann.ac.il/complex/compphys/software/geview/data/figures/213828_x_at.png","Figure")</f>
        <v>Figure</v>
      </c>
      <c r="I1869">
        <v>1.63</v>
      </c>
      <c r="J1869">
        <v>1.4E-2</v>
      </c>
      <c r="K1869">
        <v>1.56</v>
      </c>
      <c r="L1869">
        <v>1.0999999999999999E-2</v>
      </c>
      <c r="M1869">
        <v>0.95399999999999996</v>
      </c>
      <c r="N1869">
        <v>0.94</v>
      </c>
    </row>
    <row r="1870" spans="1:14" x14ac:dyDescent="0.25">
      <c r="A1870" t="s">
        <v>3477</v>
      </c>
      <c r="B1870" t="s">
        <v>3478</v>
      </c>
      <c r="C1870" s="1" t="str">
        <f>HYPERLINK("http://www.genecards.org/cgi-bin/carddisp.pl?gene=DEK","GeneCards")</f>
        <v>GeneCards</v>
      </c>
      <c r="D1870" s="1" t="str">
        <f>HYPERLINK("http://genome-euro.ucsc.edu/cgi-bin/hgTracks?position=200934_at","UCSC")</f>
        <v>UCSC</v>
      </c>
      <c r="E1870" s="1" t="str">
        <f>HYPERLINK("http://www.ncbi.nlm.nih.gov/gene/?term=DEK","NCBI")</f>
        <v>NCBI</v>
      </c>
      <c r="F1870">
        <v>6.4000000000000003E-3</v>
      </c>
      <c r="G1870">
        <v>5.8999999999999997E-2</v>
      </c>
      <c r="H1870" s="1" t="str">
        <f>HYPERLINK("http://www.weizmann.ac.il/complex/compphys/software/geview/data/figures/200934_at.png","Figure")</f>
        <v>Figure</v>
      </c>
      <c r="I1870">
        <v>0.99299999999999999</v>
      </c>
      <c r="J1870">
        <v>1</v>
      </c>
      <c r="K1870">
        <v>1.43</v>
      </c>
      <c r="L1870">
        <v>1.4E-2</v>
      </c>
      <c r="M1870">
        <v>1.44</v>
      </c>
      <c r="N1870">
        <v>1.9E-2</v>
      </c>
    </row>
    <row r="1871" spans="1:14" x14ac:dyDescent="0.25">
      <c r="A1871" t="s">
        <v>3479</v>
      </c>
      <c r="B1871" t="s">
        <v>3480</v>
      </c>
      <c r="C1871" s="1" t="str">
        <f>HYPERLINK("http://www.genecards.org/cgi-bin/carddisp.pl?gene=NDUFB2","GeneCards")</f>
        <v>GeneCards</v>
      </c>
      <c r="D1871" s="1" t="str">
        <f>HYPERLINK("http://genome-euro.ucsc.edu/cgi-bin/hgTracks?position=218200_s_at","UCSC")</f>
        <v>UCSC</v>
      </c>
      <c r="E1871" s="1" t="str">
        <f>HYPERLINK("http://www.ncbi.nlm.nih.gov/gene/?term=NDUFB2","NCBI")</f>
        <v>NCBI</v>
      </c>
      <c r="F1871">
        <v>6.4000000000000003E-3</v>
      </c>
      <c r="G1871">
        <v>5.8999999999999997E-2</v>
      </c>
      <c r="H1871" s="1" t="str">
        <f>HYPERLINK("http://www.weizmann.ac.il/complex/compphys/software/geview/data/figures/218200_s_at.png","Figure")</f>
        <v>Figure</v>
      </c>
      <c r="I1871">
        <v>1.23</v>
      </c>
      <c r="J1871">
        <v>0.5</v>
      </c>
      <c r="K1871">
        <v>1.8</v>
      </c>
      <c r="L1871">
        <v>5.7999999999999996E-3</v>
      </c>
      <c r="M1871">
        <v>1.47</v>
      </c>
      <c r="N1871">
        <v>8.8999999999999996E-2</v>
      </c>
    </row>
    <row r="1872" spans="1:14" x14ac:dyDescent="0.25">
      <c r="A1872" t="s">
        <v>3481</v>
      </c>
      <c r="B1872" t="s">
        <v>3482</v>
      </c>
      <c r="C1872" s="1" t="str">
        <f>HYPERLINK("http://www.genecards.org/cgi-bin/carddisp.pl?gene=CUL4A","GeneCards")</f>
        <v>GeneCards</v>
      </c>
      <c r="D1872" s="1" t="str">
        <f>HYPERLINK("http://genome-euro.ucsc.edu/cgi-bin/hgTracks?position=201424_s_at","UCSC")</f>
        <v>UCSC</v>
      </c>
      <c r="E1872" s="1" t="str">
        <f>HYPERLINK("http://www.ncbi.nlm.nih.gov/gene/?term=CUL4A","NCBI")</f>
        <v>NCBI</v>
      </c>
      <c r="F1872">
        <v>6.4999999999999997E-3</v>
      </c>
      <c r="G1872">
        <v>5.8999999999999997E-2</v>
      </c>
      <c r="H1872" s="1" t="str">
        <f>HYPERLINK("http://www.weizmann.ac.il/complex/compphys/software/geview/data/figures/201424_s_at.png","Figure")</f>
        <v>Figure</v>
      </c>
      <c r="I1872">
        <v>0.54100000000000004</v>
      </c>
      <c r="J1872">
        <v>8.2000000000000007E-3</v>
      </c>
      <c r="K1872">
        <v>0.91800000000000004</v>
      </c>
      <c r="L1872">
        <v>0.83</v>
      </c>
      <c r="M1872">
        <v>1.7</v>
      </c>
      <c r="N1872">
        <v>1.4E-2</v>
      </c>
    </row>
    <row r="1873" spans="1:14" x14ac:dyDescent="0.25">
      <c r="A1873" t="s">
        <v>3483</v>
      </c>
      <c r="B1873" t="s">
        <v>3484</v>
      </c>
      <c r="C1873" s="1" t="str">
        <f>HYPERLINK("http://www.genecards.org/cgi-bin/carddisp.pl?gene=ATRX","GeneCards")</f>
        <v>GeneCards</v>
      </c>
      <c r="D1873" s="1" t="str">
        <f>HYPERLINK("http://genome-euro.ucsc.edu/cgi-bin/hgTracks?position=208860_s_at","UCSC")</f>
        <v>UCSC</v>
      </c>
      <c r="E1873" s="1" t="str">
        <f>HYPERLINK("http://www.ncbi.nlm.nih.gov/gene/?term=ATRX","NCBI")</f>
        <v>NCBI</v>
      </c>
      <c r="F1873">
        <v>6.4999999999999997E-3</v>
      </c>
      <c r="G1873">
        <v>5.8999999999999997E-2</v>
      </c>
      <c r="H1873" s="1" t="str">
        <f>HYPERLINK("http://www.weizmann.ac.il/complex/compphys/software/geview/data/figures/208860_s_at.png","Figure")</f>
        <v>Figure</v>
      </c>
      <c r="I1873">
        <v>0.48499999999999999</v>
      </c>
      <c r="J1873">
        <v>1.4999999999999999E-2</v>
      </c>
      <c r="K1873">
        <v>1.03</v>
      </c>
      <c r="L1873">
        <v>0.99</v>
      </c>
      <c r="M1873">
        <v>2.11</v>
      </c>
      <c r="N1873">
        <v>7.7999999999999996E-3</v>
      </c>
    </row>
    <row r="1874" spans="1:14" x14ac:dyDescent="0.25">
      <c r="A1874" t="s">
        <v>3485</v>
      </c>
      <c r="B1874" t="s">
        <v>3486</v>
      </c>
      <c r="C1874" s="1" t="str">
        <f>HYPERLINK("http://www.genecards.org/cgi-bin/carddisp.pl?gene=CLCN7","GeneCards")</f>
        <v>GeneCards</v>
      </c>
      <c r="D1874" s="1" t="str">
        <f>HYPERLINK("http://genome-euro.ucsc.edu/cgi-bin/hgTracks?position=209235_at","UCSC")</f>
        <v>UCSC</v>
      </c>
      <c r="E1874" s="1" t="str">
        <f>HYPERLINK("http://www.ncbi.nlm.nih.gov/gene/?term=CLCN7","NCBI")</f>
        <v>NCBI</v>
      </c>
      <c r="F1874">
        <v>6.4999999999999997E-3</v>
      </c>
      <c r="G1874">
        <v>5.8999999999999997E-2</v>
      </c>
      <c r="H1874" s="1" t="str">
        <f>HYPERLINK("http://www.weizmann.ac.il/complex/compphys/software/geview/data/figures/209235_at.png","Figure")</f>
        <v>Figure</v>
      </c>
      <c r="I1874">
        <v>1.53</v>
      </c>
      <c r="J1874">
        <v>6.4000000000000003E-3</v>
      </c>
      <c r="K1874">
        <v>1.1000000000000001</v>
      </c>
      <c r="L1874">
        <v>0.6</v>
      </c>
      <c r="M1874">
        <v>0.72199999999999998</v>
      </c>
      <c r="N1874">
        <v>2.1999999999999999E-2</v>
      </c>
    </row>
    <row r="1875" spans="1:14" x14ac:dyDescent="0.25">
      <c r="A1875" t="s">
        <v>3487</v>
      </c>
      <c r="B1875" t="s">
        <v>3488</v>
      </c>
      <c r="C1875" s="1" t="str">
        <f>HYPERLINK("http://www.genecards.org/cgi-bin/carddisp.pl?gene=hCG_2030429","GeneCards")</f>
        <v>GeneCards</v>
      </c>
      <c r="D1875" s="1" t="str">
        <f>HYPERLINK("http://genome-euro.ucsc.edu/cgi-bin/hgTracks?position=215549_x_at","UCSC")</f>
        <v>UCSC</v>
      </c>
      <c r="E1875" s="1" t="str">
        <f>HYPERLINK("http://www.ncbi.nlm.nih.gov/gene/?term=hCG_2030429","NCBI")</f>
        <v>NCBI</v>
      </c>
      <c r="F1875">
        <v>6.4999999999999997E-3</v>
      </c>
      <c r="G1875">
        <v>5.8999999999999997E-2</v>
      </c>
      <c r="H1875" s="1" t="str">
        <f>HYPERLINK("http://www.weizmann.ac.il/complex/compphys/software/geview/data/figures/215549_x_at.png","Figure")</f>
        <v>Figure</v>
      </c>
      <c r="I1875">
        <v>1.22</v>
      </c>
      <c r="J1875">
        <v>3.3000000000000002E-2</v>
      </c>
      <c r="K1875">
        <v>1.25</v>
      </c>
      <c r="L1875">
        <v>6.6E-3</v>
      </c>
      <c r="M1875">
        <v>1.03</v>
      </c>
      <c r="N1875">
        <v>0.91</v>
      </c>
    </row>
    <row r="1876" spans="1:14" x14ac:dyDescent="0.25">
      <c r="A1876" t="s">
        <v>3489</v>
      </c>
      <c r="B1876" t="s">
        <v>3490</v>
      </c>
      <c r="C1876" s="1" t="str">
        <f>HYPERLINK("http://www.genecards.org/cgi-bin/carddisp.pl?gene=RFK","GeneCards")</f>
        <v>GeneCards</v>
      </c>
      <c r="D1876" s="1" t="str">
        <f>HYPERLINK("http://genome-euro.ucsc.edu/cgi-bin/hgTracks?position=203225_s_at","UCSC")</f>
        <v>UCSC</v>
      </c>
      <c r="E1876" s="1" t="str">
        <f>HYPERLINK("http://www.ncbi.nlm.nih.gov/gene/?term=RFK","NCBI")</f>
        <v>NCBI</v>
      </c>
      <c r="F1876">
        <v>6.4999999999999997E-3</v>
      </c>
      <c r="G1876">
        <v>5.8999999999999997E-2</v>
      </c>
      <c r="H1876" s="1" t="str">
        <f>HYPERLINK("http://www.weizmann.ac.il/complex/compphys/software/geview/data/figures/203225_s_at.png","Figure")</f>
        <v>Figure</v>
      </c>
      <c r="I1876">
        <v>1.1599999999999999</v>
      </c>
      <c r="J1876">
        <v>0.43</v>
      </c>
      <c r="K1876">
        <v>1.49</v>
      </c>
      <c r="L1876">
        <v>5.5999999999999999E-3</v>
      </c>
      <c r="M1876">
        <v>1.28</v>
      </c>
      <c r="N1876">
        <v>0.11</v>
      </c>
    </row>
    <row r="1877" spans="1:14" x14ac:dyDescent="0.25">
      <c r="A1877" t="s">
        <v>3491</v>
      </c>
      <c r="B1877" t="s">
        <v>3492</v>
      </c>
      <c r="C1877" s="1" t="str">
        <f>HYPERLINK("http://www.genecards.org/cgi-bin/carddisp.pl?gene=RRM2","GeneCards")</f>
        <v>GeneCards</v>
      </c>
      <c r="D1877" s="1" t="str">
        <f>HYPERLINK("http://genome-euro.ucsc.edu/cgi-bin/hgTracks?position=209773_s_at","UCSC")</f>
        <v>UCSC</v>
      </c>
      <c r="E1877" s="1" t="str">
        <f>HYPERLINK("http://www.ncbi.nlm.nih.gov/gene/?term=RRM2","NCBI")</f>
        <v>NCBI</v>
      </c>
      <c r="F1877">
        <v>6.4999999999999997E-3</v>
      </c>
      <c r="G1877">
        <v>5.8999999999999997E-2</v>
      </c>
      <c r="H1877" s="1" t="str">
        <f>HYPERLINK("http://www.weizmann.ac.il/complex/compphys/software/geview/data/figures/209773_s_at.png","Figure")</f>
        <v>Figure</v>
      </c>
      <c r="I1877">
        <v>1.93</v>
      </c>
      <c r="J1877">
        <v>8.2000000000000003E-2</v>
      </c>
      <c r="K1877">
        <v>2.56</v>
      </c>
      <c r="L1877">
        <v>5.1000000000000004E-3</v>
      </c>
      <c r="M1877">
        <v>1.33</v>
      </c>
      <c r="N1877">
        <v>0.54</v>
      </c>
    </row>
    <row r="1878" spans="1:14" x14ac:dyDescent="0.25">
      <c r="A1878" t="s">
        <v>3493</v>
      </c>
      <c r="B1878" t="s">
        <v>3494</v>
      </c>
      <c r="C1878" s="1" t="str">
        <f>HYPERLINK("http://www.genecards.org/cgi-bin/carddisp.pl?gene=C11orf49","GeneCards")</f>
        <v>GeneCards</v>
      </c>
      <c r="D1878" s="1" t="str">
        <f>HYPERLINK("http://genome-euro.ucsc.edu/cgi-bin/hgTracks?position=203257_s_at","UCSC")</f>
        <v>UCSC</v>
      </c>
      <c r="E1878" s="1" t="str">
        <f>HYPERLINK("http://www.ncbi.nlm.nih.gov/gene/?term=C11orf49","NCBI")</f>
        <v>NCBI</v>
      </c>
      <c r="F1878">
        <v>6.4999999999999997E-3</v>
      </c>
      <c r="G1878">
        <v>5.8999999999999997E-2</v>
      </c>
      <c r="H1878" s="1" t="str">
        <f>HYPERLINK("http://www.weizmann.ac.il/complex/compphys/software/geview/data/figures/203257_s_at.png","Figure")</f>
        <v>Figure</v>
      </c>
      <c r="I1878">
        <v>1.66</v>
      </c>
      <c r="J1878">
        <v>1.9E-2</v>
      </c>
      <c r="K1878">
        <v>1.65</v>
      </c>
      <c r="L1878">
        <v>8.8999999999999999E-3</v>
      </c>
      <c r="M1878">
        <v>0.99299999999999999</v>
      </c>
      <c r="N1878">
        <v>1</v>
      </c>
    </row>
    <row r="1879" spans="1:14" x14ac:dyDescent="0.25">
      <c r="A1879" t="s">
        <v>3495</v>
      </c>
      <c r="B1879" t="s">
        <v>3496</v>
      </c>
      <c r="C1879" s="1" t="str">
        <f>HYPERLINK("http://www.genecards.org/cgi-bin/carddisp.pl?gene=SLC38A7","GeneCards")</f>
        <v>GeneCards</v>
      </c>
      <c r="D1879" s="1" t="str">
        <f>HYPERLINK("http://genome-euro.ucsc.edu/cgi-bin/hgTracks?position=56821_at","UCSC")</f>
        <v>UCSC</v>
      </c>
      <c r="E1879" s="1" t="str">
        <f>HYPERLINK("http://www.ncbi.nlm.nih.gov/gene/?term=SLC38A7","NCBI")</f>
        <v>NCBI</v>
      </c>
      <c r="F1879">
        <v>6.4999999999999997E-3</v>
      </c>
      <c r="G1879">
        <v>5.8999999999999997E-2</v>
      </c>
      <c r="H1879" s="1" t="str">
        <f>HYPERLINK("http://www.weizmann.ac.il/complex/compphys/software/geview/data/figures/56821_at.png","Figure")</f>
        <v>Figure</v>
      </c>
      <c r="I1879">
        <v>1.32</v>
      </c>
      <c r="J1879">
        <v>5.1999999999999998E-3</v>
      </c>
      <c r="K1879">
        <v>1.1000000000000001</v>
      </c>
      <c r="L1879">
        <v>0.31</v>
      </c>
      <c r="M1879">
        <v>0.83499999999999996</v>
      </c>
      <c r="N1879">
        <v>4.3999999999999997E-2</v>
      </c>
    </row>
    <row r="1880" spans="1:14" x14ac:dyDescent="0.25">
      <c r="A1880" t="s">
        <v>3497</v>
      </c>
      <c r="B1880" t="s">
        <v>3498</v>
      </c>
      <c r="C1880" s="1" t="str">
        <f>HYPERLINK("http://www.genecards.org/cgi-bin/carddisp.pl?gene=NUDC","GeneCards")</f>
        <v>GeneCards</v>
      </c>
      <c r="D1880" s="1" t="str">
        <f>HYPERLINK("http://genome-euro.ucsc.edu/cgi-bin/hgTracks?position=201173_x_at","UCSC")</f>
        <v>UCSC</v>
      </c>
      <c r="E1880" s="1" t="str">
        <f>HYPERLINK("http://www.ncbi.nlm.nih.gov/gene/?term=NUDC","NCBI")</f>
        <v>NCBI</v>
      </c>
      <c r="F1880">
        <v>6.4999999999999997E-3</v>
      </c>
      <c r="G1880">
        <v>5.8999999999999997E-2</v>
      </c>
      <c r="H1880" s="1" t="str">
        <f>HYPERLINK("http://www.weizmann.ac.il/complex/compphys/software/geview/data/figures/201173_x_at.png","Figure")</f>
        <v>Figure</v>
      </c>
      <c r="I1880">
        <v>1.38</v>
      </c>
      <c r="J1880">
        <v>9.7000000000000003E-3</v>
      </c>
      <c r="K1880">
        <v>1.03</v>
      </c>
      <c r="L1880">
        <v>0.93</v>
      </c>
      <c r="M1880">
        <v>0.746</v>
      </c>
      <c r="N1880">
        <v>1.2E-2</v>
      </c>
    </row>
    <row r="1881" spans="1:14" x14ac:dyDescent="0.25">
      <c r="A1881" t="s">
        <v>3499</v>
      </c>
      <c r="B1881" t="s">
        <v>3500</v>
      </c>
      <c r="C1881" s="1" t="str">
        <f>HYPERLINK("http://www.genecards.org/cgi-bin/carddisp.pl?gene=PPP3CA","GeneCards")</f>
        <v>GeneCards</v>
      </c>
      <c r="D1881" s="1" t="str">
        <f>HYPERLINK("http://genome-euro.ucsc.edu/cgi-bin/hgTracks?position=202457_s_at","UCSC")</f>
        <v>UCSC</v>
      </c>
      <c r="E1881" s="1" t="str">
        <f>HYPERLINK("http://www.ncbi.nlm.nih.gov/gene/?term=PPP3CA","NCBI")</f>
        <v>NCBI</v>
      </c>
      <c r="F1881">
        <v>6.4999999999999997E-3</v>
      </c>
      <c r="G1881">
        <v>5.8999999999999997E-2</v>
      </c>
      <c r="H1881" s="1" t="str">
        <f>HYPERLINK("http://www.weizmann.ac.il/complex/compphys/software/geview/data/figures/202457_s_at.png","Figure")</f>
        <v>Figure</v>
      </c>
      <c r="I1881">
        <v>0.443</v>
      </c>
      <c r="J1881">
        <v>6.7000000000000002E-3</v>
      </c>
      <c r="K1881">
        <v>0.83899999999999997</v>
      </c>
      <c r="L1881">
        <v>0.64</v>
      </c>
      <c r="M1881">
        <v>1.89</v>
      </c>
      <c r="N1881">
        <v>0.02</v>
      </c>
    </row>
    <row r="1882" spans="1:14" x14ac:dyDescent="0.25">
      <c r="A1882" t="s">
        <v>3501</v>
      </c>
      <c r="B1882" t="s">
        <v>3502</v>
      </c>
      <c r="C1882" s="1" t="str">
        <f>HYPERLINK("http://www.genecards.org/cgi-bin/carddisp.pl?gene=FTSJD2","GeneCards")</f>
        <v>GeneCards</v>
      </c>
      <c r="D1882" s="1" t="str">
        <f>HYPERLINK("http://genome-euro.ucsc.edu/cgi-bin/hgTracks?position=212380_at","UCSC")</f>
        <v>UCSC</v>
      </c>
      <c r="E1882" s="1" t="str">
        <f>HYPERLINK("http://www.ncbi.nlm.nih.gov/gene/?term=FTSJD2","NCBI")</f>
        <v>NCBI</v>
      </c>
      <c r="F1882">
        <v>6.4999999999999997E-3</v>
      </c>
      <c r="G1882">
        <v>5.8999999999999997E-2</v>
      </c>
      <c r="H1882" s="1" t="str">
        <f>HYPERLINK("http://www.weizmann.ac.il/complex/compphys/software/geview/data/figures/212380_at.png","Figure")</f>
        <v>Figure</v>
      </c>
      <c r="I1882">
        <v>0.70599999999999996</v>
      </c>
      <c r="J1882">
        <v>6.8000000000000005E-2</v>
      </c>
      <c r="K1882">
        <v>0.622</v>
      </c>
      <c r="L1882">
        <v>5.3E-3</v>
      </c>
      <c r="M1882">
        <v>0.88100000000000001</v>
      </c>
      <c r="N1882">
        <v>0.61</v>
      </c>
    </row>
    <row r="1883" spans="1:14" x14ac:dyDescent="0.25">
      <c r="A1883" t="s">
        <v>3503</v>
      </c>
      <c r="B1883" t="s">
        <v>3504</v>
      </c>
      <c r="C1883" s="1" t="str">
        <f>HYPERLINK("http://www.genecards.org/cgi-bin/carddisp.pl?gene=MKL1","GeneCards")</f>
        <v>GeneCards</v>
      </c>
      <c r="D1883" s="1" t="str">
        <f>HYPERLINK("http://genome-euro.ucsc.edu/cgi-bin/hgTracks?position=212748_at","UCSC")</f>
        <v>UCSC</v>
      </c>
      <c r="E1883" s="1" t="str">
        <f>HYPERLINK("http://www.ncbi.nlm.nih.gov/gene/?term=MKL1","NCBI")</f>
        <v>NCBI</v>
      </c>
      <c r="F1883">
        <v>6.4999999999999997E-3</v>
      </c>
      <c r="G1883">
        <v>5.8999999999999997E-2</v>
      </c>
      <c r="H1883" s="1" t="str">
        <f>HYPERLINK("http://www.weizmann.ac.il/complex/compphys/software/geview/data/figures/212748_at.png","Figure")</f>
        <v>Figure</v>
      </c>
      <c r="I1883">
        <v>1.23</v>
      </c>
      <c r="J1883">
        <v>3.1E-2</v>
      </c>
      <c r="K1883">
        <v>1.25</v>
      </c>
      <c r="L1883">
        <v>6.7999999999999996E-3</v>
      </c>
      <c r="M1883">
        <v>1.02</v>
      </c>
      <c r="N1883">
        <v>0.93</v>
      </c>
    </row>
    <row r="1884" spans="1:14" x14ac:dyDescent="0.25">
      <c r="A1884" t="s">
        <v>3505</v>
      </c>
      <c r="B1884" t="s">
        <v>3506</v>
      </c>
      <c r="C1884" s="1" t="str">
        <f>HYPERLINK("http://www.genecards.org/cgi-bin/carddisp.pl?gene=CNOT2","GeneCards")</f>
        <v>GeneCards</v>
      </c>
      <c r="D1884" s="1" t="str">
        <f>HYPERLINK("http://genome-euro.ucsc.edu/cgi-bin/hgTracks?position=222182_s_at","UCSC")</f>
        <v>UCSC</v>
      </c>
      <c r="E1884" s="1" t="str">
        <f>HYPERLINK("http://www.ncbi.nlm.nih.gov/gene/?term=CNOT2","NCBI")</f>
        <v>NCBI</v>
      </c>
      <c r="F1884">
        <v>6.4999999999999997E-3</v>
      </c>
      <c r="G1884">
        <v>5.8999999999999997E-2</v>
      </c>
      <c r="H1884" s="1" t="str">
        <f>HYPERLINK("http://www.weizmann.ac.il/complex/compphys/software/geview/data/figures/222182_s_at.png","Figure")</f>
        <v>Figure</v>
      </c>
      <c r="I1884">
        <v>0.95899999999999996</v>
      </c>
      <c r="J1884">
        <v>0.95</v>
      </c>
      <c r="K1884">
        <v>0.65100000000000002</v>
      </c>
      <c r="L1884">
        <v>0.01</v>
      </c>
      <c r="M1884">
        <v>0.67900000000000005</v>
      </c>
      <c r="N1884">
        <v>2.9000000000000001E-2</v>
      </c>
    </row>
    <row r="1885" spans="1:14" x14ac:dyDescent="0.25">
      <c r="A1885" t="s">
        <v>3507</v>
      </c>
      <c r="B1885" t="s">
        <v>3508</v>
      </c>
      <c r="C1885" s="1" t="str">
        <f>HYPERLINK("http://www.genecards.org/cgi-bin/carddisp.pl?gene=TTC9","GeneCards")</f>
        <v>GeneCards</v>
      </c>
      <c r="D1885" s="1" t="str">
        <f>HYPERLINK("http://genome-euro.ucsc.edu/cgi-bin/hgTracks?position=213174_at","UCSC")</f>
        <v>UCSC</v>
      </c>
      <c r="E1885" s="1" t="str">
        <f>HYPERLINK("http://www.ncbi.nlm.nih.gov/gene/?term=TTC9","NCBI")</f>
        <v>NCBI</v>
      </c>
      <c r="F1885">
        <v>6.4999999999999997E-3</v>
      </c>
      <c r="G1885">
        <v>5.8999999999999997E-2</v>
      </c>
      <c r="H1885" s="1" t="str">
        <f>HYPERLINK("http://www.weizmann.ac.il/complex/compphys/software/geview/data/figures/213174_at.png","Figure")</f>
        <v>Figure</v>
      </c>
      <c r="I1885">
        <v>1.34</v>
      </c>
      <c r="J1885">
        <v>6.1999999999999998E-3</v>
      </c>
      <c r="K1885">
        <v>1.08</v>
      </c>
      <c r="L1885">
        <v>0.55000000000000004</v>
      </c>
      <c r="M1885">
        <v>0.80300000000000005</v>
      </c>
      <c r="N1885">
        <v>2.4E-2</v>
      </c>
    </row>
    <row r="1886" spans="1:14" x14ac:dyDescent="0.25">
      <c r="A1886" t="s">
        <v>3509</v>
      </c>
      <c r="B1886" t="s">
        <v>3510</v>
      </c>
      <c r="C1886" s="1" t="str">
        <f>HYPERLINK("http://www.genecards.org/cgi-bin/carddisp.pl?gene=ITGB2","GeneCards")</f>
        <v>GeneCards</v>
      </c>
      <c r="D1886" s="1" t="str">
        <f>HYPERLINK("http://genome-euro.ucsc.edu/cgi-bin/hgTracks?position=202803_s_at","UCSC")</f>
        <v>UCSC</v>
      </c>
      <c r="E1886" s="1" t="str">
        <f>HYPERLINK("http://www.ncbi.nlm.nih.gov/gene/?term=ITGB2","NCBI")</f>
        <v>NCBI</v>
      </c>
      <c r="F1886">
        <v>6.6E-3</v>
      </c>
      <c r="G1886">
        <v>5.8999999999999997E-2</v>
      </c>
      <c r="H1886" s="1" t="str">
        <f>HYPERLINK("http://www.weizmann.ac.il/complex/compphys/software/geview/data/figures/202803_s_at.png","Figure")</f>
        <v>Figure</v>
      </c>
      <c r="I1886">
        <v>0.35499999999999998</v>
      </c>
      <c r="J1886">
        <v>2.1999999999999999E-2</v>
      </c>
      <c r="K1886">
        <v>1.1499999999999999</v>
      </c>
      <c r="L1886">
        <v>0.88</v>
      </c>
      <c r="M1886">
        <v>3.25</v>
      </c>
      <c r="N1886">
        <v>6.4000000000000003E-3</v>
      </c>
    </row>
    <row r="1887" spans="1:14" x14ac:dyDescent="0.25">
      <c r="A1887" t="s">
        <v>3511</v>
      </c>
      <c r="B1887" t="s">
        <v>3512</v>
      </c>
      <c r="C1887" s="1" t="str">
        <f>HYPERLINK("http://www.genecards.org/cgi-bin/carddisp.pl?gene=MID1","GeneCards")</f>
        <v>GeneCards</v>
      </c>
      <c r="D1887" s="1" t="str">
        <f>HYPERLINK("http://genome-euro.ucsc.edu/cgi-bin/hgTracks?position=203636_at","UCSC")</f>
        <v>UCSC</v>
      </c>
      <c r="E1887" s="1" t="str">
        <f>HYPERLINK("http://www.ncbi.nlm.nih.gov/gene/?term=MID1","NCBI")</f>
        <v>NCBI</v>
      </c>
      <c r="F1887">
        <v>6.6E-3</v>
      </c>
      <c r="G1887">
        <v>5.8999999999999997E-2</v>
      </c>
      <c r="H1887" s="1" t="str">
        <f>HYPERLINK("http://www.weizmann.ac.il/complex/compphys/software/geview/data/figures/203636_at.png","Figure")</f>
        <v>Figure</v>
      </c>
      <c r="I1887">
        <v>1.29</v>
      </c>
      <c r="J1887">
        <v>0.01</v>
      </c>
      <c r="K1887">
        <v>1.23</v>
      </c>
      <c r="L1887">
        <v>1.6E-2</v>
      </c>
      <c r="M1887">
        <v>0.95399999999999996</v>
      </c>
      <c r="N1887">
        <v>0.78</v>
      </c>
    </row>
    <row r="1888" spans="1:14" x14ac:dyDescent="0.25">
      <c r="A1888" t="s">
        <v>3513</v>
      </c>
      <c r="B1888" t="s">
        <v>3514</v>
      </c>
      <c r="C1888" s="1" t="str">
        <f>HYPERLINK("http://www.genecards.org/cgi-bin/carddisp.pl?gene=STAG2","GeneCards")</f>
        <v>GeneCards</v>
      </c>
      <c r="D1888" s="1" t="str">
        <f>HYPERLINK("http://genome-euro.ucsc.edu/cgi-bin/hgTracks?position=209023_s_at","UCSC")</f>
        <v>UCSC</v>
      </c>
      <c r="E1888" s="1" t="str">
        <f>HYPERLINK("http://www.ncbi.nlm.nih.gov/gene/?term=STAG2","NCBI")</f>
        <v>NCBI</v>
      </c>
      <c r="F1888">
        <v>6.6E-3</v>
      </c>
      <c r="G1888">
        <v>5.8999999999999997E-2</v>
      </c>
      <c r="H1888" s="1" t="str">
        <f>HYPERLINK("http://www.weizmann.ac.il/complex/compphys/software/geview/data/figures/209023_s_at.png","Figure")</f>
        <v>Figure</v>
      </c>
      <c r="I1888">
        <v>0.49399999999999999</v>
      </c>
      <c r="J1888">
        <v>5.1999999999999998E-3</v>
      </c>
      <c r="K1888">
        <v>0.67700000000000005</v>
      </c>
      <c r="L1888">
        <v>7.1999999999999995E-2</v>
      </c>
      <c r="M1888">
        <v>1.37</v>
      </c>
      <c r="N1888">
        <v>0.19</v>
      </c>
    </row>
    <row r="1889" spans="1:14" x14ac:dyDescent="0.25">
      <c r="A1889" t="s">
        <v>3515</v>
      </c>
      <c r="B1889" t="s">
        <v>3516</v>
      </c>
      <c r="C1889" s="1" t="str">
        <f>HYPERLINK("http://www.genecards.org/cgi-bin/carddisp.pl?gene=BMP7","GeneCards")</f>
        <v>GeneCards</v>
      </c>
      <c r="D1889" s="1" t="str">
        <f>HYPERLINK("http://genome-euro.ucsc.edu/cgi-bin/hgTracks?position=211260_at","UCSC")</f>
        <v>UCSC</v>
      </c>
      <c r="E1889" s="1" t="str">
        <f>HYPERLINK("http://www.ncbi.nlm.nih.gov/gene/?term=BMP7","NCBI")</f>
        <v>NCBI</v>
      </c>
      <c r="F1889">
        <v>6.6E-3</v>
      </c>
      <c r="G1889">
        <v>5.8999999999999997E-2</v>
      </c>
      <c r="H1889" s="1" t="str">
        <f>HYPERLINK("http://www.weizmann.ac.il/complex/compphys/software/geview/data/figures/211260_at.png","Figure")</f>
        <v>Figure</v>
      </c>
      <c r="I1889">
        <v>1.58</v>
      </c>
      <c r="J1889">
        <v>4.8999999999999998E-3</v>
      </c>
      <c r="K1889">
        <v>1.21</v>
      </c>
      <c r="L1889">
        <v>0.2</v>
      </c>
      <c r="M1889">
        <v>0.76400000000000001</v>
      </c>
      <c r="N1889">
        <v>6.9000000000000006E-2</v>
      </c>
    </row>
    <row r="1890" spans="1:14" x14ac:dyDescent="0.25">
      <c r="A1890" t="s">
        <v>3517</v>
      </c>
      <c r="B1890" t="s">
        <v>3518</v>
      </c>
      <c r="C1890" s="1" t="str">
        <f>HYPERLINK("http://www.genecards.org/cgi-bin/carddisp.pl?gene=LHFP","GeneCards")</f>
        <v>GeneCards</v>
      </c>
      <c r="D1890" s="1" t="str">
        <f>HYPERLINK("http://genome-euro.ucsc.edu/cgi-bin/hgTracks?position=218656_s_at","UCSC")</f>
        <v>UCSC</v>
      </c>
      <c r="E1890" s="1" t="str">
        <f>HYPERLINK("http://www.ncbi.nlm.nih.gov/gene/?term=LHFP","NCBI")</f>
        <v>NCBI</v>
      </c>
      <c r="F1890">
        <v>6.6E-3</v>
      </c>
      <c r="G1890">
        <v>5.8999999999999997E-2</v>
      </c>
      <c r="H1890" s="1" t="str">
        <f>HYPERLINK("http://www.weizmann.ac.il/complex/compphys/software/geview/data/figures/218656_s_at.png","Figure")</f>
        <v>Figure</v>
      </c>
      <c r="I1890">
        <v>0.71799999999999997</v>
      </c>
      <c r="J1890">
        <v>7.0000000000000001E-3</v>
      </c>
      <c r="K1890">
        <v>0.93700000000000006</v>
      </c>
      <c r="L1890">
        <v>0.69</v>
      </c>
      <c r="M1890">
        <v>1.3</v>
      </c>
      <c r="N1890">
        <v>1.9E-2</v>
      </c>
    </row>
    <row r="1891" spans="1:14" x14ac:dyDescent="0.25">
      <c r="A1891" t="s">
        <v>3519</v>
      </c>
      <c r="B1891" t="s">
        <v>3520</v>
      </c>
      <c r="C1891" s="1" t="str">
        <f>HYPERLINK("http://www.genecards.org/cgi-bin/carddisp.pl?gene=CA12","GeneCards")</f>
        <v>GeneCards</v>
      </c>
      <c r="D1891" s="1" t="str">
        <f>HYPERLINK("http://genome-euro.ucsc.edu/cgi-bin/hgTracks?position=203963_at","UCSC")</f>
        <v>UCSC</v>
      </c>
      <c r="E1891" s="1" t="str">
        <f>HYPERLINK("http://www.ncbi.nlm.nih.gov/gene/?term=CA12","NCBI")</f>
        <v>NCBI</v>
      </c>
      <c r="F1891">
        <v>6.6E-3</v>
      </c>
      <c r="G1891">
        <v>5.8999999999999997E-2</v>
      </c>
      <c r="H1891" s="1" t="str">
        <f>HYPERLINK("http://www.weizmann.ac.il/complex/compphys/software/geview/data/figures/203963_at.png","Figure")</f>
        <v>Figure</v>
      </c>
      <c r="I1891">
        <v>1.08</v>
      </c>
      <c r="J1891">
        <v>0.27</v>
      </c>
      <c r="K1891">
        <v>0.90800000000000003</v>
      </c>
      <c r="L1891">
        <v>0.11</v>
      </c>
      <c r="M1891">
        <v>0.83699999999999997</v>
      </c>
      <c r="N1891">
        <v>5.7000000000000002E-3</v>
      </c>
    </row>
    <row r="1892" spans="1:14" x14ac:dyDescent="0.25">
      <c r="A1892" t="s">
        <v>3521</v>
      </c>
      <c r="B1892" t="s">
        <v>3522</v>
      </c>
      <c r="C1892" s="1" t="str">
        <f>HYPERLINK("http://www.genecards.org/cgi-bin/carddisp.pl?gene=ITPR2","GeneCards")</f>
        <v>GeneCards</v>
      </c>
      <c r="D1892" s="1" t="str">
        <f>HYPERLINK("http://genome-euro.ucsc.edu/cgi-bin/hgTracks?position=202662_s_at","UCSC")</f>
        <v>UCSC</v>
      </c>
      <c r="E1892" s="1" t="str">
        <f>HYPERLINK("http://www.ncbi.nlm.nih.gov/gene/?term=ITPR2","NCBI")</f>
        <v>NCBI</v>
      </c>
      <c r="F1892">
        <v>6.6E-3</v>
      </c>
      <c r="G1892">
        <v>5.8999999999999997E-2</v>
      </c>
      <c r="H1892" s="1" t="str">
        <f>HYPERLINK("http://www.weizmann.ac.il/complex/compphys/software/geview/data/figures/202662_s_at.png","Figure")</f>
        <v>Figure</v>
      </c>
      <c r="I1892">
        <v>1.04</v>
      </c>
      <c r="J1892">
        <v>0.41</v>
      </c>
      <c r="K1892">
        <v>1.1200000000000001</v>
      </c>
      <c r="L1892">
        <v>5.5999999999999999E-3</v>
      </c>
      <c r="M1892">
        <v>1.07</v>
      </c>
      <c r="N1892">
        <v>0.12</v>
      </c>
    </row>
    <row r="1893" spans="1:14" x14ac:dyDescent="0.25">
      <c r="A1893" t="s">
        <v>3523</v>
      </c>
      <c r="B1893" t="s">
        <v>429</v>
      </c>
      <c r="C1893" s="1" t="str">
        <f>HYPERLINK("http://www.genecards.org/cgi-bin/carddisp.pl?gene=PCMT1","GeneCards")</f>
        <v>GeneCards</v>
      </c>
      <c r="D1893" s="1" t="str">
        <f>HYPERLINK("http://genome-euro.ucsc.edu/cgi-bin/hgTracks?position=205202_at","UCSC")</f>
        <v>UCSC</v>
      </c>
      <c r="E1893" s="1" t="str">
        <f>HYPERLINK("http://www.ncbi.nlm.nih.gov/gene/?term=PCMT1","NCBI")</f>
        <v>NCBI</v>
      </c>
      <c r="F1893">
        <v>6.6E-3</v>
      </c>
      <c r="G1893">
        <v>5.8999999999999997E-2</v>
      </c>
      <c r="H1893" s="1" t="str">
        <f>HYPERLINK("http://www.weizmann.ac.il/complex/compphys/software/geview/data/figures/205202_at.png","Figure")</f>
        <v>Figure</v>
      </c>
      <c r="I1893">
        <v>0.61899999999999999</v>
      </c>
      <c r="J1893">
        <v>0.28999999999999998</v>
      </c>
      <c r="K1893">
        <v>1.82</v>
      </c>
      <c r="L1893">
        <v>9.8000000000000004E-2</v>
      </c>
      <c r="M1893">
        <v>2.94</v>
      </c>
      <c r="N1893">
        <v>5.7999999999999996E-3</v>
      </c>
    </row>
    <row r="1894" spans="1:14" x14ac:dyDescent="0.25">
      <c r="A1894" t="s">
        <v>3524</v>
      </c>
      <c r="B1894" t="s">
        <v>3525</v>
      </c>
      <c r="C1894" s="1" t="str">
        <f>HYPERLINK("http://www.genecards.org/cgi-bin/carddisp.pl?gene=SMC1A","GeneCards")</f>
        <v>GeneCards</v>
      </c>
      <c r="D1894" s="1" t="str">
        <f>HYPERLINK("http://genome-euro.ucsc.edu/cgi-bin/hgTracks?position=201589_at","UCSC")</f>
        <v>UCSC</v>
      </c>
      <c r="E1894" s="1" t="str">
        <f>HYPERLINK("http://www.ncbi.nlm.nih.gov/gene/?term=SMC1A","NCBI")</f>
        <v>NCBI</v>
      </c>
      <c r="F1894">
        <v>6.6E-3</v>
      </c>
      <c r="G1894">
        <v>5.8999999999999997E-2</v>
      </c>
      <c r="H1894" s="1" t="str">
        <f>HYPERLINK("http://www.weizmann.ac.il/complex/compphys/software/geview/data/figures/201589_at.png","Figure")</f>
        <v>Figure</v>
      </c>
      <c r="I1894">
        <v>0.41399999999999998</v>
      </c>
      <c r="J1894">
        <v>1.2E-2</v>
      </c>
      <c r="K1894">
        <v>0.97699999999999998</v>
      </c>
      <c r="L1894">
        <v>0.99</v>
      </c>
      <c r="M1894">
        <v>2.36</v>
      </c>
      <c r="N1894">
        <v>9.4000000000000004E-3</v>
      </c>
    </row>
    <row r="1895" spans="1:14" x14ac:dyDescent="0.25">
      <c r="A1895" t="s">
        <v>3526</v>
      </c>
      <c r="B1895" t="s">
        <v>3527</v>
      </c>
      <c r="C1895" s="1" t="str">
        <f>HYPERLINK("http://www.genecards.org/cgi-bin/carddisp.pl?gene=DCAF10","GeneCards")</f>
        <v>GeneCards</v>
      </c>
      <c r="D1895" s="1" t="str">
        <f>HYPERLINK("http://genome-euro.ucsc.edu/cgi-bin/hgTracks?position=219001_s_at","UCSC")</f>
        <v>UCSC</v>
      </c>
      <c r="E1895" s="1" t="str">
        <f>HYPERLINK("http://www.ncbi.nlm.nih.gov/gene/?term=DCAF10","NCBI")</f>
        <v>NCBI</v>
      </c>
      <c r="F1895">
        <v>6.6E-3</v>
      </c>
      <c r="G1895">
        <v>5.8999999999999997E-2</v>
      </c>
      <c r="H1895" s="1" t="str">
        <f>HYPERLINK("http://www.weizmann.ac.il/complex/compphys/software/geview/data/figures/219001_s_at.png","Figure")</f>
        <v>Figure</v>
      </c>
      <c r="I1895">
        <v>0.84199999999999997</v>
      </c>
      <c r="J1895">
        <v>1.4E-2</v>
      </c>
      <c r="K1895">
        <v>1</v>
      </c>
      <c r="L1895">
        <v>1</v>
      </c>
      <c r="M1895">
        <v>1.19</v>
      </c>
      <c r="N1895">
        <v>8.6999999999999994E-3</v>
      </c>
    </row>
    <row r="1896" spans="1:14" x14ac:dyDescent="0.25">
      <c r="A1896" t="s">
        <v>3528</v>
      </c>
      <c r="B1896" t="s">
        <v>3529</v>
      </c>
      <c r="C1896" s="1" t="str">
        <f>HYPERLINK("http://www.genecards.org/cgi-bin/carddisp.pl?gene=RABEP2","GeneCards")</f>
        <v>GeneCards</v>
      </c>
      <c r="D1896" s="1" t="str">
        <f>HYPERLINK("http://genome-euro.ucsc.edu/cgi-bin/hgTracks?position=219057_at","UCSC")</f>
        <v>UCSC</v>
      </c>
      <c r="E1896" s="1" t="str">
        <f>HYPERLINK("http://www.ncbi.nlm.nih.gov/gene/?term=RABEP2","NCBI")</f>
        <v>NCBI</v>
      </c>
      <c r="F1896">
        <v>6.6E-3</v>
      </c>
      <c r="G1896">
        <v>5.8999999999999997E-2</v>
      </c>
      <c r="H1896" s="1" t="str">
        <f>HYPERLINK("http://www.weizmann.ac.il/complex/compphys/software/geview/data/figures/219057_at.png","Figure")</f>
        <v>Figure</v>
      </c>
      <c r="I1896">
        <v>1.36</v>
      </c>
      <c r="J1896">
        <v>0.01</v>
      </c>
      <c r="K1896">
        <v>1.28</v>
      </c>
      <c r="L1896">
        <v>1.6E-2</v>
      </c>
      <c r="M1896">
        <v>0.94399999999999995</v>
      </c>
      <c r="N1896">
        <v>0.77</v>
      </c>
    </row>
    <row r="1897" spans="1:14" x14ac:dyDescent="0.25">
      <c r="A1897" t="s">
        <v>3530</v>
      </c>
      <c r="B1897" t="s">
        <v>1641</v>
      </c>
      <c r="C1897" s="1" t="str">
        <f>HYPERLINK("http://www.genecards.org/cgi-bin/carddisp.pl?gene=SYNJ2","GeneCards")</f>
        <v>GeneCards</v>
      </c>
      <c r="D1897" s="1" t="str">
        <f>HYPERLINK("http://genome-euro.ucsc.edu/cgi-bin/hgTracks?position=216181_at","UCSC")</f>
        <v>UCSC</v>
      </c>
      <c r="E1897" s="1" t="str">
        <f>HYPERLINK("http://www.ncbi.nlm.nih.gov/gene/?term=SYNJ2","NCBI")</f>
        <v>NCBI</v>
      </c>
      <c r="F1897">
        <v>6.6E-3</v>
      </c>
      <c r="G1897">
        <v>0.06</v>
      </c>
      <c r="H1897" s="1" t="str">
        <f>HYPERLINK("http://www.weizmann.ac.il/complex/compphys/software/geview/data/figures/216181_at.png","Figure")</f>
        <v>Figure</v>
      </c>
      <c r="I1897">
        <v>1.24</v>
      </c>
      <c r="J1897">
        <v>6.0000000000000001E-3</v>
      </c>
      <c r="K1897">
        <v>1.1399999999999999</v>
      </c>
      <c r="L1897">
        <v>4.5999999999999999E-2</v>
      </c>
      <c r="M1897">
        <v>0.92100000000000004</v>
      </c>
      <c r="N1897">
        <v>0.31</v>
      </c>
    </row>
    <row r="1898" spans="1:14" x14ac:dyDescent="0.25">
      <c r="A1898" t="s">
        <v>3531</v>
      </c>
      <c r="B1898" t="s">
        <v>3532</v>
      </c>
      <c r="C1898" s="1" t="str">
        <f>HYPERLINK("http://www.genecards.org/cgi-bin/carddisp.pl?gene=ANXA6","GeneCards")</f>
        <v>GeneCards</v>
      </c>
      <c r="D1898" s="1" t="str">
        <f>HYPERLINK("http://genome-euro.ucsc.edu/cgi-bin/hgTracks?position=200982_s_at","UCSC")</f>
        <v>UCSC</v>
      </c>
      <c r="E1898" s="1" t="str">
        <f>HYPERLINK("http://www.ncbi.nlm.nih.gov/gene/?term=ANXA6","NCBI")</f>
        <v>NCBI</v>
      </c>
      <c r="F1898">
        <v>6.6E-3</v>
      </c>
      <c r="G1898">
        <v>0.06</v>
      </c>
      <c r="H1898" s="1" t="str">
        <f>HYPERLINK("http://www.weizmann.ac.il/complex/compphys/software/geview/data/figures/200982_s_at.png","Figure")</f>
        <v>Figure</v>
      </c>
      <c r="I1898">
        <v>1.56</v>
      </c>
      <c r="J1898">
        <v>0.13</v>
      </c>
      <c r="K1898">
        <v>2.0699999999999998</v>
      </c>
      <c r="L1898">
        <v>5.0000000000000001E-3</v>
      </c>
      <c r="M1898">
        <v>1.32</v>
      </c>
      <c r="N1898">
        <v>0.37</v>
      </c>
    </row>
    <row r="1899" spans="1:14" x14ac:dyDescent="0.25">
      <c r="A1899" t="s">
        <v>3533</v>
      </c>
      <c r="B1899" t="s">
        <v>1754</v>
      </c>
      <c r="C1899" s="1" t="str">
        <f>HYPERLINK("http://www.genecards.org/cgi-bin/carddisp.pl?gene=SETX","GeneCards")</f>
        <v>GeneCards</v>
      </c>
      <c r="D1899" s="1" t="str">
        <f>HYPERLINK("http://genome-euro.ucsc.edu/cgi-bin/hgTracks?position=201964_at","UCSC")</f>
        <v>UCSC</v>
      </c>
      <c r="E1899" s="1" t="str">
        <f>HYPERLINK("http://www.ncbi.nlm.nih.gov/gene/?term=SETX","NCBI")</f>
        <v>NCBI</v>
      </c>
      <c r="F1899">
        <v>6.7000000000000002E-3</v>
      </c>
      <c r="G1899">
        <v>0.06</v>
      </c>
      <c r="H1899" s="1" t="str">
        <f>HYPERLINK("http://www.weizmann.ac.il/complex/compphys/software/geview/data/figures/201964_at.png","Figure")</f>
        <v>Figure</v>
      </c>
      <c r="I1899">
        <v>1.8</v>
      </c>
      <c r="J1899">
        <v>7.5999999999999998E-2</v>
      </c>
      <c r="K1899">
        <v>2.2799999999999998</v>
      </c>
      <c r="L1899">
        <v>5.3E-3</v>
      </c>
      <c r="M1899">
        <v>1.27</v>
      </c>
      <c r="N1899">
        <v>0.56999999999999995</v>
      </c>
    </row>
    <row r="1900" spans="1:14" x14ac:dyDescent="0.25">
      <c r="A1900" t="s">
        <v>3534</v>
      </c>
      <c r="B1900" t="s">
        <v>3535</v>
      </c>
      <c r="C1900" s="1" t="str">
        <f>HYPERLINK("http://www.genecards.org/cgi-bin/carddisp.pl?gene=TSPAN4","GeneCards")</f>
        <v>GeneCards</v>
      </c>
      <c r="D1900" s="1" t="str">
        <f>HYPERLINK("http://genome-euro.ucsc.edu/cgi-bin/hgTracks?position=209264_s_at","UCSC")</f>
        <v>UCSC</v>
      </c>
      <c r="E1900" s="1" t="str">
        <f>HYPERLINK("http://www.ncbi.nlm.nih.gov/gene/?term=TSPAN4","NCBI")</f>
        <v>NCBI</v>
      </c>
      <c r="F1900">
        <v>6.7000000000000002E-3</v>
      </c>
      <c r="G1900">
        <v>0.06</v>
      </c>
      <c r="H1900" s="1" t="str">
        <f>HYPERLINK("http://www.weizmann.ac.il/complex/compphys/software/geview/data/figures/209264_s_at.png","Figure")</f>
        <v>Figure</v>
      </c>
      <c r="I1900">
        <v>1.1399999999999999</v>
      </c>
      <c r="J1900">
        <v>8.2000000000000007E-3</v>
      </c>
      <c r="K1900">
        <v>1.1000000000000001</v>
      </c>
      <c r="L1900">
        <v>2.3E-2</v>
      </c>
      <c r="M1900">
        <v>0.96699999999999997</v>
      </c>
      <c r="N1900">
        <v>0.59</v>
      </c>
    </row>
    <row r="1901" spans="1:14" x14ac:dyDescent="0.25">
      <c r="A1901" t="s">
        <v>3536</v>
      </c>
      <c r="B1901" t="s">
        <v>3537</v>
      </c>
      <c r="C1901" s="1" t="str">
        <f>HYPERLINK("http://www.genecards.org/cgi-bin/carddisp.pl?gene=GATA1","GeneCards")</f>
        <v>GeneCards</v>
      </c>
      <c r="D1901" s="1" t="str">
        <f>HYPERLINK("http://genome-euro.ucsc.edu/cgi-bin/hgTracks?position=210446_at","UCSC")</f>
        <v>UCSC</v>
      </c>
      <c r="E1901" s="1" t="str">
        <f>HYPERLINK("http://www.ncbi.nlm.nih.gov/gene/?term=GATA1","NCBI")</f>
        <v>NCBI</v>
      </c>
      <c r="F1901">
        <v>6.7000000000000002E-3</v>
      </c>
      <c r="G1901">
        <v>0.06</v>
      </c>
      <c r="H1901" s="1" t="str">
        <f>HYPERLINK("http://www.weizmann.ac.il/complex/compphys/software/geview/data/figures/210446_at.png","Figure")</f>
        <v>Figure</v>
      </c>
      <c r="I1901">
        <v>1.1299999999999999</v>
      </c>
      <c r="J1901">
        <v>0.14000000000000001</v>
      </c>
      <c r="K1901">
        <v>0.91300000000000003</v>
      </c>
      <c r="L1901">
        <v>0.21</v>
      </c>
      <c r="M1901">
        <v>0.81100000000000005</v>
      </c>
      <c r="N1901">
        <v>5.1000000000000004E-3</v>
      </c>
    </row>
    <row r="1902" spans="1:14" x14ac:dyDescent="0.25">
      <c r="A1902" t="s">
        <v>3538</v>
      </c>
      <c r="B1902" t="s">
        <v>3539</v>
      </c>
      <c r="C1902" s="1" t="str">
        <f>HYPERLINK("http://www.genecards.org/cgi-bin/carddisp.pl?gene=PI4KB","GeneCards")</f>
        <v>GeneCards</v>
      </c>
      <c r="D1902" s="1" t="str">
        <f>HYPERLINK("http://genome-euro.ucsc.edu/cgi-bin/hgTracks?position=206138_s_at","UCSC")</f>
        <v>UCSC</v>
      </c>
      <c r="E1902" s="1" t="str">
        <f>HYPERLINK("http://www.ncbi.nlm.nih.gov/gene/?term=PI4KB","NCBI")</f>
        <v>NCBI</v>
      </c>
      <c r="F1902">
        <v>6.7000000000000002E-3</v>
      </c>
      <c r="G1902">
        <v>0.06</v>
      </c>
      <c r="H1902" s="1" t="str">
        <f>HYPERLINK("http://www.weizmann.ac.il/complex/compphys/software/geview/data/figures/206138_s_at.png","Figure")</f>
        <v>Figure</v>
      </c>
      <c r="I1902">
        <v>1.24</v>
      </c>
      <c r="J1902">
        <v>5.1999999999999998E-3</v>
      </c>
      <c r="K1902">
        <v>1.1200000000000001</v>
      </c>
      <c r="L1902">
        <v>8.4000000000000005E-2</v>
      </c>
      <c r="M1902">
        <v>0.90300000000000002</v>
      </c>
      <c r="N1902">
        <v>0.17</v>
      </c>
    </row>
    <row r="1903" spans="1:14" x14ac:dyDescent="0.25">
      <c r="A1903" t="s">
        <v>3540</v>
      </c>
      <c r="B1903" t="s">
        <v>3541</v>
      </c>
      <c r="C1903" s="1" t="str">
        <f>HYPERLINK("http://www.genecards.org/cgi-bin/carddisp.pl?gene=POLDIP3","GeneCards")</f>
        <v>GeneCards</v>
      </c>
      <c r="D1903" s="1" t="str">
        <f>HYPERLINK("http://genome-euro.ucsc.edu/cgi-bin/hgTracks?position=210583_at","UCSC")</f>
        <v>UCSC</v>
      </c>
      <c r="E1903" s="1" t="str">
        <f>HYPERLINK("http://www.ncbi.nlm.nih.gov/gene/?term=POLDIP3","NCBI")</f>
        <v>NCBI</v>
      </c>
      <c r="F1903">
        <v>6.7000000000000002E-3</v>
      </c>
      <c r="G1903">
        <v>0.06</v>
      </c>
      <c r="H1903" s="1" t="str">
        <f>HYPERLINK("http://www.weizmann.ac.il/complex/compphys/software/geview/data/figures/210583_at.png","Figure")</f>
        <v>Figure</v>
      </c>
      <c r="I1903">
        <v>1.27</v>
      </c>
      <c r="J1903">
        <v>3.6999999999999998E-2</v>
      </c>
      <c r="K1903">
        <v>1.32</v>
      </c>
      <c r="L1903">
        <v>6.4999999999999997E-3</v>
      </c>
      <c r="M1903">
        <v>1.04</v>
      </c>
      <c r="N1903">
        <v>0.88</v>
      </c>
    </row>
    <row r="1904" spans="1:14" x14ac:dyDescent="0.25">
      <c r="A1904" t="s">
        <v>3542</v>
      </c>
      <c r="B1904" t="s">
        <v>3543</v>
      </c>
      <c r="C1904" s="1" t="str">
        <f>HYPERLINK("http://www.genecards.org/cgi-bin/carddisp.pl?gene=IQGAP1","GeneCards")</f>
        <v>GeneCards</v>
      </c>
      <c r="D1904" s="1" t="str">
        <f>HYPERLINK("http://genome-euro.ucsc.edu/cgi-bin/hgTracks?position=200791_s_at","UCSC")</f>
        <v>UCSC</v>
      </c>
      <c r="E1904" s="1" t="str">
        <f>HYPERLINK("http://www.ncbi.nlm.nih.gov/gene/?term=IQGAP1","NCBI")</f>
        <v>NCBI</v>
      </c>
      <c r="F1904">
        <v>6.7000000000000002E-3</v>
      </c>
      <c r="G1904">
        <v>0.06</v>
      </c>
      <c r="H1904" s="1" t="str">
        <f>HYPERLINK("http://www.weizmann.ac.il/complex/compphys/software/geview/data/figures/200791_s_at.png","Figure")</f>
        <v>Figure</v>
      </c>
      <c r="I1904">
        <v>0.82499999999999996</v>
      </c>
      <c r="J1904">
        <v>0.68</v>
      </c>
      <c r="K1904">
        <v>1.76</v>
      </c>
      <c r="L1904">
        <v>3.5000000000000003E-2</v>
      </c>
      <c r="M1904">
        <v>2.13</v>
      </c>
      <c r="N1904">
        <v>9.2999999999999992E-3</v>
      </c>
    </row>
    <row r="1905" spans="1:14" x14ac:dyDescent="0.25">
      <c r="A1905" t="s">
        <v>3544</v>
      </c>
      <c r="B1905" t="s">
        <v>2279</v>
      </c>
      <c r="C1905" s="1" t="str">
        <f>HYPERLINK("http://www.genecards.org/cgi-bin/carddisp.pl?gene=IFRD1","GeneCards")</f>
        <v>GeneCards</v>
      </c>
      <c r="D1905" s="1" t="str">
        <f>HYPERLINK("http://genome-euro.ucsc.edu/cgi-bin/hgTracks?position=202147_s_at","UCSC")</f>
        <v>UCSC</v>
      </c>
      <c r="E1905" s="1" t="str">
        <f>HYPERLINK("http://www.ncbi.nlm.nih.gov/gene/?term=IFRD1","NCBI")</f>
        <v>NCBI</v>
      </c>
      <c r="F1905">
        <v>6.7000000000000002E-3</v>
      </c>
      <c r="G1905">
        <v>0.06</v>
      </c>
      <c r="H1905" s="1" t="str">
        <f>HYPERLINK("http://www.weizmann.ac.il/complex/compphys/software/geview/data/figures/202147_s_at.png","Figure")</f>
        <v>Figure</v>
      </c>
      <c r="I1905">
        <v>0.35499999999999998</v>
      </c>
      <c r="J1905">
        <v>1.7999999999999999E-2</v>
      </c>
      <c r="K1905">
        <v>0.37</v>
      </c>
      <c r="L1905">
        <v>9.7999999999999997E-3</v>
      </c>
      <c r="M1905">
        <v>1.04</v>
      </c>
      <c r="N1905">
        <v>0.99</v>
      </c>
    </row>
    <row r="1906" spans="1:14" x14ac:dyDescent="0.25">
      <c r="A1906" t="s">
        <v>3545</v>
      </c>
      <c r="B1906" t="s">
        <v>3546</v>
      </c>
      <c r="C1906" s="1" t="str">
        <f>HYPERLINK("http://www.genecards.org/cgi-bin/carddisp.pl?gene=PPIG","GeneCards")</f>
        <v>GeneCards</v>
      </c>
      <c r="D1906" s="1" t="str">
        <f>HYPERLINK("http://genome-euro.ucsc.edu/cgi-bin/hgTracks?position=208993_s_at","UCSC")</f>
        <v>UCSC</v>
      </c>
      <c r="E1906" s="1" t="str">
        <f>HYPERLINK("http://www.ncbi.nlm.nih.gov/gene/?term=PPIG","NCBI")</f>
        <v>NCBI</v>
      </c>
      <c r="F1906">
        <v>6.7000000000000002E-3</v>
      </c>
      <c r="G1906">
        <v>0.06</v>
      </c>
      <c r="H1906" s="1" t="str">
        <f>HYPERLINK("http://www.weizmann.ac.il/complex/compphys/software/geview/data/figures/208993_s_at.png","Figure")</f>
        <v>Figure</v>
      </c>
      <c r="I1906">
        <v>0.94599999999999995</v>
      </c>
      <c r="J1906">
        <v>0.96</v>
      </c>
      <c r="K1906">
        <v>0.52100000000000002</v>
      </c>
      <c r="L1906">
        <v>1.0999999999999999E-2</v>
      </c>
      <c r="M1906">
        <v>0.55100000000000005</v>
      </c>
      <c r="N1906">
        <v>2.8000000000000001E-2</v>
      </c>
    </row>
    <row r="1907" spans="1:14" x14ac:dyDescent="0.25">
      <c r="A1907" t="s">
        <v>3547</v>
      </c>
      <c r="B1907" t="s">
        <v>2687</v>
      </c>
      <c r="C1907" s="1" t="str">
        <f>HYPERLINK("http://www.genecards.org/cgi-bin/carddisp.pl?gene=RUNX1","GeneCards")</f>
        <v>GeneCards</v>
      </c>
      <c r="D1907" s="1" t="str">
        <f>HYPERLINK("http://genome-euro.ucsc.edu/cgi-bin/hgTracks?position=209359_x_at","UCSC")</f>
        <v>UCSC</v>
      </c>
      <c r="E1907" s="1" t="str">
        <f>HYPERLINK("http://www.ncbi.nlm.nih.gov/gene/?term=RUNX1","NCBI")</f>
        <v>NCBI</v>
      </c>
      <c r="F1907">
        <v>6.7000000000000002E-3</v>
      </c>
      <c r="G1907">
        <v>0.06</v>
      </c>
      <c r="H1907" s="1" t="str">
        <f>HYPERLINK("http://www.weizmann.ac.il/complex/compphys/software/geview/data/figures/209359_x_at.png","Figure")</f>
        <v>Figure</v>
      </c>
      <c r="I1907">
        <v>1.45</v>
      </c>
      <c r="J1907">
        <v>5.1000000000000004E-3</v>
      </c>
      <c r="K1907">
        <v>1.1599999999999999</v>
      </c>
      <c r="L1907">
        <v>0.22</v>
      </c>
      <c r="M1907">
        <v>0.79900000000000004</v>
      </c>
      <c r="N1907">
        <v>6.5000000000000002E-2</v>
      </c>
    </row>
    <row r="1908" spans="1:14" x14ac:dyDescent="0.25">
      <c r="A1908" t="s">
        <v>3548</v>
      </c>
      <c r="B1908" t="s">
        <v>3549</v>
      </c>
      <c r="C1908" s="1" t="str">
        <f>HYPERLINK("http://www.genecards.org/cgi-bin/carddisp.pl?gene=SF4","GeneCards")</f>
        <v>GeneCards</v>
      </c>
      <c r="D1908" s="1" t="str">
        <f>HYPERLINK("http://genome-euro.ucsc.edu/cgi-bin/hgTracks?position=209547_s_at","UCSC")</f>
        <v>UCSC</v>
      </c>
      <c r="E1908" s="1" t="str">
        <f>HYPERLINK("http://www.ncbi.nlm.nih.gov/gene/?term=SF4","NCBI")</f>
        <v>NCBI</v>
      </c>
      <c r="F1908">
        <v>6.7000000000000002E-3</v>
      </c>
      <c r="G1908">
        <v>0.06</v>
      </c>
      <c r="H1908" s="1" t="str">
        <f>HYPERLINK("http://www.weizmann.ac.il/complex/compphys/software/geview/data/figures/209547_s_at.png","Figure")</f>
        <v>Figure</v>
      </c>
      <c r="I1908">
        <v>1.63</v>
      </c>
      <c r="J1908">
        <v>5.1999999999999998E-3</v>
      </c>
      <c r="K1908">
        <v>1.19</v>
      </c>
      <c r="L1908">
        <v>0.27</v>
      </c>
      <c r="M1908">
        <v>0.73399999999999999</v>
      </c>
      <c r="N1908">
        <v>5.1999999999999998E-2</v>
      </c>
    </row>
    <row r="1909" spans="1:14" x14ac:dyDescent="0.25">
      <c r="A1909" t="s">
        <v>3550</v>
      </c>
      <c r="B1909" t="s">
        <v>3551</v>
      </c>
      <c r="C1909" s="1" t="str">
        <f>HYPERLINK("http://www.genecards.org/cgi-bin/carddisp.pl?gene=DLG3","GeneCards")</f>
        <v>GeneCards</v>
      </c>
      <c r="D1909" s="1" t="str">
        <f>HYPERLINK("http://genome-euro.ucsc.edu/cgi-bin/hgTracks?position=212727_at","UCSC")</f>
        <v>UCSC</v>
      </c>
      <c r="E1909" s="1" t="str">
        <f>HYPERLINK("http://www.ncbi.nlm.nih.gov/gene/?term=DLG3","NCBI")</f>
        <v>NCBI</v>
      </c>
      <c r="F1909">
        <v>6.7000000000000002E-3</v>
      </c>
      <c r="G1909">
        <v>0.06</v>
      </c>
      <c r="H1909" s="1" t="str">
        <f>HYPERLINK("http://www.weizmann.ac.il/complex/compphys/software/geview/data/figures/212727_at.png","Figure")</f>
        <v>Figure</v>
      </c>
      <c r="I1909">
        <v>0.66600000000000004</v>
      </c>
      <c r="J1909">
        <v>6.7000000000000002E-3</v>
      </c>
      <c r="K1909">
        <v>0.76300000000000001</v>
      </c>
      <c r="L1909">
        <v>3.4000000000000002E-2</v>
      </c>
      <c r="M1909">
        <v>1.1499999999999999</v>
      </c>
      <c r="N1909">
        <v>0.41</v>
      </c>
    </row>
    <row r="1910" spans="1:14" x14ac:dyDescent="0.25">
      <c r="A1910" t="s">
        <v>3552</v>
      </c>
      <c r="B1910" t="s">
        <v>3553</v>
      </c>
      <c r="C1910" s="1" t="str">
        <f>HYPERLINK("http://www.genecards.org/cgi-bin/carddisp.pl?gene=TRPV2","GeneCards")</f>
        <v>GeneCards</v>
      </c>
      <c r="D1910" s="1" t="str">
        <f>HYPERLINK("http://genome-euro.ucsc.edu/cgi-bin/hgTracks?position=219282_s_at","UCSC")</f>
        <v>UCSC</v>
      </c>
      <c r="E1910" s="1" t="str">
        <f>HYPERLINK("http://www.ncbi.nlm.nih.gov/gene/?term=TRPV2","NCBI")</f>
        <v>NCBI</v>
      </c>
      <c r="F1910">
        <v>6.7000000000000002E-3</v>
      </c>
      <c r="G1910">
        <v>0.06</v>
      </c>
      <c r="H1910" s="1" t="str">
        <f>HYPERLINK("http://www.weizmann.ac.il/complex/compphys/software/geview/data/figures/219282_s_at.png","Figure")</f>
        <v>Figure</v>
      </c>
      <c r="I1910">
        <v>1</v>
      </c>
      <c r="J1910">
        <v>1</v>
      </c>
      <c r="K1910">
        <v>1.42</v>
      </c>
      <c r="L1910">
        <v>1.2999999999999999E-2</v>
      </c>
      <c r="M1910">
        <v>1.42</v>
      </c>
      <c r="N1910">
        <v>2.1000000000000001E-2</v>
      </c>
    </row>
    <row r="1911" spans="1:14" x14ac:dyDescent="0.25">
      <c r="A1911" t="s">
        <v>3554</v>
      </c>
      <c r="B1911" t="s">
        <v>3555</v>
      </c>
      <c r="C1911" s="1" t="str">
        <f>HYPERLINK("http://www.genecards.org/cgi-bin/carddisp.pl?gene=RAB11FIP2","GeneCards")</f>
        <v>GeneCards</v>
      </c>
      <c r="D1911" s="1" t="str">
        <f>HYPERLINK("http://genome-euro.ucsc.edu/cgi-bin/hgTracks?position=203884_s_at","UCSC")</f>
        <v>UCSC</v>
      </c>
      <c r="E1911" s="1" t="str">
        <f>HYPERLINK("http://www.ncbi.nlm.nih.gov/gene/?term=RAB11FIP2","NCBI")</f>
        <v>NCBI</v>
      </c>
      <c r="F1911">
        <v>6.7000000000000002E-3</v>
      </c>
      <c r="G1911">
        <v>0.06</v>
      </c>
      <c r="H1911" s="1" t="str">
        <f>HYPERLINK("http://www.weizmann.ac.il/complex/compphys/software/geview/data/figures/203884_s_at.png","Figure")</f>
        <v>Figure</v>
      </c>
      <c r="I1911">
        <v>0.44</v>
      </c>
      <c r="J1911">
        <v>1.7999999999999999E-2</v>
      </c>
      <c r="K1911">
        <v>0.45400000000000001</v>
      </c>
      <c r="L1911">
        <v>9.7999999999999997E-3</v>
      </c>
      <c r="M1911">
        <v>1.03</v>
      </c>
      <c r="N1911">
        <v>0.99</v>
      </c>
    </row>
    <row r="1912" spans="1:14" x14ac:dyDescent="0.25">
      <c r="A1912" t="s">
        <v>3556</v>
      </c>
      <c r="B1912" t="s">
        <v>1292</v>
      </c>
      <c r="C1912" s="1" t="str">
        <f>HYPERLINK("http://www.genecards.org/cgi-bin/carddisp.pl?gene=SPTBN1","GeneCards")</f>
        <v>GeneCards</v>
      </c>
      <c r="D1912" s="1" t="str">
        <f>HYPERLINK("http://genome-euro.ucsc.edu/cgi-bin/hgTracks?position=215918_s_at","UCSC")</f>
        <v>UCSC</v>
      </c>
      <c r="E1912" s="1" t="str">
        <f>HYPERLINK("http://www.ncbi.nlm.nih.gov/gene/?term=SPTBN1","NCBI")</f>
        <v>NCBI</v>
      </c>
      <c r="F1912">
        <v>6.7000000000000002E-3</v>
      </c>
      <c r="G1912">
        <v>0.06</v>
      </c>
      <c r="H1912" s="1" t="str">
        <f>HYPERLINK("http://www.weizmann.ac.il/complex/compphys/software/geview/data/figures/215918_s_at.png","Figure")</f>
        <v>Figure</v>
      </c>
      <c r="I1912">
        <v>1.1000000000000001</v>
      </c>
      <c r="J1912">
        <v>0.89</v>
      </c>
      <c r="K1912">
        <v>0.57199999999999995</v>
      </c>
      <c r="L1912">
        <v>2.1999999999999999E-2</v>
      </c>
      <c r="M1912">
        <v>0.52100000000000002</v>
      </c>
      <c r="N1912">
        <v>1.2999999999999999E-2</v>
      </c>
    </row>
    <row r="1913" spans="1:14" x14ac:dyDescent="0.25">
      <c r="A1913" t="s">
        <v>3557</v>
      </c>
      <c r="B1913" t="s">
        <v>3558</v>
      </c>
      <c r="C1913" s="1" t="str">
        <f>HYPERLINK("http://www.genecards.org/cgi-bin/carddisp.pl?gene=PTGES","GeneCards")</f>
        <v>GeneCards</v>
      </c>
      <c r="D1913" s="1" t="str">
        <f>HYPERLINK("http://genome-euro.ucsc.edu/cgi-bin/hgTracks?position=207388_s_at","UCSC")</f>
        <v>UCSC</v>
      </c>
      <c r="E1913" s="1" t="str">
        <f>HYPERLINK("http://www.ncbi.nlm.nih.gov/gene/?term=PTGES","NCBI")</f>
        <v>NCBI</v>
      </c>
      <c r="F1913">
        <v>6.7000000000000002E-3</v>
      </c>
      <c r="G1913">
        <v>0.06</v>
      </c>
      <c r="H1913" s="1" t="str">
        <f>HYPERLINK("http://www.weizmann.ac.il/complex/compphys/software/geview/data/figures/207388_s_at.png","Figure")</f>
        <v>Figure</v>
      </c>
      <c r="I1913">
        <v>1.48</v>
      </c>
      <c r="J1913">
        <v>7.0000000000000001E-3</v>
      </c>
      <c r="K1913">
        <v>1.3</v>
      </c>
      <c r="L1913">
        <v>3.2000000000000001E-2</v>
      </c>
      <c r="M1913">
        <v>0.88400000000000001</v>
      </c>
      <c r="N1913">
        <v>0.44</v>
      </c>
    </row>
    <row r="1914" spans="1:14" x14ac:dyDescent="0.25">
      <c r="A1914" t="s">
        <v>3559</v>
      </c>
      <c r="B1914" t="s">
        <v>615</v>
      </c>
      <c r="C1914" s="1" t="str">
        <f>HYPERLINK("http://www.genecards.org/cgi-bin/carddisp.pl?gene=DYRK2","GeneCards")</f>
        <v>GeneCards</v>
      </c>
      <c r="D1914" s="1" t="str">
        <f>HYPERLINK("http://genome-euro.ucsc.edu/cgi-bin/hgTracks?position=202971_s_at","UCSC")</f>
        <v>UCSC</v>
      </c>
      <c r="E1914" s="1" t="str">
        <f>HYPERLINK("http://www.ncbi.nlm.nih.gov/gene/?term=DYRK2","NCBI")</f>
        <v>NCBI</v>
      </c>
      <c r="F1914">
        <v>6.7999999999999996E-3</v>
      </c>
      <c r="G1914">
        <v>0.06</v>
      </c>
      <c r="H1914" s="1" t="str">
        <f>HYPERLINK("http://www.weizmann.ac.il/complex/compphys/software/geview/data/figures/202971_s_at.png","Figure")</f>
        <v>Figure</v>
      </c>
      <c r="I1914">
        <v>0.55500000000000005</v>
      </c>
      <c r="J1914">
        <v>3.5999999999999997E-2</v>
      </c>
      <c r="K1914">
        <v>0.50700000000000001</v>
      </c>
      <c r="L1914">
        <v>6.7000000000000002E-3</v>
      </c>
      <c r="M1914">
        <v>0.91400000000000003</v>
      </c>
      <c r="N1914">
        <v>0.89</v>
      </c>
    </row>
    <row r="1915" spans="1:14" x14ac:dyDescent="0.25">
      <c r="A1915" t="s">
        <v>3560</v>
      </c>
      <c r="B1915" t="s">
        <v>3561</v>
      </c>
      <c r="C1915" s="1" t="str">
        <f>HYPERLINK("http://www.genecards.org/cgi-bin/carddisp.pl?gene=RBPJ","GeneCards")</f>
        <v>GeneCards</v>
      </c>
      <c r="D1915" s="1" t="str">
        <f>HYPERLINK("http://genome-euro.ucsc.edu/cgi-bin/hgTracks?position=207785_s_at","UCSC")</f>
        <v>UCSC</v>
      </c>
      <c r="E1915" s="1" t="str">
        <f>HYPERLINK("http://www.ncbi.nlm.nih.gov/gene/?term=RBPJ","NCBI")</f>
        <v>NCBI</v>
      </c>
      <c r="F1915">
        <v>6.7000000000000002E-3</v>
      </c>
      <c r="G1915">
        <v>0.06</v>
      </c>
      <c r="H1915" s="1" t="str">
        <f>HYPERLINK("http://www.weizmann.ac.il/complex/compphys/software/geview/data/figures/207785_s_at.png","Figure")</f>
        <v>Figure</v>
      </c>
      <c r="I1915">
        <v>0.48599999999999999</v>
      </c>
      <c r="J1915">
        <v>5.5999999999999999E-3</v>
      </c>
      <c r="K1915">
        <v>0.79900000000000004</v>
      </c>
      <c r="L1915">
        <v>0.39</v>
      </c>
      <c r="M1915">
        <v>1.64</v>
      </c>
      <c r="N1915">
        <v>3.5999999999999997E-2</v>
      </c>
    </row>
    <row r="1916" spans="1:14" x14ac:dyDescent="0.25">
      <c r="A1916" t="s">
        <v>3562</v>
      </c>
      <c r="B1916" t="s">
        <v>3563</v>
      </c>
      <c r="C1916" s="1" t="str">
        <f>HYPERLINK("http://www.genecards.org/cgi-bin/carddisp.pl?gene=SOCS1","GeneCards")</f>
        <v>GeneCards</v>
      </c>
      <c r="D1916" s="1" t="str">
        <f>HYPERLINK("http://genome-euro.ucsc.edu/cgi-bin/hgTracks?position=210001_s_at","UCSC")</f>
        <v>UCSC</v>
      </c>
      <c r="E1916" s="1" t="str">
        <f>HYPERLINK("http://www.ncbi.nlm.nih.gov/gene/?term=SOCS1","NCBI")</f>
        <v>NCBI</v>
      </c>
      <c r="F1916">
        <v>6.7999999999999996E-3</v>
      </c>
      <c r="G1916">
        <v>0.06</v>
      </c>
      <c r="H1916" s="1" t="str">
        <f>HYPERLINK("http://www.weizmann.ac.il/complex/compphys/software/geview/data/figures/210001_s_at.png","Figure")</f>
        <v>Figure</v>
      </c>
      <c r="I1916">
        <v>1.37</v>
      </c>
      <c r="J1916">
        <v>5.3E-3</v>
      </c>
      <c r="K1916">
        <v>1.18</v>
      </c>
      <c r="L1916">
        <v>8.6999999999999994E-2</v>
      </c>
      <c r="M1916">
        <v>0.86199999999999999</v>
      </c>
      <c r="N1916">
        <v>0.16</v>
      </c>
    </row>
    <row r="1917" spans="1:14" x14ac:dyDescent="0.25">
      <c r="A1917" t="s">
        <v>3564</v>
      </c>
      <c r="B1917" t="s">
        <v>437</v>
      </c>
      <c r="C1917" s="1" t="str">
        <f>HYPERLINK("http://www.genecards.org/cgi-bin/carddisp.pl?gene=FYN","GeneCards")</f>
        <v>GeneCards</v>
      </c>
      <c r="D1917" s="1" t="str">
        <f>HYPERLINK("http://genome-euro.ucsc.edu/cgi-bin/hgTracks?position=216033_s_at","UCSC")</f>
        <v>UCSC</v>
      </c>
      <c r="E1917" s="1" t="str">
        <f>HYPERLINK("http://www.ncbi.nlm.nih.gov/gene/?term=FYN","NCBI")</f>
        <v>NCBI</v>
      </c>
      <c r="F1917">
        <v>6.7999999999999996E-3</v>
      </c>
      <c r="G1917">
        <v>0.06</v>
      </c>
      <c r="H1917" s="1" t="str">
        <f>HYPERLINK("http://www.weizmann.ac.il/complex/compphys/software/geview/data/figures/216033_s_at.png","Figure")</f>
        <v>Figure</v>
      </c>
      <c r="I1917">
        <v>0.40600000000000003</v>
      </c>
      <c r="J1917">
        <v>5.1999999999999998E-3</v>
      </c>
      <c r="K1917">
        <v>0.71799999999999997</v>
      </c>
      <c r="L1917">
        <v>0.27</v>
      </c>
      <c r="M1917">
        <v>1.77</v>
      </c>
      <c r="N1917">
        <v>5.2999999999999999E-2</v>
      </c>
    </row>
    <row r="1918" spans="1:14" x14ac:dyDescent="0.25">
      <c r="A1918" t="s">
        <v>3565</v>
      </c>
      <c r="B1918" t="s">
        <v>2442</v>
      </c>
      <c r="C1918" s="1" t="str">
        <f>HYPERLINK("http://www.genecards.org/cgi-bin/carddisp.pl?gene=CD58","GeneCards")</f>
        <v>GeneCards</v>
      </c>
      <c r="D1918" s="1" t="str">
        <f>HYPERLINK("http://genome-euro.ucsc.edu/cgi-bin/hgTracks?position=216942_s_at","UCSC")</f>
        <v>UCSC</v>
      </c>
      <c r="E1918" s="1" t="str">
        <f>HYPERLINK("http://www.ncbi.nlm.nih.gov/gene/?term=CD58","NCBI")</f>
        <v>NCBI</v>
      </c>
      <c r="F1918">
        <v>6.7000000000000002E-3</v>
      </c>
      <c r="G1918">
        <v>0.06</v>
      </c>
      <c r="H1918" s="1" t="str">
        <f>HYPERLINK("http://www.weizmann.ac.il/complex/compphys/software/geview/data/figures/216942_s_at.png","Figure")</f>
        <v>Figure</v>
      </c>
      <c r="I1918">
        <v>1.44</v>
      </c>
      <c r="J1918">
        <v>0.52</v>
      </c>
      <c r="K1918">
        <v>2.93</v>
      </c>
      <c r="L1918">
        <v>6.1999999999999998E-3</v>
      </c>
      <c r="M1918">
        <v>2.04</v>
      </c>
      <c r="N1918">
        <v>8.6999999999999994E-2</v>
      </c>
    </row>
    <row r="1919" spans="1:14" x14ac:dyDescent="0.25">
      <c r="A1919" t="s">
        <v>3566</v>
      </c>
      <c r="B1919" t="s">
        <v>3567</v>
      </c>
      <c r="C1919" s="1" t="str">
        <f>HYPERLINK("http://www.genecards.org/cgi-bin/carddisp.pl?gene=MGC4294","GeneCards")</f>
        <v>GeneCards</v>
      </c>
      <c r="D1919" s="1" t="str">
        <f>HYPERLINK("http://genome-euro.ucsc.edu/cgi-bin/hgTracks?position=220698_at","UCSC")</f>
        <v>UCSC</v>
      </c>
      <c r="E1919" s="1" t="str">
        <f>HYPERLINK("http://www.ncbi.nlm.nih.gov/gene/?term=MGC4294","NCBI")</f>
        <v>NCBI</v>
      </c>
      <c r="F1919">
        <v>6.7999999999999996E-3</v>
      </c>
      <c r="G1919">
        <v>0.06</v>
      </c>
      <c r="H1919" s="1" t="str">
        <f>HYPERLINK("http://www.weizmann.ac.il/complex/compphys/software/geview/data/figures/220698_at.png","Figure")</f>
        <v>Figure</v>
      </c>
      <c r="I1919">
        <v>1.24</v>
      </c>
      <c r="J1919">
        <v>1.9E-2</v>
      </c>
      <c r="K1919">
        <v>0.98099999999999998</v>
      </c>
      <c r="L1919">
        <v>0.94</v>
      </c>
      <c r="M1919">
        <v>0.79400000000000004</v>
      </c>
      <c r="N1919">
        <v>7.1999999999999998E-3</v>
      </c>
    </row>
    <row r="1920" spans="1:14" x14ac:dyDescent="0.25">
      <c r="A1920" t="s">
        <v>3568</v>
      </c>
      <c r="B1920" t="s">
        <v>3569</v>
      </c>
      <c r="C1920" s="1" t="str">
        <f>HYPERLINK("http://www.genecards.org/cgi-bin/carddisp.pl?gene=LARP1","GeneCards")</f>
        <v>GeneCards</v>
      </c>
      <c r="D1920" s="1" t="str">
        <f>HYPERLINK("http://genome-euro.ucsc.edu/cgi-bin/hgTracks?position=212193_s_at","UCSC")</f>
        <v>UCSC</v>
      </c>
      <c r="E1920" s="1" t="str">
        <f>HYPERLINK("http://www.ncbi.nlm.nih.gov/gene/?term=LARP1","NCBI")</f>
        <v>NCBI</v>
      </c>
      <c r="F1920">
        <v>6.7999999999999996E-3</v>
      </c>
      <c r="G1920">
        <v>0.06</v>
      </c>
      <c r="H1920" s="1" t="str">
        <f>HYPERLINK("http://www.weizmann.ac.il/complex/compphys/software/geview/data/figures/212193_s_at.png","Figure")</f>
        <v>Figure</v>
      </c>
      <c r="I1920">
        <v>0.70699999999999996</v>
      </c>
      <c r="J1920">
        <v>0.2</v>
      </c>
      <c r="K1920">
        <v>1.4</v>
      </c>
      <c r="L1920">
        <v>0.15</v>
      </c>
      <c r="M1920">
        <v>1.98</v>
      </c>
      <c r="N1920">
        <v>5.4999999999999997E-3</v>
      </c>
    </row>
    <row r="1921" spans="1:14" x14ac:dyDescent="0.25">
      <c r="A1921" t="s">
        <v>3570</v>
      </c>
      <c r="B1921" t="s">
        <v>3571</v>
      </c>
      <c r="C1921" s="1" t="str">
        <f>HYPERLINK("http://www.genecards.org/cgi-bin/carddisp.pl?gene=AHCYL1","GeneCards")</f>
        <v>GeneCards</v>
      </c>
      <c r="D1921" s="1" t="str">
        <f>HYPERLINK("http://genome-euro.ucsc.edu/cgi-bin/hgTracks?position=200849_s_at","UCSC")</f>
        <v>UCSC</v>
      </c>
      <c r="E1921" s="1" t="str">
        <f>HYPERLINK("http://www.ncbi.nlm.nih.gov/gene/?term=AHCYL1","NCBI")</f>
        <v>NCBI</v>
      </c>
      <c r="F1921">
        <v>6.7999999999999996E-3</v>
      </c>
      <c r="G1921">
        <v>0.06</v>
      </c>
      <c r="H1921" s="1" t="str">
        <f>HYPERLINK("http://www.weizmann.ac.il/complex/compphys/software/geview/data/figures/200849_s_at.png","Figure")</f>
        <v>Figure</v>
      </c>
      <c r="I1921">
        <v>0.98599999999999999</v>
      </c>
      <c r="J1921">
        <v>0.99</v>
      </c>
      <c r="K1921">
        <v>1.48</v>
      </c>
      <c r="L1921">
        <v>1.4999999999999999E-2</v>
      </c>
      <c r="M1921">
        <v>1.5</v>
      </c>
      <c r="N1921">
        <v>1.9E-2</v>
      </c>
    </row>
    <row r="1922" spans="1:14" x14ac:dyDescent="0.25">
      <c r="A1922" t="s">
        <v>3572</v>
      </c>
      <c r="B1922" t="s">
        <v>3573</v>
      </c>
      <c r="C1922" s="1" t="str">
        <f>HYPERLINK("http://www.genecards.org/cgi-bin/carddisp.pl?gene=STRA13","GeneCards")</f>
        <v>GeneCards</v>
      </c>
      <c r="D1922" s="1" t="str">
        <f>HYPERLINK("http://genome-euro.ucsc.edu/cgi-bin/hgTracks?position=209478_at","UCSC")</f>
        <v>UCSC</v>
      </c>
      <c r="E1922" s="1" t="str">
        <f>HYPERLINK("http://www.ncbi.nlm.nih.gov/gene/?term=STRA13","NCBI")</f>
        <v>NCBI</v>
      </c>
      <c r="F1922">
        <v>6.7999999999999996E-3</v>
      </c>
      <c r="G1922">
        <v>0.06</v>
      </c>
      <c r="H1922" s="1" t="str">
        <f>HYPERLINK("http://www.weizmann.ac.il/complex/compphys/software/geview/data/figures/209478_at.png","Figure")</f>
        <v>Figure</v>
      </c>
      <c r="I1922">
        <v>1.03</v>
      </c>
      <c r="J1922">
        <v>0.96</v>
      </c>
      <c r="K1922">
        <v>1.35</v>
      </c>
      <c r="L1922">
        <v>1.0999999999999999E-2</v>
      </c>
      <c r="M1922">
        <v>1.32</v>
      </c>
      <c r="N1922">
        <v>2.8000000000000001E-2</v>
      </c>
    </row>
    <row r="1923" spans="1:14" x14ac:dyDescent="0.25">
      <c r="A1923" t="s">
        <v>3574</v>
      </c>
      <c r="B1923" t="s">
        <v>3001</v>
      </c>
      <c r="C1923" s="1" t="str">
        <f>HYPERLINK("http://www.genecards.org/cgi-bin/carddisp.pl?gene=MAP4K4","GeneCards")</f>
        <v>GeneCards</v>
      </c>
      <c r="D1923" s="1" t="str">
        <f>HYPERLINK("http://genome-euro.ucsc.edu/cgi-bin/hgTracks?position=218181_s_at","UCSC")</f>
        <v>UCSC</v>
      </c>
      <c r="E1923" s="1" t="str">
        <f>HYPERLINK("http://www.ncbi.nlm.nih.gov/gene/?term=MAP4K4","NCBI")</f>
        <v>NCBI</v>
      </c>
      <c r="F1923">
        <v>6.7999999999999996E-3</v>
      </c>
      <c r="G1923">
        <v>0.06</v>
      </c>
      <c r="H1923" s="1" t="str">
        <f>HYPERLINK("http://www.weizmann.ac.il/complex/compphys/software/geview/data/figures/218181_s_at.png","Figure")</f>
        <v>Figure</v>
      </c>
      <c r="I1923">
        <v>0.45800000000000002</v>
      </c>
      <c r="J1923">
        <v>8.0999999999999996E-3</v>
      </c>
      <c r="K1923">
        <v>0.56599999999999995</v>
      </c>
      <c r="L1923">
        <v>2.4E-2</v>
      </c>
      <c r="M1923">
        <v>1.23</v>
      </c>
      <c r="N1923">
        <v>0.56000000000000005</v>
      </c>
    </row>
    <row r="1924" spans="1:14" x14ac:dyDescent="0.25">
      <c r="A1924" t="s">
        <v>3575</v>
      </c>
      <c r="B1924" t="s">
        <v>3576</v>
      </c>
      <c r="C1924" s="1" t="str">
        <f>HYPERLINK("http://www.genecards.org/cgi-bin/carddisp.pl?gene=NOL6","GeneCards")</f>
        <v>GeneCards</v>
      </c>
      <c r="D1924" s="1" t="str">
        <f>HYPERLINK("http://genome-euro.ucsc.edu/cgi-bin/hgTracks?position=218199_s_at","UCSC")</f>
        <v>UCSC</v>
      </c>
      <c r="E1924" s="1" t="str">
        <f>HYPERLINK("http://www.ncbi.nlm.nih.gov/gene/?term=NOL6","NCBI")</f>
        <v>NCBI</v>
      </c>
      <c r="F1924">
        <v>6.7999999999999996E-3</v>
      </c>
      <c r="G1924">
        <v>0.06</v>
      </c>
      <c r="H1924" s="1" t="str">
        <f>HYPERLINK("http://www.weizmann.ac.il/complex/compphys/software/geview/data/figures/218199_s_at.png","Figure")</f>
        <v>Figure</v>
      </c>
      <c r="I1924">
        <v>0.96799999999999997</v>
      </c>
      <c r="J1924">
        <v>0.93</v>
      </c>
      <c r="K1924">
        <v>0.75600000000000001</v>
      </c>
      <c r="L1924">
        <v>0.01</v>
      </c>
      <c r="M1924">
        <v>0.78100000000000003</v>
      </c>
      <c r="N1924">
        <v>3.1E-2</v>
      </c>
    </row>
    <row r="1925" spans="1:14" x14ac:dyDescent="0.25">
      <c r="A1925" t="s">
        <v>3577</v>
      </c>
      <c r="B1925" t="s">
        <v>3578</v>
      </c>
      <c r="C1925" s="1" t="str">
        <f>HYPERLINK("http://www.genecards.org/cgi-bin/carddisp.pl?gene=C13orf23","GeneCards")</f>
        <v>GeneCards</v>
      </c>
      <c r="D1925" s="1" t="str">
        <f>HYPERLINK("http://genome-euro.ucsc.edu/cgi-bin/hgTracks?position=218420_s_at","UCSC")</f>
        <v>UCSC</v>
      </c>
      <c r="E1925" s="1" t="str">
        <f>HYPERLINK("http://www.ncbi.nlm.nih.gov/gene/?term=C13orf23","NCBI")</f>
        <v>NCBI</v>
      </c>
      <c r="F1925">
        <v>6.7999999999999996E-3</v>
      </c>
      <c r="G1925">
        <v>0.06</v>
      </c>
      <c r="H1925" s="1" t="str">
        <f>HYPERLINK("http://www.weizmann.ac.il/complex/compphys/software/geview/data/figures/218420_s_at.png","Figure")</f>
        <v>Figure</v>
      </c>
      <c r="I1925">
        <v>1.17</v>
      </c>
      <c r="J1925">
        <v>0.26</v>
      </c>
      <c r="K1925">
        <v>0.84099999999999997</v>
      </c>
      <c r="L1925">
        <v>0.11</v>
      </c>
      <c r="M1925">
        <v>0.72099999999999997</v>
      </c>
      <c r="N1925">
        <v>5.7999999999999996E-3</v>
      </c>
    </row>
    <row r="1926" spans="1:14" x14ac:dyDescent="0.25">
      <c r="A1926" t="s">
        <v>3579</v>
      </c>
      <c r="B1926" t="s">
        <v>3580</v>
      </c>
      <c r="C1926" s="1" t="str">
        <f>HYPERLINK("http://www.genecards.org/cgi-bin/carddisp.pl?gene=PCTP","GeneCards")</f>
        <v>GeneCards</v>
      </c>
      <c r="D1926" s="1" t="str">
        <f>HYPERLINK("http://genome-euro.ucsc.edu/cgi-bin/hgTracks?position=218676_s_at","UCSC")</f>
        <v>UCSC</v>
      </c>
      <c r="E1926" s="1" t="str">
        <f>HYPERLINK("http://www.ncbi.nlm.nih.gov/gene/?term=PCTP","NCBI")</f>
        <v>NCBI</v>
      </c>
      <c r="F1926">
        <v>6.7999999999999996E-3</v>
      </c>
      <c r="G1926">
        <v>0.06</v>
      </c>
      <c r="H1926" s="1" t="str">
        <f>HYPERLINK("http://www.weizmann.ac.il/complex/compphys/software/geview/data/figures/218676_s_at.png","Figure")</f>
        <v>Figure</v>
      </c>
      <c r="I1926">
        <v>0.53700000000000003</v>
      </c>
      <c r="J1926">
        <v>4.5999999999999999E-2</v>
      </c>
      <c r="K1926">
        <v>0.46700000000000003</v>
      </c>
      <c r="L1926">
        <v>6.1999999999999998E-3</v>
      </c>
      <c r="M1926">
        <v>0.871</v>
      </c>
      <c r="N1926">
        <v>0.8</v>
      </c>
    </row>
    <row r="1927" spans="1:14" x14ac:dyDescent="0.25">
      <c r="A1927" t="s">
        <v>3581</v>
      </c>
      <c r="B1927" t="s">
        <v>3582</v>
      </c>
      <c r="C1927" s="1" t="str">
        <f>HYPERLINK("http://www.genecards.org/cgi-bin/carddisp.pl?gene=FJX1","GeneCards")</f>
        <v>GeneCards</v>
      </c>
      <c r="D1927" s="1" t="str">
        <f>HYPERLINK("http://genome-euro.ucsc.edu/cgi-bin/hgTracks?position=219522_at","UCSC")</f>
        <v>UCSC</v>
      </c>
      <c r="E1927" s="1" t="str">
        <f>HYPERLINK("http://www.ncbi.nlm.nih.gov/gene/?term=FJX1","NCBI")</f>
        <v>NCBI</v>
      </c>
      <c r="F1927">
        <v>6.7999999999999996E-3</v>
      </c>
      <c r="G1927">
        <v>0.06</v>
      </c>
      <c r="H1927" s="1" t="str">
        <f>HYPERLINK("http://www.weizmann.ac.il/complex/compphys/software/geview/data/figures/219522_at.png","Figure")</f>
        <v>Figure</v>
      </c>
      <c r="I1927">
        <v>1.39</v>
      </c>
      <c r="J1927">
        <v>5.4999999999999997E-3</v>
      </c>
      <c r="K1927">
        <v>1.1100000000000001</v>
      </c>
      <c r="L1927">
        <v>0.35</v>
      </c>
      <c r="M1927">
        <v>0.80300000000000005</v>
      </c>
      <c r="N1927">
        <v>4.1000000000000002E-2</v>
      </c>
    </row>
    <row r="1928" spans="1:14" x14ac:dyDescent="0.25">
      <c r="A1928" t="s">
        <v>3583</v>
      </c>
      <c r="B1928" t="s">
        <v>3584</v>
      </c>
      <c r="C1928" s="1" t="str">
        <f>HYPERLINK("http://www.genecards.org/cgi-bin/carddisp.pl?gene=ZNF586","GeneCards")</f>
        <v>GeneCards</v>
      </c>
      <c r="D1928" s="1" t="str">
        <f>HYPERLINK("http://genome-euro.ucsc.edu/cgi-bin/hgTracks?position=219711_at","UCSC")</f>
        <v>UCSC</v>
      </c>
      <c r="E1928" s="1" t="str">
        <f>HYPERLINK("http://www.ncbi.nlm.nih.gov/gene/?term=ZNF586","NCBI")</f>
        <v>NCBI</v>
      </c>
      <c r="F1928">
        <v>6.7999999999999996E-3</v>
      </c>
      <c r="G1928">
        <v>0.06</v>
      </c>
      <c r="H1928" s="1" t="str">
        <f>HYPERLINK("http://www.weizmann.ac.il/complex/compphys/software/geview/data/figures/219711_at.png","Figure")</f>
        <v>Figure</v>
      </c>
      <c r="I1928">
        <v>1.1299999999999999</v>
      </c>
      <c r="J1928">
        <v>0.79</v>
      </c>
      <c r="K1928">
        <v>0.627</v>
      </c>
      <c r="L1928">
        <v>2.8000000000000001E-2</v>
      </c>
      <c r="M1928">
        <v>0.55700000000000005</v>
      </c>
      <c r="N1928">
        <v>1.0999999999999999E-2</v>
      </c>
    </row>
    <row r="1929" spans="1:14" x14ac:dyDescent="0.25">
      <c r="A1929" t="s">
        <v>3585</v>
      </c>
      <c r="B1929" t="s">
        <v>2059</v>
      </c>
      <c r="C1929" s="1" t="str">
        <f>HYPERLINK("http://www.genecards.org/cgi-bin/carddisp.pl?gene=AGFG2","GeneCards")</f>
        <v>GeneCards</v>
      </c>
      <c r="D1929" s="1" t="str">
        <f>HYPERLINK("http://genome-euro.ucsc.edu/cgi-bin/hgTracks?position=222362_at","UCSC")</f>
        <v>UCSC</v>
      </c>
      <c r="E1929" s="1" t="str">
        <f>HYPERLINK("http://www.ncbi.nlm.nih.gov/gene/?term=AGFG2","NCBI")</f>
        <v>NCBI</v>
      </c>
      <c r="F1929">
        <v>6.7999999999999996E-3</v>
      </c>
      <c r="G1929">
        <v>0.06</v>
      </c>
      <c r="H1929" s="1" t="str">
        <f>HYPERLINK("http://www.weizmann.ac.il/complex/compphys/software/geview/data/figures/222362_at.png","Figure")</f>
        <v>Figure</v>
      </c>
      <c r="I1929">
        <v>1.24</v>
      </c>
      <c r="J1929">
        <v>9.2999999999999992E-3</v>
      </c>
      <c r="K1929">
        <v>1.02</v>
      </c>
      <c r="L1929">
        <v>0.89</v>
      </c>
      <c r="M1929">
        <v>0.82799999999999996</v>
      </c>
      <c r="N1929">
        <v>1.2999999999999999E-2</v>
      </c>
    </row>
    <row r="1930" spans="1:14" x14ac:dyDescent="0.25">
      <c r="A1930" t="s">
        <v>3586</v>
      </c>
      <c r="B1930" t="s">
        <v>1451</v>
      </c>
      <c r="C1930" s="1" t="str">
        <f>HYPERLINK("http://www.genecards.org/cgi-bin/carddisp.pl?gene=ACTB","GeneCards")</f>
        <v>GeneCards</v>
      </c>
      <c r="D1930" s="1" t="str">
        <f>HYPERLINK("http://genome-euro.ucsc.edu/cgi-bin/hgTracks?position=AFFX-HSAC07/X00351_5_at","UCSC")</f>
        <v>UCSC</v>
      </c>
      <c r="E1930" s="1" t="str">
        <f>HYPERLINK("http://www.ncbi.nlm.nih.gov/gene/?term=ACTB","NCBI")</f>
        <v>NCBI</v>
      </c>
      <c r="F1930">
        <v>6.7999999999999996E-3</v>
      </c>
      <c r="G1930">
        <v>0.06</v>
      </c>
      <c r="H1930" s="1" t="str">
        <f>HYPERLINK("http://www.weizmann.ac.il/complex/compphys/software/geview/data/figures/AFFX-HSAC07/X00351_5_at.png","Figure")</f>
        <v>Figure</v>
      </c>
      <c r="I1930">
        <v>1.51</v>
      </c>
      <c r="J1930">
        <v>0.3</v>
      </c>
      <c r="K1930">
        <v>2.4500000000000002</v>
      </c>
      <c r="L1930">
        <v>5.4000000000000003E-3</v>
      </c>
      <c r="M1930">
        <v>1.62</v>
      </c>
      <c r="N1930">
        <v>0.17</v>
      </c>
    </row>
    <row r="1931" spans="1:14" x14ac:dyDescent="0.25">
      <c r="A1931" t="s">
        <v>3587</v>
      </c>
      <c r="B1931" t="s">
        <v>1863</v>
      </c>
      <c r="C1931" s="1" t="str">
        <f>HYPERLINK("http://www.genecards.org/cgi-bin/carddisp.pl?gene=TRA2B","GeneCards")</f>
        <v>GeneCards</v>
      </c>
      <c r="D1931" s="1" t="str">
        <f>HYPERLINK("http://genome-euro.ucsc.edu/cgi-bin/hgTracks?position=200892_s_at","UCSC")</f>
        <v>UCSC</v>
      </c>
      <c r="E1931" s="1" t="str">
        <f>HYPERLINK("http://www.ncbi.nlm.nih.gov/gene/?term=TRA2B","NCBI")</f>
        <v>NCBI</v>
      </c>
      <c r="F1931">
        <v>6.7999999999999996E-3</v>
      </c>
      <c r="G1931">
        <v>0.06</v>
      </c>
      <c r="H1931" s="1" t="str">
        <f>HYPERLINK("http://www.weizmann.ac.il/complex/compphys/software/geview/data/figures/200892_s_at.png","Figure")</f>
        <v>Figure</v>
      </c>
      <c r="I1931">
        <v>0.79600000000000004</v>
      </c>
      <c r="J1931">
        <v>0.34</v>
      </c>
      <c r="K1931">
        <v>0.59299999999999997</v>
      </c>
      <c r="L1931">
        <v>5.4999999999999997E-3</v>
      </c>
      <c r="M1931">
        <v>0.745</v>
      </c>
      <c r="N1931">
        <v>0.15</v>
      </c>
    </row>
    <row r="1932" spans="1:14" x14ac:dyDescent="0.25">
      <c r="A1932" t="s">
        <v>3588</v>
      </c>
      <c r="B1932" t="s">
        <v>3589</v>
      </c>
      <c r="C1932" s="1" t="str">
        <f>HYPERLINK("http://www.genecards.org/cgi-bin/carddisp.pl?gene=CCT2","GeneCards")</f>
        <v>GeneCards</v>
      </c>
      <c r="D1932" s="1" t="str">
        <f>HYPERLINK("http://genome-euro.ucsc.edu/cgi-bin/hgTracks?position=201947_s_at","UCSC")</f>
        <v>UCSC</v>
      </c>
      <c r="E1932" s="1" t="str">
        <f>HYPERLINK("http://www.ncbi.nlm.nih.gov/gene/?term=CCT2","NCBI")</f>
        <v>NCBI</v>
      </c>
      <c r="F1932">
        <v>6.7999999999999996E-3</v>
      </c>
      <c r="G1932">
        <v>0.06</v>
      </c>
      <c r="H1932" s="1" t="str">
        <f>HYPERLINK("http://www.weizmann.ac.il/complex/compphys/software/geview/data/figures/201947_s_at.png","Figure")</f>
        <v>Figure</v>
      </c>
      <c r="I1932">
        <v>1.22</v>
      </c>
      <c r="J1932">
        <v>0.27</v>
      </c>
      <c r="K1932">
        <v>1.51</v>
      </c>
      <c r="L1932">
        <v>5.3E-3</v>
      </c>
      <c r="M1932">
        <v>1.24</v>
      </c>
      <c r="N1932">
        <v>0.19</v>
      </c>
    </row>
    <row r="1933" spans="1:14" x14ac:dyDescent="0.25">
      <c r="A1933" t="s">
        <v>3590</v>
      </c>
      <c r="B1933" t="s">
        <v>3591</v>
      </c>
      <c r="C1933" s="1" t="str">
        <f>HYPERLINK("http://www.genecards.org/cgi-bin/carddisp.pl?gene=GOLGA3","GeneCards")</f>
        <v>GeneCards</v>
      </c>
      <c r="D1933" s="1" t="str">
        <f>HYPERLINK("http://genome-euro.ucsc.edu/cgi-bin/hgTracks?position=202106_at","UCSC")</f>
        <v>UCSC</v>
      </c>
      <c r="E1933" s="1" t="str">
        <f>HYPERLINK("http://www.ncbi.nlm.nih.gov/gene/?term=GOLGA3","NCBI")</f>
        <v>NCBI</v>
      </c>
      <c r="F1933">
        <v>6.7999999999999996E-3</v>
      </c>
      <c r="G1933">
        <v>0.06</v>
      </c>
      <c r="H1933" s="1" t="str">
        <f>HYPERLINK("http://www.weizmann.ac.il/complex/compphys/software/geview/data/figures/202106_at.png","Figure")</f>
        <v>Figure</v>
      </c>
      <c r="I1933">
        <v>1.89</v>
      </c>
      <c r="J1933">
        <v>9.6000000000000002E-2</v>
      </c>
      <c r="K1933">
        <v>2.58</v>
      </c>
      <c r="L1933">
        <v>5.3E-3</v>
      </c>
      <c r="M1933">
        <v>1.36</v>
      </c>
      <c r="N1933">
        <v>0.49</v>
      </c>
    </row>
    <row r="1934" spans="1:14" x14ac:dyDescent="0.25">
      <c r="A1934" t="s">
        <v>3592</v>
      </c>
      <c r="B1934" t="s">
        <v>3593</v>
      </c>
      <c r="C1934" s="1" t="str">
        <f>HYPERLINK("http://www.genecards.org/cgi-bin/carddisp.pl?gene=NPTN","GeneCards")</f>
        <v>GeneCards</v>
      </c>
      <c r="D1934" s="1" t="str">
        <f>HYPERLINK("http://genome-euro.ucsc.edu/cgi-bin/hgTracks?position=202228_s_at","UCSC")</f>
        <v>UCSC</v>
      </c>
      <c r="E1934" s="1" t="str">
        <f>HYPERLINK("http://www.ncbi.nlm.nih.gov/gene/?term=NPTN","NCBI")</f>
        <v>NCBI</v>
      </c>
      <c r="F1934">
        <v>6.7999999999999996E-3</v>
      </c>
      <c r="G1934">
        <v>0.06</v>
      </c>
      <c r="H1934" s="1" t="str">
        <f>HYPERLINK("http://www.weizmann.ac.il/complex/compphys/software/geview/data/figures/202228_s_at.png","Figure")</f>
        <v>Figure</v>
      </c>
      <c r="I1934">
        <v>0.56100000000000005</v>
      </c>
      <c r="J1934">
        <v>5.2999999999999999E-2</v>
      </c>
      <c r="K1934">
        <v>1.25</v>
      </c>
      <c r="L1934">
        <v>0.51</v>
      </c>
      <c r="M1934">
        <v>2.2200000000000002</v>
      </c>
      <c r="N1934">
        <v>5.3E-3</v>
      </c>
    </row>
    <row r="1935" spans="1:14" x14ac:dyDescent="0.25">
      <c r="A1935" t="s">
        <v>3594</v>
      </c>
      <c r="B1935" t="s">
        <v>3595</v>
      </c>
      <c r="C1935" s="1" t="str">
        <f>HYPERLINK("http://www.genecards.org/cgi-bin/carddisp.pl?gene=RRP9","GeneCards")</f>
        <v>GeneCards</v>
      </c>
      <c r="D1935" s="1" t="str">
        <f>HYPERLINK("http://genome-euro.ucsc.edu/cgi-bin/hgTracks?position=204133_at","UCSC")</f>
        <v>UCSC</v>
      </c>
      <c r="E1935" s="1" t="str">
        <f>HYPERLINK("http://www.ncbi.nlm.nih.gov/gene/?term=RRP9","NCBI")</f>
        <v>NCBI</v>
      </c>
      <c r="F1935">
        <v>6.7999999999999996E-3</v>
      </c>
      <c r="G1935">
        <v>0.06</v>
      </c>
      <c r="H1935" s="1" t="str">
        <f>HYPERLINK("http://www.weizmann.ac.il/complex/compphys/software/geview/data/figures/204133_at.png","Figure")</f>
        <v>Figure</v>
      </c>
      <c r="I1935">
        <v>1.25</v>
      </c>
      <c r="J1935">
        <v>1.0999999999999999E-2</v>
      </c>
      <c r="K1935">
        <v>1.2</v>
      </c>
      <c r="L1935">
        <v>1.7000000000000001E-2</v>
      </c>
      <c r="M1935">
        <v>0.95899999999999996</v>
      </c>
      <c r="N1935">
        <v>0.77</v>
      </c>
    </row>
    <row r="1936" spans="1:14" x14ac:dyDescent="0.25">
      <c r="A1936" t="s">
        <v>3596</v>
      </c>
      <c r="B1936" t="s">
        <v>3597</v>
      </c>
      <c r="C1936" s="1" t="str">
        <f>HYPERLINK("http://www.genecards.org/cgi-bin/carddisp.pl?gene=LSM12","GeneCards")</f>
        <v>GeneCards</v>
      </c>
      <c r="D1936" s="1" t="str">
        <f>HYPERLINK("http://genome-euro.ucsc.edu/cgi-bin/hgTracks?position=212529_at","UCSC")</f>
        <v>UCSC</v>
      </c>
      <c r="E1936" s="1" t="str">
        <f>HYPERLINK("http://www.ncbi.nlm.nih.gov/gene/?term=LSM12","NCBI")</f>
        <v>NCBI</v>
      </c>
      <c r="F1936">
        <v>6.7999999999999996E-3</v>
      </c>
      <c r="G1936">
        <v>0.06</v>
      </c>
      <c r="H1936" s="1" t="str">
        <f>HYPERLINK("http://www.weizmann.ac.il/complex/compphys/software/geview/data/figures/212529_at.png","Figure")</f>
        <v>Figure</v>
      </c>
      <c r="I1936">
        <v>0.86299999999999999</v>
      </c>
      <c r="J1936">
        <v>8.6999999999999994E-2</v>
      </c>
      <c r="K1936">
        <v>1.0900000000000001</v>
      </c>
      <c r="L1936">
        <v>0.33</v>
      </c>
      <c r="M1936">
        <v>1.26</v>
      </c>
      <c r="N1936">
        <v>5.1000000000000004E-3</v>
      </c>
    </row>
    <row r="1937" spans="1:14" x14ac:dyDescent="0.25">
      <c r="A1937" t="s">
        <v>3598</v>
      </c>
      <c r="B1937" t="s">
        <v>3599</v>
      </c>
      <c r="C1937" s="1" t="str">
        <f>HYPERLINK("http://www.genecards.org/cgi-bin/carddisp.pl?gene=TRIM24","GeneCards")</f>
        <v>GeneCards</v>
      </c>
      <c r="D1937" s="1" t="str">
        <f>HYPERLINK("http://genome-euro.ucsc.edu/cgi-bin/hgTracks?position=213301_x_at","UCSC")</f>
        <v>UCSC</v>
      </c>
      <c r="E1937" s="1" t="str">
        <f>HYPERLINK("http://www.ncbi.nlm.nih.gov/gene/?term=TRIM24","NCBI")</f>
        <v>NCBI</v>
      </c>
      <c r="F1937">
        <v>6.7999999999999996E-3</v>
      </c>
      <c r="G1937">
        <v>0.06</v>
      </c>
      <c r="H1937" s="1" t="str">
        <f>HYPERLINK("http://www.weizmann.ac.il/complex/compphys/software/geview/data/figures/213301_x_at.png","Figure")</f>
        <v>Figure</v>
      </c>
      <c r="I1937">
        <v>0.73099999999999998</v>
      </c>
      <c r="J1937">
        <v>0.64</v>
      </c>
      <c r="K1937">
        <v>0.33400000000000002</v>
      </c>
      <c r="L1937">
        <v>6.8999999999999999E-3</v>
      </c>
      <c r="M1937">
        <v>0.45600000000000002</v>
      </c>
      <c r="N1937">
        <v>6.7000000000000004E-2</v>
      </c>
    </row>
    <row r="1938" spans="1:14" x14ac:dyDescent="0.25">
      <c r="A1938" t="s">
        <v>3600</v>
      </c>
      <c r="B1938" t="s">
        <v>3601</v>
      </c>
      <c r="C1938" s="1" t="str">
        <f>HYPERLINK("http://www.genecards.org/cgi-bin/carddisp.pl?gene=RSL1D1","GeneCards")</f>
        <v>GeneCards</v>
      </c>
      <c r="D1938" s="1" t="str">
        <f>HYPERLINK("http://genome-euro.ucsc.edu/cgi-bin/hgTracks?position=213750_at","UCSC")</f>
        <v>UCSC</v>
      </c>
      <c r="E1938" s="1" t="str">
        <f>HYPERLINK("http://www.ncbi.nlm.nih.gov/gene/?term=RSL1D1","NCBI")</f>
        <v>NCBI</v>
      </c>
      <c r="F1938">
        <v>6.7999999999999996E-3</v>
      </c>
      <c r="G1938">
        <v>0.06</v>
      </c>
      <c r="H1938" s="1" t="str">
        <f>HYPERLINK("http://www.weizmann.ac.il/complex/compphys/software/geview/data/figures/213750_at.png","Figure")</f>
        <v>Figure</v>
      </c>
      <c r="I1938">
        <v>1</v>
      </c>
      <c r="J1938">
        <v>1</v>
      </c>
      <c r="K1938">
        <v>1.61</v>
      </c>
      <c r="L1938">
        <v>1.4E-2</v>
      </c>
      <c r="M1938">
        <v>1.61</v>
      </c>
      <c r="N1938">
        <v>2.1000000000000001E-2</v>
      </c>
    </row>
    <row r="1939" spans="1:14" x14ac:dyDescent="0.25">
      <c r="A1939" t="s">
        <v>3602</v>
      </c>
      <c r="B1939" t="s">
        <v>3603</v>
      </c>
      <c r="C1939" s="1" t="str">
        <f>HYPERLINK("http://www.genecards.org/cgi-bin/carddisp.pl?gene=DSCC1","GeneCards")</f>
        <v>GeneCards</v>
      </c>
      <c r="D1939" s="1" t="str">
        <f>HYPERLINK("http://genome-euro.ucsc.edu/cgi-bin/hgTracks?position=216646_at","UCSC")</f>
        <v>UCSC</v>
      </c>
      <c r="E1939" s="1" t="str">
        <f>HYPERLINK("http://www.ncbi.nlm.nih.gov/gene/?term=DSCC1","NCBI")</f>
        <v>NCBI</v>
      </c>
      <c r="F1939">
        <v>6.7999999999999996E-3</v>
      </c>
      <c r="G1939">
        <v>0.06</v>
      </c>
      <c r="H1939" s="1" t="str">
        <f>HYPERLINK("http://www.weizmann.ac.il/complex/compphys/software/geview/data/figures/216646_at.png","Figure")</f>
        <v>Figure</v>
      </c>
      <c r="I1939">
        <v>1.34</v>
      </c>
      <c r="J1939">
        <v>5.1000000000000004E-3</v>
      </c>
      <c r="K1939">
        <v>1.1499999999999999</v>
      </c>
      <c r="L1939">
        <v>0.13</v>
      </c>
      <c r="M1939">
        <v>0.85799999999999998</v>
      </c>
      <c r="N1939">
        <v>0.11</v>
      </c>
    </row>
    <row r="1940" spans="1:14" x14ac:dyDescent="0.25">
      <c r="A1940" t="s">
        <v>3604</v>
      </c>
      <c r="B1940" t="s">
        <v>3605</v>
      </c>
      <c r="C1940" s="1" t="str">
        <f>HYPERLINK("http://www.genecards.org/cgi-bin/carddisp.pl?gene=HLA-DRB6","GeneCards")</f>
        <v>GeneCards</v>
      </c>
      <c r="D1940" s="1" t="str">
        <f>HYPERLINK("http://genome-euro.ucsc.edu/cgi-bin/hgTracks?position=217323_at","UCSC")</f>
        <v>UCSC</v>
      </c>
      <c r="E1940" s="1" t="str">
        <f>HYPERLINK("http://www.ncbi.nlm.nih.gov/gene/?term=HLA-DRB6","NCBI")</f>
        <v>NCBI</v>
      </c>
      <c r="F1940">
        <v>6.7999999999999996E-3</v>
      </c>
      <c r="G1940">
        <v>0.06</v>
      </c>
      <c r="H1940" s="1" t="str">
        <f>HYPERLINK("http://www.weizmann.ac.il/complex/compphys/software/geview/data/figures/217323_at.png","Figure")</f>
        <v>Figure</v>
      </c>
      <c r="I1940">
        <v>1.1299999999999999</v>
      </c>
      <c r="J1940">
        <v>1.2999999999999999E-2</v>
      </c>
      <c r="K1940">
        <v>1</v>
      </c>
      <c r="L1940">
        <v>1</v>
      </c>
      <c r="M1940">
        <v>0.89</v>
      </c>
      <c r="N1940">
        <v>9.4999999999999998E-3</v>
      </c>
    </row>
    <row r="1941" spans="1:14" x14ac:dyDescent="0.25">
      <c r="A1941" t="s">
        <v>3606</v>
      </c>
      <c r="B1941" t="s">
        <v>3607</v>
      </c>
      <c r="C1941" s="1" t="str">
        <f>HYPERLINK("http://www.genecards.org/cgi-bin/carddisp.pl?gene=SIGLEC5","GeneCards")</f>
        <v>GeneCards</v>
      </c>
      <c r="D1941" s="1" t="str">
        <f>HYPERLINK("http://genome-euro.ucsc.edu/cgi-bin/hgTracks?position=220000_at","UCSC")</f>
        <v>UCSC</v>
      </c>
      <c r="E1941" s="1" t="str">
        <f>HYPERLINK("http://www.ncbi.nlm.nih.gov/gene/?term=SIGLEC5","NCBI")</f>
        <v>NCBI</v>
      </c>
      <c r="F1941">
        <v>6.7999999999999996E-3</v>
      </c>
      <c r="G1941">
        <v>0.06</v>
      </c>
      <c r="H1941" s="1" t="str">
        <f>HYPERLINK("http://www.weizmann.ac.il/complex/compphys/software/geview/data/figures/220000_at.png","Figure")</f>
        <v>Figure</v>
      </c>
      <c r="I1941">
        <v>1.28</v>
      </c>
      <c r="J1941">
        <v>5.1000000000000004E-3</v>
      </c>
      <c r="K1941">
        <v>1.1200000000000001</v>
      </c>
      <c r="L1941">
        <v>0.15</v>
      </c>
      <c r="M1941">
        <v>0.871</v>
      </c>
      <c r="N1941">
        <v>9.2999999999999999E-2</v>
      </c>
    </row>
    <row r="1942" spans="1:14" x14ac:dyDescent="0.25">
      <c r="A1942" t="s">
        <v>3608</v>
      </c>
      <c r="B1942" t="s">
        <v>3609</v>
      </c>
      <c r="C1942" s="1" t="str">
        <f>HYPERLINK("http://www.genecards.org/cgi-bin/carddisp.pl?gene=ZNF318","GeneCards")</f>
        <v>GeneCards</v>
      </c>
      <c r="D1942" s="1" t="str">
        <f>HYPERLINK("http://genome-euro.ucsc.edu/cgi-bin/hgTracks?position=203520_s_at","UCSC")</f>
        <v>UCSC</v>
      </c>
      <c r="E1942" s="1" t="str">
        <f>HYPERLINK("http://www.ncbi.nlm.nih.gov/gene/?term=ZNF318","NCBI")</f>
        <v>NCBI</v>
      </c>
      <c r="F1942">
        <v>6.8999999999999999E-3</v>
      </c>
      <c r="G1942">
        <v>0.06</v>
      </c>
      <c r="H1942" s="1" t="str">
        <f>HYPERLINK("http://www.weizmann.ac.il/complex/compphys/software/geview/data/figures/203520_s_at.png","Figure")</f>
        <v>Figure</v>
      </c>
      <c r="I1942">
        <v>0.42599999999999999</v>
      </c>
      <c r="J1942">
        <v>5.1999999999999998E-3</v>
      </c>
      <c r="K1942">
        <v>0.71899999999999997</v>
      </c>
      <c r="L1942">
        <v>0.24</v>
      </c>
      <c r="M1942">
        <v>1.69</v>
      </c>
      <c r="N1942">
        <v>6.0999999999999999E-2</v>
      </c>
    </row>
    <row r="1943" spans="1:14" x14ac:dyDescent="0.25">
      <c r="A1943" t="s">
        <v>3610</v>
      </c>
      <c r="B1943" t="s">
        <v>3611</v>
      </c>
      <c r="C1943" s="1" t="str">
        <f>HYPERLINK("http://www.genecards.org/cgi-bin/carddisp.pl?gene=TRAF5","GeneCards")</f>
        <v>GeneCards</v>
      </c>
      <c r="D1943" s="1" t="str">
        <f>HYPERLINK("http://genome-euro.ucsc.edu/cgi-bin/hgTracks?position=204352_at","UCSC")</f>
        <v>UCSC</v>
      </c>
      <c r="E1943" s="1" t="str">
        <f>HYPERLINK("http://www.ncbi.nlm.nih.gov/gene/?term=TRAF5","NCBI")</f>
        <v>NCBI</v>
      </c>
      <c r="F1943">
        <v>6.8999999999999999E-3</v>
      </c>
      <c r="G1943">
        <v>0.06</v>
      </c>
      <c r="H1943" s="1" t="str">
        <f>HYPERLINK("http://www.weizmann.ac.il/complex/compphys/software/geview/data/figures/204352_at.png","Figure")</f>
        <v>Figure</v>
      </c>
      <c r="I1943">
        <v>2.39</v>
      </c>
      <c r="J1943">
        <v>5.7000000000000002E-3</v>
      </c>
      <c r="K1943">
        <v>1.31</v>
      </c>
      <c r="L1943">
        <v>0.39</v>
      </c>
      <c r="M1943">
        <v>0.55000000000000004</v>
      </c>
      <c r="N1943">
        <v>3.6999999999999998E-2</v>
      </c>
    </row>
    <row r="1944" spans="1:14" x14ac:dyDescent="0.25">
      <c r="A1944" t="s">
        <v>3612</v>
      </c>
      <c r="B1944" t="s">
        <v>3613</v>
      </c>
      <c r="C1944" s="1" t="str">
        <f>HYPERLINK("http://www.genecards.org/cgi-bin/carddisp.pl?gene=STX1A","GeneCards")</f>
        <v>GeneCards</v>
      </c>
      <c r="D1944" s="1" t="str">
        <f>HYPERLINK("http://genome-euro.ucsc.edu/cgi-bin/hgTracks?position=204729_s_at","UCSC")</f>
        <v>UCSC</v>
      </c>
      <c r="E1944" s="1" t="str">
        <f>HYPERLINK("http://www.ncbi.nlm.nih.gov/gene/?term=STX1A","NCBI")</f>
        <v>NCBI</v>
      </c>
      <c r="F1944">
        <v>6.8999999999999999E-3</v>
      </c>
      <c r="G1944">
        <v>0.06</v>
      </c>
      <c r="H1944" s="1" t="str">
        <f>HYPERLINK("http://www.weizmann.ac.il/complex/compphys/software/geview/data/figures/204729_s_at.png","Figure")</f>
        <v>Figure</v>
      </c>
      <c r="I1944">
        <v>1.31</v>
      </c>
      <c r="J1944">
        <v>7.1999999999999998E-3</v>
      </c>
      <c r="K1944">
        <v>1.06</v>
      </c>
      <c r="L1944">
        <v>0.68</v>
      </c>
      <c r="M1944">
        <v>0.80500000000000005</v>
      </c>
      <c r="N1944">
        <v>0.02</v>
      </c>
    </row>
    <row r="1945" spans="1:14" x14ac:dyDescent="0.25">
      <c r="A1945" t="s">
        <v>3614</v>
      </c>
      <c r="B1945" t="s">
        <v>3615</v>
      </c>
      <c r="C1945" s="1" t="str">
        <f>HYPERLINK("http://www.genecards.org/cgi-bin/carddisp.pl?gene=KLK2","GeneCards")</f>
        <v>GeneCards</v>
      </c>
      <c r="D1945" s="1" t="str">
        <f>HYPERLINK("http://genome-euro.ucsc.edu/cgi-bin/hgTracks?position=210339_s_at","UCSC")</f>
        <v>UCSC</v>
      </c>
      <c r="E1945" s="1" t="str">
        <f>HYPERLINK("http://www.ncbi.nlm.nih.gov/gene/?term=KLK2","NCBI")</f>
        <v>NCBI</v>
      </c>
      <c r="F1945">
        <v>6.8999999999999999E-3</v>
      </c>
      <c r="G1945">
        <v>0.06</v>
      </c>
      <c r="H1945" s="1" t="str">
        <f>HYPERLINK("http://www.weizmann.ac.il/complex/compphys/software/geview/data/figures/210339_s_at.png","Figure")</f>
        <v>Figure</v>
      </c>
      <c r="I1945">
        <v>1.1200000000000001</v>
      </c>
      <c r="J1945">
        <v>1.2E-2</v>
      </c>
      <c r="K1945">
        <v>1.1000000000000001</v>
      </c>
      <c r="L1945">
        <v>1.4999999999999999E-2</v>
      </c>
      <c r="M1945">
        <v>0.98299999999999998</v>
      </c>
      <c r="N1945">
        <v>0.83</v>
      </c>
    </row>
    <row r="1946" spans="1:14" x14ac:dyDescent="0.25">
      <c r="A1946" t="s">
        <v>3616</v>
      </c>
      <c r="B1946" t="s">
        <v>3617</v>
      </c>
      <c r="C1946" s="1" t="str">
        <f>HYPERLINK("http://www.genecards.org/cgi-bin/carddisp.pl?gene=SFPQ","GeneCards")</f>
        <v>GeneCards</v>
      </c>
      <c r="D1946" s="1" t="str">
        <f>HYPERLINK("http://genome-euro.ucsc.edu/cgi-bin/hgTracks?position=201586_s_at","UCSC")</f>
        <v>UCSC</v>
      </c>
      <c r="E1946" s="1" t="str">
        <f>HYPERLINK("http://www.ncbi.nlm.nih.gov/gene/?term=SFPQ","NCBI")</f>
        <v>NCBI</v>
      </c>
      <c r="F1946">
        <v>6.8999999999999999E-3</v>
      </c>
      <c r="G1946">
        <v>0.06</v>
      </c>
      <c r="H1946" s="1" t="str">
        <f>HYPERLINK("http://www.weizmann.ac.il/complex/compphys/software/geview/data/figures/201586_s_at.png","Figure")</f>
        <v>Figure</v>
      </c>
      <c r="I1946">
        <v>1.01</v>
      </c>
      <c r="J1946">
        <v>1</v>
      </c>
      <c r="K1946">
        <v>0.55700000000000005</v>
      </c>
      <c r="L1946">
        <v>1.4999999999999999E-2</v>
      </c>
      <c r="M1946">
        <v>0.55100000000000005</v>
      </c>
      <c r="N1946">
        <v>0.02</v>
      </c>
    </row>
    <row r="1947" spans="1:14" x14ac:dyDescent="0.25">
      <c r="A1947" t="s">
        <v>3618</v>
      </c>
      <c r="B1947" t="s">
        <v>3619</v>
      </c>
      <c r="C1947" s="1" t="str">
        <f>HYPERLINK("http://www.genecards.org/cgi-bin/carddisp.pl?gene=CHCHD7","GeneCards")</f>
        <v>GeneCards</v>
      </c>
      <c r="D1947" s="1" t="str">
        <f>HYPERLINK("http://genome-euro.ucsc.edu/cgi-bin/hgTracks?position=218642_s_at","UCSC")</f>
        <v>UCSC</v>
      </c>
      <c r="E1947" s="1" t="str">
        <f>HYPERLINK("http://www.ncbi.nlm.nih.gov/gene/?term=CHCHD7","NCBI")</f>
        <v>NCBI</v>
      </c>
      <c r="F1947">
        <v>6.8999999999999999E-3</v>
      </c>
      <c r="G1947">
        <v>0.06</v>
      </c>
      <c r="H1947" s="1" t="str">
        <f>HYPERLINK("http://www.weizmann.ac.il/complex/compphys/software/geview/data/figures/218642_s_at.png","Figure")</f>
        <v>Figure</v>
      </c>
      <c r="I1947">
        <v>0.46100000000000002</v>
      </c>
      <c r="J1947">
        <v>7.7999999999999996E-3</v>
      </c>
      <c r="K1947">
        <v>0.57499999999999996</v>
      </c>
      <c r="L1947">
        <v>2.7E-2</v>
      </c>
      <c r="M1947">
        <v>1.25</v>
      </c>
      <c r="N1947">
        <v>0.52</v>
      </c>
    </row>
    <row r="1948" spans="1:14" x14ac:dyDescent="0.25">
      <c r="A1948" t="s">
        <v>3620</v>
      </c>
      <c r="B1948" t="s">
        <v>3621</v>
      </c>
      <c r="C1948" s="1" t="str">
        <f>HYPERLINK("http://www.genecards.org/cgi-bin/carddisp.pl?gene=CDYL","GeneCards")</f>
        <v>GeneCards</v>
      </c>
      <c r="D1948" s="1" t="str">
        <f>HYPERLINK("http://genome-euro.ucsc.edu/cgi-bin/hgTracks?position=203100_s_at","UCSC")</f>
        <v>UCSC</v>
      </c>
      <c r="E1948" s="1" t="str">
        <f>HYPERLINK("http://www.ncbi.nlm.nih.gov/gene/?term=CDYL","NCBI")</f>
        <v>NCBI</v>
      </c>
      <c r="F1948">
        <v>6.8999999999999999E-3</v>
      </c>
      <c r="G1948">
        <v>0.06</v>
      </c>
      <c r="H1948" s="1" t="str">
        <f>HYPERLINK("http://www.weizmann.ac.il/complex/compphys/software/geview/data/figures/203100_s_at.png","Figure")</f>
        <v>Figure</v>
      </c>
      <c r="I1948">
        <v>0.71499999999999997</v>
      </c>
      <c r="J1948">
        <v>7.3000000000000001E-3</v>
      </c>
      <c r="K1948">
        <v>0.93500000000000005</v>
      </c>
      <c r="L1948">
        <v>0.68</v>
      </c>
      <c r="M1948">
        <v>1.31</v>
      </c>
      <c r="N1948">
        <v>0.02</v>
      </c>
    </row>
    <row r="1949" spans="1:14" x14ac:dyDescent="0.25">
      <c r="A1949" t="s">
        <v>3622</v>
      </c>
      <c r="B1949" t="s">
        <v>3623</v>
      </c>
      <c r="C1949" s="1" t="str">
        <f>HYPERLINK("http://www.genecards.org/cgi-bin/carddisp.pl?gene=C14orf2","GeneCards")</f>
        <v>GeneCards</v>
      </c>
      <c r="D1949" s="1" t="str">
        <f>HYPERLINK("http://genome-euro.ucsc.edu/cgi-bin/hgTracks?position=202279_at","UCSC")</f>
        <v>UCSC</v>
      </c>
      <c r="E1949" s="1" t="str">
        <f>HYPERLINK("http://www.ncbi.nlm.nih.gov/gene/?term=C14orf2","NCBI")</f>
        <v>NCBI</v>
      </c>
      <c r="F1949">
        <v>6.8999999999999999E-3</v>
      </c>
      <c r="G1949">
        <v>0.06</v>
      </c>
      <c r="H1949" s="1" t="str">
        <f>HYPERLINK("http://www.weizmann.ac.il/complex/compphys/software/geview/data/figures/202279_at.png","Figure")</f>
        <v>Figure</v>
      </c>
      <c r="I1949">
        <v>0.65200000000000002</v>
      </c>
      <c r="J1949">
        <v>0.03</v>
      </c>
      <c r="K1949">
        <v>1.0900000000000001</v>
      </c>
      <c r="L1949">
        <v>0.77</v>
      </c>
      <c r="M1949">
        <v>1.67</v>
      </c>
      <c r="N1949">
        <v>6.1000000000000004E-3</v>
      </c>
    </row>
    <row r="1950" spans="1:14" x14ac:dyDescent="0.25">
      <c r="A1950" t="s">
        <v>3624</v>
      </c>
      <c r="B1950" t="s">
        <v>3625</v>
      </c>
      <c r="C1950" s="1" t="str">
        <f>HYPERLINK("http://www.genecards.org/cgi-bin/carddisp.pl?gene=RSRC2","GeneCards")</f>
        <v>GeneCards</v>
      </c>
      <c r="D1950" s="1" t="str">
        <f>HYPERLINK("http://genome-euro.ucsc.edu/cgi-bin/hgTracks?position=202302_s_at","UCSC")</f>
        <v>UCSC</v>
      </c>
      <c r="E1950" s="1" t="str">
        <f>HYPERLINK("http://www.ncbi.nlm.nih.gov/gene/?term=RSRC2","NCBI")</f>
        <v>NCBI</v>
      </c>
      <c r="F1950">
        <v>6.8999999999999999E-3</v>
      </c>
      <c r="G1950">
        <v>0.06</v>
      </c>
      <c r="H1950" s="1" t="str">
        <f>HYPERLINK("http://www.weizmann.ac.il/complex/compphys/software/geview/data/figures/202302_s_at.png","Figure")</f>
        <v>Figure</v>
      </c>
      <c r="I1950">
        <v>1.26</v>
      </c>
      <c r="J1950">
        <v>0.62</v>
      </c>
      <c r="K1950">
        <v>0.56599999999999995</v>
      </c>
      <c r="L1950">
        <v>4.2000000000000003E-2</v>
      </c>
      <c r="M1950">
        <v>0.45100000000000001</v>
      </c>
      <c r="N1950">
        <v>8.8000000000000005E-3</v>
      </c>
    </row>
    <row r="1951" spans="1:14" x14ac:dyDescent="0.25">
      <c r="A1951" t="s">
        <v>3626</v>
      </c>
      <c r="B1951" t="s">
        <v>3121</v>
      </c>
      <c r="C1951" s="1" t="str">
        <f>HYPERLINK("http://www.genecards.org/cgi-bin/carddisp.pl?gene=ADNP2","GeneCards")</f>
        <v>GeneCards</v>
      </c>
      <c r="D1951" s="1" t="str">
        <f>HYPERLINK("http://genome-euro.ucsc.edu/cgi-bin/hgTracks?position=203321_s_at","UCSC")</f>
        <v>UCSC</v>
      </c>
      <c r="E1951" s="1" t="str">
        <f>HYPERLINK("http://www.ncbi.nlm.nih.gov/gene/?term=ADNP2","NCBI")</f>
        <v>NCBI</v>
      </c>
      <c r="F1951">
        <v>6.8999999999999999E-3</v>
      </c>
      <c r="G1951">
        <v>0.06</v>
      </c>
      <c r="H1951" s="1" t="str">
        <f>HYPERLINK("http://www.weizmann.ac.il/complex/compphys/software/geview/data/figures/203321_s_at.png","Figure")</f>
        <v>Figure</v>
      </c>
      <c r="I1951">
        <v>1</v>
      </c>
      <c r="J1951">
        <v>1</v>
      </c>
      <c r="K1951">
        <v>0.36</v>
      </c>
      <c r="L1951">
        <v>1.4E-2</v>
      </c>
      <c r="M1951">
        <v>0.35799999999999998</v>
      </c>
      <c r="N1951">
        <v>2.1000000000000001E-2</v>
      </c>
    </row>
    <row r="1952" spans="1:14" x14ac:dyDescent="0.25">
      <c r="A1952" t="s">
        <v>3627</v>
      </c>
      <c r="B1952" t="s">
        <v>3628</v>
      </c>
      <c r="C1952" s="1" t="str">
        <f>HYPERLINK("http://www.genecards.org/cgi-bin/carddisp.pl?gene=CCDC76","GeneCards")</f>
        <v>GeneCards</v>
      </c>
      <c r="D1952" s="1" t="str">
        <f>HYPERLINK("http://genome-euro.ucsc.edu/cgi-bin/hgTracks?position=219130_at","UCSC")</f>
        <v>UCSC</v>
      </c>
      <c r="E1952" s="1" t="str">
        <f>HYPERLINK("http://www.ncbi.nlm.nih.gov/gene/?term=CCDC76","NCBI")</f>
        <v>NCBI</v>
      </c>
      <c r="F1952">
        <v>6.8999999999999999E-3</v>
      </c>
      <c r="G1952">
        <v>0.06</v>
      </c>
      <c r="H1952" s="1" t="str">
        <f>HYPERLINK("http://www.weizmann.ac.il/complex/compphys/software/geview/data/figures/219130_at.png","Figure")</f>
        <v>Figure</v>
      </c>
      <c r="I1952">
        <v>0.66300000000000003</v>
      </c>
      <c r="J1952">
        <v>0.19</v>
      </c>
      <c r="K1952">
        <v>1.46</v>
      </c>
      <c r="L1952">
        <v>0.16</v>
      </c>
      <c r="M1952">
        <v>2.2000000000000002</v>
      </c>
      <c r="N1952">
        <v>5.4999999999999997E-3</v>
      </c>
    </row>
    <row r="1953" spans="1:14" x14ac:dyDescent="0.25">
      <c r="A1953" t="s">
        <v>3629</v>
      </c>
      <c r="B1953" t="s">
        <v>3630</v>
      </c>
      <c r="C1953" s="1" t="str">
        <f>HYPERLINK("http://www.genecards.org/cgi-bin/carddisp.pl?gene=HDHD3","GeneCards")</f>
        <v>GeneCards</v>
      </c>
      <c r="D1953" s="1" t="str">
        <f>HYPERLINK("http://genome-euro.ucsc.edu/cgi-bin/hgTracks?position=221256_s_at","UCSC")</f>
        <v>UCSC</v>
      </c>
      <c r="E1953" s="1" t="str">
        <f>HYPERLINK("http://www.ncbi.nlm.nih.gov/gene/?term=HDHD3","NCBI")</f>
        <v>NCBI</v>
      </c>
      <c r="F1953">
        <v>6.8999999999999999E-3</v>
      </c>
      <c r="G1953">
        <v>0.06</v>
      </c>
      <c r="H1953" s="1" t="str">
        <f>HYPERLINK("http://www.weizmann.ac.il/complex/compphys/software/geview/data/figures/221256_s_at.png","Figure")</f>
        <v>Figure</v>
      </c>
      <c r="I1953">
        <v>1.27</v>
      </c>
      <c r="J1953">
        <v>4.5999999999999999E-2</v>
      </c>
      <c r="K1953">
        <v>1.34</v>
      </c>
      <c r="L1953">
        <v>6.3E-3</v>
      </c>
      <c r="M1953">
        <v>1.05</v>
      </c>
      <c r="N1953">
        <v>0.81</v>
      </c>
    </row>
    <row r="1954" spans="1:14" x14ac:dyDescent="0.25">
      <c r="A1954" t="s">
        <v>3631</v>
      </c>
      <c r="B1954" t="s">
        <v>3632</v>
      </c>
      <c r="C1954" s="1" t="str">
        <f>HYPERLINK("http://www.genecards.org/cgi-bin/carddisp.pl?gene=EMX1","GeneCards")</f>
        <v>GeneCards</v>
      </c>
      <c r="D1954" s="1" t="str">
        <f>HYPERLINK("http://genome-euro.ucsc.edu/cgi-bin/hgTracks?position=215265_at","UCSC")</f>
        <v>UCSC</v>
      </c>
      <c r="E1954" s="1" t="str">
        <f>HYPERLINK("http://www.ncbi.nlm.nih.gov/gene/?term=EMX1","NCBI")</f>
        <v>NCBI</v>
      </c>
      <c r="F1954">
        <v>6.8999999999999999E-3</v>
      </c>
      <c r="G1954">
        <v>0.06</v>
      </c>
      <c r="H1954" s="1" t="str">
        <f>HYPERLINK("http://www.weizmann.ac.il/complex/compphys/software/geview/data/figures/215265_at.png","Figure")</f>
        <v>Figure</v>
      </c>
      <c r="I1954">
        <v>1.37</v>
      </c>
      <c r="J1954">
        <v>7.7999999999999996E-3</v>
      </c>
      <c r="K1954">
        <v>1.06</v>
      </c>
      <c r="L1954">
        <v>0.74</v>
      </c>
      <c r="M1954">
        <v>0.77300000000000002</v>
      </c>
      <c r="N1954">
        <v>1.7999999999999999E-2</v>
      </c>
    </row>
    <row r="1955" spans="1:14" x14ac:dyDescent="0.25">
      <c r="A1955" t="s">
        <v>3633</v>
      </c>
      <c r="B1955" t="s">
        <v>3634</v>
      </c>
      <c r="C1955" s="1" t="str">
        <f>HYPERLINK("http://www.genecards.org/cgi-bin/carddisp.pl?gene=_x001A__x001A__x001A_-06","GeneCards")</f>
        <v>GeneCards</v>
      </c>
      <c r="D1955" s="1" t="str">
        <f>HYPERLINK("http://genome-euro.ucsc.edu/cgi-bin/hgTracks?position=201736_s_at","UCSC")</f>
        <v>UCSC</v>
      </c>
      <c r="E1955" s="1" t="str">
        <f>HYPERLINK("http://www.ncbi.nlm.nih.gov/gene/?term=_x001A__x001A__x001A_-06","NCBI")</f>
        <v>NCBI</v>
      </c>
      <c r="F1955">
        <v>6.8999999999999999E-3</v>
      </c>
      <c r="G1955">
        <v>0.06</v>
      </c>
      <c r="H1955" s="1" t="str">
        <f>HYPERLINK("http://www.weizmann.ac.il/complex/compphys/software/geview/data/figures/201736_s_at.png","Figure")</f>
        <v>Figure</v>
      </c>
      <c r="I1955">
        <v>1.1599999999999999</v>
      </c>
      <c r="J1955">
        <v>0.79</v>
      </c>
      <c r="K1955">
        <v>0.55300000000000005</v>
      </c>
      <c r="L1955">
        <v>2.9000000000000001E-2</v>
      </c>
      <c r="M1955">
        <v>0.47499999999999998</v>
      </c>
      <c r="N1955">
        <v>1.0999999999999999E-2</v>
      </c>
    </row>
    <row r="1956" spans="1:14" x14ac:dyDescent="0.25">
      <c r="A1956" t="s">
        <v>3635</v>
      </c>
      <c r="B1956" t="s">
        <v>3636</v>
      </c>
      <c r="C1956" s="1" t="str">
        <f>HYPERLINK("http://www.genecards.org/cgi-bin/carddisp.pl?gene=TIMM8A","GeneCards")</f>
        <v>GeneCards</v>
      </c>
      <c r="D1956" s="1" t="str">
        <f>HYPERLINK("http://genome-euro.ucsc.edu/cgi-bin/hgTracks?position=205217_at","UCSC")</f>
        <v>UCSC</v>
      </c>
      <c r="E1956" s="1" t="str">
        <f>HYPERLINK("http://www.ncbi.nlm.nih.gov/gene/?term=TIMM8A","NCBI")</f>
        <v>NCBI</v>
      </c>
      <c r="F1956">
        <v>6.8999999999999999E-3</v>
      </c>
      <c r="G1956">
        <v>0.06</v>
      </c>
      <c r="H1956" s="1" t="str">
        <f>HYPERLINK("http://www.weizmann.ac.il/complex/compphys/software/geview/data/figures/205217_at.png","Figure")</f>
        <v>Figure</v>
      </c>
      <c r="I1956">
        <v>0.88400000000000001</v>
      </c>
      <c r="J1956">
        <v>5.1999999999999998E-2</v>
      </c>
      <c r="K1956">
        <v>1.05</v>
      </c>
      <c r="L1956">
        <v>0.52</v>
      </c>
      <c r="M1956">
        <v>1.18</v>
      </c>
      <c r="N1956">
        <v>5.4000000000000003E-3</v>
      </c>
    </row>
    <row r="1957" spans="1:14" x14ac:dyDescent="0.25">
      <c r="A1957" t="s">
        <v>3637</v>
      </c>
      <c r="B1957" t="s">
        <v>2035</v>
      </c>
      <c r="C1957" s="1" t="str">
        <f>HYPERLINK("http://www.genecards.org/cgi-bin/carddisp.pl?gene=TLE3","GeneCards")</f>
        <v>GeneCards</v>
      </c>
      <c r="D1957" s="1" t="str">
        <f>HYPERLINK("http://genome-euro.ucsc.edu/cgi-bin/hgTracks?position=212770_at","UCSC")</f>
        <v>UCSC</v>
      </c>
      <c r="E1957" s="1" t="str">
        <f>HYPERLINK("http://www.ncbi.nlm.nih.gov/gene/?term=TLE3","NCBI")</f>
        <v>NCBI</v>
      </c>
      <c r="F1957">
        <v>7.0000000000000001E-3</v>
      </c>
      <c r="G1957">
        <v>0.06</v>
      </c>
      <c r="H1957" s="1" t="str">
        <f>HYPERLINK("http://www.weizmann.ac.il/complex/compphys/software/geview/data/figures/212770_at.png","Figure")</f>
        <v>Figure</v>
      </c>
      <c r="I1957">
        <v>0.96</v>
      </c>
      <c r="J1957">
        <v>0.95</v>
      </c>
      <c r="K1957">
        <v>0.65</v>
      </c>
      <c r="L1957">
        <v>1.0999999999999999E-2</v>
      </c>
      <c r="M1957">
        <v>0.67800000000000005</v>
      </c>
      <c r="N1957">
        <v>0.03</v>
      </c>
    </row>
    <row r="1958" spans="1:14" x14ac:dyDescent="0.25">
      <c r="A1958" t="s">
        <v>3638</v>
      </c>
      <c r="B1958" t="s">
        <v>3639</v>
      </c>
      <c r="C1958" s="1" t="str">
        <f>HYPERLINK("http://www.genecards.org/cgi-bin/carddisp.pl?gene=FOXP3","GeneCards")</f>
        <v>GeneCards</v>
      </c>
      <c r="D1958" s="1" t="str">
        <f>HYPERLINK("http://genome-euro.ucsc.edu/cgi-bin/hgTracks?position=221334_s_at","UCSC")</f>
        <v>UCSC</v>
      </c>
      <c r="E1958" s="1" t="str">
        <f>HYPERLINK("http://www.ncbi.nlm.nih.gov/gene/?term=FOXP3","NCBI")</f>
        <v>NCBI</v>
      </c>
      <c r="F1958">
        <v>7.0000000000000001E-3</v>
      </c>
      <c r="G1958">
        <v>0.06</v>
      </c>
      <c r="H1958" s="1" t="str">
        <f>HYPERLINK("http://www.weizmann.ac.il/complex/compphys/software/geview/data/figures/221334_s_at.png","Figure")</f>
        <v>Figure</v>
      </c>
      <c r="I1958">
        <v>1.18</v>
      </c>
      <c r="J1958">
        <v>5.4000000000000003E-3</v>
      </c>
      <c r="K1958">
        <v>1.0900000000000001</v>
      </c>
      <c r="L1958">
        <v>8.5000000000000006E-2</v>
      </c>
      <c r="M1958">
        <v>0.92700000000000005</v>
      </c>
      <c r="N1958">
        <v>0.17</v>
      </c>
    </row>
    <row r="1959" spans="1:14" x14ac:dyDescent="0.25">
      <c r="A1959" t="s">
        <v>3640</v>
      </c>
      <c r="B1959" t="s">
        <v>3641</v>
      </c>
      <c r="C1959" s="1" t="str">
        <f>HYPERLINK("http://www.genecards.org/cgi-bin/carddisp.pl?gene=SH2D1A","GeneCards")</f>
        <v>GeneCards</v>
      </c>
      <c r="D1959" s="1" t="str">
        <f>HYPERLINK("http://genome-euro.ucsc.edu/cgi-bin/hgTracks?position=211210_x_at","UCSC")</f>
        <v>UCSC</v>
      </c>
      <c r="E1959" s="1" t="str">
        <f>HYPERLINK("http://www.ncbi.nlm.nih.gov/gene/?term=SH2D1A","NCBI")</f>
        <v>NCBI</v>
      </c>
      <c r="F1959">
        <v>7.0000000000000001E-3</v>
      </c>
      <c r="G1959">
        <v>6.0999999999999999E-2</v>
      </c>
      <c r="H1959" s="1" t="str">
        <f>HYPERLINK("http://www.weizmann.ac.il/complex/compphys/software/geview/data/figures/211210_x_at.png","Figure")</f>
        <v>Figure</v>
      </c>
      <c r="I1959">
        <v>1.0900000000000001</v>
      </c>
      <c r="J1959">
        <v>0.19</v>
      </c>
      <c r="K1959">
        <v>0.92400000000000004</v>
      </c>
      <c r="L1959">
        <v>0.16</v>
      </c>
      <c r="M1959">
        <v>0.84899999999999998</v>
      </c>
      <c r="N1959">
        <v>5.5999999999999999E-3</v>
      </c>
    </row>
    <row r="1960" spans="1:14" x14ac:dyDescent="0.25">
      <c r="A1960" t="s">
        <v>3642</v>
      </c>
      <c r="B1960" t="s">
        <v>3643</v>
      </c>
      <c r="C1960" s="1" t="str">
        <f>HYPERLINK("http://www.genecards.org/cgi-bin/carddisp.pl?gene=FBXW4P1","GeneCards")</f>
        <v>GeneCards</v>
      </c>
      <c r="D1960" s="1" t="str">
        <f>HYPERLINK("http://genome-euro.ucsc.edu/cgi-bin/hgTracks?position=214623_at","UCSC")</f>
        <v>UCSC</v>
      </c>
      <c r="E1960" s="1" t="str">
        <f>HYPERLINK("http://www.ncbi.nlm.nih.gov/gene/?term=FBXW4P1","NCBI")</f>
        <v>NCBI</v>
      </c>
      <c r="F1960">
        <v>7.0000000000000001E-3</v>
      </c>
      <c r="G1960">
        <v>6.0999999999999999E-2</v>
      </c>
      <c r="H1960" s="1" t="str">
        <f>HYPERLINK("http://www.weizmann.ac.il/complex/compphys/software/geview/data/figures/214623_at.png","Figure")</f>
        <v>Figure</v>
      </c>
      <c r="I1960">
        <v>2.2599999999999998</v>
      </c>
      <c r="J1960">
        <v>5.3E-3</v>
      </c>
      <c r="K1960">
        <v>1.51</v>
      </c>
      <c r="L1960">
        <v>0.1</v>
      </c>
      <c r="M1960">
        <v>0.66700000000000004</v>
      </c>
      <c r="N1960">
        <v>0.14000000000000001</v>
      </c>
    </row>
    <row r="1961" spans="1:14" x14ac:dyDescent="0.25">
      <c r="A1961" t="s">
        <v>3644</v>
      </c>
      <c r="B1961" t="s">
        <v>3645</v>
      </c>
      <c r="C1961" s="1" t="str">
        <f>HYPERLINK("http://www.genecards.org/cgi-bin/carddisp.pl?gene=HNRNPH3","GeneCards")</f>
        <v>GeneCards</v>
      </c>
      <c r="D1961" s="1" t="str">
        <f>HYPERLINK("http://genome-euro.ucsc.edu/cgi-bin/hgTracks?position=208990_s_at","UCSC")</f>
        <v>UCSC</v>
      </c>
      <c r="E1961" s="1" t="str">
        <f>HYPERLINK("http://www.ncbi.nlm.nih.gov/gene/?term=HNRNPH3","NCBI")</f>
        <v>NCBI</v>
      </c>
      <c r="F1961">
        <v>7.0000000000000001E-3</v>
      </c>
      <c r="G1961">
        <v>6.0999999999999999E-2</v>
      </c>
      <c r="H1961" s="1" t="str">
        <f>HYPERLINK("http://www.weizmann.ac.il/complex/compphys/software/geview/data/figures/208990_s_at.png","Figure")</f>
        <v>Figure</v>
      </c>
      <c r="I1961">
        <v>0.58299999999999996</v>
      </c>
      <c r="J1961">
        <v>1.2E-2</v>
      </c>
      <c r="K1961">
        <v>0.63500000000000001</v>
      </c>
      <c r="L1961">
        <v>1.4999999999999999E-2</v>
      </c>
      <c r="M1961">
        <v>1.0900000000000001</v>
      </c>
      <c r="N1961">
        <v>0.83</v>
      </c>
    </row>
    <row r="1962" spans="1:14" x14ac:dyDescent="0.25">
      <c r="A1962" t="s">
        <v>3646</v>
      </c>
      <c r="B1962" t="s">
        <v>3647</v>
      </c>
      <c r="C1962" s="1" t="str">
        <f>HYPERLINK("http://www.genecards.org/cgi-bin/carddisp.pl?gene=FYB","GeneCards")</f>
        <v>GeneCards</v>
      </c>
      <c r="D1962" s="1" t="str">
        <f>HYPERLINK("http://genome-euro.ucsc.edu/cgi-bin/hgTracks?position=211795_s_at","UCSC")</f>
        <v>UCSC</v>
      </c>
      <c r="E1962" s="1" t="str">
        <f>HYPERLINK("http://www.ncbi.nlm.nih.gov/gene/?term=FYB","NCBI")</f>
        <v>NCBI</v>
      </c>
      <c r="F1962">
        <v>7.0000000000000001E-3</v>
      </c>
      <c r="G1962">
        <v>6.0999999999999999E-2</v>
      </c>
      <c r="H1962" s="1" t="str">
        <f>HYPERLINK("http://www.weizmann.ac.il/complex/compphys/software/geview/data/figures/211795_s_at.png","Figure")</f>
        <v>Figure</v>
      </c>
      <c r="I1962">
        <v>0.64500000000000002</v>
      </c>
      <c r="J1962">
        <v>0.46</v>
      </c>
      <c r="K1962">
        <v>0.31</v>
      </c>
      <c r="L1962">
        <v>6.1000000000000004E-3</v>
      </c>
      <c r="M1962">
        <v>0.48099999999999998</v>
      </c>
      <c r="N1962">
        <v>0.11</v>
      </c>
    </row>
    <row r="1963" spans="1:14" x14ac:dyDescent="0.25">
      <c r="A1963" t="s">
        <v>3648</v>
      </c>
      <c r="B1963" t="s">
        <v>3649</v>
      </c>
      <c r="C1963" s="1" t="str">
        <f>HYPERLINK("http://www.genecards.org/cgi-bin/carddisp.pl?gene=CD2BP2","GeneCards")</f>
        <v>GeneCards</v>
      </c>
      <c r="D1963" s="1" t="str">
        <f>HYPERLINK("http://genome-euro.ucsc.edu/cgi-bin/hgTracks?position=202256_at","UCSC")</f>
        <v>UCSC</v>
      </c>
      <c r="E1963" s="1" t="str">
        <f>HYPERLINK("http://www.ncbi.nlm.nih.gov/gene/?term=CD2BP2","NCBI")</f>
        <v>NCBI</v>
      </c>
      <c r="F1963">
        <v>7.0000000000000001E-3</v>
      </c>
      <c r="G1963">
        <v>6.0999999999999999E-2</v>
      </c>
      <c r="H1963" s="1" t="str">
        <f>HYPERLINK("http://www.weizmann.ac.il/complex/compphys/software/geview/data/figures/202256_at.png","Figure")</f>
        <v>Figure</v>
      </c>
      <c r="I1963">
        <v>1.37</v>
      </c>
      <c r="J1963">
        <v>5.3999999999999999E-2</v>
      </c>
      <c r="K1963">
        <v>0.88600000000000001</v>
      </c>
      <c r="L1963">
        <v>0.51</v>
      </c>
      <c r="M1963">
        <v>0.64600000000000002</v>
      </c>
      <c r="N1963">
        <v>5.4000000000000003E-3</v>
      </c>
    </row>
    <row r="1964" spans="1:14" x14ac:dyDescent="0.25">
      <c r="A1964" t="s">
        <v>3650</v>
      </c>
      <c r="B1964" t="s">
        <v>3651</v>
      </c>
      <c r="C1964" s="1" t="str">
        <f>HYPERLINK("http://www.genecards.org/cgi-bin/carddisp.pl?gene=GLRX3","GeneCards")</f>
        <v>GeneCards</v>
      </c>
      <c r="D1964" s="1" t="str">
        <f>HYPERLINK("http://genome-euro.ucsc.edu/cgi-bin/hgTracks?position=214205_x_at","UCSC")</f>
        <v>UCSC</v>
      </c>
      <c r="E1964" s="1" t="str">
        <f>HYPERLINK("http://www.ncbi.nlm.nih.gov/gene/?term=GLRX3","NCBI")</f>
        <v>NCBI</v>
      </c>
      <c r="F1964">
        <v>7.0000000000000001E-3</v>
      </c>
      <c r="G1964">
        <v>6.0999999999999999E-2</v>
      </c>
      <c r="H1964" s="1" t="str">
        <f>HYPERLINK("http://www.weizmann.ac.il/complex/compphys/software/geview/data/figures/214205_x_at.png","Figure")</f>
        <v>Figure</v>
      </c>
      <c r="I1964">
        <v>1.49</v>
      </c>
      <c r="J1964">
        <v>2.7E-2</v>
      </c>
      <c r="K1964">
        <v>1.53</v>
      </c>
      <c r="L1964">
        <v>8.0999999999999996E-3</v>
      </c>
      <c r="M1964">
        <v>1.02</v>
      </c>
      <c r="N1964">
        <v>0.98</v>
      </c>
    </row>
    <row r="1965" spans="1:14" x14ac:dyDescent="0.25">
      <c r="A1965" t="s">
        <v>3652</v>
      </c>
      <c r="B1965" t="s">
        <v>2442</v>
      </c>
      <c r="C1965" s="1" t="str">
        <f>HYPERLINK("http://www.genecards.org/cgi-bin/carddisp.pl?gene=CD58","GeneCards")</f>
        <v>GeneCards</v>
      </c>
      <c r="D1965" s="1" t="str">
        <f>HYPERLINK("http://genome-euro.ucsc.edu/cgi-bin/hgTracks?position=222061_at","UCSC")</f>
        <v>UCSC</v>
      </c>
      <c r="E1965" s="1" t="str">
        <f>HYPERLINK("http://www.ncbi.nlm.nih.gov/gene/?term=CD58","NCBI")</f>
        <v>NCBI</v>
      </c>
      <c r="F1965">
        <v>7.0000000000000001E-3</v>
      </c>
      <c r="G1965">
        <v>6.0999999999999999E-2</v>
      </c>
      <c r="H1965" s="1" t="str">
        <f>HYPERLINK("http://www.weizmann.ac.il/complex/compphys/software/geview/data/figures/222061_at.png","Figure")</f>
        <v>Figure</v>
      </c>
      <c r="I1965">
        <v>1.19</v>
      </c>
      <c r="J1965">
        <v>0.15</v>
      </c>
      <c r="K1965">
        <v>1.33</v>
      </c>
      <c r="L1965">
        <v>5.1999999999999998E-3</v>
      </c>
      <c r="M1965">
        <v>1.1200000000000001</v>
      </c>
      <c r="N1965">
        <v>0.35</v>
      </c>
    </row>
    <row r="1966" spans="1:14" x14ac:dyDescent="0.25">
      <c r="A1966" t="s">
        <v>3653</v>
      </c>
      <c r="B1966" t="s">
        <v>3654</v>
      </c>
      <c r="C1966" s="1" t="str">
        <f>HYPERLINK("http://www.genecards.org/cgi-bin/carddisp.pl?gene=TARDBP","GeneCards")</f>
        <v>GeneCards</v>
      </c>
      <c r="D1966" s="1" t="str">
        <f>HYPERLINK("http://genome-euro.ucsc.edu/cgi-bin/hgTracks?position=221264_s_at","UCSC")</f>
        <v>UCSC</v>
      </c>
      <c r="E1966" s="1" t="str">
        <f>HYPERLINK("http://www.ncbi.nlm.nih.gov/gene/?term=TARDBP","NCBI")</f>
        <v>NCBI</v>
      </c>
      <c r="F1966">
        <v>7.0000000000000001E-3</v>
      </c>
      <c r="G1966">
        <v>6.0999999999999999E-2</v>
      </c>
      <c r="H1966" s="1" t="str">
        <f>HYPERLINK("http://www.weizmann.ac.il/complex/compphys/software/geview/data/figures/221264_s_at.png","Figure")</f>
        <v>Figure</v>
      </c>
      <c r="I1966">
        <v>0.59</v>
      </c>
      <c r="J1966">
        <v>7.4999999999999997E-2</v>
      </c>
      <c r="K1966">
        <v>0.48199999999999998</v>
      </c>
      <c r="L1966">
        <v>5.5999999999999999E-3</v>
      </c>
      <c r="M1966">
        <v>0.81699999999999995</v>
      </c>
      <c r="N1966">
        <v>0.6</v>
      </c>
    </row>
    <row r="1967" spans="1:14" x14ac:dyDescent="0.25">
      <c r="A1967" t="s">
        <v>3655</v>
      </c>
      <c r="B1967" t="s">
        <v>3656</v>
      </c>
      <c r="C1967" s="1" t="str">
        <f>HYPERLINK("http://www.genecards.org/cgi-bin/carddisp.pl?gene=RAP2A","GeneCards")</f>
        <v>GeneCards</v>
      </c>
      <c r="D1967" s="1" t="str">
        <f>HYPERLINK("http://genome-euro.ucsc.edu/cgi-bin/hgTracks?position=221830_at","UCSC")</f>
        <v>UCSC</v>
      </c>
      <c r="E1967" s="1" t="str">
        <f>HYPERLINK("http://www.ncbi.nlm.nih.gov/gene/?term=RAP2A","NCBI")</f>
        <v>NCBI</v>
      </c>
      <c r="F1967">
        <v>7.0000000000000001E-3</v>
      </c>
      <c r="G1967">
        <v>6.0999999999999999E-2</v>
      </c>
      <c r="H1967" s="1" t="str">
        <f>HYPERLINK("http://www.weizmann.ac.il/complex/compphys/software/geview/data/figures/221830_at.png","Figure")</f>
        <v>Figure</v>
      </c>
      <c r="I1967">
        <v>0.82199999999999995</v>
      </c>
      <c r="J1967">
        <v>7.9000000000000001E-2</v>
      </c>
      <c r="K1967">
        <v>1.1100000000000001</v>
      </c>
      <c r="L1967">
        <v>0.37</v>
      </c>
      <c r="M1967">
        <v>1.35</v>
      </c>
      <c r="N1967">
        <v>5.1999999999999998E-3</v>
      </c>
    </row>
    <row r="1968" spans="1:14" x14ac:dyDescent="0.25">
      <c r="A1968" t="s">
        <v>3657</v>
      </c>
      <c r="B1968" t="s">
        <v>3658</v>
      </c>
      <c r="C1968" s="1" t="str">
        <f>HYPERLINK("http://www.genecards.org/cgi-bin/carddisp.pl?gene=TWF1","GeneCards")</f>
        <v>GeneCards</v>
      </c>
      <c r="D1968" s="1" t="str">
        <f>HYPERLINK("http://genome-euro.ucsc.edu/cgi-bin/hgTracks?position=201745_at","UCSC")</f>
        <v>UCSC</v>
      </c>
      <c r="E1968" s="1" t="str">
        <f>HYPERLINK("http://www.ncbi.nlm.nih.gov/gene/?term=TWF1","NCBI")</f>
        <v>NCBI</v>
      </c>
      <c r="F1968">
        <v>7.0000000000000001E-3</v>
      </c>
      <c r="G1968">
        <v>6.0999999999999999E-2</v>
      </c>
      <c r="H1968" s="1" t="str">
        <f>HYPERLINK("http://www.weizmann.ac.il/complex/compphys/software/geview/data/figures/201745_at.png","Figure")</f>
        <v>Figure</v>
      </c>
      <c r="I1968">
        <v>0.59199999999999997</v>
      </c>
      <c r="J1968">
        <v>0.1</v>
      </c>
      <c r="K1968">
        <v>0.45300000000000001</v>
      </c>
      <c r="L1968">
        <v>5.4000000000000003E-3</v>
      </c>
      <c r="M1968">
        <v>0.76600000000000001</v>
      </c>
      <c r="N1968">
        <v>0.47</v>
      </c>
    </row>
    <row r="1969" spans="1:14" x14ac:dyDescent="0.25">
      <c r="A1969" t="s">
        <v>3659</v>
      </c>
      <c r="B1969" t="s">
        <v>3660</v>
      </c>
      <c r="C1969" s="1" t="str">
        <f>HYPERLINK("http://www.genecards.org/cgi-bin/carddisp.pl?gene=GABPB1","GeneCards")</f>
        <v>GeneCards</v>
      </c>
      <c r="D1969" s="1" t="str">
        <f>HYPERLINK("http://genome-euro.ucsc.edu/cgi-bin/hgTracks?position=206173_x_at","UCSC")</f>
        <v>UCSC</v>
      </c>
      <c r="E1969" s="1" t="str">
        <f>HYPERLINK("http://www.ncbi.nlm.nih.gov/gene/?term=GABPB1","NCBI")</f>
        <v>NCBI</v>
      </c>
      <c r="F1969">
        <v>7.0000000000000001E-3</v>
      </c>
      <c r="G1969">
        <v>6.0999999999999999E-2</v>
      </c>
      <c r="H1969" s="1" t="str">
        <f>HYPERLINK("http://www.weizmann.ac.il/complex/compphys/software/geview/data/figures/206173_x_at.png","Figure")</f>
        <v>Figure</v>
      </c>
      <c r="I1969">
        <v>1.48</v>
      </c>
      <c r="J1969">
        <v>0.31</v>
      </c>
      <c r="K1969">
        <v>0.60199999999999998</v>
      </c>
      <c r="L1969">
        <v>9.7000000000000003E-2</v>
      </c>
      <c r="M1969">
        <v>0.40600000000000003</v>
      </c>
      <c r="N1969">
        <v>6.3E-3</v>
      </c>
    </row>
    <row r="1970" spans="1:14" x14ac:dyDescent="0.25">
      <c r="A1970" t="s">
        <v>3661</v>
      </c>
      <c r="B1970" t="s">
        <v>3662</v>
      </c>
      <c r="C1970" s="1" t="str">
        <f>HYPERLINK("http://www.genecards.org/cgi-bin/carddisp.pl?gene=LTA4H","GeneCards")</f>
        <v>GeneCards</v>
      </c>
      <c r="D1970" s="1" t="str">
        <f>HYPERLINK("http://genome-euro.ucsc.edu/cgi-bin/hgTracks?position=208771_s_at","UCSC")</f>
        <v>UCSC</v>
      </c>
      <c r="E1970" s="1" t="str">
        <f>HYPERLINK("http://www.ncbi.nlm.nih.gov/gene/?term=LTA4H","NCBI")</f>
        <v>NCBI</v>
      </c>
      <c r="F1970">
        <v>7.0000000000000001E-3</v>
      </c>
      <c r="G1970">
        <v>6.0999999999999999E-2</v>
      </c>
      <c r="H1970" s="1" t="str">
        <f>HYPERLINK("http://www.weizmann.ac.il/complex/compphys/software/geview/data/figures/208771_s_at.png","Figure")</f>
        <v>Figure</v>
      </c>
      <c r="I1970">
        <v>1.04</v>
      </c>
      <c r="J1970">
        <v>0.98</v>
      </c>
      <c r="K1970">
        <v>1.84</v>
      </c>
      <c r="L1970">
        <v>1.2E-2</v>
      </c>
      <c r="M1970">
        <v>1.77</v>
      </c>
      <c r="N1970">
        <v>2.7E-2</v>
      </c>
    </row>
    <row r="1971" spans="1:14" x14ac:dyDescent="0.25">
      <c r="A1971" t="s">
        <v>3663</v>
      </c>
      <c r="B1971" t="s">
        <v>3664</v>
      </c>
      <c r="C1971" s="1" t="str">
        <f>HYPERLINK("http://www.genecards.org/cgi-bin/carddisp.pl?gene=UBE2D1","GeneCards")</f>
        <v>GeneCards</v>
      </c>
      <c r="D1971" s="1" t="str">
        <f>HYPERLINK("http://genome-euro.ucsc.edu/cgi-bin/hgTracks?position=211764_s_at","UCSC")</f>
        <v>UCSC</v>
      </c>
      <c r="E1971" s="1" t="str">
        <f>HYPERLINK("http://www.ncbi.nlm.nih.gov/gene/?term=UBE2D1","NCBI")</f>
        <v>NCBI</v>
      </c>
      <c r="F1971">
        <v>7.0000000000000001E-3</v>
      </c>
      <c r="G1971">
        <v>6.0999999999999999E-2</v>
      </c>
      <c r="H1971" s="1" t="str">
        <f>HYPERLINK("http://www.weizmann.ac.il/complex/compphys/software/geview/data/figures/211764_s_at.png","Figure")</f>
        <v>Figure</v>
      </c>
      <c r="I1971">
        <v>0.57199999999999995</v>
      </c>
      <c r="J1971">
        <v>6.1000000000000004E-3</v>
      </c>
      <c r="K1971">
        <v>0.85099999999999998</v>
      </c>
      <c r="L1971">
        <v>0.45</v>
      </c>
      <c r="M1971">
        <v>1.49</v>
      </c>
      <c r="N1971">
        <v>3.3000000000000002E-2</v>
      </c>
    </row>
    <row r="1972" spans="1:14" x14ac:dyDescent="0.25">
      <c r="A1972" t="s">
        <v>3665</v>
      </c>
      <c r="B1972" t="s">
        <v>3666</v>
      </c>
      <c r="C1972" s="1" t="str">
        <f>HYPERLINK("http://www.genecards.org/cgi-bin/carddisp.pl?gene=ATP5S","GeneCards")</f>
        <v>GeneCards</v>
      </c>
      <c r="D1972" s="1" t="str">
        <f>HYPERLINK("http://genome-euro.ucsc.edu/cgi-bin/hgTracks?position=213995_at","UCSC")</f>
        <v>UCSC</v>
      </c>
      <c r="E1972" s="1" t="str">
        <f>HYPERLINK("http://www.ncbi.nlm.nih.gov/gene/?term=ATP5S","NCBI")</f>
        <v>NCBI</v>
      </c>
      <c r="F1972">
        <v>7.1000000000000004E-3</v>
      </c>
      <c r="G1972">
        <v>6.0999999999999999E-2</v>
      </c>
      <c r="H1972" s="1" t="str">
        <f>HYPERLINK("http://www.weizmann.ac.il/complex/compphys/software/geview/data/figures/213995_at.png","Figure")</f>
        <v>Figure</v>
      </c>
      <c r="I1972">
        <v>0.47099999999999997</v>
      </c>
      <c r="J1972">
        <v>8.3000000000000001E-3</v>
      </c>
      <c r="K1972">
        <v>0.57999999999999996</v>
      </c>
      <c r="L1972">
        <v>2.5999999999999999E-2</v>
      </c>
      <c r="M1972">
        <v>1.23</v>
      </c>
      <c r="N1972">
        <v>0.55000000000000004</v>
      </c>
    </row>
    <row r="1973" spans="1:14" x14ac:dyDescent="0.25">
      <c r="A1973" t="s">
        <v>3667</v>
      </c>
      <c r="B1973" t="s">
        <v>3668</v>
      </c>
      <c r="C1973" s="1" t="str">
        <f>HYPERLINK("http://www.genecards.org/cgi-bin/carddisp.pl?gene=VPS33B","GeneCards")</f>
        <v>GeneCards</v>
      </c>
      <c r="D1973" s="1" t="str">
        <f>HYPERLINK("http://genome-euro.ucsc.edu/cgi-bin/hgTracks?position=218415_at","UCSC")</f>
        <v>UCSC</v>
      </c>
      <c r="E1973" s="1" t="str">
        <f>HYPERLINK("http://www.ncbi.nlm.nih.gov/gene/?term=VPS33B","NCBI")</f>
        <v>NCBI</v>
      </c>
      <c r="F1973">
        <v>7.1000000000000004E-3</v>
      </c>
      <c r="G1973">
        <v>6.0999999999999999E-2</v>
      </c>
      <c r="H1973" s="1" t="str">
        <f>HYPERLINK("http://www.weizmann.ac.il/complex/compphys/software/geview/data/figures/218415_at.png","Figure")</f>
        <v>Figure</v>
      </c>
      <c r="I1973">
        <v>1.19</v>
      </c>
      <c r="J1973">
        <v>0.49</v>
      </c>
      <c r="K1973">
        <v>0.71799999999999997</v>
      </c>
      <c r="L1973">
        <v>5.7000000000000002E-2</v>
      </c>
      <c r="M1973">
        <v>0.60399999999999998</v>
      </c>
      <c r="N1973">
        <v>7.7000000000000002E-3</v>
      </c>
    </row>
    <row r="1974" spans="1:14" x14ac:dyDescent="0.25">
      <c r="A1974" t="s">
        <v>3669</v>
      </c>
      <c r="B1974" t="s">
        <v>3670</v>
      </c>
      <c r="C1974" s="1" t="str">
        <f>HYPERLINK("http://www.genecards.org/cgi-bin/carddisp.pl?gene=UBXN1","GeneCards")</f>
        <v>GeneCards</v>
      </c>
      <c r="D1974" s="1" t="str">
        <f>HYPERLINK("http://genome-euro.ucsc.edu/cgi-bin/hgTracks?position=210623_at","UCSC")</f>
        <v>UCSC</v>
      </c>
      <c r="E1974" s="1" t="str">
        <f>HYPERLINK("http://www.ncbi.nlm.nih.gov/gene/?term=UBXN1","NCBI")</f>
        <v>NCBI</v>
      </c>
      <c r="F1974">
        <v>7.1000000000000004E-3</v>
      </c>
      <c r="G1974">
        <v>6.0999999999999999E-2</v>
      </c>
      <c r="H1974" s="1" t="str">
        <f>HYPERLINK("http://www.weizmann.ac.il/complex/compphys/software/geview/data/figures/210623_at.png","Figure")</f>
        <v>Figure</v>
      </c>
      <c r="I1974">
        <v>1.07</v>
      </c>
      <c r="J1974">
        <v>0.89</v>
      </c>
      <c r="K1974">
        <v>0.69799999999999995</v>
      </c>
      <c r="L1974">
        <v>2.3E-2</v>
      </c>
      <c r="M1974">
        <v>0.65500000000000003</v>
      </c>
      <c r="N1974">
        <v>1.2999999999999999E-2</v>
      </c>
    </row>
    <row r="1975" spans="1:14" x14ac:dyDescent="0.25">
      <c r="A1975" t="s">
        <v>3671</v>
      </c>
      <c r="B1975" t="s">
        <v>3672</v>
      </c>
      <c r="C1975" s="1" t="str">
        <f>HYPERLINK("http://www.genecards.org/cgi-bin/carddisp.pl?gene=KDM3A","GeneCards")</f>
        <v>GeneCards</v>
      </c>
      <c r="D1975" s="1" t="str">
        <f>HYPERLINK("http://genome-euro.ucsc.edu/cgi-bin/hgTracks?position=212689_s_at","UCSC")</f>
        <v>UCSC</v>
      </c>
      <c r="E1975" s="1" t="str">
        <f>HYPERLINK("http://www.ncbi.nlm.nih.gov/gene/?term=KDM3A","NCBI")</f>
        <v>NCBI</v>
      </c>
      <c r="F1975">
        <v>7.1000000000000004E-3</v>
      </c>
      <c r="G1975">
        <v>6.0999999999999999E-2</v>
      </c>
      <c r="H1975" s="1" t="str">
        <f>HYPERLINK("http://www.weizmann.ac.il/complex/compphys/software/geview/data/figures/212689_s_at.png","Figure")</f>
        <v>Figure</v>
      </c>
      <c r="I1975">
        <v>1.23</v>
      </c>
      <c r="J1975">
        <v>0.72</v>
      </c>
      <c r="K1975">
        <v>0.51900000000000002</v>
      </c>
      <c r="L1975">
        <v>3.4000000000000002E-2</v>
      </c>
      <c r="M1975">
        <v>0.42299999999999999</v>
      </c>
      <c r="N1975">
        <v>0.01</v>
      </c>
    </row>
    <row r="1976" spans="1:14" x14ac:dyDescent="0.25">
      <c r="A1976" t="s">
        <v>3673</v>
      </c>
      <c r="B1976" t="s">
        <v>3674</v>
      </c>
      <c r="C1976" s="1" t="str">
        <f>HYPERLINK("http://www.genecards.org/cgi-bin/carddisp.pl?gene=ERP29","GeneCards")</f>
        <v>GeneCards</v>
      </c>
      <c r="D1976" s="1" t="str">
        <f>HYPERLINK("http://genome-euro.ucsc.edu/cgi-bin/hgTracks?position=201216_at","UCSC")</f>
        <v>UCSC</v>
      </c>
      <c r="E1976" s="1" t="str">
        <f>HYPERLINK("http://www.ncbi.nlm.nih.gov/gene/?term=ERP29","NCBI")</f>
        <v>NCBI</v>
      </c>
      <c r="F1976">
        <v>7.1000000000000004E-3</v>
      </c>
      <c r="G1976">
        <v>6.0999999999999999E-2</v>
      </c>
      <c r="H1976" s="1" t="str">
        <f>HYPERLINK("http://www.weizmann.ac.il/complex/compphys/software/geview/data/figures/201216_at.png","Figure")</f>
        <v>Figure</v>
      </c>
      <c r="I1976">
        <v>1.73</v>
      </c>
      <c r="J1976">
        <v>1.4E-2</v>
      </c>
      <c r="K1976">
        <v>1.62</v>
      </c>
      <c r="L1976">
        <v>1.2999999999999999E-2</v>
      </c>
      <c r="M1976">
        <v>0.94</v>
      </c>
      <c r="N1976">
        <v>0.91</v>
      </c>
    </row>
    <row r="1977" spans="1:14" x14ac:dyDescent="0.25">
      <c r="A1977" t="s">
        <v>3675</v>
      </c>
      <c r="B1977" t="s">
        <v>3676</v>
      </c>
      <c r="C1977" s="1" t="str">
        <f>HYPERLINK("http://www.genecards.org/cgi-bin/carddisp.pl?gene=PEX3","GeneCards")</f>
        <v>GeneCards</v>
      </c>
      <c r="D1977" s="1" t="str">
        <f>HYPERLINK("http://genome-euro.ucsc.edu/cgi-bin/hgTracks?position=203972_s_at","UCSC")</f>
        <v>UCSC</v>
      </c>
      <c r="E1977" s="1" t="str">
        <f>HYPERLINK("http://www.ncbi.nlm.nih.gov/gene/?term=PEX3","NCBI")</f>
        <v>NCBI</v>
      </c>
      <c r="F1977">
        <v>7.1000000000000004E-3</v>
      </c>
      <c r="G1977">
        <v>6.0999999999999999E-2</v>
      </c>
      <c r="H1977" s="1" t="str">
        <f>HYPERLINK("http://www.weizmann.ac.il/complex/compphys/software/geview/data/figures/203972_s_at.png","Figure")</f>
        <v>Figure</v>
      </c>
      <c r="I1977">
        <v>0.72099999999999997</v>
      </c>
      <c r="J1977">
        <v>4.9000000000000002E-2</v>
      </c>
      <c r="K1977">
        <v>1.1200000000000001</v>
      </c>
      <c r="L1977">
        <v>0.56000000000000005</v>
      </c>
      <c r="M1977">
        <v>1.55</v>
      </c>
      <c r="N1977">
        <v>5.5999999999999999E-3</v>
      </c>
    </row>
    <row r="1978" spans="1:14" x14ac:dyDescent="0.25">
      <c r="A1978" t="s">
        <v>3677</v>
      </c>
      <c r="B1978" t="s">
        <v>1090</v>
      </c>
      <c r="C1978" s="1" t="str">
        <f>HYPERLINK("http://www.genecards.org/cgi-bin/carddisp.pl?gene=MED13L","GeneCards")</f>
        <v>GeneCards</v>
      </c>
      <c r="D1978" s="1" t="str">
        <f>HYPERLINK("http://genome-euro.ucsc.edu/cgi-bin/hgTracks?position=212208_at","UCSC")</f>
        <v>UCSC</v>
      </c>
      <c r="E1978" s="1" t="str">
        <f>HYPERLINK("http://www.ncbi.nlm.nih.gov/gene/?term=MED13L","NCBI")</f>
        <v>NCBI</v>
      </c>
      <c r="F1978">
        <v>7.1000000000000004E-3</v>
      </c>
      <c r="G1978">
        <v>6.0999999999999999E-2</v>
      </c>
      <c r="H1978" s="1" t="str">
        <f>HYPERLINK("http://www.weizmann.ac.il/complex/compphys/software/geview/data/figures/212208_at.png","Figure")</f>
        <v>Figure</v>
      </c>
      <c r="I1978">
        <v>0.79300000000000004</v>
      </c>
      <c r="J1978">
        <v>0.47</v>
      </c>
      <c r="K1978">
        <v>0.53200000000000003</v>
      </c>
      <c r="L1978">
        <v>6.3E-3</v>
      </c>
      <c r="M1978">
        <v>0.67100000000000004</v>
      </c>
      <c r="N1978">
        <v>0.1</v>
      </c>
    </row>
    <row r="1979" spans="1:14" x14ac:dyDescent="0.25">
      <c r="A1979" t="s">
        <v>3678</v>
      </c>
      <c r="B1979" t="s">
        <v>3679</v>
      </c>
      <c r="C1979" s="1" t="str">
        <f>HYPERLINK("http://www.genecards.org/cgi-bin/carddisp.pl?gene=C6orf211","GeneCards")</f>
        <v>GeneCards</v>
      </c>
      <c r="D1979" s="1" t="str">
        <f>HYPERLINK("http://genome-euro.ucsc.edu/cgi-bin/hgTracks?position=218195_at","UCSC")</f>
        <v>UCSC</v>
      </c>
      <c r="E1979" s="1" t="str">
        <f>HYPERLINK("http://www.ncbi.nlm.nih.gov/gene/?term=C6orf211","NCBI")</f>
        <v>NCBI</v>
      </c>
      <c r="F1979">
        <v>7.1000000000000004E-3</v>
      </c>
      <c r="G1979">
        <v>6.0999999999999999E-2</v>
      </c>
      <c r="H1979" s="1" t="str">
        <f>HYPERLINK("http://www.weizmann.ac.il/complex/compphys/software/geview/data/figures/218195_at.png","Figure")</f>
        <v>Figure</v>
      </c>
      <c r="I1979">
        <v>0.63600000000000001</v>
      </c>
      <c r="J1979">
        <v>1.4E-2</v>
      </c>
      <c r="K1979">
        <v>1</v>
      </c>
      <c r="L1979">
        <v>1</v>
      </c>
      <c r="M1979">
        <v>1.57</v>
      </c>
      <c r="N1979">
        <v>9.4000000000000004E-3</v>
      </c>
    </row>
    <row r="1980" spans="1:14" x14ac:dyDescent="0.25">
      <c r="A1980" t="s">
        <v>3680</v>
      </c>
      <c r="B1980" t="s">
        <v>3681</v>
      </c>
      <c r="C1980" s="1" t="str">
        <f>HYPERLINK("http://www.genecards.org/cgi-bin/carddisp.pl?gene=ADNP","GeneCards")</f>
        <v>GeneCards</v>
      </c>
      <c r="D1980" s="1" t="str">
        <f>HYPERLINK("http://genome-euro.ucsc.edu/cgi-bin/hgTracks?position=201773_at","UCSC")</f>
        <v>UCSC</v>
      </c>
      <c r="E1980" s="1" t="str">
        <f>HYPERLINK("http://www.ncbi.nlm.nih.gov/gene/?term=ADNP","NCBI")</f>
        <v>NCBI</v>
      </c>
      <c r="F1980">
        <v>7.1999999999999998E-3</v>
      </c>
      <c r="G1980">
        <v>6.0999999999999999E-2</v>
      </c>
      <c r="H1980" s="1" t="str">
        <f>HYPERLINK("http://www.weizmann.ac.il/complex/compphys/software/geview/data/figures/201773_at.png","Figure")</f>
        <v>Figure</v>
      </c>
      <c r="I1980">
        <v>1.1299999999999999</v>
      </c>
      <c r="J1980">
        <v>0.73</v>
      </c>
      <c r="K1980">
        <v>0.66400000000000003</v>
      </c>
      <c r="L1980">
        <v>3.4000000000000002E-2</v>
      </c>
      <c r="M1980">
        <v>0.58499999999999996</v>
      </c>
      <c r="N1980">
        <v>0.01</v>
      </c>
    </row>
    <row r="1981" spans="1:14" x14ac:dyDescent="0.25">
      <c r="A1981" t="s">
        <v>3682</v>
      </c>
      <c r="B1981" t="s">
        <v>3683</v>
      </c>
      <c r="C1981" s="1" t="str">
        <f>HYPERLINK("http://www.genecards.org/cgi-bin/carddisp.pl?gene=TRAF2","GeneCards")</f>
        <v>GeneCards</v>
      </c>
      <c r="D1981" s="1" t="str">
        <f>HYPERLINK("http://genome-euro.ucsc.edu/cgi-bin/hgTracks?position=204413_at","UCSC")</f>
        <v>UCSC</v>
      </c>
      <c r="E1981" s="1" t="str">
        <f>HYPERLINK("http://www.ncbi.nlm.nih.gov/gene/?term=TRAF2","NCBI")</f>
        <v>NCBI</v>
      </c>
      <c r="F1981">
        <v>7.1999999999999998E-3</v>
      </c>
      <c r="G1981">
        <v>6.0999999999999999E-2</v>
      </c>
      <c r="H1981" s="1" t="str">
        <f>HYPERLINK("http://www.weizmann.ac.il/complex/compphys/software/geview/data/figures/204413_at.png","Figure")</f>
        <v>Figure</v>
      </c>
      <c r="I1981">
        <v>1.39</v>
      </c>
      <c r="J1981">
        <v>5.4999999999999997E-3</v>
      </c>
      <c r="K1981">
        <v>1.1299999999999999</v>
      </c>
      <c r="L1981">
        <v>0.25</v>
      </c>
      <c r="M1981">
        <v>0.81699999999999995</v>
      </c>
      <c r="N1981">
        <v>6.0999999999999999E-2</v>
      </c>
    </row>
    <row r="1982" spans="1:14" x14ac:dyDescent="0.25">
      <c r="A1982" t="s">
        <v>3684</v>
      </c>
      <c r="B1982" t="s">
        <v>3274</v>
      </c>
      <c r="C1982" s="1" t="str">
        <f>HYPERLINK("http://www.genecards.org/cgi-bin/carddisp.pl?gene=SMARCA4","GeneCards")</f>
        <v>GeneCards</v>
      </c>
      <c r="D1982" s="1" t="str">
        <f>HYPERLINK("http://genome-euro.ucsc.edu/cgi-bin/hgTracks?position=208793_x_at","UCSC")</f>
        <v>UCSC</v>
      </c>
      <c r="E1982" s="1" t="str">
        <f>HYPERLINK("http://www.ncbi.nlm.nih.gov/gene/?term=SMARCA4","NCBI")</f>
        <v>NCBI</v>
      </c>
      <c r="F1982">
        <v>7.1999999999999998E-3</v>
      </c>
      <c r="G1982">
        <v>6.0999999999999999E-2</v>
      </c>
      <c r="H1982" s="1" t="str">
        <f>HYPERLINK("http://www.weizmann.ac.il/complex/compphys/software/geview/data/figures/208793_x_at.png","Figure")</f>
        <v>Figure</v>
      </c>
      <c r="I1982">
        <v>1.55</v>
      </c>
      <c r="J1982">
        <v>0.02</v>
      </c>
      <c r="K1982">
        <v>0.96099999999999997</v>
      </c>
      <c r="L1982">
        <v>0.94</v>
      </c>
      <c r="M1982">
        <v>0.62</v>
      </c>
      <c r="N1982">
        <v>7.6E-3</v>
      </c>
    </row>
    <row r="1983" spans="1:14" x14ac:dyDescent="0.25">
      <c r="A1983" t="s">
        <v>3685</v>
      </c>
      <c r="B1983" t="s">
        <v>3686</v>
      </c>
      <c r="C1983" s="1" t="str">
        <f>HYPERLINK("http://www.genecards.org/cgi-bin/carddisp.pl?gene=ACP6","GeneCards")</f>
        <v>GeneCards</v>
      </c>
      <c r="D1983" s="1" t="str">
        <f>HYPERLINK("http://genome-euro.ucsc.edu/cgi-bin/hgTracks?position=218795_at","UCSC")</f>
        <v>UCSC</v>
      </c>
      <c r="E1983" s="1" t="str">
        <f>HYPERLINK("http://www.ncbi.nlm.nih.gov/gene/?term=ACP6","NCBI")</f>
        <v>NCBI</v>
      </c>
      <c r="F1983">
        <v>7.1999999999999998E-3</v>
      </c>
      <c r="G1983">
        <v>6.0999999999999999E-2</v>
      </c>
      <c r="H1983" s="1" t="str">
        <f>HYPERLINK("http://www.weizmann.ac.il/complex/compphys/software/geview/data/figures/218795_at.png","Figure")</f>
        <v>Figure</v>
      </c>
      <c r="I1983">
        <v>1.1000000000000001</v>
      </c>
      <c r="J1983">
        <v>0.7</v>
      </c>
      <c r="K1983">
        <v>1.46</v>
      </c>
      <c r="L1983">
        <v>7.7000000000000002E-3</v>
      </c>
      <c r="M1983">
        <v>1.33</v>
      </c>
      <c r="N1983">
        <v>6.0999999999999999E-2</v>
      </c>
    </row>
    <row r="1984" spans="1:14" x14ac:dyDescent="0.25">
      <c r="A1984" t="s">
        <v>3687</v>
      </c>
      <c r="B1984" t="s">
        <v>3688</v>
      </c>
      <c r="C1984" s="1" t="str">
        <f>HYPERLINK("http://www.genecards.org/cgi-bin/carddisp.pl?gene=ECHDC1","GeneCards")</f>
        <v>GeneCards</v>
      </c>
      <c r="D1984" s="1" t="str">
        <f>HYPERLINK("http://genome-euro.ucsc.edu/cgi-bin/hgTracks?position=219974_x_at","UCSC")</f>
        <v>UCSC</v>
      </c>
      <c r="E1984" s="1" t="str">
        <f>HYPERLINK("http://www.ncbi.nlm.nih.gov/gene/?term=ECHDC1","NCBI")</f>
        <v>NCBI</v>
      </c>
      <c r="F1984">
        <v>7.1000000000000004E-3</v>
      </c>
      <c r="G1984">
        <v>6.0999999999999999E-2</v>
      </c>
      <c r="H1984" s="1" t="str">
        <f>HYPERLINK("http://www.weizmann.ac.il/complex/compphys/software/geview/data/figures/219974_x_at.png","Figure")</f>
        <v>Figure</v>
      </c>
      <c r="I1984">
        <v>0.68</v>
      </c>
      <c r="J1984">
        <v>0.1</v>
      </c>
      <c r="K1984">
        <v>1.26</v>
      </c>
      <c r="L1984">
        <v>0.3</v>
      </c>
      <c r="M1984">
        <v>1.86</v>
      </c>
      <c r="N1984">
        <v>5.3E-3</v>
      </c>
    </row>
    <row r="1985" spans="1:14" x14ac:dyDescent="0.25">
      <c r="A1985" t="s">
        <v>3689</v>
      </c>
      <c r="B1985" t="s">
        <v>3690</v>
      </c>
      <c r="C1985" s="1" t="str">
        <f>HYPERLINK("http://www.genecards.org/cgi-bin/carddisp.pl?gene=DAB1","GeneCards")</f>
        <v>GeneCards</v>
      </c>
      <c r="D1985" s="1" t="str">
        <f>HYPERLINK("http://genome-euro.ucsc.edu/cgi-bin/hgTracks?position=220611_at","UCSC")</f>
        <v>UCSC</v>
      </c>
      <c r="E1985" s="1" t="str">
        <f>HYPERLINK("http://www.ncbi.nlm.nih.gov/gene/?term=DAB1","NCBI")</f>
        <v>NCBI</v>
      </c>
      <c r="F1985">
        <v>7.1999999999999998E-3</v>
      </c>
      <c r="G1985">
        <v>6.0999999999999999E-2</v>
      </c>
      <c r="H1985" s="1" t="str">
        <f>HYPERLINK("http://www.weizmann.ac.il/complex/compphys/software/geview/data/figures/220611_at.png","Figure")</f>
        <v>Figure</v>
      </c>
      <c r="I1985">
        <v>1.27</v>
      </c>
      <c r="J1985">
        <v>2.5000000000000001E-2</v>
      </c>
      <c r="K1985">
        <v>0.96399999999999997</v>
      </c>
      <c r="L1985">
        <v>0.86</v>
      </c>
      <c r="M1985">
        <v>0.75900000000000001</v>
      </c>
      <c r="N1985">
        <v>6.7999999999999996E-3</v>
      </c>
    </row>
    <row r="1986" spans="1:14" x14ac:dyDescent="0.25">
      <c r="A1986" t="s">
        <v>3691</v>
      </c>
      <c r="B1986" t="s">
        <v>3692</v>
      </c>
      <c r="C1986" s="1" t="str">
        <f>HYPERLINK("http://www.genecards.org/cgi-bin/carddisp.pl?gene=C16orf57","GeneCards")</f>
        <v>GeneCards</v>
      </c>
      <c r="D1986" s="1" t="str">
        <f>HYPERLINK("http://genome-euro.ucsc.edu/cgi-bin/hgTracks?position=218060_s_at","UCSC")</f>
        <v>UCSC</v>
      </c>
      <c r="E1986" s="1" t="str">
        <f>HYPERLINK("http://www.ncbi.nlm.nih.gov/gene/?term=C16orf57","NCBI")</f>
        <v>NCBI</v>
      </c>
      <c r="F1986">
        <v>7.1999999999999998E-3</v>
      </c>
      <c r="G1986">
        <v>6.0999999999999999E-2</v>
      </c>
      <c r="H1986" s="1" t="str">
        <f>HYPERLINK("http://www.weizmann.ac.il/complex/compphys/software/geview/data/figures/218060_s_at.png","Figure")</f>
        <v>Figure</v>
      </c>
      <c r="I1986">
        <v>1.52</v>
      </c>
      <c r="J1986">
        <v>5.4000000000000003E-3</v>
      </c>
      <c r="K1986">
        <v>1.23</v>
      </c>
      <c r="L1986">
        <v>0.12</v>
      </c>
      <c r="M1986">
        <v>0.80800000000000005</v>
      </c>
      <c r="N1986">
        <v>0.13</v>
      </c>
    </row>
    <row r="1987" spans="1:14" x14ac:dyDescent="0.25">
      <c r="A1987" t="s">
        <v>3693</v>
      </c>
      <c r="B1987" t="s">
        <v>3694</v>
      </c>
      <c r="C1987" s="1" t="str">
        <f>HYPERLINK("http://www.genecards.org/cgi-bin/carddisp.pl?gene=AQP6","GeneCards")</f>
        <v>GeneCards</v>
      </c>
      <c r="D1987" s="1" t="str">
        <f>HYPERLINK("http://genome-euro.ucsc.edu/cgi-bin/hgTracks?position=216219_at","UCSC")</f>
        <v>UCSC</v>
      </c>
      <c r="E1987" s="1" t="str">
        <f>HYPERLINK("http://www.ncbi.nlm.nih.gov/gene/?term=AQP6","NCBI")</f>
        <v>NCBI</v>
      </c>
      <c r="F1987">
        <v>7.1999999999999998E-3</v>
      </c>
      <c r="G1987">
        <v>6.0999999999999999E-2</v>
      </c>
      <c r="H1987" s="1" t="str">
        <f>HYPERLINK("http://www.weizmann.ac.il/complex/compphys/software/geview/data/figures/216219_at.png","Figure")</f>
        <v>Figure</v>
      </c>
      <c r="I1987">
        <v>1.53</v>
      </c>
      <c r="J1987">
        <v>5.5999999999999999E-3</v>
      </c>
      <c r="K1987">
        <v>1.17</v>
      </c>
      <c r="L1987">
        <v>0.28999999999999998</v>
      </c>
      <c r="M1987">
        <v>0.76100000000000001</v>
      </c>
      <c r="N1987">
        <v>5.1999999999999998E-2</v>
      </c>
    </row>
    <row r="1988" spans="1:14" x14ac:dyDescent="0.25">
      <c r="A1988" t="s">
        <v>3695</v>
      </c>
      <c r="B1988" t="s">
        <v>3696</v>
      </c>
      <c r="C1988" s="1" t="str">
        <f>HYPERLINK("http://www.genecards.org/cgi-bin/carddisp.pl?gene=C12orf49","GeneCards")</f>
        <v>GeneCards</v>
      </c>
      <c r="D1988" s="1" t="str">
        <f>HYPERLINK("http://genome-euro.ucsc.edu/cgi-bin/hgTracks?position=218867_s_at","UCSC")</f>
        <v>UCSC</v>
      </c>
      <c r="E1988" s="1" t="str">
        <f>HYPERLINK("http://www.ncbi.nlm.nih.gov/gene/?term=C12orf49","NCBI")</f>
        <v>NCBI</v>
      </c>
      <c r="F1988">
        <v>7.1999999999999998E-3</v>
      </c>
      <c r="G1988">
        <v>6.0999999999999999E-2</v>
      </c>
      <c r="H1988" s="1" t="str">
        <f>HYPERLINK("http://www.weizmann.ac.il/complex/compphys/software/geview/data/figures/218867_s_at.png","Figure")</f>
        <v>Figure</v>
      </c>
      <c r="I1988">
        <v>1.1100000000000001</v>
      </c>
      <c r="J1988">
        <v>0.74</v>
      </c>
      <c r="K1988">
        <v>0.71199999999999997</v>
      </c>
      <c r="L1988">
        <v>3.3000000000000002E-2</v>
      </c>
      <c r="M1988">
        <v>0.64400000000000002</v>
      </c>
      <c r="N1988">
        <v>1.0999999999999999E-2</v>
      </c>
    </row>
    <row r="1989" spans="1:14" x14ac:dyDescent="0.25">
      <c r="A1989" t="s">
        <v>3697</v>
      </c>
      <c r="B1989" t="s">
        <v>3698</v>
      </c>
      <c r="C1989" s="1" t="str">
        <f>HYPERLINK("http://www.genecards.org/cgi-bin/carddisp.pl?gene=FAM45A /// FAM45B","GeneCards")</f>
        <v>GeneCards</v>
      </c>
      <c r="D1989" s="1" t="str">
        <f>HYPERLINK("http://genome-euro.ucsc.edu/cgi-bin/hgTracks?position=221804_s_at","UCSC")</f>
        <v>UCSC</v>
      </c>
      <c r="E1989" s="1" t="str">
        <f>HYPERLINK("http://www.ncbi.nlm.nih.gov/gene/?term=FAM45A /// FAM45B","NCBI")</f>
        <v>NCBI</v>
      </c>
      <c r="F1989">
        <v>7.1999999999999998E-3</v>
      </c>
      <c r="G1989">
        <v>6.0999999999999999E-2</v>
      </c>
      <c r="H1989" s="1" t="str">
        <f>HYPERLINK("http://www.weizmann.ac.il/complex/compphys/software/geview/data/figures/221804_s_at.png","Figure")</f>
        <v>Figure</v>
      </c>
      <c r="I1989">
        <v>0.54900000000000004</v>
      </c>
      <c r="J1989">
        <v>5.4000000000000003E-3</v>
      </c>
      <c r="K1989">
        <v>0.747</v>
      </c>
      <c r="L1989">
        <v>0.12</v>
      </c>
      <c r="M1989">
        <v>1.36</v>
      </c>
      <c r="N1989">
        <v>0.13</v>
      </c>
    </row>
    <row r="1990" spans="1:14" x14ac:dyDescent="0.25">
      <c r="A1990" t="s">
        <v>3699</v>
      </c>
      <c r="B1990" t="s">
        <v>2504</v>
      </c>
      <c r="C1990" s="1" t="str">
        <f>HYPERLINK("http://www.genecards.org/cgi-bin/carddisp.pl?gene=PSMB2","GeneCards")</f>
        <v>GeneCards</v>
      </c>
      <c r="D1990" s="1" t="str">
        <f>HYPERLINK("http://genome-euro.ucsc.edu/cgi-bin/hgTracks?position=201404_x_at","UCSC")</f>
        <v>UCSC</v>
      </c>
      <c r="E1990" s="1" t="str">
        <f>HYPERLINK("http://www.ncbi.nlm.nih.gov/gene/?term=PSMB2","NCBI")</f>
        <v>NCBI</v>
      </c>
      <c r="F1990">
        <v>7.1999999999999998E-3</v>
      </c>
      <c r="G1990">
        <v>6.0999999999999999E-2</v>
      </c>
      <c r="H1990" s="1" t="str">
        <f>HYPERLINK("http://www.weizmann.ac.il/complex/compphys/software/geview/data/figures/201404_x_at.png","Figure")</f>
        <v>Figure</v>
      </c>
      <c r="I1990">
        <v>1.42</v>
      </c>
      <c r="J1990">
        <v>9.7999999999999997E-3</v>
      </c>
      <c r="K1990">
        <v>1.04</v>
      </c>
      <c r="L1990">
        <v>0.89</v>
      </c>
      <c r="M1990">
        <v>0.73199999999999998</v>
      </c>
      <c r="N1990">
        <v>1.4E-2</v>
      </c>
    </row>
    <row r="1991" spans="1:14" x14ac:dyDescent="0.25">
      <c r="A1991" t="s">
        <v>3700</v>
      </c>
      <c r="B1991" t="s">
        <v>3701</v>
      </c>
      <c r="C1991" s="1" t="str">
        <f>HYPERLINK("http://www.genecards.org/cgi-bin/carddisp.pl?gene=SASH3","GeneCards")</f>
        <v>GeneCards</v>
      </c>
      <c r="D1991" s="1" t="str">
        <f>HYPERLINK("http://genome-euro.ucsc.edu/cgi-bin/hgTracks?position=204923_at","UCSC")</f>
        <v>UCSC</v>
      </c>
      <c r="E1991" s="1" t="str">
        <f>HYPERLINK("http://www.ncbi.nlm.nih.gov/gene/?term=SASH3","NCBI")</f>
        <v>NCBI</v>
      </c>
      <c r="F1991">
        <v>7.1999999999999998E-3</v>
      </c>
      <c r="G1991">
        <v>6.0999999999999999E-2</v>
      </c>
      <c r="H1991" s="1" t="str">
        <f>HYPERLINK("http://www.weizmann.ac.il/complex/compphys/software/geview/data/figures/204923_at.png","Figure")</f>
        <v>Figure</v>
      </c>
      <c r="I1991">
        <v>0.71499999999999997</v>
      </c>
      <c r="J1991">
        <v>0.15</v>
      </c>
      <c r="K1991">
        <v>1.3</v>
      </c>
      <c r="L1991">
        <v>0.21</v>
      </c>
      <c r="M1991">
        <v>1.81</v>
      </c>
      <c r="N1991">
        <v>5.4999999999999997E-3</v>
      </c>
    </row>
    <row r="1992" spans="1:14" x14ac:dyDescent="0.25">
      <c r="A1992" t="s">
        <v>3702</v>
      </c>
      <c r="B1992" t="s">
        <v>3703</v>
      </c>
      <c r="C1992" s="1" t="str">
        <f>HYPERLINK("http://www.genecards.org/cgi-bin/carddisp.pl?gene=PRMT1","GeneCards")</f>
        <v>GeneCards</v>
      </c>
      <c r="D1992" s="1" t="str">
        <f>HYPERLINK("http://genome-euro.ucsc.edu/cgi-bin/hgTracks?position=206445_s_at","UCSC")</f>
        <v>UCSC</v>
      </c>
      <c r="E1992" s="1" t="str">
        <f>HYPERLINK("http://www.ncbi.nlm.nih.gov/gene/?term=PRMT1","NCBI")</f>
        <v>NCBI</v>
      </c>
      <c r="F1992">
        <v>7.1999999999999998E-3</v>
      </c>
      <c r="G1992">
        <v>6.0999999999999999E-2</v>
      </c>
      <c r="H1992" s="1" t="str">
        <f>HYPERLINK("http://www.weizmann.ac.il/complex/compphys/software/geview/data/figures/206445_s_at.png","Figure")</f>
        <v>Figure</v>
      </c>
      <c r="I1992">
        <v>0.93400000000000005</v>
      </c>
      <c r="J1992">
        <v>0.93</v>
      </c>
      <c r="K1992">
        <v>1.67</v>
      </c>
      <c r="L1992">
        <v>2.1000000000000001E-2</v>
      </c>
      <c r="M1992">
        <v>1.79</v>
      </c>
      <c r="N1992">
        <v>1.4999999999999999E-2</v>
      </c>
    </row>
    <row r="1993" spans="1:14" x14ac:dyDescent="0.25">
      <c r="A1993" t="s">
        <v>3704</v>
      </c>
      <c r="B1993" t="s">
        <v>3705</v>
      </c>
      <c r="C1993" s="1" t="str">
        <f>HYPERLINK("http://www.genecards.org/cgi-bin/carddisp.pl?gene=ZNF331","GeneCards")</f>
        <v>GeneCards</v>
      </c>
      <c r="D1993" s="1" t="str">
        <f>HYPERLINK("http://genome-euro.ucsc.edu/cgi-bin/hgTracks?position=219228_at","UCSC")</f>
        <v>UCSC</v>
      </c>
      <c r="E1993" s="1" t="str">
        <f>HYPERLINK("http://www.ncbi.nlm.nih.gov/gene/?term=ZNF331","NCBI")</f>
        <v>NCBI</v>
      </c>
      <c r="F1993">
        <v>7.1999999999999998E-3</v>
      </c>
      <c r="G1993">
        <v>6.0999999999999999E-2</v>
      </c>
      <c r="H1993" s="1" t="str">
        <f>HYPERLINK("http://www.weizmann.ac.il/complex/compphys/software/geview/data/figures/219228_at.png","Figure")</f>
        <v>Figure</v>
      </c>
      <c r="I1993">
        <v>1.34</v>
      </c>
      <c r="J1993">
        <v>0.38</v>
      </c>
      <c r="K1993">
        <v>0.63700000000000001</v>
      </c>
      <c r="L1993">
        <v>7.8E-2</v>
      </c>
      <c r="M1993">
        <v>0.47399999999999998</v>
      </c>
      <c r="N1993">
        <v>7.0000000000000001E-3</v>
      </c>
    </row>
    <row r="1994" spans="1:14" x14ac:dyDescent="0.25">
      <c r="A1994" t="s">
        <v>3706</v>
      </c>
      <c r="B1994" t="s">
        <v>3707</v>
      </c>
      <c r="C1994" s="1" t="str">
        <f>HYPERLINK("http://www.genecards.org/cgi-bin/carddisp.pl?gene=NUDT11","GeneCards")</f>
        <v>GeneCards</v>
      </c>
      <c r="D1994" s="1" t="str">
        <f>HYPERLINK("http://genome-euro.ucsc.edu/cgi-bin/hgTracks?position=219855_at","UCSC")</f>
        <v>UCSC</v>
      </c>
      <c r="E1994" s="1" t="str">
        <f>HYPERLINK("http://www.ncbi.nlm.nih.gov/gene/?term=NUDT11","NCBI")</f>
        <v>NCBI</v>
      </c>
      <c r="F1994">
        <v>7.1999999999999998E-3</v>
      </c>
      <c r="G1994">
        <v>6.2E-2</v>
      </c>
      <c r="H1994" s="1" t="str">
        <f>HYPERLINK("http://www.weizmann.ac.il/complex/compphys/software/geview/data/figures/219855_at.png","Figure")</f>
        <v>Figure</v>
      </c>
      <c r="I1994">
        <v>1.83</v>
      </c>
      <c r="J1994">
        <v>8.8999999999999999E-3</v>
      </c>
      <c r="K1994">
        <v>1.0900000000000001</v>
      </c>
      <c r="L1994">
        <v>0.82</v>
      </c>
      <c r="M1994">
        <v>0.59799999999999998</v>
      </c>
      <c r="N1994">
        <v>1.6E-2</v>
      </c>
    </row>
    <row r="1995" spans="1:14" x14ac:dyDescent="0.25">
      <c r="A1995" t="s">
        <v>3708</v>
      </c>
      <c r="B1995" t="s">
        <v>3709</v>
      </c>
      <c r="C1995" s="1" t="str">
        <f>HYPERLINK("http://www.genecards.org/cgi-bin/carddisp.pl?gene=MEF2D","GeneCards")</f>
        <v>GeneCards</v>
      </c>
      <c r="D1995" s="1" t="str">
        <f>HYPERLINK("http://genome-euro.ucsc.edu/cgi-bin/hgTracks?position=203004_s_at","UCSC")</f>
        <v>UCSC</v>
      </c>
      <c r="E1995" s="1" t="str">
        <f>HYPERLINK("http://www.ncbi.nlm.nih.gov/gene/?term=MEF2D","NCBI")</f>
        <v>NCBI</v>
      </c>
      <c r="F1995">
        <v>7.1999999999999998E-3</v>
      </c>
      <c r="G1995">
        <v>6.2E-2</v>
      </c>
      <c r="H1995" s="1" t="str">
        <f>HYPERLINK("http://www.weizmann.ac.il/complex/compphys/software/geview/data/figures/203004_s_at.png","Figure")</f>
        <v>Figure</v>
      </c>
      <c r="I1995">
        <v>1.29</v>
      </c>
      <c r="J1995">
        <v>6.1000000000000004E-3</v>
      </c>
      <c r="K1995">
        <v>1.08</v>
      </c>
      <c r="L1995">
        <v>0.42</v>
      </c>
      <c r="M1995">
        <v>0.83699999999999997</v>
      </c>
      <c r="N1995">
        <v>3.5999999999999997E-2</v>
      </c>
    </row>
    <row r="1996" spans="1:14" x14ac:dyDescent="0.25">
      <c r="A1996" t="s">
        <v>3710</v>
      </c>
      <c r="B1996" t="s">
        <v>1501</v>
      </c>
      <c r="C1996" s="1" t="str">
        <f>HYPERLINK("http://www.genecards.org/cgi-bin/carddisp.pl?gene=FUBP1","GeneCards")</f>
        <v>GeneCards</v>
      </c>
      <c r="D1996" s="1" t="str">
        <f>HYPERLINK("http://genome-euro.ucsc.edu/cgi-bin/hgTracks?position=203091_at","UCSC")</f>
        <v>UCSC</v>
      </c>
      <c r="E1996" s="1" t="str">
        <f>HYPERLINK("http://www.ncbi.nlm.nih.gov/gene/?term=FUBP1","NCBI")</f>
        <v>NCBI</v>
      </c>
      <c r="F1996">
        <v>7.1999999999999998E-3</v>
      </c>
      <c r="G1996">
        <v>6.2E-2</v>
      </c>
      <c r="H1996" s="1" t="str">
        <f>HYPERLINK("http://www.weizmann.ac.il/complex/compphys/software/geview/data/figures/203091_at.png","Figure")</f>
        <v>Figure</v>
      </c>
      <c r="I1996">
        <v>1.33</v>
      </c>
      <c r="J1996">
        <v>6.1000000000000004E-3</v>
      </c>
      <c r="K1996">
        <v>1.18</v>
      </c>
      <c r="L1996">
        <v>6.0999999999999999E-2</v>
      </c>
      <c r="M1996">
        <v>0.88700000000000001</v>
      </c>
      <c r="N1996">
        <v>0.25</v>
      </c>
    </row>
    <row r="1997" spans="1:14" x14ac:dyDescent="0.25">
      <c r="A1997" t="s">
        <v>3711</v>
      </c>
      <c r="B1997" t="s">
        <v>3712</v>
      </c>
      <c r="C1997" s="1" t="str">
        <f>HYPERLINK("http://www.genecards.org/cgi-bin/carddisp.pl?gene=RRP7A","GeneCards")</f>
        <v>GeneCards</v>
      </c>
      <c r="D1997" s="1" t="str">
        <f>HYPERLINK("http://genome-euro.ucsc.edu/cgi-bin/hgTracks?position=202937_x_at","UCSC")</f>
        <v>UCSC</v>
      </c>
      <c r="E1997" s="1" t="str">
        <f>HYPERLINK("http://www.ncbi.nlm.nih.gov/gene/?term=RRP7A","NCBI")</f>
        <v>NCBI</v>
      </c>
      <c r="F1997">
        <v>7.3000000000000001E-3</v>
      </c>
      <c r="G1997">
        <v>6.2E-2</v>
      </c>
      <c r="H1997" s="1" t="str">
        <f>HYPERLINK("http://www.weizmann.ac.il/complex/compphys/software/geview/data/figures/202937_x_at.png","Figure")</f>
        <v>Figure</v>
      </c>
      <c r="I1997">
        <v>1.22</v>
      </c>
      <c r="J1997">
        <v>0.25</v>
      </c>
      <c r="K1997">
        <v>1.49</v>
      </c>
      <c r="L1997">
        <v>5.5999999999999999E-3</v>
      </c>
      <c r="M1997">
        <v>1.22</v>
      </c>
      <c r="N1997">
        <v>0.21</v>
      </c>
    </row>
    <row r="1998" spans="1:14" x14ac:dyDescent="0.25">
      <c r="A1998" t="s">
        <v>3713</v>
      </c>
      <c r="B1998" t="s">
        <v>701</v>
      </c>
      <c r="C1998" s="1" t="str">
        <f>HYPERLINK("http://www.genecards.org/cgi-bin/carddisp.pl?gene=BCL7A","GeneCards")</f>
        <v>GeneCards</v>
      </c>
      <c r="D1998" s="1" t="str">
        <f>HYPERLINK("http://genome-euro.ucsc.edu/cgi-bin/hgTracks?position=203796_s_at","UCSC")</f>
        <v>UCSC</v>
      </c>
      <c r="E1998" s="1" t="str">
        <f>HYPERLINK("http://www.ncbi.nlm.nih.gov/gene/?term=BCL7A","NCBI")</f>
        <v>NCBI</v>
      </c>
      <c r="F1998">
        <v>7.3000000000000001E-3</v>
      </c>
      <c r="G1998">
        <v>6.2E-2</v>
      </c>
      <c r="H1998" s="1" t="str">
        <f>HYPERLINK("http://www.weizmann.ac.il/complex/compphys/software/geview/data/figures/203796_s_at.png","Figure")</f>
        <v>Figure</v>
      </c>
      <c r="I1998">
        <v>2.06</v>
      </c>
      <c r="J1998">
        <v>7.9000000000000008E-3</v>
      </c>
      <c r="K1998">
        <v>1.1499999999999999</v>
      </c>
      <c r="L1998">
        <v>0.72</v>
      </c>
      <c r="M1998">
        <v>0.55800000000000005</v>
      </c>
      <c r="N1998">
        <v>1.9E-2</v>
      </c>
    </row>
    <row r="1999" spans="1:14" x14ac:dyDescent="0.25">
      <c r="A1999" t="s">
        <v>3714</v>
      </c>
      <c r="B1999" t="s">
        <v>3715</v>
      </c>
      <c r="C1999" s="1" t="str">
        <f>HYPERLINK("http://www.genecards.org/cgi-bin/carddisp.pl?gene=IMAA /// LOC100271836 /// LOC440345 /// LOC440354 /// LOC595101 /// LOC641298 /// SLC7A5P1","GeneCards")</f>
        <v>GeneCards</v>
      </c>
      <c r="D1999" s="1" t="str">
        <f>HYPERLINK("http://genome-euro.ucsc.edu/cgi-bin/hgTracks?position=208118_x_at","UCSC")</f>
        <v>UCSC</v>
      </c>
      <c r="E1999" s="1" t="str">
        <f>HYPERLINK("http://www.ncbi.nlm.nih.gov/gene/?term=IMAA /// LOC100271836 /// LOC440345 /// LOC440354 /// LOC595101 /// LOC641298 /// SLC7A5P1","NCBI")</f>
        <v>NCBI</v>
      </c>
      <c r="F1999">
        <v>7.3000000000000001E-3</v>
      </c>
      <c r="G1999">
        <v>6.2E-2</v>
      </c>
      <c r="H1999" s="1" t="str">
        <f>HYPERLINK("http://www.weizmann.ac.il/complex/compphys/software/geview/data/figures/208118_x_at.png","Figure")</f>
        <v>Figure</v>
      </c>
      <c r="I1999">
        <v>1.7</v>
      </c>
      <c r="J1999">
        <v>1.4E-2</v>
      </c>
      <c r="K1999">
        <v>1.01</v>
      </c>
      <c r="L1999">
        <v>1</v>
      </c>
      <c r="M1999">
        <v>0.59399999999999997</v>
      </c>
      <c r="N1999">
        <v>9.9000000000000008E-3</v>
      </c>
    </row>
    <row r="2000" spans="1:14" x14ac:dyDescent="0.25">
      <c r="A2000" t="s">
        <v>3716</v>
      </c>
      <c r="B2000" t="s">
        <v>546</v>
      </c>
      <c r="C2000" s="1" t="str">
        <f>HYPERLINK("http://www.genecards.org/cgi-bin/carddisp.pl?gene=LAT2","GeneCards")</f>
        <v>GeneCards</v>
      </c>
      <c r="D2000" s="1" t="str">
        <f>HYPERLINK("http://genome-euro.ucsc.edu/cgi-bin/hgTracks?position=211768_at","UCSC")</f>
        <v>UCSC</v>
      </c>
      <c r="E2000" s="1" t="str">
        <f>HYPERLINK("http://www.ncbi.nlm.nih.gov/gene/?term=LAT2","NCBI")</f>
        <v>NCBI</v>
      </c>
      <c r="F2000">
        <v>7.3000000000000001E-3</v>
      </c>
      <c r="G2000">
        <v>6.2E-2</v>
      </c>
      <c r="H2000" s="1" t="str">
        <f>HYPERLINK("http://www.weizmann.ac.il/complex/compphys/software/geview/data/figures/211768_at.png","Figure")</f>
        <v>Figure</v>
      </c>
      <c r="I2000">
        <v>1.3</v>
      </c>
      <c r="J2000">
        <v>5.4999999999999997E-3</v>
      </c>
      <c r="K2000">
        <v>1.1100000000000001</v>
      </c>
      <c r="L2000">
        <v>0.2</v>
      </c>
      <c r="M2000">
        <v>0.85699999999999998</v>
      </c>
      <c r="N2000">
        <v>7.5999999999999998E-2</v>
      </c>
    </row>
    <row r="2001" spans="1:14" x14ac:dyDescent="0.25">
      <c r="A2001" t="s">
        <v>3717</v>
      </c>
      <c r="B2001" t="s">
        <v>3718</v>
      </c>
      <c r="C2001" s="1" t="str">
        <f>HYPERLINK("http://www.genecards.org/cgi-bin/carddisp.pl?gene=SGPL1","GeneCards")</f>
        <v>GeneCards</v>
      </c>
      <c r="D2001" s="1" t="str">
        <f>HYPERLINK("http://genome-euro.ucsc.edu/cgi-bin/hgTracks?position=212322_at","UCSC")</f>
        <v>UCSC</v>
      </c>
      <c r="E2001" s="1" t="str">
        <f>HYPERLINK("http://www.ncbi.nlm.nih.gov/gene/?term=SGPL1","NCBI")</f>
        <v>NCBI</v>
      </c>
      <c r="F2001">
        <v>7.3000000000000001E-3</v>
      </c>
      <c r="G2001">
        <v>6.2E-2</v>
      </c>
      <c r="H2001" s="1" t="str">
        <f>HYPERLINK("http://www.weizmann.ac.il/complex/compphys/software/geview/data/figures/212322_at.png","Figure")</f>
        <v>Figure</v>
      </c>
      <c r="I2001">
        <v>0.79900000000000004</v>
      </c>
      <c r="J2001">
        <v>0.08</v>
      </c>
      <c r="K2001">
        <v>1.1200000000000001</v>
      </c>
      <c r="L2001">
        <v>0.38</v>
      </c>
      <c r="M2001">
        <v>1.4</v>
      </c>
      <c r="N2001">
        <v>5.4000000000000003E-3</v>
      </c>
    </row>
    <row r="2002" spans="1:14" x14ac:dyDescent="0.25">
      <c r="A2002" t="s">
        <v>3719</v>
      </c>
      <c r="B2002" t="s">
        <v>3720</v>
      </c>
      <c r="C2002" s="1" t="str">
        <f>HYPERLINK("http://www.genecards.org/cgi-bin/carddisp.pl?gene=BIN2","GeneCards")</f>
        <v>GeneCards</v>
      </c>
      <c r="D2002" s="1" t="str">
        <f>HYPERLINK("http://genome-euro.ucsc.edu/cgi-bin/hgTracks?position=219191_s_at","UCSC")</f>
        <v>UCSC</v>
      </c>
      <c r="E2002" s="1" t="str">
        <f>HYPERLINK("http://www.ncbi.nlm.nih.gov/gene/?term=BIN2","NCBI")</f>
        <v>NCBI</v>
      </c>
      <c r="F2002">
        <v>7.3000000000000001E-3</v>
      </c>
      <c r="G2002">
        <v>6.2E-2</v>
      </c>
      <c r="H2002" s="1" t="str">
        <f>HYPERLINK("http://www.weizmann.ac.il/complex/compphys/software/geview/data/figures/219191_s_at.png","Figure")</f>
        <v>Figure</v>
      </c>
      <c r="I2002">
        <v>0.55300000000000005</v>
      </c>
      <c r="J2002">
        <v>7.4000000000000003E-3</v>
      </c>
      <c r="K2002">
        <v>0.879</v>
      </c>
      <c r="L2002">
        <v>0.64</v>
      </c>
      <c r="M2002">
        <v>1.59</v>
      </c>
      <c r="N2002">
        <v>2.1999999999999999E-2</v>
      </c>
    </row>
    <row r="2003" spans="1:14" x14ac:dyDescent="0.25">
      <c r="A2003" t="s">
        <v>3721</v>
      </c>
      <c r="B2003" t="s">
        <v>3722</v>
      </c>
      <c r="C2003" s="1" t="str">
        <f>HYPERLINK("http://www.genecards.org/cgi-bin/carddisp.pl?gene=CLP1","GeneCards")</f>
        <v>GeneCards</v>
      </c>
      <c r="D2003" s="1" t="str">
        <f>HYPERLINK("http://genome-euro.ucsc.edu/cgi-bin/hgTracks?position=204370_at","UCSC")</f>
        <v>UCSC</v>
      </c>
      <c r="E2003" s="1" t="str">
        <f>HYPERLINK("http://www.ncbi.nlm.nih.gov/gene/?term=CLP1","NCBI")</f>
        <v>NCBI</v>
      </c>
      <c r="F2003">
        <v>7.3000000000000001E-3</v>
      </c>
      <c r="G2003">
        <v>6.2E-2</v>
      </c>
      <c r="H2003" s="1" t="str">
        <f>HYPERLINK("http://www.weizmann.ac.il/complex/compphys/software/geview/data/figures/204370_at.png","Figure")</f>
        <v>Figure</v>
      </c>
      <c r="I2003">
        <v>1</v>
      </c>
      <c r="J2003">
        <v>1</v>
      </c>
      <c r="K2003">
        <v>0.61299999999999999</v>
      </c>
      <c r="L2003">
        <v>1.4999999999999999E-2</v>
      </c>
      <c r="M2003">
        <v>0.61399999999999999</v>
      </c>
      <c r="N2003">
        <v>2.1999999999999999E-2</v>
      </c>
    </row>
    <row r="2004" spans="1:14" x14ac:dyDescent="0.25">
      <c r="A2004" t="s">
        <v>3723</v>
      </c>
      <c r="B2004" t="s">
        <v>3724</v>
      </c>
      <c r="C2004" s="1" t="str">
        <f>HYPERLINK("http://www.genecards.org/cgi-bin/carddisp.pl?gene=LOC100289042","GeneCards")</f>
        <v>GeneCards</v>
      </c>
      <c r="D2004" s="1" t="str">
        <f>HYPERLINK("http://genome-euro.ucsc.edu/cgi-bin/hgTracks?position=217341_at","UCSC")</f>
        <v>UCSC</v>
      </c>
      <c r="E2004" s="1" t="str">
        <f>HYPERLINK("http://www.ncbi.nlm.nih.gov/gene/?term=LOC100289042","NCBI")</f>
        <v>NCBI</v>
      </c>
      <c r="F2004">
        <v>7.3000000000000001E-3</v>
      </c>
      <c r="G2004">
        <v>6.2E-2</v>
      </c>
      <c r="H2004" s="1" t="str">
        <f>HYPERLINK("http://www.weizmann.ac.il/complex/compphys/software/geview/data/figures/217341_at.png","Figure")</f>
        <v>Figure</v>
      </c>
      <c r="I2004">
        <v>1.24</v>
      </c>
      <c r="J2004">
        <v>8.6999999999999994E-3</v>
      </c>
      <c r="K2004">
        <v>1.04</v>
      </c>
      <c r="L2004">
        <v>0.79</v>
      </c>
      <c r="M2004">
        <v>0.83199999999999996</v>
      </c>
      <c r="N2004">
        <v>1.7000000000000001E-2</v>
      </c>
    </row>
    <row r="2005" spans="1:14" x14ac:dyDescent="0.25">
      <c r="A2005" t="s">
        <v>3725</v>
      </c>
      <c r="B2005" t="s">
        <v>461</v>
      </c>
      <c r="C2005" s="1" t="str">
        <f>HYPERLINK("http://www.genecards.org/cgi-bin/carddisp.pl?gene=KDELR2","GeneCards")</f>
        <v>GeneCards</v>
      </c>
      <c r="D2005" s="1" t="str">
        <f>HYPERLINK("http://genome-euro.ucsc.edu/cgi-bin/hgTracks?position=200698_at","UCSC")</f>
        <v>UCSC</v>
      </c>
      <c r="E2005" s="1" t="str">
        <f>HYPERLINK("http://www.ncbi.nlm.nih.gov/gene/?term=KDELR2","NCBI")</f>
        <v>NCBI</v>
      </c>
      <c r="F2005">
        <v>7.3000000000000001E-3</v>
      </c>
      <c r="G2005">
        <v>6.2E-2</v>
      </c>
      <c r="H2005" s="1" t="str">
        <f>HYPERLINK("http://www.weizmann.ac.il/complex/compphys/software/geview/data/figures/200698_at.png","Figure")</f>
        <v>Figure</v>
      </c>
      <c r="I2005">
        <v>0.52900000000000003</v>
      </c>
      <c r="J2005">
        <v>5.5999999999999999E-3</v>
      </c>
      <c r="K2005">
        <v>0.79</v>
      </c>
      <c r="L2005">
        <v>0.27</v>
      </c>
      <c r="M2005">
        <v>1.49</v>
      </c>
      <c r="N2005">
        <v>5.7000000000000002E-2</v>
      </c>
    </row>
    <row r="2006" spans="1:14" x14ac:dyDescent="0.25">
      <c r="A2006" t="s">
        <v>3726</v>
      </c>
      <c r="B2006" t="s">
        <v>3727</v>
      </c>
      <c r="C2006" s="1" t="str">
        <f>HYPERLINK("http://www.genecards.org/cgi-bin/carddisp.pl?gene=CD72","GeneCards")</f>
        <v>GeneCards</v>
      </c>
      <c r="D2006" s="1" t="str">
        <f>HYPERLINK("http://genome-euro.ucsc.edu/cgi-bin/hgTracks?position=215925_s_at","UCSC")</f>
        <v>UCSC</v>
      </c>
      <c r="E2006" s="1" t="str">
        <f>HYPERLINK("http://www.ncbi.nlm.nih.gov/gene/?term=CD72","NCBI")</f>
        <v>NCBI</v>
      </c>
      <c r="F2006">
        <v>7.3000000000000001E-3</v>
      </c>
      <c r="G2006">
        <v>6.2E-2</v>
      </c>
      <c r="H2006" s="1" t="str">
        <f>HYPERLINK("http://www.weizmann.ac.il/complex/compphys/software/geview/data/figures/215925_s_at.png","Figure")</f>
        <v>Figure</v>
      </c>
      <c r="I2006">
        <v>1.78</v>
      </c>
      <c r="J2006">
        <v>0.22</v>
      </c>
      <c r="K2006">
        <v>2.97</v>
      </c>
      <c r="L2006">
        <v>5.4999999999999997E-3</v>
      </c>
      <c r="M2006">
        <v>1.67</v>
      </c>
      <c r="N2006">
        <v>0.25</v>
      </c>
    </row>
    <row r="2007" spans="1:14" x14ac:dyDescent="0.25">
      <c r="A2007" t="s">
        <v>3728</v>
      </c>
      <c r="B2007" t="s">
        <v>3729</v>
      </c>
      <c r="C2007" s="1" t="str">
        <f>HYPERLINK("http://www.genecards.org/cgi-bin/carddisp.pl?gene=NKAIN1","GeneCards")</f>
        <v>GeneCards</v>
      </c>
      <c r="D2007" s="1" t="str">
        <f>HYPERLINK("http://genome-euro.ucsc.edu/cgi-bin/hgTracks?position=219438_at","UCSC")</f>
        <v>UCSC</v>
      </c>
      <c r="E2007" s="1" t="str">
        <f>HYPERLINK("http://www.ncbi.nlm.nih.gov/gene/?term=NKAIN1","NCBI")</f>
        <v>NCBI</v>
      </c>
      <c r="F2007">
        <v>7.3000000000000001E-3</v>
      </c>
      <c r="G2007">
        <v>6.2E-2</v>
      </c>
      <c r="H2007" s="1" t="str">
        <f>HYPERLINK("http://www.weizmann.ac.il/complex/compphys/software/geview/data/figures/219438_at.png","Figure")</f>
        <v>Figure</v>
      </c>
      <c r="I2007">
        <v>1.21</v>
      </c>
      <c r="J2007">
        <v>7.4999999999999997E-2</v>
      </c>
      <c r="K2007">
        <v>0.91200000000000003</v>
      </c>
      <c r="L2007">
        <v>0.4</v>
      </c>
      <c r="M2007">
        <v>0.755</v>
      </c>
      <c r="N2007">
        <v>5.4999999999999997E-3</v>
      </c>
    </row>
    <row r="2008" spans="1:14" x14ac:dyDescent="0.25">
      <c r="A2008" t="s">
        <v>3730</v>
      </c>
      <c r="B2008" t="s">
        <v>3731</v>
      </c>
      <c r="C2008" s="1" t="str">
        <f>HYPERLINK("http://www.genecards.org/cgi-bin/carddisp.pl?gene=ASL /// CRCP","GeneCards")</f>
        <v>GeneCards</v>
      </c>
      <c r="D2008" s="1" t="str">
        <f>HYPERLINK("http://genome-euro.ucsc.edu/cgi-bin/hgTracks?position=203899_s_at","UCSC")</f>
        <v>UCSC</v>
      </c>
      <c r="E2008" s="1" t="str">
        <f>HYPERLINK("http://www.ncbi.nlm.nih.gov/gene/?term=ASL /// CRCP","NCBI")</f>
        <v>NCBI</v>
      </c>
      <c r="F2008">
        <v>7.3000000000000001E-3</v>
      </c>
      <c r="G2008">
        <v>6.2E-2</v>
      </c>
      <c r="H2008" s="1" t="str">
        <f>HYPERLINK("http://www.weizmann.ac.il/complex/compphys/software/geview/data/figures/203899_s_at.png","Figure")</f>
        <v>Figure</v>
      </c>
      <c r="I2008">
        <v>1.51</v>
      </c>
      <c r="J2008">
        <v>1.0999999999999999E-2</v>
      </c>
      <c r="K2008">
        <v>1.03</v>
      </c>
      <c r="L2008">
        <v>0.95</v>
      </c>
      <c r="M2008">
        <v>0.68500000000000005</v>
      </c>
      <c r="N2008">
        <v>1.2E-2</v>
      </c>
    </row>
    <row r="2009" spans="1:14" x14ac:dyDescent="0.25">
      <c r="A2009" t="s">
        <v>3732</v>
      </c>
      <c r="B2009" t="s">
        <v>3733</v>
      </c>
      <c r="C2009" s="1" t="str">
        <f>HYPERLINK("http://www.genecards.org/cgi-bin/carddisp.pl?gene=GNRH2","GeneCards")</f>
        <v>GeneCards</v>
      </c>
      <c r="D2009" s="1" t="str">
        <f>HYPERLINK("http://genome-euro.ucsc.edu/cgi-bin/hgTracks?position=208519_x_at","UCSC")</f>
        <v>UCSC</v>
      </c>
      <c r="E2009" s="1" t="str">
        <f>HYPERLINK("http://www.ncbi.nlm.nih.gov/gene/?term=GNRH2","NCBI")</f>
        <v>NCBI</v>
      </c>
      <c r="F2009">
        <v>7.3000000000000001E-3</v>
      </c>
      <c r="G2009">
        <v>6.2E-2</v>
      </c>
      <c r="H2009" s="1" t="str">
        <f>HYPERLINK("http://www.weizmann.ac.il/complex/compphys/software/geview/data/figures/208519_x_at.png","Figure")</f>
        <v>Figure</v>
      </c>
      <c r="I2009">
        <v>1.27</v>
      </c>
      <c r="J2009">
        <v>1.9E-2</v>
      </c>
      <c r="K2009">
        <v>1.26</v>
      </c>
      <c r="L2009">
        <v>1.0999999999999999E-2</v>
      </c>
      <c r="M2009">
        <v>0.99</v>
      </c>
      <c r="N2009">
        <v>0.99</v>
      </c>
    </row>
    <row r="2010" spans="1:14" x14ac:dyDescent="0.25">
      <c r="A2010" t="s">
        <v>3734</v>
      </c>
      <c r="B2010" t="s">
        <v>3735</v>
      </c>
      <c r="C2010" s="1" t="str">
        <f>HYPERLINK("http://www.genecards.org/cgi-bin/carddisp.pl?gene=PAQR4","GeneCards")</f>
        <v>GeneCards</v>
      </c>
      <c r="D2010" s="1" t="str">
        <f>HYPERLINK("http://genome-euro.ucsc.edu/cgi-bin/hgTracks?position=212858_at","UCSC")</f>
        <v>UCSC</v>
      </c>
      <c r="E2010" s="1" t="str">
        <f>HYPERLINK("http://www.ncbi.nlm.nih.gov/gene/?term=PAQR4","NCBI")</f>
        <v>NCBI</v>
      </c>
      <c r="F2010">
        <v>7.3000000000000001E-3</v>
      </c>
      <c r="G2010">
        <v>6.2E-2</v>
      </c>
      <c r="H2010" s="1" t="str">
        <f>HYPERLINK("http://www.weizmann.ac.il/complex/compphys/software/geview/data/figures/212858_at.png","Figure")</f>
        <v>Figure</v>
      </c>
      <c r="I2010">
        <v>1.24</v>
      </c>
      <c r="J2010">
        <v>1.7000000000000001E-2</v>
      </c>
      <c r="K2010">
        <v>1.23</v>
      </c>
      <c r="L2010">
        <v>1.0999999999999999E-2</v>
      </c>
      <c r="M2010">
        <v>0.98599999999999999</v>
      </c>
      <c r="N2010">
        <v>0.97</v>
      </c>
    </row>
    <row r="2011" spans="1:14" x14ac:dyDescent="0.25">
      <c r="A2011" t="s">
        <v>3736</v>
      </c>
      <c r="B2011" t="s">
        <v>3737</v>
      </c>
      <c r="C2011" s="1" t="str">
        <f>HYPERLINK("http://www.genecards.org/cgi-bin/carddisp.pl?gene=SLC35A1","GeneCards")</f>
        <v>GeneCards</v>
      </c>
      <c r="D2011" s="1" t="str">
        <f>HYPERLINK("http://genome-euro.ucsc.edu/cgi-bin/hgTracks?position=203306_s_at","UCSC")</f>
        <v>UCSC</v>
      </c>
      <c r="E2011" s="1" t="str">
        <f>HYPERLINK("http://www.ncbi.nlm.nih.gov/gene/?term=SLC35A1","NCBI")</f>
        <v>NCBI</v>
      </c>
      <c r="F2011">
        <v>7.3000000000000001E-3</v>
      </c>
      <c r="G2011">
        <v>6.2E-2</v>
      </c>
      <c r="H2011" s="1" t="str">
        <f>HYPERLINK("http://www.weizmann.ac.il/complex/compphys/software/geview/data/figures/203306_s_at.png","Figure")</f>
        <v>Figure</v>
      </c>
      <c r="I2011">
        <v>0.41599999999999998</v>
      </c>
      <c r="J2011">
        <v>7.6E-3</v>
      </c>
      <c r="K2011">
        <v>0.83399999999999996</v>
      </c>
      <c r="L2011">
        <v>0.67</v>
      </c>
      <c r="M2011">
        <v>2.0099999999999998</v>
      </c>
      <c r="N2011">
        <v>2.1000000000000001E-2</v>
      </c>
    </row>
    <row r="2012" spans="1:14" x14ac:dyDescent="0.25">
      <c r="A2012" t="s">
        <v>3738</v>
      </c>
      <c r="B2012" t="s">
        <v>3739</v>
      </c>
      <c r="C2012" s="1" t="str">
        <f>HYPERLINK("http://www.genecards.org/cgi-bin/carddisp.pl?gene=PKMYT1","GeneCards")</f>
        <v>GeneCards</v>
      </c>
      <c r="D2012" s="1" t="str">
        <f>HYPERLINK("http://genome-euro.ucsc.edu/cgi-bin/hgTracks?position=204267_x_at","UCSC")</f>
        <v>UCSC</v>
      </c>
      <c r="E2012" s="1" t="str">
        <f>HYPERLINK("http://www.ncbi.nlm.nih.gov/gene/?term=PKMYT1","NCBI")</f>
        <v>NCBI</v>
      </c>
      <c r="F2012">
        <v>7.3000000000000001E-3</v>
      </c>
      <c r="G2012">
        <v>6.2E-2</v>
      </c>
      <c r="H2012" s="1" t="str">
        <f>HYPERLINK("http://www.weizmann.ac.il/complex/compphys/software/geview/data/figures/204267_x_at.png","Figure")</f>
        <v>Figure</v>
      </c>
      <c r="I2012">
        <v>1.43</v>
      </c>
      <c r="J2012">
        <v>5.5999999999999999E-3</v>
      </c>
      <c r="K2012">
        <v>1.19</v>
      </c>
      <c r="L2012">
        <v>0.12</v>
      </c>
      <c r="M2012">
        <v>0.83499999999999996</v>
      </c>
      <c r="N2012">
        <v>0.13</v>
      </c>
    </row>
    <row r="2013" spans="1:14" x14ac:dyDescent="0.25">
      <c r="A2013" t="s">
        <v>3740</v>
      </c>
      <c r="B2013" t="s">
        <v>3741</v>
      </c>
      <c r="C2013" s="1" t="str">
        <f>HYPERLINK("http://www.genecards.org/cgi-bin/carddisp.pl?gene=GPRASP1","GeneCards")</f>
        <v>GeneCards</v>
      </c>
      <c r="D2013" s="1" t="str">
        <f>HYPERLINK("http://genome-euro.ucsc.edu/cgi-bin/hgTracks?position=204793_at","UCSC")</f>
        <v>UCSC</v>
      </c>
      <c r="E2013" s="1" t="str">
        <f>HYPERLINK("http://www.ncbi.nlm.nih.gov/gene/?term=GPRASP1","NCBI")</f>
        <v>NCBI</v>
      </c>
      <c r="F2013">
        <v>7.4000000000000003E-3</v>
      </c>
      <c r="G2013">
        <v>6.2E-2</v>
      </c>
      <c r="H2013" s="1" t="str">
        <f>HYPERLINK("http://www.weizmann.ac.il/complex/compphys/software/geview/data/figures/204793_at.png","Figure")</f>
        <v>Figure</v>
      </c>
      <c r="I2013">
        <v>0.26700000000000002</v>
      </c>
      <c r="J2013">
        <v>2.4E-2</v>
      </c>
      <c r="K2013">
        <v>0.25900000000000001</v>
      </c>
      <c r="L2013">
        <v>9.1999999999999998E-3</v>
      </c>
      <c r="M2013">
        <v>0.97299999999999998</v>
      </c>
      <c r="N2013">
        <v>1</v>
      </c>
    </row>
    <row r="2014" spans="1:14" x14ac:dyDescent="0.25">
      <c r="A2014" t="s">
        <v>3742</v>
      </c>
      <c r="B2014" t="s">
        <v>3743</v>
      </c>
      <c r="C2014" s="1" t="str">
        <f>HYPERLINK("http://www.genecards.org/cgi-bin/carddisp.pl?gene=TCTN2","GeneCards")</f>
        <v>GeneCards</v>
      </c>
      <c r="D2014" s="1" t="str">
        <f>HYPERLINK("http://genome-euro.ucsc.edu/cgi-bin/hgTracks?position=206438_x_at","UCSC")</f>
        <v>UCSC</v>
      </c>
      <c r="E2014" s="1" t="str">
        <f>HYPERLINK("http://www.ncbi.nlm.nih.gov/gene/?term=TCTN2","NCBI")</f>
        <v>NCBI</v>
      </c>
      <c r="F2014">
        <v>7.4000000000000003E-3</v>
      </c>
      <c r="G2014">
        <v>6.2E-2</v>
      </c>
      <c r="H2014" s="1" t="str">
        <f>HYPERLINK("http://www.weizmann.ac.il/complex/compphys/software/geview/data/figures/206438_x_at.png","Figure")</f>
        <v>Figure</v>
      </c>
      <c r="I2014">
        <v>1.44</v>
      </c>
      <c r="J2014">
        <v>6.7000000000000002E-3</v>
      </c>
      <c r="K2014">
        <v>1.26</v>
      </c>
      <c r="L2014">
        <v>4.7E-2</v>
      </c>
      <c r="M2014">
        <v>0.874</v>
      </c>
      <c r="N2014">
        <v>0.33</v>
      </c>
    </row>
    <row r="2015" spans="1:14" x14ac:dyDescent="0.25">
      <c r="A2015" t="s">
        <v>3744</v>
      </c>
      <c r="B2015" t="s">
        <v>3745</v>
      </c>
      <c r="C2015" s="1" t="str">
        <f>HYPERLINK("http://www.genecards.org/cgi-bin/carddisp.pl?gene=APOC4","GeneCards")</f>
        <v>GeneCards</v>
      </c>
      <c r="D2015" s="1" t="str">
        <f>HYPERLINK("http://genome-euro.ucsc.edu/cgi-bin/hgTracks?position=206738_at","UCSC")</f>
        <v>UCSC</v>
      </c>
      <c r="E2015" s="1" t="str">
        <f>HYPERLINK("http://www.ncbi.nlm.nih.gov/gene/?term=APOC4","NCBI")</f>
        <v>NCBI</v>
      </c>
      <c r="F2015">
        <v>7.4000000000000003E-3</v>
      </c>
      <c r="G2015">
        <v>6.2E-2</v>
      </c>
      <c r="H2015" s="1" t="str">
        <f>HYPERLINK("http://www.weizmann.ac.il/complex/compphys/software/geview/data/figures/206738_at.png","Figure")</f>
        <v>Figure</v>
      </c>
      <c r="I2015">
        <v>1.28</v>
      </c>
      <c r="J2015">
        <v>1.2999999999999999E-2</v>
      </c>
      <c r="K2015">
        <v>1.01</v>
      </c>
      <c r="L2015">
        <v>0.99</v>
      </c>
      <c r="M2015">
        <v>0.78700000000000003</v>
      </c>
      <c r="N2015">
        <v>1.0999999999999999E-2</v>
      </c>
    </row>
    <row r="2016" spans="1:14" x14ac:dyDescent="0.25">
      <c r="A2016" t="s">
        <v>3746</v>
      </c>
      <c r="B2016" t="s">
        <v>3747</v>
      </c>
      <c r="C2016" s="1" t="str">
        <f>HYPERLINK("http://www.genecards.org/cgi-bin/carddisp.pl?gene=PIP5K1A","GeneCards")</f>
        <v>GeneCards</v>
      </c>
      <c r="D2016" s="1" t="str">
        <f>HYPERLINK("http://genome-euro.ucsc.edu/cgi-bin/hgTracks?position=211205_x_at","UCSC")</f>
        <v>UCSC</v>
      </c>
      <c r="E2016" s="1" t="str">
        <f>HYPERLINK("http://www.ncbi.nlm.nih.gov/gene/?term=PIP5K1A","NCBI")</f>
        <v>NCBI</v>
      </c>
      <c r="F2016">
        <v>7.4000000000000003E-3</v>
      </c>
      <c r="G2016">
        <v>6.2E-2</v>
      </c>
      <c r="H2016" s="1" t="str">
        <f>HYPERLINK("http://www.weizmann.ac.il/complex/compphys/software/geview/data/figures/211205_x_at.png","Figure")</f>
        <v>Figure</v>
      </c>
      <c r="I2016">
        <v>1.26</v>
      </c>
      <c r="J2016">
        <v>1.0999999999999999E-2</v>
      </c>
      <c r="K2016">
        <v>1.02</v>
      </c>
      <c r="L2016">
        <v>0.94</v>
      </c>
      <c r="M2016">
        <v>0.81200000000000006</v>
      </c>
      <c r="N2016">
        <v>1.2999999999999999E-2</v>
      </c>
    </row>
    <row r="2017" spans="1:14" x14ac:dyDescent="0.25">
      <c r="A2017" t="s">
        <v>3748</v>
      </c>
      <c r="B2017" t="s">
        <v>3749</v>
      </c>
      <c r="C2017" s="1" t="str">
        <f>HYPERLINK("http://www.genecards.org/cgi-bin/carddisp.pl?gene=CNKSR1","GeneCards")</f>
        <v>GeneCards</v>
      </c>
      <c r="D2017" s="1" t="str">
        <f>HYPERLINK("http://genome-euro.ucsc.edu/cgi-bin/hgTracks?position=204740_at","UCSC")</f>
        <v>UCSC</v>
      </c>
      <c r="E2017" s="1" t="str">
        <f>HYPERLINK("http://www.ncbi.nlm.nih.gov/gene/?term=CNKSR1","NCBI")</f>
        <v>NCBI</v>
      </c>
      <c r="F2017">
        <v>7.4000000000000003E-3</v>
      </c>
      <c r="G2017">
        <v>6.2E-2</v>
      </c>
      <c r="H2017" s="1" t="str">
        <f>HYPERLINK("http://www.weizmann.ac.il/complex/compphys/software/geview/data/figures/204740_at.png","Figure")</f>
        <v>Figure</v>
      </c>
      <c r="I2017">
        <v>0.99399999999999999</v>
      </c>
      <c r="J2017">
        <v>0.98</v>
      </c>
      <c r="K2017">
        <v>1.1000000000000001</v>
      </c>
      <c r="L2017">
        <v>1.7999999999999999E-2</v>
      </c>
      <c r="M2017">
        <v>1.1000000000000001</v>
      </c>
      <c r="N2017">
        <v>1.9E-2</v>
      </c>
    </row>
    <row r="2018" spans="1:14" x14ac:dyDescent="0.25">
      <c r="A2018" t="s">
        <v>3750</v>
      </c>
      <c r="B2018" t="s">
        <v>3751</v>
      </c>
      <c r="C2018" s="1" t="str">
        <f>HYPERLINK("http://www.genecards.org/cgi-bin/carddisp.pl?gene=MAN1C1","GeneCards")</f>
        <v>GeneCards</v>
      </c>
      <c r="D2018" s="1" t="str">
        <f>HYPERLINK("http://genome-euro.ucsc.edu/cgi-bin/hgTracks?position=214180_at","UCSC")</f>
        <v>UCSC</v>
      </c>
      <c r="E2018" s="1" t="str">
        <f>HYPERLINK("http://www.ncbi.nlm.nih.gov/gene/?term=MAN1C1","NCBI")</f>
        <v>NCBI</v>
      </c>
      <c r="F2018">
        <v>7.4000000000000003E-3</v>
      </c>
      <c r="G2018">
        <v>6.2E-2</v>
      </c>
      <c r="H2018" s="1" t="str">
        <f>HYPERLINK("http://www.weizmann.ac.il/complex/compphys/software/geview/data/figures/214180_at.png","Figure")</f>
        <v>Figure</v>
      </c>
      <c r="I2018">
        <v>1.37</v>
      </c>
      <c r="J2018">
        <v>6.8999999999999999E-3</v>
      </c>
      <c r="K2018">
        <v>1.08</v>
      </c>
      <c r="L2018">
        <v>0.55000000000000004</v>
      </c>
      <c r="M2018">
        <v>0.79100000000000004</v>
      </c>
      <c r="N2018">
        <v>2.7E-2</v>
      </c>
    </row>
    <row r="2019" spans="1:14" x14ac:dyDescent="0.25">
      <c r="A2019" t="s">
        <v>3752</v>
      </c>
      <c r="B2019" t="s">
        <v>2778</v>
      </c>
      <c r="C2019" s="1" t="str">
        <f>HYPERLINK("http://www.genecards.org/cgi-bin/carddisp.pl?gene=PLXNB1","GeneCards")</f>
        <v>GeneCards</v>
      </c>
      <c r="D2019" s="1" t="str">
        <f>HYPERLINK("http://genome-euro.ucsc.edu/cgi-bin/hgTracks?position=215807_s_at","UCSC")</f>
        <v>UCSC</v>
      </c>
      <c r="E2019" s="1" t="str">
        <f>HYPERLINK("http://www.ncbi.nlm.nih.gov/gene/?term=PLXNB1","NCBI")</f>
        <v>NCBI</v>
      </c>
      <c r="F2019">
        <v>7.4000000000000003E-3</v>
      </c>
      <c r="G2019">
        <v>6.2E-2</v>
      </c>
      <c r="H2019" s="1" t="str">
        <f>HYPERLINK("http://www.weizmann.ac.il/complex/compphys/software/geview/data/figures/215807_s_at.png","Figure")</f>
        <v>Figure</v>
      </c>
      <c r="I2019">
        <v>1.5</v>
      </c>
      <c r="J2019">
        <v>8.6999999999999994E-3</v>
      </c>
      <c r="K2019">
        <v>1.34</v>
      </c>
      <c r="L2019">
        <v>2.7E-2</v>
      </c>
      <c r="M2019">
        <v>0.89500000000000002</v>
      </c>
      <c r="N2019">
        <v>0.56000000000000005</v>
      </c>
    </row>
    <row r="2020" spans="1:14" x14ac:dyDescent="0.25">
      <c r="A2020" t="s">
        <v>3753</v>
      </c>
      <c r="B2020" t="s">
        <v>3754</v>
      </c>
      <c r="C2020" s="1" t="str">
        <f>HYPERLINK("http://www.genecards.org/cgi-bin/carddisp.pl?gene=FTSJ3","GeneCards")</f>
        <v>GeneCards</v>
      </c>
      <c r="D2020" s="1" t="str">
        <f>HYPERLINK("http://genome-euro.ucsc.edu/cgi-bin/hgTracks?position=218103_at","UCSC")</f>
        <v>UCSC</v>
      </c>
      <c r="E2020" s="1" t="str">
        <f>HYPERLINK("http://www.ncbi.nlm.nih.gov/gene/?term=FTSJ3","NCBI")</f>
        <v>NCBI</v>
      </c>
      <c r="F2020">
        <v>7.4000000000000003E-3</v>
      </c>
      <c r="G2020">
        <v>6.2E-2</v>
      </c>
      <c r="H2020" s="1" t="str">
        <f>HYPERLINK("http://www.weizmann.ac.il/complex/compphys/software/geview/data/figures/218103_at.png","Figure")</f>
        <v>Figure</v>
      </c>
      <c r="I2020">
        <v>0.77200000000000002</v>
      </c>
      <c r="J2020">
        <v>0.15</v>
      </c>
      <c r="K2020">
        <v>1.22</v>
      </c>
      <c r="L2020">
        <v>0.21</v>
      </c>
      <c r="M2020">
        <v>1.58</v>
      </c>
      <c r="N2020">
        <v>5.7000000000000002E-3</v>
      </c>
    </row>
    <row r="2021" spans="1:14" x14ac:dyDescent="0.25">
      <c r="A2021" t="s">
        <v>3755</v>
      </c>
      <c r="B2021" t="s">
        <v>3756</v>
      </c>
      <c r="C2021" s="1" t="str">
        <f>HYPERLINK("http://www.genecards.org/cgi-bin/carddisp.pl?gene=DACT1","GeneCards")</f>
        <v>GeneCards</v>
      </c>
      <c r="D2021" s="1" t="str">
        <f>HYPERLINK("http://genome-euro.ucsc.edu/cgi-bin/hgTracks?position=219179_at","UCSC")</f>
        <v>UCSC</v>
      </c>
      <c r="E2021" s="1" t="str">
        <f>HYPERLINK("http://www.ncbi.nlm.nih.gov/gene/?term=DACT1","NCBI")</f>
        <v>NCBI</v>
      </c>
      <c r="F2021">
        <v>7.4000000000000003E-3</v>
      </c>
      <c r="G2021">
        <v>6.2E-2</v>
      </c>
      <c r="H2021" s="1" t="str">
        <f>HYPERLINK("http://www.weizmann.ac.il/complex/compphys/software/geview/data/figures/219179_at.png","Figure")</f>
        <v>Figure</v>
      </c>
      <c r="I2021">
        <v>1.29</v>
      </c>
      <c r="J2021">
        <v>2.1999999999999999E-2</v>
      </c>
      <c r="K2021">
        <v>1.29</v>
      </c>
      <c r="L2021">
        <v>9.7000000000000003E-3</v>
      </c>
      <c r="M2021">
        <v>1</v>
      </c>
      <c r="N2021">
        <v>1</v>
      </c>
    </row>
    <row r="2022" spans="1:14" x14ac:dyDescent="0.25">
      <c r="A2022" t="s">
        <v>3757</v>
      </c>
      <c r="B2022" t="s">
        <v>3758</v>
      </c>
      <c r="C2022" s="1" t="str">
        <f>HYPERLINK("http://www.genecards.org/cgi-bin/carddisp.pl?gene=CAPRIN1","GeneCards")</f>
        <v>GeneCards</v>
      </c>
      <c r="D2022" s="1" t="str">
        <f>HYPERLINK("http://genome-euro.ucsc.edu/cgi-bin/hgTracks?position=200722_s_at","UCSC")</f>
        <v>UCSC</v>
      </c>
      <c r="E2022" s="1" t="str">
        <f>HYPERLINK("http://www.ncbi.nlm.nih.gov/gene/?term=CAPRIN1","NCBI")</f>
        <v>NCBI</v>
      </c>
      <c r="F2022">
        <v>7.4000000000000003E-3</v>
      </c>
      <c r="G2022">
        <v>6.2E-2</v>
      </c>
      <c r="H2022" s="1" t="str">
        <f>HYPERLINK("http://www.weizmann.ac.il/complex/compphys/software/geview/data/figures/200722_s_at.png","Figure")</f>
        <v>Figure</v>
      </c>
      <c r="I2022">
        <v>1.45</v>
      </c>
      <c r="J2022">
        <v>6.7000000000000002E-3</v>
      </c>
      <c r="K2022">
        <v>1.1000000000000001</v>
      </c>
      <c r="L2022">
        <v>0.51</v>
      </c>
      <c r="M2022">
        <v>0.76300000000000001</v>
      </c>
      <c r="N2022">
        <v>0.03</v>
      </c>
    </row>
    <row r="2023" spans="1:14" x14ac:dyDescent="0.25">
      <c r="A2023" t="s">
        <v>3759</v>
      </c>
      <c r="B2023" t="s">
        <v>3760</v>
      </c>
      <c r="C2023" s="1" t="str">
        <f>HYPERLINK("http://www.genecards.org/cgi-bin/carddisp.pl?gene=EMP1","GeneCards")</f>
        <v>GeneCards</v>
      </c>
      <c r="D2023" s="1" t="str">
        <f>HYPERLINK("http://genome-euro.ucsc.edu/cgi-bin/hgTracks?position=201324_at","UCSC")</f>
        <v>UCSC</v>
      </c>
      <c r="E2023" s="1" t="str">
        <f>HYPERLINK("http://www.ncbi.nlm.nih.gov/gene/?term=EMP1","NCBI")</f>
        <v>NCBI</v>
      </c>
      <c r="F2023">
        <v>7.4000000000000003E-3</v>
      </c>
      <c r="G2023">
        <v>6.2E-2</v>
      </c>
      <c r="H2023" s="1" t="str">
        <f>HYPERLINK("http://www.weizmann.ac.il/complex/compphys/software/geview/data/figures/201324_at.png","Figure")</f>
        <v>Figure</v>
      </c>
      <c r="I2023">
        <v>0.36899999999999999</v>
      </c>
      <c r="J2023">
        <v>1.4999999999999999E-2</v>
      </c>
      <c r="K2023">
        <v>1</v>
      </c>
      <c r="L2023">
        <v>1</v>
      </c>
      <c r="M2023">
        <v>2.71</v>
      </c>
      <c r="N2023">
        <v>9.7999999999999997E-3</v>
      </c>
    </row>
    <row r="2024" spans="1:14" x14ac:dyDescent="0.25">
      <c r="A2024" t="s">
        <v>3761</v>
      </c>
      <c r="B2024" t="s">
        <v>2229</v>
      </c>
      <c r="C2024" s="1" t="str">
        <f>HYPERLINK("http://www.genecards.org/cgi-bin/carddisp.pl?gene=PIN4","GeneCards")</f>
        <v>GeneCards</v>
      </c>
      <c r="D2024" s="1" t="str">
        <f>HYPERLINK("http://genome-euro.ucsc.edu/cgi-bin/hgTracks?position=204571_x_at","UCSC")</f>
        <v>UCSC</v>
      </c>
      <c r="E2024" s="1" t="str">
        <f>HYPERLINK("http://www.ncbi.nlm.nih.gov/gene/?term=PIN4","NCBI")</f>
        <v>NCBI</v>
      </c>
      <c r="F2024">
        <v>7.4000000000000003E-3</v>
      </c>
      <c r="G2024">
        <v>6.2E-2</v>
      </c>
      <c r="H2024" s="1" t="str">
        <f>HYPERLINK("http://www.weizmann.ac.il/complex/compphys/software/geview/data/figures/204571_x_at.png","Figure")</f>
        <v>Figure</v>
      </c>
      <c r="I2024">
        <v>0.84099999999999997</v>
      </c>
      <c r="J2024">
        <v>0.76</v>
      </c>
      <c r="K2024">
        <v>1.82</v>
      </c>
      <c r="L2024">
        <v>3.3000000000000002E-2</v>
      </c>
      <c r="M2024">
        <v>2.17</v>
      </c>
      <c r="N2024">
        <v>1.0999999999999999E-2</v>
      </c>
    </row>
    <row r="2025" spans="1:14" x14ac:dyDescent="0.25">
      <c r="A2025" t="s">
        <v>3762</v>
      </c>
      <c r="B2025" t="s">
        <v>3763</v>
      </c>
      <c r="C2025" s="1" t="str">
        <f>HYPERLINK("http://www.genecards.org/cgi-bin/carddisp.pl?gene=ITGAM","GeneCards")</f>
        <v>GeneCards</v>
      </c>
      <c r="D2025" s="1" t="str">
        <f>HYPERLINK("http://genome-euro.ucsc.edu/cgi-bin/hgTracks?position=205786_s_at","UCSC")</f>
        <v>UCSC</v>
      </c>
      <c r="E2025" s="1" t="str">
        <f>HYPERLINK("http://www.ncbi.nlm.nih.gov/gene/?term=ITGAM","NCBI")</f>
        <v>NCBI</v>
      </c>
      <c r="F2025">
        <v>7.4000000000000003E-3</v>
      </c>
      <c r="G2025">
        <v>6.2E-2</v>
      </c>
      <c r="H2025" s="1" t="str">
        <f>HYPERLINK("http://www.weizmann.ac.il/complex/compphys/software/geview/data/figures/205786_s_at.png","Figure")</f>
        <v>Figure</v>
      </c>
      <c r="I2025">
        <v>0.36399999999999999</v>
      </c>
      <c r="J2025">
        <v>5.5999999999999999E-3</v>
      </c>
      <c r="K2025">
        <v>0.61399999999999999</v>
      </c>
      <c r="L2025">
        <v>0.13</v>
      </c>
      <c r="M2025">
        <v>1.69</v>
      </c>
      <c r="N2025">
        <v>0.13</v>
      </c>
    </row>
    <row r="2026" spans="1:14" x14ac:dyDescent="0.25">
      <c r="A2026" t="s">
        <v>3764</v>
      </c>
      <c r="B2026" t="s">
        <v>3765</v>
      </c>
      <c r="C2026" s="1" t="str">
        <f>HYPERLINK("http://www.genecards.org/cgi-bin/carddisp.pl?gene=PDE4C","GeneCards")</f>
        <v>GeneCards</v>
      </c>
      <c r="D2026" s="1" t="str">
        <f>HYPERLINK("http://genome-euro.ucsc.edu/cgi-bin/hgTracks?position=206791_s_at","UCSC")</f>
        <v>UCSC</v>
      </c>
      <c r="E2026" s="1" t="str">
        <f>HYPERLINK("http://www.ncbi.nlm.nih.gov/gene/?term=PDE4C","NCBI")</f>
        <v>NCBI</v>
      </c>
      <c r="F2026">
        <v>7.4000000000000003E-3</v>
      </c>
      <c r="G2026">
        <v>6.2E-2</v>
      </c>
      <c r="H2026" s="1" t="str">
        <f>HYPERLINK("http://www.weizmann.ac.il/complex/compphys/software/geview/data/figures/206791_s_at.png","Figure")</f>
        <v>Figure</v>
      </c>
      <c r="I2026">
        <v>1.38</v>
      </c>
      <c r="J2026">
        <v>7.7000000000000002E-3</v>
      </c>
      <c r="K2026">
        <v>1.07</v>
      </c>
      <c r="L2026">
        <v>0.66</v>
      </c>
      <c r="M2026">
        <v>0.77600000000000002</v>
      </c>
      <c r="N2026">
        <v>2.1999999999999999E-2</v>
      </c>
    </row>
    <row r="2027" spans="1:14" x14ac:dyDescent="0.25">
      <c r="A2027" t="s">
        <v>3766</v>
      </c>
      <c r="B2027" t="s">
        <v>3767</v>
      </c>
      <c r="C2027" s="1" t="str">
        <f>HYPERLINK("http://www.genecards.org/cgi-bin/carddisp.pl?gene=ITPKC","GeneCards")</f>
        <v>GeneCards</v>
      </c>
      <c r="D2027" s="1" t="str">
        <f>HYPERLINK("http://genome-euro.ucsc.edu/cgi-bin/hgTracks?position=213076_at","UCSC")</f>
        <v>UCSC</v>
      </c>
      <c r="E2027" s="1" t="str">
        <f>HYPERLINK("http://www.ncbi.nlm.nih.gov/gene/?term=ITPKC","NCBI")</f>
        <v>NCBI</v>
      </c>
      <c r="F2027">
        <v>7.4000000000000003E-3</v>
      </c>
      <c r="G2027">
        <v>6.2E-2</v>
      </c>
      <c r="H2027" s="1" t="str">
        <f>HYPERLINK("http://www.weizmann.ac.il/complex/compphys/software/geview/data/figures/213076_at.png","Figure")</f>
        <v>Figure</v>
      </c>
      <c r="I2027">
        <v>1.19</v>
      </c>
      <c r="J2027">
        <v>2.9000000000000001E-2</v>
      </c>
      <c r="K2027">
        <v>0.96899999999999997</v>
      </c>
      <c r="L2027">
        <v>0.82</v>
      </c>
      <c r="M2027">
        <v>0.81200000000000006</v>
      </c>
      <c r="N2027">
        <v>6.7999999999999996E-3</v>
      </c>
    </row>
    <row r="2028" spans="1:14" x14ac:dyDescent="0.25">
      <c r="A2028" t="s">
        <v>3768</v>
      </c>
      <c r="B2028" t="s">
        <v>3769</v>
      </c>
      <c r="C2028" s="1" t="str">
        <f>HYPERLINK("http://www.genecards.org/cgi-bin/carddisp.pl?gene=EIF4E2","GeneCards")</f>
        <v>GeneCards</v>
      </c>
      <c r="D2028" s="1" t="str">
        <f>HYPERLINK("http://genome-euro.ucsc.edu/cgi-bin/hgTracks?position=213571_s_at","UCSC")</f>
        <v>UCSC</v>
      </c>
      <c r="E2028" s="1" t="str">
        <f>HYPERLINK("http://www.ncbi.nlm.nih.gov/gene/?term=EIF4E2","NCBI")</f>
        <v>NCBI</v>
      </c>
      <c r="F2028">
        <v>7.4000000000000003E-3</v>
      </c>
      <c r="G2028">
        <v>6.2E-2</v>
      </c>
      <c r="H2028" s="1" t="str">
        <f>HYPERLINK("http://www.weizmann.ac.il/complex/compphys/software/geview/data/figures/213571_s_at.png","Figure")</f>
        <v>Figure</v>
      </c>
      <c r="I2028">
        <v>0.52600000000000002</v>
      </c>
      <c r="J2028">
        <v>5.8999999999999999E-3</v>
      </c>
      <c r="K2028">
        <v>0.8</v>
      </c>
      <c r="L2028">
        <v>0.32</v>
      </c>
      <c r="M2028">
        <v>1.52</v>
      </c>
      <c r="N2028">
        <v>4.9000000000000002E-2</v>
      </c>
    </row>
    <row r="2029" spans="1:14" x14ac:dyDescent="0.25">
      <c r="A2029" t="s">
        <v>3770</v>
      </c>
      <c r="B2029" t="s">
        <v>3771</v>
      </c>
      <c r="C2029" s="1" t="str">
        <f>HYPERLINK("http://www.genecards.org/cgi-bin/carddisp.pl?gene=CCNJL","GeneCards")</f>
        <v>GeneCards</v>
      </c>
      <c r="D2029" s="1" t="str">
        <f>HYPERLINK("http://genome-euro.ucsc.edu/cgi-bin/hgTracks?position=219227_at","UCSC")</f>
        <v>UCSC</v>
      </c>
      <c r="E2029" s="1" t="str">
        <f>HYPERLINK("http://www.ncbi.nlm.nih.gov/gene/?term=CCNJL","NCBI")</f>
        <v>NCBI</v>
      </c>
      <c r="F2029">
        <v>7.4000000000000003E-3</v>
      </c>
      <c r="G2029">
        <v>6.2E-2</v>
      </c>
      <c r="H2029" s="1" t="str">
        <f>HYPERLINK("http://www.weizmann.ac.il/complex/compphys/software/geview/data/figures/219227_at.png","Figure")</f>
        <v>Figure</v>
      </c>
      <c r="I2029">
        <v>1.47</v>
      </c>
      <c r="J2029">
        <v>0.02</v>
      </c>
      <c r="K2029">
        <v>0.96899999999999997</v>
      </c>
      <c r="L2029">
        <v>0.95</v>
      </c>
      <c r="M2029">
        <v>0.66100000000000003</v>
      </c>
      <c r="N2029">
        <v>8.0000000000000002E-3</v>
      </c>
    </row>
    <row r="2030" spans="1:14" x14ac:dyDescent="0.25">
      <c r="A2030" t="s">
        <v>3772</v>
      </c>
      <c r="B2030" t="s">
        <v>3773</v>
      </c>
      <c r="C2030" s="1" t="str">
        <f>HYPERLINK("http://www.genecards.org/cgi-bin/carddisp.pl?gene=RTP4","GeneCards")</f>
        <v>GeneCards</v>
      </c>
      <c r="D2030" s="1" t="str">
        <f>HYPERLINK("http://genome-euro.ucsc.edu/cgi-bin/hgTracks?position=219684_at","UCSC")</f>
        <v>UCSC</v>
      </c>
      <c r="E2030" s="1" t="str">
        <f>HYPERLINK("http://www.ncbi.nlm.nih.gov/gene/?term=RTP4","NCBI")</f>
        <v>NCBI</v>
      </c>
      <c r="F2030">
        <v>7.4000000000000003E-3</v>
      </c>
      <c r="G2030">
        <v>6.2E-2</v>
      </c>
      <c r="H2030" s="1" t="str">
        <f>HYPERLINK("http://www.weizmann.ac.il/complex/compphys/software/geview/data/figures/219684_at.png","Figure")</f>
        <v>Figure</v>
      </c>
      <c r="I2030">
        <v>1.2</v>
      </c>
      <c r="J2030">
        <v>2.1999999999999999E-2</v>
      </c>
      <c r="K2030">
        <v>1.2</v>
      </c>
      <c r="L2030">
        <v>9.9000000000000008E-3</v>
      </c>
      <c r="M2030">
        <v>0.999</v>
      </c>
      <c r="N2030">
        <v>1</v>
      </c>
    </row>
    <row r="2031" spans="1:14" x14ac:dyDescent="0.25">
      <c r="A2031" t="s">
        <v>3774</v>
      </c>
      <c r="B2031" t="s">
        <v>3775</v>
      </c>
      <c r="C2031" s="1" t="str">
        <f>HYPERLINK("http://www.genecards.org/cgi-bin/carddisp.pl?gene=BTN2A1","GeneCards")</f>
        <v>GeneCards</v>
      </c>
      <c r="D2031" s="1" t="str">
        <f>HYPERLINK("http://genome-euro.ucsc.edu/cgi-bin/hgTracks?position=211256_x_at","UCSC")</f>
        <v>UCSC</v>
      </c>
      <c r="E2031" s="1" t="str">
        <f>HYPERLINK("http://www.ncbi.nlm.nih.gov/gene/?term=BTN2A1","NCBI")</f>
        <v>NCBI</v>
      </c>
      <c r="F2031">
        <v>7.4999999999999997E-3</v>
      </c>
      <c r="G2031">
        <v>6.2E-2</v>
      </c>
      <c r="H2031" s="1" t="str">
        <f>HYPERLINK("http://www.weizmann.ac.il/complex/compphys/software/geview/data/figures/211256_x_at.png","Figure")</f>
        <v>Figure</v>
      </c>
      <c r="I2031">
        <v>1.43</v>
      </c>
      <c r="J2031">
        <v>5.8999999999999999E-3</v>
      </c>
      <c r="K2031">
        <v>1.1299999999999999</v>
      </c>
      <c r="L2031">
        <v>0.31</v>
      </c>
      <c r="M2031">
        <v>0.79200000000000004</v>
      </c>
      <c r="N2031">
        <v>5.0999999999999997E-2</v>
      </c>
    </row>
    <row r="2032" spans="1:14" x14ac:dyDescent="0.25">
      <c r="A2032" t="s">
        <v>3776</v>
      </c>
      <c r="B2032" t="s">
        <v>3777</v>
      </c>
      <c r="C2032" s="1" t="str">
        <f>HYPERLINK("http://www.genecards.org/cgi-bin/carddisp.pl?gene=ELK4","GeneCards")</f>
        <v>GeneCards</v>
      </c>
      <c r="D2032" s="1" t="str">
        <f>HYPERLINK("http://genome-euro.ucsc.edu/cgi-bin/hgTracks?position=205994_at","UCSC")</f>
        <v>UCSC</v>
      </c>
      <c r="E2032" s="1" t="str">
        <f>HYPERLINK("http://www.ncbi.nlm.nih.gov/gene/?term=ELK4","NCBI")</f>
        <v>NCBI</v>
      </c>
      <c r="F2032">
        <v>7.4999999999999997E-3</v>
      </c>
      <c r="G2032">
        <v>6.3E-2</v>
      </c>
      <c r="H2032" s="1" t="str">
        <f>HYPERLINK("http://www.weizmann.ac.il/complex/compphys/software/geview/data/figures/205994_at.png","Figure")</f>
        <v>Figure</v>
      </c>
      <c r="I2032">
        <v>1.1399999999999999</v>
      </c>
      <c r="J2032">
        <v>1.4999999999999999E-2</v>
      </c>
      <c r="K2032">
        <v>0.999</v>
      </c>
      <c r="L2032">
        <v>1</v>
      </c>
      <c r="M2032">
        <v>0.873</v>
      </c>
      <c r="N2032">
        <v>9.7000000000000003E-3</v>
      </c>
    </row>
    <row r="2033" spans="1:14" x14ac:dyDescent="0.25">
      <c r="A2033" t="s">
        <v>3778</v>
      </c>
      <c r="B2033" t="s">
        <v>3779</v>
      </c>
      <c r="C2033" s="1" t="str">
        <f>HYPERLINK("http://www.genecards.org/cgi-bin/carddisp.pl?gene=RUVBL2","GeneCards")</f>
        <v>GeneCards</v>
      </c>
      <c r="D2033" s="1" t="str">
        <f>HYPERLINK("http://genome-euro.ucsc.edu/cgi-bin/hgTracks?position=201459_at","UCSC")</f>
        <v>UCSC</v>
      </c>
      <c r="E2033" s="1" t="str">
        <f>HYPERLINK("http://www.ncbi.nlm.nih.gov/gene/?term=RUVBL2","NCBI")</f>
        <v>NCBI</v>
      </c>
      <c r="F2033">
        <v>7.4999999999999997E-3</v>
      </c>
      <c r="G2033">
        <v>6.3E-2</v>
      </c>
      <c r="H2033" s="1" t="str">
        <f>HYPERLINK("http://www.weizmann.ac.il/complex/compphys/software/geview/data/figures/201459_at.png","Figure")</f>
        <v>Figure</v>
      </c>
      <c r="I2033">
        <v>0.92</v>
      </c>
      <c r="J2033">
        <v>0.91</v>
      </c>
      <c r="K2033">
        <v>1.72</v>
      </c>
      <c r="L2033">
        <v>2.3E-2</v>
      </c>
      <c r="M2033">
        <v>1.87</v>
      </c>
      <c r="N2033">
        <v>1.4999999999999999E-2</v>
      </c>
    </row>
    <row r="2034" spans="1:14" x14ac:dyDescent="0.25">
      <c r="A2034" t="s">
        <v>3780</v>
      </c>
      <c r="B2034" t="s">
        <v>2142</v>
      </c>
      <c r="C2034" s="1" t="str">
        <f>HYPERLINK("http://www.genecards.org/cgi-bin/carddisp.pl?gene=SNX3","GeneCards")</f>
        <v>GeneCards</v>
      </c>
      <c r="D2034" s="1" t="str">
        <f>HYPERLINK("http://genome-euro.ucsc.edu/cgi-bin/hgTracks?position=213545_x_at","UCSC")</f>
        <v>UCSC</v>
      </c>
      <c r="E2034" s="1" t="str">
        <f>HYPERLINK("http://www.ncbi.nlm.nih.gov/gene/?term=SNX3","NCBI")</f>
        <v>NCBI</v>
      </c>
      <c r="F2034">
        <v>7.4999999999999997E-3</v>
      </c>
      <c r="G2034">
        <v>6.3E-2</v>
      </c>
      <c r="H2034" s="1" t="str">
        <f>HYPERLINK("http://www.weizmann.ac.il/complex/compphys/software/geview/data/figures/213545_x_at.png","Figure")</f>
        <v>Figure</v>
      </c>
      <c r="I2034">
        <v>0.46800000000000003</v>
      </c>
      <c r="J2034">
        <v>6.3E-3</v>
      </c>
      <c r="K2034">
        <v>0.64100000000000001</v>
      </c>
      <c r="L2034">
        <v>6.2E-2</v>
      </c>
      <c r="M2034">
        <v>1.37</v>
      </c>
      <c r="N2034">
        <v>0.25</v>
      </c>
    </row>
    <row r="2035" spans="1:14" x14ac:dyDescent="0.25">
      <c r="A2035" t="s">
        <v>3781</v>
      </c>
      <c r="B2035" t="s">
        <v>3782</v>
      </c>
      <c r="C2035" s="1" t="str">
        <f>HYPERLINK("http://www.genecards.org/cgi-bin/carddisp.pl?gene=PDE8B","GeneCards")</f>
        <v>GeneCards</v>
      </c>
      <c r="D2035" s="1" t="str">
        <f>HYPERLINK("http://genome-euro.ucsc.edu/cgi-bin/hgTracks?position=213228_at","UCSC")</f>
        <v>UCSC</v>
      </c>
      <c r="E2035" s="1" t="str">
        <f>HYPERLINK("http://www.ncbi.nlm.nih.gov/gene/?term=PDE8B","NCBI")</f>
        <v>NCBI</v>
      </c>
      <c r="F2035">
        <v>7.4999999999999997E-3</v>
      </c>
      <c r="G2035">
        <v>6.3E-2</v>
      </c>
      <c r="H2035" s="1" t="str">
        <f>HYPERLINK("http://www.weizmann.ac.il/complex/compphys/software/geview/data/figures/213228_at.png","Figure")</f>
        <v>Figure</v>
      </c>
      <c r="I2035">
        <v>1</v>
      </c>
      <c r="J2035">
        <v>1</v>
      </c>
      <c r="K2035">
        <v>1.88</v>
      </c>
      <c r="L2035">
        <v>1.4999999999999999E-2</v>
      </c>
      <c r="M2035">
        <v>1.88</v>
      </c>
      <c r="N2035">
        <v>2.3E-2</v>
      </c>
    </row>
    <row r="2036" spans="1:14" x14ac:dyDescent="0.25">
      <c r="A2036" t="s">
        <v>3783</v>
      </c>
      <c r="B2036" t="s">
        <v>1088</v>
      </c>
      <c r="C2036" s="1" t="str">
        <f>HYPERLINK("http://www.genecards.org/cgi-bin/carddisp.pl?gene=FKBP15","GeneCards")</f>
        <v>GeneCards</v>
      </c>
      <c r="D2036" s="1" t="str">
        <f>HYPERLINK("http://genome-euro.ucsc.edu/cgi-bin/hgTracks?position=31826_at","UCSC")</f>
        <v>UCSC</v>
      </c>
      <c r="E2036" s="1" t="str">
        <f>HYPERLINK("http://www.ncbi.nlm.nih.gov/gene/?term=FKBP15","NCBI")</f>
        <v>NCBI</v>
      </c>
      <c r="F2036">
        <v>7.4999999999999997E-3</v>
      </c>
      <c r="G2036">
        <v>6.3E-2</v>
      </c>
      <c r="H2036" s="1" t="str">
        <f>HYPERLINK("http://www.weizmann.ac.il/complex/compphys/software/geview/data/figures/31826_at.png","Figure")</f>
        <v>Figure</v>
      </c>
      <c r="I2036">
        <v>1.45</v>
      </c>
      <c r="J2036">
        <v>7.1000000000000004E-3</v>
      </c>
      <c r="K2036">
        <v>1.27</v>
      </c>
      <c r="L2036">
        <v>4.2999999999999997E-2</v>
      </c>
      <c r="M2036">
        <v>0.876</v>
      </c>
      <c r="N2036">
        <v>0.36</v>
      </c>
    </row>
    <row r="2037" spans="1:14" x14ac:dyDescent="0.25">
      <c r="A2037" t="s">
        <v>3784</v>
      </c>
      <c r="B2037" t="s">
        <v>3785</v>
      </c>
      <c r="C2037" s="1" t="str">
        <f>HYPERLINK("http://www.genecards.org/cgi-bin/carddisp.pl?gene=SLC17A3","GeneCards")</f>
        <v>GeneCards</v>
      </c>
      <c r="D2037" s="1" t="str">
        <f>HYPERLINK("http://genome-euro.ucsc.edu/cgi-bin/hgTracks?position=207298_at","UCSC")</f>
        <v>UCSC</v>
      </c>
      <c r="E2037" s="1" t="str">
        <f>HYPERLINK("http://www.ncbi.nlm.nih.gov/gene/?term=SLC17A3","NCBI")</f>
        <v>NCBI</v>
      </c>
      <c r="F2037">
        <v>7.4999999999999997E-3</v>
      </c>
      <c r="G2037">
        <v>6.3E-2</v>
      </c>
      <c r="H2037" s="1" t="str">
        <f>HYPERLINK("http://www.weizmann.ac.il/complex/compphys/software/geview/data/figures/207298_at.png","Figure")</f>
        <v>Figure</v>
      </c>
      <c r="I2037">
        <v>1.18</v>
      </c>
      <c r="J2037">
        <v>7.6E-3</v>
      </c>
      <c r="K2037">
        <v>1.1200000000000001</v>
      </c>
      <c r="L2037">
        <v>3.6999999999999998E-2</v>
      </c>
      <c r="M2037">
        <v>0.94599999999999995</v>
      </c>
      <c r="N2037">
        <v>0.42</v>
      </c>
    </row>
    <row r="2038" spans="1:14" x14ac:dyDescent="0.25">
      <c r="A2038" t="s">
        <v>3786</v>
      </c>
      <c r="B2038" t="s">
        <v>3787</v>
      </c>
      <c r="C2038" s="1" t="str">
        <f>HYPERLINK("http://www.genecards.org/cgi-bin/carddisp.pl?gene=PRDX3","GeneCards")</f>
        <v>GeneCards</v>
      </c>
      <c r="D2038" s="1" t="str">
        <f>HYPERLINK("http://genome-euro.ucsc.edu/cgi-bin/hgTracks?position=201619_at","UCSC")</f>
        <v>UCSC</v>
      </c>
      <c r="E2038" s="1" t="str">
        <f>HYPERLINK("http://www.ncbi.nlm.nih.gov/gene/?term=PRDX3","NCBI")</f>
        <v>NCBI</v>
      </c>
      <c r="F2038">
        <v>7.6E-3</v>
      </c>
      <c r="G2038">
        <v>6.3E-2</v>
      </c>
      <c r="H2038" s="1" t="str">
        <f>HYPERLINK("http://www.weizmann.ac.il/complex/compphys/software/geview/data/figures/201619_at.png","Figure")</f>
        <v>Figure</v>
      </c>
      <c r="I2038">
        <v>0.75900000000000001</v>
      </c>
      <c r="J2038">
        <v>0.37</v>
      </c>
      <c r="K2038">
        <v>1.5</v>
      </c>
      <c r="L2038">
        <v>8.4000000000000005E-2</v>
      </c>
      <c r="M2038">
        <v>1.98</v>
      </c>
      <c r="N2038">
        <v>7.1999999999999998E-3</v>
      </c>
    </row>
    <row r="2039" spans="1:14" x14ac:dyDescent="0.25">
      <c r="A2039" t="s">
        <v>3788</v>
      </c>
      <c r="B2039" t="s">
        <v>3789</v>
      </c>
      <c r="C2039" s="1" t="str">
        <f>HYPERLINK("http://www.genecards.org/cgi-bin/carddisp.pl?gene=PTPRF","GeneCards")</f>
        <v>GeneCards</v>
      </c>
      <c r="D2039" s="1" t="str">
        <f>HYPERLINK("http://genome-euro.ucsc.edu/cgi-bin/hgTracks?position=200636_s_at","UCSC")</f>
        <v>UCSC</v>
      </c>
      <c r="E2039" s="1" t="str">
        <f>HYPERLINK("http://www.ncbi.nlm.nih.gov/gene/?term=PTPRF","NCBI")</f>
        <v>NCBI</v>
      </c>
      <c r="F2039">
        <v>7.6E-3</v>
      </c>
      <c r="G2039">
        <v>6.3E-2</v>
      </c>
      <c r="H2039" s="1" t="str">
        <f>HYPERLINK("http://www.weizmann.ac.il/complex/compphys/software/geview/data/figures/200636_s_at.png","Figure")</f>
        <v>Figure</v>
      </c>
      <c r="I2039">
        <v>1.19</v>
      </c>
      <c r="J2039">
        <v>0.43</v>
      </c>
      <c r="K2039">
        <v>0.753</v>
      </c>
      <c r="L2039">
        <v>7.0999999999999994E-2</v>
      </c>
      <c r="M2039">
        <v>0.63500000000000001</v>
      </c>
      <c r="N2039">
        <v>7.7000000000000002E-3</v>
      </c>
    </row>
    <row r="2040" spans="1:14" x14ac:dyDescent="0.25">
      <c r="A2040" t="s">
        <v>3790</v>
      </c>
      <c r="B2040" t="s">
        <v>3791</v>
      </c>
      <c r="C2040" s="1" t="str">
        <f>HYPERLINK("http://www.genecards.org/cgi-bin/carddisp.pl?gene=ENDOD1","GeneCards")</f>
        <v>GeneCards</v>
      </c>
      <c r="D2040" s="1" t="str">
        <f>HYPERLINK("http://genome-euro.ucsc.edu/cgi-bin/hgTracks?position=212573_at","UCSC")</f>
        <v>UCSC</v>
      </c>
      <c r="E2040" s="1" t="str">
        <f>HYPERLINK("http://www.ncbi.nlm.nih.gov/gene/?term=ENDOD1","NCBI")</f>
        <v>NCBI</v>
      </c>
      <c r="F2040">
        <v>7.6E-3</v>
      </c>
      <c r="G2040">
        <v>6.3E-2</v>
      </c>
      <c r="H2040" s="1" t="str">
        <f>HYPERLINK("http://www.weizmann.ac.il/complex/compphys/software/geview/data/figures/212573_at.png","Figure")</f>
        <v>Figure</v>
      </c>
      <c r="I2040">
        <v>1.87</v>
      </c>
      <c r="J2040">
        <v>5.3999999999999999E-2</v>
      </c>
      <c r="K2040">
        <v>2.19</v>
      </c>
      <c r="L2040">
        <v>6.7000000000000002E-3</v>
      </c>
      <c r="M2040">
        <v>1.17</v>
      </c>
      <c r="N2040">
        <v>0.77</v>
      </c>
    </row>
    <row r="2041" spans="1:14" x14ac:dyDescent="0.25">
      <c r="A2041" t="s">
        <v>3792</v>
      </c>
      <c r="B2041" t="s">
        <v>3793</v>
      </c>
      <c r="C2041" s="1" t="str">
        <f>HYPERLINK("http://www.genecards.org/cgi-bin/carddisp.pl?gene=ZNF34","GeneCards")</f>
        <v>GeneCards</v>
      </c>
      <c r="D2041" s="1" t="str">
        <f>HYPERLINK("http://genome-euro.ucsc.edu/cgi-bin/hgTracks?position=219801_at","UCSC")</f>
        <v>UCSC</v>
      </c>
      <c r="E2041" s="1" t="str">
        <f>HYPERLINK("http://www.ncbi.nlm.nih.gov/gene/?term=ZNF34","NCBI")</f>
        <v>NCBI</v>
      </c>
      <c r="F2041">
        <v>7.6E-3</v>
      </c>
      <c r="G2041">
        <v>6.3E-2</v>
      </c>
      <c r="H2041" s="1" t="str">
        <f>HYPERLINK("http://www.weizmann.ac.il/complex/compphys/software/geview/data/figures/219801_at.png","Figure")</f>
        <v>Figure</v>
      </c>
      <c r="I2041">
        <v>0.80500000000000005</v>
      </c>
      <c r="J2041">
        <v>2.3E-2</v>
      </c>
      <c r="K2041">
        <v>1.03</v>
      </c>
      <c r="L2041">
        <v>0.91</v>
      </c>
      <c r="M2041">
        <v>1.27</v>
      </c>
      <c r="N2041">
        <v>7.6E-3</v>
      </c>
    </row>
    <row r="2042" spans="1:14" x14ac:dyDescent="0.25">
      <c r="A2042" t="s">
        <v>3794</v>
      </c>
      <c r="B2042" t="s">
        <v>2646</v>
      </c>
      <c r="C2042" s="1" t="str">
        <f>HYPERLINK("http://www.genecards.org/cgi-bin/carddisp.pl?gene=TCF3","GeneCards")</f>
        <v>GeneCards</v>
      </c>
      <c r="D2042" s="1" t="str">
        <f>HYPERLINK("http://genome-euro.ucsc.edu/cgi-bin/hgTracks?position=213732_at","UCSC")</f>
        <v>UCSC</v>
      </c>
      <c r="E2042" s="1" t="str">
        <f>HYPERLINK("http://www.ncbi.nlm.nih.gov/gene/?term=TCF3","NCBI")</f>
        <v>NCBI</v>
      </c>
      <c r="F2042">
        <v>7.6E-3</v>
      </c>
      <c r="G2042">
        <v>6.3E-2</v>
      </c>
      <c r="H2042" s="1" t="str">
        <f>HYPERLINK("http://www.weizmann.ac.il/complex/compphys/software/geview/data/figures/213732_at.png","Figure")</f>
        <v>Figure</v>
      </c>
      <c r="I2042">
        <v>1.04</v>
      </c>
      <c r="J2042">
        <v>1.2999999999999999E-2</v>
      </c>
      <c r="K2042">
        <v>1.03</v>
      </c>
      <c r="L2042">
        <v>1.6E-2</v>
      </c>
      <c r="M2042">
        <v>0.99399999999999999</v>
      </c>
      <c r="N2042">
        <v>0.84</v>
      </c>
    </row>
    <row r="2043" spans="1:14" x14ac:dyDescent="0.25">
      <c r="A2043" t="s">
        <v>3795</v>
      </c>
      <c r="B2043" t="s">
        <v>3796</v>
      </c>
      <c r="C2043" s="1" t="str">
        <f>HYPERLINK("http://www.genecards.org/cgi-bin/carddisp.pl?gene=TTC1","GeneCards")</f>
        <v>GeneCards</v>
      </c>
      <c r="D2043" s="1" t="str">
        <f>HYPERLINK("http://genome-euro.ucsc.edu/cgi-bin/hgTracks?position=201434_at","UCSC")</f>
        <v>UCSC</v>
      </c>
      <c r="E2043" s="1" t="str">
        <f>HYPERLINK("http://www.ncbi.nlm.nih.gov/gene/?term=TTC1","NCBI")</f>
        <v>NCBI</v>
      </c>
      <c r="F2043">
        <v>7.6E-3</v>
      </c>
      <c r="G2043">
        <v>6.3E-2</v>
      </c>
      <c r="H2043" s="1" t="str">
        <f>HYPERLINK("http://www.weizmann.ac.il/complex/compphys/software/geview/data/figures/201434_at.png","Figure")</f>
        <v>Figure</v>
      </c>
      <c r="I2043">
        <v>1.17</v>
      </c>
      <c r="J2043">
        <v>0.46</v>
      </c>
      <c r="K2043">
        <v>1.51</v>
      </c>
      <c r="L2043">
        <v>6.6E-3</v>
      </c>
      <c r="M2043">
        <v>1.29</v>
      </c>
      <c r="N2043">
        <v>0.11</v>
      </c>
    </row>
    <row r="2044" spans="1:14" x14ac:dyDescent="0.25">
      <c r="A2044" t="s">
        <v>3797</v>
      </c>
      <c r="B2044" t="s">
        <v>3798</v>
      </c>
      <c r="C2044" s="1" t="str">
        <f>HYPERLINK("http://www.genecards.org/cgi-bin/carddisp.pl?gene=PTK2","GeneCards")</f>
        <v>GeneCards</v>
      </c>
      <c r="D2044" s="1" t="str">
        <f>HYPERLINK("http://genome-euro.ucsc.edu/cgi-bin/hgTracks?position=208820_at","UCSC")</f>
        <v>UCSC</v>
      </c>
      <c r="E2044" s="1" t="str">
        <f>HYPERLINK("http://www.ncbi.nlm.nih.gov/gene/?term=PTK2","NCBI")</f>
        <v>NCBI</v>
      </c>
      <c r="F2044">
        <v>7.6E-3</v>
      </c>
      <c r="G2044">
        <v>6.3E-2</v>
      </c>
      <c r="H2044" s="1" t="str">
        <f>HYPERLINK("http://www.weizmann.ac.il/complex/compphys/software/geview/data/figures/208820_at.png","Figure")</f>
        <v>Figure</v>
      </c>
      <c r="I2044">
        <v>0.47799999999999998</v>
      </c>
      <c r="J2044">
        <v>5.5E-2</v>
      </c>
      <c r="K2044">
        <v>0.39400000000000002</v>
      </c>
      <c r="L2044">
        <v>6.6E-3</v>
      </c>
      <c r="M2044">
        <v>0.82499999999999996</v>
      </c>
      <c r="N2044">
        <v>0.76</v>
      </c>
    </row>
    <row r="2045" spans="1:14" x14ac:dyDescent="0.25">
      <c r="A2045" t="s">
        <v>3799</v>
      </c>
      <c r="B2045" t="s">
        <v>3070</v>
      </c>
      <c r="C2045" s="1" t="str">
        <f>HYPERLINK("http://www.genecards.org/cgi-bin/carddisp.pl?gene=GNAS","GeneCards")</f>
        <v>GeneCards</v>
      </c>
      <c r="D2045" s="1" t="str">
        <f>HYPERLINK("http://genome-euro.ucsc.edu/cgi-bin/hgTracks?position=214157_at","UCSC")</f>
        <v>UCSC</v>
      </c>
      <c r="E2045" s="1" t="str">
        <f>HYPERLINK("http://www.ncbi.nlm.nih.gov/gene/?term=GNAS","NCBI")</f>
        <v>NCBI</v>
      </c>
      <c r="F2045">
        <v>7.6E-3</v>
      </c>
      <c r="G2045">
        <v>6.3E-2</v>
      </c>
      <c r="H2045" s="1" t="str">
        <f>HYPERLINK("http://www.weizmann.ac.il/complex/compphys/software/geview/data/figures/214157_at.png","Figure")</f>
        <v>Figure</v>
      </c>
      <c r="I2045">
        <v>0.94499999999999995</v>
      </c>
      <c r="J2045">
        <v>0.99</v>
      </c>
      <c r="K2045">
        <v>0.27700000000000002</v>
      </c>
      <c r="L2045">
        <v>1.4E-2</v>
      </c>
      <c r="M2045">
        <v>0.29299999999999998</v>
      </c>
      <c r="N2045">
        <v>2.5999999999999999E-2</v>
      </c>
    </row>
    <row r="2046" spans="1:14" x14ac:dyDescent="0.25">
      <c r="A2046" t="s">
        <v>3800</v>
      </c>
      <c r="B2046" t="s">
        <v>3801</v>
      </c>
      <c r="C2046" s="1" t="str">
        <f>HYPERLINK("http://www.genecards.org/cgi-bin/carddisp.pl?gene=LOC100129250","GeneCards")</f>
        <v>GeneCards</v>
      </c>
      <c r="D2046" s="1" t="str">
        <f>HYPERLINK("http://genome-euro.ucsc.edu/cgi-bin/hgTracks?position=221979_at","UCSC")</f>
        <v>UCSC</v>
      </c>
      <c r="E2046" s="1" t="str">
        <f>HYPERLINK("http://www.ncbi.nlm.nih.gov/gene/?term=LOC100129250","NCBI")</f>
        <v>NCBI</v>
      </c>
      <c r="F2046">
        <v>7.6E-3</v>
      </c>
      <c r="G2046">
        <v>6.3E-2</v>
      </c>
      <c r="H2046" s="1" t="str">
        <f>HYPERLINK("http://www.weizmann.ac.il/complex/compphys/software/geview/data/figures/221979_at.png","Figure")</f>
        <v>Figure</v>
      </c>
      <c r="I2046">
        <v>0.73699999999999999</v>
      </c>
      <c r="J2046">
        <v>1.4999999999999999E-2</v>
      </c>
      <c r="K2046">
        <v>0.996</v>
      </c>
      <c r="L2046">
        <v>1</v>
      </c>
      <c r="M2046">
        <v>1.35</v>
      </c>
      <c r="N2046">
        <v>0.01</v>
      </c>
    </row>
    <row r="2047" spans="1:14" x14ac:dyDescent="0.25">
      <c r="A2047" t="s">
        <v>3802</v>
      </c>
      <c r="B2047" t="s">
        <v>494</v>
      </c>
      <c r="C2047" s="1" t="str">
        <f>HYPERLINK("http://www.genecards.org/cgi-bin/carddisp.pl?gene=HBXIP","GeneCards")</f>
        <v>GeneCards</v>
      </c>
      <c r="D2047" s="1" t="str">
        <f>HYPERLINK("http://genome-euro.ucsc.edu/cgi-bin/hgTracks?position=202300_at","UCSC")</f>
        <v>UCSC</v>
      </c>
      <c r="E2047" s="1" t="str">
        <f>HYPERLINK("http://www.ncbi.nlm.nih.gov/gene/?term=HBXIP","NCBI")</f>
        <v>NCBI</v>
      </c>
      <c r="F2047">
        <v>7.6E-3</v>
      </c>
      <c r="G2047">
        <v>6.3E-2</v>
      </c>
      <c r="H2047" s="1" t="str">
        <f>HYPERLINK("http://www.weizmann.ac.il/complex/compphys/software/geview/data/figures/202300_at.png","Figure")</f>
        <v>Figure</v>
      </c>
      <c r="I2047">
        <v>1.1499999999999999</v>
      </c>
      <c r="J2047">
        <v>0.39</v>
      </c>
      <c r="K2047">
        <v>0.80900000000000005</v>
      </c>
      <c r="L2047">
        <v>0.08</v>
      </c>
      <c r="M2047">
        <v>0.70499999999999996</v>
      </c>
      <c r="N2047">
        <v>7.4000000000000003E-3</v>
      </c>
    </row>
    <row r="2048" spans="1:14" x14ac:dyDescent="0.25">
      <c r="A2048" t="s">
        <v>3803</v>
      </c>
      <c r="B2048" t="s">
        <v>3804</v>
      </c>
      <c r="C2048" s="1" t="str">
        <f>HYPERLINK("http://www.genecards.org/cgi-bin/carddisp.pl?gene=HK3","GeneCards")</f>
        <v>GeneCards</v>
      </c>
      <c r="D2048" s="1" t="str">
        <f>HYPERLINK("http://genome-euro.ucsc.edu/cgi-bin/hgTracks?position=205936_s_at","UCSC")</f>
        <v>UCSC</v>
      </c>
      <c r="E2048" s="1" t="str">
        <f>HYPERLINK("http://www.ncbi.nlm.nih.gov/gene/?term=HK3","NCBI")</f>
        <v>NCBI</v>
      </c>
      <c r="F2048">
        <v>7.6E-3</v>
      </c>
      <c r="G2048">
        <v>6.3E-2</v>
      </c>
      <c r="H2048" s="1" t="str">
        <f>HYPERLINK("http://www.weizmann.ac.il/complex/compphys/software/geview/data/figures/205936_s_at.png","Figure")</f>
        <v>Figure</v>
      </c>
      <c r="I2048">
        <v>1.34</v>
      </c>
      <c r="J2048">
        <v>8.6999999999999994E-3</v>
      </c>
      <c r="K2048">
        <v>1.05</v>
      </c>
      <c r="L2048">
        <v>0.77</v>
      </c>
      <c r="M2048">
        <v>0.78700000000000003</v>
      </c>
      <c r="N2048">
        <v>1.9E-2</v>
      </c>
    </row>
    <row r="2049" spans="1:14" x14ac:dyDescent="0.25">
      <c r="A2049" t="s">
        <v>3805</v>
      </c>
      <c r="B2049" t="s">
        <v>3806</v>
      </c>
      <c r="C2049" s="1" t="str">
        <f>HYPERLINK("http://www.genecards.org/cgi-bin/carddisp.pl?gene=HIST1H4C","GeneCards")</f>
        <v>GeneCards</v>
      </c>
      <c r="D2049" s="1" t="str">
        <f>HYPERLINK("http://genome-euro.ucsc.edu/cgi-bin/hgTracks?position=205967_at","UCSC")</f>
        <v>UCSC</v>
      </c>
      <c r="E2049" s="1" t="str">
        <f>HYPERLINK("http://www.ncbi.nlm.nih.gov/gene/?term=HIST1H4C","NCBI")</f>
        <v>NCBI</v>
      </c>
      <c r="F2049">
        <v>7.6E-3</v>
      </c>
      <c r="G2049">
        <v>6.3E-2</v>
      </c>
      <c r="H2049" s="1" t="str">
        <f>HYPERLINK("http://www.weizmann.ac.il/complex/compphys/software/geview/data/figures/205967_at.png","Figure")</f>
        <v>Figure</v>
      </c>
      <c r="I2049">
        <v>1.76</v>
      </c>
      <c r="J2049">
        <v>1.0999999999999999E-2</v>
      </c>
      <c r="K2049">
        <v>1.56</v>
      </c>
      <c r="L2049">
        <v>0.02</v>
      </c>
      <c r="M2049">
        <v>0.88800000000000001</v>
      </c>
      <c r="N2049">
        <v>0.72</v>
      </c>
    </row>
    <row r="2050" spans="1:14" x14ac:dyDescent="0.25">
      <c r="A2050" t="s">
        <v>3807</v>
      </c>
      <c r="B2050" t="s">
        <v>3808</v>
      </c>
      <c r="C2050" s="1" t="str">
        <f>HYPERLINK("http://www.genecards.org/cgi-bin/carddisp.pl?gene=FAM153A","GeneCards")</f>
        <v>GeneCards</v>
      </c>
      <c r="D2050" s="1" t="str">
        <f>HYPERLINK("http://genome-euro.ucsc.edu/cgi-bin/hgTracks?position=211166_at","UCSC")</f>
        <v>UCSC</v>
      </c>
      <c r="E2050" s="1" t="str">
        <f>HYPERLINK("http://www.ncbi.nlm.nih.gov/gene/?term=FAM153A","NCBI")</f>
        <v>NCBI</v>
      </c>
      <c r="F2050">
        <v>7.7000000000000002E-3</v>
      </c>
      <c r="G2050">
        <v>6.3E-2</v>
      </c>
      <c r="H2050" s="1" t="str">
        <f>HYPERLINK("http://www.weizmann.ac.il/complex/compphys/software/geview/data/figures/211166_at.png","Figure")</f>
        <v>Figure</v>
      </c>
      <c r="I2050">
        <v>1.54</v>
      </c>
      <c r="J2050">
        <v>6.0000000000000001E-3</v>
      </c>
      <c r="K2050">
        <v>1.17</v>
      </c>
      <c r="L2050">
        <v>0.3</v>
      </c>
      <c r="M2050">
        <v>0.75900000000000001</v>
      </c>
      <c r="N2050">
        <v>5.5E-2</v>
      </c>
    </row>
    <row r="2051" spans="1:14" x14ac:dyDescent="0.25">
      <c r="A2051" t="s">
        <v>3809</v>
      </c>
      <c r="B2051" t="s">
        <v>1139</v>
      </c>
      <c r="C2051" s="1" t="str">
        <f>HYPERLINK("http://www.genecards.org/cgi-bin/carddisp.pl?gene=TBL1X","GeneCards")</f>
        <v>GeneCards</v>
      </c>
      <c r="D2051" s="1" t="str">
        <f>HYPERLINK("http://genome-euro.ucsc.edu/cgi-bin/hgTracks?position=201867_s_at","UCSC")</f>
        <v>UCSC</v>
      </c>
      <c r="E2051" s="1" t="str">
        <f>HYPERLINK("http://www.ncbi.nlm.nih.gov/gene/?term=TBL1X","NCBI")</f>
        <v>NCBI</v>
      </c>
      <c r="F2051">
        <v>7.7000000000000002E-3</v>
      </c>
      <c r="G2051">
        <v>6.4000000000000001E-2</v>
      </c>
      <c r="H2051" s="1" t="str">
        <f>HYPERLINK("http://www.weizmann.ac.il/complex/compphys/software/geview/data/figures/201867_s_at.png","Figure")</f>
        <v>Figure</v>
      </c>
      <c r="I2051">
        <v>0.48599999999999999</v>
      </c>
      <c r="J2051">
        <v>2.8000000000000001E-2</v>
      </c>
      <c r="K2051">
        <v>0.46700000000000003</v>
      </c>
      <c r="L2051">
        <v>8.8999999999999999E-3</v>
      </c>
      <c r="M2051">
        <v>0.96099999999999997</v>
      </c>
      <c r="N2051">
        <v>0.98</v>
      </c>
    </row>
    <row r="2052" spans="1:14" x14ac:dyDescent="0.25">
      <c r="A2052" t="s">
        <v>3810</v>
      </c>
      <c r="B2052" t="s">
        <v>3811</v>
      </c>
      <c r="C2052" s="1" t="str">
        <f>HYPERLINK("http://www.genecards.org/cgi-bin/carddisp.pl?gene=P2RY13","GeneCards")</f>
        <v>GeneCards</v>
      </c>
      <c r="D2052" s="1" t="str">
        <f>HYPERLINK("http://genome-euro.ucsc.edu/cgi-bin/hgTracks?position=220005_at","UCSC")</f>
        <v>UCSC</v>
      </c>
      <c r="E2052" s="1" t="str">
        <f>HYPERLINK("http://www.ncbi.nlm.nih.gov/gene/?term=P2RY13","NCBI")</f>
        <v>NCBI</v>
      </c>
      <c r="F2052">
        <v>7.7000000000000002E-3</v>
      </c>
      <c r="G2052">
        <v>6.4000000000000001E-2</v>
      </c>
      <c r="H2052" s="1" t="str">
        <f>HYPERLINK("http://www.weizmann.ac.il/complex/compphys/software/geview/data/figures/220005_at.png","Figure")</f>
        <v>Figure</v>
      </c>
      <c r="I2052">
        <v>0.95599999999999996</v>
      </c>
      <c r="J2052">
        <v>0.53</v>
      </c>
      <c r="K2052">
        <v>0.877</v>
      </c>
      <c r="L2052">
        <v>7.0000000000000001E-3</v>
      </c>
      <c r="M2052">
        <v>0.91700000000000004</v>
      </c>
      <c r="N2052">
        <v>9.6000000000000002E-2</v>
      </c>
    </row>
    <row r="2053" spans="1:14" x14ac:dyDescent="0.25">
      <c r="A2053" t="s">
        <v>3812</v>
      </c>
      <c r="B2053" t="s">
        <v>3813</v>
      </c>
      <c r="C2053" s="1" t="str">
        <f>HYPERLINK("http://www.genecards.org/cgi-bin/carddisp.pl?gene=IFRD2","GeneCards")</f>
        <v>GeneCards</v>
      </c>
      <c r="D2053" s="1" t="str">
        <f>HYPERLINK("http://genome-euro.ucsc.edu/cgi-bin/hgTracks?position=209100_at","UCSC")</f>
        <v>UCSC</v>
      </c>
      <c r="E2053" s="1" t="str">
        <f>HYPERLINK("http://www.ncbi.nlm.nih.gov/gene/?term=IFRD2","NCBI")</f>
        <v>NCBI</v>
      </c>
      <c r="F2053">
        <v>7.7000000000000002E-3</v>
      </c>
      <c r="G2053">
        <v>6.4000000000000001E-2</v>
      </c>
      <c r="H2053" s="1" t="str">
        <f>HYPERLINK("http://www.weizmann.ac.il/complex/compphys/software/geview/data/figures/209100_at.png","Figure")</f>
        <v>Figure</v>
      </c>
      <c r="I2053">
        <v>1.1399999999999999</v>
      </c>
      <c r="J2053">
        <v>0.11</v>
      </c>
      <c r="K2053">
        <v>1.22</v>
      </c>
      <c r="L2053">
        <v>5.8999999999999999E-3</v>
      </c>
      <c r="M2053">
        <v>1.07</v>
      </c>
      <c r="N2053">
        <v>0.46</v>
      </c>
    </row>
    <row r="2054" spans="1:14" x14ac:dyDescent="0.25">
      <c r="A2054" t="s">
        <v>3814</v>
      </c>
      <c r="B2054" t="s">
        <v>3815</v>
      </c>
      <c r="C2054" s="1" t="str">
        <f>HYPERLINK("http://www.genecards.org/cgi-bin/carddisp.pl?gene=SLC38A3","GeneCards")</f>
        <v>GeneCards</v>
      </c>
      <c r="D2054" s="1" t="str">
        <f>HYPERLINK("http://genome-euro.ucsc.edu/cgi-bin/hgTracks?position=205972_at","UCSC")</f>
        <v>UCSC</v>
      </c>
      <c r="E2054" s="1" t="str">
        <f>HYPERLINK("http://www.ncbi.nlm.nih.gov/gene/?term=SLC38A3","NCBI")</f>
        <v>NCBI</v>
      </c>
      <c r="F2054">
        <v>7.7000000000000002E-3</v>
      </c>
      <c r="G2054">
        <v>6.4000000000000001E-2</v>
      </c>
      <c r="H2054" s="1" t="str">
        <f>HYPERLINK("http://www.weizmann.ac.il/complex/compphys/software/geview/data/figures/205972_at.png","Figure")</f>
        <v>Figure</v>
      </c>
      <c r="I2054">
        <v>1.3</v>
      </c>
      <c r="J2054">
        <v>9.7999999999999997E-3</v>
      </c>
      <c r="K2054">
        <v>1.22</v>
      </c>
      <c r="L2054">
        <v>2.4E-2</v>
      </c>
      <c r="M2054">
        <v>0.93700000000000006</v>
      </c>
      <c r="N2054">
        <v>0.63</v>
      </c>
    </row>
    <row r="2055" spans="1:14" x14ac:dyDescent="0.25">
      <c r="A2055" t="s">
        <v>3816</v>
      </c>
      <c r="B2055" t="s">
        <v>3817</v>
      </c>
      <c r="C2055" s="1" t="str">
        <f>HYPERLINK("http://www.genecards.org/cgi-bin/carddisp.pl?gene=ATP5O","GeneCards")</f>
        <v>GeneCards</v>
      </c>
      <c r="D2055" s="1" t="str">
        <f>HYPERLINK("http://genome-euro.ucsc.edu/cgi-bin/hgTracks?position=200818_at","UCSC")</f>
        <v>UCSC</v>
      </c>
      <c r="E2055" s="1" t="str">
        <f>HYPERLINK("http://www.ncbi.nlm.nih.gov/gene/?term=ATP5O","NCBI")</f>
        <v>NCBI</v>
      </c>
      <c r="F2055">
        <v>7.7000000000000002E-3</v>
      </c>
      <c r="G2055">
        <v>6.4000000000000001E-2</v>
      </c>
      <c r="H2055" s="1" t="str">
        <f>HYPERLINK("http://www.weizmann.ac.il/complex/compphys/software/geview/data/figures/200818_at.png","Figure")</f>
        <v>Figure</v>
      </c>
      <c r="I2055">
        <v>0.77200000000000002</v>
      </c>
      <c r="J2055">
        <v>0.44</v>
      </c>
      <c r="K2055">
        <v>1.55</v>
      </c>
      <c r="L2055">
        <v>7.0999999999999994E-2</v>
      </c>
      <c r="M2055">
        <v>2.0099999999999998</v>
      </c>
      <c r="N2055">
        <v>7.9000000000000008E-3</v>
      </c>
    </row>
    <row r="2056" spans="1:14" x14ac:dyDescent="0.25">
      <c r="A2056" t="s">
        <v>3818</v>
      </c>
      <c r="B2056" t="s">
        <v>3819</v>
      </c>
      <c r="C2056" s="1" t="str">
        <f>HYPERLINK("http://www.genecards.org/cgi-bin/carddisp.pl?gene=ARPP19","GeneCards")</f>
        <v>GeneCards</v>
      </c>
      <c r="D2056" s="1" t="str">
        <f>HYPERLINK("http://genome-euro.ucsc.edu/cgi-bin/hgTracks?position=221482_s_at","UCSC")</f>
        <v>UCSC</v>
      </c>
      <c r="E2056" s="1" t="str">
        <f>HYPERLINK("http://www.ncbi.nlm.nih.gov/gene/?term=ARPP19","NCBI")</f>
        <v>NCBI</v>
      </c>
      <c r="F2056">
        <v>7.7000000000000002E-3</v>
      </c>
      <c r="G2056">
        <v>6.4000000000000001E-2</v>
      </c>
      <c r="H2056" s="1" t="str">
        <f>HYPERLINK("http://www.weizmann.ac.il/complex/compphys/software/geview/data/figures/221482_s_at.png","Figure")</f>
        <v>Figure</v>
      </c>
      <c r="I2056">
        <v>0.82399999999999995</v>
      </c>
      <c r="J2056">
        <v>0.79</v>
      </c>
      <c r="K2056">
        <v>0.4</v>
      </c>
      <c r="L2056">
        <v>9.1000000000000004E-3</v>
      </c>
      <c r="M2056">
        <v>0.48599999999999999</v>
      </c>
      <c r="N2056">
        <v>5.1999999999999998E-2</v>
      </c>
    </row>
    <row r="2057" spans="1:14" x14ac:dyDescent="0.25">
      <c r="A2057" t="s">
        <v>3820</v>
      </c>
      <c r="B2057" t="s">
        <v>3821</v>
      </c>
      <c r="C2057" s="1" t="str">
        <f>HYPERLINK("http://www.genecards.org/cgi-bin/carddisp.pl?gene=FMR1","GeneCards")</f>
        <v>GeneCards</v>
      </c>
      <c r="D2057" s="1" t="str">
        <f>HYPERLINK("http://genome-euro.ucsc.edu/cgi-bin/hgTracks?position=215245_x_at","UCSC")</f>
        <v>UCSC</v>
      </c>
      <c r="E2057" s="1" t="str">
        <f>HYPERLINK("http://www.ncbi.nlm.nih.gov/gene/?term=FMR1","NCBI")</f>
        <v>NCBI</v>
      </c>
      <c r="F2057">
        <v>7.7000000000000002E-3</v>
      </c>
      <c r="G2057">
        <v>6.4000000000000001E-2</v>
      </c>
      <c r="H2057" s="1" t="str">
        <f>HYPERLINK("http://www.weizmann.ac.il/complex/compphys/software/geview/data/figures/215245_x_at.png","Figure")</f>
        <v>Figure</v>
      </c>
      <c r="I2057">
        <v>0.253</v>
      </c>
      <c r="J2057">
        <v>7.4999999999999997E-3</v>
      </c>
      <c r="K2057">
        <v>0.40699999999999997</v>
      </c>
      <c r="L2057">
        <v>4.1000000000000002E-2</v>
      </c>
      <c r="M2057">
        <v>1.61</v>
      </c>
      <c r="N2057">
        <v>0.39</v>
      </c>
    </row>
    <row r="2058" spans="1:14" x14ac:dyDescent="0.25">
      <c r="A2058" t="s">
        <v>3822</v>
      </c>
      <c r="B2058" t="s">
        <v>3823</v>
      </c>
      <c r="C2058" s="1" t="str">
        <f>HYPERLINK("http://www.genecards.org/cgi-bin/carddisp.pl?gene=WWOX","GeneCards")</f>
        <v>GeneCards</v>
      </c>
      <c r="D2058" s="1" t="str">
        <f>HYPERLINK("http://genome-euro.ucsc.edu/cgi-bin/hgTracks?position=219077_s_at","UCSC")</f>
        <v>UCSC</v>
      </c>
      <c r="E2058" s="1" t="str">
        <f>HYPERLINK("http://www.ncbi.nlm.nih.gov/gene/?term=WWOX","NCBI")</f>
        <v>NCBI</v>
      </c>
      <c r="F2058">
        <v>7.7000000000000002E-3</v>
      </c>
      <c r="G2058">
        <v>6.4000000000000001E-2</v>
      </c>
      <c r="H2058" s="1" t="str">
        <f>HYPERLINK("http://www.weizmann.ac.il/complex/compphys/software/geview/data/figures/219077_s_at.png","Figure")</f>
        <v>Figure</v>
      </c>
      <c r="I2058">
        <v>0.84</v>
      </c>
      <c r="J2058">
        <v>0.37</v>
      </c>
      <c r="K2058">
        <v>1.29</v>
      </c>
      <c r="L2058">
        <v>8.5999999999999993E-2</v>
      </c>
      <c r="M2058">
        <v>1.54</v>
      </c>
      <c r="N2058">
        <v>7.3000000000000001E-3</v>
      </c>
    </row>
    <row r="2059" spans="1:14" x14ac:dyDescent="0.25">
      <c r="A2059" t="s">
        <v>3824</v>
      </c>
      <c r="B2059" t="s">
        <v>3825</v>
      </c>
      <c r="C2059" s="1" t="str">
        <f>HYPERLINK("http://www.genecards.org/cgi-bin/carddisp.pl?gene=RPLP2","GeneCards")</f>
        <v>GeneCards</v>
      </c>
      <c r="D2059" s="1" t="str">
        <f>HYPERLINK("http://genome-euro.ucsc.edu/cgi-bin/hgTracks?position=200908_s_at","UCSC")</f>
        <v>UCSC</v>
      </c>
      <c r="E2059" s="1" t="str">
        <f>HYPERLINK("http://www.ncbi.nlm.nih.gov/gene/?term=RPLP2","NCBI")</f>
        <v>NCBI</v>
      </c>
      <c r="F2059">
        <v>7.7000000000000002E-3</v>
      </c>
      <c r="G2059">
        <v>6.4000000000000001E-2</v>
      </c>
      <c r="H2059" s="1" t="str">
        <f>HYPERLINK("http://www.weizmann.ac.il/complex/compphys/software/geview/data/figures/200908_s_at.png","Figure")</f>
        <v>Figure</v>
      </c>
      <c r="I2059">
        <v>1.83</v>
      </c>
      <c r="J2059">
        <v>1.0999999999999999E-2</v>
      </c>
      <c r="K2059">
        <v>1.62</v>
      </c>
      <c r="L2059">
        <v>1.9E-2</v>
      </c>
      <c r="M2059">
        <v>0.88700000000000001</v>
      </c>
      <c r="N2059">
        <v>0.75</v>
      </c>
    </row>
    <row r="2060" spans="1:14" x14ac:dyDescent="0.25">
      <c r="A2060" t="s">
        <v>3826</v>
      </c>
      <c r="B2060" t="s">
        <v>3827</v>
      </c>
      <c r="C2060" s="1" t="str">
        <f>HYPERLINK("http://www.genecards.org/cgi-bin/carddisp.pl?gene=LOC100293713","GeneCards")</f>
        <v>GeneCards</v>
      </c>
      <c r="D2060" s="1" t="str">
        <f>HYPERLINK("http://genome-euro.ucsc.edu/cgi-bin/hgTracks?position=216851_at","UCSC")</f>
        <v>UCSC</v>
      </c>
      <c r="E2060" s="1" t="str">
        <f>HYPERLINK("http://www.ncbi.nlm.nih.gov/gene/?term=LOC100293713","NCBI")</f>
        <v>NCBI</v>
      </c>
      <c r="F2060">
        <v>7.7000000000000002E-3</v>
      </c>
      <c r="G2060">
        <v>6.4000000000000001E-2</v>
      </c>
      <c r="H2060" s="1" t="str">
        <f>HYPERLINK("http://www.weizmann.ac.il/complex/compphys/software/geview/data/figures/216851_at.png","Figure")</f>
        <v>Figure</v>
      </c>
      <c r="I2060">
        <v>1.27</v>
      </c>
      <c r="J2060">
        <v>5.7999999999999996E-3</v>
      </c>
      <c r="K2060">
        <v>1.1000000000000001</v>
      </c>
      <c r="L2060">
        <v>0.21</v>
      </c>
      <c r="M2060">
        <v>0.86699999999999999</v>
      </c>
      <c r="N2060">
        <v>7.6999999999999999E-2</v>
      </c>
    </row>
    <row r="2061" spans="1:14" x14ac:dyDescent="0.25">
      <c r="A2061" t="s">
        <v>3828</v>
      </c>
      <c r="B2061" t="s">
        <v>3829</v>
      </c>
      <c r="C2061" s="1" t="str">
        <f>HYPERLINK("http://www.genecards.org/cgi-bin/carddisp.pl?gene=G3BP2","GeneCards")</f>
        <v>GeneCards</v>
      </c>
      <c r="D2061" s="1" t="str">
        <f>HYPERLINK("http://genome-euro.ucsc.edu/cgi-bin/hgTracks?position=206383_s_at","UCSC")</f>
        <v>UCSC</v>
      </c>
      <c r="E2061" s="1" t="str">
        <f>HYPERLINK("http://www.ncbi.nlm.nih.gov/gene/?term=G3BP2","NCBI")</f>
        <v>NCBI</v>
      </c>
      <c r="F2061">
        <v>7.7999999999999996E-3</v>
      </c>
      <c r="G2061">
        <v>6.4000000000000001E-2</v>
      </c>
      <c r="H2061" s="1" t="str">
        <f>HYPERLINK("http://www.weizmann.ac.il/complex/compphys/software/geview/data/figures/206383_s_at.png","Figure")</f>
        <v>Figure</v>
      </c>
      <c r="I2061">
        <v>0.60399999999999998</v>
      </c>
      <c r="J2061">
        <v>9.2999999999999999E-2</v>
      </c>
      <c r="K2061">
        <v>0.48399999999999999</v>
      </c>
      <c r="L2061">
        <v>6.1000000000000004E-3</v>
      </c>
      <c r="M2061">
        <v>0.80100000000000005</v>
      </c>
      <c r="N2061">
        <v>0.54</v>
      </c>
    </row>
    <row r="2062" spans="1:14" x14ac:dyDescent="0.25">
      <c r="A2062" t="s">
        <v>3830</v>
      </c>
      <c r="B2062" t="s">
        <v>3831</v>
      </c>
      <c r="C2062" s="1" t="str">
        <f>HYPERLINK("http://www.genecards.org/cgi-bin/carddisp.pl?gene=NDEL1","GeneCards")</f>
        <v>GeneCards</v>
      </c>
      <c r="D2062" s="1" t="str">
        <f>HYPERLINK("http://genome-euro.ucsc.edu/cgi-bin/hgTracks?position=208093_s_at","UCSC")</f>
        <v>UCSC</v>
      </c>
      <c r="E2062" s="1" t="str">
        <f>HYPERLINK("http://www.ncbi.nlm.nih.gov/gene/?term=NDEL1","NCBI")</f>
        <v>NCBI</v>
      </c>
      <c r="F2062">
        <v>7.7999999999999996E-3</v>
      </c>
      <c r="G2062">
        <v>6.4000000000000001E-2</v>
      </c>
      <c r="H2062" s="1" t="str">
        <f>HYPERLINK("http://www.weizmann.ac.il/complex/compphys/software/geview/data/figures/208093_s_at.png","Figure")</f>
        <v>Figure</v>
      </c>
      <c r="I2062">
        <v>0.82699999999999996</v>
      </c>
      <c r="J2062">
        <v>0.3</v>
      </c>
      <c r="K2062">
        <v>0.66700000000000004</v>
      </c>
      <c r="L2062">
        <v>6.1000000000000004E-3</v>
      </c>
      <c r="M2062">
        <v>0.80700000000000005</v>
      </c>
      <c r="N2062">
        <v>0.19</v>
      </c>
    </row>
    <row r="2063" spans="1:14" x14ac:dyDescent="0.25">
      <c r="A2063" t="s">
        <v>3832</v>
      </c>
      <c r="B2063" t="s">
        <v>3833</v>
      </c>
      <c r="C2063" s="1" t="str">
        <f>HYPERLINK("http://www.genecards.org/cgi-bin/carddisp.pl?gene=PPP4C","GeneCards")</f>
        <v>GeneCards</v>
      </c>
      <c r="D2063" s="1" t="str">
        <f>HYPERLINK("http://genome-euro.ucsc.edu/cgi-bin/hgTracks?position=208932_at","UCSC")</f>
        <v>UCSC</v>
      </c>
      <c r="E2063" s="1" t="str">
        <f>HYPERLINK("http://www.ncbi.nlm.nih.gov/gene/?term=PPP4C","NCBI")</f>
        <v>NCBI</v>
      </c>
      <c r="F2063">
        <v>7.7999999999999996E-3</v>
      </c>
      <c r="G2063">
        <v>6.4000000000000001E-2</v>
      </c>
      <c r="H2063" s="1" t="str">
        <f>HYPERLINK("http://www.weizmann.ac.il/complex/compphys/software/geview/data/figures/208932_at.png","Figure")</f>
        <v>Figure</v>
      </c>
      <c r="I2063">
        <v>1.21</v>
      </c>
      <c r="J2063">
        <v>3.1E-2</v>
      </c>
      <c r="K2063">
        <v>0.96399999999999997</v>
      </c>
      <c r="L2063">
        <v>0.8</v>
      </c>
      <c r="M2063">
        <v>0.79600000000000004</v>
      </c>
      <c r="N2063">
        <v>7.0000000000000001E-3</v>
      </c>
    </row>
    <row r="2064" spans="1:14" x14ac:dyDescent="0.25">
      <c r="A2064" t="s">
        <v>3834</v>
      </c>
      <c r="B2064" t="s">
        <v>2780</v>
      </c>
      <c r="C2064" s="1" t="str">
        <f>HYPERLINK("http://www.genecards.org/cgi-bin/carddisp.pl?gene=CXCR4","GeneCards")</f>
        <v>GeneCards</v>
      </c>
      <c r="D2064" s="1" t="str">
        <f>HYPERLINK("http://genome-euro.ucsc.edu/cgi-bin/hgTracks?position=209201_x_at","UCSC")</f>
        <v>UCSC</v>
      </c>
      <c r="E2064" s="1" t="str">
        <f>HYPERLINK("http://www.ncbi.nlm.nih.gov/gene/?term=CXCR4","NCBI")</f>
        <v>NCBI</v>
      </c>
      <c r="F2064">
        <v>7.7999999999999996E-3</v>
      </c>
      <c r="G2064">
        <v>6.4000000000000001E-2</v>
      </c>
      <c r="H2064" s="1" t="str">
        <f>HYPERLINK("http://www.weizmann.ac.il/complex/compphys/software/geview/data/figures/209201_x_at.png","Figure")</f>
        <v>Figure</v>
      </c>
      <c r="I2064">
        <v>1.04</v>
      </c>
      <c r="J2064">
        <v>0.98</v>
      </c>
      <c r="K2064">
        <v>0.54800000000000004</v>
      </c>
      <c r="L2064">
        <v>1.9E-2</v>
      </c>
      <c r="M2064">
        <v>0.52500000000000002</v>
      </c>
      <c r="N2064">
        <v>1.9E-2</v>
      </c>
    </row>
    <row r="2065" spans="1:14" x14ac:dyDescent="0.25">
      <c r="A2065" t="s">
        <v>3835</v>
      </c>
      <c r="B2065" t="s">
        <v>3836</v>
      </c>
      <c r="C2065" s="1" t="str">
        <f>HYPERLINK("http://www.genecards.org/cgi-bin/carddisp.pl?gene=TRAC","GeneCards")</f>
        <v>GeneCards</v>
      </c>
      <c r="D2065" s="1" t="str">
        <f>HYPERLINK("http://genome-euro.ucsc.edu/cgi-bin/hgTracks?position=209670_at","UCSC")</f>
        <v>UCSC</v>
      </c>
      <c r="E2065" s="1" t="str">
        <f>HYPERLINK("http://www.ncbi.nlm.nih.gov/gene/?term=TRAC","NCBI")</f>
        <v>NCBI</v>
      </c>
      <c r="F2065">
        <v>7.7999999999999996E-3</v>
      </c>
      <c r="G2065">
        <v>6.4000000000000001E-2</v>
      </c>
      <c r="H2065" s="1" t="str">
        <f>HYPERLINK("http://www.weizmann.ac.il/complex/compphys/software/geview/data/figures/209670_at.png","Figure")</f>
        <v>Figure</v>
      </c>
      <c r="I2065">
        <v>1.26</v>
      </c>
      <c r="J2065">
        <v>0.52</v>
      </c>
      <c r="K2065">
        <v>1.96</v>
      </c>
      <c r="L2065">
        <v>7.1000000000000004E-3</v>
      </c>
      <c r="M2065">
        <v>1.55</v>
      </c>
      <c r="N2065">
        <v>9.9000000000000005E-2</v>
      </c>
    </row>
    <row r="2066" spans="1:14" x14ac:dyDescent="0.25">
      <c r="A2066" t="s">
        <v>3837</v>
      </c>
      <c r="B2066" t="s">
        <v>3838</v>
      </c>
      <c r="C2066" s="1" t="str">
        <f>HYPERLINK("http://www.genecards.org/cgi-bin/carddisp.pl?gene=TGOLN2","GeneCards")</f>
        <v>GeneCards</v>
      </c>
      <c r="D2066" s="1" t="str">
        <f>HYPERLINK("http://genome-euro.ucsc.edu/cgi-bin/hgTracks?position=212040_at","UCSC")</f>
        <v>UCSC</v>
      </c>
      <c r="E2066" s="1" t="str">
        <f>HYPERLINK("http://www.ncbi.nlm.nih.gov/gene/?term=TGOLN2","NCBI")</f>
        <v>NCBI</v>
      </c>
      <c r="F2066">
        <v>7.7999999999999996E-3</v>
      </c>
      <c r="G2066">
        <v>6.4000000000000001E-2</v>
      </c>
      <c r="H2066" s="1" t="str">
        <f>HYPERLINK("http://www.weizmann.ac.il/complex/compphys/software/geview/data/figures/212040_at.png","Figure")</f>
        <v>Figure</v>
      </c>
      <c r="I2066">
        <v>0.64</v>
      </c>
      <c r="J2066">
        <v>0.15</v>
      </c>
      <c r="K2066">
        <v>0.47899999999999998</v>
      </c>
      <c r="L2066">
        <v>5.7999999999999996E-3</v>
      </c>
      <c r="M2066">
        <v>0.748</v>
      </c>
      <c r="N2066">
        <v>0.37</v>
      </c>
    </row>
    <row r="2067" spans="1:14" x14ac:dyDescent="0.25">
      <c r="A2067" t="s">
        <v>3839</v>
      </c>
      <c r="B2067" t="s">
        <v>3397</v>
      </c>
      <c r="C2067" s="1" t="str">
        <f>HYPERLINK("http://www.genecards.org/cgi-bin/carddisp.pl?gene=TCF7L2","GeneCards")</f>
        <v>GeneCards</v>
      </c>
      <c r="D2067" s="1" t="str">
        <f>HYPERLINK("http://genome-euro.ucsc.edu/cgi-bin/hgTracks?position=212762_s_at","UCSC")</f>
        <v>UCSC</v>
      </c>
      <c r="E2067" s="1" t="str">
        <f>HYPERLINK("http://www.ncbi.nlm.nih.gov/gene/?term=TCF7L2","NCBI")</f>
        <v>NCBI</v>
      </c>
      <c r="F2067">
        <v>7.7999999999999996E-3</v>
      </c>
      <c r="G2067">
        <v>6.4000000000000001E-2</v>
      </c>
      <c r="H2067" s="1" t="str">
        <f>HYPERLINK("http://www.weizmann.ac.il/complex/compphys/software/geview/data/figures/212762_s_at.png","Figure")</f>
        <v>Figure</v>
      </c>
      <c r="I2067">
        <v>0.36499999999999999</v>
      </c>
      <c r="J2067">
        <v>3.5000000000000003E-2</v>
      </c>
      <c r="K2067">
        <v>0.32500000000000001</v>
      </c>
      <c r="L2067">
        <v>8.0999999999999996E-3</v>
      </c>
      <c r="M2067">
        <v>0.88900000000000001</v>
      </c>
      <c r="N2067">
        <v>0.93</v>
      </c>
    </row>
    <row r="2068" spans="1:14" x14ac:dyDescent="0.25">
      <c r="A2068" t="s">
        <v>3840</v>
      </c>
      <c r="B2068" t="s">
        <v>3841</v>
      </c>
      <c r="C2068" s="1" t="str">
        <f>HYPERLINK("http://www.genecards.org/cgi-bin/carddisp.pl?gene=BRP44L","GeneCards")</f>
        <v>GeneCards</v>
      </c>
      <c r="D2068" s="1" t="str">
        <f>HYPERLINK("http://genome-euro.ucsc.edu/cgi-bin/hgTracks?position=218024_at","UCSC")</f>
        <v>UCSC</v>
      </c>
      <c r="E2068" s="1" t="str">
        <f>HYPERLINK("http://www.ncbi.nlm.nih.gov/gene/?term=BRP44L","NCBI")</f>
        <v>NCBI</v>
      </c>
      <c r="F2068">
        <v>7.7999999999999996E-3</v>
      </c>
      <c r="G2068">
        <v>6.4000000000000001E-2</v>
      </c>
      <c r="H2068" s="1" t="str">
        <f>HYPERLINK("http://www.weizmann.ac.il/complex/compphys/software/geview/data/figures/218024_at.png","Figure")</f>
        <v>Figure</v>
      </c>
      <c r="I2068">
        <v>0.72199999999999998</v>
      </c>
      <c r="J2068">
        <v>0.26</v>
      </c>
      <c r="K2068">
        <v>1.44</v>
      </c>
      <c r="L2068">
        <v>0.13</v>
      </c>
      <c r="M2068">
        <v>1.99</v>
      </c>
      <c r="N2068">
        <v>6.6E-3</v>
      </c>
    </row>
    <row r="2069" spans="1:14" x14ac:dyDescent="0.25">
      <c r="A2069" t="s">
        <v>3842</v>
      </c>
      <c r="B2069" t="s">
        <v>3843</v>
      </c>
      <c r="C2069" s="1" t="str">
        <f>HYPERLINK("http://www.genecards.org/cgi-bin/carddisp.pl?gene=THBS1","GeneCards")</f>
        <v>GeneCards</v>
      </c>
      <c r="D2069" s="1" t="str">
        <f>HYPERLINK("http://genome-euro.ucsc.edu/cgi-bin/hgTracks?position=201108_s_at","UCSC")</f>
        <v>UCSC</v>
      </c>
      <c r="E2069" s="1" t="str">
        <f>HYPERLINK("http://www.ncbi.nlm.nih.gov/gene/?term=THBS1","NCBI")</f>
        <v>NCBI</v>
      </c>
      <c r="F2069">
        <v>7.7999999999999996E-3</v>
      </c>
      <c r="G2069">
        <v>6.4000000000000001E-2</v>
      </c>
      <c r="H2069" s="1" t="str">
        <f>HYPERLINK("http://www.weizmann.ac.il/complex/compphys/software/geview/data/figures/201108_s_at.png","Figure")</f>
        <v>Figure</v>
      </c>
      <c r="I2069">
        <v>1.0900000000000001</v>
      </c>
      <c r="J2069">
        <v>0.33</v>
      </c>
      <c r="K2069">
        <v>0.89400000000000002</v>
      </c>
      <c r="L2069">
        <v>0.1</v>
      </c>
      <c r="M2069">
        <v>0.82099999999999995</v>
      </c>
      <c r="N2069">
        <v>7.1000000000000004E-3</v>
      </c>
    </row>
    <row r="2070" spans="1:14" x14ac:dyDescent="0.25">
      <c r="A2070" t="s">
        <v>3844</v>
      </c>
      <c r="B2070" t="s">
        <v>3845</v>
      </c>
      <c r="C2070" s="1" t="str">
        <f>HYPERLINK("http://www.genecards.org/cgi-bin/carddisp.pl?gene=SPOCK1","GeneCards")</f>
        <v>GeneCards</v>
      </c>
      <c r="D2070" s="1" t="str">
        <f>HYPERLINK("http://genome-euro.ucsc.edu/cgi-bin/hgTracks?position=202363_at","UCSC")</f>
        <v>UCSC</v>
      </c>
      <c r="E2070" s="1" t="str">
        <f>HYPERLINK("http://www.ncbi.nlm.nih.gov/gene/?term=SPOCK1","NCBI")</f>
        <v>NCBI</v>
      </c>
      <c r="F2070">
        <v>7.7999999999999996E-3</v>
      </c>
      <c r="G2070">
        <v>6.4000000000000001E-2</v>
      </c>
      <c r="H2070" s="1" t="str">
        <f>HYPERLINK("http://www.weizmann.ac.il/complex/compphys/software/geview/data/figures/202363_at.png","Figure")</f>
        <v>Figure</v>
      </c>
      <c r="I2070">
        <v>1.1200000000000001</v>
      </c>
      <c r="J2070">
        <v>2.1999999999999999E-2</v>
      </c>
      <c r="K2070">
        <v>0.98899999999999999</v>
      </c>
      <c r="L2070">
        <v>0.94</v>
      </c>
      <c r="M2070">
        <v>0.88200000000000001</v>
      </c>
      <c r="N2070">
        <v>8.2000000000000007E-3</v>
      </c>
    </row>
    <row r="2071" spans="1:14" x14ac:dyDescent="0.25">
      <c r="A2071" t="s">
        <v>3846</v>
      </c>
      <c r="B2071" t="s">
        <v>3847</v>
      </c>
      <c r="C2071" s="1" t="str">
        <f>HYPERLINK("http://www.genecards.org/cgi-bin/carddisp.pl?gene=PCBP4","GeneCards")</f>
        <v>GeneCards</v>
      </c>
      <c r="D2071" s="1" t="str">
        <f>HYPERLINK("http://genome-euro.ucsc.edu/cgi-bin/hgTracks?position=209361_s_at","UCSC")</f>
        <v>UCSC</v>
      </c>
      <c r="E2071" s="1" t="str">
        <f>HYPERLINK("http://www.ncbi.nlm.nih.gov/gene/?term=PCBP4","NCBI")</f>
        <v>NCBI</v>
      </c>
      <c r="F2071">
        <v>7.7999999999999996E-3</v>
      </c>
      <c r="G2071">
        <v>6.4000000000000001E-2</v>
      </c>
      <c r="H2071" s="1" t="str">
        <f>HYPERLINK("http://www.weizmann.ac.il/complex/compphys/software/geview/data/figures/209361_s_at.png","Figure")</f>
        <v>Figure</v>
      </c>
      <c r="I2071">
        <v>1.64</v>
      </c>
      <c r="J2071">
        <v>7.3000000000000001E-3</v>
      </c>
      <c r="K2071">
        <v>1.37</v>
      </c>
      <c r="L2071">
        <v>4.4999999999999998E-2</v>
      </c>
      <c r="M2071">
        <v>0.83799999999999997</v>
      </c>
      <c r="N2071">
        <v>0.36</v>
      </c>
    </row>
    <row r="2072" spans="1:14" x14ac:dyDescent="0.25">
      <c r="A2072" t="s">
        <v>3848</v>
      </c>
      <c r="B2072" t="s">
        <v>1320</v>
      </c>
      <c r="C2072" s="1" t="str">
        <f>HYPERLINK("http://www.genecards.org/cgi-bin/carddisp.pl?gene=PROSC","GeneCards")</f>
        <v>GeneCards</v>
      </c>
      <c r="D2072" s="1" t="str">
        <f>HYPERLINK("http://genome-euro.ucsc.edu/cgi-bin/hgTracks?position=209384_at","UCSC")</f>
        <v>UCSC</v>
      </c>
      <c r="E2072" s="1" t="str">
        <f>HYPERLINK("http://www.ncbi.nlm.nih.gov/gene/?term=PROSC","NCBI")</f>
        <v>NCBI</v>
      </c>
      <c r="F2072">
        <v>7.7999999999999996E-3</v>
      </c>
      <c r="G2072">
        <v>6.4000000000000001E-2</v>
      </c>
      <c r="H2072" s="1" t="str">
        <f>HYPERLINK("http://www.weizmann.ac.il/complex/compphys/software/geview/data/figures/209384_at.png","Figure")</f>
        <v>Figure</v>
      </c>
      <c r="I2072">
        <v>0.79500000000000004</v>
      </c>
      <c r="J2072">
        <v>0.54</v>
      </c>
      <c r="K2072">
        <v>1.61</v>
      </c>
      <c r="L2072">
        <v>5.6000000000000001E-2</v>
      </c>
      <c r="M2072">
        <v>2.02</v>
      </c>
      <c r="N2072">
        <v>8.8999999999999999E-3</v>
      </c>
    </row>
    <row r="2073" spans="1:14" x14ac:dyDescent="0.25">
      <c r="A2073" t="s">
        <v>3849</v>
      </c>
      <c r="B2073" t="s">
        <v>3850</v>
      </c>
      <c r="C2073" s="1" t="str">
        <f>HYPERLINK("http://www.genecards.org/cgi-bin/carddisp.pl?gene=COBL","GeneCards")</f>
        <v>GeneCards</v>
      </c>
      <c r="D2073" s="1" t="str">
        <f>HYPERLINK("http://genome-euro.ucsc.edu/cgi-bin/hgTracks?position=213050_at","UCSC")</f>
        <v>UCSC</v>
      </c>
      <c r="E2073" s="1" t="str">
        <f>HYPERLINK("http://www.ncbi.nlm.nih.gov/gene/?term=COBL","NCBI")</f>
        <v>NCBI</v>
      </c>
      <c r="F2073">
        <v>7.7999999999999996E-3</v>
      </c>
      <c r="G2073">
        <v>6.4000000000000001E-2</v>
      </c>
      <c r="H2073" s="1" t="str">
        <f>HYPERLINK("http://www.weizmann.ac.il/complex/compphys/software/geview/data/figures/213050_at.png","Figure")</f>
        <v>Figure</v>
      </c>
      <c r="I2073">
        <v>1.77</v>
      </c>
      <c r="J2073">
        <v>0.16</v>
      </c>
      <c r="K2073">
        <v>2.61</v>
      </c>
      <c r="L2073">
        <v>5.7999999999999996E-3</v>
      </c>
      <c r="M2073">
        <v>1.48</v>
      </c>
      <c r="N2073">
        <v>0.35</v>
      </c>
    </row>
    <row r="2074" spans="1:14" x14ac:dyDescent="0.25">
      <c r="A2074" t="s">
        <v>3851</v>
      </c>
      <c r="B2074" t="s">
        <v>3852</v>
      </c>
      <c r="C2074" s="1" t="str">
        <f>HYPERLINK("http://www.genecards.org/cgi-bin/carddisp.pl?gene=COPS7B","GeneCards")</f>
        <v>GeneCards</v>
      </c>
      <c r="D2074" s="1" t="str">
        <f>HYPERLINK("http://genome-euro.ucsc.edu/cgi-bin/hgTracks?position=219997_s_at","UCSC")</f>
        <v>UCSC</v>
      </c>
      <c r="E2074" s="1" t="str">
        <f>HYPERLINK("http://www.ncbi.nlm.nih.gov/gene/?term=COPS7B","NCBI")</f>
        <v>NCBI</v>
      </c>
      <c r="F2074">
        <v>7.7999999999999996E-3</v>
      </c>
      <c r="G2074">
        <v>6.4000000000000001E-2</v>
      </c>
      <c r="H2074" s="1" t="str">
        <f>HYPERLINK("http://www.weizmann.ac.il/complex/compphys/software/geview/data/figures/219997_s_at.png","Figure")</f>
        <v>Figure</v>
      </c>
      <c r="I2074">
        <v>1.23</v>
      </c>
      <c r="J2074">
        <v>1.7000000000000001E-2</v>
      </c>
      <c r="K2074">
        <v>0.995</v>
      </c>
      <c r="L2074">
        <v>1</v>
      </c>
      <c r="M2074">
        <v>0.81100000000000005</v>
      </c>
      <c r="N2074">
        <v>9.5999999999999992E-3</v>
      </c>
    </row>
    <row r="2075" spans="1:14" x14ac:dyDescent="0.25">
      <c r="A2075" t="s">
        <v>3853</v>
      </c>
      <c r="B2075" t="s">
        <v>1279</v>
      </c>
      <c r="C2075" s="1" t="str">
        <f>HYPERLINK("http://www.genecards.org/cgi-bin/carddisp.pl?gene=UBXN7","GeneCards")</f>
        <v>GeneCards</v>
      </c>
      <c r="D2075" s="1" t="str">
        <f>HYPERLINK("http://genome-euro.ucsc.edu/cgi-bin/hgTracks?position=212840_at","UCSC")</f>
        <v>UCSC</v>
      </c>
      <c r="E2075" s="1" t="str">
        <f>HYPERLINK("http://www.ncbi.nlm.nih.gov/gene/?term=UBXN7","NCBI")</f>
        <v>NCBI</v>
      </c>
      <c r="F2075">
        <v>7.7999999999999996E-3</v>
      </c>
      <c r="G2075">
        <v>6.4000000000000001E-2</v>
      </c>
      <c r="H2075" s="1" t="str">
        <f>HYPERLINK("http://www.weizmann.ac.il/complex/compphys/software/geview/data/figures/212840_at.png","Figure")</f>
        <v>Figure</v>
      </c>
      <c r="I2075">
        <v>0.93300000000000005</v>
      </c>
      <c r="J2075">
        <v>0.95</v>
      </c>
      <c r="K2075">
        <v>0.51700000000000002</v>
      </c>
      <c r="L2075">
        <v>1.2E-2</v>
      </c>
      <c r="M2075">
        <v>0.55400000000000005</v>
      </c>
      <c r="N2075">
        <v>3.4000000000000002E-2</v>
      </c>
    </row>
    <row r="2076" spans="1:14" x14ac:dyDescent="0.25">
      <c r="A2076" t="s">
        <v>3854</v>
      </c>
      <c r="B2076" t="s">
        <v>3855</v>
      </c>
      <c r="C2076" s="1" t="str">
        <f>HYPERLINK("http://www.genecards.org/cgi-bin/carddisp.pl?gene=PBX3","GeneCards")</f>
        <v>GeneCards</v>
      </c>
      <c r="D2076" s="1" t="str">
        <f>HYPERLINK("http://genome-euro.ucsc.edu/cgi-bin/hgTracks?position=204082_at","UCSC")</f>
        <v>UCSC</v>
      </c>
      <c r="E2076" s="1" t="str">
        <f>HYPERLINK("http://www.ncbi.nlm.nih.gov/gene/?term=PBX3","NCBI")</f>
        <v>NCBI</v>
      </c>
      <c r="F2076">
        <v>7.7999999999999996E-3</v>
      </c>
      <c r="G2076">
        <v>6.4000000000000001E-2</v>
      </c>
      <c r="H2076" s="1" t="str">
        <f>HYPERLINK("http://www.weizmann.ac.il/complex/compphys/software/geview/data/figures/204082_at.png","Figure")</f>
        <v>Figure</v>
      </c>
      <c r="I2076">
        <v>1.0900000000000001</v>
      </c>
      <c r="J2076">
        <v>0.94</v>
      </c>
      <c r="K2076">
        <v>2.09</v>
      </c>
      <c r="L2076">
        <v>1.2E-2</v>
      </c>
      <c r="M2076">
        <v>1.93</v>
      </c>
      <c r="N2076">
        <v>3.5000000000000003E-2</v>
      </c>
    </row>
    <row r="2077" spans="1:14" x14ac:dyDescent="0.25">
      <c r="A2077" t="s">
        <v>3856</v>
      </c>
      <c r="B2077" t="s">
        <v>3857</v>
      </c>
      <c r="C2077" s="1" t="str">
        <f>HYPERLINK("http://www.genecards.org/cgi-bin/carddisp.pl?gene=ZNF177","GeneCards")</f>
        <v>GeneCards</v>
      </c>
      <c r="D2077" s="1" t="str">
        <f>HYPERLINK("http://genome-euro.ucsc.edu/cgi-bin/hgTracks?position=207417_s_at","UCSC")</f>
        <v>UCSC</v>
      </c>
      <c r="E2077" s="1" t="str">
        <f>HYPERLINK("http://www.ncbi.nlm.nih.gov/gene/?term=ZNF177","NCBI")</f>
        <v>NCBI</v>
      </c>
      <c r="F2077">
        <v>7.7999999999999996E-3</v>
      </c>
      <c r="G2077">
        <v>6.4000000000000001E-2</v>
      </c>
      <c r="H2077" s="1" t="str">
        <f>HYPERLINK("http://www.weizmann.ac.il/complex/compphys/software/geview/data/figures/207417_s_at.png","Figure")</f>
        <v>Figure</v>
      </c>
      <c r="I2077">
        <v>0.73099999999999998</v>
      </c>
      <c r="J2077">
        <v>7.8E-2</v>
      </c>
      <c r="K2077">
        <v>1.1599999999999999</v>
      </c>
      <c r="L2077">
        <v>0.41</v>
      </c>
      <c r="M2077">
        <v>1.59</v>
      </c>
      <c r="N2077">
        <v>5.8999999999999999E-3</v>
      </c>
    </row>
    <row r="2078" spans="1:14" x14ac:dyDescent="0.25">
      <c r="A2078" t="s">
        <v>3858</v>
      </c>
      <c r="B2078" t="s">
        <v>3859</v>
      </c>
      <c r="C2078" s="1" t="str">
        <f>HYPERLINK("http://www.genecards.org/cgi-bin/carddisp.pl?gene=CSE1L","GeneCards")</f>
        <v>GeneCards</v>
      </c>
      <c r="D2078" s="1" t="str">
        <f>HYPERLINK("http://genome-euro.ucsc.edu/cgi-bin/hgTracks?position=210765_at","UCSC")</f>
        <v>UCSC</v>
      </c>
      <c r="E2078" s="1" t="str">
        <f>HYPERLINK("http://www.ncbi.nlm.nih.gov/gene/?term=CSE1L","NCBI")</f>
        <v>NCBI</v>
      </c>
      <c r="F2078">
        <v>7.7999999999999996E-3</v>
      </c>
      <c r="G2078">
        <v>6.4000000000000001E-2</v>
      </c>
      <c r="H2078" s="1" t="str">
        <f>HYPERLINK("http://www.weizmann.ac.il/complex/compphys/software/geview/data/figures/210765_at.png","Figure")</f>
        <v>Figure</v>
      </c>
      <c r="I2078">
        <v>0.94199999999999995</v>
      </c>
      <c r="J2078">
        <v>0.71</v>
      </c>
      <c r="K2078">
        <v>0.79100000000000004</v>
      </c>
      <c r="L2078">
        <v>8.5000000000000006E-3</v>
      </c>
      <c r="M2078">
        <v>0.83899999999999997</v>
      </c>
      <c r="N2078">
        <v>6.3E-2</v>
      </c>
    </row>
    <row r="2079" spans="1:14" x14ac:dyDescent="0.25">
      <c r="A2079" t="s">
        <v>3860</v>
      </c>
      <c r="B2079" t="s">
        <v>3861</v>
      </c>
      <c r="C2079" s="1" t="str">
        <f>HYPERLINK("http://www.genecards.org/cgi-bin/carddisp.pl?gene=PTGDS","GeneCards")</f>
        <v>GeneCards</v>
      </c>
      <c r="D2079" s="1" t="str">
        <f>HYPERLINK("http://genome-euro.ucsc.edu/cgi-bin/hgTracks?position=212187_x_at","UCSC")</f>
        <v>UCSC</v>
      </c>
      <c r="E2079" s="1" t="str">
        <f>HYPERLINK("http://www.ncbi.nlm.nih.gov/gene/?term=PTGDS","NCBI")</f>
        <v>NCBI</v>
      </c>
      <c r="F2079">
        <v>7.7999999999999996E-3</v>
      </c>
      <c r="G2079">
        <v>6.4000000000000001E-2</v>
      </c>
      <c r="H2079" s="1" t="str">
        <f>HYPERLINK("http://www.weizmann.ac.il/complex/compphys/software/geview/data/figures/212187_x_at.png","Figure")</f>
        <v>Figure</v>
      </c>
      <c r="I2079">
        <v>1.38</v>
      </c>
      <c r="J2079">
        <v>1.2E-2</v>
      </c>
      <c r="K2079">
        <v>1.02</v>
      </c>
      <c r="L2079">
        <v>0.96</v>
      </c>
      <c r="M2079">
        <v>0.74</v>
      </c>
      <c r="N2079">
        <v>1.2999999999999999E-2</v>
      </c>
    </row>
    <row r="2080" spans="1:14" x14ac:dyDescent="0.25">
      <c r="A2080" t="s">
        <v>3862</v>
      </c>
      <c r="B2080" t="s">
        <v>3863</v>
      </c>
      <c r="C2080" s="1" t="str">
        <f>HYPERLINK("http://www.genecards.org/cgi-bin/carddisp.pl?gene=MRPL24","GeneCards")</f>
        <v>GeneCards</v>
      </c>
      <c r="D2080" s="1" t="str">
        <f>HYPERLINK("http://genome-euro.ucsc.edu/cgi-bin/hgTracks?position=218270_at","UCSC")</f>
        <v>UCSC</v>
      </c>
      <c r="E2080" s="1" t="str">
        <f>HYPERLINK("http://www.ncbi.nlm.nih.gov/gene/?term=MRPL24","NCBI")</f>
        <v>NCBI</v>
      </c>
      <c r="F2080">
        <v>7.7999999999999996E-3</v>
      </c>
      <c r="G2080">
        <v>6.4000000000000001E-2</v>
      </c>
      <c r="H2080" s="1" t="str">
        <f>HYPERLINK("http://www.weizmann.ac.il/complex/compphys/software/geview/data/figures/218270_at.png","Figure")</f>
        <v>Figure</v>
      </c>
      <c r="I2080">
        <v>0.94599999999999995</v>
      </c>
      <c r="J2080">
        <v>0.89</v>
      </c>
      <c r="K2080">
        <v>1.37</v>
      </c>
      <c r="L2080">
        <v>2.5999999999999999E-2</v>
      </c>
      <c r="M2080">
        <v>1.44</v>
      </c>
      <c r="N2080">
        <v>1.4999999999999999E-2</v>
      </c>
    </row>
    <row r="2081" spans="1:14" x14ac:dyDescent="0.25">
      <c r="A2081" t="s">
        <v>3864</v>
      </c>
      <c r="B2081" t="s">
        <v>3865</v>
      </c>
      <c r="C2081" s="1" t="str">
        <f>HYPERLINK("http://www.genecards.org/cgi-bin/carddisp.pl?gene=SARS2","GeneCards")</f>
        <v>GeneCards</v>
      </c>
      <c r="D2081" s="1" t="str">
        <f>HYPERLINK("http://genome-euro.ucsc.edu/cgi-bin/hgTracks?position=218702_at","UCSC")</f>
        <v>UCSC</v>
      </c>
      <c r="E2081" s="1" t="str">
        <f>HYPERLINK("http://www.ncbi.nlm.nih.gov/gene/?term=SARS2","NCBI")</f>
        <v>NCBI</v>
      </c>
      <c r="F2081">
        <v>7.9000000000000008E-3</v>
      </c>
      <c r="G2081">
        <v>6.4000000000000001E-2</v>
      </c>
      <c r="H2081" s="1" t="str">
        <f>HYPERLINK("http://www.weizmann.ac.il/complex/compphys/software/geview/data/figures/218702_at.png","Figure")</f>
        <v>Figure</v>
      </c>
      <c r="I2081">
        <v>1.3</v>
      </c>
      <c r="J2081">
        <v>6.0000000000000001E-3</v>
      </c>
      <c r="K2081">
        <v>1.1100000000000001</v>
      </c>
      <c r="L2081">
        <v>0.23</v>
      </c>
      <c r="M2081">
        <v>0.85199999999999998</v>
      </c>
      <c r="N2081">
        <v>7.0999999999999994E-2</v>
      </c>
    </row>
    <row r="2082" spans="1:14" x14ac:dyDescent="0.25">
      <c r="A2082" t="s">
        <v>3866</v>
      </c>
      <c r="B2082" t="s">
        <v>3867</v>
      </c>
      <c r="C2082" s="1" t="str">
        <f>HYPERLINK("http://www.genecards.org/cgi-bin/carddisp.pl?gene=ZNF154","GeneCards")</f>
        <v>GeneCards</v>
      </c>
      <c r="D2082" s="1" t="str">
        <f>HYPERLINK("http://genome-euro.ucsc.edu/cgi-bin/hgTracks?position=217242_at","UCSC")</f>
        <v>UCSC</v>
      </c>
      <c r="E2082" s="1" t="str">
        <f>HYPERLINK("http://www.ncbi.nlm.nih.gov/gene/?term=ZNF154","NCBI")</f>
        <v>NCBI</v>
      </c>
      <c r="F2082">
        <v>7.9000000000000008E-3</v>
      </c>
      <c r="G2082">
        <v>6.5000000000000002E-2</v>
      </c>
      <c r="H2082" s="1" t="str">
        <f>HYPERLINK("http://www.weizmann.ac.il/complex/compphys/software/geview/data/figures/217242_at.png","Figure")</f>
        <v>Figure</v>
      </c>
      <c r="I2082">
        <v>1.05</v>
      </c>
      <c r="J2082">
        <v>7.4999999999999997E-2</v>
      </c>
      <c r="K2082">
        <v>0.97599999999999998</v>
      </c>
      <c r="L2082">
        <v>0.42</v>
      </c>
      <c r="M2082">
        <v>0.92800000000000005</v>
      </c>
      <c r="N2082">
        <v>6.0000000000000001E-3</v>
      </c>
    </row>
    <row r="2083" spans="1:14" x14ac:dyDescent="0.25">
      <c r="A2083" t="s">
        <v>3868</v>
      </c>
      <c r="B2083" t="s">
        <v>3869</v>
      </c>
      <c r="C2083" s="1" t="str">
        <f>HYPERLINK("http://www.genecards.org/cgi-bin/carddisp.pl?gene=SYNCRIP","GeneCards")</f>
        <v>GeneCards</v>
      </c>
      <c r="D2083" s="1" t="str">
        <f>HYPERLINK("http://genome-euro.ucsc.edu/cgi-bin/hgTracks?position=217832_at","UCSC")</f>
        <v>UCSC</v>
      </c>
      <c r="E2083" s="1" t="str">
        <f>HYPERLINK("http://www.ncbi.nlm.nih.gov/gene/?term=SYNCRIP","NCBI")</f>
        <v>NCBI</v>
      </c>
      <c r="F2083">
        <v>7.9000000000000008E-3</v>
      </c>
      <c r="G2083">
        <v>6.5000000000000002E-2</v>
      </c>
      <c r="H2083" s="1" t="str">
        <f>HYPERLINK("http://www.weizmann.ac.il/complex/compphys/software/geview/data/figures/217832_at.png","Figure")</f>
        <v>Figure</v>
      </c>
      <c r="I2083">
        <v>0.55200000000000005</v>
      </c>
      <c r="J2083">
        <v>0.14000000000000001</v>
      </c>
      <c r="K2083">
        <v>1.53</v>
      </c>
      <c r="L2083">
        <v>0.24</v>
      </c>
      <c r="M2083">
        <v>2.78</v>
      </c>
      <c r="N2083">
        <v>6.0000000000000001E-3</v>
      </c>
    </row>
    <row r="2084" spans="1:14" x14ac:dyDescent="0.25">
      <c r="A2084" t="s">
        <v>3870</v>
      </c>
      <c r="B2084" t="s">
        <v>3871</v>
      </c>
      <c r="C2084" s="1" t="str">
        <f>HYPERLINK("http://www.genecards.org/cgi-bin/carddisp.pl?gene=EIF3J","GeneCards")</f>
        <v>GeneCards</v>
      </c>
      <c r="D2084" s="1" t="str">
        <f>HYPERLINK("http://genome-euro.ucsc.edu/cgi-bin/hgTracks?position=208985_s_at","UCSC")</f>
        <v>UCSC</v>
      </c>
      <c r="E2084" s="1" t="str">
        <f>HYPERLINK("http://www.ncbi.nlm.nih.gov/gene/?term=EIF3J","NCBI")</f>
        <v>NCBI</v>
      </c>
      <c r="F2084">
        <v>7.9000000000000008E-3</v>
      </c>
      <c r="G2084">
        <v>6.5000000000000002E-2</v>
      </c>
      <c r="H2084" s="1" t="str">
        <f>HYPERLINK("http://www.weizmann.ac.il/complex/compphys/software/geview/data/figures/208985_s_at.png","Figure")</f>
        <v>Figure</v>
      </c>
      <c r="I2084">
        <v>0.73099999999999998</v>
      </c>
      <c r="J2084">
        <v>0.28000000000000003</v>
      </c>
      <c r="K2084">
        <v>1.45</v>
      </c>
      <c r="L2084">
        <v>0.12</v>
      </c>
      <c r="M2084">
        <v>1.98</v>
      </c>
      <c r="N2084">
        <v>6.7999999999999996E-3</v>
      </c>
    </row>
    <row r="2085" spans="1:14" x14ac:dyDescent="0.25">
      <c r="A2085" t="s">
        <v>3872</v>
      </c>
      <c r="B2085" t="s">
        <v>3873</v>
      </c>
      <c r="C2085" s="1" t="str">
        <f>HYPERLINK("http://www.genecards.org/cgi-bin/carddisp.pl?gene=TCF7","GeneCards")</f>
        <v>GeneCards</v>
      </c>
      <c r="D2085" s="1" t="str">
        <f>HYPERLINK("http://genome-euro.ucsc.edu/cgi-bin/hgTracks?position=205255_x_at","UCSC")</f>
        <v>UCSC</v>
      </c>
      <c r="E2085" s="1" t="str">
        <f>HYPERLINK("http://www.ncbi.nlm.nih.gov/gene/?term=TCF7","NCBI")</f>
        <v>NCBI</v>
      </c>
      <c r="F2085">
        <v>7.9000000000000008E-3</v>
      </c>
      <c r="G2085">
        <v>6.5000000000000002E-2</v>
      </c>
      <c r="H2085" s="1" t="str">
        <f>HYPERLINK("http://www.weizmann.ac.il/complex/compphys/software/geview/data/figures/205255_x_at.png","Figure")</f>
        <v>Figure</v>
      </c>
      <c r="I2085">
        <v>1.38</v>
      </c>
      <c r="J2085">
        <v>0.38</v>
      </c>
      <c r="K2085">
        <v>0.61899999999999999</v>
      </c>
      <c r="L2085">
        <v>8.5999999999999993E-2</v>
      </c>
      <c r="M2085">
        <v>0.44700000000000001</v>
      </c>
      <c r="N2085">
        <v>7.6E-3</v>
      </c>
    </row>
    <row r="2086" spans="1:14" x14ac:dyDescent="0.25">
      <c r="A2086" t="s">
        <v>3874</v>
      </c>
      <c r="B2086" t="s">
        <v>2144</v>
      </c>
      <c r="C2086" s="1" t="str">
        <f>HYPERLINK("http://www.genecards.org/cgi-bin/carddisp.pl?gene=CALM1","GeneCards")</f>
        <v>GeneCards</v>
      </c>
      <c r="D2086" s="1" t="str">
        <f>HYPERLINK("http://genome-euro.ucsc.edu/cgi-bin/hgTracks?position=211984_at","UCSC")</f>
        <v>UCSC</v>
      </c>
      <c r="E2086" s="1" t="str">
        <f>HYPERLINK("http://www.ncbi.nlm.nih.gov/gene/?term=CALM1","NCBI")</f>
        <v>NCBI</v>
      </c>
      <c r="F2086">
        <v>7.9000000000000008E-3</v>
      </c>
      <c r="G2086">
        <v>6.5000000000000002E-2</v>
      </c>
      <c r="H2086" s="1" t="str">
        <f>HYPERLINK("http://www.weizmann.ac.il/complex/compphys/software/geview/data/figures/211984_at.png","Figure")</f>
        <v>Figure</v>
      </c>
      <c r="I2086">
        <v>0.70799999999999996</v>
      </c>
      <c r="J2086">
        <v>0.3</v>
      </c>
      <c r="K2086">
        <v>1.52</v>
      </c>
      <c r="L2086">
        <v>0.11</v>
      </c>
      <c r="M2086">
        <v>2.15</v>
      </c>
      <c r="N2086">
        <v>7.0000000000000001E-3</v>
      </c>
    </row>
    <row r="2087" spans="1:14" x14ac:dyDescent="0.25">
      <c r="A2087" t="s">
        <v>3875</v>
      </c>
      <c r="B2087" t="s">
        <v>1242</v>
      </c>
      <c r="C2087" s="1" t="str">
        <f>HYPERLINK("http://www.genecards.org/cgi-bin/carddisp.pl?gene=KLHL20","GeneCards")</f>
        <v>GeneCards</v>
      </c>
      <c r="D2087" s="1" t="str">
        <f>HYPERLINK("http://genome-euro.ucsc.edu/cgi-bin/hgTracks?position=210634_at","UCSC")</f>
        <v>UCSC</v>
      </c>
      <c r="E2087" s="1" t="str">
        <f>HYPERLINK("http://www.ncbi.nlm.nih.gov/gene/?term=KLHL20","NCBI")</f>
        <v>NCBI</v>
      </c>
      <c r="F2087">
        <v>8.0000000000000002E-3</v>
      </c>
      <c r="G2087">
        <v>6.5000000000000002E-2</v>
      </c>
      <c r="H2087" s="1" t="str">
        <f>HYPERLINK("http://www.weizmann.ac.il/complex/compphys/software/geview/data/figures/210634_at.png","Figure")</f>
        <v>Figure</v>
      </c>
      <c r="I2087">
        <v>1.03</v>
      </c>
      <c r="J2087">
        <v>0.99</v>
      </c>
      <c r="K2087">
        <v>0.55900000000000005</v>
      </c>
      <c r="L2087">
        <v>1.7999999999999999E-2</v>
      </c>
      <c r="M2087">
        <v>0.54400000000000004</v>
      </c>
      <c r="N2087">
        <v>2.1000000000000001E-2</v>
      </c>
    </row>
    <row r="2088" spans="1:14" x14ac:dyDescent="0.25">
      <c r="A2088" t="s">
        <v>3876</v>
      </c>
      <c r="B2088" t="s">
        <v>3877</v>
      </c>
      <c r="C2088" s="1" t="str">
        <f>HYPERLINK("http://www.genecards.org/cgi-bin/carddisp.pl?gene=THUMPD2","GeneCards")</f>
        <v>GeneCards</v>
      </c>
      <c r="D2088" s="1" t="str">
        <f>HYPERLINK("http://genome-euro.ucsc.edu/cgi-bin/hgTracks?position=219248_at","UCSC")</f>
        <v>UCSC</v>
      </c>
      <c r="E2088" s="1" t="str">
        <f>HYPERLINK("http://www.ncbi.nlm.nih.gov/gene/?term=THUMPD2","NCBI")</f>
        <v>NCBI</v>
      </c>
      <c r="F2088">
        <v>7.9000000000000008E-3</v>
      </c>
      <c r="G2088">
        <v>6.5000000000000002E-2</v>
      </c>
      <c r="H2088" s="1" t="str">
        <f>HYPERLINK("http://www.weizmann.ac.il/complex/compphys/software/geview/data/figures/219248_at.png","Figure")</f>
        <v>Figure</v>
      </c>
      <c r="I2088">
        <v>1.28</v>
      </c>
      <c r="J2088">
        <v>0.48</v>
      </c>
      <c r="K2088">
        <v>0.64300000000000002</v>
      </c>
      <c r="L2088">
        <v>6.6000000000000003E-2</v>
      </c>
      <c r="M2088">
        <v>0.503</v>
      </c>
      <c r="N2088">
        <v>8.3999999999999995E-3</v>
      </c>
    </row>
    <row r="2089" spans="1:14" x14ac:dyDescent="0.25">
      <c r="A2089" t="s">
        <v>3878</v>
      </c>
      <c r="B2089" t="s">
        <v>3879</v>
      </c>
      <c r="C2089" s="1" t="str">
        <f>HYPERLINK("http://www.genecards.org/cgi-bin/carddisp.pl?gene=C10orf118","GeneCards")</f>
        <v>GeneCards</v>
      </c>
      <c r="D2089" s="1" t="str">
        <f>HYPERLINK("http://genome-euro.ucsc.edu/cgi-bin/hgTracks?position=219844_at","UCSC")</f>
        <v>UCSC</v>
      </c>
      <c r="E2089" s="1" t="str">
        <f>HYPERLINK("http://www.ncbi.nlm.nih.gov/gene/?term=C10orf118","NCBI")</f>
        <v>NCBI</v>
      </c>
      <c r="F2089">
        <v>8.0000000000000002E-3</v>
      </c>
      <c r="G2089">
        <v>6.5000000000000002E-2</v>
      </c>
      <c r="H2089" s="1" t="str">
        <f>HYPERLINK("http://www.weizmann.ac.il/complex/compphys/software/geview/data/figures/219844_at.png","Figure")</f>
        <v>Figure</v>
      </c>
      <c r="I2089">
        <v>1.03</v>
      </c>
      <c r="J2089">
        <v>0.98</v>
      </c>
      <c r="K2089">
        <v>0.66300000000000003</v>
      </c>
      <c r="L2089">
        <v>1.9E-2</v>
      </c>
      <c r="M2089">
        <v>0.64500000000000002</v>
      </c>
      <c r="N2089">
        <v>0.02</v>
      </c>
    </row>
    <row r="2090" spans="1:14" x14ac:dyDescent="0.25">
      <c r="A2090" t="s">
        <v>3880</v>
      </c>
      <c r="B2090" t="s">
        <v>3881</v>
      </c>
      <c r="C2090" s="1" t="str">
        <f>HYPERLINK("http://www.genecards.org/cgi-bin/carddisp.pl?gene=ARHGAP19","GeneCards")</f>
        <v>GeneCards</v>
      </c>
      <c r="D2090" s="1" t="str">
        <f>HYPERLINK("http://genome-euro.ucsc.edu/cgi-bin/hgTracks?position=37577_at","UCSC")</f>
        <v>UCSC</v>
      </c>
      <c r="E2090" s="1" t="str">
        <f>HYPERLINK("http://www.ncbi.nlm.nih.gov/gene/?term=ARHGAP19","NCBI")</f>
        <v>NCBI</v>
      </c>
      <c r="F2090">
        <v>8.0000000000000002E-3</v>
      </c>
      <c r="G2090">
        <v>6.5000000000000002E-2</v>
      </c>
      <c r="H2090" s="1" t="str">
        <f>HYPERLINK("http://www.weizmann.ac.il/complex/compphys/software/geview/data/figures/37577_at.png","Figure")</f>
        <v>Figure</v>
      </c>
      <c r="I2090">
        <v>0.64700000000000002</v>
      </c>
      <c r="J2090">
        <v>1.4999999999999999E-2</v>
      </c>
      <c r="K2090">
        <v>0.996</v>
      </c>
      <c r="L2090">
        <v>1</v>
      </c>
      <c r="M2090">
        <v>1.54</v>
      </c>
      <c r="N2090">
        <v>1.0999999999999999E-2</v>
      </c>
    </row>
    <row r="2091" spans="1:14" x14ac:dyDescent="0.25">
      <c r="A2091" t="s">
        <v>3882</v>
      </c>
      <c r="B2091" t="s">
        <v>1292</v>
      </c>
      <c r="C2091" s="1" t="str">
        <f>HYPERLINK("http://www.genecards.org/cgi-bin/carddisp.pl?gene=SPTBN1","GeneCards")</f>
        <v>GeneCards</v>
      </c>
      <c r="D2091" s="1" t="str">
        <f>HYPERLINK("http://genome-euro.ucsc.edu/cgi-bin/hgTracks?position=200671_s_at","UCSC")</f>
        <v>UCSC</v>
      </c>
      <c r="E2091" s="1" t="str">
        <f>HYPERLINK("http://www.ncbi.nlm.nih.gov/gene/?term=SPTBN1","NCBI")</f>
        <v>NCBI</v>
      </c>
      <c r="F2091">
        <v>8.0000000000000002E-3</v>
      </c>
      <c r="G2091">
        <v>6.5000000000000002E-2</v>
      </c>
      <c r="H2091" s="1" t="str">
        <f>HYPERLINK("http://www.weizmann.ac.il/complex/compphys/software/geview/data/figures/200671_s_at.png","Figure")</f>
        <v>Figure</v>
      </c>
      <c r="I2091">
        <v>1.48</v>
      </c>
      <c r="J2091">
        <v>6.6000000000000003E-2</v>
      </c>
      <c r="K2091">
        <v>0.84899999999999998</v>
      </c>
      <c r="L2091">
        <v>0.48</v>
      </c>
      <c r="M2091">
        <v>0.57299999999999995</v>
      </c>
      <c r="N2091">
        <v>6.1000000000000004E-3</v>
      </c>
    </row>
    <row r="2092" spans="1:14" x14ac:dyDescent="0.25">
      <c r="A2092" t="s">
        <v>3883</v>
      </c>
      <c r="B2092" t="s">
        <v>3191</v>
      </c>
      <c r="C2092" s="1" t="str">
        <f>HYPERLINK("http://www.genecards.org/cgi-bin/carddisp.pl?gene=NOTCH2","GeneCards")</f>
        <v>GeneCards</v>
      </c>
      <c r="D2092" s="1" t="str">
        <f>HYPERLINK("http://genome-euro.ucsc.edu/cgi-bin/hgTracks?position=212377_s_at","UCSC")</f>
        <v>UCSC</v>
      </c>
      <c r="E2092" s="1" t="str">
        <f>HYPERLINK("http://www.ncbi.nlm.nih.gov/gene/?term=NOTCH2","NCBI")</f>
        <v>NCBI</v>
      </c>
      <c r="F2092">
        <v>8.0000000000000002E-3</v>
      </c>
      <c r="G2092">
        <v>6.5000000000000002E-2</v>
      </c>
      <c r="H2092" s="1" t="str">
        <f>HYPERLINK("http://www.weizmann.ac.il/complex/compphys/software/geview/data/figures/212377_s_at.png","Figure")</f>
        <v>Figure</v>
      </c>
      <c r="I2092">
        <v>1.72</v>
      </c>
      <c r="J2092">
        <v>6.1999999999999998E-3</v>
      </c>
      <c r="K2092">
        <v>1.22</v>
      </c>
      <c r="L2092">
        <v>0.28999999999999998</v>
      </c>
      <c r="M2092">
        <v>0.71</v>
      </c>
      <c r="N2092">
        <v>5.8999999999999997E-2</v>
      </c>
    </row>
    <row r="2093" spans="1:14" x14ac:dyDescent="0.25">
      <c r="A2093" t="s">
        <v>3884</v>
      </c>
      <c r="B2093" t="s">
        <v>3885</v>
      </c>
      <c r="C2093" s="1" t="str">
        <f>HYPERLINK("http://www.genecards.org/cgi-bin/carddisp.pl?gene=POM121 /// POM121C","GeneCards")</f>
        <v>GeneCards</v>
      </c>
      <c r="D2093" s="1" t="str">
        <f>HYPERLINK("http://genome-euro.ucsc.edu/cgi-bin/hgTracks?position=213360_s_at","UCSC")</f>
        <v>UCSC</v>
      </c>
      <c r="E2093" s="1" t="str">
        <f>HYPERLINK("http://www.ncbi.nlm.nih.gov/gene/?term=POM121 /// POM121C","NCBI")</f>
        <v>NCBI</v>
      </c>
      <c r="F2093">
        <v>8.0000000000000002E-3</v>
      </c>
      <c r="G2093">
        <v>6.5000000000000002E-2</v>
      </c>
      <c r="H2093" s="1" t="str">
        <f>HYPERLINK("http://www.weizmann.ac.il/complex/compphys/software/geview/data/figures/213360_s_at.png","Figure")</f>
        <v>Figure</v>
      </c>
      <c r="I2093">
        <v>1.0900000000000001</v>
      </c>
      <c r="J2093">
        <v>0.72</v>
      </c>
      <c r="K2093">
        <v>0.75900000000000001</v>
      </c>
      <c r="L2093">
        <v>3.7999999999999999E-2</v>
      </c>
      <c r="M2093">
        <v>0.69399999999999995</v>
      </c>
      <c r="N2093">
        <v>1.0999999999999999E-2</v>
      </c>
    </row>
    <row r="2094" spans="1:14" x14ac:dyDescent="0.25">
      <c r="A2094" t="s">
        <v>3886</v>
      </c>
      <c r="B2094" t="s">
        <v>3887</v>
      </c>
      <c r="C2094" s="1" t="str">
        <f>HYPERLINK("http://www.genecards.org/cgi-bin/carddisp.pl?gene=CD163","GeneCards")</f>
        <v>GeneCards</v>
      </c>
      <c r="D2094" s="1" t="str">
        <f>HYPERLINK("http://genome-euro.ucsc.edu/cgi-bin/hgTracks?position=215049_x_at","UCSC")</f>
        <v>UCSC</v>
      </c>
      <c r="E2094" s="1" t="str">
        <f>HYPERLINK("http://www.ncbi.nlm.nih.gov/gene/?term=CD163","NCBI")</f>
        <v>NCBI</v>
      </c>
      <c r="F2094">
        <v>8.0000000000000002E-3</v>
      </c>
      <c r="G2094">
        <v>6.5000000000000002E-2</v>
      </c>
      <c r="H2094" s="1" t="str">
        <f>HYPERLINK("http://www.weizmann.ac.il/complex/compphys/software/geview/data/figures/215049_x_at.png","Figure")</f>
        <v>Figure</v>
      </c>
      <c r="I2094">
        <v>1.19</v>
      </c>
      <c r="J2094">
        <v>7.7000000000000002E-3</v>
      </c>
      <c r="K2094">
        <v>1.04</v>
      </c>
      <c r="L2094">
        <v>0.6</v>
      </c>
      <c r="M2094">
        <v>0.873</v>
      </c>
      <c r="N2094">
        <v>2.7E-2</v>
      </c>
    </row>
    <row r="2095" spans="1:14" x14ac:dyDescent="0.25">
      <c r="A2095" t="s">
        <v>3888</v>
      </c>
      <c r="B2095" t="s">
        <v>3889</v>
      </c>
      <c r="C2095" s="1" t="str">
        <f>HYPERLINK("http://www.genecards.org/cgi-bin/carddisp.pl?gene=DERA","GeneCards")</f>
        <v>GeneCards</v>
      </c>
      <c r="D2095" s="1" t="str">
        <f>HYPERLINK("http://genome-euro.ucsc.edu/cgi-bin/hgTracks?position=218102_at","UCSC")</f>
        <v>UCSC</v>
      </c>
      <c r="E2095" s="1" t="str">
        <f>HYPERLINK("http://www.ncbi.nlm.nih.gov/gene/?term=DERA","NCBI")</f>
        <v>NCBI</v>
      </c>
      <c r="F2095">
        <v>8.0000000000000002E-3</v>
      </c>
      <c r="G2095">
        <v>6.5000000000000002E-2</v>
      </c>
      <c r="H2095" s="1" t="str">
        <f>HYPERLINK("http://www.weizmann.ac.il/complex/compphys/software/geview/data/figures/218102_at.png","Figure")</f>
        <v>Figure</v>
      </c>
      <c r="I2095">
        <v>0.54600000000000004</v>
      </c>
      <c r="J2095">
        <v>0.12</v>
      </c>
      <c r="K2095">
        <v>1.49</v>
      </c>
      <c r="L2095">
        <v>0.28000000000000003</v>
      </c>
      <c r="M2095">
        <v>2.72</v>
      </c>
      <c r="N2095">
        <v>6.0000000000000001E-3</v>
      </c>
    </row>
    <row r="2096" spans="1:14" x14ac:dyDescent="0.25">
      <c r="A2096" t="s">
        <v>3890</v>
      </c>
      <c r="B2096" t="s">
        <v>1273</v>
      </c>
      <c r="C2096" s="1" t="str">
        <f>HYPERLINK("http://www.genecards.org/cgi-bin/carddisp.pl?gene=ACTG1","GeneCards")</f>
        <v>GeneCards</v>
      </c>
      <c r="D2096" s="1" t="str">
        <f>HYPERLINK("http://genome-euro.ucsc.edu/cgi-bin/hgTracks?position=212988_x_at","UCSC")</f>
        <v>UCSC</v>
      </c>
      <c r="E2096" s="1" t="str">
        <f>HYPERLINK("http://www.ncbi.nlm.nih.gov/gene/?term=ACTG1","NCBI")</f>
        <v>NCBI</v>
      </c>
      <c r="F2096">
        <v>8.0000000000000002E-3</v>
      </c>
      <c r="G2096">
        <v>6.5000000000000002E-2</v>
      </c>
      <c r="H2096" s="1" t="str">
        <f>HYPERLINK("http://www.weizmann.ac.il/complex/compphys/software/geview/data/figures/212988_x_at.png","Figure")</f>
        <v>Figure</v>
      </c>
      <c r="I2096">
        <v>1.26</v>
      </c>
      <c r="J2096">
        <v>4.8000000000000001E-2</v>
      </c>
      <c r="K2096">
        <v>1.32</v>
      </c>
      <c r="L2096">
        <v>7.4000000000000003E-3</v>
      </c>
      <c r="M2096">
        <v>1.05</v>
      </c>
      <c r="N2096">
        <v>0.83</v>
      </c>
    </row>
    <row r="2097" spans="1:14" x14ac:dyDescent="0.25">
      <c r="A2097" t="s">
        <v>3891</v>
      </c>
      <c r="B2097" t="s">
        <v>3892</v>
      </c>
      <c r="C2097" s="1" t="str">
        <f>HYPERLINK("http://www.genecards.org/cgi-bin/carddisp.pl?gene=NSUN3","GeneCards")</f>
        <v>GeneCards</v>
      </c>
      <c r="D2097" s="1" t="str">
        <f>HYPERLINK("http://genome-euro.ucsc.edu/cgi-bin/hgTracks?position=219458_s_at","UCSC")</f>
        <v>UCSC</v>
      </c>
      <c r="E2097" s="1" t="str">
        <f>HYPERLINK("http://www.ncbi.nlm.nih.gov/gene/?term=NSUN3","NCBI")</f>
        <v>NCBI</v>
      </c>
      <c r="F2097">
        <v>8.0000000000000002E-3</v>
      </c>
      <c r="G2097">
        <v>6.5000000000000002E-2</v>
      </c>
      <c r="H2097" s="1" t="str">
        <f>HYPERLINK("http://www.weizmann.ac.il/complex/compphys/software/geview/data/figures/219458_s_at.png","Figure")</f>
        <v>Figure</v>
      </c>
      <c r="I2097">
        <v>1.1100000000000001</v>
      </c>
      <c r="J2097">
        <v>0.52</v>
      </c>
      <c r="K2097">
        <v>0.82</v>
      </c>
      <c r="L2097">
        <v>0.06</v>
      </c>
      <c r="M2097">
        <v>0.74099999999999999</v>
      </c>
      <c r="N2097">
        <v>8.8000000000000005E-3</v>
      </c>
    </row>
    <row r="2098" spans="1:14" x14ac:dyDescent="0.25">
      <c r="A2098" t="s">
        <v>3893</v>
      </c>
      <c r="B2098" t="s">
        <v>3894</v>
      </c>
      <c r="C2098" s="1" t="str">
        <f>HYPERLINK("http://www.genecards.org/cgi-bin/carddisp.pl?gene=DEGS1","GeneCards")</f>
        <v>GeneCards</v>
      </c>
      <c r="D2098" s="1" t="str">
        <f>HYPERLINK("http://genome-euro.ucsc.edu/cgi-bin/hgTracks?position=209250_at","UCSC")</f>
        <v>UCSC</v>
      </c>
      <c r="E2098" s="1" t="str">
        <f>HYPERLINK("http://www.ncbi.nlm.nih.gov/gene/?term=DEGS1","NCBI")</f>
        <v>NCBI</v>
      </c>
      <c r="F2098">
        <v>8.0000000000000002E-3</v>
      </c>
      <c r="G2098">
        <v>6.5000000000000002E-2</v>
      </c>
      <c r="H2098" s="1" t="str">
        <f>HYPERLINK("http://www.weizmann.ac.il/complex/compphys/software/geview/data/figures/209250_at.png","Figure")</f>
        <v>Figure</v>
      </c>
      <c r="I2098">
        <v>0.45800000000000002</v>
      </c>
      <c r="J2098">
        <v>9.4000000000000004E-3</v>
      </c>
      <c r="K2098">
        <v>0.88200000000000001</v>
      </c>
      <c r="L2098">
        <v>0.79</v>
      </c>
      <c r="M2098">
        <v>1.92</v>
      </c>
      <c r="N2098">
        <v>1.9E-2</v>
      </c>
    </row>
    <row r="2099" spans="1:14" x14ac:dyDescent="0.25">
      <c r="A2099" t="s">
        <v>3895</v>
      </c>
      <c r="B2099" t="s">
        <v>3896</v>
      </c>
      <c r="C2099" s="1" t="str">
        <f>HYPERLINK("http://www.genecards.org/cgi-bin/carddisp.pl?gene=HNRNPAB","GeneCards")</f>
        <v>GeneCards</v>
      </c>
      <c r="D2099" s="1" t="str">
        <f>HYPERLINK("http://genome-euro.ucsc.edu/cgi-bin/hgTracks?position=201277_s_at","UCSC")</f>
        <v>UCSC</v>
      </c>
      <c r="E2099" s="1" t="str">
        <f>HYPERLINK("http://www.ncbi.nlm.nih.gov/gene/?term=HNRNPAB","NCBI")</f>
        <v>NCBI</v>
      </c>
      <c r="F2099">
        <v>8.0000000000000002E-3</v>
      </c>
      <c r="G2099">
        <v>6.5000000000000002E-2</v>
      </c>
      <c r="H2099" s="1" t="str">
        <f>HYPERLINK("http://www.weizmann.ac.il/complex/compphys/software/geview/data/figures/201277_s_at.png","Figure")</f>
        <v>Figure</v>
      </c>
      <c r="I2099">
        <v>0.94299999999999995</v>
      </c>
      <c r="J2099">
        <v>0.93</v>
      </c>
      <c r="K2099">
        <v>1.57</v>
      </c>
      <c r="L2099">
        <v>2.3E-2</v>
      </c>
      <c r="M2099">
        <v>1.66</v>
      </c>
      <c r="N2099">
        <v>1.7000000000000001E-2</v>
      </c>
    </row>
    <row r="2100" spans="1:14" x14ac:dyDescent="0.25">
      <c r="A2100" t="s">
        <v>3897</v>
      </c>
      <c r="B2100" t="s">
        <v>3898</v>
      </c>
      <c r="C2100" s="1" t="str">
        <f>HYPERLINK("http://www.genecards.org/cgi-bin/carddisp.pl?gene=NAP1L4","GeneCards")</f>
        <v>GeneCards</v>
      </c>
      <c r="D2100" s="1" t="str">
        <f>HYPERLINK("http://genome-euro.ucsc.edu/cgi-bin/hgTracks?position=201414_s_at","UCSC")</f>
        <v>UCSC</v>
      </c>
      <c r="E2100" s="1" t="str">
        <f>HYPERLINK("http://www.ncbi.nlm.nih.gov/gene/?term=NAP1L4","NCBI")</f>
        <v>NCBI</v>
      </c>
      <c r="F2100">
        <v>8.0000000000000002E-3</v>
      </c>
      <c r="G2100">
        <v>6.5000000000000002E-2</v>
      </c>
      <c r="H2100" s="1" t="str">
        <f>HYPERLINK("http://www.weizmann.ac.il/complex/compphys/software/geview/data/figures/201414_s_at.png","Figure")</f>
        <v>Figure</v>
      </c>
      <c r="I2100">
        <v>1.53</v>
      </c>
      <c r="J2100">
        <v>6.0000000000000001E-3</v>
      </c>
      <c r="K2100">
        <v>1.19</v>
      </c>
      <c r="L2100">
        <v>0.2</v>
      </c>
      <c r="M2100">
        <v>0.78300000000000003</v>
      </c>
      <c r="N2100">
        <v>8.5000000000000006E-2</v>
      </c>
    </row>
    <row r="2101" spans="1:14" x14ac:dyDescent="0.25">
      <c r="A2101" t="s">
        <v>3899</v>
      </c>
      <c r="B2101" t="s">
        <v>3900</v>
      </c>
      <c r="C2101" s="1" t="str">
        <f>HYPERLINK("http://www.genecards.org/cgi-bin/carddisp.pl?gene=PSMC5","GeneCards")</f>
        <v>GeneCards</v>
      </c>
      <c r="D2101" s="1" t="str">
        <f>HYPERLINK("http://genome-euro.ucsc.edu/cgi-bin/hgTracks?position=209503_s_at","UCSC")</f>
        <v>UCSC</v>
      </c>
      <c r="E2101" s="1" t="str">
        <f>HYPERLINK("http://www.ncbi.nlm.nih.gov/gene/?term=PSMC5","NCBI")</f>
        <v>NCBI</v>
      </c>
      <c r="F2101">
        <v>8.0000000000000002E-3</v>
      </c>
      <c r="G2101">
        <v>6.5000000000000002E-2</v>
      </c>
      <c r="H2101" s="1" t="str">
        <f>HYPERLINK("http://www.weizmann.ac.il/complex/compphys/software/geview/data/figures/209503_s_at.png","Figure")</f>
        <v>Figure</v>
      </c>
      <c r="I2101">
        <v>0.66300000000000003</v>
      </c>
      <c r="J2101">
        <v>5.8000000000000003E-2</v>
      </c>
      <c r="K2101">
        <v>1.17</v>
      </c>
      <c r="L2101">
        <v>0.53</v>
      </c>
      <c r="M2101">
        <v>1.76</v>
      </c>
      <c r="N2101">
        <v>6.3E-3</v>
      </c>
    </row>
    <row r="2102" spans="1:14" x14ac:dyDescent="0.25">
      <c r="A2102" t="s">
        <v>3901</v>
      </c>
      <c r="B2102" t="s">
        <v>3829</v>
      </c>
      <c r="C2102" s="1" t="str">
        <f>HYPERLINK("http://www.genecards.org/cgi-bin/carddisp.pl?gene=G3BP2","GeneCards")</f>
        <v>GeneCards</v>
      </c>
      <c r="D2102" s="1" t="str">
        <f>HYPERLINK("http://genome-euro.ucsc.edu/cgi-bin/hgTracks?position=208840_s_at","UCSC")</f>
        <v>UCSC</v>
      </c>
      <c r="E2102" s="1" t="str">
        <f>HYPERLINK("http://www.ncbi.nlm.nih.gov/gene/?term=G3BP2","NCBI")</f>
        <v>NCBI</v>
      </c>
      <c r="F2102">
        <v>8.0999999999999996E-3</v>
      </c>
      <c r="G2102">
        <v>6.5000000000000002E-2</v>
      </c>
      <c r="H2102" s="1" t="str">
        <f>HYPERLINK("http://www.weizmann.ac.il/complex/compphys/software/geview/data/figures/208840_s_at.png","Figure")</f>
        <v>Figure</v>
      </c>
      <c r="I2102">
        <v>0.42899999999999999</v>
      </c>
      <c r="J2102">
        <v>3.1E-2</v>
      </c>
      <c r="K2102">
        <v>0.40300000000000002</v>
      </c>
      <c r="L2102">
        <v>8.9999999999999993E-3</v>
      </c>
      <c r="M2102">
        <v>0.93799999999999994</v>
      </c>
      <c r="N2102">
        <v>0.97</v>
      </c>
    </row>
    <row r="2103" spans="1:14" x14ac:dyDescent="0.25">
      <c r="A2103" t="s">
        <v>3902</v>
      </c>
      <c r="B2103" t="s">
        <v>3903</v>
      </c>
      <c r="C2103" s="1" t="str">
        <f>HYPERLINK("http://www.genecards.org/cgi-bin/carddisp.pl?gene=B4GALT2","GeneCards")</f>
        <v>GeneCards</v>
      </c>
      <c r="D2103" s="1" t="str">
        <f>HYPERLINK("http://genome-euro.ucsc.edu/cgi-bin/hgTracks?position=209413_at","UCSC")</f>
        <v>UCSC</v>
      </c>
      <c r="E2103" s="1" t="str">
        <f>HYPERLINK("http://www.ncbi.nlm.nih.gov/gene/?term=B4GALT2","NCBI")</f>
        <v>NCBI</v>
      </c>
      <c r="F2103">
        <v>8.0999999999999996E-3</v>
      </c>
      <c r="G2103">
        <v>6.5000000000000002E-2</v>
      </c>
      <c r="H2103" s="1" t="str">
        <f>HYPERLINK("http://www.weizmann.ac.il/complex/compphys/software/geview/data/figures/209413_at.png","Figure")</f>
        <v>Figure</v>
      </c>
      <c r="I2103">
        <v>1.54</v>
      </c>
      <c r="J2103">
        <v>6.3E-3</v>
      </c>
      <c r="K2103">
        <v>1.26</v>
      </c>
      <c r="L2103">
        <v>9.2999999999999999E-2</v>
      </c>
      <c r="M2103">
        <v>0.81599999999999995</v>
      </c>
      <c r="N2103">
        <v>0.18</v>
      </c>
    </row>
    <row r="2104" spans="1:14" x14ac:dyDescent="0.25">
      <c r="A2104" t="s">
        <v>3904</v>
      </c>
      <c r="B2104" t="s">
        <v>3205</v>
      </c>
      <c r="C2104" s="1" t="str">
        <f>HYPERLINK("http://www.genecards.org/cgi-bin/carddisp.pl?gene=NFATC3","GeneCards")</f>
        <v>GeneCards</v>
      </c>
      <c r="D2104" s="1" t="str">
        <f>HYPERLINK("http://genome-euro.ucsc.edu/cgi-bin/hgTracks?position=210556_at","UCSC")</f>
        <v>UCSC</v>
      </c>
      <c r="E2104" s="1" t="str">
        <f>HYPERLINK("http://www.ncbi.nlm.nih.gov/gene/?term=NFATC3","NCBI")</f>
        <v>NCBI</v>
      </c>
      <c r="F2104">
        <v>8.0999999999999996E-3</v>
      </c>
      <c r="G2104">
        <v>6.5000000000000002E-2</v>
      </c>
      <c r="H2104" s="1" t="str">
        <f>HYPERLINK("http://www.weizmann.ac.il/complex/compphys/software/geview/data/figures/210556_at.png","Figure")</f>
        <v>Figure</v>
      </c>
      <c r="I2104">
        <v>0.60099999999999998</v>
      </c>
      <c r="J2104">
        <v>6.6E-3</v>
      </c>
      <c r="K2104">
        <v>0.84799999999999998</v>
      </c>
      <c r="L2104">
        <v>0.38</v>
      </c>
      <c r="M2104">
        <v>1.41</v>
      </c>
      <c r="N2104">
        <v>4.3999999999999997E-2</v>
      </c>
    </row>
    <row r="2105" spans="1:14" x14ac:dyDescent="0.25">
      <c r="A2105" t="s">
        <v>3905</v>
      </c>
      <c r="B2105" t="s">
        <v>3906</v>
      </c>
      <c r="C2105" s="1" t="str">
        <f>HYPERLINK("http://www.genecards.org/cgi-bin/carddisp.pl?gene=PDSS1","GeneCards")</f>
        <v>GeneCards</v>
      </c>
      <c r="D2105" s="1" t="str">
        <f>HYPERLINK("http://genome-euro.ucsc.edu/cgi-bin/hgTracks?position=220865_s_at","UCSC")</f>
        <v>UCSC</v>
      </c>
      <c r="E2105" s="1" t="str">
        <f>HYPERLINK("http://www.ncbi.nlm.nih.gov/gene/?term=PDSS1","NCBI")</f>
        <v>NCBI</v>
      </c>
      <c r="F2105">
        <v>8.0999999999999996E-3</v>
      </c>
      <c r="G2105">
        <v>6.5000000000000002E-2</v>
      </c>
      <c r="H2105" s="1" t="str">
        <f>HYPERLINK("http://www.weizmann.ac.il/complex/compphys/software/geview/data/figures/220865_s_at.png","Figure")</f>
        <v>Figure</v>
      </c>
      <c r="I2105">
        <v>0.75</v>
      </c>
      <c r="J2105">
        <v>0.1</v>
      </c>
      <c r="K2105">
        <v>1.18</v>
      </c>
      <c r="L2105">
        <v>0.32</v>
      </c>
      <c r="M2105">
        <v>1.58</v>
      </c>
      <c r="N2105">
        <v>6.0000000000000001E-3</v>
      </c>
    </row>
    <row r="2106" spans="1:14" x14ac:dyDescent="0.25">
      <c r="A2106" t="s">
        <v>3907</v>
      </c>
      <c r="B2106" t="s">
        <v>3908</v>
      </c>
      <c r="C2106" s="1" t="str">
        <f>HYPERLINK("http://www.genecards.org/cgi-bin/carddisp.pl?gene=SGSH","GeneCards")</f>
        <v>GeneCards</v>
      </c>
      <c r="D2106" s="1" t="str">
        <f>HYPERLINK("http://genome-euro.ucsc.edu/cgi-bin/hgTracks?position=35626_at","UCSC")</f>
        <v>UCSC</v>
      </c>
      <c r="E2106" s="1" t="str">
        <f>HYPERLINK("http://www.ncbi.nlm.nih.gov/gene/?term=SGSH","NCBI")</f>
        <v>NCBI</v>
      </c>
      <c r="F2106">
        <v>8.0999999999999996E-3</v>
      </c>
      <c r="G2106">
        <v>6.5000000000000002E-2</v>
      </c>
      <c r="H2106" s="1" t="str">
        <f>HYPERLINK("http://www.weizmann.ac.il/complex/compphys/software/geview/data/figures/35626_at.png","Figure")</f>
        <v>Figure</v>
      </c>
      <c r="I2106">
        <v>0.72499999999999998</v>
      </c>
      <c r="J2106">
        <v>7.9000000000000001E-2</v>
      </c>
      <c r="K2106">
        <v>0.64400000000000002</v>
      </c>
      <c r="L2106">
        <v>6.6E-3</v>
      </c>
      <c r="M2106">
        <v>0.88900000000000001</v>
      </c>
      <c r="N2106">
        <v>0.63</v>
      </c>
    </row>
    <row r="2107" spans="1:14" x14ac:dyDescent="0.25">
      <c r="A2107" t="s">
        <v>3909</v>
      </c>
      <c r="B2107" t="s">
        <v>3910</v>
      </c>
      <c r="C2107" s="1" t="str">
        <f>HYPERLINK("http://www.genecards.org/cgi-bin/carddisp.pl?gene=SND1","GeneCards")</f>
        <v>GeneCards</v>
      </c>
      <c r="D2107" s="1" t="str">
        <f>HYPERLINK("http://genome-euro.ucsc.edu/cgi-bin/hgTracks?position=201622_at","UCSC")</f>
        <v>UCSC</v>
      </c>
      <c r="E2107" s="1" t="str">
        <f>HYPERLINK("http://www.ncbi.nlm.nih.gov/gene/?term=SND1","NCBI")</f>
        <v>NCBI</v>
      </c>
      <c r="F2107">
        <v>8.0999999999999996E-3</v>
      </c>
      <c r="G2107">
        <v>6.5000000000000002E-2</v>
      </c>
      <c r="H2107" s="1" t="str">
        <f>HYPERLINK("http://www.weizmann.ac.il/complex/compphys/software/geview/data/figures/201622_at.png","Figure")</f>
        <v>Figure</v>
      </c>
      <c r="I2107">
        <v>1.74</v>
      </c>
      <c r="J2107">
        <v>6.8999999999999999E-3</v>
      </c>
      <c r="K2107">
        <v>1.39</v>
      </c>
      <c r="L2107">
        <v>6.4000000000000001E-2</v>
      </c>
      <c r="M2107">
        <v>0.79600000000000004</v>
      </c>
      <c r="N2107">
        <v>0.27</v>
      </c>
    </row>
    <row r="2108" spans="1:14" x14ac:dyDescent="0.25">
      <c r="A2108" t="s">
        <v>3911</v>
      </c>
      <c r="B2108" t="s">
        <v>3912</v>
      </c>
      <c r="C2108" s="1" t="str">
        <f>HYPERLINK("http://www.genecards.org/cgi-bin/carddisp.pl?gene=RNF8","GeneCards")</f>
        <v>GeneCards</v>
      </c>
      <c r="D2108" s="1" t="str">
        <f>HYPERLINK("http://genome-euro.ucsc.edu/cgi-bin/hgTracks?position=203160_s_at","UCSC")</f>
        <v>UCSC</v>
      </c>
      <c r="E2108" s="1" t="str">
        <f>HYPERLINK("http://www.ncbi.nlm.nih.gov/gene/?term=RNF8","NCBI")</f>
        <v>NCBI</v>
      </c>
      <c r="F2108">
        <v>8.0999999999999996E-3</v>
      </c>
      <c r="G2108">
        <v>6.5000000000000002E-2</v>
      </c>
      <c r="H2108" s="1" t="str">
        <f>HYPERLINK("http://www.weizmann.ac.il/complex/compphys/software/geview/data/figures/203160_s_at.png","Figure")</f>
        <v>Figure</v>
      </c>
      <c r="I2108">
        <v>0.78100000000000003</v>
      </c>
      <c r="J2108">
        <v>7.1999999999999995E-2</v>
      </c>
      <c r="K2108">
        <v>1.1200000000000001</v>
      </c>
      <c r="L2108">
        <v>0.45</v>
      </c>
      <c r="M2108">
        <v>1.43</v>
      </c>
      <c r="N2108">
        <v>6.1999999999999998E-3</v>
      </c>
    </row>
    <row r="2109" spans="1:14" x14ac:dyDescent="0.25">
      <c r="A2109" t="s">
        <v>3913</v>
      </c>
      <c r="B2109" t="s">
        <v>3914</v>
      </c>
      <c r="C2109" s="1" t="str">
        <f>HYPERLINK("http://www.genecards.org/cgi-bin/carddisp.pl?gene=RGS19","GeneCards")</f>
        <v>GeneCards</v>
      </c>
      <c r="D2109" s="1" t="str">
        <f>HYPERLINK("http://genome-euro.ucsc.edu/cgi-bin/hgTracks?position=204336_s_at","UCSC")</f>
        <v>UCSC</v>
      </c>
      <c r="E2109" s="1" t="str">
        <f>HYPERLINK("http://www.ncbi.nlm.nih.gov/gene/?term=RGS19","NCBI")</f>
        <v>NCBI</v>
      </c>
      <c r="F2109">
        <v>8.0999999999999996E-3</v>
      </c>
      <c r="G2109">
        <v>6.5000000000000002E-2</v>
      </c>
      <c r="H2109" s="1" t="str">
        <f>HYPERLINK("http://www.weizmann.ac.il/complex/compphys/software/geview/data/figures/204336_s_at.png","Figure")</f>
        <v>Figure</v>
      </c>
      <c r="I2109">
        <v>0.67900000000000005</v>
      </c>
      <c r="J2109">
        <v>0.17</v>
      </c>
      <c r="K2109">
        <v>1.38</v>
      </c>
      <c r="L2109">
        <v>0.2</v>
      </c>
      <c r="M2109">
        <v>2.0299999999999998</v>
      </c>
      <c r="N2109">
        <v>6.3E-3</v>
      </c>
    </row>
    <row r="2110" spans="1:14" x14ac:dyDescent="0.25">
      <c r="A2110" t="s">
        <v>3915</v>
      </c>
      <c r="B2110" t="s">
        <v>3916</v>
      </c>
      <c r="C2110" s="1" t="str">
        <f>HYPERLINK("http://www.genecards.org/cgi-bin/carddisp.pl?gene=DBC1","GeneCards")</f>
        <v>GeneCards</v>
      </c>
      <c r="D2110" s="1" t="str">
        <f>HYPERLINK("http://genome-euro.ucsc.edu/cgi-bin/hgTracks?position=205818_at","UCSC")</f>
        <v>UCSC</v>
      </c>
      <c r="E2110" s="1" t="str">
        <f>HYPERLINK("http://www.ncbi.nlm.nih.gov/gene/?term=DBC1","NCBI")</f>
        <v>NCBI</v>
      </c>
      <c r="F2110">
        <v>8.0999999999999996E-3</v>
      </c>
      <c r="G2110">
        <v>6.5000000000000002E-2</v>
      </c>
      <c r="H2110" s="1" t="str">
        <f>HYPERLINK("http://www.weizmann.ac.il/complex/compphys/software/geview/data/figures/205818_at.png","Figure")</f>
        <v>Figure</v>
      </c>
      <c r="I2110">
        <v>1.23</v>
      </c>
      <c r="J2110">
        <v>7.0000000000000001E-3</v>
      </c>
      <c r="K2110">
        <v>1.06</v>
      </c>
      <c r="L2110">
        <v>0.46</v>
      </c>
      <c r="M2110">
        <v>0.86499999999999999</v>
      </c>
      <c r="N2110">
        <v>3.6999999999999998E-2</v>
      </c>
    </row>
    <row r="2111" spans="1:14" x14ac:dyDescent="0.25">
      <c r="A2111" t="s">
        <v>3917</v>
      </c>
      <c r="B2111" t="s">
        <v>3918</v>
      </c>
      <c r="C2111" s="1" t="str">
        <f>HYPERLINK("http://www.genecards.org/cgi-bin/carddisp.pl?gene=KCNA3","GeneCards")</f>
        <v>GeneCards</v>
      </c>
      <c r="D2111" s="1" t="str">
        <f>HYPERLINK("http://genome-euro.ucsc.edu/cgi-bin/hgTracks?position=207237_at","UCSC")</f>
        <v>UCSC</v>
      </c>
      <c r="E2111" s="1" t="str">
        <f>HYPERLINK("http://www.ncbi.nlm.nih.gov/gene/?term=KCNA3","NCBI")</f>
        <v>NCBI</v>
      </c>
      <c r="F2111">
        <v>8.0999999999999996E-3</v>
      </c>
      <c r="G2111">
        <v>6.5000000000000002E-2</v>
      </c>
      <c r="H2111" s="1" t="str">
        <f>HYPERLINK("http://www.weizmann.ac.il/complex/compphys/software/geview/data/figures/207237_at.png","Figure")</f>
        <v>Figure</v>
      </c>
      <c r="I2111">
        <v>2.75</v>
      </c>
      <c r="J2111">
        <v>1.2E-2</v>
      </c>
      <c r="K2111">
        <v>2.23</v>
      </c>
      <c r="L2111">
        <v>2.1000000000000001E-2</v>
      </c>
      <c r="M2111">
        <v>0.81299999999999994</v>
      </c>
      <c r="N2111">
        <v>0.74</v>
      </c>
    </row>
    <row r="2112" spans="1:14" x14ac:dyDescent="0.25">
      <c r="A2112" t="s">
        <v>3919</v>
      </c>
      <c r="B2112" t="s">
        <v>3920</v>
      </c>
      <c r="C2112" s="1" t="str">
        <f>HYPERLINK("http://www.genecards.org/cgi-bin/carddisp.pl?gene=CD69","GeneCards")</f>
        <v>GeneCards</v>
      </c>
      <c r="D2112" s="1" t="str">
        <f>HYPERLINK("http://genome-euro.ucsc.edu/cgi-bin/hgTracks?position=209795_at","UCSC")</f>
        <v>UCSC</v>
      </c>
      <c r="E2112" s="1" t="str">
        <f>HYPERLINK("http://www.ncbi.nlm.nih.gov/gene/?term=CD69","NCBI")</f>
        <v>NCBI</v>
      </c>
      <c r="F2112">
        <v>8.0999999999999996E-3</v>
      </c>
      <c r="G2112">
        <v>6.5000000000000002E-2</v>
      </c>
      <c r="H2112" s="1" t="str">
        <f>HYPERLINK("http://www.weizmann.ac.il/complex/compphys/software/geview/data/figures/209795_at.png","Figure")</f>
        <v>Figure</v>
      </c>
      <c r="I2112">
        <v>0.27</v>
      </c>
      <c r="J2112">
        <v>2.1999999999999999E-2</v>
      </c>
      <c r="K2112">
        <v>0.28100000000000003</v>
      </c>
      <c r="L2112">
        <v>1.0999999999999999E-2</v>
      </c>
      <c r="M2112">
        <v>1.04</v>
      </c>
      <c r="N2112">
        <v>0.99</v>
      </c>
    </row>
    <row r="2113" spans="1:14" x14ac:dyDescent="0.25">
      <c r="A2113" t="s">
        <v>3921</v>
      </c>
      <c r="B2113" t="s">
        <v>1957</v>
      </c>
      <c r="C2113" s="1" t="str">
        <f>HYPERLINK("http://www.genecards.org/cgi-bin/carddisp.pl?gene=KIAA0182","GeneCards")</f>
        <v>GeneCards</v>
      </c>
      <c r="D2113" s="1" t="str">
        <f>HYPERLINK("http://genome-euro.ucsc.edu/cgi-bin/hgTracks?position=212057_at","UCSC")</f>
        <v>UCSC</v>
      </c>
      <c r="E2113" s="1" t="str">
        <f>HYPERLINK("http://www.ncbi.nlm.nih.gov/gene/?term=KIAA0182","NCBI")</f>
        <v>NCBI</v>
      </c>
      <c r="F2113">
        <v>8.0999999999999996E-3</v>
      </c>
      <c r="G2113">
        <v>6.5000000000000002E-2</v>
      </c>
      <c r="H2113" s="1" t="str">
        <f>HYPERLINK("http://www.weizmann.ac.il/complex/compphys/software/geview/data/figures/212057_at.png","Figure")</f>
        <v>Figure</v>
      </c>
      <c r="I2113">
        <v>1.98</v>
      </c>
      <c r="J2113">
        <v>8.2000000000000007E-3</v>
      </c>
      <c r="K2113">
        <v>1.58</v>
      </c>
      <c r="L2113">
        <v>3.9E-2</v>
      </c>
      <c r="M2113">
        <v>0.79800000000000004</v>
      </c>
      <c r="N2113">
        <v>0.43</v>
      </c>
    </row>
    <row r="2114" spans="1:14" x14ac:dyDescent="0.25">
      <c r="A2114" t="s">
        <v>3922</v>
      </c>
      <c r="B2114" t="s">
        <v>3923</v>
      </c>
      <c r="C2114" s="1" t="str">
        <f>HYPERLINK("http://www.genecards.org/cgi-bin/carddisp.pl?gene=PAMR1","GeneCards")</f>
        <v>GeneCards</v>
      </c>
      <c r="D2114" s="1" t="str">
        <f>HYPERLINK("http://genome-euro.ucsc.edu/cgi-bin/hgTracks?position=213661_at","UCSC")</f>
        <v>UCSC</v>
      </c>
      <c r="E2114" s="1" t="str">
        <f>HYPERLINK("http://www.ncbi.nlm.nih.gov/gene/?term=PAMR1","NCBI")</f>
        <v>NCBI</v>
      </c>
      <c r="F2114">
        <v>8.0999999999999996E-3</v>
      </c>
      <c r="G2114">
        <v>6.5000000000000002E-2</v>
      </c>
      <c r="H2114" s="1" t="str">
        <f>HYPERLINK("http://www.weizmann.ac.il/complex/compphys/software/geview/data/figures/213661_at.png","Figure")</f>
        <v>Figure</v>
      </c>
      <c r="I2114">
        <v>1.07</v>
      </c>
      <c r="J2114">
        <v>0.71</v>
      </c>
      <c r="K2114">
        <v>0.82499999999999996</v>
      </c>
      <c r="L2114">
        <v>0.04</v>
      </c>
      <c r="M2114">
        <v>0.77400000000000002</v>
      </c>
      <c r="N2114">
        <v>1.0999999999999999E-2</v>
      </c>
    </row>
    <row r="2115" spans="1:14" x14ac:dyDescent="0.25">
      <c r="A2115" t="s">
        <v>3924</v>
      </c>
      <c r="B2115" t="s">
        <v>3925</v>
      </c>
      <c r="C2115" s="1" t="str">
        <f>HYPERLINK("http://www.genecards.org/cgi-bin/carddisp.pl?gene=NUMA1","GeneCards")</f>
        <v>GeneCards</v>
      </c>
      <c r="D2115" s="1" t="str">
        <f>HYPERLINK("http://genome-euro.ucsc.edu/cgi-bin/hgTracks?position=214251_s_at","UCSC")</f>
        <v>UCSC</v>
      </c>
      <c r="E2115" s="1" t="str">
        <f>HYPERLINK("http://www.ncbi.nlm.nih.gov/gene/?term=NUMA1","NCBI")</f>
        <v>NCBI</v>
      </c>
      <c r="F2115">
        <v>8.0999999999999996E-3</v>
      </c>
      <c r="G2115">
        <v>6.5000000000000002E-2</v>
      </c>
      <c r="H2115" s="1" t="str">
        <f>HYPERLINK("http://www.weizmann.ac.il/complex/compphys/software/geview/data/figures/214251_s_at.png","Figure")</f>
        <v>Figure</v>
      </c>
      <c r="I2115">
        <v>1.26</v>
      </c>
      <c r="J2115">
        <v>7.0000000000000001E-3</v>
      </c>
      <c r="K2115">
        <v>1.1499999999999999</v>
      </c>
      <c r="L2115">
        <v>6.0999999999999999E-2</v>
      </c>
      <c r="M2115">
        <v>0.91200000000000003</v>
      </c>
      <c r="N2115">
        <v>0.28000000000000003</v>
      </c>
    </row>
    <row r="2116" spans="1:14" x14ac:dyDescent="0.25">
      <c r="A2116" t="s">
        <v>3926</v>
      </c>
      <c r="B2116" t="s">
        <v>3927</v>
      </c>
      <c r="C2116" s="1" t="str">
        <f>HYPERLINK("http://www.genecards.org/cgi-bin/carddisp.pl?gene=CHORDC1","GeneCards")</f>
        <v>GeneCards</v>
      </c>
      <c r="D2116" s="1" t="str">
        <f>HYPERLINK("http://genome-euro.ucsc.edu/cgi-bin/hgTracks?position=218566_s_at","UCSC")</f>
        <v>UCSC</v>
      </c>
      <c r="E2116" s="1" t="str">
        <f>HYPERLINK("http://www.ncbi.nlm.nih.gov/gene/?term=CHORDC1","NCBI")</f>
        <v>NCBI</v>
      </c>
      <c r="F2116">
        <v>8.0999999999999996E-3</v>
      </c>
      <c r="G2116">
        <v>6.5000000000000002E-2</v>
      </c>
      <c r="H2116" s="1" t="str">
        <f>HYPERLINK("http://www.weizmann.ac.il/complex/compphys/software/geview/data/figures/218566_s_at.png","Figure")</f>
        <v>Figure</v>
      </c>
      <c r="I2116">
        <v>0.60899999999999999</v>
      </c>
      <c r="J2116">
        <v>3.5999999999999997E-2</v>
      </c>
      <c r="K2116">
        <v>0.57499999999999996</v>
      </c>
      <c r="L2116">
        <v>8.5000000000000006E-3</v>
      </c>
      <c r="M2116">
        <v>0.94399999999999995</v>
      </c>
      <c r="N2116">
        <v>0.93</v>
      </c>
    </row>
    <row r="2117" spans="1:14" x14ac:dyDescent="0.25">
      <c r="A2117" t="s">
        <v>3928</v>
      </c>
      <c r="B2117" t="s">
        <v>3929</v>
      </c>
      <c r="C2117" s="1" t="str">
        <f>HYPERLINK("http://www.genecards.org/cgi-bin/carddisp.pl?gene=DPP3","GeneCards")</f>
        <v>GeneCards</v>
      </c>
      <c r="D2117" s="1" t="str">
        <f>HYPERLINK("http://genome-euro.ucsc.edu/cgi-bin/hgTracks?position=218567_x_at","UCSC")</f>
        <v>UCSC</v>
      </c>
      <c r="E2117" s="1" t="str">
        <f>HYPERLINK("http://www.ncbi.nlm.nih.gov/gene/?term=DPP3","NCBI")</f>
        <v>NCBI</v>
      </c>
      <c r="F2117">
        <v>8.0999999999999996E-3</v>
      </c>
      <c r="G2117">
        <v>6.5000000000000002E-2</v>
      </c>
      <c r="H2117" s="1" t="str">
        <f>HYPERLINK("http://www.weizmann.ac.il/complex/compphys/software/geview/data/figures/218567_x_at.png","Figure")</f>
        <v>Figure</v>
      </c>
      <c r="I2117">
        <v>1.05</v>
      </c>
      <c r="J2117">
        <v>0.89</v>
      </c>
      <c r="K2117">
        <v>1.33</v>
      </c>
      <c r="L2117">
        <v>1.0999999999999999E-2</v>
      </c>
      <c r="M2117">
        <v>1.27</v>
      </c>
      <c r="N2117">
        <v>4.2000000000000003E-2</v>
      </c>
    </row>
    <row r="2118" spans="1:14" x14ac:dyDescent="0.25">
      <c r="A2118" t="s">
        <v>3930</v>
      </c>
      <c r="B2118" t="s">
        <v>3931</v>
      </c>
      <c r="C2118" s="1" t="str">
        <f>HYPERLINK("http://www.genecards.org/cgi-bin/carddisp.pl?gene=CRKRS","GeneCards")</f>
        <v>GeneCards</v>
      </c>
      <c r="D2118" s="1" t="str">
        <f>HYPERLINK("http://genome-euro.ucsc.edu/cgi-bin/hgTracks?position=219226_at","UCSC")</f>
        <v>UCSC</v>
      </c>
      <c r="E2118" s="1" t="str">
        <f>HYPERLINK("http://www.ncbi.nlm.nih.gov/gene/?term=CRKRS","NCBI")</f>
        <v>NCBI</v>
      </c>
      <c r="F2118">
        <v>8.0999999999999996E-3</v>
      </c>
      <c r="G2118">
        <v>6.5000000000000002E-2</v>
      </c>
      <c r="H2118" s="1" t="str">
        <f>HYPERLINK("http://www.weizmann.ac.il/complex/compphys/software/geview/data/figures/219226_at.png","Figure")</f>
        <v>Figure</v>
      </c>
      <c r="I2118">
        <v>0.92300000000000004</v>
      </c>
      <c r="J2118">
        <v>0.68</v>
      </c>
      <c r="K2118">
        <v>0.74299999999999999</v>
      </c>
      <c r="L2118">
        <v>8.3999999999999995E-3</v>
      </c>
      <c r="M2118">
        <v>0.80500000000000005</v>
      </c>
      <c r="N2118">
        <v>7.0000000000000007E-2</v>
      </c>
    </row>
    <row r="2119" spans="1:14" x14ac:dyDescent="0.25">
      <c r="A2119" t="s">
        <v>3932</v>
      </c>
      <c r="B2119" t="s">
        <v>3933</v>
      </c>
      <c r="C2119" s="1" t="str">
        <f>HYPERLINK("http://www.genecards.org/cgi-bin/carddisp.pl?gene=ZFAND6","GeneCards")</f>
        <v>GeneCards</v>
      </c>
      <c r="D2119" s="1" t="str">
        <f>HYPERLINK("http://genome-euro.ucsc.edu/cgi-bin/hgTracks?position=221613_s_at","UCSC")</f>
        <v>UCSC</v>
      </c>
      <c r="E2119" s="1" t="str">
        <f>HYPERLINK("http://www.ncbi.nlm.nih.gov/gene/?term=ZFAND6","NCBI")</f>
        <v>NCBI</v>
      </c>
      <c r="F2119">
        <v>8.0999999999999996E-3</v>
      </c>
      <c r="G2119">
        <v>6.5000000000000002E-2</v>
      </c>
      <c r="H2119" s="1" t="str">
        <f>HYPERLINK("http://www.weizmann.ac.il/complex/compphys/software/geview/data/figures/221613_s_at.png","Figure")</f>
        <v>Figure</v>
      </c>
      <c r="I2119">
        <v>0.79400000000000004</v>
      </c>
      <c r="J2119">
        <v>0.56000000000000005</v>
      </c>
      <c r="K2119">
        <v>0.496</v>
      </c>
      <c r="L2119">
        <v>7.6E-3</v>
      </c>
      <c r="M2119">
        <v>0.626</v>
      </c>
      <c r="N2119">
        <v>9.2999999999999999E-2</v>
      </c>
    </row>
    <row r="2120" spans="1:14" x14ac:dyDescent="0.25">
      <c r="A2120" t="s">
        <v>3934</v>
      </c>
      <c r="B2120" t="s">
        <v>3935</v>
      </c>
      <c r="C2120" s="1" t="str">
        <f>HYPERLINK("http://www.genecards.org/cgi-bin/carddisp.pl?gene=CSNK1G2","GeneCards")</f>
        <v>GeneCards</v>
      </c>
      <c r="D2120" s="1" t="str">
        <f>HYPERLINK("http://genome-euro.ucsc.edu/cgi-bin/hgTracks?position=202573_at","UCSC")</f>
        <v>UCSC</v>
      </c>
      <c r="E2120" s="1" t="str">
        <f>HYPERLINK("http://www.ncbi.nlm.nih.gov/gene/?term=CSNK1G2","NCBI")</f>
        <v>NCBI</v>
      </c>
      <c r="F2120">
        <v>8.0999999999999996E-3</v>
      </c>
      <c r="G2120">
        <v>6.5000000000000002E-2</v>
      </c>
      <c r="H2120" s="1" t="str">
        <f>HYPERLINK("http://www.weizmann.ac.il/complex/compphys/software/geview/data/figures/202573_at.png","Figure")</f>
        <v>Figure</v>
      </c>
      <c r="I2120">
        <v>1.55</v>
      </c>
      <c r="J2120">
        <v>8.6E-3</v>
      </c>
      <c r="K2120">
        <v>1.0900000000000001</v>
      </c>
      <c r="L2120">
        <v>0.69</v>
      </c>
      <c r="M2120">
        <v>0.70499999999999996</v>
      </c>
      <c r="N2120">
        <v>2.3E-2</v>
      </c>
    </row>
    <row r="2121" spans="1:14" x14ac:dyDescent="0.25">
      <c r="A2121" t="s">
        <v>3936</v>
      </c>
      <c r="B2121" t="s">
        <v>3937</v>
      </c>
      <c r="C2121" s="1" t="str">
        <f>HYPERLINK("http://www.genecards.org/cgi-bin/carddisp.pl?gene=ITGA2B","GeneCards")</f>
        <v>GeneCards</v>
      </c>
      <c r="D2121" s="1" t="str">
        <f>HYPERLINK("http://genome-euro.ucsc.edu/cgi-bin/hgTracks?position=206493_at","UCSC")</f>
        <v>UCSC</v>
      </c>
      <c r="E2121" s="1" t="str">
        <f>HYPERLINK("http://www.ncbi.nlm.nih.gov/gene/?term=ITGA2B","NCBI")</f>
        <v>NCBI</v>
      </c>
      <c r="F2121">
        <v>8.0999999999999996E-3</v>
      </c>
      <c r="G2121">
        <v>6.5000000000000002E-2</v>
      </c>
      <c r="H2121" s="1" t="str">
        <f>HYPERLINK("http://www.weizmann.ac.il/complex/compphys/software/geview/data/figures/206493_at.png","Figure")</f>
        <v>Figure</v>
      </c>
      <c r="I2121">
        <v>1.1399999999999999</v>
      </c>
      <c r="J2121">
        <v>0.1</v>
      </c>
      <c r="K2121">
        <v>0.92900000000000005</v>
      </c>
      <c r="L2121">
        <v>0.34</v>
      </c>
      <c r="M2121">
        <v>0.81699999999999995</v>
      </c>
      <c r="N2121">
        <v>6.1000000000000004E-3</v>
      </c>
    </row>
    <row r="2122" spans="1:14" x14ac:dyDescent="0.25">
      <c r="A2122" t="s">
        <v>3938</v>
      </c>
      <c r="B2122" t="s">
        <v>3939</v>
      </c>
      <c r="C2122" s="1" t="str">
        <f>HYPERLINK("http://www.genecards.org/cgi-bin/carddisp.pl?gene=PQLC1","GeneCards")</f>
        <v>GeneCards</v>
      </c>
      <c r="D2122" s="1" t="str">
        <f>HYPERLINK("http://genome-euro.ucsc.edu/cgi-bin/hgTracks?position=218208_at","UCSC")</f>
        <v>UCSC</v>
      </c>
      <c r="E2122" s="1" t="str">
        <f>HYPERLINK("http://www.ncbi.nlm.nih.gov/gene/?term=PQLC1","NCBI")</f>
        <v>NCBI</v>
      </c>
      <c r="F2122">
        <v>8.0999999999999996E-3</v>
      </c>
      <c r="G2122">
        <v>6.5000000000000002E-2</v>
      </c>
      <c r="H2122" s="1" t="str">
        <f>HYPERLINK("http://www.weizmann.ac.il/complex/compphys/software/geview/data/figures/218208_at.png","Figure")</f>
        <v>Figure</v>
      </c>
      <c r="I2122">
        <v>0.67600000000000005</v>
      </c>
      <c r="J2122">
        <v>0.13</v>
      </c>
      <c r="K2122">
        <v>0.54200000000000004</v>
      </c>
      <c r="L2122">
        <v>6.1999999999999998E-3</v>
      </c>
      <c r="M2122">
        <v>0.80200000000000005</v>
      </c>
      <c r="N2122">
        <v>0.44</v>
      </c>
    </row>
    <row r="2123" spans="1:14" x14ac:dyDescent="0.25">
      <c r="A2123" t="s">
        <v>3940</v>
      </c>
      <c r="B2123" t="s">
        <v>3941</v>
      </c>
      <c r="C2123" s="1" t="str">
        <f>HYPERLINK("http://www.genecards.org/cgi-bin/carddisp.pl?gene=GRIP2","GeneCards")</f>
        <v>GeneCards</v>
      </c>
      <c r="D2123" s="1" t="str">
        <f>HYPERLINK("http://genome-euro.ucsc.edu/cgi-bin/hgTracks?position=216481_at","UCSC")</f>
        <v>UCSC</v>
      </c>
      <c r="E2123" s="1" t="str">
        <f>HYPERLINK("http://www.ncbi.nlm.nih.gov/gene/?term=GRIP2","NCBI")</f>
        <v>NCBI</v>
      </c>
      <c r="F2123">
        <v>8.2000000000000007E-3</v>
      </c>
      <c r="G2123">
        <v>6.5000000000000002E-2</v>
      </c>
      <c r="H2123" s="1" t="str">
        <f>HYPERLINK("http://www.weizmann.ac.il/complex/compphys/software/geview/data/figures/216481_at.png","Figure")</f>
        <v>Figure</v>
      </c>
      <c r="I2123">
        <v>1.52</v>
      </c>
      <c r="J2123">
        <v>6.1000000000000004E-3</v>
      </c>
      <c r="K2123">
        <v>1.22</v>
      </c>
      <c r="L2123">
        <v>0.15</v>
      </c>
      <c r="M2123">
        <v>0.79900000000000004</v>
      </c>
      <c r="N2123">
        <v>0.12</v>
      </c>
    </row>
    <row r="2124" spans="1:14" x14ac:dyDescent="0.25">
      <c r="A2124" t="s">
        <v>3942</v>
      </c>
      <c r="B2124" t="s">
        <v>3943</v>
      </c>
      <c r="C2124" s="1" t="str">
        <f>HYPERLINK("http://www.genecards.org/cgi-bin/carddisp.pl?gene=LOC388152 /// LOC727751 /// LOC727849 /// LOC80154","GeneCards")</f>
        <v>GeneCards</v>
      </c>
      <c r="D2124" s="1" t="str">
        <f>HYPERLINK("http://genome-euro.ucsc.edu/cgi-bin/hgTracks?position=220602_s_at","UCSC")</f>
        <v>UCSC</v>
      </c>
      <c r="E2124" s="1" t="str">
        <f>HYPERLINK("http://www.ncbi.nlm.nih.gov/gene/?term=LOC388152 /// LOC727751 /// LOC727849 /// LOC80154","NCBI")</f>
        <v>NCBI</v>
      </c>
      <c r="F2124">
        <v>8.2000000000000007E-3</v>
      </c>
      <c r="G2124">
        <v>6.5000000000000002E-2</v>
      </c>
      <c r="H2124" s="1" t="str">
        <f>HYPERLINK("http://www.weizmann.ac.il/complex/compphys/software/geview/data/figures/220602_s_at.png","Figure")</f>
        <v>Figure</v>
      </c>
      <c r="I2124">
        <v>1.3</v>
      </c>
      <c r="J2124">
        <v>9.7999999999999997E-3</v>
      </c>
      <c r="K2124">
        <v>1.22</v>
      </c>
      <c r="L2124">
        <v>2.8000000000000001E-2</v>
      </c>
      <c r="M2124">
        <v>0.93200000000000005</v>
      </c>
      <c r="N2124">
        <v>0.59</v>
      </c>
    </row>
    <row r="2125" spans="1:14" x14ac:dyDescent="0.25">
      <c r="A2125" t="s">
        <v>3944</v>
      </c>
      <c r="B2125" t="s">
        <v>3945</v>
      </c>
      <c r="C2125" s="1" t="str">
        <f>HYPERLINK("http://www.genecards.org/cgi-bin/carddisp.pl?gene=GLT8D1","GeneCards")</f>
        <v>GeneCards</v>
      </c>
      <c r="D2125" s="1" t="str">
        <f>HYPERLINK("http://genome-euro.ucsc.edu/cgi-bin/hgTracks?position=218146_at","UCSC")</f>
        <v>UCSC</v>
      </c>
      <c r="E2125" s="1" t="str">
        <f>HYPERLINK("http://www.ncbi.nlm.nih.gov/gene/?term=GLT8D1","NCBI")</f>
        <v>NCBI</v>
      </c>
      <c r="F2125">
        <v>8.2000000000000007E-3</v>
      </c>
      <c r="G2125">
        <v>6.5000000000000002E-2</v>
      </c>
      <c r="H2125" s="1" t="str">
        <f>HYPERLINK("http://www.weizmann.ac.il/complex/compphys/software/geview/data/figures/218146_at.png","Figure")</f>
        <v>Figure</v>
      </c>
      <c r="I2125">
        <v>1.01</v>
      </c>
      <c r="J2125">
        <v>1</v>
      </c>
      <c r="K2125">
        <v>1.42</v>
      </c>
      <c r="L2125">
        <v>1.4999999999999999E-2</v>
      </c>
      <c r="M2125">
        <v>1.41</v>
      </c>
      <c r="N2125">
        <v>2.5999999999999999E-2</v>
      </c>
    </row>
    <row r="2126" spans="1:14" x14ac:dyDescent="0.25">
      <c r="A2126" t="s">
        <v>3946</v>
      </c>
      <c r="B2126" t="s">
        <v>3947</v>
      </c>
      <c r="C2126" s="1" t="str">
        <f>HYPERLINK("http://www.genecards.org/cgi-bin/carddisp.pl?gene=NUP133","GeneCards")</f>
        <v>GeneCards</v>
      </c>
      <c r="D2126" s="1" t="str">
        <f>HYPERLINK("http://genome-euro.ucsc.edu/cgi-bin/hgTracks?position=202184_s_at","UCSC")</f>
        <v>UCSC</v>
      </c>
      <c r="E2126" s="1" t="str">
        <f>HYPERLINK("http://www.ncbi.nlm.nih.gov/gene/?term=NUP133","NCBI")</f>
        <v>NCBI</v>
      </c>
      <c r="F2126">
        <v>8.2000000000000007E-3</v>
      </c>
      <c r="G2126">
        <v>6.5000000000000002E-2</v>
      </c>
      <c r="H2126" s="1" t="str">
        <f>HYPERLINK("http://www.weizmann.ac.il/complex/compphys/software/geview/data/figures/202184_s_at.png","Figure")</f>
        <v>Figure</v>
      </c>
      <c r="I2126">
        <v>1.96</v>
      </c>
      <c r="J2126">
        <v>9.7000000000000003E-3</v>
      </c>
      <c r="K2126">
        <v>1.63</v>
      </c>
      <c r="L2126">
        <v>2.8000000000000001E-2</v>
      </c>
      <c r="M2126">
        <v>0.83399999999999996</v>
      </c>
      <c r="N2126">
        <v>0.57999999999999996</v>
      </c>
    </row>
    <row r="2127" spans="1:14" x14ac:dyDescent="0.25">
      <c r="A2127" t="s">
        <v>3948</v>
      </c>
      <c r="B2127" t="s">
        <v>3949</v>
      </c>
      <c r="C2127" s="1" t="str">
        <f>HYPERLINK("http://www.genecards.org/cgi-bin/carddisp.pl?gene=AQP3","GeneCards")</f>
        <v>GeneCards</v>
      </c>
      <c r="D2127" s="1" t="str">
        <f>HYPERLINK("http://genome-euro.ucsc.edu/cgi-bin/hgTracks?position=203747_at","UCSC")</f>
        <v>UCSC</v>
      </c>
      <c r="E2127" s="1" t="str">
        <f>HYPERLINK("http://www.ncbi.nlm.nih.gov/gene/?term=AQP3","NCBI")</f>
        <v>NCBI</v>
      </c>
      <c r="F2127">
        <v>8.2000000000000007E-3</v>
      </c>
      <c r="G2127">
        <v>6.5000000000000002E-2</v>
      </c>
      <c r="H2127" s="1" t="str">
        <f>HYPERLINK("http://www.weizmann.ac.il/complex/compphys/software/geview/data/figures/203747_at.png","Figure")</f>
        <v>Figure</v>
      </c>
      <c r="I2127">
        <v>1.51</v>
      </c>
      <c r="J2127">
        <v>6.1000000000000004E-3</v>
      </c>
      <c r="K2127">
        <v>1.21</v>
      </c>
      <c r="L2127">
        <v>0.15</v>
      </c>
      <c r="M2127">
        <v>0.8</v>
      </c>
      <c r="N2127">
        <v>0.11</v>
      </c>
    </row>
    <row r="2128" spans="1:14" x14ac:dyDescent="0.25">
      <c r="A2128" t="s">
        <v>3950</v>
      </c>
      <c r="B2128" t="s">
        <v>2300</v>
      </c>
      <c r="C2128" s="1" t="str">
        <f>HYPERLINK("http://www.genecards.org/cgi-bin/carddisp.pl?gene=SPON1","GeneCards")</f>
        <v>GeneCards</v>
      </c>
      <c r="D2128" s="1" t="str">
        <f>HYPERLINK("http://genome-euro.ucsc.edu/cgi-bin/hgTracks?position=209437_s_at","UCSC")</f>
        <v>UCSC</v>
      </c>
      <c r="E2128" s="1" t="str">
        <f>HYPERLINK("http://www.ncbi.nlm.nih.gov/gene/?term=SPON1","NCBI")</f>
        <v>NCBI</v>
      </c>
      <c r="F2128">
        <v>8.2000000000000007E-3</v>
      </c>
      <c r="G2128">
        <v>6.5000000000000002E-2</v>
      </c>
      <c r="H2128" s="1" t="str">
        <f>HYPERLINK("http://www.weizmann.ac.il/complex/compphys/software/geview/data/figures/209437_s_at.png","Figure")</f>
        <v>Figure</v>
      </c>
      <c r="I2128">
        <v>1.04</v>
      </c>
      <c r="J2128">
        <v>0.9</v>
      </c>
      <c r="K2128">
        <v>0.80300000000000005</v>
      </c>
      <c r="L2128">
        <v>2.5999999999999999E-2</v>
      </c>
      <c r="M2128">
        <v>0.77400000000000002</v>
      </c>
      <c r="N2128">
        <v>1.6E-2</v>
      </c>
    </row>
    <row r="2129" spans="1:14" x14ac:dyDescent="0.25">
      <c r="A2129" t="s">
        <v>3951</v>
      </c>
      <c r="B2129" t="s">
        <v>3952</v>
      </c>
      <c r="C2129" s="1" t="str">
        <f>HYPERLINK("http://www.genecards.org/cgi-bin/carddisp.pl?gene=COL8A2","GeneCards")</f>
        <v>GeneCards</v>
      </c>
      <c r="D2129" s="1" t="str">
        <f>HYPERLINK("http://genome-euro.ucsc.edu/cgi-bin/hgTracks?position=52651_at","UCSC")</f>
        <v>UCSC</v>
      </c>
      <c r="E2129" s="1" t="str">
        <f>HYPERLINK("http://www.ncbi.nlm.nih.gov/gene/?term=COL8A2","NCBI")</f>
        <v>NCBI</v>
      </c>
      <c r="F2129">
        <v>8.2000000000000007E-3</v>
      </c>
      <c r="G2129">
        <v>6.5000000000000002E-2</v>
      </c>
      <c r="H2129" s="1" t="str">
        <f>HYPERLINK("http://www.weizmann.ac.il/complex/compphys/software/geview/data/figures/52651_at.png","Figure")</f>
        <v>Figure</v>
      </c>
      <c r="I2129">
        <v>1.18</v>
      </c>
      <c r="J2129">
        <v>1.2E-2</v>
      </c>
      <c r="K2129">
        <v>1.02</v>
      </c>
      <c r="L2129">
        <v>0.93</v>
      </c>
      <c r="M2129">
        <v>0.86</v>
      </c>
      <c r="N2129">
        <v>1.4E-2</v>
      </c>
    </row>
    <row r="2130" spans="1:14" x14ac:dyDescent="0.25">
      <c r="A2130" t="s">
        <v>3953</v>
      </c>
      <c r="B2130" t="s">
        <v>3954</v>
      </c>
      <c r="C2130" s="1" t="str">
        <f>HYPERLINK("http://www.genecards.org/cgi-bin/carddisp.pl?gene=RDH5","GeneCards")</f>
        <v>GeneCards</v>
      </c>
      <c r="D2130" s="1" t="str">
        <f>HYPERLINK("http://genome-euro.ucsc.edu/cgi-bin/hgTracks?position=210106_at","UCSC")</f>
        <v>UCSC</v>
      </c>
      <c r="E2130" s="1" t="str">
        <f>HYPERLINK("http://www.ncbi.nlm.nih.gov/gene/?term=RDH5","NCBI")</f>
        <v>NCBI</v>
      </c>
      <c r="F2130">
        <v>8.2000000000000007E-3</v>
      </c>
      <c r="G2130">
        <v>6.5000000000000002E-2</v>
      </c>
      <c r="H2130" s="1" t="str">
        <f>HYPERLINK("http://www.weizmann.ac.il/complex/compphys/software/geview/data/figures/210106_at.png","Figure")</f>
        <v>Figure</v>
      </c>
      <c r="I2130">
        <v>1.2</v>
      </c>
      <c r="J2130">
        <v>8.6E-3</v>
      </c>
      <c r="K2130">
        <v>1.1299999999999999</v>
      </c>
      <c r="L2130">
        <v>3.5999999999999997E-2</v>
      </c>
      <c r="M2130">
        <v>0.94599999999999995</v>
      </c>
      <c r="N2130">
        <v>0.47</v>
      </c>
    </row>
    <row r="2131" spans="1:14" x14ac:dyDescent="0.25">
      <c r="A2131" t="s">
        <v>3955</v>
      </c>
      <c r="B2131" t="s">
        <v>3956</v>
      </c>
      <c r="C2131" s="1" t="str">
        <f>HYPERLINK("http://www.genecards.org/cgi-bin/carddisp.pl?gene=KRT8P12","GeneCards")</f>
        <v>GeneCards</v>
      </c>
      <c r="D2131" s="1" t="str">
        <f>HYPERLINK("http://genome-euro.ucsc.edu/cgi-bin/hgTracks?position=222060_at","UCSC")</f>
        <v>UCSC</v>
      </c>
      <c r="E2131" s="1" t="str">
        <f>HYPERLINK("http://www.ncbi.nlm.nih.gov/gene/?term=KRT8P12","NCBI")</f>
        <v>NCBI</v>
      </c>
      <c r="F2131">
        <v>8.2000000000000007E-3</v>
      </c>
      <c r="G2131">
        <v>6.5000000000000002E-2</v>
      </c>
      <c r="H2131" s="1" t="str">
        <f>HYPERLINK("http://www.weizmann.ac.il/complex/compphys/software/geview/data/figures/222060_at.png","Figure")</f>
        <v>Figure</v>
      </c>
      <c r="I2131">
        <v>1.18</v>
      </c>
      <c r="J2131">
        <v>5.8999999999999997E-2</v>
      </c>
      <c r="K2131">
        <v>1.23</v>
      </c>
      <c r="L2131">
        <v>7.1000000000000004E-3</v>
      </c>
      <c r="M2131">
        <v>1.04</v>
      </c>
      <c r="N2131">
        <v>0.76</v>
      </c>
    </row>
    <row r="2132" spans="1:14" x14ac:dyDescent="0.25">
      <c r="A2132" t="s">
        <v>3957</v>
      </c>
      <c r="B2132" t="s">
        <v>3958</v>
      </c>
      <c r="C2132" s="1" t="str">
        <f>HYPERLINK("http://www.genecards.org/cgi-bin/carddisp.pl?gene=TPK1","GeneCards")</f>
        <v>GeneCards</v>
      </c>
      <c r="D2132" s="1" t="str">
        <f>HYPERLINK("http://genome-euro.ucsc.edu/cgi-bin/hgTracks?position=221218_s_at","UCSC")</f>
        <v>UCSC</v>
      </c>
      <c r="E2132" s="1" t="str">
        <f>HYPERLINK("http://www.ncbi.nlm.nih.gov/gene/?term=TPK1","NCBI")</f>
        <v>NCBI</v>
      </c>
      <c r="F2132">
        <v>8.2000000000000007E-3</v>
      </c>
      <c r="G2132">
        <v>6.5000000000000002E-2</v>
      </c>
      <c r="H2132" s="1" t="str">
        <f>HYPERLINK("http://www.weizmann.ac.il/complex/compphys/software/geview/data/figures/221218_s_at.png","Figure")</f>
        <v>Figure</v>
      </c>
      <c r="I2132">
        <v>0.877</v>
      </c>
      <c r="J2132">
        <v>1.6E-2</v>
      </c>
      <c r="K2132">
        <v>1</v>
      </c>
      <c r="L2132">
        <v>1</v>
      </c>
      <c r="M2132">
        <v>1.1399999999999999</v>
      </c>
      <c r="N2132">
        <v>1.0999999999999999E-2</v>
      </c>
    </row>
    <row r="2133" spans="1:14" x14ac:dyDescent="0.25">
      <c r="A2133" t="s">
        <v>3959</v>
      </c>
      <c r="B2133" t="s">
        <v>3960</v>
      </c>
      <c r="C2133" s="1" t="str">
        <f>HYPERLINK("http://www.genecards.org/cgi-bin/carddisp.pl?gene=NDE1","GeneCards")</f>
        <v>GeneCards</v>
      </c>
      <c r="D2133" s="1" t="str">
        <f>HYPERLINK("http://genome-euro.ucsc.edu/cgi-bin/hgTracks?position=218414_s_at","UCSC")</f>
        <v>UCSC</v>
      </c>
      <c r="E2133" s="1" t="str">
        <f>HYPERLINK("http://www.ncbi.nlm.nih.gov/gene/?term=NDE1","NCBI")</f>
        <v>NCBI</v>
      </c>
      <c r="F2133">
        <v>8.2000000000000007E-3</v>
      </c>
      <c r="G2133">
        <v>6.5000000000000002E-2</v>
      </c>
      <c r="H2133" s="1" t="str">
        <f>HYPERLINK("http://www.weizmann.ac.il/complex/compphys/software/geview/data/figures/218414_s_at.png","Figure")</f>
        <v>Figure</v>
      </c>
      <c r="I2133">
        <v>0.56699999999999995</v>
      </c>
      <c r="J2133">
        <v>1.0999999999999999E-2</v>
      </c>
      <c r="K2133">
        <v>0.93799999999999994</v>
      </c>
      <c r="L2133">
        <v>0.9</v>
      </c>
      <c r="M2133">
        <v>1.65</v>
      </c>
      <c r="N2133">
        <v>1.6E-2</v>
      </c>
    </row>
    <row r="2134" spans="1:14" x14ac:dyDescent="0.25">
      <c r="A2134" t="s">
        <v>3961</v>
      </c>
      <c r="B2134" t="s">
        <v>3962</v>
      </c>
      <c r="C2134" s="1" t="str">
        <f>HYPERLINK("http://www.genecards.org/cgi-bin/carddisp.pl?gene=KLHL25","GeneCards")</f>
        <v>GeneCards</v>
      </c>
      <c r="D2134" s="1" t="str">
        <f>HYPERLINK("http://genome-euro.ucsc.edu/cgi-bin/hgTracks?position=210307_s_at","UCSC")</f>
        <v>UCSC</v>
      </c>
      <c r="E2134" s="1" t="str">
        <f>HYPERLINK("http://www.ncbi.nlm.nih.gov/gene/?term=KLHL25","NCBI")</f>
        <v>NCBI</v>
      </c>
      <c r="F2134">
        <v>8.2000000000000007E-3</v>
      </c>
      <c r="G2134">
        <v>6.6000000000000003E-2</v>
      </c>
      <c r="H2134" s="1" t="str">
        <f>HYPERLINK("http://www.weizmann.ac.il/complex/compphys/software/geview/data/figures/210307_s_at.png","Figure")</f>
        <v>Figure</v>
      </c>
      <c r="I2134">
        <v>1.43</v>
      </c>
      <c r="J2134">
        <v>7.4999999999999997E-3</v>
      </c>
      <c r="K2134">
        <v>1.1000000000000001</v>
      </c>
      <c r="L2134">
        <v>0.54</v>
      </c>
      <c r="M2134">
        <v>0.76800000000000002</v>
      </c>
      <c r="N2134">
        <v>3.1E-2</v>
      </c>
    </row>
    <row r="2135" spans="1:14" x14ac:dyDescent="0.25">
      <c r="A2135" t="s">
        <v>3963</v>
      </c>
      <c r="B2135" t="s">
        <v>3964</v>
      </c>
      <c r="C2135" s="1" t="str">
        <f>HYPERLINK("http://www.genecards.org/cgi-bin/carddisp.pl?gene=TRIO","GeneCards")</f>
        <v>GeneCards</v>
      </c>
      <c r="D2135" s="1" t="str">
        <f>HYPERLINK("http://genome-euro.ucsc.edu/cgi-bin/hgTracks?position=209013_x_at","UCSC")</f>
        <v>UCSC</v>
      </c>
      <c r="E2135" s="1" t="str">
        <f>HYPERLINK("http://www.ncbi.nlm.nih.gov/gene/?term=TRIO","NCBI")</f>
        <v>NCBI</v>
      </c>
      <c r="F2135">
        <v>8.2000000000000007E-3</v>
      </c>
      <c r="G2135">
        <v>6.6000000000000003E-2</v>
      </c>
      <c r="H2135" s="1" t="str">
        <f>HYPERLINK("http://www.weizmann.ac.il/complex/compphys/software/geview/data/figures/209013_x_at.png","Figure")</f>
        <v>Figure</v>
      </c>
      <c r="I2135">
        <v>1.42</v>
      </c>
      <c r="J2135">
        <v>0.13</v>
      </c>
      <c r="K2135">
        <v>0.78800000000000003</v>
      </c>
      <c r="L2135">
        <v>0.27</v>
      </c>
      <c r="M2135">
        <v>0.55300000000000005</v>
      </c>
      <c r="N2135">
        <v>6.1999999999999998E-3</v>
      </c>
    </row>
    <row r="2136" spans="1:14" x14ac:dyDescent="0.25">
      <c r="A2136" t="s">
        <v>3965</v>
      </c>
      <c r="B2136" t="s">
        <v>3966</v>
      </c>
      <c r="C2136" s="1" t="str">
        <f>HYPERLINK("http://www.genecards.org/cgi-bin/carddisp.pl?gene=ITGA3","GeneCards")</f>
        <v>GeneCards</v>
      </c>
      <c r="D2136" s="1" t="str">
        <f>HYPERLINK("http://genome-euro.ucsc.edu/cgi-bin/hgTracks?position=201474_s_at","UCSC")</f>
        <v>UCSC</v>
      </c>
      <c r="E2136" s="1" t="str">
        <f>HYPERLINK("http://www.ncbi.nlm.nih.gov/gene/?term=ITGA3","NCBI")</f>
        <v>NCBI</v>
      </c>
      <c r="F2136">
        <v>8.2000000000000007E-3</v>
      </c>
      <c r="G2136">
        <v>6.6000000000000003E-2</v>
      </c>
      <c r="H2136" s="1" t="str">
        <f>HYPERLINK("http://www.weizmann.ac.il/complex/compphys/software/geview/data/figures/201474_s_at.png","Figure")</f>
        <v>Figure</v>
      </c>
      <c r="I2136">
        <v>1.25</v>
      </c>
      <c r="J2136">
        <v>7.4000000000000003E-3</v>
      </c>
      <c r="K2136">
        <v>1.1499999999999999</v>
      </c>
      <c r="L2136">
        <v>5.3999999999999999E-2</v>
      </c>
      <c r="M2136">
        <v>0.91900000000000004</v>
      </c>
      <c r="N2136">
        <v>0.32</v>
      </c>
    </row>
    <row r="2137" spans="1:14" x14ac:dyDescent="0.25">
      <c r="A2137" t="s">
        <v>3967</v>
      </c>
      <c r="B2137" t="s">
        <v>3968</v>
      </c>
      <c r="C2137" s="1" t="str">
        <f>HYPERLINK("http://www.genecards.org/cgi-bin/carddisp.pl?gene=CRAT","GeneCards")</f>
        <v>GeneCards</v>
      </c>
      <c r="D2137" s="1" t="str">
        <f>HYPERLINK("http://genome-euro.ucsc.edu/cgi-bin/hgTracks?position=205843_x_at","UCSC")</f>
        <v>UCSC</v>
      </c>
      <c r="E2137" s="1" t="str">
        <f>HYPERLINK("http://www.ncbi.nlm.nih.gov/gene/?term=CRAT","NCBI")</f>
        <v>NCBI</v>
      </c>
      <c r="F2137">
        <v>8.2000000000000007E-3</v>
      </c>
      <c r="G2137">
        <v>6.6000000000000003E-2</v>
      </c>
      <c r="H2137" s="1" t="str">
        <f>HYPERLINK("http://www.weizmann.ac.il/complex/compphys/software/geview/data/figures/205843_x_at.png","Figure")</f>
        <v>Figure</v>
      </c>
      <c r="I2137">
        <v>1.5</v>
      </c>
      <c r="J2137">
        <v>6.4000000000000003E-3</v>
      </c>
      <c r="K2137">
        <v>1.24</v>
      </c>
      <c r="L2137">
        <v>0.1</v>
      </c>
      <c r="M2137">
        <v>0.82299999999999995</v>
      </c>
      <c r="N2137">
        <v>0.17</v>
      </c>
    </row>
    <row r="2138" spans="1:14" x14ac:dyDescent="0.25">
      <c r="A2138" t="s">
        <v>3969</v>
      </c>
      <c r="B2138" t="s">
        <v>3970</v>
      </c>
      <c r="C2138" s="1" t="str">
        <f>HYPERLINK("http://www.genecards.org/cgi-bin/carddisp.pl?gene=ILF3","GeneCards")</f>
        <v>GeneCards</v>
      </c>
      <c r="D2138" s="1" t="str">
        <f>HYPERLINK("http://genome-euro.ucsc.edu/cgi-bin/hgTracks?position=208931_s_at","UCSC")</f>
        <v>UCSC</v>
      </c>
      <c r="E2138" s="1" t="str">
        <f>HYPERLINK("http://www.ncbi.nlm.nih.gov/gene/?term=ILF3","NCBI")</f>
        <v>NCBI</v>
      </c>
      <c r="F2138">
        <v>8.2000000000000007E-3</v>
      </c>
      <c r="G2138">
        <v>6.6000000000000003E-2</v>
      </c>
      <c r="H2138" s="1" t="str">
        <f>HYPERLINK("http://www.weizmann.ac.il/complex/compphys/software/geview/data/figures/208931_s_at.png","Figure")</f>
        <v>Figure</v>
      </c>
      <c r="I2138">
        <v>0.94799999999999995</v>
      </c>
      <c r="J2138">
        <v>0.96</v>
      </c>
      <c r="K2138">
        <v>0.55800000000000005</v>
      </c>
      <c r="L2138">
        <v>1.2999999999999999E-2</v>
      </c>
      <c r="M2138">
        <v>0.58799999999999997</v>
      </c>
      <c r="N2138">
        <v>3.3000000000000002E-2</v>
      </c>
    </row>
    <row r="2139" spans="1:14" x14ac:dyDescent="0.25">
      <c r="A2139" t="s">
        <v>3971</v>
      </c>
      <c r="B2139" t="s">
        <v>3972</v>
      </c>
      <c r="C2139" s="1" t="str">
        <f>HYPERLINK("http://www.genecards.org/cgi-bin/carddisp.pl?gene=CECR1","GeneCards")</f>
        <v>GeneCards</v>
      </c>
      <c r="D2139" s="1" t="str">
        <f>HYPERLINK("http://genome-euro.ucsc.edu/cgi-bin/hgTracks?position=219505_at","UCSC")</f>
        <v>UCSC</v>
      </c>
      <c r="E2139" s="1" t="str">
        <f>HYPERLINK("http://www.ncbi.nlm.nih.gov/gene/?term=CECR1","NCBI")</f>
        <v>NCBI</v>
      </c>
      <c r="F2139">
        <v>8.2000000000000007E-3</v>
      </c>
      <c r="G2139">
        <v>6.6000000000000003E-2</v>
      </c>
      <c r="H2139" s="1" t="str">
        <f>HYPERLINK("http://www.weizmann.ac.il/complex/compphys/software/geview/data/figures/219505_at.png","Figure")</f>
        <v>Figure</v>
      </c>
      <c r="I2139">
        <v>0.57299999999999995</v>
      </c>
      <c r="J2139">
        <v>8.8999999999999999E-3</v>
      </c>
      <c r="K2139">
        <v>0.89900000000000002</v>
      </c>
      <c r="L2139">
        <v>0.72</v>
      </c>
      <c r="M2139">
        <v>1.57</v>
      </c>
      <c r="N2139">
        <v>2.1999999999999999E-2</v>
      </c>
    </row>
    <row r="2140" spans="1:14" x14ac:dyDescent="0.25">
      <c r="A2140" t="s">
        <v>3973</v>
      </c>
      <c r="B2140" t="s">
        <v>3974</v>
      </c>
      <c r="C2140" s="1" t="str">
        <f>HYPERLINK("http://www.genecards.org/cgi-bin/carddisp.pl?gene=C8orf41","GeneCards")</f>
        <v>GeneCards</v>
      </c>
      <c r="D2140" s="1" t="str">
        <f>HYPERLINK("http://genome-euro.ucsc.edu/cgi-bin/hgTracks?position=219124_at","UCSC")</f>
        <v>UCSC</v>
      </c>
      <c r="E2140" s="1" t="str">
        <f>HYPERLINK("http://www.ncbi.nlm.nih.gov/gene/?term=C8orf41","NCBI")</f>
        <v>NCBI</v>
      </c>
      <c r="F2140">
        <v>8.3000000000000001E-3</v>
      </c>
      <c r="G2140">
        <v>6.6000000000000003E-2</v>
      </c>
      <c r="H2140" s="1" t="str">
        <f>HYPERLINK("http://www.weizmann.ac.il/complex/compphys/software/geview/data/figures/219124_at.png","Figure")</f>
        <v>Figure</v>
      </c>
      <c r="I2140">
        <v>1.36</v>
      </c>
      <c r="J2140">
        <v>8.3999999999999995E-3</v>
      </c>
      <c r="K2140">
        <v>1.23</v>
      </c>
      <c r="L2140">
        <v>3.9E-2</v>
      </c>
      <c r="M2140">
        <v>0.90500000000000003</v>
      </c>
      <c r="N2140">
        <v>0.44</v>
      </c>
    </row>
    <row r="2141" spans="1:14" x14ac:dyDescent="0.25">
      <c r="A2141" t="s">
        <v>3975</v>
      </c>
      <c r="B2141" t="s">
        <v>3976</v>
      </c>
      <c r="C2141" s="1" t="str">
        <f>HYPERLINK("http://www.genecards.org/cgi-bin/carddisp.pl?gene=CAPG","GeneCards")</f>
        <v>GeneCards</v>
      </c>
      <c r="D2141" s="1" t="str">
        <f>HYPERLINK("http://genome-euro.ucsc.edu/cgi-bin/hgTracks?position=201850_at","UCSC")</f>
        <v>UCSC</v>
      </c>
      <c r="E2141" s="1" t="str">
        <f>HYPERLINK("http://www.ncbi.nlm.nih.gov/gene/?term=CAPG","NCBI")</f>
        <v>NCBI</v>
      </c>
      <c r="F2141">
        <v>8.3000000000000001E-3</v>
      </c>
      <c r="G2141">
        <v>6.6000000000000003E-2</v>
      </c>
      <c r="H2141" s="1" t="str">
        <f>HYPERLINK("http://www.weizmann.ac.il/complex/compphys/software/geview/data/figures/201850_at.png","Figure")</f>
        <v>Figure</v>
      </c>
      <c r="I2141">
        <v>1.62</v>
      </c>
      <c r="J2141">
        <v>0.21</v>
      </c>
      <c r="K2141">
        <v>2.42</v>
      </c>
      <c r="L2141">
        <v>6.1999999999999998E-3</v>
      </c>
      <c r="M2141">
        <v>1.49</v>
      </c>
      <c r="N2141">
        <v>0.28999999999999998</v>
      </c>
    </row>
    <row r="2142" spans="1:14" x14ac:dyDescent="0.25">
      <c r="A2142" t="s">
        <v>3977</v>
      </c>
      <c r="B2142" t="s">
        <v>3978</v>
      </c>
      <c r="C2142" s="1" t="str">
        <f>HYPERLINK("http://www.genecards.org/cgi-bin/carddisp.pl?gene=DFNA5","GeneCards")</f>
        <v>GeneCards</v>
      </c>
      <c r="D2142" s="1" t="str">
        <f>HYPERLINK("http://genome-euro.ucsc.edu/cgi-bin/hgTracks?position=203695_s_at","UCSC")</f>
        <v>UCSC</v>
      </c>
      <c r="E2142" s="1" t="str">
        <f>HYPERLINK("http://www.ncbi.nlm.nih.gov/gene/?term=DFNA5","NCBI")</f>
        <v>NCBI</v>
      </c>
      <c r="F2142">
        <v>8.3000000000000001E-3</v>
      </c>
      <c r="G2142">
        <v>6.6000000000000003E-2</v>
      </c>
      <c r="H2142" s="1" t="str">
        <f>HYPERLINK("http://www.weizmann.ac.il/complex/compphys/software/geview/data/figures/203695_s_at.png","Figure")</f>
        <v>Figure</v>
      </c>
      <c r="I2142">
        <v>2.46</v>
      </c>
      <c r="J2142">
        <v>0.17</v>
      </c>
      <c r="K2142">
        <v>4.5999999999999996</v>
      </c>
      <c r="L2142">
        <v>6.1999999999999998E-3</v>
      </c>
      <c r="M2142">
        <v>1.87</v>
      </c>
      <c r="N2142">
        <v>0.35</v>
      </c>
    </row>
    <row r="2143" spans="1:14" x14ac:dyDescent="0.25">
      <c r="A2143" t="s">
        <v>3979</v>
      </c>
      <c r="B2143" t="s">
        <v>3980</v>
      </c>
      <c r="C2143" s="1" t="str">
        <f>HYPERLINK("http://www.genecards.org/cgi-bin/carddisp.pl?gene=PRRG2","GeneCards")</f>
        <v>GeneCards</v>
      </c>
      <c r="D2143" s="1" t="str">
        <f>HYPERLINK("http://genome-euro.ucsc.edu/cgi-bin/hgTracks?position=205617_at","UCSC")</f>
        <v>UCSC</v>
      </c>
      <c r="E2143" s="1" t="str">
        <f>HYPERLINK("http://www.ncbi.nlm.nih.gov/gene/?term=PRRG2","NCBI")</f>
        <v>NCBI</v>
      </c>
      <c r="F2143">
        <v>8.3000000000000001E-3</v>
      </c>
      <c r="G2143">
        <v>6.6000000000000003E-2</v>
      </c>
      <c r="H2143" s="1" t="str">
        <f>HYPERLINK("http://www.weizmann.ac.il/complex/compphys/software/geview/data/figures/205617_at.png","Figure")</f>
        <v>Figure</v>
      </c>
      <c r="I2143">
        <v>1.2</v>
      </c>
      <c r="J2143">
        <v>1.4999999999999999E-2</v>
      </c>
      <c r="K2143">
        <v>1.17</v>
      </c>
      <c r="L2143">
        <v>1.6E-2</v>
      </c>
      <c r="M2143">
        <v>0.97499999999999998</v>
      </c>
      <c r="N2143">
        <v>0.87</v>
      </c>
    </row>
    <row r="2144" spans="1:14" x14ac:dyDescent="0.25">
      <c r="A2144" t="s">
        <v>3981</v>
      </c>
      <c r="B2144" t="s">
        <v>2670</v>
      </c>
      <c r="C2144" s="1" t="str">
        <f>HYPERLINK("http://www.genecards.org/cgi-bin/carddisp.pl?gene=RAB5A","GeneCards")</f>
        <v>GeneCards</v>
      </c>
      <c r="D2144" s="1" t="str">
        <f>HYPERLINK("http://genome-euro.ucsc.edu/cgi-bin/hgTracks?position=206113_s_at","UCSC")</f>
        <v>UCSC</v>
      </c>
      <c r="E2144" s="1" t="str">
        <f>HYPERLINK("http://www.ncbi.nlm.nih.gov/gene/?term=RAB5A","NCBI")</f>
        <v>NCBI</v>
      </c>
      <c r="F2144">
        <v>8.3000000000000001E-3</v>
      </c>
      <c r="G2144">
        <v>6.6000000000000003E-2</v>
      </c>
      <c r="H2144" s="1" t="str">
        <f>HYPERLINK("http://www.weizmann.ac.il/complex/compphys/software/geview/data/figures/206113_s_at.png","Figure")</f>
        <v>Figure</v>
      </c>
      <c r="I2144">
        <v>0.83299999999999996</v>
      </c>
      <c r="J2144">
        <v>0.14000000000000001</v>
      </c>
      <c r="K2144">
        <v>0.745</v>
      </c>
      <c r="L2144">
        <v>6.1999999999999998E-3</v>
      </c>
      <c r="M2144">
        <v>0.89400000000000002</v>
      </c>
      <c r="N2144">
        <v>0.4</v>
      </c>
    </row>
    <row r="2145" spans="1:14" x14ac:dyDescent="0.25">
      <c r="A2145" t="s">
        <v>3982</v>
      </c>
      <c r="B2145" t="s">
        <v>3983</v>
      </c>
      <c r="C2145" s="1" t="str">
        <f>HYPERLINK("http://www.genecards.org/cgi-bin/carddisp.pl?gene=RANBP9","GeneCards")</f>
        <v>GeneCards</v>
      </c>
      <c r="D2145" s="1" t="str">
        <f>HYPERLINK("http://genome-euro.ucsc.edu/cgi-bin/hgTracks?position=216125_s_at","UCSC")</f>
        <v>UCSC</v>
      </c>
      <c r="E2145" s="1" t="str">
        <f>HYPERLINK("http://www.ncbi.nlm.nih.gov/gene/?term=RANBP9","NCBI")</f>
        <v>NCBI</v>
      </c>
      <c r="F2145">
        <v>8.3000000000000001E-3</v>
      </c>
      <c r="G2145">
        <v>6.6000000000000003E-2</v>
      </c>
      <c r="H2145" s="1" t="str">
        <f>HYPERLINK("http://www.weizmann.ac.il/complex/compphys/software/geview/data/figures/216125_s_at.png","Figure")</f>
        <v>Figure</v>
      </c>
      <c r="I2145">
        <v>0.76300000000000001</v>
      </c>
      <c r="J2145">
        <v>0.15</v>
      </c>
      <c r="K2145">
        <v>0.64300000000000002</v>
      </c>
      <c r="L2145">
        <v>6.1999999999999998E-3</v>
      </c>
      <c r="M2145">
        <v>0.84299999999999997</v>
      </c>
      <c r="N2145">
        <v>0.39</v>
      </c>
    </row>
    <row r="2146" spans="1:14" x14ac:dyDescent="0.25">
      <c r="A2146" t="s">
        <v>3984</v>
      </c>
      <c r="B2146" t="s">
        <v>3985</v>
      </c>
      <c r="C2146" s="1" t="str">
        <f>HYPERLINK("http://www.genecards.org/cgi-bin/carddisp.pl?gene=ETHE1","GeneCards")</f>
        <v>GeneCards</v>
      </c>
      <c r="D2146" s="1" t="str">
        <f>HYPERLINK("http://genome-euro.ucsc.edu/cgi-bin/hgTracks?position=204034_at","UCSC")</f>
        <v>UCSC</v>
      </c>
      <c r="E2146" s="1" t="str">
        <f>HYPERLINK("http://www.ncbi.nlm.nih.gov/gene/?term=ETHE1","NCBI")</f>
        <v>NCBI</v>
      </c>
      <c r="F2146">
        <v>8.3000000000000001E-3</v>
      </c>
      <c r="G2146">
        <v>6.6000000000000003E-2</v>
      </c>
      <c r="H2146" s="1" t="str">
        <f>HYPERLINK("http://www.weizmann.ac.il/complex/compphys/software/geview/data/figures/204034_at.png","Figure")</f>
        <v>Figure</v>
      </c>
      <c r="I2146">
        <v>0.92100000000000004</v>
      </c>
      <c r="J2146">
        <v>0.88</v>
      </c>
      <c r="K2146">
        <v>1.57</v>
      </c>
      <c r="L2146">
        <v>2.7E-2</v>
      </c>
      <c r="M2146">
        <v>1.71</v>
      </c>
      <c r="N2146">
        <v>1.4999999999999999E-2</v>
      </c>
    </row>
    <row r="2147" spans="1:14" x14ac:dyDescent="0.25">
      <c r="A2147" t="s">
        <v>3986</v>
      </c>
      <c r="B2147" t="s">
        <v>3987</v>
      </c>
      <c r="C2147" s="1" t="str">
        <f>HYPERLINK("http://www.genecards.org/cgi-bin/carddisp.pl?gene=SEC22B","GeneCards")</f>
        <v>GeneCards</v>
      </c>
      <c r="D2147" s="1" t="str">
        <f>HYPERLINK("http://genome-euro.ucsc.edu/cgi-bin/hgTracks?position=209207_s_at","UCSC")</f>
        <v>UCSC</v>
      </c>
      <c r="E2147" s="1" t="str">
        <f>HYPERLINK("http://www.ncbi.nlm.nih.gov/gene/?term=SEC22B","NCBI")</f>
        <v>NCBI</v>
      </c>
      <c r="F2147">
        <v>8.3000000000000001E-3</v>
      </c>
      <c r="G2147">
        <v>6.6000000000000003E-2</v>
      </c>
      <c r="H2147" s="1" t="str">
        <f>HYPERLINK("http://www.weizmann.ac.il/complex/compphys/software/geview/data/figures/209207_s_at.png","Figure")</f>
        <v>Figure</v>
      </c>
      <c r="I2147">
        <v>1.25</v>
      </c>
      <c r="J2147">
        <v>3.5000000000000003E-2</v>
      </c>
      <c r="K2147">
        <v>1.27</v>
      </c>
      <c r="L2147">
        <v>8.8999999999999999E-3</v>
      </c>
      <c r="M2147">
        <v>1.02</v>
      </c>
      <c r="N2147">
        <v>0.95</v>
      </c>
    </row>
    <row r="2148" spans="1:14" x14ac:dyDescent="0.25">
      <c r="A2148" t="s">
        <v>3988</v>
      </c>
      <c r="B2148" t="s">
        <v>3989</v>
      </c>
      <c r="C2148" s="1" t="str">
        <f>HYPERLINK("http://www.genecards.org/cgi-bin/carddisp.pl?gene=ITGA6","GeneCards")</f>
        <v>GeneCards</v>
      </c>
      <c r="D2148" s="1" t="str">
        <f>HYPERLINK("http://genome-euro.ucsc.edu/cgi-bin/hgTracks?position=215177_s_at","UCSC")</f>
        <v>UCSC</v>
      </c>
      <c r="E2148" s="1" t="str">
        <f>HYPERLINK("http://www.ncbi.nlm.nih.gov/gene/?term=ITGA6","NCBI")</f>
        <v>NCBI</v>
      </c>
      <c r="F2148">
        <v>8.3000000000000001E-3</v>
      </c>
      <c r="G2148">
        <v>6.6000000000000003E-2</v>
      </c>
      <c r="H2148" s="1" t="str">
        <f>HYPERLINK("http://www.weizmann.ac.il/complex/compphys/software/geview/data/figures/215177_s_at.png","Figure")</f>
        <v>Figure</v>
      </c>
      <c r="I2148">
        <v>0.81100000000000005</v>
      </c>
      <c r="J2148">
        <v>0.52</v>
      </c>
      <c r="K2148">
        <v>0.54700000000000004</v>
      </c>
      <c r="L2148">
        <v>7.4999999999999997E-3</v>
      </c>
      <c r="M2148">
        <v>0.67500000000000004</v>
      </c>
      <c r="N2148">
        <v>0.1</v>
      </c>
    </row>
    <row r="2149" spans="1:14" x14ac:dyDescent="0.25">
      <c r="A2149" t="s">
        <v>3990</v>
      </c>
      <c r="B2149" t="s">
        <v>3991</v>
      </c>
      <c r="C2149" s="1" t="str">
        <f>HYPERLINK("http://www.genecards.org/cgi-bin/carddisp.pl?gene=RARB","GeneCards")</f>
        <v>GeneCards</v>
      </c>
      <c r="D2149" s="1" t="str">
        <f>HYPERLINK("http://genome-euro.ucsc.edu/cgi-bin/hgTracks?position=217020_at","UCSC")</f>
        <v>UCSC</v>
      </c>
      <c r="E2149" s="1" t="str">
        <f>HYPERLINK("http://www.ncbi.nlm.nih.gov/gene/?term=RARB","NCBI")</f>
        <v>NCBI</v>
      </c>
      <c r="F2149">
        <v>8.3000000000000001E-3</v>
      </c>
      <c r="G2149">
        <v>6.6000000000000003E-2</v>
      </c>
      <c r="H2149" s="1" t="str">
        <f>HYPERLINK("http://www.weizmann.ac.il/complex/compphys/software/geview/data/figures/217020_at.png","Figure")</f>
        <v>Figure</v>
      </c>
      <c r="I2149">
        <v>1.19</v>
      </c>
      <c r="J2149">
        <v>9.7999999999999997E-3</v>
      </c>
      <c r="K2149">
        <v>1.03</v>
      </c>
      <c r="L2149">
        <v>0.8</v>
      </c>
      <c r="M2149">
        <v>0.86699999999999999</v>
      </c>
      <c r="N2149">
        <v>1.9E-2</v>
      </c>
    </row>
    <row r="2150" spans="1:14" x14ac:dyDescent="0.25">
      <c r="A2150" t="s">
        <v>3992</v>
      </c>
      <c r="B2150" t="s">
        <v>1273</v>
      </c>
      <c r="C2150" s="1" t="str">
        <f>HYPERLINK("http://www.genecards.org/cgi-bin/carddisp.pl?gene=ACTG1","GeneCards")</f>
        <v>GeneCards</v>
      </c>
      <c r="D2150" s="1" t="str">
        <f>HYPERLINK("http://genome-euro.ucsc.edu/cgi-bin/hgTracks?position=211983_x_at","UCSC")</f>
        <v>UCSC</v>
      </c>
      <c r="E2150" s="1" t="str">
        <f>HYPERLINK("http://www.ncbi.nlm.nih.gov/gene/?term=ACTG1","NCBI")</f>
        <v>NCBI</v>
      </c>
      <c r="F2150">
        <v>8.3000000000000001E-3</v>
      </c>
      <c r="G2150">
        <v>6.6000000000000003E-2</v>
      </c>
      <c r="H2150" s="1" t="str">
        <f>HYPERLINK("http://www.weizmann.ac.il/complex/compphys/software/geview/data/figures/211983_x_at.png","Figure")</f>
        <v>Figure</v>
      </c>
      <c r="I2150">
        <v>1.25</v>
      </c>
      <c r="J2150">
        <v>4.1000000000000002E-2</v>
      </c>
      <c r="K2150">
        <v>1.29</v>
      </c>
      <c r="L2150">
        <v>8.3000000000000001E-3</v>
      </c>
      <c r="M2150">
        <v>1.03</v>
      </c>
      <c r="N2150">
        <v>0.91</v>
      </c>
    </row>
    <row r="2151" spans="1:14" x14ac:dyDescent="0.25">
      <c r="A2151" t="s">
        <v>3993</v>
      </c>
      <c r="B2151" t="s">
        <v>3994</v>
      </c>
      <c r="C2151" s="1" t="str">
        <f>HYPERLINK("http://www.genecards.org/cgi-bin/carddisp.pl?gene=IL1RN","GeneCards")</f>
        <v>GeneCards</v>
      </c>
      <c r="D2151" s="1" t="str">
        <f>HYPERLINK("http://genome-euro.ucsc.edu/cgi-bin/hgTracks?position=216243_s_at","UCSC")</f>
        <v>UCSC</v>
      </c>
      <c r="E2151" s="1" t="str">
        <f>HYPERLINK("http://www.ncbi.nlm.nih.gov/gene/?term=IL1RN","NCBI")</f>
        <v>NCBI</v>
      </c>
      <c r="F2151">
        <v>8.3000000000000001E-3</v>
      </c>
      <c r="G2151">
        <v>6.6000000000000003E-2</v>
      </c>
      <c r="H2151" s="1" t="str">
        <f>HYPERLINK("http://www.weizmann.ac.il/complex/compphys/software/geview/data/figures/216243_s_at.png","Figure")</f>
        <v>Figure</v>
      </c>
      <c r="I2151">
        <v>1.26</v>
      </c>
      <c r="J2151">
        <v>8.2000000000000007E-3</v>
      </c>
      <c r="K2151">
        <v>1.05</v>
      </c>
      <c r="L2151">
        <v>0.62</v>
      </c>
      <c r="M2151">
        <v>0.83799999999999997</v>
      </c>
      <c r="N2151">
        <v>2.7E-2</v>
      </c>
    </row>
    <row r="2152" spans="1:14" x14ac:dyDescent="0.25">
      <c r="A2152" t="s">
        <v>3995</v>
      </c>
      <c r="B2152" t="s">
        <v>3996</v>
      </c>
      <c r="C2152" s="1" t="str">
        <f>HYPERLINK("http://www.genecards.org/cgi-bin/carddisp.pl?gene=GPR172A","GeneCards")</f>
        <v>GeneCards</v>
      </c>
      <c r="D2152" s="1" t="str">
        <f>HYPERLINK("http://genome-euro.ucsc.edu/cgi-bin/hgTracks?position=218151_x_at","UCSC")</f>
        <v>UCSC</v>
      </c>
      <c r="E2152" s="1" t="str">
        <f>HYPERLINK("http://www.ncbi.nlm.nih.gov/gene/?term=GPR172A","NCBI")</f>
        <v>NCBI</v>
      </c>
      <c r="F2152">
        <v>8.3000000000000001E-3</v>
      </c>
      <c r="G2152">
        <v>6.6000000000000003E-2</v>
      </c>
      <c r="H2152" s="1" t="str">
        <f>HYPERLINK("http://www.weizmann.ac.il/complex/compphys/software/geview/data/figures/218151_x_at.png","Figure")</f>
        <v>Figure</v>
      </c>
      <c r="I2152">
        <v>1.18</v>
      </c>
      <c r="J2152">
        <v>0.1</v>
      </c>
      <c r="K2152">
        <v>1.27</v>
      </c>
      <c r="L2152">
        <v>6.4999999999999997E-3</v>
      </c>
      <c r="M2152">
        <v>1.08</v>
      </c>
      <c r="N2152">
        <v>0.53</v>
      </c>
    </row>
    <row r="2153" spans="1:14" x14ac:dyDescent="0.25">
      <c r="A2153" t="s">
        <v>3997</v>
      </c>
      <c r="B2153" t="s">
        <v>3998</v>
      </c>
      <c r="C2153" s="1" t="str">
        <f>HYPERLINK("http://www.genecards.org/cgi-bin/carddisp.pl?gene=C17orf63","GeneCards")</f>
        <v>GeneCards</v>
      </c>
      <c r="D2153" s="1" t="str">
        <f>HYPERLINK("http://genome-euro.ucsc.edu/cgi-bin/hgTracks?position=218464_s_at","UCSC")</f>
        <v>UCSC</v>
      </c>
      <c r="E2153" s="1" t="str">
        <f>HYPERLINK("http://www.ncbi.nlm.nih.gov/gene/?term=C17orf63","NCBI")</f>
        <v>NCBI</v>
      </c>
      <c r="F2153">
        <v>8.3000000000000001E-3</v>
      </c>
      <c r="G2153">
        <v>6.6000000000000003E-2</v>
      </c>
      <c r="H2153" s="1" t="str">
        <f>HYPERLINK("http://www.weizmann.ac.il/complex/compphys/software/geview/data/figures/218464_s_at.png","Figure")</f>
        <v>Figure</v>
      </c>
      <c r="I2153">
        <v>1.21</v>
      </c>
      <c r="J2153">
        <v>0.27</v>
      </c>
      <c r="K2153">
        <v>0.81100000000000005</v>
      </c>
      <c r="L2153">
        <v>0.13</v>
      </c>
      <c r="M2153">
        <v>0.67200000000000004</v>
      </c>
      <c r="N2153">
        <v>7.0000000000000001E-3</v>
      </c>
    </row>
    <row r="2154" spans="1:14" x14ac:dyDescent="0.25">
      <c r="A2154" t="s">
        <v>3999</v>
      </c>
      <c r="B2154" t="s">
        <v>4000</v>
      </c>
      <c r="C2154" s="1" t="str">
        <f>HYPERLINK("http://www.genecards.org/cgi-bin/carddisp.pl?gene=ZNF443","GeneCards")</f>
        <v>GeneCards</v>
      </c>
      <c r="D2154" s="1" t="str">
        <f>HYPERLINK("http://genome-euro.ucsc.edu/cgi-bin/hgTracks?position=205928_at","UCSC")</f>
        <v>UCSC</v>
      </c>
      <c r="E2154" s="1" t="str">
        <f>HYPERLINK("http://www.ncbi.nlm.nih.gov/gene/?term=ZNF443","NCBI")</f>
        <v>NCBI</v>
      </c>
      <c r="F2154">
        <v>8.3000000000000001E-3</v>
      </c>
      <c r="G2154">
        <v>6.6000000000000003E-2</v>
      </c>
      <c r="H2154" s="1" t="str">
        <f>HYPERLINK("http://www.weizmann.ac.il/complex/compphys/software/geview/data/figures/205928_at.png","Figure")</f>
        <v>Figure</v>
      </c>
      <c r="I2154">
        <v>0.65500000000000003</v>
      </c>
      <c r="J2154">
        <v>1.4E-2</v>
      </c>
      <c r="K2154">
        <v>0.70399999999999996</v>
      </c>
      <c r="L2154">
        <v>1.7999999999999999E-2</v>
      </c>
      <c r="M2154">
        <v>1.07</v>
      </c>
      <c r="N2154">
        <v>0.82</v>
      </c>
    </row>
    <row r="2155" spans="1:14" x14ac:dyDescent="0.25">
      <c r="A2155" t="s">
        <v>4001</v>
      </c>
      <c r="B2155" t="s">
        <v>4002</v>
      </c>
      <c r="C2155" s="1" t="str">
        <f>HYPERLINK("http://www.genecards.org/cgi-bin/carddisp.pl?gene=PPME1","GeneCards")</f>
        <v>GeneCards</v>
      </c>
      <c r="D2155" s="1" t="str">
        <f>HYPERLINK("http://genome-euro.ucsc.edu/cgi-bin/hgTracks?position=49077_at","UCSC")</f>
        <v>UCSC</v>
      </c>
      <c r="E2155" s="1" t="str">
        <f>HYPERLINK("http://www.ncbi.nlm.nih.gov/gene/?term=PPME1","NCBI")</f>
        <v>NCBI</v>
      </c>
      <c r="F2155">
        <v>8.3000000000000001E-3</v>
      </c>
      <c r="G2155">
        <v>6.6000000000000003E-2</v>
      </c>
      <c r="H2155" s="1" t="str">
        <f>HYPERLINK("http://www.weizmann.ac.il/complex/compphys/software/geview/data/figures/49077_at.png","Figure")</f>
        <v>Figure</v>
      </c>
      <c r="I2155">
        <v>1.53</v>
      </c>
      <c r="J2155">
        <v>7.6E-3</v>
      </c>
      <c r="K2155">
        <v>1.3</v>
      </c>
      <c r="L2155">
        <v>5.1999999999999998E-2</v>
      </c>
      <c r="M2155">
        <v>0.85299999999999998</v>
      </c>
      <c r="N2155">
        <v>0.34</v>
      </c>
    </row>
    <row r="2156" spans="1:14" x14ac:dyDescent="0.25">
      <c r="A2156" t="s">
        <v>4003</v>
      </c>
      <c r="B2156" t="s">
        <v>4004</v>
      </c>
      <c r="C2156" s="1" t="str">
        <f>HYPERLINK("http://www.genecards.org/cgi-bin/carddisp.pl?gene=PLIN1","GeneCards")</f>
        <v>GeneCards</v>
      </c>
      <c r="D2156" s="1" t="str">
        <f>HYPERLINK("http://genome-euro.ucsc.edu/cgi-bin/hgTracks?position=205913_at","UCSC")</f>
        <v>UCSC</v>
      </c>
      <c r="E2156" s="1" t="str">
        <f>HYPERLINK("http://www.ncbi.nlm.nih.gov/gene/?term=PLIN1","NCBI")</f>
        <v>NCBI</v>
      </c>
      <c r="F2156">
        <v>8.3999999999999995E-3</v>
      </c>
      <c r="G2156">
        <v>6.6000000000000003E-2</v>
      </c>
      <c r="H2156" s="1" t="str">
        <f>HYPERLINK("http://www.weizmann.ac.il/complex/compphys/software/geview/data/figures/205913_at.png","Figure")</f>
        <v>Figure</v>
      </c>
      <c r="I2156">
        <v>1.21</v>
      </c>
      <c r="J2156">
        <v>6.2E-2</v>
      </c>
      <c r="K2156">
        <v>0.92800000000000005</v>
      </c>
      <c r="L2156">
        <v>0.52</v>
      </c>
      <c r="M2156">
        <v>0.76700000000000002</v>
      </c>
      <c r="N2156">
        <v>6.4999999999999997E-3</v>
      </c>
    </row>
    <row r="2157" spans="1:14" x14ac:dyDescent="0.25">
      <c r="A2157" t="s">
        <v>4005</v>
      </c>
      <c r="B2157" t="s">
        <v>4006</v>
      </c>
      <c r="C2157" s="1" t="str">
        <f>HYPERLINK("http://www.genecards.org/cgi-bin/carddisp.pl?gene=UQCRQ","GeneCards")</f>
        <v>GeneCards</v>
      </c>
      <c r="D2157" s="1" t="str">
        <f>HYPERLINK("http://genome-euro.ucsc.edu/cgi-bin/hgTracks?position=201568_at","UCSC")</f>
        <v>UCSC</v>
      </c>
      <c r="E2157" s="1" t="str">
        <f>HYPERLINK("http://www.ncbi.nlm.nih.gov/gene/?term=UQCRQ","NCBI")</f>
        <v>NCBI</v>
      </c>
      <c r="F2157">
        <v>8.3999999999999995E-3</v>
      </c>
      <c r="G2157">
        <v>6.6000000000000003E-2</v>
      </c>
      <c r="H2157" s="1" t="str">
        <f>HYPERLINK("http://www.weizmann.ac.il/complex/compphys/software/geview/data/figures/201568_at.png","Figure")</f>
        <v>Figure</v>
      </c>
      <c r="I2157">
        <v>1.19</v>
      </c>
      <c r="J2157">
        <v>0.5</v>
      </c>
      <c r="K2157">
        <v>1.61</v>
      </c>
      <c r="L2157">
        <v>7.4000000000000003E-3</v>
      </c>
      <c r="M2157">
        <v>1.35</v>
      </c>
      <c r="N2157">
        <v>0.11</v>
      </c>
    </row>
    <row r="2158" spans="1:14" x14ac:dyDescent="0.25">
      <c r="A2158" t="s">
        <v>4007</v>
      </c>
      <c r="B2158" t="s">
        <v>4008</v>
      </c>
      <c r="C2158" s="1" t="str">
        <f>HYPERLINK("http://www.genecards.org/cgi-bin/carddisp.pl?gene=PPP2R3A","GeneCards")</f>
        <v>GeneCards</v>
      </c>
      <c r="D2158" s="1" t="str">
        <f>HYPERLINK("http://genome-euro.ucsc.edu/cgi-bin/hgTracks?position=207749_s_at","UCSC")</f>
        <v>UCSC</v>
      </c>
      <c r="E2158" s="1" t="str">
        <f>HYPERLINK("http://www.ncbi.nlm.nih.gov/gene/?term=PPP2R3A","NCBI")</f>
        <v>NCBI</v>
      </c>
      <c r="F2158">
        <v>8.3999999999999995E-3</v>
      </c>
      <c r="G2158">
        <v>6.6000000000000003E-2</v>
      </c>
      <c r="H2158" s="1" t="str">
        <f>HYPERLINK("http://www.weizmann.ac.il/complex/compphys/software/geview/data/figures/207749_s_at.png","Figure")</f>
        <v>Figure</v>
      </c>
      <c r="I2158">
        <v>1.23</v>
      </c>
      <c r="J2158">
        <v>1.0999999999999999E-2</v>
      </c>
      <c r="K2158">
        <v>1.02</v>
      </c>
      <c r="L2158">
        <v>0.9</v>
      </c>
      <c r="M2158">
        <v>0.82899999999999996</v>
      </c>
      <c r="N2158">
        <v>1.6E-2</v>
      </c>
    </row>
    <row r="2159" spans="1:14" x14ac:dyDescent="0.25">
      <c r="A2159" t="s">
        <v>4009</v>
      </c>
      <c r="B2159" t="s">
        <v>4010</v>
      </c>
      <c r="C2159" s="1" t="str">
        <f>HYPERLINK("http://www.genecards.org/cgi-bin/carddisp.pl?gene=CALML4","GeneCards")</f>
        <v>GeneCards</v>
      </c>
      <c r="D2159" s="1" t="str">
        <f>HYPERLINK("http://genome-euro.ucsc.edu/cgi-bin/hgTracks?position=221879_at","UCSC")</f>
        <v>UCSC</v>
      </c>
      <c r="E2159" s="1" t="str">
        <f>HYPERLINK("http://www.ncbi.nlm.nih.gov/gene/?term=CALML4","NCBI")</f>
        <v>NCBI</v>
      </c>
      <c r="F2159">
        <v>8.3999999999999995E-3</v>
      </c>
      <c r="G2159">
        <v>6.6000000000000003E-2</v>
      </c>
      <c r="H2159" s="1" t="str">
        <f>HYPERLINK("http://www.weizmann.ac.il/complex/compphys/software/geview/data/figures/221879_at.png","Figure")</f>
        <v>Figure</v>
      </c>
      <c r="I2159">
        <v>0.67700000000000005</v>
      </c>
      <c r="J2159">
        <v>3.3000000000000002E-2</v>
      </c>
      <c r="K2159">
        <v>1.08</v>
      </c>
      <c r="L2159">
        <v>0.8</v>
      </c>
      <c r="M2159">
        <v>1.6</v>
      </c>
      <c r="N2159">
        <v>7.4999999999999997E-3</v>
      </c>
    </row>
    <row r="2160" spans="1:14" x14ac:dyDescent="0.25">
      <c r="A2160" t="s">
        <v>4011</v>
      </c>
      <c r="B2160" t="s">
        <v>4012</v>
      </c>
      <c r="C2160" s="1" t="str">
        <f>HYPERLINK("http://www.genecards.org/cgi-bin/carddisp.pl?gene=ST3GAL2","GeneCards")</f>
        <v>GeneCards</v>
      </c>
      <c r="D2160" s="1" t="str">
        <f>HYPERLINK("http://genome-euro.ucsc.edu/cgi-bin/hgTracks?position=205346_at","UCSC")</f>
        <v>UCSC</v>
      </c>
      <c r="E2160" s="1" t="str">
        <f>HYPERLINK("http://www.ncbi.nlm.nih.gov/gene/?term=ST3GAL2","NCBI")</f>
        <v>NCBI</v>
      </c>
      <c r="F2160">
        <v>8.3999999999999995E-3</v>
      </c>
      <c r="G2160">
        <v>6.6000000000000003E-2</v>
      </c>
      <c r="H2160" s="1" t="str">
        <f>HYPERLINK("http://www.weizmann.ac.il/complex/compphys/software/geview/data/figures/205346_at.png","Figure")</f>
        <v>Figure</v>
      </c>
      <c r="I2160">
        <v>1.34</v>
      </c>
      <c r="J2160">
        <v>7.3000000000000001E-3</v>
      </c>
      <c r="K2160">
        <v>1.19</v>
      </c>
      <c r="L2160">
        <v>0.06</v>
      </c>
      <c r="M2160">
        <v>0.89</v>
      </c>
      <c r="N2160">
        <v>0.28999999999999998</v>
      </c>
    </row>
    <row r="2161" spans="1:14" x14ac:dyDescent="0.25">
      <c r="A2161" t="s">
        <v>4013</v>
      </c>
      <c r="B2161" t="s">
        <v>4014</v>
      </c>
      <c r="C2161" s="1" t="str">
        <f>HYPERLINK("http://www.genecards.org/cgi-bin/carddisp.pl?gene=DKFZP434L187","GeneCards")</f>
        <v>GeneCards</v>
      </c>
      <c r="D2161" s="1" t="str">
        <f>HYPERLINK("http://genome-euro.ucsc.edu/cgi-bin/hgTracks?position=216596_at","UCSC")</f>
        <v>UCSC</v>
      </c>
      <c r="E2161" s="1" t="str">
        <f>HYPERLINK("http://www.ncbi.nlm.nih.gov/gene/?term=DKFZP434L187","NCBI")</f>
        <v>NCBI</v>
      </c>
      <c r="F2161">
        <v>8.3999999999999995E-3</v>
      </c>
      <c r="G2161">
        <v>6.6000000000000003E-2</v>
      </c>
      <c r="H2161" s="1" t="str">
        <f>HYPERLINK("http://www.weizmann.ac.il/complex/compphys/software/geview/data/figures/216596_at.png","Figure")</f>
        <v>Figure</v>
      </c>
      <c r="I2161">
        <v>1.25</v>
      </c>
      <c r="J2161">
        <v>1.4E-2</v>
      </c>
      <c r="K2161">
        <v>1.2</v>
      </c>
      <c r="L2161">
        <v>1.7999999999999999E-2</v>
      </c>
      <c r="M2161">
        <v>0.96399999999999997</v>
      </c>
      <c r="N2161">
        <v>0.83</v>
      </c>
    </row>
    <row r="2162" spans="1:14" x14ac:dyDescent="0.25">
      <c r="A2162" t="s">
        <v>4015</v>
      </c>
      <c r="B2162" t="s">
        <v>4016</v>
      </c>
      <c r="C2162" s="1" t="str">
        <f>HYPERLINK("http://www.genecards.org/cgi-bin/carddisp.pl?gene=CYLD","GeneCards")</f>
        <v>GeneCards</v>
      </c>
      <c r="D2162" s="1" t="str">
        <f>HYPERLINK("http://genome-euro.ucsc.edu/cgi-bin/hgTracks?position=222142_at","UCSC")</f>
        <v>UCSC</v>
      </c>
      <c r="E2162" s="1" t="str">
        <f>HYPERLINK("http://www.ncbi.nlm.nih.gov/gene/?term=CYLD","NCBI")</f>
        <v>NCBI</v>
      </c>
      <c r="F2162">
        <v>8.3999999999999995E-3</v>
      </c>
      <c r="G2162">
        <v>6.6000000000000003E-2</v>
      </c>
      <c r="H2162" s="1" t="str">
        <f>HYPERLINK("http://www.weizmann.ac.il/complex/compphys/software/geview/data/figures/222142_at.png","Figure")</f>
        <v>Figure</v>
      </c>
      <c r="I2162">
        <v>0.55700000000000005</v>
      </c>
      <c r="J2162">
        <v>0.28999999999999998</v>
      </c>
      <c r="K2162">
        <v>0.3</v>
      </c>
      <c r="L2162">
        <v>6.4999999999999997E-3</v>
      </c>
      <c r="M2162">
        <v>0.53900000000000003</v>
      </c>
      <c r="N2162">
        <v>0.21</v>
      </c>
    </row>
    <row r="2163" spans="1:14" x14ac:dyDescent="0.25">
      <c r="A2163" t="s">
        <v>4017</v>
      </c>
      <c r="B2163" t="s">
        <v>1738</v>
      </c>
      <c r="C2163" s="1" t="str">
        <f>HYPERLINK("http://www.genecards.org/cgi-bin/carddisp.pl?gene=FHL1","GeneCards")</f>
        <v>GeneCards</v>
      </c>
      <c r="D2163" s="1" t="str">
        <f>HYPERLINK("http://genome-euro.ucsc.edu/cgi-bin/hgTracks?position=210299_s_at","UCSC")</f>
        <v>UCSC</v>
      </c>
      <c r="E2163" s="1" t="str">
        <f>HYPERLINK("http://www.ncbi.nlm.nih.gov/gene/?term=FHL1","NCBI")</f>
        <v>NCBI</v>
      </c>
      <c r="F2163">
        <v>8.3999999999999995E-3</v>
      </c>
      <c r="G2163">
        <v>6.6000000000000003E-2</v>
      </c>
      <c r="H2163" s="1" t="str">
        <f>HYPERLINK("http://www.weizmann.ac.il/complex/compphys/software/geview/data/figures/210299_s_at.png","Figure")</f>
        <v>Figure</v>
      </c>
      <c r="I2163">
        <v>0.38100000000000001</v>
      </c>
      <c r="J2163">
        <v>6.4000000000000003E-3</v>
      </c>
      <c r="K2163">
        <v>0.61599999999999999</v>
      </c>
      <c r="L2163">
        <v>0.12</v>
      </c>
      <c r="M2163">
        <v>1.62</v>
      </c>
      <c r="N2163">
        <v>0.15</v>
      </c>
    </row>
    <row r="2164" spans="1:14" x14ac:dyDescent="0.25">
      <c r="A2164" t="s">
        <v>4018</v>
      </c>
      <c r="B2164" t="s">
        <v>3609</v>
      </c>
      <c r="C2164" s="1" t="str">
        <f>HYPERLINK("http://www.genecards.org/cgi-bin/carddisp.pl?gene=ZNF318","GeneCards")</f>
        <v>GeneCards</v>
      </c>
      <c r="D2164" s="1" t="str">
        <f>HYPERLINK("http://genome-euro.ucsc.edu/cgi-bin/hgTracks?position=203521_s_at","UCSC")</f>
        <v>UCSC</v>
      </c>
      <c r="E2164" s="1" t="str">
        <f>HYPERLINK("http://www.ncbi.nlm.nih.gov/gene/?term=ZNF318","NCBI")</f>
        <v>NCBI</v>
      </c>
      <c r="F2164">
        <v>8.3999999999999995E-3</v>
      </c>
      <c r="G2164">
        <v>6.6000000000000003E-2</v>
      </c>
      <c r="H2164" s="1" t="str">
        <f>HYPERLINK("http://www.weizmann.ac.il/complex/compphys/software/geview/data/figures/203521_s_at.png","Figure")</f>
        <v>Figure</v>
      </c>
      <c r="I2164">
        <v>0.38100000000000001</v>
      </c>
      <c r="J2164">
        <v>6.7000000000000002E-3</v>
      </c>
      <c r="K2164">
        <v>0.59299999999999997</v>
      </c>
      <c r="L2164">
        <v>0.09</v>
      </c>
      <c r="M2164">
        <v>1.56</v>
      </c>
      <c r="N2164">
        <v>0.2</v>
      </c>
    </row>
    <row r="2165" spans="1:14" x14ac:dyDescent="0.25">
      <c r="A2165" t="s">
        <v>4019</v>
      </c>
      <c r="B2165" t="s">
        <v>4020</v>
      </c>
      <c r="C2165" s="1" t="str">
        <f>HYPERLINK("http://www.genecards.org/cgi-bin/carddisp.pl?gene=TP53I3","GeneCards")</f>
        <v>GeneCards</v>
      </c>
      <c r="D2165" s="1" t="str">
        <f>HYPERLINK("http://genome-euro.ucsc.edu/cgi-bin/hgTracks?position=210609_s_at","UCSC")</f>
        <v>UCSC</v>
      </c>
      <c r="E2165" s="1" t="str">
        <f>HYPERLINK("http://www.ncbi.nlm.nih.gov/gene/?term=TP53I3","NCBI")</f>
        <v>NCBI</v>
      </c>
      <c r="F2165">
        <v>8.3999999999999995E-3</v>
      </c>
      <c r="G2165">
        <v>6.6000000000000003E-2</v>
      </c>
      <c r="H2165" s="1" t="str">
        <f>HYPERLINK("http://www.weizmann.ac.il/complex/compphys/software/geview/data/figures/210609_s_at.png","Figure")</f>
        <v>Figure</v>
      </c>
      <c r="I2165">
        <v>0.72199999999999998</v>
      </c>
      <c r="J2165">
        <v>1.9E-2</v>
      </c>
      <c r="K2165">
        <v>1.01</v>
      </c>
      <c r="L2165">
        <v>0.99</v>
      </c>
      <c r="M2165">
        <v>1.4</v>
      </c>
      <c r="N2165">
        <v>0.01</v>
      </c>
    </row>
    <row r="2166" spans="1:14" x14ac:dyDescent="0.25">
      <c r="A2166" t="s">
        <v>4021</v>
      </c>
      <c r="B2166" t="s">
        <v>4022</v>
      </c>
      <c r="C2166" s="1" t="str">
        <f>HYPERLINK("http://www.genecards.org/cgi-bin/carddisp.pl?gene=NKX3-1","GeneCards")</f>
        <v>GeneCards</v>
      </c>
      <c r="D2166" s="1" t="str">
        <f>HYPERLINK("http://genome-euro.ucsc.edu/cgi-bin/hgTracks?position=211498_s_at","UCSC")</f>
        <v>UCSC</v>
      </c>
      <c r="E2166" s="1" t="str">
        <f>HYPERLINK("http://www.ncbi.nlm.nih.gov/gene/?term=NKX3-1","NCBI")</f>
        <v>NCBI</v>
      </c>
      <c r="F2166">
        <v>8.3999999999999995E-3</v>
      </c>
      <c r="G2166">
        <v>6.6000000000000003E-2</v>
      </c>
      <c r="H2166" s="1" t="str">
        <f>HYPERLINK("http://www.weizmann.ac.il/complex/compphys/software/geview/data/figures/211498_s_at.png","Figure")</f>
        <v>Figure</v>
      </c>
      <c r="I2166">
        <v>1.26</v>
      </c>
      <c r="J2166">
        <v>7.7999999999999996E-3</v>
      </c>
      <c r="K2166">
        <v>1.1599999999999999</v>
      </c>
      <c r="L2166">
        <v>4.9000000000000002E-2</v>
      </c>
      <c r="M2166">
        <v>0.91900000000000004</v>
      </c>
      <c r="N2166">
        <v>0.36</v>
      </c>
    </row>
    <row r="2167" spans="1:14" x14ac:dyDescent="0.25">
      <c r="A2167" t="s">
        <v>4023</v>
      </c>
      <c r="B2167" t="s">
        <v>4024</v>
      </c>
      <c r="C2167" s="1" t="str">
        <f>HYPERLINK("http://www.genecards.org/cgi-bin/carddisp.pl?gene=SLC6A3","GeneCards")</f>
        <v>GeneCards</v>
      </c>
      <c r="D2167" s="1" t="str">
        <f>HYPERLINK("http://genome-euro.ucsc.edu/cgi-bin/hgTracks?position=206836_at","UCSC")</f>
        <v>UCSC</v>
      </c>
      <c r="E2167" s="1" t="str">
        <f>HYPERLINK("http://www.ncbi.nlm.nih.gov/gene/?term=SLC6A3","NCBI")</f>
        <v>NCBI</v>
      </c>
      <c r="F2167">
        <v>8.5000000000000006E-3</v>
      </c>
      <c r="G2167">
        <v>6.6000000000000003E-2</v>
      </c>
      <c r="H2167" s="1" t="str">
        <f>HYPERLINK("http://www.weizmann.ac.il/complex/compphys/software/geview/data/figures/206836_at.png","Figure")</f>
        <v>Figure</v>
      </c>
      <c r="I2167">
        <v>1.56</v>
      </c>
      <c r="J2167">
        <v>6.4000000000000003E-3</v>
      </c>
      <c r="K2167">
        <v>1.21</v>
      </c>
      <c r="L2167">
        <v>0.2</v>
      </c>
      <c r="M2167">
        <v>0.77300000000000002</v>
      </c>
      <c r="N2167">
        <v>0.09</v>
      </c>
    </row>
    <row r="2168" spans="1:14" x14ac:dyDescent="0.25">
      <c r="A2168" t="s">
        <v>4025</v>
      </c>
      <c r="B2168" t="s">
        <v>4026</v>
      </c>
      <c r="C2168" s="1" t="str">
        <f>HYPERLINK("http://www.genecards.org/cgi-bin/carddisp.pl?gene=IGFBP3","GeneCards")</f>
        <v>GeneCards</v>
      </c>
      <c r="D2168" s="1" t="str">
        <f>HYPERLINK("http://genome-euro.ucsc.edu/cgi-bin/hgTracks?position=210095_s_at","UCSC")</f>
        <v>UCSC</v>
      </c>
      <c r="E2168" s="1" t="str">
        <f>HYPERLINK("http://www.ncbi.nlm.nih.gov/gene/?term=IGFBP3","NCBI")</f>
        <v>NCBI</v>
      </c>
      <c r="F2168">
        <v>8.5000000000000006E-3</v>
      </c>
      <c r="G2168">
        <v>6.6000000000000003E-2</v>
      </c>
      <c r="H2168" s="1" t="str">
        <f>HYPERLINK("http://www.weizmann.ac.il/complex/compphys/software/geview/data/figures/210095_s_at.png","Figure")</f>
        <v>Figure</v>
      </c>
      <c r="I2168">
        <v>1.06</v>
      </c>
      <c r="J2168">
        <v>0.6</v>
      </c>
      <c r="K2168">
        <v>0.86499999999999999</v>
      </c>
      <c r="L2168">
        <v>5.1999999999999998E-2</v>
      </c>
      <c r="M2168">
        <v>0.81299999999999994</v>
      </c>
      <c r="N2168">
        <v>0.01</v>
      </c>
    </row>
    <row r="2169" spans="1:14" x14ac:dyDescent="0.25">
      <c r="A2169" t="s">
        <v>4027</v>
      </c>
      <c r="B2169" t="s">
        <v>4028</v>
      </c>
      <c r="C2169" s="1" t="str">
        <f>HYPERLINK("http://www.genecards.org/cgi-bin/carddisp.pl?gene=ZNRF4","GeneCards")</f>
        <v>GeneCards</v>
      </c>
      <c r="D2169" s="1" t="str">
        <f>HYPERLINK("http://genome-euro.ucsc.edu/cgi-bin/hgTracks?position=215461_at","UCSC")</f>
        <v>UCSC</v>
      </c>
      <c r="E2169" s="1" t="str">
        <f>HYPERLINK("http://www.ncbi.nlm.nih.gov/gene/?term=ZNRF4","NCBI")</f>
        <v>NCBI</v>
      </c>
      <c r="F2169">
        <v>8.5000000000000006E-3</v>
      </c>
      <c r="G2169">
        <v>6.6000000000000003E-2</v>
      </c>
      <c r="H2169" s="1" t="str">
        <f>HYPERLINK("http://www.weizmann.ac.il/complex/compphys/software/geview/data/figures/215461_at.png","Figure")</f>
        <v>Figure</v>
      </c>
      <c r="I2169">
        <v>1.26</v>
      </c>
      <c r="J2169">
        <v>2.7E-2</v>
      </c>
      <c r="K2169">
        <v>1.27</v>
      </c>
      <c r="L2169">
        <v>0.01</v>
      </c>
      <c r="M2169">
        <v>1.01</v>
      </c>
      <c r="N2169">
        <v>1</v>
      </c>
    </row>
    <row r="2170" spans="1:14" x14ac:dyDescent="0.25">
      <c r="A2170" t="s">
        <v>4029</v>
      </c>
      <c r="B2170" t="s">
        <v>4030</v>
      </c>
      <c r="C2170" s="1" t="str">
        <f>HYPERLINK("http://www.genecards.org/cgi-bin/carddisp.pl?gene=ZNF324","GeneCards")</f>
        <v>GeneCards</v>
      </c>
      <c r="D2170" s="1" t="str">
        <f>HYPERLINK("http://genome-euro.ucsc.edu/cgi-bin/hgTracks?position=205182_s_at","UCSC")</f>
        <v>UCSC</v>
      </c>
      <c r="E2170" s="1" t="str">
        <f>HYPERLINK("http://www.ncbi.nlm.nih.gov/gene/?term=ZNF324","NCBI")</f>
        <v>NCBI</v>
      </c>
      <c r="F2170">
        <v>8.5000000000000006E-3</v>
      </c>
      <c r="G2170">
        <v>6.6000000000000003E-2</v>
      </c>
      <c r="H2170" s="1" t="str">
        <f>HYPERLINK("http://www.weizmann.ac.il/complex/compphys/software/geview/data/figures/205182_s_at.png","Figure")</f>
        <v>Figure</v>
      </c>
      <c r="I2170">
        <v>1.36</v>
      </c>
      <c r="J2170">
        <v>6.6E-3</v>
      </c>
      <c r="K2170">
        <v>1.17</v>
      </c>
      <c r="L2170">
        <v>0.11</v>
      </c>
      <c r="M2170">
        <v>0.86199999999999999</v>
      </c>
      <c r="N2170">
        <v>0.17</v>
      </c>
    </row>
    <row r="2171" spans="1:14" x14ac:dyDescent="0.25">
      <c r="A2171" t="s">
        <v>4031</v>
      </c>
      <c r="B2171" t="s">
        <v>4032</v>
      </c>
      <c r="C2171" s="1" t="str">
        <f>HYPERLINK("http://www.genecards.org/cgi-bin/carddisp.pl?gene=LUC7L2","GeneCards")</f>
        <v>GeneCards</v>
      </c>
      <c r="D2171" s="1" t="str">
        <f>HYPERLINK("http://genome-euro.ucsc.edu/cgi-bin/hgTracks?position=220099_s_at","UCSC")</f>
        <v>UCSC</v>
      </c>
      <c r="E2171" s="1" t="str">
        <f>HYPERLINK("http://www.ncbi.nlm.nih.gov/gene/?term=LUC7L2","NCBI")</f>
        <v>NCBI</v>
      </c>
      <c r="F2171">
        <v>8.5000000000000006E-3</v>
      </c>
      <c r="G2171">
        <v>6.7000000000000004E-2</v>
      </c>
      <c r="H2171" s="1" t="str">
        <f>HYPERLINK("http://www.weizmann.ac.il/complex/compphys/software/geview/data/figures/220099_s_at.png","Figure")</f>
        <v>Figure</v>
      </c>
      <c r="I2171">
        <v>1.1200000000000001</v>
      </c>
      <c r="J2171">
        <v>0.64</v>
      </c>
      <c r="K2171">
        <v>0.748</v>
      </c>
      <c r="L2171">
        <v>4.7E-2</v>
      </c>
      <c r="M2171">
        <v>0.66700000000000004</v>
      </c>
      <c r="N2171">
        <v>1.0999999999999999E-2</v>
      </c>
    </row>
    <row r="2172" spans="1:14" x14ac:dyDescent="0.25">
      <c r="A2172" t="s">
        <v>4033</v>
      </c>
      <c r="B2172" t="s">
        <v>4034</v>
      </c>
      <c r="C2172" s="1" t="str">
        <f>HYPERLINK("http://www.genecards.org/cgi-bin/carddisp.pl?gene=SUB1","GeneCards")</f>
        <v>GeneCards</v>
      </c>
      <c r="D2172" s="1" t="str">
        <f>HYPERLINK("http://genome-euro.ucsc.edu/cgi-bin/hgTracks?position=221727_at","UCSC")</f>
        <v>UCSC</v>
      </c>
      <c r="E2172" s="1" t="str">
        <f>HYPERLINK("http://www.ncbi.nlm.nih.gov/gene/?term=SUB1","NCBI")</f>
        <v>NCBI</v>
      </c>
      <c r="F2172">
        <v>8.5000000000000006E-3</v>
      </c>
      <c r="G2172">
        <v>6.7000000000000004E-2</v>
      </c>
      <c r="H2172" s="1" t="str">
        <f>HYPERLINK("http://www.weizmann.ac.il/complex/compphys/software/geview/data/figures/221727_at.png","Figure")</f>
        <v>Figure</v>
      </c>
      <c r="I2172">
        <v>0.45700000000000002</v>
      </c>
      <c r="J2172">
        <v>3.6999999999999998E-2</v>
      </c>
      <c r="K2172">
        <v>0.42</v>
      </c>
      <c r="L2172">
        <v>8.9999999999999993E-3</v>
      </c>
      <c r="M2172">
        <v>0.92</v>
      </c>
      <c r="N2172">
        <v>0.94</v>
      </c>
    </row>
    <row r="2173" spans="1:14" x14ac:dyDescent="0.25">
      <c r="A2173" t="s">
        <v>4035</v>
      </c>
      <c r="B2173" t="s">
        <v>3645</v>
      </c>
      <c r="C2173" s="1" t="str">
        <f>HYPERLINK("http://www.genecards.org/cgi-bin/carddisp.pl?gene=HNRNPH3","GeneCards")</f>
        <v>GeneCards</v>
      </c>
      <c r="D2173" s="1" t="str">
        <f>HYPERLINK("http://genome-euro.ucsc.edu/cgi-bin/hgTracks?position=207127_s_at","UCSC")</f>
        <v>UCSC</v>
      </c>
      <c r="E2173" s="1" t="str">
        <f>HYPERLINK("http://www.ncbi.nlm.nih.gov/gene/?term=HNRNPH3","NCBI")</f>
        <v>NCBI</v>
      </c>
      <c r="F2173">
        <v>8.5000000000000006E-3</v>
      </c>
      <c r="G2173">
        <v>6.7000000000000004E-2</v>
      </c>
      <c r="H2173" s="1" t="str">
        <f>HYPERLINK("http://www.weizmann.ac.il/complex/compphys/software/geview/data/figures/207127_s_at.png","Figure")</f>
        <v>Figure</v>
      </c>
      <c r="I2173">
        <v>1.31</v>
      </c>
      <c r="J2173">
        <v>0.56000000000000005</v>
      </c>
      <c r="K2173">
        <v>0.56499999999999995</v>
      </c>
      <c r="L2173">
        <v>5.8000000000000003E-2</v>
      </c>
      <c r="M2173">
        <v>0.432</v>
      </c>
      <c r="N2173">
        <v>9.7999999999999997E-3</v>
      </c>
    </row>
    <row r="2174" spans="1:14" x14ac:dyDescent="0.25">
      <c r="A2174" t="s">
        <v>4036</v>
      </c>
      <c r="B2174" t="s">
        <v>873</v>
      </c>
      <c r="C2174" s="1" t="str">
        <f>HYPERLINK("http://www.genecards.org/cgi-bin/carddisp.pl?gene=LAMP2","GeneCards")</f>
        <v>GeneCards</v>
      </c>
      <c r="D2174" s="1" t="str">
        <f>HYPERLINK("http://genome-euro.ucsc.edu/cgi-bin/hgTracks?position=200821_at","UCSC")</f>
        <v>UCSC</v>
      </c>
      <c r="E2174" s="1" t="str">
        <f>HYPERLINK("http://www.ncbi.nlm.nih.gov/gene/?term=LAMP2","NCBI")</f>
        <v>NCBI</v>
      </c>
      <c r="F2174">
        <v>8.5000000000000006E-3</v>
      </c>
      <c r="G2174">
        <v>6.7000000000000004E-2</v>
      </c>
      <c r="H2174" s="1" t="str">
        <f>HYPERLINK("http://www.weizmann.ac.il/complex/compphys/software/geview/data/figures/200821_at.png","Figure")</f>
        <v>Figure</v>
      </c>
      <c r="I2174">
        <v>0.29199999999999998</v>
      </c>
      <c r="J2174">
        <v>6.4000000000000003E-3</v>
      </c>
      <c r="K2174">
        <v>0.59599999999999997</v>
      </c>
      <c r="L2174">
        <v>0.21</v>
      </c>
      <c r="M2174">
        <v>2.04</v>
      </c>
      <c r="N2174">
        <v>8.7999999999999995E-2</v>
      </c>
    </row>
    <row r="2175" spans="1:14" x14ac:dyDescent="0.25">
      <c r="A2175" t="s">
        <v>4037</v>
      </c>
      <c r="B2175" t="s">
        <v>4038</v>
      </c>
      <c r="C2175" s="1" t="str">
        <f>HYPERLINK("http://www.genecards.org/cgi-bin/carddisp.pl?gene=TNNC2","GeneCards")</f>
        <v>GeneCards</v>
      </c>
      <c r="D2175" s="1" t="str">
        <f>HYPERLINK("http://genome-euro.ucsc.edu/cgi-bin/hgTracks?position=205388_at","UCSC")</f>
        <v>UCSC</v>
      </c>
      <c r="E2175" s="1" t="str">
        <f>HYPERLINK("http://www.ncbi.nlm.nih.gov/gene/?term=TNNC2","NCBI")</f>
        <v>NCBI</v>
      </c>
      <c r="F2175">
        <v>8.5000000000000006E-3</v>
      </c>
      <c r="G2175">
        <v>6.7000000000000004E-2</v>
      </c>
      <c r="H2175" s="1" t="str">
        <f>HYPERLINK("http://www.weizmann.ac.il/complex/compphys/software/geview/data/figures/205388_at.png","Figure")</f>
        <v>Figure</v>
      </c>
      <c r="I2175">
        <v>1.17</v>
      </c>
      <c r="J2175">
        <v>7.4000000000000003E-3</v>
      </c>
      <c r="K2175">
        <v>1.1000000000000001</v>
      </c>
      <c r="L2175">
        <v>0.06</v>
      </c>
      <c r="M2175">
        <v>0.94</v>
      </c>
      <c r="N2175">
        <v>0.3</v>
      </c>
    </row>
    <row r="2176" spans="1:14" x14ac:dyDescent="0.25">
      <c r="A2176" t="s">
        <v>4039</v>
      </c>
      <c r="B2176" t="s">
        <v>4040</v>
      </c>
      <c r="C2176" s="1" t="str">
        <f>HYPERLINK("http://www.genecards.org/cgi-bin/carddisp.pl?gene=SULT4A1","GeneCards")</f>
        <v>GeneCards</v>
      </c>
      <c r="D2176" s="1" t="str">
        <f>HYPERLINK("http://genome-euro.ucsc.edu/cgi-bin/hgTracks?position=219425_at","UCSC")</f>
        <v>UCSC</v>
      </c>
      <c r="E2176" s="1" t="str">
        <f>HYPERLINK("http://www.ncbi.nlm.nih.gov/gene/?term=SULT4A1","NCBI")</f>
        <v>NCBI</v>
      </c>
      <c r="F2176">
        <v>8.5000000000000006E-3</v>
      </c>
      <c r="G2176">
        <v>6.7000000000000004E-2</v>
      </c>
      <c r="H2176" s="1" t="str">
        <f>HYPERLINK("http://www.weizmann.ac.il/complex/compphys/software/geview/data/figures/219425_at.png","Figure")</f>
        <v>Figure</v>
      </c>
      <c r="I2176">
        <v>1.3</v>
      </c>
      <c r="J2176">
        <v>7.4999999999999997E-3</v>
      </c>
      <c r="K2176">
        <v>1.17</v>
      </c>
      <c r="L2176">
        <v>5.8000000000000003E-2</v>
      </c>
      <c r="M2176">
        <v>0.90300000000000002</v>
      </c>
      <c r="N2176">
        <v>0.31</v>
      </c>
    </row>
    <row r="2177" spans="1:14" x14ac:dyDescent="0.25">
      <c r="A2177" t="s">
        <v>4041</v>
      </c>
      <c r="B2177" t="s">
        <v>4042</v>
      </c>
      <c r="C2177" s="1" t="str">
        <f>HYPERLINK("http://www.genecards.org/cgi-bin/carddisp.pl?gene=COX6B1","GeneCards")</f>
        <v>GeneCards</v>
      </c>
      <c r="D2177" s="1" t="str">
        <f>HYPERLINK("http://genome-euro.ucsc.edu/cgi-bin/hgTracks?position=201441_at","UCSC")</f>
        <v>UCSC</v>
      </c>
      <c r="E2177" s="1" t="str">
        <f>HYPERLINK("http://www.ncbi.nlm.nih.gov/gene/?term=COX6B1","NCBI")</f>
        <v>NCBI</v>
      </c>
      <c r="F2177">
        <v>8.5000000000000006E-3</v>
      </c>
      <c r="G2177">
        <v>6.7000000000000004E-2</v>
      </c>
      <c r="H2177" s="1" t="str">
        <f>HYPERLINK("http://www.weizmann.ac.il/complex/compphys/software/geview/data/figures/201441_at.png","Figure")</f>
        <v>Figure</v>
      </c>
      <c r="I2177">
        <v>1.36</v>
      </c>
      <c r="J2177">
        <v>0.15</v>
      </c>
      <c r="K2177">
        <v>1.65</v>
      </c>
      <c r="L2177">
        <v>6.4000000000000003E-3</v>
      </c>
      <c r="M2177">
        <v>1.22</v>
      </c>
      <c r="N2177">
        <v>0.39</v>
      </c>
    </row>
    <row r="2178" spans="1:14" x14ac:dyDescent="0.25">
      <c r="A2178" t="s">
        <v>4043</v>
      </c>
      <c r="B2178" t="s">
        <v>953</v>
      </c>
      <c r="C2178" s="1" t="str">
        <f>HYPERLINK("http://www.genecards.org/cgi-bin/carddisp.pl?gene=YTHDC1","GeneCards")</f>
        <v>GeneCards</v>
      </c>
      <c r="D2178" s="1" t="str">
        <f>HYPERLINK("http://genome-euro.ucsc.edu/cgi-bin/hgTracks?position=212455_at","UCSC")</f>
        <v>UCSC</v>
      </c>
      <c r="E2178" s="1" t="str">
        <f>HYPERLINK("http://www.ncbi.nlm.nih.gov/gene/?term=YTHDC1","NCBI")</f>
        <v>NCBI</v>
      </c>
      <c r="F2178">
        <v>8.5000000000000006E-3</v>
      </c>
      <c r="G2178">
        <v>6.7000000000000004E-2</v>
      </c>
      <c r="H2178" s="1" t="str">
        <f>HYPERLINK("http://www.weizmann.ac.il/complex/compphys/software/geview/data/figures/212455_at.png","Figure")</f>
        <v>Figure</v>
      </c>
      <c r="I2178">
        <v>0.83699999999999997</v>
      </c>
      <c r="J2178">
        <v>0.54</v>
      </c>
      <c r="K2178">
        <v>0.59199999999999997</v>
      </c>
      <c r="L2178">
        <v>7.7999999999999996E-3</v>
      </c>
      <c r="M2178">
        <v>0.70799999999999996</v>
      </c>
      <c r="N2178">
        <v>0.1</v>
      </c>
    </row>
    <row r="2179" spans="1:14" x14ac:dyDescent="0.25">
      <c r="A2179" t="s">
        <v>4044</v>
      </c>
      <c r="B2179" t="s">
        <v>867</v>
      </c>
      <c r="C2179" s="1" t="str">
        <f>HYPERLINK("http://www.genecards.org/cgi-bin/carddisp.pl?gene=GHITM","GeneCards")</f>
        <v>GeneCards</v>
      </c>
      <c r="D2179" s="1" t="str">
        <f>HYPERLINK("http://genome-euro.ucsc.edu/cgi-bin/hgTracks?position=209249_s_at","UCSC")</f>
        <v>UCSC</v>
      </c>
      <c r="E2179" s="1" t="str">
        <f>HYPERLINK("http://www.ncbi.nlm.nih.gov/gene/?term=GHITM","NCBI")</f>
        <v>NCBI</v>
      </c>
      <c r="F2179">
        <v>8.6E-3</v>
      </c>
      <c r="G2179">
        <v>6.7000000000000004E-2</v>
      </c>
      <c r="H2179" s="1" t="str">
        <f>HYPERLINK("http://www.weizmann.ac.il/complex/compphys/software/geview/data/figures/209249_s_at.png","Figure")</f>
        <v>Figure</v>
      </c>
      <c r="I2179">
        <v>0.63300000000000001</v>
      </c>
      <c r="J2179">
        <v>1.0999999999999999E-2</v>
      </c>
      <c r="K2179">
        <v>0.70599999999999996</v>
      </c>
      <c r="L2179">
        <v>2.5999999999999999E-2</v>
      </c>
      <c r="M2179">
        <v>1.1200000000000001</v>
      </c>
      <c r="N2179">
        <v>0.66</v>
      </c>
    </row>
    <row r="2180" spans="1:14" x14ac:dyDescent="0.25">
      <c r="A2180" t="s">
        <v>4045</v>
      </c>
      <c r="B2180" t="s">
        <v>4046</v>
      </c>
      <c r="C2180" s="1" t="str">
        <f>HYPERLINK("http://www.genecards.org/cgi-bin/carddisp.pl?gene=NUP98","GeneCards")</f>
        <v>GeneCards</v>
      </c>
      <c r="D2180" s="1" t="str">
        <f>HYPERLINK("http://genome-euro.ucsc.edu/cgi-bin/hgTracks?position=210793_s_at","UCSC")</f>
        <v>UCSC</v>
      </c>
      <c r="E2180" s="1" t="str">
        <f>HYPERLINK("http://www.ncbi.nlm.nih.gov/gene/?term=NUP98","NCBI")</f>
        <v>NCBI</v>
      </c>
      <c r="F2180">
        <v>8.6E-3</v>
      </c>
      <c r="G2180">
        <v>6.7000000000000004E-2</v>
      </c>
      <c r="H2180" s="1" t="str">
        <f>HYPERLINK("http://www.weizmann.ac.il/complex/compphys/software/geview/data/figures/210793_s_at.png","Figure")</f>
        <v>Figure</v>
      </c>
      <c r="I2180">
        <v>0.70299999999999996</v>
      </c>
      <c r="J2180">
        <v>0.51</v>
      </c>
      <c r="K2180">
        <v>0.37</v>
      </c>
      <c r="L2180">
        <v>7.7000000000000002E-3</v>
      </c>
      <c r="M2180">
        <v>0.52600000000000002</v>
      </c>
      <c r="N2180">
        <v>0.11</v>
      </c>
    </row>
    <row r="2181" spans="1:14" x14ac:dyDescent="0.25">
      <c r="A2181" t="s">
        <v>4047</v>
      </c>
      <c r="B2181" t="s">
        <v>4048</v>
      </c>
      <c r="C2181" s="1" t="str">
        <f>HYPERLINK("http://www.genecards.org/cgi-bin/carddisp.pl?gene=MIIP","GeneCards")</f>
        <v>GeneCards</v>
      </c>
      <c r="D2181" s="1" t="str">
        <f>HYPERLINK("http://genome-euro.ucsc.edu/cgi-bin/hgTracks?position=48659_at","UCSC")</f>
        <v>UCSC</v>
      </c>
      <c r="E2181" s="1" t="str">
        <f>HYPERLINK("http://www.ncbi.nlm.nih.gov/gene/?term=MIIP","NCBI")</f>
        <v>NCBI</v>
      </c>
      <c r="F2181">
        <v>8.6E-3</v>
      </c>
      <c r="G2181">
        <v>6.7000000000000004E-2</v>
      </c>
      <c r="H2181" s="1" t="str">
        <f>HYPERLINK("http://www.weizmann.ac.il/complex/compphys/software/geview/data/figures/48659_at.png","Figure")</f>
        <v>Figure</v>
      </c>
      <c r="I2181">
        <v>1.33</v>
      </c>
      <c r="J2181">
        <v>1.4999999999999999E-2</v>
      </c>
      <c r="K2181">
        <v>1.28</v>
      </c>
      <c r="L2181">
        <v>1.7000000000000001E-2</v>
      </c>
      <c r="M2181">
        <v>0.96</v>
      </c>
      <c r="N2181">
        <v>0.87</v>
      </c>
    </row>
    <row r="2182" spans="1:14" x14ac:dyDescent="0.25">
      <c r="A2182" t="s">
        <v>4049</v>
      </c>
      <c r="B2182" t="s">
        <v>4050</v>
      </c>
      <c r="C2182" s="1" t="str">
        <f>HYPERLINK("http://www.genecards.org/cgi-bin/carddisp.pl?gene=UBE2K","GeneCards")</f>
        <v>GeneCards</v>
      </c>
      <c r="D2182" s="1" t="str">
        <f>HYPERLINK("http://genome-euro.ucsc.edu/cgi-bin/hgTracks?position=202346_at","UCSC")</f>
        <v>UCSC</v>
      </c>
      <c r="E2182" s="1" t="str">
        <f>HYPERLINK("http://www.ncbi.nlm.nih.gov/gene/?term=UBE2K","NCBI")</f>
        <v>NCBI</v>
      </c>
      <c r="F2182">
        <v>8.6E-3</v>
      </c>
      <c r="G2182">
        <v>6.7000000000000004E-2</v>
      </c>
      <c r="H2182" s="1" t="str">
        <f>HYPERLINK("http://www.weizmann.ac.il/complex/compphys/software/geview/data/figures/202346_at.png","Figure")</f>
        <v>Figure</v>
      </c>
      <c r="I2182">
        <v>0.56799999999999995</v>
      </c>
      <c r="J2182">
        <v>1.2E-2</v>
      </c>
      <c r="K2182">
        <v>0.94</v>
      </c>
      <c r="L2182">
        <v>0.9</v>
      </c>
      <c r="M2182">
        <v>1.65</v>
      </c>
      <c r="N2182">
        <v>1.6E-2</v>
      </c>
    </row>
    <row r="2183" spans="1:14" x14ac:dyDescent="0.25">
      <c r="A2183" t="s">
        <v>4051</v>
      </c>
      <c r="B2183" t="s">
        <v>2346</v>
      </c>
      <c r="C2183" s="1" t="str">
        <f>HYPERLINK("http://www.genecards.org/cgi-bin/carddisp.pl?gene=VDR","GeneCards")</f>
        <v>GeneCards</v>
      </c>
      <c r="D2183" s="1" t="str">
        <f>HYPERLINK("http://genome-euro.ucsc.edu/cgi-bin/hgTracks?position=204253_s_at","UCSC")</f>
        <v>UCSC</v>
      </c>
      <c r="E2183" s="1" t="str">
        <f>HYPERLINK("http://www.ncbi.nlm.nih.gov/gene/?term=VDR","NCBI")</f>
        <v>NCBI</v>
      </c>
      <c r="F2183">
        <v>8.6E-3</v>
      </c>
      <c r="G2183">
        <v>6.7000000000000004E-2</v>
      </c>
      <c r="H2183" s="1" t="str">
        <f>HYPERLINK("http://www.weizmann.ac.il/complex/compphys/software/geview/data/figures/204253_s_at.png","Figure")</f>
        <v>Figure</v>
      </c>
      <c r="I2183">
        <v>1.18</v>
      </c>
      <c r="J2183">
        <v>8.4000000000000005E-2</v>
      </c>
      <c r="K2183">
        <v>0.92300000000000004</v>
      </c>
      <c r="L2183">
        <v>0.41</v>
      </c>
      <c r="M2183">
        <v>0.78300000000000003</v>
      </c>
      <c r="N2183">
        <v>6.4999999999999997E-3</v>
      </c>
    </row>
    <row r="2184" spans="1:14" x14ac:dyDescent="0.25">
      <c r="A2184" t="s">
        <v>4052</v>
      </c>
      <c r="B2184" t="s">
        <v>4053</v>
      </c>
      <c r="C2184" s="1" t="str">
        <f>HYPERLINK("http://www.genecards.org/cgi-bin/carddisp.pl?gene=CLDN9","GeneCards")</f>
        <v>GeneCards</v>
      </c>
      <c r="D2184" s="1" t="str">
        <f>HYPERLINK("http://genome-euro.ucsc.edu/cgi-bin/hgTracks?position=214635_at","UCSC")</f>
        <v>UCSC</v>
      </c>
      <c r="E2184" s="1" t="str">
        <f>HYPERLINK("http://www.ncbi.nlm.nih.gov/gene/?term=CLDN9","NCBI")</f>
        <v>NCBI</v>
      </c>
      <c r="F2184">
        <v>8.6E-3</v>
      </c>
      <c r="G2184">
        <v>6.7000000000000004E-2</v>
      </c>
      <c r="H2184" s="1" t="str">
        <f>HYPERLINK("http://www.weizmann.ac.il/complex/compphys/software/geview/data/figures/214635_at.png","Figure")</f>
        <v>Figure</v>
      </c>
      <c r="I2184">
        <v>1.25</v>
      </c>
      <c r="J2184">
        <v>8.8000000000000005E-3</v>
      </c>
      <c r="K2184">
        <v>1.1599999999999999</v>
      </c>
      <c r="L2184">
        <v>3.9E-2</v>
      </c>
      <c r="M2184">
        <v>0.93</v>
      </c>
      <c r="N2184">
        <v>0.46</v>
      </c>
    </row>
    <row r="2185" spans="1:14" x14ac:dyDescent="0.25">
      <c r="A2185" t="s">
        <v>4054</v>
      </c>
      <c r="B2185" t="s">
        <v>3149</v>
      </c>
      <c r="C2185" s="1" t="str">
        <f>HYPERLINK("http://www.genecards.org/cgi-bin/carddisp.pl?gene=WDR48","GeneCards")</f>
        <v>GeneCards</v>
      </c>
      <c r="D2185" s="1" t="str">
        <f>HYPERLINK("http://genome-euro.ucsc.edu/cgi-bin/hgTracks?position=65591_at","UCSC")</f>
        <v>UCSC</v>
      </c>
      <c r="E2185" s="1" t="str">
        <f>HYPERLINK("http://www.ncbi.nlm.nih.gov/gene/?term=WDR48","NCBI")</f>
        <v>NCBI</v>
      </c>
      <c r="F2185">
        <v>8.6E-3</v>
      </c>
      <c r="G2185">
        <v>6.7000000000000004E-2</v>
      </c>
      <c r="H2185" s="1" t="str">
        <f>HYPERLINK("http://www.weizmann.ac.il/complex/compphys/software/geview/data/figures/65591_at.png","Figure")</f>
        <v>Figure</v>
      </c>
      <c r="I2185">
        <v>1.42</v>
      </c>
      <c r="J2185">
        <v>2.4E-2</v>
      </c>
      <c r="K2185">
        <v>0.96699999999999997</v>
      </c>
      <c r="L2185">
        <v>0.94</v>
      </c>
      <c r="M2185">
        <v>0.68300000000000005</v>
      </c>
      <c r="N2185">
        <v>8.9999999999999993E-3</v>
      </c>
    </row>
    <row r="2186" spans="1:14" x14ac:dyDescent="0.25">
      <c r="A2186" t="s">
        <v>4055</v>
      </c>
      <c r="B2186" t="s">
        <v>366</v>
      </c>
      <c r="C2186" s="1" t="str">
        <f>HYPERLINK("http://www.genecards.org/cgi-bin/carddisp.pl?gene=AOX1","GeneCards")</f>
        <v>GeneCards</v>
      </c>
      <c r="D2186" s="1" t="str">
        <f>HYPERLINK("http://genome-euro.ucsc.edu/cgi-bin/hgTracks?position=205083_at","UCSC")</f>
        <v>UCSC</v>
      </c>
      <c r="E2186" s="1" t="str">
        <f>HYPERLINK("http://www.ncbi.nlm.nih.gov/gene/?term=AOX1","NCBI")</f>
        <v>NCBI</v>
      </c>
      <c r="F2186">
        <v>8.6E-3</v>
      </c>
      <c r="G2186">
        <v>6.7000000000000004E-2</v>
      </c>
      <c r="H2186" s="1" t="str">
        <f>HYPERLINK("http://www.weizmann.ac.il/complex/compphys/software/geview/data/figures/205083_at.png","Figure")</f>
        <v>Figure</v>
      </c>
      <c r="I2186">
        <v>3.99</v>
      </c>
      <c r="J2186">
        <v>2.5999999999999999E-2</v>
      </c>
      <c r="K2186">
        <v>4.03</v>
      </c>
      <c r="L2186">
        <v>1.0999999999999999E-2</v>
      </c>
      <c r="M2186">
        <v>1.01</v>
      </c>
      <c r="N2186">
        <v>1</v>
      </c>
    </row>
    <row r="2187" spans="1:14" x14ac:dyDescent="0.25">
      <c r="A2187" t="s">
        <v>4056</v>
      </c>
      <c r="B2187" t="s">
        <v>4057</v>
      </c>
      <c r="C2187" s="1" t="str">
        <f>HYPERLINK("http://www.genecards.org/cgi-bin/carddisp.pl?gene=DHRS7","GeneCards")</f>
        <v>GeneCards</v>
      </c>
      <c r="D2187" s="1" t="str">
        <f>HYPERLINK("http://genome-euro.ucsc.edu/cgi-bin/hgTracks?position=210788_s_at","UCSC")</f>
        <v>UCSC</v>
      </c>
      <c r="E2187" s="1" t="str">
        <f>HYPERLINK("http://www.ncbi.nlm.nih.gov/gene/?term=DHRS7","NCBI")</f>
        <v>NCBI</v>
      </c>
      <c r="F2187">
        <v>8.6E-3</v>
      </c>
      <c r="G2187">
        <v>6.7000000000000004E-2</v>
      </c>
      <c r="H2187" s="1" t="str">
        <f>HYPERLINK("http://www.weizmann.ac.il/complex/compphys/software/geview/data/figures/210788_s_at.png","Figure")</f>
        <v>Figure</v>
      </c>
      <c r="I2187">
        <v>0.59699999999999998</v>
      </c>
      <c r="J2187">
        <v>0.1</v>
      </c>
      <c r="K2187">
        <v>1.33</v>
      </c>
      <c r="L2187">
        <v>0.35</v>
      </c>
      <c r="M2187">
        <v>2.23</v>
      </c>
      <c r="N2187">
        <v>6.4999999999999997E-3</v>
      </c>
    </row>
    <row r="2188" spans="1:14" x14ac:dyDescent="0.25">
      <c r="A2188" t="s">
        <v>4058</v>
      </c>
      <c r="B2188" t="s">
        <v>4059</v>
      </c>
      <c r="C2188" s="1" t="str">
        <f>HYPERLINK("http://www.genecards.org/cgi-bin/carddisp.pl?gene=RANBP6","GeneCards")</f>
        <v>GeneCards</v>
      </c>
      <c r="D2188" s="1" t="str">
        <f>HYPERLINK("http://genome-euro.ucsc.edu/cgi-bin/hgTracks?position=213019_at","UCSC")</f>
        <v>UCSC</v>
      </c>
      <c r="E2188" s="1" t="str">
        <f>HYPERLINK("http://www.ncbi.nlm.nih.gov/gene/?term=RANBP6","NCBI")</f>
        <v>NCBI</v>
      </c>
      <c r="F2188">
        <v>8.6E-3</v>
      </c>
      <c r="G2188">
        <v>6.7000000000000004E-2</v>
      </c>
      <c r="H2188" s="1" t="str">
        <f>HYPERLINK("http://www.weizmann.ac.il/complex/compphys/software/geview/data/figures/213019_at.png","Figure")</f>
        <v>Figure</v>
      </c>
      <c r="I2188">
        <v>0.28799999999999998</v>
      </c>
      <c r="J2188">
        <v>0.01</v>
      </c>
      <c r="K2188">
        <v>0.40200000000000002</v>
      </c>
      <c r="L2188">
        <v>0.03</v>
      </c>
      <c r="M2188">
        <v>1.4</v>
      </c>
      <c r="N2188">
        <v>0.57999999999999996</v>
      </c>
    </row>
    <row r="2189" spans="1:14" x14ac:dyDescent="0.25">
      <c r="A2189" t="s">
        <v>4060</v>
      </c>
      <c r="B2189" t="s">
        <v>3342</v>
      </c>
      <c r="C2189" s="1" t="str">
        <f>HYPERLINK("http://www.genecards.org/cgi-bin/carddisp.pl?gene=HSPD1","GeneCards")</f>
        <v>GeneCards</v>
      </c>
      <c r="D2189" s="1" t="str">
        <f>HYPERLINK("http://genome-euro.ucsc.edu/cgi-bin/hgTracks?position=200807_s_at","UCSC")</f>
        <v>UCSC</v>
      </c>
      <c r="E2189" s="1" t="str">
        <f>HYPERLINK("http://www.ncbi.nlm.nih.gov/gene/?term=HSPD1","NCBI")</f>
        <v>NCBI</v>
      </c>
      <c r="F2189">
        <v>8.6E-3</v>
      </c>
      <c r="G2189">
        <v>6.7000000000000004E-2</v>
      </c>
      <c r="H2189" s="1" t="str">
        <f>HYPERLINK("http://www.weizmann.ac.il/complex/compphys/software/geview/data/figures/200807_s_at.png","Figure")</f>
        <v>Figure</v>
      </c>
      <c r="I2189">
        <v>1.07</v>
      </c>
      <c r="J2189">
        <v>0.93</v>
      </c>
      <c r="K2189">
        <v>1.78</v>
      </c>
      <c r="L2189">
        <v>1.2999999999999999E-2</v>
      </c>
      <c r="M2189">
        <v>1.66</v>
      </c>
      <c r="N2189">
        <v>3.7999999999999999E-2</v>
      </c>
    </row>
    <row r="2190" spans="1:14" x14ac:dyDescent="0.25">
      <c r="A2190" t="s">
        <v>4061</v>
      </c>
      <c r="B2190" t="s">
        <v>3569</v>
      </c>
      <c r="C2190" s="1" t="str">
        <f>HYPERLINK("http://www.genecards.org/cgi-bin/carddisp.pl?gene=LARP1","GeneCards")</f>
        <v>GeneCards</v>
      </c>
      <c r="D2190" s="1" t="str">
        <f>HYPERLINK("http://genome-euro.ucsc.edu/cgi-bin/hgTracks?position=210966_x_at","UCSC")</f>
        <v>UCSC</v>
      </c>
      <c r="E2190" s="1" t="str">
        <f>HYPERLINK("http://www.ncbi.nlm.nih.gov/gene/?term=LARP1","NCBI")</f>
        <v>NCBI</v>
      </c>
      <c r="F2190">
        <v>8.6E-3</v>
      </c>
      <c r="G2190">
        <v>6.7000000000000004E-2</v>
      </c>
      <c r="H2190" s="1" t="str">
        <f>HYPERLINK("http://www.weizmann.ac.il/complex/compphys/software/geview/data/figures/210966_x_at.png","Figure")</f>
        <v>Figure</v>
      </c>
      <c r="I2190">
        <v>1.04</v>
      </c>
      <c r="J2190">
        <v>0.94</v>
      </c>
      <c r="K2190">
        <v>1.46</v>
      </c>
      <c r="L2190">
        <v>1.2999999999999999E-2</v>
      </c>
      <c r="M2190">
        <v>1.4</v>
      </c>
      <c r="N2190">
        <v>3.7999999999999999E-2</v>
      </c>
    </row>
    <row r="2191" spans="1:14" x14ac:dyDescent="0.25">
      <c r="A2191" t="s">
        <v>4062</v>
      </c>
      <c r="B2191" t="s">
        <v>4063</v>
      </c>
      <c r="C2191" s="1" t="str">
        <f>HYPERLINK("http://www.genecards.org/cgi-bin/carddisp.pl?gene=SCFD1","GeneCards")</f>
        <v>GeneCards</v>
      </c>
      <c r="D2191" s="1" t="str">
        <f>HYPERLINK("http://genome-euro.ucsc.edu/cgi-bin/hgTracks?position=215548_s_at","UCSC")</f>
        <v>UCSC</v>
      </c>
      <c r="E2191" s="1" t="str">
        <f>HYPERLINK("http://www.ncbi.nlm.nih.gov/gene/?term=SCFD1","NCBI")</f>
        <v>NCBI</v>
      </c>
      <c r="F2191">
        <v>8.6E-3</v>
      </c>
      <c r="G2191">
        <v>6.7000000000000004E-2</v>
      </c>
      <c r="H2191" s="1" t="str">
        <f>HYPERLINK("http://www.weizmann.ac.il/complex/compphys/software/geview/data/figures/215548_s_at.png","Figure")</f>
        <v>Figure</v>
      </c>
      <c r="I2191">
        <v>0.503</v>
      </c>
      <c r="J2191">
        <v>8.5000000000000006E-3</v>
      </c>
      <c r="K2191">
        <v>0.85399999999999998</v>
      </c>
      <c r="L2191">
        <v>0.62</v>
      </c>
      <c r="M2191">
        <v>1.7</v>
      </c>
      <c r="N2191">
        <v>2.8000000000000001E-2</v>
      </c>
    </row>
    <row r="2192" spans="1:14" x14ac:dyDescent="0.25">
      <c r="A2192" t="s">
        <v>4064</v>
      </c>
      <c r="B2192" t="s">
        <v>856</v>
      </c>
      <c r="C2192" s="1" t="str">
        <f>HYPERLINK("http://www.genecards.org/cgi-bin/carddisp.pl?gene=CTBP2","GeneCards")</f>
        <v>GeneCards</v>
      </c>
      <c r="D2192" s="1" t="str">
        <f>HYPERLINK("http://genome-euro.ucsc.edu/cgi-bin/hgTracks?position=210554_s_at","UCSC")</f>
        <v>UCSC</v>
      </c>
      <c r="E2192" s="1" t="str">
        <f>HYPERLINK("http://www.ncbi.nlm.nih.gov/gene/?term=CTBP2","NCBI")</f>
        <v>NCBI</v>
      </c>
      <c r="F2192">
        <v>8.6E-3</v>
      </c>
      <c r="G2192">
        <v>6.7000000000000004E-2</v>
      </c>
      <c r="H2192" s="1" t="str">
        <f>HYPERLINK("http://www.weizmann.ac.il/complex/compphys/software/geview/data/figures/210554_s_at.png","Figure")</f>
        <v>Figure</v>
      </c>
      <c r="I2192">
        <v>1.19</v>
      </c>
      <c r="J2192">
        <v>0.59</v>
      </c>
      <c r="K2192">
        <v>1.71</v>
      </c>
      <c r="L2192">
        <v>8.2000000000000007E-3</v>
      </c>
      <c r="M2192">
        <v>1.44</v>
      </c>
      <c r="N2192">
        <v>9.0999999999999998E-2</v>
      </c>
    </row>
    <row r="2193" spans="1:14" x14ac:dyDescent="0.25">
      <c r="A2193" t="s">
        <v>4065</v>
      </c>
      <c r="B2193" s="3">
        <v>42624</v>
      </c>
      <c r="C2193" s="1" t="str">
        <f>HYPERLINK("http://www.genecards.org/cgi-bin/carddisp.pl?gene=11-Sep","GeneCards")</f>
        <v>GeneCards</v>
      </c>
      <c r="D2193" s="1" t="str">
        <f>HYPERLINK("http://genome-euro.ucsc.edu/cgi-bin/hgTracks?position=201307_at","UCSC")</f>
        <v>UCSC</v>
      </c>
      <c r="E2193" s="1" t="str">
        <f>HYPERLINK("http://www.ncbi.nlm.nih.gov/gene/?term=11-Sep","NCBI")</f>
        <v>NCBI</v>
      </c>
      <c r="F2193">
        <v>8.6E-3</v>
      </c>
      <c r="G2193">
        <v>6.7000000000000004E-2</v>
      </c>
      <c r="H2193" s="1" t="str">
        <f>HYPERLINK("http://www.weizmann.ac.il/complex/compphys/software/geview/data/figures/201307_at.png","Figure")</f>
        <v>Figure</v>
      </c>
      <c r="I2193">
        <v>0.76800000000000002</v>
      </c>
      <c r="J2193">
        <v>0.31</v>
      </c>
      <c r="K2193">
        <v>1.39</v>
      </c>
      <c r="L2193">
        <v>0.12</v>
      </c>
      <c r="M2193">
        <v>1.81</v>
      </c>
      <c r="N2193">
        <v>7.6E-3</v>
      </c>
    </row>
    <row r="2194" spans="1:14" x14ac:dyDescent="0.25">
      <c r="A2194" t="s">
        <v>4066</v>
      </c>
      <c r="B2194" t="s">
        <v>4067</v>
      </c>
      <c r="C2194" s="1" t="str">
        <f>HYPERLINK("http://www.genecards.org/cgi-bin/carddisp.pl?gene=MUC5AC","GeneCards")</f>
        <v>GeneCards</v>
      </c>
      <c r="D2194" s="1" t="str">
        <f>HYPERLINK("http://genome-euro.ucsc.edu/cgi-bin/hgTracks?position=214303_x_at","UCSC")</f>
        <v>UCSC</v>
      </c>
      <c r="E2194" s="1" t="str">
        <f>HYPERLINK("http://www.ncbi.nlm.nih.gov/gene/?term=MUC5AC","NCBI")</f>
        <v>NCBI</v>
      </c>
      <c r="F2194">
        <v>8.6999999999999994E-3</v>
      </c>
      <c r="G2194">
        <v>6.7000000000000004E-2</v>
      </c>
      <c r="H2194" s="1" t="str">
        <f>HYPERLINK("http://www.weizmann.ac.il/complex/compphys/software/geview/data/figures/214303_x_at.png","Figure")</f>
        <v>Figure</v>
      </c>
      <c r="I2194">
        <v>1.38</v>
      </c>
      <c r="J2194">
        <v>9.2999999999999992E-3</v>
      </c>
      <c r="K2194">
        <v>1.06</v>
      </c>
      <c r="L2194">
        <v>0.72</v>
      </c>
      <c r="M2194">
        <v>0.77100000000000002</v>
      </c>
      <c r="N2194">
        <v>2.3E-2</v>
      </c>
    </row>
    <row r="2195" spans="1:14" x14ac:dyDescent="0.25">
      <c r="A2195" t="s">
        <v>4068</v>
      </c>
      <c r="B2195" t="s">
        <v>4069</v>
      </c>
      <c r="C2195" s="1" t="str">
        <f>HYPERLINK("http://www.genecards.org/cgi-bin/carddisp.pl?gene=DOCK10","GeneCards")</f>
        <v>GeneCards</v>
      </c>
      <c r="D2195" s="1" t="str">
        <f>HYPERLINK("http://genome-euro.ucsc.edu/cgi-bin/hgTracks?position=215151_at","UCSC")</f>
        <v>UCSC</v>
      </c>
      <c r="E2195" s="1" t="str">
        <f>HYPERLINK("http://www.ncbi.nlm.nih.gov/gene/?term=DOCK10","NCBI")</f>
        <v>NCBI</v>
      </c>
      <c r="F2195">
        <v>8.6999999999999994E-3</v>
      </c>
      <c r="G2195">
        <v>6.7000000000000004E-2</v>
      </c>
      <c r="H2195" s="1" t="str">
        <f>HYPERLINK("http://www.weizmann.ac.il/complex/compphys/software/geview/data/figures/215151_at.png","Figure")</f>
        <v>Figure</v>
      </c>
      <c r="I2195">
        <v>1.45</v>
      </c>
      <c r="J2195">
        <v>2.5999999999999999E-2</v>
      </c>
      <c r="K2195">
        <v>1.45</v>
      </c>
      <c r="L2195">
        <v>1.0999999999999999E-2</v>
      </c>
      <c r="M2195">
        <v>1</v>
      </c>
      <c r="N2195">
        <v>1</v>
      </c>
    </row>
    <row r="2196" spans="1:14" x14ac:dyDescent="0.25">
      <c r="A2196" t="s">
        <v>4070</v>
      </c>
      <c r="B2196" t="s">
        <v>4071</v>
      </c>
      <c r="C2196" s="1" t="str">
        <f>HYPERLINK("http://www.genecards.org/cgi-bin/carddisp.pl?gene=LECT1","GeneCards")</f>
        <v>GeneCards</v>
      </c>
      <c r="D2196" s="1" t="str">
        <f>HYPERLINK("http://genome-euro.ucsc.edu/cgi-bin/hgTracks?position=206309_at","UCSC")</f>
        <v>UCSC</v>
      </c>
      <c r="E2196" s="1" t="str">
        <f>HYPERLINK("http://www.ncbi.nlm.nih.gov/gene/?term=LECT1","NCBI")</f>
        <v>NCBI</v>
      </c>
      <c r="F2196">
        <v>8.6999999999999994E-3</v>
      </c>
      <c r="G2196">
        <v>6.7000000000000004E-2</v>
      </c>
      <c r="H2196" s="1" t="str">
        <f>HYPERLINK("http://www.weizmann.ac.il/complex/compphys/software/geview/data/figures/206309_at.png","Figure")</f>
        <v>Figure</v>
      </c>
      <c r="I2196">
        <v>1.28</v>
      </c>
      <c r="J2196">
        <v>9.1999999999999998E-3</v>
      </c>
      <c r="K2196">
        <v>1.05</v>
      </c>
      <c r="L2196">
        <v>0.7</v>
      </c>
      <c r="M2196">
        <v>0.82099999999999995</v>
      </c>
      <c r="N2196">
        <v>2.4E-2</v>
      </c>
    </row>
    <row r="2197" spans="1:14" x14ac:dyDescent="0.25">
      <c r="A2197" t="s">
        <v>4072</v>
      </c>
      <c r="B2197" t="s">
        <v>1893</v>
      </c>
      <c r="C2197" s="1" t="str">
        <f>HYPERLINK("http://www.genecards.org/cgi-bin/carddisp.pl?gene=TUBB3","GeneCards")</f>
        <v>GeneCards</v>
      </c>
      <c r="D2197" s="1" t="str">
        <f>HYPERLINK("http://genome-euro.ucsc.edu/cgi-bin/hgTracks?position=202154_x_at","UCSC")</f>
        <v>UCSC</v>
      </c>
      <c r="E2197" s="1" t="str">
        <f>HYPERLINK("http://www.ncbi.nlm.nih.gov/gene/?term=TUBB3","NCBI")</f>
        <v>NCBI</v>
      </c>
      <c r="F2197">
        <v>8.6999999999999994E-3</v>
      </c>
      <c r="G2197">
        <v>6.7000000000000004E-2</v>
      </c>
      <c r="H2197" s="1" t="str">
        <f>HYPERLINK("http://www.weizmann.ac.il/complex/compphys/software/geview/data/figures/202154_x_at.png","Figure")</f>
        <v>Figure</v>
      </c>
      <c r="I2197">
        <v>1.83</v>
      </c>
      <c r="J2197">
        <v>3.1E-2</v>
      </c>
      <c r="K2197">
        <v>1.89</v>
      </c>
      <c r="L2197">
        <v>0.01</v>
      </c>
      <c r="M2197">
        <v>1.04</v>
      </c>
      <c r="N2197">
        <v>0.98</v>
      </c>
    </row>
    <row r="2198" spans="1:14" x14ac:dyDescent="0.25">
      <c r="A2198" t="s">
        <v>4073</v>
      </c>
      <c r="B2198" t="s">
        <v>4074</v>
      </c>
      <c r="C2198" s="1" t="str">
        <f>HYPERLINK("http://www.genecards.org/cgi-bin/carddisp.pl?gene=MTMR3","GeneCards")</f>
        <v>GeneCards</v>
      </c>
      <c r="D2198" s="1" t="str">
        <f>HYPERLINK("http://genome-euro.ucsc.edu/cgi-bin/hgTracks?position=202197_at","UCSC")</f>
        <v>UCSC</v>
      </c>
      <c r="E2198" s="1" t="str">
        <f>HYPERLINK("http://www.ncbi.nlm.nih.gov/gene/?term=MTMR3","NCBI")</f>
        <v>NCBI</v>
      </c>
      <c r="F2198">
        <v>8.6999999999999994E-3</v>
      </c>
      <c r="G2198">
        <v>6.7000000000000004E-2</v>
      </c>
      <c r="H2198" s="1" t="str">
        <f>HYPERLINK("http://www.weizmann.ac.il/complex/compphys/software/geview/data/figures/202197_at.png","Figure")</f>
        <v>Figure</v>
      </c>
      <c r="I2198">
        <v>1.47</v>
      </c>
      <c r="J2198">
        <v>0.12</v>
      </c>
      <c r="K2198">
        <v>0.78600000000000003</v>
      </c>
      <c r="L2198">
        <v>0.3</v>
      </c>
      <c r="M2198">
        <v>0.53600000000000003</v>
      </c>
      <c r="N2198">
        <v>6.4999999999999997E-3</v>
      </c>
    </row>
    <row r="2199" spans="1:14" x14ac:dyDescent="0.25">
      <c r="A2199" t="s">
        <v>4075</v>
      </c>
      <c r="B2199" t="s">
        <v>4076</v>
      </c>
      <c r="C2199" s="1" t="str">
        <f>HYPERLINK("http://www.genecards.org/cgi-bin/carddisp.pl?gene=GNAQ","GeneCards")</f>
        <v>GeneCards</v>
      </c>
      <c r="D2199" s="1" t="str">
        <f>HYPERLINK("http://genome-euro.ucsc.edu/cgi-bin/hgTracks?position=202615_at","UCSC")</f>
        <v>UCSC</v>
      </c>
      <c r="E2199" s="1" t="str">
        <f>HYPERLINK("http://www.ncbi.nlm.nih.gov/gene/?term=GNAQ","NCBI")</f>
        <v>NCBI</v>
      </c>
      <c r="F2199">
        <v>8.6999999999999994E-3</v>
      </c>
      <c r="G2199">
        <v>6.7000000000000004E-2</v>
      </c>
      <c r="H2199" s="1" t="str">
        <f>HYPERLINK("http://www.weizmann.ac.il/complex/compphys/software/geview/data/figures/202615_at.png","Figure")</f>
        <v>Figure</v>
      </c>
      <c r="I2199">
        <v>0.435</v>
      </c>
      <c r="J2199">
        <v>3.2000000000000001E-2</v>
      </c>
      <c r="K2199">
        <v>0.41299999999999998</v>
      </c>
      <c r="L2199">
        <v>9.9000000000000008E-3</v>
      </c>
      <c r="M2199">
        <v>0.94899999999999995</v>
      </c>
      <c r="N2199">
        <v>0.98</v>
      </c>
    </row>
    <row r="2200" spans="1:14" x14ac:dyDescent="0.25">
      <c r="A2200" t="s">
        <v>4077</v>
      </c>
      <c r="B2200" t="s">
        <v>1145</v>
      </c>
      <c r="C2200" s="1" t="str">
        <f>HYPERLINK("http://www.genecards.org/cgi-bin/carddisp.pl?gene=PRKCB","GeneCards")</f>
        <v>GeneCards</v>
      </c>
      <c r="D2200" s="1" t="str">
        <f>HYPERLINK("http://genome-euro.ucsc.edu/cgi-bin/hgTracks?position=209685_s_at","UCSC")</f>
        <v>UCSC</v>
      </c>
      <c r="E2200" s="1" t="str">
        <f>HYPERLINK("http://www.ncbi.nlm.nih.gov/gene/?term=PRKCB","NCBI")</f>
        <v>NCBI</v>
      </c>
      <c r="F2200">
        <v>8.6999999999999994E-3</v>
      </c>
      <c r="G2200">
        <v>6.7000000000000004E-2</v>
      </c>
      <c r="H2200" s="1" t="str">
        <f>HYPERLINK("http://www.weizmann.ac.il/complex/compphys/software/geview/data/figures/209685_s_at.png","Figure")</f>
        <v>Figure</v>
      </c>
      <c r="I2200">
        <v>0.58099999999999996</v>
      </c>
      <c r="J2200">
        <v>0.12</v>
      </c>
      <c r="K2200">
        <v>0.44</v>
      </c>
      <c r="L2200">
        <v>6.7000000000000002E-3</v>
      </c>
      <c r="M2200">
        <v>0.75700000000000001</v>
      </c>
      <c r="N2200">
        <v>0.48</v>
      </c>
    </row>
    <row r="2201" spans="1:14" x14ac:dyDescent="0.25">
      <c r="A2201" t="s">
        <v>4078</v>
      </c>
      <c r="B2201" t="s">
        <v>4079</v>
      </c>
      <c r="C2201" s="1" t="str">
        <f>HYPERLINK("http://www.genecards.org/cgi-bin/carddisp.pl?gene=RAB4A /// SPHAR","GeneCards")</f>
        <v>GeneCards</v>
      </c>
      <c r="D2201" s="1" t="str">
        <f>HYPERLINK("http://genome-euro.ucsc.edu/cgi-bin/hgTracks?position=206272_at","UCSC")</f>
        <v>UCSC</v>
      </c>
      <c r="E2201" s="1" t="str">
        <f>HYPERLINK("http://www.ncbi.nlm.nih.gov/gene/?term=RAB4A /// SPHAR","NCBI")</f>
        <v>NCBI</v>
      </c>
      <c r="F2201">
        <v>8.6999999999999994E-3</v>
      </c>
      <c r="G2201">
        <v>6.7000000000000004E-2</v>
      </c>
      <c r="H2201" s="1" t="str">
        <f>HYPERLINK("http://www.weizmann.ac.il/complex/compphys/software/geview/data/figures/206272_at.png","Figure")</f>
        <v>Figure</v>
      </c>
      <c r="I2201">
        <v>0.69799999999999995</v>
      </c>
      <c r="J2201">
        <v>1.4E-2</v>
      </c>
      <c r="K2201">
        <v>0.97499999999999998</v>
      </c>
      <c r="L2201">
        <v>0.96</v>
      </c>
      <c r="M2201">
        <v>1.4</v>
      </c>
      <c r="N2201">
        <v>1.4E-2</v>
      </c>
    </row>
    <row r="2202" spans="1:14" x14ac:dyDescent="0.25">
      <c r="A2202" t="s">
        <v>4080</v>
      </c>
      <c r="B2202" t="s">
        <v>3012</v>
      </c>
      <c r="C2202" s="1" t="str">
        <f>HYPERLINK("http://www.genecards.org/cgi-bin/carddisp.pl?gene=TUBB2C","GeneCards")</f>
        <v>GeneCards</v>
      </c>
      <c r="D2202" s="1" t="str">
        <f>HYPERLINK("http://genome-euro.ucsc.edu/cgi-bin/hgTracks?position=208977_x_at","UCSC")</f>
        <v>UCSC</v>
      </c>
      <c r="E2202" s="1" t="str">
        <f>HYPERLINK("http://www.ncbi.nlm.nih.gov/gene/?term=TUBB2C","NCBI")</f>
        <v>NCBI</v>
      </c>
      <c r="F2202">
        <v>8.6999999999999994E-3</v>
      </c>
      <c r="G2202">
        <v>6.7000000000000004E-2</v>
      </c>
      <c r="H2202" s="1" t="str">
        <f>HYPERLINK("http://www.weizmann.ac.il/complex/compphys/software/geview/data/figures/208977_x_at.png","Figure")</f>
        <v>Figure</v>
      </c>
      <c r="I2202">
        <v>2.0299999999999998</v>
      </c>
      <c r="J2202">
        <v>5.8000000000000003E-2</v>
      </c>
      <c r="K2202">
        <v>2.41</v>
      </c>
      <c r="L2202">
        <v>7.7000000000000002E-3</v>
      </c>
      <c r="M2202">
        <v>1.19</v>
      </c>
      <c r="N2202">
        <v>0.78</v>
      </c>
    </row>
    <row r="2203" spans="1:14" x14ac:dyDescent="0.25">
      <c r="A2203" t="s">
        <v>4081</v>
      </c>
      <c r="B2203" t="s">
        <v>4082</v>
      </c>
      <c r="C2203" s="1" t="str">
        <f>HYPERLINK("http://www.genecards.org/cgi-bin/carddisp.pl?gene=KRT10","GeneCards")</f>
        <v>GeneCards</v>
      </c>
      <c r="D2203" s="1" t="str">
        <f>HYPERLINK("http://genome-euro.ucsc.edu/cgi-bin/hgTracks?position=213287_s_at","UCSC")</f>
        <v>UCSC</v>
      </c>
      <c r="E2203" s="1" t="str">
        <f>HYPERLINK("http://www.ncbi.nlm.nih.gov/gene/?term=KRT10","NCBI")</f>
        <v>NCBI</v>
      </c>
      <c r="F2203">
        <v>8.6999999999999994E-3</v>
      </c>
      <c r="G2203">
        <v>6.7000000000000004E-2</v>
      </c>
      <c r="H2203" s="1" t="str">
        <f>HYPERLINK("http://www.weizmann.ac.il/complex/compphys/software/geview/data/figures/213287_s_at.png","Figure")</f>
        <v>Figure</v>
      </c>
      <c r="I2203">
        <v>0.65</v>
      </c>
      <c r="J2203">
        <v>1.6E-2</v>
      </c>
      <c r="K2203">
        <v>0.69099999999999995</v>
      </c>
      <c r="L2203">
        <v>1.7000000000000001E-2</v>
      </c>
      <c r="M2203">
        <v>1.06</v>
      </c>
      <c r="N2203">
        <v>0.88</v>
      </c>
    </row>
    <row r="2204" spans="1:14" x14ac:dyDescent="0.25">
      <c r="A2204" t="s">
        <v>4083</v>
      </c>
      <c r="B2204" t="s">
        <v>2381</v>
      </c>
      <c r="C2204" s="1" t="str">
        <f>HYPERLINK("http://www.genecards.org/cgi-bin/carddisp.pl?gene=C21orf2","GeneCards")</f>
        <v>GeneCards</v>
      </c>
      <c r="D2204" s="1" t="str">
        <f>HYPERLINK("http://genome-euro.ucsc.edu/cgi-bin/hgTracks?position=221975_s_at","UCSC")</f>
        <v>UCSC</v>
      </c>
      <c r="E2204" s="1" t="str">
        <f>HYPERLINK("http://www.ncbi.nlm.nih.gov/gene/?term=C21orf2","NCBI")</f>
        <v>NCBI</v>
      </c>
      <c r="F2204">
        <v>8.6999999999999994E-3</v>
      </c>
      <c r="G2204">
        <v>6.7000000000000004E-2</v>
      </c>
      <c r="H2204" s="1" t="str">
        <f>HYPERLINK("http://www.weizmann.ac.il/complex/compphys/software/geview/data/figures/221975_s_at.png","Figure")</f>
        <v>Figure</v>
      </c>
      <c r="I2204">
        <v>1.46</v>
      </c>
      <c r="J2204">
        <v>6.7000000000000002E-3</v>
      </c>
      <c r="K2204">
        <v>1.21</v>
      </c>
      <c r="L2204">
        <v>0.11</v>
      </c>
      <c r="M2204">
        <v>0.83099999999999996</v>
      </c>
      <c r="N2204">
        <v>0.17</v>
      </c>
    </row>
    <row r="2205" spans="1:14" x14ac:dyDescent="0.25">
      <c r="A2205" t="s">
        <v>4084</v>
      </c>
      <c r="B2205" t="s">
        <v>4085</v>
      </c>
      <c r="C2205" s="1" t="str">
        <f>HYPERLINK("http://www.genecards.org/cgi-bin/carddisp.pl?gene=SLC26A2","GeneCards")</f>
        <v>GeneCards</v>
      </c>
      <c r="D2205" s="1" t="str">
        <f>HYPERLINK("http://genome-euro.ucsc.edu/cgi-bin/hgTracks?position=205097_at","UCSC")</f>
        <v>UCSC</v>
      </c>
      <c r="E2205" s="1" t="str">
        <f>HYPERLINK("http://www.ncbi.nlm.nih.gov/gene/?term=SLC26A2","NCBI")</f>
        <v>NCBI</v>
      </c>
      <c r="F2205">
        <v>8.6999999999999994E-3</v>
      </c>
      <c r="G2205">
        <v>6.7000000000000004E-2</v>
      </c>
      <c r="H2205" s="1" t="str">
        <f>HYPERLINK("http://www.weizmann.ac.il/complex/compphys/software/geview/data/figures/205097_at.png","Figure")</f>
        <v>Figure</v>
      </c>
      <c r="I2205">
        <v>0.437</v>
      </c>
      <c r="J2205">
        <v>2.4E-2</v>
      </c>
      <c r="K2205">
        <v>1.08</v>
      </c>
      <c r="L2205">
        <v>0.94</v>
      </c>
      <c r="M2205">
        <v>2.48</v>
      </c>
      <c r="N2205">
        <v>9.1000000000000004E-3</v>
      </c>
    </row>
    <row r="2206" spans="1:14" x14ac:dyDescent="0.25">
      <c r="A2206" t="s">
        <v>4086</v>
      </c>
      <c r="B2206" t="s">
        <v>3925</v>
      </c>
      <c r="C2206" s="1" t="str">
        <f>HYPERLINK("http://www.genecards.org/cgi-bin/carddisp.pl?gene=NUMA1","GeneCards")</f>
        <v>GeneCards</v>
      </c>
      <c r="D2206" s="1" t="str">
        <f>HYPERLINK("http://genome-euro.ucsc.edu/cgi-bin/hgTracks?position=200747_s_at","UCSC")</f>
        <v>UCSC</v>
      </c>
      <c r="E2206" s="1" t="str">
        <f>HYPERLINK("http://www.ncbi.nlm.nih.gov/gene/?term=NUMA1","NCBI")</f>
        <v>NCBI</v>
      </c>
      <c r="F2206">
        <v>8.8000000000000005E-3</v>
      </c>
      <c r="G2206">
        <v>6.7000000000000004E-2</v>
      </c>
      <c r="H2206" s="1" t="str">
        <f>HYPERLINK("http://www.weizmann.ac.il/complex/compphys/software/geview/data/figures/200747_s_at.png","Figure")</f>
        <v>Figure</v>
      </c>
      <c r="I2206">
        <v>1.83</v>
      </c>
      <c r="J2206">
        <v>1.2999999999999999E-2</v>
      </c>
      <c r="K2206">
        <v>1.63</v>
      </c>
      <c r="L2206">
        <v>2.1000000000000001E-2</v>
      </c>
      <c r="M2206">
        <v>0.89100000000000001</v>
      </c>
      <c r="N2206">
        <v>0.78</v>
      </c>
    </row>
    <row r="2207" spans="1:14" x14ac:dyDescent="0.25">
      <c r="A2207" t="s">
        <v>4087</v>
      </c>
      <c r="B2207" t="s">
        <v>4088</v>
      </c>
      <c r="C2207" s="1" t="str">
        <f>HYPERLINK("http://www.genecards.org/cgi-bin/carddisp.pl?gene=OCRL","GeneCards")</f>
        <v>GeneCards</v>
      </c>
      <c r="D2207" s="1" t="str">
        <f>HYPERLINK("http://genome-euro.ucsc.edu/cgi-bin/hgTracks?position=203446_s_at","UCSC")</f>
        <v>UCSC</v>
      </c>
      <c r="E2207" s="1" t="str">
        <f>HYPERLINK("http://www.ncbi.nlm.nih.gov/gene/?term=OCRL","NCBI")</f>
        <v>NCBI</v>
      </c>
      <c r="F2207">
        <v>8.8000000000000005E-3</v>
      </c>
      <c r="G2207">
        <v>6.7000000000000004E-2</v>
      </c>
      <c r="H2207" s="1" t="str">
        <f>HYPERLINK("http://www.weizmann.ac.il/complex/compphys/software/geview/data/figures/203446_s_at.png","Figure")</f>
        <v>Figure</v>
      </c>
      <c r="I2207">
        <v>0.48199999999999998</v>
      </c>
      <c r="J2207">
        <v>7.0000000000000001E-3</v>
      </c>
      <c r="K2207">
        <v>0.67</v>
      </c>
      <c r="L2207">
        <v>8.7999999999999995E-2</v>
      </c>
      <c r="M2207">
        <v>1.39</v>
      </c>
      <c r="N2207">
        <v>0.21</v>
      </c>
    </row>
    <row r="2208" spans="1:14" x14ac:dyDescent="0.25">
      <c r="A2208" t="s">
        <v>4089</v>
      </c>
      <c r="B2208" t="s">
        <v>4090</v>
      </c>
      <c r="C2208" s="1" t="str">
        <f>HYPERLINK("http://www.genecards.org/cgi-bin/carddisp.pl?gene=THAP11","GeneCards")</f>
        <v>GeneCards</v>
      </c>
      <c r="D2208" s="1" t="str">
        <f>HYPERLINK("http://genome-euro.ucsc.edu/cgi-bin/hgTracks?position=212910_at","UCSC")</f>
        <v>UCSC</v>
      </c>
      <c r="E2208" s="1" t="str">
        <f>HYPERLINK("http://www.ncbi.nlm.nih.gov/gene/?term=THAP11","NCBI")</f>
        <v>NCBI</v>
      </c>
      <c r="F2208">
        <v>8.6999999999999994E-3</v>
      </c>
      <c r="G2208">
        <v>6.7000000000000004E-2</v>
      </c>
      <c r="H2208" s="1" t="str">
        <f>HYPERLINK("http://www.weizmann.ac.il/complex/compphys/software/geview/data/figures/212910_at.png","Figure")</f>
        <v>Figure</v>
      </c>
      <c r="I2208">
        <v>1.1399999999999999</v>
      </c>
      <c r="J2208">
        <v>0.36</v>
      </c>
      <c r="K2208">
        <v>1.35</v>
      </c>
      <c r="L2208">
        <v>7.1000000000000004E-3</v>
      </c>
      <c r="M2208">
        <v>1.19</v>
      </c>
      <c r="N2208">
        <v>0.17</v>
      </c>
    </row>
    <row r="2209" spans="1:14" x14ac:dyDescent="0.25">
      <c r="A2209" t="s">
        <v>4091</v>
      </c>
      <c r="B2209" t="s">
        <v>4092</v>
      </c>
      <c r="C2209" s="1" t="str">
        <f>HYPERLINK("http://www.genecards.org/cgi-bin/carddisp.pl?gene=NSUN5","GeneCards")</f>
        <v>GeneCards</v>
      </c>
      <c r="D2209" s="1" t="str">
        <f>HYPERLINK("http://genome-euro.ucsc.edu/cgi-bin/hgTracks?position=213773_x_at","UCSC")</f>
        <v>UCSC</v>
      </c>
      <c r="E2209" s="1" t="str">
        <f>HYPERLINK("http://www.ncbi.nlm.nih.gov/gene/?term=NSUN5","NCBI")</f>
        <v>NCBI</v>
      </c>
      <c r="F2209">
        <v>8.8000000000000005E-3</v>
      </c>
      <c r="G2209">
        <v>6.7000000000000004E-2</v>
      </c>
      <c r="H2209" s="1" t="str">
        <f>HYPERLINK("http://www.weizmann.ac.il/complex/compphys/software/geview/data/figures/213773_x_at.png","Figure")</f>
        <v>Figure</v>
      </c>
      <c r="I2209">
        <v>1.83</v>
      </c>
      <c r="J2209">
        <v>4.7E-2</v>
      </c>
      <c r="K2209">
        <v>2.04</v>
      </c>
      <c r="L2209">
        <v>8.3999999999999995E-3</v>
      </c>
      <c r="M2209">
        <v>1.1100000000000001</v>
      </c>
      <c r="N2209">
        <v>0.87</v>
      </c>
    </row>
    <row r="2210" spans="1:14" x14ac:dyDescent="0.25">
      <c r="A2210" t="s">
        <v>4093</v>
      </c>
      <c r="B2210" t="s">
        <v>4094</v>
      </c>
      <c r="C2210" s="1" t="str">
        <f>HYPERLINK("http://www.genecards.org/cgi-bin/carddisp.pl?gene=BRWD2","GeneCards")</f>
        <v>GeneCards</v>
      </c>
      <c r="D2210" s="1" t="str">
        <f>HYPERLINK("http://genome-euro.ucsc.edu/cgi-bin/hgTracks?position=218090_s_at","UCSC")</f>
        <v>UCSC</v>
      </c>
      <c r="E2210" s="1" t="str">
        <f>HYPERLINK("http://www.ncbi.nlm.nih.gov/gene/?term=BRWD2","NCBI")</f>
        <v>NCBI</v>
      </c>
      <c r="F2210">
        <v>8.8000000000000005E-3</v>
      </c>
      <c r="G2210">
        <v>6.7000000000000004E-2</v>
      </c>
      <c r="H2210" s="1" t="str">
        <f>HYPERLINK("http://www.weizmann.ac.il/complex/compphys/software/geview/data/figures/218090_s_at.png","Figure")</f>
        <v>Figure</v>
      </c>
      <c r="I2210">
        <v>0.38800000000000001</v>
      </c>
      <c r="J2210">
        <v>7.4000000000000003E-3</v>
      </c>
      <c r="K2210">
        <v>0.57499999999999996</v>
      </c>
      <c r="L2210">
        <v>7.0000000000000007E-2</v>
      </c>
      <c r="M2210">
        <v>1.48</v>
      </c>
      <c r="N2210">
        <v>0.27</v>
      </c>
    </row>
    <row r="2211" spans="1:14" x14ac:dyDescent="0.25">
      <c r="A2211" t="s">
        <v>4095</v>
      </c>
      <c r="B2211" t="s">
        <v>4096</v>
      </c>
      <c r="C2211" s="1" t="str">
        <f>HYPERLINK("http://www.genecards.org/cgi-bin/carddisp.pl?gene=SRPK1","GeneCards")</f>
        <v>GeneCards</v>
      </c>
      <c r="D2211" s="1" t="str">
        <f>HYPERLINK("http://genome-euro.ucsc.edu/cgi-bin/hgTracks?position=202200_s_at","UCSC")</f>
        <v>UCSC</v>
      </c>
      <c r="E2211" s="1" t="str">
        <f>HYPERLINK("http://www.ncbi.nlm.nih.gov/gene/?term=SRPK1","NCBI")</f>
        <v>NCBI</v>
      </c>
      <c r="F2211">
        <v>8.8000000000000005E-3</v>
      </c>
      <c r="G2211">
        <v>6.7000000000000004E-2</v>
      </c>
      <c r="H2211" s="1" t="str">
        <f>HYPERLINK("http://www.weizmann.ac.il/complex/compphys/software/geview/data/figures/202200_s_at.png","Figure")</f>
        <v>Figure</v>
      </c>
      <c r="I2211">
        <v>0.6</v>
      </c>
      <c r="J2211">
        <v>8.5000000000000006E-2</v>
      </c>
      <c r="K2211">
        <v>1.28</v>
      </c>
      <c r="L2211">
        <v>0.41</v>
      </c>
      <c r="M2211">
        <v>2.14</v>
      </c>
      <c r="N2211">
        <v>6.6E-3</v>
      </c>
    </row>
    <row r="2212" spans="1:14" x14ac:dyDescent="0.25">
      <c r="A2212" t="s">
        <v>4097</v>
      </c>
      <c r="B2212" t="s">
        <v>4098</v>
      </c>
      <c r="C2212" s="1" t="str">
        <f>HYPERLINK("http://www.genecards.org/cgi-bin/carddisp.pl?gene=AKAP2 /// PALM2-AKAP2","GeneCards")</f>
        <v>GeneCards</v>
      </c>
      <c r="D2212" s="1" t="str">
        <f>HYPERLINK("http://genome-euro.ucsc.edu/cgi-bin/hgTracks?position=202759_s_at","UCSC")</f>
        <v>UCSC</v>
      </c>
      <c r="E2212" s="1" t="str">
        <f>HYPERLINK("http://www.ncbi.nlm.nih.gov/gene/?term=AKAP2 /// PALM2-AKAP2","NCBI")</f>
        <v>NCBI</v>
      </c>
      <c r="F2212">
        <v>8.8000000000000005E-3</v>
      </c>
      <c r="G2212">
        <v>6.7000000000000004E-2</v>
      </c>
      <c r="H2212" s="1" t="str">
        <f>HYPERLINK("http://www.weizmann.ac.il/complex/compphys/software/geview/data/figures/202759_s_at.png","Figure")</f>
        <v>Figure</v>
      </c>
      <c r="I2212">
        <v>2.1</v>
      </c>
      <c r="J2212">
        <v>6.6E-3</v>
      </c>
      <c r="K2212">
        <v>1.42</v>
      </c>
      <c r="L2212">
        <v>0.15</v>
      </c>
      <c r="M2212">
        <v>0.67600000000000005</v>
      </c>
      <c r="N2212">
        <v>0.13</v>
      </c>
    </row>
    <row r="2213" spans="1:14" x14ac:dyDescent="0.25">
      <c r="A2213" t="s">
        <v>4099</v>
      </c>
      <c r="B2213" t="s">
        <v>4100</v>
      </c>
      <c r="C2213" s="1" t="str">
        <f>HYPERLINK("http://www.genecards.org/cgi-bin/carddisp.pl?gene=KIAA0774","GeneCards")</f>
        <v>GeneCards</v>
      </c>
      <c r="D2213" s="1" t="str">
        <f>HYPERLINK("http://genome-euro.ucsc.edu/cgi-bin/hgTracks?position=214961_at","UCSC")</f>
        <v>UCSC</v>
      </c>
      <c r="E2213" s="1" t="str">
        <f>HYPERLINK("http://www.ncbi.nlm.nih.gov/gene/?term=KIAA0774","NCBI")</f>
        <v>NCBI</v>
      </c>
      <c r="F2213">
        <v>8.8000000000000005E-3</v>
      </c>
      <c r="G2213">
        <v>6.7000000000000004E-2</v>
      </c>
      <c r="H2213" s="1" t="str">
        <f>HYPERLINK("http://www.weizmann.ac.il/complex/compphys/software/geview/data/figures/214961_at.png","Figure")</f>
        <v>Figure</v>
      </c>
      <c r="I2213">
        <v>0.379</v>
      </c>
      <c r="J2213">
        <v>1.7000000000000001E-2</v>
      </c>
      <c r="K2213">
        <v>1</v>
      </c>
      <c r="L2213">
        <v>1</v>
      </c>
      <c r="M2213">
        <v>2.64</v>
      </c>
      <c r="N2213">
        <v>1.0999999999999999E-2</v>
      </c>
    </row>
    <row r="2214" spans="1:14" x14ac:dyDescent="0.25">
      <c r="A2214" t="s">
        <v>4101</v>
      </c>
      <c r="B2214" t="s">
        <v>4102</v>
      </c>
      <c r="C2214" s="1" t="str">
        <f>HYPERLINK("http://www.genecards.org/cgi-bin/carddisp.pl?gene=SH3BGRL","GeneCards")</f>
        <v>GeneCards</v>
      </c>
      <c r="D2214" s="1" t="str">
        <f>HYPERLINK("http://genome-euro.ucsc.edu/cgi-bin/hgTracks?position=201311_s_at","UCSC")</f>
        <v>UCSC</v>
      </c>
      <c r="E2214" s="1" t="str">
        <f>HYPERLINK("http://www.ncbi.nlm.nih.gov/gene/?term=SH3BGRL","NCBI")</f>
        <v>NCBI</v>
      </c>
      <c r="F2214">
        <v>8.8000000000000005E-3</v>
      </c>
      <c r="G2214">
        <v>6.8000000000000005E-2</v>
      </c>
      <c r="H2214" s="1" t="str">
        <f>HYPERLINK("http://www.weizmann.ac.il/complex/compphys/software/geview/data/figures/201311_s_at.png","Figure")</f>
        <v>Figure</v>
      </c>
      <c r="I2214">
        <v>0.71399999999999997</v>
      </c>
      <c r="J2214">
        <v>0.22</v>
      </c>
      <c r="K2214">
        <v>1.39</v>
      </c>
      <c r="L2214">
        <v>0.17</v>
      </c>
      <c r="M2214">
        <v>1.94</v>
      </c>
      <c r="N2214">
        <v>7.1000000000000004E-3</v>
      </c>
    </row>
    <row r="2215" spans="1:14" x14ac:dyDescent="0.25">
      <c r="A2215" t="s">
        <v>4103</v>
      </c>
      <c r="B2215" t="s">
        <v>4104</v>
      </c>
      <c r="C2215" s="1" t="str">
        <f>HYPERLINK("http://www.genecards.org/cgi-bin/carddisp.pl?gene=KIAA0494","GeneCards")</f>
        <v>GeneCards</v>
      </c>
      <c r="D2215" s="1" t="str">
        <f>HYPERLINK("http://genome-euro.ucsc.edu/cgi-bin/hgTracks?position=201776_s_at","UCSC")</f>
        <v>UCSC</v>
      </c>
      <c r="E2215" s="1" t="str">
        <f>HYPERLINK("http://www.ncbi.nlm.nih.gov/gene/?term=KIAA0494","NCBI")</f>
        <v>NCBI</v>
      </c>
      <c r="F2215">
        <v>8.8000000000000005E-3</v>
      </c>
      <c r="G2215">
        <v>6.8000000000000005E-2</v>
      </c>
      <c r="H2215" s="1" t="str">
        <f>HYPERLINK("http://www.weizmann.ac.il/complex/compphys/software/geview/data/figures/201776_s_at.png","Figure")</f>
        <v>Figure</v>
      </c>
      <c r="I2215">
        <v>0.68700000000000006</v>
      </c>
      <c r="J2215">
        <v>2.3E-2</v>
      </c>
      <c r="K2215">
        <v>1.03</v>
      </c>
      <c r="L2215">
        <v>0.95</v>
      </c>
      <c r="M2215">
        <v>1.5</v>
      </c>
      <c r="N2215">
        <v>9.4000000000000004E-3</v>
      </c>
    </row>
    <row r="2216" spans="1:14" x14ac:dyDescent="0.25">
      <c r="A2216" t="s">
        <v>4105</v>
      </c>
      <c r="B2216" t="s">
        <v>4106</v>
      </c>
      <c r="C2216" s="1" t="str">
        <f>HYPERLINK("http://www.genecards.org/cgi-bin/carddisp.pl?gene=TERT","GeneCards")</f>
        <v>GeneCards</v>
      </c>
      <c r="D2216" s="1" t="str">
        <f>HYPERLINK("http://genome-euro.ucsc.edu/cgi-bin/hgTracks?position=207199_at","UCSC")</f>
        <v>UCSC</v>
      </c>
      <c r="E2216" s="1" t="str">
        <f>HYPERLINK("http://www.ncbi.nlm.nih.gov/gene/?term=TERT","NCBI")</f>
        <v>NCBI</v>
      </c>
      <c r="F2216">
        <v>8.8000000000000005E-3</v>
      </c>
      <c r="G2216">
        <v>6.8000000000000005E-2</v>
      </c>
      <c r="H2216" s="1" t="str">
        <f>HYPERLINK("http://www.weizmann.ac.il/complex/compphys/software/geview/data/figures/207199_at.png","Figure")</f>
        <v>Figure</v>
      </c>
      <c r="I2216">
        <v>1.26</v>
      </c>
      <c r="J2216">
        <v>0.14000000000000001</v>
      </c>
      <c r="K2216">
        <v>1.44</v>
      </c>
      <c r="L2216">
        <v>6.7000000000000002E-3</v>
      </c>
      <c r="M2216">
        <v>1.1399999999999999</v>
      </c>
      <c r="N2216">
        <v>0.43</v>
      </c>
    </row>
    <row r="2217" spans="1:14" x14ac:dyDescent="0.25">
      <c r="A2217" t="s">
        <v>4107</v>
      </c>
      <c r="B2217" t="s">
        <v>4108</v>
      </c>
      <c r="C2217" s="1" t="str">
        <f>HYPERLINK("http://www.genecards.org/cgi-bin/carddisp.pl?gene=STX7","GeneCards")</f>
        <v>GeneCards</v>
      </c>
      <c r="D2217" s="1" t="str">
        <f>HYPERLINK("http://genome-euro.ucsc.edu/cgi-bin/hgTracks?position=212631_at","UCSC")</f>
        <v>UCSC</v>
      </c>
      <c r="E2217" s="1" t="str">
        <f>HYPERLINK("http://www.ncbi.nlm.nih.gov/gene/?term=STX7","NCBI")</f>
        <v>NCBI</v>
      </c>
      <c r="F2217">
        <v>8.8000000000000005E-3</v>
      </c>
      <c r="G2217">
        <v>6.8000000000000005E-2</v>
      </c>
      <c r="H2217" s="1" t="str">
        <f>HYPERLINK("http://www.weizmann.ac.il/complex/compphys/software/geview/data/figures/212631_at.png","Figure")</f>
        <v>Figure</v>
      </c>
      <c r="I2217">
        <v>0.49</v>
      </c>
      <c r="J2217">
        <v>3.3000000000000002E-2</v>
      </c>
      <c r="K2217">
        <v>1.1399999999999999</v>
      </c>
      <c r="L2217">
        <v>0.82</v>
      </c>
      <c r="M2217">
        <v>2.3199999999999998</v>
      </c>
      <c r="N2217">
        <v>8.0000000000000002E-3</v>
      </c>
    </row>
    <row r="2218" spans="1:14" x14ac:dyDescent="0.25">
      <c r="A2218" t="s">
        <v>4109</v>
      </c>
      <c r="B2218" t="s">
        <v>4110</v>
      </c>
      <c r="C2218" s="1" t="str">
        <f>HYPERLINK("http://www.genecards.org/cgi-bin/carddisp.pl?gene=TPBG","GeneCards")</f>
        <v>GeneCards</v>
      </c>
      <c r="D2218" s="1" t="str">
        <f>HYPERLINK("http://genome-euro.ucsc.edu/cgi-bin/hgTracks?position=203476_at","UCSC")</f>
        <v>UCSC</v>
      </c>
      <c r="E2218" s="1" t="str">
        <f>HYPERLINK("http://www.ncbi.nlm.nih.gov/gene/?term=TPBG","NCBI")</f>
        <v>NCBI</v>
      </c>
      <c r="F2218">
        <v>8.8000000000000005E-3</v>
      </c>
      <c r="G2218">
        <v>6.8000000000000005E-2</v>
      </c>
      <c r="H2218" s="1" t="str">
        <f>HYPERLINK("http://www.weizmann.ac.il/complex/compphys/software/geview/data/figures/203476_at.png","Figure")</f>
        <v>Figure</v>
      </c>
      <c r="I2218">
        <v>1.56</v>
      </c>
      <c r="J2218">
        <v>2.5000000000000001E-2</v>
      </c>
      <c r="K2218">
        <v>1.55</v>
      </c>
      <c r="L2218">
        <v>1.2E-2</v>
      </c>
      <c r="M2218">
        <v>0.99399999999999999</v>
      </c>
      <c r="N2218">
        <v>1</v>
      </c>
    </row>
    <row r="2219" spans="1:14" x14ac:dyDescent="0.25">
      <c r="A2219" t="s">
        <v>4111</v>
      </c>
      <c r="B2219" t="s">
        <v>4112</v>
      </c>
      <c r="C2219" s="1" t="str">
        <f>HYPERLINK("http://www.genecards.org/cgi-bin/carddisp.pl?gene=C1QBP","GeneCards")</f>
        <v>GeneCards</v>
      </c>
      <c r="D2219" s="1" t="str">
        <f>HYPERLINK("http://genome-euro.ucsc.edu/cgi-bin/hgTracks?position=208910_s_at","UCSC")</f>
        <v>UCSC</v>
      </c>
      <c r="E2219" s="1" t="str">
        <f>HYPERLINK("http://www.ncbi.nlm.nih.gov/gene/?term=C1QBP","NCBI")</f>
        <v>NCBI</v>
      </c>
      <c r="F2219">
        <v>8.8000000000000005E-3</v>
      </c>
      <c r="G2219">
        <v>6.8000000000000005E-2</v>
      </c>
      <c r="H2219" s="1" t="str">
        <f>HYPERLINK("http://www.weizmann.ac.il/complex/compphys/software/geview/data/figures/208910_s_at.png","Figure")</f>
        <v>Figure</v>
      </c>
      <c r="I2219">
        <v>0.89200000000000002</v>
      </c>
      <c r="J2219">
        <v>0.93</v>
      </c>
      <c r="K2219">
        <v>2.23</v>
      </c>
      <c r="L2219">
        <v>2.5999999999999999E-2</v>
      </c>
      <c r="M2219">
        <v>2.5</v>
      </c>
      <c r="N2219">
        <v>1.7999999999999999E-2</v>
      </c>
    </row>
    <row r="2220" spans="1:14" x14ac:dyDescent="0.25">
      <c r="A2220" t="s">
        <v>4113</v>
      </c>
      <c r="B2220" t="s">
        <v>4114</v>
      </c>
      <c r="C2220" s="1" t="str">
        <f>HYPERLINK("http://www.genecards.org/cgi-bin/carddisp.pl?gene=SNRPA","GeneCards")</f>
        <v>GeneCards</v>
      </c>
      <c r="D2220" s="1" t="str">
        <f>HYPERLINK("http://genome-euro.ucsc.edu/cgi-bin/hgTracks?position=201770_at","UCSC")</f>
        <v>UCSC</v>
      </c>
      <c r="E2220" s="1" t="str">
        <f>HYPERLINK("http://www.ncbi.nlm.nih.gov/gene/?term=SNRPA","NCBI")</f>
        <v>NCBI</v>
      </c>
      <c r="F2220">
        <v>8.8999999999999999E-3</v>
      </c>
      <c r="G2220">
        <v>6.8000000000000005E-2</v>
      </c>
      <c r="H2220" s="1" t="str">
        <f>HYPERLINK("http://www.weizmann.ac.il/complex/compphys/software/geview/data/figures/201770_at.png","Figure")</f>
        <v>Figure</v>
      </c>
      <c r="I2220">
        <v>1.33</v>
      </c>
      <c r="J2220">
        <v>1.6E-2</v>
      </c>
      <c r="K2220">
        <v>1.28</v>
      </c>
      <c r="L2220">
        <v>1.7999999999999999E-2</v>
      </c>
      <c r="M2220">
        <v>0.96</v>
      </c>
      <c r="N2220">
        <v>0.87</v>
      </c>
    </row>
    <row r="2221" spans="1:14" x14ac:dyDescent="0.25">
      <c r="A2221" t="s">
        <v>4115</v>
      </c>
      <c r="B2221" t="s">
        <v>4116</v>
      </c>
      <c r="C2221" s="1" t="str">
        <f>HYPERLINK("http://www.genecards.org/cgi-bin/carddisp.pl?gene=ALDH3A2","GeneCards")</f>
        <v>GeneCards</v>
      </c>
      <c r="D2221" s="1" t="str">
        <f>HYPERLINK("http://genome-euro.ucsc.edu/cgi-bin/hgTracks?position=202053_s_at","UCSC")</f>
        <v>UCSC</v>
      </c>
      <c r="E2221" s="1" t="str">
        <f>HYPERLINK("http://www.ncbi.nlm.nih.gov/gene/?term=ALDH3A2","NCBI")</f>
        <v>NCBI</v>
      </c>
      <c r="F2221">
        <v>8.8999999999999999E-3</v>
      </c>
      <c r="G2221">
        <v>6.8000000000000005E-2</v>
      </c>
      <c r="H2221" s="1" t="str">
        <f>HYPERLINK("http://www.weizmann.ac.il/complex/compphys/software/geview/data/figures/202053_s_at.png","Figure")</f>
        <v>Figure</v>
      </c>
      <c r="I2221">
        <v>1.32</v>
      </c>
      <c r="J2221">
        <v>4.8000000000000001E-2</v>
      </c>
      <c r="K2221">
        <v>1.39</v>
      </c>
      <c r="L2221">
        <v>8.5000000000000006E-3</v>
      </c>
      <c r="M2221">
        <v>1.05</v>
      </c>
      <c r="N2221">
        <v>0.87</v>
      </c>
    </row>
    <row r="2222" spans="1:14" x14ac:dyDescent="0.25">
      <c r="A2222" t="s">
        <v>4117</v>
      </c>
      <c r="B2222" t="s">
        <v>4118</v>
      </c>
      <c r="C2222" s="1" t="str">
        <f>HYPERLINK("http://www.genecards.org/cgi-bin/carddisp.pl?gene=BRCA1","GeneCards")</f>
        <v>GeneCards</v>
      </c>
      <c r="D2222" s="1" t="str">
        <f>HYPERLINK("http://genome-euro.ucsc.edu/cgi-bin/hgTracks?position=204531_s_at","UCSC")</f>
        <v>UCSC</v>
      </c>
      <c r="E2222" s="1" t="str">
        <f>HYPERLINK("http://www.ncbi.nlm.nih.gov/gene/?term=BRCA1","NCBI")</f>
        <v>NCBI</v>
      </c>
      <c r="F2222">
        <v>8.8999999999999999E-3</v>
      </c>
      <c r="G2222">
        <v>6.8000000000000005E-2</v>
      </c>
      <c r="H2222" s="1" t="str">
        <f>HYPERLINK("http://www.weizmann.ac.il/complex/compphys/software/geview/data/figures/204531_s_at.png","Figure")</f>
        <v>Figure</v>
      </c>
      <c r="I2222">
        <v>0.60799999999999998</v>
      </c>
      <c r="J2222">
        <v>9.5000000000000001E-2</v>
      </c>
      <c r="K2222">
        <v>1.3</v>
      </c>
      <c r="L2222">
        <v>0.38</v>
      </c>
      <c r="M2222">
        <v>2.14</v>
      </c>
      <c r="N2222">
        <v>6.7000000000000002E-3</v>
      </c>
    </row>
    <row r="2223" spans="1:14" x14ac:dyDescent="0.25">
      <c r="A2223" t="s">
        <v>4119</v>
      </c>
      <c r="B2223" t="s">
        <v>1333</v>
      </c>
      <c r="C2223" s="1" t="str">
        <f>HYPERLINK("http://www.genecards.org/cgi-bin/carddisp.pl?gene=CLEC11A","GeneCards")</f>
        <v>GeneCards</v>
      </c>
      <c r="D2223" s="1" t="str">
        <f>HYPERLINK("http://genome-euro.ucsc.edu/cgi-bin/hgTracks?position=205131_x_at","UCSC")</f>
        <v>UCSC</v>
      </c>
      <c r="E2223" s="1" t="str">
        <f>HYPERLINK("http://www.ncbi.nlm.nih.gov/gene/?term=CLEC11A","NCBI")</f>
        <v>NCBI</v>
      </c>
      <c r="F2223">
        <v>8.8999999999999999E-3</v>
      </c>
      <c r="G2223">
        <v>6.8000000000000005E-2</v>
      </c>
      <c r="H2223" s="1" t="str">
        <f>HYPERLINK("http://www.weizmann.ac.il/complex/compphys/software/geview/data/figures/205131_x_at.png","Figure")</f>
        <v>Figure</v>
      </c>
      <c r="I2223">
        <v>1.95</v>
      </c>
      <c r="J2223">
        <v>6.9000000000000006E-2</v>
      </c>
      <c r="K2223">
        <v>2.38</v>
      </c>
      <c r="L2223">
        <v>7.4999999999999997E-3</v>
      </c>
      <c r="M2223">
        <v>1.22</v>
      </c>
      <c r="N2223">
        <v>0.72</v>
      </c>
    </row>
    <row r="2224" spans="1:14" x14ac:dyDescent="0.25">
      <c r="A2224" t="s">
        <v>4120</v>
      </c>
      <c r="B2224" t="s">
        <v>4121</v>
      </c>
      <c r="C2224" s="1" t="str">
        <f>HYPERLINK("http://www.genecards.org/cgi-bin/carddisp.pl?gene=KLKB1","GeneCards")</f>
        <v>GeneCards</v>
      </c>
      <c r="D2224" s="1" t="str">
        <f>HYPERLINK("http://genome-euro.ucsc.edu/cgi-bin/hgTracks?position=206541_at","UCSC")</f>
        <v>UCSC</v>
      </c>
      <c r="E2224" s="1" t="str">
        <f>HYPERLINK("http://www.ncbi.nlm.nih.gov/gene/?term=KLKB1","NCBI")</f>
        <v>NCBI</v>
      </c>
      <c r="F2224">
        <v>8.8999999999999999E-3</v>
      </c>
      <c r="G2224">
        <v>6.8000000000000005E-2</v>
      </c>
      <c r="H2224" s="1" t="str">
        <f>HYPERLINK("http://www.weizmann.ac.il/complex/compphys/software/geview/data/figures/206541_at.png","Figure")</f>
        <v>Figure</v>
      </c>
      <c r="I2224">
        <v>1.38</v>
      </c>
      <c r="J2224">
        <v>6.7999999999999996E-3</v>
      </c>
      <c r="K2224">
        <v>1.1399999999999999</v>
      </c>
      <c r="L2224">
        <v>0.25</v>
      </c>
      <c r="M2224">
        <v>0.82399999999999995</v>
      </c>
      <c r="N2224">
        <v>7.5999999999999998E-2</v>
      </c>
    </row>
    <row r="2225" spans="1:14" x14ac:dyDescent="0.25">
      <c r="A2225" t="s">
        <v>4122</v>
      </c>
      <c r="B2225" t="s">
        <v>4123</v>
      </c>
      <c r="C2225" s="1" t="str">
        <f>HYPERLINK("http://www.genecards.org/cgi-bin/carddisp.pl?gene=TUBB1","GeneCards")</f>
        <v>GeneCards</v>
      </c>
      <c r="D2225" s="1" t="str">
        <f>HYPERLINK("http://genome-euro.ucsc.edu/cgi-bin/hgTracks?position=208601_s_at","UCSC")</f>
        <v>UCSC</v>
      </c>
      <c r="E2225" s="1" t="str">
        <f>HYPERLINK("http://www.ncbi.nlm.nih.gov/gene/?term=TUBB1","NCBI")</f>
        <v>NCBI</v>
      </c>
      <c r="F2225">
        <v>8.8999999999999999E-3</v>
      </c>
      <c r="G2225">
        <v>6.8000000000000005E-2</v>
      </c>
      <c r="H2225" s="1" t="str">
        <f>HYPERLINK("http://www.weizmann.ac.il/complex/compphys/software/geview/data/figures/208601_s_at.png","Figure")</f>
        <v>Figure</v>
      </c>
      <c r="I2225">
        <v>1.23</v>
      </c>
      <c r="J2225">
        <v>7.0000000000000001E-3</v>
      </c>
      <c r="K2225">
        <v>1.1200000000000001</v>
      </c>
      <c r="L2225">
        <v>9.6000000000000002E-2</v>
      </c>
      <c r="M2225">
        <v>0.90800000000000003</v>
      </c>
      <c r="N2225">
        <v>0.2</v>
      </c>
    </row>
    <row r="2226" spans="1:14" x14ac:dyDescent="0.25">
      <c r="A2226" t="s">
        <v>4124</v>
      </c>
      <c r="B2226" t="s">
        <v>4125</v>
      </c>
      <c r="C2226" s="1" t="str">
        <f>HYPERLINK("http://www.genecards.org/cgi-bin/carddisp.pl?gene=BRAP","GeneCards")</f>
        <v>GeneCards</v>
      </c>
      <c r="D2226" s="1" t="str">
        <f>HYPERLINK("http://genome-euro.ucsc.edu/cgi-bin/hgTracks?position=209923_s_at","UCSC")</f>
        <v>UCSC</v>
      </c>
      <c r="E2226" s="1" t="str">
        <f>HYPERLINK("http://www.ncbi.nlm.nih.gov/gene/?term=BRAP","NCBI")</f>
        <v>NCBI</v>
      </c>
      <c r="F2226">
        <v>8.8999999999999999E-3</v>
      </c>
      <c r="G2226">
        <v>6.8000000000000005E-2</v>
      </c>
      <c r="H2226" s="1" t="str">
        <f>HYPERLINK("http://www.weizmann.ac.il/complex/compphys/software/geview/data/figures/209923_s_at.png","Figure")</f>
        <v>Figure</v>
      </c>
      <c r="I2226">
        <v>1.1299999999999999</v>
      </c>
      <c r="J2226">
        <v>0.49</v>
      </c>
      <c r="K2226">
        <v>0.79900000000000004</v>
      </c>
      <c r="L2226">
        <v>7.0999999999999994E-2</v>
      </c>
      <c r="M2226">
        <v>0.70699999999999996</v>
      </c>
      <c r="N2226">
        <v>9.4000000000000004E-3</v>
      </c>
    </row>
    <row r="2227" spans="1:14" x14ac:dyDescent="0.25">
      <c r="A2227" t="s">
        <v>4126</v>
      </c>
      <c r="B2227" t="s">
        <v>4127</v>
      </c>
      <c r="C2227" s="1" t="str">
        <f>HYPERLINK("http://www.genecards.org/cgi-bin/carddisp.pl?gene=ATXN7","GeneCards")</f>
        <v>GeneCards</v>
      </c>
      <c r="D2227" s="1" t="str">
        <f>HYPERLINK("http://genome-euro.ucsc.edu/cgi-bin/hgTracks?position=209964_s_at","UCSC")</f>
        <v>UCSC</v>
      </c>
      <c r="E2227" s="1" t="str">
        <f>HYPERLINK("http://www.ncbi.nlm.nih.gov/gene/?term=ATXN7","NCBI")</f>
        <v>NCBI</v>
      </c>
      <c r="F2227">
        <v>8.8999999999999999E-3</v>
      </c>
      <c r="G2227">
        <v>6.8000000000000005E-2</v>
      </c>
      <c r="H2227" s="1" t="str">
        <f>HYPERLINK("http://www.weizmann.ac.il/complex/compphys/software/geview/data/figures/209964_s_at.png","Figure")</f>
        <v>Figure</v>
      </c>
      <c r="I2227">
        <v>1.43</v>
      </c>
      <c r="J2227">
        <v>1.2999999999999999E-2</v>
      </c>
      <c r="K2227">
        <v>1.03</v>
      </c>
      <c r="L2227">
        <v>0.95</v>
      </c>
      <c r="M2227">
        <v>0.71899999999999997</v>
      </c>
      <c r="N2227">
        <v>1.4999999999999999E-2</v>
      </c>
    </row>
    <row r="2228" spans="1:14" x14ac:dyDescent="0.25">
      <c r="A2228" t="s">
        <v>4128</v>
      </c>
      <c r="B2228" t="s">
        <v>4129</v>
      </c>
      <c r="C2228" s="1" t="str">
        <f>HYPERLINK("http://www.genecards.org/cgi-bin/carddisp.pl?gene=SH3GLB1","GeneCards")</f>
        <v>GeneCards</v>
      </c>
      <c r="D2228" s="1" t="str">
        <f>HYPERLINK("http://genome-euro.ucsc.edu/cgi-bin/hgTracks?position=210101_x_at","UCSC")</f>
        <v>UCSC</v>
      </c>
      <c r="E2228" s="1" t="str">
        <f>HYPERLINK("http://www.ncbi.nlm.nih.gov/gene/?term=SH3GLB1","NCBI")</f>
        <v>NCBI</v>
      </c>
      <c r="F2228">
        <v>8.8999999999999999E-3</v>
      </c>
      <c r="G2228">
        <v>6.8000000000000005E-2</v>
      </c>
      <c r="H2228" s="1" t="str">
        <f>HYPERLINK("http://www.weizmann.ac.il/complex/compphys/software/geview/data/figures/210101_x_at.png","Figure")</f>
        <v>Figure</v>
      </c>
      <c r="I2228">
        <v>1.32</v>
      </c>
      <c r="J2228">
        <v>6.6000000000000003E-2</v>
      </c>
      <c r="K2228">
        <v>0.89500000000000002</v>
      </c>
      <c r="L2228">
        <v>0.52</v>
      </c>
      <c r="M2228">
        <v>0.67700000000000005</v>
      </c>
      <c r="N2228">
        <v>6.8999999999999999E-3</v>
      </c>
    </row>
    <row r="2229" spans="1:14" x14ac:dyDescent="0.25">
      <c r="A2229" t="s">
        <v>4130</v>
      </c>
      <c r="B2229" t="s">
        <v>4131</v>
      </c>
      <c r="C2229" s="1" t="str">
        <f>HYPERLINK("http://www.genecards.org/cgi-bin/carddisp.pl?gene=RASGRF1","GeneCards")</f>
        <v>GeneCards</v>
      </c>
      <c r="D2229" s="1" t="str">
        <f>HYPERLINK("http://genome-euro.ucsc.edu/cgi-bin/hgTracks?position=210550_s_at","UCSC")</f>
        <v>UCSC</v>
      </c>
      <c r="E2229" s="1" t="str">
        <f>HYPERLINK("http://www.ncbi.nlm.nih.gov/gene/?term=RASGRF1","NCBI")</f>
        <v>NCBI</v>
      </c>
      <c r="F2229">
        <v>8.8999999999999999E-3</v>
      </c>
      <c r="G2229">
        <v>6.8000000000000005E-2</v>
      </c>
      <c r="H2229" s="1" t="str">
        <f>HYPERLINK("http://www.weizmann.ac.il/complex/compphys/software/geview/data/figures/210550_s_at.png","Figure")</f>
        <v>Figure</v>
      </c>
      <c r="I2229">
        <v>1.1200000000000001</v>
      </c>
      <c r="J2229">
        <v>9.8000000000000004E-2</v>
      </c>
      <c r="K2229">
        <v>0.94199999999999995</v>
      </c>
      <c r="L2229">
        <v>0.37</v>
      </c>
      <c r="M2229">
        <v>0.84199999999999997</v>
      </c>
      <c r="N2229">
        <v>6.7000000000000002E-3</v>
      </c>
    </row>
    <row r="2230" spans="1:14" x14ac:dyDescent="0.25">
      <c r="A2230" t="s">
        <v>4132</v>
      </c>
      <c r="B2230" t="s">
        <v>2878</v>
      </c>
      <c r="C2230" s="1" t="str">
        <f>HYPERLINK("http://www.genecards.org/cgi-bin/carddisp.pl?gene=PLXND1","GeneCards")</f>
        <v>GeneCards</v>
      </c>
      <c r="D2230" s="1" t="str">
        <f>HYPERLINK("http://genome-euro.ucsc.edu/cgi-bin/hgTracks?position=212235_at","UCSC")</f>
        <v>UCSC</v>
      </c>
      <c r="E2230" s="1" t="str">
        <f>HYPERLINK("http://www.ncbi.nlm.nih.gov/gene/?term=PLXND1","NCBI")</f>
        <v>NCBI</v>
      </c>
      <c r="F2230">
        <v>8.8999999999999999E-3</v>
      </c>
      <c r="G2230">
        <v>6.8000000000000005E-2</v>
      </c>
      <c r="H2230" s="1" t="str">
        <f>HYPERLINK("http://www.weizmann.ac.il/complex/compphys/software/geview/data/figures/212235_at.png","Figure")</f>
        <v>Figure</v>
      </c>
      <c r="I2230">
        <v>0.65400000000000003</v>
      </c>
      <c r="J2230">
        <v>1.4E-2</v>
      </c>
      <c r="K2230">
        <v>0.70699999999999996</v>
      </c>
      <c r="L2230">
        <v>2.1000000000000001E-2</v>
      </c>
      <c r="M2230">
        <v>1.08</v>
      </c>
      <c r="N2230">
        <v>0.79</v>
      </c>
    </row>
    <row r="2231" spans="1:14" x14ac:dyDescent="0.25">
      <c r="A2231" t="s">
        <v>4133</v>
      </c>
      <c r="B2231" t="s">
        <v>4134</v>
      </c>
      <c r="C2231" s="1" t="str">
        <f>HYPERLINK("http://www.genecards.org/cgi-bin/carddisp.pl?gene=SENP2","GeneCards")</f>
        <v>GeneCards</v>
      </c>
      <c r="D2231" s="1" t="str">
        <f>HYPERLINK("http://genome-euro.ucsc.edu/cgi-bin/hgTracks?position=218122_s_at","UCSC")</f>
        <v>UCSC</v>
      </c>
      <c r="E2231" s="1" t="str">
        <f>HYPERLINK("http://www.ncbi.nlm.nih.gov/gene/?term=SENP2","NCBI")</f>
        <v>NCBI</v>
      </c>
      <c r="F2231">
        <v>8.8999999999999999E-3</v>
      </c>
      <c r="G2231">
        <v>6.8000000000000005E-2</v>
      </c>
      <c r="H2231" s="1" t="str">
        <f>HYPERLINK("http://www.weizmann.ac.il/complex/compphys/software/geview/data/figures/218122_s_at.png","Figure")</f>
        <v>Figure</v>
      </c>
      <c r="I2231">
        <v>1.1000000000000001</v>
      </c>
      <c r="J2231">
        <v>0.47</v>
      </c>
      <c r="K2231">
        <v>0.84799999999999998</v>
      </c>
      <c r="L2231">
        <v>7.3999999999999996E-2</v>
      </c>
      <c r="M2231">
        <v>0.77300000000000002</v>
      </c>
      <c r="N2231">
        <v>9.2999999999999992E-3</v>
      </c>
    </row>
    <row r="2232" spans="1:14" x14ac:dyDescent="0.25">
      <c r="A2232" t="s">
        <v>4135</v>
      </c>
      <c r="B2232" t="s">
        <v>4136</v>
      </c>
      <c r="C2232" s="1" t="str">
        <f>HYPERLINK("http://www.genecards.org/cgi-bin/carddisp.pl?gene=BMP10","GeneCards")</f>
        <v>GeneCards</v>
      </c>
      <c r="D2232" s="1" t="str">
        <f>HYPERLINK("http://genome-euro.ucsc.edu/cgi-bin/hgTracks?position=208292_at","UCSC")</f>
        <v>UCSC</v>
      </c>
      <c r="E2232" s="1" t="str">
        <f>HYPERLINK("http://www.ncbi.nlm.nih.gov/gene/?term=BMP10","NCBI")</f>
        <v>NCBI</v>
      </c>
      <c r="F2232">
        <v>8.8999999999999999E-3</v>
      </c>
      <c r="G2232">
        <v>6.8000000000000005E-2</v>
      </c>
      <c r="H2232" s="1" t="str">
        <f>HYPERLINK("http://www.weizmann.ac.il/complex/compphys/software/geview/data/figures/208292_at.png","Figure")</f>
        <v>Figure</v>
      </c>
      <c r="I2232">
        <v>1.18</v>
      </c>
      <c r="J2232">
        <v>2.8000000000000001E-2</v>
      </c>
      <c r="K2232">
        <v>0.97799999999999998</v>
      </c>
      <c r="L2232">
        <v>0.89</v>
      </c>
      <c r="M2232">
        <v>0.82699999999999996</v>
      </c>
      <c r="N2232">
        <v>8.6999999999999994E-3</v>
      </c>
    </row>
    <row r="2233" spans="1:14" x14ac:dyDescent="0.25">
      <c r="A2233" t="s">
        <v>4137</v>
      </c>
      <c r="B2233" t="s">
        <v>4138</v>
      </c>
      <c r="C2233" s="1" t="str">
        <f>HYPERLINK("http://www.genecards.org/cgi-bin/carddisp.pl?gene=C9orf156","GeneCards")</f>
        <v>GeneCards</v>
      </c>
      <c r="D2233" s="1" t="str">
        <f>HYPERLINK("http://genome-euro.ucsc.edu/cgi-bin/hgTracks?position=47530_at","UCSC")</f>
        <v>UCSC</v>
      </c>
      <c r="E2233" s="1" t="str">
        <f>HYPERLINK("http://www.ncbi.nlm.nih.gov/gene/?term=C9orf156","NCBI")</f>
        <v>NCBI</v>
      </c>
      <c r="F2233">
        <v>8.8999999999999999E-3</v>
      </c>
      <c r="G2233">
        <v>6.8000000000000005E-2</v>
      </c>
      <c r="H2233" s="1" t="str">
        <f>HYPERLINK("http://www.weizmann.ac.il/complex/compphys/software/geview/data/figures/47530_at.png","Figure")</f>
        <v>Figure</v>
      </c>
      <c r="I2233">
        <v>0.86899999999999999</v>
      </c>
      <c r="J2233">
        <v>0.59</v>
      </c>
      <c r="K2233">
        <v>0.64500000000000002</v>
      </c>
      <c r="L2233">
        <v>8.5000000000000006E-3</v>
      </c>
      <c r="M2233">
        <v>0.74199999999999999</v>
      </c>
      <c r="N2233">
        <v>9.2999999999999999E-2</v>
      </c>
    </row>
    <row r="2234" spans="1:14" x14ac:dyDescent="0.25">
      <c r="A2234" t="s">
        <v>4139</v>
      </c>
      <c r="B2234" t="s">
        <v>2172</v>
      </c>
      <c r="C2234" s="1" t="str">
        <f>HYPERLINK("http://www.genecards.org/cgi-bin/carddisp.pl?gene=MPZL1","GeneCards")</f>
        <v>GeneCards</v>
      </c>
      <c r="D2234" s="1" t="str">
        <f>HYPERLINK("http://genome-euro.ucsc.edu/cgi-bin/hgTracks?position=210087_s_at","UCSC")</f>
        <v>UCSC</v>
      </c>
      <c r="E2234" s="1" t="str">
        <f>HYPERLINK("http://www.ncbi.nlm.nih.gov/gene/?term=MPZL1","NCBI")</f>
        <v>NCBI</v>
      </c>
      <c r="F2234">
        <v>8.8999999999999999E-3</v>
      </c>
      <c r="G2234">
        <v>6.8000000000000005E-2</v>
      </c>
      <c r="H2234" s="1" t="str">
        <f>HYPERLINK("http://www.weizmann.ac.il/complex/compphys/software/geview/data/figures/210087_s_at.png","Figure")</f>
        <v>Figure</v>
      </c>
      <c r="I2234">
        <v>1.37</v>
      </c>
      <c r="J2234">
        <v>1.0999999999999999E-2</v>
      </c>
      <c r="K2234">
        <v>1.26</v>
      </c>
      <c r="L2234">
        <v>2.9000000000000001E-2</v>
      </c>
      <c r="M2234">
        <v>0.92</v>
      </c>
      <c r="N2234">
        <v>0.6</v>
      </c>
    </row>
    <row r="2235" spans="1:14" x14ac:dyDescent="0.25">
      <c r="A2235" t="s">
        <v>4140</v>
      </c>
      <c r="B2235" t="s">
        <v>4141</v>
      </c>
      <c r="C2235" s="1" t="str">
        <f>HYPERLINK("http://www.genecards.org/cgi-bin/carddisp.pl?gene=SH3TC1","GeneCards")</f>
        <v>GeneCards</v>
      </c>
      <c r="D2235" s="1" t="str">
        <f>HYPERLINK("http://genome-euro.ucsc.edu/cgi-bin/hgTracks?position=219256_s_at","UCSC")</f>
        <v>UCSC</v>
      </c>
      <c r="E2235" s="1" t="str">
        <f>HYPERLINK("http://www.ncbi.nlm.nih.gov/gene/?term=SH3TC1","NCBI")</f>
        <v>NCBI</v>
      </c>
      <c r="F2235">
        <v>8.8999999999999999E-3</v>
      </c>
      <c r="G2235">
        <v>6.8000000000000005E-2</v>
      </c>
      <c r="H2235" s="1" t="str">
        <f>HYPERLINK("http://www.weizmann.ac.il/complex/compphys/software/geview/data/figures/219256_s_at.png","Figure")</f>
        <v>Figure</v>
      </c>
      <c r="I2235">
        <v>0.47599999999999998</v>
      </c>
      <c r="J2235">
        <v>0.06</v>
      </c>
      <c r="K2235">
        <v>0.39500000000000002</v>
      </c>
      <c r="L2235">
        <v>7.9000000000000008E-3</v>
      </c>
      <c r="M2235">
        <v>0.83</v>
      </c>
      <c r="N2235">
        <v>0.78</v>
      </c>
    </row>
    <row r="2236" spans="1:14" x14ac:dyDescent="0.25">
      <c r="A2236" t="s">
        <v>4142</v>
      </c>
      <c r="B2236" t="s">
        <v>4143</v>
      </c>
      <c r="C2236" s="1" t="str">
        <f>HYPERLINK("http://www.genecards.org/cgi-bin/carddisp.pl?gene=KIAA0247","GeneCards")</f>
        <v>GeneCards</v>
      </c>
      <c r="D2236" s="1" t="str">
        <f>HYPERLINK("http://genome-euro.ucsc.edu/cgi-bin/hgTracks?position=202181_at","UCSC")</f>
        <v>UCSC</v>
      </c>
      <c r="E2236" s="1" t="str">
        <f>HYPERLINK("http://www.ncbi.nlm.nih.gov/gene/?term=KIAA0247","NCBI")</f>
        <v>NCBI</v>
      </c>
      <c r="F2236">
        <v>8.8999999999999999E-3</v>
      </c>
      <c r="G2236">
        <v>6.8000000000000005E-2</v>
      </c>
      <c r="H2236" s="1" t="str">
        <f>HYPERLINK("http://www.weizmann.ac.il/complex/compphys/software/geview/data/figures/202181_at.png","Figure")</f>
        <v>Figure</v>
      </c>
      <c r="I2236">
        <v>1.57</v>
      </c>
      <c r="J2236">
        <v>1.4E-2</v>
      </c>
      <c r="K2236">
        <v>1.44</v>
      </c>
      <c r="L2236">
        <v>2.1000000000000001E-2</v>
      </c>
      <c r="M2236">
        <v>0.92100000000000004</v>
      </c>
      <c r="N2236">
        <v>0.79</v>
      </c>
    </row>
    <row r="2237" spans="1:14" x14ac:dyDescent="0.25">
      <c r="A2237" t="s">
        <v>4144</v>
      </c>
      <c r="B2237" t="s">
        <v>4145</v>
      </c>
      <c r="C2237" s="1" t="str">
        <f>HYPERLINK("http://www.genecards.org/cgi-bin/carddisp.pl?gene=TMEM51","GeneCards")</f>
        <v>GeneCards</v>
      </c>
      <c r="D2237" s="1" t="str">
        <f>HYPERLINK("http://genome-euro.ucsc.edu/cgi-bin/hgTracks?position=218815_s_at","UCSC")</f>
        <v>UCSC</v>
      </c>
      <c r="E2237" s="1" t="str">
        <f>HYPERLINK("http://www.ncbi.nlm.nih.gov/gene/?term=TMEM51","NCBI")</f>
        <v>NCBI</v>
      </c>
      <c r="F2237">
        <v>8.8999999999999999E-3</v>
      </c>
      <c r="G2237">
        <v>6.8000000000000005E-2</v>
      </c>
      <c r="H2237" s="1" t="str">
        <f>HYPERLINK("http://www.weizmann.ac.il/complex/compphys/software/geview/data/figures/218815_s_at.png","Figure")</f>
        <v>Figure</v>
      </c>
      <c r="I2237">
        <v>1.25</v>
      </c>
      <c r="J2237">
        <v>6.8999999999999999E-3</v>
      </c>
      <c r="K2237">
        <v>1.1200000000000001</v>
      </c>
      <c r="L2237">
        <v>0.11</v>
      </c>
      <c r="M2237">
        <v>0.89700000000000002</v>
      </c>
      <c r="N2237">
        <v>0.17</v>
      </c>
    </row>
    <row r="2238" spans="1:14" x14ac:dyDescent="0.25">
      <c r="A2238" t="s">
        <v>4146</v>
      </c>
      <c r="B2238" t="s">
        <v>4147</v>
      </c>
      <c r="C2238" s="1" t="str">
        <f>HYPERLINK("http://www.genecards.org/cgi-bin/carddisp.pl?gene=TMEM159","GeneCards")</f>
        <v>GeneCards</v>
      </c>
      <c r="D2238" s="1" t="str">
        <f>HYPERLINK("http://genome-euro.ucsc.edu/cgi-bin/hgTracks?position=213272_s_at","UCSC")</f>
        <v>UCSC</v>
      </c>
      <c r="E2238" s="1" t="str">
        <f>HYPERLINK("http://www.ncbi.nlm.nih.gov/gene/?term=TMEM159","NCBI")</f>
        <v>NCBI</v>
      </c>
      <c r="F2238">
        <v>8.8999999999999999E-3</v>
      </c>
      <c r="G2238">
        <v>6.8000000000000005E-2</v>
      </c>
      <c r="H2238" s="1" t="str">
        <f>HYPERLINK("http://www.weizmann.ac.il/complex/compphys/software/geview/data/figures/213272_s_at.png","Figure")</f>
        <v>Figure</v>
      </c>
      <c r="I2238">
        <v>1.32</v>
      </c>
      <c r="J2238">
        <v>6.7999999999999996E-3</v>
      </c>
      <c r="K2238">
        <v>1.1200000000000001</v>
      </c>
      <c r="L2238">
        <v>0.22</v>
      </c>
      <c r="M2238">
        <v>0.84899999999999998</v>
      </c>
      <c r="N2238">
        <v>8.6999999999999994E-2</v>
      </c>
    </row>
    <row r="2239" spans="1:14" x14ac:dyDescent="0.25">
      <c r="A2239" t="s">
        <v>4148</v>
      </c>
      <c r="B2239" t="s">
        <v>4149</v>
      </c>
      <c r="C2239" s="1" t="str">
        <f>HYPERLINK("http://www.genecards.org/cgi-bin/carddisp.pl?gene=DLEC1","GeneCards")</f>
        <v>GeneCards</v>
      </c>
      <c r="D2239" s="1" t="str">
        <f>HYPERLINK("http://genome-euro.ucsc.edu/cgi-bin/hgTracks?position=207896_s_at","UCSC")</f>
        <v>UCSC</v>
      </c>
      <c r="E2239" s="1" t="str">
        <f>HYPERLINK("http://www.ncbi.nlm.nih.gov/gene/?term=DLEC1","NCBI")</f>
        <v>NCBI</v>
      </c>
      <c r="F2239">
        <v>8.9999999999999993E-3</v>
      </c>
      <c r="G2239">
        <v>6.8000000000000005E-2</v>
      </c>
      <c r="H2239" s="1" t="str">
        <f>HYPERLINK("http://www.weizmann.ac.il/complex/compphys/software/geview/data/figures/207896_s_at.png","Figure")</f>
        <v>Figure</v>
      </c>
      <c r="I2239">
        <v>1.27</v>
      </c>
      <c r="J2239">
        <v>7.0000000000000001E-3</v>
      </c>
      <c r="K2239">
        <v>1.0900000000000001</v>
      </c>
      <c r="L2239">
        <v>0.31</v>
      </c>
      <c r="M2239">
        <v>0.85799999999999998</v>
      </c>
      <c r="N2239">
        <v>0.06</v>
      </c>
    </row>
    <row r="2240" spans="1:14" x14ac:dyDescent="0.25">
      <c r="A2240" t="s">
        <v>4150</v>
      </c>
      <c r="B2240" t="s">
        <v>4151</v>
      </c>
      <c r="C2240" s="1" t="str">
        <f>HYPERLINK("http://www.genecards.org/cgi-bin/carddisp.pl?gene=BCL7C","GeneCards")</f>
        <v>GeneCards</v>
      </c>
      <c r="D2240" s="1" t="str">
        <f>HYPERLINK("http://genome-euro.ucsc.edu/cgi-bin/hgTracks?position=219072_at","UCSC")</f>
        <v>UCSC</v>
      </c>
      <c r="E2240" s="1" t="str">
        <f>HYPERLINK("http://www.ncbi.nlm.nih.gov/gene/?term=BCL7C","NCBI")</f>
        <v>NCBI</v>
      </c>
      <c r="F2240">
        <v>8.9999999999999993E-3</v>
      </c>
      <c r="G2240">
        <v>6.8000000000000005E-2</v>
      </c>
      <c r="H2240" s="1" t="str">
        <f>HYPERLINK("http://www.weizmann.ac.il/complex/compphys/software/geview/data/figures/219072_at.png","Figure")</f>
        <v>Figure</v>
      </c>
      <c r="I2240">
        <v>1.5</v>
      </c>
      <c r="J2240">
        <v>8.3000000000000001E-3</v>
      </c>
      <c r="K2240">
        <v>1.29</v>
      </c>
      <c r="L2240">
        <v>5.1999999999999998E-2</v>
      </c>
      <c r="M2240">
        <v>0.86099999999999999</v>
      </c>
      <c r="N2240">
        <v>0.36</v>
      </c>
    </row>
    <row r="2241" spans="1:14" x14ac:dyDescent="0.25">
      <c r="A2241" t="s">
        <v>4152</v>
      </c>
      <c r="B2241" t="s">
        <v>4153</v>
      </c>
      <c r="C2241" s="1" t="str">
        <f>HYPERLINK("http://www.genecards.org/cgi-bin/carddisp.pl?gene=VDAC3","GeneCards")</f>
        <v>GeneCards</v>
      </c>
      <c r="D2241" s="1" t="str">
        <f>HYPERLINK("http://genome-euro.ucsc.edu/cgi-bin/hgTracks?position=208845_at","UCSC")</f>
        <v>UCSC</v>
      </c>
      <c r="E2241" s="1" t="str">
        <f>HYPERLINK("http://www.ncbi.nlm.nih.gov/gene/?term=VDAC3","NCBI")</f>
        <v>NCBI</v>
      </c>
      <c r="F2241">
        <v>8.9999999999999993E-3</v>
      </c>
      <c r="G2241">
        <v>6.8000000000000005E-2</v>
      </c>
      <c r="H2241" s="1" t="str">
        <f>HYPERLINK("http://www.weizmann.ac.il/complex/compphys/software/geview/data/figures/208845_at.png","Figure")</f>
        <v>Figure</v>
      </c>
      <c r="I2241">
        <v>0.72099999999999997</v>
      </c>
      <c r="J2241">
        <v>0.17</v>
      </c>
      <c r="K2241">
        <v>1.3</v>
      </c>
      <c r="L2241">
        <v>0.22</v>
      </c>
      <c r="M2241">
        <v>1.8</v>
      </c>
      <c r="N2241">
        <v>7.0000000000000001E-3</v>
      </c>
    </row>
    <row r="2242" spans="1:14" x14ac:dyDescent="0.25">
      <c r="A2242" t="s">
        <v>4154</v>
      </c>
      <c r="B2242" t="s">
        <v>1102</v>
      </c>
      <c r="C2242" s="1" t="str">
        <f>HYPERLINK("http://www.genecards.org/cgi-bin/carddisp.pl?gene=R3HCC1","GeneCards")</f>
        <v>GeneCards</v>
      </c>
      <c r="D2242" s="1" t="str">
        <f>HYPERLINK("http://genome-euro.ucsc.edu/cgi-bin/hgTracks?position=35156_at","UCSC")</f>
        <v>UCSC</v>
      </c>
      <c r="E2242" s="1" t="str">
        <f>HYPERLINK("http://www.ncbi.nlm.nih.gov/gene/?term=R3HCC1","NCBI")</f>
        <v>NCBI</v>
      </c>
      <c r="F2242">
        <v>8.9999999999999993E-3</v>
      </c>
      <c r="G2242">
        <v>6.8000000000000005E-2</v>
      </c>
      <c r="H2242" s="1" t="str">
        <f>HYPERLINK("http://www.weizmann.ac.il/complex/compphys/software/geview/data/figures/35156_at.png","Figure")</f>
        <v>Figure</v>
      </c>
      <c r="I2242">
        <v>1.19</v>
      </c>
      <c r="J2242">
        <v>0.39</v>
      </c>
      <c r="K2242">
        <v>1.5</v>
      </c>
      <c r="L2242">
        <v>7.4000000000000003E-3</v>
      </c>
      <c r="M2242">
        <v>1.26</v>
      </c>
      <c r="N2242">
        <v>0.16</v>
      </c>
    </row>
    <row r="2243" spans="1:14" x14ac:dyDescent="0.25">
      <c r="A2243" t="s">
        <v>4155</v>
      </c>
      <c r="B2243" t="s">
        <v>4156</v>
      </c>
      <c r="C2243" s="1" t="str">
        <f>HYPERLINK("http://www.genecards.org/cgi-bin/carddisp.pl?gene=ABCB7","GeneCards")</f>
        <v>GeneCards</v>
      </c>
      <c r="D2243" s="1" t="str">
        <f>HYPERLINK("http://genome-euro.ucsc.edu/cgi-bin/hgTracks?position=209620_s_at","UCSC")</f>
        <v>UCSC</v>
      </c>
      <c r="E2243" s="1" t="str">
        <f>HYPERLINK("http://www.ncbi.nlm.nih.gov/gene/?term=ABCB7","NCBI")</f>
        <v>NCBI</v>
      </c>
      <c r="F2243">
        <v>8.9999999999999993E-3</v>
      </c>
      <c r="G2243">
        <v>6.8000000000000005E-2</v>
      </c>
      <c r="H2243" s="1" t="str">
        <f>HYPERLINK("http://www.weizmann.ac.il/complex/compphys/software/geview/data/figures/209620_s_at.png","Figure")</f>
        <v>Figure</v>
      </c>
      <c r="I2243">
        <v>0.59199999999999997</v>
      </c>
      <c r="J2243">
        <v>4.2000000000000003E-2</v>
      </c>
      <c r="K2243">
        <v>1.1399999999999999</v>
      </c>
      <c r="L2243">
        <v>0.73</v>
      </c>
      <c r="M2243">
        <v>1.92</v>
      </c>
      <c r="N2243">
        <v>7.7000000000000002E-3</v>
      </c>
    </row>
    <row r="2244" spans="1:14" x14ac:dyDescent="0.25">
      <c r="A2244" t="s">
        <v>4157</v>
      </c>
      <c r="B2244" t="s">
        <v>4158</v>
      </c>
      <c r="C2244" s="1" t="str">
        <f>HYPERLINK("http://www.genecards.org/cgi-bin/carddisp.pl?gene=AKAP8L","GeneCards")</f>
        <v>GeneCards</v>
      </c>
      <c r="D2244" s="1" t="str">
        <f>HYPERLINK("http://genome-euro.ucsc.edu/cgi-bin/hgTracks?position=215741_x_at","UCSC")</f>
        <v>UCSC</v>
      </c>
      <c r="E2244" s="1" t="str">
        <f>HYPERLINK("http://www.ncbi.nlm.nih.gov/gene/?term=AKAP8L","NCBI")</f>
        <v>NCBI</v>
      </c>
      <c r="F2244">
        <v>8.9999999999999993E-3</v>
      </c>
      <c r="G2244">
        <v>6.8000000000000005E-2</v>
      </c>
      <c r="H2244" s="1" t="str">
        <f>HYPERLINK("http://www.weizmann.ac.il/complex/compphys/software/geview/data/figures/215741_x_at.png","Figure")</f>
        <v>Figure</v>
      </c>
      <c r="I2244">
        <v>1.43</v>
      </c>
      <c r="J2244">
        <v>8.8000000000000005E-3</v>
      </c>
      <c r="K2244">
        <v>1.27</v>
      </c>
      <c r="L2244">
        <v>4.5999999999999999E-2</v>
      </c>
      <c r="M2244">
        <v>0.88400000000000001</v>
      </c>
      <c r="N2244">
        <v>0.41</v>
      </c>
    </row>
    <row r="2245" spans="1:14" x14ac:dyDescent="0.25">
      <c r="A2245" t="s">
        <v>4159</v>
      </c>
      <c r="B2245" t="s">
        <v>4160</v>
      </c>
      <c r="C2245" s="1" t="str">
        <f>HYPERLINK("http://www.genecards.org/cgi-bin/carddisp.pl?gene=CRIP2","GeneCards")</f>
        <v>GeneCards</v>
      </c>
      <c r="D2245" s="1" t="str">
        <f>HYPERLINK("http://genome-euro.ucsc.edu/cgi-bin/hgTracks?position=208978_at","UCSC")</f>
        <v>UCSC</v>
      </c>
      <c r="E2245" s="1" t="str">
        <f>HYPERLINK("http://www.ncbi.nlm.nih.gov/gene/?term=CRIP2","NCBI")</f>
        <v>NCBI</v>
      </c>
      <c r="F2245">
        <v>8.9999999999999993E-3</v>
      </c>
      <c r="G2245">
        <v>6.8000000000000005E-2</v>
      </c>
      <c r="H2245" s="1" t="str">
        <f>HYPERLINK("http://www.weizmann.ac.il/complex/compphys/software/geview/data/figures/208978_at.png","Figure")</f>
        <v>Figure</v>
      </c>
      <c r="I2245">
        <v>1.29</v>
      </c>
      <c r="J2245">
        <v>1.4E-2</v>
      </c>
      <c r="K2245">
        <v>1.23</v>
      </c>
      <c r="L2245">
        <v>0.02</v>
      </c>
      <c r="M2245">
        <v>0.95599999999999996</v>
      </c>
      <c r="N2245">
        <v>0.8</v>
      </c>
    </row>
    <row r="2246" spans="1:14" x14ac:dyDescent="0.25">
      <c r="A2246" t="s">
        <v>4161</v>
      </c>
      <c r="B2246" t="s">
        <v>4162</v>
      </c>
      <c r="C2246" s="1" t="str">
        <f>HYPERLINK("http://www.genecards.org/cgi-bin/carddisp.pl?gene=HMX1","GeneCards")</f>
        <v>GeneCards</v>
      </c>
      <c r="D2246" s="1" t="str">
        <f>HYPERLINK("http://genome-euro.ucsc.edu/cgi-bin/hgTracks?position=214386_at","UCSC")</f>
        <v>UCSC</v>
      </c>
      <c r="E2246" s="1" t="str">
        <f>HYPERLINK("http://www.ncbi.nlm.nih.gov/gene/?term=HMX1","NCBI")</f>
        <v>NCBI</v>
      </c>
      <c r="F2246">
        <v>8.9999999999999993E-3</v>
      </c>
      <c r="G2246">
        <v>6.8000000000000005E-2</v>
      </c>
      <c r="H2246" s="1" t="str">
        <f>HYPERLINK("http://www.weizmann.ac.il/complex/compphys/software/geview/data/figures/214386_at.png","Figure")</f>
        <v>Figure</v>
      </c>
      <c r="I2246">
        <v>1.23</v>
      </c>
      <c r="J2246">
        <v>0.01</v>
      </c>
      <c r="K2246">
        <v>1.04</v>
      </c>
      <c r="L2246">
        <v>0.75</v>
      </c>
      <c r="M2246">
        <v>0.84399999999999997</v>
      </c>
      <c r="N2246">
        <v>2.1999999999999999E-2</v>
      </c>
    </row>
    <row r="2247" spans="1:14" x14ac:dyDescent="0.25">
      <c r="A2247" t="s">
        <v>4163</v>
      </c>
      <c r="B2247" t="s">
        <v>4164</v>
      </c>
      <c r="C2247" s="1" t="str">
        <f>HYPERLINK("http://www.genecards.org/cgi-bin/carddisp.pl?gene=LXN","GeneCards")</f>
        <v>GeneCards</v>
      </c>
      <c r="D2247" s="1" t="str">
        <f>HYPERLINK("http://genome-euro.ucsc.edu/cgi-bin/hgTracks?position=218729_at","UCSC")</f>
        <v>UCSC</v>
      </c>
      <c r="E2247" s="1" t="str">
        <f>HYPERLINK("http://www.ncbi.nlm.nih.gov/gene/?term=LXN","NCBI")</f>
        <v>NCBI</v>
      </c>
      <c r="F2247">
        <v>8.9999999999999993E-3</v>
      </c>
      <c r="G2247">
        <v>6.8000000000000005E-2</v>
      </c>
      <c r="H2247" s="1" t="str">
        <f>HYPERLINK("http://www.weizmann.ac.il/complex/compphys/software/geview/data/figures/218729_at.png","Figure")</f>
        <v>Figure</v>
      </c>
      <c r="I2247">
        <v>0.44800000000000001</v>
      </c>
      <c r="J2247">
        <v>1.0999999999999999E-2</v>
      </c>
      <c r="K2247">
        <v>0.877</v>
      </c>
      <c r="L2247">
        <v>0.79</v>
      </c>
      <c r="M2247">
        <v>1.96</v>
      </c>
      <c r="N2247">
        <v>2.1000000000000001E-2</v>
      </c>
    </row>
    <row r="2248" spans="1:14" x14ac:dyDescent="0.25">
      <c r="A2248" t="s">
        <v>4165</v>
      </c>
      <c r="B2248" t="s">
        <v>4166</v>
      </c>
      <c r="C2248" s="1" t="str">
        <f>HYPERLINK("http://www.genecards.org/cgi-bin/carddisp.pl?gene=MIA3","GeneCards")</f>
        <v>GeneCards</v>
      </c>
      <c r="D2248" s="1" t="str">
        <f>HYPERLINK("http://genome-euro.ucsc.edu/cgi-bin/hgTracks?position=212305_s_at","UCSC")</f>
        <v>UCSC</v>
      </c>
      <c r="E2248" s="1" t="str">
        <f>HYPERLINK("http://www.ncbi.nlm.nih.gov/gene/?term=MIA3","NCBI")</f>
        <v>NCBI</v>
      </c>
      <c r="F2248">
        <v>8.9999999999999993E-3</v>
      </c>
      <c r="G2248">
        <v>6.8000000000000005E-2</v>
      </c>
      <c r="H2248" s="1" t="str">
        <f>HYPERLINK("http://www.weizmann.ac.il/complex/compphys/software/geview/data/figures/212305_s_at.png","Figure")</f>
        <v>Figure</v>
      </c>
      <c r="I2248">
        <v>1.36</v>
      </c>
      <c r="J2248">
        <v>1.2E-2</v>
      </c>
      <c r="K2248">
        <v>1.04</v>
      </c>
      <c r="L2248">
        <v>0.86</v>
      </c>
      <c r="M2248">
        <v>0.76400000000000001</v>
      </c>
      <c r="N2248">
        <v>1.7999999999999999E-2</v>
      </c>
    </row>
    <row r="2249" spans="1:14" x14ac:dyDescent="0.25">
      <c r="A2249" t="s">
        <v>4167</v>
      </c>
      <c r="B2249" t="s">
        <v>165</v>
      </c>
      <c r="C2249" s="1" t="str">
        <f>HYPERLINK("http://www.genecards.org/cgi-bin/carddisp.pl?gene=UGCG","GeneCards")</f>
        <v>GeneCards</v>
      </c>
      <c r="D2249" s="1" t="str">
        <f>HYPERLINK("http://genome-euro.ucsc.edu/cgi-bin/hgTracks?position=221765_at","UCSC")</f>
        <v>UCSC</v>
      </c>
      <c r="E2249" s="1" t="str">
        <f>HYPERLINK("http://www.ncbi.nlm.nih.gov/gene/?term=UGCG","NCBI")</f>
        <v>NCBI</v>
      </c>
      <c r="F2249">
        <v>8.9999999999999993E-3</v>
      </c>
      <c r="G2249">
        <v>6.8000000000000005E-2</v>
      </c>
      <c r="H2249" s="1" t="str">
        <f>HYPERLINK("http://www.weizmann.ac.il/complex/compphys/software/geview/data/figures/221765_at.png","Figure")</f>
        <v>Figure</v>
      </c>
      <c r="I2249">
        <v>0.47799999999999998</v>
      </c>
      <c r="J2249">
        <v>6.7999999999999996E-3</v>
      </c>
      <c r="K2249">
        <v>0.73599999999999999</v>
      </c>
      <c r="L2249">
        <v>0.22</v>
      </c>
      <c r="M2249">
        <v>1.54</v>
      </c>
      <c r="N2249">
        <v>8.6999999999999994E-2</v>
      </c>
    </row>
    <row r="2250" spans="1:14" x14ac:dyDescent="0.25">
      <c r="A2250" t="s">
        <v>4168</v>
      </c>
      <c r="B2250" t="s">
        <v>4169</v>
      </c>
      <c r="C2250" s="1" t="str">
        <f>HYPERLINK("http://www.genecards.org/cgi-bin/carddisp.pl?gene=ACTR8","GeneCards")</f>
        <v>GeneCards</v>
      </c>
      <c r="D2250" s="1" t="str">
        <f>HYPERLINK("http://genome-euro.ucsc.edu/cgi-bin/hgTracks?position=218658_s_at","UCSC")</f>
        <v>UCSC</v>
      </c>
      <c r="E2250" s="1" t="str">
        <f>HYPERLINK("http://www.ncbi.nlm.nih.gov/gene/?term=ACTR8","NCBI")</f>
        <v>NCBI</v>
      </c>
      <c r="F2250">
        <v>9.1000000000000004E-3</v>
      </c>
      <c r="G2250">
        <v>6.8000000000000005E-2</v>
      </c>
      <c r="H2250" s="1" t="str">
        <f>HYPERLINK("http://www.weizmann.ac.il/complex/compphys/software/geview/data/figures/218658_s_at.png","Figure")</f>
        <v>Figure</v>
      </c>
      <c r="I2250">
        <v>0.80200000000000005</v>
      </c>
      <c r="J2250">
        <v>9.4000000000000004E-3</v>
      </c>
      <c r="K2250">
        <v>0.95499999999999996</v>
      </c>
      <c r="L2250">
        <v>0.69</v>
      </c>
      <c r="M2250">
        <v>1.19</v>
      </c>
      <c r="N2250">
        <v>2.5999999999999999E-2</v>
      </c>
    </row>
    <row r="2251" spans="1:14" x14ac:dyDescent="0.25">
      <c r="A2251" t="s">
        <v>4170</v>
      </c>
      <c r="B2251" t="s">
        <v>4171</v>
      </c>
      <c r="C2251" s="1" t="str">
        <f>HYPERLINK("http://www.genecards.org/cgi-bin/carddisp.pl?gene=PIGZ","GeneCards")</f>
        <v>GeneCards</v>
      </c>
      <c r="D2251" s="1" t="str">
        <f>HYPERLINK("http://genome-euro.ucsc.edu/cgi-bin/hgTracks?position=220041_at","UCSC")</f>
        <v>UCSC</v>
      </c>
      <c r="E2251" s="1" t="str">
        <f>HYPERLINK("http://www.ncbi.nlm.nih.gov/gene/?term=PIGZ","NCBI")</f>
        <v>NCBI</v>
      </c>
      <c r="F2251">
        <v>9.1000000000000004E-3</v>
      </c>
      <c r="G2251">
        <v>6.8000000000000005E-2</v>
      </c>
      <c r="H2251" s="1" t="str">
        <f>HYPERLINK("http://www.weizmann.ac.il/complex/compphys/software/geview/data/figures/220041_at.png","Figure")</f>
        <v>Figure</v>
      </c>
      <c r="I2251">
        <v>1.35</v>
      </c>
      <c r="J2251">
        <v>2.1000000000000001E-2</v>
      </c>
      <c r="K2251">
        <v>1.32</v>
      </c>
      <c r="L2251">
        <v>1.4E-2</v>
      </c>
      <c r="M2251">
        <v>0.97899999999999998</v>
      </c>
      <c r="N2251">
        <v>0.97</v>
      </c>
    </row>
    <row r="2252" spans="1:14" x14ac:dyDescent="0.25">
      <c r="A2252" t="s">
        <v>4172</v>
      </c>
      <c r="B2252" t="s">
        <v>4108</v>
      </c>
      <c r="C2252" s="1" t="str">
        <f>HYPERLINK("http://www.genecards.org/cgi-bin/carddisp.pl?gene=STX7","GeneCards")</f>
        <v>GeneCards</v>
      </c>
      <c r="D2252" s="1" t="str">
        <f>HYPERLINK("http://genome-euro.ucsc.edu/cgi-bin/hgTracks?position=203457_at","UCSC")</f>
        <v>UCSC</v>
      </c>
      <c r="E2252" s="1" t="str">
        <f>HYPERLINK("http://www.ncbi.nlm.nih.gov/gene/?term=STX7","NCBI")</f>
        <v>NCBI</v>
      </c>
      <c r="F2252">
        <v>9.1000000000000004E-3</v>
      </c>
      <c r="G2252">
        <v>6.9000000000000006E-2</v>
      </c>
      <c r="H2252" s="1" t="str">
        <f>HYPERLINK("http://www.weizmann.ac.il/complex/compphys/software/geview/data/figures/203457_at.png","Figure")</f>
        <v>Figure</v>
      </c>
      <c r="I2252">
        <v>0.79700000000000004</v>
      </c>
      <c r="J2252">
        <v>6.5000000000000002E-2</v>
      </c>
      <c r="K2252">
        <v>1.0900000000000001</v>
      </c>
      <c r="L2252">
        <v>0.53</v>
      </c>
      <c r="M2252">
        <v>1.37</v>
      </c>
      <c r="N2252">
        <v>7.0000000000000001E-3</v>
      </c>
    </row>
    <row r="2253" spans="1:14" x14ac:dyDescent="0.25">
      <c r="A2253" t="s">
        <v>4173</v>
      </c>
      <c r="B2253" t="s">
        <v>4174</v>
      </c>
      <c r="C2253" s="1" t="str">
        <f>HYPERLINK("http://www.genecards.org/cgi-bin/carddisp.pl?gene=SSNA1","GeneCards")</f>
        <v>GeneCards</v>
      </c>
      <c r="D2253" s="1" t="str">
        <f>HYPERLINK("http://genome-euro.ucsc.edu/cgi-bin/hgTracks?position=210378_s_at","UCSC")</f>
        <v>UCSC</v>
      </c>
      <c r="E2253" s="1" t="str">
        <f>HYPERLINK("http://www.ncbi.nlm.nih.gov/gene/?term=SSNA1","NCBI")</f>
        <v>NCBI</v>
      </c>
      <c r="F2253">
        <v>9.1000000000000004E-3</v>
      </c>
      <c r="G2253">
        <v>6.9000000000000006E-2</v>
      </c>
      <c r="H2253" s="1" t="str">
        <f>HYPERLINK("http://www.weizmann.ac.il/complex/compphys/software/geview/data/figures/210378_s_at.png","Figure")</f>
        <v>Figure</v>
      </c>
      <c r="I2253">
        <v>1.31</v>
      </c>
      <c r="J2253">
        <v>8.2000000000000003E-2</v>
      </c>
      <c r="K2253">
        <v>1.45</v>
      </c>
      <c r="L2253">
        <v>7.4000000000000003E-3</v>
      </c>
      <c r="M2253">
        <v>1.1000000000000001</v>
      </c>
      <c r="N2253">
        <v>0.65</v>
      </c>
    </row>
    <row r="2254" spans="1:14" x14ac:dyDescent="0.25">
      <c r="A2254" t="s">
        <v>4175</v>
      </c>
      <c r="B2254" t="s">
        <v>3423</v>
      </c>
      <c r="C2254" s="1" t="str">
        <f>HYPERLINK("http://www.genecards.org/cgi-bin/carddisp.pl?gene=GMDS","GeneCards")</f>
        <v>GeneCards</v>
      </c>
      <c r="D2254" s="1" t="str">
        <f>HYPERLINK("http://genome-euro.ucsc.edu/cgi-bin/hgTracks?position=204875_s_at","UCSC")</f>
        <v>UCSC</v>
      </c>
      <c r="E2254" s="1" t="str">
        <f>HYPERLINK("http://www.ncbi.nlm.nih.gov/gene/?term=GMDS","NCBI")</f>
        <v>NCBI</v>
      </c>
      <c r="F2254">
        <v>9.1000000000000004E-3</v>
      </c>
      <c r="G2254">
        <v>6.9000000000000006E-2</v>
      </c>
      <c r="H2254" s="1" t="str">
        <f>HYPERLINK("http://www.weizmann.ac.il/complex/compphys/software/geview/data/figures/204875_s_at.png","Figure")</f>
        <v>Figure</v>
      </c>
      <c r="I2254">
        <v>0.86199999999999999</v>
      </c>
      <c r="J2254">
        <v>1.7999999999999999E-2</v>
      </c>
      <c r="K2254">
        <v>1</v>
      </c>
      <c r="L2254">
        <v>1</v>
      </c>
      <c r="M2254">
        <v>1.1599999999999999</v>
      </c>
      <c r="N2254">
        <v>1.2E-2</v>
      </c>
    </row>
    <row r="2255" spans="1:14" x14ac:dyDescent="0.25">
      <c r="A2255" t="s">
        <v>4176</v>
      </c>
      <c r="B2255" t="s">
        <v>1576</v>
      </c>
      <c r="C2255" s="1" t="str">
        <f>HYPERLINK("http://www.genecards.org/cgi-bin/carddisp.pl?gene=KTN1","GeneCards")</f>
        <v>GeneCards</v>
      </c>
      <c r="D2255" s="1" t="str">
        <f>HYPERLINK("http://genome-euro.ucsc.edu/cgi-bin/hgTracks?position=214709_s_at","UCSC")</f>
        <v>UCSC</v>
      </c>
      <c r="E2255" s="1" t="str">
        <f>HYPERLINK("http://www.ncbi.nlm.nih.gov/gene/?term=KTN1","NCBI")</f>
        <v>NCBI</v>
      </c>
      <c r="F2255">
        <v>9.1000000000000004E-3</v>
      </c>
      <c r="G2255">
        <v>6.9000000000000006E-2</v>
      </c>
      <c r="H2255" s="1" t="str">
        <f>HYPERLINK("http://www.weizmann.ac.il/complex/compphys/software/geview/data/figures/214709_s_at.png","Figure")</f>
        <v>Figure</v>
      </c>
      <c r="I2255">
        <v>0.72699999999999998</v>
      </c>
      <c r="J2255">
        <v>5.0999999999999997E-2</v>
      </c>
      <c r="K2255">
        <v>1.1000000000000001</v>
      </c>
      <c r="L2255">
        <v>0.64</v>
      </c>
      <c r="M2255">
        <v>1.52</v>
      </c>
      <c r="N2255">
        <v>7.4000000000000003E-3</v>
      </c>
    </row>
    <row r="2256" spans="1:14" x14ac:dyDescent="0.25">
      <c r="A2256" t="s">
        <v>4177</v>
      </c>
      <c r="B2256" t="s">
        <v>4178</v>
      </c>
      <c r="C2256" s="1" t="str">
        <f>HYPERLINK("http://www.genecards.org/cgi-bin/carddisp.pl?gene=E2F6","GeneCards")</f>
        <v>GeneCards</v>
      </c>
      <c r="D2256" s="1" t="str">
        <f>HYPERLINK("http://genome-euro.ucsc.edu/cgi-bin/hgTracks?position=203957_at","UCSC")</f>
        <v>UCSC</v>
      </c>
      <c r="E2256" s="1" t="str">
        <f>HYPERLINK("http://www.ncbi.nlm.nih.gov/gene/?term=E2F6","NCBI")</f>
        <v>NCBI</v>
      </c>
      <c r="F2256">
        <v>9.1000000000000004E-3</v>
      </c>
      <c r="G2256">
        <v>6.9000000000000006E-2</v>
      </c>
      <c r="H2256" s="1" t="str">
        <f>HYPERLINK("http://www.weizmann.ac.il/complex/compphys/software/geview/data/figures/203957_at.png","Figure")</f>
        <v>Figure</v>
      </c>
      <c r="I2256">
        <v>0.96699999999999997</v>
      </c>
      <c r="J2256">
        <v>0.97</v>
      </c>
      <c r="K2256">
        <v>0.66700000000000004</v>
      </c>
      <c r="L2256">
        <v>1.4999999999999999E-2</v>
      </c>
      <c r="M2256">
        <v>0.69</v>
      </c>
      <c r="N2256">
        <v>3.5000000000000003E-2</v>
      </c>
    </row>
    <row r="2257" spans="1:14" x14ac:dyDescent="0.25">
      <c r="A2257" t="s">
        <v>4179</v>
      </c>
      <c r="B2257" t="s">
        <v>4180</v>
      </c>
      <c r="C2257" s="1" t="str">
        <f>HYPERLINK("http://www.genecards.org/cgi-bin/carddisp.pl?gene=CRX","GeneCards")</f>
        <v>GeneCards</v>
      </c>
      <c r="D2257" s="1" t="str">
        <f>HYPERLINK("http://genome-euro.ucsc.edu/cgi-bin/hgTracks?position=217510_at","UCSC")</f>
        <v>UCSC</v>
      </c>
      <c r="E2257" s="1" t="str">
        <f>HYPERLINK("http://www.ncbi.nlm.nih.gov/gene/?term=CRX","NCBI")</f>
        <v>NCBI</v>
      </c>
      <c r="F2257">
        <v>9.1000000000000004E-3</v>
      </c>
      <c r="G2257">
        <v>6.9000000000000006E-2</v>
      </c>
      <c r="H2257" s="1" t="str">
        <f>HYPERLINK("http://www.weizmann.ac.il/complex/compphys/software/geview/data/figures/217510_at.png","Figure")</f>
        <v>Figure</v>
      </c>
      <c r="I2257">
        <v>1.23</v>
      </c>
      <c r="J2257">
        <v>8.8999999999999999E-3</v>
      </c>
      <c r="K2257">
        <v>1.1399999999999999</v>
      </c>
      <c r="L2257">
        <v>4.5999999999999999E-2</v>
      </c>
      <c r="M2257">
        <v>0.93300000000000005</v>
      </c>
      <c r="N2257">
        <v>0.42</v>
      </c>
    </row>
    <row r="2258" spans="1:14" x14ac:dyDescent="0.25">
      <c r="A2258" t="s">
        <v>4181</v>
      </c>
      <c r="B2258" t="s">
        <v>4182</v>
      </c>
      <c r="C2258" s="1" t="str">
        <f>HYPERLINK("http://www.genecards.org/cgi-bin/carddisp.pl?gene=CHIA","GeneCards")</f>
        <v>GeneCards</v>
      </c>
      <c r="D2258" s="1" t="str">
        <f>HYPERLINK("http://genome-euro.ucsc.edu/cgi-bin/hgTracks?position=220630_s_at","UCSC")</f>
        <v>UCSC</v>
      </c>
      <c r="E2258" s="1" t="str">
        <f>HYPERLINK("http://www.ncbi.nlm.nih.gov/gene/?term=CHIA","NCBI")</f>
        <v>NCBI</v>
      </c>
      <c r="F2258">
        <v>9.1000000000000004E-3</v>
      </c>
      <c r="G2258">
        <v>6.9000000000000006E-2</v>
      </c>
      <c r="H2258" s="1" t="str">
        <f>HYPERLINK("http://www.weizmann.ac.il/complex/compphys/software/geview/data/figures/220630_s_at.png","Figure")</f>
        <v>Figure</v>
      </c>
      <c r="I2258">
        <v>1.1499999999999999</v>
      </c>
      <c r="J2258">
        <v>7.0000000000000001E-3</v>
      </c>
      <c r="K2258">
        <v>1.06</v>
      </c>
      <c r="L2258">
        <v>0.25</v>
      </c>
      <c r="M2258">
        <v>0.91800000000000004</v>
      </c>
      <c r="N2258">
        <v>7.5999999999999998E-2</v>
      </c>
    </row>
    <row r="2259" spans="1:14" x14ac:dyDescent="0.25">
      <c r="A2259" t="s">
        <v>4183</v>
      </c>
      <c r="B2259" t="s">
        <v>4184</v>
      </c>
      <c r="C2259" s="1" t="str">
        <f>HYPERLINK("http://www.genecards.org/cgi-bin/carddisp.pl?gene=hCG_2003956 /// LYPLA2 /// LYPLA2P1","GeneCards")</f>
        <v>GeneCards</v>
      </c>
      <c r="D2259" s="1" t="str">
        <f>HYPERLINK("http://genome-euro.ucsc.edu/cgi-bin/hgTracks?position=215568_x_at","UCSC")</f>
        <v>UCSC</v>
      </c>
      <c r="E2259" s="1" t="str">
        <f>HYPERLINK("http://www.ncbi.nlm.nih.gov/gene/?term=hCG_2003956 /// LYPLA2 /// LYPLA2P1","NCBI")</f>
        <v>NCBI</v>
      </c>
      <c r="F2259">
        <v>9.1000000000000004E-3</v>
      </c>
      <c r="G2259">
        <v>6.9000000000000006E-2</v>
      </c>
      <c r="H2259" s="1" t="str">
        <f>HYPERLINK("http://www.weizmann.ac.il/complex/compphys/software/geview/data/figures/215568_x_at.png","Figure")</f>
        <v>Figure</v>
      </c>
      <c r="I2259">
        <v>1.32</v>
      </c>
      <c r="J2259">
        <v>7.1999999999999998E-3</v>
      </c>
      <c r="K2259">
        <v>1.1000000000000001</v>
      </c>
      <c r="L2259">
        <v>0.32</v>
      </c>
      <c r="M2259">
        <v>0.83699999999999997</v>
      </c>
      <c r="N2259">
        <v>0.06</v>
      </c>
    </row>
    <row r="2260" spans="1:14" x14ac:dyDescent="0.25">
      <c r="A2260" t="s">
        <v>4185</v>
      </c>
      <c r="B2260" t="s">
        <v>4186</v>
      </c>
      <c r="C2260" s="1" t="str">
        <f>HYPERLINK("http://www.genecards.org/cgi-bin/carddisp.pl?gene=PRKCQ","GeneCards")</f>
        <v>GeneCards</v>
      </c>
      <c r="D2260" s="1" t="str">
        <f>HYPERLINK("http://genome-euro.ucsc.edu/cgi-bin/hgTracks?position=210039_s_at","UCSC")</f>
        <v>UCSC</v>
      </c>
      <c r="E2260" s="1" t="str">
        <f>HYPERLINK("http://www.ncbi.nlm.nih.gov/gene/?term=PRKCQ","NCBI")</f>
        <v>NCBI</v>
      </c>
      <c r="F2260">
        <v>9.1000000000000004E-3</v>
      </c>
      <c r="G2260">
        <v>6.9000000000000006E-2</v>
      </c>
      <c r="H2260" s="1" t="str">
        <f>HYPERLINK("http://www.weizmann.ac.il/complex/compphys/software/geview/data/figures/210039_s_at.png","Figure")</f>
        <v>Figure</v>
      </c>
      <c r="I2260">
        <v>1.27</v>
      </c>
      <c r="J2260">
        <v>2.5000000000000001E-2</v>
      </c>
      <c r="K2260">
        <v>0.97799999999999998</v>
      </c>
      <c r="L2260">
        <v>0.94</v>
      </c>
      <c r="M2260">
        <v>0.76800000000000002</v>
      </c>
      <c r="N2260">
        <v>9.5999999999999992E-3</v>
      </c>
    </row>
    <row r="2261" spans="1:14" x14ac:dyDescent="0.25">
      <c r="A2261" t="s">
        <v>4187</v>
      </c>
      <c r="B2261" t="s">
        <v>4188</v>
      </c>
      <c r="C2261" s="1" t="str">
        <f>HYPERLINK("http://www.genecards.org/cgi-bin/carddisp.pl?gene=GLO1","GeneCards")</f>
        <v>GeneCards</v>
      </c>
      <c r="D2261" s="1" t="str">
        <f>HYPERLINK("http://genome-euro.ucsc.edu/cgi-bin/hgTracks?position=200681_at","UCSC")</f>
        <v>UCSC</v>
      </c>
      <c r="E2261" s="1" t="str">
        <f>HYPERLINK("http://www.ncbi.nlm.nih.gov/gene/?term=GLO1","NCBI")</f>
        <v>NCBI</v>
      </c>
      <c r="F2261">
        <v>9.1999999999999998E-3</v>
      </c>
      <c r="G2261">
        <v>6.9000000000000006E-2</v>
      </c>
      <c r="H2261" s="1" t="str">
        <f>HYPERLINK("http://www.weizmann.ac.il/complex/compphys/software/geview/data/figures/200681_at.png","Figure")</f>
        <v>Figure</v>
      </c>
      <c r="I2261">
        <v>0.75600000000000001</v>
      </c>
      <c r="J2261">
        <v>0.25</v>
      </c>
      <c r="K2261">
        <v>1.33</v>
      </c>
      <c r="L2261">
        <v>0.16</v>
      </c>
      <c r="M2261">
        <v>1.76</v>
      </c>
      <c r="N2261">
        <v>7.6E-3</v>
      </c>
    </row>
    <row r="2262" spans="1:14" x14ac:dyDescent="0.25">
      <c r="A2262" t="s">
        <v>4189</v>
      </c>
      <c r="B2262" t="s">
        <v>4190</v>
      </c>
      <c r="C2262" s="1" t="str">
        <f>HYPERLINK("http://www.genecards.org/cgi-bin/carddisp.pl?gene=WIPF1","GeneCards")</f>
        <v>GeneCards</v>
      </c>
      <c r="D2262" s="1" t="str">
        <f>HYPERLINK("http://genome-euro.ucsc.edu/cgi-bin/hgTracks?position=202664_at","UCSC")</f>
        <v>UCSC</v>
      </c>
      <c r="E2262" s="1" t="str">
        <f>HYPERLINK("http://www.ncbi.nlm.nih.gov/gene/?term=WIPF1","NCBI")</f>
        <v>NCBI</v>
      </c>
      <c r="F2262">
        <v>9.1999999999999998E-3</v>
      </c>
      <c r="G2262">
        <v>6.9000000000000006E-2</v>
      </c>
      <c r="H2262" s="1" t="str">
        <f>HYPERLINK("http://www.weizmann.ac.il/complex/compphys/software/geview/data/figures/202664_at.png","Figure")</f>
        <v>Figure</v>
      </c>
      <c r="I2262">
        <v>0.35699999999999998</v>
      </c>
      <c r="J2262">
        <v>9.9000000000000008E-3</v>
      </c>
      <c r="K2262">
        <v>0.82</v>
      </c>
      <c r="L2262">
        <v>0.72</v>
      </c>
      <c r="M2262">
        <v>2.2999999999999998</v>
      </c>
      <c r="N2262">
        <v>2.4E-2</v>
      </c>
    </row>
    <row r="2263" spans="1:14" x14ac:dyDescent="0.25">
      <c r="A2263" t="s">
        <v>4191</v>
      </c>
      <c r="B2263" t="s">
        <v>4192</v>
      </c>
      <c r="C2263" s="1" t="str">
        <f>HYPERLINK("http://www.genecards.org/cgi-bin/carddisp.pl?gene=AVP","GeneCards")</f>
        <v>GeneCards</v>
      </c>
      <c r="D2263" s="1" t="str">
        <f>HYPERLINK("http://genome-euro.ucsc.edu/cgi-bin/hgTracks?position=207848_at","UCSC")</f>
        <v>UCSC</v>
      </c>
      <c r="E2263" s="1" t="str">
        <f>HYPERLINK("http://www.ncbi.nlm.nih.gov/gene/?term=AVP","NCBI")</f>
        <v>NCBI</v>
      </c>
      <c r="F2263">
        <v>9.1999999999999998E-3</v>
      </c>
      <c r="G2263">
        <v>6.9000000000000006E-2</v>
      </c>
      <c r="H2263" s="1" t="str">
        <f>HYPERLINK("http://www.weizmann.ac.il/complex/compphys/software/geview/data/figures/207848_at.png","Figure")</f>
        <v>Figure</v>
      </c>
      <c r="I2263">
        <v>1.3</v>
      </c>
      <c r="J2263">
        <v>1.0999999999999999E-2</v>
      </c>
      <c r="K2263">
        <v>1.21</v>
      </c>
      <c r="L2263">
        <v>3.3000000000000002E-2</v>
      </c>
      <c r="M2263">
        <v>0.92800000000000005</v>
      </c>
      <c r="N2263">
        <v>0.56000000000000005</v>
      </c>
    </row>
    <row r="2264" spans="1:14" x14ac:dyDescent="0.25">
      <c r="A2264" t="s">
        <v>4193</v>
      </c>
      <c r="B2264" t="s">
        <v>4194</v>
      </c>
      <c r="C2264" s="1" t="str">
        <f>HYPERLINK("http://www.genecards.org/cgi-bin/carddisp.pl?gene=G3BP1","GeneCards")</f>
        <v>GeneCards</v>
      </c>
      <c r="D2264" s="1" t="str">
        <f>HYPERLINK("http://genome-euro.ucsc.edu/cgi-bin/hgTracks?position=222187_x_at","UCSC")</f>
        <v>UCSC</v>
      </c>
      <c r="E2264" s="1" t="str">
        <f>HYPERLINK("http://www.ncbi.nlm.nih.gov/gene/?term=G3BP1","NCBI")</f>
        <v>NCBI</v>
      </c>
      <c r="F2264">
        <v>9.1999999999999998E-3</v>
      </c>
      <c r="G2264">
        <v>6.9000000000000006E-2</v>
      </c>
      <c r="H2264" s="1" t="str">
        <f>HYPERLINK("http://www.weizmann.ac.il/complex/compphys/software/geview/data/figures/222187_x_at.png","Figure")</f>
        <v>Figure</v>
      </c>
      <c r="I2264">
        <v>1.27</v>
      </c>
      <c r="J2264">
        <v>9.5999999999999992E-3</v>
      </c>
      <c r="K2264">
        <v>1.05</v>
      </c>
      <c r="L2264">
        <v>0.69</v>
      </c>
      <c r="M2264">
        <v>0.82699999999999996</v>
      </c>
      <c r="N2264">
        <v>2.5999999999999999E-2</v>
      </c>
    </row>
    <row r="2265" spans="1:14" x14ac:dyDescent="0.25">
      <c r="A2265" t="s">
        <v>4195</v>
      </c>
      <c r="B2265" t="s">
        <v>745</v>
      </c>
      <c r="C2265" s="1" t="str">
        <f>HYPERLINK("http://www.genecards.org/cgi-bin/carddisp.pl?gene=NTRK3","GeneCards")</f>
        <v>GeneCards</v>
      </c>
      <c r="D2265" s="1" t="str">
        <f>HYPERLINK("http://genome-euro.ucsc.edu/cgi-bin/hgTracks?position=217377_x_at","UCSC")</f>
        <v>UCSC</v>
      </c>
      <c r="E2265" s="1" t="str">
        <f>HYPERLINK("http://www.ncbi.nlm.nih.gov/gene/?term=NTRK3","NCBI")</f>
        <v>NCBI</v>
      </c>
      <c r="F2265">
        <v>9.1999999999999998E-3</v>
      </c>
      <c r="G2265">
        <v>6.9000000000000006E-2</v>
      </c>
      <c r="H2265" s="1" t="str">
        <f>HYPERLINK("http://www.weizmann.ac.il/complex/compphys/software/geview/data/figures/217377_x_at.png","Figure")</f>
        <v>Figure</v>
      </c>
      <c r="I2265">
        <v>1.51</v>
      </c>
      <c r="J2265">
        <v>7.4000000000000003E-3</v>
      </c>
      <c r="K2265">
        <v>1.26</v>
      </c>
      <c r="L2265">
        <v>8.6999999999999994E-2</v>
      </c>
      <c r="M2265">
        <v>0.83199999999999996</v>
      </c>
      <c r="N2265">
        <v>0.22</v>
      </c>
    </row>
    <row r="2266" spans="1:14" x14ac:dyDescent="0.25">
      <c r="A2266" t="s">
        <v>4196</v>
      </c>
      <c r="B2266" t="s">
        <v>4197</v>
      </c>
      <c r="C2266" s="1" t="str">
        <f>HYPERLINK("http://www.genecards.org/cgi-bin/carddisp.pl?gene=PSMD10","GeneCards")</f>
        <v>GeneCards</v>
      </c>
      <c r="D2266" s="1" t="str">
        <f>HYPERLINK("http://genome-euro.ucsc.edu/cgi-bin/hgTracks?position=219485_s_at","UCSC")</f>
        <v>UCSC</v>
      </c>
      <c r="E2266" s="1" t="str">
        <f>HYPERLINK("http://www.ncbi.nlm.nih.gov/gene/?term=PSMD10","NCBI")</f>
        <v>NCBI</v>
      </c>
      <c r="F2266">
        <v>9.1999999999999998E-3</v>
      </c>
      <c r="G2266">
        <v>6.9000000000000006E-2</v>
      </c>
      <c r="H2266" s="1" t="str">
        <f>HYPERLINK("http://www.weizmann.ac.il/complex/compphys/software/geview/data/figures/219485_s_at.png","Figure")</f>
        <v>Figure</v>
      </c>
      <c r="I2266">
        <v>0.35</v>
      </c>
      <c r="J2266">
        <v>7.1999999999999998E-3</v>
      </c>
      <c r="K2266">
        <v>0.68100000000000005</v>
      </c>
      <c r="L2266">
        <v>0.3</v>
      </c>
      <c r="M2266">
        <v>1.95</v>
      </c>
      <c r="N2266">
        <v>6.4000000000000001E-2</v>
      </c>
    </row>
    <row r="2267" spans="1:14" x14ac:dyDescent="0.25">
      <c r="A2267" t="s">
        <v>4198</v>
      </c>
      <c r="B2267" t="s">
        <v>4199</v>
      </c>
      <c r="C2267" s="1" t="str">
        <f>HYPERLINK("http://www.genecards.org/cgi-bin/carddisp.pl?gene=PSMD5","GeneCards")</f>
        <v>GeneCards</v>
      </c>
      <c r="D2267" s="1" t="str">
        <f>HYPERLINK("http://genome-euro.ucsc.edu/cgi-bin/hgTracks?position=203447_at","UCSC")</f>
        <v>UCSC</v>
      </c>
      <c r="E2267" s="1" t="str">
        <f>HYPERLINK("http://www.ncbi.nlm.nih.gov/gene/?term=PSMD5","NCBI")</f>
        <v>NCBI</v>
      </c>
      <c r="F2267">
        <v>9.1999999999999998E-3</v>
      </c>
      <c r="G2267">
        <v>6.9000000000000006E-2</v>
      </c>
      <c r="H2267" s="1" t="str">
        <f>HYPERLINK("http://www.weizmann.ac.il/complex/compphys/software/geview/data/figures/203447_at.png","Figure")</f>
        <v>Figure</v>
      </c>
      <c r="I2267">
        <v>1.43</v>
      </c>
      <c r="J2267">
        <v>0.2</v>
      </c>
      <c r="K2267">
        <v>0.73199999999999998</v>
      </c>
      <c r="L2267">
        <v>0.2</v>
      </c>
      <c r="M2267">
        <v>0.51100000000000001</v>
      </c>
      <c r="N2267">
        <v>7.3000000000000001E-3</v>
      </c>
    </row>
    <row r="2268" spans="1:14" x14ac:dyDescent="0.25">
      <c r="A2268" t="s">
        <v>4200</v>
      </c>
      <c r="B2268" t="s">
        <v>4201</v>
      </c>
      <c r="C2268" s="1" t="str">
        <f>HYPERLINK("http://www.genecards.org/cgi-bin/carddisp.pl?gene=ACVR1B","GeneCards")</f>
        <v>GeneCards</v>
      </c>
      <c r="D2268" s="1" t="str">
        <f>HYPERLINK("http://genome-euro.ucsc.edu/cgi-bin/hgTracks?position=208222_at","UCSC")</f>
        <v>UCSC</v>
      </c>
      <c r="E2268" s="1" t="str">
        <f>HYPERLINK("http://www.ncbi.nlm.nih.gov/gene/?term=ACVR1B","NCBI")</f>
        <v>NCBI</v>
      </c>
      <c r="F2268">
        <v>9.1999999999999998E-3</v>
      </c>
      <c r="G2268">
        <v>6.9000000000000006E-2</v>
      </c>
      <c r="H2268" s="1" t="str">
        <f>HYPERLINK("http://www.weizmann.ac.il/complex/compphys/software/geview/data/figures/208222_at.png","Figure")</f>
        <v>Figure</v>
      </c>
      <c r="I2268">
        <v>1.35</v>
      </c>
      <c r="J2268">
        <v>7.0000000000000001E-3</v>
      </c>
      <c r="K2268">
        <v>1.1399999999999999</v>
      </c>
      <c r="L2268">
        <v>0.21</v>
      </c>
      <c r="M2268">
        <v>0.84199999999999997</v>
      </c>
      <c r="N2268">
        <v>9.6000000000000002E-2</v>
      </c>
    </row>
    <row r="2269" spans="1:14" x14ac:dyDescent="0.25">
      <c r="A2269" t="s">
        <v>4202</v>
      </c>
      <c r="B2269" t="s">
        <v>4203</v>
      </c>
      <c r="C2269" s="1" t="str">
        <f>HYPERLINK("http://www.genecards.org/cgi-bin/carddisp.pl?gene=IGHA1 /// IGHG1 /// IGHM /// IGHV3-23 /// LOC100290059 /// LOC100290293 /// LOC100292999 /// LOC1002","GeneCards")</f>
        <v>GeneCards</v>
      </c>
      <c r="D2269" s="1" t="str">
        <f>HYPERLINK("http://genome-euro.ucsc.edu/cgi-bin/hgTracks?position=216542_x_at","UCSC")</f>
        <v>UCSC</v>
      </c>
      <c r="E2269" s="1" t="str">
        <f>HYPERLINK("http://www.ncbi.nlm.nih.gov/gene/?term=IGHA1 /// IGHG1 /// IGHM /// IGHV3-23 /// LOC100290059 /// LOC100290293 /// LOC100292999 /// LOC1002","NCBI")</f>
        <v>NCBI</v>
      </c>
      <c r="F2269">
        <v>9.1999999999999998E-3</v>
      </c>
      <c r="G2269">
        <v>6.9000000000000006E-2</v>
      </c>
      <c r="H2269" s="1" t="str">
        <f>HYPERLINK("http://www.weizmann.ac.il/complex/compphys/software/geview/data/figures/216542_x_at.png","Figure")</f>
        <v>Figure</v>
      </c>
      <c r="I2269">
        <v>1.55</v>
      </c>
      <c r="J2269">
        <v>7.1999999999999998E-3</v>
      </c>
      <c r="K2269">
        <v>1.26</v>
      </c>
      <c r="L2269">
        <v>0.11</v>
      </c>
      <c r="M2269">
        <v>0.81</v>
      </c>
      <c r="N2269">
        <v>0.18</v>
      </c>
    </row>
    <row r="2270" spans="1:14" x14ac:dyDescent="0.25">
      <c r="A2270" t="s">
        <v>4204</v>
      </c>
      <c r="B2270" t="s">
        <v>4205</v>
      </c>
      <c r="C2270" s="1" t="str">
        <f>HYPERLINK("http://www.genecards.org/cgi-bin/carddisp.pl?gene=MCAM","GeneCards")</f>
        <v>GeneCards</v>
      </c>
      <c r="D2270" s="1" t="str">
        <f>HYPERLINK("http://genome-euro.ucsc.edu/cgi-bin/hgTracks?position=209087_x_at","UCSC")</f>
        <v>UCSC</v>
      </c>
      <c r="E2270" s="1" t="str">
        <f>HYPERLINK("http://www.ncbi.nlm.nih.gov/gene/?term=MCAM","NCBI")</f>
        <v>NCBI</v>
      </c>
      <c r="F2270">
        <v>9.2999999999999992E-3</v>
      </c>
      <c r="G2270">
        <v>6.9000000000000006E-2</v>
      </c>
      <c r="H2270" s="1" t="str">
        <f>HYPERLINK("http://www.weizmann.ac.il/complex/compphys/software/geview/data/figures/209087_x_at.png","Figure")</f>
        <v>Figure</v>
      </c>
      <c r="I2270">
        <v>1.1000000000000001</v>
      </c>
      <c r="J2270">
        <v>0.49</v>
      </c>
      <c r="K2270">
        <v>0.84199999999999997</v>
      </c>
      <c r="L2270">
        <v>7.2999999999999995E-2</v>
      </c>
      <c r="M2270">
        <v>0.76600000000000001</v>
      </c>
      <c r="N2270">
        <v>9.7999999999999997E-3</v>
      </c>
    </row>
    <row r="2271" spans="1:14" x14ac:dyDescent="0.25">
      <c r="A2271" t="s">
        <v>4206</v>
      </c>
      <c r="B2271" t="s">
        <v>4207</v>
      </c>
      <c r="C2271" s="1" t="str">
        <f>HYPERLINK("http://www.genecards.org/cgi-bin/carddisp.pl?gene=PGRMC2","GeneCards")</f>
        <v>GeneCards</v>
      </c>
      <c r="D2271" s="1" t="str">
        <f>HYPERLINK("http://genome-euro.ucsc.edu/cgi-bin/hgTracks?position=213227_at","UCSC")</f>
        <v>UCSC</v>
      </c>
      <c r="E2271" s="1" t="str">
        <f>HYPERLINK("http://www.ncbi.nlm.nih.gov/gene/?term=PGRMC2","NCBI")</f>
        <v>NCBI</v>
      </c>
      <c r="F2271">
        <v>9.2999999999999992E-3</v>
      </c>
      <c r="G2271">
        <v>6.9000000000000006E-2</v>
      </c>
      <c r="H2271" s="1" t="str">
        <f>HYPERLINK("http://www.weizmann.ac.il/complex/compphys/software/geview/data/figures/213227_at.png","Figure")</f>
        <v>Figure</v>
      </c>
      <c r="I2271">
        <v>0.47799999999999998</v>
      </c>
      <c r="J2271">
        <v>8.2000000000000007E-3</v>
      </c>
      <c r="K2271">
        <v>0.81499999999999995</v>
      </c>
      <c r="L2271">
        <v>0.51</v>
      </c>
      <c r="M2271">
        <v>1.71</v>
      </c>
      <c r="N2271">
        <v>3.6999999999999998E-2</v>
      </c>
    </row>
    <row r="2272" spans="1:14" x14ac:dyDescent="0.25">
      <c r="A2272" t="s">
        <v>4208</v>
      </c>
      <c r="B2272" t="s">
        <v>3492</v>
      </c>
      <c r="C2272" s="1" t="str">
        <f>HYPERLINK("http://www.genecards.org/cgi-bin/carddisp.pl?gene=RRM2","GeneCards")</f>
        <v>GeneCards</v>
      </c>
      <c r="D2272" s="1" t="str">
        <f>HYPERLINK("http://genome-euro.ucsc.edu/cgi-bin/hgTracks?position=201890_at","UCSC")</f>
        <v>UCSC</v>
      </c>
      <c r="E2272" s="1" t="str">
        <f>HYPERLINK("http://www.ncbi.nlm.nih.gov/gene/?term=RRM2","NCBI")</f>
        <v>NCBI</v>
      </c>
      <c r="F2272">
        <v>9.2999999999999992E-3</v>
      </c>
      <c r="G2272">
        <v>6.9000000000000006E-2</v>
      </c>
      <c r="H2272" s="1" t="str">
        <f>HYPERLINK("http://www.weizmann.ac.il/complex/compphys/software/geview/data/figures/201890_at.png","Figure")</f>
        <v>Figure</v>
      </c>
      <c r="I2272">
        <v>2.08</v>
      </c>
      <c r="J2272">
        <v>7.1000000000000004E-3</v>
      </c>
      <c r="K2272">
        <v>1.43</v>
      </c>
      <c r="L2272">
        <v>0.13</v>
      </c>
      <c r="M2272">
        <v>0.68899999999999995</v>
      </c>
      <c r="N2272">
        <v>0.15</v>
      </c>
    </row>
    <row r="2273" spans="1:14" x14ac:dyDescent="0.25">
      <c r="A2273" t="s">
        <v>4209</v>
      </c>
      <c r="B2273" t="s">
        <v>4210</v>
      </c>
      <c r="C2273" s="1" t="str">
        <f>HYPERLINK("http://www.genecards.org/cgi-bin/carddisp.pl?gene=FDPS","GeneCards")</f>
        <v>GeneCards</v>
      </c>
      <c r="D2273" s="1" t="str">
        <f>HYPERLINK("http://genome-euro.ucsc.edu/cgi-bin/hgTracks?position=201275_at","UCSC")</f>
        <v>UCSC</v>
      </c>
      <c r="E2273" s="1" t="str">
        <f>HYPERLINK("http://www.ncbi.nlm.nih.gov/gene/?term=FDPS","NCBI")</f>
        <v>NCBI</v>
      </c>
      <c r="F2273">
        <v>9.2999999999999992E-3</v>
      </c>
      <c r="G2273">
        <v>6.9000000000000006E-2</v>
      </c>
      <c r="H2273" s="1" t="str">
        <f>HYPERLINK("http://www.weizmann.ac.il/complex/compphys/software/geview/data/figures/201275_at.png","Figure")</f>
        <v>Figure</v>
      </c>
      <c r="I2273">
        <v>1.5</v>
      </c>
      <c r="J2273">
        <v>2.3E-2</v>
      </c>
      <c r="K2273">
        <v>1.47</v>
      </c>
      <c r="L2273">
        <v>1.4E-2</v>
      </c>
      <c r="M2273">
        <v>0.98099999999999998</v>
      </c>
      <c r="N2273">
        <v>0.99</v>
      </c>
    </row>
    <row r="2274" spans="1:14" x14ac:dyDescent="0.25">
      <c r="A2274" t="s">
        <v>4211</v>
      </c>
      <c r="B2274" t="s">
        <v>4212</v>
      </c>
      <c r="C2274" s="1" t="str">
        <f>HYPERLINK("http://www.genecards.org/cgi-bin/carddisp.pl?gene=RBM41","GeneCards")</f>
        <v>GeneCards</v>
      </c>
      <c r="D2274" s="1" t="str">
        <f>HYPERLINK("http://genome-euro.ucsc.edu/cgi-bin/hgTracks?position=219754_at","UCSC")</f>
        <v>UCSC</v>
      </c>
      <c r="E2274" s="1" t="str">
        <f>HYPERLINK("http://www.ncbi.nlm.nih.gov/gene/?term=RBM41","NCBI")</f>
        <v>NCBI</v>
      </c>
      <c r="F2274">
        <v>9.2999999999999992E-3</v>
      </c>
      <c r="G2274">
        <v>6.9000000000000006E-2</v>
      </c>
      <c r="H2274" s="1" t="str">
        <f>HYPERLINK("http://www.weizmann.ac.il/complex/compphys/software/geview/data/figures/219754_at.png","Figure")</f>
        <v>Figure</v>
      </c>
      <c r="I2274">
        <v>0.76500000000000001</v>
      </c>
      <c r="J2274">
        <v>9.7999999999999997E-3</v>
      </c>
      <c r="K2274">
        <v>0.94799999999999995</v>
      </c>
      <c r="L2274">
        <v>0.71</v>
      </c>
      <c r="M2274">
        <v>1.24</v>
      </c>
      <c r="N2274">
        <v>2.5000000000000001E-2</v>
      </c>
    </row>
    <row r="2275" spans="1:14" x14ac:dyDescent="0.25">
      <c r="A2275" t="s">
        <v>4213</v>
      </c>
      <c r="B2275" t="s">
        <v>4214</v>
      </c>
      <c r="C2275" s="1" t="str">
        <f>HYPERLINK("http://www.genecards.org/cgi-bin/carddisp.pl?gene=TOP2A","GeneCards")</f>
        <v>GeneCards</v>
      </c>
      <c r="D2275" s="1" t="str">
        <f>HYPERLINK("http://genome-euro.ucsc.edu/cgi-bin/hgTracks?position=201291_s_at","UCSC")</f>
        <v>UCSC</v>
      </c>
      <c r="E2275" s="1" t="str">
        <f>HYPERLINK("http://www.ncbi.nlm.nih.gov/gene/?term=TOP2A","NCBI")</f>
        <v>NCBI</v>
      </c>
      <c r="F2275">
        <v>9.4000000000000004E-3</v>
      </c>
      <c r="G2275">
        <v>7.0000000000000007E-2</v>
      </c>
      <c r="H2275" s="1" t="str">
        <f>HYPERLINK("http://www.weizmann.ac.il/complex/compphys/software/geview/data/figures/201291_s_at.png","Figure")</f>
        <v>Figure</v>
      </c>
      <c r="I2275">
        <v>1.1299999999999999</v>
      </c>
      <c r="J2275">
        <v>0.96</v>
      </c>
      <c r="K2275">
        <v>3.45</v>
      </c>
      <c r="L2275">
        <v>1.4E-2</v>
      </c>
      <c r="M2275">
        <v>3.05</v>
      </c>
      <c r="N2275">
        <v>3.7999999999999999E-2</v>
      </c>
    </row>
    <row r="2276" spans="1:14" x14ac:dyDescent="0.25">
      <c r="A2276" t="s">
        <v>4215</v>
      </c>
      <c r="B2276" t="s">
        <v>4216</v>
      </c>
      <c r="C2276" s="1" t="str">
        <f>HYPERLINK("http://www.genecards.org/cgi-bin/carddisp.pl?gene=PRPF3","GeneCards")</f>
        <v>GeneCards</v>
      </c>
      <c r="D2276" s="1" t="str">
        <f>HYPERLINK("http://genome-euro.ucsc.edu/cgi-bin/hgTracks?position=202251_at","UCSC")</f>
        <v>UCSC</v>
      </c>
      <c r="E2276" s="1" t="str">
        <f>HYPERLINK("http://www.ncbi.nlm.nih.gov/gene/?term=PRPF3","NCBI")</f>
        <v>NCBI</v>
      </c>
      <c r="F2276">
        <v>9.2999999999999992E-3</v>
      </c>
      <c r="G2276">
        <v>7.0000000000000007E-2</v>
      </c>
      <c r="H2276" s="1" t="str">
        <f>HYPERLINK("http://www.weizmann.ac.il/complex/compphys/software/geview/data/figures/202251_at.png","Figure")</f>
        <v>Figure</v>
      </c>
      <c r="I2276">
        <v>1.42</v>
      </c>
      <c r="J2276">
        <v>6.2E-2</v>
      </c>
      <c r="K2276">
        <v>0.88100000000000001</v>
      </c>
      <c r="L2276">
        <v>0.56000000000000005</v>
      </c>
      <c r="M2276">
        <v>0.622</v>
      </c>
      <c r="N2276">
        <v>7.4000000000000003E-3</v>
      </c>
    </row>
    <row r="2277" spans="1:14" x14ac:dyDescent="0.25">
      <c r="A2277" t="s">
        <v>4217</v>
      </c>
      <c r="B2277" t="s">
        <v>4218</v>
      </c>
      <c r="C2277" s="1" t="str">
        <f>HYPERLINK("http://www.genecards.org/cgi-bin/carddisp.pl?gene=COL16A1","GeneCards")</f>
        <v>GeneCards</v>
      </c>
      <c r="D2277" s="1" t="str">
        <f>HYPERLINK("http://genome-euro.ucsc.edu/cgi-bin/hgTracks?position=204345_at","UCSC")</f>
        <v>UCSC</v>
      </c>
      <c r="E2277" s="1" t="str">
        <f>HYPERLINK("http://www.ncbi.nlm.nih.gov/gene/?term=COL16A1","NCBI")</f>
        <v>NCBI</v>
      </c>
      <c r="F2277">
        <v>9.2999999999999992E-3</v>
      </c>
      <c r="G2277">
        <v>7.0000000000000007E-2</v>
      </c>
      <c r="H2277" s="1" t="str">
        <f>HYPERLINK("http://www.weizmann.ac.il/complex/compphys/software/geview/data/figures/204345_at.png","Figure")</f>
        <v>Figure</v>
      </c>
      <c r="I2277">
        <v>1.25</v>
      </c>
      <c r="J2277">
        <v>7.0000000000000001E-3</v>
      </c>
      <c r="K2277">
        <v>1.1100000000000001</v>
      </c>
      <c r="L2277">
        <v>0.17</v>
      </c>
      <c r="M2277">
        <v>0.88700000000000001</v>
      </c>
      <c r="N2277">
        <v>0.12</v>
      </c>
    </row>
    <row r="2278" spans="1:14" x14ac:dyDescent="0.25">
      <c r="A2278" t="s">
        <v>4219</v>
      </c>
      <c r="B2278" t="s">
        <v>4220</v>
      </c>
      <c r="C2278" s="1" t="str">
        <f>HYPERLINK("http://www.genecards.org/cgi-bin/carddisp.pl?gene=HOXB7","GeneCards")</f>
        <v>GeneCards</v>
      </c>
      <c r="D2278" s="1" t="str">
        <f>HYPERLINK("http://genome-euro.ucsc.edu/cgi-bin/hgTracks?position=216973_s_at","UCSC")</f>
        <v>UCSC</v>
      </c>
      <c r="E2278" s="1" t="str">
        <f>HYPERLINK("http://www.ncbi.nlm.nih.gov/gene/?term=HOXB7","NCBI")</f>
        <v>NCBI</v>
      </c>
      <c r="F2278">
        <v>9.4000000000000004E-3</v>
      </c>
      <c r="G2278">
        <v>7.0000000000000007E-2</v>
      </c>
      <c r="H2278" s="1" t="str">
        <f>HYPERLINK("http://www.weizmann.ac.il/complex/compphys/software/geview/data/figures/216973_s_at.png","Figure")</f>
        <v>Figure</v>
      </c>
      <c r="I2278">
        <v>1.1299999999999999</v>
      </c>
      <c r="J2278">
        <v>0.26</v>
      </c>
      <c r="K2278">
        <v>0.88</v>
      </c>
      <c r="L2278">
        <v>0.15</v>
      </c>
      <c r="M2278">
        <v>0.77800000000000002</v>
      </c>
      <c r="N2278">
        <v>7.7999999999999996E-3</v>
      </c>
    </row>
    <row r="2279" spans="1:14" x14ac:dyDescent="0.25">
      <c r="A2279" t="s">
        <v>4221</v>
      </c>
      <c r="B2279" t="s">
        <v>4222</v>
      </c>
      <c r="C2279" s="1" t="str">
        <f>HYPERLINK("http://www.genecards.org/cgi-bin/carddisp.pl?gene=MTCH2","GeneCards")</f>
        <v>GeneCards</v>
      </c>
      <c r="D2279" s="1" t="str">
        <f>HYPERLINK("http://genome-euro.ucsc.edu/cgi-bin/hgTracks?position=217772_s_at","UCSC")</f>
        <v>UCSC</v>
      </c>
      <c r="E2279" s="1" t="str">
        <f>HYPERLINK("http://www.ncbi.nlm.nih.gov/gene/?term=MTCH2","NCBI")</f>
        <v>NCBI</v>
      </c>
      <c r="F2279">
        <v>9.4000000000000004E-3</v>
      </c>
      <c r="G2279">
        <v>7.0000000000000007E-2</v>
      </c>
      <c r="H2279" s="1" t="str">
        <f>HYPERLINK("http://www.weizmann.ac.il/complex/compphys/software/geview/data/figures/217772_s_at.png","Figure")</f>
        <v>Figure</v>
      </c>
      <c r="I2279">
        <v>1.36</v>
      </c>
      <c r="J2279">
        <v>0.18</v>
      </c>
      <c r="K2279">
        <v>1.69</v>
      </c>
      <c r="L2279">
        <v>7.0000000000000001E-3</v>
      </c>
      <c r="M2279">
        <v>1.24</v>
      </c>
      <c r="N2279">
        <v>0.36</v>
      </c>
    </row>
    <row r="2280" spans="1:14" x14ac:dyDescent="0.25">
      <c r="A2280" t="s">
        <v>4223</v>
      </c>
      <c r="B2280" t="s">
        <v>3201</v>
      </c>
      <c r="C2280" s="1" t="str">
        <f>HYPERLINK("http://www.genecards.org/cgi-bin/carddisp.pl?gene=RBM3","GeneCards")</f>
        <v>GeneCards</v>
      </c>
      <c r="D2280" s="1" t="str">
        <f>HYPERLINK("http://genome-euro.ucsc.edu/cgi-bin/hgTracks?position=208319_s_at","UCSC")</f>
        <v>UCSC</v>
      </c>
      <c r="E2280" s="1" t="str">
        <f>HYPERLINK("http://www.ncbi.nlm.nih.gov/gene/?term=RBM3","NCBI")</f>
        <v>NCBI</v>
      </c>
      <c r="F2280">
        <v>9.4000000000000004E-3</v>
      </c>
      <c r="G2280">
        <v>7.0000000000000007E-2</v>
      </c>
      <c r="H2280" s="1" t="str">
        <f>HYPERLINK("http://www.weizmann.ac.il/complex/compphys/software/geview/data/figures/208319_s_at.png","Figure")</f>
        <v>Figure</v>
      </c>
      <c r="I2280">
        <v>0.36699999999999999</v>
      </c>
      <c r="J2280">
        <v>1.4999999999999999E-2</v>
      </c>
      <c r="K2280">
        <v>0.439</v>
      </c>
      <c r="L2280">
        <v>2.1000000000000001E-2</v>
      </c>
      <c r="M2280">
        <v>1.19</v>
      </c>
      <c r="N2280">
        <v>0.81</v>
      </c>
    </row>
    <row r="2281" spans="1:14" x14ac:dyDescent="0.25">
      <c r="A2281" t="s">
        <v>4224</v>
      </c>
      <c r="B2281" t="s">
        <v>4225</v>
      </c>
      <c r="C2281" s="1" t="str">
        <f>HYPERLINK("http://www.genecards.org/cgi-bin/carddisp.pl?gene=GOLGA8B","GeneCards")</f>
        <v>GeneCards</v>
      </c>
      <c r="D2281" s="1" t="str">
        <f>HYPERLINK("http://genome-euro.ucsc.edu/cgi-bin/hgTracks?position=210425_x_at","UCSC")</f>
        <v>UCSC</v>
      </c>
      <c r="E2281" s="1" t="str">
        <f>HYPERLINK("http://www.ncbi.nlm.nih.gov/gene/?term=GOLGA8B","NCBI")</f>
        <v>NCBI</v>
      </c>
      <c r="F2281">
        <v>9.4000000000000004E-3</v>
      </c>
      <c r="G2281">
        <v>7.0000000000000007E-2</v>
      </c>
      <c r="H2281" s="1" t="str">
        <f>HYPERLINK("http://www.weizmann.ac.il/complex/compphys/software/geview/data/figures/210425_x_at.png","Figure")</f>
        <v>Figure</v>
      </c>
      <c r="I2281">
        <v>0.39700000000000002</v>
      </c>
      <c r="J2281">
        <v>3.1E-2</v>
      </c>
      <c r="K2281">
        <v>0.38300000000000001</v>
      </c>
      <c r="L2281">
        <v>1.0999999999999999E-2</v>
      </c>
      <c r="M2281">
        <v>0.96499999999999997</v>
      </c>
      <c r="N2281">
        <v>0.99</v>
      </c>
    </row>
    <row r="2282" spans="1:14" x14ac:dyDescent="0.25">
      <c r="A2282" t="s">
        <v>4226</v>
      </c>
      <c r="B2282" t="s">
        <v>2224</v>
      </c>
      <c r="C2282" s="1" t="str">
        <f>HYPERLINK("http://www.genecards.org/cgi-bin/carddisp.pl?gene=SCAMP1","GeneCards")</f>
        <v>GeneCards</v>
      </c>
      <c r="D2282" s="1" t="str">
        <f>HYPERLINK("http://genome-euro.ucsc.edu/cgi-bin/hgTracks?position=212417_at","UCSC")</f>
        <v>UCSC</v>
      </c>
      <c r="E2282" s="1" t="str">
        <f>HYPERLINK("http://www.ncbi.nlm.nih.gov/gene/?term=SCAMP1","NCBI")</f>
        <v>NCBI</v>
      </c>
      <c r="F2282">
        <v>9.4000000000000004E-3</v>
      </c>
      <c r="G2282">
        <v>7.0000000000000007E-2</v>
      </c>
      <c r="H2282" s="1" t="str">
        <f>HYPERLINK("http://www.weizmann.ac.il/complex/compphys/software/geview/data/figures/212417_at.png","Figure")</f>
        <v>Figure</v>
      </c>
      <c r="I2282">
        <v>0.73099999999999998</v>
      </c>
      <c r="J2282">
        <v>1.2999999999999999E-2</v>
      </c>
      <c r="K2282">
        <v>0.97</v>
      </c>
      <c r="L2282">
        <v>0.93</v>
      </c>
      <c r="M2282">
        <v>1.33</v>
      </c>
      <c r="N2282">
        <v>1.7000000000000001E-2</v>
      </c>
    </row>
    <row r="2283" spans="1:14" x14ac:dyDescent="0.25">
      <c r="A2283" t="s">
        <v>4227</v>
      </c>
      <c r="B2283" t="s">
        <v>4228</v>
      </c>
      <c r="C2283" s="1" t="str">
        <f>HYPERLINK("http://www.genecards.org/cgi-bin/carddisp.pl?gene=TLE1","GeneCards")</f>
        <v>GeneCards</v>
      </c>
      <c r="D2283" s="1" t="str">
        <f>HYPERLINK("http://genome-euro.ucsc.edu/cgi-bin/hgTracks?position=203220_s_at","UCSC")</f>
        <v>UCSC</v>
      </c>
      <c r="E2283" s="1" t="str">
        <f>HYPERLINK("http://www.ncbi.nlm.nih.gov/gene/?term=TLE1","NCBI")</f>
        <v>NCBI</v>
      </c>
      <c r="F2283">
        <v>9.4000000000000004E-3</v>
      </c>
      <c r="G2283">
        <v>7.0000000000000007E-2</v>
      </c>
      <c r="H2283" s="1" t="str">
        <f>HYPERLINK("http://www.weizmann.ac.il/complex/compphys/software/geview/data/figures/203220_s_at.png","Figure")</f>
        <v>Figure</v>
      </c>
      <c r="I2283">
        <v>1.36</v>
      </c>
      <c r="J2283">
        <v>1.0999999999999999E-2</v>
      </c>
      <c r="K2283">
        <v>1.05</v>
      </c>
      <c r="L2283">
        <v>0.82</v>
      </c>
      <c r="M2283">
        <v>0.77100000000000002</v>
      </c>
      <c r="N2283">
        <v>0.02</v>
      </c>
    </row>
    <row r="2284" spans="1:14" x14ac:dyDescent="0.25">
      <c r="A2284" t="s">
        <v>4229</v>
      </c>
      <c r="B2284" t="s">
        <v>2442</v>
      </c>
      <c r="C2284" s="1" t="str">
        <f>HYPERLINK("http://www.genecards.org/cgi-bin/carddisp.pl?gene=CD58","GeneCards")</f>
        <v>GeneCards</v>
      </c>
      <c r="D2284" s="1" t="str">
        <f>HYPERLINK("http://genome-euro.ucsc.edu/cgi-bin/hgTracks?position=211744_s_at","UCSC")</f>
        <v>UCSC</v>
      </c>
      <c r="E2284" s="1" t="str">
        <f>HYPERLINK("http://www.ncbi.nlm.nih.gov/gene/?term=CD58","NCBI")</f>
        <v>NCBI</v>
      </c>
      <c r="F2284">
        <v>9.4000000000000004E-3</v>
      </c>
      <c r="G2284">
        <v>7.0000000000000007E-2</v>
      </c>
      <c r="H2284" s="1" t="str">
        <f>HYPERLINK("http://www.weizmann.ac.il/complex/compphys/software/geview/data/figures/211744_s_at.png","Figure")</f>
        <v>Figure</v>
      </c>
      <c r="I2284">
        <v>1.6</v>
      </c>
      <c r="J2284">
        <v>0.44</v>
      </c>
      <c r="K2284">
        <v>3.23</v>
      </c>
      <c r="L2284">
        <v>7.9000000000000008E-3</v>
      </c>
      <c r="M2284">
        <v>2.02</v>
      </c>
      <c r="N2284">
        <v>0.14000000000000001</v>
      </c>
    </row>
    <row r="2285" spans="1:14" x14ac:dyDescent="0.25">
      <c r="A2285" t="s">
        <v>4230</v>
      </c>
      <c r="B2285" t="s">
        <v>4231</v>
      </c>
      <c r="C2285" s="1" t="str">
        <f>HYPERLINK("http://www.genecards.org/cgi-bin/carddisp.pl?gene=RNPEP","GeneCards")</f>
        <v>GeneCards</v>
      </c>
      <c r="D2285" s="1" t="str">
        <f>HYPERLINK("http://genome-euro.ucsc.edu/cgi-bin/hgTracks?position=208270_s_at","UCSC")</f>
        <v>UCSC</v>
      </c>
      <c r="E2285" s="1" t="str">
        <f>HYPERLINK("http://www.ncbi.nlm.nih.gov/gene/?term=RNPEP","NCBI")</f>
        <v>NCBI</v>
      </c>
      <c r="F2285">
        <v>9.4000000000000004E-3</v>
      </c>
      <c r="G2285">
        <v>7.0000000000000007E-2</v>
      </c>
      <c r="H2285" s="1" t="str">
        <f>HYPERLINK("http://www.weizmann.ac.il/complex/compphys/software/geview/data/figures/208270_s_at.png","Figure")</f>
        <v>Figure</v>
      </c>
      <c r="I2285">
        <v>1.73</v>
      </c>
      <c r="J2285">
        <v>2.1999999999999999E-2</v>
      </c>
      <c r="K2285">
        <v>1.67</v>
      </c>
      <c r="L2285">
        <v>1.4E-2</v>
      </c>
      <c r="M2285">
        <v>0.96499999999999997</v>
      </c>
      <c r="N2285">
        <v>0.97</v>
      </c>
    </row>
    <row r="2286" spans="1:14" x14ac:dyDescent="0.25">
      <c r="A2286" t="s">
        <v>4232</v>
      </c>
      <c r="B2286" t="s">
        <v>1855</v>
      </c>
      <c r="C2286" s="1" t="str">
        <f>HYPERLINK("http://www.genecards.org/cgi-bin/carddisp.pl?gene=PPPDE1","GeneCards")</f>
        <v>GeneCards</v>
      </c>
      <c r="D2286" s="1" t="str">
        <f>HYPERLINK("http://genome-euro.ucsc.edu/cgi-bin/hgTracks?position=222158_s_at","UCSC")</f>
        <v>UCSC</v>
      </c>
      <c r="E2286" s="1" t="str">
        <f>HYPERLINK("http://www.ncbi.nlm.nih.gov/gene/?term=PPPDE1","NCBI")</f>
        <v>NCBI</v>
      </c>
      <c r="F2286">
        <v>9.4000000000000004E-3</v>
      </c>
      <c r="G2286">
        <v>7.0000000000000007E-2</v>
      </c>
      <c r="H2286" s="1" t="str">
        <f>HYPERLINK("http://www.weizmann.ac.il/complex/compphys/software/geview/data/figures/222158_s_at.png","Figure")</f>
        <v>Figure</v>
      </c>
      <c r="I2286">
        <v>1.67</v>
      </c>
      <c r="J2286">
        <v>7.3999999999999996E-2</v>
      </c>
      <c r="K2286">
        <v>1.96</v>
      </c>
      <c r="L2286">
        <v>7.9000000000000008E-3</v>
      </c>
      <c r="M2286">
        <v>1.17</v>
      </c>
      <c r="N2286">
        <v>0.71</v>
      </c>
    </row>
    <row r="2287" spans="1:14" x14ac:dyDescent="0.25">
      <c r="A2287" t="s">
        <v>4233</v>
      </c>
      <c r="B2287" t="s">
        <v>4234</v>
      </c>
      <c r="C2287" s="1" t="str">
        <f>HYPERLINK("http://www.genecards.org/cgi-bin/carddisp.pl?gene=CSRP2","GeneCards")</f>
        <v>GeneCards</v>
      </c>
      <c r="D2287" s="1" t="str">
        <f>HYPERLINK("http://genome-euro.ucsc.edu/cgi-bin/hgTracks?position=211126_s_at","UCSC")</f>
        <v>UCSC</v>
      </c>
      <c r="E2287" s="1" t="str">
        <f>HYPERLINK("http://www.ncbi.nlm.nih.gov/gene/?term=CSRP2","NCBI")</f>
        <v>NCBI</v>
      </c>
      <c r="F2287">
        <v>9.4000000000000004E-3</v>
      </c>
      <c r="G2287">
        <v>7.0000000000000007E-2</v>
      </c>
      <c r="H2287" s="1" t="str">
        <f>HYPERLINK("http://www.weizmann.ac.il/complex/compphys/software/geview/data/figures/211126_s_at.png","Figure")</f>
        <v>Figure</v>
      </c>
      <c r="I2287">
        <v>0.46</v>
      </c>
      <c r="J2287">
        <v>9.9000000000000008E-3</v>
      </c>
      <c r="K2287">
        <v>0.58799999999999997</v>
      </c>
      <c r="L2287">
        <v>0.04</v>
      </c>
      <c r="M2287">
        <v>1.28</v>
      </c>
      <c r="N2287">
        <v>0.48</v>
      </c>
    </row>
    <row r="2288" spans="1:14" x14ac:dyDescent="0.25">
      <c r="A2288" t="s">
        <v>4235</v>
      </c>
      <c r="B2288" t="s">
        <v>3760</v>
      </c>
      <c r="C2288" s="1" t="str">
        <f>HYPERLINK("http://www.genecards.org/cgi-bin/carddisp.pl?gene=EMP1","GeneCards")</f>
        <v>GeneCards</v>
      </c>
      <c r="D2288" s="1" t="str">
        <f>HYPERLINK("http://genome-euro.ucsc.edu/cgi-bin/hgTracks?position=201325_s_at","UCSC")</f>
        <v>UCSC</v>
      </c>
      <c r="E2288" s="1" t="str">
        <f>HYPERLINK("http://www.ncbi.nlm.nih.gov/gene/?term=EMP1","NCBI")</f>
        <v>NCBI</v>
      </c>
      <c r="F2288">
        <v>9.4999999999999998E-3</v>
      </c>
      <c r="G2288">
        <v>7.0000000000000007E-2</v>
      </c>
      <c r="H2288" s="1" t="str">
        <f>HYPERLINK("http://www.weizmann.ac.il/complex/compphys/software/geview/data/figures/201325_s_at.png","Figure")</f>
        <v>Figure</v>
      </c>
      <c r="I2288">
        <v>0.39200000000000002</v>
      </c>
      <c r="J2288">
        <v>2.1999999999999999E-2</v>
      </c>
      <c r="K2288">
        <v>1.05</v>
      </c>
      <c r="L2288">
        <v>0.98</v>
      </c>
      <c r="M2288">
        <v>2.67</v>
      </c>
      <c r="N2288">
        <v>1.0999999999999999E-2</v>
      </c>
    </row>
    <row r="2289" spans="1:14" x14ac:dyDescent="0.25">
      <c r="A2289" t="s">
        <v>4236</v>
      </c>
      <c r="B2289" t="s">
        <v>4237</v>
      </c>
      <c r="C2289" s="1" t="str">
        <f>HYPERLINK("http://www.genecards.org/cgi-bin/carddisp.pl?gene=EXT2","GeneCards")</f>
        <v>GeneCards</v>
      </c>
      <c r="D2289" s="1" t="str">
        <f>HYPERLINK("http://genome-euro.ucsc.edu/cgi-bin/hgTracks?position=202013_s_at","UCSC")</f>
        <v>UCSC</v>
      </c>
      <c r="E2289" s="1" t="str">
        <f>HYPERLINK("http://www.ncbi.nlm.nih.gov/gene/?term=EXT2","NCBI")</f>
        <v>NCBI</v>
      </c>
      <c r="F2289">
        <v>9.4999999999999998E-3</v>
      </c>
      <c r="G2289">
        <v>7.0000000000000007E-2</v>
      </c>
      <c r="H2289" s="1" t="str">
        <f>HYPERLINK("http://www.weizmann.ac.il/complex/compphys/software/geview/data/figures/202013_s_at.png","Figure")</f>
        <v>Figure</v>
      </c>
      <c r="I2289">
        <v>0.71699999999999997</v>
      </c>
      <c r="J2289">
        <v>3.5999999999999997E-2</v>
      </c>
      <c r="K2289">
        <v>1.07</v>
      </c>
      <c r="L2289">
        <v>0.81</v>
      </c>
      <c r="M2289">
        <v>1.49</v>
      </c>
      <c r="N2289">
        <v>8.6E-3</v>
      </c>
    </row>
    <row r="2290" spans="1:14" x14ac:dyDescent="0.25">
      <c r="A2290" t="s">
        <v>4238</v>
      </c>
      <c r="B2290" t="s">
        <v>4239</v>
      </c>
      <c r="C2290" s="1" t="str">
        <f>HYPERLINK("http://www.genecards.org/cgi-bin/carddisp.pl?gene=DIDO1","GeneCards")</f>
        <v>GeneCards</v>
      </c>
      <c r="D2290" s="1" t="str">
        <f>HYPERLINK("http://genome-euro.ucsc.edu/cgi-bin/hgTracks?position=218325_s_at","UCSC")</f>
        <v>UCSC</v>
      </c>
      <c r="E2290" s="1" t="str">
        <f>HYPERLINK("http://www.ncbi.nlm.nih.gov/gene/?term=DIDO1","NCBI")</f>
        <v>NCBI</v>
      </c>
      <c r="F2290">
        <v>9.4999999999999998E-3</v>
      </c>
      <c r="G2290">
        <v>7.0000000000000007E-2</v>
      </c>
      <c r="H2290" s="1" t="str">
        <f>HYPERLINK("http://www.weizmann.ac.il/complex/compphys/software/geview/data/figures/218325_s_at.png","Figure")</f>
        <v>Figure</v>
      </c>
      <c r="I2290">
        <v>0.96</v>
      </c>
      <c r="J2290">
        <v>0.94</v>
      </c>
      <c r="K2290">
        <v>0.71</v>
      </c>
      <c r="L2290">
        <v>1.4E-2</v>
      </c>
      <c r="M2290">
        <v>0.74</v>
      </c>
      <c r="N2290">
        <v>4.1000000000000002E-2</v>
      </c>
    </row>
    <row r="2291" spans="1:14" x14ac:dyDescent="0.25">
      <c r="A2291" t="s">
        <v>4240</v>
      </c>
      <c r="B2291" t="s">
        <v>4241</v>
      </c>
      <c r="C2291" s="1" t="str">
        <f>HYPERLINK("http://www.genecards.org/cgi-bin/carddisp.pl?gene=TM9SF1","GeneCards")</f>
        <v>GeneCards</v>
      </c>
      <c r="D2291" s="1" t="str">
        <f>HYPERLINK("http://genome-euro.ucsc.edu/cgi-bin/hgTracks?position=209150_s_at","UCSC")</f>
        <v>UCSC</v>
      </c>
      <c r="E2291" s="1" t="str">
        <f>HYPERLINK("http://www.ncbi.nlm.nih.gov/gene/?term=TM9SF1","NCBI")</f>
        <v>NCBI</v>
      </c>
      <c r="F2291">
        <v>9.4999999999999998E-3</v>
      </c>
      <c r="G2291">
        <v>7.0000000000000007E-2</v>
      </c>
      <c r="H2291" s="1" t="str">
        <f>HYPERLINK("http://www.weizmann.ac.il/complex/compphys/software/geview/data/figures/209150_s_at.png","Figure")</f>
        <v>Figure</v>
      </c>
      <c r="I2291">
        <v>0.51800000000000002</v>
      </c>
      <c r="J2291">
        <v>1.9E-2</v>
      </c>
      <c r="K2291">
        <v>1</v>
      </c>
      <c r="L2291">
        <v>1</v>
      </c>
      <c r="M2291">
        <v>1.94</v>
      </c>
      <c r="N2291">
        <v>1.2E-2</v>
      </c>
    </row>
    <row r="2292" spans="1:14" x14ac:dyDescent="0.25">
      <c r="A2292" t="s">
        <v>4242</v>
      </c>
      <c r="B2292" t="s">
        <v>4243</v>
      </c>
      <c r="C2292" s="1" t="str">
        <f>HYPERLINK("http://www.genecards.org/cgi-bin/carddisp.pl?gene=TALDO1","GeneCards")</f>
        <v>GeneCards</v>
      </c>
      <c r="D2292" s="1" t="str">
        <f>HYPERLINK("http://genome-euro.ucsc.edu/cgi-bin/hgTracks?position=201463_s_at","UCSC")</f>
        <v>UCSC</v>
      </c>
      <c r="E2292" s="1" t="str">
        <f>HYPERLINK("http://www.ncbi.nlm.nih.gov/gene/?term=TALDO1","NCBI")</f>
        <v>NCBI</v>
      </c>
      <c r="F2292">
        <v>9.4999999999999998E-3</v>
      </c>
      <c r="G2292">
        <v>7.0000000000000007E-2</v>
      </c>
      <c r="H2292" s="1" t="str">
        <f>HYPERLINK("http://www.weizmann.ac.il/complex/compphys/software/geview/data/figures/201463_s_at.png","Figure")</f>
        <v>Figure</v>
      </c>
      <c r="I2292">
        <v>0.66100000000000003</v>
      </c>
      <c r="J2292">
        <v>0.4</v>
      </c>
      <c r="K2292">
        <v>1.84</v>
      </c>
      <c r="L2292">
        <v>9.6000000000000002E-2</v>
      </c>
      <c r="M2292">
        <v>2.78</v>
      </c>
      <c r="N2292">
        <v>8.9999999999999993E-3</v>
      </c>
    </row>
    <row r="2293" spans="1:14" x14ac:dyDescent="0.25">
      <c r="A2293" t="s">
        <v>4244</v>
      </c>
      <c r="B2293" t="s">
        <v>4245</v>
      </c>
      <c r="C2293" s="1" t="str">
        <f>HYPERLINK("http://www.genecards.org/cgi-bin/carddisp.pl?gene=WRB","GeneCards")</f>
        <v>GeneCards</v>
      </c>
      <c r="D2293" s="1" t="str">
        <f>HYPERLINK("http://genome-euro.ucsc.edu/cgi-bin/hgTracks?position=202749_at","UCSC")</f>
        <v>UCSC</v>
      </c>
      <c r="E2293" s="1" t="str">
        <f>HYPERLINK("http://www.ncbi.nlm.nih.gov/gene/?term=WRB","NCBI")</f>
        <v>NCBI</v>
      </c>
      <c r="F2293">
        <v>9.4999999999999998E-3</v>
      </c>
      <c r="G2293">
        <v>7.0000000000000007E-2</v>
      </c>
      <c r="H2293" s="1" t="str">
        <f>HYPERLINK("http://www.weizmann.ac.il/complex/compphys/software/geview/data/figures/202749_at.png","Figure")</f>
        <v>Figure</v>
      </c>
      <c r="I2293">
        <v>0.58299999999999996</v>
      </c>
      <c r="J2293">
        <v>7.0000000000000007E-2</v>
      </c>
      <c r="K2293">
        <v>1.24</v>
      </c>
      <c r="L2293">
        <v>0.52</v>
      </c>
      <c r="M2293">
        <v>2.13</v>
      </c>
      <c r="N2293">
        <v>7.3000000000000001E-3</v>
      </c>
    </row>
    <row r="2294" spans="1:14" x14ac:dyDescent="0.25">
      <c r="A2294" t="s">
        <v>4246</v>
      </c>
      <c r="B2294" t="s">
        <v>4247</v>
      </c>
      <c r="C2294" s="1" t="str">
        <f>HYPERLINK("http://www.genecards.org/cgi-bin/carddisp.pl?gene=ZNF16","GeneCards")</f>
        <v>GeneCards</v>
      </c>
      <c r="D2294" s="1" t="str">
        <f>HYPERLINK("http://genome-euro.ucsc.edu/cgi-bin/hgTracks?position=219548_at","UCSC")</f>
        <v>UCSC</v>
      </c>
      <c r="E2294" s="1" t="str">
        <f>HYPERLINK("http://www.ncbi.nlm.nih.gov/gene/?term=ZNF16","NCBI")</f>
        <v>NCBI</v>
      </c>
      <c r="F2294">
        <v>9.4999999999999998E-3</v>
      </c>
      <c r="G2294">
        <v>7.0000000000000007E-2</v>
      </c>
      <c r="H2294" s="1" t="str">
        <f>HYPERLINK("http://www.weizmann.ac.il/complex/compphys/software/geview/data/figures/219548_at.png","Figure")</f>
        <v>Figure</v>
      </c>
      <c r="I2294">
        <v>0.79800000000000004</v>
      </c>
      <c r="J2294">
        <v>7.4000000000000003E-3</v>
      </c>
      <c r="K2294">
        <v>0.88900000000000001</v>
      </c>
      <c r="L2294">
        <v>0.11</v>
      </c>
      <c r="M2294">
        <v>1.1100000000000001</v>
      </c>
      <c r="N2294">
        <v>0.19</v>
      </c>
    </row>
    <row r="2295" spans="1:14" x14ac:dyDescent="0.25">
      <c r="A2295" t="s">
        <v>4248</v>
      </c>
      <c r="B2295" t="s">
        <v>4249</v>
      </c>
      <c r="C2295" s="1" t="str">
        <f>HYPERLINK("http://www.genecards.org/cgi-bin/carddisp.pl?gene=PFKFB4","GeneCards")</f>
        <v>GeneCards</v>
      </c>
      <c r="D2295" s="1" t="str">
        <f>HYPERLINK("http://genome-euro.ucsc.edu/cgi-bin/hgTracks?position=206246_at","UCSC")</f>
        <v>UCSC</v>
      </c>
      <c r="E2295" s="1" t="str">
        <f>HYPERLINK("http://www.ncbi.nlm.nih.gov/gene/?term=PFKFB4","NCBI")</f>
        <v>NCBI</v>
      </c>
      <c r="F2295">
        <v>9.4999999999999998E-3</v>
      </c>
      <c r="G2295">
        <v>7.0999999999999994E-2</v>
      </c>
      <c r="H2295" s="1" t="str">
        <f>HYPERLINK("http://www.weizmann.ac.il/complex/compphys/software/geview/data/figures/206246_at.png","Figure")</f>
        <v>Figure</v>
      </c>
      <c r="I2295">
        <v>1.39</v>
      </c>
      <c r="J2295">
        <v>7.6E-3</v>
      </c>
      <c r="K2295">
        <v>1.1200000000000001</v>
      </c>
      <c r="L2295">
        <v>0.35</v>
      </c>
      <c r="M2295">
        <v>0.80500000000000005</v>
      </c>
      <c r="N2295">
        <v>5.8000000000000003E-2</v>
      </c>
    </row>
    <row r="2296" spans="1:14" x14ac:dyDescent="0.25">
      <c r="A2296" t="s">
        <v>4250</v>
      </c>
      <c r="B2296" t="s">
        <v>4251</v>
      </c>
      <c r="C2296" s="1" t="str">
        <f>HYPERLINK("http://www.genecards.org/cgi-bin/carddisp.pl?gene=AGPAT2","GeneCards")</f>
        <v>GeneCards</v>
      </c>
      <c r="D2296" s="1" t="str">
        <f>HYPERLINK("http://genome-euro.ucsc.edu/cgi-bin/hgTracks?position=32837_at","UCSC")</f>
        <v>UCSC</v>
      </c>
      <c r="E2296" s="1" t="str">
        <f>HYPERLINK("http://www.ncbi.nlm.nih.gov/gene/?term=AGPAT2","NCBI")</f>
        <v>NCBI</v>
      </c>
      <c r="F2296">
        <v>9.4999999999999998E-3</v>
      </c>
      <c r="G2296">
        <v>7.0999999999999994E-2</v>
      </c>
      <c r="H2296" s="1" t="str">
        <f>HYPERLINK("http://www.weizmann.ac.il/complex/compphys/software/geview/data/figures/32837_at.png","Figure")</f>
        <v>Figure</v>
      </c>
      <c r="I2296">
        <v>1.56</v>
      </c>
      <c r="J2296">
        <v>7.6E-3</v>
      </c>
      <c r="K2296">
        <v>1.17</v>
      </c>
      <c r="L2296">
        <v>0.34</v>
      </c>
      <c r="M2296">
        <v>0.747</v>
      </c>
      <c r="N2296">
        <v>5.8000000000000003E-2</v>
      </c>
    </row>
    <row r="2297" spans="1:14" x14ac:dyDescent="0.25">
      <c r="A2297" t="s">
        <v>4252</v>
      </c>
      <c r="B2297" t="s">
        <v>2624</v>
      </c>
      <c r="C2297" s="1" t="str">
        <f>HYPERLINK("http://www.genecards.org/cgi-bin/carddisp.pl?gene=ATP6V1D","GeneCards")</f>
        <v>GeneCards</v>
      </c>
      <c r="D2297" s="1" t="str">
        <f>HYPERLINK("http://genome-euro.ucsc.edu/cgi-bin/hgTracks?position=208898_at","UCSC")</f>
        <v>UCSC</v>
      </c>
      <c r="E2297" s="1" t="str">
        <f>HYPERLINK("http://www.ncbi.nlm.nih.gov/gene/?term=ATP6V1D","NCBI")</f>
        <v>NCBI</v>
      </c>
      <c r="F2297">
        <v>9.5999999999999992E-3</v>
      </c>
      <c r="G2297">
        <v>7.0999999999999994E-2</v>
      </c>
      <c r="H2297" s="1" t="str">
        <f>HYPERLINK("http://www.weizmann.ac.il/complex/compphys/software/geview/data/figures/208898_at.png","Figure")</f>
        <v>Figure</v>
      </c>
      <c r="I2297">
        <v>0.79600000000000004</v>
      </c>
      <c r="J2297">
        <v>0.75</v>
      </c>
      <c r="K2297">
        <v>2.1</v>
      </c>
      <c r="L2297">
        <v>4.2000000000000003E-2</v>
      </c>
      <c r="M2297">
        <v>2.64</v>
      </c>
      <c r="N2297">
        <v>1.4E-2</v>
      </c>
    </row>
    <row r="2298" spans="1:14" x14ac:dyDescent="0.25">
      <c r="A2298" t="s">
        <v>4253</v>
      </c>
      <c r="B2298" t="s">
        <v>4254</v>
      </c>
      <c r="C2298" s="1" t="str">
        <f>HYPERLINK("http://www.genecards.org/cgi-bin/carddisp.pl?gene=SKIV2L","GeneCards")</f>
        <v>GeneCards</v>
      </c>
      <c r="D2298" s="1" t="str">
        <f>HYPERLINK("http://genome-euro.ucsc.edu/cgi-bin/hgTracks?position=203727_at","UCSC")</f>
        <v>UCSC</v>
      </c>
      <c r="E2298" s="1" t="str">
        <f>HYPERLINK("http://www.ncbi.nlm.nih.gov/gene/?term=SKIV2L","NCBI")</f>
        <v>NCBI</v>
      </c>
      <c r="F2298">
        <v>9.5999999999999992E-3</v>
      </c>
      <c r="G2298">
        <v>7.0999999999999994E-2</v>
      </c>
      <c r="H2298" s="1" t="str">
        <f>HYPERLINK("http://www.weizmann.ac.il/complex/compphys/software/geview/data/figures/203727_at.png","Figure")</f>
        <v>Figure</v>
      </c>
      <c r="I2298">
        <v>1.51</v>
      </c>
      <c r="J2298">
        <v>7.3000000000000001E-3</v>
      </c>
      <c r="K2298">
        <v>1.19</v>
      </c>
      <c r="L2298">
        <v>0.23</v>
      </c>
      <c r="M2298">
        <v>0.78400000000000003</v>
      </c>
      <c r="N2298">
        <v>8.8999999999999996E-2</v>
      </c>
    </row>
    <row r="2299" spans="1:14" x14ac:dyDescent="0.25">
      <c r="A2299" t="s">
        <v>4255</v>
      </c>
      <c r="B2299" t="s">
        <v>4256</v>
      </c>
      <c r="C2299" s="1" t="str">
        <f>HYPERLINK("http://www.genecards.org/cgi-bin/carddisp.pl?gene=CD151","GeneCards")</f>
        <v>GeneCards</v>
      </c>
      <c r="D2299" s="1" t="str">
        <f>HYPERLINK("http://genome-euro.ucsc.edu/cgi-bin/hgTracks?position=204306_s_at","UCSC")</f>
        <v>UCSC</v>
      </c>
      <c r="E2299" s="1" t="str">
        <f>HYPERLINK("http://www.ncbi.nlm.nih.gov/gene/?term=CD151","NCBI")</f>
        <v>NCBI</v>
      </c>
      <c r="F2299">
        <v>9.5999999999999992E-3</v>
      </c>
      <c r="G2299">
        <v>7.0999999999999994E-2</v>
      </c>
      <c r="H2299" s="1" t="str">
        <f>HYPERLINK("http://www.weizmann.ac.il/complex/compphys/software/geview/data/figures/204306_s_at.png","Figure")</f>
        <v>Figure</v>
      </c>
      <c r="I2299">
        <v>1.24</v>
      </c>
      <c r="J2299">
        <v>8.6E-3</v>
      </c>
      <c r="K2299">
        <v>1.1399999999999999</v>
      </c>
      <c r="L2299">
        <v>0.06</v>
      </c>
      <c r="M2299">
        <v>0.92</v>
      </c>
      <c r="N2299">
        <v>0.34</v>
      </c>
    </row>
    <row r="2300" spans="1:14" x14ac:dyDescent="0.25">
      <c r="A2300" t="s">
        <v>4257</v>
      </c>
      <c r="B2300" t="s">
        <v>4258</v>
      </c>
      <c r="C2300" s="1" t="str">
        <f>HYPERLINK("http://www.genecards.org/cgi-bin/carddisp.pl?gene=SOX11","GeneCards")</f>
        <v>GeneCards</v>
      </c>
      <c r="D2300" s="1" t="str">
        <f>HYPERLINK("http://genome-euro.ucsc.edu/cgi-bin/hgTracks?position=204914_s_at","UCSC")</f>
        <v>UCSC</v>
      </c>
      <c r="E2300" s="1" t="str">
        <f>HYPERLINK("http://www.ncbi.nlm.nih.gov/gene/?term=SOX11","NCBI")</f>
        <v>NCBI</v>
      </c>
      <c r="F2300">
        <v>9.5999999999999992E-3</v>
      </c>
      <c r="G2300">
        <v>7.0999999999999994E-2</v>
      </c>
      <c r="H2300" s="1" t="str">
        <f>HYPERLINK("http://www.weizmann.ac.il/complex/compphys/software/geview/data/figures/204914_s_at.png","Figure")</f>
        <v>Figure</v>
      </c>
      <c r="I2300">
        <v>6.37</v>
      </c>
      <c r="J2300">
        <v>2.3E-2</v>
      </c>
      <c r="K2300">
        <v>0.91100000000000003</v>
      </c>
      <c r="L2300">
        <v>0.98</v>
      </c>
      <c r="M2300">
        <v>0.14299999999999999</v>
      </c>
      <c r="N2300">
        <v>1.0999999999999999E-2</v>
      </c>
    </row>
    <row r="2301" spans="1:14" x14ac:dyDescent="0.25">
      <c r="A2301" t="s">
        <v>4259</v>
      </c>
      <c r="B2301" t="s">
        <v>4260</v>
      </c>
      <c r="C2301" s="1" t="str">
        <f>HYPERLINK("http://www.genecards.org/cgi-bin/carddisp.pl?gene=CTCFL /// HMGB1 /// HMGB1L1","GeneCards")</f>
        <v>GeneCards</v>
      </c>
      <c r="D2301" s="1" t="str">
        <f>HYPERLINK("http://genome-euro.ucsc.edu/cgi-bin/hgTracks?position=216508_x_at","UCSC")</f>
        <v>UCSC</v>
      </c>
      <c r="E2301" s="1" t="str">
        <f>HYPERLINK("http://www.ncbi.nlm.nih.gov/gene/?term=CTCFL /// HMGB1 /// HMGB1L1","NCBI")</f>
        <v>NCBI</v>
      </c>
      <c r="F2301">
        <v>9.5999999999999992E-3</v>
      </c>
      <c r="G2301">
        <v>7.0999999999999994E-2</v>
      </c>
      <c r="H2301" s="1" t="str">
        <f>HYPERLINK("http://www.weizmann.ac.il/complex/compphys/software/geview/data/figures/216508_x_at.png","Figure")</f>
        <v>Figure</v>
      </c>
      <c r="I2301">
        <v>1.64</v>
      </c>
      <c r="J2301">
        <v>1.4999999999999999E-2</v>
      </c>
      <c r="K2301">
        <v>1.51</v>
      </c>
      <c r="L2301">
        <v>2.1000000000000001E-2</v>
      </c>
      <c r="M2301">
        <v>0.92</v>
      </c>
      <c r="N2301">
        <v>0.83</v>
      </c>
    </row>
    <row r="2302" spans="1:14" x14ac:dyDescent="0.25">
      <c r="A2302" t="s">
        <v>4261</v>
      </c>
      <c r="B2302" t="s">
        <v>4262</v>
      </c>
      <c r="C2302" s="1" t="str">
        <f>HYPERLINK("http://www.genecards.org/cgi-bin/carddisp.pl?gene=OR7E37P","GeneCards")</f>
        <v>GeneCards</v>
      </c>
      <c r="D2302" s="1" t="str">
        <f>HYPERLINK("http://genome-euro.ucsc.edu/cgi-bin/hgTracks?position=217499_x_at","UCSC")</f>
        <v>UCSC</v>
      </c>
      <c r="E2302" s="1" t="str">
        <f>HYPERLINK("http://www.ncbi.nlm.nih.gov/gene/?term=OR7E37P","NCBI")</f>
        <v>NCBI</v>
      </c>
      <c r="F2302">
        <v>9.5999999999999992E-3</v>
      </c>
      <c r="G2302">
        <v>7.0999999999999994E-2</v>
      </c>
      <c r="H2302" s="1" t="str">
        <f>HYPERLINK("http://www.weizmann.ac.il/complex/compphys/software/geview/data/figures/217499_x_at.png","Figure")</f>
        <v>Figure</v>
      </c>
      <c r="I2302">
        <v>1.69</v>
      </c>
      <c r="J2302">
        <v>8.9999999999999993E-3</v>
      </c>
      <c r="K2302">
        <v>1.4</v>
      </c>
      <c r="L2302">
        <v>5.2999999999999999E-2</v>
      </c>
      <c r="M2302">
        <v>0.82799999999999996</v>
      </c>
      <c r="N2302">
        <v>0.38</v>
      </c>
    </row>
    <row r="2303" spans="1:14" x14ac:dyDescent="0.25">
      <c r="A2303" t="s">
        <v>4263</v>
      </c>
      <c r="B2303" t="s">
        <v>1314</v>
      </c>
      <c r="C2303" s="1" t="str">
        <f>HYPERLINK("http://www.genecards.org/cgi-bin/carddisp.pl?gene=AGFG1","GeneCards")</f>
        <v>GeneCards</v>
      </c>
      <c r="D2303" s="1" t="str">
        <f>HYPERLINK("http://genome-euro.ucsc.edu/cgi-bin/hgTracks?position=218092_s_at","UCSC")</f>
        <v>UCSC</v>
      </c>
      <c r="E2303" s="1" t="str">
        <f>HYPERLINK("http://www.ncbi.nlm.nih.gov/gene/?term=AGFG1","NCBI")</f>
        <v>NCBI</v>
      </c>
      <c r="F2303">
        <v>9.5999999999999992E-3</v>
      </c>
      <c r="G2303">
        <v>7.0999999999999994E-2</v>
      </c>
      <c r="H2303" s="1" t="str">
        <f>HYPERLINK("http://www.weizmann.ac.il/complex/compphys/software/geview/data/figures/218092_s_at.png","Figure")</f>
        <v>Figure</v>
      </c>
      <c r="I2303">
        <v>0.75700000000000001</v>
      </c>
      <c r="J2303">
        <v>0.33</v>
      </c>
      <c r="K2303">
        <v>0.55100000000000005</v>
      </c>
      <c r="L2303">
        <v>7.6E-3</v>
      </c>
      <c r="M2303">
        <v>0.72799999999999998</v>
      </c>
      <c r="N2303">
        <v>0.2</v>
      </c>
    </row>
    <row r="2304" spans="1:14" x14ac:dyDescent="0.25">
      <c r="A2304" t="s">
        <v>4264</v>
      </c>
      <c r="B2304" t="s">
        <v>4265</v>
      </c>
      <c r="C2304" s="1" t="str">
        <f>HYPERLINK("http://www.genecards.org/cgi-bin/carddisp.pl?gene=TBCD","GeneCards")</f>
        <v>GeneCards</v>
      </c>
      <c r="D2304" s="1" t="str">
        <f>HYPERLINK("http://genome-euro.ucsc.edu/cgi-bin/hgTracks?position=201759_at","UCSC")</f>
        <v>UCSC</v>
      </c>
      <c r="E2304" s="1" t="str">
        <f>HYPERLINK("http://www.ncbi.nlm.nih.gov/gene/?term=TBCD","NCBI")</f>
        <v>NCBI</v>
      </c>
      <c r="F2304">
        <v>9.5999999999999992E-3</v>
      </c>
      <c r="G2304">
        <v>7.0999999999999994E-2</v>
      </c>
      <c r="H2304" s="1" t="str">
        <f>HYPERLINK("http://www.weizmann.ac.il/complex/compphys/software/geview/data/figures/201759_at.png","Figure")</f>
        <v>Figure</v>
      </c>
      <c r="I2304">
        <v>1.1599999999999999</v>
      </c>
      <c r="J2304">
        <v>0.16</v>
      </c>
      <c r="K2304">
        <v>1.28</v>
      </c>
      <c r="L2304">
        <v>7.3000000000000001E-3</v>
      </c>
      <c r="M2304">
        <v>1.1000000000000001</v>
      </c>
      <c r="N2304">
        <v>0.4</v>
      </c>
    </row>
    <row r="2305" spans="1:14" x14ac:dyDescent="0.25">
      <c r="A2305" t="s">
        <v>4266</v>
      </c>
      <c r="B2305" t="s">
        <v>4267</v>
      </c>
      <c r="C2305" s="1" t="str">
        <f>HYPERLINK("http://www.genecards.org/cgi-bin/carddisp.pl?gene=CAP2","GeneCards")</f>
        <v>GeneCards</v>
      </c>
      <c r="D2305" s="1" t="str">
        <f>HYPERLINK("http://genome-euro.ucsc.edu/cgi-bin/hgTracks?position=212551_at","UCSC")</f>
        <v>UCSC</v>
      </c>
      <c r="E2305" s="1" t="str">
        <f>HYPERLINK("http://www.ncbi.nlm.nih.gov/gene/?term=CAP2","NCBI")</f>
        <v>NCBI</v>
      </c>
      <c r="F2305">
        <v>9.5999999999999992E-3</v>
      </c>
      <c r="G2305">
        <v>7.0999999999999994E-2</v>
      </c>
      <c r="H2305" s="1" t="str">
        <f>HYPERLINK("http://www.weizmann.ac.il/complex/compphys/software/geview/data/figures/212551_at.png","Figure")</f>
        <v>Figure</v>
      </c>
      <c r="I2305">
        <v>1.35</v>
      </c>
      <c r="J2305">
        <v>1.0999999999999999E-2</v>
      </c>
      <c r="K2305">
        <v>1.25</v>
      </c>
      <c r="L2305">
        <v>3.2000000000000001E-2</v>
      </c>
      <c r="M2305">
        <v>0.92200000000000004</v>
      </c>
      <c r="N2305">
        <v>0.6</v>
      </c>
    </row>
    <row r="2306" spans="1:14" x14ac:dyDescent="0.25">
      <c r="A2306" t="s">
        <v>4268</v>
      </c>
      <c r="B2306" t="s">
        <v>4269</v>
      </c>
      <c r="C2306" s="1" t="str">
        <f>HYPERLINK("http://www.genecards.org/cgi-bin/carddisp.pl?gene=SCAPER","GeneCards")</f>
        <v>GeneCards</v>
      </c>
      <c r="D2306" s="1" t="str">
        <f>HYPERLINK("http://genome-euro.ucsc.edu/cgi-bin/hgTracks?position=209741_x_at","UCSC")</f>
        <v>UCSC</v>
      </c>
      <c r="E2306" s="1" t="str">
        <f>HYPERLINK("http://www.ncbi.nlm.nih.gov/gene/?term=SCAPER","NCBI")</f>
        <v>NCBI</v>
      </c>
      <c r="F2306">
        <v>9.5999999999999992E-3</v>
      </c>
      <c r="G2306">
        <v>7.0999999999999994E-2</v>
      </c>
      <c r="H2306" s="1" t="str">
        <f>HYPERLINK("http://www.weizmann.ac.il/complex/compphys/software/geview/data/figures/209741_x_at.png","Figure")</f>
        <v>Figure</v>
      </c>
      <c r="I2306">
        <v>0.67500000000000004</v>
      </c>
      <c r="J2306">
        <v>8.0999999999999996E-3</v>
      </c>
      <c r="K2306">
        <v>0.79500000000000004</v>
      </c>
      <c r="L2306">
        <v>7.4999999999999997E-2</v>
      </c>
      <c r="M2306">
        <v>1.18</v>
      </c>
      <c r="N2306">
        <v>0.27</v>
      </c>
    </row>
    <row r="2307" spans="1:14" x14ac:dyDescent="0.25">
      <c r="A2307" t="s">
        <v>4270</v>
      </c>
      <c r="B2307" t="s">
        <v>2638</v>
      </c>
      <c r="C2307" s="1" t="str">
        <f>HYPERLINK("http://www.genecards.org/cgi-bin/carddisp.pl?gene=CAT","GeneCards")</f>
        <v>GeneCards</v>
      </c>
      <c r="D2307" s="1" t="str">
        <f>HYPERLINK("http://genome-euro.ucsc.edu/cgi-bin/hgTracks?position=201432_at","UCSC")</f>
        <v>UCSC</v>
      </c>
      <c r="E2307" s="1" t="str">
        <f>HYPERLINK("http://www.ncbi.nlm.nih.gov/gene/?term=CAT","NCBI")</f>
        <v>NCBI</v>
      </c>
      <c r="F2307">
        <v>9.5999999999999992E-3</v>
      </c>
      <c r="G2307">
        <v>7.0999999999999994E-2</v>
      </c>
      <c r="H2307" s="1" t="str">
        <f>HYPERLINK("http://www.weizmann.ac.il/complex/compphys/software/geview/data/figures/201432_at.png","Figure")</f>
        <v>Figure</v>
      </c>
      <c r="I2307">
        <v>1.47</v>
      </c>
      <c r="J2307">
        <v>0.28000000000000003</v>
      </c>
      <c r="K2307">
        <v>2.17</v>
      </c>
      <c r="L2307">
        <v>7.4999999999999997E-3</v>
      </c>
      <c r="M2307">
        <v>1.48</v>
      </c>
      <c r="N2307">
        <v>0.23</v>
      </c>
    </row>
    <row r="2308" spans="1:14" x14ac:dyDescent="0.25">
      <c r="A2308" t="s">
        <v>4271</v>
      </c>
      <c r="B2308" t="s">
        <v>4272</v>
      </c>
      <c r="C2308" s="1" t="str">
        <f>HYPERLINK("http://www.genecards.org/cgi-bin/carddisp.pl?gene=TH1L","GeneCards")</f>
        <v>GeneCards</v>
      </c>
      <c r="D2308" s="1" t="str">
        <f>HYPERLINK("http://genome-euro.ucsc.edu/cgi-bin/hgTracks?position=220607_x_at","UCSC")</f>
        <v>UCSC</v>
      </c>
      <c r="E2308" s="1" t="str">
        <f>HYPERLINK("http://www.ncbi.nlm.nih.gov/gene/?term=TH1L","NCBI")</f>
        <v>NCBI</v>
      </c>
      <c r="F2308">
        <v>9.5999999999999992E-3</v>
      </c>
      <c r="G2308">
        <v>7.0999999999999994E-2</v>
      </c>
      <c r="H2308" s="1" t="str">
        <f>HYPERLINK("http://www.weizmann.ac.il/complex/compphys/software/geview/data/figures/220607_x_at.png","Figure")</f>
        <v>Figure</v>
      </c>
      <c r="I2308">
        <v>1.1100000000000001</v>
      </c>
      <c r="J2308">
        <v>0.66</v>
      </c>
      <c r="K2308">
        <v>0.76900000000000002</v>
      </c>
      <c r="L2308">
        <v>5.0999999999999997E-2</v>
      </c>
      <c r="M2308">
        <v>0.69599999999999995</v>
      </c>
      <c r="N2308">
        <v>1.2E-2</v>
      </c>
    </row>
    <row r="2309" spans="1:14" x14ac:dyDescent="0.25">
      <c r="A2309" t="s">
        <v>4273</v>
      </c>
      <c r="B2309" t="s">
        <v>4274</v>
      </c>
      <c r="C2309" s="1" t="str">
        <f>HYPERLINK("http://www.genecards.org/cgi-bin/carddisp.pl?gene=HIPK1","GeneCards")</f>
        <v>GeneCards</v>
      </c>
      <c r="D2309" s="1" t="str">
        <f>HYPERLINK("http://genome-euro.ucsc.edu/cgi-bin/hgTracks?position=212293_at","UCSC")</f>
        <v>UCSC</v>
      </c>
      <c r="E2309" s="1" t="str">
        <f>HYPERLINK("http://www.ncbi.nlm.nih.gov/gene/?term=HIPK1","NCBI")</f>
        <v>NCBI</v>
      </c>
      <c r="F2309">
        <v>9.7000000000000003E-3</v>
      </c>
      <c r="G2309">
        <v>7.0999999999999994E-2</v>
      </c>
      <c r="H2309" s="1" t="str">
        <f>HYPERLINK("http://www.weizmann.ac.il/complex/compphys/software/geview/data/figures/212293_at.png","Figure")</f>
        <v>Figure</v>
      </c>
      <c r="I2309">
        <v>0.90500000000000003</v>
      </c>
      <c r="J2309">
        <v>0.93</v>
      </c>
      <c r="K2309">
        <v>0.45400000000000001</v>
      </c>
      <c r="L2309">
        <v>1.4E-2</v>
      </c>
      <c r="M2309">
        <v>0.502</v>
      </c>
      <c r="N2309">
        <v>4.2999999999999997E-2</v>
      </c>
    </row>
    <row r="2310" spans="1:14" x14ac:dyDescent="0.25">
      <c r="A2310" t="s">
        <v>4275</v>
      </c>
      <c r="B2310" t="s">
        <v>4276</v>
      </c>
      <c r="C2310" s="1" t="str">
        <f>HYPERLINK("http://www.genecards.org/cgi-bin/carddisp.pl?gene=NDC80","GeneCards")</f>
        <v>GeneCards</v>
      </c>
      <c r="D2310" s="1" t="str">
        <f>HYPERLINK("http://genome-euro.ucsc.edu/cgi-bin/hgTracks?position=204162_at","UCSC")</f>
        <v>UCSC</v>
      </c>
      <c r="E2310" s="1" t="str">
        <f>HYPERLINK("http://www.ncbi.nlm.nih.gov/gene/?term=NDC80","NCBI")</f>
        <v>NCBI</v>
      </c>
      <c r="F2310">
        <v>9.7000000000000003E-3</v>
      </c>
      <c r="G2310">
        <v>7.0999999999999994E-2</v>
      </c>
      <c r="H2310" s="1" t="str">
        <f>HYPERLINK("http://www.weizmann.ac.il/complex/compphys/software/geview/data/figures/204162_at.png","Figure")</f>
        <v>Figure</v>
      </c>
      <c r="I2310">
        <v>0.49399999999999999</v>
      </c>
      <c r="J2310">
        <v>3.5000000000000003E-2</v>
      </c>
      <c r="K2310">
        <v>1.1399999999999999</v>
      </c>
      <c r="L2310">
        <v>0.83</v>
      </c>
      <c r="M2310">
        <v>2.2999999999999998</v>
      </c>
      <c r="N2310">
        <v>8.8999999999999999E-3</v>
      </c>
    </row>
    <row r="2311" spans="1:14" x14ac:dyDescent="0.25">
      <c r="A2311" t="s">
        <v>4277</v>
      </c>
      <c r="B2311" t="s">
        <v>2037</v>
      </c>
      <c r="C2311" s="1" t="str">
        <f>HYPERLINK("http://www.genecards.org/cgi-bin/carddisp.pl?gene=EI24","GeneCards")</f>
        <v>GeneCards</v>
      </c>
      <c r="D2311" s="1" t="str">
        <f>HYPERLINK("http://genome-euro.ucsc.edu/cgi-bin/hgTracks?position=208289_s_at","UCSC")</f>
        <v>UCSC</v>
      </c>
      <c r="E2311" s="1" t="str">
        <f>HYPERLINK("http://www.ncbi.nlm.nih.gov/gene/?term=EI24","NCBI")</f>
        <v>NCBI</v>
      </c>
      <c r="F2311">
        <v>9.7000000000000003E-3</v>
      </c>
      <c r="G2311">
        <v>7.0999999999999994E-2</v>
      </c>
      <c r="H2311" s="1" t="str">
        <f>HYPERLINK("http://www.weizmann.ac.il/complex/compphys/software/geview/data/figures/208289_s_at.png","Figure")</f>
        <v>Figure</v>
      </c>
      <c r="I2311">
        <v>0.83799999999999997</v>
      </c>
      <c r="J2311">
        <v>0.27</v>
      </c>
      <c r="K2311">
        <v>0.70599999999999996</v>
      </c>
      <c r="L2311">
        <v>7.4999999999999997E-3</v>
      </c>
      <c r="M2311">
        <v>0.84199999999999997</v>
      </c>
      <c r="N2311">
        <v>0.25</v>
      </c>
    </row>
    <row r="2312" spans="1:14" x14ac:dyDescent="0.25">
      <c r="A2312" t="s">
        <v>4278</v>
      </c>
      <c r="B2312" t="s">
        <v>4112</v>
      </c>
      <c r="C2312" s="1" t="str">
        <f>HYPERLINK("http://www.genecards.org/cgi-bin/carddisp.pl?gene=C1QBP","GeneCards")</f>
        <v>GeneCards</v>
      </c>
      <c r="D2312" s="1" t="str">
        <f>HYPERLINK("http://genome-euro.ucsc.edu/cgi-bin/hgTracks?position=214214_s_at","UCSC")</f>
        <v>UCSC</v>
      </c>
      <c r="E2312" s="1" t="str">
        <f>HYPERLINK("http://www.ncbi.nlm.nih.gov/gene/?term=C1QBP","NCBI")</f>
        <v>NCBI</v>
      </c>
      <c r="F2312">
        <v>9.7000000000000003E-3</v>
      </c>
      <c r="G2312">
        <v>7.0999999999999994E-2</v>
      </c>
      <c r="H2312" s="1" t="str">
        <f>HYPERLINK("http://www.weizmann.ac.il/complex/compphys/software/geview/data/figures/214214_s_at.png","Figure")</f>
        <v>Figure</v>
      </c>
      <c r="I2312">
        <v>0.84799999999999998</v>
      </c>
      <c r="J2312">
        <v>0.86</v>
      </c>
      <c r="K2312">
        <v>2.2000000000000002</v>
      </c>
      <c r="L2312">
        <v>3.3000000000000002E-2</v>
      </c>
      <c r="M2312">
        <v>2.59</v>
      </c>
      <c r="N2312">
        <v>1.7000000000000001E-2</v>
      </c>
    </row>
    <row r="2313" spans="1:14" x14ac:dyDescent="0.25">
      <c r="A2313" t="s">
        <v>4279</v>
      </c>
      <c r="B2313" t="s">
        <v>4280</v>
      </c>
      <c r="C2313" s="1" t="str">
        <f>HYPERLINK("http://www.genecards.org/cgi-bin/carddisp.pl?gene=RBBP8","GeneCards")</f>
        <v>GeneCards</v>
      </c>
      <c r="D2313" s="1" t="str">
        <f>HYPERLINK("http://genome-euro.ucsc.edu/cgi-bin/hgTracks?position=203344_s_at","UCSC")</f>
        <v>UCSC</v>
      </c>
      <c r="E2313" s="1" t="str">
        <f>HYPERLINK("http://www.ncbi.nlm.nih.gov/gene/?term=RBBP8","NCBI")</f>
        <v>NCBI</v>
      </c>
      <c r="F2313">
        <v>9.7000000000000003E-3</v>
      </c>
      <c r="G2313">
        <v>7.0999999999999994E-2</v>
      </c>
      <c r="H2313" s="1" t="str">
        <f>HYPERLINK("http://www.weizmann.ac.il/complex/compphys/software/geview/data/figures/203344_s_at.png","Figure")</f>
        <v>Figure</v>
      </c>
      <c r="I2313">
        <v>0.83799999999999997</v>
      </c>
      <c r="J2313">
        <v>0.72</v>
      </c>
      <c r="K2313">
        <v>1.69</v>
      </c>
      <c r="L2313">
        <v>4.5999999999999999E-2</v>
      </c>
      <c r="M2313">
        <v>2.02</v>
      </c>
      <c r="N2313">
        <v>1.2999999999999999E-2</v>
      </c>
    </row>
    <row r="2314" spans="1:14" x14ac:dyDescent="0.25">
      <c r="A2314" t="s">
        <v>4281</v>
      </c>
      <c r="B2314" t="s">
        <v>4282</v>
      </c>
      <c r="C2314" s="1" t="str">
        <f>HYPERLINK("http://www.genecards.org/cgi-bin/carddisp.pl?gene=ITGAX","GeneCards")</f>
        <v>GeneCards</v>
      </c>
      <c r="D2314" s="1" t="str">
        <f>HYPERLINK("http://genome-euro.ucsc.edu/cgi-bin/hgTracks?position=210184_at","UCSC")</f>
        <v>UCSC</v>
      </c>
      <c r="E2314" s="1" t="str">
        <f>HYPERLINK("http://www.ncbi.nlm.nih.gov/gene/?term=ITGAX","NCBI")</f>
        <v>NCBI</v>
      </c>
      <c r="F2314">
        <v>9.7000000000000003E-3</v>
      </c>
      <c r="G2314">
        <v>7.0999999999999994E-2</v>
      </c>
      <c r="H2314" s="1" t="str">
        <f>HYPERLINK("http://www.weizmann.ac.il/complex/compphys/software/geview/data/figures/210184_at.png","Figure")</f>
        <v>Figure</v>
      </c>
      <c r="I2314">
        <v>1.21</v>
      </c>
      <c r="J2314">
        <v>4.8000000000000001E-2</v>
      </c>
      <c r="K2314">
        <v>0.94899999999999995</v>
      </c>
      <c r="L2314">
        <v>0.69</v>
      </c>
      <c r="M2314">
        <v>0.78400000000000003</v>
      </c>
      <c r="N2314">
        <v>8.0999999999999996E-3</v>
      </c>
    </row>
    <row r="2315" spans="1:14" x14ac:dyDescent="0.25">
      <c r="A2315" t="s">
        <v>4283</v>
      </c>
      <c r="B2315" t="s">
        <v>4284</v>
      </c>
      <c r="C2315" s="1" t="str">
        <f>HYPERLINK("http://www.genecards.org/cgi-bin/carddisp.pl?gene=PTPN12","GeneCards")</f>
        <v>GeneCards</v>
      </c>
      <c r="D2315" s="1" t="str">
        <f>HYPERLINK("http://genome-euro.ucsc.edu/cgi-bin/hgTracks?position=202006_at","UCSC")</f>
        <v>UCSC</v>
      </c>
      <c r="E2315" s="1" t="str">
        <f>HYPERLINK("http://www.ncbi.nlm.nih.gov/gene/?term=PTPN12","NCBI")</f>
        <v>NCBI</v>
      </c>
      <c r="F2315">
        <v>9.7000000000000003E-3</v>
      </c>
      <c r="G2315">
        <v>7.0999999999999994E-2</v>
      </c>
      <c r="H2315" s="1" t="str">
        <f>HYPERLINK("http://www.weizmann.ac.il/complex/compphys/software/geview/data/figures/202006_at.png","Figure")</f>
        <v>Figure</v>
      </c>
      <c r="I2315">
        <v>0.47899999999999998</v>
      </c>
      <c r="J2315">
        <v>7.0999999999999994E-2</v>
      </c>
      <c r="K2315">
        <v>0.38700000000000001</v>
      </c>
      <c r="L2315">
        <v>8.3000000000000001E-3</v>
      </c>
      <c r="M2315">
        <v>0.80800000000000005</v>
      </c>
      <c r="N2315">
        <v>0.73</v>
      </c>
    </row>
    <row r="2316" spans="1:14" x14ac:dyDescent="0.25">
      <c r="A2316" t="s">
        <v>4285</v>
      </c>
      <c r="B2316" t="s">
        <v>1214</v>
      </c>
      <c r="C2316" s="1" t="str">
        <f>HYPERLINK("http://www.genecards.org/cgi-bin/carddisp.pl?gene=SOX4","GeneCards")</f>
        <v>GeneCards</v>
      </c>
      <c r="D2316" s="1" t="str">
        <f>HYPERLINK("http://genome-euro.ucsc.edu/cgi-bin/hgTracks?position=201417_at","UCSC")</f>
        <v>UCSC</v>
      </c>
      <c r="E2316" s="1" t="str">
        <f>HYPERLINK("http://www.ncbi.nlm.nih.gov/gene/?term=SOX4","NCBI")</f>
        <v>NCBI</v>
      </c>
      <c r="F2316">
        <v>9.7000000000000003E-3</v>
      </c>
      <c r="G2316">
        <v>7.1999999999999995E-2</v>
      </c>
      <c r="H2316" s="1" t="str">
        <f>HYPERLINK("http://www.weizmann.ac.il/complex/compphys/software/geview/data/figures/201417_at.png","Figure")</f>
        <v>Figure</v>
      </c>
      <c r="I2316">
        <v>0.95699999999999996</v>
      </c>
      <c r="J2316">
        <v>0.98</v>
      </c>
      <c r="K2316">
        <v>1.89</v>
      </c>
      <c r="L2316">
        <v>2.3E-2</v>
      </c>
      <c r="M2316">
        <v>1.98</v>
      </c>
      <c r="N2316">
        <v>2.3E-2</v>
      </c>
    </row>
    <row r="2317" spans="1:14" x14ac:dyDescent="0.25">
      <c r="A2317" t="s">
        <v>4286</v>
      </c>
      <c r="B2317" t="s">
        <v>4287</v>
      </c>
      <c r="C2317" s="1" t="str">
        <f>HYPERLINK("http://www.genecards.org/cgi-bin/carddisp.pl?gene=CDC42EP2","GeneCards")</f>
        <v>GeneCards</v>
      </c>
      <c r="D2317" s="1" t="str">
        <f>HYPERLINK("http://genome-euro.ucsc.edu/cgi-bin/hgTracks?position=214014_at","UCSC")</f>
        <v>UCSC</v>
      </c>
      <c r="E2317" s="1" t="str">
        <f>HYPERLINK("http://www.ncbi.nlm.nih.gov/gene/?term=CDC42EP2","NCBI")</f>
        <v>NCBI</v>
      </c>
      <c r="F2317">
        <v>9.7000000000000003E-3</v>
      </c>
      <c r="G2317">
        <v>7.1999999999999995E-2</v>
      </c>
      <c r="H2317" s="1" t="str">
        <f>HYPERLINK("http://www.weizmann.ac.il/complex/compphys/software/geview/data/figures/214014_at.png","Figure")</f>
        <v>Figure</v>
      </c>
      <c r="I2317">
        <v>1.1100000000000001</v>
      </c>
      <c r="J2317">
        <v>7.4999999999999997E-3</v>
      </c>
      <c r="K2317">
        <v>1.06</v>
      </c>
      <c r="L2317">
        <v>0.12</v>
      </c>
      <c r="M2317">
        <v>0.94899999999999995</v>
      </c>
      <c r="N2317">
        <v>0.17</v>
      </c>
    </row>
    <row r="2318" spans="1:14" x14ac:dyDescent="0.25">
      <c r="A2318" t="s">
        <v>4288</v>
      </c>
      <c r="B2318" t="s">
        <v>4289</v>
      </c>
      <c r="C2318" s="1" t="str">
        <f>HYPERLINK("http://www.genecards.org/cgi-bin/carddisp.pl?gene=PADI1","GeneCards")</f>
        <v>GeneCards</v>
      </c>
      <c r="D2318" s="1" t="str">
        <f>HYPERLINK("http://genome-euro.ucsc.edu/cgi-bin/hgTracks?position=220962_s_at","UCSC")</f>
        <v>UCSC</v>
      </c>
      <c r="E2318" s="1" t="str">
        <f>HYPERLINK("http://www.ncbi.nlm.nih.gov/gene/?term=PADI1","NCBI")</f>
        <v>NCBI</v>
      </c>
      <c r="F2318">
        <v>9.7999999999999997E-3</v>
      </c>
      <c r="G2318">
        <v>7.1999999999999995E-2</v>
      </c>
      <c r="H2318" s="1" t="str">
        <f>HYPERLINK("http://www.weizmann.ac.il/complex/compphys/software/geview/data/figures/220962_s_at.png","Figure")</f>
        <v>Figure</v>
      </c>
      <c r="I2318">
        <v>1.6</v>
      </c>
      <c r="J2318">
        <v>7.4000000000000003E-3</v>
      </c>
      <c r="K2318">
        <v>1.23</v>
      </c>
      <c r="L2318">
        <v>0.2</v>
      </c>
      <c r="M2318">
        <v>0.76600000000000001</v>
      </c>
      <c r="N2318">
        <v>0.1</v>
      </c>
    </row>
    <row r="2319" spans="1:14" x14ac:dyDescent="0.25">
      <c r="A2319" t="s">
        <v>4290</v>
      </c>
      <c r="B2319" t="s">
        <v>4291</v>
      </c>
      <c r="C2319" s="1" t="str">
        <f>HYPERLINK("http://www.genecards.org/cgi-bin/carddisp.pl?gene=DHFR","GeneCards")</f>
        <v>GeneCards</v>
      </c>
      <c r="D2319" s="1" t="str">
        <f>HYPERLINK("http://genome-euro.ucsc.edu/cgi-bin/hgTracks?position=48808_at","UCSC")</f>
        <v>UCSC</v>
      </c>
      <c r="E2319" s="1" t="str">
        <f>HYPERLINK("http://www.ncbi.nlm.nih.gov/gene/?term=DHFR","NCBI")</f>
        <v>NCBI</v>
      </c>
      <c r="F2319">
        <v>9.7999999999999997E-3</v>
      </c>
      <c r="G2319">
        <v>7.1999999999999995E-2</v>
      </c>
      <c r="H2319" s="1" t="str">
        <f>HYPERLINK("http://www.weizmann.ac.il/complex/compphys/software/geview/data/figures/48808_at.png","Figure")</f>
        <v>Figure</v>
      </c>
      <c r="I2319">
        <v>1.07</v>
      </c>
      <c r="J2319">
        <v>0.92</v>
      </c>
      <c r="K2319">
        <v>1.67</v>
      </c>
      <c r="L2319">
        <v>1.4E-2</v>
      </c>
      <c r="M2319">
        <v>1.55</v>
      </c>
      <c r="N2319">
        <v>4.4999999999999998E-2</v>
      </c>
    </row>
    <row r="2320" spans="1:14" x14ac:dyDescent="0.25">
      <c r="A2320" t="s">
        <v>4292</v>
      </c>
      <c r="B2320" t="s">
        <v>4293</v>
      </c>
      <c r="C2320" s="1" t="str">
        <f>HYPERLINK("http://www.genecards.org/cgi-bin/carddisp.pl?gene=TGIF1","GeneCards")</f>
        <v>GeneCards</v>
      </c>
      <c r="D2320" s="1" t="str">
        <f>HYPERLINK("http://genome-euro.ucsc.edu/cgi-bin/hgTracks?position=203313_s_at","UCSC")</f>
        <v>UCSC</v>
      </c>
      <c r="E2320" s="1" t="str">
        <f>HYPERLINK("http://www.ncbi.nlm.nih.gov/gene/?term=TGIF1","NCBI")</f>
        <v>NCBI</v>
      </c>
      <c r="F2320">
        <v>9.9000000000000008E-3</v>
      </c>
      <c r="G2320">
        <v>7.1999999999999995E-2</v>
      </c>
      <c r="H2320" s="1" t="str">
        <f>HYPERLINK("http://www.weizmann.ac.il/complex/compphys/software/geview/data/figures/203313_s_at.png","Figure")</f>
        <v>Figure</v>
      </c>
      <c r="I2320">
        <v>0.51800000000000002</v>
      </c>
      <c r="J2320">
        <v>1.7000000000000001E-2</v>
      </c>
      <c r="K2320">
        <v>0.57299999999999995</v>
      </c>
      <c r="L2320">
        <v>0.02</v>
      </c>
      <c r="M2320">
        <v>1.1100000000000001</v>
      </c>
      <c r="N2320">
        <v>0.86</v>
      </c>
    </row>
    <row r="2321" spans="1:14" x14ac:dyDescent="0.25">
      <c r="A2321" t="s">
        <v>4294</v>
      </c>
      <c r="B2321" t="s">
        <v>4295</v>
      </c>
      <c r="C2321" s="1" t="str">
        <f>HYPERLINK("http://www.genecards.org/cgi-bin/carddisp.pl?gene=MRPL48","GeneCards")</f>
        <v>GeneCards</v>
      </c>
      <c r="D2321" s="1" t="str">
        <f>HYPERLINK("http://genome-euro.ucsc.edu/cgi-bin/hgTracks?position=218281_at","UCSC")</f>
        <v>UCSC</v>
      </c>
      <c r="E2321" s="1" t="str">
        <f>HYPERLINK("http://www.ncbi.nlm.nih.gov/gene/?term=MRPL48","NCBI")</f>
        <v>NCBI</v>
      </c>
      <c r="F2321">
        <v>9.9000000000000008E-3</v>
      </c>
      <c r="G2321">
        <v>7.1999999999999995E-2</v>
      </c>
      <c r="H2321" s="1" t="str">
        <f>HYPERLINK("http://www.weizmann.ac.il/complex/compphys/software/geview/data/figures/218281_at.png","Figure")</f>
        <v>Figure</v>
      </c>
      <c r="I2321">
        <v>1.37</v>
      </c>
      <c r="J2321">
        <v>0.13</v>
      </c>
      <c r="K2321">
        <v>1.62</v>
      </c>
      <c r="L2321">
        <v>7.6E-3</v>
      </c>
      <c r="M2321">
        <v>1.18</v>
      </c>
      <c r="N2321">
        <v>0.49</v>
      </c>
    </row>
    <row r="2322" spans="1:14" x14ac:dyDescent="0.25">
      <c r="A2322" t="s">
        <v>4296</v>
      </c>
      <c r="B2322" t="s">
        <v>4297</v>
      </c>
      <c r="C2322" s="1" t="str">
        <f>HYPERLINK("http://www.genecards.org/cgi-bin/carddisp.pl?gene=HNRNPH2","GeneCards")</f>
        <v>GeneCards</v>
      </c>
      <c r="D2322" s="1" t="str">
        <f>HYPERLINK("http://genome-euro.ucsc.edu/cgi-bin/hgTracks?position=201132_at","UCSC")</f>
        <v>UCSC</v>
      </c>
      <c r="E2322" s="1" t="str">
        <f>HYPERLINK("http://www.ncbi.nlm.nih.gov/gene/?term=HNRNPH2","NCBI")</f>
        <v>NCBI</v>
      </c>
      <c r="F2322">
        <v>9.9000000000000008E-3</v>
      </c>
      <c r="G2322">
        <v>7.1999999999999995E-2</v>
      </c>
      <c r="H2322" s="1" t="str">
        <f>HYPERLINK("http://www.weizmann.ac.il/complex/compphys/software/geview/data/figures/201132_at.png","Figure")</f>
        <v>Figure</v>
      </c>
      <c r="I2322">
        <v>0.27800000000000002</v>
      </c>
      <c r="J2322">
        <v>7.4999999999999997E-3</v>
      </c>
      <c r="K2322">
        <v>0.59299999999999997</v>
      </c>
      <c r="L2322">
        <v>0.24</v>
      </c>
      <c r="M2322">
        <v>2.14</v>
      </c>
      <c r="N2322">
        <v>8.7999999999999995E-2</v>
      </c>
    </row>
    <row r="2323" spans="1:14" x14ac:dyDescent="0.25">
      <c r="A2323" t="s">
        <v>4298</v>
      </c>
      <c r="B2323" t="s">
        <v>4299</v>
      </c>
      <c r="C2323" s="1" t="str">
        <f>HYPERLINK("http://www.genecards.org/cgi-bin/carddisp.pl?gene=NGF","GeneCards")</f>
        <v>GeneCards</v>
      </c>
      <c r="D2323" s="1" t="str">
        <f>HYPERLINK("http://genome-euro.ucsc.edu/cgi-bin/hgTracks?position=206814_at","UCSC")</f>
        <v>UCSC</v>
      </c>
      <c r="E2323" s="1" t="str">
        <f>HYPERLINK("http://www.ncbi.nlm.nih.gov/gene/?term=NGF","NCBI")</f>
        <v>NCBI</v>
      </c>
      <c r="F2323">
        <v>9.9000000000000008E-3</v>
      </c>
      <c r="G2323">
        <v>7.1999999999999995E-2</v>
      </c>
      <c r="H2323" s="1" t="str">
        <f>HYPERLINK("http://www.weizmann.ac.il/complex/compphys/software/geview/data/figures/206814_at.png","Figure")</f>
        <v>Figure</v>
      </c>
      <c r="I2323">
        <v>1.22</v>
      </c>
      <c r="J2323">
        <v>1.7999999999999999E-2</v>
      </c>
      <c r="K2323">
        <v>1.19</v>
      </c>
      <c r="L2323">
        <v>1.9E-2</v>
      </c>
      <c r="M2323">
        <v>0.97199999999999998</v>
      </c>
      <c r="N2323">
        <v>0.88</v>
      </c>
    </row>
    <row r="2324" spans="1:14" x14ac:dyDescent="0.25">
      <c r="A2324" t="s">
        <v>4300</v>
      </c>
      <c r="B2324" t="s">
        <v>4301</v>
      </c>
      <c r="C2324" s="1" t="str">
        <f>HYPERLINK("http://www.genecards.org/cgi-bin/carddisp.pl?gene=RNPEPL1","GeneCards")</f>
        <v>GeneCards</v>
      </c>
      <c r="D2324" s="1" t="str">
        <f>HYPERLINK("http://genome-euro.ucsc.edu/cgi-bin/hgTracks?position=218301_at","UCSC")</f>
        <v>UCSC</v>
      </c>
      <c r="E2324" s="1" t="str">
        <f>HYPERLINK("http://www.ncbi.nlm.nih.gov/gene/?term=RNPEPL1","NCBI")</f>
        <v>NCBI</v>
      </c>
      <c r="F2324">
        <v>9.9000000000000008E-3</v>
      </c>
      <c r="G2324">
        <v>7.1999999999999995E-2</v>
      </c>
      <c r="H2324" s="1" t="str">
        <f>HYPERLINK("http://www.weizmann.ac.il/complex/compphys/software/geview/data/figures/218301_at.png","Figure")</f>
        <v>Figure</v>
      </c>
      <c r="I2324">
        <v>1.38</v>
      </c>
      <c r="J2324">
        <v>7.4999999999999997E-3</v>
      </c>
      <c r="K2324">
        <v>1.17</v>
      </c>
      <c r="L2324">
        <v>0.16</v>
      </c>
      <c r="M2324">
        <v>0.84199999999999997</v>
      </c>
      <c r="N2324">
        <v>0.13</v>
      </c>
    </row>
    <row r="2325" spans="1:14" x14ac:dyDescent="0.25">
      <c r="A2325" t="s">
        <v>4302</v>
      </c>
      <c r="B2325" t="s">
        <v>4303</v>
      </c>
      <c r="C2325" s="1" t="str">
        <f>HYPERLINK("http://www.genecards.org/cgi-bin/carddisp.pl?gene=FAM46A","GeneCards")</f>
        <v>GeneCards</v>
      </c>
      <c r="D2325" s="1" t="str">
        <f>HYPERLINK("http://genome-euro.ucsc.edu/cgi-bin/hgTracks?position=221766_s_at","UCSC")</f>
        <v>UCSC</v>
      </c>
      <c r="E2325" s="1" t="str">
        <f>HYPERLINK("http://www.ncbi.nlm.nih.gov/gene/?term=FAM46A","NCBI")</f>
        <v>NCBI</v>
      </c>
      <c r="F2325">
        <v>9.9000000000000008E-3</v>
      </c>
      <c r="G2325">
        <v>7.1999999999999995E-2</v>
      </c>
      <c r="H2325" s="1" t="str">
        <f>HYPERLINK("http://www.weizmann.ac.il/complex/compphys/software/geview/data/figures/221766_s_at.png","Figure")</f>
        <v>Figure</v>
      </c>
      <c r="I2325">
        <v>1.1499999999999999</v>
      </c>
      <c r="J2325">
        <v>0.43</v>
      </c>
      <c r="K2325">
        <v>0.79800000000000004</v>
      </c>
      <c r="L2325">
        <v>0.09</v>
      </c>
      <c r="M2325">
        <v>0.69199999999999995</v>
      </c>
      <c r="N2325">
        <v>9.7999999999999997E-3</v>
      </c>
    </row>
    <row r="2326" spans="1:14" x14ac:dyDescent="0.25">
      <c r="A2326" t="s">
        <v>4304</v>
      </c>
      <c r="B2326" t="s">
        <v>4305</v>
      </c>
      <c r="C2326" s="1" t="str">
        <f>HYPERLINK("http://www.genecards.org/cgi-bin/carddisp.pl?gene=CCNT2","GeneCards")</f>
        <v>GeneCards</v>
      </c>
      <c r="D2326" s="1" t="str">
        <f>HYPERLINK("http://genome-euro.ucsc.edu/cgi-bin/hgTracks?position=204645_at","UCSC")</f>
        <v>UCSC</v>
      </c>
      <c r="E2326" s="1" t="str">
        <f>HYPERLINK("http://www.ncbi.nlm.nih.gov/gene/?term=CCNT2","NCBI")</f>
        <v>NCBI</v>
      </c>
      <c r="F2326">
        <v>9.9000000000000008E-3</v>
      </c>
      <c r="G2326">
        <v>7.1999999999999995E-2</v>
      </c>
      <c r="H2326" s="1" t="str">
        <f>HYPERLINK("http://www.weizmann.ac.il/complex/compphys/software/geview/data/figures/204645_at.png","Figure")</f>
        <v>Figure</v>
      </c>
      <c r="I2326">
        <v>0.48199999999999998</v>
      </c>
      <c r="J2326">
        <v>9.5000000000000001E-2</v>
      </c>
      <c r="K2326">
        <v>0.36199999999999999</v>
      </c>
      <c r="L2326">
        <v>8.0000000000000002E-3</v>
      </c>
      <c r="M2326">
        <v>0.751</v>
      </c>
      <c r="N2326">
        <v>0.62</v>
      </c>
    </row>
    <row r="2327" spans="1:14" x14ac:dyDescent="0.25">
      <c r="A2327" t="s">
        <v>4306</v>
      </c>
      <c r="B2327" t="s">
        <v>4307</v>
      </c>
      <c r="C2327" s="1" t="str">
        <f>HYPERLINK("http://www.genecards.org/cgi-bin/carddisp.pl?gene=BAIAP2","GeneCards")</f>
        <v>GeneCards</v>
      </c>
      <c r="D2327" s="1" t="str">
        <f>HYPERLINK("http://genome-euro.ucsc.edu/cgi-bin/hgTracks?position=209502_s_at","UCSC")</f>
        <v>UCSC</v>
      </c>
      <c r="E2327" s="1" t="str">
        <f>HYPERLINK("http://www.ncbi.nlm.nih.gov/gene/?term=BAIAP2","NCBI")</f>
        <v>NCBI</v>
      </c>
      <c r="F2327">
        <v>9.9000000000000008E-3</v>
      </c>
      <c r="G2327">
        <v>7.1999999999999995E-2</v>
      </c>
      <c r="H2327" s="1" t="str">
        <f>HYPERLINK("http://www.weizmann.ac.il/complex/compphys/software/geview/data/figures/209502_s_at.png","Figure")</f>
        <v>Figure</v>
      </c>
      <c r="I2327">
        <v>1.39</v>
      </c>
      <c r="J2327">
        <v>1.0999999999999999E-2</v>
      </c>
      <c r="K2327">
        <v>1.07</v>
      </c>
      <c r="L2327">
        <v>0.72</v>
      </c>
      <c r="M2327">
        <v>0.76500000000000001</v>
      </c>
      <c r="N2327">
        <v>2.5999999999999999E-2</v>
      </c>
    </row>
    <row r="2328" spans="1:14" x14ac:dyDescent="0.25">
      <c r="A2328" t="s">
        <v>4308</v>
      </c>
      <c r="B2328" t="s">
        <v>4309</v>
      </c>
      <c r="C2328" s="1" t="str">
        <f>HYPERLINK("http://www.genecards.org/cgi-bin/carddisp.pl?gene=ATP10D","GeneCards")</f>
        <v>GeneCards</v>
      </c>
      <c r="D2328" s="1" t="str">
        <f>HYPERLINK("http://genome-euro.ucsc.edu/cgi-bin/hgTracks?position=213238_at","UCSC")</f>
        <v>UCSC</v>
      </c>
      <c r="E2328" s="1" t="str">
        <f>HYPERLINK("http://www.ncbi.nlm.nih.gov/gene/?term=ATP10D","NCBI")</f>
        <v>NCBI</v>
      </c>
      <c r="F2328">
        <v>9.9000000000000008E-3</v>
      </c>
      <c r="G2328">
        <v>7.1999999999999995E-2</v>
      </c>
      <c r="H2328" s="1" t="str">
        <f>HYPERLINK("http://www.weizmann.ac.il/complex/compphys/software/geview/data/figures/213238_at.png","Figure")</f>
        <v>Figure</v>
      </c>
      <c r="I2328">
        <v>0.78200000000000003</v>
      </c>
      <c r="J2328">
        <v>0.77</v>
      </c>
      <c r="K2328">
        <v>2.33</v>
      </c>
      <c r="L2328">
        <v>4.2000000000000003E-2</v>
      </c>
      <c r="M2328">
        <v>2.98</v>
      </c>
      <c r="N2328">
        <v>1.4999999999999999E-2</v>
      </c>
    </row>
    <row r="2329" spans="1:14" x14ac:dyDescent="0.25">
      <c r="A2329" t="s">
        <v>4310</v>
      </c>
      <c r="B2329" t="s">
        <v>4311</v>
      </c>
      <c r="C2329" s="1" t="str">
        <f>HYPERLINK("http://www.genecards.org/cgi-bin/carddisp.pl?gene=UCP3","GeneCards")</f>
        <v>GeneCards</v>
      </c>
      <c r="D2329" s="1" t="str">
        <f>HYPERLINK("http://genome-euro.ucsc.edu/cgi-bin/hgTracks?position=219827_at","UCSC")</f>
        <v>UCSC</v>
      </c>
      <c r="E2329" s="1" t="str">
        <f>HYPERLINK("http://www.ncbi.nlm.nih.gov/gene/?term=UCP3","NCBI")</f>
        <v>NCBI</v>
      </c>
      <c r="F2329">
        <v>9.9000000000000008E-3</v>
      </c>
      <c r="G2329">
        <v>7.1999999999999995E-2</v>
      </c>
      <c r="H2329" s="1" t="str">
        <f>HYPERLINK("http://www.weizmann.ac.il/complex/compphys/software/geview/data/figures/219827_at.png","Figure")</f>
        <v>Figure</v>
      </c>
      <c r="I2329">
        <v>1.36</v>
      </c>
      <c r="J2329">
        <v>1.0999999999999999E-2</v>
      </c>
      <c r="K2329">
        <v>1.24</v>
      </c>
      <c r="L2329">
        <v>3.5999999999999997E-2</v>
      </c>
      <c r="M2329">
        <v>0.91600000000000004</v>
      </c>
      <c r="N2329">
        <v>0.55000000000000004</v>
      </c>
    </row>
    <row r="2330" spans="1:14" x14ac:dyDescent="0.25">
      <c r="A2330" t="s">
        <v>4312</v>
      </c>
      <c r="B2330" t="s">
        <v>4313</v>
      </c>
      <c r="C2330" s="1" t="str">
        <f>HYPERLINK("http://www.genecards.org/cgi-bin/carddisp.pl?gene=CTNNA3","GeneCards")</f>
        <v>GeneCards</v>
      </c>
      <c r="D2330" s="1" t="str">
        <f>HYPERLINK("http://genome-euro.ucsc.edu/cgi-bin/hgTracks?position=220815_at","UCSC")</f>
        <v>UCSC</v>
      </c>
      <c r="E2330" s="1" t="str">
        <f>HYPERLINK("http://www.ncbi.nlm.nih.gov/gene/?term=CTNNA3","NCBI")</f>
        <v>NCBI</v>
      </c>
      <c r="F2330">
        <v>9.9000000000000008E-3</v>
      </c>
      <c r="G2330">
        <v>7.1999999999999995E-2</v>
      </c>
      <c r="H2330" s="1" t="str">
        <f>HYPERLINK("http://www.weizmann.ac.il/complex/compphys/software/geview/data/figures/220815_at.png","Figure")</f>
        <v>Figure</v>
      </c>
      <c r="I2330">
        <v>1.24</v>
      </c>
      <c r="J2330">
        <v>1.0999999999999999E-2</v>
      </c>
      <c r="K2330">
        <v>1.1599999999999999</v>
      </c>
      <c r="L2330">
        <v>3.6999999999999998E-2</v>
      </c>
      <c r="M2330">
        <v>0.94</v>
      </c>
      <c r="N2330">
        <v>0.55000000000000004</v>
      </c>
    </row>
    <row r="2331" spans="1:14" x14ac:dyDescent="0.25">
      <c r="A2331" t="s">
        <v>4314</v>
      </c>
      <c r="B2331" t="s">
        <v>4315</v>
      </c>
      <c r="C2331" s="1" t="str">
        <f>HYPERLINK("http://www.genecards.org/cgi-bin/carddisp.pl?gene=SFRS4","GeneCards")</f>
        <v>GeneCards</v>
      </c>
      <c r="D2331" s="1" t="str">
        <f>HYPERLINK("http://genome-euro.ucsc.edu/cgi-bin/hgTracks?position=201696_at","UCSC")</f>
        <v>UCSC</v>
      </c>
      <c r="E2331" s="1" t="str">
        <f>HYPERLINK("http://www.ncbi.nlm.nih.gov/gene/?term=SFRS4","NCBI")</f>
        <v>NCBI</v>
      </c>
      <c r="F2331">
        <v>0.01</v>
      </c>
      <c r="G2331">
        <v>7.2999999999999995E-2</v>
      </c>
      <c r="H2331" s="1" t="str">
        <f>HYPERLINK("http://www.weizmann.ac.il/complex/compphys/software/geview/data/figures/201696_at.png","Figure")</f>
        <v>Figure</v>
      </c>
      <c r="I2331">
        <v>1.1000000000000001</v>
      </c>
      <c r="J2331">
        <v>0.85</v>
      </c>
      <c r="K2331">
        <v>0.66200000000000003</v>
      </c>
      <c r="L2331">
        <v>3.5000000000000003E-2</v>
      </c>
      <c r="M2331">
        <v>0.60399999999999998</v>
      </c>
      <c r="N2331">
        <v>1.7000000000000001E-2</v>
      </c>
    </row>
    <row r="2332" spans="1:14" x14ac:dyDescent="0.25">
      <c r="A2332" t="s">
        <v>4316</v>
      </c>
      <c r="B2332" t="s">
        <v>4317</v>
      </c>
      <c r="C2332" s="1" t="str">
        <f>HYPERLINK("http://www.genecards.org/cgi-bin/carddisp.pl?gene=YIF1A","GeneCards")</f>
        <v>GeneCards</v>
      </c>
      <c r="D2332" s="1" t="str">
        <f>HYPERLINK("http://genome-euro.ucsc.edu/cgi-bin/hgTracks?position=202418_at","UCSC")</f>
        <v>UCSC</v>
      </c>
      <c r="E2332" s="1" t="str">
        <f>HYPERLINK("http://www.ncbi.nlm.nih.gov/gene/?term=YIF1A","NCBI")</f>
        <v>NCBI</v>
      </c>
      <c r="F2332">
        <v>9.9000000000000008E-3</v>
      </c>
      <c r="G2332">
        <v>7.2999999999999995E-2</v>
      </c>
      <c r="H2332" s="1" t="str">
        <f>HYPERLINK("http://www.weizmann.ac.il/complex/compphys/software/geview/data/figures/202418_at.png","Figure")</f>
        <v>Figure</v>
      </c>
      <c r="I2332">
        <v>0.66300000000000003</v>
      </c>
      <c r="J2332">
        <v>3.4000000000000002E-2</v>
      </c>
      <c r="K2332">
        <v>1.07</v>
      </c>
      <c r="L2332">
        <v>0.86</v>
      </c>
      <c r="M2332">
        <v>1.61</v>
      </c>
      <c r="N2332">
        <v>9.4000000000000004E-3</v>
      </c>
    </row>
    <row r="2333" spans="1:14" x14ac:dyDescent="0.25">
      <c r="A2333" t="s">
        <v>4318</v>
      </c>
      <c r="B2333" t="s">
        <v>4319</v>
      </c>
      <c r="C2333" s="1" t="str">
        <f>HYPERLINK("http://www.genecards.org/cgi-bin/carddisp.pl?gene=TAGLN3","GeneCards")</f>
        <v>GeneCards</v>
      </c>
      <c r="D2333" s="1" t="str">
        <f>HYPERLINK("http://genome-euro.ucsc.edu/cgi-bin/hgTracks?position=204743_at","UCSC")</f>
        <v>UCSC</v>
      </c>
      <c r="E2333" s="1" t="str">
        <f>HYPERLINK("http://www.ncbi.nlm.nih.gov/gene/?term=TAGLN3","NCBI")</f>
        <v>NCBI</v>
      </c>
      <c r="F2333">
        <v>0.01</v>
      </c>
      <c r="G2333">
        <v>7.2999999999999995E-2</v>
      </c>
      <c r="H2333" s="1" t="str">
        <f>HYPERLINK("http://www.weizmann.ac.il/complex/compphys/software/geview/data/figures/204743_at.png","Figure")</f>
        <v>Figure</v>
      </c>
      <c r="I2333">
        <v>1.32</v>
      </c>
      <c r="J2333">
        <v>8.2000000000000003E-2</v>
      </c>
      <c r="K2333">
        <v>0.88300000000000001</v>
      </c>
      <c r="L2333">
        <v>0.47</v>
      </c>
      <c r="M2333">
        <v>0.66900000000000004</v>
      </c>
      <c r="N2333">
        <v>7.6E-3</v>
      </c>
    </row>
    <row r="2334" spans="1:14" x14ac:dyDescent="0.25">
      <c r="A2334" t="s">
        <v>4320</v>
      </c>
      <c r="B2334" t="s">
        <v>4321</v>
      </c>
      <c r="C2334" s="1" t="str">
        <f>HYPERLINK("http://www.genecards.org/cgi-bin/carddisp.pl?gene=MLLT3","GeneCards")</f>
        <v>GeneCards</v>
      </c>
      <c r="D2334" s="1" t="str">
        <f>HYPERLINK("http://genome-euro.ucsc.edu/cgi-bin/hgTracks?position=204917_s_at","UCSC")</f>
        <v>UCSC</v>
      </c>
      <c r="E2334" s="1" t="str">
        <f>HYPERLINK("http://www.ncbi.nlm.nih.gov/gene/?term=MLLT3","NCBI")</f>
        <v>NCBI</v>
      </c>
      <c r="F2334">
        <v>9.9000000000000008E-3</v>
      </c>
      <c r="G2334">
        <v>7.2999999999999995E-2</v>
      </c>
      <c r="H2334" s="1" t="str">
        <f>HYPERLINK("http://www.weizmann.ac.il/complex/compphys/software/geview/data/figures/204917_s_at.png","Figure")</f>
        <v>Figure</v>
      </c>
      <c r="I2334">
        <v>1.1599999999999999</v>
      </c>
      <c r="J2334">
        <v>0.32</v>
      </c>
      <c r="K2334">
        <v>0.83299999999999996</v>
      </c>
      <c r="L2334">
        <v>0.13</v>
      </c>
      <c r="M2334">
        <v>0.71699999999999997</v>
      </c>
      <c r="N2334">
        <v>8.6999999999999994E-3</v>
      </c>
    </row>
    <row r="2335" spans="1:14" x14ac:dyDescent="0.25">
      <c r="A2335" t="s">
        <v>4322</v>
      </c>
      <c r="B2335" t="s">
        <v>4323</v>
      </c>
      <c r="C2335" s="1" t="str">
        <f>HYPERLINK("http://www.genecards.org/cgi-bin/carddisp.pl?gene=OSBPL2","GeneCards")</f>
        <v>GeneCards</v>
      </c>
      <c r="D2335" s="1" t="str">
        <f>HYPERLINK("http://genome-euro.ucsc.edu/cgi-bin/hgTracks?position=209222_s_at","UCSC")</f>
        <v>UCSC</v>
      </c>
      <c r="E2335" s="1" t="str">
        <f>HYPERLINK("http://www.ncbi.nlm.nih.gov/gene/?term=OSBPL2","NCBI")</f>
        <v>NCBI</v>
      </c>
      <c r="F2335">
        <v>9.9000000000000008E-3</v>
      </c>
      <c r="G2335">
        <v>7.2999999999999995E-2</v>
      </c>
      <c r="H2335" s="1" t="str">
        <f>HYPERLINK("http://www.weizmann.ac.il/complex/compphys/software/geview/data/figures/209222_s_at.png","Figure")</f>
        <v>Figure</v>
      </c>
      <c r="I2335">
        <v>0.94299999999999995</v>
      </c>
      <c r="J2335">
        <v>0.92</v>
      </c>
      <c r="K2335">
        <v>0.65300000000000002</v>
      </c>
      <c r="L2335">
        <v>1.4E-2</v>
      </c>
      <c r="M2335">
        <v>0.69199999999999995</v>
      </c>
      <c r="N2335">
        <v>4.5999999999999999E-2</v>
      </c>
    </row>
    <row r="2336" spans="1:14" x14ac:dyDescent="0.25">
      <c r="A2336" t="s">
        <v>4324</v>
      </c>
      <c r="B2336" t="s">
        <v>4325</v>
      </c>
      <c r="C2336" s="1" t="str">
        <f>HYPERLINK("http://www.genecards.org/cgi-bin/carddisp.pl?gene=PXDN","GeneCards")</f>
        <v>GeneCards</v>
      </c>
      <c r="D2336" s="1" t="str">
        <f>HYPERLINK("http://genome-euro.ucsc.edu/cgi-bin/hgTracks?position=212012_at","UCSC")</f>
        <v>UCSC</v>
      </c>
      <c r="E2336" s="1" t="str">
        <f>HYPERLINK("http://www.ncbi.nlm.nih.gov/gene/?term=PXDN","NCBI")</f>
        <v>NCBI</v>
      </c>
      <c r="F2336">
        <v>9.9000000000000008E-3</v>
      </c>
      <c r="G2336">
        <v>7.2999999999999995E-2</v>
      </c>
      <c r="H2336" s="1" t="str">
        <f>HYPERLINK("http://www.weizmann.ac.il/complex/compphys/software/geview/data/figures/212012_at.png","Figure")</f>
        <v>Figure</v>
      </c>
      <c r="I2336">
        <v>1.91</v>
      </c>
      <c r="J2336">
        <v>2.9000000000000001E-2</v>
      </c>
      <c r="K2336">
        <v>1.92</v>
      </c>
      <c r="L2336">
        <v>1.2999999999999999E-2</v>
      </c>
      <c r="M2336">
        <v>1</v>
      </c>
      <c r="N2336">
        <v>1</v>
      </c>
    </row>
    <row r="2337" spans="1:14" x14ac:dyDescent="0.25">
      <c r="A2337" t="s">
        <v>4326</v>
      </c>
      <c r="B2337" t="s">
        <v>4327</v>
      </c>
      <c r="C2337" s="1" t="str">
        <f>HYPERLINK("http://www.genecards.org/cgi-bin/carddisp.pl?gene=MADD","GeneCards")</f>
        <v>GeneCards</v>
      </c>
      <c r="D2337" s="1" t="str">
        <f>HYPERLINK("http://genome-euro.ucsc.edu/cgi-bin/hgTracks?position=210252_s_at","UCSC")</f>
        <v>UCSC</v>
      </c>
      <c r="E2337" s="1" t="str">
        <f>HYPERLINK("http://www.ncbi.nlm.nih.gov/gene/?term=MADD","NCBI")</f>
        <v>NCBI</v>
      </c>
      <c r="F2337">
        <v>0.01</v>
      </c>
      <c r="G2337">
        <v>7.2999999999999995E-2</v>
      </c>
      <c r="H2337" s="1" t="str">
        <f>HYPERLINK("http://www.weizmann.ac.il/complex/compphys/software/geview/data/figures/210252_s_at.png","Figure")</f>
        <v>Figure</v>
      </c>
      <c r="I2337">
        <v>1.23</v>
      </c>
      <c r="J2337">
        <v>4.2999999999999997E-2</v>
      </c>
      <c r="K2337">
        <v>0.95399999999999996</v>
      </c>
      <c r="L2337">
        <v>0.76</v>
      </c>
      <c r="M2337">
        <v>0.77800000000000002</v>
      </c>
      <c r="N2337">
        <v>8.6E-3</v>
      </c>
    </row>
    <row r="2338" spans="1:14" x14ac:dyDescent="0.25">
      <c r="A2338" t="s">
        <v>4328</v>
      </c>
      <c r="B2338" t="s">
        <v>4329</v>
      </c>
      <c r="C2338" s="1" t="str">
        <f>HYPERLINK("http://www.genecards.org/cgi-bin/carddisp.pl?gene=CTSB","GeneCards")</f>
        <v>GeneCards</v>
      </c>
      <c r="D2338" s="1" t="str">
        <f>HYPERLINK("http://genome-euro.ucsc.edu/cgi-bin/hgTracks?position=213274_s_at","UCSC")</f>
        <v>UCSC</v>
      </c>
      <c r="E2338" s="1" t="str">
        <f>HYPERLINK("http://www.ncbi.nlm.nih.gov/gene/?term=CTSB","NCBI")</f>
        <v>NCBI</v>
      </c>
      <c r="F2338">
        <v>0.01</v>
      </c>
      <c r="G2338">
        <v>7.2999999999999995E-2</v>
      </c>
      <c r="H2338" s="1" t="str">
        <f>HYPERLINK("http://www.weizmann.ac.il/complex/compphys/software/geview/data/figures/213274_s_at.png","Figure")</f>
        <v>Figure</v>
      </c>
      <c r="I2338">
        <v>0.63500000000000001</v>
      </c>
      <c r="J2338">
        <v>1.2E-2</v>
      </c>
      <c r="K2338">
        <v>0.93300000000000005</v>
      </c>
      <c r="L2338">
        <v>0.83</v>
      </c>
      <c r="M2338">
        <v>1.47</v>
      </c>
      <c r="N2338">
        <v>2.1999999999999999E-2</v>
      </c>
    </row>
    <row r="2339" spans="1:14" x14ac:dyDescent="0.25">
      <c r="A2339" t="s">
        <v>4330</v>
      </c>
      <c r="B2339" t="s">
        <v>4331</v>
      </c>
      <c r="C2339" s="1" t="str">
        <f>HYPERLINK("http://www.genecards.org/cgi-bin/carddisp.pl?gene=HSP90AB1","GeneCards")</f>
        <v>GeneCards</v>
      </c>
      <c r="D2339" s="1" t="str">
        <f>HYPERLINK("http://genome-euro.ucsc.edu/cgi-bin/hgTracks?position=200064_at","UCSC")</f>
        <v>UCSC</v>
      </c>
      <c r="E2339" s="1" t="str">
        <f>HYPERLINK("http://www.ncbi.nlm.nih.gov/gene/?term=HSP90AB1","NCBI")</f>
        <v>NCBI</v>
      </c>
      <c r="F2339">
        <v>0.01</v>
      </c>
      <c r="G2339">
        <v>7.2999999999999995E-2</v>
      </c>
      <c r="H2339" s="1" t="str">
        <f>HYPERLINK("http://www.weizmann.ac.il/complex/compphys/software/geview/data/figures/200064_at.png","Figure")</f>
        <v>Figure</v>
      </c>
      <c r="I2339">
        <v>0.83299999999999996</v>
      </c>
      <c r="J2339">
        <v>0.71</v>
      </c>
      <c r="K2339">
        <v>1.71</v>
      </c>
      <c r="L2339">
        <v>4.7E-2</v>
      </c>
      <c r="M2339">
        <v>2.0499999999999998</v>
      </c>
      <c r="N2339">
        <v>1.4E-2</v>
      </c>
    </row>
    <row r="2340" spans="1:14" x14ac:dyDescent="0.25">
      <c r="A2340" t="s">
        <v>4332</v>
      </c>
      <c r="B2340" t="s">
        <v>4333</v>
      </c>
      <c r="C2340" s="1" t="str">
        <f>HYPERLINK("http://www.genecards.org/cgi-bin/carddisp.pl?gene=LRRN2","GeneCards")</f>
        <v>GeneCards</v>
      </c>
      <c r="D2340" s="1" t="str">
        <f>HYPERLINK("http://genome-euro.ucsc.edu/cgi-bin/hgTracks?position=205154_at","UCSC")</f>
        <v>UCSC</v>
      </c>
      <c r="E2340" s="1" t="str">
        <f>HYPERLINK("http://www.ncbi.nlm.nih.gov/gene/?term=LRRN2","NCBI")</f>
        <v>NCBI</v>
      </c>
      <c r="F2340">
        <v>0.01</v>
      </c>
      <c r="G2340">
        <v>7.2999999999999995E-2</v>
      </c>
      <c r="H2340" s="1" t="str">
        <f>HYPERLINK("http://www.weizmann.ac.il/complex/compphys/software/geview/data/figures/205154_at.png","Figure")</f>
        <v>Figure</v>
      </c>
      <c r="I2340">
        <v>1.1000000000000001</v>
      </c>
      <c r="J2340">
        <v>0.69</v>
      </c>
      <c r="K2340">
        <v>1.41</v>
      </c>
      <c r="L2340">
        <v>0.01</v>
      </c>
      <c r="M2340">
        <v>1.29</v>
      </c>
      <c r="N2340">
        <v>0.08</v>
      </c>
    </row>
    <row r="2341" spans="1:14" x14ac:dyDescent="0.25">
      <c r="A2341" t="s">
        <v>4334</v>
      </c>
      <c r="B2341" t="s">
        <v>4335</v>
      </c>
      <c r="C2341" s="1" t="str">
        <f>HYPERLINK("http://www.genecards.org/cgi-bin/carddisp.pl?gene=SLC5A3","GeneCards")</f>
        <v>GeneCards</v>
      </c>
      <c r="D2341" s="1" t="str">
        <f>HYPERLINK("http://genome-euro.ucsc.edu/cgi-bin/hgTracks?position=212944_at","UCSC")</f>
        <v>UCSC</v>
      </c>
      <c r="E2341" s="1" t="str">
        <f>HYPERLINK("http://www.ncbi.nlm.nih.gov/gene/?term=SLC5A3","NCBI")</f>
        <v>NCBI</v>
      </c>
      <c r="F2341">
        <v>0.01</v>
      </c>
      <c r="G2341">
        <v>7.2999999999999995E-2</v>
      </c>
      <c r="H2341" s="1" t="str">
        <f>HYPERLINK("http://www.weizmann.ac.il/complex/compphys/software/geview/data/figures/212944_at.png","Figure")</f>
        <v>Figure</v>
      </c>
      <c r="I2341">
        <v>0.28000000000000003</v>
      </c>
      <c r="J2341">
        <v>8.0999999999999996E-3</v>
      </c>
      <c r="K2341">
        <v>0.65400000000000003</v>
      </c>
      <c r="L2341">
        <v>0.38</v>
      </c>
      <c r="M2341">
        <v>2.33</v>
      </c>
      <c r="N2341">
        <v>5.6000000000000001E-2</v>
      </c>
    </row>
    <row r="2342" spans="1:14" x14ac:dyDescent="0.25">
      <c r="A2342" t="s">
        <v>4336</v>
      </c>
      <c r="B2342" t="s">
        <v>4337</v>
      </c>
      <c r="C2342" s="1" t="str">
        <f>HYPERLINK("http://www.genecards.org/cgi-bin/carddisp.pl?gene=MFSD11","GeneCards")</f>
        <v>GeneCards</v>
      </c>
      <c r="D2342" s="1" t="str">
        <f>HYPERLINK("http://genome-euro.ucsc.edu/cgi-bin/hgTracks?position=221192_x_at","UCSC")</f>
        <v>UCSC</v>
      </c>
      <c r="E2342" s="1" t="str">
        <f>HYPERLINK("http://www.ncbi.nlm.nih.gov/gene/?term=MFSD11","NCBI")</f>
        <v>NCBI</v>
      </c>
      <c r="F2342">
        <v>0.01</v>
      </c>
      <c r="G2342">
        <v>7.2999999999999995E-2</v>
      </c>
      <c r="H2342" s="1" t="str">
        <f>HYPERLINK("http://www.weizmann.ac.il/complex/compphys/software/geview/data/figures/221192_x_at.png","Figure")</f>
        <v>Figure</v>
      </c>
      <c r="I2342">
        <v>1.1100000000000001</v>
      </c>
      <c r="J2342">
        <v>0.66</v>
      </c>
      <c r="K2342">
        <v>0.75900000000000001</v>
      </c>
      <c r="L2342">
        <v>5.2999999999999999E-2</v>
      </c>
      <c r="M2342">
        <v>0.68200000000000005</v>
      </c>
      <c r="N2342">
        <v>1.2999999999999999E-2</v>
      </c>
    </row>
    <row r="2343" spans="1:14" x14ac:dyDescent="0.25">
      <c r="A2343" t="s">
        <v>4338</v>
      </c>
      <c r="B2343" t="s">
        <v>4339</v>
      </c>
      <c r="C2343" s="1" t="str">
        <f>HYPERLINK("http://www.genecards.org/cgi-bin/carddisp.pl?gene=DDR2","GeneCards")</f>
        <v>GeneCards</v>
      </c>
      <c r="D2343" s="1" t="str">
        <f>HYPERLINK("http://genome-euro.ucsc.edu/cgi-bin/hgTracks?position=205168_at","UCSC")</f>
        <v>UCSC</v>
      </c>
      <c r="E2343" s="1" t="str">
        <f>HYPERLINK("http://www.ncbi.nlm.nih.gov/gene/?term=DDR2","NCBI")</f>
        <v>NCBI</v>
      </c>
      <c r="F2343">
        <v>0.01</v>
      </c>
      <c r="G2343">
        <v>7.2999999999999995E-2</v>
      </c>
      <c r="H2343" s="1" t="str">
        <f>HYPERLINK("http://www.weizmann.ac.il/complex/compphys/software/geview/data/figures/205168_at.png","Figure")</f>
        <v>Figure</v>
      </c>
      <c r="I2343">
        <v>1.23</v>
      </c>
      <c r="J2343">
        <v>1.2E-2</v>
      </c>
      <c r="K2343">
        <v>1.03</v>
      </c>
      <c r="L2343">
        <v>0.83</v>
      </c>
      <c r="M2343">
        <v>0.83699999999999997</v>
      </c>
      <c r="N2343">
        <v>2.1999999999999999E-2</v>
      </c>
    </row>
    <row r="2344" spans="1:14" x14ac:dyDescent="0.25">
      <c r="A2344" t="s">
        <v>4340</v>
      </c>
      <c r="B2344" t="s">
        <v>4341</v>
      </c>
      <c r="C2344" s="1" t="str">
        <f>HYPERLINK("http://www.genecards.org/cgi-bin/carddisp.pl?gene=SP4","GeneCards")</f>
        <v>GeneCards</v>
      </c>
      <c r="D2344" s="1" t="str">
        <f>HYPERLINK("http://genome-euro.ucsc.edu/cgi-bin/hgTracks?position=206663_at","UCSC")</f>
        <v>UCSC</v>
      </c>
      <c r="E2344" s="1" t="str">
        <f>HYPERLINK("http://www.ncbi.nlm.nih.gov/gene/?term=SP4","NCBI")</f>
        <v>NCBI</v>
      </c>
      <c r="F2344">
        <v>0.01</v>
      </c>
      <c r="G2344">
        <v>7.2999999999999995E-2</v>
      </c>
      <c r="H2344" s="1" t="str">
        <f>HYPERLINK("http://www.weizmann.ac.il/complex/compphys/software/geview/data/figures/206663_at.png","Figure")</f>
        <v>Figure</v>
      </c>
      <c r="I2344">
        <v>2.23</v>
      </c>
      <c r="J2344">
        <v>1.4999999999999999E-2</v>
      </c>
      <c r="K2344">
        <v>1.9</v>
      </c>
      <c r="L2344">
        <v>2.4E-2</v>
      </c>
      <c r="M2344">
        <v>0.85299999999999998</v>
      </c>
      <c r="N2344">
        <v>0.76</v>
      </c>
    </row>
    <row r="2345" spans="1:14" x14ac:dyDescent="0.25">
      <c r="A2345" t="s">
        <v>4342</v>
      </c>
      <c r="B2345" t="s">
        <v>4343</v>
      </c>
      <c r="C2345" s="1" t="str">
        <f>HYPERLINK("http://www.genecards.org/cgi-bin/carddisp.pl?gene=EPAS1","GeneCards")</f>
        <v>GeneCards</v>
      </c>
      <c r="D2345" s="1" t="str">
        <f>HYPERLINK("http://genome-euro.ucsc.edu/cgi-bin/hgTracks?position=200878_at","UCSC")</f>
        <v>UCSC</v>
      </c>
      <c r="E2345" s="1" t="str">
        <f>HYPERLINK("http://www.ncbi.nlm.nih.gov/gene/?term=EPAS1","NCBI")</f>
        <v>NCBI</v>
      </c>
      <c r="F2345">
        <v>0.01</v>
      </c>
      <c r="G2345">
        <v>7.2999999999999995E-2</v>
      </c>
      <c r="H2345" s="1" t="str">
        <f>HYPERLINK("http://www.weizmann.ac.il/complex/compphys/software/geview/data/figures/200878_at.png","Figure")</f>
        <v>Figure</v>
      </c>
      <c r="I2345">
        <v>0.90700000000000003</v>
      </c>
      <c r="J2345">
        <v>0.93</v>
      </c>
      <c r="K2345">
        <v>1.98</v>
      </c>
      <c r="L2345">
        <v>2.9000000000000001E-2</v>
      </c>
      <c r="M2345">
        <v>2.1800000000000002</v>
      </c>
      <c r="N2345">
        <v>0.02</v>
      </c>
    </row>
    <row r="2346" spans="1:14" x14ac:dyDescent="0.25">
      <c r="A2346" t="s">
        <v>4344</v>
      </c>
      <c r="B2346" t="s">
        <v>4345</v>
      </c>
      <c r="C2346" s="1" t="str">
        <f>HYPERLINK("http://www.genecards.org/cgi-bin/carddisp.pl?gene=SP100","GeneCards")</f>
        <v>GeneCards</v>
      </c>
      <c r="D2346" s="1" t="str">
        <f>HYPERLINK("http://genome-euro.ucsc.edu/cgi-bin/hgTracks?position=202863_at","UCSC")</f>
        <v>UCSC</v>
      </c>
      <c r="E2346" s="1" t="str">
        <f>HYPERLINK("http://www.ncbi.nlm.nih.gov/gene/?term=SP100","NCBI")</f>
        <v>NCBI</v>
      </c>
      <c r="F2346">
        <v>0.01</v>
      </c>
      <c r="G2346">
        <v>7.2999999999999995E-2</v>
      </c>
      <c r="H2346" s="1" t="str">
        <f>HYPERLINK("http://www.weizmann.ac.il/complex/compphys/software/geview/data/figures/202863_at.png","Figure")</f>
        <v>Figure</v>
      </c>
      <c r="I2346">
        <v>0.65400000000000003</v>
      </c>
      <c r="J2346">
        <v>0.16</v>
      </c>
      <c r="K2346">
        <v>0.498</v>
      </c>
      <c r="L2346">
        <v>7.6E-3</v>
      </c>
      <c r="M2346">
        <v>0.76300000000000001</v>
      </c>
      <c r="N2346">
        <v>0.4</v>
      </c>
    </row>
    <row r="2347" spans="1:14" x14ac:dyDescent="0.25">
      <c r="A2347" t="s">
        <v>4346</v>
      </c>
      <c r="B2347" t="s">
        <v>2170</v>
      </c>
      <c r="C2347" s="1" t="str">
        <f>HYPERLINK("http://www.genecards.org/cgi-bin/carddisp.pl?gene=ELMO2","GeneCards")</f>
        <v>GeneCards</v>
      </c>
      <c r="D2347" s="1" t="str">
        <f>HYPERLINK("http://genome-euro.ucsc.edu/cgi-bin/hgTracks?position=220363_s_at","UCSC")</f>
        <v>UCSC</v>
      </c>
      <c r="E2347" s="1" t="str">
        <f>HYPERLINK("http://www.ncbi.nlm.nih.gov/gene/?term=ELMO2","NCBI")</f>
        <v>NCBI</v>
      </c>
      <c r="F2347">
        <v>0.01</v>
      </c>
      <c r="G2347">
        <v>7.2999999999999995E-2</v>
      </c>
      <c r="H2347" s="1" t="str">
        <f>HYPERLINK("http://www.weizmann.ac.il/complex/compphys/software/geview/data/figures/220363_s_at.png","Figure")</f>
        <v>Figure</v>
      </c>
      <c r="I2347">
        <v>1.1299999999999999</v>
      </c>
      <c r="J2347">
        <v>6.2E-2</v>
      </c>
      <c r="K2347">
        <v>0.96</v>
      </c>
      <c r="L2347">
        <v>0.59</v>
      </c>
      <c r="M2347">
        <v>0.85199999999999998</v>
      </c>
      <c r="N2347">
        <v>8.0000000000000002E-3</v>
      </c>
    </row>
    <row r="2348" spans="1:14" x14ac:dyDescent="0.25">
      <c r="A2348" t="s">
        <v>4347</v>
      </c>
      <c r="B2348" t="s">
        <v>4348</v>
      </c>
      <c r="C2348" s="1" t="str">
        <f>HYPERLINK("http://www.genecards.org/cgi-bin/carddisp.pl?gene=TM2D3","GeneCards")</f>
        <v>GeneCards</v>
      </c>
      <c r="D2348" s="1" t="str">
        <f>HYPERLINK("http://genome-euro.ucsc.edu/cgi-bin/hgTracks?position=221702_s_at","UCSC")</f>
        <v>UCSC</v>
      </c>
      <c r="E2348" s="1" t="str">
        <f>HYPERLINK("http://www.ncbi.nlm.nih.gov/gene/?term=TM2D3","NCBI")</f>
        <v>NCBI</v>
      </c>
      <c r="F2348">
        <v>0.01</v>
      </c>
      <c r="G2348">
        <v>7.2999999999999995E-2</v>
      </c>
      <c r="H2348" s="1" t="str">
        <f>HYPERLINK("http://www.weizmann.ac.il/complex/compphys/software/geview/data/figures/221702_s_at.png","Figure")</f>
        <v>Figure</v>
      </c>
      <c r="I2348">
        <v>0.625</v>
      </c>
      <c r="J2348">
        <v>4.2999999999999997E-2</v>
      </c>
      <c r="K2348">
        <v>0.59099999999999997</v>
      </c>
      <c r="L2348">
        <v>0.01</v>
      </c>
      <c r="M2348">
        <v>0.94499999999999995</v>
      </c>
      <c r="N2348">
        <v>0.94</v>
      </c>
    </row>
    <row r="2349" spans="1:14" x14ac:dyDescent="0.25">
      <c r="A2349" t="s">
        <v>4349</v>
      </c>
      <c r="B2349" t="s">
        <v>4350</v>
      </c>
      <c r="C2349" s="1" t="str">
        <f>HYPERLINK("http://www.genecards.org/cgi-bin/carddisp.pl?gene=CUGBP1","GeneCards")</f>
        <v>GeneCards</v>
      </c>
      <c r="D2349" s="1" t="str">
        <f>HYPERLINK("http://genome-euro.ucsc.edu/cgi-bin/hgTracks?position=221742_at","UCSC")</f>
        <v>UCSC</v>
      </c>
      <c r="E2349" s="1" t="str">
        <f>HYPERLINK("http://www.ncbi.nlm.nih.gov/gene/?term=CUGBP1","NCBI")</f>
        <v>NCBI</v>
      </c>
      <c r="F2349">
        <v>0.01</v>
      </c>
      <c r="G2349">
        <v>7.2999999999999995E-2</v>
      </c>
      <c r="H2349" s="1" t="str">
        <f>HYPERLINK("http://www.weizmann.ac.il/complex/compphys/software/geview/data/figures/221742_at.png","Figure")</f>
        <v>Figure</v>
      </c>
      <c r="I2349">
        <v>1.36</v>
      </c>
      <c r="J2349">
        <v>5.0999999999999997E-2</v>
      </c>
      <c r="K2349">
        <v>0.91800000000000004</v>
      </c>
      <c r="L2349">
        <v>0.68</v>
      </c>
      <c r="M2349">
        <v>0.67600000000000005</v>
      </c>
      <c r="N2349">
        <v>8.3000000000000001E-3</v>
      </c>
    </row>
    <row r="2350" spans="1:14" x14ac:dyDescent="0.25">
      <c r="A2350" t="s">
        <v>4351</v>
      </c>
      <c r="B2350" t="s">
        <v>1155</v>
      </c>
      <c r="C2350" s="1" t="str">
        <f>HYPERLINK("http://www.genecards.org/cgi-bin/carddisp.pl?gene=AKAP1","GeneCards")</f>
        <v>GeneCards</v>
      </c>
      <c r="D2350" s="1" t="str">
        <f>HYPERLINK("http://genome-euro.ucsc.edu/cgi-bin/hgTracks?position=201675_at","UCSC")</f>
        <v>UCSC</v>
      </c>
      <c r="E2350" s="1" t="str">
        <f>HYPERLINK("http://www.ncbi.nlm.nih.gov/gene/?term=AKAP1","NCBI")</f>
        <v>NCBI</v>
      </c>
      <c r="F2350">
        <v>0.01</v>
      </c>
      <c r="G2350">
        <v>7.2999999999999995E-2</v>
      </c>
      <c r="H2350" s="1" t="str">
        <f>HYPERLINK("http://www.weizmann.ac.il/complex/compphys/software/geview/data/figures/201675_at.png","Figure")</f>
        <v>Figure</v>
      </c>
      <c r="I2350">
        <v>0.96299999999999997</v>
      </c>
      <c r="J2350">
        <v>0.96</v>
      </c>
      <c r="K2350">
        <v>1.47</v>
      </c>
      <c r="L2350">
        <v>2.5000000000000001E-2</v>
      </c>
      <c r="M2350">
        <v>1.53</v>
      </c>
      <c r="N2350">
        <v>2.1999999999999999E-2</v>
      </c>
    </row>
    <row r="2351" spans="1:14" x14ac:dyDescent="0.25">
      <c r="A2351" t="s">
        <v>4352</v>
      </c>
      <c r="B2351" t="s">
        <v>4353</v>
      </c>
      <c r="C2351" s="1" t="str">
        <f>HYPERLINK("http://www.genecards.org/cgi-bin/carddisp.pl?gene=PTMAP7","GeneCards")</f>
        <v>GeneCards</v>
      </c>
      <c r="D2351" s="1" t="str">
        <f>HYPERLINK("http://genome-euro.ucsc.edu/cgi-bin/hgTracks?position=208549_x_at","UCSC")</f>
        <v>UCSC</v>
      </c>
      <c r="E2351" s="1" t="str">
        <f>HYPERLINK("http://www.ncbi.nlm.nih.gov/gene/?term=PTMAP7","NCBI")</f>
        <v>NCBI</v>
      </c>
      <c r="F2351">
        <v>0.01</v>
      </c>
      <c r="G2351">
        <v>7.2999999999999995E-2</v>
      </c>
      <c r="H2351" s="1" t="str">
        <f>HYPERLINK("http://www.weizmann.ac.il/complex/compphys/software/geview/data/figures/208549_x_at.png","Figure")</f>
        <v>Figure</v>
      </c>
      <c r="I2351">
        <v>1.49</v>
      </c>
      <c r="J2351">
        <v>2.1999999999999999E-2</v>
      </c>
      <c r="K2351">
        <v>1.44</v>
      </c>
      <c r="L2351">
        <v>1.6E-2</v>
      </c>
      <c r="M2351">
        <v>0.97099999999999997</v>
      </c>
      <c r="N2351">
        <v>0.97</v>
      </c>
    </row>
    <row r="2352" spans="1:14" x14ac:dyDescent="0.25">
      <c r="A2352" t="s">
        <v>4354</v>
      </c>
      <c r="B2352" t="s">
        <v>4355</v>
      </c>
      <c r="C2352" s="1" t="str">
        <f>HYPERLINK("http://www.genecards.org/cgi-bin/carddisp.pl?gene=FOXJ3","GeneCards")</f>
        <v>GeneCards</v>
      </c>
      <c r="D2352" s="1" t="str">
        <f>HYPERLINK("http://genome-euro.ucsc.edu/cgi-bin/hgTracks?position=206015_s_at","UCSC")</f>
        <v>UCSC</v>
      </c>
      <c r="E2352" s="1" t="str">
        <f>HYPERLINK("http://www.ncbi.nlm.nih.gov/gene/?term=FOXJ3","NCBI")</f>
        <v>NCBI</v>
      </c>
      <c r="F2352">
        <v>0.01</v>
      </c>
      <c r="G2352">
        <v>7.2999999999999995E-2</v>
      </c>
      <c r="H2352" s="1" t="str">
        <f>HYPERLINK("http://www.weizmann.ac.il/complex/compphys/software/geview/data/figures/206015_s_at.png","Figure")</f>
        <v>Figure</v>
      </c>
      <c r="I2352">
        <v>1.1200000000000001</v>
      </c>
      <c r="J2352">
        <v>0.79</v>
      </c>
      <c r="K2352">
        <v>0.65400000000000003</v>
      </c>
      <c r="L2352">
        <v>0.04</v>
      </c>
      <c r="M2352">
        <v>0.58199999999999996</v>
      </c>
      <c r="N2352">
        <v>1.4999999999999999E-2</v>
      </c>
    </row>
    <row r="2353" spans="1:14" x14ac:dyDescent="0.25">
      <c r="A2353" t="s">
        <v>4356</v>
      </c>
      <c r="B2353" t="s">
        <v>4357</v>
      </c>
      <c r="C2353" s="1" t="str">
        <f>HYPERLINK("http://www.genecards.org/cgi-bin/carddisp.pl?gene=BCAS4","GeneCards")</f>
        <v>GeneCards</v>
      </c>
      <c r="D2353" s="1" t="str">
        <f>HYPERLINK("http://genome-euro.ucsc.edu/cgi-bin/hgTracks?position=220588_at","UCSC")</f>
        <v>UCSC</v>
      </c>
      <c r="E2353" s="1" t="str">
        <f>HYPERLINK("http://www.ncbi.nlm.nih.gov/gene/?term=BCAS4","NCBI")</f>
        <v>NCBI</v>
      </c>
      <c r="F2353">
        <v>0.01</v>
      </c>
      <c r="G2353">
        <v>7.2999999999999995E-2</v>
      </c>
      <c r="H2353" s="1" t="str">
        <f>HYPERLINK("http://www.weizmann.ac.il/complex/compphys/software/geview/data/figures/220588_at.png","Figure")</f>
        <v>Figure</v>
      </c>
      <c r="I2353">
        <v>1.33</v>
      </c>
      <c r="J2353">
        <v>1.2999999999999999E-2</v>
      </c>
      <c r="K2353">
        <v>1.04</v>
      </c>
      <c r="L2353">
        <v>0.86</v>
      </c>
      <c r="M2353">
        <v>0.78200000000000003</v>
      </c>
      <c r="N2353">
        <v>0.02</v>
      </c>
    </row>
    <row r="2354" spans="1:14" x14ac:dyDescent="0.25">
      <c r="A2354" t="s">
        <v>4358</v>
      </c>
      <c r="B2354" t="s">
        <v>4359</v>
      </c>
      <c r="C2354" s="1" t="str">
        <f>HYPERLINK("http://www.genecards.org/cgi-bin/carddisp.pl?gene=ARHGEF6","GeneCards")</f>
        <v>GeneCards</v>
      </c>
      <c r="D2354" s="1" t="str">
        <f>HYPERLINK("http://genome-euro.ucsc.edu/cgi-bin/hgTracks?position=209539_at","UCSC")</f>
        <v>UCSC</v>
      </c>
      <c r="E2354" s="1" t="str">
        <f>HYPERLINK("http://www.ncbi.nlm.nih.gov/gene/?term=ARHGEF6","NCBI")</f>
        <v>NCBI</v>
      </c>
      <c r="F2354">
        <v>0.01</v>
      </c>
      <c r="G2354">
        <v>7.2999999999999995E-2</v>
      </c>
      <c r="H2354" s="1" t="str">
        <f>HYPERLINK("http://www.weizmann.ac.il/complex/compphys/software/geview/data/figures/209539_at.png","Figure")</f>
        <v>Figure</v>
      </c>
      <c r="I2354">
        <v>0.439</v>
      </c>
      <c r="J2354">
        <v>4.1000000000000002E-2</v>
      </c>
      <c r="K2354">
        <v>1.19</v>
      </c>
      <c r="L2354">
        <v>0.78</v>
      </c>
      <c r="M2354">
        <v>2.71</v>
      </c>
      <c r="N2354">
        <v>8.8999999999999999E-3</v>
      </c>
    </row>
    <row r="2355" spans="1:14" x14ac:dyDescent="0.25">
      <c r="A2355" t="s">
        <v>4360</v>
      </c>
      <c r="B2355" t="s">
        <v>4361</v>
      </c>
      <c r="C2355" s="1" t="str">
        <f>HYPERLINK("http://www.genecards.org/cgi-bin/carddisp.pl?gene=GLI3","GeneCards")</f>
        <v>GeneCards</v>
      </c>
      <c r="D2355" s="1" t="str">
        <f>HYPERLINK("http://genome-euro.ucsc.edu/cgi-bin/hgTracks?position=205201_at","UCSC")</f>
        <v>UCSC</v>
      </c>
      <c r="E2355" s="1" t="str">
        <f>HYPERLINK("http://www.ncbi.nlm.nih.gov/gene/?term=GLI3","NCBI")</f>
        <v>NCBI</v>
      </c>
      <c r="F2355">
        <v>0.01</v>
      </c>
      <c r="G2355">
        <v>7.2999999999999995E-2</v>
      </c>
      <c r="H2355" s="1" t="str">
        <f>HYPERLINK("http://www.weizmann.ac.il/complex/compphys/software/geview/data/figures/205201_at.png","Figure")</f>
        <v>Figure</v>
      </c>
      <c r="I2355">
        <v>1.41</v>
      </c>
      <c r="J2355">
        <v>2.1000000000000001E-2</v>
      </c>
      <c r="K2355">
        <v>1.37</v>
      </c>
      <c r="L2355">
        <v>1.7000000000000001E-2</v>
      </c>
      <c r="M2355">
        <v>0.97</v>
      </c>
      <c r="N2355">
        <v>0.95</v>
      </c>
    </row>
    <row r="2356" spans="1:14" x14ac:dyDescent="0.25">
      <c r="A2356" t="s">
        <v>4362</v>
      </c>
      <c r="B2356" t="s">
        <v>4363</v>
      </c>
      <c r="C2356" s="1" t="str">
        <f>HYPERLINK("http://www.genecards.org/cgi-bin/carddisp.pl?gene=AMPD3","GeneCards")</f>
        <v>GeneCards</v>
      </c>
      <c r="D2356" s="1" t="str">
        <f>HYPERLINK("http://genome-euro.ucsc.edu/cgi-bin/hgTracks?position=209491_s_at","UCSC")</f>
        <v>UCSC</v>
      </c>
      <c r="E2356" s="1" t="str">
        <f>HYPERLINK("http://www.ncbi.nlm.nih.gov/gene/?term=AMPD3","NCBI")</f>
        <v>NCBI</v>
      </c>
      <c r="F2356">
        <v>0.01</v>
      </c>
      <c r="G2356">
        <v>7.2999999999999995E-2</v>
      </c>
      <c r="H2356" s="1" t="str">
        <f>HYPERLINK("http://www.weizmann.ac.il/complex/compphys/software/geview/data/figures/209491_s_at.png","Figure")</f>
        <v>Figure</v>
      </c>
      <c r="I2356">
        <v>1.1599999999999999</v>
      </c>
      <c r="J2356">
        <v>8.8999999999999999E-3</v>
      </c>
      <c r="K2356">
        <v>1.1000000000000001</v>
      </c>
      <c r="L2356">
        <v>6.7000000000000004E-2</v>
      </c>
      <c r="M2356">
        <v>0.94299999999999995</v>
      </c>
      <c r="N2356">
        <v>0.32</v>
      </c>
    </row>
    <row r="2357" spans="1:14" x14ac:dyDescent="0.25">
      <c r="A2357" t="s">
        <v>4364</v>
      </c>
      <c r="B2357" t="s">
        <v>4365</v>
      </c>
      <c r="C2357" s="1" t="str">
        <f>HYPERLINK("http://www.genecards.org/cgi-bin/carddisp.pl?gene=DCTD","GeneCards")</f>
        <v>GeneCards</v>
      </c>
      <c r="D2357" s="1" t="str">
        <f>HYPERLINK("http://genome-euro.ucsc.edu/cgi-bin/hgTracks?position=201572_x_at","UCSC")</f>
        <v>UCSC</v>
      </c>
      <c r="E2357" s="1" t="str">
        <f>HYPERLINK("http://www.ncbi.nlm.nih.gov/gene/?term=DCTD","NCBI")</f>
        <v>NCBI</v>
      </c>
      <c r="F2357">
        <v>0.01</v>
      </c>
      <c r="G2357">
        <v>7.2999999999999995E-2</v>
      </c>
      <c r="H2357" s="1" t="str">
        <f>HYPERLINK("http://www.weizmann.ac.il/complex/compphys/software/geview/data/figures/201572_x_at.png","Figure")</f>
        <v>Figure</v>
      </c>
      <c r="I2357">
        <v>0.78900000000000003</v>
      </c>
      <c r="J2357">
        <v>2.5999999999999999E-2</v>
      </c>
      <c r="K2357">
        <v>1.02</v>
      </c>
      <c r="L2357">
        <v>0.96</v>
      </c>
      <c r="M2357">
        <v>1.29</v>
      </c>
      <c r="N2357">
        <v>1.0999999999999999E-2</v>
      </c>
    </row>
    <row r="2358" spans="1:14" x14ac:dyDescent="0.25">
      <c r="A2358" t="s">
        <v>4366</v>
      </c>
      <c r="B2358" t="s">
        <v>4367</v>
      </c>
      <c r="C2358" s="1" t="str">
        <f>HYPERLINK("http://www.genecards.org/cgi-bin/carddisp.pl?gene=E2F3","GeneCards")</f>
        <v>GeneCards</v>
      </c>
      <c r="D2358" s="1" t="str">
        <f>HYPERLINK("http://genome-euro.ucsc.edu/cgi-bin/hgTracks?position=203692_s_at","UCSC")</f>
        <v>UCSC</v>
      </c>
      <c r="E2358" s="1" t="str">
        <f>HYPERLINK("http://www.ncbi.nlm.nih.gov/gene/?term=E2F3","NCBI")</f>
        <v>NCBI</v>
      </c>
      <c r="F2358">
        <v>0.01</v>
      </c>
      <c r="G2358">
        <v>7.2999999999999995E-2</v>
      </c>
      <c r="H2358" s="1" t="str">
        <f>HYPERLINK("http://www.weizmann.ac.il/complex/compphys/software/geview/data/figures/203692_s_at.png","Figure")</f>
        <v>Figure</v>
      </c>
      <c r="I2358">
        <v>0.76700000000000002</v>
      </c>
      <c r="J2358">
        <v>2.1999999999999999E-2</v>
      </c>
      <c r="K2358">
        <v>1.01</v>
      </c>
      <c r="L2358">
        <v>0.99</v>
      </c>
      <c r="M2358">
        <v>1.31</v>
      </c>
      <c r="N2358">
        <v>1.2E-2</v>
      </c>
    </row>
    <row r="2359" spans="1:14" x14ac:dyDescent="0.25">
      <c r="A2359" t="s">
        <v>4368</v>
      </c>
      <c r="B2359" t="s">
        <v>4369</v>
      </c>
      <c r="C2359" s="1" t="str">
        <f>HYPERLINK("http://www.genecards.org/cgi-bin/carddisp.pl?gene=DIAPH2","GeneCards")</f>
        <v>GeneCards</v>
      </c>
      <c r="D2359" s="1" t="str">
        <f>HYPERLINK("http://genome-euro.ucsc.edu/cgi-bin/hgTracks?position=205726_at","UCSC")</f>
        <v>UCSC</v>
      </c>
      <c r="E2359" s="1" t="str">
        <f>HYPERLINK("http://www.ncbi.nlm.nih.gov/gene/?term=DIAPH2","NCBI")</f>
        <v>NCBI</v>
      </c>
      <c r="F2359">
        <v>0.01</v>
      </c>
      <c r="G2359">
        <v>7.2999999999999995E-2</v>
      </c>
      <c r="H2359" s="1" t="str">
        <f>HYPERLINK("http://www.weizmann.ac.il/complex/compphys/software/geview/data/figures/205726_at.png","Figure")</f>
        <v>Figure</v>
      </c>
      <c r="I2359">
        <v>0.745</v>
      </c>
      <c r="J2359">
        <v>0.13</v>
      </c>
      <c r="K2359">
        <v>1.21</v>
      </c>
      <c r="L2359">
        <v>0.31</v>
      </c>
      <c r="M2359">
        <v>1.62</v>
      </c>
      <c r="N2359">
        <v>7.7000000000000002E-3</v>
      </c>
    </row>
    <row r="2360" spans="1:14" x14ac:dyDescent="0.25">
      <c r="A2360" t="s">
        <v>4370</v>
      </c>
      <c r="B2360" t="s">
        <v>4371</v>
      </c>
      <c r="C2360" s="1" t="str">
        <f>HYPERLINK("http://www.genecards.org/cgi-bin/carddisp.pl?gene=RPL23A","GeneCards")</f>
        <v>GeneCards</v>
      </c>
      <c r="D2360" s="1" t="str">
        <f>HYPERLINK("http://genome-euro.ucsc.edu/cgi-bin/hgTracks?position=208834_x_at","UCSC")</f>
        <v>UCSC</v>
      </c>
      <c r="E2360" s="1" t="str">
        <f>HYPERLINK("http://www.ncbi.nlm.nih.gov/gene/?term=RPL23A","NCBI")</f>
        <v>NCBI</v>
      </c>
      <c r="F2360">
        <v>0.01</v>
      </c>
      <c r="G2360">
        <v>7.2999999999999995E-2</v>
      </c>
      <c r="H2360" s="1" t="str">
        <f>HYPERLINK("http://www.weizmann.ac.il/complex/compphys/software/geview/data/figures/208834_x_at.png","Figure")</f>
        <v>Figure</v>
      </c>
      <c r="I2360">
        <v>0.997</v>
      </c>
      <c r="J2360">
        <v>1</v>
      </c>
      <c r="K2360">
        <v>1.24</v>
      </c>
      <c r="L2360">
        <v>2.1000000000000001E-2</v>
      </c>
      <c r="M2360">
        <v>1.24</v>
      </c>
      <c r="N2360">
        <v>2.8000000000000001E-2</v>
      </c>
    </row>
    <row r="2361" spans="1:14" x14ac:dyDescent="0.25">
      <c r="A2361" t="s">
        <v>4372</v>
      </c>
      <c r="B2361" t="s">
        <v>2392</v>
      </c>
      <c r="C2361" s="1" t="str">
        <f>HYPERLINK("http://www.genecards.org/cgi-bin/carddisp.pl?gene=NENF","GeneCards")</f>
        <v>GeneCards</v>
      </c>
      <c r="D2361" s="1" t="str">
        <f>HYPERLINK("http://genome-euro.ucsc.edu/cgi-bin/hgTracks?position=218407_x_at","UCSC")</f>
        <v>UCSC</v>
      </c>
      <c r="E2361" s="1" t="str">
        <f>HYPERLINK("http://www.ncbi.nlm.nih.gov/gene/?term=NENF","NCBI")</f>
        <v>NCBI</v>
      </c>
      <c r="F2361">
        <v>0.01</v>
      </c>
      <c r="G2361">
        <v>7.2999999999999995E-2</v>
      </c>
      <c r="H2361" s="1" t="str">
        <f>HYPERLINK("http://www.weizmann.ac.il/complex/compphys/software/geview/data/figures/218407_x_at.png","Figure")</f>
        <v>Figure</v>
      </c>
      <c r="I2361">
        <v>1.49</v>
      </c>
      <c r="J2361">
        <v>1.2999999999999999E-2</v>
      </c>
      <c r="K2361">
        <v>1.35</v>
      </c>
      <c r="L2361">
        <v>2.9000000000000001E-2</v>
      </c>
      <c r="M2361">
        <v>0.91</v>
      </c>
      <c r="N2361">
        <v>0.68</v>
      </c>
    </row>
    <row r="2362" spans="1:14" x14ac:dyDescent="0.25">
      <c r="A2362" t="s">
        <v>4373</v>
      </c>
      <c r="B2362" t="s">
        <v>4374</v>
      </c>
      <c r="C2362" s="1" t="str">
        <f>HYPERLINK("http://www.genecards.org/cgi-bin/carddisp.pl?gene=AGA","GeneCards")</f>
        <v>GeneCards</v>
      </c>
      <c r="D2362" s="1" t="str">
        <f>HYPERLINK("http://genome-euro.ucsc.edu/cgi-bin/hgTracks?position=204332_s_at","UCSC")</f>
        <v>UCSC</v>
      </c>
      <c r="E2362" s="1" t="str">
        <f>HYPERLINK("http://www.ncbi.nlm.nih.gov/gene/?term=AGA","NCBI")</f>
        <v>NCBI</v>
      </c>
      <c r="F2362">
        <v>0.01</v>
      </c>
      <c r="G2362">
        <v>7.2999999999999995E-2</v>
      </c>
      <c r="H2362" s="1" t="str">
        <f>HYPERLINK("http://www.weizmann.ac.il/complex/compphys/software/geview/data/figures/204332_s_at.png","Figure")</f>
        <v>Figure</v>
      </c>
      <c r="I2362">
        <v>0.55400000000000005</v>
      </c>
      <c r="J2362">
        <v>7.7000000000000002E-3</v>
      </c>
      <c r="K2362">
        <v>0.77300000000000002</v>
      </c>
      <c r="L2362">
        <v>0.2</v>
      </c>
      <c r="M2362">
        <v>1.4</v>
      </c>
      <c r="N2362">
        <v>0.11</v>
      </c>
    </row>
    <row r="2363" spans="1:14" x14ac:dyDescent="0.25">
      <c r="A2363" t="s">
        <v>4375</v>
      </c>
      <c r="B2363" t="s">
        <v>4376</v>
      </c>
      <c r="C2363" s="1" t="str">
        <f>HYPERLINK("http://www.genecards.org/cgi-bin/carddisp.pl?gene=MFNG","GeneCards")</f>
        <v>GeneCards</v>
      </c>
      <c r="D2363" s="1" t="str">
        <f>HYPERLINK("http://genome-euro.ucsc.edu/cgi-bin/hgTracks?position=213783_at","UCSC")</f>
        <v>UCSC</v>
      </c>
      <c r="E2363" s="1" t="str">
        <f>HYPERLINK("http://www.ncbi.nlm.nih.gov/gene/?term=MFNG","NCBI")</f>
        <v>NCBI</v>
      </c>
      <c r="F2363">
        <v>0.01</v>
      </c>
      <c r="G2363">
        <v>7.2999999999999995E-2</v>
      </c>
      <c r="H2363" s="1" t="str">
        <f>HYPERLINK("http://www.weizmann.ac.il/complex/compphys/software/geview/data/figures/213783_at.png","Figure")</f>
        <v>Figure</v>
      </c>
      <c r="I2363">
        <v>1.26</v>
      </c>
      <c r="J2363">
        <v>2.8000000000000001E-2</v>
      </c>
      <c r="K2363">
        <v>0.97699999999999998</v>
      </c>
      <c r="L2363">
        <v>0.94</v>
      </c>
      <c r="M2363">
        <v>0.77400000000000002</v>
      </c>
      <c r="N2363">
        <v>1.0999999999999999E-2</v>
      </c>
    </row>
    <row r="2364" spans="1:14" x14ac:dyDescent="0.25">
      <c r="A2364" t="s">
        <v>4377</v>
      </c>
      <c r="B2364" t="s">
        <v>4378</v>
      </c>
      <c r="C2364" s="1" t="str">
        <f>HYPERLINK("http://www.genecards.org/cgi-bin/carddisp.pl?gene=CDC42EP3","GeneCards")</f>
        <v>GeneCards</v>
      </c>
      <c r="D2364" s="1" t="str">
        <f>HYPERLINK("http://genome-euro.ucsc.edu/cgi-bin/hgTracks?position=209287_s_at","UCSC")</f>
        <v>UCSC</v>
      </c>
      <c r="E2364" s="1" t="str">
        <f>HYPERLINK("http://www.ncbi.nlm.nih.gov/gene/?term=CDC42EP3","NCBI")</f>
        <v>NCBI</v>
      </c>
      <c r="F2364">
        <v>0.01</v>
      </c>
      <c r="G2364">
        <v>7.2999999999999995E-2</v>
      </c>
      <c r="H2364" s="1" t="str">
        <f>HYPERLINK("http://www.weizmann.ac.il/complex/compphys/software/geview/data/figures/209287_s_at.png","Figure")</f>
        <v>Figure</v>
      </c>
      <c r="I2364">
        <v>1.1299999999999999</v>
      </c>
      <c r="J2364">
        <v>0.17</v>
      </c>
      <c r="K2364">
        <v>0.91300000000000003</v>
      </c>
      <c r="L2364">
        <v>0.24</v>
      </c>
      <c r="M2364">
        <v>0.81100000000000005</v>
      </c>
      <c r="N2364">
        <v>7.9000000000000008E-3</v>
      </c>
    </row>
    <row r="2365" spans="1:14" x14ac:dyDescent="0.25">
      <c r="A2365" t="s">
        <v>4379</v>
      </c>
      <c r="B2365" t="s">
        <v>4380</v>
      </c>
      <c r="C2365" s="1" t="str">
        <f>HYPERLINK("http://www.genecards.org/cgi-bin/carddisp.pl?gene=ZFAND1","GeneCards")</f>
        <v>GeneCards</v>
      </c>
      <c r="D2365" s="1" t="str">
        <f>HYPERLINK("http://genome-euro.ucsc.edu/cgi-bin/hgTracks?position=218919_at","UCSC")</f>
        <v>UCSC</v>
      </c>
      <c r="E2365" s="1" t="str">
        <f>HYPERLINK("http://www.ncbi.nlm.nih.gov/gene/?term=ZFAND1","NCBI")</f>
        <v>NCBI</v>
      </c>
      <c r="F2365">
        <v>0.01</v>
      </c>
      <c r="G2365">
        <v>7.2999999999999995E-2</v>
      </c>
      <c r="H2365" s="1" t="str">
        <f>HYPERLINK("http://www.weizmann.ac.il/complex/compphys/software/geview/data/figures/218919_at.png","Figure")</f>
        <v>Figure</v>
      </c>
      <c r="I2365">
        <v>0.57899999999999996</v>
      </c>
      <c r="J2365">
        <v>2.1999999999999999E-2</v>
      </c>
      <c r="K2365">
        <v>1.01</v>
      </c>
      <c r="L2365">
        <v>1</v>
      </c>
      <c r="M2365">
        <v>1.75</v>
      </c>
      <c r="N2365">
        <v>1.2E-2</v>
      </c>
    </row>
    <row r="2366" spans="1:14" x14ac:dyDescent="0.25">
      <c r="A2366" t="s">
        <v>4381</v>
      </c>
      <c r="B2366" t="s">
        <v>4382</v>
      </c>
      <c r="C2366" s="1" t="str">
        <f>HYPERLINK("http://www.genecards.org/cgi-bin/carddisp.pl?gene=COG2","GeneCards")</f>
        <v>GeneCards</v>
      </c>
      <c r="D2366" s="1" t="str">
        <f>HYPERLINK("http://genome-euro.ucsc.edu/cgi-bin/hgTracks?position=203073_at","UCSC")</f>
        <v>UCSC</v>
      </c>
      <c r="E2366" s="1" t="str">
        <f>HYPERLINK("http://www.ncbi.nlm.nih.gov/gene/?term=COG2","NCBI")</f>
        <v>NCBI</v>
      </c>
      <c r="F2366">
        <v>0.01</v>
      </c>
      <c r="G2366">
        <v>7.3999999999999996E-2</v>
      </c>
      <c r="H2366" s="1" t="str">
        <f>HYPERLINK("http://www.weizmann.ac.il/complex/compphys/software/geview/data/figures/203073_at.png","Figure")</f>
        <v>Figure</v>
      </c>
      <c r="I2366">
        <v>1.57</v>
      </c>
      <c r="J2366">
        <v>1.7000000000000001E-2</v>
      </c>
      <c r="K2366">
        <v>1.46</v>
      </c>
      <c r="L2366">
        <v>2.1000000000000001E-2</v>
      </c>
      <c r="M2366">
        <v>0.93400000000000005</v>
      </c>
      <c r="N2366">
        <v>0.86</v>
      </c>
    </row>
    <row r="2367" spans="1:14" x14ac:dyDescent="0.25">
      <c r="A2367" t="s">
        <v>4383</v>
      </c>
      <c r="B2367" t="s">
        <v>4384</v>
      </c>
      <c r="C2367" s="1" t="str">
        <f>HYPERLINK("http://www.genecards.org/cgi-bin/carddisp.pl?gene=EPHA1","GeneCards")</f>
        <v>GeneCards</v>
      </c>
      <c r="D2367" s="1" t="str">
        <f>HYPERLINK("http://genome-euro.ucsc.edu/cgi-bin/hgTracks?position=205977_s_at","UCSC")</f>
        <v>UCSC</v>
      </c>
      <c r="E2367" s="1" t="str">
        <f>HYPERLINK("http://www.ncbi.nlm.nih.gov/gene/?term=EPHA1","NCBI")</f>
        <v>NCBI</v>
      </c>
      <c r="F2367">
        <v>0.01</v>
      </c>
      <c r="G2367">
        <v>7.3999999999999996E-2</v>
      </c>
      <c r="H2367" s="1" t="str">
        <f>HYPERLINK("http://www.weizmann.ac.il/complex/compphys/software/geview/data/figures/205977_s_at.png","Figure")</f>
        <v>Figure</v>
      </c>
      <c r="I2367">
        <v>1.1499999999999999</v>
      </c>
      <c r="J2367">
        <v>2.3E-2</v>
      </c>
      <c r="K2367">
        <v>1.1399999999999999</v>
      </c>
      <c r="L2367">
        <v>1.6E-2</v>
      </c>
      <c r="M2367">
        <v>0.98899999999999999</v>
      </c>
      <c r="N2367">
        <v>0.97</v>
      </c>
    </row>
    <row r="2368" spans="1:14" x14ac:dyDescent="0.25">
      <c r="A2368" t="s">
        <v>4385</v>
      </c>
      <c r="B2368" t="s">
        <v>4386</v>
      </c>
      <c r="C2368" s="1" t="str">
        <f>HYPERLINK("http://www.genecards.org/cgi-bin/carddisp.pl?gene=LOC100293306","GeneCards")</f>
        <v>GeneCards</v>
      </c>
      <c r="D2368" s="1" t="str">
        <f>HYPERLINK("http://genome-euro.ucsc.edu/cgi-bin/hgTracks?position=217520_x_at","UCSC")</f>
        <v>UCSC</v>
      </c>
      <c r="E2368" s="1" t="str">
        <f>HYPERLINK("http://www.ncbi.nlm.nih.gov/gene/?term=LOC100293306","NCBI")</f>
        <v>NCBI</v>
      </c>
      <c r="F2368">
        <v>0.01</v>
      </c>
      <c r="G2368">
        <v>7.3999999999999996E-2</v>
      </c>
      <c r="H2368" s="1" t="str">
        <f>HYPERLINK("http://www.weizmann.ac.il/complex/compphys/software/geview/data/figures/217520_x_at.png","Figure")</f>
        <v>Figure</v>
      </c>
      <c r="I2368">
        <v>1.17</v>
      </c>
      <c r="J2368">
        <v>6.9000000000000006E-2</v>
      </c>
      <c r="K2368">
        <v>0.94299999999999995</v>
      </c>
      <c r="L2368">
        <v>0.55000000000000004</v>
      </c>
      <c r="M2368">
        <v>0.80800000000000005</v>
      </c>
      <c r="N2368">
        <v>8.0000000000000002E-3</v>
      </c>
    </row>
    <row r="2369" spans="1:14" x14ac:dyDescent="0.25">
      <c r="A2369" t="s">
        <v>4387</v>
      </c>
      <c r="B2369" t="s">
        <v>4388</v>
      </c>
      <c r="C2369" s="1" t="str">
        <f>HYPERLINK("http://www.genecards.org/cgi-bin/carddisp.pl?gene=PARD6A","GeneCards")</f>
        <v>GeneCards</v>
      </c>
      <c r="D2369" s="1" t="str">
        <f>HYPERLINK("http://genome-euro.ucsc.edu/cgi-bin/hgTracks?position=205245_at","UCSC")</f>
        <v>UCSC</v>
      </c>
      <c r="E2369" s="1" t="str">
        <f>HYPERLINK("http://www.ncbi.nlm.nih.gov/gene/?term=PARD6A","NCBI")</f>
        <v>NCBI</v>
      </c>
      <c r="F2369">
        <v>0.01</v>
      </c>
      <c r="G2369">
        <v>7.3999999999999996E-2</v>
      </c>
      <c r="H2369" s="1" t="str">
        <f>HYPERLINK("http://www.weizmann.ac.il/complex/compphys/software/geview/data/figures/205245_at.png","Figure")</f>
        <v>Figure</v>
      </c>
      <c r="I2369">
        <v>1.32</v>
      </c>
      <c r="J2369">
        <v>7.7999999999999996E-3</v>
      </c>
      <c r="K2369">
        <v>1.1200000000000001</v>
      </c>
      <c r="L2369">
        <v>0.23</v>
      </c>
      <c r="M2369">
        <v>0.85099999999999998</v>
      </c>
      <c r="N2369">
        <v>9.5000000000000001E-2</v>
      </c>
    </row>
    <row r="2370" spans="1:14" x14ac:dyDescent="0.25">
      <c r="A2370" t="s">
        <v>4389</v>
      </c>
      <c r="B2370" t="s">
        <v>4390</v>
      </c>
      <c r="C2370" s="1" t="str">
        <f>HYPERLINK("http://www.genecards.org/cgi-bin/carddisp.pl?gene=IFI35","GeneCards")</f>
        <v>GeneCards</v>
      </c>
      <c r="D2370" s="1" t="str">
        <f>HYPERLINK("http://genome-euro.ucsc.edu/cgi-bin/hgTracks?position=209417_s_at","UCSC")</f>
        <v>UCSC</v>
      </c>
      <c r="E2370" s="1" t="str">
        <f>HYPERLINK("http://www.ncbi.nlm.nih.gov/gene/?term=IFI35","NCBI")</f>
        <v>NCBI</v>
      </c>
      <c r="F2370">
        <v>0.01</v>
      </c>
      <c r="G2370">
        <v>7.3999999999999996E-2</v>
      </c>
      <c r="H2370" s="1" t="str">
        <f>HYPERLINK("http://www.weizmann.ac.il/complex/compphys/software/geview/data/figures/209417_s_at.png","Figure")</f>
        <v>Figure</v>
      </c>
      <c r="I2370">
        <v>0.52900000000000003</v>
      </c>
      <c r="J2370">
        <v>2.1000000000000001E-2</v>
      </c>
      <c r="K2370">
        <v>1.01</v>
      </c>
      <c r="L2370">
        <v>1</v>
      </c>
      <c r="M2370">
        <v>1.91</v>
      </c>
      <c r="N2370">
        <v>1.2999999999999999E-2</v>
      </c>
    </row>
    <row r="2371" spans="1:14" x14ac:dyDescent="0.25">
      <c r="A2371" t="s">
        <v>4391</v>
      </c>
      <c r="B2371" t="s">
        <v>4392</v>
      </c>
      <c r="C2371" s="1" t="str">
        <f>HYPERLINK("http://www.genecards.org/cgi-bin/carddisp.pl?gene=VRK3","GeneCards")</f>
        <v>GeneCards</v>
      </c>
      <c r="D2371" s="1" t="str">
        <f>HYPERLINK("http://genome-euro.ucsc.edu/cgi-bin/hgTracks?position=218022_at","UCSC")</f>
        <v>UCSC</v>
      </c>
      <c r="E2371" s="1" t="str">
        <f>HYPERLINK("http://www.ncbi.nlm.nih.gov/gene/?term=VRK3","NCBI")</f>
        <v>NCBI</v>
      </c>
      <c r="F2371">
        <v>0.01</v>
      </c>
      <c r="G2371">
        <v>7.3999999999999996E-2</v>
      </c>
      <c r="H2371" s="1" t="str">
        <f>HYPERLINK("http://www.weizmann.ac.il/complex/compphys/software/geview/data/figures/218022_at.png","Figure")</f>
        <v>Figure</v>
      </c>
      <c r="I2371">
        <v>1.36</v>
      </c>
      <c r="J2371">
        <v>1.7000000000000001E-2</v>
      </c>
      <c r="K2371">
        <v>1.29</v>
      </c>
      <c r="L2371">
        <v>2.1000000000000001E-2</v>
      </c>
      <c r="M2371">
        <v>0.95199999999999996</v>
      </c>
      <c r="N2371">
        <v>0.84</v>
      </c>
    </row>
    <row r="2372" spans="1:14" x14ac:dyDescent="0.25">
      <c r="A2372" t="s">
        <v>4393</v>
      </c>
      <c r="B2372" t="s">
        <v>1710</v>
      </c>
      <c r="C2372" s="1" t="str">
        <f>HYPERLINK("http://www.genecards.org/cgi-bin/carddisp.pl?gene=HNRNPC","GeneCards")</f>
        <v>GeneCards</v>
      </c>
      <c r="D2372" s="1" t="str">
        <f>HYPERLINK("http://genome-euro.ucsc.edu/cgi-bin/hgTracks?position=214737_x_at","UCSC")</f>
        <v>UCSC</v>
      </c>
      <c r="E2372" s="1" t="str">
        <f>HYPERLINK("http://www.ncbi.nlm.nih.gov/gene/?term=HNRNPC","NCBI")</f>
        <v>NCBI</v>
      </c>
      <c r="F2372">
        <v>0.01</v>
      </c>
      <c r="G2372">
        <v>7.3999999999999996E-2</v>
      </c>
      <c r="H2372" s="1" t="str">
        <f>HYPERLINK("http://www.weizmann.ac.il/complex/compphys/software/geview/data/figures/214737_x_at.png","Figure")</f>
        <v>Figure</v>
      </c>
      <c r="I2372">
        <v>1.35</v>
      </c>
      <c r="J2372">
        <v>0.11</v>
      </c>
      <c r="K2372">
        <v>1.54</v>
      </c>
      <c r="L2372">
        <v>8.0999999999999996E-3</v>
      </c>
      <c r="M2372">
        <v>1.1399999999999999</v>
      </c>
      <c r="N2372">
        <v>0.56999999999999995</v>
      </c>
    </row>
    <row r="2373" spans="1:14" x14ac:dyDescent="0.25">
      <c r="A2373" t="s">
        <v>4394</v>
      </c>
      <c r="B2373" t="s">
        <v>4069</v>
      </c>
      <c r="C2373" s="1" t="str">
        <f>HYPERLINK("http://www.genecards.org/cgi-bin/carddisp.pl?gene=DOCK10","GeneCards")</f>
        <v>GeneCards</v>
      </c>
      <c r="D2373" s="1" t="str">
        <f>HYPERLINK("http://genome-euro.ucsc.edu/cgi-bin/hgTracks?position=219279_at","UCSC")</f>
        <v>UCSC</v>
      </c>
      <c r="E2373" s="1" t="str">
        <f>HYPERLINK("http://www.ncbi.nlm.nih.gov/gene/?term=DOCK10","NCBI")</f>
        <v>NCBI</v>
      </c>
      <c r="F2373">
        <v>0.01</v>
      </c>
      <c r="G2373">
        <v>7.3999999999999996E-2</v>
      </c>
      <c r="H2373" s="1" t="str">
        <f>HYPERLINK("http://www.weizmann.ac.il/complex/compphys/software/geview/data/figures/219279_at.png","Figure")</f>
        <v>Figure</v>
      </c>
      <c r="I2373">
        <v>3.27</v>
      </c>
      <c r="J2373">
        <v>1.2999999999999999E-2</v>
      </c>
      <c r="K2373">
        <v>2.4500000000000002</v>
      </c>
      <c r="L2373">
        <v>0.03</v>
      </c>
      <c r="M2373">
        <v>0.75</v>
      </c>
      <c r="N2373">
        <v>0.67</v>
      </c>
    </row>
    <row r="2374" spans="1:14" x14ac:dyDescent="0.25">
      <c r="A2374" t="s">
        <v>4395</v>
      </c>
      <c r="B2374" t="s">
        <v>4396</v>
      </c>
      <c r="C2374" s="1" t="str">
        <f>HYPERLINK("http://www.genecards.org/cgi-bin/carddisp.pl?gene=WBSCR22","GeneCards")</f>
        <v>GeneCards</v>
      </c>
      <c r="D2374" s="1" t="str">
        <f>HYPERLINK("http://genome-euro.ucsc.edu/cgi-bin/hgTracks?position=207628_s_at","UCSC")</f>
        <v>UCSC</v>
      </c>
      <c r="E2374" s="1" t="str">
        <f>HYPERLINK("http://www.ncbi.nlm.nih.gov/gene/?term=WBSCR22","NCBI")</f>
        <v>NCBI</v>
      </c>
      <c r="F2374">
        <v>0.01</v>
      </c>
      <c r="G2374">
        <v>7.3999999999999996E-2</v>
      </c>
      <c r="H2374" s="1" t="str">
        <f>HYPERLINK("http://www.weizmann.ac.il/complex/compphys/software/geview/data/figures/207628_s_at.png","Figure")</f>
        <v>Figure</v>
      </c>
      <c r="I2374">
        <v>1.22</v>
      </c>
      <c r="J2374">
        <v>0.28000000000000003</v>
      </c>
      <c r="K2374">
        <v>0.80200000000000005</v>
      </c>
      <c r="L2374">
        <v>0.15</v>
      </c>
      <c r="M2374">
        <v>0.65600000000000003</v>
      </c>
      <c r="N2374">
        <v>8.6999999999999994E-3</v>
      </c>
    </row>
    <row r="2375" spans="1:14" x14ac:dyDescent="0.25">
      <c r="A2375" t="s">
        <v>4397</v>
      </c>
      <c r="B2375" t="s">
        <v>4398</v>
      </c>
      <c r="C2375" s="1" t="str">
        <f>HYPERLINK("http://www.genecards.org/cgi-bin/carddisp.pl?gene=MTHFD2","GeneCards")</f>
        <v>GeneCards</v>
      </c>
      <c r="D2375" s="1" t="str">
        <f>HYPERLINK("http://genome-euro.ucsc.edu/cgi-bin/hgTracks?position=201761_at","UCSC")</f>
        <v>UCSC</v>
      </c>
      <c r="E2375" s="1" t="str">
        <f>HYPERLINK("http://www.ncbi.nlm.nih.gov/gene/?term=MTHFD2","NCBI")</f>
        <v>NCBI</v>
      </c>
      <c r="F2375">
        <v>0.01</v>
      </c>
      <c r="G2375">
        <v>7.3999999999999996E-2</v>
      </c>
      <c r="H2375" s="1" t="str">
        <f>HYPERLINK("http://www.weizmann.ac.il/complex/compphys/software/geview/data/figures/201761_at.png","Figure")</f>
        <v>Figure</v>
      </c>
      <c r="I2375">
        <v>0.6</v>
      </c>
      <c r="J2375">
        <v>6.3E-2</v>
      </c>
      <c r="K2375">
        <v>1.19</v>
      </c>
      <c r="L2375">
        <v>0.6</v>
      </c>
      <c r="M2375">
        <v>1.99</v>
      </c>
      <c r="N2375">
        <v>8.2000000000000007E-3</v>
      </c>
    </row>
    <row r="2376" spans="1:14" x14ac:dyDescent="0.25">
      <c r="A2376" t="s">
        <v>4399</v>
      </c>
      <c r="B2376" t="s">
        <v>1541</v>
      </c>
      <c r="C2376" s="1" t="str">
        <f>HYPERLINK("http://www.genecards.org/cgi-bin/carddisp.pl?gene=KAT5","GeneCards")</f>
        <v>GeneCards</v>
      </c>
      <c r="D2376" s="1" t="str">
        <f>HYPERLINK("http://genome-euro.ucsc.edu/cgi-bin/hgTracks?position=214258_x_at","UCSC")</f>
        <v>UCSC</v>
      </c>
      <c r="E2376" s="1" t="str">
        <f>HYPERLINK("http://www.ncbi.nlm.nih.gov/gene/?term=KAT5","NCBI")</f>
        <v>NCBI</v>
      </c>
      <c r="F2376">
        <v>0.01</v>
      </c>
      <c r="G2376">
        <v>7.3999999999999996E-2</v>
      </c>
      <c r="H2376" s="1" t="str">
        <f>HYPERLINK("http://www.weizmann.ac.il/complex/compphys/software/geview/data/figures/214258_x_at.png","Figure")</f>
        <v>Figure</v>
      </c>
      <c r="I2376">
        <v>1.37</v>
      </c>
      <c r="J2376">
        <v>1.2999999999999999E-2</v>
      </c>
      <c r="K2376">
        <v>1.05</v>
      </c>
      <c r="L2376">
        <v>0.84</v>
      </c>
      <c r="M2376">
        <v>0.76600000000000001</v>
      </c>
      <c r="N2376">
        <v>2.1999999999999999E-2</v>
      </c>
    </row>
    <row r="2377" spans="1:14" x14ac:dyDescent="0.25">
      <c r="A2377" t="s">
        <v>4400</v>
      </c>
      <c r="B2377" t="s">
        <v>4401</v>
      </c>
      <c r="C2377" s="1" t="str">
        <f>HYPERLINK("http://www.genecards.org/cgi-bin/carddisp.pl?gene=GGTLC2","GeneCards")</f>
        <v>GeneCards</v>
      </c>
      <c r="D2377" s="1" t="str">
        <f>HYPERLINK("http://genome-euro.ucsc.edu/cgi-bin/hgTracks?position=209918_at","UCSC")</f>
        <v>UCSC</v>
      </c>
      <c r="E2377" s="1" t="str">
        <f>HYPERLINK("http://www.ncbi.nlm.nih.gov/gene/?term=GGTLC2","NCBI")</f>
        <v>NCBI</v>
      </c>
      <c r="F2377">
        <v>0.01</v>
      </c>
      <c r="G2377">
        <v>7.3999999999999996E-2</v>
      </c>
      <c r="H2377" s="1" t="str">
        <f>HYPERLINK("http://www.weizmann.ac.il/complex/compphys/software/geview/data/figures/209918_at.png","Figure")</f>
        <v>Figure</v>
      </c>
      <c r="I2377">
        <v>1.32</v>
      </c>
      <c r="J2377">
        <v>8.3999999999999995E-3</v>
      </c>
      <c r="K2377">
        <v>1.1000000000000001</v>
      </c>
      <c r="L2377">
        <v>0.39</v>
      </c>
      <c r="M2377">
        <v>0.83</v>
      </c>
      <c r="N2377">
        <v>5.6000000000000001E-2</v>
      </c>
    </row>
    <row r="2378" spans="1:14" x14ac:dyDescent="0.25">
      <c r="A2378" t="s">
        <v>4402</v>
      </c>
      <c r="B2378" t="s">
        <v>4403</v>
      </c>
      <c r="C2378" s="1" t="str">
        <f>HYPERLINK("http://www.genecards.org/cgi-bin/carddisp.pl?gene=MS4A6A","GeneCards")</f>
        <v>GeneCards</v>
      </c>
      <c r="D2378" s="1" t="str">
        <f>HYPERLINK("http://genome-euro.ucsc.edu/cgi-bin/hgTracks?position=219666_at","UCSC")</f>
        <v>UCSC</v>
      </c>
      <c r="E2378" s="1" t="str">
        <f>HYPERLINK("http://www.ncbi.nlm.nih.gov/gene/?term=MS4A6A","NCBI")</f>
        <v>NCBI</v>
      </c>
      <c r="F2378">
        <v>0.01</v>
      </c>
      <c r="G2378">
        <v>7.3999999999999996E-2</v>
      </c>
      <c r="H2378" s="1" t="str">
        <f>HYPERLINK("http://www.weizmann.ac.il/complex/compphys/software/geview/data/figures/219666_at.png","Figure")</f>
        <v>Figure</v>
      </c>
      <c r="I2378">
        <v>0.51400000000000001</v>
      </c>
      <c r="J2378">
        <v>7.2999999999999995E-2</v>
      </c>
      <c r="K2378">
        <v>1.3</v>
      </c>
      <c r="L2378">
        <v>0.53</v>
      </c>
      <c r="M2378">
        <v>2.5299999999999998</v>
      </c>
      <c r="N2378">
        <v>8.0999999999999996E-3</v>
      </c>
    </row>
    <row r="2379" spans="1:14" x14ac:dyDescent="0.25">
      <c r="A2379" t="s">
        <v>4404</v>
      </c>
      <c r="B2379" t="s">
        <v>184</v>
      </c>
      <c r="C2379" s="1" t="str">
        <f>HYPERLINK("http://www.genecards.org/cgi-bin/carddisp.pl?gene=CTNND1","GeneCards")</f>
        <v>GeneCards</v>
      </c>
      <c r="D2379" s="1" t="str">
        <f>HYPERLINK("http://genome-euro.ucsc.edu/cgi-bin/hgTracks?position=208862_s_at","UCSC")</f>
        <v>UCSC</v>
      </c>
      <c r="E2379" s="1" t="str">
        <f>HYPERLINK("http://www.ncbi.nlm.nih.gov/gene/?term=CTNND1","NCBI")</f>
        <v>NCBI</v>
      </c>
      <c r="F2379">
        <v>0.01</v>
      </c>
      <c r="G2379">
        <v>7.3999999999999996E-2</v>
      </c>
      <c r="H2379" s="1" t="str">
        <f>HYPERLINK("http://www.weizmann.ac.il/complex/compphys/software/geview/data/figures/208862_s_at.png","Figure")</f>
        <v>Figure</v>
      </c>
      <c r="I2379">
        <v>1.37</v>
      </c>
      <c r="J2379">
        <v>5.2999999999999999E-2</v>
      </c>
      <c r="K2379">
        <v>1.44</v>
      </c>
      <c r="L2379">
        <v>9.9000000000000008E-3</v>
      </c>
      <c r="M2379">
        <v>1.06</v>
      </c>
      <c r="N2379">
        <v>0.88</v>
      </c>
    </row>
    <row r="2380" spans="1:14" x14ac:dyDescent="0.25">
      <c r="A2380" t="s">
        <v>4405</v>
      </c>
      <c r="B2380" t="s">
        <v>745</v>
      </c>
      <c r="C2380" s="1" t="str">
        <f>HYPERLINK("http://www.genecards.org/cgi-bin/carddisp.pl?gene=NTRK3","GeneCards")</f>
        <v>GeneCards</v>
      </c>
      <c r="D2380" s="1" t="str">
        <f>HYPERLINK("http://genome-euro.ucsc.edu/cgi-bin/hgTracks?position=215025_at","UCSC")</f>
        <v>UCSC</v>
      </c>
      <c r="E2380" s="1" t="str">
        <f>HYPERLINK("http://www.ncbi.nlm.nih.gov/gene/?term=NTRK3","NCBI")</f>
        <v>NCBI</v>
      </c>
      <c r="F2380">
        <v>0.01</v>
      </c>
      <c r="G2380">
        <v>7.3999999999999996E-2</v>
      </c>
      <c r="H2380" s="1" t="str">
        <f>HYPERLINK("http://www.weizmann.ac.il/complex/compphys/software/geview/data/figures/215025_at.png","Figure")</f>
        <v>Figure</v>
      </c>
      <c r="I2380">
        <v>1.2</v>
      </c>
      <c r="J2380">
        <v>1.7999999999999999E-2</v>
      </c>
      <c r="K2380">
        <v>1.01</v>
      </c>
      <c r="L2380">
        <v>0.99</v>
      </c>
      <c r="M2380">
        <v>0.83699999999999997</v>
      </c>
      <c r="N2380">
        <v>1.4999999999999999E-2</v>
      </c>
    </row>
    <row r="2381" spans="1:14" x14ac:dyDescent="0.25">
      <c r="A2381" t="s">
        <v>4406</v>
      </c>
      <c r="B2381" t="s">
        <v>3970</v>
      </c>
      <c r="C2381" s="1" t="str">
        <f>HYPERLINK("http://www.genecards.org/cgi-bin/carddisp.pl?gene=ILF3","GeneCards")</f>
        <v>GeneCards</v>
      </c>
      <c r="D2381" s="1" t="str">
        <f>HYPERLINK("http://genome-euro.ucsc.edu/cgi-bin/hgTracks?position=217804_s_at","UCSC")</f>
        <v>UCSC</v>
      </c>
      <c r="E2381" s="1" t="str">
        <f>HYPERLINK("http://www.ncbi.nlm.nih.gov/gene/?term=ILF3","NCBI")</f>
        <v>NCBI</v>
      </c>
      <c r="F2381">
        <v>0.01</v>
      </c>
      <c r="G2381">
        <v>7.3999999999999996E-2</v>
      </c>
      <c r="H2381" s="1" t="str">
        <f>HYPERLINK("http://www.weizmann.ac.il/complex/compphys/software/geview/data/figures/217804_s_at.png","Figure")</f>
        <v>Figure</v>
      </c>
      <c r="I2381">
        <v>1.72</v>
      </c>
      <c r="J2381">
        <v>8.0000000000000002E-3</v>
      </c>
      <c r="K2381">
        <v>1.32</v>
      </c>
      <c r="L2381">
        <v>0.12</v>
      </c>
      <c r="M2381">
        <v>0.76700000000000002</v>
      </c>
      <c r="N2381">
        <v>0.18</v>
      </c>
    </row>
    <row r="2382" spans="1:14" x14ac:dyDescent="0.25">
      <c r="A2382" t="s">
        <v>4407</v>
      </c>
      <c r="B2382" t="s">
        <v>4408</v>
      </c>
      <c r="C2382" s="1" t="str">
        <f>HYPERLINK("http://www.genecards.org/cgi-bin/carddisp.pl?gene=SLC1A6","GeneCards")</f>
        <v>GeneCards</v>
      </c>
      <c r="D2382" s="1" t="str">
        <f>HYPERLINK("http://genome-euro.ucsc.edu/cgi-bin/hgTracks?position=206882_at","UCSC")</f>
        <v>UCSC</v>
      </c>
      <c r="E2382" s="1" t="str">
        <f>HYPERLINK("http://www.ncbi.nlm.nih.gov/gene/?term=SLC1A6","NCBI")</f>
        <v>NCBI</v>
      </c>
      <c r="F2382">
        <v>0.01</v>
      </c>
      <c r="G2382">
        <v>7.3999999999999996E-2</v>
      </c>
      <c r="H2382" s="1" t="str">
        <f>HYPERLINK("http://www.weizmann.ac.il/complex/compphys/software/geview/data/figures/206882_at.png","Figure")</f>
        <v>Figure</v>
      </c>
      <c r="I2382">
        <v>1.35</v>
      </c>
      <c r="J2382">
        <v>7.9000000000000008E-3</v>
      </c>
      <c r="K2382">
        <v>1.1399999999999999</v>
      </c>
      <c r="L2382">
        <v>0.21</v>
      </c>
      <c r="M2382">
        <v>0.84299999999999997</v>
      </c>
      <c r="N2382">
        <v>0.11</v>
      </c>
    </row>
    <row r="2383" spans="1:14" x14ac:dyDescent="0.25">
      <c r="A2383" t="s">
        <v>4409</v>
      </c>
      <c r="B2383" t="s">
        <v>3331</v>
      </c>
      <c r="C2383" s="1" t="str">
        <f>HYPERLINK("http://www.genecards.org/cgi-bin/carddisp.pl?gene=GCOM1 /// GRINL1A","GeneCards")</f>
        <v>GeneCards</v>
      </c>
      <c r="D2383" s="1" t="str">
        <f>HYPERLINK("http://genome-euro.ucsc.edu/cgi-bin/hgTracks?position=212243_at","UCSC")</f>
        <v>UCSC</v>
      </c>
      <c r="E2383" s="1" t="str">
        <f>HYPERLINK("http://www.ncbi.nlm.nih.gov/gene/?term=GCOM1 /// GRINL1A","NCBI")</f>
        <v>NCBI</v>
      </c>
      <c r="F2383">
        <v>0.01</v>
      </c>
      <c r="G2383">
        <v>7.3999999999999996E-2</v>
      </c>
      <c r="H2383" s="1" t="str">
        <f>HYPERLINK("http://www.weizmann.ac.il/complex/compphys/software/geview/data/figures/212243_at.png","Figure")</f>
        <v>Figure</v>
      </c>
      <c r="I2383">
        <v>0.91300000000000003</v>
      </c>
      <c r="J2383">
        <v>0.85</v>
      </c>
      <c r="K2383">
        <v>0.61799999999999999</v>
      </c>
      <c r="L2383">
        <v>1.2999999999999999E-2</v>
      </c>
      <c r="M2383">
        <v>0.67700000000000005</v>
      </c>
      <c r="N2383">
        <v>5.8000000000000003E-2</v>
      </c>
    </row>
    <row r="2384" spans="1:14" x14ac:dyDescent="0.25">
      <c r="A2384" t="s">
        <v>4410</v>
      </c>
      <c r="B2384" t="s">
        <v>4411</v>
      </c>
      <c r="C2384" s="1" t="str">
        <f>HYPERLINK("http://www.genecards.org/cgi-bin/carddisp.pl?gene=STK19","GeneCards")</f>
        <v>GeneCards</v>
      </c>
      <c r="D2384" s="1" t="str">
        <f>HYPERLINK("http://genome-euro.ucsc.edu/cgi-bin/hgTracks?position=36019_at","UCSC")</f>
        <v>UCSC</v>
      </c>
      <c r="E2384" s="1" t="str">
        <f>HYPERLINK("http://www.ncbi.nlm.nih.gov/gene/?term=STK19","NCBI")</f>
        <v>NCBI</v>
      </c>
      <c r="F2384">
        <v>0.01</v>
      </c>
      <c r="G2384">
        <v>7.3999999999999996E-2</v>
      </c>
      <c r="H2384" s="1" t="str">
        <f>HYPERLINK("http://www.weizmann.ac.il/complex/compphys/software/geview/data/figures/36019_at.png","Figure")</f>
        <v>Figure</v>
      </c>
      <c r="I2384">
        <v>1.28</v>
      </c>
      <c r="J2384">
        <v>1.7999999999999999E-2</v>
      </c>
      <c r="K2384">
        <v>1.01</v>
      </c>
      <c r="L2384">
        <v>0.99</v>
      </c>
      <c r="M2384">
        <v>0.79200000000000004</v>
      </c>
      <c r="N2384">
        <v>1.4999999999999999E-2</v>
      </c>
    </row>
    <row r="2385" spans="1:14" x14ac:dyDescent="0.25">
      <c r="A2385" t="s">
        <v>4412</v>
      </c>
      <c r="B2385" t="s">
        <v>4413</v>
      </c>
      <c r="C2385" s="1" t="str">
        <f>HYPERLINK("http://www.genecards.org/cgi-bin/carddisp.pl?gene=IP6K2","GeneCards")</f>
        <v>GeneCards</v>
      </c>
      <c r="D2385" s="1" t="str">
        <f>HYPERLINK("http://genome-euro.ucsc.edu/cgi-bin/hgTracks?position=218192_at","UCSC")</f>
        <v>UCSC</v>
      </c>
      <c r="E2385" s="1" t="str">
        <f>HYPERLINK("http://www.ncbi.nlm.nih.gov/gene/?term=IP6K2","NCBI")</f>
        <v>NCBI</v>
      </c>
      <c r="F2385">
        <v>0.01</v>
      </c>
      <c r="G2385">
        <v>7.3999999999999996E-2</v>
      </c>
      <c r="H2385" s="1" t="str">
        <f>HYPERLINK("http://www.weizmann.ac.il/complex/compphys/software/geview/data/figures/218192_at.png","Figure")</f>
        <v>Figure</v>
      </c>
      <c r="I2385">
        <v>1.33</v>
      </c>
      <c r="J2385">
        <v>0.46</v>
      </c>
      <c r="K2385">
        <v>0.62</v>
      </c>
      <c r="L2385">
        <v>8.6999999999999994E-2</v>
      </c>
      <c r="M2385">
        <v>0.46500000000000002</v>
      </c>
      <c r="N2385">
        <v>1.0999999999999999E-2</v>
      </c>
    </row>
    <row r="2386" spans="1:14" x14ac:dyDescent="0.25">
      <c r="A2386" t="s">
        <v>4414</v>
      </c>
      <c r="B2386" t="s">
        <v>4415</v>
      </c>
      <c r="C2386" s="1" t="str">
        <f>HYPERLINK("http://www.genecards.org/cgi-bin/carddisp.pl?gene=SETD4","GeneCards")</f>
        <v>GeneCards</v>
      </c>
      <c r="D2386" s="1" t="str">
        <f>HYPERLINK("http://genome-euro.ucsc.edu/cgi-bin/hgTracks?position=213989_x_at","UCSC")</f>
        <v>UCSC</v>
      </c>
      <c r="E2386" s="1" t="str">
        <f>HYPERLINK("http://www.ncbi.nlm.nih.gov/gene/?term=SETD4","NCBI")</f>
        <v>NCBI</v>
      </c>
      <c r="F2386">
        <v>0.01</v>
      </c>
      <c r="G2386">
        <v>7.3999999999999996E-2</v>
      </c>
      <c r="H2386" s="1" t="str">
        <f>HYPERLINK("http://www.weizmann.ac.il/complex/compphys/software/geview/data/figures/213989_x_at.png","Figure")</f>
        <v>Figure</v>
      </c>
      <c r="I2386">
        <v>0.86799999999999999</v>
      </c>
      <c r="J2386">
        <v>0.49</v>
      </c>
      <c r="K2386">
        <v>0.68700000000000006</v>
      </c>
      <c r="L2386">
        <v>9.1000000000000004E-3</v>
      </c>
      <c r="M2386">
        <v>0.79200000000000004</v>
      </c>
      <c r="N2386">
        <v>0.13</v>
      </c>
    </row>
    <row r="2387" spans="1:14" x14ac:dyDescent="0.25">
      <c r="A2387" t="s">
        <v>4416</v>
      </c>
      <c r="B2387" t="s">
        <v>4417</v>
      </c>
      <c r="C2387" s="1" t="str">
        <f>HYPERLINK("http://www.genecards.org/cgi-bin/carddisp.pl?gene=ETV1","GeneCards")</f>
        <v>GeneCards</v>
      </c>
      <c r="D2387" s="1" t="str">
        <f>HYPERLINK("http://genome-euro.ucsc.edu/cgi-bin/hgTracks?position=217053_x_at","UCSC")</f>
        <v>UCSC</v>
      </c>
      <c r="E2387" s="1" t="str">
        <f>HYPERLINK("http://www.ncbi.nlm.nih.gov/gene/?term=ETV1","NCBI")</f>
        <v>NCBI</v>
      </c>
      <c r="F2387">
        <v>0.01</v>
      </c>
      <c r="G2387">
        <v>7.3999999999999996E-2</v>
      </c>
      <c r="H2387" s="1" t="str">
        <f>HYPERLINK("http://www.weizmann.ac.il/complex/compphys/software/geview/data/figures/217053_x_at.png","Figure")</f>
        <v>Figure</v>
      </c>
      <c r="I2387">
        <v>1.06</v>
      </c>
      <c r="J2387">
        <v>0.61</v>
      </c>
      <c r="K2387">
        <v>0.88400000000000001</v>
      </c>
      <c r="L2387">
        <v>6.2E-2</v>
      </c>
      <c r="M2387">
        <v>0.83699999999999997</v>
      </c>
      <c r="N2387">
        <v>1.2E-2</v>
      </c>
    </row>
    <row r="2388" spans="1:14" x14ac:dyDescent="0.25">
      <c r="A2388" t="s">
        <v>4418</v>
      </c>
      <c r="B2388" t="s">
        <v>4419</v>
      </c>
      <c r="C2388" s="1" t="str">
        <f>HYPERLINK("http://www.genecards.org/cgi-bin/carddisp.pl?gene=SFRS11","GeneCards")</f>
        <v>GeneCards</v>
      </c>
      <c r="D2388" s="1" t="str">
        <f>HYPERLINK("http://genome-euro.ucsc.edu/cgi-bin/hgTracks?position=200686_s_at","UCSC")</f>
        <v>UCSC</v>
      </c>
      <c r="E2388" s="1" t="str">
        <f>HYPERLINK("http://www.ncbi.nlm.nih.gov/gene/?term=SFRS11","NCBI")</f>
        <v>NCBI</v>
      </c>
      <c r="F2388">
        <v>0.01</v>
      </c>
      <c r="G2388">
        <v>7.4999999999999997E-2</v>
      </c>
      <c r="H2388" s="1" t="str">
        <f>HYPERLINK("http://www.weizmann.ac.il/complex/compphys/software/geview/data/figures/200686_s_at.png","Figure")</f>
        <v>Figure</v>
      </c>
      <c r="I2388">
        <v>1.02</v>
      </c>
      <c r="J2388">
        <v>0.99</v>
      </c>
      <c r="K2388">
        <v>0.60799999999999998</v>
      </c>
      <c r="L2388">
        <v>2.3E-2</v>
      </c>
      <c r="M2388">
        <v>0.59499999999999997</v>
      </c>
      <c r="N2388">
        <v>2.5999999999999999E-2</v>
      </c>
    </row>
    <row r="2389" spans="1:14" x14ac:dyDescent="0.25">
      <c r="A2389" t="s">
        <v>4420</v>
      </c>
      <c r="B2389" t="s">
        <v>1090</v>
      </c>
      <c r="C2389" s="1" t="str">
        <f>HYPERLINK("http://www.genecards.org/cgi-bin/carddisp.pl?gene=MED13L","GeneCards")</f>
        <v>GeneCards</v>
      </c>
      <c r="D2389" s="1" t="str">
        <f>HYPERLINK("http://genome-euro.ucsc.edu/cgi-bin/hgTracks?position=212207_at","UCSC")</f>
        <v>UCSC</v>
      </c>
      <c r="E2389" s="1" t="str">
        <f>HYPERLINK("http://www.ncbi.nlm.nih.gov/gene/?term=MED13L","NCBI")</f>
        <v>NCBI</v>
      </c>
      <c r="F2389">
        <v>0.01</v>
      </c>
      <c r="G2389">
        <v>7.4999999999999997E-2</v>
      </c>
      <c r="H2389" s="1" t="str">
        <f>HYPERLINK("http://www.weizmann.ac.il/complex/compphys/software/geview/data/figures/212207_at.png","Figure")</f>
        <v>Figure</v>
      </c>
      <c r="I2389">
        <v>0.76100000000000001</v>
      </c>
      <c r="J2389">
        <v>0.23</v>
      </c>
      <c r="K2389">
        <v>0.60499999999999998</v>
      </c>
      <c r="L2389">
        <v>8.0000000000000002E-3</v>
      </c>
      <c r="M2389">
        <v>0.79600000000000004</v>
      </c>
      <c r="N2389">
        <v>0.3</v>
      </c>
    </row>
    <row r="2390" spans="1:14" x14ac:dyDescent="0.25">
      <c r="A2390" t="s">
        <v>4421</v>
      </c>
      <c r="B2390" t="s">
        <v>4422</v>
      </c>
      <c r="C2390" s="1" t="str">
        <f>HYPERLINK("http://www.genecards.org/cgi-bin/carddisp.pl?gene=IGHM","GeneCards")</f>
        <v>GeneCards</v>
      </c>
      <c r="D2390" s="1" t="str">
        <f>HYPERLINK("http://genome-euro.ucsc.edu/cgi-bin/hgTracks?position=212827_at","UCSC")</f>
        <v>UCSC</v>
      </c>
      <c r="E2390" s="1" t="str">
        <f>HYPERLINK("http://www.ncbi.nlm.nih.gov/gene/?term=IGHM","NCBI")</f>
        <v>NCBI</v>
      </c>
      <c r="F2390">
        <v>0.01</v>
      </c>
      <c r="G2390">
        <v>7.4999999999999997E-2</v>
      </c>
      <c r="H2390" s="1" t="str">
        <f>HYPERLINK("http://www.weizmann.ac.il/complex/compphys/software/geview/data/figures/212827_at.png","Figure")</f>
        <v>Figure</v>
      </c>
      <c r="I2390">
        <v>2.0699999999999998</v>
      </c>
      <c r="J2390">
        <v>7.6999999999999999E-2</v>
      </c>
      <c r="K2390">
        <v>2.58</v>
      </c>
      <c r="L2390">
        <v>8.8999999999999999E-3</v>
      </c>
      <c r="M2390">
        <v>1.24</v>
      </c>
      <c r="N2390">
        <v>0.73</v>
      </c>
    </row>
    <row r="2391" spans="1:14" x14ac:dyDescent="0.25">
      <c r="A2391" t="s">
        <v>4423</v>
      </c>
      <c r="B2391" t="s">
        <v>4424</v>
      </c>
      <c r="C2391" s="1" t="str">
        <f>HYPERLINK("http://www.genecards.org/cgi-bin/carddisp.pl?gene=SFRS17A","GeneCards")</f>
        <v>GeneCards</v>
      </c>
      <c r="D2391" s="1" t="str">
        <f>HYPERLINK("http://genome-euro.ucsc.edu/cgi-bin/hgTracks?position=203624_at","UCSC")</f>
        <v>UCSC</v>
      </c>
      <c r="E2391" s="1" t="str">
        <f>HYPERLINK("http://www.ncbi.nlm.nih.gov/gene/?term=SFRS17A","NCBI")</f>
        <v>NCBI</v>
      </c>
      <c r="F2391">
        <v>1.0999999999999999E-2</v>
      </c>
      <c r="G2391">
        <v>7.4999999999999997E-2</v>
      </c>
      <c r="H2391" s="1" t="str">
        <f>HYPERLINK("http://www.weizmann.ac.il/complex/compphys/software/geview/data/figures/203624_at.png","Figure")</f>
        <v>Figure</v>
      </c>
      <c r="I2391">
        <v>0.71099999999999997</v>
      </c>
      <c r="J2391">
        <v>0.14000000000000001</v>
      </c>
      <c r="K2391">
        <v>0.58799999999999997</v>
      </c>
      <c r="L2391">
        <v>8.0000000000000002E-3</v>
      </c>
      <c r="M2391">
        <v>0.82699999999999996</v>
      </c>
      <c r="N2391">
        <v>0.47</v>
      </c>
    </row>
    <row r="2392" spans="1:14" x14ac:dyDescent="0.25">
      <c r="A2392" t="s">
        <v>4425</v>
      </c>
      <c r="B2392" t="s">
        <v>4426</v>
      </c>
      <c r="C2392" s="1" t="str">
        <f>HYPERLINK("http://www.genecards.org/cgi-bin/carddisp.pl?gene=PBK","GeneCards")</f>
        <v>GeneCards</v>
      </c>
      <c r="D2392" s="1" t="str">
        <f>HYPERLINK("http://genome-euro.ucsc.edu/cgi-bin/hgTracks?position=219148_at","UCSC")</f>
        <v>UCSC</v>
      </c>
      <c r="E2392" s="1" t="str">
        <f>HYPERLINK("http://www.ncbi.nlm.nih.gov/gene/?term=PBK","NCBI")</f>
        <v>NCBI</v>
      </c>
      <c r="F2392">
        <v>1.0999999999999999E-2</v>
      </c>
      <c r="G2392">
        <v>7.4999999999999997E-2</v>
      </c>
      <c r="H2392" s="1" t="str">
        <f>HYPERLINK("http://www.weizmann.ac.il/complex/compphys/software/geview/data/figures/219148_at.png","Figure")</f>
        <v>Figure</v>
      </c>
      <c r="I2392">
        <v>1.32</v>
      </c>
      <c r="J2392">
        <v>0.04</v>
      </c>
      <c r="K2392">
        <v>1.35</v>
      </c>
      <c r="L2392">
        <v>1.0999999999999999E-2</v>
      </c>
      <c r="M2392">
        <v>1.02</v>
      </c>
      <c r="N2392">
        <v>0.96</v>
      </c>
    </row>
    <row r="2393" spans="1:14" x14ac:dyDescent="0.25">
      <c r="A2393" t="s">
        <v>4427</v>
      </c>
      <c r="B2393" t="s">
        <v>4428</v>
      </c>
      <c r="C2393" s="1" t="str">
        <f>HYPERLINK("http://www.genecards.org/cgi-bin/carddisp.pl?gene=HP1BP3","GeneCards")</f>
        <v>GeneCards</v>
      </c>
      <c r="D2393" s="1" t="str">
        <f>HYPERLINK("http://genome-euro.ucsc.edu/cgi-bin/hgTracks?position=220633_s_at","UCSC")</f>
        <v>UCSC</v>
      </c>
      <c r="E2393" s="1" t="str">
        <f>HYPERLINK("http://www.ncbi.nlm.nih.gov/gene/?term=HP1BP3","NCBI")</f>
        <v>NCBI</v>
      </c>
      <c r="F2393">
        <v>1.0999999999999999E-2</v>
      </c>
      <c r="G2393">
        <v>7.4999999999999997E-2</v>
      </c>
      <c r="H2393" s="1" t="str">
        <f>HYPERLINK("http://www.weizmann.ac.il/complex/compphys/software/geview/data/figures/220633_s_at.png","Figure")</f>
        <v>Figure</v>
      </c>
      <c r="I2393">
        <v>1.37</v>
      </c>
      <c r="J2393">
        <v>1.2999999999999999E-2</v>
      </c>
      <c r="K2393">
        <v>1.04</v>
      </c>
      <c r="L2393">
        <v>0.86</v>
      </c>
      <c r="M2393">
        <v>0.76100000000000001</v>
      </c>
      <c r="N2393">
        <v>2.1000000000000001E-2</v>
      </c>
    </row>
    <row r="2394" spans="1:14" x14ac:dyDescent="0.25">
      <c r="A2394" t="s">
        <v>4429</v>
      </c>
      <c r="B2394" t="s">
        <v>4430</v>
      </c>
      <c r="C2394" s="1" t="str">
        <f>HYPERLINK("http://www.genecards.org/cgi-bin/carddisp.pl?gene=CACNG4","GeneCards")</f>
        <v>GeneCards</v>
      </c>
      <c r="D2394" s="1" t="str">
        <f>HYPERLINK("http://genome-euro.ucsc.edu/cgi-bin/hgTracks?position=221585_at","UCSC")</f>
        <v>UCSC</v>
      </c>
      <c r="E2394" s="1" t="str">
        <f>HYPERLINK("http://www.ncbi.nlm.nih.gov/gene/?term=CACNG4","NCBI")</f>
        <v>NCBI</v>
      </c>
      <c r="F2394">
        <v>1.0999999999999999E-2</v>
      </c>
      <c r="G2394">
        <v>7.4999999999999997E-2</v>
      </c>
      <c r="H2394" s="1" t="str">
        <f>HYPERLINK("http://www.weizmann.ac.il/complex/compphys/software/geview/data/figures/221585_at.png","Figure")</f>
        <v>Figure</v>
      </c>
      <c r="I2394">
        <v>1.21</v>
      </c>
      <c r="J2394">
        <v>1.0999999999999999E-2</v>
      </c>
      <c r="K2394">
        <v>1.1399999999999999</v>
      </c>
      <c r="L2394">
        <v>4.5999999999999999E-2</v>
      </c>
      <c r="M2394">
        <v>0.94</v>
      </c>
      <c r="N2394">
        <v>0.47</v>
      </c>
    </row>
    <row r="2395" spans="1:14" x14ac:dyDescent="0.25">
      <c r="A2395" t="s">
        <v>4431</v>
      </c>
      <c r="B2395" t="s">
        <v>4432</v>
      </c>
      <c r="C2395" s="1" t="str">
        <f>HYPERLINK("http://www.genecards.org/cgi-bin/carddisp.pl?gene=SMC4","GeneCards")</f>
        <v>GeneCards</v>
      </c>
      <c r="D2395" s="1" t="str">
        <f>HYPERLINK("http://genome-euro.ucsc.edu/cgi-bin/hgTracks?position=215623_x_at","UCSC")</f>
        <v>UCSC</v>
      </c>
      <c r="E2395" s="1" t="str">
        <f>HYPERLINK("http://www.ncbi.nlm.nih.gov/gene/?term=SMC4","NCBI")</f>
        <v>NCBI</v>
      </c>
      <c r="F2395">
        <v>1.0999999999999999E-2</v>
      </c>
      <c r="G2395">
        <v>7.4999999999999997E-2</v>
      </c>
      <c r="H2395" s="1" t="str">
        <f>HYPERLINK("http://www.weizmann.ac.il/complex/compphys/software/geview/data/figures/215623_x_at.png","Figure")</f>
        <v>Figure</v>
      </c>
      <c r="I2395">
        <v>0.83199999999999996</v>
      </c>
      <c r="J2395">
        <v>0.74</v>
      </c>
      <c r="K2395">
        <v>0.48199999999999998</v>
      </c>
      <c r="L2395">
        <v>1.0999999999999999E-2</v>
      </c>
      <c r="M2395">
        <v>0.57899999999999996</v>
      </c>
      <c r="N2395">
        <v>7.5999999999999998E-2</v>
      </c>
    </row>
    <row r="2396" spans="1:14" x14ac:dyDescent="0.25">
      <c r="A2396" t="s">
        <v>4433</v>
      </c>
      <c r="B2396" t="s">
        <v>3327</v>
      </c>
      <c r="C2396" s="1" t="str">
        <f>HYPERLINK("http://www.genecards.org/cgi-bin/carddisp.pl?gene=C18orf10","GeneCards")</f>
        <v>GeneCards</v>
      </c>
      <c r="D2396" s="1" t="str">
        <f>HYPERLINK("http://genome-euro.ucsc.edu/cgi-bin/hgTracks?position=213617_s_at","UCSC")</f>
        <v>UCSC</v>
      </c>
      <c r="E2396" s="1" t="str">
        <f>HYPERLINK("http://www.ncbi.nlm.nih.gov/gene/?term=C18orf10","NCBI")</f>
        <v>NCBI</v>
      </c>
      <c r="F2396">
        <v>1.0999999999999999E-2</v>
      </c>
      <c r="G2396">
        <v>7.4999999999999997E-2</v>
      </c>
      <c r="H2396" s="1" t="str">
        <f>HYPERLINK("http://www.weizmann.ac.il/complex/compphys/software/geview/data/figures/213617_s_at.png","Figure")</f>
        <v>Figure</v>
      </c>
      <c r="I2396">
        <v>0.78600000000000003</v>
      </c>
      <c r="J2396">
        <v>0.28999999999999998</v>
      </c>
      <c r="K2396">
        <v>1.31</v>
      </c>
      <c r="L2396">
        <v>0.15</v>
      </c>
      <c r="M2396">
        <v>1.67</v>
      </c>
      <c r="N2396">
        <v>8.9999999999999993E-3</v>
      </c>
    </row>
    <row r="2397" spans="1:14" x14ac:dyDescent="0.25">
      <c r="A2397" t="s">
        <v>4434</v>
      </c>
      <c r="B2397" t="s">
        <v>2246</v>
      </c>
      <c r="C2397" s="1" t="str">
        <f>HYPERLINK("http://www.genecards.org/cgi-bin/carddisp.pl?gene=PCIF1","GeneCards")</f>
        <v>GeneCards</v>
      </c>
      <c r="D2397" s="1" t="str">
        <f>HYPERLINK("http://genome-euro.ucsc.edu/cgi-bin/hgTracks?position=222045_s_at","UCSC")</f>
        <v>UCSC</v>
      </c>
      <c r="E2397" s="1" t="str">
        <f>HYPERLINK("http://www.ncbi.nlm.nih.gov/gene/?term=PCIF1","NCBI")</f>
        <v>NCBI</v>
      </c>
      <c r="F2397">
        <v>1.0999999999999999E-2</v>
      </c>
      <c r="G2397">
        <v>7.4999999999999997E-2</v>
      </c>
      <c r="H2397" s="1" t="str">
        <f>HYPERLINK("http://www.weizmann.ac.il/complex/compphys/software/geview/data/figures/222045_s_at.png","Figure")</f>
        <v>Figure</v>
      </c>
      <c r="I2397">
        <v>1.08</v>
      </c>
      <c r="J2397">
        <v>0.92</v>
      </c>
      <c r="K2397">
        <v>0.61399999999999999</v>
      </c>
      <c r="L2397">
        <v>3.1E-2</v>
      </c>
      <c r="M2397">
        <v>0.56999999999999995</v>
      </c>
      <c r="N2397">
        <v>0.02</v>
      </c>
    </row>
    <row r="2398" spans="1:14" x14ac:dyDescent="0.25">
      <c r="A2398" t="s">
        <v>4435</v>
      </c>
      <c r="B2398" t="s">
        <v>4436</v>
      </c>
      <c r="C2398" s="1" t="str">
        <f>HYPERLINK("http://www.genecards.org/cgi-bin/carddisp.pl?gene=QRICH1","GeneCards")</f>
        <v>GeneCards</v>
      </c>
      <c r="D2398" s="1" t="str">
        <f>HYPERLINK("http://genome-euro.ucsc.edu/cgi-bin/hgTracks?position=209174_s_at","UCSC")</f>
        <v>UCSC</v>
      </c>
      <c r="E2398" s="1" t="str">
        <f>HYPERLINK("http://www.ncbi.nlm.nih.gov/gene/?term=QRICH1","NCBI")</f>
        <v>NCBI</v>
      </c>
      <c r="F2398">
        <v>1.0999999999999999E-2</v>
      </c>
      <c r="G2398">
        <v>7.4999999999999997E-2</v>
      </c>
      <c r="H2398" s="1" t="str">
        <f>HYPERLINK("http://www.weizmann.ac.il/complex/compphys/software/geview/data/figures/209174_s_at.png","Figure")</f>
        <v>Figure</v>
      </c>
      <c r="I2398">
        <v>1.28</v>
      </c>
      <c r="J2398">
        <v>0.26</v>
      </c>
      <c r="K2398">
        <v>0.77300000000000002</v>
      </c>
      <c r="L2398">
        <v>0.16</v>
      </c>
      <c r="M2398">
        <v>0.60399999999999998</v>
      </c>
      <c r="N2398">
        <v>8.8000000000000005E-3</v>
      </c>
    </row>
    <row r="2399" spans="1:14" x14ac:dyDescent="0.25">
      <c r="A2399" t="s">
        <v>4437</v>
      </c>
      <c r="B2399" t="s">
        <v>4438</v>
      </c>
      <c r="C2399" s="1" t="str">
        <f>HYPERLINK("http://www.genecards.org/cgi-bin/carddisp.pl?gene=GALNT10","GeneCards")</f>
        <v>GeneCards</v>
      </c>
      <c r="D2399" s="1" t="str">
        <f>HYPERLINK("http://genome-euro.ucsc.edu/cgi-bin/hgTracks?position=220296_at","UCSC")</f>
        <v>UCSC</v>
      </c>
      <c r="E2399" s="1" t="str">
        <f>HYPERLINK("http://www.ncbi.nlm.nih.gov/gene/?term=GALNT10","NCBI")</f>
        <v>NCBI</v>
      </c>
      <c r="F2399">
        <v>1.0999999999999999E-2</v>
      </c>
      <c r="G2399">
        <v>7.4999999999999997E-2</v>
      </c>
      <c r="H2399" s="1" t="str">
        <f>HYPERLINK("http://www.weizmann.ac.il/complex/compphys/software/geview/data/figures/220296_at.png","Figure")</f>
        <v>Figure</v>
      </c>
      <c r="I2399">
        <v>1.24</v>
      </c>
      <c r="J2399">
        <v>1.4999999999999999E-2</v>
      </c>
      <c r="K2399">
        <v>1.18</v>
      </c>
      <c r="L2399">
        <v>2.7E-2</v>
      </c>
      <c r="M2399">
        <v>0.95399999999999996</v>
      </c>
      <c r="N2399">
        <v>0.73</v>
      </c>
    </row>
    <row r="2400" spans="1:14" x14ac:dyDescent="0.25">
      <c r="A2400" t="s">
        <v>4439</v>
      </c>
      <c r="B2400" t="s">
        <v>4102</v>
      </c>
      <c r="C2400" s="1" t="str">
        <f>HYPERLINK("http://www.genecards.org/cgi-bin/carddisp.pl?gene=SH3BGRL","GeneCards")</f>
        <v>GeneCards</v>
      </c>
      <c r="D2400" s="1" t="str">
        <f>HYPERLINK("http://genome-euro.ucsc.edu/cgi-bin/hgTracks?position=201312_s_at","UCSC")</f>
        <v>UCSC</v>
      </c>
      <c r="E2400" s="1" t="str">
        <f>HYPERLINK("http://www.ncbi.nlm.nih.gov/gene/?term=SH3BGRL","NCBI")</f>
        <v>NCBI</v>
      </c>
      <c r="F2400">
        <v>1.0999999999999999E-2</v>
      </c>
      <c r="G2400">
        <v>7.4999999999999997E-2</v>
      </c>
      <c r="H2400" s="1" t="str">
        <f>HYPERLINK("http://www.weizmann.ac.il/complex/compphys/software/geview/data/figures/201312_s_at.png","Figure")</f>
        <v>Figure</v>
      </c>
      <c r="I2400">
        <v>0.503</v>
      </c>
      <c r="J2400">
        <v>2.7E-2</v>
      </c>
      <c r="K2400">
        <v>1.06</v>
      </c>
      <c r="L2400">
        <v>0.96</v>
      </c>
      <c r="M2400">
        <v>2.1</v>
      </c>
      <c r="N2400">
        <v>1.0999999999999999E-2</v>
      </c>
    </row>
    <row r="2401" spans="1:14" x14ac:dyDescent="0.25">
      <c r="A2401" t="s">
        <v>4440</v>
      </c>
      <c r="B2401" t="s">
        <v>3193</v>
      </c>
      <c r="C2401" s="1" t="str">
        <f>HYPERLINK("http://www.genecards.org/cgi-bin/carddisp.pl?gene=DR1","GeneCards")</f>
        <v>GeneCards</v>
      </c>
      <c r="D2401" s="1" t="str">
        <f>HYPERLINK("http://genome-euro.ucsc.edu/cgi-bin/hgTracks?position=207654_x_at","UCSC")</f>
        <v>UCSC</v>
      </c>
      <c r="E2401" s="1" t="str">
        <f>HYPERLINK("http://www.ncbi.nlm.nih.gov/gene/?term=DR1","NCBI")</f>
        <v>NCBI</v>
      </c>
      <c r="F2401">
        <v>1.0999999999999999E-2</v>
      </c>
      <c r="G2401">
        <v>7.4999999999999997E-2</v>
      </c>
      <c r="H2401" s="1" t="str">
        <f>HYPERLINK("http://www.weizmann.ac.il/complex/compphys/software/geview/data/figures/207654_x_at.png","Figure")</f>
        <v>Figure</v>
      </c>
      <c r="I2401">
        <v>0.754</v>
      </c>
      <c r="J2401">
        <v>8.1000000000000003E-2</v>
      </c>
      <c r="K2401">
        <v>0.68899999999999995</v>
      </c>
      <c r="L2401">
        <v>8.8999999999999999E-3</v>
      </c>
      <c r="M2401">
        <v>0.91400000000000003</v>
      </c>
      <c r="N2401">
        <v>0.71</v>
      </c>
    </row>
    <row r="2402" spans="1:14" x14ac:dyDescent="0.25">
      <c r="A2402" t="s">
        <v>4441</v>
      </c>
      <c r="B2402" t="s">
        <v>2306</v>
      </c>
      <c r="C2402" s="1" t="str">
        <f>HYPERLINK("http://www.genecards.org/cgi-bin/carddisp.pl?gene=AP2A2","GeneCards")</f>
        <v>GeneCards</v>
      </c>
      <c r="D2402" s="1" t="str">
        <f>HYPERLINK("http://genome-euro.ucsc.edu/cgi-bin/hgTracks?position=215764_x_at","UCSC")</f>
        <v>UCSC</v>
      </c>
      <c r="E2402" s="1" t="str">
        <f>HYPERLINK("http://www.ncbi.nlm.nih.gov/gene/?term=AP2A2","NCBI")</f>
        <v>NCBI</v>
      </c>
      <c r="F2402">
        <v>1.0999999999999999E-2</v>
      </c>
      <c r="G2402">
        <v>7.4999999999999997E-2</v>
      </c>
      <c r="H2402" s="1" t="str">
        <f>HYPERLINK("http://www.weizmann.ac.il/complex/compphys/software/geview/data/figures/215764_x_at.png","Figure")</f>
        <v>Figure</v>
      </c>
      <c r="I2402">
        <v>1.46</v>
      </c>
      <c r="J2402">
        <v>1.6E-2</v>
      </c>
      <c r="K2402">
        <v>1.35</v>
      </c>
      <c r="L2402">
        <v>2.5000000000000001E-2</v>
      </c>
      <c r="M2402">
        <v>0.92800000000000005</v>
      </c>
      <c r="N2402">
        <v>0.77</v>
      </c>
    </row>
    <row r="2403" spans="1:14" x14ac:dyDescent="0.25">
      <c r="A2403" t="s">
        <v>4442</v>
      </c>
      <c r="B2403" t="s">
        <v>4443</v>
      </c>
      <c r="C2403" s="1" t="str">
        <f>HYPERLINK("http://www.genecards.org/cgi-bin/carddisp.pl?gene=AOC2","GeneCards")</f>
        <v>GeneCards</v>
      </c>
      <c r="D2403" s="1" t="str">
        <f>HYPERLINK("http://genome-euro.ucsc.edu/cgi-bin/hgTracks?position=207064_s_at","UCSC")</f>
        <v>UCSC</v>
      </c>
      <c r="E2403" s="1" t="str">
        <f>HYPERLINK("http://www.ncbi.nlm.nih.gov/gene/?term=AOC2","NCBI")</f>
        <v>NCBI</v>
      </c>
      <c r="F2403">
        <v>1.0999999999999999E-2</v>
      </c>
      <c r="G2403">
        <v>7.4999999999999997E-2</v>
      </c>
      <c r="H2403" s="1" t="str">
        <f>HYPERLINK("http://www.weizmann.ac.il/complex/compphys/software/geview/data/figures/207064_s_at.png","Figure")</f>
        <v>Figure</v>
      </c>
      <c r="I2403">
        <v>0.99</v>
      </c>
      <c r="J2403">
        <v>0.98</v>
      </c>
      <c r="K2403">
        <v>0.88</v>
      </c>
      <c r="L2403">
        <v>1.7000000000000001E-2</v>
      </c>
      <c r="M2403">
        <v>0.88900000000000001</v>
      </c>
      <c r="N2403">
        <v>3.7999999999999999E-2</v>
      </c>
    </row>
    <row r="2404" spans="1:14" x14ac:dyDescent="0.25">
      <c r="A2404" t="s">
        <v>4444</v>
      </c>
      <c r="B2404" t="s">
        <v>4445</v>
      </c>
      <c r="C2404" s="1" t="str">
        <f>HYPERLINK("http://www.genecards.org/cgi-bin/carddisp.pl?gene=SPEN","GeneCards")</f>
        <v>GeneCards</v>
      </c>
      <c r="D2404" s="1" t="str">
        <f>HYPERLINK("http://genome-euro.ucsc.edu/cgi-bin/hgTracks?position=201996_s_at","UCSC")</f>
        <v>UCSC</v>
      </c>
      <c r="E2404" s="1" t="str">
        <f>HYPERLINK("http://www.ncbi.nlm.nih.gov/gene/?term=SPEN","NCBI")</f>
        <v>NCBI</v>
      </c>
      <c r="F2404">
        <v>1.0999999999999999E-2</v>
      </c>
      <c r="G2404">
        <v>7.4999999999999997E-2</v>
      </c>
      <c r="H2404" s="1" t="str">
        <f>HYPERLINK("http://www.weizmann.ac.il/complex/compphys/software/geview/data/figures/201996_s_at.png","Figure")</f>
        <v>Figure</v>
      </c>
      <c r="I2404">
        <v>1.03</v>
      </c>
      <c r="J2404">
        <v>0.99</v>
      </c>
      <c r="K2404">
        <v>0.54100000000000004</v>
      </c>
      <c r="L2404">
        <v>2.3E-2</v>
      </c>
      <c r="M2404">
        <v>0.52600000000000002</v>
      </c>
      <c r="N2404">
        <v>2.5999999999999999E-2</v>
      </c>
    </row>
    <row r="2405" spans="1:14" x14ac:dyDescent="0.25">
      <c r="A2405" t="s">
        <v>4446</v>
      </c>
      <c r="B2405" t="s">
        <v>4447</v>
      </c>
      <c r="C2405" s="1" t="str">
        <f>HYPERLINK("http://www.genecards.org/cgi-bin/carddisp.pl?gene=P4HA2","GeneCards")</f>
        <v>GeneCards</v>
      </c>
      <c r="D2405" s="1" t="str">
        <f>HYPERLINK("http://genome-euro.ucsc.edu/cgi-bin/hgTracks?position=202733_at","UCSC")</f>
        <v>UCSC</v>
      </c>
      <c r="E2405" s="1" t="str">
        <f>HYPERLINK("http://www.ncbi.nlm.nih.gov/gene/?term=P4HA2","NCBI")</f>
        <v>NCBI</v>
      </c>
      <c r="F2405">
        <v>1.0999999999999999E-2</v>
      </c>
      <c r="G2405">
        <v>7.4999999999999997E-2</v>
      </c>
      <c r="H2405" s="1" t="str">
        <f>HYPERLINK("http://www.weizmann.ac.il/complex/compphys/software/geview/data/figures/202733_at.png","Figure")</f>
        <v>Figure</v>
      </c>
      <c r="I2405">
        <v>1.63</v>
      </c>
      <c r="J2405">
        <v>0.32</v>
      </c>
      <c r="K2405">
        <v>2.77</v>
      </c>
      <c r="L2405">
        <v>8.3999999999999995E-3</v>
      </c>
      <c r="M2405">
        <v>1.7</v>
      </c>
      <c r="N2405">
        <v>0.22</v>
      </c>
    </row>
    <row r="2406" spans="1:14" x14ac:dyDescent="0.25">
      <c r="A2406" t="s">
        <v>4448</v>
      </c>
      <c r="B2406" t="s">
        <v>4449</v>
      </c>
      <c r="C2406" s="1" t="str">
        <f>HYPERLINK("http://www.genecards.org/cgi-bin/carddisp.pl?gene=EBP","GeneCards")</f>
        <v>GeneCards</v>
      </c>
      <c r="D2406" s="1" t="str">
        <f>HYPERLINK("http://genome-euro.ucsc.edu/cgi-bin/hgTracks?position=202735_at","UCSC")</f>
        <v>UCSC</v>
      </c>
      <c r="E2406" s="1" t="str">
        <f>HYPERLINK("http://www.ncbi.nlm.nih.gov/gene/?term=EBP","NCBI")</f>
        <v>NCBI</v>
      </c>
      <c r="F2406">
        <v>1.0999999999999999E-2</v>
      </c>
      <c r="G2406">
        <v>7.4999999999999997E-2</v>
      </c>
      <c r="H2406" s="1" t="str">
        <f>HYPERLINK("http://www.weizmann.ac.il/complex/compphys/software/geview/data/figures/202735_at.png","Figure")</f>
        <v>Figure</v>
      </c>
      <c r="I2406">
        <v>0.61699999999999999</v>
      </c>
      <c r="J2406">
        <v>1.0999999999999999E-2</v>
      </c>
      <c r="K2406">
        <v>0.89700000000000002</v>
      </c>
      <c r="L2406">
        <v>0.65</v>
      </c>
      <c r="M2406">
        <v>1.45</v>
      </c>
      <c r="N2406">
        <v>3.2000000000000001E-2</v>
      </c>
    </row>
    <row r="2407" spans="1:14" x14ac:dyDescent="0.25">
      <c r="A2407" t="s">
        <v>4450</v>
      </c>
      <c r="B2407" t="s">
        <v>4451</v>
      </c>
      <c r="C2407" s="1" t="str">
        <f>HYPERLINK("http://www.genecards.org/cgi-bin/carddisp.pl?gene=UBE2M","GeneCards")</f>
        <v>GeneCards</v>
      </c>
      <c r="D2407" s="1" t="str">
        <f>HYPERLINK("http://genome-euro.ucsc.edu/cgi-bin/hgTracks?position=203109_at","UCSC")</f>
        <v>UCSC</v>
      </c>
      <c r="E2407" s="1" t="str">
        <f>HYPERLINK("http://www.ncbi.nlm.nih.gov/gene/?term=UBE2M","NCBI")</f>
        <v>NCBI</v>
      </c>
      <c r="F2407">
        <v>1.0999999999999999E-2</v>
      </c>
      <c r="G2407">
        <v>7.4999999999999997E-2</v>
      </c>
      <c r="H2407" s="1" t="str">
        <f>HYPERLINK("http://www.weizmann.ac.il/complex/compphys/software/geview/data/figures/203109_at.png","Figure")</f>
        <v>Figure</v>
      </c>
      <c r="I2407">
        <v>0.82699999999999996</v>
      </c>
      <c r="J2407">
        <v>1.0999999999999999E-2</v>
      </c>
      <c r="K2407">
        <v>0.96</v>
      </c>
      <c r="L2407">
        <v>0.68</v>
      </c>
      <c r="M2407">
        <v>1.1599999999999999</v>
      </c>
      <c r="N2407">
        <v>0.03</v>
      </c>
    </row>
    <row r="2408" spans="1:14" x14ac:dyDescent="0.25">
      <c r="A2408" t="s">
        <v>4452</v>
      </c>
      <c r="B2408" t="s">
        <v>4453</v>
      </c>
      <c r="C2408" s="1" t="str">
        <f>HYPERLINK("http://www.genecards.org/cgi-bin/carddisp.pl?gene=RHOH","GeneCards")</f>
        <v>GeneCards</v>
      </c>
      <c r="D2408" s="1" t="str">
        <f>HYPERLINK("http://genome-euro.ucsc.edu/cgi-bin/hgTracks?position=204951_at","UCSC")</f>
        <v>UCSC</v>
      </c>
      <c r="E2408" s="1" t="str">
        <f>HYPERLINK("http://www.ncbi.nlm.nih.gov/gene/?term=RHOH","NCBI")</f>
        <v>NCBI</v>
      </c>
      <c r="F2408">
        <v>1.0999999999999999E-2</v>
      </c>
      <c r="G2408">
        <v>7.4999999999999997E-2</v>
      </c>
      <c r="H2408" s="1" t="str">
        <f>HYPERLINK("http://www.weizmann.ac.il/complex/compphys/software/geview/data/figures/204951_at.png","Figure")</f>
        <v>Figure</v>
      </c>
      <c r="I2408">
        <v>0.748</v>
      </c>
      <c r="J2408">
        <v>0.3</v>
      </c>
      <c r="K2408">
        <v>0.55600000000000005</v>
      </c>
      <c r="L2408">
        <v>8.3000000000000001E-3</v>
      </c>
      <c r="M2408">
        <v>0.74399999999999999</v>
      </c>
      <c r="N2408">
        <v>0.24</v>
      </c>
    </row>
    <row r="2409" spans="1:14" x14ac:dyDescent="0.25">
      <c r="A2409" t="s">
        <v>4454</v>
      </c>
      <c r="B2409" t="s">
        <v>4455</v>
      </c>
      <c r="C2409" s="1" t="str">
        <f>HYPERLINK("http://www.genecards.org/cgi-bin/carddisp.pl?gene=UQCRB","GeneCards")</f>
        <v>GeneCards</v>
      </c>
      <c r="D2409" s="1" t="str">
        <f>HYPERLINK("http://genome-euro.ucsc.edu/cgi-bin/hgTracks?position=209065_at","UCSC")</f>
        <v>UCSC</v>
      </c>
      <c r="E2409" s="1" t="str">
        <f>HYPERLINK("http://www.ncbi.nlm.nih.gov/gene/?term=UQCRB","NCBI")</f>
        <v>NCBI</v>
      </c>
      <c r="F2409">
        <v>1.0999999999999999E-2</v>
      </c>
      <c r="G2409">
        <v>7.4999999999999997E-2</v>
      </c>
      <c r="H2409" s="1" t="str">
        <f>HYPERLINK("http://www.weizmann.ac.il/complex/compphys/software/geview/data/figures/209065_at.png","Figure")</f>
        <v>Figure</v>
      </c>
      <c r="I2409">
        <v>0.71599999999999997</v>
      </c>
      <c r="J2409">
        <v>3.4000000000000002E-2</v>
      </c>
      <c r="K2409">
        <v>1.05</v>
      </c>
      <c r="L2409">
        <v>0.89</v>
      </c>
      <c r="M2409">
        <v>1.46</v>
      </c>
      <c r="N2409">
        <v>0.01</v>
      </c>
    </row>
    <row r="2410" spans="1:14" x14ac:dyDescent="0.25">
      <c r="A2410" t="s">
        <v>4456</v>
      </c>
      <c r="B2410" t="s">
        <v>4457</v>
      </c>
      <c r="C2410" s="1" t="str">
        <f>HYPERLINK("http://www.genecards.org/cgi-bin/carddisp.pl?gene=ISCU","GeneCards")</f>
        <v>GeneCards</v>
      </c>
      <c r="D2410" s="1" t="str">
        <f>HYPERLINK("http://genome-euro.ucsc.edu/cgi-bin/hgTracks?position=209075_s_at","UCSC")</f>
        <v>UCSC</v>
      </c>
      <c r="E2410" s="1" t="str">
        <f>HYPERLINK("http://www.ncbi.nlm.nih.gov/gene/?term=ISCU","NCBI")</f>
        <v>NCBI</v>
      </c>
      <c r="F2410">
        <v>1.0999999999999999E-2</v>
      </c>
      <c r="G2410">
        <v>7.4999999999999997E-2</v>
      </c>
      <c r="H2410" s="1" t="str">
        <f>HYPERLINK("http://www.weizmann.ac.il/complex/compphys/software/geview/data/figures/209075_s_at.png","Figure")</f>
        <v>Figure</v>
      </c>
      <c r="I2410">
        <v>0.68700000000000006</v>
      </c>
      <c r="J2410">
        <v>9.7000000000000003E-2</v>
      </c>
      <c r="K2410">
        <v>0.59499999999999997</v>
      </c>
      <c r="L2410">
        <v>8.6E-3</v>
      </c>
      <c r="M2410">
        <v>0.86599999999999999</v>
      </c>
      <c r="N2410">
        <v>0.63</v>
      </c>
    </row>
    <row r="2411" spans="1:14" x14ac:dyDescent="0.25">
      <c r="A2411" t="s">
        <v>4458</v>
      </c>
      <c r="B2411" t="s">
        <v>2220</v>
      </c>
      <c r="C2411" s="1" t="str">
        <f>HYPERLINK("http://www.genecards.org/cgi-bin/carddisp.pl?gene=ABI2","GeneCards")</f>
        <v>GeneCards</v>
      </c>
      <c r="D2411" s="1" t="str">
        <f>HYPERLINK("http://genome-euro.ucsc.edu/cgi-bin/hgTracks?position=209856_x_at","UCSC")</f>
        <v>UCSC</v>
      </c>
      <c r="E2411" s="1" t="str">
        <f>HYPERLINK("http://www.ncbi.nlm.nih.gov/gene/?term=ABI2","NCBI")</f>
        <v>NCBI</v>
      </c>
      <c r="F2411">
        <v>1.0999999999999999E-2</v>
      </c>
      <c r="G2411">
        <v>7.4999999999999997E-2</v>
      </c>
      <c r="H2411" s="1" t="str">
        <f>HYPERLINK("http://www.weizmann.ac.il/complex/compphys/software/geview/data/figures/209856_x_at.png","Figure")</f>
        <v>Figure</v>
      </c>
      <c r="I2411">
        <v>1.42</v>
      </c>
      <c r="J2411">
        <v>0.01</v>
      </c>
      <c r="K2411">
        <v>1.0900000000000001</v>
      </c>
      <c r="L2411">
        <v>0.59</v>
      </c>
      <c r="M2411">
        <v>0.77</v>
      </c>
      <c r="N2411">
        <v>3.5999999999999997E-2</v>
      </c>
    </row>
    <row r="2412" spans="1:14" x14ac:dyDescent="0.25">
      <c r="A2412" t="s">
        <v>4459</v>
      </c>
      <c r="B2412" t="s">
        <v>4460</v>
      </c>
      <c r="C2412" s="1" t="str">
        <f>HYPERLINK("http://www.genecards.org/cgi-bin/carddisp.pl?gene=KCNQ2","GeneCards")</f>
        <v>GeneCards</v>
      </c>
      <c r="D2412" s="1" t="str">
        <f>HYPERLINK("http://genome-euro.ucsc.edu/cgi-bin/hgTracks?position=211486_s_at","UCSC")</f>
        <v>UCSC</v>
      </c>
      <c r="E2412" s="1" t="str">
        <f>HYPERLINK("http://www.ncbi.nlm.nih.gov/gene/?term=KCNQ2","NCBI")</f>
        <v>NCBI</v>
      </c>
      <c r="F2412">
        <v>1.0999999999999999E-2</v>
      </c>
      <c r="G2412">
        <v>7.4999999999999997E-2</v>
      </c>
      <c r="H2412" s="1" t="str">
        <f>HYPERLINK("http://www.weizmann.ac.il/complex/compphys/software/geview/data/figures/211486_s_at.png","Figure")</f>
        <v>Figure</v>
      </c>
      <c r="I2412">
        <v>1.29</v>
      </c>
      <c r="J2412">
        <v>8.3000000000000001E-3</v>
      </c>
      <c r="K2412">
        <v>1.1399999999999999</v>
      </c>
      <c r="L2412">
        <v>0.12</v>
      </c>
      <c r="M2412">
        <v>0.88400000000000001</v>
      </c>
      <c r="N2412">
        <v>0.19</v>
      </c>
    </row>
    <row r="2413" spans="1:14" x14ac:dyDescent="0.25">
      <c r="A2413" t="s">
        <v>4461</v>
      </c>
      <c r="B2413" t="s">
        <v>4462</v>
      </c>
      <c r="C2413" s="1" t="str">
        <f>HYPERLINK("http://www.genecards.org/cgi-bin/carddisp.pl?gene=ZDHHC18","GeneCards")</f>
        <v>GeneCards</v>
      </c>
      <c r="D2413" s="1" t="str">
        <f>HYPERLINK("http://genome-euro.ucsc.edu/cgi-bin/hgTracks?position=212860_at","UCSC")</f>
        <v>UCSC</v>
      </c>
      <c r="E2413" s="1" t="str">
        <f>HYPERLINK("http://www.ncbi.nlm.nih.gov/gene/?term=ZDHHC18","NCBI")</f>
        <v>NCBI</v>
      </c>
      <c r="F2413">
        <v>1.0999999999999999E-2</v>
      </c>
      <c r="G2413">
        <v>7.4999999999999997E-2</v>
      </c>
      <c r="H2413" s="1" t="str">
        <f>HYPERLINK("http://www.weizmann.ac.il/complex/compphys/software/geview/data/figures/212860_at.png","Figure")</f>
        <v>Figure</v>
      </c>
      <c r="I2413">
        <v>0.90800000000000003</v>
      </c>
      <c r="J2413">
        <v>0.44</v>
      </c>
      <c r="K2413">
        <v>0.78900000000000003</v>
      </c>
      <c r="L2413">
        <v>8.8999999999999999E-3</v>
      </c>
      <c r="M2413">
        <v>0.86899999999999999</v>
      </c>
      <c r="N2413">
        <v>0.16</v>
      </c>
    </row>
    <row r="2414" spans="1:14" x14ac:dyDescent="0.25">
      <c r="A2414" t="s">
        <v>4463</v>
      </c>
      <c r="B2414" t="s">
        <v>4464</v>
      </c>
      <c r="C2414" s="1" t="str">
        <f>HYPERLINK("http://www.genecards.org/cgi-bin/carddisp.pl?gene=ROGDI","GeneCards")</f>
        <v>GeneCards</v>
      </c>
      <c r="D2414" s="1" t="str">
        <f>HYPERLINK("http://genome-euro.ucsc.edu/cgi-bin/hgTracks?position=218394_at","UCSC")</f>
        <v>UCSC</v>
      </c>
      <c r="E2414" s="1" t="str">
        <f>HYPERLINK("http://www.ncbi.nlm.nih.gov/gene/?term=ROGDI","NCBI")</f>
        <v>NCBI</v>
      </c>
      <c r="F2414">
        <v>1.0999999999999999E-2</v>
      </c>
      <c r="G2414">
        <v>7.4999999999999997E-2</v>
      </c>
      <c r="H2414" s="1" t="str">
        <f>HYPERLINK("http://www.weizmann.ac.il/complex/compphys/software/geview/data/figures/218394_at.png","Figure")</f>
        <v>Figure</v>
      </c>
      <c r="I2414">
        <v>1.24</v>
      </c>
      <c r="J2414">
        <v>0.14000000000000001</v>
      </c>
      <c r="K2414">
        <v>1.39</v>
      </c>
      <c r="L2414">
        <v>8.0999999999999996E-3</v>
      </c>
      <c r="M2414">
        <v>1.1200000000000001</v>
      </c>
      <c r="N2414">
        <v>0.48</v>
      </c>
    </row>
    <row r="2415" spans="1:14" x14ac:dyDescent="0.25">
      <c r="A2415" t="s">
        <v>4465</v>
      </c>
      <c r="B2415" t="s">
        <v>4466</v>
      </c>
      <c r="C2415" s="1" t="str">
        <f>HYPERLINK("http://www.genecards.org/cgi-bin/carddisp.pl?gene=YRDC","GeneCards")</f>
        <v>GeneCards</v>
      </c>
      <c r="D2415" s="1" t="str">
        <f>HYPERLINK("http://genome-euro.ucsc.edu/cgi-bin/hgTracks?position=218647_s_at","UCSC")</f>
        <v>UCSC</v>
      </c>
      <c r="E2415" s="1" t="str">
        <f>HYPERLINK("http://www.ncbi.nlm.nih.gov/gene/?term=YRDC","NCBI")</f>
        <v>NCBI</v>
      </c>
      <c r="F2415">
        <v>1.0999999999999999E-2</v>
      </c>
      <c r="G2415">
        <v>7.4999999999999997E-2</v>
      </c>
      <c r="H2415" s="1" t="str">
        <f>HYPERLINK("http://www.weizmann.ac.il/complex/compphys/software/geview/data/figures/218647_s_at.png","Figure")</f>
        <v>Figure</v>
      </c>
      <c r="I2415">
        <v>0.51200000000000001</v>
      </c>
      <c r="J2415">
        <v>2.8000000000000001E-2</v>
      </c>
      <c r="K2415">
        <v>0.51900000000000002</v>
      </c>
      <c r="L2415">
        <v>1.4E-2</v>
      </c>
      <c r="M2415">
        <v>1.01</v>
      </c>
      <c r="N2415">
        <v>1</v>
      </c>
    </row>
    <row r="2416" spans="1:14" x14ac:dyDescent="0.25">
      <c r="A2416" t="s">
        <v>4467</v>
      </c>
      <c r="B2416" t="s">
        <v>4468</v>
      </c>
      <c r="C2416" s="1" t="str">
        <f>HYPERLINK("http://www.genecards.org/cgi-bin/carddisp.pl?gene=WDR5B","GeneCards")</f>
        <v>GeneCards</v>
      </c>
      <c r="D2416" s="1" t="str">
        <f>HYPERLINK("http://genome-euro.ucsc.edu/cgi-bin/hgTracks?position=219538_at","UCSC")</f>
        <v>UCSC</v>
      </c>
      <c r="E2416" s="1" t="str">
        <f>HYPERLINK("http://www.ncbi.nlm.nih.gov/gene/?term=WDR5B","NCBI")</f>
        <v>NCBI</v>
      </c>
      <c r="F2416">
        <v>1.0999999999999999E-2</v>
      </c>
      <c r="G2416">
        <v>7.4999999999999997E-2</v>
      </c>
      <c r="H2416" s="1" t="str">
        <f>HYPERLINK("http://www.weizmann.ac.il/complex/compphys/software/geview/data/figures/219538_at.png","Figure")</f>
        <v>Figure</v>
      </c>
      <c r="I2416">
        <v>0.82</v>
      </c>
      <c r="J2416">
        <v>8.8999999999999999E-3</v>
      </c>
      <c r="K2416">
        <v>0.93899999999999995</v>
      </c>
      <c r="L2416">
        <v>0.42</v>
      </c>
      <c r="M2416">
        <v>1.1499999999999999</v>
      </c>
      <c r="N2416">
        <v>5.1999999999999998E-2</v>
      </c>
    </row>
    <row r="2417" spans="1:14" x14ac:dyDescent="0.25">
      <c r="A2417" t="s">
        <v>4469</v>
      </c>
      <c r="B2417" t="s">
        <v>4470</v>
      </c>
      <c r="C2417" s="1" t="str">
        <f>HYPERLINK("http://www.genecards.org/cgi-bin/carddisp.pl?gene=KCNIP2","GeneCards")</f>
        <v>GeneCards</v>
      </c>
      <c r="D2417" s="1" t="str">
        <f>HYPERLINK("http://genome-euro.ucsc.edu/cgi-bin/hgTracks?position=221321_s_at","UCSC")</f>
        <v>UCSC</v>
      </c>
      <c r="E2417" s="1" t="str">
        <f>HYPERLINK("http://www.ncbi.nlm.nih.gov/gene/?term=KCNIP2","NCBI")</f>
        <v>NCBI</v>
      </c>
      <c r="F2417">
        <v>1.0999999999999999E-2</v>
      </c>
      <c r="G2417">
        <v>7.4999999999999997E-2</v>
      </c>
      <c r="H2417" s="1" t="str">
        <f>HYPERLINK("http://www.weizmann.ac.il/complex/compphys/software/geview/data/figures/221321_s_at.png","Figure")</f>
        <v>Figure</v>
      </c>
      <c r="I2417">
        <v>1.25</v>
      </c>
      <c r="J2417">
        <v>1.0999999999999999E-2</v>
      </c>
      <c r="K2417">
        <v>1.05</v>
      </c>
      <c r="L2417">
        <v>0.68</v>
      </c>
      <c r="M2417">
        <v>0.83699999999999997</v>
      </c>
      <c r="N2417">
        <v>0.03</v>
      </c>
    </row>
    <row r="2418" spans="1:14" x14ac:dyDescent="0.25">
      <c r="A2418" t="s">
        <v>4471</v>
      </c>
      <c r="B2418" t="s">
        <v>4472</v>
      </c>
      <c r="C2418" s="1" t="str">
        <f>HYPERLINK("http://www.genecards.org/cgi-bin/carddisp.pl?gene=DCTN5","GeneCards")</f>
        <v>GeneCards</v>
      </c>
      <c r="D2418" s="1" t="str">
        <f>HYPERLINK("http://genome-euro.ucsc.edu/cgi-bin/hgTracks?position=209232_s_at","UCSC")</f>
        <v>UCSC</v>
      </c>
      <c r="E2418" s="1" t="str">
        <f>HYPERLINK("http://www.ncbi.nlm.nih.gov/gene/?term=DCTN5","NCBI")</f>
        <v>NCBI</v>
      </c>
      <c r="F2418">
        <v>1.0999999999999999E-2</v>
      </c>
      <c r="G2418">
        <v>7.4999999999999997E-2</v>
      </c>
      <c r="H2418" s="1" t="str">
        <f>HYPERLINK("http://www.weizmann.ac.il/complex/compphys/software/geview/data/figures/209232_s_at.png","Figure")</f>
        <v>Figure</v>
      </c>
      <c r="I2418">
        <v>1.3</v>
      </c>
      <c r="J2418">
        <v>0.2</v>
      </c>
      <c r="K2418">
        <v>0.79900000000000004</v>
      </c>
      <c r="L2418">
        <v>0.22</v>
      </c>
      <c r="M2418">
        <v>0.61299999999999999</v>
      </c>
      <c r="N2418">
        <v>8.3999999999999995E-3</v>
      </c>
    </row>
    <row r="2419" spans="1:14" x14ac:dyDescent="0.25">
      <c r="A2419" t="s">
        <v>4473</v>
      </c>
      <c r="B2419" t="s">
        <v>3274</v>
      </c>
      <c r="C2419" s="1" t="str">
        <f>HYPERLINK("http://www.genecards.org/cgi-bin/carddisp.pl?gene=SMARCA4","GeneCards")</f>
        <v>GeneCards</v>
      </c>
      <c r="D2419" s="1" t="str">
        <f>HYPERLINK("http://genome-euro.ucsc.edu/cgi-bin/hgTracks?position=214728_x_at","UCSC")</f>
        <v>UCSC</v>
      </c>
      <c r="E2419" s="1" t="str">
        <f>HYPERLINK("http://www.ncbi.nlm.nih.gov/gene/?term=SMARCA4","NCBI")</f>
        <v>NCBI</v>
      </c>
      <c r="F2419">
        <v>1.0999999999999999E-2</v>
      </c>
      <c r="G2419">
        <v>7.4999999999999997E-2</v>
      </c>
      <c r="H2419" s="1" t="str">
        <f>HYPERLINK("http://www.weizmann.ac.il/complex/compphys/software/geview/data/figures/214728_x_at.png","Figure")</f>
        <v>Figure</v>
      </c>
      <c r="I2419">
        <v>1.77</v>
      </c>
      <c r="J2419">
        <v>2.1999999999999999E-2</v>
      </c>
      <c r="K2419">
        <v>0.98899999999999999</v>
      </c>
      <c r="L2419">
        <v>1</v>
      </c>
      <c r="M2419">
        <v>0.55800000000000005</v>
      </c>
      <c r="N2419">
        <v>1.2999999999999999E-2</v>
      </c>
    </row>
    <row r="2420" spans="1:14" x14ac:dyDescent="0.25">
      <c r="A2420" t="s">
        <v>4474</v>
      </c>
      <c r="B2420" t="s">
        <v>4475</v>
      </c>
      <c r="C2420" s="1" t="str">
        <f>HYPERLINK("http://www.genecards.org/cgi-bin/carddisp.pl?gene=IFNAR1","GeneCards")</f>
        <v>GeneCards</v>
      </c>
      <c r="D2420" s="1" t="str">
        <f>HYPERLINK("http://genome-euro.ucsc.edu/cgi-bin/hgTracks?position=204191_at","UCSC")</f>
        <v>UCSC</v>
      </c>
      <c r="E2420" s="1" t="str">
        <f>HYPERLINK("http://www.ncbi.nlm.nih.gov/gene/?term=IFNAR1","NCBI")</f>
        <v>NCBI</v>
      </c>
      <c r="F2420">
        <v>1.0999999999999999E-2</v>
      </c>
      <c r="G2420">
        <v>7.4999999999999997E-2</v>
      </c>
      <c r="H2420" s="1" t="str">
        <f>HYPERLINK("http://www.weizmann.ac.il/complex/compphys/software/geview/data/figures/204191_at.png","Figure")</f>
        <v>Figure</v>
      </c>
      <c r="I2420">
        <v>0.77300000000000002</v>
      </c>
      <c r="J2420">
        <v>1.6E-2</v>
      </c>
      <c r="K2420">
        <v>0.98</v>
      </c>
      <c r="L2420">
        <v>0.95</v>
      </c>
      <c r="M2420">
        <v>1.27</v>
      </c>
      <c r="N2420">
        <v>1.7000000000000001E-2</v>
      </c>
    </row>
    <row r="2421" spans="1:14" x14ac:dyDescent="0.25">
      <c r="A2421" t="s">
        <v>4476</v>
      </c>
      <c r="B2421" t="s">
        <v>4477</v>
      </c>
      <c r="C2421" s="1" t="str">
        <f>HYPERLINK("http://www.genecards.org/cgi-bin/carddisp.pl?gene=ADA","GeneCards")</f>
        <v>GeneCards</v>
      </c>
      <c r="D2421" s="1" t="str">
        <f>HYPERLINK("http://genome-euro.ucsc.edu/cgi-bin/hgTracks?position=204639_at","UCSC")</f>
        <v>UCSC</v>
      </c>
      <c r="E2421" s="1" t="str">
        <f>HYPERLINK("http://www.ncbi.nlm.nih.gov/gene/?term=ADA","NCBI")</f>
        <v>NCBI</v>
      </c>
      <c r="F2421">
        <v>1.0999999999999999E-2</v>
      </c>
      <c r="G2421">
        <v>7.4999999999999997E-2</v>
      </c>
      <c r="H2421" s="1" t="str">
        <f>HYPERLINK("http://www.weizmann.ac.il/complex/compphys/software/geview/data/figures/204639_at.png","Figure")</f>
        <v>Figure</v>
      </c>
      <c r="I2421">
        <v>1.3</v>
      </c>
      <c r="J2421">
        <v>0.44</v>
      </c>
      <c r="K2421">
        <v>1.92</v>
      </c>
      <c r="L2421">
        <v>8.9999999999999993E-3</v>
      </c>
      <c r="M2421">
        <v>1.48</v>
      </c>
      <c r="N2421">
        <v>0.15</v>
      </c>
    </row>
    <row r="2422" spans="1:14" x14ac:dyDescent="0.25">
      <c r="A2422" t="s">
        <v>4478</v>
      </c>
      <c r="B2422" t="s">
        <v>4479</v>
      </c>
      <c r="C2422" s="1" t="str">
        <f>HYPERLINK("http://www.genecards.org/cgi-bin/carddisp.pl?gene=ARNTL","GeneCards")</f>
        <v>GeneCards</v>
      </c>
      <c r="D2422" s="1" t="str">
        <f>HYPERLINK("http://genome-euro.ucsc.edu/cgi-bin/hgTracks?position=209824_s_at","UCSC")</f>
        <v>UCSC</v>
      </c>
      <c r="E2422" s="1" t="str">
        <f>HYPERLINK("http://www.ncbi.nlm.nih.gov/gene/?term=ARNTL","NCBI")</f>
        <v>NCBI</v>
      </c>
      <c r="F2422">
        <v>1.0999999999999999E-2</v>
      </c>
      <c r="G2422">
        <v>7.4999999999999997E-2</v>
      </c>
      <c r="H2422" s="1" t="str">
        <f>HYPERLINK("http://www.weizmann.ac.il/complex/compphys/software/geview/data/figures/209824_s_at.png","Figure")</f>
        <v>Figure</v>
      </c>
      <c r="I2422">
        <v>1.6</v>
      </c>
      <c r="J2422">
        <v>4.8000000000000001E-2</v>
      </c>
      <c r="K2422">
        <v>0.88900000000000001</v>
      </c>
      <c r="L2422">
        <v>0.73</v>
      </c>
      <c r="M2422">
        <v>0.55500000000000005</v>
      </c>
      <c r="N2422">
        <v>9.1000000000000004E-3</v>
      </c>
    </row>
    <row r="2423" spans="1:14" x14ac:dyDescent="0.25">
      <c r="A2423" t="s">
        <v>4480</v>
      </c>
      <c r="B2423" t="s">
        <v>4481</v>
      </c>
      <c r="C2423" s="1" t="str">
        <f>HYPERLINK("http://www.genecards.org/cgi-bin/carddisp.pl?gene=DNAJC13","GeneCards")</f>
        <v>GeneCards</v>
      </c>
      <c r="D2423" s="1" t="str">
        <f>HYPERLINK("http://genome-euro.ucsc.edu/cgi-bin/hgTracks?position=212467_at","UCSC")</f>
        <v>UCSC</v>
      </c>
      <c r="E2423" s="1" t="str">
        <f>HYPERLINK("http://www.ncbi.nlm.nih.gov/gene/?term=DNAJC13","NCBI")</f>
        <v>NCBI</v>
      </c>
      <c r="F2423">
        <v>1.0999999999999999E-2</v>
      </c>
      <c r="G2423">
        <v>7.4999999999999997E-2</v>
      </c>
      <c r="H2423" s="1" t="str">
        <f>HYPERLINK("http://www.weizmann.ac.il/complex/compphys/software/geview/data/figures/212467_at.png","Figure")</f>
        <v>Figure</v>
      </c>
      <c r="I2423">
        <v>0.76400000000000001</v>
      </c>
      <c r="J2423">
        <v>0.22</v>
      </c>
      <c r="K2423">
        <v>1.28</v>
      </c>
      <c r="L2423">
        <v>0.2</v>
      </c>
      <c r="M2423">
        <v>1.67</v>
      </c>
      <c r="N2423">
        <v>8.6E-3</v>
      </c>
    </row>
    <row r="2424" spans="1:14" x14ac:dyDescent="0.25">
      <c r="A2424" t="s">
        <v>4482</v>
      </c>
      <c r="B2424" t="s">
        <v>4483</v>
      </c>
      <c r="C2424" s="1" t="str">
        <f>HYPERLINK("http://www.genecards.org/cgi-bin/carddisp.pl?gene=CCDC53","GeneCards")</f>
        <v>GeneCards</v>
      </c>
      <c r="D2424" s="1" t="str">
        <f>HYPERLINK("http://genome-euro.ucsc.edu/cgi-bin/hgTracks?position=218628_at","UCSC")</f>
        <v>UCSC</v>
      </c>
      <c r="E2424" s="1" t="str">
        <f>HYPERLINK("http://www.ncbi.nlm.nih.gov/gene/?term=CCDC53","NCBI")</f>
        <v>NCBI</v>
      </c>
      <c r="F2424">
        <v>1.0999999999999999E-2</v>
      </c>
      <c r="G2424">
        <v>7.4999999999999997E-2</v>
      </c>
      <c r="H2424" s="1" t="str">
        <f>HYPERLINK("http://www.weizmann.ac.il/complex/compphys/software/geview/data/figures/218628_at.png","Figure")</f>
        <v>Figure</v>
      </c>
      <c r="I2424">
        <v>0.64200000000000002</v>
      </c>
      <c r="J2424">
        <v>0.26</v>
      </c>
      <c r="K2424">
        <v>1.57</v>
      </c>
      <c r="L2424">
        <v>0.17</v>
      </c>
      <c r="M2424">
        <v>2.44</v>
      </c>
      <c r="N2424">
        <v>8.8000000000000005E-3</v>
      </c>
    </row>
    <row r="2425" spans="1:14" x14ac:dyDescent="0.25">
      <c r="A2425" t="s">
        <v>4484</v>
      </c>
      <c r="B2425" t="s">
        <v>4485</v>
      </c>
      <c r="C2425" s="1" t="str">
        <f>HYPERLINK("http://www.genecards.org/cgi-bin/carddisp.pl?gene=UBE2H","GeneCards")</f>
        <v>GeneCards</v>
      </c>
      <c r="D2425" s="1" t="str">
        <f>HYPERLINK("http://genome-euro.ucsc.edu/cgi-bin/hgTracks?position=221962_s_at","UCSC")</f>
        <v>UCSC</v>
      </c>
      <c r="E2425" s="1" t="str">
        <f>HYPERLINK("http://www.ncbi.nlm.nih.gov/gene/?term=UBE2H","NCBI")</f>
        <v>NCBI</v>
      </c>
      <c r="F2425">
        <v>1.0999999999999999E-2</v>
      </c>
      <c r="G2425">
        <v>7.4999999999999997E-2</v>
      </c>
      <c r="H2425" s="1" t="str">
        <f>HYPERLINK("http://www.weizmann.ac.il/complex/compphys/software/geview/data/figures/221962_s_at.png","Figure")</f>
        <v>Figure</v>
      </c>
      <c r="I2425">
        <v>0.996</v>
      </c>
      <c r="J2425">
        <v>1</v>
      </c>
      <c r="K2425">
        <v>0.71499999999999997</v>
      </c>
      <c r="L2425">
        <v>0.02</v>
      </c>
      <c r="M2425">
        <v>0.71799999999999997</v>
      </c>
      <c r="N2425">
        <v>3.2000000000000001E-2</v>
      </c>
    </row>
    <row r="2426" spans="1:14" x14ac:dyDescent="0.25">
      <c r="A2426" t="s">
        <v>4486</v>
      </c>
      <c r="B2426" t="s">
        <v>4487</v>
      </c>
      <c r="C2426" s="1" t="str">
        <f>HYPERLINK("http://www.genecards.org/cgi-bin/carddisp.pl?gene=PRKY","GeneCards")</f>
        <v>GeneCards</v>
      </c>
      <c r="D2426" s="1" t="str">
        <f>HYPERLINK("http://genome-euro.ucsc.edu/cgi-bin/hgTracks?position=206279_at","UCSC")</f>
        <v>UCSC</v>
      </c>
      <c r="E2426" s="1" t="str">
        <f>HYPERLINK("http://www.ncbi.nlm.nih.gov/gene/?term=PRKY","NCBI")</f>
        <v>NCBI</v>
      </c>
      <c r="F2426">
        <v>1.0999999999999999E-2</v>
      </c>
      <c r="G2426">
        <v>7.4999999999999997E-2</v>
      </c>
      <c r="H2426" s="1" t="str">
        <f>HYPERLINK("http://www.weizmann.ac.il/complex/compphys/software/geview/data/figures/206279_at.png","Figure")</f>
        <v>Figure</v>
      </c>
      <c r="I2426">
        <v>1.5</v>
      </c>
      <c r="J2426">
        <v>1.2E-2</v>
      </c>
      <c r="K2426">
        <v>1.07</v>
      </c>
      <c r="L2426">
        <v>0.8</v>
      </c>
      <c r="M2426">
        <v>0.71199999999999997</v>
      </c>
      <c r="N2426">
        <v>2.4E-2</v>
      </c>
    </row>
    <row r="2427" spans="1:14" x14ac:dyDescent="0.25">
      <c r="A2427" t="s">
        <v>4488</v>
      </c>
      <c r="B2427" t="s">
        <v>4489</v>
      </c>
      <c r="C2427" s="1" t="str">
        <f>HYPERLINK("http://www.genecards.org/cgi-bin/carddisp.pl?gene=LOC90925","GeneCards")</f>
        <v>GeneCards</v>
      </c>
      <c r="D2427" s="1" t="str">
        <f>HYPERLINK("http://genome-euro.ucsc.edu/cgi-bin/hgTracks?position=210450_at","UCSC")</f>
        <v>UCSC</v>
      </c>
      <c r="E2427" s="1" t="str">
        <f>HYPERLINK("http://www.ncbi.nlm.nih.gov/gene/?term=LOC90925","NCBI")</f>
        <v>NCBI</v>
      </c>
      <c r="F2427">
        <v>1.0999999999999999E-2</v>
      </c>
      <c r="G2427">
        <v>7.4999999999999997E-2</v>
      </c>
      <c r="H2427" s="1" t="str">
        <f>HYPERLINK("http://www.weizmann.ac.il/complex/compphys/software/geview/data/figures/210450_at.png","Figure")</f>
        <v>Figure</v>
      </c>
      <c r="I2427">
        <v>0.94299999999999995</v>
      </c>
      <c r="J2427">
        <v>0.97</v>
      </c>
      <c r="K2427">
        <v>1.86</v>
      </c>
      <c r="L2427">
        <v>2.7E-2</v>
      </c>
      <c r="M2427">
        <v>1.97</v>
      </c>
      <c r="N2427">
        <v>2.4E-2</v>
      </c>
    </row>
    <row r="2428" spans="1:14" x14ac:dyDescent="0.25">
      <c r="A2428" t="s">
        <v>4490</v>
      </c>
      <c r="B2428" t="s">
        <v>4491</v>
      </c>
      <c r="C2428" s="1" t="str">
        <f>HYPERLINK("http://www.genecards.org/cgi-bin/carddisp.pl?gene=KBTBD4 /// PTPMT1","GeneCards")</f>
        <v>GeneCards</v>
      </c>
      <c r="D2428" s="1" t="str">
        <f>HYPERLINK("http://genome-euro.ucsc.edu/cgi-bin/hgTracks?position=218570_at","UCSC")</f>
        <v>UCSC</v>
      </c>
      <c r="E2428" s="1" t="str">
        <f>HYPERLINK("http://www.ncbi.nlm.nih.gov/gene/?term=KBTBD4 /// PTPMT1","NCBI")</f>
        <v>NCBI</v>
      </c>
      <c r="F2428">
        <v>1.0999999999999999E-2</v>
      </c>
      <c r="G2428">
        <v>7.4999999999999997E-2</v>
      </c>
      <c r="H2428" s="1" t="str">
        <f>HYPERLINK("http://www.weizmann.ac.il/complex/compphys/software/geview/data/figures/218570_at.png","Figure")</f>
        <v>Figure</v>
      </c>
      <c r="I2428">
        <v>0.81100000000000005</v>
      </c>
      <c r="J2428">
        <v>0.34</v>
      </c>
      <c r="K2428">
        <v>0.63900000000000001</v>
      </c>
      <c r="L2428">
        <v>8.5000000000000006E-3</v>
      </c>
      <c r="M2428">
        <v>0.78800000000000003</v>
      </c>
      <c r="N2428">
        <v>0.21</v>
      </c>
    </row>
    <row r="2429" spans="1:14" x14ac:dyDescent="0.25">
      <c r="A2429" t="s">
        <v>4492</v>
      </c>
      <c r="B2429" t="s">
        <v>4493</v>
      </c>
      <c r="C2429" s="1" t="str">
        <f>HYPERLINK("http://www.genecards.org/cgi-bin/carddisp.pl?gene=APIP","GeneCards")</f>
        <v>GeneCards</v>
      </c>
      <c r="D2429" s="1" t="str">
        <f>HYPERLINK("http://genome-euro.ucsc.edu/cgi-bin/hgTracks?position=218698_at","UCSC")</f>
        <v>UCSC</v>
      </c>
      <c r="E2429" s="1" t="str">
        <f>HYPERLINK("http://www.ncbi.nlm.nih.gov/gene/?term=APIP","NCBI")</f>
        <v>NCBI</v>
      </c>
      <c r="F2429">
        <v>1.0999999999999999E-2</v>
      </c>
      <c r="G2429">
        <v>7.4999999999999997E-2</v>
      </c>
      <c r="H2429" s="1" t="str">
        <f>HYPERLINK("http://www.weizmann.ac.il/complex/compphys/software/geview/data/figures/218698_at.png","Figure")</f>
        <v>Figure</v>
      </c>
      <c r="I2429">
        <v>0.73499999999999999</v>
      </c>
      <c r="J2429">
        <v>0.3</v>
      </c>
      <c r="K2429">
        <v>1.42</v>
      </c>
      <c r="L2429">
        <v>0.14000000000000001</v>
      </c>
      <c r="M2429">
        <v>1.94</v>
      </c>
      <c r="N2429">
        <v>9.1999999999999998E-3</v>
      </c>
    </row>
    <row r="2430" spans="1:14" x14ac:dyDescent="0.25">
      <c r="A2430" t="s">
        <v>4494</v>
      </c>
      <c r="B2430" t="s">
        <v>4495</v>
      </c>
      <c r="C2430" s="1" t="str">
        <f>HYPERLINK("http://www.genecards.org/cgi-bin/carddisp.pl?gene=TRAPPC2","GeneCards")</f>
        <v>GeneCards</v>
      </c>
      <c r="D2430" s="1" t="str">
        <f>HYPERLINK("http://genome-euro.ucsc.edu/cgi-bin/hgTracks?position=219351_at","UCSC")</f>
        <v>UCSC</v>
      </c>
      <c r="E2430" s="1" t="str">
        <f>HYPERLINK("http://www.ncbi.nlm.nih.gov/gene/?term=TRAPPC2","NCBI")</f>
        <v>NCBI</v>
      </c>
      <c r="F2430">
        <v>1.0999999999999999E-2</v>
      </c>
      <c r="G2430">
        <v>7.4999999999999997E-2</v>
      </c>
      <c r="H2430" s="1" t="str">
        <f>HYPERLINK("http://www.weizmann.ac.il/complex/compphys/software/geview/data/figures/219351_at.png","Figure")</f>
        <v>Figure</v>
      </c>
      <c r="I2430">
        <v>0.48099999999999998</v>
      </c>
      <c r="J2430">
        <v>0.01</v>
      </c>
      <c r="K2430">
        <v>0.84</v>
      </c>
      <c r="L2430">
        <v>0.62</v>
      </c>
      <c r="M2430">
        <v>1.75</v>
      </c>
      <c r="N2430">
        <v>3.4000000000000002E-2</v>
      </c>
    </row>
    <row r="2431" spans="1:14" x14ac:dyDescent="0.25">
      <c r="A2431" t="s">
        <v>4496</v>
      </c>
      <c r="B2431" t="s">
        <v>4497</v>
      </c>
      <c r="C2431" s="1" t="str">
        <f>HYPERLINK("http://www.genecards.org/cgi-bin/carddisp.pl?gene=SLC39A7","GeneCards")</f>
        <v>GeneCards</v>
      </c>
      <c r="D2431" s="1" t="str">
        <f>HYPERLINK("http://genome-euro.ucsc.edu/cgi-bin/hgTracks?position=202667_s_at","UCSC")</f>
        <v>UCSC</v>
      </c>
      <c r="E2431" s="1" t="str">
        <f>HYPERLINK("http://www.ncbi.nlm.nih.gov/gene/?term=SLC39A7","NCBI")</f>
        <v>NCBI</v>
      </c>
      <c r="F2431">
        <v>1.0999999999999999E-2</v>
      </c>
      <c r="G2431">
        <v>7.4999999999999997E-2</v>
      </c>
      <c r="H2431" s="1" t="str">
        <f>HYPERLINK("http://www.weizmann.ac.il/complex/compphys/software/geview/data/figures/202667_s_at.png","Figure")</f>
        <v>Figure</v>
      </c>
      <c r="I2431">
        <v>0.90900000000000003</v>
      </c>
      <c r="J2431">
        <v>0.14000000000000001</v>
      </c>
      <c r="K2431">
        <v>1.07</v>
      </c>
      <c r="L2431">
        <v>0.3</v>
      </c>
      <c r="M2431">
        <v>1.17</v>
      </c>
      <c r="N2431">
        <v>8.2000000000000007E-3</v>
      </c>
    </row>
    <row r="2432" spans="1:14" x14ac:dyDescent="0.25">
      <c r="A2432" t="s">
        <v>4498</v>
      </c>
      <c r="B2432" t="s">
        <v>4499</v>
      </c>
      <c r="C2432" s="1" t="str">
        <f>HYPERLINK("http://www.genecards.org/cgi-bin/carddisp.pl?gene=FUT3","GeneCards")</f>
        <v>GeneCards</v>
      </c>
      <c r="D2432" s="1" t="str">
        <f>HYPERLINK("http://genome-euro.ucsc.edu/cgi-bin/hgTracks?position=214088_s_at","UCSC")</f>
        <v>UCSC</v>
      </c>
      <c r="E2432" s="1" t="str">
        <f>HYPERLINK("http://www.ncbi.nlm.nih.gov/gene/?term=FUT3","NCBI")</f>
        <v>NCBI</v>
      </c>
      <c r="F2432">
        <v>1.0999999999999999E-2</v>
      </c>
      <c r="G2432">
        <v>7.4999999999999997E-2</v>
      </c>
      <c r="H2432" s="1" t="str">
        <f>HYPERLINK("http://www.weizmann.ac.il/complex/compphys/software/geview/data/figures/214088_s_at.png","Figure")</f>
        <v>Figure</v>
      </c>
      <c r="I2432">
        <v>1.48</v>
      </c>
      <c r="J2432">
        <v>8.5000000000000006E-3</v>
      </c>
      <c r="K2432">
        <v>1.1499999999999999</v>
      </c>
      <c r="L2432">
        <v>0.33</v>
      </c>
      <c r="M2432">
        <v>0.78</v>
      </c>
      <c r="N2432">
        <v>6.9000000000000006E-2</v>
      </c>
    </row>
    <row r="2433" spans="1:14" x14ac:dyDescent="0.25">
      <c r="A2433" t="s">
        <v>4500</v>
      </c>
      <c r="B2433" t="s">
        <v>4501</v>
      </c>
      <c r="C2433" s="1" t="str">
        <f>HYPERLINK("http://www.genecards.org/cgi-bin/carddisp.pl?gene=CIB2","GeneCards")</f>
        <v>GeneCards</v>
      </c>
      <c r="D2433" s="1" t="str">
        <f>HYPERLINK("http://genome-euro.ucsc.edu/cgi-bin/hgTracks?position=205008_s_at","UCSC")</f>
        <v>UCSC</v>
      </c>
      <c r="E2433" s="1" t="str">
        <f>HYPERLINK("http://www.ncbi.nlm.nih.gov/gene/?term=CIB2","NCBI")</f>
        <v>NCBI</v>
      </c>
      <c r="F2433">
        <v>1.0999999999999999E-2</v>
      </c>
      <c r="G2433">
        <v>7.4999999999999997E-2</v>
      </c>
      <c r="H2433" s="1" t="str">
        <f>HYPERLINK("http://www.weizmann.ac.il/complex/compphys/software/geview/data/figures/205008_s_at.png","Figure")</f>
        <v>Figure</v>
      </c>
      <c r="I2433">
        <v>1.32</v>
      </c>
      <c r="J2433">
        <v>9.4000000000000004E-3</v>
      </c>
      <c r="K2433">
        <v>1.08</v>
      </c>
      <c r="L2433">
        <v>0.49</v>
      </c>
      <c r="M2433">
        <v>0.82099999999999995</v>
      </c>
      <c r="N2433">
        <v>4.4999999999999998E-2</v>
      </c>
    </row>
    <row r="2434" spans="1:14" x14ac:dyDescent="0.25">
      <c r="A2434" t="s">
        <v>4502</v>
      </c>
      <c r="B2434" t="s">
        <v>4503</v>
      </c>
      <c r="C2434" s="1" t="str">
        <f>HYPERLINK("http://www.genecards.org/cgi-bin/carddisp.pl?gene=MNX1","GeneCards")</f>
        <v>GeneCards</v>
      </c>
      <c r="D2434" s="1" t="str">
        <f>HYPERLINK("http://genome-euro.ucsc.edu/cgi-bin/hgTracks?position=214614_at","UCSC")</f>
        <v>UCSC</v>
      </c>
      <c r="E2434" s="1" t="str">
        <f>HYPERLINK("http://www.ncbi.nlm.nih.gov/gene/?term=MNX1","NCBI")</f>
        <v>NCBI</v>
      </c>
      <c r="F2434">
        <v>1.0999999999999999E-2</v>
      </c>
      <c r="G2434">
        <v>7.4999999999999997E-2</v>
      </c>
      <c r="H2434" s="1" t="str">
        <f>HYPERLINK("http://www.weizmann.ac.il/complex/compphys/software/geview/data/figures/214614_at.png","Figure")</f>
        <v>Figure</v>
      </c>
      <c r="I2434">
        <v>1.28</v>
      </c>
      <c r="J2434">
        <v>8.3999999999999995E-3</v>
      </c>
      <c r="K2434">
        <v>1.1399999999999999</v>
      </c>
      <c r="L2434">
        <v>0.12</v>
      </c>
      <c r="M2434">
        <v>0.88900000000000001</v>
      </c>
      <c r="N2434">
        <v>0.19</v>
      </c>
    </row>
    <row r="2435" spans="1:14" x14ac:dyDescent="0.25">
      <c r="A2435" t="s">
        <v>4504</v>
      </c>
      <c r="B2435" t="s">
        <v>4505</v>
      </c>
      <c r="C2435" s="1" t="str">
        <f>HYPERLINK("http://www.genecards.org/cgi-bin/carddisp.pl?gene=ZNF408","GeneCards")</f>
        <v>GeneCards</v>
      </c>
      <c r="D2435" s="1" t="str">
        <f>HYPERLINK("http://genome-euro.ucsc.edu/cgi-bin/hgTracks?position=219224_x_at","UCSC")</f>
        <v>UCSC</v>
      </c>
      <c r="E2435" s="1" t="str">
        <f>HYPERLINK("http://www.ncbi.nlm.nih.gov/gene/?term=ZNF408","NCBI")</f>
        <v>NCBI</v>
      </c>
      <c r="F2435">
        <v>1.0999999999999999E-2</v>
      </c>
      <c r="G2435">
        <v>7.4999999999999997E-2</v>
      </c>
      <c r="H2435" s="1" t="str">
        <f>HYPERLINK("http://www.weizmann.ac.il/complex/compphys/software/geview/data/figures/219224_x_at.png","Figure")</f>
        <v>Figure</v>
      </c>
      <c r="I2435">
        <v>1.35</v>
      </c>
      <c r="J2435">
        <v>4.1000000000000002E-2</v>
      </c>
      <c r="K2435">
        <v>0.94199999999999995</v>
      </c>
      <c r="L2435">
        <v>0.81</v>
      </c>
      <c r="M2435">
        <v>0.69699999999999995</v>
      </c>
      <c r="N2435">
        <v>9.7000000000000003E-3</v>
      </c>
    </row>
    <row r="2436" spans="1:14" x14ac:dyDescent="0.25">
      <c r="A2436" t="s">
        <v>4506</v>
      </c>
      <c r="B2436" t="s">
        <v>4507</v>
      </c>
      <c r="C2436" s="1" t="str">
        <f>HYPERLINK("http://www.genecards.org/cgi-bin/carddisp.pl?gene=WSB1","GeneCards")</f>
        <v>GeneCards</v>
      </c>
      <c r="D2436" s="1" t="str">
        <f>HYPERLINK("http://genome-euro.ucsc.edu/cgi-bin/hgTracks?position=201296_s_at","UCSC")</f>
        <v>UCSC</v>
      </c>
      <c r="E2436" s="1" t="str">
        <f>HYPERLINK("http://www.ncbi.nlm.nih.gov/gene/?term=WSB1","NCBI")</f>
        <v>NCBI</v>
      </c>
      <c r="F2436">
        <v>1.0999999999999999E-2</v>
      </c>
      <c r="G2436">
        <v>7.5999999999999998E-2</v>
      </c>
      <c r="H2436" s="1" t="str">
        <f>HYPERLINK("http://www.weizmann.ac.il/complex/compphys/software/geview/data/figures/201296_s_at.png","Figure")</f>
        <v>Figure</v>
      </c>
      <c r="I2436">
        <v>0.48399999999999999</v>
      </c>
      <c r="J2436">
        <v>2.4E-2</v>
      </c>
      <c r="K2436">
        <v>0.51</v>
      </c>
      <c r="L2436">
        <v>1.7000000000000001E-2</v>
      </c>
      <c r="M2436">
        <v>1.05</v>
      </c>
      <c r="N2436">
        <v>0.97</v>
      </c>
    </row>
    <row r="2437" spans="1:14" x14ac:dyDescent="0.25">
      <c r="A2437" t="s">
        <v>4508</v>
      </c>
      <c r="B2437" t="s">
        <v>4509</v>
      </c>
      <c r="C2437" s="1" t="str">
        <f>HYPERLINK("http://www.genecards.org/cgi-bin/carddisp.pl?gene=ASXL1","GeneCards")</f>
        <v>GeneCards</v>
      </c>
      <c r="D2437" s="1" t="str">
        <f>HYPERLINK("http://genome-euro.ucsc.edu/cgi-bin/hgTracks?position=212234_at","UCSC")</f>
        <v>UCSC</v>
      </c>
      <c r="E2437" s="1" t="str">
        <f>HYPERLINK("http://www.ncbi.nlm.nih.gov/gene/?term=ASXL1","NCBI")</f>
        <v>NCBI</v>
      </c>
      <c r="F2437">
        <v>1.0999999999999999E-2</v>
      </c>
      <c r="G2437">
        <v>7.5999999999999998E-2</v>
      </c>
      <c r="H2437" s="1" t="str">
        <f>HYPERLINK("http://www.weizmann.ac.il/complex/compphys/software/geview/data/figures/212234_at.png","Figure")</f>
        <v>Figure</v>
      </c>
      <c r="I2437">
        <v>1.41</v>
      </c>
      <c r="J2437">
        <v>1.2999999999999999E-2</v>
      </c>
      <c r="K2437">
        <v>1.29</v>
      </c>
      <c r="L2437">
        <v>3.3000000000000002E-2</v>
      </c>
      <c r="M2437">
        <v>0.91700000000000004</v>
      </c>
      <c r="N2437">
        <v>0.64</v>
      </c>
    </row>
    <row r="2438" spans="1:14" x14ac:dyDescent="0.25">
      <c r="A2438" t="s">
        <v>4510</v>
      </c>
      <c r="B2438" t="s">
        <v>4511</v>
      </c>
      <c r="C2438" s="1" t="str">
        <f>HYPERLINK("http://www.genecards.org/cgi-bin/carddisp.pl?gene=SLC25A17","GeneCards")</f>
        <v>GeneCards</v>
      </c>
      <c r="D2438" s="1" t="str">
        <f>HYPERLINK("http://genome-euro.ucsc.edu/cgi-bin/hgTracks?position=211754_s_at","UCSC")</f>
        <v>UCSC</v>
      </c>
      <c r="E2438" s="1" t="str">
        <f>HYPERLINK("http://www.ncbi.nlm.nih.gov/gene/?term=SLC25A17","NCBI")</f>
        <v>NCBI</v>
      </c>
      <c r="F2438">
        <v>1.0999999999999999E-2</v>
      </c>
      <c r="G2438">
        <v>7.5999999999999998E-2</v>
      </c>
      <c r="H2438" s="1" t="str">
        <f>HYPERLINK("http://www.weizmann.ac.il/complex/compphys/software/geview/data/figures/211754_s_at.png","Figure")</f>
        <v>Figure</v>
      </c>
      <c r="I2438">
        <v>0.86599999999999999</v>
      </c>
      <c r="J2438">
        <v>0.26</v>
      </c>
      <c r="K2438">
        <v>1.1599999999999999</v>
      </c>
      <c r="L2438">
        <v>0.17</v>
      </c>
      <c r="M2438">
        <v>1.34</v>
      </c>
      <c r="N2438">
        <v>8.9999999999999993E-3</v>
      </c>
    </row>
    <row r="2439" spans="1:14" x14ac:dyDescent="0.25">
      <c r="A2439" t="s">
        <v>4512</v>
      </c>
      <c r="B2439" t="s">
        <v>4513</v>
      </c>
      <c r="C2439" s="1" t="str">
        <f>HYPERLINK("http://www.genecards.org/cgi-bin/carddisp.pl?gene=LOX","GeneCards")</f>
        <v>GeneCards</v>
      </c>
      <c r="D2439" s="1" t="str">
        <f>HYPERLINK("http://genome-euro.ucsc.edu/cgi-bin/hgTracks?position=213640_s_at","UCSC")</f>
        <v>UCSC</v>
      </c>
      <c r="E2439" s="1" t="str">
        <f>HYPERLINK("http://www.ncbi.nlm.nih.gov/gene/?term=LOX","NCBI")</f>
        <v>NCBI</v>
      </c>
      <c r="F2439">
        <v>1.0999999999999999E-2</v>
      </c>
      <c r="G2439">
        <v>7.5999999999999998E-2</v>
      </c>
      <c r="H2439" s="1" t="str">
        <f>HYPERLINK("http://www.weizmann.ac.il/complex/compphys/software/geview/data/figures/213640_s_at.png","Figure")</f>
        <v>Figure</v>
      </c>
      <c r="I2439">
        <v>1.08</v>
      </c>
      <c r="J2439">
        <v>0.53</v>
      </c>
      <c r="K2439">
        <v>0.86899999999999999</v>
      </c>
      <c r="L2439">
        <v>7.5999999999999998E-2</v>
      </c>
      <c r="M2439">
        <v>0.80700000000000005</v>
      </c>
      <c r="N2439">
        <v>1.2E-2</v>
      </c>
    </row>
    <row r="2440" spans="1:14" x14ac:dyDescent="0.25">
      <c r="A2440" t="s">
        <v>4514</v>
      </c>
      <c r="B2440" t="s">
        <v>4515</v>
      </c>
      <c r="C2440" s="1" t="str">
        <f>HYPERLINK("http://www.genecards.org/cgi-bin/carddisp.pl?gene=ALDH18A1","GeneCards")</f>
        <v>GeneCards</v>
      </c>
      <c r="D2440" s="1" t="str">
        <f>HYPERLINK("http://genome-euro.ucsc.edu/cgi-bin/hgTracks?position=217791_s_at","UCSC")</f>
        <v>UCSC</v>
      </c>
      <c r="E2440" s="1" t="str">
        <f>HYPERLINK("http://www.ncbi.nlm.nih.gov/gene/?term=ALDH18A1","NCBI")</f>
        <v>NCBI</v>
      </c>
      <c r="F2440">
        <v>1.0999999999999999E-2</v>
      </c>
      <c r="G2440">
        <v>7.5999999999999998E-2</v>
      </c>
      <c r="H2440" s="1" t="str">
        <f>HYPERLINK("http://www.weizmann.ac.il/complex/compphys/software/geview/data/figures/217791_s_at.png","Figure")</f>
        <v>Figure</v>
      </c>
      <c r="I2440">
        <v>0.91800000000000004</v>
      </c>
      <c r="J2440">
        <v>0.83</v>
      </c>
      <c r="K2440">
        <v>1.43</v>
      </c>
      <c r="L2440">
        <v>3.9E-2</v>
      </c>
      <c r="M2440">
        <v>1.55</v>
      </c>
      <c r="N2440">
        <v>1.7000000000000001E-2</v>
      </c>
    </row>
    <row r="2441" spans="1:14" x14ac:dyDescent="0.25">
      <c r="A2441" t="s">
        <v>4516</v>
      </c>
      <c r="B2441" t="s">
        <v>4517</v>
      </c>
      <c r="C2441" s="1" t="str">
        <f>HYPERLINK("http://www.genecards.org/cgi-bin/carddisp.pl?gene=C6orf64","GeneCards")</f>
        <v>GeneCards</v>
      </c>
      <c r="D2441" s="1" t="str">
        <f>HYPERLINK("http://genome-euro.ucsc.edu/cgi-bin/hgTracks?position=218784_s_at","UCSC")</f>
        <v>UCSC</v>
      </c>
      <c r="E2441" s="1" t="str">
        <f>HYPERLINK("http://www.ncbi.nlm.nih.gov/gene/?term=C6orf64","NCBI")</f>
        <v>NCBI</v>
      </c>
      <c r="F2441">
        <v>1.0999999999999999E-2</v>
      </c>
      <c r="G2441">
        <v>7.5999999999999998E-2</v>
      </c>
      <c r="H2441" s="1" t="str">
        <f>HYPERLINK("http://www.weizmann.ac.il/complex/compphys/software/geview/data/figures/218784_s_at.png","Figure")</f>
        <v>Figure</v>
      </c>
      <c r="I2441">
        <v>0.76</v>
      </c>
      <c r="J2441">
        <v>7.0999999999999994E-2</v>
      </c>
      <c r="K2441">
        <v>0.70799999999999996</v>
      </c>
      <c r="L2441">
        <v>9.4999999999999998E-3</v>
      </c>
      <c r="M2441">
        <v>0.93100000000000005</v>
      </c>
      <c r="N2441">
        <v>0.78</v>
      </c>
    </row>
    <row r="2442" spans="1:14" x14ac:dyDescent="0.25">
      <c r="A2442" t="s">
        <v>4518</v>
      </c>
      <c r="B2442" t="s">
        <v>4519</v>
      </c>
      <c r="C2442" s="1" t="str">
        <f>HYPERLINK("http://www.genecards.org/cgi-bin/carddisp.pl?gene=CNOT1","GeneCards")</f>
        <v>GeneCards</v>
      </c>
      <c r="D2442" s="1" t="str">
        <f>HYPERLINK("http://genome-euro.ucsc.edu/cgi-bin/hgTracks?position=200860_s_at","UCSC")</f>
        <v>UCSC</v>
      </c>
      <c r="E2442" s="1" t="str">
        <f>HYPERLINK("http://www.ncbi.nlm.nih.gov/gene/?term=CNOT1","NCBI")</f>
        <v>NCBI</v>
      </c>
      <c r="F2442">
        <v>1.0999999999999999E-2</v>
      </c>
      <c r="G2442">
        <v>7.5999999999999998E-2</v>
      </c>
      <c r="H2442" s="1" t="str">
        <f>HYPERLINK("http://www.weizmann.ac.il/complex/compphys/software/geview/data/figures/200860_s_at.png","Figure")</f>
        <v>Figure</v>
      </c>
      <c r="I2442">
        <v>1.58</v>
      </c>
      <c r="J2442">
        <v>8.1000000000000003E-2</v>
      </c>
      <c r="K2442">
        <v>1.82</v>
      </c>
      <c r="L2442">
        <v>9.1999999999999998E-3</v>
      </c>
      <c r="M2442">
        <v>1.1499999999999999</v>
      </c>
      <c r="N2442">
        <v>0.72</v>
      </c>
    </row>
    <row r="2443" spans="1:14" x14ac:dyDescent="0.25">
      <c r="A2443" t="s">
        <v>4520</v>
      </c>
      <c r="B2443" t="s">
        <v>4521</v>
      </c>
      <c r="C2443" s="1" t="str">
        <f>HYPERLINK("http://www.genecards.org/cgi-bin/carddisp.pl?gene=PHEX","GeneCards")</f>
        <v>GeneCards</v>
      </c>
      <c r="D2443" s="1" t="str">
        <f>HYPERLINK("http://genome-euro.ucsc.edu/cgi-bin/hgTracks?position=210617_at","UCSC")</f>
        <v>UCSC</v>
      </c>
      <c r="E2443" s="1" t="str">
        <f>HYPERLINK("http://www.ncbi.nlm.nih.gov/gene/?term=PHEX","NCBI")</f>
        <v>NCBI</v>
      </c>
      <c r="F2443">
        <v>1.0999999999999999E-2</v>
      </c>
      <c r="G2443">
        <v>7.5999999999999998E-2</v>
      </c>
      <c r="H2443" s="1" t="str">
        <f>HYPERLINK("http://www.weizmann.ac.il/complex/compphys/software/geview/data/figures/210617_at.png","Figure")</f>
        <v>Figure</v>
      </c>
      <c r="I2443">
        <v>1.18</v>
      </c>
      <c r="J2443">
        <v>8.3999999999999995E-3</v>
      </c>
      <c r="K2443">
        <v>1.07</v>
      </c>
      <c r="L2443">
        <v>0.27</v>
      </c>
      <c r="M2443">
        <v>0.90600000000000003</v>
      </c>
      <c r="N2443">
        <v>8.4000000000000005E-2</v>
      </c>
    </row>
    <row r="2444" spans="1:14" x14ac:dyDescent="0.25">
      <c r="A2444" t="s">
        <v>4522</v>
      </c>
      <c r="B2444" t="s">
        <v>4523</v>
      </c>
      <c r="C2444" s="1" t="str">
        <f>HYPERLINK("http://www.genecards.org/cgi-bin/carddisp.pl?gene=C1orf163","GeneCards")</f>
        <v>GeneCards</v>
      </c>
      <c r="D2444" s="1" t="str">
        <f>HYPERLINK("http://genome-euro.ucsc.edu/cgi-bin/hgTracks?position=219420_s_at","UCSC")</f>
        <v>UCSC</v>
      </c>
      <c r="E2444" s="1" t="str">
        <f>HYPERLINK("http://www.ncbi.nlm.nih.gov/gene/?term=C1orf163","NCBI")</f>
        <v>NCBI</v>
      </c>
      <c r="F2444">
        <v>1.0999999999999999E-2</v>
      </c>
      <c r="G2444">
        <v>7.5999999999999998E-2</v>
      </c>
      <c r="H2444" s="1" t="str">
        <f>HYPERLINK("http://www.weizmann.ac.il/complex/compphys/software/geview/data/figures/219420_s_at.png","Figure")</f>
        <v>Figure</v>
      </c>
      <c r="I2444">
        <v>1.39</v>
      </c>
      <c r="J2444">
        <v>1.0999999999999999E-2</v>
      </c>
      <c r="K2444">
        <v>1.25</v>
      </c>
      <c r="L2444">
        <v>4.3999999999999997E-2</v>
      </c>
      <c r="M2444">
        <v>0.90400000000000003</v>
      </c>
      <c r="N2444">
        <v>0.51</v>
      </c>
    </row>
    <row r="2445" spans="1:14" x14ac:dyDescent="0.25">
      <c r="A2445" t="s">
        <v>4524</v>
      </c>
      <c r="B2445" t="s">
        <v>4525</v>
      </c>
      <c r="C2445" s="1" t="str">
        <f>HYPERLINK("http://www.genecards.org/cgi-bin/carddisp.pl?gene=MRPL34","GeneCards")</f>
        <v>GeneCards</v>
      </c>
      <c r="D2445" s="1" t="str">
        <f>HYPERLINK("http://genome-euro.ucsc.edu/cgi-bin/hgTracks?position=221692_s_at","UCSC")</f>
        <v>UCSC</v>
      </c>
      <c r="E2445" s="1" t="str">
        <f>HYPERLINK("http://www.ncbi.nlm.nih.gov/gene/?term=MRPL34","NCBI")</f>
        <v>NCBI</v>
      </c>
      <c r="F2445">
        <v>1.0999999999999999E-2</v>
      </c>
      <c r="G2445">
        <v>7.5999999999999998E-2</v>
      </c>
      <c r="H2445" s="1" t="str">
        <f>HYPERLINK("http://www.weizmann.ac.il/complex/compphys/software/geview/data/figures/221692_s_at.png","Figure")</f>
        <v>Figure</v>
      </c>
      <c r="I2445">
        <v>0.86799999999999999</v>
      </c>
      <c r="J2445">
        <v>0.77</v>
      </c>
      <c r="K2445">
        <v>1.63</v>
      </c>
      <c r="L2445">
        <v>4.4999999999999998E-2</v>
      </c>
      <c r="M2445">
        <v>1.88</v>
      </c>
      <c r="N2445">
        <v>1.6E-2</v>
      </c>
    </row>
    <row r="2446" spans="1:14" x14ac:dyDescent="0.25">
      <c r="A2446" t="s">
        <v>4526</v>
      </c>
      <c r="B2446" t="s">
        <v>4527</v>
      </c>
      <c r="C2446" s="1" t="str">
        <f>HYPERLINK("http://www.genecards.org/cgi-bin/carddisp.pl?gene=PCBP1","GeneCards")</f>
        <v>GeneCards</v>
      </c>
      <c r="D2446" s="1" t="str">
        <f>HYPERLINK("http://genome-euro.ucsc.edu/cgi-bin/hgTracks?position=208620_at","UCSC")</f>
        <v>UCSC</v>
      </c>
      <c r="E2446" s="1" t="str">
        <f>HYPERLINK("http://www.ncbi.nlm.nih.gov/gene/?term=PCBP1","NCBI")</f>
        <v>NCBI</v>
      </c>
      <c r="F2446">
        <v>1.0999999999999999E-2</v>
      </c>
      <c r="G2446">
        <v>7.5999999999999998E-2</v>
      </c>
      <c r="H2446" s="1" t="str">
        <f>HYPERLINK("http://www.weizmann.ac.il/complex/compphys/software/geview/data/figures/208620_at.png","Figure")</f>
        <v>Figure</v>
      </c>
      <c r="I2446">
        <v>1.33</v>
      </c>
      <c r="J2446">
        <v>0.24</v>
      </c>
      <c r="K2446">
        <v>1.71</v>
      </c>
      <c r="L2446">
        <v>8.3000000000000001E-3</v>
      </c>
      <c r="M2446">
        <v>1.28</v>
      </c>
      <c r="N2446">
        <v>0.3</v>
      </c>
    </row>
    <row r="2447" spans="1:14" x14ac:dyDescent="0.25">
      <c r="A2447" t="s">
        <v>4528</v>
      </c>
      <c r="B2447" t="s">
        <v>4529</v>
      </c>
      <c r="C2447" s="1" t="str">
        <f>HYPERLINK("http://www.genecards.org/cgi-bin/carddisp.pl?gene=GPM6B","GeneCards")</f>
        <v>GeneCards</v>
      </c>
      <c r="D2447" s="1" t="str">
        <f>HYPERLINK("http://genome-euro.ucsc.edu/cgi-bin/hgTracks?position=209170_s_at","UCSC")</f>
        <v>UCSC</v>
      </c>
      <c r="E2447" s="1" t="str">
        <f>HYPERLINK("http://www.ncbi.nlm.nih.gov/gene/?term=GPM6B","NCBI")</f>
        <v>NCBI</v>
      </c>
      <c r="F2447">
        <v>1.0999999999999999E-2</v>
      </c>
      <c r="G2447">
        <v>7.5999999999999998E-2</v>
      </c>
      <c r="H2447" s="1" t="str">
        <f>HYPERLINK("http://www.weizmann.ac.il/complex/compphys/software/geview/data/figures/209170_s_at.png","Figure")</f>
        <v>Figure</v>
      </c>
      <c r="I2447">
        <v>0.42299999999999999</v>
      </c>
      <c r="J2447">
        <v>0.1</v>
      </c>
      <c r="K2447">
        <v>1.55</v>
      </c>
      <c r="L2447">
        <v>0.42</v>
      </c>
      <c r="M2447">
        <v>3.67</v>
      </c>
      <c r="N2447">
        <v>8.3000000000000001E-3</v>
      </c>
    </row>
    <row r="2448" spans="1:14" x14ac:dyDescent="0.25">
      <c r="A2448" t="s">
        <v>4530</v>
      </c>
      <c r="B2448" t="s">
        <v>4531</v>
      </c>
      <c r="C2448" s="1" t="str">
        <f>HYPERLINK("http://www.genecards.org/cgi-bin/carddisp.pl?gene=HBE1","GeneCards")</f>
        <v>GeneCards</v>
      </c>
      <c r="D2448" s="1" t="str">
        <f>HYPERLINK("http://genome-euro.ucsc.edu/cgi-bin/hgTracks?position=217683_at","UCSC")</f>
        <v>UCSC</v>
      </c>
      <c r="E2448" s="1" t="str">
        <f>HYPERLINK("http://www.ncbi.nlm.nih.gov/gene/?term=HBE1","NCBI")</f>
        <v>NCBI</v>
      </c>
      <c r="F2448">
        <v>1.0999999999999999E-2</v>
      </c>
      <c r="G2448">
        <v>7.5999999999999998E-2</v>
      </c>
      <c r="H2448" s="1" t="str">
        <f>HYPERLINK("http://www.weizmann.ac.il/complex/compphys/software/geview/data/figures/217683_at.png","Figure")</f>
        <v>Figure</v>
      </c>
      <c r="I2448">
        <v>1.1499999999999999</v>
      </c>
      <c r="J2448">
        <v>1.6E-2</v>
      </c>
      <c r="K2448">
        <v>1.01</v>
      </c>
      <c r="L2448">
        <v>0.95</v>
      </c>
      <c r="M2448">
        <v>0.88200000000000001</v>
      </c>
      <c r="N2448">
        <v>1.7999999999999999E-2</v>
      </c>
    </row>
    <row r="2449" spans="1:14" x14ac:dyDescent="0.25">
      <c r="A2449" t="s">
        <v>4532</v>
      </c>
      <c r="B2449" t="s">
        <v>1926</v>
      </c>
      <c r="C2449" s="1" t="str">
        <f>HYPERLINK("http://www.genecards.org/cgi-bin/carddisp.pl?gene=NOP16","GeneCards")</f>
        <v>GeneCards</v>
      </c>
      <c r="D2449" s="1" t="str">
        <f>HYPERLINK("http://genome-euro.ucsc.edu/cgi-bin/hgTracks?position=213833_x_at","UCSC")</f>
        <v>UCSC</v>
      </c>
      <c r="E2449" s="1" t="str">
        <f>HYPERLINK("http://www.ncbi.nlm.nih.gov/gene/?term=NOP16","NCBI")</f>
        <v>NCBI</v>
      </c>
      <c r="F2449">
        <v>1.0999999999999999E-2</v>
      </c>
      <c r="G2449">
        <v>7.5999999999999998E-2</v>
      </c>
      <c r="H2449" s="1" t="str">
        <f>HYPERLINK("http://www.weizmann.ac.il/complex/compphys/software/geview/data/figures/213833_x_at.png","Figure")</f>
        <v>Figure</v>
      </c>
      <c r="I2449">
        <v>1.25</v>
      </c>
      <c r="J2449">
        <v>9.4000000000000004E-3</v>
      </c>
      <c r="K2449">
        <v>1.1399999999999999</v>
      </c>
      <c r="L2449">
        <v>7.5999999999999998E-2</v>
      </c>
      <c r="M2449">
        <v>0.91200000000000003</v>
      </c>
      <c r="N2449">
        <v>0.3</v>
      </c>
    </row>
    <row r="2450" spans="1:14" x14ac:dyDescent="0.25">
      <c r="A2450" t="s">
        <v>4533</v>
      </c>
      <c r="B2450" t="s">
        <v>4534</v>
      </c>
      <c r="C2450" s="1" t="str">
        <f>HYPERLINK("http://www.genecards.org/cgi-bin/carddisp.pl?gene=C4orf41","GeneCards")</f>
        <v>GeneCards</v>
      </c>
      <c r="D2450" s="1" t="str">
        <f>HYPERLINK("http://genome-euro.ucsc.edu/cgi-bin/hgTracks?position=218179_s_at","UCSC")</f>
        <v>UCSC</v>
      </c>
      <c r="E2450" s="1" t="str">
        <f>HYPERLINK("http://www.ncbi.nlm.nih.gov/gene/?term=C4orf41","NCBI")</f>
        <v>NCBI</v>
      </c>
      <c r="F2450">
        <v>1.0999999999999999E-2</v>
      </c>
      <c r="G2450">
        <v>7.5999999999999998E-2</v>
      </c>
      <c r="H2450" s="1" t="str">
        <f>HYPERLINK("http://www.weizmann.ac.il/complex/compphys/software/geview/data/figures/218179_s_at.png","Figure")</f>
        <v>Figure</v>
      </c>
      <c r="I2450">
        <v>0.66</v>
      </c>
      <c r="J2450">
        <v>1.4E-2</v>
      </c>
      <c r="K2450">
        <v>0.94299999999999995</v>
      </c>
      <c r="L2450">
        <v>0.85</v>
      </c>
      <c r="M2450">
        <v>1.43</v>
      </c>
      <c r="N2450">
        <v>2.1999999999999999E-2</v>
      </c>
    </row>
    <row r="2451" spans="1:14" x14ac:dyDescent="0.25">
      <c r="A2451" t="s">
        <v>4535</v>
      </c>
      <c r="B2451" t="s">
        <v>4536</v>
      </c>
      <c r="C2451" s="1" t="str">
        <f>HYPERLINK("http://www.genecards.org/cgi-bin/carddisp.pl?gene=CDK5RAP2","GeneCards")</f>
        <v>GeneCards</v>
      </c>
      <c r="D2451" s="1" t="str">
        <f>HYPERLINK("http://genome-euro.ucsc.edu/cgi-bin/hgTracks?position=220935_s_at","UCSC")</f>
        <v>UCSC</v>
      </c>
      <c r="E2451" s="1" t="str">
        <f>HYPERLINK("http://www.ncbi.nlm.nih.gov/gene/?term=CDK5RAP2","NCBI")</f>
        <v>NCBI</v>
      </c>
      <c r="F2451">
        <v>1.0999999999999999E-2</v>
      </c>
      <c r="G2451">
        <v>7.5999999999999998E-2</v>
      </c>
      <c r="H2451" s="1" t="str">
        <f>HYPERLINK("http://www.weizmann.ac.il/complex/compphys/software/geview/data/figures/220935_s_at.png","Figure")</f>
        <v>Figure</v>
      </c>
      <c r="I2451">
        <v>1.36</v>
      </c>
      <c r="J2451">
        <v>9.2999999999999992E-3</v>
      </c>
      <c r="K2451">
        <v>1.2</v>
      </c>
      <c r="L2451">
        <v>7.9000000000000001E-2</v>
      </c>
      <c r="M2451">
        <v>0.88100000000000001</v>
      </c>
      <c r="N2451">
        <v>0.28999999999999998</v>
      </c>
    </row>
    <row r="2452" spans="1:14" x14ac:dyDescent="0.25">
      <c r="A2452" t="s">
        <v>4537</v>
      </c>
      <c r="B2452" t="s">
        <v>4538</v>
      </c>
      <c r="C2452" s="1" t="str">
        <f>HYPERLINK("http://www.genecards.org/cgi-bin/carddisp.pl?gene=C14orf156","GeneCards")</f>
        <v>GeneCards</v>
      </c>
      <c r="D2452" s="1" t="str">
        <f>HYPERLINK("http://genome-euro.ucsc.edu/cgi-bin/hgTracks?position=221434_s_at","UCSC")</f>
        <v>UCSC</v>
      </c>
      <c r="E2452" s="1" t="str">
        <f>HYPERLINK("http://www.ncbi.nlm.nih.gov/gene/?term=C14orf156","NCBI")</f>
        <v>NCBI</v>
      </c>
      <c r="F2452">
        <v>1.0999999999999999E-2</v>
      </c>
      <c r="G2452">
        <v>7.5999999999999998E-2</v>
      </c>
      <c r="H2452" s="1" t="str">
        <f>HYPERLINK("http://www.weizmann.ac.il/complex/compphys/software/geview/data/figures/221434_s_at.png","Figure")</f>
        <v>Figure</v>
      </c>
      <c r="I2452">
        <v>1.28</v>
      </c>
      <c r="J2452">
        <v>0.52</v>
      </c>
      <c r="K2452">
        <v>1.98</v>
      </c>
      <c r="L2452">
        <v>9.7000000000000003E-3</v>
      </c>
      <c r="M2452">
        <v>1.55</v>
      </c>
      <c r="N2452">
        <v>0.13</v>
      </c>
    </row>
    <row r="2453" spans="1:14" x14ac:dyDescent="0.25">
      <c r="A2453" t="s">
        <v>4539</v>
      </c>
      <c r="B2453" t="s">
        <v>4540</v>
      </c>
      <c r="C2453" s="1" t="str">
        <f>HYPERLINK("http://www.genecards.org/cgi-bin/carddisp.pl?gene=KLHL24","GeneCards")</f>
        <v>GeneCards</v>
      </c>
      <c r="D2453" s="1" t="str">
        <f>HYPERLINK("http://genome-euro.ucsc.edu/cgi-bin/hgTracks?position=221986_s_at","UCSC")</f>
        <v>UCSC</v>
      </c>
      <c r="E2453" s="1" t="str">
        <f>HYPERLINK("http://www.ncbi.nlm.nih.gov/gene/?term=KLHL24","NCBI")</f>
        <v>NCBI</v>
      </c>
      <c r="F2453">
        <v>1.0999999999999999E-2</v>
      </c>
      <c r="G2453">
        <v>7.5999999999999998E-2</v>
      </c>
      <c r="H2453" s="1" t="str">
        <f>HYPERLINK("http://www.weizmann.ac.il/complex/compphys/software/geview/data/figures/221986_s_at.png","Figure")</f>
        <v>Figure</v>
      </c>
      <c r="I2453">
        <v>1.63</v>
      </c>
      <c r="J2453">
        <v>0.33</v>
      </c>
      <c r="K2453">
        <v>0.54900000000000004</v>
      </c>
      <c r="L2453">
        <v>0.13</v>
      </c>
      <c r="M2453">
        <v>0.33700000000000002</v>
      </c>
      <c r="N2453">
        <v>9.7000000000000003E-3</v>
      </c>
    </row>
    <row r="2454" spans="1:14" x14ac:dyDescent="0.25">
      <c r="A2454" t="s">
        <v>4541</v>
      </c>
      <c r="B2454" t="s">
        <v>4542</v>
      </c>
      <c r="C2454" s="1" t="str">
        <f>HYPERLINK("http://www.genecards.org/cgi-bin/carddisp.pl?gene=HUWE1","GeneCards")</f>
        <v>GeneCards</v>
      </c>
      <c r="D2454" s="1" t="str">
        <f>HYPERLINK("http://genome-euro.ucsc.edu/cgi-bin/hgTracks?position=208598_s_at","UCSC")</f>
        <v>UCSC</v>
      </c>
      <c r="E2454" s="1" t="str">
        <f>HYPERLINK("http://www.ncbi.nlm.nih.gov/gene/?term=HUWE1","NCBI")</f>
        <v>NCBI</v>
      </c>
      <c r="F2454">
        <v>1.0999999999999999E-2</v>
      </c>
      <c r="G2454">
        <v>7.5999999999999998E-2</v>
      </c>
      <c r="H2454" s="1" t="str">
        <f>HYPERLINK("http://www.weizmann.ac.il/complex/compphys/software/geview/data/figures/208598_s_at.png","Figure")</f>
        <v>Figure</v>
      </c>
      <c r="I2454">
        <v>0.70399999999999996</v>
      </c>
      <c r="J2454">
        <v>5.5E-2</v>
      </c>
      <c r="K2454">
        <v>1.1100000000000001</v>
      </c>
      <c r="L2454">
        <v>0.68</v>
      </c>
      <c r="M2454">
        <v>1.57</v>
      </c>
      <c r="N2454">
        <v>8.9999999999999993E-3</v>
      </c>
    </row>
    <row r="2455" spans="1:14" x14ac:dyDescent="0.25">
      <c r="A2455" t="s">
        <v>4543</v>
      </c>
      <c r="B2455" t="s">
        <v>4544</v>
      </c>
      <c r="C2455" s="1" t="str">
        <f>HYPERLINK("http://www.genecards.org/cgi-bin/carddisp.pl?gene=ERBB4","GeneCards")</f>
        <v>GeneCards</v>
      </c>
      <c r="D2455" s="1" t="str">
        <f>HYPERLINK("http://genome-euro.ucsc.edu/cgi-bin/hgTracks?position=214053_at","UCSC")</f>
        <v>UCSC</v>
      </c>
      <c r="E2455" s="1" t="str">
        <f>HYPERLINK("http://www.ncbi.nlm.nih.gov/gene/?term=ERBB4","NCBI")</f>
        <v>NCBI</v>
      </c>
      <c r="F2455">
        <v>1.0999999999999999E-2</v>
      </c>
      <c r="G2455">
        <v>7.5999999999999998E-2</v>
      </c>
      <c r="H2455" s="1" t="str">
        <f>HYPERLINK("http://www.weizmann.ac.il/complex/compphys/software/geview/data/figures/214053_at.png","Figure")</f>
        <v>Figure</v>
      </c>
      <c r="I2455">
        <v>1.1000000000000001</v>
      </c>
      <c r="J2455">
        <v>0.41</v>
      </c>
      <c r="K2455">
        <v>0.86599999999999999</v>
      </c>
      <c r="L2455">
        <v>0.11</v>
      </c>
      <c r="M2455">
        <v>0.78500000000000003</v>
      </c>
      <c r="N2455">
        <v>0.01</v>
      </c>
    </row>
    <row r="2456" spans="1:14" x14ac:dyDescent="0.25">
      <c r="A2456" t="s">
        <v>4545</v>
      </c>
      <c r="B2456" t="s">
        <v>4546</v>
      </c>
      <c r="C2456" s="1" t="str">
        <f>HYPERLINK("http://www.genecards.org/cgi-bin/carddisp.pl?gene=ZNF259","GeneCards")</f>
        <v>GeneCards</v>
      </c>
      <c r="D2456" s="1" t="str">
        <f>HYPERLINK("http://genome-euro.ucsc.edu/cgi-bin/hgTracks?position=200054_at","UCSC")</f>
        <v>UCSC</v>
      </c>
      <c r="E2456" s="1" t="str">
        <f>HYPERLINK("http://www.ncbi.nlm.nih.gov/gene/?term=ZNF259","NCBI")</f>
        <v>NCBI</v>
      </c>
      <c r="F2456">
        <v>1.0999999999999999E-2</v>
      </c>
      <c r="G2456">
        <v>7.5999999999999998E-2</v>
      </c>
      <c r="H2456" s="1" t="str">
        <f>HYPERLINK("http://www.weizmann.ac.il/complex/compphys/software/geview/data/figures/200054_at.png","Figure")</f>
        <v>Figure</v>
      </c>
      <c r="I2456">
        <v>1.35</v>
      </c>
      <c r="J2456">
        <v>0.02</v>
      </c>
      <c r="K2456">
        <v>1.3</v>
      </c>
      <c r="L2456">
        <v>0.02</v>
      </c>
      <c r="M2456">
        <v>0.96299999999999997</v>
      </c>
      <c r="N2456">
        <v>0.91</v>
      </c>
    </row>
    <row r="2457" spans="1:14" x14ac:dyDescent="0.25">
      <c r="A2457" t="s">
        <v>4547</v>
      </c>
      <c r="B2457" t="s">
        <v>4548</v>
      </c>
      <c r="C2457" s="1" t="str">
        <f>HYPERLINK("http://www.genecards.org/cgi-bin/carddisp.pl?gene=RPL36A","GeneCards")</f>
        <v>GeneCards</v>
      </c>
      <c r="D2457" s="1" t="str">
        <f>HYPERLINK("http://genome-euro.ucsc.edu/cgi-bin/hgTracks?position=201406_at","UCSC")</f>
        <v>UCSC</v>
      </c>
      <c r="E2457" s="1" t="str">
        <f>HYPERLINK("http://www.ncbi.nlm.nih.gov/gene/?term=RPL36A","NCBI")</f>
        <v>NCBI</v>
      </c>
      <c r="F2457">
        <v>1.0999999999999999E-2</v>
      </c>
      <c r="G2457">
        <v>7.5999999999999998E-2</v>
      </c>
      <c r="H2457" s="1" t="str">
        <f>HYPERLINK("http://www.weizmann.ac.il/complex/compphys/software/geview/data/figures/201406_at.png","Figure")</f>
        <v>Figure</v>
      </c>
      <c r="I2457">
        <v>0.42299999999999999</v>
      </c>
      <c r="J2457">
        <v>0.13</v>
      </c>
      <c r="K2457">
        <v>1.71</v>
      </c>
      <c r="L2457">
        <v>0.33</v>
      </c>
      <c r="M2457">
        <v>4.05</v>
      </c>
      <c r="N2457">
        <v>8.3999999999999995E-3</v>
      </c>
    </row>
    <row r="2458" spans="1:14" x14ac:dyDescent="0.25">
      <c r="A2458" t="s">
        <v>4549</v>
      </c>
      <c r="B2458" t="s">
        <v>3989</v>
      </c>
      <c r="C2458" s="1" t="str">
        <f>HYPERLINK("http://www.genecards.org/cgi-bin/carddisp.pl?gene=ITGA6","GeneCards")</f>
        <v>GeneCards</v>
      </c>
      <c r="D2458" s="1" t="str">
        <f>HYPERLINK("http://genome-euro.ucsc.edu/cgi-bin/hgTracks?position=201656_at","UCSC")</f>
        <v>UCSC</v>
      </c>
      <c r="E2458" s="1" t="str">
        <f>HYPERLINK("http://www.ncbi.nlm.nih.gov/gene/?term=ITGA6","NCBI")</f>
        <v>NCBI</v>
      </c>
      <c r="F2458">
        <v>1.0999999999999999E-2</v>
      </c>
      <c r="G2458">
        <v>7.5999999999999998E-2</v>
      </c>
      <c r="H2458" s="1" t="str">
        <f>HYPERLINK("http://www.weizmann.ac.il/complex/compphys/software/geview/data/figures/201656_at.png","Figure")</f>
        <v>Figure</v>
      </c>
      <c r="I2458">
        <v>0.61199999999999999</v>
      </c>
      <c r="J2458">
        <v>0.43</v>
      </c>
      <c r="K2458">
        <v>0.30399999999999999</v>
      </c>
      <c r="L2458">
        <v>9.1999999999999998E-3</v>
      </c>
      <c r="M2458">
        <v>0.497</v>
      </c>
      <c r="N2458">
        <v>0.16</v>
      </c>
    </row>
    <row r="2459" spans="1:14" x14ac:dyDescent="0.25">
      <c r="A2459" t="s">
        <v>4550</v>
      </c>
      <c r="B2459" t="s">
        <v>4551</v>
      </c>
      <c r="C2459" s="1" t="str">
        <f>HYPERLINK("http://www.genecards.org/cgi-bin/carddisp.pl?gene=CNOT8","GeneCards")</f>
        <v>GeneCards</v>
      </c>
      <c r="D2459" s="1" t="str">
        <f>HYPERLINK("http://genome-euro.ucsc.edu/cgi-bin/hgTracks?position=202164_s_at","UCSC")</f>
        <v>UCSC</v>
      </c>
      <c r="E2459" s="1" t="str">
        <f>HYPERLINK("http://www.ncbi.nlm.nih.gov/gene/?term=CNOT8","NCBI")</f>
        <v>NCBI</v>
      </c>
      <c r="F2459">
        <v>1.0999999999999999E-2</v>
      </c>
      <c r="G2459">
        <v>7.5999999999999998E-2</v>
      </c>
      <c r="H2459" s="1" t="str">
        <f>HYPERLINK("http://www.weizmann.ac.il/complex/compphys/software/geview/data/figures/202164_s_at.png","Figure")</f>
        <v>Figure</v>
      </c>
      <c r="I2459">
        <v>0.85599999999999998</v>
      </c>
      <c r="J2459">
        <v>0.56000000000000005</v>
      </c>
      <c r="K2459">
        <v>0.63600000000000001</v>
      </c>
      <c r="L2459">
        <v>0.01</v>
      </c>
      <c r="M2459">
        <v>0.74399999999999999</v>
      </c>
      <c r="N2459">
        <v>0.12</v>
      </c>
    </row>
    <row r="2460" spans="1:14" x14ac:dyDescent="0.25">
      <c r="A2460" t="s">
        <v>4552</v>
      </c>
      <c r="B2460" t="s">
        <v>3625</v>
      </c>
      <c r="C2460" s="1" t="str">
        <f>HYPERLINK("http://www.genecards.org/cgi-bin/carddisp.pl?gene=RSRC2","GeneCards")</f>
        <v>GeneCards</v>
      </c>
      <c r="D2460" s="1" t="str">
        <f>HYPERLINK("http://genome-euro.ucsc.edu/cgi-bin/hgTracks?position=202301_s_at","UCSC")</f>
        <v>UCSC</v>
      </c>
      <c r="E2460" s="1" t="str">
        <f>HYPERLINK("http://www.ncbi.nlm.nih.gov/gene/?term=RSRC2","NCBI")</f>
        <v>NCBI</v>
      </c>
      <c r="F2460">
        <v>1.0999999999999999E-2</v>
      </c>
      <c r="G2460">
        <v>7.5999999999999998E-2</v>
      </c>
      <c r="H2460" s="1" t="str">
        <f>HYPERLINK("http://www.weizmann.ac.il/complex/compphys/software/geview/data/figures/202301_s_at.png","Figure")</f>
        <v>Figure</v>
      </c>
      <c r="I2460">
        <v>1.48</v>
      </c>
      <c r="J2460">
        <v>0.28999999999999998</v>
      </c>
      <c r="K2460">
        <v>0.64800000000000002</v>
      </c>
      <c r="L2460">
        <v>0.15</v>
      </c>
      <c r="M2460">
        <v>0.438</v>
      </c>
      <c r="N2460">
        <v>9.4000000000000004E-3</v>
      </c>
    </row>
    <row r="2461" spans="1:14" x14ac:dyDescent="0.25">
      <c r="A2461" t="s">
        <v>4553</v>
      </c>
      <c r="B2461" t="s">
        <v>4554</v>
      </c>
      <c r="C2461" s="1" t="str">
        <f>HYPERLINK("http://www.genecards.org/cgi-bin/carddisp.pl?gene=RNF103","GeneCards")</f>
        <v>GeneCards</v>
      </c>
      <c r="D2461" s="1" t="str">
        <f>HYPERLINK("http://genome-euro.ucsc.edu/cgi-bin/hgTracks?position=202636_at","UCSC")</f>
        <v>UCSC</v>
      </c>
      <c r="E2461" s="1" t="str">
        <f>HYPERLINK("http://www.ncbi.nlm.nih.gov/gene/?term=RNF103","NCBI")</f>
        <v>NCBI</v>
      </c>
      <c r="F2461">
        <v>1.0999999999999999E-2</v>
      </c>
      <c r="G2461">
        <v>7.5999999999999998E-2</v>
      </c>
      <c r="H2461" s="1" t="str">
        <f>HYPERLINK("http://www.weizmann.ac.il/complex/compphys/software/geview/data/figures/202636_at.png","Figure")</f>
        <v>Figure</v>
      </c>
      <c r="I2461">
        <v>1.1599999999999999</v>
      </c>
      <c r="J2461">
        <v>0.85</v>
      </c>
      <c r="K2461">
        <v>0.51600000000000001</v>
      </c>
      <c r="L2461">
        <v>3.7999999999999999E-2</v>
      </c>
      <c r="M2461">
        <v>0.44400000000000001</v>
      </c>
      <c r="N2461">
        <v>1.7999999999999999E-2</v>
      </c>
    </row>
    <row r="2462" spans="1:14" x14ac:dyDescent="0.25">
      <c r="A2462" t="s">
        <v>4555</v>
      </c>
      <c r="B2462" t="s">
        <v>4556</v>
      </c>
      <c r="C2462" s="1" t="str">
        <f>HYPERLINK("http://www.genecards.org/cgi-bin/carddisp.pl?gene=ZHX2","GeneCards")</f>
        <v>GeneCards</v>
      </c>
      <c r="D2462" s="1" t="str">
        <f>HYPERLINK("http://genome-euro.ucsc.edu/cgi-bin/hgTracks?position=203556_at","UCSC")</f>
        <v>UCSC</v>
      </c>
      <c r="E2462" s="1" t="str">
        <f>HYPERLINK("http://www.ncbi.nlm.nih.gov/gene/?term=ZHX2","NCBI")</f>
        <v>NCBI</v>
      </c>
      <c r="F2462">
        <v>1.0999999999999999E-2</v>
      </c>
      <c r="G2462">
        <v>7.5999999999999998E-2</v>
      </c>
      <c r="H2462" s="1" t="str">
        <f>HYPERLINK("http://www.weizmann.ac.il/complex/compphys/software/geview/data/figures/203556_at.png","Figure")</f>
        <v>Figure</v>
      </c>
      <c r="I2462">
        <v>1.53</v>
      </c>
      <c r="J2462">
        <v>1.7999999999999999E-2</v>
      </c>
      <c r="K2462">
        <v>1.43</v>
      </c>
      <c r="L2462">
        <v>2.1999999999999999E-2</v>
      </c>
      <c r="M2462">
        <v>0.93500000000000005</v>
      </c>
      <c r="N2462">
        <v>0.86</v>
      </c>
    </row>
    <row r="2463" spans="1:14" x14ac:dyDescent="0.25">
      <c r="A2463" t="s">
        <v>4557</v>
      </c>
      <c r="B2463" t="s">
        <v>4558</v>
      </c>
      <c r="C2463" s="1" t="str">
        <f>HYPERLINK("http://www.genecards.org/cgi-bin/carddisp.pl?gene=ENDOG","GeneCards")</f>
        <v>GeneCards</v>
      </c>
      <c r="D2463" s="1" t="str">
        <f>HYPERLINK("http://genome-euro.ucsc.edu/cgi-bin/hgTracks?position=204824_at","UCSC")</f>
        <v>UCSC</v>
      </c>
      <c r="E2463" s="1" t="str">
        <f>HYPERLINK("http://www.ncbi.nlm.nih.gov/gene/?term=ENDOG","NCBI")</f>
        <v>NCBI</v>
      </c>
      <c r="F2463">
        <v>1.0999999999999999E-2</v>
      </c>
      <c r="G2463">
        <v>7.5999999999999998E-2</v>
      </c>
      <c r="H2463" s="1" t="str">
        <f>HYPERLINK("http://www.weizmann.ac.il/complex/compphys/software/geview/data/figures/204824_at.png","Figure")</f>
        <v>Figure</v>
      </c>
      <c r="I2463">
        <v>1.29</v>
      </c>
      <c r="J2463">
        <v>9.5000000000000001E-2</v>
      </c>
      <c r="K2463">
        <v>1.41</v>
      </c>
      <c r="L2463">
        <v>8.9999999999999993E-3</v>
      </c>
      <c r="M2463">
        <v>1.1000000000000001</v>
      </c>
      <c r="N2463">
        <v>0.65</v>
      </c>
    </row>
    <row r="2464" spans="1:14" x14ac:dyDescent="0.25">
      <c r="A2464" t="s">
        <v>4559</v>
      </c>
      <c r="B2464" t="s">
        <v>4560</v>
      </c>
      <c r="C2464" s="1" t="str">
        <f>HYPERLINK("http://www.genecards.org/cgi-bin/carddisp.pl?gene=PTPN6","GeneCards")</f>
        <v>GeneCards</v>
      </c>
      <c r="D2464" s="1" t="str">
        <f>HYPERLINK("http://genome-euro.ucsc.edu/cgi-bin/hgTracks?position=206687_s_at","UCSC")</f>
        <v>UCSC</v>
      </c>
      <c r="E2464" s="1" t="str">
        <f>HYPERLINK("http://www.ncbi.nlm.nih.gov/gene/?term=PTPN6","NCBI")</f>
        <v>NCBI</v>
      </c>
      <c r="F2464">
        <v>1.0999999999999999E-2</v>
      </c>
      <c r="G2464">
        <v>7.5999999999999998E-2</v>
      </c>
      <c r="H2464" s="1" t="str">
        <f>HYPERLINK("http://www.weizmann.ac.il/complex/compphys/software/geview/data/figures/206687_s_at.png","Figure")</f>
        <v>Figure</v>
      </c>
      <c r="I2464">
        <v>1.46</v>
      </c>
      <c r="J2464">
        <v>0.44</v>
      </c>
      <c r="K2464">
        <v>2.57</v>
      </c>
      <c r="L2464">
        <v>9.2999999999999992E-3</v>
      </c>
      <c r="M2464">
        <v>1.75</v>
      </c>
      <c r="N2464">
        <v>0.16</v>
      </c>
    </row>
    <row r="2465" spans="1:14" x14ac:dyDescent="0.25">
      <c r="A2465" t="s">
        <v>4561</v>
      </c>
      <c r="B2465" t="s">
        <v>4562</v>
      </c>
      <c r="C2465" s="1" t="str">
        <f>HYPERLINK("http://www.genecards.org/cgi-bin/carddisp.pl?gene=CCND1","GeneCards")</f>
        <v>GeneCards</v>
      </c>
      <c r="D2465" s="1" t="str">
        <f>HYPERLINK("http://genome-euro.ucsc.edu/cgi-bin/hgTracks?position=208711_s_at","UCSC")</f>
        <v>UCSC</v>
      </c>
      <c r="E2465" s="1" t="str">
        <f>HYPERLINK("http://www.ncbi.nlm.nih.gov/gene/?term=CCND1","NCBI")</f>
        <v>NCBI</v>
      </c>
      <c r="F2465">
        <v>1.0999999999999999E-2</v>
      </c>
      <c r="G2465">
        <v>7.5999999999999998E-2</v>
      </c>
      <c r="H2465" s="1" t="str">
        <f>HYPERLINK("http://www.weizmann.ac.il/complex/compphys/software/geview/data/figures/208711_s_at.png","Figure")</f>
        <v>Figure</v>
      </c>
      <c r="I2465">
        <v>0.90600000000000003</v>
      </c>
      <c r="J2465">
        <v>2.1000000000000001E-2</v>
      </c>
      <c r="K2465">
        <v>1</v>
      </c>
      <c r="L2465">
        <v>1</v>
      </c>
      <c r="M2465">
        <v>1.1000000000000001</v>
      </c>
      <c r="N2465">
        <v>1.4E-2</v>
      </c>
    </row>
    <row r="2466" spans="1:14" x14ac:dyDescent="0.25">
      <c r="A2466" t="s">
        <v>4563</v>
      </c>
      <c r="B2466" t="s">
        <v>4564</v>
      </c>
      <c r="C2466" s="1" t="str">
        <f>HYPERLINK("http://www.genecards.org/cgi-bin/carddisp.pl?gene=AKR1C2","GeneCards")</f>
        <v>GeneCards</v>
      </c>
      <c r="D2466" s="1" t="str">
        <f>HYPERLINK("http://genome-euro.ucsc.edu/cgi-bin/hgTracks?position=209699_x_at","UCSC")</f>
        <v>UCSC</v>
      </c>
      <c r="E2466" s="1" t="str">
        <f>HYPERLINK("http://www.ncbi.nlm.nih.gov/gene/?term=AKR1C2","NCBI")</f>
        <v>NCBI</v>
      </c>
      <c r="F2466">
        <v>1.0999999999999999E-2</v>
      </c>
      <c r="G2466">
        <v>7.5999999999999998E-2</v>
      </c>
      <c r="H2466" s="1" t="str">
        <f>HYPERLINK("http://www.weizmann.ac.il/complex/compphys/software/geview/data/figures/209699_x_at.png","Figure")</f>
        <v>Figure</v>
      </c>
      <c r="I2466">
        <v>1.28</v>
      </c>
      <c r="J2466">
        <v>8.5000000000000006E-3</v>
      </c>
      <c r="K2466">
        <v>1.1000000000000001</v>
      </c>
      <c r="L2466">
        <v>0.3</v>
      </c>
      <c r="M2466">
        <v>0.85599999999999998</v>
      </c>
      <c r="N2466">
        <v>7.6999999999999999E-2</v>
      </c>
    </row>
    <row r="2467" spans="1:14" x14ac:dyDescent="0.25">
      <c r="A2467" t="s">
        <v>4565</v>
      </c>
      <c r="B2467" t="s">
        <v>4566</v>
      </c>
      <c r="C2467" s="1" t="str">
        <f>HYPERLINK("http://www.genecards.org/cgi-bin/carddisp.pl?gene=POLR2L","GeneCards")</f>
        <v>GeneCards</v>
      </c>
      <c r="D2467" s="1" t="str">
        <f>HYPERLINK("http://genome-euro.ucsc.edu/cgi-bin/hgTracks?position=211730_s_at","UCSC")</f>
        <v>UCSC</v>
      </c>
      <c r="E2467" s="1" t="str">
        <f>HYPERLINK("http://www.ncbi.nlm.nih.gov/gene/?term=POLR2L","NCBI")</f>
        <v>NCBI</v>
      </c>
      <c r="F2467">
        <v>1.0999999999999999E-2</v>
      </c>
      <c r="G2467">
        <v>7.5999999999999998E-2</v>
      </c>
      <c r="H2467" s="1" t="str">
        <f>HYPERLINK("http://www.weizmann.ac.il/complex/compphys/software/geview/data/figures/211730_s_at.png","Figure")</f>
        <v>Figure</v>
      </c>
      <c r="I2467">
        <v>1.27</v>
      </c>
      <c r="J2467">
        <v>0.56999999999999995</v>
      </c>
      <c r="K2467">
        <v>2</v>
      </c>
      <c r="L2467">
        <v>0.01</v>
      </c>
      <c r="M2467">
        <v>1.58</v>
      </c>
      <c r="N2467">
        <v>0.12</v>
      </c>
    </row>
    <row r="2468" spans="1:14" x14ac:dyDescent="0.25">
      <c r="A2468" t="s">
        <v>4567</v>
      </c>
      <c r="B2468" t="s">
        <v>1680</v>
      </c>
      <c r="C2468" s="1" t="str">
        <f>HYPERLINK("http://www.genecards.org/cgi-bin/carddisp.pl?gene=CACYBP","GeneCards")</f>
        <v>GeneCards</v>
      </c>
      <c r="D2468" s="1" t="str">
        <f>HYPERLINK("http://genome-euro.ucsc.edu/cgi-bin/hgTracks?position=211761_s_at","UCSC")</f>
        <v>UCSC</v>
      </c>
      <c r="E2468" s="1" t="str">
        <f>HYPERLINK("http://www.ncbi.nlm.nih.gov/gene/?term=CACYBP","NCBI")</f>
        <v>NCBI</v>
      </c>
      <c r="F2468">
        <v>1.0999999999999999E-2</v>
      </c>
      <c r="G2468">
        <v>7.5999999999999998E-2</v>
      </c>
      <c r="H2468" s="1" t="str">
        <f>HYPERLINK("http://www.weizmann.ac.il/complex/compphys/software/geview/data/figures/211761_s_at.png","Figure")</f>
        <v>Figure</v>
      </c>
      <c r="I2468">
        <v>1.36</v>
      </c>
      <c r="J2468">
        <v>0.42</v>
      </c>
      <c r="K2468">
        <v>2.08</v>
      </c>
      <c r="L2468">
        <v>9.1000000000000004E-3</v>
      </c>
      <c r="M2468">
        <v>1.53</v>
      </c>
      <c r="N2468">
        <v>0.17</v>
      </c>
    </row>
    <row r="2469" spans="1:14" x14ac:dyDescent="0.25">
      <c r="A2469" t="s">
        <v>4568</v>
      </c>
      <c r="B2469" t="s">
        <v>4569</v>
      </c>
      <c r="C2469" s="1" t="str">
        <f>HYPERLINK("http://www.genecards.org/cgi-bin/carddisp.pl?gene=RRAS2","GeneCards")</f>
        <v>GeneCards</v>
      </c>
      <c r="D2469" s="1" t="str">
        <f>HYPERLINK("http://genome-euro.ucsc.edu/cgi-bin/hgTracks?position=212589_at","UCSC")</f>
        <v>UCSC</v>
      </c>
      <c r="E2469" s="1" t="str">
        <f>HYPERLINK("http://www.ncbi.nlm.nih.gov/gene/?term=RRAS2","NCBI")</f>
        <v>NCBI</v>
      </c>
      <c r="F2469">
        <v>1.0999999999999999E-2</v>
      </c>
      <c r="G2469">
        <v>7.5999999999999998E-2</v>
      </c>
      <c r="H2469" s="1" t="str">
        <f>HYPERLINK("http://www.weizmann.ac.il/complex/compphys/software/geview/data/figures/212589_at.png","Figure")</f>
        <v>Figure</v>
      </c>
      <c r="I2469">
        <v>0.745</v>
      </c>
      <c r="J2469">
        <v>0.62</v>
      </c>
      <c r="K2469">
        <v>0.38800000000000001</v>
      </c>
      <c r="L2469">
        <v>1.0999999999999999E-2</v>
      </c>
      <c r="M2469">
        <v>0.52100000000000002</v>
      </c>
      <c r="N2469">
        <v>0.1</v>
      </c>
    </row>
    <row r="2470" spans="1:14" x14ac:dyDescent="0.25">
      <c r="A2470" t="s">
        <v>4570</v>
      </c>
      <c r="B2470" t="s">
        <v>4571</v>
      </c>
      <c r="C2470" s="1" t="str">
        <f>HYPERLINK("http://www.genecards.org/cgi-bin/carddisp.pl?gene=RUNDC3A","GeneCards")</f>
        <v>GeneCards</v>
      </c>
      <c r="D2470" s="1" t="str">
        <f>HYPERLINK("http://genome-euro.ucsc.edu/cgi-bin/hgTracks?position=213439_x_at","UCSC")</f>
        <v>UCSC</v>
      </c>
      <c r="E2470" s="1" t="str">
        <f>HYPERLINK("http://www.ncbi.nlm.nih.gov/gene/?term=RUNDC3A","NCBI")</f>
        <v>NCBI</v>
      </c>
      <c r="F2470">
        <v>1.0999999999999999E-2</v>
      </c>
      <c r="G2470">
        <v>7.5999999999999998E-2</v>
      </c>
      <c r="H2470" s="1" t="str">
        <f>HYPERLINK("http://www.weizmann.ac.il/complex/compphys/software/geview/data/figures/213439_x_at.png","Figure")</f>
        <v>Figure</v>
      </c>
      <c r="I2470">
        <v>1.31</v>
      </c>
      <c r="J2470">
        <v>8.6E-3</v>
      </c>
      <c r="K2470">
        <v>1.1000000000000001</v>
      </c>
      <c r="L2470">
        <v>0.32</v>
      </c>
      <c r="M2470">
        <v>0.84099999999999997</v>
      </c>
      <c r="N2470">
        <v>7.1999999999999995E-2</v>
      </c>
    </row>
    <row r="2471" spans="1:14" x14ac:dyDescent="0.25">
      <c r="A2471" t="s">
        <v>4572</v>
      </c>
      <c r="B2471" t="s">
        <v>4158</v>
      </c>
      <c r="C2471" s="1" t="str">
        <f>HYPERLINK("http://www.genecards.org/cgi-bin/carddisp.pl?gene=AKAP8L","GeneCards")</f>
        <v>GeneCards</v>
      </c>
      <c r="D2471" s="1" t="str">
        <f>HYPERLINK("http://genome-euro.ucsc.edu/cgi-bin/hgTracks?position=222160_at","UCSC")</f>
        <v>UCSC</v>
      </c>
      <c r="E2471" s="1" t="str">
        <f>HYPERLINK("http://www.ncbi.nlm.nih.gov/gene/?term=AKAP8L","NCBI")</f>
        <v>NCBI</v>
      </c>
      <c r="F2471">
        <v>1.0999999999999999E-2</v>
      </c>
      <c r="G2471">
        <v>7.5999999999999998E-2</v>
      </c>
      <c r="H2471" s="1" t="str">
        <f>HYPERLINK("http://www.weizmann.ac.il/complex/compphys/software/geview/data/figures/222160_at.png","Figure")</f>
        <v>Figure</v>
      </c>
      <c r="I2471">
        <v>1.23</v>
      </c>
      <c r="J2471">
        <v>2.5999999999999999E-2</v>
      </c>
      <c r="K2471">
        <v>0.98799999999999999</v>
      </c>
      <c r="L2471">
        <v>0.98</v>
      </c>
      <c r="M2471">
        <v>0.80100000000000005</v>
      </c>
      <c r="N2471">
        <v>1.2E-2</v>
      </c>
    </row>
    <row r="2472" spans="1:14" x14ac:dyDescent="0.25">
      <c r="A2472" t="s">
        <v>4573</v>
      </c>
      <c r="B2472" t="s">
        <v>4574</v>
      </c>
      <c r="C2472" s="1" t="str">
        <f>HYPERLINK("http://www.genecards.org/cgi-bin/carddisp.pl?gene=GAGE3","GeneCards")</f>
        <v>GeneCards</v>
      </c>
      <c r="D2472" s="1" t="str">
        <f>HYPERLINK("http://genome-euro.ucsc.edu/cgi-bin/hgTracks?position=207663_x_at","UCSC")</f>
        <v>UCSC</v>
      </c>
      <c r="E2472" s="1" t="str">
        <f>HYPERLINK("http://www.ncbi.nlm.nih.gov/gene/?term=GAGE3","NCBI")</f>
        <v>NCBI</v>
      </c>
      <c r="F2472">
        <v>1.0999999999999999E-2</v>
      </c>
      <c r="G2472">
        <v>7.5999999999999998E-2</v>
      </c>
      <c r="H2472" s="1" t="str">
        <f>HYPERLINK("http://www.weizmann.ac.il/complex/compphys/software/geview/data/figures/207663_x_at.png","Figure")</f>
        <v>Figure</v>
      </c>
      <c r="I2472">
        <v>1.17</v>
      </c>
      <c r="J2472">
        <v>2.4E-2</v>
      </c>
      <c r="K2472">
        <v>1.1499999999999999</v>
      </c>
      <c r="L2472">
        <v>1.7999999999999999E-2</v>
      </c>
      <c r="M2472">
        <v>0.98699999999999999</v>
      </c>
      <c r="N2472">
        <v>0.96</v>
      </c>
    </row>
    <row r="2473" spans="1:14" x14ac:dyDescent="0.25">
      <c r="A2473" t="s">
        <v>4575</v>
      </c>
      <c r="B2473" t="s">
        <v>4576</v>
      </c>
      <c r="C2473" s="1" t="str">
        <f>HYPERLINK("http://www.genecards.org/cgi-bin/carddisp.pl?gene=C9orf95","GeneCards")</f>
        <v>GeneCards</v>
      </c>
      <c r="D2473" s="1" t="str">
        <f>HYPERLINK("http://genome-euro.ucsc.edu/cgi-bin/hgTracks?position=219147_s_at","UCSC")</f>
        <v>UCSC</v>
      </c>
      <c r="E2473" s="1" t="str">
        <f>HYPERLINK("http://www.ncbi.nlm.nih.gov/gene/?term=C9orf95","NCBI")</f>
        <v>NCBI</v>
      </c>
      <c r="F2473">
        <v>1.0999999999999999E-2</v>
      </c>
      <c r="G2473">
        <v>7.5999999999999998E-2</v>
      </c>
      <c r="H2473" s="1" t="str">
        <f>HYPERLINK("http://www.weizmann.ac.il/complex/compphys/software/geview/data/figures/219147_s_at.png","Figure")</f>
        <v>Figure</v>
      </c>
      <c r="I2473">
        <v>0.70599999999999996</v>
      </c>
      <c r="J2473">
        <v>6.2E-2</v>
      </c>
      <c r="K2473">
        <v>1.1200000000000001</v>
      </c>
      <c r="L2473">
        <v>0.63</v>
      </c>
      <c r="M2473">
        <v>1.58</v>
      </c>
      <c r="N2473">
        <v>8.8999999999999999E-3</v>
      </c>
    </row>
    <row r="2474" spans="1:14" x14ac:dyDescent="0.25">
      <c r="A2474" t="s">
        <v>4577</v>
      </c>
      <c r="B2474" t="s">
        <v>4578</v>
      </c>
      <c r="C2474" s="1" t="str">
        <f>HYPERLINK("http://www.genecards.org/cgi-bin/carddisp.pl?gene=HLA-E","GeneCards")</f>
        <v>GeneCards</v>
      </c>
      <c r="D2474" s="1" t="str">
        <f>HYPERLINK("http://genome-euro.ucsc.edu/cgi-bin/hgTracks?position=200904_at","UCSC")</f>
        <v>UCSC</v>
      </c>
      <c r="E2474" s="1" t="str">
        <f>HYPERLINK("http://www.ncbi.nlm.nih.gov/gene/?term=HLA-E","NCBI")</f>
        <v>NCBI</v>
      </c>
      <c r="F2474">
        <v>1.0999999999999999E-2</v>
      </c>
      <c r="G2474">
        <v>7.5999999999999998E-2</v>
      </c>
      <c r="H2474" s="1" t="str">
        <f>HYPERLINK("http://www.weizmann.ac.il/complex/compphys/software/geview/data/figures/200904_at.png","Figure")</f>
        <v>Figure</v>
      </c>
      <c r="I2474">
        <v>0.60799999999999998</v>
      </c>
      <c r="J2474">
        <v>8.8000000000000005E-3</v>
      </c>
      <c r="K2474">
        <v>0.83699999999999997</v>
      </c>
      <c r="L2474">
        <v>0.34</v>
      </c>
      <c r="M2474">
        <v>1.38</v>
      </c>
      <c r="N2474">
        <v>6.9000000000000006E-2</v>
      </c>
    </row>
    <row r="2475" spans="1:14" x14ac:dyDescent="0.25">
      <c r="A2475" t="s">
        <v>4579</v>
      </c>
      <c r="B2475" t="s">
        <v>4580</v>
      </c>
      <c r="C2475" s="1" t="str">
        <f>HYPERLINK("http://www.genecards.org/cgi-bin/carddisp.pl?gene=MKRN1","GeneCards")</f>
        <v>GeneCards</v>
      </c>
      <c r="D2475" s="1" t="str">
        <f>HYPERLINK("http://genome-euro.ucsc.edu/cgi-bin/hgTracks?position=201285_at","UCSC")</f>
        <v>UCSC</v>
      </c>
      <c r="E2475" s="1" t="str">
        <f>HYPERLINK("http://www.ncbi.nlm.nih.gov/gene/?term=MKRN1","NCBI")</f>
        <v>NCBI</v>
      </c>
      <c r="F2475">
        <v>1.0999999999999999E-2</v>
      </c>
      <c r="G2475">
        <v>7.5999999999999998E-2</v>
      </c>
      <c r="H2475" s="1" t="str">
        <f>HYPERLINK("http://www.weizmann.ac.il/complex/compphys/software/geview/data/figures/201285_at.png","Figure")</f>
        <v>Figure</v>
      </c>
      <c r="I2475">
        <v>1.01</v>
      </c>
      <c r="J2475">
        <v>1</v>
      </c>
      <c r="K2475">
        <v>0.72799999999999998</v>
      </c>
      <c r="L2475">
        <v>2.3E-2</v>
      </c>
      <c r="M2475">
        <v>0.72099999999999997</v>
      </c>
      <c r="N2475">
        <v>2.9000000000000001E-2</v>
      </c>
    </row>
    <row r="2476" spans="1:14" x14ac:dyDescent="0.25">
      <c r="A2476" t="s">
        <v>4581</v>
      </c>
      <c r="B2476" t="s">
        <v>4582</v>
      </c>
      <c r="C2476" s="1" t="str">
        <f>HYPERLINK("http://www.genecards.org/cgi-bin/carddisp.pl?gene=U2AF2","GeneCards")</f>
        <v>GeneCards</v>
      </c>
      <c r="D2476" s="1" t="str">
        <f>HYPERLINK("http://genome-euro.ucsc.edu/cgi-bin/hgTracks?position=214171_s_at","UCSC")</f>
        <v>UCSC</v>
      </c>
      <c r="E2476" s="1" t="str">
        <f>HYPERLINK("http://www.ncbi.nlm.nih.gov/gene/?term=U2AF2","NCBI")</f>
        <v>NCBI</v>
      </c>
      <c r="F2476">
        <v>1.0999999999999999E-2</v>
      </c>
      <c r="G2476">
        <v>7.5999999999999998E-2</v>
      </c>
      <c r="H2476" s="1" t="str">
        <f>HYPERLINK("http://www.weizmann.ac.il/complex/compphys/software/geview/data/figures/214171_s_at.png","Figure")</f>
        <v>Figure</v>
      </c>
      <c r="I2476">
        <v>1.66</v>
      </c>
      <c r="J2476">
        <v>8.3999999999999995E-3</v>
      </c>
      <c r="K2476">
        <v>1.25</v>
      </c>
      <c r="L2476">
        <v>0.2</v>
      </c>
      <c r="M2476">
        <v>0.754</v>
      </c>
      <c r="N2476">
        <v>0.12</v>
      </c>
    </row>
    <row r="2477" spans="1:14" x14ac:dyDescent="0.25">
      <c r="A2477" t="s">
        <v>4583</v>
      </c>
      <c r="B2477" t="s">
        <v>4584</v>
      </c>
      <c r="C2477" s="1" t="str">
        <f>HYPERLINK("http://www.genecards.org/cgi-bin/carddisp.pl?gene=MAPKAP1","GeneCards")</f>
        <v>GeneCards</v>
      </c>
      <c r="D2477" s="1" t="str">
        <f>HYPERLINK("http://genome-euro.ucsc.edu/cgi-bin/hgTracks?position=217808_s_at","UCSC")</f>
        <v>UCSC</v>
      </c>
      <c r="E2477" s="1" t="str">
        <f>HYPERLINK("http://www.ncbi.nlm.nih.gov/gene/?term=MAPKAP1","NCBI")</f>
        <v>NCBI</v>
      </c>
      <c r="F2477">
        <v>1.0999999999999999E-2</v>
      </c>
      <c r="G2477">
        <v>7.5999999999999998E-2</v>
      </c>
      <c r="H2477" s="1" t="str">
        <f>HYPERLINK("http://www.weizmann.ac.il/complex/compphys/software/geview/data/figures/217808_s_at.png","Figure")</f>
        <v>Figure</v>
      </c>
      <c r="I2477">
        <v>0.90200000000000002</v>
      </c>
      <c r="J2477">
        <v>0.62</v>
      </c>
      <c r="K2477">
        <v>1.27</v>
      </c>
      <c r="L2477">
        <v>6.4000000000000001E-2</v>
      </c>
      <c r="M2477">
        <v>1.4</v>
      </c>
      <c r="N2477">
        <v>1.2999999999999999E-2</v>
      </c>
    </row>
    <row r="2478" spans="1:14" x14ac:dyDescent="0.25">
      <c r="A2478" t="s">
        <v>4585</v>
      </c>
      <c r="B2478" t="s">
        <v>4586</v>
      </c>
      <c r="C2478" s="1" t="str">
        <f>HYPERLINK("http://www.genecards.org/cgi-bin/carddisp.pl?gene=ARMCX5","GeneCards")</f>
        <v>GeneCards</v>
      </c>
      <c r="D2478" s="1" t="str">
        <f>HYPERLINK("http://genome-euro.ucsc.edu/cgi-bin/hgTracks?position=219335_at","UCSC")</f>
        <v>UCSC</v>
      </c>
      <c r="E2478" s="1" t="str">
        <f>HYPERLINK("http://www.ncbi.nlm.nih.gov/gene/?term=ARMCX5","NCBI")</f>
        <v>NCBI</v>
      </c>
      <c r="F2478">
        <v>1.0999999999999999E-2</v>
      </c>
      <c r="G2478">
        <v>7.5999999999999998E-2</v>
      </c>
      <c r="H2478" s="1" t="str">
        <f>HYPERLINK("http://www.weizmann.ac.il/complex/compphys/software/geview/data/figures/219335_at.png","Figure")</f>
        <v>Figure</v>
      </c>
      <c r="I2478">
        <v>0.35299999999999998</v>
      </c>
      <c r="J2478">
        <v>8.5000000000000006E-3</v>
      </c>
      <c r="K2478">
        <v>0.59699999999999998</v>
      </c>
      <c r="L2478">
        <v>0.14000000000000001</v>
      </c>
      <c r="M2478">
        <v>1.69</v>
      </c>
      <c r="N2478">
        <v>0.17</v>
      </c>
    </row>
    <row r="2479" spans="1:14" x14ac:dyDescent="0.25">
      <c r="A2479" t="s">
        <v>4587</v>
      </c>
      <c r="B2479" t="s">
        <v>1069</v>
      </c>
      <c r="C2479" s="1" t="str">
        <f>HYPERLINK("http://www.genecards.org/cgi-bin/carddisp.pl?gene=ARHGAP8 /// PRR5","GeneCards")</f>
        <v>GeneCards</v>
      </c>
      <c r="D2479" s="1" t="str">
        <f>HYPERLINK("http://genome-euro.ucsc.edu/cgi-bin/hgTracks?position=47069_at","UCSC")</f>
        <v>UCSC</v>
      </c>
      <c r="E2479" s="1" t="str">
        <f>HYPERLINK("http://www.ncbi.nlm.nih.gov/gene/?term=ARHGAP8 /// PRR5","NCBI")</f>
        <v>NCBI</v>
      </c>
      <c r="F2479">
        <v>1.0999999999999999E-2</v>
      </c>
      <c r="G2479">
        <v>7.5999999999999998E-2</v>
      </c>
      <c r="H2479" s="1" t="str">
        <f>HYPERLINK("http://www.weizmann.ac.il/complex/compphys/software/geview/data/figures/47069_at.png","Figure")</f>
        <v>Figure</v>
      </c>
      <c r="I2479">
        <v>1.38</v>
      </c>
      <c r="J2479">
        <v>0.18</v>
      </c>
      <c r="K2479">
        <v>1.72</v>
      </c>
      <c r="L2479">
        <v>8.3999999999999995E-3</v>
      </c>
      <c r="M2479">
        <v>1.24</v>
      </c>
      <c r="N2479">
        <v>0.4</v>
      </c>
    </row>
    <row r="2480" spans="1:14" x14ac:dyDescent="0.25">
      <c r="A2480" t="s">
        <v>4588</v>
      </c>
      <c r="B2480" t="s">
        <v>4589</v>
      </c>
      <c r="C2480" s="1" t="str">
        <f>HYPERLINK("http://www.genecards.org/cgi-bin/carddisp.pl?gene=CSK","GeneCards")</f>
        <v>GeneCards</v>
      </c>
      <c r="D2480" s="1" t="str">
        <f>HYPERLINK("http://genome-euro.ucsc.edu/cgi-bin/hgTracks?position=202329_at","UCSC")</f>
        <v>UCSC</v>
      </c>
      <c r="E2480" s="1" t="str">
        <f>HYPERLINK("http://www.ncbi.nlm.nih.gov/gene/?term=CSK","NCBI")</f>
        <v>NCBI</v>
      </c>
      <c r="F2480">
        <v>1.0999999999999999E-2</v>
      </c>
      <c r="G2480">
        <v>7.5999999999999998E-2</v>
      </c>
      <c r="H2480" s="1" t="str">
        <f>HYPERLINK("http://www.weizmann.ac.il/complex/compphys/software/geview/data/figures/202329_at.png","Figure")</f>
        <v>Figure</v>
      </c>
      <c r="I2480">
        <v>0.58899999999999997</v>
      </c>
      <c r="J2480">
        <v>1.2E-2</v>
      </c>
      <c r="K2480">
        <v>0.90200000000000002</v>
      </c>
      <c r="L2480">
        <v>0.73</v>
      </c>
      <c r="M2480">
        <v>1.53</v>
      </c>
      <c r="N2480">
        <v>2.9000000000000001E-2</v>
      </c>
    </row>
    <row r="2481" spans="1:14" x14ac:dyDescent="0.25">
      <c r="A2481" t="s">
        <v>4590</v>
      </c>
      <c r="B2481" t="s">
        <v>4591</v>
      </c>
      <c r="C2481" s="1" t="str">
        <f>HYPERLINK("http://www.genecards.org/cgi-bin/carddisp.pl?gene=RFTN1","GeneCards")</f>
        <v>GeneCards</v>
      </c>
      <c r="D2481" s="1" t="str">
        <f>HYPERLINK("http://genome-euro.ucsc.edu/cgi-bin/hgTracks?position=212646_at","UCSC")</f>
        <v>UCSC</v>
      </c>
      <c r="E2481" s="1" t="str">
        <f>HYPERLINK("http://www.ncbi.nlm.nih.gov/gene/?term=RFTN1","NCBI")</f>
        <v>NCBI</v>
      </c>
      <c r="F2481">
        <v>1.0999999999999999E-2</v>
      </c>
      <c r="G2481">
        <v>7.5999999999999998E-2</v>
      </c>
      <c r="H2481" s="1" t="str">
        <f>HYPERLINK("http://www.weizmann.ac.il/complex/compphys/software/geview/data/figures/212646_at.png","Figure")</f>
        <v>Figure</v>
      </c>
      <c r="I2481">
        <v>0.85799999999999998</v>
      </c>
      <c r="J2481">
        <v>0.7</v>
      </c>
      <c r="K2481">
        <v>0.56899999999999995</v>
      </c>
      <c r="L2481">
        <v>1.0999999999999999E-2</v>
      </c>
      <c r="M2481">
        <v>0.66400000000000003</v>
      </c>
      <c r="N2481">
        <v>8.5999999999999993E-2</v>
      </c>
    </row>
    <row r="2482" spans="1:14" x14ac:dyDescent="0.25">
      <c r="A2482" t="s">
        <v>4592</v>
      </c>
      <c r="B2482" t="s">
        <v>1708</v>
      </c>
      <c r="C2482" s="1" t="str">
        <f>HYPERLINK("http://www.genecards.org/cgi-bin/carddisp.pl?gene=ABCE1","GeneCards")</f>
        <v>GeneCards</v>
      </c>
      <c r="D2482" s="1" t="str">
        <f>HYPERLINK("http://genome-euro.ucsc.edu/cgi-bin/hgTracks?position=201873_s_at","UCSC")</f>
        <v>UCSC</v>
      </c>
      <c r="E2482" s="1" t="str">
        <f>HYPERLINK("http://www.ncbi.nlm.nih.gov/gene/?term=ABCE1","NCBI")</f>
        <v>NCBI</v>
      </c>
      <c r="F2482">
        <v>1.0999999999999999E-2</v>
      </c>
      <c r="G2482">
        <v>7.5999999999999998E-2</v>
      </c>
      <c r="H2482" s="1" t="str">
        <f>HYPERLINK("http://www.weizmann.ac.il/complex/compphys/software/geview/data/figures/201873_s_at.png","Figure")</f>
        <v>Figure</v>
      </c>
      <c r="I2482">
        <v>0.47499999999999998</v>
      </c>
      <c r="J2482">
        <v>1.4999999999999999E-2</v>
      </c>
      <c r="K2482">
        <v>0.92300000000000004</v>
      </c>
      <c r="L2482">
        <v>0.91</v>
      </c>
      <c r="M2482">
        <v>1.94</v>
      </c>
      <c r="N2482">
        <v>0.02</v>
      </c>
    </row>
    <row r="2483" spans="1:14" x14ac:dyDescent="0.25">
      <c r="A2483" t="s">
        <v>4593</v>
      </c>
      <c r="B2483" t="s">
        <v>4594</v>
      </c>
      <c r="C2483" s="1" t="str">
        <f>HYPERLINK("http://www.genecards.org/cgi-bin/carddisp.pl?gene=CACNA1H","GeneCards")</f>
        <v>GeneCards</v>
      </c>
      <c r="D2483" s="1" t="str">
        <f>HYPERLINK("http://genome-euro.ucsc.edu/cgi-bin/hgTracks?position=205845_at","UCSC")</f>
        <v>UCSC</v>
      </c>
      <c r="E2483" s="1" t="str">
        <f>HYPERLINK("http://www.ncbi.nlm.nih.gov/gene/?term=CACNA1H","NCBI")</f>
        <v>NCBI</v>
      </c>
      <c r="F2483">
        <v>1.0999999999999999E-2</v>
      </c>
      <c r="G2483">
        <v>7.5999999999999998E-2</v>
      </c>
      <c r="H2483" s="1" t="str">
        <f>HYPERLINK("http://www.weizmann.ac.il/complex/compphys/software/geview/data/figures/205845_at.png","Figure")</f>
        <v>Figure</v>
      </c>
      <c r="I2483">
        <v>1.34</v>
      </c>
      <c r="J2483">
        <v>8.8999999999999999E-3</v>
      </c>
      <c r="K2483">
        <v>1.1100000000000001</v>
      </c>
      <c r="L2483">
        <v>0.35</v>
      </c>
      <c r="M2483">
        <v>0.82699999999999996</v>
      </c>
      <c r="N2483">
        <v>6.7000000000000004E-2</v>
      </c>
    </row>
    <row r="2484" spans="1:14" x14ac:dyDescent="0.25">
      <c r="A2484" t="s">
        <v>4595</v>
      </c>
      <c r="B2484" t="s">
        <v>1084</v>
      </c>
      <c r="C2484" s="1" t="str">
        <f>HYPERLINK("http://www.genecards.org/cgi-bin/carddisp.pl?gene=RABGGTB","GeneCards")</f>
        <v>GeneCards</v>
      </c>
      <c r="D2484" s="1" t="str">
        <f>HYPERLINK("http://genome-euro.ucsc.edu/cgi-bin/hgTracks?position=209181_s_at","UCSC")</f>
        <v>UCSC</v>
      </c>
      <c r="E2484" s="1" t="str">
        <f>HYPERLINK("http://www.ncbi.nlm.nih.gov/gene/?term=RABGGTB","NCBI")</f>
        <v>NCBI</v>
      </c>
      <c r="F2484">
        <v>1.0999999999999999E-2</v>
      </c>
      <c r="G2484">
        <v>7.5999999999999998E-2</v>
      </c>
      <c r="H2484" s="1" t="str">
        <f>HYPERLINK("http://www.weizmann.ac.il/complex/compphys/software/geview/data/figures/209181_s_at.png","Figure")</f>
        <v>Figure</v>
      </c>
      <c r="I2484">
        <v>0.88800000000000001</v>
      </c>
      <c r="J2484">
        <v>0.62</v>
      </c>
      <c r="K2484">
        <v>0.68500000000000005</v>
      </c>
      <c r="L2484">
        <v>1.0999999999999999E-2</v>
      </c>
      <c r="M2484">
        <v>0.77200000000000002</v>
      </c>
      <c r="N2484">
        <v>0.1</v>
      </c>
    </row>
    <row r="2485" spans="1:14" x14ac:dyDescent="0.25">
      <c r="A2485" t="s">
        <v>4596</v>
      </c>
      <c r="B2485" t="s">
        <v>4597</v>
      </c>
      <c r="C2485" s="1" t="str">
        <f>HYPERLINK("http://www.genecards.org/cgi-bin/carddisp.pl?gene=LOC151162 /// MGAT5","GeneCards")</f>
        <v>GeneCards</v>
      </c>
      <c r="D2485" s="1" t="str">
        <f>HYPERLINK("http://genome-euro.ucsc.edu/cgi-bin/hgTracks?position=212098_at","UCSC")</f>
        <v>UCSC</v>
      </c>
      <c r="E2485" s="1" t="str">
        <f>HYPERLINK("http://www.ncbi.nlm.nih.gov/gene/?term=LOC151162 /// MGAT5","NCBI")</f>
        <v>NCBI</v>
      </c>
      <c r="F2485">
        <v>1.0999999999999999E-2</v>
      </c>
      <c r="G2485">
        <v>7.5999999999999998E-2</v>
      </c>
      <c r="H2485" s="1" t="str">
        <f>HYPERLINK("http://www.weizmann.ac.il/complex/compphys/software/geview/data/figures/212098_at.png","Figure")</f>
        <v>Figure</v>
      </c>
      <c r="I2485">
        <v>2.4</v>
      </c>
      <c r="J2485">
        <v>9.1000000000000004E-3</v>
      </c>
      <c r="K2485">
        <v>1.63</v>
      </c>
      <c r="L2485">
        <v>9.5000000000000001E-2</v>
      </c>
      <c r="M2485">
        <v>0.67900000000000005</v>
      </c>
      <c r="N2485">
        <v>0.25</v>
      </c>
    </row>
    <row r="2486" spans="1:14" x14ac:dyDescent="0.25">
      <c r="A2486" t="s">
        <v>4598</v>
      </c>
      <c r="B2486" t="s">
        <v>4599</v>
      </c>
      <c r="C2486" s="1" t="str">
        <f>HYPERLINK("http://www.genecards.org/cgi-bin/carddisp.pl?gene=PDCD11","GeneCards")</f>
        <v>GeneCards</v>
      </c>
      <c r="D2486" s="1" t="str">
        <f>HYPERLINK("http://genome-euro.ucsc.edu/cgi-bin/hgTracks?position=212424_at","UCSC")</f>
        <v>UCSC</v>
      </c>
      <c r="E2486" s="1" t="str">
        <f>HYPERLINK("http://www.ncbi.nlm.nih.gov/gene/?term=PDCD11","NCBI")</f>
        <v>NCBI</v>
      </c>
      <c r="F2486">
        <v>1.0999999999999999E-2</v>
      </c>
      <c r="G2486">
        <v>7.5999999999999998E-2</v>
      </c>
      <c r="H2486" s="1" t="str">
        <f>HYPERLINK("http://www.weizmann.ac.il/complex/compphys/software/geview/data/figures/212424_at.png","Figure")</f>
        <v>Figure</v>
      </c>
      <c r="I2486">
        <v>1.21</v>
      </c>
      <c r="J2486">
        <v>0.2</v>
      </c>
      <c r="K2486">
        <v>1.38</v>
      </c>
      <c r="L2486">
        <v>8.3999999999999995E-3</v>
      </c>
      <c r="M2486">
        <v>1.1399999999999999</v>
      </c>
      <c r="N2486">
        <v>0.37</v>
      </c>
    </row>
    <row r="2487" spans="1:14" x14ac:dyDescent="0.25">
      <c r="A2487" t="s">
        <v>4600</v>
      </c>
      <c r="B2487" t="s">
        <v>4601</v>
      </c>
      <c r="C2487" s="1" t="str">
        <f>HYPERLINK("http://www.genecards.org/cgi-bin/carddisp.pl?gene=MED12","GeneCards")</f>
        <v>GeneCards</v>
      </c>
      <c r="D2487" s="1" t="str">
        <f>HYPERLINK("http://genome-euro.ucsc.edu/cgi-bin/hgTracks?position=216071_x_at","UCSC")</f>
        <v>UCSC</v>
      </c>
      <c r="E2487" s="1" t="str">
        <f>HYPERLINK("http://www.ncbi.nlm.nih.gov/gene/?term=MED12","NCBI")</f>
        <v>NCBI</v>
      </c>
      <c r="F2487">
        <v>1.0999999999999999E-2</v>
      </c>
      <c r="G2487">
        <v>7.5999999999999998E-2</v>
      </c>
      <c r="H2487" s="1" t="str">
        <f>HYPERLINK("http://www.weizmann.ac.il/complex/compphys/software/geview/data/figures/216071_x_at.png","Figure")</f>
        <v>Figure</v>
      </c>
      <c r="I2487">
        <v>0.56100000000000005</v>
      </c>
      <c r="J2487">
        <v>5.0999999999999997E-2</v>
      </c>
      <c r="K2487">
        <v>1.1599999999999999</v>
      </c>
      <c r="L2487">
        <v>0.73</v>
      </c>
      <c r="M2487">
        <v>2.0699999999999998</v>
      </c>
      <c r="N2487">
        <v>9.4000000000000004E-3</v>
      </c>
    </row>
    <row r="2488" spans="1:14" x14ac:dyDescent="0.25">
      <c r="A2488" t="s">
        <v>4602</v>
      </c>
      <c r="B2488" t="s">
        <v>4603</v>
      </c>
      <c r="C2488" s="1" t="str">
        <f>HYPERLINK("http://www.genecards.org/cgi-bin/carddisp.pl?gene=ELL3 /// SERINC4","GeneCards")</f>
        <v>GeneCards</v>
      </c>
      <c r="D2488" s="1" t="str">
        <f>HYPERLINK("http://genome-euro.ucsc.edu/cgi-bin/hgTracks?position=219518_s_at","UCSC")</f>
        <v>UCSC</v>
      </c>
      <c r="E2488" s="1" t="str">
        <f>HYPERLINK("http://www.ncbi.nlm.nih.gov/gene/?term=ELL3 /// SERINC4","NCBI")</f>
        <v>NCBI</v>
      </c>
      <c r="F2488">
        <v>1.0999999999999999E-2</v>
      </c>
      <c r="G2488">
        <v>7.5999999999999998E-2</v>
      </c>
      <c r="H2488" s="1" t="str">
        <f>HYPERLINK("http://www.weizmann.ac.il/complex/compphys/software/geview/data/figures/219518_s_at.png","Figure")</f>
        <v>Figure</v>
      </c>
      <c r="I2488">
        <v>1.79</v>
      </c>
      <c r="J2488">
        <v>0.26</v>
      </c>
      <c r="K2488">
        <v>3.03</v>
      </c>
      <c r="L2488">
        <v>8.5000000000000006E-3</v>
      </c>
      <c r="M2488">
        <v>1.7</v>
      </c>
      <c r="N2488">
        <v>0.28000000000000003</v>
      </c>
    </row>
    <row r="2489" spans="1:14" x14ac:dyDescent="0.25">
      <c r="A2489" t="s">
        <v>4604</v>
      </c>
      <c r="B2489" t="s">
        <v>4605</v>
      </c>
      <c r="C2489" s="1" t="str">
        <f>HYPERLINK("http://www.genecards.org/cgi-bin/carddisp.pl?gene=PPP1R16B","GeneCards")</f>
        <v>GeneCards</v>
      </c>
      <c r="D2489" s="1" t="str">
        <f>HYPERLINK("http://genome-euro.ucsc.edu/cgi-bin/hgTracks?position=212750_at","UCSC")</f>
        <v>UCSC</v>
      </c>
      <c r="E2489" s="1" t="str">
        <f>HYPERLINK("http://www.ncbi.nlm.nih.gov/gene/?term=PPP1R16B","NCBI")</f>
        <v>NCBI</v>
      </c>
      <c r="F2489">
        <v>1.0999999999999999E-2</v>
      </c>
      <c r="G2489">
        <v>7.5999999999999998E-2</v>
      </c>
      <c r="H2489" s="1" t="str">
        <f>HYPERLINK("http://www.weizmann.ac.il/complex/compphys/software/geview/data/figures/212750_at.png","Figure")</f>
        <v>Figure</v>
      </c>
      <c r="I2489">
        <v>1.39</v>
      </c>
      <c r="J2489">
        <v>0.67</v>
      </c>
      <c r="K2489">
        <v>0.42</v>
      </c>
      <c r="L2489">
        <v>5.7000000000000002E-2</v>
      </c>
      <c r="M2489">
        <v>0.30099999999999999</v>
      </c>
      <c r="N2489">
        <v>1.4E-2</v>
      </c>
    </row>
    <row r="2490" spans="1:14" x14ac:dyDescent="0.25">
      <c r="A2490" t="s">
        <v>4606</v>
      </c>
      <c r="B2490" t="s">
        <v>4607</v>
      </c>
      <c r="C2490" s="1" t="str">
        <f>HYPERLINK("http://www.genecards.org/cgi-bin/carddisp.pl?gene=CD79B","GeneCards")</f>
        <v>GeneCards</v>
      </c>
      <c r="D2490" s="1" t="str">
        <f>HYPERLINK("http://genome-euro.ucsc.edu/cgi-bin/hgTracks?position=205297_s_at","UCSC")</f>
        <v>UCSC</v>
      </c>
      <c r="E2490" s="1" t="str">
        <f>HYPERLINK("http://www.ncbi.nlm.nih.gov/gene/?term=CD79B","NCBI")</f>
        <v>NCBI</v>
      </c>
      <c r="F2490">
        <v>1.0999999999999999E-2</v>
      </c>
      <c r="G2490">
        <v>7.5999999999999998E-2</v>
      </c>
      <c r="H2490" s="1" t="str">
        <f>HYPERLINK("http://www.weizmann.ac.il/complex/compphys/software/geview/data/figures/205297_s_at.png","Figure")</f>
        <v>Figure</v>
      </c>
      <c r="I2490">
        <v>0.70699999999999996</v>
      </c>
      <c r="J2490">
        <v>0.35</v>
      </c>
      <c r="K2490">
        <v>1.55</v>
      </c>
      <c r="L2490">
        <v>0.13</v>
      </c>
      <c r="M2490">
        <v>2.2000000000000002</v>
      </c>
      <c r="N2490">
        <v>0.01</v>
      </c>
    </row>
    <row r="2491" spans="1:14" x14ac:dyDescent="0.25">
      <c r="A2491" t="s">
        <v>4608</v>
      </c>
      <c r="B2491" t="s">
        <v>4609</v>
      </c>
      <c r="C2491" s="1" t="str">
        <f>HYPERLINK("http://www.genecards.org/cgi-bin/carddisp.pl?gene=ENSA","GeneCards")</f>
        <v>GeneCards</v>
      </c>
      <c r="D2491" s="1" t="str">
        <f>HYPERLINK("http://genome-euro.ucsc.edu/cgi-bin/hgTracks?position=221487_s_at","UCSC")</f>
        <v>UCSC</v>
      </c>
      <c r="E2491" s="1" t="str">
        <f>HYPERLINK("http://www.ncbi.nlm.nih.gov/gene/?term=ENSA","NCBI")</f>
        <v>NCBI</v>
      </c>
      <c r="F2491">
        <v>1.0999999999999999E-2</v>
      </c>
      <c r="G2491">
        <v>7.5999999999999998E-2</v>
      </c>
      <c r="H2491" s="1" t="str">
        <f>HYPERLINK("http://www.weizmann.ac.il/complex/compphys/software/geview/data/figures/221487_s_at.png","Figure")</f>
        <v>Figure</v>
      </c>
      <c r="I2491">
        <v>1.1100000000000001</v>
      </c>
      <c r="J2491">
        <v>0.45</v>
      </c>
      <c r="K2491">
        <v>0.84399999999999997</v>
      </c>
      <c r="L2491">
        <v>9.6000000000000002E-2</v>
      </c>
      <c r="M2491">
        <v>0.75900000000000001</v>
      </c>
      <c r="N2491">
        <v>1.0999999999999999E-2</v>
      </c>
    </row>
    <row r="2492" spans="1:14" x14ac:dyDescent="0.25">
      <c r="A2492" t="s">
        <v>4610</v>
      </c>
      <c r="B2492" t="s">
        <v>4611</v>
      </c>
      <c r="C2492" s="1" t="str">
        <f>HYPERLINK("http://www.genecards.org/cgi-bin/carddisp.pl?gene=CEACAM4","GeneCards")</f>
        <v>GeneCards</v>
      </c>
      <c r="D2492" s="1" t="str">
        <f>HYPERLINK("http://genome-euro.ucsc.edu/cgi-bin/hgTracks?position=207205_at","UCSC")</f>
        <v>UCSC</v>
      </c>
      <c r="E2492" s="1" t="str">
        <f>HYPERLINK("http://www.ncbi.nlm.nih.gov/gene/?term=CEACAM4","NCBI")</f>
        <v>NCBI</v>
      </c>
      <c r="F2492">
        <v>1.0999999999999999E-2</v>
      </c>
      <c r="G2492">
        <v>7.5999999999999998E-2</v>
      </c>
      <c r="H2492" s="1" t="str">
        <f>HYPERLINK("http://www.weizmann.ac.il/complex/compphys/software/geview/data/figures/207205_at.png","Figure")</f>
        <v>Figure</v>
      </c>
      <c r="I2492">
        <v>1.32</v>
      </c>
      <c r="J2492">
        <v>8.6999999999999994E-3</v>
      </c>
      <c r="K2492">
        <v>1.1499999999999999</v>
      </c>
      <c r="L2492">
        <v>0.13</v>
      </c>
      <c r="M2492">
        <v>0.872</v>
      </c>
      <c r="N2492">
        <v>0.18</v>
      </c>
    </row>
    <row r="2493" spans="1:14" x14ac:dyDescent="0.25">
      <c r="A2493" t="s">
        <v>4612</v>
      </c>
      <c r="B2493" t="s">
        <v>4613</v>
      </c>
      <c r="C2493" s="1" t="str">
        <f>HYPERLINK("http://www.genecards.org/cgi-bin/carddisp.pl?gene=MX2","GeneCards")</f>
        <v>GeneCards</v>
      </c>
      <c r="D2493" s="1" t="str">
        <f>HYPERLINK("http://genome-euro.ucsc.edu/cgi-bin/hgTracks?position=204994_at","UCSC")</f>
        <v>UCSC</v>
      </c>
      <c r="E2493" s="1" t="str">
        <f>HYPERLINK("http://www.ncbi.nlm.nih.gov/gene/?term=MX2","NCBI")</f>
        <v>NCBI</v>
      </c>
      <c r="F2493">
        <v>1.0999999999999999E-2</v>
      </c>
      <c r="G2493">
        <v>7.5999999999999998E-2</v>
      </c>
      <c r="H2493" s="1" t="str">
        <f>HYPERLINK("http://www.weizmann.ac.il/complex/compphys/software/geview/data/figures/204994_at.png","Figure")</f>
        <v>Figure</v>
      </c>
      <c r="I2493">
        <v>0.54100000000000004</v>
      </c>
      <c r="J2493">
        <v>8.9999999999999993E-3</v>
      </c>
      <c r="K2493">
        <v>0.71699999999999997</v>
      </c>
      <c r="L2493">
        <v>0.11</v>
      </c>
      <c r="M2493">
        <v>1.32</v>
      </c>
      <c r="N2493">
        <v>0.23</v>
      </c>
    </row>
    <row r="2494" spans="1:14" x14ac:dyDescent="0.25">
      <c r="A2494" t="s">
        <v>4614</v>
      </c>
      <c r="B2494" t="s">
        <v>4615</v>
      </c>
      <c r="C2494" s="1" t="str">
        <f>HYPERLINK("http://www.genecards.org/cgi-bin/carddisp.pl?gene=FAM5B","GeneCards")</f>
        <v>GeneCards</v>
      </c>
      <c r="D2494" s="1" t="str">
        <f>HYPERLINK("http://genome-euro.ucsc.edu/cgi-bin/hgTracks?position=214822_at","UCSC")</f>
        <v>UCSC</v>
      </c>
      <c r="E2494" s="1" t="str">
        <f>HYPERLINK("http://www.ncbi.nlm.nih.gov/gene/?term=FAM5B","NCBI")</f>
        <v>NCBI</v>
      </c>
      <c r="F2494">
        <v>1.0999999999999999E-2</v>
      </c>
      <c r="G2494">
        <v>7.5999999999999998E-2</v>
      </c>
      <c r="H2494" s="1" t="str">
        <f>HYPERLINK("http://www.weizmann.ac.il/complex/compphys/software/geview/data/figures/214822_at.png","Figure")</f>
        <v>Figure</v>
      </c>
      <c r="I2494">
        <v>1.17</v>
      </c>
      <c r="J2494">
        <v>2.5999999999999999E-2</v>
      </c>
      <c r="K2494">
        <v>0.99099999999999999</v>
      </c>
      <c r="L2494">
        <v>0.98</v>
      </c>
      <c r="M2494">
        <v>0.85</v>
      </c>
      <c r="N2494">
        <v>1.2999999999999999E-2</v>
      </c>
    </row>
    <row r="2495" spans="1:14" x14ac:dyDescent="0.25">
      <c r="A2495" t="s">
        <v>4616</v>
      </c>
      <c r="B2495" t="s">
        <v>4617</v>
      </c>
      <c r="C2495" s="1" t="str">
        <f>HYPERLINK("http://www.genecards.org/cgi-bin/carddisp.pl?gene=OSBP2","GeneCards")</f>
        <v>GeneCards</v>
      </c>
      <c r="D2495" s="1" t="str">
        <f>HYPERLINK("http://genome-euro.ucsc.edu/cgi-bin/hgTracks?position=221237_s_at","UCSC")</f>
        <v>UCSC</v>
      </c>
      <c r="E2495" s="1" t="str">
        <f>HYPERLINK("http://www.ncbi.nlm.nih.gov/gene/?term=OSBP2","NCBI")</f>
        <v>NCBI</v>
      </c>
      <c r="F2495">
        <v>1.0999999999999999E-2</v>
      </c>
      <c r="G2495">
        <v>7.5999999999999998E-2</v>
      </c>
      <c r="H2495" s="1" t="str">
        <f>HYPERLINK("http://www.weizmann.ac.il/complex/compphys/software/geview/data/figures/221237_s_at.png","Figure")</f>
        <v>Figure</v>
      </c>
      <c r="I2495">
        <v>1.38</v>
      </c>
      <c r="J2495">
        <v>8.9999999999999993E-3</v>
      </c>
      <c r="K2495">
        <v>1.19</v>
      </c>
      <c r="L2495">
        <v>0.11</v>
      </c>
      <c r="M2495">
        <v>0.86399999999999999</v>
      </c>
      <c r="N2495">
        <v>0.22</v>
      </c>
    </row>
    <row r="2496" spans="1:14" x14ac:dyDescent="0.25">
      <c r="A2496" t="s">
        <v>4618</v>
      </c>
      <c r="B2496" t="s">
        <v>4619</v>
      </c>
      <c r="C2496" s="1" t="str">
        <f>HYPERLINK("http://www.genecards.org/cgi-bin/carddisp.pl?gene=C3orf27","GeneCards")</f>
        <v>GeneCards</v>
      </c>
      <c r="D2496" s="1" t="str">
        <f>HYPERLINK("http://genome-euro.ucsc.edu/cgi-bin/hgTracks?position=208440_at","UCSC")</f>
        <v>UCSC</v>
      </c>
      <c r="E2496" s="1" t="str">
        <f>HYPERLINK("http://www.ncbi.nlm.nih.gov/gene/?term=C3orf27","NCBI")</f>
        <v>NCBI</v>
      </c>
      <c r="F2496">
        <v>1.0999999999999999E-2</v>
      </c>
      <c r="G2496">
        <v>7.5999999999999998E-2</v>
      </c>
      <c r="H2496" s="1" t="str">
        <f>HYPERLINK("http://www.weizmann.ac.il/complex/compphys/software/geview/data/figures/208440_at.png","Figure")</f>
        <v>Figure</v>
      </c>
      <c r="I2496">
        <v>1.1499999999999999</v>
      </c>
      <c r="J2496">
        <v>0.25</v>
      </c>
      <c r="K2496">
        <v>0.876</v>
      </c>
      <c r="L2496">
        <v>0.19</v>
      </c>
      <c r="M2496">
        <v>0.76500000000000001</v>
      </c>
      <c r="N2496">
        <v>9.1000000000000004E-3</v>
      </c>
    </row>
    <row r="2497" spans="1:14" x14ac:dyDescent="0.25">
      <c r="A2497" t="s">
        <v>4620</v>
      </c>
      <c r="B2497" t="s">
        <v>4621</v>
      </c>
      <c r="C2497" s="1" t="str">
        <f>HYPERLINK("http://www.genecards.org/cgi-bin/carddisp.pl?gene=NPFF","GeneCards")</f>
        <v>GeneCards</v>
      </c>
      <c r="D2497" s="1" t="str">
        <f>HYPERLINK("http://genome-euro.ucsc.edu/cgi-bin/hgTracks?position=214184_at","UCSC")</f>
        <v>UCSC</v>
      </c>
      <c r="E2497" s="1" t="str">
        <f>HYPERLINK("http://www.ncbi.nlm.nih.gov/gene/?term=NPFF","NCBI")</f>
        <v>NCBI</v>
      </c>
      <c r="F2497">
        <v>1.0999999999999999E-2</v>
      </c>
      <c r="G2497">
        <v>7.6999999999999999E-2</v>
      </c>
      <c r="H2497" s="1" t="str">
        <f>HYPERLINK("http://www.weizmann.ac.il/complex/compphys/software/geview/data/figures/214184_at.png","Figure")</f>
        <v>Figure</v>
      </c>
      <c r="I2497">
        <v>0.79100000000000004</v>
      </c>
      <c r="J2497">
        <v>9.1999999999999998E-3</v>
      </c>
      <c r="K2497">
        <v>0.92500000000000004</v>
      </c>
      <c r="L2497">
        <v>0.39</v>
      </c>
      <c r="M2497">
        <v>1.17</v>
      </c>
      <c r="N2497">
        <v>0.06</v>
      </c>
    </row>
    <row r="2498" spans="1:14" x14ac:dyDescent="0.25">
      <c r="A2498" t="s">
        <v>4622</v>
      </c>
      <c r="B2498" t="s">
        <v>4623</v>
      </c>
      <c r="C2498" s="1" t="str">
        <f>HYPERLINK("http://www.genecards.org/cgi-bin/carddisp.pl?gene=DARC","GeneCards")</f>
        <v>GeneCards</v>
      </c>
      <c r="D2498" s="1" t="str">
        <f>HYPERLINK("http://genome-euro.ucsc.edu/cgi-bin/hgTracks?position=208335_s_at","UCSC")</f>
        <v>UCSC</v>
      </c>
      <c r="E2498" s="1" t="str">
        <f>HYPERLINK("http://www.ncbi.nlm.nih.gov/gene/?term=DARC","NCBI")</f>
        <v>NCBI</v>
      </c>
      <c r="F2498">
        <v>1.0999999999999999E-2</v>
      </c>
      <c r="G2498">
        <v>7.6999999999999999E-2</v>
      </c>
      <c r="H2498" s="1" t="str">
        <f>HYPERLINK("http://www.weizmann.ac.il/complex/compphys/software/geview/data/figures/208335_s_at.png","Figure")</f>
        <v>Figure</v>
      </c>
      <c r="I2498">
        <v>1.19</v>
      </c>
      <c r="J2498">
        <v>0.02</v>
      </c>
      <c r="K2498">
        <v>1</v>
      </c>
      <c r="L2498">
        <v>1</v>
      </c>
      <c r="M2498">
        <v>0.84299999999999997</v>
      </c>
      <c r="N2498">
        <v>1.6E-2</v>
      </c>
    </row>
    <row r="2499" spans="1:14" x14ac:dyDescent="0.25">
      <c r="A2499" t="s">
        <v>4624</v>
      </c>
      <c r="B2499" t="s">
        <v>477</v>
      </c>
      <c r="C2499" s="1" t="str">
        <f>HYPERLINK("http://www.genecards.org/cgi-bin/carddisp.pl?gene=LYST","GeneCards")</f>
        <v>GeneCards</v>
      </c>
      <c r="D2499" s="1" t="str">
        <f>HYPERLINK("http://genome-euro.ucsc.edu/cgi-bin/hgTracks?position=210943_s_at","UCSC")</f>
        <v>UCSC</v>
      </c>
      <c r="E2499" s="1" t="str">
        <f>HYPERLINK("http://www.ncbi.nlm.nih.gov/gene/?term=LYST","NCBI")</f>
        <v>NCBI</v>
      </c>
      <c r="F2499">
        <v>1.0999999999999999E-2</v>
      </c>
      <c r="G2499">
        <v>7.6999999999999999E-2</v>
      </c>
      <c r="H2499" s="1" t="str">
        <f>HYPERLINK("http://www.weizmann.ac.il/complex/compphys/software/geview/data/figures/210943_s_at.png","Figure")</f>
        <v>Figure</v>
      </c>
      <c r="I2499">
        <v>0.61799999999999999</v>
      </c>
      <c r="J2499">
        <v>0.09</v>
      </c>
      <c r="K2499">
        <v>1.24</v>
      </c>
      <c r="L2499">
        <v>0.48</v>
      </c>
      <c r="M2499">
        <v>2.0099999999999998</v>
      </c>
      <c r="N2499">
        <v>8.6E-3</v>
      </c>
    </row>
    <row r="2500" spans="1:14" x14ac:dyDescent="0.25">
      <c r="A2500" t="s">
        <v>4625</v>
      </c>
      <c r="B2500" t="s">
        <v>4626</v>
      </c>
      <c r="C2500" s="1" t="str">
        <f>HYPERLINK("http://www.genecards.org/cgi-bin/carddisp.pl?gene=WDR1","GeneCards")</f>
        <v>GeneCards</v>
      </c>
      <c r="D2500" s="1" t="str">
        <f>HYPERLINK("http://genome-euro.ucsc.edu/cgi-bin/hgTracks?position=200609_s_at","UCSC")</f>
        <v>UCSC</v>
      </c>
      <c r="E2500" s="1" t="str">
        <f>HYPERLINK("http://www.ncbi.nlm.nih.gov/gene/?term=WDR1","NCBI")</f>
        <v>NCBI</v>
      </c>
      <c r="F2500">
        <v>1.0999999999999999E-2</v>
      </c>
      <c r="G2500">
        <v>7.6999999999999999E-2</v>
      </c>
      <c r="H2500" s="1" t="str">
        <f>HYPERLINK("http://www.weizmann.ac.il/complex/compphys/software/geview/data/figures/200609_s_at.png","Figure")</f>
        <v>Figure</v>
      </c>
      <c r="I2500">
        <v>0.76</v>
      </c>
      <c r="J2500">
        <v>4.1000000000000002E-2</v>
      </c>
      <c r="K2500">
        <v>1.05</v>
      </c>
      <c r="L2500">
        <v>0.82</v>
      </c>
      <c r="M2500">
        <v>1.39</v>
      </c>
      <c r="N2500">
        <v>0.01</v>
      </c>
    </row>
    <row r="2501" spans="1:14" x14ac:dyDescent="0.25">
      <c r="A2501" t="s">
        <v>4627</v>
      </c>
      <c r="B2501" t="s">
        <v>4628</v>
      </c>
      <c r="C2501" s="1" t="str">
        <f>HYPERLINK("http://www.genecards.org/cgi-bin/carddisp.pl?gene=STAT5A","GeneCards")</f>
        <v>GeneCards</v>
      </c>
      <c r="D2501" s="1" t="str">
        <f>HYPERLINK("http://genome-euro.ucsc.edu/cgi-bin/hgTracks?position=203010_at","UCSC")</f>
        <v>UCSC</v>
      </c>
      <c r="E2501" s="1" t="str">
        <f>HYPERLINK("http://www.ncbi.nlm.nih.gov/gene/?term=STAT5A","NCBI")</f>
        <v>NCBI</v>
      </c>
      <c r="F2501">
        <v>1.0999999999999999E-2</v>
      </c>
      <c r="G2501">
        <v>7.6999999999999999E-2</v>
      </c>
      <c r="H2501" s="1" t="str">
        <f>HYPERLINK("http://www.weizmann.ac.il/complex/compphys/software/geview/data/figures/203010_at.png","Figure")</f>
        <v>Figure</v>
      </c>
      <c r="I2501">
        <v>1.08</v>
      </c>
      <c r="J2501">
        <v>0.84</v>
      </c>
      <c r="K2501">
        <v>0.73399999999999999</v>
      </c>
      <c r="L2501">
        <v>0.04</v>
      </c>
      <c r="M2501">
        <v>0.68300000000000005</v>
      </c>
      <c r="N2501">
        <v>1.7999999999999999E-2</v>
      </c>
    </row>
    <row r="2502" spans="1:14" x14ac:dyDescent="0.25">
      <c r="A2502" t="s">
        <v>4629</v>
      </c>
      <c r="B2502" t="s">
        <v>4630</v>
      </c>
      <c r="C2502" s="1" t="str">
        <f>HYPERLINK("http://www.genecards.org/cgi-bin/carddisp.pl?gene=CENPF","GeneCards")</f>
        <v>GeneCards</v>
      </c>
      <c r="D2502" s="1" t="str">
        <f>HYPERLINK("http://genome-euro.ucsc.edu/cgi-bin/hgTracks?position=207828_s_at","UCSC")</f>
        <v>UCSC</v>
      </c>
      <c r="E2502" s="1" t="str">
        <f>HYPERLINK("http://www.ncbi.nlm.nih.gov/gene/?term=CENPF","NCBI")</f>
        <v>NCBI</v>
      </c>
      <c r="F2502">
        <v>1.0999999999999999E-2</v>
      </c>
      <c r="G2502">
        <v>7.6999999999999999E-2</v>
      </c>
      <c r="H2502" s="1" t="str">
        <f>HYPERLINK("http://www.weizmann.ac.il/complex/compphys/software/geview/data/figures/207828_s_at.png","Figure")</f>
        <v>Figure</v>
      </c>
      <c r="I2502">
        <v>2</v>
      </c>
      <c r="J2502">
        <v>3.4000000000000002E-2</v>
      </c>
      <c r="K2502">
        <v>2.0299999999999998</v>
      </c>
      <c r="L2502">
        <v>1.4E-2</v>
      </c>
      <c r="M2502">
        <v>1.01</v>
      </c>
      <c r="N2502">
        <v>1</v>
      </c>
    </row>
    <row r="2503" spans="1:14" x14ac:dyDescent="0.25">
      <c r="A2503" t="s">
        <v>4631</v>
      </c>
      <c r="B2503" t="s">
        <v>4632</v>
      </c>
      <c r="C2503" s="1" t="str">
        <f>HYPERLINK("http://www.genecards.org/cgi-bin/carddisp.pl?gene=EDC3","GeneCards")</f>
        <v>GeneCards</v>
      </c>
      <c r="D2503" s="1" t="str">
        <f>HYPERLINK("http://genome-euro.ucsc.edu/cgi-bin/hgTracks?position=219207_at","UCSC")</f>
        <v>UCSC</v>
      </c>
      <c r="E2503" s="1" t="str">
        <f>HYPERLINK("http://www.ncbi.nlm.nih.gov/gene/?term=EDC3","NCBI")</f>
        <v>NCBI</v>
      </c>
      <c r="F2503">
        <v>1.0999999999999999E-2</v>
      </c>
      <c r="G2503">
        <v>7.6999999999999999E-2</v>
      </c>
      <c r="H2503" s="1" t="str">
        <f>HYPERLINK("http://www.weizmann.ac.il/complex/compphys/software/geview/data/figures/219207_at.png","Figure")</f>
        <v>Figure</v>
      </c>
      <c r="I2503">
        <v>0.97599999999999998</v>
      </c>
      <c r="J2503">
        <v>2.1999999999999999E-2</v>
      </c>
      <c r="K2503">
        <v>1</v>
      </c>
      <c r="L2503">
        <v>1</v>
      </c>
      <c r="M2503">
        <v>1.02</v>
      </c>
      <c r="N2503">
        <v>1.4999999999999999E-2</v>
      </c>
    </row>
    <row r="2504" spans="1:14" x14ac:dyDescent="0.25">
      <c r="A2504" t="s">
        <v>4633</v>
      </c>
      <c r="B2504" s="3">
        <v>42619</v>
      </c>
      <c r="C2504" s="1" t="str">
        <f>HYPERLINK("http://www.genecards.org/cgi-bin/carddisp.pl?gene=6-Sep","GeneCards")</f>
        <v>GeneCards</v>
      </c>
      <c r="D2504" s="1" t="str">
        <f>HYPERLINK("http://genome-euro.ucsc.edu/cgi-bin/hgTracks?position=213666_at","UCSC")</f>
        <v>UCSC</v>
      </c>
      <c r="E2504" s="1" t="str">
        <f>HYPERLINK("http://www.ncbi.nlm.nih.gov/gene/?term=6-Sep","NCBI")</f>
        <v>NCBI</v>
      </c>
      <c r="F2504">
        <v>1.0999999999999999E-2</v>
      </c>
      <c r="G2504">
        <v>7.6999999999999999E-2</v>
      </c>
      <c r="H2504" s="1" t="str">
        <f>HYPERLINK("http://www.weizmann.ac.il/complex/compphys/software/geview/data/figures/213666_at.png","Figure")</f>
        <v>Figure</v>
      </c>
      <c r="I2504">
        <v>1.25</v>
      </c>
      <c r="J2504">
        <v>0.44</v>
      </c>
      <c r="K2504">
        <v>1.73</v>
      </c>
      <c r="L2504">
        <v>9.4999999999999998E-3</v>
      </c>
      <c r="M2504">
        <v>1.38</v>
      </c>
      <c r="N2504">
        <v>0.16</v>
      </c>
    </row>
    <row r="2505" spans="1:14" x14ac:dyDescent="0.25">
      <c r="A2505" t="s">
        <v>4634</v>
      </c>
      <c r="B2505" t="s">
        <v>1304</v>
      </c>
      <c r="C2505" s="1" t="str">
        <f>HYPERLINK("http://www.genecards.org/cgi-bin/carddisp.pl?gene=C21orf33 /// PWP2","GeneCards")</f>
        <v>GeneCards</v>
      </c>
      <c r="D2505" s="1" t="str">
        <f>HYPERLINK("http://genome-euro.ucsc.edu/cgi-bin/hgTracks?position=210667_s_at","UCSC")</f>
        <v>UCSC</v>
      </c>
      <c r="E2505" s="1" t="str">
        <f>HYPERLINK("http://www.ncbi.nlm.nih.gov/gene/?term=C21orf33 /// PWP2","NCBI")</f>
        <v>NCBI</v>
      </c>
      <c r="F2505">
        <v>1.0999999999999999E-2</v>
      </c>
      <c r="G2505">
        <v>7.6999999999999999E-2</v>
      </c>
      <c r="H2505" s="1" t="str">
        <f>HYPERLINK("http://www.weizmann.ac.il/complex/compphys/software/geview/data/figures/210667_s_at.png","Figure")</f>
        <v>Figure</v>
      </c>
      <c r="I2505">
        <v>0.83</v>
      </c>
      <c r="J2505">
        <v>2.5000000000000001E-2</v>
      </c>
      <c r="K2505">
        <v>1.01</v>
      </c>
      <c r="L2505">
        <v>0.99</v>
      </c>
      <c r="M2505">
        <v>1.21</v>
      </c>
      <c r="N2505">
        <v>1.2999999999999999E-2</v>
      </c>
    </row>
    <row r="2506" spans="1:14" x14ac:dyDescent="0.25">
      <c r="A2506" t="s">
        <v>4635</v>
      </c>
      <c r="B2506" t="s">
        <v>4636</v>
      </c>
      <c r="C2506" s="1" t="str">
        <f>HYPERLINK("http://www.genecards.org/cgi-bin/carddisp.pl?gene=TBX1","GeneCards")</f>
        <v>GeneCards</v>
      </c>
      <c r="D2506" s="1" t="str">
        <f>HYPERLINK("http://genome-euro.ucsc.edu/cgi-bin/hgTracks?position=211274_at","UCSC")</f>
        <v>UCSC</v>
      </c>
      <c r="E2506" s="1" t="str">
        <f>HYPERLINK("http://www.ncbi.nlm.nih.gov/gene/?term=TBX1","NCBI")</f>
        <v>NCBI</v>
      </c>
      <c r="F2506">
        <v>1.0999999999999999E-2</v>
      </c>
      <c r="G2506">
        <v>7.6999999999999999E-2</v>
      </c>
      <c r="H2506" s="1" t="str">
        <f>HYPERLINK("http://www.weizmann.ac.il/complex/compphys/software/geview/data/figures/211274_at.png","Figure")</f>
        <v>Figure</v>
      </c>
      <c r="I2506">
        <v>1.17</v>
      </c>
      <c r="J2506">
        <v>0.04</v>
      </c>
      <c r="K2506">
        <v>0.97199999999999998</v>
      </c>
      <c r="L2506">
        <v>0.84</v>
      </c>
      <c r="M2506">
        <v>0.83399999999999996</v>
      </c>
      <c r="N2506">
        <v>0.01</v>
      </c>
    </row>
    <row r="2507" spans="1:14" x14ac:dyDescent="0.25">
      <c r="A2507" t="s">
        <v>4637</v>
      </c>
      <c r="B2507" t="s">
        <v>4162</v>
      </c>
      <c r="C2507" s="1" t="str">
        <f>HYPERLINK("http://www.genecards.org/cgi-bin/carddisp.pl?gene=HMX1","GeneCards")</f>
        <v>GeneCards</v>
      </c>
      <c r="D2507" s="1" t="str">
        <f>HYPERLINK("http://genome-euro.ucsc.edu/cgi-bin/hgTracks?position=207353_s_at","UCSC")</f>
        <v>UCSC</v>
      </c>
      <c r="E2507" s="1" t="str">
        <f>HYPERLINK("http://www.ncbi.nlm.nih.gov/gene/?term=HMX1","NCBI")</f>
        <v>NCBI</v>
      </c>
      <c r="F2507">
        <v>1.0999999999999999E-2</v>
      </c>
      <c r="G2507">
        <v>7.6999999999999999E-2</v>
      </c>
      <c r="H2507" s="1" t="str">
        <f>HYPERLINK("http://www.weizmann.ac.il/complex/compphys/software/geview/data/figures/207353_s_at.png","Figure")</f>
        <v>Figure</v>
      </c>
      <c r="I2507">
        <v>1.57</v>
      </c>
      <c r="J2507">
        <v>8.6E-3</v>
      </c>
      <c r="K2507">
        <v>1.21</v>
      </c>
      <c r="L2507">
        <v>0.24</v>
      </c>
      <c r="M2507">
        <v>0.77</v>
      </c>
      <c r="N2507">
        <v>0.1</v>
      </c>
    </row>
    <row r="2508" spans="1:14" x14ac:dyDescent="0.25">
      <c r="A2508" t="s">
        <v>4638</v>
      </c>
      <c r="B2508" t="s">
        <v>4639</v>
      </c>
      <c r="C2508" s="1" t="str">
        <f>HYPERLINK("http://www.genecards.org/cgi-bin/carddisp.pl?gene=RGS3","GeneCards")</f>
        <v>GeneCards</v>
      </c>
      <c r="D2508" s="1" t="str">
        <f>HYPERLINK("http://genome-euro.ucsc.edu/cgi-bin/hgTracks?position=203823_at","UCSC")</f>
        <v>UCSC</v>
      </c>
      <c r="E2508" s="1" t="str">
        <f>HYPERLINK("http://www.ncbi.nlm.nih.gov/gene/?term=RGS3","NCBI")</f>
        <v>NCBI</v>
      </c>
      <c r="F2508">
        <v>1.0999999999999999E-2</v>
      </c>
      <c r="G2508">
        <v>7.6999999999999999E-2</v>
      </c>
      <c r="H2508" s="1" t="str">
        <f>HYPERLINK("http://www.weizmann.ac.il/complex/compphys/software/geview/data/figures/203823_at.png","Figure")</f>
        <v>Figure</v>
      </c>
      <c r="I2508">
        <v>1.37</v>
      </c>
      <c r="J2508">
        <v>1.0999999999999999E-2</v>
      </c>
      <c r="K2508">
        <v>1.23</v>
      </c>
      <c r="L2508">
        <v>5.0999999999999997E-2</v>
      </c>
      <c r="M2508">
        <v>0.90200000000000002</v>
      </c>
      <c r="N2508">
        <v>0.46</v>
      </c>
    </row>
    <row r="2509" spans="1:14" x14ac:dyDescent="0.25">
      <c r="A2509" t="s">
        <v>4640</v>
      </c>
      <c r="B2509" t="s">
        <v>4641</v>
      </c>
      <c r="C2509" s="1" t="str">
        <f>HYPERLINK("http://www.genecards.org/cgi-bin/carddisp.pl?gene=ZNF271","GeneCards")</f>
        <v>GeneCards</v>
      </c>
      <c r="D2509" s="1" t="str">
        <f>HYPERLINK("http://genome-euro.ucsc.edu/cgi-bin/hgTracks?position=211009_s_at","UCSC")</f>
        <v>UCSC</v>
      </c>
      <c r="E2509" s="1" t="str">
        <f>HYPERLINK("http://www.ncbi.nlm.nih.gov/gene/?term=ZNF271","NCBI")</f>
        <v>NCBI</v>
      </c>
      <c r="F2509">
        <v>1.0999999999999999E-2</v>
      </c>
      <c r="G2509">
        <v>7.6999999999999999E-2</v>
      </c>
      <c r="H2509" s="1" t="str">
        <f>HYPERLINK("http://www.weizmann.ac.il/complex/compphys/software/geview/data/figures/211009_s_at.png","Figure")</f>
        <v>Figure</v>
      </c>
      <c r="I2509">
        <v>0.54600000000000004</v>
      </c>
      <c r="J2509">
        <v>1.7999999999999999E-2</v>
      </c>
      <c r="K2509">
        <v>0.96399999999999997</v>
      </c>
      <c r="L2509">
        <v>0.97</v>
      </c>
      <c r="M2509">
        <v>1.77</v>
      </c>
      <c r="N2509">
        <v>1.7000000000000001E-2</v>
      </c>
    </row>
    <row r="2510" spans="1:14" x14ac:dyDescent="0.25">
      <c r="A2510" t="s">
        <v>4642</v>
      </c>
      <c r="B2510" t="s">
        <v>4643</v>
      </c>
      <c r="C2510" s="1" t="str">
        <f>HYPERLINK("http://www.genecards.org/cgi-bin/carddisp.pl?gene=ACOX3","GeneCards")</f>
        <v>GeneCards</v>
      </c>
      <c r="D2510" s="1" t="str">
        <f>HYPERLINK("http://genome-euro.ucsc.edu/cgi-bin/hgTracks?position=204241_at","UCSC")</f>
        <v>UCSC</v>
      </c>
      <c r="E2510" s="1" t="str">
        <f>HYPERLINK("http://www.ncbi.nlm.nih.gov/gene/?term=ACOX3","NCBI")</f>
        <v>NCBI</v>
      </c>
      <c r="F2510">
        <v>1.0999999999999999E-2</v>
      </c>
      <c r="G2510">
        <v>7.6999999999999999E-2</v>
      </c>
      <c r="H2510" s="1" t="str">
        <f>HYPERLINK("http://www.weizmann.ac.il/complex/compphys/software/geview/data/figures/204241_at.png","Figure")</f>
        <v>Figure</v>
      </c>
      <c r="I2510">
        <v>0.93</v>
      </c>
      <c r="J2510">
        <v>0.69</v>
      </c>
      <c r="K2510">
        <v>1.22</v>
      </c>
      <c r="L2510">
        <v>5.5E-2</v>
      </c>
      <c r="M2510">
        <v>1.31</v>
      </c>
      <c r="N2510">
        <v>1.4999999999999999E-2</v>
      </c>
    </row>
    <row r="2511" spans="1:14" x14ac:dyDescent="0.25">
      <c r="A2511" t="s">
        <v>4644</v>
      </c>
      <c r="B2511" t="s">
        <v>4645</v>
      </c>
      <c r="C2511" s="1" t="str">
        <f>HYPERLINK("http://www.genecards.org/cgi-bin/carddisp.pl?gene=HDAC9","GeneCards")</f>
        <v>GeneCards</v>
      </c>
      <c r="D2511" s="1" t="str">
        <f>HYPERLINK("http://genome-euro.ucsc.edu/cgi-bin/hgTracks?position=205659_at","UCSC")</f>
        <v>UCSC</v>
      </c>
      <c r="E2511" s="1" t="str">
        <f>HYPERLINK("http://www.ncbi.nlm.nih.gov/gene/?term=HDAC9","NCBI")</f>
        <v>NCBI</v>
      </c>
      <c r="F2511">
        <v>1.0999999999999999E-2</v>
      </c>
      <c r="G2511">
        <v>7.6999999999999999E-2</v>
      </c>
      <c r="H2511" s="1" t="str">
        <f>HYPERLINK("http://www.weizmann.ac.il/complex/compphys/software/geview/data/figures/205659_at.png","Figure")</f>
        <v>Figure</v>
      </c>
      <c r="I2511">
        <v>1.08</v>
      </c>
      <c r="J2511">
        <v>0.82</v>
      </c>
      <c r="K2511">
        <v>1.48</v>
      </c>
      <c r="L2511">
        <v>1.2999999999999999E-2</v>
      </c>
      <c r="M2511">
        <v>1.36</v>
      </c>
      <c r="N2511">
        <v>6.6000000000000003E-2</v>
      </c>
    </row>
    <row r="2512" spans="1:14" x14ac:dyDescent="0.25">
      <c r="A2512" t="s">
        <v>4646</v>
      </c>
      <c r="B2512" t="s">
        <v>3318</v>
      </c>
      <c r="C2512" s="1" t="str">
        <f>HYPERLINK("http://www.genecards.org/cgi-bin/carddisp.pl?gene=GH1","GeneCards")</f>
        <v>GeneCards</v>
      </c>
      <c r="D2512" s="1" t="str">
        <f>HYPERLINK("http://genome-euro.ucsc.edu/cgi-bin/hgTracks?position=205840_x_at","UCSC")</f>
        <v>UCSC</v>
      </c>
      <c r="E2512" s="1" t="str">
        <f>HYPERLINK("http://www.ncbi.nlm.nih.gov/gene/?term=GH1","NCBI")</f>
        <v>NCBI</v>
      </c>
      <c r="F2512">
        <v>1.0999999999999999E-2</v>
      </c>
      <c r="G2512">
        <v>7.6999999999999999E-2</v>
      </c>
      <c r="H2512" s="1" t="str">
        <f>HYPERLINK("http://www.weizmann.ac.il/complex/compphys/software/geview/data/figures/205840_x_at.png","Figure")</f>
        <v>Figure</v>
      </c>
      <c r="I2512">
        <v>1.38</v>
      </c>
      <c r="J2512">
        <v>8.8999999999999999E-3</v>
      </c>
      <c r="K2512">
        <v>1.18</v>
      </c>
      <c r="L2512">
        <v>0.13</v>
      </c>
      <c r="M2512">
        <v>0.85199999999999998</v>
      </c>
      <c r="N2512">
        <v>0.18</v>
      </c>
    </row>
    <row r="2513" spans="1:14" x14ac:dyDescent="0.25">
      <c r="A2513" t="s">
        <v>4647</v>
      </c>
      <c r="B2513" t="s">
        <v>4648</v>
      </c>
      <c r="C2513" s="1" t="str">
        <f>HYPERLINK("http://www.genecards.org/cgi-bin/carddisp.pl?gene=SEC23A","GeneCards")</f>
        <v>GeneCards</v>
      </c>
      <c r="D2513" s="1" t="str">
        <f>HYPERLINK("http://genome-euro.ucsc.edu/cgi-bin/hgTracks?position=212887_at","UCSC")</f>
        <v>UCSC</v>
      </c>
      <c r="E2513" s="1" t="str">
        <f>HYPERLINK("http://www.ncbi.nlm.nih.gov/gene/?term=SEC23A","NCBI")</f>
        <v>NCBI</v>
      </c>
      <c r="F2513">
        <v>1.0999999999999999E-2</v>
      </c>
      <c r="G2513">
        <v>7.6999999999999999E-2</v>
      </c>
      <c r="H2513" s="1" t="str">
        <f>HYPERLINK("http://www.weizmann.ac.il/complex/compphys/software/geview/data/figures/212887_at.png","Figure")</f>
        <v>Figure</v>
      </c>
      <c r="I2513">
        <v>0.41299999999999998</v>
      </c>
      <c r="J2513">
        <v>0.01</v>
      </c>
      <c r="K2513">
        <v>0.78600000000000003</v>
      </c>
      <c r="L2513">
        <v>0.54</v>
      </c>
      <c r="M2513">
        <v>1.9</v>
      </c>
      <c r="N2513">
        <v>4.2999999999999997E-2</v>
      </c>
    </row>
    <row r="2514" spans="1:14" x14ac:dyDescent="0.25">
      <c r="A2514" t="s">
        <v>4649</v>
      </c>
      <c r="B2514" t="s">
        <v>4650</v>
      </c>
      <c r="C2514" s="1" t="str">
        <f>HYPERLINK("http://www.genecards.org/cgi-bin/carddisp.pl?gene=POLR2E","GeneCards")</f>
        <v>GeneCards</v>
      </c>
      <c r="D2514" s="1" t="str">
        <f>HYPERLINK("http://genome-euro.ucsc.edu/cgi-bin/hgTracks?position=213887_s_at","UCSC")</f>
        <v>UCSC</v>
      </c>
      <c r="E2514" s="1" t="str">
        <f>HYPERLINK("http://www.ncbi.nlm.nih.gov/gene/?term=POLR2E","NCBI")</f>
        <v>NCBI</v>
      </c>
      <c r="F2514">
        <v>1.0999999999999999E-2</v>
      </c>
      <c r="G2514">
        <v>7.6999999999999999E-2</v>
      </c>
      <c r="H2514" s="1" t="str">
        <f>HYPERLINK("http://www.weizmann.ac.il/complex/compphys/software/geview/data/figures/213887_s_at.png","Figure")</f>
        <v>Figure</v>
      </c>
      <c r="I2514">
        <v>0.879</v>
      </c>
      <c r="J2514">
        <v>5.2999999999999999E-2</v>
      </c>
      <c r="K2514">
        <v>1.04</v>
      </c>
      <c r="L2514">
        <v>0.71</v>
      </c>
      <c r="M2514">
        <v>1.18</v>
      </c>
      <c r="N2514">
        <v>9.5999999999999992E-3</v>
      </c>
    </row>
    <row r="2515" spans="1:14" x14ac:dyDescent="0.25">
      <c r="A2515" t="s">
        <v>4651</v>
      </c>
      <c r="B2515" t="s">
        <v>4652</v>
      </c>
      <c r="C2515" s="1" t="str">
        <f>HYPERLINK("http://www.genecards.org/cgi-bin/carddisp.pl?gene=LAP3","GeneCards")</f>
        <v>GeneCards</v>
      </c>
      <c r="D2515" s="1" t="str">
        <f>HYPERLINK("http://genome-euro.ucsc.edu/cgi-bin/hgTracks?position=217933_s_at","UCSC")</f>
        <v>UCSC</v>
      </c>
      <c r="E2515" s="1" t="str">
        <f>HYPERLINK("http://www.ncbi.nlm.nih.gov/gene/?term=LAP3","NCBI")</f>
        <v>NCBI</v>
      </c>
      <c r="F2515">
        <v>1.0999999999999999E-2</v>
      </c>
      <c r="G2515">
        <v>7.6999999999999999E-2</v>
      </c>
      <c r="H2515" s="1" t="str">
        <f>HYPERLINK("http://www.weizmann.ac.il/complex/compphys/software/geview/data/figures/217933_s_at.png","Figure")</f>
        <v>Figure</v>
      </c>
      <c r="I2515">
        <v>0.624</v>
      </c>
      <c r="J2515">
        <v>7.1999999999999995E-2</v>
      </c>
      <c r="K2515">
        <v>1.19</v>
      </c>
      <c r="L2515">
        <v>0.56999999999999995</v>
      </c>
      <c r="M2515">
        <v>1.91</v>
      </c>
      <c r="N2515">
        <v>8.9999999999999993E-3</v>
      </c>
    </row>
    <row r="2516" spans="1:14" x14ac:dyDescent="0.25">
      <c r="A2516" t="s">
        <v>4653</v>
      </c>
      <c r="B2516" t="s">
        <v>4654</v>
      </c>
      <c r="C2516" s="1" t="str">
        <f>HYPERLINK("http://www.genecards.org/cgi-bin/carddisp.pl?gene=C10orf2","GeneCards")</f>
        <v>GeneCards</v>
      </c>
      <c r="D2516" s="1" t="str">
        <f>HYPERLINK("http://genome-euro.ucsc.edu/cgi-bin/hgTracks?position=218590_at","UCSC")</f>
        <v>UCSC</v>
      </c>
      <c r="E2516" s="1" t="str">
        <f>HYPERLINK("http://www.ncbi.nlm.nih.gov/gene/?term=C10orf2","NCBI")</f>
        <v>NCBI</v>
      </c>
      <c r="F2516">
        <v>1.0999999999999999E-2</v>
      </c>
      <c r="G2516">
        <v>7.6999999999999999E-2</v>
      </c>
      <c r="H2516" s="1" t="str">
        <f>HYPERLINK("http://www.weizmann.ac.il/complex/compphys/software/geview/data/figures/218590_at.png","Figure")</f>
        <v>Figure</v>
      </c>
      <c r="I2516">
        <v>1.41</v>
      </c>
      <c r="J2516">
        <v>8.7999999999999995E-2</v>
      </c>
      <c r="K2516">
        <v>1.58</v>
      </c>
      <c r="L2516">
        <v>9.4999999999999998E-3</v>
      </c>
      <c r="M2516">
        <v>1.1200000000000001</v>
      </c>
      <c r="N2516">
        <v>0.7</v>
      </c>
    </row>
    <row r="2517" spans="1:14" x14ac:dyDescent="0.25">
      <c r="A2517" t="s">
        <v>4655</v>
      </c>
      <c r="B2517" t="s">
        <v>2172</v>
      </c>
      <c r="C2517" s="1" t="str">
        <f>HYPERLINK("http://www.genecards.org/cgi-bin/carddisp.pl?gene=MPZL1","GeneCards")</f>
        <v>GeneCards</v>
      </c>
      <c r="D2517" s="1" t="str">
        <f>HYPERLINK("http://genome-euro.ucsc.edu/cgi-bin/hgTracks?position=201874_at","UCSC")</f>
        <v>UCSC</v>
      </c>
      <c r="E2517" s="1" t="str">
        <f>HYPERLINK("http://www.ncbi.nlm.nih.gov/gene/?term=MPZL1","NCBI")</f>
        <v>NCBI</v>
      </c>
      <c r="F2517">
        <v>1.0999999999999999E-2</v>
      </c>
      <c r="G2517">
        <v>7.6999999999999999E-2</v>
      </c>
      <c r="H2517" s="1" t="str">
        <f>HYPERLINK("http://www.weizmann.ac.il/complex/compphys/software/geview/data/figures/201874_at.png","Figure")</f>
        <v>Figure</v>
      </c>
      <c r="I2517">
        <v>1.2</v>
      </c>
      <c r="J2517">
        <v>0.37</v>
      </c>
      <c r="K2517">
        <v>1.5</v>
      </c>
      <c r="L2517">
        <v>9.1999999999999998E-3</v>
      </c>
      <c r="M2517">
        <v>1.25</v>
      </c>
      <c r="N2517">
        <v>0.2</v>
      </c>
    </row>
    <row r="2518" spans="1:14" x14ac:dyDescent="0.25">
      <c r="A2518" t="s">
        <v>4656</v>
      </c>
      <c r="B2518" t="s">
        <v>4657</v>
      </c>
      <c r="C2518" s="1" t="str">
        <f>HYPERLINK("http://www.genecards.org/cgi-bin/carddisp.pl?gene=MSL3","GeneCards")</f>
        <v>GeneCards</v>
      </c>
      <c r="D2518" s="1" t="str">
        <f>HYPERLINK("http://genome-euro.ucsc.edu/cgi-bin/hgTracks?position=207551_s_at","UCSC")</f>
        <v>UCSC</v>
      </c>
      <c r="E2518" s="1" t="str">
        <f>HYPERLINK("http://www.ncbi.nlm.nih.gov/gene/?term=MSL3","NCBI")</f>
        <v>NCBI</v>
      </c>
      <c r="F2518">
        <v>1.0999999999999999E-2</v>
      </c>
      <c r="G2518">
        <v>7.6999999999999999E-2</v>
      </c>
      <c r="H2518" s="1" t="str">
        <f>HYPERLINK("http://www.weizmann.ac.il/complex/compphys/software/geview/data/figures/207551_s_at.png","Figure")</f>
        <v>Figure</v>
      </c>
      <c r="I2518">
        <v>0.79700000000000004</v>
      </c>
      <c r="J2518">
        <v>0.55000000000000004</v>
      </c>
      <c r="K2518">
        <v>1.57</v>
      </c>
      <c r="L2518">
        <v>7.4999999999999997E-2</v>
      </c>
      <c r="M2518">
        <v>1.97</v>
      </c>
      <c r="N2518">
        <v>1.2999999999999999E-2</v>
      </c>
    </row>
    <row r="2519" spans="1:14" x14ac:dyDescent="0.25">
      <c r="A2519" t="s">
        <v>4658</v>
      </c>
      <c r="B2519" t="s">
        <v>4659</v>
      </c>
      <c r="C2519" s="1" t="str">
        <f>HYPERLINK("http://www.genecards.org/cgi-bin/carddisp.pl?gene=RYBP","GeneCards")</f>
        <v>GeneCards</v>
      </c>
      <c r="D2519" s="1" t="str">
        <f>HYPERLINK("http://genome-euro.ucsc.edu/cgi-bin/hgTracks?position=201844_s_at","UCSC")</f>
        <v>UCSC</v>
      </c>
      <c r="E2519" s="1" t="str">
        <f>HYPERLINK("http://www.ncbi.nlm.nih.gov/gene/?term=RYBP","NCBI")</f>
        <v>NCBI</v>
      </c>
      <c r="F2519">
        <v>1.0999999999999999E-2</v>
      </c>
      <c r="G2519">
        <v>7.6999999999999999E-2</v>
      </c>
      <c r="H2519" s="1" t="str">
        <f>HYPERLINK("http://www.weizmann.ac.il/complex/compphys/software/geview/data/figures/201844_s_at.png","Figure")</f>
        <v>Figure</v>
      </c>
      <c r="I2519">
        <v>0.52300000000000002</v>
      </c>
      <c r="J2519">
        <v>5.8999999999999997E-2</v>
      </c>
      <c r="K2519">
        <v>0.46300000000000002</v>
      </c>
      <c r="L2519">
        <v>1.0999999999999999E-2</v>
      </c>
      <c r="M2519">
        <v>0.88400000000000001</v>
      </c>
      <c r="N2519">
        <v>0.86</v>
      </c>
    </row>
    <row r="2520" spans="1:14" x14ac:dyDescent="0.25">
      <c r="A2520" t="s">
        <v>4660</v>
      </c>
      <c r="B2520" t="s">
        <v>4661</v>
      </c>
      <c r="C2520" s="1" t="str">
        <f>HYPERLINK("http://www.genecards.org/cgi-bin/carddisp.pl?gene=CASK","GeneCards")</f>
        <v>GeneCards</v>
      </c>
      <c r="D2520" s="1" t="str">
        <f>HYPERLINK("http://genome-euro.ucsc.edu/cgi-bin/hgTracks?position=211208_s_at","UCSC")</f>
        <v>UCSC</v>
      </c>
      <c r="E2520" s="1" t="str">
        <f>HYPERLINK("http://www.ncbi.nlm.nih.gov/gene/?term=CASK","NCBI")</f>
        <v>NCBI</v>
      </c>
      <c r="F2520">
        <v>1.0999999999999999E-2</v>
      </c>
      <c r="G2520">
        <v>7.6999999999999999E-2</v>
      </c>
      <c r="H2520" s="1" t="str">
        <f>HYPERLINK("http://www.weizmann.ac.il/complex/compphys/software/geview/data/figures/211208_s_at.png","Figure")</f>
        <v>Figure</v>
      </c>
      <c r="I2520">
        <v>0.54800000000000004</v>
      </c>
      <c r="J2520">
        <v>9.5999999999999992E-3</v>
      </c>
      <c r="K2520">
        <v>0.82899999999999996</v>
      </c>
      <c r="L2520">
        <v>0.44</v>
      </c>
      <c r="M2520">
        <v>1.51</v>
      </c>
      <c r="N2520">
        <v>5.2999999999999999E-2</v>
      </c>
    </row>
    <row r="2521" spans="1:14" x14ac:dyDescent="0.25">
      <c r="A2521" t="s">
        <v>4662</v>
      </c>
      <c r="B2521" t="s">
        <v>4663</v>
      </c>
      <c r="C2521" s="1" t="str">
        <f>HYPERLINK("http://www.genecards.org/cgi-bin/carddisp.pl?gene=TUSC2","GeneCards")</f>
        <v>GeneCards</v>
      </c>
      <c r="D2521" s="1" t="str">
        <f>HYPERLINK("http://genome-euro.ucsc.edu/cgi-bin/hgTracks?position=203273_s_at","UCSC")</f>
        <v>UCSC</v>
      </c>
      <c r="E2521" s="1" t="str">
        <f>HYPERLINK("http://www.ncbi.nlm.nih.gov/gene/?term=TUSC2","NCBI")</f>
        <v>NCBI</v>
      </c>
      <c r="F2521">
        <v>1.0999999999999999E-2</v>
      </c>
      <c r="G2521">
        <v>7.6999999999999999E-2</v>
      </c>
      <c r="H2521" s="1" t="str">
        <f>HYPERLINK("http://www.weizmann.ac.il/complex/compphys/software/geview/data/figures/203273_s_at.png","Figure")</f>
        <v>Figure</v>
      </c>
      <c r="I2521">
        <v>1.47</v>
      </c>
      <c r="J2521">
        <v>1.0999999999999999E-2</v>
      </c>
      <c r="K2521">
        <v>1.1000000000000001</v>
      </c>
      <c r="L2521">
        <v>0.57999999999999996</v>
      </c>
      <c r="M2521">
        <v>0.752</v>
      </c>
      <c r="N2521">
        <v>0.04</v>
      </c>
    </row>
    <row r="2522" spans="1:14" x14ac:dyDescent="0.25">
      <c r="A2522" t="s">
        <v>4664</v>
      </c>
      <c r="B2522" t="s">
        <v>2773</v>
      </c>
      <c r="C2522" s="1" t="str">
        <f>HYPERLINK("http://www.genecards.org/cgi-bin/carddisp.pl?gene=TP53TG1","GeneCards")</f>
        <v>GeneCards</v>
      </c>
      <c r="D2522" s="1" t="str">
        <f>HYPERLINK("http://genome-euro.ucsc.edu/cgi-bin/hgTracks?position=210886_x_at","UCSC")</f>
        <v>UCSC</v>
      </c>
      <c r="E2522" s="1" t="str">
        <f>HYPERLINK("http://www.ncbi.nlm.nih.gov/gene/?term=TP53TG1","NCBI")</f>
        <v>NCBI</v>
      </c>
      <c r="F2522">
        <v>1.0999999999999999E-2</v>
      </c>
      <c r="G2522">
        <v>7.6999999999999999E-2</v>
      </c>
      <c r="H2522" s="1" t="str">
        <f>HYPERLINK("http://www.weizmann.ac.il/complex/compphys/software/geview/data/figures/210886_x_at.png","Figure")</f>
        <v>Figure</v>
      </c>
      <c r="I2522">
        <v>0.93600000000000005</v>
      </c>
      <c r="J2522">
        <v>0.69</v>
      </c>
      <c r="K2522">
        <v>1.19</v>
      </c>
      <c r="L2522">
        <v>5.6000000000000001E-2</v>
      </c>
      <c r="M2522">
        <v>1.28</v>
      </c>
      <c r="N2522">
        <v>1.4999999999999999E-2</v>
      </c>
    </row>
    <row r="2523" spans="1:14" x14ac:dyDescent="0.25">
      <c r="A2523" t="s">
        <v>4665</v>
      </c>
      <c r="B2523" t="s">
        <v>4666</v>
      </c>
      <c r="C2523" s="1" t="str">
        <f>HYPERLINK("http://www.genecards.org/cgi-bin/carddisp.pl?gene=C10orf137","GeneCards")</f>
        <v>GeneCards</v>
      </c>
      <c r="D2523" s="1" t="str">
        <f>HYPERLINK("http://genome-euro.ucsc.edu/cgi-bin/hgTracks?position=213410_at","UCSC")</f>
        <v>UCSC</v>
      </c>
      <c r="E2523" s="1" t="str">
        <f>HYPERLINK("http://www.ncbi.nlm.nih.gov/gene/?term=C10orf137","NCBI")</f>
        <v>NCBI</v>
      </c>
      <c r="F2523">
        <v>1.0999999999999999E-2</v>
      </c>
      <c r="G2523">
        <v>7.6999999999999999E-2</v>
      </c>
      <c r="H2523" s="1" t="str">
        <f>HYPERLINK("http://www.weizmann.ac.il/complex/compphys/software/geview/data/figures/213410_at.png","Figure")</f>
        <v>Figure</v>
      </c>
      <c r="I2523">
        <v>0.47199999999999998</v>
      </c>
      <c r="J2523">
        <v>1.2E-2</v>
      </c>
      <c r="K2523">
        <v>0.84899999999999998</v>
      </c>
      <c r="L2523">
        <v>0.68</v>
      </c>
      <c r="M2523">
        <v>1.8</v>
      </c>
      <c r="N2523">
        <v>3.3000000000000002E-2</v>
      </c>
    </row>
    <row r="2524" spans="1:14" x14ac:dyDescent="0.25">
      <c r="A2524" t="s">
        <v>4667</v>
      </c>
      <c r="B2524" t="s">
        <v>4668</v>
      </c>
      <c r="C2524" s="1" t="str">
        <f>HYPERLINK("http://www.genecards.org/cgi-bin/carddisp.pl?gene=ANKHD1 /// ANKHD1-EIF4EBP3","GeneCards")</f>
        <v>GeneCards</v>
      </c>
      <c r="D2524" s="1" t="str">
        <f>HYPERLINK("http://genome-euro.ucsc.edu/cgi-bin/hgTracks?position=208773_s_at","UCSC")</f>
        <v>UCSC</v>
      </c>
      <c r="E2524" s="1" t="str">
        <f>HYPERLINK("http://www.ncbi.nlm.nih.gov/gene/?term=ANKHD1 /// ANKHD1-EIF4EBP3","NCBI")</f>
        <v>NCBI</v>
      </c>
      <c r="F2524">
        <v>1.0999999999999999E-2</v>
      </c>
      <c r="G2524">
        <v>7.6999999999999999E-2</v>
      </c>
      <c r="H2524" s="1" t="str">
        <f>HYPERLINK("http://www.weizmann.ac.il/complex/compphys/software/geview/data/figures/208773_s_at.png","Figure")</f>
        <v>Figure</v>
      </c>
      <c r="I2524">
        <v>1.5</v>
      </c>
      <c r="J2524">
        <v>2.9000000000000001E-2</v>
      </c>
      <c r="K2524">
        <v>0.96799999999999997</v>
      </c>
      <c r="L2524">
        <v>0.96</v>
      </c>
      <c r="M2524">
        <v>0.64600000000000002</v>
      </c>
      <c r="N2524">
        <v>1.2E-2</v>
      </c>
    </row>
    <row r="2525" spans="1:14" x14ac:dyDescent="0.25">
      <c r="A2525" t="s">
        <v>4669</v>
      </c>
      <c r="B2525" t="s">
        <v>4670</v>
      </c>
      <c r="C2525" s="1" t="str">
        <f>HYPERLINK("http://www.genecards.org/cgi-bin/carddisp.pl?gene=LMO2","GeneCards")</f>
        <v>GeneCards</v>
      </c>
      <c r="D2525" s="1" t="str">
        <f>HYPERLINK("http://genome-euro.ucsc.edu/cgi-bin/hgTracks?position=204249_s_at","UCSC")</f>
        <v>UCSC</v>
      </c>
      <c r="E2525" s="1" t="str">
        <f>HYPERLINK("http://www.ncbi.nlm.nih.gov/gene/?term=LMO2","NCBI")</f>
        <v>NCBI</v>
      </c>
      <c r="F2525">
        <v>1.0999999999999999E-2</v>
      </c>
      <c r="G2525">
        <v>7.6999999999999999E-2</v>
      </c>
      <c r="H2525" s="1" t="str">
        <f>HYPERLINK("http://www.weizmann.ac.il/complex/compphys/software/geview/data/figures/204249_s_at.png","Figure")</f>
        <v>Figure</v>
      </c>
      <c r="I2525">
        <v>0.315</v>
      </c>
      <c r="J2525">
        <v>3.5999999999999997E-2</v>
      </c>
      <c r="K2525">
        <v>1.18</v>
      </c>
      <c r="L2525">
        <v>0.89</v>
      </c>
      <c r="M2525">
        <v>3.74</v>
      </c>
      <c r="N2525">
        <v>1.0999999999999999E-2</v>
      </c>
    </row>
    <row r="2526" spans="1:14" x14ac:dyDescent="0.25">
      <c r="A2526" t="s">
        <v>4671</v>
      </c>
      <c r="B2526" t="s">
        <v>4672</v>
      </c>
      <c r="C2526" s="1" t="str">
        <f>HYPERLINK("http://www.genecards.org/cgi-bin/carddisp.pl?gene=CCDC49","GeneCards")</f>
        <v>GeneCards</v>
      </c>
      <c r="D2526" s="1" t="str">
        <f>HYPERLINK("http://genome-euro.ucsc.edu/cgi-bin/hgTracks?position=218655_s_at","UCSC")</f>
        <v>UCSC</v>
      </c>
      <c r="E2526" s="1" t="str">
        <f>HYPERLINK("http://www.ncbi.nlm.nih.gov/gene/?term=CCDC49","NCBI")</f>
        <v>NCBI</v>
      </c>
      <c r="F2526">
        <v>1.2E-2</v>
      </c>
      <c r="G2526">
        <v>7.8E-2</v>
      </c>
      <c r="H2526" s="1" t="str">
        <f>HYPERLINK("http://www.weizmann.ac.il/complex/compphys/software/geview/data/figures/218655_s_at.png","Figure")</f>
        <v>Figure</v>
      </c>
      <c r="I2526">
        <v>1.23</v>
      </c>
      <c r="J2526">
        <v>0.27</v>
      </c>
      <c r="K2526">
        <v>0.80900000000000005</v>
      </c>
      <c r="L2526">
        <v>0.17</v>
      </c>
      <c r="M2526">
        <v>0.65900000000000003</v>
      </c>
      <c r="N2526">
        <v>9.5999999999999992E-3</v>
      </c>
    </row>
    <row r="2527" spans="1:14" x14ac:dyDescent="0.25">
      <c r="A2527" t="s">
        <v>4673</v>
      </c>
      <c r="B2527" t="s">
        <v>4674</v>
      </c>
      <c r="C2527" s="1" t="str">
        <f>HYPERLINK("http://www.genecards.org/cgi-bin/carddisp.pl?gene=FOXO3","GeneCards")</f>
        <v>GeneCards</v>
      </c>
      <c r="D2527" s="1" t="str">
        <f>HYPERLINK("http://genome-euro.ucsc.edu/cgi-bin/hgTracks?position=204131_s_at","UCSC")</f>
        <v>UCSC</v>
      </c>
      <c r="E2527" s="1" t="str">
        <f>HYPERLINK("http://www.ncbi.nlm.nih.gov/gene/?term=FOXO3","NCBI")</f>
        <v>NCBI</v>
      </c>
      <c r="F2527">
        <v>1.2E-2</v>
      </c>
      <c r="G2527">
        <v>7.8E-2</v>
      </c>
      <c r="H2527" s="1" t="str">
        <f>HYPERLINK("http://www.weizmann.ac.il/complex/compphys/software/geview/data/figures/204131_s_at.png","Figure")</f>
        <v>Figure</v>
      </c>
      <c r="I2527">
        <v>0.6</v>
      </c>
      <c r="J2527">
        <v>3.2000000000000001E-2</v>
      </c>
      <c r="K2527">
        <v>0.6</v>
      </c>
      <c r="L2527">
        <v>1.4999999999999999E-2</v>
      </c>
      <c r="M2527">
        <v>1</v>
      </c>
      <c r="N2527">
        <v>1</v>
      </c>
    </row>
    <row r="2528" spans="1:14" x14ac:dyDescent="0.25">
      <c r="A2528" t="s">
        <v>4675</v>
      </c>
      <c r="B2528" t="s">
        <v>629</v>
      </c>
      <c r="C2528" s="1" t="str">
        <f>HYPERLINK("http://www.genecards.org/cgi-bin/carddisp.pl?gene=RAB14","GeneCards")</f>
        <v>GeneCards</v>
      </c>
      <c r="D2528" s="1" t="str">
        <f>HYPERLINK("http://genome-euro.ucsc.edu/cgi-bin/hgTracks?position=211503_s_at","UCSC")</f>
        <v>UCSC</v>
      </c>
      <c r="E2528" s="1" t="str">
        <f>HYPERLINK("http://www.ncbi.nlm.nih.gov/gene/?term=RAB14","NCBI")</f>
        <v>NCBI</v>
      </c>
      <c r="F2528">
        <v>1.2E-2</v>
      </c>
      <c r="G2528">
        <v>7.8E-2</v>
      </c>
      <c r="H2528" s="1" t="str">
        <f>HYPERLINK("http://www.weizmann.ac.il/complex/compphys/software/geview/data/figures/211503_s_at.png","Figure")</f>
        <v>Figure</v>
      </c>
      <c r="I2528">
        <v>1.35</v>
      </c>
      <c r="J2528">
        <v>0.13</v>
      </c>
      <c r="K2528">
        <v>0.83199999999999996</v>
      </c>
      <c r="L2528">
        <v>0.35</v>
      </c>
      <c r="M2528">
        <v>0.61499999999999999</v>
      </c>
      <c r="N2528">
        <v>8.6999999999999994E-3</v>
      </c>
    </row>
    <row r="2529" spans="1:14" x14ac:dyDescent="0.25">
      <c r="A2529" t="s">
        <v>4676</v>
      </c>
      <c r="B2529" t="s">
        <v>4677</v>
      </c>
      <c r="C2529" s="1" t="str">
        <f>HYPERLINK("http://www.genecards.org/cgi-bin/carddisp.pl?gene=LFNG","GeneCards")</f>
        <v>GeneCards</v>
      </c>
      <c r="D2529" s="1" t="str">
        <f>HYPERLINK("http://genome-euro.ucsc.edu/cgi-bin/hgTracks?position=215270_at","UCSC")</f>
        <v>UCSC</v>
      </c>
      <c r="E2529" s="1" t="str">
        <f>HYPERLINK("http://www.ncbi.nlm.nih.gov/gene/?term=LFNG","NCBI")</f>
        <v>NCBI</v>
      </c>
      <c r="F2529">
        <v>1.2E-2</v>
      </c>
      <c r="G2529">
        <v>7.8E-2</v>
      </c>
      <c r="H2529" s="1" t="str">
        <f>HYPERLINK("http://www.weizmann.ac.il/complex/compphys/software/geview/data/figures/215270_at.png","Figure")</f>
        <v>Figure</v>
      </c>
      <c r="I2529">
        <v>1.07</v>
      </c>
      <c r="J2529">
        <v>2.3E-2</v>
      </c>
      <c r="K2529">
        <v>1.06</v>
      </c>
      <c r="L2529">
        <v>1.9E-2</v>
      </c>
      <c r="M2529">
        <v>0.99299999999999999</v>
      </c>
      <c r="N2529">
        <v>0.94</v>
      </c>
    </row>
    <row r="2530" spans="1:14" x14ac:dyDescent="0.25">
      <c r="A2530" t="s">
        <v>4678</v>
      </c>
      <c r="B2530" t="s">
        <v>4679</v>
      </c>
      <c r="C2530" s="1" t="str">
        <f>HYPERLINK("http://www.genecards.org/cgi-bin/carddisp.pl?gene=CCDC130","GeneCards")</f>
        <v>GeneCards</v>
      </c>
      <c r="D2530" s="1" t="str">
        <f>HYPERLINK("http://genome-euro.ucsc.edu/cgi-bin/hgTracks?position=208094_s_at","UCSC")</f>
        <v>UCSC</v>
      </c>
      <c r="E2530" s="1" t="str">
        <f>HYPERLINK("http://www.ncbi.nlm.nih.gov/gene/?term=CCDC130","NCBI")</f>
        <v>NCBI</v>
      </c>
      <c r="F2530">
        <v>1.2E-2</v>
      </c>
      <c r="G2530">
        <v>7.8E-2</v>
      </c>
      <c r="H2530" s="1" t="str">
        <f>HYPERLINK("http://www.weizmann.ac.il/complex/compphys/software/geview/data/figures/208094_s_at.png","Figure")</f>
        <v>Figure</v>
      </c>
      <c r="I2530">
        <v>1.29</v>
      </c>
      <c r="J2530">
        <v>5.0999999999999997E-2</v>
      </c>
      <c r="K2530">
        <v>0.93799999999999994</v>
      </c>
      <c r="L2530">
        <v>0.74</v>
      </c>
      <c r="M2530">
        <v>0.72499999999999998</v>
      </c>
      <c r="N2530">
        <v>9.9000000000000008E-3</v>
      </c>
    </row>
    <row r="2531" spans="1:14" x14ac:dyDescent="0.25">
      <c r="A2531" t="s">
        <v>4680</v>
      </c>
      <c r="B2531" t="s">
        <v>4681</v>
      </c>
      <c r="C2531" s="1" t="str">
        <f>HYPERLINK("http://www.genecards.org/cgi-bin/carddisp.pl?gene=TMEM132A","GeneCards")</f>
        <v>GeneCards</v>
      </c>
      <c r="D2531" s="1" t="str">
        <f>HYPERLINK("http://genome-euro.ucsc.edu/cgi-bin/hgTracks?position=218834_s_at","UCSC")</f>
        <v>UCSC</v>
      </c>
      <c r="E2531" s="1" t="str">
        <f>HYPERLINK("http://www.ncbi.nlm.nih.gov/gene/?term=TMEM132A","NCBI")</f>
        <v>NCBI</v>
      </c>
      <c r="F2531">
        <v>1.2E-2</v>
      </c>
      <c r="G2531">
        <v>7.8E-2</v>
      </c>
      <c r="H2531" s="1" t="str">
        <f>HYPERLINK("http://www.weizmann.ac.il/complex/compphys/software/geview/data/figures/218834_s_at.png","Figure")</f>
        <v>Figure</v>
      </c>
      <c r="I2531">
        <v>1.44</v>
      </c>
      <c r="J2531">
        <v>8.8999999999999999E-3</v>
      </c>
      <c r="K2531">
        <v>1.2</v>
      </c>
      <c r="L2531">
        <v>0.14000000000000001</v>
      </c>
      <c r="M2531">
        <v>0.83299999999999996</v>
      </c>
      <c r="N2531">
        <v>0.18</v>
      </c>
    </row>
    <row r="2532" spans="1:14" x14ac:dyDescent="0.25">
      <c r="A2532" t="s">
        <v>4682</v>
      </c>
      <c r="B2532" t="s">
        <v>4683</v>
      </c>
      <c r="C2532" s="1" t="str">
        <f>HYPERLINK("http://www.genecards.org/cgi-bin/carddisp.pl?gene=CHST5","GeneCards")</f>
        <v>GeneCards</v>
      </c>
      <c r="D2532" s="1" t="str">
        <f>HYPERLINK("http://genome-euro.ucsc.edu/cgi-bin/hgTracks?position=221164_x_at","UCSC")</f>
        <v>UCSC</v>
      </c>
      <c r="E2532" s="1" t="str">
        <f>HYPERLINK("http://www.ncbi.nlm.nih.gov/gene/?term=CHST5","NCBI")</f>
        <v>NCBI</v>
      </c>
      <c r="F2532">
        <v>1.2E-2</v>
      </c>
      <c r="G2532">
        <v>7.8E-2</v>
      </c>
      <c r="H2532" s="1" t="str">
        <f>HYPERLINK("http://www.weizmann.ac.il/complex/compphys/software/geview/data/figures/221164_x_at.png","Figure")</f>
        <v>Figure</v>
      </c>
      <c r="I2532">
        <v>1.36</v>
      </c>
      <c r="J2532">
        <v>0.02</v>
      </c>
      <c r="K2532">
        <v>1.01</v>
      </c>
      <c r="L2532">
        <v>1</v>
      </c>
      <c r="M2532">
        <v>0.74</v>
      </c>
      <c r="N2532">
        <v>1.6E-2</v>
      </c>
    </row>
    <row r="2533" spans="1:14" x14ac:dyDescent="0.25">
      <c r="A2533" t="s">
        <v>4684</v>
      </c>
      <c r="B2533" t="s">
        <v>4685</v>
      </c>
      <c r="C2533" s="1" t="str">
        <f>HYPERLINK("http://www.genecards.org/cgi-bin/carddisp.pl?gene=FLRT1","GeneCards")</f>
        <v>GeneCards</v>
      </c>
      <c r="D2533" s="1" t="str">
        <f>HYPERLINK("http://genome-euro.ucsc.edu/cgi-bin/hgTracks?position=210414_at","UCSC")</f>
        <v>UCSC</v>
      </c>
      <c r="E2533" s="1" t="str">
        <f>HYPERLINK("http://www.ncbi.nlm.nih.gov/gene/?term=FLRT1","NCBI")</f>
        <v>NCBI</v>
      </c>
      <c r="F2533">
        <v>1.2E-2</v>
      </c>
      <c r="G2533">
        <v>7.8E-2</v>
      </c>
      <c r="H2533" s="1" t="str">
        <f>HYPERLINK("http://www.weizmann.ac.il/complex/compphys/software/geview/data/figures/210414_at.png","Figure")</f>
        <v>Figure</v>
      </c>
      <c r="I2533">
        <v>1.3</v>
      </c>
      <c r="J2533">
        <v>9.1999999999999998E-3</v>
      </c>
      <c r="K2533">
        <v>1.1000000000000001</v>
      </c>
      <c r="L2533">
        <v>0.34</v>
      </c>
      <c r="M2533">
        <v>0.84299999999999997</v>
      </c>
      <c r="N2533">
        <v>7.0999999999999994E-2</v>
      </c>
    </row>
    <row r="2534" spans="1:14" x14ac:dyDescent="0.25">
      <c r="A2534" t="s">
        <v>4686</v>
      </c>
      <c r="B2534" t="s">
        <v>4551</v>
      </c>
      <c r="C2534" s="1" t="str">
        <f>HYPERLINK("http://www.genecards.org/cgi-bin/carddisp.pl?gene=CNOT8","GeneCards")</f>
        <v>GeneCards</v>
      </c>
      <c r="D2534" s="1" t="str">
        <f>HYPERLINK("http://genome-euro.ucsc.edu/cgi-bin/hgTracks?position=202162_s_at","UCSC")</f>
        <v>UCSC</v>
      </c>
      <c r="E2534" s="1" t="str">
        <f>HYPERLINK("http://www.ncbi.nlm.nih.gov/gene/?term=CNOT8","NCBI")</f>
        <v>NCBI</v>
      </c>
      <c r="F2534">
        <v>1.2E-2</v>
      </c>
      <c r="G2534">
        <v>7.8E-2</v>
      </c>
      <c r="H2534" s="1" t="str">
        <f>HYPERLINK("http://www.weizmann.ac.il/complex/compphys/software/geview/data/figures/202162_s_at.png","Figure")</f>
        <v>Figure</v>
      </c>
      <c r="I2534">
        <v>1.17</v>
      </c>
      <c r="J2534">
        <v>0.65</v>
      </c>
      <c r="K2534">
        <v>0.68400000000000005</v>
      </c>
      <c r="L2534">
        <v>6.2E-2</v>
      </c>
      <c r="M2534">
        <v>0.58499999999999996</v>
      </c>
      <c r="N2534">
        <v>1.4E-2</v>
      </c>
    </row>
    <row r="2535" spans="1:14" x14ac:dyDescent="0.25">
      <c r="A2535" t="s">
        <v>4687</v>
      </c>
      <c r="B2535" t="s">
        <v>4688</v>
      </c>
      <c r="C2535" s="1" t="str">
        <f>HYPERLINK("http://www.genecards.org/cgi-bin/carddisp.pl?gene=AXL","GeneCards")</f>
        <v>GeneCards</v>
      </c>
      <c r="D2535" s="1" t="str">
        <f>HYPERLINK("http://genome-euro.ucsc.edu/cgi-bin/hgTracks?position=202685_s_at","UCSC")</f>
        <v>UCSC</v>
      </c>
      <c r="E2535" s="1" t="str">
        <f>HYPERLINK("http://www.ncbi.nlm.nih.gov/gene/?term=AXL","NCBI")</f>
        <v>NCBI</v>
      </c>
      <c r="F2535">
        <v>1.2E-2</v>
      </c>
      <c r="G2535">
        <v>7.8E-2</v>
      </c>
      <c r="H2535" s="1" t="str">
        <f>HYPERLINK("http://www.weizmann.ac.il/complex/compphys/software/geview/data/figures/202685_s_at.png","Figure")</f>
        <v>Figure</v>
      </c>
      <c r="I2535">
        <v>1.27</v>
      </c>
      <c r="J2535">
        <v>1.0999999999999999E-2</v>
      </c>
      <c r="K2535">
        <v>1.06</v>
      </c>
      <c r="L2535">
        <v>0.64</v>
      </c>
      <c r="M2535">
        <v>0.83</v>
      </c>
      <c r="N2535">
        <v>3.5000000000000003E-2</v>
      </c>
    </row>
    <row r="2536" spans="1:14" x14ac:dyDescent="0.25">
      <c r="A2536" t="s">
        <v>4689</v>
      </c>
      <c r="B2536" t="s">
        <v>4690</v>
      </c>
      <c r="C2536" s="1" t="str">
        <f>HYPERLINK("http://www.genecards.org/cgi-bin/carddisp.pl?gene=SYT11","GeneCards")</f>
        <v>GeneCards</v>
      </c>
      <c r="D2536" s="1" t="str">
        <f>HYPERLINK("http://genome-euro.ucsc.edu/cgi-bin/hgTracks?position=209197_at","UCSC")</f>
        <v>UCSC</v>
      </c>
      <c r="E2536" s="1" t="str">
        <f>HYPERLINK("http://www.ncbi.nlm.nih.gov/gene/?term=SYT11","NCBI")</f>
        <v>NCBI</v>
      </c>
      <c r="F2536">
        <v>1.2E-2</v>
      </c>
      <c r="G2536">
        <v>7.8E-2</v>
      </c>
      <c r="H2536" s="1" t="str">
        <f>HYPERLINK("http://www.weizmann.ac.il/complex/compphys/software/geview/data/figures/209197_at.png","Figure")</f>
        <v>Figure</v>
      </c>
      <c r="I2536">
        <v>1.1399999999999999</v>
      </c>
      <c r="J2536">
        <v>0.79</v>
      </c>
      <c r="K2536">
        <v>1.75</v>
      </c>
      <c r="L2536">
        <v>1.2999999999999999E-2</v>
      </c>
      <c r="M2536">
        <v>1.54</v>
      </c>
      <c r="N2536">
        <v>7.2999999999999995E-2</v>
      </c>
    </row>
    <row r="2537" spans="1:14" x14ac:dyDescent="0.25">
      <c r="A2537" t="s">
        <v>4691</v>
      </c>
      <c r="B2537" t="s">
        <v>2342</v>
      </c>
      <c r="C2537" s="1" t="str">
        <f>HYPERLINK("http://www.genecards.org/cgi-bin/carddisp.pl?gene=RPL37A","GeneCards")</f>
        <v>GeneCards</v>
      </c>
      <c r="D2537" s="1" t="str">
        <f>HYPERLINK("http://genome-euro.ucsc.edu/cgi-bin/hgTracks?position=214041_x_at","UCSC")</f>
        <v>UCSC</v>
      </c>
      <c r="E2537" s="1" t="str">
        <f>HYPERLINK("http://www.ncbi.nlm.nih.gov/gene/?term=RPL37A","NCBI")</f>
        <v>NCBI</v>
      </c>
      <c r="F2537">
        <v>1.2E-2</v>
      </c>
      <c r="G2537">
        <v>7.8E-2</v>
      </c>
      <c r="H2537" s="1" t="str">
        <f>HYPERLINK("http://www.weizmann.ac.il/complex/compphys/software/geview/data/figures/214041_x_at.png","Figure")</f>
        <v>Figure</v>
      </c>
      <c r="I2537">
        <v>2.1800000000000002</v>
      </c>
      <c r="J2537">
        <v>1.4E-2</v>
      </c>
      <c r="K2537">
        <v>1.77</v>
      </c>
      <c r="L2537">
        <v>3.7999999999999999E-2</v>
      </c>
      <c r="M2537">
        <v>0.81</v>
      </c>
      <c r="N2537">
        <v>0.61</v>
      </c>
    </row>
    <row r="2538" spans="1:14" x14ac:dyDescent="0.25">
      <c r="A2538" t="s">
        <v>4692</v>
      </c>
      <c r="B2538" t="s">
        <v>4693</v>
      </c>
      <c r="C2538" s="1" t="str">
        <f>HYPERLINK("http://www.genecards.org/cgi-bin/carddisp.pl?gene=APOO","GeneCards")</f>
        <v>GeneCards</v>
      </c>
      <c r="D2538" s="1" t="str">
        <f>HYPERLINK("http://genome-euro.ucsc.edu/cgi-bin/hgTracks?position=221620_s_at","UCSC")</f>
        <v>UCSC</v>
      </c>
      <c r="E2538" s="1" t="str">
        <f>HYPERLINK("http://www.ncbi.nlm.nih.gov/gene/?term=APOO","NCBI")</f>
        <v>NCBI</v>
      </c>
      <c r="F2538">
        <v>1.2E-2</v>
      </c>
      <c r="G2538">
        <v>7.8E-2</v>
      </c>
      <c r="H2538" s="1" t="str">
        <f>HYPERLINK("http://www.weizmann.ac.il/complex/compphys/software/geview/data/figures/221620_s_at.png","Figure")</f>
        <v>Figure</v>
      </c>
      <c r="I2538">
        <v>0.89600000000000002</v>
      </c>
      <c r="J2538">
        <v>0.69</v>
      </c>
      <c r="K2538">
        <v>1.35</v>
      </c>
      <c r="L2538">
        <v>5.7000000000000002E-2</v>
      </c>
      <c r="M2538">
        <v>1.5</v>
      </c>
      <c r="N2538">
        <v>1.4999999999999999E-2</v>
      </c>
    </row>
    <row r="2539" spans="1:14" x14ac:dyDescent="0.25">
      <c r="A2539" t="s">
        <v>4694</v>
      </c>
      <c r="B2539" t="s">
        <v>4695</v>
      </c>
      <c r="C2539" s="1" t="str">
        <f>HYPERLINK("http://www.genecards.org/cgi-bin/carddisp.pl?gene=CIZ1","GeneCards")</f>
        <v>GeneCards</v>
      </c>
      <c r="D2539" s="1" t="str">
        <f>HYPERLINK("http://genome-euro.ucsc.edu/cgi-bin/hgTracks?position=213976_at","UCSC")</f>
        <v>UCSC</v>
      </c>
      <c r="E2539" s="1" t="str">
        <f>HYPERLINK("http://www.ncbi.nlm.nih.gov/gene/?term=CIZ1","NCBI")</f>
        <v>NCBI</v>
      </c>
      <c r="F2539">
        <v>1.2E-2</v>
      </c>
      <c r="G2539">
        <v>7.8E-2</v>
      </c>
      <c r="H2539" s="1" t="str">
        <f>HYPERLINK("http://www.weizmann.ac.il/complex/compphys/software/geview/data/figures/213976_at.png","Figure")</f>
        <v>Figure</v>
      </c>
      <c r="I2539">
        <v>1.31</v>
      </c>
      <c r="J2539">
        <v>9.5999999999999992E-3</v>
      </c>
      <c r="K2539">
        <v>1.1599999999999999</v>
      </c>
      <c r="L2539">
        <v>9.6000000000000002E-2</v>
      </c>
      <c r="M2539">
        <v>0.88900000000000001</v>
      </c>
      <c r="N2539">
        <v>0.26</v>
      </c>
    </row>
    <row r="2540" spans="1:14" x14ac:dyDescent="0.25">
      <c r="A2540" t="s">
        <v>4696</v>
      </c>
      <c r="B2540" t="s">
        <v>4697</v>
      </c>
      <c r="C2540" s="1" t="str">
        <f>HYPERLINK("http://www.genecards.org/cgi-bin/carddisp.pl?gene=YLPM1","GeneCards")</f>
        <v>GeneCards</v>
      </c>
      <c r="D2540" s="1" t="str">
        <f>HYPERLINK("http://genome-euro.ucsc.edu/cgi-bin/hgTracks?position=212787_at","UCSC")</f>
        <v>UCSC</v>
      </c>
      <c r="E2540" s="1" t="str">
        <f>HYPERLINK("http://www.ncbi.nlm.nih.gov/gene/?term=YLPM1","NCBI")</f>
        <v>NCBI</v>
      </c>
      <c r="F2540">
        <v>1.2E-2</v>
      </c>
      <c r="G2540">
        <v>7.8E-2</v>
      </c>
      <c r="H2540" s="1" t="str">
        <f>HYPERLINK("http://www.weizmann.ac.il/complex/compphys/software/geview/data/figures/212787_at.png","Figure")</f>
        <v>Figure</v>
      </c>
      <c r="I2540">
        <v>1.31</v>
      </c>
      <c r="J2540">
        <v>8.7999999999999995E-2</v>
      </c>
      <c r="K2540">
        <v>0.88800000000000001</v>
      </c>
      <c r="L2540">
        <v>0.5</v>
      </c>
      <c r="M2540">
        <v>0.67600000000000005</v>
      </c>
      <c r="N2540">
        <v>8.9999999999999993E-3</v>
      </c>
    </row>
    <row r="2541" spans="1:14" x14ac:dyDescent="0.25">
      <c r="A2541" t="s">
        <v>4698</v>
      </c>
      <c r="B2541" t="s">
        <v>4699</v>
      </c>
      <c r="C2541" s="1" t="str">
        <f>HYPERLINK("http://www.genecards.org/cgi-bin/carddisp.pl?gene=EVL","GeneCards")</f>
        <v>GeneCards</v>
      </c>
      <c r="D2541" s="1" t="str">
        <f>HYPERLINK("http://genome-euro.ucsc.edu/cgi-bin/hgTracks?position=217838_s_at","UCSC")</f>
        <v>UCSC</v>
      </c>
      <c r="E2541" s="1" t="str">
        <f>HYPERLINK("http://www.ncbi.nlm.nih.gov/gene/?term=EVL","NCBI")</f>
        <v>NCBI</v>
      </c>
      <c r="F2541">
        <v>1.2E-2</v>
      </c>
      <c r="G2541">
        <v>7.8E-2</v>
      </c>
      <c r="H2541" s="1" t="str">
        <f>HYPERLINK("http://www.weizmann.ac.il/complex/compphys/software/geview/data/figures/217838_s_at.png","Figure")</f>
        <v>Figure</v>
      </c>
      <c r="I2541">
        <v>0.45700000000000002</v>
      </c>
      <c r="J2541">
        <v>3.1E-2</v>
      </c>
      <c r="K2541">
        <v>1.07</v>
      </c>
      <c r="L2541">
        <v>0.95</v>
      </c>
      <c r="M2541">
        <v>2.35</v>
      </c>
      <c r="N2541">
        <v>1.2E-2</v>
      </c>
    </row>
    <row r="2542" spans="1:14" x14ac:dyDescent="0.25">
      <c r="A2542" t="s">
        <v>4700</v>
      </c>
      <c r="B2542" t="s">
        <v>4701</v>
      </c>
      <c r="C2542" s="1" t="str">
        <f>HYPERLINK("http://www.genecards.org/cgi-bin/carddisp.pl?gene=MSRB2","GeneCards")</f>
        <v>GeneCards</v>
      </c>
      <c r="D2542" s="1" t="str">
        <f>HYPERLINK("http://genome-euro.ucsc.edu/cgi-bin/hgTracks?position=219451_at","UCSC")</f>
        <v>UCSC</v>
      </c>
      <c r="E2542" s="1" t="str">
        <f>HYPERLINK("http://www.ncbi.nlm.nih.gov/gene/?term=MSRB2","NCBI")</f>
        <v>NCBI</v>
      </c>
      <c r="F2542">
        <v>1.2E-2</v>
      </c>
      <c r="G2542">
        <v>7.8E-2</v>
      </c>
      <c r="H2542" s="1" t="str">
        <f>HYPERLINK("http://www.weizmann.ac.il/complex/compphys/software/geview/data/figures/219451_at.png","Figure")</f>
        <v>Figure</v>
      </c>
      <c r="I2542">
        <v>0.53300000000000003</v>
      </c>
      <c r="J2542">
        <v>9.5999999999999992E-3</v>
      </c>
      <c r="K2542">
        <v>0.81100000000000005</v>
      </c>
      <c r="L2542">
        <v>0.4</v>
      </c>
      <c r="M2542">
        <v>1.52</v>
      </c>
      <c r="N2542">
        <v>6.2E-2</v>
      </c>
    </row>
    <row r="2543" spans="1:14" x14ac:dyDescent="0.25">
      <c r="A2543" t="s">
        <v>4702</v>
      </c>
      <c r="B2543" t="s">
        <v>4703</v>
      </c>
      <c r="C2543" s="1" t="str">
        <f>HYPERLINK("http://www.genecards.org/cgi-bin/carddisp.pl?gene=EPHB3","GeneCards")</f>
        <v>GeneCards</v>
      </c>
      <c r="D2543" s="1" t="str">
        <f>HYPERLINK("http://genome-euro.ucsc.edu/cgi-bin/hgTracks?position=204600_at","UCSC")</f>
        <v>UCSC</v>
      </c>
      <c r="E2543" s="1" t="str">
        <f>HYPERLINK("http://www.ncbi.nlm.nih.gov/gene/?term=EPHB3","NCBI")</f>
        <v>NCBI</v>
      </c>
      <c r="F2543">
        <v>1.2E-2</v>
      </c>
      <c r="G2543">
        <v>7.9000000000000001E-2</v>
      </c>
      <c r="H2543" s="1" t="str">
        <f>HYPERLINK("http://www.weizmann.ac.il/complex/compphys/software/geview/data/figures/204600_at.png","Figure")</f>
        <v>Figure</v>
      </c>
      <c r="I2543">
        <v>1.44</v>
      </c>
      <c r="J2543">
        <v>9.4000000000000004E-3</v>
      </c>
      <c r="K2543">
        <v>1.22</v>
      </c>
      <c r="L2543">
        <v>0.11</v>
      </c>
      <c r="M2543">
        <v>0.84499999999999997</v>
      </c>
      <c r="N2543">
        <v>0.22</v>
      </c>
    </row>
    <row r="2544" spans="1:14" x14ac:dyDescent="0.25">
      <c r="A2544" t="s">
        <v>4704</v>
      </c>
      <c r="B2544" t="s">
        <v>4705</v>
      </c>
      <c r="C2544" s="1" t="str">
        <f>HYPERLINK("http://www.genecards.org/cgi-bin/carddisp.pl?gene=TMEM176A","GeneCards")</f>
        <v>GeneCards</v>
      </c>
      <c r="D2544" s="1" t="str">
        <f>HYPERLINK("http://genome-euro.ucsc.edu/cgi-bin/hgTracks?position=218345_at","UCSC")</f>
        <v>UCSC</v>
      </c>
      <c r="E2544" s="1" t="str">
        <f>HYPERLINK("http://www.ncbi.nlm.nih.gov/gene/?term=TMEM176A","NCBI")</f>
        <v>NCBI</v>
      </c>
      <c r="F2544">
        <v>1.2E-2</v>
      </c>
      <c r="G2544">
        <v>7.9000000000000001E-2</v>
      </c>
      <c r="H2544" s="1" t="str">
        <f>HYPERLINK("http://www.weizmann.ac.il/complex/compphys/software/geview/data/figures/218345_at.png","Figure")</f>
        <v>Figure</v>
      </c>
      <c r="I2544">
        <v>1.23</v>
      </c>
      <c r="J2544">
        <v>0.04</v>
      </c>
      <c r="K2544">
        <v>0.96599999999999997</v>
      </c>
      <c r="L2544">
        <v>0.85</v>
      </c>
      <c r="M2544">
        <v>0.78600000000000003</v>
      </c>
      <c r="N2544">
        <v>1.0999999999999999E-2</v>
      </c>
    </row>
    <row r="2545" spans="1:14" x14ac:dyDescent="0.25">
      <c r="A2545" t="s">
        <v>4706</v>
      </c>
      <c r="B2545" t="s">
        <v>4707</v>
      </c>
      <c r="C2545" s="1" t="str">
        <f>HYPERLINK("http://www.genecards.org/cgi-bin/carddisp.pl?gene=PLBD1","GeneCards")</f>
        <v>GeneCards</v>
      </c>
      <c r="D2545" s="1" t="str">
        <f>HYPERLINK("http://genome-euro.ucsc.edu/cgi-bin/hgTracks?position=218454_at","UCSC")</f>
        <v>UCSC</v>
      </c>
      <c r="E2545" s="1" t="str">
        <f>HYPERLINK("http://www.ncbi.nlm.nih.gov/gene/?term=PLBD1","NCBI")</f>
        <v>NCBI</v>
      </c>
      <c r="F2545">
        <v>1.2E-2</v>
      </c>
      <c r="G2545">
        <v>7.9000000000000001E-2</v>
      </c>
      <c r="H2545" s="1" t="str">
        <f>HYPERLINK("http://www.weizmann.ac.il/complex/compphys/software/geview/data/figures/218454_at.png","Figure")</f>
        <v>Figure</v>
      </c>
      <c r="I2545">
        <v>1.38</v>
      </c>
      <c r="J2545">
        <v>0.01</v>
      </c>
      <c r="K2545">
        <v>1.1000000000000001</v>
      </c>
      <c r="L2545">
        <v>0.46</v>
      </c>
      <c r="M2545">
        <v>0.79900000000000004</v>
      </c>
      <c r="N2545">
        <v>5.1999999999999998E-2</v>
      </c>
    </row>
    <row r="2546" spans="1:14" x14ac:dyDescent="0.25">
      <c r="A2546" t="s">
        <v>4708</v>
      </c>
      <c r="B2546" t="s">
        <v>4709</v>
      </c>
      <c r="C2546" s="1" t="str">
        <f>HYPERLINK("http://www.genecards.org/cgi-bin/carddisp.pl?gene=L1CAM","GeneCards")</f>
        <v>GeneCards</v>
      </c>
      <c r="D2546" s="1" t="str">
        <f>HYPERLINK("http://genome-euro.ucsc.edu/cgi-bin/hgTracks?position=204585_s_at","UCSC")</f>
        <v>UCSC</v>
      </c>
      <c r="E2546" s="1" t="str">
        <f>HYPERLINK("http://www.ncbi.nlm.nih.gov/gene/?term=L1CAM","NCBI")</f>
        <v>NCBI</v>
      </c>
      <c r="F2546">
        <v>1.2E-2</v>
      </c>
      <c r="G2546">
        <v>7.9000000000000001E-2</v>
      </c>
      <c r="H2546" s="1" t="str">
        <f>HYPERLINK("http://www.weizmann.ac.il/complex/compphys/software/geview/data/figures/204585_s_at.png","Figure")</f>
        <v>Figure</v>
      </c>
      <c r="I2546">
        <v>1.32</v>
      </c>
      <c r="J2546">
        <v>1.0999999999999999E-2</v>
      </c>
      <c r="K2546">
        <v>1.07</v>
      </c>
      <c r="L2546">
        <v>0.6</v>
      </c>
      <c r="M2546">
        <v>0.81200000000000006</v>
      </c>
      <c r="N2546">
        <v>3.9E-2</v>
      </c>
    </row>
    <row r="2547" spans="1:14" x14ac:dyDescent="0.25">
      <c r="A2547" t="s">
        <v>4710</v>
      </c>
      <c r="B2547" t="s">
        <v>4711</v>
      </c>
      <c r="C2547" s="1" t="str">
        <f>HYPERLINK("http://www.genecards.org/cgi-bin/carddisp.pl?gene=KRAS","GeneCards")</f>
        <v>GeneCards</v>
      </c>
      <c r="D2547" s="1" t="str">
        <f>HYPERLINK("http://genome-euro.ucsc.edu/cgi-bin/hgTracks?position=214352_s_at","UCSC")</f>
        <v>UCSC</v>
      </c>
      <c r="E2547" s="1" t="str">
        <f>HYPERLINK("http://www.ncbi.nlm.nih.gov/gene/?term=KRAS","NCBI")</f>
        <v>NCBI</v>
      </c>
      <c r="F2547">
        <v>1.2E-2</v>
      </c>
      <c r="G2547">
        <v>7.9000000000000001E-2</v>
      </c>
      <c r="H2547" s="1" t="str">
        <f>HYPERLINK("http://www.weizmann.ac.il/complex/compphys/software/geview/data/figures/214352_s_at.png","Figure")</f>
        <v>Figure</v>
      </c>
      <c r="I2547">
        <v>2.16</v>
      </c>
      <c r="J2547">
        <v>1.4999999999999999E-2</v>
      </c>
      <c r="K2547">
        <v>1.78</v>
      </c>
      <c r="L2547">
        <v>3.4000000000000002E-2</v>
      </c>
      <c r="M2547">
        <v>0.82599999999999996</v>
      </c>
      <c r="N2547">
        <v>0.66</v>
      </c>
    </row>
    <row r="2548" spans="1:14" x14ac:dyDescent="0.25">
      <c r="A2548" t="s">
        <v>4712</v>
      </c>
      <c r="B2548" t="s">
        <v>4713</v>
      </c>
      <c r="C2548" s="1" t="str">
        <f>HYPERLINK("http://www.genecards.org/cgi-bin/carddisp.pl?gene=USP12","GeneCards")</f>
        <v>GeneCards</v>
      </c>
      <c r="D2548" s="1" t="str">
        <f>HYPERLINK("http://genome-euro.ucsc.edu/cgi-bin/hgTracks?position=215886_x_at","UCSC")</f>
        <v>UCSC</v>
      </c>
      <c r="E2548" s="1" t="str">
        <f>HYPERLINK("http://www.ncbi.nlm.nih.gov/gene/?term=USP12","NCBI")</f>
        <v>NCBI</v>
      </c>
      <c r="F2548">
        <v>1.2E-2</v>
      </c>
      <c r="G2548">
        <v>7.9000000000000001E-2</v>
      </c>
      <c r="H2548" s="1" t="str">
        <f>HYPERLINK("http://www.weizmann.ac.il/complex/compphys/software/geview/data/figures/215886_x_at.png","Figure")</f>
        <v>Figure</v>
      </c>
      <c r="I2548">
        <v>0.91700000000000004</v>
      </c>
      <c r="J2548">
        <v>0.86</v>
      </c>
      <c r="K2548">
        <v>0.61899999999999999</v>
      </c>
      <c r="L2548">
        <v>1.4999999999999999E-2</v>
      </c>
      <c r="M2548">
        <v>0.67600000000000005</v>
      </c>
      <c r="N2548">
        <v>6.0999999999999999E-2</v>
      </c>
    </row>
    <row r="2549" spans="1:14" x14ac:dyDescent="0.25">
      <c r="A2549" t="s">
        <v>4714</v>
      </c>
      <c r="B2549" t="s">
        <v>4715</v>
      </c>
      <c r="C2549" s="1" t="str">
        <f>HYPERLINK("http://www.genecards.org/cgi-bin/carddisp.pl?gene=PRRC1","GeneCards")</f>
        <v>GeneCards</v>
      </c>
      <c r="D2549" s="1" t="str">
        <f>HYPERLINK("http://genome-euro.ucsc.edu/cgi-bin/hgTracks?position=221734_at","UCSC")</f>
        <v>UCSC</v>
      </c>
      <c r="E2549" s="1" t="str">
        <f>HYPERLINK("http://www.ncbi.nlm.nih.gov/gene/?term=PRRC1","NCBI")</f>
        <v>NCBI</v>
      </c>
      <c r="F2549">
        <v>1.2E-2</v>
      </c>
      <c r="G2549">
        <v>7.9000000000000001E-2</v>
      </c>
      <c r="H2549" s="1" t="str">
        <f>HYPERLINK("http://www.weizmann.ac.il/complex/compphys/software/geview/data/figures/221734_at.png","Figure")</f>
        <v>Figure</v>
      </c>
      <c r="I2549">
        <v>1.1399999999999999</v>
      </c>
      <c r="J2549">
        <v>0.52</v>
      </c>
      <c r="K2549">
        <v>0.78300000000000003</v>
      </c>
      <c r="L2549">
        <v>8.5000000000000006E-2</v>
      </c>
      <c r="M2549">
        <v>0.68400000000000005</v>
      </c>
      <c r="N2549">
        <v>1.2E-2</v>
      </c>
    </row>
    <row r="2550" spans="1:14" x14ac:dyDescent="0.25">
      <c r="A2550" t="s">
        <v>4716</v>
      </c>
      <c r="B2550" t="s">
        <v>4717</v>
      </c>
      <c r="C2550" s="1" t="str">
        <f>HYPERLINK("http://www.genecards.org/cgi-bin/carddisp.pl?gene=LTB4R","GeneCards")</f>
        <v>GeneCards</v>
      </c>
      <c r="D2550" s="1" t="str">
        <f>HYPERLINK("http://genome-euro.ucsc.edu/cgi-bin/hgTracks?position=210128_s_at","UCSC")</f>
        <v>UCSC</v>
      </c>
      <c r="E2550" s="1" t="str">
        <f>HYPERLINK("http://www.ncbi.nlm.nih.gov/gene/?term=LTB4R","NCBI")</f>
        <v>NCBI</v>
      </c>
      <c r="F2550">
        <v>1.2E-2</v>
      </c>
      <c r="G2550">
        <v>7.9000000000000001E-2</v>
      </c>
      <c r="H2550" s="1" t="str">
        <f>HYPERLINK("http://www.weizmann.ac.il/complex/compphys/software/geview/data/figures/210128_s_at.png","Figure")</f>
        <v>Figure</v>
      </c>
      <c r="I2550">
        <v>0.58399999999999996</v>
      </c>
      <c r="J2550">
        <v>1.2999999999999999E-2</v>
      </c>
      <c r="K2550">
        <v>0.90300000000000002</v>
      </c>
      <c r="L2550">
        <v>0.75</v>
      </c>
      <c r="M2550">
        <v>1.55</v>
      </c>
      <c r="N2550">
        <v>2.9000000000000001E-2</v>
      </c>
    </row>
    <row r="2551" spans="1:14" x14ac:dyDescent="0.25">
      <c r="A2551" t="s">
        <v>4718</v>
      </c>
      <c r="B2551" t="s">
        <v>4719</v>
      </c>
      <c r="C2551" s="1" t="str">
        <f>HYPERLINK("http://www.genecards.org/cgi-bin/carddisp.pl?gene=DDX28","GeneCards")</f>
        <v>GeneCards</v>
      </c>
      <c r="D2551" s="1" t="str">
        <f>HYPERLINK("http://genome-euro.ucsc.edu/cgi-bin/hgTracks?position=214025_at","UCSC")</f>
        <v>UCSC</v>
      </c>
      <c r="E2551" s="1" t="str">
        <f>HYPERLINK("http://www.ncbi.nlm.nih.gov/gene/?term=DDX28","NCBI")</f>
        <v>NCBI</v>
      </c>
      <c r="F2551">
        <v>1.2E-2</v>
      </c>
      <c r="G2551">
        <v>7.9000000000000001E-2</v>
      </c>
      <c r="H2551" s="1" t="str">
        <f>HYPERLINK("http://www.weizmann.ac.il/complex/compphys/software/geview/data/figures/214025_at.png","Figure")</f>
        <v>Figure</v>
      </c>
      <c r="I2551">
        <v>1.26</v>
      </c>
      <c r="J2551">
        <v>1.2999999999999999E-2</v>
      </c>
      <c r="K2551">
        <v>1.18</v>
      </c>
      <c r="L2551">
        <v>4.2999999999999997E-2</v>
      </c>
      <c r="M2551">
        <v>0.93500000000000005</v>
      </c>
      <c r="N2551">
        <v>0.56000000000000005</v>
      </c>
    </row>
    <row r="2552" spans="1:14" x14ac:dyDescent="0.25">
      <c r="A2552" t="s">
        <v>4720</v>
      </c>
      <c r="B2552" t="s">
        <v>4721</v>
      </c>
      <c r="C2552" s="1" t="str">
        <f>HYPERLINK("http://www.genecards.org/cgi-bin/carddisp.pl?gene=SURF1","GeneCards")</f>
        <v>GeneCards</v>
      </c>
      <c r="D2552" s="1" t="str">
        <f>HYPERLINK("http://genome-euro.ucsc.edu/cgi-bin/hgTracks?position=217646_at","UCSC")</f>
        <v>UCSC</v>
      </c>
      <c r="E2552" s="1" t="str">
        <f>HYPERLINK("http://www.ncbi.nlm.nih.gov/gene/?term=SURF1","NCBI")</f>
        <v>NCBI</v>
      </c>
      <c r="F2552">
        <v>1.2E-2</v>
      </c>
      <c r="G2552">
        <v>7.9000000000000001E-2</v>
      </c>
      <c r="H2552" s="1" t="str">
        <f>HYPERLINK("http://www.weizmann.ac.il/complex/compphys/software/geview/data/figures/217646_at.png","Figure")</f>
        <v>Figure</v>
      </c>
      <c r="I2552">
        <v>1.6</v>
      </c>
      <c r="J2552">
        <v>1.0999999999999999E-2</v>
      </c>
      <c r="K2552">
        <v>1.35</v>
      </c>
      <c r="L2552">
        <v>0.06</v>
      </c>
      <c r="M2552">
        <v>0.84499999999999997</v>
      </c>
      <c r="N2552">
        <v>0.41</v>
      </c>
    </row>
    <row r="2553" spans="1:14" x14ac:dyDescent="0.25">
      <c r="A2553" t="s">
        <v>4722</v>
      </c>
      <c r="B2553" t="s">
        <v>437</v>
      </c>
      <c r="C2553" s="1" t="str">
        <f>HYPERLINK("http://www.genecards.org/cgi-bin/carddisp.pl?gene=FYN","GeneCards")</f>
        <v>GeneCards</v>
      </c>
      <c r="D2553" s="1" t="str">
        <f>HYPERLINK("http://genome-euro.ucsc.edu/cgi-bin/hgTracks?position=210105_s_at","UCSC")</f>
        <v>UCSC</v>
      </c>
      <c r="E2553" s="1" t="str">
        <f>HYPERLINK("http://www.ncbi.nlm.nih.gov/gene/?term=FYN","NCBI")</f>
        <v>NCBI</v>
      </c>
      <c r="F2553">
        <v>1.2E-2</v>
      </c>
      <c r="G2553">
        <v>7.9000000000000001E-2</v>
      </c>
      <c r="H2553" s="1" t="str">
        <f>HYPERLINK("http://www.weizmann.ac.il/complex/compphys/software/geview/data/figures/210105_s_at.png","Figure")</f>
        <v>Figure</v>
      </c>
      <c r="I2553">
        <v>0.47799999999999998</v>
      </c>
      <c r="J2553">
        <v>9.2999999999999992E-3</v>
      </c>
      <c r="K2553">
        <v>0.75900000000000001</v>
      </c>
      <c r="L2553">
        <v>0.32</v>
      </c>
      <c r="M2553">
        <v>1.59</v>
      </c>
      <c r="N2553">
        <v>7.9000000000000001E-2</v>
      </c>
    </row>
    <row r="2554" spans="1:14" x14ac:dyDescent="0.25">
      <c r="A2554" t="s">
        <v>4723</v>
      </c>
      <c r="B2554" t="s">
        <v>4291</v>
      </c>
      <c r="C2554" s="1" t="str">
        <f>HYPERLINK("http://www.genecards.org/cgi-bin/carddisp.pl?gene=DHFR","GeneCards")</f>
        <v>GeneCards</v>
      </c>
      <c r="D2554" s="1" t="str">
        <f>HYPERLINK("http://genome-euro.ucsc.edu/cgi-bin/hgTracks?position=202534_x_at","UCSC")</f>
        <v>UCSC</v>
      </c>
      <c r="E2554" s="1" t="str">
        <f>HYPERLINK("http://www.ncbi.nlm.nih.gov/gene/?term=DHFR","NCBI")</f>
        <v>NCBI</v>
      </c>
      <c r="F2554">
        <v>1.2E-2</v>
      </c>
      <c r="G2554">
        <v>7.9000000000000001E-2</v>
      </c>
      <c r="H2554" s="1" t="str">
        <f>HYPERLINK("http://www.weizmann.ac.il/complex/compphys/software/geview/data/figures/202534_x_at.png","Figure")</f>
        <v>Figure</v>
      </c>
      <c r="I2554">
        <v>0.90600000000000003</v>
      </c>
      <c r="J2554">
        <v>0.91</v>
      </c>
      <c r="K2554">
        <v>1.83</v>
      </c>
      <c r="L2554">
        <v>3.5000000000000003E-2</v>
      </c>
      <c r="M2554">
        <v>2.02</v>
      </c>
      <c r="N2554">
        <v>2.1999999999999999E-2</v>
      </c>
    </row>
    <row r="2555" spans="1:14" x14ac:dyDescent="0.25">
      <c r="A2555" t="s">
        <v>4724</v>
      </c>
      <c r="B2555" t="s">
        <v>4725</v>
      </c>
      <c r="C2555" s="1" t="str">
        <f>HYPERLINK("http://www.genecards.org/cgi-bin/carddisp.pl?gene=LOC399904","GeneCards")</f>
        <v>GeneCards</v>
      </c>
      <c r="D2555" s="1" t="str">
        <f>HYPERLINK("http://genome-euro.ucsc.edu/cgi-bin/hgTracks?position=213740_s_at","UCSC")</f>
        <v>UCSC</v>
      </c>
      <c r="E2555" s="1" t="str">
        <f>HYPERLINK("http://www.ncbi.nlm.nih.gov/gene/?term=LOC399904","NCBI")</f>
        <v>NCBI</v>
      </c>
      <c r="F2555">
        <v>1.2E-2</v>
      </c>
      <c r="G2555">
        <v>7.9000000000000001E-2</v>
      </c>
      <c r="H2555" s="1" t="str">
        <f>HYPERLINK("http://www.weizmann.ac.il/complex/compphys/software/geview/data/figures/213740_s_at.png","Figure")</f>
        <v>Figure</v>
      </c>
      <c r="I2555">
        <v>1.25</v>
      </c>
      <c r="J2555">
        <v>1.9E-2</v>
      </c>
      <c r="K2555">
        <v>1.21</v>
      </c>
      <c r="L2555">
        <v>2.5000000000000001E-2</v>
      </c>
      <c r="M2555">
        <v>0.96299999999999997</v>
      </c>
      <c r="N2555">
        <v>0.84</v>
      </c>
    </row>
    <row r="2556" spans="1:14" x14ac:dyDescent="0.25">
      <c r="A2556" t="s">
        <v>4726</v>
      </c>
      <c r="B2556" t="s">
        <v>4727</v>
      </c>
      <c r="C2556" s="1" t="str">
        <f>HYPERLINK("http://www.genecards.org/cgi-bin/carddisp.pl?gene=ACCN4","GeneCards")</f>
        <v>GeneCards</v>
      </c>
      <c r="D2556" s="1" t="str">
        <f>HYPERLINK("http://genome-euro.ucsc.edu/cgi-bin/hgTracks?position=221226_s_at","UCSC")</f>
        <v>UCSC</v>
      </c>
      <c r="E2556" s="1" t="str">
        <f>HYPERLINK("http://www.ncbi.nlm.nih.gov/gene/?term=ACCN4","NCBI")</f>
        <v>NCBI</v>
      </c>
      <c r="F2556">
        <v>1.2E-2</v>
      </c>
      <c r="G2556">
        <v>7.9000000000000001E-2</v>
      </c>
      <c r="H2556" s="1" t="str">
        <f>HYPERLINK("http://www.weizmann.ac.il/complex/compphys/software/geview/data/figures/221226_s_at.png","Figure")</f>
        <v>Figure</v>
      </c>
      <c r="I2556">
        <v>1.43</v>
      </c>
      <c r="J2556">
        <v>8.9999999999999993E-3</v>
      </c>
      <c r="K2556">
        <v>1.18</v>
      </c>
      <c r="L2556">
        <v>0.18</v>
      </c>
      <c r="M2556">
        <v>0.82699999999999996</v>
      </c>
      <c r="N2556">
        <v>0.14000000000000001</v>
      </c>
    </row>
    <row r="2557" spans="1:14" x14ac:dyDescent="0.25">
      <c r="A2557" t="s">
        <v>4728</v>
      </c>
      <c r="B2557" t="s">
        <v>1375</v>
      </c>
      <c r="C2557" s="1" t="str">
        <f>HYPERLINK("http://www.genecards.org/cgi-bin/carddisp.pl?gene=HMOX2","GeneCards")</f>
        <v>GeneCards</v>
      </c>
      <c r="D2557" s="1" t="str">
        <f>HYPERLINK("http://genome-euro.ucsc.edu/cgi-bin/hgTracks?position=218120_s_at","UCSC")</f>
        <v>UCSC</v>
      </c>
      <c r="E2557" s="1" t="str">
        <f>HYPERLINK("http://www.ncbi.nlm.nih.gov/gene/?term=HMOX2","NCBI")</f>
        <v>NCBI</v>
      </c>
      <c r="F2557">
        <v>1.2E-2</v>
      </c>
      <c r="G2557">
        <v>7.9000000000000001E-2</v>
      </c>
      <c r="H2557" s="1" t="str">
        <f>HYPERLINK("http://www.weizmann.ac.il/complex/compphys/software/geview/data/figures/218120_s_at.png","Figure")</f>
        <v>Figure</v>
      </c>
      <c r="I2557">
        <v>1.1200000000000001</v>
      </c>
      <c r="J2557">
        <v>0.27</v>
      </c>
      <c r="K2557">
        <v>1.23</v>
      </c>
      <c r="L2557">
        <v>9.1000000000000004E-3</v>
      </c>
      <c r="M2557">
        <v>1.1000000000000001</v>
      </c>
      <c r="N2557">
        <v>0.28999999999999998</v>
      </c>
    </row>
    <row r="2558" spans="1:14" x14ac:dyDescent="0.25">
      <c r="A2558" t="s">
        <v>4729</v>
      </c>
      <c r="B2558" t="s">
        <v>3086</v>
      </c>
      <c r="C2558" s="1" t="str">
        <f>HYPERLINK("http://www.genecards.org/cgi-bin/carddisp.pl?gene=DNPEP","GeneCards")</f>
        <v>GeneCards</v>
      </c>
      <c r="D2558" s="1" t="str">
        <f>HYPERLINK("http://genome-euro.ucsc.edu/cgi-bin/hgTracks?position=38703_at","UCSC")</f>
        <v>UCSC</v>
      </c>
      <c r="E2558" s="1" t="str">
        <f>HYPERLINK("http://www.ncbi.nlm.nih.gov/gene/?term=DNPEP","NCBI")</f>
        <v>NCBI</v>
      </c>
      <c r="F2558">
        <v>1.2E-2</v>
      </c>
      <c r="G2558">
        <v>7.9000000000000001E-2</v>
      </c>
      <c r="H2558" s="1" t="str">
        <f>HYPERLINK("http://www.weizmann.ac.il/complex/compphys/software/geview/data/figures/38703_at.png","Figure")</f>
        <v>Figure</v>
      </c>
      <c r="I2558">
        <v>1.2</v>
      </c>
      <c r="J2558">
        <v>8.7999999999999995E-2</v>
      </c>
      <c r="K2558">
        <v>0.92400000000000004</v>
      </c>
      <c r="L2558">
        <v>0.5</v>
      </c>
      <c r="M2558">
        <v>0.76900000000000002</v>
      </c>
      <c r="N2558">
        <v>9.1999999999999998E-3</v>
      </c>
    </row>
    <row r="2559" spans="1:14" x14ac:dyDescent="0.25">
      <c r="A2559" t="s">
        <v>4730</v>
      </c>
      <c r="B2559" t="s">
        <v>4731</v>
      </c>
      <c r="C2559" s="1" t="str">
        <f>HYPERLINK("http://www.genecards.org/cgi-bin/carddisp.pl?gene=PSMD4","GeneCards")</f>
        <v>GeneCards</v>
      </c>
      <c r="D2559" s="1" t="str">
        <f>HYPERLINK("http://genome-euro.ucsc.edu/cgi-bin/hgTracks?position=211609_x_at","UCSC")</f>
        <v>UCSC</v>
      </c>
      <c r="E2559" s="1" t="str">
        <f>HYPERLINK("http://www.ncbi.nlm.nih.gov/gene/?term=PSMD4","NCBI")</f>
        <v>NCBI</v>
      </c>
      <c r="F2559">
        <v>1.2E-2</v>
      </c>
      <c r="G2559">
        <v>7.9000000000000001E-2</v>
      </c>
      <c r="H2559" s="1" t="str">
        <f>HYPERLINK("http://www.weizmann.ac.il/complex/compphys/software/geview/data/figures/211609_x_at.png","Figure")</f>
        <v>Figure</v>
      </c>
      <c r="I2559">
        <v>1.41</v>
      </c>
      <c r="J2559">
        <v>8.4000000000000005E-2</v>
      </c>
      <c r="K2559">
        <v>1.56</v>
      </c>
      <c r="L2559">
        <v>0.01</v>
      </c>
      <c r="M2559">
        <v>1.1100000000000001</v>
      </c>
      <c r="N2559">
        <v>0.73</v>
      </c>
    </row>
    <row r="2560" spans="1:14" x14ac:dyDescent="0.25">
      <c r="A2560" t="s">
        <v>4732</v>
      </c>
      <c r="B2560" t="s">
        <v>4733</v>
      </c>
      <c r="C2560" s="1" t="str">
        <f>HYPERLINK("http://www.genecards.org/cgi-bin/carddisp.pl?gene=TAF12","GeneCards")</f>
        <v>GeneCards</v>
      </c>
      <c r="D2560" s="1" t="str">
        <f>HYPERLINK("http://genome-euro.ucsc.edu/cgi-bin/hgTracks?position=209463_s_at","UCSC")</f>
        <v>UCSC</v>
      </c>
      <c r="E2560" s="1" t="str">
        <f>HYPERLINK("http://www.ncbi.nlm.nih.gov/gene/?term=TAF12","NCBI")</f>
        <v>NCBI</v>
      </c>
      <c r="F2560">
        <v>1.2E-2</v>
      </c>
      <c r="G2560">
        <v>7.9000000000000001E-2</v>
      </c>
      <c r="H2560" s="1" t="str">
        <f>HYPERLINK("http://www.weizmann.ac.il/complex/compphys/software/geview/data/figures/209463_s_at.png","Figure")</f>
        <v>Figure</v>
      </c>
      <c r="I2560">
        <v>0.79400000000000004</v>
      </c>
      <c r="J2560">
        <v>0.14000000000000001</v>
      </c>
      <c r="K2560">
        <v>1.1499999999999999</v>
      </c>
      <c r="L2560">
        <v>0.34</v>
      </c>
      <c r="M2560">
        <v>1.45</v>
      </c>
      <c r="N2560">
        <v>9.1000000000000004E-3</v>
      </c>
    </row>
    <row r="2561" spans="1:14" x14ac:dyDescent="0.25">
      <c r="A2561" t="s">
        <v>4734</v>
      </c>
      <c r="B2561" t="s">
        <v>4735</v>
      </c>
      <c r="C2561" s="1" t="str">
        <f>HYPERLINK("http://www.genecards.org/cgi-bin/carddisp.pl?gene=KIAA1033","GeneCards")</f>
        <v>GeneCards</v>
      </c>
      <c r="D2561" s="1" t="str">
        <f>HYPERLINK("http://genome-euro.ucsc.edu/cgi-bin/hgTracks?position=215936_s_at","UCSC")</f>
        <v>UCSC</v>
      </c>
      <c r="E2561" s="1" t="str">
        <f>HYPERLINK("http://www.ncbi.nlm.nih.gov/gene/?term=KIAA1033","NCBI")</f>
        <v>NCBI</v>
      </c>
      <c r="F2561">
        <v>1.2E-2</v>
      </c>
      <c r="G2561">
        <v>7.9000000000000001E-2</v>
      </c>
      <c r="H2561" s="1" t="str">
        <f>HYPERLINK("http://www.weizmann.ac.il/complex/compphys/software/geview/data/figures/215936_s_at.png","Figure")</f>
        <v>Figure</v>
      </c>
      <c r="I2561">
        <v>0.877</v>
      </c>
      <c r="J2561">
        <v>0.63</v>
      </c>
      <c r="K2561">
        <v>0.65500000000000003</v>
      </c>
      <c r="L2561">
        <v>1.2E-2</v>
      </c>
      <c r="M2561">
        <v>0.746</v>
      </c>
      <c r="N2561">
        <v>0.11</v>
      </c>
    </row>
    <row r="2562" spans="1:14" x14ac:dyDescent="0.25">
      <c r="A2562" t="s">
        <v>4736</v>
      </c>
      <c r="B2562" t="s">
        <v>4737</v>
      </c>
      <c r="C2562" s="1" t="str">
        <f>HYPERLINK("http://www.genecards.org/cgi-bin/carddisp.pl?gene=YKT6","GeneCards")</f>
        <v>GeneCards</v>
      </c>
      <c r="D2562" s="1" t="str">
        <f>HYPERLINK("http://genome-euro.ucsc.edu/cgi-bin/hgTracks?position=217784_at","UCSC")</f>
        <v>UCSC</v>
      </c>
      <c r="E2562" s="1" t="str">
        <f>HYPERLINK("http://www.ncbi.nlm.nih.gov/gene/?term=YKT6","NCBI")</f>
        <v>NCBI</v>
      </c>
      <c r="F2562">
        <v>1.2E-2</v>
      </c>
      <c r="G2562">
        <v>7.9000000000000001E-2</v>
      </c>
      <c r="H2562" s="1" t="str">
        <f>HYPERLINK("http://www.weizmann.ac.il/complex/compphys/software/geview/data/figures/217784_at.png","Figure")</f>
        <v>Figure</v>
      </c>
      <c r="I2562">
        <v>1.4</v>
      </c>
      <c r="J2562">
        <v>1.7999999999999999E-2</v>
      </c>
      <c r="K2562">
        <v>1.03</v>
      </c>
      <c r="L2562">
        <v>0.95</v>
      </c>
      <c r="M2562">
        <v>0.73199999999999998</v>
      </c>
      <c r="N2562">
        <v>1.9E-2</v>
      </c>
    </row>
    <row r="2563" spans="1:14" x14ac:dyDescent="0.25">
      <c r="A2563" t="s">
        <v>4738</v>
      </c>
      <c r="B2563" t="s">
        <v>4739</v>
      </c>
      <c r="C2563" s="1" t="str">
        <f>HYPERLINK("http://www.genecards.org/cgi-bin/carddisp.pl?gene=NCL","GeneCards")</f>
        <v>GeneCards</v>
      </c>
      <c r="D2563" s="1" t="str">
        <f>HYPERLINK("http://genome-euro.ucsc.edu/cgi-bin/hgTracks?position=200610_s_at","UCSC")</f>
        <v>UCSC</v>
      </c>
      <c r="E2563" s="1" t="str">
        <f>HYPERLINK("http://www.ncbi.nlm.nih.gov/gene/?term=NCL","NCBI")</f>
        <v>NCBI</v>
      </c>
      <c r="F2563">
        <v>1.2E-2</v>
      </c>
      <c r="G2563">
        <v>7.9000000000000001E-2</v>
      </c>
      <c r="H2563" s="1" t="str">
        <f>HYPERLINK("http://www.weizmann.ac.il/complex/compphys/software/geview/data/figures/200610_s_at.png","Figure")</f>
        <v>Figure</v>
      </c>
      <c r="I2563">
        <v>1.25</v>
      </c>
      <c r="J2563">
        <v>0.15</v>
      </c>
      <c r="K2563">
        <v>1.41</v>
      </c>
      <c r="L2563">
        <v>9.1999999999999998E-3</v>
      </c>
      <c r="M2563">
        <v>1.1299999999999999</v>
      </c>
      <c r="N2563">
        <v>0.49</v>
      </c>
    </row>
    <row r="2564" spans="1:14" x14ac:dyDescent="0.25">
      <c r="A2564" t="s">
        <v>4740</v>
      </c>
      <c r="B2564" t="s">
        <v>4741</v>
      </c>
      <c r="C2564" s="1" t="str">
        <f>HYPERLINK("http://www.genecards.org/cgi-bin/carddisp.pl?gene=ARNT","GeneCards")</f>
        <v>GeneCards</v>
      </c>
      <c r="D2564" s="1" t="str">
        <f>HYPERLINK("http://genome-euro.ucsc.edu/cgi-bin/hgTracks?position=218222_x_at","UCSC")</f>
        <v>UCSC</v>
      </c>
      <c r="E2564" s="1" t="str">
        <f>HYPERLINK("http://www.ncbi.nlm.nih.gov/gene/?term=ARNT","NCBI")</f>
        <v>NCBI</v>
      </c>
      <c r="F2564">
        <v>1.2E-2</v>
      </c>
      <c r="G2564">
        <v>7.9000000000000001E-2</v>
      </c>
      <c r="H2564" s="1" t="str">
        <f>HYPERLINK("http://www.weizmann.ac.il/complex/compphys/software/geview/data/figures/218222_x_at.png","Figure")</f>
        <v>Figure</v>
      </c>
      <c r="I2564">
        <v>1.04</v>
      </c>
      <c r="J2564">
        <v>0.75</v>
      </c>
      <c r="K2564">
        <v>0.873</v>
      </c>
      <c r="L2564">
        <v>5.0999999999999997E-2</v>
      </c>
      <c r="M2564">
        <v>0.83599999999999997</v>
      </c>
      <c r="N2564">
        <v>1.7000000000000001E-2</v>
      </c>
    </row>
    <row r="2565" spans="1:14" x14ac:dyDescent="0.25">
      <c r="A2565" t="s">
        <v>4742</v>
      </c>
      <c r="B2565" t="s">
        <v>4743</v>
      </c>
      <c r="C2565" s="1" t="str">
        <f>HYPERLINK("http://www.genecards.org/cgi-bin/carddisp.pl?gene=TNS4","GeneCards")</f>
        <v>GeneCards</v>
      </c>
      <c r="D2565" s="1" t="str">
        <f>HYPERLINK("http://genome-euro.ucsc.edu/cgi-bin/hgTracks?position=222265_at","UCSC")</f>
        <v>UCSC</v>
      </c>
      <c r="E2565" s="1" t="str">
        <f>HYPERLINK("http://www.ncbi.nlm.nih.gov/gene/?term=TNS4","NCBI")</f>
        <v>NCBI</v>
      </c>
      <c r="F2565">
        <v>1.2E-2</v>
      </c>
      <c r="G2565">
        <v>7.9000000000000001E-2</v>
      </c>
      <c r="H2565" s="1" t="str">
        <f>HYPERLINK("http://www.weizmann.ac.il/complex/compphys/software/geview/data/figures/222265_at.png","Figure")</f>
        <v>Figure</v>
      </c>
      <c r="I2565">
        <v>1.32</v>
      </c>
      <c r="J2565">
        <v>2.1000000000000001E-2</v>
      </c>
      <c r="K2565">
        <v>1.01</v>
      </c>
      <c r="L2565">
        <v>1</v>
      </c>
      <c r="M2565">
        <v>0.76100000000000001</v>
      </c>
      <c r="N2565">
        <v>1.6E-2</v>
      </c>
    </row>
    <row r="2566" spans="1:14" x14ac:dyDescent="0.25">
      <c r="A2566" t="s">
        <v>4744</v>
      </c>
      <c r="B2566" t="s">
        <v>4745</v>
      </c>
      <c r="C2566" s="1" t="str">
        <f>HYPERLINK("http://www.genecards.org/cgi-bin/carddisp.pl?gene=DLL3","GeneCards")</f>
        <v>GeneCards</v>
      </c>
      <c r="D2566" s="1" t="str">
        <f>HYPERLINK("http://genome-euro.ucsc.edu/cgi-bin/hgTracks?position=219537_x_at","UCSC")</f>
        <v>UCSC</v>
      </c>
      <c r="E2566" s="1" t="str">
        <f>HYPERLINK("http://www.ncbi.nlm.nih.gov/gene/?term=DLL3","NCBI")</f>
        <v>NCBI</v>
      </c>
      <c r="F2566">
        <v>1.2E-2</v>
      </c>
      <c r="G2566">
        <v>7.9000000000000001E-2</v>
      </c>
      <c r="H2566" s="1" t="str">
        <f>HYPERLINK("http://www.weizmann.ac.il/complex/compphys/software/geview/data/figures/219537_x_at.png","Figure")</f>
        <v>Figure</v>
      </c>
      <c r="I2566">
        <v>1.23</v>
      </c>
      <c r="J2566">
        <v>9.4999999999999998E-3</v>
      </c>
      <c r="K2566">
        <v>1.1200000000000001</v>
      </c>
      <c r="L2566">
        <v>0.11</v>
      </c>
      <c r="M2566">
        <v>0.90800000000000003</v>
      </c>
      <c r="N2566">
        <v>0.22</v>
      </c>
    </row>
    <row r="2567" spans="1:14" x14ac:dyDescent="0.25">
      <c r="A2567" t="s">
        <v>4746</v>
      </c>
      <c r="B2567" t="s">
        <v>4747</v>
      </c>
      <c r="C2567" s="1" t="str">
        <f>HYPERLINK("http://www.genecards.org/cgi-bin/carddisp.pl?gene=OCA2","GeneCards")</f>
        <v>GeneCards</v>
      </c>
      <c r="D2567" s="1" t="str">
        <f>HYPERLINK("http://genome-euro.ucsc.edu/cgi-bin/hgTracks?position=206498_at","UCSC")</f>
        <v>UCSC</v>
      </c>
      <c r="E2567" s="1" t="str">
        <f>HYPERLINK("http://www.ncbi.nlm.nih.gov/gene/?term=OCA2","NCBI")</f>
        <v>NCBI</v>
      </c>
      <c r="F2567">
        <v>1.2E-2</v>
      </c>
      <c r="G2567">
        <v>7.9000000000000001E-2</v>
      </c>
      <c r="H2567" s="1" t="str">
        <f>HYPERLINK("http://www.weizmann.ac.il/complex/compphys/software/geview/data/figures/206498_at.png","Figure")</f>
        <v>Figure</v>
      </c>
      <c r="I2567">
        <v>1.36</v>
      </c>
      <c r="J2567">
        <v>2.5999999999999999E-2</v>
      </c>
      <c r="K2567">
        <v>0.99</v>
      </c>
      <c r="L2567">
        <v>0.99</v>
      </c>
      <c r="M2567">
        <v>0.72799999999999998</v>
      </c>
      <c r="N2567">
        <v>1.4E-2</v>
      </c>
    </row>
    <row r="2568" spans="1:14" x14ac:dyDescent="0.25">
      <c r="A2568" t="s">
        <v>4748</v>
      </c>
      <c r="B2568" t="s">
        <v>2608</v>
      </c>
      <c r="C2568" s="1" t="str">
        <f>HYPERLINK("http://www.genecards.org/cgi-bin/carddisp.pl?gene=ACSL3","GeneCards")</f>
        <v>GeneCards</v>
      </c>
      <c r="D2568" s="1" t="str">
        <f>HYPERLINK("http://genome-euro.ucsc.edu/cgi-bin/hgTracks?position=201661_s_at","UCSC")</f>
        <v>UCSC</v>
      </c>
      <c r="E2568" s="1" t="str">
        <f>HYPERLINK("http://www.ncbi.nlm.nih.gov/gene/?term=ACSL3","NCBI")</f>
        <v>NCBI</v>
      </c>
      <c r="F2568">
        <v>1.2E-2</v>
      </c>
      <c r="G2568">
        <v>7.9000000000000001E-2</v>
      </c>
      <c r="H2568" s="1" t="str">
        <f>HYPERLINK("http://www.weizmann.ac.il/complex/compphys/software/geview/data/figures/201661_s_at.png","Figure")</f>
        <v>Figure</v>
      </c>
      <c r="I2568">
        <v>0.39900000000000002</v>
      </c>
      <c r="J2568">
        <v>9.5999999999999992E-3</v>
      </c>
      <c r="K2568">
        <v>0.61099999999999999</v>
      </c>
      <c r="L2568">
        <v>0.11</v>
      </c>
      <c r="M2568">
        <v>1.53</v>
      </c>
      <c r="N2568">
        <v>0.22</v>
      </c>
    </row>
    <row r="2569" spans="1:14" x14ac:dyDescent="0.25">
      <c r="A2569" t="s">
        <v>4749</v>
      </c>
      <c r="B2569" t="s">
        <v>4750</v>
      </c>
      <c r="C2569" s="1" t="str">
        <f>HYPERLINK("http://www.genecards.org/cgi-bin/carddisp.pl?gene=KIAA0913","GeneCards")</f>
        <v>GeneCards</v>
      </c>
      <c r="D2569" s="1" t="str">
        <f>HYPERLINK("http://genome-euro.ucsc.edu/cgi-bin/hgTracks?position=212359_s_at","UCSC")</f>
        <v>UCSC</v>
      </c>
      <c r="E2569" s="1" t="str">
        <f>HYPERLINK("http://www.ncbi.nlm.nih.gov/gene/?term=KIAA0913","NCBI")</f>
        <v>NCBI</v>
      </c>
      <c r="F2569">
        <v>1.2E-2</v>
      </c>
      <c r="G2569">
        <v>7.9000000000000001E-2</v>
      </c>
      <c r="H2569" s="1" t="str">
        <f>HYPERLINK("http://www.weizmann.ac.il/complex/compphys/software/geview/data/figures/212359_s_at.png","Figure")</f>
        <v>Figure</v>
      </c>
      <c r="I2569">
        <v>0.754</v>
      </c>
      <c r="J2569">
        <v>4.7E-2</v>
      </c>
      <c r="K2569">
        <v>0.73199999999999998</v>
      </c>
      <c r="L2569">
        <v>1.2999999999999999E-2</v>
      </c>
      <c r="M2569">
        <v>0.97</v>
      </c>
      <c r="N2569">
        <v>0.95</v>
      </c>
    </row>
    <row r="2570" spans="1:14" x14ac:dyDescent="0.25">
      <c r="A2570" t="s">
        <v>4751</v>
      </c>
      <c r="B2570" t="s">
        <v>4752</v>
      </c>
      <c r="C2570" s="1" t="str">
        <f>HYPERLINK("http://www.genecards.org/cgi-bin/carddisp.pl?gene=ITPA","GeneCards")</f>
        <v>GeneCards</v>
      </c>
      <c r="D2570" s="1" t="str">
        <f>HYPERLINK("http://genome-euro.ucsc.edu/cgi-bin/hgTracks?position=209171_at","UCSC")</f>
        <v>UCSC</v>
      </c>
      <c r="E2570" s="1" t="str">
        <f>HYPERLINK("http://www.ncbi.nlm.nih.gov/gene/?term=ITPA","NCBI")</f>
        <v>NCBI</v>
      </c>
      <c r="F2570">
        <v>1.2E-2</v>
      </c>
      <c r="G2570">
        <v>0.08</v>
      </c>
      <c r="H2570" s="1" t="str">
        <f>HYPERLINK("http://www.weizmann.ac.il/complex/compphys/software/geview/data/figures/209171_at.png","Figure")</f>
        <v>Figure</v>
      </c>
      <c r="I2570">
        <v>1.42</v>
      </c>
      <c r="J2570">
        <v>6.7000000000000004E-2</v>
      </c>
      <c r="K2570">
        <v>1.53</v>
      </c>
      <c r="L2570">
        <v>1.0999999999999999E-2</v>
      </c>
      <c r="M2570">
        <v>1.08</v>
      </c>
      <c r="N2570">
        <v>0.84</v>
      </c>
    </row>
    <row r="2571" spans="1:14" x14ac:dyDescent="0.25">
      <c r="A2571" t="s">
        <v>4753</v>
      </c>
      <c r="B2571" t="s">
        <v>3372</v>
      </c>
      <c r="C2571" s="1" t="str">
        <f>HYPERLINK("http://www.genecards.org/cgi-bin/carddisp.pl?gene=BUB3","GeneCards")</f>
        <v>GeneCards</v>
      </c>
      <c r="D2571" s="1" t="str">
        <f>HYPERLINK("http://genome-euro.ucsc.edu/cgi-bin/hgTracks?position=209974_s_at","UCSC")</f>
        <v>UCSC</v>
      </c>
      <c r="E2571" s="1" t="str">
        <f>HYPERLINK("http://www.ncbi.nlm.nih.gov/gene/?term=BUB3","NCBI")</f>
        <v>NCBI</v>
      </c>
      <c r="F2571">
        <v>1.2E-2</v>
      </c>
      <c r="G2571">
        <v>0.08</v>
      </c>
      <c r="H2571" s="1" t="str">
        <f>HYPERLINK("http://www.weizmann.ac.il/complex/compphys/software/geview/data/figures/209974_s_at.png","Figure")</f>
        <v>Figure</v>
      </c>
      <c r="I2571">
        <v>1.72</v>
      </c>
      <c r="J2571">
        <v>2.8000000000000001E-2</v>
      </c>
      <c r="K2571">
        <v>1.67</v>
      </c>
      <c r="L2571">
        <v>1.7000000000000001E-2</v>
      </c>
      <c r="M2571">
        <v>0.97199999999999998</v>
      </c>
      <c r="N2571">
        <v>0.99</v>
      </c>
    </row>
    <row r="2572" spans="1:14" x14ac:dyDescent="0.25">
      <c r="A2572" t="s">
        <v>4754</v>
      </c>
      <c r="B2572" t="s">
        <v>1774</v>
      </c>
      <c r="C2572" s="1" t="str">
        <f>HYPERLINK("http://www.genecards.org/cgi-bin/carddisp.pl?gene=RBM4","GeneCards")</f>
        <v>GeneCards</v>
      </c>
      <c r="D2572" s="1" t="str">
        <f>HYPERLINK("http://genome-euro.ucsc.edu/cgi-bin/hgTracks?position=213718_at","UCSC")</f>
        <v>UCSC</v>
      </c>
      <c r="E2572" s="1" t="str">
        <f>HYPERLINK("http://www.ncbi.nlm.nih.gov/gene/?term=RBM4","NCBI")</f>
        <v>NCBI</v>
      </c>
      <c r="F2572">
        <v>1.2E-2</v>
      </c>
      <c r="G2572">
        <v>0.08</v>
      </c>
      <c r="H2572" s="1" t="str">
        <f>HYPERLINK("http://www.weizmann.ac.il/complex/compphys/software/geview/data/figures/213718_at.png","Figure")</f>
        <v>Figure</v>
      </c>
      <c r="I2572">
        <v>2.09</v>
      </c>
      <c r="J2572">
        <v>1.4E-2</v>
      </c>
      <c r="K2572">
        <v>1.1299999999999999</v>
      </c>
      <c r="L2572">
        <v>0.8</v>
      </c>
      <c r="M2572">
        <v>0.54</v>
      </c>
      <c r="N2572">
        <v>2.7E-2</v>
      </c>
    </row>
    <row r="2573" spans="1:14" x14ac:dyDescent="0.25">
      <c r="A2573" t="s">
        <v>4755</v>
      </c>
      <c r="B2573" t="s">
        <v>3417</v>
      </c>
      <c r="C2573" s="1" t="str">
        <f>HYPERLINK("http://www.genecards.org/cgi-bin/carddisp.pl?gene=GSN","GeneCards")</f>
        <v>GeneCards</v>
      </c>
      <c r="D2573" s="1" t="str">
        <f>HYPERLINK("http://genome-euro.ucsc.edu/cgi-bin/hgTracks?position=214040_s_at","UCSC")</f>
        <v>UCSC</v>
      </c>
      <c r="E2573" s="1" t="str">
        <f>HYPERLINK("http://www.ncbi.nlm.nih.gov/gene/?term=GSN","NCBI")</f>
        <v>NCBI</v>
      </c>
      <c r="F2573">
        <v>1.2E-2</v>
      </c>
      <c r="G2573">
        <v>0.08</v>
      </c>
      <c r="H2573" s="1" t="str">
        <f>HYPERLINK("http://www.weizmann.ac.il/complex/compphys/software/geview/data/figures/214040_s_at.png","Figure")</f>
        <v>Figure</v>
      </c>
      <c r="I2573">
        <v>1.1299999999999999</v>
      </c>
      <c r="J2573">
        <v>7.2999999999999995E-2</v>
      </c>
      <c r="K2573">
        <v>0.95699999999999996</v>
      </c>
      <c r="L2573">
        <v>0.59</v>
      </c>
      <c r="M2573">
        <v>0.84799999999999998</v>
      </c>
      <c r="N2573">
        <v>9.4999999999999998E-3</v>
      </c>
    </row>
    <row r="2574" spans="1:14" x14ac:dyDescent="0.25">
      <c r="A2574" t="s">
        <v>4756</v>
      </c>
      <c r="B2574" t="s">
        <v>4757</v>
      </c>
      <c r="C2574" s="1" t="str">
        <f>HYPERLINK("http://www.genecards.org/cgi-bin/carddisp.pl?gene=TRIM2","GeneCards")</f>
        <v>GeneCards</v>
      </c>
      <c r="D2574" s="1" t="str">
        <f>HYPERLINK("http://genome-euro.ucsc.edu/cgi-bin/hgTracks?position=215945_s_at","UCSC")</f>
        <v>UCSC</v>
      </c>
      <c r="E2574" s="1" t="str">
        <f>HYPERLINK("http://www.ncbi.nlm.nih.gov/gene/?term=TRIM2","NCBI")</f>
        <v>NCBI</v>
      </c>
      <c r="F2574">
        <v>1.2E-2</v>
      </c>
      <c r="G2574">
        <v>0.08</v>
      </c>
      <c r="H2574" s="1" t="str">
        <f>HYPERLINK("http://www.weizmann.ac.il/complex/compphys/software/geview/data/figures/215945_s_at.png","Figure")</f>
        <v>Figure</v>
      </c>
      <c r="I2574">
        <v>1.1599999999999999</v>
      </c>
      <c r="J2574">
        <v>8.5000000000000006E-2</v>
      </c>
      <c r="K2574">
        <v>1.21</v>
      </c>
      <c r="L2574">
        <v>0.01</v>
      </c>
      <c r="M2574">
        <v>1.04</v>
      </c>
      <c r="N2574">
        <v>0.73</v>
      </c>
    </row>
    <row r="2575" spans="1:14" x14ac:dyDescent="0.25">
      <c r="A2575" t="s">
        <v>4758</v>
      </c>
      <c r="B2575" t="s">
        <v>4759</v>
      </c>
      <c r="C2575" s="1" t="str">
        <f>HYPERLINK("http://www.genecards.org/cgi-bin/carddisp.pl?gene=COQ10B","GeneCards")</f>
        <v>GeneCards</v>
      </c>
      <c r="D2575" s="1" t="str">
        <f>HYPERLINK("http://genome-euro.ucsc.edu/cgi-bin/hgTracks?position=219397_at","UCSC")</f>
        <v>UCSC</v>
      </c>
      <c r="E2575" s="1" t="str">
        <f>HYPERLINK("http://www.ncbi.nlm.nih.gov/gene/?term=COQ10B","NCBI")</f>
        <v>NCBI</v>
      </c>
      <c r="F2575">
        <v>1.2E-2</v>
      </c>
      <c r="G2575">
        <v>0.08</v>
      </c>
      <c r="H2575" s="1" t="str">
        <f>HYPERLINK("http://www.weizmann.ac.il/complex/compphys/software/geview/data/figures/219397_at.png","Figure")</f>
        <v>Figure</v>
      </c>
      <c r="I2575">
        <v>0.80900000000000005</v>
      </c>
      <c r="J2575">
        <v>0.53</v>
      </c>
      <c r="K2575">
        <v>0.55600000000000005</v>
      </c>
      <c r="L2575">
        <v>1.0999999999999999E-2</v>
      </c>
      <c r="M2575">
        <v>0.68700000000000006</v>
      </c>
      <c r="N2575">
        <v>0.13</v>
      </c>
    </row>
    <row r="2576" spans="1:14" x14ac:dyDescent="0.25">
      <c r="A2576" t="s">
        <v>4760</v>
      </c>
      <c r="B2576" t="s">
        <v>4761</v>
      </c>
      <c r="C2576" s="1" t="str">
        <f>HYPERLINK("http://www.genecards.org/cgi-bin/carddisp.pl?gene=TAP1","GeneCards")</f>
        <v>GeneCards</v>
      </c>
      <c r="D2576" s="1" t="str">
        <f>HYPERLINK("http://genome-euro.ucsc.edu/cgi-bin/hgTracks?position=202307_s_at","UCSC")</f>
        <v>UCSC</v>
      </c>
      <c r="E2576" s="1" t="str">
        <f>HYPERLINK("http://www.ncbi.nlm.nih.gov/gene/?term=TAP1","NCBI")</f>
        <v>NCBI</v>
      </c>
      <c r="F2576">
        <v>1.2E-2</v>
      </c>
      <c r="G2576">
        <v>0.08</v>
      </c>
      <c r="H2576" s="1" t="str">
        <f>HYPERLINK("http://www.weizmann.ac.il/complex/compphys/software/geview/data/figures/202307_s_at.png","Figure")</f>
        <v>Figure</v>
      </c>
      <c r="I2576">
        <v>1.47</v>
      </c>
      <c r="J2576">
        <v>2.1999999999999999E-2</v>
      </c>
      <c r="K2576">
        <v>1.39</v>
      </c>
      <c r="L2576">
        <v>2.1999999999999999E-2</v>
      </c>
      <c r="M2576">
        <v>0.95099999999999996</v>
      </c>
      <c r="N2576">
        <v>0.9</v>
      </c>
    </row>
    <row r="2577" spans="1:14" x14ac:dyDescent="0.25">
      <c r="A2577" t="s">
        <v>4762</v>
      </c>
      <c r="B2577" t="s">
        <v>4763</v>
      </c>
      <c r="C2577" s="1" t="str">
        <f>HYPERLINK("http://www.genecards.org/cgi-bin/carddisp.pl?gene=AVL9","GeneCards")</f>
        <v>GeneCards</v>
      </c>
      <c r="D2577" s="1" t="str">
        <f>HYPERLINK("http://genome-euro.ucsc.edu/cgi-bin/hgTracks?position=212474_at","UCSC")</f>
        <v>UCSC</v>
      </c>
      <c r="E2577" s="1" t="str">
        <f>HYPERLINK("http://www.ncbi.nlm.nih.gov/gene/?term=AVL9","NCBI")</f>
        <v>NCBI</v>
      </c>
      <c r="F2577">
        <v>1.2E-2</v>
      </c>
      <c r="G2577">
        <v>0.08</v>
      </c>
      <c r="H2577" s="1" t="str">
        <f>HYPERLINK("http://www.weizmann.ac.il/complex/compphys/software/geview/data/figures/212474_at.png","Figure")</f>
        <v>Figure</v>
      </c>
      <c r="I2577">
        <v>0.38200000000000001</v>
      </c>
      <c r="J2577">
        <v>1.2999999999999999E-2</v>
      </c>
      <c r="K2577">
        <v>0.82699999999999996</v>
      </c>
      <c r="L2577">
        <v>0.73</v>
      </c>
      <c r="M2577">
        <v>2.16</v>
      </c>
      <c r="N2577">
        <v>3.1E-2</v>
      </c>
    </row>
    <row r="2578" spans="1:14" x14ac:dyDescent="0.25">
      <c r="A2578" t="s">
        <v>4764</v>
      </c>
      <c r="B2578" t="s">
        <v>4765</v>
      </c>
      <c r="C2578" s="1" t="str">
        <f>HYPERLINK("http://www.genecards.org/cgi-bin/carddisp.pl?gene=DHRS4 /// DHRS4L2","GeneCards")</f>
        <v>GeneCards</v>
      </c>
      <c r="D2578" s="1" t="str">
        <f>HYPERLINK("http://genome-euro.ucsc.edu/cgi-bin/hgTracks?position=218021_at","UCSC")</f>
        <v>UCSC</v>
      </c>
      <c r="E2578" s="1" t="str">
        <f>HYPERLINK("http://www.ncbi.nlm.nih.gov/gene/?term=DHRS4 /// DHRS4L2","NCBI")</f>
        <v>NCBI</v>
      </c>
      <c r="F2578">
        <v>1.2E-2</v>
      </c>
      <c r="G2578">
        <v>0.08</v>
      </c>
      <c r="H2578" s="1" t="str">
        <f>HYPERLINK("http://www.weizmann.ac.il/complex/compphys/software/geview/data/figures/218021_at.png","Figure")</f>
        <v>Figure</v>
      </c>
      <c r="I2578">
        <v>0.871</v>
      </c>
      <c r="J2578">
        <v>0.43</v>
      </c>
      <c r="K2578">
        <v>1.23</v>
      </c>
      <c r="L2578">
        <v>0.11</v>
      </c>
      <c r="M2578">
        <v>1.41</v>
      </c>
      <c r="N2578">
        <v>1.2E-2</v>
      </c>
    </row>
    <row r="2579" spans="1:14" x14ac:dyDescent="0.25">
      <c r="A2579" t="s">
        <v>4766</v>
      </c>
      <c r="B2579" t="s">
        <v>4767</v>
      </c>
      <c r="C2579" s="1" t="str">
        <f>HYPERLINK("http://www.genecards.org/cgi-bin/carddisp.pl?gene=RAF1","GeneCards")</f>
        <v>GeneCards</v>
      </c>
      <c r="D2579" s="1" t="str">
        <f>HYPERLINK("http://genome-euro.ucsc.edu/cgi-bin/hgTracks?position=201244_s_at","UCSC")</f>
        <v>UCSC</v>
      </c>
      <c r="E2579" s="1" t="str">
        <f>HYPERLINK("http://www.ncbi.nlm.nih.gov/gene/?term=RAF1","NCBI")</f>
        <v>NCBI</v>
      </c>
      <c r="F2579">
        <v>1.2E-2</v>
      </c>
      <c r="G2579">
        <v>0.08</v>
      </c>
      <c r="H2579" s="1" t="str">
        <f>HYPERLINK("http://www.weizmann.ac.il/complex/compphys/software/geview/data/figures/201244_s_at.png","Figure")</f>
        <v>Figure</v>
      </c>
      <c r="I2579">
        <v>1.21</v>
      </c>
      <c r="J2579">
        <v>0.5</v>
      </c>
      <c r="K2579">
        <v>0.71499999999999997</v>
      </c>
      <c r="L2579">
        <v>9.0999999999999998E-2</v>
      </c>
      <c r="M2579">
        <v>0.59</v>
      </c>
      <c r="N2579">
        <v>1.2E-2</v>
      </c>
    </row>
    <row r="2580" spans="1:14" x14ac:dyDescent="0.25">
      <c r="A2580" t="s">
        <v>4768</v>
      </c>
      <c r="B2580" t="s">
        <v>4769</v>
      </c>
      <c r="C2580" s="1" t="str">
        <f>HYPERLINK("http://www.genecards.org/cgi-bin/carddisp.pl?gene=ATP6V1C1","GeneCards")</f>
        <v>GeneCards</v>
      </c>
      <c r="D2580" s="1" t="str">
        <f>HYPERLINK("http://genome-euro.ucsc.edu/cgi-bin/hgTracks?position=202873_at","UCSC")</f>
        <v>UCSC</v>
      </c>
      <c r="E2580" s="1" t="str">
        <f>HYPERLINK("http://www.ncbi.nlm.nih.gov/gene/?term=ATP6V1C1","NCBI")</f>
        <v>NCBI</v>
      </c>
      <c r="F2580">
        <v>1.2E-2</v>
      </c>
      <c r="G2580">
        <v>0.08</v>
      </c>
      <c r="H2580" s="1" t="str">
        <f>HYPERLINK("http://www.weizmann.ac.il/complex/compphys/software/geview/data/figures/202873_at.png","Figure")</f>
        <v>Figure</v>
      </c>
      <c r="I2580">
        <v>1.17</v>
      </c>
      <c r="J2580">
        <v>2.5999999999999999E-2</v>
      </c>
      <c r="K2580">
        <v>0.995</v>
      </c>
      <c r="L2580">
        <v>0.99</v>
      </c>
      <c r="M2580">
        <v>0.85199999999999998</v>
      </c>
      <c r="N2580">
        <v>1.4E-2</v>
      </c>
    </row>
    <row r="2581" spans="1:14" x14ac:dyDescent="0.25">
      <c r="A2581" t="s">
        <v>4770</v>
      </c>
      <c r="B2581" t="s">
        <v>4771</v>
      </c>
      <c r="C2581" s="1" t="str">
        <f>HYPERLINK("http://www.genecards.org/cgi-bin/carddisp.pl?gene=PSME4","GeneCards")</f>
        <v>GeneCards</v>
      </c>
      <c r="D2581" s="1" t="str">
        <f>HYPERLINK("http://genome-euro.ucsc.edu/cgi-bin/hgTracks?position=212219_at","UCSC")</f>
        <v>UCSC</v>
      </c>
      <c r="E2581" s="1" t="str">
        <f>HYPERLINK("http://www.ncbi.nlm.nih.gov/gene/?term=PSME4","NCBI")</f>
        <v>NCBI</v>
      </c>
      <c r="F2581">
        <v>1.2E-2</v>
      </c>
      <c r="G2581">
        <v>0.08</v>
      </c>
      <c r="H2581" s="1" t="str">
        <f>HYPERLINK("http://www.weizmann.ac.il/complex/compphys/software/geview/data/figures/212219_at.png","Figure")</f>
        <v>Figure</v>
      </c>
      <c r="I2581">
        <v>1.17</v>
      </c>
      <c r="J2581">
        <v>0.81</v>
      </c>
      <c r="K2581">
        <v>0.55000000000000004</v>
      </c>
      <c r="L2581">
        <v>4.5999999999999999E-2</v>
      </c>
      <c r="M2581">
        <v>0.46899999999999997</v>
      </c>
      <c r="N2581">
        <v>1.7999999999999999E-2</v>
      </c>
    </row>
    <row r="2582" spans="1:14" x14ac:dyDescent="0.25">
      <c r="A2582" t="s">
        <v>4772</v>
      </c>
      <c r="B2582" t="s">
        <v>4773</v>
      </c>
      <c r="C2582" s="1" t="str">
        <f>HYPERLINK("http://www.genecards.org/cgi-bin/carddisp.pl?gene=DMPK","GeneCards")</f>
        <v>GeneCards</v>
      </c>
      <c r="D2582" s="1" t="str">
        <f>HYPERLINK("http://genome-euro.ucsc.edu/cgi-bin/hgTracks?position=217066_s_at","UCSC")</f>
        <v>UCSC</v>
      </c>
      <c r="E2582" s="1" t="str">
        <f>HYPERLINK("http://www.ncbi.nlm.nih.gov/gene/?term=DMPK","NCBI")</f>
        <v>NCBI</v>
      </c>
      <c r="F2582">
        <v>1.2E-2</v>
      </c>
      <c r="G2582">
        <v>0.08</v>
      </c>
      <c r="H2582" s="1" t="str">
        <f>HYPERLINK("http://www.weizmann.ac.il/complex/compphys/software/geview/data/figures/217066_s_at.png","Figure")</f>
        <v>Figure</v>
      </c>
      <c r="I2582">
        <v>1.35</v>
      </c>
      <c r="J2582">
        <v>0.01</v>
      </c>
      <c r="K2582">
        <v>1.1000000000000001</v>
      </c>
      <c r="L2582">
        <v>0.46</v>
      </c>
      <c r="M2582">
        <v>0.81299999999999994</v>
      </c>
      <c r="N2582">
        <v>5.3999999999999999E-2</v>
      </c>
    </row>
    <row r="2583" spans="1:14" x14ac:dyDescent="0.25">
      <c r="A2583" t="s">
        <v>4774</v>
      </c>
      <c r="B2583" t="s">
        <v>1109</v>
      </c>
      <c r="C2583" s="1" t="str">
        <f>HYPERLINK("http://www.genecards.org/cgi-bin/carddisp.pl?gene=RNPS1","GeneCards")</f>
        <v>GeneCards</v>
      </c>
      <c r="D2583" s="1" t="str">
        <f>HYPERLINK("http://genome-euro.ucsc.edu/cgi-bin/hgTracks?position=200060_s_at","UCSC")</f>
        <v>UCSC</v>
      </c>
      <c r="E2583" s="1" t="str">
        <f>HYPERLINK("http://www.ncbi.nlm.nih.gov/gene/?term=RNPS1","NCBI")</f>
        <v>NCBI</v>
      </c>
      <c r="F2583">
        <v>1.2E-2</v>
      </c>
      <c r="G2583">
        <v>0.08</v>
      </c>
      <c r="H2583" s="1" t="str">
        <f>HYPERLINK("http://www.weizmann.ac.il/complex/compphys/software/geview/data/figures/200060_s_at.png","Figure")</f>
        <v>Figure</v>
      </c>
      <c r="I2583">
        <v>1.1599999999999999</v>
      </c>
      <c r="J2583">
        <v>0.38</v>
      </c>
      <c r="K2583">
        <v>0.82499999999999996</v>
      </c>
      <c r="L2583">
        <v>0.13</v>
      </c>
      <c r="M2583">
        <v>0.71399999999999997</v>
      </c>
      <c r="N2583">
        <v>1.0999999999999999E-2</v>
      </c>
    </row>
    <row r="2584" spans="1:14" x14ac:dyDescent="0.25">
      <c r="A2584" t="s">
        <v>4775</v>
      </c>
      <c r="B2584" t="s">
        <v>4776</v>
      </c>
      <c r="C2584" s="1" t="str">
        <f>HYPERLINK("http://www.genecards.org/cgi-bin/carddisp.pl?gene=PPAN","GeneCards")</f>
        <v>GeneCards</v>
      </c>
      <c r="D2584" s="1" t="str">
        <f>HYPERLINK("http://genome-euro.ucsc.edu/cgi-bin/hgTracks?position=221649_s_at","UCSC")</f>
        <v>UCSC</v>
      </c>
      <c r="E2584" s="1" t="str">
        <f>HYPERLINK("http://www.ncbi.nlm.nih.gov/gene/?term=PPAN","NCBI")</f>
        <v>NCBI</v>
      </c>
      <c r="F2584">
        <v>1.2E-2</v>
      </c>
      <c r="G2584">
        <v>0.08</v>
      </c>
      <c r="H2584" s="1" t="str">
        <f>HYPERLINK("http://www.weizmann.ac.il/complex/compphys/software/geview/data/figures/221649_s_at.png","Figure")</f>
        <v>Figure</v>
      </c>
      <c r="I2584">
        <v>1.36</v>
      </c>
      <c r="J2584">
        <v>1.4999999999999999E-2</v>
      </c>
      <c r="K2584">
        <v>1.26</v>
      </c>
      <c r="L2584">
        <v>3.4000000000000002E-2</v>
      </c>
      <c r="M2584">
        <v>0.92900000000000005</v>
      </c>
      <c r="N2584">
        <v>0.68</v>
      </c>
    </row>
    <row r="2585" spans="1:14" x14ac:dyDescent="0.25">
      <c r="A2585" t="s">
        <v>4777</v>
      </c>
      <c r="B2585" t="s">
        <v>4778</v>
      </c>
      <c r="C2585" s="1" t="str">
        <f>HYPERLINK("http://www.genecards.org/cgi-bin/carddisp.pl?gene=ACP5","GeneCards")</f>
        <v>GeneCards</v>
      </c>
      <c r="D2585" s="1" t="str">
        <f>HYPERLINK("http://genome-euro.ucsc.edu/cgi-bin/hgTracks?position=204638_at","UCSC")</f>
        <v>UCSC</v>
      </c>
      <c r="E2585" s="1" t="str">
        <f>HYPERLINK("http://www.ncbi.nlm.nih.gov/gene/?term=ACP5","NCBI")</f>
        <v>NCBI</v>
      </c>
      <c r="F2585">
        <v>1.2E-2</v>
      </c>
      <c r="G2585">
        <v>0.08</v>
      </c>
      <c r="H2585" s="1" t="str">
        <f>HYPERLINK("http://www.weizmann.ac.il/complex/compphys/software/geview/data/figures/204638_at.png","Figure")</f>
        <v>Figure</v>
      </c>
      <c r="I2585">
        <v>1.23</v>
      </c>
      <c r="J2585">
        <v>2.1999999999999999E-2</v>
      </c>
      <c r="K2585">
        <v>1</v>
      </c>
      <c r="L2585">
        <v>1</v>
      </c>
      <c r="M2585">
        <v>0.81899999999999995</v>
      </c>
      <c r="N2585">
        <v>1.6E-2</v>
      </c>
    </row>
    <row r="2586" spans="1:14" x14ac:dyDescent="0.25">
      <c r="A2586" t="s">
        <v>4779</v>
      </c>
      <c r="B2586" t="s">
        <v>4780</v>
      </c>
      <c r="C2586" s="1" t="str">
        <f>HYPERLINK("http://www.genecards.org/cgi-bin/carddisp.pl?gene=C14orf109","GeneCards")</f>
        <v>GeneCards</v>
      </c>
      <c r="D2586" s="1" t="str">
        <f>HYPERLINK("http://genome-euro.ucsc.edu/cgi-bin/hgTracks?position=213246_at","UCSC")</f>
        <v>UCSC</v>
      </c>
      <c r="E2586" s="1" t="str">
        <f>HYPERLINK("http://www.ncbi.nlm.nih.gov/gene/?term=C14orf109","NCBI")</f>
        <v>NCBI</v>
      </c>
      <c r="F2586">
        <v>1.2E-2</v>
      </c>
      <c r="G2586">
        <v>0.08</v>
      </c>
      <c r="H2586" s="1" t="str">
        <f>HYPERLINK("http://www.weizmann.ac.il/complex/compphys/software/geview/data/figures/213246_at.png","Figure")</f>
        <v>Figure</v>
      </c>
      <c r="I2586">
        <v>0.60799999999999998</v>
      </c>
      <c r="J2586">
        <v>2.3E-2</v>
      </c>
      <c r="K2586">
        <v>1</v>
      </c>
      <c r="L2586">
        <v>1</v>
      </c>
      <c r="M2586">
        <v>1.64</v>
      </c>
      <c r="N2586">
        <v>1.6E-2</v>
      </c>
    </row>
    <row r="2587" spans="1:14" x14ac:dyDescent="0.25">
      <c r="A2587" t="s">
        <v>4781</v>
      </c>
      <c r="B2587" t="s">
        <v>4782</v>
      </c>
      <c r="C2587" s="1" t="str">
        <f>HYPERLINK("http://www.genecards.org/cgi-bin/carddisp.pl?gene=OGFOD2","GeneCards")</f>
        <v>GeneCards</v>
      </c>
      <c r="D2587" s="1" t="str">
        <f>HYPERLINK("http://genome-euro.ucsc.edu/cgi-bin/hgTracks?position=44617_at","UCSC")</f>
        <v>UCSC</v>
      </c>
      <c r="E2587" s="1" t="str">
        <f>HYPERLINK("http://www.ncbi.nlm.nih.gov/gene/?term=OGFOD2","NCBI")</f>
        <v>NCBI</v>
      </c>
      <c r="F2587">
        <v>1.2E-2</v>
      </c>
      <c r="G2587">
        <v>0.08</v>
      </c>
      <c r="H2587" s="1" t="str">
        <f>HYPERLINK("http://www.weizmann.ac.il/complex/compphys/software/geview/data/figures/44617_at.png","Figure")</f>
        <v>Figure</v>
      </c>
      <c r="I2587">
        <v>1.34</v>
      </c>
      <c r="J2587">
        <v>9.4000000000000004E-3</v>
      </c>
      <c r="K2587">
        <v>1.1599999999999999</v>
      </c>
      <c r="L2587">
        <v>0.14000000000000001</v>
      </c>
      <c r="M2587">
        <v>0.86499999999999999</v>
      </c>
      <c r="N2587">
        <v>0.18</v>
      </c>
    </row>
    <row r="2588" spans="1:14" x14ac:dyDescent="0.25">
      <c r="A2588" t="s">
        <v>4783</v>
      </c>
      <c r="B2588" t="s">
        <v>4784</v>
      </c>
      <c r="C2588" s="1" t="str">
        <f>HYPERLINK("http://www.genecards.org/cgi-bin/carddisp.pl?gene=EPB49","GeneCards")</f>
        <v>GeneCards</v>
      </c>
      <c r="D2588" s="1" t="str">
        <f>HYPERLINK("http://genome-euro.ucsc.edu/cgi-bin/hgTracks?position=204505_s_at","UCSC")</f>
        <v>UCSC</v>
      </c>
      <c r="E2588" s="1" t="str">
        <f>HYPERLINK("http://www.ncbi.nlm.nih.gov/gene/?term=EPB49","NCBI")</f>
        <v>NCBI</v>
      </c>
      <c r="F2588">
        <v>1.2E-2</v>
      </c>
      <c r="G2588">
        <v>0.08</v>
      </c>
      <c r="H2588" s="1" t="str">
        <f>HYPERLINK("http://www.weizmann.ac.il/complex/compphys/software/geview/data/figures/204505_s_at.png","Figure")</f>
        <v>Figure</v>
      </c>
      <c r="I2588">
        <v>1.48</v>
      </c>
      <c r="J2588">
        <v>1.2E-2</v>
      </c>
      <c r="K2588">
        <v>1.1000000000000001</v>
      </c>
      <c r="L2588">
        <v>0.64</v>
      </c>
      <c r="M2588">
        <v>0.74199999999999999</v>
      </c>
      <c r="N2588">
        <v>3.6999999999999998E-2</v>
      </c>
    </row>
    <row r="2589" spans="1:14" x14ac:dyDescent="0.25">
      <c r="A2589" t="s">
        <v>4785</v>
      </c>
      <c r="B2589" t="s">
        <v>4786</v>
      </c>
      <c r="C2589" s="1" t="str">
        <f>HYPERLINK("http://www.genecards.org/cgi-bin/carddisp.pl?gene=OPRD1","GeneCards")</f>
        <v>GeneCards</v>
      </c>
      <c r="D2589" s="1" t="str">
        <f>HYPERLINK("http://genome-euro.ucsc.edu/cgi-bin/hgTracks?position=207792_at","UCSC")</f>
        <v>UCSC</v>
      </c>
      <c r="E2589" s="1" t="str">
        <f>HYPERLINK("http://www.ncbi.nlm.nih.gov/gene/?term=OPRD1","NCBI")</f>
        <v>NCBI</v>
      </c>
      <c r="F2589">
        <v>1.2E-2</v>
      </c>
      <c r="G2589">
        <v>0.08</v>
      </c>
      <c r="H2589" s="1" t="str">
        <f>HYPERLINK("http://www.weizmann.ac.il/complex/compphys/software/geview/data/figures/207792_at.png","Figure")</f>
        <v>Figure</v>
      </c>
      <c r="I2589">
        <v>1.26</v>
      </c>
      <c r="J2589">
        <v>1.2E-2</v>
      </c>
      <c r="K2589">
        <v>1.05</v>
      </c>
      <c r="L2589">
        <v>0.65</v>
      </c>
      <c r="M2589">
        <v>0.83899999999999997</v>
      </c>
      <c r="N2589">
        <v>3.5999999999999997E-2</v>
      </c>
    </row>
    <row r="2590" spans="1:14" x14ac:dyDescent="0.25">
      <c r="A2590" t="s">
        <v>4787</v>
      </c>
      <c r="B2590" t="s">
        <v>4788</v>
      </c>
      <c r="C2590" s="1" t="str">
        <f>HYPERLINK("http://www.genecards.org/cgi-bin/carddisp.pl?gene=RNF160","GeneCards")</f>
        <v>GeneCards</v>
      </c>
      <c r="D2590" s="1" t="str">
        <f>HYPERLINK("http://genome-euro.ucsc.edu/cgi-bin/hgTracks?position=215596_s_at","UCSC")</f>
        <v>UCSC</v>
      </c>
      <c r="E2590" s="1" t="str">
        <f>HYPERLINK("http://www.ncbi.nlm.nih.gov/gene/?term=RNF160","NCBI")</f>
        <v>NCBI</v>
      </c>
      <c r="F2590">
        <v>1.2E-2</v>
      </c>
      <c r="G2590">
        <v>0.08</v>
      </c>
      <c r="H2590" s="1" t="str">
        <f>HYPERLINK("http://www.weizmann.ac.il/complex/compphys/software/geview/data/figures/215596_s_at.png","Figure")</f>
        <v>Figure</v>
      </c>
      <c r="I2590">
        <v>0.55700000000000005</v>
      </c>
      <c r="J2590">
        <v>1.0999999999999999E-2</v>
      </c>
      <c r="K2590">
        <v>0.84399999999999997</v>
      </c>
      <c r="L2590">
        <v>0.5</v>
      </c>
      <c r="M2590">
        <v>1.52</v>
      </c>
      <c r="N2590">
        <v>0.05</v>
      </c>
    </row>
    <row r="2591" spans="1:14" x14ac:dyDescent="0.25">
      <c r="A2591" t="s">
        <v>4789</v>
      </c>
      <c r="B2591" t="s">
        <v>4790</v>
      </c>
      <c r="C2591" s="1" t="str">
        <f>HYPERLINK("http://www.genecards.org/cgi-bin/carddisp.pl?gene=RASA1","GeneCards")</f>
        <v>GeneCards</v>
      </c>
      <c r="D2591" s="1" t="str">
        <f>HYPERLINK("http://genome-euro.ucsc.edu/cgi-bin/hgTracks?position=210621_s_at","UCSC")</f>
        <v>UCSC</v>
      </c>
      <c r="E2591" s="1" t="str">
        <f>HYPERLINK("http://www.ncbi.nlm.nih.gov/gene/?term=RASA1","NCBI")</f>
        <v>NCBI</v>
      </c>
      <c r="F2591">
        <v>1.2E-2</v>
      </c>
      <c r="G2591">
        <v>0.08</v>
      </c>
      <c r="H2591" s="1" t="str">
        <f>HYPERLINK("http://www.weizmann.ac.il/complex/compphys/software/geview/data/figures/210621_s_at.png","Figure")</f>
        <v>Figure</v>
      </c>
      <c r="I2591">
        <v>0.622</v>
      </c>
      <c r="J2591">
        <v>6.2E-2</v>
      </c>
      <c r="K2591">
        <v>1.1499999999999999</v>
      </c>
      <c r="L2591">
        <v>0.67</v>
      </c>
      <c r="M2591">
        <v>1.86</v>
      </c>
      <c r="N2591">
        <v>0.01</v>
      </c>
    </row>
    <row r="2592" spans="1:14" x14ac:dyDescent="0.25">
      <c r="A2592" t="s">
        <v>4791</v>
      </c>
      <c r="B2592" t="s">
        <v>4792</v>
      </c>
      <c r="C2592" s="1" t="str">
        <f>HYPERLINK("http://www.genecards.org/cgi-bin/carddisp.pl?gene=KIAA0430","GeneCards")</f>
        <v>GeneCards</v>
      </c>
      <c r="D2592" s="1" t="str">
        <f>HYPERLINK("http://genome-euro.ucsc.edu/cgi-bin/hgTracks?position=202386_s_at","UCSC")</f>
        <v>UCSC</v>
      </c>
      <c r="E2592" s="1" t="str">
        <f>HYPERLINK("http://www.ncbi.nlm.nih.gov/gene/?term=KIAA0430","NCBI")</f>
        <v>NCBI</v>
      </c>
      <c r="F2592">
        <v>1.2E-2</v>
      </c>
      <c r="G2592">
        <v>0.08</v>
      </c>
      <c r="H2592" s="1" t="str">
        <f>HYPERLINK("http://www.weizmann.ac.il/complex/compphys/software/geview/data/figures/202386_s_at.png","Figure")</f>
        <v>Figure</v>
      </c>
      <c r="I2592">
        <v>0.72899999999999998</v>
      </c>
      <c r="J2592">
        <v>0.19</v>
      </c>
      <c r="K2592">
        <v>0.59</v>
      </c>
      <c r="L2592">
        <v>9.2999999999999992E-3</v>
      </c>
      <c r="M2592">
        <v>0.80900000000000005</v>
      </c>
      <c r="N2592">
        <v>0.4</v>
      </c>
    </row>
    <row r="2593" spans="1:14" x14ac:dyDescent="0.25">
      <c r="A2593" t="s">
        <v>4793</v>
      </c>
      <c r="B2593" t="s">
        <v>4794</v>
      </c>
      <c r="C2593" s="1" t="str">
        <f>HYPERLINK("http://www.genecards.org/cgi-bin/carddisp.pl?gene=SLC16A3","GeneCards")</f>
        <v>GeneCards</v>
      </c>
      <c r="D2593" s="1" t="str">
        <f>HYPERLINK("http://genome-euro.ucsc.edu/cgi-bin/hgTracks?position=217691_x_at","UCSC")</f>
        <v>UCSC</v>
      </c>
      <c r="E2593" s="1" t="str">
        <f>HYPERLINK("http://www.ncbi.nlm.nih.gov/gene/?term=SLC16A3","NCBI")</f>
        <v>NCBI</v>
      </c>
      <c r="F2593">
        <v>1.2E-2</v>
      </c>
      <c r="G2593">
        <v>0.08</v>
      </c>
      <c r="H2593" s="1" t="str">
        <f>HYPERLINK("http://www.weizmann.ac.il/complex/compphys/software/geview/data/figures/217691_x_at.png","Figure")</f>
        <v>Figure</v>
      </c>
      <c r="I2593">
        <v>1.49</v>
      </c>
      <c r="J2593">
        <v>9.4999999999999998E-3</v>
      </c>
      <c r="K2593">
        <v>1.22</v>
      </c>
      <c r="L2593">
        <v>0.14000000000000001</v>
      </c>
      <c r="M2593">
        <v>0.82199999999999995</v>
      </c>
      <c r="N2593">
        <v>0.19</v>
      </c>
    </row>
    <row r="2594" spans="1:14" x14ac:dyDescent="0.25">
      <c r="A2594" t="s">
        <v>4795</v>
      </c>
      <c r="B2594" t="s">
        <v>1783</v>
      </c>
      <c r="C2594" s="1" t="str">
        <f>HYPERLINK("http://www.genecards.org/cgi-bin/carddisp.pl?gene=CD99","GeneCards")</f>
        <v>GeneCards</v>
      </c>
      <c r="D2594" s="1" t="str">
        <f>HYPERLINK("http://genome-euro.ucsc.edu/cgi-bin/hgTracks?position=201028_s_at","UCSC")</f>
        <v>UCSC</v>
      </c>
      <c r="E2594" s="1" t="str">
        <f>HYPERLINK("http://www.ncbi.nlm.nih.gov/gene/?term=CD99","NCBI")</f>
        <v>NCBI</v>
      </c>
      <c r="F2594">
        <v>1.2E-2</v>
      </c>
      <c r="G2594">
        <v>0.08</v>
      </c>
      <c r="H2594" s="1" t="str">
        <f>HYPERLINK("http://www.weizmann.ac.il/complex/compphys/software/geview/data/figures/201028_s_at.png","Figure")</f>
        <v>Figure</v>
      </c>
      <c r="I2594">
        <v>0.34699999999999998</v>
      </c>
      <c r="J2594">
        <v>3.6999999999999998E-2</v>
      </c>
      <c r="K2594">
        <v>0.33900000000000002</v>
      </c>
      <c r="L2594">
        <v>1.4999999999999999E-2</v>
      </c>
      <c r="M2594">
        <v>0.97499999999999998</v>
      </c>
      <c r="N2594">
        <v>1</v>
      </c>
    </row>
    <row r="2595" spans="1:14" x14ac:dyDescent="0.25">
      <c r="A2595" t="s">
        <v>4796</v>
      </c>
      <c r="B2595" t="s">
        <v>4797</v>
      </c>
      <c r="C2595" s="1" t="str">
        <f>HYPERLINK("http://www.genecards.org/cgi-bin/carddisp.pl?gene=STOM","GeneCards")</f>
        <v>GeneCards</v>
      </c>
      <c r="D2595" s="1" t="str">
        <f>HYPERLINK("http://genome-euro.ucsc.edu/cgi-bin/hgTracks?position=201061_s_at","UCSC")</f>
        <v>UCSC</v>
      </c>
      <c r="E2595" s="1" t="str">
        <f>HYPERLINK("http://www.ncbi.nlm.nih.gov/gene/?term=STOM","NCBI")</f>
        <v>NCBI</v>
      </c>
      <c r="F2595">
        <v>1.2E-2</v>
      </c>
      <c r="G2595">
        <v>0.08</v>
      </c>
      <c r="H2595" s="1" t="str">
        <f>HYPERLINK("http://www.weizmann.ac.il/complex/compphys/software/geview/data/figures/201061_s_at.png","Figure")</f>
        <v>Figure</v>
      </c>
      <c r="I2595">
        <v>1.1100000000000001</v>
      </c>
      <c r="J2595">
        <v>0.87</v>
      </c>
      <c r="K2595">
        <v>0.6</v>
      </c>
      <c r="L2595">
        <v>0.04</v>
      </c>
      <c r="M2595">
        <v>0.53900000000000003</v>
      </c>
      <c r="N2595">
        <v>0.02</v>
      </c>
    </row>
    <row r="2596" spans="1:14" x14ac:dyDescent="0.25">
      <c r="A2596" t="s">
        <v>4798</v>
      </c>
      <c r="B2596" t="s">
        <v>3302</v>
      </c>
      <c r="C2596" s="1" t="str">
        <f>HYPERLINK("http://www.genecards.org/cgi-bin/carddisp.pl?gene=PEX16","GeneCards")</f>
        <v>GeneCards</v>
      </c>
      <c r="D2596" s="1" t="str">
        <f>HYPERLINK("http://genome-euro.ucsc.edu/cgi-bin/hgTracks?position=49878_at","UCSC")</f>
        <v>UCSC</v>
      </c>
      <c r="E2596" s="1" t="str">
        <f>HYPERLINK("http://www.ncbi.nlm.nih.gov/gene/?term=PEX16","NCBI")</f>
        <v>NCBI</v>
      </c>
      <c r="F2596">
        <v>1.2E-2</v>
      </c>
      <c r="G2596">
        <v>0.08</v>
      </c>
      <c r="H2596" s="1" t="str">
        <f>HYPERLINK("http://www.weizmann.ac.il/complex/compphys/software/geview/data/figures/49878_at.png","Figure")</f>
        <v>Figure</v>
      </c>
      <c r="I2596">
        <v>1.41</v>
      </c>
      <c r="J2596">
        <v>1.2999999999999999E-2</v>
      </c>
      <c r="K2596">
        <v>1.07</v>
      </c>
      <c r="L2596">
        <v>0.72</v>
      </c>
      <c r="M2596">
        <v>0.76300000000000001</v>
      </c>
      <c r="N2596">
        <v>3.2000000000000001E-2</v>
      </c>
    </row>
    <row r="2597" spans="1:14" x14ac:dyDescent="0.25">
      <c r="A2597" t="s">
        <v>4799</v>
      </c>
      <c r="B2597" t="s">
        <v>4194</v>
      </c>
      <c r="C2597" s="1" t="str">
        <f>HYPERLINK("http://www.genecards.org/cgi-bin/carddisp.pl?gene=G3BP1","GeneCards")</f>
        <v>GeneCards</v>
      </c>
      <c r="D2597" s="1" t="str">
        <f>HYPERLINK("http://genome-euro.ucsc.edu/cgi-bin/hgTracks?position=201503_at","UCSC")</f>
        <v>UCSC</v>
      </c>
      <c r="E2597" s="1" t="str">
        <f>HYPERLINK("http://www.ncbi.nlm.nih.gov/gene/?term=G3BP1","NCBI")</f>
        <v>NCBI</v>
      </c>
      <c r="F2597">
        <v>1.2E-2</v>
      </c>
      <c r="G2597">
        <v>0.08</v>
      </c>
      <c r="H2597" s="1" t="str">
        <f>HYPERLINK("http://www.weizmann.ac.il/complex/compphys/software/geview/data/figures/201503_at.png","Figure")</f>
        <v>Figure</v>
      </c>
      <c r="I2597">
        <v>0.60799999999999998</v>
      </c>
      <c r="J2597">
        <v>0.18</v>
      </c>
      <c r="K2597">
        <v>1.45</v>
      </c>
      <c r="L2597">
        <v>0.27</v>
      </c>
      <c r="M2597">
        <v>2.38</v>
      </c>
      <c r="N2597">
        <v>9.4999999999999998E-3</v>
      </c>
    </row>
    <row r="2598" spans="1:14" x14ac:dyDescent="0.25">
      <c r="A2598" t="s">
        <v>4800</v>
      </c>
      <c r="B2598" t="s">
        <v>4801</v>
      </c>
      <c r="C2598" s="1" t="str">
        <f>HYPERLINK("http://www.genecards.org/cgi-bin/carddisp.pl?gene=ACTC1","GeneCards")</f>
        <v>GeneCards</v>
      </c>
      <c r="D2598" s="1" t="str">
        <f>HYPERLINK("http://genome-euro.ucsc.edu/cgi-bin/hgTracks?position=205132_at","UCSC")</f>
        <v>UCSC</v>
      </c>
      <c r="E2598" s="1" t="str">
        <f>HYPERLINK("http://www.ncbi.nlm.nih.gov/gene/?term=ACTC1","NCBI")</f>
        <v>NCBI</v>
      </c>
      <c r="F2598">
        <v>1.2E-2</v>
      </c>
      <c r="G2598">
        <v>0.08</v>
      </c>
      <c r="H2598" s="1" t="str">
        <f>HYPERLINK("http://www.weizmann.ac.il/complex/compphys/software/geview/data/figures/205132_at.png","Figure")</f>
        <v>Figure</v>
      </c>
      <c r="I2598">
        <v>1.43</v>
      </c>
      <c r="J2598">
        <v>9.2999999999999992E-3</v>
      </c>
      <c r="K2598">
        <v>1.17</v>
      </c>
      <c r="L2598">
        <v>0.21</v>
      </c>
      <c r="M2598">
        <v>0.82</v>
      </c>
      <c r="N2598">
        <v>0.12</v>
      </c>
    </row>
    <row r="2599" spans="1:14" x14ac:dyDescent="0.25">
      <c r="A2599" t="s">
        <v>4802</v>
      </c>
      <c r="B2599" t="s">
        <v>4803</v>
      </c>
      <c r="C2599" s="1" t="str">
        <f>HYPERLINK("http://www.genecards.org/cgi-bin/carddisp.pl?gene=HSF2","GeneCards")</f>
        <v>GeneCards</v>
      </c>
      <c r="D2599" s="1" t="str">
        <f>HYPERLINK("http://genome-euro.ucsc.edu/cgi-bin/hgTracks?position=209657_s_at","UCSC")</f>
        <v>UCSC</v>
      </c>
      <c r="E2599" s="1" t="str">
        <f>HYPERLINK("http://www.ncbi.nlm.nih.gov/gene/?term=HSF2","NCBI")</f>
        <v>NCBI</v>
      </c>
      <c r="F2599">
        <v>1.2E-2</v>
      </c>
      <c r="G2599">
        <v>0.08</v>
      </c>
      <c r="H2599" s="1" t="str">
        <f>HYPERLINK("http://www.weizmann.ac.il/complex/compphys/software/geview/data/figures/209657_s_at.png","Figure")</f>
        <v>Figure</v>
      </c>
      <c r="I2599">
        <v>0.501</v>
      </c>
      <c r="J2599">
        <v>3.9E-2</v>
      </c>
      <c r="K2599">
        <v>0.48799999999999999</v>
      </c>
      <c r="L2599">
        <v>1.4E-2</v>
      </c>
      <c r="M2599">
        <v>0.97299999999999998</v>
      </c>
      <c r="N2599">
        <v>0.99</v>
      </c>
    </row>
    <row r="2600" spans="1:14" x14ac:dyDescent="0.25">
      <c r="A2600" t="s">
        <v>4804</v>
      </c>
      <c r="B2600" t="s">
        <v>4805</v>
      </c>
      <c r="C2600" s="1" t="str">
        <f>HYPERLINK("http://www.genecards.org/cgi-bin/carddisp.pl?gene=MFSD1","GeneCards")</f>
        <v>GeneCards</v>
      </c>
      <c r="D2600" s="1" t="str">
        <f>HYPERLINK("http://genome-euro.ucsc.edu/cgi-bin/hgTracks?position=218109_s_at","UCSC")</f>
        <v>UCSC</v>
      </c>
      <c r="E2600" s="1" t="str">
        <f>HYPERLINK("http://www.ncbi.nlm.nih.gov/gene/?term=MFSD1","NCBI")</f>
        <v>NCBI</v>
      </c>
      <c r="F2600">
        <v>1.2E-2</v>
      </c>
      <c r="G2600">
        <v>0.08</v>
      </c>
      <c r="H2600" s="1" t="str">
        <f>HYPERLINK("http://www.weizmann.ac.il/complex/compphys/software/geview/data/figures/218109_s_at.png","Figure")</f>
        <v>Figure</v>
      </c>
      <c r="I2600">
        <v>0.45900000000000002</v>
      </c>
      <c r="J2600">
        <v>1.6E-2</v>
      </c>
      <c r="K2600">
        <v>0.91100000000000003</v>
      </c>
      <c r="L2600">
        <v>0.9</v>
      </c>
      <c r="M2600">
        <v>1.99</v>
      </c>
      <c r="N2600">
        <v>2.3E-2</v>
      </c>
    </row>
    <row r="2601" spans="1:14" x14ac:dyDescent="0.25">
      <c r="A2601" t="s">
        <v>4806</v>
      </c>
      <c r="B2601" t="s">
        <v>4807</v>
      </c>
      <c r="C2601" s="1" t="str">
        <f>HYPERLINK("http://www.genecards.org/cgi-bin/carddisp.pl?gene=RBM26","GeneCards")</f>
        <v>GeneCards</v>
      </c>
      <c r="D2601" s="1" t="str">
        <f>HYPERLINK("http://genome-euro.ucsc.edu/cgi-bin/hgTracks?position=218422_s_at","UCSC")</f>
        <v>UCSC</v>
      </c>
      <c r="E2601" s="1" t="str">
        <f>HYPERLINK("http://www.ncbi.nlm.nih.gov/gene/?term=RBM26","NCBI")</f>
        <v>NCBI</v>
      </c>
      <c r="F2601">
        <v>1.2E-2</v>
      </c>
      <c r="G2601">
        <v>0.08</v>
      </c>
      <c r="H2601" s="1" t="str">
        <f>HYPERLINK("http://www.weizmann.ac.il/complex/compphys/software/geview/data/figures/218422_s_at.png","Figure")</f>
        <v>Figure</v>
      </c>
      <c r="I2601">
        <v>0.72</v>
      </c>
      <c r="J2601">
        <v>0.34</v>
      </c>
      <c r="K2601">
        <v>0.501</v>
      </c>
      <c r="L2601">
        <v>9.7000000000000003E-3</v>
      </c>
      <c r="M2601">
        <v>0.69499999999999995</v>
      </c>
      <c r="N2601">
        <v>0.23</v>
      </c>
    </row>
    <row r="2602" spans="1:14" x14ac:dyDescent="0.25">
      <c r="A2602" t="s">
        <v>4808</v>
      </c>
      <c r="B2602" t="s">
        <v>4809</v>
      </c>
      <c r="C2602" s="1" t="str">
        <f>HYPERLINK("http://www.genecards.org/cgi-bin/carddisp.pl?gene=MCCC1","GeneCards")</f>
        <v>GeneCards</v>
      </c>
      <c r="D2602" s="1" t="str">
        <f>HYPERLINK("http://genome-euro.ucsc.edu/cgi-bin/hgTracks?position=218440_at","UCSC")</f>
        <v>UCSC</v>
      </c>
      <c r="E2602" s="1" t="str">
        <f>HYPERLINK("http://www.ncbi.nlm.nih.gov/gene/?term=MCCC1","NCBI")</f>
        <v>NCBI</v>
      </c>
      <c r="F2602">
        <v>1.2E-2</v>
      </c>
      <c r="G2602">
        <v>0.08</v>
      </c>
      <c r="H2602" s="1" t="str">
        <f>HYPERLINK("http://www.weizmann.ac.il/complex/compphys/software/geview/data/figures/218440_at.png","Figure")</f>
        <v>Figure</v>
      </c>
      <c r="I2602">
        <v>1.02</v>
      </c>
      <c r="J2602">
        <v>0.99</v>
      </c>
      <c r="K2602">
        <v>1.42</v>
      </c>
      <c r="L2602">
        <v>0.02</v>
      </c>
      <c r="M2602">
        <v>1.39</v>
      </c>
      <c r="N2602">
        <v>4.1000000000000002E-2</v>
      </c>
    </row>
    <row r="2603" spans="1:14" x14ac:dyDescent="0.25">
      <c r="A2603" t="s">
        <v>4810</v>
      </c>
      <c r="B2603" t="s">
        <v>4811</v>
      </c>
      <c r="C2603" s="1" t="str">
        <f>HYPERLINK("http://www.genecards.org/cgi-bin/carddisp.pl?gene=BAHCC1","GeneCards")</f>
        <v>GeneCards</v>
      </c>
      <c r="D2603" s="1" t="str">
        <f>HYPERLINK("http://genome-euro.ucsc.edu/cgi-bin/hgTracks?position=219218_at","UCSC")</f>
        <v>UCSC</v>
      </c>
      <c r="E2603" s="1" t="str">
        <f>HYPERLINK("http://www.ncbi.nlm.nih.gov/gene/?term=BAHCC1","NCBI")</f>
        <v>NCBI</v>
      </c>
      <c r="F2603">
        <v>1.2E-2</v>
      </c>
      <c r="G2603">
        <v>0.08</v>
      </c>
      <c r="H2603" s="1" t="str">
        <f>HYPERLINK("http://www.weizmann.ac.il/complex/compphys/software/geview/data/figures/219218_at.png","Figure")</f>
        <v>Figure</v>
      </c>
      <c r="I2603">
        <v>1.32</v>
      </c>
      <c r="J2603">
        <v>0.39</v>
      </c>
      <c r="K2603">
        <v>1.86</v>
      </c>
      <c r="L2603">
        <v>0.01</v>
      </c>
      <c r="M2603">
        <v>1.42</v>
      </c>
      <c r="N2603">
        <v>0.2</v>
      </c>
    </row>
    <row r="2604" spans="1:14" x14ac:dyDescent="0.25">
      <c r="A2604" t="s">
        <v>4812</v>
      </c>
      <c r="B2604" t="s">
        <v>4813</v>
      </c>
      <c r="C2604" s="1" t="str">
        <f>HYPERLINK("http://www.genecards.org/cgi-bin/carddisp.pl?gene=CDK8","GeneCards")</f>
        <v>GeneCards</v>
      </c>
      <c r="D2604" s="1" t="str">
        <f>HYPERLINK("http://genome-euro.ucsc.edu/cgi-bin/hgTracks?position=204831_at","UCSC")</f>
        <v>UCSC</v>
      </c>
      <c r="E2604" s="1" t="str">
        <f>HYPERLINK("http://www.ncbi.nlm.nih.gov/gene/?term=CDK8","NCBI")</f>
        <v>NCBI</v>
      </c>
      <c r="F2604">
        <v>1.2E-2</v>
      </c>
      <c r="G2604">
        <v>0.08</v>
      </c>
      <c r="H2604" s="1" t="str">
        <f>HYPERLINK("http://www.weizmann.ac.il/complex/compphys/software/geview/data/figures/204831_at.png","Figure")</f>
        <v>Figure</v>
      </c>
      <c r="I2604">
        <v>0.58199999999999996</v>
      </c>
      <c r="J2604">
        <v>1.4999999999999999E-2</v>
      </c>
      <c r="K2604">
        <v>0.92300000000000004</v>
      </c>
      <c r="L2604">
        <v>0.84</v>
      </c>
      <c r="M2604">
        <v>1.59</v>
      </c>
      <c r="N2604">
        <v>2.5000000000000001E-2</v>
      </c>
    </row>
    <row r="2605" spans="1:14" x14ac:dyDescent="0.25">
      <c r="A2605" t="s">
        <v>4814</v>
      </c>
      <c r="B2605" t="s">
        <v>2954</v>
      </c>
      <c r="C2605" s="1" t="str">
        <f>HYPERLINK("http://www.genecards.org/cgi-bin/carddisp.pl?gene=RCC1 /// SNHG3-RCC1","GeneCards")</f>
        <v>GeneCards</v>
      </c>
      <c r="D2605" s="1" t="str">
        <f>HYPERLINK("http://genome-euro.ucsc.edu/cgi-bin/hgTracks?position=215747_s_at","UCSC")</f>
        <v>UCSC</v>
      </c>
      <c r="E2605" s="1" t="str">
        <f>HYPERLINK("http://www.ncbi.nlm.nih.gov/gene/?term=RCC1 /// SNHG3-RCC1","NCBI")</f>
        <v>NCBI</v>
      </c>
      <c r="F2605">
        <v>1.2E-2</v>
      </c>
      <c r="G2605">
        <v>8.1000000000000003E-2</v>
      </c>
      <c r="H2605" s="1" t="str">
        <f>HYPERLINK("http://www.weizmann.ac.il/complex/compphys/software/geview/data/figures/215747_s_at.png","Figure")</f>
        <v>Figure</v>
      </c>
      <c r="I2605">
        <v>1.32</v>
      </c>
      <c r="J2605">
        <v>1.0999999999999999E-2</v>
      </c>
      <c r="K2605">
        <v>1.19</v>
      </c>
      <c r="L2605">
        <v>6.5000000000000002E-2</v>
      </c>
      <c r="M2605">
        <v>0.90400000000000003</v>
      </c>
      <c r="N2605">
        <v>0.4</v>
      </c>
    </row>
    <row r="2606" spans="1:14" x14ac:dyDescent="0.25">
      <c r="A2606" t="s">
        <v>4815</v>
      </c>
      <c r="B2606" t="s">
        <v>3185</v>
      </c>
      <c r="C2606" s="1" t="str">
        <f>HYPERLINK("http://www.genecards.org/cgi-bin/carddisp.pl?gene=ZDHHC3","GeneCards")</f>
        <v>GeneCards</v>
      </c>
      <c r="D2606" s="1" t="str">
        <f>HYPERLINK("http://genome-euro.ucsc.edu/cgi-bin/hgTracks?position=218077_s_at","UCSC")</f>
        <v>UCSC</v>
      </c>
      <c r="E2606" s="1" t="str">
        <f>HYPERLINK("http://www.ncbi.nlm.nih.gov/gene/?term=ZDHHC3","NCBI")</f>
        <v>NCBI</v>
      </c>
      <c r="F2606">
        <v>1.2E-2</v>
      </c>
      <c r="G2606">
        <v>8.1000000000000003E-2</v>
      </c>
      <c r="H2606" s="1" t="str">
        <f>HYPERLINK("http://www.weizmann.ac.il/complex/compphys/software/geview/data/figures/218077_s_at.png","Figure")</f>
        <v>Figure</v>
      </c>
      <c r="I2606">
        <v>1.1299999999999999</v>
      </c>
      <c r="J2606">
        <v>0.16</v>
      </c>
      <c r="K2606">
        <v>0.92300000000000004</v>
      </c>
      <c r="L2606">
        <v>0.31</v>
      </c>
      <c r="M2606">
        <v>0.81899999999999995</v>
      </c>
      <c r="N2606">
        <v>9.4000000000000004E-3</v>
      </c>
    </row>
    <row r="2607" spans="1:14" x14ac:dyDescent="0.25">
      <c r="A2607" t="s">
        <v>4816</v>
      </c>
      <c r="B2607" t="s">
        <v>4817</v>
      </c>
      <c r="C2607" s="1" t="str">
        <f>HYPERLINK("http://www.genecards.org/cgi-bin/carddisp.pl?gene=GPATCH4","GeneCards")</f>
        <v>GeneCards</v>
      </c>
      <c r="D2607" s="1" t="str">
        <f>HYPERLINK("http://genome-euro.ucsc.edu/cgi-bin/hgTracks?position=221733_s_at","UCSC")</f>
        <v>UCSC</v>
      </c>
      <c r="E2607" s="1" t="str">
        <f>HYPERLINK("http://www.ncbi.nlm.nih.gov/gene/?term=GPATCH4","NCBI")</f>
        <v>NCBI</v>
      </c>
      <c r="F2607">
        <v>1.2E-2</v>
      </c>
      <c r="G2607">
        <v>8.1000000000000003E-2</v>
      </c>
      <c r="H2607" s="1" t="str">
        <f>HYPERLINK("http://www.weizmann.ac.il/complex/compphys/software/geview/data/figures/221733_s_at.png","Figure")</f>
        <v>Figure</v>
      </c>
      <c r="I2607">
        <v>1.23</v>
      </c>
      <c r="J2607">
        <v>1.4E-2</v>
      </c>
      <c r="K2607">
        <v>1.1599999999999999</v>
      </c>
      <c r="L2607">
        <v>4.2000000000000003E-2</v>
      </c>
      <c r="M2607">
        <v>0.94299999999999995</v>
      </c>
      <c r="N2607">
        <v>0.57999999999999996</v>
      </c>
    </row>
    <row r="2608" spans="1:14" x14ac:dyDescent="0.25">
      <c r="A2608" t="s">
        <v>4818</v>
      </c>
      <c r="B2608" t="s">
        <v>4701</v>
      </c>
      <c r="C2608" s="1" t="str">
        <f>HYPERLINK("http://www.genecards.org/cgi-bin/carddisp.pl?gene=MSRB2","GeneCards")</f>
        <v>GeneCards</v>
      </c>
      <c r="D2608" s="1" t="str">
        <f>HYPERLINK("http://genome-euro.ucsc.edu/cgi-bin/hgTracks?position=218773_s_at","UCSC")</f>
        <v>UCSC</v>
      </c>
      <c r="E2608" s="1" t="str">
        <f>HYPERLINK("http://www.ncbi.nlm.nih.gov/gene/?term=MSRB2","NCBI")</f>
        <v>NCBI</v>
      </c>
      <c r="F2608">
        <v>1.2E-2</v>
      </c>
      <c r="G2608">
        <v>8.1000000000000003E-2</v>
      </c>
      <c r="H2608" s="1" t="str">
        <f>HYPERLINK("http://www.weizmann.ac.il/complex/compphys/software/geview/data/figures/218773_s_at.png","Figure")</f>
        <v>Figure</v>
      </c>
      <c r="I2608">
        <v>0.29099999999999998</v>
      </c>
      <c r="J2608">
        <v>2.3E-2</v>
      </c>
      <c r="K2608">
        <v>0.99</v>
      </c>
      <c r="L2608">
        <v>1</v>
      </c>
      <c r="M2608">
        <v>3.4</v>
      </c>
      <c r="N2608">
        <v>1.6E-2</v>
      </c>
    </row>
    <row r="2609" spans="1:14" x14ac:dyDescent="0.25">
      <c r="A2609" t="s">
        <v>4819</v>
      </c>
      <c r="B2609" t="s">
        <v>4820</v>
      </c>
      <c r="C2609" s="1" t="str">
        <f>HYPERLINK("http://www.genecards.org/cgi-bin/carddisp.pl?gene=VIPR1","GeneCards")</f>
        <v>GeneCards</v>
      </c>
      <c r="D2609" s="1" t="str">
        <f>HYPERLINK("http://genome-euro.ucsc.edu/cgi-bin/hgTracks?position=205019_s_at","UCSC")</f>
        <v>UCSC</v>
      </c>
      <c r="E2609" s="1" t="str">
        <f>HYPERLINK("http://www.ncbi.nlm.nih.gov/gene/?term=VIPR1","NCBI")</f>
        <v>NCBI</v>
      </c>
      <c r="F2609">
        <v>1.2E-2</v>
      </c>
      <c r="G2609">
        <v>8.1000000000000003E-2</v>
      </c>
      <c r="H2609" s="1" t="str">
        <f>HYPERLINK("http://www.weizmann.ac.il/complex/compphys/software/geview/data/figures/205019_s_at.png","Figure")</f>
        <v>Figure</v>
      </c>
      <c r="I2609">
        <v>1.0900000000000001</v>
      </c>
      <c r="J2609">
        <v>0.53</v>
      </c>
      <c r="K2609">
        <v>1.27</v>
      </c>
      <c r="L2609">
        <v>1.0999999999999999E-2</v>
      </c>
      <c r="M2609">
        <v>1.1599999999999999</v>
      </c>
      <c r="N2609">
        <v>0.14000000000000001</v>
      </c>
    </row>
    <row r="2610" spans="1:14" x14ac:dyDescent="0.25">
      <c r="A2610" t="s">
        <v>4821</v>
      </c>
      <c r="B2610" t="s">
        <v>4822</v>
      </c>
      <c r="C2610" s="1" t="str">
        <f>HYPERLINK("http://www.genecards.org/cgi-bin/carddisp.pl?gene=C1orf106","GeneCards")</f>
        <v>GeneCards</v>
      </c>
      <c r="D2610" s="1" t="str">
        <f>HYPERLINK("http://genome-euro.ucsc.edu/cgi-bin/hgTracks?position=219010_at","UCSC")</f>
        <v>UCSC</v>
      </c>
      <c r="E2610" s="1" t="str">
        <f>HYPERLINK("http://www.ncbi.nlm.nih.gov/gene/?term=C1orf106","NCBI")</f>
        <v>NCBI</v>
      </c>
      <c r="F2610">
        <v>1.2E-2</v>
      </c>
      <c r="G2610">
        <v>8.1000000000000003E-2</v>
      </c>
      <c r="H2610" s="1" t="str">
        <f>HYPERLINK("http://www.weizmann.ac.il/complex/compphys/software/geview/data/figures/219010_at.png","Figure")</f>
        <v>Figure</v>
      </c>
      <c r="I2610">
        <v>1.21</v>
      </c>
      <c r="J2610">
        <v>1.9E-2</v>
      </c>
      <c r="K2610">
        <v>1.17</v>
      </c>
      <c r="L2610">
        <v>2.5999999999999999E-2</v>
      </c>
      <c r="M2610">
        <v>0.96799999999999997</v>
      </c>
      <c r="N2610">
        <v>0.83</v>
      </c>
    </row>
    <row r="2611" spans="1:14" x14ac:dyDescent="0.25">
      <c r="A2611" t="s">
        <v>4823</v>
      </c>
      <c r="B2611" t="s">
        <v>4824</v>
      </c>
      <c r="C2611" s="1" t="str">
        <f>HYPERLINK("http://www.genecards.org/cgi-bin/carddisp.pl?gene=PSD4","GeneCards")</f>
        <v>GeneCards</v>
      </c>
      <c r="D2611" s="1" t="str">
        <f>HYPERLINK("http://genome-euro.ucsc.edu/cgi-bin/hgTracks?position=203317_at","UCSC")</f>
        <v>UCSC</v>
      </c>
      <c r="E2611" s="1" t="str">
        <f>HYPERLINK("http://www.ncbi.nlm.nih.gov/gene/?term=PSD4","NCBI")</f>
        <v>NCBI</v>
      </c>
      <c r="F2611">
        <v>1.2E-2</v>
      </c>
      <c r="G2611">
        <v>8.1000000000000003E-2</v>
      </c>
      <c r="H2611" s="1" t="str">
        <f>HYPERLINK("http://www.weizmann.ac.il/complex/compphys/software/geview/data/figures/203317_at.png","Figure")</f>
        <v>Figure</v>
      </c>
      <c r="I2611">
        <v>1.06</v>
      </c>
      <c r="J2611">
        <v>0.81</v>
      </c>
      <c r="K2611">
        <v>1.3</v>
      </c>
      <c r="L2611">
        <v>1.4E-2</v>
      </c>
      <c r="M2611">
        <v>1.23</v>
      </c>
      <c r="N2611">
        <v>7.2999999999999995E-2</v>
      </c>
    </row>
    <row r="2612" spans="1:14" x14ac:dyDescent="0.25">
      <c r="A2612" t="s">
        <v>4825</v>
      </c>
      <c r="B2612" t="s">
        <v>4826</v>
      </c>
      <c r="C2612" s="1" t="str">
        <f>HYPERLINK("http://www.genecards.org/cgi-bin/carddisp.pl?gene=C2CD2L","GeneCards")</f>
        <v>GeneCards</v>
      </c>
      <c r="D2612" s="1" t="str">
        <f>HYPERLINK("http://genome-euro.ucsc.edu/cgi-bin/hgTracks?position=204757_s_at","UCSC")</f>
        <v>UCSC</v>
      </c>
      <c r="E2612" s="1" t="str">
        <f>HYPERLINK("http://www.ncbi.nlm.nih.gov/gene/?term=C2CD2L","NCBI")</f>
        <v>NCBI</v>
      </c>
      <c r="F2612">
        <v>1.2E-2</v>
      </c>
      <c r="G2612">
        <v>8.1000000000000003E-2</v>
      </c>
      <c r="H2612" s="1" t="str">
        <f>HYPERLINK("http://www.weizmann.ac.il/complex/compphys/software/geview/data/figures/204757_s_at.png","Figure")</f>
        <v>Figure</v>
      </c>
      <c r="I2612">
        <v>1.2</v>
      </c>
      <c r="J2612">
        <v>9.5999999999999992E-3</v>
      </c>
      <c r="K2612">
        <v>1.07</v>
      </c>
      <c r="L2612">
        <v>0.28999999999999998</v>
      </c>
      <c r="M2612">
        <v>0.89300000000000002</v>
      </c>
      <c r="N2612">
        <v>8.8999999999999996E-2</v>
      </c>
    </row>
    <row r="2613" spans="1:14" x14ac:dyDescent="0.25">
      <c r="A2613" t="s">
        <v>4827</v>
      </c>
      <c r="B2613" t="s">
        <v>4828</v>
      </c>
      <c r="C2613" s="1" t="str">
        <f>HYPERLINK("http://www.genecards.org/cgi-bin/carddisp.pl?gene=ADAM11","GeneCards")</f>
        <v>GeneCards</v>
      </c>
      <c r="D2613" s="1" t="str">
        <f>HYPERLINK("http://genome-euro.ucsc.edu/cgi-bin/hgTracks?position=207880_at","UCSC")</f>
        <v>UCSC</v>
      </c>
      <c r="E2613" s="1" t="str">
        <f>HYPERLINK("http://www.ncbi.nlm.nih.gov/gene/?term=ADAM11","NCBI")</f>
        <v>NCBI</v>
      </c>
      <c r="F2613">
        <v>1.2E-2</v>
      </c>
      <c r="G2613">
        <v>8.1000000000000003E-2</v>
      </c>
      <c r="H2613" s="1" t="str">
        <f>HYPERLINK("http://www.weizmann.ac.il/complex/compphys/software/geview/data/figures/207880_at.png","Figure")</f>
        <v>Figure</v>
      </c>
      <c r="I2613">
        <v>1.3</v>
      </c>
      <c r="J2613">
        <v>1.7000000000000001E-2</v>
      </c>
      <c r="K2613">
        <v>1.23</v>
      </c>
      <c r="L2613">
        <v>3.1E-2</v>
      </c>
      <c r="M2613">
        <v>0.94399999999999995</v>
      </c>
      <c r="N2613">
        <v>0.74</v>
      </c>
    </row>
    <row r="2614" spans="1:14" x14ac:dyDescent="0.25">
      <c r="A2614" t="s">
        <v>4829</v>
      </c>
      <c r="B2614" t="s">
        <v>807</v>
      </c>
      <c r="C2614" s="1" t="str">
        <f>HYPERLINK("http://www.genecards.org/cgi-bin/carddisp.pl?gene=IL6ST","GeneCards")</f>
        <v>GeneCards</v>
      </c>
      <c r="D2614" s="1" t="str">
        <f>HYPERLINK("http://genome-euro.ucsc.edu/cgi-bin/hgTracks?position=211000_s_at","UCSC")</f>
        <v>UCSC</v>
      </c>
      <c r="E2614" s="1" t="str">
        <f>HYPERLINK("http://www.ncbi.nlm.nih.gov/gene/?term=IL6ST","NCBI")</f>
        <v>NCBI</v>
      </c>
      <c r="F2614">
        <v>1.2E-2</v>
      </c>
      <c r="G2614">
        <v>8.1000000000000003E-2</v>
      </c>
      <c r="H2614" s="1" t="str">
        <f>HYPERLINK("http://www.weizmann.ac.il/complex/compphys/software/geview/data/figures/211000_s_at.png","Figure")</f>
        <v>Figure</v>
      </c>
      <c r="I2614">
        <v>0.96499999999999997</v>
      </c>
      <c r="J2614">
        <v>0.99</v>
      </c>
      <c r="K2614">
        <v>0.54400000000000004</v>
      </c>
      <c r="L2614">
        <v>0.02</v>
      </c>
      <c r="M2614">
        <v>0.56399999999999995</v>
      </c>
      <c r="N2614">
        <v>4.1000000000000002E-2</v>
      </c>
    </row>
    <row r="2615" spans="1:14" x14ac:dyDescent="0.25">
      <c r="A2615" t="s">
        <v>4830</v>
      </c>
      <c r="B2615" t="s">
        <v>727</v>
      </c>
      <c r="C2615" s="1" t="str">
        <f>HYPERLINK("http://www.genecards.org/cgi-bin/carddisp.pl?gene=PGK1","GeneCards")</f>
        <v>GeneCards</v>
      </c>
      <c r="D2615" s="1" t="str">
        <f>HYPERLINK("http://genome-euro.ucsc.edu/cgi-bin/hgTracks?position=200737_at","UCSC")</f>
        <v>UCSC</v>
      </c>
      <c r="E2615" s="1" t="str">
        <f>HYPERLINK("http://www.ncbi.nlm.nih.gov/gene/?term=PGK1","NCBI")</f>
        <v>NCBI</v>
      </c>
      <c r="F2615">
        <v>1.2E-2</v>
      </c>
      <c r="G2615">
        <v>8.1000000000000003E-2</v>
      </c>
      <c r="H2615" s="1" t="str">
        <f>HYPERLINK("http://www.weizmann.ac.il/complex/compphys/software/geview/data/figures/200737_at.png","Figure")</f>
        <v>Figure</v>
      </c>
      <c r="I2615">
        <v>0.57999999999999996</v>
      </c>
      <c r="J2615">
        <v>1.2999999999999999E-2</v>
      </c>
      <c r="K2615">
        <v>0.89400000000000002</v>
      </c>
      <c r="L2615">
        <v>0.71</v>
      </c>
      <c r="M2615">
        <v>1.54</v>
      </c>
      <c r="N2615">
        <v>3.3000000000000002E-2</v>
      </c>
    </row>
    <row r="2616" spans="1:14" x14ac:dyDescent="0.25">
      <c r="A2616" t="s">
        <v>4831</v>
      </c>
      <c r="B2616" t="s">
        <v>4832</v>
      </c>
      <c r="C2616" s="1" t="str">
        <f>HYPERLINK("http://www.genecards.org/cgi-bin/carddisp.pl?gene=TMPO","GeneCards")</f>
        <v>GeneCards</v>
      </c>
      <c r="D2616" s="1" t="str">
        <f>HYPERLINK("http://genome-euro.ucsc.edu/cgi-bin/hgTracks?position=203432_at","UCSC")</f>
        <v>UCSC</v>
      </c>
      <c r="E2616" s="1" t="str">
        <f>HYPERLINK("http://www.ncbi.nlm.nih.gov/gene/?term=TMPO","NCBI")</f>
        <v>NCBI</v>
      </c>
      <c r="F2616">
        <v>1.2E-2</v>
      </c>
      <c r="G2616">
        <v>8.1000000000000003E-2</v>
      </c>
      <c r="H2616" s="1" t="str">
        <f>HYPERLINK("http://www.weizmann.ac.il/complex/compphys/software/geview/data/figures/203432_at.png","Figure")</f>
        <v>Figure</v>
      </c>
      <c r="I2616">
        <v>1.45</v>
      </c>
      <c r="J2616">
        <v>0.32</v>
      </c>
      <c r="K2616">
        <v>0.65400000000000003</v>
      </c>
      <c r="L2616">
        <v>0.15</v>
      </c>
      <c r="M2616">
        <v>0.45300000000000001</v>
      </c>
      <c r="N2616">
        <v>1.0999999999999999E-2</v>
      </c>
    </row>
    <row r="2617" spans="1:14" x14ac:dyDescent="0.25">
      <c r="A2617" t="s">
        <v>4833</v>
      </c>
      <c r="B2617" t="s">
        <v>4834</v>
      </c>
      <c r="C2617" s="1" t="str">
        <f>HYPERLINK("http://www.genecards.org/cgi-bin/carddisp.pl?gene=DNASE2","GeneCards")</f>
        <v>GeneCards</v>
      </c>
      <c r="D2617" s="1" t="str">
        <f>HYPERLINK("http://genome-euro.ucsc.edu/cgi-bin/hgTracks?position=209831_x_at","UCSC")</f>
        <v>UCSC</v>
      </c>
      <c r="E2617" s="1" t="str">
        <f>HYPERLINK("http://www.ncbi.nlm.nih.gov/gene/?term=DNASE2","NCBI")</f>
        <v>NCBI</v>
      </c>
      <c r="F2617">
        <v>1.2E-2</v>
      </c>
      <c r="G2617">
        <v>8.1000000000000003E-2</v>
      </c>
      <c r="H2617" s="1" t="str">
        <f>HYPERLINK("http://www.weizmann.ac.il/complex/compphys/software/geview/data/figures/209831_x_at.png","Figure")</f>
        <v>Figure</v>
      </c>
      <c r="I2617">
        <v>1.65</v>
      </c>
      <c r="J2617">
        <v>1.2999999999999999E-2</v>
      </c>
      <c r="K2617">
        <v>1.1000000000000001</v>
      </c>
      <c r="L2617">
        <v>0.73</v>
      </c>
      <c r="M2617">
        <v>0.67</v>
      </c>
      <c r="N2617">
        <v>3.2000000000000001E-2</v>
      </c>
    </row>
    <row r="2618" spans="1:14" x14ac:dyDescent="0.25">
      <c r="A2618" t="s">
        <v>4835</v>
      </c>
      <c r="B2618" t="s">
        <v>4274</v>
      </c>
      <c r="C2618" s="1" t="str">
        <f>HYPERLINK("http://www.genecards.org/cgi-bin/carddisp.pl?gene=HIPK1","GeneCards")</f>
        <v>GeneCards</v>
      </c>
      <c r="D2618" s="1" t="str">
        <f>HYPERLINK("http://genome-euro.ucsc.edu/cgi-bin/hgTracks?position=212291_at","UCSC")</f>
        <v>UCSC</v>
      </c>
      <c r="E2618" s="1" t="str">
        <f>HYPERLINK("http://www.ncbi.nlm.nih.gov/gene/?term=HIPK1","NCBI")</f>
        <v>NCBI</v>
      </c>
      <c r="F2618">
        <v>1.2E-2</v>
      </c>
      <c r="G2618">
        <v>8.1000000000000003E-2</v>
      </c>
      <c r="H2618" s="1" t="str">
        <f>HYPERLINK("http://www.weizmann.ac.il/complex/compphys/software/geview/data/figures/212291_at.png","Figure")</f>
        <v>Figure</v>
      </c>
      <c r="I2618">
        <v>1.1299999999999999</v>
      </c>
      <c r="J2618">
        <v>0.91</v>
      </c>
      <c r="K2618">
        <v>0.497</v>
      </c>
      <c r="L2618">
        <v>3.6999999999999998E-2</v>
      </c>
      <c r="M2618">
        <v>0.44</v>
      </c>
      <c r="N2618">
        <v>2.1999999999999999E-2</v>
      </c>
    </row>
    <row r="2619" spans="1:14" x14ac:dyDescent="0.25">
      <c r="A2619" t="s">
        <v>4836</v>
      </c>
      <c r="B2619" t="s">
        <v>4837</v>
      </c>
      <c r="C2619" s="1" t="str">
        <f>HYPERLINK("http://www.genecards.org/cgi-bin/carddisp.pl?gene=GRK4","GeneCards")</f>
        <v>GeneCards</v>
      </c>
      <c r="D2619" s="1" t="str">
        <f>HYPERLINK("http://genome-euro.ucsc.edu/cgi-bin/hgTracks?position=208365_s_at","UCSC")</f>
        <v>UCSC</v>
      </c>
      <c r="E2619" s="1" t="str">
        <f>HYPERLINK("http://www.ncbi.nlm.nih.gov/gene/?term=GRK4","NCBI")</f>
        <v>NCBI</v>
      </c>
      <c r="F2619">
        <v>1.2E-2</v>
      </c>
      <c r="G2619">
        <v>8.1000000000000003E-2</v>
      </c>
      <c r="H2619" s="1" t="str">
        <f>HYPERLINK("http://www.weizmann.ac.il/complex/compphys/software/geview/data/figures/208365_s_at.png","Figure")</f>
        <v>Figure</v>
      </c>
      <c r="I2619">
        <v>1.1000000000000001</v>
      </c>
      <c r="J2619">
        <v>5.2999999999999999E-2</v>
      </c>
      <c r="K2619">
        <v>1.1100000000000001</v>
      </c>
      <c r="L2619">
        <v>1.2999999999999999E-2</v>
      </c>
      <c r="M2619">
        <v>1.01</v>
      </c>
      <c r="N2619">
        <v>0.93</v>
      </c>
    </row>
    <row r="2620" spans="1:14" x14ac:dyDescent="0.25">
      <c r="A2620" t="s">
        <v>4838</v>
      </c>
      <c r="B2620" t="s">
        <v>4839</v>
      </c>
      <c r="C2620" s="1" t="str">
        <f>HYPERLINK("http://www.genecards.org/cgi-bin/carddisp.pl?gene=HLX","GeneCards")</f>
        <v>GeneCards</v>
      </c>
      <c r="D2620" s="1" t="str">
        <f>HYPERLINK("http://genome-euro.ucsc.edu/cgi-bin/hgTracks?position=214438_at","UCSC")</f>
        <v>UCSC</v>
      </c>
      <c r="E2620" s="1" t="str">
        <f>HYPERLINK("http://www.ncbi.nlm.nih.gov/gene/?term=HLX","NCBI")</f>
        <v>NCBI</v>
      </c>
      <c r="F2620">
        <v>1.2E-2</v>
      </c>
      <c r="G2620">
        <v>8.1000000000000003E-2</v>
      </c>
      <c r="H2620" s="1" t="str">
        <f>HYPERLINK("http://www.weizmann.ac.il/complex/compphys/software/geview/data/figures/214438_at.png","Figure")</f>
        <v>Figure</v>
      </c>
      <c r="I2620">
        <v>0.58099999999999996</v>
      </c>
      <c r="J2620">
        <v>0.41</v>
      </c>
      <c r="K2620">
        <v>0.28199999999999997</v>
      </c>
      <c r="L2620">
        <v>0.01</v>
      </c>
      <c r="M2620">
        <v>0.48599999999999999</v>
      </c>
      <c r="N2620">
        <v>0.19</v>
      </c>
    </row>
    <row r="2621" spans="1:14" x14ac:dyDescent="0.25">
      <c r="A2621" t="s">
        <v>4840</v>
      </c>
      <c r="B2621" t="s">
        <v>3305</v>
      </c>
      <c r="C2621" s="1" t="str">
        <f>HYPERLINK("http://www.genecards.org/cgi-bin/carddisp.pl?gene=ASMTL","GeneCards")</f>
        <v>GeneCards</v>
      </c>
      <c r="D2621" s="1" t="str">
        <f>HYPERLINK("http://genome-euro.ucsc.edu/cgi-bin/hgTracks?position=36554_at","UCSC")</f>
        <v>UCSC</v>
      </c>
      <c r="E2621" s="1" t="str">
        <f>HYPERLINK("http://www.ncbi.nlm.nih.gov/gene/?term=ASMTL","NCBI")</f>
        <v>NCBI</v>
      </c>
      <c r="F2621">
        <v>1.2E-2</v>
      </c>
      <c r="G2621">
        <v>8.1000000000000003E-2</v>
      </c>
      <c r="H2621" s="1" t="str">
        <f>HYPERLINK("http://www.weizmann.ac.il/complex/compphys/software/geview/data/figures/36554_at.png","Figure")</f>
        <v>Figure</v>
      </c>
      <c r="I2621">
        <v>0.51700000000000002</v>
      </c>
      <c r="J2621">
        <v>9.4999999999999998E-3</v>
      </c>
      <c r="K2621">
        <v>0.752</v>
      </c>
      <c r="L2621">
        <v>0.23</v>
      </c>
      <c r="M2621">
        <v>1.46</v>
      </c>
      <c r="N2621">
        <v>0.12</v>
      </c>
    </row>
    <row r="2622" spans="1:14" x14ac:dyDescent="0.25">
      <c r="A2622" t="s">
        <v>4841</v>
      </c>
      <c r="B2622" t="s">
        <v>4842</v>
      </c>
      <c r="C2622" s="1" t="str">
        <f>HYPERLINK("http://www.genecards.org/cgi-bin/carddisp.pl?gene=CHST12","GeneCards")</f>
        <v>GeneCards</v>
      </c>
      <c r="D2622" s="1" t="str">
        <f>HYPERLINK("http://genome-euro.ucsc.edu/cgi-bin/hgTracks?position=218927_s_at","UCSC")</f>
        <v>UCSC</v>
      </c>
      <c r="E2622" s="1" t="str">
        <f>HYPERLINK("http://www.ncbi.nlm.nih.gov/gene/?term=CHST12","NCBI")</f>
        <v>NCBI</v>
      </c>
      <c r="F2622">
        <v>1.2999999999999999E-2</v>
      </c>
      <c r="G2622">
        <v>8.1000000000000003E-2</v>
      </c>
      <c r="H2622" s="1" t="str">
        <f>HYPERLINK("http://www.weizmann.ac.il/complex/compphys/software/geview/data/figures/218927_s_at.png","Figure")</f>
        <v>Figure</v>
      </c>
      <c r="I2622">
        <v>0.72599999999999998</v>
      </c>
      <c r="J2622">
        <v>9.4E-2</v>
      </c>
      <c r="K2622">
        <v>1.1499999999999999</v>
      </c>
      <c r="L2622">
        <v>0.5</v>
      </c>
      <c r="M2622">
        <v>1.59</v>
      </c>
      <c r="N2622">
        <v>9.5999999999999992E-3</v>
      </c>
    </row>
    <row r="2623" spans="1:14" x14ac:dyDescent="0.25">
      <c r="A2623" t="s">
        <v>4843</v>
      </c>
      <c r="B2623" t="s">
        <v>4844</v>
      </c>
      <c r="C2623" s="1" t="str">
        <f>HYPERLINK("http://www.genecards.org/cgi-bin/carddisp.pl?gene=RAC2","GeneCards")</f>
        <v>GeneCards</v>
      </c>
      <c r="D2623" s="1" t="str">
        <f>HYPERLINK("http://genome-euro.ucsc.edu/cgi-bin/hgTracks?position=213603_s_at","UCSC")</f>
        <v>UCSC</v>
      </c>
      <c r="E2623" s="1" t="str">
        <f>HYPERLINK("http://www.ncbi.nlm.nih.gov/gene/?term=RAC2","NCBI")</f>
        <v>NCBI</v>
      </c>
      <c r="F2623">
        <v>1.2999999999999999E-2</v>
      </c>
      <c r="G2623">
        <v>8.1000000000000003E-2</v>
      </c>
      <c r="H2623" s="1" t="str">
        <f>HYPERLINK("http://www.weizmann.ac.il/complex/compphys/software/geview/data/figures/213603_s_at.png","Figure")</f>
        <v>Figure</v>
      </c>
      <c r="I2623">
        <v>0.53600000000000003</v>
      </c>
      <c r="J2623">
        <v>0.35</v>
      </c>
      <c r="K2623">
        <v>2.16</v>
      </c>
      <c r="L2623">
        <v>0.14000000000000001</v>
      </c>
      <c r="M2623">
        <v>4.03</v>
      </c>
      <c r="N2623">
        <v>1.0999999999999999E-2</v>
      </c>
    </row>
    <row r="2624" spans="1:14" x14ac:dyDescent="0.25">
      <c r="A2624" t="s">
        <v>4845</v>
      </c>
      <c r="B2624" t="s">
        <v>137</v>
      </c>
      <c r="C2624" s="1" t="str">
        <f>HYPERLINK("http://www.genecards.org/cgi-bin/carddisp.pl?gene=C14orf1","GeneCards")</f>
        <v>GeneCards</v>
      </c>
      <c r="D2624" s="1" t="str">
        <f>HYPERLINK("http://genome-euro.ucsc.edu/cgi-bin/hgTracks?position=217188_s_at","UCSC")</f>
        <v>UCSC</v>
      </c>
      <c r="E2624" s="1" t="str">
        <f>HYPERLINK("http://www.ncbi.nlm.nih.gov/gene/?term=C14orf1","NCBI")</f>
        <v>NCBI</v>
      </c>
      <c r="F2624">
        <v>1.2999999999999999E-2</v>
      </c>
      <c r="G2624">
        <v>8.1000000000000003E-2</v>
      </c>
      <c r="H2624" s="1" t="str">
        <f>HYPERLINK("http://www.weizmann.ac.il/complex/compphys/software/geview/data/figures/217188_s_at.png","Figure")</f>
        <v>Figure</v>
      </c>
      <c r="I2624">
        <v>0.75800000000000001</v>
      </c>
      <c r="J2624">
        <v>1.4E-2</v>
      </c>
      <c r="K2624">
        <v>0.95</v>
      </c>
      <c r="L2624">
        <v>0.76</v>
      </c>
      <c r="M2624">
        <v>1.25</v>
      </c>
      <c r="N2624">
        <v>0.03</v>
      </c>
    </row>
    <row r="2625" spans="1:14" x14ac:dyDescent="0.25">
      <c r="A2625" t="s">
        <v>4846</v>
      </c>
      <c r="B2625" t="s">
        <v>4847</v>
      </c>
      <c r="C2625" s="1" t="str">
        <f>HYPERLINK("http://www.genecards.org/cgi-bin/carddisp.pl?gene=CIR1","GeneCards")</f>
        <v>GeneCards</v>
      </c>
      <c r="D2625" s="1" t="str">
        <f>HYPERLINK("http://genome-euro.ucsc.edu/cgi-bin/hgTracks?position=209571_at","UCSC")</f>
        <v>UCSC</v>
      </c>
      <c r="E2625" s="1" t="str">
        <f>HYPERLINK("http://www.ncbi.nlm.nih.gov/gene/?term=CIR1","NCBI")</f>
        <v>NCBI</v>
      </c>
      <c r="F2625">
        <v>1.2999999999999999E-2</v>
      </c>
      <c r="G2625">
        <v>8.1000000000000003E-2</v>
      </c>
      <c r="H2625" s="1" t="str">
        <f>HYPERLINK("http://www.weizmann.ac.il/complex/compphys/software/geview/data/figures/209571_at.png","Figure")</f>
        <v>Figure</v>
      </c>
      <c r="I2625">
        <v>1.24</v>
      </c>
      <c r="J2625">
        <v>0.6</v>
      </c>
      <c r="K2625">
        <v>0.624</v>
      </c>
      <c r="L2625">
        <v>7.3999999999999996E-2</v>
      </c>
      <c r="M2625">
        <v>0.501</v>
      </c>
      <c r="N2625">
        <v>1.4E-2</v>
      </c>
    </row>
    <row r="2626" spans="1:14" x14ac:dyDescent="0.25">
      <c r="A2626" t="s">
        <v>4848</v>
      </c>
      <c r="B2626" t="s">
        <v>4849</v>
      </c>
      <c r="C2626" s="1" t="str">
        <f>HYPERLINK("http://www.genecards.org/cgi-bin/carddisp.pl?gene=SLC30A5","GeneCards")</f>
        <v>GeneCards</v>
      </c>
      <c r="D2626" s="1" t="str">
        <f>HYPERLINK("http://genome-euro.ucsc.edu/cgi-bin/hgTracks?position=218989_x_at","UCSC")</f>
        <v>UCSC</v>
      </c>
      <c r="E2626" s="1" t="str">
        <f>HYPERLINK("http://www.ncbi.nlm.nih.gov/gene/?term=SLC30A5","NCBI")</f>
        <v>NCBI</v>
      </c>
      <c r="F2626">
        <v>1.2999999999999999E-2</v>
      </c>
      <c r="G2626">
        <v>8.1000000000000003E-2</v>
      </c>
      <c r="H2626" s="1" t="str">
        <f>HYPERLINK("http://www.weizmann.ac.il/complex/compphys/software/geview/data/figures/218989_x_at.png","Figure")</f>
        <v>Figure</v>
      </c>
      <c r="I2626">
        <v>0.56899999999999995</v>
      </c>
      <c r="J2626">
        <v>0.02</v>
      </c>
      <c r="K2626">
        <v>0.97099999999999997</v>
      </c>
      <c r="L2626">
        <v>0.98</v>
      </c>
      <c r="M2626">
        <v>1.71</v>
      </c>
      <c r="N2626">
        <v>1.9E-2</v>
      </c>
    </row>
    <row r="2627" spans="1:14" x14ac:dyDescent="0.25">
      <c r="A2627" t="s">
        <v>4850</v>
      </c>
      <c r="B2627" t="s">
        <v>4851</v>
      </c>
      <c r="C2627" s="1" t="str">
        <f>HYPERLINK("http://www.genecards.org/cgi-bin/carddisp.pl?gene=INSIG1","GeneCards")</f>
        <v>GeneCards</v>
      </c>
      <c r="D2627" s="1" t="str">
        <f>HYPERLINK("http://genome-euro.ucsc.edu/cgi-bin/hgTracks?position=201626_at","UCSC")</f>
        <v>UCSC</v>
      </c>
      <c r="E2627" s="1" t="str">
        <f>HYPERLINK("http://www.ncbi.nlm.nih.gov/gene/?term=INSIG1","NCBI")</f>
        <v>NCBI</v>
      </c>
      <c r="F2627">
        <v>1.2999999999999999E-2</v>
      </c>
      <c r="G2627">
        <v>8.1000000000000003E-2</v>
      </c>
      <c r="H2627" s="1" t="str">
        <f>HYPERLINK("http://www.weizmann.ac.il/complex/compphys/software/geview/data/figures/201626_at.png","Figure")</f>
        <v>Figure</v>
      </c>
      <c r="I2627">
        <v>1.96</v>
      </c>
      <c r="J2627">
        <v>1.0999999999999999E-2</v>
      </c>
      <c r="K2627">
        <v>1.49</v>
      </c>
      <c r="L2627">
        <v>8.2000000000000003E-2</v>
      </c>
      <c r="M2627">
        <v>0.76200000000000001</v>
      </c>
      <c r="N2627">
        <v>0.32</v>
      </c>
    </row>
    <row r="2628" spans="1:14" x14ac:dyDescent="0.25">
      <c r="A2628" t="s">
        <v>4852</v>
      </c>
      <c r="B2628" t="s">
        <v>4853</v>
      </c>
      <c r="C2628" s="1" t="str">
        <f>HYPERLINK("http://www.genecards.org/cgi-bin/carddisp.pl?gene=DEPDC5","GeneCards")</f>
        <v>GeneCards</v>
      </c>
      <c r="D2628" s="1" t="str">
        <f>HYPERLINK("http://genome-euro.ucsc.edu/cgi-bin/hgTracks?position=205223_at","UCSC")</f>
        <v>UCSC</v>
      </c>
      <c r="E2628" s="1" t="str">
        <f>HYPERLINK("http://www.ncbi.nlm.nih.gov/gene/?term=DEPDC5","NCBI")</f>
        <v>NCBI</v>
      </c>
      <c r="F2628">
        <v>1.2999999999999999E-2</v>
      </c>
      <c r="G2628">
        <v>8.1000000000000003E-2</v>
      </c>
      <c r="H2628" s="1" t="str">
        <f>HYPERLINK("http://www.weizmann.ac.il/complex/compphys/software/geview/data/figures/205223_at.png","Figure")</f>
        <v>Figure</v>
      </c>
      <c r="I2628">
        <v>1.32</v>
      </c>
      <c r="J2628">
        <v>1.4E-2</v>
      </c>
      <c r="K2628">
        <v>1.21</v>
      </c>
      <c r="L2628">
        <v>4.5999999999999999E-2</v>
      </c>
      <c r="M2628">
        <v>0.92100000000000004</v>
      </c>
      <c r="N2628">
        <v>0.55000000000000004</v>
      </c>
    </row>
    <row r="2629" spans="1:14" x14ac:dyDescent="0.25">
      <c r="A2629" t="s">
        <v>4854</v>
      </c>
      <c r="B2629" t="s">
        <v>4855</v>
      </c>
      <c r="C2629" s="1" t="str">
        <f>HYPERLINK("http://www.genecards.org/cgi-bin/carddisp.pl?gene=DNAJB6 /// TMEM135","GeneCards")</f>
        <v>GeneCards</v>
      </c>
      <c r="D2629" s="1" t="str">
        <f>HYPERLINK("http://genome-euro.ucsc.edu/cgi-bin/hgTracks?position=208810_at","UCSC")</f>
        <v>UCSC</v>
      </c>
      <c r="E2629" s="1" t="str">
        <f>HYPERLINK("http://www.ncbi.nlm.nih.gov/gene/?term=DNAJB6 /// TMEM135","NCBI")</f>
        <v>NCBI</v>
      </c>
      <c r="F2629">
        <v>1.2999999999999999E-2</v>
      </c>
      <c r="G2629">
        <v>8.1000000000000003E-2</v>
      </c>
      <c r="H2629" s="1" t="str">
        <f>HYPERLINK("http://www.weizmann.ac.il/complex/compphys/software/geview/data/figures/208810_at.png","Figure")</f>
        <v>Figure</v>
      </c>
      <c r="I2629">
        <v>0.34</v>
      </c>
      <c r="J2629">
        <v>3.4000000000000002E-2</v>
      </c>
      <c r="K2629">
        <v>0.34100000000000003</v>
      </c>
      <c r="L2629">
        <v>1.6E-2</v>
      </c>
      <c r="M2629">
        <v>1</v>
      </c>
      <c r="N2629">
        <v>1</v>
      </c>
    </row>
    <row r="2630" spans="1:14" x14ac:dyDescent="0.25">
      <c r="A2630" t="s">
        <v>4856</v>
      </c>
      <c r="B2630" t="s">
        <v>4857</v>
      </c>
      <c r="C2630" s="1" t="str">
        <f>HYPERLINK("http://www.genecards.org/cgi-bin/carddisp.pl?gene=DYRK1A","GeneCards")</f>
        <v>GeneCards</v>
      </c>
      <c r="D2630" s="1" t="str">
        <f>HYPERLINK("http://genome-euro.ucsc.edu/cgi-bin/hgTracks?position=211541_s_at","UCSC")</f>
        <v>UCSC</v>
      </c>
      <c r="E2630" s="1" t="str">
        <f>HYPERLINK("http://www.ncbi.nlm.nih.gov/gene/?term=DYRK1A","NCBI")</f>
        <v>NCBI</v>
      </c>
      <c r="F2630">
        <v>1.2999999999999999E-2</v>
      </c>
      <c r="G2630">
        <v>8.1000000000000003E-2</v>
      </c>
      <c r="H2630" s="1" t="str">
        <f>HYPERLINK("http://www.weizmann.ac.il/complex/compphys/software/geview/data/figures/211541_s_at.png","Figure")</f>
        <v>Figure</v>
      </c>
      <c r="I2630">
        <v>1.2</v>
      </c>
      <c r="J2630">
        <v>9.5999999999999992E-3</v>
      </c>
      <c r="K2630">
        <v>1.0900000000000001</v>
      </c>
      <c r="L2630">
        <v>0.18</v>
      </c>
      <c r="M2630">
        <v>0.90500000000000003</v>
      </c>
      <c r="N2630">
        <v>0.14000000000000001</v>
      </c>
    </row>
    <row r="2631" spans="1:14" x14ac:dyDescent="0.25">
      <c r="A2631" t="s">
        <v>4858</v>
      </c>
      <c r="B2631" t="s">
        <v>4859</v>
      </c>
      <c r="C2631" s="1" t="str">
        <f>HYPERLINK("http://www.genecards.org/cgi-bin/carddisp.pl?gene=CNTN1","GeneCards")</f>
        <v>GeneCards</v>
      </c>
      <c r="D2631" s="1" t="str">
        <f>HYPERLINK("http://genome-euro.ucsc.edu/cgi-bin/hgTracks?position=211203_s_at","UCSC")</f>
        <v>UCSC</v>
      </c>
      <c r="E2631" s="1" t="str">
        <f>HYPERLINK("http://www.ncbi.nlm.nih.gov/gene/?term=CNTN1","NCBI")</f>
        <v>NCBI</v>
      </c>
      <c r="F2631">
        <v>1.2999999999999999E-2</v>
      </c>
      <c r="G2631">
        <v>8.1000000000000003E-2</v>
      </c>
      <c r="H2631" s="1" t="str">
        <f>HYPERLINK("http://www.weizmann.ac.il/complex/compphys/software/geview/data/figures/211203_s_at.png","Figure")</f>
        <v>Figure</v>
      </c>
      <c r="I2631">
        <v>1.34</v>
      </c>
      <c r="J2631">
        <v>1.2E-2</v>
      </c>
      <c r="K2631">
        <v>1.08</v>
      </c>
      <c r="L2631">
        <v>0.57999999999999996</v>
      </c>
      <c r="M2631">
        <v>0.80700000000000005</v>
      </c>
      <c r="N2631">
        <v>4.2999999999999997E-2</v>
      </c>
    </row>
    <row r="2632" spans="1:14" x14ac:dyDescent="0.25">
      <c r="A2632" t="s">
        <v>4860</v>
      </c>
      <c r="B2632" t="s">
        <v>4861</v>
      </c>
      <c r="C2632" s="1" t="str">
        <f>HYPERLINK("http://www.genecards.org/cgi-bin/carddisp.pl?gene=MRPL40","GeneCards")</f>
        <v>GeneCards</v>
      </c>
      <c r="D2632" s="1" t="str">
        <f>HYPERLINK("http://genome-euro.ucsc.edu/cgi-bin/hgTracks?position=203152_at","UCSC")</f>
        <v>UCSC</v>
      </c>
      <c r="E2632" s="1" t="str">
        <f>HYPERLINK("http://www.ncbi.nlm.nih.gov/gene/?term=MRPL40","NCBI")</f>
        <v>NCBI</v>
      </c>
      <c r="F2632">
        <v>1.2999999999999999E-2</v>
      </c>
      <c r="G2632">
        <v>8.1000000000000003E-2</v>
      </c>
      <c r="H2632" s="1" t="str">
        <f>HYPERLINK("http://www.weizmann.ac.il/complex/compphys/software/geview/data/figures/203152_at.png","Figure")</f>
        <v>Figure</v>
      </c>
      <c r="I2632">
        <v>0.69799999999999995</v>
      </c>
      <c r="J2632">
        <v>7.6999999999999999E-2</v>
      </c>
      <c r="K2632">
        <v>1.1399999999999999</v>
      </c>
      <c r="L2632">
        <v>0.59</v>
      </c>
      <c r="M2632">
        <v>1.63</v>
      </c>
      <c r="N2632">
        <v>0.01</v>
      </c>
    </row>
    <row r="2633" spans="1:14" x14ac:dyDescent="0.25">
      <c r="A2633" t="s">
        <v>4862</v>
      </c>
      <c r="B2633" t="s">
        <v>4863</v>
      </c>
      <c r="C2633" s="1" t="str">
        <f>HYPERLINK("http://www.genecards.org/cgi-bin/carddisp.pl?gene=HIVEP3","GeneCards")</f>
        <v>GeneCards</v>
      </c>
      <c r="D2633" s="1" t="str">
        <f>HYPERLINK("http://genome-euro.ucsc.edu/cgi-bin/hgTracks?position=220042_x_at","UCSC")</f>
        <v>UCSC</v>
      </c>
      <c r="E2633" s="1" t="str">
        <f>HYPERLINK("http://www.ncbi.nlm.nih.gov/gene/?term=HIVEP3","NCBI")</f>
        <v>NCBI</v>
      </c>
      <c r="F2633">
        <v>1.2999999999999999E-2</v>
      </c>
      <c r="G2633">
        <v>8.1000000000000003E-2</v>
      </c>
      <c r="H2633" s="1" t="str">
        <f>HYPERLINK("http://www.weizmann.ac.il/complex/compphys/software/geview/data/figures/220042_x_at.png","Figure")</f>
        <v>Figure</v>
      </c>
      <c r="I2633">
        <v>1.47</v>
      </c>
      <c r="J2633">
        <v>9.5999999999999992E-3</v>
      </c>
      <c r="K2633">
        <v>1.18</v>
      </c>
      <c r="L2633">
        <v>0.22</v>
      </c>
      <c r="M2633">
        <v>0.80600000000000005</v>
      </c>
      <c r="N2633">
        <v>0.12</v>
      </c>
    </row>
    <row r="2634" spans="1:14" x14ac:dyDescent="0.25">
      <c r="A2634" t="s">
        <v>4864</v>
      </c>
      <c r="B2634" t="s">
        <v>4865</v>
      </c>
      <c r="C2634" s="1" t="str">
        <f>HYPERLINK("http://www.genecards.org/cgi-bin/carddisp.pl?gene=RBMS1","GeneCards")</f>
        <v>GeneCards</v>
      </c>
      <c r="D2634" s="1" t="str">
        <f>HYPERLINK("http://genome-euro.ucsc.edu/cgi-bin/hgTracks?position=215127_s_at","UCSC")</f>
        <v>UCSC</v>
      </c>
      <c r="E2634" s="1" t="str">
        <f>HYPERLINK("http://www.ncbi.nlm.nih.gov/gene/?term=RBMS1","NCBI")</f>
        <v>NCBI</v>
      </c>
      <c r="F2634">
        <v>1.2999999999999999E-2</v>
      </c>
      <c r="G2634">
        <v>8.1000000000000003E-2</v>
      </c>
      <c r="H2634" s="1" t="str">
        <f>HYPERLINK("http://www.weizmann.ac.il/complex/compphys/software/geview/data/figures/215127_s_at.png","Figure")</f>
        <v>Figure</v>
      </c>
      <c r="I2634">
        <v>0.72199999999999998</v>
      </c>
      <c r="J2634">
        <v>0.46</v>
      </c>
      <c r="K2634">
        <v>0.44700000000000001</v>
      </c>
      <c r="L2634">
        <v>1.0999999999999999E-2</v>
      </c>
      <c r="M2634">
        <v>0.61899999999999999</v>
      </c>
      <c r="N2634">
        <v>0.17</v>
      </c>
    </row>
    <row r="2635" spans="1:14" x14ac:dyDescent="0.25">
      <c r="A2635" t="s">
        <v>4866</v>
      </c>
      <c r="B2635" t="s">
        <v>4867</v>
      </c>
      <c r="C2635" s="1" t="str">
        <f>HYPERLINK("http://www.genecards.org/cgi-bin/carddisp.pl?gene=DYSF","GeneCards")</f>
        <v>GeneCards</v>
      </c>
      <c r="D2635" s="1" t="str">
        <f>HYPERLINK("http://genome-euro.ucsc.edu/cgi-bin/hgTracks?position=218660_at","UCSC")</f>
        <v>UCSC</v>
      </c>
      <c r="E2635" s="1" t="str">
        <f>HYPERLINK("http://www.ncbi.nlm.nih.gov/gene/?term=DYSF","NCBI")</f>
        <v>NCBI</v>
      </c>
      <c r="F2635">
        <v>1.2999999999999999E-2</v>
      </c>
      <c r="G2635">
        <v>8.2000000000000003E-2</v>
      </c>
      <c r="H2635" s="1" t="str">
        <f>HYPERLINK("http://www.weizmann.ac.il/complex/compphys/software/geview/data/figures/218660_at.png","Figure")</f>
        <v>Figure</v>
      </c>
      <c r="I2635">
        <v>0.82599999999999996</v>
      </c>
      <c r="J2635">
        <v>6.0999999999999999E-2</v>
      </c>
      <c r="K2635">
        <v>1.06</v>
      </c>
      <c r="L2635">
        <v>0.69</v>
      </c>
      <c r="M2635">
        <v>1.28</v>
      </c>
      <c r="N2635">
        <v>0.01</v>
      </c>
    </row>
    <row r="2636" spans="1:14" x14ac:dyDescent="0.25">
      <c r="A2636" t="s">
        <v>4868</v>
      </c>
      <c r="B2636" t="s">
        <v>1865</v>
      </c>
      <c r="C2636" s="1" t="str">
        <f>HYPERLINK("http://www.genecards.org/cgi-bin/carddisp.pl?gene=AK2","GeneCards")</f>
        <v>GeneCards</v>
      </c>
      <c r="D2636" s="1" t="str">
        <f>HYPERLINK("http://genome-euro.ucsc.edu/cgi-bin/hgTracks?position=205996_s_at","UCSC")</f>
        <v>UCSC</v>
      </c>
      <c r="E2636" s="1" t="str">
        <f>HYPERLINK("http://www.ncbi.nlm.nih.gov/gene/?term=AK2","NCBI")</f>
        <v>NCBI</v>
      </c>
      <c r="F2636">
        <v>1.2999999999999999E-2</v>
      </c>
      <c r="G2636">
        <v>8.2000000000000003E-2</v>
      </c>
      <c r="H2636" s="1" t="str">
        <f>HYPERLINK("http://www.weizmann.ac.il/complex/compphys/software/geview/data/figures/205996_s_at.png","Figure")</f>
        <v>Figure</v>
      </c>
      <c r="I2636">
        <v>0.82299999999999995</v>
      </c>
      <c r="J2636">
        <v>0.28999999999999998</v>
      </c>
      <c r="K2636">
        <v>1.23</v>
      </c>
      <c r="L2636">
        <v>0.18</v>
      </c>
      <c r="M2636">
        <v>1.49</v>
      </c>
      <c r="N2636">
        <v>1.0999999999999999E-2</v>
      </c>
    </row>
    <row r="2637" spans="1:14" x14ac:dyDescent="0.25">
      <c r="A2637" t="s">
        <v>4869</v>
      </c>
      <c r="B2637" t="s">
        <v>4116</v>
      </c>
      <c r="C2637" s="1" t="str">
        <f>HYPERLINK("http://www.genecards.org/cgi-bin/carddisp.pl?gene=ALDH3A2","GeneCards")</f>
        <v>GeneCards</v>
      </c>
      <c r="D2637" s="1" t="str">
        <f>HYPERLINK("http://genome-euro.ucsc.edu/cgi-bin/hgTracks?position=202054_s_at","UCSC")</f>
        <v>UCSC</v>
      </c>
      <c r="E2637" s="1" t="str">
        <f>HYPERLINK("http://www.ncbi.nlm.nih.gov/gene/?term=ALDH3A2","NCBI")</f>
        <v>NCBI</v>
      </c>
      <c r="F2637">
        <v>1.2999999999999999E-2</v>
      </c>
      <c r="G2637">
        <v>8.2000000000000003E-2</v>
      </c>
      <c r="H2637" s="1" t="str">
        <f>HYPERLINK("http://www.weizmann.ac.il/complex/compphys/software/geview/data/figures/202054_s_at.png","Figure")</f>
        <v>Figure</v>
      </c>
      <c r="I2637">
        <v>0.99</v>
      </c>
      <c r="J2637">
        <v>1</v>
      </c>
      <c r="K2637">
        <v>1.38</v>
      </c>
      <c r="L2637">
        <v>2.5999999999999999E-2</v>
      </c>
      <c r="M2637">
        <v>1.39</v>
      </c>
      <c r="N2637">
        <v>3.2000000000000001E-2</v>
      </c>
    </row>
    <row r="2638" spans="1:14" x14ac:dyDescent="0.25">
      <c r="A2638" t="s">
        <v>4870</v>
      </c>
      <c r="B2638" t="s">
        <v>4871</v>
      </c>
      <c r="C2638" s="1" t="str">
        <f>HYPERLINK("http://www.genecards.org/cgi-bin/carddisp.pl?gene=YIPF2","GeneCards")</f>
        <v>GeneCards</v>
      </c>
      <c r="D2638" s="1" t="str">
        <f>HYPERLINK("http://genome-euro.ucsc.edu/cgi-bin/hgTracks?position=221939_at","UCSC")</f>
        <v>UCSC</v>
      </c>
      <c r="E2638" s="1" t="str">
        <f>HYPERLINK("http://www.ncbi.nlm.nih.gov/gene/?term=YIPF2","NCBI")</f>
        <v>NCBI</v>
      </c>
      <c r="F2638">
        <v>1.2999999999999999E-2</v>
      </c>
      <c r="G2638">
        <v>8.2000000000000003E-2</v>
      </c>
      <c r="H2638" s="1" t="str">
        <f>HYPERLINK("http://www.weizmann.ac.il/complex/compphys/software/geview/data/figures/221939_at.png","Figure")</f>
        <v>Figure</v>
      </c>
      <c r="I2638">
        <v>1.35</v>
      </c>
      <c r="J2638">
        <v>1.0999999999999999E-2</v>
      </c>
      <c r="K2638">
        <v>1.2</v>
      </c>
      <c r="L2638">
        <v>8.1000000000000003E-2</v>
      </c>
      <c r="M2638">
        <v>0.88500000000000001</v>
      </c>
      <c r="N2638">
        <v>0.33</v>
      </c>
    </row>
    <row r="2639" spans="1:14" x14ac:dyDescent="0.25">
      <c r="A2639" t="s">
        <v>4872</v>
      </c>
      <c r="B2639" t="s">
        <v>4873</v>
      </c>
      <c r="C2639" s="1" t="str">
        <f>HYPERLINK("http://www.genecards.org/cgi-bin/carddisp.pl?gene=EHD1","GeneCards")</f>
        <v>GeneCards</v>
      </c>
      <c r="D2639" s="1" t="str">
        <f>HYPERLINK("http://genome-euro.ucsc.edu/cgi-bin/hgTracks?position=209038_s_at","UCSC")</f>
        <v>UCSC</v>
      </c>
      <c r="E2639" s="1" t="str">
        <f>HYPERLINK("http://www.ncbi.nlm.nih.gov/gene/?term=EHD1","NCBI")</f>
        <v>NCBI</v>
      </c>
      <c r="F2639">
        <v>1.2999999999999999E-2</v>
      </c>
      <c r="G2639">
        <v>8.2000000000000003E-2</v>
      </c>
      <c r="H2639" s="1" t="str">
        <f>HYPERLINK("http://www.weizmann.ac.il/complex/compphys/software/geview/data/figures/209038_s_at.png","Figure")</f>
        <v>Figure</v>
      </c>
      <c r="I2639">
        <v>1.27</v>
      </c>
      <c r="J2639">
        <v>1.6E-2</v>
      </c>
      <c r="K2639">
        <v>1.2</v>
      </c>
      <c r="L2639">
        <v>3.6999999999999998E-2</v>
      </c>
      <c r="M2639">
        <v>0.94099999999999995</v>
      </c>
      <c r="N2639">
        <v>0.67</v>
      </c>
    </row>
    <row r="2640" spans="1:14" x14ac:dyDescent="0.25">
      <c r="A2640" t="s">
        <v>4874</v>
      </c>
      <c r="B2640" t="s">
        <v>1288</v>
      </c>
      <c r="C2640" s="1" t="str">
        <f>HYPERLINK("http://www.genecards.org/cgi-bin/carddisp.pl?gene=EIF2S1","GeneCards")</f>
        <v>GeneCards</v>
      </c>
      <c r="D2640" s="1" t="str">
        <f>HYPERLINK("http://genome-euro.ucsc.edu/cgi-bin/hgTracks?position=201143_s_at","UCSC")</f>
        <v>UCSC</v>
      </c>
      <c r="E2640" s="1" t="str">
        <f>HYPERLINK("http://www.ncbi.nlm.nih.gov/gene/?term=EIF2S1","NCBI")</f>
        <v>NCBI</v>
      </c>
      <c r="F2640">
        <v>1.2999999999999999E-2</v>
      </c>
      <c r="G2640">
        <v>8.2000000000000003E-2</v>
      </c>
      <c r="H2640" s="1" t="str">
        <f>HYPERLINK("http://www.weizmann.ac.il/complex/compphys/software/geview/data/figures/201143_s_at.png","Figure")</f>
        <v>Figure</v>
      </c>
      <c r="I2640">
        <v>0.57199999999999995</v>
      </c>
      <c r="J2640">
        <v>2.7E-2</v>
      </c>
      <c r="K2640">
        <v>1.02</v>
      </c>
      <c r="L2640">
        <v>0.99</v>
      </c>
      <c r="M2640">
        <v>1.79</v>
      </c>
      <c r="N2640">
        <v>1.4999999999999999E-2</v>
      </c>
    </row>
    <row r="2641" spans="1:14" x14ac:dyDescent="0.25">
      <c r="A2641" t="s">
        <v>4875</v>
      </c>
      <c r="B2641" t="s">
        <v>4876</v>
      </c>
      <c r="C2641" s="1" t="str">
        <f>HYPERLINK("http://www.genecards.org/cgi-bin/carddisp.pl?gene=AGXT","GeneCards")</f>
        <v>GeneCards</v>
      </c>
      <c r="D2641" s="1" t="str">
        <f>HYPERLINK("http://genome-euro.ucsc.edu/cgi-bin/hgTracks?position=210326_at","UCSC")</f>
        <v>UCSC</v>
      </c>
      <c r="E2641" s="1" t="str">
        <f>HYPERLINK("http://www.ncbi.nlm.nih.gov/gene/?term=AGXT","NCBI")</f>
        <v>NCBI</v>
      </c>
      <c r="F2641">
        <v>1.2999999999999999E-2</v>
      </c>
      <c r="G2641">
        <v>8.2000000000000003E-2</v>
      </c>
      <c r="H2641" s="1" t="str">
        <f>HYPERLINK("http://www.weizmann.ac.il/complex/compphys/software/geview/data/figures/210326_at.png","Figure")</f>
        <v>Figure</v>
      </c>
      <c r="I2641">
        <v>1.29</v>
      </c>
      <c r="J2641">
        <v>1.0999999999999999E-2</v>
      </c>
      <c r="K2641">
        <v>1.08</v>
      </c>
      <c r="L2641">
        <v>0.51</v>
      </c>
      <c r="M2641">
        <v>0.83199999999999996</v>
      </c>
      <c r="N2641">
        <v>0.05</v>
      </c>
    </row>
    <row r="2642" spans="1:14" x14ac:dyDescent="0.25">
      <c r="A2642" t="s">
        <v>4877</v>
      </c>
      <c r="B2642" t="s">
        <v>4878</v>
      </c>
      <c r="C2642" s="1" t="str">
        <f>HYPERLINK("http://www.genecards.org/cgi-bin/carddisp.pl?gene=YY1AP1","GeneCards")</f>
        <v>GeneCards</v>
      </c>
      <c r="D2642" s="1" t="str">
        <f>HYPERLINK("http://genome-euro.ucsc.edu/cgi-bin/hgTracks?position=217836_s_at","UCSC")</f>
        <v>UCSC</v>
      </c>
      <c r="E2642" s="1" t="str">
        <f>HYPERLINK("http://www.ncbi.nlm.nih.gov/gene/?term=YY1AP1","NCBI")</f>
        <v>NCBI</v>
      </c>
      <c r="F2642">
        <v>1.2999999999999999E-2</v>
      </c>
      <c r="G2642">
        <v>8.2000000000000003E-2</v>
      </c>
      <c r="H2642" s="1" t="str">
        <f>HYPERLINK("http://www.weizmann.ac.il/complex/compphys/software/geview/data/figures/217836_s_at.png","Figure")</f>
        <v>Figure</v>
      </c>
      <c r="I2642">
        <v>1.07</v>
      </c>
      <c r="J2642">
        <v>0.89</v>
      </c>
      <c r="K2642">
        <v>0.68</v>
      </c>
      <c r="L2642">
        <v>3.9E-2</v>
      </c>
      <c r="M2642">
        <v>0.63300000000000001</v>
      </c>
      <c r="N2642">
        <v>2.1999999999999999E-2</v>
      </c>
    </row>
    <row r="2643" spans="1:14" x14ac:dyDescent="0.25">
      <c r="A2643" t="s">
        <v>4879</v>
      </c>
      <c r="B2643" t="s">
        <v>2277</v>
      </c>
      <c r="C2643" s="1" t="str">
        <f>HYPERLINK("http://www.genecards.org/cgi-bin/carddisp.pl?gene=MYO1C","GeneCards")</f>
        <v>GeneCards</v>
      </c>
      <c r="D2643" s="1" t="str">
        <f>HYPERLINK("http://genome-euro.ucsc.edu/cgi-bin/hgTracks?position=214656_x_at","UCSC")</f>
        <v>UCSC</v>
      </c>
      <c r="E2643" s="1" t="str">
        <f>HYPERLINK("http://www.ncbi.nlm.nih.gov/gene/?term=MYO1C","NCBI")</f>
        <v>NCBI</v>
      </c>
      <c r="F2643">
        <v>1.2999999999999999E-2</v>
      </c>
      <c r="G2643">
        <v>8.2000000000000003E-2</v>
      </c>
      <c r="H2643" s="1" t="str">
        <f>HYPERLINK("http://www.weizmann.ac.il/complex/compphys/software/geview/data/figures/214656_x_at.png","Figure")</f>
        <v>Figure</v>
      </c>
      <c r="I2643">
        <v>1.68</v>
      </c>
      <c r="J2643">
        <v>2.8000000000000001E-2</v>
      </c>
      <c r="K2643">
        <v>0.97799999999999998</v>
      </c>
      <c r="L2643">
        <v>0.99</v>
      </c>
      <c r="M2643">
        <v>0.58099999999999996</v>
      </c>
      <c r="N2643">
        <v>1.4999999999999999E-2</v>
      </c>
    </row>
    <row r="2644" spans="1:14" x14ac:dyDescent="0.25">
      <c r="A2644" t="s">
        <v>4880</v>
      </c>
      <c r="B2644" t="s">
        <v>4881</v>
      </c>
      <c r="C2644" s="1" t="str">
        <f>HYPERLINK("http://www.genecards.org/cgi-bin/carddisp.pl?gene=CLPTM1","GeneCards")</f>
        <v>GeneCards</v>
      </c>
      <c r="D2644" s="1" t="str">
        <f>HYPERLINK("http://genome-euro.ucsc.edu/cgi-bin/hgTracks?position=201640_x_at","UCSC")</f>
        <v>UCSC</v>
      </c>
      <c r="E2644" s="1" t="str">
        <f>HYPERLINK("http://www.ncbi.nlm.nih.gov/gene/?term=CLPTM1","NCBI")</f>
        <v>NCBI</v>
      </c>
      <c r="F2644">
        <v>1.2999999999999999E-2</v>
      </c>
      <c r="G2644">
        <v>8.2000000000000003E-2</v>
      </c>
      <c r="H2644" s="1" t="str">
        <f>HYPERLINK("http://www.weizmann.ac.il/complex/compphys/software/geview/data/figures/201640_x_at.png","Figure")</f>
        <v>Figure</v>
      </c>
      <c r="I2644">
        <v>1.2</v>
      </c>
      <c r="J2644">
        <v>1.6E-2</v>
      </c>
      <c r="K2644">
        <v>1.02</v>
      </c>
      <c r="L2644">
        <v>0.89</v>
      </c>
      <c r="M2644">
        <v>0.85099999999999998</v>
      </c>
      <c r="N2644">
        <v>2.4E-2</v>
      </c>
    </row>
    <row r="2645" spans="1:14" x14ac:dyDescent="0.25">
      <c r="A2645" t="s">
        <v>4882</v>
      </c>
      <c r="B2645" t="s">
        <v>1566</v>
      </c>
      <c r="C2645" s="1" t="str">
        <f>HYPERLINK("http://www.genecards.org/cgi-bin/carddisp.pl?gene=PPIL2","GeneCards")</f>
        <v>GeneCards</v>
      </c>
      <c r="D2645" s="1" t="str">
        <f>HYPERLINK("http://genome-euro.ucsc.edu/cgi-bin/hgTracks?position=217407_x_at","UCSC")</f>
        <v>UCSC</v>
      </c>
      <c r="E2645" s="1" t="str">
        <f>HYPERLINK("http://www.ncbi.nlm.nih.gov/gene/?term=PPIL2","NCBI")</f>
        <v>NCBI</v>
      </c>
      <c r="F2645">
        <v>1.2999999999999999E-2</v>
      </c>
      <c r="G2645">
        <v>8.2000000000000003E-2</v>
      </c>
      <c r="H2645" s="1" t="str">
        <f>HYPERLINK("http://www.weizmann.ac.il/complex/compphys/software/geview/data/figures/217407_x_at.png","Figure")</f>
        <v>Figure</v>
      </c>
      <c r="I2645">
        <v>1.43</v>
      </c>
      <c r="J2645">
        <v>9.7999999999999997E-3</v>
      </c>
      <c r="K2645">
        <v>1.1599999999999999</v>
      </c>
      <c r="L2645">
        <v>0.26</v>
      </c>
      <c r="M2645">
        <v>0.80900000000000005</v>
      </c>
      <c r="N2645">
        <v>0.11</v>
      </c>
    </row>
    <row r="2646" spans="1:14" x14ac:dyDescent="0.25">
      <c r="A2646" t="s">
        <v>4883</v>
      </c>
      <c r="B2646" t="s">
        <v>4884</v>
      </c>
      <c r="C2646" s="1" t="str">
        <f>HYPERLINK("http://www.genecards.org/cgi-bin/carddisp.pl?gene=ACOT9","GeneCards")</f>
        <v>GeneCards</v>
      </c>
      <c r="D2646" s="1" t="str">
        <f>HYPERLINK("http://genome-euro.ucsc.edu/cgi-bin/hgTracks?position=221641_s_at","UCSC")</f>
        <v>UCSC</v>
      </c>
      <c r="E2646" s="1" t="str">
        <f>HYPERLINK("http://www.ncbi.nlm.nih.gov/gene/?term=ACOT9","NCBI")</f>
        <v>NCBI</v>
      </c>
      <c r="F2646">
        <v>1.2999999999999999E-2</v>
      </c>
      <c r="G2646">
        <v>8.2000000000000003E-2</v>
      </c>
      <c r="H2646" s="1" t="str">
        <f>HYPERLINK("http://www.weizmann.ac.il/complex/compphys/software/geview/data/figures/221641_s_at.png","Figure")</f>
        <v>Figure</v>
      </c>
      <c r="I2646">
        <v>0.55800000000000005</v>
      </c>
      <c r="J2646">
        <v>0.15</v>
      </c>
      <c r="K2646">
        <v>0.40600000000000003</v>
      </c>
      <c r="L2646">
        <v>9.7999999999999997E-3</v>
      </c>
      <c r="M2646">
        <v>0.72699999999999998</v>
      </c>
      <c r="N2646">
        <v>0.5</v>
      </c>
    </row>
    <row r="2647" spans="1:14" x14ac:dyDescent="0.25">
      <c r="A2647" t="s">
        <v>4885</v>
      </c>
      <c r="B2647" t="s">
        <v>4886</v>
      </c>
      <c r="C2647" s="1" t="str">
        <f>HYPERLINK("http://www.genecards.org/cgi-bin/carddisp.pl?gene=RPL10","GeneCards")</f>
        <v>GeneCards</v>
      </c>
      <c r="D2647" s="1" t="str">
        <f>HYPERLINK("http://genome-euro.ucsc.edu/cgi-bin/hgTracks?position=221989_at","UCSC")</f>
        <v>UCSC</v>
      </c>
      <c r="E2647" s="1" t="str">
        <f>HYPERLINK("http://www.ncbi.nlm.nih.gov/gene/?term=RPL10","NCBI")</f>
        <v>NCBI</v>
      </c>
      <c r="F2647">
        <v>1.2999999999999999E-2</v>
      </c>
      <c r="G2647">
        <v>8.2000000000000003E-2</v>
      </c>
      <c r="H2647" s="1" t="str">
        <f>HYPERLINK("http://www.weizmann.ac.il/complex/compphys/software/geview/data/figures/221989_at.png","Figure")</f>
        <v>Figure</v>
      </c>
      <c r="I2647">
        <v>0.59599999999999997</v>
      </c>
      <c r="J2647">
        <v>5.8000000000000003E-2</v>
      </c>
      <c r="K2647">
        <v>1.1499999999999999</v>
      </c>
      <c r="L2647">
        <v>0.72</v>
      </c>
      <c r="M2647">
        <v>1.93</v>
      </c>
      <c r="N2647">
        <v>1.0999999999999999E-2</v>
      </c>
    </row>
    <row r="2648" spans="1:14" x14ac:dyDescent="0.25">
      <c r="A2648" t="s">
        <v>4887</v>
      </c>
      <c r="B2648" t="s">
        <v>4888</v>
      </c>
      <c r="C2648" s="1" t="str">
        <f>HYPERLINK("http://www.genecards.org/cgi-bin/carddisp.pl?gene=RP3-377H14.5","GeneCards")</f>
        <v>GeneCards</v>
      </c>
      <c r="D2648" s="1" t="str">
        <f>HYPERLINK("http://genome-euro.ucsc.edu/cgi-bin/hgTracks?position=222279_at","UCSC")</f>
        <v>UCSC</v>
      </c>
      <c r="E2648" s="1" t="str">
        <f>HYPERLINK("http://www.ncbi.nlm.nih.gov/gene/?term=RP3-377H14.5","NCBI")</f>
        <v>NCBI</v>
      </c>
      <c r="F2648">
        <v>1.2999999999999999E-2</v>
      </c>
      <c r="G2648">
        <v>8.2000000000000003E-2</v>
      </c>
      <c r="H2648" s="1" t="str">
        <f>HYPERLINK("http://www.weizmann.ac.il/complex/compphys/software/geview/data/figures/222279_at.png","Figure")</f>
        <v>Figure</v>
      </c>
      <c r="I2648">
        <v>0.93899999999999995</v>
      </c>
      <c r="J2648">
        <v>0.81</v>
      </c>
      <c r="K2648">
        <v>1.27</v>
      </c>
      <c r="L2648">
        <v>4.7E-2</v>
      </c>
      <c r="M2648">
        <v>1.35</v>
      </c>
      <c r="N2648">
        <v>1.9E-2</v>
      </c>
    </row>
    <row r="2649" spans="1:14" x14ac:dyDescent="0.25">
      <c r="A2649" t="s">
        <v>4889</v>
      </c>
      <c r="B2649" t="s">
        <v>4890</v>
      </c>
      <c r="C2649" s="1" t="str">
        <f>HYPERLINK("http://www.genecards.org/cgi-bin/carddisp.pl?gene=GLB1","GeneCards")</f>
        <v>GeneCards</v>
      </c>
      <c r="D2649" s="1" t="str">
        <f>HYPERLINK("http://genome-euro.ucsc.edu/cgi-bin/hgTracks?position=201576_s_at","UCSC")</f>
        <v>UCSC</v>
      </c>
      <c r="E2649" s="1" t="str">
        <f>HYPERLINK("http://www.ncbi.nlm.nih.gov/gene/?term=GLB1","NCBI")</f>
        <v>NCBI</v>
      </c>
      <c r="F2649">
        <v>1.2999999999999999E-2</v>
      </c>
      <c r="G2649">
        <v>8.2000000000000003E-2</v>
      </c>
      <c r="H2649" s="1" t="str">
        <f>HYPERLINK("http://www.weizmann.ac.il/complex/compphys/software/geview/data/figures/201576_s_at.png","Figure")</f>
        <v>Figure</v>
      </c>
      <c r="I2649">
        <v>0.76700000000000002</v>
      </c>
      <c r="J2649">
        <v>0.31</v>
      </c>
      <c r="K2649">
        <v>1.34</v>
      </c>
      <c r="L2649">
        <v>0.16</v>
      </c>
      <c r="M2649">
        <v>1.75</v>
      </c>
      <c r="N2649">
        <v>1.0999999999999999E-2</v>
      </c>
    </row>
    <row r="2650" spans="1:14" x14ac:dyDescent="0.25">
      <c r="A2650" t="s">
        <v>4891</v>
      </c>
      <c r="B2650" t="s">
        <v>1566</v>
      </c>
      <c r="C2650" s="1" t="str">
        <f>HYPERLINK("http://www.genecards.org/cgi-bin/carddisp.pl?gene=PPIL2","GeneCards")</f>
        <v>GeneCards</v>
      </c>
      <c r="D2650" s="1" t="str">
        <f>HYPERLINK("http://genome-euro.ucsc.edu/cgi-bin/hgTracks?position=206063_x_at","UCSC")</f>
        <v>UCSC</v>
      </c>
      <c r="E2650" s="1" t="str">
        <f>HYPERLINK("http://www.ncbi.nlm.nih.gov/gene/?term=PPIL2","NCBI")</f>
        <v>NCBI</v>
      </c>
      <c r="F2650">
        <v>1.2999999999999999E-2</v>
      </c>
      <c r="G2650">
        <v>8.2000000000000003E-2</v>
      </c>
      <c r="H2650" s="1" t="str">
        <f>HYPERLINK("http://www.weizmann.ac.il/complex/compphys/software/geview/data/figures/206063_x_at.png","Figure")</f>
        <v>Figure</v>
      </c>
      <c r="I2650">
        <v>1.56</v>
      </c>
      <c r="J2650">
        <v>9.7999999999999997E-3</v>
      </c>
      <c r="K2650">
        <v>1.24</v>
      </c>
      <c r="L2650">
        <v>0.17</v>
      </c>
      <c r="M2650">
        <v>0.79200000000000004</v>
      </c>
      <c r="N2650">
        <v>0.16</v>
      </c>
    </row>
    <row r="2651" spans="1:14" x14ac:dyDescent="0.25">
      <c r="A2651" t="s">
        <v>4892</v>
      </c>
      <c r="B2651" t="s">
        <v>4893</v>
      </c>
      <c r="C2651" s="1" t="str">
        <f>HYPERLINK("http://www.genecards.org/cgi-bin/carddisp.pl?gene=PDPK1","GeneCards")</f>
        <v>GeneCards</v>
      </c>
      <c r="D2651" s="1" t="str">
        <f>HYPERLINK("http://genome-euro.ucsc.edu/cgi-bin/hgTracks?position=32029_at","UCSC")</f>
        <v>UCSC</v>
      </c>
      <c r="E2651" s="1" t="str">
        <f>HYPERLINK("http://www.ncbi.nlm.nih.gov/gene/?term=PDPK1","NCBI")</f>
        <v>NCBI</v>
      </c>
      <c r="F2651">
        <v>1.2999999999999999E-2</v>
      </c>
      <c r="G2651">
        <v>8.2000000000000003E-2</v>
      </c>
      <c r="H2651" s="1" t="str">
        <f>HYPERLINK("http://www.weizmann.ac.il/complex/compphys/software/geview/data/figures/32029_at.png","Figure")</f>
        <v>Figure</v>
      </c>
      <c r="I2651">
        <v>1.5</v>
      </c>
      <c r="J2651">
        <v>1.0999999999999999E-2</v>
      </c>
      <c r="K2651">
        <v>1.1399999999999999</v>
      </c>
      <c r="L2651">
        <v>0.43</v>
      </c>
      <c r="M2651">
        <v>0.76</v>
      </c>
      <c r="N2651">
        <v>6.0999999999999999E-2</v>
      </c>
    </row>
    <row r="2652" spans="1:14" x14ac:dyDescent="0.25">
      <c r="A2652" t="s">
        <v>4894</v>
      </c>
      <c r="B2652" t="s">
        <v>4895</v>
      </c>
      <c r="C2652" s="1" t="str">
        <f>HYPERLINK("http://www.genecards.org/cgi-bin/carddisp.pl?gene=DGCR14","GeneCards")</f>
        <v>GeneCards</v>
      </c>
      <c r="D2652" s="1" t="str">
        <f>HYPERLINK("http://genome-euro.ucsc.edu/cgi-bin/hgTracks?position=32032_at","UCSC")</f>
        <v>UCSC</v>
      </c>
      <c r="E2652" s="1" t="str">
        <f>HYPERLINK("http://www.ncbi.nlm.nih.gov/gene/?term=DGCR14","NCBI")</f>
        <v>NCBI</v>
      </c>
      <c r="F2652">
        <v>1.2999999999999999E-2</v>
      </c>
      <c r="G2652">
        <v>8.2000000000000003E-2</v>
      </c>
      <c r="H2652" s="1" t="str">
        <f>HYPERLINK("http://www.weizmann.ac.il/complex/compphys/software/geview/data/figures/32032_at.png","Figure")</f>
        <v>Figure</v>
      </c>
      <c r="I2652">
        <v>1.07</v>
      </c>
      <c r="J2652">
        <v>0.86</v>
      </c>
      <c r="K2652">
        <v>0.745</v>
      </c>
      <c r="L2652">
        <v>4.2999999999999997E-2</v>
      </c>
      <c r="M2652">
        <v>0.69699999999999995</v>
      </c>
      <c r="N2652">
        <v>2.1000000000000001E-2</v>
      </c>
    </row>
    <row r="2653" spans="1:14" x14ac:dyDescent="0.25">
      <c r="A2653" t="s">
        <v>4896</v>
      </c>
      <c r="B2653" t="s">
        <v>4897</v>
      </c>
      <c r="C2653" s="1" t="str">
        <f>HYPERLINK("http://www.genecards.org/cgi-bin/carddisp.pl?gene=SCAMP3","GeneCards")</f>
        <v>GeneCards</v>
      </c>
      <c r="D2653" s="1" t="str">
        <f>HYPERLINK("http://genome-euro.ucsc.edu/cgi-bin/hgTracks?position=201771_at","UCSC")</f>
        <v>UCSC</v>
      </c>
      <c r="E2653" s="1" t="str">
        <f>HYPERLINK("http://www.ncbi.nlm.nih.gov/gene/?term=SCAMP3","NCBI")</f>
        <v>NCBI</v>
      </c>
      <c r="F2653">
        <v>1.2999999999999999E-2</v>
      </c>
      <c r="G2653">
        <v>8.2000000000000003E-2</v>
      </c>
      <c r="H2653" s="1" t="str">
        <f>HYPERLINK("http://www.weizmann.ac.il/complex/compphys/software/geview/data/figures/201771_at.png","Figure")</f>
        <v>Figure</v>
      </c>
      <c r="I2653">
        <v>1.1299999999999999</v>
      </c>
      <c r="J2653">
        <v>0.32</v>
      </c>
      <c r="K2653">
        <v>1.29</v>
      </c>
      <c r="L2653">
        <v>0.01</v>
      </c>
      <c r="M2653">
        <v>1.1399999999999999</v>
      </c>
      <c r="N2653">
        <v>0.25</v>
      </c>
    </row>
    <row r="2654" spans="1:14" x14ac:dyDescent="0.25">
      <c r="A2654" t="s">
        <v>4898</v>
      </c>
      <c r="B2654" t="s">
        <v>4899</v>
      </c>
      <c r="C2654" s="1" t="str">
        <f>HYPERLINK("http://www.genecards.org/cgi-bin/carddisp.pl?gene=ARF3","GeneCards")</f>
        <v>GeneCards</v>
      </c>
      <c r="D2654" s="1" t="str">
        <f>HYPERLINK("http://genome-euro.ucsc.edu/cgi-bin/hgTracks?position=211622_s_at","UCSC")</f>
        <v>UCSC</v>
      </c>
      <c r="E2654" s="1" t="str">
        <f>HYPERLINK("http://www.ncbi.nlm.nih.gov/gene/?term=ARF3","NCBI")</f>
        <v>NCBI</v>
      </c>
      <c r="F2654">
        <v>1.2999999999999999E-2</v>
      </c>
      <c r="G2654">
        <v>8.2000000000000003E-2</v>
      </c>
      <c r="H2654" s="1" t="str">
        <f>HYPERLINK("http://www.weizmann.ac.il/complex/compphys/software/geview/data/figures/211622_s_at.png","Figure")</f>
        <v>Figure</v>
      </c>
      <c r="I2654">
        <v>1.53</v>
      </c>
      <c r="J2654">
        <v>1.2999999999999999E-2</v>
      </c>
      <c r="K2654">
        <v>1.33</v>
      </c>
      <c r="L2654">
        <v>5.6000000000000001E-2</v>
      </c>
      <c r="M2654">
        <v>0.86799999999999999</v>
      </c>
      <c r="N2654">
        <v>0.47</v>
      </c>
    </row>
    <row r="2655" spans="1:14" x14ac:dyDescent="0.25">
      <c r="A2655" t="s">
        <v>4900</v>
      </c>
      <c r="B2655" t="s">
        <v>4901</v>
      </c>
      <c r="C2655" s="1" t="str">
        <f>HYPERLINK("http://www.genecards.org/cgi-bin/carddisp.pl?gene=TNFSF12","GeneCards")</f>
        <v>GeneCards</v>
      </c>
      <c r="D2655" s="1" t="str">
        <f>HYPERLINK("http://genome-euro.ucsc.edu/cgi-bin/hgTracks?position=205611_at","UCSC")</f>
        <v>UCSC</v>
      </c>
      <c r="E2655" s="1" t="str">
        <f>HYPERLINK("http://www.ncbi.nlm.nih.gov/gene/?term=TNFSF12","NCBI")</f>
        <v>NCBI</v>
      </c>
      <c r="F2655">
        <v>1.2999999999999999E-2</v>
      </c>
      <c r="G2655">
        <v>8.2000000000000003E-2</v>
      </c>
      <c r="H2655" s="1" t="str">
        <f>HYPERLINK("http://www.weizmann.ac.il/complex/compphys/software/geview/data/figures/205611_at.png","Figure")</f>
        <v>Figure</v>
      </c>
      <c r="I2655">
        <v>1.44</v>
      </c>
      <c r="J2655">
        <v>9.7999999999999997E-3</v>
      </c>
      <c r="K2655">
        <v>1.18</v>
      </c>
      <c r="L2655">
        <v>0.18</v>
      </c>
      <c r="M2655">
        <v>0.82399999999999995</v>
      </c>
      <c r="N2655">
        <v>0.15</v>
      </c>
    </row>
    <row r="2656" spans="1:14" x14ac:dyDescent="0.25">
      <c r="A2656" t="s">
        <v>4902</v>
      </c>
      <c r="B2656" t="s">
        <v>4903</v>
      </c>
      <c r="C2656" s="1" t="str">
        <f>HYPERLINK("http://www.genecards.org/cgi-bin/carddisp.pl?gene=BIK","GeneCards")</f>
        <v>GeneCards</v>
      </c>
      <c r="D2656" s="1" t="str">
        <f>HYPERLINK("http://genome-euro.ucsc.edu/cgi-bin/hgTracks?position=205780_at","UCSC")</f>
        <v>UCSC</v>
      </c>
      <c r="E2656" s="1" t="str">
        <f>HYPERLINK("http://www.ncbi.nlm.nih.gov/gene/?term=BIK","NCBI")</f>
        <v>NCBI</v>
      </c>
      <c r="F2656">
        <v>1.2999999999999999E-2</v>
      </c>
      <c r="G2656">
        <v>8.2000000000000003E-2</v>
      </c>
      <c r="H2656" s="1" t="str">
        <f>HYPERLINK("http://www.weizmann.ac.il/complex/compphys/software/geview/data/figures/205780_at.png","Figure")</f>
        <v>Figure</v>
      </c>
      <c r="I2656">
        <v>1.19</v>
      </c>
      <c r="J2656">
        <v>0.15</v>
      </c>
      <c r="K2656">
        <v>1.3</v>
      </c>
      <c r="L2656">
        <v>0.01</v>
      </c>
      <c r="M2656">
        <v>1.0900000000000001</v>
      </c>
      <c r="N2656">
        <v>0.52</v>
      </c>
    </row>
    <row r="2657" spans="1:14" x14ac:dyDescent="0.25">
      <c r="A2657" t="s">
        <v>4904</v>
      </c>
      <c r="B2657" t="s">
        <v>4905</v>
      </c>
      <c r="C2657" s="1" t="str">
        <f>HYPERLINK("http://www.genecards.org/cgi-bin/carddisp.pl?gene=LOXL2","GeneCards")</f>
        <v>GeneCards</v>
      </c>
      <c r="D2657" s="1" t="str">
        <f>HYPERLINK("http://genome-euro.ucsc.edu/cgi-bin/hgTracks?position=202997_s_at","UCSC")</f>
        <v>UCSC</v>
      </c>
      <c r="E2657" s="1" t="str">
        <f>HYPERLINK("http://www.ncbi.nlm.nih.gov/gene/?term=LOXL2","NCBI")</f>
        <v>NCBI</v>
      </c>
      <c r="F2657">
        <v>1.2999999999999999E-2</v>
      </c>
      <c r="G2657">
        <v>8.2000000000000003E-2</v>
      </c>
      <c r="H2657" s="1" t="str">
        <f>HYPERLINK("http://www.weizmann.ac.il/complex/compphys/software/geview/data/figures/202997_s_at.png","Figure")</f>
        <v>Figure</v>
      </c>
      <c r="I2657">
        <v>1.17</v>
      </c>
      <c r="J2657">
        <v>2.9000000000000001E-2</v>
      </c>
      <c r="K2657">
        <v>1.1599999999999999</v>
      </c>
      <c r="L2657">
        <v>1.9E-2</v>
      </c>
      <c r="M2657">
        <v>0.99</v>
      </c>
      <c r="N2657">
        <v>0.98</v>
      </c>
    </row>
    <row r="2658" spans="1:14" x14ac:dyDescent="0.25">
      <c r="A2658" t="s">
        <v>4906</v>
      </c>
      <c r="B2658" t="s">
        <v>4907</v>
      </c>
      <c r="C2658" s="1" t="str">
        <f>HYPERLINK("http://www.genecards.org/cgi-bin/carddisp.pl?gene=C22orf26","GeneCards")</f>
        <v>GeneCards</v>
      </c>
      <c r="D2658" s="1" t="str">
        <f>HYPERLINK("http://genome-euro.ucsc.edu/cgi-bin/hgTracks?position=220681_at","UCSC")</f>
        <v>UCSC</v>
      </c>
      <c r="E2658" s="1" t="str">
        <f>HYPERLINK("http://www.ncbi.nlm.nih.gov/gene/?term=C22orf26","NCBI")</f>
        <v>NCBI</v>
      </c>
      <c r="F2658">
        <v>1.2999999999999999E-2</v>
      </c>
      <c r="G2658">
        <v>8.2000000000000003E-2</v>
      </c>
      <c r="H2658" s="1" t="str">
        <f>HYPERLINK("http://www.weizmann.ac.il/complex/compphys/software/geview/data/figures/220681_at.png","Figure")</f>
        <v>Figure</v>
      </c>
      <c r="I2658">
        <v>1.25</v>
      </c>
      <c r="J2658">
        <v>9.9000000000000008E-3</v>
      </c>
      <c r="K2658">
        <v>1.1200000000000001</v>
      </c>
      <c r="L2658">
        <v>0.16</v>
      </c>
      <c r="M2658">
        <v>0.89200000000000002</v>
      </c>
      <c r="N2658">
        <v>0.18</v>
      </c>
    </row>
    <row r="2659" spans="1:14" x14ac:dyDescent="0.25">
      <c r="A2659" t="s">
        <v>4908</v>
      </c>
      <c r="B2659" t="s">
        <v>4909</v>
      </c>
      <c r="C2659" s="1" t="str">
        <f>HYPERLINK("http://www.genecards.org/cgi-bin/carddisp.pl?gene=SYDE1","GeneCards")</f>
        <v>GeneCards</v>
      </c>
      <c r="D2659" s="1" t="str">
        <f>HYPERLINK("http://genome-euro.ucsc.edu/cgi-bin/hgTracks?position=212962_at","UCSC")</f>
        <v>UCSC</v>
      </c>
      <c r="E2659" s="1" t="str">
        <f>HYPERLINK("http://www.ncbi.nlm.nih.gov/gene/?term=SYDE1","NCBI")</f>
        <v>NCBI</v>
      </c>
      <c r="F2659">
        <v>1.2999999999999999E-2</v>
      </c>
      <c r="G2659">
        <v>8.2000000000000003E-2</v>
      </c>
      <c r="H2659" s="1" t="str">
        <f>HYPERLINK("http://www.weizmann.ac.il/complex/compphys/software/geview/data/figures/212962_at.png","Figure")</f>
        <v>Figure</v>
      </c>
      <c r="I2659">
        <v>1.31</v>
      </c>
      <c r="J2659">
        <v>0.01</v>
      </c>
      <c r="K2659">
        <v>1.1499999999999999</v>
      </c>
      <c r="L2659">
        <v>0.12</v>
      </c>
      <c r="M2659">
        <v>0.88200000000000001</v>
      </c>
      <c r="N2659">
        <v>0.22</v>
      </c>
    </row>
    <row r="2660" spans="1:14" x14ac:dyDescent="0.25">
      <c r="A2660" t="s">
        <v>4910</v>
      </c>
      <c r="B2660" t="s">
        <v>4911</v>
      </c>
      <c r="C2660" s="1" t="str">
        <f>HYPERLINK("http://www.genecards.org/cgi-bin/carddisp.pl?gene=IFITM1","GeneCards")</f>
        <v>GeneCards</v>
      </c>
      <c r="D2660" s="1" t="str">
        <f>HYPERLINK("http://genome-euro.ucsc.edu/cgi-bin/hgTracks?position=214022_s_at","UCSC")</f>
        <v>UCSC</v>
      </c>
      <c r="E2660" s="1" t="str">
        <f>HYPERLINK("http://www.ncbi.nlm.nih.gov/gene/?term=IFITM1","NCBI")</f>
        <v>NCBI</v>
      </c>
      <c r="F2660">
        <v>1.2999999999999999E-2</v>
      </c>
      <c r="G2660">
        <v>8.2000000000000003E-2</v>
      </c>
      <c r="H2660" s="1" t="str">
        <f>HYPERLINK("http://www.weizmann.ac.il/complex/compphys/software/geview/data/figures/214022_s_at.png","Figure")</f>
        <v>Figure</v>
      </c>
      <c r="I2660">
        <v>0.29099999999999998</v>
      </c>
      <c r="J2660">
        <v>9.9000000000000008E-3</v>
      </c>
      <c r="K2660">
        <v>0.61399999999999999</v>
      </c>
      <c r="L2660">
        <v>0.28000000000000003</v>
      </c>
      <c r="M2660">
        <v>2.11</v>
      </c>
      <c r="N2660">
        <v>9.6000000000000002E-2</v>
      </c>
    </row>
    <row r="2661" spans="1:14" x14ac:dyDescent="0.25">
      <c r="A2661" t="s">
        <v>4912</v>
      </c>
      <c r="B2661" t="s">
        <v>4913</v>
      </c>
      <c r="C2661" s="1" t="str">
        <f>HYPERLINK("http://www.genecards.org/cgi-bin/carddisp.pl?gene=MAP4","GeneCards")</f>
        <v>GeneCards</v>
      </c>
      <c r="D2661" s="1" t="str">
        <f>HYPERLINK("http://genome-euro.ucsc.edu/cgi-bin/hgTracks?position=200836_s_at","UCSC")</f>
        <v>UCSC</v>
      </c>
      <c r="E2661" s="1" t="str">
        <f>HYPERLINK("http://www.ncbi.nlm.nih.gov/gene/?term=MAP4","NCBI")</f>
        <v>NCBI</v>
      </c>
      <c r="F2661">
        <v>1.2999999999999999E-2</v>
      </c>
      <c r="G2661">
        <v>8.2000000000000003E-2</v>
      </c>
      <c r="H2661" s="1" t="str">
        <f>HYPERLINK("http://www.weizmann.ac.il/complex/compphys/software/geview/data/figures/200836_s_at.png","Figure")</f>
        <v>Figure</v>
      </c>
      <c r="I2661">
        <v>1.29</v>
      </c>
      <c r="J2661">
        <v>0.01</v>
      </c>
      <c r="K2661">
        <v>1.1000000000000001</v>
      </c>
      <c r="L2661">
        <v>0.3</v>
      </c>
      <c r="M2661">
        <v>0.85499999999999998</v>
      </c>
      <c r="N2661">
        <v>9.1999999999999998E-2</v>
      </c>
    </row>
    <row r="2662" spans="1:14" x14ac:dyDescent="0.25">
      <c r="A2662" t="s">
        <v>4914</v>
      </c>
      <c r="B2662" t="s">
        <v>4915</v>
      </c>
      <c r="C2662" s="1" t="str">
        <f>HYPERLINK("http://www.genecards.org/cgi-bin/carddisp.pl?gene=GOLGA2","GeneCards")</f>
        <v>GeneCards</v>
      </c>
      <c r="D2662" s="1" t="str">
        <f>HYPERLINK("http://genome-euro.ucsc.edu/cgi-bin/hgTracks?position=211059_s_at","UCSC")</f>
        <v>UCSC</v>
      </c>
      <c r="E2662" s="1" t="str">
        <f>HYPERLINK("http://www.ncbi.nlm.nih.gov/gene/?term=GOLGA2","NCBI")</f>
        <v>NCBI</v>
      </c>
      <c r="F2662">
        <v>1.2999999999999999E-2</v>
      </c>
      <c r="G2662">
        <v>8.2000000000000003E-2</v>
      </c>
      <c r="H2662" s="1" t="str">
        <f>HYPERLINK("http://www.weizmann.ac.il/complex/compphys/software/geview/data/figures/211059_s_at.png","Figure")</f>
        <v>Figure</v>
      </c>
      <c r="I2662">
        <v>1.27</v>
      </c>
      <c r="J2662">
        <v>2.9000000000000001E-2</v>
      </c>
      <c r="K2662">
        <v>0.98899999999999999</v>
      </c>
      <c r="L2662">
        <v>0.99</v>
      </c>
      <c r="M2662">
        <v>0.77600000000000002</v>
      </c>
      <c r="N2662">
        <v>1.4999999999999999E-2</v>
      </c>
    </row>
    <row r="2663" spans="1:14" x14ac:dyDescent="0.25">
      <c r="A2663" t="s">
        <v>4916</v>
      </c>
      <c r="B2663" t="s">
        <v>4917</v>
      </c>
      <c r="C2663" s="1" t="str">
        <f>HYPERLINK("http://www.genecards.org/cgi-bin/carddisp.pl?gene=EIF3K","GeneCards")</f>
        <v>GeneCards</v>
      </c>
      <c r="D2663" s="1" t="str">
        <f>HYPERLINK("http://genome-euro.ucsc.edu/cgi-bin/hgTracks?position=221494_x_at","UCSC")</f>
        <v>UCSC</v>
      </c>
      <c r="E2663" s="1" t="str">
        <f>HYPERLINK("http://www.ncbi.nlm.nih.gov/gene/?term=EIF3K","NCBI")</f>
        <v>NCBI</v>
      </c>
      <c r="F2663">
        <v>1.2999999999999999E-2</v>
      </c>
      <c r="G2663">
        <v>8.2000000000000003E-2</v>
      </c>
      <c r="H2663" s="1" t="str">
        <f>HYPERLINK("http://www.weizmann.ac.il/complex/compphys/software/geview/data/figures/221494_x_at.png","Figure")</f>
        <v>Figure</v>
      </c>
      <c r="I2663">
        <v>1.6</v>
      </c>
      <c r="J2663">
        <v>4.2000000000000003E-2</v>
      </c>
      <c r="K2663">
        <v>1.64</v>
      </c>
      <c r="L2663">
        <v>1.4999999999999999E-2</v>
      </c>
      <c r="M2663">
        <v>1.02</v>
      </c>
      <c r="N2663">
        <v>0.99</v>
      </c>
    </row>
    <row r="2664" spans="1:14" x14ac:dyDescent="0.25">
      <c r="A2664" t="s">
        <v>4918</v>
      </c>
      <c r="B2664" t="s">
        <v>4919</v>
      </c>
      <c r="C2664" s="1" t="str">
        <f>HYPERLINK("http://www.genecards.org/cgi-bin/carddisp.pl?gene=MRPL41","GeneCards")</f>
        <v>GeneCards</v>
      </c>
      <c r="D2664" s="1" t="str">
        <f>HYPERLINK("http://genome-euro.ucsc.edu/cgi-bin/hgTracks?position=221936_x_at","UCSC")</f>
        <v>UCSC</v>
      </c>
      <c r="E2664" s="1" t="str">
        <f>HYPERLINK("http://www.ncbi.nlm.nih.gov/gene/?term=MRPL41","NCBI")</f>
        <v>NCBI</v>
      </c>
      <c r="F2664">
        <v>1.2999999999999999E-2</v>
      </c>
      <c r="G2664">
        <v>8.3000000000000004E-2</v>
      </c>
      <c r="H2664" s="1" t="str">
        <f>HYPERLINK("http://www.weizmann.ac.il/complex/compphys/software/geview/data/figures/221936_x_at.png","Figure")</f>
        <v>Figure</v>
      </c>
      <c r="I2664">
        <v>1.39</v>
      </c>
      <c r="J2664">
        <v>1.0999999999999999E-2</v>
      </c>
      <c r="K2664">
        <v>1.22</v>
      </c>
      <c r="L2664">
        <v>7.9000000000000001E-2</v>
      </c>
      <c r="M2664">
        <v>0.877</v>
      </c>
      <c r="N2664">
        <v>0.34</v>
      </c>
    </row>
    <row r="2665" spans="1:14" x14ac:dyDescent="0.25">
      <c r="A2665" t="s">
        <v>4920</v>
      </c>
      <c r="B2665" t="s">
        <v>2862</v>
      </c>
      <c r="C2665" s="1" t="str">
        <f>HYPERLINK("http://www.genecards.org/cgi-bin/carddisp.pl?gene=SLC15A2","GeneCards")</f>
        <v>GeneCards</v>
      </c>
      <c r="D2665" s="1" t="str">
        <f>HYPERLINK("http://genome-euro.ucsc.edu/cgi-bin/hgTracks?position=205316_at","UCSC")</f>
        <v>UCSC</v>
      </c>
      <c r="E2665" s="1" t="str">
        <f>HYPERLINK("http://www.ncbi.nlm.nih.gov/gene/?term=SLC15A2","NCBI")</f>
        <v>NCBI</v>
      </c>
      <c r="F2665">
        <v>1.2999999999999999E-2</v>
      </c>
      <c r="G2665">
        <v>8.3000000000000004E-2</v>
      </c>
      <c r="H2665" s="1" t="str">
        <f>HYPERLINK("http://www.weizmann.ac.il/complex/compphys/software/geview/data/figures/205316_at.png","Figure")</f>
        <v>Figure</v>
      </c>
      <c r="I2665">
        <v>1.04</v>
      </c>
      <c r="J2665">
        <v>0.99</v>
      </c>
      <c r="K2665">
        <v>2.19</v>
      </c>
      <c r="L2665">
        <v>2.1999999999999999E-2</v>
      </c>
      <c r="M2665">
        <v>2.11</v>
      </c>
      <c r="N2665">
        <v>4.1000000000000002E-2</v>
      </c>
    </row>
    <row r="2666" spans="1:14" x14ac:dyDescent="0.25">
      <c r="A2666" t="s">
        <v>4921</v>
      </c>
      <c r="B2666" t="s">
        <v>4922</v>
      </c>
      <c r="C2666" s="1" t="str">
        <f>HYPERLINK("http://www.genecards.org/cgi-bin/carddisp.pl?gene=STMN1","GeneCards")</f>
        <v>GeneCards</v>
      </c>
      <c r="D2666" s="1" t="str">
        <f>HYPERLINK("http://genome-euro.ucsc.edu/cgi-bin/hgTracks?position=217714_x_at","UCSC")</f>
        <v>UCSC</v>
      </c>
      <c r="E2666" s="1" t="str">
        <f>HYPERLINK("http://www.ncbi.nlm.nih.gov/gene/?term=STMN1","NCBI")</f>
        <v>NCBI</v>
      </c>
      <c r="F2666">
        <v>1.2999999999999999E-2</v>
      </c>
      <c r="G2666">
        <v>8.3000000000000004E-2</v>
      </c>
      <c r="H2666" s="1" t="str">
        <f>HYPERLINK("http://www.weizmann.ac.il/complex/compphys/software/geview/data/figures/217714_x_at.png","Figure")</f>
        <v>Figure</v>
      </c>
      <c r="I2666">
        <v>1.55</v>
      </c>
      <c r="J2666">
        <v>9.9000000000000008E-3</v>
      </c>
      <c r="K2666">
        <v>1.22</v>
      </c>
      <c r="L2666">
        <v>0.2</v>
      </c>
      <c r="M2666">
        <v>0.78800000000000003</v>
      </c>
      <c r="N2666">
        <v>0.14000000000000001</v>
      </c>
    </row>
    <row r="2667" spans="1:14" x14ac:dyDescent="0.25">
      <c r="A2667" t="s">
        <v>4923</v>
      </c>
      <c r="B2667" t="s">
        <v>4924</v>
      </c>
      <c r="C2667" s="1" t="str">
        <f>HYPERLINK("http://www.genecards.org/cgi-bin/carddisp.pl?gene=WHSC2","GeneCards")</f>
        <v>GeneCards</v>
      </c>
      <c r="D2667" s="1" t="str">
        <f>HYPERLINK("http://genome-euro.ucsc.edu/cgi-bin/hgTracks?position=34225_at","UCSC")</f>
        <v>UCSC</v>
      </c>
      <c r="E2667" s="1" t="str">
        <f>HYPERLINK("http://www.ncbi.nlm.nih.gov/gene/?term=WHSC2","NCBI")</f>
        <v>NCBI</v>
      </c>
      <c r="F2667">
        <v>1.2999999999999999E-2</v>
      </c>
      <c r="G2667">
        <v>8.3000000000000004E-2</v>
      </c>
      <c r="H2667" s="1" t="str">
        <f>HYPERLINK("http://www.weizmann.ac.il/complex/compphys/software/geview/data/figures/34225_at.png","Figure")</f>
        <v>Figure</v>
      </c>
      <c r="I2667">
        <v>0.76400000000000001</v>
      </c>
      <c r="J2667">
        <v>1.2999999999999999E-2</v>
      </c>
      <c r="K2667">
        <v>0.93899999999999995</v>
      </c>
      <c r="L2667">
        <v>0.65</v>
      </c>
      <c r="M2667">
        <v>1.23</v>
      </c>
      <c r="N2667">
        <v>3.9E-2</v>
      </c>
    </row>
    <row r="2668" spans="1:14" x14ac:dyDescent="0.25">
      <c r="A2668" t="s">
        <v>4925</v>
      </c>
      <c r="B2668" t="s">
        <v>4926</v>
      </c>
      <c r="C2668" s="1" t="str">
        <f>HYPERLINK("http://www.genecards.org/cgi-bin/carddisp.pl?gene=MAD2L1","GeneCards")</f>
        <v>GeneCards</v>
      </c>
      <c r="D2668" s="1" t="str">
        <f>HYPERLINK("http://genome-euro.ucsc.edu/cgi-bin/hgTracks?position=203362_s_at","UCSC")</f>
        <v>UCSC</v>
      </c>
      <c r="E2668" s="1" t="str">
        <f>HYPERLINK("http://www.ncbi.nlm.nih.gov/gene/?term=MAD2L1","NCBI")</f>
        <v>NCBI</v>
      </c>
      <c r="F2668">
        <v>1.2999999999999999E-2</v>
      </c>
      <c r="G2668">
        <v>8.3000000000000004E-2</v>
      </c>
      <c r="H2668" s="1" t="str">
        <f>HYPERLINK("http://www.weizmann.ac.il/complex/compphys/software/geview/data/figures/203362_s_at.png","Figure")</f>
        <v>Figure</v>
      </c>
      <c r="I2668">
        <v>0.43099999999999999</v>
      </c>
      <c r="J2668">
        <v>3.3000000000000002E-2</v>
      </c>
      <c r="K2668">
        <v>1.08</v>
      </c>
      <c r="L2668">
        <v>0.96</v>
      </c>
      <c r="M2668">
        <v>2.5</v>
      </c>
      <c r="N2668">
        <v>1.4E-2</v>
      </c>
    </row>
    <row r="2669" spans="1:14" x14ac:dyDescent="0.25">
      <c r="A2669" t="s">
        <v>4927</v>
      </c>
      <c r="B2669" t="s">
        <v>4928</v>
      </c>
      <c r="C2669" s="1" t="str">
        <f>HYPERLINK("http://www.genecards.org/cgi-bin/carddisp.pl?gene=CCNE1","GeneCards")</f>
        <v>GeneCards</v>
      </c>
      <c r="D2669" s="1" t="str">
        <f>HYPERLINK("http://genome-euro.ucsc.edu/cgi-bin/hgTracks?position=213523_at","UCSC")</f>
        <v>UCSC</v>
      </c>
      <c r="E2669" s="1" t="str">
        <f>HYPERLINK("http://www.ncbi.nlm.nih.gov/gene/?term=CCNE1","NCBI")</f>
        <v>NCBI</v>
      </c>
      <c r="F2669">
        <v>1.2999999999999999E-2</v>
      </c>
      <c r="G2669">
        <v>8.3000000000000004E-2</v>
      </c>
      <c r="H2669" s="1" t="str">
        <f>HYPERLINK("http://www.weizmann.ac.il/complex/compphys/software/geview/data/figures/213523_at.png","Figure")</f>
        <v>Figure</v>
      </c>
      <c r="I2669">
        <v>0.91700000000000004</v>
      </c>
      <c r="J2669">
        <v>0.91</v>
      </c>
      <c r="K2669">
        <v>0.56100000000000005</v>
      </c>
      <c r="L2669">
        <v>1.7000000000000001E-2</v>
      </c>
      <c r="M2669">
        <v>0.61199999999999999</v>
      </c>
      <c r="N2669">
        <v>5.8000000000000003E-2</v>
      </c>
    </row>
    <row r="2670" spans="1:14" x14ac:dyDescent="0.25">
      <c r="A2670" t="s">
        <v>4929</v>
      </c>
      <c r="B2670" t="s">
        <v>4930</v>
      </c>
      <c r="C2670" s="1" t="str">
        <f>HYPERLINK("http://www.genecards.org/cgi-bin/carddisp.pl?gene=HLA-A","GeneCards")</f>
        <v>GeneCards</v>
      </c>
      <c r="D2670" s="1" t="str">
        <f>HYPERLINK("http://genome-euro.ucsc.edu/cgi-bin/hgTracks?position=215313_x_at","UCSC")</f>
        <v>UCSC</v>
      </c>
      <c r="E2670" s="1" t="str">
        <f>HYPERLINK("http://www.ncbi.nlm.nih.gov/gene/?term=HLA-A","NCBI")</f>
        <v>NCBI</v>
      </c>
      <c r="F2670">
        <v>1.2999999999999999E-2</v>
      </c>
      <c r="G2670">
        <v>8.3000000000000004E-2</v>
      </c>
      <c r="H2670" s="1" t="str">
        <f>HYPERLINK("http://www.weizmann.ac.il/complex/compphys/software/geview/data/figures/215313_x_at.png","Figure")</f>
        <v>Figure</v>
      </c>
      <c r="I2670">
        <v>0.88</v>
      </c>
      <c r="J2670">
        <v>0.27</v>
      </c>
      <c r="K2670">
        <v>0.78700000000000003</v>
      </c>
      <c r="L2670">
        <v>0.01</v>
      </c>
      <c r="M2670">
        <v>0.89500000000000002</v>
      </c>
      <c r="N2670">
        <v>0.31</v>
      </c>
    </row>
    <row r="2671" spans="1:14" x14ac:dyDescent="0.25">
      <c r="A2671" t="s">
        <v>4931</v>
      </c>
      <c r="B2671" t="s">
        <v>4932</v>
      </c>
      <c r="C2671" s="1" t="str">
        <f>HYPERLINK("http://www.genecards.org/cgi-bin/carddisp.pl?gene=PARK7","GeneCards")</f>
        <v>GeneCards</v>
      </c>
      <c r="D2671" s="1" t="str">
        <f>HYPERLINK("http://genome-euro.ucsc.edu/cgi-bin/hgTracks?position=200006_at","UCSC")</f>
        <v>UCSC</v>
      </c>
      <c r="E2671" s="1" t="str">
        <f>HYPERLINK("http://www.ncbi.nlm.nih.gov/gene/?term=PARK7","NCBI")</f>
        <v>NCBI</v>
      </c>
      <c r="F2671">
        <v>1.2999999999999999E-2</v>
      </c>
      <c r="G2671">
        <v>8.3000000000000004E-2</v>
      </c>
      <c r="H2671" s="1" t="str">
        <f>HYPERLINK("http://www.weizmann.ac.il/complex/compphys/software/geview/data/figures/200006_at.png","Figure")</f>
        <v>Figure</v>
      </c>
      <c r="I2671">
        <v>1.02</v>
      </c>
      <c r="J2671">
        <v>0.99</v>
      </c>
      <c r="K2671">
        <v>1.61</v>
      </c>
      <c r="L2671">
        <v>2.1999999999999999E-2</v>
      </c>
      <c r="M2671">
        <v>1.58</v>
      </c>
      <c r="N2671">
        <v>4.1000000000000002E-2</v>
      </c>
    </row>
    <row r="2672" spans="1:14" x14ac:dyDescent="0.25">
      <c r="A2672" t="s">
        <v>4933</v>
      </c>
      <c r="B2672" t="s">
        <v>3634</v>
      </c>
      <c r="C2672" s="1" t="str">
        <f>HYPERLINK("http://www.genecards.org/cgi-bin/carddisp.pl?gene=_x001A__x001A__x001A_-06","GeneCards")</f>
        <v>GeneCards</v>
      </c>
      <c r="D2672" s="1" t="str">
        <f>HYPERLINK("http://genome-euro.ucsc.edu/cgi-bin/hgTracks?position=201737_s_at","UCSC")</f>
        <v>UCSC</v>
      </c>
      <c r="E2672" s="1" t="str">
        <f>HYPERLINK("http://www.ncbi.nlm.nih.gov/gene/?term=_x001A__x001A__x001A_-06","NCBI")</f>
        <v>NCBI</v>
      </c>
      <c r="F2672">
        <v>1.2999999999999999E-2</v>
      </c>
      <c r="G2672">
        <v>8.3000000000000004E-2</v>
      </c>
      <c r="H2672" s="1" t="str">
        <f>HYPERLINK("http://www.weizmann.ac.il/complex/compphys/software/geview/data/figures/201737_s_at.png","Figure")</f>
        <v>Figure</v>
      </c>
      <c r="I2672">
        <v>0.46400000000000002</v>
      </c>
      <c r="J2672">
        <v>1.6E-2</v>
      </c>
      <c r="K2672">
        <v>0.56499999999999995</v>
      </c>
      <c r="L2672">
        <v>3.9E-2</v>
      </c>
      <c r="M2672">
        <v>1.22</v>
      </c>
      <c r="N2672">
        <v>0.66</v>
      </c>
    </row>
    <row r="2673" spans="1:14" x14ac:dyDescent="0.25">
      <c r="A2673" t="s">
        <v>4934</v>
      </c>
      <c r="B2673" t="s">
        <v>4935</v>
      </c>
      <c r="C2673" s="1" t="str">
        <f>HYPERLINK("http://www.genecards.org/cgi-bin/carddisp.pl?gene=NUPL1","GeneCards")</f>
        <v>GeneCards</v>
      </c>
      <c r="D2673" s="1" t="str">
        <f>HYPERLINK("http://genome-euro.ucsc.edu/cgi-bin/hgTracks?position=204435_at","UCSC")</f>
        <v>UCSC</v>
      </c>
      <c r="E2673" s="1" t="str">
        <f>HYPERLINK("http://www.ncbi.nlm.nih.gov/gene/?term=NUPL1","NCBI")</f>
        <v>NCBI</v>
      </c>
      <c r="F2673">
        <v>1.2999999999999999E-2</v>
      </c>
      <c r="G2673">
        <v>8.3000000000000004E-2</v>
      </c>
      <c r="H2673" s="1" t="str">
        <f>HYPERLINK("http://www.weizmann.ac.il/complex/compphys/software/geview/data/figures/204435_at.png","Figure")</f>
        <v>Figure</v>
      </c>
      <c r="I2673">
        <v>0.75900000000000001</v>
      </c>
      <c r="J2673">
        <v>0.72</v>
      </c>
      <c r="K2673">
        <v>0.35899999999999999</v>
      </c>
      <c r="L2673">
        <v>1.4E-2</v>
      </c>
      <c r="M2673">
        <v>0.47299999999999998</v>
      </c>
      <c r="N2673">
        <v>9.4E-2</v>
      </c>
    </row>
    <row r="2674" spans="1:14" x14ac:dyDescent="0.25">
      <c r="A2674" t="s">
        <v>4936</v>
      </c>
      <c r="B2674" t="s">
        <v>4937</v>
      </c>
      <c r="C2674" s="1" t="str">
        <f>HYPERLINK("http://www.genecards.org/cgi-bin/carddisp.pl?gene=UPK3B","GeneCards")</f>
        <v>GeneCards</v>
      </c>
      <c r="D2674" s="1" t="str">
        <f>HYPERLINK("http://genome-euro.ucsc.edu/cgi-bin/hgTracks?position=206658_at","UCSC")</f>
        <v>UCSC</v>
      </c>
      <c r="E2674" s="1" t="str">
        <f>HYPERLINK("http://www.ncbi.nlm.nih.gov/gene/?term=UPK3B","NCBI")</f>
        <v>NCBI</v>
      </c>
      <c r="F2674">
        <v>1.2999999999999999E-2</v>
      </c>
      <c r="G2674">
        <v>8.4000000000000005E-2</v>
      </c>
      <c r="H2674" s="1" t="str">
        <f>HYPERLINK("http://www.weizmann.ac.il/complex/compphys/software/geview/data/figures/206658_at.png","Figure")</f>
        <v>Figure</v>
      </c>
      <c r="I2674">
        <v>1.1100000000000001</v>
      </c>
      <c r="J2674">
        <v>9.9000000000000005E-2</v>
      </c>
      <c r="K2674">
        <v>0.95299999999999996</v>
      </c>
      <c r="L2674">
        <v>0.49</v>
      </c>
      <c r="M2674">
        <v>0.85599999999999998</v>
      </c>
      <c r="N2674">
        <v>0.01</v>
      </c>
    </row>
    <row r="2675" spans="1:14" x14ac:dyDescent="0.25">
      <c r="A2675" t="s">
        <v>4938</v>
      </c>
      <c r="B2675" t="s">
        <v>664</v>
      </c>
      <c r="C2675" s="1" t="str">
        <f>HYPERLINK("http://www.genecards.org/cgi-bin/carddisp.pl?gene=EPB41L2","GeneCards")</f>
        <v>GeneCards</v>
      </c>
      <c r="D2675" s="1" t="str">
        <f>HYPERLINK("http://genome-euro.ucsc.edu/cgi-bin/hgTracks?position=201719_s_at","UCSC")</f>
        <v>UCSC</v>
      </c>
      <c r="E2675" s="1" t="str">
        <f>HYPERLINK("http://www.ncbi.nlm.nih.gov/gene/?term=EPB41L2","NCBI")</f>
        <v>NCBI</v>
      </c>
      <c r="F2675">
        <v>1.2999999999999999E-2</v>
      </c>
      <c r="G2675">
        <v>8.4000000000000005E-2</v>
      </c>
      <c r="H2675" s="1" t="str">
        <f>HYPERLINK("http://www.weizmann.ac.il/complex/compphys/software/geview/data/figures/201719_s_at.png","Figure")</f>
        <v>Figure</v>
      </c>
      <c r="I2675">
        <v>2.41</v>
      </c>
      <c r="J2675">
        <v>4.5999999999999999E-2</v>
      </c>
      <c r="K2675">
        <v>2.57</v>
      </c>
      <c r="L2675">
        <v>1.4999999999999999E-2</v>
      </c>
      <c r="M2675">
        <v>1.07</v>
      </c>
      <c r="N2675">
        <v>0.98</v>
      </c>
    </row>
    <row r="2676" spans="1:14" x14ac:dyDescent="0.25">
      <c r="A2676" t="s">
        <v>4939</v>
      </c>
      <c r="B2676" t="s">
        <v>2843</v>
      </c>
      <c r="C2676" s="1" t="str">
        <f>HYPERLINK("http://www.genecards.org/cgi-bin/carddisp.pl?gene=SLC27A2","GeneCards")</f>
        <v>GeneCards</v>
      </c>
      <c r="D2676" s="1" t="str">
        <f>HYPERLINK("http://genome-euro.ucsc.edu/cgi-bin/hgTracks?position=205768_s_at","UCSC")</f>
        <v>UCSC</v>
      </c>
      <c r="E2676" s="1" t="str">
        <f>HYPERLINK("http://www.ncbi.nlm.nih.gov/gene/?term=SLC27A2","NCBI")</f>
        <v>NCBI</v>
      </c>
      <c r="F2676">
        <v>1.2999999999999999E-2</v>
      </c>
      <c r="G2676">
        <v>8.4000000000000005E-2</v>
      </c>
      <c r="H2676" s="1" t="str">
        <f>HYPERLINK("http://www.weizmann.ac.il/complex/compphys/software/geview/data/figures/205768_s_at.png","Figure")</f>
        <v>Figure</v>
      </c>
      <c r="I2676">
        <v>1.1100000000000001</v>
      </c>
      <c r="J2676">
        <v>3.5999999999999997E-2</v>
      </c>
      <c r="K2676">
        <v>1.1100000000000001</v>
      </c>
      <c r="L2676">
        <v>1.7000000000000001E-2</v>
      </c>
      <c r="M2676">
        <v>1</v>
      </c>
      <c r="N2676">
        <v>1</v>
      </c>
    </row>
    <row r="2677" spans="1:14" x14ac:dyDescent="0.25">
      <c r="A2677" t="s">
        <v>4940</v>
      </c>
      <c r="B2677" t="s">
        <v>4941</v>
      </c>
      <c r="C2677" s="1" t="str">
        <f>HYPERLINK("http://www.genecards.org/cgi-bin/carddisp.pl?gene=RPS6KB2","GeneCards")</f>
        <v>GeneCards</v>
      </c>
      <c r="D2677" s="1" t="str">
        <f>HYPERLINK("http://genome-euro.ucsc.edu/cgi-bin/hgTracks?position=203777_s_at","UCSC")</f>
        <v>UCSC</v>
      </c>
      <c r="E2677" s="1" t="str">
        <f>HYPERLINK("http://www.ncbi.nlm.nih.gov/gene/?term=RPS6KB2","NCBI")</f>
        <v>NCBI</v>
      </c>
      <c r="F2677">
        <v>1.2999999999999999E-2</v>
      </c>
      <c r="G2677">
        <v>8.4000000000000005E-2</v>
      </c>
      <c r="H2677" s="1" t="str">
        <f>HYPERLINK("http://www.weizmann.ac.il/complex/compphys/software/geview/data/figures/203777_s_at.png","Figure")</f>
        <v>Figure</v>
      </c>
      <c r="I2677">
        <v>1.33</v>
      </c>
      <c r="J2677">
        <v>1.2E-2</v>
      </c>
      <c r="K2677">
        <v>1.07</v>
      </c>
      <c r="L2677">
        <v>0.61</v>
      </c>
      <c r="M2677">
        <v>0.80900000000000005</v>
      </c>
      <c r="N2677">
        <v>4.2999999999999997E-2</v>
      </c>
    </row>
    <row r="2678" spans="1:14" x14ac:dyDescent="0.25">
      <c r="A2678" t="s">
        <v>4942</v>
      </c>
      <c r="B2678" t="s">
        <v>4943</v>
      </c>
      <c r="C2678" s="1" t="str">
        <f>HYPERLINK("http://www.genecards.org/cgi-bin/carddisp.pl?gene=STAMBP","GeneCards")</f>
        <v>GeneCards</v>
      </c>
      <c r="D2678" s="1" t="str">
        <f>HYPERLINK("http://genome-euro.ucsc.edu/cgi-bin/hgTracks?position=202811_at","UCSC")</f>
        <v>UCSC</v>
      </c>
      <c r="E2678" s="1" t="str">
        <f>HYPERLINK("http://www.ncbi.nlm.nih.gov/gene/?term=STAMBP","NCBI")</f>
        <v>NCBI</v>
      </c>
      <c r="F2678">
        <v>1.2999999999999999E-2</v>
      </c>
      <c r="G2678">
        <v>8.4000000000000005E-2</v>
      </c>
      <c r="H2678" s="1" t="str">
        <f>HYPERLINK("http://www.weizmann.ac.il/complex/compphys/software/geview/data/figures/202811_at.png","Figure")</f>
        <v>Figure</v>
      </c>
      <c r="I2678">
        <v>0.60799999999999998</v>
      </c>
      <c r="J2678">
        <v>0.11</v>
      </c>
      <c r="K2678">
        <v>1.28</v>
      </c>
      <c r="L2678">
        <v>0.44</v>
      </c>
      <c r="M2678">
        <v>2.11</v>
      </c>
      <c r="N2678">
        <v>0.01</v>
      </c>
    </row>
    <row r="2679" spans="1:14" x14ac:dyDescent="0.25">
      <c r="A2679" t="s">
        <v>4944</v>
      </c>
      <c r="B2679" t="s">
        <v>4945</v>
      </c>
      <c r="C2679" s="1" t="str">
        <f>HYPERLINK("http://www.genecards.org/cgi-bin/carddisp.pl?gene=CYB561D2","GeneCards")</f>
        <v>GeneCards</v>
      </c>
      <c r="D2679" s="1" t="str">
        <f>HYPERLINK("http://genome-euro.ucsc.edu/cgi-bin/hgTracks?position=209665_at","UCSC")</f>
        <v>UCSC</v>
      </c>
      <c r="E2679" s="1" t="str">
        <f>HYPERLINK("http://www.ncbi.nlm.nih.gov/gene/?term=CYB561D2","NCBI")</f>
        <v>NCBI</v>
      </c>
      <c r="F2679">
        <v>1.2999999999999999E-2</v>
      </c>
      <c r="G2679">
        <v>8.4000000000000005E-2</v>
      </c>
      <c r="H2679" s="1" t="str">
        <f>HYPERLINK("http://www.weizmann.ac.il/complex/compphys/software/geview/data/figures/209665_at.png","Figure")</f>
        <v>Figure</v>
      </c>
      <c r="I2679">
        <v>1.06</v>
      </c>
      <c r="J2679">
        <v>0.82</v>
      </c>
      <c r="K2679">
        <v>1.3</v>
      </c>
      <c r="L2679">
        <v>1.4999999999999999E-2</v>
      </c>
      <c r="M2679">
        <v>1.23</v>
      </c>
      <c r="N2679">
        <v>7.2999999999999995E-2</v>
      </c>
    </row>
    <row r="2680" spans="1:14" x14ac:dyDescent="0.25">
      <c r="A2680" t="s">
        <v>4946</v>
      </c>
      <c r="B2680" t="s">
        <v>637</v>
      </c>
      <c r="C2680" s="1" t="str">
        <f>HYPERLINK("http://www.genecards.org/cgi-bin/carddisp.pl?gene=ZNF467","GeneCards")</f>
        <v>GeneCards</v>
      </c>
      <c r="D2680" s="1" t="str">
        <f>HYPERLINK("http://genome-euro.ucsc.edu/cgi-bin/hgTracks?position=214746_s_at","UCSC")</f>
        <v>UCSC</v>
      </c>
      <c r="E2680" s="1" t="str">
        <f>HYPERLINK("http://www.ncbi.nlm.nih.gov/gene/?term=ZNF467","NCBI")</f>
        <v>NCBI</v>
      </c>
      <c r="F2680">
        <v>1.2999999999999999E-2</v>
      </c>
      <c r="G2680">
        <v>8.4000000000000005E-2</v>
      </c>
      <c r="H2680" s="1" t="str">
        <f>HYPERLINK("http://www.weizmann.ac.il/complex/compphys/software/geview/data/figures/214746_s_at.png","Figure")</f>
        <v>Figure</v>
      </c>
      <c r="I2680">
        <v>0.59399999999999997</v>
      </c>
      <c r="J2680">
        <v>1.4E-2</v>
      </c>
      <c r="K2680">
        <v>0.9</v>
      </c>
      <c r="L2680">
        <v>0.73</v>
      </c>
      <c r="M2680">
        <v>1.52</v>
      </c>
      <c r="N2680">
        <v>3.4000000000000002E-2</v>
      </c>
    </row>
    <row r="2681" spans="1:14" x14ac:dyDescent="0.25">
      <c r="A2681" t="s">
        <v>4947</v>
      </c>
      <c r="B2681" t="s">
        <v>4948</v>
      </c>
      <c r="C2681" s="1" t="str">
        <f>HYPERLINK("http://www.genecards.org/cgi-bin/carddisp.pl?gene=INTS5","GeneCards")</f>
        <v>GeneCards</v>
      </c>
      <c r="D2681" s="1" t="str">
        <f>HYPERLINK("http://genome-euro.ucsc.edu/cgi-bin/hgTracks?position=53968_at","UCSC")</f>
        <v>UCSC</v>
      </c>
      <c r="E2681" s="1" t="str">
        <f>HYPERLINK("http://www.ncbi.nlm.nih.gov/gene/?term=INTS5","NCBI")</f>
        <v>NCBI</v>
      </c>
      <c r="F2681">
        <v>1.2999999999999999E-2</v>
      </c>
      <c r="G2681">
        <v>8.4000000000000005E-2</v>
      </c>
      <c r="H2681" s="1" t="str">
        <f>HYPERLINK("http://www.weizmann.ac.il/complex/compphys/software/geview/data/figures/53968_at.png","Figure")</f>
        <v>Figure</v>
      </c>
      <c r="I2681">
        <v>0.753</v>
      </c>
      <c r="J2681">
        <v>2.8000000000000001E-2</v>
      </c>
      <c r="K2681">
        <v>0.77</v>
      </c>
      <c r="L2681">
        <v>0.02</v>
      </c>
      <c r="M2681">
        <v>1.02</v>
      </c>
      <c r="N2681">
        <v>0.97</v>
      </c>
    </row>
    <row r="2682" spans="1:14" x14ac:dyDescent="0.25">
      <c r="A2682" t="s">
        <v>4949</v>
      </c>
      <c r="B2682" t="s">
        <v>4950</v>
      </c>
      <c r="C2682" s="1" t="str">
        <f>HYPERLINK("http://www.genecards.org/cgi-bin/carddisp.pl?gene=SCN10A","GeneCards")</f>
        <v>GeneCards</v>
      </c>
      <c r="D2682" s="1" t="str">
        <f>HYPERLINK("http://genome-euro.ucsc.edu/cgi-bin/hgTracks?position=208578_at","UCSC")</f>
        <v>UCSC</v>
      </c>
      <c r="E2682" s="1" t="str">
        <f>HYPERLINK("http://www.ncbi.nlm.nih.gov/gene/?term=SCN10A","NCBI")</f>
        <v>NCBI</v>
      </c>
      <c r="F2682">
        <v>1.2999999999999999E-2</v>
      </c>
      <c r="G2682">
        <v>8.4000000000000005E-2</v>
      </c>
      <c r="H2682" s="1" t="str">
        <f>HYPERLINK("http://www.weizmann.ac.il/complex/compphys/software/geview/data/figures/208578_at.png","Figure")</f>
        <v>Figure</v>
      </c>
      <c r="I2682">
        <v>1.25</v>
      </c>
      <c r="J2682">
        <v>1.0999999999999999E-2</v>
      </c>
      <c r="K2682">
        <v>1.1299999999999999</v>
      </c>
      <c r="L2682">
        <v>0.11</v>
      </c>
      <c r="M2682">
        <v>0.90200000000000002</v>
      </c>
      <c r="N2682">
        <v>0.25</v>
      </c>
    </row>
    <row r="2683" spans="1:14" x14ac:dyDescent="0.25">
      <c r="A2683" t="s">
        <v>4951</v>
      </c>
      <c r="B2683" t="s">
        <v>4952</v>
      </c>
      <c r="C2683" s="1" t="str">
        <f>HYPERLINK("http://www.genecards.org/cgi-bin/carddisp.pl?gene=RPL38","GeneCards")</f>
        <v>GeneCards</v>
      </c>
      <c r="D2683" s="1" t="str">
        <f>HYPERLINK("http://genome-euro.ucsc.edu/cgi-bin/hgTracks?position=221943_x_at","UCSC")</f>
        <v>UCSC</v>
      </c>
      <c r="E2683" s="1" t="str">
        <f>HYPERLINK("http://www.ncbi.nlm.nih.gov/gene/?term=RPL38","NCBI")</f>
        <v>NCBI</v>
      </c>
      <c r="F2683">
        <v>1.2999999999999999E-2</v>
      </c>
      <c r="G2683">
        <v>8.4000000000000005E-2</v>
      </c>
      <c r="H2683" s="1" t="str">
        <f>HYPERLINK("http://www.weizmann.ac.il/complex/compphys/software/geview/data/figures/221943_x_at.png","Figure")</f>
        <v>Figure</v>
      </c>
      <c r="I2683">
        <v>3.01</v>
      </c>
      <c r="J2683">
        <v>1.4E-2</v>
      </c>
      <c r="K2683">
        <v>2.15</v>
      </c>
      <c r="L2683">
        <v>0.05</v>
      </c>
      <c r="M2683">
        <v>0.71199999999999997</v>
      </c>
      <c r="N2683">
        <v>0.53</v>
      </c>
    </row>
    <row r="2684" spans="1:14" x14ac:dyDescent="0.25">
      <c r="A2684" t="s">
        <v>4953</v>
      </c>
      <c r="B2684" t="s">
        <v>4954</v>
      </c>
      <c r="C2684" s="1" t="str">
        <f>HYPERLINK("http://www.genecards.org/cgi-bin/carddisp.pl?gene=RUVBL1","GeneCards")</f>
        <v>GeneCards</v>
      </c>
      <c r="D2684" s="1" t="str">
        <f>HYPERLINK("http://genome-euro.ucsc.edu/cgi-bin/hgTracks?position=201614_s_at","UCSC")</f>
        <v>UCSC</v>
      </c>
      <c r="E2684" s="1" t="str">
        <f>HYPERLINK("http://www.ncbi.nlm.nih.gov/gene/?term=RUVBL1","NCBI")</f>
        <v>NCBI</v>
      </c>
      <c r="F2684">
        <v>1.2999999999999999E-2</v>
      </c>
      <c r="G2684">
        <v>8.4000000000000005E-2</v>
      </c>
      <c r="H2684" s="1" t="str">
        <f>HYPERLINK("http://www.weizmann.ac.il/complex/compphys/software/geview/data/figures/201614_s_at.png","Figure")</f>
        <v>Figure</v>
      </c>
      <c r="I2684">
        <v>0.92900000000000005</v>
      </c>
      <c r="J2684">
        <v>0.85</v>
      </c>
      <c r="K2684">
        <v>1.37</v>
      </c>
      <c r="L2684">
        <v>4.4999999999999998E-2</v>
      </c>
      <c r="M2684">
        <v>1.47</v>
      </c>
      <c r="N2684">
        <v>2.1000000000000001E-2</v>
      </c>
    </row>
    <row r="2685" spans="1:14" x14ac:dyDescent="0.25">
      <c r="A2685" t="s">
        <v>4955</v>
      </c>
      <c r="B2685" t="s">
        <v>408</v>
      </c>
      <c r="C2685" s="1" t="str">
        <f>HYPERLINK("http://www.genecards.org/cgi-bin/carddisp.pl?gene=NMT2","GeneCards")</f>
        <v>GeneCards</v>
      </c>
      <c r="D2685" s="1" t="str">
        <f>HYPERLINK("http://genome-euro.ucsc.edu/cgi-bin/hgTracks?position=215069_at","UCSC")</f>
        <v>UCSC</v>
      </c>
      <c r="E2685" s="1" t="str">
        <f>HYPERLINK("http://www.ncbi.nlm.nih.gov/gene/?term=NMT2","NCBI")</f>
        <v>NCBI</v>
      </c>
      <c r="F2685">
        <v>1.2999999999999999E-2</v>
      </c>
      <c r="G2685">
        <v>8.4000000000000005E-2</v>
      </c>
      <c r="H2685" s="1" t="str">
        <f>HYPERLINK("http://www.weizmann.ac.il/complex/compphys/software/geview/data/figures/215069_at.png","Figure")</f>
        <v>Figure</v>
      </c>
      <c r="I2685">
        <v>0.76700000000000002</v>
      </c>
      <c r="J2685">
        <v>0.47</v>
      </c>
      <c r="K2685">
        <v>0.51500000000000001</v>
      </c>
      <c r="L2685">
        <v>1.0999999999999999E-2</v>
      </c>
      <c r="M2685">
        <v>0.67100000000000004</v>
      </c>
      <c r="N2685">
        <v>0.17</v>
      </c>
    </row>
    <row r="2686" spans="1:14" x14ac:dyDescent="0.25">
      <c r="A2686" t="s">
        <v>4956</v>
      </c>
      <c r="B2686" t="s">
        <v>4957</v>
      </c>
      <c r="C2686" s="1" t="str">
        <f>HYPERLINK("http://www.genecards.org/cgi-bin/carddisp.pl?gene=HIRIP3","GeneCards")</f>
        <v>GeneCards</v>
      </c>
      <c r="D2686" s="1" t="str">
        <f>HYPERLINK("http://genome-euro.ucsc.edu/cgi-bin/hgTracks?position=204504_s_at","UCSC")</f>
        <v>UCSC</v>
      </c>
      <c r="E2686" s="1" t="str">
        <f>HYPERLINK("http://www.ncbi.nlm.nih.gov/gene/?term=HIRIP3","NCBI")</f>
        <v>NCBI</v>
      </c>
      <c r="F2686">
        <v>1.2999999999999999E-2</v>
      </c>
      <c r="G2686">
        <v>8.4000000000000005E-2</v>
      </c>
      <c r="H2686" s="1" t="str">
        <f>HYPERLINK("http://www.weizmann.ac.il/complex/compphys/software/geview/data/figures/204504_s_at.png","Figure")</f>
        <v>Figure</v>
      </c>
      <c r="I2686">
        <v>0.996</v>
      </c>
      <c r="J2686">
        <v>1</v>
      </c>
      <c r="K2686">
        <v>1.32</v>
      </c>
      <c r="L2686">
        <v>2.5999999999999999E-2</v>
      </c>
      <c r="M2686">
        <v>1.33</v>
      </c>
      <c r="N2686">
        <v>3.5000000000000003E-2</v>
      </c>
    </row>
    <row r="2687" spans="1:14" x14ac:dyDescent="0.25">
      <c r="A2687" t="s">
        <v>4958</v>
      </c>
      <c r="B2687" t="s">
        <v>4959</v>
      </c>
      <c r="C2687" s="1" t="str">
        <f>HYPERLINK("http://www.genecards.org/cgi-bin/carddisp.pl?gene=TUBGCP2","GeneCards")</f>
        <v>GeneCards</v>
      </c>
      <c r="D2687" s="1" t="str">
        <f>HYPERLINK("http://genome-euro.ucsc.edu/cgi-bin/hgTracks?position=202477_s_at","UCSC")</f>
        <v>UCSC</v>
      </c>
      <c r="E2687" s="1" t="str">
        <f>HYPERLINK("http://www.ncbi.nlm.nih.gov/gene/?term=TUBGCP2","NCBI")</f>
        <v>NCBI</v>
      </c>
      <c r="F2687">
        <v>1.2999999999999999E-2</v>
      </c>
      <c r="G2687">
        <v>8.4000000000000005E-2</v>
      </c>
      <c r="H2687" s="1" t="str">
        <f>HYPERLINK("http://www.weizmann.ac.il/complex/compphys/software/geview/data/figures/202477_s_at.png","Figure")</f>
        <v>Figure</v>
      </c>
      <c r="I2687">
        <v>0.57799999999999996</v>
      </c>
      <c r="J2687">
        <v>0.01</v>
      </c>
      <c r="K2687">
        <v>0.76400000000000001</v>
      </c>
      <c r="L2687">
        <v>0.16</v>
      </c>
      <c r="M2687">
        <v>1.32</v>
      </c>
      <c r="N2687">
        <v>0.18</v>
      </c>
    </row>
    <row r="2688" spans="1:14" x14ac:dyDescent="0.25">
      <c r="A2688" t="s">
        <v>4960</v>
      </c>
      <c r="B2688" t="s">
        <v>4961</v>
      </c>
      <c r="C2688" s="1" t="str">
        <f>HYPERLINK("http://www.genecards.org/cgi-bin/carddisp.pl?gene=KIAA1466","GeneCards")</f>
        <v>GeneCards</v>
      </c>
      <c r="D2688" s="1" t="str">
        <f>HYPERLINK("http://genome-euro.ucsc.edu/cgi-bin/hgTracks?position=222139_at","UCSC")</f>
        <v>UCSC</v>
      </c>
      <c r="E2688" s="1" t="str">
        <f>HYPERLINK("http://www.ncbi.nlm.nih.gov/gene/?term=KIAA1466","NCBI")</f>
        <v>NCBI</v>
      </c>
      <c r="F2688">
        <v>1.2999999999999999E-2</v>
      </c>
      <c r="G2688">
        <v>8.4000000000000005E-2</v>
      </c>
      <c r="H2688" s="1" t="str">
        <f>HYPERLINK("http://www.weizmann.ac.il/complex/compphys/software/geview/data/figures/222139_at.png","Figure")</f>
        <v>Figure</v>
      </c>
      <c r="I2688">
        <v>0.58499999999999996</v>
      </c>
      <c r="J2688">
        <v>0.01</v>
      </c>
      <c r="K2688">
        <v>0.80300000000000005</v>
      </c>
      <c r="L2688">
        <v>0.27</v>
      </c>
      <c r="M2688">
        <v>1.37</v>
      </c>
      <c r="N2688">
        <v>0.11</v>
      </c>
    </row>
    <row r="2689" spans="1:14" x14ac:dyDescent="0.25">
      <c r="A2689" t="s">
        <v>4962</v>
      </c>
      <c r="B2689" t="s">
        <v>1692</v>
      </c>
      <c r="C2689" s="1" t="str">
        <f>HYPERLINK("http://www.genecards.org/cgi-bin/carddisp.pl?gene=DYRK1B","GeneCards")</f>
        <v>GeneCards</v>
      </c>
      <c r="D2689" s="1" t="str">
        <f>HYPERLINK("http://genome-euro.ucsc.edu/cgi-bin/hgTracks?position=217270_s_at","UCSC")</f>
        <v>UCSC</v>
      </c>
      <c r="E2689" s="1" t="str">
        <f>HYPERLINK("http://www.ncbi.nlm.nih.gov/gene/?term=DYRK1B","NCBI")</f>
        <v>NCBI</v>
      </c>
      <c r="F2689">
        <v>1.2999999999999999E-2</v>
      </c>
      <c r="G2689">
        <v>8.4000000000000005E-2</v>
      </c>
      <c r="H2689" s="1" t="str">
        <f>HYPERLINK("http://www.weizmann.ac.il/complex/compphys/software/geview/data/figures/217270_s_at.png","Figure")</f>
        <v>Figure</v>
      </c>
      <c r="I2689">
        <v>1.26</v>
      </c>
      <c r="J2689">
        <v>0.01</v>
      </c>
      <c r="K2689">
        <v>1.1200000000000001</v>
      </c>
      <c r="L2689">
        <v>0.15</v>
      </c>
      <c r="M2689">
        <v>0.89300000000000002</v>
      </c>
      <c r="N2689">
        <v>0.19</v>
      </c>
    </row>
    <row r="2690" spans="1:14" x14ac:dyDescent="0.25">
      <c r="A2690" t="s">
        <v>4963</v>
      </c>
      <c r="B2690" t="s">
        <v>4964</v>
      </c>
      <c r="C2690" s="1" t="str">
        <f>HYPERLINK("http://www.genecards.org/cgi-bin/carddisp.pl?gene=C9orf33","GeneCards")</f>
        <v>GeneCards</v>
      </c>
      <c r="D2690" s="1" t="str">
        <f>HYPERLINK("http://genome-euro.ucsc.edu/cgi-bin/hgTracks?position=217130_at","UCSC")</f>
        <v>UCSC</v>
      </c>
      <c r="E2690" s="1" t="str">
        <f>HYPERLINK("http://www.ncbi.nlm.nih.gov/gene/?term=C9orf33","NCBI")</f>
        <v>NCBI</v>
      </c>
      <c r="F2690">
        <v>1.2999999999999999E-2</v>
      </c>
      <c r="G2690">
        <v>8.4000000000000005E-2</v>
      </c>
      <c r="H2690" s="1" t="str">
        <f>HYPERLINK("http://www.weizmann.ac.il/complex/compphys/software/geview/data/figures/217130_at.png","Figure")</f>
        <v>Figure</v>
      </c>
      <c r="I2690">
        <v>1.0900000000000001</v>
      </c>
      <c r="J2690">
        <v>6.3E-2</v>
      </c>
      <c r="K2690">
        <v>0.97499999999999998</v>
      </c>
      <c r="L2690">
        <v>0.7</v>
      </c>
      <c r="M2690">
        <v>0.89300000000000002</v>
      </c>
      <c r="N2690">
        <v>1.0999999999999999E-2</v>
      </c>
    </row>
    <row r="2691" spans="1:14" x14ac:dyDescent="0.25">
      <c r="A2691" t="s">
        <v>4965</v>
      </c>
      <c r="B2691" t="s">
        <v>4966</v>
      </c>
      <c r="C2691" s="1" t="str">
        <f>HYPERLINK("http://www.genecards.org/cgi-bin/carddisp.pl?gene=TFCP2","GeneCards")</f>
        <v>GeneCards</v>
      </c>
      <c r="D2691" s="1" t="str">
        <f>HYPERLINK("http://genome-euro.ucsc.edu/cgi-bin/hgTracks?position=209338_at","UCSC")</f>
        <v>UCSC</v>
      </c>
      <c r="E2691" s="1" t="str">
        <f>HYPERLINK("http://www.ncbi.nlm.nih.gov/gene/?term=TFCP2","NCBI")</f>
        <v>NCBI</v>
      </c>
      <c r="F2691">
        <v>1.2999999999999999E-2</v>
      </c>
      <c r="G2691">
        <v>8.4000000000000005E-2</v>
      </c>
      <c r="H2691" s="1" t="str">
        <f>HYPERLINK("http://www.weizmann.ac.il/complex/compphys/software/geview/data/figures/209338_at.png","Figure")</f>
        <v>Figure</v>
      </c>
      <c r="I2691">
        <v>1.01</v>
      </c>
      <c r="J2691">
        <v>0.99</v>
      </c>
      <c r="K2691">
        <v>1.29</v>
      </c>
      <c r="L2691">
        <v>2.1999999999999999E-2</v>
      </c>
      <c r="M2691">
        <v>1.28</v>
      </c>
      <c r="N2691">
        <v>4.2000000000000003E-2</v>
      </c>
    </row>
    <row r="2692" spans="1:14" x14ac:dyDescent="0.25">
      <c r="A2692" t="s">
        <v>4967</v>
      </c>
      <c r="B2692" t="s">
        <v>4968</v>
      </c>
      <c r="C2692" s="1" t="str">
        <f>HYPERLINK("http://www.genecards.org/cgi-bin/carddisp.pl?gene=FLJ10357","GeneCards")</f>
        <v>GeneCards</v>
      </c>
      <c r="D2692" s="1" t="str">
        <f>HYPERLINK("http://genome-euro.ucsc.edu/cgi-bin/hgTracks?position=220326_s_at","UCSC")</f>
        <v>UCSC</v>
      </c>
      <c r="E2692" s="1" t="str">
        <f>HYPERLINK("http://www.ncbi.nlm.nih.gov/gene/?term=FLJ10357","NCBI")</f>
        <v>NCBI</v>
      </c>
      <c r="F2692">
        <v>1.2999999999999999E-2</v>
      </c>
      <c r="G2692">
        <v>8.4000000000000005E-2</v>
      </c>
      <c r="H2692" s="1" t="str">
        <f>HYPERLINK("http://www.weizmann.ac.il/complex/compphys/software/geview/data/figures/220326_s_at.png","Figure")</f>
        <v>Figure</v>
      </c>
      <c r="I2692">
        <v>1.34</v>
      </c>
      <c r="J2692">
        <v>1.0999999999999999E-2</v>
      </c>
      <c r="K2692">
        <v>1.19</v>
      </c>
      <c r="L2692">
        <v>9.1999999999999998E-2</v>
      </c>
      <c r="M2692">
        <v>0.88400000000000001</v>
      </c>
      <c r="N2692">
        <v>0.3</v>
      </c>
    </row>
    <row r="2693" spans="1:14" x14ac:dyDescent="0.25">
      <c r="A2693" t="s">
        <v>4969</v>
      </c>
      <c r="B2693" t="s">
        <v>4970</v>
      </c>
      <c r="C2693" s="1" t="str">
        <f>HYPERLINK("http://www.genecards.org/cgi-bin/carddisp.pl?gene=PAFAH1B1","GeneCards")</f>
        <v>GeneCards</v>
      </c>
      <c r="D2693" s="1" t="str">
        <f>HYPERLINK("http://genome-euro.ucsc.edu/cgi-bin/hgTracks?position=200815_s_at","UCSC")</f>
        <v>UCSC</v>
      </c>
      <c r="E2693" s="1" t="str">
        <f>HYPERLINK("http://www.ncbi.nlm.nih.gov/gene/?term=PAFAH1B1","NCBI")</f>
        <v>NCBI</v>
      </c>
      <c r="F2693">
        <v>1.2999999999999999E-2</v>
      </c>
      <c r="G2693">
        <v>8.4000000000000005E-2</v>
      </c>
      <c r="H2693" s="1" t="str">
        <f>HYPERLINK("http://www.weizmann.ac.il/complex/compphys/software/geview/data/figures/200815_s_at.png","Figure")</f>
        <v>Figure</v>
      </c>
      <c r="I2693">
        <v>1.65</v>
      </c>
      <c r="J2693">
        <v>2.9000000000000001E-2</v>
      </c>
      <c r="K2693">
        <v>0.98199999999999998</v>
      </c>
      <c r="L2693">
        <v>0.99</v>
      </c>
      <c r="M2693">
        <v>0.59399999999999997</v>
      </c>
      <c r="N2693">
        <v>1.6E-2</v>
      </c>
    </row>
    <row r="2694" spans="1:14" x14ac:dyDescent="0.25">
      <c r="A2694" t="s">
        <v>4971</v>
      </c>
      <c r="B2694" t="s">
        <v>4972</v>
      </c>
      <c r="C2694" s="1" t="str">
        <f>HYPERLINK("http://www.genecards.org/cgi-bin/carddisp.pl?gene=TK1","GeneCards")</f>
        <v>GeneCards</v>
      </c>
      <c r="D2694" s="1" t="str">
        <f>HYPERLINK("http://genome-euro.ucsc.edu/cgi-bin/hgTracks?position=202338_at","UCSC")</f>
        <v>UCSC</v>
      </c>
      <c r="E2694" s="1" t="str">
        <f>HYPERLINK("http://www.ncbi.nlm.nih.gov/gene/?term=TK1","NCBI")</f>
        <v>NCBI</v>
      </c>
      <c r="F2694">
        <v>1.2999999999999999E-2</v>
      </c>
      <c r="G2694">
        <v>8.4000000000000005E-2</v>
      </c>
      <c r="H2694" s="1" t="str">
        <f>HYPERLINK("http://www.weizmann.ac.il/complex/compphys/software/geview/data/figures/202338_at.png","Figure")</f>
        <v>Figure</v>
      </c>
      <c r="I2694">
        <v>0.73899999999999999</v>
      </c>
      <c r="J2694">
        <v>0.27</v>
      </c>
      <c r="K2694">
        <v>1.35</v>
      </c>
      <c r="L2694">
        <v>0.19</v>
      </c>
      <c r="M2694">
        <v>1.83</v>
      </c>
      <c r="N2694">
        <v>1.0999999999999999E-2</v>
      </c>
    </row>
    <row r="2695" spans="1:14" x14ac:dyDescent="0.25">
      <c r="A2695" t="s">
        <v>4973</v>
      </c>
      <c r="B2695" t="s">
        <v>4974</v>
      </c>
      <c r="C2695" s="1" t="str">
        <f>HYPERLINK("http://www.genecards.org/cgi-bin/carddisp.pl?gene=PRPF39","GeneCards")</f>
        <v>GeneCards</v>
      </c>
      <c r="D2695" s="1" t="str">
        <f>HYPERLINK("http://genome-euro.ucsc.edu/cgi-bin/hgTracks?position=220553_s_at","UCSC")</f>
        <v>UCSC</v>
      </c>
      <c r="E2695" s="1" t="str">
        <f>HYPERLINK("http://www.ncbi.nlm.nih.gov/gene/?term=PRPF39","NCBI")</f>
        <v>NCBI</v>
      </c>
      <c r="F2695">
        <v>1.2999999999999999E-2</v>
      </c>
      <c r="G2695">
        <v>8.4000000000000005E-2</v>
      </c>
      <c r="H2695" s="1" t="str">
        <f>HYPERLINK("http://www.weizmann.ac.il/complex/compphys/software/geview/data/figures/220553_s_at.png","Figure")</f>
        <v>Figure</v>
      </c>
      <c r="I2695">
        <v>0.50800000000000001</v>
      </c>
      <c r="J2695">
        <v>0.01</v>
      </c>
      <c r="K2695">
        <v>0.753</v>
      </c>
      <c r="L2695">
        <v>0.25</v>
      </c>
      <c r="M2695">
        <v>1.48</v>
      </c>
      <c r="N2695">
        <v>0.11</v>
      </c>
    </row>
    <row r="2696" spans="1:14" x14ac:dyDescent="0.25">
      <c r="A2696" t="s">
        <v>4975</v>
      </c>
      <c r="B2696" t="s">
        <v>4976</v>
      </c>
      <c r="C2696" s="1" t="str">
        <f>HYPERLINK("http://www.genecards.org/cgi-bin/carddisp.pl?gene=FAM124B","GeneCards")</f>
        <v>GeneCards</v>
      </c>
      <c r="D2696" s="1" t="str">
        <f>HYPERLINK("http://genome-euro.ucsc.edu/cgi-bin/hgTracks?position=220637_at","UCSC")</f>
        <v>UCSC</v>
      </c>
      <c r="E2696" s="1" t="str">
        <f>HYPERLINK("http://www.ncbi.nlm.nih.gov/gene/?term=FAM124B","NCBI")</f>
        <v>NCBI</v>
      </c>
      <c r="F2696">
        <v>1.2999999999999999E-2</v>
      </c>
      <c r="G2696">
        <v>8.4000000000000005E-2</v>
      </c>
      <c r="H2696" s="1" t="str">
        <f>HYPERLINK("http://www.weizmann.ac.il/complex/compphys/software/geview/data/figures/220637_at.png","Figure")</f>
        <v>Figure</v>
      </c>
      <c r="I2696">
        <v>0.93799999999999994</v>
      </c>
      <c r="J2696">
        <v>0.64</v>
      </c>
      <c r="K2696">
        <v>0.81399999999999995</v>
      </c>
      <c r="L2696">
        <v>1.2999999999999999E-2</v>
      </c>
      <c r="M2696">
        <v>0.86799999999999999</v>
      </c>
      <c r="N2696">
        <v>0.11</v>
      </c>
    </row>
    <row r="2697" spans="1:14" x14ac:dyDescent="0.25">
      <c r="A2697" t="s">
        <v>4977</v>
      </c>
      <c r="B2697" t="s">
        <v>4978</v>
      </c>
      <c r="C2697" s="1" t="str">
        <f>HYPERLINK("http://www.genecards.org/cgi-bin/carddisp.pl?gene=TAOK3","GeneCards")</f>
        <v>GeneCards</v>
      </c>
      <c r="D2697" s="1" t="str">
        <f>HYPERLINK("http://genome-euro.ucsc.edu/cgi-bin/hgTracks?position=220761_s_at","UCSC")</f>
        <v>UCSC</v>
      </c>
      <c r="E2697" s="1" t="str">
        <f>HYPERLINK("http://www.ncbi.nlm.nih.gov/gene/?term=TAOK3","NCBI")</f>
        <v>NCBI</v>
      </c>
      <c r="F2697">
        <v>1.2999999999999999E-2</v>
      </c>
      <c r="G2697">
        <v>8.4000000000000005E-2</v>
      </c>
      <c r="H2697" s="1" t="str">
        <f>HYPERLINK("http://www.weizmann.ac.il/complex/compphys/software/geview/data/figures/220761_s_at.png","Figure")</f>
        <v>Figure</v>
      </c>
      <c r="I2697">
        <v>0.63900000000000001</v>
      </c>
      <c r="J2697">
        <v>5.8000000000000003E-2</v>
      </c>
      <c r="K2697">
        <v>1.1200000000000001</v>
      </c>
      <c r="L2697">
        <v>0.74</v>
      </c>
      <c r="M2697">
        <v>1.76</v>
      </c>
      <c r="N2697">
        <v>1.0999999999999999E-2</v>
      </c>
    </row>
    <row r="2698" spans="1:14" x14ac:dyDescent="0.25">
      <c r="A2698" t="s">
        <v>4979</v>
      </c>
      <c r="B2698" t="s">
        <v>4980</v>
      </c>
      <c r="C2698" s="1" t="str">
        <f>HYPERLINK("http://www.genecards.org/cgi-bin/carddisp.pl?gene=PKD2L1","GeneCards")</f>
        <v>GeneCards</v>
      </c>
      <c r="D2698" s="1" t="str">
        <f>HYPERLINK("http://genome-euro.ucsc.edu/cgi-bin/hgTracks?position=221061_at","UCSC")</f>
        <v>UCSC</v>
      </c>
      <c r="E2698" s="1" t="str">
        <f>HYPERLINK("http://www.ncbi.nlm.nih.gov/gene/?term=PKD2L1","NCBI")</f>
        <v>NCBI</v>
      </c>
      <c r="F2698">
        <v>1.2999999999999999E-2</v>
      </c>
      <c r="G2698">
        <v>8.4000000000000005E-2</v>
      </c>
      <c r="H2698" s="1" t="str">
        <f>HYPERLINK("http://www.weizmann.ac.il/complex/compphys/software/geview/data/figures/221061_at.png","Figure")</f>
        <v>Figure</v>
      </c>
      <c r="I2698">
        <v>1.2</v>
      </c>
      <c r="J2698">
        <v>1.4E-2</v>
      </c>
      <c r="K2698">
        <v>1.04</v>
      </c>
      <c r="L2698">
        <v>0.7</v>
      </c>
      <c r="M2698">
        <v>0.86599999999999999</v>
      </c>
      <c r="N2698">
        <v>3.5999999999999997E-2</v>
      </c>
    </row>
    <row r="2699" spans="1:14" x14ac:dyDescent="0.25">
      <c r="A2699" t="s">
        <v>4981</v>
      </c>
      <c r="B2699" t="s">
        <v>4982</v>
      </c>
      <c r="C2699" s="1" t="str">
        <f>HYPERLINK("http://www.genecards.org/cgi-bin/carddisp.pl?gene=MAP1B","GeneCards")</f>
        <v>GeneCards</v>
      </c>
      <c r="D2699" s="1" t="str">
        <f>HYPERLINK("http://genome-euro.ucsc.edu/cgi-bin/hgTracks?position=212233_at","UCSC")</f>
        <v>UCSC</v>
      </c>
      <c r="E2699" s="1" t="str">
        <f>HYPERLINK("http://www.ncbi.nlm.nih.gov/gene/?term=MAP1B","NCBI")</f>
        <v>NCBI</v>
      </c>
      <c r="F2699">
        <v>1.2999999999999999E-2</v>
      </c>
      <c r="G2699">
        <v>8.5000000000000006E-2</v>
      </c>
      <c r="H2699" s="1" t="str">
        <f>HYPERLINK("http://www.weizmann.ac.il/complex/compphys/software/geview/data/figures/212233_at.png","Figure")</f>
        <v>Figure</v>
      </c>
      <c r="I2699">
        <v>1.44</v>
      </c>
      <c r="J2699">
        <v>3.6999999999999998E-2</v>
      </c>
      <c r="K2699">
        <v>1.44</v>
      </c>
      <c r="L2699">
        <v>1.7000000000000001E-2</v>
      </c>
      <c r="M2699">
        <v>1</v>
      </c>
      <c r="N2699">
        <v>1</v>
      </c>
    </row>
    <row r="2700" spans="1:14" x14ac:dyDescent="0.25">
      <c r="A2700" t="s">
        <v>4983</v>
      </c>
      <c r="B2700" t="s">
        <v>4984</v>
      </c>
      <c r="C2700" s="1" t="str">
        <f>HYPERLINK("http://www.genecards.org/cgi-bin/carddisp.pl?gene=BEST2","GeneCards")</f>
        <v>GeneCards</v>
      </c>
      <c r="D2700" s="1" t="str">
        <f>HYPERLINK("http://genome-euro.ucsc.edu/cgi-bin/hgTracks?position=207432_at","UCSC")</f>
        <v>UCSC</v>
      </c>
      <c r="E2700" s="1" t="str">
        <f>HYPERLINK("http://www.ncbi.nlm.nih.gov/gene/?term=BEST2","NCBI")</f>
        <v>NCBI</v>
      </c>
      <c r="F2700">
        <v>1.2999999999999999E-2</v>
      </c>
      <c r="G2700">
        <v>8.5000000000000006E-2</v>
      </c>
      <c r="H2700" s="1" t="str">
        <f>HYPERLINK("http://www.weizmann.ac.il/complex/compphys/software/geview/data/figures/207432_at.png","Figure")</f>
        <v>Figure</v>
      </c>
      <c r="I2700">
        <v>1.27</v>
      </c>
      <c r="J2700">
        <v>1.0999999999999999E-2</v>
      </c>
      <c r="K2700">
        <v>1.08</v>
      </c>
      <c r="L2700">
        <v>0.46</v>
      </c>
      <c r="M2700">
        <v>0.84599999999999997</v>
      </c>
      <c r="N2700">
        <v>0.06</v>
      </c>
    </row>
    <row r="2701" spans="1:14" x14ac:dyDescent="0.25">
      <c r="A2701" t="s">
        <v>4985</v>
      </c>
      <c r="B2701" t="s">
        <v>1086</v>
      </c>
      <c r="C2701" s="1" t="str">
        <f>HYPERLINK("http://www.genecards.org/cgi-bin/carddisp.pl?gene=CTBS","GeneCards")</f>
        <v>GeneCards</v>
      </c>
      <c r="D2701" s="1" t="str">
        <f>HYPERLINK("http://genome-euro.ucsc.edu/cgi-bin/hgTracks?position=218924_s_at","UCSC")</f>
        <v>UCSC</v>
      </c>
      <c r="E2701" s="1" t="str">
        <f>HYPERLINK("http://www.ncbi.nlm.nih.gov/gene/?term=CTBS","NCBI")</f>
        <v>NCBI</v>
      </c>
      <c r="F2701">
        <v>1.2999999999999999E-2</v>
      </c>
      <c r="G2701">
        <v>8.5000000000000006E-2</v>
      </c>
      <c r="H2701" s="1" t="str">
        <f>HYPERLINK("http://www.weizmann.ac.il/complex/compphys/software/geview/data/figures/218924_s_at.png","Figure")</f>
        <v>Figure</v>
      </c>
      <c r="I2701">
        <v>0.72299999999999998</v>
      </c>
      <c r="J2701">
        <v>0.14000000000000001</v>
      </c>
      <c r="K2701">
        <v>0.62</v>
      </c>
      <c r="L2701">
        <v>1.0999999999999999E-2</v>
      </c>
      <c r="M2701">
        <v>0.85799999999999998</v>
      </c>
      <c r="N2701">
        <v>0.56000000000000005</v>
      </c>
    </row>
    <row r="2702" spans="1:14" x14ac:dyDescent="0.25">
      <c r="A2702" t="s">
        <v>4986</v>
      </c>
      <c r="B2702" t="s">
        <v>4601</v>
      </c>
      <c r="C2702" s="1" t="str">
        <f>HYPERLINK("http://www.genecards.org/cgi-bin/carddisp.pl?gene=MED12","GeneCards")</f>
        <v>GeneCards</v>
      </c>
      <c r="D2702" s="1" t="str">
        <f>HYPERLINK("http://genome-euro.ucsc.edu/cgi-bin/hgTracks?position=211342_x_at","UCSC")</f>
        <v>UCSC</v>
      </c>
      <c r="E2702" s="1" t="str">
        <f>HYPERLINK("http://www.ncbi.nlm.nih.gov/gene/?term=MED12","NCBI")</f>
        <v>NCBI</v>
      </c>
      <c r="F2702">
        <v>1.2999999999999999E-2</v>
      </c>
      <c r="G2702">
        <v>8.5000000000000006E-2</v>
      </c>
      <c r="H2702" s="1" t="str">
        <f>HYPERLINK("http://www.weizmann.ac.il/complex/compphys/software/geview/data/figures/211342_x_at.png","Figure")</f>
        <v>Figure</v>
      </c>
      <c r="I2702">
        <v>0.58899999999999997</v>
      </c>
      <c r="J2702">
        <v>5.7000000000000002E-2</v>
      </c>
      <c r="K2702">
        <v>1.1399999999999999</v>
      </c>
      <c r="L2702">
        <v>0.74</v>
      </c>
      <c r="M2702">
        <v>1.94</v>
      </c>
      <c r="N2702">
        <v>1.2E-2</v>
      </c>
    </row>
    <row r="2703" spans="1:14" x14ac:dyDescent="0.25">
      <c r="A2703" t="s">
        <v>4987</v>
      </c>
      <c r="B2703" t="s">
        <v>4988</v>
      </c>
      <c r="C2703" s="1" t="str">
        <f>HYPERLINK("http://www.genecards.org/cgi-bin/carddisp.pl?gene=TMEM97","GeneCards")</f>
        <v>GeneCards</v>
      </c>
      <c r="D2703" s="1" t="str">
        <f>HYPERLINK("http://genome-euro.ucsc.edu/cgi-bin/hgTracks?position=212281_s_at","UCSC")</f>
        <v>UCSC</v>
      </c>
      <c r="E2703" s="1" t="str">
        <f>HYPERLINK("http://www.ncbi.nlm.nih.gov/gene/?term=TMEM97","NCBI")</f>
        <v>NCBI</v>
      </c>
      <c r="F2703">
        <v>1.2999999999999999E-2</v>
      </c>
      <c r="G2703">
        <v>8.5000000000000006E-2</v>
      </c>
      <c r="H2703" s="1" t="str">
        <f>HYPERLINK("http://www.weizmann.ac.il/complex/compphys/software/geview/data/figures/212281_s_at.png","Figure")</f>
        <v>Figure</v>
      </c>
      <c r="I2703">
        <v>0.54700000000000004</v>
      </c>
      <c r="J2703">
        <v>0.15</v>
      </c>
      <c r="K2703">
        <v>1.46</v>
      </c>
      <c r="L2703">
        <v>0.35</v>
      </c>
      <c r="M2703">
        <v>2.68</v>
      </c>
      <c r="N2703">
        <v>0.01</v>
      </c>
    </row>
    <row r="2704" spans="1:14" x14ac:dyDescent="0.25">
      <c r="A2704" t="s">
        <v>4989</v>
      </c>
      <c r="B2704" t="s">
        <v>4990</v>
      </c>
      <c r="C2704" s="1" t="str">
        <f>HYPERLINK("http://www.genecards.org/cgi-bin/carddisp.pl?gene=TMEM66","GeneCards")</f>
        <v>GeneCards</v>
      </c>
      <c r="D2704" s="1" t="str">
        <f>HYPERLINK("http://genome-euro.ucsc.edu/cgi-bin/hgTracks?position=200847_s_at","UCSC")</f>
        <v>UCSC</v>
      </c>
      <c r="E2704" s="1" t="str">
        <f>HYPERLINK("http://www.ncbi.nlm.nih.gov/gene/?term=TMEM66","NCBI")</f>
        <v>NCBI</v>
      </c>
      <c r="F2704">
        <v>1.4E-2</v>
      </c>
      <c r="G2704">
        <v>8.5000000000000006E-2</v>
      </c>
      <c r="H2704" s="1" t="str">
        <f>HYPERLINK("http://www.weizmann.ac.il/complex/compphys/software/geview/data/figures/200847_s_at.png","Figure")</f>
        <v>Figure</v>
      </c>
      <c r="I2704">
        <v>0.70099999999999996</v>
      </c>
      <c r="J2704">
        <v>0.22</v>
      </c>
      <c r="K2704">
        <v>0.54100000000000004</v>
      </c>
      <c r="L2704">
        <v>0.01</v>
      </c>
      <c r="M2704">
        <v>0.77200000000000002</v>
      </c>
      <c r="N2704">
        <v>0.38</v>
      </c>
    </row>
    <row r="2705" spans="1:14" x14ac:dyDescent="0.25">
      <c r="A2705" t="s">
        <v>4991</v>
      </c>
      <c r="B2705" t="s">
        <v>4992</v>
      </c>
      <c r="C2705" s="1" t="str">
        <f>HYPERLINK("http://www.genecards.org/cgi-bin/carddisp.pl?gene=ZNF212","GeneCards")</f>
        <v>GeneCards</v>
      </c>
      <c r="D2705" s="1" t="str">
        <f>HYPERLINK("http://genome-euro.ucsc.edu/cgi-bin/hgTracks?position=203985_at","UCSC")</f>
        <v>UCSC</v>
      </c>
      <c r="E2705" s="1" t="str">
        <f>HYPERLINK("http://www.ncbi.nlm.nih.gov/gene/?term=ZNF212","NCBI")</f>
        <v>NCBI</v>
      </c>
      <c r="F2705">
        <v>1.4E-2</v>
      </c>
      <c r="G2705">
        <v>8.5000000000000006E-2</v>
      </c>
      <c r="H2705" s="1" t="str">
        <f>HYPERLINK("http://www.weizmann.ac.il/complex/compphys/software/geview/data/figures/203985_at.png","Figure")</f>
        <v>Figure</v>
      </c>
      <c r="I2705">
        <v>1.3</v>
      </c>
      <c r="J2705">
        <v>0.02</v>
      </c>
      <c r="K2705">
        <v>1.02</v>
      </c>
      <c r="L2705">
        <v>0.95</v>
      </c>
      <c r="M2705">
        <v>0.78900000000000003</v>
      </c>
      <c r="N2705">
        <v>2.1999999999999999E-2</v>
      </c>
    </row>
    <row r="2706" spans="1:14" x14ac:dyDescent="0.25">
      <c r="A2706" t="s">
        <v>4993</v>
      </c>
      <c r="B2706" t="s">
        <v>4994</v>
      </c>
      <c r="C2706" s="1" t="str">
        <f>HYPERLINK("http://www.genecards.org/cgi-bin/carddisp.pl?gene=PTCD2","GeneCards")</f>
        <v>GeneCards</v>
      </c>
      <c r="D2706" s="1" t="str">
        <f>HYPERLINK("http://genome-euro.ucsc.edu/cgi-bin/hgTracks?position=219658_at","UCSC")</f>
        <v>UCSC</v>
      </c>
      <c r="E2706" s="1" t="str">
        <f>HYPERLINK("http://www.ncbi.nlm.nih.gov/gene/?term=PTCD2","NCBI")</f>
        <v>NCBI</v>
      </c>
      <c r="F2706">
        <v>1.4E-2</v>
      </c>
      <c r="G2706">
        <v>8.5000000000000006E-2</v>
      </c>
      <c r="H2706" s="1" t="str">
        <f>HYPERLINK("http://www.weizmann.ac.il/complex/compphys/software/geview/data/figures/219658_at.png","Figure")</f>
        <v>Figure</v>
      </c>
      <c r="I2706">
        <v>0.73899999999999999</v>
      </c>
      <c r="J2706">
        <v>3.7999999999999999E-2</v>
      </c>
      <c r="K2706">
        <v>1.04</v>
      </c>
      <c r="L2706">
        <v>0.92</v>
      </c>
      <c r="M2706">
        <v>1.4</v>
      </c>
      <c r="N2706">
        <v>1.2999999999999999E-2</v>
      </c>
    </row>
    <row r="2707" spans="1:14" x14ac:dyDescent="0.25">
      <c r="A2707" t="s">
        <v>4995</v>
      </c>
      <c r="B2707" t="s">
        <v>4996</v>
      </c>
      <c r="C2707" s="1" t="str">
        <f>HYPERLINK("http://www.genecards.org/cgi-bin/carddisp.pl?gene=APLP2","GeneCards")</f>
        <v>GeneCards</v>
      </c>
      <c r="D2707" s="1" t="str">
        <f>HYPERLINK("http://genome-euro.ucsc.edu/cgi-bin/hgTracks?position=208248_x_at","UCSC")</f>
        <v>UCSC</v>
      </c>
      <c r="E2707" s="1" t="str">
        <f>HYPERLINK("http://www.ncbi.nlm.nih.gov/gene/?term=APLP2","NCBI")</f>
        <v>NCBI</v>
      </c>
      <c r="F2707">
        <v>1.4E-2</v>
      </c>
      <c r="G2707">
        <v>8.5000000000000006E-2</v>
      </c>
      <c r="H2707" s="1" t="str">
        <f>HYPERLINK("http://www.weizmann.ac.il/complex/compphys/software/geview/data/figures/208248_x_at.png","Figure")</f>
        <v>Figure</v>
      </c>
      <c r="I2707">
        <v>0.57199999999999995</v>
      </c>
      <c r="J2707">
        <v>1.0999999999999999E-2</v>
      </c>
      <c r="K2707">
        <v>0.73099999999999998</v>
      </c>
      <c r="L2707">
        <v>0.11</v>
      </c>
      <c r="M2707">
        <v>1.28</v>
      </c>
      <c r="N2707">
        <v>0.27</v>
      </c>
    </row>
    <row r="2708" spans="1:14" x14ac:dyDescent="0.25">
      <c r="A2708" t="s">
        <v>4997</v>
      </c>
      <c r="B2708" t="s">
        <v>4998</v>
      </c>
      <c r="C2708" s="1" t="str">
        <f>HYPERLINK("http://www.genecards.org/cgi-bin/carddisp.pl?gene=SYK","GeneCards")</f>
        <v>GeneCards</v>
      </c>
      <c r="D2708" s="1" t="str">
        <f>HYPERLINK("http://genome-euro.ucsc.edu/cgi-bin/hgTracks?position=209269_s_at","UCSC")</f>
        <v>UCSC</v>
      </c>
      <c r="E2708" s="1" t="str">
        <f>HYPERLINK("http://www.ncbi.nlm.nih.gov/gene/?term=SYK","NCBI")</f>
        <v>NCBI</v>
      </c>
      <c r="F2708">
        <v>1.4E-2</v>
      </c>
      <c r="G2708">
        <v>8.5000000000000006E-2</v>
      </c>
      <c r="H2708" s="1" t="str">
        <f>HYPERLINK("http://www.weizmann.ac.il/complex/compphys/software/geview/data/figures/209269_s_at.png","Figure")</f>
        <v>Figure</v>
      </c>
      <c r="I2708">
        <v>1.1499999999999999</v>
      </c>
      <c r="J2708">
        <v>0.01</v>
      </c>
      <c r="K2708">
        <v>1.07</v>
      </c>
      <c r="L2708">
        <v>0.21</v>
      </c>
      <c r="M2708">
        <v>0.92600000000000005</v>
      </c>
      <c r="N2708">
        <v>0.14000000000000001</v>
      </c>
    </row>
    <row r="2709" spans="1:14" x14ac:dyDescent="0.25">
      <c r="A2709" t="s">
        <v>4999</v>
      </c>
      <c r="B2709" t="s">
        <v>5000</v>
      </c>
      <c r="C2709" s="1" t="str">
        <f>HYPERLINK("http://www.genecards.org/cgi-bin/carddisp.pl?gene=PDX1","GeneCards")</f>
        <v>GeneCards</v>
      </c>
      <c r="D2709" s="1" t="str">
        <f>HYPERLINK("http://genome-euro.ucsc.edu/cgi-bin/hgTracks?position=210938_at","UCSC")</f>
        <v>UCSC</v>
      </c>
      <c r="E2709" s="1" t="str">
        <f>HYPERLINK("http://www.ncbi.nlm.nih.gov/gene/?term=PDX1","NCBI")</f>
        <v>NCBI</v>
      </c>
      <c r="F2709">
        <v>1.4E-2</v>
      </c>
      <c r="G2709">
        <v>8.5000000000000006E-2</v>
      </c>
      <c r="H2709" s="1" t="str">
        <f>HYPERLINK("http://www.weizmann.ac.il/complex/compphys/software/geview/data/figures/210938_at.png","Figure")</f>
        <v>Figure</v>
      </c>
      <c r="I2709">
        <v>1.21</v>
      </c>
      <c r="J2709">
        <v>1.6E-2</v>
      </c>
      <c r="K2709">
        <v>1.1499999999999999</v>
      </c>
      <c r="L2709">
        <v>4.2999999999999997E-2</v>
      </c>
      <c r="M2709">
        <v>0.94899999999999995</v>
      </c>
      <c r="N2709">
        <v>0.62</v>
      </c>
    </row>
    <row r="2710" spans="1:14" x14ac:dyDescent="0.25">
      <c r="A2710" t="s">
        <v>5001</v>
      </c>
      <c r="B2710" t="s">
        <v>5002</v>
      </c>
      <c r="C2710" s="1" t="str">
        <f>HYPERLINK("http://www.genecards.org/cgi-bin/carddisp.pl?gene=TMEM120B","GeneCards")</f>
        <v>GeneCards</v>
      </c>
      <c r="D2710" s="1" t="str">
        <f>HYPERLINK("http://genome-euro.ucsc.edu/cgi-bin/hgTracks?position=219154_at","UCSC")</f>
        <v>UCSC</v>
      </c>
      <c r="E2710" s="1" t="str">
        <f>HYPERLINK("http://www.ncbi.nlm.nih.gov/gene/?term=TMEM120B","NCBI")</f>
        <v>NCBI</v>
      </c>
      <c r="F2710">
        <v>1.4E-2</v>
      </c>
      <c r="G2710">
        <v>8.5000000000000006E-2</v>
      </c>
      <c r="H2710" s="1" t="str">
        <f>HYPERLINK("http://www.weizmann.ac.il/complex/compphys/software/geview/data/figures/219154_at.png","Figure")</f>
        <v>Figure</v>
      </c>
      <c r="I2710">
        <v>0.89200000000000002</v>
      </c>
      <c r="J2710">
        <v>0.19</v>
      </c>
      <c r="K2710">
        <v>0.82899999999999996</v>
      </c>
      <c r="L2710">
        <v>0.01</v>
      </c>
      <c r="M2710">
        <v>0.93</v>
      </c>
      <c r="N2710">
        <v>0.44</v>
      </c>
    </row>
    <row r="2711" spans="1:14" x14ac:dyDescent="0.25">
      <c r="A2711" t="s">
        <v>5003</v>
      </c>
      <c r="B2711" t="s">
        <v>5004</v>
      </c>
      <c r="C2711" s="1" t="str">
        <f>HYPERLINK("http://www.genecards.org/cgi-bin/carddisp.pl?gene=KCTD7","GeneCards")</f>
        <v>GeneCards</v>
      </c>
      <c r="D2711" s="1" t="str">
        <f>HYPERLINK("http://genome-euro.ucsc.edu/cgi-bin/hgTracks?position=213474_at","UCSC")</f>
        <v>UCSC</v>
      </c>
      <c r="E2711" s="1" t="str">
        <f>HYPERLINK("http://www.ncbi.nlm.nih.gov/gene/?term=KCTD7","NCBI")</f>
        <v>NCBI</v>
      </c>
      <c r="F2711">
        <v>1.4E-2</v>
      </c>
      <c r="G2711">
        <v>8.5000000000000006E-2</v>
      </c>
      <c r="H2711" s="1" t="str">
        <f>HYPERLINK("http://www.weizmann.ac.il/complex/compphys/software/geview/data/figures/213474_at.png","Figure")</f>
        <v>Figure</v>
      </c>
      <c r="I2711">
        <v>0.88600000000000001</v>
      </c>
      <c r="J2711">
        <v>0.71</v>
      </c>
      <c r="K2711">
        <v>0.64200000000000002</v>
      </c>
      <c r="L2711">
        <v>1.4E-2</v>
      </c>
      <c r="M2711">
        <v>0.72499999999999998</v>
      </c>
      <c r="N2711">
        <v>9.8000000000000004E-2</v>
      </c>
    </row>
    <row r="2712" spans="1:14" x14ac:dyDescent="0.25">
      <c r="A2712" t="s">
        <v>5005</v>
      </c>
      <c r="B2712" t="s">
        <v>2162</v>
      </c>
      <c r="C2712" s="1" t="str">
        <f>HYPERLINK("http://www.genecards.org/cgi-bin/carddisp.pl?gene=ZNF22","GeneCards")</f>
        <v>GeneCards</v>
      </c>
      <c r="D2712" s="1" t="str">
        <f>HYPERLINK("http://genome-euro.ucsc.edu/cgi-bin/hgTracks?position=218005_at","UCSC")</f>
        <v>UCSC</v>
      </c>
      <c r="E2712" s="1" t="str">
        <f>HYPERLINK("http://www.ncbi.nlm.nih.gov/gene/?term=ZNF22","NCBI")</f>
        <v>NCBI</v>
      </c>
      <c r="F2712">
        <v>1.4E-2</v>
      </c>
      <c r="G2712">
        <v>8.5000000000000006E-2</v>
      </c>
      <c r="H2712" s="1" t="str">
        <f>HYPERLINK("http://www.weizmann.ac.il/complex/compphys/software/geview/data/figures/218005_at.png","Figure")</f>
        <v>Figure</v>
      </c>
      <c r="I2712">
        <v>0.79600000000000004</v>
      </c>
      <c r="J2712">
        <v>0.27</v>
      </c>
      <c r="K2712">
        <v>1.25</v>
      </c>
      <c r="L2712">
        <v>0.2</v>
      </c>
      <c r="M2712">
        <v>1.57</v>
      </c>
      <c r="N2712">
        <v>1.0999999999999999E-2</v>
      </c>
    </row>
    <row r="2713" spans="1:14" x14ac:dyDescent="0.25">
      <c r="A2713" t="s">
        <v>5006</v>
      </c>
      <c r="B2713" t="s">
        <v>5007</v>
      </c>
      <c r="C2713" s="1" t="str">
        <f>HYPERLINK("http://www.genecards.org/cgi-bin/carddisp.pl?gene=EFTUD1","GeneCards")</f>
        <v>GeneCards</v>
      </c>
      <c r="D2713" s="1" t="str">
        <f>HYPERLINK("http://genome-euro.ucsc.edu/cgi-bin/hgTracks?position=218973_at","UCSC")</f>
        <v>UCSC</v>
      </c>
      <c r="E2713" s="1" t="str">
        <f>HYPERLINK("http://www.ncbi.nlm.nih.gov/gene/?term=EFTUD1","NCBI")</f>
        <v>NCBI</v>
      </c>
      <c r="F2713">
        <v>1.4E-2</v>
      </c>
      <c r="G2713">
        <v>8.5000000000000006E-2</v>
      </c>
      <c r="H2713" s="1" t="str">
        <f>HYPERLINK("http://www.weizmann.ac.il/complex/compphys/software/geview/data/figures/218973_at.png","Figure")</f>
        <v>Figure</v>
      </c>
      <c r="I2713">
        <v>1.53</v>
      </c>
      <c r="J2713">
        <v>3.5000000000000003E-2</v>
      </c>
      <c r="K2713">
        <v>1.52</v>
      </c>
      <c r="L2713">
        <v>1.7999999999999999E-2</v>
      </c>
      <c r="M2713">
        <v>0.99299999999999999</v>
      </c>
      <c r="N2713">
        <v>1</v>
      </c>
    </row>
    <row r="2714" spans="1:14" x14ac:dyDescent="0.25">
      <c r="A2714" t="s">
        <v>5008</v>
      </c>
      <c r="B2714" t="s">
        <v>5009</v>
      </c>
      <c r="C2714" s="1" t="str">
        <f>HYPERLINK("http://www.genecards.org/cgi-bin/carddisp.pl?gene=EML2","GeneCards")</f>
        <v>GeneCards</v>
      </c>
      <c r="D2714" s="1" t="str">
        <f>HYPERLINK("http://genome-euro.ucsc.edu/cgi-bin/hgTracks?position=204399_s_at","UCSC")</f>
        <v>UCSC</v>
      </c>
      <c r="E2714" s="1" t="str">
        <f>HYPERLINK("http://www.ncbi.nlm.nih.gov/gene/?term=EML2","NCBI")</f>
        <v>NCBI</v>
      </c>
      <c r="F2714">
        <v>1.4E-2</v>
      </c>
      <c r="G2714">
        <v>8.5000000000000006E-2</v>
      </c>
      <c r="H2714" s="1" t="str">
        <f>HYPERLINK("http://www.weizmann.ac.il/complex/compphys/software/geview/data/figures/204399_s_at.png","Figure")</f>
        <v>Figure</v>
      </c>
      <c r="I2714">
        <v>1.23</v>
      </c>
      <c r="J2714">
        <v>0.01</v>
      </c>
      <c r="K2714">
        <v>1.1000000000000001</v>
      </c>
      <c r="L2714">
        <v>0.19</v>
      </c>
      <c r="M2714">
        <v>0.89400000000000002</v>
      </c>
      <c r="N2714">
        <v>0.15</v>
      </c>
    </row>
    <row r="2715" spans="1:14" x14ac:dyDescent="0.25">
      <c r="A2715" t="s">
        <v>5010</v>
      </c>
      <c r="B2715" t="s">
        <v>5011</v>
      </c>
      <c r="C2715" s="1" t="str">
        <f>HYPERLINK("http://www.genecards.org/cgi-bin/carddisp.pl?gene=ZBTB10","GeneCards")</f>
        <v>GeneCards</v>
      </c>
      <c r="D2715" s="1" t="str">
        <f>HYPERLINK("http://genome-euro.ucsc.edu/cgi-bin/hgTracks?position=219312_s_at","UCSC")</f>
        <v>UCSC</v>
      </c>
      <c r="E2715" s="1" t="str">
        <f>HYPERLINK("http://www.ncbi.nlm.nih.gov/gene/?term=ZBTB10","NCBI")</f>
        <v>NCBI</v>
      </c>
      <c r="F2715">
        <v>1.4E-2</v>
      </c>
      <c r="G2715">
        <v>8.5000000000000006E-2</v>
      </c>
      <c r="H2715" s="1" t="str">
        <f>HYPERLINK("http://www.weizmann.ac.il/complex/compphys/software/geview/data/figures/219312_s_at.png","Figure")</f>
        <v>Figure</v>
      </c>
      <c r="I2715">
        <v>0.52600000000000002</v>
      </c>
      <c r="J2715">
        <v>3.5000000000000003E-2</v>
      </c>
      <c r="K2715">
        <v>0.53300000000000003</v>
      </c>
      <c r="L2715">
        <v>1.7999999999999999E-2</v>
      </c>
      <c r="M2715">
        <v>1.01</v>
      </c>
      <c r="N2715">
        <v>1</v>
      </c>
    </row>
    <row r="2716" spans="1:14" x14ac:dyDescent="0.25">
      <c r="A2716" t="s">
        <v>5012</v>
      </c>
      <c r="B2716" t="s">
        <v>2528</v>
      </c>
      <c r="C2716" s="1" t="str">
        <f>HYPERLINK("http://www.genecards.org/cgi-bin/carddisp.pl?gene=SEC31A","GeneCards")</f>
        <v>GeneCards</v>
      </c>
      <c r="D2716" s="1" t="str">
        <f>HYPERLINK("http://genome-euro.ucsc.edu/cgi-bin/hgTracks?position=200945_s_at","UCSC")</f>
        <v>UCSC</v>
      </c>
      <c r="E2716" s="1" t="str">
        <f>HYPERLINK("http://www.ncbi.nlm.nih.gov/gene/?term=SEC31A","NCBI")</f>
        <v>NCBI</v>
      </c>
      <c r="F2716">
        <v>1.4E-2</v>
      </c>
      <c r="G2716">
        <v>8.5999999999999993E-2</v>
      </c>
      <c r="H2716" s="1" t="str">
        <f>HYPERLINK("http://www.weizmann.ac.il/complex/compphys/software/geview/data/figures/200945_s_at.png","Figure")</f>
        <v>Figure</v>
      </c>
      <c r="I2716">
        <v>0.66300000000000003</v>
      </c>
      <c r="J2716">
        <v>0.15</v>
      </c>
      <c r="K2716">
        <v>1.29</v>
      </c>
      <c r="L2716">
        <v>0.36</v>
      </c>
      <c r="M2716">
        <v>1.94</v>
      </c>
      <c r="N2716">
        <v>0.01</v>
      </c>
    </row>
    <row r="2717" spans="1:14" x14ac:dyDescent="0.25">
      <c r="A2717" t="s">
        <v>5013</v>
      </c>
      <c r="B2717" t="s">
        <v>5014</v>
      </c>
      <c r="C2717" s="1" t="str">
        <f>HYPERLINK("http://www.genecards.org/cgi-bin/carddisp.pl?gene=EIF3C /// EIF3CL","GeneCards")</f>
        <v>GeneCards</v>
      </c>
      <c r="D2717" s="1" t="str">
        <f>HYPERLINK("http://genome-euro.ucsc.edu/cgi-bin/hgTracks?position=200647_x_at","UCSC")</f>
        <v>UCSC</v>
      </c>
      <c r="E2717" s="1" t="str">
        <f>HYPERLINK("http://www.ncbi.nlm.nih.gov/gene/?term=EIF3C /// EIF3CL","NCBI")</f>
        <v>NCBI</v>
      </c>
      <c r="F2717">
        <v>1.4E-2</v>
      </c>
      <c r="G2717">
        <v>8.5999999999999993E-2</v>
      </c>
      <c r="H2717" s="1" t="str">
        <f>HYPERLINK("http://www.weizmann.ac.il/complex/compphys/software/geview/data/figures/200647_x_at.png","Figure")</f>
        <v>Figure</v>
      </c>
      <c r="I2717">
        <v>1.2</v>
      </c>
      <c r="J2717">
        <v>0.5</v>
      </c>
      <c r="K2717">
        <v>1.59</v>
      </c>
      <c r="L2717">
        <v>1.2E-2</v>
      </c>
      <c r="M2717">
        <v>1.33</v>
      </c>
      <c r="N2717">
        <v>0.16</v>
      </c>
    </row>
    <row r="2718" spans="1:14" x14ac:dyDescent="0.25">
      <c r="A2718" t="s">
        <v>5015</v>
      </c>
      <c r="B2718" t="s">
        <v>2884</v>
      </c>
      <c r="C2718" s="1" t="str">
        <f>HYPERLINK("http://www.genecards.org/cgi-bin/carddisp.pl?gene=LAPTM5","GeneCards")</f>
        <v>GeneCards</v>
      </c>
      <c r="D2718" s="1" t="str">
        <f>HYPERLINK("http://genome-euro.ucsc.edu/cgi-bin/hgTracks?position=201721_s_at","UCSC")</f>
        <v>UCSC</v>
      </c>
      <c r="E2718" s="1" t="str">
        <f>HYPERLINK("http://www.ncbi.nlm.nih.gov/gene/?term=LAPTM5","NCBI")</f>
        <v>NCBI</v>
      </c>
      <c r="F2718">
        <v>1.4E-2</v>
      </c>
      <c r="G2718">
        <v>8.5999999999999993E-2</v>
      </c>
      <c r="H2718" s="1" t="str">
        <f>HYPERLINK("http://www.weizmann.ac.il/complex/compphys/software/geview/data/figures/201721_s_at.png","Figure")</f>
        <v>Figure</v>
      </c>
      <c r="I2718">
        <v>0.80700000000000005</v>
      </c>
      <c r="J2718">
        <v>0.26</v>
      </c>
      <c r="K2718">
        <v>0.67200000000000004</v>
      </c>
      <c r="L2718">
        <v>1.0999999999999999E-2</v>
      </c>
      <c r="M2718">
        <v>0.83299999999999996</v>
      </c>
      <c r="N2718">
        <v>0.32</v>
      </c>
    </row>
    <row r="2719" spans="1:14" x14ac:dyDescent="0.25">
      <c r="A2719" t="s">
        <v>5016</v>
      </c>
      <c r="B2719" t="s">
        <v>4460</v>
      </c>
      <c r="C2719" s="1" t="str">
        <f>HYPERLINK("http://www.genecards.org/cgi-bin/carddisp.pl?gene=KCNQ2","GeneCards")</f>
        <v>GeneCards</v>
      </c>
      <c r="D2719" s="1" t="str">
        <f>HYPERLINK("http://genome-euro.ucsc.edu/cgi-bin/hgTracks?position=210508_s_at","UCSC")</f>
        <v>UCSC</v>
      </c>
      <c r="E2719" s="1" t="str">
        <f>HYPERLINK("http://www.ncbi.nlm.nih.gov/gene/?term=KCNQ2","NCBI")</f>
        <v>NCBI</v>
      </c>
      <c r="F2719">
        <v>1.4E-2</v>
      </c>
      <c r="G2719">
        <v>8.5999999999999993E-2</v>
      </c>
      <c r="H2719" s="1" t="str">
        <f>HYPERLINK("http://www.weizmann.ac.il/complex/compphys/software/geview/data/figures/210508_s_at.png","Figure")</f>
        <v>Figure</v>
      </c>
      <c r="I2719">
        <v>1.28</v>
      </c>
      <c r="J2719">
        <v>1.2E-2</v>
      </c>
      <c r="K2719">
        <v>1.1499999999999999</v>
      </c>
      <c r="L2719">
        <v>9.0999999999999998E-2</v>
      </c>
      <c r="M2719">
        <v>0.90400000000000003</v>
      </c>
      <c r="N2719">
        <v>0.32</v>
      </c>
    </row>
    <row r="2720" spans="1:14" x14ac:dyDescent="0.25">
      <c r="A2720" t="s">
        <v>5017</v>
      </c>
      <c r="B2720" t="s">
        <v>311</v>
      </c>
      <c r="C2720" s="1" t="str">
        <f>HYPERLINK("http://www.genecards.org/cgi-bin/carddisp.pl?gene=ELOVL5","GeneCards")</f>
        <v>GeneCards</v>
      </c>
      <c r="D2720" s="1" t="str">
        <f>HYPERLINK("http://genome-euro.ucsc.edu/cgi-bin/hgTracks?position=215082_at","UCSC")</f>
        <v>UCSC</v>
      </c>
      <c r="E2720" s="1" t="str">
        <f>HYPERLINK("http://www.ncbi.nlm.nih.gov/gene/?term=ELOVL5","NCBI")</f>
        <v>NCBI</v>
      </c>
      <c r="F2720">
        <v>1.4E-2</v>
      </c>
      <c r="G2720">
        <v>8.5999999999999993E-2</v>
      </c>
      <c r="H2720" s="1" t="str">
        <f>HYPERLINK("http://www.weizmann.ac.il/complex/compphys/software/geview/data/figures/215082_at.png","Figure")</f>
        <v>Figure</v>
      </c>
      <c r="I2720">
        <v>1.72</v>
      </c>
      <c r="J2720">
        <v>1.0999999999999999E-2</v>
      </c>
      <c r="K2720">
        <v>1.32</v>
      </c>
      <c r="L2720">
        <v>0.15</v>
      </c>
      <c r="M2720">
        <v>0.76600000000000001</v>
      </c>
      <c r="N2720">
        <v>0.2</v>
      </c>
    </row>
    <row r="2721" spans="1:14" x14ac:dyDescent="0.25">
      <c r="A2721" t="s">
        <v>5018</v>
      </c>
      <c r="B2721" t="s">
        <v>5019</v>
      </c>
      <c r="C2721" s="1" t="str">
        <f>HYPERLINK("http://www.genecards.org/cgi-bin/carddisp.pl?gene=ZNF395","GeneCards")</f>
        <v>GeneCards</v>
      </c>
      <c r="D2721" s="1" t="str">
        <f>HYPERLINK("http://genome-euro.ucsc.edu/cgi-bin/hgTracks?position=218149_s_at","UCSC")</f>
        <v>UCSC</v>
      </c>
      <c r="E2721" s="1" t="str">
        <f>HYPERLINK("http://www.ncbi.nlm.nih.gov/gene/?term=ZNF395","NCBI")</f>
        <v>NCBI</v>
      </c>
      <c r="F2721">
        <v>1.4E-2</v>
      </c>
      <c r="G2721">
        <v>8.5999999999999993E-2</v>
      </c>
      <c r="H2721" s="1" t="str">
        <f>HYPERLINK("http://www.weizmann.ac.il/complex/compphys/software/geview/data/figures/218149_s_at.png","Figure")</f>
        <v>Figure</v>
      </c>
      <c r="I2721">
        <v>0.64700000000000002</v>
      </c>
      <c r="J2721">
        <v>0.13</v>
      </c>
      <c r="K2721">
        <v>0.53</v>
      </c>
      <c r="L2721">
        <v>1.0999999999999999E-2</v>
      </c>
      <c r="M2721">
        <v>0.81899999999999995</v>
      </c>
      <c r="N2721">
        <v>0.57999999999999996</v>
      </c>
    </row>
    <row r="2722" spans="1:14" x14ac:dyDescent="0.25">
      <c r="A2722" t="s">
        <v>5020</v>
      </c>
      <c r="B2722" t="s">
        <v>5021</v>
      </c>
      <c r="C2722" s="1" t="str">
        <f>HYPERLINK("http://www.genecards.org/cgi-bin/carddisp.pl?gene=AKR1C3","GeneCards")</f>
        <v>GeneCards</v>
      </c>
      <c r="D2722" s="1" t="str">
        <f>HYPERLINK("http://genome-euro.ucsc.edu/cgi-bin/hgTracks?position=209160_at","UCSC")</f>
        <v>UCSC</v>
      </c>
      <c r="E2722" s="1" t="str">
        <f>HYPERLINK("http://www.ncbi.nlm.nih.gov/gene/?term=AKR1C3","NCBI")</f>
        <v>NCBI</v>
      </c>
      <c r="F2722">
        <v>1.4E-2</v>
      </c>
      <c r="G2722">
        <v>8.5999999999999993E-2</v>
      </c>
      <c r="H2722" s="1" t="str">
        <f>HYPERLINK("http://www.weizmann.ac.il/complex/compphys/software/geview/data/figures/209160_at.png","Figure")</f>
        <v>Figure</v>
      </c>
      <c r="I2722">
        <v>0.58699999999999997</v>
      </c>
      <c r="J2722">
        <v>1.2999999999999999E-2</v>
      </c>
      <c r="K2722">
        <v>0.88300000000000001</v>
      </c>
      <c r="L2722">
        <v>0.65</v>
      </c>
      <c r="M2722">
        <v>1.5</v>
      </c>
      <c r="N2722">
        <v>4.1000000000000002E-2</v>
      </c>
    </row>
    <row r="2723" spans="1:14" x14ac:dyDescent="0.25">
      <c r="A2723" t="s">
        <v>5022</v>
      </c>
      <c r="B2723" t="s">
        <v>5023</v>
      </c>
      <c r="C2723" s="1" t="str">
        <f>HYPERLINK("http://www.genecards.org/cgi-bin/carddisp.pl?gene=PTBP2","GeneCards")</f>
        <v>GeneCards</v>
      </c>
      <c r="D2723" s="1" t="str">
        <f>HYPERLINK("http://genome-euro.ucsc.edu/cgi-bin/hgTracks?position=218683_at","UCSC")</f>
        <v>UCSC</v>
      </c>
      <c r="E2723" s="1" t="str">
        <f>HYPERLINK("http://www.ncbi.nlm.nih.gov/gene/?term=PTBP2","NCBI")</f>
        <v>NCBI</v>
      </c>
      <c r="F2723">
        <v>1.4E-2</v>
      </c>
      <c r="G2723">
        <v>8.5999999999999993E-2</v>
      </c>
      <c r="H2723" s="1" t="str">
        <f>HYPERLINK("http://www.weizmann.ac.il/complex/compphys/software/geview/data/figures/218683_at.png","Figure")</f>
        <v>Figure</v>
      </c>
      <c r="I2723">
        <v>1.56</v>
      </c>
      <c r="J2723">
        <v>0.28000000000000003</v>
      </c>
      <c r="K2723">
        <v>0.63800000000000001</v>
      </c>
      <c r="L2723">
        <v>0.19</v>
      </c>
      <c r="M2723">
        <v>0.41</v>
      </c>
      <c r="N2723">
        <v>1.0999999999999999E-2</v>
      </c>
    </row>
    <row r="2724" spans="1:14" x14ac:dyDescent="0.25">
      <c r="A2724" t="s">
        <v>5024</v>
      </c>
      <c r="B2724" t="s">
        <v>5025</v>
      </c>
      <c r="C2724" s="1" t="str">
        <f>HYPERLINK("http://www.genecards.org/cgi-bin/carddisp.pl?gene=DHX38","GeneCards")</f>
        <v>GeneCards</v>
      </c>
      <c r="D2724" s="1" t="str">
        <f>HYPERLINK("http://genome-euro.ucsc.edu/cgi-bin/hgTracks?position=209178_at","UCSC")</f>
        <v>UCSC</v>
      </c>
      <c r="E2724" s="1" t="str">
        <f>HYPERLINK("http://www.ncbi.nlm.nih.gov/gene/?term=DHX38","NCBI")</f>
        <v>NCBI</v>
      </c>
      <c r="F2724">
        <v>1.4E-2</v>
      </c>
      <c r="G2724">
        <v>8.5999999999999993E-2</v>
      </c>
      <c r="H2724" s="1" t="str">
        <f>HYPERLINK("http://www.weizmann.ac.il/complex/compphys/software/geview/data/figures/209178_at.png","Figure")</f>
        <v>Figure</v>
      </c>
      <c r="I2724">
        <v>1.01</v>
      </c>
      <c r="J2724">
        <v>1</v>
      </c>
      <c r="K2724">
        <v>0.80700000000000005</v>
      </c>
      <c r="L2724">
        <v>2.8000000000000001E-2</v>
      </c>
      <c r="M2724">
        <v>0.80100000000000005</v>
      </c>
      <c r="N2724">
        <v>3.4000000000000002E-2</v>
      </c>
    </row>
    <row r="2725" spans="1:14" x14ac:dyDescent="0.25">
      <c r="A2725" t="s">
        <v>5026</v>
      </c>
      <c r="B2725" t="s">
        <v>5027</v>
      </c>
      <c r="C2725" s="1" t="str">
        <f>HYPERLINK("http://www.genecards.org/cgi-bin/carddisp.pl?gene=UTP3","GeneCards")</f>
        <v>GeneCards</v>
      </c>
      <c r="D2725" s="1" t="str">
        <f>HYPERLINK("http://genome-euro.ucsc.edu/cgi-bin/hgTracks?position=209486_at","UCSC")</f>
        <v>UCSC</v>
      </c>
      <c r="E2725" s="1" t="str">
        <f>HYPERLINK("http://www.ncbi.nlm.nih.gov/gene/?term=UTP3","NCBI")</f>
        <v>NCBI</v>
      </c>
      <c r="F2725">
        <v>1.4E-2</v>
      </c>
      <c r="G2725">
        <v>8.5999999999999993E-2</v>
      </c>
      <c r="H2725" s="1" t="str">
        <f>HYPERLINK("http://www.weizmann.ac.il/complex/compphys/software/geview/data/figures/209486_at.png","Figure")</f>
        <v>Figure</v>
      </c>
      <c r="I2725">
        <v>0.51800000000000002</v>
      </c>
      <c r="J2725">
        <v>5.6000000000000001E-2</v>
      </c>
      <c r="K2725">
        <v>0.47499999999999998</v>
      </c>
      <c r="L2725">
        <v>1.4E-2</v>
      </c>
      <c r="M2725">
        <v>0.91800000000000004</v>
      </c>
      <c r="N2725">
        <v>0.93</v>
      </c>
    </row>
    <row r="2726" spans="1:14" x14ac:dyDescent="0.25">
      <c r="A2726" t="s">
        <v>5028</v>
      </c>
      <c r="B2726" t="s">
        <v>4603</v>
      </c>
      <c r="C2726" s="1" t="str">
        <f>HYPERLINK("http://www.genecards.org/cgi-bin/carddisp.pl?gene=ELL3 /// SERINC4","GeneCards")</f>
        <v>GeneCards</v>
      </c>
      <c r="D2726" s="1" t="str">
        <f>HYPERLINK("http://genome-euro.ucsc.edu/cgi-bin/hgTracks?position=219517_at","UCSC")</f>
        <v>UCSC</v>
      </c>
      <c r="E2726" s="1" t="str">
        <f>HYPERLINK("http://www.ncbi.nlm.nih.gov/gene/?term=ELL3 /// SERINC4","NCBI")</f>
        <v>NCBI</v>
      </c>
      <c r="F2726">
        <v>1.4E-2</v>
      </c>
      <c r="G2726">
        <v>8.5999999999999993E-2</v>
      </c>
      <c r="H2726" s="1" t="str">
        <f>HYPERLINK("http://www.weizmann.ac.il/complex/compphys/software/geview/data/figures/219517_at.png","Figure")</f>
        <v>Figure</v>
      </c>
      <c r="I2726">
        <v>1.37</v>
      </c>
      <c r="J2726">
        <v>0.25</v>
      </c>
      <c r="K2726">
        <v>1.77</v>
      </c>
      <c r="L2726">
        <v>1.0999999999999999E-2</v>
      </c>
      <c r="M2726">
        <v>1.29</v>
      </c>
      <c r="N2726">
        <v>0.34</v>
      </c>
    </row>
    <row r="2727" spans="1:14" x14ac:dyDescent="0.25">
      <c r="A2727" t="s">
        <v>5029</v>
      </c>
      <c r="B2727" t="s">
        <v>5030</v>
      </c>
      <c r="C2727" s="1" t="str">
        <f>HYPERLINK("http://www.genecards.org/cgi-bin/carddisp.pl?gene=C2 /// CFB","GeneCards")</f>
        <v>GeneCards</v>
      </c>
      <c r="D2727" s="1" t="str">
        <f>HYPERLINK("http://genome-euro.ucsc.edu/cgi-bin/hgTracks?position=202357_s_at","UCSC")</f>
        <v>UCSC</v>
      </c>
      <c r="E2727" s="1" t="str">
        <f>HYPERLINK("http://www.ncbi.nlm.nih.gov/gene/?term=C2 /// CFB","NCBI")</f>
        <v>NCBI</v>
      </c>
      <c r="F2727">
        <v>1.4E-2</v>
      </c>
      <c r="G2727">
        <v>8.5999999999999993E-2</v>
      </c>
      <c r="H2727" s="1" t="str">
        <f>HYPERLINK("http://www.weizmann.ac.il/complex/compphys/software/geview/data/figures/202357_s_at.png","Figure")</f>
        <v>Figure</v>
      </c>
      <c r="I2727">
        <v>1.21</v>
      </c>
      <c r="J2727">
        <v>1.2E-2</v>
      </c>
      <c r="K2727">
        <v>1.1200000000000001</v>
      </c>
      <c r="L2727">
        <v>9.2999999999999999E-2</v>
      </c>
      <c r="M2727">
        <v>0.92400000000000004</v>
      </c>
      <c r="N2727">
        <v>0.31</v>
      </c>
    </row>
    <row r="2728" spans="1:14" x14ac:dyDescent="0.25">
      <c r="A2728" t="s">
        <v>5031</v>
      </c>
      <c r="B2728" t="s">
        <v>5032</v>
      </c>
      <c r="C2728" s="1" t="str">
        <f>HYPERLINK("http://www.genecards.org/cgi-bin/carddisp.pl?gene=RDH14","GeneCards")</f>
        <v>GeneCards</v>
      </c>
      <c r="D2728" s="1" t="str">
        <f>HYPERLINK("http://genome-euro.ucsc.edu/cgi-bin/hgTracks?position=222203_s_at","UCSC")</f>
        <v>UCSC</v>
      </c>
      <c r="E2728" s="1" t="str">
        <f>HYPERLINK("http://www.ncbi.nlm.nih.gov/gene/?term=RDH14","NCBI")</f>
        <v>NCBI</v>
      </c>
      <c r="F2728">
        <v>1.4E-2</v>
      </c>
      <c r="G2728">
        <v>8.5999999999999993E-2</v>
      </c>
      <c r="H2728" s="1" t="str">
        <f>HYPERLINK("http://www.weizmann.ac.il/complex/compphys/software/geview/data/figures/222203_s_at.png","Figure")</f>
        <v>Figure</v>
      </c>
      <c r="I2728">
        <v>0.45800000000000002</v>
      </c>
      <c r="J2728">
        <v>2.8000000000000001E-2</v>
      </c>
      <c r="K2728">
        <v>0.48899999999999999</v>
      </c>
      <c r="L2728">
        <v>2.1999999999999999E-2</v>
      </c>
      <c r="M2728">
        <v>1.07</v>
      </c>
      <c r="N2728">
        <v>0.96</v>
      </c>
    </row>
    <row r="2729" spans="1:14" x14ac:dyDescent="0.25">
      <c r="A2729" t="s">
        <v>5033</v>
      </c>
      <c r="B2729" t="s">
        <v>5034</v>
      </c>
      <c r="C2729" s="1" t="str">
        <f>HYPERLINK("http://www.genecards.org/cgi-bin/carddisp.pl?gene=SH2D2A","GeneCards")</f>
        <v>GeneCards</v>
      </c>
      <c r="D2729" s="1" t="str">
        <f>HYPERLINK("http://genome-euro.ucsc.edu/cgi-bin/hgTracks?position=207351_s_at","UCSC")</f>
        <v>UCSC</v>
      </c>
      <c r="E2729" s="1" t="str">
        <f>HYPERLINK("http://www.ncbi.nlm.nih.gov/gene/?term=SH2D2A","NCBI")</f>
        <v>NCBI</v>
      </c>
      <c r="F2729">
        <v>1.4E-2</v>
      </c>
      <c r="G2729">
        <v>8.5999999999999993E-2</v>
      </c>
      <c r="H2729" s="1" t="str">
        <f>HYPERLINK("http://www.weizmann.ac.il/complex/compphys/software/geview/data/figures/207351_s_at.png","Figure")</f>
        <v>Figure</v>
      </c>
      <c r="I2729">
        <v>1.2</v>
      </c>
      <c r="J2729">
        <v>2.5999999999999999E-2</v>
      </c>
      <c r="K2729">
        <v>1</v>
      </c>
      <c r="L2729">
        <v>1</v>
      </c>
      <c r="M2729">
        <v>0.83</v>
      </c>
      <c r="N2729">
        <v>1.7999999999999999E-2</v>
      </c>
    </row>
    <row r="2730" spans="1:14" x14ac:dyDescent="0.25">
      <c r="A2730" t="s">
        <v>5035</v>
      </c>
      <c r="B2730" t="s">
        <v>3500</v>
      </c>
      <c r="C2730" s="1" t="str">
        <f>HYPERLINK("http://www.genecards.org/cgi-bin/carddisp.pl?gene=PPP3CA","GeneCards")</f>
        <v>GeneCards</v>
      </c>
      <c r="D2730" s="1" t="str">
        <f>HYPERLINK("http://genome-euro.ucsc.edu/cgi-bin/hgTracks?position=202429_s_at","UCSC")</f>
        <v>UCSC</v>
      </c>
      <c r="E2730" s="1" t="str">
        <f>HYPERLINK("http://www.ncbi.nlm.nih.gov/gene/?term=PPP3CA","NCBI")</f>
        <v>NCBI</v>
      </c>
      <c r="F2730">
        <v>1.4E-2</v>
      </c>
      <c r="G2730">
        <v>8.5999999999999993E-2</v>
      </c>
      <c r="H2730" s="1" t="str">
        <f>HYPERLINK("http://www.weizmann.ac.il/complex/compphys/software/geview/data/figures/202429_s_at.png","Figure")</f>
        <v>Figure</v>
      </c>
      <c r="I2730">
        <v>0.41399999999999998</v>
      </c>
      <c r="J2730">
        <v>6.5000000000000002E-2</v>
      </c>
      <c r="K2730">
        <v>1.29</v>
      </c>
      <c r="L2730">
        <v>0.7</v>
      </c>
      <c r="M2730">
        <v>3.11</v>
      </c>
      <c r="N2730">
        <v>1.0999999999999999E-2</v>
      </c>
    </row>
    <row r="2731" spans="1:14" x14ac:dyDescent="0.25">
      <c r="A2731" t="s">
        <v>5036</v>
      </c>
      <c r="B2731" t="s">
        <v>5037</v>
      </c>
      <c r="C2731" s="1" t="str">
        <f>HYPERLINK("http://www.genecards.org/cgi-bin/carddisp.pl?gene=GJA3","GeneCards")</f>
        <v>GeneCards</v>
      </c>
      <c r="D2731" s="1" t="str">
        <f>HYPERLINK("http://genome-euro.ucsc.edu/cgi-bin/hgTracks?position=208590_x_at","UCSC")</f>
        <v>UCSC</v>
      </c>
      <c r="E2731" s="1" t="str">
        <f>HYPERLINK("http://www.ncbi.nlm.nih.gov/gene/?term=GJA3","NCBI")</f>
        <v>NCBI</v>
      </c>
      <c r="F2731">
        <v>1.4E-2</v>
      </c>
      <c r="G2731">
        <v>8.5999999999999993E-2</v>
      </c>
      <c r="H2731" s="1" t="str">
        <f>HYPERLINK("http://www.weizmann.ac.il/complex/compphys/software/geview/data/figures/208590_x_at.png","Figure")</f>
        <v>Figure</v>
      </c>
      <c r="I2731">
        <v>1.19</v>
      </c>
      <c r="J2731">
        <v>3.7999999999999999E-2</v>
      </c>
      <c r="K2731">
        <v>1.2</v>
      </c>
      <c r="L2731">
        <v>1.7000000000000001E-2</v>
      </c>
      <c r="M2731">
        <v>1</v>
      </c>
      <c r="N2731">
        <v>1</v>
      </c>
    </row>
    <row r="2732" spans="1:14" x14ac:dyDescent="0.25">
      <c r="A2732" t="s">
        <v>5038</v>
      </c>
      <c r="B2732" t="s">
        <v>5039</v>
      </c>
      <c r="C2732" s="1" t="str">
        <f>HYPERLINK("http://www.genecards.org/cgi-bin/carddisp.pl?gene=ATP6V0E1","GeneCards")</f>
        <v>GeneCards</v>
      </c>
      <c r="D2732" s="1" t="str">
        <f>HYPERLINK("http://genome-euro.ucsc.edu/cgi-bin/hgTracks?position=200096_s_at","UCSC")</f>
        <v>UCSC</v>
      </c>
      <c r="E2732" s="1" t="str">
        <f>HYPERLINK("http://www.ncbi.nlm.nih.gov/gene/?term=ATP6V0E1","NCBI")</f>
        <v>NCBI</v>
      </c>
      <c r="F2732">
        <v>1.4E-2</v>
      </c>
      <c r="G2732">
        <v>8.5999999999999993E-2</v>
      </c>
      <c r="H2732" s="1" t="str">
        <f>HYPERLINK("http://www.weizmann.ac.il/complex/compphys/software/geview/data/figures/200096_s_at.png","Figure")</f>
        <v>Figure</v>
      </c>
      <c r="I2732">
        <v>0.56899999999999995</v>
      </c>
      <c r="J2732">
        <v>0.04</v>
      </c>
      <c r="K2732">
        <v>1.08</v>
      </c>
      <c r="L2732">
        <v>0.91</v>
      </c>
      <c r="M2732">
        <v>1.9</v>
      </c>
      <c r="N2732">
        <v>1.4E-2</v>
      </c>
    </row>
    <row r="2733" spans="1:14" x14ac:dyDescent="0.25">
      <c r="A2733" t="s">
        <v>5040</v>
      </c>
      <c r="B2733" t="s">
        <v>5041</v>
      </c>
      <c r="C2733" s="1" t="str">
        <f>HYPERLINK("http://www.genecards.org/cgi-bin/carddisp.pl?gene=CCL21","GeneCards")</f>
        <v>GeneCards</v>
      </c>
      <c r="D2733" s="1" t="str">
        <f>HYPERLINK("http://genome-euro.ucsc.edu/cgi-bin/hgTracks?position=204606_at","UCSC")</f>
        <v>UCSC</v>
      </c>
      <c r="E2733" s="1" t="str">
        <f>HYPERLINK("http://www.ncbi.nlm.nih.gov/gene/?term=CCL21","NCBI")</f>
        <v>NCBI</v>
      </c>
      <c r="F2733">
        <v>1.4E-2</v>
      </c>
      <c r="G2733">
        <v>8.5999999999999993E-2</v>
      </c>
      <c r="H2733" s="1" t="str">
        <f>HYPERLINK("http://www.weizmann.ac.il/complex/compphys/software/geview/data/figures/204606_at.png","Figure")</f>
        <v>Figure</v>
      </c>
      <c r="I2733">
        <v>1.28</v>
      </c>
      <c r="J2733">
        <v>1.2999999999999999E-2</v>
      </c>
      <c r="K2733">
        <v>1.17</v>
      </c>
      <c r="L2733">
        <v>6.8000000000000005E-2</v>
      </c>
      <c r="M2733">
        <v>0.91400000000000003</v>
      </c>
      <c r="N2733">
        <v>0.42</v>
      </c>
    </row>
    <row r="2734" spans="1:14" x14ac:dyDescent="0.25">
      <c r="A2734" t="s">
        <v>5042</v>
      </c>
      <c r="B2734" t="s">
        <v>1804</v>
      </c>
      <c r="C2734" s="1" t="str">
        <f>HYPERLINK("http://www.genecards.org/cgi-bin/carddisp.pl?gene=H2AFZ","GeneCards")</f>
        <v>GeneCards</v>
      </c>
      <c r="D2734" s="1" t="str">
        <f>HYPERLINK("http://genome-euro.ucsc.edu/cgi-bin/hgTracks?position=213911_s_at","UCSC")</f>
        <v>UCSC</v>
      </c>
      <c r="E2734" s="1" t="str">
        <f>HYPERLINK("http://www.ncbi.nlm.nih.gov/gene/?term=H2AFZ","NCBI")</f>
        <v>NCBI</v>
      </c>
      <c r="F2734">
        <v>1.4E-2</v>
      </c>
      <c r="G2734">
        <v>8.5999999999999993E-2</v>
      </c>
      <c r="H2734" s="1" t="str">
        <f>HYPERLINK("http://www.weizmann.ac.il/complex/compphys/software/geview/data/figures/213911_s_at.png","Figure")</f>
        <v>Figure</v>
      </c>
      <c r="I2734">
        <v>0.92</v>
      </c>
      <c r="J2734">
        <v>0.76</v>
      </c>
      <c r="K2734">
        <v>1.3</v>
      </c>
      <c r="L2734">
        <v>5.7000000000000002E-2</v>
      </c>
      <c r="M2734">
        <v>1.41</v>
      </c>
      <c r="N2734">
        <v>1.9E-2</v>
      </c>
    </row>
    <row r="2735" spans="1:14" x14ac:dyDescent="0.25">
      <c r="A2735" t="s">
        <v>5043</v>
      </c>
      <c r="B2735" t="s">
        <v>5044</v>
      </c>
      <c r="C2735" s="1" t="str">
        <f>HYPERLINK("http://www.genecards.org/cgi-bin/carddisp.pl?gene=N4BP1","GeneCards")</f>
        <v>GeneCards</v>
      </c>
      <c r="D2735" s="1" t="str">
        <f>HYPERLINK("http://genome-euro.ucsc.edu/cgi-bin/hgTracks?position=32069_at","UCSC")</f>
        <v>UCSC</v>
      </c>
      <c r="E2735" s="1" t="str">
        <f>HYPERLINK("http://www.ncbi.nlm.nih.gov/gene/?term=N4BP1","NCBI")</f>
        <v>NCBI</v>
      </c>
      <c r="F2735">
        <v>1.4E-2</v>
      </c>
      <c r="G2735">
        <v>8.5999999999999993E-2</v>
      </c>
      <c r="H2735" s="1" t="str">
        <f>HYPERLINK("http://www.weizmann.ac.il/complex/compphys/software/geview/data/figures/32069_at.png","Figure")</f>
        <v>Figure</v>
      </c>
      <c r="I2735">
        <v>0.753</v>
      </c>
      <c r="J2735">
        <v>0.48</v>
      </c>
      <c r="K2735">
        <v>0.49</v>
      </c>
      <c r="L2735">
        <v>1.2E-2</v>
      </c>
      <c r="M2735">
        <v>0.65</v>
      </c>
      <c r="N2735">
        <v>0.17</v>
      </c>
    </row>
    <row r="2736" spans="1:14" x14ac:dyDescent="0.25">
      <c r="A2736" t="s">
        <v>5045</v>
      </c>
      <c r="B2736" t="s">
        <v>5046</v>
      </c>
      <c r="C2736" s="1" t="str">
        <f>HYPERLINK("http://www.genecards.org/cgi-bin/carddisp.pl?gene=MAP4K2","GeneCards")</f>
        <v>GeneCards</v>
      </c>
      <c r="D2736" s="1" t="str">
        <f>HYPERLINK("http://genome-euro.ucsc.edu/cgi-bin/hgTracks?position=204936_at","UCSC")</f>
        <v>UCSC</v>
      </c>
      <c r="E2736" s="1" t="str">
        <f>HYPERLINK("http://www.ncbi.nlm.nih.gov/gene/?term=MAP4K2","NCBI")</f>
        <v>NCBI</v>
      </c>
      <c r="F2736">
        <v>1.4E-2</v>
      </c>
      <c r="G2736">
        <v>8.5999999999999993E-2</v>
      </c>
      <c r="H2736" s="1" t="str">
        <f>HYPERLINK("http://www.weizmann.ac.il/complex/compphys/software/geview/data/figures/204936_at.png","Figure")</f>
        <v>Figure</v>
      </c>
      <c r="I2736">
        <v>1.03</v>
      </c>
      <c r="J2736">
        <v>0.9</v>
      </c>
      <c r="K2736">
        <v>0.83399999999999996</v>
      </c>
      <c r="L2736">
        <v>4.1000000000000002E-2</v>
      </c>
      <c r="M2736">
        <v>0.80700000000000005</v>
      </c>
      <c r="N2736">
        <v>2.4E-2</v>
      </c>
    </row>
    <row r="2737" spans="1:14" x14ac:dyDescent="0.25">
      <c r="A2737" t="s">
        <v>5047</v>
      </c>
      <c r="B2737" t="s">
        <v>4844</v>
      </c>
      <c r="C2737" s="1" t="str">
        <f>HYPERLINK("http://www.genecards.org/cgi-bin/carddisp.pl?gene=RAC2","GeneCards")</f>
        <v>GeneCards</v>
      </c>
      <c r="D2737" s="1" t="str">
        <f>HYPERLINK("http://genome-euro.ucsc.edu/cgi-bin/hgTracks?position=207419_s_at","UCSC")</f>
        <v>UCSC</v>
      </c>
      <c r="E2737" s="1" t="str">
        <f>HYPERLINK("http://www.ncbi.nlm.nih.gov/gene/?term=RAC2","NCBI")</f>
        <v>NCBI</v>
      </c>
      <c r="F2737">
        <v>1.4E-2</v>
      </c>
      <c r="G2737">
        <v>8.5999999999999993E-2</v>
      </c>
      <c r="H2737" s="1" t="str">
        <f>HYPERLINK("http://www.weizmann.ac.il/complex/compphys/software/geview/data/figures/207419_s_at.png","Figure")</f>
        <v>Figure</v>
      </c>
      <c r="I2737">
        <v>0.60599999999999998</v>
      </c>
      <c r="J2737">
        <v>3.9E-2</v>
      </c>
      <c r="K2737">
        <v>1.06</v>
      </c>
      <c r="L2737">
        <v>0.92</v>
      </c>
      <c r="M2737">
        <v>1.75</v>
      </c>
      <c r="N2737">
        <v>1.4E-2</v>
      </c>
    </row>
    <row r="2738" spans="1:14" x14ac:dyDescent="0.25">
      <c r="A2738" t="s">
        <v>5048</v>
      </c>
      <c r="B2738" t="s">
        <v>5049</v>
      </c>
      <c r="C2738" s="1" t="str">
        <f>HYPERLINK("http://www.genecards.org/cgi-bin/carddisp.pl?gene=SLIT1","GeneCards")</f>
        <v>GeneCards</v>
      </c>
      <c r="D2738" s="1" t="str">
        <f>HYPERLINK("http://genome-euro.ucsc.edu/cgi-bin/hgTracks?position=208221_s_at","UCSC")</f>
        <v>UCSC</v>
      </c>
      <c r="E2738" s="1" t="str">
        <f>HYPERLINK("http://www.ncbi.nlm.nih.gov/gene/?term=SLIT1","NCBI")</f>
        <v>NCBI</v>
      </c>
      <c r="F2738">
        <v>1.4E-2</v>
      </c>
      <c r="G2738">
        <v>8.5999999999999993E-2</v>
      </c>
      <c r="H2738" s="1" t="str">
        <f>HYPERLINK("http://www.weizmann.ac.il/complex/compphys/software/geview/data/figures/208221_s_at.png","Figure")</f>
        <v>Figure</v>
      </c>
      <c r="I2738">
        <v>1.08</v>
      </c>
      <c r="J2738">
        <v>3.7999999999999999E-2</v>
      </c>
      <c r="K2738">
        <v>1.08</v>
      </c>
      <c r="L2738">
        <v>1.7999999999999999E-2</v>
      </c>
      <c r="M2738">
        <v>1</v>
      </c>
      <c r="N2738">
        <v>1</v>
      </c>
    </row>
    <row r="2739" spans="1:14" x14ac:dyDescent="0.25">
      <c r="A2739" t="s">
        <v>5050</v>
      </c>
      <c r="B2739" t="s">
        <v>5051</v>
      </c>
      <c r="C2739" s="1" t="str">
        <f>HYPERLINK("http://www.genecards.org/cgi-bin/carddisp.pl?gene=BANF1","GeneCards")</f>
        <v>GeneCards</v>
      </c>
      <c r="D2739" s="1" t="str">
        <f>HYPERLINK("http://genome-euro.ucsc.edu/cgi-bin/hgTracks?position=210125_s_at","UCSC")</f>
        <v>UCSC</v>
      </c>
      <c r="E2739" s="1" t="str">
        <f>HYPERLINK("http://www.ncbi.nlm.nih.gov/gene/?term=BANF1","NCBI")</f>
        <v>NCBI</v>
      </c>
      <c r="F2739">
        <v>1.4E-2</v>
      </c>
      <c r="G2739">
        <v>8.5999999999999993E-2</v>
      </c>
      <c r="H2739" s="1" t="str">
        <f>HYPERLINK("http://www.weizmann.ac.il/complex/compphys/software/geview/data/figures/210125_s_at.png","Figure")</f>
        <v>Figure</v>
      </c>
      <c r="I2739">
        <v>0.94499999999999995</v>
      </c>
      <c r="J2739">
        <v>0.97</v>
      </c>
      <c r="K2739">
        <v>1.8</v>
      </c>
      <c r="L2739">
        <v>3.3000000000000002E-2</v>
      </c>
      <c r="M2739">
        <v>1.9</v>
      </c>
      <c r="N2739">
        <v>2.9000000000000001E-2</v>
      </c>
    </row>
    <row r="2740" spans="1:14" x14ac:dyDescent="0.25">
      <c r="A2740" t="s">
        <v>5052</v>
      </c>
      <c r="B2740" t="s">
        <v>3405</v>
      </c>
      <c r="C2740" s="1" t="str">
        <f>HYPERLINK("http://www.genecards.org/cgi-bin/carddisp.pl?gene=PPAP2B","GeneCards")</f>
        <v>GeneCards</v>
      </c>
      <c r="D2740" s="1" t="str">
        <f>HYPERLINK("http://genome-euro.ucsc.edu/cgi-bin/hgTracks?position=212230_at","UCSC")</f>
        <v>UCSC</v>
      </c>
      <c r="E2740" s="1" t="str">
        <f>HYPERLINK("http://www.ncbi.nlm.nih.gov/gene/?term=PPAP2B","NCBI")</f>
        <v>NCBI</v>
      </c>
      <c r="F2740">
        <v>1.4E-2</v>
      </c>
      <c r="G2740">
        <v>8.5999999999999993E-2</v>
      </c>
      <c r="H2740" s="1" t="str">
        <f>HYPERLINK("http://www.weizmann.ac.il/complex/compphys/software/geview/data/figures/212230_at.png","Figure")</f>
        <v>Figure</v>
      </c>
      <c r="I2740">
        <v>0.79700000000000004</v>
      </c>
      <c r="J2740">
        <v>1.6E-2</v>
      </c>
      <c r="K2740">
        <v>0.96399999999999997</v>
      </c>
      <c r="L2740">
        <v>0.82</v>
      </c>
      <c r="M2740">
        <v>1.21</v>
      </c>
      <c r="N2740">
        <v>0.03</v>
      </c>
    </row>
    <row r="2741" spans="1:14" x14ac:dyDescent="0.25">
      <c r="A2741" t="s">
        <v>5053</v>
      </c>
      <c r="B2741" t="s">
        <v>5054</v>
      </c>
      <c r="C2741" s="1" t="str">
        <f>HYPERLINK("http://www.genecards.org/cgi-bin/carddisp.pl?gene=RPRD2","GeneCards")</f>
        <v>GeneCards</v>
      </c>
      <c r="D2741" s="1" t="str">
        <f>HYPERLINK("http://genome-euro.ucsc.edu/cgi-bin/hgTracks?position=212553_at","UCSC")</f>
        <v>UCSC</v>
      </c>
      <c r="E2741" s="1" t="str">
        <f>HYPERLINK("http://www.ncbi.nlm.nih.gov/gene/?term=RPRD2","NCBI")</f>
        <v>NCBI</v>
      </c>
      <c r="F2741">
        <v>1.4E-2</v>
      </c>
      <c r="G2741">
        <v>8.5999999999999993E-2</v>
      </c>
      <c r="H2741" s="1" t="str">
        <f>HYPERLINK("http://www.weizmann.ac.il/complex/compphys/software/geview/data/figures/212553_at.png","Figure")</f>
        <v>Figure</v>
      </c>
      <c r="I2741">
        <v>1.32</v>
      </c>
      <c r="J2741">
        <v>1.0999999999999999E-2</v>
      </c>
      <c r="K2741">
        <v>1.1100000000000001</v>
      </c>
      <c r="L2741">
        <v>0.32</v>
      </c>
      <c r="M2741">
        <v>0.84099999999999997</v>
      </c>
      <c r="N2741">
        <v>9.0999999999999998E-2</v>
      </c>
    </row>
    <row r="2742" spans="1:14" x14ac:dyDescent="0.25">
      <c r="A2742" t="s">
        <v>5055</v>
      </c>
      <c r="B2742" t="s">
        <v>5056</v>
      </c>
      <c r="C2742" s="1" t="str">
        <f>HYPERLINK("http://www.genecards.org/cgi-bin/carddisp.pl?gene=HNRNPA1 /// HNRNPA1L1 /// HNRNPA1L2 /// HNRPA1L-2 /// HNRPA1P5 /// LOC642817 /// LOC644037","GeneCards")</f>
        <v>GeneCards</v>
      </c>
      <c r="D2742" s="1" t="str">
        <f>HYPERLINK("http://genome-euro.ucsc.edu/cgi-bin/hgTracks?position=213356_x_at","UCSC")</f>
        <v>UCSC</v>
      </c>
      <c r="E2742" s="1" t="str">
        <f>HYPERLINK("http://www.ncbi.nlm.nih.gov/gene/?term=HNRNPA1 /// HNRNPA1L1 /// HNRNPA1L2 /// HNRPA1L-2 /// HNRPA1P5 /// LOC642817 /// LOC644037","NCBI")</f>
        <v>NCBI</v>
      </c>
      <c r="F2742">
        <v>1.4E-2</v>
      </c>
      <c r="G2742">
        <v>8.5999999999999993E-2</v>
      </c>
      <c r="H2742" s="1" t="str">
        <f>HYPERLINK("http://www.weizmann.ac.il/complex/compphys/software/geview/data/figures/213356_x_at.png","Figure")</f>
        <v>Figure</v>
      </c>
      <c r="I2742">
        <v>1.17</v>
      </c>
      <c r="J2742">
        <v>0.14000000000000001</v>
      </c>
      <c r="K2742">
        <v>0.91500000000000004</v>
      </c>
      <c r="L2742">
        <v>0.39</v>
      </c>
      <c r="M2742">
        <v>0.78300000000000003</v>
      </c>
      <c r="N2742">
        <v>1.0999999999999999E-2</v>
      </c>
    </row>
    <row r="2743" spans="1:14" x14ac:dyDescent="0.25">
      <c r="A2743" t="s">
        <v>5057</v>
      </c>
      <c r="B2743" t="s">
        <v>2326</v>
      </c>
      <c r="C2743" s="1" t="str">
        <f>HYPERLINK("http://www.genecards.org/cgi-bin/carddisp.pl?gene=PCDHGA1 /// PCDHGA10 /// PCDHGA11 /// PCDHGA12 /// PCDHGA2 /// PCDHGA3 /// PCDHGA4 /// PCDHGA5 /// P","GeneCards")</f>
        <v>GeneCards</v>
      </c>
      <c r="D2743" s="1" t="str">
        <f>HYPERLINK("http://genome-euro.ucsc.edu/cgi-bin/hgTracks?position=215836_s_at","UCSC")</f>
        <v>UCSC</v>
      </c>
      <c r="E2743" s="1" t="str">
        <f>HYPERLINK("http://www.ncbi.nlm.nih.gov/gene/?term=PCDHGA1 /// PCDHGA10 /// PCDHGA11 /// PCDHGA12 /// PCDHGA2 /// PCDHGA3 /// PCDHGA4 /// PCDHGA5 /// P","NCBI")</f>
        <v>NCBI</v>
      </c>
      <c r="F2743">
        <v>1.4E-2</v>
      </c>
      <c r="G2743">
        <v>8.5999999999999993E-2</v>
      </c>
      <c r="H2743" s="1" t="str">
        <f>HYPERLINK("http://www.weizmann.ac.il/complex/compphys/software/geview/data/figures/215836_s_at.png","Figure")</f>
        <v>Figure</v>
      </c>
      <c r="I2743">
        <v>0.438</v>
      </c>
      <c r="J2743">
        <v>1.0999999999999999E-2</v>
      </c>
      <c r="K2743">
        <v>0.68600000000000005</v>
      </c>
      <c r="L2743">
        <v>0.2</v>
      </c>
      <c r="M2743">
        <v>1.57</v>
      </c>
      <c r="N2743">
        <v>0.15</v>
      </c>
    </row>
    <row r="2744" spans="1:14" x14ac:dyDescent="0.25">
      <c r="A2744" t="s">
        <v>5058</v>
      </c>
      <c r="B2744" t="s">
        <v>5059</v>
      </c>
      <c r="C2744" s="1" t="str">
        <f>HYPERLINK("http://www.genecards.org/cgi-bin/carddisp.pl?gene=C22orf28","GeneCards")</f>
        <v>GeneCards</v>
      </c>
      <c r="D2744" s="1" t="str">
        <f>HYPERLINK("http://genome-euro.ucsc.edu/cgi-bin/hgTracks?position=200042_at","UCSC")</f>
        <v>UCSC</v>
      </c>
      <c r="E2744" s="1" t="str">
        <f>HYPERLINK("http://www.ncbi.nlm.nih.gov/gene/?term=C22orf28","NCBI")</f>
        <v>NCBI</v>
      </c>
      <c r="F2744">
        <v>1.4E-2</v>
      </c>
      <c r="G2744">
        <v>8.5999999999999993E-2</v>
      </c>
      <c r="H2744" s="1" t="str">
        <f>HYPERLINK("http://www.weizmann.ac.il/complex/compphys/software/geview/data/figures/200042_at.png","Figure")</f>
        <v>Figure</v>
      </c>
      <c r="I2744">
        <v>1.55</v>
      </c>
      <c r="J2744">
        <v>1.2E-2</v>
      </c>
      <c r="K2744">
        <v>1.29</v>
      </c>
      <c r="L2744">
        <v>9.5000000000000001E-2</v>
      </c>
      <c r="M2744">
        <v>0.83299999999999996</v>
      </c>
      <c r="N2744">
        <v>0.31</v>
      </c>
    </row>
    <row r="2745" spans="1:14" x14ac:dyDescent="0.25">
      <c r="A2745" t="s">
        <v>5060</v>
      </c>
      <c r="B2745" t="s">
        <v>5061</v>
      </c>
      <c r="C2745" s="1" t="str">
        <f>HYPERLINK("http://www.genecards.org/cgi-bin/carddisp.pl?gene=FARS2","GeneCards")</f>
        <v>GeneCards</v>
      </c>
      <c r="D2745" s="1" t="str">
        <f>HYPERLINK("http://genome-euro.ucsc.edu/cgi-bin/hgTracks?position=204282_s_at","UCSC")</f>
        <v>UCSC</v>
      </c>
      <c r="E2745" s="1" t="str">
        <f>HYPERLINK("http://www.ncbi.nlm.nih.gov/gene/?term=FARS2","NCBI")</f>
        <v>NCBI</v>
      </c>
      <c r="F2745">
        <v>1.4E-2</v>
      </c>
      <c r="G2745">
        <v>8.5999999999999993E-2</v>
      </c>
      <c r="H2745" s="1" t="str">
        <f>HYPERLINK("http://www.weizmann.ac.il/complex/compphys/software/geview/data/figures/204282_s_at.png","Figure")</f>
        <v>Figure</v>
      </c>
      <c r="I2745">
        <v>1.39</v>
      </c>
      <c r="J2745">
        <v>6.4000000000000001E-2</v>
      </c>
      <c r="K2745">
        <v>1.47</v>
      </c>
      <c r="L2745">
        <v>1.2999999999999999E-2</v>
      </c>
      <c r="M2745">
        <v>1.06</v>
      </c>
      <c r="N2745">
        <v>0.89</v>
      </c>
    </row>
    <row r="2746" spans="1:14" x14ac:dyDescent="0.25">
      <c r="A2746" t="s">
        <v>5062</v>
      </c>
      <c r="B2746" t="s">
        <v>2964</v>
      </c>
      <c r="C2746" s="1" t="str">
        <f>HYPERLINK("http://www.genecards.org/cgi-bin/carddisp.pl?gene=ACAA1","GeneCards")</f>
        <v>GeneCards</v>
      </c>
      <c r="D2746" s="1" t="str">
        <f>HYPERLINK("http://genome-euro.ucsc.edu/cgi-bin/hgTracks?position=214274_s_at","UCSC")</f>
        <v>UCSC</v>
      </c>
      <c r="E2746" s="1" t="str">
        <f>HYPERLINK("http://www.ncbi.nlm.nih.gov/gene/?term=ACAA1","NCBI")</f>
        <v>NCBI</v>
      </c>
      <c r="F2746">
        <v>1.4E-2</v>
      </c>
      <c r="G2746">
        <v>8.5999999999999993E-2</v>
      </c>
      <c r="H2746" s="1" t="str">
        <f>HYPERLINK("http://www.weizmann.ac.il/complex/compphys/software/geview/data/figures/214274_s_at.png","Figure")</f>
        <v>Figure</v>
      </c>
      <c r="I2746">
        <v>0.71599999999999997</v>
      </c>
      <c r="J2746">
        <v>0.13</v>
      </c>
      <c r="K2746">
        <v>1.2</v>
      </c>
      <c r="L2746">
        <v>0.42</v>
      </c>
      <c r="M2746">
        <v>1.67</v>
      </c>
      <c r="N2746">
        <v>1.0999999999999999E-2</v>
      </c>
    </row>
    <row r="2747" spans="1:14" x14ac:dyDescent="0.25">
      <c r="A2747" t="s">
        <v>5063</v>
      </c>
      <c r="B2747" t="s">
        <v>5064</v>
      </c>
      <c r="C2747" s="1" t="str">
        <f>HYPERLINK("http://www.genecards.org/cgi-bin/carddisp.pl?gene=NNT","GeneCards")</f>
        <v>GeneCards</v>
      </c>
      <c r="D2747" s="1" t="str">
        <f>HYPERLINK("http://genome-euro.ucsc.edu/cgi-bin/hgTracks?position=202783_at","UCSC")</f>
        <v>UCSC</v>
      </c>
      <c r="E2747" s="1" t="str">
        <f>HYPERLINK("http://www.ncbi.nlm.nih.gov/gene/?term=NNT","NCBI")</f>
        <v>NCBI</v>
      </c>
      <c r="F2747">
        <v>1.4E-2</v>
      </c>
      <c r="G2747">
        <v>8.6999999999999994E-2</v>
      </c>
      <c r="H2747" s="1" t="str">
        <f>HYPERLINK("http://www.weizmann.ac.il/complex/compphys/software/geview/data/figures/202783_at.png","Figure")</f>
        <v>Figure</v>
      </c>
      <c r="I2747">
        <v>0.66900000000000004</v>
      </c>
      <c r="J2747">
        <v>0.14000000000000001</v>
      </c>
      <c r="K2747">
        <v>1.27</v>
      </c>
      <c r="L2747">
        <v>0.38</v>
      </c>
      <c r="M2747">
        <v>1.9</v>
      </c>
      <c r="N2747">
        <v>1.0999999999999999E-2</v>
      </c>
    </row>
    <row r="2748" spans="1:14" x14ac:dyDescent="0.25">
      <c r="A2748" t="s">
        <v>5065</v>
      </c>
      <c r="B2748" t="s">
        <v>5066</v>
      </c>
      <c r="C2748" s="1" t="str">
        <f>HYPERLINK("http://www.genecards.org/cgi-bin/carddisp.pl?gene=C16orf62","GeneCards")</f>
        <v>GeneCards</v>
      </c>
      <c r="D2748" s="1" t="str">
        <f>HYPERLINK("http://genome-euro.ucsc.edu/cgi-bin/hgTracks?position=203173_s_at","UCSC")</f>
        <v>UCSC</v>
      </c>
      <c r="E2748" s="1" t="str">
        <f>HYPERLINK("http://www.ncbi.nlm.nih.gov/gene/?term=C16orf62","NCBI")</f>
        <v>NCBI</v>
      </c>
      <c r="F2748">
        <v>1.4E-2</v>
      </c>
      <c r="G2748">
        <v>8.6999999999999994E-2</v>
      </c>
      <c r="H2748" s="1" t="str">
        <f>HYPERLINK("http://www.weizmann.ac.il/complex/compphys/software/geview/data/figures/203173_s_at.png","Figure")</f>
        <v>Figure</v>
      </c>
      <c r="I2748">
        <v>0.73199999999999998</v>
      </c>
      <c r="J2748">
        <v>3.1E-2</v>
      </c>
      <c r="K2748">
        <v>1.01</v>
      </c>
      <c r="L2748">
        <v>0.99</v>
      </c>
      <c r="M2748">
        <v>1.39</v>
      </c>
      <c r="N2748">
        <v>1.6E-2</v>
      </c>
    </row>
    <row r="2749" spans="1:14" x14ac:dyDescent="0.25">
      <c r="A2749" t="s">
        <v>5067</v>
      </c>
      <c r="B2749" t="s">
        <v>5068</v>
      </c>
      <c r="C2749" s="1" t="str">
        <f>HYPERLINK("http://www.genecards.org/cgi-bin/carddisp.pl?gene=AFF2","GeneCards")</f>
        <v>GeneCards</v>
      </c>
      <c r="D2749" s="1" t="str">
        <f>HYPERLINK("http://genome-euro.ucsc.edu/cgi-bin/hgTracks?position=206105_at","UCSC")</f>
        <v>UCSC</v>
      </c>
      <c r="E2749" s="1" t="str">
        <f>HYPERLINK("http://www.ncbi.nlm.nih.gov/gene/?term=AFF2","NCBI")</f>
        <v>NCBI</v>
      </c>
      <c r="F2749">
        <v>1.4E-2</v>
      </c>
      <c r="G2749">
        <v>8.6999999999999994E-2</v>
      </c>
      <c r="H2749" s="1" t="str">
        <f>HYPERLINK("http://www.weizmann.ac.il/complex/compphys/software/geview/data/figures/206105_at.png","Figure")</f>
        <v>Figure</v>
      </c>
      <c r="I2749">
        <v>1.29</v>
      </c>
      <c r="J2749">
        <v>3.5000000000000003E-2</v>
      </c>
      <c r="K2749">
        <v>1.28</v>
      </c>
      <c r="L2749">
        <v>1.9E-2</v>
      </c>
      <c r="M2749">
        <v>0.99299999999999999</v>
      </c>
      <c r="N2749">
        <v>1</v>
      </c>
    </row>
    <row r="2750" spans="1:14" x14ac:dyDescent="0.25">
      <c r="A2750" t="s">
        <v>5069</v>
      </c>
      <c r="B2750" t="s">
        <v>5070</v>
      </c>
      <c r="C2750" s="1" t="str">
        <f>HYPERLINK("http://www.genecards.org/cgi-bin/carddisp.pl?gene=METTL7A","GeneCards")</f>
        <v>GeneCards</v>
      </c>
      <c r="D2750" s="1" t="str">
        <f>HYPERLINK("http://genome-euro.ucsc.edu/cgi-bin/hgTracks?position=207761_s_at","UCSC")</f>
        <v>UCSC</v>
      </c>
      <c r="E2750" s="1" t="str">
        <f>HYPERLINK("http://www.ncbi.nlm.nih.gov/gene/?term=METTL7A","NCBI")</f>
        <v>NCBI</v>
      </c>
      <c r="F2750">
        <v>1.4E-2</v>
      </c>
      <c r="G2750">
        <v>8.6999999999999994E-2</v>
      </c>
      <c r="H2750" s="1" t="str">
        <f>HYPERLINK("http://www.weizmann.ac.il/complex/compphys/software/geview/data/figures/207761_s_at.png","Figure")</f>
        <v>Figure</v>
      </c>
      <c r="I2750">
        <v>0.45400000000000001</v>
      </c>
      <c r="J2750">
        <v>1.2E-2</v>
      </c>
      <c r="K2750">
        <v>0.78700000000000003</v>
      </c>
      <c r="L2750">
        <v>0.48</v>
      </c>
      <c r="M2750">
        <v>1.73</v>
      </c>
      <c r="N2750">
        <v>5.8999999999999997E-2</v>
      </c>
    </row>
    <row r="2751" spans="1:14" x14ac:dyDescent="0.25">
      <c r="A2751" t="s">
        <v>5071</v>
      </c>
      <c r="B2751" t="s">
        <v>5072</v>
      </c>
      <c r="C2751" s="1" t="str">
        <f>HYPERLINK("http://www.genecards.org/cgi-bin/carddisp.pl?gene=ORC3L","GeneCards")</f>
        <v>GeneCards</v>
      </c>
      <c r="D2751" s="1" t="str">
        <f>HYPERLINK("http://genome-euro.ucsc.edu/cgi-bin/hgTracks?position=210028_s_at","UCSC")</f>
        <v>UCSC</v>
      </c>
      <c r="E2751" s="1" t="str">
        <f>HYPERLINK("http://www.ncbi.nlm.nih.gov/gene/?term=ORC3L","NCBI")</f>
        <v>NCBI</v>
      </c>
      <c r="F2751">
        <v>1.4E-2</v>
      </c>
      <c r="G2751">
        <v>8.6999999999999994E-2</v>
      </c>
      <c r="H2751" s="1" t="str">
        <f>HYPERLINK("http://www.weizmann.ac.il/complex/compphys/software/geview/data/figures/210028_s_at.png","Figure")</f>
        <v>Figure</v>
      </c>
      <c r="I2751">
        <v>0.54800000000000004</v>
      </c>
      <c r="J2751">
        <v>0.03</v>
      </c>
      <c r="K2751">
        <v>1.03</v>
      </c>
      <c r="L2751">
        <v>0.99</v>
      </c>
      <c r="M2751">
        <v>1.87</v>
      </c>
      <c r="N2751">
        <v>1.6E-2</v>
      </c>
    </row>
    <row r="2752" spans="1:14" x14ac:dyDescent="0.25">
      <c r="A2752" t="s">
        <v>5073</v>
      </c>
      <c r="B2752" t="s">
        <v>5074</v>
      </c>
      <c r="C2752" s="1" t="str">
        <f>HYPERLINK("http://www.genecards.org/cgi-bin/carddisp.pl?gene=SNX11","GeneCards")</f>
        <v>GeneCards</v>
      </c>
      <c r="D2752" s="1" t="str">
        <f>HYPERLINK("http://genome-euro.ucsc.edu/cgi-bin/hgTracks?position=220140_s_at","UCSC")</f>
        <v>UCSC</v>
      </c>
      <c r="E2752" s="1" t="str">
        <f>HYPERLINK("http://www.ncbi.nlm.nih.gov/gene/?term=SNX11","NCBI")</f>
        <v>NCBI</v>
      </c>
      <c r="F2752">
        <v>1.4E-2</v>
      </c>
      <c r="G2752">
        <v>8.6999999999999994E-2</v>
      </c>
      <c r="H2752" s="1" t="str">
        <f>HYPERLINK("http://www.weizmann.ac.il/complex/compphys/software/geview/data/figures/220140_s_at.png","Figure")</f>
        <v>Figure</v>
      </c>
      <c r="I2752">
        <v>1.26</v>
      </c>
      <c r="J2752">
        <v>0.12</v>
      </c>
      <c r="K2752">
        <v>0.88900000000000001</v>
      </c>
      <c r="L2752">
        <v>0.45</v>
      </c>
      <c r="M2752">
        <v>0.70299999999999996</v>
      </c>
      <c r="N2752">
        <v>1.0999999999999999E-2</v>
      </c>
    </row>
    <row r="2753" spans="1:14" x14ac:dyDescent="0.25">
      <c r="A2753" t="s">
        <v>5075</v>
      </c>
      <c r="B2753" t="s">
        <v>5076</v>
      </c>
      <c r="C2753" s="1" t="str">
        <f>HYPERLINK("http://www.genecards.org/cgi-bin/carddisp.pl?gene=LOC100294391","GeneCards")</f>
        <v>GeneCards</v>
      </c>
      <c r="D2753" s="1" t="str">
        <f>HYPERLINK("http://genome-euro.ucsc.edu/cgi-bin/hgTracks?position=220846_s_at","UCSC")</f>
        <v>UCSC</v>
      </c>
      <c r="E2753" s="1" t="str">
        <f>HYPERLINK("http://www.ncbi.nlm.nih.gov/gene/?term=LOC100294391","NCBI")</f>
        <v>NCBI</v>
      </c>
      <c r="F2753">
        <v>1.4E-2</v>
      </c>
      <c r="G2753">
        <v>8.6999999999999994E-2</v>
      </c>
      <c r="H2753" s="1" t="str">
        <f>HYPERLINK("http://www.weizmann.ac.il/complex/compphys/software/geview/data/figures/220846_s_at.png","Figure")</f>
        <v>Figure</v>
      </c>
      <c r="I2753">
        <v>1.24</v>
      </c>
      <c r="J2753">
        <v>3.6999999999999998E-2</v>
      </c>
      <c r="K2753">
        <v>0.97899999999999998</v>
      </c>
      <c r="L2753">
        <v>0.94</v>
      </c>
      <c r="M2753">
        <v>0.78900000000000003</v>
      </c>
      <c r="N2753">
        <v>1.4E-2</v>
      </c>
    </row>
    <row r="2754" spans="1:14" x14ac:dyDescent="0.25">
      <c r="A2754" t="s">
        <v>5077</v>
      </c>
      <c r="B2754" t="s">
        <v>5078</v>
      </c>
      <c r="C2754" s="1" t="str">
        <f>HYPERLINK("http://www.genecards.org/cgi-bin/carddisp.pl?gene=EGFR","GeneCards")</f>
        <v>GeneCards</v>
      </c>
      <c r="D2754" s="1" t="str">
        <f>HYPERLINK("http://genome-euro.ucsc.edu/cgi-bin/hgTracks?position=211551_at","UCSC")</f>
        <v>UCSC</v>
      </c>
      <c r="E2754" s="1" t="str">
        <f>HYPERLINK("http://www.ncbi.nlm.nih.gov/gene/?term=EGFR","NCBI")</f>
        <v>NCBI</v>
      </c>
      <c r="F2754">
        <v>1.4E-2</v>
      </c>
      <c r="G2754">
        <v>8.6999999999999994E-2</v>
      </c>
      <c r="H2754" s="1" t="str">
        <f>HYPERLINK("http://www.weizmann.ac.il/complex/compphys/software/geview/data/figures/211551_at.png","Figure")</f>
        <v>Figure</v>
      </c>
      <c r="I2754">
        <v>1.31</v>
      </c>
      <c r="J2754">
        <v>1.2999999999999999E-2</v>
      </c>
      <c r="K2754">
        <v>1.07</v>
      </c>
      <c r="L2754">
        <v>0.56999999999999995</v>
      </c>
      <c r="M2754">
        <v>0.82199999999999995</v>
      </c>
      <c r="N2754">
        <v>4.9000000000000002E-2</v>
      </c>
    </row>
    <row r="2755" spans="1:14" x14ac:dyDescent="0.25">
      <c r="A2755" t="s">
        <v>5079</v>
      </c>
      <c r="B2755" t="s">
        <v>5080</v>
      </c>
      <c r="C2755" s="1" t="str">
        <f>HYPERLINK("http://www.genecards.org/cgi-bin/carddisp.pl?gene=TMED9","GeneCards")</f>
        <v>GeneCards</v>
      </c>
      <c r="D2755" s="1" t="str">
        <f>HYPERLINK("http://genome-euro.ucsc.edu/cgi-bin/hgTracks?position=208757_at","UCSC")</f>
        <v>UCSC</v>
      </c>
      <c r="E2755" s="1" t="str">
        <f>HYPERLINK("http://www.ncbi.nlm.nih.gov/gene/?term=TMED9","NCBI")</f>
        <v>NCBI</v>
      </c>
      <c r="F2755">
        <v>1.4E-2</v>
      </c>
      <c r="G2755">
        <v>8.6999999999999994E-2</v>
      </c>
      <c r="H2755" s="1" t="str">
        <f>HYPERLINK("http://www.weizmann.ac.il/complex/compphys/software/geview/data/figures/208757_at.png","Figure")</f>
        <v>Figure</v>
      </c>
      <c r="I2755">
        <v>1.33</v>
      </c>
      <c r="J2755">
        <v>1.4E-2</v>
      </c>
      <c r="K2755">
        <v>1.21</v>
      </c>
      <c r="L2755">
        <v>5.7000000000000002E-2</v>
      </c>
      <c r="M2755">
        <v>0.91200000000000003</v>
      </c>
      <c r="N2755">
        <v>0.5</v>
      </c>
    </row>
    <row r="2756" spans="1:14" x14ac:dyDescent="0.25">
      <c r="A2756" t="s">
        <v>5081</v>
      </c>
      <c r="B2756" t="s">
        <v>3641</v>
      </c>
      <c r="C2756" s="1" t="str">
        <f>HYPERLINK("http://www.genecards.org/cgi-bin/carddisp.pl?gene=SH2D1A","GeneCards")</f>
        <v>GeneCards</v>
      </c>
      <c r="D2756" s="1" t="str">
        <f>HYPERLINK("http://genome-euro.ucsc.edu/cgi-bin/hgTracks?position=211209_x_at","UCSC")</f>
        <v>UCSC</v>
      </c>
      <c r="E2756" s="1" t="str">
        <f>HYPERLINK("http://www.ncbi.nlm.nih.gov/gene/?term=SH2D1A","NCBI")</f>
        <v>NCBI</v>
      </c>
      <c r="F2756">
        <v>1.4E-2</v>
      </c>
      <c r="G2756">
        <v>8.6999999999999994E-2</v>
      </c>
      <c r="H2756" s="1" t="str">
        <f>HYPERLINK("http://www.weizmann.ac.il/complex/compphys/software/geview/data/figures/211209_x_at.png","Figure")</f>
        <v>Figure</v>
      </c>
      <c r="I2756">
        <v>1.03</v>
      </c>
      <c r="J2756">
        <v>0.85</v>
      </c>
      <c r="K2756">
        <v>0.86399999999999999</v>
      </c>
      <c r="L2756">
        <v>4.7E-2</v>
      </c>
      <c r="M2756">
        <v>0.83499999999999996</v>
      </c>
      <c r="N2756">
        <v>2.1999999999999999E-2</v>
      </c>
    </row>
    <row r="2757" spans="1:14" x14ac:dyDescent="0.25">
      <c r="A2757" t="s">
        <v>5082</v>
      </c>
      <c r="B2757" t="s">
        <v>5083</v>
      </c>
      <c r="C2757" s="1" t="str">
        <f>HYPERLINK("http://www.genecards.org/cgi-bin/carddisp.pl?gene=RUSC2","GeneCards")</f>
        <v>GeneCards</v>
      </c>
      <c r="D2757" s="1" t="str">
        <f>HYPERLINK("http://genome-euro.ucsc.edu/cgi-bin/hgTracks?position=213066_at","UCSC")</f>
        <v>UCSC</v>
      </c>
      <c r="E2757" s="1" t="str">
        <f>HYPERLINK("http://www.ncbi.nlm.nih.gov/gene/?term=RUSC2","NCBI")</f>
        <v>NCBI</v>
      </c>
      <c r="F2757">
        <v>1.4E-2</v>
      </c>
      <c r="G2757">
        <v>8.6999999999999994E-2</v>
      </c>
      <c r="H2757" s="1" t="str">
        <f>HYPERLINK("http://www.weizmann.ac.il/complex/compphys/software/geview/data/figures/213066_at.png","Figure")</f>
        <v>Figure</v>
      </c>
      <c r="I2757">
        <v>1.25</v>
      </c>
      <c r="J2757">
        <v>1.2E-2</v>
      </c>
      <c r="K2757">
        <v>1.08</v>
      </c>
      <c r="L2757">
        <v>0.43</v>
      </c>
      <c r="M2757">
        <v>0.86099999999999999</v>
      </c>
      <c r="N2757">
        <v>6.8000000000000005E-2</v>
      </c>
    </row>
    <row r="2758" spans="1:14" x14ac:dyDescent="0.25">
      <c r="A2758" t="s">
        <v>5084</v>
      </c>
      <c r="B2758" t="s">
        <v>5085</v>
      </c>
      <c r="C2758" s="1" t="str">
        <f>HYPERLINK("http://www.genecards.org/cgi-bin/carddisp.pl?gene=DNMT3B","GeneCards")</f>
        <v>GeneCards</v>
      </c>
      <c r="D2758" s="1" t="str">
        <f>HYPERLINK("http://genome-euro.ucsc.edu/cgi-bin/hgTracks?position=220668_s_at","UCSC")</f>
        <v>UCSC</v>
      </c>
      <c r="E2758" s="1" t="str">
        <f>HYPERLINK("http://www.ncbi.nlm.nih.gov/gene/?term=DNMT3B","NCBI")</f>
        <v>NCBI</v>
      </c>
      <c r="F2758">
        <v>1.4E-2</v>
      </c>
      <c r="G2758">
        <v>8.6999999999999994E-2</v>
      </c>
      <c r="H2758" s="1" t="str">
        <f>HYPERLINK("http://www.weizmann.ac.il/complex/compphys/software/geview/data/figures/220668_s_at.png","Figure")</f>
        <v>Figure</v>
      </c>
      <c r="I2758">
        <v>1.46</v>
      </c>
      <c r="J2758">
        <v>4.2000000000000003E-2</v>
      </c>
      <c r="K2758">
        <v>1.48</v>
      </c>
      <c r="L2758">
        <v>1.7000000000000001E-2</v>
      </c>
      <c r="M2758">
        <v>1.01</v>
      </c>
      <c r="N2758">
        <v>0.99</v>
      </c>
    </row>
    <row r="2759" spans="1:14" x14ac:dyDescent="0.25">
      <c r="A2759" t="s">
        <v>5086</v>
      </c>
      <c r="B2759" t="s">
        <v>5087</v>
      </c>
      <c r="C2759" s="1" t="str">
        <f>HYPERLINK("http://www.genecards.org/cgi-bin/carddisp.pl?gene=LIPA","GeneCards")</f>
        <v>GeneCards</v>
      </c>
      <c r="D2759" s="1" t="str">
        <f>HYPERLINK("http://genome-euro.ucsc.edu/cgi-bin/hgTracks?position=201847_at","UCSC")</f>
        <v>UCSC</v>
      </c>
      <c r="E2759" s="1" t="str">
        <f>HYPERLINK("http://www.ncbi.nlm.nih.gov/gene/?term=LIPA","NCBI")</f>
        <v>NCBI</v>
      </c>
      <c r="F2759">
        <v>1.4E-2</v>
      </c>
      <c r="G2759">
        <v>8.6999999999999994E-2</v>
      </c>
      <c r="H2759" s="1" t="str">
        <f>HYPERLINK("http://www.weizmann.ac.il/complex/compphys/software/geview/data/figures/201847_at.png","Figure")</f>
        <v>Figure</v>
      </c>
      <c r="I2759">
        <v>0.56799999999999995</v>
      </c>
      <c r="J2759">
        <v>4.2999999999999997E-2</v>
      </c>
      <c r="K2759">
        <v>1.0900000000000001</v>
      </c>
      <c r="L2759">
        <v>0.89</v>
      </c>
      <c r="M2759">
        <v>1.91</v>
      </c>
      <c r="N2759">
        <v>1.4E-2</v>
      </c>
    </row>
    <row r="2760" spans="1:14" x14ac:dyDescent="0.25">
      <c r="A2760" t="s">
        <v>5088</v>
      </c>
      <c r="B2760" t="s">
        <v>5089</v>
      </c>
      <c r="C2760" s="1" t="str">
        <f>HYPERLINK("http://www.genecards.org/cgi-bin/carddisp.pl?gene=FES","GeneCards")</f>
        <v>GeneCards</v>
      </c>
      <c r="D2760" s="1" t="str">
        <f>HYPERLINK("http://genome-euro.ucsc.edu/cgi-bin/hgTracks?position=205418_at","UCSC")</f>
        <v>UCSC</v>
      </c>
      <c r="E2760" s="1" t="str">
        <f>HYPERLINK("http://www.ncbi.nlm.nih.gov/gene/?term=FES","NCBI")</f>
        <v>NCBI</v>
      </c>
      <c r="F2760">
        <v>1.4E-2</v>
      </c>
      <c r="G2760">
        <v>8.6999999999999994E-2</v>
      </c>
      <c r="H2760" s="1" t="str">
        <f>HYPERLINK("http://www.weizmann.ac.il/complex/compphys/software/geview/data/figures/205418_at.png","Figure")</f>
        <v>Figure</v>
      </c>
      <c r="I2760">
        <v>1.02</v>
      </c>
      <c r="J2760">
        <v>0.99</v>
      </c>
      <c r="K2760">
        <v>1.38</v>
      </c>
      <c r="L2760">
        <v>2.4E-2</v>
      </c>
      <c r="M2760">
        <v>1.36</v>
      </c>
      <c r="N2760">
        <v>4.3999999999999997E-2</v>
      </c>
    </row>
    <row r="2761" spans="1:14" x14ac:dyDescent="0.25">
      <c r="A2761" t="s">
        <v>5090</v>
      </c>
      <c r="B2761" t="s">
        <v>3498</v>
      </c>
      <c r="C2761" s="1" t="str">
        <f>HYPERLINK("http://www.genecards.org/cgi-bin/carddisp.pl?gene=NUDC","GeneCards")</f>
        <v>GeneCards</v>
      </c>
      <c r="D2761" s="1" t="str">
        <f>HYPERLINK("http://genome-euro.ucsc.edu/cgi-bin/hgTracks?position=210574_s_at","UCSC")</f>
        <v>UCSC</v>
      </c>
      <c r="E2761" s="1" t="str">
        <f>HYPERLINK("http://www.ncbi.nlm.nih.gov/gene/?term=NUDC","NCBI")</f>
        <v>NCBI</v>
      </c>
      <c r="F2761">
        <v>1.4E-2</v>
      </c>
      <c r="G2761">
        <v>8.6999999999999994E-2</v>
      </c>
      <c r="H2761" s="1" t="str">
        <f>HYPERLINK("http://www.weizmann.ac.il/complex/compphys/software/geview/data/figures/210574_s_at.png","Figure")</f>
        <v>Figure</v>
      </c>
      <c r="I2761">
        <v>1.54</v>
      </c>
      <c r="J2761">
        <v>1.0999999999999999E-2</v>
      </c>
      <c r="K2761">
        <v>1.17</v>
      </c>
      <c r="L2761">
        <v>0.34</v>
      </c>
      <c r="M2761">
        <v>0.76100000000000001</v>
      </c>
      <c r="N2761">
        <v>8.7999999999999995E-2</v>
      </c>
    </row>
    <row r="2762" spans="1:14" x14ac:dyDescent="0.25">
      <c r="A2762" t="s">
        <v>5091</v>
      </c>
      <c r="B2762" t="s">
        <v>5092</v>
      </c>
      <c r="C2762" s="1" t="str">
        <f>HYPERLINK("http://www.genecards.org/cgi-bin/carddisp.pl?gene=CPNE6","GeneCards")</f>
        <v>GeneCards</v>
      </c>
      <c r="D2762" s="1" t="str">
        <f>HYPERLINK("http://genome-euro.ucsc.edu/cgi-bin/hgTracks?position=215700_x_at","UCSC")</f>
        <v>UCSC</v>
      </c>
      <c r="E2762" s="1" t="str">
        <f>HYPERLINK("http://www.ncbi.nlm.nih.gov/gene/?term=CPNE6","NCBI")</f>
        <v>NCBI</v>
      </c>
      <c r="F2762">
        <v>1.4E-2</v>
      </c>
      <c r="G2762">
        <v>8.6999999999999994E-2</v>
      </c>
      <c r="H2762" s="1" t="str">
        <f>HYPERLINK("http://www.weizmann.ac.il/complex/compphys/software/geview/data/figures/215700_x_at.png","Figure")</f>
        <v>Figure</v>
      </c>
      <c r="I2762">
        <v>1.43</v>
      </c>
      <c r="J2762">
        <v>1.0999999999999999E-2</v>
      </c>
      <c r="K2762">
        <v>1.1399999999999999</v>
      </c>
      <c r="L2762">
        <v>0.34</v>
      </c>
      <c r="M2762">
        <v>0.79700000000000004</v>
      </c>
      <c r="N2762">
        <v>8.5999999999999993E-2</v>
      </c>
    </row>
    <row r="2763" spans="1:14" x14ac:dyDescent="0.25">
      <c r="A2763" t="s">
        <v>5093</v>
      </c>
      <c r="B2763" t="s">
        <v>2326</v>
      </c>
      <c r="C2763" s="1" t="str">
        <f>HYPERLINK("http://www.genecards.org/cgi-bin/carddisp.pl?gene=PCDHGA1 /// PCDHGA10 /// PCDHGA11 /// PCDHGA12 /// PCDHGA2 /// PCDHGA3 /// PCDHGA4 /// PCDHGA5 /// P","GeneCards")</f>
        <v>GeneCards</v>
      </c>
      <c r="D2763" s="1" t="str">
        <f>HYPERLINK("http://genome-euro.ucsc.edu/cgi-bin/hgTracks?position=205717_x_at","UCSC")</f>
        <v>UCSC</v>
      </c>
      <c r="E2763" s="1" t="str">
        <f>HYPERLINK("http://www.ncbi.nlm.nih.gov/gene/?term=PCDHGA1 /// PCDHGA10 /// PCDHGA11 /// PCDHGA12 /// PCDHGA2 /// PCDHGA3 /// PCDHGA4 /// PCDHGA5 /// P","NCBI")</f>
        <v>NCBI</v>
      </c>
      <c r="F2763">
        <v>1.4E-2</v>
      </c>
      <c r="G2763">
        <v>8.6999999999999994E-2</v>
      </c>
      <c r="H2763" s="1" t="str">
        <f>HYPERLINK("http://www.weizmann.ac.il/complex/compphys/software/geview/data/figures/205717_x_at.png","Figure")</f>
        <v>Figure</v>
      </c>
      <c r="I2763">
        <v>0.503</v>
      </c>
      <c r="J2763">
        <v>1.0999999999999999E-2</v>
      </c>
      <c r="K2763">
        <v>0.78400000000000003</v>
      </c>
      <c r="L2763">
        <v>0.37</v>
      </c>
      <c r="M2763">
        <v>1.56</v>
      </c>
      <c r="N2763">
        <v>7.9000000000000001E-2</v>
      </c>
    </row>
    <row r="2764" spans="1:14" x14ac:dyDescent="0.25">
      <c r="A2764" t="s">
        <v>5094</v>
      </c>
      <c r="B2764" t="s">
        <v>5095</v>
      </c>
      <c r="C2764" s="1" t="str">
        <f>HYPERLINK("http://www.genecards.org/cgi-bin/carddisp.pl?gene=ARID3A","GeneCards")</f>
        <v>GeneCards</v>
      </c>
      <c r="D2764" s="1" t="str">
        <f>HYPERLINK("http://genome-euro.ucsc.edu/cgi-bin/hgTracks?position=205865_at","UCSC")</f>
        <v>UCSC</v>
      </c>
      <c r="E2764" s="1" t="str">
        <f>HYPERLINK("http://www.ncbi.nlm.nih.gov/gene/?term=ARID3A","NCBI")</f>
        <v>NCBI</v>
      </c>
      <c r="F2764">
        <v>1.4E-2</v>
      </c>
      <c r="G2764">
        <v>8.6999999999999994E-2</v>
      </c>
      <c r="H2764" s="1" t="str">
        <f>HYPERLINK("http://www.weizmann.ac.il/complex/compphys/software/geview/data/figures/205865_at.png","Figure")</f>
        <v>Figure</v>
      </c>
      <c r="I2764">
        <v>0.87</v>
      </c>
      <c r="J2764">
        <v>0.11</v>
      </c>
      <c r="K2764">
        <v>0.82699999999999996</v>
      </c>
      <c r="L2764">
        <v>1.2E-2</v>
      </c>
      <c r="M2764">
        <v>0.95099999999999996</v>
      </c>
      <c r="N2764">
        <v>0.68</v>
      </c>
    </row>
    <row r="2765" spans="1:14" x14ac:dyDescent="0.25">
      <c r="A2765" t="s">
        <v>5096</v>
      </c>
      <c r="B2765" t="s">
        <v>5097</v>
      </c>
      <c r="C2765" s="1" t="str">
        <f>HYPERLINK("http://www.genecards.org/cgi-bin/carddisp.pl?gene=FAM3A","GeneCards")</f>
        <v>GeneCards</v>
      </c>
      <c r="D2765" s="1" t="str">
        <f>HYPERLINK("http://genome-euro.ucsc.edu/cgi-bin/hgTracks?position=38043_at","UCSC")</f>
        <v>UCSC</v>
      </c>
      <c r="E2765" s="1" t="str">
        <f>HYPERLINK("http://www.ncbi.nlm.nih.gov/gene/?term=FAM3A","NCBI")</f>
        <v>NCBI</v>
      </c>
      <c r="F2765">
        <v>1.4E-2</v>
      </c>
      <c r="G2765">
        <v>8.6999999999999994E-2</v>
      </c>
      <c r="H2765" s="1" t="str">
        <f>HYPERLINK("http://www.weizmann.ac.il/complex/compphys/software/geview/data/figures/38043_at.png","Figure")</f>
        <v>Figure</v>
      </c>
      <c r="I2765">
        <v>0.89400000000000002</v>
      </c>
      <c r="J2765">
        <v>0.45</v>
      </c>
      <c r="K2765">
        <v>1.18</v>
      </c>
      <c r="L2765">
        <v>0.12</v>
      </c>
      <c r="M2765">
        <v>1.32</v>
      </c>
      <c r="N2765">
        <v>1.4E-2</v>
      </c>
    </row>
    <row r="2766" spans="1:14" x14ac:dyDescent="0.25">
      <c r="A2766" t="s">
        <v>5098</v>
      </c>
      <c r="B2766" t="s">
        <v>5099</v>
      </c>
      <c r="C2766" s="1" t="str">
        <f>HYPERLINK("http://www.genecards.org/cgi-bin/carddisp.pl?gene=IL17RC","GeneCards")</f>
        <v>GeneCards</v>
      </c>
      <c r="D2766" s="1" t="str">
        <f>HYPERLINK("http://genome-euro.ucsc.edu/cgi-bin/hgTracks?position=64440_at","UCSC")</f>
        <v>UCSC</v>
      </c>
      <c r="E2766" s="1" t="str">
        <f>HYPERLINK("http://www.ncbi.nlm.nih.gov/gene/?term=IL17RC","NCBI")</f>
        <v>NCBI</v>
      </c>
      <c r="F2766">
        <v>1.4E-2</v>
      </c>
      <c r="G2766">
        <v>8.6999999999999994E-2</v>
      </c>
      <c r="H2766" s="1" t="str">
        <f>HYPERLINK("http://www.weizmann.ac.il/complex/compphys/software/geview/data/figures/64440_at.png","Figure")</f>
        <v>Figure</v>
      </c>
      <c r="I2766">
        <v>1.3</v>
      </c>
      <c r="J2766">
        <v>1.0999999999999999E-2</v>
      </c>
      <c r="K2766">
        <v>1.1200000000000001</v>
      </c>
      <c r="L2766">
        <v>0.26</v>
      </c>
      <c r="M2766">
        <v>0.85699999999999998</v>
      </c>
      <c r="N2766">
        <v>0.11</v>
      </c>
    </row>
    <row r="2767" spans="1:14" x14ac:dyDescent="0.25">
      <c r="A2767" t="s">
        <v>5100</v>
      </c>
      <c r="B2767" t="s">
        <v>5101</v>
      </c>
      <c r="C2767" s="1" t="str">
        <f>HYPERLINK("http://www.genecards.org/cgi-bin/carddisp.pl?gene=RCN2","GeneCards")</f>
        <v>GeneCards</v>
      </c>
      <c r="D2767" s="1" t="str">
        <f>HYPERLINK("http://genome-euro.ucsc.edu/cgi-bin/hgTracks?position=201485_s_at","UCSC")</f>
        <v>UCSC</v>
      </c>
      <c r="E2767" s="1" t="str">
        <f>HYPERLINK("http://www.ncbi.nlm.nih.gov/gene/?term=RCN2","NCBI")</f>
        <v>NCBI</v>
      </c>
      <c r="F2767">
        <v>1.4E-2</v>
      </c>
      <c r="G2767">
        <v>8.6999999999999994E-2</v>
      </c>
      <c r="H2767" s="1" t="str">
        <f>HYPERLINK("http://www.weizmann.ac.il/complex/compphys/software/geview/data/figures/201485_s_at.png","Figure")</f>
        <v>Figure</v>
      </c>
      <c r="I2767">
        <v>0.80900000000000005</v>
      </c>
      <c r="J2767">
        <v>0.67</v>
      </c>
      <c r="K2767">
        <v>0.49199999999999999</v>
      </c>
      <c r="L2767">
        <v>1.4E-2</v>
      </c>
      <c r="M2767">
        <v>0.60799999999999998</v>
      </c>
      <c r="N2767">
        <v>0.11</v>
      </c>
    </row>
    <row r="2768" spans="1:14" x14ac:dyDescent="0.25">
      <c r="A2768" t="s">
        <v>5102</v>
      </c>
      <c r="B2768" t="s">
        <v>3935</v>
      </c>
      <c r="C2768" s="1" t="str">
        <f>HYPERLINK("http://www.genecards.org/cgi-bin/carddisp.pl?gene=CSNK1G2","GeneCards")</f>
        <v>GeneCards</v>
      </c>
      <c r="D2768" s="1" t="str">
        <f>HYPERLINK("http://genome-euro.ucsc.edu/cgi-bin/hgTracks?position=202574_s_at","UCSC")</f>
        <v>UCSC</v>
      </c>
      <c r="E2768" s="1" t="str">
        <f>HYPERLINK("http://www.ncbi.nlm.nih.gov/gene/?term=CSNK1G2","NCBI")</f>
        <v>NCBI</v>
      </c>
      <c r="F2768">
        <v>1.4E-2</v>
      </c>
      <c r="G2768">
        <v>8.6999999999999994E-2</v>
      </c>
      <c r="H2768" s="1" t="str">
        <f>HYPERLINK("http://www.weizmann.ac.il/complex/compphys/software/geview/data/figures/202574_s_at.png","Figure")</f>
        <v>Figure</v>
      </c>
      <c r="I2768">
        <v>1.5</v>
      </c>
      <c r="J2768">
        <v>3.1E-2</v>
      </c>
      <c r="K2768">
        <v>1.46</v>
      </c>
      <c r="L2768">
        <v>2.1000000000000001E-2</v>
      </c>
      <c r="M2768">
        <v>0.97299999999999998</v>
      </c>
      <c r="N2768">
        <v>0.98</v>
      </c>
    </row>
    <row r="2769" spans="1:14" x14ac:dyDescent="0.25">
      <c r="A2769" t="s">
        <v>5103</v>
      </c>
      <c r="B2769" t="s">
        <v>5104</v>
      </c>
      <c r="C2769" s="1" t="str">
        <f>HYPERLINK("http://www.genecards.org/cgi-bin/carddisp.pl?gene=VEZF1","GeneCards")</f>
        <v>GeneCards</v>
      </c>
      <c r="D2769" s="1" t="str">
        <f>HYPERLINK("http://genome-euro.ucsc.edu/cgi-bin/hgTracks?position=202172_at","UCSC")</f>
        <v>UCSC</v>
      </c>
      <c r="E2769" s="1" t="str">
        <f>HYPERLINK("http://www.ncbi.nlm.nih.gov/gene/?term=VEZF1","NCBI")</f>
        <v>NCBI</v>
      </c>
      <c r="F2769">
        <v>1.4E-2</v>
      </c>
      <c r="G2769">
        <v>8.6999999999999994E-2</v>
      </c>
      <c r="H2769" s="1" t="str">
        <f>HYPERLINK("http://www.weizmann.ac.il/complex/compphys/software/geview/data/figures/202172_at.png","Figure")</f>
        <v>Figure</v>
      </c>
      <c r="I2769">
        <v>0.99</v>
      </c>
      <c r="J2769">
        <v>1</v>
      </c>
      <c r="K2769">
        <v>1.51</v>
      </c>
      <c r="L2769">
        <v>2.8000000000000001E-2</v>
      </c>
      <c r="M2769">
        <v>1.53</v>
      </c>
      <c r="N2769">
        <v>3.5999999999999997E-2</v>
      </c>
    </row>
    <row r="2770" spans="1:14" x14ac:dyDescent="0.25">
      <c r="A2770" t="s">
        <v>5105</v>
      </c>
      <c r="B2770" t="s">
        <v>5106</v>
      </c>
      <c r="C2770" s="1" t="str">
        <f>HYPERLINK("http://www.genecards.org/cgi-bin/carddisp.pl?gene=NECAB3","GeneCards")</f>
        <v>GeneCards</v>
      </c>
      <c r="D2770" s="1" t="str">
        <f>HYPERLINK("http://genome-euro.ucsc.edu/cgi-bin/hgTracks?position=210720_s_at","UCSC")</f>
        <v>UCSC</v>
      </c>
      <c r="E2770" s="1" t="str">
        <f>HYPERLINK("http://www.ncbi.nlm.nih.gov/gene/?term=NECAB3","NCBI")</f>
        <v>NCBI</v>
      </c>
      <c r="F2770">
        <v>1.4E-2</v>
      </c>
      <c r="G2770">
        <v>8.6999999999999994E-2</v>
      </c>
      <c r="H2770" s="1" t="str">
        <f>HYPERLINK("http://www.weizmann.ac.il/complex/compphys/software/geview/data/figures/210720_s_at.png","Figure")</f>
        <v>Figure</v>
      </c>
      <c r="I2770">
        <v>1.1499999999999999</v>
      </c>
      <c r="J2770">
        <v>0.24</v>
      </c>
      <c r="K2770">
        <v>1.29</v>
      </c>
      <c r="L2770">
        <v>1.0999999999999999E-2</v>
      </c>
      <c r="M2770">
        <v>1.1200000000000001</v>
      </c>
      <c r="N2770">
        <v>0.37</v>
      </c>
    </row>
    <row r="2771" spans="1:14" x14ac:dyDescent="0.25">
      <c r="A2771" t="s">
        <v>5107</v>
      </c>
      <c r="B2771" t="s">
        <v>5108</v>
      </c>
      <c r="C2771" s="1" t="str">
        <f>HYPERLINK("http://www.genecards.org/cgi-bin/carddisp.pl?gene=ATG2A","GeneCards")</f>
        <v>GeneCards</v>
      </c>
      <c r="D2771" s="1" t="str">
        <f>HYPERLINK("http://genome-euro.ucsc.edu/cgi-bin/hgTracks?position=213300_at","UCSC")</f>
        <v>UCSC</v>
      </c>
      <c r="E2771" s="1" t="str">
        <f>HYPERLINK("http://www.ncbi.nlm.nih.gov/gene/?term=ATG2A","NCBI")</f>
        <v>NCBI</v>
      </c>
      <c r="F2771">
        <v>1.4E-2</v>
      </c>
      <c r="G2771">
        <v>8.6999999999999994E-2</v>
      </c>
      <c r="H2771" s="1" t="str">
        <f>HYPERLINK("http://www.weizmann.ac.il/complex/compphys/software/geview/data/figures/213300_at.png","Figure")</f>
        <v>Figure</v>
      </c>
      <c r="I2771">
        <v>1.23</v>
      </c>
      <c r="J2771">
        <v>0.25</v>
      </c>
      <c r="K2771">
        <v>0.82499999999999996</v>
      </c>
      <c r="L2771">
        <v>0.22</v>
      </c>
      <c r="M2771">
        <v>0.66900000000000004</v>
      </c>
      <c r="N2771">
        <v>1.0999999999999999E-2</v>
      </c>
    </row>
    <row r="2772" spans="1:14" x14ac:dyDescent="0.25">
      <c r="A2772" t="s">
        <v>5109</v>
      </c>
      <c r="B2772" t="s">
        <v>2126</v>
      </c>
      <c r="C2772" s="1" t="str">
        <f>HYPERLINK("http://www.genecards.org/cgi-bin/carddisp.pl?gene=PPIA","GeneCards")</f>
        <v>GeneCards</v>
      </c>
      <c r="D2772" s="1" t="str">
        <f>HYPERLINK("http://genome-euro.ucsc.edu/cgi-bin/hgTracks?position=201293_x_at","UCSC")</f>
        <v>UCSC</v>
      </c>
      <c r="E2772" s="1" t="str">
        <f>HYPERLINK("http://www.ncbi.nlm.nih.gov/gene/?term=PPIA","NCBI")</f>
        <v>NCBI</v>
      </c>
      <c r="F2772">
        <v>1.4E-2</v>
      </c>
      <c r="G2772">
        <v>8.6999999999999994E-2</v>
      </c>
      <c r="H2772" s="1" t="str">
        <f>HYPERLINK("http://www.weizmann.ac.il/complex/compphys/software/geview/data/figures/201293_x_at.png","Figure")</f>
        <v>Figure</v>
      </c>
      <c r="I2772">
        <v>1.08</v>
      </c>
      <c r="J2772">
        <v>0.85</v>
      </c>
      <c r="K2772">
        <v>1.5</v>
      </c>
      <c r="L2772">
        <v>1.7000000000000001E-2</v>
      </c>
      <c r="M2772">
        <v>1.38</v>
      </c>
      <c r="N2772">
        <v>7.3999999999999996E-2</v>
      </c>
    </row>
    <row r="2773" spans="1:14" x14ac:dyDescent="0.25">
      <c r="A2773" t="s">
        <v>5110</v>
      </c>
      <c r="B2773" t="s">
        <v>615</v>
      </c>
      <c r="C2773" s="1" t="str">
        <f>HYPERLINK("http://www.genecards.org/cgi-bin/carddisp.pl?gene=DYRK2","GeneCards")</f>
        <v>GeneCards</v>
      </c>
      <c r="D2773" s="1" t="str">
        <f>HYPERLINK("http://genome-euro.ucsc.edu/cgi-bin/hgTracks?position=202970_at","UCSC")</f>
        <v>UCSC</v>
      </c>
      <c r="E2773" s="1" t="str">
        <f>HYPERLINK("http://www.ncbi.nlm.nih.gov/gene/?term=DYRK2","NCBI")</f>
        <v>NCBI</v>
      </c>
      <c r="F2773">
        <v>1.4E-2</v>
      </c>
      <c r="G2773">
        <v>8.6999999999999994E-2</v>
      </c>
      <c r="H2773" s="1" t="str">
        <f>HYPERLINK("http://www.weizmann.ac.il/complex/compphys/software/geview/data/figures/202970_at.png","Figure")</f>
        <v>Figure</v>
      </c>
      <c r="I2773">
        <v>0.84099999999999997</v>
      </c>
      <c r="J2773">
        <v>4.5999999999999999E-2</v>
      </c>
      <c r="K2773">
        <v>0.83299999999999996</v>
      </c>
      <c r="L2773">
        <v>1.6E-2</v>
      </c>
      <c r="M2773">
        <v>0.99</v>
      </c>
      <c r="N2773">
        <v>0.99</v>
      </c>
    </row>
    <row r="2774" spans="1:14" x14ac:dyDescent="0.25">
      <c r="A2774" t="s">
        <v>5111</v>
      </c>
      <c r="B2774" t="s">
        <v>5112</v>
      </c>
      <c r="C2774" s="1" t="str">
        <f>HYPERLINK("http://www.genecards.org/cgi-bin/carddisp.pl?gene=BANK1","GeneCards")</f>
        <v>GeneCards</v>
      </c>
      <c r="D2774" s="1" t="str">
        <f>HYPERLINK("http://genome-euro.ucsc.edu/cgi-bin/hgTracks?position=219667_s_at","UCSC")</f>
        <v>UCSC</v>
      </c>
      <c r="E2774" s="1" t="str">
        <f>HYPERLINK("http://www.ncbi.nlm.nih.gov/gene/?term=BANK1","NCBI")</f>
        <v>NCBI</v>
      </c>
      <c r="F2774">
        <v>1.4E-2</v>
      </c>
      <c r="G2774">
        <v>8.6999999999999994E-2</v>
      </c>
      <c r="H2774" s="1" t="str">
        <f>HYPERLINK("http://www.weizmann.ac.il/complex/compphys/software/geview/data/figures/219667_s_at.png","Figure")</f>
        <v>Figure</v>
      </c>
      <c r="I2774">
        <v>0.23899999999999999</v>
      </c>
      <c r="J2774">
        <v>1.0999999999999999E-2</v>
      </c>
      <c r="K2774">
        <v>0.49099999999999999</v>
      </c>
      <c r="L2774">
        <v>0.16</v>
      </c>
      <c r="M2774">
        <v>2.06</v>
      </c>
      <c r="N2774">
        <v>0.19</v>
      </c>
    </row>
    <row r="2775" spans="1:14" x14ac:dyDescent="0.25">
      <c r="A2775" t="s">
        <v>5113</v>
      </c>
      <c r="B2775" t="s">
        <v>5114</v>
      </c>
      <c r="C2775" s="1" t="str">
        <f>HYPERLINK("http://www.genecards.org/cgi-bin/carddisp.pl?gene=PARP6","GeneCards")</f>
        <v>GeneCards</v>
      </c>
      <c r="D2775" s="1" t="str">
        <f>HYPERLINK("http://genome-euro.ucsc.edu/cgi-bin/hgTracks?position=219639_x_at","UCSC")</f>
        <v>UCSC</v>
      </c>
      <c r="E2775" s="1" t="str">
        <f>HYPERLINK("http://www.ncbi.nlm.nih.gov/gene/?term=PARP6","NCBI")</f>
        <v>NCBI</v>
      </c>
      <c r="F2775">
        <v>1.4E-2</v>
      </c>
      <c r="G2775">
        <v>8.6999999999999994E-2</v>
      </c>
      <c r="H2775" s="1" t="str">
        <f>HYPERLINK("http://www.weizmann.ac.il/complex/compphys/software/geview/data/figures/219639_x_at.png","Figure")</f>
        <v>Figure</v>
      </c>
      <c r="I2775">
        <v>0.93400000000000005</v>
      </c>
      <c r="J2775">
        <v>0.74</v>
      </c>
      <c r="K2775">
        <v>0.76900000000000002</v>
      </c>
      <c r="L2775">
        <v>1.4999999999999999E-2</v>
      </c>
      <c r="M2775">
        <v>0.82299999999999995</v>
      </c>
      <c r="N2775">
        <v>9.5000000000000001E-2</v>
      </c>
    </row>
    <row r="2776" spans="1:14" x14ac:dyDescent="0.25">
      <c r="A2776" t="s">
        <v>5115</v>
      </c>
      <c r="B2776" t="s">
        <v>5116</v>
      </c>
      <c r="C2776" s="1" t="str">
        <f>HYPERLINK("http://www.genecards.org/cgi-bin/carddisp.pl?gene=ZNF14","GeneCards")</f>
        <v>GeneCards</v>
      </c>
      <c r="D2776" s="1" t="str">
        <f>HYPERLINK("http://genome-euro.ucsc.edu/cgi-bin/hgTracks?position=219854_at","UCSC")</f>
        <v>UCSC</v>
      </c>
      <c r="E2776" s="1" t="str">
        <f>HYPERLINK("http://www.ncbi.nlm.nih.gov/gene/?term=ZNF14","NCBI")</f>
        <v>NCBI</v>
      </c>
      <c r="F2776">
        <v>1.4E-2</v>
      </c>
      <c r="G2776">
        <v>8.6999999999999994E-2</v>
      </c>
      <c r="H2776" s="1" t="str">
        <f>HYPERLINK("http://www.weizmann.ac.il/complex/compphys/software/geview/data/figures/219854_at.png","Figure")</f>
        <v>Figure</v>
      </c>
      <c r="I2776">
        <v>0.87</v>
      </c>
      <c r="J2776">
        <v>0.89</v>
      </c>
      <c r="K2776">
        <v>0.435</v>
      </c>
      <c r="L2776">
        <v>1.7999999999999999E-2</v>
      </c>
      <c r="M2776">
        <v>0.5</v>
      </c>
      <c r="N2776">
        <v>6.6000000000000003E-2</v>
      </c>
    </row>
    <row r="2777" spans="1:14" x14ac:dyDescent="0.25">
      <c r="A2777" t="s">
        <v>5117</v>
      </c>
      <c r="B2777" t="s">
        <v>2596</v>
      </c>
      <c r="C2777" s="1" t="str">
        <f>HYPERLINK("http://www.genecards.org/cgi-bin/carddisp.pl?gene=C1orf77","GeneCards")</f>
        <v>GeneCards</v>
      </c>
      <c r="D2777" s="1" t="str">
        <f>HYPERLINK("http://genome-euro.ucsc.edu/cgi-bin/hgTracks?position=209927_s_at","UCSC")</f>
        <v>UCSC</v>
      </c>
      <c r="E2777" s="1" t="str">
        <f>HYPERLINK("http://www.ncbi.nlm.nih.gov/gene/?term=C1orf77","NCBI")</f>
        <v>NCBI</v>
      </c>
      <c r="F2777">
        <v>1.4E-2</v>
      </c>
      <c r="G2777">
        <v>8.6999999999999994E-2</v>
      </c>
      <c r="H2777" s="1" t="str">
        <f>HYPERLINK("http://www.weizmann.ac.il/complex/compphys/software/geview/data/figures/209927_s_at.png","Figure")</f>
        <v>Figure</v>
      </c>
      <c r="I2777">
        <v>1.34</v>
      </c>
      <c r="J2777">
        <v>1.2E-2</v>
      </c>
      <c r="K2777">
        <v>1.1000000000000001</v>
      </c>
      <c r="L2777">
        <v>0.43</v>
      </c>
      <c r="M2777">
        <v>0.82299999999999995</v>
      </c>
      <c r="N2777">
        <v>6.9000000000000006E-2</v>
      </c>
    </row>
    <row r="2778" spans="1:14" x14ac:dyDescent="0.25">
      <c r="A2778" t="s">
        <v>5118</v>
      </c>
      <c r="B2778" t="s">
        <v>5119</v>
      </c>
      <c r="C2778" s="1" t="str">
        <f>HYPERLINK("http://www.genecards.org/cgi-bin/carddisp.pl?gene=TUBA3C","GeneCards")</f>
        <v>GeneCards</v>
      </c>
      <c r="D2778" s="1" t="str">
        <f>HYPERLINK("http://genome-euro.ucsc.edu/cgi-bin/hgTracks?position=210527_x_at","UCSC")</f>
        <v>UCSC</v>
      </c>
      <c r="E2778" s="1" t="str">
        <f>HYPERLINK("http://www.ncbi.nlm.nih.gov/gene/?term=TUBA3C","NCBI")</f>
        <v>NCBI</v>
      </c>
      <c r="F2778">
        <v>1.4E-2</v>
      </c>
      <c r="G2778">
        <v>8.6999999999999994E-2</v>
      </c>
      <c r="H2778" s="1" t="str">
        <f>HYPERLINK("http://www.weizmann.ac.il/complex/compphys/software/geview/data/figures/210527_x_at.png","Figure")</f>
        <v>Figure</v>
      </c>
      <c r="I2778">
        <v>1.38</v>
      </c>
      <c r="J2778">
        <v>1.4E-2</v>
      </c>
      <c r="K2778">
        <v>1.24</v>
      </c>
      <c r="L2778">
        <v>6.2E-2</v>
      </c>
      <c r="M2778">
        <v>0.89600000000000002</v>
      </c>
      <c r="N2778">
        <v>0.47</v>
      </c>
    </row>
    <row r="2779" spans="1:14" x14ac:dyDescent="0.25">
      <c r="A2779" t="s">
        <v>5120</v>
      </c>
      <c r="B2779" t="s">
        <v>5121</v>
      </c>
      <c r="C2779" s="1" t="str">
        <f>HYPERLINK("http://www.genecards.org/cgi-bin/carddisp.pl?gene=LOC441454 /// PTMA /// PTMAP7","GeneCards")</f>
        <v>GeneCards</v>
      </c>
      <c r="D2779" s="1" t="str">
        <f>HYPERLINK("http://genome-euro.ucsc.edu/cgi-bin/hgTracks?position=216384_x_at","UCSC")</f>
        <v>UCSC</v>
      </c>
      <c r="E2779" s="1" t="str">
        <f>HYPERLINK("http://www.ncbi.nlm.nih.gov/gene/?term=LOC441454 /// PTMA /// PTMAP7","NCBI")</f>
        <v>NCBI</v>
      </c>
      <c r="F2779">
        <v>1.4E-2</v>
      </c>
      <c r="G2779">
        <v>8.6999999999999994E-2</v>
      </c>
      <c r="H2779" s="1" t="str">
        <f>HYPERLINK("http://www.weizmann.ac.il/complex/compphys/software/geview/data/figures/216384_x_at.png","Figure")</f>
        <v>Figure</v>
      </c>
      <c r="I2779">
        <v>1.38</v>
      </c>
      <c r="J2779">
        <v>5.1999999999999998E-2</v>
      </c>
      <c r="K2779">
        <v>1.42</v>
      </c>
      <c r="L2779">
        <v>1.4999999999999999E-2</v>
      </c>
      <c r="M2779">
        <v>1.03</v>
      </c>
      <c r="N2779">
        <v>0.96</v>
      </c>
    </row>
    <row r="2780" spans="1:14" x14ac:dyDescent="0.25">
      <c r="A2780" t="s">
        <v>5122</v>
      </c>
      <c r="B2780" t="s">
        <v>5123</v>
      </c>
      <c r="C2780" s="1" t="str">
        <f>HYPERLINK("http://www.genecards.org/cgi-bin/carddisp.pl?gene=OGFRL1","GeneCards")</f>
        <v>GeneCards</v>
      </c>
      <c r="D2780" s="1" t="str">
        <f>HYPERLINK("http://genome-euro.ucsc.edu/cgi-bin/hgTracks?position=219582_at","UCSC")</f>
        <v>UCSC</v>
      </c>
      <c r="E2780" s="1" t="str">
        <f>HYPERLINK("http://www.ncbi.nlm.nih.gov/gene/?term=OGFRL1","NCBI")</f>
        <v>NCBI</v>
      </c>
      <c r="F2780">
        <v>1.4E-2</v>
      </c>
      <c r="G2780">
        <v>8.6999999999999994E-2</v>
      </c>
      <c r="H2780" s="1" t="str">
        <f>HYPERLINK("http://www.weizmann.ac.il/complex/compphys/software/geview/data/figures/219582_at.png","Figure")</f>
        <v>Figure</v>
      </c>
      <c r="I2780">
        <v>0.52</v>
      </c>
      <c r="J2780">
        <v>0.03</v>
      </c>
      <c r="K2780">
        <v>0.54700000000000004</v>
      </c>
      <c r="L2780">
        <v>2.1999999999999999E-2</v>
      </c>
      <c r="M2780">
        <v>1.05</v>
      </c>
      <c r="N2780">
        <v>0.97</v>
      </c>
    </row>
    <row r="2781" spans="1:14" x14ac:dyDescent="0.25">
      <c r="A2781" t="s">
        <v>5124</v>
      </c>
      <c r="B2781" t="s">
        <v>5125</v>
      </c>
      <c r="C2781" s="1" t="str">
        <f>HYPERLINK("http://www.genecards.org/cgi-bin/carddisp.pl?gene=PCDHGC3","GeneCards")</f>
        <v>GeneCards</v>
      </c>
      <c r="D2781" s="1" t="str">
        <f>HYPERLINK("http://genome-euro.ucsc.edu/cgi-bin/hgTracks?position=214563_at","UCSC")</f>
        <v>UCSC</v>
      </c>
      <c r="E2781" s="1" t="str">
        <f>HYPERLINK("http://www.ncbi.nlm.nih.gov/gene/?term=PCDHGC3","NCBI")</f>
        <v>NCBI</v>
      </c>
      <c r="F2781">
        <v>1.4E-2</v>
      </c>
      <c r="G2781">
        <v>8.6999999999999994E-2</v>
      </c>
      <c r="H2781" s="1" t="str">
        <f>HYPERLINK("http://www.weizmann.ac.il/complex/compphys/software/geview/data/figures/214563_at.png","Figure")</f>
        <v>Figure</v>
      </c>
      <c r="I2781">
        <v>1.08</v>
      </c>
      <c r="J2781">
        <v>0.11</v>
      </c>
      <c r="K2781">
        <v>0.96399999999999997</v>
      </c>
      <c r="L2781">
        <v>0.49</v>
      </c>
      <c r="M2781">
        <v>0.89200000000000002</v>
      </c>
      <c r="N2781">
        <v>1.0999999999999999E-2</v>
      </c>
    </row>
    <row r="2782" spans="1:14" x14ac:dyDescent="0.25">
      <c r="A2782" t="s">
        <v>5126</v>
      </c>
      <c r="B2782" t="s">
        <v>2024</v>
      </c>
      <c r="C2782" s="1" t="str">
        <f>HYPERLINK("http://www.genecards.org/cgi-bin/carddisp.pl?gene=CASP1","GeneCards")</f>
        <v>GeneCards</v>
      </c>
      <c r="D2782" s="1" t="str">
        <f>HYPERLINK("http://genome-euro.ucsc.edu/cgi-bin/hgTracks?position=211368_s_at","UCSC")</f>
        <v>UCSC</v>
      </c>
      <c r="E2782" s="1" t="str">
        <f>HYPERLINK("http://www.ncbi.nlm.nih.gov/gene/?term=CASP1","NCBI")</f>
        <v>NCBI</v>
      </c>
      <c r="F2782">
        <v>1.4E-2</v>
      </c>
      <c r="G2782">
        <v>8.6999999999999994E-2</v>
      </c>
      <c r="H2782" s="1" t="str">
        <f>HYPERLINK("http://www.weizmann.ac.il/complex/compphys/software/geview/data/figures/211368_s_at.png","Figure")</f>
        <v>Figure</v>
      </c>
      <c r="I2782">
        <v>0.753</v>
      </c>
      <c r="J2782">
        <v>9.2999999999999999E-2</v>
      </c>
      <c r="K2782">
        <v>1.1200000000000001</v>
      </c>
      <c r="L2782">
        <v>0.55000000000000004</v>
      </c>
      <c r="M2782">
        <v>1.49</v>
      </c>
      <c r="N2782">
        <v>1.0999999999999999E-2</v>
      </c>
    </row>
    <row r="2783" spans="1:14" x14ac:dyDescent="0.25">
      <c r="A2783" t="s">
        <v>5127</v>
      </c>
      <c r="B2783" t="s">
        <v>5128</v>
      </c>
      <c r="C2783" s="1" t="str">
        <f>HYPERLINK("http://www.genecards.org/cgi-bin/carddisp.pl?gene=SMARCAL1","GeneCards")</f>
        <v>GeneCards</v>
      </c>
      <c r="D2783" s="1" t="str">
        <f>HYPERLINK("http://genome-euro.ucsc.edu/cgi-bin/hgTracks?position=218452_at","UCSC")</f>
        <v>UCSC</v>
      </c>
      <c r="E2783" s="1" t="str">
        <f>HYPERLINK("http://www.ncbi.nlm.nih.gov/gene/?term=SMARCAL1","NCBI")</f>
        <v>NCBI</v>
      </c>
      <c r="F2783">
        <v>1.4E-2</v>
      </c>
      <c r="G2783">
        <v>8.6999999999999994E-2</v>
      </c>
      <c r="H2783" s="1" t="str">
        <f>HYPERLINK("http://www.weizmann.ac.il/complex/compphys/software/geview/data/figures/218452_at.png","Figure")</f>
        <v>Figure</v>
      </c>
      <c r="I2783">
        <v>1.05</v>
      </c>
      <c r="J2783">
        <v>0.82</v>
      </c>
      <c r="K2783">
        <v>1.28</v>
      </c>
      <c r="L2783">
        <v>1.7000000000000001E-2</v>
      </c>
      <c r="M2783">
        <v>1.22</v>
      </c>
      <c r="N2783">
        <v>7.9000000000000001E-2</v>
      </c>
    </row>
    <row r="2784" spans="1:14" x14ac:dyDescent="0.25">
      <c r="A2784" t="s">
        <v>5129</v>
      </c>
      <c r="B2784" t="s">
        <v>5130</v>
      </c>
      <c r="C2784" s="1" t="str">
        <f>HYPERLINK("http://www.genecards.org/cgi-bin/carddisp.pl?gene=ERLIN2","GeneCards")</f>
        <v>GeneCards</v>
      </c>
      <c r="D2784" s="1" t="str">
        <f>HYPERLINK("http://genome-euro.ucsc.edu/cgi-bin/hgTracks?position=221543_s_at","UCSC")</f>
        <v>UCSC</v>
      </c>
      <c r="E2784" s="1" t="str">
        <f>HYPERLINK("http://www.ncbi.nlm.nih.gov/gene/?term=ERLIN2","NCBI")</f>
        <v>NCBI</v>
      </c>
      <c r="F2784">
        <v>1.4E-2</v>
      </c>
      <c r="G2784">
        <v>8.6999999999999994E-2</v>
      </c>
      <c r="H2784" s="1" t="str">
        <f>HYPERLINK("http://www.weizmann.ac.il/complex/compphys/software/geview/data/figures/221543_s_at.png","Figure")</f>
        <v>Figure</v>
      </c>
      <c r="I2784">
        <v>0.67600000000000005</v>
      </c>
      <c r="J2784">
        <v>1.4E-2</v>
      </c>
      <c r="K2784">
        <v>0.91900000000000004</v>
      </c>
      <c r="L2784">
        <v>0.69</v>
      </c>
      <c r="M2784">
        <v>1.36</v>
      </c>
      <c r="N2784">
        <v>3.9E-2</v>
      </c>
    </row>
    <row r="2785" spans="1:14" x14ac:dyDescent="0.25">
      <c r="A2785" t="s">
        <v>5131</v>
      </c>
      <c r="B2785" t="s">
        <v>5132</v>
      </c>
      <c r="C2785" s="1" t="str">
        <f>HYPERLINK("http://www.genecards.org/cgi-bin/carddisp.pl?gene=HIST3H2A","GeneCards")</f>
        <v>GeneCards</v>
      </c>
      <c r="D2785" s="1" t="str">
        <f>HYPERLINK("http://genome-euro.ucsc.edu/cgi-bin/hgTracks?position=221582_at","UCSC")</f>
        <v>UCSC</v>
      </c>
      <c r="E2785" s="1" t="str">
        <f>HYPERLINK("http://www.ncbi.nlm.nih.gov/gene/?term=HIST3H2A","NCBI")</f>
        <v>NCBI</v>
      </c>
      <c r="F2785">
        <v>1.4E-2</v>
      </c>
      <c r="G2785">
        <v>8.6999999999999994E-2</v>
      </c>
      <c r="H2785" s="1" t="str">
        <f>HYPERLINK("http://www.weizmann.ac.il/complex/compphys/software/geview/data/figures/221582_at.png","Figure")</f>
        <v>Figure</v>
      </c>
      <c r="I2785">
        <v>1.81</v>
      </c>
      <c r="J2785">
        <v>1.2E-2</v>
      </c>
      <c r="K2785">
        <v>1.41</v>
      </c>
      <c r="L2785">
        <v>9.4E-2</v>
      </c>
      <c r="M2785">
        <v>0.78300000000000003</v>
      </c>
      <c r="N2785">
        <v>0.32</v>
      </c>
    </row>
    <row r="2786" spans="1:14" x14ac:dyDescent="0.25">
      <c r="A2786" t="s">
        <v>5133</v>
      </c>
      <c r="B2786" t="s">
        <v>5134</v>
      </c>
      <c r="C2786" s="1" t="str">
        <f>HYPERLINK("http://www.genecards.org/cgi-bin/carddisp.pl?gene=GPR3","GeneCards")</f>
        <v>GeneCards</v>
      </c>
      <c r="D2786" s="1" t="str">
        <f>HYPERLINK("http://genome-euro.ucsc.edu/cgi-bin/hgTracks?position=214613_at","UCSC")</f>
        <v>UCSC</v>
      </c>
      <c r="E2786" s="1" t="str">
        <f>HYPERLINK("http://www.ncbi.nlm.nih.gov/gene/?term=GPR3","NCBI")</f>
        <v>NCBI</v>
      </c>
      <c r="F2786">
        <v>1.4E-2</v>
      </c>
      <c r="G2786">
        <v>8.6999999999999994E-2</v>
      </c>
      <c r="H2786" s="1" t="str">
        <f>HYPERLINK("http://www.weizmann.ac.il/complex/compphys/software/geview/data/figures/214613_at.png","Figure")</f>
        <v>Figure</v>
      </c>
      <c r="I2786">
        <v>1.31</v>
      </c>
      <c r="J2786">
        <v>1.2999999999999999E-2</v>
      </c>
      <c r="K2786">
        <v>1.08</v>
      </c>
      <c r="L2786">
        <v>0.53</v>
      </c>
      <c r="M2786">
        <v>0.82599999999999996</v>
      </c>
      <c r="N2786">
        <v>5.5E-2</v>
      </c>
    </row>
    <row r="2787" spans="1:14" x14ac:dyDescent="0.25">
      <c r="A2787" t="s">
        <v>5135</v>
      </c>
      <c r="B2787" t="s">
        <v>5136</v>
      </c>
      <c r="C2787" s="1" t="str">
        <f>HYPERLINK("http://www.genecards.org/cgi-bin/carddisp.pl?gene=POLM","GeneCards")</f>
        <v>GeneCards</v>
      </c>
      <c r="D2787" s="1" t="str">
        <f>HYPERLINK("http://genome-euro.ucsc.edu/cgi-bin/hgTracks?position=222238_s_at","UCSC")</f>
        <v>UCSC</v>
      </c>
      <c r="E2787" s="1" t="str">
        <f>HYPERLINK("http://www.ncbi.nlm.nih.gov/gene/?term=POLM","NCBI")</f>
        <v>NCBI</v>
      </c>
      <c r="F2787">
        <v>1.4E-2</v>
      </c>
      <c r="G2787">
        <v>8.6999999999999994E-2</v>
      </c>
      <c r="H2787" s="1" t="str">
        <f>HYPERLINK("http://www.weizmann.ac.il/complex/compphys/software/geview/data/figures/222238_s_at.png","Figure")</f>
        <v>Figure</v>
      </c>
      <c r="I2787">
        <v>1.57</v>
      </c>
      <c r="J2787">
        <v>1.4E-2</v>
      </c>
      <c r="K2787">
        <v>1.34</v>
      </c>
      <c r="L2787">
        <v>6.7000000000000004E-2</v>
      </c>
      <c r="M2787">
        <v>0.85299999999999998</v>
      </c>
      <c r="N2787">
        <v>0.44</v>
      </c>
    </row>
    <row r="2788" spans="1:14" x14ac:dyDescent="0.25">
      <c r="A2788" t="s">
        <v>5137</v>
      </c>
      <c r="B2788" t="s">
        <v>5138</v>
      </c>
      <c r="C2788" s="1" t="str">
        <f>HYPERLINK("http://www.genecards.org/cgi-bin/carddisp.pl?gene=WDR61","GeneCards")</f>
        <v>GeneCards</v>
      </c>
      <c r="D2788" s="1" t="str">
        <f>HYPERLINK("http://genome-euro.ucsc.edu/cgi-bin/hgTracks?position=221532_s_at","UCSC")</f>
        <v>UCSC</v>
      </c>
      <c r="E2788" s="1" t="str">
        <f>HYPERLINK("http://www.ncbi.nlm.nih.gov/gene/?term=WDR61","NCBI")</f>
        <v>NCBI</v>
      </c>
      <c r="F2788">
        <v>1.4E-2</v>
      </c>
      <c r="G2788">
        <v>8.6999999999999994E-2</v>
      </c>
      <c r="H2788" s="1" t="str">
        <f>HYPERLINK("http://www.weizmann.ac.il/complex/compphys/software/geview/data/figures/221532_s_at.png","Figure")</f>
        <v>Figure</v>
      </c>
      <c r="I2788">
        <v>1.27</v>
      </c>
      <c r="J2788">
        <v>0.39</v>
      </c>
      <c r="K2788">
        <v>1.71</v>
      </c>
      <c r="L2788">
        <v>1.2E-2</v>
      </c>
      <c r="M2788">
        <v>1.34</v>
      </c>
      <c r="N2788">
        <v>0.22</v>
      </c>
    </row>
    <row r="2789" spans="1:14" x14ac:dyDescent="0.25">
      <c r="A2789" t="s">
        <v>5139</v>
      </c>
      <c r="B2789" t="s">
        <v>5140</v>
      </c>
      <c r="C2789" s="1" t="str">
        <f>HYPERLINK("http://www.genecards.org/cgi-bin/carddisp.pl?gene=LEF1","GeneCards")</f>
        <v>GeneCards</v>
      </c>
      <c r="D2789" s="1" t="str">
        <f>HYPERLINK("http://genome-euro.ucsc.edu/cgi-bin/hgTracks?position=221558_s_at","UCSC")</f>
        <v>UCSC</v>
      </c>
      <c r="E2789" s="1" t="str">
        <f>HYPERLINK("http://www.ncbi.nlm.nih.gov/gene/?term=LEF1","NCBI")</f>
        <v>NCBI</v>
      </c>
      <c r="F2789">
        <v>1.4E-2</v>
      </c>
      <c r="G2789">
        <v>8.7999999999999995E-2</v>
      </c>
      <c r="H2789" s="1" t="str">
        <f>HYPERLINK("http://www.weizmann.ac.il/complex/compphys/software/geview/data/figures/221558_s_at.png","Figure")</f>
        <v>Figure</v>
      </c>
      <c r="I2789">
        <v>1.37</v>
      </c>
      <c r="J2789">
        <v>0.62</v>
      </c>
      <c r="K2789">
        <v>2.6</v>
      </c>
      <c r="L2789">
        <v>1.4E-2</v>
      </c>
      <c r="M2789">
        <v>1.9</v>
      </c>
      <c r="N2789">
        <v>0.13</v>
      </c>
    </row>
    <row r="2790" spans="1:14" x14ac:dyDescent="0.25">
      <c r="A2790" t="s">
        <v>5141</v>
      </c>
      <c r="B2790" t="s">
        <v>5142</v>
      </c>
      <c r="C2790" s="1" t="str">
        <f>HYPERLINK("http://www.genecards.org/cgi-bin/carddisp.pl?gene=SPG20","GeneCards")</f>
        <v>GeneCards</v>
      </c>
      <c r="D2790" s="1" t="str">
        <f>HYPERLINK("http://genome-euro.ucsc.edu/cgi-bin/hgTracks?position=216965_x_at","UCSC")</f>
        <v>UCSC</v>
      </c>
      <c r="E2790" s="1" t="str">
        <f>HYPERLINK("http://www.ncbi.nlm.nih.gov/gene/?term=SPG20","NCBI")</f>
        <v>NCBI</v>
      </c>
      <c r="F2790">
        <v>1.4E-2</v>
      </c>
      <c r="G2790">
        <v>8.7999999999999995E-2</v>
      </c>
      <c r="H2790" s="1" t="str">
        <f>HYPERLINK("http://www.weizmann.ac.il/complex/compphys/software/geview/data/figures/216965_x_at.png","Figure")</f>
        <v>Figure</v>
      </c>
      <c r="I2790">
        <v>1.1599999999999999</v>
      </c>
      <c r="J2790">
        <v>2.9000000000000001E-2</v>
      </c>
      <c r="K2790">
        <v>0.996</v>
      </c>
      <c r="L2790">
        <v>1</v>
      </c>
      <c r="M2790">
        <v>0.86</v>
      </c>
      <c r="N2790">
        <v>1.7000000000000001E-2</v>
      </c>
    </row>
    <row r="2791" spans="1:14" x14ac:dyDescent="0.25">
      <c r="A2791" t="s">
        <v>5143</v>
      </c>
      <c r="B2791" t="s">
        <v>2142</v>
      </c>
      <c r="C2791" s="1" t="str">
        <f>HYPERLINK("http://www.genecards.org/cgi-bin/carddisp.pl?gene=SNX3","GeneCards")</f>
        <v>GeneCards</v>
      </c>
      <c r="D2791" s="1" t="str">
        <f>HYPERLINK("http://genome-euro.ucsc.edu/cgi-bin/hgTracks?position=200067_x_at","UCSC")</f>
        <v>UCSC</v>
      </c>
      <c r="E2791" s="1" t="str">
        <f>HYPERLINK("http://www.ncbi.nlm.nih.gov/gene/?term=SNX3","NCBI")</f>
        <v>NCBI</v>
      </c>
      <c r="F2791">
        <v>1.4E-2</v>
      </c>
      <c r="G2791">
        <v>8.7999999999999995E-2</v>
      </c>
      <c r="H2791" s="1" t="str">
        <f>HYPERLINK("http://www.weizmann.ac.il/complex/compphys/software/geview/data/figures/200067_x_at.png","Figure")</f>
        <v>Figure</v>
      </c>
      <c r="I2791">
        <v>0.51900000000000002</v>
      </c>
      <c r="J2791">
        <v>1.0999999999999999E-2</v>
      </c>
      <c r="K2791">
        <v>0.749</v>
      </c>
      <c r="L2791">
        <v>0.23</v>
      </c>
      <c r="M2791">
        <v>1.44</v>
      </c>
      <c r="N2791">
        <v>0.13</v>
      </c>
    </row>
    <row r="2792" spans="1:14" x14ac:dyDescent="0.25">
      <c r="A2792" t="s">
        <v>5144</v>
      </c>
      <c r="B2792" t="s">
        <v>5145</v>
      </c>
      <c r="C2792" s="1" t="str">
        <f>HYPERLINK("http://www.genecards.org/cgi-bin/carddisp.pl?gene=CIITA","GeneCards")</f>
        <v>GeneCards</v>
      </c>
      <c r="D2792" s="1" t="str">
        <f>HYPERLINK("http://genome-euro.ucsc.edu/cgi-bin/hgTracks?position=210925_at","UCSC")</f>
        <v>UCSC</v>
      </c>
      <c r="E2792" s="1" t="str">
        <f>HYPERLINK("http://www.ncbi.nlm.nih.gov/gene/?term=CIITA","NCBI")</f>
        <v>NCBI</v>
      </c>
      <c r="F2792">
        <v>1.4E-2</v>
      </c>
      <c r="G2792">
        <v>8.7999999999999995E-2</v>
      </c>
      <c r="H2792" s="1" t="str">
        <f>HYPERLINK("http://www.weizmann.ac.il/complex/compphys/software/geview/data/figures/210925_at.png","Figure")</f>
        <v>Figure</v>
      </c>
      <c r="I2792">
        <v>1.46</v>
      </c>
      <c r="J2792">
        <v>1.2E-2</v>
      </c>
      <c r="K2792">
        <v>1.1399999999999999</v>
      </c>
      <c r="L2792">
        <v>0.37</v>
      </c>
      <c r="M2792">
        <v>0.78500000000000003</v>
      </c>
      <c r="N2792">
        <v>0.08</v>
      </c>
    </row>
    <row r="2793" spans="1:14" x14ac:dyDescent="0.25">
      <c r="A2793" t="s">
        <v>5146</v>
      </c>
      <c r="B2793" t="s">
        <v>563</v>
      </c>
      <c r="C2793" s="1" t="str">
        <f>HYPERLINK("http://www.genecards.org/cgi-bin/carddisp.pl?gene=CALD1","GeneCards")</f>
        <v>GeneCards</v>
      </c>
      <c r="D2793" s="1" t="str">
        <f>HYPERLINK("http://genome-euro.ucsc.edu/cgi-bin/hgTracks?position=212077_at","UCSC")</f>
        <v>UCSC</v>
      </c>
      <c r="E2793" s="1" t="str">
        <f>HYPERLINK("http://www.ncbi.nlm.nih.gov/gene/?term=CALD1","NCBI")</f>
        <v>NCBI</v>
      </c>
      <c r="F2793">
        <v>1.4E-2</v>
      </c>
      <c r="G2793">
        <v>8.7999999999999995E-2</v>
      </c>
      <c r="H2793" s="1" t="str">
        <f>HYPERLINK("http://www.weizmann.ac.il/complex/compphys/software/geview/data/figures/212077_at.png","Figure")</f>
        <v>Figure</v>
      </c>
      <c r="I2793">
        <v>4.1399999999999997</v>
      </c>
      <c r="J2793">
        <v>1.4E-2</v>
      </c>
      <c r="K2793">
        <v>2.56</v>
      </c>
      <c r="L2793">
        <v>6.2E-2</v>
      </c>
      <c r="M2793">
        <v>0.61899999999999999</v>
      </c>
      <c r="N2793">
        <v>0.47</v>
      </c>
    </row>
    <row r="2794" spans="1:14" x14ac:dyDescent="0.25">
      <c r="A2794" t="s">
        <v>5147</v>
      </c>
      <c r="B2794" t="s">
        <v>5148</v>
      </c>
      <c r="C2794" s="1" t="str">
        <f>HYPERLINK("http://www.genecards.org/cgi-bin/carddisp.pl?gene=CNOT4","GeneCards")</f>
        <v>GeneCards</v>
      </c>
      <c r="D2794" s="1" t="str">
        <f>HYPERLINK("http://genome-euro.ucsc.edu/cgi-bin/hgTracks?position=210866_s_at","UCSC")</f>
        <v>UCSC</v>
      </c>
      <c r="E2794" s="1" t="str">
        <f>HYPERLINK("http://www.ncbi.nlm.nih.gov/gene/?term=CNOT4","NCBI")</f>
        <v>NCBI</v>
      </c>
      <c r="F2794">
        <v>1.4E-2</v>
      </c>
      <c r="G2794">
        <v>8.7999999999999995E-2</v>
      </c>
      <c r="H2794" s="1" t="str">
        <f>HYPERLINK("http://www.weizmann.ac.il/complex/compphys/software/geview/data/figures/210866_s_at.png","Figure")</f>
        <v>Figure</v>
      </c>
      <c r="I2794">
        <v>1.17</v>
      </c>
      <c r="J2794">
        <v>1.7000000000000001E-2</v>
      </c>
      <c r="K2794">
        <v>1.03</v>
      </c>
      <c r="L2794">
        <v>0.84</v>
      </c>
      <c r="M2794">
        <v>0.874</v>
      </c>
      <c r="N2794">
        <v>0.03</v>
      </c>
    </row>
    <row r="2795" spans="1:14" x14ac:dyDescent="0.25">
      <c r="A2795" t="s">
        <v>5149</v>
      </c>
      <c r="B2795" t="s">
        <v>5150</v>
      </c>
      <c r="C2795" s="1" t="str">
        <f>HYPERLINK("http://www.genecards.org/cgi-bin/carddisp.pl?gene=H2AFV","GeneCards")</f>
        <v>GeneCards</v>
      </c>
      <c r="D2795" s="1" t="str">
        <f>HYPERLINK("http://genome-euro.ucsc.edu/cgi-bin/hgTracks?position=202487_s_at","UCSC")</f>
        <v>UCSC</v>
      </c>
      <c r="E2795" s="1" t="str">
        <f>HYPERLINK("http://www.ncbi.nlm.nih.gov/gene/?term=H2AFV","NCBI")</f>
        <v>NCBI</v>
      </c>
      <c r="F2795">
        <v>1.4E-2</v>
      </c>
      <c r="G2795">
        <v>8.7999999999999995E-2</v>
      </c>
      <c r="H2795" s="1" t="str">
        <f>HYPERLINK("http://www.weizmann.ac.il/complex/compphys/software/geview/data/figures/202487_s_at.png","Figure")</f>
        <v>Figure</v>
      </c>
      <c r="I2795">
        <v>1.3</v>
      </c>
      <c r="J2795">
        <v>0.44</v>
      </c>
      <c r="K2795">
        <v>1.87</v>
      </c>
      <c r="L2795">
        <v>1.2E-2</v>
      </c>
      <c r="M2795">
        <v>1.43</v>
      </c>
      <c r="N2795">
        <v>0.2</v>
      </c>
    </row>
    <row r="2796" spans="1:14" x14ac:dyDescent="0.25">
      <c r="A2796" t="s">
        <v>5151</v>
      </c>
      <c r="B2796" t="s">
        <v>3392</v>
      </c>
      <c r="C2796" s="1" t="str">
        <f>HYPERLINK("http://www.genecards.org/cgi-bin/carddisp.pl?gene=GMFB","GeneCards")</f>
        <v>GeneCards</v>
      </c>
      <c r="D2796" s="1" t="str">
        <f>HYPERLINK("http://genome-euro.ucsc.edu/cgi-bin/hgTracks?position=202543_s_at","UCSC")</f>
        <v>UCSC</v>
      </c>
      <c r="E2796" s="1" t="str">
        <f>HYPERLINK("http://www.ncbi.nlm.nih.gov/gene/?term=GMFB","NCBI")</f>
        <v>NCBI</v>
      </c>
      <c r="F2796">
        <v>1.4E-2</v>
      </c>
      <c r="G2796">
        <v>8.7999999999999995E-2</v>
      </c>
      <c r="H2796" s="1" t="str">
        <f>HYPERLINK("http://www.weizmann.ac.il/complex/compphys/software/geview/data/figures/202543_s_at.png","Figure")</f>
        <v>Figure</v>
      </c>
      <c r="I2796">
        <v>0.45800000000000002</v>
      </c>
      <c r="J2796">
        <v>1.7999999999999999E-2</v>
      </c>
      <c r="K2796">
        <v>0.55200000000000005</v>
      </c>
      <c r="L2796">
        <v>3.9E-2</v>
      </c>
      <c r="M2796">
        <v>1.21</v>
      </c>
      <c r="N2796">
        <v>0.7</v>
      </c>
    </row>
    <row r="2797" spans="1:14" x14ac:dyDescent="0.25">
      <c r="A2797" t="s">
        <v>5152</v>
      </c>
      <c r="B2797" t="s">
        <v>5153</v>
      </c>
      <c r="C2797" s="1" t="str">
        <f>HYPERLINK("http://www.genecards.org/cgi-bin/carddisp.pl?gene=TLK1","GeneCards")</f>
        <v>GeneCards</v>
      </c>
      <c r="D2797" s="1" t="str">
        <f>HYPERLINK("http://genome-euro.ucsc.edu/cgi-bin/hgTracks?position=202606_s_at","UCSC")</f>
        <v>UCSC</v>
      </c>
      <c r="E2797" s="1" t="str">
        <f>HYPERLINK("http://www.ncbi.nlm.nih.gov/gene/?term=TLK1","NCBI")</f>
        <v>NCBI</v>
      </c>
      <c r="F2797">
        <v>1.4E-2</v>
      </c>
      <c r="G2797">
        <v>8.7999999999999995E-2</v>
      </c>
      <c r="H2797" s="1" t="str">
        <f>HYPERLINK("http://www.weizmann.ac.il/complex/compphys/software/geview/data/figures/202606_s_at.png","Figure")</f>
        <v>Figure</v>
      </c>
      <c r="I2797">
        <v>0.47799999999999998</v>
      </c>
      <c r="J2797">
        <v>1.4999999999999999E-2</v>
      </c>
      <c r="K2797">
        <v>0.85699999999999998</v>
      </c>
      <c r="L2797">
        <v>0.71</v>
      </c>
      <c r="M2797">
        <v>1.79</v>
      </c>
      <c r="N2797">
        <v>3.7999999999999999E-2</v>
      </c>
    </row>
    <row r="2798" spans="1:14" x14ac:dyDescent="0.25">
      <c r="A2798" t="s">
        <v>5154</v>
      </c>
      <c r="B2798" t="s">
        <v>5155</v>
      </c>
      <c r="C2798" s="1" t="str">
        <f>HYPERLINK("http://www.genecards.org/cgi-bin/carddisp.pl?gene=HCG9","GeneCards")</f>
        <v>GeneCards</v>
      </c>
      <c r="D2798" s="1" t="str">
        <f>HYPERLINK("http://genome-euro.ucsc.edu/cgi-bin/hgTracks?position=208287_at","UCSC")</f>
        <v>UCSC</v>
      </c>
      <c r="E2798" s="1" t="str">
        <f>HYPERLINK("http://www.ncbi.nlm.nih.gov/gene/?term=HCG9","NCBI")</f>
        <v>NCBI</v>
      </c>
      <c r="F2798">
        <v>1.4E-2</v>
      </c>
      <c r="G2798">
        <v>8.7999999999999995E-2</v>
      </c>
      <c r="H2798" s="1" t="str">
        <f>HYPERLINK("http://www.weizmann.ac.il/complex/compphys/software/geview/data/figures/208287_at.png","Figure")</f>
        <v>Figure</v>
      </c>
      <c r="I2798">
        <v>1.22</v>
      </c>
      <c r="J2798">
        <v>1.2E-2</v>
      </c>
      <c r="K2798">
        <v>1.07</v>
      </c>
      <c r="L2798">
        <v>0.39</v>
      </c>
      <c r="M2798">
        <v>0.876</v>
      </c>
      <c r="N2798">
        <v>7.5999999999999998E-2</v>
      </c>
    </row>
    <row r="2799" spans="1:14" x14ac:dyDescent="0.25">
      <c r="A2799" t="s">
        <v>5156</v>
      </c>
      <c r="B2799" t="s">
        <v>2624</v>
      </c>
      <c r="C2799" s="1" t="str">
        <f>HYPERLINK("http://www.genecards.org/cgi-bin/carddisp.pl?gene=ATP6V1D","GeneCards")</f>
        <v>GeneCards</v>
      </c>
      <c r="D2799" s="1" t="str">
        <f>HYPERLINK("http://genome-euro.ucsc.edu/cgi-bin/hgTracks?position=208899_x_at","UCSC")</f>
        <v>UCSC</v>
      </c>
      <c r="E2799" s="1" t="str">
        <f>HYPERLINK("http://www.ncbi.nlm.nih.gov/gene/?term=ATP6V1D","NCBI")</f>
        <v>NCBI</v>
      </c>
      <c r="F2799">
        <v>1.4E-2</v>
      </c>
      <c r="G2799">
        <v>8.7999999999999995E-2</v>
      </c>
      <c r="H2799" s="1" t="str">
        <f>HYPERLINK("http://www.weizmann.ac.il/complex/compphys/software/geview/data/figures/208899_x_at.png","Figure")</f>
        <v>Figure</v>
      </c>
      <c r="I2799">
        <v>0.88200000000000001</v>
      </c>
      <c r="J2799">
        <v>0.56000000000000005</v>
      </c>
      <c r="K2799">
        <v>1.27</v>
      </c>
      <c r="L2799">
        <v>9.1999999999999998E-2</v>
      </c>
      <c r="M2799">
        <v>1.44</v>
      </c>
      <c r="N2799">
        <v>1.6E-2</v>
      </c>
    </row>
    <row r="2800" spans="1:14" x14ac:dyDescent="0.25">
      <c r="A2800" t="s">
        <v>5157</v>
      </c>
      <c r="B2800" t="s">
        <v>1204</v>
      </c>
      <c r="C2800" s="1" t="str">
        <f>HYPERLINK("http://www.genecards.org/cgi-bin/carddisp.pl?gene=APP","GeneCards")</f>
        <v>GeneCards</v>
      </c>
      <c r="D2800" s="1" t="str">
        <f>HYPERLINK("http://genome-euro.ucsc.edu/cgi-bin/hgTracks?position=211277_x_at","UCSC")</f>
        <v>UCSC</v>
      </c>
      <c r="E2800" s="1" t="str">
        <f>HYPERLINK("http://www.ncbi.nlm.nih.gov/gene/?term=APP","NCBI")</f>
        <v>NCBI</v>
      </c>
      <c r="F2800">
        <v>1.4E-2</v>
      </c>
      <c r="G2800">
        <v>8.7999999999999995E-2</v>
      </c>
      <c r="H2800" s="1" t="str">
        <f>HYPERLINK("http://www.weizmann.ac.il/complex/compphys/software/geview/data/figures/211277_x_at.png","Figure")</f>
        <v>Figure</v>
      </c>
      <c r="I2800">
        <v>1.43</v>
      </c>
      <c r="J2800">
        <v>3.5000000000000003E-2</v>
      </c>
      <c r="K2800">
        <v>0.97399999999999998</v>
      </c>
      <c r="L2800">
        <v>0.97</v>
      </c>
      <c r="M2800">
        <v>0.68100000000000005</v>
      </c>
      <c r="N2800">
        <v>1.6E-2</v>
      </c>
    </row>
    <row r="2801" spans="1:14" x14ac:dyDescent="0.25">
      <c r="A2801" t="s">
        <v>5158</v>
      </c>
      <c r="B2801" t="s">
        <v>5159</v>
      </c>
      <c r="C2801" s="1" t="str">
        <f>HYPERLINK("http://www.genecards.org/cgi-bin/carddisp.pl?gene=H2AFY2","GeneCards")</f>
        <v>GeneCards</v>
      </c>
      <c r="D2801" s="1" t="str">
        <f>HYPERLINK("http://genome-euro.ucsc.edu/cgi-bin/hgTracks?position=218445_at","UCSC")</f>
        <v>UCSC</v>
      </c>
      <c r="E2801" s="1" t="str">
        <f>HYPERLINK("http://www.ncbi.nlm.nih.gov/gene/?term=H2AFY2","NCBI")</f>
        <v>NCBI</v>
      </c>
      <c r="F2801">
        <v>1.4E-2</v>
      </c>
      <c r="G2801">
        <v>8.7999999999999995E-2</v>
      </c>
      <c r="H2801" s="1" t="str">
        <f>HYPERLINK("http://www.weizmann.ac.il/complex/compphys/software/geview/data/figures/218445_at.png","Figure")</f>
        <v>Figure</v>
      </c>
      <c r="I2801">
        <v>1.04</v>
      </c>
      <c r="J2801">
        <v>0.95</v>
      </c>
      <c r="K2801">
        <v>1.47</v>
      </c>
      <c r="L2801">
        <v>2.1000000000000001E-2</v>
      </c>
      <c r="M2801">
        <v>1.41</v>
      </c>
      <c r="N2801">
        <v>5.5E-2</v>
      </c>
    </row>
    <row r="2802" spans="1:14" x14ac:dyDescent="0.25">
      <c r="A2802" t="s">
        <v>5160</v>
      </c>
      <c r="B2802" t="s">
        <v>5161</v>
      </c>
      <c r="C2802" s="1" t="str">
        <f>HYPERLINK("http://www.genecards.org/cgi-bin/carddisp.pl?gene=ATP4A","GeneCards")</f>
        <v>GeneCards</v>
      </c>
      <c r="D2802" s="1" t="str">
        <f>HYPERLINK("http://genome-euro.ucsc.edu/cgi-bin/hgTracks?position=207139_at","UCSC")</f>
        <v>UCSC</v>
      </c>
      <c r="E2802" s="1" t="str">
        <f>HYPERLINK("http://www.ncbi.nlm.nih.gov/gene/?term=ATP4A","NCBI")</f>
        <v>NCBI</v>
      </c>
      <c r="F2802">
        <v>1.4E-2</v>
      </c>
      <c r="G2802">
        <v>8.7999999999999995E-2</v>
      </c>
      <c r="H2802" s="1" t="str">
        <f>HYPERLINK("http://www.weizmann.ac.il/complex/compphys/software/geview/data/figures/207139_at.png","Figure")</f>
        <v>Figure</v>
      </c>
      <c r="I2802">
        <v>1.08</v>
      </c>
      <c r="J2802">
        <v>0.44</v>
      </c>
      <c r="K2802">
        <v>0.89300000000000002</v>
      </c>
      <c r="L2802">
        <v>0.12</v>
      </c>
      <c r="M2802">
        <v>0.82799999999999996</v>
      </c>
      <c r="N2802">
        <v>1.4E-2</v>
      </c>
    </row>
    <row r="2803" spans="1:14" x14ac:dyDescent="0.25">
      <c r="A2803" t="s">
        <v>5162</v>
      </c>
      <c r="B2803" t="s">
        <v>5163</v>
      </c>
      <c r="C2803" s="1" t="str">
        <f>HYPERLINK("http://www.genecards.org/cgi-bin/carddisp.pl?gene=LOC732160 /// NDUFA10","GeneCards")</f>
        <v>GeneCards</v>
      </c>
      <c r="D2803" s="1" t="str">
        <f>HYPERLINK("http://genome-euro.ucsc.edu/cgi-bin/hgTracks?position=217860_at","UCSC")</f>
        <v>UCSC</v>
      </c>
      <c r="E2803" s="1" t="str">
        <f>HYPERLINK("http://www.ncbi.nlm.nih.gov/gene/?term=LOC732160 /// NDUFA10","NCBI")</f>
        <v>NCBI</v>
      </c>
      <c r="F2803">
        <v>1.4E-2</v>
      </c>
      <c r="G2803">
        <v>8.7999999999999995E-2</v>
      </c>
      <c r="H2803" s="1" t="str">
        <f>HYPERLINK("http://www.weizmann.ac.il/complex/compphys/software/geview/data/figures/217860_at.png","Figure")</f>
        <v>Figure</v>
      </c>
      <c r="I2803">
        <v>1.35</v>
      </c>
      <c r="J2803">
        <v>7.8E-2</v>
      </c>
      <c r="K2803">
        <v>1.44</v>
      </c>
      <c r="L2803">
        <v>1.2999999999999999E-2</v>
      </c>
      <c r="M2803">
        <v>1.07</v>
      </c>
      <c r="N2803">
        <v>0.83</v>
      </c>
    </row>
    <row r="2804" spans="1:14" x14ac:dyDescent="0.25">
      <c r="A2804" t="s">
        <v>5164</v>
      </c>
      <c r="B2804" t="s">
        <v>5165</v>
      </c>
      <c r="C2804" s="1" t="str">
        <f>HYPERLINK("http://www.genecards.org/cgi-bin/carddisp.pl?gene=DUSP8","GeneCards")</f>
        <v>GeneCards</v>
      </c>
      <c r="D2804" s="1" t="str">
        <f>HYPERLINK("http://genome-euro.ucsc.edu/cgi-bin/hgTracks?position=206374_at","UCSC")</f>
        <v>UCSC</v>
      </c>
      <c r="E2804" s="1" t="str">
        <f>HYPERLINK("http://www.ncbi.nlm.nih.gov/gene/?term=DUSP8","NCBI")</f>
        <v>NCBI</v>
      </c>
      <c r="F2804">
        <v>1.4999999999999999E-2</v>
      </c>
      <c r="G2804">
        <v>8.7999999999999995E-2</v>
      </c>
      <c r="H2804" s="1" t="str">
        <f>HYPERLINK("http://www.weizmann.ac.il/complex/compphys/software/geview/data/figures/206374_at.png","Figure")</f>
        <v>Figure</v>
      </c>
      <c r="I2804">
        <v>1.08</v>
      </c>
      <c r="J2804">
        <v>0.88</v>
      </c>
      <c r="K2804">
        <v>0.67200000000000004</v>
      </c>
      <c r="L2804">
        <v>4.4999999999999998E-2</v>
      </c>
      <c r="M2804">
        <v>0.62</v>
      </c>
      <c r="N2804">
        <v>2.4E-2</v>
      </c>
    </row>
    <row r="2805" spans="1:14" x14ac:dyDescent="0.25">
      <c r="A2805" t="s">
        <v>5166</v>
      </c>
      <c r="B2805" t="s">
        <v>5167</v>
      </c>
      <c r="C2805" s="1" t="str">
        <f>HYPERLINK("http://www.genecards.org/cgi-bin/carddisp.pl?gene=MTF2","GeneCards")</f>
        <v>GeneCards</v>
      </c>
      <c r="D2805" s="1" t="str">
        <f>HYPERLINK("http://genome-euro.ucsc.edu/cgi-bin/hgTracks?position=203346_s_at","UCSC")</f>
        <v>UCSC</v>
      </c>
      <c r="E2805" s="1" t="str">
        <f>HYPERLINK("http://www.ncbi.nlm.nih.gov/gene/?term=MTF2","NCBI")</f>
        <v>NCBI</v>
      </c>
      <c r="F2805">
        <v>1.4999999999999999E-2</v>
      </c>
      <c r="G2805">
        <v>8.7999999999999995E-2</v>
      </c>
      <c r="H2805" s="1" t="str">
        <f>HYPERLINK("http://www.weizmann.ac.il/complex/compphys/software/geview/data/figures/203346_s_at.png","Figure")</f>
        <v>Figure</v>
      </c>
      <c r="I2805">
        <v>1.28</v>
      </c>
      <c r="J2805">
        <v>9.9000000000000005E-2</v>
      </c>
      <c r="K2805">
        <v>0.90100000000000002</v>
      </c>
      <c r="L2805">
        <v>0.53</v>
      </c>
      <c r="M2805">
        <v>0.70499999999999996</v>
      </c>
      <c r="N2805">
        <v>1.0999999999999999E-2</v>
      </c>
    </row>
    <row r="2806" spans="1:14" x14ac:dyDescent="0.25">
      <c r="A2806" t="s">
        <v>5168</v>
      </c>
      <c r="B2806" t="s">
        <v>5169</v>
      </c>
      <c r="C2806" s="1" t="str">
        <f>HYPERLINK("http://www.genecards.org/cgi-bin/carddisp.pl?gene=ZNF35","GeneCards")</f>
        <v>GeneCards</v>
      </c>
      <c r="D2806" s="1" t="str">
        <f>HYPERLINK("http://genome-euro.ucsc.edu/cgi-bin/hgTracks?position=206096_at","UCSC")</f>
        <v>UCSC</v>
      </c>
      <c r="E2806" s="1" t="str">
        <f>HYPERLINK("http://www.ncbi.nlm.nih.gov/gene/?term=ZNF35","NCBI")</f>
        <v>NCBI</v>
      </c>
      <c r="F2806">
        <v>1.4999999999999999E-2</v>
      </c>
      <c r="G2806">
        <v>8.7999999999999995E-2</v>
      </c>
      <c r="H2806" s="1" t="str">
        <f>HYPERLINK("http://www.weizmann.ac.il/complex/compphys/software/geview/data/figures/206096_at.png","Figure")</f>
        <v>Figure</v>
      </c>
      <c r="I2806">
        <v>1.31</v>
      </c>
      <c r="J2806">
        <v>1.2E-2</v>
      </c>
      <c r="K2806">
        <v>1.0900000000000001</v>
      </c>
      <c r="L2806">
        <v>0.46</v>
      </c>
      <c r="M2806">
        <v>0.82899999999999996</v>
      </c>
      <c r="N2806">
        <v>6.5000000000000002E-2</v>
      </c>
    </row>
    <row r="2807" spans="1:14" x14ac:dyDescent="0.25">
      <c r="A2807" t="s">
        <v>5170</v>
      </c>
      <c r="B2807" t="s">
        <v>5171</v>
      </c>
      <c r="C2807" s="1" t="str">
        <f>HYPERLINK("http://www.genecards.org/cgi-bin/carddisp.pl?gene=OXTR","GeneCards")</f>
        <v>GeneCards</v>
      </c>
      <c r="D2807" s="1" t="str">
        <f>HYPERLINK("http://genome-euro.ucsc.edu/cgi-bin/hgTracks?position=206825_at","UCSC")</f>
        <v>UCSC</v>
      </c>
      <c r="E2807" s="1" t="str">
        <f>HYPERLINK("http://www.ncbi.nlm.nih.gov/gene/?term=OXTR","NCBI")</f>
        <v>NCBI</v>
      </c>
      <c r="F2807">
        <v>1.4999999999999999E-2</v>
      </c>
      <c r="G2807">
        <v>8.7999999999999995E-2</v>
      </c>
      <c r="H2807" s="1" t="str">
        <f>HYPERLINK("http://www.weizmann.ac.il/complex/compphys/software/geview/data/figures/206825_at.png","Figure")</f>
        <v>Figure</v>
      </c>
      <c r="I2807">
        <v>1.1399999999999999</v>
      </c>
      <c r="J2807">
        <v>0.02</v>
      </c>
      <c r="K2807">
        <v>1.1100000000000001</v>
      </c>
      <c r="L2807">
        <v>3.4000000000000002E-2</v>
      </c>
      <c r="M2807">
        <v>0.97299999999999998</v>
      </c>
      <c r="N2807">
        <v>0.77</v>
      </c>
    </row>
    <row r="2808" spans="1:14" x14ac:dyDescent="0.25">
      <c r="A2808" t="s">
        <v>5172</v>
      </c>
      <c r="B2808" t="s">
        <v>1930</v>
      </c>
      <c r="C2808" s="1" t="str">
        <f>HYPERLINK("http://www.genecards.org/cgi-bin/carddisp.pl?gene=KIAA0240","GeneCards")</f>
        <v>GeneCards</v>
      </c>
      <c r="D2808" s="1" t="str">
        <f>HYPERLINK("http://genome-euro.ucsc.edu/cgi-bin/hgTracks?position=38892_at","UCSC")</f>
        <v>UCSC</v>
      </c>
      <c r="E2808" s="1" t="str">
        <f>HYPERLINK("http://www.ncbi.nlm.nih.gov/gene/?term=KIAA0240","NCBI")</f>
        <v>NCBI</v>
      </c>
      <c r="F2808">
        <v>1.4999999999999999E-2</v>
      </c>
      <c r="G2808">
        <v>8.7999999999999995E-2</v>
      </c>
      <c r="H2808" s="1" t="str">
        <f>HYPERLINK("http://www.weizmann.ac.il/complex/compphys/software/geview/data/figures/38892_at.png","Figure")</f>
        <v>Figure</v>
      </c>
      <c r="I2808">
        <v>0.72899999999999998</v>
      </c>
      <c r="J2808">
        <v>0.11</v>
      </c>
      <c r="K2808">
        <v>1.1599999999999999</v>
      </c>
      <c r="L2808">
        <v>0.49</v>
      </c>
      <c r="M2808">
        <v>1.59</v>
      </c>
      <c r="N2808">
        <v>1.0999999999999999E-2</v>
      </c>
    </row>
    <row r="2809" spans="1:14" x14ac:dyDescent="0.25">
      <c r="A2809" t="s">
        <v>5173</v>
      </c>
      <c r="B2809" t="s">
        <v>5174</v>
      </c>
      <c r="C2809" s="1" t="str">
        <f>HYPERLINK("http://www.genecards.org/cgi-bin/carddisp.pl?gene=VAMP7","GeneCards")</f>
        <v>GeneCards</v>
      </c>
      <c r="D2809" s="1" t="str">
        <f>HYPERLINK("http://genome-euro.ucsc.edu/cgi-bin/hgTracks?position=202829_s_at","UCSC")</f>
        <v>UCSC</v>
      </c>
      <c r="E2809" s="1" t="str">
        <f>HYPERLINK("http://www.ncbi.nlm.nih.gov/gene/?term=VAMP7","NCBI")</f>
        <v>NCBI</v>
      </c>
      <c r="F2809">
        <v>1.4999999999999999E-2</v>
      </c>
      <c r="G2809">
        <v>8.7999999999999995E-2</v>
      </c>
      <c r="H2809" s="1" t="str">
        <f>HYPERLINK("http://www.weizmann.ac.il/complex/compphys/software/geview/data/figures/202829_s_at.png","Figure")</f>
        <v>Figure</v>
      </c>
      <c r="I2809">
        <v>0.42099999999999999</v>
      </c>
      <c r="J2809">
        <v>1.6E-2</v>
      </c>
      <c r="K2809">
        <v>0.84599999999999997</v>
      </c>
      <c r="L2809">
        <v>0.75</v>
      </c>
      <c r="M2809">
        <v>2.0099999999999998</v>
      </c>
      <c r="N2809">
        <v>3.5999999999999997E-2</v>
      </c>
    </row>
    <row r="2810" spans="1:14" x14ac:dyDescent="0.25">
      <c r="A2810" t="s">
        <v>5175</v>
      </c>
      <c r="B2810" t="s">
        <v>5176</v>
      </c>
      <c r="C2810" s="1" t="str">
        <f>HYPERLINK("http://www.genecards.org/cgi-bin/carddisp.pl?gene=KDM4A","GeneCards")</f>
        <v>GeneCards</v>
      </c>
      <c r="D2810" s="1" t="str">
        <f>HYPERLINK("http://genome-euro.ucsc.edu/cgi-bin/hgTracks?position=203205_at","UCSC")</f>
        <v>UCSC</v>
      </c>
      <c r="E2810" s="1" t="str">
        <f>HYPERLINK("http://www.ncbi.nlm.nih.gov/gene/?term=KDM4A","NCBI")</f>
        <v>NCBI</v>
      </c>
      <c r="F2810">
        <v>1.4999999999999999E-2</v>
      </c>
      <c r="G2810">
        <v>8.7999999999999995E-2</v>
      </c>
      <c r="H2810" s="1" t="str">
        <f>HYPERLINK("http://www.weizmann.ac.il/complex/compphys/software/geview/data/figures/203205_at.png","Figure")</f>
        <v>Figure</v>
      </c>
      <c r="I2810">
        <v>1.23</v>
      </c>
      <c r="J2810">
        <v>1.4999999999999999E-2</v>
      </c>
      <c r="K2810">
        <v>1.05</v>
      </c>
      <c r="L2810">
        <v>0.69</v>
      </c>
      <c r="M2810">
        <v>0.85299999999999998</v>
      </c>
      <c r="N2810">
        <v>0.04</v>
      </c>
    </row>
    <row r="2811" spans="1:14" x14ac:dyDescent="0.25">
      <c r="A2811" t="s">
        <v>5177</v>
      </c>
      <c r="B2811" t="s">
        <v>5178</v>
      </c>
      <c r="C2811" s="1" t="str">
        <f>HYPERLINK("http://www.genecards.org/cgi-bin/carddisp.pl?gene=ABCA3","GeneCards")</f>
        <v>GeneCards</v>
      </c>
      <c r="D2811" s="1" t="str">
        <f>HYPERLINK("http://genome-euro.ucsc.edu/cgi-bin/hgTracks?position=204343_at","UCSC")</f>
        <v>UCSC</v>
      </c>
      <c r="E2811" s="1" t="str">
        <f>HYPERLINK("http://www.ncbi.nlm.nih.gov/gene/?term=ABCA3","NCBI")</f>
        <v>NCBI</v>
      </c>
      <c r="F2811">
        <v>1.4999999999999999E-2</v>
      </c>
      <c r="G2811">
        <v>8.7999999999999995E-2</v>
      </c>
      <c r="H2811" s="1" t="str">
        <f>HYPERLINK("http://www.weizmann.ac.il/complex/compphys/software/geview/data/figures/204343_at.png","Figure")</f>
        <v>Figure</v>
      </c>
      <c r="I2811">
        <v>1.25</v>
      </c>
      <c r="J2811">
        <v>1.4E-2</v>
      </c>
      <c r="K2811">
        <v>1.1599999999999999</v>
      </c>
      <c r="L2811">
        <v>6.8000000000000005E-2</v>
      </c>
      <c r="M2811">
        <v>0.92400000000000004</v>
      </c>
      <c r="N2811">
        <v>0.44</v>
      </c>
    </row>
    <row r="2812" spans="1:14" x14ac:dyDescent="0.25">
      <c r="A2812" t="s">
        <v>5179</v>
      </c>
      <c r="B2812" t="s">
        <v>435</v>
      </c>
      <c r="C2812" s="1" t="str">
        <f>HYPERLINK("http://www.genecards.org/cgi-bin/carddisp.pl?gene=CLTB","GeneCards")</f>
        <v>GeneCards</v>
      </c>
      <c r="D2812" s="1" t="str">
        <f>HYPERLINK("http://genome-euro.ucsc.edu/cgi-bin/hgTracks?position=206284_x_at","UCSC")</f>
        <v>UCSC</v>
      </c>
      <c r="E2812" s="1" t="str">
        <f>HYPERLINK("http://www.ncbi.nlm.nih.gov/gene/?term=CLTB","NCBI")</f>
        <v>NCBI</v>
      </c>
      <c r="F2812">
        <v>1.4999999999999999E-2</v>
      </c>
      <c r="G2812">
        <v>8.7999999999999995E-2</v>
      </c>
      <c r="H2812" s="1" t="str">
        <f>HYPERLINK("http://www.weizmann.ac.il/complex/compphys/software/geview/data/figures/206284_x_at.png","Figure")</f>
        <v>Figure</v>
      </c>
      <c r="I2812">
        <v>1.2</v>
      </c>
      <c r="J2812">
        <v>0.43</v>
      </c>
      <c r="K2812">
        <v>1.53</v>
      </c>
      <c r="L2812">
        <v>1.2E-2</v>
      </c>
      <c r="M2812">
        <v>1.27</v>
      </c>
      <c r="N2812">
        <v>0.2</v>
      </c>
    </row>
    <row r="2813" spans="1:14" x14ac:dyDescent="0.25">
      <c r="A2813" t="s">
        <v>5180</v>
      </c>
      <c r="B2813" t="s">
        <v>5181</v>
      </c>
      <c r="C2813" s="1" t="str">
        <f>HYPERLINK("http://www.genecards.org/cgi-bin/carddisp.pl?gene=RHEB","GeneCards")</f>
        <v>GeneCards</v>
      </c>
      <c r="D2813" s="1" t="str">
        <f>HYPERLINK("http://genome-euro.ucsc.edu/cgi-bin/hgTracks?position=201453_x_at","UCSC")</f>
        <v>UCSC</v>
      </c>
      <c r="E2813" s="1" t="str">
        <f>HYPERLINK("http://www.ncbi.nlm.nih.gov/gene/?term=RHEB","NCBI")</f>
        <v>NCBI</v>
      </c>
      <c r="F2813">
        <v>1.4999999999999999E-2</v>
      </c>
      <c r="G2813">
        <v>8.7999999999999995E-2</v>
      </c>
      <c r="H2813" s="1" t="str">
        <f>HYPERLINK("http://www.weizmann.ac.il/complex/compphys/software/geview/data/figures/201453_x_at.png","Figure")</f>
        <v>Figure</v>
      </c>
      <c r="I2813">
        <v>1.64</v>
      </c>
      <c r="J2813">
        <v>5.8999999999999997E-2</v>
      </c>
      <c r="K2813">
        <v>0.88700000000000001</v>
      </c>
      <c r="L2813">
        <v>0.76</v>
      </c>
      <c r="M2813">
        <v>0.54200000000000004</v>
      </c>
      <c r="N2813">
        <v>1.2999999999999999E-2</v>
      </c>
    </row>
    <row r="2814" spans="1:14" x14ac:dyDescent="0.25">
      <c r="A2814" t="s">
        <v>5182</v>
      </c>
      <c r="B2814" t="s">
        <v>5183</v>
      </c>
      <c r="C2814" s="1" t="str">
        <f>HYPERLINK("http://www.genecards.org/cgi-bin/carddisp.pl?gene=ARHGEF9","GeneCards")</f>
        <v>GeneCards</v>
      </c>
      <c r="D2814" s="1" t="str">
        <f>HYPERLINK("http://genome-euro.ucsc.edu/cgi-bin/hgTracks?position=203264_s_at","UCSC")</f>
        <v>UCSC</v>
      </c>
      <c r="E2814" s="1" t="str">
        <f>HYPERLINK("http://www.ncbi.nlm.nih.gov/gene/?term=ARHGEF9","NCBI")</f>
        <v>NCBI</v>
      </c>
      <c r="F2814">
        <v>1.4999999999999999E-2</v>
      </c>
      <c r="G2814">
        <v>8.7999999999999995E-2</v>
      </c>
      <c r="H2814" s="1" t="str">
        <f>HYPERLINK("http://www.weizmann.ac.il/complex/compphys/software/geview/data/figures/203264_s_at.png","Figure")</f>
        <v>Figure</v>
      </c>
      <c r="I2814">
        <v>0.73599999999999999</v>
      </c>
      <c r="J2814">
        <v>5.6000000000000001E-2</v>
      </c>
      <c r="K2814">
        <v>1.07</v>
      </c>
      <c r="L2814">
        <v>0.79</v>
      </c>
      <c r="M2814">
        <v>1.46</v>
      </c>
      <c r="N2814">
        <v>1.2999999999999999E-2</v>
      </c>
    </row>
    <row r="2815" spans="1:14" x14ac:dyDescent="0.25">
      <c r="A2815" t="s">
        <v>5184</v>
      </c>
      <c r="B2815" t="s">
        <v>794</v>
      </c>
      <c r="C2815" s="1" t="str">
        <f>HYPERLINK("http://www.genecards.org/cgi-bin/carddisp.pl?gene=DAB2","GeneCards")</f>
        <v>GeneCards</v>
      </c>
      <c r="D2815" s="1" t="str">
        <f>HYPERLINK("http://genome-euro.ucsc.edu/cgi-bin/hgTracks?position=201278_at","UCSC")</f>
        <v>UCSC</v>
      </c>
      <c r="E2815" s="1" t="str">
        <f>HYPERLINK("http://www.ncbi.nlm.nih.gov/gene/?term=DAB2","NCBI")</f>
        <v>NCBI</v>
      </c>
      <c r="F2815">
        <v>1.4999999999999999E-2</v>
      </c>
      <c r="G2815">
        <v>8.7999999999999995E-2</v>
      </c>
      <c r="H2815" s="1" t="str">
        <f>HYPERLINK("http://www.weizmann.ac.il/complex/compphys/software/geview/data/figures/201278_at.png","Figure")</f>
        <v>Figure</v>
      </c>
      <c r="I2815">
        <v>0.56799999999999995</v>
      </c>
      <c r="J2815">
        <v>1.2E-2</v>
      </c>
      <c r="K2815">
        <v>0.74099999999999999</v>
      </c>
      <c r="L2815">
        <v>0.13</v>
      </c>
      <c r="M2815">
        <v>1.31</v>
      </c>
      <c r="N2815">
        <v>0.23</v>
      </c>
    </row>
    <row r="2816" spans="1:14" x14ac:dyDescent="0.25">
      <c r="A2816" t="s">
        <v>5185</v>
      </c>
      <c r="B2816" t="s">
        <v>2326</v>
      </c>
      <c r="C2816" s="1" t="str">
        <f>HYPERLINK("http://www.genecards.org/cgi-bin/carddisp.pl?gene=PCDHGA1 /// PCDHGA10 /// PCDHGA11 /// PCDHGA12 /// PCDHGA2 /// PCDHGA3 /// PCDHGA4 /// PCDHGA5 /// P","GeneCards")</f>
        <v>GeneCards</v>
      </c>
      <c r="D2816" s="1" t="str">
        <f>HYPERLINK("http://genome-euro.ucsc.edu/cgi-bin/hgTracks?position=209079_x_at","UCSC")</f>
        <v>UCSC</v>
      </c>
      <c r="E2816" s="1" t="str">
        <f>HYPERLINK("http://www.ncbi.nlm.nih.gov/gene/?term=PCDHGA1 /// PCDHGA10 /// PCDHGA11 /// PCDHGA12 /// PCDHGA2 /// PCDHGA3 /// PCDHGA4 /// PCDHGA5 /// P","NCBI")</f>
        <v>NCBI</v>
      </c>
      <c r="F2816">
        <v>1.4999999999999999E-2</v>
      </c>
      <c r="G2816">
        <v>8.7999999999999995E-2</v>
      </c>
      <c r="H2816" s="1" t="str">
        <f>HYPERLINK("http://www.weizmann.ac.il/complex/compphys/software/geview/data/figures/209079_x_at.png","Figure")</f>
        <v>Figure</v>
      </c>
      <c r="I2816">
        <v>0.42599999999999999</v>
      </c>
      <c r="J2816">
        <v>1.0999999999999999E-2</v>
      </c>
      <c r="K2816">
        <v>0.69699999999999995</v>
      </c>
      <c r="L2816">
        <v>0.25</v>
      </c>
      <c r="M2816">
        <v>1.64</v>
      </c>
      <c r="N2816">
        <v>0.12</v>
      </c>
    </row>
    <row r="2817" spans="1:14" x14ac:dyDescent="0.25">
      <c r="A2817" t="s">
        <v>5186</v>
      </c>
      <c r="B2817" t="s">
        <v>5187</v>
      </c>
      <c r="C2817" s="1" t="str">
        <f>HYPERLINK("http://www.genecards.org/cgi-bin/carddisp.pl?gene=CCDC47","GeneCards")</f>
        <v>GeneCards</v>
      </c>
      <c r="D2817" s="1" t="str">
        <f>HYPERLINK("http://genome-euro.ucsc.edu/cgi-bin/hgTracks?position=217814_at","UCSC")</f>
        <v>UCSC</v>
      </c>
      <c r="E2817" s="1" t="str">
        <f>HYPERLINK("http://www.ncbi.nlm.nih.gov/gene/?term=CCDC47","NCBI")</f>
        <v>NCBI</v>
      </c>
      <c r="F2817">
        <v>1.4999999999999999E-2</v>
      </c>
      <c r="G2817">
        <v>8.7999999999999995E-2</v>
      </c>
      <c r="H2817" s="1" t="str">
        <f>HYPERLINK("http://www.weizmann.ac.il/complex/compphys/software/geview/data/figures/217814_at.png","Figure")</f>
        <v>Figure</v>
      </c>
      <c r="I2817">
        <v>0.27400000000000002</v>
      </c>
      <c r="J2817">
        <v>1.0999999999999999E-2</v>
      </c>
      <c r="K2817">
        <v>0.54400000000000004</v>
      </c>
      <c r="L2817">
        <v>0.19</v>
      </c>
      <c r="M2817">
        <v>1.99</v>
      </c>
      <c r="N2817">
        <v>0.16</v>
      </c>
    </row>
    <row r="2818" spans="1:14" x14ac:dyDescent="0.25">
      <c r="A2818" t="s">
        <v>5188</v>
      </c>
      <c r="B2818" t="s">
        <v>5189</v>
      </c>
      <c r="C2818" s="1" t="str">
        <f>HYPERLINK("http://www.genecards.org/cgi-bin/carddisp.pl?gene=GINS2","GeneCards")</f>
        <v>GeneCards</v>
      </c>
      <c r="D2818" s="1" t="str">
        <f>HYPERLINK("http://genome-euro.ucsc.edu/cgi-bin/hgTracks?position=221521_s_at","UCSC")</f>
        <v>UCSC</v>
      </c>
      <c r="E2818" s="1" t="str">
        <f>HYPERLINK("http://www.ncbi.nlm.nih.gov/gene/?term=GINS2","NCBI")</f>
        <v>NCBI</v>
      </c>
      <c r="F2818">
        <v>1.4999999999999999E-2</v>
      </c>
      <c r="G2818">
        <v>8.7999999999999995E-2</v>
      </c>
      <c r="H2818" s="1" t="str">
        <f>HYPERLINK("http://www.weizmann.ac.il/complex/compphys/software/geview/data/figures/221521_s_at.png","Figure")</f>
        <v>Figure</v>
      </c>
      <c r="I2818">
        <v>1.45</v>
      </c>
      <c r="J2818">
        <v>0.13</v>
      </c>
      <c r="K2818">
        <v>1.7</v>
      </c>
      <c r="L2818">
        <v>1.2E-2</v>
      </c>
      <c r="M2818">
        <v>1.17</v>
      </c>
      <c r="N2818">
        <v>0.61</v>
      </c>
    </row>
    <row r="2819" spans="1:14" x14ac:dyDescent="0.25">
      <c r="A2819" t="s">
        <v>5190</v>
      </c>
      <c r="B2819" t="s">
        <v>5191</v>
      </c>
      <c r="C2819" s="1" t="str">
        <f>HYPERLINK("http://www.genecards.org/cgi-bin/carddisp.pl?gene=TIMM17B","GeneCards")</f>
        <v>GeneCards</v>
      </c>
      <c r="D2819" s="1" t="str">
        <f>HYPERLINK("http://genome-euro.ucsc.edu/cgi-bin/hgTracks?position=203342_at","UCSC")</f>
        <v>UCSC</v>
      </c>
      <c r="E2819" s="1" t="str">
        <f>HYPERLINK("http://www.ncbi.nlm.nih.gov/gene/?term=TIMM17B","NCBI")</f>
        <v>NCBI</v>
      </c>
      <c r="F2819">
        <v>1.4999999999999999E-2</v>
      </c>
      <c r="G2819">
        <v>8.7999999999999995E-2</v>
      </c>
      <c r="H2819" s="1" t="str">
        <f>HYPERLINK("http://www.weizmann.ac.il/complex/compphys/software/geview/data/figures/203342_at.png","Figure")</f>
        <v>Figure</v>
      </c>
      <c r="I2819">
        <v>1.04</v>
      </c>
      <c r="J2819">
        <v>0.83</v>
      </c>
      <c r="K2819">
        <v>1.23</v>
      </c>
      <c r="L2819">
        <v>1.7000000000000001E-2</v>
      </c>
      <c r="M2819">
        <v>1.18</v>
      </c>
      <c r="N2819">
        <v>7.9000000000000001E-2</v>
      </c>
    </row>
    <row r="2820" spans="1:14" x14ac:dyDescent="0.25">
      <c r="A2820" t="s">
        <v>5192</v>
      </c>
      <c r="B2820" t="s">
        <v>5193</v>
      </c>
      <c r="C2820" s="1" t="str">
        <f>HYPERLINK("http://www.genecards.org/cgi-bin/carddisp.pl?gene=SERTAD3","GeneCards")</f>
        <v>GeneCards</v>
      </c>
      <c r="D2820" s="1" t="str">
        <f>HYPERLINK("http://genome-euro.ucsc.edu/cgi-bin/hgTracks?position=219382_at","UCSC")</f>
        <v>UCSC</v>
      </c>
      <c r="E2820" s="1" t="str">
        <f>HYPERLINK("http://www.ncbi.nlm.nih.gov/gene/?term=SERTAD3","NCBI")</f>
        <v>NCBI</v>
      </c>
      <c r="F2820">
        <v>1.4999999999999999E-2</v>
      </c>
      <c r="G2820">
        <v>8.7999999999999995E-2</v>
      </c>
      <c r="H2820" s="1" t="str">
        <f>HYPERLINK("http://www.weizmann.ac.il/complex/compphys/software/geview/data/figures/219382_at.png","Figure")</f>
        <v>Figure</v>
      </c>
      <c r="I2820">
        <v>1.23</v>
      </c>
      <c r="J2820">
        <v>0.11</v>
      </c>
      <c r="K2820">
        <v>0.90800000000000003</v>
      </c>
      <c r="L2820">
        <v>0.49</v>
      </c>
      <c r="M2820">
        <v>0.73899999999999999</v>
      </c>
      <c r="N2820">
        <v>1.0999999999999999E-2</v>
      </c>
    </row>
    <row r="2821" spans="1:14" x14ac:dyDescent="0.25">
      <c r="A2821" t="s">
        <v>5194</v>
      </c>
      <c r="B2821" t="s">
        <v>5195</v>
      </c>
      <c r="C2821" s="1" t="str">
        <f>HYPERLINK("http://www.genecards.org/cgi-bin/carddisp.pl?gene=CTSO","GeneCards")</f>
        <v>GeneCards</v>
      </c>
      <c r="D2821" s="1" t="str">
        <f>HYPERLINK("http://genome-euro.ucsc.edu/cgi-bin/hgTracks?position=203758_at","UCSC")</f>
        <v>UCSC</v>
      </c>
      <c r="E2821" s="1" t="str">
        <f>HYPERLINK("http://www.ncbi.nlm.nih.gov/gene/?term=CTSO","NCBI")</f>
        <v>NCBI</v>
      </c>
      <c r="F2821">
        <v>1.4999999999999999E-2</v>
      </c>
      <c r="G2821">
        <v>8.7999999999999995E-2</v>
      </c>
      <c r="H2821" s="1" t="str">
        <f>HYPERLINK("http://www.weizmann.ac.il/complex/compphys/software/geview/data/figures/203758_at.png","Figure")</f>
        <v>Figure</v>
      </c>
      <c r="I2821">
        <v>0.622</v>
      </c>
      <c r="J2821">
        <v>0.11</v>
      </c>
      <c r="K2821">
        <v>1.25</v>
      </c>
      <c r="L2821">
        <v>0.48</v>
      </c>
      <c r="M2821">
        <v>2.0099999999999998</v>
      </c>
      <c r="N2821">
        <v>1.0999999999999999E-2</v>
      </c>
    </row>
    <row r="2822" spans="1:14" x14ac:dyDescent="0.25">
      <c r="A2822" t="s">
        <v>5196</v>
      </c>
      <c r="B2822" t="s">
        <v>5197</v>
      </c>
      <c r="C2822" s="1" t="str">
        <f>HYPERLINK("http://www.genecards.org/cgi-bin/carddisp.pl?gene=C7orf68","GeneCards")</f>
        <v>GeneCards</v>
      </c>
      <c r="D2822" s="1" t="str">
        <f>HYPERLINK("http://genome-euro.ucsc.edu/cgi-bin/hgTracks?position=218507_at","UCSC")</f>
        <v>UCSC</v>
      </c>
      <c r="E2822" s="1" t="str">
        <f>HYPERLINK("http://www.ncbi.nlm.nih.gov/gene/?term=C7orf68","NCBI")</f>
        <v>NCBI</v>
      </c>
      <c r="F2822">
        <v>1.4999999999999999E-2</v>
      </c>
      <c r="G2822">
        <v>8.7999999999999995E-2</v>
      </c>
      <c r="H2822" s="1" t="str">
        <f>HYPERLINK("http://www.weizmann.ac.il/complex/compphys/software/geview/data/figures/218507_at.png","Figure")</f>
        <v>Figure</v>
      </c>
      <c r="I2822">
        <v>1.1599999999999999</v>
      </c>
      <c r="J2822">
        <v>0.37</v>
      </c>
      <c r="K2822">
        <v>0.83599999999999997</v>
      </c>
      <c r="L2822">
        <v>0.15</v>
      </c>
      <c r="M2822">
        <v>0.72299999999999998</v>
      </c>
      <c r="N2822">
        <v>1.2999999999999999E-2</v>
      </c>
    </row>
    <row r="2823" spans="1:14" x14ac:dyDescent="0.25">
      <c r="A2823" t="s">
        <v>5198</v>
      </c>
      <c r="B2823" t="s">
        <v>5199</v>
      </c>
      <c r="C2823" s="1" t="str">
        <f>HYPERLINK("http://www.genecards.org/cgi-bin/carddisp.pl?gene=ZNF771","GeneCards")</f>
        <v>GeneCards</v>
      </c>
      <c r="D2823" s="1" t="str">
        <f>HYPERLINK("http://genome-euro.ucsc.edu/cgi-bin/hgTracks?position=219781_s_at","UCSC")</f>
        <v>UCSC</v>
      </c>
      <c r="E2823" s="1" t="str">
        <f>HYPERLINK("http://www.ncbi.nlm.nih.gov/gene/?term=ZNF771","NCBI")</f>
        <v>NCBI</v>
      </c>
      <c r="F2823">
        <v>1.4999999999999999E-2</v>
      </c>
      <c r="G2823">
        <v>8.7999999999999995E-2</v>
      </c>
      <c r="H2823" s="1" t="str">
        <f>HYPERLINK("http://www.weizmann.ac.il/complex/compphys/software/geview/data/figures/219781_s_at.png","Figure")</f>
        <v>Figure</v>
      </c>
      <c r="I2823">
        <v>1.24</v>
      </c>
      <c r="J2823">
        <v>0.15</v>
      </c>
      <c r="K2823">
        <v>1.37</v>
      </c>
      <c r="L2823">
        <v>1.2E-2</v>
      </c>
      <c r="M2823">
        <v>1.1100000000000001</v>
      </c>
      <c r="N2823">
        <v>0.56000000000000005</v>
      </c>
    </row>
    <row r="2824" spans="1:14" x14ac:dyDescent="0.25">
      <c r="A2824" t="s">
        <v>5200</v>
      </c>
      <c r="B2824" t="s">
        <v>5201</v>
      </c>
      <c r="C2824" s="1" t="str">
        <f>HYPERLINK("http://www.genecards.org/cgi-bin/carddisp.pl?gene=SDHAF1","GeneCards")</f>
        <v>GeneCards</v>
      </c>
      <c r="D2824" s="1" t="str">
        <f>HYPERLINK("http://genome-euro.ucsc.edu/cgi-bin/hgTracks?position=221855_at","UCSC")</f>
        <v>UCSC</v>
      </c>
      <c r="E2824" s="1" t="str">
        <f>HYPERLINK("http://www.ncbi.nlm.nih.gov/gene/?term=SDHAF1","NCBI")</f>
        <v>NCBI</v>
      </c>
      <c r="F2824">
        <v>1.4999999999999999E-2</v>
      </c>
      <c r="G2824">
        <v>8.7999999999999995E-2</v>
      </c>
      <c r="H2824" s="1" t="str">
        <f>HYPERLINK("http://www.weizmann.ac.il/complex/compphys/software/geview/data/figures/221855_at.png","Figure")</f>
        <v>Figure</v>
      </c>
      <c r="I2824">
        <v>1.38</v>
      </c>
      <c r="J2824">
        <v>1.2E-2</v>
      </c>
      <c r="K2824">
        <v>1.19</v>
      </c>
      <c r="L2824">
        <v>0.13</v>
      </c>
      <c r="M2824">
        <v>0.86199999999999999</v>
      </c>
      <c r="N2824">
        <v>0.24</v>
      </c>
    </row>
    <row r="2825" spans="1:14" x14ac:dyDescent="0.25">
      <c r="A2825" t="s">
        <v>5202</v>
      </c>
      <c r="B2825" t="s">
        <v>5203</v>
      </c>
      <c r="C2825" s="1" t="str">
        <f>HYPERLINK("http://www.genecards.org/cgi-bin/carddisp.pl?gene=UCHL1","GeneCards")</f>
        <v>GeneCards</v>
      </c>
      <c r="D2825" s="1" t="str">
        <f>HYPERLINK("http://genome-euro.ucsc.edu/cgi-bin/hgTracks?position=201387_s_at","UCSC")</f>
        <v>UCSC</v>
      </c>
      <c r="E2825" s="1" t="str">
        <f>HYPERLINK("http://www.ncbi.nlm.nih.gov/gene/?term=UCHL1","NCBI")</f>
        <v>NCBI</v>
      </c>
      <c r="F2825">
        <v>1.4999999999999999E-2</v>
      </c>
      <c r="G2825">
        <v>8.7999999999999995E-2</v>
      </c>
      <c r="H2825" s="1" t="str">
        <f>HYPERLINK("http://www.weizmann.ac.il/complex/compphys/software/geview/data/figures/201387_s_at.png","Figure")</f>
        <v>Figure</v>
      </c>
      <c r="I2825">
        <v>1.24</v>
      </c>
      <c r="J2825">
        <v>2.7E-2</v>
      </c>
      <c r="K2825">
        <v>1.21</v>
      </c>
      <c r="L2825">
        <v>2.5000000000000001E-2</v>
      </c>
      <c r="M2825">
        <v>0.97599999999999998</v>
      </c>
      <c r="N2825">
        <v>0.93</v>
      </c>
    </row>
    <row r="2826" spans="1:14" x14ac:dyDescent="0.25">
      <c r="A2826" t="s">
        <v>5204</v>
      </c>
      <c r="B2826" t="s">
        <v>5205</v>
      </c>
      <c r="C2826" s="1" t="str">
        <f>HYPERLINK("http://www.genecards.org/cgi-bin/carddisp.pl?gene=PPP2R4","GeneCards")</f>
        <v>GeneCards</v>
      </c>
      <c r="D2826" s="1" t="str">
        <f>HYPERLINK("http://genome-euro.ucsc.edu/cgi-bin/hgTracks?position=216105_x_at","UCSC")</f>
        <v>UCSC</v>
      </c>
      <c r="E2826" s="1" t="str">
        <f>HYPERLINK("http://www.ncbi.nlm.nih.gov/gene/?term=PPP2R4","NCBI")</f>
        <v>NCBI</v>
      </c>
      <c r="F2826">
        <v>1.4999999999999999E-2</v>
      </c>
      <c r="G2826">
        <v>8.7999999999999995E-2</v>
      </c>
      <c r="H2826" s="1" t="str">
        <f>HYPERLINK("http://www.weizmann.ac.il/complex/compphys/software/geview/data/figures/216105_x_at.png","Figure")</f>
        <v>Figure</v>
      </c>
      <c r="I2826">
        <v>1.3</v>
      </c>
      <c r="J2826">
        <v>0.03</v>
      </c>
      <c r="K2826">
        <v>1.27</v>
      </c>
      <c r="L2826">
        <v>2.3E-2</v>
      </c>
      <c r="M2826">
        <v>0.97799999999999998</v>
      </c>
      <c r="N2826">
        <v>0.96</v>
      </c>
    </row>
    <row r="2827" spans="1:14" x14ac:dyDescent="0.25">
      <c r="A2827" t="s">
        <v>5206</v>
      </c>
      <c r="B2827" t="s">
        <v>5207</v>
      </c>
      <c r="C2827" s="1" t="str">
        <f>HYPERLINK("http://www.genecards.org/cgi-bin/carddisp.pl?gene=THOC2","GeneCards")</f>
        <v>GeneCards</v>
      </c>
      <c r="D2827" s="1" t="str">
        <f>HYPERLINK("http://genome-euro.ucsc.edu/cgi-bin/hgTracks?position=222122_s_at","UCSC")</f>
        <v>UCSC</v>
      </c>
      <c r="E2827" s="1" t="str">
        <f>HYPERLINK("http://www.ncbi.nlm.nih.gov/gene/?term=THOC2","NCBI")</f>
        <v>NCBI</v>
      </c>
      <c r="F2827">
        <v>1.4999999999999999E-2</v>
      </c>
      <c r="G2827">
        <v>8.7999999999999995E-2</v>
      </c>
      <c r="H2827" s="1" t="str">
        <f>HYPERLINK("http://www.weizmann.ac.il/complex/compphys/software/geview/data/figures/222122_s_at.png","Figure")</f>
        <v>Figure</v>
      </c>
      <c r="I2827">
        <v>0.57699999999999996</v>
      </c>
      <c r="J2827">
        <v>1.2999999999999999E-2</v>
      </c>
      <c r="K2827">
        <v>0.85699999999999998</v>
      </c>
      <c r="L2827">
        <v>0.54</v>
      </c>
      <c r="M2827">
        <v>1.49</v>
      </c>
      <c r="N2827">
        <v>5.3999999999999999E-2</v>
      </c>
    </row>
    <row r="2828" spans="1:14" x14ac:dyDescent="0.25">
      <c r="A2828" t="s">
        <v>5208</v>
      </c>
      <c r="B2828" t="s">
        <v>2172</v>
      </c>
      <c r="C2828" s="1" t="str">
        <f>HYPERLINK("http://www.genecards.org/cgi-bin/carddisp.pl?gene=MPZL1","GeneCards")</f>
        <v>GeneCards</v>
      </c>
      <c r="D2828" s="1" t="str">
        <f>HYPERLINK("http://genome-euro.ucsc.edu/cgi-bin/hgTracks?position=210210_at","UCSC")</f>
        <v>UCSC</v>
      </c>
      <c r="E2828" s="1" t="str">
        <f>HYPERLINK("http://www.ncbi.nlm.nih.gov/gene/?term=MPZL1","NCBI")</f>
        <v>NCBI</v>
      </c>
      <c r="F2828">
        <v>1.4999999999999999E-2</v>
      </c>
      <c r="G2828">
        <v>8.7999999999999995E-2</v>
      </c>
      <c r="H2828" s="1" t="str">
        <f>HYPERLINK("http://www.weizmann.ac.il/complex/compphys/software/geview/data/figures/210210_at.png","Figure")</f>
        <v>Figure</v>
      </c>
      <c r="I2828">
        <v>1.56</v>
      </c>
      <c r="J2828">
        <v>4.5999999999999999E-2</v>
      </c>
      <c r="K2828">
        <v>1.59</v>
      </c>
      <c r="L2828">
        <v>1.7000000000000001E-2</v>
      </c>
      <c r="M2828">
        <v>1.02</v>
      </c>
      <c r="N2828">
        <v>0.99</v>
      </c>
    </row>
    <row r="2829" spans="1:14" x14ac:dyDescent="0.25">
      <c r="A2829" t="s">
        <v>5209</v>
      </c>
      <c r="B2829" t="s">
        <v>5210</v>
      </c>
      <c r="C2829" s="1" t="str">
        <f>HYPERLINK("http://www.genecards.org/cgi-bin/carddisp.pl?gene=SLC38A1","GeneCards")</f>
        <v>GeneCards</v>
      </c>
      <c r="D2829" s="1" t="str">
        <f>HYPERLINK("http://genome-euro.ucsc.edu/cgi-bin/hgTracks?position=218237_s_at","UCSC")</f>
        <v>UCSC</v>
      </c>
      <c r="E2829" s="1" t="str">
        <f>HYPERLINK("http://www.ncbi.nlm.nih.gov/gene/?term=SLC38A1","NCBI")</f>
        <v>NCBI</v>
      </c>
      <c r="F2829">
        <v>1.4999999999999999E-2</v>
      </c>
      <c r="G2829">
        <v>8.7999999999999995E-2</v>
      </c>
      <c r="H2829" s="1" t="str">
        <f>HYPERLINK("http://www.weizmann.ac.il/complex/compphys/software/geview/data/figures/218237_s_at.png","Figure")</f>
        <v>Figure</v>
      </c>
      <c r="I2829">
        <v>0.61599999999999999</v>
      </c>
      <c r="J2829">
        <v>1.9E-2</v>
      </c>
      <c r="K2829">
        <v>0.93899999999999995</v>
      </c>
      <c r="L2829">
        <v>0.88</v>
      </c>
      <c r="M2829">
        <v>1.52</v>
      </c>
      <c r="N2829">
        <v>2.8000000000000001E-2</v>
      </c>
    </row>
    <row r="2830" spans="1:14" x14ac:dyDescent="0.25">
      <c r="A2830" t="s">
        <v>5211</v>
      </c>
      <c r="B2830" t="s">
        <v>5212</v>
      </c>
      <c r="C2830" s="1" t="str">
        <f>HYPERLINK("http://www.genecards.org/cgi-bin/carddisp.pl?gene=SNIP1","GeneCards")</f>
        <v>GeneCards</v>
      </c>
      <c r="D2830" s="1" t="str">
        <f>HYPERLINK("http://genome-euro.ucsc.edu/cgi-bin/hgTracks?position=219409_at","UCSC")</f>
        <v>UCSC</v>
      </c>
      <c r="E2830" s="1" t="str">
        <f>HYPERLINK("http://www.ncbi.nlm.nih.gov/gene/?term=SNIP1","NCBI")</f>
        <v>NCBI</v>
      </c>
      <c r="F2830">
        <v>1.4999999999999999E-2</v>
      </c>
      <c r="G2830">
        <v>8.7999999999999995E-2</v>
      </c>
      <c r="H2830" s="1" t="str">
        <f>HYPERLINK("http://www.weizmann.ac.il/complex/compphys/software/geview/data/figures/219409_at.png","Figure")</f>
        <v>Figure</v>
      </c>
      <c r="I2830">
        <v>1.07</v>
      </c>
      <c r="J2830">
        <v>0.94</v>
      </c>
      <c r="K2830">
        <v>0.58299999999999996</v>
      </c>
      <c r="L2830">
        <v>3.7999999999999999E-2</v>
      </c>
      <c r="M2830">
        <v>0.54300000000000004</v>
      </c>
      <c r="N2830">
        <v>2.8000000000000001E-2</v>
      </c>
    </row>
    <row r="2831" spans="1:14" x14ac:dyDescent="0.25">
      <c r="A2831" t="s">
        <v>5213</v>
      </c>
      <c r="B2831" t="s">
        <v>4948</v>
      </c>
      <c r="C2831" s="1" t="str">
        <f>HYPERLINK("http://www.genecards.org/cgi-bin/carddisp.pl?gene=INTS5","GeneCards")</f>
        <v>GeneCards</v>
      </c>
      <c r="D2831" s="1" t="str">
        <f>HYPERLINK("http://genome-euro.ucsc.edu/cgi-bin/hgTracks?position=221818_at","UCSC")</f>
        <v>UCSC</v>
      </c>
      <c r="E2831" s="1" t="str">
        <f>HYPERLINK("http://www.ncbi.nlm.nih.gov/gene/?term=INTS5","NCBI")</f>
        <v>NCBI</v>
      </c>
      <c r="F2831">
        <v>1.4999999999999999E-2</v>
      </c>
      <c r="G2831">
        <v>8.7999999999999995E-2</v>
      </c>
      <c r="H2831" s="1" t="str">
        <f>HYPERLINK("http://www.weizmann.ac.il/complex/compphys/software/geview/data/figures/221818_at.png","Figure")</f>
        <v>Figure</v>
      </c>
      <c r="I2831">
        <v>1.31</v>
      </c>
      <c r="J2831">
        <v>1.2999999999999999E-2</v>
      </c>
      <c r="K2831">
        <v>1.07</v>
      </c>
      <c r="L2831">
        <v>0.57999999999999996</v>
      </c>
      <c r="M2831">
        <v>0.81899999999999995</v>
      </c>
      <c r="N2831">
        <v>0.05</v>
      </c>
    </row>
    <row r="2832" spans="1:14" x14ac:dyDescent="0.25">
      <c r="A2832" t="s">
        <v>5214</v>
      </c>
      <c r="B2832" t="s">
        <v>5215</v>
      </c>
      <c r="C2832" s="1" t="str">
        <f>HYPERLINK("http://www.genecards.org/cgi-bin/carddisp.pl?gene=ECE1","GeneCards")</f>
        <v>GeneCards</v>
      </c>
      <c r="D2832" s="1" t="str">
        <f>HYPERLINK("http://genome-euro.ucsc.edu/cgi-bin/hgTracks?position=201750_s_at","UCSC")</f>
        <v>UCSC</v>
      </c>
      <c r="E2832" s="1" t="str">
        <f>HYPERLINK("http://www.ncbi.nlm.nih.gov/gene/?term=ECE1","NCBI")</f>
        <v>NCBI</v>
      </c>
      <c r="F2832">
        <v>1.4999999999999999E-2</v>
      </c>
      <c r="G2832">
        <v>8.7999999999999995E-2</v>
      </c>
      <c r="H2832" s="1" t="str">
        <f>HYPERLINK("http://www.weizmann.ac.il/complex/compphys/software/geview/data/figures/201750_s_at.png","Figure")</f>
        <v>Figure</v>
      </c>
      <c r="I2832">
        <v>1.57</v>
      </c>
      <c r="J2832">
        <v>1.2E-2</v>
      </c>
      <c r="K2832">
        <v>1.28</v>
      </c>
      <c r="L2832">
        <v>0.12</v>
      </c>
      <c r="M2832">
        <v>0.81499999999999995</v>
      </c>
      <c r="N2832">
        <v>0.26</v>
      </c>
    </row>
    <row r="2833" spans="1:14" x14ac:dyDescent="0.25">
      <c r="A2833" t="s">
        <v>5216</v>
      </c>
      <c r="B2833" t="s">
        <v>5217</v>
      </c>
      <c r="C2833" s="1" t="str">
        <f>HYPERLINK("http://www.genecards.org/cgi-bin/carddisp.pl?gene=HTATIP2","GeneCards")</f>
        <v>GeneCards</v>
      </c>
      <c r="D2833" s="1" t="str">
        <f>HYPERLINK("http://genome-euro.ucsc.edu/cgi-bin/hgTracks?position=209448_at","UCSC")</f>
        <v>UCSC</v>
      </c>
      <c r="E2833" s="1" t="str">
        <f>HYPERLINK("http://www.ncbi.nlm.nih.gov/gene/?term=HTATIP2","NCBI")</f>
        <v>NCBI</v>
      </c>
      <c r="F2833">
        <v>1.4999999999999999E-2</v>
      </c>
      <c r="G2833">
        <v>8.7999999999999995E-2</v>
      </c>
      <c r="H2833" s="1" t="str">
        <f>HYPERLINK("http://www.weizmann.ac.il/complex/compphys/software/geview/data/figures/209448_at.png","Figure")</f>
        <v>Figure</v>
      </c>
      <c r="I2833">
        <v>0.64700000000000002</v>
      </c>
      <c r="J2833">
        <v>8.4000000000000005E-2</v>
      </c>
      <c r="K2833">
        <v>1.17</v>
      </c>
      <c r="L2833">
        <v>0.6</v>
      </c>
      <c r="M2833">
        <v>1.81</v>
      </c>
      <c r="N2833">
        <v>1.2E-2</v>
      </c>
    </row>
    <row r="2834" spans="1:14" x14ac:dyDescent="0.25">
      <c r="A2834" t="s">
        <v>5218</v>
      </c>
      <c r="B2834" t="s">
        <v>5219</v>
      </c>
      <c r="C2834" s="1" t="str">
        <f>HYPERLINK("http://www.genecards.org/cgi-bin/carddisp.pl?gene=NCOR2","GeneCards")</f>
        <v>GeneCards</v>
      </c>
      <c r="D2834" s="1" t="str">
        <f>HYPERLINK("http://genome-euro.ucsc.edu/cgi-bin/hgTracks?position=208888_s_at","UCSC")</f>
        <v>UCSC</v>
      </c>
      <c r="E2834" s="1" t="str">
        <f>HYPERLINK("http://www.ncbi.nlm.nih.gov/gene/?term=NCOR2","NCBI")</f>
        <v>NCBI</v>
      </c>
      <c r="F2834">
        <v>1.4999999999999999E-2</v>
      </c>
      <c r="G2834">
        <v>8.7999999999999995E-2</v>
      </c>
      <c r="H2834" s="1" t="str">
        <f>HYPERLINK("http://www.weizmann.ac.il/complex/compphys/software/geview/data/figures/208888_s_at.png","Figure")</f>
        <v>Figure</v>
      </c>
      <c r="I2834">
        <v>1.29</v>
      </c>
      <c r="J2834">
        <v>1.2E-2</v>
      </c>
      <c r="K2834">
        <v>1.0900000000000001</v>
      </c>
      <c r="L2834">
        <v>0.43</v>
      </c>
      <c r="M2834">
        <v>0.84199999999999997</v>
      </c>
      <c r="N2834">
        <v>7.0999999999999994E-2</v>
      </c>
    </row>
    <row r="2835" spans="1:14" x14ac:dyDescent="0.25">
      <c r="A2835" t="s">
        <v>5220</v>
      </c>
      <c r="B2835" t="s">
        <v>1061</v>
      </c>
      <c r="C2835" s="1" t="str">
        <f>HYPERLINK("http://www.genecards.org/cgi-bin/carddisp.pl?gene=GPR153","GeneCards")</f>
        <v>GeneCards</v>
      </c>
      <c r="D2835" s="1" t="str">
        <f>HYPERLINK("http://genome-euro.ucsc.edu/cgi-bin/hgTracks?position=64942_at","UCSC")</f>
        <v>UCSC</v>
      </c>
      <c r="E2835" s="1" t="str">
        <f>HYPERLINK("http://www.ncbi.nlm.nih.gov/gene/?term=GPR153","NCBI")</f>
        <v>NCBI</v>
      </c>
      <c r="F2835">
        <v>1.4999999999999999E-2</v>
      </c>
      <c r="G2835">
        <v>8.8999999999999996E-2</v>
      </c>
      <c r="H2835" s="1" t="str">
        <f>HYPERLINK("http://www.weizmann.ac.il/complex/compphys/software/geview/data/figures/64942_at.png","Figure")</f>
        <v>Figure</v>
      </c>
      <c r="I2835">
        <v>1.65</v>
      </c>
      <c r="J2835">
        <v>1.2E-2</v>
      </c>
      <c r="K2835">
        <v>1.2</v>
      </c>
      <c r="L2835">
        <v>0.36</v>
      </c>
      <c r="M2835">
        <v>0.72799999999999998</v>
      </c>
      <c r="N2835">
        <v>8.6999999999999994E-2</v>
      </c>
    </row>
    <row r="2836" spans="1:14" x14ac:dyDescent="0.25">
      <c r="A2836" t="s">
        <v>5221</v>
      </c>
      <c r="B2836" t="s">
        <v>2545</v>
      </c>
      <c r="C2836" s="1" t="str">
        <f>HYPERLINK("http://www.genecards.org/cgi-bin/carddisp.pl?gene=SRRT","GeneCards")</f>
        <v>GeneCards</v>
      </c>
      <c r="D2836" s="1" t="str">
        <f>HYPERLINK("http://genome-euro.ucsc.edu/cgi-bin/hgTracks?position=201680_x_at","UCSC")</f>
        <v>UCSC</v>
      </c>
      <c r="E2836" s="1" t="str">
        <f>HYPERLINK("http://www.ncbi.nlm.nih.gov/gene/?term=SRRT","NCBI")</f>
        <v>NCBI</v>
      </c>
      <c r="F2836">
        <v>1.4999999999999999E-2</v>
      </c>
      <c r="G2836">
        <v>8.8999999999999996E-2</v>
      </c>
      <c r="H2836" s="1" t="str">
        <f>HYPERLINK("http://www.weizmann.ac.il/complex/compphys/software/geview/data/figures/201680_x_at.png","Figure")</f>
        <v>Figure</v>
      </c>
      <c r="I2836">
        <v>1.44</v>
      </c>
      <c r="J2836">
        <v>7.3999999999999996E-2</v>
      </c>
      <c r="K2836">
        <v>0.89200000000000002</v>
      </c>
      <c r="L2836">
        <v>0.67</v>
      </c>
      <c r="M2836">
        <v>0.62</v>
      </c>
      <c r="N2836">
        <v>1.2E-2</v>
      </c>
    </row>
    <row r="2837" spans="1:14" x14ac:dyDescent="0.25">
      <c r="A2837" t="s">
        <v>5222</v>
      </c>
      <c r="B2837" t="s">
        <v>5223</v>
      </c>
      <c r="C2837" s="1" t="str">
        <f>HYPERLINK("http://www.genecards.org/cgi-bin/carddisp.pl?gene=C20orf46","GeneCards")</f>
        <v>GeneCards</v>
      </c>
      <c r="D2837" s="1" t="str">
        <f>HYPERLINK("http://genome-euro.ucsc.edu/cgi-bin/hgTracks?position=219958_at","UCSC")</f>
        <v>UCSC</v>
      </c>
      <c r="E2837" s="1" t="str">
        <f>HYPERLINK("http://www.ncbi.nlm.nih.gov/gene/?term=C20orf46","NCBI")</f>
        <v>NCBI</v>
      </c>
      <c r="F2837">
        <v>1.4999999999999999E-2</v>
      </c>
      <c r="G2837">
        <v>8.8999999999999996E-2</v>
      </c>
      <c r="H2837" s="1" t="str">
        <f>HYPERLINK("http://www.weizmann.ac.il/complex/compphys/software/geview/data/figures/219958_at.png","Figure")</f>
        <v>Figure</v>
      </c>
      <c r="I2837">
        <v>1.21</v>
      </c>
      <c r="J2837">
        <v>1.7000000000000001E-2</v>
      </c>
      <c r="K2837">
        <v>1.1399999999999999</v>
      </c>
      <c r="L2837">
        <v>4.8000000000000001E-2</v>
      </c>
      <c r="M2837">
        <v>0.94799999999999995</v>
      </c>
      <c r="N2837">
        <v>0.6</v>
      </c>
    </row>
    <row r="2838" spans="1:14" x14ac:dyDescent="0.25">
      <c r="A2838" t="s">
        <v>5224</v>
      </c>
      <c r="B2838" t="s">
        <v>5225</v>
      </c>
      <c r="C2838" s="1" t="str">
        <f>HYPERLINK("http://www.genecards.org/cgi-bin/carddisp.pl?gene=MEA1","GeneCards")</f>
        <v>GeneCards</v>
      </c>
      <c r="D2838" s="1" t="str">
        <f>HYPERLINK("http://genome-euro.ucsc.edu/cgi-bin/hgTracks?position=218061_at","UCSC")</f>
        <v>UCSC</v>
      </c>
      <c r="E2838" s="1" t="str">
        <f>HYPERLINK("http://www.ncbi.nlm.nih.gov/gene/?term=MEA1","NCBI")</f>
        <v>NCBI</v>
      </c>
      <c r="F2838">
        <v>1.4999999999999999E-2</v>
      </c>
      <c r="G2838">
        <v>8.8999999999999996E-2</v>
      </c>
      <c r="H2838" s="1" t="str">
        <f>HYPERLINK("http://www.weizmann.ac.il/complex/compphys/software/geview/data/figures/218061_at.png","Figure")</f>
        <v>Figure</v>
      </c>
      <c r="I2838">
        <v>0.89400000000000002</v>
      </c>
      <c r="J2838">
        <v>0.84</v>
      </c>
      <c r="K2838">
        <v>1.56</v>
      </c>
      <c r="L2838">
        <v>5.0999999999999997E-2</v>
      </c>
      <c r="M2838">
        <v>1.75</v>
      </c>
      <c r="N2838">
        <v>2.3E-2</v>
      </c>
    </row>
    <row r="2839" spans="1:14" x14ac:dyDescent="0.25">
      <c r="A2839" t="s">
        <v>5226</v>
      </c>
      <c r="B2839" t="s">
        <v>1308</v>
      </c>
      <c r="C2839" s="1" t="str">
        <f>HYPERLINK("http://www.genecards.org/cgi-bin/carddisp.pl?gene=CSDA","GeneCards")</f>
        <v>GeneCards</v>
      </c>
      <c r="D2839" s="1" t="str">
        <f>HYPERLINK("http://genome-euro.ucsc.edu/cgi-bin/hgTracks?position=201161_s_at","UCSC")</f>
        <v>UCSC</v>
      </c>
      <c r="E2839" s="1" t="str">
        <f>HYPERLINK("http://www.ncbi.nlm.nih.gov/gene/?term=CSDA","NCBI")</f>
        <v>NCBI</v>
      </c>
      <c r="F2839">
        <v>1.4999999999999999E-2</v>
      </c>
      <c r="G2839">
        <v>8.8999999999999996E-2</v>
      </c>
      <c r="H2839" s="1" t="str">
        <f>HYPERLINK("http://www.weizmann.ac.il/complex/compphys/software/geview/data/figures/201161_s_at.png","Figure")</f>
        <v>Figure</v>
      </c>
      <c r="I2839">
        <v>0.46100000000000002</v>
      </c>
      <c r="J2839">
        <v>0.16</v>
      </c>
      <c r="K2839">
        <v>0.30599999999999999</v>
      </c>
      <c r="L2839">
        <v>1.2E-2</v>
      </c>
      <c r="M2839">
        <v>0.66400000000000003</v>
      </c>
      <c r="N2839">
        <v>0.53</v>
      </c>
    </row>
    <row r="2840" spans="1:14" x14ac:dyDescent="0.25">
      <c r="A2840" t="s">
        <v>5227</v>
      </c>
      <c r="B2840" t="s">
        <v>5228</v>
      </c>
      <c r="C2840" s="1" t="str">
        <f>HYPERLINK("http://www.genecards.org/cgi-bin/carddisp.pl?gene=CLPP","GeneCards")</f>
        <v>GeneCards</v>
      </c>
      <c r="D2840" s="1" t="str">
        <f>HYPERLINK("http://genome-euro.ucsc.edu/cgi-bin/hgTracks?position=202799_at","UCSC")</f>
        <v>UCSC</v>
      </c>
      <c r="E2840" s="1" t="str">
        <f>HYPERLINK("http://www.ncbi.nlm.nih.gov/gene/?term=CLPP","NCBI")</f>
        <v>NCBI</v>
      </c>
      <c r="F2840">
        <v>1.4999999999999999E-2</v>
      </c>
      <c r="G2840">
        <v>8.8999999999999996E-2</v>
      </c>
      <c r="H2840" s="1" t="str">
        <f>HYPERLINK("http://www.weizmann.ac.il/complex/compphys/software/geview/data/figures/202799_at.png","Figure")</f>
        <v>Figure</v>
      </c>
      <c r="I2840">
        <v>1.02</v>
      </c>
      <c r="J2840">
        <v>0.98</v>
      </c>
      <c r="K2840">
        <v>1.31</v>
      </c>
      <c r="L2840">
        <v>2.4E-2</v>
      </c>
      <c r="M2840">
        <v>1.29</v>
      </c>
      <c r="N2840">
        <v>4.8000000000000001E-2</v>
      </c>
    </row>
    <row r="2841" spans="1:14" x14ac:dyDescent="0.25">
      <c r="A2841" t="s">
        <v>5229</v>
      </c>
      <c r="B2841" t="s">
        <v>5230</v>
      </c>
      <c r="C2841" s="1" t="str">
        <f>HYPERLINK("http://www.genecards.org/cgi-bin/carddisp.pl?gene=OASL","GeneCards")</f>
        <v>GeneCards</v>
      </c>
      <c r="D2841" s="1" t="str">
        <f>HYPERLINK("http://genome-euro.ucsc.edu/cgi-bin/hgTracks?position=205660_at","UCSC")</f>
        <v>UCSC</v>
      </c>
      <c r="E2841" s="1" t="str">
        <f>HYPERLINK("http://www.ncbi.nlm.nih.gov/gene/?term=OASL","NCBI")</f>
        <v>NCBI</v>
      </c>
      <c r="F2841">
        <v>1.4999999999999999E-2</v>
      </c>
      <c r="G2841">
        <v>8.8999999999999996E-2</v>
      </c>
      <c r="H2841" s="1" t="str">
        <f>HYPERLINK("http://www.weizmann.ac.il/complex/compphys/software/geview/data/figures/205660_at.png","Figure")</f>
        <v>Figure</v>
      </c>
      <c r="I2841">
        <v>1.33</v>
      </c>
      <c r="J2841">
        <v>2.5000000000000001E-2</v>
      </c>
      <c r="K2841">
        <v>1.01</v>
      </c>
      <c r="L2841">
        <v>0.99</v>
      </c>
      <c r="M2841">
        <v>0.75900000000000001</v>
      </c>
      <c r="N2841">
        <v>0.02</v>
      </c>
    </row>
    <row r="2842" spans="1:14" x14ac:dyDescent="0.25">
      <c r="A2842" t="s">
        <v>5231</v>
      </c>
      <c r="B2842" t="s">
        <v>5232</v>
      </c>
      <c r="C2842" s="1" t="str">
        <f>HYPERLINK("http://www.genecards.org/cgi-bin/carddisp.pl?gene=FUBP3","GeneCards")</f>
        <v>GeneCards</v>
      </c>
      <c r="D2842" s="1" t="str">
        <f>HYPERLINK("http://genome-euro.ucsc.edu/cgi-bin/hgTracks?position=212824_at","UCSC")</f>
        <v>UCSC</v>
      </c>
      <c r="E2842" s="1" t="str">
        <f>HYPERLINK("http://www.ncbi.nlm.nih.gov/gene/?term=FUBP3","NCBI")</f>
        <v>NCBI</v>
      </c>
      <c r="F2842">
        <v>1.4999999999999999E-2</v>
      </c>
      <c r="G2842">
        <v>8.8999999999999996E-2</v>
      </c>
      <c r="H2842" s="1" t="str">
        <f>HYPERLINK("http://www.weizmann.ac.il/complex/compphys/software/geview/data/figures/212824_at.png","Figure")</f>
        <v>Figure</v>
      </c>
      <c r="I2842">
        <v>0.47399999999999998</v>
      </c>
      <c r="J2842">
        <v>1.2E-2</v>
      </c>
      <c r="K2842">
        <v>0.751</v>
      </c>
      <c r="L2842">
        <v>0.32</v>
      </c>
      <c r="M2842">
        <v>1.58</v>
      </c>
      <c r="N2842">
        <v>9.8000000000000004E-2</v>
      </c>
    </row>
    <row r="2843" spans="1:14" x14ac:dyDescent="0.25">
      <c r="A2843" t="s">
        <v>5233</v>
      </c>
      <c r="B2843" t="s">
        <v>5234</v>
      </c>
      <c r="C2843" s="1" t="str">
        <f>HYPERLINK("http://www.genecards.org/cgi-bin/carddisp.pl?gene=SLC43A1","GeneCards")</f>
        <v>GeneCards</v>
      </c>
      <c r="D2843" s="1" t="str">
        <f>HYPERLINK("http://genome-euro.ucsc.edu/cgi-bin/hgTracks?position=204394_at","UCSC")</f>
        <v>UCSC</v>
      </c>
      <c r="E2843" s="1" t="str">
        <f>HYPERLINK("http://www.ncbi.nlm.nih.gov/gene/?term=SLC43A1","NCBI")</f>
        <v>NCBI</v>
      </c>
      <c r="F2843">
        <v>1.4999999999999999E-2</v>
      </c>
      <c r="G2843">
        <v>8.8999999999999996E-2</v>
      </c>
      <c r="H2843" s="1" t="str">
        <f>HYPERLINK("http://www.weizmann.ac.il/complex/compphys/software/geview/data/figures/204394_at.png","Figure")</f>
        <v>Figure</v>
      </c>
      <c r="I2843">
        <v>1.43</v>
      </c>
      <c r="J2843">
        <v>1.7000000000000001E-2</v>
      </c>
      <c r="K2843">
        <v>1.3</v>
      </c>
      <c r="L2843">
        <v>4.7E-2</v>
      </c>
      <c r="M2843">
        <v>0.90500000000000003</v>
      </c>
      <c r="N2843">
        <v>0.61</v>
      </c>
    </row>
    <row r="2844" spans="1:14" x14ac:dyDescent="0.25">
      <c r="A2844" t="s">
        <v>5235</v>
      </c>
      <c r="B2844" t="s">
        <v>5236</v>
      </c>
      <c r="C2844" s="1" t="str">
        <f>HYPERLINK("http://www.genecards.org/cgi-bin/carddisp.pl?gene=CTSG","GeneCards")</f>
        <v>GeneCards</v>
      </c>
      <c r="D2844" s="1" t="str">
        <f>HYPERLINK("http://genome-euro.ucsc.edu/cgi-bin/hgTracks?position=205653_at","UCSC")</f>
        <v>UCSC</v>
      </c>
      <c r="E2844" s="1" t="str">
        <f>HYPERLINK("http://www.ncbi.nlm.nih.gov/gene/?term=CTSG","NCBI")</f>
        <v>NCBI</v>
      </c>
      <c r="F2844">
        <v>1.4999999999999999E-2</v>
      </c>
      <c r="G2844">
        <v>8.8999999999999996E-2</v>
      </c>
      <c r="H2844" s="1" t="str">
        <f>HYPERLINK("http://www.weizmann.ac.il/complex/compphys/software/geview/data/figures/205653_at.png","Figure")</f>
        <v>Figure</v>
      </c>
      <c r="I2844">
        <v>1.28</v>
      </c>
      <c r="J2844">
        <v>2.1999999999999999E-2</v>
      </c>
      <c r="K2844">
        <v>1.22</v>
      </c>
      <c r="L2844">
        <v>3.2000000000000001E-2</v>
      </c>
      <c r="M2844">
        <v>0.95599999999999996</v>
      </c>
      <c r="N2844">
        <v>0.82</v>
      </c>
    </row>
    <row r="2845" spans="1:14" x14ac:dyDescent="0.25">
      <c r="A2845" t="s">
        <v>5237</v>
      </c>
      <c r="B2845" t="s">
        <v>5238</v>
      </c>
      <c r="C2845" s="1" t="str">
        <f>HYPERLINK("http://www.genecards.org/cgi-bin/carddisp.pl?gene=MAN2C1","GeneCards")</f>
        <v>GeneCards</v>
      </c>
      <c r="D2845" s="1" t="str">
        <f>HYPERLINK("http://genome-euro.ucsc.edu/cgi-bin/hgTracks?position=203668_at","UCSC")</f>
        <v>UCSC</v>
      </c>
      <c r="E2845" s="1" t="str">
        <f>HYPERLINK("http://www.ncbi.nlm.nih.gov/gene/?term=MAN2C1","NCBI")</f>
        <v>NCBI</v>
      </c>
      <c r="F2845">
        <v>1.4999999999999999E-2</v>
      </c>
      <c r="G2845">
        <v>8.8999999999999996E-2</v>
      </c>
      <c r="H2845" s="1" t="str">
        <f>HYPERLINK("http://www.weizmann.ac.il/complex/compphys/software/geview/data/figures/203668_at.png","Figure")</f>
        <v>Figure</v>
      </c>
      <c r="I2845">
        <v>1.46</v>
      </c>
      <c r="J2845">
        <v>0.06</v>
      </c>
      <c r="K2845">
        <v>0.91100000000000003</v>
      </c>
      <c r="L2845">
        <v>0.76</v>
      </c>
      <c r="M2845">
        <v>0.622</v>
      </c>
      <c r="N2845">
        <v>1.2999999999999999E-2</v>
      </c>
    </row>
    <row r="2846" spans="1:14" x14ac:dyDescent="0.25">
      <c r="A2846" t="s">
        <v>5239</v>
      </c>
      <c r="B2846" t="s">
        <v>5240</v>
      </c>
      <c r="C2846" s="1" t="str">
        <f>HYPERLINK("http://www.genecards.org/cgi-bin/carddisp.pl?gene=PITPNM1","GeneCards")</f>
        <v>GeneCards</v>
      </c>
      <c r="D2846" s="1" t="str">
        <f>HYPERLINK("http://genome-euro.ucsc.edu/cgi-bin/hgTracks?position=203826_s_at","UCSC")</f>
        <v>UCSC</v>
      </c>
      <c r="E2846" s="1" t="str">
        <f>HYPERLINK("http://www.ncbi.nlm.nih.gov/gene/?term=PITPNM1","NCBI")</f>
        <v>NCBI</v>
      </c>
      <c r="F2846">
        <v>1.4999999999999999E-2</v>
      </c>
      <c r="G2846">
        <v>8.8999999999999996E-2</v>
      </c>
      <c r="H2846" s="1" t="str">
        <f>HYPERLINK("http://www.weizmann.ac.il/complex/compphys/software/geview/data/figures/203826_s_at.png","Figure")</f>
        <v>Figure</v>
      </c>
      <c r="I2846">
        <v>1.33</v>
      </c>
      <c r="J2846">
        <v>4.8000000000000001E-2</v>
      </c>
      <c r="K2846">
        <v>1.35</v>
      </c>
      <c r="L2846">
        <v>1.7000000000000001E-2</v>
      </c>
      <c r="M2846">
        <v>1.02</v>
      </c>
      <c r="N2846">
        <v>0.98</v>
      </c>
    </row>
    <row r="2847" spans="1:14" x14ac:dyDescent="0.25">
      <c r="A2847" t="s">
        <v>5241</v>
      </c>
      <c r="B2847" t="s">
        <v>5242</v>
      </c>
      <c r="C2847" s="1" t="str">
        <f>HYPERLINK("http://www.genecards.org/cgi-bin/carddisp.pl?gene=WBSCR16","GeneCards")</f>
        <v>GeneCards</v>
      </c>
      <c r="D2847" s="1" t="str">
        <f>HYPERLINK("http://genome-euro.ucsc.edu/cgi-bin/hgTracks?position=221247_s_at","UCSC")</f>
        <v>UCSC</v>
      </c>
      <c r="E2847" s="1" t="str">
        <f>HYPERLINK("http://www.ncbi.nlm.nih.gov/gene/?term=WBSCR16","NCBI")</f>
        <v>NCBI</v>
      </c>
      <c r="F2847">
        <v>1.4999999999999999E-2</v>
      </c>
      <c r="G2847">
        <v>8.8999999999999996E-2</v>
      </c>
      <c r="H2847" s="1" t="str">
        <f>HYPERLINK("http://www.weizmann.ac.il/complex/compphys/software/geview/data/figures/221247_s_at.png","Figure")</f>
        <v>Figure</v>
      </c>
      <c r="I2847">
        <v>1.1499999999999999</v>
      </c>
      <c r="J2847">
        <v>0.04</v>
      </c>
      <c r="K2847">
        <v>1.1499999999999999</v>
      </c>
      <c r="L2847">
        <v>1.9E-2</v>
      </c>
      <c r="M2847">
        <v>1</v>
      </c>
      <c r="N2847">
        <v>1</v>
      </c>
    </row>
    <row r="2848" spans="1:14" x14ac:dyDescent="0.25">
      <c r="A2848" t="s">
        <v>5243</v>
      </c>
      <c r="B2848" t="s">
        <v>5244</v>
      </c>
      <c r="C2848" s="1" t="str">
        <f>HYPERLINK("http://www.genecards.org/cgi-bin/carddisp.pl?gene=ZFHX2","GeneCards")</f>
        <v>GeneCards</v>
      </c>
      <c r="D2848" s="1" t="str">
        <f>HYPERLINK("http://genome-euro.ucsc.edu/cgi-bin/hgTracks?position=207699_at","UCSC")</f>
        <v>UCSC</v>
      </c>
      <c r="E2848" s="1" t="str">
        <f>HYPERLINK("http://www.ncbi.nlm.nih.gov/gene/?term=ZFHX2","NCBI")</f>
        <v>NCBI</v>
      </c>
      <c r="F2848">
        <v>1.4999999999999999E-2</v>
      </c>
      <c r="G2848">
        <v>8.8999999999999996E-2</v>
      </c>
      <c r="H2848" s="1" t="str">
        <f>HYPERLINK("http://www.weizmann.ac.il/complex/compphys/software/geview/data/figures/207699_at.png","Figure")</f>
        <v>Figure</v>
      </c>
      <c r="I2848">
        <v>1.29</v>
      </c>
      <c r="J2848">
        <v>1.7999999999999999E-2</v>
      </c>
      <c r="K2848">
        <v>1.04</v>
      </c>
      <c r="L2848">
        <v>0.84</v>
      </c>
      <c r="M2848">
        <v>0.80500000000000005</v>
      </c>
      <c r="N2848">
        <v>3.1E-2</v>
      </c>
    </row>
    <row r="2849" spans="1:14" x14ac:dyDescent="0.25">
      <c r="A2849" t="s">
        <v>5245</v>
      </c>
      <c r="B2849" t="s">
        <v>5061</v>
      </c>
      <c r="C2849" s="1" t="str">
        <f>HYPERLINK("http://www.genecards.org/cgi-bin/carddisp.pl?gene=FARS2","GeneCards")</f>
        <v>GeneCards</v>
      </c>
      <c r="D2849" s="1" t="str">
        <f>HYPERLINK("http://genome-euro.ucsc.edu/cgi-bin/hgTracks?position=215414_at","UCSC")</f>
        <v>UCSC</v>
      </c>
      <c r="E2849" s="1" t="str">
        <f>HYPERLINK("http://www.ncbi.nlm.nih.gov/gene/?term=FARS2","NCBI")</f>
        <v>NCBI</v>
      </c>
      <c r="F2849">
        <v>1.4999999999999999E-2</v>
      </c>
      <c r="G2849">
        <v>8.8999999999999996E-2</v>
      </c>
      <c r="H2849" s="1" t="str">
        <f>HYPERLINK("http://www.weizmann.ac.il/complex/compphys/software/geview/data/figures/215414_at.png","Figure")</f>
        <v>Figure</v>
      </c>
      <c r="I2849">
        <v>1.1599999999999999</v>
      </c>
      <c r="J2849">
        <v>2.4E-2</v>
      </c>
      <c r="K2849">
        <v>1.1299999999999999</v>
      </c>
      <c r="L2849">
        <v>2.9000000000000001E-2</v>
      </c>
      <c r="M2849">
        <v>0.97799999999999998</v>
      </c>
      <c r="N2849">
        <v>0.88</v>
      </c>
    </row>
    <row r="2850" spans="1:14" x14ac:dyDescent="0.25">
      <c r="A2850" t="s">
        <v>5246</v>
      </c>
      <c r="B2850" t="s">
        <v>5247</v>
      </c>
      <c r="C2850" s="1" t="str">
        <f>HYPERLINK("http://www.genecards.org/cgi-bin/carddisp.pl?gene=DDX31","GeneCards")</f>
        <v>GeneCards</v>
      </c>
      <c r="D2850" s="1" t="str">
        <f>HYPERLINK("http://genome-euro.ucsc.edu/cgi-bin/hgTracks?position=219328_at","UCSC")</f>
        <v>UCSC</v>
      </c>
      <c r="E2850" s="1" t="str">
        <f>HYPERLINK("http://www.ncbi.nlm.nih.gov/gene/?term=DDX31","NCBI")</f>
        <v>NCBI</v>
      </c>
      <c r="F2850">
        <v>1.4999999999999999E-2</v>
      </c>
      <c r="G2850">
        <v>8.8999999999999996E-2</v>
      </c>
      <c r="H2850" s="1" t="str">
        <f>HYPERLINK("http://www.weizmann.ac.il/complex/compphys/software/geview/data/figures/219328_at.png","Figure")</f>
        <v>Figure</v>
      </c>
      <c r="I2850">
        <v>1.38</v>
      </c>
      <c r="J2850">
        <v>1.2E-2</v>
      </c>
      <c r="K2850">
        <v>1.18</v>
      </c>
      <c r="L2850">
        <v>0.15</v>
      </c>
      <c r="M2850">
        <v>0.85299999999999998</v>
      </c>
      <c r="N2850">
        <v>0.21</v>
      </c>
    </row>
    <row r="2851" spans="1:14" x14ac:dyDescent="0.25">
      <c r="A2851" t="s">
        <v>5248</v>
      </c>
      <c r="B2851" t="s">
        <v>5039</v>
      </c>
      <c r="C2851" s="1" t="str">
        <f>HYPERLINK("http://www.genecards.org/cgi-bin/carddisp.pl?gene=ATP6V0E1","GeneCards")</f>
        <v>GeneCards</v>
      </c>
      <c r="D2851" s="1" t="str">
        <f>HYPERLINK("http://genome-euro.ucsc.edu/cgi-bin/hgTracks?position=201172_x_at","UCSC")</f>
        <v>UCSC</v>
      </c>
      <c r="E2851" s="1" t="str">
        <f>HYPERLINK("http://www.ncbi.nlm.nih.gov/gene/?term=ATP6V0E1","NCBI")</f>
        <v>NCBI</v>
      </c>
      <c r="F2851">
        <v>1.4999999999999999E-2</v>
      </c>
      <c r="G2851">
        <v>8.8999999999999996E-2</v>
      </c>
      <c r="H2851" s="1" t="str">
        <f>HYPERLINK("http://www.weizmann.ac.il/complex/compphys/software/geview/data/figures/201172_x_at.png","Figure")</f>
        <v>Figure</v>
      </c>
      <c r="I2851">
        <v>0.54700000000000004</v>
      </c>
      <c r="J2851">
        <v>0.03</v>
      </c>
      <c r="K2851">
        <v>1.02</v>
      </c>
      <c r="L2851">
        <v>1</v>
      </c>
      <c r="M2851">
        <v>1.86</v>
      </c>
      <c r="N2851">
        <v>1.7999999999999999E-2</v>
      </c>
    </row>
    <row r="2852" spans="1:14" x14ac:dyDescent="0.25">
      <c r="A2852" t="s">
        <v>5249</v>
      </c>
      <c r="B2852" t="s">
        <v>5250</v>
      </c>
      <c r="C2852" s="1" t="str">
        <f>HYPERLINK("http://www.genecards.org/cgi-bin/carddisp.pl?gene=SUMO3","GeneCards")</f>
        <v>GeneCards</v>
      </c>
      <c r="D2852" s="1" t="str">
        <f>HYPERLINK("http://genome-euro.ucsc.edu/cgi-bin/hgTracks?position=200739_s_at","UCSC")</f>
        <v>UCSC</v>
      </c>
      <c r="E2852" s="1" t="str">
        <f>HYPERLINK("http://www.ncbi.nlm.nih.gov/gene/?term=SUMO3","NCBI")</f>
        <v>NCBI</v>
      </c>
      <c r="F2852">
        <v>1.4999999999999999E-2</v>
      </c>
      <c r="G2852">
        <v>8.8999999999999996E-2</v>
      </c>
      <c r="H2852" s="1" t="str">
        <f>HYPERLINK("http://www.weizmann.ac.il/complex/compphys/software/geview/data/figures/200739_s_at.png","Figure")</f>
        <v>Figure</v>
      </c>
      <c r="I2852">
        <v>0.69899999999999995</v>
      </c>
      <c r="J2852">
        <v>2.3E-2</v>
      </c>
      <c r="K2852">
        <v>0.98</v>
      </c>
      <c r="L2852">
        <v>0.98</v>
      </c>
      <c r="M2852">
        <v>1.4</v>
      </c>
      <c r="N2852">
        <v>2.1999999999999999E-2</v>
      </c>
    </row>
    <row r="2853" spans="1:14" x14ac:dyDescent="0.25">
      <c r="A2853" t="s">
        <v>5251</v>
      </c>
      <c r="B2853" t="s">
        <v>5252</v>
      </c>
      <c r="C2853" s="1" t="str">
        <f>HYPERLINK("http://www.genecards.org/cgi-bin/carddisp.pl?gene=E2F1","GeneCards")</f>
        <v>GeneCards</v>
      </c>
      <c r="D2853" s="1" t="str">
        <f>HYPERLINK("http://genome-euro.ucsc.edu/cgi-bin/hgTracks?position=204947_at","UCSC")</f>
        <v>UCSC</v>
      </c>
      <c r="E2853" s="1" t="str">
        <f>HYPERLINK("http://www.ncbi.nlm.nih.gov/gene/?term=E2F1","NCBI")</f>
        <v>NCBI</v>
      </c>
      <c r="F2853">
        <v>1.4999999999999999E-2</v>
      </c>
      <c r="G2853">
        <v>8.8999999999999996E-2</v>
      </c>
      <c r="H2853" s="1" t="str">
        <f>HYPERLINK("http://www.weizmann.ac.il/complex/compphys/software/geview/data/figures/204947_at.png","Figure")</f>
        <v>Figure</v>
      </c>
      <c r="I2853">
        <v>1.63</v>
      </c>
      <c r="J2853">
        <v>2.4E-2</v>
      </c>
      <c r="K2853">
        <v>1.02</v>
      </c>
      <c r="L2853">
        <v>0.99</v>
      </c>
      <c r="M2853">
        <v>0.625</v>
      </c>
      <c r="N2853">
        <v>2.1000000000000001E-2</v>
      </c>
    </row>
    <row r="2854" spans="1:14" x14ac:dyDescent="0.25">
      <c r="A2854" t="s">
        <v>5253</v>
      </c>
      <c r="B2854" t="s">
        <v>5254</v>
      </c>
      <c r="C2854" s="1" t="str">
        <f>HYPERLINK("http://www.genecards.org/cgi-bin/carddisp.pl?gene=ADAM28","GeneCards")</f>
        <v>GeneCards</v>
      </c>
      <c r="D2854" s="1" t="str">
        <f>HYPERLINK("http://genome-euro.ucsc.edu/cgi-bin/hgTracks?position=208269_s_at","UCSC")</f>
        <v>UCSC</v>
      </c>
      <c r="E2854" s="1" t="str">
        <f>HYPERLINK("http://www.ncbi.nlm.nih.gov/gene/?term=ADAM28","NCBI")</f>
        <v>NCBI</v>
      </c>
      <c r="F2854">
        <v>1.4999999999999999E-2</v>
      </c>
      <c r="G2854">
        <v>8.8999999999999996E-2</v>
      </c>
      <c r="H2854" s="1" t="str">
        <f>HYPERLINK("http://www.weizmann.ac.il/complex/compphys/software/geview/data/figures/208269_s_at.png","Figure")</f>
        <v>Figure</v>
      </c>
      <c r="I2854">
        <v>1.28</v>
      </c>
      <c r="J2854">
        <v>4.4999999999999998E-2</v>
      </c>
      <c r="K2854">
        <v>0.96399999999999997</v>
      </c>
      <c r="L2854">
        <v>0.89</v>
      </c>
      <c r="M2854">
        <v>0.753</v>
      </c>
      <c r="N2854">
        <v>1.4E-2</v>
      </c>
    </row>
    <row r="2855" spans="1:14" x14ac:dyDescent="0.25">
      <c r="A2855" t="s">
        <v>5255</v>
      </c>
      <c r="B2855" t="s">
        <v>5256</v>
      </c>
      <c r="C2855" s="1" t="str">
        <f>HYPERLINK("http://www.genecards.org/cgi-bin/carddisp.pl?gene=CCIN","GeneCards")</f>
        <v>GeneCards</v>
      </c>
      <c r="D2855" s="1" t="str">
        <f>HYPERLINK("http://genome-euro.ucsc.edu/cgi-bin/hgTracks?position=210642_at","UCSC")</f>
        <v>UCSC</v>
      </c>
      <c r="E2855" s="1" t="str">
        <f>HYPERLINK("http://www.ncbi.nlm.nih.gov/gene/?term=CCIN","NCBI")</f>
        <v>NCBI</v>
      </c>
      <c r="F2855">
        <v>1.4999999999999999E-2</v>
      </c>
      <c r="G2855">
        <v>8.8999999999999996E-2</v>
      </c>
      <c r="H2855" s="1" t="str">
        <f>HYPERLINK("http://www.weizmann.ac.il/complex/compphys/software/geview/data/figures/210642_at.png","Figure")</f>
        <v>Figure</v>
      </c>
      <c r="I2855">
        <v>1.29</v>
      </c>
      <c r="J2855">
        <v>1.2E-2</v>
      </c>
      <c r="K2855">
        <v>1.1000000000000001</v>
      </c>
      <c r="L2855">
        <v>0.36</v>
      </c>
      <c r="M2855">
        <v>0.84899999999999998</v>
      </c>
      <c r="N2855">
        <v>8.7999999999999995E-2</v>
      </c>
    </row>
    <row r="2856" spans="1:14" x14ac:dyDescent="0.25">
      <c r="A2856" t="s">
        <v>5257</v>
      </c>
      <c r="B2856" t="s">
        <v>1959</v>
      </c>
      <c r="C2856" s="1" t="str">
        <f>HYPERLINK("http://www.genecards.org/cgi-bin/carddisp.pl?gene=RPS6","GeneCards")</f>
        <v>GeneCards</v>
      </c>
      <c r="D2856" s="1" t="str">
        <f>HYPERLINK("http://genome-euro.ucsc.edu/cgi-bin/hgTracks?position=211690_at","UCSC")</f>
        <v>UCSC</v>
      </c>
      <c r="E2856" s="1" t="str">
        <f>HYPERLINK("http://www.ncbi.nlm.nih.gov/gene/?term=RPS6","NCBI")</f>
        <v>NCBI</v>
      </c>
      <c r="F2856">
        <v>1.4999999999999999E-2</v>
      </c>
      <c r="G2856">
        <v>8.8999999999999996E-2</v>
      </c>
      <c r="H2856" s="1" t="str">
        <f>HYPERLINK("http://www.weizmann.ac.il/complex/compphys/software/geview/data/figures/211690_at.png","Figure")</f>
        <v>Figure</v>
      </c>
      <c r="I2856">
        <v>1.27</v>
      </c>
      <c r="J2856">
        <v>1.2E-2</v>
      </c>
      <c r="K2856">
        <v>1.0900000000000001</v>
      </c>
      <c r="L2856">
        <v>0.33</v>
      </c>
      <c r="M2856">
        <v>0.86199999999999999</v>
      </c>
      <c r="N2856">
        <v>9.4E-2</v>
      </c>
    </row>
    <row r="2857" spans="1:14" x14ac:dyDescent="0.25">
      <c r="A2857" t="s">
        <v>5258</v>
      </c>
      <c r="B2857" t="s">
        <v>5259</v>
      </c>
      <c r="C2857" s="1" t="str">
        <f>HYPERLINK("http://www.genecards.org/cgi-bin/carddisp.pl?gene=ATXN8OS","GeneCards")</f>
        <v>GeneCards</v>
      </c>
      <c r="D2857" s="1" t="str">
        <f>HYPERLINK("http://genome-euro.ucsc.edu/cgi-bin/hgTracks?position=216404_at","UCSC")</f>
        <v>UCSC</v>
      </c>
      <c r="E2857" s="1" t="str">
        <f>HYPERLINK("http://www.ncbi.nlm.nih.gov/gene/?term=ATXN8OS","NCBI")</f>
        <v>NCBI</v>
      </c>
      <c r="F2857">
        <v>1.4999999999999999E-2</v>
      </c>
      <c r="G2857">
        <v>8.8999999999999996E-2</v>
      </c>
      <c r="H2857" s="1" t="str">
        <f>HYPERLINK("http://www.weizmann.ac.il/complex/compphys/software/geview/data/figures/216404_at.png","Figure")</f>
        <v>Figure</v>
      </c>
      <c r="I2857">
        <v>1.23</v>
      </c>
      <c r="J2857">
        <v>1.7999999999999999E-2</v>
      </c>
      <c r="K2857">
        <v>1.03</v>
      </c>
      <c r="L2857">
        <v>0.86</v>
      </c>
      <c r="M2857">
        <v>0.83899999999999997</v>
      </c>
      <c r="N2857">
        <v>0.03</v>
      </c>
    </row>
    <row r="2858" spans="1:14" x14ac:dyDescent="0.25">
      <c r="A2858" t="s">
        <v>5260</v>
      </c>
      <c r="B2858" t="s">
        <v>5261</v>
      </c>
      <c r="C2858" s="1" t="str">
        <f>HYPERLINK("http://www.genecards.org/cgi-bin/carddisp.pl?gene=C4orf27","GeneCards")</f>
        <v>GeneCards</v>
      </c>
      <c r="D2858" s="1" t="str">
        <f>HYPERLINK("http://genome-euro.ucsc.edu/cgi-bin/hgTracks?position=218646_at","UCSC")</f>
        <v>UCSC</v>
      </c>
      <c r="E2858" s="1" t="str">
        <f>HYPERLINK("http://www.ncbi.nlm.nih.gov/gene/?term=C4orf27","NCBI")</f>
        <v>NCBI</v>
      </c>
      <c r="F2858">
        <v>1.4999999999999999E-2</v>
      </c>
      <c r="G2858">
        <v>8.8999999999999996E-2</v>
      </c>
      <c r="H2858" s="1" t="str">
        <f>HYPERLINK("http://www.weizmann.ac.il/complex/compphys/software/geview/data/figures/218646_at.png","Figure")</f>
        <v>Figure</v>
      </c>
      <c r="I2858">
        <v>0.628</v>
      </c>
      <c r="J2858">
        <v>0.23</v>
      </c>
      <c r="K2858">
        <v>1.48</v>
      </c>
      <c r="L2858">
        <v>0.25</v>
      </c>
      <c r="M2858">
        <v>2.36</v>
      </c>
      <c r="N2858">
        <v>1.2E-2</v>
      </c>
    </row>
    <row r="2859" spans="1:14" x14ac:dyDescent="0.25">
      <c r="A2859" t="s">
        <v>5262</v>
      </c>
      <c r="B2859" t="s">
        <v>5263</v>
      </c>
      <c r="C2859" s="1" t="str">
        <f>HYPERLINK("http://www.genecards.org/cgi-bin/carddisp.pl?gene=CDC37","GeneCards")</f>
        <v>GeneCards</v>
      </c>
      <c r="D2859" s="1" t="str">
        <f>HYPERLINK("http://genome-euro.ucsc.edu/cgi-bin/hgTracks?position=209953_s_at","UCSC")</f>
        <v>UCSC</v>
      </c>
      <c r="E2859" s="1" t="str">
        <f>HYPERLINK("http://www.ncbi.nlm.nih.gov/gene/?term=CDC37","NCBI")</f>
        <v>NCBI</v>
      </c>
      <c r="F2859">
        <v>1.4999999999999999E-2</v>
      </c>
      <c r="G2859">
        <v>8.8999999999999996E-2</v>
      </c>
      <c r="H2859" s="1" t="str">
        <f>HYPERLINK("http://www.weizmann.ac.il/complex/compphys/software/geview/data/figures/209953_s_at.png","Figure")</f>
        <v>Figure</v>
      </c>
      <c r="I2859">
        <v>0.86099999999999999</v>
      </c>
      <c r="J2859">
        <v>0.04</v>
      </c>
      <c r="K2859">
        <v>0.86099999999999999</v>
      </c>
      <c r="L2859">
        <v>1.9E-2</v>
      </c>
      <c r="M2859">
        <v>1</v>
      </c>
      <c r="N2859">
        <v>1</v>
      </c>
    </row>
    <row r="2860" spans="1:14" x14ac:dyDescent="0.25">
      <c r="A2860" t="s">
        <v>5264</v>
      </c>
      <c r="B2860" t="s">
        <v>5265</v>
      </c>
      <c r="C2860" s="1" t="str">
        <f>HYPERLINK("http://www.genecards.org/cgi-bin/carddisp.pl?gene=ITGA4","GeneCards")</f>
        <v>GeneCards</v>
      </c>
      <c r="D2860" s="1" t="str">
        <f>HYPERLINK("http://genome-euro.ucsc.edu/cgi-bin/hgTracks?position=205885_s_at","UCSC")</f>
        <v>UCSC</v>
      </c>
      <c r="E2860" s="1" t="str">
        <f>HYPERLINK("http://www.ncbi.nlm.nih.gov/gene/?term=ITGA4","NCBI")</f>
        <v>NCBI</v>
      </c>
      <c r="F2860">
        <v>1.4999999999999999E-2</v>
      </c>
      <c r="G2860">
        <v>8.8999999999999996E-2</v>
      </c>
      <c r="H2860" s="1" t="str">
        <f>HYPERLINK("http://www.weizmann.ac.il/complex/compphys/software/geview/data/figures/205885_s_at.png","Figure")</f>
        <v>Figure</v>
      </c>
      <c r="I2860">
        <v>0.93200000000000005</v>
      </c>
      <c r="J2860">
        <v>0.92</v>
      </c>
      <c r="K2860">
        <v>1.53</v>
      </c>
      <c r="L2860">
        <v>4.2000000000000003E-2</v>
      </c>
      <c r="M2860">
        <v>1.64</v>
      </c>
      <c r="N2860">
        <v>2.7E-2</v>
      </c>
    </row>
    <row r="2861" spans="1:14" x14ac:dyDescent="0.25">
      <c r="A2861" t="s">
        <v>5266</v>
      </c>
      <c r="B2861" t="s">
        <v>5267</v>
      </c>
      <c r="C2861" s="1" t="str">
        <f>HYPERLINK("http://www.genecards.org/cgi-bin/carddisp.pl?gene=CACNG1","GeneCards")</f>
        <v>GeneCards</v>
      </c>
      <c r="D2861" s="1" t="str">
        <f>HYPERLINK("http://genome-euro.ucsc.edu/cgi-bin/hgTracks?position=206612_at","UCSC")</f>
        <v>UCSC</v>
      </c>
      <c r="E2861" s="1" t="str">
        <f>HYPERLINK("http://www.ncbi.nlm.nih.gov/gene/?term=CACNG1","NCBI")</f>
        <v>NCBI</v>
      </c>
      <c r="F2861">
        <v>1.4999999999999999E-2</v>
      </c>
      <c r="G2861">
        <v>8.8999999999999996E-2</v>
      </c>
      <c r="H2861" s="1" t="str">
        <f>HYPERLINK("http://www.weizmann.ac.il/complex/compphys/software/geview/data/figures/206612_at.png","Figure")</f>
        <v>Figure</v>
      </c>
      <c r="I2861">
        <v>1.2</v>
      </c>
      <c r="J2861">
        <v>1.4E-2</v>
      </c>
      <c r="K2861">
        <v>1.05</v>
      </c>
      <c r="L2861">
        <v>0.59</v>
      </c>
      <c r="M2861">
        <v>0.873</v>
      </c>
      <c r="N2861">
        <v>0.05</v>
      </c>
    </row>
    <row r="2862" spans="1:14" x14ac:dyDescent="0.25">
      <c r="A2862" t="s">
        <v>5268</v>
      </c>
      <c r="B2862" t="s">
        <v>2687</v>
      </c>
      <c r="C2862" s="1" t="str">
        <f>HYPERLINK("http://www.genecards.org/cgi-bin/carddisp.pl?gene=RUNX1","GeneCards")</f>
        <v>GeneCards</v>
      </c>
      <c r="D2862" s="1" t="str">
        <f>HYPERLINK("http://genome-euro.ucsc.edu/cgi-bin/hgTracks?position=208129_x_at","UCSC")</f>
        <v>UCSC</v>
      </c>
      <c r="E2862" s="1" t="str">
        <f>HYPERLINK("http://www.ncbi.nlm.nih.gov/gene/?term=RUNX1","NCBI")</f>
        <v>NCBI</v>
      </c>
      <c r="F2862">
        <v>1.4999999999999999E-2</v>
      </c>
      <c r="G2862">
        <v>8.8999999999999996E-2</v>
      </c>
      <c r="H2862" s="1" t="str">
        <f>HYPERLINK("http://www.weizmann.ac.il/complex/compphys/software/geview/data/figures/208129_x_at.png","Figure")</f>
        <v>Figure</v>
      </c>
      <c r="I2862">
        <v>1.45</v>
      </c>
      <c r="J2862">
        <v>1.0999999999999999E-2</v>
      </c>
      <c r="K2862">
        <v>1.18</v>
      </c>
      <c r="L2862">
        <v>0.21</v>
      </c>
      <c r="M2862">
        <v>0.81599999999999995</v>
      </c>
      <c r="N2862">
        <v>0.15</v>
      </c>
    </row>
    <row r="2863" spans="1:14" x14ac:dyDescent="0.25">
      <c r="A2863" t="s">
        <v>5269</v>
      </c>
      <c r="B2863" t="s">
        <v>4237</v>
      </c>
      <c r="C2863" s="1" t="str">
        <f>HYPERLINK("http://www.genecards.org/cgi-bin/carddisp.pl?gene=EXT2","GeneCards")</f>
        <v>GeneCards</v>
      </c>
      <c r="D2863" s="1" t="str">
        <f>HYPERLINK("http://genome-euro.ucsc.edu/cgi-bin/hgTracks?position=202012_s_at","UCSC")</f>
        <v>UCSC</v>
      </c>
      <c r="E2863" s="1" t="str">
        <f>HYPERLINK("http://www.ncbi.nlm.nih.gov/gene/?term=EXT2","NCBI")</f>
        <v>NCBI</v>
      </c>
      <c r="F2863">
        <v>1.4999999999999999E-2</v>
      </c>
      <c r="G2863">
        <v>8.8999999999999996E-2</v>
      </c>
      <c r="H2863" s="1" t="str">
        <f>HYPERLINK("http://www.weizmann.ac.il/complex/compphys/software/geview/data/figures/202012_s_at.png","Figure")</f>
        <v>Figure</v>
      </c>
      <c r="I2863">
        <v>0.80100000000000005</v>
      </c>
      <c r="J2863">
        <v>0.18</v>
      </c>
      <c r="K2863">
        <v>1.17</v>
      </c>
      <c r="L2863">
        <v>0.31</v>
      </c>
      <c r="M2863">
        <v>1.46</v>
      </c>
      <c r="N2863">
        <v>1.2E-2</v>
      </c>
    </row>
    <row r="2864" spans="1:14" x14ac:dyDescent="0.25">
      <c r="A2864" t="s">
        <v>5270</v>
      </c>
      <c r="B2864" t="s">
        <v>5271</v>
      </c>
      <c r="C2864" s="1" t="str">
        <f>HYPERLINK("http://www.genecards.org/cgi-bin/carddisp.pl?gene=DFNB31","GeneCards")</f>
        <v>GeneCards</v>
      </c>
      <c r="D2864" s="1" t="str">
        <f>HYPERLINK("http://genome-euro.ucsc.edu/cgi-bin/hgTracks?position=221887_s_at","UCSC")</f>
        <v>UCSC</v>
      </c>
      <c r="E2864" s="1" t="str">
        <f>HYPERLINK("http://www.ncbi.nlm.nih.gov/gene/?term=DFNB31","NCBI")</f>
        <v>NCBI</v>
      </c>
      <c r="F2864">
        <v>1.4999999999999999E-2</v>
      </c>
      <c r="G2864">
        <v>8.8999999999999996E-2</v>
      </c>
      <c r="H2864" s="1" t="str">
        <f>HYPERLINK("http://www.weizmann.ac.il/complex/compphys/software/geview/data/figures/221887_s_at.png","Figure")</f>
        <v>Figure</v>
      </c>
      <c r="I2864">
        <v>1.29</v>
      </c>
      <c r="J2864">
        <v>1.4999999999999999E-2</v>
      </c>
      <c r="K2864">
        <v>1.06</v>
      </c>
      <c r="L2864">
        <v>0.7</v>
      </c>
      <c r="M2864">
        <v>0.81799999999999995</v>
      </c>
      <c r="N2864">
        <v>0.04</v>
      </c>
    </row>
    <row r="2865" spans="1:14" x14ac:dyDescent="0.25">
      <c r="A2865" t="s">
        <v>5272</v>
      </c>
      <c r="B2865" t="s">
        <v>5273</v>
      </c>
      <c r="C2865" s="1" t="str">
        <f>HYPERLINK("http://www.genecards.org/cgi-bin/carddisp.pl?gene=STAT1","GeneCards")</f>
        <v>GeneCards</v>
      </c>
      <c r="D2865" s="1" t="str">
        <f>HYPERLINK("http://genome-euro.ucsc.edu/cgi-bin/hgTracks?position=AFFX-HUMISGF3A/M97935_MA_at","UCSC")</f>
        <v>UCSC</v>
      </c>
      <c r="E2865" s="1" t="str">
        <f>HYPERLINK("http://www.ncbi.nlm.nih.gov/gene/?term=STAT1","NCBI")</f>
        <v>NCBI</v>
      </c>
      <c r="F2865">
        <v>1.4999999999999999E-2</v>
      </c>
      <c r="G2865">
        <v>8.8999999999999996E-2</v>
      </c>
      <c r="H2865" s="1" t="str">
        <f>HYPERLINK("http://www.weizmann.ac.il/complex/compphys/software/geview/data/figures/AFFX-HUMISGF3A/M97935_MA_at.png","Figure")</f>
        <v>Figure</v>
      </c>
      <c r="I2865">
        <v>1.29</v>
      </c>
      <c r="J2865">
        <v>1.2999999999999999E-2</v>
      </c>
      <c r="K2865">
        <v>1.08</v>
      </c>
      <c r="L2865">
        <v>0.46</v>
      </c>
      <c r="M2865">
        <v>0.84</v>
      </c>
      <c r="N2865">
        <v>6.7000000000000004E-2</v>
      </c>
    </row>
    <row r="2866" spans="1:14" x14ac:dyDescent="0.25">
      <c r="A2866" t="s">
        <v>5274</v>
      </c>
      <c r="B2866" t="s">
        <v>5275</v>
      </c>
      <c r="C2866" s="1" t="str">
        <f>HYPERLINK("http://www.genecards.org/cgi-bin/carddisp.pl?gene=NBL1","GeneCards")</f>
        <v>GeneCards</v>
      </c>
      <c r="D2866" s="1" t="str">
        <f>HYPERLINK("http://genome-euro.ucsc.edu/cgi-bin/hgTracks?position=37005_at","UCSC")</f>
        <v>UCSC</v>
      </c>
      <c r="E2866" s="1" t="str">
        <f>HYPERLINK("http://www.ncbi.nlm.nih.gov/gene/?term=NBL1","NCBI")</f>
        <v>NCBI</v>
      </c>
      <c r="F2866">
        <v>1.4999999999999999E-2</v>
      </c>
      <c r="G2866">
        <v>8.8999999999999996E-2</v>
      </c>
      <c r="H2866" s="1" t="str">
        <f>HYPERLINK("http://www.weizmann.ac.il/complex/compphys/software/geview/data/figures/37005_at.png","Figure")</f>
        <v>Figure</v>
      </c>
      <c r="I2866">
        <v>1.43</v>
      </c>
      <c r="J2866">
        <v>1.4E-2</v>
      </c>
      <c r="K2866">
        <v>1.0900000000000001</v>
      </c>
      <c r="L2866">
        <v>0.61</v>
      </c>
      <c r="M2866">
        <v>0.76600000000000001</v>
      </c>
      <c r="N2866">
        <v>4.8000000000000001E-2</v>
      </c>
    </row>
    <row r="2867" spans="1:14" x14ac:dyDescent="0.25">
      <c r="A2867" t="s">
        <v>5276</v>
      </c>
      <c r="B2867" t="s">
        <v>5277</v>
      </c>
      <c r="C2867" s="1" t="str">
        <f>HYPERLINK("http://www.genecards.org/cgi-bin/carddisp.pl?gene=ATP5J2","GeneCards")</f>
        <v>GeneCards</v>
      </c>
      <c r="D2867" s="1" t="str">
        <f>HYPERLINK("http://genome-euro.ucsc.edu/cgi-bin/hgTracks?position=202961_s_at","UCSC")</f>
        <v>UCSC</v>
      </c>
      <c r="E2867" s="1" t="str">
        <f>HYPERLINK("http://www.ncbi.nlm.nih.gov/gene/?term=ATP5J2","NCBI")</f>
        <v>NCBI</v>
      </c>
      <c r="F2867">
        <v>1.4999999999999999E-2</v>
      </c>
      <c r="G2867">
        <v>8.8999999999999996E-2</v>
      </c>
      <c r="H2867" s="1" t="str">
        <f>HYPERLINK("http://www.weizmann.ac.il/complex/compphys/software/geview/data/figures/202961_s_at.png","Figure")</f>
        <v>Figure</v>
      </c>
      <c r="I2867">
        <v>1.2</v>
      </c>
      <c r="J2867">
        <v>0.6</v>
      </c>
      <c r="K2867">
        <v>1.72</v>
      </c>
      <c r="L2867">
        <v>1.4E-2</v>
      </c>
      <c r="M2867">
        <v>1.44</v>
      </c>
      <c r="N2867">
        <v>0.14000000000000001</v>
      </c>
    </row>
    <row r="2868" spans="1:14" x14ac:dyDescent="0.25">
      <c r="A2868" t="s">
        <v>5278</v>
      </c>
      <c r="B2868" t="s">
        <v>3645</v>
      </c>
      <c r="C2868" s="1" t="str">
        <f>HYPERLINK("http://www.genecards.org/cgi-bin/carddisp.pl?gene=HNRNPH3","GeneCards")</f>
        <v>GeneCards</v>
      </c>
      <c r="D2868" s="1" t="str">
        <f>HYPERLINK("http://genome-euro.ucsc.edu/cgi-bin/hgTracks?position=210588_x_at","UCSC")</f>
        <v>UCSC</v>
      </c>
      <c r="E2868" s="1" t="str">
        <f>HYPERLINK("http://www.ncbi.nlm.nih.gov/gene/?term=HNRNPH3","NCBI")</f>
        <v>NCBI</v>
      </c>
      <c r="F2868">
        <v>1.4999999999999999E-2</v>
      </c>
      <c r="G2868">
        <v>8.8999999999999996E-2</v>
      </c>
      <c r="H2868" s="1" t="str">
        <f>HYPERLINK("http://www.weizmann.ac.il/complex/compphys/software/geview/data/figures/210588_x_at.png","Figure")</f>
        <v>Figure</v>
      </c>
      <c r="I2868">
        <v>1.34</v>
      </c>
      <c r="J2868">
        <v>0.53</v>
      </c>
      <c r="K2868">
        <v>0.59299999999999997</v>
      </c>
      <c r="L2868">
        <v>0.1</v>
      </c>
      <c r="M2868">
        <v>0.442</v>
      </c>
      <c r="N2868">
        <v>1.6E-2</v>
      </c>
    </row>
    <row r="2869" spans="1:14" x14ac:dyDescent="0.25">
      <c r="A2869" t="s">
        <v>5279</v>
      </c>
      <c r="B2869" t="s">
        <v>5280</v>
      </c>
      <c r="C2869" s="1" t="str">
        <f>HYPERLINK("http://www.genecards.org/cgi-bin/carddisp.pl?gene=CBR4","GeneCards")</f>
        <v>GeneCards</v>
      </c>
      <c r="D2869" s="1" t="str">
        <f>HYPERLINK("http://genome-euro.ucsc.edu/cgi-bin/hgTracks?position=213626_at","UCSC")</f>
        <v>UCSC</v>
      </c>
      <c r="E2869" s="1" t="str">
        <f>HYPERLINK("http://www.ncbi.nlm.nih.gov/gene/?term=CBR4","NCBI")</f>
        <v>NCBI</v>
      </c>
      <c r="F2869">
        <v>1.4999999999999999E-2</v>
      </c>
      <c r="G2869">
        <v>8.8999999999999996E-2</v>
      </c>
      <c r="H2869" s="1" t="str">
        <f>HYPERLINK("http://www.weizmann.ac.il/complex/compphys/software/geview/data/figures/213626_at.png","Figure")</f>
        <v>Figure</v>
      </c>
      <c r="I2869">
        <v>0.59799999999999998</v>
      </c>
      <c r="J2869">
        <v>2.8000000000000001E-2</v>
      </c>
      <c r="K2869">
        <v>0.999</v>
      </c>
      <c r="L2869">
        <v>1</v>
      </c>
      <c r="M2869">
        <v>1.67</v>
      </c>
      <c r="N2869">
        <v>1.9E-2</v>
      </c>
    </row>
    <row r="2870" spans="1:14" x14ac:dyDescent="0.25">
      <c r="A2870" t="s">
        <v>5281</v>
      </c>
      <c r="B2870" t="s">
        <v>5282</v>
      </c>
      <c r="C2870" s="1" t="str">
        <f>HYPERLINK("http://www.genecards.org/cgi-bin/carddisp.pl?gene=TMEM161A","GeneCards")</f>
        <v>GeneCards</v>
      </c>
      <c r="D2870" s="1" t="str">
        <f>HYPERLINK("http://genome-euro.ucsc.edu/cgi-bin/hgTracks?position=218745_x_at","UCSC")</f>
        <v>UCSC</v>
      </c>
      <c r="E2870" s="1" t="str">
        <f>HYPERLINK("http://www.ncbi.nlm.nih.gov/gene/?term=TMEM161A","NCBI")</f>
        <v>NCBI</v>
      </c>
      <c r="F2870">
        <v>1.4999999999999999E-2</v>
      </c>
      <c r="G2870">
        <v>0.09</v>
      </c>
      <c r="H2870" s="1" t="str">
        <f>HYPERLINK("http://www.weizmann.ac.il/complex/compphys/software/geview/data/figures/218745_x_at.png","Figure")</f>
        <v>Figure</v>
      </c>
      <c r="I2870">
        <v>1.47</v>
      </c>
      <c r="J2870">
        <v>1.4E-2</v>
      </c>
      <c r="K2870">
        <v>1.28</v>
      </c>
      <c r="L2870">
        <v>7.0000000000000007E-2</v>
      </c>
      <c r="M2870">
        <v>0.873</v>
      </c>
      <c r="N2870">
        <v>0.44</v>
      </c>
    </row>
    <row r="2871" spans="1:14" x14ac:dyDescent="0.25">
      <c r="A2871" t="s">
        <v>5283</v>
      </c>
      <c r="B2871" t="s">
        <v>824</v>
      </c>
      <c r="C2871" s="1" t="str">
        <f>HYPERLINK("http://www.genecards.org/cgi-bin/carddisp.pl?gene=PLCG1","GeneCards")</f>
        <v>GeneCards</v>
      </c>
      <c r="D2871" s="1" t="str">
        <f>HYPERLINK("http://genome-euro.ucsc.edu/cgi-bin/hgTracks?position=216551_x_at","UCSC")</f>
        <v>UCSC</v>
      </c>
      <c r="E2871" s="1" t="str">
        <f>HYPERLINK("http://www.ncbi.nlm.nih.gov/gene/?term=PLCG1","NCBI")</f>
        <v>NCBI</v>
      </c>
      <c r="F2871">
        <v>1.4999999999999999E-2</v>
      </c>
      <c r="G2871">
        <v>0.09</v>
      </c>
      <c r="H2871" s="1" t="str">
        <f>HYPERLINK("http://www.weizmann.ac.il/complex/compphys/software/geview/data/figures/216551_x_at.png","Figure")</f>
        <v>Figure</v>
      </c>
      <c r="I2871">
        <v>1.31</v>
      </c>
      <c r="J2871">
        <v>1.6E-2</v>
      </c>
      <c r="K2871">
        <v>1.05</v>
      </c>
      <c r="L2871">
        <v>0.76</v>
      </c>
      <c r="M2871">
        <v>0.80200000000000005</v>
      </c>
      <c r="N2871">
        <v>3.5999999999999997E-2</v>
      </c>
    </row>
    <row r="2872" spans="1:14" x14ac:dyDescent="0.25">
      <c r="A2872" t="s">
        <v>5284</v>
      </c>
      <c r="B2872" t="s">
        <v>2067</v>
      </c>
      <c r="C2872" s="1" t="str">
        <f>HYPERLINK("http://www.genecards.org/cgi-bin/carddisp.pl?gene=CD84","GeneCards")</f>
        <v>GeneCards</v>
      </c>
      <c r="D2872" s="1" t="str">
        <f>HYPERLINK("http://genome-euro.ucsc.edu/cgi-bin/hgTracks?position=205988_at","UCSC")</f>
        <v>UCSC</v>
      </c>
      <c r="E2872" s="1" t="str">
        <f>HYPERLINK("http://www.ncbi.nlm.nih.gov/gene/?term=CD84","NCBI")</f>
        <v>NCBI</v>
      </c>
      <c r="F2872">
        <v>1.4999999999999999E-2</v>
      </c>
      <c r="G2872">
        <v>0.09</v>
      </c>
      <c r="H2872" s="1" t="str">
        <f>HYPERLINK("http://www.weizmann.ac.il/complex/compphys/software/geview/data/figures/205988_at.png","Figure")</f>
        <v>Figure</v>
      </c>
      <c r="I2872">
        <v>1.57</v>
      </c>
      <c r="J2872">
        <v>2.5999999999999999E-2</v>
      </c>
      <c r="K2872">
        <v>1.47</v>
      </c>
      <c r="L2872">
        <v>2.8000000000000001E-2</v>
      </c>
      <c r="M2872">
        <v>0.93799999999999994</v>
      </c>
      <c r="N2872">
        <v>0.89</v>
      </c>
    </row>
    <row r="2873" spans="1:14" x14ac:dyDescent="0.25">
      <c r="A2873" t="s">
        <v>5285</v>
      </c>
      <c r="B2873" t="s">
        <v>5286</v>
      </c>
      <c r="C2873" s="1" t="str">
        <f>HYPERLINK("http://www.genecards.org/cgi-bin/carddisp.pl?gene=GZMK","GeneCards")</f>
        <v>GeneCards</v>
      </c>
      <c r="D2873" s="1" t="str">
        <f>HYPERLINK("http://genome-euro.ucsc.edu/cgi-bin/hgTracks?position=206666_at","UCSC")</f>
        <v>UCSC</v>
      </c>
      <c r="E2873" s="1" t="str">
        <f>HYPERLINK("http://www.ncbi.nlm.nih.gov/gene/?term=GZMK","NCBI")</f>
        <v>NCBI</v>
      </c>
      <c r="F2873">
        <v>1.4999999999999999E-2</v>
      </c>
      <c r="G2873">
        <v>0.09</v>
      </c>
      <c r="H2873" s="1" t="str">
        <f>HYPERLINK("http://www.weizmann.ac.il/complex/compphys/software/geview/data/figures/206666_at.png","Figure")</f>
        <v>Figure</v>
      </c>
      <c r="I2873">
        <v>1.77</v>
      </c>
      <c r="J2873">
        <v>0.04</v>
      </c>
      <c r="K2873">
        <v>1.77</v>
      </c>
      <c r="L2873">
        <v>1.9E-2</v>
      </c>
      <c r="M2873">
        <v>0.997</v>
      </c>
      <c r="N2873">
        <v>1</v>
      </c>
    </row>
    <row r="2874" spans="1:14" x14ac:dyDescent="0.25">
      <c r="A2874" t="s">
        <v>5287</v>
      </c>
      <c r="B2874" t="s">
        <v>5288</v>
      </c>
      <c r="C2874" s="1" t="str">
        <f>HYPERLINK("http://www.genecards.org/cgi-bin/carddisp.pl?gene=CRYBB3","GeneCards")</f>
        <v>GeneCards</v>
      </c>
      <c r="D2874" s="1" t="str">
        <f>HYPERLINK("http://genome-euro.ucsc.edu/cgi-bin/hgTracks?position=207685_at","UCSC")</f>
        <v>UCSC</v>
      </c>
      <c r="E2874" s="1" t="str">
        <f>HYPERLINK("http://www.ncbi.nlm.nih.gov/gene/?term=CRYBB3","NCBI")</f>
        <v>NCBI</v>
      </c>
      <c r="F2874">
        <v>1.4999999999999999E-2</v>
      </c>
      <c r="G2874">
        <v>0.09</v>
      </c>
      <c r="H2874" s="1" t="str">
        <f>HYPERLINK("http://www.weizmann.ac.il/complex/compphys/software/geview/data/figures/207685_at.png","Figure")</f>
        <v>Figure</v>
      </c>
      <c r="I2874">
        <v>1.2</v>
      </c>
      <c r="J2874">
        <v>1.4999999999999999E-2</v>
      </c>
      <c r="K2874">
        <v>1.04</v>
      </c>
      <c r="L2874">
        <v>0.71</v>
      </c>
      <c r="M2874">
        <v>0.86399999999999999</v>
      </c>
      <c r="N2874">
        <v>0.04</v>
      </c>
    </row>
    <row r="2875" spans="1:14" x14ac:dyDescent="0.25">
      <c r="A2875" t="s">
        <v>5289</v>
      </c>
      <c r="B2875" t="s">
        <v>5290</v>
      </c>
      <c r="C2875" s="1" t="str">
        <f>HYPERLINK("http://www.genecards.org/cgi-bin/carddisp.pl?gene=DIP2A","GeneCards")</f>
        <v>GeneCards</v>
      </c>
      <c r="D2875" s="1" t="str">
        <f>HYPERLINK("http://genome-euro.ucsc.edu/cgi-bin/hgTracks?position=215529_x_at","UCSC")</f>
        <v>UCSC</v>
      </c>
      <c r="E2875" s="1" t="str">
        <f>HYPERLINK("http://www.ncbi.nlm.nih.gov/gene/?term=DIP2A","NCBI")</f>
        <v>NCBI</v>
      </c>
      <c r="F2875">
        <v>1.4999999999999999E-2</v>
      </c>
      <c r="G2875">
        <v>0.09</v>
      </c>
      <c r="H2875" s="1" t="str">
        <f>HYPERLINK("http://www.weizmann.ac.il/complex/compphys/software/geview/data/figures/215529_x_at.png","Figure")</f>
        <v>Figure</v>
      </c>
      <c r="I2875">
        <v>1.6</v>
      </c>
      <c r="J2875">
        <v>3.5999999999999997E-2</v>
      </c>
      <c r="K2875">
        <v>0.96699999999999997</v>
      </c>
      <c r="L2875">
        <v>0.97</v>
      </c>
      <c r="M2875">
        <v>0.60399999999999998</v>
      </c>
      <c r="N2875">
        <v>1.6E-2</v>
      </c>
    </row>
    <row r="2876" spans="1:14" x14ac:dyDescent="0.25">
      <c r="A2876" t="s">
        <v>5291</v>
      </c>
      <c r="B2876" t="s">
        <v>5292</v>
      </c>
      <c r="C2876" s="1" t="str">
        <f>HYPERLINK("http://www.genecards.org/cgi-bin/carddisp.pl?gene=MAGED4 /// MAGED4B","GeneCards")</f>
        <v>GeneCards</v>
      </c>
      <c r="D2876" s="1" t="str">
        <f>HYPERLINK("http://genome-euro.ucsc.edu/cgi-bin/hgTracks?position=221261_x_at","UCSC")</f>
        <v>UCSC</v>
      </c>
      <c r="E2876" s="1" t="str">
        <f>HYPERLINK("http://www.ncbi.nlm.nih.gov/gene/?term=MAGED4 /// MAGED4B","NCBI")</f>
        <v>NCBI</v>
      </c>
      <c r="F2876">
        <v>1.4999999999999999E-2</v>
      </c>
      <c r="G2876">
        <v>0.09</v>
      </c>
      <c r="H2876" s="1" t="str">
        <f>HYPERLINK("http://www.weizmann.ac.il/complex/compphys/software/geview/data/figures/221261_x_at.png","Figure")</f>
        <v>Figure</v>
      </c>
      <c r="I2876">
        <v>1.24</v>
      </c>
      <c r="J2876">
        <v>0.39</v>
      </c>
      <c r="K2876">
        <v>0.751</v>
      </c>
      <c r="L2876">
        <v>0.15</v>
      </c>
      <c r="M2876">
        <v>0.60299999999999998</v>
      </c>
      <c r="N2876">
        <v>1.4E-2</v>
      </c>
    </row>
    <row r="2877" spans="1:14" x14ac:dyDescent="0.25">
      <c r="A2877" t="s">
        <v>5293</v>
      </c>
      <c r="B2877" t="s">
        <v>5294</v>
      </c>
      <c r="C2877" s="1" t="str">
        <f>HYPERLINK("http://www.genecards.org/cgi-bin/carddisp.pl?gene=ATP2A2","GeneCards")</f>
        <v>GeneCards</v>
      </c>
      <c r="D2877" s="1" t="str">
        <f>HYPERLINK("http://genome-euro.ucsc.edu/cgi-bin/hgTracks?position=212361_s_at","UCSC")</f>
        <v>UCSC</v>
      </c>
      <c r="E2877" s="1" t="str">
        <f>HYPERLINK("http://www.ncbi.nlm.nih.gov/gene/?term=ATP2A2","NCBI")</f>
        <v>NCBI</v>
      </c>
      <c r="F2877">
        <v>1.4999999999999999E-2</v>
      </c>
      <c r="G2877">
        <v>0.09</v>
      </c>
      <c r="H2877" s="1" t="str">
        <f>HYPERLINK("http://www.weizmann.ac.il/complex/compphys/software/geview/data/figures/212361_s_at.png","Figure")</f>
        <v>Figure</v>
      </c>
      <c r="I2877">
        <v>0.59199999999999997</v>
      </c>
      <c r="J2877">
        <v>0.04</v>
      </c>
      <c r="K2877">
        <v>1.06</v>
      </c>
      <c r="L2877">
        <v>0.94</v>
      </c>
      <c r="M2877">
        <v>1.79</v>
      </c>
      <c r="N2877">
        <v>1.4999999999999999E-2</v>
      </c>
    </row>
    <row r="2878" spans="1:14" x14ac:dyDescent="0.25">
      <c r="A2878" t="s">
        <v>5295</v>
      </c>
      <c r="B2878" t="s">
        <v>5296</v>
      </c>
      <c r="C2878" s="1" t="str">
        <f>HYPERLINK("http://www.genecards.org/cgi-bin/carddisp.pl?gene=TACC2","GeneCards")</f>
        <v>GeneCards</v>
      </c>
      <c r="D2878" s="1" t="str">
        <f>HYPERLINK("http://genome-euro.ucsc.edu/cgi-bin/hgTracks?position=202289_s_at","UCSC")</f>
        <v>UCSC</v>
      </c>
      <c r="E2878" s="1" t="str">
        <f>HYPERLINK("http://www.ncbi.nlm.nih.gov/gene/?term=TACC2","NCBI")</f>
        <v>NCBI</v>
      </c>
      <c r="F2878">
        <v>1.4999999999999999E-2</v>
      </c>
      <c r="G2878">
        <v>0.09</v>
      </c>
      <c r="H2878" s="1" t="str">
        <f>HYPERLINK("http://www.weizmann.ac.il/complex/compphys/software/geview/data/figures/202289_s_at.png","Figure")</f>
        <v>Figure</v>
      </c>
      <c r="I2878">
        <v>2.27</v>
      </c>
      <c r="J2878">
        <v>0.04</v>
      </c>
      <c r="K2878">
        <v>2.27</v>
      </c>
      <c r="L2878">
        <v>1.9E-2</v>
      </c>
      <c r="M2878">
        <v>1</v>
      </c>
      <c r="N2878">
        <v>1</v>
      </c>
    </row>
    <row r="2879" spans="1:14" x14ac:dyDescent="0.25">
      <c r="A2879" t="s">
        <v>5297</v>
      </c>
      <c r="B2879" t="s">
        <v>5298</v>
      </c>
      <c r="C2879" s="1" t="str">
        <f>HYPERLINK("http://www.genecards.org/cgi-bin/carddisp.pl?gene=IDH3A","GeneCards")</f>
        <v>GeneCards</v>
      </c>
      <c r="D2879" s="1" t="str">
        <f>HYPERLINK("http://genome-euro.ucsc.edu/cgi-bin/hgTracks?position=202070_s_at","UCSC")</f>
        <v>UCSC</v>
      </c>
      <c r="E2879" s="1" t="str">
        <f>HYPERLINK("http://www.ncbi.nlm.nih.gov/gene/?term=IDH3A","NCBI")</f>
        <v>NCBI</v>
      </c>
      <c r="F2879">
        <v>1.4999999999999999E-2</v>
      </c>
      <c r="G2879">
        <v>0.09</v>
      </c>
      <c r="H2879" s="1" t="str">
        <f>HYPERLINK("http://www.weizmann.ac.il/complex/compphys/software/geview/data/figures/202070_s_at.png","Figure")</f>
        <v>Figure</v>
      </c>
      <c r="I2879">
        <v>0.76800000000000002</v>
      </c>
      <c r="J2879">
        <v>8.2000000000000003E-2</v>
      </c>
      <c r="K2879">
        <v>1.1000000000000001</v>
      </c>
      <c r="L2879">
        <v>0.63</v>
      </c>
      <c r="M2879">
        <v>1.43</v>
      </c>
      <c r="N2879">
        <v>1.2E-2</v>
      </c>
    </row>
    <row r="2880" spans="1:14" x14ac:dyDescent="0.25">
      <c r="A2880" t="s">
        <v>5299</v>
      </c>
      <c r="B2880" t="s">
        <v>5300</v>
      </c>
      <c r="C2880" s="1" t="str">
        <f>HYPERLINK("http://www.genecards.org/cgi-bin/carddisp.pl?gene=PHF20","GeneCards")</f>
        <v>GeneCards</v>
      </c>
      <c r="D2880" s="1" t="str">
        <f>HYPERLINK("http://genome-euro.ucsc.edu/cgi-bin/hgTracks?position=209423_s_at","UCSC")</f>
        <v>UCSC</v>
      </c>
      <c r="E2880" s="1" t="str">
        <f>HYPERLINK("http://www.ncbi.nlm.nih.gov/gene/?term=PHF20","NCBI")</f>
        <v>NCBI</v>
      </c>
      <c r="F2880">
        <v>1.4999999999999999E-2</v>
      </c>
      <c r="G2880">
        <v>0.09</v>
      </c>
      <c r="H2880" s="1" t="str">
        <f>HYPERLINK("http://www.weizmann.ac.il/complex/compphys/software/geview/data/figures/209423_s_at.png","Figure")</f>
        <v>Figure</v>
      </c>
      <c r="I2880">
        <v>1.34</v>
      </c>
      <c r="J2880">
        <v>1.2E-2</v>
      </c>
      <c r="K2880">
        <v>1.1200000000000001</v>
      </c>
      <c r="L2880">
        <v>0.3</v>
      </c>
      <c r="M2880">
        <v>0.84</v>
      </c>
      <c r="N2880">
        <v>0.11</v>
      </c>
    </row>
    <row r="2881" spans="1:14" x14ac:dyDescent="0.25">
      <c r="A2881" t="s">
        <v>5301</v>
      </c>
      <c r="B2881" t="s">
        <v>1042</v>
      </c>
      <c r="C2881" s="1" t="str">
        <f>HYPERLINK("http://www.genecards.org/cgi-bin/carddisp.pl?gene=HBS1L","GeneCards")</f>
        <v>GeneCards</v>
      </c>
      <c r="D2881" s="1" t="str">
        <f>HYPERLINK("http://genome-euro.ucsc.edu/cgi-bin/hgTracks?position=209314_s_at","UCSC")</f>
        <v>UCSC</v>
      </c>
      <c r="E2881" s="1" t="str">
        <f>HYPERLINK("http://www.ncbi.nlm.nih.gov/gene/?term=HBS1L","NCBI")</f>
        <v>NCBI</v>
      </c>
      <c r="F2881">
        <v>1.4999999999999999E-2</v>
      </c>
      <c r="G2881">
        <v>0.09</v>
      </c>
      <c r="H2881" s="1" t="str">
        <f>HYPERLINK("http://www.weizmann.ac.il/complex/compphys/software/geview/data/figures/209314_s_at.png","Figure")</f>
        <v>Figure</v>
      </c>
      <c r="I2881">
        <v>0.51500000000000001</v>
      </c>
      <c r="J2881">
        <v>2.5000000000000001E-2</v>
      </c>
      <c r="K2881">
        <v>0.97299999999999998</v>
      </c>
      <c r="L2881">
        <v>0.99</v>
      </c>
      <c r="M2881">
        <v>1.89</v>
      </c>
      <c r="N2881">
        <v>2.1999999999999999E-2</v>
      </c>
    </row>
    <row r="2882" spans="1:14" x14ac:dyDescent="0.25">
      <c r="A2882" t="s">
        <v>5302</v>
      </c>
      <c r="B2882" t="s">
        <v>5303</v>
      </c>
      <c r="C2882" s="1" t="str">
        <f>HYPERLINK("http://www.genecards.org/cgi-bin/carddisp.pl?gene=TPM4","GeneCards")</f>
        <v>GeneCards</v>
      </c>
      <c r="D2882" s="1" t="str">
        <f>HYPERLINK("http://genome-euro.ucsc.edu/cgi-bin/hgTracks?position=212481_s_at","UCSC")</f>
        <v>UCSC</v>
      </c>
      <c r="E2882" s="1" t="str">
        <f>HYPERLINK("http://www.ncbi.nlm.nih.gov/gene/?term=TPM4","NCBI")</f>
        <v>NCBI</v>
      </c>
      <c r="F2882">
        <v>1.4999999999999999E-2</v>
      </c>
      <c r="G2882">
        <v>0.09</v>
      </c>
      <c r="H2882" s="1" t="str">
        <f>HYPERLINK("http://www.weizmann.ac.il/complex/compphys/software/geview/data/figures/212481_s_at.png","Figure")</f>
        <v>Figure</v>
      </c>
      <c r="I2882">
        <v>1.8</v>
      </c>
      <c r="J2882">
        <v>1.2E-2</v>
      </c>
      <c r="K2882">
        <v>1.25</v>
      </c>
      <c r="L2882">
        <v>0.34</v>
      </c>
      <c r="M2882">
        <v>0.69099999999999995</v>
      </c>
      <c r="N2882">
        <v>9.4E-2</v>
      </c>
    </row>
    <row r="2883" spans="1:14" x14ac:dyDescent="0.25">
      <c r="A2883" t="s">
        <v>5304</v>
      </c>
      <c r="B2883" t="s">
        <v>5305</v>
      </c>
      <c r="C2883" s="1" t="str">
        <f>HYPERLINK("http://www.genecards.org/cgi-bin/carddisp.pl?gene=LDHB","GeneCards")</f>
        <v>GeneCards</v>
      </c>
      <c r="D2883" s="1" t="str">
        <f>HYPERLINK("http://genome-euro.ucsc.edu/cgi-bin/hgTracks?position=213564_x_at","UCSC")</f>
        <v>UCSC</v>
      </c>
      <c r="E2883" s="1" t="str">
        <f>HYPERLINK("http://www.ncbi.nlm.nih.gov/gene/?term=LDHB","NCBI")</f>
        <v>NCBI</v>
      </c>
      <c r="F2883">
        <v>1.4999999999999999E-2</v>
      </c>
      <c r="G2883">
        <v>0.09</v>
      </c>
      <c r="H2883" s="1" t="str">
        <f>HYPERLINK("http://www.weizmann.ac.il/complex/compphys/software/geview/data/figures/213564_x_at.png","Figure")</f>
        <v>Figure</v>
      </c>
      <c r="I2883">
        <v>1.42</v>
      </c>
      <c r="J2883">
        <v>0.34</v>
      </c>
      <c r="K2883">
        <v>2.0499999999999998</v>
      </c>
      <c r="L2883">
        <v>1.2E-2</v>
      </c>
      <c r="M2883">
        <v>1.44</v>
      </c>
      <c r="N2883">
        <v>0.27</v>
      </c>
    </row>
    <row r="2884" spans="1:14" x14ac:dyDescent="0.25">
      <c r="A2884" t="s">
        <v>5306</v>
      </c>
      <c r="B2884" t="s">
        <v>5307</v>
      </c>
      <c r="C2884" s="1" t="str">
        <f>HYPERLINK("http://www.genecards.org/cgi-bin/carddisp.pl?gene=HN1","GeneCards")</f>
        <v>GeneCards</v>
      </c>
      <c r="D2884" s="1" t="str">
        <f>HYPERLINK("http://genome-euro.ucsc.edu/cgi-bin/hgTracks?position=217755_at","UCSC")</f>
        <v>UCSC</v>
      </c>
      <c r="E2884" s="1" t="str">
        <f>HYPERLINK("http://www.ncbi.nlm.nih.gov/gene/?term=HN1","NCBI")</f>
        <v>NCBI</v>
      </c>
      <c r="F2884">
        <v>1.4999999999999999E-2</v>
      </c>
      <c r="G2884">
        <v>0.09</v>
      </c>
      <c r="H2884" s="1" t="str">
        <f>HYPERLINK("http://www.weizmann.ac.il/complex/compphys/software/geview/data/figures/217755_at.png","Figure")</f>
        <v>Figure</v>
      </c>
      <c r="I2884">
        <v>0.81799999999999995</v>
      </c>
      <c r="J2884">
        <v>0.4</v>
      </c>
      <c r="K2884">
        <v>1.3</v>
      </c>
      <c r="L2884">
        <v>0.14000000000000001</v>
      </c>
      <c r="M2884">
        <v>1.59</v>
      </c>
      <c r="N2884">
        <v>1.4E-2</v>
      </c>
    </row>
    <row r="2885" spans="1:14" x14ac:dyDescent="0.25">
      <c r="A2885" t="s">
        <v>5308</v>
      </c>
      <c r="B2885" t="s">
        <v>5309</v>
      </c>
      <c r="C2885" s="1" t="str">
        <f>HYPERLINK("http://www.genecards.org/cgi-bin/carddisp.pl?gene=HR44","GeneCards")</f>
        <v>GeneCards</v>
      </c>
      <c r="D2885" s="1" t="str">
        <f>HYPERLINK("http://genome-euro.ucsc.edu/cgi-bin/hgTracks?position=216879_at","UCSC")</f>
        <v>UCSC</v>
      </c>
      <c r="E2885" s="1" t="str">
        <f>HYPERLINK("http://www.ncbi.nlm.nih.gov/gene/?term=HR44","NCBI")</f>
        <v>NCBI</v>
      </c>
      <c r="F2885">
        <v>1.4999999999999999E-2</v>
      </c>
      <c r="G2885">
        <v>0.09</v>
      </c>
      <c r="H2885" s="1" t="str">
        <f>HYPERLINK("http://www.weizmann.ac.il/complex/compphys/software/geview/data/figures/216879_at.png","Figure")</f>
        <v>Figure</v>
      </c>
      <c r="I2885">
        <v>1.1599999999999999</v>
      </c>
      <c r="J2885">
        <v>2.8000000000000001E-2</v>
      </c>
      <c r="K2885">
        <v>1</v>
      </c>
      <c r="L2885">
        <v>1</v>
      </c>
      <c r="M2885">
        <v>0.86399999999999999</v>
      </c>
      <c r="N2885">
        <v>0.02</v>
      </c>
    </row>
    <row r="2886" spans="1:14" x14ac:dyDescent="0.25">
      <c r="A2886" t="s">
        <v>5310</v>
      </c>
      <c r="B2886" t="s">
        <v>5311</v>
      </c>
      <c r="C2886" s="1" t="str">
        <f>HYPERLINK("http://www.genecards.org/cgi-bin/carddisp.pl?gene=LANCL1","GeneCards")</f>
        <v>GeneCards</v>
      </c>
      <c r="D2886" s="1" t="str">
        <f>HYPERLINK("http://genome-euro.ucsc.edu/cgi-bin/hgTracks?position=202019_s_at","UCSC")</f>
        <v>UCSC</v>
      </c>
      <c r="E2886" s="1" t="str">
        <f>HYPERLINK("http://www.ncbi.nlm.nih.gov/gene/?term=LANCL1","NCBI")</f>
        <v>NCBI</v>
      </c>
      <c r="F2886">
        <v>1.4999999999999999E-2</v>
      </c>
      <c r="G2886">
        <v>0.09</v>
      </c>
      <c r="H2886" s="1" t="str">
        <f>HYPERLINK("http://www.weizmann.ac.il/complex/compphys/software/geview/data/figures/202019_s_at.png","Figure")</f>
        <v>Figure</v>
      </c>
      <c r="I2886">
        <v>1.37</v>
      </c>
      <c r="J2886">
        <v>1.2E-2</v>
      </c>
      <c r="K2886">
        <v>1.1399999999999999</v>
      </c>
      <c r="L2886">
        <v>0.28000000000000003</v>
      </c>
      <c r="M2886">
        <v>0.82899999999999996</v>
      </c>
      <c r="N2886">
        <v>0.12</v>
      </c>
    </row>
    <row r="2887" spans="1:14" x14ac:dyDescent="0.25">
      <c r="A2887" t="s">
        <v>5312</v>
      </c>
      <c r="B2887" t="s">
        <v>5313</v>
      </c>
      <c r="C2887" s="1" t="str">
        <f>HYPERLINK("http://www.genecards.org/cgi-bin/carddisp.pl?gene=SEC24B","GeneCards")</f>
        <v>GeneCards</v>
      </c>
      <c r="D2887" s="1" t="str">
        <f>HYPERLINK("http://genome-euro.ucsc.edu/cgi-bin/hgTracks?position=202798_at","UCSC")</f>
        <v>UCSC</v>
      </c>
      <c r="E2887" s="1" t="str">
        <f>HYPERLINK("http://www.ncbi.nlm.nih.gov/gene/?term=SEC24B","NCBI")</f>
        <v>NCBI</v>
      </c>
      <c r="F2887">
        <v>1.4999999999999999E-2</v>
      </c>
      <c r="G2887">
        <v>0.09</v>
      </c>
      <c r="H2887" s="1" t="str">
        <f>HYPERLINK("http://www.weizmann.ac.il/complex/compphys/software/geview/data/figures/202798_at.png","Figure")</f>
        <v>Figure</v>
      </c>
      <c r="I2887">
        <v>0.58699999999999997</v>
      </c>
      <c r="J2887">
        <v>5.1999999999999998E-2</v>
      </c>
      <c r="K2887">
        <v>0.56299999999999994</v>
      </c>
      <c r="L2887">
        <v>1.7000000000000001E-2</v>
      </c>
      <c r="M2887">
        <v>0.95899999999999996</v>
      </c>
      <c r="N2887">
        <v>0.97</v>
      </c>
    </row>
    <row r="2888" spans="1:14" x14ac:dyDescent="0.25">
      <c r="A2888" t="s">
        <v>5314</v>
      </c>
      <c r="B2888" t="s">
        <v>5315</v>
      </c>
      <c r="C2888" s="1" t="str">
        <f>HYPERLINK("http://www.genecards.org/cgi-bin/carddisp.pl?gene=KCND3","GeneCards")</f>
        <v>GeneCards</v>
      </c>
      <c r="D2888" s="1" t="str">
        <f>HYPERLINK("http://genome-euro.ucsc.edu/cgi-bin/hgTracks?position=211301_at","UCSC")</f>
        <v>UCSC</v>
      </c>
      <c r="E2888" s="1" t="str">
        <f>HYPERLINK("http://www.ncbi.nlm.nih.gov/gene/?term=KCND3","NCBI")</f>
        <v>NCBI</v>
      </c>
      <c r="F2888">
        <v>1.4999999999999999E-2</v>
      </c>
      <c r="G2888">
        <v>0.09</v>
      </c>
      <c r="H2888" s="1" t="str">
        <f>HYPERLINK("http://www.weizmann.ac.il/complex/compphys/software/geview/data/figures/211301_at.png","Figure")</f>
        <v>Figure</v>
      </c>
      <c r="I2888">
        <v>1.28</v>
      </c>
      <c r="J2888">
        <v>1.2E-2</v>
      </c>
      <c r="K2888">
        <v>1.1100000000000001</v>
      </c>
      <c r="L2888">
        <v>0.28999999999999998</v>
      </c>
      <c r="M2888">
        <v>0.86199999999999999</v>
      </c>
      <c r="N2888">
        <v>0.11</v>
      </c>
    </row>
    <row r="2889" spans="1:14" x14ac:dyDescent="0.25">
      <c r="A2889" t="s">
        <v>5316</v>
      </c>
      <c r="B2889" t="s">
        <v>5317</v>
      </c>
      <c r="C2889" s="1" t="str">
        <f>HYPERLINK("http://www.genecards.org/cgi-bin/carddisp.pl?gene=ZC3H11A","GeneCards")</f>
        <v>GeneCards</v>
      </c>
      <c r="D2889" s="1" t="str">
        <f>HYPERLINK("http://genome-euro.ucsc.edu/cgi-bin/hgTracks?position=205787_x_at","UCSC")</f>
        <v>UCSC</v>
      </c>
      <c r="E2889" s="1" t="str">
        <f>HYPERLINK("http://www.ncbi.nlm.nih.gov/gene/?term=ZC3H11A","NCBI")</f>
        <v>NCBI</v>
      </c>
      <c r="F2889">
        <v>1.4999999999999999E-2</v>
      </c>
      <c r="G2889">
        <v>0.09</v>
      </c>
      <c r="H2889" s="1" t="str">
        <f>HYPERLINK("http://www.weizmann.ac.il/complex/compphys/software/geview/data/figures/205787_x_at.png","Figure")</f>
        <v>Figure</v>
      </c>
      <c r="I2889">
        <v>1.45</v>
      </c>
      <c r="J2889">
        <v>1.4E-2</v>
      </c>
      <c r="K2889">
        <v>1.1000000000000001</v>
      </c>
      <c r="L2889">
        <v>0.59</v>
      </c>
      <c r="M2889">
        <v>0.76</v>
      </c>
      <c r="N2889">
        <v>5.0999999999999997E-2</v>
      </c>
    </row>
    <row r="2890" spans="1:14" x14ac:dyDescent="0.25">
      <c r="A2890" t="s">
        <v>5318</v>
      </c>
      <c r="B2890" t="s">
        <v>5319</v>
      </c>
      <c r="C2890" s="1" t="str">
        <f>HYPERLINK("http://www.genecards.org/cgi-bin/carddisp.pl?gene=NCRNA00081","GeneCards")</f>
        <v>GeneCards</v>
      </c>
      <c r="D2890" s="1" t="str">
        <f>HYPERLINK("http://genome-euro.ucsc.edu/cgi-bin/hgTracks?position=213224_s_at","UCSC")</f>
        <v>UCSC</v>
      </c>
      <c r="E2890" s="1" t="str">
        <f>HYPERLINK("http://www.ncbi.nlm.nih.gov/gene/?term=NCRNA00081","NCBI")</f>
        <v>NCBI</v>
      </c>
      <c r="F2890">
        <v>1.4999999999999999E-2</v>
      </c>
      <c r="G2890">
        <v>0.09</v>
      </c>
      <c r="H2890" s="1" t="str">
        <f>HYPERLINK("http://www.weizmann.ac.il/complex/compphys/software/geview/data/figures/213224_s_at.png","Figure")</f>
        <v>Figure</v>
      </c>
      <c r="I2890">
        <v>0.90700000000000003</v>
      </c>
      <c r="J2890">
        <v>3.3000000000000002E-2</v>
      </c>
      <c r="K2890">
        <v>1</v>
      </c>
      <c r="L2890">
        <v>0.99</v>
      </c>
      <c r="M2890">
        <v>1.1100000000000001</v>
      </c>
      <c r="N2890">
        <v>1.7999999999999999E-2</v>
      </c>
    </row>
    <row r="2891" spans="1:14" x14ac:dyDescent="0.25">
      <c r="A2891" t="s">
        <v>5320</v>
      </c>
      <c r="B2891" t="s">
        <v>5321</v>
      </c>
      <c r="C2891" s="1" t="str">
        <f>HYPERLINK("http://www.genecards.org/cgi-bin/carddisp.pl?gene=LHX3","GeneCards")</f>
        <v>GeneCards</v>
      </c>
      <c r="D2891" s="1" t="str">
        <f>HYPERLINK("http://genome-euro.ucsc.edu/cgi-bin/hgTracks?position=221670_s_at","UCSC")</f>
        <v>UCSC</v>
      </c>
      <c r="E2891" s="1" t="str">
        <f>HYPERLINK("http://www.ncbi.nlm.nih.gov/gene/?term=LHX3","NCBI")</f>
        <v>NCBI</v>
      </c>
      <c r="F2891">
        <v>1.4999999999999999E-2</v>
      </c>
      <c r="G2891">
        <v>0.09</v>
      </c>
      <c r="H2891" s="1" t="str">
        <f>HYPERLINK("http://www.weizmann.ac.il/complex/compphys/software/geview/data/figures/221670_s_at.png","Figure")</f>
        <v>Figure</v>
      </c>
      <c r="I2891">
        <v>1.29</v>
      </c>
      <c r="J2891">
        <v>5.0999999999999997E-2</v>
      </c>
      <c r="K2891">
        <v>0.95399999999999996</v>
      </c>
      <c r="L2891">
        <v>0.85</v>
      </c>
      <c r="M2891">
        <v>0.73799999999999999</v>
      </c>
      <c r="N2891">
        <v>1.4E-2</v>
      </c>
    </row>
    <row r="2892" spans="1:14" x14ac:dyDescent="0.25">
      <c r="A2892" t="s">
        <v>5322</v>
      </c>
      <c r="B2892" t="s">
        <v>5323</v>
      </c>
      <c r="C2892" s="1" t="str">
        <f>HYPERLINK("http://www.genecards.org/cgi-bin/carddisp.pl?gene=PDCD2","GeneCards")</f>
        <v>GeneCards</v>
      </c>
      <c r="D2892" s="1" t="str">
        <f>HYPERLINK("http://genome-euro.ucsc.edu/cgi-bin/hgTracks?position=204025_s_at","UCSC")</f>
        <v>UCSC</v>
      </c>
      <c r="E2892" s="1" t="str">
        <f>HYPERLINK("http://www.ncbi.nlm.nih.gov/gene/?term=PDCD2","NCBI")</f>
        <v>NCBI</v>
      </c>
      <c r="F2892">
        <v>1.4999999999999999E-2</v>
      </c>
      <c r="G2892">
        <v>0.09</v>
      </c>
      <c r="H2892" s="1" t="str">
        <f>HYPERLINK("http://www.weizmann.ac.il/complex/compphys/software/geview/data/figures/204025_s_at.png","Figure")</f>
        <v>Figure</v>
      </c>
      <c r="I2892">
        <v>0.79900000000000004</v>
      </c>
      <c r="J2892">
        <v>0.05</v>
      </c>
      <c r="K2892">
        <v>1.04</v>
      </c>
      <c r="L2892">
        <v>0.86</v>
      </c>
      <c r="M2892">
        <v>1.3</v>
      </c>
      <c r="N2892">
        <v>1.4E-2</v>
      </c>
    </row>
    <row r="2893" spans="1:14" x14ac:dyDescent="0.25">
      <c r="A2893" t="s">
        <v>5324</v>
      </c>
      <c r="B2893" t="s">
        <v>5325</v>
      </c>
      <c r="C2893" s="1" t="str">
        <f>HYPERLINK("http://www.genecards.org/cgi-bin/carddisp.pl?gene=FLJ10038","GeneCards")</f>
        <v>GeneCards</v>
      </c>
      <c r="D2893" s="1" t="str">
        <f>HYPERLINK("http://genome-euro.ucsc.edu/cgi-bin/hgTracks?position=205510_s_at","UCSC")</f>
        <v>UCSC</v>
      </c>
      <c r="E2893" s="1" t="str">
        <f>HYPERLINK("http://www.ncbi.nlm.nih.gov/gene/?term=FLJ10038","NCBI")</f>
        <v>NCBI</v>
      </c>
      <c r="F2893">
        <v>1.4999999999999999E-2</v>
      </c>
      <c r="G2893">
        <v>0.09</v>
      </c>
      <c r="H2893" s="1" t="str">
        <f>HYPERLINK("http://www.weizmann.ac.il/complex/compphys/software/geview/data/figures/205510_s_at.png","Figure")</f>
        <v>Figure</v>
      </c>
      <c r="I2893">
        <v>1.22</v>
      </c>
      <c r="J2893">
        <v>0.56000000000000005</v>
      </c>
      <c r="K2893">
        <v>0.68600000000000005</v>
      </c>
      <c r="L2893">
        <v>9.6000000000000002E-2</v>
      </c>
      <c r="M2893">
        <v>0.56200000000000006</v>
      </c>
      <c r="N2893">
        <v>1.6E-2</v>
      </c>
    </row>
    <row r="2894" spans="1:14" x14ac:dyDescent="0.25">
      <c r="A2894" t="s">
        <v>5326</v>
      </c>
      <c r="B2894" t="s">
        <v>5327</v>
      </c>
      <c r="C2894" s="1" t="str">
        <f>HYPERLINK("http://www.genecards.org/cgi-bin/carddisp.pl?gene=CD8B","GeneCards")</f>
        <v>GeneCards</v>
      </c>
      <c r="D2894" s="1" t="str">
        <f>HYPERLINK("http://genome-euro.ucsc.edu/cgi-bin/hgTracks?position=207979_s_at","UCSC")</f>
        <v>UCSC</v>
      </c>
      <c r="E2894" s="1" t="str">
        <f>HYPERLINK("http://www.ncbi.nlm.nih.gov/gene/?term=CD8B","NCBI")</f>
        <v>NCBI</v>
      </c>
      <c r="F2894">
        <v>1.4999999999999999E-2</v>
      </c>
      <c r="G2894">
        <v>0.09</v>
      </c>
      <c r="H2894" s="1" t="str">
        <f>HYPERLINK("http://www.weizmann.ac.il/complex/compphys/software/geview/data/figures/207979_s_at.png","Figure")</f>
        <v>Figure</v>
      </c>
      <c r="I2894">
        <v>1.3</v>
      </c>
      <c r="J2894">
        <v>1.7000000000000001E-2</v>
      </c>
      <c r="K2894">
        <v>1.2</v>
      </c>
      <c r="L2894">
        <v>5.3999999999999999E-2</v>
      </c>
      <c r="M2894">
        <v>0.92500000000000004</v>
      </c>
      <c r="N2894">
        <v>0.56000000000000005</v>
      </c>
    </row>
    <row r="2895" spans="1:14" x14ac:dyDescent="0.25">
      <c r="A2895" t="s">
        <v>5328</v>
      </c>
      <c r="B2895" t="s">
        <v>5329</v>
      </c>
      <c r="C2895" s="1" t="str">
        <f>HYPERLINK("http://www.genecards.org/cgi-bin/carddisp.pl?gene=SRP14","GeneCards")</f>
        <v>GeneCards</v>
      </c>
      <c r="D2895" s="1" t="str">
        <f>HYPERLINK("http://genome-euro.ucsc.edu/cgi-bin/hgTracks?position=200007_at","UCSC")</f>
        <v>UCSC</v>
      </c>
      <c r="E2895" s="1" t="str">
        <f>HYPERLINK("http://www.ncbi.nlm.nih.gov/gene/?term=SRP14","NCBI")</f>
        <v>NCBI</v>
      </c>
      <c r="F2895">
        <v>1.4999999999999999E-2</v>
      </c>
      <c r="G2895">
        <v>0.09</v>
      </c>
      <c r="H2895" s="1" t="str">
        <f>HYPERLINK("http://www.weizmann.ac.il/complex/compphys/software/geview/data/figures/200007_at.png","Figure")</f>
        <v>Figure</v>
      </c>
      <c r="I2895">
        <v>1.38</v>
      </c>
      <c r="J2895">
        <v>4.4999999999999998E-2</v>
      </c>
      <c r="K2895">
        <v>1.39</v>
      </c>
      <c r="L2895">
        <v>1.7999999999999999E-2</v>
      </c>
      <c r="M2895">
        <v>1.01</v>
      </c>
      <c r="N2895">
        <v>1</v>
      </c>
    </row>
    <row r="2896" spans="1:14" x14ac:dyDescent="0.25">
      <c r="A2896" t="s">
        <v>5330</v>
      </c>
      <c r="B2896" t="s">
        <v>5331</v>
      </c>
      <c r="C2896" s="1" t="str">
        <f>HYPERLINK("http://www.genecards.org/cgi-bin/carddisp.pl?gene=TBKBP1","GeneCards")</f>
        <v>GeneCards</v>
      </c>
      <c r="D2896" s="1" t="str">
        <f>HYPERLINK("http://genome-euro.ucsc.edu/cgi-bin/hgTracks?position=205424_at","UCSC")</f>
        <v>UCSC</v>
      </c>
      <c r="E2896" s="1" t="str">
        <f>HYPERLINK("http://www.ncbi.nlm.nih.gov/gene/?term=TBKBP1","NCBI")</f>
        <v>NCBI</v>
      </c>
      <c r="F2896">
        <v>1.4999999999999999E-2</v>
      </c>
      <c r="G2896">
        <v>0.09</v>
      </c>
      <c r="H2896" s="1" t="str">
        <f>HYPERLINK("http://www.weizmann.ac.il/complex/compphys/software/geview/data/figures/205424_at.png","Figure")</f>
        <v>Figure</v>
      </c>
      <c r="I2896">
        <v>1.23</v>
      </c>
      <c r="J2896">
        <v>0.12</v>
      </c>
      <c r="K2896">
        <v>1.33</v>
      </c>
      <c r="L2896">
        <v>1.2999999999999999E-2</v>
      </c>
      <c r="M2896">
        <v>1.08</v>
      </c>
      <c r="N2896">
        <v>0.68</v>
      </c>
    </row>
    <row r="2897" spans="1:14" x14ac:dyDescent="0.25">
      <c r="A2897" t="s">
        <v>5332</v>
      </c>
      <c r="B2897" t="s">
        <v>5333</v>
      </c>
      <c r="C2897" s="1" t="str">
        <f>HYPERLINK("http://www.genecards.org/cgi-bin/carddisp.pl?gene=CRLF1","GeneCards")</f>
        <v>GeneCards</v>
      </c>
      <c r="D2897" s="1" t="str">
        <f>HYPERLINK("http://genome-euro.ucsc.edu/cgi-bin/hgTracks?position=206315_at","UCSC")</f>
        <v>UCSC</v>
      </c>
      <c r="E2897" s="1" t="str">
        <f>HYPERLINK("http://www.ncbi.nlm.nih.gov/gene/?term=CRLF1","NCBI")</f>
        <v>NCBI</v>
      </c>
      <c r="F2897">
        <v>1.4999999999999999E-2</v>
      </c>
      <c r="G2897">
        <v>0.09</v>
      </c>
      <c r="H2897" s="1" t="str">
        <f>HYPERLINK("http://www.weizmann.ac.il/complex/compphys/software/geview/data/figures/206315_at.png","Figure")</f>
        <v>Figure</v>
      </c>
      <c r="I2897">
        <v>1.26</v>
      </c>
      <c r="J2897">
        <v>1.2999999999999999E-2</v>
      </c>
      <c r="K2897">
        <v>1.1399999999999999</v>
      </c>
      <c r="L2897">
        <v>0.11</v>
      </c>
      <c r="M2897">
        <v>0.90400000000000003</v>
      </c>
      <c r="N2897">
        <v>0.3</v>
      </c>
    </row>
    <row r="2898" spans="1:14" x14ac:dyDescent="0.25">
      <c r="A2898" t="s">
        <v>5334</v>
      </c>
      <c r="B2898" t="s">
        <v>5335</v>
      </c>
      <c r="C2898" s="1" t="str">
        <f>HYPERLINK("http://www.genecards.org/cgi-bin/carddisp.pl?gene=GP9","GeneCards")</f>
        <v>GeneCards</v>
      </c>
      <c r="D2898" s="1" t="str">
        <f>HYPERLINK("http://genome-euro.ucsc.edu/cgi-bin/hgTracks?position=206883_x_at","UCSC")</f>
        <v>UCSC</v>
      </c>
      <c r="E2898" s="1" t="str">
        <f>HYPERLINK("http://www.ncbi.nlm.nih.gov/gene/?term=GP9","NCBI")</f>
        <v>NCBI</v>
      </c>
      <c r="F2898">
        <v>1.4999999999999999E-2</v>
      </c>
      <c r="G2898">
        <v>0.09</v>
      </c>
      <c r="H2898" s="1" t="str">
        <f>HYPERLINK("http://www.weizmann.ac.il/complex/compphys/software/geview/data/figures/206883_x_at.png","Figure")</f>
        <v>Figure</v>
      </c>
      <c r="I2898">
        <v>1.33</v>
      </c>
      <c r="J2898">
        <v>1.9E-2</v>
      </c>
      <c r="K2898">
        <v>1.04</v>
      </c>
      <c r="L2898">
        <v>0.87</v>
      </c>
      <c r="M2898">
        <v>0.78400000000000003</v>
      </c>
      <c r="N2898">
        <v>0.03</v>
      </c>
    </row>
    <row r="2899" spans="1:14" x14ac:dyDescent="0.25">
      <c r="A2899" t="s">
        <v>5336</v>
      </c>
      <c r="B2899" t="s">
        <v>5337</v>
      </c>
      <c r="C2899" s="1" t="str">
        <f>HYPERLINK("http://www.genecards.org/cgi-bin/carddisp.pl?gene=CLNS1A","GeneCards")</f>
        <v>GeneCards</v>
      </c>
      <c r="D2899" s="1" t="str">
        <f>HYPERLINK("http://genome-euro.ucsc.edu/cgi-bin/hgTracks?position=209143_s_at","UCSC")</f>
        <v>UCSC</v>
      </c>
      <c r="E2899" s="1" t="str">
        <f>HYPERLINK("http://www.ncbi.nlm.nih.gov/gene/?term=CLNS1A","NCBI")</f>
        <v>NCBI</v>
      </c>
      <c r="F2899">
        <v>1.4999999999999999E-2</v>
      </c>
      <c r="G2899">
        <v>0.09</v>
      </c>
      <c r="H2899" s="1" t="str">
        <f>HYPERLINK("http://www.weizmann.ac.il/complex/compphys/software/geview/data/figures/209143_s_at.png","Figure")</f>
        <v>Figure</v>
      </c>
      <c r="I2899">
        <v>1.08</v>
      </c>
      <c r="J2899">
        <v>0.93</v>
      </c>
      <c r="K2899">
        <v>1.84</v>
      </c>
      <c r="L2899">
        <v>2.1000000000000001E-2</v>
      </c>
      <c r="M2899">
        <v>1.69</v>
      </c>
      <c r="N2899">
        <v>6.2E-2</v>
      </c>
    </row>
    <row r="2900" spans="1:14" x14ac:dyDescent="0.25">
      <c r="A2900" t="s">
        <v>5338</v>
      </c>
      <c r="B2900" t="s">
        <v>5339</v>
      </c>
      <c r="C2900" s="1" t="str">
        <f>HYPERLINK("http://www.genecards.org/cgi-bin/carddisp.pl?gene=PCSK6","GeneCards")</f>
        <v>GeneCards</v>
      </c>
      <c r="D2900" s="1" t="str">
        <f>HYPERLINK("http://genome-euro.ucsc.edu/cgi-bin/hgTracks?position=210553_x_at","UCSC")</f>
        <v>UCSC</v>
      </c>
      <c r="E2900" s="1" t="str">
        <f>HYPERLINK("http://www.ncbi.nlm.nih.gov/gene/?term=PCSK6","NCBI")</f>
        <v>NCBI</v>
      </c>
      <c r="F2900">
        <v>1.4999999999999999E-2</v>
      </c>
      <c r="G2900">
        <v>0.09</v>
      </c>
      <c r="H2900" s="1" t="str">
        <f>HYPERLINK("http://www.weizmann.ac.il/complex/compphys/software/geview/data/figures/210553_x_at.png","Figure")</f>
        <v>Figure</v>
      </c>
      <c r="I2900">
        <v>1.21</v>
      </c>
      <c r="J2900">
        <v>1.2E-2</v>
      </c>
      <c r="K2900">
        <v>1.0900000000000001</v>
      </c>
      <c r="L2900">
        <v>0.21</v>
      </c>
      <c r="M2900">
        <v>0.9</v>
      </c>
      <c r="N2900">
        <v>0.15</v>
      </c>
    </row>
    <row r="2901" spans="1:14" x14ac:dyDescent="0.25">
      <c r="A2901" t="s">
        <v>5340</v>
      </c>
      <c r="B2901" t="s">
        <v>5341</v>
      </c>
      <c r="C2901" s="1" t="str">
        <f>HYPERLINK("http://www.genecards.org/cgi-bin/carddisp.pl?gene=IGHG1 /// LOC90925","GeneCards")</f>
        <v>GeneCards</v>
      </c>
      <c r="D2901" s="1" t="str">
        <f>HYPERLINK("http://genome-euro.ucsc.edu/cgi-bin/hgTracks?position=215721_at","UCSC")</f>
        <v>UCSC</v>
      </c>
      <c r="E2901" s="1" t="str">
        <f>HYPERLINK("http://www.ncbi.nlm.nih.gov/gene/?term=IGHG1 /// LOC90925","NCBI")</f>
        <v>NCBI</v>
      </c>
      <c r="F2901">
        <v>1.4999999999999999E-2</v>
      </c>
      <c r="G2901">
        <v>0.09</v>
      </c>
      <c r="H2901" s="1" t="str">
        <f>HYPERLINK("http://www.weizmann.ac.il/complex/compphys/software/geview/data/figures/215721_at.png","Figure")</f>
        <v>Figure</v>
      </c>
      <c r="I2901">
        <v>0.87</v>
      </c>
      <c r="J2901">
        <v>0.5</v>
      </c>
      <c r="K2901">
        <v>1.26</v>
      </c>
      <c r="L2901">
        <v>0.11</v>
      </c>
      <c r="M2901">
        <v>1.45</v>
      </c>
      <c r="N2901">
        <v>1.6E-2</v>
      </c>
    </row>
    <row r="2902" spans="1:14" x14ac:dyDescent="0.25">
      <c r="A2902" t="s">
        <v>5342</v>
      </c>
      <c r="B2902" t="s">
        <v>5343</v>
      </c>
      <c r="C2902" s="1" t="str">
        <f>HYPERLINK("http://www.genecards.org/cgi-bin/carddisp.pl?gene=BAIAP3","GeneCards")</f>
        <v>GeneCards</v>
      </c>
      <c r="D2902" s="1" t="str">
        <f>HYPERLINK("http://genome-euro.ucsc.edu/cgi-bin/hgTracks?position=216356_x_at","UCSC")</f>
        <v>UCSC</v>
      </c>
      <c r="E2902" s="1" t="str">
        <f>HYPERLINK("http://www.ncbi.nlm.nih.gov/gene/?term=BAIAP3","NCBI")</f>
        <v>NCBI</v>
      </c>
      <c r="F2902">
        <v>1.4999999999999999E-2</v>
      </c>
      <c r="G2902">
        <v>0.09</v>
      </c>
      <c r="H2902" s="1" t="str">
        <f>HYPERLINK("http://www.weizmann.ac.il/complex/compphys/software/geview/data/figures/216356_x_at.png","Figure")</f>
        <v>Figure</v>
      </c>
      <c r="I2902">
        <v>1.43</v>
      </c>
      <c r="J2902">
        <v>3.1E-2</v>
      </c>
      <c r="K2902">
        <v>0.99199999999999999</v>
      </c>
      <c r="L2902">
        <v>1</v>
      </c>
      <c r="M2902">
        <v>0.69199999999999995</v>
      </c>
      <c r="N2902">
        <v>1.9E-2</v>
      </c>
    </row>
    <row r="2903" spans="1:14" x14ac:dyDescent="0.25">
      <c r="A2903" t="s">
        <v>5344</v>
      </c>
      <c r="B2903" t="s">
        <v>5345</v>
      </c>
      <c r="C2903" s="1" t="str">
        <f>HYPERLINK("http://www.genecards.org/cgi-bin/carddisp.pl?gene=GAB1","GeneCards")</f>
        <v>GeneCards</v>
      </c>
      <c r="D2903" s="1" t="str">
        <f>HYPERLINK("http://genome-euro.ucsc.edu/cgi-bin/hgTracks?position=214987_at","UCSC")</f>
        <v>UCSC</v>
      </c>
      <c r="E2903" s="1" t="str">
        <f>HYPERLINK("http://www.ncbi.nlm.nih.gov/gene/?term=GAB1","NCBI")</f>
        <v>NCBI</v>
      </c>
      <c r="F2903">
        <v>1.4999999999999999E-2</v>
      </c>
      <c r="G2903">
        <v>0.09</v>
      </c>
      <c r="H2903" s="1" t="str">
        <f>HYPERLINK("http://www.weizmann.ac.il/complex/compphys/software/geview/data/figures/214987_at.png","Figure")</f>
        <v>Figure</v>
      </c>
      <c r="I2903">
        <v>0.97599999999999998</v>
      </c>
      <c r="J2903">
        <v>0.95</v>
      </c>
      <c r="K2903">
        <v>0.79800000000000004</v>
      </c>
      <c r="L2903">
        <v>2.1999999999999999E-2</v>
      </c>
      <c r="M2903">
        <v>0.81799999999999995</v>
      </c>
      <c r="N2903">
        <v>5.7000000000000002E-2</v>
      </c>
    </row>
    <row r="2904" spans="1:14" x14ac:dyDescent="0.25">
      <c r="A2904" t="s">
        <v>5346</v>
      </c>
      <c r="B2904" t="s">
        <v>5347</v>
      </c>
      <c r="C2904" s="1" t="str">
        <f>HYPERLINK("http://www.genecards.org/cgi-bin/carddisp.pl?gene=PDZK1IP1","GeneCards")</f>
        <v>GeneCards</v>
      </c>
      <c r="D2904" s="1" t="str">
        <f>HYPERLINK("http://genome-euro.ucsc.edu/cgi-bin/hgTracks?position=219630_at","UCSC")</f>
        <v>UCSC</v>
      </c>
      <c r="E2904" s="1" t="str">
        <f>HYPERLINK("http://www.ncbi.nlm.nih.gov/gene/?term=PDZK1IP1","NCBI")</f>
        <v>NCBI</v>
      </c>
      <c r="F2904">
        <v>1.4999999999999999E-2</v>
      </c>
      <c r="G2904">
        <v>0.09</v>
      </c>
      <c r="H2904" s="1" t="str">
        <f>HYPERLINK("http://www.weizmann.ac.il/complex/compphys/software/geview/data/figures/219630_at.png","Figure")</f>
        <v>Figure</v>
      </c>
      <c r="I2904">
        <v>1.27</v>
      </c>
      <c r="J2904">
        <v>1.2999999999999999E-2</v>
      </c>
      <c r="K2904">
        <v>1.08</v>
      </c>
      <c r="L2904">
        <v>0.48</v>
      </c>
      <c r="M2904">
        <v>0.84899999999999998</v>
      </c>
      <c r="N2904">
        <v>6.5000000000000002E-2</v>
      </c>
    </row>
    <row r="2905" spans="1:14" x14ac:dyDescent="0.25">
      <c r="A2905" t="s">
        <v>5348</v>
      </c>
      <c r="B2905" t="s">
        <v>5349</v>
      </c>
      <c r="C2905" s="1" t="str">
        <f>HYPERLINK("http://www.genecards.org/cgi-bin/carddisp.pl?gene=FAM49B","GeneCards")</f>
        <v>GeneCards</v>
      </c>
      <c r="D2905" s="1" t="str">
        <f>HYPERLINK("http://genome-euro.ucsc.edu/cgi-bin/hgTracks?position=217916_s_at","UCSC")</f>
        <v>UCSC</v>
      </c>
      <c r="E2905" s="1" t="str">
        <f>HYPERLINK("http://www.ncbi.nlm.nih.gov/gene/?term=FAM49B","NCBI")</f>
        <v>NCBI</v>
      </c>
      <c r="F2905">
        <v>1.4999999999999999E-2</v>
      </c>
      <c r="G2905">
        <v>0.09</v>
      </c>
      <c r="H2905" s="1" t="str">
        <f>HYPERLINK("http://www.weizmann.ac.il/complex/compphys/software/geview/data/figures/217916_s_at.png","Figure")</f>
        <v>Figure</v>
      </c>
      <c r="I2905">
        <v>0.80200000000000005</v>
      </c>
      <c r="J2905">
        <v>6.9000000000000006E-2</v>
      </c>
      <c r="K2905">
        <v>1.06</v>
      </c>
      <c r="L2905">
        <v>0.72</v>
      </c>
      <c r="M2905">
        <v>1.33</v>
      </c>
      <c r="N2905">
        <v>1.2999999999999999E-2</v>
      </c>
    </row>
    <row r="2906" spans="1:14" x14ac:dyDescent="0.25">
      <c r="A2906" t="s">
        <v>5350</v>
      </c>
      <c r="B2906" t="s">
        <v>5351</v>
      </c>
      <c r="C2906" s="1" t="str">
        <f>HYPERLINK("http://www.genecards.org/cgi-bin/carddisp.pl?gene=PEX13","GeneCards")</f>
        <v>GeneCards</v>
      </c>
      <c r="D2906" s="1" t="str">
        <f>HYPERLINK("http://genome-euro.ucsc.edu/cgi-bin/hgTracks?position=205246_at","UCSC")</f>
        <v>UCSC</v>
      </c>
      <c r="E2906" s="1" t="str">
        <f>HYPERLINK("http://www.ncbi.nlm.nih.gov/gene/?term=PEX13","NCBI")</f>
        <v>NCBI</v>
      </c>
      <c r="F2906">
        <v>1.4999999999999999E-2</v>
      </c>
      <c r="G2906">
        <v>9.0999999999999998E-2</v>
      </c>
      <c r="H2906" s="1" t="str">
        <f>HYPERLINK("http://www.weizmann.ac.il/complex/compphys/software/geview/data/figures/205246_at.png","Figure")</f>
        <v>Figure</v>
      </c>
      <c r="I2906">
        <v>0.95099999999999996</v>
      </c>
      <c r="J2906">
        <v>0.89</v>
      </c>
      <c r="K2906">
        <v>0.74399999999999999</v>
      </c>
      <c r="L2906">
        <v>1.9E-2</v>
      </c>
      <c r="M2906">
        <v>0.78300000000000003</v>
      </c>
      <c r="N2906">
        <v>7.0999999999999994E-2</v>
      </c>
    </row>
    <row r="2907" spans="1:14" x14ac:dyDescent="0.25">
      <c r="A2907" t="s">
        <v>5352</v>
      </c>
      <c r="B2907" t="s">
        <v>5353</v>
      </c>
      <c r="C2907" s="1" t="str">
        <f>HYPERLINK("http://www.genecards.org/cgi-bin/carddisp.pl?gene=EPS8L3","GeneCards")</f>
        <v>GeneCards</v>
      </c>
      <c r="D2907" s="1" t="str">
        <f>HYPERLINK("http://genome-euro.ucsc.edu/cgi-bin/hgTracks?position=219404_at","UCSC")</f>
        <v>UCSC</v>
      </c>
      <c r="E2907" s="1" t="str">
        <f>HYPERLINK("http://www.ncbi.nlm.nih.gov/gene/?term=EPS8L3","NCBI")</f>
        <v>NCBI</v>
      </c>
      <c r="F2907">
        <v>1.4999999999999999E-2</v>
      </c>
      <c r="G2907">
        <v>9.0999999999999998E-2</v>
      </c>
      <c r="H2907" s="1" t="str">
        <f>HYPERLINK("http://www.weizmann.ac.il/complex/compphys/software/geview/data/figures/219404_at.png","Figure")</f>
        <v>Figure</v>
      </c>
      <c r="I2907">
        <v>1.4</v>
      </c>
      <c r="J2907">
        <v>1.4E-2</v>
      </c>
      <c r="K2907">
        <v>1.1000000000000001</v>
      </c>
      <c r="L2907">
        <v>0.56000000000000005</v>
      </c>
      <c r="M2907">
        <v>0.78400000000000003</v>
      </c>
      <c r="N2907">
        <v>5.5E-2</v>
      </c>
    </row>
    <row r="2908" spans="1:14" x14ac:dyDescent="0.25">
      <c r="A2908" t="s">
        <v>5354</v>
      </c>
      <c r="B2908" t="s">
        <v>5355</v>
      </c>
      <c r="C2908" s="1" t="str">
        <f>HYPERLINK("http://www.genecards.org/cgi-bin/carddisp.pl?gene=METRN","GeneCards")</f>
        <v>GeneCards</v>
      </c>
      <c r="D2908" s="1" t="str">
        <f>HYPERLINK("http://genome-euro.ucsc.edu/cgi-bin/hgTracks?position=219051_x_at","UCSC")</f>
        <v>UCSC</v>
      </c>
      <c r="E2908" s="1" t="str">
        <f>HYPERLINK("http://www.ncbi.nlm.nih.gov/gene/?term=METRN","NCBI")</f>
        <v>NCBI</v>
      </c>
      <c r="F2908">
        <v>1.4999999999999999E-2</v>
      </c>
      <c r="G2908">
        <v>9.0999999999999998E-2</v>
      </c>
      <c r="H2908" s="1" t="str">
        <f>HYPERLINK("http://www.weizmann.ac.il/complex/compphys/software/geview/data/figures/219051_x_at.png","Figure")</f>
        <v>Figure</v>
      </c>
      <c r="I2908">
        <v>1.27</v>
      </c>
      <c r="J2908">
        <v>1.2E-2</v>
      </c>
      <c r="K2908">
        <v>1.1299999999999999</v>
      </c>
      <c r="L2908">
        <v>0.14000000000000001</v>
      </c>
      <c r="M2908">
        <v>0.89300000000000002</v>
      </c>
      <c r="N2908">
        <v>0.23</v>
      </c>
    </row>
    <row r="2909" spans="1:14" x14ac:dyDescent="0.25">
      <c r="A2909" t="s">
        <v>5356</v>
      </c>
      <c r="B2909" t="s">
        <v>192</v>
      </c>
      <c r="C2909" s="1" t="str">
        <f>HYPERLINK("http://www.genecards.org/cgi-bin/carddisp.pl?gene=SSR1","GeneCards")</f>
        <v>GeneCards</v>
      </c>
      <c r="D2909" s="1" t="str">
        <f>HYPERLINK("http://genome-euro.ucsc.edu/cgi-bin/hgTracks?position=201894_s_at","UCSC")</f>
        <v>UCSC</v>
      </c>
      <c r="E2909" s="1" t="str">
        <f>HYPERLINK("http://www.ncbi.nlm.nih.gov/gene/?term=SSR1","NCBI")</f>
        <v>NCBI</v>
      </c>
      <c r="F2909">
        <v>1.6E-2</v>
      </c>
      <c r="G2909">
        <v>9.0999999999999998E-2</v>
      </c>
      <c r="H2909" s="1" t="str">
        <f>HYPERLINK("http://www.weizmann.ac.il/complex/compphys/software/geview/data/figures/201894_s_at.png","Figure")</f>
        <v>Figure</v>
      </c>
      <c r="I2909">
        <v>0.54900000000000004</v>
      </c>
      <c r="J2909">
        <v>1.9E-2</v>
      </c>
      <c r="K2909">
        <v>0.91700000000000004</v>
      </c>
      <c r="L2909">
        <v>0.86</v>
      </c>
      <c r="M2909">
        <v>1.67</v>
      </c>
      <c r="N2909">
        <v>3.1E-2</v>
      </c>
    </row>
    <row r="2910" spans="1:14" x14ac:dyDescent="0.25">
      <c r="A2910" t="s">
        <v>5357</v>
      </c>
      <c r="B2910" t="s">
        <v>5358</v>
      </c>
      <c r="C2910" s="1" t="str">
        <f>HYPERLINK("http://www.genecards.org/cgi-bin/carddisp.pl?gene=MYL3","GeneCards")</f>
        <v>GeneCards</v>
      </c>
      <c r="D2910" s="1" t="str">
        <f>HYPERLINK("http://genome-euro.ucsc.edu/cgi-bin/hgTracks?position=205589_at","UCSC")</f>
        <v>UCSC</v>
      </c>
      <c r="E2910" s="1" t="str">
        <f>HYPERLINK("http://www.ncbi.nlm.nih.gov/gene/?term=MYL3","NCBI")</f>
        <v>NCBI</v>
      </c>
      <c r="F2910">
        <v>1.4999999999999999E-2</v>
      </c>
      <c r="G2910">
        <v>9.0999999999999998E-2</v>
      </c>
      <c r="H2910" s="1" t="str">
        <f>HYPERLINK("http://www.weizmann.ac.il/complex/compphys/software/geview/data/figures/205589_at.png","Figure")</f>
        <v>Figure</v>
      </c>
      <c r="I2910">
        <v>1.1499999999999999</v>
      </c>
      <c r="J2910">
        <v>0.03</v>
      </c>
      <c r="K2910">
        <v>0.998</v>
      </c>
      <c r="L2910">
        <v>1</v>
      </c>
      <c r="M2910">
        <v>0.86599999999999999</v>
      </c>
      <c r="N2910">
        <v>1.9E-2</v>
      </c>
    </row>
    <row r="2911" spans="1:14" x14ac:dyDescent="0.25">
      <c r="A2911" t="s">
        <v>5359</v>
      </c>
      <c r="B2911" t="s">
        <v>3516</v>
      </c>
      <c r="C2911" s="1" t="str">
        <f>HYPERLINK("http://www.genecards.org/cgi-bin/carddisp.pl?gene=BMP7","GeneCards")</f>
        <v>GeneCards</v>
      </c>
      <c r="D2911" s="1" t="str">
        <f>HYPERLINK("http://genome-euro.ucsc.edu/cgi-bin/hgTracks?position=211259_s_at","UCSC")</f>
        <v>UCSC</v>
      </c>
      <c r="E2911" s="1" t="str">
        <f>HYPERLINK("http://www.ncbi.nlm.nih.gov/gene/?term=BMP7","NCBI")</f>
        <v>NCBI</v>
      </c>
      <c r="F2911">
        <v>1.4999999999999999E-2</v>
      </c>
      <c r="G2911">
        <v>9.0999999999999998E-2</v>
      </c>
      <c r="H2911" s="1" t="str">
        <f>HYPERLINK("http://www.weizmann.ac.il/complex/compphys/software/geview/data/figures/211259_s_at.png","Figure")</f>
        <v>Figure</v>
      </c>
      <c r="I2911">
        <v>1.23</v>
      </c>
      <c r="J2911">
        <v>1.7999999999999999E-2</v>
      </c>
      <c r="K2911">
        <v>1.03</v>
      </c>
      <c r="L2911">
        <v>0.85</v>
      </c>
      <c r="M2911">
        <v>0.84</v>
      </c>
      <c r="N2911">
        <v>3.1E-2</v>
      </c>
    </row>
    <row r="2912" spans="1:14" x14ac:dyDescent="0.25">
      <c r="A2912" t="s">
        <v>5360</v>
      </c>
      <c r="B2912" t="s">
        <v>5361</v>
      </c>
      <c r="C2912" s="1" t="str">
        <f>HYPERLINK("http://www.genecards.org/cgi-bin/carddisp.pl?gene=IGHA1 /// IGHD /// IGHG1 /// IGHG3 /// IGHM /// IGHV3-23 /// IGHV4-31 /// LOC100132941 /// LOC100289","GeneCards")</f>
        <v>GeneCards</v>
      </c>
      <c r="D2912" s="1" t="str">
        <f>HYPERLINK("http://genome-euro.ucsc.edu/cgi-bin/hgTracks?position=216557_x_at","UCSC")</f>
        <v>UCSC</v>
      </c>
      <c r="E2912" s="1" t="str">
        <f>HYPERLINK("http://www.ncbi.nlm.nih.gov/gene/?term=IGHA1 /// IGHD /// IGHG1 /// IGHG3 /// IGHM /// IGHV3-23 /// IGHV4-31 /// LOC100132941 /// LOC100289","NCBI")</f>
        <v>NCBI</v>
      </c>
      <c r="F2912">
        <v>1.4999999999999999E-2</v>
      </c>
      <c r="G2912">
        <v>9.0999999999999998E-2</v>
      </c>
      <c r="H2912" s="1" t="str">
        <f>HYPERLINK("http://www.weizmann.ac.il/complex/compphys/software/geview/data/figures/216557_x_at.png","Figure")</f>
        <v>Figure</v>
      </c>
      <c r="I2912">
        <v>1.31</v>
      </c>
      <c r="J2912">
        <v>2.1000000000000001E-2</v>
      </c>
      <c r="K2912">
        <v>1.24</v>
      </c>
      <c r="L2912">
        <v>3.6999999999999998E-2</v>
      </c>
      <c r="M2912">
        <v>0.94399999999999995</v>
      </c>
      <c r="N2912">
        <v>0.76</v>
      </c>
    </row>
    <row r="2913" spans="1:14" x14ac:dyDescent="0.25">
      <c r="A2913" t="s">
        <v>5362</v>
      </c>
      <c r="B2913" t="s">
        <v>5363</v>
      </c>
      <c r="C2913" s="1" t="str">
        <f>HYPERLINK("http://www.genecards.org/cgi-bin/carddisp.pl?gene=ANP32A","GeneCards")</f>
        <v>GeneCards</v>
      </c>
      <c r="D2913" s="1" t="str">
        <f>HYPERLINK("http://genome-euro.ucsc.edu/cgi-bin/hgTracks?position=201051_at","UCSC")</f>
        <v>UCSC</v>
      </c>
      <c r="E2913" s="1" t="str">
        <f>HYPERLINK("http://www.ncbi.nlm.nih.gov/gene/?term=ANP32A","NCBI")</f>
        <v>NCBI</v>
      </c>
      <c r="F2913">
        <v>1.6E-2</v>
      </c>
      <c r="G2913">
        <v>9.0999999999999998E-2</v>
      </c>
      <c r="H2913" s="1" t="str">
        <f>HYPERLINK("http://www.weizmann.ac.il/complex/compphys/software/geview/data/figures/201051_at.png","Figure")</f>
        <v>Figure</v>
      </c>
      <c r="I2913">
        <v>1.41</v>
      </c>
      <c r="J2913">
        <v>0.13</v>
      </c>
      <c r="K2913">
        <v>1.63</v>
      </c>
      <c r="L2913">
        <v>1.2E-2</v>
      </c>
      <c r="M2913">
        <v>1.1599999999999999</v>
      </c>
      <c r="N2913">
        <v>0.62</v>
      </c>
    </row>
    <row r="2914" spans="1:14" x14ac:dyDescent="0.25">
      <c r="A2914" t="s">
        <v>5364</v>
      </c>
      <c r="B2914" t="s">
        <v>5365</v>
      </c>
      <c r="C2914" s="1" t="str">
        <f>HYPERLINK("http://www.genecards.org/cgi-bin/carddisp.pl?gene=LRP1","GeneCards")</f>
        <v>GeneCards</v>
      </c>
      <c r="D2914" s="1" t="str">
        <f>HYPERLINK("http://genome-euro.ucsc.edu/cgi-bin/hgTracks?position=200784_s_at","UCSC")</f>
        <v>UCSC</v>
      </c>
      <c r="E2914" s="1" t="str">
        <f>HYPERLINK("http://www.ncbi.nlm.nih.gov/gene/?term=LRP1","NCBI")</f>
        <v>NCBI</v>
      </c>
      <c r="F2914">
        <v>1.6E-2</v>
      </c>
      <c r="G2914">
        <v>9.0999999999999998E-2</v>
      </c>
      <c r="H2914" s="1" t="str">
        <f>HYPERLINK("http://www.weizmann.ac.il/complex/compphys/software/geview/data/figures/200784_s_at.png","Figure")</f>
        <v>Figure</v>
      </c>
      <c r="I2914">
        <v>1.58</v>
      </c>
      <c r="J2914">
        <v>1.4E-2</v>
      </c>
      <c r="K2914">
        <v>1.33</v>
      </c>
      <c r="L2914">
        <v>0.08</v>
      </c>
      <c r="M2914">
        <v>0.84199999999999997</v>
      </c>
      <c r="N2914">
        <v>0.4</v>
      </c>
    </row>
    <row r="2915" spans="1:14" x14ac:dyDescent="0.25">
      <c r="A2915" t="s">
        <v>5366</v>
      </c>
      <c r="B2915" t="s">
        <v>5367</v>
      </c>
      <c r="C2915" s="1" t="str">
        <f>HYPERLINK("http://www.genecards.org/cgi-bin/carddisp.pl?gene=SLC4A3","GeneCards")</f>
        <v>GeneCards</v>
      </c>
      <c r="D2915" s="1" t="str">
        <f>HYPERLINK("http://genome-euro.ucsc.edu/cgi-bin/hgTracks?position=205918_at","UCSC")</f>
        <v>UCSC</v>
      </c>
      <c r="E2915" s="1" t="str">
        <f>HYPERLINK("http://www.ncbi.nlm.nih.gov/gene/?term=SLC4A3","NCBI")</f>
        <v>NCBI</v>
      </c>
      <c r="F2915">
        <v>1.6E-2</v>
      </c>
      <c r="G2915">
        <v>9.0999999999999998E-2</v>
      </c>
      <c r="H2915" s="1" t="str">
        <f>HYPERLINK("http://www.weizmann.ac.il/complex/compphys/software/geview/data/figures/205918_at.png","Figure")</f>
        <v>Figure</v>
      </c>
      <c r="I2915">
        <v>1.19</v>
      </c>
      <c r="J2915">
        <v>1.2E-2</v>
      </c>
      <c r="K2915">
        <v>1.0900000000000001</v>
      </c>
      <c r="L2915">
        <v>0.17</v>
      </c>
      <c r="M2915">
        <v>0.91600000000000004</v>
      </c>
      <c r="N2915">
        <v>0.19</v>
      </c>
    </row>
    <row r="2916" spans="1:14" x14ac:dyDescent="0.25">
      <c r="A2916" t="s">
        <v>5368</v>
      </c>
      <c r="B2916" t="s">
        <v>1296</v>
      </c>
      <c r="C2916" s="1" t="str">
        <f>HYPERLINK("http://www.genecards.org/cgi-bin/carddisp.pl?gene=CSHL1","GeneCards")</f>
        <v>GeneCards</v>
      </c>
      <c r="D2916" s="1" t="str">
        <f>HYPERLINK("http://genome-euro.ucsc.edu/cgi-bin/hgTracks?position=207285_x_at","UCSC")</f>
        <v>UCSC</v>
      </c>
      <c r="E2916" s="1" t="str">
        <f>HYPERLINK("http://www.ncbi.nlm.nih.gov/gene/?term=CSHL1","NCBI")</f>
        <v>NCBI</v>
      </c>
      <c r="F2916">
        <v>1.6E-2</v>
      </c>
      <c r="G2916">
        <v>9.0999999999999998E-2</v>
      </c>
      <c r="H2916" s="1" t="str">
        <f>HYPERLINK("http://www.weizmann.ac.il/complex/compphys/software/geview/data/figures/207285_x_at.png","Figure")</f>
        <v>Figure</v>
      </c>
      <c r="I2916">
        <v>1.23</v>
      </c>
      <c r="J2916">
        <v>3.3000000000000002E-2</v>
      </c>
      <c r="K2916">
        <v>0.99099999999999999</v>
      </c>
      <c r="L2916">
        <v>0.99</v>
      </c>
      <c r="M2916">
        <v>0.80600000000000005</v>
      </c>
      <c r="N2916">
        <v>1.7999999999999999E-2</v>
      </c>
    </row>
    <row r="2917" spans="1:14" x14ac:dyDescent="0.25">
      <c r="A2917" t="s">
        <v>5369</v>
      </c>
      <c r="B2917" t="s">
        <v>5370</v>
      </c>
      <c r="C2917" s="1" t="str">
        <f>HYPERLINK("http://www.genecards.org/cgi-bin/carddisp.pl?gene=HMGXB3","GeneCards")</f>
        <v>GeneCards</v>
      </c>
      <c r="D2917" s="1" t="str">
        <f>HYPERLINK("http://genome-euro.ucsc.edu/cgi-bin/hgTracks?position=212431_at","UCSC")</f>
        <v>UCSC</v>
      </c>
      <c r="E2917" s="1" t="str">
        <f>HYPERLINK("http://www.ncbi.nlm.nih.gov/gene/?term=HMGXB3","NCBI")</f>
        <v>NCBI</v>
      </c>
      <c r="F2917">
        <v>1.6E-2</v>
      </c>
      <c r="G2917">
        <v>9.0999999999999998E-2</v>
      </c>
      <c r="H2917" s="1" t="str">
        <f>HYPERLINK("http://www.weizmann.ac.il/complex/compphys/software/geview/data/figures/212431_at.png","Figure")</f>
        <v>Figure</v>
      </c>
      <c r="I2917">
        <v>1.52</v>
      </c>
      <c r="J2917">
        <v>1.4E-2</v>
      </c>
      <c r="K2917">
        <v>1.29</v>
      </c>
      <c r="L2917">
        <v>8.7999999999999995E-2</v>
      </c>
      <c r="M2917">
        <v>0.84799999999999998</v>
      </c>
      <c r="N2917">
        <v>0.37</v>
      </c>
    </row>
    <row r="2918" spans="1:14" x14ac:dyDescent="0.25">
      <c r="A2918" t="s">
        <v>5371</v>
      </c>
      <c r="B2918" t="s">
        <v>5372</v>
      </c>
      <c r="C2918" s="1" t="str">
        <f>HYPERLINK("http://www.genecards.org/cgi-bin/carddisp.pl?gene=DUSP1","GeneCards")</f>
        <v>GeneCards</v>
      </c>
      <c r="D2918" s="1" t="str">
        <f>HYPERLINK("http://genome-euro.ucsc.edu/cgi-bin/hgTracks?position=201044_x_at","UCSC")</f>
        <v>UCSC</v>
      </c>
      <c r="E2918" s="1" t="str">
        <f>HYPERLINK("http://www.ncbi.nlm.nih.gov/gene/?term=DUSP1","NCBI")</f>
        <v>NCBI</v>
      </c>
      <c r="F2918">
        <v>1.6E-2</v>
      </c>
      <c r="G2918">
        <v>9.0999999999999998E-2</v>
      </c>
      <c r="H2918" s="1" t="str">
        <f>HYPERLINK("http://www.weizmann.ac.il/complex/compphys/software/geview/data/figures/201044_x_at.png","Figure")</f>
        <v>Figure</v>
      </c>
      <c r="I2918">
        <v>1.65</v>
      </c>
      <c r="J2918">
        <v>1.6E-2</v>
      </c>
      <c r="K2918">
        <v>1.41</v>
      </c>
      <c r="L2918">
        <v>5.8000000000000003E-2</v>
      </c>
      <c r="M2918">
        <v>0.85499999999999998</v>
      </c>
      <c r="N2918">
        <v>0.54</v>
      </c>
    </row>
    <row r="2919" spans="1:14" x14ac:dyDescent="0.25">
      <c r="A2919" t="s">
        <v>5373</v>
      </c>
      <c r="B2919" t="s">
        <v>5374</v>
      </c>
      <c r="C2919" s="1" t="str">
        <f>HYPERLINK("http://www.genecards.org/cgi-bin/carddisp.pl?gene=SPEF1","GeneCards")</f>
        <v>GeneCards</v>
      </c>
      <c r="D2919" s="1" t="str">
        <f>HYPERLINK("http://genome-euro.ucsc.edu/cgi-bin/hgTracks?position=216119_s_at","UCSC")</f>
        <v>UCSC</v>
      </c>
      <c r="E2919" s="1" t="str">
        <f>HYPERLINK("http://www.ncbi.nlm.nih.gov/gene/?term=SPEF1","NCBI")</f>
        <v>NCBI</v>
      </c>
      <c r="F2919">
        <v>1.6E-2</v>
      </c>
      <c r="G2919">
        <v>9.0999999999999998E-2</v>
      </c>
      <c r="H2919" s="1" t="str">
        <f>HYPERLINK("http://www.weizmann.ac.il/complex/compphys/software/geview/data/figures/216119_s_at.png","Figure")</f>
        <v>Figure</v>
      </c>
      <c r="I2919">
        <v>1.1000000000000001</v>
      </c>
      <c r="J2919">
        <v>3.4000000000000002E-2</v>
      </c>
      <c r="K2919">
        <v>1.1000000000000001</v>
      </c>
      <c r="L2919">
        <v>2.3E-2</v>
      </c>
      <c r="M2919">
        <v>0.99399999999999999</v>
      </c>
      <c r="N2919">
        <v>0.98</v>
      </c>
    </row>
    <row r="2920" spans="1:14" x14ac:dyDescent="0.25">
      <c r="A2920" t="s">
        <v>5375</v>
      </c>
      <c r="B2920" t="s">
        <v>3529</v>
      </c>
      <c r="C2920" s="1" t="str">
        <f>HYPERLINK("http://www.genecards.org/cgi-bin/carddisp.pl?gene=RABEP2","GeneCards")</f>
        <v>GeneCards</v>
      </c>
      <c r="D2920" s="1" t="str">
        <f>HYPERLINK("http://genome-euro.ucsc.edu/cgi-bin/hgTracks?position=77508_r_at","UCSC")</f>
        <v>UCSC</v>
      </c>
      <c r="E2920" s="1" t="str">
        <f>HYPERLINK("http://www.ncbi.nlm.nih.gov/gene/?term=RABEP2","NCBI")</f>
        <v>NCBI</v>
      </c>
      <c r="F2920">
        <v>1.6E-2</v>
      </c>
      <c r="G2920">
        <v>9.0999999999999998E-2</v>
      </c>
      <c r="H2920" s="1" t="str">
        <f>HYPERLINK("http://www.weizmann.ac.il/complex/compphys/software/geview/data/figures/77508_r_at.png","Figure")</f>
        <v>Figure</v>
      </c>
      <c r="I2920">
        <v>1.52</v>
      </c>
      <c r="J2920">
        <v>1.2999999999999999E-2</v>
      </c>
      <c r="K2920">
        <v>1.27</v>
      </c>
      <c r="L2920">
        <v>0.11</v>
      </c>
      <c r="M2920">
        <v>0.83699999999999997</v>
      </c>
      <c r="N2920">
        <v>0.3</v>
      </c>
    </row>
    <row r="2921" spans="1:14" x14ac:dyDescent="0.25">
      <c r="A2921" t="s">
        <v>5376</v>
      </c>
      <c r="B2921" t="s">
        <v>5377</v>
      </c>
      <c r="C2921" s="1" t="str">
        <f>HYPERLINK("http://www.genecards.org/cgi-bin/carddisp.pl?gene=CLCA1","GeneCards")</f>
        <v>GeneCards</v>
      </c>
      <c r="D2921" s="1" t="str">
        <f>HYPERLINK("http://genome-euro.ucsc.edu/cgi-bin/hgTracks?position=210107_at","UCSC")</f>
        <v>UCSC</v>
      </c>
      <c r="E2921" s="1" t="str">
        <f>HYPERLINK("http://www.ncbi.nlm.nih.gov/gene/?term=CLCA1","NCBI")</f>
        <v>NCBI</v>
      </c>
      <c r="F2921">
        <v>1.6E-2</v>
      </c>
      <c r="G2921">
        <v>9.0999999999999998E-2</v>
      </c>
      <c r="H2921" s="1" t="str">
        <f>HYPERLINK("http://www.weizmann.ac.il/complex/compphys/software/geview/data/figures/210107_at.png","Figure")</f>
        <v>Figure</v>
      </c>
      <c r="I2921">
        <v>1.3</v>
      </c>
      <c r="J2921">
        <v>1.4999999999999999E-2</v>
      </c>
      <c r="K2921">
        <v>1.07</v>
      </c>
      <c r="L2921">
        <v>0.64</v>
      </c>
      <c r="M2921">
        <v>0.81899999999999995</v>
      </c>
      <c r="N2921">
        <v>4.7E-2</v>
      </c>
    </row>
    <row r="2922" spans="1:14" x14ac:dyDescent="0.25">
      <c r="A2922" t="s">
        <v>5378</v>
      </c>
      <c r="B2922" t="s">
        <v>5379</v>
      </c>
      <c r="C2922" s="1" t="str">
        <f>HYPERLINK("http://www.genecards.org/cgi-bin/carddisp.pl?gene=ABCC10","GeneCards")</f>
        <v>GeneCards</v>
      </c>
      <c r="D2922" s="1" t="str">
        <f>HYPERLINK("http://genome-euro.ucsc.edu/cgi-bin/hgTracks?position=215873_x_at","UCSC")</f>
        <v>UCSC</v>
      </c>
      <c r="E2922" s="1" t="str">
        <f>HYPERLINK("http://www.ncbi.nlm.nih.gov/gene/?term=ABCC10","NCBI")</f>
        <v>NCBI</v>
      </c>
      <c r="F2922">
        <v>1.6E-2</v>
      </c>
      <c r="G2922">
        <v>9.0999999999999998E-2</v>
      </c>
      <c r="H2922" s="1" t="str">
        <f>HYPERLINK("http://www.weizmann.ac.il/complex/compphys/software/geview/data/figures/215873_x_at.png","Figure")</f>
        <v>Figure</v>
      </c>
      <c r="I2922">
        <v>1.21</v>
      </c>
      <c r="J2922">
        <v>3.7999999999999999E-2</v>
      </c>
      <c r="K2922">
        <v>0.98399999999999999</v>
      </c>
      <c r="L2922">
        <v>0.96</v>
      </c>
      <c r="M2922">
        <v>0.81100000000000005</v>
      </c>
      <c r="N2922">
        <v>1.7000000000000001E-2</v>
      </c>
    </row>
    <row r="2923" spans="1:14" x14ac:dyDescent="0.25">
      <c r="A2923" t="s">
        <v>5380</v>
      </c>
      <c r="B2923" t="s">
        <v>5381</v>
      </c>
      <c r="C2923" s="1" t="str">
        <f>HYPERLINK("http://www.genecards.org/cgi-bin/carddisp.pl?gene=CAST","GeneCards")</f>
        <v>GeneCards</v>
      </c>
      <c r="D2923" s="1" t="str">
        <f>HYPERLINK("http://genome-euro.ucsc.edu/cgi-bin/hgTracks?position=212586_at","UCSC")</f>
        <v>UCSC</v>
      </c>
      <c r="E2923" s="1" t="str">
        <f>HYPERLINK("http://www.ncbi.nlm.nih.gov/gene/?term=CAST","NCBI")</f>
        <v>NCBI</v>
      </c>
      <c r="F2923">
        <v>1.6E-2</v>
      </c>
      <c r="G2923">
        <v>9.0999999999999998E-2</v>
      </c>
      <c r="H2923" s="1" t="str">
        <f>HYPERLINK("http://www.weizmann.ac.il/complex/compphys/software/geview/data/figures/212586_at.png","Figure")</f>
        <v>Figure</v>
      </c>
      <c r="I2923">
        <v>0.59</v>
      </c>
      <c r="J2923">
        <v>0.1</v>
      </c>
      <c r="K2923">
        <v>1.25</v>
      </c>
      <c r="L2923">
        <v>0.54</v>
      </c>
      <c r="M2923">
        <v>2.12</v>
      </c>
      <c r="N2923">
        <v>1.2E-2</v>
      </c>
    </row>
    <row r="2924" spans="1:14" x14ac:dyDescent="0.25">
      <c r="A2924" t="s">
        <v>5382</v>
      </c>
      <c r="B2924" t="s">
        <v>5345</v>
      </c>
      <c r="C2924" s="1" t="str">
        <f>HYPERLINK("http://www.genecards.org/cgi-bin/carddisp.pl?gene=GAB1","GeneCards")</f>
        <v>GeneCards</v>
      </c>
      <c r="D2924" s="1" t="str">
        <f>HYPERLINK("http://genome-euro.ucsc.edu/cgi-bin/hgTracks?position=207112_s_at","UCSC")</f>
        <v>UCSC</v>
      </c>
      <c r="E2924" s="1" t="str">
        <f>HYPERLINK("http://www.ncbi.nlm.nih.gov/gene/?term=GAB1","NCBI")</f>
        <v>NCBI</v>
      </c>
      <c r="F2924">
        <v>1.6E-2</v>
      </c>
      <c r="G2924">
        <v>9.0999999999999998E-2</v>
      </c>
      <c r="H2924" s="1" t="str">
        <f>HYPERLINK("http://www.weizmann.ac.il/complex/compphys/software/geview/data/figures/207112_s_at.png","Figure")</f>
        <v>Figure</v>
      </c>
      <c r="I2924">
        <v>1.03</v>
      </c>
      <c r="J2924">
        <v>0.96</v>
      </c>
      <c r="K2924">
        <v>0.79300000000000004</v>
      </c>
      <c r="L2924">
        <v>3.7999999999999999E-2</v>
      </c>
      <c r="M2924">
        <v>0.77300000000000002</v>
      </c>
      <c r="N2924">
        <v>3.2000000000000001E-2</v>
      </c>
    </row>
    <row r="2925" spans="1:14" x14ac:dyDescent="0.25">
      <c r="A2925" t="s">
        <v>5383</v>
      </c>
      <c r="B2925" t="s">
        <v>5384</v>
      </c>
      <c r="C2925" s="1" t="str">
        <f>HYPERLINK("http://www.genecards.org/cgi-bin/carddisp.pl?gene=SUV420H1","GeneCards")</f>
        <v>GeneCards</v>
      </c>
      <c r="D2925" s="1" t="str">
        <f>HYPERLINK("http://genome-euro.ucsc.edu/cgi-bin/hgTracks?position=218242_s_at","UCSC")</f>
        <v>UCSC</v>
      </c>
      <c r="E2925" s="1" t="str">
        <f>HYPERLINK("http://www.ncbi.nlm.nih.gov/gene/?term=SUV420H1","NCBI")</f>
        <v>NCBI</v>
      </c>
      <c r="F2925">
        <v>1.6E-2</v>
      </c>
      <c r="G2925">
        <v>9.0999999999999998E-2</v>
      </c>
      <c r="H2925" s="1" t="str">
        <f>HYPERLINK("http://www.weizmann.ac.il/complex/compphys/software/geview/data/figures/218242_s_at.png","Figure")</f>
        <v>Figure</v>
      </c>
      <c r="I2925">
        <v>0.70099999999999996</v>
      </c>
      <c r="J2925">
        <v>0.44</v>
      </c>
      <c r="K2925">
        <v>1.67</v>
      </c>
      <c r="L2925">
        <v>0.13</v>
      </c>
      <c r="M2925">
        <v>2.39</v>
      </c>
      <c r="N2925">
        <v>1.4999999999999999E-2</v>
      </c>
    </row>
    <row r="2926" spans="1:14" x14ac:dyDescent="0.25">
      <c r="A2926" t="s">
        <v>5385</v>
      </c>
      <c r="B2926" t="s">
        <v>5386</v>
      </c>
      <c r="C2926" s="1" t="str">
        <f>HYPERLINK("http://www.genecards.org/cgi-bin/carddisp.pl?gene=INPP4A","GeneCards")</f>
        <v>GeneCards</v>
      </c>
      <c r="D2926" s="1" t="str">
        <f>HYPERLINK("http://genome-euro.ucsc.edu/cgi-bin/hgTracks?position=204552_at","UCSC")</f>
        <v>UCSC</v>
      </c>
      <c r="E2926" s="1" t="str">
        <f>HYPERLINK("http://www.ncbi.nlm.nih.gov/gene/?term=INPP4A","NCBI")</f>
        <v>NCBI</v>
      </c>
      <c r="F2926">
        <v>1.6E-2</v>
      </c>
      <c r="G2926">
        <v>9.0999999999999998E-2</v>
      </c>
      <c r="H2926" s="1" t="str">
        <f>HYPERLINK("http://www.weizmann.ac.il/complex/compphys/software/geview/data/figures/204552_at.png","Figure")</f>
        <v>Figure</v>
      </c>
      <c r="I2926">
        <v>0.90300000000000002</v>
      </c>
      <c r="J2926">
        <v>0.21</v>
      </c>
      <c r="K2926">
        <v>1.08</v>
      </c>
      <c r="L2926">
        <v>0.28999999999999998</v>
      </c>
      <c r="M2926">
        <v>1.2</v>
      </c>
      <c r="N2926">
        <v>1.2E-2</v>
      </c>
    </row>
    <row r="2927" spans="1:14" x14ac:dyDescent="0.25">
      <c r="A2927" t="s">
        <v>5387</v>
      </c>
      <c r="B2927" t="s">
        <v>5388</v>
      </c>
      <c r="C2927" s="1" t="str">
        <f>HYPERLINK("http://www.genecards.org/cgi-bin/carddisp.pl?gene=PGLYRP1","GeneCards")</f>
        <v>GeneCards</v>
      </c>
      <c r="D2927" s="1" t="str">
        <f>HYPERLINK("http://genome-euro.ucsc.edu/cgi-bin/hgTracks?position=207384_at","UCSC")</f>
        <v>UCSC</v>
      </c>
      <c r="E2927" s="1" t="str">
        <f>HYPERLINK("http://www.ncbi.nlm.nih.gov/gene/?term=PGLYRP1","NCBI")</f>
        <v>NCBI</v>
      </c>
      <c r="F2927">
        <v>1.6E-2</v>
      </c>
      <c r="G2927">
        <v>9.0999999999999998E-2</v>
      </c>
      <c r="H2927" s="1" t="str">
        <f>HYPERLINK("http://www.weizmann.ac.il/complex/compphys/software/geview/data/figures/207384_at.png","Figure")</f>
        <v>Figure</v>
      </c>
      <c r="I2927">
        <v>1.1499999999999999</v>
      </c>
      <c r="J2927">
        <v>4.5999999999999999E-2</v>
      </c>
      <c r="K2927">
        <v>0.98</v>
      </c>
      <c r="L2927">
        <v>0.9</v>
      </c>
      <c r="M2927">
        <v>0.85199999999999998</v>
      </c>
      <c r="N2927">
        <v>1.4999999999999999E-2</v>
      </c>
    </row>
    <row r="2928" spans="1:14" x14ac:dyDescent="0.25">
      <c r="A2928" t="s">
        <v>5389</v>
      </c>
      <c r="B2928" t="s">
        <v>5390</v>
      </c>
      <c r="C2928" s="1" t="str">
        <f>HYPERLINK("http://www.genecards.org/cgi-bin/carddisp.pl?gene=PPP2R1A","GeneCards")</f>
        <v>GeneCards</v>
      </c>
      <c r="D2928" s="1" t="str">
        <f>HYPERLINK("http://genome-euro.ucsc.edu/cgi-bin/hgTracks?position=200695_at","UCSC")</f>
        <v>UCSC</v>
      </c>
      <c r="E2928" s="1" t="str">
        <f>HYPERLINK("http://www.ncbi.nlm.nih.gov/gene/?term=PPP2R1A","NCBI")</f>
        <v>NCBI</v>
      </c>
      <c r="F2928">
        <v>1.6E-2</v>
      </c>
      <c r="G2928">
        <v>9.0999999999999998E-2</v>
      </c>
      <c r="H2928" s="1" t="str">
        <f>HYPERLINK("http://www.weizmann.ac.il/complex/compphys/software/geview/data/figures/200695_at.png","Figure")</f>
        <v>Figure</v>
      </c>
      <c r="I2928">
        <v>1.35</v>
      </c>
      <c r="J2928">
        <v>1.6E-2</v>
      </c>
      <c r="K2928">
        <v>1.23</v>
      </c>
      <c r="L2928">
        <v>6.2E-2</v>
      </c>
      <c r="M2928">
        <v>0.90600000000000003</v>
      </c>
      <c r="N2928">
        <v>0.51</v>
      </c>
    </row>
    <row r="2929" spans="1:14" x14ac:dyDescent="0.25">
      <c r="A2929" t="s">
        <v>5391</v>
      </c>
      <c r="B2929" t="s">
        <v>5392</v>
      </c>
      <c r="C2929" s="1" t="str">
        <f>HYPERLINK("http://www.genecards.org/cgi-bin/carddisp.pl?gene=CCDC71","GeneCards")</f>
        <v>GeneCards</v>
      </c>
      <c r="D2929" s="1" t="str">
        <f>HYPERLINK("http://genome-euro.ucsc.edu/cgi-bin/hgTracks?position=219893_at","UCSC")</f>
        <v>UCSC</v>
      </c>
      <c r="E2929" s="1" t="str">
        <f>HYPERLINK("http://www.ncbi.nlm.nih.gov/gene/?term=CCDC71","NCBI")</f>
        <v>NCBI</v>
      </c>
      <c r="F2929">
        <v>1.6E-2</v>
      </c>
      <c r="G2929">
        <v>9.0999999999999998E-2</v>
      </c>
      <c r="H2929" s="1" t="str">
        <f>HYPERLINK("http://www.weizmann.ac.il/complex/compphys/software/geview/data/figures/219893_at.png","Figure")</f>
        <v>Figure</v>
      </c>
      <c r="I2929">
        <v>1.49</v>
      </c>
      <c r="J2929">
        <v>1.4E-2</v>
      </c>
      <c r="K2929">
        <v>1.27</v>
      </c>
      <c r="L2929">
        <v>0.09</v>
      </c>
      <c r="M2929">
        <v>0.85499999999999998</v>
      </c>
      <c r="N2929">
        <v>0.36</v>
      </c>
    </row>
    <row r="2930" spans="1:14" x14ac:dyDescent="0.25">
      <c r="A2930" t="s">
        <v>5393</v>
      </c>
      <c r="B2930" t="s">
        <v>5394</v>
      </c>
      <c r="C2930" s="1" t="str">
        <f>HYPERLINK("http://www.genecards.org/cgi-bin/carddisp.pl?gene=SEC63","GeneCards")</f>
        <v>GeneCards</v>
      </c>
      <c r="D2930" s="1" t="str">
        <f>HYPERLINK("http://genome-euro.ucsc.edu/cgi-bin/hgTracks?position=201916_s_at","UCSC")</f>
        <v>UCSC</v>
      </c>
      <c r="E2930" s="1" t="str">
        <f>HYPERLINK("http://www.ncbi.nlm.nih.gov/gene/?term=SEC63","NCBI")</f>
        <v>NCBI</v>
      </c>
      <c r="F2930">
        <v>1.6E-2</v>
      </c>
      <c r="G2930">
        <v>9.0999999999999998E-2</v>
      </c>
      <c r="H2930" s="1" t="str">
        <f>HYPERLINK("http://www.weizmann.ac.il/complex/compphys/software/geview/data/figures/201916_s_at.png","Figure")</f>
        <v>Figure</v>
      </c>
      <c r="I2930">
        <v>0.56100000000000005</v>
      </c>
      <c r="J2930">
        <v>7.4999999999999997E-2</v>
      </c>
      <c r="K2930">
        <v>0.501</v>
      </c>
      <c r="L2930">
        <v>1.4999999999999999E-2</v>
      </c>
      <c r="M2930">
        <v>0.89400000000000002</v>
      </c>
      <c r="N2930">
        <v>0.87</v>
      </c>
    </row>
    <row r="2931" spans="1:14" x14ac:dyDescent="0.25">
      <c r="A2931" t="s">
        <v>5395</v>
      </c>
      <c r="B2931" t="s">
        <v>5396</v>
      </c>
      <c r="C2931" s="1" t="str">
        <f>HYPERLINK("http://www.genecards.org/cgi-bin/carddisp.pl?gene=MSL1","GeneCards")</f>
        <v>GeneCards</v>
      </c>
      <c r="D2931" s="1" t="str">
        <f>HYPERLINK("http://genome-euro.ucsc.edu/cgi-bin/hgTracks?position=212708_at","UCSC")</f>
        <v>UCSC</v>
      </c>
      <c r="E2931" s="1" t="str">
        <f>HYPERLINK("http://www.ncbi.nlm.nih.gov/gene/?term=MSL1","NCBI")</f>
        <v>NCBI</v>
      </c>
      <c r="F2931">
        <v>1.6E-2</v>
      </c>
      <c r="G2931">
        <v>9.0999999999999998E-2</v>
      </c>
      <c r="H2931" s="1" t="str">
        <f>HYPERLINK("http://www.weizmann.ac.il/complex/compphys/software/geview/data/figures/212708_at.png","Figure")</f>
        <v>Figure</v>
      </c>
      <c r="I2931">
        <v>0.42399999999999999</v>
      </c>
      <c r="J2931">
        <v>1.2999999999999999E-2</v>
      </c>
      <c r="K2931">
        <v>0.74</v>
      </c>
      <c r="L2931">
        <v>0.39</v>
      </c>
      <c r="M2931">
        <v>1.75</v>
      </c>
      <c r="N2931">
        <v>8.4000000000000005E-2</v>
      </c>
    </row>
    <row r="2932" spans="1:14" x14ac:dyDescent="0.25">
      <c r="A2932" t="s">
        <v>5397</v>
      </c>
      <c r="B2932" t="s">
        <v>5398</v>
      </c>
      <c r="C2932" s="1" t="str">
        <f>HYPERLINK("http://www.genecards.org/cgi-bin/carddisp.pl?gene=TP63","GeneCards")</f>
        <v>GeneCards</v>
      </c>
      <c r="D2932" s="1" t="str">
        <f>HYPERLINK("http://genome-euro.ucsc.edu/cgi-bin/hgTracks?position=211834_s_at","UCSC")</f>
        <v>UCSC</v>
      </c>
      <c r="E2932" s="1" t="str">
        <f>HYPERLINK("http://www.ncbi.nlm.nih.gov/gene/?term=TP63","NCBI")</f>
        <v>NCBI</v>
      </c>
      <c r="F2932">
        <v>1.6E-2</v>
      </c>
      <c r="G2932">
        <v>9.0999999999999998E-2</v>
      </c>
      <c r="H2932" s="1" t="str">
        <f>HYPERLINK("http://www.weizmann.ac.il/complex/compphys/software/geview/data/figures/211834_s_at.png","Figure")</f>
        <v>Figure</v>
      </c>
      <c r="I2932">
        <v>1.1399999999999999</v>
      </c>
      <c r="J2932">
        <v>1.2999999999999999E-2</v>
      </c>
      <c r="K2932">
        <v>1.08</v>
      </c>
      <c r="L2932">
        <v>0.11</v>
      </c>
      <c r="M2932">
        <v>0.94399999999999995</v>
      </c>
      <c r="N2932">
        <v>0.31</v>
      </c>
    </row>
    <row r="2933" spans="1:14" x14ac:dyDescent="0.25">
      <c r="A2933" t="s">
        <v>5399</v>
      </c>
      <c r="B2933" t="s">
        <v>5400</v>
      </c>
      <c r="C2933" s="1" t="str">
        <f>HYPERLINK("http://www.genecards.org/cgi-bin/carddisp.pl?gene=PFAS","GeneCards")</f>
        <v>GeneCards</v>
      </c>
      <c r="D2933" s="1" t="str">
        <f>HYPERLINK("http://genome-euro.ucsc.edu/cgi-bin/hgTracks?position=213302_at","UCSC")</f>
        <v>UCSC</v>
      </c>
      <c r="E2933" s="1" t="str">
        <f>HYPERLINK("http://www.ncbi.nlm.nih.gov/gene/?term=PFAS","NCBI")</f>
        <v>NCBI</v>
      </c>
      <c r="F2933">
        <v>1.6E-2</v>
      </c>
      <c r="G2933">
        <v>9.0999999999999998E-2</v>
      </c>
      <c r="H2933" s="1" t="str">
        <f>HYPERLINK("http://www.weizmann.ac.il/complex/compphys/software/geview/data/figures/213302_at.png","Figure")</f>
        <v>Figure</v>
      </c>
      <c r="I2933">
        <v>0.64100000000000001</v>
      </c>
      <c r="J2933">
        <v>0.17</v>
      </c>
      <c r="K2933">
        <v>1.33</v>
      </c>
      <c r="L2933">
        <v>0.35</v>
      </c>
      <c r="M2933">
        <v>2.08</v>
      </c>
      <c r="N2933">
        <v>1.2E-2</v>
      </c>
    </row>
    <row r="2934" spans="1:14" x14ac:dyDescent="0.25">
      <c r="A2934" t="s">
        <v>5401</v>
      </c>
      <c r="B2934" t="s">
        <v>5402</v>
      </c>
      <c r="C2934" s="1" t="str">
        <f>HYPERLINK("http://www.genecards.org/cgi-bin/carddisp.pl?gene=DDX60","GeneCards")</f>
        <v>GeneCards</v>
      </c>
      <c r="D2934" s="1" t="str">
        <f>HYPERLINK("http://genome-euro.ucsc.edu/cgi-bin/hgTracks?position=218986_s_at","UCSC")</f>
        <v>UCSC</v>
      </c>
      <c r="E2934" s="1" t="str">
        <f>HYPERLINK("http://www.ncbi.nlm.nih.gov/gene/?term=DDX60","NCBI")</f>
        <v>NCBI</v>
      </c>
      <c r="F2934">
        <v>1.6E-2</v>
      </c>
      <c r="G2934">
        <v>9.0999999999999998E-2</v>
      </c>
      <c r="H2934" s="1" t="str">
        <f>HYPERLINK("http://www.weizmann.ac.il/complex/compphys/software/geview/data/figures/218986_s_at.png","Figure")</f>
        <v>Figure</v>
      </c>
      <c r="I2934">
        <v>0.54300000000000004</v>
      </c>
      <c r="J2934">
        <v>1.7000000000000001E-2</v>
      </c>
      <c r="K2934">
        <v>0.88900000000000001</v>
      </c>
      <c r="L2934">
        <v>0.76</v>
      </c>
      <c r="M2934">
        <v>1.64</v>
      </c>
      <c r="N2934">
        <v>3.7999999999999999E-2</v>
      </c>
    </row>
    <row r="2935" spans="1:14" x14ac:dyDescent="0.25">
      <c r="A2935" t="s">
        <v>5403</v>
      </c>
      <c r="B2935" t="s">
        <v>5404</v>
      </c>
      <c r="C2935" s="1" t="str">
        <f>HYPERLINK("http://www.genecards.org/cgi-bin/carddisp.pl?gene=CEBPD","GeneCards")</f>
        <v>GeneCards</v>
      </c>
      <c r="D2935" s="1" t="str">
        <f>HYPERLINK("http://genome-euro.ucsc.edu/cgi-bin/hgTracks?position=203973_s_at","UCSC")</f>
        <v>UCSC</v>
      </c>
      <c r="E2935" s="1" t="str">
        <f>HYPERLINK("http://www.ncbi.nlm.nih.gov/gene/?term=CEBPD","NCBI")</f>
        <v>NCBI</v>
      </c>
      <c r="F2935">
        <v>1.6E-2</v>
      </c>
      <c r="G2935">
        <v>9.1999999999999998E-2</v>
      </c>
      <c r="H2935" s="1" t="str">
        <f>HYPERLINK("http://www.weizmann.ac.il/complex/compphys/software/geview/data/figures/203973_s_at.png","Figure")</f>
        <v>Figure</v>
      </c>
      <c r="I2935">
        <v>1.08</v>
      </c>
      <c r="J2935">
        <v>0.97</v>
      </c>
      <c r="K2935">
        <v>0.43</v>
      </c>
      <c r="L2935">
        <v>3.6999999999999998E-2</v>
      </c>
      <c r="M2935">
        <v>0.39800000000000002</v>
      </c>
      <c r="N2935">
        <v>3.3000000000000002E-2</v>
      </c>
    </row>
    <row r="2936" spans="1:14" x14ac:dyDescent="0.25">
      <c r="A2936" t="s">
        <v>5405</v>
      </c>
      <c r="B2936" t="s">
        <v>5406</v>
      </c>
      <c r="C2936" s="1" t="str">
        <f>HYPERLINK("http://www.genecards.org/cgi-bin/carddisp.pl?gene=IMPDH2","GeneCards")</f>
        <v>GeneCards</v>
      </c>
      <c r="D2936" s="1" t="str">
        <f>HYPERLINK("http://genome-euro.ucsc.edu/cgi-bin/hgTracks?position=201892_s_at","UCSC")</f>
        <v>UCSC</v>
      </c>
      <c r="E2936" s="1" t="str">
        <f>HYPERLINK("http://www.ncbi.nlm.nih.gov/gene/?term=IMPDH2","NCBI")</f>
        <v>NCBI</v>
      </c>
      <c r="F2936">
        <v>1.6E-2</v>
      </c>
      <c r="G2936">
        <v>9.1999999999999998E-2</v>
      </c>
      <c r="H2936" s="1" t="str">
        <f>HYPERLINK("http://www.weizmann.ac.il/complex/compphys/software/geview/data/figures/201892_s_at.png","Figure")</f>
        <v>Figure</v>
      </c>
      <c r="I2936">
        <v>0.96599999999999997</v>
      </c>
      <c r="J2936">
        <v>0.99</v>
      </c>
      <c r="K2936">
        <v>2.16</v>
      </c>
      <c r="L2936">
        <v>3.3000000000000002E-2</v>
      </c>
      <c r="M2936">
        <v>2.2400000000000002</v>
      </c>
      <c r="N2936">
        <v>3.6999999999999998E-2</v>
      </c>
    </row>
    <row r="2937" spans="1:14" x14ac:dyDescent="0.25">
      <c r="A2937" t="s">
        <v>5407</v>
      </c>
      <c r="B2937" t="s">
        <v>965</v>
      </c>
      <c r="C2937" s="1" t="str">
        <f>HYPERLINK("http://www.genecards.org/cgi-bin/carddisp.pl?gene=EBAG9","GeneCards")</f>
        <v>GeneCards</v>
      </c>
      <c r="D2937" s="1" t="str">
        <f>HYPERLINK("http://genome-euro.ucsc.edu/cgi-bin/hgTracks?position=204278_s_at","UCSC")</f>
        <v>UCSC</v>
      </c>
      <c r="E2937" s="1" t="str">
        <f>HYPERLINK("http://www.ncbi.nlm.nih.gov/gene/?term=EBAG9","NCBI")</f>
        <v>NCBI</v>
      </c>
      <c r="F2937">
        <v>1.6E-2</v>
      </c>
      <c r="G2937">
        <v>9.1999999999999998E-2</v>
      </c>
      <c r="H2937" s="1" t="str">
        <f>HYPERLINK("http://www.weizmann.ac.il/complex/compphys/software/geview/data/figures/204278_s_at.png","Figure")</f>
        <v>Figure</v>
      </c>
      <c r="I2937">
        <v>0.61499999999999999</v>
      </c>
      <c r="J2937">
        <v>1.2999999999999999E-2</v>
      </c>
      <c r="K2937">
        <v>0.83499999999999996</v>
      </c>
      <c r="L2937">
        <v>0.35</v>
      </c>
      <c r="M2937">
        <v>1.36</v>
      </c>
      <c r="N2937">
        <v>9.4E-2</v>
      </c>
    </row>
    <row r="2938" spans="1:14" x14ac:dyDescent="0.25">
      <c r="A2938" t="s">
        <v>5408</v>
      </c>
      <c r="B2938" t="s">
        <v>5409</v>
      </c>
      <c r="C2938" s="1" t="str">
        <f>HYPERLINK("http://www.genecards.org/cgi-bin/carddisp.pl?gene=F11R","GeneCards")</f>
        <v>GeneCards</v>
      </c>
      <c r="D2938" s="1" t="str">
        <f>HYPERLINK("http://genome-euro.ucsc.edu/cgi-bin/hgTracks?position=221664_s_at","UCSC")</f>
        <v>UCSC</v>
      </c>
      <c r="E2938" s="1" t="str">
        <f>HYPERLINK("http://www.ncbi.nlm.nih.gov/gene/?term=F11R","NCBI")</f>
        <v>NCBI</v>
      </c>
      <c r="F2938">
        <v>1.6E-2</v>
      </c>
      <c r="G2938">
        <v>9.1999999999999998E-2</v>
      </c>
      <c r="H2938" s="1" t="str">
        <f>HYPERLINK("http://www.weizmann.ac.il/complex/compphys/software/geview/data/figures/221664_s_at.png","Figure")</f>
        <v>Figure</v>
      </c>
      <c r="I2938">
        <v>1.45</v>
      </c>
      <c r="J2938">
        <v>1.6E-2</v>
      </c>
      <c r="K2938">
        <v>1.0900000000000001</v>
      </c>
      <c r="L2938">
        <v>0.68</v>
      </c>
      <c r="M2938">
        <v>0.751</v>
      </c>
      <c r="N2938">
        <v>4.4999999999999998E-2</v>
      </c>
    </row>
    <row r="2939" spans="1:14" x14ac:dyDescent="0.25">
      <c r="A2939" t="s">
        <v>5410</v>
      </c>
      <c r="B2939" t="s">
        <v>5411</v>
      </c>
      <c r="C2939" s="1" t="str">
        <f>HYPERLINK("http://www.genecards.org/cgi-bin/carddisp.pl?gene=PRDM4","GeneCards")</f>
        <v>GeneCards</v>
      </c>
      <c r="D2939" s="1" t="str">
        <f>HYPERLINK("http://genome-euro.ucsc.edu/cgi-bin/hgTracks?position=218329_at","UCSC")</f>
        <v>UCSC</v>
      </c>
      <c r="E2939" s="1" t="str">
        <f>HYPERLINK("http://www.ncbi.nlm.nih.gov/gene/?term=PRDM4","NCBI")</f>
        <v>NCBI</v>
      </c>
      <c r="F2939">
        <v>1.6E-2</v>
      </c>
      <c r="G2939">
        <v>9.1999999999999998E-2</v>
      </c>
      <c r="H2939" s="1" t="str">
        <f>HYPERLINK("http://www.weizmann.ac.il/complex/compphys/software/geview/data/figures/218329_at.png","Figure")</f>
        <v>Figure</v>
      </c>
      <c r="I2939">
        <v>1.03</v>
      </c>
      <c r="J2939">
        <v>0.97</v>
      </c>
      <c r="K2939">
        <v>0.74</v>
      </c>
      <c r="L2939">
        <v>3.7999999999999999E-2</v>
      </c>
      <c r="M2939">
        <v>0.71699999999999997</v>
      </c>
      <c r="N2939">
        <v>3.2000000000000001E-2</v>
      </c>
    </row>
    <row r="2940" spans="1:14" x14ac:dyDescent="0.25">
      <c r="A2940" t="s">
        <v>5412</v>
      </c>
      <c r="B2940" t="s">
        <v>5413</v>
      </c>
      <c r="C2940" s="1" t="str">
        <f>HYPERLINK("http://www.genecards.org/cgi-bin/carddisp.pl?gene=HMGB1","GeneCards")</f>
        <v>GeneCards</v>
      </c>
      <c r="D2940" s="1" t="str">
        <f>HYPERLINK("http://genome-euro.ucsc.edu/cgi-bin/hgTracks?position=200680_x_at","UCSC")</f>
        <v>UCSC</v>
      </c>
      <c r="E2940" s="1" t="str">
        <f>HYPERLINK("http://www.ncbi.nlm.nih.gov/gene/?term=HMGB1","NCBI")</f>
        <v>NCBI</v>
      </c>
      <c r="F2940">
        <v>1.6E-2</v>
      </c>
      <c r="G2940">
        <v>9.1999999999999998E-2</v>
      </c>
      <c r="H2940" s="1" t="str">
        <f>HYPERLINK("http://www.weizmann.ac.il/complex/compphys/software/geview/data/figures/200680_x_at.png","Figure")</f>
        <v>Figure</v>
      </c>
      <c r="I2940">
        <v>1.43</v>
      </c>
      <c r="J2940">
        <v>1.2E-2</v>
      </c>
      <c r="K2940">
        <v>1.1499999999999999</v>
      </c>
      <c r="L2940">
        <v>0.31</v>
      </c>
      <c r="M2940">
        <v>0.80400000000000005</v>
      </c>
      <c r="N2940">
        <v>0.11</v>
      </c>
    </row>
    <row r="2941" spans="1:14" x14ac:dyDescent="0.25">
      <c r="A2941" t="s">
        <v>5414</v>
      </c>
      <c r="B2941" t="s">
        <v>5415</v>
      </c>
      <c r="C2941" s="1" t="str">
        <f>HYPERLINK("http://www.genecards.org/cgi-bin/carddisp.pl?gene=LAMA3","GeneCards")</f>
        <v>GeneCards</v>
      </c>
      <c r="D2941" s="1" t="str">
        <f>HYPERLINK("http://genome-euro.ucsc.edu/cgi-bin/hgTracks?position=203726_s_at","UCSC")</f>
        <v>UCSC</v>
      </c>
      <c r="E2941" s="1" t="str">
        <f>HYPERLINK("http://www.ncbi.nlm.nih.gov/gene/?term=LAMA3","NCBI")</f>
        <v>NCBI</v>
      </c>
      <c r="F2941">
        <v>1.6E-2</v>
      </c>
      <c r="G2941">
        <v>9.1999999999999998E-2</v>
      </c>
      <c r="H2941" s="1" t="str">
        <f>HYPERLINK("http://www.weizmann.ac.il/complex/compphys/software/geview/data/figures/203726_s_at.png","Figure")</f>
        <v>Figure</v>
      </c>
      <c r="I2941">
        <v>0.57999999999999996</v>
      </c>
      <c r="J2941">
        <v>2.5999999999999999E-2</v>
      </c>
      <c r="K2941">
        <v>0.97699999999999998</v>
      </c>
      <c r="L2941">
        <v>0.99</v>
      </c>
      <c r="M2941">
        <v>1.68</v>
      </c>
      <c r="N2941">
        <v>2.3E-2</v>
      </c>
    </row>
    <row r="2942" spans="1:14" x14ac:dyDescent="0.25">
      <c r="A2942" t="s">
        <v>5416</v>
      </c>
      <c r="B2942" t="s">
        <v>5417</v>
      </c>
      <c r="C2942" s="1" t="str">
        <f>HYPERLINK("http://www.genecards.org/cgi-bin/carddisp.pl?gene=TRY6","GeneCards")</f>
        <v>GeneCards</v>
      </c>
      <c r="D2942" s="1" t="str">
        <f>HYPERLINK("http://genome-euro.ucsc.edu/cgi-bin/hgTracks?position=215395_x_at","UCSC")</f>
        <v>UCSC</v>
      </c>
      <c r="E2942" s="1" t="str">
        <f>HYPERLINK("http://www.ncbi.nlm.nih.gov/gene/?term=TRY6","NCBI")</f>
        <v>NCBI</v>
      </c>
      <c r="F2942">
        <v>1.6E-2</v>
      </c>
      <c r="G2942">
        <v>9.1999999999999998E-2</v>
      </c>
      <c r="H2942" s="1" t="str">
        <f>HYPERLINK("http://www.weizmann.ac.il/complex/compphys/software/geview/data/figures/215395_x_at.png","Figure")</f>
        <v>Figure</v>
      </c>
      <c r="I2942">
        <v>1.28</v>
      </c>
      <c r="J2942">
        <v>0.21</v>
      </c>
      <c r="K2942">
        <v>0.82899999999999996</v>
      </c>
      <c r="L2942">
        <v>0.3</v>
      </c>
      <c r="M2942">
        <v>0.64600000000000002</v>
      </c>
      <c r="N2942">
        <v>1.2E-2</v>
      </c>
    </row>
    <row r="2943" spans="1:14" x14ac:dyDescent="0.25">
      <c r="A2943" t="s">
        <v>5418</v>
      </c>
      <c r="B2943" t="s">
        <v>5419</v>
      </c>
      <c r="C2943" s="1" t="str">
        <f>HYPERLINK("http://www.genecards.org/cgi-bin/carddisp.pl?gene=DUX4 /// LOC653543 /// LOC653544 /// LOC653545 /// LOC728410","GeneCards")</f>
        <v>GeneCards</v>
      </c>
      <c r="D2943" s="1" t="str">
        <f>HYPERLINK("http://genome-euro.ucsc.edu/cgi-bin/hgTracks?position=216473_x_at","UCSC")</f>
        <v>UCSC</v>
      </c>
      <c r="E2943" s="1" t="str">
        <f>HYPERLINK("http://www.ncbi.nlm.nih.gov/gene/?term=DUX4 /// LOC653543 /// LOC653544 /// LOC653545 /// LOC728410","NCBI")</f>
        <v>NCBI</v>
      </c>
      <c r="F2943">
        <v>1.6E-2</v>
      </c>
      <c r="G2943">
        <v>9.1999999999999998E-2</v>
      </c>
      <c r="H2943" s="1" t="str">
        <f>HYPERLINK("http://www.weizmann.ac.il/complex/compphys/software/geview/data/figures/216473_x_at.png","Figure")</f>
        <v>Figure</v>
      </c>
      <c r="I2943">
        <v>1.48</v>
      </c>
      <c r="J2943">
        <v>1.2E-2</v>
      </c>
      <c r="K2943">
        <v>1.2</v>
      </c>
      <c r="L2943">
        <v>0.2</v>
      </c>
      <c r="M2943">
        <v>0.81200000000000006</v>
      </c>
      <c r="N2943">
        <v>0.17</v>
      </c>
    </row>
    <row r="2944" spans="1:14" x14ac:dyDescent="0.25">
      <c r="A2944" t="s">
        <v>5420</v>
      </c>
      <c r="B2944" t="s">
        <v>5421</v>
      </c>
      <c r="C2944" s="1" t="str">
        <f>HYPERLINK("http://www.genecards.org/cgi-bin/carddisp.pl?gene=DVL1","GeneCards")</f>
        <v>GeneCards</v>
      </c>
      <c r="D2944" s="1" t="str">
        <f>HYPERLINK("http://genome-euro.ucsc.edu/cgi-bin/hgTracks?position=203230_at","UCSC")</f>
        <v>UCSC</v>
      </c>
      <c r="E2944" s="1" t="str">
        <f>HYPERLINK("http://www.ncbi.nlm.nih.gov/gene/?term=DVL1","NCBI")</f>
        <v>NCBI</v>
      </c>
      <c r="F2944">
        <v>1.6E-2</v>
      </c>
      <c r="G2944">
        <v>9.1999999999999998E-2</v>
      </c>
      <c r="H2944" s="1" t="str">
        <f>HYPERLINK("http://www.weizmann.ac.il/complex/compphys/software/geview/data/figures/203230_at.png","Figure")</f>
        <v>Figure</v>
      </c>
      <c r="I2944">
        <v>0.751</v>
      </c>
      <c r="J2944">
        <v>2.5999999999999999E-2</v>
      </c>
      <c r="K2944">
        <v>0.99</v>
      </c>
      <c r="L2944">
        <v>0.99</v>
      </c>
      <c r="M2944">
        <v>1.32</v>
      </c>
      <c r="N2944">
        <v>2.1999999999999999E-2</v>
      </c>
    </row>
    <row r="2945" spans="1:14" x14ac:dyDescent="0.25">
      <c r="A2945" t="s">
        <v>5422</v>
      </c>
      <c r="B2945" t="s">
        <v>1269</v>
      </c>
      <c r="C2945" s="1" t="str">
        <f>HYPERLINK("http://www.genecards.org/cgi-bin/carddisp.pl?gene=HSP90AA1","GeneCards")</f>
        <v>GeneCards</v>
      </c>
      <c r="D2945" s="1" t="str">
        <f>HYPERLINK("http://genome-euro.ucsc.edu/cgi-bin/hgTracks?position=211968_s_at","UCSC")</f>
        <v>UCSC</v>
      </c>
      <c r="E2945" s="1" t="str">
        <f>HYPERLINK("http://www.ncbi.nlm.nih.gov/gene/?term=HSP90AA1","NCBI")</f>
        <v>NCBI</v>
      </c>
      <c r="F2945">
        <v>1.6E-2</v>
      </c>
      <c r="G2945">
        <v>9.1999999999999998E-2</v>
      </c>
      <c r="H2945" s="1" t="str">
        <f>HYPERLINK("http://www.weizmann.ac.il/complex/compphys/software/geview/data/figures/211968_s_at.png","Figure")</f>
        <v>Figure</v>
      </c>
      <c r="I2945">
        <v>1.1399999999999999</v>
      </c>
      <c r="J2945">
        <v>0.83</v>
      </c>
      <c r="K2945">
        <v>1.92</v>
      </c>
      <c r="L2945">
        <v>1.7999999999999999E-2</v>
      </c>
      <c r="M2945">
        <v>1.67</v>
      </c>
      <c r="N2945">
        <v>8.3000000000000004E-2</v>
      </c>
    </row>
    <row r="2946" spans="1:14" x14ac:dyDescent="0.25">
      <c r="A2946" t="s">
        <v>5423</v>
      </c>
      <c r="B2946" t="s">
        <v>5424</v>
      </c>
      <c r="C2946" s="1" t="str">
        <f>HYPERLINK("http://www.genecards.org/cgi-bin/carddisp.pl?gene=NSMCE4A","GeneCards")</f>
        <v>GeneCards</v>
      </c>
      <c r="D2946" s="1" t="str">
        <f>HYPERLINK("http://genome-euro.ucsc.edu/cgi-bin/hgTracks?position=219067_s_at","UCSC")</f>
        <v>UCSC</v>
      </c>
      <c r="E2946" s="1" t="str">
        <f>HYPERLINK("http://www.ncbi.nlm.nih.gov/gene/?term=NSMCE4A","NCBI")</f>
        <v>NCBI</v>
      </c>
      <c r="F2946">
        <v>1.6E-2</v>
      </c>
      <c r="G2946">
        <v>9.1999999999999998E-2</v>
      </c>
      <c r="H2946" s="1" t="str">
        <f>HYPERLINK("http://www.weizmann.ac.il/complex/compphys/software/geview/data/figures/219067_s_at.png","Figure")</f>
        <v>Figure</v>
      </c>
      <c r="I2946">
        <v>0.53500000000000003</v>
      </c>
      <c r="J2946">
        <v>2.8000000000000001E-2</v>
      </c>
      <c r="K2946">
        <v>0.98799999999999999</v>
      </c>
      <c r="L2946">
        <v>1</v>
      </c>
      <c r="M2946">
        <v>1.85</v>
      </c>
      <c r="N2946">
        <v>2.1000000000000001E-2</v>
      </c>
    </row>
    <row r="2947" spans="1:14" x14ac:dyDescent="0.25">
      <c r="A2947" t="s">
        <v>5425</v>
      </c>
      <c r="B2947" t="s">
        <v>5426</v>
      </c>
      <c r="C2947" s="1" t="str">
        <f>HYPERLINK("http://www.genecards.org/cgi-bin/carddisp.pl?gene=RNF114","GeneCards")</f>
        <v>GeneCards</v>
      </c>
      <c r="D2947" s="1" t="str">
        <f>HYPERLINK("http://genome-euro.ucsc.edu/cgi-bin/hgTracks?position=200868_s_at","UCSC")</f>
        <v>UCSC</v>
      </c>
      <c r="E2947" s="1" t="str">
        <f>HYPERLINK("http://www.ncbi.nlm.nih.gov/gene/?term=RNF114","NCBI")</f>
        <v>NCBI</v>
      </c>
      <c r="F2947">
        <v>1.6E-2</v>
      </c>
      <c r="G2947">
        <v>9.1999999999999998E-2</v>
      </c>
      <c r="H2947" s="1" t="str">
        <f>HYPERLINK("http://www.weizmann.ac.il/complex/compphys/software/geview/data/figures/200868_s_at.png","Figure")</f>
        <v>Figure</v>
      </c>
      <c r="I2947">
        <v>1.1200000000000001</v>
      </c>
      <c r="J2947">
        <v>0.79</v>
      </c>
      <c r="K2947">
        <v>0.67800000000000005</v>
      </c>
      <c r="L2947">
        <v>6.0999999999999999E-2</v>
      </c>
      <c r="M2947">
        <v>0.60299999999999998</v>
      </c>
      <c r="N2947">
        <v>2.1999999999999999E-2</v>
      </c>
    </row>
    <row r="2948" spans="1:14" x14ac:dyDescent="0.25">
      <c r="A2948" t="s">
        <v>5427</v>
      </c>
      <c r="B2948" t="s">
        <v>1786</v>
      </c>
      <c r="C2948" s="1" t="str">
        <f>HYPERLINK("http://www.genecards.org/cgi-bin/carddisp.pl?gene=RANBP1","GeneCards")</f>
        <v>GeneCards</v>
      </c>
      <c r="D2948" s="1" t="str">
        <f>HYPERLINK("http://genome-euro.ucsc.edu/cgi-bin/hgTracks?position=202482_x_at","UCSC")</f>
        <v>UCSC</v>
      </c>
      <c r="E2948" s="1" t="str">
        <f>HYPERLINK("http://www.ncbi.nlm.nih.gov/gene/?term=RANBP1","NCBI")</f>
        <v>NCBI</v>
      </c>
      <c r="F2948">
        <v>1.6E-2</v>
      </c>
      <c r="G2948">
        <v>9.1999999999999998E-2</v>
      </c>
      <c r="H2948" s="1" t="str">
        <f>HYPERLINK("http://www.weizmann.ac.il/complex/compphys/software/geview/data/figures/202482_x_at.png","Figure")</f>
        <v>Figure</v>
      </c>
      <c r="I2948">
        <v>1.27</v>
      </c>
      <c r="J2948">
        <v>1.2E-2</v>
      </c>
      <c r="K2948">
        <v>1.1299999999999999</v>
      </c>
      <c r="L2948">
        <v>0.17</v>
      </c>
      <c r="M2948">
        <v>0.88600000000000001</v>
      </c>
      <c r="N2948">
        <v>0.2</v>
      </c>
    </row>
    <row r="2949" spans="1:14" x14ac:dyDescent="0.25">
      <c r="A2949" t="s">
        <v>5428</v>
      </c>
      <c r="B2949" t="s">
        <v>5429</v>
      </c>
      <c r="C2949" s="1" t="str">
        <f>HYPERLINK("http://www.genecards.org/cgi-bin/carddisp.pl?gene=KIAA1467","GeneCards")</f>
        <v>GeneCards</v>
      </c>
      <c r="D2949" s="1" t="str">
        <f>HYPERLINK("http://genome-euro.ucsc.edu/cgi-bin/hgTracks?position=213232_at","UCSC")</f>
        <v>UCSC</v>
      </c>
      <c r="E2949" s="1" t="str">
        <f>HYPERLINK("http://www.ncbi.nlm.nih.gov/gene/?term=KIAA1467","NCBI")</f>
        <v>NCBI</v>
      </c>
      <c r="F2949">
        <v>1.6E-2</v>
      </c>
      <c r="G2949">
        <v>9.1999999999999998E-2</v>
      </c>
      <c r="H2949" s="1" t="str">
        <f>HYPERLINK("http://www.weizmann.ac.il/complex/compphys/software/geview/data/figures/213232_at.png","Figure")</f>
        <v>Figure</v>
      </c>
      <c r="I2949">
        <v>1</v>
      </c>
      <c r="J2949">
        <v>1</v>
      </c>
      <c r="K2949">
        <v>1.0900000000000001</v>
      </c>
      <c r="L2949">
        <v>2.9000000000000001E-2</v>
      </c>
      <c r="M2949">
        <v>1.0900000000000001</v>
      </c>
      <c r="N2949">
        <v>4.2000000000000003E-2</v>
      </c>
    </row>
    <row r="2950" spans="1:14" x14ac:dyDescent="0.25">
      <c r="A2950" t="s">
        <v>5430</v>
      </c>
      <c r="B2950" t="s">
        <v>4895</v>
      </c>
      <c r="C2950" s="1" t="str">
        <f>HYPERLINK("http://www.genecards.org/cgi-bin/carddisp.pl?gene=DGCR14","GeneCards")</f>
        <v>GeneCards</v>
      </c>
      <c r="D2950" s="1" t="str">
        <f>HYPERLINK("http://genome-euro.ucsc.edu/cgi-bin/hgTracks?position=217285_at","UCSC")</f>
        <v>UCSC</v>
      </c>
      <c r="E2950" s="1" t="str">
        <f>HYPERLINK("http://www.ncbi.nlm.nih.gov/gene/?term=DGCR14","NCBI")</f>
        <v>NCBI</v>
      </c>
      <c r="F2950">
        <v>1.6E-2</v>
      </c>
      <c r="G2950">
        <v>9.1999999999999998E-2</v>
      </c>
      <c r="H2950" s="1" t="str">
        <f>HYPERLINK("http://www.weizmann.ac.il/complex/compphys/software/geview/data/figures/217285_at.png","Figure")</f>
        <v>Figure</v>
      </c>
      <c r="I2950">
        <v>1.37</v>
      </c>
      <c r="J2950">
        <v>1.9E-2</v>
      </c>
      <c r="K2950">
        <v>1.05</v>
      </c>
      <c r="L2950">
        <v>0.84</v>
      </c>
      <c r="M2950">
        <v>0.76500000000000001</v>
      </c>
      <c r="N2950">
        <v>3.3000000000000002E-2</v>
      </c>
    </row>
    <row r="2951" spans="1:14" x14ac:dyDescent="0.25">
      <c r="A2951" t="s">
        <v>5431</v>
      </c>
      <c r="B2951" t="s">
        <v>5432</v>
      </c>
      <c r="C2951" s="1" t="str">
        <f>HYPERLINK("http://www.genecards.org/cgi-bin/carddisp.pl?gene=FBXO42","GeneCards")</f>
        <v>GeneCards</v>
      </c>
      <c r="D2951" s="1" t="str">
        <f>HYPERLINK("http://genome-euro.ucsc.edu/cgi-bin/hgTracks?position=221813_at","UCSC")</f>
        <v>UCSC</v>
      </c>
      <c r="E2951" s="1" t="str">
        <f>HYPERLINK("http://www.ncbi.nlm.nih.gov/gene/?term=FBXO42","NCBI")</f>
        <v>NCBI</v>
      </c>
      <c r="F2951">
        <v>1.6E-2</v>
      </c>
      <c r="G2951">
        <v>9.1999999999999998E-2</v>
      </c>
      <c r="H2951" s="1" t="str">
        <f>HYPERLINK("http://www.weizmann.ac.il/complex/compphys/software/geview/data/figures/221813_at.png","Figure")</f>
        <v>Figure</v>
      </c>
      <c r="I2951">
        <v>1.3</v>
      </c>
      <c r="J2951">
        <v>2.1999999999999999E-2</v>
      </c>
      <c r="K2951">
        <v>1.03</v>
      </c>
      <c r="L2951">
        <v>0.94</v>
      </c>
      <c r="M2951">
        <v>0.78800000000000003</v>
      </c>
      <c r="N2951">
        <v>2.7E-2</v>
      </c>
    </row>
    <row r="2952" spans="1:14" x14ac:dyDescent="0.25">
      <c r="A2952" t="s">
        <v>5433</v>
      </c>
      <c r="B2952" t="s">
        <v>4104</v>
      </c>
      <c r="C2952" s="1" t="str">
        <f>HYPERLINK("http://www.genecards.org/cgi-bin/carddisp.pl?gene=KIAA0494","GeneCards")</f>
        <v>GeneCards</v>
      </c>
      <c r="D2952" s="1" t="str">
        <f>HYPERLINK("http://genome-euro.ucsc.edu/cgi-bin/hgTracks?position=201775_s_at","UCSC")</f>
        <v>UCSC</v>
      </c>
      <c r="E2952" s="1" t="str">
        <f>HYPERLINK("http://www.ncbi.nlm.nih.gov/gene/?term=KIAA0494","NCBI")</f>
        <v>NCBI</v>
      </c>
      <c r="F2952">
        <v>1.6E-2</v>
      </c>
      <c r="G2952">
        <v>9.1999999999999998E-2</v>
      </c>
      <c r="H2952" s="1" t="str">
        <f>HYPERLINK("http://www.weizmann.ac.il/complex/compphys/software/geview/data/figures/201775_s_at.png","Figure")</f>
        <v>Figure</v>
      </c>
      <c r="I2952">
        <v>1.35</v>
      </c>
      <c r="J2952">
        <v>1.2999999999999999E-2</v>
      </c>
      <c r="K2952">
        <v>1.19</v>
      </c>
      <c r="L2952">
        <v>0.11</v>
      </c>
      <c r="M2952">
        <v>0.879</v>
      </c>
      <c r="N2952">
        <v>0.31</v>
      </c>
    </row>
    <row r="2953" spans="1:14" x14ac:dyDescent="0.25">
      <c r="A2953" t="s">
        <v>5434</v>
      </c>
      <c r="B2953" t="s">
        <v>5435</v>
      </c>
      <c r="C2953" s="1" t="str">
        <f>HYPERLINK("http://www.genecards.org/cgi-bin/carddisp.pl?gene=TLE4","GeneCards")</f>
        <v>GeneCards</v>
      </c>
      <c r="D2953" s="1" t="str">
        <f>HYPERLINK("http://genome-euro.ucsc.edu/cgi-bin/hgTracks?position=204872_at","UCSC")</f>
        <v>UCSC</v>
      </c>
      <c r="E2953" s="1" t="str">
        <f>HYPERLINK("http://www.ncbi.nlm.nih.gov/gene/?term=TLE4","NCBI")</f>
        <v>NCBI</v>
      </c>
      <c r="F2953">
        <v>1.6E-2</v>
      </c>
      <c r="G2953">
        <v>9.1999999999999998E-2</v>
      </c>
      <c r="H2953" s="1" t="str">
        <f>HYPERLINK("http://www.weizmann.ac.il/complex/compphys/software/geview/data/figures/204872_at.png","Figure")</f>
        <v>Figure</v>
      </c>
      <c r="I2953">
        <v>1.51</v>
      </c>
      <c r="J2953">
        <v>0.12</v>
      </c>
      <c r="K2953">
        <v>0.81799999999999995</v>
      </c>
      <c r="L2953">
        <v>0.48</v>
      </c>
      <c r="M2953">
        <v>0.54100000000000004</v>
      </c>
      <c r="N2953">
        <v>1.2E-2</v>
      </c>
    </row>
    <row r="2954" spans="1:14" x14ac:dyDescent="0.25">
      <c r="A2954" t="s">
        <v>5436</v>
      </c>
      <c r="B2954" t="s">
        <v>5437</v>
      </c>
      <c r="C2954" s="1" t="str">
        <f>HYPERLINK("http://www.genecards.org/cgi-bin/carddisp.pl?gene=ABCC3","GeneCards")</f>
        <v>GeneCards</v>
      </c>
      <c r="D2954" s="1" t="str">
        <f>HYPERLINK("http://genome-euro.ucsc.edu/cgi-bin/hgTracks?position=209641_s_at","UCSC")</f>
        <v>UCSC</v>
      </c>
      <c r="E2954" s="1" t="str">
        <f>HYPERLINK("http://www.ncbi.nlm.nih.gov/gene/?term=ABCC3","NCBI")</f>
        <v>NCBI</v>
      </c>
      <c r="F2954">
        <v>1.6E-2</v>
      </c>
      <c r="G2954">
        <v>9.1999999999999998E-2</v>
      </c>
      <c r="H2954" s="1" t="str">
        <f>HYPERLINK("http://www.weizmann.ac.il/complex/compphys/software/geview/data/figures/209641_s_at.png","Figure")</f>
        <v>Figure</v>
      </c>
      <c r="I2954">
        <v>1.17</v>
      </c>
      <c r="J2954">
        <v>1.7999999999999999E-2</v>
      </c>
      <c r="K2954">
        <v>1.1200000000000001</v>
      </c>
      <c r="L2954">
        <v>5.1999999999999998E-2</v>
      </c>
      <c r="M2954">
        <v>0.95599999999999996</v>
      </c>
      <c r="N2954">
        <v>0.6</v>
      </c>
    </row>
    <row r="2955" spans="1:14" x14ac:dyDescent="0.25">
      <c r="A2955" t="s">
        <v>5438</v>
      </c>
      <c r="B2955" t="s">
        <v>5439</v>
      </c>
      <c r="C2955" s="1" t="str">
        <f>HYPERLINK("http://www.genecards.org/cgi-bin/carddisp.pl?gene=RPL27A","GeneCards")</f>
        <v>GeneCards</v>
      </c>
      <c r="D2955" s="1" t="str">
        <f>HYPERLINK("http://genome-euro.ucsc.edu/cgi-bin/hgTracks?position=212044_s_at","UCSC")</f>
        <v>UCSC</v>
      </c>
      <c r="E2955" s="1" t="str">
        <f>HYPERLINK("http://www.ncbi.nlm.nih.gov/gene/?term=RPL27A","NCBI")</f>
        <v>NCBI</v>
      </c>
      <c r="F2955">
        <v>1.6E-2</v>
      </c>
      <c r="G2955">
        <v>9.1999999999999998E-2</v>
      </c>
      <c r="H2955" s="1" t="str">
        <f>HYPERLINK("http://www.weizmann.ac.il/complex/compphys/software/geview/data/figures/212044_s_at.png","Figure")</f>
        <v>Figure</v>
      </c>
      <c r="I2955">
        <v>2.04</v>
      </c>
      <c r="J2955">
        <v>1.7999999999999999E-2</v>
      </c>
      <c r="K2955">
        <v>1.66</v>
      </c>
      <c r="L2955">
        <v>5.2999999999999999E-2</v>
      </c>
      <c r="M2955">
        <v>0.81299999999999994</v>
      </c>
      <c r="N2955">
        <v>0.59</v>
      </c>
    </row>
    <row r="2956" spans="1:14" x14ac:dyDescent="0.25">
      <c r="A2956" t="s">
        <v>5440</v>
      </c>
      <c r="B2956" t="s">
        <v>5441</v>
      </c>
      <c r="C2956" s="1" t="str">
        <f>HYPERLINK("http://www.genecards.org/cgi-bin/carddisp.pl?gene=LILRA5","GeneCards")</f>
        <v>GeneCards</v>
      </c>
      <c r="D2956" s="1" t="str">
        <f>HYPERLINK("http://genome-euro.ucsc.edu/cgi-bin/hgTracks?position=215839_at","UCSC")</f>
        <v>UCSC</v>
      </c>
      <c r="E2956" s="1" t="str">
        <f>HYPERLINK("http://www.ncbi.nlm.nih.gov/gene/?term=LILRA5","NCBI")</f>
        <v>NCBI</v>
      </c>
      <c r="F2956">
        <v>1.6E-2</v>
      </c>
      <c r="G2956">
        <v>9.1999999999999998E-2</v>
      </c>
      <c r="H2956" s="1" t="str">
        <f>HYPERLINK("http://www.weizmann.ac.il/complex/compphys/software/geview/data/figures/215839_at.png","Figure")</f>
        <v>Figure</v>
      </c>
      <c r="I2956">
        <v>1.2</v>
      </c>
      <c r="J2956">
        <v>1.2E-2</v>
      </c>
      <c r="K2956">
        <v>1.0900000000000001</v>
      </c>
      <c r="L2956">
        <v>0.19</v>
      </c>
      <c r="M2956">
        <v>0.90700000000000003</v>
      </c>
      <c r="N2956">
        <v>0.17</v>
      </c>
    </row>
    <row r="2957" spans="1:14" x14ac:dyDescent="0.25">
      <c r="A2957" t="s">
        <v>5442</v>
      </c>
      <c r="B2957" t="s">
        <v>5443</v>
      </c>
      <c r="C2957" s="1" t="str">
        <f>HYPERLINK("http://www.genecards.org/cgi-bin/carddisp.pl?gene=OLFML3","GeneCards")</f>
        <v>GeneCards</v>
      </c>
      <c r="D2957" s="1" t="str">
        <f>HYPERLINK("http://genome-euro.ucsc.edu/cgi-bin/hgTracks?position=218162_at","UCSC")</f>
        <v>UCSC</v>
      </c>
      <c r="E2957" s="1" t="str">
        <f>HYPERLINK("http://www.ncbi.nlm.nih.gov/gene/?term=OLFML3","NCBI")</f>
        <v>NCBI</v>
      </c>
      <c r="F2957">
        <v>1.6E-2</v>
      </c>
      <c r="G2957">
        <v>9.1999999999999998E-2</v>
      </c>
      <c r="H2957" s="1" t="str">
        <f>HYPERLINK("http://www.weizmann.ac.il/complex/compphys/software/geview/data/figures/218162_at.png","Figure")</f>
        <v>Figure</v>
      </c>
      <c r="I2957">
        <v>1.1299999999999999</v>
      </c>
      <c r="J2957">
        <v>1.7000000000000001E-2</v>
      </c>
      <c r="K2957">
        <v>1.02</v>
      </c>
      <c r="L2957">
        <v>0.76</v>
      </c>
      <c r="M2957">
        <v>0.90400000000000003</v>
      </c>
      <c r="N2957">
        <v>3.9E-2</v>
      </c>
    </row>
    <row r="2958" spans="1:14" x14ac:dyDescent="0.25">
      <c r="A2958" t="s">
        <v>5444</v>
      </c>
      <c r="B2958" t="s">
        <v>5445</v>
      </c>
      <c r="C2958" s="1" t="str">
        <f>HYPERLINK("http://www.genecards.org/cgi-bin/carddisp.pl?gene=SLCO3A1","GeneCards")</f>
        <v>GeneCards</v>
      </c>
      <c r="D2958" s="1" t="str">
        <f>HYPERLINK("http://genome-euro.ucsc.edu/cgi-bin/hgTracks?position=210542_s_at","UCSC")</f>
        <v>UCSC</v>
      </c>
      <c r="E2958" s="1" t="str">
        <f>HYPERLINK("http://www.ncbi.nlm.nih.gov/gene/?term=SLCO3A1","NCBI")</f>
        <v>NCBI</v>
      </c>
      <c r="F2958">
        <v>1.6E-2</v>
      </c>
      <c r="G2958">
        <v>9.1999999999999998E-2</v>
      </c>
      <c r="H2958" s="1" t="str">
        <f>HYPERLINK("http://www.weizmann.ac.il/complex/compphys/software/geview/data/figures/210542_s_at.png","Figure")</f>
        <v>Figure</v>
      </c>
      <c r="I2958">
        <v>1.1100000000000001</v>
      </c>
      <c r="J2958">
        <v>5.0999999999999997E-2</v>
      </c>
      <c r="K2958">
        <v>0.98199999999999998</v>
      </c>
      <c r="L2958">
        <v>0.86</v>
      </c>
      <c r="M2958">
        <v>0.88500000000000001</v>
      </c>
      <c r="N2958">
        <v>1.4999999999999999E-2</v>
      </c>
    </row>
    <row r="2959" spans="1:14" x14ac:dyDescent="0.25">
      <c r="A2959" t="s">
        <v>5446</v>
      </c>
      <c r="B2959" t="s">
        <v>255</v>
      </c>
      <c r="C2959" s="1" t="str">
        <f>HYPERLINK("http://www.genecards.org/cgi-bin/carddisp.pl?gene=CLINT1","GeneCards")</f>
        <v>GeneCards</v>
      </c>
      <c r="D2959" s="1" t="str">
        <f>HYPERLINK("http://genome-euro.ucsc.edu/cgi-bin/hgTracks?position=201768_s_at","UCSC")</f>
        <v>UCSC</v>
      </c>
      <c r="E2959" s="1" t="str">
        <f>HYPERLINK("http://www.ncbi.nlm.nih.gov/gene/?term=CLINT1","NCBI")</f>
        <v>NCBI</v>
      </c>
      <c r="F2959">
        <v>1.6E-2</v>
      </c>
      <c r="G2959">
        <v>9.1999999999999998E-2</v>
      </c>
      <c r="H2959" s="1" t="str">
        <f>HYPERLINK("http://www.weizmann.ac.il/complex/compphys/software/geview/data/figures/201768_s_at.png","Figure")</f>
        <v>Figure</v>
      </c>
      <c r="I2959">
        <v>0.92900000000000005</v>
      </c>
      <c r="J2959">
        <v>0.9</v>
      </c>
      <c r="K2959">
        <v>0.63600000000000001</v>
      </c>
      <c r="L2959">
        <v>0.02</v>
      </c>
      <c r="M2959">
        <v>0.68500000000000005</v>
      </c>
      <c r="N2959">
        <v>7.0999999999999994E-2</v>
      </c>
    </row>
    <row r="2960" spans="1:14" x14ac:dyDescent="0.25">
      <c r="A2960" t="s">
        <v>5447</v>
      </c>
      <c r="B2960" t="s">
        <v>5448</v>
      </c>
      <c r="C2960" s="1" t="str">
        <f>HYPERLINK("http://www.genecards.org/cgi-bin/carddisp.pl?gene=KIAA0226","GeneCards")</f>
        <v>GeneCards</v>
      </c>
      <c r="D2960" s="1" t="str">
        <f>HYPERLINK("http://genome-euro.ucsc.edu/cgi-bin/hgTracks?position=212735_at","UCSC")</f>
        <v>UCSC</v>
      </c>
      <c r="E2960" s="1" t="str">
        <f>HYPERLINK("http://www.ncbi.nlm.nih.gov/gene/?term=KIAA0226","NCBI")</f>
        <v>NCBI</v>
      </c>
      <c r="F2960">
        <v>1.6E-2</v>
      </c>
      <c r="G2960">
        <v>9.1999999999999998E-2</v>
      </c>
      <c r="H2960" s="1" t="str">
        <f>HYPERLINK("http://www.weizmann.ac.il/complex/compphys/software/geview/data/figures/212735_at.png","Figure")</f>
        <v>Figure</v>
      </c>
      <c r="I2960">
        <v>1.83</v>
      </c>
      <c r="J2960">
        <v>1.2999999999999999E-2</v>
      </c>
      <c r="K2960">
        <v>1.26</v>
      </c>
      <c r="L2960">
        <v>0.33</v>
      </c>
      <c r="M2960">
        <v>0.68700000000000006</v>
      </c>
      <c r="N2960">
        <v>0.1</v>
      </c>
    </row>
    <row r="2961" spans="1:14" x14ac:dyDescent="0.25">
      <c r="A2961" t="s">
        <v>5449</v>
      </c>
      <c r="B2961" t="s">
        <v>5450</v>
      </c>
      <c r="C2961" s="1" t="str">
        <f>HYPERLINK("http://www.genecards.org/cgi-bin/carddisp.pl?gene=AKAP11","GeneCards")</f>
        <v>GeneCards</v>
      </c>
      <c r="D2961" s="1" t="str">
        <f>HYPERLINK("http://genome-euro.ucsc.edu/cgi-bin/hgTracks?position=203156_at","UCSC")</f>
        <v>UCSC</v>
      </c>
      <c r="E2961" s="1" t="str">
        <f>HYPERLINK("http://www.ncbi.nlm.nih.gov/gene/?term=AKAP11","NCBI")</f>
        <v>NCBI</v>
      </c>
      <c r="F2961">
        <v>1.6E-2</v>
      </c>
      <c r="G2961">
        <v>9.1999999999999998E-2</v>
      </c>
      <c r="H2961" s="1" t="str">
        <f>HYPERLINK("http://www.weizmann.ac.il/complex/compphys/software/geview/data/figures/203156_at.png","Figure")</f>
        <v>Figure</v>
      </c>
      <c r="I2961">
        <v>0.371</v>
      </c>
      <c r="J2961">
        <v>1.2999999999999999E-2</v>
      </c>
      <c r="K2961">
        <v>0.68500000000000005</v>
      </c>
      <c r="L2961">
        <v>0.33</v>
      </c>
      <c r="M2961">
        <v>1.85</v>
      </c>
      <c r="N2961">
        <v>0.1</v>
      </c>
    </row>
    <row r="2962" spans="1:14" x14ac:dyDescent="0.25">
      <c r="A2962" t="s">
        <v>5451</v>
      </c>
      <c r="B2962" t="s">
        <v>5452</v>
      </c>
      <c r="C2962" s="1" t="str">
        <f>HYPERLINK("http://www.genecards.org/cgi-bin/carddisp.pl?gene=GMFG","GeneCards")</f>
        <v>GeneCards</v>
      </c>
      <c r="D2962" s="1" t="str">
        <f>HYPERLINK("http://genome-euro.ucsc.edu/cgi-bin/hgTracks?position=204220_at","UCSC")</f>
        <v>UCSC</v>
      </c>
      <c r="E2962" s="1" t="str">
        <f>HYPERLINK("http://www.ncbi.nlm.nih.gov/gene/?term=GMFG","NCBI")</f>
        <v>NCBI</v>
      </c>
      <c r="F2962">
        <v>1.6E-2</v>
      </c>
      <c r="G2962">
        <v>9.1999999999999998E-2</v>
      </c>
      <c r="H2962" s="1" t="str">
        <f>HYPERLINK("http://www.weizmann.ac.il/complex/compphys/software/geview/data/figures/204220_at.png","Figure")</f>
        <v>Figure</v>
      </c>
      <c r="I2962">
        <v>0.68899999999999995</v>
      </c>
      <c r="J2962">
        <v>1.2999999999999999E-2</v>
      </c>
      <c r="K2962">
        <v>0.81200000000000006</v>
      </c>
      <c r="L2962">
        <v>0.12</v>
      </c>
      <c r="M2962">
        <v>1.18</v>
      </c>
      <c r="N2962">
        <v>0.28999999999999998</v>
      </c>
    </row>
    <row r="2963" spans="1:14" x14ac:dyDescent="0.25">
      <c r="A2963" t="s">
        <v>5453</v>
      </c>
      <c r="B2963" t="s">
        <v>5454</v>
      </c>
      <c r="C2963" s="1" t="str">
        <f>HYPERLINK("http://www.genecards.org/cgi-bin/carddisp.pl?gene=DPH2","GeneCards")</f>
        <v>GeneCards</v>
      </c>
      <c r="D2963" s="1" t="str">
        <f>HYPERLINK("http://genome-euro.ucsc.edu/cgi-bin/hgTracks?position=204514_at","UCSC")</f>
        <v>UCSC</v>
      </c>
      <c r="E2963" s="1" t="str">
        <f>HYPERLINK("http://www.ncbi.nlm.nih.gov/gene/?term=DPH2","NCBI")</f>
        <v>NCBI</v>
      </c>
      <c r="F2963">
        <v>1.6E-2</v>
      </c>
      <c r="G2963">
        <v>9.1999999999999998E-2</v>
      </c>
      <c r="H2963" s="1" t="str">
        <f>HYPERLINK("http://www.weizmann.ac.il/complex/compphys/software/geview/data/figures/204514_at.png","Figure")</f>
        <v>Figure</v>
      </c>
      <c r="I2963">
        <v>1.21</v>
      </c>
      <c r="J2963">
        <v>5.6000000000000001E-2</v>
      </c>
      <c r="K2963">
        <v>1.23</v>
      </c>
      <c r="L2963">
        <v>1.7000000000000001E-2</v>
      </c>
      <c r="M2963">
        <v>1.02</v>
      </c>
      <c r="N2963">
        <v>0.97</v>
      </c>
    </row>
    <row r="2964" spans="1:14" x14ac:dyDescent="0.25">
      <c r="A2964" t="s">
        <v>5455</v>
      </c>
      <c r="B2964" t="s">
        <v>5456</v>
      </c>
      <c r="C2964" s="1" t="str">
        <f>HYPERLINK("http://www.genecards.org/cgi-bin/carddisp.pl?gene=TMSB10","GeneCards")</f>
        <v>GeneCards</v>
      </c>
      <c r="D2964" s="1" t="str">
        <f>HYPERLINK("http://genome-euro.ucsc.edu/cgi-bin/hgTracks?position=217733_s_at","UCSC")</f>
        <v>UCSC</v>
      </c>
      <c r="E2964" s="1" t="str">
        <f>HYPERLINK("http://www.ncbi.nlm.nih.gov/gene/?term=TMSB10","NCBI")</f>
        <v>NCBI</v>
      </c>
      <c r="F2964">
        <v>1.6E-2</v>
      </c>
      <c r="G2964">
        <v>9.1999999999999998E-2</v>
      </c>
      <c r="H2964" s="1" t="str">
        <f>HYPERLINK("http://www.weizmann.ac.il/complex/compphys/software/geview/data/figures/217733_s_at.png","Figure")</f>
        <v>Figure</v>
      </c>
      <c r="I2964">
        <v>1.04</v>
      </c>
      <c r="J2964">
        <v>0.97</v>
      </c>
      <c r="K2964">
        <v>1.49</v>
      </c>
      <c r="L2964">
        <v>2.4E-2</v>
      </c>
      <c r="M2964">
        <v>1.44</v>
      </c>
      <c r="N2964">
        <v>5.6000000000000001E-2</v>
      </c>
    </row>
    <row r="2965" spans="1:14" x14ac:dyDescent="0.25">
      <c r="A2965" t="s">
        <v>5457</v>
      </c>
      <c r="B2965" t="s">
        <v>5458</v>
      </c>
      <c r="C2965" s="1" t="str">
        <f>HYPERLINK("http://www.genecards.org/cgi-bin/carddisp.pl?gene=DKC1","GeneCards")</f>
        <v>GeneCards</v>
      </c>
      <c r="D2965" s="1" t="str">
        <f>HYPERLINK("http://genome-euro.ucsc.edu/cgi-bin/hgTracks?position=201478_s_at","UCSC")</f>
        <v>UCSC</v>
      </c>
      <c r="E2965" s="1" t="str">
        <f>HYPERLINK("http://www.ncbi.nlm.nih.gov/gene/?term=DKC1","NCBI")</f>
        <v>NCBI</v>
      </c>
      <c r="F2965">
        <v>1.6E-2</v>
      </c>
      <c r="G2965">
        <v>9.1999999999999998E-2</v>
      </c>
      <c r="H2965" s="1" t="str">
        <f>HYPERLINK("http://www.weizmann.ac.il/complex/compphys/software/geview/data/figures/201478_s_at.png","Figure")</f>
        <v>Figure</v>
      </c>
      <c r="I2965">
        <v>0.58199999999999996</v>
      </c>
      <c r="J2965">
        <v>1.7000000000000001E-2</v>
      </c>
      <c r="K2965">
        <v>0.90200000000000002</v>
      </c>
      <c r="L2965">
        <v>0.77</v>
      </c>
      <c r="M2965">
        <v>1.55</v>
      </c>
      <c r="N2965">
        <v>3.7999999999999999E-2</v>
      </c>
    </row>
    <row r="2966" spans="1:14" x14ac:dyDescent="0.25">
      <c r="A2966" t="s">
        <v>5459</v>
      </c>
      <c r="B2966" t="s">
        <v>5460</v>
      </c>
      <c r="C2966" s="1" t="str">
        <f>HYPERLINK("http://www.genecards.org/cgi-bin/carddisp.pl?gene=TPST2","GeneCards")</f>
        <v>GeneCards</v>
      </c>
      <c r="D2966" s="1" t="str">
        <f>HYPERLINK("http://genome-euro.ucsc.edu/cgi-bin/hgTracks?position=204079_at","UCSC")</f>
        <v>UCSC</v>
      </c>
      <c r="E2966" s="1" t="str">
        <f>HYPERLINK("http://www.ncbi.nlm.nih.gov/gene/?term=TPST2","NCBI")</f>
        <v>NCBI</v>
      </c>
      <c r="F2966">
        <v>1.6E-2</v>
      </c>
      <c r="G2966">
        <v>9.1999999999999998E-2</v>
      </c>
      <c r="H2966" s="1" t="str">
        <f>HYPERLINK("http://www.weizmann.ac.il/complex/compphys/software/geview/data/figures/204079_at.png","Figure")</f>
        <v>Figure</v>
      </c>
      <c r="I2966">
        <v>0.65100000000000002</v>
      </c>
      <c r="J2966">
        <v>4.9000000000000002E-2</v>
      </c>
      <c r="K2966">
        <v>1.07</v>
      </c>
      <c r="L2966">
        <v>0.88</v>
      </c>
      <c r="M2966">
        <v>1.64</v>
      </c>
      <c r="N2966">
        <v>1.4999999999999999E-2</v>
      </c>
    </row>
    <row r="2967" spans="1:14" x14ac:dyDescent="0.25">
      <c r="A2967" t="s">
        <v>5461</v>
      </c>
      <c r="B2967" t="s">
        <v>5462</v>
      </c>
      <c r="C2967" s="1" t="str">
        <f>HYPERLINK("http://www.genecards.org/cgi-bin/carddisp.pl?gene=CLCN1","GeneCards")</f>
        <v>GeneCards</v>
      </c>
      <c r="D2967" s="1" t="str">
        <f>HYPERLINK("http://genome-euro.ucsc.edu/cgi-bin/hgTracks?position=208437_at","UCSC")</f>
        <v>UCSC</v>
      </c>
      <c r="E2967" s="1" t="str">
        <f>HYPERLINK("http://www.ncbi.nlm.nih.gov/gene/?term=CLCN1","NCBI")</f>
        <v>NCBI</v>
      </c>
      <c r="F2967">
        <v>1.6E-2</v>
      </c>
      <c r="G2967">
        <v>9.1999999999999998E-2</v>
      </c>
      <c r="H2967" s="1" t="str">
        <f>HYPERLINK("http://www.weizmann.ac.il/complex/compphys/software/geview/data/figures/208437_at.png","Figure")</f>
        <v>Figure</v>
      </c>
      <c r="I2967">
        <v>1.35</v>
      </c>
      <c r="J2967">
        <v>1.9E-2</v>
      </c>
      <c r="K2967">
        <v>1.24</v>
      </c>
      <c r="L2967">
        <v>4.9000000000000002E-2</v>
      </c>
      <c r="M2967">
        <v>0.92200000000000004</v>
      </c>
      <c r="N2967">
        <v>0.63</v>
      </c>
    </row>
    <row r="2968" spans="1:14" x14ac:dyDescent="0.25">
      <c r="A2968" t="s">
        <v>5463</v>
      </c>
      <c r="B2968" t="s">
        <v>4367</v>
      </c>
      <c r="C2968" s="1" t="str">
        <f>HYPERLINK("http://www.genecards.org/cgi-bin/carddisp.pl?gene=E2F3","GeneCards")</f>
        <v>GeneCards</v>
      </c>
      <c r="D2968" s="1" t="str">
        <f>HYPERLINK("http://genome-euro.ucsc.edu/cgi-bin/hgTracks?position=203693_s_at","UCSC")</f>
        <v>UCSC</v>
      </c>
      <c r="E2968" s="1" t="str">
        <f>HYPERLINK("http://www.ncbi.nlm.nih.gov/gene/?term=E2F3","NCBI")</f>
        <v>NCBI</v>
      </c>
      <c r="F2968">
        <v>1.6E-2</v>
      </c>
      <c r="G2968">
        <v>9.1999999999999998E-2</v>
      </c>
      <c r="H2968" s="1" t="str">
        <f>HYPERLINK("http://www.weizmann.ac.il/complex/compphys/software/geview/data/figures/203693_s_at.png","Figure")</f>
        <v>Figure</v>
      </c>
      <c r="I2968">
        <v>0.42399999999999999</v>
      </c>
      <c r="J2968">
        <v>1.2999999999999999E-2</v>
      </c>
      <c r="K2968">
        <v>0.71399999999999997</v>
      </c>
      <c r="L2968">
        <v>0.31</v>
      </c>
      <c r="M2968">
        <v>1.68</v>
      </c>
      <c r="N2968">
        <v>0.11</v>
      </c>
    </row>
    <row r="2969" spans="1:14" x14ac:dyDescent="0.25">
      <c r="A2969" t="s">
        <v>5464</v>
      </c>
      <c r="B2969" t="s">
        <v>5465</v>
      </c>
      <c r="C2969" s="1" t="str">
        <f>HYPERLINK("http://www.genecards.org/cgi-bin/carddisp.pl?gene=OSM","GeneCards")</f>
        <v>GeneCards</v>
      </c>
      <c r="D2969" s="1" t="str">
        <f>HYPERLINK("http://genome-euro.ucsc.edu/cgi-bin/hgTracks?position=214637_at","UCSC")</f>
        <v>UCSC</v>
      </c>
      <c r="E2969" s="1" t="str">
        <f>HYPERLINK("http://www.ncbi.nlm.nih.gov/gene/?term=OSM","NCBI")</f>
        <v>NCBI</v>
      </c>
      <c r="F2969">
        <v>1.6E-2</v>
      </c>
      <c r="G2969">
        <v>9.1999999999999998E-2</v>
      </c>
      <c r="H2969" s="1" t="str">
        <f>HYPERLINK("http://www.weizmann.ac.il/complex/compphys/software/geview/data/figures/214637_at.png","Figure")</f>
        <v>Figure</v>
      </c>
      <c r="I2969">
        <v>0.89100000000000001</v>
      </c>
      <c r="J2969">
        <v>3.5999999999999997E-2</v>
      </c>
      <c r="K2969">
        <v>1.01</v>
      </c>
      <c r="L2969">
        <v>0.98</v>
      </c>
      <c r="M2969">
        <v>1.1299999999999999</v>
      </c>
      <c r="N2969">
        <v>1.7999999999999999E-2</v>
      </c>
    </row>
    <row r="2970" spans="1:14" x14ac:dyDescent="0.25">
      <c r="A2970" t="s">
        <v>5466</v>
      </c>
      <c r="B2970" t="s">
        <v>5467</v>
      </c>
      <c r="C2970" s="1" t="str">
        <f>HYPERLINK("http://www.genecards.org/cgi-bin/carddisp.pl?gene=NUSAP1","GeneCards")</f>
        <v>GeneCards</v>
      </c>
      <c r="D2970" s="1" t="str">
        <f>HYPERLINK("http://genome-euro.ucsc.edu/cgi-bin/hgTracks?position=218039_at","UCSC")</f>
        <v>UCSC</v>
      </c>
      <c r="E2970" s="1" t="str">
        <f>HYPERLINK("http://www.ncbi.nlm.nih.gov/gene/?term=NUSAP1","NCBI")</f>
        <v>NCBI</v>
      </c>
      <c r="F2970">
        <v>1.6E-2</v>
      </c>
      <c r="G2970">
        <v>9.1999999999999998E-2</v>
      </c>
      <c r="H2970" s="1" t="str">
        <f>HYPERLINK("http://www.weizmann.ac.il/complex/compphys/software/geview/data/figures/218039_at.png","Figure")</f>
        <v>Figure</v>
      </c>
      <c r="I2970">
        <v>1.45</v>
      </c>
      <c r="J2970">
        <v>0.14000000000000001</v>
      </c>
      <c r="K2970">
        <v>1.71</v>
      </c>
      <c r="L2970">
        <v>1.2999999999999999E-2</v>
      </c>
      <c r="M2970">
        <v>1.18</v>
      </c>
      <c r="N2970">
        <v>0.6</v>
      </c>
    </row>
    <row r="2971" spans="1:14" x14ac:dyDescent="0.25">
      <c r="A2971" t="s">
        <v>5468</v>
      </c>
      <c r="B2971" t="s">
        <v>3861</v>
      </c>
      <c r="C2971" s="1" t="str">
        <f>HYPERLINK("http://www.genecards.org/cgi-bin/carddisp.pl?gene=PTGDS","GeneCards")</f>
        <v>GeneCards</v>
      </c>
      <c r="D2971" s="1" t="str">
        <f>HYPERLINK("http://genome-euro.ucsc.edu/cgi-bin/hgTracks?position=211748_x_at","UCSC")</f>
        <v>UCSC</v>
      </c>
      <c r="E2971" s="1" t="str">
        <f>HYPERLINK("http://www.ncbi.nlm.nih.gov/gene/?term=PTGDS","NCBI")</f>
        <v>NCBI</v>
      </c>
      <c r="F2971">
        <v>1.6E-2</v>
      </c>
      <c r="G2971">
        <v>9.1999999999999998E-2</v>
      </c>
      <c r="H2971" s="1" t="str">
        <f>HYPERLINK("http://www.weizmann.ac.il/complex/compphys/software/geview/data/figures/211748_x_at.png","Figure")</f>
        <v>Figure</v>
      </c>
      <c r="I2971">
        <v>1.4</v>
      </c>
      <c r="J2971">
        <v>1.2999999999999999E-2</v>
      </c>
      <c r="K2971">
        <v>1.1200000000000001</v>
      </c>
      <c r="L2971">
        <v>0.41</v>
      </c>
      <c r="M2971">
        <v>0.80100000000000005</v>
      </c>
      <c r="N2971">
        <v>8.2000000000000003E-2</v>
      </c>
    </row>
    <row r="2972" spans="1:14" x14ac:dyDescent="0.25">
      <c r="A2972" t="s">
        <v>5469</v>
      </c>
      <c r="B2972" t="s">
        <v>5470</v>
      </c>
      <c r="C2972" s="1" t="str">
        <f>HYPERLINK("http://www.genecards.org/cgi-bin/carddisp.pl?gene=SNRPB2","GeneCards")</f>
        <v>GeneCards</v>
      </c>
      <c r="D2972" s="1" t="str">
        <f>HYPERLINK("http://genome-euro.ucsc.edu/cgi-bin/hgTracks?position=202505_at","UCSC")</f>
        <v>UCSC</v>
      </c>
      <c r="E2972" s="1" t="str">
        <f>HYPERLINK("http://www.ncbi.nlm.nih.gov/gene/?term=SNRPB2","NCBI")</f>
        <v>NCBI</v>
      </c>
      <c r="F2972">
        <v>1.6E-2</v>
      </c>
      <c r="G2972">
        <v>9.1999999999999998E-2</v>
      </c>
      <c r="H2972" s="1" t="str">
        <f>HYPERLINK("http://www.weizmann.ac.il/complex/compphys/software/geview/data/figures/202505_at.png","Figure")</f>
        <v>Figure</v>
      </c>
      <c r="I2972">
        <v>1.36</v>
      </c>
      <c r="J2972">
        <v>0.02</v>
      </c>
      <c r="K2972">
        <v>1.26</v>
      </c>
      <c r="L2972">
        <v>4.4999999999999998E-2</v>
      </c>
      <c r="M2972">
        <v>0.92600000000000005</v>
      </c>
      <c r="N2972">
        <v>0.68</v>
      </c>
    </row>
    <row r="2973" spans="1:14" x14ac:dyDescent="0.25">
      <c r="A2973" t="s">
        <v>5471</v>
      </c>
      <c r="B2973" t="s">
        <v>5472</v>
      </c>
      <c r="C2973" s="1" t="str">
        <f>HYPERLINK("http://www.genecards.org/cgi-bin/carddisp.pl?gene=CHMP5","GeneCards")</f>
        <v>GeneCards</v>
      </c>
      <c r="D2973" s="1" t="str">
        <f>HYPERLINK("http://genome-euro.ucsc.edu/cgi-bin/hgTracks?position=218085_at","UCSC")</f>
        <v>UCSC</v>
      </c>
      <c r="E2973" s="1" t="str">
        <f>HYPERLINK("http://www.ncbi.nlm.nih.gov/gene/?term=CHMP5","NCBI")</f>
        <v>NCBI</v>
      </c>
      <c r="F2973">
        <v>1.6E-2</v>
      </c>
      <c r="G2973">
        <v>9.1999999999999998E-2</v>
      </c>
      <c r="H2973" s="1" t="str">
        <f>HYPERLINK("http://www.weizmann.ac.il/complex/compphys/software/geview/data/figures/218085_at.png","Figure")</f>
        <v>Figure</v>
      </c>
      <c r="I2973">
        <v>0.38500000000000001</v>
      </c>
      <c r="J2973">
        <v>3.2000000000000001E-2</v>
      </c>
      <c r="K2973">
        <v>0.41799999999999998</v>
      </c>
      <c r="L2973">
        <v>2.5000000000000001E-2</v>
      </c>
      <c r="M2973">
        <v>1.0900000000000001</v>
      </c>
      <c r="N2973">
        <v>0.96</v>
      </c>
    </row>
    <row r="2974" spans="1:14" x14ac:dyDescent="0.25">
      <c r="A2974" t="s">
        <v>5473</v>
      </c>
      <c r="B2974" t="s">
        <v>4952</v>
      </c>
      <c r="C2974" s="1" t="str">
        <f>HYPERLINK("http://www.genecards.org/cgi-bin/carddisp.pl?gene=RPL38","GeneCards")</f>
        <v>GeneCards</v>
      </c>
      <c r="D2974" s="1" t="str">
        <f>HYPERLINK("http://genome-euro.ucsc.edu/cgi-bin/hgTracks?position=202028_s_at","UCSC")</f>
        <v>UCSC</v>
      </c>
      <c r="E2974" s="1" t="str">
        <f>HYPERLINK("http://www.ncbi.nlm.nih.gov/gene/?term=RPL38","NCBI")</f>
        <v>NCBI</v>
      </c>
      <c r="F2974">
        <v>1.6E-2</v>
      </c>
      <c r="G2974">
        <v>9.1999999999999998E-2</v>
      </c>
      <c r="H2974" s="1" t="str">
        <f>HYPERLINK("http://www.weizmann.ac.il/complex/compphys/software/geview/data/figures/202028_s_at.png","Figure")</f>
        <v>Figure</v>
      </c>
      <c r="I2974">
        <v>1.98</v>
      </c>
      <c r="J2974">
        <v>1.7999999999999999E-2</v>
      </c>
      <c r="K2974">
        <v>1.63</v>
      </c>
      <c r="L2974">
        <v>5.0999999999999997E-2</v>
      </c>
      <c r="M2974">
        <v>0.82499999999999996</v>
      </c>
      <c r="N2974">
        <v>0.61</v>
      </c>
    </row>
    <row r="2975" spans="1:14" x14ac:dyDescent="0.25">
      <c r="A2975" t="s">
        <v>5474</v>
      </c>
      <c r="B2975" t="s">
        <v>603</v>
      </c>
      <c r="C2975" s="1" t="str">
        <f>HYPERLINK("http://www.genecards.org/cgi-bin/carddisp.pl?gene=RSU1","GeneCards")</f>
        <v>GeneCards</v>
      </c>
      <c r="D2975" s="1" t="str">
        <f>HYPERLINK("http://genome-euro.ucsc.edu/cgi-bin/hgTracks?position=215618_at","UCSC")</f>
        <v>UCSC</v>
      </c>
      <c r="E2975" s="1" t="str">
        <f>HYPERLINK("http://www.ncbi.nlm.nih.gov/gene/?term=RSU1","NCBI")</f>
        <v>NCBI</v>
      </c>
      <c r="F2975">
        <v>1.6E-2</v>
      </c>
      <c r="G2975">
        <v>9.1999999999999998E-2</v>
      </c>
      <c r="H2975" s="1" t="str">
        <f>HYPERLINK("http://www.weizmann.ac.il/complex/compphys/software/geview/data/figures/215618_at.png","Figure")</f>
        <v>Figure</v>
      </c>
      <c r="I2975">
        <v>1.3</v>
      </c>
      <c r="J2975">
        <v>1.2999999999999999E-2</v>
      </c>
      <c r="K2975">
        <v>1.1399999999999999</v>
      </c>
      <c r="L2975">
        <v>0.17</v>
      </c>
      <c r="M2975">
        <v>0.877</v>
      </c>
      <c r="N2975">
        <v>0.2</v>
      </c>
    </row>
    <row r="2976" spans="1:14" x14ac:dyDescent="0.25">
      <c r="A2976" t="s">
        <v>5475</v>
      </c>
      <c r="B2976" t="s">
        <v>5476</v>
      </c>
      <c r="C2976" s="1" t="str">
        <f>HYPERLINK("http://www.genecards.org/cgi-bin/carddisp.pl?gene=ARFGAP1","GeneCards")</f>
        <v>GeneCards</v>
      </c>
      <c r="D2976" s="1" t="str">
        <f>HYPERLINK("http://genome-euro.ucsc.edu/cgi-bin/hgTracks?position=217888_s_at","UCSC")</f>
        <v>UCSC</v>
      </c>
      <c r="E2976" s="1" t="str">
        <f>HYPERLINK("http://www.ncbi.nlm.nih.gov/gene/?term=ARFGAP1","NCBI")</f>
        <v>NCBI</v>
      </c>
      <c r="F2976">
        <v>1.6E-2</v>
      </c>
      <c r="G2976">
        <v>9.1999999999999998E-2</v>
      </c>
      <c r="H2976" s="1" t="str">
        <f>HYPERLINK("http://www.weizmann.ac.il/complex/compphys/software/geview/data/figures/217888_s_at.png","Figure")</f>
        <v>Figure</v>
      </c>
      <c r="I2976">
        <v>1.32</v>
      </c>
      <c r="J2976">
        <v>1.7000000000000001E-2</v>
      </c>
      <c r="K2976">
        <v>1.06</v>
      </c>
      <c r="L2976">
        <v>0.75</v>
      </c>
      <c r="M2976">
        <v>0.80100000000000005</v>
      </c>
      <c r="N2976">
        <v>3.9E-2</v>
      </c>
    </row>
    <row r="2977" spans="1:14" x14ac:dyDescent="0.25">
      <c r="A2977" t="s">
        <v>5477</v>
      </c>
      <c r="B2977" t="s">
        <v>5478</v>
      </c>
      <c r="C2977" s="1" t="str">
        <f>HYPERLINK("http://www.genecards.org/cgi-bin/carddisp.pl?gene=NOC4L","GeneCards")</f>
        <v>GeneCards</v>
      </c>
      <c r="D2977" s="1" t="str">
        <f>HYPERLINK("http://genome-euro.ucsc.edu/cgi-bin/hgTracks?position=218860_at","UCSC")</f>
        <v>UCSC</v>
      </c>
      <c r="E2977" s="1" t="str">
        <f>HYPERLINK("http://www.ncbi.nlm.nih.gov/gene/?term=NOC4L","NCBI")</f>
        <v>NCBI</v>
      </c>
      <c r="F2977">
        <v>1.6E-2</v>
      </c>
      <c r="G2977">
        <v>9.1999999999999998E-2</v>
      </c>
      <c r="H2977" s="1" t="str">
        <f>HYPERLINK("http://www.weizmann.ac.il/complex/compphys/software/geview/data/figures/218860_at.png","Figure")</f>
        <v>Figure</v>
      </c>
      <c r="I2977">
        <v>1.23</v>
      </c>
      <c r="J2977">
        <v>1.9E-2</v>
      </c>
      <c r="K2977">
        <v>1.17</v>
      </c>
      <c r="L2977">
        <v>4.7E-2</v>
      </c>
      <c r="M2977">
        <v>0.94699999999999995</v>
      </c>
      <c r="N2977">
        <v>0.66</v>
      </c>
    </row>
    <row r="2978" spans="1:14" x14ac:dyDescent="0.25">
      <c r="A2978" t="s">
        <v>5479</v>
      </c>
      <c r="B2978" t="s">
        <v>5480</v>
      </c>
      <c r="C2978" s="1" t="str">
        <f>HYPERLINK("http://www.genecards.org/cgi-bin/carddisp.pl?gene=C21orf66","GeneCards")</f>
        <v>GeneCards</v>
      </c>
      <c r="D2978" s="1" t="str">
        <f>HYPERLINK("http://genome-euro.ucsc.edu/cgi-bin/hgTracks?position=221158_at","UCSC")</f>
        <v>UCSC</v>
      </c>
      <c r="E2978" s="1" t="str">
        <f>HYPERLINK("http://www.ncbi.nlm.nih.gov/gene/?term=C21orf66","NCBI")</f>
        <v>NCBI</v>
      </c>
      <c r="F2978">
        <v>1.6E-2</v>
      </c>
      <c r="G2978">
        <v>9.1999999999999998E-2</v>
      </c>
      <c r="H2978" s="1" t="str">
        <f>HYPERLINK("http://www.weizmann.ac.il/complex/compphys/software/geview/data/figures/221158_at.png","Figure")</f>
        <v>Figure</v>
      </c>
      <c r="I2978">
        <v>0.57699999999999996</v>
      </c>
      <c r="J2978">
        <v>0.21</v>
      </c>
      <c r="K2978">
        <v>0.40600000000000003</v>
      </c>
      <c r="L2978">
        <v>1.2E-2</v>
      </c>
      <c r="M2978">
        <v>0.70399999999999996</v>
      </c>
      <c r="N2978">
        <v>0.45</v>
      </c>
    </row>
    <row r="2979" spans="1:14" x14ac:dyDescent="0.25">
      <c r="A2979" t="s">
        <v>5481</v>
      </c>
      <c r="B2979" t="s">
        <v>5482</v>
      </c>
      <c r="C2979" s="1" t="str">
        <f>HYPERLINK("http://www.genecards.org/cgi-bin/carddisp.pl?gene=FAM64A","GeneCards")</f>
        <v>GeneCards</v>
      </c>
      <c r="D2979" s="1" t="str">
        <f>HYPERLINK("http://genome-euro.ucsc.edu/cgi-bin/hgTracks?position=221591_s_at","UCSC")</f>
        <v>UCSC</v>
      </c>
      <c r="E2979" s="1" t="str">
        <f>HYPERLINK("http://www.ncbi.nlm.nih.gov/gene/?term=FAM64A","NCBI")</f>
        <v>NCBI</v>
      </c>
      <c r="F2979">
        <v>1.6E-2</v>
      </c>
      <c r="G2979">
        <v>9.1999999999999998E-2</v>
      </c>
      <c r="H2979" s="1" t="str">
        <f>HYPERLINK("http://www.weizmann.ac.il/complex/compphys/software/geview/data/figures/221591_s_at.png","Figure")</f>
        <v>Figure</v>
      </c>
      <c r="I2979">
        <v>1.17</v>
      </c>
      <c r="J2979">
        <v>0.77</v>
      </c>
      <c r="K2979">
        <v>1.89</v>
      </c>
      <c r="L2979">
        <v>1.7000000000000001E-2</v>
      </c>
      <c r="M2979">
        <v>1.61</v>
      </c>
      <c r="N2979">
        <v>9.9000000000000005E-2</v>
      </c>
    </row>
    <row r="2980" spans="1:14" x14ac:dyDescent="0.25">
      <c r="A2980" t="s">
        <v>5483</v>
      </c>
      <c r="B2980" t="s">
        <v>5484</v>
      </c>
      <c r="C2980" s="1" t="str">
        <f>HYPERLINK("http://www.genecards.org/cgi-bin/carddisp.pl?gene=IFITM3","GeneCards")</f>
        <v>GeneCards</v>
      </c>
      <c r="D2980" s="1" t="str">
        <f>HYPERLINK("http://genome-euro.ucsc.edu/cgi-bin/hgTracks?position=212203_x_at","UCSC")</f>
        <v>UCSC</v>
      </c>
      <c r="E2980" s="1" t="str">
        <f>HYPERLINK("http://www.ncbi.nlm.nih.gov/gene/?term=IFITM3","NCBI")</f>
        <v>NCBI</v>
      </c>
      <c r="F2980">
        <v>1.6E-2</v>
      </c>
      <c r="G2980">
        <v>9.1999999999999998E-2</v>
      </c>
      <c r="H2980" s="1" t="str">
        <f>HYPERLINK("http://www.weizmann.ac.il/complex/compphys/software/geview/data/figures/212203_x_at.png","Figure")</f>
        <v>Figure</v>
      </c>
      <c r="I2980">
        <v>0.438</v>
      </c>
      <c r="J2980">
        <v>2.7E-2</v>
      </c>
      <c r="K2980">
        <v>0.97099999999999997</v>
      </c>
      <c r="L2980">
        <v>0.99</v>
      </c>
      <c r="M2980">
        <v>2.21</v>
      </c>
      <c r="N2980">
        <v>2.1999999999999999E-2</v>
      </c>
    </row>
    <row r="2981" spans="1:14" x14ac:dyDescent="0.25">
      <c r="A2981" t="s">
        <v>5485</v>
      </c>
      <c r="B2981" t="s">
        <v>5486</v>
      </c>
      <c r="C2981" s="1" t="str">
        <f>HYPERLINK("http://www.genecards.org/cgi-bin/carddisp.pl?gene=MMP26","GeneCards")</f>
        <v>GeneCards</v>
      </c>
      <c r="D2981" s="1" t="str">
        <f>HYPERLINK("http://genome-euro.ucsc.edu/cgi-bin/hgTracks?position=220541_at","UCSC")</f>
        <v>UCSC</v>
      </c>
      <c r="E2981" s="1" t="str">
        <f>HYPERLINK("http://www.ncbi.nlm.nih.gov/gene/?term=MMP26","NCBI")</f>
        <v>NCBI</v>
      </c>
      <c r="F2981">
        <v>1.6E-2</v>
      </c>
      <c r="G2981">
        <v>9.1999999999999998E-2</v>
      </c>
      <c r="H2981" s="1" t="str">
        <f>HYPERLINK("http://www.weizmann.ac.il/complex/compphys/software/geview/data/figures/220541_at.png","Figure")</f>
        <v>Figure</v>
      </c>
      <c r="I2981">
        <v>1.1599999999999999</v>
      </c>
      <c r="J2981">
        <v>3.1E-2</v>
      </c>
      <c r="K2981">
        <v>0.998</v>
      </c>
      <c r="L2981">
        <v>1</v>
      </c>
      <c r="M2981">
        <v>0.85799999999999998</v>
      </c>
      <c r="N2981">
        <v>0.02</v>
      </c>
    </row>
    <row r="2982" spans="1:14" x14ac:dyDescent="0.25">
      <c r="A2982" t="s">
        <v>5487</v>
      </c>
      <c r="B2982" t="s">
        <v>5488</v>
      </c>
      <c r="C2982" s="1" t="str">
        <f>HYPERLINK("http://www.genecards.org/cgi-bin/carddisp.pl?gene=TNFAIP1","GeneCards")</f>
        <v>GeneCards</v>
      </c>
      <c r="D2982" s="1" t="str">
        <f>HYPERLINK("http://genome-euro.ucsc.edu/cgi-bin/hgTracks?position=201207_at","UCSC")</f>
        <v>UCSC</v>
      </c>
      <c r="E2982" s="1" t="str">
        <f>HYPERLINK("http://www.ncbi.nlm.nih.gov/gene/?term=TNFAIP1","NCBI")</f>
        <v>NCBI</v>
      </c>
      <c r="F2982">
        <v>1.6E-2</v>
      </c>
      <c r="G2982">
        <v>9.1999999999999998E-2</v>
      </c>
      <c r="H2982" s="1" t="str">
        <f>HYPERLINK("http://www.weizmann.ac.il/complex/compphys/software/geview/data/figures/201207_at.png","Figure")</f>
        <v>Figure</v>
      </c>
      <c r="I2982">
        <v>0.87</v>
      </c>
      <c r="J2982">
        <v>0.16</v>
      </c>
      <c r="K2982">
        <v>0.81</v>
      </c>
      <c r="L2982">
        <v>1.2999999999999999E-2</v>
      </c>
      <c r="M2982">
        <v>0.93100000000000005</v>
      </c>
      <c r="N2982">
        <v>0.55000000000000004</v>
      </c>
    </row>
    <row r="2983" spans="1:14" x14ac:dyDescent="0.25">
      <c r="A2983" t="s">
        <v>5489</v>
      </c>
      <c r="B2983" t="s">
        <v>5490</v>
      </c>
      <c r="C2983" s="1" t="str">
        <f>HYPERLINK("http://www.genecards.org/cgi-bin/carddisp.pl?gene=NDUFV2","GeneCards")</f>
        <v>GeneCards</v>
      </c>
      <c r="D2983" s="1" t="str">
        <f>HYPERLINK("http://genome-euro.ucsc.edu/cgi-bin/hgTracks?position=202941_at","UCSC")</f>
        <v>UCSC</v>
      </c>
      <c r="E2983" s="1" t="str">
        <f>HYPERLINK("http://www.ncbi.nlm.nih.gov/gene/?term=NDUFV2","NCBI")</f>
        <v>NCBI</v>
      </c>
      <c r="F2983">
        <v>1.6E-2</v>
      </c>
      <c r="G2983">
        <v>9.1999999999999998E-2</v>
      </c>
      <c r="H2983" s="1" t="str">
        <f>HYPERLINK("http://www.weizmann.ac.il/complex/compphys/software/geview/data/figures/202941_at.png","Figure")</f>
        <v>Figure</v>
      </c>
      <c r="I2983">
        <v>0.71299999999999997</v>
      </c>
      <c r="J2983">
        <v>0.2</v>
      </c>
      <c r="K2983">
        <v>0.57499999999999996</v>
      </c>
      <c r="L2983">
        <v>1.2E-2</v>
      </c>
      <c r="M2983">
        <v>0.80700000000000005</v>
      </c>
      <c r="N2983">
        <v>0.46</v>
      </c>
    </row>
    <row r="2984" spans="1:14" x14ac:dyDescent="0.25">
      <c r="A2984" t="s">
        <v>5491</v>
      </c>
      <c r="B2984" t="s">
        <v>277</v>
      </c>
      <c r="C2984" s="1" t="str">
        <f>HYPERLINK("http://www.genecards.org/cgi-bin/carddisp.pl?gene=SDC2","GeneCards")</f>
        <v>GeneCards</v>
      </c>
      <c r="D2984" s="1" t="str">
        <f>HYPERLINK("http://genome-euro.ucsc.edu/cgi-bin/hgTracks?position=212157_at","UCSC")</f>
        <v>UCSC</v>
      </c>
      <c r="E2984" s="1" t="str">
        <f>HYPERLINK("http://www.ncbi.nlm.nih.gov/gene/?term=SDC2","NCBI")</f>
        <v>NCBI</v>
      </c>
      <c r="F2984">
        <v>1.6E-2</v>
      </c>
      <c r="G2984">
        <v>9.1999999999999998E-2</v>
      </c>
      <c r="H2984" s="1" t="str">
        <f>HYPERLINK("http://www.weizmann.ac.il/complex/compphys/software/geview/data/figures/212157_at.png","Figure")</f>
        <v>Figure</v>
      </c>
      <c r="I2984">
        <v>1.38</v>
      </c>
      <c r="J2984">
        <v>9.0999999999999998E-2</v>
      </c>
      <c r="K2984">
        <v>0.88900000000000001</v>
      </c>
      <c r="L2984">
        <v>0.61</v>
      </c>
      <c r="M2984">
        <v>0.64600000000000002</v>
      </c>
      <c r="N2984">
        <v>1.2999999999999999E-2</v>
      </c>
    </row>
    <row r="2985" spans="1:14" x14ac:dyDescent="0.25">
      <c r="A2985" t="s">
        <v>5492</v>
      </c>
      <c r="B2985" t="s">
        <v>5493</v>
      </c>
      <c r="C2985" s="1" t="str">
        <f>HYPERLINK("http://www.genecards.org/cgi-bin/carddisp.pl?gene=GBAS","GeneCards")</f>
        <v>GeneCards</v>
      </c>
      <c r="D2985" s="1" t="str">
        <f>HYPERLINK("http://genome-euro.ucsc.edu/cgi-bin/hgTracks?position=201816_s_at","UCSC")</f>
        <v>UCSC</v>
      </c>
      <c r="E2985" s="1" t="str">
        <f>HYPERLINK("http://www.ncbi.nlm.nih.gov/gene/?term=GBAS","NCBI")</f>
        <v>NCBI</v>
      </c>
      <c r="F2985">
        <v>1.6E-2</v>
      </c>
      <c r="G2985">
        <v>9.1999999999999998E-2</v>
      </c>
      <c r="H2985" s="1" t="str">
        <f>HYPERLINK("http://www.weizmann.ac.il/complex/compphys/software/geview/data/figures/201816_s_at.png","Figure")</f>
        <v>Figure</v>
      </c>
      <c r="I2985">
        <v>0.61899999999999999</v>
      </c>
      <c r="J2985">
        <v>2.4E-2</v>
      </c>
      <c r="K2985">
        <v>0.96799999999999997</v>
      </c>
      <c r="L2985">
        <v>0.97</v>
      </c>
      <c r="M2985">
        <v>1.56</v>
      </c>
      <c r="N2985">
        <v>2.5000000000000001E-2</v>
      </c>
    </row>
    <row r="2986" spans="1:14" x14ac:dyDescent="0.25">
      <c r="A2986" t="s">
        <v>5494</v>
      </c>
      <c r="B2986" t="s">
        <v>5495</v>
      </c>
      <c r="C2986" s="1" t="str">
        <f>HYPERLINK("http://www.genecards.org/cgi-bin/carddisp.pl?gene=SGTA","GeneCards")</f>
        <v>GeneCards</v>
      </c>
      <c r="D2986" s="1" t="str">
        <f>HYPERLINK("http://genome-euro.ucsc.edu/cgi-bin/hgTracks?position=201396_s_at","UCSC")</f>
        <v>UCSC</v>
      </c>
      <c r="E2986" s="1" t="str">
        <f>HYPERLINK("http://www.ncbi.nlm.nih.gov/gene/?term=SGTA","NCBI")</f>
        <v>NCBI</v>
      </c>
      <c r="F2986">
        <v>1.6E-2</v>
      </c>
      <c r="G2986">
        <v>9.1999999999999998E-2</v>
      </c>
      <c r="H2986" s="1" t="str">
        <f>HYPERLINK("http://www.weizmann.ac.il/complex/compphys/software/geview/data/figures/201396_s_at.png","Figure")</f>
        <v>Figure</v>
      </c>
      <c r="I2986">
        <v>1.52</v>
      </c>
      <c r="J2986">
        <v>1.2999999999999999E-2</v>
      </c>
      <c r="K2986">
        <v>1.25</v>
      </c>
      <c r="L2986">
        <v>0.13</v>
      </c>
      <c r="M2986">
        <v>0.82799999999999996</v>
      </c>
      <c r="N2986">
        <v>0.27</v>
      </c>
    </row>
    <row r="2987" spans="1:14" x14ac:dyDescent="0.25">
      <c r="A2987" t="s">
        <v>5496</v>
      </c>
      <c r="B2987" t="s">
        <v>5497</v>
      </c>
      <c r="C2987" s="1" t="str">
        <f>HYPERLINK("http://www.genecards.org/cgi-bin/carddisp.pl?gene=ABCC1","GeneCards")</f>
        <v>GeneCards</v>
      </c>
      <c r="D2987" s="1" t="str">
        <f>HYPERLINK("http://genome-euro.ucsc.edu/cgi-bin/hgTracks?position=202804_at","UCSC")</f>
        <v>UCSC</v>
      </c>
      <c r="E2987" s="1" t="str">
        <f>HYPERLINK("http://www.ncbi.nlm.nih.gov/gene/?term=ABCC1","NCBI")</f>
        <v>NCBI</v>
      </c>
      <c r="F2987">
        <v>1.6E-2</v>
      </c>
      <c r="G2987">
        <v>9.1999999999999998E-2</v>
      </c>
      <c r="H2987" s="1" t="str">
        <f>HYPERLINK("http://www.weizmann.ac.il/complex/compphys/software/geview/data/figures/202804_at.png","Figure")</f>
        <v>Figure</v>
      </c>
      <c r="I2987">
        <v>0.77</v>
      </c>
      <c r="J2987">
        <v>0.15</v>
      </c>
      <c r="K2987">
        <v>0.68200000000000005</v>
      </c>
      <c r="L2987">
        <v>1.2999999999999999E-2</v>
      </c>
      <c r="M2987">
        <v>0.88600000000000001</v>
      </c>
      <c r="N2987">
        <v>0.59</v>
      </c>
    </row>
    <row r="2988" spans="1:14" x14ac:dyDescent="0.25">
      <c r="A2988" t="s">
        <v>5498</v>
      </c>
      <c r="B2988" t="s">
        <v>5499</v>
      </c>
      <c r="C2988" s="1" t="str">
        <f>HYPERLINK("http://www.genecards.org/cgi-bin/carddisp.pl?gene=TMOD1","GeneCards")</f>
        <v>GeneCards</v>
      </c>
      <c r="D2988" s="1" t="str">
        <f>HYPERLINK("http://genome-euro.ucsc.edu/cgi-bin/hgTracks?position=203662_s_at","UCSC")</f>
        <v>UCSC</v>
      </c>
      <c r="E2988" s="1" t="str">
        <f>HYPERLINK("http://www.ncbi.nlm.nih.gov/gene/?term=TMOD1","NCBI")</f>
        <v>NCBI</v>
      </c>
      <c r="F2988">
        <v>1.6E-2</v>
      </c>
      <c r="G2988">
        <v>9.1999999999999998E-2</v>
      </c>
      <c r="H2988" s="1" t="str">
        <f>HYPERLINK("http://www.weizmann.ac.il/complex/compphys/software/geview/data/figures/203662_s_at.png","Figure")</f>
        <v>Figure</v>
      </c>
      <c r="I2988">
        <v>1.28</v>
      </c>
      <c r="J2988">
        <v>1.4E-2</v>
      </c>
      <c r="K2988">
        <v>1.1499999999999999</v>
      </c>
      <c r="L2988">
        <v>0.12</v>
      </c>
      <c r="M2988">
        <v>0.89900000000000002</v>
      </c>
      <c r="N2988">
        <v>0.28999999999999998</v>
      </c>
    </row>
    <row r="2989" spans="1:14" x14ac:dyDescent="0.25">
      <c r="A2989" t="s">
        <v>5500</v>
      </c>
      <c r="B2989" t="s">
        <v>5501</v>
      </c>
      <c r="C2989" s="1" t="str">
        <f>HYPERLINK("http://www.genecards.org/cgi-bin/carddisp.pl?gene=SLC7A7","GeneCards")</f>
        <v>GeneCards</v>
      </c>
      <c r="D2989" s="1" t="str">
        <f>HYPERLINK("http://genome-euro.ucsc.edu/cgi-bin/hgTracks?position=204588_s_at","UCSC")</f>
        <v>UCSC</v>
      </c>
      <c r="E2989" s="1" t="str">
        <f>HYPERLINK("http://www.ncbi.nlm.nih.gov/gene/?term=SLC7A7","NCBI")</f>
        <v>NCBI</v>
      </c>
      <c r="F2989">
        <v>1.6E-2</v>
      </c>
      <c r="G2989">
        <v>9.1999999999999998E-2</v>
      </c>
      <c r="H2989" s="1" t="str">
        <f>HYPERLINK("http://www.weizmann.ac.il/complex/compphys/software/geview/data/figures/204588_s_at.png","Figure")</f>
        <v>Figure</v>
      </c>
      <c r="I2989">
        <v>1.25</v>
      </c>
      <c r="J2989">
        <v>3.3000000000000002E-2</v>
      </c>
      <c r="K2989">
        <v>0.99299999999999999</v>
      </c>
      <c r="L2989">
        <v>0.99</v>
      </c>
      <c r="M2989">
        <v>0.79100000000000004</v>
      </c>
      <c r="N2989">
        <v>1.9E-2</v>
      </c>
    </row>
    <row r="2990" spans="1:14" x14ac:dyDescent="0.25">
      <c r="A2990" t="s">
        <v>5502</v>
      </c>
      <c r="B2990" t="s">
        <v>5503</v>
      </c>
      <c r="C2990" s="1" t="str">
        <f>HYPERLINK("http://www.genecards.org/cgi-bin/carddisp.pl?gene=BCL10","GeneCards")</f>
        <v>GeneCards</v>
      </c>
      <c r="D2990" s="1" t="str">
        <f>HYPERLINK("http://genome-euro.ucsc.edu/cgi-bin/hgTracks?position=205263_at","UCSC")</f>
        <v>UCSC</v>
      </c>
      <c r="E2990" s="1" t="str">
        <f>HYPERLINK("http://www.ncbi.nlm.nih.gov/gene/?term=BCL10","NCBI")</f>
        <v>NCBI</v>
      </c>
      <c r="F2990">
        <v>1.6E-2</v>
      </c>
      <c r="G2990">
        <v>9.1999999999999998E-2</v>
      </c>
      <c r="H2990" s="1" t="str">
        <f>HYPERLINK("http://www.weizmann.ac.il/complex/compphys/software/geview/data/figures/205263_at.png","Figure")</f>
        <v>Figure</v>
      </c>
      <c r="I2990">
        <v>0.872</v>
      </c>
      <c r="J2990">
        <v>0.88</v>
      </c>
      <c r="K2990">
        <v>0.46400000000000002</v>
      </c>
      <c r="L2990">
        <v>0.02</v>
      </c>
      <c r="M2990">
        <v>0.53200000000000003</v>
      </c>
      <c r="N2990">
        <v>7.5999999999999998E-2</v>
      </c>
    </row>
    <row r="2991" spans="1:14" x14ac:dyDescent="0.25">
      <c r="A2991" t="s">
        <v>5504</v>
      </c>
      <c r="B2991" t="s">
        <v>5505</v>
      </c>
      <c r="C2991" s="1" t="str">
        <f>HYPERLINK("http://www.genecards.org/cgi-bin/carddisp.pl?gene=HRH1","GeneCards")</f>
        <v>GeneCards</v>
      </c>
      <c r="D2991" s="1" t="str">
        <f>HYPERLINK("http://genome-euro.ucsc.edu/cgi-bin/hgTracks?position=205580_s_at","UCSC")</f>
        <v>UCSC</v>
      </c>
      <c r="E2991" s="1" t="str">
        <f>HYPERLINK("http://www.ncbi.nlm.nih.gov/gene/?term=HRH1","NCBI")</f>
        <v>NCBI</v>
      </c>
      <c r="F2991">
        <v>1.6E-2</v>
      </c>
      <c r="G2991">
        <v>9.1999999999999998E-2</v>
      </c>
      <c r="H2991" s="1" t="str">
        <f>HYPERLINK("http://www.weizmann.ac.il/complex/compphys/software/geview/data/figures/205580_s_at.png","Figure")</f>
        <v>Figure</v>
      </c>
      <c r="I2991">
        <v>1.17</v>
      </c>
      <c r="J2991">
        <v>1.6E-2</v>
      </c>
      <c r="K2991">
        <v>1.04</v>
      </c>
      <c r="L2991">
        <v>0.67</v>
      </c>
      <c r="M2991">
        <v>0.88600000000000001</v>
      </c>
      <c r="N2991">
        <v>4.5999999999999999E-2</v>
      </c>
    </row>
    <row r="2992" spans="1:14" x14ac:dyDescent="0.25">
      <c r="A2992" t="s">
        <v>5506</v>
      </c>
      <c r="B2992" t="s">
        <v>5507</v>
      </c>
      <c r="C2992" s="1" t="str">
        <f>HYPERLINK("http://www.genecards.org/cgi-bin/carddisp.pl?gene=CEP135","GeneCards")</f>
        <v>GeneCards</v>
      </c>
      <c r="D2992" s="1" t="str">
        <f>HYPERLINK("http://genome-euro.ucsc.edu/cgi-bin/hgTracks?position=206003_at","UCSC")</f>
        <v>UCSC</v>
      </c>
      <c r="E2992" s="1" t="str">
        <f>HYPERLINK("http://www.ncbi.nlm.nih.gov/gene/?term=CEP135","NCBI")</f>
        <v>NCBI</v>
      </c>
      <c r="F2992">
        <v>1.6E-2</v>
      </c>
      <c r="G2992">
        <v>9.1999999999999998E-2</v>
      </c>
      <c r="H2992" s="1" t="str">
        <f>HYPERLINK("http://www.weizmann.ac.il/complex/compphys/software/geview/data/figures/206003_at.png","Figure")</f>
        <v>Figure</v>
      </c>
      <c r="I2992">
        <v>0.58699999999999997</v>
      </c>
      <c r="J2992">
        <v>3.5000000000000003E-2</v>
      </c>
      <c r="K2992">
        <v>0.60699999999999998</v>
      </c>
      <c r="L2992">
        <v>2.4E-2</v>
      </c>
      <c r="M2992">
        <v>1.03</v>
      </c>
      <c r="N2992">
        <v>0.98</v>
      </c>
    </row>
    <row r="2993" spans="1:14" x14ac:dyDescent="0.25">
      <c r="A2993" t="s">
        <v>5508</v>
      </c>
      <c r="B2993" t="s">
        <v>5509</v>
      </c>
      <c r="C2993" s="1" t="str">
        <f>HYPERLINK("http://www.genecards.org/cgi-bin/carddisp.pl?gene=CPN1","GeneCards")</f>
        <v>GeneCards</v>
      </c>
      <c r="D2993" s="1" t="str">
        <f>HYPERLINK("http://genome-euro.ucsc.edu/cgi-bin/hgTracks?position=206256_at","UCSC")</f>
        <v>UCSC</v>
      </c>
      <c r="E2993" s="1" t="str">
        <f>HYPERLINK("http://www.ncbi.nlm.nih.gov/gene/?term=CPN1","NCBI")</f>
        <v>NCBI</v>
      </c>
      <c r="F2993">
        <v>1.6E-2</v>
      </c>
      <c r="G2993">
        <v>9.1999999999999998E-2</v>
      </c>
      <c r="H2993" s="1" t="str">
        <f>HYPERLINK("http://www.weizmann.ac.il/complex/compphys/software/geview/data/figures/206256_at.png","Figure")</f>
        <v>Figure</v>
      </c>
      <c r="I2993">
        <v>1.1100000000000001</v>
      </c>
      <c r="J2993">
        <v>1.4999999999999999E-2</v>
      </c>
      <c r="K2993">
        <v>1.03</v>
      </c>
      <c r="L2993">
        <v>0.61</v>
      </c>
      <c r="M2993">
        <v>0.92600000000000005</v>
      </c>
      <c r="N2993">
        <v>5.1999999999999998E-2</v>
      </c>
    </row>
    <row r="2994" spans="1:14" x14ac:dyDescent="0.25">
      <c r="A2994" t="s">
        <v>5510</v>
      </c>
      <c r="B2994" t="s">
        <v>5511</v>
      </c>
      <c r="C2994" s="1" t="str">
        <f>HYPERLINK("http://www.genecards.org/cgi-bin/carddisp.pl?gene=DPP6","GeneCards")</f>
        <v>GeneCards</v>
      </c>
      <c r="D2994" s="1" t="str">
        <f>HYPERLINK("http://genome-euro.ucsc.edu/cgi-bin/hgTracks?position=207789_s_at","UCSC")</f>
        <v>UCSC</v>
      </c>
      <c r="E2994" s="1" t="str">
        <f>HYPERLINK("http://www.ncbi.nlm.nih.gov/gene/?term=DPP6","NCBI")</f>
        <v>NCBI</v>
      </c>
      <c r="F2994">
        <v>1.6E-2</v>
      </c>
      <c r="G2994">
        <v>9.1999999999999998E-2</v>
      </c>
      <c r="H2994" s="1" t="str">
        <f>HYPERLINK("http://www.weizmann.ac.il/complex/compphys/software/geview/data/figures/207789_s_at.png","Figure")</f>
        <v>Figure</v>
      </c>
      <c r="I2994">
        <v>1.2</v>
      </c>
      <c r="J2994">
        <v>6.4000000000000001E-2</v>
      </c>
      <c r="K2994">
        <v>0.95699999999999996</v>
      </c>
      <c r="L2994">
        <v>0.77</v>
      </c>
      <c r="M2994">
        <v>0.79800000000000004</v>
      </c>
      <c r="N2994">
        <v>1.4E-2</v>
      </c>
    </row>
    <row r="2995" spans="1:14" x14ac:dyDescent="0.25">
      <c r="A2995" t="s">
        <v>5512</v>
      </c>
      <c r="B2995" t="s">
        <v>5513</v>
      </c>
      <c r="C2995" s="1" t="str">
        <f>HYPERLINK("http://www.genecards.org/cgi-bin/carddisp.pl?gene=KCNJ1","GeneCards")</f>
        <v>GeneCards</v>
      </c>
      <c r="D2995" s="1" t="str">
        <f>HYPERLINK("http://genome-euro.ucsc.edu/cgi-bin/hgTracks?position=210403_s_at","UCSC")</f>
        <v>UCSC</v>
      </c>
      <c r="E2995" s="1" t="str">
        <f>HYPERLINK("http://www.ncbi.nlm.nih.gov/gene/?term=KCNJ1","NCBI")</f>
        <v>NCBI</v>
      </c>
      <c r="F2995">
        <v>1.6E-2</v>
      </c>
      <c r="G2995">
        <v>9.1999999999999998E-2</v>
      </c>
      <c r="H2995" s="1" t="str">
        <f>HYPERLINK("http://www.weizmann.ac.il/complex/compphys/software/geview/data/figures/210403_s_at.png","Figure")</f>
        <v>Figure</v>
      </c>
      <c r="I2995">
        <v>1.06</v>
      </c>
      <c r="J2995">
        <v>0.53</v>
      </c>
      <c r="K2995">
        <v>0.90300000000000002</v>
      </c>
      <c r="L2995">
        <v>0.11</v>
      </c>
      <c r="M2995">
        <v>0.85199999999999998</v>
      </c>
      <c r="N2995">
        <v>1.7000000000000001E-2</v>
      </c>
    </row>
    <row r="2996" spans="1:14" x14ac:dyDescent="0.25">
      <c r="A2996" t="s">
        <v>5514</v>
      </c>
      <c r="B2996" t="s">
        <v>756</v>
      </c>
      <c r="C2996" s="1" t="str">
        <f>HYPERLINK("http://www.genecards.org/cgi-bin/carddisp.pl?gene=VIPR2","GeneCards")</f>
        <v>GeneCards</v>
      </c>
      <c r="D2996" s="1" t="str">
        <f>HYPERLINK("http://genome-euro.ucsc.edu/cgi-bin/hgTracks?position=211598_x_at","UCSC")</f>
        <v>UCSC</v>
      </c>
      <c r="E2996" s="1" t="str">
        <f>HYPERLINK("http://www.ncbi.nlm.nih.gov/gene/?term=VIPR2","NCBI")</f>
        <v>NCBI</v>
      </c>
      <c r="F2996">
        <v>1.6E-2</v>
      </c>
      <c r="G2996">
        <v>9.1999999999999998E-2</v>
      </c>
      <c r="H2996" s="1" t="str">
        <f>HYPERLINK("http://www.weizmann.ac.il/complex/compphys/software/geview/data/figures/211598_x_at.png","Figure")</f>
        <v>Figure</v>
      </c>
      <c r="I2996">
        <v>1.27</v>
      </c>
      <c r="J2996">
        <v>1.7999999999999999E-2</v>
      </c>
      <c r="K2996">
        <v>1.19</v>
      </c>
      <c r="L2996">
        <v>5.0999999999999997E-2</v>
      </c>
      <c r="M2996">
        <v>0.93400000000000005</v>
      </c>
      <c r="N2996">
        <v>0.62</v>
      </c>
    </row>
    <row r="2997" spans="1:14" x14ac:dyDescent="0.25">
      <c r="A2997" t="s">
        <v>5515</v>
      </c>
      <c r="B2997" t="s">
        <v>5516</v>
      </c>
      <c r="C2997" s="1" t="str">
        <f>HYPERLINK("http://www.genecards.org/cgi-bin/carddisp.pl?gene=YIPF6","GeneCards")</f>
        <v>GeneCards</v>
      </c>
      <c r="D2997" s="1" t="str">
        <f>HYPERLINK("http://genome-euro.ucsc.edu/cgi-bin/hgTracks?position=212341_at","UCSC")</f>
        <v>UCSC</v>
      </c>
      <c r="E2997" s="1" t="str">
        <f>HYPERLINK("http://www.ncbi.nlm.nih.gov/gene/?term=YIPF6","NCBI")</f>
        <v>NCBI</v>
      </c>
      <c r="F2997">
        <v>1.6E-2</v>
      </c>
      <c r="G2997">
        <v>9.1999999999999998E-2</v>
      </c>
      <c r="H2997" s="1" t="str">
        <f>HYPERLINK("http://www.weizmann.ac.il/complex/compphys/software/geview/data/figures/212341_at.png","Figure")</f>
        <v>Figure</v>
      </c>
      <c r="I2997">
        <v>0.75600000000000001</v>
      </c>
      <c r="J2997">
        <v>0.13</v>
      </c>
      <c r="K2997">
        <v>1.1599999999999999</v>
      </c>
      <c r="L2997">
        <v>0.45</v>
      </c>
      <c r="M2997">
        <v>1.53</v>
      </c>
      <c r="N2997">
        <v>1.2999999999999999E-2</v>
      </c>
    </row>
    <row r="2998" spans="1:14" x14ac:dyDescent="0.25">
      <c r="A2998" t="s">
        <v>5517</v>
      </c>
      <c r="B2998" t="s">
        <v>5518</v>
      </c>
      <c r="C2998" s="1" t="str">
        <f>HYPERLINK("http://www.genecards.org/cgi-bin/carddisp.pl?gene=LGR5","GeneCards")</f>
        <v>GeneCards</v>
      </c>
      <c r="D2998" s="1" t="str">
        <f>HYPERLINK("http://genome-euro.ucsc.edu/cgi-bin/hgTracks?position=213880_at","UCSC")</f>
        <v>UCSC</v>
      </c>
      <c r="E2998" s="1" t="str">
        <f>HYPERLINK("http://www.ncbi.nlm.nih.gov/gene/?term=LGR5","NCBI")</f>
        <v>NCBI</v>
      </c>
      <c r="F2998">
        <v>1.6E-2</v>
      </c>
      <c r="G2998">
        <v>9.1999999999999998E-2</v>
      </c>
      <c r="H2998" s="1" t="str">
        <f>HYPERLINK("http://www.weizmann.ac.il/complex/compphys/software/geview/data/figures/213880_at.png","Figure")</f>
        <v>Figure</v>
      </c>
      <c r="I2998">
        <v>0.78300000000000003</v>
      </c>
      <c r="J2998">
        <v>0.03</v>
      </c>
      <c r="K2998">
        <v>1</v>
      </c>
      <c r="L2998">
        <v>1</v>
      </c>
      <c r="M2998">
        <v>1.28</v>
      </c>
      <c r="N2998">
        <v>2.1000000000000001E-2</v>
      </c>
    </row>
    <row r="2999" spans="1:14" x14ac:dyDescent="0.25">
      <c r="A2999" t="s">
        <v>5519</v>
      </c>
      <c r="B2999" t="s">
        <v>5520</v>
      </c>
      <c r="C2999" s="1" t="str">
        <f>HYPERLINK("http://www.genecards.org/cgi-bin/carddisp.pl?gene=LRRC50","GeneCards")</f>
        <v>GeneCards</v>
      </c>
      <c r="D2999" s="1" t="str">
        <f>HYPERLINK("http://genome-euro.ucsc.edu/cgi-bin/hgTracks?position=215173_at","UCSC")</f>
        <v>UCSC</v>
      </c>
      <c r="E2999" s="1" t="str">
        <f>HYPERLINK("http://www.ncbi.nlm.nih.gov/gene/?term=LRRC50","NCBI")</f>
        <v>NCBI</v>
      </c>
      <c r="F2999">
        <v>1.6E-2</v>
      </c>
      <c r="G2999">
        <v>9.1999999999999998E-2</v>
      </c>
      <c r="H2999" s="1" t="str">
        <f>HYPERLINK("http://www.weizmann.ac.il/complex/compphys/software/geview/data/figures/215173_at.png","Figure")</f>
        <v>Figure</v>
      </c>
      <c r="I2999">
        <v>1.21</v>
      </c>
      <c r="J2999">
        <v>0.02</v>
      </c>
      <c r="K2999">
        <v>1.1499999999999999</v>
      </c>
      <c r="L2999">
        <v>4.4999999999999998E-2</v>
      </c>
      <c r="M2999">
        <v>0.95299999999999996</v>
      </c>
      <c r="N2999">
        <v>0.69</v>
      </c>
    </row>
    <row r="3000" spans="1:14" x14ac:dyDescent="0.25">
      <c r="A3000" t="s">
        <v>5521</v>
      </c>
      <c r="B3000" t="s">
        <v>3070</v>
      </c>
      <c r="C3000" s="1" t="str">
        <f>HYPERLINK("http://www.genecards.org/cgi-bin/carddisp.pl?gene=GNAS","GeneCards")</f>
        <v>GeneCards</v>
      </c>
      <c r="D3000" s="1" t="str">
        <f>HYPERLINK("http://genome-euro.ucsc.edu/cgi-bin/hgTracks?position=217673_x_at","UCSC")</f>
        <v>UCSC</v>
      </c>
      <c r="E3000" s="1" t="str">
        <f>HYPERLINK("http://www.ncbi.nlm.nih.gov/gene/?term=GNAS","NCBI")</f>
        <v>NCBI</v>
      </c>
      <c r="F3000">
        <v>1.6E-2</v>
      </c>
      <c r="G3000">
        <v>9.1999999999999998E-2</v>
      </c>
      <c r="H3000" s="1" t="str">
        <f>HYPERLINK("http://www.weizmann.ac.il/complex/compphys/software/geview/data/figures/217673_x_at.png","Figure")</f>
        <v>Figure</v>
      </c>
      <c r="I3000">
        <v>1.31</v>
      </c>
      <c r="J3000">
        <v>4.8000000000000001E-2</v>
      </c>
      <c r="K3000">
        <v>0.96</v>
      </c>
      <c r="L3000">
        <v>0.89</v>
      </c>
      <c r="M3000">
        <v>0.73099999999999998</v>
      </c>
      <c r="N3000">
        <v>1.6E-2</v>
      </c>
    </row>
    <row r="3001" spans="1:14" x14ac:dyDescent="0.25">
      <c r="A3001" t="s">
        <v>5522</v>
      </c>
      <c r="B3001" t="s">
        <v>5523</v>
      </c>
      <c r="C3001" s="1" t="str">
        <f>HYPERLINK("http://www.genecards.org/cgi-bin/carddisp.pl?gene=GEMIN6","GeneCards")</f>
        <v>GeneCards</v>
      </c>
      <c r="D3001" s="1" t="str">
        <f>HYPERLINK("http://genome-euro.ucsc.edu/cgi-bin/hgTracks?position=219539_at","UCSC")</f>
        <v>UCSC</v>
      </c>
      <c r="E3001" s="1" t="str">
        <f>HYPERLINK("http://www.ncbi.nlm.nih.gov/gene/?term=GEMIN6","NCBI")</f>
        <v>NCBI</v>
      </c>
      <c r="F3001">
        <v>1.6E-2</v>
      </c>
      <c r="G3001">
        <v>9.1999999999999998E-2</v>
      </c>
      <c r="H3001" s="1" t="str">
        <f>HYPERLINK("http://www.weizmann.ac.il/complex/compphys/software/geview/data/figures/219539_at.png","Figure")</f>
        <v>Figure</v>
      </c>
      <c r="I3001">
        <v>1.04</v>
      </c>
      <c r="J3001">
        <v>0.91</v>
      </c>
      <c r="K3001">
        <v>1.28</v>
      </c>
      <c r="L3001">
        <v>2.1000000000000001E-2</v>
      </c>
      <c r="M3001">
        <v>1.23</v>
      </c>
      <c r="N3001">
        <v>6.9000000000000006E-2</v>
      </c>
    </row>
    <row r="3002" spans="1:14" x14ac:dyDescent="0.25">
      <c r="A3002" t="s">
        <v>5524</v>
      </c>
      <c r="B3002" t="s">
        <v>5525</v>
      </c>
      <c r="C3002" s="1" t="str">
        <f>HYPERLINK("http://www.genecards.org/cgi-bin/carddisp.pl?gene=MTO1","GeneCards")</f>
        <v>GeneCards</v>
      </c>
      <c r="D3002" s="1" t="str">
        <f>HYPERLINK("http://genome-euro.ucsc.edu/cgi-bin/hgTracks?position=222014_x_at","UCSC")</f>
        <v>UCSC</v>
      </c>
      <c r="E3002" s="1" t="str">
        <f>HYPERLINK("http://www.ncbi.nlm.nih.gov/gene/?term=MTO1","NCBI")</f>
        <v>NCBI</v>
      </c>
      <c r="F3002">
        <v>1.6E-2</v>
      </c>
      <c r="G3002">
        <v>9.1999999999999998E-2</v>
      </c>
      <c r="H3002" s="1" t="str">
        <f>HYPERLINK("http://www.weizmann.ac.il/complex/compphys/software/geview/data/figures/222014_x_at.png","Figure")</f>
        <v>Figure</v>
      </c>
      <c r="I3002">
        <v>0.40799999999999997</v>
      </c>
      <c r="J3002">
        <v>1.7999999999999999E-2</v>
      </c>
      <c r="K3002">
        <v>0.85599999999999998</v>
      </c>
      <c r="L3002">
        <v>0.81</v>
      </c>
      <c r="M3002">
        <v>2.1</v>
      </c>
      <c r="N3002">
        <v>3.5999999999999997E-2</v>
      </c>
    </row>
    <row r="3003" spans="1:14" x14ac:dyDescent="0.25">
      <c r="A3003" t="s">
        <v>5526</v>
      </c>
      <c r="B3003" t="s">
        <v>5527</v>
      </c>
      <c r="C3003" s="1" t="str">
        <f>HYPERLINK("http://www.genecards.org/cgi-bin/carddisp.pl?gene=GALNT2","GeneCards")</f>
        <v>GeneCards</v>
      </c>
      <c r="D3003" s="1" t="str">
        <f>HYPERLINK("http://genome-euro.ucsc.edu/cgi-bin/hgTracks?position=217788_s_at","UCSC")</f>
        <v>UCSC</v>
      </c>
      <c r="E3003" s="1" t="str">
        <f>HYPERLINK("http://www.ncbi.nlm.nih.gov/gene/?term=GALNT2","NCBI")</f>
        <v>NCBI</v>
      </c>
      <c r="F3003">
        <v>1.6E-2</v>
      </c>
      <c r="G3003">
        <v>9.2999999999999999E-2</v>
      </c>
      <c r="H3003" s="1" t="str">
        <f>HYPERLINK("http://www.weizmann.ac.il/complex/compphys/software/geview/data/figures/217788_s_at.png","Figure")</f>
        <v>Figure</v>
      </c>
      <c r="I3003">
        <v>1.58</v>
      </c>
      <c r="J3003">
        <v>0.3</v>
      </c>
      <c r="K3003">
        <v>2.37</v>
      </c>
      <c r="L3003">
        <v>1.2999999999999999E-2</v>
      </c>
      <c r="M3003">
        <v>1.5</v>
      </c>
      <c r="N3003">
        <v>0.33</v>
      </c>
    </row>
    <row r="3004" spans="1:14" x14ac:dyDescent="0.25">
      <c r="A3004" t="s">
        <v>5528</v>
      </c>
      <c r="B3004" t="s">
        <v>4258</v>
      </c>
      <c r="C3004" s="1" t="str">
        <f>HYPERLINK("http://www.genecards.org/cgi-bin/carddisp.pl?gene=SOX11","GeneCards")</f>
        <v>GeneCards</v>
      </c>
      <c r="D3004" s="1" t="str">
        <f>HYPERLINK("http://genome-euro.ucsc.edu/cgi-bin/hgTracks?position=204913_s_at","UCSC")</f>
        <v>UCSC</v>
      </c>
      <c r="E3004" s="1" t="str">
        <f>HYPERLINK("http://www.ncbi.nlm.nih.gov/gene/?term=SOX11","NCBI")</f>
        <v>NCBI</v>
      </c>
      <c r="F3004">
        <v>1.6E-2</v>
      </c>
      <c r="G3004">
        <v>9.2999999999999999E-2</v>
      </c>
      <c r="H3004" s="1" t="str">
        <f>HYPERLINK("http://www.weizmann.ac.il/complex/compphys/software/geview/data/figures/204913_s_at.png","Figure")</f>
        <v>Figure</v>
      </c>
      <c r="I3004">
        <v>5.23</v>
      </c>
      <c r="J3004">
        <v>4.4999999999999998E-2</v>
      </c>
      <c r="K3004">
        <v>0.81200000000000006</v>
      </c>
      <c r="L3004">
        <v>0.92</v>
      </c>
      <c r="M3004">
        <v>0.155</v>
      </c>
      <c r="N3004">
        <v>1.6E-2</v>
      </c>
    </row>
    <row r="3005" spans="1:14" x14ac:dyDescent="0.25">
      <c r="A3005" t="s">
        <v>5529</v>
      </c>
      <c r="B3005" t="s">
        <v>5530</v>
      </c>
      <c r="C3005" s="1" t="str">
        <f>HYPERLINK("http://www.genecards.org/cgi-bin/carddisp.pl?gene=TSKU","GeneCards")</f>
        <v>GeneCards</v>
      </c>
      <c r="D3005" s="1" t="str">
        <f>HYPERLINK("http://genome-euro.ucsc.edu/cgi-bin/hgTracks?position=218245_at","UCSC")</f>
        <v>UCSC</v>
      </c>
      <c r="E3005" s="1" t="str">
        <f>HYPERLINK("http://www.ncbi.nlm.nih.gov/gene/?term=TSKU","NCBI")</f>
        <v>NCBI</v>
      </c>
      <c r="F3005">
        <v>1.6E-2</v>
      </c>
      <c r="G3005">
        <v>9.2999999999999999E-2</v>
      </c>
      <c r="H3005" s="1" t="str">
        <f>HYPERLINK("http://www.weizmann.ac.il/complex/compphys/software/geview/data/figures/218245_at.png","Figure")</f>
        <v>Figure</v>
      </c>
      <c r="I3005">
        <v>1.31</v>
      </c>
      <c r="J3005">
        <v>1.2999999999999999E-2</v>
      </c>
      <c r="K3005">
        <v>1.1299999999999999</v>
      </c>
      <c r="L3005">
        <v>0.24</v>
      </c>
      <c r="M3005">
        <v>0.85799999999999998</v>
      </c>
      <c r="N3005">
        <v>0.14000000000000001</v>
      </c>
    </row>
    <row r="3006" spans="1:14" x14ac:dyDescent="0.25">
      <c r="A3006" t="s">
        <v>5531</v>
      </c>
      <c r="B3006" t="s">
        <v>5532</v>
      </c>
      <c r="C3006" s="1" t="str">
        <f>HYPERLINK("http://www.genecards.org/cgi-bin/carddisp.pl?gene=REXO4","GeneCards")</f>
        <v>GeneCards</v>
      </c>
      <c r="D3006" s="1" t="str">
        <f>HYPERLINK("http://genome-euro.ucsc.edu/cgi-bin/hgTracks?position=218767_at","UCSC")</f>
        <v>UCSC</v>
      </c>
      <c r="E3006" s="1" t="str">
        <f>HYPERLINK("http://www.ncbi.nlm.nih.gov/gene/?term=REXO4","NCBI")</f>
        <v>NCBI</v>
      </c>
      <c r="F3006">
        <v>1.6E-2</v>
      </c>
      <c r="G3006">
        <v>9.2999999999999999E-2</v>
      </c>
      <c r="H3006" s="1" t="str">
        <f>HYPERLINK("http://www.weizmann.ac.il/complex/compphys/software/geview/data/figures/218767_at.png","Figure")</f>
        <v>Figure</v>
      </c>
      <c r="I3006">
        <v>1.32</v>
      </c>
      <c r="J3006">
        <v>1.2999999999999999E-2</v>
      </c>
      <c r="K3006">
        <v>1.1299999999999999</v>
      </c>
      <c r="L3006">
        <v>0.26</v>
      </c>
      <c r="M3006">
        <v>0.85199999999999998</v>
      </c>
      <c r="N3006">
        <v>0.13</v>
      </c>
    </row>
    <row r="3007" spans="1:14" x14ac:dyDescent="0.25">
      <c r="A3007" t="s">
        <v>5533</v>
      </c>
      <c r="B3007" t="s">
        <v>523</v>
      </c>
      <c r="C3007" s="1" t="str">
        <f>HYPERLINK("http://www.genecards.org/cgi-bin/carddisp.pl?gene=LOC92249","GeneCards")</f>
        <v>GeneCards</v>
      </c>
      <c r="D3007" s="1" t="str">
        <f>HYPERLINK("http://genome-euro.ucsc.edu/cgi-bin/hgTracks?position=212957_s_at","UCSC")</f>
        <v>UCSC</v>
      </c>
      <c r="E3007" s="1" t="str">
        <f>HYPERLINK("http://www.ncbi.nlm.nih.gov/gene/?term=LOC92249","NCBI")</f>
        <v>NCBI</v>
      </c>
      <c r="F3007">
        <v>1.6E-2</v>
      </c>
      <c r="G3007">
        <v>9.2999999999999999E-2</v>
      </c>
      <c r="H3007" s="1" t="str">
        <f>HYPERLINK("http://www.weizmann.ac.il/complex/compphys/software/geview/data/figures/212957_s_at.png","Figure")</f>
        <v>Figure</v>
      </c>
      <c r="I3007">
        <v>0.93700000000000006</v>
      </c>
      <c r="J3007">
        <v>0.21</v>
      </c>
      <c r="K3007">
        <v>1.05</v>
      </c>
      <c r="L3007">
        <v>0.3</v>
      </c>
      <c r="M3007">
        <v>1.1200000000000001</v>
      </c>
      <c r="N3007">
        <v>1.2999999999999999E-2</v>
      </c>
    </row>
    <row r="3008" spans="1:14" x14ac:dyDescent="0.25">
      <c r="A3008" t="s">
        <v>5534</v>
      </c>
      <c r="B3008" t="s">
        <v>1402</v>
      </c>
      <c r="C3008" s="1" t="str">
        <f>HYPERLINK("http://www.genecards.org/cgi-bin/carddisp.pl?gene=MED14","GeneCards")</f>
        <v>GeneCards</v>
      </c>
      <c r="D3008" s="1" t="str">
        <f>HYPERLINK("http://genome-euro.ucsc.edu/cgi-bin/hgTracks?position=215167_at","UCSC")</f>
        <v>UCSC</v>
      </c>
      <c r="E3008" s="1" t="str">
        <f>HYPERLINK("http://www.ncbi.nlm.nih.gov/gene/?term=MED14","NCBI")</f>
        <v>NCBI</v>
      </c>
      <c r="F3008">
        <v>1.6E-2</v>
      </c>
      <c r="G3008">
        <v>9.2999999999999999E-2</v>
      </c>
      <c r="H3008" s="1" t="str">
        <f>HYPERLINK("http://www.weizmann.ac.il/complex/compphys/software/geview/data/figures/215167_at.png","Figure")</f>
        <v>Figure</v>
      </c>
      <c r="I3008">
        <v>0.88</v>
      </c>
      <c r="J3008">
        <v>3.3000000000000002E-2</v>
      </c>
      <c r="K3008">
        <v>1</v>
      </c>
      <c r="L3008">
        <v>0.99</v>
      </c>
      <c r="M3008">
        <v>1.1399999999999999</v>
      </c>
      <c r="N3008">
        <v>1.9E-2</v>
      </c>
    </row>
    <row r="3009" spans="1:14" x14ac:dyDescent="0.25">
      <c r="A3009" t="s">
        <v>5535</v>
      </c>
      <c r="B3009" t="s">
        <v>5536</v>
      </c>
      <c r="C3009" s="1" t="str">
        <f>HYPERLINK("http://www.genecards.org/cgi-bin/carddisp.pl?gene=MAX","GeneCards")</f>
        <v>GeneCards</v>
      </c>
      <c r="D3009" s="1" t="str">
        <f>HYPERLINK("http://genome-euro.ucsc.edu/cgi-bin/hgTracks?position=209332_s_at","UCSC")</f>
        <v>UCSC</v>
      </c>
      <c r="E3009" s="1" t="str">
        <f>HYPERLINK("http://www.ncbi.nlm.nih.gov/gene/?term=MAX","NCBI")</f>
        <v>NCBI</v>
      </c>
      <c r="F3009">
        <v>1.6E-2</v>
      </c>
      <c r="G3009">
        <v>9.2999999999999999E-2</v>
      </c>
      <c r="H3009" s="1" t="str">
        <f>HYPERLINK("http://www.weizmann.ac.il/complex/compphys/software/geview/data/figures/209332_s_at.png","Figure")</f>
        <v>Figure</v>
      </c>
      <c r="I3009">
        <v>0.61599999999999999</v>
      </c>
      <c r="J3009">
        <v>1.7999999999999999E-2</v>
      </c>
      <c r="K3009">
        <v>0.71199999999999997</v>
      </c>
      <c r="L3009">
        <v>5.6000000000000001E-2</v>
      </c>
      <c r="M3009">
        <v>1.1599999999999999</v>
      </c>
      <c r="N3009">
        <v>0.57999999999999996</v>
      </c>
    </row>
    <row r="3010" spans="1:14" x14ac:dyDescent="0.25">
      <c r="A3010" t="s">
        <v>5537</v>
      </c>
      <c r="B3010" t="s">
        <v>5538</v>
      </c>
      <c r="C3010" s="1" t="str">
        <f>HYPERLINK("http://www.genecards.org/cgi-bin/carddisp.pl?gene=ZNF329","GeneCards")</f>
        <v>GeneCards</v>
      </c>
      <c r="D3010" s="1" t="str">
        <f>HYPERLINK("http://genome-euro.ucsc.edu/cgi-bin/hgTracks?position=219765_at","UCSC")</f>
        <v>UCSC</v>
      </c>
      <c r="E3010" s="1" t="str">
        <f>HYPERLINK("http://www.ncbi.nlm.nih.gov/gene/?term=ZNF329","NCBI")</f>
        <v>NCBI</v>
      </c>
      <c r="F3010">
        <v>1.6E-2</v>
      </c>
      <c r="G3010">
        <v>9.2999999999999999E-2</v>
      </c>
      <c r="H3010" s="1" t="str">
        <f>HYPERLINK("http://www.weizmann.ac.il/complex/compphys/software/geview/data/figures/219765_at.png","Figure")</f>
        <v>Figure</v>
      </c>
      <c r="I3010">
        <v>0.64500000000000002</v>
      </c>
      <c r="J3010">
        <v>0.1</v>
      </c>
      <c r="K3010">
        <v>0.56599999999999995</v>
      </c>
      <c r="L3010">
        <v>1.4E-2</v>
      </c>
      <c r="M3010">
        <v>0.877</v>
      </c>
      <c r="N3010">
        <v>0.76</v>
      </c>
    </row>
    <row r="3011" spans="1:14" x14ac:dyDescent="0.25">
      <c r="A3011" t="s">
        <v>5539</v>
      </c>
      <c r="B3011" t="s">
        <v>5540</v>
      </c>
      <c r="C3011" s="1" t="str">
        <f>HYPERLINK("http://www.genecards.org/cgi-bin/carddisp.pl?gene=TINAGL1","GeneCards")</f>
        <v>GeneCards</v>
      </c>
      <c r="D3011" s="1" t="str">
        <f>HYPERLINK("http://genome-euro.ucsc.edu/cgi-bin/hgTracks?position=219058_x_at","UCSC")</f>
        <v>UCSC</v>
      </c>
      <c r="E3011" s="1" t="str">
        <f>HYPERLINK("http://www.ncbi.nlm.nih.gov/gene/?term=TINAGL1","NCBI")</f>
        <v>NCBI</v>
      </c>
      <c r="F3011">
        <v>1.6E-2</v>
      </c>
      <c r="G3011">
        <v>9.2999999999999999E-2</v>
      </c>
      <c r="H3011" s="1" t="str">
        <f>HYPERLINK("http://www.weizmann.ac.il/complex/compphys/software/geview/data/figures/219058_x_at.png","Figure")</f>
        <v>Figure</v>
      </c>
      <c r="I3011">
        <v>1.36</v>
      </c>
      <c r="J3011">
        <v>2.5000000000000001E-2</v>
      </c>
      <c r="K3011">
        <v>1.29</v>
      </c>
      <c r="L3011">
        <v>3.3000000000000002E-2</v>
      </c>
      <c r="M3011">
        <v>0.94799999999999995</v>
      </c>
      <c r="N3011">
        <v>0.85</v>
      </c>
    </row>
    <row r="3012" spans="1:14" x14ac:dyDescent="0.25">
      <c r="A3012" t="s">
        <v>5541</v>
      </c>
      <c r="B3012" t="s">
        <v>4731</v>
      </c>
      <c r="C3012" s="1" t="str">
        <f>HYPERLINK("http://www.genecards.org/cgi-bin/carddisp.pl?gene=PSMD4","GeneCards")</f>
        <v>GeneCards</v>
      </c>
      <c r="D3012" s="1" t="str">
        <f>HYPERLINK("http://genome-euro.ucsc.edu/cgi-bin/hgTracks?position=200882_s_at","UCSC")</f>
        <v>UCSC</v>
      </c>
      <c r="E3012" s="1" t="str">
        <f>HYPERLINK("http://www.ncbi.nlm.nih.gov/gene/?term=PSMD4","NCBI")</f>
        <v>NCBI</v>
      </c>
      <c r="F3012">
        <v>1.6E-2</v>
      </c>
      <c r="G3012">
        <v>9.2999999999999999E-2</v>
      </c>
      <c r="H3012" s="1" t="str">
        <f>HYPERLINK("http://www.weizmann.ac.il/complex/compphys/software/geview/data/figures/200882_s_at.png","Figure")</f>
        <v>Figure</v>
      </c>
      <c r="I3012">
        <v>1.22</v>
      </c>
      <c r="J3012">
        <v>0.5</v>
      </c>
      <c r="K3012">
        <v>1.64</v>
      </c>
      <c r="L3012">
        <v>1.4E-2</v>
      </c>
      <c r="M3012">
        <v>1.34</v>
      </c>
      <c r="N3012">
        <v>0.19</v>
      </c>
    </row>
    <row r="3013" spans="1:14" x14ac:dyDescent="0.25">
      <c r="A3013" t="s">
        <v>5542</v>
      </c>
      <c r="B3013" t="s">
        <v>5543</v>
      </c>
      <c r="C3013" s="1" t="str">
        <f>HYPERLINK("http://www.genecards.org/cgi-bin/carddisp.pl?gene=LCK","GeneCards")</f>
        <v>GeneCards</v>
      </c>
      <c r="D3013" s="1" t="str">
        <f>HYPERLINK("http://genome-euro.ucsc.edu/cgi-bin/hgTracks?position=204890_s_at","UCSC")</f>
        <v>UCSC</v>
      </c>
      <c r="E3013" s="1" t="str">
        <f>HYPERLINK("http://www.ncbi.nlm.nih.gov/gene/?term=LCK","NCBI")</f>
        <v>NCBI</v>
      </c>
      <c r="F3013">
        <v>1.6E-2</v>
      </c>
      <c r="G3013">
        <v>9.2999999999999999E-2</v>
      </c>
      <c r="H3013" s="1" t="str">
        <f>HYPERLINK("http://www.weizmann.ac.il/complex/compphys/software/geview/data/figures/204890_s_at.png","Figure")</f>
        <v>Figure</v>
      </c>
      <c r="I3013">
        <v>1.37</v>
      </c>
      <c r="J3013">
        <v>9.8000000000000004E-2</v>
      </c>
      <c r="K3013">
        <v>1.5</v>
      </c>
      <c r="L3013">
        <v>1.4E-2</v>
      </c>
      <c r="M3013">
        <v>1.0900000000000001</v>
      </c>
      <c r="N3013">
        <v>0.78</v>
      </c>
    </row>
    <row r="3014" spans="1:14" x14ac:dyDescent="0.25">
      <c r="A3014" t="s">
        <v>5544</v>
      </c>
      <c r="B3014" t="s">
        <v>5545</v>
      </c>
      <c r="C3014" s="1" t="str">
        <f>HYPERLINK("http://www.genecards.org/cgi-bin/carddisp.pl?gene=NDRG3","GeneCards")</f>
        <v>GeneCards</v>
      </c>
      <c r="D3014" s="1" t="str">
        <f>HYPERLINK("http://genome-euro.ucsc.edu/cgi-bin/hgTracks?position=217286_s_at","UCSC")</f>
        <v>UCSC</v>
      </c>
      <c r="E3014" s="1" t="str">
        <f>HYPERLINK("http://www.ncbi.nlm.nih.gov/gene/?term=NDRG3","NCBI")</f>
        <v>NCBI</v>
      </c>
      <c r="F3014">
        <v>1.6E-2</v>
      </c>
      <c r="G3014">
        <v>9.2999999999999999E-2</v>
      </c>
      <c r="H3014" s="1" t="str">
        <f>HYPERLINK("http://www.weizmann.ac.il/complex/compphys/software/geview/data/figures/217286_s_at.png","Figure")</f>
        <v>Figure</v>
      </c>
      <c r="I3014">
        <v>0.84199999999999997</v>
      </c>
      <c r="J3014">
        <v>0.68</v>
      </c>
      <c r="K3014">
        <v>1.52</v>
      </c>
      <c r="L3014">
        <v>7.9000000000000001E-2</v>
      </c>
      <c r="M3014">
        <v>1.81</v>
      </c>
      <c r="N3014">
        <v>0.02</v>
      </c>
    </row>
    <row r="3015" spans="1:14" x14ac:dyDescent="0.25">
      <c r="A3015" t="s">
        <v>5546</v>
      </c>
      <c r="B3015" t="s">
        <v>2646</v>
      </c>
      <c r="C3015" s="1" t="str">
        <f>HYPERLINK("http://www.genecards.org/cgi-bin/carddisp.pl?gene=TCF3","GeneCards")</f>
        <v>GeneCards</v>
      </c>
      <c r="D3015" s="1" t="str">
        <f>HYPERLINK("http://genome-euro.ucsc.edu/cgi-bin/hgTracks?position=213809_x_at","UCSC")</f>
        <v>UCSC</v>
      </c>
      <c r="E3015" s="1" t="str">
        <f>HYPERLINK("http://www.ncbi.nlm.nih.gov/gene/?term=TCF3","NCBI")</f>
        <v>NCBI</v>
      </c>
      <c r="F3015">
        <v>1.6E-2</v>
      </c>
      <c r="G3015">
        <v>9.2999999999999999E-2</v>
      </c>
      <c r="H3015" s="1" t="str">
        <f>HYPERLINK("http://www.weizmann.ac.il/complex/compphys/software/geview/data/figures/213809_x_at.png","Figure")</f>
        <v>Figure</v>
      </c>
      <c r="I3015">
        <v>1.35</v>
      </c>
      <c r="J3015">
        <v>1.4E-2</v>
      </c>
      <c r="K3015">
        <v>1.19</v>
      </c>
      <c r="L3015">
        <v>0.1</v>
      </c>
      <c r="M3015">
        <v>0.88300000000000001</v>
      </c>
      <c r="N3015">
        <v>0.33</v>
      </c>
    </row>
    <row r="3016" spans="1:14" x14ac:dyDescent="0.25">
      <c r="A3016" t="s">
        <v>5547</v>
      </c>
      <c r="B3016" t="s">
        <v>5548</v>
      </c>
      <c r="C3016" s="1" t="str">
        <f>HYPERLINK("http://www.genecards.org/cgi-bin/carddisp.pl?gene=DYNLRB1","GeneCards")</f>
        <v>GeneCards</v>
      </c>
      <c r="D3016" s="1" t="str">
        <f>HYPERLINK("http://genome-euro.ucsc.edu/cgi-bin/hgTracks?position=217918_at","UCSC")</f>
        <v>UCSC</v>
      </c>
      <c r="E3016" s="1" t="str">
        <f>HYPERLINK("http://www.ncbi.nlm.nih.gov/gene/?term=DYNLRB1","NCBI")</f>
        <v>NCBI</v>
      </c>
      <c r="F3016">
        <v>1.6E-2</v>
      </c>
      <c r="G3016">
        <v>9.2999999999999999E-2</v>
      </c>
      <c r="H3016" s="1" t="str">
        <f>HYPERLINK("http://www.weizmann.ac.il/complex/compphys/software/geview/data/figures/217918_at.png","Figure")</f>
        <v>Figure</v>
      </c>
      <c r="I3016">
        <v>0.64600000000000002</v>
      </c>
      <c r="J3016">
        <v>8.2000000000000003E-2</v>
      </c>
      <c r="K3016">
        <v>1.1499999999999999</v>
      </c>
      <c r="L3016">
        <v>0.66</v>
      </c>
      <c r="M3016">
        <v>1.79</v>
      </c>
      <c r="N3016">
        <v>1.2999999999999999E-2</v>
      </c>
    </row>
    <row r="3017" spans="1:14" x14ac:dyDescent="0.25">
      <c r="A3017" t="s">
        <v>5549</v>
      </c>
      <c r="B3017" t="s">
        <v>5550</v>
      </c>
      <c r="C3017" s="1" t="str">
        <f>HYPERLINK("http://www.genecards.org/cgi-bin/carddisp.pl?gene=FAM129A","GeneCards")</f>
        <v>GeneCards</v>
      </c>
      <c r="D3017" s="1" t="str">
        <f>HYPERLINK("http://genome-euro.ucsc.edu/cgi-bin/hgTracks?position=217967_s_at","UCSC")</f>
        <v>UCSC</v>
      </c>
      <c r="E3017" s="1" t="str">
        <f>HYPERLINK("http://www.ncbi.nlm.nih.gov/gene/?term=FAM129A","NCBI")</f>
        <v>NCBI</v>
      </c>
      <c r="F3017">
        <v>1.6E-2</v>
      </c>
      <c r="G3017">
        <v>9.2999999999999999E-2</v>
      </c>
      <c r="H3017" s="1" t="str">
        <f>HYPERLINK("http://www.weizmann.ac.il/complex/compphys/software/geview/data/figures/217967_s_at.png","Figure")</f>
        <v>Figure</v>
      </c>
      <c r="I3017">
        <v>0.56599999999999995</v>
      </c>
      <c r="J3017">
        <v>1.9E-2</v>
      </c>
      <c r="K3017">
        <v>0.66400000000000003</v>
      </c>
      <c r="L3017">
        <v>5.1999999999999998E-2</v>
      </c>
      <c r="M3017">
        <v>1.17</v>
      </c>
      <c r="N3017">
        <v>0.62</v>
      </c>
    </row>
    <row r="3018" spans="1:14" x14ac:dyDescent="0.25">
      <c r="A3018" t="s">
        <v>5551</v>
      </c>
      <c r="B3018" t="s">
        <v>5552</v>
      </c>
      <c r="C3018" s="1" t="str">
        <f>HYPERLINK("http://www.genecards.org/cgi-bin/carddisp.pl?gene=GNG4","GeneCards")</f>
        <v>GeneCards</v>
      </c>
      <c r="D3018" s="1" t="str">
        <f>HYPERLINK("http://genome-euro.ucsc.edu/cgi-bin/hgTracks?position=205184_at","UCSC")</f>
        <v>UCSC</v>
      </c>
      <c r="E3018" s="1" t="str">
        <f>HYPERLINK("http://www.ncbi.nlm.nih.gov/gene/?term=GNG4","NCBI")</f>
        <v>NCBI</v>
      </c>
      <c r="F3018">
        <v>1.7000000000000001E-2</v>
      </c>
      <c r="G3018">
        <v>9.2999999999999999E-2</v>
      </c>
      <c r="H3018" s="1" t="str">
        <f>HYPERLINK("http://www.weizmann.ac.il/complex/compphys/software/geview/data/figures/205184_at.png","Figure")</f>
        <v>Figure</v>
      </c>
      <c r="I3018">
        <v>1.39</v>
      </c>
      <c r="J3018">
        <v>1.2999999999999999E-2</v>
      </c>
      <c r="K3018">
        <v>1.1399999999999999</v>
      </c>
      <c r="L3018">
        <v>0.28999999999999998</v>
      </c>
      <c r="M3018">
        <v>0.82299999999999995</v>
      </c>
      <c r="N3018">
        <v>0.12</v>
      </c>
    </row>
    <row r="3019" spans="1:14" x14ac:dyDescent="0.25">
      <c r="A3019" t="s">
        <v>5553</v>
      </c>
      <c r="B3019" t="s">
        <v>245</v>
      </c>
      <c r="C3019" s="1" t="str">
        <f>HYPERLINK("http://www.genecards.org/cgi-bin/carddisp.pl?gene=SPCS3","GeneCards")</f>
        <v>GeneCards</v>
      </c>
      <c r="D3019" s="1" t="str">
        <f>HYPERLINK("http://genome-euro.ucsc.edu/cgi-bin/hgTracks?position=218817_at","UCSC")</f>
        <v>UCSC</v>
      </c>
      <c r="E3019" s="1" t="str">
        <f>HYPERLINK("http://www.ncbi.nlm.nih.gov/gene/?term=SPCS3","NCBI")</f>
        <v>NCBI</v>
      </c>
      <c r="F3019">
        <v>1.7000000000000001E-2</v>
      </c>
      <c r="G3019">
        <v>9.2999999999999999E-2</v>
      </c>
      <c r="H3019" s="1" t="str">
        <f>HYPERLINK("http://www.weizmann.ac.il/complex/compphys/software/geview/data/figures/218817_at.png","Figure")</f>
        <v>Figure</v>
      </c>
      <c r="I3019">
        <v>0.64400000000000002</v>
      </c>
      <c r="J3019">
        <v>1.4E-2</v>
      </c>
      <c r="K3019">
        <v>0.86299999999999999</v>
      </c>
      <c r="L3019">
        <v>0.43</v>
      </c>
      <c r="M3019">
        <v>1.34</v>
      </c>
      <c r="N3019">
        <v>7.9000000000000001E-2</v>
      </c>
    </row>
    <row r="3020" spans="1:14" x14ac:dyDescent="0.25">
      <c r="A3020" t="s">
        <v>5554</v>
      </c>
      <c r="B3020" t="s">
        <v>5555</v>
      </c>
      <c r="C3020" s="1" t="str">
        <f>HYPERLINK("http://www.genecards.org/cgi-bin/carddisp.pl?gene=KREMEN2","GeneCards")</f>
        <v>GeneCards</v>
      </c>
      <c r="D3020" s="1" t="str">
        <f>HYPERLINK("http://genome-euro.ucsc.edu/cgi-bin/hgTracks?position=219692_at","UCSC")</f>
        <v>UCSC</v>
      </c>
      <c r="E3020" s="1" t="str">
        <f>HYPERLINK("http://www.ncbi.nlm.nih.gov/gene/?term=KREMEN2","NCBI")</f>
        <v>NCBI</v>
      </c>
      <c r="F3020">
        <v>1.7000000000000001E-2</v>
      </c>
      <c r="G3020">
        <v>9.2999999999999999E-2</v>
      </c>
      <c r="H3020" s="1" t="str">
        <f>HYPERLINK("http://www.weizmann.ac.il/complex/compphys/software/geview/data/figures/219692_at.png","Figure")</f>
        <v>Figure</v>
      </c>
      <c r="I3020">
        <v>1.34</v>
      </c>
      <c r="J3020">
        <v>1.4E-2</v>
      </c>
      <c r="K3020">
        <v>1.1000000000000001</v>
      </c>
      <c r="L3020">
        <v>0.43</v>
      </c>
      <c r="M3020">
        <v>0.82399999999999995</v>
      </c>
      <c r="N3020">
        <v>7.9000000000000001E-2</v>
      </c>
    </row>
    <row r="3021" spans="1:14" x14ac:dyDescent="0.25">
      <c r="A3021" t="s">
        <v>5556</v>
      </c>
      <c r="B3021" t="s">
        <v>5557</v>
      </c>
      <c r="C3021" s="1" t="str">
        <f>HYPERLINK("http://www.genecards.org/cgi-bin/carddisp.pl?gene=CCDC21","GeneCards")</f>
        <v>GeneCards</v>
      </c>
      <c r="D3021" s="1" t="str">
        <f>HYPERLINK("http://genome-euro.ucsc.edu/cgi-bin/hgTracks?position=219611_s_at","UCSC")</f>
        <v>UCSC</v>
      </c>
      <c r="E3021" s="1" t="str">
        <f>HYPERLINK("http://www.ncbi.nlm.nih.gov/gene/?term=CCDC21","NCBI")</f>
        <v>NCBI</v>
      </c>
      <c r="F3021">
        <v>1.7000000000000001E-2</v>
      </c>
      <c r="G3021">
        <v>9.2999999999999999E-2</v>
      </c>
      <c r="H3021" s="1" t="str">
        <f>HYPERLINK("http://www.weizmann.ac.il/complex/compphys/software/geview/data/figures/219611_s_at.png","Figure")</f>
        <v>Figure</v>
      </c>
      <c r="I3021">
        <v>1.31</v>
      </c>
      <c r="J3021">
        <v>1.7000000000000001E-2</v>
      </c>
      <c r="K3021">
        <v>1.06</v>
      </c>
      <c r="L3021">
        <v>0.74</v>
      </c>
      <c r="M3021">
        <v>0.80700000000000005</v>
      </c>
      <c r="N3021">
        <v>4.1000000000000002E-2</v>
      </c>
    </row>
    <row r="3022" spans="1:14" x14ac:dyDescent="0.25">
      <c r="A3022" t="s">
        <v>5558</v>
      </c>
      <c r="B3022" t="s">
        <v>5559</v>
      </c>
      <c r="C3022" s="1" t="str">
        <f>HYPERLINK("http://www.genecards.org/cgi-bin/carddisp.pl?gene=DNAJB5","GeneCards")</f>
        <v>GeneCards</v>
      </c>
      <c r="D3022" s="1" t="str">
        <f>HYPERLINK("http://genome-euro.ucsc.edu/cgi-bin/hgTracks?position=212817_at","UCSC")</f>
        <v>UCSC</v>
      </c>
      <c r="E3022" s="1" t="str">
        <f>HYPERLINK("http://www.ncbi.nlm.nih.gov/gene/?term=DNAJB5","NCBI")</f>
        <v>NCBI</v>
      </c>
      <c r="F3022">
        <v>1.7000000000000001E-2</v>
      </c>
      <c r="G3022">
        <v>9.2999999999999999E-2</v>
      </c>
      <c r="H3022" s="1" t="str">
        <f>HYPERLINK("http://www.weizmann.ac.il/complex/compphys/software/geview/data/figures/212817_at.png","Figure")</f>
        <v>Figure</v>
      </c>
      <c r="I3022">
        <v>1.33</v>
      </c>
      <c r="J3022">
        <v>1.7999999999999999E-2</v>
      </c>
      <c r="K3022">
        <v>1.05</v>
      </c>
      <c r="L3022">
        <v>0.78</v>
      </c>
      <c r="M3022">
        <v>0.79300000000000004</v>
      </c>
      <c r="N3022">
        <v>3.7999999999999999E-2</v>
      </c>
    </row>
    <row r="3023" spans="1:14" x14ac:dyDescent="0.25">
      <c r="A3023" t="s">
        <v>5560</v>
      </c>
      <c r="B3023" t="s">
        <v>5561</v>
      </c>
      <c r="C3023" s="1" t="str">
        <f>HYPERLINK("http://www.genecards.org/cgi-bin/carddisp.pl?gene=DCAF15","GeneCards")</f>
        <v>GeneCards</v>
      </c>
      <c r="D3023" s="1" t="str">
        <f>HYPERLINK("http://genome-euro.ucsc.edu/cgi-bin/hgTracks?position=91952_at","UCSC")</f>
        <v>UCSC</v>
      </c>
      <c r="E3023" s="1" t="str">
        <f>HYPERLINK("http://www.ncbi.nlm.nih.gov/gene/?term=DCAF15","NCBI")</f>
        <v>NCBI</v>
      </c>
      <c r="F3023">
        <v>1.7000000000000001E-2</v>
      </c>
      <c r="G3023">
        <v>9.2999999999999999E-2</v>
      </c>
      <c r="H3023" s="1" t="str">
        <f>HYPERLINK("http://www.weizmann.ac.il/complex/compphys/software/geview/data/figures/91952_at.png","Figure")</f>
        <v>Figure</v>
      </c>
      <c r="I3023">
        <v>1.28</v>
      </c>
      <c r="J3023">
        <v>7.5999999999999998E-2</v>
      </c>
      <c r="K3023">
        <v>0.92900000000000005</v>
      </c>
      <c r="L3023">
        <v>0.7</v>
      </c>
      <c r="M3023">
        <v>0.72399999999999998</v>
      </c>
      <c r="N3023">
        <v>1.4E-2</v>
      </c>
    </row>
    <row r="3024" spans="1:14" x14ac:dyDescent="0.25">
      <c r="A3024" t="s">
        <v>5562</v>
      </c>
      <c r="B3024" t="s">
        <v>5372</v>
      </c>
      <c r="C3024" s="1" t="str">
        <f>HYPERLINK("http://www.genecards.org/cgi-bin/carddisp.pl?gene=DUSP1","GeneCards")</f>
        <v>GeneCards</v>
      </c>
      <c r="D3024" s="1" t="str">
        <f>HYPERLINK("http://genome-euro.ucsc.edu/cgi-bin/hgTracks?position=201041_s_at","UCSC")</f>
        <v>UCSC</v>
      </c>
      <c r="E3024" s="1" t="str">
        <f>HYPERLINK("http://www.ncbi.nlm.nih.gov/gene/?term=DUSP1","NCBI")</f>
        <v>NCBI</v>
      </c>
      <c r="F3024">
        <v>1.7000000000000001E-2</v>
      </c>
      <c r="G3024">
        <v>9.2999999999999999E-2</v>
      </c>
      <c r="H3024" s="1" t="str">
        <f>HYPERLINK("http://www.weizmann.ac.il/complex/compphys/software/geview/data/figures/201041_s_at.png","Figure")</f>
        <v>Figure</v>
      </c>
      <c r="I3024">
        <v>2.42</v>
      </c>
      <c r="J3024">
        <v>1.2999999999999999E-2</v>
      </c>
      <c r="K3024">
        <v>1.59</v>
      </c>
      <c r="L3024">
        <v>0.15</v>
      </c>
      <c r="M3024">
        <v>0.65800000000000003</v>
      </c>
      <c r="N3024">
        <v>0.24</v>
      </c>
    </row>
    <row r="3025" spans="1:14" x14ac:dyDescent="0.25">
      <c r="A3025" t="s">
        <v>5563</v>
      </c>
      <c r="B3025" t="s">
        <v>2246</v>
      </c>
      <c r="C3025" s="1" t="str">
        <f>HYPERLINK("http://www.genecards.org/cgi-bin/carddisp.pl?gene=PCIF1","GeneCards")</f>
        <v>GeneCards</v>
      </c>
      <c r="D3025" s="1" t="str">
        <f>HYPERLINK("http://genome-euro.ucsc.edu/cgi-bin/hgTracks?position=89948_at","UCSC")</f>
        <v>UCSC</v>
      </c>
      <c r="E3025" s="1" t="str">
        <f>HYPERLINK("http://www.ncbi.nlm.nih.gov/gene/?term=PCIF1","NCBI")</f>
        <v>NCBI</v>
      </c>
      <c r="F3025">
        <v>1.7000000000000001E-2</v>
      </c>
      <c r="G3025">
        <v>9.4E-2</v>
      </c>
      <c r="H3025" s="1" t="str">
        <f>HYPERLINK("http://www.weizmann.ac.il/complex/compphys/software/geview/data/figures/89948_at.png","Figure")</f>
        <v>Figure</v>
      </c>
      <c r="I3025">
        <v>1.36</v>
      </c>
      <c r="J3025">
        <v>7.0999999999999994E-2</v>
      </c>
      <c r="K3025">
        <v>0.92</v>
      </c>
      <c r="L3025">
        <v>0.73</v>
      </c>
      <c r="M3025">
        <v>0.67900000000000005</v>
      </c>
      <c r="N3025">
        <v>1.4E-2</v>
      </c>
    </row>
    <row r="3026" spans="1:14" x14ac:dyDescent="0.25">
      <c r="A3026" t="s">
        <v>5564</v>
      </c>
      <c r="B3026" t="s">
        <v>3709</v>
      </c>
      <c r="C3026" s="1" t="str">
        <f>HYPERLINK("http://www.genecards.org/cgi-bin/carddisp.pl?gene=MEF2D","GeneCards")</f>
        <v>GeneCards</v>
      </c>
      <c r="D3026" s="1" t="str">
        <f>HYPERLINK("http://genome-euro.ucsc.edu/cgi-bin/hgTracks?position=203003_at","UCSC")</f>
        <v>UCSC</v>
      </c>
      <c r="E3026" s="1" t="str">
        <f>HYPERLINK("http://www.ncbi.nlm.nih.gov/gene/?term=MEF2D","NCBI")</f>
        <v>NCBI</v>
      </c>
      <c r="F3026">
        <v>1.7000000000000001E-2</v>
      </c>
      <c r="G3026">
        <v>9.4E-2</v>
      </c>
      <c r="H3026" s="1" t="str">
        <f>HYPERLINK("http://www.weizmann.ac.il/complex/compphys/software/geview/data/figures/203003_at.png","Figure")</f>
        <v>Figure</v>
      </c>
      <c r="I3026">
        <v>1.62</v>
      </c>
      <c r="J3026">
        <v>1.4E-2</v>
      </c>
      <c r="K3026">
        <v>1.17</v>
      </c>
      <c r="L3026">
        <v>0.44</v>
      </c>
      <c r="M3026">
        <v>0.72299999999999998</v>
      </c>
      <c r="N3026">
        <v>7.6999999999999999E-2</v>
      </c>
    </row>
    <row r="3027" spans="1:14" x14ac:dyDescent="0.25">
      <c r="A3027" t="s">
        <v>5565</v>
      </c>
      <c r="B3027" t="s">
        <v>5566</v>
      </c>
      <c r="C3027" s="1" t="str">
        <f>HYPERLINK("http://www.genecards.org/cgi-bin/carddisp.pl?gene=HNRNPA1","GeneCards")</f>
        <v>GeneCards</v>
      </c>
      <c r="D3027" s="1" t="str">
        <f>HYPERLINK("http://genome-euro.ucsc.edu/cgi-bin/hgTracks?position=214280_x_at","UCSC")</f>
        <v>UCSC</v>
      </c>
      <c r="E3027" s="1" t="str">
        <f>HYPERLINK("http://www.ncbi.nlm.nih.gov/gene/?term=HNRNPA1","NCBI")</f>
        <v>NCBI</v>
      </c>
      <c r="F3027">
        <v>1.7000000000000001E-2</v>
      </c>
      <c r="G3027">
        <v>9.4E-2</v>
      </c>
      <c r="H3027" s="1" t="str">
        <f>HYPERLINK("http://www.weizmann.ac.il/complex/compphys/software/geview/data/figures/214280_x_at.png","Figure")</f>
        <v>Figure</v>
      </c>
      <c r="I3027">
        <v>1.0900000000000001</v>
      </c>
      <c r="J3027">
        <v>0.85</v>
      </c>
      <c r="K3027">
        <v>0.68400000000000005</v>
      </c>
      <c r="L3027">
        <v>5.3999999999999999E-2</v>
      </c>
      <c r="M3027">
        <v>0.625</v>
      </c>
      <c r="N3027">
        <v>2.5999999999999999E-2</v>
      </c>
    </row>
    <row r="3028" spans="1:14" x14ac:dyDescent="0.25">
      <c r="A3028" t="s">
        <v>5567</v>
      </c>
      <c r="B3028" t="s">
        <v>5568</v>
      </c>
      <c r="C3028" s="1" t="str">
        <f>HYPERLINK("http://www.genecards.org/cgi-bin/carddisp.pl?gene=PRDM11","GeneCards")</f>
        <v>GeneCards</v>
      </c>
      <c r="D3028" s="1" t="str">
        <f>HYPERLINK("http://genome-euro.ucsc.edu/cgi-bin/hgTracks?position=220571_at","UCSC")</f>
        <v>UCSC</v>
      </c>
      <c r="E3028" s="1" t="str">
        <f>HYPERLINK("http://www.ncbi.nlm.nih.gov/gene/?term=PRDM11","NCBI")</f>
        <v>NCBI</v>
      </c>
      <c r="F3028">
        <v>1.7000000000000001E-2</v>
      </c>
      <c r="G3028">
        <v>9.4E-2</v>
      </c>
      <c r="H3028" s="1" t="str">
        <f>HYPERLINK("http://www.weizmann.ac.il/complex/compphys/software/geview/data/figures/220571_at.png","Figure")</f>
        <v>Figure</v>
      </c>
      <c r="I3028">
        <v>1.28</v>
      </c>
      <c r="J3028">
        <v>1.2999999999999999E-2</v>
      </c>
      <c r="K3028">
        <v>1.1299999999999999</v>
      </c>
      <c r="L3028">
        <v>0.18</v>
      </c>
      <c r="M3028">
        <v>0.88100000000000001</v>
      </c>
      <c r="N3028">
        <v>0.2</v>
      </c>
    </row>
    <row r="3029" spans="1:14" x14ac:dyDescent="0.25">
      <c r="A3029" t="s">
        <v>5569</v>
      </c>
      <c r="B3029" t="s">
        <v>5570</v>
      </c>
      <c r="C3029" s="1" t="str">
        <f>HYPERLINK("http://www.genecards.org/cgi-bin/carddisp.pl?gene=FAM86A","GeneCards")</f>
        <v>GeneCards</v>
      </c>
      <c r="D3029" s="1" t="str">
        <f>HYPERLINK("http://genome-euro.ucsc.edu/cgi-bin/hgTracks?position=222013_x_at","UCSC")</f>
        <v>UCSC</v>
      </c>
      <c r="E3029" s="1" t="str">
        <f>HYPERLINK("http://www.ncbi.nlm.nih.gov/gene/?term=FAM86A","NCBI")</f>
        <v>NCBI</v>
      </c>
      <c r="F3029">
        <v>1.7000000000000001E-2</v>
      </c>
      <c r="G3029">
        <v>9.4E-2</v>
      </c>
      <c r="H3029" s="1" t="str">
        <f>HYPERLINK("http://www.weizmann.ac.il/complex/compphys/software/geview/data/figures/222013_x_at.png","Figure")</f>
        <v>Figure</v>
      </c>
      <c r="I3029">
        <v>0.89</v>
      </c>
      <c r="J3029">
        <v>0.18</v>
      </c>
      <c r="K3029">
        <v>1.08</v>
      </c>
      <c r="L3029">
        <v>0.34</v>
      </c>
      <c r="M3029">
        <v>1.21</v>
      </c>
      <c r="N3029">
        <v>1.2999999999999999E-2</v>
      </c>
    </row>
    <row r="3030" spans="1:14" x14ac:dyDescent="0.25">
      <c r="A3030" t="s">
        <v>5571</v>
      </c>
      <c r="B3030" t="s">
        <v>5572</v>
      </c>
      <c r="C3030" s="1" t="str">
        <f>HYPERLINK("http://www.genecards.org/cgi-bin/carddisp.pl?gene=SIPA1L1","GeneCards")</f>
        <v>GeneCards</v>
      </c>
      <c r="D3030" s="1" t="str">
        <f>HYPERLINK("http://genome-euro.ucsc.edu/cgi-bin/hgTracks?position=202254_at","UCSC")</f>
        <v>UCSC</v>
      </c>
      <c r="E3030" s="1" t="str">
        <f>HYPERLINK("http://www.ncbi.nlm.nih.gov/gene/?term=SIPA1L1","NCBI")</f>
        <v>NCBI</v>
      </c>
      <c r="F3030">
        <v>1.7000000000000001E-2</v>
      </c>
      <c r="G3030">
        <v>9.4E-2</v>
      </c>
      <c r="H3030" s="1" t="str">
        <f>HYPERLINK("http://www.weizmann.ac.il/complex/compphys/software/geview/data/figures/202254_at.png","Figure")</f>
        <v>Figure</v>
      </c>
      <c r="I3030">
        <v>0.78900000000000003</v>
      </c>
      <c r="J3030">
        <v>0.61</v>
      </c>
      <c r="K3030">
        <v>0.499</v>
      </c>
      <c r="L3030">
        <v>1.4999999999999999E-2</v>
      </c>
      <c r="M3030">
        <v>0.63200000000000001</v>
      </c>
      <c r="N3030">
        <v>0.15</v>
      </c>
    </row>
    <row r="3031" spans="1:14" x14ac:dyDescent="0.25">
      <c r="A3031" t="s">
        <v>5573</v>
      </c>
      <c r="B3031" t="s">
        <v>5574</v>
      </c>
      <c r="C3031" s="1" t="str">
        <f>HYPERLINK("http://www.genecards.org/cgi-bin/carddisp.pl?gene=STAU2","GeneCards")</f>
        <v>GeneCards</v>
      </c>
      <c r="D3031" s="1" t="str">
        <f>HYPERLINK("http://genome-euro.ucsc.edu/cgi-bin/hgTracks?position=204226_at","UCSC")</f>
        <v>UCSC</v>
      </c>
      <c r="E3031" s="1" t="str">
        <f>HYPERLINK("http://www.ncbi.nlm.nih.gov/gene/?term=STAU2","NCBI")</f>
        <v>NCBI</v>
      </c>
      <c r="F3031">
        <v>1.7000000000000001E-2</v>
      </c>
      <c r="G3031">
        <v>9.4E-2</v>
      </c>
      <c r="H3031" s="1" t="str">
        <f>HYPERLINK("http://www.weizmann.ac.il/complex/compphys/software/geview/data/figures/204226_at.png","Figure")</f>
        <v>Figure</v>
      </c>
      <c r="I3031">
        <v>0.92600000000000005</v>
      </c>
      <c r="J3031">
        <v>0.83</v>
      </c>
      <c r="K3031">
        <v>1.34</v>
      </c>
      <c r="L3031">
        <v>5.8000000000000003E-2</v>
      </c>
      <c r="M3031">
        <v>1.44</v>
      </c>
      <c r="N3031">
        <v>2.5000000000000001E-2</v>
      </c>
    </row>
    <row r="3032" spans="1:14" x14ac:dyDescent="0.25">
      <c r="A3032" t="s">
        <v>5575</v>
      </c>
      <c r="B3032" t="s">
        <v>5576</v>
      </c>
      <c r="C3032" s="1" t="str">
        <f>HYPERLINK("http://www.genecards.org/cgi-bin/carddisp.pl?gene=DCI","GeneCards")</f>
        <v>GeneCards</v>
      </c>
      <c r="D3032" s="1" t="str">
        <f>HYPERLINK("http://genome-euro.ucsc.edu/cgi-bin/hgTracks?position=209759_s_at","UCSC")</f>
        <v>UCSC</v>
      </c>
      <c r="E3032" s="1" t="str">
        <f>HYPERLINK("http://www.ncbi.nlm.nih.gov/gene/?term=DCI","NCBI")</f>
        <v>NCBI</v>
      </c>
      <c r="F3032">
        <v>1.7000000000000001E-2</v>
      </c>
      <c r="G3032">
        <v>9.4E-2</v>
      </c>
      <c r="H3032" s="1" t="str">
        <f>HYPERLINK("http://www.weizmann.ac.il/complex/compphys/software/geview/data/figures/209759_s_at.png","Figure")</f>
        <v>Figure</v>
      </c>
      <c r="I3032">
        <v>1.24</v>
      </c>
      <c r="J3032">
        <v>0.23</v>
      </c>
      <c r="K3032">
        <v>1.43</v>
      </c>
      <c r="L3032">
        <v>1.2999999999999999E-2</v>
      </c>
      <c r="M3032">
        <v>1.1599999999999999</v>
      </c>
      <c r="N3032">
        <v>0.42</v>
      </c>
    </row>
    <row r="3033" spans="1:14" x14ac:dyDescent="0.25">
      <c r="A3033" t="s">
        <v>5577</v>
      </c>
      <c r="B3033" t="s">
        <v>5578</v>
      </c>
      <c r="C3033" s="1" t="str">
        <f>HYPERLINK("http://www.genecards.org/cgi-bin/carddisp.pl?gene=MLEC","GeneCards")</f>
        <v>GeneCards</v>
      </c>
      <c r="D3033" s="1" t="str">
        <f>HYPERLINK("http://genome-euro.ucsc.edu/cgi-bin/hgTracks?position=200617_at","UCSC")</f>
        <v>UCSC</v>
      </c>
      <c r="E3033" s="1" t="str">
        <f>HYPERLINK("http://www.ncbi.nlm.nih.gov/gene/?term=MLEC","NCBI")</f>
        <v>NCBI</v>
      </c>
      <c r="F3033">
        <v>1.7000000000000001E-2</v>
      </c>
      <c r="G3033">
        <v>9.4E-2</v>
      </c>
      <c r="H3033" s="1" t="str">
        <f>HYPERLINK("http://www.weizmann.ac.il/complex/compphys/software/geview/data/figures/200617_at.png","Figure")</f>
        <v>Figure</v>
      </c>
      <c r="I3033">
        <v>0.92700000000000005</v>
      </c>
      <c r="J3033">
        <v>0.78</v>
      </c>
      <c r="K3033">
        <v>1.27</v>
      </c>
      <c r="L3033">
        <v>6.4000000000000001E-2</v>
      </c>
      <c r="M3033">
        <v>1.37</v>
      </c>
      <c r="N3033">
        <v>2.3E-2</v>
      </c>
    </row>
    <row r="3034" spans="1:14" x14ac:dyDescent="0.25">
      <c r="A3034" t="s">
        <v>5579</v>
      </c>
      <c r="B3034" t="s">
        <v>5580</v>
      </c>
      <c r="C3034" s="1" t="str">
        <f>HYPERLINK("http://www.genecards.org/cgi-bin/carddisp.pl?gene=DLG4","GeneCards")</f>
        <v>GeneCards</v>
      </c>
      <c r="D3034" s="1" t="str">
        <f>HYPERLINK("http://genome-euro.ucsc.edu/cgi-bin/hgTracks?position=210684_s_at","UCSC")</f>
        <v>UCSC</v>
      </c>
      <c r="E3034" s="1" t="str">
        <f>HYPERLINK("http://www.ncbi.nlm.nih.gov/gene/?term=DLG4","NCBI")</f>
        <v>NCBI</v>
      </c>
      <c r="F3034">
        <v>1.7000000000000001E-2</v>
      </c>
      <c r="G3034">
        <v>9.4E-2</v>
      </c>
      <c r="H3034" s="1" t="str">
        <f>HYPERLINK("http://www.weizmann.ac.il/complex/compphys/software/geview/data/figures/210684_s_at.png","Figure")</f>
        <v>Figure</v>
      </c>
      <c r="I3034">
        <v>1.67</v>
      </c>
      <c r="J3034">
        <v>1.7000000000000001E-2</v>
      </c>
      <c r="K3034">
        <v>1.42</v>
      </c>
      <c r="L3034">
        <v>6.3E-2</v>
      </c>
      <c r="M3034">
        <v>0.85</v>
      </c>
      <c r="N3034">
        <v>0.53</v>
      </c>
    </row>
    <row r="3035" spans="1:14" x14ac:dyDescent="0.25">
      <c r="A3035" t="s">
        <v>5581</v>
      </c>
      <c r="B3035" t="s">
        <v>5582</v>
      </c>
      <c r="C3035" s="1" t="str">
        <f>HYPERLINK("http://www.genecards.org/cgi-bin/carddisp.pl?gene=MED4","GeneCards")</f>
        <v>GeneCards</v>
      </c>
      <c r="D3035" s="1" t="str">
        <f>HYPERLINK("http://genome-euro.ucsc.edu/cgi-bin/hgTracks?position=217843_s_at","UCSC")</f>
        <v>UCSC</v>
      </c>
      <c r="E3035" s="1" t="str">
        <f>HYPERLINK("http://www.ncbi.nlm.nih.gov/gene/?term=MED4","NCBI")</f>
        <v>NCBI</v>
      </c>
      <c r="F3035">
        <v>1.7000000000000001E-2</v>
      </c>
      <c r="G3035">
        <v>9.4E-2</v>
      </c>
      <c r="H3035" s="1" t="str">
        <f>HYPERLINK("http://www.weizmann.ac.il/complex/compphys/software/geview/data/figures/217843_s_at.png","Figure")</f>
        <v>Figure</v>
      </c>
      <c r="I3035">
        <v>0.46200000000000002</v>
      </c>
      <c r="J3035">
        <v>7.9000000000000001E-2</v>
      </c>
      <c r="K3035">
        <v>0.39700000000000002</v>
      </c>
      <c r="L3035">
        <v>1.6E-2</v>
      </c>
      <c r="M3035">
        <v>0.85899999999999999</v>
      </c>
      <c r="N3035">
        <v>0.87</v>
      </c>
    </row>
    <row r="3036" spans="1:14" x14ac:dyDescent="0.25">
      <c r="A3036" t="s">
        <v>5583</v>
      </c>
      <c r="B3036" t="s">
        <v>5080</v>
      </c>
      <c r="C3036" s="1" t="str">
        <f>HYPERLINK("http://www.genecards.org/cgi-bin/carddisp.pl?gene=TMED9","GeneCards")</f>
        <v>GeneCards</v>
      </c>
      <c r="D3036" s="1" t="str">
        <f>HYPERLINK("http://genome-euro.ucsc.edu/cgi-bin/hgTracks?position=205812_s_at","UCSC")</f>
        <v>UCSC</v>
      </c>
      <c r="E3036" s="1" t="str">
        <f>HYPERLINK("http://www.ncbi.nlm.nih.gov/gene/?term=TMED9","NCBI")</f>
        <v>NCBI</v>
      </c>
      <c r="F3036">
        <v>1.7000000000000001E-2</v>
      </c>
      <c r="G3036">
        <v>9.4E-2</v>
      </c>
      <c r="H3036" s="1" t="str">
        <f>HYPERLINK("http://www.weizmann.ac.il/complex/compphys/software/geview/data/figures/205812_s_at.png","Figure")</f>
        <v>Figure</v>
      </c>
      <c r="I3036">
        <v>0.95599999999999996</v>
      </c>
      <c r="J3036">
        <v>0.95</v>
      </c>
      <c r="K3036">
        <v>1.44</v>
      </c>
      <c r="L3036">
        <v>4.1000000000000002E-2</v>
      </c>
      <c r="M3036">
        <v>1.51</v>
      </c>
      <c r="N3036">
        <v>3.2000000000000001E-2</v>
      </c>
    </row>
    <row r="3037" spans="1:14" x14ac:dyDescent="0.25">
      <c r="A3037" t="s">
        <v>5584</v>
      </c>
      <c r="B3037" t="s">
        <v>5039</v>
      </c>
      <c r="C3037" s="1" t="str">
        <f>HYPERLINK("http://www.genecards.org/cgi-bin/carddisp.pl?gene=ATP6V0E1","GeneCards")</f>
        <v>GeneCards</v>
      </c>
      <c r="D3037" s="1" t="str">
        <f>HYPERLINK("http://genome-euro.ucsc.edu/cgi-bin/hgTracks?position=214150_x_at","UCSC")</f>
        <v>UCSC</v>
      </c>
      <c r="E3037" s="1" t="str">
        <f>HYPERLINK("http://www.ncbi.nlm.nih.gov/gene/?term=ATP6V0E1","NCBI")</f>
        <v>NCBI</v>
      </c>
      <c r="F3037">
        <v>1.7000000000000001E-2</v>
      </c>
      <c r="G3037">
        <v>9.4E-2</v>
      </c>
      <c r="H3037" s="1" t="str">
        <f>HYPERLINK("http://www.weizmann.ac.il/complex/compphys/software/geview/data/figures/214150_x_at.png","Figure")</f>
        <v>Figure</v>
      </c>
      <c r="I3037">
        <v>0.57599999999999996</v>
      </c>
      <c r="J3037">
        <v>2.3E-2</v>
      </c>
      <c r="K3037">
        <v>0.94599999999999995</v>
      </c>
      <c r="L3037">
        <v>0.93</v>
      </c>
      <c r="M3037">
        <v>1.64</v>
      </c>
      <c r="N3037">
        <v>2.8000000000000001E-2</v>
      </c>
    </row>
    <row r="3038" spans="1:14" x14ac:dyDescent="0.25">
      <c r="A3038" t="s">
        <v>5585</v>
      </c>
      <c r="B3038" t="s">
        <v>5586</v>
      </c>
      <c r="C3038" s="1" t="str">
        <f>HYPERLINK("http://www.genecards.org/cgi-bin/carddisp.pl?gene=TADA3L","GeneCards")</f>
        <v>GeneCards</v>
      </c>
      <c r="D3038" s="1" t="str">
        <f>HYPERLINK("http://genome-euro.ucsc.edu/cgi-bin/hgTracks?position=215273_s_at","UCSC")</f>
        <v>UCSC</v>
      </c>
      <c r="E3038" s="1" t="str">
        <f>HYPERLINK("http://www.ncbi.nlm.nih.gov/gene/?term=TADA3L","NCBI")</f>
        <v>NCBI</v>
      </c>
      <c r="F3038">
        <v>1.7000000000000001E-2</v>
      </c>
      <c r="G3038">
        <v>9.4E-2</v>
      </c>
      <c r="H3038" s="1" t="str">
        <f>HYPERLINK("http://www.weizmann.ac.il/complex/compphys/software/geview/data/figures/215273_s_at.png","Figure")</f>
        <v>Figure</v>
      </c>
      <c r="I3038">
        <v>0.86599999999999999</v>
      </c>
      <c r="J3038">
        <v>0.19</v>
      </c>
      <c r="K3038">
        <v>1.1100000000000001</v>
      </c>
      <c r="L3038">
        <v>0.33</v>
      </c>
      <c r="M3038">
        <v>1.28</v>
      </c>
      <c r="N3038">
        <v>1.2999999999999999E-2</v>
      </c>
    </row>
    <row r="3039" spans="1:14" x14ac:dyDescent="0.25">
      <c r="A3039" t="s">
        <v>5587</v>
      </c>
      <c r="B3039" t="s">
        <v>5588</v>
      </c>
      <c r="C3039" s="1" t="str">
        <f>HYPERLINK("http://www.genecards.org/cgi-bin/carddisp.pl?gene=POLR3C","GeneCards")</f>
        <v>GeneCards</v>
      </c>
      <c r="D3039" s="1" t="str">
        <f>HYPERLINK("http://genome-euro.ucsc.edu/cgi-bin/hgTracks?position=210573_s_at","UCSC")</f>
        <v>UCSC</v>
      </c>
      <c r="E3039" s="1" t="str">
        <f>HYPERLINK("http://www.ncbi.nlm.nih.gov/gene/?term=POLR3C","NCBI")</f>
        <v>NCBI</v>
      </c>
      <c r="F3039">
        <v>1.7000000000000001E-2</v>
      </c>
      <c r="G3039">
        <v>9.4E-2</v>
      </c>
      <c r="H3039" s="1" t="str">
        <f>HYPERLINK("http://www.weizmann.ac.il/complex/compphys/software/geview/data/figures/210573_s_at.png","Figure")</f>
        <v>Figure</v>
      </c>
      <c r="I3039">
        <v>1.28</v>
      </c>
      <c r="J3039">
        <v>1.4999999999999999E-2</v>
      </c>
      <c r="K3039">
        <v>1.17</v>
      </c>
      <c r="L3039">
        <v>8.5999999999999993E-2</v>
      </c>
      <c r="M3039">
        <v>0.91</v>
      </c>
      <c r="N3039">
        <v>0.4</v>
      </c>
    </row>
    <row r="3040" spans="1:14" x14ac:dyDescent="0.25">
      <c r="A3040" t="s">
        <v>5589</v>
      </c>
      <c r="B3040" t="s">
        <v>5590</v>
      </c>
      <c r="C3040" s="1" t="str">
        <f>HYPERLINK("http://www.genecards.org/cgi-bin/carddisp.pl?gene=LSM7","GeneCards")</f>
        <v>GeneCards</v>
      </c>
      <c r="D3040" s="1" t="str">
        <f>HYPERLINK("http://genome-euro.ucsc.edu/cgi-bin/hgTracks?position=204559_s_at","UCSC")</f>
        <v>UCSC</v>
      </c>
      <c r="E3040" s="1" t="str">
        <f>HYPERLINK("http://www.ncbi.nlm.nih.gov/gene/?term=LSM7","NCBI")</f>
        <v>NCBI</v>
      </c>
      <c r="F3040">
        <v>1.7000000000000001E-2</v>
      </c>
      <c r="G3040">
        <v>9.4E-2</v>
      </c>
      <c r="H3040" s="1" t="str">
        <f>HYPERLINK("http://www.weizmann.ac.il/complex/compphys/software/geview/data/figures/204559_s_at.png","Figure")</f>
        <v>Figure</v>
      </c>
      <c r="I3040">
        <v>1.31</v>
      </c>
      <c r="J3040">
        <v>0.5</v>
      </c>
      <c r="K3040">
        <v>1.99</v>
      </c>
      <c r="L3040">
        <v>1.4E-2</v>
      </c>
      <c r="M3040">
        <v>1.51</v>
      </c>
      <c r="N3040">
        <v>0.19</v>
      </c>
    </row>
    <row r="3041" spans="1:14" x14ac:dyDescent="0.25">
      <c r="A3041" t="s">
        <v>5591</v>
      </c>
      <c r="B3041" t="s">
        <v>5592</v>
      </c>
      <c r="C3041" s="1" t="str">
        <f>HYPERLINK("http://www.genecards.org/cgi-bin/carddisp.pl?gene=ITGB1BP1","GeneCards")</f>
        <v>GeneCards</v>
      </c>
      <c r="D3041" s="1" t="str">
        <f>HYPERLINK("http://genome-euro.ucsc.edu/cgi-bin/hgTracks?position=203337_x_at","UCSC")</f>
        <v>UCSC</v>
      </c>
      <c r="E3041" s="1" t="str">
        <f>HYPERLINK("http://www.ncbi.nlm.nih.gov/gene/?term=ITGB1BP1","NCBI")</f>
        <v>NCBI</v>
      </c>
      <c r="F3041">
        <v>1.7000000000000001E-2</v>
      </c>
      <c r="G3041">
        <v>9.4E-2</v>
      </c>
      <c r="H3041" s="1" t="str">
        <f>HYPERLINK("http://www.weizmann.ac.il/complex/compphys/software/geview/data/figures/203337_x_at.png","Figure")</f>
        <v>Figure</v>
      </c>
      <c r="I3041">
        <v>0.65600000000000003</v>
      </c>
      <c r="J3041">
        <v>1.7000000000000001E-2</v>
      </c>
      <c r="K3041">
        <v>0.91800000000000004</v>
      </c>
      <c r="L3041">
        <v>0.74</v>
      </c>
      <c r="M3041">
        <v>1.4</v>
      </c>
      <c r="N3041">
        <v>4.2000000000000003E-2</v>
      </c>
    </row>
    <row r="3042" spans="1:14" x14ac:dyDescent="0.25">
      <c r="A3042" t="s">
        <v>5593</v>
      </c>
      <c r="B3042" t="s">
        <v>5594</v>
      </c>
      <c r="C3042" s="1" t="str">
        <f>HYPERLINK("http://www.genecards.org/cgi-bin/carddisp.pl?gene=TENC1","GeneCards")</f>
        <v>GeneCards</v>
      </c>
      <c r="D3042" s="1" t="str">
        <f>HYPERLINK("http://genome-euro.ucsc.edu/cgi-bin/hgTracks?position=212494_at","UCSC")</f>
        <v>UCSC</v>
      </c>
      <c r="E3042" s="1" t="str">
        <f>HYPERLINK("http://www.ncbi.nlm.nih.gov/gene/?term=TENC1","NCBI")</f>
        <v>NCBI</v>
      </c>
      <c r="F3042">
        <v>1.7000000000000001E-2</v>
      </c>
      <c r="G3042">
        <v>9.4E-2</v>
      </c>
      <c r="H3042" s="1" t="str">
        <f>HYPERLINK("http://www.weizmann.ac.il/complex/compphys/software/geview/data/figures/212494_at.png","Figure")</f>
        <v>Figure</v>
      </c>
      <c r="I3042">
        <v>1.32</v>
      </c>
      <c r="J3042">
        <v>1.7999999999999999E-2</v>
      </c>
      <c r="K3042">
        <v>1.22</v>
      </c>
      <c r="L3042">
        <v>5.8999999999999997E-2</v>
      </c>
      <c r="M3042">
        <v>0.91800000000000004</v>
      </c>
      <c r="N3042">
        <v>0.56999999999999995</v>
      </c>
    </row>
    <row r="3043" spans="1:14" x14ac:dyDescent="0.25">
      <c r="A3043" t="s">
        <v>5595</v>
      </c>
      <c r="B3043" t="s">
        <v>5596</v>
      </c>
      <c r="C3043" s="1" t="str">
        <f>HYPERLINK("http://www.genecards.org/cgi-bin/carddisp.pl?gene=DNAJB14","GeneCards")</f>
        <v>GeneCards</v>
      </c>
      <c r="D3043" s="1" t="str">
        <f>HYPERLINK("http://genome-euro.ucsc.edu/cgi-bin/hgTracks?position=219237_s_at","UCSC")</f>
        <v>UCSC</v>
      </c>
      <c r="E3043" s="1" t="str">
        <f>HYPERLINK("http://www.ncbi.nlm.nih.gov/gene/?term=DNAJB14","NCBI")</f>
        <v>NCBI</v>
      </c>
      <c r="F3043">
        <v>1.7000000000000001E-2</v>
      </c>
      <c r="G3043">
        <v>9.4E-2</v>
      </c>
      <c r="H3043" s="1" t="str">
        <f>HYPERLINK("http://www.weizmann.ac.il/complex/compphys/software/geview/data/figures/219237_s_at.png","Figure")</f>
        <v>Figure</v>
      </c>
      <c r="I3043">
        <v>0.433</v>
      </c>
      <c r="J3043">
        <v>2.7E-2</v>
      </c>
      <c r="K3043">
        <v>0.49199999999999999</v>
      </c>
      <c r="L3043">
        <v>3.2000000000000001E-2</v>
      </c>
      <c r="M3043">
        <v>1.1299999999999999</v>
      </c>
      <c r="N3043">
        <v>0.88</v>
      </c>
    </row>
    <row r="3044" spans="1:14" x14ac:dyDescent="0.25">
      <c r="A3044" t="s">
        <v>5597</v>
      </c>
      <c r="B3044" t="s">
        <v>5598</v>
      </c>
      <c r="C3044" s="1" t="str">
        <f>HYPERLINK("http://www.genecards.org/cgi-bin/carddisp.pl?gene=KIAA0317","GeneCards")</f>
        <v>GeneCards</v>
      </c>
      <c r="D3044" s="1" t="str">
        <f>HYPERLINK("http://genome-euro.ucsc.edu/cgi-bin/hgTracks?position=202128_at","UCSC")</f>
        <v>UCSC</v>
      </c>
      <c r="E3044" s="1" t="str">
        <f>HYPERLINK("http://www.ncbi.nlm.nih.gov/gene/?term=KIAA0317","NCBI")</f>
        <v>NCBI</v>
      </c>
      <c r="F3044">
        <v>1.7000000000000001E-2</v>
      </c>
      <c r="G3044">
        <v>9.4E-2</v>
      </c>
      <c r="H3044" s="1" t="str">
        <f>HYPERLINK("http://www.weizmann.ac.il/complex/compphys/software/geview/data/figures/202128_at.png","Figure")</f>
        <v>Figure</v>
      </c>
      <c r="I3044">
        <v>0.74299999999999999</v>
      </c>
      <c r="J3044">
        <v>0.32</v>
      </c>
      <c r="K3044">
        <v>0.56299999999999994</v>
      </c>
      <c r="L3044">
        <v>1.2999999999999999E-2</v>
      </c>
      <c r="M3044">
        <v>0.75700000000000001</v>
      </c>
      <c r="N3044">
        <v>0.31</v>
      </c>
    </row>
    <row r="3045" spans="1:14" x14ac:dyDescent="0.25">
      <c r="A3045" t="s">
        <v>5599</v>
      </c>
      <c r="B3045" t="s">
        <v>5600</v>
      </c>
      <c r="C3045" s="1" t="str">
        <f>HYPERLINK("http://www.genecards.org/cgi-bin/carddisp.pl?gene=TFF3","GeneCards")</f>
        <v>GeneCards</v>
      </c>
      <c r="D3045" s="1" t="str">
        <f>HYPERLINK("http://genome-euro.ucsc.edu/cgi-bin/hgTracks?position=204623_at","UCSC")</f>
        <v>UCSC</v>
      </c>
      <c r="E3045" s="1" t="str">
        <f>HYPERLINK("http://www.ncbi.nlm.nih.gov/gene/?term=TFF3","NCBI")</f>
        <v>NCBI</v>
      </c>
      <c r="F3045">
        <v>1.7000000000000001E-2</v>
      </c>
      <c r="G3045">
        <v>9.4E-2</v>
      </c>
      <c r="H3045" s="1" t="str">
        <f>HYPERLINK("http://www.weizmann.ac.il/complex/compphys/software/geview/data/figures/204623_at.png","Figure")</f>
        <v>Figure</v>
      </c>
      <c r="I3045">
        <v>1.24</v>
      </c>
      <c r="J3045">
        <v>1.7999999999999999E-2</v>
      </c>
      <c r="K3045">
        <v>1.04</v>
      </c>
      <c r="L3045">
        <v>0.75</v>
      </c>
      <c r="M3045">
        <v>0.84199999999999997</v>
      </c>
      <c r="N3045">
        <v>4.1000000000000002E-2</v>
      </c>
    </row>
    <row r="3046" spans="1:14" x14ac:dyDescent="0.25">
      <c r="A3046" t="s">
        <v>5601</v>
      </c>
      <c r="B3046" t="s">
        <v>5602</v>
      </c>
      <c r="C3046" s="1" t="str">
        <f>HYPERLINK("http://www.genecards.org/cgi-bin/carddisp.pl?gene=TFRC","GeneCards")</f>
        <v>GeneCards</v>
      </c>
      <c r="D3046" s="1" t="str">
        <f>HYPERLINK("http://genome-euro.ucsc.edu/cgi-bin/hgTracks?position=207332_s_at","UCSC")</f>
        <v>UCSC</v>
      </c>
      <c r="E3046" s="1" t="str">
        <f>HYPERLINK("http://www.ncbi.nlm.nih.gov/gene/?term=TFRC","NCBI")</f>
        <v>NCBI</v>
      </c>
      <c r="F3046">
        <v>1.7000000000000001E-2</v>
      </c>
      <c r="G3046">
        <v>9.4E-2</v>
      </c>
      <c r="H3046" s="1" t="str">
        <f>HYPERLINK("http://www.weizmann.ac.il/complex/compphys/software/geview/data/figures/207332_s_at.png","Figure")</f>
        <v>Figure</v>
      </c>
      <c r="I3046">
        <v>1.62</v>
      </c>
      <c r="J3046">
        <v>0.12</v>
      </c>
      <c r="K3046">
        <v>0.79500000000000004</v>
      </c>
      <c r="L3046">
        <v>0.49</v>
      </c>
      <c r="M3046">
        <v>0.49</v>
      </c>
      <c r="N3046">
        <v>1.2999999999999999E-2</v>
      </c>
    </row>
    <row r="3047" spans="1:14" x14ac:dyDescent="0.25">
      <c r="A3047" t="s">
        <v>5603</v>
      </c>
      <c r="B3047" t="s">
        <v>5604</v>
      </c>
      <c r="C3047" s="1" t="str">
        <f>HYPERLINK("http://www.genecards.org/cgi-bin/carddisp.pl?gene=LOC644172 /// MAPK8IP1","GeneCards")</f>
        <v>GeneCards</v>
      </c>
      <c r="D3047" s="1" t="str">
        <f>HYPERLINK("http://genome-euro.ucsc.edu/cgi-bin/hgTracks?position=213013_at","UCSC")</f>
        <v>UCSC</v>
      </c>
      <c r="E3047" s="1" t="str">
        <f>HYPERLINK("http://www.ncbi.nlm.nih.gov/gene/?term=LOC644172 /// MAPK8IP1","NCBI")</f>
        <v>NCBI</v>
      </c>
      <c r="F3047">
        <v>1.7000000000000001E-2</v>
      </c>
      <c r="G3047">
        <v>9.4E-2</v>
      </c>
      <c r="H3047" s="1" t="str">
        <f>HYPERLINK("http://www.weizmann.ac.il/complex/compphys/software/geview/data/figures/213013_at.png","Figure")</f>
        <v>Figure</v>
      </c>
      <c r="I3047">
        <v>1.3</v>
      </c>
      <c r="J3047">
        <v>1.4E-2</v>
      </c>
      <c r="K3047">
        <v>1.1000000000000001</v>
      </c>
      <c r="L3047">
        <v>0.39</v>
      </c>
      <c r="M3047">
        <v>0.84599999999999997</v>
      </c>
      <c r="N3047">
        <v>8.8999999999999996E-2</v>
      </c>
    </row>
    <row r="3048" spans="1:14" x14ac:dyDescent="0.25">
      <c r="A3048" t="s">
        <v>5605</v>
      </c>
      <c r="B3048" t="s">
        <v>5606</v>
      </c>
      <c r="C3048" s="1" t="str">
        <f>HYPERLINK("http://www.genecards.org/cgi-bin/carddisp.pl?gene=ZBTB7A","GeneCards")</f>
        <v>GeneCards</v>
      </c>
      <c r="D3048" s="1" t="str">
        <f>HYPERLINK("http://genome-euro.ucsc.edu/cgi-bin/hgTracks?position=222082_at","UCSC")</f>
        <v>UCSC</v>
      </c>
      <c r="E3048" s="1" t="str">
        <f>HYPERLINK("http://www.ncbi.nlm.nih.gov/gene/?term=ZBTB7A","NCBI")</f>
        <v>NCBI</v>
      </c>
      <c r="F3048">
        <v>1.7000000000000001E-2</v>
      </c>
      <c r="G3048">
        <v>9.4E-2</v>
      </c>
      <c r="H3048" s="1" t="str">
        <f>HYPERLINK("http://www.weizmann.ac.il/complex/compphys/software/geview/data/figures/222082_at.png","Figure")</f>
        <v>Figure</v>
      </c>
      <c r="I3048">
        <v>1.1000000000000001</v>
      </c>
      <c r="J3048">
        <v>0.42</v>
      </c>
      <c r="K3048">
        <v>0.88600000000000001</v>
      </c>
      <c r="L3048">
        <v>0.15</v>
      </c>
      <c r="M3048">
        <v>0.80900000000000005</v>
      </c>
      <c r="N3048">
        <v>1.4999999999999999E-2</v>
      </c>
    </row>
    <row r="3049" spans="1:14" x14ac:dyDescent="0.25">
      <c r="A3049" t="s">
        <v>5607</v>
      </c>
      <c r="B3049" t="s">
        <v>3645</v>
      </c>
      <c r="C3049" s="1" t="str">
        <f>HYPERLINK("http://www.genecards.org/cgi-bin/carddisp.pl?gene=HNRNPH3","GeneCards")</f>
        <v>GeneCards</v>
      </c>
      <c r="D3049" s="1" t="str">
        <f>HYPERLINK("http://genome-euro.ucsc.edu/cgi-bin/hgTracks?position=210110_x_at","UCSC")</f>
        <v>UCSC</v>
      </c>
      <c r="E3049" s="1" t="str">
        <f>HYPERLINK("http://www.ncbi.nlm.nih.gov/gene/?term=HNRNPH3","NCBI")</f>
        <v>NCBI</v>
      </c>
      <c r="F3049">
        <v>1.7000000000000001E-2</v>
      </c>
      <c r="G3049">
        <v>9.4E-2</v>
      </c>
      <c r="H3049" s="1" t="str">
        <f>HYPERLINK("http://www.weizmann.ac.il/complex/compphys/software/geview/data/figures/210110_x_at.png","Figure")</f>
        <v>Figure</v>
      </c>
      <c r="I3049">
        <v>1.28</v>
      </c>
      <c r="J3049">
        <v>0.64</v>
      </c>
      <c r="K3049">
        <v>0.57899999999999996</v>
      </c>
      <c r="L3049">
        <v>8.7999999999999995E-2</v>
      </c>
      <c r="M3049">
        <v>0.45200000000000001</v>
      </c>
      <c r="N3049">
        <v>1.9E-2</v>
      </c>
    </row>
    <row r="3050" spans="1:14" x14ac:dyDescent="0.25">
      <c r="A3050" t="s">
        <v>5608</v>
      </c>
      <c r="B3050" t="s">
        <v>5609</v>
      </c>
      <c r="C3050" s="1" t="str">
        <f>HYPERLINK("http://www.genecards.org/cgi-bin/carddisp.pl?gene=ADAM20","GeneCards")</f>
        <v>GeneCards</v>
      </c>
      <c r="D3050" s="1" t="str">
        <f>HYPERLINK("http://genome-euro.ucsc.edu/cgi-bin/hgTracks?position=207422_at","UCSC")</f>
        <v>UCSC</v>
      </c>
      <c r="E3050" s="1" t="str">
        <f>HYPERLINK("http://www.ncbi.nlm.nih.gov/gene/?term=ADAM20","NCBI")</f>
        <v>NCBI</v>
      </c>
      <c r="F3050">
        <v>1.7000000000000001E-2</v>
      </c>
      <c r="G3050">
        <v>9.4E-2</v>
      </c>
      <c r="H3050" s="1" t="str">
        <f>HYPERLINK("http://www.weizmann.ac.il/complex/compphys/software/geview/data/figures/207422_at.png","Figure")</f>
        <v>Figure</v>
      </c>
      <c r="I3050">
        <v>1.1100000000000001</v>
      </c>
      <c r="J3050">
        <v>0.17</v>
      </c>
      <c r="K3050">
        <v>0.93700000000000006</v>
      </c>
      <c r="L3050">
        <v>0.36</v>
      </c>
      <c r="M3050">
        <v>0.84699999999999998</v>
      </c>
      <c r="N3050">
        <v>1.2999999999999999E-2</v>
      </c>
    </row>
    <row r="3051" spans="1:14" x14ac:dyDescent="0.25">
      <c r="A3051" t="s">
        <v>5610</v>
      </c>
      <c r="B3051" t="s">
        <v>5611</v>
      </c>
      <c r="C3051" s="1" t="str">
        <f>HYPERLINK("http://www.genecards.org/cgi-bin/carddisp.pl?gene=RNASEH1","GeneCards")</f>
        <v>GeneCards</v>
      </c>
      <c r="D3051" s="1" t="str">
        <f>HYPERLINK("http://genome-euro.ucsc.edu/cgi-bin/hgTracks?position=218496_at","UCSC")</f>
        <v>UCSC</v>
      </c>
      <c r="E3051" s="1" t="str">
        <f>HYPERLINK("http://www.ncbi.nlm.nih.gov/gene/?term=RNASEH1","NCBI")</f>
        <v>NCBI</v>
      </c>
      <c r="F3051">
        <v>1.7000000000000001E-2</v>
      </c>
      <c r="G3051">
        <v>9.4E-2</v>
      </c>
      <c r="H3051" s="1" t="str">
        <f>HYPERLINK("http://www.weizmann.ac.il/complex/compphys/software/geview/data/figures/218496_at.png","Figure")</f>
        <v>Figure</v>
      </c>
      <c r="I3051">
        <v>1.03</v>
      </c>
      <c r="J3051">
        <v>0.99</v>
      </c>
      <c r="K3051">
        <v>0.67400000000000004</v>
      </c>
      <c r="L3051">
        <v>3.5999999999999997E-2</v>
      </c>
      <c r="M3051">
        <v>0.65700000000000003</v>
      </c>
      <c r="N3051">
        <v>3.6999999999999998E-2</v>
      </c>
    </row>
    <row r="3052" spans="1:14" x14ac:dyDescent="0.25">
      <c r="A3052" t="s">
        <v>5612</v>
      </c>
      <c r="B3052" t="s">
        <v>5305</v>
      </c>
      <c r="C3052" s="1" t="str">
        <f>HYPERLINK("http://www.genecards.org/cgi-bin/carddisp.pl?gene=LDHB","GeneCards")</f>
        <v>GeneCards</v>
      </c>
      <c r="D3052" s="1" t="str">
        <f>HYPERLINK("http://genome-euro.ucsc.edu/cgi-bin/hgTracks?position=201030_x_at","UCSC")</f>
        <v>UCSC</v>
      </c>
      <c r="E3052" s="1" t="str">
        <f>HYPERLINK("http://www.ncbi.nlm.nih.gov/gene/?term=LDHB","NCBI")</f>
        <v>NCBI</v>
      </c>
      <c r="F3052">
        <v>1.7000000000000001E-2</v>
      </c>
      <c r="G3052">
        <v>9.4E-2</v>
      </c>
      <c r="H3052" s="1" t="str">
        <f>HYPERLINK("http://www.weizmann.ac.il/complex/compphys/software/geview/data/figures/201030_x_at.png","Figure")</f>
        <v>Figure</v>
      </c>
      <c r="I3052">
        <v>1.45</v>
      </c>
      <c r="J3052">
        <v>0.33</v>
      </c>
      <c r="K3052">
        <v>2.09</v>
      </c>
      <c r="L3052">
        <v>1.2999999999999999E-2</v>
      </c>
      <c r="M3052">
        <v>1.44</v>
      </c>
      <c r="N3052">
        <v>0.3</v>
      </c>
    </row>
    <row r="3053" spans="1:14" x14ac:dyDescent="0.25">
      <c r="A3053" t="s">
        <v>5613</v>
      </c>
      <c r="B3053" t="s">
        <v>5319</v>
      </c>
      <c r="C3053" s="1" t="str">
        <f>HYPERLINK("http://www.genecards.org/cgi-bin/carddisp.pl?gene=NCRNA00081","GeneCards")</f>
        <v>GeneCards</v>
      </c>
      <c r="D3053" s="1" t="str">
        <f>HYPERLINK("http://genome-euro.ucsc.edu/cgi-bin/hgTracks?position=213220_at","UCSC")</f>
        <v>UCSC</v>
      </c>
      <c r="E3053" s="1" t="str">
        <f>HYPERLINK("http://www.ncbi.nlm.nih.gov/gene/?term=NCRNA00081","NCBI")</f>
        <v>NCBI</v>
      </c>
      <c r="F3053">
        <v>1.7000000000000001E-2</v>
      </c>
      <c r="G3053">
        <v>9.4E-2</v>
      </c>
      <c r="H3053" s="1" t="str">
        <f>HYPERLINK("http://www.weizmann.ac.il/complex/compphys/software/geview/data/figures/213220_at.png","Figure")</f>
        <v>Figure</v>
      </c>
      <c r="I3053">
        <v>0.83499999999999996</v>
      </c>
      <c r="J3053">
        <v>0.48</v>
      </c>
      <c r="K3053">
        <v>1.32</v>
      </c>
      <c r="L3053">
        <v>0.13</v>
      </c>
      <c r="M3053">
        <v>1.58</v>
      </c>
      <c r="N3053">
        <v>1.6E-2</v>
      </c>
    </row>
    <row r="3054" spans="1:14" x14ac:dyDescent="0.25">
      <c r="A3054" t="s">
        <v>5614</v>
      </c>
      <c r="B3054" t="s">
        <v>5615</v>
      </c>
      <c r="C3054" s="1" t="str">
        <f>HYPERLINK("http://www.genecards.org/cgi-bin/carddisp.pl?gene=KLK14","GeneCards")</f>
        <v>GeneCards</v>
      </c>
      <c r="D3054" s="1" t="str">
        <f>HYPERLINK("http://genome-euro.ucsc.edu/cgi-bin/hgTracks?position=220573_at","UCSC")</f>
        <v>UCSC</v>
      </c>
      <c r="E3054" s="1" t="str">
        <f>HYPERLINK("http://www.ncbi.nlm.nih.gov/gene/?term=KLK14","NCBI")</f>
        <v>NCBI</v>
      </c>
      <c r="F3054">
        <v>1.7000000000000001E-2</v>
      </c>
      <c r="G3054">
        <v>9.4E-2</v>
      </c>
      <c r="H3054" s="1" t="str">
        <f>HYPERLINK("http://www.weizmann.ac.il/complex/compphys/software/geview/data/figures/220573_at.png","Figure")</f>
        <v>Figure</v>
      </c>
      <c r="I3054">
        <v>1.31</v>
      </c>
      <c r="J3054">
        <v>1.4E-2</v>
      </c>
      <c r="K3054">
        <v>1.17</v>
      </c>
      <c r="L3054">
        <v>0.11</v>
      </c>
      <c r="M3054">
        <v>0.89</v>
      </c>
      <c r="N3054">
        <v>0.31</v>
      </c>
    </row>
    <row r="3055" spans="1:14" x14ac:dyDescent="0.25">
      <c r="A3055" t="s">
        <v>5616</v>
      </c>
      <c r="B3055" t="s">
        <v>5617</v>
      </c>
      <c r="C3055" s="1" t="str">
        <f>HYPERLINK("http://www.genecards.org/cgi-bin/carddisp.pl?gene=FKBP10","GeneCards")</f>
        <v>GeneCards</v>
      </c>
      <c r="D3055" s="1" t="str">
        <f>HYPERLINK("http://genome-euro.ucsc.edu/cgi-bin/hgTracks?position=219249_s_at","UCSC")</f>
        <v>UCSC</v>
      </c>
      <c r="E3055" s="1" t="str">
        <f>HYPERLINK("http://www.ncbi.nlm.nih.gov/gene/?term=FKBP10","NCBI")</f>
        <v>NCBI</v>
      </c>
      <c r="F3055">
        <v>1.7000000000000001E-2</v>
      </c>
      <c r="G3055">
        <v>9.4E-2</v>
      </c>
      <c r="H3055" s="1" t="str">
        <f>HYPERLINK("http://www.weizmann.ac.il/complex/compphys/software/geview/data/figures/219249_s_at.png","Figure")</f>
        <v>Figure</v>
      </c>
      <c r="I3055">
        <v>1.05</v>
      </c>
      <c r="J3055">
        <v>0.51</v>
      </c>
      <c r="K3055">
        <v>0.91600000000000004</v>
      </c>
      <c r="L3055">
        <v>0.12</v>
      </c>
      <c r="M3055">
        <v>0.86899999999999999</v>
      </c>
      <c r="N3055">
        <v>1.7000000000000001E-2</v>
      </c>
    </row>
    <row r="3056" spans="1:14" x14ac:dyDescent="0.25">
      <c r="A3056" t="s">
        <v>5618</v>
      </c>
      <c r="B3056" t="s">
        <v>5619</v>
      </c>
      <c r="C3056" s="1" t="str">
        <f>HYPERLINK("http://www.genecards.org/cgi-bin/carddisp.pl?gene=RAD21","GeneCards")</f>
        <v>GeneCards</v>
      </c>
      <c r="D3056" s="1" t="str">
        <f>HYPERLINK("http://genome-euro.ucsc.edu/cgi-bin/hgTracks?position=200608_s_at","UCSC")</f>
        <v>UCSC</v>
      </c>
      <c r="E3056" s="1" t="str">
        <f>HYPERLINK("http://www.ncbi.nlm.nih.gov/gene/?term=RAD21","NCBI")</f>
        <v>NCBI</v>
      </c>
      <c r="F3056">
        <v>1.7000000000000001E-2</v>
      </c>
      <c r="G3056">
        <v>9.4E-2</v>
      </c>
      <c r="H3056" s="1" t="str">
        <f>HYPERLINK("http://www.weizmann.ac.il/complex/compphys/software/geview/data/figures/200608_s_at.png","Figure")</f>
        <v>Figure</v>
      </c>
      <c r="I3056">
        <v>0.71799999999999997</v>
      </c>
      <c r="J3056">
        <v>2.7E-2</v>
      </c>
      <c r="K3056">
        <v>0.75800000000000001</v>
      </c>
      <c r="L3056">
        <v>3.3000000000000002E-2</v>
      </c>
      <c r="M3056">
        <v>1.06</v>
      </c>
      <c r="N3056">
        <v>0.86</v>
      </c>
    </row>
    <row r="3057" spans="1:14" x14ac:dyDescent="0.25">
      <c r="A3057" t="s">
        <v>5620</v>
      </c>
      <c r="B3057" t="s">
        <v>5621</v>
      </c>
      <c r="C3057" s="1" t="str">
        <f>HYPERLINK("http://www.genecards.org/cgi-bin/carddisp.pl?gene=MICA","GeneCards")</f>
        <v>GeneCards</v>
      </c>
      <c r="D3057" s="1" t="str">
        <f>HYPERLINK("http://genome-euro.ucsc.edu/cgi-bin/hgTracks?position=205904_at","UCSC")</f>
        <v>UCSC</v>
      </c>
      <c r="E3057" s="1" t="str">
        <f>HYPERLINK("http://www.ncbi.nlm.nih.gov/gene/?term=MICA","NCBI")</f>
        <v>NCBI</v>
      </c>
      <c r="F3057">
        <v>1.7000000000000001E-2</v>
      </c>
      <c r="G3057">
        <v>9.4E-2</v>
      </c>
      <c r="H3057" s="1" t="str">
        <f>HYPERLINK("http://www.weizmann.ac.il/complex/compphys/software/geview/data/figures/205904_at.png","Figure")</f>
        <v>Figure</v>
      </c>
      <c r="I3057">
        <v>0.77900000000000003</v>
      </c>
      <c r="J3057">
        <v>0.21</v>
      </c>
      <c r="K3057">
        <v>1.21</v>
      </c>
      <c r="L3057">
        <v>0.3</v>
      </c>
      <c r="M3057">
        <v>1.55</v>
      </c>
      <c r="N3057">
        <v>1.2999999999999999E-2</v>
      </c>
    </row>
    <row r="3058" spans="1:14" x14ac:dyDescent="0.25">
      <c r="A3058" t="s">
        <v>5622</v>
      </c>
      <c r="B3058" t="s">
        <v>5623</v>
      </c>
      <c r="C3058" s="1" t="str">
        <f>HYPERLINK("http://www.genecards.org/cgi-bin/carddisp.pl?gene=GJA8","GeneCards")</f>
        <v>GeneCards</v>
      </c>
      <c r="D3058" s="1" t="str">
        <f>HYPERLINK("http://genome-euro.ucsc.edu/cgi-bin/hgTracks?position=208489_at","UCSC")</f>
        <v>UCSC</v>
      </c>
      <c r="E3058" s="1" t="str">
        <f>HYPERLINK("http://www.ncbi.nlm.nih.gov/gene/?term=GJA8","NCBI")</f>
        <v>NCBI</v>
      </c>
      <c r="F3058">
        <v>1.7000000000000001E-2</v>
      </c>
      <c r="G3058">
        <v>9.4E-2</v>
      </c>
      <c r="H3058" s="1" t="str">
        <f>HYPERLINK("http://www.weizmann.ac.il/complex/compphys/software/geview/data/figures/208489_at.png","Figure")</f>
        <v>Figure</v>
      </c>
      <c r="I3058">
        <v>1.35</v>
      </c>
      <c r="J3058">
        <v>1.4999999999999999E-2</v>
      </c>
      <c r="K3058">
        <v>1.0900000000000001</v>
      </c>
      <c r="L3058">
        <v>0.56999999999999995</v>
      </c>
      <c r="M3058">
        <v>0.80500000000000005</v>
      </c>
      <c r="N3058">
        <v>5.8999999999999997E-2</v>
      </c>
    </row>
    <row r="3059" spans="1:14" x14ac:dyDescent="0.25">
      <c r="A3059" t="s">
        <v>5624</v>
      </c>
      <c r="B3059" t="s">
        <v>5625</v>
      </c>
      <c r="C3059" s="1" t="str">
        <f>HYPERLINK("http://www.genecards.org/cgi-bin/carddisp.pl?gene=FEM1C","GeneCards")</f>
        <v>GeneCards</v>
      </c>
      <c r="D3059" s="1" t="str">
        <f>HYPERLINK("http://genome-euro.ucsc.edu/cgi-bin/hgTracks?position=213341_at","UCSC")</f>
        <v>UCSC</v>
      </c>
      <c r="E3059" s="1" t="str">
        <f>HYPERLINK("http://www.ncbi.nlm.nih.gov/gene/?term=FEM1C","NCBI")</f>
        <v>NCBI</v>
      </c>
      <c r="F3059">
        <v>1.7000000000000001E-2</v>
      </c>
      <c r="G3059">
        <v>9.4E-2</v>
      </c>
      <c r="H3059" s="1" t="str">
        <f>HYPERLINK("http://www.weizmann.ac.il/complex/compphys/software/geview/data/figures/213341_at.png","Figure")</f>
        <v>Figure</v>
      </c>
      <c r="I3059">
        <v>0.85499999999999998</v>
      </c>
      <c r="J3059">
        <v>0.82</v>
      </c>
      <c r="K3059">
        <v>0.49299999999999999</v>
      </c>
      <c r="L3059">
        <v>1.9E-2</v>
      </c>
      <c r="M3059">
        <v>0.57599999999999996</v>
      </c>
      <c r="N3059">
        <v>9.0999999999999998E-2</v>
      </c>
    </row>
    <row r="3060" spans="1:14" x14ac:dyDescent="0.25">
      <c r="A3060" t="s">
        <v>5626</v>
      </c>
      <c r="B3060" t="s">
        <v>5627</v>
      </c>
      <c r="C3060" s="1" t="str">
        <f>HYPERLINK("http://www.genecards.org/cgi-bin/carddisp.pl?gene=LOC91316","GeneCards")</f>
        <v>GeneCards</v>
      </c>
      <c r="D3060" s="1" t="str">
        <f>HYPERLINK("http://genome-euro.ucsc.edu/cgi-bin/hgTracks?position=213502_x_at","UCSC")</f>
        <v>UCSC</v>
      </c>
      <c r="E3060" s="1" t="str">
        <f>HYPERLINK("http://www.ncbi.nlm.nih.gov/gene/?term=LOC91316","NCBI")</f>
        <v>NCBI</v>
      </c>
      <c r="F3060">
        <v>1.7000000000000001E-2</v>
      </c>
      <c r="G3060">
        <v>9.4E-2</v>
      </c>
      <c r="H3060" s="1" t="str">
        <f>HYPERLINK("http://www.weizmann.ac.il/complex/compphys/software/geview/data/figures/213502_x_at.png","Figure")</f>
        <v>Figure</v>
      </c>
      <c r="I3060">
        <v>1.81</v>
      </c>
      <c r="J3060">
        <v>7.4999999999999997E-2</v>
      </c>
      <c r="K3060">
        <v>2.0099999999999998</v>
      </c>
      <c r="L3060">
        <v>1.6E-2</v>
      </c>
      <c r="M3060">
        <v>1.1100000000000001</v>
      </c>
      <c r="N3060">
        <v>0.9</v>
      </c>
    </row>
    <row r="3061" spans="1:14" x14ac:dyDescent="0.25">
      <c r="A3061" t="s">
        <v>5628</v>
      </c>
      <c r="B3061" t="s">
        <v>5629</v>
      </c>
      <c r="C3061" s="1" t="str">
        <f>HYPERLINK("http://www.genecards.org/cgi-bin/carddisp.pl?gene=DEF8","GeneCards")</f>
        <v>GeneCards</v>
      </c>
      <c r="D3061" s="1" t="str">
        <f>HYPERLINK("http://genome-euro.ucsc.edu/cgi-bin/hgTracks?position=219646_at","UCSC")</f>
        <v>UCSC</v>
      </c>
      <c r="E3061" s="1" t="str">
        <f>HYPERLINK("http://www.ncbi.nlm.nih.gov/gene/?term=DEF8","NCBI")</f>
        <v>NCBI</v>
      </c>
      <c r="F3061">
        <v>1.7000000000000001E-2</v>
      </c>
      <c r="G3061">
        <v>9.4E-2</v>
      </c>
      <c r="H3061" s="1" t="str">
        <f>HYPERLINK("http://www.weizmann.ac.il/complex/compphys/software/geview/data/figures/219646_at.png","Figure")</f>
        <v>Figure</v>
      </c>
      <c r="I3061">
        <v>1.4</v>
      </c>
      <c r="J3061">
        <v>0.32</v>
      </c>
      <c r="K3061">
        <v>1.93</v>
      </c>
      <c r="L3061">
        <v>1.2999999999999999E-2</v>
      </c>
      <c r="M3061">
        <v>1.38</v>
      </c>
      <c r="N3061">
        <v>0.31</v>
      </c>
    </row>
    <row r="3062" spans="1:14" x14ac:dyDescent="0.25">
      <c r="A3062" t="s">
        <v>5630</v>
      </c>
      <c r="B3062" t="s">
        <v>5631</v>
      </c>
      <c r="C3062" s="1" t="str">
        <f>HYPERLINK("http://www.genecards.org/cgi-bin/carddisp.pl?gene=FLNC","GeneCards")</f>
        <v>GeneCards</v>
      </c>
      <c r="D3062" s="1" t="str">
        <f>HYPERLINK("http://genome-euro.ucsc.edu/cgi-bin/hgTracks?position=207876_s_at","UCSC")</f>
        <v>UCSC</v>
      </c>
      <c r="E3062" s="1" t="str">
        <f>HYPERLINK("http://www.ncbi.nlm.nih.gov/gene/?term=FLNC","NCBI")</f>
        <v>NCBI</v>
      </c>
      <c r="F3062">
        <v>1.7000000000000001E-2</v>
      </c>
      <c r="G3062">
        <v>9.5000000000000001E-2</v>
      </c>
      <c r="H3062" s="1" t="str">
        <f>HYPERLINK("http://www.weizmann.ac.il/complex/compphys/software/geview/data/figures/207876_s_at.png","Figure")</f>
        <v>Figure</v>
      </c>
      <c r="I3062">
        <v>1.55</v>
      </c>
      <c r="J3062">
        <v>1.2999999999999999E-2</v>
      </c>
      <c r="K3062">
        <v>1.19</v>
      </c>
      <c r="L3062">
        <v>0.32</v>
      </c>
      <c r="M3062">
        <v>0.76500000000000001</v>
      </c>
      <c r="N3062">
        <v>0.11</v>
      </c>
    </row>
    <row r="3063" spans="1:14" x14ac:dyDescent="0.25">
      <c r="A3063" t="s">
        <v>5632</v>
      </c>
      <c r="B3063" t="s">
        <v>5633</v>
      </c>
      <c r="C3063" s="1" t="str">
        <f>HYPERLINK("http://www.genecards.org/cgi-bin/carddisp.pl?gene=CDC5L","GeneCards")</f>
        <v>GeneCards</v>
      </c>
      <c r="D3063" s="1" t="str">
        <f>HYPERLINK("http://genome-euro.ucsc.edu/cgi-bin/hgTracks?position=209057_x_at","UCSC")</f>
        <v>UCSC</v>
      </c>
      <c r="E3063" s="1" t="str">
        <f>HYPERLINK("http://www.ncbi.nlm.nih.gov/gene/?term=CDC5L","NCBI")</f>
        <v>NCBI</v>
      </c>
      <c r="F3063">
        <v>1.7000000000000001E-2</v>
      </c>
      <c r="G3063">
        <v>9.5000000000000001E-2</v>
      </c>
      <c r="H3063" s="1" t="str">
        <f>HYPERLINK("http://www.weizmann.ac.il/complex/compphys/software/geview/data/figures/209057_x_at.png","Figure")</f>
        <v>Figure</v>
      </c>
      <c r="I3063">
        <v>1.56</v>
      </c>
      <c r="J3063">
        <v>1.4E-2</v>
      </c>
      <c r="K3063">
        <v>1.28</v>
      </c>
      <c r="L3063">
        <v>0.13</v>
      </c>
      <c r="M3063">
        <v>0.81699999999999995</v>
      </c>
      <c r="N3063">
        <v>0.28000000000000003</v>
      </c>
    </row>
    <row r="3064" spans="1:14" x14ac:dyDescent="0.25">
      <c r="A3064" t="s">
        <v>5634</v>
      </c>
      <c r="B3064" t="s">
        <v>5635</v>
      </c>
      <c r="C3064" s="1" t="str">
        <f>HYPERLINK("http://www.genecards.org/cgi-bin/carddisp.pl?gene=SFRS2IP","GeneCards")</f>
        <v>GeneCards</v>
      </c>
      <c r="D3064" s="1" t="str">
        <f>HYPERLINK("http://genome-euro.ucsc.edu/cgi-bin/hgTracks?position=209376_x_at","UCSC")</f>
        <v>UCSC</v>
      </c>
      <c r="E3064" s="1" t="str">
        <f>HYPERLINK("http://www.ncbi.nlm.nih.gov/gene/?term=SFRS2IP","NCBI")</f>
        <v>NCBI</v>
      </c>
      <c r="F3064">
        <v>1.7000000000000001E-2</v>
      </c>
      <c r="G3064">
        <v>9.5000000000000001E-2</v>
      </c>
      <c r="H3064" s="1" t="str">
        <f>HYPERLINK("http://www.weizmann.ac.il/complex/compphys/software/geview/data/figures/209376_x_at.png","Figure")</f>
        <v>Figure</v>
      </c>
      <c r="I3064">
        <v>1.37</v>
      </c>
      <c r="J3064">
        <v>2.9000000000000001E-2</v>
      </c>
      <c r="K3064">
        <v>1.01</v>
      </c>
      <c r="L3064">
        <v>1</v>
      </c>
      <c r="M3064">
        <v>0.73399999999999999</v>
      </c>
      <c r="N3064">
        <v>2.3E-2</v>
      </c>
    </row>
    <row r="3065" spans="1:14" x14ac:dyDescent="0.25">
      <c r="A3065" t="s">
        <v>5636</v>
      </c>
      <c r="B3065" t="s">
        <v>5637</v>
      </c>
      <c r="C3065" s="1" t="str">
        <f>HYPERLINK("http://www.genecards.org/cgi-bin/carddisp.pl?gene=METAP1","GeneCards")</f>
        <v>GeneCards</v>
      </c>
      <c r="D3065" s="1" t="str">
        <f>HYPERLINK("http://genome-euro.ucsc.edu/cgi-bin/hgTracks?position=212673_at","UCSC")</f>
        <v>UCSC</v>
      </c>
      <c r="E3065" s="1" t="str">
        <f>HYPERLINK("http://www.ncbi.nlm.nih.gov/gene/?term=METAP1","NCBI")</f>
        <v>NCBI</v>
      </c>
      <c r="F3065">
        <v>1.7000000000000001E-2</v>
      </c>
      <c r="G3065">
        <v>9.5000000000000001E-2</v>
      </c>
      <c r="H3065" s="1" t="str">
        <f>HYPERLINK("http://www.weizmann.ac.il/complex/compphys/software/geview/data/figures/212673_at.png","Figure")</f>
        <v>Figure</v>
      </c>
      <c r="I3065">
        <v>0.75</v>
      </c>
      <c r="J3065">
        <v>0.05</v>
      </c>
      <c r="K3065">
        <v>1.04</v>
      </c>
      <c r="L3065">
        <v>0.89</v>
      </c>
      <c r="M3065">
        <v>1.39</v>
      </c>
      <c r="N3065">
        <v>1.6E-2</v>
      </c>
    </row>
    <row r="3066" spans="1:14" x14ac:dyDescent="0.25">
      <c r="A3066" t="s">
        <v>5638</v>
      </c>
      <c r="B3066" t="s">
        <v>5639</v>
      </c>
      <c r="C3066" s="1" t="str">
        <f>HYPERLINK("http://www.genecards.org/cgi-bin/carddisp.pl?gene=IRF2BP1","GeneCards")</f>
        <v>GeneCards</v>
      </c>
      <c r="D3066" s="1" t="str">
        <f>HYPERLINK("http://genome-euro.ucsc.edu/cgi-bin/hgTracks?position=213771_at","UCSC")</f>
        <v>UCSC</v>
      </c>
      <c r="E3066" s="1" t="str">
        <f>HYPERLINK("http://www.ncbi.nlm.nih.gov/gene/?term=IRF2BP1","NCBI")</f>
        <v>NCBI</v>
      </c>
      <c r="F3066">
        <v>1.7000000000000001E-2</v>
      </c>
      <c r="G3066">
        <v>9.5000000000000001E-2</v>
      </c>
      <c r="H3066" s="1" t="str">
        <f>HYPERLINK("http://www.weizmann.ac.il/complex/compphys/software/geview/data/figures/213771_at.png","Figure")</f>
        <v>Figure</v>
      </c>
      <c r="I3066">
        <v>1.35</v>
      </c>
      <c r="J3066">
        <v>1.4E-2</v>
      </c>
      <c r="K3066">
        <v>1.1100000000000001</v>
      </c>
      <c r="L3066">
        <v>0.42</v>
      </c>
      <c r="M3066">
        <v>0.81899999999999995</v>
      </c>
      <c r="N3066">
        <v>8.3000000000000004E-2</v>
      </c>
    </row>
    <row r="3067" spans="1:14" x14ac:dyDescent="0.25">
      <c r="A3067" t="s">
        <v>5640</v>
      </c>
      <c r="B3067" t="s">
        <v>5641</v>
      </c>
      <c r="C3067" s="1" t="str">
        <f>HYPERLINK("http://www.genecards.org/cgi-bin/carddisp.pl?gene=RPS19","GeneCards")</f>
        <v>GeneCards</v>
      </c>
      <c r="D3067" s="1" t="str">
        <f>HYPERLINK("http://genome-euro.ucsc.edu/cgi-bin/hgTracks?position=202649_x_at","UCSC")</f>
        <v>UCSC</v>
      </c>
      <c r="E3067" s="1" t="str">
        <f>HYPERLINK("http://www.ncbi.nlm.nih.gov/gene/?term=RPS19","NCBI")</f>
        <v>NCBI</v>
      </c>
      <c r="F3067">
        <v>1.7000000000000001E-2</v>
      </c>
      <c r="G3067">
        <v>9.5000000000000001E-2</v>
      </c>
      <c r="H3067" s="1" t="str">
        <f>HYPERLINK("http://www.weizmann.ac.il/complex/compphys/software/geview/data/figures/202649_x_at.png","Figure")</f>
        <v>Figure</v>
      </c>
      <c r="I3067">
        <v>0.68500000000000005</v>
      </c>
      <c r="J3067">
        <v>1.6E-2</v>
      </c>
      <c r="K3067">
        <v>0.78500000000000003</v>
      </c>
      <c r="L3067">
        <v>7.9000000000000001E-2</v>
      </c>
      <c r="M3067">
        <v>1.1499999999999999</v>
      </c>
      <c r="N3067">
        <v>0.44</v>
      </c>
    </row>
    <row r="3068" spans="1:14" x14ac:dyDescent="0.25">
      <c r="A3068" t="s">
        <v>5642</v>
      </c>
      <c r="B3068" t="s">
        <v>5643</v>
      </c>
      <c r="C3068" s="1" t="str">
        <f>HYPERLINK("http://www.genecards.org/cgi-bin/carddisp.pl?gene=BTN3A3","GeneCards")</f>
        <v>GeneCards</v>
      </c>
      <c r="D3068" s="1" t="str">
        <f>HYPERLINK("http://genome-euro.ucsc.edu/cgi-bin/hgTracks?position=204821_at","UCSC")</f>
        <v>UCSC</v>
      </c>
      <c r="E3068" s="1" t="str">
        <f>HYPERLINK("http://www.ncbi.nlm.nih.gov/gene/?term=BTN3A3","NCBI")</f>
        <v>NCBI</v>
      </c>
      <c r="F3068">
        <v>1.7000000000000001E-2</v>
      </c>
      <c r="G3068">
        <v>9.5000000000000001E-2</v>
      </c>
      <c r="H3068" s="1" t="str">
        <f>HYPERLINK("http://www.weizmann.ac.il/complex/compphys/software/geview/data/figures/204821_at.png","Figure")</f>
        <v>Figure</v>
      </c>
      <c r="I3068">
        <v>0.84699999999999998</v>
      </c>
      <c r="J3068">
        <v>0.52</v>
      </c>
      <c r="K3068">
        <v>1.32</v>
      </c>
      <c r="L3068">
        <v>0.12</v>
      </c>
      <c r="M3068">
        <v>1.56</v>
      </c>
      <c r="N3068">
        <v>1.7000000000000001E-2</v>
      </c>
    </row>
    <row r="3069" spans="1:14" x14ac:dyDescent="0.25">
      <c r="A3069" t="s">
        <v>5644</v>
      </c>
      <c r="B3069" t="s">
        <v>1690</v>
      </c>
      <c r="C3069" s="1" t="str">
        <f>HYPERLINK("http://www.genecards.org/cgi-bin/carddisp.pl?gene=DAPK2","GeneCards")</f>
        <v>GeneCards</v>
      </c>
      <c r="D3069" s="1" t="str">
        <f>HYPERLINK("http://genome-euro.ucsc.edu/cgi-bin/hgTracks?position=215184_at","UCSC")</f>
        <v>UCSC</v>
      </c>
      <c r="E3069" s="1" t="str">
        <f>HYPERLINK("http://www.ncbi.nlm.nih.gov/gene/?term=DAPK2","NCBI")</f>
        <v>NCBI</v>
      </c>
      <c r="F3069">
        <v>1.7000000000000001E-2</v>
      </c>
      <c r="G3069">
        <v>9.5000000000000001E-2</v>
      </c>
      <c r="H3069" s="1" t="str">
        <f>HYPERLINK("http://www.weizmann.ac.il/complex/compphys/software/geview/data/figures/215184_at.png","Figure")</f>
        <v>Figure</v>
      </c>
      <c r="I3069">
        <v>1.31</v>
      </c>
      <c r="J3069">
        <v>3.4000000000000002E-2</v>
      </c>
      <c r="K3069">
        <v>0.99199999999999999</v>
      </c>
      <c r="L3069">
        <v>1</v>
      </c>
      <c r="M3069">
        <v>0.754</v>
      </c>
      <c r="N3069">
        <v>0.02</v>
      </c>
    </row>
    <row r="3070" spans="1:14" x14ac:dyDescent="0.25">
      <c r="A3070" t="s">
        <v>5645</v>
      </c>
      <c r="B3070" t="s">
        <v>5646</v>
      </c>
      <c r="C3070" s="1" t="str">
        <f>HYPERLINK("http://www.genecards.org/cgi-bin/carddisp.pl?gene=CYP17A1","GeneCards")</f>
        <v>GeneCards</v>
      </c>
      <c r="D3070" s="1" t="str">
        <f>HYPERLINK("http://genome-euro.ucsc.edu/cgi-bin/hgTracks?position=205502_at","UCSC")</f>
        <v>UCSC</v>
      </c>
      <c r="E3070" s="1" t="str">
        <f>HYPERLINK("http://www.ncbi.nlm.nih.gov/gene/?term=CYP17A1","NCBI")</f>
        <v>NCBI</v>
      </c>
      <c r="F3070">
        <v>1.7000000000000001E-2</v>
      </c>
      <c r="G3070">
        <v>9.5000000000000001E-2</v>
      </c>
      <c r="H3070" s="1" t="str">
        <f>HYPERLINK("http://www.weizmann.ac.il/complex/compphys/software/geview/data/figures/205502_at.png","Figure")</f>
        <v>Figure</v>
      </c>
      <c r="I3070">
        <v>1.17</v>
      </c>
      <c r="J3070">
        <v>2.1000000000000001E-2</v>
      </c>
      <c r="K3070">
        <v>1.02</v>
      </c>
      <c r="L3070">
        <v>0.88</v>
      </c>
      <c r="M3070">
        <v>0.871</v>
      </c>
      <c r="N3070">
        <v>3.3000000000000002E-2</v>
      </c>
    </row>
    <row r="3071" spans="1:14" x14ac:dyDescent="0.25">
      <c r="A3071" t="s">
        <v>5647</v>
      </c>
      <c r="B3071" t="s">
        <v>5648</v>
      </c>
      <c r="C3071" s="1" t="str">
        <f>HYPERLINK("http://www.genecards.org/cgi-bin/carddisp.pl?gene=C1orf69","GeneCards")</f>
        <v>GeneCards</v>
      </c>
      <c r="D3071" s="1" t="str">
        <f>HYPERLINK("http://genome-euro.ucsc.edu/cgi-bin/hgTracks?position=215490_at","UCSC")</f>
        <v>UCSC</v>
      </c>
      <c r="E3071" s="1" t="str">
        <f>HYPERLINK("http://www.ncbi.nlm.nih.gov/gene/?term=C1orf69","NCBI")</f>
        <v>NCBI</v>
      </c>
      <c r="F3071">
        <v>1.7000000000000001E-2</v>
      </c>
      <c r="G3071">
        <v>9.5000000000000001E-2</v>
      </c>
      <c r="H3071" s="1" t="str">
        <f>HYPERLINK("http://www.weizmann.ac.il/complex/compphys/software/geview/data/figures/215490_at.png","Figure")</f>
        <v>Figure</v>
      </c>
      <c r="I3071">
        <v>1.42</v>
      </c>
      <c r="J3071">
        <v>1.4E-2</v>
      </c>
      <c r="K3071">
        <v>1.1399999999999999</v>
      </c>
      <c r="L3071">
        <v>0.36</v>
      </c>
      <c r="M3071">
        <v>0.80200000000000005</v>
      </c>
      <c r="N3071">
        <v>0.1</v>
      </c>
    </row>
    <row r="3072" spans="1:14" x14ac:dyDescent="0.25">
      <c r="A3072" t="s">
        <v>5649</v>
      </c>
      <c r="B3072" t="s">
        <v>5650</v>
      </c>
      <c r="C3072" s="1" t="str">
        <f>HYPERLINK("http://www.genecards.org/cgi-bin/carddisp.pl?gene=PCYT1A","GeneCards")</f>
        <v>GeneCards</v>
      </c>
      <c r="D3072" s="1" t="str">
        <f>HYPERLINK("http://genome-euro.ucsc.edu/cgi-bin/hgTracks?position=204209_at","UCSC")</f>
        <v>UCSC</v>
      </c>
      <c r="E3072" s="1" t="str">
        <f>HYPERLINK("http://www.ncbi.nlm.nih.gov/gene/?term=PCYT1A","NCBI")</f>
        <v>NCBI</v>
      </c>
      <c r="F3072">
        <v>1.7000000000000001E-2</v>
      </c>
      <c r="G3072">
        <v>9.5000000000000001E-2</v>
      </c>
      <c r="H3072" s="1" t="str">
        <f>HYPERLINK("http://www.weizmann.ac.il/complex/compphys/software/geview/data/figures/204209_at.png","Figure")</f>
        <v>Figure</v>
      </c>
      <c r="I3072">
        <v>1.01</v>
      </c>
      <c r="J3072">
        <v>0.99</v>
      </c>
      <c r="K3072">
        <v>0.82299999999999995</v>
      </c>
      <c r="L3072">
        <v>3.5000000000000003E-2</v>
      </c>
      <c r="M3072">
        <v>0.81699999999999995</v>
      </c>
      <c r="N3072">
        <v>0.04</v>
      </c>
    </row>
    <row r="3073" spans="1:14" x14ac:dyDescent="0.25">
      <c r="A3073" t="s">
        <v>5651</v>
      </c>
      <c r="B3073" t="s">
        <v>5652</v>
      </c>
      <c r="C3073" s="1" t="str">
        <f>HYPERLINK("http://www.genecards.org/cgi-bin/carddisp.pl?gene=WASL","GeneCards")</f>
        <v>GeneCards</v>
      </c>
      <c r="D3073" s="1" t="str">
        <f>HYPERLINK("http://genome-euro.ucsc.edu/cgi-bin/hgTracks?position=205810_s_at","UCSC")</f>
        <v>UCSC</v>
      </c>
      <c r="E3073" s="1" t="str">
        <f>HYPERLINK("http://www.ncbi.nlm.nih.gov/gene/?term=WASL","NCBI")</f>
        <v>NCBI</v>
      </c>
      <c r="F3073">
        <v>1.7000000000000001E-2</v>
      </c>
      <c r="G3073">
        <v>9.5000000000000001E-2</v>
      </c>
      <c r="H3073" s="1" t="str">
        <f>HYPERLINK("http://www.weizmann.ac.il/complex/compphys/software/geview/data/figures/205810_s_at.png","Figure")</f>
        <v>Figure</v>
      </c>
      <c r="I3073">
        <v>1.24</v>
      </c>
      <c r="J3073">
        <v>1.2999999999999999E-2</v>
      </c>
      <c r="K3073">
        <v>1.1100000000000001</v>
      </c>
      <c r="L3073">
        <v>0.19</v>
      </c>
      <c r="M3073">
        <v>0.89700000000000002</v>
      </c>
      <c r="N3073">
        <v>0.19</v>
      </c>
    </row>
    <row r="3074" spans="1:14" x14ac:dyDescent="0.25">
      <c r="A3074" t="s">
        <v>5653</v>
      </c>
      <c r="B3074" t="s">
        <v>5654</v>
      </c>
      <c r="C3074" s="1" t="str">
        <f>HYPERLINK("http://www.genecards.org/cgi-bin/carddisp.pl?gene=SLC6A13","GeneCards")</f>
        <v>GeneCards</v>
      </c>
      <c r="D3074" s="1" t="str">
        <f>HYPERLINK("http://genome-euro.ucsc.edu/cgi-bin/hgTracks?position=207184_at","UCSC")</f>
        <v>UCSC</v>
      </c>
      <c r="E3074" s="1" t="str">
        <f>HYPERLINK("http://www.ncbi.nlm.nih.gov/gene/?term=SLC6A13","NCBI")</f>
        <v>NCBI</v>
      </c>
      <c r="F3074">
        <v>1.7000000000000001E-2</v>
      </c>
      <c r="G3074">
        <v>9.5000000000000001E-2</v>
      </c>
      <c r="H3074" s="1" t="str">
        <f>HYPERLINK("http://www.weizmann.ac.il/complex/compphys/software/geview/data/figures/207184_at.png","Figure")</f>
        <v>Figure</v>
      </c>
      <c r="I3074">
        <v>1.38</v>
      </c>
      <c r="J3074">
        <v>1.6E-2</v>
      </c>
      <c r="K3074">
        <v>1.08</v>
      </c>
      <c r="L3074">
        <v>0.64</v>
      </c>
      <c r="M3074">
        <v>0.78400000000000003</v>
      </c>
      <c r="N3074">
        <v>5.0999999999999997E-2</v>
      </c>
    </row>
    <row r="3075" spans="1:14" x14ac:dyDescent="0.25">
      <c r="A3075" t="s">
        <v>5655</v>
      </c>
      <c r="B3075" t="s">
        <v>5656</v>
      </c>
      <c r="C3075" s="1" t="str">
        <f>HYPERLINK("http://www.genecards.org/cgi-bin/carddisp.pl?gene=CDH6","GeneCards")</f>
        <v>GeneCards</v>
      </c>
      <c r="D3075" s="1" t="str">
        <f>HYPERLINK("http://genome-euro.ucsc.edu/cgi-bin/hgTracks?position=210601_at","UCSC")</f>
        <v>UCSC</v>
      </c>
      <c r="E3075" s="1" t="str">
        <f>HYPERLINK("http://www.ncbi.nlm.nih.gov/gene/?term=CDH6","NCBI")</f>
        <v>NCBI</v>
      </c>
      <c r="F3075">
        <v>1.7000000000000001E-2</v>
      </c>
      <c r="G3075">
        <v>9.5000000000000001E-2</v>
      </c>
      <c r="H3075" s="1" t="str">
        <f>HYPERLINK("http://www.weizmann.ac.il/complex/compphys/software/geview/data/figures/210601_at.png","Figure")</f>
        <v>Figure</v>
      </c>
      <c r="I3075">
        <v>1.54</v>
      </c>
      <c r="J3075">
        <v>1.6E-2</v>
      </c>
      <c r="K3075">
        <v>1.1100000000000001</v>
      </c>
      <c r="L3075">
        <v>0.66</v>
      </c>
      <c r="M3075">
        <v>0.72199999999999998</v>
      </c>
      <c r="N3075">
        <v>0.05</v>
      </c>
    </row>
    <row r="3076" spans="1:14" x14ac:dyDescent="0.25">
      <c r="A3076" t="s">
        <v>5657</v>
      </c>
      <c r="B3076" t="s">
        <v>4719</v>
      </c>
      <c r="C3076" s="1" t="str">
        <f>HYPERLINK("http://www.genecards.org/cgi-bin/carddisp.pl?gene=DDX28","GeneCards")</f>
        <v>GeneCards</v>
      </c>
      <c r="D3076" s="1" t="str">
        <f>HYPERLINK("http://genome-euro.ucsc.edu/cgi-bin/hgTracks?position=40255_at","UCSC")</f>
        <v>UCSC</v>
      </c>
      <c r="E3076" s="1" t="str">
        <f>HYPERLINK("http://www.ncbi.nlm.nih.gov/gene/?term=DDX28","NCBI")</f>
        <v>NCBI</v>
      </c>
      <c r="F3076">
        <v>1.7000000000000001E-2</v>
      </c>
      <c r="G3076">
        <v>9.5000000000000001E-2</v>
      </c>
      <c r="H3076" s="1" t="str">
        <f>HYPERLINK("http://www.weizmann.ac.il/complex/compphys/software/geview/data/figures/40255_at.png","Figure")</f>
        <v>Figure</v>
      </c>
      <c r="I3076">
        <v>0.97699999999999998</v>
      </c>
      <c r="J3076">
        <v>0.89</v>
      </c>
      <c r="K3076">
        <v>0.877</v>
      </c>
      <c r="L3076">
        <v>2.1000000000000001E-2</v>
      </c>
      <c r="M3076">
        <v>0.89700000000000002</v>
      </c>
      <c r="N3076">
        <v>7.8E-2</v>
      </c>
    </row>
    <row r="3077" spans="1:14" x14ac:dyDescent="0.25">
      <c r="A3077" t="s">
        <v>5658</v>
      </c>
      <c r="B3077" t="s">
        <v>5659</v>
      </c>
      <c r="C3077" s="1" t="str">
        <f>HYPERLINK("http://www.genecards.org/cgi-bin/carddisp.pl?gene=DLG5","GeneCards")</f>
        <v>GeneCards</v>
      </c>
      <c r="D3077" s="1" t="str">
        <f>HYPERLINK("http://genome-euro.ucsc.edu/cgi-bin/hgTracks?position=201681_s_at","UCSC")</f>
        <v>UCSC</v>
      </c>
      <c r="E3077" s="1" t="str">
        <f>HYPERLINK("http://www.ncbi.nlm.nih.gov/gene/?term=DLG5","NCBI")</f>
        <v>NCBI</v>
      </c>
      <c r="F3077">
        <v>1.7000000000000001E-2</v>
      </c>
      <c r="G3077">
        <v>9.5000000000000001E-2</v>
      </c>
      <c r="H3077" s="1" t="str">
        <f>HYPERLINK("http://www.weizmann.ac.il/complex/compphys/software/geview/data/figures/201681_s_at.png","Figure")</f>
        <v>Figure</v>
      </c>
      <c r="I3077">
        <v>0.35499999999999998</v>
      </c>
      <c r="J3077">
        <v>1.6E-2</v>
      </c>
      <c r="K3077">
        <v>0.51800000000000002</v>
      </c>
      <c r="L3077">
        <v>8.1000000000000003E-2</v>
      </c>
      <c r="M3077">
        <v>1.46</v>
      </c>
      <c r="N3077">
        <v>0.44</v>
      </c>
    </row>
    <row r="3078" spans="1:14" x14ac:dyDescent="0.25">
      <c r="A3078" t="s">
        <v>5660</v>
      </c>
      <c r="B3078" t="s">
        <v>5661</v>
      </c>
      <c r="C3078" s="1" t="str">
        <f>HYPERLINK("http://www.genecards.org/cgi-bin/carddisp.pl?gene=EPN3","GeneCards")</f>
        <v>GeneCards</v>
      </c>
      <c r="D3078" s="1" t="str">
        <f>HYPERLINK("http://genome-euro.ucsc.edu/cgi-bin/hgTracks?position=220318_at","UCSC")</f>
        <v>UCSC</v>
      </c>
      <c r="E3078" s="1" t="str">
        <f>HYPERLINK("http://www.ncbi.nlm.nih.gov/gene/?term=EPN3","NCBI")</f>
        <v>NCBI</v>
      </c>
      <c r="F3078">
        <v>1.7000000000000001E-2</v>
      </c>
      <c r="G3078">
        <v>9.5000000000000001E-2</v>
      </c>
      <c r="H3078" s="1" t="str">
        <f>HYPERLINK("http://www.weizmann.ac.il/complex/compphys/software/geview/data/figures/220318_at.png","Figure")</f>
        <v>Figure</v>
      </c>
      <c r="I3078">
        <v>1.1499999999999999</v>
      </c>
      <c r="J3078">
        <v>1.9E-2</v>
      </c>
      <c r="K3078">
        <v>1.03</v>
      </c>
      <c r="L3078">
        <v>0.79</v>
      </c>
      <c r="M3078">
        <v>0.89200000000000002</v>
      </c>
      <c r="N3078">
        <v>3.9E-2</v>
      </c>
    </row>
    <row r="3079" spans="1:14" x14ac:dyDescent="0.25">
      <c r="A3079" t="s">
        <v>5662</v>
      </c>
      <c r="B3079" t="s">
        <v>5663</v>
      </c>
      <c r="C3079" s="1" t="str">
        <f>HYPERLINK("http://www.genecards.org/cgi-bin/carddisp.pl?gene=CIAPIN1","GeneCards")</f>
        <v>GeneCards</v>
      </c>
      <c r="D3079" s="1" t="str">
        <f>HYPERLINK("http://genome-euro.ucsc.edu/cgi-bin/hgTracks?position=208968_s_at","UCSC")</f>
        <v>UCSC</v>
      </c>
      <c r="E3079" s="1" t="str">
        <f>HYPERLINK("http://www.ncbi.nlm.nih.gov/gene/?term=CIAPIN1","NCBI")</f>
        <v>NCBI</v>
      </c>
      <c r="F3079">
        <v>1.7000000000000001E-2</v>
      </c>
      <c r="G3079">
        <v>9.5000000000000001E-2</v>
      </c>
      <c r="H3079" s="1" t="str">
        <f>HYPERLINK("http://www.weizmann.ac.il/complex/compphys/software/geview/data/figures/208968_s_at.png","Figure")</f>
        <v>Figure</v>
      </c>
      <c r="I3079">
        <v>1.34</v>
      </c>
      <c r="J3079">
        <v>2.5999999999999999E-2</v>
      </c>
      <c r="K3079">
        <v>1.02</v>
      </c>
      <c r="L3079">
        <v>0.97</v>
      </c>
      <c r="M3079">
        <v>0.76400000000000001</v>
      </c>
      <c r="N3079">
        <v>2.5999999999999999E-2</v>
      </c>
    </row>
    <row r="3080" spans="1:14" x14ac:dyDescent="0.25">
      <c r="A3080" t="s">
        <v>5664</v>
      </c>
      <c r="B3080" t="s">
        <v>5665</v>
      </c>
      <c r="C3080" s="1" t="str">
        <f>HYPERLINK("http://www.genecards.org/cgi-bin/carddisp.pl?gene=ARPC4","GeneCards")</f>
        <v>GeneCards</v>
      </c>
      <c r="D3080" s="1" t="str">
        <f>HYPERLINK("http://genome-euro.ucsc.edu/cgi-bin/hgTracks?position=217817_at","UCSC")</f>
        <v>UCSC</v>
      </c>
      <c r="E3080" s="1" t="str">
        <f>HYPERLINK("http://www.ncbi.nlm.nih.gov/gene/?term=ARPC4","NCBI")</f>
        <v>NCBI</v>
      </c>
      <c r="F3080">
        <v>1.7000000000000001E-2</v>
      </c>
      <c r="G3080">
        <v>9.5000000000000001E-2</v>
      </c>
      <c r="H3080" s="1" t="str">
        <f>HYPERLINK("http://www.weizmann.ac.il/complex/compphys/software/geview/data/figures/217817_at.png","Figure")</f>
        <v>Figure</v>
      </c>
      <c r="I3080">
        <v>1.52</v>
      </c>
      <c r="J3080">
        <v>3.4000000000000002E-2</v>
      </c>
      <c r="K3080">
        <v>1.46</v>
      </c>
      <c r="L3080">
        <v>2.7E-2</v>
      </c>
      <c r="M3080">
        <v>0.96299999999999997</v>
      </c>
      <c r="N3080">
        <v>0.96</v>
      </c>
    </row>
    <row r="3081" spans="1:14" x14ac:dyDescent="0.25">
      <c r="A3081" t="s">
        <v>5666</v>
      </c>
      <c r="B3081" t="s">
        <v>4540</v>
      </c>
      <c r="C3081" s="1" t="str">
        <f>HYPERLINK("http://www.genecards.org/cgi-bin/carddisp.pl?gene=KLHL24","GeneCards")</f>
        <v>GeneCards</v>
      </c>
      <c r="D3081" s="1" t="str">
        <f>HYPERLINK("http://genome-euro.ucsc.edu/cgi-bin/hgTracks?position=221985_at","UCSC")</f>
        <v>UCSC</v>
      </c>
      <c r="E3081" s="1" t="str">
        <f>HYPERLINK("http://www.ncbi.nlm.nih.gov/gene/?term=KLHL24","NCBI")</f>
        <v>NCBI</v>
      </c>
      <c r="F3081">
        <v>1.7000000000000001E-2</v>
      </c>
      <c r="G3081">
        <v>9.5000000000000001E-2</v>
      </c>
      <c r="H3081" s="1" t="str">
        <f>HYPERLINK("http://www.weizmann.ac.il/complex/compphys/software/geview/data/figures/221985_at.png","Figure")</f>
        <v>Figure</v>
      </c>
      <c r="I3081">
        <v>1.57</v>
      </c>
      <c r="J3081">
        <v>0.23</v>
      </c>
      <c r="K3081">
        <v>0.69899999999999995</v>
      </c>
      <c r="L3081">
        <v>0.28999999999999998</v>
      </c>
      <c r="M3081">
        <v>0.44500000000000001</v>
      </c>
      <c r="N3081">
        <v>1.4E-2</v>
      </c>
    </row>
    <row r="3082" spans="1:14" x14ac:dyDescent="0.25">
      <c r="A3082" t="s">
        <v>5667</v>
      </c>
      <c r="B3082" t="s">
        <v>5668</v>
      </c>
      <c r="C3082" s="1" t="str">
        <f>HYPERLINK("http://www.genecards.org/cgi-bin/carddisp.pl?gene=ITGB3","GeneCards")</f>
        <v>GeneCards</v>
      </c>
      <c r="D3082" s="1" t="str">
        <f>HYPERLINK("http://genome-euro.ucsc.edu/cgi-bin/hgTracks?position=204628_s_at","UCSC")</f>
        <v>UCSC</v>
      </c>
      <c r="E3082" s="1" t="str">
        <f>HYPERLINK("http://www.ncbi.nlm.nih.gov/gene/?term=ITGB3","NCBI")</f>
        <v>NCBI</v>
      </c>
      <c r="F3082">
        <v>1.7000000000000001E-2</v>
      </c>
      <c r="G3082">
        <v>9.5000000000000001E-2</v>
      </c>
      <c r="H3082" s="1" t="str">
        <f>HYPERLINK("http://www.weizmann.ac.il/complex/compphys/software/geview/data/figures/204628_s_at.png","Figure")</f>
        <v>Figure</v>
      </c>
      <c r="I3082">
        <v>1.1100000000000001</v>
      </c>
      <c r="J3082">
        <v>0.25</v>
      </c>
      <c r="K3082">
        <v>0.91300000000000003</v>
      </c>
      <c r="L3082">
        <v>0.26</v>
      </c>
      <c r="M3082">
        <v>0.82</v>
      </c>
      <c r="N3082">
        <v>1.4E-2</v>
      </c>
    </row>
    <row r="3083" spans="1:14" x14ac:dyDescent="0.25">
      <c r="A3083" t="s">
        <v>5669</v>
      </c>
      <c r="B3083" t="s">
        <v>5670</v>
      </c>
      <c r="C3083" s="1" t="str">
        <f>HYPERLINK("http://www.genecards.org/cgi-bin/carddisp.pl?gene=CCDC9","GeneCards")</f>
        <v>GeneCards</v>
      </c>
      <c r="D3083" s="1" t="str">
        <f>HYPERLINK("http://genome-euro.ucsc.edu/cgi-bin/hgTracks?position=206257_at","UCSC")</f>
        <v>UCSC</v>
      </c>
      <c r="E3083" s="1" t="str">
        <f>HYPERLINK("http://www.ncbi.nlm.nih.gov/gene/?term=CCDC9","NCBI")</f>
        <v>NCBI</v>
      </c>
      <c r="F3083">
        <v>1.7000000000000001E-2</v>
      </c>
      <c r="G3083">
        <v>9.5000000000000001E-2</v>
      </c>
      <c r="H3083" s="1" t="str">
        <f>HYPERLINK("http://www.weizmann.ac.il/complex/compphys/software/geview/data/figures/206257_at.png","Figure")</f>
        <v>Figure</v>
      </c>
      <c r="I3083">
        <v>1.46</v>
      </c>
      <c r="J3083">
        <v>0.02</v>
      </c>
      <c r="K3083">
        <v>1.06</v>
      </c>
      <c r="L3083">
        <v>0.85</v>
      </c>
      <c r="M3083">
        <v>0.72599999999999998</v>
      </c>
      <c r="N3083">
        <v>3.5000000000000003E-2</v>
      </c>
    </row>
    <row r="3084" spans="1:14" x14ac:dyDescent="0.25">
      <c r="A3084" t="s">
        <v>5671</v>
      </c>
      <c r="B3084" t="s">
        <v>3149</v>
      </c>
      <c r="C3084" s="1" t="str">
        <f>HYPERLINK("http://www.genecards.org/cgi-bin/carddisp.pl?gene=WDR48","GeneCards")</f>
        <v>GeneCards</v>
      </c>
      <c r="D3084" s="1" t="str">
        <f>HYPERLINK("http://genome-euro.ucsc.edu/cgi-bin/hgTracks?position=222157_s_at","UCSC")</f>
        <v>UCSC</v>
      </c>
      <c r="E3084" s="1" t="str">
        <f>HYPERLINK("http://www.ncbi.nlm.nih.gov/gene/?term=WDR48","NCBI")</f>
        <v>NCBI</v>
      </c>
      <c r="F3084">
        <v>1.7000000000000001E-2</v>
      </c>
      <c r="G3084">
        <v>9.5000000000000001E-2</v>
      </c>
      <c r="H3084" s="1" t="str">
        <f>HYPERLINK("http://www.weizmann.ac.il/complex/compphys/software/geview/data/figures/222157_s_at.png","Figure")</f>
        <v>Figure</v>
      </c>
      <c r="I3084">
        <v>1.18</v>
      </c>
      <c r="J3084">
        <v>0.57999999999999996</v>
      </c>
      <c r="K3084">
        <v>0.72199999999999998</v>
      </c>
      <c r="L3084">
        <v>0.1</v>
      </c>
      <c r="M3084">
        <v>0.61099999999999999</v>
      </c>
      <c r="N3084">
        <v>1.9E-2</v>
      </c>
    </row>
    <row r="3085" spans="1:14" x14ac:dyDescent="0.25">
      <c r="A3085" t="s">
        <v>5672</v>
      </c>
      <c r="B3085" t="s">
        <v>5673</v>
      </c>
      <c r="C3085" s="1" t="str">
        <f>HYPERLINK("http://www.genecards.org/cgi-bin/carddisp.pl?gene=RUFY3","GeneCards")</f>
        <v>GeneCards</v>
      </c>
      <c r="D3085" s="1" t="str">
        <f>HYPERLINK("http://genome-euro.ucsc.edu/cgi-bin/hgTracks?position=213437_at","UCSC")</f>
        <v>UCSC</v>
      </c>
      <c r="E3085" s="1" t="str">
        <f>HYPERLINK("http://www.ncbi.nlm.nih.gov/gene/?term=RUFY3","NCBI")</f>
        <v>NCBI</v>
      </c>
      <c r="F3085">
        <v>1.7000000000000001E-2</v>
      </c>
      <c r="G3085">
        <v>9.5000000000000001E-2</v>
      </c>
      <c r="H3085" s="1" t="str">
        <f>HYPERLINK("http://www.weizmann.ac.il/complex/compphys/software/geview/data/figures/213437_at.png","Figure")</f>
        <v>Figure</v>
      </c>
      <c r="I3085">
        <v>1.34</v>
      </c>
      <c r="J3085">
        <v>0.13</v>
      </c>
      <c r="K3085">
        <v>0.86599999999999999</v>
      </c>
      <c r="L3085">
        <v>0.48</v>
      </c>
      <c r="M3085">
        <v>0.64600000000000002</v>
      </c>
      <c r="N3085">
        <v>1.2999999999999999E-2</v>
      </c>
    </row>
    <row r="3086" spans="1:14" x14ac:dyDescent="0.25">
      <c r="A3086" t="s">
        <v>5674</v>
      </c>
      <c r="B3086" t="s">
        <v>4648</v>
      </c>
      <c r="C3086" s="1" t="str">
        <f>HYPERLINK("http://www.genecards.org/cgi-bin/carddisp.pl?gene=SEC23A","GeneCards")</f>
        <v>GeneCards</v>
      </c>
      <c r="D3086" s="1" t="str">
        <f>HYPERLINK("http://genome-euro.ucsc.edu/cgi-bin/hgTracks?position=204344_s_at","UCSC")</f>
        <v>UCSC</v>
      </c>
      <c r="E3086" s="1" t="str">
        <f>HYPERLINK("http://www.ncbi.nlm.nih.gov/gene/?term=SEC23A","NCBI")</f>
        <v>NCBI</v>
      </c>
      <c r="F3086">
        <v>1.7000000000000001E-2</v>
      </c>
      <c r="G3086">
        <v>9.6000000000000002E-2</v>
      </c>
      <c r="H3086" s="1" t="str">
        <f>HYPERLINK("http://www.weizmann.ac.il/complex/compphys/software/geview/data/figures/204344_s_at.png","Figure")</f>
        <v>Figure</v>
      </c>
      <c r="I3086">
        <v>0.79300000000000004</v>
      </c>
      <c r="J3086">
        <v>1.6E-2</v>
      </c>
      <c r="K3086">
        <v>0.86499999999999999</v>
      </c>
      <c r="L3086">
        <v>8.5000000000000006E-2</v>
      </c>
      <c r="M3086">
        <v>1.0900000000000001</v>
      </c>
      <c r="N3086">
        <v>0.42</v>
      </c>
    </row>
    <row r="3087" spans="1:14" x14ac:dyDescent="0.25">
      <c r="A3087" t="s">
        <v>5675</v>
      </c>
      <c r="B3087" t="s">
        <v>5676</v>
      </c>
      <c r="C3087" s="1" t="str">
        <f>HYPERLINK("http://www.genecards.org/cgi-bin/carddisp.pl?gene=KYNU","GeneCards")</f>
        <v>GeneCards</v>
      </c>
      <c r="D3087" s="1" t="str">
        <f>HYPERLINK("http://genome-euro.ucsc.edu/cgi-bin/hgTracks?position=204385_at","UCSC")</f>
        <v>UCSC</v>
      </c>
      <c r="E3087" s="1" t="str">
        <f>HYPERLINK("http://www.ncbi.nlm.nih.gov/gene/?term=KYNU","NCBI")</f>
        <v>NCBI</v>
      </c>
      <c r="F3087">
        <v>1.7000000000000001E-2</v>
      </c>
      <c r="G3087">
        <v>9.6000000000000002E-2</v>
      </c>
      <c r="H3087" s="1" t="str">
        <f>HYPERLINK("http://www.weizmann.ac.il/complex/compphys/software/geview/data/figures/204385_at.png","Figure")</f>
        <v>Figure</v>
      </c>
      <c r="I3087">
        <v>1.53</v>
      </c>
      <c r="J3087">
        <v>1.4E-2</v>
      </c>
      <c r="K3087">
        <v>1.1599999999999999</v>
      </c>
      <c r="L3087">
        <v>0.42</v>
      </c>
      <c r="M3087">
        <v>0.755</v>
      </c>
      <c r="N3087">
        <v>8.5999999999999993E-2</v>
      </c>
    </row>
    <row r="3088" spans="1:14" x14ac:dyDescent="0.25">
      <c r="A3088" t="s">
        <v>5677</v>
      </c>
      <c r="B3088" t="s">
        <v>5678</v>
      </c>
      <c r="C3088" s="1" t="str">
        <f>HYPERLINK("http://www.genecards.org/cgi-bin/carddisp.pl?gene=SFRS3","GeneCards")</f>
        <v>GeneCards</v>
      </c>
      <c r="D3088" s="1" t="str">
        <f>HYPERLINK("http://genome-euro.ucsc.edu/cgi-bin/hgTracks?position=202899_s_at","UCSC")</f>
        <v>UCSC</v>
      </c>
      <c r="E3088" s="1" t="str">
        <f>HYPERLINK("http://www.ncbi.nlm.nih.gov/gene/?term=SFRS3","NCBI")</f>
        <v>NCBI</v>
      </c>
      <c r="F3088">
        <v>1.7000000000000001E-2</v>
      </c>
      <c r="G3088">
        <v>9.6000000000000002E-2</v>
      </c>
      <c r="H3088" s="1" t="str">
        <f>HYPERLINK("http://www.weizmann.ac.il/complex/compphys/software/geview/data/figures/202899_s_at.png","Figure")</f>
        <v>Figure</v>
      </c>
      <c r="I3088">
        <v>1.76</v>
      </c>
      <c r="J3088">
        <v>6.5000000000000002E-2</v>
      </c>
      <c r="K3088">
        <v>1.88</v>
      </c>
      <c r="L3088">
        <v>1.7999999999999999E-2</v>
      </c>
      <c r="M3088">
        <v>1.07</v>
      </c>
      <c r="N3088">
        <v>0.95</v>
      </c>
    </row>
    <row r="3089" spans="1:14" x14ac:dyDescent="0.25">
      <c r="A3089" t="s">
        <v>5679</v>
      </c>
      <c r="B3089" t="s">
        <v>3571</v>
      </c>
      <c r="C3089" s="1" t="str">
        <f>HYPERLINK("http://www.genecards.org/cgi-bin/carddisp.pl?gene=AHCYL1","GeneCards")</f>
        <v>GeneCards</v>
      </c>
      <c r="D3089" s="1" t="str">
        <f>HYPERLINK("http://genome-euro.ucsc.edu/cgi-bin/hgTracks?position=200850_s_at","UCSC")</f>
        <v>UCSC</v>
      </c>
      <c r="E3089" s="1" t="str">
        <f>HYPERLINK("http://www.ncbi.nlm.nih.gov/gene/?term=AHCYL1","NCBI")</f>
        <v>NCBI</v>
      </c>
      <c r="F3089">
        <v>1.7000000000000001E-2</v>
      </c>
      <c r="G3089">
        <v>9.6000000000000002E-2</v>
      </c>
      <c r="H3089" s="1" t="str">
        <f>HYPERLINK("http://www.weizmann.ac.il/complex/compphys/software/geview/data/figures/200850_s_at.png","Figure")</f>
        <v>Figure</v>
      </c>
      <c r="I3089">
        <v>0.79300000000000004</v>
      </c>
      <c r="J3089">
        <v>0.36</v>
      </c>
      <c r="K3089">
        <v>1.31</v>
      </c>
      <c r="L3089">
        <v>0.18</v>
      </c>
      <c r="M3089">
        <v>1.65</v>
      </c>
      <c r="N3089">
        <v>1.4999999999999999E-2</v>
      </c>
    </row>
    <row r="3090" spans="1:14" x14ac:dyDescent="0.25">
      <c r="A3090" t="s">
        <v>5680</v>
      </c>
      <c r="B3090" t="s">
        <v>5681</v>
      </c>
      <c r="C3090" s="1" t="str">
        <f>HYPERLINK("http://www.genecards.org/cgi-bin/carddisp.pl?gene=RAB11A","GeneCards")</f>
        <v>GeneCards</v>
      </c>
      <c r="D3090" s="1" t="str">
        <f>HYPERLINK("http://genome-euro.ucsc.edu/cgi-bin/hgTracks?position=200864_s_at","UCSC")</f>
        <v>UCSC</v>
      </c>
      <c r="E3090" s="1" t="str">
        <f>HYPERLINK("http://www.ncbi.nlm.nih.gov/gene/?term=RAB11A","NCBI")</f>
        <v>NCBI</v>
      </c>
      <c r="F3090">
        <v>1.7000000000000001E-2</v>
      </c>
      <c r="G3090">
        <v>9.6000000000000002E-2</v>
      </c>
      <c r="H3090" s="1" t="str">
        <f>HYPERLINK("http://www.weizmann.ac.il/complex/compphys/software/geview/data/figures/200864_s_at.png","Figure")</f>
        <v>Figure</v>
      </c>
      <c r="I3090">
        <v>0.42099999999999999</v>
      </c>
      <c r="J3090">
        <v>1.2999999999999999E-2</v>
      </c>
      <c r="K3090">
        <v>0.66200000000000003</v>
      </c>
      <c r="L3090">
        <v>0.2</v>
      </c>
      <c r="M3090">
        <v>1.57</v>
      </c>
      <c r="N3090">
        <v>0.18</v>
      </c>
    </row>
    <row r="3091" spans="1:14" x14ac:dyDescent="0.25">
      <c r="A3091" t="s">
        <v>5682</v>
      </c>
      <c r="B3091" t="s">
        <v>5683</v>
      </c>
      <c r="C3091" s="1" t="str">
        <f>HYPERLINK("http://www.genecards.org/cgi-bin/carddisp.pl?gene=ATP6AP1","GeneCards")</f>
        <v>GeneCards</v>
      </c>
      <c r="D3091" s="1" t="str">
        <f>HYPERLINK("http://genome-euro.ucsc.edu/cgi-bin/hgTracks?position=207809_s_at","UCSC")</f>
        <v>UCSC</v>
      </c>
      <c r="E3091" s="1" t="str">
        <f>HYPERLINK("http://www.ncbi.nlm.nih.gov/gene/?term=ATP6AP1","NCBI")</f>
        <v>NCBI</v>
      </c>
      <c r="F3091">
        <v>1.7000000000000001E-2</v>
      </c>
      <c r="G3091">
        <v>9.6000000000000002E-2</v>
      </c>
      <c r="H3091" s="1" t="str">
        <f>HYPERLINK("http://www.weizmann.ac.il/complex/compphys/software/geview/data/figures/207809_s_at.png","Figure")</f>
        <v>Figure</v>
      </c>
      <c r="I3091">
        <v>0.69</v>
      </c>
      <c r="J3091">
        <v>1.2999999999999999E-2</v>
      </c>
      <c r="K3091">
        <v>0.84399999999999997</v>
      </c>
      <c r="L3091">
        <v>0.22</v>
      </c>
      <c r="M3091">
        <v>1.22</v>
      </c>
      <c r="N3091">
        <v>0.16</v>
      </c>
    </row>
    <row r="3092" spans="1:14" x14ac:dyDescent="0.25">
      <c r="A3092" t="s">
        <v>5684</v>
      </c>
      <c r="B3092" t="s">
        <v>1443</v>
      </c>
      <c r="C3092" s="1" t="str">
        <f>HYPERLINK("http://www.genecards.org/cgi-bin/carddisp.pl?gene=CEACAM6","GeneCards")</f>
        <v>GeneCards</v>
      </c>
      <c r="D3092" s="1" t="str">
        <f>HYPERLINK("http://genome-euro.ucsc.edu/cgi-bin/hgTracks?position=211657_at","UCSC")</f>
        <v>UCSC</v>
      </c>
      <c r="E3092" s="1" t="str">
        <f>HYPERLINK("http://www.ncbi.nlm.nih.gov/gene/?term=CEACAM6","NCBI")</f>
        <v>NCBI</v>
      </c>
      <c r="F3092">
        <v>1.7000000000000001E-2</v>
      </c>
      <c r="G3092">
        <v>9.6000000000000002E-2</v>
      </c>
      <c r="H3092" s="1" t="str">
        <f>HYPERLINK("http://www.weizmann.ac.il/complex/compphys/software/geview/data/figures/211657_at.png","Figure")</f>
        <v>Figure</v>
      </c>
      <c r="I3092">
        <v>0.63900000000000001</v>
      </c>
      <c r="J3092">
        <v>5.3999999999999999E-2</v>
      </c>
      <c r="K3092">
        <v>1.08</v>
      </c>
      <c r="L3092">
        <v>0.87</v>
      </c>
      <c r="M3092">
        <v>1.69</v>
      </c>
      <c r="N3092">
        <v>1.6E-2</v>
      </c>
    </row>
    <row r="3093" spans="1:14" x14ac:dyDescent="0.25">
      <c r="A3093" t="s">
        <v>5685</v>
      </c>
      <c r="B3093" t="s">
        <v>5686</v>
      </c>
      <c r="C3093" s="1" t="str">
        <f>HYPERLINK("http://www.genecards.org/cgi-bin/carddisp.pl?gene=FAM175B","GeneCards")</f>
        <v>GeneCards</v>
      </c>
      <c r="D3093" s="1" t="str">
        <f>HYPERLINK("http://genome-euro.ucsc.edu/cgi-bin/hgTracks?position=212835_at","UCSC")</f>
        <v>UCSC</v>
      </c>
      <c r="E3093" s="1" t="str">
        <f>HYPERLINK("http://www.ncbi.nlm.nih.gov/gene/?term=FAM175B","NCBI")</f>
        <v>NCBI</v>
      </c>
      <c r="F3093">
        <v>1.7000000000000001E-2</v>
      </c>
      <c r="G3093">
        <v>9.6000000000000002E-2</v>
      </c>
      <c r="H3093" s="1" t="str">
        <f>HYPERLINK("http://www.weizmann.ac.il/complex/compphys/software/geview/data/figures/212835_at.png","Figure")</f>
        <v>Figure</v>
      </c>
      <c r="I3093">
        <v>0.52800000000000002</v>
      </c>
      <c r="J3093">
        <v>2.7E-2</v>
      </c>
      <c r="K3093">
        <v>0.58699999999999997</v>
      </c>
      <c r="L3093">
        <v>3.4000000000000002E-2</v>
      </c>
      <c r="M3093">
        <v>1.1100000000000001</v>
      </c>
      <c r="N3093">
        <v>0.86</v>
      </c>
    </row>
    <row r="3094" spans="1:14" x14ac:dyDescent="0.25">
      <c r="A3094" t="s">
        <v>5687</v>
      </c>
      <c r="B3094" t="s">
        <v>5688</v>
      </c>
      <c r="C3094" s="1" t="str">
        <f>HYPERLINK("http://www.genecards.org/cgi-bin/carddisp.pl?gene=DYNC1H1","GeneCards")</f>
        <v>GeneCards</v>
      </c>
      <c r="D3094" s="1" t="str">
        <f>HYPERLINK("http://genome-euro.ucsc.edu/cgi-bin/hgTracks?position=211928_at","UCSC")</f>
        <v>UCSC</v>
      </c>
      <c r="E3094" s="1" t="str">
        <f>HYPERLINK("http://www.ncbi.nlm.nih.gov/gene/?term=DYNC1H1","NCBI")</f>
        <v>NCBI</v>
      </c>
      <c r="F3094">
        <v>1.7000000000000001E-2</v>
      </c>
      <c r="G3094">
        <v>9.6000000000000002E-2</v>
      </c>
      <c r="H3094" s="1" t="str">
        <f>HYPERLINK("http://www.weizmann.ac.il/complex/compphys/software/geview/data/figures/211928_at.png","Figure")</f>
        <v>Figure</v>
      </c>
      <c r="I3094">
        <v>0.84899999999999998</v>
      </c>
      <c r="J3094">
        <v>0.41</v>
      </c>
      <c r="K3094">
        <v>1.24</v>
      </c>
      <c r="L3094">
        <v>0.16</v>
      </c>
      <c r="M3094">
        <v>1.46</v>
      </c>
      <c r="N3094">
        <v>1.6E-2</v>
      </c>
    </row>
    <row r="3095" spans="1:14" x14ac:dyDescent="0.25">
      <c r="A3095" t="s">
        <v>5689</v>
      </c>
      <c r="B3095" t="s">
        <v>5690</v>
      </c>
      <c r="C3095" s="1" t="str">
        <f>HYPERLINK("http://www.genecards.org/cgi-bin/carddisp.pl?gene=SLA","GeneCards")</f>
        <v>GeneCards</v>
      </c>
      <c r="D3095" s="1" t="str">
        <f>HYPERLINK("http://genome-euro.ucsc.edu/cgi-bin/hgTracks?position=203760_s_at","UCSC")</f>
        <v>UCSC</v>
      </c>
      <c r="E3095" s="1" t="str">
        <f>HYPERLINK("http://www.ncbi.nlm.nih.gov/gene/?term=SLA","NCBI")</f>
        <v>NCBI</v>
      </c>
      <c r="F3095">
        <v>1.7000000000000001E-2</v>
      </c>
      <c r="G3095">
        <v>9.6000000000000002E-2</v>
      </c>
      <c r="H3095" s="1" t="str">
        <f>HYPERLINK("http://www.weizmann.ac.il/complex/compphys/software/geview/data/figures/203760_s_at.png","Figure")</f>
        <v>Figure</v>
      </c>
      <c r="I3095">
        <v>1.1200000000000001</v>
      </c>
      <c r="J3095">
        <v>0.53</v>
      </c>
      <c r="K3095">
        <v>0.82599999999999996</v>
      </c>
      <c r="L3095">
        <v>0.11</v>
      </c>
      <c r="M3095">
        <v>0.73899999999999999</v>
      </c>
      <c r="N3095">
        <v>1.7999999999999999E-2</v>
      </c>
    </row>
    <row r="3096" spans="1:14" x14ac:dyDescent="0.25">
      <c r="A3096" t="s">
        <v>5691</v>
      </c>
      <c r="B3096" t="s">
        <v>807</v>
      </c>
      <c r="C3096" s="1" t="str">
        <f>HYPERLINK("http://www.genecards.org/cgi-bin/carddisp.pl?gene=IL6ST","GeneCards")</f>
        <v>GeneCards</v>
      </c>
      <c r="D3096" s="1" t="str">
        <f>HYPERLINK("http://genome-euro.ucsc.edu/cgi-bin/hgTracks?position=204864_s_at","UCSC")</f>
        <v>UCSC</v>
      </c>
      <c r="E3096" s="1" t="str">
        <f>HYPERLINK("http://www.ncbi.nlm.nih.gov/gene/?term=IL6ST","NCBI")</f>
        <v>NCBI</v>
      </c>
      <c r="F3096">
        <v>1.7000000000000001E-2</v>
      </c>
      <c r="G3096">
        <v>9.6000000000000002E-2</v>
      </c>
      <c r="H3096" s="1" t="str">
        <f>HYPERLINK("http://www.weizmann.ac.il/complex/compphys/software/geview/data/figures/204864_s_at.png","Figure")</f>
        <v>Figure</v>
      </c>
      <c r="I3096">
        <v>1.05</v>
      </c>
      <c r="J3096">
        <v>0.72</v>
      </c>
      <c r="K3096">
        <v>0.873</v>
      </c>
      <c r="L3096">
        <v>7.5999999999999998E-2</v>
      </c>
      <c r="M3096">
        <v>0.83</v>
      </c>
      <c r="N3096">
        <v>2.1999999999999999E-2</v>
      </c>
    </row>
    <row r="3097" spans="1:14" x14ac:dyDescent="0.25">
      <c r="A3097" t="s">
        <v>5692</v>
      </c>
      <c r="B3097" t="s">
        <v>3445</v>
      </c>
      <c r="C3097" s="1" t="str">
        <f>HYPERLINK("http://www.genecards.org/cgi-bin/carddisp.pl?gene=LSM4","GeneCards")</f>
        <v>GeneCards</v>
      </c>
      <c r="D3097" s="1" t="str">
        <f>HYPERLINK("http://genome-euro.ucsc.edu/cgi-bin/hgTracks?position=212924_s_at","UCSC")</f>
        <v>UCSC</v>
      </c>
      <c r="E3097" s="1" t="str">
        <f>HYPERLINK("http://www.ncbi.nlm.nih.gov/gene/?term=LSM4","NCBI")</f>
        <v>NCBI</v>
      </c>
      <c r="F3097">
        <v>1.7000000000000001E-2</v>
      </c>
      <c r="G3097">
        <v>9.6000000000000002E-2</v>
      </c>
      <c r="H3097" s="1" t="str">
        <f>HYPERLINK("http://www.weizmann.ac.il/complex/compphys/software/geview/data/figures/212924_s_at.png","Figure")</f>
        <v>Figure</v>
      </c>
      <c r="I3097">
        <v>1.25</v>
      </c>
      <c r="J3097">
        <v>1.7999999999999999E-2</v>
      </c>
      <c r="K3097">
        <v>1.17</v>
      </c>
      <c r="L3097">
        <v>6.3E-2</v>
      </c>
      <c r="M3097">
        <v>0.93300000000000005</v>
      </c>
      <c r="N3097">
        <v>0.55000000000000004</v>
      </c>
    </row>
    <row r="3098" spans="1:14" x14ac:dyDescent="0.25">
      <c r="A3098" t="s">
        <v>5693</v>
      </c>
      <c r="B3098" t="s">
        <v>5694</v>
      </c>
      <c r="C3098" s="1" t="str">
        <f>HYPERLINK("http://www.genecards.org/cgi-bin/carddisp.pl?gene=ANKRD2","GeneCards")</f>
        <v>GeneCards</v>
      </c>
      <c r="D3098" s="1" t="str">
        <f>HYPERLINK("http://genome-euro.ucsc.edu/cgi-bin/hgTracks?position=221232_s_at","UCSC")</f>
        <v>UCSC</v>
      </c>
      <c r="E3098" s="1" t="str">
        <f>HYPERLINK("http://www.ncbi.nlm.nih.gov/gene/?term=ANKRD2","NCBI")</f>
        <v>NCBI</v>
      </c>
      <c r="F3098">
        <v>1.7000000000000001E-2</v>
      </c>
      <c r="G3098">
        <v>9.6000000000000002E-2</v>
      </c>
      <c r="H3098" s="1" t="str">
        <f>HYPERLINK("http://www.weizmann.ac.il/complex/compphys/software/geview/data/figures/221232_s_at.png","Figure")</f>
        <v>Figure</v>
      </c>
      <c r="I3098">
        <v>1.1599999999999999</v>
      </c>
      <c r="J3098">
        <v>3.4000000000000002E-2</v>
      </c>
      <c r="K3098">
        <v>1.1399999999999999</v>
      </c>
      <c r="L3098">
        <v>2.7E-2</v>
      </c>
      <c r="M3098">
        <v>0.98699999999999999</v>
      </c>
      <c r="N3098">
        <v>0.96</v>
      </c>
    </row>
    <row r="3099" spans="1:14" x14ac:dyDescent="0.25">
      <c r="A3099" t="s">
        <v>5695</v>
      </c>
      <c r="B3099" t="s">
        <v>5411</v>
      </c>
      <c r="C3099" s="1" t="str">
        <f>HYPERLINK("http://www.genecards.org/cgi-bin/carddisp.pl?gene=PRDM4","GeneCards")</f>
        <v>GeneCards</v>
      </c>
      <c r="D3099" s="1" t="str">
        <f>HYPERLINK("http://genome-euro.ucsc.edu/cgi-bin/hgTracks?position=49485_at","UCSC")</f>
        <v>UCSC</v>
      </c>
      <c r="E3099" s="1" t="str">
        <f>HYPERLINK("http://www.ncbi.nlm.nih.gov/gene/?term=PRDM4","NCBI")</f>
        <v>NCBI</v>
      </c>
      <c r="F3099">
        <v>1.7000000000000001E-2</v>
      </c>
      <c r="G3099">
        <v>9.6000000000000002E-2</v>
      </c>
      <c r="H3099" s="1" t="str">
        <f>HYPERLINK("http://www.weizmann.ac.il/complex/compphys/software/geview/data/figures/49485_at.png","Figure")</f>
        <v>Figure</v>
      </c>
      <c r="I3099">
        <v>1.19</v>
      </c>
      <c r="J3099">
        <v>0.22</v>
      </c>
      <c r="K3099">
        <v>0.871</v>
      </c>
      <c r="L3099">
        <v>0.28999999999999998</v>
      </c>
      <c r="M3099">
        <v>0.73099999999999998</v>
      </c>
      <c r="N3099">
        <v>1.4E-2</v>
      </c>
    </row>
    <row r="3100" spans="1:14" x14ac:dyDescent="0.25">
      <c r="A3100" t="s">
        <v>5696</v>
      </c>
      <c r="B3100" t="s">
        <v>2813</v>
      </c>
      <c r="C3100" s="1" t="str">
        <f>HYPERLINK("http://www.genecards.org/cgi-bin/carddisp.pl?gene=SLC25A36","GeneCards")</f>
        <v>GeneCards</v>
      </c>
      <c r="D3100" s="1" t="str">
        <f>HYPERLINK("http://genome-euro.ucsc.edu/cgi-bin/hgTracks?position=201917_s_at","UCSC")</f>
        <v>UCSC</v>
      </c>
      <c r="E3100" s="1" t="str">
        <f>HYPERLINK("http://www.ncbi.nlm.nih.gov/gene/?term=SLC25A36","NCBI")</f>
        <v>NCBI</v>
      </c>
      <c r="F3100">
        <v>1.7999999999999999E-2</v>
      </c>
      <c r="G3100">
        <v>9.6000000000000002E-2</v>
      </c>
      <c r="H3100" s="1" t="str">
        <f>HYPERLINK("http://www.weizmann.ac.il/complex/compphys/software/geview/data/figures/201917_s_at.png","Figure")</f>
        <v>Figure</v>
      </c>
      <c r="I3100">
        <v>0.92800000000000005</v>
      </c>
      <c r="J3100">
        <v>0.93</v>
      </c>
      <c r="K3100">
        <v>0.56899999999999995</v>
      </c>
      <c r="L3100">
        <v>2.4E-2</v>
      </c>
      <c r="M3100">
        <v>0.61299999999999999</v>
      </c>
      <c r="N3100">
        <v>6.8000000000000005E-2</v>
      </c>
    </row>
    <row r="3101" spans="1:14" x14ac:dyDescent="0.25">
      <c r="A3101" t="s">
        <v>5697</v>
      </c>
      <c r="B3101" t="s">
        <v>2930</v>
      </c>
      <c r="C3101" s="1" t="str">
        <f>HYPERLINK("http://www.genecards.org/cgi-bin/carddisp.pl?gene=ENTPD4","GeneCards")</f>
        <v>GeneCards</v>
      </c>
      <c r="D3101" s="1" t="str">
        <f>HYPERLINK("http://genome-euro.ucsc.edu/cgi-bin/hgTracks?position=204077_x_at","UCSC")</f>
        <v>UCSC</v>
      </c>
      <c r="E3101" s="1" t="str">
        <f>HYPERLINK("http://www.ncbi.nlm.nih.gov/gene/?term=ENTPD4","NCBI")</f>
        <v>NCBI</v>
      </c>
      <c r="F3101">
        <v>1.7999999999999999E-2</v>
      </c>
      <c r="G3101">
        <v>9.6000000000000002E-2</v>
      </c>
      <c r="H3101" s="1" t="str">
        <f>HYPERLINK("http://www.weizmann.ac.il/complex/compphys/software/geview/data/figures/204077_x_at.png","Figure")</f>
        <v>Figure</v>
      </c>
      <c r="I3101">
        <v>0.93200000000000005</v>
      </c>
      <c r="J3101">
        <v>0.94</v>
      </c>
      <c r="K3101">
        <v>0.56499999999999995</v>
      </c>
      <c r="L3101">
        <v>2.4E-2</v>
      </c>
      <c r="M3101">
        <v>0.60699999999999998</v>
      </c>
      <c r="N3101">
        <v>6.6000000000000003E-2</v>
      </c>
    </row>
    <row r="3102" spans="1:14" x14ac:dyDescent="0.25">
      <c r="A3102" t="s">
        <v>5698</v>
      </c>
      <c r="B3102" t="s">
        <v>5699</v>
      </c>
      <c r="C3102" s="1" t="str">
        <f>HYPERLINK("http://www.genecards.org/cgi-bin/carddisp.pl?gene=DCUN1D4","GeneCards")</f>
        <v>GeneCards</v>
      </c>
      <c r="D3102" s="1" t="str">
        <f>HYPERLINK("http://genome-euro.ucsc.edu/cgi-bin/hgTracks?position=212855_at","UCSC")</f>
        <v>UCSC</v>
      </c>
      <c r="E3102" s="1" t="str">
        <f>HYPERLINK("http://www.ncbi.nlm.nih.gov/gene/?term=DCUN1D4","NCBI")</f>
        <v>NCBI</v>
      </c>
      <c r="F3102">
        <v>1.7999999999999999E-2</v>
      </c>
      <c r="G3102">
        <v>9.6000000000000002E-2</v>
      </c>
      <c r="H3102" s="1" t="str">
        <f>HYPERLINK("http://www.weizmann.ac.il/complex/compphys/software/geview/data/figures/212855_at.png","Figure")</f>
        <v>Figure</v>
      </c>
      <c r="I3102">
        <v>0.61499999999999999</v>
      </c>
      <c r="J3102">
        <v>1.7000000000000001E-2</v>
      </c>
      <c r="K3102">
        <v>0.89</v>
      </c>
      <c r="L3102">
        <v>0.66</v>
      </c>
      <c r="M3102">
        <v>1.45</v>
      </c>
      <c r="N3102">
        <v>5.0999999999999997E-2</v>
      </c>
    </row>
    <row r="3103" spans="1:14" x14ac:dyDescent="0.25">
      <c r="A3103" t="s">
        <v>5700</v>
      </c>
      <c r="B3103" t="s">
        <v>2545</v>
      </c>
      <c r="C3103" s="1" t="str">
        <f>HYPERLINK("http://www.genecards.org/cgi-bin/carddisp.pl?gene=SRRT","GeneCards")</f>
        <v>GeneCards</v>
      </c>
      <c r="D3103" s="1" t="str">
        <f>HYPERLINK("http://genome-euro.ucsc.edu/cgi-bin/hgTracks?position=222046_at","UCSC")</f>
        <v>UCSC</v>
      </c>
      <c r="E3103" s="1" t="str">
        <f>HYPERLINK("http://www.ncbi.nlm.nih.gov/gene/?term=SRRT","NCBI")</f>
        <v>NCBI</v>
      </c>
      <c r="F3103">
        <v>1.7000000000000001E-2</v>
      </c>
      <c r="G3103">
        <v>9.6000000000000002E-2</v>
      </c>
      <c r="H3103" s="1" t="str">
        <f>HYPERLINK("http://www.weizmann.ac.il/complex/compphys/software/geview/data/figures/222046_at.png","Figure")</f>
        <v>Figure</v>
      </c>
      <c r="I3103">
        <v>1.37</v>
      </c>
      <c r="J3103">
        <v>2.1999999999999999E-2</v>
      </c>
      <c r="K3103">
        <v>1.04</v>
      </c>
      <c r="L3103">
        <v>0.89</v>
      </c>
      <c r="M3103">
        <v>0.76200000000000001</v>
      </c>
      <c r="N3103">
        <v>3.2000000000000001E-2</v>
      </c>
    </row>
    <row r="3104" spans="1:14" x14ac:dyDescent="0.25">
      <c r="A3104" t="s">
        <v>5701</v>
      </c>
      <c r="B3104" t="s">
        <v>5702</v>
      </c>
      <c r="C3104" s="1" t="str">
        <f>HYPERLINK("http://www.genecards.org/cgi-bin/carddisp.pl?gene=USP14","GeneCards")</f>
        <v>GeneCards</v>
      </c>
      <c r="D3104" s="1" t="str">
        <f>HYPERLINK("http://genome-euro.ucsc.edu/cgi-bin/hgTracks?position=201671_x_at","UCSC")</f>
        <v>UCSC</v>
      </c>
      <c r="E3104" s="1" t="str">
        <f>HYPERLINK("http://www.ncbi.nlm.nih.gov/gene/?term=USP14","NCBI")</f>
        <v>NCBI</v>
      </c>
      <c r="F3104">
        <v>1.7999999999999999E-2</v>
      </c>
      <c r="G3104">
        <v>9.6000000000000002E-2</v>
      </c>
      <c r="H3104" s="1" t="str">
        <f>HYPERLINK("http://www.weizmann.ac.il/complex/compphys/software/geview/data/figures/201671_x_at.png","Figure")</f>
        <v>Figure</v>
      </c>
      <c r="I3104">
        <v>0.51900000000000002</v>
      </c>
      <c r="J3104">
        <v>6.8000000000000005E-2</v>
      </c>
      <c r="K3104">
        <v>0.47699999999999998</v>
      </c>
      <c r="L3104">
        <v>1.7999999999999999E-2</v>
      </c>
      <c r="M3104">
        <v>0.91800000000000004</v>
      </c>
      <c r="N3104">
        <v>0.94</v>
      </c>
    </row>
    <row r="3105" spans="1:14" x14ac:dyDescent="0.25">
      <c r="A3105" t="s">
        <v>5703</v>
      </c>
      <c r="B3105" t="s">
        <v>5704</v>
      </c>
      <c r="C3105" s="1" t="str">
        <f>HYPERLINK("http://www.genecards.org/cgi-bin/carddisp.pl?gene=RNASE6","GeneCards")</f>
        <v>GeneCards</v>
      </c>
      <c r="D3105" s="1" t="str">
        <f>HYPERLINK("http://genome-euro.ucsc.edu/cgi-bin/hgTracks?position=213566_at","UCSC")</f>
        <v>UCSC</v>
      </c>
      <c r="E3105" s="1" t="str">
        <f>HYPERLINK("http://www.ncbi.nlm.nih.gov/gene/?term=RNASE6","NCBI")</f>
        <v>NCBI</v>
      </c>
      <c r="F3105">
        <v>1.7999999999999999E-2</v>
      </c>
      <c r="G3105">
        <v>9.6000000000000002E-2</v>
      </c>
      <c r="H3105" s="1" t="str">
        <f>HYPERLINK("http://www.weizmann.ac.il/complex/compphys/software/geview/data/figures/213566_at.png","Figure")</f>
        <v>Figure</v>
      </c>
      <c r="I3105">
        <v>0.66200000000000003</v>
      </c>
      <c r="J3105">
        <v>1.4999999999999999E-2</v>
      </c>
      <c r="K3105">
        <v>0.88600000000000001</v>
      </c>
      <c r="L3105">
        <v>0.53</v>
      </c>
      <c r="M3105">
        <v>1.34</v>
      </c>
      <c r="N3105">
        <v>6.6000000000000003E-2</v>
      </c>
    </row>
    <row r="3106" spans="1:14" x14ac:dyDescent="0.25">
      <c r="A3106" t="s">
        <v>5705</v>
      </c>
      <c r="B3106" t="s">
        <v>1359</v>
      </c>
      <c r="C3106" s="1" t="str">
        <f>HYPERLINK("http://www.genecards.org/cgi-bin/carddisp.pl?gene=ENOSF1","GeneCards")</f>
        <v>GeneCards</v>
      </c>
      <c r="D3106" s="1" t="str">
        <f>HYPERLINK("http://genome-euro.ucsc.edu/cgi-bin/hgTracks?position=204143_s_at","UCSC")</f>
        <v>UCSC</v>
      </c>
      <c r="E3106" s="1" t="str">
        <f>HYPERLINK("http://www.ncbi.nlm.nih.gov/gene/?term=ENOSF1","NCBI")</f>
        <v>NCBI</v>
      </c>
      <c r="F3106">
        <v>1.7999999999999999E-2</v>
      </c>
      <c r="G3106">
        <v>9.6000000000000002E-2</v>
      </c>
      <c r="H3106" s="1" t="str">
        <f>HYPERLINK("http://www.weizmann.ac.il/complex/compphys/software/geview/data/figures/204143_s_at.png","Figure")</f>
        <v>Figure</v>
      </c>
      <c r="I3106">
        <v>0.442</v>
      </c>
      <c r="J3106">
        <v>3.3000000000000002E-2</v>
      </c>
      <c r="K3106">
        <v>0.48199999999999998</v>
      </c>
      <c r="L3106">
        <v>2.9000000000000001E-2</v>
      </c>
      <c r="M3106">
        <v>1.0900000000000001</v>
      </c>
      <c r="N3106">
        <v>0.94</v>
      </c>
    </row>
    <row r="3107" spans="1:14" x14ac:dyDescent="0.25">
      <c r="A3107" t="s">
        <v>5706</v>
      </c>
      <c r="B3107" t="s">
        <v>5707</v>
      </c>
      <c r="C3107" s="1" t="str">
        <f>HYPERLINK("http://www.genecards.org/cgi-bin/carddisp.pl?gene=TRAM1","GeneCards")</f>
        <v>GeneCards</v>
      </c>
      <c r="D3107" s="1" t="str">
        <f>HYPERLINK("http://genome-euro.ucsc.edu/cgi-bin/hgTracks?position=201399_s_at","UCSC")</f>
        <v>UCSC</v>
      </c>
      <c r="E3107" s="1" t="str">
        <f>HYPERLINK("http://www.ncbi.nlm.nih.gov/gene/?term=TRAM1","NCBI")</f>
        <v>NCBI</v>
      </c>
      <c r="F3107">
        <v>1.7999999999999999E-2</v>
      </c>
      <c r="G3107">
        <v>9.6000000000000002E-2</v>
      </c>
      <c r="H3107" s="1" t="str">
        <f>HYPERLINK("http://www.weizmann.ac.il/complex/compphys/software/geview/data/figures/201399_s_at.png","Figure")</f>
        <v>Figure</v>
      </c>
      <c r="I3107">
        <v>0.748</v>
      </c>
      <c r="J3107">
        <v>0.38</v>
      </c>
      <c r="K3107">
        <v>0.54</v>
      </c>
      <c r="L3107">
        <v>1.4E-2</v>
      </c>
      <c r="M3107">
        <v>0.72299999999999998</v>
      </c>
      <c r="N3107">
        <v>0.26</v>
      </c>
    </row>
    <row r="3108" spans="1:14" x14ac:dyDescent="0.25">
      <c r="A3108" t="s">
        <v>5708</v>
      </c>
      <c r="B3108" t="s">
        <v>5709</v>
      </c>
      <c r="C3108" s="1" t="str">
        <f>HYPERLINK("http://www.genecards.org/cgi-bin/carddisp.pl?gene=CDH3","GeneCards")</f>
        <v>GeneCards</v>
      </c>
      <c r="D3108" s="1" t="str">
        <f>HYPERLINK("http://genome-euro.ucsc.edu/cgi-bin/hgTracks?position=203256_at","UCSC")</f>
        <v>UCSC</v>
      </c>
      <c r="E3108" s="1" t="str">
        <f>HYPERLINK("http://www.ncbi.nlm.nih.gov/gene/?term=CDH3","NCBI")</f>
        <v>NCBI</v>
      </c>
      <c r="F3108">
        <v>1.7999999999999999E-2</v>
      </c>
      <c r="G3108">
        <v>9.6000000000000002E-2</v>
      </c>
      <c r="H3108" s="1" t="str">
        <f>HYPERLINK("http://www.weizmann.ac.il/complex/compphys/software/geview/data/figures/203256_at.png","Figure")</f>
        <v>Figure</v>
      </c>
      <c r="I3108">
        <v>1.01</v>
      </c>
      <c r="J3108">
        <v>0.97</v>
      </c>
      <c r="K3108">
        <v>0.88200000000000001</v>
      </c>
      <c r="L3108">
        <v>4.1000000000000002E-2</v>
      </c>
      <c r="M3108">
        <v>0.871</v>
      </c>
      <c r="N3108">
        <v>3.5999999999999997E-2</v>
      </c>
    </row>
    <row r="3109" spans="1:14" x14ac:dyDescent="0.25">
      <c r="A3109" t="s">
        <v>5710</v>
      </c>
      <c r="B3109" t="s">
        <v>5458</v>
      </c>
      <c r="C3109" s="1" t="str">
        <f>HYPERLINK("http://www.genecards.org/cgi-bin/carddisp.pl?gene=DKC1","GeneCards")</f>
        <v>GeneCards</v>
      </c>
      <c r="D3109" s="1" t="str">
        <f>HYPERLINK("http://genome-euro.ucsc.edu/cgi-bin/hgTracks?position=216212_s_at","UCSC")</f>
        <v>UCSC</v>
      </c>
      <c r="E3109" s="1" t="str">
        <f>HYPERLINK("http://www.ncbi.nlm.nih.gov/gene/?term=DKC1","NCBI")</f>
        <v>NCBI</v>
      </c>
      <c r="F3109">
        <v>1.7999999999999999E-2</v>
      </c>
      <c r="G3109">
        <v>9.6000000000000002E-2</v>
      </c>
      <c r="H3109" s="1" t="str">
        <f>HYPERLINK("http://www.weizmann.ac.il/complex/compphys/software/geview/data/figures/216212_s_at.png","Figure")</f>
        <v>Figure</v>
      </c>
      <c r="I3109">
        <v>0.96499999999999997</v>
      </c>
      <c r="J3109">
        <v>0.97</v>
      </c>
      <c r="K3109">
        <v>1.41</v>
      </c>
      <c r="L3109">
        <v>4.1000000000000002E-2</v>
      </c>
      <c r="M3109">
        <v>1.46</v>
      </c>
      <c r="N3109">
        <v>3.5000000000000003E-2</v>
      </c>
    </row>
    <row r="3110" spans="1:14" x14ac:dyDescent="0.25">
      <c r="A3110" t="s">
        <v>5711</v>
      </c>
      <c r="B3110" t="s">
        <v>5712</v>
      </c>
      <c r="C3110" s="1" t="str">
        <f>HYPERLINK("http://www.genecards.org/cgi-bin/carddisp.pl?gene=BOP1 /// LOC727967","GeneCards")</f>
        <v>GeneCards</v>
      </c>
      <c r="D3110" s="1" t="str">
        <f>HYPERLINK("http://genome-euro.ucsc.edu/cgi-bin/hgTracks?position=212563_at","UCSC")</f>
        <v>UCSC</v>
      </c>
      <c r="E3110" s="1" t="str">
        <f>HYPERLINK("http://www.ncbi.nlm.nih.gov/gene/?term=BOP1 /// LOC727967","NCBI")</f>
        <v>NCBI</v>
      </c>
      <c r="F3110">
        <v>1.7999999999999999E-2</v>
      </c>
      <c r="G3110">
        <v>9.6000000000000002E-2</v>
      </c>
      <c r="H3110" s="1" t="str">
        <f>HYPERLINK("http://www.weizmann.ac.il/complex/compphys/software/geview/data/figures/212563_at.png","Figure")</f>
        <v>Figure</v>
      </c>
      <c r="I3110">
        <v>0.81799999999999995</v>
      </c>
      <c r="J3110">
        <v>0.51</v>
      </c>
      <c r="K3110">
        <v>1.39</v>
      </c>
      <c r="L3110">
        <v>0.12</v>
      </c>
      <c r="M3110">
        <v>1.7</v>
      </c>
      <c r="N3110">
        <v>1.7999999999999999E-2</v>
      </c>
    </row>
    <row r="3111" spans="1:14" x14ac:dyDescent="0.25">
      <c r="A3111" t="s">
        <v>5713</v>
      </c>
      <c r="B3111" t="s">
        <v>5714</v>
      </c>
      <c r="C3111" s="1" t="str">
        <f>HYPERLINK("http://www.genecards.org/cgi-bin/carddisp.pl?gene=CELSR2","GeneCards")</f>
        <v>GeneCards</v>
      </c>
      <c r="D3111" s="1" t="str">
        <f>HYPERLINK("http://genome-euro.ucsc.edu/cgi-bin/hgTracks?position=36499_at","UCSC")</f>
        <v>UCSC</v>
      </c>
      <c r="E3111" s="1" t="str">
        <f>HYPERLINK("http://www.ncbi.nlm.nih.gov/gene/?term=CELSR2","NCBI")</f>
        <v>NCBI</v>
      </c>
      <c r="F3111">
        <v>1.7999999999999999E-2</v>
      </c>
      <c r="G3111">
        <v>9.6000000000000002E-2</v>
      </c>
      <c r="H3111" s="1" t="str">
        <f>HYPERLINK("http://www.weizmann.ac.il/complex/compphys/software/geview/data/figures/36499_at.png","Figure")</f>
        <v>Figure</v>
      </c>
      <c r="I3111">
        <v>1.3</v>
      </c>
      <c r="J3111">
        <v>1.4999999999999999E-2</v>
      </c>
      <c r="K3111">
        <v>1.17</v>
      </c>
      <c r="L3111">
        <v>0.1</v>
      </c>
      <c r="M3111">
        <v>0.89800000000000002</v>
      </c>
      <c r="N3111">
        <v>0.36</v>
      </c>
    </row>
    <row r="3112" spans="1:14" x14ac:dyDescent="0.25">
      <c r="A3112" t="s">
        <v>5715</v>
      </c>
      <c r="B3112" t="s">
        <v>5716</v>
      </c>
      <c r="C3112" s="1" t="str">
        <f>HYPERLINK("http://www.genecards.org/cgi-bin/carddisp.pl?gene=CEACAM21","GeneCards")</f>
        <v>GeneCards</v>
      </c>
      <c r="D3112" s="1" t="str">
        <f>HYPERLINK("http://genome-euro.ucsc.edu/cgi-bin/hgTracks?position=216605_s_at","UCSC")</f>
        <v>UCSC</v>
      </c>
      <c r="E3112" s="1" t="str">
        <f>HYPERLINK("http://www.ncbi.nlm.nih.gov/gene/?term=CEACAM21","NCBI")</f>
        <v>NCBI</v>
      </c>
      <c r="F3112">
        <v>1.7999999999999999E-2</v>
      </c>
      <c r="G3112">
        <v>9.6000000000000002E-2</v>
      </c>
      <c r="H3112" s="1" t="str">
        <f>HYPERLINK("http://www.weizmann.ac.il/complex/compphys/software/geview/data/figures/216605_s_at.png","Figure")</f>
        <v>Figure</v>
      </c>
      <c r="I3112">
        <v>1.19</v>
      </c>
      <c r="J3112">
        <v>1.4E-2</v>
      </c>
      <c r="K3112">
        <v>1.07</v>
      </c>
      <c r="L3112">
        <v>0.36</v>
      </c>
      <c r="M3112">
        <v>0.89500000000000002</v>
      </c>
      <c r="N3112">
        <v>0.1</v>
      </c>
    </row>
    <row r="3113" spans="1:14" x14ac:dyDescent="0.25">
      <c r="A3113" t="s">
        <v>5717</v>
      </c>
      <c r="B3113" t="s">
        <v>5718</v>
      </c>
      <c r="C3113" s="1" t="str">
        <f>HYPERLINK("http://www.genecards.org/cgi-bin/carddisp.pl?gene=B4GALT5","GeneCards")</f>
        <v>GeneCards</v>
      </c>
      <c r="D3113" s="1" t="str">
        <f>HYPERLINK("http://genome-euro.ucsc.edu/cgi-bin/hgTracks?position=221485_at","UCSC")</f>
        <v>UCSC</v>
      </c>
      <c r="E3113" s="1" t="str">
        <f>HYPERLINK("http://www.ncbi.nlm.nih.gov/gene/?term=B4GALT5","NCBI")</f>
        <v>NCBI</v>
      </c>
      <c r="F3113">
        <v>1.7999999999999999E-2</v>
      </c>
      <c r="G3113">
        <v>9.6000000000000002E-2</v>
      </c>
      <c r="H3113" s="1" t="str">
        <f>HYPERLINK("http://www.weizmann.ac.il/complex/compphys/software/geview/data/figures/221485_at.png","Figure")</f>
        <v>Figure</v>
      </c>
      <c r="I3113">
        <v>0.67300000000000004</v>
      </c>
      <c r="J3113">
        <v>1.9E-2</v>
      </c>
      <c r="K3113">
        <v>0.92600000000000005</v>
      </c>
      <c r="L3113">
        <v>0.76</v>
      </c>
      <c r="M3113">
        <v>1.38</v>
      </c>
      <c r="N3113">
        <v>4.2000000000000003E-2</v>
      </c>
    </row>
    <row r="3114" spans="1:14" x14ac:dyDescent="0.25">
      <c r="A3114" t="s">
        <v>5719</v>
      </c>
      <c r="B3114" t="s">
        <v>5720</v>
      </c>
      <c r="C3114" s="1" t="str">
        <f>HYPERLINK("http://www.genecards.org/cgi-bin/carddisp.pl?gene=CXorf40A /// CXorf40B","GeneCards")</f>
        <v>GeneCards</v>
      </c>
      <c r="D3114" s="1" t="str">
        <f>HYPERLINK("http://genome-euro.ucsc.edu/cgi-bin/hgTracks?position=214112_s_at","UCSC")</f>
        <v>UCSC</v>
      </c>
      <c r="E3114" s="1" t="str">
        <f>HYPERLINK("http://www.ncbi.nlm.nih.gov/gene/?term=CXorf40A /// CXorf40B","NCBI")</f>
        <v>NCBI</v>
      </c>
      <c r="F3114">
        <v>1.7999999999999999E-2</v>
      </c>
      <c r="G3114">
        <v>9.6000000000000002E-2</v>
      </c>
      <c r="H3114" s="1" t="str">
        <f>HYPERLINK("http://www.weizmann.ac.il/complex/compphys/software/geview/data/figures/214112_s_at.png","Figure")</f>
        <v>Figure</v>
      </c>
      <c r="I3114">
        <v>0.77500000000000002</v>
      </c>
      <c r="J3114">
        <v>0.25</v>
      </c>
      <c r="K3114">
        <v>0.64300000000000002</v>
      </c>
      <c r="L3114">
        <v>1.4E-2</v>
      </c>
      <c r="M3114">
        <v>0.83</v>
      </c>
      <c r="N3114">
        <v>0.41</v>
      </c>
    </row>
    <row r="3115" spans="1:14" x14ac:dyDescent="0.25">
      <c r="A3115" t="s">
        <v>5721</v>
      </c>
      <c r="B3115" t="s">
        <v>5722</v>
      </c>
      <c r="C3115" s="1" t="str">
        <f>HYPERLINK("http://www.genecards.org/cgi-bin/carddisp.pl?gene=ZSWIM1","GeneCards")</f>
        <v>GeneCards</v>
      </c>
      <c r="D3115" s="1" t="str">
        <f>HYPERLINK("http://genome-euro.ucsc.edu/cgi-bin/hgTracks?position=217592_at","UCSC")</f>
        <v>UCSC</v>
      </c>
      <c r="E3115" s="1" t="str">
        <f>HYPERLINK("http://www.ncbi.nlm.nih.gov/gene/?term=ZSWIM1","NCBI")</f>
        <v>NCBI</v>
      </c>
      <c r="F3115">
        <v>1.7999999999999999E-2</v>
      </c>
      <c r="G3115">
        <v>9.6000000000000002E-2</v>
      </c>
      <c r="H3115" s="1" t="str">
        <f>HYPERLINK("http://www.weizmann.ac.il/complex/compphys/software/geview/data/figures/217592_at.png","Figure")</f>
        <v>Figure</v>
      </c>
      <c r="I3115">
        <v>1.22</v>
      </c>
      <c r="J3115">
        <v>1.4E-2</v>
      </c>
      <c r="K3115">
        <v>1.1100000000000001</v>
      </c>
      <c r="L3115">
        <v>0.18</v>
      </c>
      <c r="M3115">
        <v>0.90400000000000003</v>
      </c>
      <c r="N3115">
        <v>0.21</v>
      </c>
    </row>
    <row r="3116" spans="1:14" x14ac:dyDescent="0.25">
      <c r="A3116" t="s">
        <v>5723</v>
      </c>
      <c r="B3116" t="s">
        <v>5724</v>
      </c>
      <c r="C3116" s="1" t="str">
        <f>HYPERLINK("http://www.genecards.org/cgi-bin/carddisp.pl?gene=NFU1","GeneCards")</f>
        <v>GeneCards</v>
      </c>
      <c r="D3116" s="1" t="str">
        <f>HYPERLINK("http://genome-euro.ucsc.edu/cgi-bin/hgTracks?position=218946_at","UCSC")</f>
        <v>UCSC</v>
      </c>
      <c r="E3116" s="1" t="str">
        <f>HYPERLINK("http://www.ncbi.nlm.nih.gov/gene/?term=NFU1","NCBI")</f>
        <v>NCBI</v>
      </c>
      <c r="F3116">
        <v>1.7999999999999999E-2</v>
      </c>
      <c r="G3116">
        <v>9.6000000000000002E-2</v>
      </c>
      <c r="H3116" s="1" t="str">
        <f>HYPERLINK("http://www.weizmann.ac.il/complex/compphys/software/geview/data/figures/218946_at.png","Figure")</f>
        <v>Figure</v>
      </c>
      <c r="I3116">
        <v>0.53600000000000003</v>
      </c>
      <c r="J3116">
        <v>3.4000000000000002E-2</v>
      </c>
      <c r="K3116">
        <v>1.01</v>
      </c>
      <c r="L3116">
        <v>1</v>
      </c>
      <c r="M3116">
        <v>1.88</v>
      </c>
      <c r="N3116">
        <v>2.1999999999999999E-2</v>
      </c>
    </row>
    <row r="3117" spans="1:14" x14ac:dyDescent="0.25">
      <c r="A3117" t="s">
        <v>5725</v>
      </c>
      <c r="B3117" t="s">
        <v>5726</v>
      </c>
      <c r="C3117" s="1" t="str">
        <f>HYPERLINK("http://www.genecards.org/cgi-bin/carddisp.pl?gene=CARHSP1","GeneCards")</f>
        <v>GeneCards</v>
      </c>
      <c r="D3117" s="1" t="str">
        <f>HYPERLINK("http://genome-euro.ucsc.edu/cgi-bin/hgTracks?position=218384_at","UCSC")</f>
        <v>UCSC</v>
      </c>
      <c r="E3117" s="1" t="str">
        <f>HYPERLINK("http://www.ncbi.nlm.nih.gov/gene/?term=CARHSP1","NCBI")</f>
        <v>NCBI</v>
      </c>
      <c r="F3117">
        <v>1.7999999999999999E-2</v>
      </c>
      <c r="G3117">
        <v>9.6000000000000002E-2</v>
      </c>
      <c r="H3117" s="1" t="str">
        <f>HYPERLINK("http://www.weizmann.ac.il/complex/compphys/software/geview/data/figures/218384_at.png","Figure")</f>
        <v>Figure</v>
      </c>
      <c r="I3117">
        <v>1.54</v>
      </c>
      <c r="J3117">
        <v>2.7E-2</v>
      </c>
      <c r="K3117">
        <v>1.43</v>
      </c>
      <c r="L3117">
        <v>3.5999999999999997E-2</v>
      </c>
      <c r="M3117">
        <v>0.92800000000000005</v>
      </c>
      <c r="N3117">
        <v>0.85</v>
      </c>
    </row>
    <row r="3118" spans="1:14" x14ac:dyDescent="0.25">
      <c r="A3118" t="s">
        <v>5727</v>
      </c>
      <c r="B3118" t="s">
        <v>5728</v>
      </c>
      <c r="C3118" s="1" t="str">
        <f>HYPERLINK("http://www.genecards.org/cgi-bin/carddisp.pl?gene=PSMC3IP","GeneCards")</f>
        <v>GeneCards</v>
      </c>
      <c r="D3118" s="1" t="str">
        <f>HYPERLINK("http://genome-euro.ucsc.edu/cgi-bin/hgTracks?position=205956_x_at","UCSC")</f>
        <v>UCSC</v>
      </c>
      <c r="E3118" s="1" t="str">
        <f>HYPERLINK("http://www.ncbi.nlm.nih.gov/gene/?term=PSMC3IP","NCBI")</f>
        <v>NCBI</v>
      </c>
      <c r="F3118">
        <v>1.7999999999999999E-2</v>
      </c>
      <c r="G3118">
        <v>9.6000000000000002E-2</v>
      </c>
      <c r="H3118" s="1" t="str">
        <f>HYPERLINK("http://www.weizmann.ac.il/complex/compphys/software/geview/data/figures/205956_x_at.png","Figure")</f>
        <v>Figure</v>
      </c>
      <c r="I3118">
        <v>1.4</v>
      </c>
      <c r="J3118">
        <v>1.4E-2</v>
      </c>
      <c r="K3118">
        <v>1.1399999999999999</v>
      </c>
      <c r="L3118">
        <v>0.33</v>
      </c>
      <c r="M3118">
        <v>0.81299999999999994</v>
      </c>
      <c r="N3118">
        <v>0.11</v>
      </c>
    </row>
    <row r="3119" spans="1:14" x14ac:dyDescent="0.25">
      <c r="A3119" t="s">
        <v>5729</v>
      </c>
      <c r="B3119" t="s">
        <v>5730</v>
      </c>
      <c r="C3119" s="1" t="str">
        <f>HYPERLINK("http://www.genecards.org/cgi-bin/carddisp.pl?gene=CAV3","GeneCards")</f>
        <v>GeneCards</v>
      </c>
      <c r="D3119" s="1" t="str">
        <f>HYPERLINK("http://genome-euro.ucsc.edu/cgi-bin/hgTracks?position=208204_s_at","UCSC")</f>
        <v>UCSC</v>
      </c>
      <c r="E3119" s="1" t="str">
        <f>HYPERLINK("http://www.ncbi.nlm.nih.gov/gene/?term=CAV3","NCBI")</f>
        <v>NCBI</v>
      </c>
      <c r="F3119">
        <v>1.7999999999999999E-2</v>
      </c>
      <c r="G3119">
        <v>9.6000000000000002E-2</v>
      </c>
      <c r="H3119" s="1" t="str">
        <f>HYPERLINK("http://www.weizmann.ac.il/complex/compphys/software/geview/data/figures/208204_s_at.png","Figure")</f>
        <v>Figure</v>
      </c>
      <c r="I3119">
        <v>1.41</v>
      </c>
      <c r="J3119">
        <v>1.4E-2</v>
      </c>
      <c r="K3119">
        <v>1.1399999999999999</v>
      </c>
      <c r="L3119">
        <v>0.35</v>
      </c>
      <c r="M3119">
        <v>0.80500000000000005</v>
      </c>
      <c r="N3119">
        <v>0.1</v>
      </c>
    </row>
    <row r="3120" spans="1:14" x14ac:dyDescent="0.25">
      <c r="A3120" t="s">
        <v>5731</v>
      </c>
      <c r="B3120" t="s">
        <v>5732</v>
      </c>
      <c r="C3120" s="1" t="str">
        <f>HYPERLINK("http://www.genecards.org/cgi-bin/carddisp.pl?gene=PPP2CA","GeneCards")</f>
        <v>GeneCards</v>
      </c>
      <c r="D3120" s="1" t="str">
        <f>HYPERLINK("http://genome-euro.ucsc.edu/cgi-bin/hgTracks?position=208652_at","UCSC")</f>
        <v>UCSC</v>
      </c>
      <c r="E3120" s="1" t="str">
        <f>HYPERLINK("http://www.ncbi.nlm.nih.gov/gene/?term=PPP2CA","NCBI")</f>
        <v>NCBI</v>
      </c>
      <c r="F3120">
        <v>1.7999999999999999E-2</v>
      </c>
      <c r="G3120">
        <v>9.6000000000000002E-2</v>
      </c>
      <c r="H3120" s="1" t="str">
        <f>HYPERLINK("http://www.weizmann.ac.il/complex/compphys/software/geview/data/figures/208652_at.png","Figure")</f>
        <v>Figure</v>
      </c>
      <c r="I3120">
        <v>0.74199999999999999</v>
      </c>
      <c r="J3120">
        <v>0.23</v>
      </c>
      <c r="K3120">
        <v>0.60399999999999998</v>
      </c>
      <c r="L3120">
        <v>1.4E-2</v>
      </c>
      <c r="M3120">
        <v>0.81399999999999995</v>
      </c>
      <c r="N3120">
        <v>0.43</v>
      </c>
    </row>
    <row r="3121" spans="1:14" x14ac:dyDescent="0.25">
      <c r="A3121" t="s">
        <v>5733</v>
      </c>
      <c r="B3121" t="s">
        <v>5734</v>
      </c>
      <c r="C3121" s="1" t="str">
        <f>HYPERLINK("http://www.genecards.org/cgi-bin/carddisp.pl?gene=RPS11","GeneCards")</f>
        <v>GeneCards</v>
      </c>
      <c r="D3121" s="1" t="str">
        <f>HYPERLINK("http://genome-euro.ucsc.edu/cgi-bin/hgTracks?position=213350_at","UCSC")</f>
        <v>UCSC</v>
      </c>
      <c r="E3121" s="1" t="str">
        <f>HYPERLINK("http://www.ncbi.nlm.nih.gov/gene/?term=RPS11","NCBI")</f>
        <v>NCBI</v>
      </c>
      <c r="F3121">
        <v>1.7999999999999999E-2</v>
      </c>
      <c r="G3121">
        <v>9.6000000000000002E-2</v>
      </c>
      <c r="H3121" s="1" t="str">
        <f>HYPERLINK("http://www.weizmann.ac.il/complex/compphys/software/geview/data/figures/213350_at.png","Figure")</f>
        <v>Figure</v>
      </c>
      <c r="I3121">
        <v>6.69</v>
      </c>
      <c r="J3121">
        <v>1.7999999999999999E-2</v>
      </c>
      <c r="K3121">
        <v>3.6</v>
      </c>
      <c r="L3121">
        <v>6.8000000000000005E-2</v>
      </c>
      <c r="M3121">
        <v>0.53800000000000003</v>
      </c>
      <c r="N3121">
        <v>0.52</v>
      </c>
    </row>
    <row r="3122" spans="1:14" x14ac:dyDescent="0.25">
      <c r="A3122" t="s">
        <v>5735</v>
      </c>
      <c r="B3122" t="s">
        <v>5736</v>
      </c>
      <c r="C3122" s="1" t="str">
        <f>HYPERLINK("http://www.genecards.org/cgi-bin/carddisp.pl?gene=SLC35E1","GeneCards")</f>
        <v>GeneCards</v>
      </c>
      <c r="D3122" s="1" t="str">
        <f>HYPERLINK("http://genome-euro.ucsc.edu/cgi-bin/hgTracks?position=79005_at","UCSC")</f>
        <v>UCSC</v>
      </c>
      <c r="E3122" s="1" t="str">
        <f>HYPERLINK("http://www.ncbi.nlm.nih.gov/gene/?term=SLC35E1","NCBI")</f>
        <v>NCBI</v>
      </c>
      <c r="F3122">
        <v>1.7999999999999999E-2</v>
      </c>
      <c r="G3122">
        <v>9.6000000000000002E-2</v>
      </c>
      <c r="H3122" s="1" t="str">
        <f>HYPERLINK("http://www.weizmann.ac.il/complex/compphys/software/geview/data/figures/79005_at.png","Figure")</f>
        <v>Figure</v>
      </c>
      <c r="I3122">
        <v>0.88800000000000001</v>
      </c>
      <c r="J3122">
        <v>0.45</v>
      </c>
      <c r="K3122">
        <v>0.76</v>
      </c>
      <c r="L3122">
        <v>1.4999999999999999E-2</v>
      </c>
      <c r="M3122">
        <v>0.85499999999999998</v>
      </c>
      <c r="N3122">
        <v>0.22</v>
      </c>
    </row>
    <row r="3123" spans="1:14" x14ac:dyDescent="0.25">
      <c r="A3123" t="s">
        <v>5737</v>
      </c>
      <c r="B3123" t="s">
        <v>3314</v>
      </c>
      <c r="C3123" s="1" t="str">
        <f>HYPERLINK("http://www.genecards.org/cgi-bin/carddisp.pl?gene=SREBF2","GeneCards")</f>
        <v>GeneCards</v>
      </c>
      <c r="D3123" s="1" t="str">
        <f>HYPERLINK("http://genome-euro.ucsc.edu/cgi-bin/hgTracks?position=201248_s_at","UCSC")</f>
        <v>UCSC</v>
      </c>
      <c r="E3123" s="1" t="str">
        <f>HYPERLINK("http://www.ncbi.nlm.nih.gov/gene/?term=SREBF2","NCBI")</f>
        <v>NCBI</v>
      </c>
      <c r="F3123">
        <v>1.7999999999999999E-2</v>
      </c>
      <c r="G3123">
        <v>9.6000000000000002E-2</v>
      </c>
      <c r="H3123" s="1" t="str">
        <f>HYPERLINK("http://www.weizmann.ac.il/complex/compphys/software/geview/data/figures/201248_s_at.png","Figure")</f>
        <v>Figure</v>
      </c>
      <c r="I3123">
        <v>1.17</v>
      </c>
      <c r="J3123">
        <v>0.19</v>
      </c>
      <c r="K3123">
        <v>0.89900000000000002</v>
      </c>
      <c r="L3123">
        <v>0.35</v>
      </c>
      <c r="M3123">
        <v>0.76700000000000002</v>
      </c>
      <c r="N3123">
        <v>1.4E-2</v>
      </c>
    </row>
    <row r="3124" spans="1:14" x14ac:dyDescent="0.25">
      <c r="A3124" t="s">
        <v>5738</v>
      </c>
      <c r="B3124" t="s">
        <v>5739</v>
      </c>
      <c r="C3124" s="1" t="str">
        <f>HYPERLINK("http://www.genecards.org/cgi-bin/carddisp.pl?gene=MYO7A","GeneCards")</f>
        <v>GeneCards</v>
      </c>
      <c r="D3124" s="1" t="str">
        <f>HYPERLINK("http://genome-euro.ucsc.edu/cgi-bin/hgTracks?position=208189_s_at","UCSC")</f>
        <v>UCSC</v>
      </c>
      <c r="E3124" s="1" t="str">
        <f>HYPERLINK("http://www.ncbi.nlm.nih.gov/gene/?term=MYO7A","NCBI")</f>
        <v>NCBI</v>
      </c>
      <c r="F3124">
        <v>1.7999999999999999E-2</v>
      </c>
      <c r="G3124">
        <v>9.6000000000000002E-2</v>
      </c>
      <c r="H3124" s="1" t="str">
        <f>HYPERLINK("http://www.weizmann.ac.il/complex/compphys/software/geview/data/figures/208189_s_at.png","Figure")</f>
        <v>Figure</v>
      </c>
      <c r="I3124">
        <v>1.18</v>
      </c>
      <c r="J3124">
        <v>0.12</v>
      </c>
      <c r="K3124">
        <v>0.92700000000000005</v>
      </c>
      <c r="L3124">
        <v>0.51</v>
      </c>
      <c r="M3124">
        <v>0.78800000000000003</v>
      </c>
      <c r="N3124">
        <v>1.4E-2</v>
      </c>
    </row>
    <row r="3125" spans="1:14" x14ac:dyDescent="0.25">
      <c r="A3125" t="s">
        <v>5740</v>
      </c>
      <c r="B3125" t="s">
        <v>1012</v>
      </c>
      <c r="C3125" s="1" t="str">
        <f>HYPERLINK("http://www.genecards.org/cgi-bin/carddisp.pl?gene=ADSL","GeneCards")</f>
        <v>GeneCards</v>
      </c>
      <c r="D3125" s="1" t="str">
        <f>HYPERLINK("http://genome-euro.ucsc.edu/cgi-bin/hgTracks?position=210250_x_at","UCSC")</f>
        <v>UCSC</v>
      </c>
      <c r="E3125" s="1" t="str">
        <f>HYPERLINK("http://www.ncbi.nlm.nih.gov/gene/?term=ADSL","NCBI")</f>
        <v>NCBI</v>
      </c>
      <c r="F3125">
        <v>1.7999999999999999E-2</v>
      </c>
      <c r="G3125">
        <v>9.6000000000000002E-2</v>
      </c>
      <c r="H3125" s="1" t="str">
        <f>HYPERLINK("http://www.weizmann.ac.il/complex/compphys/software/geview/data/figures/210250_x_at.png","Figure")</f>
        <v>Figure</v>
      </c>
      <c r="I3125">
        <v>1.1299999999999999</v>
      </c>
      <c r="J3125">
        <v>0.56000000000000005</v>
      </c>
      <c r="K3125">
        <v>1.39</v>
      </c>
      <c r="L3125">
        <v>1.6E-2</v>
      </c>
      <c r="M3125">
        <v>1.23</v>
      </c>
      <c r="N3125">
        <v>0.17</v>
      </c>
    </row>
    <row r="3126" spans="1:14" x14ac:dyDescent="0.25">
      <c r="A3126" t="s">
        <v>5741</v>
      </c>
      <c r="B3126" t="s">
        <v>5742</v>
      </c>
      <c r="C3126" s="1" t="str">
        <f>HYPERLINK("http://www.genecards.org/cgi-bin/carddisp.pl?gene=PAX8","GeneCards")</f>
        <v>GeneCards</v>
      </c>
      <c r="D3126" s="1" t="str">
        <f>HYPERLINK("http://genome-euro.ucsc.edu/cgi-bin/hgTracks?position=213917_at","UCSC")</f>
        <v>UCSC</v>
      </c>
      <c r="E3126" s="1" t="str">
        <f>HYPERLINK("http://www.ncbi.nlm.nih.gov/gene/?term=PAX8","NCBI")</f>
        <v>NCBI</v>
      </c>
      <c r="F3126">
        <v>1.7999999999999999E-2</v>
      </c>
      <c r="G3126">
        <v>9.6000000000000002E-2</v>
      </c>
      <c r="H3126" s="1" t="str">
        <f>HYPERLINK("http://www.weizmann.ac.il/complex/compphys/software/geview/data/figures/213917_at.png","Figure")</f>
        <v>Figure</v>
      </c>
      <c r="I3126">
        <v>1.32</v>
      </c>
      <c r="J3126">
        <v>2.1000000000000001E-2</v>
      </c>
      <c r="K3126">
        <v>1.04</v>
      </c>
      <c r="L3126">
        <v>0.86</v>
      </c>
      <c r="M3126">
        <v>0.79</v>
      </c>
      <c r="N3126">
        <v>3.5000000000000003E-2</v>
      </c>
    </row>
    <row r="3127" spans="1:14" x14ac:dyDescent="0.25">
      <c r="A3127" t="s">
        <v>5743</v>
      </c>
      <c r="B3127" t="s">
        <v>5744</v>
      </c>
      <c r="C3127" s="1" t="str">
        <f>HYPERLINK("http://www.genecards.org/cgi-bin/carddisp.pl?gene=HSD17B10","GeneCards")</f>
        <v>GeneCards</v>
      </c>
      <c r="D3127" s="1" t="str">
        <f>HYPERLINK("http://genome-euro.ucsc.edu/cgi-bin/hgTracks?position=202282_at","UCSC")</f>
        <v>UCSC</v>
      </c>
      <c r="E3127" s="1" t="str">
        <f>HYPERLINK("http://www.ncbi.nlm.nih.gov/gene/?term=HSD17B10","NCBI")</f>
        <v>NCBI</v>
      </c>
      <c r="F3127">
        <v>1.7999999999999999E-2</v>
      </c>
      <c r="G3127">
        <v>9.7000000000000003E-2</v>
      </c>
      <c r="H3127" s="1" t="str">
        <f>HYPERLINK("http://www.weizmann.ac.il/complex/compphys/software/geview/data/figures/202282_at.png","Figure")</f>
        <v>Figure</v>
      </c>
      <c r="I3127">
        <v>1.0900000000000001</v>
      </c>
      <c r="J3127">
        <v>0.72</v>
      </c>
      <c r="K3127">
        <v>1.36</v>
      </c>
      <c r="L3127">
        <v>1.7999999999999999E-2</v>
      </c>
      <c r="M3127">
        <v>1.25</v>
      </c>
      <c r="N3127">
        <v>0.12</v>
      </c>
    </row>
    <row r="3128" spans="1:14" x14ac:dyDescent="0.25">
      <c r="A3128" t="s">
        <v>5745</v>
      </c>
      <c r="B3128" t="s">
        <v>5746</v>
      </c>
      <c r="C3128" s="1" t="str">
        <f>HYPERLINK("http://www.genecards.org/cgi-bin/carddisp.pl?gene=MXI1","GeneCards")</f>
        <v>GeneCards</v>
      </c>
      <c r="D3128" s="1" t="str">
        <f>HYPERLINK("http://genome-euro.ucsc.edu/cgi-bin/hgTracks?position=202364_at","UCSC")</f>
        <v>UCSC</v>
      </c>
      <c r="E3128" s="1" t="str">
        <f>HYPERLINK("http://www.ncbi.nlm.nih.gov/gene/?term=MXI1","NCBI")</f>
        <v>NCBI</v>
      </c>
      <c r="F3128">
        <v>1.7999999999999999E-2</v>
      </c>
      <c r="G3128">
        <v>9.7000000000000003E-2</v>
      </c>
      <c r="H3128" s="1" t="str">
        <f>HYPERLINK("http://www.weizmann.ac.il/complex/compphys/software/geview/data/figures/202364_at.png","Figure")</f>
        <v>Figure</v>
      </c>
      <c r="I3128">
        <v>0.61299999999999999</v>
      </c>
      <c r="J3128">
        <v>0.28000000000000003</v>
      </c>
      <c r="K3128">
        <v>0.41299999999999998</v>
      </c>
      <c r="L3128">
        <v>1.4E-2</v>
      </c>
      <c r="M3128">
        <v>0.67300000000000004</v>
      </c>
      <c r="N3128">
        <v>0.37</v>
      </c>
    </row>
    <row r="3129" spans="1:14" x14ac:dyDescent="0.25">
      <c r="A3129" t="s">
        <v>5747</v>
      </c>
      <c r="B3129" t="s">
        <v>1762</v>
      </c>
      <c r="C3129" s="1" t="str">
        <f>HYPERLINK("http://www.genecards.org/cgi-bin/carddisp.pl?gene=RALBP1","GeneCards")</f>
        <v>GeneCards</v>
      </c>
      <c r="D3129" s="1" t="str">
        <f>HYPERLINK("http://genome-euro.ucsc.edu/cgi-bin/hgTracks?position=202844_s_at","UCSC")</f>
        <v>UCSC</v>
      </c>
      <c r="E3129" s="1" t="str">
        <f>HYPERLINK("http://www.ncbi.nlm.nih.gov/gene/?term=RALBP1","NCBI")</f>
        <v>NCBI</v>
      </c>
      <c r="F3129">
        <v>1.7999999999999999E-2</v>
      </c>
      <c r="G3129">
        <v>9.7000000000000003E-2</v>
      </c>
      <c r="H3129" s="1" t="str">
        <f>HYPERLINK("http://www.weizmann.ac.il/complex/compphys/software/geview/data/figures/202844_s_at.png","Figure")</f>
        <v>Figure</v>
      </c>
      <c r="I3129">
        <v>0.56799999999999995</v>
      </c>
      <c r="J3129">
        <v>4.7E-2</v>
      </c>
      <c r="K3129">
        <v>1.07</v>
      </c>
      <c r="L3129">
        <v>0.93</v>
      </c>
      <c r="M3129">
        <v>1.88</v>
      </c>
      <c r="N3129">
        <v>1.7999999999999999E-2</v>
      </c>
    </row>
    <row r="3130" spans="1:14" x14ac:dyDescent="0.25">
      <c r="A3130" t="s">
        <v>5748</v>
      </c>
      <c r="B3130" t="s">
        <v>5749</v>
      </c>
      <c r="C3130" s="1" t="str">
        <f>HYPERLINK("http://www.genecards.org/cgi-bin/carddisp.pl?gene=ASGR2","GeneCards")</f>
        <v>GeneCards</v>
      </c>
      <c r="D3130" s="1" t="str">
        <f>HYPERLINK("http://genome-euro.ucsc.edu/cgi-bin/hgTracks?position=206130_s_at","UCSC")</f>
        <v>UCSC</v>
      </c>
      <c r="E3130" s="1" t="str">
        <f>HYPERLINK("http://www.ncbi.nlm.nih.gov/gene/?term=ASGR2","NCBI")</f>
        <v>NCBI</v>
      </c>
      <c r="F3130">
        <v>1.7999999999999999E-2</v>
      </c>
      <c r="G3130">
        <v>9.7000000000000003E-2</v>
      </c>
      <c r="H3130" s="1" t="str">
        <f>HYPERLINK("http://www.weizmann.ac.il/complex/compphys/software/geview/data/figures/206130_s_at.png","Figure")</f>
        <v>Figure</v>
      </c>
      <c r="I3130">
        <v>1.24</v>
      </c>
      <c r="J3130">
        <v>1.4E-2</v>
      </c>
      <c r="K3130">
        <v>1.0900000000000001</v>
      </c>
      <c r="L3130">
        <v>0.34</v>
      </c>
      <c r="M3130">
        <v>0.874</v>
      </c>
      <c r="N3130">
        <v>0.11</v>
      </c>
    </row>
    <row r="3131" spans="1:14" x14ac:dyDescent="0.25">
      <c r="A3131" t="s">
        <v>5750</v>
      </c>
      <c r="B3131" t="s">
        <v>5751</v>
      </c>
      <c r="C3131" s="1" t="str">
        <f>HYPERLINK("http://www.genecards.org/cgi-bin/carddisp.pl?gene=KCTD3","GeneCards")</f>
        <v>GeneCards</v>
      </c>
      <c r="D3131" s="1" t="str">
        <f>HYPERLINK("http://genome-euro.ucsc.edu/cgi-bin/hgTracks?position=217894_at","UCSC")</f>
        <v>UCSC</v>
      </c>
      <c r="E3131" s="1" t="str">
        <f>HYPERLINK("http://www.ncbi.nlm.nih.gov/gene/?term=KCTD3","NCBI")</f>
        <v>NCBI</v>
      </c>
      <c r="F3131">
        <v>1.7999999999999999E-2</v>
      </c>
      <c r="G3131">
        <v>9.7000000000000003E-2</v>
      </c>
      <c r="H3131" s="1" t="str">
        <f>HYPERLINK("http://www.weizmann.ac.il/complex/compphys/software/geview/data/figures/217894_at.png","Figure")</f>
        <v>Figure</v>
      </c>
      <c r="I3131">
        <v>0.77600000000000002</v>
      </c>
      <c r="J3131">
        <v>3.3000000000000002E-2</v>
      </c>
      <c r="K3131">
        <v>1</v>
      </c>
      <c r="L3131">
        <v>1</v>
      </c>
      <c r="M3131">
        <v>1.29</v>
      </c>
      <c r="N3131">
        <v>2.1999999999999999E-2</v>
      </c>
    </row>
    <row r="3132" spans="1:14" x14ac:dyDescent="0.25">
      <c r="A3132" t="s">
        <v>5752</v>
      </c>
      <c r="B3132" t="s">
        <v>5753</v>
      </c>
      <c r="C3132" s="1" t="str">
        <f>HYPERLINK("http://www.genecards.org/cgi-bin/carddisp.pl?gene=PDE1B","GeneCards")</f>
        <v>GeneCards</v>
      </c>
      <c r="D3132" s="1" t="str">
        <f>HYPERLINK("http://genome-euro.ucsc.edu/cgi-bin/hgTracks?position=206444_at","UCSC")</f>
        <v>UCSC</v>
      </c>
      <c r="E3132" s="1" t="str">
        <f>HYPERLINK("http://www.ncbi.nlm.nih.gov/gene/?term=PDE1B","NCBI")</f>
        <v>NCBI</v>
      </c>
      <c r="F3132">
        <v>1.7999999999999999E-2</v>
      </c>
      <c r="G3132">
        <v>9.7000000000000003E-2</v>
      </c>
      <c r="H3132" s="1" t="str">
        <f>HYPERLINK("http://www.weizmann.ac.il/complex/compphys/software/geview/data/figures/206444_at.png","Figure")</f>
        <v>Figure</v>
      </c>
      <c r="I3132">
        <v>1.58</v>
      </c>
      <c r="J3132">
        <v>1.6E-2</v>
      </c>
      <c r="K3132">
        <v>1.31</v>
      </c>
      <c r="L3132">
        <v>9.9000000000000005E-2</v>
      </c>
      <c r="M3132">
        <v>0.83399999999999996</v>
      </c>
      <c r="N3132">
        <v>0.37</v>
      </c>
    </row>
    <row r="3133" spans="1:14" x14ac:dyDescent="0.25">
      <c r="A3133" t="s">
        <v>5754</v>
      </c>
      <c r="B3133" t="s">
        <v>2805</v>
      </c>
      <c r="C3133" s="1" t="str">
        <f>HYPERLINK("http://www.genecards.org/cgi-bin/carddisp.pl?gene=ADD2","GeneCards")</f>
        <v>GeneCards</v>
      </c>
      <c r="D3133" s="1" t="str">
        <f>HYPERLINK("http://genome-euro.ucsc.edu/cgi-bin/hgTracks?position=206807_s_at","UCSC")</f>
        <v>UCSC</v>
      </c>
      <c r="E3133" s="1" t="str">
        <f>HYPERLINK("http://www.ncbi.nlm.nih.gov/gene/?term=ADD2","NCBI")</f>
        <v>NCBI</v>
      </c>
      <c r="F3133">
        <v>1.7999999999999999E-2</v>
      </c>
      <c r="G3133">
        <v>9.7000000000000003E-2</v>
      </c>
      <c r="H3133" s="1" t="str">
        <f>HYPERLINK("http://www.weizmann.ac.il/complex/compphys/software/geview/data/figures/206807_s_at.png","Figure")</f>
        <v>Figure</v>
      </c>
      <c r="I3133">
        <v>1.32</v>
      </c>
      <c r="J3133">
        <v>3.2000000000000001E-2</v>
      </c>
      <c r="K3133">
        <v>1.27</v>
      </c>
      <c r="L3133">
        <v>0.03</v>
      </c>
      <c r="M3133">
        <v>0.96799999999999997</v>
      </c>
      <c r="N3133">
        <v>0.93</v>
      </c>
    </row>
    <row r="3134" spans="1:14" x14ac:dyDescent="0.25">
      <c r="A3134" t="s">
        <v>5755</v>
      </c>
      <c r="B3134" t="s">
        <v>5756</v>
      </c>
      <c r="C3134" s="1" t="str">
        <f>HYPERLINK("http://www.genecards.org/cgi-bin/carddisp.pl?gene=STX5","GeneCards")</f>
        <v>GeneCards</v>
      </c>
      <c r="D3134" s="1" t="str">
        <f>HYPERLINK("http://genome-euro.ucsc.edu/cgi-bin/hgTracks?position=203330_s_at","UCSC")</f>
        <v>UCSC</v>
      </c>
      <c r="E3134" s="1" t="str">
        <f>HYPERLINK("http://www.ncbi.nlm.nih.gov/gene/?term=STX5","NCBI")</f>
        <v>NCBI</v>
      </c>
      <c r="F3134">
        <v>1.7999999999999999E-2</v>
      </c>
      <c r="G3134">
        <v>9.7000000000000003E-2</v>
      </c>
      <c r="H3134" s="1" t="str">
        <f>HYPERLINK("http://www.weizmann.ac.il/complex/compphys/software/geview/data/figures/203330_s_at.png","Figure")</f>
        <v>Figure</v>
      </c>
      <c r="I3134">
        <v>1.31</v>
      </c>
      <c r="J3134">
        <v>1.4E-2</v>
      </c>
      <c r="K3134">
        <v>1.1499999999999999</v>
      </c>
      <c r="L3134">
        <v>0.16</v>
      </c>
      <c r="M3134">
        <v>0.878</v>
      </c>
      <c r="N3134">
        <v>0.24</v>
      </c>
    </row>
    <row r="3135" spans="1:14" x14ac:dyDescent="0.25">
      <c r="A3135" t="s">
        <v>5757</v>
      </c>
      <c r="B3135" t="s">
        <v>5758</v>
      </c>
      <c r="C3135" s="1" t="str">
        <f>HYPERLINK("http://www.genecards.org/cgi-bin/carddisp.pl?gene=OLFM1","GeneCards")</f>
        <v>GeneCards</v>
      </c>
      <c r="D3135" s="1" t="str">
        <f>HYPERLINK("http://genome-euro.ucsc.edu/cgi-bin/hgTracks?position=210924_at","UCSC")</f>
        <v>UCSC</v>
      </c>
      <c r="E3135" s="1" t="str">
        <f>HYPERLINK("http://www.ncbi.nlm.nih.gov/gene/?term=OLFM1","NCBI")</f>
        <v>NCBI</v>
      </c>
      <c r="F3135">
        <v>1.7999999999999999E-2</v>
      </c>
      <c r="G3135">
        <v>9.7000000000000003E-2</v>
      </c>
      <c r="H3135" s="1" t="str">
        <f>HYPERLINK("http://www.weizmann.ac.il/complex/compphys/software/geview/data/figures/210924_at.png","Figure")</f>
        <v>Figure</v>
      </c>
      <c r="I3135">
        <v>1.38</v>
      </c>
      <c r="J3135">
        <v>2.1000000000000001E-2</v>
      </c>
      <c r="K3135">
        <v>1.05</v>
      </c>
      <c r="L3135">
        <v>0.87</v>
      </c>
      <c r="M3135">
        <v>0.76</v>
      </c>
      <c r="N3135">
        <v>3.5000000000000003E-2</v>
      </c>
    </row>
    <row r="3136" spans="1:14" x14ac:dyDescent="0.25">
      <c r="A3136" t="s">
        <v>5759</v>
      </c>
      <c r="B3136" t="s">
        <v>5760</v>
      </c>
      <c r="C3136" s="1" t="str">
        <f>HYPERLINK("http://www.genecards.org/cgi-bin/carddisp.pl?gene=LILRB1","GeneCards")</f>
        <v>GeneCards</v>
      </c>
      <c r="D3136" s="1" t="str">
        <f>HYPERLINK("http://genome-euro.ucsc.edu/cgi-bin/hgTracks?position=211336_x_at","UCSC")</f>
        <v>UCSC</v>
      </c>
      <c r="E3136" s="1" t="str">
        <f>HYPERLINK("http://www.ncbi.nlm.nih.gov/gene/?term=LILRB1","NCBI")</f>
        <v>NCBI</v>
      </c>
      <c r="F3136">
        <v>1.7999999999999999E-2</v>
      </c>
      <c r="G3136">
        <v>9.7000000000000003E-2</v>
      </c>
      <c r="H3136" s="1" t="str">
        <f>HYPERLINK("http://www.weizmann.ac.il/complex/compphys/software/geview/data/figures/211336_x_at.png","Figure")</f>
        <v>Figure</v>
      </c>
      <c r="I3136">
        <v>1.1200000000000001</v>
      </c>
      <c r="J3136">
        <v>0.5</v>
      </c>
      <c r="K3136">
        <v>1.33</v>
      </c>
      <c r="L3136">
        <v>1.4999999999999999E-2</v>
      </c>
      <c r="M3136">
        <v>1.19</v>
      </c>
      <c r="N3136">
        <v>0.2</v>
      </c>
    </row>
    <row r="3137" spans="1:14" x14ac:dyDescent="0.25">
      <c r="A3137" t="s">
        <v>5761</v>
      </c>
      <c r="B3137" t="s">
        <v>5762</v>
      </c>
      <c r="C3137" s="1" t="str">
        <f>HYPERLINK("http://www.genecards.org/cgi-bin/carddisp.pl?gene=OIP5","GeneCards")</f>
        <v>GeneCards</v>
      </c>
      <c r="D3137" s="1" t="str">
        <f>HYPERLINK("http://genome-euro.ucsc.edu/cgi-bin/hgTracks?position=213599_at","UCSC")</f>
        <v>UCSC</v>
      </c>
      <c r="E3137" s="1" t="str">
        <f>HYPERLINK("http://www.ncbi.nlm.nih.gov/gene/?term=OIP5","NCBI")</f>
        <v>NCBI</v>
      </c>
      <c r="F3137">
        <v>1.7999999999999999E-2</v>
      </c>
      <c r="G3137">
        <v>9.7000000000000003E-2</v>
      </c>
      <c r="H3137" s="1" t="str">
        <f>HYPERLINK("http://www.weizmann.ac.il/complex/compphys/software/geview/data/figures/213599_at.png","Figure")</f>
        <v>Figure</v>
      </c>
      <c r="I3137">
        <v>0.84099999999999997</v>
      </c>
      <c r="J3137">
        <v>0.6</v>
      </c>
      <c r="K3137">
        <v>1.41</v>
      </c>
      <c r="L3137">
        <v>0.1</v>
      </c>
      <c r="M3137">
        <v>1.68</v>
      </c>
      <c r="N3137">
        <v>0.02</v>
      </c>
    </row>
    <row r="3138" spans="1:14" x14ac:dyDescent="0.25">
      <c r="A3138" t="s">
        <v>5763</v>
      </c>
      <c r="B3138" t="s">
        <v>5764</v>
      </c>
      <c r="C3138" s="1" t="str">
        <f>HYPERLINK("http://www.genecards.org/cgi-bin/carddisp.pl?gene=FOSL2","GeneCards")</f>
        <v>GeneCards</v>
      </c>
      <c r="D3138" s="1" t="str">
        <f>HYPERLINK("http://genome-euro.ucsc.edu/cgi-bin/hgTracks?position=218880_at","UCSC")</f>
        <v>UCSC</v>
      </c>
      <c r="E3138" s="1" t="str">
        <f>HYPERLINK("http://www.ncbi.nlm.nih.gov/gene/?term=FOSL2","NCBI")</f>
        <v>NCBI</v>
      </c>
      <c r="F3138">
        <v>1.7999999999999999E-2</v>
      </c>
      <c r="G3138">
        <v>9.7000000000000003E-2</v>
      </c>
      <c r="H3138" s="1" t="str">
        <f>HYPERLINK("http://www.weizmann.ac.il/complex/compphys/software/geview/data/figures/218880_at.png","Figure")</f>
        <v>Figure</v>
      </c>
      <c r="I3138">
        <v>0.373</v>
      </c>
      <c r="J3138">
        <v>1.4E-2</v>
      </c>
      <c r="K3138">
        <v>0.68500000000000005</v>
      </c>
      <c r="L3138">
        <v>0.34</v>
      </c>
      <c r="M3138">
        <v>1.84</v>
      </c>
      <c r="N3138">
        <v>0.11</v>
      </c>
    </row>
    <row r="3139" spans="1:14" x14ac:dyDescent="0.25">
      <c r="A3139" t="s">
        <v>5765</v>
      </c>
      <c r="B3139" t="s">
        <v>5766</v>
      </c>
      <c r="C3139" s="1" t="str">
        <f>HYPERLINK("http://www.genecards.org/cgi-bin/carddisp.pl?gene=CHUK","GeneCards")</f>
        <v>GeneCards</v>
      </c>
      <c r="D3139" s="1" t="str">
        <f>HYPERLINK("http://genome-euro.ucsc.edu/cgi-bin/hgTracks?position=209666_s_at","UCSC")</f>
        <v>UCSC</v>
      </c>
      <c r="E3139" s="1" t="str">
        <f>HYPERLINK("http://www.ncbi.nlm.nih.gov/gene/?term=CHUK","NCBI")</f>
        <v>NCBI</v>
      </c>
      <c r="F3139">
        <v>1.7999999999999999E-2</v>
      </c>
      <c r="G3139">
        <v>9.7000000000000003E-2</v>
      </c>
      <c r="H3139" s="1" t="str">
        <f>HYPERLINK("http://www.weizmann.ac.il/complex/compphys/software/geview/data/figures/209666_s_at.png","Figure")</f>
        <v>Figure</v>
      </c>
      <c r="I3139">
        <v>0.40400000000000003</v>
      </c>
      <c r="J3139">
        <v>2.5999999999999999E-2</v>
      </c>
      <c r="K3139">
        <v>0.48</v>
      </c>
      <c r="L3139">
        <v>3.7999999999999999E-2</v>
      </c>
      <c r="M3139">
        <v>1.19</v>
      </c>
      <c r="N3139">
        <v>0.82</v>
      </c>
    </row>
    <row r="3140" spans="1:14" x14ac:dyDescent="0.25">
      <c r="A3140" t="s">
        <v>5767</v>
      </c>
      <c r="B3140" t="s">
        <v>5768</v>
      </c>
      <c r="C3140" s="1" t="str">
        <f>HYPERLINK("http://www.genecards.org/cgi-bin/carddisp.pl?gene=PRKCE","GeneCards")</f>
        <v>GeneCards</v>
      </c>
      <c r="D3140" s="1" t="str">
        <f>HYPERLINK("http://genome-euro.ucsc.edu/cgi-bin/hgTracks?position=206248_at","UCSC")</f>
        <v>UCSC</v>
      </c>
      <c r="E3140" s="1" t="str">
        <f>HYPERLINK("http://www.ncbi.nlm.nih.gov/gene/?term=PRKCE","NCBI")</f>
        <v>NCBI</v>
      </c>
      <c r="F3140">
        <v>1.7999999999999999E-2</v>
      </c>
      <c r="G3140">
        <v>9.7000000000000003E-2</v>
      </c>
      <c r="H3140" s="1" t="str">
        <f>HYPERLINK("http://www.weizmann.ac.il/complex/compphys/software/geview/data/figures/206248_at.png","Figure")</f>
        <v>Figure</v>
      </c>
      <c r="I3140">
        <v>1.27</v>
      </c>
      <c r="J3140">
        <v>1.9E-2</v>
      </c>
      <c r="K3140">
        <v>1.05</v>
      </c>
      <c r="L3140">
        <v>0.78</v>
      </c>
      <c r="M3140">
        <v>0.82599999999999996</v>
      </c>
      <c r="N3140">
        <v>4.2000000000000003E-2</v>
      </c>
    </row>
    <row r="3141" spans="1:14" x14ac:dyDescent="0.25">
      <c r="A3141" t="s">
        <v>5769</v>
      </c>
      <c r="B3141" t="s">
        <v>5770</v>
      </c>
      <c r="C3141" s="1" t="str">
        <f>HYPERLINK("http://www.genecards.org/cgi-bin/carddisp.pl?gene=TTLL5","GeneCards")</f>
        <v>GeneCards</v>
      </c>
      <c r="D3141" s="1" t="str">
        <f>HYPERLINK("http://genome-euro.ucsc.edu/cgi-bin/hgTracks?position=214672_at","UCSC")</f>
        <v>UCSC</v>
      </c>
      <c r="E3141" s="1" t="str">
        <f>HYPERLINK("http://www.ncbi.nlm.nih.gov/gene/?term=TTLL5","NCBI")</f>
        <v>NCBI</v>
      </c>
      <c r="F3141">
        <v>1.7999999999999999E-2</v>
      </c>
      <c r="G3141">
        <v>9.7000000000000003E-2</v>
      </c>
      <c r="H3141" s="1" t="str">
        <f>HYPERLINK("http://www.weizmann.ac.il/complex/compphys/software/geview/data/figures/214672_at.png","Figure")</f>
        <v>Figure</v>
      </c>
      <c r="I3141">
        <v>0.69699999999999995</v>
      </c>
      <c r="J3141">
        <v>0.12</v>
      </c>
      <c r="K3141">
        <v>1.18</v>
      </c>
      <c r="L3141">
        <v>0.51</v>
      </c>
      <c r="M3141">
        <v>1.7</v>
      </c>
      <c r="N3141">
        <v>1.4E-2</v>
      </c>
    </row>
    <row r="3142" spans="1:14" x14ac:dyDescent="0.25">
      <c r="A3142" t="s">
        <v>5771</v>
      </c>
      <c r="B3142" t="s">
        <v>1772</v>
      </c>
      <c r="C3142" s="1" t="str">
        <f>HYPERLINK("http://www.genecards.org/cgi-bin/carddisp.pl?gene=NXF2","GeneCards")</f>
        <v>GeneCards</v>
      </c>
      <c r="D3142" s="1" t="str">
        <f>HYPERLINK("http://genome-euro.ucsc.edu/cgi-bin/hgTracks?position=220981_x_at","UCSC")</f>
        <v>UCSC</v>
      </c>
      <c r="E3142" s="1" t="str">
        <f>HYPERLINK("http://www.ncbi.nlm.nih.gov/gene/?term=NXF2","NCBI")</f>
        <v>NCBI</v>
      </c>
      <c r="F3142">
        <v>1.7999999999999999E-2</v>
      </c>
      <c r="G3142">
        <v>9.7000000000000003E-2</v>
      </c>
      <c r="H3142" s="1" t="str">
        <f>HYPERLINK("http://www.weizmann.ac.il/complex/compphys/software/geview/data/figures/220981_x_at.png","Figure")</f>
        <v>Figure</v>
      </c>
      <c r="I3142">
        <v>1.1299999999999999</v>
      </c>
      <c r="J3142">
        <v>5.8000000000000003E-2</v>
      </c>
      <c r="K3142">
        <v>0.97699999999999998</v>
      </c>
      <c r="L3142">
        <v>0.86</v>
      </c>
      <c r="M3142">
        <v>0.86299999999999999</v>
      </c>
      <c r="N3142">
        <v>1.6E-2</v>
      </c>
    </row>
    <row r="3143" spans="1:14" x14ac:dyDescent="0.25">
      <c r="A3143" t="s">
        <v>5772</v>
      </c>
      <c r="B3143" t="s">
        <v>5773</v>
      </c>
      <c r="C3143" s="1" t="str">
        <f>HYPERLINK("http://www.genecards.org/cgi-bin/carddisp.pl?gene=NRF1","GeneCards")</f>
        <v>GeneCards</v>
      </c>
      <c r="D3143" s="1" t="str">
        <f>HYPERLINK("http://genome-euro.ucsc.edu/cgi-bin/hgTracks?position=211279_at","UCSC")</f>
        <v>UCSC</v>
      </c>
      <c r="E3143" s="1" t="str">
        <f>HYPERLINK("http://www.ncbi.nlm.nih.gov/gene/?term=NRF1","NCBI")</f>
        <v>NCBI</v>
      </c>
      <c r="F3143">
        <v>1.7999999999999999E-2</v>
      </c>
      <c r="G3143">
        <v>9.7000000000000003E-2</v>
      </c>
      <c r="H3143" s="1" t="str">
        <f>HYPERLINK("http://www.weizmann.ac.il/complex/compphys/software/geview/data/figures/211279_at.png","Figure")</f>
        <v>Figure</v>
      </c>
      <c r="I3143">
        <v>1.27</v>
      </c>
      <c r="J3143">
        <v>1.6E-2</v>
      </c>
      <c r="K3143">
        <v>1.1599999999999999</v>
      </c>
      <c r="L3143">
        <v>9.0999999999999998E-2</v>
      </c>
      <c r="M3143">
        <v>0.91400000000000003</v>
      </c>
      <c r="N3143">
        <v>0.4</v>
      </c>
    </row>
    <row r="3144" spans="1:14" x14ac:dyDescent="0.25">
      <c r="A3144" t="s">
        <v>5774</v>
      </c>
      <c r="B3144" t="s">
        <v>5775</v>
      </c>
      <c r="C3144" s="1" t="str">
        <f>HYPERLINK("http://www.genecards.org/cgi-bin/carddisp.pl?gene=CAMSAP1","GeneCards")</f>
        <v>GeneCards</v>
      </c>
      <c r="D3144" s="1" t="str">
        <f>HYPERLINK("http://genome-euro.ucsc.edu/cgi-bin/hgTracks?position=212712_at","UCSC")</f>
        <v>UCSC</v>
      </c>
      <c r="E3144" s="1" t="str">
        <f>HYPERLINK("http://www.ncbi.nlm.nih.gov/gene/?term=CAMSAP1","NCBI")</f>
        <v>NCBI</v>
      </c>
      <c r="F3144">
        <v>1.7999999999999999E-2</v>
      </c>
      <c r="G3144">
        <v>9.7000000000000003E-2</v>
      </c>
      <c r="H3144" s="1" t="str">
        <f>HYPERLINK("http://www.weizmann.ac.il/complex/compphys/software/geview/data/figures/212712_at.png","Figure")</f>
        <v>Figure</v>
      </c>
      <c r="I3144">
        <v>1.17</v>
      </c>
      <c r="J3144">
        <v>0.24</v>
      </c>
      <c r="K3144">
        <v>1.3</v>
      </c>
      <c r="L3144">
        <v>1.4E-2</v>
      </c>
      <c r="M3144">
        <v>1.1200000000000001</v>
      </c>
      <c r="N3144">
        <v>0.42</v>
      </c>
    </row>
    <row r="3145" spans="1:14" x14ac:dyDescent="0.25">
      <c r="A3145" t="s">
        <v>5776</v>
      </c>
      <c r="B3145" t="s">
        <v>5777</v>
      </c>
      <c r="C3145" s="1" t="str">
        <f>HYPERLINK("http://www.genecards.org/cgi-bin/carddisp.pl?gene=PTP4A1","GeneCards")</f>
        <v>GeneCards</v>
      </c>
      <c r="D3145" s="1" t="str">
        <f>HYPERLINK("http://genome-euro.ucsc.edu/cgi-bin/hgTracks?position=200730_s_at","UCSC")</f>
        <v>UCSC</v>
      </c>
      <c r="E3145" s="1" t="str">
        <f>HYPERLINK("http://www.ncbi.nlm.nih.gov/gene/?term=PTP4A1","NCBI")</f>
        <v>NCBI</v>
      </c>
      <c r="F3145">
        <v>1.7999999999999999E-2</v>
      </c>
      <c r="G3145">
        <v>9.7000000000000003E-2</v>
      </c>
      <c r="H3145" s="1" t="str">
        <f>HYPERLINK("http://www.weizmann.ac.il/complex/compphys/software/geview/data/figures/200730_s_at.png","Figure")</f>
        <v>Figure</v>
      </c>
      <c r="I3145">
        <v>0.39400000000000002</v>
      </c>
      <c r="J3145">
        <v>3.4000000000000002E-2</v>
      </c>
      <c r="K3145">
        <v>0.432</v>
      </c>
      <c r="L3145">
        <v>2.9000000000000001E-2</v>
      </c>
      <c r="M3145">
        <v>1.0900000000000001</v>
      </c>
      <c r="N3145">
        <v>0.95</v>
      </c>
    </row>
    <row r="3146" spans="1:14" x14ac:dyDescent="0.25">
      <c r="A3146" t="s">
        <v>5778</v>
      </c>
      <c r="B3146" t="s">
        <v>5779</v>
      </c>
      <c r="C3146" s="1" t="str">
        <f>HYPERLINK("http://www.genecards.org/cgi-bin/carddisp.pl?gene=PSME3","GeneCards")</f>
        <v>GeneCards</v>
      </c>
      <c r="D3146" s="1" t="str">
        <f>HYPERLINK("http://genome-euro.ucsc.edu/cgi-bin/hgTracks?position=200988_s_at","UCSC")</f>
        <v>UCSC</v>
      </c>
      <c r="E3146" s="1" t="str">
        <f>HYPERLINK("http://www.ncbi.nlm.nih.gov/gene/?term=PSME3","NCBI")</f>
        <v>NCBI</v>
      </c>
      <c r="F3146">
        <v>1.7999999999999999E-2</v>
      </c>
      <c r="G3146">
        <v>9.7000000000000003E-2</v>
      </c>
      <c r="H3146" s="1" t="str">
        <f>HYPERLINK("http://www.weizmann.ac.il/complex/compphys/software/geview/data/figures/200988_s_at.png","Figure")</f>
        <v>Figure</v>
      </c>
      <c r="I3146">
        <v>0.67200000000000004</v>
      </c>
      <c r="J3146">
        <v>2.5999999999999999E-2</v>
      </c>
      <c r="K3146">
        <v>0.97199999999999998</v>
      </c>
      <c r="L3146">
        <v>0.97</v>
      </c>
      <c r="M3146">
        <v>1.45</v>
      </c>
      <c r="N3146">
        <v>2.7E-2</v>
      </c>
    </row>
    <row r="3147" spans="1:14" x14ac:dyDescent="0.25">
      <c r="A3147" t="s">
        <v>5780</v>
      </c>
      <c r="B3147" t="s">
        <v>5781</v>
      </c>
      <c r="C3147" s="1" t="str">
        <f>HYPERLINK("http://www.genecards.org/cgi-bin/carddisp.pl?gene=HABP4","GeneCards")</f>
        <v>GeneCards</v>
      </c>
      <c r="D3147" s="1" t="str">
        <f>HYPERLINK("http://genome-euro.ucsc.edu/cgi-bin/hgTracks?position=209818_s_at","UCSC")</f>
        <v>UCSC</v>
      </c>
      <c r="E3147" s="1" t="str">
        <f>HYPERLINK("http://www.ncbi.nlm.nih.gov/gene/?term=HABP4","NCBI")</f>
        <v>NCBI</v>
      </c>
      <c r="F3147">
        <v>1.7999999999999999E-2</v>
      </c>
      <c r="G3147">
        <v>9.7000000000000003E-2</v>
      </c>
      <c r="H3147" s="1" t="str">
        <f>HYPERLINK("http://www.weizmann.ac.il/complex/compphys/software/geview/data/figures/209818_s_at.png","Figure")</f>
        <v>Figure</v>
      </c>
      <c r="I3147">
        <v>1.36</v>
      </c>
      <c r="J3147">
        <v>2.5000000000000001E-2</v>
      </c>
      <c r="K3147">
        <v>1.03</v>
      </c>
      <c r="L3147">
        <v>0.94</v>
      </c>
      <c r="M3147">
        <v>0.755</v>
      </c>
      <c r="N3147">
        <v>0.03</v>
      </c>
    </row>
    <row r="3148" spans="1:14" x14ac:dyDescent="0.25">
      <c r="A3148" t="s">
        <v>5782</v>
      </c>
      <c r="B3148" t="s">
        <v>5783</v>
      </c>
      <c r="C3148" s="1" t="str">
        <f>HYPERLINK("http://www.genecards.org/cgi-bin/carddisp.pl?gene=AKR1C1","GeneCards")</f>
        <v>GeneCards</v>
      </c>
      <c r="D3148" s="1" t="str">
        <f>HYPERLINK("http://genome-euro.ucsc.edu/cgi-bin/hgTracks?position=204151_x_at","UCSC")</f>
        <v>UCSC</v>
      </c>
      <c r="E3148" s="1" t="str">
        <f>HYPERLINK("http://www.ncbi.nlm.nih.gov/gene/?term=AKR1C1","NCBI")</f>
        <v>NCBI</v>
      </c>
      <c r="F3148">
        <v>1.7999999999999999E-2</v>
      </c>
      <c r="G3148">
        <v>9.7000000000000003E-2</v>
      </c>
      <c r="H3148" s="1" t="str">
        <f>HYPERLINK("http://www.weizmann.ac.il/complex/compphys/software/geview/data/figures/204151_x_at.png","Figure")</f>
        <v>Figure</v>
      </c>
      <c r="I3148">
        <v>1.39</v>
      </c>
      <c r="J3148">
        <v>1.6E-2</v>
      </c>
      <c r="K3148">
        <v>1.1000000000000001</v>
      </c>
      <c r="L3148">
        <v>0.52</v>
      </c>
      <c r="M3148">
        <v>0.79400000000000004</v>
      </c>
      <c r="N3148">
        <v>6.9000000000000006E-2</v>
      </c>
    </row>
    <row r="3149" spans="1:14" x14ac:dyDescent="0.25">
      <c r="A3149" t="s">
        <v>5784</v>
      </c>
      <c r="B3149" t="s">
        <v>1333</v>
      </c>
      <c r="C3149" s="1" t="str">
        <f>HYPERLINK("http://www.genecards.org/cgi-bin/carddisp.pl?gene=CLEC11A","GeneCards")</f>
        <v>GeneCards</v>
      </c>
      <c r="D3149" s="1" t="str">
        <f>HYPERLINK("http://genome-euro.ucsc.edu/cgi-bin/hgTracks?position=211709_s_at","UCSC")</f>
        <v>UCSC</v>
      </c>
      <c r="E3149" s="1" t="str">
        <f>HYPERLINK("http://www.ncbi.nlm.nih.gov/gene/?term=CLEC11A","NCBI")</f>
        <v>NCBI</v>
      </c>
      <c r="F3149">
        <v>1.7999999999999999E-2</v>
      </c>
      <c r="G3149">
        <v>9.7000000000000003E-2</v>
      </c>
      <c r="H3149" s="1" t="str">
        <f>HYPERLINK("http://www.weizmann.ac.il/complex/compphys/software/geview/data/figures/211709_s_at.png","Figure")</f>
        <v>Figure</v>
      </c>
      <c r="I3149">
        <v>2.89</v>
      </c>
      <c r="J3149">
        <v>0.17</v>
      </c>
      <c r="K3149">
        <v>4.9800000000000004</v>
      </c>
      <c r="L3149">
        <v>1.4E-2</v>
      </c>
      <c r="M3149">
        <v>1.72</v>
      </c>
      <c r="N3149">
        <v>0.56000000000000005</v>
      </c>
    </row>
    <row r="3150" spans="1:14" x14ac:dyDescent="0.25">
      <c r="A3150" t="s">
        <v>5785</v>
      </c>
      <c r="B3150" t="s">
        <v>5786</v>
      </c>
      <c r="C3150" s="1" t="str">
        <f>HYPERLINK("http://www.genecards.org/cgi-bin/carddisp.pl?gene=SSTR4","GeneCards")</f>
        <v>GeneCards</v>
      </c>
      <c r="D3150" s="1" t="str">
        <f>HYPERLINK("http://genome-euro.ucsc.edu/cgi-bin/hgTracks?position=214556_at","UCSC")</f>
        <v>UCSC</v>
      </c>
      <c r="E3150" s="1" t="str">
        <f>HYPERLINK("http://www.ncbi.nlm.nih.gov/gene/?term=SSTR4","NCBI")</f>
        <v>NCBI</v>
      </c>
      <c r="F3150">
        <v>1.7999999999999999E-2</v>
      </c>
      <c r="G3150">
        <v>9.7000000000000003E-2</v>
      </c>
      <c r="H3150" s="1" t="str">
        <f>HYPERLINK("http://www.weizmann.ac.il/complex/compphys/software/geview/data/figures/214556_at.png","Figure")</f>
        <v>Figure</v>
      </c>
      <c r="I3150">
        <v>1.18</v>
      </c>
      <c r="J3150">
        <v>1.6E-2</v>
      </c>
      <c r="K3150">
        <v>1.1000000000000001</v>
      </c>
      <c r="L3150">
        <v>9.2999999999999999E-2</v>
      </c>
      <c r="M3150">
        <v>0.94</v>
      </c>
      <c r="N3150">
        <v>0.4</v>
      </c>
    </row>
    <row r="3151" spans="1:14" x14ac:dyDescent="0.25">
      <c r="A3151" t="s">
        <v>5787</v>
      </c>
      <c r="B3151" t="s">
        <v>5788</v>
      </c>
      <c r="C3151" s="1" t="str">
        <f>HYPERLINK("http://www.genecards.org/cgi-bin/carddisp.pl?gene=CISD1","GeneCards")</f>
        <v>GeneCards</v>
      </c>
      <c r="D3151" s="1" t="str">
        <f>HYPERLINK("http://genome-euro.ucsc.edu/cgi-bin/hgTracks?position=218597_s_at","UCSC")</f>
        <v>UCSC</v>
      </c>
      <c r="E3151" s="1" t="str">
        <f>HYPERLINK("http://www.ncbi.nlm.nih.gov/gene/?term=CISD1","NCBI")</f>
        <v>NCBI</v>
      </c>
      <c r="F3151">
        <v>1.7999999999999999E-2</v>
      </c>
      <c r="G3151">
        <v>9.7000000000000003E-2</v>
      </c>
      <c r="H3151" s="1" t="str">
        <f>HYPERLINK("http://www.weizmann.ac.il/complex/compphys/software/geview/data/figures/218597_s_at.png","Figure")</f>
        <v>Figure</v>
      </c>
      <c r="I3151">
        <v>0.79800000000000004</v>
      </c>
      <c r="J3151">
        <v>0.23</v>
      </c>
      <c r="K3151">
        <v>1.19</v>
      </c>
      <c r="L3151">
        <v>0.3</v>
      </c>
      <c r="M3151">
        <v>1.5</v>
      </c>
      <c r="N3151">
        <v>1.4E-2</v>
      </c>
    </row>
    <row r="3152" spans="1:14" x14ac:dyDescent="0.25">
      <c r="A3152" t="s">
        <v>5789</v>
      </c>
      <c r="B3152" t="s">
        <v>5790</v>
      </c>
      <c r="C3152" s="1" t="str">
        <f>HYPERLINK("http://www.genecards.org/cgi-bin/carddisp.pl?gene=C1QTNF1","GeneCards")</f>
        <v>GeneCards</v>
      </c>
      <c r="D3152" s="1" t="str">
        <f>HYPERLINK("http://genome-euro.ucsc.edu/cgi-bin/hgTracks?position=220975_s_at","UCSC")</f>
        <v>UCSC</v>
      </c>
      <c r="E3152" s="1" t="str">
        <f>HYPERLINK("http://www.ncbi.nlm.nih.gov/gene/?term=C1QTNF1","NCBI")</f>
        <v>NCBI</v>
      </c>
      <c r="F3152">
        <v>1.7999999999999999E-2</v>
      </c>
      <c r="G3152">
        <v>9.7000000000000003E-2</v>
      </c>
      <c r="H3152" s="1" t="str">
        <f>HYPERLINK("http://www.weizmann.ac.il/complex/compphys/software/geview/data/figures/220975_s_at.png","Figure")</f>
        <v>Figure</v>
      </c>
      <c r="I3152">
        <v>1.26</v>
      </c>
      <c r="J3152">
        <v>2.9000000000000001E-2</v>
      </c>
      <c r="K3152">
        <v>1.01</v>
      </c>
      <c r="L3152">
        <v>0.99</v>
      </c>
      <c r="M3152">
        <v>0.80200000000000005</v>
      </c>
      <c r="N3152">
        <v>2.5000000000000001E-2</v>
      </c>
    </row>
    <row r="3153" spans="1:14" x14ac:dyDescent="0.25">
      <c r="A3153" t="s">
        <v>5791</v>
      </c>
      <c r="B3153" t="s">
        <v>5792</v>
      </c>
      <c r="C3153" s="1" t="str">
        <f>HYPERLINK("http://www.genecards.org/cgi-bin/carddisp.pl?gene=YY1","GeneCards")</f>
        <v>GeneCards</v>
      </c>
      <c r="D3153" s="1" t="str">
        <f>HYPERLINK("http://genome-euro.ucsc.edu/cgi-bin/hgTracks?position=200047_s_at","UCSC")</f>
        <v>UCSC</v>
      </c>
      <c r="E3153" s="1" t="str">
        <f>HYPERLINK("http://www.ncbi.nlm.nih.gov/gene/?term=YY1","NCBI")</f>
        <v>NCBI</v>
      </c>
      <c r="F3153">
        <v>1.7999999999999999E-2</v>
      </c>
      <c r="G3153">
        <v>9.7000000000000003E-2</v>
      </c>
      <c r="H3153" s="1" t="str">
        <f>HYPERLINK("http://www.weizmann.ac.il/complex/compphys/software/geview/data/figures/200047_s_at.png","Figure")</f>
        <v>Figure</v>
      </c>
      <c r="I3153">
        <v>0.67500000000000004</v>
      </c>
      <c r="J3153">
        <v>1.9E-2</v>
      </c>
      <c r="K3153">
        <v>0.92600000000000005</v>
      </c>
      <c r="L3153">
        <v>0.76</v>
      </c>
      <c r="M3153">
        <v>1.37</v>
      </c>
      <c r="N3153">
        <v>4.2999999999999997E-2</v>
      </c>
    </row>
    <row r="3154" spans="1:14" x14ac:dyDescent="0.25">
      <c r="A3154" t="s">
        <v>5793</v>
      </c>
      <c r="B3154" t="s">
        <v>5794</v>
      </c>
      <c r="C3154" s="1" t="str">
        <f>HYPERLINK("http://www.genecards.org/cgi-bin/carddisp.pl?gene=PAX3","GeneCards")</f>
        <v>GeneCards</v>
      </c>
      <c r="D3154" s="1" t="str">
        <f>HYPERLINK("http://genome-euro.ucsc.edu/cgi-bin/hgTracks?position=216059_at","UCSC")</f>
        <v>UCSC</v>
      </c>
      <c r="E3154" s="1" t="str">
        <f>HYPERLINK("http://www.ncbi.nlm.nih.gov/gene/?term=PAX3","NCBI")</f>
        <v>NCBI</v>
      </c>
      <c r="F3154">
        <v>1.7999999999999999E-2</v>
      </c>
      <c r="G3154">
        <v>9.7000000000000003E-2</v>
      </c>
      <c r="H3154" s="1" t="str">
        <f>HYPERLINK("http://www.weizmann.ac.il/complex/compphys/software/geview/data/figures/216059_at.png","Figure")</f>
        <v>Figure</v>
      </c>
      <c r="I3154">
        <v>1.23</v>
      </c>
      <c r="J3154">
        <v>2.1999999999999999E-2</v>
      </c>
      <c r="K3154">
        <v>1.17</v>
      </c>
      <c r="L3154">
        <v>4.7E-2</v>
      </c>
      <c r="M3154">
        <v>0.95199999999999996</v>
      </c>
      <c r="N3154">
        <v>0.71</v>
      </c>
    </row>
    <row r="3155" spans="1:14" x14ac:dyDescent="0.25">
      <c r="A3155" t="s">
        <v>5795</v>
      </c>
      <c r="B3155" t="s">
        <v>5796</v>
      </c>
      <c r="C3155" s="1" t="str">
        <f>HYPERLINK("http://www.genecards.org/cgi-bin/carddisp.pl?gene=TTC37","GeneCards")</f>
        <v>GeneCards</v>
      </c>
      <c r="D3155" s="1" t="str">
        <f>HYPERLINK("http://genome-euro.ucsc.edu/cgi-bin/hgTracks?position=203049_s_at","UCSC")</f>
        <v>UCSC</v>
      </c>
      <c r="E3155" s="1" t="str">
        <f>HYPERLINK("http://www.ncbi.nlm.nih.gov/gene/?term=TTC37","NCBI")</f>
        <v>NCBI</v>
      </c>
      <c r="F3155">
        <v>1.7999999999999999E-2</v>
      </c>
      <c r="G3155">
        <v>9.7000000000000003E-2</v>
      </c>
      <c r="H3155" s="1" t="str">
        <f>HYPERLINK("http://www.weizmann.ac.il/complex/compphys/software/geview/data/figures/203049_s_at.png","Figure")</f>
        <v>Figure</v>
      </c>
      <c r="I3155">
        <v>0.58699999999999997</v>
      </c>
      <c r="J3155">
        <v>3.7999999999999999E-2</v>
      </c>
      <c r="K3155">
        <v>1.03</v>
      </c>
      <c r="L3155">
        <v>0.99</v>
      </c>
      <c r="M3155">
        <v>1.75</v>
      </c>
      <c r="N3155">
        <v>0.02</v>
      </c>
    </row>
    <row r="3156" spans="1:14" x14ac:dyDescent="0.25">
      <c r="A3156" t="s">
        <v>5797</v>
      </c>
      <c r="B3156" t="s">
        <v>5798</v>
      </c>
      <c r="C3156" s="1" t="str">
        <f>HYPERLINK("http://www.genecards.org/cgi-bin/carddisp.pl?gene=UMPS","GeneCards")</f>
        <v>GeneCards</v>
      </c>
      <c r="D3156" s="1" t="str">
        <f>HYPERLINK("http://genome-euro.ucsc.edu/cgi-bin/hgTracks?position=215165_x_at","UCSC")</f>
        <v>UCSC</v>
      </c>
      <c r="E3156" s="1" t="str">
        <f>HYPERLINK("http://www.ncbi.nlm.nih.gov/gene/?term=UMPS","NCBI")</f>
        <v>NCBI</v>
      </c>
      <c r="F3156">
        <v>1.7999999999999999E-2</v>
      </c>
      <c r="G3156">
        <v>9.7000000000000003E-2</v>
      </c>
      <c r="H3156" s="1" t="str">
        <f>HYPERLINK("http://www.weizmann.ac.il/complex/compphys/software/geview/data/figures/215165_x_at.png","Figure")</f>
        <v>Figure</v>
      </c>
      <c r="I3156">
        <v>1.27</v>
      </c>
      <c r="J3156">
        <v>0.11</v>
      </c>
      <c r="K3156">
        <v>1.37</v>
      </c>
      <c r="L3156">
        <v>1.6E-2</v>
      </c>
      <c r="M3156">
        <v>1.07</v>
      </c>
      <c r="N3156">
        <v>0.77</v>
      </c>
    </row>
    <row r="3157" spans="1:14" x14ac:dyDescent="0.25">
      <c r="A3157" t="s">
        <v>5799</v>
      </c>
      <c r="B3157" t="s">
        <v>5800</v>
      </c>
      <c r="C3157" s="1" t="str">
        <f>HYPERLINK("http://www.genecards.org/cgi-bin/carddisp.pl?gene=LOC100288270 /// LOC100293638","GeneCards")</f>
        <v>GeneCards</v>
      </c>
      <c r="D3157" s="1" t="str">
        <f>HYPERLINK("http://genome-euro.ucsc.edu/cgi-bin/hgTracks?position=215835_at","UCSC")</f>
        <v>UCSC</v>
      </c>
      <c r="E3157" s="1" t="str">
        <f>HYPERLINK("http://www.ncbi.nlm.nih.gov/gene/?term=LOC100288270 /// LOC100293638","NCBI")</f>
        <v>NCBI</v>
      </c>
      <c r="F3157">
        <v>1.7999999999999999E-2</v>
      </c>
      <c r="G3157">
        <v>9.8000000000000004E-2</v>
      </c>
      <c r="H3157" s="1" t="str">
        <f>HYPERLINK("http://www.weizmann.ac.il/complex/compphys/software/geview/data/figures/215835_at.png","Figure")</f>
        <v>Figure</v>
      </c>
      <c r="I3157">
        <v>1.1200000000000001</v>
      </c>
      <c r="J3157">
        <v>1.6E-2</v>
      </c>
      <c r="K3157">
        <v>1.07</v>
      </c>
      <c r="L3157">
        <v>9.8000000000000004E-2</v>
      </c>
      <c r="M3157">
        <v>0.95599999999999996</v>
      </c>
      <c r="N3157">
        <v>0.38</v>
      </c>
    </row>
    <row r="3158" spans="1:14" x14ac:dyDescent="0.25">
      <c r="A3158" t="s">
        <v>5801</v>
      </c>
      <c r="B3158" t="s">
        <v>5802</v>
      </c>
      <c r="C3158" s="1" t="str">
        <f>HYPERLINK("http://www.genecards.org/cgi-bin/carddisp.pl?gene=SLC25A3","GeneCards")</f>
        <v>GeneCards</v>
      </c>
      <c r="D3158" s="1" t="str">
        <f>HYPERLINK("http://genome-euro.ucsc.edu/cgi-bin/hgTracks?position=200030_s_at","UCSC")</f>
        <v>UCSC</v>
      </c>
      <c r="E3158" s="1" t="str">
        <f>HYPERLINK("http://www.ncbi.nlm.nih.gov/gene/?term=SLC25A3","NCBI")</f>
        <v>NCBI</v>
      </c>
      <c r="F3158">
        <v>1.7999999999999999E-2</v>
      </c>
      <c r="G3158">
        <v>9.8000000000000004E-2</v>
      </c>
      <c r="H3158" s="1" t="str">
        <f>HYPERLINK("http://www.weizmann.ac.il/complex/compphys/software/geview/data/figures/200030_s_at.png","Figure")</f>
        <v>Figure</v>
      </c>
      <c r="I3158">
        <v>1.19</v>
      </c>
      <c r="J3158">
        <v>0.34</v>
      </c>
      <c r="K3158">
        <v>0.83199999999999996</v>
      </c>
      <c r="L3158">
        <v>0.2</v>
      </c>
      <c r="M3158">
        <v>0.70199999999999996</v>
      </c>
      <c r="N3158">
        <v>1.4999999999999999E-2</v>
      </c>
    </row>
    <row r="3159" spans="1:14" x14ac:dyDescent="0.25">
      <c r="A3159" t="s">
        <v>5803</v>
      </c>
      <c r="B3159" t="s">
        <v>5804</v>
      </c>
      <c r="C3159" s="1" t="str">
        <f>HYPERLINK("http://www.genecards.org/cgi-bin/carddisp.pl?gene=PSIP1","GeneCards")</f>
        <v>GeneCards</v>
      </c>
      <c r="D3159" s="1" t="str">
        <f>HYPERLINK("http://genome-euro.ucsc.edu/cgi-bin/hgTracks?position=209337_at","UCSC")</f>
        <v>UCSC</v>
      </c>
      <c r="E3159" s="1" t="str">
        <f>HYPERLINK("http://www.ncbi.nlm.nih.gov/gene/?term=PSIP1","NCBI")</f>
        <v>NCBI</v>
      </c>
      <c r="F3159">
        <v>1.7999999999999999E-2</v>
      </c>
      <c r="G3159">
        <v>9.8000000000000004E-2</v>
      </c>
      <c r="H3159" s="1" t="str">
        <f>HYPERLINK("http://www.weizmann.ac.il/complex/compphys/software/geview/data/figures/209337_at.png","Figure")</f>
        <v>Figure</v>
      </c>
      <c r="I3159">
        <v>0.57399999999999995</v>
      </c>
      <c r="J3159">
        <v>2.5999999999999999E-2</v>
      </c>
      <c r="K3159">
        <v>0.95799999999999996</v>
      </c>
      <c r="L3159">
        <v>0.96</v>
      </c>
      <c r="M3159">
        <v>1.67</v>
      </c>
      <c r="N3159">
        <v>2.8000000000000001E-2</v>
      </c>
    </row>
    <row r="3160" spans="1:14" x14ac:dyDescent="0.25">
      <c r="A3160" t="s">
        <v>5805</v>
      </c>
      <c r="B3160" t="s">
        <v>5806</v>
      </c>
      <c r="C3160" s="1" t="str">
        <f>HYPERLINK("http://www.genecards.org/cgi-bin/carddisp.pl?gene=ARPC5","GeneCards")</f>
        <v>GeneCards</v>
      </c>
      <c r="D3160" s="1" t="str">
        <f>HYPERLINK("http://genome-euro.ucsc.edu/cgi-bin/hgTracks?position=211963_s_at","UCSC")</f>
        <v>UCSC</v>
      </c>
      <c r="E3160" s="1" t="str">
        <f>HYPERLINK("http://www.ncbi.nlm.nih.gov/gene/?term=ARPC5","NCBI")</f>
        <v>NCBI</v>
      </c>
      <c r="F3160">
        <v>1.7999999999999999E-2</v>
      </c>
      <c r="G3160">
        <v>9.8000000000000004E-2</v>
      </c>
      <c r="H3160" s="1" t="str">
        <f>HYPERLINK("http://www.weizmann.ac.il/complex/compphys/software/geview/data/figures/211963_s_at.png","Figure")</f>
        <v>Figure</v>
      </c>
      <c r="I3160">
        <v>1.3</v>
      </c>
      <c r="J3160">
        <v>0.67</v>
      </c>
      <c r="K3160">
        <v>2.36</v>
      </c>
      <c r="L3160">
        <v>1.7999999999999999E-2</v>
      </c>
      <c r="M3160">
        <v>1.81</v>
      </c>
      <c r="N3160">
        <v>0.13</v>
      </c>
    </row>
    <row r="3161" spans="1:14" x14ac:dyDescent="0.25">
      <c r="A3161" t="s">
        <v>5807</v>
      </c>
      <c r="B3161" t="s">
        <v>5808</v>
      </c>
      <c r="C3161" s="1" t="str">
        <f>HYPERLINK("http://www.genecards.org/cgi-bin/carddisp.pl?gene=GORASP1","GeneCards")</f>
        <v>GeneCards</v>
      </c>
      <c r="D3161" s="1" t="str">
        <f>HYPERLINK("http://genome-euro.ucsc.edu/cgi-bin/hgTracks?position=215749_s_at","UCSC")</f>
        <v>UCSC</v>
      </c>
      <c r="E3161" s="1" t="str">
        <f>HYPERLINK("http://www.ncbi.nlm.nih.gov/gene/?term=GORASP1","NCBI")</f>
        <v>NCBI</v>
      </c>
      <c r="F3161">
        <v>1.7999999999999999E-2</v>
      </c>
      <c r="G3161">
        <v>9.8000000000000004E-2</v>
      </c>
      <c r="H3161" s="1" t="str">
        <f>HYPERLINK("http://www.weizmann.ac.il/complex/compphys/software/geview/data/figures/215749_s_at.png","Figure")</f>
        <v>Figure</v>
      </c>
      <c r="I3161">
        <v>1.58</v>
      </c>
      <c r="J3161">
        <v>5.2999999999999999E-2</v>
      </c>
      <c r="K3161">
        <v>1.61</v>
      </c>
      <c r="L3161">
        <v>2.1000000000000001E-2</v>
      </c>
      <c r="M3161">
        <v>1.02</v>
      </c>
      <c r="N3161">
        <v>0.99</v>
      </c>
    </row>
    <row r="3162" spans="1:14" x14ac:dyDescent="0.25">
      <c r="A3162" t="s">
        <v>5809</v>
      </c>
      <c r="B3162" t="s">
        <v>5810</v>
      </c>
      <c r="C3162" s="1" t="str">
        <f>HYPERLINK("http://www.genecards.org/cgi-bin/carddisp.pl?gene=TMEM135","GeneCards")</f>
        <v>GeneCards</v>
      </c>
      <c r="D3162" s="1" t="str">
        <f>HYPERLINK("http://genome-euro.ucsc.edu/cgi-bin/hgTracks?position=222209_s_at","UCSC")</f>
        <v>UCSC</v>
      </c>
      <c r="E3162" s="1" t="str">
        <f>HYPERLINK("http://www.ncbi.nlm.nih.gov/gene/?term=TMEM135","NCBI")</f>
        <v>NCBI</v>
      </c>
      <c r="F3162">
        <v>1.7999999999999999E-2</v>
      </c>
      <c r="G3162">
        <v>9.8000000000000004E-2</v>
      </c>
      <c r="H3162" s="1" t="str">
        <f>HYPERLINK("http://www.weizmann.ac.il/complex/compphys/software/geview/data/figures/222209_s_at.png","Figure")</f>
        <v>Figure</v>
      </c>
      <c r="I3162">
        <v>0.68100000000000005</v>
      </c>
      <c r="J3162">
        <v>0.03</v>
      </c>
      <c r="K3162">
        <v>0.98899999999999999</v>
      </c>
      <c r="L3162">
        <v>1</v>
      </c>
      <c r="M3162">
        <v>1.45</v>
      </c>
      <c r="N3162">
        <v>2.5000000000000001E-2</v>
      </c>
    </row>
    <row r="3163" spans="1:14" x14ac:dyDescent="0.25">
      <c r="A3163" t="s">
        <v>5811</v>
      </c>
      <c r="B3163" t="s">
        <v>5812</v>
      </c>
      <c r="C3163" s="1" t="str">
        <f>HYPERLINK("http://www.genecards.org/cgi-bin/carddisp.pl?gene=MCM7","GeneCards")</f>
        <v>GeneCards</v>
      </c>
      <c r="D3163" s="1" t="str">
        <f>HYPERLINK("http://genome-euro.ucsc.edu/cgi-bin/hgTracks?position=208795_s_at","UCSC")</f>
        <v>UCSC</v>
      </c>
      <c r="E3163" s="1" t="str">
        <f>HYPERLINK("http://www.ncbi.nlm.nih.gov/gene/?term=MCM7","NCBI")</f>
        <v>NCBI</v>
      </c>
      <c r="F3163">
        <v>1.7999999999999999E-2</v>
      </c>
      <c r="G3163">
        <v>9.8000000000000004E-2</v>
      </c>
      <c r="H3163" s="1" t="str">
        <f>HYPERLINK("http://www.weizmann.ac.il/complex/compphys/software/geview/data/figures/208795_s_at.png","Figure")</f>
        <v>Figure</v>
      </c>
      <c r="I3163">
        <v>1.92</v>
      </c>
      <c r="J3163">
        <v>1.4E-2</v>
      </c>
      <c r="K3163">
        <v>1.38</v>
      </c>
      <c r="L3163">
        <v>0.18</v>
      </c>
      <c r="M3163">
        <v>0.72099999999999997</v>
      </c>
      <c r="N3163">
        <v>0.21</v>
      </c>
    </row>
    <row r="3164" spans="1:14" x14ac:dyDescent="0.25">
      <c r="A3164" t="s">
        <v>5813</v>
      </c>
      <c r="B3164" t="s">
        <v>5814</v>
      </c>
      <c r="C3164" s="1" t="str">
        <f>HYPERLINK("http://www.genecards.org/cgi-bin/carddisp.pl?gene=TM7SF4","GeneCards")</f>
        <v>GeneCards</v>
      </c>
      <c r="D3164" s="1" t="str">
        <f>HYPERLINK("http://genome-euro.ucsc.edu/cgi-bin/hgTracks?position=221266_s_at","UCSC")</f>
        <v>UCSC</v>
      </c>
      <c r="E3164" s="1" t="str">
        <f>HYPERLINK("http://www.ncbi.nlm.nih.gov/gene/?term=TM7SF4","NCBI")</f>
        <v>NCBI</v>
      </c>
      <c r="F3164">
        <v>1.7999999999999999E-2</v>
      </c>
      <c r="G3164">
        <v>9.8000000000000004E-2</v>
      </c>
      <c r="H3164" s="1" t="str">
        <f>HYPERLINK("http://www.weizmann.ac.il/complex/compphys/software/geview/data/figures/221266_s_at.png","Figure")</f>
        <v>Figure</v>
      </c>
      <c r="I3164">
        <v>1.2</v>
      </c>
      <c r="J3164">
        <v>1.7999999999999999E-2</v>
      </c>
      <c r="K3164">
        <v>1.04</v>
      </c>
      <c r="L3164">
        <v>0.72</v>
      </c>
      <c r="M3164">
        <v>0.86599999999999999</v>
      </c>
      <c r="N3164">
        <v>4.7E-2</v>
      </c>
    </row>
    <row r="3165" spans="1:14" x14ac:dyDescent="0.25">
      <c r="A3165" t="s">
        <v>5815</v>
      </c>
      <c r="B3165" t="s">
        <v>5816</v>
      </c>
      <c r="C3165" s="1" t="str">
        <f>HYPERLINK("http://www.genecards.org/cgi-bin/carddisp.pl?gene=TMEM106C","GeneCards")</f>
        <v>GeneCards</v>
      </c>
      <c r="D3165" s="1" t="str">
        <f>HYPERLINK("http://genome-euro.ucsc.edu/cgi-bin/hgTracks?position=201764_at","UCSC")</f>
        <v>UCSC</v>
      </c>
      <c r="E3165" s="1" t="str">
        <f>HYPERLINK("http://www.ncbi.nlm.nih.gov/gene/?term=TMEM106C","NCBI")</f>
        <v>NCBI</v>
      </c>
      <c r="F3165">
        <v>1.7999999999999999E-2</v>
      </c>
      <c r="G3165">
        <v>9.8000000000000004E-2</v>
      </c>
      <c r="H3165" s="1" t="str">
        <f>HYPERLINK("http://www.weizmann.ac.il/complex/compphys/software/geview/data/figures/201764_at.png","Figure")</f>
        <v>Figure</v>
      </c>
      <c r="I3165">
        <v>1.45</v>
      </c>
      <c r="J3165">
        <v>0.03</v>
      </c>
      <c r="K3165">
        <v>1.38</v>
      </c>
      <c r="L3165">
        <v>3.3000000000000002E-2</v>
      </c>
      <c r="M3165">
        <v>0.95</v>
      </c>
      <c r="N3165">
        <v>0.9</v>
      </c>
    </row>
    <row r="3166" spans="1:14" x14ac:dyDescent="0.25">
      <c r="A3166" t="s">
        <v>5817</v>
      </c>
      <c r="B3166" t="s">
        <v>5818</v>
      </c>
      <c r="C3166" s="1" t="str">
        <f>HYPERLINK("http://www.genecards.org/cgi-bin/carddisp.pl?gene=GRK1","GeneCards")</f>
        <v>GeneCards</v>
      </c>
      <c r="D3166" s="1" t="str">
        <f>HYPERLINK("http://genome-euro.ucsc.edu/cgi-bin/hgTracks?position=208041_at","UCSC")</f>
        <v>UCSC</v>
      </c>
      <c r="E3166" s="1" t="str">
        <f>HYPERLINK("http://www.ncbi.nlm.nih.gov/gene/?term=GRK1","NCBI")</f>
        <v>NCBI</v>
      </c>
      <c r="F3166">
        <v>1.7999999999999999E-2</v>
      </c>
      <c r="G3166">
        <v>9.8000000000000004E-2</v>
      </c>
      <c r="H3166" s="1" t="str">
        <f>HYPERLINK("http://www.weizmann.ac.il/complex/compphys/software/geview/data/figures/208041_at.png","Figure")</f>
        <v>Figure</v>
      </c>
      <c r="I3166">
        <v>1.33</v>
      </c>
      <c r="J3166">
        <v>1.4E-2</v>
      </c>
      <c r="K3166">
        <v>1.1299999999999999</v>
      </c>
      <c r="L3166">
        <v>0.28000000000000003</v>
      </c>
      <c r="M3166">
        <v>0.84799999999999998</v>
      </c>
      <c r="N3166">
        <v>0.14000000000000001</v>
      </c>
    </row>
    <row r="3167" spans="1:14" x14ac:dyDescent="0.25">
      <c r="A3167" t="s">
        <v>5819</v>
      </c>
      <c r="B3167" t="s">
        <v>5820</v>
      </c>
      <c r="C3167" s="1" t="str">
        <f>HYPERLINK("http://www.genecards.org/cgi-bin/carddisp.pl?gene=PRNP","GeneCards")</f>
        <v>GeneCards</v>
      </c>
      <c r="D3167" s="1" t="str">
        <f>HYPERLINK("http://genome-euro.ucsc.edu/cgi-bin/hgTracks?position=201300_s_at","UCSC")</f>
        <v>UCSC</v>
      </c>
      <c r="E3167" s="1" t="str">
        <f>HYPERLINK("http://www.ncbi.nlm.nih.gov/gene/?term=PRNP","NCBI")</f>
        <v>NCBI</v>
      </c>
      <c r="F3167">
        <v>1.7999999999999999E-2</v>
      </c>
      <c r="G3167">
        <v>9.8000000000000004E-2</v>
      </c>
      <c r="H3167" s="1" t="str">
        <f>HYPERLINK("http://www.weizmann.ac.il/complex/compphys/software/geview/data/figures/201300_s_at.png","Figure")</f>
        <v>Figure</v>
      </c>
      <c r="I3167">
        <v>0.312</v>
      </c>
      <c r="J3167">
        <v>2.5999999999999999E-2</v>
      </c>
      <c r="K3167">
        <v>0.38800000000000001</v>
      </c>
      <c r="L3167">
        <v>3.9E-2</v>
      </c>
      <c r="M3167">
        <v>1.25</v>
      </c>
      <c r="N3167">
        <v>0.82</v>
      </c>
    </row>
    <row r="3168" spans="1:14" x14ac:dyDescent="0.25">
      <c r="A3168" t="s">
        <v>5821</v>
      </c>
      <c r="B3168" t="s">
        <v>5822</v>
      </c>
      <c r="C3168" s="1" t="str">
        <f>HYPERLINK("http://www.genecards.org/cgi-bin/carddisp.pl?gene=ARVCF","GeneCards")</f>
        <v>GeneCards</v>
      </c>
      <c r="D3168" s="1" t="str">
        <f>HYPERLINK("http://genome-euro.ucsc.edu/cgi-bin/hgTracks?position=205784_x_at","UCSC")</f>
        <v>UCSC</v>
      </c>
      <c r="E3168" s="1" t="str">
        <f>HYPERLINK("http://www.ncbi.nlm.nih.gov/gene/?term=ARVCF","NCBI")</f>
        <v>NCBI</v>
      </c>
      <c r="F3168">
        <v>1.7999999999999999E-2</v>
      </c>
      <c r="G3168">
        <v>9.8000000000000004E-2</v>
      </c>
      <c r="H3168" s="1" t="str">
        <f>HYPERLINK("http://www.weizmann.ac.il/complex/compphys/software/geview/data/figures/205784_x_at.png","Figure")</f>
        <v>Figure</v>
      </c>
      <c r="I3168">
        <v>1.7</v>
      </c>
      <c r="J3168">
        <v>1.4999999999999999E-2</v>
      </c>
      <c r="K3168">
        <v>1.21</v>
      </c>
      <c r="L3168">
        <v>0.38</v>
      </c>
      <c r="M3168">
        <v>0.71299999999999997</v>
      </c>
      <c r="N3168">
        <v>0.1</v>
      </c>
    </row>
    <row r="3169" spans="1:14" x14ac:dyDescent="0.25">
      <c r="A3169" t="s">
        <v>5823</v>
      </c>
      <c r="B3169" t="s">
        <v>5824</v>
      </c>
      <c r="C3169" s="1" t="str">
        <f>HYPERLINK("http://www.genecards.org/cgi-bin/carddisp.pl?gene=S1PR4","GeneCards")</f>
        <v>GeneCards</v>
      </c>
      <c r="D3169" s="1" t="str">
        <f>HYPERLINK("http://genome-euro.ucsc.edu/cgi-bin/hgTracks?position=206437_at","UCSC")</f>
        <v>UCSC</v>
      </c>
      <c r="E3169" s="1" t="str">
        <f>HYPERLINK("http://www.ncbi.nlm.nih.gov/gene/?term=S1PR4","NCBI")</f>
        <v>NCBI</v>
      </c>
      <c r="F3169">
        <v>1.7999999999999999E-2</v>
      </c>
      <c r="G3169">
        <v>9.8000000000000004E-2</v>
      </c>
      <c r="H3169" s="1" t="str">
        <f>HYPERLINK("http://www.weizmann.ac.il/complex/compphys/software/geview/data/figures/206437_at.png","Figure")</f>
        <v>Figure</v>
      </c>
      <c r="I3169">
        <v>1.26</v>
      </c>
      <c r="J3169">
        <v>0.18</v>
      </c>
      <c r="K3169">
        <v>1.42</v>
      </c>
      <c r="L3169">
        <v>1.4E-2</v>
      </c>
      <c r="M3169">
        <v>1.1299999999999999</v>
      </c>
      <c r="N3169">
        <v>0.55000000000000004</v>
      </c>
    </row>
    <row r="3170" spans="1:14" x14ac:dyDescent="0.25">
      <c r="A3170" t="s">
        <v>5825</v>
      </c>
      <c r="B3170" t="s">
        <v>5398</v>
      </c>
      <c r="C3170" s="1" t="str">
        <f>HYPERLINK("http://www.genecards.org/cgi-bin/carddisp.pl?gene=TP63","GeneCards")</f>
        <v>GeneCards</v>
      </c>
      <c r="D3170" s="1" t="str">
        <f>HYPERLINK("http://genome-euro.ucsc.edu/cgi-bin/hgTracks?position=209863_s_at","UCSC")</f>
        <v>UCSC</v>
      </c>
      <c r="E3170" s="1" t="str">
        <f>HYPERLINK("http://www.ncbi.nlm.nih.gov/gene/?term=TP63","NCBI")</f>
        <v>NCBI</v>
      </c>
      <c r="F3170">
        <v>1.7999999999999999E-2</v>
      </c>
      <c r="G3170">
        <v>9.8000000000000004E-2</v>
      </c>
      <c r="H3170" s="1" t="str">
        <f>HYPERLINK("http://www.weizmann.ac.il/complex/compphys/software/geview/data/figures/209863_s_at.png","Figure")</f>
        <v>Figure</v>
      </c>
      <c r="I3170">
        <v>0.96</v>
      </c>
      <c r="J3170">
        <v>0.78</v>
      </c>
      <c r="K3170">
        <v>0.84499999999999997</v>
      </c>
      <c r="L3170">
        <v>0.02</v>
      </c>
      <c r="M3170">
        <v>0.88</v>
      </c>
      <c r="N3170">
        <v>0.1</v>
      </c>
    </row>
    <row r="3171" spans="1:14" x14ac:dyDescent="0.25">
      <c r="A3171" t="s">
        <v>5826</v>
      </c>
      <c r="B3171" t="s">
        <v>5827</v>
      </c>
      <c r="C3171" s="1" t="str">
        <f>HYPERLINK("http://www.genecards.org/cgi-bin/carddisp.pl?gene=SPG7","GeneCards")</f>
        <v>GeneCards</v>
      </c>
      <c r="D3171" s="1" t="str">
        <f>HYPERLINK("http://genome-euro.ucsc.edu/cgi-bin/hgTracks?position=214494_s_at","UCSC")</f>
        <v>UCSC</v>
      </c>
      <c r="E3171" s="1" t="str">
        <f>HYPERLINK("http://www.ncbi.nlm.nih.gov/gene/?term=SPG7","NCBI")</f>
        <v>NCBI</v>
      </c>
      <c r="F3171">
        <v>1.7999999999999999E-2</v>
      </c>
      <c r="G3171">
        <v>9.8000000000000004E-2</v>
      </c>
      <c r="H3171" s="1" t="str">
        <f>HYPERLINK("http://www.weizmann.ac.il/complex/compphys/software/geview/data/figures/214494_s_at.png","Figure")</f>
        <v>Figure</v>
      </c>
      <c r="I3171">
        <v>1.43</v>
      </c>
      <c r="J3171">
        <v>5.6000000000000001E-2</v>
      </c>
      <c r="K3171">
        <v>0.94099999999999995</v>
      </c>
      <c r="L3171">
        <v>0.87</v>
      </c>
      <c r="M3171">
        <v>0.65900000000000003</v>
      </c>
      <c r="N3171">
        <v>1.7000000000000001E-2</v>
      </c>
    </row>
    <row r="3172" spans="1:14" x14ac:dyDescent="0.25">
      <c r="A3172" t="s">
        <v>5828</v>
      </c>
      <c r="B3172" t="s">
        <v>5829</v>
      </c>
      <c r="C3172" s="1" t="str">
        <f>HYPERLINK("http://www.genecards.org/cgi-bin/carddisp.pl?gene=SPRR3","GeneCards")</f>
        <v>GeneCards</v>
      </c>
      <c r="D3172" s="1" t="str">
        <f>HYPERLINK("http://genome-euro.ucsc.edu/cgi-bin/hgTracks?position=218990_s_at","UCSC")</f>
        <v>UCSC</v>
      </c>
      <c r="E3172" s="1" t="str">
        <f>HYPERLINK("http://www.ncbi.nlm.nih.gov/gene/?term=SPRR3","NCBI")</f>
        <v>NCBI</v>
      </c>
      <c r="F3172">
        <v>1.7999999999999999E-2</v>
      </c>
      <c r="G3172">
        <v>9.8000000000000004E-2</v>
      </c>
      <c r="H3172" s="1" t="str">
        <f>HYPERLINK("http://www.weizmann.ac.il/complex/compphys/software/geview/data/figures/218990_s_at.png","Figure")</f>
        <v>Figure</v>
      </c>
      <c r="I3172">
        <v>1.21</v>
      </c>
      <c r="J3172">
        <v>2.1999999999999999E-2</v>
      </c>
      <c r="K3172">
        <v>1.1499999999999999</v>
      </c>
      <c r="L3172">
        <v>5.0999999999999997E-2</v>
      </c>
      <c r="M3172">
        <v>0.95299999999999996</v>
      </c>
      <c r="N3172">
        <v>0.67</v>
      </c>
    </row>
    <row r="3173" spans="1:14" x14ac:dyDescent="0.25">
      <c r="A3173" t="s">
        <v>5830</v>
      </c>
      <c r="B3173" t="s">
        <v>5831</v>
      </c>
      <c r="C3173" s="1" t="str">
        <f>HYPERLINK("http://www.genecards.org/cgi-bin/carddisp.pl?gene=SLC1A7","GeneCards")</f>
        <v>GeneCards</v>
      </c>
      <c r="D3173" s="1" t="str">
        <f>HYPERLINK("http://genome-euro.ucsc.edu/cgi-bin/hgTracks?position=207355_at","UCSC")</f>
        <v>UCSC</v>
      </c>
      <c r="E3173" s="1" t="str">
        <f>HYPERLINK("http://www.ncbi.nlm.nih.gov/gene/?term=SLC1A7","NCBI")</f>
        <v>NCBI</v>
      </c>
      <c r="F3173">
        <v>1.7999999999999999E-2</v>
      </c>
      <c r="G3173">
        <v>9.8000000000000004E-2</v>
      </c>
      <c r="H3173" s="1" t="str">
        <f>HYPERLINK("http://www.weizmann.ac.il/complex/compphys/software/geview/data/figures/207355_at.png","Figure")</f>
        <v>Figure</v>
      </c>
      <c r="I3173">
        <v>1.29</v>
      </c>
      <c r="J3173">
        <v>1.4E-2</v>
      </c>
      <c r="K3173">
        <v>1.1000000000000001</v>
      </c>
      <c r="L3173">
        <v>0.34</v>
      </c>
      <c r="M3173">
        <v>0.85399999999999998</v>
      </c>
      <c r="N3173">
        <v>0.11</v>
      </c>
    </row>
    <row r="3174" spans="1:14" x14ac:dyDescent="0.25">
      <c r="A3174" t="s">
        <v>5832</v>
      </c>
      <c r="B3174" t="s">
        <v>5833</v>
      </c>
      <c r="C3174" s="1" t="str">
        <f>HYPERLINK("http://www.genecards.org/cgi-bin/carddisp.pl?gene=SRM","GeneCards")</f>
        <v>GeneCards</v>
      </c>
      <c r="D3174" s="1" t="str">
        <f>HYPERLINK("http://genome-euro.ucsc.edu/cgi-bin/hgTracks?position=201516_at","UCSC")</f>
        <v>UCSC</v>
      </c>
      <c r="E3174" s="1" t="str">
        <f>HYPERLINK("http://www.ncbi.nlm.nih.gov/gene/?term=SRM","NCBI")</f>
        <v>NCBI</v>
      </c>
      <c r="F3174">
        <v>1.7999999999999999E-2</v>
      </c>
      <c r="G3174">
        <v>9.9000000000000005E-2</v>
      </c>
      <c r="H3174" s="1" t="str">
        <f>HYPERLINK("http://www.weizmann.ac.il/complex/compphys/software/geview/data/figures/201516_at.png","Figure")</f>
        <v>Figure</v>
      </c>
      <c r="I3174">
        <v>0.89900000000000002</v>
      </c>
      <c r="J3174">
        <v>0.81</v>
      </c>
      <c r="K3174">
        <v>1.45</v>
      </c>
      <c r="L3174">
        <v>6.6000000000000003E-2</v>
      </c>
      <c r="M3174">
        <v>1.61</v>
      </c>
      <c r="N3174">
        <v>2.5999999999999999E-2</v>
      </c>
    </row>
    <row r="3175" spans="1:14" x14ac:dyDescent="0.25">
      <c r="A3175" t="s">
        <v>5834</v>
      </c>
      <c r="B3175" t="s">
        <v>5835</v>
      </c>
      <c r="C3175" s="1" t="str">
        <f>HYPERLINK("http://www.genecards.org/cgi-bin/carddisp.pl?gene=C20orf117","GeneCards")</f>
        <v>GeneCards</v>
      </c>
      <c r="D3175" s="1" t="str">
        <f>HYPERLINK("http://genome-euro.ucsc.edu/cgi-bin/hgTracks?position=207711_at","UCSC")</f>
        <v>UCSC</v>
      </c>
      <c r="E3175" s="1" t="str">
        <f>HYPERLINK("http://www.ncbi.nlm.nih.gov/gene/?term=C20orf117","NCBI")</f>
        <v>NCBI</v>
      </c>
      <c r="F3175">
        <v>1.7999999999999999E-2</v>
      </c>
      <c r="G3175">
        <v>9.9000000000000005E-2</v>
      </c>
      <c r="H3175" s="1" t="str">
        <f>HYPERLINK("http://www.weizmann.ac.il/complex/compphys/software/geview/data/figures/207711_at.png","Figure")</f>
        <v>Figure</v>
      </c>
      <c r="I3175">
        <v>1.54</v>
      </c>
      <c r="J3175">
        <v>0.15</v>
      </c>
      <c r="K3175">
        <v>1.88</v>
      </c>
      <c r="L3175">
        <v>1.4999999999999999E-2</v>
      </c>
      <c r="M3175">
        <v>1.22</v>
      </c>
      <c r="N3175">
        <v>0.61</v>
      </c>
    </row>
    <row r="3176" spans="1:14" x14ac:dyDescent="0.25">
      <c r="A3176" t="s">
        <v>5836</v>
      </c>
      <c r="B3176" t="s">
        <v>5837</v>
      </c>
      <c r="C3176" s="1" t="str">
        <f>HYPERLINK("http://www.genecards.org/cgi-bin/carddisp.pl?gene=RNF6","GeneCards")</f>
        <v>GeneCards</v>
      </c>
      <c r="D3176" s="1" t="str">
        <f>HYPERLINK("http://genome-euro.ucsc.edu/cgi-bin/hgTracks?position=203403_s_at","UCSC")</f>
        <v>UCSC</v>
      </c>
      <c r="E3176" s="1" t="str">
        <f>HYPERLINK("http://www.ncbi.nlm.nih.gov/gene/?term=RNF6","NCBI")</f>
        <v>NCBI</v>
      </c>
      <c r="F3176">
        <v>1.7999999999999999E-2</v>
      </c>
      <c r="G3176">
        <v>9.9000000000000005E-2</v>
      </c>
      <c r="H3176" s="1" t="str">
        <f>HYPERLINK("http://www.weizmann.ac.il/complex/compphys/software/geview/data/figures/203403_s_at.png","Figure")</f>
        <v>Figure</v>
      </c>
      <c r="I3176">
        <v>0.42199999999999999</v>
      </c>
      <c r="J3176">
        <v>3.9E-2</v>
      </c>
      <c r="K3176">
        <v>0.44500000000000001</v>
      </c>
      <c r="L3176">
        <v>2.7E-2</v>
      </c>
      <c r="M3176">
        <v>1.05</v>
      </c>
      <c r="N3176">
        <v>0.98</v>
      </c>
    </row>
    <row r="3177" spans="1:14" x14ac:dyDescent="0.25">
      <c r="A3177" t="s">
        <v>5838</v>
      </c>
      <c r="B3177" t="s">
        <v>4205</v>
      </c>
      <c r="C3177" s="1" t="str">
        <f>HYPERLINK("http://www.genecards.org/cgi-bin/carddisp.pl?gene=MCAM","GeneCards")</f>
        <v>GeneCards</v>
      </c>
      <c r="D3177" s="1" t="str">
        <f>HYPERLINK("http://genome-euro.ucsc.edu/cgi-bin/hgTracks?position=211042_x_at","UCSC")</f>
        <v>UCSC</v>
      </c>
      <c r="E3177" s="1" t="str">
        <f>HYPERLINK("http://www.ncbi.nlm.nih.gov/gene/?term=MCAM","NCBI")</f>
        <v>NCBI</v>
      </c>
      <c r="F3177">
        <v>1.7999999999999999E-2</v>
      </c>
      <c r="G3177">
        <v>9.9000000000000005E-2</v>
      </c>
      <c r="H3177" s="1" t="str">
        <f>HYPERLINK("http://www.weizmann.ac.il/complex/compphys/software/geview/data/figures/211042_x_at.png","Figure")</f>
        <v>Figure</v>
      </c>
      <c r="I3177">
        <v>1.02</v>
      </c>
      <c r="J3177">
        <v>0.97</v>
      </c>
      <c r="K3177">
        <v>1.25</v>
      </c>
      <c r="L3177">
        <v>2.8000000000000001E-2</v>
      </c>
      <c r="M3177">
        <v>1.22</v>
      </c>
      <c r="N3177">
        <v>6.0999999999999999E-2</v>
      </c>
    </row>
    <row r="3178" spans="1:14" x14ac:dyDescent="0.25">
      <c r="A3178" t="s">
        <v>5839</v>
      </c>
      <c r="B3178" t="s">
        <v>5840</v>
      </c>
      <c r="C3178" s="1" t="str">
        <f>HYPERLINK("http://www.genecards.org/cgi-bin/carddisp.pl?gene=HTR7","GeneCards")</f>
        <v>GeneCards</v>
      </c>
      <c r="D3178" s="1" t="str">
        <f>HYPERLINK("http://genome-euro.ucsc.edu/cgi-bin/hgTracks?position=207927_at","UCSC")</f>
        <v>UCSC</v>
      </c>
      <c r="E3178" s="1" t="str">
        <f>HYPERLINK("http://www.ncbi.nlm.nih.gov/gene/?term=HTR7","NCBI")</f>
        <v>NCBI</v>
      </c>
      <c r="F3178">
        <v>1.7999999999999999E-2</v>
      </c>
      <c r="G3178">
        <v>9.9000000000000005E-2</v>
      </c>
      <c r="H3178" s="1" t="str">
        <f>HYPERLINK("http://www.weizmann.ac.il/complex/compphys/software/geview/data/figures/207927_at.png","Figure")</f>
        <v>Figure</v>
      </c>
      <c r="I3178">
        <v>1.23</v>
      </c>
      <c r="J3178">
        <v>1.4999999999999999E-2</v>
      </c>
      <c r="K3178">
        <v>1.1100000000000001</v>
      </c>
      <c r="L3178">
        <v>0.17</v>
      </c>
      <c r="M3178">
        <v>0.90300000000000002</v>
      </c>
      <c r="N3178">
        <v>0.24</v>
      </c>
    </row>
    <row r="3179" spans="1:14" x14ac:dyDescent="0.25">
      <c r="A3179" t="s">
        <v>5841</v>
      </c>
      <c r="B3179" t="s">
        <v>5627</v>
      </c>
      <c r="C3179" s="1" t="str">
        <f>HYPERLINK("http://www.genecards.org/cgi-bin/carddisp.pl?gene=LOC91316","GeneCards")</f>
        <v>GeneCards</v>
      </c>
      <c r="D3179" s="1" t="str">
        <f>HYPERLINK("http://genome-euro.ucsc.edu/cgi-bin/hgTracks?position=215202_at","UCSC")</f>
        <v>UCSC</v>
      </c>
      <c r="E3179" s="1" t="str">
        <f>HYPERLINK("http://www.ncbi.nlm.nih.gov/gene/?term=LOC91316","NCBI")</f>
        <v>NCBI</v>
      </c>
      <c r="F3179">
        <v>1.7999999999999999E-2</v>
      </c>
      <c r="G3179">
        <v>9.9000000000000005E-2</v>
      </c>
      <c r="H3179" s="1" t="str">
        <f>HYPERLINK("http://www.weizmann.ac.il/complex/compphys/software/geview/data/figures/215202_at.png","Figure")</f>
        <v>Figure</v>
      </c>
      <c r="I3179">
        <v>1.57</v>
      </c>
      <c r="J3179">
        <v>1.6E-2</v>
      </c>
      <c r="K3179">
        <v>1.3</v>
      </c>
      <c r="L3179">
        <v>0.11</v>
      </c>
      <c r="M3179">
        <v>0.82699999999999996</v>
      </c>
      <c r="N3179">
        <v>0.34</v>
      </c>
    </row>
    <row r="3180" spans="1:14" x14ac:dyDescent="0.25">
      <c r="A3180" t="s">
        <v>5842</v>
      </c>
      <c r="B3180" t="s">
        <v>5843</v>
      </c>
      <c r="C3180" s="1" t="str">
        <f>HYPERLINK("http://www.genecards.org/cgi-bin/carddisp.pl?gene=CARD10","GeneCards")</f>
        <v>GeneCards</v>
      </c>
      <c r="D3180" s="1" t="str">
        <f>HYPERLINK("http://genome-euro.ucsc.edu/cgi-bin/hgTracks?position=210025_s_at","UCSC")</f>
        <v>UCSC</v>
      </c>
      <c r="E3180" s="1" t="str">
        <f>HYPERLINK("http://www.ncbi.nlm.nih.gov/gene/?term=CARD10","NCBI")</f>
        <v>NCBI</v>
      </c>
      <c r="F3180">
        <v>1.7999999999999999E-2</v>
      </c>
      <c r="G3180">
        <v>9.9000000000000005E-2</v>
      </c>
      <c r="H3180" s="1" t="str">
        <f>HYPERLINK("http://www.weizmann.ac.il/complex/compphys/software/geview/data/figures/210025_s_at.png","Figure")</f>
        <v>Figure</v>
      </c>
      <c r="I3180">
        <v>1.36</v>
      </c>
      <c r="J3180">
        <v>1.4999999999999999E-2</v>
      </c>
      <c r="K3180">
        <v>1.1200000000000001</v>
      </c>
      <c r="L3180">
        <v>0.35</v>
      </c>
      <c r="M3180">
        <v>0.82799999999999996</v>
      </c>
      <c r="N3180">
        <v>0.11</v>
      </c>
    </row>
    <row r="3181" spans="1:14" x14ac:dyDescent="0.25">
      <c r="A3181" t="s">
        <v>5844</v>
      </c>
      <c r="B3181" t="s">
        <v>5845</v>
      </c>
      <c r="C3181" s="1" t="str">
        <f>HYPERLINK("http://www.genecards.org/cgi-bin/carddisp.pl?gene=PQBP1","GeneCards")</f>
        <v>GeneCards</v>
      </c>
      <c r="D3181" s="1" t="str">
        <f>HYPERLINK("http://genome-euro.ucsc.edu/cgi-bin/hgTracks?position=207769_s_at","UCSC")</f>
        <v>UCSC</v>
      </c>
      <c r="E3181" s="1" t="str">
        <f>HYPERLINK("http://www.ncbi.nlm.nih.gov/gene/?term=PQBP1","NCBI")</f>
        <v>NCBI</v>
      </c>
      <c r="F3181">
        <v>1.9E-2</v>
      </c>
      <c r="G3181">
        <v>9.9000000000000005E-2</v>
      </c>
      <c r="H3181" s="1" t="str">
        <f>HYPERLINK("http://www.weizmann.ac.il/complex/compphys/software/geview/data/figures/207769_s_at.png","Figure")</f>
        <v>Figure</v>
      </c>
      <c r="I3181">
        <v>0.68899999999999995</v>
      </c>
      <c r="J3181">
        <v>9.0999999999999998E-2</v>
      </c>
      <c r="K3181">
        <v>1.1299999999999999</v>
      </c>
      <c r="L3181">
        <v>0.66</v>
      </c>
      <c r="M3181">
        <v>1.64</v>
      </c>
      <c r="N3181">
        <v>1.4999999999999999E-2</v>
      </c>
    </row>
    <row r="3182" spans="1:14" x14ac:dyDescent="0.25">
      <c r="A3182" t="s">
        <v>5846</v>
      </c>
      <c r="B3182" t="s">
        <v>727</v>
      </c>
      <c r="C3182" s="1" t="str">
        <f>HYPERLINK("http://www.genecards.org/cgi-bin/carddisp.pl?gene=PGK1","GeneCards")</f>
        <v>GeneCards</v>
      </c>
      <c r="D3182" s="1" t="str">
        <f>HYPERLINK("http://genome-euro.ucsc.edu/cgi-bin/hgTracks?position=217356_s_at","UCSC")</f>
        <v>UCSC</v>
      </c>
      <c r="E3182" s="1" t="str">
        <f>HYPERLINK("http://www.ncbi.nlm.nih.gov/gene/?term=PGK1","NCBI")</f>
        <v>NCBI</v>
      </c>
      <c r="F3182">
        <v>1.9E-2</v>
      </c>
      <c r="G3182">
        <v>9.9000000000000005E-2</v>
      </c>
      <c r="H3182" s="1" t="str">
        <f>HYPERLINK("http://www.weizmann.ac.il/complex/compphys/software/geview/data/figures/217356_s_at.png","Figure")</f>
        <v>Figure</v>
      </c>
      <c r="I3182">
        <v>0.63900000000000001</v>
      </c>
      <c r="J3182">
        <v>8.7999999999999995E-2</v>
      </c>
      <c r="K3182">
        <v>1.1499999999999999</v>
      </c>
      <c r="L3182">
        <v>0.68</v>
      </c>
      <c r="M3182">
        <v>1.81</v>
      </c>
      <c r="N3182">
        <v>1.4999999999999999E-2</v>
      </c>
    </row>
    <row r="3183" spans="1:14" x14ac:dyDescent="0.25">
      <c r="A3183" t="s">
        <v>5847</v>
      </c>
      <c r="B3183" t="s">
        <v>2126</v>
      </c>
      <c r="C3183" s="1" t="str">
        <f>HYPERLINK("http://www.genecards.org/cgi-bin/carddisp.pl?gene=PPIA","GeneCards")</f>
        <v>GeneCards</v>
      </c>
      <c r="D3183" s="1" t="str">
        <f>HYPERLINK("http://genome-euro.ucsc.edu/cgi-bin/hgTracks?position=211378_x_at","UCSC")</f>
        <v>UCSC</v>
      </c>
      <c r="E3183" s="1" t="str">
        <f>HYPERLINK("http://www.ncbi.nlm.nih.gov/gene/?term=PPIA","NCBI")</f>
        <v>NCBI</v>
      </c>
      <c r="F3183">
        <v>1.9E-2</v>
      </c>
      <c r="G3183">
        <v>9.9000000000000005E-2</v>
      </c>
      <c r="H3183" s="1" t="str">
        <f>HYPERLINK("http://www.weizmann.ac.il/complex/compphys/software/geview/data/figures/211378_x_at.png","Figure")</f>
        <v>Figure</v>
      </c>
      <c r="I3183">
        <v>1.0900000000000001</v>
      </c>
      <c r="J3183">
        <v>0.81</v>
      </c>
      <c r="K3183">
        <v>1.46</v>
      </c>
      <c r="L3183">
        <v>2.1000000000000001E-2</v>
      </c>
      <c r="M3183">
        <v>1.34</v>
      </c>
      <c r="N3183">
        <v>0.1</v>
      </c>
    </row>
    <row r="3184" spans="1:14" x14ac:dyDescent="0.25">
      <c r="A3184" t="s">
        <v>5848</v>
      </c>
      <c r="B3184" t="s">
        <v>5849</v>
      </c>
      <c r="C3184" s="1" t="str">
        <f>HYPERLINK("http://www.genecards.org/cgi-bin/carddisp.pl?gene=SQSTM1","GeneCards")</f>
        <v>GeneCards</v>
      </c>
      <c r="D3184" s="1" t="str">
        <f>HYPERLINK("http://genome-euro.ucsc.edu/cgi-bin/hgTracks?position=201471_s_at","UCSC")</f>
        <v>UCSC</v>
      </c>
      <c r="E3184" s="1" t="str">
        <f>HYPERLINK("http://www.ncbi.nlm.nih.gov/gene/?term=SQSTM1","NCBI")</f>
        <v>NCBI</v>
      </c>
      <c r="F3184">
        <v>1.9E-2</v>
      </c>
      <c r="G3184">
        <v>9.9000000000000005E-2</v>
      </c>
      <c r="H3184" s="1" t="str">
        <f>HYPERLINK("http://www.weizmann.ac.il/complex/compphys/software/geview/data/figures/201471_s_at.png","Figure")</f>
        <v>Figure</v>
      </c>
      <c r="I3184">
        <v>1.29</v>
      </c>
      <c r="J3184">
        <v>0.35</v>
      </c>
      <c r="K3184">
        <v>0.752</v>
      </c>
      <c r="L3184">
        <v>0.2</v>
      </c>
      <c r="M3184">
        <v>0.58199999999999996</v>
      </c>
      <c r="N3184">
        <v>1.6E-2</v>
      </c>
    </row>
    <row r="3185" spans="1:14" x14ac:dyDescent="0.25">
      <c r="A3185" t="s">
        <v>5850</v>
      </c>
      <c r="B3185" t="s">
        <v>5851</v>
      </c>
      <c r="C3185" s="1" t="str">
        <f>HYPERLINK("http://www.genecards.org/cgi-bin/carddisp.pl?gene=BCR","GeneCards")</f>
        <v>GeneCards</v>
      </c>
      <c r="D3185" s="1" t="str">
        <f>HYPERLINK("http://genome-euro.ucsc.edu/cgi-bin/hgTracks?position=202315_s_at","UCSC")</f>
        <v>UCSC</v>
      </c>
      <c r="E3185" s="1" t="str">
        <f>HYPERLINK("http://www.ncbi.nlm.nih.gov/gene/?term=BCR","NCBI")</f>
        <v>NCBI</v>
      </c>
      <c r="F3185">
        <v>1.9E-2</v>
      </c>
      <c r="G3185">
        <v>9.9000000000000005E-2</v>
      </c>
      <c r="H3185" s="1" t="str">
        <f>HYPERLINK("http://www.weizmann.ac.il/complex/compphys/software/geview/data/figures/202315_s_at.png","Figure")</f>
        <v>Figure</v>
      </c>
      <c r="I3185">
        <v>1.42</v>
      </c>
      <c r="J3185">
        <v>1.4E-2</v>
      </c>
      <c r="K3185">
        <v>1.18</v>
      </c>
      <c r="L3185">
        <v>0.21</v>
      </c>
      <c r="M3185">
        <v>0.83</v>
      </c>
      <c r="N3185">
        <v>0.19</v>
      </c>
    </row>
    <row r="3186" spans="1:14" x14ac:dyDescent="0.25">
      <c r="A3186" t="s">
        <v>5852</v>
      </c>
      <c r="B3186" t="s">
        <v>5853</v>
      </c>
      <c r="C3186" s="1" t="str">
        <f>HYPERLINK("http://www.genecards.org/cgi-bin/carddisp.pl?gene=LEPROT","GeneCards")</f>
        <v>GeneCards</v>
      </c>
      <c r="D3186" s="1" t="str">
        <f>HYPERLINK("http://genome-euro.ucsc.edu/cgi-bin/hgTracks?position=202378_s_at","UCSC")</f>
        <v>UCSC</v>
      </c>
      <c r="E3186" s="1" t="str">
        <f>HYPERLINK("http://www.ncbi.nlm.nih.gov/gene/?term=LEPROT","NCBI")</f>
        <v>NCBI</v>
      </c>
      <c r="F3186">
        <v>1.9E-2</v>
      </c>
      <c r="G3186">
        <v>9.9000000000000005E-2</v>
      </c>
      <c r="H3186" s="1" t="str">
        <f>HYPERLINK("http://www.weizmann.ac.il/complex/compphys/software/geview/data/figures/202378_s_at.png","Figure")</f>
        <v>Figure</v>
      </c>
      <c r="I3186">
        <v>0.77200000000000002</v>
      </c>
      <c r="J3186">
        <v>0.48</v>
      </c>
      <c r="K3186">
        <v>0.53800000000000003</v>
      </c>
      <c r="L3186">
        <v>1.6E-2</v>
      </c>
      <c r="M3186">
        <v>0.69699999999999995</v>
      </c>
      <c r="N3186">
        <v>0.22</v>
      </c>
    </row>
    <row r="3187" spans="1:14" x14ac:dyDescent="0.25">
      <c r="A3187" t="s">
        <v>5854</v>
      </c>
      <c r="B3187" t="s">
        <v>3605</v>
      </c>
      <c r="C3187" s="1" t="str">
        <f>HYPERLINK("http://www.genecards.org/cgi-bin/carddisp.pl?gene=HLA-DRB6","GeneCards")</f>
        <v>GeneCards</v>
      </c>
      <c r="D3187" s="1" t="str">
        <f>HYPERLINK("http://genome-euro.ucsc.edu/cgi-bin/hgTracks?position=217362_x_at","UCSC")</f>
        <v>UCSC</v>
      </c>
      <c r="E3187" s="1" t="str">
        <f>HYPERLINK("http://www.ncbi.nlm.nih.gov/gene/?term=HLA-DRB6","NCBI")</f>
        <v>NCBI</v>
      </c>
      <c r="F3187">
        <v>1.9E-2</v>
      </c>
      <c r="G3187">
        <v>9.9000000000000005E-2</v>
      </c>
      <c r="H3187" s="1" t="str">
        <f>HYPERLINK("http://www.weizmann.ac.il/complex/compphys/software/geview/data/figures/217362_x_at.png","Figure")</f>
        <v>Figure</v>
      </c>
      <c r="I3187">
        <v>1.1100000000000001</v>
      </c>
      <c r="J3187">
        <v>0.76</v>
      </c>
      <c r="K3187">
        <v>0.73099999999999998</v>
      </c>
      <c r="L3187">
        <v>7.2999999999999995E-2</v>
      </c>
      <c r="M3187">
        <v>0.65800000000000003</v>
      </c>
      <c r="N3187">
        <v>2.5000000000000001E-2</v>
      </c>
    </row>
    <row r="3188" spans="1:14" x14ac:dyDescent="0.25">
      <c r="A3188" t="s">
        <v>5855</v>
      </c>
      <c r="B3188" t="s">
        <v>5856</v>
      </c>
      <c r="C3188" s="1" t="str">
        <f>HYPERLINK("http://www.genecards.org/cgi-bin/carddisp.pl?gene=OR12D3","GeneCards")</f>
        <v>GeneCards</v>
      </c>
      <c r="D3188" s="1" t="str">
        <f>HYPERLINK("http://genome-euro.ucsc.edu/cgi-bin/hgTracks?position=221431_s_at","UCSC")</f>
        <v>UCSC</v>
      </c>
      <c r="E3188" s="1" t="str">
        <f>HYPERLINK("http://www.ncbi.nlm.nih.gov/gene/?term=OR12D3","NCBI")</f>
        <v>NCBI</v>
      </c>
      <c r="F3188">
        <v>1.9E-2</v>
      </c>
      <c r="G3188">
        <v>9.9000000000000005E-2</v>
      </c>
      <c r="H3188" s="1" t="str">
        <f>HYPERLINK("http://www.weizmann.ac.il/complex/compphys/software/geview/data/figures/221431_s_at.png","Figure")</f>
        <v>Figure</v>
      </c>
      <c r="I3188">
        <v>1.1399999999999999</v>
      </c>
      <c r="J3188">
        <v>2.1999999999999999E-2</v>
      </c>
      <c r="K3188">
        <v>1.02</v>
      </c>
      <c r="L3188">
        <v>0.84</v>
      </c>
      <c r="M3188">
        <v>0.89300000000000002</v>
      </c>
      <c r="N3188">
        <v>3.7999999999999999E-2</v>
      </c>
    </row>
    <row r="3189" spans="1:14" x14ac:dyDescent="0.25">
      <c r="A3189" t="s">
        <v>5857</v>
      </c>
      <c r="B3189" t="s">
        <v>5858</v>
      </c>
      <c r="C3189" s="1" t="str">
        <f>HYPERLINK("http://www.genecards.org/cgi-bin/carddisp.pl?gene=C11orf68","GeneCards")</f>
        <v>GeneCards</v>
      </c>
      <c r="D3189" s="1" t="str">
        <f>HYPERLINK("http://genome-euro.ucsc.edu/cgi-bin/hgTracks?position=221534_at","UCSC")</f>
        <v>UCSC</v>
      </c>
      <c r="E3189" s="1" t="str">
        <f>HYPERLINK("http://www.ncbi.nlm.nih.gov/gene/?term=C11orf68","NCBI")</f>
        <v>NCBI</v>
      </c>
      <c r="F3189">
        <v>1.9E-2</v>
      </c>
      <c r="G3189">
        <v>9.9000000000000005E-2</v>
      </c>
      <c r="H3189" s="1" t="str">
        <f>HYPERLINK("http://www.weizmann.ac.il/complex/compphys/software/geview/data/figures/221534_at.png","Figure")</f>
        <v>Figure</v>
      </c>
      <c r="I3189">
        <v>1.1499999999999999</v>
      </c>
      <c r="J3189">
        <v>3.6999999999999998E-2</v>
      </c>
      <c r="K3189">
        <v>1.1299999999999999</v>
      </c>
      <c r="L3189">
        <v>2.8000000000000001E-2</v>
      </c>
      <c r="M3189">
        <v>0.98899999999999999</v>
      </c>
      <c r="N3189">
        <v>0.97</v>
      </c>
    </row>
    <row r="3190" spans="1:14" x14ac:dyDescent="0.25">
      <c r="A3190" t="s">
        <v>5859</v>
      </c>
      <c r="B3190" t="s">
        <v>5860</v>
      </c>
      <c r="C3190" s="1" t="str">
        <f>HYPERLINK("http://www.genecards.org/cgi-bin/carddisp.pl?gene=AQP1 /// INMT","GeneCards")</f>
        <v>GeneCards</v>
      </c>
      <c r="D3190" s="1" t="str">
        <f>HYPERLINK("http://genome-euro.ucsc.edu/cgi-bin/hgTracks?position=209047_at","UCSC")</f>
        <v>UCSC</v>
      </c>
      <c r="E3190" s="1" t="str">
        <f>HYPERLINK("http://www.ncbi.nlm.nih.gov/gene/?term=AQP1 /// INMT","NCBI")</f>
        <v>NCBI</v>
      </c>
      <c r="F3190">
        <v>1.9E-2</v>
      </c>
      <c r="G3190">
        <v>9.9000000000000005E-2</v>
      </c>
      <c r="H3190" s="1" t="str">
        <f>HYPERLINK("http://www.weizmann.ac.il/complex/compphys/software/geview/data/figures/209047_at.png","Figure")</f>
        <v>Figure</v>
      </c>
      <c r="I3190">
        <v>1.26</v>
      </c>
      <c r="J3190">
        <v>3.6999999999999998E-2</v>
      </c>
      <c r="K3190">
        <v>0.99399999999999999</v>
      </c>
      <c r="L3190">
        <v>1</v>
      </c>
      <c r="M3190">
        <v>0.79100000000000004</v>
      </c>
      <c r="N3190">
        <v>2.1999999999999999E-2</v>
      </c>
    </row>
    <row r="3191" spans="1:14" x14ac:dyDescent="0.25">
      <c r="A3191" t="s">
        <v>5861</v>
      </c>
      <c r="B3191" t="s">
        <v>5862</v>
      </c>
      <c r="C3191" s="1" t="str">
        <f>HYPERLINK("http://www.genecards.org/cgi-bin/carddisp.pl?gene=CHCHD3","GeneCards")</f>
        <v>GeneCards</v>
      </c>
      <c r="D3191" s="1" t="str">
        <f>HYPERLINK("http://genome-euro.ucsc.edu/cgi-bin/hgTracks?position=217972_at","UCSC")</f>
        <v>UCSC</v>
      </c>
      <c r="E3191" s="1" t="str">
        <f>HYPERLINK("http://www.ncbi.nlm.nih.gov/gene/?term=CHCHD3","NCBI")</f>
        <v>NCBI</v>
      </c>
      <c r="F3191">
        <v>1.9E-2</v>
      </c>
      <c r="G3191">
        <v>9.9000000000000005E-2</v>
      </c>
      <c r="H3191" s="1" t="str">
        <f>HYPERLINK("http://www.weizmann.ac.il/complex/compphys/software/geview/data/figures/217972_at.png","Figure")</f>
        <v>Figure</v>
      </c>
      <c r="I3191">
        <v>0.96599999999999997</v>
      </c>
      <c r="J3191">
        <v>0.98</v>
      </c>
      <c r="K3191">
        <v>1.61</v>
      </c>
      <c r="L3191">
        <v>0.04</v>
      </c>
      <c r="M3191">
        <v>1.67</v>
      </c>
      <c r="N3191">
        <v>0.04</v>
      </c>
    </row>
    <row r="3192" spans="1:14" x14ac:dyDescent="0.25">
      <c r="A3192" t="s">
        <v>5863</v>
      </c>
      <c r="B3192" t="s">
        <v>5864</v>
      </c>
      <c r="C3192" s="1" t="str">
        <f>HYPERLINK("http://www.genecards.org/cgi-bin/carddisp.pl?gene=WDR26","GeneCards")</f>
        <v>GeneCards</v>
      </c>
      <c r="D3192" s="1" t="str">
        <f>HYPERLINK("http://genome-euro.ucsc.edu/cgi-bin/hgTracks?position=218107_at","UCSC")</f>
        <v>UCSC</v>
      </c>
      <c r="E3192" s="1" t="str">
        <f>HYPERLINK("http://www.ncbi.nlm.nih.gov/gene/?term=WDR26","NCBI")</f>
        <v>NCBI</v>
      </c>
      <c r="F3192">
        <v>1.9E-2</v>
      </c>
      <c r="G3192">
        <v>9.9000000000000005E-2</v>
      </c>
      <c r="H3192" s="1" t="str">
        <f>HYPERLINK("http://www.weizmann.ac.il/complex/compphys/software/geview/data/figures/218107_at.png","Figure")</f>
        <v>Figure</v>
      </c>
      <c r="I3192">
        <v>1.19</v>
      </c>
      <c r="J3192">
        <v>0.5</v>
      </c>
      <c r="K3192">
        <v>0.76</v>
      </c>
      <c r="L3192">
        <v>0.13</v>
      </c>
      <c r="M3192">
        <v>0.63800000000000001</v>
      </c>
      <c r="N3192">
        <v>1.7999999999999999E-2</v>
      </c>
    </row>
    <row r="3193" spans="1:14" x14ac:dyDescent="0.25">
      <c r="A3193" t="s">
        <v>5865</v>
      </c>
      <c r="B3193" t="s">
        <v>5866</v>
      </c>
      <c r="C3193" s="1" t="str">
        <f>HYPERLINK("http://www.genecards.org/cgi-bin/carddisp.pl?gene=STAT2","GeneCards")</f>
        <v>GeneCards</v>
      </c>
      <c r="D3193" s="1" t="str">
        <f>HYPERLINK("http://genome-euro.ucsc.edu/cgi-bin/hgTracks?position=217199_s_at","UCSC")</f>
        <v>UCSC</v>
      </c>
      <c r="E3193" s="1" t="str">
        <f>HYPERLINK("http://www.ncbi.nlm.nih.gov/gene/?term=STAT2","NCBI")</f>
        <v>NCBI</v>
      </c>
      <c r="F3193">
        <v>1.9E-2</v>
      </c>
      <c r="G3193">
        <v>9.9000000000000005E-2</v>
      </c>
      <c r="H3193" s="1" t="str">
        <f>HYPERLINK("http://www.weizmann.ac.il/complex/compphys/software/geview/data/figures/217199_s_at.png","Figure")</f>
        <v>Figure</v>
      </c>
      <c r="I3193">
        <v>1.3</v>
      </c>
      <c r="J3193">
        <v>1.6E-2</v>
      </c>
      <c r="K3193">
        <v>1.17</v>
      </c>
      <c r="L3193">
        <v>0.11</v>
      </c>
      <c r="M3193">
        <v>0.89800000000000002</v>
      </c>
      <c r="N3193">
        <v>0.35</v>
      </c>
    </row>
    <row r="3194" spans="1:14" x14ac:dyDescent="0.25">
      <c r="A3194" t="s">
        <v>5867</v>
      </c>
      <c r="B3194" t="s">
        <v>5868</v>
      </c>
      <c r="C3194" s="1" t="str">
        <f>HYPERLINK("http://www.genecards.org/cgi-bin/carddisp.pl?gene=PCF11","GeneCards")</f>
        <v>GeneCards</v>
      </c>
      <c r="D3194" s="1" t="str">
        <f>HYPERLINK("http://genome-euro.ucsc.edu/cgi-bin/hgTracks?position=203378_at","UCSC")</f>
        <v>UCSC</v>
      </c>
      <c r="E3194" s="1" t="str">
        <f>HYPERLINK("http://www.ncbi.nlm.nih.gov/gene/?term=PCF11","NCBI")</f>
        <v>NCBI</v>
      </c>
      <c r="F3194">
        <v>1.9E-2</v>
      </c>
      <c r="G3194">
        <v>9.9000000000000005E-2</v>
      </c>
      <c r="H3194" s="1" t="str">
        <f>HYPERLINK("http://www.weizmann.ac.il/complex/compphys/software/geview/data/figures/203378_at.png","Figure")</f>
        <v>Figure</v>
      </c>
      <c r="I3194">
        <v>0.39600000000000002</v>
      </c>
      <c r="J3194">
        <v>1.9E-2</v>
      </c>
      <c r="K3194">
        <v>0.53100000000000003</v>
      </c>
      <c r="L3194">
        <v>6.8000000000000005E-2</v>
      </c>
      <c r="M3194">
        <v>1.34</v>
      </c>
      <c r="N3194">
        <v>0.55000000000000004</v>
      </c>
    </row>
    <row r="3195" spans="1:14" x14ac:dyDescent="0.25">
      <c r="A3195" t="s">
        <v>5869</v>
      </c>
      <c r="B3195" t="s">
        <v>5870</v>
      </c>
      <c r="C3195" s="1" t="str">
        <f>HYPERLINK("http://www.genecards.org/cgi-bin/carddisp.pl?gene=MPST","GeneCards")</f>
        <v>GeneCards</v>
      </c>
      <c r="D3195" s="1" t="str">
        <f>HYPERLINK("http://genome-euro.ucsc.edu/cgi-bin/hgTracks?position=203524_s_at","UCSC")</f>
        <v>UCSC</v>
      </c>
      <c r="E3195" s="1" t="str">
        <f>HYPERLINK("http://www.ncbi.nlm.nih.gov/gene/?term=MPST","NCBI")</f>
        <v>NCBI</v>
      </c>
      <c r="F3195">
        <v>1.9E-2</v>
      </c>
      <c r="G3195">
        <v>9.9000000000000005E-2</v>
      </c>
      <c r="H3195" s="1" t="str">
        <f>HYPERLINK("http://www.weizmann.ac.il/complex/compphys/software/geview/data/figures/203524_s_at.png","Figure")</f>
        <v>Figure</v>
      </c>
      <c r="I3195">
        <v>1.26</v>
      </c>
      <c r="J3195">
        <v>9.7000000000000003E-2</v>
      </c>
      <c r="K3195">
        <v>1.33</v>
      </c>
      <c r="L3195">
        <v>1.7000000000000001E-2</v>
      </c>
      <c r="M3195">
        <v>1.06</v>
      </c>
      <c r="N3195">
        <v>0.82</v>
      </c>
    </row>
    <row r="3196" spans="1:14" x14ac:dyDescent="0.25">
      <c r="A3196" t="s">
        <v>5871</v>
      </c>
      <c r="B3196" t="s">
        <v>5872</v>
      </c>
      <c r="C3196" s="1" t="str">
        <f>HYPERLINK("http://www.genecards.org/cgi-bin/carddisp.pl?gene=SET","GeneCards")</f>
        <v>GeneCards</v>
      </c>
      <c r="D3196" s="1" t="str">
        <f>HYPERLINK("http://genome-euro.ucsc.edu/cgi-bin/hgTracks?position=40189_at","UCSC")</f>
        <v>UCSC</v>
      </c>
      <c r="E3196" s="1" t="str">
        <f>HYPERLINK("http://www.ncbi.nlm.nih.gov/gene/?term=SET","NCBI")</f>
        <v>NCBI</v>
      </c>
      <c r="F3196">
        <v>1.9E-2</v>
      </c>
      <c r="G3196">
        <v>0.1</v>
      </c>
      <c r="H3196" s="1" t="str">
        <f>HYPERLINK("http://www.weizmann.ac.il/complex/compphys/software/geview/data/figures/40189_at.png","Figure")</f>
        <v>Figure</v>
      </c>
      <c r="I3196">
        <v>1.26</v>
      </c>
      <c r="J3196">
        <v>0.2</v>
      </c>
      <c r="K3196">
        <v>1.43</v>
      </c>
      <c r="L3196">
        <v>1.4999999999999999E-2</v>
      </c>
      <c r="M3196">
        <v>1.1399999999999999</v>
      </c>
      <c r="N3196">
        <v>0.52</v>
      </c>
    </row>
    <row r="3197" spans="1:14" x14ac:dyDescent="0.25">
      <c r="A3197" t="s">
        <v>5873</v>
      </c>
      <c r="B3197" t="s">
        <v>5874</v>
      </c>
      <c r="C3197" s="1" t="str">
        <f>HYPERLINK("http://www.genecards.org/cgi-bin/carddisp.pl?gene=KDM6B","GeneCards")</f>
        <v>GeneCards</v>
      </c>
      <c r="D3197" s="1" t="str">
        <f>HYPERLINK("http://genome-euro.ucsc.edu/cgi-bin/hgTracks?position=41387_r_at","UCSC")</f>
        <v>UCSC</v>
      </c>
      <c r="E3197" s="1" t="str">
        <f>HYPERLINK("http://www.ncbi.nlm.nih.gov/gene/?term=KDM6B","NCBI")</f>
        <v>NCBI</v>
      </c>
      <c r="F3197">
        <v>1.9E-2</v>
      </c>
      <c r="G3197">
        <v>0.1</v>
      </c>
      <c r="H3197" s="1" t="str">
        <f>HYPERLINK("http://www.weizmann.ac.il/complex/compphys/software/geview/data/figures/41387_r_at.png","Figure")</f>
        <v>Figure</v>
      </c>
      <c r="I3197">
        <v>1.33</v>
      </c>
      <c r="J3197">
        <v>5.0999999999999997E-2</v>
      </c>
      <c r="K3197">
        <v>0.96299999999999997</v>
      </c>
      <c r="L3197">
        <v>0.92</v>
      </c>
      <c r="M3197">
        <v>0.72299999999999998</v>
      </c>
      <c r="N3197">
        <v>1.7999999999999999E-2</v>
      </c>
    </row>
    <row r="3198" spans="1:14" x14ac:dyDescent="0.25">
      <c r="A3198" t="s">
        <v>5875</v>
      </c>
      <c r="B3198" t="s">
        <v>2610</v>
      </c>
      <c r="C3198" s="1" t="str">
        <f>HYPERLINK("http://www.genecards.org/cgi-bin/carddisp.pl?gene=BAZ2A","GeneCards")</f>
        <v>GeneCards</v>
      </c>
      <c r="D3198" s="1" t="str">
        <f>HYPERLINK("http://genome-euro.ucsc.edu/cgi-bin/hgTracks?position=201354_s_at","UCSC")</f>
        <v>UCSC</v>
      </c>
      <c r="E3198" s="1" t="str">
        <f>HYPERLINK("http://www.ncbi.nlm.nih.gov/gene/?term=BAZ2A","NCBI")</f>
        <v>NCBI</v>
      </c>
      <c r="F3198">
        <v>1.9E-2</v>
      </c>
      <c r="G3198">
        <v>0.1</v>
      </c>
      <c r="H3198" s="1" t="str">
        <f>HYPERLINK("http://www.weizmann.ac.il/complex/compphys/software/geview/data/figures/201354_s_at.png","Figure")</f>
        <v>Figure</v>
      </c>
      <c r="I3198">
        <v>1.33</v>
      </c>
      <c r="J3198">
        <v>0.32</v>
      </c>
      <c r="K3198">
        <v>0.748</v>
      </c>
      <c r="L3198">
        <v>0.22</v>
      </c>
      <c r="M3198">
        <v>0.56399999999999995</v>
      </c>
      <c r="N3198">
        <v>1.6E-2</v>
      </c>
    </row>
    <row r="3199" spans="1:14" x14ac:dyDescent="0.25">
      <c r="A3199" t="s">
        <v>5876</v>
      </c>
      <c r="B3199" t="s">
        <v>4228</v>
      </c>
      <c r="C3199" s="1" t="str">
        <f>HYPERLINK("http://www.genecards.org/cgi-bin/carddisp.pl?gene=TLE1","GeneCards")</f>
        <v>GeneCards</v>
      </c>
      <c r="D3199" s="1" t="str">
        <f>HYPERLINK("http://genome-euro.ucsc.edu/cgi-bin/hgTracks?position=203222_s_at","UCSC")</f>
        <v>UCSC</v>
      </c>
      <c r="E3199" s="1" t="str">
        <f>HYPERLINK("http://www.ncbi.nlm.nih.gov/gene/?term=TLE1","NCBI")</f>
        <v>NCBI</v>
      </c>
      <c r="F3199">
        <v>1.9E-2</v>
      </c>
      <c r="G3199">
        <v>0.1</v>
      </c>
      <c r="H3199" s="1" t="str">
        <f>HYPERLINK("http://www.weizmann.ac.il/complex/compphys/software/geview/data/figures/203222_s_at.png","Figure")</f>
        <v>Figure</v>
      </c>
      <c r="I3199">
        <v>1.72</v>
      </c>
      <c r="J3199">
        <v>3.4000000000000002E-2</v>
      </c>
      <c r="K3199">
        <v>1.62</v>
      </c>
      <c r="L3199">
        <v>3.1E-2</v>
      </c>
      <c r="M3199">
        <v>0.94</v>
      </c>
      <c r="N3199">
        <v>0.93</v>
      </c>
    </row>
    <row r="3200" spans="1:14" x14ac:dyDescent="0.25">
      <c r="A3200" t="s">
        <v>5877</v>
      </c>
      <c r="B3200" t="s">
        <v>5878</v>
      </c>
      <c r="C3200" s="1" t="str">
        <f>HYPERLINK("http://www.genecards.org/cgi-bin/carddisp.pl?gene=PTGIR","GeneCards")</f>
        <v>GeneCards</v>
      </c>
      <c r="D3200" s="1" t="str">
        <f>HYPERLINK("http://genome-euro.ucsc.edu/cgi-bin/hgTracks?position=206187_at","UCSC")</f>
        <v>UCSC</v>
      </c>
      <c r="E3200" s="1" t="str">
        <f>HYPERLINK("http://www.ncbi.nlm.nih.gov/gene/?term=PTGIR","NCBI")</f>
        <v>NCBI</v>
      </c>
      <c r="F3200">
        <v>1.9E-2</v>
      </c>
      <c r="G3200">
        <v>0.1</v>
      </c>
      <c r="H3200" s="1" t="str">
        <f>HYPERLINK("http://www.weizmann.ac.il/complex/compphys/software/geview/data/figures/206187_at.png","Figure")</f>
        <v>Figure</v>
      </c>
      <c r="I3200">
        <v>1.32</v>
      </c>
      <c r="J3200">
        <v>2.4E-2</v>
      </c>
      <c r="K3200">
        <v>1.04</v>
      </c>
      <c r="L3200">
        <v>0.9</v>
      </c>
      <c r="M3200">
        <v>0.78500000000000003</v>
      </c>
      <c r="N3200">
        <v>3.4000000000000002E-2</v>
      </c>
    </row>
    <row r="3201" spans="1:14" x14ac:dyDescent="0.25">
      <c r="A3201" t="s">
        <v>5879</v>
      </c>
      <c r="B3201" t="s">
        <v>5880</v>
      </c>
      <c r="C3201" s="1" t="str">
        <f>HYPERLINK("http://www.genecards.org/cgi-bin/carddisp.pl?gene=R3HDM1","GeneCards")</f>
        <v>GeneCards</v>
      </c>
      <c r="D3201" s="1" t="str">
        <f>HYPERLINK("http://genome-euro.ucsc.edu/cgi-bin/hgTracks?position=210714_at","UCSC")</f>
        <v>UCSC</v>
      </c>
      <c r="E3201" s="1" t="str">
        <f>HYPERLINK("http://www.ncbi.nlm.nih.gov/gene/?term=R3HDM1","NCBI")</f>
        <v>NCBI</v>
      </c>
      <c r="F3201">
        <v>1.9E-2</v>
      </c>
      <c r="G3201">
        <v>0.1</v>
      </c>
      <c r="H3201" s="1" t="str">
        <f>HYPERLINK("http://www.weizmann.ac.il/complex/compphys/software/geview/data/figures/210714_at.png","Figure")</f>
        <v>Figure</v>
      </c>
      <c r="I3201">
        <v>1.23</v>
      </c>
      <c r="J3201">
        <v>1.4999999999999999E-2</v>
      </c>
      <c r="K3201">
        <v>1.1100000000000001</v>
      </c>
      <c r="L3201">
        <v>0.18</v>
      </c>
      <c r="M3201">
        <v>0.90300000000000002</v>
      </c>
      <c r="N3201">
        <v>0.22</v>
      </c>
    </row>
    <row r="3202" spans="1:14" x14ac:dyDescent="0.25">
      <c r="A3202" t="s">
        <v>5881</v>
      </c>
      <c r="B3202" t="s">
        <v>5882</v>
      </c>
      <c r="C3202" s="1" t="str">
        <f>HYPERLINK("http://www.genecards.org/cgi-bin/carddisp.pl?gene=NDUFB4","GeneCards")</f>
        <v>GeneCards</v>
      </c>
      <c r="D3202" s="1" t="str">
        <f>HYPERLINK("http://genome-euro.ucsc.edu/cgi-bin/hgTracks?position=218226_s_at","UCSC")</f>
        <v>UCSC</v>
      </c>
      <c r="E3202" s="1" t="str">
        <f>HYPERLINK("http://www.ncbi.nlm.nih.gov/gene/?term=NDUFB4","NCBI")</f>
        <v>NCBI</v>
      </c>
      <c r="F3202">
        <v>1.9E-2</v>
      </c>
      <c r="G3202">
        <v>0.1</v>
      </c>
      <c r="H3202" s="1" t="str">
        <f>HYPERLINK("http://www.weizmann.ac.il/complex/compphys/software/geview/data/figures/218226_s_at.png","Figure")</f>
        <v>Figure</v>
      </c>
      <c r="I3202">
        <v>1.0900000000000001</v>
      </c>
      <c r="J3202">
        <v>0.85</v>
      </c>
      <c r="K3202">
        <v>1.53</v>
      </c>
      <c r="L3202">
        <v>2.1999999999999999E-2</v>
      </c>
      <c r="M3202">
        <v>1.41</v>
      </c>
      <c r="N3202">
        <v>9.0999999999999998E-2</v>
      </c>
    </row>
    <row r="3203" spans="1:14" x14ac:dyDescent="0.25">
      <c r="A3203" t="s">
        <v>5883</v>
      </c>
      <c r="B3203" t="s">
        <v>5884</v>
      </c>
      <c r="C3203" s="1" t="str">
        <f>HYPERLINK("http://www.genecards.org/cgi-bin/carddisp.pl?gene=EFEMP2","GeneCards")</f>
        <v>GeneCards</v>
      </c>
      <c r="D3203" s="1" t="str">
        <f>HYPERLINK("http://genome-euro.ucsc.edu/cgi-bin/hgTracks?position=206580_s_at","UCSC")</f>
        <v>UCSC</v>
      </c>
      <c r="E3203" s="1" t="str">
        <f>HYPERLINK("http://www.ncbi.nlm.nih.gov/gene/?term=EFEMP2","NCBI")</f>
        <v>NCBI</v>
      </c>
      <c r="F3203">
        <v>1.9E-2</v>
      </c>
      <c r="G3203">
        <v>0.1</v>
      </c>
      <c r="H3203" s="1" t="str">
        <f>HYPERLINK("http://www.weizmann.ac.il/complex/compphys/software/geview/data/figures/206580_s_at.png","Figure")</f>
        <v>Figure</v>
      </c>
      <c r="I3203">
        <v>1.07</v>
      </c>
      <c r="J3203">
        <v>0.91</v>
      </c>
      <c r="K3203">
        <v>0.67400000000000004</v>
      </c>
      <c r="L3203">
        <v>5.1999999999999998E-2</v>
      </c>
      <c r="M3203">
        <v>0.627</v>
      </c>
      <c r="N3203">
        <v>3.2000000000000001E-2</v>
      </c>
    </row>
    <row r="3204" spans="1:14" x14ac:dyDescent="0.25">
      <c r="A3204" t="s">
        <v>5885</v>
      </c>
      <c r="B3204" t="s">
        <v>5886</v>
      </c>
      <c r="C3204" s="1" t="str">
        <f>HYPERLINK("http://www.genecards.org/cgi-bin/carddisp.pl?gene=PRKX","GeneCards")</f>
        <v>GeneCards</v>
      </c>
      <c r="D3204" s="1" t="str">
        <f>HYPERLINK("http://genome-euro.ucsc.edu/cgi-bin/hgTracks?position=204061_at","UCSC")</f>
        <v>UCSC</v>
      </c>
      <c r="E3204" s="1" t="str">
        <f>HYPERLINK("http://www.ncbi.nlm.nih.gov/gene/?term=PRKX","NCBI")</f>
        <v>NCBI</v>
      </c>
      <c r="F3204">
        <v>1.9E-2</v>
      </c>
      <c r="G3204">
        <v>0.1</v>
      </c>
      <c r="H3204" s="1" t="str">
        <f>HYPERLINK("http://www.weizmann.ac.il/complex/compphys/software/geview/data/figures/204061_at.png","Figure")</f>
        <v>Figure</v>
      </c>
      <c r="I3204">
        <v>0.74</v>
      </c>
      <c r="J3204">
        <v>5.2999999999999999E-2</v>
      </c>
      <c r="K3204">
        <v>0.73199999999999998</v>
      </c>
      <c r="L3204">
        <v>2.1999999999999999E-2</v>
      </c>
      <c r="M3204">
        <v>0.99</v>
      </c>
      <c r="N3204">
        <v>1</v>
      </c>
    </row>
    <row r="3205" spans="1:14" x14ac:dyDescent="0.25">
      <c r="A3205" t="s">
        <v>5887</v>
      </c>
      <c r="B3205" t="s">
        <v>5888</v>
      </c>
      <c r="C3205" s="1" t="str">
        <f>HYPERLINK("http://www.genecards.org/cgi-bin/carddisp.pl?gene=HOXB6","GeneCards")</f>
        <v>GeneCards</v>
      </c>
      <c r="D3205" s="1" t="str">
        <f>HYPERLINK("http://genome-euro.ucsc.edu/cgi-bin/hgTracks?position=205365_at","UCSC")</f>
        <v>UCSC</v>
      </c>
      <c r="E3205" s="1" t="str">
        <f>HYPERLINK("http://www.ncbi.nlm.nih.gov/gene/?term=HOXB6","NCBI")</f>
        <v>NCBI</v>
      </c>
      <c r="F3205">
        <v>1.9E-2</v>
      </c>
      <c r="G3205">
        <v>0.1</v>
      </c>
      <c r="H3205" s="1" t="str">
        <f>HYPERLINK("http://www.weizmann.ac.il/complex/compphys/software/geview/data/figures/205365_at.png","Figure")</f>
        <v>Figure</v>
      </c>
      <c r="I3205">
        <v>1.1599999999999999</v>
      </c>
      <c r="J3205">
        <v>1.4999999999999999E-2</v>
      </c>
      <c r="K3205">
        <v>1.08</v>
      </c>
      <c r="L3205">
        <v>0.2</v>
      </c>
      <c r="M3205">
        <v>0.92500000000000004</v>
      </c>
      <c r="N3205">
        <v>0.2</v>
      </c>
    </row>
    <row r="3206" spans="1:14" x14ac:dyDescent="0.25">
      <c r="A3206" t="s">
        <v>5889</v>
      </c>
      <c r="B3206" t="s">
        <v>5890</v>
      </c>
      <c r="C3206" s="1" t="str">
        <f>HYPERLINK("http://www.genecards.org/cgi-bin/carddisp.pl?gene=NPR2","GeneCards")</f>
        <v>GeneCards</v>
      </c>
      <c r="D3206" s="1" t="str">
        <f>HYPERLINK("http://genome-euro.ucsc.edu/cgi-bin/hgTracks?position=214066_x_at","UCSC")</f>
        <v>UCSC</v>
      </c>
      <c r="E3206" s="1" t="str">
        <f>HYPERLINK("http://www.ncbi.nlm.nih.gov/gene/?term=NPR2","NCBI")</f>
        <v>NCBI</v>
      </c>
      <c r="F3206">
        <v>1.9E-2</v>
      </c>
      <c r="G3206">
        <v>0.1</v>
      </c>
      <c r="H3206" s="1" t="str">
        <f>HYPERLINK("http://www.weizmann.ac.il/complex/compphys/software/geview/data/figures/214066_x_at.png","Figure")</f>
        <v>Figure</v>
      </c>
      <c r="I3206">
        <v>1.1499999999999999</v>
      </c>
      <c r="J3206">
        <v>5.2999999999999999E-2</v>
      </c>
      <c r="K3206">
        <v>0.98</v>
      </c>
      <c r="L3206">
        <v>0.9</v>
      </c>
      <c r="M3206">
        <v>0.85099999999999998</v>
      </c>
      <c r="N3206">
        <v>1.7999999999999999E-2</v>
      </c>
    </row>
    <row r="3207" spans="1:14" x14ac:dyDescent="0.25">
      <c r="A3207" t="s">
        <v>5891</v>
      </c>
      <c r="B3207" t="s">
        <v>717</v>
      </c>
      <c r="C3207" s="1" t="str">
        <f>HYPERLINK("http://www.genecards.org/cgi-bin/carddisp.pl?gene=NFRKB","GeneCards")</f>
        <v>GeneCards</v>
      </c>
      <c r="D3207" s="1" t="str">
        <f>HYPERLINK("http://genome-euro.ucsc.edu/cgi-bin/hgTracks?position=206968_s_at","UCSC")</f>
        <v>UCSC</v>
      </c>
      <c r="E3207" s="1" t="str">
        <f>HYPERLINK("http://www.ncbi.nlm.nih.gov/gene/?term=NFRKB","NCBI")</f>
        <v>NCBI</v>
      </c>
      <c r="F3207">
        <v>1.9E-2</v>
      </c>
      <c r="G3207">
        <v>0.1</v>
      </c>
      <c r="H3207" s="1" t="str">
        <f>HYPERLINK("http://www.weizmann.ac.il/complex/compphys/software/geview/data/figures/206968_s_at.png","Figure")</f>
        <v>Figure</v>
      </c>
      <c r="I3207">
        <v>1.17</v>
      </c>
      <c r="J3207">
        <v>3.6999999999999998E-2</v>
      </c>
      <c r="K3207">
        <v>0.996</v>
      </c>
      <c r="L3207">
        <v>1</v>
      </c>
      <c r="M3207">
        <v>0.84899999999999998</v>
      </c>
      <c r="N3207">
        <v>2.1999999999999999E-2</v>
      </c>
    </row>
    <row r="3208" spans="1:14" x14ac:dyDescent="0.25">
      <c r="A3208" t="s">
        <v>5892</v>
      </c>
      <c r="B3208" t="s">
        <v>5893</v>
      </c>
      <c r="C3208" s="1" t="str">
        <f>HYPERLINK("http://www.genecards.org/cgi-bin/carddisp.pl?gene=C3","GeneCards")</f>
        <v>GeneCards</v>
      </c>
      <c r="D3208" s="1" t="str">
        <f>HYPERLINK("http://genome-euro.ucsc.edu/cgi-bin/hgTracks?position=217767_at","UCSC")</f>
        <v>UCSC</v>
      </c>
      <c r="E3208" s="1" t="str">
        <f>HYPERLINK("http://www.ncbi.nlm.nih.gov/gene/?term=C3","NCBI")</f>
        <v>NCBI</v>
      </c>
      <c r="F3208">
        <v>1.9E-2</v>
      </c>
      <c r="G3208">
        <v>0.1</v>
      </c>
      <c r="H3208" s="1" t="str">
        <f>HYPERLINK("http://www.weizmann.ac.il/complex/compphys/software/geview/data/figures/217767_at.png","Figure")</f>
        <v>Figure</v>
      </c>
      <c r="I3208">
        <v>1.21</v>
      </c>
      <c r="J3208">
        <v>1.4999999999999999E-2</v>
      </c>
      <c r="K3208">
        <v>1.1000000000000001</v>
      </c>
      <c r="L3208">
        <v>0.19</v>
      </c>
      <c r="M3208">
        <v>0.90800000000000003</v>
      </c>
      <c r="N3208">
        <v>0.21</v>
      </c>
    </row>
    <row r="3209" spans="1:14" x14ac:dyDescent="0.25">
      <c r="A3209" t="s">
        <v>5894</v>
      </c>
      <c r="B3209" t="s">
        <v>5895</v>
      </c>
      <c r="C3209" s="1" t="str">
        <f>HYPERLINK("http://www.genecards.org/cgi-bin/carddisp.pl?gene=TXNRD2","GeneCards")</f>
        <v>GeneCards</v>
      </c>
      <c r="D3209" s="1" t="str">
        <f>HYPERLINK("http://genome-euro.ucsc.edu/cgi-bin/hgTracks?position=211177_s_at","UCSC")</f>
        <v>UCSC</v>
      </c>
      <c r="E3209" s="1" t="str">
        <f>HYPERLINK("http://www.ncbi.nlm.nih.gov/gene/?term=TXNRD2","NCBI")</f>
        <v>NCBI</v>
      </c>
      <c r="F3209">
        <v>1.9E-2</v>
      </c>
      <c r="G3209">
        <v>0.1</v>
      </c>
      <c r="H3209" s="1" t="str">
        <f>HYPERLINK("http://www.weizmann.ac.il/complex/compphys/software/geview/data/figures/211177_s_at.png","Figure")</f>
        <v>Figure</v>
      </c>
      <c r="I3209">
        <v>1.05</v>
      </c>
      <c r="J3209">
        <v>0.82</v>
      </c>
      <c r="K3209">
        <v>1.25</v>
      </c>
      <c r="L3209">
        <v>2.1000000000000001E-2</v>
      </c>
      <c r="M3209">
        <v>1.19</v>
      </c>
      <c r="N3209">
        <v>9.9000000000000005E-2</v>
      </c>
    </row>
    <row r="3210" spans="1:14" x14ac:dyDescent="0.25">
      <c r="A3210" t="s">
        <v>5896</v>
      </c>
      <c r="B3210" t="s">
        <v>5897</v>
      </c>
      <c r="C3210" s="1" t="str">
        <f>HYPERLINK("http://www.genecards.org/cgi-bin/carddisp.pl?gene=C11orf58","GeneCards")</f>
        <v>GeneCards</v>
      </c>
      <c r="D3210" s="1" t="str">
        <f>HYPERLINK("http://genome-euro.ucsc.edu/cgi-bin/hgTracks?position=200084_at","UCSC")</f>
        <v>UCSC</v>
      </c>
      <c r="E3210" s="1" t="str">
        <f>HYPERLINK("http://www.ncbi.nlm.nih.gov/gene/?term=C11orf58","NCBI")</f>
        <v>NCBI</v>
      </c>
      <c r="F3210">
        <v>1.9E-2</v>
      </c>
      <c r="G3210">
        <v>0.1</v>
      </c>
      <c r="H3210" s="1" t="str">
        <f>HYPERLINK("http://www.weizmann.ac.il/complex/compphys/software/geview/data/figures/200084_at.png","Figure")</f>
        <v>Figure</v>
      </c>
      <c r="I3210">
        <v>1.28</v>
      </c>
      <c r="J3210">
        <v>0.37</v>
      </c>
      <c r="K3210">
        <v>1.67</v>
      </c>
      <c r="L3210">
        <v>1.4999999999999999E-2</v>
      </c>
      <c r="M3210">
        <v>1.3</v>
      </c>
      <c r="N3210">
        <v>0.28999999999999998</v>
      </c>
    </row>
    <row r="3211" spans="1:14" x14ac:dyDescent="0.25">
      <c r="A3211" t="s">
        <v>5898</v>
      </c>
      <c r="B3211" t="s">
        <v>5899</v>
      </c>
      <c r="C3211" s="1" t="str">
        <f>HYPERLINK("http://www.genecards.org/cgi-bin/carddisp.pl?gene=FEZ1","GeneCards")</f>
        <v>GeneCards</v>
      </c>
      <c r="D3211" s="1" t="str">
        <f>HYPERLINK("http://genome-euro.ucsc.edu/cgi-bin/hgTracks?position=205973_at","UCSC")</f>
        <v>UCSC</v>
      </c>
      <c r="E3211" s="1" t="str">
        <f>HYPERLINK("http://www.ncbi.nlm.nih.gov/gene/?term=FEZ1","NCBI")</f>
        <v>NCBI</v>
      </c>
      <c r="F3211">
        <v>1.9E-2</v>
      </c>
      <c r="G3211">
        <v>0.1</v>
      </c>
      <c r="H3211" s="1" t="str">
        <f>HYPERLINK("http://www.weizmann.ac.il/complex/compphys/software/geview/data/figures/205973_at.png","Figure")</f>
        <v>Figure</v>
      </c>
      <c r="I3211">
        <v>1.36</v>
      </c>
      <c r="J3211">
        <v>1.4999999999999999E-2</v>
      </c>
      <c r="K3211">
        <v>1.1499999999999999</v>
      </c>
      <c r="L3211">
        <v>0.23</v>
      </c>
      <c r="M3211">
        <v>0.84699999999999998</v>
      </c>
      <c r="N3211">
        <v>0.17</v>
      </c>
    </row>
    <row r="3212" spans="1:14" x14ac:dyDescent="0.25">
      <c r="A3212" t="s">
        <v>5900</v>
      </c>
      <c r="B3212" t="s">
        <v>5901</v>
      </c>
      <c r="C3212" s="1" t="str">
        <f>HYPERLINK("http://www.genecards.org/cgi-bin/carddisp.pl?gene=CACNB1","GeneCards")</f>
        <v>GeneCards</v>
      </c>
      <c r="D3212" s="1" t="str">
        <f>HYPERLINK("http://genome-euro.ucsc.edu/cgi-bin/hgTracks?position=206996_x_at","UCSC")</f>
        <v>UCSC</v>
      </c>
      <c r="E3212" s="1" t="str">
        <f>HYPERLINK("http://www.ncbi.nlm.nih.gov/gene/?term=CACNB1","NCBI")</f>
        <v>NCBI</v>
      </c>
      <c r="F3212">
        <v>1.9E-2</v>
      </c>
      <c r="G3212">
        <v>0.1</v>
      </c>
      <c r="H3212" s="1" t="str">
        <f>HYPERLINK("http://www.weizmann.ac.il/complex/compphys/software/geview/data/figures/206996_x_at.png","Figure")</f>
        <v>Figure</v>
      </c>
      <c r="I3212">
        <v>0.97099999999999997</v>
      </c>
      <c r="J3212">
        <v>0.12</v>
      </c>
      <c r="K3212">
        <v>1.01</v>
      </c>
      <c r="L3212">
        <v>0.54</v>
      </c>
      <c r="M3212">
        <v>1.04</v>
      </c>
      <c r="N3212">
        <v>1.4999999999999999E-2</v>
      </c>
    </row>
    <row r="3213" spans="1:14" x14ac:dyDescent="0.25">
      <c r="A3213" t="s">
        <v>5902</v>
      </c>
      <c r="B3213" t="s">
        <v>5903</v>
      </c>
      <c r="C3213" s="1" t="str">
        <f>HYPERLINK("http://www.genecards.org/cgi-bin/carddisp.pl?gene=IVD","GeneCards")</f>
        <v>GeneCards</v>
      </c>
      <c r="D3213" s="1" t="str">
        <f>HYPERLINK("http://genome-euro.ucsc.edu/cgi-bin/hgTracks?position=216495_x_at","UCSC")</f>
        <v>UCSC</v>
      </c>
      <c r="E3213" s="1" t="str">
        <f>HYPERLINK("http://www.ncbi.nlm.nih.gov/gene/?term=IVD","NCBI")</f>
        <v>NCBI</v>
      </c>
      <c r="F3213">
        <v>1.9E-2</v>
      </c>
      <c r="G3213">
        <v>0.1</v>
      </c>
      <c r="H3213" s="1" t="str">
        <f>HYPERLINK("http://www.weizmann.ac.il/complex/compphys/software/geview/data/figures/216495_x_at.png","Figure")</f>
        <v>Figure</v>
      </c>
      <c r="I3213">
        <v>1.4</v>
      </c>
      <c r="J3213">
        <v>1.7000000000000001E-2</v>
      </c>
      <c r="K3213">
        <v>1.1000000000000001</v>
      </c>
      <c r="L3213">
        <v>0.57999999999999996</v>
      </c>
      <c r="M3213">
        <v>0.78200000000000003</v>
      </c>
      <c r="N3213">
        <v>6.4000000000000001E-2</v>
      </c>
    </row>
    <row r="3214" spans="1:14" x14ac:dyDescent="0.25">
      <c r="A3214" t="s">
        <v>5904</v>
      </c>
      <c r="B3214" t="s">
        <v>4002</v>
      </c>
      <c r="C3214" s="1" t="str">
        <f>HYPERLINK("http://www.genecards.org/cgi-bin/carddisp.pl?gene=PPME1","GeneCards")</f>
        <v>GeneCards</v>
      </c>
      <c r="D3214" s="1" t="str">
        <f>HYPERLINK("http://genome-euro.ucsc.edu/cgi-bin/hgTracks?position=217841_s_at","UCSC")</f>
        <v>UCSC</v>
      </c>
      <c r="E3214" s="1" t="str">
        <f>HYPERLINK("http://www.ncbi.nlm.nih.gov/gene/?term=PPME1","NCBI")</f>
        <v>NCBI</v>
      </c>
      <c r="F3214">
        <v>1.9E-2</v>
      </c>
      <c r="G3214">
        <v>0.1</v>
      </c>
      <c r="H3214" s="1" t="str">
        <f>HYPERLINK("http://www.weizmann.ac.il/complex/compphys/software/geview/data/figures/217841_s_at.png","Figure")</f>
        <v>Figure</v>
      </c>
      <c r="I3214">
        <v>1.45</v>
      </c>
      <c r="J3214">
        <v>1.4999999999999999E-2</v>
      </c>
      <c r="K3214">
        <v>1.17</v>
      </c>
      <c r="L3214">
        <v>0.27</v>
      </c>
      <c r="M3214">
        <v>0.80800000000000005</v>
      </c>
      <c r="N3214">
        <v>0.14000000000000001</v>
      </c>
    </row>
    <row r="3215" spans="1:14" x14ac:dyDescent="0.25">
      <c r="A3215" t="s">
        <v>5905</v>
      </c>
      <c r="B3215" t="s">
        <v>5906</v>
      </c>
      <c r="C3215" s="1" t="str">
        <f>HYPERLINK("http://www.genecards.org/cgi-bin/carddisp.pl?gene=FXN","GeneCards")</f>
        <v>GeneCards</v>
      </c>
      <c r="D3215" s="1" t="str">
        <f>HYPERLINK("http://genome-euro.ucsc.edu/cgi-bin/hgTracks?position=205565_s_at","UCSC")</f>
        <v>UCSC</v>
      </c>
      <c r="E3215" s="1" t="str">
        <f>HYPERLINK("http://www.ncbi.nlm.nih.gov/gene/?term=FXN","NCBI")</f>
        <v>NCBI</v>
      </c>
      <c r="F3215">
        <v>1.9E-2</v>
      </c>
      <c r="G3215">
        <v>0.1</v>
      </c>
      <c r="H3215" s="1" t="str">
        <f>HYPERLINK("http://www.weizmann.ac.il/complex/compphys/software/geview/data/figures/205565_s_at.png","Figure")</f>
        <v>Figure</v>
      </c>
      <c r="I3215">
        <v>0.82299999999999995</v>
      </c>
      <c r="J3215">
        <v>0.17</v>
      </c>
      <c r="K3215">
        <v>1.1299999999999999</v>
      </c>
      <c r="L3215">
        <v>0.4</v>
      </c>
      <c r="M3215">
        <v>1.37</v>
      </c>
      <c r="N3215">
        <v>1.4999999999999999E-2</v>
      </c>
    </row>
    <row r="3216" spans="1:14" x14ac:dyDescent="0.25">
      <c r="A3216" t="s">
        <v>5907</v>
      </c>
      <c r="B3216" t="s">
        <v>5908</v>
      </c>
      <c r="C3216" s="1" t="str">
        <f>HYPERLINK("http://www.genecards.org/cgi-bin/carddisp.pl?gene=THTPA","GeneCards")</f>
        <v>GeneCards</v>
      </c>
      <c r="D3216" s="1" t="str">
        <f>HYPERLINK("http://genome-euro.ucsc.edu/cgi-bin/hgTracks?position=214341_at","UCSC")</f>
        <v>UCSC</v>
      </c>
      <c r="E3216" s="1" t="str">
        <f>HYPERLINK("http://www.ncbi.nlm.nih.gov/gene/?term=THTPA","NCBI")</f>
        <v>NCBI</v>
      </c>
      <c r="F3216">
        <v>1.9E-2</v>
      </c>
      <c r="G3216">
        <v>0.1</v>
      </c>
      <c r="H3216" s="1" t="str">
        <f>HYPERLINK("http://www.weizmann.ac.il/complex/compphys/software/geview/data/figures/214341_at.png","Figure")</f>
        <v>Figure</v>
      </c>
      <c r="I3216">
        <v>1.18</v>
      </c>
      <c r="J3216">
        <v>3.1E-2</v>
      </c>
      <c r="K3216">
        <v>1.01</v>
      </c>
      <c r="L3216">
        <v>0.99</v>
      </c>
      <c r="M3216">
        <v>0.84899999999999998</v>
      </c>
      <c r="N3216">
        <v>2.5999999999999999E-2</v>
      </c>
    </row>
    <row r="3217" spans="1:14" x14ac:dyDescent="0.25">
      <c r="A3217" t="s">
        <v>5909</v>
      </c>
      <c r="B3217" t="s">
        <v>5910</v>
      </c>
      <c r="C3217" s="1" t="str">
        <f>HYPERLINK("http://www.genecards.org/cgi-bin/carddisp.pl?gene=GRPR","GeneCards")</f>
        <v>GeneCards</v>
      </c>
      <c r="D3217" s="1" t="str">
        <f>HYPERLINK("http://genome-euro.ucsc.edu/cgi-bin/hgTracks?position=207929_at","UCSC")</f>
        <v>UCSC</v>
      </c>
      <c r="E3217" s="1" t="str">
        <f>HYPERLINK("http://www.ncbi.nlm.nih.gov/gene/?term=GRPR","NCBI")</f>
        <v>NCBI</v>
      </c>
      <c r="F3217">
        <v>1.9E-2</v>
      </c>
      <c r="G3217">
        <v>0.1</v>
      </c>
      <c r="H3217" s="1" t="str">
        <f>HYPERLINK("http://www.weizmann.ac.il/complex/compphys/software/geview/data/figures/207929_at.png","Figure")</f>
        <v>Figure</v>
      </c>
      <c r="I3217">
        <v>1.46</v>
      </c>
      <c r="J3217">
        <v>1.4999999999999999E-2</v>
      </c>
      <c r="K3217">
        <v>1.22</v>
      </c>
      <c r="L3217">
        <v>0.16</v>
      </c>
      <c r="M3217">
        <v>0.83499999999999996</v>
      </c>
      <c r="N3217">
        <v>0.25</v>
      </c>
    </row>
    <row r="3218" spans="1:14" x14ac:dyDescent="0.25">
      <c r="A3218" t="s">
        <v>5911</v>
      </c>
      <c r="B3218" t="s">
        <v>5912</v>
      </c>
      <c r="C3218" s="1" t="str">
        <f>HYPERLINK("http://www.genecards.org/cgi-bin/carddisp.pl?gene=THBS2","GeneCards")</f>
        <v>GeneCards</v>
      </c>
      <c r="D3218" s="1" t="str">
        <f>HYPERLINK("http://genome-euro.ucsc.edu/cgi-bin/hgTracks?position=203083_at","UCSC")</f>
        <v>UCSC</v>
      </c>
      <c r="E3218" s="1" t="str">
        <f>HYPERLINK("http://www.ncbi.nlm.nih.gov/gene/?term=THBS2","NCBI")</f>
        <v>NCBI</v>
      </c>
      <c r="F3218">
        <v>1.9E-2</v>
      </c>
      <c r="G3218">
        <v>0.1</v>
      </c>
      <c r="H3218" s="1" t="str">
        <f>HYPERLINK("http://www.weizmann.ac.il/complex/compphys/software/geview/data/figures/203083_at.png","Figure")</f>
        <v>Figure</v>
      </c>
      <c r="I3218">
        <v>1.23</v>
      </c>
      <c r="J3218">
        <v>3.5000000000000003E-2</v>
      </c>
      <c r="K3218">
        <v>0.999</v>
      </c>
      <c r="L3218">
        <v>1</v>
      </c>
      <c r="M3218">
        <v>0.81299999999999994</v>
      </c>
      <c r="N3218">
        <v>2.3E-2</v>
      </c>
    </row>
    <row r="3219" spans="1:14" x14ac:dyDescent="0.25">
      <c r="A3219" t="s">
        <v>5913</v>
      </c>
      <c r="B3219" t="s">
        <v>5914</v>
      </c>
      <c r="C3219" s="1" t="str">
        <f>HYPERLINK("http://www.genecards.org/cgi-bin/carddisp.pl?gene=NPM1","GeneCards")</f>
        <v>GeneCards</v>
      </c>
      <c r="D3219" s="1" t="str">
        <f>HYPERLINK("http://genome-euro.ucsc.edu/cgi-bin/hgTracks?position=200063_s_at","UCSC")</f>
        <v>UCSC</v>
      </c>
      <c r="E3219" s="1" t="str">
        <f>HYPERLINK("http://www.ncbi.nlm.nih.gov/gene/?term=NPM1","NCBI")</f>
        <v>NCBI</v>
      </c>
      <c r="F3219">
        <v>1.9E-2</v>
      </c>
      <c r="G3219">
        <v>0.1</v>
      </c>
      <c r="H3219" s="1" t="str">
        <f>HYPERLINK("http://www.weizmann.ac.il/complex/compphys/software/geview/data/figures/200063_s_at.png","Figure")</f>
        <v>Figure</v>
      </c>
      <c r="I3219">
        <v>1.2</v>
      </c>
      <c r="J3219">
        <v>9.0999999999999998E-2</v>
      </c>
      <c r="K3219">
        <v>1.25</v>
      </c>
      <c r="L3219">
        <v>1.7000000000000001E-2</v>
      </c>
      <c r="M3219">
        <v>1.04</v>
      </c>
      <c r="N3219">
        <v>0.85</v>
      </c>
    </row>
    <row r="3220" spans="1:14" x14ac:dyDescent="0.25">
      <c r="A3220" t="s">
        <v>5915</v>
      </c>
      <c r="B3220" t="s">
        <v>5916</v>
      </c>
      <c r="C3220" s="1" t="str">
        <f>HYPERLINK("http://www.genecards.org/cgi-bin/carddisp.pl?gene=APOL2","GeneCards")</f>
        <v>GeneCards</v>
      </c>
      <c r="D3220" s="1" t="str">
        <f>HYPERLINK("http://genome-euro.ucsc.edu/cgi-bin/hgTracks?position=221013_s_at","UCSC")</f>
        <v>UCSC</v>
      </c>
      <c r="E3220" s="1" t="str">
        <f>HYPERLINK("http://www.ncbi.nlm.nih.gov/gene/?term=APOL2","NCBI")</f>
        <v>NCBI</v>
      </c>
      <c r="F3220">
        <v>1.9E-2</v>
      </c>
      <c r="G3220">
        <v>0.1</v>
      </c>
      <c r="H3220" s="1" t="str">
        <f>HYPERLINK("http://www.weizmann.ac.il/complex/compphys/software/geview/data/figures/221013_s_at.png","Figure")</f>
        <v>Figure</v>
      </c>
      <c r="I3220">
        <v>1.67</v>
      </c>
      <c r="J3220">
        <v>1.4999999999999999E-2</v>
      </c>
      <c r="K3220">
        <v>1.29</v>
      </c>
      <c r="L3220">
        <v>0.19</v>
      </c>
      <c r="M3220">
        <v>0.76900000000000002</v>
      </c>
      <c r="N3220">
        <v>0.21</v>
      </c>
    </row>
    <row r="3221" spans="1:14" x14ac:dyDescent="0.25">
      <c r="A3221" t="s">
        <v>5917</v>
      </c>
      <c r="B3221" t="s">
        <v>4214</v>
      </c>
      <c r="C3221" s="1" t="str">
        <f>HYPERLINK("http://www.genecards.org/cgi-bin/carddisp.pl?gene=TOP2A","GeneCards")</f>
        <v>GeneCards</v>
      </c>
      <c r="D3221" s="1" t="str">
        <f>HYPERLINK("http://genome-euro.ucsc.edu/cgi-bin/hgTracks?position=201292_at","UCSC")</f>
        <v>UCSC</v>
      </c>
      <c r="E3221" s="1" t="str">
        <f>HYPERLINK("http://www.ncbi.nlm.nih.gov/gene/?term=TOP2A","NCBI")</f>
        <v>NCBI</v>
      </c>
      <c r="F3221">
        <v>1.9E-2</v>
      </c>
      <c r="G3221">
        <v>0.1</v>
      </c>
      <c r="H3221" s="1" t="str">
        <f>HYPERLINK("http://www.weizmann.ac.il/complex/compphys/software/geview/data/figures/201292_at.png","Figure")</f>
        <v>Figure</v>
      </c>
      <c r="I3221">
        <v>0.67</v>
      </c>
      <c r="J3221">
        <v>0.56000000000000005</v>
      </c>
      <c r="K3221">
        <v>2.0499999999999998</v>
      </c>
      <c r="L3221">
        <v>0.12</v>
      </c>
      <c r="M3221">
        <v>3.06</v>
      </c>
      <c r="N3221">
        <v>0.02</v>
      </c>
    </row>
    <row r="3222" spans="1:14" x14ac:dyDescent="0.25">
      <c r="A3222" t="s">
        <v>5918</v>
      </c>
      <c r="B3222" t="s">
        <v>5919</v>
      </c>
      <c r="C3222" s="1" t="str">
        <f>HYPERLINK("http://www.genecards.org/cgi-bin/carddisp.pl?gene=TROVE2","GeneCards")</f>
        <v>GeneCards</v>
      </c>
      <c r="D3222" s="1" t="str">
        <f>HYPERLINK("http://genome-euro.ucsc.edu/cgi-bin/hgTracks?position=210438_x_at","UCSC")</f>
        <v>UCSC</v>
      </c>
      <c r="E3222" s="1" t="str">
        <f>HYPERLINK("http://www.ncbi.nlm.nih.gov/gene/?term=TROVE2","NCBI")</f>
        <v>NCBI</v>
      </c>
      <c r="F3222">
        <v>1.9E-2</v>
      </c>
      <c r="G3222">
        <v>0.1</v>
      </c>
      <c r="H3222" s="1" t="str">
        <f>HYPERLINK("http://www.weizmann.ac.il/complex/compphys/software/geview/data/figures/210438_x_at.png","Figure")</f>
        <v>Figure</v>
      </c>
      <c r="I3222">
        <v>1.52</v>
      </c>
      <c r="J3222">
        <v>1.7000000000000001E-2</v>
      </c>
      <c r="K3222">
        <v>1.1299999999999999</v>
      </c>
      <c r="L3222">
        <v>0.56000000000000005</v>
      </c>
      <c r="M3222">
        <v>0.74199999999999999</v>
      </c>
      <c r="N3222">
        <v>6.7000000000000004E-2</v>
      </c>
    </row>
    <row r="3223" spans="1:14" x14ac:dyDescent="0.25">
      <c r="A3223" t="s">
        <v>5920</v>
      </c>
      <c r="B3223" t="s">
        <v>5921</v>
      </c>
      <c r="C3223" s="1" t="str">
        <f>HYPERLINK("http://www.genecards.org/cgi-bin/carddisp.pl?gene=RANBP3","GeneCards")</f>
        <v>GeneCards</v>
      </c>
      <c r="D3223" s="1" t="str">
        <f>HYPERLINK("http://genome-euro.ucsc.edu/cgi-bin/hgTracks?position=208272_at","UCSC")</f>
        <v>UCSC</v>
      </c>
      <c r="E3223" s="1" t="str">
        <f>HYPERLINK("http://www.ncbi.nlm.nih.gov/gene/?term=RANBP3","NCBI")</f>
        <v>NCBI</v>
      </c>
      <c r="F3223">
        <v>1.9E-2</v>
      </c>
      <c r="G3223">
        <v>0.1</v>
      </c>
      <c r="H3223" s="1" t="str">
        <f>HYPERLINK("http://www.weizmann.ac.il/complex/compphys/software/geview/data/figures/208272_at.png","Figure")</f>
        <v>Figure</v>
      </c>
      <c r="I3223">
        <v>1.39</v>
      </c>
      <c r="J3223">
        <v>1.4999999999999999E-2</v>
      </c>
      <c r="K3223">
        <v>1.17</v>
      </c>
      <c r="L3223">
        <v>0.23</v>
      </c>
      <c r="M3223">
        <v>0.83699999999999997</v>
      </c>
      <c r="N3223">
        <v>0.18</v>
      </c>
    </row>
    <row r="3224" spans="1:14" x14ac:dyDescent="0.25">
      <c r="A3224" t="s">
        <v>5922</v>
      </c>
      <c r="B3224" t="s">
        <v>2739</v>
      </c>
      <c r="C3224" s="1" t="str">
        <f>HYPERLINK("http://www.genecards.org/cgi-bin/carddisp.pl?gene=SLC11A2","GeneCards")</f>
        <v>GeneCards</v>
      </c>
      <c r="D3224" s="1" t="str">
        <f>HYPERLINK("http://genome-euro.ucsc.edu/cgi-bin/hgTracks?position=210047_at","UCSC")</f>
        <v>UCSC</v>
      </c>
      <c r="E3224" s="1" t="str">
        <f>HYPERLINK("http://www.ncbi.nlm.nih.gov/gene/?term=SLC11A2","NCBI")</f>
        <v>NCBI</v>
      </c>
      <c r="F3224">
        <v>1.9E-2</v>
      </c>
      <c r="G3224">
        <v>0.1</v>
      </c>
      <c r="H3224" s="1" t="str">
        <f>HYPERLINK("http://www.weizmann.ac.il/complex/compphys/software/geview/data/figures/210047_at.png","Figure")</f>
        <v>Figure</v>
      </c>
      <c r="I3224">
        <v>0.87</v>
      </c>
      <c r="J3224">
        <v>8.2000000000000003E-2</v>
      </c>
      <c r="K3224">
        <v>1.04</v>
      </c>
      <c r="L3224">
        <v>0.72</v>
      </c>
      <c r="M3224">
        <v>1.2</v>
      </c>
      <c r="N3224">
        <v>1.6E-2</v>
      </c>
    </row>
    <row r="3225" spans="1:14" x14ac:dyDescent="0.25">
      <c r="A3225" t="s">
        <v>5923</v>
      </c>
      <c r="B3225" t="s">
        <v>5924</v>
      </c>
      <c r="C3225" s="1" t="str">
        <f>HYPERLINK("http://www.genecards.org/cgi-bin/carddisp.pl?gene=ASB7","GeneCards")</f>
        <v>GeneCards</v>
      </c>
      <c r="D3225" s="1" t="str">
        <f>HYPERLINK("http://genome-euro.ucsc.edu/cgi-bin/hgTracks?position=219996_at","UCSC")</f>
        <v>UCSC</v>
      </c>
      <c r="E3225" s="1" t="str">
        <f>HYPERLINK("http://www.ncbi.nlm.nih.gov/gene/?term=ASB7","NCBI")</f>
        <v>NCBI</v>
      </c>
      <c r="F3225">
        <v>1.9E-2</v>
      </c>
      <c r="G3225">
        <v>0.1</v>
      </c>
      <c r="H3225" s="1" t="str">
        <f>HYPERLINK("http://www.weizmann.ac.il/complex/compphys/software/geview/data/figures/219996_at.png","Figure")</f>
        <v>Figure</v>
      </c>
      <c r="I3225">
        <v>0.93600000000000005</v>
      </c>
      <c r="J3225">
        <v>0.84</v>
      </c>
      <c r="K3225">
        <v>0.73099999999999998</v>
      </c>
      <c r="L3225">
        <v>2.1999999999999999E-2</v>
      </c>
      <c r="M3225">
        <v>0.78100000000000003</v>
      </c>
      <c r="N3225">
        <v>9.5000000000000001E-2</v>
      </c>
    </row>
    <row r="3226" spans="1:14" x14ac:dyDescent="0.25">
      <c r="A3226" t="s">
        <v>5925</v>
      </c>
      <c r="B3226" t="s">
        <v>5009</v>
      </c>
      <c r="C3226" s="1" t="str">
        <f>HYPERLINK("http://www.genecards.org/cgi-bin/carddisp.pl?gene=EML2","GeneCards")</f>
        <v>GeneCards</v>
      </c>
      <c r="D3226" s="1" t="str">
        <f>HYPERLINK("http://genome-euro.ucsc.edu/cgi-bin/hgTracks?position=204397_at","UCSC")</f>
        <v>UCSC</v>
      </c>
      <c r="E3226" s="1" t="str">
        <f>HYPERLINK("http://www.ncbi.nlm.nih.gov/gene/?term=EML2","NCBI")</f>
        <v>NCBI</v>
      </c>
      <c r="F3226">
        <v>1.9E-2</v>
      </c>
      <c r="G3226">
        <v>0.1</v>
      </c>
      <c r="H3226" s="1" t="str">
        <f>HYPERLINK("http://www.weizmann.ac.il/complex/compphys/software/geview/data/figures/204397_at.png","Figure")</f>
        <v>Figure</v>
      </c>
      <c r="I3226">
        <v>1.21</v>
      </c>
      <c r="J3226">
        <v>7.9000000000000001E-2</v>
      </c>
      <c r="K3226">
        <v>0.94899999999999995</v>
      </c>
      <c r="L3226">
        <v>0.74</v>
      </c>
      <c r="M3226">
        <v>0.78300000000000003</v>
      </c>
      <c r="N3226">
        <v>1.6E-2</v>
      </c>
    </row>
    <row r="3227" spans="1:14" x14ac:dyDescent="0.25">
      <c r="A3227" t="s">
        <v>5926</v>
      </c>
      <c r="B3227" t="s">
        <v>1509</v>
      </c>
      <c r="C3227" s="1" t="str">
        <f>HYPERLINK("http://www.genecards.org/cgi-bin/carddisp.pl?gene=SMG7","GeneCards")</f>
        <v>GeneCards</v>
      </c>
      <c r="D3227" s="1" t="str">
        <f>HYPERLINK("http://genome-euro.ucsc.edu/cgi-bin/hgTracks?position=201793_x_at","UCSC")</f>
        <v>UCSC</v>
      </c>
      <c r="E3227" s="1" t="str">
        <f>HYPERLINK("http://www.ncbi.nlm.nih.gov/gene/?term=SMG7","NCBI")</f>
        <v>NCBI</v>
      </c>
      <c r="F3227">
        <v>1.9E-2</v>
      </c>
      <c r="G3227">
        <v>0.1</v>
      </c>
      <c r="H3227" s="1" t="str">
        <f>HYPERLINK("http://www.weizmann.ac.il/complex/compphys/software/geview/data/figures/201793_x_at.png","Figure")</f>
        <v>Figure</v>
      </c>
      <c r="I3227">
        <v>1.34</v>
      </c>
      <c r="J3227">
        <v>2.8000000000000001E-2</v>
      </c>
      <c r="K3227">
        <v>1.02</v>
      </c>
      <c r="L3227">
        <v>0.97</v>
      </c>
      <c r="M3227">
        <v>0.76</v>
      </c>
      <c r="N3227">
        <v>2.9000000000000001E-2</v>
      </c>
    </row>
    <row r="3228" spans="1:14" x14ac:dyDescent="0.25">
      <c r="A3228" t="s">
        <v>5927</v>
      </c>
      <c r="B3228" t="s">
        <v>1430</v>
      </c>
      <c r="C3228" s="1" t="str">
        <f>HYPERLINK("http://www.genecards.org/cgi-bin/carddisp.pl?gene=CDC2L1 /// CDC2L2","GeneCards")</f>
        <v>GeneCards</v>
      </c>
      <c r="D3228" s="1" t="str">
        <f>HYPERLINK("http://genome-euro.ucsc.edu/cgi-bin/hgTracks?position=211289_x_at","UCSC")</f>
        <v>UCSC</v>
      </c>
      <c r="E3228" s="1" t="str">
        <f>HYPERLINK("http://www.ncbi.nlm.nih.gov/gene/?term=CDC2L1 /// CDC2L2","NCBI")</f>
        <v>NCBI</v>
      </c>
      <c r="F3228">
        <v>1.9E-2</v>
      </c>
      <c r="G3228">
        <v>0.1</v>
      </c>
      <c r="H3228" s="1" t="str">
        <f>HYPERLINK("http://www.weizmann.ac.il/complex/compphys/software/geview/data/figures/211289_x_at.png","Figure")</f>
        <v>Figure</v>
      </c>
      <c r="I3228">
        <v>1.2</v>
      </c>
      <c r="J3228">
        <v>0.47</v>
      </c>
      <c r="K3228">
        <v>0.77</v>
      </c>
      <c r="L3228">
        <v>0.15</v>
      </c>
      <c r="M3228">
        <v>0.64400000000000002</v>
      </c>
      <c r="N3228">
        <v>1.7999999999999999E-2</v>
      </c>
    </row>
    <row r="3229" spans="1:14" x14ac:dyDescent="0.25">
      <c r="A3229" t="s">
        <v>5928</v>
      </c>
      <c r="B3229" t="s">
        <v>5929</v>
      </c>
      <c r="C3229" s="1" t="str">
        <f>HYPERLINK("http://www.genecards.org/cgi-bin/carddisp.pl?gene=NDUFA8","GeneCards")</f>
        <v>GeneCards</v>
      </c>
      <c r="D3229" s="1" t="str">
        <f>HYPERLINK("http://genome-euro.ucsc.edu/cgi-bin/hgTracks?position=218160_at","UCSC")</f>
        <v>UCSC</v>
      </c>
      <c r="E3229" s="1" t="str">
        <f>HYPERLINK("http://www.ncbi.nlm.nih.gov/gene/?term=NDUFA8","NCBI")</f>
        <v>NCBI</v>
      </c>
      <c r="F3229">
        <v>1.9E-2</v>
      </c>
      <c r="G3229">
        <v>0.1</v>
      </c>
      <c r="H3229" s="1" t="str">
        <f>HYPERLINK("http://www.weizmann.ac.il/complex/compphys/software/geview/data/figures/218160_at.png","Figure")</f>
        <v>Figure</v>
      </c>
      <c r="I3229">
        <v>0.78500000000000003</v>
      </c>
      <c r="J3229">
        <v>0.73</v>
      </c>
      <c r="K3229">
        <v>1.94</v>
      </c>
      <c r="L3229">
        <v>0.08</v>
      </c>
      <c r="M3229">
        <v>2.4700000000000002</v>
      </c>
      <c r="N3229">
        <v>2.4E-2</v>
      </c>
    </row>
    <row r="3230" spans="1:14" x14ac:dyDescent="0.25">
      <c r="A3230" t="s">
        <v>5930</v>
      </c>
      <c r="B3230" t="s">
        <v>5931</v>
      </c>
      <c r="C3230" s="1" t="str">
        <f>HYPERLINK("http://www.genecards.org/cgi-bin/carddisp.pl?gene=MT1H","GeneCards")</f>
        <v>GeneCards</v>
      </c>
      <c r="D3230" s="1" t="str">
        <f>HYPERLINK("http://genome-euro.ucsc.edu/cgi-bin/hgTracks?position=206461_x_at","UCSC")</f>
        <v>UCSC</v>
      </c>
      <c r="E3230" s="1" t="str">
        <f>HYPERLINK("http://www.ncbi.nlm.nih.gov/gene/?term=MT1H","NCBI")</f>
        <v>NCBI</v>
      </c>
      <c r="F3230">
        <v>1.9E-2</v>
      </c>
      <c r="G3230">
        <v>0.1</v>
      </c>
      <c r="H3230" s="1" t="str">
        <f>HYPERLINK("http://www.weizmann.ac.il/complex/compphys/software/geview/data/figures/206461_x_at.png","Figure")</f>
        <v>Figure</v>
      </c>
      <c r="I3230">
        <v>1.64</v>
      </c>
      <c r="J3230">
        <v>3.1E-2</v>
      </c>
      <c r="K3230">
        <v>1.52</v>
      </c>
      <c r="L3230">
        <v>3.5999999999999997E-2</v>
      </c>
      <c r="M3230">
        <v>0.92700000000000005</v>
      </c>
      <c r="N3230">
        <v>0.88</v>
      </c>
    </row>
    <row r="3231" spans="1:14" x14ac:dyDescent="0.25">
      <c r="A3231" t="s">
        <v>5932</v>
      </c>
      <c r="B3231" t="s">
        <v>4659</v>
      </c>
      <c r="C3231" s="1" t="str">
        <f>HYPERLINK("http://www.genecards.org/cgi-bin/carddisp.pl?gene=RYBP","GeneCards")</f>
        <v>GeneCards</v>
      </c>
      <c r="D3231" s="1" t="str">
        <f>HYPERLINK("http://genome-euro.ucsc.edu/cgi-bin/hgTracks?position=201846_s_at","UCSC")</f>
        <v>UCSC</v>
      </c>
      <c r="E3231" s="1" t="str">
        <f>HYPERLINK("http://www.ncbi.nlm.nih.gov/gene/?term=RYBP","NCBI")</f>
        <v>NCBI</v>
      </c>
      <c r="F3231">
        <v>1.9E-2</v>
      </c>
      <c r="G3231">
        <v>0.1</v>
      </c>
      <c r="H3231" s="1" t="str">
        <f>HYPERLINK("http://www.weizmann.ac.il/complex/compphys/software/geview/data/figures/201846_s_at.png","Figure")</f>
        <v>Figure</v>
      </c>
      <c r="I3231">
        <v>0.57199999999999995</v>
      </c>
      <c r="J3231">
        <v>0.12</v>
      </c>
      <c r="K3231">
        <v>0.47599999999999998</v>
      </c>
      <c r="L3231">
        <v>1.6E-2</v>
      </c>
      <c r="M3231">
        <v>0.83299999999999996</v>
      </c>
      <c r="N3231">
        <v>0.74</v>
      </c>
    </row>
    <row r="3232" spans="1:14" x14ac:dyDescent="0.25">
      <c r="A3232" t="s">
        <v>5933</v>
      </c>
      <c r="B3232" t="s">
        <v>5934</v>
      </c>
      <c r="C3232" s="1" t="str">
        <f>HYPERLINK("http://www.genecards.org/cgi-bin/carddisp.pl?gene=ZMYM6","GeneCards")</f>
        <v>GeneCards</v>
      </c>
      <c r="D3232" s="1" t="str">
        <f>HYPERLINK("http://genome-euro.ucsc.edu/cgi-bin/hgTracks?position=213698_at","UCSC")</f>
        <v>UCSC</v>
      </c>
      <c r="E3232" s="1" t="str">
        <f>HYPERLINK("http://www.ncbi.nlm.nih.gov/gene/?term=ZMYM6","NCBI")</f>
        <v>NCBI</v>
      </c>
      <c r="F3232">
        <v>1.9E-2</v>
      </c>
      <c r="G3232">
        <v>0.1</v>
      </c>
      <c r="H3232" s="1" t="str">
        <f>HYPERLINK("http://www.weizmann.ac.il/complex/compphys/software/geview/data/figures/213698_at.png","Figure")</f>
        <v>Figure</v>
      </c>
      <c r="I3232">
        <v>0.80400000000000005</v>
      </c>
      <c r="J3232">
        <v>0.57999999999999996</v>
      </c>
      <c r="K3232">
        <v>1.51</v>
      </c>
      <c r="L3232">
        <v>0.11</v>
      </c>
      <c r="M3232">
        <v>1.88</v>
      </c>
      <c r="N3232">
        <v>2.1000000000000001E-2</v>
      </c>
    </row>
    <row r="3233" spans="1:14" x14ac:dyDescent="0.25">
      <c r="A3233" t="s">
        <v>5935</v>
      </c>
      <c r="B3233" t="s">
        <v>5936</v>
      </c>
      <c r="C3233" s="1" t="str">
        <f>HYPERLINK("http://www.genecards.org/cgi-bin/carddisp.pl?gene=ERBB2","GeneCards")</f>
        <v>GeneCards</v>
      </c>
      <c r="D3233" s="1" t="str">
        <f>HYPERLINK("http://genome-euro.ucsc.edu/cgi-bin/hgTracks?position=216836_s_at","UCSC")</f>
        <v>UCSC</v>
      </c>
      <c r="E3233" s="1" t="str">
        <f>HYPERLINK("http://www.ncbi.nlm.nih.gov/gene/?term=ERBB2","NCBI")</f>
        <v>NCBI</v>
      </c>
      <c r="F3233">
        <v>1.9E-2</v>
      </c>
      <c r="G3233">
        <v>0.1</v>
      </c>
      <c r="H3233" s="1" t="str">
        <f>HYPERLINK("http://www.weizmann.ac.il/complex/compphys/software/geview/data/figures/216836_s_at.png","Figure")</f>
        <v>Figure</v>
      </c>
      <c r="I3233">
        <v>1.27</v>
      </c>
      <c r="J3233">
        <v>1.6E-2</v>
      </c>
      <c r="K3233">
        <v>1.08</v>
      </c>
      <c r="L3233">
        <v>0.46</v>
      </c>
      <c r="M3233">
        <v>0.85</v>
      </c>
      <c r="N3233">
        <v>8.4000000000000005E-2</v>
      </c>
    </row>
    <row r="3234" spans="1:14" x14ac:dyDescent="0.25">
      <c r="A3234" t="s">
        <v>5937</v>
      </c>
      <c r="B3234" t="s">
        <v>5938</v>
      </c>
      <c r="C3234" s="1" t="str">
        <f>HYPERLINK("http://www.genecards.org/cgi-bin/carddisp.pl?gene=KRCC1","GeneCards")</f>
        <v>GeneCards</v>
      </c>
      <c r="D3234" s="1" t="str">
        <f>HYPERLINK("http://genome-euro.ucsc.edu/cgi-bin/hgTracks?position=218303_x_at","UCSC")</f>
        <v>UCSC</v>
      </c>
      <c r="E3234" s="1" t="str">
        <f>HYPERLINK("http://www.ncbi.nlm.nih.gov/gene/?term=KRCC1","NCBI")</f>
        <v>NCBI</v>
      </c>
      <c r="F3234">
        <v>1.9E-2</v>
      </c>
      <c r="G3234">
        <v>0.1</v>
      </c>
      <c r="H3234" s="1" t="str">
        <f>HYPERLINK("http://www.weizmann.ac.il/complex/compphys/software/geview/data/figures/218303_x_at.png","Figure")</f>
        <v>Figure</v>
      </c>
      <c r="I3234">
        <v>0.50900000000000001</v>
      </c>
      <c r="J3234">
        <v>0.11</v>
      </c>
      <c r="K3234">
        <v>1.32</v>
      </c>
      <c r="L3234">
        <v>0.57999999999999996</v>
      </c>
      <c r="M3234">
        <v>2.59</v>
      </c>
      <c r="N3234">
        <v>1.4999999999999999E-2</v>
      </c>
    </row>
    <row r="3235" spans="1:14" x14ac:dyDescent="0.25">
      <c r="A3235" t="s">
        <v>5939</v>
      </c>
      <c r="B3235" t="s">
        <v>5940</v>
      </c>
      <c r="C3235" s="1" t="str">
        <f>HYPERLINK("http://www.genecards.org/cgi-bin/carddisp.pl?gene=MYST3","GeneCards")</f>
        <v>GeneCards</v>
      </c>
      <c r="D3235" s="1" t="str">
        <f>HYPERLINK("http://genome-euro.ucsc.edu/cgi-bin/hgTracks?position=202423_at","UCSC")</f>
        <v>UCSC</v>
      </c>
      <c r="E3235" s="1" t="str">
        <f>HYPERLINK("http://www.ncbi.nlm.nih.gov/gene/?term=MYST3","NCBI")</f>
        <v>NCBI</v>
      </c>
      <c r="F3235">
        <v>1.9E-2</v>
      </c>
      <c r="G3235">
        <v>0.1</v>
      </c>
      <c r="H3235" s="1" t="str">
        <f>HYPERLINK("http://www.weizmann.ac.il/complex/compphys/software/geview/data/figures/202423_at.png","Figure")</f>
        <v>Figure</v>
      </c>
      <c r="I3235">
        <v>0.98199999999999998</v>
      </c>
      <c r="J3235">
        <v>0.99</v>
      </c>
      <c r="K3235">
        <v>0.74099999999999999</v>
      </c>
      <c r="L3235">
        <v>0.03</v>
      </c>
      <c r="M3235">
        <v>0.754</v>
      </c>
      <c r="N3235">
        <v>5.8000000000000003E-2</v>
      </c>
    </row>
    <row r="3236" spans="1:14" x14ac:dyDescent="0.25">
      <c r="A3236" t="s">
        <v>5941</v>
      </c>
      <c r="B3236" t="s">
        <v>5942</v>
      </c>
      <c r="C3236" s="1" t="str">
        <f>HYPERLINK("http://www.genecards.org/cgi-bin/carddisp.pl?gene=USP10","GeneCards")</f>
        <v>GeneCards</v>
      </c>
      <c r="D3236" s="1" t="str">
        <f>HYPERLINK("http://genome-euro.ucsc.edu/cgi-bin/hgTracks?position=209136_s_at","UCSC")</f>
        <v>UCSC</v>
      </c>
      <c r="E3236" s="1" t="str">
        <f>HYPERLINK("http://www.ncbi.nlm.nih.gov/gene/?term=USP10","NCBI")</f>
        <v>NCBI</v>
      </c>
      <c r="F3236">
        <v>1.9E-2</v>
      </c>
      <c r="G3236">
        <v>0.1</v>
      </c>
      <c r="H3236" s="1" t="str">
        <f>HYPERLINK("http://www.weizmann.ac.il/complex/compphys/software/geview/data/figures/209136_s_at.png","Figure")</f>
        <v>Figure</v>
      </c>
      <c r="I3236">
        <v>1.37</v>
      </c>
      <c r="J3236">
        <v>0.1</v>
      </c>
      <c r="K3236">
        <v>0.89200000000000002</v>
      </c>
      <c r="L3236">
        <v>0.63</v>
      </c>
      <c r="M3236">
        <v>0.65</v>
      </c>
      <c r="N3236">
        <v>1.4999999999999999E-2</v>
      </c>
    </row>
    <row r="3237" spans="1:14" x14ac:dyDescent="0.25">
      <c r="A3237" t="s">
        <v>5943</v>
      </c>
      <c r="B3237" t="s">
        <v>5944</v>
      </c>
      <c r="C3237" s="1" t="str">
        <f>HYPERLINK("http://www.genecards.org/cgi-bin/carddisp.pl?gene=COLQ","GeneCards")</f>
        <v>GeneCards</v>
      </c>
      <c r="D3237" s="1" t="str">
        <f>HYPERLINK("http://genome-euro.ucsc.edu/cgi-bin/hgTracks?position=206073_at","UCSC")</f>
        <v>UCSC</v>
      </c>
      <c r="E3237" s="1" t="str">
        <f>HYPERLINK("http://www.ncbi.nlm.nih.gov/gene/?term=COLQ","NCBI")</f>
        <v>NCBI</v>
      </c>
      <c r="F3237">
        <v>1.9E-2</v>
      </c>
      <c r="G3237">
        <v>0.1</v>
      </c>
      <c r="H3237" s="1" t="str">
        <f>HYPERLINK("http://www.weizmann.ac.il/complex/compphys/software/geview/data/figures/206073_at.png","Figure")</f>
        <v>Figure</v>
      </c>
      <c r="I3237">
        <v>1.0900000000000001</v>
      </c>
      <c r="J3237">
        <v>0.43</v>
      </c>
      <c r="K3237">
        <v>0.89100000000000001</v>
      </c>
      <c r="L3237">
        <v>0.16</v>
      </c>
      <c r="M3237">
        <v>0.81699999999999995</v>
      </c>
      <c r="N3237">
        <v>1.7999999999999999E-2</v>
      </c>
    </row>
    <row r="3238" spans="1:14" x14ac:dyDescent="0.25">
      <c r="A3238" t="s">
        <v>5945</v>
      </c>
      <c r="B3238" t="s">
        <v>5946</v>
      </c>
      <c r="C3238" s="1" t="str">
        <f>HYPERLINK("http://www.genecards.org/cgi-bin/carddisp.pl?gene=ITSN1","GeneCards")</f>
        <v>GeneCards</v>
      </c>
      <c r="D3238" s="1" t="str">
        <f>HYPERLINK("http://genome-euro.ucsc.edu/cgi-bin/hgTracks?position=209297_at","UCSC")</f>
        <v>UCSC</v>
      </c>
      <c r="E3238" s="1" t="str">
        <f>HYPERLINK("http://www.ncbi.nlm.nih.gov/gene/?term=ITSN1","NCBI")</f>
        <v>NCBI</v>
      </c>
      <c r="F3238">
        <v>1.9E-2</v>
      </c>
      <c r="G3238">
        <v>0.1</v>
      </c>
      <c r="H3238" s="1" t="str">
        <f>HYPERLINK("http://www.weizmann.ac.il/complex/compphys/software/geview/data/figures/209297_at.png","Figure")</f>
        <v>Figure</v>
      </c>
      <c r="I3238">
        <v>0.64400000000000002</v>
      </c>
      <c r="J3238">
        <v>1.7000000000000001E-2</v>
      </c>
      <c r="K3238">
        <v>0.877</v>
      </c>
      <c r="L3238">
        <v>0.53</v>
      </c>
      <c r="M3238">
        <v>1.36</v>
      </c>
      <c r="N3238">
        <v>7.1999999999999995E-2</v>
      </c>
    </row>
    <row r="3239" spans="1:14" x14ac:dyDescent="0.25">
      <c r="A3239" t="s">
        <v>5947</v>
      </c>
      <c r="B3239" t="s">
        <v>5948</v>
      </c>
      <c r="C3239" s="1" t="str">
        <f>HYPERLINK("http://www.genecards.org/cgi-bin/carddisp.pl?gene=SKP2","GeneCards")</f>
        <v>GeneCards</v>
      </c>
      <c r="D3239" s="1" t="str">
        <f>HYPERLINK("http://genome-euro.ucsc.edu/cgi-bin/hgTracks?position=210567_s_at","UCSC")</f>
        <v>UCSC</v>
      </c>
      <c r="E3239" s="1" t="str">
        <f>HYPERLINK("http://www.ncbi.nlm.nih.gov/gene/?term=SKP2","NCBI")</f>
        <v>NCBI</v>
      </c>
      <c r="F3239">
        <v>1.9E-2</v>
      </c>
      <c r="G3239">
        <v>0.1</v>
      </c>
      <c r="H3239" s="1" t="str">
        <f>HYPERLINK("http://www.weizmann.ac.il/complex/compphys/software/geview/data/figures/210567_s_at.png","Figure")</f>
        <v>Figure</v>
      </c>
      <c r="I3239">
        <v>0.748</v>
      </c>
      <c r="J3239">
        <v>8.1000000000000003E-2</v>
      </c>
      <c r="K3239">
        <v>1.0900000000000001</v>
      </c>
      <c r="L3239">
        <v>0.73</v>
      </c>
      <c r="M3239">
        <v>1.45</v>
      </c>
      <c r="N3239">
        <v>1.6E-2</v>
      </c>
    </row>
    <row r="3240" spans="1:14" x14ac:dyDescent="0.25">
      <c r="A3240" t="s">
        <v>5949</v>
      </c>
      <c r="B3240" t="s">
        <v>5950</v>
      </c>
      <c r="C3240" s="1" t="str">
        <f>HYPERLINK("http://www.genecards.org/cgi-bin/carddisp.pl?gene=GPR65","GeneCards")</f>
        <v>GeneCards</v>
      </c>
      <c r="D3240" s="1" t="str">
        <f>HYPERLINK("http://genome-euro.ucsc.edu/cgi-bin/hgTracks?position=214467_at","UCSC")</f>
        <v>UCSC</v>
      </c>
      <c r="E3240" s="1" t="str">
        <f>HYPERLINK("http://www.ncbi.nlm.nih.gov/gene/?term=GPR65","NCBI")</f>
        <v>NCBI</v>
      </c>
      <c r="F3240">
        <v>1.9E-2</v>
      </c>
      <c r="G3240">
        <v>0.1</v>
      </c>
      <c r="H3240" s="1" t="str">
        <f>HYPERLINK("http://www.weizmann.ac.il/complex/compphys/software/geview/data/figures/214467_at.png","Figure")</f>
        <v>Figure</v>
      </c>
      <c r="I3240">
        <v>0.56799999999999995</v>
      </c>
      <c r="J3240">
        <v>3.2000000000000001E-2</v>
      </c>
      <c r="K3240">
        <v>0.98199999999999998</v>
      </c>
      <c r="L3240">
        <v>0.99</v>
      </c>
      <c r="M3240">
        <v>1.73</v>
      </c>
      <c r="N3240">
        <v>2.5999999999999999E-2</v>
      </c>
    </row>
    <row r="3241" spans="1:14" x14ac:dyDescent="0.25">
      <c r="A3241" t="s">
        <v>5951</v>
      </c>
      <c r="B3241" t="s">
        <v>5952</v>
      </c>
      <c r="C3241" s="1" t="str">
        <f>HYPERLINK("http://www.genecards.org/cgi-bin/carddisp.pl?gene=NFAT5","GeneCards")</f>
        <v>GeneCards</v>
      </c>
      <c r="D3241" s="1" t="str">
        <f>HYPERLINK("http://genome-euro.ucsc.edu/cgi-bin/hgTracks?position=215092_s_at","UCSC")</f>
        <v>UCSC</v>
      </c>
      <c r="E3241" s="1" t="str">
        <f>HYPERLINK("http://www.ncbi.nlm.nih.gov/gene/?term=NFAT5","NCBI")</f>
        <v>NCBI</v>
      </c>
      <c r="F3241">
        <v>1.9E-2</v>
      </c>
      <c r="G3241">
        <v>0.1</v>
      </c>
      <c r="H3241" s="1" t="str">
        <f>HYPERLINK("http://www.weizmann.ac.il/complex/compphys/software/geview/data/figures/215092_s_at.png","Figure")</f>
        <v>Figure</v>
      </c>
      <c r="I3241">
        <v>0.63400000000000001</v>
      </c>
      <c r="J3241">
        <v>0.13</v>
      </c>
      <c r="K3241">
        <v>0.53500000000000003</v>
      </c>
      <c r="L3241">
        <v>1.6E-2</v>
      </c>
      <c r="M3241">
        <v>0.84299999999999997</v>
      </c>
      <c r="N3241">
        <v>0.69</v>
      </c>
    </row>
    <row r="3242" spans="1:14" x14ac:dyDescent="0.25">
      <c r="A3242" t="s">
        <v>5953</v>
      </c>
      <c r="B3242" t="s">
        <v>5954</v>
      </c>
      <c r="C3242" s="1" t="str">
        <f>HYPERLINK("http://www.genecards.org/cgi-bin/carddisp.pl?gene=C12orf32 /// IGHG1 /// LOC642131","GeneCards")</f>
        <v>GeneCards</v>
      </c>
      <c r="D3242" s="1" t="str">
        <f>HYPERLINK("http://genome-euro.ucsc.edu/cgi-bin/hgTracks?position=216706_x_at","UCSC")</f>
        <v>UCSC</v>
      </c>
      <c r="E3242" s="1" t="str">
        <f>HYPERLINK("http://www.ncbi.nlm.nih.gov/gene/?term=C12orf32 /// IGHG1 /// LOC642131","NCBI")</f>
        <v>NCBI</v>
      </c>
      <c r="F3242">
        <v>1.9E-2</v>
      </c>
      <c r="G3242">
        <v>0.1</v>
      </c>
      <c r="H3242" s="1" t="str">
        <f>HYPERLINK("http://www.weizmann.ac.il/complex/compphys/software/geview/data/figures/216706_x_at.png","Figure")</f>
        <v>Figure</v>
      </c>
      <c r="I3242">
        <v>1.21</v>
      </c>
      <c r="J3242">
        <v>1.4999999999999999E-2</v>
      </c>
      <c r="K3242">
        <v>1.08</v>
      </c>
      <c r="L3242">
        <v>0.28000000000000003</v>
      </c>
      <c r="M3242">
        <v>0.89500000000000002</v>
      </c>
      <c r="N3242">
        <v>0.14000000000000001</v>
      </c>
    </row>
    <row r="3243" spans="1:14" x14ac:dyDescent="0.25">
      <c r="A3243" t="s">
        <v>5955</v>
      </c>
      <c r="B3243" t="s">
        <v>5956</v>
      </c>
      <c r="C3243" s="1" t="str">
        <f>HYPERLINK("http://www.genecards.org/cgi-bin/carddisp.pl?gene=GGA1","GeneCards")</f>
        <v>GeneCards</v>
      </c>
      <c r="D3243" s="1" t="str">
        <f>HYPERLINK("http://genome-euro.ucsc.edu/cgi-bin/hgTracks?position=217560_at","UCSC")</f>
        <v>UCSC</v>
      </c>
      <c r="E3243" s="1" t="str">
        <f>HYPERLINK("http://www.ncbi.nlm.nih.gov/gene/?term=GGA1","NCBI")</f>
        <v>NCBI</v>
      </c>
      <c r="F3243">
        <v>1.9E-2</v>
      </c>
      <c r="G3243">
        <v>0.1</v>
      </c>
      <c r="H3243" s="1" t="str">
        <f>HYPERLINK("http://www.weizmann.ac.il/complex/compphys/software/geview/data/figures/217560_at.png","Figure")</f>
        <v>Figure</v>
      </c>
      <c r="I3243">
        <v>1.28</v>
      </c>
      <c r="J3243">
        <v>7.0999999999999994E-2</v>
      </c>
      <c r="K3243">
        <v>0.94299999999999995</v>
      </c>
      <c r="L3243">
        <v>0.79</v>
      </c>
      <c r="M3243">
        <v>0.73699999999999999</v>
      </c>
      <c r="N3243">
        <v>1.7000000000000001E-2</v>
      </c>
    </row>
    <row r="3244" spans="1:14" x14ac:dyDescent="0.25">
      <c r="A3244" t="s">
        <v>5957</v>
      </c>
      <c r="B3244" t="s">
        <v>5958</v>
      </c>
      <c r="C3244" s="1" t="str">
        <f>HYPERLINK("http://www.genecards.org/cgi-bin/carddisp.pl?gene=DNAJB2","GeneCards")</f>
        <v>GeneCards</v>
      </c>
      <c r="D3244" s="1" t="str">
        <f>HYPERLINK("http://genome-euro.ucsc.edu/cgi-bin/hgTracks?position=202500_at","UCSC")</f>
        <v>UCSC</v>
      </c>
      <c r="E3244" s="1" t="str">
        <f>HYPERLINK("http://www.ncbi.nlm.nih.gov/gene/?term=DNAJB2","NCBI")</f>
        <v>NCBI</v>
      </c>
      <c r="F3244">
        <v>1.9E-2</v>
      </c>
      <c r="G3244">
        <v>0.1</v>
      </c>
      <c r="H3244" s="1" t="str">
        <f>HYPERLINK("http://www.weizmann.ac.il/complex/compphys/software/geview/data/figures/202500_at.png","Figure")</f>
        <v>Figure</v>
      </c>
      <c r="I3244">
        <v>0.85099999999999998</v>
      </c>
      <c r="J3244">
        <v>0.4</v>
      </c>
      <c r="K3244">
        <v>0.70899999999999996</v>
      </c>
      <c r="L3244">
        <v>1.6E-2</v>
      </c>
      <c r="M3244">
        <v>0.83299999999999996</v>
      </c>
      <c r="N3244">
        <v>0.27</v>
      </c>
    </row>
    <row r="3245" spans="1:14" x14ac:dyDescent="0.25">
      <c r="A3245" t="s">
        <v>5959</v>
      </c>
      <c r="B3245" t="s">
        <v>5960</v>
      </c>
      <c r="C3245" s="1" t="str">
        <f>HYPERLINK("http://www.genecards.org/cgi-bin/carddisp.pl?gene=LOC440434","GeneCards")</f>
        <v>GeneCards</v>
      </c>
      <c r="D3245" s="1" t="str">
        <f>HYPERLINK("http://genome-euro.ucsc.edu/cgi-bin/hgTracks?position=214107_x_at","UCSC")</f>
        <v>UCSC</v>
      </c>
      <c r="E3245" s="1" t="str">
        <f>HYPERLINK("http://www.ncbi.nlm.nih.gov/gene/?term=LOC440434","NCBI")</f>
        <v>NCBI</v>
      </c>
      <c r="F3245">
        <v>1.9E-2</v>
      </c>
      <c r="G3245">
        <v>0.1</v>
      </c>
      <c r="H3245" s="1" t="str">
        <f>HYPERLINK("http://www.weizmann.ac.il/complex/compphys/software/geview/data/figures/214107_x_at.png","Figure")</f>
        <v>Figure</v>
      </c>
      <c r="I3245">
        <v>0.94</v>
      </c>
      <c r="J3245">
        <v>0.92</v>
      </c>
      <c r="K3245">
        <v>0.66400000000000003</v>
      </c>
      <c r="L3245">
        <v>2.5000000000000001E-2</v>
      </c>
      <c r="M3245">
        <v>0.70699999999999996</v>
      </c>
      <c r="N3245">
        <v>7.8E-2</v>
      </c>
    </row>
    <row r="3246" spans="1:14" x14ac:dyDescent="0.25">
      <c r="A3246" t="s">
        <v>5961</v>
      </c>
      <c r="B3246" t="s">
        <v>5962</v>
      </c>
      <c r="C3246" s="1" t="str">
        <f>HYPERLINK("http://www.genecards.org/cgi-bin/carddisp.pl?gene=C9orf7","GeneCards")</f>
        <v>GeneCards</v>
      </c>
      <c r="D3246" s="1" t="str">
        <f>HYPERLINK("http://genome-euro.ucsc.edu/cgi-bin/hgTracks?position=61874_at","UCSC")</f>
        <v>UCSC</v>
      </c>
      <c r="E3246" s="1" t="str">
        <f>HYPERLINK("http://www.ncbi.nlm.nih.gov/gene/?term=C9orf7","NCBI")</f>
        <v>NCBI</v>
      </c>
      <c r="F3246">
        <v>1.9E-2</v>
      </c>
      <c r="G3246">
        <v>0.1</v>
      </c>
      <c r="H3246" s="1" t="str">
        <f>HYPERLINK("http://www.weizmann.ac.il/complex/compphys/software/geview/data/figures/61874_at.png","Figure")</f>
        <v>Figure</v>
      </c>
      <c r="I3246">
        <v>1.5</v>
      </c>
      <c r="J3246">
        <v>1.4999999999999999E-2</v>
      </c>
      <c r="K3246">
        <v>1.19</v>
      </c>
      <c r="L3246">
        <v>0.27</v>
      </c>
      <c r="M3246">
        <v>0.79400000000000004</v>
      </c>
      <c r="N3246">
        <v>0.15</v>
      </c>
    </row>
    <row r="3247" spans="1:14" x14ac:dyDescent="0.25">
      <c r="A3247" t="s">
        <v>5963</v>
      </c>
      <c r="B3247" t="s">
        <v>5964</v>
      </c>
      <c r="C3247" s="1" t="str">
        <f>HYPERLINK("http://www.genecards.org/cgi-bin/carddisp.pl?gene=RB1","GeneCards")</f>
        <v>GeneCards</v>
      </c>
      <c r="D3247" s="1" t="str">
        <f>HYPERLINK("http://genome-euro.ucsc.edu/cgi-bin/hgTracks?position=203132_at","UCSC")</f>
        <v>UCSC</v>
      </c>
      <c r="E3247" s="1" t="str">
        <f>HYPERLINK("http://www.ncbi.nlm.nih.gov/gene/?term=RB1","NCBI")</f>
        <v>NCBI</v>
      </c>
      <c r="F3247">
        <v>1.9E-2</v>
      </c>
      <c r="G3247">
        <v>0.1</v>
      </c>
      <c r="H3247" s="1" t="str">
        <f>HYPERLINK("http://www.weizmann.ac.il/complex/compphys/software/geview/data/figures/203132_at.png","Figure")</f>
        <v>Figure</v>
      </c>
      <c r="I3247">
        <v>0.51</v>
      </c>
      <c r="J3247">
        <v>0.2</v>
      </c>
      <c r="K3247">
        <v>1.6</v>
      </c>
      <c r="L3247">
        <v>0.35</v>
      </c>
      <c r="M3247">
        <v>3.13</v>
      </c>
      <c r="N3247">
        <v>1.4999999999999999E-2</v>
      </c>
    </row>
    <row r="3248" spans="1:14" x14ac:dyDescent="0.25">
      <c r="A3248" t="s">
        <v>5965</v>
      </c>
      <c r="B3248" t="s">
        <v>2549</v>
      </c>
      <c r="C3248" s="1" t="str">
        <f>HYPERLINK("http://www.genecards.org/cgi-bin/carddisp.pl?gene=MKI67","GeneCards")</f>
        <v>GeneCards</v>
      </c>
      <c r="D3248" s="1" t="str">
        <f>HYPERLINK("http://genome-euro.ucsc.edu/cgi-bin/hgTracks?position=212023_s_at","UCSC")</f>
        <v>UCSC</v>
      </c>
      <c r="E3248" s="1" t="str">
        <f>HYPERLINK("http://www.ncbi.nlm.nih.gov/gene/?term=MKI67","NCBI")</f>
        <v>NCBI</v>
      </c>
      <c r="F3248">
        <v>1.9E-2</v>
      </c>
      <c r="G3248">
        <v>0.1</v>
      </c>
      <c r="H3248" s="1" t="str">
        <f>HYPERLINK("http://www.weizmann.ac.il/complex/compphys/software/geview/data/figures/212023_s_at.png","Figure")</f>
        <v>Figure</v>
      </c>
      <c r="I3248">
        <v>1.07</v>
      </c>
      <c r="J3248">
        <v>0.91</v>
      </c>
      <c r="K3248">
        <v>1.53</v>
      </c>
      <c r="L3248">
        <v>2.5000000000000001E-2</v>
      </c>
      <c r="M3248">
        <v>1.43</v>
      </c>
      <c r="N3248">
        <v>0.08</v>
      </c>
    </row>
    <row r="3249" spans="1:14" x14ac:dyDescent="0.25">
      <c r="A3249" t="s">
        <v>5966</v>
      </c>
      <c r="B3249" t="s">
        <v>4750</v>
      </c>
      <c r="C3249" s="1" t="str">
        <f>HYPERLINK("http://www.genecards.org/cgi-bin/carddisp.pl?gene=KIAA0913","GeneCards")</f>
        <v>GeneCards</v>
      </c>
      <c r="D3249" s="1" t="str">
        <f>HYPERLINK("http://genome-euro.ucsc.edu/cgi-bin/hgTracks?position=216345_at","UCSC")</f>
        <v>UCSC</v>
      </c>
      <c r="E3249" s="1" t="str">
        <f>HYPERLINK("http://www.ncbi.nlm.nih.gov/gene/?term=KIAA0913","NCBI")</f>
        <v>NCBI</v>
      </c>
      <c r="F3249">
        <v>1.9E-2</v>
      </c>
      <c r="G3249">
        <v>0.1</v>
      </c>
      <c r="H3249" s="1" t="str">
        <f>HYPERLINK("http://www.weizmann.ac.il/complex/compphys/software/geview/data/figures/216345_at.png","Figure")</f>
        <v>Figure</v>
      </c>
      <c r="I3249">
        <v>1.38</v>
      </c>
      <c r="J3249">
        <v>1.6E-2</v>
      </c>
      <c r="K3249">
        <v>1.19</v>
      </c>
      <c r="L3249">
        <v>0.15</v>
      </c>
      <c r="M3249">
        <v>0.86099999999999999</v>
      </c>
      <c r="N3249">
        <v>0.26</v>
      </c>
    </row>
    <row r="3250" spans="1:14" x14ac:dyDescent="0.25">
      <c r="A3250" t="s">
        <v>5967</v>
      </c>
      <c r="B3250" t="s">
        <v>5968</v>
      </c>
      <c r="C3250" s="1" t="str">
        <f>HYPERLINK("http://www.genecards.org/cgi-bin/carddisp.pl?gene=C20orf3","GeneCards")</f>
        <v>GeneCards</v>
      </c>
      <c r="D3250" s="1" t="str">
        <f>HYPERLINK("http://genome-euro.ucsc.edu/cgi-bin/hgTracks?position=206656_s_at","UCSC")</f>
        <v>UCSC</v>
      </c>
      <c r="E3250" s="1" t="str">
        <f>HYPERLINK("http://www.ncbi.nlm.nih.gov/gene/?term=C20orf3","NCBI")</f>
        <v>NCBI</v>
      </c>
      <c r="F3250">
        <v>1.9E-2</v>
      </c>
      <c r="G3250">
        <v>0.1</v>
      </c>
      <c r="H3250" s="1" t="str">
        <f>HYPERLINK("http://www.weizmann.ac.il/complex/compphys/software/geview/data/figures/206656_s_at.png","Figure")</f>
        <v>Figure</v>
      </c>
      <c r="I3250">
        <v>1.03</v>
      </c>
      <c r="J3250">
        <v>0.97</v>
      </c>
      <c r="K3250">
        <v>1.41</v>
      </c>
      <c r="L3250">
        <v>2.9000000000000001E-2</v>
      </c>
      <c r="M3250">
        <v>1.37</v>
      </c>
      <c r="N3250">
        <v>6.4000000000000001E-2</v>
      </c>
    </row>
    <row r="3251" spans="1:14" x14ac:dyDescent="0.25">
      <c r="A3251" t="s">
        <v>5969</v>
      </c>
      <c r="B3251" t="s">
        <v>5970</v>
      </c>
      <c r="C3251" s="1" t="str">
        <f>HYPERLINK("http://www.genecards.org/cgi-bin/carddisp.pl?gene=HNRNPH1","GeneCards")</f>
        <v>GeneCards</v>
      </c>
      <c r="D3251" s="1" t="str">
        <f>HYPERLINK("http://genome-euro.ucsc.edu/cgi-bin/hgTracks?position=201031_s_at","UCSC")</f>
        <v>UCSC</v>
      </c>
      <c r="E3251" s="1" t="str">
        <f>HYPERLINK("http://www.ncbi.nlm.nih.gov/gene/?term=HNRNPH1","NCBI")</f>
        <v>NCBI</v>
      </c>
      <c r="F3251">
        <v>1.9E-2</v>
      </c>
      <c r="G3251">
        <v>0.1</v>
      </c>
      <c r="H3251" s="1" t="str">
        <f>HYPERLINK("http://www.weizmann.ac.il/complex/compphys/software/geview/data/figures/201031_s_at.png","Figure")</f>
        <v>Figure</v>
      </c>
      <c r="I3251">
        <v>1.32</v>
      </c>
      <c r="J3251">
        <v>0.18</v>
      </c>
      <c r="K3251">
        <v>0.84199999999999997</v>
      </c>
      <c r="L3251">
        <v>0.39</v>
      </c>
      <c r="M3251">
        <v>0.63800000000000001</v>
      </c>
      <c r="N3251">
        <v>1.4999999999999999E-2</v>
      </c>
    </row>
    <row r="3252" spans="1:14" x14ac:dyDescent="0.25">
      <c r="A3252" t="s">
        <v>5971</v>
      </c>
      <c r="B3252" t="s">
        <v>5972</v>
      </c>
      <c r="C3252" s="1" t="str">
        <f>HYPERLINK("http://www.genecards.org/cgi-bin/carddisp.pl?gene=DPAGT1","GeneCards")</f>
        <v>GeneCards</v>
      </c>
      <c r="D3252" s="1" t="str">
        <f>HYPERLINK("http://genome-euro.ucsc.edu/cgi-bin/hgTracks?position=209509_s_at","UCSC")</f>
        <v>UCSC</v>
      </c>
      <c r="E3252" s="1" t="str">
        <f>HYPERLINK("http://www.ncbi.nlm.nih.gov/gene/?term=DPAGT1","NCBI")</f>
        <v>NCBI</v>
      </c>
      <c r="F3252">
        <v>1.9E-2</v>
      </c>
      <c r="G3252">
        <v>0.1</v>
      </c>
      <c r="H3252" s="1" t="str">
        <f>HYPERLINK("http://www.weizmann.ac.il/complex/compphys/software/geview/data/figures/209509_s_at.png","Figure")</f>
        <v>Figure</v>
      </c>
      <c r="I3252">
        <v>0.629</v>
      </c>
      <c r="J3252">
        <v>0.21</v>
      </c>
      <c r="K3252">
        <v>1.39</v>
      </c>
      <c r="L3252">
        <v>0.34</v>
      </c>
      <c r="M3252">
        <v>2.21</v>
      </c>
      <c r="N3252">
        <v>1.4999999999999999E-2</v>
      </c>
    </row>
    <row r="3253" spans="1:14" x14ac:dyDescent="0.25">
      <c r="A3253" t="s">
        <v>5973</v>
      </c>
      <c r="B3253" t="s">
        <v>5974</v>
      </c>
      <c r="C3253" s="1" t="str">
        <f>HYPERLINK("http://www.genecards.org/cgi-bin/carddisp.pl?gene=NKTR","GeneCards")</f>
        <v>GeneCards</v>
      </c>
      <c r="D3253" s="1" t="str">
        <f>HYPERLINK("http://genome-euro.ucsc.edu/cgi-bin/hgTracks?position=202379_s_at","UCSC")</f>
        <v>UCSC</v>
      </c>
      <c r="E3253" s="1" t="str">
        <f>HYPERLINK("http://www.ncbi.nlm.nih.gov/gene/?term=NKTR","NCBI")</f>
        <v>NCBI</v>
      </c>
      <c r="F3253">
        <v>1.9E-2</v>
      </c>
      <c r="G3253">
        <v>0.1</v>
      </c>
      <c r="H3253" s="1" t="str">
        <f>HYPERLINK("http://www.weizmann.ac.il/complex/compphys/software/geview/data/figures/202379_s_at.png","Figure")</f>
        <v>Figure</v>
      </c>
      <c r="I3253">
        <v>1.75</v>
      </c>
      <c r="J3253">
        <v>4.2000000000000003E-2</v>
      </c>
      <c r="K3253">
        <v>0.96899999999999997</v>
      </c>
      <c r="L3253">
        <v>0.98</v>
      </c>
      <c r="M3253">
        <v>0.55400000000000005</v>
      </c>
      <c r="N3253">
        <v>2.1999999999999999E-2</v>
      </c>
    </row>
    <row r="3254" spans="1:14" x14ac:dyDescent="0.25">
      <c r="A3254" t="s">
        <v>5975</v>
      </c>
      <c r="B3254" t="s">
        <v>5976</v>
      </c>
      <c r="C3254" s="1" t="str">
        <f>HYPERLINK("http://www.genecards.org/cgi-bin/carddisp.pl?gene=GDF5","GeneCards")</f>
        <v>GeneCards</v>
      </c>
      <c r="D3254" s="1" t="str">
        <f>HYPERLINK("http://genome-euro.ucsc.edu/cgi-bin/hgTracks?position=206614_at","UCSC")</f>
        <v>UCSC</v>
      </c>
      <c r="E3254" s="1" t="str">
        <f>HYPERLINK("http://www.ncbi.nlm.nih.gov/gene/?term=GDF5","NCBI")</f>
        <v>NCBI</v>
      </c>
      <c r="F3254">
        <v>1.9E-2</v>
      </c>
      <c r="G3254">
        <v>0.1</v>
      </c>
      <c r="H3254" s="1" t="str">
        <f>HYPERLINK("http://www.weizmann.ac.il/complex/compphys/software/geview/data/figures/206614_at.png","Figure")</f>
        <v>Figure</v>
      </c>
      <c r="I3254">
        <v>1.3</v>
      </c>
      <c r="J3254">
        <v>0.02</v>
      </c>
      <c r="K3254">
        <v>1.06</v>
      </c>
      <c r="L3254">
        <v>0.73</v>
      </c>
      <c r="M3254">
        <v>0.81399999999999995</v>
      </c>
      <c r="N3254">
        <v>4.9000000000000002E-2</v>
      </c>
    </row>
    <row r="3255" spans="1:14" x14ac:dyDescent="0.25">
      <c r="A3255" t="s">
        <v>5977</v>
      </c>
      <c r="B3255" t="s">
        <v>1479</v>
      </c>
      <c r="C3255" s="1" t="str">
        <f>HYPERLINK("http://www.genecards.org/cgi-bin/carddisp.pl?gene=MED6","GeneCards")</f>
        <v>GeneCards</v>
      </c>
      <c r="D3255" s="1" t="str">
        <f>HYPERLINK("http://genome-euro.ucsc.edu/cgi-bin/hgTracks?position=207079_s_at","UCSC")</f>
        <v>UCSC</v>
      </c>
      <c r="E3255" s="1" t="str">
        <f>HYPERLINK("http://www.ncbi.nlm.nih.gov/gene/?term=MED6","NCBI")</f>
        <v>NCBI</v>
      </c>
      <c r="F3255">
        <v>1.9E-2</v>
      </c>
      <c r="G3255">
        <v>0.1</v>
      </c>
      <c r="H3255" s="1" t="str">
        <f>HYPERLINK("http://www.weizmann.ac.il/complex/compphys/software/geview/data/figures/207079_s_at.png","Figure")</f>
        <v>Figure</v>
      </c>
      <c r="I3255">
        <v>0.68400000000000005</v>
      </c>
      <c r="J3255">
        <v>5.1999999999999998E-2</v>
      </c>
      <c r="K3255">
        <v>0.67900000000000005</v>
      </c>
      <c r="L3255">
        <v>2.4E-2</v>
      </c>
      <c r="M3255">
        <v>0.99299999999999999</v>
      </c>
      <c r="N3255">
        <v>1</v>
      </c>
    </row>
    <row r="3256" spans="1:14" x14ac:dyDescent="0.25">
      <c r="A3256" t="s">
        <v>5978</v>
      </c>
      <c r="B3256" t="s">
        <v>2664</v>
      </c>
      <c r="C3256" s="1" t="str">
        <f>HYPERLINK("http://www.genecards.org/cgi-bin/carddisp.pl?gene=DTX3","GeneCards")</f>
        <v>GeneCards</v>
      </c>
      <c r="D3256" s="1" t="str">
        <f>HYPERLINK("http://genome-euro.ucsc.edu/cgi-bin/hgTracks?position=221835_at","UCSC")</f>
        <v>UCSC</v>
      </c>
      <c r="E3256" s="1" t="str">
        <f>HYPERLINK("http://www.ncbi.nlm.nih.gov/gene/?term=DTX3","NCBI")</f>
        <v>NCBI</v>
      </c>
      <c r="F3256">
        <v>1.9E-2</v>
      </c>
      <c r="G3256">
        <v>0.1</v>
      </c>
      <c r="H3256" s="1" t="str">
        <f>HYPERLINK("http://www.weizmann.ac.il/complex/compphys/software/geview/data/figures/221835_at.png","Figure")</f>
        <v>Figure</v>
      </c>
      <c r="I3256">
        <v>1.29</v>
      </c>
      <c r="J3256">
        <v>1.6E-2</v>
      </c>
      <c r="K3256">
        <v>1.1000000000000001</v>
      </c>
      <c r="L3256">
        <v>0.39</v>
      </c>
      <c r="M3256">
        <v>0.85199999999999998</v>
      </c>
      <c r="N3256">
        <v>0.1</v>
      </c>
    </row>
    <row r="3257" spans="1:14" x14ac:dyDescent="0.25">
      <c r="A3257" t="s">
        <v>5979</v>
      </c>
      <c r="B3257" t="s">
        <v>2462</v>
      </c>
      <c r="C3257" s="1" t="str">
        <f>HYPERLINK("http://www.genecards.org/cgi-bin/carddisp.pl?gene=ZFAND5","GeneCards")</f>
        <v>GeneCards</v>
      </c>
      <c r="D3257" s="1" t="str">
        <f>HYPERLINK("http://genome-euro.ucsc.edu/cgi-bin/hgTracks?position=217741_s_at","UCSC")</f>
        <v>UCSC</v>
      </c>
      <c r="E3257" s="1" t="str">
        <f>HYPERLINK("http://www.ncbi.nlm.nih.gov/gene/?term=ZFAND5","NCBI")</f>
        <v>NCBI</v>
      </c>
      <c r="F3257">
        <v>1.9E-2</v>
      </c>
      <c r="G3257">
        <v>0.1</v>
      </c>
      <c r="H3257" s="1" t="str">
        <f>HYPERLINK("http://www.weizmann.ac.il/complex/compphys/software/geview/data/figures/217741_s_at.png","Figure")</f>
        <v>Figure</v>
      </c>
      <c r="I3257">
        <v>0.64</v>
      </c>
      <c r="J3257">
        <v>0.13</v>
      </c>
      <c r="K3257">
        <v>0.54300000000000004</v>
      </c>
      <c r="L3257">
        <v>1.6E-2</v>
      </c>
      <c r="M3257">
        <v>0.84899999999999998</v>
      </c>
      <c r="N3257">
        <v>0.7</v>
      </c>
    </row>
    <row r="3258" spans="1:14" x14ac:dyDescent="0.25">
      <c r="A3258" t="s">
        <v>5980</v>
      </c>
      <c r="B3258" t="s">
        <v>5981</v>
      </c>
      <c r="C3258" s="1" t="str">
        <f>HYPERLINK("http://www.genecards.org/cgi-bin/carddisp.pl?gene=APTX","GeneCards")</f>
        <v>GeneCards</v>
      </c>
      <c r="D3258" s="1" t="str">
        <f>HYPERLINK("http://genome-euro.ucsc.edu/cgi-bin/hgTracks?position=218527_at","UCSC")</f>
        <v>UCSC</v>
      </c>
      <c r="E3258" s="1" t="str">
        <f>HYPERLINK("http://www.ncbi.nlm.nih.gov/gene/?term=APTX","NCBI")</f>
        <v>NCBI</v>
      </c>
      <c r="F3258">
        <v>1.9E-2</v>
      </c>
      <c r="G3258">
        <v>0.1</v>
      </c>
      <c r="H3258" s="1" t="str">
        <f>HYPERLINK("http://www.weizmann.ac.il/complex/compphys/software/geview/data/figures/218527_at.png","Figure")</f>
        <v>Figure</v>
      </c>
      <c r="I3258">
        <v>0.69399999999999995</v>
      </c>
      <c r="J3258">
        <v>0.04</v>
      </c>
      <c r="K3258">
        <v>1.02</v>
      </c>
      <c r="L3258">
        <v>0.99</v>
      </c>
      <c r="M3258">
        <v>1.46</v>
      </c>
      <c r="N3258">
        <v>2.1999999999999999E-2</v>
      </c>
    </row>
    <row r="3259" spans="1:14" x14ac:dyDescent="0.25">
      <c r="A3259" t="s">
        <v>5982</v>
      </c>
      <c r="B3259" t="s">
        <v>5983</v>
      </c>
      <c r="C3259" s="1" t="str">
        <f>HYPERLINK("http://www.genecards.org/cgi-bin/carddisp.pl?gene=NLRP3","GeneCards")</f>
        <v>GeneCards</v>
      </c>
      <c r="D3259" s="1" t="str">
        <f>HYPERLINK("http://genome-euro.ucsc.edu/cgi-bin/hgTracks?position=207075_at","UCSC")</f>
        <v>UCSC</v>
      </c>
      <c r="E3259" s="1" t="str">
        <f>HYPERLINK("http://www.ncbi.nlm.nih.gov/gene/?term=NLRP3","NCBI")</f>
        <v>NCBI</v>
      </c>
      <c r="F3259">
        <v>1.9E-2</v>
      </c>
      <c r="G3259">
        <v>0.1</v>
      </c>
      <c r="H3259" s="1" t="str">
        <f>HYPERLINK("http://www.weizmann.ac.il/complex/compphys/software/geview/data/figures/207075_at.png","Figure")</f>
        <v>Figure</v>
      </c>
      <c r="I3259">
        <v>0.59799999999999998</v>
      </c>
      <c r="J3259">
        <v>3.5999999999999997E-2</v>
      </c>
      <c r="K3259">
        <v>1</v>
      </c>
      <c r="L3259">
        <v>1</v>
      </c>
      <c r="M3259">
        <v>1.68</v>
      </c>
      <c r="N3259">
        <v>2.4E-2</v>
      </c>
    </row>
    <row r="3260" spans="1:14" x14ac:dyDescent="0.25">
      <c r="A3260" t="s">
        <v>5984</v>
      </c>
      <c r="B3260" t="s">
        <v>2910</v>
      </c>
      <c r="C3260" s="1" t="str">
        <f>HYPERLINK("http://www.genecards.org/cgi-bin/carddisp.pl?gene=CYBB","GeneCards")</f>
        <v>GeneCards</v>
      </c>
      <c r="D3260" s="1" t="str">
        <f>HYPERLINK("http://genome-euro.ucsc.edu/cgi-bin/hgTracks?position=203923_s_at","UCSC")</f>
        <v>UCSC</v>
      </c>
      <c r="E3260" s="1" t="str">
        <f>HYPERLINK("http://www.ncbi.nlm.nih.gov/gene/?term=CYBB","NCBI")</f>
        <v>NCBI</v>
      </c>
      <c r="F3260">
        <v>1.9E-2</v>
      </c>
      <c r="G3260">
        <v>0.1</v>
      </c>
      <c r="H3260" s="1" t="str">
        <f>HYPERLINK("http://www.weizmann.ac.il/complex/compphys/software/geview/data/figures/203923_s_at.png","Figure")</f>
        <v>Figure</v>
      </c>
      <c r="I3260">
        <v>0.49099999999999999</v>
      </c>
      <c r="J3260">
        <v>2.1999999999999999E-2</v>
      </c>
      <c r="K3260">
        <v>0.89200000000000002</v>
      </c>
      <c r="L3260">
        <v>0.84</v>
      </c>
      <c r="M3260">
        <v>1.82</v>
      </c>
      <c r="N3260">
        <v>0.04</v>
      </c>
    </row>
    <row r="3261" spans="1:14" x14ac:dyDescent="0.25">
      <c r="A3261" t="s">
        <v>5985</v>
      </c>
      <c r="B3261" t="s">
        <v>1961</v>
      </c>
      <c r="C3261" s="1" t="str">
        <f>HYPERLINK("http://www.genecards.org/cgi-bin/carddisp.pl?gene=HAUS5","GeneCards")</f>
        <v>GeneCards</v>
      </c>
      <c r="D3261" s="1" t="str">
        <f>HYPERLINK("http://genome-euro.ucsc.edu/cgi-bin/hgTracks?position=36888_at","UCSC")</f>
        <v>UCSC</v>
      </c>
      <c r="E3261" s="1" t="str">
        <f>HYPERLINK("http://www.ncbi.nlm.nih.gov/gene/?term=HAUS5","NCBI")</f>
        <v>NCBI</v>
      </c>
      <c r="F3261">
        <v>0.02</v>
      </c>
      <c r="G3261">
        <v>0.1</v>
      </c>
      <c r="H3261" s="1" t="str">
        <f>HYPERLINK("http://www.weizmann.ac.il/complex/compphys/software/geview/data/figures/36888_at.png","Figure")</f>
        <v>Figure</v>
      </c>
      <c r="I3261">
        <v>1.1100000000000001</v>
      </c>
      <c r="J3261">
        <v>0.64</v>
      </c>
      <c r="K3261">
        <v>0.79200000000000004</v>
      </c>
      <c r="L3261">
        <v>9.9000000000000005E-2</v>
      </c>
      <c r="M3261">
        <v>0.71</v>
      </c>
      <c r="N3261">
        <v>2.1999999999999999E-2</v>
      </c>
    </row>
    <row r="3262" spans="1:14" x14ac:dyDescent="0.25">
      <c r="A3262" t="s">
        <v>5986</v>
      </c>
      <c r="B3262" t="s">
        <v>5987</v>
      </c>
      <c r="C3262" s="1" t="str">
        <f>HYPERLINK("http://www.genecards.org/cgi-bin/carddisp.pl?gene=PGAM1","GeneCards")</f>
        <v>GeneCards</v>
      </c>
      <c r="D3262" s="1" t="str">
        <f>HYPERLINK("http://genome-euro.ucsc.edu/cgi-bin/hgTracks?position=200886_s_at","UCSC")</f>
        <v>UCSC</v>
      </c>
      <c r="E3262" s="1" t="str">
        <f>HYPERLINK("http://www.ncbi.nlm.nih.gov/gene/?term=PGAM1","NCBI")</f>
        <v>NCBI</v>
      </c>
      <c r="F3262">
        <v>0.02</v>
      </c>
      <c r="G3262">
        <v>0.1</v>
      </c>
      <c r="H3262" s="1" t="str">
        <f>HYPERLINK("http://www.weizmann.ac.il/complex/compphys/software/geview/data/figures/200886_s_at.png","Figure")</f>
        <v>Figure</v>
      </c>
      <c r="I3262">
        <v>0.95499999999999996</v>
      </c>
      <c r="J3262">
        <v>0.95</v>
      </c>
      <c r="K3262">
        <v>1.4</v>
      </c>
      <c r="L3262">
        <v>4.8000000000000001E-2</v>
      </c>
      <c r="M3262">
        <v>1.47</v>
      </c>
      <c r="N3262">
        <v>3.5999999999999997E-2</v>
      </c>
    </row>
    <row r="3263" spans="1:14" x14ac:dyDescent="0.25">
      <c r="A3263" t="s">
        <v>5988</v>
      </c>
      <c r="B3263" t="s">
        <v>2644</v>
      </c>
      <c r="C3263" s="1" t="str">
        <f>HYPERLINK("http://www.genecards.org/cgi-bin/carddisp.pl?gene=MAPK14","GeneCards")</f>
        <v>GeneCards</v>
      </c>
      <c r="D3263" s="1" t="str">
        <f>HYPERLINK("http://genome-euro.ucsc.edu/cgi-bin/hgTracks?position=202530_at","UCSC")</f>
        <v>UCSC</v>
      </c>
      <c r="E3263" s="1" t="str">
        <f>HYPERLINK("http://www.ncbi.nlm.nih.gov/gene/?term=MAPK14","NCBI")</f>
        <v>NCBI</v>
      </c>
      <c r="F3263">
        <v>0.02</v>
      </c>
      <c r="G3263">
        <v>0.1</v>
      </c>
      <c r="H3263" s="1" t="str">
        <f>HYPERLINK("http://www.weizmann.ac.il/complex/compphys/software/geview/data/figures/202530_at.png","Figure")</f>
        <v>Figure</v>
      </c>
      <c r="I3263">
        <v>0.82199999999999995</v>
      </c>
      <c r="J3263">
        <v>0.67</v>
      </c>
      <c r="K3263">
        <v>0.53800000000000003</v>
      </c>
      <c r="L3263">
        <v>1.9E-2</v>
      </c>
      <c r="M3263">
        <v>0.65500000000000003</v>
      </c>
      <c r="N3263">
        <v>0.14000000000000001</v>
      </c>
    </row>
    <row r="3264" spans="1:14" x14ac:dyDescent="0.25">
      <c r="A3264" t="s">
        <v>5989</v>
      </c>
      <c r="B3264" t="s">
        <v>5948</v>
      </c>
      <c r="C3264" s="1" t="str">
        <f>HYPERLINK("http://www.genecards.org/cgi-bin/carddisp.pl?gene=SKP2","GeneCards")</f>
        <v>GeneCards</v>
      </c>
      <c r="D3264" s="1" t="str">
        <f>HYPERLINK("http://genome-euro.ucsc.edu/cgi-bin/hgTracks?position=203625_x_at","UCSC")</f>
        <v>UCSC</v>
      </c>
      <c r="E3264" s="1" t="str">
        <f>HYPERLINK("http://www.ncbi.nlm.nih.gov/gene/?term=SKP2","NCBI")</f>
        <v>NCBI</v>
      </c>
      <c r="F3264">
        <v>0.02</v>
      </c>
      <c r="G3264">
        <v>0.1</v>
      </c>
      <c r="H3264" s="1" t="str">
        <f>HYPERLINK("http://www.weizmann.ac.il/complex/compphys/software/geview/data/figures/203625_x_at.png","Figure")</f>
        <v>Figure</v>
      </c>
      <c r="I3264">
        <v>1.1000000000000001</v>
      </c>
      <c r="J3264">
        <v>0.67</v>
      </c>
      <c r="K3264">
        <v>1.36</v>
      </c>
      <c r="L3264">
        <v>1.9E-2</v>
      </c>
      <c r="M3264">
        <v>1.24</v>
      </c>
      <c r="N3264">
        <v>0.14000000000000001</v>
      </c>
    </row>
    <row r="3265" spans="1:14" x14ac:dyDescent="0.25">
      <c r="A3265" t="s">
        <v>5990</v>
      </c>
      <c r="B3265" t="s">
        <v>2773</v>
      </c>
      <c r="C3265" s="1" t="str">
        <f>HYPERLINK("http://www.genecards.org/cgi-bin/carddisp.pl?gene=TP53TG1","GeneCards")</f>
        <v>GeneCards</v>
      </c>
      <c r="D3265" s="1" t="str">
        <f>HYPERLINK("http://genome-euro.ucsc.edu/cgi-bin/hgTracks?position=210241_s_at","UCSC")</f>
        <v>UCSC</v>
      </c>
      <c r="E3265" s="1" t="str">
        <f>HYPERLINK("http://www.ncbi.nlm.nih.gov/gene/?term=TP53TG1","NCBI")</f>
        <v>NCBI</v>
      </c>
      <c r="F3265">
        <v>0.02</v>
      </c>
      <c r="G3265">
        <v>0.1</v>
      </c>
      <c r="H3265" s="1" t="str">
        <f>HYPERLINK("http://www.weizmann.ac.il/complex/compphys/software/geview/data/figures/210241_s_at.png","Figure")</f>
        <v>Figure</v>
      </c>
      <c r="I3265">
        <v>0.93100000000000005</v>
      </c>
      <c r="J3265">
        <v>3.5000000000000003E-2</v>
      </c>
      <c r="K3265">
        <v>1</v>
      </c>
      <c r="L3265">
        <v>1</v>
      </c>
      <c r="M3265">
        <v>1.07</v>
      </c>
      <c r="N3265">
        <v>2.4E-2</v>
      </c>
    </row>
    <row r="3266" spans="1:14" x14ac:dyDescent="0.25">
      <c r="A3266" t="s">
        <v>5991</v>
      </c>
      <c r="B3266" t="s">
        <v>5992</v>
      </c>
      <c r="C3266" s="1" t="str">
        <f>HYPERLINK("http://www.genecards.org/cgi-bin/carddisp.pl?gene=NRBP1","GeneCards")</f>
        <v>GeneCards</v>
      </c>
      <c r="D3266" s="1" t="str">
        <f>HYPERLINK("http://genome-euro.ucsc.edu/cgi-bin/hgTracks?position=217765_at","UCSC")</f>
        <v>UCSC</v>
      </c>
      <c r="E3266" s="1" t="str">
        <f>HYPERLINK("http://www.ncbi.nlm.nih.gov/gene/?term=NRBP1","NCBI")</f>
        <v>NCBI</v>
      </c>
      <c r="F3266">
        <v>0.02</v>
      </c>
      <c r="G3266">
        <v>0.1</v>
      </c>
      <c r="H3266" s="1" t="str">
        <f>HYPERLINK("http://www.weizmann.ac.il/complex/compphys/software/geview/data/figures/217765_at.png","Figure")</f>
        <v>Figure</v>
      </c>
      <c r="I3266">
        <v>1.37</v>
      </c>
      <c r="J3266">
        <v>3.5000000000000003E-2</v>
      </c>
      <c r="K3266">
        <v>1</v>
      </c>
      <c r="L3266">
        <v>1</v>
      </c>
      <c r="M3266">
        <v>0.72899999999999998</v>
      </c>
      <c r="N3266">
        <v>2.4E-2</v>
      </c>
    </row>
    <row r="3267" spans="1:14" x14ac:dyDescent="0.25">
      <c r="A3267" t="s">
        <v>5993</v>
      </c>
      <c r="B3267" t="s">
        <v>5994</v>
      </c>
      <c r="C3267" s="1" t="str">
        <f>HYPERLINK("http://www.genecards.org/cgi-bin/carddisp.pl?gene=MRPS12","GeneCards")</f>
        <v>GeneCards</v>
      </c>
      <c r="D3267" s="1" t="str">
        <f>HYPERLINK("http://genome-euro.ucsc.edu/cgi-bin/hgTracks?position=210008_s_at","UCSC")</f>
        <v>UCSC</v>
      </c>
      <c r="E3267" s="1" t="str">
        <f>HYPERLINK("http://www.ncbi.nlm.nih.gov/gene/?term=MRPS12","NCBI")</f>
        <v>NCBI</v>
      </c>
      <c r="F3267">
        <v>0.02</v>
      </c>
      <c r="G3267">
        <v>0.1</v>
      </c>
      <c r="H3267" s="1" t="str">
        <f>HYPERLINK("http://www.weizmann.ac.il/complex/compphys/software/geview/data/figures/210008_s_at.png","Figure")</f>
        <v>Figure</v>
      </c>
      <c r="I3267">
        <v>1.25</v>
      </c>
      <c r="J3267">
        <v>9.1999999999999998E-2</v>
      </c>
      <c r="K3267">
        <v>0.92900000000000005</v>
      </c>
      <c r="L3267">
        <v>0.68</v>
      </c>
      <c r="M3267">
        <v>0.74199999999999999</v>
      </c>
      <c r="N3267">
        <v>1.6E-2</v>
      </c>
    </row>
    <row r="3268" spans="1:14" x14ac:dyDescent="0.25">
      <c r="A3268" t="s">
        <v>5995</v>
      </c>
      <c r="B3268" t="s">
        <v>5996</v>
      </c>
      <c r="C3268" s="1" t="str">
        <f>HYPERLINK("http://www.genecards.org/cgi-bin/carddisp.pl?gene=HSF4","GeneCards")</f>
        <v>GeneCards</v>
      </c>
      <c r="D3268" s="1" t="str">
        <f>HYPERLINK("http://genome-euro.ucsc.edu/cgi-bin/hgTracks?position=210977_s_at","UCSC")</f>
        <v>UCSC</v>
      </c>
      <c r="E3268" s="1" t="str">
        <f>HYPERLINK("http://www.ncbi.nlm.nih.gov/gene/?term=HSF4","NCBI")</f>
        <v>NCBI</v>
      </c>
      <c r="F3268">
        <v>0.02</v>
      </c>
      <c r="G3268">
        <v>0.1</v>
      </c>
      <c r="H3268" s="1" t="str">
        <f>HYPERLINK("http://www.weizmann.ac.il/complex/compphys/software/geview/data/figures/210977_s_at.png","Figure")</f>
        <v>Figure</v>
      </c>
      <c r="I3268">
        <v>1.45</v>
      </c>
      <c r="J3268">
        <v>1.6E-2</v>
      </c>
      <c r="K3268">
        <v>1.22</v>
      </c>
      <c r="L3268">
        <v>0.14000000000000001</v>
      </c>
      <c r="M3268">
        <v>0.84499999999999997</v>
      </c>
      <c r="N3268">
        <v>0.28999999999999998</v>
      </c>
    </row>
    <row r="3269" spans="1:14" x14ac:dyDescent="0.25">
      <c r="A3269" t="s">
        <v>5997</v>
      </c>
      <c r="B3269" t="s">
        <v>5998</v>
      </c>
      <c r="C3269" s="1" t="str">
        <f>HYPERLINK("http://www.genecards.org/cgi-bin/carddisp.pl?gene=NAP1L1","GeneCards")</f>
        <v>GeneCards</v>
      </c>
      <c r="D3269" s="1" t="str">
        <f>HYPERLINK("http://genome-euro.ucsc.edu/cgi-bin/hgTracks?position=212967_x_at","UCSC")</f>
        <v>UCSC</v>
      </c>
      <c r="E3269" s="1" t="str">
        <f>HYPERLINK("http://www.ncbi.nlm.nih.gov/gene/?term=NAP1L1","NCBI")</f>
        <v>NCBI</v>
      </c>
      <c r="F3269">
        <v>0.02</v>
      </c>
      <c r="G3269">
        <v>0.1</v>
      </c>
      <c r="H3269" s="1" t="str">
        <f>HYPERLINK("http://www.weizmann.ac.il/complex/compphys/software/geview/data/figures/212967_x_at.png","Figure")</f>
        <v>Figure</v>
      </c>
      <c r="I3269">
        <v>1.1599999999999999</v>
      </c>
      <c r="J3269">
        <v>0.57999999999999996</v>
      </c>
      <c r="K3269">
        <v>1.52</v>
      </c>
      <c r="L3269">
        <v>1.7999999999999999E-2</v>
      </c>
      <c r="M3269">
        <v>1.31</v>
      </c>
      <c r="N3269">
        <v>0.17</v>
      </c>
    </row>
    <row r="3270" spans="1:14" x14ac:dyDescent="0.25">
      <c r="A3270" t="s">
        <v>5999</v>
      </c>
      <c r="B3270" t="s">
        <v>6000</v>
      </c>
      <c r="C3270" s="1" t="str">
        <f>HYPERLINK("http://www.genecards.org/cgi-bin/carddisp.pl?gene=NRSN2","GeneCards")</f>
        <v>GeneCards</v>
      </c>
      <c r="D3270" s="1" t="str">
        <f>HYPERLINK("http://genome-euro.ucsc.edu/cgi-bin/hgTracks?position=218359_at","UCSC")</f>
        <v>UCSC</v>
      </c>
      <c r="E3270" s="1" t="str">
        <f>HYPERLINK("http://www.ncbi.nlm.nih.gov/gene/?term=NRSN2","NCBI")</f>
        <v>NCBI</v>
      </c>
      <c r="F3270">
        <v>0.02</v>
      </c>
      <c r="G3270">
        <v>0.1</v>
      </c>
      <c r="H3270" s="1" t="str">
        <f>HYPERLINK("http://www.weizmann.ac.il/complex/compphys/software/geview/data/figures/218359_at.png","Figure")</f>
        <v>Figure</v>
      </c>
      <c r="I3270">
        <v>1.23</v>
      </c>
      <c r="J3270">
        <v>1.7999999999999999E-2</v>
      </c>
      <c r="K3270">
        <v>1.1399999999999999</v>
      </c>
      <c r="L3270">
        <v>9.7000000000000003E-2</v>
      </c>
      <c r="M3270">
        <v>0.92400000000000004</v>
      </c>
      <c r="N3270">
        <v>0.41</v>
      </c>
    </row>
    <row r="3271" spans="1:14" x14ac:dyDescent="0.25">
      <c r="A3271" t="s">
        <v>6001</v>
      </c>
      <c r="B3271" t="s">
        <v>6002</v>
      </c>
      <c r="C3271" s="1" t="str">
        <f>HYPERLINK("http://www.genecards.org/cgi-bin/carddisp.pl?gene=GLT25D1","GeneCards")</f>
        <v>GeneCards</v>
      </c>
      <c r="D3271" s="1" t="str">
        <f>HYPERLINK("http://genome-euro.ucsc.edu/cgi-bin/hgTracks?position=218473_s_at","UCSC")</f>
        <v>UCSC</v>
      </c>
      <c r="E3271" s="1" t="str">
        <f>HYPERLINK("http://www.ncbi.nlm.nih.gov/gene/?term=GLT25D1","NCBI")</f>
        <v>NCBI</v>
      </c>
      <c r="F3271">
        <v>0.02</v>
      </c>
      <c r="G3271">
        <v>0.1</v>
      </c>
      <c r="H3271" s="1" t="str">
        <f>HYPERLINK("http://www.weizmann.ac.il/complex/compphys/software/geview/data/figures/218473_s_at.png","Figure")</f>
        <v>Figure</v>
      </c>
      <c r="I3271">
        <v>1.66</v>
      </c>
      <c r="J3271">
        <v>5.7000000000000002E-2</v>
      </c>
      <c r="K3271">
        <v>1.7</v>
      </c>
      <c r="L3271">
        <v>2.1999999999999999E-2</v>
      </c>
      <c r="M3271">
        <v>1.02</v>
      </c>
      <c r="N3271">
        <v>0.99</v>
      </c>
    </row>
    <row r="3272" spans="1:14" x14ac:dyDescent="0.25">
      <c r="A3272" t="s">
        <v>6003</v>
      </c>
      <c r="B3272" t="s">
        <v>6004</v>
      </c>
      <c r="C3272" s="1" t="str">
        <f>HYPERLINK("http://www.genecards.org/cgi-bin/carddisp.pl?gene=CSGALNACT2 /// RP1-19N1.1","GeneCards")</f>
        <v>GeneCards</v>
      </c>
      <c r="D3272" s="1" t="str">
        <f>HYPERLINK("http://genome-euro.ucsc.edu/cgi-bin/hgTracks?position=222235_s_at","UCSC")</f>
        <v>UCSC</v>
      </c>
      <c r="E3272" s="1" t="str">
        <f>HYPERLINK("http://www.ncbi.nlm.nih.gov/gene/?term=CSGALNACT2 /// RP1-19N1.1","NCBI")</f>
        <v>NCBI</v>
      </c>
      <c r="F3272">
        <v>0.02</v>
      </c>
      <c r="G3272">
        <v>0.1</v>
      </c>
      <c r="H3272" s="1" t="str">
        <f>HYPERLINK("http://www.weizmann.ac.il/complex/compphys/software/geview/data/figures/222235_s_at.png","Figure")</f>
        <v>Figure</v>
      </c>
      <c r="I3272">
        <v>0.31900000000000001</v>
      </c>
      <c r="J3272">
        <v>1.4999999999999999E-2</v>
      </c>
      <c r="K3272">
        <v>0.64100000000000001</v>
      </c>
      <c r="L3272">
        <v>0.34</v>
      </c>
      <c r="M3272">
        <v>2.0099999999999998</v>
      </c>
      <c r="N3272">
        <v>0.12</v>
      </c>
    </row>
    <row r="3273" spans="1:14" x14ac:dyDescent="0.25">
      <c r="A3273" t="s">
        <v>6005</v>
      </c>
      <c r="B3273" t="s">
        <v>6006</v>
      </c>
      <c r="C3273" s="1" t="str">
        <f>HYPERLINK("http://www.genecards.org/cgi-bin/carddisp.pl?gene=DDOST","GeneCards")</f>
        <v>GeneCards</v>
      </c>
      <c r="D3273" s="1" t="str">
        <f>HYPERLINK("http://genome-euro.ucsc.edu/cgi-bin/hgTracks?position=208674_x_at","UCSC")</f>
        <v>UCSC</v>
      </c>
      <c r="E3273" s="1" t="str">
        <f>HYPERLINK("http://www.ncbi.nlm.nih.gov/gene/?term=DDOST","NCBI")</f>
        <v>NCBI</v>
      </c>
      <c r="F3273">
        <v>0.02</v>
      </c>
      <c r="G3273">
        <v>0.1</v>
      </c>
      <c r="H3273" s="1" t="str">
        <f>HYPERLINK("http://www.weizmann.ac.il/complex/compphys/software/geview/data/figures/208674_x_at.png","Figure")</f>
        <v>Figure</v>
      </c>
      <c r="I3273">
        <v>0.73299999999999998</v>
      </c>
      <c r="J3273">
        <v>2.4E-2</v>
      </c>
      <c r="K3273">
        <v>0.79200000000000004</v>
      </c>
      <c r="L3273">
        <v>5.1999999999999998E-2</v>
      </c>
      <c r="M3273">
        <v>1.08</v>
      </c>
      <c r="N3273">
        <v>0.71</v>
      </c>
    </row>
    <row r="3274" spans="1:14" x14ac:dyDescent="0.25">
      <c r="A3274" t="s">
        <v>6007</v>
      </c>
      <c r="B3274" t="s">
        <v>6008</v>
      </c>
      <c r="C3274" s="1" t="str">
        <f>HYPERLINK("http://www.genecards.org/cgi-bin/carddisp.pl?gene=KTELC1","GeneCards")</f>
        <v>GeneCards</v>
      </c>
      <c r="D3274" s="1" t="str">
        <f>HYPERLINK("http://genome-euro.ucsc.edu/cgi-bin/hgTracks?position=218587_s_at","UCSC")</f>
        <v>UCSC</v>
      </c>
      <c r="E3274" s="1" t="str">
        <f>HYPERLINK("http://www.ncbi.nlm.nih.gov/gene/?term=KTELC1","NCBI")</f>
        <v>NCBI</v>
      </c>
      <c r="F3274">
        <v>0.02</v>
      </c>
      <c r="G3274">
        <v>0.1</v>
      </c>
      <c r="H3274" s="1" t="str">
        <f>HYPERLINK("http://www.weizmann.ac.il/complex/compphys/software/geview/data/figures/218587_s_at.png","Figure")</f>
        <v>Figure</v>
      </c>
      <c r="I3274">
        <v>0.92500000000000004</v>
      </c>
      <c r="J3274">
        <v>0.9</v>
      </c>
      <c r="K3274">
        <v>1.5</v>
      </c>
      <c r="L3274">
        <v>5.5E-2</v>
      </c>
      <c r="M3274">
        <v>1.63</v>
      </c>
      <c r="N3274">
        <v>3.3000000000000002E-2</v>
      </c>
    </row>
    <row r="3275" spans="1:14" x14ac:dyDescent="0.25">
      <c r="A3275" t="s">
        <v>6009</v>
      </c>
      <c r="B3275" t="s">
        <v>5101</v>
      </c>
      <c r="C3275" s="1" t="str">
        <f>HYPERLINK("http://www.genecards.org/cgi-bin/carddisp.pl?gene=RCN2","GeneCards")</f>
        <v>GeneCards</v>
      </c>
      <c r="D3275" s="1" t="str">
        <f>HYPERLINK("http://genome-euro.ucsc.edu/cgi-bin/hgTracks?position=201486_at","UCSC")</f>
        <v>UCSC</v>
      </c>
      <c r="E3275" s="1" t="str">
        <f>HYPERLINK("http://www.ncbi.nlm.nih.gov/gene/?term=RCN2","NCBI")</f>
        <v>NCBI</v>
      </c>
      <c r="F3275">
        <v>0.02</v>
      </c>
      <c r="G3275">
        <v>0.1</v>
      </c>
      <c r="H3275" s="1" t="str">
        <f>HYPERLINK("http://www.weizmann.ac.il/complex/compphys/software/geview/data/figures/201486_at.png","Figure")</f>
        <v>Figure</v>
      </c>
      <c r="I3275">
        <v>0.56499999999999995</v>
      </c>
      <c r="J3275">
        <v>0.19</v>
      </c>
      <c r="K3275">
        <v>0.41499999999999998</v>
      </c>
      <c r="L3275">
        <v>1.4999999999999999E-2</v>
      </c>
      <c r="M3275">
        <v>0.73399999999999999</v>
      </c>
      <c r="N3275">
        <v>0.54</v>
      </c>
    </row>
    <row r="3276" spans="1:14" x14ac:dyDescent="0.25">
      <c r="A3276" t="s">
        <v>6010</v>
      </c>
      <c r="B3276" t="s">
        <v>3647</v>
      </c>
      <c r="C3276" s="1" t="str">
        <f>HYPERLINK("http://www.genecards.org/cgi-bin/carddisp.pl?gene=FYB","GeneCards")</f>
        <v>GeneCards</v>
      </c>
      <c r="D3276" s="1" t="str">
        <f>HYPERLINK("http://genome-euro.ucsc.edu/cgi-bin/hgTracks?position=205285_s_at","UCSC")</f>
        <v>UCSC</v>
      </c>
      <c r="E3276" s="1" t="str">
        <f>HYPERLINK("http://www.ncbi.nlm.nih.gov/gene/?term=FYB","NCBI")</f>
        <v>NCBI</v>
      </c>
      <c r="F3276">
        <v>0.02</v>
      </c>
      <c r="G3276">
        <v>0.1</v>
      </c>
      <c r="H3276" s="1" t="str">
        <f>HYPERLINK("http://www.weizmann.ac.il/complex/compphys/software/geview/data/figures/205285_s_at.png","Figure")</f>
        <v>Figure</v>
      </c>
      <c r="I3276">
        <v>1.1200000000000001</v>
      </c>
      <c r="J3276">
        <v>0.63</v>
      </c>
      <c r="K3276">
        <v>0.78300000000000003</v>
      </c>
      <c r="L3276">
        <v>0.1</v>
      </c>
      <c r="M3276">
        <v>0.69599999999999995</v>
      </c>
      <c r="N3276">
        <v>2.1999999999999999E-2</v>
      </c>
    </row>
    <row r="3277" spans="1:14" x14ac:dyDescent="0.25">
      <c r="A3277" t="s">
        <v>6011</v>
      </c>
      <c r="B3277" t="s">
        <v>5303</v>
      </c>
      <c r="C3277" s="1" t="str">
        <f>HYPERLINK("http://www.genecards.org/cgi-bin/carddisp.pl?gene=TPM4","GeneCards")</f>
        <v>GeneCards</v>
      </c>
      <c r="D3277" s="1" t="str">
        <f>HYPERLINK("http://genome-euro.ucsc.edu/cgi-bin/hgTracks?position=209344_at","UCSC")</f>
        <v>UCSC</v>
      </c>
      <c r="E3277" s="1" t="str">
        <f>HYPERLINK("http://www.ncbi.nlm.nih.gov/gene/?term=TPM4","NCBI")</f>
        <v>NCBI</v>
      </c>
      <c r="F3277">
        <v>0.02</v>
      </c>
      <c r="G3277">
        <v>0.1</v>
      </c>
      <c r="H3277" s="1" t="str">
        <f>HYPERLINK("http://www.weizmann.ac.il/complex/compphys/software/geview/data/figures/209344_at.png","Figure")</f>
        <v>Figure</v>
      </c>
      <c r="I3277">
        <v>1.49</v>
      </c>
      <c r="J3277">
        <v>2.5999999999999999E-2</v>
      </c>
      <c r="K3277">
        <v>1.37</v>
      </c>
      <c r="L3277">
        <v>4.4999999999999998E-2</v>
      </c>
      <c r="M3277">
        <v>0.91800000000000004</v>
      </c>
      <c r="N3277">
        <v>0.78</v>
      </c>
    </row>
    <row r="3278" spans="1:14" x14ac:dyDescent="0.25">
      <c r="A3278" t="s">
        <v>6012</v>
      </c>
      <c r="B3278" t="s">
        <v>6013</v>
      </c>
      <c r="C3278" s="1" t="str">
        <f>HYPERLINK("http://www.genecards.org/cgi-bin/carddisp.pl?gene=GTF2H4","GeneCards")</f>
        <v>GeneCards</v>
      </c>
      <c r="D3278" s="1" t="str">
        <f>HYPERLINK("http://genome-euro.ucsc.edu/cgi-bin/hgTracks?position=203577_at","UCSC")</f>
        <v>UCSC</v>
      </c>
      <c r="E3278" s="1" t="str">
        <f>HYPERLINK("http://www.ncbi.nlm.nih.gov/gene/?term=GTF2H4","NCBI")</f>
        <v>NCBI</v>
      </c>
      <c r="F3278">
        <v>0.02</v>
      </c>
      <c r="G3278">
        <v>0.1</v>
      </c>
      <c r="H3278" s="1" t="str">
        <f>HYPERLINK("http://www.weizmann.ac.il/complex/compphys/software/geview/data/figures/203577_at.png","Figure")</f>
        <v>Figure</v>
      </c>
      <c r="I3278">
        <v>0.57699999999999996</v>
      </c>
      <c r="J3278">
        <v>0.05</v>
      </c>
      <c r="K3278">
        <v>1.06</v>
      </c>
      <c r="L3278">
        <v>0.94</v>
      </c>
      <c r="M3278">
        <v>1.84</v>
      </c>
      <c r="N3278">
        <v>0.02</v>
      </c>
    </row>
    <row r="3279" spans="1:14" x14ac:dyDescent="0.25">
      <c r="A3279" t="s">
        <v>6014</v>
      </c>
      <c r="B3279" t="s">
        <v>6015</v>
      </c>
      <c r="C3279" s="1" t="str">
        <f>HYPERLINK("http://www.genecards.org/cgi-bin/carddisp.pl?gene=PRR14","GeneCards")</f>
        <v>GeneCards</v>
      </c>
      <c r="D3279" s="1" t="str">
        <f>HYPERLINK("http://genome-euro.ucsc.edu/cgi-bin/hgTracks?position=45687_at","UCSC")</f>
        <v>UCSC</v>
      </c>
      <c r="E3279" s="1" t="str">
        <f>HYPERLINK("http://www.ncbi.nlm.nih.gov/gene/?term=PRR14","NCBI")</f>
        <v>NCBI</v>
      </c>
      <c r="F3279">
        <v>0.02</v>
      </c>
      <c r="G3279">
        <v>0.1</v>
      </c>
      <c r="H3279" s="1" t="str">
        <f>HYPERLINK("http://www.weizmann.ac.il/complex/compphys/software/geview/data/figures/45687_at.png","Figure")</f>
        <v>Figure</v>
      </c>
      <c r="I3279">
        <v>1.28</v>
      </c>
      <c r="J3279">
        <v>2.4E-2</v>
      </c>
      <c r="K3279">
        <v>1.04</v>
      </c>
      <c r="L3279">
        <v>0.87</v>
      </c>
      <c r="M3279">
        <v>0.80900000000000005</v>
      </c>
      <c r="N3279">
        <v>3.7999999999999999E-2</v>
      </c>
    </row>
    <row r="3280" spans="1:14" x14ac:dyDescent="0.25">
      <c r="A3280" t="s">
        <v>6016</v>
      </c>
      <c r="B3280" t="s">
        <v>3023</v>
      </c>
      <c r="C3280" s="1" t="str">
        <f>HYPERLINK("http://www.genecards.org/cgi-bin/carddisp.pl?gene=PDHA1","GeneCards")</f>
        <v>GeneCards</v>
      </c>
      <c r="D3280" s="1" t="str">
        <f>HYPERLINK("http://genome-euro.ucsc.edu/cgi-bin/hgTracks?position=200980_s_at","UCSC")</f>
        <v>UCSC</v>
      </c>
      <c r="E3280" s="1" t="str">
        <f>HYPERLINK("http://www.ncbi.nlm.nih.gov/gene/?term=PDHA1","NCBI")</f>
        <v>NCBI</v>
      </c>
      <c r="F3280">
        <v>0.02</v>
      </c>
      <c r="G3280">
        <v>0.1</v>
      </c>
      <c r="H3280" s="1" t="str">
        <f>HYPERLINK("http://www.weizmann.ac.il/complex/compphys/software/geview/data/figures/200980_s_at.png","Figure")</f>
        <v>Figure</v>
      </c>
      <c r="I3280">
        <v>0.44</v>
      </c>
      <c r="J3280">
        <v>1.7000000000000001E-2</v>
      </c>
      <c r="K3280">
        <v>0.60799999999999998</v>
      </c>
      <c r="L3280">
        <v>0.1</v>
      </c>
      <c r="M3280">
        <v>1.38</v>
      </c>
      <c r="N3280">
        <v>0.39</v>
      </c>
    </row>
    <row r="3281" spans="1:14" x14ac:dyDescent="0.25">
      <c r="A3281" t="s">
        <v>6017</v>
      </c>
      <c r="B3281" t="s">
        <v>6018</v>
      </c>
      <c r="C3281" s="1" t="str">
        <f>HYPERLINK("http://www.genecards.org/cgi-bin/carddisp.pl?gene=MEN1","GeneCards")</f>
        <v>GeneCards</v>
      </c>
      <c r="D3281" s="1" t="str">
        <f>HYPERLINK("http://genome-euro.ucsc.edu/cgi-bin/hgTracks?position=202645_s_at","UCSC")</f>
        <v>UCSC</v>
      </c>
      <c r="E3281" s="1" t="str">
        <f>HYPERLINK("http://www.ncbi.nlm.nih.gov/gene/?term=MEN1","NCBI")</f>
        <v>NCBI</v>
      </c>
      <c r="F3281">
        <v>0.02</v>
      </c>
      <c r="G3281">
        <v>0.1</v>
      </c>
      <c r="H3281" s="1" t="str">
        <f>HYPERLINK("http://www.weizmann.ac.il/complex/compphys/software/geview/data/figures/202645_s_at.png","Figure")</f>
        <v>Figure</v>
      </c>
      <c r="I3281">
        <v>1.05</v>
      </c>
      <c r="J3281">
        <v>0.92</v>
      </c>
      <c r="K3281">
        <v>1.35</v>
      </c>
      <c r="L3281">
        <v>2.5999999999999999E-2</v>
      </c>
      <c r="M3281">
        <v>1.29</v>
      </c>
      <c r="N3281">
        <v>7.8E-2</v>
      </c>
    </row>
    <row r="3282" spans="1:14" x14ac:dyDescent="0.25">
      <c r="A3282" t="s">
        <v>6019</v>
      </c>
      <c r="B3282" t="s">
        <v>6020</v>
      </c>
      <c r="C3282" s="1" t="str">
        <f>HYPERLINK("http://www.genecards.org/cgi-bin/carddisp.pl?gene=AKR1A1","GeneCards")</f>
        <v>GeneCards</v>
      </c>
      <c r="D3282" s="1" t="str">
        <f>HYPERLINK("http://genome-euro.ucsc.edu/cgi-bin/hgTracks?position=201900_s_at","UCSC")</f>
        <v>UCSC</v>
      </c>
      <c r="E3282" s="1" t="str">
        <f>HYPERLINK("http://www.ncbi.nlm.nih.gov/gene/?term=AKR1A1","NCBI")</f>
        <v>NCBI</v>
      </c>
      <c r="F3282">
        <v>0.02</v>
      </c>
      <c r="G3282">
        <v>0.1</v>
      </c>
      <c r="H3282" s="1" t="str">
        <f>HYPERLINK("http://www.weizmann.ac.il/complex/compphys/software/geview/data/figures/201900_s_at.png","Figure")</f>
        <v>Figure</v>
      </c>
      <c r="I3282">
        <v>1.04</v>
      </c>
      <c r="J3282">
        <v>0.97</v>
      </c>
      <c r="K3282">
        <v>1.49</v>
      </c>
      <c r="L3282">
        <v>2.9000000000000001E-2</v>
      </c>
      <c r="M3282">
        <v>1.44</v>
      </c>
      <c r="N3282">
        <v>6.5000000000000002E-2</v>
      </c>
    </row>
    <row r="3283" spans="1:14" x14ac:dyDescent="0.25">
      <c r="A3283" t="s">
        <v>6021</v>
      </c>
      <c r="B3283" t="s">
        <v>3829</v>
      </c>
      <c r="C3283" s="1" t="str">
        <f>HYPERLINK("http://www.genecards.org/cgi-bin/carddisp.pl?gene=G3BP2","GeneCards")</f>
        <v>GeneCards</v>
      </c>
      <c r="D3283" s="1" t="str">
        <f>HYPERLINK("http://genome-euro.ucsc.edu/cgi-bin/hgTracks?position=208841_s_at","UCSC")</f>
        <v>UCSC</v>
      </c>
      <c r="E3283" s="1" t="str">
        <f>HYPERLINK("http://www.ncbi.nlm.nih.gov/gene/?term=G3BP2","NCBI")</f>
        <v>NCBI</v>
      </c>
      <c r="F3283">
        <v>0.02</v>
      </c>
      <c r="G3283">
        <v>0.1</v>
      </c>
      <c r="H3283" s="1" t="str">
        <f>HYPERLINK("http://www.weizmann.ac.il/complex/compphys/software/geview/data/figures/208841_s_at.png","Figure")</f>
        <v>Figure</v>
      </c>
      <c r="I3283">
        <v>0.61299999999999999</v>
      </c>
      <c r="J3283">
        <v>1.7999999999999999E-2</v>
      </c>
      <c r="K3283">
        <v>0.878</v>
      </c>
      <c r="L3283">
        <v>0.6</v>
      </c>
      <c r="M3283">
        <v>1.43</v>
      </c>
      <c r="N3283">
        <v>6.3E-2</v>
      </c>
    </row>
    <row r="3284" spans="1:14" x14ac:dyDescent="0.25">
      <c r="A3284" t="s">
        <v>6022</v>
      </c>
      <c r="B3284" t="s">
        <v>6023</v>
      </c>
      <c r="C3284" s="1" t="str">
        <f>HYPERLINK("http://www.genecards.org/cgi-bin/carddisp.pl?gene=CYTIP","GeneCards")</f>
        <v>GeneCards</v>
      </c>
      <c r="D3284" s="1" t="str">
        <f>HYPERLINK("http://genome-euro.ucsc.edu/cgi-bin/hgTracks?position=209606_at","UCSC")</f>
        <v>UCSC</v>
      </c>
      <c r="E3284" s="1" t="str">
        <f>HYPERLINK("http://www.ncbi.nlm.nih.gov/gene/?term=CYTIP","NCBI")</f>
        <v>NCBI</v>
      </c>
      <c r="F3284">
        <v>0.02</v>
      </c>
      <c r="G3284">
        <v>0.1</v>
      </c>
      <c r="H3284" s="1" t="str">
        <f>HYPERLINK("http://www.weizmann.ac.il/complex/compphys/software/geview/data/figures/209606_at.png","Figure")</f>
        <v>Figure</v>
      </c>
      <c r="I3284">
        <v>0.46899999999999997</v>
      </c>
      <c r="J3284">
        <v>0.27</v>
      </c>
      <c r="K3284">
        <v>0.26200000000000001</v>
      </c>
      <c r="L3284">
        <v>1.4999999999999999E-2</v>
      </c>
      <c r="M3284">
        <v>0.55800000000000005</v>
      </c>
      <c r="N3284">
        <v>0.4</v>
      </c>
    </row>
    <row r="3285" spans="1:14" x14ac:dyDescent="0.25">
      <c r="A3285" t="s">
        <v>6024</v>
      </c>
      <c r="B3285" t="s">
        <v>6025</v>
      </c>
      <c r="C3285" s="1" t="str">
        <f>HYPERLINK("http://www.genecards.org/cgi-bin/carddisp.pl?gene=MAP2K7","GeneCards")</f>
        <v>GeneCards</v>
      </c>
      <c r="D3285" s="1" t="str">
        <f>HYPERLINK("http://genome-euro.ucsc.edu/cgi-bin/hgTracks?position=216206_x_at","UCSC")</f>
        <v>UCSC</v>
      </c>
      <c r="E3285" s="1" t="str">
        <f>HYPERLINK("http://www.ncbi.nlm.nih.gov/gene/?term=MAP2K7","NCBI")</f>
        <v>NCBI</v>
      </c>
      <c r="F3285">
        <v>0.02</v>
      </c>
      <c r="G3285">
        <v>0.1</v>
      </c>
      <c r="H3285" s="1" t="str">
        <f>HYPERLINK("http://www.weizmann.ac.il/complex/compphys/software/geview/data/figures/216206_x_at.png","Figure")</f>
        <v>Figure</v>
      </c>
      <c r="I3285">
        <v>1.57</v>
      </c>
      <c r="J3285">
        <v>1.7999999999999999E-2</v>
      </c>
      <c r="K3285">
        <v>1.1299999999999999</v>
      </c>
      <c r="L3285">
        <v>0.57999999999999996</v>
      </c>
      <c r="M3285">
        <v>0.71899999999999997</v>
      </c>
      <c r="N3285">
        <v>6.6000000000000003E-2</v>
      </c>
    </row>
    <row r="3286" spans="1:14" x14ac:dyDescent="0.25">
      <c r="A3286" t="s">
        <v>6026</v>
      </c>
      <c r="B3286" t="s">
        <v>6027</v>
      </c>
      <c r="C3286" s="1" t="str">
        <f>HYPERLINK("http://www.genecards.org/cgi-bin/carddisp.pl?gene=DENR","GeneCards")</f>
        <v>GeneCards</v>
      </c>
      <c r="D3286" s="1" t="str">
        <f>HYPERLINK("http://genome-euro.ucsc.edu/cgi-bin/hgTracks?position=221509_at","UCSC")</f>
        <v>UCSC</v>
      </c>
      <c r="E3286" s="1" t="str">
        <f>HYPERLINK("http://www.ncbi.nlm.nih.gov/gene/?term=DENR","NCBI")</f>
        <v>NCBI</v>
      </c>
      <c r="F3286">
        <v>0.02</v>
      </c>
      <c r="G3286">
        <v>0.1</v>
      </c>
      <c r="H3286" s="1" t="str">
        <f>HYPERLINK("http://www.weizmann.ac.il/complex/compphys/software/geview/data/figures/221509_at.png","Figure")</f>
        <v>Figure</v>
      </c>
      <c r="I3286">
        <v>0.64600000000000002</v>
      </c>
      <c r="J3286">
        <v>2.1000000000000001E-2</v>
      </c>
      <c r="K3286">
        <v>0.73699999999999999</v>
      </c>
      <c r="L3286">
        <v>6.6000000000000003E-2</v>
      </c>
      <c r="M3286">
        <v>1.1399999999999999</v>
      </c>
      <c r="N3286">
        <v>0.59</v>
      </c>
    </row>
    <row r="3287" spans="1:14" x14ac:dyDescent="0.25">
      <c r="A3287" t="s">
        <v>6028</v>
      </c>
      <c r="B3287" t="s">
        <v>2646</v>
      </c>
      <c r="C3287" s="1" t="str">
        <f>HYPERLINK("http://www.genecards.org/cgi-bin/carddisp.pl?gene=TCF3","GeneCards")</f>
        <v>GeneCards</v>
      </c>
      <c r="D3287" s="1" t="str">
        <f>HYPERLINK("http://genome-euro.ucsc.edu/cgi-bin/hgTracks?position=213731_s_at","UCSC")</f>
        <v>UCSC</v>
      </c>
      <c r="E3287" s="1" t="str">
        <f>HYPERLINK("http://www.ncbi.nlm.nih.gov/gene/?term=TCF3","NCBI")</f>
        <v>NCBI</v>
      </c>
      <c r="F3287">
        <v>0.02</v>
      </c>
      <c r="G3287">
        <v>0.1</v>
      </c>
      <c r="H3287" s="1" t="str">
        <f>HYPERLINK("http://www.weizmann.ac.il/complex/compphys/software/geview/data/figures/213731_s_at.png","Figure")</f>
        <v>Figure</v>
      </c>
      <c r="I3287">
        <v>1.37</v>
      </c>
      <c r="J3287">
        <v>1.4999999999999999E-2</v>
      </c>
      <c r="K3287">
        <v>1.1499999999999999</v>
      </c>
      <c r="L3287">
        <v>0.25</v>
      </c>
      <c r="M3287">
        <v>0.84</v>
      </c>
      <c r="N3287">
        <v>0.16</v>
      </c>
    </row>
    <row r="3288" spans="1:14" x14ac:dyDescent="0.25">
      <c r="A3288" t="s">
        <v>6029</v>
      </c>
      <c r="B3288" t="s">
        <v>6030</v>
      </c>
      <c r="C3288" s="1" t="str">
        <f>HYPERLINK("http://www.genecards.org/cgi-bin/carddisp.pl?gene=PIP4K2B","GeneCards")</f>
        <v>GeneCards</v>
      </c>
      <c r="D3288" s="1" t="str">
        <f>HYPERLINK("http://genome-euro.ucsc.edu/cgi-bin/hgTracks?position=201081_s_at","UCSC")</f>
        <v>UCSC</v>
      </c>
      <c r="E3288" s="1" t="str">
        <f>HYPERLINK("http://www.ncbi.nlm.nih.gov/gene/?term=PIP4K2B","NCBI")</f>
        <v>NCBI</v>
      </c>
      <c r="F3288">
        <v>0.02</v>
      </c>
      <c r="G3288">
        <v>0.1</v>
      </c>
      <c r="H3288" s="1" t="str">
        <f>HYPERLINK("http://www.weizmann.ac.il/complex/compphys/software/geview/data/figures/201081_s_at.png","Figure")</f>
        <v>Figure</v>
      </c>
      <c r="I3288">
        <v>1.36</v>
      </c>
      <c r="J3288">
        <v>1.7000000000000001E-2</v>
      </c>
      <c r="K3288">
        <v>1.0900000000000001</v>
      </c>
      <c r="L3288">
        <v>0.55000000000000004</v>
      </c>
      <c r="M3288">
        <v>0.80300000000000005</v>
      </c>
      <c r="N3288">
        <v>7.0999999999999994E-2</v>
      </c>
    </row>
    <row r="3289" spans="1:14" x14ac:dyDescent="0.25">
      <c r="A3289" t="s">
        <v>6031</v>
      </c>
      <c r="B3289" t="s">
        <v>6032</v>
      </c>
      <c r="C3289" s="1" t="str">
        <f>HYPERLINK("http://www.genecards.org/cgi-bin/carddisp.pl?gene=HMGN4","GeneCards")</f>
        <v>GeneCards</v>
      </c>
      <c r="D3289" s="1" t="str">
        <f>HYPERLINK("http://genome-euro.ucsc.edu/cgi-bin/hgTracks?position=209786_at","UCSC")</f>
        <v>UCSC</v>
      </c>
      <c r="E3289" s="1" t="str">
        <f>HYPERLINK("http://www.ncbi.nlm.nih.gov/gene/?term=HMGN4","NCBI")</f>
        <v>NCBI</v>
      </c>
      <c r="F3289">
        <v>0.02</v>
      </c>
      <c r="G3289">
        <v>0.1</v>
      </c>
      <c r="H3289" s="1" t="str">
        <f>HYPERLINK("http://www.weizmann.ac.il/complex/compphys/software/geview/data/figures/209786_at.png","Figure")</f>
        <v>Figure</v>
      </c>
      <c r="I3289">
        <v>0.65900000000000003</v>
      </c>
      <c r="J3289">
        <v>6.7000000000000004E-2</v>
      </c>
      <c r="K3289">
        <v>1.0900000000000001</v>
      </c>
      <c r="L3289">
        <v>0.83</v>
      </c>
      <c r="M3289">
        <v>1.66</v>
      </c>
      <c r="N3289">
        <v>1.7999999999999999E-2</v>
      </c>
    </row>
    <row r="3290" spans="1:14" x14ac:dyDescent="0.25">
      <c r="A3290" t="s">
        <v>6033</v>
      </c>
      <c r="B3290" t="s">
        <v>6034</v>
      </c>
      <c r="C3290" s="1" t="str">
        <f>HYPERLINK("http://www.genecards.org/cgi-bin/carddisp.pl?gene=NPHP4","GeneCards")</f>
        <v>GeneCards</v>
      </c>
      <c r="D3290" s="1" t="str">
        <f>HYPERLINK("http://genome-euro.ucsc.edu/cgi-bin/hgTracks?position=216344_at","UCSC")</f>
        <v>UCSC</v>
      </c>
      <c r="E3290" s="1" t="str">
        <f>HYPERLINK("http://www.ncbi.nlm.nih.gov/gene/?term=NPHP4","NCBI")</f>
        <v>NCBI</v>
      </c>
      <c r="F3290">
        <v>0.02</v>
      </c>
      <c r="G3290">
        <v>0.1</v>
      </c>
      <c r="H3290" s="1" t="str">
        <f>HYPERLINK("http://www.weizmann.ac.il/complex/compphys/software/geview/data/figures/216344_at.png","Figure")</f>
        <v>Figure</v>
      </c>
      <c r="I3290">
        <v>1.38</v>
      </c>
      <c r="J3290">
        <v>1.6E-2</v>
      </c>
      <c r="K3290">
        <v>1.18</v>
      </c>
      <c r="L3290">
        <v>0.17</v>
      </c>
      <c r="M3290">
        <v>0.85499999999999998</v>
      </c>
      <c r="N3290">
        <v>0.25</v>
      </c>
    </row>
    <row r="3291" spans="1:14" x14ac:dyDescent="0.25">
      <c r="A3291" t="s">
        <v>6035</v>
      </c>
      <c r="B3291" t="s">
        <v>6036</v>
      </c>
      <c r="C3291" s="1" t="str">
        <f>HYPERLINK("http://www.genecards.org/cgi-bin/carddisp.pl?gene=DERL1","GeneCards")</f>
        <v>GeneCards</v>
      </c>
      <c r="D3291" s="1" t="str">
        <f>HYPERLINK("http://genome-euro.ucsc.edu/cgi-bin/hgTracks?position=219402_s_at","UCSC")</f>
        <v>UCSC</v>
      </c>
      <c r="E3291" s="1" t="str">
        <f>HYPERLINK("http://www.ncbi.nlm.nih.gov/gene/?term=DERL1","NCBI")</f>
        <v>NCBI</v>
      </c>
      <c r="F3291">
        <v>0.02</v>
      </c>
      <c r="G3291">
        <v>0.1</v>
      </c>
      <c r="H3291" s="1" t="str">
        <f>HYPERLINK("http://www.weizmann.ac.il/complex/compphys/software/geview/data/figures/219402_s_at.png","Figure")</f>
        <v>Figure</v>
      </c>
      <c r="I3291">
        <v>0.67800000000000005</v>
      </c>
      <c r="J3291">
        <v>0.16</v>
      </c>
      <c r="K3291">
        <v>0.56999999999999995</v>
      </c>
      <c r="L3291">
        <v>1.6E-2</v>
      </c>
      <c r="M3291">
        <v>0.84099999999999997</v>
      </c>
      <c r="N3291">
        <v>0.63</v>
      </c>
    </row>
    <row r="3292" spans="1:14" x14ac:dyDescent="0.25">
      <c r="A3292" t="s">
        <v>6037</v>
      </c>
      <c r="B3292" t="s">
        <v>6038</v>
      </c>
      <c r="C3292" s="1" t="str">
        <f>HYPERLINK("http://www.genecards.org/cgi-bin/carddisp.pl?gene=ARL2BP","GeneCards")</f>
        <v>GeneCards</v>
      </c>
      <c r="D3292" s="1" t="str">
        <f>HYPERLINK("http://genome-euro.ucsc.edu/cgi-bin/hgTracks?position=202092_s_at","UCSC")</f>
        <v>UCSC</v>
      </c>
      <c r="E3292" s="1" t="str">
        <f>HYPERLINK("http://www.ncbi.nlm.nih.gov/gene/?term=ARL2BP","NCBI")</f>
        <v>NCBI</v>
      </c>
      <c r="F3292">
        <v>0.02</v>
      </c>
      <c r="G3292">
        <v>0.1</v>
      </c>
      <c r="H3292" s="1" t="str">
        <f>HYPERLINK("http://www.weizmann.ac.il/complex/compphys/software/geview/data/figures/202092_s_at.png","Figure")</f>
        <v>Figure</v>
      </c>
      <c r="I3292">
        <v>1.05</v>
      </c>
      <c r="J3292">
        <v>0.94</v>
      </c>
      <c r="K3292">
        <v>0.70899999999999996</v>
      </c>
      <c r="L3292">
        <v>0.05</v>
      </c>
      <c r="M3292">
        <v>0.67600000000000005</v>
      </c>
      <c r="N3292">
        <v>3.5999999999999997E-2</v>
      </c>
    </row>
    <row r="3293" spans="1:14" x14ac:dyDescent="0.25">
      <c r="A3293" t="s">
        <v>6039</v>
      </c>
      <c r="B3293" t="s">
        <v>6040</v>
      </c>
      <c r="C3293" s="1" t="str">
        <f>HYPERLINK("http://www.genecards.org/cgi-bin/carddisp.pl?gene=DIAPH1","GeneCards")</f>
        <v>GeneCards</v>
      </c>
      <c r="D3293" s="1" t="str">
        <f>HYPERLINK("http://genome-euro.ucsc.edu/cgi-bin/hgTracks?position=215541_s_at","UCSC")</f>
        <v>UCSC</v>
      </c>
      <c r="E3293" s="1" t="str">
        <f>HYPERLINK("http://www.ncbi.nlm.nih.gov/gene/?term=DIAPH1","NCBI")</f>
        <v>NCBI</v>
      </c>
      <c r="F3293">
        <v>0.02</v>
      </c>
      <c r="G3293">
        <v>0.1</v>
      </c>
      <c r="H3293" s="1" t="str">
        <f>HYPERLINK("http://www.weizmann.ac.il/complex/compphys/software/geview/data/figures/215541_s_at.png","Figure")</f>
        <v>Figure</v>
      </c>
      <c r="I3293">
        <v>1.46</v>
      </c>
      <c r="J3293">
        <v>1.9E-2</v>
      </c>
      <c r="K3293">
        <v>1.0900000000000001</v>
      </c>
      <c r="L3293">
        <v>0.68</v>
      </c>
      <c r="M3293">
        <v>0.748</v>
      </c>
      <c r="N3293">
        <v>5.5E-2</v>
      </c>
    </row>
    <row r="3294" spans="1:14" x14ac:dyDescent="0.25">
      <c r="A3294" t="s">
        <v>6041</v>
      </c>
      <c r="B3294" t="s">
        <v>6042</v>
      </c>
      <c r="C3294" s="1" t="str">
        <f>HYPERLINK("http://www.genecards.org/cgi-bin/carddisp.pl?gene=CEACAM3","GeneCards")</f>
        <v>GeneCards</v>
      </c>
      <c r="D3294" s="1" t="str">
        <f>HYPERLINK("http://genome-euro.ucsc.edu/cgi-bin/hgTracks?position=210789_x_at","UCSC")</f>
        <v>UCSC</v>
      </c>
      <c r="E3294" s="1" t="str">
        <f>HYPERLINK("http://www.ncbi.nlm.nih.gov/gene/?term=CEACAM3","NCBI")</f>
        <v>NCBI</v>
      </c>
      <c r="F3294">
        <v>0.02</v>
      </c>
      <c r="G3294">
        <v>0.1</v>
      </c>
      <c r="H3294" s="1" t="str">
        <f>HYPERLINK("http://www.weizmann.ac.il/complex/compphys/software/geview/data/figures/210789_x_at.png","Figure")</f>
        <v>Figure</v>
      </c>
      <c r="I3294">
        <v>1.22</v>
      </c>
      <c r="J3294">
        <v>1.6E-2</v>
      </c>
      <c r="K3294">
        <v>1.1000000000000001</v>
      </c>
      <c r="L3294">
        <v>0.2</v>
      </c>
      <c r="M3294">
        <v>0.90100000000000002</v>
      </c>
      <c r="N3294">
        <v>0.2</v>
      </c>
    </row>
    <row r="3295" spans="1:14" x14ac:dyDescent="0.25">
      <c r="A3295" t="s">
        <v>6043</v>
      </c>
      <c r="B3295" t="s">
        <v>6044</v>
      </c>
      <c r="C3295" s="1" t="str">
        <f>HYPERLINK("http://www.genecards.org/cgi-bin/carddisp.pl?gene=SLC35C1","GeneCards")</f>
        <v>GeneCards</v>
      </c>
      <c r="D3295" s="1" t="str">
        <f>HYPERLINK("http://genome-euro.ucsc.edu/cgi-bin/hgTracks?position=218485_s_at","UCSC")</f>
        <v>UCSC</v>
      </c>
      <c r="E3295" s="1" t="str">
        <f>HYPERLINK("http://www.ncbi.nlm.nih.gov/gene/?term=SLC35C1","NCBI")</f>
        <v>NCBI</v>
      </c>
      <c r="F3295">
        <v>0.02</v>
      </c>
      <c r="G3295">
        <v>0.1</v>
      </c>
      <c r="H3295" s="1" t="str">
        <f>HYPERLINK("http://www.weizmann.ac.il/complex/compphys/software/geview/data/figures/218485_s_at.png","Figure")</f>
        <v>Figure</v>
      </c>
      <c r="I3295">
        <v>1.33</v>
      </c>
      <c r="J3295">
        <v>1.7999999999999999E-2</v>
      </c>
      <c r="K3295">
        <v>1.19</v>
      </c>
      <c r="L3295">
        <v>0.11</v>
      </c>
      <c r="M3295">
        <v>0.89300000000000002</v>
      </c>
      <c r="N3295">
        <v>0.38</v>
      </c>
    </row>
    <row r="3296" spans="1:14" x14ac:dyDescent="0.25">
      <c r="A3296" t="s">
        <v>6045</v>
      </c>
      <c r="B3296" t="s">
        <v>6046</v>
      </c>
      <c r="C3296" s="1" t="str">
        <f>HYPERLINK("http://www.genecards.org/cgi-bin/carddisp.pl?gene=ZNF335","GeneCards")</f>
        <v>GeneCards</v>
      </c>
      <c r="D3296" s="1" t="str">
        <f>HYPERLINK("http://genome-euro.ucsc.edu/cgi-bin/hgTracks?position=222059_at","UCSC")</f>
        <v>UCSC</v>
      </c>
      <c r="E3296" s="1" t="str">
        <f>HYPERLINK("http://www.ncbi.nlm.nih.gov/gene/?term=ZNF335","NCBI")</f>
        <v>NCBI</v>
      </c>
      <c r="F3296">
        <v>0.02</v>
      </c>
      <c r="G3296">
        <v>0.1</v>
      </c>
      <c r="H3296" s="1" t="str">
        <f>HYPERLINK("http://www.weizmann.ac.il/complex/compphys/software/geview/data/figures/222059_at.png","Figure")</f>
        <v>Figure</v>
      </c>
      <c r="I3296">
        <v>1.34</v>
      </c>
      <c r="J3296">
        <v>1.6E-2</v>
      </c>
      <c r="K3296">
        <v>1.1100000000000001</v>
      </c>
      <c r="L3296">
        <v>0.43</v>
      </c>
      <c r="M3296">
        <v>0.82399999999999995</v>
      </c>
      <c r="N3296">
        <v>9.5000000000000001E-2</v>
      </c>
    </row>
    <row r="3297" spans="1:14" x14ac:dyDescent="0.25">
      <c r="A3297" t="s">
        <v>6047</v>
      </c>
      <c r="B3297" t="s">
        <v>2374</v>
      </c>
      <c r="C3297" s="1" t="str">
        <f>HYPERLINK("http://www.genecards.org/cgi-bin/carddisp.pl?gene=NUCKS1","GeneCards")</f>
        <v>GeneCards</v>
      </c>
      <c r="D3297" s="1" t="str">
        <f>HYPERLINK("http://genome-euro.ucsc.edu/cgi-bin/hgTracks?position=222027_at","UCSC")</f>
        <v>UCSC</v>
      </c>
      <c r="E3297" s="1" t="str">
        <f>HYPERLINK("http://www.ncbi.nlm.nih.gov/gene/?term=NUCKS1","NCBI")</f>
        <v>NCBI</v>
      </c>
      <c r="F3297">
        <v>0.02</v>
      </c>
      <c r="G3297">
        <v>0.1</v>
      </c>
      <c r="H3297" s="1" t="str">
        <f>HYPERLINK("http://www.weizmann.ac.il/complex/compphys/software/geview/data/figures/222027_at.png","Figure")</f>
        <v>Figure</v>
      </c>
      <c r="I3297">
        <v>2.37</v>
      </c>
      <c r="J3297">
        <v>1.7000000000000001E-2</v>
      </c>
      <c r="K3297">
        <v>1.66</v>
      </c>
      <c r="L3297">
        <v>0.12</v>
      </c>
      <c r="M3297">
        <v>0.7</v>
      </c>
      <c r="N3297">
        <v>0.36</v>
      </c>
    </row>
    <row r="3298" spans="1:14" x14ac:dyDescent="0.25">
      <c r="A3298" t="s">
        <v>6048</v>
      </c>
      <c r="B3298" t="s">
        <v>6049</v>
      </c>
      <c r="C3298" s="1" t="str">
        <f>HYPERLINK("http://www.genecards.org/cgi-bin/carddisp.pl?gene=CD34","GeneCards")</f>
        <v>GeneCards</v>
      </c>
      <c r="D3298" s="1" t="str">
        <f>HYPERLINK("http://genome-euro.ucsc.edu/cgi-bin/hgTracks?position=209543_s_at","UCSC")</f>
        <v>UCSC</v>
      </c>
      <c r="E3298" s="1" t="str">
        <f>HYPERLINK("http://www.ncbi.nlm.nih.gov/gene/?term=CD34","NCBI")</f>
        <v>NCBI</v>
      </c>
      <c r="F3298">
        <v>0.02</v>
      </c>
      <c r="G3298">
        <v>0.1</v>
      </c>
      <c r="H3298" s="1" t="str">
        <f>HYPERLINK("http://www.weizmann.ac.il/complex/compphys/software/geview/data/figures/209543_s_at.png","Figure")</f>
        <v>Figure</v>
      </c>
      <c r="I3298">
        <v>0.51700000000000002</v>
      </c>
      <c r="J3298">
        <v>5.8000000000000003E-2</v>
      </c>
      <c r="K3298">
        <v>0.5</v>
      </c>
      <c r="L3298">
        <v>2.3E-2</v>
      </c>
      <c r="M3298">
        <v>0.96899999999999997</v>
      </c>
      <c r="N3298">
        <v>0.99</v>
      </c>
    </row>
    <row r="3299" spans="1:14" x14ac:dyDescent="0.25">
      <c r="A3299" t="s">
        <v>6050</v>
      </c>
      <c r="B3299" t="s">
        <v>6051</v>
      </c>
      <c r="C3299" s="1" t="str">
        <f>HYPERLINK("http://www.genecards.org/cgi-bin/carddisp.pl?gene=PPP3CB","GeneCards")</f>
        <v>GeneCards</v>
      </c>
      <c r="D3299" s="1" t="str">
        <f>HYPERLINK("http://genome-euro.ucsc.edu/cgi-bin/hgTracks?position=209817_at","UCSC")</f>
        <v>UCSC</v>
      </c>
      <c r="E3299" s="1" t="str">
        <f>HYPERLINK("http://www.ncbi.nlm.nih.gov/gene/?term=PPP3CB","NCBI")</f>
        <v>NCBI</v>
      </c>
      <c r="F3299">
        <v>0.02</v>
      </c>
      <c r="G3299">
        <v>0.1</v>
      </c>
      <c r="H3299" s="1" t="str">
        <f>HYPERLINK("http://www.weizmann.ac.il/complex/compphys/software/geview/data/figures/209817_at.png","Figure")</f>
        <v>Figure</v>
      </c>
      <c r="I3299">
        <v>0.82199999999999995</v>
      </c>
      <c r="J3299">
        <v>0.15</v>
      </c>
      <c r="K3299">
        <v>1.1100000000000001</v>
      </c>
      <c r="L3299">
        <v>0.48</v>
      </c>
      <c r="M3299">
        <v>1.35</v>
      </c>
      <c r="N3299">
        <v>1.4999999999999999E-2</v>
      </c>
    </row>
    <row r="3300" spans="1:14" x14ac:dyDescent="0.25">
      <c r="A3300" t="s">
        <v>6052</v>
      </c>
      <c r="B3300" t="s">
        <v>6053</v>
      </c>
      <c r="C3300" s="1" t="str">
        <f>HYPERLINK("http://www.genecards.org/cgi-bin/carddisp.pl?gene=MUL1","GeneCards")</f>
        <v>GeneCards</v>
      </c>
      <c r="D3300" s="1" t="str">
        <f>HYPERLINK("http://genome-euro.ucsc.edu/cgi-bin/hgTracks?position=218246_at","UCSC")</f>
        <v>UCSC</v>
      </c>
      <c r="E3300" s="1" t="str">
        <f>HYPERLINK("http://www.ncbi.nlm.nih.gov/gene/?term=MUL1","NCBI")</f>
        <v>NCBI</v>
      </c>
      <c r="F3300">
        <v>0.02</v>
      </c>
      <c r="G3300">
        <v>0.1</v>
      </c>
      <c r="H3300" s="1" t="str">
        <f>HYPERLINK("http://www.weizmann.ac.il/complex/compphys/software/geview/data/figures/218246_at.png","Figure")</f>
        <v>Figure</v>
      </c>
      <c r="I3300">
        <v>1.33</v>
      </c>
      <c r="J3300">
        <v>0.1</v>
      </c>
      <c r="K3300">
        <v>0.9</v>
      </c>
      <c r="L3300">
        <v>0.63</v>
      </c>
      <c r="M3300">
        <v>0.67400000000000004</v>
      </c>
      <c r="N3300">
        <v>1.6E-2</v>
      </c>
    </row>
    <row r="3301" spans="1:14" x14ac:dyDescent="0.25">
      <c r="A3301" t="s">
        <v>6054</v>
      </c>
      <c r="B3301" t="s">
        <v>5265</v>
      </c>
      <c r="C3301" s="1" t="str">
        <f>HYPERLINK("http://www.genecards.org/cgi-bin/carddisp.pl?gene=ITGA4","GeneCards")</f>
        <v>GeneCards</v>
      </c>
      <c r="D3301" s="1" t="str">
        <f>HYPERLINK("http://genome-euro.ucsc.edu/cgi-bin/hgTracks?position=205884_at","UCSC")</f>
        <v>UCSC</v>
      </c>
      <c r="E3301" s="1" t="str">
        <f>HYPERLINK("http://www.ncbi.nlm.nih.gov/gene/?term=ITGA4","NCBI")</f>
        <v>NCBI</v>
      </c>
      <c r="F3301">
        <v>0.02</v>
      </c>
      <c r="G3301">
        <v>0.1</v>
      </c>
      <c r="H3301" s="1" t="str">
        <f>HYPERLINK("http://www.weizmann.ac.il/complex/compphys/software/geview/data/figures/205884_at.png","Figure")</f>
        <v>Figure</v>
      </c>
      <c r="I3301">
        <v>0.96899999999999997</v>
      </c>
      <c r="J3301">
        <v>0.99</v>
      </c>
      <c r="K3301">
        <v>1.67</v>
      </c>
      <c r="L3301">
        <v>4.2000000000000003E-2</v>
      </c>
      <c r="M3301">
        <v>1.72</v>
      </c>
      <c r="N3301">
        <v>4.2999999999999997E-2</v>
      </c>
    </row>
    <row r="3302" spans="1:14" x14ac:dyDescent="0.25">
      <c r="A3302" t="s">
        <v>6055</v>
      </c>
      <c r="B3302" t="s">
        <v>6056</v>
      </c>
      <c r="C3302" s="1" t="str">
        <f>HYPERLINK("http://www.genecards.org/cgi-bin/carddisp.pl?gene=CCT7","GeneCards")</f>
        <v>GeneCards</v>
      </c>
      <c r="D3302" s="1" t="str">
        <f>HYPERLINK("http://genome-euro.ucsc.edu/cgi-bin/hgTracks?position=200812_at","UCSC")</f>
        <v>UCSC</v>
      </c>
      <c r="E3302" s="1" t="str">
        <f>HYPERLINK("http://www.ncbi.nlm.nih.gov/gene/?term=CCT7","NCBI")</f>
        <v>NCBI</v>
      </c>
      <c r="F3302">
        <v>0.02</v>
      </c>
      <c r="G3302">
        <v>0.1</v>
      </c>
      <c r="H3302" s="1" t="str">
        <f>HYPERLINK("http://www.weizmann.ac.il/complex/compphys/software/geview/data/figures/200812_at.png","Figure")</f>
        <v>Figure</v>
      </c>
      <c r="I3302">
        <v>1.1299999999999999</v>
      </c>
      <c r="J3302">
        <v>0.81</v>
      </c>
      <c r="K3302">
        <v>1.73</v>
      </c>
      <c r="L3302">
        <v>2.1999999999999999E-2</v>
      </c>
      <c r="M3302">
        <v>1.53</v>
      </c>
      <c r="N3302">
        <v>0.11</v>
      </c>
    </row>
    <row r="3303" spans="1:14" x14ac:dyDescent="0.25">
      <c r="A3303" t="s">
        <v>6057</v>
      </c>
      <c r="B3303" t="s">
        <v>6058</v>
      </c>
      <c r="C3303" s="1" t="str">
        <f>HYPERLINK("http://www.genecards.org/cgi-bin/carddisp.pl?gene=CD5","GeneCards")</f>
        <v>GeneCards</v>
      </c>
      <c r="D3303" s="1" t="str">
        <f>HYPERLINK("http://genome-euro.ucsc.edu/cgi-bin/hgTracks?position=206485_at","UCSC")</f>
        <v>UCSC</v>
      </c>
      <c r="E3303" s="1" t="str">
        <f>HYPERLINK("http://www.ncbi.nlm.nih.gov/gene/?term=CD5","NCBI")</f>
        <v>NCBI</v>
      </c>
      <c r="F3303">
        <v>0.02</v>
      </c>
      <c r="G3303">
        <v>0.1</v>
      </c>
      <c r="H3303" s="1" t="str">
        <f>HYPERLINK("http://www.weizmann.ac.il/complex/compphys/software/geview/data/figures/206485_at.png","Figure")</f>
        <v>Figure</v>
      </c>
      <c r="I3303">
        <v>1.33</v>
      </c>
      <c r="J3303">
        <v>2.5000000000000001E-2</v>
      </c>
      <c r="K3303">
        <v>1.04</v>
      </c>
      <c r="L3303">
        <v>0.89</v>
      </c>
      <c r="M3303">
        <v>0.78300000000000003</v>
      </c>
      <c r="N3303">
        <v>3.6999999999999998E-2</v>
      </c>
    </row>
    <row r="3304" spans="1:14" x14ac:dyDescent="0.25">
      <c r="A3304" t="s">
        <v>6059</v>
      </c>
      <c r="B3304" t="s">
        <v>6060</v>
      </c>
      <c r="C3304" s="1" t="str">
        <f>HYPERLINK("http://www.genecards.org/cgi-bin/carddisp.pl?gene=KIF11","GeneCards")</f>
        <v>GeneCards</v>
      </c>
      <c r="D3304" s="1" t="str">
        <f>HYPERLINK("http://genome-euro.ucsc.edu/cgi-bin/hgTracks?position=204444_at","UCSC")</f>
        <v>UCSC</v>
      </c>
      <c r="E3304" s="1" t="str">
        <f>HYPERLINK("http://www.ncbi.nlm.nih.gov/gene/?term=KIF11","NCBI")</f>
        <v>NCBI</v>
      </c>
      <c r="F3304">
        <v>0.02</v>
      </c>
      <c r="G3304">
        <v>0.1</v>
      </c>
      <c r="H3304" s="1" t="str">
        <f>HYPERLINK("http://www.weizmann.ac.il/complex/compphys/software/geview/data/figures/204444_at.png","Figure")</f>
        <v>Figure</v>
      </c>
      <c r="I3304">
        <v>0.58099999999999996</v>
      </c>
      <c r="J3304">
        <v>0.23</v>
      </c>
      <c r="K3304">
        <v>1.52</v>
      </c>
      <c r="L3304">
        <v>0.32</v>
      </c>
      <c r="M3304">
        <v>2.61</v>
      </c>
      <c r="N3304">
        <v>1.6E-2</v>
      </c>
    </row>
    <row r="3305" spans="1:14" x14ac:dyDescent="0.25">
      <c r="A3305" t="s">
        <v>6061</v>
      </c>
      <c r="B3305" t="s">
        <v>6062</v>
      </c>
      <c r="C3305" s="1" t="str">
        <f>HYPERLINK("http://www.genecards.org/cgi-bin/carddisp.pl?gene=CLCC1","GeneCards")</f>
        <v>GeneCards</v>
      </c>
      <c r="D3305" s="1" t="str">
        <f>HYPERLINK("http://genome-euro.ucsc.edu/cgi-bin/hgTracks?position=213628_at","UCSC")</f>
        <v>UCSC</v>
      </c>
      <c r="E3305" s="1" t="str">
        <f>HYPERLINK("http://www.ncbi.nlm.nih.gov/gene/?term=CLCC1","NCBI")</f>
        <v>NCBI</v>
      </c>
      <c r="F3305">
        <v>0.02</v>
      </c>
      <c r="G3305">
        <v>0.1</v>
      </c>
      <c r="H3305" s="1" t="str">
        <f>HYPERLINK("http://www.weizmann.ac.il/complex/compphys/software/geview/data/figures/213628_at.png","Figure")</f>
        <v>Figure</v>
      </c>
      <c r="I3305">
        <v>0.82399999999999995</v>
      </c>
      <c r="J3305">
        <v>9.9000000000000005E-2</v>
      </c>
      <c r="K3305">
        <v>1.07</v>
      </c>
      <c r="L3305">
        <v>0.65</v>
      </c>
      <c r="M3305">
        <v>1.3</v>
      </c>
      <c r="N3305">
        <v>1.6E-2</v>
      </c>
    </row>
    <row r="3306" spans="1:14" x14ac:dyDescent="0.25">
      <c r="A3306" t="s">
        <v>6063</v>
      </c>
      <c r="B3306" t="s">
        <v>6064</v>
      </c>
      <c r="C3306" s="1" t="str">
        <f>HYPERLINK("http://www.genecards.org/cgi-bin/carddisp.pl?gene=MED27","GeneCards")</f>
        <v>GeneCards</v>
      </c>
      <c r="D3306" s="1" t="str">
        <f>HYPERLINK("http://genome-euro.ucsc.edu/cgi-bin/hgTracks?position=51176_at","UCSC")</f>
        <v>UCSC</v>
      </c>
      <c r="E3306" s="1" t="str">
        <f>HYPERLINK("http://www.ncbi.nlm.nih.gov/gene/?term=MED27","NCBI")</f>
        <v>NCBI</v>
      </c>
      <c r="F3306">
        <v>0.02</v>
      </c>
      <c r="G3306">
        <v>0.1</v>
      </c>
      <c r="H3306" s="1" t="str">
        <f>HYPERLINK("http://www.weizmann.ac.il/complex/compphys/software/geview/data/figures/51176_at.png","Figure")</f>
        <v>Figure</v>
      </c>
      <c r="I3306">
        <v>1.42</v>
      </c>
      <c r="J3306">
        <v>2.1999999999999999E-2</v>
      </c>
      <c r="K3306">
        <v>1.28</v>
      </c>
      <c r="L3306">
        <v>6.4000000000000001E-2</v>
      </c>
      <c r="M3306">
        <v>0.90300000000000002</v>
      </c>
      <c r="N3306">
        <v>0.6</v>
      </c>
    </row>
    <row r="3307" spans="1:14" x14ac:dyDescent="0.25">
      <c r="A3307" t="s">
        <v>6065</v>
      </c>
      <c r="B3307" t="s">
        <v>6066</v>
      </c>
      <c r="C3307" s="1" t="str">
        <f>HYPERLINK("http://www.genecards.org/cgi-bin/carddisp.pl?gene=CRTC1","GeneCards")</f>
        <v>GeneCards</v>
      </c>
      <c r="D3307" s="1" t="str">
        <f>HYPERLINK("http://genome-euro.ucsc.edu/cgi-bin/hgTracks?position=213091_at","UCSC")</f>
        <v>UCSC</v>
      </c>
      <c r="E3307" s="1" t="str">
        <f>HYPERLINK("http://www.ncbi.nlm.nih.gov/gene/?term=CRTC1","NCBI")</f>
        <v>NCBI</v>
      </c>
      <c r="F3307">
        <v>0.02</v>
      </c>
      <c r="G3307">
        <v>0.1</v>
      </c>
      <c r="H3307" s="1" t="str">
        <f>HYPERLINK("http://www.weizmann.ac.il/complex/compphys/software/geview/data/figures/213091_at.png","Figure")</f>
        <v>Figure</v>
      </c>
      <c r="I3307">
        <v>1.44</v>
      </c>
      <c r="J3307">
        <v>1.6E-2</v>
      </c>
      <c r="K3307">
        <v>1.18</v>
      </c>
      <c r="L3307">
        <v>0.25</v>
      </c>
      <c r="M3307">
        <v>0.81899999999999995</v>
      </c>
      <c r="N3307">
        <v>0.17</v>
      </c>
    </row>
    <row r="3308" spans="1:14" x14ac:dyDescent="0.25">
      <c r="A3308" t="s">
        <v>6067</v>
      </c>
      <c r="B3308" t="s">
        <v>6068</v>
      </c>
      <c r="C3308" s="1" t="str">
        <f>HYPERLINK("http://www.genecards.org/cgi-bin/carddisp.pl?gene=CHPT1","GeneCards")</f>
        <v>GeneCards</v>
      </c>
      <c r="D3308" s="1" t="str">
        <f>HYPERLINK("http://genome-euro.ucsc.edu/cgi-bin/hgTracks?position=221675_s_at","UCSC")</f>
        <v>UCSC</v>
      </c>
      <c r="E3308" s="1" t="str">
        <f>HYPERLINK("http://www.ncbi.nlm.nih.gov/gene/?term=CHPT1","NCBI")</f>
        <v>NCBI</v>
      </c>
      <c r="F3308">
        <v>0.02</v>
      </c>
      <c r="G3308">
        <v>0.1</v>
      </c>
      <c r="H3308" s="1" t="str">
        <f>HYPERLINK("http://www.weizmann.ac.il/complex/compphys/software/geview/data/figures/221675_s_at.png","Figure")</f>
        <v>Figure</v>
      </c>
      <c r="I3308">
        <v>1.35</v>
      </c>
      <c r="J3308">
        <v>0.57999999999999996</v>
      </c>
      <c r="K3308">
        <v>0.57299999999999995</v>
      </c>
      <c r="L3308">
        <v>0.12</v>
      </c>
      <c r="M3308">
        <v>0.42399999999999999</v>
      </c>
      <c r="N3308">
        <v>2.1000000000000001E-2</v>
      </c>
    </row>
    <row r="3309" spans="1:14" x14ac:dyDescent="0.25">
      <c r="A3309" t="s">
        <v>6069</v>
      </c>
      <c r="B3309" t="s">
        <v>4153</v>
      </c>
      <c r="C3309" s="1" t="str">
        <f>HYPERLINK("http://www.genecards.org/cgi-bin/carddisp.pl?gene=VDAC3","GeneCards")</f>
        <v>GeneCards</v>
      </c>
      <c r="D3309" s="1" t="str">
        <f>HYPERLINK("http://genome-euro.ucsc.edu/cgi-bin/hgTracks?position=208846_s_at","UCSC")</f>
        <v>UCSC</v>
      </c>
      <c r="E3309" s="1" t="str">
        <f>HYPERLINK("http://www.ncbi.nlm.nih.gov/gene/?term=VDAC3","NCBI")</f>
        <v>NCBI</v>
      </c>
      <c r="F3309">
        <v>0.02</v>
      </c>
      <c r="G3309">
        <v>0.1</v>
      </c>
      <c r="H3309" s="1" t="str">
        <f>HYPERLINK("http://www.weizmann.ac.il/complex/compphys/software/geview/data/figures/208846_s_at.png","Figure")</f>
        <v>Figure</v>
      </c>
      <c r="I3309">
        <v>0.81399999999999995</v>
      </c>
      <c r="J3309">
        <v>0.45</v>
      </c>
      <c r="K3309">
        <v>1.33</v>
      </c>
      <c r="L3309">
        <v>0.16</v>
      </c>
      <c r="M3309">
        <v>1.64</v>
      </c>
      <c r="N3309">
        <v>1.9E-2</v>
      </c>
    </row>
    <row r="3310" spans="1:14" x14ac:dyDescent="0.25">
      <c r="A3310" t="s">
        <v>6070</v>
      </c>
      <c r="B3310" t="s">
        <v>6071</v>
      </c>
      <c r="C3310" s="1" t="str">
        <f>HYPERLINK("http://www.genecards.org/cgi-bin/carddisp.pl?gene=TPP2","GeneCards")</f>
        <v>GeneCards</v>
      </c>
      <c r="D3310" s="1" t="str">
        <f>HYPERLINK("http://genome-euro.ucsc.edu/cgi-bin/hgTracks?position=203374_s_at","UCSC")</f>
        <v>UCSC</v>
      </c>
      <c r="E3310" s="1" t="str">
        <f>HYPERLINK("http://www.ncbi.nlm.nih.gov/gene/?term=TPP2","NCBI")</f>
        <v>NCBI</v>
      </c>
      <c r="F3310">
        <v>0.02</v>
      </c>
      <c r="G3310">
        <v>0.1</v>
      </c>
      <c r="H3310" s="1" t="str">
        <f>HYPERLINK("http://www.weizmann.ac.il/complex/compphys/software/geview/data/figures/203374_s_at.png","Figure")</f>
        <v>Figure</v>
      </c>
      <c r="I3310">
        <v>1.73</v>
      </c>
      <c r="J3310">
        <v>1.6E-2</v>
      </c>
      <c r="K3310">
        <v>1.34</v>
      </c>
      <c r="L3310">
        <v>0.15</v>
      </c>
      <c r="M3310">
        <v>0.77400000000000002</v>
      </c>
      <c r="N3310">
        <v>0.27</v>
      </c>
    </row>
    <row r="3311" spans="1:14" x14ac:dyDescent="0.25">
      <c r="A3311" t="s">
        <v>6072</v>
      </c>
      <c r="B3311" t="s">
        <v>6073</v>
      </c>
      <c r="C3311" s="1" t="str">
        <f>HYPERLINK("http://www.genecards.org/cgi-bin/carddisp.pl?gene=NPR1","GeneCards")</f>
        <v>GeneCards</v>
      </c>
      <c r="D3311" s="1" t="str">
        <f>HYPERLINK("http://genome-euro.ucsc.edu/cgi-bin/hgTracks?position=32625_at","UCSC")</f>
        <v>UCSC</v>
      </c>
      <c r="E3311" s="1" t="str">
        <f>HYPERLINK("http://www.ncbi.nlm.nih.gov/gene/?term=NPR1","NCBI")</f>
        <v>NCBI</v>
      </c>
      <c r="F3311">
        <v>0.02</v>
      </c>
      <c r="G3311">
        <v>0.1</v>
      </c>
      <c r="H3311" s="1" t="str">
        <f>HYPERLINK("http://www.weizmann.ac.il/complex/compphys/software/geview/data/figures/32625_at.png","Figure")</f>
        <v>Figure</v>
      </c>
      <c r="I3311">
        <v>0.51100000000000001</v>
      </c>
      <c r="J3311">
        <v>1.6E-2</v>
      </c>
      <c r="K3311">
        <v>0.69299999999999995</v>
      </c>
      <c r="L3311">
        <v>0.15</v>
      </c>
      <c r="M3311">
        <v>1.36</v>
      </c>
      <c r="N3311">
        <v>0.28999999999999998</v>
      </c>
    </row>
    <row r="3312" spans="1:14" x14ac:dyDescent="0.25">
      <c r="A3312" t="s">
        <v>6074</v>
      </c>
      <c r="B3312" t="s">
        <v>6075</v>
      </c>
      <c r="C3312" s="1" t="str">
        <f>HYPERLINK("http://www.genecards.org/cgi-bin/carddisp.pl?gene=JAK1","GeneCards")</f>
        <v>GeneCards</v>
      </c>
      <c r="D3312" s="1" t="str">
        <f>HYPERLINK("http://genome-euro.ucsc.edu/cgi-bin/hgTracks?position=201648_at","UCSC")</f>
        <v>UCSC</v>
      </c>
      <c r="E3312" s="1" t="str">
        <f>HYPERLINK("http://www.ncbi.nlm.nih.gov/gene/?term=JAK1","NCBI")</f>
        <v>NCBI</v>
      </c>
      <c r="F3312">
        <v>0.02</v>
      </c>
      <c r="G3312">
        <v>0.1</v>
      </c>
      <c r="H3312" s="1" t="str">
        <f>HYPERLINK("http://www.weizmann.ac.il/complex/compphys/software/geview/data/figures/201648_at.png","Figure")</f>
        <v>Figure</v>
      </c>
      <c r="I3312">
        <v>0.97299999999999998</v>
      </c>
      <c r="J3312">
        <v>0.99</v>
      </c>
      <c r="K3312">
        <v>0.64200000000000002</v>
      </c>
      <c r="L3312">
        <v>3.1E-2</v>
      </c>
      <c r="M3312">
        <v>0.66</v>
      </c>
      <c r="N3312">
        <v>0.06</v>
      </c>
    </row>
    <row r="3313" spans="1:14" x14ac:dyDescent="0.25">
      <c r="A3313" t="s">
        <v>6076</v>
      </c>
      <c r="B3313" t="s">
        <v>1065</v>
      </c>
      <c r="C3313" s="1" t="str">
        <f>HYPERLINK("http://www.genecards.org/cgi-bin/carddisp.pl?gene=NEK1","GeneCards")</f>
        <v>GeneCards</v>
      </c>
      <c r="D3313" s="1" t="str">
        <f>HYPERLINK("http://genome-euro.ucsc.edu/cgi-bin/hgTracks?position=213328_at","UCSC")</f>
        <v>UCSC</v>
      </c>
      <c r="E3313" s="1" t="str">
        <f>HYPERLINK("http://www.ncbi.nlm.nih.gov/gene/?term=NEK1","NCBI")</f>
        <v>NCBI</v>
      </c>
      <c r="F3313">
        <v>0.02</v>
      </c>
      <c r="G3313">
        <v>0.1</v>
      </c>
      <c r="H3313" s="1" t="str">
        <f>HYPERLINK("http://www.weizmann.ac.il/complex/compphys/software/geview/data/figures/213328_at.png","Figure")</f>
        <v>Figure</v>
      </c>
      <c r="I3313">
        <v>0.53600000000000003</v>
      </c>
      <c r="J3313">
        <v>1.6E-2</v>
      </c>
      <c r="K3313">
        <v>0.77900000000000003</v>
      </c>
      <c r="L3313">
        <v>0.32</v>
      </c>
      <c r="M3313">
        <v>1.45</v>
      </c>
      <c r="N3313">
        <v>0.13</v>
      </c>
    </row>
    <row r="3314" spans="1:14" x14ac:dyDescent="0.25">
      <c r="A3314" t="s">
        <v>6077</v>
      </c>
      <c r="B3314" t="s">
        <v>6078</v>
      </c>
      <c r="C3314" s="1" t="str">
        <f>HYPERLINK("http://www.genecards.org/cgi-bin/carddisp.pl?gene=RBM38","GeneCards")</f>
        <v>GeneCards</v>
      </c>
      <c r="D3314" s="1" t="str">
        <f>HYPERLINK("http://genome-euro.ucsc.edu/cgi-bin/hgTracks?position=212430_at","UCSC")</f>
        <v>UCSC</v>
      </c>
      <c r="E3314" s="1" t="str">
        <f>HYPERLINK("http://www.ncbi.nlm.nih.gov/gene/?term=RBM38","NCBI")</f>
        <v>NCBI</v>
      </c>
      <c r="F3314">
        <v>0.02</v>
      </c>
      <c r="G3314">
        <v>0.1</v>
      </c>
      <c r="H3314" s="1" t="str">
        <f>HYPERLINK("http://www.weizmann.ac.il/complex/compphys/software/geview/data/figures/212430_at.png","Figure")</f>
        <v>Figure</v>
      </c>
      <c r="I3314">
        <v>1.63</v>
      </c>
      <c r="J3314">
        <v>1.7000000000000001E-2</v>
      </c>
      <c r="K3314">
        <v>1.18</v>
      </c>
      <c r="L3314">
        <v>0.46</v>
      </c>
      <c r="M3314">
        <v>0.72299999999999998</v>
      </c>
      <c r="N3314">
        <v>8.8999999999999996E-2</v>
      </c>
    </row>
    <row r="3315" spans="1:14" x14ac:dyDescent="0.25">
      <c r="A3315" t="s">
        <v>6079</v>
      </c>
      <c r="B3315" t="s">
        <v>5707</v>
      </c>
      <c r="C3315" s="1" t="str">
        <f>HYPERLINK("http://www.genecards.org/cgi-bin/carddisp.pl?gene=TRAM1","GeneCards")</f>
        <v>GeneCards</v>
      </c>
      <c r="D3315" s="1" t="str">
        <f>HYPERLINK("http://genome-euro.ucsc.edu/cgi-bin/hgTracks?position=201398_s_at","UCSC")</f>
        <v>UCSC</v>
      </c>
      <c r="E3315" s="1" t="str">
        <f>HYPERLINK("http://www.ncbi.nlm.nih.gov/gene/?term=TRAM1","NCBI")</f>
        <v>NCBI</v>
      </c>
      <c r="F3315">
        <v>0.02</v>
      </c>
      <c r="G3315">
        <v>0.1</v>
      </c>
      <c r="H3315" s="1" t="str">
        <f>HYPERLINK("http://www.weizmann.ac.il/complex/compphys/software/geview/data/figures/201398_s_at.png","Figure")</f>
        <v>Figure</v>
      </c>
      <c r="I3315">
        <v>0.58399999999999996</v>
      </c>
      <c r="J3315">
        <v>2.8000000000000001E-2</v>
      </c>
      <c r="K3315">
        <v>0.64900000000000002</v>
      </c>
      <c r="L3315">
        <v>4.2999999999999997E-2</v>
      </c>
      <c r="M3315">
        <v>1.1100000000000001</v>
      </c>
      <c r="N3315">
        <v>0.81</v>
      </c>
    </row>
    <row r="3316" spans="1:14" x14ac:dyDescent="0.25">
      <c r="A3316" t="s">
        <v>6080</v>
      </c>
      <c r="B3316" t="s">
        <v>6081</v>
      </c>
      <c r="C3316" s="1" t="str">
        <f>HYPERLINK("http://www.genecards.org/cgi-bin/carddisp.pl?gene=APRT","GeneCards")</f>
        <v>GeneCards</v>
      </c>
      <c r="D3316" s="1" t="str">
        <f>HYPERLINK("http://genome-euro.ucsc.edu/cgi-bin/hgTracks?position=203219_s_at","UCSC")</f>
        <v>UCSC</v>
      </c>
      <c r="E3316" s="1" t="str">
        <f>HYPERLINK("http://www.ncbi.nlm.nih.gov/gene/?term=APRT","NCBI")</f>
        <v>NCBI</v>
      </c>
      <c r="F3316">
        <v>0.02</v>
      </c>
      <c r="G3316">
        <v>0.1</v>
      </c>
      <c r="H3316" s="1" t="str">
        <f>HYPERLINK("http://www.weizmann.ac.il/complex/compphys/software/geview/data/figures/203219_s_at.png","Figure")</f>
        <v>Figure</v>
      </c>
      <c r="I3316">
        <v>0.84699999999999998</v>
      </c>
      <c r="J3316">
        <v>0.45</v>
      </c>
      <c r="K3316">
        <v>1.26</v>
      </c>
      <c r="L3316">
        <v>0.16</v>
      </c>
      <c r="M3316">
        <v>1.49</v>
      </c>
      <c r="N3316">
        <v>1.9E-2</v>
      </c>
    </row>
    <row r="3317" spans="1:14" x14ac:dyDescent="0.25">
      <c r="A3317" t="s">
        <v>6082</v>
      </c>
      <c r="B3317" t="s">
        <v>6083</v>
      </c>
      <c r="C3317" s="1" t="str">
        <f>HYPERLINK("http://www.genecards.org/cgi-bin/carddisp.pl?gene=GOLGA1","GeneCards")</f>
        <v>GeneCards</v>
      </c>
      <c r="D3317" s="1" t="str">
        <f>HYPERLINK("http://genome-euro.ucsc.edu/cgi-bin/hgTracks?position=203383_s_at","UCSC")</f>
        <v>UCSC</v>
      </c>
      <c r="E3317" s="1" t="str">
        <f>HYPERLINK("http://www.ncbi.nlm.nih.gov/gene/?term=GOLGA1","NCBI")</f>
        <v>NCBI</v>
      </c>
      <c r="F3317">
        <v>0.02</v>
      </c>
      <c r="G3317">
        <v>0.1</v>
      </c>
      <c r="H3317" s="1" t="str">
        <f>HYPERLINK("http://www.weizmann.ac.il/complex/compphys/software/geview/data/figures/203383_s_at.png","Figure")</f>
        <v>Figure</v>
      </c>
      <c r="I3317">
        <v>1.25</v>
      </c>
      <c r="J3317">
        <v>0.03</v>
      </c>
      <c r="K3317">
        <v>1.02</v>
      </c>
      <c r="L3317">
        <v>0.97</v>
      </c>
      <c r="M3317">
        <v>0.81399999999999995</v>
      </c>
      <c r="N3317">
        <v>0.03</v>
      </c>
    </row>
    <row r="3318" spans="1:14" x14ac:dyDescent="0.25">
      <c r="A3318" t="s">
        <v>6084</v>
      </c>
      <c r="B3318" t="s">
        <v>40</v>
      </c>
      <c r="C3318" s="1" t="str">
        <f>HYPERLINK("http://www.genecards.org/cgi-bin/carddisp.pl?gene=ITPR1","GeneCards")</f>
        <v>GeneCards</v>
      </c>
      <c r="D3318" s="1" t="str">
        <f>HYPERLINK("http://genome-euro.ucsc.edu/cgi-bin/hgTracks?position=216944_s_at","UCSC")</f>
        <v>UCSC</v>
      </c>
      <c r="E3318" s="1" t="str">
        <f>HYPERLINK("http://www.ncbi.nlm.nih.gov/gene/?term=ITPR1","NCBI")</f>
        <v>NCBI</v>
      </c>
      <c r="F3318">
        <v>0.02</v>
      </c>
      <c r="G3318">
        <v>0.1</v>
      </c>
      <c r="H3318" s="1" t="str">
        <f>HYPERLINK("http://www.weizmann.ac.il/complex/compphys/software/geview/data/figures/216944_s_at.png","Figure")</f>
        <v>Figure</v>
      </c>
      <c r="I3318">
        <v>0.94599999999999995</v>
      </c>
      <c r="J3318">
        <v>0.91</v>
      </c>
      <c r="K3318">
        <v>0.70699999999999996</v>
      </c>
      <c r="L3318">
        <v>2.5999999999999999E-2</v>
      </c>
      <c r="M3318">
        <v>0.747</v>
      </c>
      <c r="N3318">
        <v>8.2000000000000003E-2</v>
      </c>
    </row>
    <row r="3319" spans="1:14" x14ac:dyDescent="0.25">
      <c r="A3319" t="s">
        <v>6085</v>
      </c>
      <c r="B3319" t="s">
        <v>6086</v>
      </c>
      <c r="C3319" s="1" t="str">
        <f>HYPERLINK("http://www.genecards.org/cgi-bin/carddisp.pl?gene=TCL6","GeneCards")</f>
        <v>GeneCards</v>
      </c>
      <c r="D3319" s="1" t="str">
        <f>HYPERLINK("http://genome-euro.ucsc.edu/cgi-bin/hgTracks?position=221624_at","UCSC")</f>
        <v>UCSC</v>
      </c>
      <c r="E3319" s="1" t="str">
        <f>HYPERLINK("http://www.ncbi.nlm.nih.gov/gene/?term=TCL6","NCBI")</f>
        <v>NCBI</v>
      </c>
      <c r="F3319">
        <v>0.02</v>
      </c>
      <c r="G3319">
        <v>0.1</v>
      </c>
      <c r="H3319" s="1" t="str">
        <f>HYPERLINK("http://www.weizmann.ac.il/complex/compphys/software/geview/data/figures/221624_at.png","Figure")</f>
        <v>Figure</v>
      </c>
      <c r="I3319">
        <v>1.86</v>
      </c>
      <c r="J3319">
        <v>2.3E-2</v>
      </c>
      <c r="K3319">
        <v>1.1100000000000001</v>
      </c>
      <c r="L3319">
        <v>0.83</v>
      </c>
      <c r="M3319">
        <v>0.59499999999999997</v>
      </c>
      <c r="N3319">
        <v>4.2000000000000003E-2</v>
      </c>
    </row>
    <row r="3320" spans="1:14" x14ac:dyDescent="0.25">
      <c r="A3320" t="s">
        <v>6087</v>
      </c>
      <c r="B3320" t="s">
        <v>6088</v>
      </c>
      <c r="C3320" s="1" t="str">
        <f>HYPERLINK("http://www.genecards.org/cgi-bin/carddisp.pl?gene=GLA","GeneCards")</f>
        <v>GeneCards</v>
      </c>
      <c r="D3320" s="1" t="str">
        <f>HYPERLINK("http://genome-euro.ucsc.edu/cgi-bin/hgTracks?position=214430_at","UCSC")</f>
        <v>UCSC</v>
      </c>
      <c r="E3320" s="1" t="str">
        <f>HYPERLINK("http://www.ncbi.nlm.nih.gov/gene/?term=GLA","NCBI")</f>
        <v>NCBI</v>
      </c>
      <c r="F3320">
        <v>0.02</v>
      </c>
      <c r="G3320">
        <v>0.1</v>
      </c>
      <c r="H3320" s="1" t="str">
        <f>HYPERLINK("http://www.weizmann.ac.il/complex/compphys/software/geview/data/figures/214430_at.png","Figure")</f>
        <v>Figure</v>
      </c>
      <c r="I3320">
        <v>1.01</v>
      </c>
      <c r="J3320">
        <v>0.99</v>
      </c>
      <c r="K3320">
        <v>1.28</v>
      </c>
      <c r="L3320">
        <v>3.2000000000000001E-2</v>
      </c>
      <c r="M3320">
        <v>1.26</v>
      </c>
      <c r="N3320">
        <v>5.8999999999999997E-2</v>
      </c>
    </row>
    <row r="3321" spans="1:14" x14ac:dyDescent="0.25">
      <c r="A3321" t="s">
        <v>6089</v>
      </c>
      <c r="B3321" t="s">
        <v>1865</v>
      </c>
      <c r="C3321" s="1" t="str">
        <f>HYPERLINK("http://www.genecards.org/cgi-bin/carddisp.pl?gene=AK2","GeneCards")</f>
        <v>GeneCards</v>
      </c>
      <c r="D3321" s="1" t="str">
        <f>HYPERLINK("http://genome-euro.ucsc.edu/cgi-bin/hgTracks?position=212173_at","UCSC")</f>
        <v>UCSC</v>
      </c>
      <c r="E3321" s="1" t="str">
        <f>HYPERLINK("http://www.ncbi.nlm.nih.gov/gene/?term=AK2","NCBI")</f>
        <v>NCBI</v>
      </c>
      <c r="F3321">
        <v>0.02</v>
      </c>
      <c r="G3321">
        <v>0.1</v>
      </c>
      <c r="H3321" s="1" t="str">
        <f>HYPERLINK("http://www.weizmann.ac.il/complex/compphys/software/geview/data/figures/212173_at.png","Figure")</f>
        <v>Figure</v>
      </c>
      <c r="I3321">
        <v>0.68799999999999994</v>
      </c>
      <c r="J3321">
        <v>7.9000000000000001E-2</v>
      </c>
      <c r="K3321">
        <v>1.1000000000000001</v>
      </c>
      <c r="L3321">
        <v>0.76</v>
      </c>
      <c r="M3321">
        <v>1.6</v>
      </c>
      <c r="N3321">
        <v>1.7000000000000001E-2</v>
      </c>
    </row>
    <row r="3322" spans="1:14" x14ac:dyDescent="0.25">
      <c r="A3322" t="s">
        <v>6090</v>
      </c>
      <c r="B3322" t="s">
        <v>6091</v>
      </c>
      <c r="C3322" s="1" t="str">
        <f>HYPERLINK("http://www.genecards.org/cgi-bin/carddisp.pl?gene=ZNF287","GeneCards")</f>
        <v>GeneCards</v>
      </c>
      <c r="D3322" s="1" t="str">
        <f>HYPERLINK("http://genome-euro.ucsc.edu/cgi-bin/hgTracks?position=216710_x_at","UCSC")</f>
        <v>UCSC</v>
      </c>
      <c r="E3322" s="1" t="str">
        <f>HYPERLINK("http://www.ncbi.nlm.nih.gov/gene/?term=ZNF287","NCBI")</f>
        <v>NCBI</v>
      </c>
      <c r="F3322">
        <v>0.02</v>
      </c>
      <c r="G3322">
        <v>0.1</v>
      </c>
      <c r="H3322" s="1" t="str">
        <f>HYPERLINK("http://www.weizmann.ac.il/complex/compphys/software/geview/data/figures/216710_x_at.png","Figure")</f>
        <v>Figure</v>
      </c>
      <c r="I3322">
        <v>1.38</v>
      </c>
      <c r="J3322">
        <v>1.6E-2</v>
      </c>
      <c r="K3322">
        <v>1.1499999999999999</v>
      </c>
      <c r="L3322">
        <v>0.28999999999999998</v>
      </c>
      <c r="M3322">
        <v>0.82899999999999996</v>
      </c>
      <c r="N3322">
        <v>0.15</v>
      </c>
    </row>
    <row r="3323" spans="1:14" x14ac:dyDescent="0.25">
      <c r="A3323" t="s">
        <v>6092</v>
      </c>
      <c r="B3323" t="s">
        <v>3983</v>
      </c>
      <c r="C3323" s="1" t="str">
        <f>HYPERLINK("http://www.genecards.org/cgi-bin/carddisp.pl?gene=RANBP9","GeneCards")</f>
        <v>GeneCards</v>
      </c>
      <c r="D3323" s="1" t="str">
        <f>HYPERLINK("http://genome-euro.ucsc.edu/cgi-bin/hgTracks?position=202582_s_at","UCSC")</f>
        <v>UCSC</v>
      </c>
      <c r="E3323" s="1" t="str">
        <f>HYPERLINK("http://www.ncbi.nlm.nih.gov/gene/?term=RANBP9","NCBI")</f>
        <v>NCBI</v>
      </c>
      <c r="F3323">
        <v>0.02</v>
      </c>
      <c r="G3323">
        <v>0.1</v>
      </c>
      <c r="H3323" s="1" t="str">
        <f>HYPERLINK("http://www.weizmann.ac.il/complex/compphys/software/geview/data/figures/202582_s_at.png","Figure")</f>
        <v>Figure</v>
      </c>
      <c r="I3323">
        <v>0.52800000000000002</v>
      </c>
      <c r="J3323">
        <v>0.03</v>
      </c>
      <c r="K3323">
        <v>0.59099999999999997</v>
      </c>
      <c r="L3323">
        <v>4.1000000000000002E-2</v>
      </c>
      <c r="M3323">
        <v>1.1200000000000001</v>
      </c>
      <c r="N3323">
        <v>0.85</v>
      </c>
    </row>
    <row r="3324" spans="1:14" x14ac:dyDescent="0.25">
      <c r="A3324" t="s">
        <v>6093</v>
      </c>
      <c r="B3324" t="s">
        <v>6094</v>
      </c>
      <c r="C3324" s="1" t="str">
        <f>HYPERLINK("http://www.genecards.org/cgi-bin/carddisp.pl?gene=LRP3","GeneCards")</f>
        <v>GeneCards</v>
      </c>
      <c r="D3324" s="1" t="str">
        <f>HYPERLINK("http://genome-euro.ucsc.edu/cgi-bin/hgTracks?position=204381_at","UCSC")</f>
        <v>UCSC</v>
      </c>
      <c r="E3324" s="1" t="str">
        <f>HYPERLINK("http://www.ncbi.nlm.nih.gov/gene/?term=LRP3","NCBI")</f>
        <v>NCBI</v>
      </c>
      <c r="F3324">
        <v>0.02</v>
      </c>
      <c r="G3324">
        <v>0.1</v>
      </c>
      <c r="H3324" s="1" t="str">
        <f>HYPERLINK("http://www.weizmann.ac.il/complex/compphys/software/geview/data/figures/204381_at.png","Figure")</f>
        <v>Figure</v>
      </c>
      <c r="I3324">
        <v>1.31</v>
      </c>
      <c r="J3324">
        <v>2.7E-2</v>
      </c>
      <c r="K3324">
        <v>1.24</v>
      </c>
      <c r="L3324">
        <v>4.5999999999999999E-2</v>
      </c>
      <c r="M3324">
        <v>0.94499999999999995</v>
      </c>
      <c r="N3324">
        <v>0.79</v>
      </c>
    </row>
    <row r="3325" spans="1:14" x14ac:dyDescent="0.25">
      <c r="A3325" t="s">
        <v>6095</v>
      </c>
      <c r="B3325" t="s">
        <v>2968</v>
      </c>
      <c r="C3325" s="1" t="str">
        <f>HYPERLINK("http://www.genecards.org/cgi-bin/carddisp.pl?gene=METTL13","GeneCards")</f>
        <v>GeneCards</v>
      </c>
      <c r="D3325" s="1" t="str">
        <f>HYPERLINK("http://genome-euro.ucsc.edu/cgi-bin/hgTracks?position=206468_s_at","UCSC")</f>
        <v>UCSC</v>
      </c>
      <c r="E3325" s="1" t="str">
        <f>HYPERLINK("http://www.ncbi.nlm.nih.gov/gene/?term=METTL13","NCBI")</f>
        <v>NCBI</v>
      </c>
      <c r="F3325">
        <v>0.02</v>
      </c>
      <c r="G3325">
        <v>0.1</v>
      </c>
      <c r="H3325" s="1" t="str">
        <f>HYPERLINK("http://www.weizmann.ac.il/complex/compphys/software/geview/data/figures/206468_s_at.png","Figure")</f>
        <v>Figure</v>
      </c>
      <c r="I3325">
        <v>1.38</v>
      </c>
      <c r="J3325">
        <v>1.6E-2</v>
      </c>
      <c r="K3325">
        <v>1.1399999999999999</v>
      </c>
      <c r="L3325">
        <v>0.32</v>
      </c>
      <c r="M3325">
        <v>0.82599999999999996</v>
      </c>
      <c r="N3325">
        <v>0.13</v>
      </c>
    </row>
    <row r="3326" spans="1:14" x14ac:dyDescent="0.25">
      <c r="A3326" t="s">
        <v>6096</v>
      </c>
      <c r="B3326" t="s">
        <v>6097</v>
      </c>
      <c r="C3326" s="1" t="str">
        <f>HYPERLINK("http://www.genecards.org/cgi-bin/carddisp.pl?gene=YWHAB","GeneCards")</f>
        <v>GeneCards</v>
      </c>
      <c r="D3326" s="1" t="str">
        <f>HYPERLINK("http://genome-euro.ucsc.edu/cgi-bin/hgTracks?position=208743_s_at","UCSC")</f>
        <v>UCSC</v>
      </c>
      <c r="E3326" s="1" t="str">
        <f>HYPERLINK("http://www.ncbi.nlm.nih.gov/gene/?term=YWHAB","NCBI")</f>
        <v>NCBI</v>
      </c>
      <c r="F3326">
        <v>0.02</v>
      </c>
      <c r="G3326">
        <v>0.1</v>
      </c>
      <c r="H3326" s="1" t="str">
        <f>HYPERLINK("http://www.weizmann.ac.il/complex/compphys/software/geview/data/figures/208743_s_at.png","Figure")</f>
        <v>Figure</v>
      </c>
      <c r="I3326">
        <v>0.69099999999999995</v>
      </c>
      <c r="J3326">
        <v>0.35</v>
      </c>
      <c r="K3326">
        <v>1.49</v>
      </c>
      <c r="L3326">
        <v>0.21</v>
      </c>
      <c r="M3326">
        <v>2.16</v>
      </c>
      <c r="N3326">
        <v>1.7000000000000001E-2</v>
      </c>
    </row>
    <row r="3327" spans="1:14" x14ac:dyDescent="0.25">
      <c r="A3327" t="s">
        <v>6098</v>
      </c>
      <c r="B3327" t="s">
        <v>6099</v>
      </c>
      <c r="C3327" s="1" t="str">
        <f>HYPERLINK("http://www.genecards.org/cgi-bin/carddisp.pl?gene=C15orf24","GeneCards")</f>
        <v>GeneCards</v>
      </c>
      <c r="D3327" s="1" t="str">
        <f>HYPERLINK("http://genome-euro.ucsc.edu/cgi-bin/hgTracks?position=217898_at","UCSC")</f>
        <v>UCSC</v>
      </c>
      <c r="E3327" s="1" t="str">
        <f>HYPERLINK("http://www.ncbi.nlm.nih.gov/gene/?term=C15orf24","NCBI")</f>
        <v>NCBI</v>
      </c>
      <c r="F3327">
        <v>0.02</v>
      </c>
      <c r="G3327">
        <v>0.1</v>
      </c>
      <c r="H3327" s="1" t="str">
        <f>HYPERLINK("http://www.weizmann.ac.il/complex/compphys/software/geview/data/figures/217898_at.png","Figure")</f>
        <v>Figure</v>
      </c>
      <c r="I3327">
        <v>0.60599999999999998</v>
      </c>
      <c r="J3327">
        <v>6.3E-2</v>
      </c>
      <c r="K3327">
        <v>0.58399999999999996</v>
      </c>
      <c r="L3327">
        <v>2.1999999999999999E-2</v>
      </c>
      <c r="M3327">
        <v>0.96499999999999997</v>
      </c>
      <c r="N3327">
        <v>0.98</v>
      </c>
    </row>
    <row r="3328" spans="1:14" x14ac:dyDescent="0.25">
      <c r="A3328" t="s">
        <v>6100</v>
      </c>
      <c r="B3328" t="s">
        <v>5520</v>
      </c>
      <c r="C3328" s="1" t="str">
        <f>HYPERLINK("http://www.genecards.org/cgi-bin/carddisp.pl?gene=LRRC50","GeneCards")</f>
        <v>GeneCards</v>
      </c>
      <c r="D3328" s="1" t="str">
        <f>HYPERLINK("http://genome-euro.ucsc.edu/cgi-bin/hgTracks?position=222068_s_at","UCSC")</f>
        <v>UCSC</v>
      </c>
      <c r="E3328" s="1" t="str">
        <f>HYPERLINK("http://www.ncbi.nlm.nih.gov/gene/?term=LRRC50","NCBI")</f>
        <v>NCBI</v>
      </c>
      <c r="F3328">
        <v>0.02</v>
      </c>
      <c r="G3328">
        <v>0.1</v>
      </c>
      <c r="H3328" s="1" t="str">
        <f>HYPERLINK("http://www.weizmann.ac.il/complex/compphys/software/geview/data/figures/222068_s_at.png","Figure")</f>
        <v>Figure</v>
      </c>
      <c r="I3328">
        <v>1.25</v>
      </c>
      <c r="J3328">
        <v>1.6E-2</v>
      </c>
      <c r="K3328">
        <v>1.0900000000000001</v>
      </c>
      <c r="L3328">
        <v>0.31</v>
      </c>
      <c r="M3328">
        <v>0.877</v>
      </c>
      <c r="N3328">
        <v>0.13</v>
      </c>
    </row>
    <row r="3329" spans="1:14" x14ac:dyDescent="0.25">
      <c r="A3329" t="s">
        <v>6101</v>
      </c>
      <c r="B3329" t="s">
        <v>2555</v>
      </c>
      <c r="C3329" s="1" t="str">
        <f>HYPERLINK("http://www.genecards.org/cgi-bin/carddisp.pl?gene=ZRSR2","GeneCards")</f>
        <v>GeneCards</v>
      </c>
      <c r="D3329" s="1" t="str">
        <f>HYPERLINK("http://genome-euro.ucsc.edu/cgi-bin/hgTracks?position=213876_x_at","UCSC")</f>
        <v>UCSC</v>
      </c>
      <c r="E3329" s="1" t="str">
        <f>HYPERLINK("http://www.ncbi.nlm.nih.gov/gene/?term=ZRSR2","NCBI")</f>
        <v>NCBI</v>
      </c>
      <c r="F3329">
        <v>0.02</v>
      </c>
      <c r="G3329">
        <v>0.1</v>
      </c>
      <c r="H3329" s="1" t="str">
        <f>HYPERLINK("http://www.weizmann.ac.il/complex/compphys/software/geview/data/figures/213876_x_at.png","Figure")</f>
        <v>Figure</v>
      </c>
      <c r="I3329">
        <v>0.88400000000000001</v>
      </c>
      <c r="J3329">
        <v>0.23</v>
      </c>
      <c r="K3329">
        <v>1.1000000000000001</v>
      </c>
      <c r="L3329">
        <v>0.32</v>
      </c>
      <c r="M3329">
        <v>1.24</v>
      </c>
      <c r="N3329">
        <v>1.6E-2</v>
      </c>
    </row>
    <row r="3330" spans="1:14" x14ac:dyDescent="0.25">
      <c r="A3330" t="s">
        <v>6102</v>
      </c>
      <c r="B3330" t="s">
        <v>6103</v>
      </c>
      <c r="C3330" s="1" t="str">
        <f>HYPERLINK("http://www.genecards.org/cgi-bin/carddisp.pl?gene=C6orf108","GeneCards")</f>
        <v>GeneCards</v>
      </c>
      <c r="D3330" s="1" t="str">
        <f>HYPERLINK("http://genome-euro.ucsc.edu/cgi-bin/hgTracks?position=39817_s_at","UCSC")</f>
        <v>UCSC</v>
      </c>
      <c r="E3330" s="1" t="str">
        <f>HYPERLINK("http://www.ncbi.nlm.nih.gov/gene/?term=C6orf108","NCBI")</f>
        <v>NCBI</v>
      </c>
      <c r="F3330">
        <v>0.02</v>
      </c>
      <c r="G3330">
        <v>0.1</v>
      </c>
      <c r="H3330" s="1" t="str">
        <f>HYPERLINK("http://www.weizmann.ac.il/complex/compphys/software/geview/data/figures/39817_s_at.png","Figure")</f>
        <v>Figure</v>
      </c>
      <c r="I3330">
        <v>0.9</v>
      </c>
      <c r="J3330">
        <v>0.71</v>
      </c>
      <c r="K3330">
        <v>1.31</v>
      </c>
      <c r="L3330">
        <v>8.7999999999999995E-2</v>
      </c>
      <c r="M3330">
        <v>1.45</v>
      </c>
      <c r="N3330">
        <v>2.5000000000000001E-2</v>
      </c>
    </row>
    <row r="3331" spans="1:14" x14ac:dyDescent="0.25">
      <c r="A3331" t="s">
        <v>6104</v>
      </c>
      <c r="B3331" t="s">
        <v>1117</v>
      </c>
      <c r="C3331" s="1" t="str">
        <f>HYPERLINK("http://www.genecards.org/cgi-bin/carddisp.pl?gene=ACAA2","GeneCards")</f>
        <v>GeneCards</v>
      </c>
      <c r="D3331" s="1" t="str">
        <f>HYPERLINK("http://genome-euro.ucsc.edu/cgi-bin/hgTracks?position=202002_at","UCSC")</f>
        <v>UCSC</v>
      </c>
      <c r="E3331" s="1" t="str">
        <f>HYPERLINK("http://www.ncbi.nlm.nih.gov/gene/?term=ACAA2","NCBI")</f>
        <v>NCBI</v>
      </c>
      <c r="F3331">
        <v>0.02</v>
      </c>
      <c r="G3331">
        <v>0.1</v>
      </c>
      <c r="H3331" s="1" t="str">
        <f>HYPERLINK("http://www.weizmann.ac.il/complex/compphys/software/geview/data/figures/202002_at.png","Figure")</f>
        <v>Figure</v>
      </c>
      <c r="I3331">
        <v>1.54</v>
      </c>
      <c r="J3331">
        <v>1.7999999999999999E-2</v>
      </c>
      <c r="K3331">
        <v>1.3</v>
      </c>
      <c r="L3331">
        <v>0.11</v>
      </c>
      <c r="M3331">
        <v>0.84299999999999997</v>
      </c>
      <c r="N3331">
        <v>0.39</v>
      </c>
    </row>
    <row r="3332" spans="1:14" x14ac:dyDescent="0.25">
      <c r="A3332" t="s">
        <v>6105</v>
      </c>
      <c r="B3332" t="s">
        <v>6106</v>
      </c>
      <c r="C3332" s="1" t="str">
        <f>HYPERLINK("http://www.genecards.org/cgi-bin/carddisp.pl?gene=CHST2","GeneCards")</f>
        <v>GeneCards</v>
      </c>
      <c r="D3332" s="1" t="str">
        <f>HYPERLINK("http://genome-euro.ucsc.edu/cgi-bin/hgTracks?position=203921_at","UCSC")</f>
        <v>UCSC</v>
      </c>
      <c r="E3332" s="1" t="str">
        <f>HYPERLINK("http://www.ncbi.nlm.nih.gov/gene/?term=CHST2","NCBI")</f>
        <v>NCBI</v>
      </c>
      <c r="F3332">
        <v>0.02</v>
      </c>
      <c r="G3332">
        <v>0.1</v>
      </c>
      <c r="H3332" s="1" t="str">
        <f>HYPERLINK("http://www.weizmann.ac.il/complex/compphys/software/geview/data/figures/203921_at.png","Figure")</f>
        <v>Figure</v>
      </c>
      <c r="I3332">
        <v>1.01</v>
      </c>
      <c r="J3332">
        <v>1</v>
      </c>
      <c r="K3332">
        <v>0.443</v>
      </c>
      <c r="L3332">
        <v>3.7999999999999999E-2</v>
      </c>
      <c r="M3332">
        <v>0.439</v>
      </c>
      <c r="N3332">
        <v>0.05</v>
      </c>
    </row>
    <row r="3333" spans="1:14" x14ac:dyDescent="0.25">
      <c r="A3333" t="s">
        <v>6107</v>
      </c>
      <c r="B3333" t="s">
        <v>6108</v>
      </c>
      <c r="C3333" s="1" t="str">
        <f>HYPERLINK("http://www.genecards.org/cgi-bin/carddisp.pl?gene=KANK3","GeneCards")</f>
        <v>GeneCards</v>
      </c>
      <c r="D3333" s="1" t="str">
        <f>HYPERLINK("http://genome-euro.ucsc.edu/cgi-bin/hgTracks?position=213715_s_at","UCSC")</f>
        <v>UCSC</v>
      </c>
      <c r="E3333" s="1" t="str">
        <f>HYPERLINK("http://www.ncbi.nlm.nih.gov/gene/?term=KANK3","NCBI")</f>
        <v>NCBI</v>
      </c>
      <c r="F3333">
        <v>0.02</v>
      </c>
      <c r="G3333">
        <v>0.1</v>
      </c>
      <c r="H3333" s="1" t="str">
        <f>HYPERLINK("http://www.weizmann.ac.il/complex/compphys/software/geview/data/figures/213715_s_at.png","Figure")</f>
        <v>Figure</v>
      </c>
      <c r="I3333">
        <v>1.21</v>
      </c>
      <c r="J3333">
        <v>1.6E-2</v>
      </c>
      <c r="K3333">
        <v>1.1000000000000001</v>
      </c>
      <c r="L3333">
        <v>0.19</v>
      </c>
      <c r="M3333">
        <v>0.91</v>
      </c>
      <c r="N3333">
        <v>0.23</v>
      </c>
    </row>
    <row r="3334" spans="1:14" x14ac:dyDescent="0.25">
      <c r="A3334" t="s">
        <v>6109</v>
      </c>
      <c r="B3334" t="s">
        <v>6110</v>
      </c>
      <c r="C3334" s="1" t="str">
        <f>HYPERLINK("http://www.genecards.org/cgi-bin/carddisp.pl?gene=PSAP","GeneCards")</f>
        <v>GeneCards</v>
      </c>
      <c r="D3334" s="1" t="str">
        <f>HYPERLINK("http://genome-euro.ucsc.edu/cgi-bin/hgTracks?position=200871_s_at","UCSC")</f>
        <v>UCSC</v>
      </c>
      <c r="E3334" s="1" t="str">
        <f>HYPERLINK("http://www.ncbi.nlm.nih.gov/gene/?term=PSAP","NCBI")</f>
        <v>NCBI</v>
      </c>
      <c r="F3334">
        <v>0.02</v>
      </c>
      <c r="G3334">
        <v>0.1</v>
      </c>
      <c r="H3334" s="1" t="str">
        <f>HYPERLINK("http://www.weizmann.ac.il/complex/compphys/software/geview/data/figures/200871_s_at.png","Figure")</f>
        <v>Figure</v>
      </c>
      <c r="I3334">
        <v>0.54200000000000004</v>
      </c>
      <c r="J3334">
        <v>2.5000000000000001E-2</v>
      </c>
      <c r="K3334">
        <v>0.92200000000000004</v>
      </c>
      <c r="L3334">
        <v>0.89</v>
      </c>
      <c r="M3334">
        <v>1.7</v>
      </c>
      <c r="N3334">
        <v>3.6999999999999998E-2</v>
      </c>
    </row>
    <row r="3335" spans="1:14" x14ac:dyDescent="0.25">
      <c r="A3335" t="s">
        <v>6111</v>
      </c>
      <c r="B3335" t="s">
        <v>6112</v>
      </c>
      <c r="C3335" s="1" t="str">
        <f>HYPERLINK("http://www.genecards.org/cgi-bin/carddisp.pl?gene=AK3L1","GeneCards")</f>
        <v>GeneCards</v>
      </c>
      <c r="D3335" s="1" t="str">
        <f>HYPERLINK("http://genome-euro.ucsc.edu/cgi-bin/hgTracks?position=204348_s_at","UCSC")</f>
        <v>UCSC</v>
      </c>
      <c r="E3335" s="1" t="str">
        <f>HYPERLINK("http://www.ncbi.nlm.nih.gov/gene/?term=AK3L1","NCBI")</f>
        <v>NCBI</v>
      </c>
      <c r="F3335">
        <v>0.02</v>
      </c>
      <c r="G3335">
        <v>0.1</v>
      </c>
      <c r="H3335" s="1" t="str">
        <f>HYPERLINK("http://www.weizmann.ac.il/complex/compphys/software/geview/data/figures/204348_s_at.png","Figure")</f>
        <v>Figure</v>
      </c>
      <c r="I3335">
        <v>0.97399999999999998</v>
      </c>
      <c r="J3335">
        <v>0.92</v>
      </c>
      <c r="K3335">
        <v>0.84399999999999997</v>
      </c>
      <c r="L3335">
        <v>2.5999999999999999E-2</v>
      </c>
      <c r="M3335">
        <v>0.86599999999999999</v>
      </c>
      <c r="N3335">
        <v>8.1000000000000003E-2</v>
      </c>
    </row>
    <row r="3336" spans="1:14" x14ac:dyDescent="0.25">
      <c r="A3336" t="s">
        <v>6113</v>
      </c>
      <c r="B3336" t="s">
        <v>6114</v>
      </c>
      <c r="C3336" s="1" t="str">
        <f>HYPERLINK("http://www.genecards.org/cgi-bin/carddisp.pl?gene=HSPA13","GeneCards")</f>
        <v>GeneCards</v>
      </c>
      <c r="D3336" s="1" t="str">
        <f>HYPERLINK("http://genome-euro.ucsc.edu/cgi-bin/hgTracks?position=202558_s_at","UCSC")</f>
        <v>UCSC</v>
      </c>
      <c r="E3336" s="1" t="str">
        <f>HYPERLINK("http://www.ncbi.nlm.nih.gov/gene/?term=HSPA13","NCBI")</f>
        <v>NCBI</v>
      </c>
      <c r="F3336">
        <v>0.02</v>
      </c>
      <c r="G3336">
        <v>0.1</v>
      </c>
      <c r="H3336" s="1" t="str">
        <f>HYPERLINK("http://www.weizmann.ac.il/complex/compphys/software/geview/data/figures/202558_s_at.png","Figure")</f>
        <v>Figure</v>
      </c>
      <c r="I3336">
        <v>0.33600000000000002</v>
      </c>
      <c r="J3336">
        <v>4.2999999999999997E-2</v>
      </c>
      <c r="K3336">
        <v>0.35899999999999999</v>
      </c>
      <c r="L3336">
        <v>2.9000000000000001E-2</v>
      </c>
      <c r="M3336">
        <v>1.07</v>
      </c>
      <c r="N3336">
        <v>0.98</v>
      </c>
    </row>
    <row r="3337" spans="1:14" x14ac:dyDescent="0.25">
      <c r="A3337" t="s">
        <v>6115</v>
      </c>
      <c r="B3337" t="s">
        <v>6116</v>
      </c>
      <c r="C3337" s="1" t="str">
        <f>HYPERLINK("http://www.genecards.org/cgi-bin/carddisp.pl?gene=MMP9","GeneCards")</f>
        <v>GeneCards</v>
      </c>
      <c r="D3337" s="1" t="str">
        <f>HYPERLINK("http://genome-euro.ucsc.edu/cgi-bin/hgTracks?position=203936_s_at","UCSC")</f>
        <v>UCSC</v>
      </c>
      <c r="E3337" s="1" t="str">
        <f>HYPERLINK("http://www.ncbi.nlm.nih.gov/gene/?term=MMP9","NCBI")</f>
        <v>NCBI</v>
      </c>
      <c r="F3337">
        <v>0.02</v>
      </c>
      <c r="G3337">
        <v>0.1</v>
      </c>
      <c r="H3337" s="1" t="str">
        <f>HYPERLINK("http://www.weizmann.ac.il/complex/compphys/software/geview/data/figures/203936_s_at.png","Figure")</f>
        <v>Figure</v>
      </c>
      <c r="I3337">
        <v>1.1200000000000001</v>
      </c>
      <c r="J3337">
        <v>0.08</v>
      </c>
      <c r="K3337">
        <v>0.97</v>
      </c>
      <c r="L3337">
        <v>0.76</v>
      </c>
      <c r="M3337">
        <v>0.86299999999999999</v>
      </c>
      <c r="N3337">
        <v>1.7000000000000001E-2</v>
      </c>
    </row>
    <row r="3338" spans="1:14" x14ac:dyDescent="0.25">
      <c r="A3338" t="s">
        <v>6117</v>
      </c>
      <c r="B3338" t="s">
        <v>6118</v>
      </c>
      <c r="C3338" s="1" t="str">
        <f>HYPERLINK("http://www.genecards.org/cgi-bin/carddisp.pl?gene=LOC440895","GeneCards")</f>
        <v>GeneCards</v>
      </c>
      <c r="D3338" s="1" t="str">
        <f>HYPERLINK("http://genome-euro.ucsc.edu/cgi-bin/hgTracks?position=215247_at","UCSC")</f>
        <v>UCSC</v>
      </c>
      <c r="E3338" s="1" t="str">
        <f>HYPERLINK("http://www.ncbi.nlm.nih.gov/gene/?term=LOC440895","NCBI")</f>
        <v>NCBI</v>
      </c>
      <c r="F3338">
        <v>0.02</v>
      </c>
      <c r="G3338">
        <v>0.1</v>
      </c>
      <c r="H3338" s="1" t="str">
        <f>HYPERLINK("http://www.weizmann.ac.il/complex/compphys/software/geview/data/figures/215247_at.png","Figure")</f>
        <v>Figure</v>
      </c>
      <c r="I3338">
        <v>1.1100000000000001</v>
      </c>
      <c r="J3338">
        <v>1.9E-2</v>
      </c>
      <c r="K3338">
        <v>1.03</v>
      </c>
      <c r="L3338">
        <v>0.65</v>
      </c>
      <c r="M3338">
        <v>0.92200000000000004</v>
      </c>
      <c r="N3338">
        <v>0.06</v>
      </c>
    </row>
    <row r="3339" spans="1:14" x14ac:dyDescent="0.25">
      <c r="A3339" t="s">
        <v>6119</v>
      </c>
      <c r="B3339" t="s">
        <v>506</v>
      </c>
      <c r="C3339" s="1" t="str">
        <f>HYPERLINK("http://www.genecards.org/cgi-bin/carddisp.pl?gene=CREBL2","GeneCards")</f>
        <v>GeneCards</v>
      </c>
      <c r="D3339" s="1" t="str">
        <f>HYPERLINK("http://genome-euro.ucsc.edu/cgi-bin/hgTracks?position=201988_s_at","UCSC")</f>
        <v>UCSC</v>
      </c>
      <c r="E3339" s="1" t="str">
        <f>HYPERLINK("http://www.ncbi.nlm.nih.gov/gene/?term=CREBL2","NCBI")</f>
        <v>NCBI</v>
      </c>
      <c r="F3339">
        <v>0.02</v>
      </c>
      <c r="G3339">
        <v>0.1</v>
      </c>
      <c r="H3339" s="1" t="str">
        <f>HYPERLINK("http://www.weizmann.ac.il/complex/compphys/software/geview/data/figures/201988_s_at.png","Figure")</f>
        <v>Figure</v>
      </c>
      <c r="I3339">
        <v>0.87</v>
      </c>
      <c r="J3339">
        <v>0.14000000000000001</v>
      </c>
      <c r="K3339">
        <v>1.07</v>
      </c>
      <c r="L3339">
        <v>0.52</v>
      </c>
      <c r="M3339">
        <v>1.23</v>
      </c>
      <c r="N3339">
        <v>1.6E-2</v>
      </c>
    </row>
    <row r="3340" spans="1:14" x14ac:dyDescent="0.25">
      <c r="A3340" t="s">
        <v>6120</v>
      </c>
      <c r="B3340" t="s">
        <v>6121</v>
      </c>
      <c r="C3340" s="1" t="str">
        <f>HYPERLINK("http://www.genecards.org/cgi-bin/carddisp.pl?gene=C7orf28A /// C7orf28B","GeneCards")</f>
        <v>GeneCards</v>
      </c>
      <c r="D3340" s="1" t="str">
        <f>HYPERLINK("http://genome-euro.ucsc.edu/cgi-bin/hgTracks?position=208310_s_at","UCSC")</f>
        <v>UCSC</v>
      </c>
      <c r="E3340" s="1" t="str">
        <f>HYPERLINK("http://www.ncbi.nlm.nih.gov/gene/?term=C7orf28A /// C7orf28B","NCBI")</f>
        <v>NCBI</v>
      </c>
      <c r="F3340">
        <v>0.02</v>
      </c>
      <c r="G3340">
        <v>0.1</v>
      </c>
      <c r="H3340" s="1" t="str">
        <f>HYPERLINK("http://www.weizmann.ac.il/complex/compphys/software/geview/data/figures/208310_s_at.png","Figure")</f>
        <v>Figure</v>
      </c>
      <c r="I3340">
        <v>0.755</v>
      </c>
      <c r="J3340">
        <v>0.17</v>
      </c>
      <c r="K3340">
        <v>1.18</v>
      </c>
      <c r="L3340">
        <v>0.42</v>
      </c>
      <c r="M3340">
        <v>1.56</v>
      </c>
      <c r="N3340">
        <v>1.6E-2</v>
      </c>
    </row>
    <row r="3341" spans="1:14" x14ac:dyDescent="0.25">
      <c r="A3341" t="s">
        <v>6122</v>
      </c>
      <c r="B3341" t="s">
        <v>6123</v>
      </c>
      <c r="C3341" s="1" t="str">
        <f>HYPERLINK("http://www.genecards.org/cgi-bin/carddisp.pl?gene=FBXL7","GeneCards")</f>
        <v>GeneCards</v>
      </c>
      <c r="D3341" s="1" t="str">
        <f>HYPERLINK("http://genome-euro.ucsc.edu/cgi-bin/hgTracks?position=213249_at","UCSC")</f>
        <v>UCSC</v>
      </c>
      <c r="E3341" s="1" t="str">
        <f>HYPERLINK("http://www.ncbi.nlm.nih.gov/gene/?term=FBXL7","NCBI")</f>
        <v>NCBI</v>
      </c>
      <c r="F3341">
        <v>0.02</v>
      </c>
      <c r="G3341">
        <v>0.1</v>
      </c>
      <c r="H3341" s="1" t="str">
        <f>HYPERLINK("http://www.weizmann.ac.il/complex/compphys/software/geview/data/figures/213249_at.png","Figure")</f>
        <v>Figure</v>
      </c>
      <c r="I3341">
        <v>1.22</v>
      </c>
      <c r="J3341">
        <v>1.6E-2</v>
      </c>
      <c r="K3341">
        <v>1.0900000000000001</v>
      </c>
      <c r="L3341">
        <v>0.23</v>
      </c>
      <c r="M3341">
        <v>0.9</v>
      </c>
      <c r="N3341">
        <v>0.18</v>
      </c>
    </row>
    <row r="3342" spans="1:14" x14ac:dyDescent="0.25">
      <c r="A3342" t="s">
        <v>6124</v>
      </c>
      <c r="B3342" t="s">
        <v>6125</v>
      </c>
      <c r="C3342" s="1" t="str">
        <f>HYPERLINK("http://www.genecards.org/cgi-bin/carddisp.pl?gene=POLDIP2","GeneCards")</f>
        <v>GeneCards</v>
      </c>
      <c r="D3342" s="1" t="str">
        <f>HYPERLINK("http://genome-euro.ucsc.edu/cgi-bin/hgTracks?position=217806_s_at","UCSC")</f>
        <v>UCSC</v>
      </c>
      <c r="E3342" s="1" t="str">
        <f>HYPERLINK("http://www.ncbi.nlm.nih.gov/gene/?term=POLDIP2","NCBI")</f>
        <v>NCBI</v>
      </c>
      <c r="F3342">
        <v>0.02</v>
      </c>
      <c r="G3342">
        <v>0.1</v>
      </c>
      <c r="H3342" s="1" t="str">
        <f>HYPERLINK("http://www.weizmann.ac.il/complex/compphys/software/geview/data/figures/217806_s_at.png","Figure")</f>
        <v>Figure</v>
      </c>
      <c r="I3342">
        <v>0.80200000000000005</v>
      </c>
      <c r="J3342">
        <v>7.1999999999999995E-2</v>
      </c>
      <c r="K3342">
        <v>1.05</v>
      </c>
      <c r="L3342">
        <v>0.81</v>
      </c>
      <c r="M3342">
        <v>1.31</v>
      </c>
      <c r="N3342">
        <v>1.7999999999999999E-2</v>
      </c>
    </row>
    <row r="3343" spans="1:14" x14ac:dyDescent="0.25">
      <c r="A3343" t="s">
        <v>6126</v>
      </c>
      <c r="B3343" t="s">
        <v>1509</v>
      </c>
      <c r="C3343" s="1" t="str">
        <f>HYPERLINK("http://www.genecards.org/cgi-bin/carddisp.pl?gene=SMG7","GeneCards")</f>
        <v>GeneCards</v>
      </c>
      <c r="D3343" s="1" t="str">
        <f>HYPERLINK("http://genome-euro.ucsc.edu/cgi-bin/hgTracks?position=201794_s_at","UCSC")</f>
        <v>UCSC</v>
      </c>
      <c r="E3343" s="1" t="str">
        <f>HYPERLINK("http://www.ncbi.nlm.nih.gov/gene/?term=SMG7","NCBI")</f>
        <v>NCBI</v>
      </c>
      <c r="F3343">
        <v>2.1000000000000001E-2</v>
      </c>
      <c r="G3343">
        <v>0.1</v>
      </c>
      <c r="H3343" s="1" t="str">
        <f>HYPERLINK("http://www.weizmann.ac.il/complex/compphys/software/geview/data/figures/201794_s_at.png","Figure")</f>
        <v>Figure</v>
      </c>
      <c r="I3343">
        <v>1.51</v>
      </c>
      <c r="J3343">
        <v>1.7000000000000001E-2</v>
      </c>
      <c r="K3343">
        <v>1.25</v>
      </c>
      <c r="L3343">
        <v>0.15</v>
      </c>
      <c r="M3343">
        <v>0.82499999999999996</v>
      </c>
      <c r="N3343">
        <v>0.28000000000000003</v>
      </c>
    </row>
    <row r="3344" spans="1:14" x14ac:dyDescent="0.25">
      <c r="A3344" t="s">
        <v>6127</v>
      </c>
      <c r="B3344" t="s">
        <v>3670</v>
      </c>
      <c r="C3344" s="1" t="str">
        <f>HYPERLINK("http://www.genecards.org/cgi-bin/carddisp.pl?gene=UBXN1","GeneCards")</f>
        <v>GeneCards</v>
      </c>
      <c r="D3344" s="1" t="str">
        <f>HYPERLINK("http://genome-euro.ucsc.edu/cgi-bin/hgTracks?position=201871_s_at","UCSC")</f>
        <v>UCSC</v>
      </c>
      <c r="E3344" s="1" t="str">
        <f>HYPERLINK("http://www.ncbi.nlm.nih.gov/gene/?term=UBXN1","NCBI")</f>
        <v>NCBI</v>
      </c>
      <c r="F3344">
        <v>0.02</v>
      </c>
      <c r="G3344">
        <v>0.1</v>
      </c>
      <c r="H3344" s="1" t="str">
        <f>HYPERLINK("http://www.weizmann.ac.il/complex/compphys/software/geview/data/figures/201871_s_at.png","Figure")</f>
        <v>Figure</v>
      </c>
      <c r="I3344">
        <v>1.49</v>
      </c>
      <c r="J3344">
        <v>2.5000000000000001E-2</v>
      </c>
      <c r="K3344">
        <v>1.06</v>
      </c>
      <c r="L3344">
        <v>0.88</v>
      </c>
      <c r="M3344">
        <v>0.71199999999999997</v>
      </c>
      <c r="N3344">
        <v>3.9E-2</v>
      </c>
    </row>
    <row r="3345" spans="1:14" x14ac:dyDescent="0.25">
      <c r="A3345" t="s">
        <v>6128</v>
      </c>
      <c r="B3345" t="s">
        <v>6129</v>
      </c>
      <c r="C3345" s="1" t="str">
        <f>HYPERLINK("http://www.genecards.org/cgi-bin/carddisp.pl?gene=UBE2V2","GeneCards")</f>
        <v>GeneCards</v>
      </c>
      <c r="D3345" s="1" t="str">
        <f>HYPERLINK("http://genome-euro.ucsc.edu/cgi-bin/hgTracks?position=209096_at","UCSC")</f>
        <v>UCSC</v>
      </c>
      <c r="E3345" s="1" t="str">
        <f>HYPERLINK("http://www.ncbi.nlm.nih.gov/gene/?term=UBE2V2","NCBI")</f>
        <v>NCBI</v>
      </c>
      <c r="F3345">
        <v>2.1000000000000001E-2</v>
      </c>
      <c r="G3345">
        <v>0.1</v>
      </c>
      <c r="H3345" s="1" t="str">
        <f>HYPERLINK("http://www.weizmann.ac.il/complex/compphys/software/geview/data/figures/209096_at.png","Figure")</f>
        <v>Figure</v>
      </c>
      <c r="I3345">
        <v>0.77</v>
      </c>
      <c r="J3345">
        <v>0.14000000000000001</v>
      </c>
      <c r="K3345">
        <v>1.1299999999999999</v>
      </c>
      <c r="L3345">
        <v>0.51</v>
      </c>
      <c r="M3345">
        <v>1.47</v>
      </c>
      <c r="N3345">
        <v>1.6E-2</v>
      </c>
    </row>
    <row r="3346" spans="1:14" x14ac:dyDescent="0.25">
      <c r="A3346" t="s">
        <v>6130</v>
      </c>
      <c r="B3346" t="s">
        <v>6131</v>
      </c>
      <c r="C3346" s="1" t="str">
        <f>HYPERLINK("http://www.genecards.org/cgi-bin/carddisp.pl?gene=PYCRL","GeneCards")</f>
        <v>GeneCards</v>
      </c>
      <c r="D3346" s="1" t="str">
        <f>HYPERLINK("http://genome-euro.ucsc.edu/cgi-bin/hgTracks?position=218944_at","UCSC")</f>
        <v>UCSC</v>
      </c>
      <c r="E3346" s="1" t="str">
        <f>HYPERLINK("http://www.ncbi.nlm.nih.gov/gene/?term=PYCRL","NCBI")</f>
        <v>NCBI</v>
      </c>
      <c r="F3346">
        <v>0.02</v>
      </c>
      <c r="G3346">
        <v>0.1</v>
      </c>
      <c r="H3346" s="1" t="str">
        <f>HYPERLINK("http://www.weizmann.ac.il/complex/compphys/software/geview/data/figures/218944_at.png","Figure")</f>
        <v>Figure</v>
      </c>
      <c r="I3346">
        <v>1.1200000000000001</v>
      </c>
      <c r="J3346">
        <v>0.15</v>
      </c>
      <c r="K3346">
        <v>1.17</v>
      </c>
      <c r="L3346">
        <v>1.7000000000000001E-2</v>
      </c>
      <c r="M3346">
        <v>1.05</v>
      </c>
      <c r="N3346">
        <v>0.66</v>
      </c>
    </row>
    <row r="3347" spans="1:14" x14ac:dyDescent="0.25">
      <c r="A3347" t="s">
        <v>6132</v>
      </c>
      <c r="B3347" t="s">
        <v>3374</v>
      </c>
      <c r="C3347" s="1" t="str">
        <f>HYPERLINK("http://www.genecards.org/cgi-bin/carddisp.pl?gene=JARID2","GeneCards")</f>
        <v>GeneCards</v>
      </c>
      <c r="D3347" s="1" t="str">
        <f>HYPERLINK("http://genome-euro.ucsc.edu/cgi-bin/hgTracks?position=203297_s_at","UCSC")</f>
        <v>UCSC</v>
      </c>
      <c r="E3347" s="1" t="str">
        <f>HYPERLINK("http://www.ncbi.nlm.nih.gov/gene/?term=JARID2","NCBI")</f>
        <v>NCBI</v>
      </c>
      <c r="F3347">
        <v>2.1000000000000001E-2</v>
      </c>
      <c r="G3347">
        <v>0.1</v>
      </c>
      <c r="H3347" s="1" t="str">
        <f>HYPERLINK("http://www.weizmann.ac.il/complex/compphys/software/geview/data/figures/203297_s_at.png","Figure")</f>
        <v>Figure</v>
      </c>
      <c r="I3347">
        <v>1.8</v>
      </c>
      <c r="J3347">
        <v>1.7000000000000001E-2</v>
      </c>
      <c r="K3347">
        <v>1.38</v>
      </c>
      <c r="L3347">
        <v>0.15</v>
      </c>
      <c r="M3347">
        <v>0.76700000000000002</v>
      </c>
      <c r="N3347">
        <v>0.28999999999999998</v>
      </c>
    </row>
    <row r="3348" spans="1:14" x14ac:dyDescent="0.25">
      <c r="A3348" t="s">
        <v>6133</v>
      </c>
      <c r="B3348" t="s">
        <v>6134</v>
      </c>
      <c r="C3348" s="1" t="str">
        <f>HYPERLINK("http://www.genecards.org/cgi-bin/carddisp.pl?gene=MT3","GeneCards")</f>
        <v>GeneCards</v>
      </c>
      <c r="D3348" s="1" t="str">
        <f>HYPERLINK("http://genome-euro.ucsc.edu/cgi-bin/hgTracks?position=205970_at","UCSC")</f>
        <v>UCSC</v>
      </c>
      <c r="E3348" s="1" t="str">
        <f>HYPERLINK("http://www.ncbi.nlm.nih.gov/gene/?term=MT3","NCBI")</f>
        <v>NCBI</v>
      </c>
      <c r="F3348">
        <v>2.1000000000000001E-2</v>
      </c>
      <c r="G3348">
        <v>0.1</v>
      </c>
      <c r="H3348" s="1" t="str">
        <f>HYPERLINK("http://www.weizmann.ac.il/complex/compphys/software/geview/data/figures/205970_at.png","Figure")</f>
        <v>Figure</v>
      </c>
      <c r="I3348">
        <v>1.19</v>
      </c>
      <c r="J3348">
        <v>3.7999999999999999E-2</v>
      </c>
      <c r="K3348">
        <v>0.998</v>
      </c>
      <c r="L3348">
        <v>1</v>
      </c>
      <c r="M3348">
        <v>0.83699999999999997</v>
      </c>
      <c r="N3348">
        <v>2.5000000000000001E-2</v>
      </c>
    </row>
    <row r="3349" spans="1:14" x14ac:dyDescent="0.25">
      <c r="A3349" t="s">
        <v>6135</v>
      </c>
      <c r="B3349" t="s">
        <v>6136</v>
      </c>
      <c r="C3349" s="1" t="str">
        <f>HYPERLINK("http://www.genecards.org/cgi-bin/carddisp.pl?gene=CYB561","GeneCards")</f>
        <v>GeneCards</v>
      </c>
      <c r="D3349" s="1" t="str">
        <f>HYPERLINK("http://genome-euro.ucsc.edu/cgi-bin/hgTracks?position=210816_s_at","UCSC")</f>
        <v>UCSC</v>
      </c>
      <c r="E3349" s="1" t="str">
        <f>HYPERLINK("http://www.ncbi.nlm.nih.gov/gene/?term=CYB561","NCBI")</f>
        <v>NCBI</v>
      </c>
      <c r="F3349">
        <v>2.1000000000000001E-2</v>
      </c>
      <c r="G3349">
        <v>0.1</v>
      </c>
      <c r="H3349" s="1" t="str">
        <f>HYPERLINK("http://www.weizmann.ac.il/complex/compphys/software/geview/data/figures/210816_s_at.png","Figure")</f>
        <v>Figure</v>
      </c>
      <c r="I3349">
        <v>1.31</v>
      </c>
      <c r="J3349">
        <v>3.1E-2</v>
      </c>
      <c r="K3349">
        <v>1.26</v>
      </c>
      <c r="L3349">
        <v>0.04</v>
      </c>
      <c r="M3349">
        <v>0.95499999999999996</v>
      </c>
      <c r="N3349">
        <v>0.86</v>
      </c>
    </row>
    <row r="3350" spans="1:14" x14ac:dyDescent="0.25">
      <c r="A3350" t="s">
        <v>6137</v>
      </c>
      <c r="B3350" t="s">
        <v>6138</v>
      </c>
      <c r="C3350" s="1" t="str">
        <f>HYPERLINK("http://www.genecards.org/cgi-bin/carddisp.pl?gene=MYH11","GeneCards")</f>
        <v>GeneCards</v>
      </c>
      <c r="D3350" s="1" t="str">
        <f>HYPERLINK("http://genome-euro.ucsc.edu/cgi-bin/hgTracks?position=201497_x_at","UCSC")</f>
        <v>UCSC</v>
      </c>
      <c r="E3350" s="1" t="str">
        <f>HYPERLINK("http://www.ncbi.nlm.nih.gov/gene/?term=MYH11","NCBI")</f>
        <v>NCBI</v>
      </c>
      <c r="F3350">
        <v>2.1000000000000001E-2</v>
      </c>
      <c r="G3350">
        <v>0.1</v>
      </c>
      <c r="H3350" s="1" t="str">
        <f>HYPERLINK("http://www.weizmann.ac.il/complex/compphys/software/geview/data/figures/201497_x_at.png","Figure")</f>
        <v>Figure</v>
      </c>
      <c r="I3350">
        <v>1.44</v>
      </c>
      <c r="J3350">
        <v>2.3E-2</v>
      </c>
      <c r="K3350">
        <v>1.07</v>
      </c>
      <c r="L3350">
        <v>0.82</v>
      </c>
      <c r="M3350">
        <v>0.74099999999999999</v>
      </c>
      <c r="N3350">
        <v>4.3999999999999997E-2</v>
      </c>
    </row>
    <row r="3351" spans="1:14" x14ac:dyDescent="0.25">
      <c r="A3351" t="s">
        <v>6139</v>
      </c>
      <c r="B3351" t="s">
        <v>6140</v>
      </c>
      <c r="C3351" s="1" t="str">
        <f>HYPERLINK("http://www.genecards.org/cgi-bin/carddisp.pl?gene=MGAT3","GeneCards")</f>
        <v>GeneCards</v>
      </c>
      <c r="D3351" s="1" t="str">
        <f>HYPERLINK("http://genome-euro.ucsc.edu/cgi-bin/hgTracks?position=208058_s_at","UCSC")</f>
        <v>UCSC</v>
      </c>
      <c r="E3351" s="1" t="str">
        <f>HYPERLINK("http://www.ncbi.nlm.nih.gov/gene/?term=MGAT3","NCBI")</f>
        <v>NCBI</v>
      </c>
      <c r="F3351">
        <v>2.1000000000000001E-2</v>
      </c>
      <c r="G3351">
        <v>0.1</v>
      </c>
      <c r="H3351" s="1" t="str">
        <f>HYPERLINK("http://www.weizmann.ac.il/complex/compphys/software/geview/data/figures/208058_s_at.png","Figure")</f>
        <v>Figure</v>
      </c>
      <c r="I3351">
        <v>1.22</v>
      </c>
      <c r="J3351">
        <v>1.6E-2</v>
      </c>
      <c r="K3351">
        <v>1.0900000000000001</v>
      </c>
      <c r="L3351">
        <v>0.3</v>
      </c>
      <c r="M3351">
        <v>0.89100000000000001</v>
      </c>
      <c r="N3351">
        <v>0.14000000000000001</v>
      </c>
    </row>
    <row r="3352" spans="1:14" x14ac:dyDescent="0.25">
      <c r="A3352" t="s">
        <v>6141</v>
      </c>
      <c r="B3352" t="s">
        <v>6142</v>
      </c>
      <c r="C3352" s="1" t="str">
        <f>HYPERLINK("http://www.genecards.org/cgi-bin/carddisp.pl?gene=GBA3","GeneCards")</f>
        <v>GeneCards</v>
      </c>
      <c r="D3352" s="1" t="str">
        <f>HYPERLINK("http://genome-euro.ucsc.edu/cgi-bin/hgTracks?position=219954_s_at","UCSC")</f>
        <v>UCSC</v>
      </c>
      <c r="E3352" s="1" t="str">
        <f>HYPERLINK("http://www.ncbi.nlm.nih.gov/gene/?term=GBA3","NCBI")</f>
        <v>NCBI</v>
      </c>
      <c r="F3352">
        <v>2.1000000000000001E-2</v>
      </c>
      <c r="G3352">
        <v>0.1</v>
      </c>
      <c r="H3352" s="1" t="str">
        <f>HYPERLINK("http://www.weizmann.ac.il/complex/compphys/software/geview/data/figures/219954_s_at.png","Figure")</f>
        <v>Figure</v>
      </c>
      <c r="I3352">
        <v>1.07</v>
      </c>
      <c r="J3352">
        <v>0.89</v>
      </c>
      <c r="K3352">
        <v>0.72399999999999998</v>
      </c>
      <c r="L3352">
        <v>0.06</v>
      </c>
      <c r="M3352">
        <v>0.67700000000000005</v>
      </c>
      <c r="N3352">
        <v>3.3000000000000002E-2</v>
      </c>
    </row>
    <row r="3353" spans="1:14" x14ac:dyDescent="0.25">
      <c r="A3353" t="s">
        <v>6143</v>
      </c>
      <c r="B3353" t="s">
        <v>6144</v>
      </c>
      <c r="C3353" s="1" t="str">
        <f>HYPERLINK("http://www.genecards.org/cgi-bin/carddisp.pl?gene=UNKL","GeneCards")</f>
        <v>GeneCards</v>
      </c>
      <c r="D3353" s="1" t="str">
        <f>HYPERLINK("http://genome-euro.ucsc.edu/cgi-bin/hgTracks?position=221064_s_at","UCSC")</f>
        <v>UCSC</v>
      </c>
      <c r="E3353" s="1" t="str">
        <f>HYPERLINK("http://www.ncbi.nlm.nih.gov/gene/?term=UNKL","NCBI")</f>
        <v>NCBI</v>
      </c>
      <c r="F3353">
        <v>2.1000000000000001E-2</v>
      </c>
      <c r="G3353">
        <v>0.1</v>
      </c>
      <c r="H3353" s="1" t="str">
        <f>HYPERLINK("http://www.weizmann.ac.il/complex/compphys/software/geview/data/figures/221064_s_at.png","Figure")</f>
        <v>Figure</v>
      </c>
      <c r="I3353">
        <v>1.1200000000000001</v>
      </c>
      <c r="J3353">
        <v>0.19</v>
      </c>
      <c r="K3353">
        <v>0.93300000000000005</v>
      </c>
      <c r="L3353">
        <v>0.4</v>
      </c>
      <c r="M3353">
        <v>0.83399999999999996</v>
      </c>
      <c r="N3353">
        <v>1.6E-2</v>
      </c>
    </row>
    <row r="3354" spans="1:14" x14ac:dyDescent="0.25">
      <c r="A3354" t="s">
        <v>6145</v>
      </c>
      <c r="B3354" t="s">
        <v>6146</v>
      </c>
      <c r="C3354" s="1" t="str">
        <f>HYPERLINK("http://www.genecards.org/cgi-bin/carddisp.pl?gene=FUT6","GeneCards")</f>
        <v>GeneCards</v>
      </c>
      <c r="D3354" s="1" t="str">
        <f>HYPERLINK("http://genome-euro.ucsc.edu/cgi-bin/hgTracks?position=211885_x_at","UCSC")</f>
        <v>UCSC</v>
      </c>
      <c r="E3354" s="1" t="str">
        <f>HYPERLINK("http://www.ncbi.nlm.nih.gov/gene/?term=FUT6","NCBI")</f>
        <v>NCBI</v>
      </c>
      <c r="F3354">
        <v>2.1000000000000001E-2</v>
      </c>
      <c r="G3354">
        <v>0.1</v>
      </c>
      <c r="H3354" s="1" t="str">
        <f>HYPERLINK("http://www.weizmann.ac.il/complex/compphys/software/geview/data/figures/211885_x_at.png","Figure")</f>
        <v>Figure</v>
      </c>
      <c r="I3354">
        <v>1.06</v>
      </c>
      <c r="J3354">
        <v>5.1999999999999998E-2</v>
      </c>
      <c r="K3354">
        <v>1.06</v>
      </c>
      <c r="L3354">
        <v>2.5999999999999999E-2</v>
      </c>
      <c r="M3354">
        <v>1</v>
      </c>
      <c r="N3354">
        <v>1</v>
      </c>
    </row>
    <row r="3355" spans="1:14" x14ac:dyDescent="0.25">
      <c r="A3355" t="s">
        <v>6147</v>
      </c>
      <c r="B3355" t="s">
        <v>6148</v>
      </c>
      <c r="C3355" s="1" t="str">
        <f>HYPERLINK("http://www.genecards.org/cgi-bin/carddisp.pl?gene=GTPBP1","GeneCards")</f>
        <v>GeneCards</v>
      </c>
      <c r="D3355" s="1" t="str">
        <f>HYPERLINK("http://genome-euro.ucsc.edu/cgi-bin/hgTracks?position=219357_at","UCSC")</f>
        <v>UCSC</v>
      </c>
      <c r="E3355" s="1" t="str">
        <f>HYPERLINK("http://www.ncbi.nlm.nih.gov/gene/?term=GTPBP1","NCBI")</f>
        <v>NCBI</v>
      </c>
      <c r="F3355">
        <v>2.1000000000000001E-2</v>
      </c>
      <c r="G3355">
        <v>0.1</v>
      </c>
      <c r="H3355" s="1" t="str">
        <f>HYPERLINK("http://www.weizmann.ac.il/complex/compphys/software/geview/data/figures/219357_at.png","Figure")</f>
        <v>Figure</v>
      </c>
      <c r="I3355">
        <v>1.01</v>
      </c>
      <c r="J3355">
        <v>1</v>
      </c>
      <c r="K3355">
        <v>0.71099999999999997</v>
      </c>
      <c r="L3355">
        <v>3.9E-2</v>
      </c>
      <c r="M3355">
        <v>0.70699999999999996</v>
      </c>
      <c r="N3355">
        <v>0.05</v>
      </c>
    </row>
    <row r="3356" spans="1:14" x14ac:dyDescent="0.25">
      <c r="A3356" t="s">
        <v>6149</v>
      </c>
      <c r="B3356" t="s">
        <v>6150</v>
      </c>
      <c r="C3356" s="1" t="str">
        <f>HYPERLINK("http://www.genecards.org/cgi-bin/carddisp.pl?gene=REEP5","GeneCards")</f>
        <v>GeneCards</v>
      </c>
      <c r="D3356" s="1" t="str">
        <f>HYPERLINK("http://genome-euro.ucsc.edu/cgi-bin/hgTracks?position=208873_s_at","UCSC")</f>
        <v>UCSC</v>
      </c>
      <c r="E3356" s="1" t="str">
        <f>HYPERLINK("http://www.ncbi.nlm.nih.gov/gene/?term=REEP5","NCBI")</f>
        <v>NCBI</v>
      </c>
      <c r="F3356">
        <v>2.1000000000000001E-2</v>
      </c>
      <c r="G3356">
        <v>0.1</v>
      </c>
      <c r="H3356" s="1" t="str">
        <f>HYPERLINK("http://www.weizmann.ac.il/complex/compphys/software/geview/data/figures/208873_s_at.png","Figure")</f>
        <v>Figure</v>
      </c>
      <c r="I3356">
        <v>0.47599999999999998</v>
      </c>
      <c r="J3356">
        <v>1.7999999999999999E-2</v>
      </c>
      <c r="K3356">
        <v>0.64900000000000002</v>
      </c>
      <c r="L3356">
        <v>0.12</v>
      </c>
      <c r="M3356">
        <v>1.36</v>
      </c>
      <c r="N3356">
        <v>0.35</v>
      </c>
    </row>
    <row r="3357" spans="1:14" x14ac:dyDescent="0.25">
      <c r="A3357" t="s">
        <v>6151</v>
      </c>
      <c r="B3357" t="s">
        <v>6152</v>
      </c>
      <c r="C3357" s="1" t="str">
        <f>HYPERLINK("http://www.genecards.org/cgi-bin/carddisp.pl?gene=ZNF384","GeneCards")</f>
        <v>GeneCards</v>
      </c>
      <c r="D3357" s="1" t="str">
        <f>HYPERLINK("http://genome-euro.ucsc.edu/cgi-bin/hgTracks?position=212369_at","UCSC")</f>
        <v>UCSC</v>
      </c>
      <c r="E3357" s="1" t="str">
        <f>HYPERLINK("http://www.ncbi.nlm.nih.gov/gene/?term=ZNF384","NCBI")</f>
        <v>NCBI</v>
      </c>
      <c r="F3357">
        <v>2.1000000000000001E-2</v>
      </c>
      <c r="G3357">
        <v>0.1</v>
      </c>
      <c r="H3357" s="1" t="str">
        <f>HYPERLINK("http://www.weizmann.ac.il/complex/compphys/software/geview/data/figures/212369_at.png","Figure")</f>
        <v>Figure</v>
      </c>
      <c r="I3357">
        <v>1.5</v>
      </c>
      <c r="J3357">
        <v>1.9E-2</v>
      </c>
      <c r="K3357">
        <v>1.1100000000000001</v>
      </c>
      <c r="L3357">
        <v>0.64</v>
      </c>
      <c r="M3357">
        <v>0.73899999999999999</v>
      </c>
      <c r="N3357">
        <v>6.2E-2</v>
      </c>
    </row>
    <row r="3358" spans="1:14" x14ac:dyDescent="0.25">
      <c r="A3358" t="s">
        <v>6153</v>
      </c>
      <c r="B3358" t="s">
        <v>6154</v>
      </c>
      <c r="C3358" s="1" t="str">
        <f>HYPERLINK("http://www.genecards.org/cgi-bin/carddisp.pl?gene=SNAP23","GeneCards")</f>
        <v>GeneCards</v>
      </c>
      <c r="D3358" s="1" t="str">
        <f>HYPERLINK("http://genome-euro.ucsc.edu/cgi-bin/hgTracks?position=209130_at","UCSC")</f>
        <v>UCSC</v>
      </c>
      <c r="E3358" s="1" t="str">
        <f>HYPERLINK("http://www.ncbi.nlm.nih.gov/gene/?term=SNAP23","NCBI")</f>
        <v>NCBI</v>
      </c>
      <c r="F3358">
        <v>2.1000000000000001E-2</v>
      </c>
      <c r="G3358">
        <v>0.1</v>
      </c>
      <c r="H3358" s="1" t="str">
        <f>HYPERLINK("http://www.weizmann.ac.il/complex/compphys/software/geview/data/figures/209130_at.png","Figure")</f>
        <v>Figure</v>
      </c>
      <c r="I3358">
        <v>0.35199999999999998</v>
      </c>
      <c r="J3358">
        <v>1.7000000000000001E-2</v>
      </c>
      <c r="K3358">
        <v>0.55000000000000004</v>
      </c>
      <c r="L3358">
        <v>0.13</v>
      </c>
      <c r="M3358">
        <v>1.56</v>
      </c>
      <c r="N3358">
        <v>0.34</v>
      </c>
    </row>
    <row r="3359" spans="1:14" x14ac:dyDescent="0.25">
      <c r="A3359" t="s">
        <v>6155</v>
      </c>
      <c r="B3359" t="s">
        <v>6156</v>
      </c>
      <c r="C3359" s="1" t="str">
        <f>HYPERLINK("http://www.genecards.org/cgi-bin/carddisp.pl?gene=PCK2","GeneCards")</f>
        <v>GeneCards</v>
      </c>
      <c r="D3359" s="1" t="str">
        <f>HYPERLINK("http://genome-euro.ucsc.edu/cgi-bin/hgTracks?position=202847_at","UCSC")</f>
        <v>UCSC</v>
      </c>
      <c r="E3359" s="1" t="str">
        <f>HYPERLINK("http://www.ncbi.nlm.nih.gov/gene/?term=PCK2","NCBI")</f>
        <v>NCBI</v>
      </c>
      <c r="F3359">
        <v>2.1000000000000001E-2</v>
      </c>
      <c r="G3359">
        <v>0.1</v>
      </c>
      <c r="H3359" s="1" t="str">
        <f>HYPERLINK("http://www.weizmann.ac.il/complex/compphys/software/geview/data/figures/202847_at.png","Figure")</f>
        <v>Figure</v>
      </c>
      <c r="I3359">
        <v>0.69399999999999995</v>
      </c>
      <c r="J3359">
        <v>0.19</v>
      </c>
      <c r="K3359">
        <v>1.26</v>
      </c>
      <c r="L3359">
        <v>0.4</v>
      </c>
      <c r="M3359">
        <v>1.81</v>
      </c>
      <c r="N3359">
        <v>1.6E-2</v>
      </c>
    </row>
    <row r="3360" spans="1:14" x14ac:dyDescent="0.25">
      <c r="A3360" t="s">
        <v>6157</v>
      </c>
      <c r="B3360" t="s">
        <v>6158</v>
      </c>
      <c r="C3360" s="1" t="str">
        <f>HYPERLINK("http://www.genecards.org/cgi-bin/carddisp.pl?gene=SNRPD1","GeneCards")</f>
        <v>GeneCards</v>
      </c>
      <c r="D3360" s="1" t="str">
        <f>HYPERLINK("http://genome-euro.ucsc.edu/cgi-bin/hgTracks?position=202691_at","UCSC")</f>
        <v>UCSC</v>
      </c>
      <c r="E3360" s="1" t="str">
        <f>HYPERLINK("http://www.ncbi.nlm.nih.gov/gene/?term=SNRPD1","NCBI")</f>
        <v>NCBI</v>
      </c>
      <c r="F3360">
        <v>2.1000000000000001E-2</v>
      </c>
      <c r="G3360">
        <v>0.1</v>
      </c>
      <c r="H3360" s="1" t="str">
        <f>HYPERLINK("http://www.weizmann.ac.il/complex/compphys/software/geview/data/figures/202691_at.png","Figure")</f>
        <v>Figure</v>
      </c>
      <c r="I3360">
        <v>0.84799999999999998</v>
      </c>
      <c r="J3360">
        <v>0.54</v>
      </c>
      <c r="K3360">
        <v>1.32</v>
      </c>
      <c r="L3360">
        <v>0.13</v>
      </c>
      <c r="M3360">
        <v>1.56</v>
      </c>
      <c r="N3360">
        <v>2.1000000000000001E-2</v>
      </c>
    </row>
    <row r="3361" spans="1:14" x14ac:dyDescent="0.25">
      <c r="A3361" t="s">
        <v>6159</v>
      </c>
      <c r="B3361" t="s">
        <v>6160</v>
      </c>
      <c r="C3361" s="1" t="str">
        <f>HYPERLINK("http://www.genecards.org/cgi-bin/carddisp.pl?gene=ACADM","GeneCards")</f>
        <v>GeneCards</v>
      </c>
      <c r="D3361" s="1" t="str">
        <f>HYPERLINK("http://genome-euro.ucsc.edu/cgi-bin/hgTracks?position=202502_at","UCSC")</f>
        <v>UCSC</v>
      </c>
      <c r="E3361" s="1" t="str">
        <f>HYPERLINK("http://www.ncbi.nlm.nih.gov/gene/?term=ACADM","NCBI")</f>
        <v>NCBI</v>
      </c>
      <c r="F3361">
        <v>2.1000000000000001E-2</v>
      </c>
      <c r="G3361">
        <v>0.1</v>
      </c>
      <c r="H3361" s="1" t="str">
        <f>HYPERLINK("http://www.weizmann.ac.il/complex/compphys/software/geview/data/figures/202502_at.png","Figure")</f>
        <v>Figure</v>
      </c>
      <c r="I3361">
        <v>0.63700000000000001</v>
      </c>
      <c r="J3361">
        <v>0.4</v>
      </c>
      <c r="K3361">
        <v>1.73</v>
      </c>
      <c r="L3361">
        <v>0.19</v>
      </c>
      <c r="M3361">
        <v>2.71</v>
      </c>
      <c r="N3361">
        <v>1.7999999999999999E-2</v>
      </c>
    </row>
    <row r="3362" spans="1:14" x14ac:dyDescent="0.25">
      <c r="A3362" t="s">
        <v>6161</v>
      </c>
      <c r="B3362" t="s">
        <v>6162</v>
      </c>
      <c r="C3362" s="1" t="str">
        <f>HYPERLINK("http://www.genecards.org/cgi-bin/carddisp.pl?gene=IGL@ /// IGLV2-18 /// IGLV3-19","GeneCards")</f>
        <v>GeneCards</v>
      </c>
      <c r="D3362" s="1" t="str">
        <f>HYPERLINK("http://genome-euro.ucsc.edu/cgi-bin/hgTracks?position=216846_at","UCSC")</f>
        <v>UCSC</v>
      </c>
      <c r="E3362" s="1" t="str">
        <f>HYPERLINK("http://www.ncbi.nlm.nih.gov/gene/?term=IGL@ /// IGLV2-18 /// IGLV3-19","NCBI")</f>
        <v>NCBI</v>
      </c>
      <c r="F3362">
        <v>2.1000000000000001E-2</v>
      </c>
      <c r="G3362">
        <v>0.1</v>
      </c>
      <c r="H3362" s="1" t="str">
        <f>HYPERLINK("http://www.weizmann.ac.il/complex/compphys/software/geview/data/figures/216846_at.png","Figure")</f>
        <v>Figure</v>
      </c>
      <c r="I3362">
        <v>1.33</v>
      </c>
      <c r="J3362">
        <v>1.6E-2</v>
      </c>
      <c r="K3362">
        <v>1.1100000000000001</v>
      </c>
      <c r="L3362">
        <v>0.36</v>
      </c>
      <c r="M3362">
        <v>0.83799999999999997</v>
      </c>
      <c r="N3362">
        <v>0.12</v>
      </c>
    </row>
    <row r="3363" spans="1:14" x14ac:dyDescent="0.25">
      <c r="A3363" t="s">
        <v>6163</v>
      </c>
      <c r="B3363" t="s">
        <v>6164</v>
      </c>
      <c r="C3363" s="1" t="str">
        <f>HYPERLINK("http://www.genecards.org/cgi-bin/carddisp.pl?gene=PAK2","GeneCards")</f>
        <v>GeneCards</v>
      </c>
      <c r="D3363" s="1" t="str">
        <f>HYPERLINK("http://genome-euro.ucsc.edu/cgi-bin/hgTracks?position=208875_s_at","UCSC")</f>
        <v>UCSC</v>
      </c>
      <c r="E3363" s="1" t="str">
        <f>HYPERLINK("http://www.ncbi.nlm.nih.gov/gene/?term=PAK2","NCBI")</f>
        <v>NCBI</v>
      </c>
      <c r="F3363">
        <v>2.1000000000000001E-2</v>
      </c>
      <c r="G3363">
        <v>0.1</v>
      </c>
      <c r="H3363" s="1" t="str">
        <f>HYPERLINK("http://www.weizmann.ac.il/complex/compphys/software/geview/data/figures/208875_s_at.png","Figure")</f>
        <v>Figure</v>
      </c>
      <c r="I3363">
        <v>1.0900000000000001</v>
      </c>
      <c r="J3363">
        <v>0.95</v>
      </c>
      <c r="K3363">
        <v>2.0299999999999998</v>
      </c>
      <c r="L3363">
        <v>2.9000000000000001E-2</v>
      </c>
      <c r="M3363">
        <v>1.87</v>
      </c>
      <c r="N3363">
        <v>7.2999999999999995E-2</v>
      </c>
    </row>
    <row r="3364" spans="1:14" x14ac:dyDescent="0.25">
      <c r="A3364" t="s">
        <v>6165</v>
      </c>
      <c r="B3364" t="s">
        <v>6166</v>
      </c>
      <c r="C3364" s="1" t="str">
        <f>HYPERLINK("http://www.genecards.org/cgi-bin/carddisp.pl?gene=AMN","GeneCards")</f>
        <v>GeneCards</v>
      </c>
      <c r="D3364" s="1" t="str">
        <f>HYPERLINK("http://genome-euro.ucsc.edu/cgi-bin/hgTracks?position=220989_s_at","UCSC")</f>
        <v>UCSC</v>
      </c>
      <c r="E3364" s="1" t="str">
        <f>HYPERLINK("http://www.ncbi.nlm.nih.gov/gene/?term=AMN","NCBI")</f>
        <v>NCBI</v>
      </c>
      <c r="F3364">
        <v>2.1000000000000001E-2</v>
      </c>
      <c r="G3364">
        <v>0.1</v>
      </c>
      <c r="H3364" s="1" t="str">
        <f>HYPERLINK("http://www.weizmann.ac.il/complex/compphys/software/geview/data/figures/220989_s_at.png","Figure")</f>
        <v>Figure</v>
      </c>
      <c r="I3364">
        <v>1.55</v>
      </c>
      <c r="J3364">
        <v>1.9E-2</v>
      </c>
      <c r="K3364">
        <v>1.31</v>
      </c>
      <c r="L3364">
        <v>9.7000000000000003E-2</v>
      </c>
      <c r="M3364">
        <v>0.84899999999999998</v>
      </c>
      <c r="N3364">
        <v>0.43</v>
      </c>
    </row>
    <row r="3365" spans="1:14" x14ac:dyDescent="0.25">
      <c r="A3365" t="s">
        <v>6167</v>
      </c>
      <c r="B3365" t="s">
        <v>3335</v>
      </c>
      <c r="C3365" s="1" t="str">
        <f>HYPERLINK("http://www.genecards.org/cgi-bin/carddisp.pl?gene=KCNJ5","GeneCards")</f>
        <v>GeneCards</v>
      </c>
      <c r="D3365" s="1" t="str">
        <f>HYPERLINK("http://genome-euro.ucsc.edu/cgi-bin/hgTracks?position=208397_x_at","UCSC")</f>
        <v>UCSC</v>
      </c>
      <c r="E3365" s="1" t="str">
        <f>HYPERLINK("http://www.ncbi.nlm.nih.gov/gene/?term=KCNJ5","NCBI")</f>
        <v>NCBI</v>
      </c>
      <c r="F3365">
        <v>2.1000000000000001E-2</v>
      </c>
      <c r="G3365">
        <v>0.11</v>
      </c>
      <c r="H3365" s="1" t="str">
        <f>HYPERLINK("http://www.weizmann.ac.il/complex/compphys/software/geview/data/figures/208397_x_at.png","Figure")</f>
        <v>Figure</v>
      </c>
      <c r="I3365">
        <v>1.26</v>
      </c>
      <c r="J3365">
        <v>2.5999999999999999E-2</v>
      </c>
      <c r="K3365">
        <v>1.03</v>
      </c>
      <c r="L3365">
        <v>0.9</v>
      </c>
      <c r="M3365">
        <v>0.81699999999999995</v>
      </c>
      <c r="N3365">
        <v>3.6999999999999998E-2</v>
      </c>
    </row>
    <row r="3366" spans="1:14" x14ac:dyDescent="0.25">
      <c r="A3366" t="s">
        <v>6168</v>
      </c>
      <c r="B3366" t="s">
        <v>305</v>
      </c>
      <c r="C3366" s="1" t="str">
        <f>HYPERLINK("http://www.genecards.org/cgi-bin/carddisp.pl?gene=IPO7","GeneCards")</f>
        <v>GeneCards</v>
      </c>
      <c r="D3366" s="1" t="str">
        <f>HYPERLINK("http://genome-euro.ucsc.edu/cgi-bin/hgTracks?position=200992_at","UCSC")</f>
        <v>UCSC</v>
      </c>
      <c r="E3366" s="1" t="str">
        <f>HYPERLINK("http://www.ncbi.nlm.nih.gov/gene/?term=IPO7","NCBI")</f>
        <v>NCBI</v>
      </c>
      <c r="F3366">
        <v>2.1000000000000001E-2</v>
      </c>
      <c r="G3366">
        <v>0.11</v>
      </c>
      <c r="H3366" s="1" t="str">
        <f>HYPERLINK("http://www.weizmann.ac.il/complex/compphys/software/geview/data/figures/200992_at.png","Figure")</f>
        <v>Figure</v>
      </c>
      <c r="I3366">
        <v>0.79</v>
      </c>
      <c r="J3366">
        <v>0.25</v>
      </c>
      <c r="K3366">
        <v>1.21</v>
      </c>
      <c r="L3366">
        <v>0.3</v>
      </c>
      <c r="M3366">
        <v>1.53</v>
      </c>
      <c r="N3366">
        <v>1.7000000000000001E-2</v>
      </c>
    </row>
    <row r="3367" spans="1:14" x14ac:dyDescent="0.25">
      <c r="A3367" t="s">
        <v>6169</v>
      </c>
      <c r="B3367" t="s">
        <v>6170</v>
      </c>
      <c r="C3367" s="1" t="str">
        <f>HYPERLINK("http://www.genecards.org/cgi-bin/carddisp.pl?gene=GMEB2","GeneCards")</f>
        <v>GeneCards</v>
      </c>
      <c r="D3367" s="1" t="str">
        <f>HYPERLINK("http://genome-euro.ucsc.edu/cgi-bin/hgTracks?position=44146_at","UCSC")</f>
        <v>UCSC</v>
      </c>
      <c r="E3367" s="1" t="str">
        <f>HYPERLINK("http://www.ncbi.nlm.nih.gov/gene/?term=GMEB2","NCBI")</f>
        <v>NCBI</v>
      </c>
      <c r="F3367">
        <v>2.1000000000000001E-2</v>
      </c>
      <c r="G3367">
        <v>0.11</v>
      </c>
      <c r="H3367" s="1" t="str">
        <f>HYPERLINK("http://www.weizmann.ac.il/complex/compphys/software/geview/data/figures/44146_at.png","Figure")</f>
        <v>Figure</v>
      </c>
      <c r="I3367">
        <v>1.55</v>
      </c>
      <c r="J3367">
        <v>2.7E-2</v>
      </c>
      <c r="K3367">
        <v>1.05</v>
      </c>
      <c r="L3367">
        <v>0.93</v>
      </c>
      <c r="M3367">
        <v>0.67500000000000004</v>
      </c>
      <c r="N3367">
        <v>3.5000000000000003E-2</v>
      </c>
    </row>
    <row r="3368" spans="1:14" x14ac:dyDescent="0.25">
      <c r="A3368" t="s">
        <v>6171</v>
      </c>
      <c r="B3368" t="s">
        <v>6172</v>
      </c>
      <c r="C3368" s="1" t="str">
        <f>HYPERLINK("http://www.genecards.org/cgi-bin/carddisp.pl?gene=HEATR6","GeneCards")</f>
        <v>GeneCards</v>
      </c>
      <c r="D3368" s="1" t="str">
        <f>HYPERLINK("http://genome-euro.ucsc.edu/cgi-bin/hgTracks?position=65493_at","UCSC")</f>
        <v>UCSC</v>
      </c>
      <c r="E3368" s="1" t="str">
        <f>HYPERLINK("http://www.ncbi.nlm.nih.gov/gene/?term=HEATR6","NCBI")</f>
        <v>NCBI</v>
      </c>
      <c r="F3368">
        <v>2.1000000000000001E-2</v>
      </c>
      <c r="G3368">
        <v>0.11</v>
      </c>
      <c r="H3368" s="1" t="str">
        <f>HYPERLINK("http://www.weizmann.ac.il/complex/compphys/software/geview/data/figures/65493_at.png","Figure")</f>
        <v>Figure</v>
      </c>
      <c r="I3368">
        <v>0.747</v>
      </c>
      <c r="J3368">
        <v>3.2000000000000001E-2</v>
      </c>
      <c r="K3368">
        <v>0.98399999999999999</v>
      </c>
      <c r="L3368">
        <v>0.98</v>
      </c>
      <c r="M3368">
        <v>1.32</v>
      </c>
      <c r="N3368">
        <v>0.03</v>
      </c>
    </row>
    <row r="3369" spans="1:14" x14ac:dyDescent="0.25">
      <c r="A3369" t="s">
        <v>6173</v>
      </c>
      <c r="B3369" t="s">
        <v>6174</v>
      </c>
      <c r="C3369" s="1" t="str">
        <f>HYPERLINK("http://www.genecards.org/cgi-bin/carddisp.pl?gene=GOLGB1","GeneCards")</f>
        <v>GeneCards</v>
      </c>
      <c r="D3369" s="1" t="str">
        <f>HYPERLINK("http://genome-euro.ucsc.edu/cgi-bin/hgTracks?position=201057_s_at","UCSC")</f>
        <v>UCSC</v>
      </c>
      <c r="E3369" s="1" t="str">
        <f>HYPERLINK("http://www.ncbi.nlm.nih.gov/gene/?term=GOLGB1","NCBI")</f>
        <v>NCBI</v>
      </c>
      <c r="F3369">
        <v>2.1000000000000001E-2</v>
      </c>
      <c r="G3369">
        <v>0.11</v>
      </c>
      <c r="H3369" s="1" t="str">
        <f>HYPERLINK("http://www.weizmann.ac.il/complex/compphys/software/geview/data/figures/201057_s_at.png","Figure")</f>
        <v>Figure</v>
      </c>
      <c r="I3369">
        <v>1.46</v>
      </c>
      <c r="J3369">
        <v>4.4999999999999998E-2</v>
      </c>
      <c r="K3369">
        <v>0.97699999999999998</v>
      </c>
      <c r="L3369">
        <v>0.98</v>
      </c>
      <c r="M3369">
        <v>0.66900000000000004</v>
      </c>
      <c r="N3369">
        <v>2.3E-2</v>
      </c>
    </row>
    <row r="3370" spans="1:14" x14ac:dyDescent="0.25">
      <c r="A3370" t="s">
        <v>6175</v>
      </c>
      <c r="B3370" t="s">
        <v>6176</v>
      </c>
      <c r="C3370" s="1" t="str">
        <f>HYPERLINK("http://www.genecards.org/cgi-bin/carddisp.pl?gene=TESK2","GeneCards")</f>
        <v>GeneCards</v>
      </c>
      <c r="D3370" s="1" t="str">
        <f>HYPERLINK("http://genome-euro.ucsc.edu/cgi-bin/hgTracks?position=205486_at","UCSC")</f>
        <v>UCSC</v>
      </c>
      <c r="E3370" s="1" t="str">
        <f>HYPERLINK("http://www.ncbi.nlm.nih.gov/gene/?term=TESK2","NCBI")</f>
        <v>NCBI</v>
      </c>
      <c r="F3370">
        <v>2.1000000000000001E-2</v>
      </c>
      <c r="G3370">
        <v>0.11</v>
      </c>
      <c r="H3370" s="1" t="str">
        <f>HYPERLINK("http://www.weizmann.ac.il/complex/compphys/software/geview/data/figures/205486_at.png","Figure")</f>
        <v>Figure</v>
      </c>
      <c r="I3370">
        <v>0.77900000000000003</v>
      </c>
      <c r="J3370">
        <v>3.3000000000000002E-2</v>
      </c>
      <c r="K3370">
        <v>0.81</v>
      </c>
      <c r="L3370">
        <v>3.9E-2</v>
      </c>
      <c r="M3370">
        <v>1.04</v>
      </c>
      <c r="N3370">
        <v>0.88</v>
      </c>
    </row>
    <row r="3371" spans="1:14" x14ac:dyDescent="0.25">
      <c r="A3371" t="s">
        <v>6177</v>
      </c>
      <c r="B3371" t="s">
        <v>6178</v>
      </c>
      <c r="C3371" s="1" t="str">
        <f>HYPERLINK("http://www.genecards.org/cgi-bin/carddisp.pl?gene=C14orf113","GeneCards")</f>
        <v>GeneCards</v>
      </c>
      <c r="D3371" s="1" t="str">
        <f>HYPERLINK("http://genome-euro.ucsc.edu/cgi-bin/hgTracks?position=221101_at","UCSC")</f>
        <v>UCSC</v>
      </c>
      <c r="E3371" s="1" t="str">
        <f>HYPERLINK("http://www.ncbi.nlm.nih.gov/gene/?term=C14orf113","NCBI")</f>
        <v>NCBI</v>
      </c>
      <c r="F3371">
        <v>2.1000000000000001E-2</v>
      </c>
      <c r="G3371">
        <v>0.11</v>
      </c>
      <c r="H3371" s="1" t="str">
        <f>HYPERLINK("http://www.weizmann.ac.il/complex/compphys/software/geview/data/figures/221101_at.png","Figure")</f>
        <v>Figure</v>
      </c>
      <c r="I3371">
        <v>1.1499999999999999</v>
      </c>
      <c r="J3371">
        <v>0.35</v>
      </c>
      <c r="K3371">
        <v>1.32</v>
      </c>
      <c r="L3371">
        <v>1.6E-2</v>
      </c>
      <c r="M3371">
        <v>1.1399999999999999</v>
      </c>
      <c r="N3371">
        <v>0.33</v>
      </c>
    </row>
    <row r="3372" spans="1:14" x14ac:dyDescent="0.25">
      <c r="A3372" t="s">
        <v>6179</v>
      </c>
      <c r="B3372" t="s">
        <v>6180</v>
      </c>
      <c r="C3372" s="1" t="str">
        <f>HYPERLINK("http://www.genecards.org/cgi-bin/carddisp.pl?gene=SYMPK","GeneCards")</f>
        <v>GeneCards</v>
      </c>
      <c r="D3372" s="1" t="str">
        <f>HYPERLINK("http://genome-euro.ucsc.edu/cgi-bin/hgTracks?position=202339_at","UCSC")</f>
        <v>UCSC</v>
      </c>
      <c r="E3372" s="1" t="str">
        <f>HYPERLINK("http://www.ncbi.nlm.nih.gov/gene/?term=SYMPK","NCBI")</f>
        <v>NCBI</v>
      </c>
      <c r="F3372">
        <v>2.1000000000000001E-2</v>
      </c>
      <c r="G3372">
        <v>0.11</v>
      </c>
      <c r="H3372" s="1" t="str">
        <f>HYPERLINK("http://www.weizmann.ac.il/complex/compphys/software/geview/data/figures/202339_at.png","Figure")</f>
        <v>Figure</v>
      </c>
      <c r="I3372">
        <v>1.36</v>
      </c>
      <c r="J3372">
        <v>1.6E-2</v>
      </c>
      <c r="K3372">
        <v>1.1499999999999999</v>
      </c>
      <c r="L3372">
        <v>0.26</v>
      </c>
      <c r="M3372">
        <v>0.84199999999999997</v>
      </c>
      <c r="N3372">
        <v>0.17</v>
      </c>
    </row>
    <row r="3373" spans="1:14" x14ac:dyDescent="0.25">
      <c r="A3373" t="s">
        <v>6181</v>
      </c>
      <c r="B3373" t="s">
        <v>1159</v>
      </c>
      <c r="C3373" s="1" t="str">
        <f>HYPERLINK("http://www.genecards.org/cgi-bin/carddisp.pl?gene=MME","GeneCards")</f>
        <v>GeneCards</v>
      </c>
      <c r="D3373" s="1" t="str">
        <f>HYPERLINK("http://genome-euro.ucsc.edu/cgi-bin/hgTracks?position=203435_s_at","UCSC")</f>
        <v>UCSC</v>
      </c>
      <c r="E3373" s="1" t="str">
        <f>HYPERLINK("http://www.ncbi.nlm.nih.gov/gene/?term=MME","NCBI")</f>
        <v>NCBI</v>
      </c>
      <c r="F3373">
        <v>2.1000000000000001E-2</v>
      </c>
      <c r="G3373">
        <v>0.11</v>
      </c>
      <c r="H3373" s="1" t="str">
        <f>HYPERLINK("http://www.weizmann.ac.il/complex/compphys/software/geview/data/figures/203435_s_at.png","Figure")</f>
        <v>Figure</v>
      </c>
      <c r="I3373">
        <v>0.46</v>
      </c>
      <c r="J3373">
        <v>2.5999999999999999E-2</v>
      </c>
      <c r="K3373">
        <v>0.55200000000000005</v>
      </c>
      <c r="L3373">
        <v>5.1999999999999998E-2</v>
      </c>
      <c r="M3373">
        <v>1.2</v>
      </c>
      <c r="N3373">
        <v>0.74</v>
      </c>
    </row>
    <row r="3374" spans="1:14" x14ac:dyDescent="0.25">
      <c r="A3374" t="s">
        <v>6182</v>
      </c>
      <c r="B3374" t="s">
        <v>639</v>
      </c>
      <c r="C3374" s="1" t="str">
        <f>HYPERLINK("http://www.genecards.org/cgi-bin/carddisp.pl?gene=LST1","GeneCards")</f>
        <v>GeneCards</v>
      </c>
      <c r="D3374" s="1" t="str">
        <f>HYPERLINK("http://genome-euro.ucsc.edu/cgi-bin/hgTracks?position=211581_x_at","UCSC")</f>
        <v>UCSC</v>
      </c>
      <c r="E3374" s="1" t="str">
        <f>HYPERLINK("http://www.ncbi.nlm.nih.gov/gene/?term=LST1","NCBI")</f>
        <v>NCBI</v>
      </c>
      <c r="F3374">
        <v>2.1000000000000001E-2</v>
      </c>
      <c r="G3374">
        <v>0.11</v>
      </c>
      <c r="H3374" s="1" t="str">
        <f>HYPERLINK("http://www.weizmann.ac.il/complex/compphys/software/geview/data/figures/211581_x_at.png","Figure")</f>
        <v>Figure</v>
      </c>
      <c r="I3374">
        <v>0.56499999999999995</v>
      </c>
      <c r="J3374">
        <v>1.9E-2</v>
      </c>
      <c r="K3374">
        <v>0.69899999999999995</v>
      </c>
      <c r="L3374">
        <v>9.6000000000000002E-2</v>
      </c>
      <c r="M3374">
        <v>1.24</v>
      </c>
      <c r="N3374">
        <v>0.44</v>
      </c>
    </row>
    <row r="3375" spans="1:14" x14ac:dyDescent="0.25">
      <c r="A3375" t="s">
        <v>6183</v>
      </c>
      <c r="B3375" t="s">
        <v>5150</v>
      </c>
      <c r="C3375" s="1" t="str">
        <f>HYPERLINK("http://www.genecards.org/cgi-bin/carddisp.pl?gene=H2AFV","GeneCards")</f>
        <v>GeneCards</v>
      </c>
      <c r="D3375" s="1" t="str">
        <f>HYPERLINK("http://genome-euro.ucsc.edu/cgi-bin/hgTracks?position=212205_at","UCSC")</f>
        <v>UCSC</v>
      </c>
      <c r="E3375" s="1" t="str">
        <f>HYPERLINK("http://www.ncbi.nlm.nih.gov/gene/?term=H2AFV","NCBI")</f>
        <v>NCBI</v>
      </c>
      <c r="F3375">
        <v>2.1000000000000001E-2</v>
      </c>
      <c r="G3375">
        <v>0.11</v>
      </c>
      <c r="H3375" s="1" t="str">
        <f>HYPERLINK("http://www.weizmann.ac.il/complex/compphys/software/geview/data/figures/212205_at.png","Figure")</f>
        <v>Figure</v>
      </c>
      <c r="I3375">
        <v>0.95699999999999996</v>
      </c>
      <c r="J3375">
        <v>0.92</v>
      </c>
      <c r="K3375">
        <v>0.74099999999999999</v>
      </c>
      <c r="L3375">
        <v>2.7E-2</v>
      </c>
      <c r="M3375">
        <v>0.77400000000000002</v>
      </c>
      <c r="N3375">
        <v>8.1000000000000003E-2</v>
      </c>
    </row>
    <row r="3376" spans="1:14" x14ac:dyDescent="0.25">
      <c r="A3376" t="s">
        <v>6184</v>
      </c>
      <c r="B3376" t="s">
        <v>6185</v>
      </c>
      <c r="C3376" s="1" t="str">
        <f>HYPERLINK("http://www.genecards.org/cgi-bin/carddisp.pl?gene=APBB2","GeneCards")</f>
        <v>GeneCards</v>
      </c>
      <c r="D3376" s="1" t="str">
        <f>HYPERLINK("http://genome-euro.ucsc.edu/cgi-bin/hgTracks?position=212972_x_at","UCSC")</f>
        <v>UCSC</v>
      </c>
      <c r="E3376" s="1" t="str">
        <f>HYPERLINK("http://www.ncbi.nlm.nih.gov/gene/?term=APBB2","NCBI")</f>
        <v>NCBI</v>
      </c>
      <c r="F3376">
        <v>2.1000000000000001E-2</v>
      </c>
      <c r="G3376">
        <v>0.11</v>
      </c>
      <c r="H3376" s="1" t="str">
        <f>HYPERLINK("http://www.weizmann.ac.il/complex/compphys/software/geview/data/figures/212972_x_at.png","Figure")</f>
        <v>Figure</v>
      </c>
      <c r="I3376">
        <v>1.34</v>
      </c>
      <c r="J3376">
        <v>2.4E-2</v>
      </c>
      <c r="K3376">
        <v>1.24</v>
      </c>
      <c r="L3376">
        <v>5.8999999999999997E-2</v>
      </c>
      <c r="M3376">
        <v>0.92400000000000004</v>
      </c>
      <c r="N3376">
        <v>0.67</v>
      </c>
    </row>
    <row r="3377" spans="1:14" x14ac:dyDescent="0.25">
      <c r="A3377" t="s">
        <v>6186</v>
      </c>
      <c r="B3377" t="s">
        <v>6187</v>
      </c>
      <c r="C3377" s="1" t="str">
        <f>HYPERLINK("http://www.genecards.org/cgi-bin/carddisp.pl?gene=SPTB","GeneCards")</f>
        <v>GeneCards</v>
      </c>
      <c r="D3377" s="1" t="str">
        <f>HYPERLINK("http://genome-euro.ucsc.edu/cgi-bin/hgTracks?position=214145_s_at","UCSC")</f>
        <v>UCSC</v>
      </c>
      <c r="E3377" s="1" t="str">
        <f>HYPERLINK("http://www.ncbi.nlm.nih.gov/gene/?term=SPTB","NCBI")</f>
        <v>NCBI</v>
      </c>
      <c r="F3377">
        <v>2.1000000000000001E-2</v>
      </c>
      <c r="G3377">
        <v>0.11</v>
      </c>
      <c r="H3377" s="1" t="str">
        <f>HYPERLINK("http://www.weizmann.ac.il/complex/compphys/software/geview/data/figures/214145_s_at.png","Figure")</f>
        <v>Figure</v>
      </c>
      <c r="I3377">
        <v>1.25</v>
      </c>
      <c r="J3377">
        <v>1.7000000000000001E-2</v>
      </c>
      <c r="K3377">
        <v>1.08</v>
      </c>
      <c r="L3377">
        <v>0.45</v>
      </c>
      <c r="M3377">
        <v>0.86399999999999999</v>
      </c>
      <c r="N3377">
        <v>9.5000000000000001E-2</v>
      </c>
    </row>
    <row r="3378" spans="1:14" x14ac:dyDescent="0.25">
      <c r="A3378" t="s">
        <v>6188</v>
      </c>
      <c r="B3378" t="s">
        <v>6189</v>
      </c>
      <c r="C3378" s="1" t="str">
        <f>HYPERLINK("http://www.genecards.org/cgi-bin/carddisp.pl?gene=SAMM50","GeneCards")</f>
        <v>GeneCards</v>
      </c>
      <c r="D3378" s="1" t="str">
        <f>HYPERLINK("http://genome-euro.ucsc.edu/cgi-bin/hgTracks?position=201569_s_at","UCSC")</f>
        <v>UCSC</v>
      </c>
      <c r="E3378" s="1" t="str">
        <f>HYPERLINK("http://www.ncbi.nlm.nih.gov/gene/?term=SAMM50","NCBI")</f>
        <v>NCBI</v>
      </c>
      <c r="F3378">
        <v>2.1000000000000001E-2</v>
      </c>
      <c r="G3378">
        <v>0.11</v>
      </c>
      <c r="H3378" s="1" t="str">
        <f>HYPERLINK("http://www.weizmann.ac.il/complex/compphys/software/geview/data/figures/201569_s_at.png","Figure")</f>
        <v>Figure</v>
      </c>
      <c r="I3378">
        <v>0.64600000000000002</v>
      </c>
      <c r="J3378">
        <v>7.5999999999999998E-2</v>
      </c>
      <c r="K3378">
        <v>1.1100000000000001</v>
      </c>
      <c r="L3378">
        <v>0.79</v>
      </c>
      <c r="M3378">
        <v>1.72</v>
      </c>
      <c r="N3378">
        <v>1.7999999999999999E-2</v>
      </c>
    </row>
    <row r="3379" spans="1:14" x14ac:dyDescent="0.25">
      <c r="A3379" t="s">
        <v>6190</v>
      </c>
      <c r="B3379" t="s">
        <v>1523</v>
      </c>
      <c r="C3379" s="1" t="str">
        <f>HYPERLINK("http://www.genecards.org/cgi-bin/carddisp.pl?gene=PMAIP1","GeneCards")</f>
        <v>GeneCards</v>
      </c>
      <c r="D3379" s="1" t="str">
        <f>HYPERLINK("http://genome-euro.ucsc.edu/cgi-bin/hgTracks?position=204285_s_at","UCSC")</f>
        <v>UCSC</v>
      </c>
      <c r="E3379" s="1" t="str">
        <f>HYPERLINK("http://www.ncbi.nlm.nih.gov/gene/?term=PMAIP1","NCBI")</f>
        <v>NCBI</v>
      </c>
      <c r="F3379">
        <v>2.1000000000000001E-2</v>
      </c>
      <c r="G3379">
        <v>0.11</v>
      </c>
      <c r="H3379" s="1" t="str">
        <f>HYPERLINK("http://www.weizmann.ac.il/complex/compphys/software/geview/data/figures/204285_s_at.png","Figure")</f>
        <v>Figure</v>
      </c>
      <c r="I3379">
        <v>0.47299999999999998</v>
      </c>
      <c r="J3379">
        <v>3.4000000000000002E-2</v>
      </c>
      <c r="K3379">
        <v>0.52600000000000002</v>
      </c>
      <c r="L3379">
        <v>3.6999999999999998E-2</v>
      </c>
      <c r="M3379">
        <v>1.1100000000000001</v>
      </c>
      <c r="N3379">
        <v>0.9</v>
      </c>
    </row>
    <row r="3380" spans="1:14" x14ac:dyDescent="0.25">
      <c r="A3380" t="s">
        <v>6191</v>
      </c>
      <c r="B3380" t="s">
        <v>6192</v>
      </c>
      <c r="C3380" s="1" t="str">
        <f>HYPERLINK("http://www.genecards.org/cgi-bin/carddisp.pl?gene=CFDP1","GeneCards")</f>
        <v>GeneCards</v>
      </c>
      <c r="D3380" s="1" t="str">
        <f>HYPERLINK("http://genome-euro.ucsc.edu/cgi-bin/hgTracks?position=203166_at","UCSC")</f>
        <v>UCSC</v>
      </c>
      <c r="E3380" s="1" t="str">
        <f>HYPERLINK("http://www.ncbi.nlm.nih.gov/gene/?term=CFDP1","NCBI")</f>
        <v>NCBI</v>
      </c>
      <c r="F3380">
        <v>2.1000000000000001E-2</v>
      </c>
      <c r="G3380">
        <v>0.11</v>
      </c>
      <c r="H3380" s="1" t="str">
        <f>HYPERLINK("http://www.weizmann.ac.il/complex/compphys/software/geview/data/figures/203166_at.png","Figure")</f>
        <v>Figure</v>
      </c>
      <c r="I3380">
        <v>0.755</v>
      </c>
      <c r="J3380">
        <v>0.28000000000000003</v>
      </c>
      <c r="K3380">
        <v>1.28</v>
      </c>
      <c r="L3380">
        <v>0.27</v>
      </c>
      <c r="M3380">
        <v>1.7</v>
      </c>
      <c r="N3380">
        <v>1.7000000000000001E-2</v>
      </c>
    </row>
    <row r="3381" spans="1:14" x14ac:dyDescent="0.25">
      <c r="A3381" t="s">
        <v>6193</v>
      </c>
      <c r="B3381" t="s">
        <v>6194</v>
      </c>
      <c r="C3381" s="1" t="str">
        <f>HYPERLINK("http://www.genecards.org/cgi-bin/carddisp.pl?gene=MPPE1","GeneCards")</f>
        <v>GeneCards</v>
      </c>
      <c r="D3381" s="1" t="str">
        <f>HYPERLINK("http://genome-euro.ucsc.edu/cgi-bin/hgTracks?position=206764_x_at","UCSC")</f>
        <v>UCSC</v>
      </c>
      <c r="E3381" s="1" t="str">
        <f>HYPERLINK("http://www.ncbi.nlm.nih.gov/gene/?term=MPPE1","NCBI")</f>
        <v>NCBI</v>
      </c>
      <c r="F3381">
        <v>2.1000000000000001E-2</v>
      </c>
      <c r="G3381">
        <v>0.11</v>
      </c>
      <c r="H3381" s="1" t="str">
        <f>HYPERLINK("http://www.weizmann.ac.il/complex/compphys/software/geview/data/figures/206764_x_at.png","Figure")</f>
        <v>Figure</v>
      </c>
      <c r="I3381">
        <v>1.33</v>
      </c>
      <c r="J3381">
        <v>2.5000000000000001E-2</v>
      </c>
      <c r="K3381">
        <v>1.04</v>
      </c>
      <c r="L3381">
        <v>0.87</v>
      </c>
      <c r="M3381">
        <v>0.78600000000000003</v>
      </c>
      <c r="N3381">
        <v>0.04</v>
      </c>
    </row>
    <row r="3382" spans="1:14" x14ac:dyDescent="0.25">
      <c r="A3382" t="s">
        <v>6195</v>
      </c>
      <c r="B3382" t="s">
        <v>6196</v>
      </c>
      <c r="C3382" s="1" t="str">
        <f>HYPERLINK("http://www.genecards.org/cgi-bin/carddisp.pl?gene=HS2ST1","GeneCards")</f>
        <v>GeneCards</v>
      </c>
      <c r="D3382" s="1" t="str">
        <f>HYPERLINK("http://genome-euro.ucsc.edu/cgi-bin/hgTracks?position=203285_s_at","UCSC")</f>
        <v>UCSC</v>
      </c>
      <c r="E3382" s="1" t="str">
        <f>HYPERLINK("http://www.ncbi.nlm.nih.gov/gene/?term=HS2ST1","NCBI")</f>
        <v>NCBI</v>
      </c>
      <c r="F3382">
        <v>2.1000000000000001E-2</v>
      </c>
      <c r="G3382">
        <v>0.11</v>
      </c>
      <c r="H3382" s="1" t="str">
        <f>HYPERLINK("http://www.weizmann.ac.il/complex/compphys/software/geview/data/figures/203285_s_at.png","Figure")</f>
        <v>Figure</v>
      </c>
      <c r="I3382">
        <v>0.59</v>
      </c>
      <c r="J3382">
        <v>2.5000000000000001E-2</v>
      </c>
      <c r="K3382">
        <v>0.92300000000000004</v>
      </c>
      <c r="L3382">
        <v>0.86</v>
      </c>
      <c r="M3382">
        <v>1.56</v>
      </c>
      <c r="N3382">
        <v>4.1000000000000002E-2</v>
      </c>
    </row>
    <row r="3383" spans="1:14" x14ac:dyDescent="0.25">
      <c r="A3383" t="s">
        <v>6197</v>
      </c>
      <c r="B3383" t="s">
        <v>6198</v>
      </c>
      <c r="C3383" s="1" t="str">
        <f>HYPERLINK("http://www.genecards.org/cgi-bin/carddisp.pl?gene=WIPF2","GeneCards")</f>
        <v>GeneCards</v>
      </c>
      <c r="D3383" s="1" t="str">
        <f>HYPERLINK("http://genome-euro.ucsc.edu/cgi-bin/hgTracks?position=212049_at","UCSC")</f>
        <v>UCSC</v>
      </c>
      <c r="E3383" s="1" t="str">
        <f>HYPERLINK("http://www.ncbi.nlm.nih.gov/gene/?term=WIPF2","NCBI")</f>
        <v>NCBI</v>
      </c>
      <c r="F3383">
        <v>2.1000000000000001E-2</v>
      </c>
      <c r="G3383">
        <v>0.11</v>
      </c>
      <c r="H3383" s="1" t="str">
        <f>HYPERLINK("http://www.weizmann.ac.il/complex/compphys/software/geview/data/figures/212049_at.png","Figure")</f>
        <v>Figure</v>
      </c>
      <c r="I3383">
        <v>1.26</v>
      </c>
      <c r="J3383">
        <v>2.4E-2</v>
      </c>
      <c r="K3383">
        <v>1.04</v>
      </c>
      <c r="L3383">
        <v>0.85</v>
      </c>
      <c r="M3383">
        <v>0.82199999999999995</v>
      </c>
      <c r="N3383">
        <v>4.2000000000000003E-2</v>
      </c>
    </row>
    <row r="3384" spans="1:14" x14ac:dyDescent="0.25">
      <c r="A3384" t="s">
        <v>6199</v>
      </c>
      <c r="B3384" t="s">
        <v>6200</v>
      </c>
      <c r="C3384" s="1" t="str">
        <f>HYPERLINK("http://www.genecards.org/cgi-bin/carddisp.pl?gene=DCLRE1B","GeneCards")</f>
        <v>GeneCards</v>
      </c>
      <c r="D3384" s="1" t="str">
        <f>HYPERLINK("http://genome-euro.ucsc.edu/cgi-bin/hgTracks?position=219490_s_at","UCSC")</f>
        <v>UCSC</v>
      </c>
      <c r="E3384" s="1" t="str">
        <f>HYPERLINK("http://www.ncbi.nlm.nih.gov/gene/?term=DCLRE1B","NCBI")</f>
        <v>NCBI</v>
      </c>
      <c r="F3384">
        <v>2.1000000000000001E-2</v>
      </c>
      <c r="G3384">
        <v>0.11</v>
      </c>
      <c r="H3384" s="1" t="str">
        <f>HYPERLINK("http://www.weizmann.ac.il/complex/compphys/software/geview/data/figures/219490_s_at.png","Figure")</f>
        <v>Figure</v>
      </c>
      <c r="I3384">
        <v>1.2</v>
      </c>
      <c r="J3384">
        <v>5.0999999999999997E-2</v>
      </c>
      <c r="K3384">
        <v>0.98199999999999998</v>
      </c>
      <c r="L3384">
        <v>0.95</v>
      </c>
      <c r="M3384">
        <v>0.82099999999999995</v>
      </c>
      <c r="N3384">
        <v>2.1999999999999999E-2</v>
      </c>
    </row>
    <row r="3385" spans="1:14" x14ac:dyDescent="0.25">
      <c r="A3385" t="s">
        <v>6201</v>
      </c>
      <c r="B3385" t="s">
        <v>6202</v>
      </c>
      <c r="C3385" s="1" t="str">
        <f>HYPERLINK("http://www.genecards.org/cgi-bin/carddisp.pl?gene=GRIK3","GeneCards")</f>
        <v>GeneCards</v>
      </c>
      <c r="D3385" s="1" t="str">
        <f>HYPERLINK("http://genome-euro.ucsc.edu/cgi-bin/hgTracks?position=207454_at","UCSC")</f>
        <v>UCSC</v>
      </c>
      <c r="E3385" s="1" t="str">
        <f>HYPERLINK("http://www.ncbi.nlm.nih.gov/gene/?term=GRIK3","NCBI")</f>
        <v>NCBI</v>
      </c>
      <c r="F3385">
        <v>2.1000000000000001E-2</v>
      </c>
      <c r="G3385">
        <v>0.11</v>
      </c>
      <c r="H3385" s="1" t="str">
        <f>HYPERLINK("http://www.weizmann.ac.il/complex/compphys/software/geview/data/figures/207454_at.png","Figure")</f>
        <v>Figure</v>
      </c>
      <c r="I3385">
        <v>1.17</v>
      </c>
      <c r="J3385">
        <v>4.7E-2</v>
      </c>
      <c r="K3385">
        <v>0.98799999999999999</v>
      </c>
      <c r="L3385">
        <v>0.97</v>
      </c>
      <c r="M3385">
        <v>0.84799999999999998</v>
      </c>
      <c r="N3385">
        <v>2.1999999999999999E-2</v>
      </c>
    </row>
    <row r="3386" spans="1:14" x14ac:dyDescent="0.25">
      <c r="A3386" t="s">
        <v>6203</v>
      </c>
      <c r="B3386" t="s">
        <v>6204</v>
      </c>
      <c r="C3386" s="1" t="str">
        <f>HYPERLINK("http://www.genecards.org/cgi-bin/carddisp.pl?gene=FGF1","GeneCards")</f>
        <v>GeneCards</v>
      </c>
      <c r="D3386" s="1" t="str">
        <f>HYPERLINK("http://genome-euro.ucsc.edu/cgi-bin/hgTracks?position=205117_at","UCSC")</f>
        <v>UCSC</v>
      </c>
      <c r="E3386" s="1" t="str">
        <f>HYPERLINK("http://www.ncbi.nlm.nih.gov/gene/?term=FGF1","NCBI")</f>
        <v>NCBI</v>
      </c>
      <c r="F3386">
        <v>2.1000000000000001E-2</v>
      </c>
      <c r="G3386">
        <v>0.11</v>
      </c>
      <c r="H3386" s="1" t="str">
        <f>HYPERLINK("http://www.weizmann.ac.il/complex/compphys/software/geview/data/figures/205117_at.png","Figure")</f>
        <v>Figure</v>
      </c>
      <c r="I3386">
        <v>1.1100000000000001</v>
      </c>
      <c r="J3386">
        <v>7.9000000000000001E-2</v>
      </c>
      <c r="K3386">
        <v>0.97399999999999998</v>
      </c>
      <c r="L3386">
        <v>0.78</v>
      </c>
      <c r="M3386">
        <v>0.876</v>
      </c>
      <c r="N3386">
        <v>1.7999999999999999E-2</v>
      </c>
    </row>
    <row r="3387" spans="1:14" x14ac:dyDescent="0.25">
      <c r="A3387" t="s">
        <v>6205</v>
      </c>
      <c r="B3387" t="s">
        <v>6206</v>
      </c>
      <c r="C3387" s="1" t="str">
        <f>HYPERLINK("http://www.genecards.org/cgi-bin/carddisp.pl?gene=C11orf16","GeneCards")</f>
        <v>GeneCards</v>
      </c>
      <c r="D3387" s="1" t="str">
        <f>HYPERLINK("http://genome-euro.ucsc.edu/cgi-bin/hgTracks?position=220344_at","UCSC")</f>
        <v>UCSC</v>
      </c>
      <c r="E3387" s="1" t="str">
        <f>HYPERLINK("http://www.ncbi.nlm.nih.gov/gene/?term=C11orf16","NCBI")</f>
        <v>NCBI</v>
      </c>
      <c r="F3387">
        <v>2.1000000000000001E-2</v>
      </c>
      <c r="G3387">
        <v>0.11</v>
      </c>
      <c r="H3387" s="1" t="str">
        <f>HYPERLINK("http://www.weizmann.ac.il/complex/compphys/software/geview/data/figures/220344_at.png","Figure")</f>
        <v>Figure</v>
      </c>
      <c r="I3387">
        <v>1.58</v>
      </c>
      <c r="J3387">
        <v>1.6E-2</v>
      </c>
      <c r="K3387">
        <v>1.23</v>
      </c>
      <c r="L3387">
        <v>0.26</v>
      </c>
      <c r="M3387">
        <v>0.77500000000000002</v>
      </c>
      <c r="N3387">
        <v>0.17</v>
      </c>
    </row>
    <row r="3388" spans="1:14" x14ac:dyDescent="0.25">
      <c r="A3388" t="s">
        <v>6207</v>
      </c>
      <c r="B3388" t="s">
        <v>6208</v>
      </c>
      <c r="C3388" s="1" t="str">
        <f>HYPERLINK("http://www.genecards.org/cgi-bin/carddisp.pl?gene=ZNF215","GeneCards")</f>
        <v>GeneCards</v>
      </c>
      <c r="D3388" s="1" t="str">
        <f>HYPERLINK("http://genome-euro.ucsc.edu/cgi-bin/hgTracks?position=220214_at","UCSC")</f>
        <v>UCSC</v>
      </c>
      <c r="E3388" s="1" t="str">
        <f>HYPERLINK("http://www.ncbi.nlm.nih.gov/gene/?term=ZNF215","NCBI")</f>
        <v>NCBI</v>
      </c>
      <c r="F3388">
        <v>2.1000000000000001E-2</v>
      </c>
      <c r="G3388">
        <v>0.11</v>
      </c>
      <c r="H3388" s="1" t="str">
        <f>HYPERLINK("http://www.weizmann.ac.il/complex/compphys/software/geview/data/figures/220214_at.png","Figure")</f>
        <v>Figure</v>
      </c>
      <c r="I3388">
        <v>1.18</v>
      </c>
      <c r="J3388">
        <v>2.8000000000000001E-2</v>
      </c>
      <c r="K3388">
        <v>1.02</v>
      </c>
      <c r="L3388">
        <v>0.94</v>
      </c>
      <c r="M3388">
        <v>0.85899999999999999</v>
      </c>
      <c r="N3388">
        <v>3.5000000000000003E-2</v>
      </c>
    </row>
    <row r="3389" spans="1:14" x14ac:dyDescent="0.25">
      <c r="A3389" t="s">
        <v>6209</v>
      </c>
      <c r="B3389" t="s">
        <v>6210</v>
      </c>
      <c r="C3389" s="1" t="str">
        <f>HYPERLINK("http://www.genecards.org/cgi-bin/carddisp.pl?gene=DENND2D","GeneCards")</f>
        <v>GeneCards</v>
      </c>
      <c r="D3389" s="1" t="str">
        <f>HYPERLINK("http://genome-euro.ucsc.edu/cgi-bin/hgTracks?position=221081_s_at","UCSC")</f>
        <v>UCSC</v>
      </c>
      <c r="E3389" s="1" t="str">
        <f>HYPERLINK("http://www.ncbi.nlm.nih.gov/gene/?term=DENND2D","NCBI")</f>
        <v>NCBI</v>
      </c>
      <c r="F3389">
        <v>2.1000000000000001E-2</v>
      </c>
      <c r="G3389">
        <v>0.11</v>
      </c>
      <c r="H3389" s="1" t="str">
        <f>HYPERLINK("http://www.weizmann.ac.il/complex/compphys/software/geview/data/figures/221081_s_at.png","Figure")</f>
        <v>Figure</v>
      </c>
      <c r="I3389">
        <v>0.71699999999999997</v>
      </c>
      <c r="J3389">
        <v>0.17</v>
      </c>
      <c r="K3389">
        <v>1.21</v>
      </c>
      <c r="L3389">
        <v>0.43</v>
      </c>
      <c r="M3389">
        <v>1.69</v>
      </c>
      <c r="N3389">
        <v>1.6E-2</v>
      </c>
    </row>
    <row r="3390" spans="1:14" x14ac:dyDescent="0.25">
      <c r="A3390" t="s">
        <v>6211</v>
      </c>
      <c r="B3390" t="s">
        <v>6212</v>
      </c>
      <c r="C3390" s="1" t="str">
        <f>HYPERLINK("http://www.genecards.org/cgi-bin/carddisp.pl?gene=BRAF","GeneCards")</f>
        <v>GeneCards</v>
      </c>
      <c r="D3390" s="1" t="str">
        <f>HYPERLINK("http://genome-euro.ucsc.edu/cgi-bin/hgTracks?position=206044_s_at","UCSC")</f>
        <v>UCSC</v>
      </c>
      <c r="E3390" s="1" t="str">
        <f>HYPERLINK("http://www.ncbi.nlm.nih.gov/gene/?term=BRAF","NCBI")</f>
        <v>NCBI</v>
      </c>
      <c r="F3390">
        <v>2.1000000000000001E-2</v>
      </c>
      <c r="G3390">
        <v>0.11</v>
      </c>
      <c r="H3390" s="1" t="str">
        <f>HYPERLINK("http://www.weizmann.ac.il/complex/compphys/software/geview/data/figures/206044_s_at.png","Figure")</f>
        <v>Figure</v>
      </c>
      <c r="I3390">
        <v>1.21</v>
      </c>
      <c r="J3390">
        <v>0.28999999999999998</v>
      </c>
      <c r="K3390">
        <v>0.84499999999999997</v>
      </c>
      <c r="L3390">
        <v>0.27</v>
      </c>
      <c r="M3390">
        <v>0.70099999999999996</v>
      </c>
      <c r="N3390">
        <v>1.7000000000000001E-2</v>
      </c>
    </row>
    <row r="3391" spans="1:14" x14ac:dyDescent="0.25">
      <c r="A3391" t="s">
        <v>6213</v>
      </c>
      <c r="B3391" t="s">
        <v>6214</v>
      </c>
      <c r="C3391" s="1" t="str">
        <f>HYPERLINK("http://www.genecards.org/cgi-bin/carddisp.pl?gene=IGF2BP3","GeneCards")</f>
        <v>GeneCards</v>
      </c>
      <c r="D3391" s="1" t="str">
        <f>HYPERLINK("http://genome-euro.ucsc.edu/cgi-bin/hgTracks?position=203819_s_at","UCSC")</f>
        <v>UCSC</v>
      </c>
      <c r="E3391" s="1" t="str">
        <f>HYPERLINK("http://www.ncbi.nlm.nih.gov/gene/?term=IGF2BP3","NCBI")</f>
        <v>NCBI</v>
      </c>
      <c r="F3391">
        <v>2.1000000000000001E-2</v>
      </c>
      <c r="G3391">
        <v>0.11</v>
      </c>
      <c r="H3391" s="1" t="str">
        <f>HYPERLINK("http://www.weizmann.ac.il/complex/compphys/software/geview/data/figures/203819_s_at.png","Figure")</f>
        <v>Figure</v>
      </c>
      <c r="I3391">
        <v>0.33</v>
      </c>
      <c r="J3391">
        <v>6.9000000000000006E-2</v>
      </c>
      <c r="K3391">
        <v>0.29799999999999999</v>
      </c>
      <c r="L3391">
        <v>2.3E-2</v>
      </c>
      <c r="M3391">
        <v>0.90500000000000003</v>
      </c>
      <c r="N3391">
        <v>0.97</v>
      </c>
    </row>
    <row r="3392" spans="1:14" x14ac:dyDescent="0.25">
      <c r="A3392" t="s">
        <v>6215</v>
      </c>
      <c r="B3392" t="s">
        <v>2622</v>
      </c>
      <c r="C3392" s="1" t="str">
        <f>HYPERLINK("http://www.genecards.org/cgi-bin/carddisp.pl?gene=TRADD","GeneCards")</f>
        <v>GeneCards</v>
      </c>
      <c r="D3392" s="1" t="str">
        <f>HYPERLINK("http://genome-euro.ucsc.edu/cgi-bin/hgTracks?position=1729_at","UCSC")</f>
        <v>UCSC</v>
      </c>
      <c r="E3392" s="1" t="str">
        <f>HYPERLINK("http://www.ncbi.nlm.nih.gov/gene/?term=TRADD","NCBI")</f>
        <v>NCBI</v>
      </c>
      <c r="F3392">
        <v>2.1000000000000001E-2</v>
      </c>
      <c r="G3392">
        <v>0.11</v>
      </c>
      <c r="H3392" s="1" t="str">
        <f>HYPERLINK("http://www.weizmann.ac.il/complex/compphys/software/geview/data/figures/1729_at.png","Figure")</f>
        <v>Figure</v>
      </c>
      <c r="I3392">
        <v>1.0900000000000001</v>
      </c>
      <c r="J3392">
        <v>0.59</v>
      </c>
      <c r="K3392">
        <v>1.27</v>
      </c>
      <c r="L3392">
        <v>1.9E-2</v>
      </c>
      <c r="M3392">
        <v>1.1599999999999999</v>
      </c>
      <c r="N3392">
        <v>0.18</v>
      </c>
    </row>
    <row r="3393" spans="1:14" x14ac:dyDescent="0.25">
      <c r="A3393" t="s">
        <v>6216</v>
      </c>
      <c r="B3393" t="s">
        <v>6217</v>
      </c>
      <c r="C3393" s="1" t="str">
        <f>HYPERLINK("http://www.genecards.org/cgi-bin/carddisp.pl?gene=BAT1","GeneCards")</f>
        <v>GeneCards</v>
      </c>
      <c r="D3393" s="1" t="str">
        <f>HYPERLINK("http://genome-euro.ucsc.edu/cgi-bin/hgTracks?position=212384_at","UCSC")</f>
        <v>UCSC</v>
      </c>
      <c r="E3393" s="1" t="str">
        <f>HYPERLINK("http://www.ncbi.nlm.nih.gov/gene/?term=BAT1","NCBI")</f>
        <v>NCBI</v>
      </c>
      <c r="F3393">
        <v>2.1000000000000001E-2</v>
      </c>
      <c r="G3393">
        <v>0.11</v>
      </c>
      <c r="H3393" s="1" t="str">
        <f>HYPERLINK("http://www.weizmann.ac.il/complex/compphys/software/geview/data/figures/212384_at.png","Figure")</f>
        <v>Figure</v>
      </c>
      <c r="I3393">
        <v>0.84899999999999998</v>
      </c>
      <c r="J3393">
        <v>0.78</v>
      </c>
      <c r="K3393">
        <v>0.52400000000000002</v>
      </c>
      <c r="L3393">
        <v>2.1999999999999999E-2</v>
      </c>
      <c r="M3393">
        <v>0.61699999999999999</v>
      </c>
      <c r="N3393">
        <v>0.12</v>
      </c>
    </row>
    <row r="3394" spans="1:14" x14ac:dyDescent="0.25">
      <c r="A3394" t="s">
        <v>6218</v>
      </c>
      <c r="B3394" t="s">
        <v>6219</v>
      </c>
      <c r="C3394" s="1" t="str">
        <f>HYPERLINK("http://www.genecards.org/cgi-bin/carddisp.pl?gene=CXorf40B","GeneCards")</f>
        <v>GeneCards</v>
      </c>
      <c r="D3394" s="1" t="str">
        <f>HYPERLINK("http://genome-euro.ucsc.edu/cgi-bin/hgTracks?position=212961_x_at","UCSC")</f>
        <v>UCSC</v>
      </c>
      <c r="E3394" s="1" t="str">
        <f>HYPERLINK("http://www.ncbi.nlm.nih.gov/gene/?term=CXorf40B","NCBI")</f>
        <v>NCBI</v>
      </c>
      <c r="F3394">
        <v>2.1000000000000001E-2</v>
      </c>
      <c r="G3394">
        <v>0.11</v>
      </c>
      <c r="H3394" s="1" t="str">
        <f>HYPERLINK("http://www.weizmann.ac.il/complex/compphys/software/geview/data/figures/212961_x_at.png","Figure")</f>
        <v>Figure</v>
      </c>
      <c r="I3394">
        <v>0.81</v>
      </c>
      <c r="J3394">
        <v>0.42</v>
      </c>
      <c r="K3394">
        <v>0.63400000000000001</v>
      </c>
      <c r="L3394">
        <v>1.7000000000000001E-2</v>
      </c>
      <c r="M3394">
        <v>0.78300000000000003</v>
      </c>
      <c r="N3394">
        <v>0.27</v>
      </c>
    </row>
    <row r="3395" spans="1:14" x14ac:dyDescent="0.25">
      <c r="A3395" t="s">
        <v>6220</v>
      </c>
      <c r="B3395" t="s">
        <v>6221</v>
      </c>
      <c r="C3395" s="1" t="str">
        <f>HYPERLINK("http://www.genecards.org/cgi-bin/carddisp.pl?gene=HMHA1","GeneCards")</f>
        <v>GeneCards</v>
      </c>
      <c r="D3395" s="1" t="str">
        <f>HYPERLINK("http://genome-euro.ucsc.edu/cgi-bin/hgTracks?position=212873_at","UCSC")</f>
        <v>UCSC</v>
      </c>
      <c r="E3395" s="1" t="str">
        <f>HYPERLINK("http://www.ncbi.nlm.nih.gov/gene/?term=HMHA1","NCBI")</f>
        <v>NCBI</v>
      </c>
      <c r="F3395">
        <v>2.1000000000000001E-2</v>
      </c>
      <c r="G3395">
        <v>0.11</v>
      </c>
      <c r="H3395" s="1" t="str">
        <f>HYPERLINK("http://www.weizmann.ac.il/complex/compphys/software/geview/data/figures/212873_at.png","Figure")</f>
        <v>Figure</v>
      </c>
      <c r="I3395">
        <v>0.64800000000000002</v>
      </c>
      <c r="J3395">
        <v>9.2999999999999999E-2</v>
      </c>
      <c r="K3395">
        <v>0.59499999999999997</v>
      </c>
      <c r="L3395">
        <v>0.02</v>
      </c>
      <c r="M3395">
        <v>0.91800000000000004</v>
      </c>
      <c r="N3395">
        <v>0.88</v>
      </c>
    </row>
    <row r="3396" spans="1:14" x14ac:dyDescent="0.25">
      <c r="A3396" t="s">
        <v>6222</v>
      </c>
      <c r="B3396" t="s">
        <v>1020</v>
      </c>
      <c r="C3396" s="1" t="str">
        <f>HYPERLINK("http://www.genecards.org/cgi-bin/carddisp.pl?gene=KDM4B","GeneCards")</f>
        <v>GeneCards</v>
      </c>
      <c r="D3396" s="1" t="str">
        <f>HYPERLINK("http://genome-euro.ucsc.edu/cgi-bin/hgTracks?position=212492_s_at","UCSC")</f>
        <v>UCSC</v>
      </c>
      <c r="E3396" s="1" t="str">
        <f>HYPERLINK("http://www.ncbi.nlm.nih.gov/gene/?term=KDM4B","NCBI")</f>
        <v>NCBI</v>
      </c>
      <c r="F3396">
        <v>2.1000000000000001E-2</v>
      </c>
      <c r="G3396">
        <v>0.11</v>
      </c>
      <c r="H3396" s="1" t="str">
        <f>HYPERLINK("http://www.weizmann.ac.il/complex/compphys/software/geview/data/figures/212492_s_at.png","Figure")</f>
        <v>Figure</v>
      </c>
      <c r="I3396">
        <v>0.504</v>
      </c>
      <c r="J3396">
        <v>3.2000000000000001E-2</v>
      </c>
      <c r="K3396">
        <v>0.56499999999999995</v>
      </c>
      <c r="L3396">
        <v>4.1000000000000002E-2</v>
      </c>
      <c r="M3396">
        <v>1.1200000000000001</v>
      </c>
      <c r="N3396">
        <v>0.87</v>
      </c>
    </row>
    <row r="3397" spans="1:14" x14ac:dyDescent="0.25">
      <c r="A3397" t="s">
        <v>6223</v>
      </c>
      <c r="B3397" t="s">
        <v>6224</v>
      </c>
      <c r="C3397" s="1" t="str">
        <f>HYPERLINK("http://www.genecards.org/cgi-bin/carddisp.pl?gene=TSPYL2","GeneCards")</f>
        <v>GeneCards</v>
      </c>
      <c r="D3397" s="1" t="str">
        <f>HYPERLINK("http://genome-euro.ucsc.edu/cgi-bin/hgTracks?position=218012_at","UCSC")</f>
        <v>UCSC</v>
      </c>
      <c r="E3397" s="1" t="str">
        <f>HYPERLINK("http://www.ncbi.nlm.nih.gov/gene/?term=TSPYL2","NCBI")</f>
        <v>NCBI</v>
      </c>
      <c r="F3397">
        <v>2.1000000000000001E-2</v>
      </c>
      <c r="G3397">
        <v>0.11</v>
      </c>
      <c r="H3397" s="1" t="str">
        <f>HYPERLINK("http://www.weizmann.ac.il/complex/compphys/software/geview/data/figures/218012_at.png","Figure")</f>
        <v>Figure</v>
      </c>
      <c r="I3397">
        <v>0.95499999999999996</v>
      </c>
      <c r="J3397">
        <v>0.97</v>
      </c>
      <c r="K3397">
        <v>0.626</v>
      </c>
      <c r="L3397">
        <v>3.1E-2</v>
      </c>
      <c r="M3397">
        <v>0.65500000000000003</v>
      </c>
      <c r="N3397">
        <v>7.0000000000000007E-2</v>
      </c>
    </row>
    <row r="3398" spans="1:14" x14ac:dyDescent="0.25">
      <c r="A3398" t="s">
        <v>6225</v>
      </c>
      <c r="B3398" t="s">
        <v>5370</v>
      </c>
      <c r="C3398" s="1" t="str">
        <f>HYPERLINK("http://www.genecards.org/cgi-bin/carddisp.pl?gene=HMGXB3","GeneCards")</f>
        <v>GeneCards</v>
      </c>
      <c r="D3398" s="1" t="str">
        <f>HYPERLINK("http://genome-euro.ucsc.edu/cgi-bin/hgTracks?position=34221_at","UCSC")</f>
        <v>UCSC</v>
      </c>
      <c r="E3398" s="1" t="str">
        <f>HYPERLINK("http://www.ncbi.nlm.nih.gov/gene/?term=HMGXB3","NCBI")</f>
        <v>NCBI</v>
      </c>
      <c r="F3398">
        <v>2.1000000000000001E-2</v>
      </c>
      <c r="G3398">
        <v>0.11</v>
      </c>
      <c r="H3398" s="1" t="str">
        <f>HYPERLINK("http://www.weizmann.ac.il/complex/compphys/software/geview/data/figures/34221_at.png","Figure")</f>
        <v>Figure</v>
      </c>
      <c r="I3398">
        <v>1.37</v>
      </c>
      <c r="J3398">
        <v>1.7000000000000001E-2</v>
      </c>
      <c r="K3398">
        <v>1.1299999999999999</v>
      </c>
      <c r="L3398">
        <v>0.37</v>
      </c>
      <c r="M3398">
        <v>0.82099999999999995</v>
      </c>
      <c r="N3398">
        <v>0.12</v>
      </c>
    </row>
    <row r="3399" spans="1:14" x14ac:dyDescent="0.25">
      <c r="A3399" t="s">
        <v>6226</v>
      </c>
      <c r="B3399" t="s">
        <v>6227</v>
      </c>
      <c r="C3399" s="1" t="str">
        <f>HYPERLINK("http://www.genecards.org/cgi-bin/carddisp.pl?gene=SYT12","GeneCards")</f>
        <v>GeneCards</v>
      </c>
      <c r="D3399" s="1" t="str">
        <f>HYPERLINK("http://genome-euro.ucsc.edu/cgi-bin/hgTracks?position=215865_at","UCSC")</f>
        <v>UCSC</v>
      </c>
      <c r="E3399" s="1" t="str">
        <f>HYPERLINK("http://www.ncbi.nlm.nih.gov/gene/?term=SYT12","NCBI")</f>
        <v>NCBI</v>
      </c>
      <c r="F3399">
        <v>2.1000000000000001E-2</v>
      </c>
      <c r="G3399">
        <v>0.11</v>
      </c>
      <c r="H3399" s="1" t="str">
        <f>HYPERLINK("http://www.weizmann.ac.il/complex/compphys/software/geview/data/figures/215865_at.png","Figure")</f>
        <v>Figure</v>
      </c>
      <c r="I3399">
        <v>1.24</v>
      </c>
      <c r="J3399">
        <v>3.2000000000000001E-2</v>
      </c>
      <c r="K3399">
        <v>1.01</v>
      </c>
      <c r="L3399">
        <v>0.98</v>
      </c>
      <c r="M3399">
        <v>0.81399999999999995</v>
      </c>
      <c r="N3399">
        <v>3.1E-2</v>
      </c>
    </row>
    <row r="3400" spans="1:14" x14ac:dyDescent="0.25">
      <c r="A3400" t="s">
        <v>6228</v>
      </c>
      <c r="B3400" t="s">
        <v>6229</v>
      </c>
      <c r="C3400" s="1" t="str">
        <f>HYPERLINK("http://www.genecards.org/cgi-bin/carddisp.pl?gene=VRK2","GeneCards")</f>
        <v>GeneCards</v>
      </c>
      <c r="D3400" s="1" t="str">
        <f>HYPERLINK("http://genome-euro.ucsc.edu/cgi-bin/hgTracks?position=205126_at","UCSC")</f>
        <v>UCSC</v>
      </c>
      <c r="E3400" s="1" t="str">
        <f>HYPERLINK("http://www.ncbi.nlm.nih.gov/gene/?term=VRK2","NCBI")</f>
        <v>NCBI</v>
      </c>
      <c r="F3400">
        <v>2.1000000000000001E-2</v>
      </c>
      <c r="G3400">
        <v>0.11</v>
      </c>
      <c r="H3400" s="1" t="str">
        <f>HYPERLINK("http://www.weizmann.ac.il/complex/compphys/software/geview/data/figures/205126_at.png","Figure")</f>
        <v>Figure</v>
      </c>
      <c r="I3400">
        <v>1.02</v>
      </c>
      <c r="J3400">
        <v>0.99</v>
      </c>
      <c r="K3400">
        <v>1.49</v>
      </c>
      <c r="L3400">
        <v>3.5000000000000003E-2</v>
      </c>
      <c r="M3400">
        <v>1.46</v>
      </c>
      <c r="N3400">
        <v>0.06</v>
      </c>
    </row>
    <row r="3401" spans="1:14" x14ac:dyDescent="0.25">
      <c r="A3401" t="s">
        <v>6230</v>
      </c>
      <c r="B3401" t="s">
        <v>6231</v>
      </c>
      <c r="C3401" s="1" t="str">
        <f>HYPERLINK("http://www.genecards.org/cgi-bin/carddisp.pl?gene=SFTPC","GeneCards")</f>
        <v>GeneCards</v>
      </c>
      <c r="D3401" s="1" t="str">
        <f>HYPERLINK("http://genome-euro.ucsc.edu/cgi-bin/hgTracks?position=38691_s_at","UCSC")</f>
        <v>UCSC</v>
      </c>
      <c r="E3401" s="1" t="str">
        <f>HYPERLINK("http://www.ncbi.nlm.nih.gov/gene/?term=SFTPC","NCBI")</f>
        <v>NCBI</v>
      </c>
      <c r="F3401">
        <v>2.1000000000000001E-2</v>
      </c>
      <c r="G3401">
        <v>0.11</v>
      </c>
      <c r="H3401" s="1" t="str">
        <f>HYPERLINK("http://www.weizmann.ac.il/complex/compphys/software/geview/data/figures/38691_s_at.png","Figure")</f>
        <v>Figure</v>
      </c>
      <c r="I3401">
        <v>1.23</v>
      </c>
      <c r="J3401">
        <v>5.1999999999999998E-2</v>
      </c>
      <c r="K3401">
        <v>0.97899999999999998</v>
      </c>
      <c r="L3401">
        <v>0.95</v>
      </c>
      <c r="M3401">
        <v>0.79600000000000004</v>
      </c>
      <c r="N3401">
        <v>2.1999999999999999E-2</v>
      </c>
    </row>
    <row r="3402" spans="1:14" x14ac:dyDescent="0.25">
      <c r="A3402" t="s">
        <v>6232</v>
      </c>
      <c r="B3402" t="s">
        <v>6233</v>
      </c>
      <c r="C3402" s="1" t="str">
        <f>HYPERLINK("http://www.genecards.org/cgi-bin/carddisp.pl?gene=M6PR","GeneCards")</f>
        <v>GeneCards</v>
      </c>
      <c r="D3402" s="1" t="str">
        <f>HYPERLINK("http://genome-euro.ucsc.edu/cgi-bin/hgTracks?position=200900_s_at","UCSC")</f>
        <v>UCSC</v>
      </c>
      <c r="E3402" s="1" t="str">
        <f>HYPERLINK("http://www.ncbi.nlm.nih.gov/gene/?term=M6PR","NCBI")</f>
        <v>NCBI</v>
      </c>
      <c r="F3402">
        <v>2.1000000000000001E-2</v>
      </c>
      <c r="G3402">
        <v>0.11</v>
      </c>
      <c r="H3402" s="1" t="str">
        <f>HYPERLINK("http://www.weizmann.ac.il/complex/compphys/software/geview/data/figures/200900_s_at.png","Figure")</f>
        <v>Figure</v>
      </c>
      <c r="I3402">
        <v>0.72499999999999998</v>
      </c>
      <c r="J3402">
        <v>0.33</v>
      </c>
      <c r="K3402">
        <v>1.38</v>
      </c>
      <c r="L3402">
        <v>0.24</v>
      </c>
      <c r="M3402">
        <v>1.9</v>
      </c>
      <c r="N3402">
        <v>1.7999999999999999E-2</v>
      </c>
    </row>
    <row r="3403" spans="1:14" x14ac:dyDescent="0.25">
      <c r="A3403" t="s">
        <v>6234</v>
      </c>
      <c r="B3403" t="s">
        <v>6235</v>
      </c>
      <c r="C3403" s="1" t="str">
        <f>HYPERLINK("http://www.genecards.org/cgi-bin/carddisp.pl?gene=EFNB1","GeneCards")</f>
        <v>GeneCards</v>
      </c>
      <c r="D3403" s="1" t="str">
        <f>HYPERLINK("http://genome-euro.ucsc.edu/cgi-bin/hgTracks?position=202711_at","UCSC")</f>
        <v>UCSC</v>
      </c>
      <c r="E3403" s="1" t="str">
        <f>HYPERLINK("http://www.ncbi.nlm.nih.gov/gene/?term=EFNB1","NCBI")</f>
        <v>NCBI</v>
      </c>
      <c r="F3403">
        <v>2.1000000000000001E-2</v>
      </c>
      <c r="G3403">
        <v>0.11</v>
      </c>
      <c r="H3403" s="1" t="str">
        <f>HYPERLINK("http://www.weizmann.ac.il/complex/compphys/software/geview/data/figures/202711_at.png","Figure")</f>
        <v>Figure</v>
      </c>
      <c r="I3403">
        <v>0.77200000000000002</v>
      </c>
      <c r="J3403">
        <v>4.1000000000000002E-2</v>
      </c>
      <c r="K3403">
        <v>1.01</v>
      </c>
      <c r="L3403">
        <v>1</v>
      </c>
      <c r="M3403">
        <v>1.3</v>
      </c>
      <c r="N3403">
        <v>2.5000000000000001E-2</v>
      </c>
    </row>
    <row r="3404" spans="1:14" x14ac:dyDescent="0.25">
      <c r="A3404" t="s">
        <v>6236</v>
      </c>
      <c r="B3404" t="s">
        <v>6237</v>
      </c>
      <c r="C3404" s="1" t="str">
        <f>HYPERLINK("http://www.genecards.org/cgi-bin/carddisp.pl?gene=CUL2","GeneCards")</f>
        <v>GeneCards</v>
      </c>
      <c r="D3404" s="1" t="str">
        <f>HYPERLINK("http://genome-euro.ucsc.edu/cgi-bin/hgTracks?position=203079_s_at","UCSC")</f>
        <v>UCSC</v>
      </c>
      <c r="E3404" s="1" t="str">
        <f>HYPERLINK("http://www.ncbi.nlm.nih.gov/gene/?term=CUL2","NCBI")</f>
        <v>NCBI</v>
      </c>
      <c r="F3404">
        <v>2.1000000000000001E-2</v>
      </c>
      <c r="G3404">
        <v>0.11</v>
      </c>
      <c r="H3404" s="1" t="str">
        <f>HYPERLINK("http://www.weizmann.ac.il/complex/compphys/software/geview/data/figures/203079_s_at.png","Figure")</f>
        <v>Figure</v>
      </c>
      <c r="I3404">
        <v>0.80100000000000005</v>
      </c>
      <c r="J3404">
        <v>0.25</v>
      </c>
      <c r="K3404">
        <v>0.69</v>
      </c>
      <c r="L3404">
        <v>1.7000000000000001E-2</v>
      </c>
      <c r="M3404">
        <v>0.86</v>
      </c>
      <c r="N3404">
        <v>0.46</v>
      </c>
    </row>
    <row r="3405" spans="1:14" x14ac:dyDescent="0.25">
      <c r="A3405" t="s">
        <v>6238</v>
      </c>
      <c r="B3405" t="s">
        <v>6239</v>
      </c>
      <c r="C3405" s="1" t="str">
        <f>HYPERLINK("http://www.genecards.org/cgi-bin/carddisp.pl?gene=CHD1","GeneCards")</f>
        <v>GeneCards</v>
      </c>
      <c r="D3405" s="1" t="str">
        <f>HYPERLINK("http://genome-euro.ucsc.edu/cgi-bin/hgTracks?position=204258_at","UCSC")</f>
        <v>UCSC</v>
      </c>
      <c r="E3405" s="1" t="str">
        <f>HYPERLINK("http://www.ncbi.nlm.nih.gov/gene/?term=CHD1","NCBI")</f>
        <v>NCBI</v>
      </c>
      <c r="F3405">
        <v>2.1000000000000001E-2</v>
      </c>
      <c r="G3405">
        <v>0.11</v>
      </c>
      <c r="H3405" s="1" t="str">
        <f>HYPERLINK("http://www.weizmann.ac.il/complex/compphys/software/geview/data/figures/204258_at.png","Figure")</f>
        <v>Figure</v>
      </c>
      <c r="I3405">
        <v>1.04</v>
      </c>
      <c r="J3405">
        <v>0.98</v>
      </c>
      <c r="K3405">
        <v>0.56399999999999995</v>
      </c>
      <c r="L3405">
        <v>4.5999999999999999E-2</v>
      </c>
      <c r="M3405">
        <v>0.54</v>
      </c>
      <c r="N3405">
        <v>4.3999999999999997E-2</v>
      </c>
    </row>
    <row r="3406" spans="1:14" x14ac:dyDescent="0.25">
      <c r="A3406" t="s">
        <v>6240</v>
      </c>
      <c r="B3406" t="s">
        <v>6241</v>
      </c>
      <c r="C3406" s="1" t="str">
        <f>HYPERLINK("http://www.genecards.org/cgi-bin/carddisp.pl?gene=DZIP1","GeneCards")</f>
        <v>GeneCards</v>
      </c>
      <c r="D3406" s="1" t="str">
        <f>HYPERLINK("http://genome-euro.ucsc.edu/cgi-bin/hgTracks?position=204556_s_at","UCSC")</f>
        <v>UCSC</v>
      </c>
      <c r="E3406" s="1" t="str">
        <f>HYPERLINK("http://www.ncbi.nlm.nih.gov/gene/?term=DZIP1","NCBI")</f>
        <v>NCBI</v>
      </c>
      <c r="F3406">
        <v>2.1000000000000001E-2</v>
      </c>
      <c r="G3406">
        <v>0.11</v>
      </c>
      <c r="H3406" s="1" t="str">
        <f>HYPERLINK("http://www.weizmann.ac.il/complex/compphys/software/geview/data/figures/204556_s_at.png","Figure")</f>
        <v>Figure</v>
      </c>
      <c r="I3406">
        <v>1.23</v>
      </c>
      <c r="J3406">
        <v>1.7999999999999999E-2</v>
      </c>
      <c r="K3406">
        <v>1.07</v>
      </c>
      <c r="L3406">
        <v>0.5</v>
      </c>
      <c r="M3406">
        <v>0.86899999999999999</v>
      </c>
      <c r="N3406">
        <v>8.5999999999999993E-2</v>
      </c>
    </row>
    <row r="3407" spans="1:14" x14ac:dyDescent="0.25">
      <c r="A3407" t="s">
        <v>6242</v>
      </c>
      <c r="B3407" t="s">
        <v>6243</v>
      </c>
      <c r="C3407" s="1" t="str">
        <f>HYPERLINK("http://www.genecards.org/cgi-bin/carddisp.pl?gene=EXO1","GeneCards")</f>
        <v>GeneCards</v>
      </c>
      <c r="D3407" s="1" t="str">
        <f>HYPERLINK("http://genome-euro.ucsc.edu/cgi-bin/hgTracks?position=204603_at","UCSC")</f>
        <v>UCSC</v>
      </c>
      <c r="E3407" s="1" t="str">
        <f>HYPERLINK("http://www.ncbi.nlm.nih.gov/gene/?term=EXO1","NCBI")</f>
        <v>NCBI</v>
      </c>
      <c r="F3407">
        <v>2.1000000000000001E-2</v>
      </c>
      <c r="G3407">
        <v>0.11</v>
      </c>
      <c r="H3407" s="1" t="str">
        <f>HYPERLINK("http://www.weizmann.ac.il/complex/compphys/software/geview/data/figures/204603_at.png","Figure")</f>
        <v>Figure</v>
      </c>
      <c r="I3407">
        <v>1.23</v>
      </c>
      <c r="J3407">
        <v>7.2999999999999995E-2</v>
      </c>
      <c r="K3407">
        <v>1.26</v>
      </c>
      <c r="L3407">
        <v>2.1999999999999999E-2</v>
      </c>
      <c r="M3407">
        <v>1.02</v>
      </c>
      <c r="N3407">
        <v>0.96</v>
      </c>
    </row>
    <row r="3408" spans="1:14" x14ac:dyDescent="0.25">
      <c r="A3408" t="s">
        <v>6244</v>
      </c>
      <c r="B3408" t="s">
        <v>4472</v>
      </c>
      <c r="C3408" s="1" t="str">
        <f>HYPERLINK("http://www.genecards.org/cgi-bin/carddisp.pl?gene=DCTN5","GeneCards")</f>
        <v>GeneCards</v>
      </c>
      <c r="D3408" s="1" t="str">
        <f>HYPERLINK("http://genome-euro.ucsc.edu/cgi-bin/hgTracks?position=209231_s_at","UCSC")</f>
        <v>UCSC</v>
      </c>
      <c r="E3408" s="1" t="str">
        <f>HYPERLINK("http://www.ncbi.nlm.nih.gov/gene/?term=DCTN5","NCBI")</f>
        <v>NCBI</v>
      </c>
      <c r="F3408">
        <v>2.1000000000000001E-2</v>
      </c>
      <c r="G3408">
        <v>0.11</v>
      </c>
      <c r="H3408" s="1" t="str">
        <f>HYPERLINK("http://www.weizmann.ac.il/complex/compphys/software/geview/data/figures/209231_s_at.png","Figure")</f>
        <v>Figure</v>
      </c>
      <c r="I3408">
        <v>1.03</v>
      </c>
      <c r="J3408">
        <v>0.98</v>
      </c>
      <c r="K3408">
        <v>0.71099999999999997</v>
      </c>
      <c r="L3408">
        <v>4.4999999999999998E-2</v>
      </c>
      <c r="M3408">
        <v>0.69299999999999995</v>
      </c>
      <c r="N3408">
        <v>4.4999999999999998E-2</v>
      </c>
    </row>
    <row r="3409" spans="1:14" x14ac:dyDescent="0.25">
      <c r="A3409" t="s">
        <v>6245</v>
      </c>
      <c r="B3409" t="s">
        <v>3543</v>
      </c>
      <c r="C3409" s="1" t="str">
        <f>HYPERLINK("http://www.genecards.org/cgi-bin/carddisp.pl?gene=IQGAP1","GeneCards")</f>
        <v>GeneCards</v>
      </c>
      <c r="D3409" s="1" t="str">
        <f>HYPERLINK("http://genome-euro.ucsc.edu/cgi-bin/hgTracks?position=210840_s_at","UCSC")</f>
        <v>UCSC</v>
      </c>
      <c r="E3409" s="1" t="str">
        <f>HYPERLINK("http://www.ncbi.nlm.nih.gov/gene/?term=IQGAP1","NCBI")</f>
        <v>NCBI</v>
      </c>
      <c r="F3409">
        <v>2.1000000000000001E-2</v>
      </c>
      <c r="G3409">
        <v>0.11</v>
      </c>
      <c r="H3409" s="1" t="str">
        <f>HYPERLINK("http://www.weizmann.ac.il/complex/compphys/software/geview/data/figures/210840_s_at.png","Figure")</f>
        <v>Figure</v>
      </c>
      <c r="I3409">
        <v>1.06</v>
      </c>
      <c r="J3409">
        <v>0.93</v>
      </c>
      <c r="K3409">
        <v>1.45</v>
      </c>
      <c r="L3409">
        <v>2.8000000000000001E-2</v>
      </c>
      <c r="M3409">
        <v>1.38</v>
      </c>
      <c r="N3409">
        <v>8.2000000000000003E-2</v>
      </c>
    </row>
    <row r="3410" spans="1:14" x14ac:dyDescent="0.25">
      <c r="A3410" t="s">
        <v>6246</v>
      </c>
      <c r="B3410" t="s">
        <v>6247</v>
      </c>
      <c r="C3410" s="1" t="str">
        <f>HYPERLINK("http://www.genecards.org/cgi-bin/carddisp.pl?gene=UNC84B","GeneCards")</f>
        <v>GeneCards</v>
      </c>
      <c r="D3410" s="1" t="str">
        <f>HYPERLINK("http://genome-euro.ucsc.edu/cgi-bin/hgTracks?position=212144_at","UCSC")</f>
        <v>UCSC</v>
      </c>
      <c r="E3410" s="1" t="str">
        <f>HYPERLINK("http://www.ncbi.nlm.nih.gov/gene/?term=UNC84B","NCBI")</f>
        <v>NCBI</v>
      </c>
      <c r="F3410">
        <v>2.1000000000000001E-2</v>
      </c>
      <c r="G3410">
        <v>0.11</v>
      </c>
      <c r="H3410" s="1" t="str">
        <f>HYPERLINK("http://www.weizmann.ac.il/complex/compphys/software/geview/data/figures/212144_at.png","Figure")</f>
        <v>Figure</v>
      </c>
      <c r="I3410">
        <v>1.52</v>
      </c>
      <c r="J3410">
        <v>0.12</v>
      </c>
      <c r="K3410">
        <v>1.73</v>
      </c>
      <c r="L3410">
        <v>1.7999999999999999E-2</v>
      </c>
      <c r="M3410">
        <v>1.1399999999999999</v>
      </c>
      <c r="N3410">
        <v>0.77</v>
      </c>
    </row>
    <row r="3411" spans="1:14" x14ac:dyDescent="0.25">
      <c r="A3411" t="s">
        <v>6248</v>
      </c>
      <c r="B3411" t="s">
        <v>3651</v>
      </c>
      <c r="C3411" s="1" t="str">
        <f>HYPERLINK("http://www.genecards.org/cgi-bin/carddisp.pl?gene=GLRX3","GeneCards")</f>
        <v>GeneCards</v>
      </c>
      <c r="D3411" s="1" t="str">
        <f>HYPERLINK("http://genome-euro.ucsc.edu/cgi-bin/hgTracks?position=216532_x_at","UCSC")</f>
        <v>UCSC</v>
      </c>
      <c r="E3411" s="1" t="str">
        <f>HYPERLINK("http://www.ncbi.nlm.nih.gov/gene/?term=GLRX3","NCBI")</f>
        <v>NCBI</v>
      </c>
      <c r="F3411">
        <v>2.1000000000000001E-2</v>
      </c>
      <c r="G3411">
        <v>0.11</v>
      </c>
      <c r="H3411" s="1" t="str">
        <f>HYPERLINK("http://www.weizmann.ac.il/complex/compphys/software/geview/data/figures/216532_x_at.png","Figure")</f>
        <v>Figure</v>
      </c>
      <c r="I3411">
        <v>1.21</v>
      </c>
      <c r="J3411">
        <v>0.17</v>
      </c>
      <c r="K3411">
        <v>1.32</v>
      </c>
      <c r="L3411">
        <v>1.7000000000000001E-2</v>
      </c>
      <c r="M3411">
        <v>1.0900000000000001</v>
      </c>
      <c r="N3411">
        <v>0.63</v>
      </c>
    </row>
    <row r="3412" spans="1:14" x14ac:dyDescent="0.25">
      <c r="A3412" t="s">
        <v>6249</v>
      </c>
      <c r="B3412" t="s">
        <v>6250</v>
      </c>
      <c r="C3412" s="1" t="str">
        <f>HYPERLINK("http://www.genecards.org/cgi-bin/carddisp.pl?gene=BCL2L13","GeneCards")</f>
        <v>GeneCards</v>
      </c>
      <c r="D3412" s="1" t="str">
        <f>HYPERLINK("http://genome-euro.ucsc.edu/cgi-bin/hgTracks?position=217955_at","UCSC")</f>
        <v>UCSC</v>
      </c>
      <c r="E3412" s="1" t="str">
        <f>HYPERLINK("http://www.ncbi.nlm.nih.gov/gene/?term=BCL2L13","NCBI")</f>
        <v>NCBI</v>
      </c>
      <c r="F3412">
        <v>2.1000000000000001E-2</v>
      </c>
      <c r="G3412">
        <v>0.11</v>
      </c>
      <c r="H3412" s="1" t="str">
        <f>HYPERLINK("http://www.weizmann.ac.il/complex/compphys/software/geview/data/figures/217955_at.png","Figure")</f>
        <v>Figure</v>
      </c>
      <c r="I3412">
        <v>0.67100000000000004</v>
      </c>
      <c r="J3412">
        <v>0.1</v>
      </c>
      <c r="K3412">
        <v>1.1499999999999999</v>
      </c>
      <c r="L3412">
        <v>0.66</v>
      </c>
      <c r="M3412">
        <v>1.71</v>
      </c>
      <c r="N3412">
        <v>1.7000000000000001E-2</v>
      </c>
    </row>
    <row r="3413" spans="1:14" x14ac:dyDescent="0.25">
      <c r="A3413" t="s">
        <v>6251</v>
      </c>
      <c r="B3413" t="s">
        <v>6252</v>
      </c>
      <c r="C3413" s="1" t="str">
        <f>HYPERLINK("http://www.genecards.org/cgi-bin/carddisp.pl?gene=PELI1","GeneCards")</f>
        <v>GeneCards</v>
      </c>
      <c r="D3413" s="1" t="str">
        <f>HYPERLINK("http://genome-euro.ucsc.edu/cgi-bin/hgTracks?position=218319_at","UCSC")</f>
        <v>UCSC</v>
      </c>
      <c r="E3413" s="1" t="str">
        <f>HYPERLINK("http://www.ncbi.nlm.nih.gov/gene/?term=PELI1","NCBI")</f>
        <v>NCBI</v>
      </c>
      <c r="F3413">
        <v>2.1000000000000001E-2</v>
      </c>
      <c r="G3413">
        <v>0.11</v>
      </c>
      <c r="H3413" s="1" t="str">
        <f>HYPERLINK("http://www.weizmann.ac.il/complex/compphys/software/geview/data/figures/218319_at.png","Figure")</f>
        <v>Figure</v>
      </c>
      <c r="I3413">
        <v>0.81100000000000005</v>
      </c>
      <c r="J3413">
        <v>0.93</v>
      </c>
      <c r="K3413">
        <v>0.23</v>
      </c>
      <c r="L3413">
        <v>2.8000000000000001E-2</v>
      </c>
      <c r="M3413">
        <v>0.28299999999999997</v>
      </c>
      <c r="N3413">
        <v>8.1000000000000003E-2</v>
      </c>
    </row>
    <row r="3414" spans="1:14" x14ac:dyDescent="0.25">
      <c r="A3414" t="s">
        <v>6253</v>
      </c>
      <c r="B3414" t="s">
        <v>6254</v>
      </c>
      <c r="C3414" s="1" t="str">
        <f>HYPERLINK("http://www.genecards.org/cgi-bin/carddisp.pl?gene=GRRP1","GeneCards")</f>
        <v>GeneCards</v>
      </c>
      <c r="D3414" s="1" t="str">
        <f>HYPERLINK("http://genome-euro.ucsc.edu/cgi-bin/hgTracks?position=220430_at","UCSC")</f>
        <v>UCSC</v>
      </c>
      <c r="E3414" s="1" t="str">
        <f>HYPERLINK("http://www.ncbi.nlm.nih.gov/gene/?term=GRRP1","NCBI")</f>
        <v>NCBI</v>
      </c>
      <c r="F3414">
        <v>2.1000000000000001E-2</v>
      </c>
      <c r="G3414">
        <v>0.11</v>
      </c>
      <c r="H3414" s="1" t="str">
        <f>HYPERLINK("http://www.weizmann.ac.il/complex/compphys/software/geview/data/figures/220430_at.png","Figure")</f>
        <v>Figure</v>
      </c>
      <c r="I3414">
        <v>1.29</v>
      </c>
      <c r="J3414">
        <v>0.02</v>
      </c>
      <c r="K3414">
        <v>1.18</v>
      </c>
      <c r="L3414">
        <v>9.0999999999999998E-2</v>
      </c>
      <c r="M3414">
        <v>0.91400000000000003</v>
      </c>
      <c r="N3414">
        <v>0.47</v>
      </c>
    </row>
    <row r="3415" spans="1:14" x14ac:dyDescent="0.25">
      <c r="A3415" t="s">
        <v>6255</v>
      </c>
      <c r="B3415" t="s">
        <v>2144</v>
      </c>
      <c r="C3415" s="1" t="str">
        <f>HYPERLINK("http://www.genecards.org/cgi-bin/carddisp.pl?gene=CALM1","GeneCards")</f>
        <v>GeneCards</v>
      </c>
      <c r="D3415" s="1" t="str">
        <f>HYPERLINK("http://genome-euro.ucsc.edu/cgi-bin/hgTracks?position=200653_s_at","UCSC")</f>
        <v>UCSC</v>
      </c>
      <c r="E3415" s="1" t="str">
        <f>HYPERLINK("http://www.ncbi.nlm.nih.gov/gene/?term=CALM1","NCBI")</f>
        <v>NCBI</v>
      </c>
      <c r="F3415">
        <v>2.1000000000000001E-2</v>
      </c>
      <c r="G3415">
        <v>0.11</v>
      </c>
      <c r="H3415" s="1" t="str">
        <f>HYPERLINK("http://www.weizmann.ac.il/complex/compphys/software/geview/data/figures/200653_s_at.png","Figure")</f>
        <v>Figure</v>
      </c>
      <c r="I3415">
        <v>0.624</v>
      </c>
      <c r="J3415">
        <v>4.5999999999999999E-2</v>
      </c>
      <c r="K3415">
        <v>1.03</v>
      </c>
      <c r="L3415">
        <v>0.98</v>
      </c>
      <c r="M3415">
        <v>1.65</v>
      </c>
      <c r="N3415">
        <v>2.4E-2</v>
      </c>
    </row>
    <row r="3416" spans="1:14" x14ac:dyDescent="0.25">
      <c r="A3416" t="s">
        <v>6256</v>
      </c>
      <c r="B3416" t="s">
        <v>6257</v>
      </c>
      <c r="C3416" s="1" t="str">
        <f>HYPERLINK("http://www.genecards.org/cgi-bin/carddisp.pl?gene=CCDC19","GeneCards")</f>
        <v>GeneCards</v>
      </c>
      <c r="D3416" s="1" t="str">
        <f>HYPERLINK("http://genome-euro.ucsc.edu/cgi-bin/hgTracks?position=220308_at","UCSC")</f>
        <v>UCSC</v>
      </c>
      <c r="E3416" s="1" t="str">
        <f>HYPERLINK("http://www.ncbi.nlm.nih.gov/gene/?term=CCDC19","NCBI")</f>
        <v>NCBI</v>
      </c>
      <c r="F3416">
        <v>2.1000000000000001E-2</v>
      </c>
      <c r="G3416">
        <v>0.11</v>
      </c>
      <c r="H3416" s="1" t="str">
        <f>HYPERLINK("http://www.weizmann.ac.il/complex/compphys/software/geview/data/figures/220308_at.png","Figure")</f>
        <v>Figure</v>
      </c>
      <c r="I3416">
        <v>1.37</v>
      </c>
      <c r="J3416">
        <v>2.7E-2</v>
      </c>
      <c r="K3416">
        <v>1.04</v>
      </c>
      <c r="L3416">
        <v>0.92</v>
      </c>
      <c r="M3416">
        <v>0.75700000000000001</v>
      </c>
      <c r="N3416">
        <v>3.6999999999999998E-2</v>
      </c>
    </row>
    <row r="3417" spans="1:14" x14ac:dyDescent="0.25">
      <c r="A3417" t="s">
        <v>6258</v>
      </c>
      <c r="B3417" t="s">
        <v>813</v>
      </c>
      <c r="C3417" s="1" t="str">
        <f>HYPERLINK("http://www.genecards.org/cgi-bin/carddisp.pl?gene=RYK","GeneCards")</f>
        <v>GeneCards</v>
      </c>
      <c r="D3417" s="1" t="str">
        <f>HYPERLINK("http://genome-euro.ucsc.edu/cgi-bin/hgTracks?position=216976_s_at","UCSC")</f>
        <v>UCSC</v>
      </c>
      <c r="E3417" s="1" t="str">
        <f>HYPERLINK("http://www.ncbi.nlm.nih.gov/gene/?term=RYK","NCBI")</f>
        <v>NCBI</v>
      </c>
      <c r="F3417">
        <v>2.1000000000000001E-2</v>
      </c>
      <c r="G3417">
        <v>0.11</v>
      </c>
      <c r="H3417" s="1" t="str">
        <f>HYPERLINK("http://www.weizmann.ac.il/complex/compphys/software/geview/data/figures/216976_s_at.png","Figure")</f>
        <v>Figure</v>
      </c>
      <c r="I3417">
        <v>0.86499999999999999</v>
      </c>
      <c r="J3417">
        <v>0.22</v>
      </c>
      <c r="K3417">
        <v>0.79500000000000004</v>
      </c>
      <c r="L3417">
        <v>1.7000000000000001E-2</v>
      </c>
      <c r="M3417">
        <v>0.91800000000000004</v>
      </c>
      <c r="N3417">
        <v>0.52</v>
      </c>
    </row>
    <row r="3418" spans="1:14" x14ac:dyDescent="0.25">
      <c r="A3418" t="s">
        <v>6259</v>
      </c>
      <c r="B3418" t="s">
        <v>6260</v>
      </c>
      <c r="C3418" s="1" t="str">
        <f>HYPERLINK("http://www.genecards.org/cgi-bin/carddisp.pl?gene=HIF1AN","GeneCards")</f>
        <v>GeneCards</v>
      </c>
      <c r="D3418" s="1" t="str">
        <f>HYPERLINK("http://genome-euro.ucsc.edu/cgi-bin/hgTracks?position=218525_s_at","UCSC")</f>
        <v>UCSC</v>
      </c>
      <c r="E3418" s="1" t="str">
        <f>HYPERLINK("http://www.ncbi.nlm.nih.gov/gene/?term=HIF1AN","NCBI")</f>
        <v>NCBI</v>
      </c>
      <c r="F3418">
        <v>2.1000000000000001E-2</v>
      </c>
      <c r="G3418">
        <v>0.11</v>
      </c>
      <c r="H3418" s="1" t="str">
        <f>HYPERLINK("http://www.weizmann.ac.il/complex/compphys/software/geview/data/figures/218525_s_at.png","Figure")</f>
        <v>Figure</v>
      </c>
      <c r="I3418">
        <v>1.1499999999999999</v>
      </c>
      <c r="J3418">
        <v>8.8999999999999996E-2</v>
      </c>
      <c r="K3418">
        <v>1.18</v>
      </c>
      <c r="L3418">
        <v>0.02</v>
      </c>
      <c r="M3418">
        <v>1.03</v>
      </c>
      <c r="N3418">
        <v>0.9</v>
      </c>
    </row>
    <row r="3419" spans="1:14" x14ac:dyDescent="0.25">
      <c r="A3419" t="s">
        <v>6261</v>
      </c>
      <c r="B3419" t="s">
        <v>6262</v>
      </c>
      <c r="C3419" s="1" t="str">
        <f>HYPERLINK("http://www.genecards.org/cgi-bin/carddisp.pl?gene=LOXL3","GeneCards")</f>
        <v>GeneCards</v>
      </c>
      <c r="D3419" s="1" t="str">
        <f>HYPERLINK("http://genome-euro.ucsc.edu/cgi-bin/hgTracks?position=216385_at","UCSC")</f>
        <v>UCSC</v>
      </c>
      <c r="E3419" s="1" t="str">
        <f>HYPERLINK("http://www.ncbi.nlm.nih.gov/gene/?term=LOXL3","NCBI")</f>
        <v>NCBI</v>
      </c>
      <c r="F3419">
        <v>2.1000000000000001E-2</v>
      </c>
      <c r="G3419">
        <v>0.11</v>
      </c>
      <c r="H3419" s="1" t="str">
        <f>HYPERLINK("http://www.weizmann.ac.il/complex/compphys/software/geview/data/figures/216385_at.png","Figure")</f>
        <v>Figure</v>
      </c>
      <c r="I3419">
        <v>1.36</v>
      </c>
      <c r="J3419">
        <v>0.02</v>
      </c>
      <c r="K3419">
        <v>1.21</v>
      </c>
      <c r="L3419">
        <v>9.9000000000000005E-2</v>
      </c>
      <c r="M3419">
        <v>0.89200000000000002</v>
      </c>
      <c r="N3419">
        <v>0.44</v>
      </c>
    </row>
    <row r="3420" spans="1:14" x14ac:dyDescent="0.25">
      <c r="A3420" t="s">
        <v>6263</v>
      </c>
      <c r="B3420" t="s">
        <v>6264</v>
      </c>
      <c r="C3420" s="1" t="str">
        <f>HYPERLINK("http://www.genecards.org/cgi-bin/carddisp.pl?gene=APOL1","GeneCards")</f>
        <v>GeneCards</v>
      </c>
      <c r="D3420" s="1" t="str">
        <f>HYPERLINK("http://genome-euro.ucsc.edu/cgi-bin/hgTracks?position=209546_s_at","UCSC")</f>
        <v>UCSC</v>
      </c>
      <c r="E3420" s="1" t="str">
        <f>HYPERLINK("http://www.ncbi.nlm.nih.gov/gene/?term=APOL1","NCBI")</f>
        <v>NCBI</v>
      </c>
      <c r="F3420">
        <v>2.1999999999999999E-2</v>
      </c>
      <c r="G3420">
        <v>0.11</v>
      </c>
      <c r="H3420" s="1" t="str">
        <f>HYPERLINK("http://www.weizmann.ac.il/complex/compphys/software/geview/data/figures/209546_s_at.png","Figure")</f>
        <v>Figure</v>
      </c>
      <c r="I3420">
        <v>1.37</v>
      </c>
      <c r="J3420">
        <v>1.7000000000000001E-2</v>
      </c>
      <c r="K3420">
        <v>1.17</v>
      </c>
      <c r="L3420">
        <v>0.19</v>
      </c>
      <c r="M3420">
        <v>0.85499999999999998</v>
      </c>
      <c r="N3420">
        <v>0.23</v>
      </c>
    </row>
    <row r="3421" spans="1:14" x14ac:dyDescent="0.25">
      <c r="A3421" t="s">
        <v>6265</v>
      </c>
      <c r="B3421" t="s">
        <v>6266</v>
      </c>
      <c r="C3421" s="1" t="str">
        <f>HYPERLINK("http://www.genecards.org/cgi-bin/carddisp.pl?gene=CCNA2","GeneCards")</f>
        <v>GeneCards</v>
      </c>
      <c r="D3421" s="1" t="str">
        <f>HYPERLINK("http://genome-euro.ucsc.edu/cgi-bin/hgTracks?position=213226_at","UCSC")</f>
        <v>UCSC</v>
      </c>
      <c r="E3421" s="1" t="str">
        <f>HYPERLINK("http://www.ncbi.nlm.nih.gov/gene/?term=CCNA2","NCBI")</f>
        <v>NCBI</v>
      </c>
      <c r="F3421">
        <v>2.1000000000000001E-2</v>
      </c>
      <c r="G3421">
        <v>0.11</v>
      </c>
      <c r="H3421" s="1" t="str">
        <f>HYPERLINK("http://www.weizmann.ac.il/complex/compphys/software/geview/data/figures/213226_at.png","Figure")</f>
        <v>Figure</v>
      </c>
      <c r="I3421">
        <v>0.54200000000000004</v>
      </c>
      <c r="J3421">
        <v>1.7999999999999999E-2</v>
      </c>
      <c r="K3421">
        <v>0.82199999999999995</v>
      </c>
      <c r="L3421">
        <v>0.49</v>
      </c>
      <c r="M3421">
        <v>1.52</v>
      </c>
      <c r="N3421">
        <v>8.7999999999999995E-2</v>
      </c>
    </row>
    <row r="3422" spans="1:14" x14ac:dyDescent="0.25">
      <c r="A3422" t="s">
        <v>6267</v>
      </c>
      <c r="B3422" t="s">
        <v>6268</v>
      </c>
      <c r="C3422" s="1" t="str">
        <f>HYPERLINK("http://www.genecards.org/cgi-bin/carddisp.pl?gene=CYP2A6","GeneCards")</f>
        <v>GeneCards</v>
      </c>
      <c r="D3422" s="1" t="str">
        <f>HYPERLINK("http://genome-euro.ucsc.edu/cgi-bin/hgTracks?position=214320_x_at","UCSC")</f>
        <v>UCSC</v>
      </c>
      <c r="E3422" s="1" t="str">
        <f>HYPERLINK("http://www.ncbi.nlm.nih.gov/gene/?term=CYP2A6","NCBI")</f>
        <v>NCBI</v>
      </c>
      <c r="F3422">
        <v>2.1999999999999999E-2</v>
      </c>
      <c r="G3422">
        <v>0.11</v>
      </c>
      <c r="H3422" s="1" t="str">
        <f>HYPERLINK("http://www.weizmann.ac.il/complex/compphys/software/geview/data/figures/214320_x_at.png","Figure")</f>
        <v>Figure</v>
      </c>
      <c r="I3422">
        <v>1.31</v>
      </c>
      <c r="J3422">
        <v>1.7000000000000001E-2</v>
      </c>
      <c r="K3422">
        <v>1.1100000000000001</v>
      </c>
      <c r="L3422">
        <v>0.38</v>
      </c>
      <c r="M3422">
        <v>0.84499999999999997</v>
      </c>
      <c r="N3422">
        <v>0.12</v>
      </c>
    </row>
    <row r="3423" spans="1:14" x14ac:dyDescent="0.25">
      <c r="A3423" t="s">
        <v>6269</v>
      </c>
      <c r="B3423" t="s">
        <v>3397</v>
      </c>
      <c r="C3423" s="1" t="str">
        <f>HYPERLINK("http://www.genecards.org/cgi-bin/carddisp.pl?gene=TCF7L2","GeneCards")</f>
        <v>GeneCards</v>
      </c>
      <c r="D3423" s="1" t="str">
        <f>HYPERLINK("http://genome-euro.ucsc.edu/cgi-bin/hgTracks?position=216035_x_at","UCSC")</f>
        <v>UCSC</v>
      </c>
      <c r="E3423" s="1" t="str">
        <f>HYPERLINK("http://www.ncbi.nlm.nih.gov/gene/?term=TCF7L2","NCBI")</f>
        <v>NCBI</v>
      </c>
      <c r="F3423">
        <v>2.1999999999999999E-2</v>
      </c>
      <c r="G3423">
        <v>0.11</v>
      </c>
      <c r="H3423" s="1" t="str">
        <f>HYPERLINK("http://www.weizmann.ac.il/complex/compphys/software/geview/data/figures/216035_x_at.png","Figure")</f>
        <v>Figure</v>
      </c>
      <c r="I3423">
        <v>0.70599999999999996</v>
      </c>
      <c r="J3423">
        <v>0.48</v>
      </c>
      <c r="K3423">
        <v>0.443</v>
      </c>
      <c r="L3423">
        <v>1.7999999999999999E-2</v>
      </c>
      <c r="M3423">
        <v>0.627</v>
      </c>
      <c r="N3423">
        <v>0.24</v>
      </c>
    </row>
    <row r="3424" spans="1:14" x14ac:dyDescent="0.25">
      <c r="A3424" t="s">
        <v>6270</v>
      </c>
      <c r="B3424" t="s">
        <v>6271</v>
      </c>
      <c r="C3424" s="1" t="str">
        <f>HYPERLINK("http://www.genecards.org/cgi-bin/carddisp.pl?gene=CATSPER2 /// CATSPER2P1","GeneCards")</f>
        <v>GeneCards</v>
      </c>
      <c r="D3424" s="1" t="str">
        <f>HYPERLINK("http://genome-euro.ucsc.edu/cgi-bin/hgTracks?position=217588_at","UCSC")</f>
        <v>UCSC</v>
      </c>
      <c r="E3424" s="1" t="str">
        <f>HYPERLINK("http://www.ncbi.nlm.nih.gov/gene/?term=CATSPER2 /// CATSPER2P1","NCBI")</f>
        <v>NCBI</v>
      </c>
      <c r="F3424">
        <v>2.1000000000000001E-2</v>
      </c>
      <c r="G3424">
        <v>0.11</v>
      </c>
      <c r="H3424" s="1" t="str">
        <f>HYPERLINK("http://www.weizmann.ac.il/complex/compphys/software/geview/data/figures/217588_at.png","Figure")</f>
        <v>Figure</v>
      </c>
      <c r="I3424">
        <v>1.37</v>
      </c>
      <c r="J3424">
        <v>5.3999999999999999E-2</v>
      </c>
      <c r="K3424">
        <v>0.96499999999999997</v>
      </c>
      <c r="L3424">
        <v>0.94</v>
      </c>
      <c r="M3424">
        <v>0.70599999999999996</v>
      </c>
      <c r="N3424">
        <v>2.1999999999999999E-2</v>
      </c>
    </row>
    <row r="3425" spans="1:14" x14ac:dyDescent="0.25">
      <c r="A3425" t="s">
        <v>6272</v>
      </c>
      <c r="B3425" t="s">
        <v>5548</v>
      </c>
      <c r="C3425" s="1" t="str">
        <f>HYPERLINK("http://www.genecards.org/cgi-bin/carddisp.pl?gene=DYNLRB1","GeneCards")</f>
        <v>GeneCards</v>
      </c>
      <c r="D3425" s="1" t="str">
        <f>HYPERLINK("http://genome-euro.ucsc.edu/cgi-bin/hgTracks?position=217917_s_at","UCSC")</f>
        <v>UCSC</v>
      </c>
      <c r="E3425" s="1" t="str">
        <f>HYPERLINK("http://www.ncbi.nlm.nih.gov/gene/?term=DYNLRB1","NCBI")</f>
        <v>NCBI</v>
      </c>
      <c r="F3425">
        <v>2.1999999999999999E-2</v>
      </c>
      <c r="G3425">
        <v>0.11</v>
      </c>
      <c r="H3425" s="1" t="str">
        <f>HYPERLINK("http://www.weizmann.ac.il/complex/compphys/software/geview/data/figures/217917_s_at.png","Figure")</f>
        <v>Figure</v>
      </c>
      <c r="I3425">
        <v>0.874</v>
      </c>
      <c r="J3425">
        <v>0.67</v>
      </c>
      <c r="K3425">
        <v>1.36</v>
      </c>
      <c r="L3425">
        <v>0.1</v>
      </c>
      <c r="M3425">
        <v>1.55</v>
      </c>
      <c r="N3425">
        <v>2.5000000000000001E-2</v>
      </c>
    </row>
    <row r="3426" spans="1:14" x14ac:dyDescent="0.25">
      <c r="A3426" t="s">
        <v>6273</v>
      </c>
      <c r="B3426" t="s">
        <v>6274</v>
      </c>
      <c r="C3426" s="1" t="str">
        <f>HYPERLINK("http://www.genecards.org/cgi-bin/carddisp.pl?gene=TMCO6","GeneCards")</f>
        <v>GeneCards</v>
      </c>
      <c r="D3426" s="1" t="str">
        <f>HYPERLINK("http://genome-euro.ucsc.edu/cgi-bin/hgTracks?position=221096_s_at","UCSC")</f>
        <v>UCSC</v>
      </c>
      <c r="E3426" s="1" t="str">
        <f>HYPERLINK("http://www.ncbi.nlm.nih.gov/gene/?term=TMCO6","NCBI")</f>
        <v>NCBI</v>
      </c>
      <c r="F3426">
        <v>2.1999999999999999E-2</v>
      </c>
      <c r="G3426">
        <v>0.11</v>
      </c>
      <c r="H3426" s="1" t="str">
        <f>HYPERLINK("http://www.weizmann.ac.il/complex/compphys/software/geview/data/figures/221096_s_at.png","Figure")</f>
        <v>Figure</v>
      </c>
      <c r="I3426">
        <v>0.86599999999999999</v>
      </c>
      <c r="J3426">
        <v>0.11</v>
      </c>
      <c r="K3426">
        <v>1.05</v>
      </c>
      <c r="L3426">
        <v>0.64</v>
      </c>
      <c r="M3426">
        <v>1.22</v>
      </c>
      <c r="N3426">
        <v>1.7000000000000001E-2</v>
      </c>
    </row>
    <row r="3427" spans="1:14" x14ac:dyDescent="0.25">
      <c r="A3427" t="s">
        <v>6275</v>
      </c>
      <c r="B3427" t="s">
        <v>6276</v>
      </c>
      <c r="C3427" s="1" t="str">
        <f>HYPERLINK("http://www.genecards.org/cgi-bin/carddisp.pl?gene=AATK","GeneCards")</f>
        <v>GeneCards</v>
      </c>
      <c r="D3427" s="1" t="str">
        <f>HYPERLINK("http://genome-euro.ucsc.edu/cgi-bin/hgTracks?position=205986_at","UCSC")</f>
        <v>UCSC</v>
      </c>
      <c r="E3427" s="1" t="str">
        <f>HYPERLINK("http://www.ncbi.nlm.nih.gov/gene/?term=AATK","NCBI")</f>
        <v>NCBI</v>
      </c>
      <c r="F3427">
        <v>2.1999999999999999E-2</v>
      </c>
      <c r="G3427">
        <v>0.11</v>
      </c>
      <c r="H3427" s="1" t="str">
        <f>HYPERLINK("http://www.weizmann.ac.il/complex/compphys/software/geview/data/figures/205986_at.png","Figure")</f>
        <v>Figure</v>
      </c>
      <c r="I3427">
        <v>1.35</v>
      </c>
      <c r="J3427">
        <v>0.02</v>
      </c>
      <c r="K3427">
        <v>1.08</v>
      </c>
      <c r="L3427">
        <v>0.66</v>
      </c>
      <c r="M3427">
        <v>0.79600000000000004</v>
      </c>
      <c r="N3427">
        <v>6.2E-2</v>
      </c>
    </row>
    <row r="3428" spans="1:14" x14ac:dyDescent="0.25">
      <c r="A3428" t="s">
        <v>6277</v>
      </c>
      <c r="B3428" t="s">
        <v>6278</v>
      </c>
      <c r="C3428" s="1" t="str">
        <f>HYPERLINK("http://www.genecards.org/cgi-bin/carddisp.pl?gene=PSMC3","GeneCards")</f>
        <v>GeneCards</v>
      </c>
      <c r="D3428" s="1" t="str">
        <f>HYPERLINK("http://genome-euro.ucsc.edu/cgi-bin/hgTracks?position=201267_s_at","UCSC")</f>
        <v>UCSC</v>
      </c>
      <c r="E3428" s="1" t="str">
        <f>HYPERLINK("http://www.ncbi.nlm.nih.gov/gene/?term=PSMC3","NCBI")</f>
        <v>NCBI</v>
      </c>
      <c r="F3428">
        <v>2.1999999999999999E-2</v>
      </c>
      <c r="G3428">
        <v>0.11</v>
      </c>
      <c r="H3428" s="1" t="str">
        <f>HYPERLINK("http://www.weizmann.ac.il/complex/compphys/software/geview/data/figures/201267_s_at.png","Figure")</f>
        <v>Figure</v>
      </c>
      <c r="I3428">
        <v>1.5</v>
      </c>
      <c r="J3428">
        <v>1.7000000000000001E-2</v>
      </c>
      <c r="K3428">
        <v>1.23</v>
      </c>
      <c r="L3428">
        <v>0.17</v>
      </c>
      <c r="M3428">
        <v>0.82399999999999995</v>
      </c>
      <c r="N3428">
        <v>0.26</v>
      </c>
    </row>
    <row r="3429" spans="1:14" x14ac:dyDescent="0.25">
      <c r="A3429" t="s">
        <v>6279</v>
      </c>
      <c r="B3429" t="s">
        <v>6280</v>
      </c>
      <c r="C3429" s="1" t="str">
        <f>HYPERLINK("http://www.genecards.org/cgi-bin/carddisp.pl?gene=MAPT","GeneCards")</f>
        <v>GeneCards</v>
      </c>
      <c r="D3429" s="1" t="str">
        <f>HYPERLINK("http://genome-euro.ucsc.edu/cgi-bin/hgTracks?position=203928_x_at","UCSC")</f>
        <v>UCSC</v>
      </c>
      <c r="E3429" s="1" t="str">
        <f>HYPERLINK("http://www.ncbi.nlm.nih.gov/gene/?term=MAPT","NCBI")</f>
        <v>NCBI</v>
      </c>
      <c r="F3429">
        <v>2.1999999999999999E-2</v>
      </c>
      <c r="G3429">
        <v>0.11</v>
      </c>
      <c r="H3429" s="1" t="str">
        <f>HYPERLINK("http://www.weizmann.ac.il/complex/compphys/software/geview/data/figures/203928_x_at.png","Figure")</f>
        <v>Figure</v>
      </c>
      <c r="I3429">
        <v>1.28</v>
      </c>
      <c r="J3429">
        <v>1.9E-2</v>
      </c>
      <c r="K3429">
        <v>1.07</v>
      </c>
      <c r="L3429">
        <v>0.59</v>
      </c>
      <c r="M3429">
        <v>0.83599999999999997</v>
      </c>
      <c r="N3429">
        <v>7.0999999999999994E-2</v>
      </c>
    </row>
    <row r="3430" spans="1:14" x14ac:dyDescent="0.25">
      <c r="A3430" t="s">
        <v>6281</v>
      </c>
      <c r="B3430" t="s">
        <v>6282</v>
      </c>
      <c r="C3430" s="1" t="str">
        <f>HYPERLINK("http://www.genecards.org/cgi-bin/carddisp.pl?gene=EPS8L1","GeneCards")</f>
        <v>GeneCards</v>
      </c>
      <c r="D3430" s="1" t="str">
        <f>HYPERLINK("http://genome-euro.ucsc.edu/cgi-bin/hgTracks?position=221655_x_at","UCSC")</f>
        <v>UCSC</v>
      </c>
      <c r="E3430" s="1" t="str">
        <f>HYPERLINK("http://www.ncbi.nlm.nih.gov/gene/?term=EPS8L1","NCBI")</f>
        <v>NCBI</v>
      </c>
      <c r="F3430">
        <v>2.1999999999999999E-2</v>
      </c>
      <c r="G3430">
        <v>0.11</v>
      </c>
      <c r="H3430" s="1" t="str">
        <f>HYPERLINK("http://www.weizmann.ac.il/complex/compphys/software/geview/data/figures/221655_x_at.png","Figure")</f>
        <v>Figure</v>
      </c>
      <c r="I3430">
        <v>1.31</v>
      </c>
      <c r="J3430">
        <v>1.9E-2</v>
      </c>
      <c r="K3430">
        <v>1.17</v>
      </c>
      <c r="L3430">
        <v>0.12</v>
      </c>
      <c r="M3430">
        <v>0.89500000000000002</v>
      </c>
      <c r="N3430">
        <v>0.37</v>
      </c>
    </row>
    <row r="3431" spans="1:14" x14ac:dyDescent="0.25">
      <c r="A3431" t="s">
        <v>6283</v>
      </c>
      <c r="B3431" t="s">
        <v>6284</v>
      </c>
      <c r="C3431" s="1" t="str">
        <f>HYPERLINK("http://www.genecards.org/cgi-bin/carddisp.pl?gene=DBP","GeneCards")</f>
        <v>GeneCards</v>
      </c>
      <c r="D3431" s="1" t="str">
        <f>HYPERLINK("http://genome-euro.ucsc.edu/cgi-bin/hgTracks?position=209783_at","UCSC")</f>
        <v>UCSC</v>
      </c>
      <c r="E3431" s="1" t="str">
        <f>HYPERLINK("http://www.ncbi.nlm.nih.gov/gene/?term=DBP","NCBI")</f>
        <v>NCBI</v>
      </c>
      <c r="F3431">
        <v>2.1999999999999999E-2</v>
      </c>
      <c r="G3431">
        <v>0.11</v>
      </c>
      <c r="H3431" s="1" t="str">
        <f>HYPERLINK("http://www.weizmann.ac.il/complex/compphys/software/geview/data/figures/209783_at.png","Figure")</f>
        <v>Figure</v>
      </c>
      <c r="I3431">
        <v>1.18</v>
      </c>
      <c r="J3431">
        <v>2.1000000000000001E-2</v>
      </c>
      <c r="K3431">
        <v>1.1200000000000001</v>
      </c>
      <c r="L3431">
        <v>8.1000000000000003E-2</v>
      </c>
      <c r="M3431">
        <v>0.94599999999999995</v>
      </c>
      <c r="N3431">
        <v>0.53</v>
      </c>
    </row>
    <row r="3432" spans="1:14" x14ac:dyDescent="0.25">
      <c r="A3432" t="s">
        <v>6285</v>
      </c>
      <c r="B3432" t="s">
        <v>6286</v>
      </c>
      <c r="C3432" s="1" t="str">
        <f>HYPERLINK("http://www.genecards.org/cgi-bin/carddisp.pl?gene=C1GALT1C1","GeneCards")</f>
        <v>GeneCards</v>
      </c>
      <c r="D3432" s="1" t="str">
        <f>HYPERLINK("http://genome-euro.ucsc.edu/cgi-bin/hgTracks?position=219283_at","UCSC")</f>
        <v>UCSC</v>
      </c>
      <c r="E3432" s="1" t="str">
        <f>HYPERLINK("http://www.ncbi.nlm.nih.gov/gene/?term=C1GALT1C1","NCBI")</f>
        <v>NCBI</v>
      </c>
      <c r="F3432">
        <v>2.1999999999999999E-2</v>
      </c>
      <c r="G3432">
        <v>0.11</v>
      </c>
      <c r="H3432" s="1" t="str">
        <f>HYPERLINK("http://www.weizmann.ac.il/complex/compphys/software/geview/data/figures/219283_at.png","Figure")</f>
        <v>Figure</v>
      </c>
      <c r="I3432">
        <v>0.61699999999999999</v>
      </c>
      <c r="J3432">
        <v>7.4999999999999997E-2</v>
      </c>
      <c r="K3432">
        <v>1.1200000000000001</v>
      </c>
      <c r="L3432">
        <v>0.81</v>
      </c>
      <c r="M3432">
        <v>1.81</v>
      </c>
      <c r="N3432">
        <v>1.9E-2</v>
      </c>
    </row>
    <row r="3433" spans="1:14" x14ac:dyDescent="0.25">
      <c r="A3433" t="s">
        <v>6287</v>
      </c>
      <c r="B3433" t="s">
        <v>6288</v>
      </c>
      <c r="C3433" s="1" t="str">
        <f>HYPERLINK("http://www.genecards.org/cgi-bin/carddisp.pl?gene=RBM15","GeneCards")</f>
        <v>GeneCards</v>
      </c>
      <c r="D3433" s="1" t="str">
        <f>HYPERLINK("http://genome-euro.ucsc.edu/cgi-bin/hgTracks?position=219286_s_at","UCSC")</f>
        <v>UCSC</v>
      </c>
      <c r="E3433" s="1" t="str">
        <f>HYPERLINK("http://www.ncbi.nlm.nih.gov/gene/?term=RBM15","NCBI")</f>
        <v>NCBI</v>
      </c>
      <c r="F3433">
        <v>2.1999999999999999E-2</v>
      </c>
      <c r="G3433">
        <v>0.11</v>
      </c>
      <c r="H3433" s="1" t="str">
        <f>HYPERLINK("http://www.weizmann.ac.il/complex/compphys/software/geview/data/figures/219286_s_at.png","Figure")</f>
        <v>Figure</v>
      </c>
      <c r="I3433">
        <v>1.42</v>
      </c>
      <c r="J3433">
        <v>0.22</v>
      </c>
      <c r="K3433">
        <v>0.78200000000000003</v>
      </c>
      <c r="L3433">
        <v>0.36</v>
      </c>
      <c r="M3433">
        <v>0.55000000000000004</v>
      </c>
      <c r="N3433">
        <v>1.7000000000000001E-2</v>
      </c>
    </row>
    <row r="3434" spans="1:14" x14ac:dyDescent="0.25">
      <c r="A3434" t="s">
        <v>6289</v>
      </c>
      <c r="B3434" t="s">
        <v>6290</v>
      </c>
      <c r="C3434" s="1" t="str">
        <f>HYPERLINK("http://www.genecards.org/cgi-bin/carddisp.pl?gene=NARFL","GeneCards")</f>
        <v>GeneCards</v>
      </c>
      <c r="D3434" s="1" t="str">
        <f>HYPERLINK("http://genome-euro.ucsc.edu/cgi-bin/hgTracks?position=218742_at","UCSC")</f>
        <v>UCSC</v>
      </c>
      <c r="E3434" s="1" t="str">
        <f>HYPERLINK("http://www.ncbi.nlm.nih.gov/gene/?term=NARFL","NCBI")</f>
        <v>NCBI</v>
      </c>
      <c r="F3434">
        <v>2.1999999999999999E-2</v>
      </c>
      <c r="G3434">
        <v>0.11</v>
      </c>
      <c r="H3434" s="1" t="str">
        <f>HYPERLINK("http://www.weizmann.ac.il/complex/compphys/software/geview/data/figures/218742_at.png","Figure")</f>
        <v>Figure</v>
      </c>
      <c r="I3434">
        <v>1.42</v>
      </c>
      <c r="J3434">
        <v>0.18</v>
      </c>
      <c r="K3434">
        <v>0.81</v>
      </c>
      <c r="L3434">
        <v>0.42</v>
      </c>
      <c r="M3434">
        <v>0.56899999999999995</v>
      </c>
      <c r="N3434">
        <v>1.7000000000000001E-2</v>
      </c>
    </row>
    <row r="3435" spans="1:14" x14ac:dyDescent="0.25">
      <c r="A3435" t="s">
        <v>6291</v>
      </c>
      <c r="B3435" t="s">
        <v>6292</v>
      </c>
      <c r="C3435" s="1" t="str">
        <f>HYPERLINK("http://www.genecards.org/cgi-bin/carddisp.pl?gene=REST","GeneCards")</f>
        <v>GeneCards</v>
      </c>
      <c r="D3435" s="1" t="str">
        <f>HYPERLINK("http://genome-euro.ucsc.edu/cgi-bin/hgTracks?position=204535_s_at","UCSC")</f>
        <v>UCSC</v>
      </c>
      <c r="E3435" s="1" t="str">
        <f>HYPERLINK("http://www.ncbi.nlm.nih.gov/gene/?term=REST","NCBI")</f>
        <v>NCBI</v>
      </c>
      <c r="F3435">
        <v>2.1999999999999999E-2</v>
      </c>
      <c r="G3435">
        <v>0.11</v>
      </c>
      <c r="H3435" s="1" t="str">
        <f>HYPERLINK("http://www.weizmann.ac.il/complex/compphys/software/geview/data/figures/204535_s_at.png","Figure")</f>
        <v>Figure</v>
      </c>
      <c r="I3435">
        <v>1.47</v>
      </c>
      <c r="J3435">
        <v>4.1000000000000002E-2</v>
      </c>
      <c r="K3435">
        <v>0.99299999999999999</v>
      </c>
      <c r="L3435">
        <v>1</v>
      </c>
      <c r="M3435">
        <v>0.67500000000000004</v>
      </c>
      <c r="N3435">
        <v>2.5999999999999999E-2</v>
      </c>
    </row>
    <row r="3436" spans="1:14" x14ac:dyDescent="0.25">
      <c r="A3436" t="s">
        <v>6293</v>
      </c>
      <c r="B3436" t="s">
        <v>3543</v>
      </c>
      <c r="C3436" s="1" t="str">
        <f>HYPERLINK("http://www.genecards.org/cgi-bin/carddisp.pl?gene=IQGAP1","GeneCards")</f>
        <v>GeneCards</v>
      </c>
      <c r="D3436" s="1" t="str">
        <f>HYPERLINK("http://genome-euro.ucsc.edu/cgi-bin/hgTracks?position=213446_s_at","UCSC")</f>
        <v>UCSC</v>
      </c>
      <c r="E3436" s="1" t="str">
        <f>HYPERLINK("http://www.ncbi.nlm.nih.gov/gene/?term=IQGAP1","NCBI")</f>
        <v>NCBI</v>
      </c>
      <c r="F3436">
        <v>2.1999999999999999E-2</v>
      </c>
      <c r="G3436">
        <v>0.11</v>
      </c>
      <c r="H3436" s="1" t="str">
        <f>HYPERLINK("http://www.weizmann.ac.il/complex/compphys/software/geview/data/figures/213446_s_at.png","Figure")</f>
        <v>Figure</v>
      </c>
      <c r="I3436">
        <v>1.27</v>
      </c>
      <c r="J3436">
        <v>0.63</v>
      </c>
      <c r="K3436">
        <v>2</v>
      </c>
      <c r="L3436">
        <v>0.02</v>
      </c>
      <c r="M3436">
        <v>1.58</v>
      </c>
      <c r="N3436">
        <v>0.17</v>
      </c>
    </row>
    <row r="3437" spans="1:14" x14ac:dyDescent="0.25">
      <c r="A3437" t="s">
        <v>6294</v>
      </c>
      <c r="B3437" t="s">
        <v>6295</v>
      </c>
      <c r="C3437" s="1" t="str">
        <f>HYPERLINK("http://www.genecards.org/cgi-bin/carddisp.pl?gene=MALT1","GeneCards")</f>
        <v>GeneCards</v>
      </c>
      <c r="D3437" s="1" t="str">
        <f>HYPERLINK("http://genome-euro.ucsc.edu/cgi-bin/hgTracks?position=210017_at","UCSC")</f>
        <v>UCSC</v>
      </c>
      <c r="E3437" s="1" t="str">
        <f>HYPERLINK("http://www.ncbi.nlm.nih.gov/gene/?term=MALT1","NCBI")</f>
        <v>NCBI</v>
      </c>
      <c r="F3437">
        <v>2.1999999999999999E-2</v>
      </c>
      <c r="G3437">
        <v>0.11</v>
      </c>
      <c r="H3437" s="1" t="str">
        <f>HYPERLINK("http://www.weizmann.ac.il/complex/compphys/software/geview/data/figures/210017_at.png","Figure")</f>
        <v>Figure</v>
      </c>
      <c r="I3437">
        <v>0.56699999999999995</v>
      </c>
      <c r="J3437">
        <v>2.1999999999999999E-2</v>
      </c>
      <c r="K3437">
        <v>0.89100000000000001</v>
      </c>
      <c r="L3437">
        <v>0.76</v>
      </c>
      <c r="M3437">
        <v>1.57</v>
      </c>
      <c r="N3437">
        <v>5.0999999999999997E-2</v>
      </c>
    </row>
    <row r="3438" spans="1:14" x14ac:dyDescent="0.25">
      <c r="A3438" t="s">
        <v>6296</v>
      </c>
      <c r="B3438" t="s">
        <v>6297</v>
      </c>
      <c r="C3438" s="1" t="str">
        <f>HYPERLINK("http://www.genecards.org/cgi-bin/carddisp.pl?gene=TBC1D9B","GeneCards")</f>
        <v>GeneCards</v>
      </c>
      <c r="D3438" s="1" t="str">
        <f>HYPERLINK("http://genome-euro.ucsc.edu/cgi-bin/hgTracks?position=215994_x_at","UCSC")</f>
        <v>UCSC</v>
      </c>
      <c r="E3438" s="1" t="str">
        <f>HYPERLINK("http://www.ncbi.nlm.nih.gov/gene/?term=TBC1D9B","NCBI")</f>
        <v>NCBI</v>
      </c>
      <c r="F3438">
        <v>2.1999999999999999E-2</v>
      </c>
      <c r="G3438">
        <v>0.11</v>
      </c>
      <c r="H3438" s="1" t="str">
        <f>HYPERLINK("http://www.weizmann.ac.il/complex/compphys/software/geview/data/figures/215994_x_at.png","Figure")</f>
        <v>Figure</v>
      </c>
      <c r="I3438">
        <v>1.44</v>
      </c>
      <c r="J3438">
        <v>0.02</v>
      </c>
      <c r="K3438">
        <v>1.25</v>
      </c>
      <c r="L3438">
        <v>0.11</v>
      </c>
      <c r="M3438">
        <v>0.86899999999999999</v>
      </c>
      <c r="N3438">
        <v>0.42</v>
      </c>
    </row>
    <row r="3439" spans="1:14" x14ac:dyDescent="0.25">
      <c r="A3439" t="s">
        <v>6298</v>
      </c>
      <c r="B3439" t="s">
        <v>6299</v>
      </c>
      <c r="C3439" s="1" t="str">
        <f>HYPERLINK("http://www.genecards.org/cgi-bin/carddisp.pl?gene=PNMA1","GeneCards")</f>
        <v>GeneCards</v>
      </c>
      <c r="D3439" s="1" t="str">
        <f>HYPERLINK("http://genome-euro.ucsc.edu/cgi-bin/hgTracks?position=218224_at","UCSC")</f>
        <v>UCSC</v>
      </c>
      <c r="E3439" s="1" t="str">
        <f>HYPERLINK("http://www.ncbi.nlm.nih.gov/gene/?term=PNMA1","NCBI")</f>
        <v>NCBI</v>
      </c>
      <c r="F3439">
        <v>2.1999999999999999E-2</v>
      </c>
      <c r="G3439">
        <v>0.11</v>
      </c>
      <c r="H3439" s="1" t="str">
        <f>HYPERLINK("http://www.weizmann.ac.il/complex/compphys/software/geview/data/figures/218224_at.png","Figure")</f>
        <v>Figure</v>
      </c>
      <c r="I3439">
        <v>0.34499999999999997</v>
      </c>
      <c r="J3439">
        <v>1.9E-2</v>
      </c>
      <c r="K3439">
        <v>0.71899999999999997</v>
      </c>
      <c r="L3439">
        <v>0.51</v>
      </c>
      <c r="M3439">
        <v>2.08</v>
      </c>
      <c r="N3439">
        <v>8.4000000000000005E-2</v>
      </c>
    </row>
    <row r="3440" spans="1:14" x14ac:dyDescent="0.25">
      <c r="A3440" t="s">
        <v>6300</v>
      </c>
      <c r="B3440" t="s">
        <v>6301</v>
      </c>
      <c r="C3440" s="1" t="str">
        <f>HYPERLINK("http://www.genecards.org/cgi-bin/carddisp.pl?gene=NUP62","GeneCards")</f>
        <v>GeneCards</v>
      </c>
      <c r="D3440" s="1" t="str">
        <f>HYPERLINK("http://genome-euro.ucsc.edu/cgi-bin/hgTracks?position=202153_s_at","UCSC")</f>
        <v>UCSC</v>
      </c>
      <c r="E3440" s="1" t="str">
        <f>HYPERLINK("http://www.ncbi.nlm.nih.gov/gene/?term=NUP62","NCBI")</f>
        <v>NCBI</v>
      </c>
      <c r="F3440">
        <v>2.1999999999999999E-2</v>
      </c>
      <c r="G3440">
        <v>0.11</v>
      </c>
      <c r="H3440" s="1" t="str">
        <f>HYPERLINK("http://www.weizmann.ac.il/complex/compphys/software/geview/data/figures/202153_s_at.png","Figure")</f>
        <v>Figure</v>
      </c>
      <c r="I3440">
        <v>1.62</v>
      </c>
      <c r="J3440">
        <v>2.8000000000000001E-2</v>
      </c>
      <c r="K3440">
        <v>1.46</v>
      </c>
      <c r="L3440">
        <v>5.0999999999999997E-2</v>
      </c>
      <c r="M3440">
        <v>0.89700000000000002</v>
      </c>
      <c r="N3440">
        <v>0.76</v>
      </c>
    </row>
    <row r="3441" spans="1:14" x14ac:dyDescent="0.25">
      <c r="A3441" t="s">
        <v>6302</v>
      </c>
      <c r="B3441" t="s">
        <v>6303</v>
      </c>
      <c r="C3441" s="1" t="str">
        <f>HYPERLINK("http://www.genecards.org/cgi-bin/carddisp.pl?gene=KIR3DL1","GeneCards")</f>
        <v>GeneCards</v>
      </c>
      <c r="D3441" s="1" t="str">
        <f>HYPERLINK("http://genome-euro.ucsc.edu/cgi-bin/hgTracks?position=211687_x_at","UCSC")</f>
        <v>UCSC</v>
      </c>
      <c r="E3441" s="1" t="str">
        <f>HYPERLINK("http://www.ncbi.nlm.nih.gov/gene/?term=KIR3DL1","NCBI")</f>
        <v>NCBI</v>
      </c>
      <c r="F3441">
        <v>2.1999999999999999E-2</v>
      </c>
      <c r="G3441">
        <v>0.11</v>
      </c>
      <c r="H3441" s="1" t="str">
        <f>HYPERLINK("http://www.weizmann.ac.il/complex/compphys/software/geview/data/figures/211687_x_at.png","Figure")</f>
        <v>Figure</v>
      </c>
      <c r="I3441">
        <v>1.19</v>
      </c>
      <c r="J3441">
        <v>8.2000000000000003E-2</v>
      </c>
      <c r="K3441">
        <v>0.95799999999999996</v>
      </c>
      <c r="L3441">
        <v>0.77</v>
      </c>
      <c r="M3441">
        <v>0.80700000000000005</v>
      </c>
      <c r="N3441">
        <v>1.9E-2</v>
      </c>
    </row>
    <row r="3442" spans="1:14" x14ac:dyDescent="0.25">
      <c r="A3442" t="s">
        <v>6304</v>
      </c>
      <c r="B3442" t="s">
        <v>6305</v>
      </c>
      <c r="C3442" s="1" t="str">
        <f>HYPERLINK("http://www.genecards.org/cgi-bin/carddisp.pl?gene=BCL6","GeneCards")</f>
        <v>GeneCards</v>
      </c>
      <c r="D3442" s="1" t="str">
        <f>HYPERLINK("http://genome-euro.ucsc.edu/cgi-bin/hgTracks?position=203140_at","UCSC")</f>
        <v>UCSC</v>
      </c>
      <c r="E3442" s="1" t="str">
        <f>HYPERLINK("http://www.ncbi.nlm.nih.gov/gene/?term=BCL6","NCBI")</f>
        <v>NCBI</v>
      </c>
      <c r="F3442">
        <v>2.1999999999999999E-2</v>
      </c>
      <c r="G3442">
        <v>0.11</v>
      </c>
      <c r="H3442" s="1" t="str">
        <f>HYPERLINK("http://www.weizmann.ac.il/complex/compphys/software/geview/data/figures/203140_at.png","Figure")</f>
        <v>Figure</v>
      </c>
      <c r="I3442">
        <v>1.37</v>
      </c>
      <c r="J3442">
        <v>0.44</v>
      </c>
      <c r="K3442">
        <v>0.65800000000000003</v>
      </c>
      <c r="L3442">
        <v>0.17</v>
      </c>
      <c r="M3442">
        <v>0.48</v>
      </c>
      <c r="N3442">
        <v>0.02</v>
      </c>
    </row>
    <row r="3443" spans="1:14" x14ac:dyDescent="0.25">
      <c r="A3443" t="s">
        <v>6306</v>
      </c>
      <c r="B3443" t="s">
        <v>2061</v>
      </c>
      <c r="C3443" s="1" t="str">
        <f>HYPERLINK("http://www.genecards.org/cgi-bin/carddisp.pl?gene=AKAP8","GeneCards")</f>
        <v>GeneCards</v>
      </c>
      <c r="D3443" s="1" t="str">
        <f>HYPERLINK("http://genome-euro.ucsc.edu/cgi-bin/hgTracks?position=203848_at","UCSC")</f>
        <v>UCSC</v>
      </c>
      <c r="E3443" s="1" t="str">
        <f>HYPERLINK("http://www.ncbi.nlm.nih.gov/gene/?term=AKAP8","NCBI")</f>
        <v>NCBI</v>
      </c>
      <c r="F3443">
        <v>2.1999999999999999E-2</v>
      </c>
      <c r="G3443">
        <v>0.11</v>
      </c>
      <c r="H3443" s="1" t="str">
        <f>HYPERLINK("http://www.weizmann.ac.il/complex/compphys/software/geview/data/figures/203848_at.png","Figure")</f>
        <v>Figure</v>
      </c>
      <c r="I3443">
        <v>1.04</v>
      </c>
      <c r="J3443">
        <v>0.94</v>
      </c>
      <c r="K3443">
        <v>0.751</v>
      </c>
      <c r="L3443">
        <v>5.3999999999999999E-2</v>
      </c>
      <c r="M3443">
        <v>0.72</v>
      </c>
      <c r="N3443">
        <v>3.9E-2</v>
      </c>
    </row>
    <row r="3444" spans="1:14" x14ac:dyDescent="0.25">
      <c r="A3444" t="s">
        <v>6307</v>
      </c>
      <c r="B3444" t="s">
        <v>6308</v>
      </c>
      <c r="C3444" s="1" t="str">
        <f>HYPERLINK("http://www.genecards.org/cgi-bin/carddisp.pl?gene=C5orf13","GeneCards")</f>
        <v>GeneCards</v>
      </c>
      <c r="D3444" s="1" t="str">
        <f>HYPERLINK("http://genome-euro.ucsc.edu/cgi-bin/hgTracks?position=201309_x_at","UCSC")</f>
        <v>UCSC</v>
      </c>
      <c r="E3444" s="1" t="str">
        <f>HYPERLINK("http://www.ncbi.nlm.nih.gov/gene/?term=C5orf13","NCBI")</f>
        <v>NCBI</v>
      </c>
      <c r="F3444">
        <v>2.1999999999999999E-2</v>
      </c>
      <c r="G3444">
        <v>0.11</v>
      </c>
      <c r="H3444" s="1" t="str">
        <f>HYPERLINK("http://www.weizmann.ac.il/complex/compphys/software/geview/data/figures/201309_x_at.png","Figure")</f>
        <v>Figure</v>
      </c>
      <c r="I3444">
        <v>1.39</v>
      </c>
      <c r="J3444">
        <v>2.5000000000000001E-2</v>
      </c>
      <c r="K3444">
        <v>1.27</v>
      </c>
      <c r="L3444">
        <v>6.3E-2</v>
      </c>
      <c r="M3444">
        <v>0.91300000000000003</v>
      </c>
      <c r="N3444">
        <v>0.66</v>
      </c>
    </row>
    <row r="3445" spans="1:14" x14ac:dyDescent="0.25">
      <c r="A3445" t="s">
        <v>6309</v>
      </c>
      <c r="B3445" t="s">
        <v>6310</v>
      </c>
      <c r="C3445" s="1" t="str">
        <f>HYPERLINK("http://www.genecards.org/cgi-bin/carddisp.pl?gene=TSPO","GeneCards")</f>
        <v>GeneCards</v>
      </c>
      <c r="D3445" s="1" t="str">
        <f>HYPERLINK("http://genome-euro.ucsc.edu/cgi-bin/hgTracks?position=202096_s_at","UCSC")</f>
        <v>UCSC</v>
      </c>
      <c r="E3445" s="1" t="str">
        <f>HYPERLINK("http://www.ncbi.nlm.nih.gov/gene/?term=TSPO","NCBI")</f>
        <v>NCBI</v>
      </c>
      <c r="F3445">
        <v>2.1999999999999999E-2</v>
      </c>
      <c r="G3445">
        <v>0.11</v>
      </c>
      <c r="H3445" s="1" t="str">
        <f>HYPERLINK("http://www.weizmann.ac.il/complex/compphys/software/geview/data/figures/202096_s_at.png","Figure")</f>
        <v>Figure</v>
      </c>
      <c r="I3445">
        <v>1.87</v>
      </c>
      <c r="J3445">
        <v>4.7E-2</v>
      </c>
      <c r="K3445">
        <v>1.82</v>
      </c>
      <c r="L3445">
        <v>0.03</v>
      </c>
      <c r="M3445">
        <v>0.97099999999999997</v>
      </c>
      <c r="N3445">
        <v>0.99</v>
      </c>
    </row>
    <row r="3446" spans="1:14" x14ac:dyDescent="0.25">
      <c r="A3446" t="s">
        <v>6311</v>
      </c>
      <c r="B3446" t="s">
        <v>6312</v>
      </c>
      <c r="C3446" s="1" t="str">
        <f>HYPERLINK("http://www.genecards.org/cgi-bin/carddisp.pl?gene=CREM","GeneCards")</f>
        <v>GeneCards</v>
      </c>
      <c r="D3446" s="1" t="str">
        <f>HYPERLINK("http://genome-euro.ucsc.edu/cgi-bin/hgTracks?position=207630_s_at","UCSC")</f>
        <v>UCSC</v>
      </c>
      <c r="E3446" s="1" t="str">
        <f>HYPERLINK("http://www.ncbi.nlm.nih.gov/gene/?term=CREM","NCBI")</f>
        <v>NCBI</v>
      </c>
      <c r="F3446">
        <v>2.1999999999999999E-2</v>
      </c>
      <c r="G3446">
        <v>0.11</v>
      </c>
      <c r="H3446" s="1" t="str">
        <f>HYPERLINK("http://www.weizmann.ac.il/complex/compphys/software/geview/data/figures/207630_s_at.png","Figure")</f>
        <v>Figure</v>
      </c>
      <c r="I3446">
        <v>0.749</v>
      </c>
      <c r="J3446">
        <v>2.4E-2</v>
      </c>
      <c r="K3446">
        <v>0.81499999999999995</v>
      </c>
      <c r="L3446">
        <v>6.7000000000000004E-2</v>
      </c>
      <c r="M3446">
        <v>1.0900000000000001</v>
      </c>
      <c r="N3446">
        <v>0.62</v>
      </c>
    </row>
    <row r="3447" spans="1:14" x14ac:dyDescent="0.25">
      <c r="A3447" t="s">
        <v>6313</v>
      </c>
      <c r="B3447" t="s">
        <v>6314</v>
      </c>
      <c r="C3447" s="1" t="str">
        <f>HYPERLINK("http://www.genecards.org/cgi-bin/carddisp.pl?gene=TRAF3","GeneCards")</f>
        <v>GeneCards</v>
      </c>
      <c r="D3447" s="1" t="str">
        <f>HYPERLINK("http://genome-euro.ucsc.edu/cgi-bin/hgTracks?position=208315_x_at","UCSC")</f>
        <v>UCSC</v>
      </c>
      <c r="E3447" s="1" t="str">
        <f>HYPERLINK("http://www.ncbi.nlm.nih.gov/gene/?term=TRAF3","NCBI")</f>
        <v>NCBI</v>
      </c>
      <c r="F3447">
        <v>2.1999999999999999E-2</v>
      </c>
      <c r="G3447">
        <v>0.11</v>
      </c>
      <c r="H3447" s="1" t="str">
        <f>HYPERLINK("http://www.weizmann.ac.il/complex/compphys/software/geview/data/figures/208315_x_at.png","Figure")</f>
        <v>Figure</v>
      </c>
      <c r="I3447">
        <v>1.27</v>
      </c>
      <c r="J3447">
        <v>1.9E-2</v>
      </c>
      <c r="K3447">
        <v>1.07</v>
      </c>
      <c r="L3447">
        <v>0.57999999999999996</v>
      </c>
      <c r="M3447">
        <v>0.84299999999999997</v>
      </c>
      <c r="N3447">
        <v>7.2999999999999995E-2</v>
      </c>
    </row>
    <row r="3448" spans="1:14" x14ac:dyDescent="0.25">
      <c r="A3448" t="s">
        <v>6315</v>
      </c>
      <c r="B3448" t="s">
        <v>6316</v>
      </c>
      <c r="C3448" s="1" t="str">
        <f>HYPERLINK("http://www.genecards.org/cgi-bin/carddisp.pl?gene=NXPH4","GeneCards")</f>
        <v>GeneCards</v>
      </c>
      <c r="D3448" s="1" t="str">
        <f>HYPERLINK("http://genome-euro.ucsc.edu/cgi-bin/hgTracks?position=221967_at","UCSC")</f>
        <v>UCSC</v>
      </c>
      <c r="E3448" s="1" t="str">
        <f>HYPERLINK("http://www.ncbi.nlm.nih.gov/gene/?term=NXPH4","NCBI")</f>
        <v>NCBI</v>
      </c>
      <c r="F3448">
        <v>2.1999999999999999E-2</v>
      </c>
      <c r="G3448">
        <v>0.11</v>
      </c>
      <c r="H3448" s="1" t="str">
        <f>HYPERLINK("http://www.weizmann.ac.il/complex/compphys/software/geview/data/figures/221967_at.png","Figure")</f>
        <v>Figure</v>
      </c>
      <c r="I3448">
        <v>1.34</v>
      </c>
      <c r="J3448">
        <v>1.7000000000000001E-2</v>
      </c>
      <c r="K3448">
        <v>1.1499999999999999</v>
      </c>
      <c r="L3448">
        <v>0.22</v>
      </c>
      <c r="M3448">
        <v>0.85599999999999998</v>
      </c>
      <c r="N3448">
        <v>0.2</v>
      </c>
    </row>
    <row r="3449" spans="1:14" x14ac:dyDescent="0.25">
      <c r="A3449" t="s">
        <v>6317</v>
      </c>
      <c r="B3449" t="s">
        <v>6318</v>
      </c>
      <c r="C3449" s="1" t="str">
        <f>HYPERLINK("http://www.genecards.org/cgi-bin/carddisp.pl?gene=JMJD7-PLA2G4B /// PLA2G4B","GeneCards")</f>
        <v>GeneCards</v>
      </c>
      <c r="D3449" s="1" t="str">
        <f>HYPERLINK("http://genome-euro.ucsc.edu/cgi-bin/hgTracks?position=60528_at","UCSC")</f>
        <v>UCSC</v>
      </c>
      <c r="E3449" s="1" t="str">
        <f>HYPERLINK("http://www.ncbi.nlm.nih.gov/gene/?term=JMJD7-PLA2G4B /// PLA2G4B","NCBI")</f>
        <v>NCBI</v>
      </c>
      <c r="F3449">
        <v>2.1999999999999999E-2</v>
      </c>
      <c r="G3449">
        <v>0.11</v>
      </c>
      <c r="H3449" s="1" t="str">
        <f>HYPERLINK("http://www.weizmann.ac.il/complex/compphys/software/geview/data/figures/60528_at.png","Figure")</f>
        <v>Figure</v>
      </c>
      <c r="I3449">
        <v>1.42</v>
      </c>
      <c r="J3449">
        <v>0.1</v>
      </c>
      <c r="K3449">
        <v>1.54</v>
      </c>
      <c r="L3449">
        <v>0.02</v>
      </c>
      <c r="M3449">
        <v>1.08</v>
      </c>
      <c r="N3449">
        <v>0.85</v>
      </c>
    </row>
    <row r="3450" spans="1:14" x14ac:dyDescent="0.25">
      <c r="A3450" t="s">
        <v>6319</v>
      </c>
      <c r="B3450" t="s">
        <v>3139</v>
      </c>
      <c r="C3450" s="1" t="str">
        <f>HYPERLINK("http://www.genecards.org/cgi-bin/carddisp.pl?gene=PPM1B","GeneCards")</f>
        <v>GeneCards</v>
      </c>
      <c r="D3450" s="1" t="str">
        <f>HYPERLINK("http://genome-euro.ucsc.edu/cgi-bin/hgTracks?position=213225_at","UCSC")</f>
        <v>UCSC</v>
      </c>
      <c r="E3450" s="1" t="str">
        <f>HYPERLINK("http://www.ncbi.nlm.nih.gov/gene/?term=PPM1B","NCBI")</f>
        <v>NCBI</v>
      </c>
      <c r="F3450">
        <v>2.1999999999999999E-2</v>
      </c>
      <c r="G3450">
        <v>0.11</v>
      </c>
      <c r="H3450" s="1" t="str">
        <f>HYPERLINK("http://www.weizmann.ac.il/complex/compphys/software/geview/data/figures/213225_at.png","Figure")</f>
        <v>Figure</v>
      </c>
      <c r="I3450">
        <v>0.49199999999999999</v>
      </c>
      <c r="J3450">
        <v>0.15</v>
      </c>
      <c r="K3450">
        <v>0.375</v>
      </c>
      <c r="L3450">
        <v>1.7999999999999999E-2</v>
      </c>
      <c r="M3450">
        <v>0.76100000000000001</v>
      </c>
      <c r="N3450">
        <v>0.69</v>
      </c>
    </row>
    <row r="3451" spans="1:14" x14ac:dyDescent="0.25">
      <c r="A3451" t="s">
        <v>6320</v>
      </c>
      <c r="B3451" t="s">
        <v>6321</v>
      </c>
      <c r="C3451" s="1" t="str">
        <f>HYPERLINK("http://www.genecards.org/cgi-bin/carddisp.pl?gene=ZNF133","GeneCards")</f>
        <v>GeneCards</v>
      </c>
      <c r="D3451" s="1" t="str">
        <f>HYPERLINK("http://genome-euro.ucsc.edu/cgi-bin/hgTracks?position=37254_at","UCSC")</f>
        <v>UCSC</v>
      </c>
      <c r="E3451" s="1" t="str">
        <f>HYPERLINK("http://www.ncbi.nlm.nih.gov/gene/?term=ZNF133","NCBI")</f>
        <v>NCBI</v>
      </c>
      <c r="F3451">
        <v>2.1999999999999999E-2</v>
      </c>
      <c r="G3451">
        <v>0.11</v>
      </c>
      <c r="H3451" s="1" t="str">
        <f>HYPERLINK("http://www.weizmann.ac.il/complex/compphys/software/geview/data/figures/37254_at.png","Figure")</f>
        <v>Figure</v>
      </c>
      <c r="I3451">
        <v>0.91900000000000004</v>
      </c>
      <c r="J3451">
        <v>0.44</v>
      </c>
      <c r="K3451">
        <v>1.1200000000000001</v>
      </c>
      <c r="L3451">
        <v>0.17</v>
      </c>
      <c r="M3451">
        <v>1.22</v>
      </c>
      <c r="N3451">
        <v>0.02</v>
      </c>
    </row>
    <row r="3452" spans="1:14" x14ac:dyDescent="0.25">
      <c r="A3452" t="s">
        <v>6322</v>
      </c>
      <c r="B3452" t="s">
        <v>6323</v>
      </c>
      <c r="C3452" s="1" t="str">
        <f>HYPERLINK("http://www.genecards.org/cgi-bin/carddisp.pl?gene=GABRA1","GeneCards")</f>
        <v>GeneCards</v>
      </c>
      <c r="D3452" s="1" t="str">
        <f>HYPERLINK("http://genome-euro.ucsc.edu/cgi-bin/hgTracks?position=206678_at","UCSC")</f>
        <v>UCSC</v>
      </c>
      <c r="E3452" s="1" t="str">
        <f>HYPERLINK("http://www.ncbi.nlm.nih.gov/gene/?term=GABRA1","NCBI")</f>
        <v>NCBI</v>
      </c>
      <c r="F3452">
        <v>2.1999999999999999E-2</v>
      </c>
      <c r="G3452">
        <v>0.11</v>
      </c>
      <c r="H3452" s="1" t="str">
        <f>HYPERLINK("http://www.weizmann.ac.il/complex/compphys/software/geview/data/figures/206678_at.png","Figure")</f>
        <v>Figure</v>
      </c>
      <c r="I3452">
        <v>1.06</v>
      </c>
      <c r="J3452">
        <v>0.73</v>
      </c>
      <c r="K3452">
        <v>0.86399999999999999</v>
      </c>
      <c r="L3452">
        <v>9.0999999999999998E-2</v>
      </c>
      <c r="M3452">
        <v>0.81599999999999995</v>
      </c>
      <c r="N3452">
        <v>2.7E-2</v>
      </c>
    </row>
    <row r="3453" spans="1:14" x14ac:dyDescent="0.25">
      <c r="A3453" t="s">
        <v>6324</v>
      </c>
      <c r="B3453" t="s">
        <v>1273</v>
      </c>
      <c r="C3453" s="1" t="str">
        <f>HYPERLINK("http://www.genecards.org/cgi-bin/carddisp.pl?gene=ACTG1","GeneCards")</f>
        <v>GeneCards</v>
      </c>
      <c r="D3453" s="1" t="str">
        <f>HYPERLINK("http://genome-euro.ucsc.edu/cgi-bin/hgTracks?position=211970_x_at","UCSC")</f>
        <v>UCSC</v>
      </c>
      <c r="E3453" s="1" t="str">
        <f>HYPERLINK("http://www.ncbi.nlm.nih.gov/gene/?term=ACTG1","NCBI")</f>
        <v>NCBI</v>
      </c>
      <c r="F3453">
        <v>2.1999999999999999E-2</v>
      </c>
      <c r="G3453">
        <v>0.11</v>
      </c>
      <c r="H3453" s="1" t="str">
        <f>HYPERLINK("http://www.weizmann.ac.il/complex/compphys/software/geview/data/figures/211970_x_at.png","Figure")</f>
        <v>Figure</v>
      </c>
      <c r="I3453">
        <v>1.1599999999999999</v>
      </c>
      <c r="J3453">
        <v>0.28999999999999998</v>
      </c>
      <c r="K3453">
        <v>1.3</v>
      </c>
      <c r="L3453">
        <v>1.7000000000000001E-2</v>
      </c>
      <c r="M3453">
        <v>1.1200000000000001</v>
      </c>
      <c r="N3453">
        <v>0.41</v>
      </c>
    </row>
    <row r="3454" spans="1:14" x14ac:dyDescent="0.25">
      <c r="A3454" t="s">
        <v>6325</v>
      </c>
      <c r="B3454" t="s">
        <v>6326</v>
      </c>
      <c r="C3454" s="1" t="str">
        <f>HYPERLINK("http://www.genecards.org/cgi-bin/carddisp.pl?gene=ID3","GeneCards")</f>
        <v>GeneCards</v>
      </c>
      <c r="D3454" s="1" t="str">
        <f>HYPERLINK("http://genome-euro.ucsc.edu/cgi-bin/hgTracks?position=207826_s_at","UCSC")</f>
        <v>UCSC</v>
      </c>
      <c r="E3454" s="1" t="str">
        <f>HYPERLINK("http://www.ncbi.nlm.nih.gov/gene/?term=ID3","NCBI")</f>
        <v>NCBI</v>
      </c>
      <c r="F3454">
        <v>2.1999999999999999E-2</v>
      </c>
      <c r="G3454">
        <v>0.11</v>
      </c>
      <c r="H3454" s="1" t="str">
        <f>HYPERLINK("http://www.weizmann.ac.il/complex/compphys/software/geview/data/figures/207826_s_at.png","Figure")</f>
        <v>Figure</v>
      </c>
      <c r="I3454">
        <v>0.39900000000000002</v>
      </c>
      <c r="J3454">
        <v>2.5999999999999999E-2</v>
      </c>
      <c r="K3454">
        <v>0.872</v>
      </c>
      <c r="L3454">
        <v>0.87</v>
      </c>
      <c r="M3454">
        <v>2.19</v>
      </c>
      <c r="N3454">
        <v>4.2000000000000003E-2</v>
      </c>
    </row>
    <row r="3455" spans="1:14" x14ac:dyDescent="0.25">
      <c r="A3455" t="s">
        <v>6327</v>
      </c>
      <c r="B3455" t="s">
        <v>2342</v>
      </c>
      <c r="C3455" s="1" t="str">
        <f>HYPERLINK("http://www.genecards.org/cgi-bin/carddisp.pl?gene=RPL37A","GeneCards")</f>
        <v>GeneCards</v>
      </c>
      <c r="D3455" s="1" t="str">
        <f>HYPERLINK("http://genome-euro.ucsc.edu/cgi-bin/hgTracks?position=201429_s_at","UCSC")</f>
        <v>UCSC</v>
      </c>
      <c r="E3455" s="1" t="str">
        <f>HYPERLINK("http://www.ncbi.nlm.nih.gov/gene/?term=RPL37A","NCBI")</f>
        <v>NCBI</v>
      </c>
      <c r="F3455">
        <v>2.1999999999999999E-2</v>
      </c>
      <c r="G3455">
        <v>0.11</v>
      </c>
      <c r="H3455" s="1" t="str">
        <f>HYPERLINK("http://www.weizmann.ac.il/complex/compphys/software/geview/data/figures/201429_s_at.png","Figure")</f>
        <v>Figure</v>
      </c>
      <c r="I3455">
        <v>0.89800000000000002</v>
      </c>
      <c r="J3455">
        <v>0.11</v>
      </c>
      <c r="K3455">
        <v>0.874</v>
      </c>
      <c r="L3455">
        <v>0.02</v>
      </c>
      <c r="M3455">
        <v>0.97299999999999998</v>
      </c>
      <c r="N3455">
        <v>0.82</v>
      </c>
    </row>
    <row r="3456" spans="1:14" x14ac:dyDescent="0.25">
      <c r="A3456" t="s">
        <v>6328</v>
      </c>
      <c r="B3456" t="s">
        <v>6329</v>
      </c>
      <c r="C3456" s="1" t="str">
        <f>HYPERLINK("http://www.genecards.org/cgi-bin/carddisp.pl?gene=SPRY2","GeneCards")</f>
        <v>GeneCards</v>
      </c>
      <c r="D3456" s="1" t="str">
        <f>HYPERLINK("http://genome-euro.ucsc.edu/cgi-bin/hgTracks?position=204011_at","UCSC")</f>
        <v>UCSC</v>
      </c>
      <c r="E3456" s="1" t="str">
        <f>HYPERLINK("http://www.ncbi.nlm.nih.gov/gene/?term=SPRY2","NCBI")</f>
        <v>NCBI</v>
      </c>
      <c r="F3456">
        <v>2.1999999999999999E-2</v>
      </c>
      <c r="G3456">
        <v>0.11</v>
      </c>
      <c r="H3456" s="1" t="str">
        <f>HYPERLINK("http://www.weizmann.ac.il/complex/compphys/software/geview/data/figures/204011_at.png","Figure")</f>
        <v>Figure</v>
      </c>
      <c r="I3456">
        <v>0.46800000000000003</v>
      </c>
      <c r="J3456">
        <v>0.12</v>
      </c>
      <c r="K3456">
        <v>0.375</v>
      </c>
      <c r="L3456">
        <v>1.9E-2</v>
      </c>
      <c r="M3456">
        <v>0.80200000000000005</v>
      </c>
      <c r="N3456">
        <v>0.79</v>
      </c>
    </row>
    <row r="3457" spans="1:14" x14ac:dyDescent="0.25">
      <c r="A3457" t="s">
        <v>6330</v>
      </c>
      <c r="B3457" t="s">
        <v>6331</v>
      </c>
      <c r="C3457" s="1" t="str">
        <f>HYPERLINK("http://www.genecards.org/cgi-bin/carddisp.pl?gene=ARSA","GeneCards")</f>
        <v>GeneCards</v>
      </c>
      <c r="D3457" s="1" t="str">
        <f>HYPERLINK("http://genome-euro.ucsc.edu/cgi-bin/hgTracks?position=204443_at","UCSC")</f>
        <v>UCSC</v>
      </c>
      <c r="E3457" s="1" t="str">
        <f>HYPERLINK("http://www.ncbi.nlm.nih.gov/gene/?term=ARSA","NCBI")</f>
        <v>NCBI</v>
      </c>
      <c r="F3457">
        <v>2.1999999999999999E-2</v>
      </c>
      <c r="G3457">
        <v>0.11</v>
      </c>
      <c r="H3457" s="1" t="str">
        <f>HYPERLINK("http://www.weizmann.ac.il/complex/compphys/software/geview/data/figures/204443_at.png","Figure")</f>
        <v>Figure</v>
      </c>
      <c r="I3457">
        <v>1.26</v>
      </c>
      <c r="J3457">
        <v>3.5999999999999997E-2</v>
      </c>
      <c r="K3457">
        <v>1.22</v>
      </c>
      <c r="L3457">
        <v>3.7999999999999999E-2</v>
      </c>
      <c r="M3457">
        <v>0.96899999999999997</v>
      </c>
      <c r="N3457">
        <v>0.91</v>
      </c>
    </row>
    <row r="3458" spans="1:14" x14ac:dyDescent="0.25">
      <c r="A3458" t="s">
        <v>6332</v>
      </c>
      <c r="B3458" t="s">
        <v>6333</v>
      </c>
      <c r="C3458" s="1" t="str">
        <f>HYPERLINK("http://www.genecards.org/cgi-bin/carddisp.pl?gene=ATP1B3","GeneCards")</f>
        <v>GeneCards</v>
      </c>
      <c r="D3458" s="1" t="str">
        <f>HYPERLINK("http://genome-euro.ucsc.edu/cgi-bin/hgTracks?position=208836_at","UCSC")</f>
        <v>UCSC</v>
      </c>
      <c r="E3458" s="1" t="str">
        <f>HYPERLINK("http://www.ncbi.nlm.nih.gov/gene/?term=ATP1B3","NCBI")</f>
        <v>NCBI</v>
      </c>
      <c r="F3458">
        <v>2.1999999999999999E-2</v>
      </c>
      <c r="G3458">
        <v>0.11</v>
      </c>
      <c r="H3458" s="1" t="str">
        <f>HYPERLINK("http://www.weizmann.ac.il/complex/compphys/software/geview/data/figures/208836_at.png","Figure")</f>
        <v>Figure</v>
      </c>
      <c r="I3458">
        <v>1.1000000000000001</v>
      </c>
      <c r="J3458">
        <v>0.9</v>
      </c>
      <c r="K3458">
        <v>0.629</v>
      </c>
      <c r="L3458">
        <v>6.0999999999999999E-2</v>
      </c>
      <c r="M3458">
        <v>0.57399999999999995</v>
      </c>
      <c r="N3458">
        <v>3.5999999999999997E-2</v>
      </c>
    </row>
    <row r="3459" spans="1:14" x14ac:dyDescent="0.25">
      <c r="A3459" t="s">
        <v>6334</v>
      </c>
      <c r="B3459" t="s">
        <v>6335</v>
      </c>
      <c r="C3459" s="1" t="str">
        <f>HYPERLINK("http://www.genecards.org/cgi-bin/carddisp.pl?gene=TAPT1","GeneCards")</f>
        <v>GeneCards</v>
      </c>
      <c r="D3459" s="1" t="str">
        <f>HYPERLINK("http://genome-euro.ucsc.edu/cgi-bin/hgTracks?position=216507_at","UCSC")</f>
        <v>UCSC</v>
      </c>
      <c r="E3459" s="1" t="str">
        <f>HYPERLINK("http://www.ncbi.nlm.nih.gov/gene/?term=TAPT1","NCBI")</f>
        <v>NCBI</v>
      </c>
      <c r="F3459">
        <v>2.1999999999999999E-2</v>
      </c>
      <c r="G3459">
        <v>0.11</v>
      </c>
      <c r="H3459" s="1" t="str">
        <f>HYPERLINK("http://www.weizmann.ac.il/complex/compphys/software/geview/data/figures/216507_at.png","Figure")</f>
        <v>Figure</v>
      </c>
      <c r="I3459">
        <v>1.21</v>
      </c>
      <c r="J3459">
        <v>1.7999999999999999E-2</v>
      </c>
      <c r="K3459">
        <v>1.07</v>
      </c>
      <c r="L3459">
        <v>0.47</v>
      </c>
      <c r="M3459">
        <v>0.88100000000000001</v>
      </c>
      <c r="N3459">
        <v>9.5000000000000001E-2</v>
      </c>
    </row>
    <row r="3460" spans="1:14" x14ac:dyDescent="0.25">
      <c r="A3460" t="s">
        <v>6336</v>
      </c>
      <c r="B3460" t="s">
        <v>6337</v>
      </c>
      <c r="C3460" s="1" t="str">
        <f>HYPERLINK("http://www.genecards.org/cgi-bin/carddisp.pl?gene=ASF1B","GeneCards")</f>
        <v>GeneCards</v>
      </c>
      <c r="D3460" s="1" t="str">
        <f>HYPERLINK("http://genome-euro.ucsc.edu/cgi-bin/hgTracks?position=218115_at","UCSC")</f>
        <v>UCSC</v>
      </c>
      <c r="E3460" s="1" t="str">
        <f>HYPERLINK("http://www.ncbi.nlm.nih.gov/gene/?term=ASF1B","NCBI")</f>
        <v>NCBI</v>
      </c>
      <c r="F3460">
        <v>2.1999999999999999E-2</v>
      </c>
      <c r="G3460">
        <v>0.11</v>
      </c>
      <c r="H3460" s="1" t="str">
        <f>HYPERLINK("http://www.weizmann.ac.il/complex/compphys/software/geview/data/figures/218115_at.png","Figure")</f>
        <v>Figure</v>
      </c>
      <c r="I3460">
        <v>1.26</v>
      </c>
      <c r="J3460">
        <v>0.02</v>
      </c>
      <c r="K3460">
        <v>1.1499999999999999</v>
      </c>
      <c r="L3460">
        <v>0.1</v>
      </c>
      <c r="M3460">
        <v>0.91700000000000004</v>
      </c>
      <c r="N3460">
        <v>0.43</v>
      </c>
    </row>
    <row r="3461" spans="1:14" x14ac:dyDescent="0.25">
      <c r="A3461" t="s">
        <v>6338</v>
      </c>
      <c r="B3461" t="s">
        <v>6339</v>
      </c>
      <c r="C3461" s="1" t="str">
        <f>HYPERLINK("http://www.genecards.org/cgi-bin/carddisp.pl?gene=LAD1","GeneCards")</f>
        <v>GeneCards</v>
      </c>
      <c r="D3461" s="1" t="str">
        <f>HYPERLINK("http://genome-euro.ucsc.edu/cgi-bin/hgTracks?position=216641_s_at","UCSC")</f>
        <v>UCSC</v>
      </c>
      <c r="E3461" s="1" t="str">
        <f>HYPERLINK("http://www.ncbi.nlm.nih.gov/gene/?term=LAD1","NCBI")</f>
        <v>NCBI</v>
      </c>
      <c r="F3461">
        <v>2.1999999999999999E-2</v>
      </c>
      <c r="G3461">
        <v>0.11</v>
      </c>
      <c r="H3461" s="1" t="str">
        <f>HYPERLINK("http://www.weizmann.ac.il/complex/compphys/software/geview/data/figures/216641_s_at.png","Figure")</f>
        <v>Figure</v>
      </c>
      <c r="I3461">
        <v>1.35</v>
      </c>
      <c r="J3461">
        <v>1.7999999999999999E-2</v>
      </c>
      <c r="K3461">
        <v>1.18</v>
      </c>
      <c r="L3461">
        <v>0.15</v>
      </c>
      <c r="M3461">
        <v>0.873</v>
      </c>
      <c r="N3461">
        <v>0.31</v>
      </c>
    </row>
    <row r="3462" spans="1:14" x14ac:dyDescent="0.25">
      <c r="A3462" t="s">
        <v>6340</v>
      </c>
      <c r="B3462" t="s">
        <v>6341</v>
      </c>
      <c r="C3462" s="1" t="str">
        <f>HYPERLINK("http://www.genecards.org/cgi-bin/carddisp.pl?gene=SH2B1","GeneCards")</f>
        <v>GeneCards</v>
      </c>
      <c r="D3462" s="1" t="str">
        <f>HYPERLINK("http://genome-euro.ucsc.edu/cgi-bin/hgTracks?position=40149_at","UCSC")</f>
        <v>UCSC</v>
      </c>
      <c r="E3462" s="1" t="str">
        <f>HYPERLINK("http://www.ncbi.nlm.nih.gov/gene/?term=SH2B1","NCBI")</f>
        <v>NCBI</v>
      </c>
      <c r="F3462">
        <v>2.1999999999999999E-2</v>
      </c>
      <c r="G3462">
        <v>0.11</v>
      </c>
      <c r="H3462" s="1" t="str">
        <f>HYPERLINK("http://www.weizmann.ac.il/complex/compphys/software/geview/data/figures/40149_at.png","Figure")</f>
        <v>Figure</v>
      </c>
      <c r="I3462">
        <v>1.2</v>
      </c>
      <c r="J3462">
        <v>2.4E-2</v>
      </c>
      <c r="K3462">
        <v>1.1399999999999999</v>
      </c>
      <c r="L3462">
        <v>6.6000000000000003E-2</v>
      </c>
      <c r="M3462">
        <v>0.95</v>
      </c>
      <c r="N3462">
        <v>0.63</v>
      </c>
    </row>
    <row r="3463" spans="1:14" x14ac:dyDescent="0.25">
      <c r="A3463" t="s">
        <v>6342</v>
      </c>
      <c r="B3463" t="s">
        <v>6343</v>
      </c>
      <c r="C3463" s="1" t="str">
        <f>HYPERLINK("http://www.genecards.org/cgi-bin/carddisp.pl?gene=FBN2","GeneCards")</f>
        <v>GeneCards</v>
      </c>
      <c r="D3463" s="1" t="str">
        <f>HYPERLINK("http://genome-euro.ucsc.edu/cgi-bin/hgTracks?position=203184_at","UCSC")</f>
        <v>UCSC</v>
      </c>
      <c r="E3463" s="1" t="str">
        <f>HYPERLINK("http://www.ncbi.nlm.nih.gov/gene/?term=FBN2","NCBI")</f>
        <v>NCBI</v>
      </c>
      <c r="F3463">
        <v>2.1999999999999999E-2</v>
      </c>
      <c r="G3463">
        <v>0.11</v>
      </c>
      <c r="H3463" s="1" t="str">
        <f>HYPERLINK("http://www.weizmann.ac.il/complex/compphys/software/geview/data/figures/203184_at.png","Figure")</f>
        <v>Figure</v>
      </c>
      <c r="I3463">
        <v>1.04</v>
      </c>
      <c r="J3463">
        <v>0.98</v>
      </c>
      <c r="K3463">
        <v>0.61</v>
      </c>
      <c r="L3463">
        <v>4.7E-2</v>
      </c>
      <c r="M3463">
        <v>0.58499999999999996</v>
      </c>
      <c r="N3463">
        <v>4.4999999999999998E-2</v>
      </c>
    </row>
    <row r="3464" spans="1:14" x14ac:dyDescent="0.25">
      <c r="A3464" t="s">
        <v>6344</v>
      </c>
      <c r="B3464" t="s">
        <v>6345</v>
      </c>
      <c r="C3464" s="1" t="str">
        <f>HYPERLINK("http://www.genecards.org/cgi-bin/carddisp.pl?gene=CPD","GeneCards")</f>
        <v>GeneCards</v>
      </c>
      <c r="D3464" s="1" t="str">
        <f>HYPERLINK("http://genome-euro.ucsc.edu/cgi-bin/hgTracks?position=201941_at","UCSC")</f>
        <v>UCSC</v>
      </c>
      <c r="E3464" s="1" t="str">
        <f>HYPERLINK("http://www.ncbi.nlm.nih.gov/gene/?term=CPD","NCBI")</f>
        <v>NCBI</v>
      </c>
      <c r="F3464">
        <v>2.1999999999999999E-2</v>
      </c>
      <c r="G3464">
        <v>0.11</v>
      </c>
      <c r="H3464" s="1" t="str">
        <f>HYPERLINK("http://www.weizmann.ac.il/complex/compphys/software/geview/data/figures/201941_at.png","Figure")</f>
        <v>Figure</v>
      </c>
      <c r="I3464">
        <v>0.58299999999999996</v>
      </c>
      <c r="J3464">
        <v>3.5000000000000003E-2</v>
      </c>
      <c r="K3464">
        <v>0.97899999999999998</v>
      </c>
      <c r="L3464">
        <v>0.99</v>
      </c>
      <c r="M3464">
        <v>1.68</v>
      </c>
      <c r="N3464">
        <v>0.03</v>
      </c>
    </row>
    <row r="3465" spans="1:14" x14ac:dyDescent="0.25">
      <c r="A3465" t="s">
        <v>6346</v>
      </c>
      <c r="B3465" t="s">
        <v>6347</v>
      </c>
      <c r="C3465" s="1" t="str">
        <f>HYPERLINK("http://www.genecards.org/cgi-bin/carddisp.pl?gene=ANXA7","GeneCards")</f>
        <v>GeneCards</v>
      </c>
      <c r="D3465" s="1" t="str">
        <f>HYPERLINK("http://genome-euro.ucsc.edu/cgi-bin/hgTracks?position=201366_at","UCSC")</f>
        <v>UCSC</v>
      </c>
      <c r="E3465" s="1" t="str">
        <f>HYPERLINK("http://www.ncbi.nlm.nih.gov/gene/?term=ANXA7","NCBI")</f>
        <v>NCBI</v>
      </c>
      <c r="F3465">
        <v>2.1999999999999999E-2</v>
      </c>
      <c r="G3465">
        <v>0.11</v>
      </c>
      <c r="H3465" s="1" t="str">
        <f>HYPERLINK("http://www.weizmann.ac.il/complex/compphys/software/geview/data/figures/201366_at.png","Figure")</f>
        <v>Figure</v>
      </c>
      <c r="I3465">
        <v>0.53500000000000003</v>
      </c>
      <c r="J3465">
        <v>1.7999999999999999E-2</v>
      </c>
      <c r="K3465">
        <v>0.71599999999999997</v>
      </c>
      <c r="L3465">
        <v>0.16</v>
      </c>
      <c r="M3465">
        <v>1.34</v>
      </c>
      <c r="N3465">
        <v>0.28000000000000003</v>
      </c>
    </row>
    <row r="3466" spans="1:14" x14ac:dyDescent="0.25">
      <c r="A3466" t="s">
        <v>6348</v>
      </c>
      <c r="B3466" t="s">
        <v>6349</v>
      </c>
      <c r="C3466" s="1" t="str">
        <f>HYPERLINK("http://www.genecards.org/cgi-bin/carddisp.pl?gene=RBCK1","GeneCards")</f>
        <v>GeneCards</v>
      </c>
      <c r="D3466" s="1" t="str">
        <f>HYPERLINK("http://genome-euro.ucsc.edu/cgi-bin/hgTracks?position=207713_s_at","UCSC")</f>
        <v>UCSC</v>
      </c>
      <c r="E3466" s="1" t="str">
        <f>HYPERLINK("http://www.ncbi.nlm.nih.gov/gene/?term=RBCK1","NCBI")</f>
        <v>NCBI</v>
      </c>
      <c r="F3466">
        <v>2.1999999999999999E-2</v>
      </c>
      <c r="G3466">
        <v>0.11</v>
      </c>
      <c r="H3466" s="1" t="str">
        <f>HYPERLINK("http://www.weizmann.ac.il/complex/compphys/software/geview/data/figures/207713_s_at.png","Figure")</f>
        <v>Figure</v>
      </c>
      <c r="I3466">
        <v>1.57</v>
      </c>
      <c r="J3466">
        <v>0.02</v>
      </c>
      <c r="K3466">
        <v>1.32</v>
      </c>
      <c r="L3466">
        <v>0.11</v>
      </c>
      <c r="M3466">
        <v>0.84</v>
      </c>
      <c r="N3466">
        <v>0.42</v>
      </c>
    </row>
    <row r="3467" spans="1:14" x14ac:dyDescent="0.25">
      <c r="A3467" t="s">
        <v>6350</v>
      </c>
      <c r="B3467" t="s">
        <v>6351</v>
      </c>
      <c r="C3467" s="1" t="str">
        <f>HYPERLINK("http://www.genecards.org/cgi-bin/carddisp.pl?gene=ITCH","GeneCards")</f>
        <v>GeneCards</v>
      </c>
      <c r="D3467" s="1" t="str">
        <f>HYPERLINK("http://genome-euro.ucsc.edu/cgi-bin/hgTracks?position=209743_s_at","UCSC")</f>
        <v>UCSC</v>
      </c>
      <c r="E3467" s="1" t="str">
        <f>HYPERLINK("http://www.ncbi.nlm.nih.gov/gene/?term=ITCH","NCBI")</f>
        <v>NCBI</v>
      </c>
      <c r="F3467">
        <v>2.1999999999999999E-2</v>
      </c>
      <c r="G3467">
        <v>0.11</v>
      </c>
      <c r="H3467" s="1" t="str">
        <f>HYPERLINK("http://www.weizmann.ac.il/complex/compphys/software/geview/data/figures/209743_s_at.png","Figure")</f>
        <v>Figure</v>
      </c>
      <c r="I3467">
        <v>0.98499999999999999</v>
      </c>
      <c r="J3467">
        <v>0.99</v>
      </c>
      <c r="K3467">
        <v>0.76500000000000001</v>
      </c>
      <c r="L3467">
        <v>3.5000000000000003E-2</v>
      </c>
      <c r="M3467">
        <v>0.77700000000000002</v>
      </c>
      <c r="N3467">
        <v>6.4000000000000001E-2</v>
      </c>
    </row>
    <row r="3468" spans="1:14" x14ac:dyDescent="0.25">
      <c r="A3468" t="s">
        <v>6352</v>
      </c>
      <c r="B3468" t="s">
        <v>6353</v>
      </c>
      <c r="C3468" s="1" t="str">
        <f>HYPERLINK("http://www.genecards.org/cgi-bin/carddisp.pl?gene=PTGER1","GeneCards")</f>
        <v>GeneCards</v>
      </c>
      <c r="D3468" s="1" t="str">
        <f>HYPERLINK("http://genome-euro.ucsc.edu/cgi-bin/hgTracks?position=214391_x_at","UCSC")</f>
        <v>UCSC</v>
      </c>
      <c r="E3468" s="1" t="str">
        <f>HYPERLINK("http://www.ncbi.nlm.nih.gov/gene/?term=PTGER1","NCBI")</f>
        <v>NCBI</v>
      </c>
      <c r="F3468">
        <v>2.1999999999999999E-2</v>
      </c>
      <c r="G3468">
        <v>0.11</v>
      </c>
      <c r="H3468" s="1" t="str">
        <f>HYPERLINK("http://www.weizmann.ac.il/complex/compphys/software/geview/data/figures/214391_x_at.png","Figure")</f>
        <v>Figure</v>
      </c>
      <c r="I3468">
        <v>1.49</v>
      </c>
      <c r="J3468">
        <v>1.7000000000000001E-2</v>
      </c>
      <c r="K3468">
        <v>1.19</v>
      </c>
      <c r="L3468">
        <v>0.28000000000000003</v>
      </c>
      <c r="M3468">
        <v>0.79600000000000004</v>
      </c>
      <c r="N3468">
        <v>0.16</v>
      </c>
    </row>
    <row r="3469" spans="1:14" x14ac:dyDescent="0.25">
      <c r="A3469" t="s">
        <v>6354</v>
      </c>
      <c r="B3469" t="s">
        <v>6355</v>
      </c>
      <c r="C3469" s="1" t="str">
        <f>HYPERLINK("http://www.genecards.org/cgi-bin/carddisp.pl?gene=LARGE","GeneCards")</f>
        <v>GeneCards</v>
      </c>
      <c r="D3469" s="1" t="str">
        <f>HYPERLINK("http://genome-euro.ucsc.edu/cgi-bin/hgTracks?position=215543_s_at","UCSC")</f>
        <v>UCSC</v>
      </c>
      <c r="E3469" s="1" t="str">
        <f>HYPERLINK("http://www.ncbi.nlm.nih.gov/gene/?term=LARGE","NCBI")</f>
        <v>NCBI</v>
      </c>
      <c r="F3469">
        <v>2.1999999999999999E-2</v>
      </c>
      <c r="G3469">
        <v>0.11</v>
      </c>
      <c r="H3469" s="1" t="str">
        <f>HYPERLINK("http://www.weizmann.ac.il/complex/compphys/software/geview/data/figures/215543_s_at.png","Figure")</f>
        <v>Figure</v>
      </c>
      <c r="I3469">
        <v>0.76800000000000002</v>
      </c>
      <c r="J3469">
        <v>6.8000000000000005E-2</v>
      </c>
      <c r="K3469">
        <v>0.753</v>
      </c>
      <c r="L3469">
        <v>2.4E-2</v>
      </c>
      <c r="M3469">
        <v>0.98</v>
      </c>
      <c r="N3469">
        <v>0.98</v>
      </c>
    </row>
    <row r="3470" spans="1:14" x14ac:dyDescent="0.25">
      <c r="A3470" t="s">
        <v>6356</v>
      </c>
      <c r="B3470" t="s">
        <v>6357</v>
      </c>
      <c r="C3470" s="1" t="str">
        <f>HYPERLINK("http://www.genecards.org/cgi-bin/carddisp.pl?gene=HADHA","GeneCards")</f>
        <v>GeneCards</v>
      </c>
      <c r="D3470" s="1" t="str">
        <f>HYPERLINK("http://genome-euro.ucsc.edu/cgi-bin/hgTracks?position=217156_at","UCSC")</f>
        <v>UCSC</v>
      </c>
      <c r="E3470" s="1" t="str">
        <f>HYPERLINK("http://www.ncbi.nlm.nih.gov/gene/?term=HADHA","NCBI")</f>
        <v>NCBI</v>
      </c>
      <c r="F3470">
        <v>2.1999999999999999E-2</v>
      </c>
      <c r="G3470">
        <v>0.11</v>
      </c>
      <c r="H3470" s="1" t="str">
        <f>HYPERLINK("http://www.weizmann.ac.il/complex/compphys/software/geview/data/figures/217156_at.png","Figure")</f>
        <v>Figure</v>
      </c>
      <c r="I3470">
        <v>1.33</v>
      </c>
      <c r="J3470">
        <v>1.9E-2</v>
      </c>
      <c r="K3470">
        <v>1.18</v>
      </c>
      <c r="L3470">
        <v>0.12</v>
      </c>
      <c r="M3470">
        <v>0.89100000000000001</v>
      </c>
      <c r="N3470">
        <v>0.39</v>
      </c>
    </row>
    <row r="3471" spans="1:14" x14ac:dyDescent="0.25">
      <c r="A3471" t="s">
        <v>6358</v>
      </c>
      <c r="B3471" t="s">
        <v>6359</v>
      </c>
      <c r="C3471" s="1" t="str">
        <f>HYPERLINK("http://www.genecards.org/cgi-bin/carddisp.pl?gene=DPF3","GeneCards")</f>
        <v>GeneCards</v>
      </c>
      <c r="D3471" s="1" t="str">
        <f>HYPERLINK("http://genome-euro.ucsc.edu/cgi-bin/hgTracks?position=219746_at","UCSC")</f>
        <v>UCSC</v>
      </c>
      <c r="E3471" s="1" t="str">
        <f>HYPERLINK("http://www.ncbi.nlm.nih.gov/gene/?term=DPF3","NCBI")</f>
        <v>NCBI</v>
      </c>
      <c r="F3471">
        <v>2.1999999999999999E-2</v>
      </c>
      <c r="G3471">
        <v>0.11</v>
      </c>
      <c r="H3471" s="1" t="str">
        <f>HYPERLINK("http://www.weizmann.ac.il/complex/compphys/software/geview/data/figures/219746_at.png","Figure")</f>
        <v>Figure</v>
      </c>
      <c r="I3471">
        <v>1.1599999999999999</v>
      </c>
      <c r="J3471">
        <v>0.21</v>
      </c>
      <c r="K3471">
        <v>0.90500000000000003</v>
      </c>
      <c r="L3471">
        <v>0.38</v>
      </c>
      <c r="M3471">
        <v>0.77900000000000003</v>
      </c>
      <c r="N3471">
        <v>1.7000000000000001E-2</v>
      </c>
    </row>
    <row r="3472" spans="1:14" x14ac:dyDescent="0.25">
      <c r="A3472" t="s">
        <v>6360</v>
      </c>
      <c r="B3472" t="s">
        <v>6361</v>
      </c>
      <c r="C3472" s="1" t="str">
        <f>HYPERLINK("http://www.genecards.org/cgi-bin/carddisp.pl?gene=WRAP53","GeneCards")</f>
        <v>GeneCards</v>
      </c>
      <c r="D3472" s="1" t="str">
        <f>HYPERLINK("http://genome-euro.ucsc.edu/cgi-bin/hgTracks?position=220258_s_at","UCSC")</f>
        <v>UCSC</v>
      </c>
      <c r="E3472" s="1" t="str">
        <f>HYPERLINK("http://www.ncbi.nlm.nih.gov/gene/?term=WRAP53","NCBI")</f>
        <v>NCBI</v>
      </c>
      <c r="F3472">
        <v>2.1999999999999999E-2</v>
      </c>
      <c r="G3472">
        <v>0.11</v>
      </c>
      <c r="H3472" s="1" t="str">
        <f>HYPERLINK("http://www.weizmann.ac.il/complex/compphys/software/geview/data/figures/220258_s_at.png","Figure")</f>
        <v>Figure</v>
      </c>
      <c r="I3472">
        <v>1.2</v>
      </c>
      <c r="J3472">
        <v>6.9000000000000006E-2</v>
      </c>
      <c r="K3472">
        <v>1.21</v>
      </c>
      <c r="L3472">
        <v>2.4E-2</v>
      </c>
      <c r="M3472">
        <v>1.01</v>
      </c>
      <c r="N3472">
        <v>0.98</v>
      </c>
    </row>
    <row r="3473" spans="1:14" x14ac:dyDescent="0.25">
      <c r="A3473" t="s">
        <v>6362</v>
      </c>
      <c r="B3473" t="s">
        <v>6363</v>
      </c>
      <c r="C3473" s="1" t="str">
        <f>HYPERLINK("http://www.genecards.org/cgi-bin/carddisp.pl?gene=hCG_1644608 /// SET","GeneCards")</f>
        <v>GeneCards</v>
      </c>
      <c r="D3473" s="1" t="str">
        <f>HYPERLINK("http://genome-euro.ucsc.edu/cgi-bin/hgTracks?position=215780_s_at","UCSC")</f>
        <v>UCSC</v>
      </c>
      <c r="E3473" s="1" t="str">
        <f>HYPERLINK("http://www.ncbi.nlm.nih.gov/gene/?term=hCG_1644608 /// SET","NCBI")</f>
        <v>NCBI</v>
      </c>
      <c r="F3473">
        <v>2.1999999999999999E-2</v>
      </c>
      <c r="G3473">
        <v>0.11</v>
      </c>
      <c r="H3473" s="1" t="str">
        <f>HYPERLINK("http://www.weizmann.ac.il/complex/compphys/software/geview/data/figures/215780_s_at.png","Figure")</f>
        <v>Figure</v>
      </c>
      <c r="I3473">
        <v>1.57</v>
      </c>
      <c r="J3473">
        <v>2.5999999999999999E-2</v>
      </c>
      <c r="K3473">
        <v>1.4</v>
      </c>
      <c r="L3473">
        <v>5.8000000000000003E-2</v>
      </c>
      <c r="M3473">
        <v>0.89200000000000002</v>
      </c>
      <c r="N3473">
        <v>0.7</v>
      </c>
    </row>
    <row r="3474" spans="1:14" x14ac:dyDescent="0.25">
      <c r="A3474" t="s">
        <v>6364</v>
      </c>
      <c r="B3474" t="s">
        <v>3480</v>
      </c>
      <c r="C3474" s="1" t="str">
        <f>HYPERLINK("http://www.genecards.org/cgi-bin/carddisp.pl?gene=NDUFB2","GeneCards")</f>
        <v>GeneCards</v>
      </c>
      <c r="D3474" s="1" t="str">
        <f>HYPERLINK("http://genome-euro.ucsc.edu/cgi-bin/hgTracks?position=218201_at","UCSC")</f>
        <v>UCSC</v>
      </c>
      <c r="E3474" s="1" t="str">
        <f>HYPERLINK("http://www.ncbi.nlm.nih.gov/gene/?term=NDUFB2","NCBI")</f>
        <v>NCBI</v>
      </c>
      <c r="F3474">
        <v>2.1999999999999999E-2</v>
      </c>
      <c r="G3474">
        <v>0.11</v>
      </c>
      <c r="H3474" s="1" t="str">
        <f>HYPERLINK("http://www.weizmann.ac.il/complex/compphys/software/geview/data/figures/218201_at.png","Figure")</f>
        <v>Figure</v>
      </c>
      <c r="I3474">
        <v>1.07</v>
      </c>
      <c r="J3474">
        <v>0.76</v>
      </c>
      <c r="K3474">
        <v>1.28</v>
      </c>
      <c r="L3474">
        <v>2.3E-2</v>
      </c>
      <c r="M3474">
        <v>1.2</v>
      </c>
      <c r="N3474">
        <v>0.13</v>
      </c>
    </row>
    <row r="3475" spans="1:14" x14ac:dyDescent="0.25">
      <c r="A3475" t="s">
        <v>6365</v>
      </c>
      <c r="B3475" t="s">
        <v>6366</v>
      </c>
      <c r="C3475" s="1" t="str">
        <f>HYPERLINK("http://www.genecards.org/cgi-bin/carddisp.pl?gene=DCLK2","GeneCards")</f>
        <v>GeneCards</v>
      </c>
      <c r="D3475" s="1" t="str">
        <f>HYPERLINK("http://genome-euro.ucsc.edu/cgi-bin/hgTracks?position=216724_at","UCSC")</f>
        <v>UCSC</v>
      </c>
      <c r="E3475" s="1" t="str">
        <f>HYPERLINK("http://www.ncbi.nlm.nih.gov/gene/?term=DCLK2","NCBI")</f>
        <v>NCBI</v>
      </c>
      <c r="F3475">
        <v>2.1999999999999999E-2</v>
      </c>
      <c r="G3475">
        <v>0.11</v>
      </c>
      <c r="H3475" s="1" t="str">
        <f>HYPERLINK("http://www.weizmann.ac.il/complex/compphys/software/geview/data/figures/216724_at.png","Figure")</f>
        <v>Figure</v>
      </c>
      <c r="I3475">
        <v>1.0900000000000001</v>
      </c>
      <c r="J3475">
        <v>5.8999999999999997E-2</v>
      </c>
      <c r="K3475">
        <v>1.1000000000000001</v>
      </c>
      <c r="L3475">
        <v>2.5999999999999999E-2</v>
      </c>
      <c r="M3475">
        <v>1</v>
      </c>
      <c r="N3475">
        <v>1</v>
      </c>
    </row>
    <row r="3476" spans="1:14" x14ac:dyDescent="0.25">
      <c r="A3476" t="s">
        <v>6367</v>
      </c>
      <c r="B3476" t="s">
        <v>6114</v>
      </c>
      <c r="C3476" s="1" t="str">
        <f>HYPERLINK("http://www.genecards.org/cgi-bin/carddisp.pl?gene=HSPA13","GeneCards")</f>
        <v>GeneCards</v>
      </c>
      <c r="D3476" s="1" t="str">
        <f>HYPERLINK("http://genome-euro.ucsc.edu/cgi-bin/hgTracks?position=202557_at","UCSC")</f>
        <v>UCSC</v>
      </c>
      <c r="E3476" s="1" t="str">
        <f>HYPERLINK("http://www.ncbi.nlm.nih.gov/gene/?term=HSPA13","NCBI")</f>
        <v>NCBI</v>
      </c>
      <c r="F3476">
        <v>2.1999999999999999E-2</v>
      </c>
      <c r="G3476">
        <v>0.11</v>
      </c>
      <c r="H3476" s="1" t="str">
        <f>HYPERLINK("http://www.weizmann.ac.il/complex/compphys/software/geview/data/figures/202557_at.png","Figure")</f>
        <v>Figure</v>
      </c>
      <c r="I3476">
        <v>0.35899999999999999</v>
      </c>
      <c r="J3476">
        <v>1.7000000000000001E-2</v>
      </c>
      <c r="K3476">
        <v>0.63</v>
      </c>
      <c r="L3476">
        <v>0.26</v>
      </c>
      <c r="M3476">
        <v>1.75</v>
      </c>
      <c r="N3476">
        <v>0.18</v>
      </c>
    </row>
    <row r="3477" spans="1:14" x14ac:dyDescent="0.25">
      <c r="A3477" t="s">
        <v>6368</v>
      </c>
      <c r="B3477" t="s">
        <v>6369</v>
      </c>
      <c r="C3477" s="1" t="str">
        <f>HYPERLINK("http://www.genecards.org/cgi-bin/carddisp.pl?gene=SECISBP2L","GeneCards")</f>
        <v>GeneCards</v>
      </c>
      <c r="D3477" s="1" t="str">
        <f>HYPERLINK("http://genome-euro.ucsc.edu/cgi-bin/hgTracks?position=212450_at","UCSC")</f>
        <v>UCSC</v>
      </c>
      <c r="E3477" s="1" t="str">
        <f>HYPERLINK("http://www.ncbi.nlm.nih.gov/gene/?term=SECISBP2L","NCBI")</f>
        <v>NCBI</v>
      </c>
      <c r="F3477">
        <v>2.1999999999999999E-2</v>
      </c>
      <c r="G3477">
        <v>0.11</v>
      </c>
      <c r="H3477" s="1" t="str">
        <f>HYPERLINK("http://www.weizmann.ac.il/complex/compphys/software/geview/data/figures/212450_at.png","Figure")</f>
        <v>Figure</v>
      </c>
      <c r="I3477">
        <v>0.59499999999999997</v>
      </c>
      <c r="J3477">
        <v>0.25</v>
      </c>
      <c r="K3477">
        <v>0.41899999999999998</v>
      </c>
      <c r="L3477">
        <v>1.7000000000000001E-2</v>
      </c>
      <c r="M3477">
        <v>0.70399999999999996</v>
      </c>
      <c r="N3477">
        <v>0.47</v>
      </c>
    </row>
    <row r="3478" spans="1:14" x14ac:dyDescent="0.25">
      <c r="A3478" t="s">
        <v>6370</v>
      </c>
      <c r="B3478" t="s">
        <v>6371</v>
      </c>
      <c r="C3478" s="1" t="str">
        <f>HYPERLINK("http://www.genecards.org/cgi-bin/carddisp.pl?gene=TLE6","GeneCards")</f>
        <v>GeneCards</v>
      </c>
      <c r="D3478" s="1" t="str">
        <f>HYPERLINK("http://genome-euro.ucsc.edu/cgi-bin/hgTracks?position=222219_s_at","UCSC")</f>
        <v>UCSC</v>
      </c>
      <c r="E3478" s="1" t="str">
        <f>HYPERLINK("http://www.ncbi.nlm.nih.gov/gene/?term=TLE6","NCBI")</f>
        <v>NCBI</v>
      </c>
      <c r="F3478">
        <v>2.1999999999999999E-2</v>
      </c>
      <c r="G3478">
        <v>0.11</v>
      </c>
      <c r="H3478" s="1" t="str">
        <f>HYPERLINK("http://www.weizmann.ac.il/complex/compphys/software/geview/data/figures/222219_s_at.png","Figure")</f>
        <v>Figure</v>
      </c>
      <c r="I3478">
        <v>1.19</v>
      </c>
      <c r="J3478">
        <v>1.9E-2</v>
      </c>
      <c r="K3478">
        <v>1.1000000000000001</v>
      </c>
      <c r="L3478">
        <v>0.13</v>
      </c>
      <c r="M3478">
        <v>0.93100000000000005</v>
      </c>
      <c r="N3478">
        <v>0.36</v>
      </c>
    </row>
    <row r="3479" spans="1:14" x14ac:dyDescent="0.25">
      <c r="A3479" t="s">
        <v>6372</v>
      </c>
      <c r="B3479" t="s">
        <v>6373</v>
      </c>
      <c r="C3479" s="1" t="str">
        <f>HYPERLINK("http://www.genecards.org/cgi-bin/carddisp.pl?gene=MID1IP1","GeneCards")</f>
        <v>GeneCards</v>
      </c>
      <c r="D3479" s="1" t="str">
        <f>HYPERLINK("http://genome-euro.ucsc.edu/cgi-bin/hgTracks?position=218251_at","UCSC")</f>
        <v>UCSC</v>
      </c>
      <c r="E3479" s="1" t="str">
        <f>HYPERLINK("http://www.ncbi.nlm.nih.gov/gene/?term=MID1IP1","NCBI")</f>
        <v>NCBI</v>
      </c>
      <c r="F3479">
        <v>2.1999999999999999E-2</v>
      </c>
      <c r="G3479">
        <v>0.11</v>
      </c>
      <c r="H3479" s="1" t="str">
        <f>HYPERLINK("http://www.weizmann.ac.il/complex/compphys/software/geview/data/figures/218251_at.png","Figure")</f>
        <v>Figure</v>
      </c>
      <c r="I3479">
        <v>0.75800000000000001</v>
      </c>
      <c r="J3479">
        <v>0.25</v>
      </c>
      <c r="K3479">
        <v>1.24</v>
      </c>
      <c r="L3479">
        <v>0.32</v>
      </c>
      <c r="M3479">
        <v>1.64</v>
      </c>
      <c r="N3479">
        <v>1.7999999999999999E-2</v>
      </c>
    </row>
    <row r="3480" spans="1:14" x14ac:dyDescent="0.25">
      <c r="A3480" t="s">
        <v>6374</v>
      </c>
      <c r="B3480" t="s">
        <v>6375</v>
      </c>
      <c r="C3480" s="1" t="str">
        <f>HYPERLINK("http://www.genecards.org/cgi-bin/carddisp.pl?gene=MVK","GeneCards")</f>
        <v>GeneCards</v>
      </c>
      <c r="D3480" s="1" t="str">
        <f>HYPERLINK("http://genome-euro.ucsc.edu/cgi-bin/hgTracks?position=204056_s_at","UCSC")</f>
        <v>UCSC</v>
      </c>
      <c r="E3480" s="1" t="str">
        <f>HYPERLINK("http://www.ncbi.nlm.nih.gov/gene/?term=MVK","NCBI")</f>
        <v>NCBI</v>
      </c>
      <c r="F3480">
        <v>2.1999999999999999E-2</v>
      </c>
      <c r="G3480">
        <v>0.11</v>
      </c>
      <c r="H3480" s="1" t="str">
        <f>HYPERLINK("http://www.weizmann.ac.il/complex/compphys/software/geview/data/figures/204056_s_at.png","Figure")</f>
        <v>Figure</v>
      </c>
      <c r="I3480">
        <v>1.4</v>
      </c>
      <c r="J3480">
        <v>1.7000000000000001E-2</v>
      </c>
      <c r="K3480">
        <v>1.1599999999999999</v>
      </c>
      <c r="L3480">
        <v>0.26</v>
      </c>
      <c r="M3480">
        <v>0.82899999999999996</v>
      </c>
      <c r="N3480">
        <v>0.18</v>
      </c>
    </row>
    <row r="3481" spans="1:14" x14ac:dyDescent="0.25">
      <c r="A3481" t="s">
        <v>6376</v>
      </c>
      <c r="B3481" t="s">
        <v>6377</v>
      </c>
      <c r="C3481" s="1" t="str">
        <f>HYPERLINK("http://www.genecards.org/cgi-bin/carddisp.pl?gene=C17orf59","GeneCards")</f>
        <v>GeneCards</v>
      </c>
      <c r="D3481" s="1" t="str">
        <f>HYPERLINK("http://genome-euro.ucsc.edu/cgi-bin/hgTracks?position=219417_s_at","UCSC")</f>
        <v>UCSC</v>
      </c>
      <c r="E3481" s="1" t="str">
        <f>HYPERLINK("http://www.ncbi.nlm.nih.gov/gene/?term=C17orf59","NCBI")</f>
        <v>NCBI</v>
      </c>
      <c r="F3481">
        <v>2.1999999999999999E-2</v>
      </c>
      <c r="G3481">
        <v>0.11</v>
      </c>
      <c r="H3481" s="1" t="str">
        <f>HYPERLINK("http://www.weizmann.ac.il/complex/compphys/software/geview/data/figures/219417_s_at.png","Figure")</f>
        <v>Figure</v>
      </c>
      <c r="I3481">
        <v>1.28</v>
      </c>
      <c r="J3481">
        <v>5.1999999999999998E-2</v>
      </c>
      <c r="K3481">
        <v>1.27</v>
      </c>
      <c r="L3481">
        <v>2.9000000000000001E-2</v>
      </c>
      <c r="M3481">
        <v>0.995</v>
      </c>
      <c r="N3481">
        <v>1</v>
      </c>
    </row>
    <row r="3482" spans="1:14" x14ac:dyDescent="0.25">
      <c r="A3482" t="s">
        <v>6378</v>
      </c>
      <c r="B3482" t="s">
        <v>6379</v>
      </c>
      <c r="C3482" s="1" t="str">
        <f>HYPERLINK("http://www.genecards.org/cgi-bin/carddisp.pl?gene=WDR73","GeneCards")</f>
        <v>GeneCards</v>
      </c>
      <c r="D3482" s="1" t="str">
        <f>HYPERLINK("http://genome-euro.ucsc.edu/cgi-bin/hgTracks?position=213031_s_at","UCSC")</f>
        <v>UCSC</v>
      </c>
      <c r="E3482" s="1" t="str">
        <f>HYPERLINK("http://www.ncbi.nlm.nih.gov/gene/?term=WDR73","NCBI")</f>
        <v>NCBI</v>
      </c>
      <c r="F3482">
        <v>2.1999999999999999E-2</v>
      </c>
      <c r="G3482">
        <v>0.11</v>
      </c>
      <c r="H3482" s="1" t="str">
        <f>HYPERLINK("http://www.weizmann.ac.il/complex/compphys/software/geview/data/figures/213031_s_at.png","Figure")</f>
        <v>Figure</v>
      </c>
      <c r="I3482">
        <v>1.22</v>
      </c>
      <c r="J3482">
        <v>0.14000000000000001</v>
      </c>
      <c r="K3482">
        <v>0.91400000000000003</v>
      </c>
      <c r="L3482">
        <v>0.55000000000000004</v>
      </c>
      <c r="M3482">
        <v>0.748</v>
      </c>
      <c r="N3482">
        <v>1.7000000000000001E-2</v>
      </c>
    </row>
    <row r="3483" spans="1:14" x14ac:dyDescent="0.25">
      <c r="A3483" t="s">
        <v>6380</v>
      </c>
      <c r="B3483" t="s">
        <v>6381</v>
      </c>
      <c r="C3483" s="1" t="str">
        <f>HYPERLINK("http://www.genecards.org/cgi-bin/carddisp.pl?gene=PYCARD","GeneCards")</f>
        <v>GeneCards</v>
      </c>
      <c r="D3483" s="1" t="str">
        <f>HYPERLINK("http://genome-euro.ucsc.edu/cgi-bin/hgTracks?position=221666_s_at","UCSC")</f>
        <v>UCSC</v>
      </c>
      <c r="E3483" s="1" t="str">
        <f>HYPERLINK("http://www.ncbi.nlm.nih.gov/gene/?term=PYCARD","NCBI")</f>
        <v>NCBI</v>
      </c>
      <c r="F3483">
        <v>2.1999999999999999E-2</v>
      </c>
      <c r="G3483">
        <v>0.11</v>
      </c>
      <c r="H3483" s="1" t="str">
        <f>HYPERLINK("http://www.weizmann.ac.il/complex/compphys/software/geview/data/figures/221666_s_at.png","Figure")</f>
        <v>Figure</v>
      </c>
      <c r="I3483">
        <v>0.63800000000000001</v>
      </c>
      <c r="J3483">
        <v>0.46</v>
      </c>
      <c r="K3483">
        <v>1.85</v>
      </c>
      <c r="L3483">
        <v>0.17</v>
      </c>
      <c r="M3483">
        <v>2.91</v>
      </c>
      <c r="N3483">
        <v>2.1000000000000001E-2</v>
      </c>
    </row>
    <row r="3484" spans="1:14" x14ac:dyDescent="0.25">
      <c r="A3484" t="s">
        <v>6382</v>
      </c>
      <c r="B3484" t="s">
        <v>2758</v>
      </c>
      <c r="C3484" s="1" t="str">
        <f>HYPERLINK("http://www.genecards.org/cgi-bin/carddisp.pl?gene=PPP2R5B","GeneCards")</f>
        <v>GeneCards</v>
      </c>
      <c r="D3484" s="1" t="str">
        <f>HYPERLINK("http://genome-euro.ucsc.edu/cgi-bin/hgTracks?position=204611_s_at","UCSC")</f>
        <v>UCSC</v>
      </c>
      <c r="E3484" s="1" t="str">
        <f>HYPERLINK("http://www.ncbi.nlm.nih.gov/gene/?term=PPP2R5B","NCBI")</f>
        <v>NCBI</v>
      </c>
      <c r="F3484">
        <v>2.1999999999999999E-2</v>
      </c>
      <c r="G3484">
        <v>0.11</v>
      </c>
      <c r="H3484" s="1" t="str">
        <f>HYPERLINK("http://www.weizmann.ac.il/complex/compphys/software/geview/data/figures/204611_s_at.png","Figure")</f>
        <v>Figure</v>
      </c>
      <c r="I3484">
        <v>1.47</v>
      </c>
      <c r="J3484">
        <v>1.9E-2</v>
      </c>
      <c r="K3484">
        <v>1.24</v>
      </c>
      <c r="L3484">
        <v>0.14000000000000001</v>
      </c>
      <c r="M3484">
        <v>0.84699999999999998</v>
      </c>
      <c r="N3484">
        <v>0.33</v>
      </c>
    </row>
    <row r="3485" spans="1:14" x14ac:dyDescent="0.25">
      <c r="A3485" t="s">
        <v>6383</v>
      </c>
      <c r="B3485" t="s">
        <v>6384</v>
      </c>
      <c r="C3485" s="1" t="str">
        <f>HYPERLINK("http://www.genecards.org/cgi-bin/carddisp.pl?gene=BRMS1","GeneCards")</f>
        <v>GeneCards</v>
      </c>
      <c r="D3485" s="1" t="str">
        <f>HYPERLINK("http://genome-euro.ucsc.edu/cgi-bin/hgTracks?position=215631_s_at","UCSC")</f>
        <v>UCSC</v>
      </c>
      <c r="E3485" s="1" t="str">
        <f>HYPERLINK("http://www.ncbi.nlm.nih.gov/gene/?term=BRMS1","NCBI")</f>
        <v>NCBI</v>
      </c>
      <c r="F3485">
        <v>2.1999999999999999E-2</v>
      </c>
      <c r="G3485">
        <v>0.11</v>
      </c>
      <c r="H3485" s="1" t="str">
        <f>HYPERLINK("http://www.weizmann.ac.il/complex/compphys/software/geview/data/figures/215631_s_at.png","Figure")</f>
        <v>Figure</v>
      </c>
      <c r="I3485">
        <v>1.27</v>
      </c>
      <c r="J3485">
        <v>0.02</v>
      </c>
      <c r="K3485">
        <v>1.1499999999999999</v>
      </c>
      <c r="L3485">
        <v>0.11</v>
      </c>
      <c r="M3485">
        <v>0.91100000000000003</v>
      </c>
      <c r="N3485">
        <v>0.41</v>
      </c>
    </row>
    <row r="3486" spans="1:14" x14ac:dyDescent="0.25">
      <c r="A3486" t="s">
        <v>6385</v>
      </c>
      <c r="B3486" t="s">
        <v>6386</v>
      </c>
      <c r="C3486" s="1" t="str">
        <f>HYPERLINK("http://www.genecards.org/cgi-bin/carddisp.pl?gene=GSK3A","GeneCards")</f>
        <v>GeneCards</v>
      </c>
      <c r="D3486" s="1" t="str">
        <f>HYPERLINK("http://genome-euro.ucsc.edu/cgi-bin/hgTracks?position=202210_x_at","UCSC")</f>
        <v>UCSC</v>
      </c>
      <c r="E3486" s="1" t="str">
        <f>HYPERLINK("http://www.ncbi.nlm.nih.gov/gene/?term=GSK3A","NCBI")</f>
        <v>NCBI</v>
      </c>
      <c r="F3486">
        <v>2.1999999999999999E-2</v>
      </c>
      <c r="G3486">
        <v>0.11</v>
      </c>
      <c r="H3486" s="1" t="str">
        <f>HYPERLINK("http://www.weizmann.ac.il/complex/compphys/software/geview/data/figures/202210_x_at.png","Figure")</f>
        <v>Figure</v>
      </c>
      <c r="I3486">
        <v>1.57</v>
      </c>
      <c r="J3486">
        <v>1.7999999999999999E-2</v>
      </c>
      <c r="K3486">
        <v>1.29</v>
      </c>
      <c r="L3486">
        <v>0.14000000000000001</v>
      </c>
      <c r="M3486">
        <v>0.81799999999999995</v>
      </c>
      <c r="N3486">
        <v>0.32</v>
      </c>
    </row>
    <row r="3487" spans="1:14" x14ac:dyDescent="0.25">
      <c r="A3487" t="s">
        <v>6387</v>
      </c>
      <c r="B3487" t="s">
        <v>6388</v>
      </c>
      <c r="C3487" s="1" t="str">
        <f>HYPERLINK("http://www.genecards.org/cgi-bin/carddisp.pl?gene=GOLGA2L1","GeneCards")</f>
        <v>GeneCards</v>
      </c>
      <c r="D3487" s="1" t="str">
        <f>HYPERLINK("http://genome-euro.ucsc.edu/cgi-bin/hgTracks?position=219876_s_at","UCSC")</f>
        <v>UCSC</v>
      </c>
      <c r="E3487" s="1" t="str">
        <f>HYPERLINK("http://www.ncbi.nlm.nih.gov/gene/?term=GOLGA2L1","NCBI")</f>
        <v>NCBI</v>
      </c>
      <c r="F3487">
        <v>2.1999999999999999E-2</v>
      </c>
      <c r="G3487">
        <v>0.11</v>
      </c>
      <c r="H3487" s="1" t="str">
        <f>HYPERLINK("http://www.weizmann.ac.il/complex/compphys/software/geview/data/figures/219876_s_at.png","Figure")</f>
        <v>Figure</v>
      </c>
      <c r="I3487">
        <v>1.1499999999999999</v>
      </c>
      <c r="J3487">
        <v>3.4000000000000002E-2</v>
      </c>
      <c r="K3487">
        <v>1.1200000000000001</v>
      </c>
      <c r="L3487">
        <v>4.2999999999999997E-2</v>
      </c>
      <c r="M3487">
        <v>0.97699999999999998</v>
      </c>
      <c r="N3487">
        <v>0.87</v>
      </c>
    </row>
    <row r="3488" spans="1:14" x14ac:dyDescent="0.25">
      <c r="A3488" t="s">
        <v>6389</v>
      </c>
      <c r="B3488" t="s">
        <v>6390</v>
      </c>
      <c r="C3488" s="1" t="str">
        <f>HYPERLINK("http://www.genecards.org/cgi-bin/carddisp.pl?gene=IL7R","GeneCards")</f>
        <v>GeneCards</v>
      </c>
      <c r="D3488" s="1" t="str">
        <f>HYPERLINK("http://genome-euro.ucsc.edu/cgi-bin/hgTracks?position=205798_at","UCSC")</f>
        <v>UCSC</v>
      </c>
      <c r="E3488" s="1" t="str">
        <f>HYPERLINK("http://www.ncbi.nlm.nih.gov/gene/?term=IL7R","NCBI")</f>
        <v>NCBI</v>
      </c>
      <c r="F3488">
        <v>2.1999999999999999E-2</v>
      </c>
      <c r="G3488">
        <v>0.11</v>
      </c>
      <c r="H3488" s="1" t="str">
        <f>HYPERLINK("http://www.weizmann.ac.il/complex/compphys/software/geview/data/figures/205798_at.png","Figure")</f>
        <v>Figure</v>
      </c>
      <c r="I3488">
        <v>2.98</v>
      </c>
      <c r="J3488">
        <v>3.4000000000000002E-2</v>
      </c>
      <c r="K3488">
        <v>2.5</v>
      </c>
      <c r="L3488">
        <v>4.2000000000000003E-2</v>
      </c>
      <c r="M3488">
        <v>0.83699999999999997</v>
      </c>
      <c r="N3488">
        <v>0.87</v>
      </c>
    </row>
    <row r="3489" spans="1:14" x14ac:dyDescent="0.25">
      <c r="A3489" t="s">
        <v>6391</v>
      </c>
      <c r="B3489" t="s">
        <v>1298</v>
      </c>
      <c r="C3489" s="1" t="str">
        <f>HYPERLINK("http://www.genecards.org/cgi-bin/carddisp.pl?gene=L3MBTL","GeneCards")</f>
        <v>GeneCards</v>
      </c>
      <c r="D3489" s="1" t="str">
        <f>HYPERLINK("http://genome-euro.ucsc.edu/cgi-bin/hgTracks?position=206823_at","UCSC")</f>
        <v>UCSC</v>
      </c>
      <c r="E3489" s="1" t="str">
        <f>HYPERLINK("http://www.ncbi.nlm.nih.gov/gene/?term=L3MBTL","NCBI")</f>
        <v>NCBI</v>
      </c>
      <c r="F3489">
        <v>2.1999999999999999E-2</v>
      </c>
      <c r="G3489">
        <v>0.11</v>
      </c>
      <c r="H3489" s="1" t="str">
        <f>HYPERLINK("http://www.weizmann.ac.il/complex/compphys/software/geview/data/figures/206823_at.png","Figure")</f>
        <v>Figure</v>
      </c>
      <c r="I3489">
        <v>1.32</v>
      </c>
      <c r="J3489">
        <v>2.5000000000000001E-2</v>
      </c>
      <c r="K3489">
        <v>1.22</v>
      </c>
      <c r="L3489">
        <v>6.7000000000000004E-2</v>
      </c>
      <c r="M3489">
        <v>0.92400000000000004</v>
      </c>
      <c r="N3489">
        <v>0.64</v>
      </c>
    </row>
    <row r="3490" spans="1:14" x14ac:dyDescent="0.25">
      <c r="A3490" t="s">
        <v>6392</v>
      </c>
      <c r="B3490" t="s">
        <v>2251</v>
      </c>
      <c r="C3490" s="1" t="str">
        <f>HYPERLINK("http://www.genecards.org/cgi-bin/carddisp.pl?gene=SOCS5","GeneCards")</f>
        <v>GeneCards</v>
      </c>
      <c r="D3490" s="1" t="str">
        <f>HYPERLINK("http://genome-euro.ucsc.edu/cgi-bin/hgTracks?position=208127_s_at","UCSC")</f>
        <v>UCSC</v>
      </c>
      <c r="E3490" s="1" t="str">
        <f>HYPERLINK("http://www.ncbi.nlm.nih.gov/gene/?term=SOCS5","NCBI")</f>
        <v>NCBI</v>
      </c>
      <c r="F3490">
        <v>2.1999999999999999E-2</v>
      </c>
      <c r="G3490">
        <v>0.11</v>
      </c>
      <c r="H3490" s="1" t="str">
        <f>HYPERLINK("http://www.weizmann.ac.il/complex/compphys/software/geview/data/figures/208127_s_at.png","Figure")</f>
        <v>Figure</v>
      </c>
      <c r="I3490">
        <v>0.63200000000000001</v>
      </c>
      <c r="J3490">
        <v>0.28999999999999998</v>
      </c>
      <c r="K3490">
        <v>0.442</v>
      </c>
      <c r="L3490">
        <v>1.7000000000000001E-2</v>
      </c>
      <c r="M3490">
        <v>0.7</v>
      </c>
      <c r="N3490">
        <v>0.41</v>
      </c>
    </row>
    <row r="3491" spans="1:14" x14ac:dyDescent="0.25">
      <c r="A3491" t="s">
        <v>6393</v>
      </c>
      <c r="B3491" t="s">
        <v>6394</v>
      </c>
      <c r="C3491" s="1" t="str">
        <f>HYPERLINK("http://www.genecards.org/cgi-bin/carddisp.pl?gene=SLC14A2","GeneCards")</f>
        <v>GeneCards</v>
      </c>
      <c r="D3491" s="1" t="str">
        <f>HYPERLINK("http://genome-euro.ucsc.edu/cgi-bin/hgTracks?position=208409_at","UCSC")</f>
        <v>UCSC</v>
      </c>
      <c r="E3491" s="1" t="str">
        <f>HYPERLINK("http://www.ncbi.nlm.nih.gov/gene/?term=SLC14A2","NCBI")</f>
        <v>NCBI</v>
      </c>
      <c r="F3491">
        <v>2.1999999999999999E-2</v>
      </c>
      <c r="G3491">
        <v>0.11</v>
      </c>
      <c r="H3491" s="1" t="str">
        <f>HYPERLINK("http://www.weizmann.ac.il/complex/compphys/software/geview/data/figures/208409_at.png","Figure")</f>
        <v>Figure</v>
      </c>
      <c r="I3491">
        <v>1.1599999999999999</v>
      </c>
      <c r="J3491">
        <v>0.11</v>
      </c>
      <c r="K3491">
        <v>0.94799999999999995</v>
      </c>
      <c r="L3491">
        <v>0.65</v>
      </c>
      <c r="M3491">
        <v>0.81799999999999995</v>
      </c>
      <c r="N3491">
        <v>1.7999999999999999E-2</v>
      </c>
    </row>
    <row r="3492" spans="1:14" x14ac:dyDescent="0.25">
      <c r="A3492" t="s">
        <v>6395</v>
      </c>
      <c r="B3492" t="s">
        <v>6396</v>
      </c>
      <c r="C3492" s="1" t="str">
        <f>HYPERLINK("http://www.genecards.org/cgi-bin/carddisp.pl?gene=SFRS6","GeneCards")</f>
        <v>GeneCards</v>
      </c>
      <c r="D3492" s="1" t="str">
        <f>HYPERLINK("http://genome-euro.ucsc.edu/cgi-bin/hgTracks?position=208804_s_at","UCSC")</f>
        <v>UCSC</v>
      </c>
      <c r="E3492" s="1" t="str">
        <f>HYPERLINK("http://www.ncbi.nlm.nih.gov/gene/?term=SFRS6","NCBI")</f>
        <v>NCBI</v>
      </c>
      <c r="F3492">
        <v>2.1999999999999999E-2</v>
      </c>
      <c r="G3492">
        <v>0.11</v>
      </c>
      <c r="H3492" s="1" t="str">
        <f>HYPERLINK("http://www.weizmann.ac.il/complex/compphys/software/geview/data/figures/208804_s_at.png","Figure")</f>
        <v>Figure</v>
      </c>
      <c r="I3492">
        <v>0.83899999999999997</v>
      </c>
      <c r="J3492">
        <v>0.52</v>
      </c>
      <c r="K3492">
        <v>0.64800000000000002</v>
      </c>
      <c r="L3492">
        <v>1.9E-2</v>
      </c>
      <c r="M3492">
        <v>0.77200000000000002</v>
      </c>
      <c r="N3492">
        <v>0.22</v>
      </c>
    </row>
    <row r="3493" spans="1:14" x14ac:dyDescent="0.25">
      <c r="A3493" t="s">
        <v>6397</v>
      </c>
      <c r="B3493" t="s">
        <v>6398</v>
      </c>
      <c r="C3493" s="1" t="str">
        <f>HYPERLINK("http://www.genecards.org/cgi-bin/carddisp.pl?gene=SFTPB","GeneCards")</f>
        <v>GeneCards</v>
      </c>
      <c r="D3493" s="1" t="str">
        <f>HYPERLINK("http://genome-euro.ucsc.edu/cgi-bin/hgTracks?position=209810_at","UCSC")</f>
        <v>UCSC</v>
      </c>
      <c r="E3493" s="1" t="str">
        <f>HYPERLINK("http://www.ncbi.nlm.nih.gov/gene/?term=SFTPB","NCBI")</f>
        <v>NCBI</v>
      </c>
      <c r="F3493">
        <v>2.1999999999999999E-2</v>
      </c>
      <c r="G3493">
        <v>0.11</v>
      </c>
      <c r="H3493" s="1" t="str">
        <f>HYPERLINK("http://www.weizmann.ac.il/complex/compphys/software/geview/data/figures/209810_at.png","Figure")</f>
        <v>Figure</v>
      </c>
      <c r="I3493">
        <v>1.23</v>
      </c>
      <c r="J3493">
        <v>1.7999999999999999E-2</v>
      </c>
      <c r="K3493">
        <v>1.1100000000000001</v>
      </c>
      <c r="L3493">
        <v>0.2</v>
      </c>
      <c r="M3493">
        <v>0.90200000000000002</v>
      </c>
      <c r="N3493">
        <v>0.23</v>
      </c>
    </row>
    <row r="3494" spans="1:14" x14ac:dyDescent="0.25">
      <c r="A3494" t="s">
        <v>6399</v>
      </c>
      <c r="B3494" t="s">
        <v>6400</v>
      </c>
      <c r="C3494" s="1" t="str">
        <f>HYPERLINK("http://www.genecards.org/cgi-bin/carddisp.pl?gene=TRIM10","GeneCards")</f>
        <v>GeneCards</v>
      </c>
      <c r="D3494" s="1" t="str">
        <f>HYPERLINK("http://genome-euro.ucsc.edu/cgi-bin/hgTracks?position=210579_s_at","UCSC")</f>
        <v>UCSC</v>
      </c>
      <c r="E3494" s="1" t="str">
        <f>HYPERLINK("http://www.ncbi.nlm.nih.gov/gene/?term=TRIM10","NCBI")</f>
        <v>NCBI</v>
      </c>
      <c r="F3494">
        <v>2.1999999999999999E-2</v>
      </c>
      <c r="G3494">
        <v>0.11</v>
      </c>
      <c r="H3494" s="1" t="str">
        <f>HYPERLINK("http://www.weizmann.ac.il/complex/compphys/software/geview/data/figures/210579_s_at.png","Figure")</f>
        <v>Figure</v>
      </c>
      <c r="I3494">
        <v>1.32</v>
      </c>
      <c r="J3494">
        <v>1.7999999999999999E-2</v>
      </c>
      <c r="K3494">
        <v>1.1000000000000001</v>
      </c>
      <c r="L3494">
        <v>0.45</v>
      </c>
      <c r="M3494">
        <v>0.83199999999999996</v>
      </c>
      <c r="N3494">
        <v>0.1</v>
      </c>
    </row>
    <row r="3495" spans="1:14" x14ac:dyDescent="0.25">
      <c r="A3495" t="s">
        <v>6401</v>
      </c>
      <c r="B3495" t="s">
        <v>2126</v>
      </c>
      <c r="C3495" s="1" t="str">
        <f>HYPERLINK("http://www.genecards.org/cgi-bin/carddisp.pl?gene=PPIA","GeneCards")</f>
        <v>GeneCards</v>
      </c>
      <c r="D3495" s="1" t="str">
        <f>HYPERLINK("http://genome-euro.ucsc.edu/cgi-bin/hgTracks?position=211978_x_at","UCSC")</f>
        <v>UCSC</v>
      </c>
      <c r="E3495" s="1" t="str">
        <f>HYPERLINK("http://www.ncbi.nlm.nih.gov/gene/?term=PPIA","NCBI")</f>
        <v>NCBI</v>
      </c>
      <c r="F3495">
        <v>2.1999999999999999E-2</v>
      </c>
      <c r="G3495">
        <v>0.11</v>
      </c>
      <c r="H3495" s="1" t="str">
        <f>HYPERLINK("http://www.weizmann.ac.il/complex/compphys/software/geview/data/figures/211978_x_at.png","Figure")</f>
        <v>Figure</v>
      </c>
      <c r="I3495">
        <v>1.08</v>
      </c>
      <c r="J3495">
        <v>0.82</v>
      </c>
      <c r="K3495">
        <v>1.39</v>
      </c>
      <c r="L3495">
        <v>2.5000000000000001E-2</v>
      </c>
      <c r="M3495">
        <v>1.29</v>
      </c>
      <c r="N3495">
        <v>0.11</v>
      </c>
    </row>
    <row r="3496" spans="1:14" x14ac:dyDescent="0.25">
      <c r="A3496" t="s">
        <v>6402</v>
      </c>
      <c r="B3496" t="s">
        <v>6403</v>
      </c>
      <c r="C3496" s="1" t="str">
        <f>HYPERLINK("http://www.genecards.org/cgi-bin/carddisp.pl?gene=OLFML2A","GeneCards")</f>
        <v>GeneCards</v>
      </c>
      <c r="D3496" s="1" t="str">
        <f>HYPERLINK("http://genome-euro.ucsc.edu/cgi-bin/hgTracks?position=213075_at","UCSC")</f>
        <v>UCSC</v>
      </c>
      <c r="E3496" s="1" t="str">
        <f>HYPERLINK("http://www.ncbi.nlm.nih.gov/gene/?term=OLFML2A","NCBI")</f>
        <v>NCBI</v>
      </c>
      <c r="F3496">
        <v>2.1999999999999999E-2</v>
      </c>
      <c r="G3496">
        <v>0.11</v>
      </c>
      <c r="H3496" s="1" t="str">
        <f>HYPERLINK("http://www.weizmann.ac.il/complex/compphys/software/geview/data/figures/213075_at.png","Figure")</f>
        <v>Figure</v>
      </c>
      <c r="I3496">
        <v>0.98699999999999999</v>
      </c>
      <c r="J3496">
        <v>0.97</v>
      </c>
      <c r="K3496">
        <v>0.86099999999999999</v>
      </c>
      <c r="L3496">
        <v>3.3000000000000002E-2</v>
      </c>
      <c r="M3496">
        <v>0.873</v>
      </c>
      <c r="N3496">
        <v>7.0999999999999994E-2</v>
      </c>
    </row>
    <row r="3497" spans="1:14" x14ac:dyDescent="0.25">
      <c r="A3497" t="s">
        <v>6404</v>
      </c>
      <c r="B3497" t="s">
        <v>6405</v>
      </c>
      <c r="C3497" s="1" t="str">
        <f>HYPERLINK("http://www.genecards.org/cgi-bin/carddisp.pl?gene=MYL4","GeneCards")</f>
        <v>GeneCards</v>
      </c>
      <c r="D3497" s="1" t="str">
        <f>HYPERLINK("http://genome-euro.ucsc.edu/cgi-bin/hgTracks?position=216054_x_at","UCSC")</f>
        <v>UCSC</v>
      </c>
      <c r="E3497" s="1" t="str">
        <f>HYPERLINK("http://www.ncbi.nlm.nih.gov/gene/?term=MYL4","NCBI")</f>
        <v>NCBI</v>
      </c>
      <c r="F3497">
        <v>2.1999999999999999E-2</v>
      </c>
      <c r="G3497">
        <v>0.11</v>
      </c>
      <c r="H3497" s="1" t="str">
        <f>HYPERLINK("http://www.weizmann.ac.il/complex/compphys/software/geview/data/figures/216054_x_at.png","Figure")</f>
        <v>Figure</v>
      </c>
      <c r="I3497">
        <v>1.48</v>
      </c>
      <c r="J3497">
        <v>2.3E-2</v>
      </c>
      <c r="K3497">
        <v>1.31</v>
      </c>
      <c r="L3497">
        <v>7.5999999999999998E-2</v>
      </c>
      <c r="M3497">
        <v>0.88400000000000001</v>
      </c>
      <c r="N3497">
        <v>0.57999999999999996</v>
      </c>
    </row>
    <row r="3498" spans="1:14" x14ac:dyDescent="0.25">
      <c r="A3498" t="s">
        <v>6406</v>
      </c>
      <c r="B3498" t="s">
        <v>6407</v>
      </c>
      <c r="C3498" s="1" t="str">
        <f>HYPERLINK("http://www.genecards.org/cgi-bin/carddisp.pl?gene=AURKAIP1","GeneCards")</f>
        <v>GeneCards</v>
      </c>
      <c r="D3498" s="1" t="str">
        <f>HYPERLINK("http://genome-euro.ucsc.edu/cgi-bin/hgTracks?position=218580_x_at","UCSC")</f>
        <v>UCSC</v>
      </c>
      <c r="E3498" s="1" t="str">
        <f>HYPERLINK("http://www.ncbi.nlm.nih.gov/gene/?term=AURKAIP1","NCBI")</f>
        <v>NCBI</v>
      </c>
      <c r="F3498">
        <v>2.1999999999999999E-2</v>
      </c>
      <c r="G3498">
        <v>0.11</v>
      </c>
      <c r="H3498" s="1" t="str">
        <f>HYPERLINK("http://www.weizmann.ac.il/complex/compphys/software/geview/data/figures/218580_x_at.png","Figure")</f>
        <v>Figure</v>
      </c>
      <c r="I3498">
        <v>1.33</v>
      </c>
      <c r="J3498">
        <v>0.12</v>
      </c>
      <c r="K3498">
        <v>1.45</v>
      </c>
      <c r="L3498">
        <v>1.9E-2</v>
      </c>
      <c r="M3498">
        <v>1.08</v>
      </c>
      <c r="N3498">
        <v>0.8</v>
      </c>
    </row>
    <row r="3499" spans="1:14" x14ac:dyDescent="0.25">
      <c r="A3499" t="s">
        <v>6408</v>
      </c>
      <c r="B3499" t="s">
        <v>6409</v>
      </c>
      <c r="C3499" s="1" t="str">
        <f>HYPERLINK("http://www.genecards.org/cgi-bin/carddisp.pl?gene=ZMIZ2","GeneCards")</f>
        <v>GeneCards</v>
      </c>
      <c r="D3499" s="1" t="str">
        <f>HYPERLINK("http://genome-euro.ucsc.edu/cgi-bin/hgTracks?position=221525_at","UCSC")</f>
        <v>UCSC</v>
      </c>
      <c r="E3499" s="1" t="str">
        <f>HYPERLINK("http://www.ncbi.nlm.nih.gov/gene/?term=ZMIZ2","NCBI")</f>
        <v>NCBI</v>
      </c>
      <c r="F3499">
        <v>2.1999999999999999E-2</v>
      </c>
      <c r="G3499">
        <v>0.11</v>
      </c>
      <c r="H3499" s="1" t="str">
        <f>HYPERLINK("http://www.weizmann.ac.il/complex/compphys/software/geview/data/figures/221525_at.png","Figure")</f>
        <v>Figure</v>
      </c>
      <c r="I3499">
        <v>1.52</v>
      </c>
      <c r="J3499">
        <v>1.7999999999999999E-2</v>
      </c>
      <c r="K3499">
        <v>1.17</v>
      </c>
      <c r="L3499">
        <v>0.38</v>
      </c>
      <c r="M3499">
        <v>0.76800000000000002</v>
      </c>
      <c r="N3499">
        <v>0.12</v>
      </c>
    </row>
    <row r="3500" spans="1:14" x14ac:dyDescent="0.25">
      <c r="A3500" t="s">
        <v>6410</v>
      </c>
      <c r="B3500" t="s">
        <v>5714</v>
      </c>
      <c r="C3500" s="1" t="str">
        <f>HYPERLINK("http://www.genecards.org/cgi-bin/carddisp.pl?gene=CELSR2","GeneCards")</f>
        <v>GeneCards</v>
      </c>
      <c r="D3500" s="1" t="str">
        <f>HYPERLINK("http://genome-euro.ucsc.edu/cgi-bin/hgTracks?position=204029_at","UCSC")</f>
        <v>UCSC</v>
      </c>
      <c r="E3500" s="1" t="str">
        <f>HYPERLINK("http://www.ncbi.nlm.nih.gov/gene/?term=CELSR2","NCBI")</f>
        <v>NCBI</v>
      </c>
      <c r="F3500">
        <v>2.1999999999999999E-2</v>
      </c>
      <c r="G3500">
        <v>0.11</v>
      </c>
      <c r="H3500" s="1" t="str">
        <f>HYPERLINK("http://www.weizmann.ac.il/complex/compphys/software/geview/data/figures/204029_at.png","Figure")</f>
        <v>Figure</v>
      </c>
      <c r="I3500">
        <v>1.64</v>
      </c>
      <c r="J3500">
        <v>2.1000000000000001E-2</v>
      </c>
      <c r="K3500">
        <v>1.37</v>
      </c>
      <c r="L3500">
        <v>9.5000000000000001E-2</v>
      </c>
      <c r="M3500">
        <v>0.83599999999999997</v>
      </c>
      <c r="N3500">
        <v>0.47</v>
      </c>
    </row>
    <row r="3501" spans="1:14" x14ac:dyDescent="0.25">
      <c r="A3501" t="s">
        <v>6411</v>
      </c>
      <c r="B3501" t="s">
        <v>6412</v>
      </c>
      <c r="C3501" s="1" t="str">
        <f>HYPERLINK("http://www.genecards.org/cgi-bin/carddisp.pl?gene=TNPO2","GeneCards")</f>
        <v>GeneCards</v>
      </c>
      <c r="D3501" s="1" t="str">
        <f>HYPERLINK("http://genome-euro.ucsc.edu/cgi-bin/hgTracks?position=221507_at","UCSC")</f>
        <v>UCSC</v>
      </c>
      <c r="E3501" s="1" t="str">
        <f>HYPERLINK("http://www.ncbi.nlm.nih.gov/gene/?term=TNPO2","NCBI")</f>
        <v>NCBI</v>
      </c>
      <c r="F3501">
        <v>2.1999999999999999E-2</v>
      </c>
      <c r="G3501">
        <v>0.11</v>
      </c>
      <c r="H3501" s="1" t="str">
        <f>HYPERLINK("http://www.weizmann.ac.il/complex/compphys/software/geview/data/figures/221507_at.png","Figure")</f>
        <v>Figure</v>
      </c>
      <c r="I3501">
        <v>1.28</v>
      </c>
      <c r="J3501">
        <v>2.5000000000000001E-2</v>
      </c>
      <c r="K3501">
        <v>1.04</v>
      </c>
      <c r="L3501">
        <v>0.82</v>
      </c>
      <c r="M3501">
        <v>0.81799999999999995</v>
      </c>
      <c r="N3501">
        <v>4.7E-2</v>
      </c>
    </row>
    <row r="3502" spans="1:14" x14ac:dyDescent="0.25">
      <c r="A3502" t="s">
        <v>6413</v>
      </c>
      <c r="B3502" t="s">
        <v>6414</v>
      </c>
      <c r="C3502" s="1" t="str">
        <f>HYPERLINK("http://www.genecards.org/cgi-bin/carddisp.pl?gene=TACC1","GeneCards")</f>
        <v>GeneCards</v>
      </c>
      <c r="D3502" s="1" t="str">
        <f>HYPERLINK("http://genome-euro.ucsc.edu/cgi-bin/hgTracks?position=200911_s_at","UCSC")</f>
        <v>UCSC</v>
      </c>
      <c r="E3502" s="1" t="str">
        <f>HYPERLINK("http://www.ncbi.nlm.nih.gov/gene/?term=TACC1","NCBI")</f>
        <v>NCBI</v>
      </c>
      <c r="F3502">
        <v>2.1999999999999999E-2</v>
      </c>
      <c r="G3502">
        <v>0.11</v>
      </c>
      <c r="H3502" s="1" t="str">
        <f>HYPERLINK("http://www.weizmann.ac.il/complex/compphys/software/geview/data/figures/200911_s_at.png","Figure")</f>
        <v>Figure</v>
      </c>
      <c r="I3502">
        <v>0.64400000000000002</v>
      </c>
      <c r="J3502">
        <v>0.48</v>
      </c>
      <c r="K3502">
        <v>0.35799999999999998</v>
      </c>
      <c r="L3502">
        <v>1.9E-2</v>
      </c>
      <c r="M3502">
        <v>0.55500000000000005</v>
      </c>
      <c r="N3502">
        <v>0.24</v>
      </c>
    </row>
    <row r="3503" spans="1:14" x14ac:dyDescent="0.25">
      <c r="A3503" t="s">
        <v>6415</v>
      </c>
      <c r="B3503" t="s">
        <v>6416</v>
      </c>
      <c r="C3503" s="1" t="str">
        <f>HYPERLINK("http://www.genecards.org/cgi-bin/carddisp.pl?gene=HOXD11","GeneCards")</f>
        <v>GeneCards</v>
      </c>
      <c r="D3503" s="1" t="str">
        <f>HYPERLINK("http://genome-euro.ucsc.edu/cgi-bin/hgTracks?position=214604_at","UCSC")</f>
        <v>UCSC</v>
      </c>
      <c r="E3503" s="1" t="str">
        <f>HYPERLINK("http://www.ncbi.nlm.nih.gov/gene/?term=HOXD11","NCBI")</f>
        <v>NCBI</v>
      </c>
      <c r="F3503">
        <v>2.1999999999999999E-2</v>
      </c>
      <c r="G3503">
        <v>0.11</v>
      </c>
      <c r="H3503" s="1" t="str">
        <f>HYPERLINK("http://www.weizmann.ac.il/complex/compphys/software/geview/data/figures/214604_at.png","Figure")</f>
        <v>Figure</v>
      </c>
      <c r="I3503">
        <v>1.27</v>
      </c>
      <c r="J3503">
        <v>1.9E-2</v>
      </c>
      <c r="K3503">
        <v>1.07</v>
      </c>
      <c r="L3503">
        <v>0.53</v>
      </c>
      <c r="M3503">
        <v>0.84899999999999998</v>
      </c>
      <c r="N3503">
        <v>8.4000000000000005E-2</v>
      </c>
    </row>
    <row r="3504" spans="1:14" x14ac:dyDescent="0.25">
      <c r="A3504" t="s">
        <v>6417</v>
      </c>
      <c r="B3504" t="s">
        <v>6418</v>
      </c>
      <c r="C3504" s="1" t="str">
        <f>HYPERLINK("http://www.genecards.org/cgi-bin/carddisp.pl?gene=TMSB15B","GeneCards")</f>
        <v>GeneCards</v>
      </c>
      <c r="D3504" s="1" t="str">
        <f>HYPERLINK("http://genome-euro.ucsc.edu/cgi-bin/hgTracks?position=214051_at","UCSC")</f>
        <v>UCSC</v>
      </c>
      <c r="E3504" s="1" t="str">
        <f>HYPERLINK("http://www.ncbi.nlm.nih.gov/gene/?term=TMSB15B","NCBI")</f>
        <v>NCBI</v>
      </c>
      <c r="F3504">
        <v>2.1999999999999999E-2</v>
      </c>
      <c r="G3504">
        <v>0.11</v>
      </c>
      <c r="H3504" s="1" t="str">
        <f>HYPERLINK("http://www.weizmann.ac.il/complex/compphys/software/geview/data/figures/214051_at.png","Figure")</f>
        <v>Figure</v>
      </c>
      <c r="I3504">
        <v>0.57599999999999996</v>
      </c>
      <c r="J3504">
        <v>1.7999999999999999E-2</v>
      </c>
      <c r="K3504">
        <v>0.74299999999999999</v>
      </c>
      <c r="L3504">
        <v>0.16</v>
      </c>
      <c r="M3504">
        <v>1.29</v>
      </c>
      <c r="N3504">
        <v>0.28999999999999998</v>
      </c>
    </row>
    <row r="3505" spans="1:14" x14ac:dyDescent="0.25">
      <c r="A3505" t="s">
        <v>6419</v>
      </c>
      <c r="B3505" t="s">
        <v>6420</v>
      </c>
      <c r="C3505" s="1" t="str">
        <f>HYPERLINK("http://www.genecards.org/cgi-bin/carddisp.pl?gene=PRKAR2B","GeneCards")</f>
        <v>GeneCards</v>
      </c>
      <c r="D3505" s="1" t="str">
        <f>HYPERLINK("http://genome-euro.ucsc.edu/cgi-bin/hgTracks?position=203680_at","UCSC")</f>
        <v>UCSC</v>
      </c>
      <c r="E3505" s="1" t="str">
        <f>HYPERLINK("http://www.ncbi.nlm.nih.gov/gene/?term=PRKAR2B","NCBI")</f>
        <v>NCBI</v>
      </c>
      <c r="F3505">
        <v>2.1999999999999999E-2</v>
      </c>
      <c r="G3505">
        <v>0.11</v>
      </c>
      <c r="H3505" s="1" t="str">
        <f>HYPERLINK("http://www.weizmann.ac.il/complex/compphys/software/geview/data/figures/203680_at.png","Figure")</f>
        <v>Figure</v>
      </c>
      <c r="I3505">
        <v>0.39100000000000001</v>
      </c>
      <c r="J3505">
        <v>2.4E-2</v>
      </c>
      <c r="K3505">
        <v>0.83499999999999996</v>
      </c>
      <c r="L3505">
        <v>0.78</v>
      </c>
      <c r="M3505">
        <v>2.13</v>
      </c>
      <c r="N3505">
        <v>5.0999999999999997E-2</v>
      </c>
    </row>
    <row r="3506" spans="1:14" x14ac:dyDescent="0.25">
      <c r="A3506" t="s">
        <v>6421</v>
      </c>
      <c r="B3506" t="s">
        <v>6422</v>
      </c>
      <c r="C3506" s="1" t="str">
        <f>HYPERLINK("http://www.genecards.org/cgi-bin/carddisp.pl?gene=MBNL1","GeneCards")</f>
        <v>GeneCards</v>
      </c>
      <c r="D3506" s="1" t="str">
        <f>HYPERLINK("http://genome-euro.ucsc.edu/cgi-bin/hgTracks?position=201152_s_at","UCSC")</f>
        <v>UCSC</v>
      </c>
      <c r="E3506" s="1" t="str">
        <f>HYPERLINK("http://www.ncbi.nlm.nih.gov/gene/?term=MBNL1","NCBI")</f>
        <v>NCBI</v>
      </c>
      <c r="F3506">
        <v>2.1999999999999999E-2</v>
      </c>
      <c r="G3506">
        <v>0.11</v>
      </c>
      <c r="H3506" s="1" t="str">
        <f>HYPERLINK("http://www.weizmann.ac.il/complex/compphys/software/geview/data/figures/201152_s_at.png","Figure")</f>
        <v>Figure</v>
      </c>
      <c r="I3506">
        <v>1.71</v>
      </c>
      <c r="J3506">
        <v>9.8000000000000004E-2</v>
      </c>
      <c r="K3506">
        <v>1.91</v>
      </c>
      <c r="L3506">
        <v>2.1000000000000001E-2</v>
      </c>
      <c r="M3506">
        <v>1.1200000000000001</v>
      </c>
      <c r="N3506">
        <v>0.88</v>
      </c>
    </row>
    <row r="3507" spans="1:14" x14ac:dyDescent="0.25">
      <c r="A3507" t="s">
        <v>6423</v>
      </c>
      <c r="B3507" t="s">
        <v>6424</v>
      </c>
      <c r="C3507" s="1" t="str">
        <f>HYPERLINK("http://www.genecards.org/cgi-bin/carddisp.pl?gene=ESR2","GeneCards")</f>
        <v>GeneCards</v>
      </c>
      <c r="D3507" s="1" t="str">
        <f>HYPERLINK("http://genome-euro.ucsc.edu/cgi-bin/hgTracks?position=211120_x_at","UCSC")</f>
        <v>UCSC</v>
      </c>
      <c r="E3507" s="1" t="str">
        <f>HYPERLINK("http://www.ncbi.nlm.nih.gov/gene/?term=ESR2","NCBI")</f>
        <v>NCBI</v>
      </c>
      <c r="F3507">
        <v>2.1999999999999999E-2</v>
      </c>
      <c r="G3507">
        <v>0.11</v>
      </c>
      <c r="H3507" s="1" t="str">
        <f>HYPERLINK("http://www.weizmann.ac.il/complex/compphys/software/geview/data/figures/211120_x_at.png","Figure")</f>
        <v>Figure</v>
      </c>
      <c r="I3507">
        <v>1.19</v>
      </c>
      <c r="J3507">
        <v>2.9000000000000001E-2</v>
      </c>
      <c r="K3507">
        <v>1.1399999999999999</v>
      </c>
      <c r="L3507">
        <v>5.2999999999999999E-2</v>
      </c>
      <c r="M3507">
        <v>0.96199999999999997</v>
      </c>
      <c r="N3507">
        <v>0.76</v>
      </c>
    </row>
    <row r="3508" spans="1:14" x14ac:dyDescent="0.25">
      <c r="A3508" t="s">
        <v>6425</v>
      </c>
      <c r="B3508" t="s">
        <v>6426</v>
      </c>
      <c r="C3508" s="1" t="str">
        <f>HYPERLINK("http://www.genecards.org/cgi-bin/carddisp.pl?gene=OLA1","GeneCards")</f>
        <v>GeneCards</v>
      </c>
      <c r="D3508" s="1" t="str">
        <f>HYPERLINK("http://genome-euro.ucsc.edu/cgi-bin/hgTracks?position=219293_s_at","UCSC")</f>
        <v>UCSC</v>
      </c>
      <c r="E3508" s="1" t="str">
        <f>HYPERLINK("http://www.ncbi.nlm.nih.gov/gene/?term=OLA1","NCBI")</f>
        <v>NCBI</v>
      </c>
      <c r="F3508">
        <v>2.1999999999999999E-2</v>
      </c>
      <c r="G3508">
        <v>0.11</v>
      </c>
      <c r="H3508" s="1" t="str">
        <f>HYPERLINK("http://www.weizmann.ac.il/complex/compphys/software/geview/data/figures/219293_s_at.png","Figure")</f>
        <v>Figure</v>
      </c>
      <c r="I3508">
        <v>1.03</v>
      </c>
      <c r="J3508">
        <v>0.99</v>
      </c>
      <c r="K3508">
        <v>1.63</v>
      </c>
      <c r="L3508">
        <v>3.4000000000000002E-2</v>
      </c>
      <c r="M3508">
        <v>1.58</v>
      </c>
      <c r="N3508">
        <v>6.6000000000000003E-2</v>
      </c>
    </row>
    <row r="3509" spans="1:14" x14ac:dyDescent="0.25">
      <c r="A3509" t="s">
        <v>6427</v>
      </c>
      <c r="B3509" t="s">
        <v>6428</v>
      </c>
      <c r="C3509" s="1" t="str">
        <f>HYPERLINK("http://www.genecards.org/cgi-bin/carddisp.pl?gene=CNPY2","GeneCards")</f>
        <v>GeneCards</v>
      </c>
      <c r="D3509" s="1" t="str">
        <f>HYPERLINK("http://genome-euro.ucsc.edu/cgi-bin/hgTracks?position=202857_at","UCSC")</f>
        <v>UCSC</v>
      </c>
      <c r="E3509" s="1" t="str">
        <f>HYPERLINK("http://www.ncbi.nlm.nih.gov/gene/?term=CNPY2","NCBI")</f>
        <v>NCBI</v>
      </c>
      <c r="F3509">
        <v>2.1999999999999999E-2</v>
      </c>
      <c r="G3509">
        <v>0.11</v>
      </c>
      <c r="H3509" s="1" t="str">
        <f>HYPERLINK("http://www.weizmann.ac.il/complex/compphys/software/geview/data/figures/202857_at.png","Figure")</f>
        <v>Figure</v>
      </c>
      <c r="I3509">
        <v>0.65500000000000003</v>
      </c>
      <c r="J3509">
        <v>0.19</v>
      </c>
      <c r="K3509">
        <v>1.29</v>
      </c>
      <c r="L3509">
        <v>0.43</v>
      </c>
      <c r="M3509">
        <v>1.97</v>
      </c>
      <c r="N3509">
        <v>1.7000000000000001E-2</v>
      </c>
    </row>
    <row r="3510" spans="1:14" x14ac:dyDescent="0.25">
      <c r="A3510" t="s">
        <v>6429</v>
      </c>
      <c r="B3510" t="s">
        <v>6430</v>
      </c>
      <c r="C3510" s="1" t="str">
        <f>HYPERLINK("http://www.genecards.org/cgi-bin/carddisp.pl?gene=HMMR","GeneCards")</f>
        <v>GeneCards</v>
      </c>
      <c r="D3510" s="1" t="str">
        <f>HYPERLINK("http://genome-euro.ucsc.edu/cgi-bin/hgTracks?position=209709_s_at","UCSC")</f>
        <v>UCSC</v>
      </c>
      <c r="E3510" s="1" t="str">
        <f>HYPERLINK("http://www.ncbi.nlm.nih.gov/gene/?term=HMMR","NCBI")</f>
        <v>NCBI</v>
      </c>
      <c r="F3510">
        <v>2.1999999999999999E-2</v>
      </c>
      <c r="G3510">
        <v>0.11</v>
      </c>
      <c r="H3510" s="1" t="str">
        <f>HYPERLINK("http://www.weizmann.ac.il/complex/compphys/software/geview/data/figures/209709_s_at.png","Figure")</f>
        <v>Figure</v>
      </c>
      <c r="I3510">
        <v>0.92600000000000005</v>
      </c>
      <c r="J3510">
        <v>0.84</v>
      </c>
      <c r="K3510">
        <v>1.33</v>
      </c>
      <c r="L3510">
        <v>7.2999999999999995E-2</v>
      </c>
      <c r="M3510">
        <v>1.44</v>
      </c>
      <c r="N3510">
        <v>3.2000000000000001E-2</v>
      </c>
    </row>
    <row r="3511" spans="1:14" x14ac:dyDescent="0.25">
      <c r="A3511" t="s">
        <v>6431</v>
      </c>
      <c r="B3511" t="s">
        <v>6432</v>
      </c>
      <c r="C3511" s="1" t="str">
        <f>HYPERLINK("http://www.genecards.org/cgi-bin/carddisp.pl?gene=ATP2B4","GeneCards")</f>
        <v>GeneCards</v>
      </c>
      <c r="D3511" s="1" t="str">
        <f>HYPERLINK("http://genome-euro.ucsc.edu/cgi-bin/hgTracks?position=205410_s_at","UCSC")</f>
        <v>UCSC</v>
      </c>
      <c r="E3511" s="1" t="str">
        <f>HYPERLINK("http://www.ncbi.nlm.nih.gov/gene/?term=ATP2B4","NCBI")</f>
        <v>NCBI</v>
      </c>
      <c r="F3511">
        <v>2.1999999999999999E-2</v>
      </c>
      <c r="G3511">
        <v>0.11</v>
      </c>
      <c r="H3511" s="1" t="str">
        <f>HYPERLINK("http://www.weizmann.ac.il/complex/compphys/software/geview/data/figures/205410_s_at.png","Figure")</f>
        <v>Figure</v>
      </c>
      <c r="I3511">
        <v>1.2</v>
      </c>
      <c r="J3511">
        <v>6.0999999999999999E-2</v>
      </c>
      <c r="K3511">
        <v>0.97399999999999998</v>
      </c>
      <c r="L3511">
        <v>0.91</v>
      </c>
      <c r="M3511">
        <v>0.81299999999999994</v>
      </c>
      <c r="N3511">
        <v>2.1999999999999999E-2</v>
      </c>
    </row>
    <row r="3512" spans="1:14" x14ac:dyDescent="0.25">
      <c r="A3512" t="s">
        <v>6433</v>
      </c>
      <c r="B3512" t="s">
        <v>6434</v>
      </c>
      <c r="C3512" s="1" t="str">
        <f>HYPERLINK("http://www.genecards.org/cgi-bin/carddisp.pl?gene=ATP1B2","GeneCards")</f>
        <v>GeneCards</v>
      </c>
      <c r="D3512" s="1" t="str">
        <f>HYPERLINK("http://genome-euro.ucsc.edu/cgi-bin/hgTracks?position=204311_at","UCSC")</f>
        <v>UCSC</v>
      </c>
      <c r="E3512" s="1" t="str">
        <f>HYPERLINK("http://www.ncbi.nlm.nih.gov/gene/?term=ATP1B2","NCBI")</f>
        <v>NCBI</v>
      </c>
      <c r="F3512">
        <v>2.3E-2</v>
      </c>
      <c r="G3512">
        <v>0.11</v>
      </c>
      <c r="H3512" s="1" t="str">
        <f>HYPERLINK("http://www.weizmann.ac.il/complex/compphys/software/geview/data/figures/204311_at.png","Figure")</f>
        <v>Figure</v>
      </c>
      <c r="I3512">
        <v>1.36</v>
      </c>
      <c r="J3512">
        <v>1.9E-2</v>
      </c>
      <c r="K3512">
        <v>1.1000000000000001</v>
      </c>
      <c r="L3512">
        <v>0.52</v>
      </c>
      <c r="M3512">
        <v>0.80800000000000005</v>
      </c>
      <c r="N3512">
        <v>8.6999999999999994E-2</v>
      </c>
    </row>
    <row r="3513" spans="1:14" x14ac:dyDescent="0.25">
      <c r="A3513" t="s">
        <v>6435</v>
      </c>
      <c r="B3513" t="s">
        <v>6436</v>
      </c>
      <c r="C3513" s="1" t="str">
        <f>HYPERLINK("http://www.genecards.org/cgi-bin/carddisp.pl?gene=KCNN3","GeneCards")</f>
        <v>GeneCards</v>
      </c>
      <c r="D3513" s="1" t="str">
        <f>HYPERLINK("http://genome-euro.ucsc.edu/cgi-bin/hgTracks?position=205902_at","UCSC")</f>
        <v>UCSC</v>
      </c>
      <c r="E3513" s="1" t="str">
        <f>HYPERLINK("http://www.ncbi.nlm.nih.gov/gene/?term=KCNN3","NCBI")</f>
        <v>NCBI</v>
      </c>
      <c r="F3513">
        <v>2.3E-2</v>
      </c>
      <c r="G3513">
        <v>0.11</v>
      </c>
      <c r="H3513" s="1" t="str">
        <f>HYPERLINK("http://www.weizmann.ac.il/complex/compphys/software/geview/data/figures/205902_at.png","Figure")</f>
        <v>Figure</v>
      </c>
      <c r="I3513">
        <v>1.32</v>
      </c>
      <c r="J3513">
        <v>4.5999999999999999E-2</v>
      </c>
      <c r="K3513">
        <v>0.98599999999999999</v>
      </c>
      <c r="L3513">
        <v>0.99</v>
      </c>
      <c r="M3513">
        <v>0.75</v>
      </c>
      <c r="N3513">
        <v>2.5000000000000001E-2</v>
      </c>
    </row>
    <row r="3514" spans="1:14" x14ac:dyDescent="0.25">
      <c r="A3514" t="s">
        <v>6437</v>
      </c>
      <c r="B3514" t="s">
        <v>6438</v>
      </c>
      <c r="C3514" s="1" t="str">
        <f>HYPERLINK("http://www.genecards.org/cgi-bin/carddisp.pl?gene=CDKN2C","GeneCards")</f>
        <v>GeneCards</v>
      </c>
      <c r="D3514" s="1" t="str">
        <f>HYPERLINK("http://genome-euro.ucsc.edu/cgi-bin/hgTracks?position=211792_s_at","UCSC")</f>
        <v>UCSC</v>
      </c>
      <c r="E3514" s="1" t="str">
        <f>HYPERLINK("http://www.ncbi.nlm.nih.gov/gene/?term=CDKN2C","NCBI")</f>
        <v>NCBI</v>
      </c>
      <c r="F3514">
        <v>2.3E-2</v>
      </c>
      <c r="G3514">
        <v>0.11</v>
      </c>
      <c r="H3514" s="1" t="str">
        <f>HYPERLINK("http://www.weizmann.ac.il/complex/compphys/software/geview/data/figures/211792_s_at.png","Figure")</f>
        <v>Figure</v>
      </c>
      <c r="I3514">
        <v>1.37</v>
      </c>
      <c r="J3514">
        <v>3.9E-2</v>
      </c>
      <c r="K3514">
        <v>1.32</v>
      </c>
      <c r="L3514">
        <v>3.6999999999999998E-2</v>
      </c>
      <c r="M3514">
        <v>0.96299999999999997</v>
      </c>
      <c r="N3514">
        <v>0.93</v>
      </c>
    </row>
    <row r="3515" spans="1:14" x14ac:dyDescent="0.25">
      <c r="A3515" t="s">
        <v>6439</v>
      </c>
      <c r="B3515" t="s">
        <v>6440</v>
      </c>
      <c r="C3515" s="1" t="str">
        <f>HYPERLINK("http://www.genecards.org/cgi-bin/carddisp.pl?gene=MCM3AP","GeneCards")</f>
        <v>GeneCards</v>
      </c>
      <c r="D3515" s="1" t="str">
        <f>HYPERLINK("http://genome-euro.ucsc.edu/cgi-bin/hgTracks?position=215582_x_at","UCSC")</f>
        <v>UCSC</v>
      </c>
      <c r="E3515" s="1" t="str">
        <f>HYPERLINK("http://www.ncbi.nlm.nih.gov/gene/?term=MCM3AP","NCBI")</f>
        <v>NCBI</v>
      </c>
      <c r="F3515">
        <v>2.3E-2</v>
      </c>
      <c r="G3515">
        <v>0.11</v>
      </c>
      <c r="H3515" s="1" t="str">
        <f>HYPERLINK("http://www.weizmann.ac.il/complex/compphys/software/geview/data/figures/215582_x_at.png","Figure")</f>
        <v>Figure</v>
      </c>
      <c r="I3515">
        <v>1.44</v>
      </c>
      <c r="J3515">
        <v>1.9E-2</v>
      </c>
      <c r="K3515">
        <v>1.23</v>
      </c>
      <c r="L3515">
        <v>0.14000000000000001</v>
      </c>
      <c r="M3515">
        <v>0.85199999999999998</v>
      </c>
      <c r="N3515">
        <v>0.32</v>
      </c>
    </row>
    <row r="3516" spans="1:14" x14ac:dyDescent="0.25">
      <c r="A3516" t="s">
        <v>6441</v>
      </c>
      <c r="B3516" t="s">
        <v>6442</v>
      </c>
      <c r="C3516" s="1" t="str">
        <f>HYPERLINK("http://www.genecards.org/cgi-bin/carddisp.pl?gene=APOC1","GeneCards")</f>
        <v>GeneCards</v>
      </c>
      <c r="D3516" s="1" t="str">
        <f>HYPERLINK("http://genome-euro.ucsc.edu/cgi-bin/hgTracks?position=213553_x_at","UCSC")</f>
        <v>UCSC</v>
      </c>
      <c r="E3516" s="1" t="str">
        <f>HYPERLINK("http://www.ncbi.nlm.nih.gov/gene/?term=APOC1","NCBI")</f>
        <v>NCBI</v>
      </c>
      <c r="F3516">
        <v>2.3E-2</v>
      </c>
      <c r="G3516">
        <v>0.11</v>
      </c>
      <c r="H3516" s="1" t="str">
        <f>HYPERLINK("http://www.weizmann.ac.il/complex/compphys/software/geview/data/figures/213553_x_at.png","Figure")</f>
        <v>Figure</v>
      </c>
      <c r="I3516">
        <v>1.55</v>
      </c>
      <c r="J3516">
        <v>1.9E-2</v>
      </c>
      <c r="K3516">
        <v>1.1499999999999999</v>
      </c>
      <c r="L3516">
        <v>0.49</v>
      </c>
      <c r="M3516">
        <v>0.74199999999999999</v>
      </c>
      <c r="N3516">
        <v>9.2999999999999999E-2</v>
      </c>
    </row>
    <row r="3517" spans="1:14" x14ac:dyDescent="0.25">
      <c r="A3517" t="s">
        <v>6443</v>
      </c>
      <c r="B3517" t="s">
        <v>6444</v>
      </c>
      <c r="C3517" s="1" t="str">
        <f>HYPERLINK("http://www.genecards.org/cgi-bin/carddisp.pl?gene=SLC2A8","GeneCards")</f>
        <v>GeneCards</v>
      </c>
      <c r="D3517" s="1" t="str">
        <f>HYPERLINK("http://genome-euro.ucsc.edu/cgi-bin/hgTracks?position=218985_at","UCSC")</f>
        <v>UCSC</v>
      </c>
      <c r="E3517" s="1" t="str">
        <f>HYPERLINK("http://www.ncbi.nlm.nih.gov/gene/?term=SLC2A8","NCBI")</f>
        <v>NCBI</v>
      </c>
      <c r="F3517">
        <v>2.3E-2</v>
      </c>
      <c r="G3517">
        <v>0.11</v>
      </c>
      <c r="H3517" s="1" t="str">
        <f>HYPERLINK("http://www.weizmann.ac.il/complex/compphys/software/geview/data/figures/218985_at.png","Figure")</f>
        <v>Figure</v>
      </c>
      <c r="I3517">
        <v>1.18</v>
      </c>
      <c r="J3517">
        <v>2.3E-2</v>
      </c>
      <c r="K3517">
        <v>1.04</v>
      </c>
      <c r="L3517">
        <v>0.73</v>
      </c>
      <c r="M3517">
        <v>0.877</v>
      </c>
      <c r="N3517">
        <v>5.7000000000000002E-2</v>
      </c>
    </row>
    <row r="3518" spans="1:14" x14ac:dyDescent="0.25">
      <c r="A3518" t="s">
        <v>6445</v>
      </c>
      <c r="B3518" t="s">
        <v>6446</v>
      </c>
      <c r="C3518" s="1" t="str">
        <f>HYPERLINK("http://www.genecards.org/cgi-bin/carddisp.pl?gene=IL17RB","GeneCards")</f>
        <v>GeneCards</v>
      </c>
      <c r="D3518" s="1" t="str">
        <f>HYPERLINK("http://genome-euro.ucsc.edu/cgi-bin/hgTracks?position=219255_x_at","UCSC")</f>
        <v>UCSC</v>
      </c>
      <c r="E3518" s="1" t="str">
        <f>HYPERLINK("http://www.ncbi.nlm.nih.gov/gene/?term=IL17RB","NCBI")</f>
        <v>NCBI</v>
      </c>
      <c r="F3518">
        <v>2.3E-2</v>
      </c>
      <c r="G3518">
        <v>0.11</v>
      </c>
      <c r="H3518" s="1" t="str">
        <f>HYPERLINK("http://www.weizmann.ac.il/complex/compphys/software/geview/data/figures/219255_x_at.png","Figure")</f>
        <v>Figure</v>
      </c>
      <c r="I3518">
        <v>1.1299999999999999</v>
      </c>
      <c r="J3518">
        <v>7.0999999999999994E-2</v>
      </c>
      <c r="K3518">
        <v>0.97599999999999998</v>
      </c>
      <c r="L3518">
        <v>0.85</v>
      </c>
      <c r="M3518">
        <v>0.86099999999999999</v>
      </c>
      <c r="N3518">
        <v>2.1000000000000001E-2</v>
      </c>
    </row>
    <row r="3519" spans="1:14" x14ac:dyDescent="0.25">
      <c r="A3519" t="s">
        <v>6447</v>
      </c>
      <c r="B3519" t="s">
        <v>6448</v>
      </c>
      <c r="C3519" s="1" t="str">
        <f>HYPERLINK("http://www.genecards.org/cgi-bin/carddisp.pl?gene=MTMR6","GeneCards")</f>
        <v>GeneCards</v>
      </c>
      <c r="D3519" s="1" t="str">
        <f>HYPERLINK("http://genome-euro.ucsc.edu/cgi-bin/hgTracks?position=214429_at","UCSC")</f>
        <v>UCSC</v>
      </c>
      <c r="E3519" s="1" t="str">
        <f>HYPERLINK("http://www.ncbi.nlm.nih.gov/gene/?term=MTMR6","NCBI")</f>
        <v>NCBI</v>
      </c>
      <c r="F3519">
        <v>2.3E-2</v>
      </c>
      <c r="G3519">
        <v>0.11</v>
      </c>
      <c r="H3519" s="1" t="str">
        <f>HYPERLINK("http://www.weizmann.ac.il/complex/compphys/software/geview/data/figures/214429_at.png","Figure")</f>
        <v>Figure</v>
      </c>
      <c r="I3519">
        <v>0.80900000000000005</v>
      </c>
      <c r="J3519">
        <v>0.86</v>
      </c>
      <c r="K3519">
        <v>0.35399999999999998</v>
      </c>
      <c r="L3519">
        <v>2.5999999999999999E-2</v>
      </c>
      <c r="M3519">
        <v>0.438</v>
      </c>
      <c r="N3519">
        <v>0.1</v>
      </c>
    </row>
    <row r="3520" spans="1:14" x14ac:dyDescent="0.25">
      <c r="A3520" t="s">
        <v>6449</v>
      </c>
      <c r="B3520" t="s">
        <v>6450</v>
      </c>
      <c r="C3520" s="1" t="str">
        <f>HYPERLINK("http://www.genecards.org/cgi-bin/carddisp.pl?gene=GMIP","GeneCards")</f>
        <v>GeneCards</v>
      </c>
      <c r="D3520" s="1" t="str">
        <f>HYPERLINK("http://genome-euro.ucsc.edu/cgi-bin/hgTracks?position=218913_s_at","UCSC")</f>
        <v>UCSC</v>
      </c>
      <c r="E3520" s="1" t="str">
        <f>HYPERLINK("http://www.ncbi.nlm.nih.gov/gene/?term=GMIP","NCBI")</f>
        <v>NCBI</v>
      </c>
      <c r="F3520">
        <v>2.3E-2</v>
      </c>
      <c r="G3520">
        <v>0.11</v>
      </c>
      <c r="H3520" s="1" t="str">
        <f>HYPERLINK("http://www.weizmann.ac.il/complex/compphys/software/geview/data/figures/218913_s_at.png","Figure")</f>
        <v>Figure</v>
      </c>
      <c r="I3520">
        <v>1.3</v>
      </c>
      <c r="J3520">
        <v>1.9E-2</v>
      </c>
      <c r="K3520">
        <v>1.1599999999999999</v>
      </c>
      <c r="L3520">
        <v>0.15</v>
      </c>
      <c r="M3520">
        <v>0.89</v>
      </c>
      <c r="N3520">
        <v>0.32</v>
      </c>
    </row>
    <row r="3521" spans="1:14" x14ac:dyDescent="0.25">
      <c r="A3521" t="s">
        <v>6451</v>
      </c>
      <c r="B3521" t="s">
        <v>6452</v>
      </c>
      <c r="C3521" s="1" t="str">
        <f>HYPERLINK("http://www.genecards.org/cgi-bin/carddisp.pl?gene=CBFB","GeneCards")</f>
        <v>GeneCards</v>
      </c>
      <c r="D3521" s="1" t="str">
        <f>HYPERLINK("http://genome-euro.ucsc.edu/cgi-bin/hgTracks?position=202370_s_at","UCSC")</f>
        <v>UCSC</v>
      </c>
      <c r="E3521" s="1" t="str">
        <f>HYPERLINK("http://www.ncbi.nlm.nih.gov/gene/?term=CBFB","NCBI")</f>
        <v>NCBI</v>
      </c>
      <c r="F3521">
        <v>2.3E-2</v>
      </c>
      <c r="G3521">
        <v>0.11</v>
      </c>
      <c r="H3521" s="1" t="str">
        <f>HYPERLINK("http://www.weizmann.ac.il/complex/compphys/software/geview/data/figures/202370_s_at.png","Figure")</f>
        <v>Figure</v>
      </c>
      <c r="I3521">
        <v>1.1200000000000001</v>
      </c>
      <c r="J3521">
        <v>0.8</v>
      </c>
      <c r="K3521">
        <v>1.62</v>
      </c>
      <c r="L3521">
        <v>2.4E-2</v>
      </c>
      <c r="M3521">
        <v>1.44</v>
      </c>
      <c r="N3521">
        <v>0.12</v>
      </c>
    </row>
    <row r="3522" spans="1:14" x14ac:dyDescent="0.25">
      <c r="A3522" t="s">
        <v>6453</v>
      </c>
      <c r="B3522" t="s">
        <v>6454</v>
      </c>
      <c r="C3522" s="1" t="str">
        <f>HYPERLINK("http://www.genecards.org/cgi-bin/carddisp.pl?gene=ZMYM2","GeneCards")</f>
        <v>GeneCards</v>
      </c>
      <c r="D3522" s="1" t="str">
        <f>HYPERLINK("http://genome-euro.ucsc.edu/cgi-bin/hgTracks?position=210281_s_at","UCSC")</f>
        <v>UCSC</v>
      </c>
      <c r="E3522" s="1" t="str">
        <f>HYPERLINK("http://www.ncbi.nlm.nih.gov/gene/?term=ZMYM2","NCBI")</f>
        <v>NCBI</v>
      </c>
      <c r="F3522">
        <v>2.3E-2</v>
      </c>
      <c r="G3522">
        <v>0.11</v>
      </c>
      <c r="H3522" s="1" t="str">
        <f>HYPERLINK("http://www.weizmann.ac.il/complex/compphys/software/geview/data/figures/210281_s_at.png","Figure")</f>
        <v>Figure</v>
      </c>
      <c r="I3522">
        <v>0.81599999999999995</v>
      </c>
      <c r="J3522">
        <v>0.62</v>
      </c>
      <c r="K3522">
        <v>0.55600000000000005</v>
      </c>
      <c r="L3522">
        <v>2.1000000000000001E-2</v>
      </c>
      <c r="M3522">
        <v>0.68200000000000005</v>
      </c>
      <c r="N3522">
        <v>0.18</v>
      </c>
    </row>
    <row r="3523" spans="1:14" x14ac:dyDescent="0.25">
      <c r="A3523" t="s">
        <v>6455</v>
      </c>
      <c r="B3523" t="s">
        <v>6456</v>
      </c>
      <c r="C3523" s="1" t="str">
        <f>HYPERLINK("http://www.genecards.org/cgi-bin/carddisp.pl?gene=ASCC3","GeneCards")</f>
        <v>GeneCards</v>
      </c>
      <c r="D3523" s="1" t="str">
        <f>HYPERLINK("http://genome-euro.ucsc.edu/cgi-bin/hgTracks?position=212815_at","UCSC")</f>
        <v>UCSC</v>
      </c>
      <c r="E3523" s="1" t="str">
        <f>HYPERLINK("http://www.ncbi.nlm.nih.gov/gene/?term=ASCC3","NCBI")</f>
        <v>NCBI</v>
      </c>
      <c r="F3523">
        <v>2.3E-2</v>
      </c>
      <c r="G3523">
        <v>0.11</v>
      </c>
      <c r="H3523" s="1" t="str">
        <f>HYPERLINK("http://www.weizmann.ac.il/complex/compphys/software/geview/data/figures/212815_at.png","Figure")</f>
        <v>Figure</v>
      </c>
      <c r="I3523">
        <v>0.58599999999999997</v>
      </c>
      <c r="J3523">
        <v>0.12</v>
      </c>
      <c r="K3523">
        <v>1.24</v>
      </c>
      <c r="L3523">
        <v>0.61</v>
      </c>
      <c r="M3523">
        <v>2.11</v>
      </c>
      <c r="N3523">
        <v>1.7999999999999999E-2</v>
      </c>
    </row>
    <row r="3524" spans="1:14" x14ac:dyDescent="0.25">
      <c r="A3524" t="s">
        <v>6457</v>
      </c>
      <c r="B3524" t="s">
        <v>6458</v>
      </c>
      <c r="C3524" s="1" t="str">
        <f>HYPERLINK("http://www.genecards.org/cgi-bin/carddisp.pl?gene=TMSB4X /// TMSL3","GeneCards")</f>
        <v>GeneCards</v>
      </c>
      <c r="D3524" s="1" t="str">
        <f>HYPERLINK("http://genome-euro.ucsc.edu/cgi-bin/hgTracks?position=216438_s_at","UCSC")</f>
        <v>UCSC</v>
      </c>
      <c r="E3524" s="1" t="str">
        <f>HYPERLINK("http://www.ncbi.nlm.nih.gov/gene/?term=TMSB4X /// TMSL3","NCBI")</f>
        <v>NCBI</v>
      </c>
      <c r="F3524">
        <v>2.3E-2</v>
      </c>
      <c r="G3524">
        <v>0.11</v>
      </c>
      <c r="H3524" s="1" t="str">
        <f>HYPERLINK("http://www.weizmann.ac.il/complex/compphys/software/geview/data/figures/216438_s_at.png","Figure")</f>
        <v>Figure</v>
      </c>
      <c r="I3524">
        <v>0.79400000000000004</v>
      </c>
      <c r="J3524">
        <v>0.54</v>
      </c>
      <c r="K3524">
        <v>1.46</v>
      </c>
      <c r="L3524">
        <v>0.14000000000000001</v>
      </c>
      <c r="M3524">
        <v>1.84</v>
      </c>
      <c r="N3524">
        <v>2.3E-2</v>
      </c>
    </row>
    <row r="3525" spans="1:14" x14ac:dyDescent="0.25">
      <c r="A3525" t="s">
        <v>6459</v>
      </c>
      <c r="B3525" t="s">
        <v>5742</v>
      </c>
      <c r="C3525" s="1" t="str">
        <f>HYPERLINK("http://www.genecards.org/cgi-bin/carddisp.pl?gene=PAX8","GeneCards")</f>
        <v>GeneCards</v>
      </c>
      <c r="D3525" s="1" t="str">
        <f>HYPERLINK("http://genome-euro.ucsc.edu/cgi-bin/hgTracks?position=209552_at","UCSC")</f>
        <v>UCSC</v>
      </c>
      <c r="E3525" s="1" t="str">
        <f>HYPERLINK("http://www.ncbi.nlm.nih.gov/gene/?term=PAX8","NCBI")</f>
        <v>NCBI</v>
      </c>
      <c r="F3525">
        <v>2.3E-2</v>
      </c>
      <c r="G3525">
        <v>0.11</v>
      </c>
      <c r="H3525" s="1" t="str">
        <f>HYPERLINK("http://www.weizmann.ac.il/complex/compphys/software/geview/data/figures/209552_at.png","Figure")</f>
        <v>Figure</v>
      </c>
      <c r="I3525">
        <v>1.1599999999999999</v>
      </c>
      <c r="J3525">
        <v>2.5999999999999999E-2</v>
      </c>
      <c r="K3525">
        <v>1.1100000000000001</v>
      </c>
      <c r="L3525">
        <v>6.4000000000000001E-2</v>
      </c>
      <c r="M3525">
        <v>0.96099999999999997</v>
      </c>
      <c r="N3525">
        <v>0.67</v>
      </c>
    </row>
    <row r="3526" spans="1:14" x14ac:dyDescent="0.25">
      <c r="A3526" t="s">
        <v>6460</v>
      </c>
      <c r="B3526" t="s">
        <v>6461</v>
      </c>
      <c r="C3526" s="1" t="str">
        <f>HYPERLINK("http://www.genecards.org/cgi-bin/carddisp.pl?gene=LOC652346 /// PML","GeneCards")</f>
        <v>GeneCards</v>
      </c>
      <c r="D3526" s="1" t="str">
        <f>HYPERLINK("http://genome-euro.ucsc.edu/cgi-bin/hgTracks?position=211588_s_at","UCSC")</f>
        <v>UCSC</v>
      </c>
      <c r="E3526" s="1" t="str">
        <f>HYPERLINK("http://www.ncbi.nlm.nih.gov/gene/?term=LOC652346 /// PML","NCBI")</f>
        <v>NCBI</v>
      </c>
      <c r="F3526">
        <v>2.3E-2</v>
      </c>
      <c r="G3526">
        <v>0.11</v>
      </c>
      <c r="H3526" s="1" t="str">
        <f>HYPERLINK("http://www.weizmann.ac.il/complex/compphys/software/geview/data/figures/211588_s_at.png","Figure")</f>
        <v>Figure</v>
      </c>
      <c r="I3526">
        <v>1.3</v>
      </c>
      <c r="J3526">
        <v>1.7999999999999999E-2</v>
      </c>
      <c r="K3526">
        <v>1.1000000000000001</v>
      </c>
      <c r="L3526">
        <v>0.4</v>
      </c>
      <c r="M3526">
        <v>0.84799999999999998</v>
      </c>
      <c r="N3526">
        <v>0.11</v>
      </c>
    </row>
    <row r="3527" spans="1:14" x14ac:dyDescent="0.25">
      <c r="A3527" t="s">
        <v>6462</v>
      </c>
      <c r="B3527" t="s">
        <v>6463</v>
      </c>
      <c r="C3527" s="1" t="str">
        <f>HYPERLINK("http://www.genecards.org/cgi-bin/carddisp.pl?gene=MON1B","GeneCards")</f>
        <v>GeneCards</v>
      </c>
      <c r="D3527" s="1" t="str">
        <f>HYPERLINK("http://genome-euro.ucsc.edu/cgi-bin/hgTracks?position=203644_s_at","UCSC")</f>
        <v>UCSC</v>
      </c>
      <c r="E3527" s="1" t="str">
        <f>HYPERLINK("http://www.ncbi.nlm.nih.gov/gene/?term=MON1B","NCBI")</f>
        <v>NCBI</v>
      </c>
      <c r="F3527">
        <v>2.3E-2</v>
      </c>
      <c r="G3527">
        <v>0.11</v>
      </c>
      <c r="H3527" s="1" t="str">
        <f>HYPERLINK("http://www.weizmann.ac.il/complex/compphys/software/geview/data/figures/203644_s_at.png","Figure")</f>
        <v>Figure</v>
      </c>
      <c r="I3527">
        <v>1.1399999999999999</v>
      </c>
      <c r="J3527">
        <v>0.56999999999999995</v>
      </c>
      <c r="K3527">
        <v>0.79</v>
      </c>
      <c r="L3527">
        <v>0.13</v>
      </c>
      <c r="M3527">
        <v>0.69</v>
      </c>
      <c r="N3527">
        <v>2.3E-2</v>
      </c>
    </row>
    <row r="3528" spans="1:14" x14ac:dyDescent="0.25">
      <c r="A3528" t="s">
        <v>6464</v>
      </c>
      <c r="B3528" t="s">
        <v>6465</v>
      </c>
      <c r="C3528" s="1" t="str">
        <f>HYPERLINK("http://www.genecards.org/cgi-bin/carddisp.pl?gene=TMEM59L","GeneCards")</f>
        <v>GeneCards</v>
      </c>
      <c r="D3528" s="1" t="str">
        <f>HYPERLINK("http://genome-euro.ucsc.edu/cgi-bin/hgTracks?position=219005_at","UCSC")</f>
        <v>UCSC</v>
      </c>
      <c r="E3528" s="1" t="str">
        <f>HYPERLINK("http://www.ncbi.nlm.nih.gov/gene/?term=TMEM59L","NCBI")</f>
        <v>NCBI</v>
      </c>
      <c r="F3528">
        <v>2.3E-2</v>
      </c>
      <c r="G3528">
        <v>0.11</v>
      </c>
      <c r="H3528" s="1" t="str">
        <f>HYPERLINK("http://www.weizmann.ac.il/complex/compphys/software/geview/data/figures/219005_at.png","Figure")</f>
        <v>Figure</v>
      </c>
      <c r="I3528">
        <v>1.56</v>
      </c>
      <c r="J3528">
        <v>1.7999999999999999E-2</v>
      </c>
      <c r="K3528">
        <v>1.25</v>
      </c>
      <c r="L3528">
        <v>0.21</v>
      </c>
      <c r="M3528">
        <v>0.79600000000000004</v>
      </c>
      <c r="N3528">
        <v>0.23</v>
      </c>
    </row>
    <row r="3529" spans="1:14" x14ac:dyDescent="0.25">
      <c r="A3529" t="s">
        <v>6466</v>
      </c>
      <c r="B3529" t="s">
        <v>6467</v>
      </c>
      <c r="C3529" s="1" t="str">
        <f>HYPERLINK("http://www.genecards.org/cgi-bin/carddisp.pl?gene=ADAM8","GeneCards")</f>
        <v>GeneCards</v>
      </c>
      <c r="D3529" s="1" t="str">
        <f>HYPERLINK("http://genome-euro.ucsc.edu/cgi-bin/hgTracks?position=205180_s_at","UCSC")</f>
        <v>UCSC</v>
      </c>
      <c r="E3529" s="1" t="str">
        <f>HYPERLINK("http://www.ncbi.nlm.nih.gov/gene/?term=ADAM8","NCBI")</f>
        <v>NCBI</v>
      </c>
      <c r="F3529">
        <v>2.3E-2</v>
      </c>
      <c r="G3529">
        <v>0.11</v>
      </c>
      <c r="H3529" s="1" t="str">
        <f>HYPERLINK("http://www.weizmann.ac.il/complex/compphys/software/geview/data/figures/205180_s_at.png","Figure")</f>
        <v>Figure</v>
      </c>
      <c r="I3529">
        <v>0.65500000000000003</v>
      </c>
      <c r="J3529">
        <v>2.4E-2</v>
      </c>
      <c r="K3529">
        <v>0.92200000000000004</v>
      </c>
      <c r="L3529">
        <v>0.79</v>
      </c>
      <c r="M3529">
        <v>1.41</v>
      </c>
      <c r="N3529">
        <v>5.0999999999999997E-2</v>
      </c>
    </row>
    <row r="3530" spans="1:14" x14ac:dyDescent="0.25">
      <c r="A3530" t="s">
        <v>6468</v>
      </c>
      <c r="B3530" t="s">
        <v>587</v>
      </c>
      <c r="C3530" s="1" t="str">
        <f>HYPERLINK("http://www.genecards.org/cgi-bin/carddisp.pl?gene=C11orf24","GeneCards")</f>
        <v>GeneCards</v>
      </c>
      <c r="D3530" s="1" t="str">
        <f>HYPERLINK("http://genome-euro.ucsc.edu/cgi-bin/hgTracks?position=52164_at","UCSC")</f>
        <v>UCSC</v>
      </c>
      <c r="E3530" s="1" t="str">
        <f>HYPERLINK("http://www.ncbi.nlm.nih.gov/gene/?term=C11orf24","NCBI")</f>
        <v>NCBI</v>
      </c>
      <c r="F3530">
        <v>2.3E-2</v>
      </c>
      <c r="G3530">
        <v>0.11</v>
      </c>
      <c r="H3530" s="1" t="str">
        <f>HYPERLINK("http://www.weizmann.ac.il/complex/compphys/software/geview/data/figures/52164_at.png","Figure")</f>
        <v>Figure</v>
      </c>
      <c r="I3530">
        <v>0.89400000000000002</v>
      </c>
      <c r="J3530">
        <v>0.28000000000000003</v>
      </c>
      <c r="K3530">
        <v>1.1000000000000001</v>
      </c>
      <c r="L3530">
        <v>0.28999999999999998</v>
      </c>
      <c r="M3530">
        <v>1.23</v>
      </c>
      <c r="N3530">
        <v>1.7999999999999999E-2</v>
      </c>
    </row>
    <row r="3531" spans="1:14" x14ac:dyDescent="0.25">
      <c r="A3531" t="s">
        <v>6469</v>
      </c>
      <c r="B3531" t="s">
        <v>6470</v>
      </c>
      <c r="C3531" s="1" t="str">
        <f>HYPERLINK("http://www.genecards.org/cgi-bin/carddisp.pl?gene=LRPAP1","GeneCards")</f>
        <v>GeneCards</v>
      </c>
      <c r="D3531" s="1" t="str">
        <f>HYPERLINK("http://genome-euro.ucsc.edu/cgi-bin/hgTracks?position=201186_at","UCSC")</f>
        <v>UCSC</v>
      </c>
      <c r="E3531" s="1" t="str">
        <f>HYPERLINK("http://www.ncbi.nlm.nih.gov/gene/?term=LRPAP1","NCBI")</f>
        <v>NCBI</v>
      </c>
      <c r="F3531">
        <v>2.3E-2</v>
      </c>
      <c r="G3531">
        <v>0.11</v>
      </c>
      <c r="H3531" s="1" t="str">
        <f>HYPERLINK("http://www.weizmann.ac.il/complex/compphys/software/geview/data/figures/201186_at.png","Figure")</f>
        <v>Figure</v>
      </c>
      <c r="I3531">
        <v>0.91200000000000003</v>
      </c>
      <c r="J3531">
        <v>0.61</v>
      </c>
      <c r="K3531">
        <v>1.19</v>
      </c>
      <c r="L3531">
        <v>0.12</v>
      </c>
      <c r="M3531">
        <v>1.31</v>
      </c>
      <c r="N3531">
        <v>2.4E-2</v>
      </c>
    </row>
    <row r="3532" spans="1:14" x14ac:dyDescent="0.25">
      <c r="A3532" t="s">
        <v>6471</v>
      </c>
      <c r="B3532" t="s">
        <v>6472</v>
      </c>
      <c r="C3532" s="1" t="str">
        <f>HYPERLINK("http://www.genecards.org/cgi-bin/carddisp.pl?gene=PYGB","GeneCards")</f>
        <v>GeneCards</v>
      </c>
      <c r="D3532" s="1" t="str">
        <f>HYPERLINK("http://genome-euro.ucsc.edu/cgi-bin/hgTracks?position=201481_s_at","UCSC")</f>
        <v>UCSC</v>
      </c>
      <c r="E3532" s="1" t="str">
        <f>HYPERLINK("http://www.ncbi.nlm.nih.gov/gene/?term=PYGB","NCBI")</f>
        <v>NCBI</v>
      </c>
      <c r="F3532">
        <v>2.3E-2</v>
      </c>
      <c r="G3532">
        <v>0.11</v>
      </c>
      <c r="H3532" s="1" t="str">
        <f>HYPERLINK("http://www.weizmann.ac.il/complex/compphys/software/geview/data/figures/201481_s_at.png","Figure")</f>
        <v>Figure</v>
      </c>
      <c r="I3532">
        <v>1.26</v>
      </c>
      <c r="J3532">
        <v>0.03</v>
      </c>
      <c r="K3532">
        <v>1.2</v>
      </c>
      <c r="L3532">
        <v>5.1999999999999998E-2</v>
      </c>
      <c r="M3532">
        <v>0.95099999999999996</v>
      </c>
      <c r="N3532">
        <v>0.78</v>
      </c>
    </row>
    <row r="3533" spans="1:14" x14ac:dyDescent="0.25">
      <c r="A3533" t="s">
        <v>6473</v>
      </c>
      <c r="B3533" t="s">
        <v>6474</v>
      </c>
      <c r="C3533" s="1" t="str">
        <f>HYPERLINK("http://www.genecards.org/cgi-bin/carddisp.pl?gene=ACP1","GeneCards")</f>
        <v>GeneCards</v>
      </c>
      <c r="D3533" s="1" t="str">
        <f>HYPERLINK("http://genome-euro.ucsc.edu/cgi-bin/hgTracks?position=201629_s_at","UCSC")</f>
        <v>UCSC</v>
      </c>
      <c r="E3533" s="1" t="str">
        <f>HYPERLINK("http://www.ncbi.nlm.nih.gov/gene/?term=ACP1","NCBI")</f>
        <v>NCBI</v>
      </c>
      <c r="F3533">
        <v>2.3E-2</v>
      </c>
      <c r="G3533">
        <v>0.11</v>
      </c>
      <c r="H3533" s="1" t="str">
        <f>HYPERLINK("http://www.weizmann.ac.il/complex/compphys/software/geview/data/figures/201629_s_at.png","Figure")</f>
        <v>Figure</v>
      </c>
      <c r="I3533">
        <v>1.44</v>
      </c>
      <c r="J3533">
        <v>8.3000000000000004E-2</v>
      </c>
      <c r="K3533">
        <v>1.51</v>
      </c>
      <c r="L3533">
        <v>2.3E-2</v>
      </c>
      <c r="M3533">
        <v>1.05</v>
      </c>
      <c r="N3533">
        <v>0.94</v>
      </c>
    </row>
    <row r="3534" spans="1:14" x14ac:dyDescent="0.25">
      <c r="A3534" t="s">
        <v>6475</v>
      </c>
      <c r="B3534" t="s">
        <v>3318</v>
      </c>
      <c r="C3534" s="1" t="str">
        <f>HYPERLINK("http://www.genecards.org/cgi-bin/carddisp.pl?gene=GH1","GeneCards")</f>
        <v>GeneCards</v>
      </c>
      <c r="D3534" s="1" t="str">
        <f>HYPERLINK("http://genome-euro.ucsc.edu/cgi-bin/hgTracks?position=206886_x_at","UCSC")</f>
        <v>UCSC</v>
      </c>
      <c r="E3534" s="1" t="str">
        <f>HYPERLINK("http://www.ncbi.nlm.nih.gov/gene/?term=GH1","NCBI")</f>
        <v>NCBI</v>
      </c>
      <c r="F3534">
        <v>2.3E-2</v>
      </c>
      <c r="G3534">
        <v>0.11</v>
      </c>
      <c r="H3534" s="1" t="str">
        <f>HYPERLINK("http://www.weizmann.ac.il/complex/compphys/software/geview/data/figures/206886_x_at.png","Figure")</f>
        <v>Figure</v>
      </c>
      <c r="I3534">
        <v>1.46</v>
      </c>
      <c r="J3534">
        <v>1.7999999999999999E-2</v>
      </c>
      <c r="K3534">
        <v>1.18</v>
      </c>
      <c r="L3534">
        <v>0.27</v>
      </c>
      <c r="M3534">
        <v>0.81100000000000005</v>
      </c>
      <c r="N3534">
        <v>0.18</v>
      </c>
    </row>
    <row r="3535" spans="1:14" x14ac:dyDescent="0.25">
      <c r="A3535" t="s">
        <v>6476</v>
      </c>
      <c r="B3535" t="s">
        <v>6477</v>
      </c>
      <c r="C3535" s="1" t="str">
        <f>HYPERLINK("http://www.genecards.org/cgi-bin/carddisp.pl?gene=ADCY3","GeneCards")</f>
        <v>GeneCards</v>
      </c>
      <c r="D3535" s="1" t="str">
        <f>HYPERLINK("http://genome-euro.ucsc.edu/cgi-bin/hgTracks?position=209321_s_at","UCSC")</f>
        <v>UCSC</v>
      </c>
      <c r="E3535" s="1" t="str">
        <f>HYPERLINK("http://www.ncbi.nlm.nih.gov/gene/?term=ADCY3","NCBI")</f>
        <v>NCBI</v>
      </c>
      <c r="F3535">
        <v>2.3E-2</v>
      </c>
      <c r="G3535">
        <v>0.11</v>
      </c>
      <c r="H3535" s="1" t="str">
        <f>HYPERLINK("http://www.weizmann.ac.il/complex/compphys/software/geview/data/figures/209321_s_at.png","Figure")</f>
        <v>Figure</v>
      </c>
      <c r="I3535">
        <v>1.01</v>
      </c>
      <c r="J3535">
        <v>0.99</v>
      </c>
      <c r="K3535">
        <v>0.90400000000000003</v>
      </c>
      <c r="L3535">
        <v>4.5999999999999999E-2</v>
      </c>
      <c r="M3535">
        <v>0.89900000000000002</v>
      </c>
      <c r="N3535">
        <v>4.9000000000000002E-2</v>
      </c>
    </row>
    <row r="3536" spans="1:14" x14ac:dyDescent="0.25">
      <c r="A3536" t="s">
        <v>6478</v>
      </c>
      <c r="B3536" t="s">
        <v>6479</v>
      </c>
      <c r="C3536" s="1" t="str">
        <f>HYPERLINK("http://www.genecards.org/cgi-bin/carddisp.pl?gene=GSTZ1","GeneCards")</f>
        <v>GeneCards</v>
      </c>
      <c r="D3536" s="1" t="str">
        <f>HYPERLINK("http://genome-euro.ucsc.edu/cgi-bin/hgTracks?position=209531_at","UCSC")</f>
        <v>UCSC</v>
      </c>
      <c r="E3536" s="1" t="str">
        <f>HYPERLINK("http://www.ncbi.nlm.nih.gov/gene/?term=GSTZ1","NCBI")</f>
        <v>NCBI</v>
      </c>
      <c r="F3536">
        <v>2.3E-2</v>
      </c>
      <c r="G3536">
        <v>0.11</v>
      </c>
      <c r="H3536" s="1" t="str">
        <f>HYPERLINK("http://www.weizmann.ac.il/complex/compphys/software/geview/data/figures/209531_at.png","Figure")</f>
        <v>Figure</v>
      </c>
      <c r="I3536">
        <v>0.91400000000000003</v>
      </c>
      <c r="J3536">
        <v>0.69</v>
      </c>
      <c r="K3536">
        <v>1.23</v>
      </c>
      <c r="L3536">
        <v>0.1</v>
      </c>
      <c r="M3536">
        <v>1.35</v>
      </c>
      <c r="N3536">
        <v>2.7E-2</v>
      </c>
    </row>
    <row r="3537" spans="1:14" x14ac:dyDescent="0.25">
      <c r="A3537" t="s">
        <v>6480</v>
      </c>
      <c r="B3537" t="s">
        <v>4509</v>
      </c>
      <c r="C3537" s="1" t="str">
        <f>HYPERLINK("http://www.genecards.org/cgi-bin/carddisp.pl?gene=ASXL1","GeneCards")</f>
        <v>GeneCards</v>
      </c>
      <c r="D3537" s="1" t="str">
        <f>HYPERLINK("http://genome-euro.ucsc.edu/cgi-bin/hgTracks?position=212238_at","UCSC")</f>
        <v>UCSC</v>
      </c>
      <c r="E3537" s="1" t="str">
        <f>HYPERLINK("http://www.ncbi.nlm.nih.gov/gene/?term=ASXL1","NCBI")</f>
        <v>NCBI</v>
      </c>
      <c r="F3537">
        <v>2.3E-2</v>
      </c>
      <c r="G3537">
        <v>0.11</v>
      </c>
      <c r="H3537" s="1" t="str">
        <f>HYPERLINK("http://www.weizmann.ac.il/complex/compphys/software/geview/data/figures/212238_at.png","Figure")</f>
        <v>Figure</v>
      </c>
      <c r="I3537">
        <v>1.45</v>
      </c>
      <c r="J3537">
        <v>0.1</v>
      </c>
      <c r="K3537">
        <v>0.88400000000000001</v>
      </c>
      <c r="L3537">
        <v>0.69</v>
      </c>
      <c r="M3537">
        <v>0.60799999999999998</v>
      </c>
      <c r="N3537">
        <v>1.9E-2</v>
      </c>
    </row>
    <row r="3538" spans="1:14" x14ac:dyDescent="0.25">
      <c r="A3538" t="s">
        <v>6481</v>
      </c>
      <c r="B3538" t="s">
        <v>6482</v>
      </c>
      <c r="C3538" s="1" t="str">
        <f>HYPERLINK("http://www.genecards.org/cgi-bin/carddisp.pl?gene=NUP188","GeneCards")</f>
        <v>GeneCards</v>
      </c>
      <c r="D3538" s="1" t="str">
        <f>HYPERLINK("http://genome-euro.ucsc.edu/cgi-bin/hgTracks?position=212691_at","UCSC")</f>
        <v>UCSC</v>
      </c>
      <c r="E3538" s="1" t="str">
        <f>HYPERLINK("http://www.ncbi.nlm.nih.gov/gene/?term=NUP188","NCBI")</f>
        <v>NCBI</v>
      </c>
      <c r="F3538">
        <v>2.3E-2</v>
      </c>
      <c r="G3538">
        <v>0.11</v>
      </c>
      <c r="H3538" s="1" t="str">
        <f>HYPERLINK("http://www.weizmann.ac.il/complex/compphys/software/geview/data/figures/212691_at.png","Figure")</f>
        <v>Figure</v>
      </c>
      <c r="I3538">
        <v>1.32</v>
      </c>
      <c r="J3538">
        <v>7.8E-2</v>
      </c>
      <c r="K3538">
        <v>1.36</v>
      </c>
      <c r="L3538">
        <v>2.4E-2</v>
      </c>
      <c r="M3538">
        <v>1.03</v>
      </c>
      <c r="N3538">
        <v>0.95</v>
      </c>
    </row>
    <row r="3539" spans="1:14" x14ac:dyDescent="0.25">
      <c r="A3539" t="s">
        <v>6483</v>
      </c>
      <c r="B3539" t="s">
        <v>6484</v>
      </c>
      <c r="C3539" s="1" t="str">
        <f>HYPERLINK("http://www.genecards.org/cgi-bin/carddisp.pl?gene=PCGF2","GeneCards")</f>
        <v>GeneCards</v>
      </c>
      <c r="D3539" s="1" t="str">
        <f>HYPERLINK("http://genome-euro.ucsc.edu/cgi-bin/hgTracks?position=213551_x_at","UCSC")</f>
        <v>UCSC</v>
      </c>
      <c r="E3539" s="1" t="str">
        <f>HYPERLINK("http://www.ncbi.nlm.nih.gov/gene/?term=PCGF2","NCBI")</f>
        <v>NCBI</v>
      </c>
      <c r="F3539">
        <v>2.3E-2</v>
      </c>
      <c r="G3539">
        <v>0.11</v>
      </c>
      <c r="H3539" s="1" t="str">
        <f>HYPERLINK("http://www.weizmann.ac.il/complex/compphys/software/geview/data/figures/213551_x_at.png","Figure")</f>
        <v>Figure</v>
      </c>
      <c r="I3539">
        <v>1.19</v>
      </c>
      <c r="J3539">
        <v>0.11</v>
      </c>
      <c r="K3539">
        <v>0.94299999999999995</v>
      </c>
      <c r="L3539">
        <v>0.67</v>
      </c>
      <c r="M3539">
        <v>0.79300000000000004</v>
      </c>
      <c r="N3539">
        <v>1.9E-2</v>
      </c>
    </row>
    <row r="3540" spans="1:14" x14ac:dyDescent="0.25">
      <c r="A3540" t="s">
        <v>6485</v>
      </c>
      <c r="B3540" t="s">
        <v>1269</v>
      </c>
      <c r="C3540" s="1" t="str">
        <f>HYPERLINK("http://www.genecards.org/cgi-bin/carddisp.pl?gene=HSP90AA1","GeneCards")</f>
        <v>GeneCards</v>
      </c>
      <c r="D3540" s="1" t="str">
        <f>HYPERLINK("http://genome-euro.ucsc.edu/cgi-bin/hgTracks?position=214328_s_at","UCSC")</f>
        <v>UCSC</v>
      </c>
      <c r="E3540" s="1" t="str">
        <f>HYPERLINK("http://www.ncbi.nlm.nih.gov/gene/?term=HSP90AA1","NCBI")</f>
        <v>NCBI</v>
      </c>
      <c r="F3540">
        <v>2.3E-2</v>
      </c>
      <c r="G3540">
        <v>0.11</v>
      </c>
      <c r="H3540" s="1" t="str">
        <f>HYPERLINK("http://www.weizmann.ac.il/complex/compphys/software/geview/data/figures/214328_s_at.png","Figure")</f>
        <v>Figure</v>
      </c>
      <c r="I3540">
        <v>1.07</v>
      </c>
      <c r="J3540">
        <v>0.89</v>
      </c>
      <c r="K3540">
        <v>1.49</v>
      </c>
      <c r="L3540">
        <v>2.8000000000000001E-2</v>
      </c>
      <c r="M3540">
        <v>1.39</v>
      </c>
      <c r="N3540">
        <v>9.5000000000000001E-2</v>
      </c>
    </row>
    <row r="3541" spans="1:14" x14ac:dyDescent="0.25">
      <c r="A3541" t="s">
        <v>6486</v>
      </c>
      <c r="B3541" t="s">
        <v>6487</v>
      </c>
      <c r="C3541" s="1" t="str">
        <f>HYPERLINK("http://www.genecards.org/cgi-bin/carddisp.pl?gene=PRAMEF11","GeneCards")</f>
        <v>GeneCards</v>
      </c>
      <c r="D3541" s="1" t="str">
        <f>HYPERLINK("http://genome-euro.ucsc.edu/cgi-bin/hgTracks?position=217365_at","UCSC")</f>
        <v>UCSC</v>
      </c>
      <c r="E3541" s="1" t="str">
        <f>HYPERLINK("http://www.ncbi.nlm.nih.gov/gene/?term=PRAMEF11","NCBI")</f>
        <v>NCBI</v>
      </c>
      <c r="F3541">
        <v>2.3E-2</v>
      </c>
      <c r="G3541">
        <v>0.11</v>
      </c>
      <c r="H3541" s="1" t="str">
        <f>HYPERLINK("http://www.weizmann.ac.il/complex/compphys/software/geview/data/figures/217365_at.png","Figure")</f>
        <v>Figure</v>
      </c>
      <c r="I3541">
        <v>1.22</v>
      </c>
      <c r="J3541">
        <v>2.7E-2</v>
      </c>
      <c r="K3541">
        <v>1.03</v>
      </c>
      <c r="L3541">
        <v>0.86</v>
      </c>
      <c r="M3541">
        <v>0.84699999999999998</v>
      </c>
      <c r="N3541">
        <v>4.3999999999999997E-2</v>
      </c>
    </row>
    <row r="3542" spans="1:14" x14ac:dyDescent="0.25">
      <c r="A3542" t="s">
        <v>6488</v>
      </c>
      <c r="B3542" t="s">
        <v>6489</v>
      </c>
      <c r="C3542" s="1" t="str">
        <f>HYPERLINK("http://www.genecards.org/cgi-bin/carddisp.pl?gene=ROBLD3","GeneCards")</f>
        <v>GeneCards</v>
      </c>
      <c r="D3542" s="1" t="str">
        <f>HYPERLINK("http://genome-euro.ucsc.edu/cgi-bin/hgTracks?position=218291_at","UCSC")</f>
        <v>UCSC</v>
      </c>
      <c r="E3542" s="1" t="str">
        <f>HYPERLINK("http://www.ncbi.nlm.nih.gov/gene/?term=ROBLD3","NCBI")</f>
        <v>NCBI</v>
      </c>
      <c r="F3542">
        <v>2.3E-2</v>
      </c>
      <c r="G3542">
        <v>0.11</v>
      </c>
      <c r="H3542" s="1" t="str">
        <f>HYPERLINK("http://www.weizmann.ac.il/complex/compphys/software/geview/data/figures/218291_at.png","Figure")</f>
        <v>Figure</v>
      </c>
      <c r="I3542">
        <v>1.4</v>
      </c>
      <c r="J3542">
        <v>0.06</v>
      </c>
      <c r="K3542">
        <v>1.41</v>
      </c>
      <c r="L3542">
        <v>2.7E-2</v>
      </c>
      <c r="M3542">
        <v>1.01</v>
      </c>
      <c r="N3542">
        <v>1</v>
      </c>
    </row>
    <row r="3543" spans="1:14" x14ac:dyDescent="0.25">
      <c r="A3543" t="s">
        <v>6490</v>
      </c>
      <c r="B3543" t="s">
        <v>6491</v>
      </c>
      <c r="C3543" s="1" t="str">
        <f>HYPERLINK("http://www.genecards.org/cgi-bin/carddisp.pl?gene=C9orf167","GeneCards")</f>
        <v>GeneCards</v>
      </c>
      <c r="D3543" s="1" t="str">
        <f>HYPERLINK("http://genome-euro.ucsc.edu/cgi-bin/hgTracks?position=219620_x_at","UCSC")</f>
        <v>UCSC</v>
      </c>
      <c r="E3543" s="1" t="str">
        <f>HYPERLINK("http://www.ncbi.nlm.nih.gov/gene/?term=C9orf167","NCBI")</f>
        <v>NCBI</v>
      </c>
      <c r="F3543">
        <v>2.3E-2</v>
      </c>
      <c r="G3543">
        <v>0.11</v>
      </c>
      <c r="H3543" s="1" t="str">
        <f>HYPERLINK("http://www.weizmann.ac.il/complex/compphys/software/geview/data/figures/219620_x_at.png","Figure")</f>
        <v>Figure</v>
      </c>
      <c r="I3543">
        <v>1.08</v>
      </c>
      <c r="J3543">
        <v>4.2000000000000003E-2</v>
      </c>
      <c r="K3543">
        <v>1.07</v>
      </c>
      <c r="L3543">
        <v>3.5999999999999997E-2</v>
      </c>
      <c r="M3543">
        <v>0.99199999999999999</v>
      </c>
      <c r="N3543">
        <v>0.95</v>
      </c>
    </row>
    <row r="3544" spans="1:14" x14ac:dyDescent="0.25">
      <c r="A3544" t="s">
        <v>6492</v>
      </c>
      <c r="B3544" t="s">
        <v>6493</v>
      </c>
      <c r="C3544" s="1" t="str">
        <f>HYPERLINK("http://www.genecards.org/cgi-bin/carddisp.pl?gene=ROBO4","GeneCards")</f>
        <v>GeneCards</v>
      </c>
      <c r="D3544" s="1" t="str">
        <f>HYPERLINK("http://genome-euro.ucsc.edu/cgi-bin/hgTracks?position=220758_s_at","UCSC")</f>
        <v>UCSC</v>
      </c>
      <c r="E3544" s="1" t="str">
        <f>HYPERLINK("http://www.ncbi.nlm.nih.gov/gene/?term=ROBO4","NCBI")</f>
        <v>NCBI</v>
      </c>
      <c r="F3544">
        <v>2.3E-2</v>
      </c>
      <c r="G3544">
        <v>0.11</v>
      </c>
      <c r="H3544" s="1" t="str">
        <f>HYPERLINK("http://www.weizmann.ac.il/complex/compphys/software/geview/data/figures/220758_s_at.png","Figure")</f>
        <v>Figure</v>
      </c>
      <c r="I3544">
        <v>1.23</v>
      </c>
      <c r="J3544">
        <v>1.7999999999999999E-2</v>
      </c>
      <c r="K3544">
        <v>1.0900000000000001</v>
      </c>
      <c r="L3544">
        <v>0.32</v>
      </c>
      <c r="M3544">
        <v>0.88700000000000001</v>
      </c>
      <c r="N3544">
        <v>0.15</v>
      </c>
    </row>
    <row r="3545" spans="1:14" x14ac:dyDescent="0.25">
      <c r="A3545" t="s">
        <v>6494</v>
      </c>
      <c r="B3545" t="s">
        <v>6495</v>
      </c>
      <c r="C3545" s="1" t="str">
        <f>HYPERLINK("http://www.genecards.org/cgi-bin/carddisp.pl?gene=MYCBP","GeneCards")</f>
        <v>GeneCards</v>
      </c>
      <c r="D3545" s="1" t="str">
        <f>HYPERLINK("http://genome-euro.ucsc.edu/cgi-bin/hgTracks?position=203359_s_at","UCSC")</f>
        <v>UCSC</v>
      </c>
      <c r="E3545" s="1" t="str">
        <f>HYPERLINK("http://www.ncbi.nlm.nih.gov/gene/?term=MYCBP","NCBI")</f>
        <v>NCBI</v>
      </c>
      <c r="F3545">
        <v>2.3E-2</v>
      </c>
      <c r="G3545">
        <v>0.11</v>
      </c>
      <c r="H3545" s="1" t="str">
        <f>HYPERLINK("http://www.weizmann.ac.il/complex/compphys/software/geview/data/figures/203359_s_at.png","Figure")</f>
        <v>Figure</v>
      </c>
      <c r="I3545">
        <v>0.68200000000000005</v>
      </c>
      <c r="J3545">
        <v>0.23</v>
      </c>
      <c r="K3545">
        <v>1.32</v>
      </c>
      <c r="L3545">
        <v>0.35</v>
      </c>
      <c r="M3545">
        <v>1.94</v>
      </c>
      <c r="N3545">
        <v>1.7999999999999999E-2</v>
      </c>
    </row>
    <row r="3546" spans="1:14" x14ac:dyDescent="0.25">
      <c r="A3546" t="s">
        <v>6496</v>
      </c>
      <c r="B3546" t="s">
        <v>3353</v>
      </c>
      <c r="C3546" s="1" t="str">
        <f>HYPERLINK("http://www.genecards.org/cgi-bin/carddisp.pl?gene=PSD3","GeneCards")</f>
        <v>GeneCards</v>
      </c>
      <c r="D3546" s="1" t="str">
        <f>HYPERLINK("http://genome-euro.ucsc.edu/cgi-bin/hgTracks?position=203354_s_at","UCSC")</f>
        <v>UCSC</v>
      </c>
      <c r="E3546" s="1" t="str">
        <f>HYPERLINK("http://www.ncbi.nlm.nih.gov/gene/?term=PSD3","NCBI")</f>
        <v>NCBI</v>
      </c>
      <c r="F3546">
        <v>2.3E-2</v>
      </c>
      <c r="G3546">
        <v>0.11</v>
      </c>
      <c r="H3546" s="1" t="str">
        <f>HYPERLINK("http://www.weizmann.ac.il/complex/compphys/software/geview/data/figures/203354_s_at.png","Figure")</f>
        <v>Figure</v>
      </c>
      <c r="I3546">
        <v>0.51600000000000001</v>
      </c>
      <c r="J3546">
        <v>0.1</v>
      </c>
      <c r="K3546">
        <v>0.44800000000000001</v>
      </c>
      <c r="L3546">
        <v>2.1000000000000001E-2</v>
      </c>
      <c r="M3546">
        <v>0.86799999999999999</v>
      </c>
      <c r="N3546">
        <v>0.87</v>
      </c>
    </row>
    <row r="3547" spans="1:14" x14ac:dyDescent="0.25">
      <c r="A3547" t="s">
        <v>6497</v>
      </c>
      <c r="B3547" t="s">
        <v>6498</v>
      </c>
      <c r="C3547" s="1" t="str">
        <f>HYPERLINK("http://www.genecards.org/cgi-bin/carddisp.pl?gene=NME3","GeneCards")</f>
        <v>GeneCards</v>
      </c>
      <c r="D3547" s="1" t="str">
        <f>HYPERLINK("http://genome-euro.ucsc.edu/cgi-bin/hgTracks?position=204862_s_at","UCSC")</f>
        <v>UCSC</v>
      </c>
      <c r="E3547" s="1" t="str">
        <f>HYPERLINK("http://www.ncbi.nlm.nih.gov/gene/?term=NME3","NCBI")</f>
        <v>NCBI</v>
      </c>
      <c r="F3547">
        <v>2.3E-2</v>
      </c>
      <c r="G3547">
        <v>0.11</v>
      </c>
      <c r="H3547" s="1" t="str">
        <f>HYPERLINK("http://www.weizmann.ac.il/complex/compphys/software/geview/data/figures/204862_s_at.png","Figure")</f>
        <v>Figure</v>
      </c>
      <c r="I3547">
        <v>1.79</v>
      </c>
      <c r="J3547">
        <v>2.3E-2</v>
      </c>
      <c r="K3547">
        <v>1.49</v>
      </c>
      <c r="L3547">
        <v>7.9000000000000001E-2</v>
      </c>
      <c r="M3547">
        <v>0.83099999999999996</v>
      </c>
      <c r="N3547">
        <v>0.56999999999999995</v>
      </c>
    </row>
    <row r="3548" spans="1:14" x14ac:dyDescent="0.25">
      <c r="A3548" t="s">
        <v>6499</v>
      </c>
      <c r="B3548" t="s">
        <v>6500</v>
      </c>
      <c r="C3548" s="1" t="str">
        <f>HYPERLINK("http://www.genecards.org/cgi-bin/carddisp.pl?gene=PSMD9","GeneCards")</f>
        <v>GeneCards</v>
      </c>
      <c r="D3548" s="1" t="str">
        <f>HYPERLINK("http://genome-euro.ucsc.edu/cgi-bin/hgTracks?position=207805_s_at","UCSC")</f>
        <v>UCSC</v>
      </c>
      <c r="E3548" s="1" t="str">
        <f>HYPERLINK("http://www.ncbi.nlm.nih.gov/gene/?term=PSMD9","NCBI")</f>
        <v>NCBI</v>
      </c>
      <c r="F3548">
        <v>2.3E-2</v>
      </c>
      <c r="G3548">
        <v>0.11</v>
      </c>
      <c r="H3548" s="1" t="str">
        <f>HYPERLINK("http://www.weizmann.ac.il/complex/compphys/software/geview/data/figures/207805_s_at.png","Figure")</f>
        <v>Figure</v>
      </c>
      <c r="I3548">
        <v>1.06</v>
      </c>
      <c r="J3548">
        <v>0.9</v>
      </c>
      <c r="K3548">
        <v>1.37</v>
      </c>
      <c r="L3548">
        <v>2.8000000000000001E-2</v>
      </c>
      <c r="M3548">
        <v>1.3</v>
      </c>
      <c r="N3548">
        <v>9.4E-2</v>
      </c>
    </row>
    <row r="3549" spans="1:14" x14ac:dyDescent="0.25">
      <c r="A3549" t="s">
        <v>6501</v>
      </c>
      <c r="B3549" t="s">
        <v>6502</v>
      </c>
      <c r="C3549" s="1" t="str">
        <f>HYPERLINK("http://www.genecards.org/cgi-bin/carddisp.pl?gene=LPHN3","GeneCards")</f>
        <v>GeneCards</v>
      </c>
      <c r="D3549" s="1" t="str">
        <f>HYPERLINK("http://genome-euro.ucsc.edu/cgi-bin/hgTracks?position=209866_s_at","UCSC")</f>
        <v>UCSC</v>
      </c>
      <c r="E3549" s="1" t="str">
        <f>HYPERLINK("http://www.ncbi.nlm.nih.gov/gene/?term=LPHN3","NCBI")</f>
        <v>NCBI</v>
      </c>
      <c r="F3549">
        <v>2.3E-2</v>
      </c>
      <c r="G3549">
        <v>0.11</v>
      </c>
      <c r="H3549" s="1" t="str">
        <f>HYPERLINK("http://www.weizmann.ac.il/complex/compphys/software/geview/data/figures/209866_s_at.png","Figure")</f>
        <v>Figure</v>
      </c>
      <c r="I3549">
        <v>1</v>
      </c>
      <c r="J3549">
        <v>1</v>
      </c>
      <c r="K3549">
        <v>0.71099999999999997</v>
      </c>
      <c r="L3549">
        <v>4.1000000000000002E-2</v>
      </c>
      <c r="M3549">
        <v>0.71099999999999997</v>
      </c>
      <c r="N3549">
        <v>5.6000000000000001E-2</v>
      </c>
    </row>
    <row r="3550" spans="1:14" x14ac:dyDescent="0.25">
      <c r="A3550" t="s">
        <v>6503</v>
      </c>
      <c r="B3550" t="s">
        <v>6409</v>
      </c>
      <c r="C3550" s="1" t="str">
        <f>HYPERLINK("http://www.genecards.org/cgi-bin/carddisp.pl?gene=ZMIZ2","GeneCards")</f>
        <v>GeneCards</v>
      </c>
      <c r="D3550" s="1" t="str">
        <f>HYPERLINK("http://genome-euro.ucsc.edu/cgi-bin/hgTracks?position=54970_at","UCSC")</f>
        <v>UCSC</v>
      </c>
      <c r="E3550" s="1" t="str">
        <f>HYPERLINK("http://www.ncbi.nlm.nih.gov/gene/?term=ZMIZ2","NCBI")</f>
        <v>NCBI</v>
      </c>
      <c r="F3550">
        <v>2.3E-2</v>
      </c>
      <c r="G3550">
        <v>0.11</v>
      </c>
      <c r="H3550" s="1" t="str">
        <f>HYPERLINK("http://www.weizmann.ac.il/complex/compphys/software/geview/data/figures/54970_at.png","Figure")</f>
        <v>Figure</v>
      </c>
      <c r="I3550">
        <v>1.42</v>
      </c>
      <c r="J3550">
        <v>2.5999999999999999E-2</v>
      </c>
      <c r="K3550">
        <v>1.29</v>
      </c>
      <c r="L3550">
        <v>6.8000000000000005E-2</v>
      </c>
      <c r="M3550">
        <v>0.90500000000000003</v>
      </c>
      <c r="N3550">
        <v>0.64</v>
      </c>
    </row>
    <row r="3551" spans="1:14" x14ac:dyDescent="0.25">
      <c r="A3551" t="s">
        <v>6504</v>
      </c>
      <c r="B3551" t="s">
        <v>6505</v>
      </c>
      <c r="C3551" s="1" t="str">
        <f>HYPERLINK("http://www.genecards.org/cgi-bin/carddisp.pl?gene=PTTG1IP","GeneCards")</f>
        <v>GeneCards</v>
      </c>
      <c r="D3551" s="1" t="str">
        <f>HYPERLINK("http://genome-euro.ucsc.edu/cgi-bin/hgTracks?position=200677_at","UCSC")</f>
        <v>UCSC</v>
      </c>
      <c r="E3551" s="1" t="str">
        <f>HYPERLINK("http://www.ncbi.nlm.nih.gov/gene/?term=PTTG1IP","NCBI")</f>
        <v>NCBI</v>
      </c>
      <c r="F3551">
        <v>2.3E-2</v>
      </c>
      <c r="G3551">
        <v>0.11</v>
      </c>
      <c r="H3551" s="1" t="str">
        <f>HYPERLINK("http://www.weizmann.ac.il/complex/compphys/software/geview/data/figures/200677_at.png","Figure")</f>
        <v>Figure</v>
      </c>
      <c r="I3551">
        <v>0.63600000000000001</v>
      </c>
      <c r="J3551">
        <v>0.28000000000000003</v>
      </c>
      <c r="K3551">
        <v>1.47</v>
      </c>
      <c r="L3551">
        <v>0.28999999999999998</v>
      </c>
      <c r="M3551">
        <v>2.31</v>
      </c>
      <c r="N3551">
        <v>1.9E-2</v>
      </c>
    </row>
    <row r="3552" spans="1:14" x14ac:dyDescent="0.25">
      <c r="A3552" t="s">
        <v>6506</v>
      </c>
      <c r="B3552" t="s">
        <v>4445</v>
      </c>
      <c r="C3552" s="1" t="str">
        <f>HYPERLINK("http://www.genecards.org/cgi-bin/carddisp.pl?gene=SPEN","GeneCards")</f>
        <v>GeneCards</v>
      </c>
      <c r="D3552" s="1" t="str">
        <f>HYPERLINK("http://genome-euro.ucsc.edu/cgi-bin/hgTracks?position=201997_s_at","UCSC")</f>
        <v>UCSC</v>
      </c>
      <c r="E3552" s="1" t="str">
        <f>HYPERLINK("http://www.ncbi.nlm.nih.gov/gene/?term=SPEN","NCBI")</f>
        <v>NCBI</v>
      </c>
      <c r="F3552">
        <v>2.3E-2</v>
      </c>
      <c r="G3552">
        <v>0.11</v>
      </c>
      <c r="H3552" s="1" t="str">
        <f>HYPERLINK("http://www.weizmann.ac.il/complex/compphys/software/geview/data/figures/201997_s_at.png","Figure")</f>
        <v>Figure</v>
      </c>
      <c r="I3552">
        <v>1.37</v>
      </c>
      <c r="J3552">
        <v>7.0999999999999994E-2</v>
      </c>
      <c r="K3552">
        <v>0.94199999999999995</v>
      </c>
      <c r="L3552">
        <v>0.86</v>
      </c>
      <c r="M3552">
        <v>0.68799999999999994</v>
      </c>
      <c r="N3552">
        <v>2.1000000000000001E-2</v>
      </c>
    </row>
    <row r="3553" spans="1:14" x14ac:dyDescent="0.25">
      <c r="A3553" t="s">
        <v>6507</v>
      </c>
      <c r="B3553" t="s">
        <v>6508</v>
      </c>
      <c r="C3553" s="1" t="str">
        <f>HYPERLINK("http://www.genecards.org/cgi-bin/carddisp.pl?gene=CRHBP","GeneCards")</f>
        <v>GeneCards</v>
      </c>
      <c r="D3553" s="1" t="str">
        <f>HYPERLINK("http://genome-euro.ucsc.edu/cgi-bin/hgTracks?position=205984_at","UCSC")</f>
        <v>UCSC</v>
      </c>
      <c r="E3553" s="1" t="str">
        <f>HYPERLINK("http://www.ncbi.nlm.nih.gov/gene/?term=CRHBP","NCBI")</f>
        <v>NCBI</v>
      </c>
      <c r="F3553">
        <v>2.3E-2</v>
      </c>
      <c r="G3553">
        <v>0.11</v>
      </c>
      <c r="H3553" s="1" t="str">
        <f>HYPERLINK("http://www.weizmann.ac.il/complex/compphys/software/geview/data/figures/205984_at.png","Figure")</f>
        <v>Figure</v>
      </c>
      <c r="I3553">
        <v>0.72399999999999998</v>
      </c>
      <c r="J3553">
        <v>2.9000000000000001E-2</v>
      </c>
      <c r="K3553">
        <v>0.78</v>
      </c>
      <c r="L3553">
        <v>5.5E-2</v>
      </c>
      <c r="M3553">
        <v>1.08</v>
      </c>
      <c r="N3553">
        <v>0.75</v>
      </c>
    </row>
    <row r="3554" spans="1:14" x14ac:dyDescent="0.25">
      <c r="A3554" t="s">
        <v>6509</v>
      </c>
      <c r="B3554" t="s">
        <v>6510</v>
      </c>
      <c r="C3554" s="1" t="str">
        <f>HYPERLINK("http://www.genecards.org/cgi-bin/carddisp.pl?gene=SPN","GeneCards")</f>
        <v>GeneCards</v>
      </c>
      <c r="D3554" s="1" t="str">
        <f>HYPERLINK("http://genome-euro.ucsc.edu/cgi-bin/hgTracks?position=206057_x_at","UCSC")</f>
        <v>UCSC</v>
      </c>
      <c r="E3554" s="1" t="str">
        <f>HYPERLINK("http://www.ncbi.nlm.nih.gov/gene/?term=SPN","NCBI")</f>
        <v>NCBI</v>
      </c>
      <c r="F3554">
        <v>2.3E-2</v>
      </c>
      <c r="G3554">
        <v>0.11</v>
      </c>
      <c r="H3554" s="1" t="str">
        <f>HYPERLINK("http://www.weizmann.ac.il/complex/compphys/software/geview/data/figures/206057_x_at.png","Figure")</f>
        <v>Figure</v>
      </c>
      <c r="I3554">
        <v>1.32</v>
      </c>
      <c r="J3554">
        <v>2.1999999999999999E-2</v>
      </c>
      <c r="K3554">
        <v>1.2</v>
      </c>
      <c r="L3554">
        <v>8.8999999999999996E-2</v>
      </c>
      <c r="M3554">
        <v>0.90900000000000003</v>
      </c>
      <c r="N3554">
        <v>0.51</v>
      </c>
    </row>
    <row r="3555" spans="1:14" x14ac:dyDescent="0.25">
      <c r="A3555" t="s">
        <v>6511</v>
      </c>
      <c r="B3555" t="s">
        <v>6512</v>
      </c>
      <c r="C3555" s="1" t="str">
        <f>HYPERLINK("http://www.genecards.org/cgi-bin/carddisp.pl?gene=WWP2","GeneCards")</f>
        <v>GeneCards</v>
      </c>
      <c r="D3555" s="1" t="str">
        <f>HYPERLINK("http://genome-euro.ucsc.edu/cgi-bin/hgTracks?position=210200_at","UCSC")</f>
        <v>UCSC</v>
      </c>
      <c r="E3555" s="1" t="str">
        <f>HYPERLINK("http://www.ncbi.nlm.nih.gov/gene/?term=WWP2","NCBI")</f>
        <v>NCBI</v>
      </c>
      <c r="F3555">
        <v>2.3E-2</v>
      </c>
      <c r="G3555">
        <v>0.11</v>
      </c>
      <c r="H3555" s="1" t="str">
        <f>HYPERLINK("http://www.weizmann.ac.il/complex/compphys/software/geview/data/figures/210200_at.png","Figure")</f>
        <v>Figure</v>
      </c>
      <c r="I3555">
        <v>1.25</v>
      </c>
      <c r="J3555">
        <v>0.17</v>
      </c>
      <c r="K3555">
        <v>0.88800000000000001</v>
      </c>
      <c r="L3555">
        <v>0.47</v>
      </c>
      <c r="M3555">
        <v>0.71199999999999997</v>
      </c>
      <c r="N3555">
        <v>1.7999999999999999E-2</v>
      </c>
    </row>
    <row r="3556" spans="1:14" x14ac:dyDescent="0.25">
      <c r="A3556" t="s">
        <v>6513</v>
      </c>
      <c r="B3556" t="s">
        <v>6514</v>
      </c>
      <c r="C3556" s="1" t="str">
        <f>HYPERLINK("http://www.genecards.org/cgi-bin/carddisp.pl?gene=PRKAR1B","GeneCards")</f>
        <v>GeneCards</v>
      </c>
      <c r="D3556" s="1" t="str">
        <f>HYPERLINK("http://genome-euro.ucsc.edu/cgi-bin/hgTracks?position=212559_at","UCSC")</f>
        <v>UCSC</v>
      </c>
      <c r="E3556" s="1" t="str">
        <f>HYPERLINK("http://www.ncbi.nlm.nih.gov/gene/?term=PRKAR1B","NCBI")</f>
        <v>NCBI</v>
      </c>
      <c r="F3556">
        <v>2.3E-2</v>
      </c>
      <c r="G3556">
        <v>0.11</v>
      </c>
      <c r="H3556" s="1" t="str">
        <f>HYPERLINK("http://www.weizmann.ac.il/complex/compphys/software/geview/data/figures/212559_at.png","Figure")</f>
        <v>Figure</v>
      </c>
      <c r="I3556">
        <v>1.21</v>
      </c>
      <c r="J3556">
        <v>0.05</v>
      </c>
      <c r="K3556">
        <v>0.98699999999999999</v>
      </c>
      <c r="L3556">
        <v>0.98</v>
      </c>
      <c r="M3556">
        <v>0.81299999999999994</v>
      </c>
      <c r="N3556">
        <v>2.5000000000000001E-2</v>
      </c>
    </row>
    <row r="3557" spans="1:14" x14ac:dyDescent="0.25">
      <c r="A3557" t="s">
        <v>6515</v>
      </c>
      <c r="B3557" t="s">
        <v>190</v>
      </c>
      <c r="C3557" s="1" t="str">
        <f>HYPERLINK("http://www.genecards.org/cgi-bin/carddisp.pl?gene=ZC3H14","GeneCards")</f>
        <v>GeneCards</v>
      </c>
      <c r="D3557" s="1" t="str">
        <f>HYPERLINK("http://genome-euro.ucsc.edu/cgi-bin/hgTracks?position=213063_at","UCSC")</f>
        <v>UCSC</v>
      </c>
      <c r="E3557" s="1" t="str">
        <f>HYPERLINK("http://www.ncbi.nlm.nih.gov/gene/?term=ZC3H14","NCBI")</f>
        <v>NCBI</v>
      </c>
      <c r="F3557">
        <v>2.3E-2</v>
      </c>
      <c r="G3557">
        <v>0.11</v>
      </c>
      <c r="H3557" s="1" t="str">
        <f>HYPERLINK("http://www.weizmann.ac.il/complex/compphys/software/geview/data/figures/213063_at.png","Figure")</f>
        <v>Figure</v>
      </c>
      <c r="I3557">
        <v>0.77500000000000002</v>
      </c>
      <c r="J3557">
        <v>7.0000000000000007E-2</v>
      </c>
      <c r="K3557">
        <v>1.05</v>
      </c>
      <c r="L3557">
        <v>0.86</v>
      </c>
      <c r="M3557">
        <v>1.35</v>
      </c>
      <c r="N3557">
        <v>2.1000000000000001E-2</v>
      </c>
    </row>
    <row r="3558" spans="1:14" x14ac:dyDescent="0.25">
      <c r="A3558" t="s">
        <v>6516</v>
      </c>
      <c r="B3558" t="s">
        <v>6517</v>
      </c>
      <c r="C3558" s="1" t="str">
        <f>HYPERLINK("http://www.genecards.org/cgi-bin/carddisp.pl?gene=NADK","GeneCards")</f>
        <v>GeneCards</v>
      </c>
      <c r="D3558" s="1" t="str">
        <f>HYPERLINK("http://genome-euro.ucsc.edu/cgi-bin/hgTracks?position=213613_s_at","UCSC")</f>
        <v>UCSC</v>
      </c>
      <c r="E3558" s="1" t="str">
        <f>HYPERLINK("http://www.ncbi.nlm.nih.gov/gene/?term=NADK","NCBI")</f>
        <v>NCBI</v>
      </c>
      <c r="F3558">
        <v>2.3E-2</v>
      </c>
      <c r="G3558">
        <v>0.11</v>
      </c>
      <c r="H3558" s="1" t="str">
        <f>HYPERLINK("http://www.weizmann.ac.il/complex/compphys/software/geview/data/figures/213613_s_at.png","Figure")</f>
        <v>Figure</v>
      </c>
      <c r="I3558">
        <v>1.31</v>
      </c>
      <c r="J3558">
        <v>1.9E-2</v>
      </c>
      <c r="K3558">
        <v>1.1599999999999999</v>
      </c>
      <c r="L3558">
        <v>0.15</v>
      </c>
      <c r="M3558">
        <v>0.88700000000000001</v>
      </c>
      <c r="N3558">
        <v>0.32</v>
      </c>
    </row>
    <row r="3559" spans="1:14" x14ac:dyDescent="0.25">
      <c r="A3559" t="s">
        <v>6518</v>
      </c>
      <c r="B3559" t="s">
        <v>6519</v>
      </c>
      <c r="C3559" s="1" t="str">
        <f>HYPERLINK("http://www.genecards.org/cgi-bin/carddisp.pl?gene=CACNB2","GeneCards")</f>
        <v>GeneCards</v>
      </c>
      <c r="D3559" s="1" t="str">
        <f>HYPERLINK("http://genome-euro.ucsc.edu/cgi-bin/hgTracks?position=207776_s_at","UCSC")</f>
        <v>UCSC</v>
      </c>
      <c r="E3559" s="1" t="str">
        <f>HYPERLINK("http://www.ncbi.nlm.nih.gov/gene/?term=CACNB2","NCBI")</f>
        <v>NCBI</v>
      </c>
      <c r="F3559">
        <v>2.3E-2</v>
      </c>
      <c r="G3559">
        <v>0.11</v>
      </c>
      <c r="H3559" s="1" t="str">
        <f>HYPERLINK("http://www.weizmann.ac.il/complex/compphys/software/geview/data/figures/207776_s_at.png","Figure")</f>
        <v>Figure</v>
      </c>
      <c r="I3559">
        <v>1.06</v>
      </c>
      <c r="J3559">
        <v>0.69</v>
      </c>
      <c r="K3559">
        <v>0.86599999999999999</v>
      </c>
      <c r="L3559">
        <v>0.1</v>
      </c>
      <c r="M3559">
        <v>0.81399999999999995</v>
      </c>
      <c r="N3559">
        <v>2.7E-2</v>
      </c>
    </row>
    <row r="3560" spans="1:14" x14ac:dyDescent="0.25">
      <c r="A3560" t="s">
        <v>6520</v>
      </c>
      <c r="B3560" t="s">
        <v>6521</v>
      </c>
      <c r="C3560" s="1" t="str">
        <f>HYPERLINK("http://www.genecards.org/cgi-bin/carddisp.pl?gene=SIRT7","GeneCards")</f>
        <v>GeneCards</v>
      </c>
      <c r="D3560" s="1" t="str">
        <f>HYPERLINK("http://genome-euro.ucsc.edu/cgi-bin/hgTracks?position=218797_s_at","UCSC")</f>
        <v>UCSC</v>
      </c>
      <c r="E3560" s="1" t="str">
        <f>HYPERLINK("http://www.ncbi.nlm.nih.gov/gene/?term=SIRT7","NCBI")</f>
        <v>NCBI</v>
      </c>
      <c r="F3560">
        <v>2.3E-2</v>
      </c>
      <c r="G3560">
        <v>0.11</v>
      </c>
      <c r="H3560" s="1" t="str">
        <f>HYPERLINK("http://www.weizmann.ac.il/complex/compphys/software/geview/data/figures/218797_s_at.png","Figure")</f>
        <v>Figure</v>
      </c>
      <c r="I3560">
        <v>1.51</v>
      </c>
      <c r="J3560">
        <v>1.7999999999999999E-2</v>
      </c>
      <c r="K3560">
        <v>1.21</v>
      </c>
      <c r="L3560">
        <v>0.25</v>
      </c>
      <c r="M3560">
        <v>0.80100000000000005</v>
      </c>
      <c r="N3560">
        <v>0.19</v>
      </c>
    </row>
    <row r="3561" spans="1:14" x14ac:dyDescent="0.25">
      <c r="A3561" t="s">
        <v>6522</v>
      </c>
      <c r="B3561" t="s">
        <v>6523</v>
      </c>
      <c r="C3561" s="1" t="str">
        <f>HYPERLINK("http://www.genecards.org/cgi-bin/carddisp.pl?gene=ATP6V0B","GeneCards")</f>
        <v>GeneCards</v>
      </c>
      <c r="D3561" s="1" t="str">
        <f>HYPERLINK("http://genome-euro.ucsc.edu/cgi-bin/hgTracks?position=200078_s_at","UCSC")</f>
        <v>UCSC</v>
      </c>
      <c r="E3561" s="1" t="str">
        <f>HYPERLINK("http://www.ncbi.nlm.nih.gov/gene/?term=ATP6V0B","NCBI")</f>
        <v>NCBI</v>
      </c>
      <c r="F3561">
        <v>2.3E-2</v>
      </c>
      <c r="G3561">
        <v>0.11</v>
      </c>
      <c r="H3561" s="1" t="str">
        <f>HYPERLINK("http://www.weizmann.ac.il/complex/compphys/software/geview/data/figures/200078_s_at.png","Figure")</f>
        <v>Figure</v>
      </c>
      <c r="I3561">
        <v>1.31</v>
      </c>
      <c r="J3561">
        <v>5.6000000000000001E-2</v>
      </c>
      <c r="K3561">
        <v>0.97099999999999997</v>
      </c>
      <c r="L3561">
        <v>0.95</v>
      </c>
      <c r="M3561">
        <v>0.73899999999999999</v>
      </c>
      <c r="N3561">
        <v>2.3E-2</v>
      </c>
    </row>
    <row r="3562" spans="1:14" x14ac:dyDescent="0.25">
      <c r="A3562" t="s">
        <v>6524</v>
      </c>
      <c r="B3562" t="s">
        <v>6525</v>
      </c>
      <c r="C3562" s="1" t="str">
        <f>HYPERLINK("http://www.genecards.org/cgi-bin/carddisp.pl?gene=CHRD","GeneCards")</f>
        <v>GeneCards</v>
      </c>
      <c r="D3562" s="1" t="str">
        <f>HYPERLINK("http://genome-euro.ucsc.edu/cgi-bin/hgTracks?position=221674_s_at","UCSC")</f>
        <v>UCSC</v>
      </c>
      <c r="E3562" s="1" t="str">
        <f>HYPERLINK("http://www.ncbi.nlm.nih.gov/gene/?term=CHRD","NCBI")</f>
        <v>NCBI</v>
      </c>
      <c r="F3562">
        <v>2.3E-2</v>
      </c>
      <c r="G3562">
        <v>0.11</v>
      </c>
      <c r="H3562" s="1" t="str">
        <f>HYPERLINK("http://www.weizmann.ac.il/complex/compphys/software/geview/data/figures/221674_s_at.png","Figure")</f>
        <v>Figure</v>
      </c>
      <c r="I3562">
        <v>1.22</v>
      </c>
      <c r="J3562">
        <v>1.7999999999999999E-2</v>
      </c>
      <c r="K3562">
        <v>1.0900000000000001</v>
      </c>
      <c r="L3562">
        <v>0.3</v>
      </c>
      <c r="M3562">
        <v>0.89200000000000002</v>
      </c>
      <c r="N3562">
        <v>0.16</v>
      </c>
    </row>
    <row r="3563" spans="1:14" x14ac:dyDescent="0.25">
      <c r="A3563" t="s">
        <v>6526</v>
      </c>
      <c r="B3563" t="s">
        <v>6527</v>
      </c>
      <c r="C3563" s="1" t="str">
        <f>HYPERLINK("http://www.genecards.org/cgi-bin/carddisp.pl?gene=C16orf71","GeneCards")</f>
        <v>GeneCards</v>
      </c>
      <c r="D3563" s="1" t="str">
        <f>HYPERLINK("http://genome-euro.ucsc.edu/cgi-bin/hgTracks?position=222089_s_at","UCSC")</f>
        <v>UCSC</v>
      </c>
      <c r="E3563" s="1" t="str">
        <f>HYPERLINK("http://www.ncbi.nlm.nih.gov/gene/?term=C16orf71","NCBI")</f>
        <v>NCBI</v>
      </c>
      <c r="F3563">
        <v>2.3E-2</v>
      </c>
      <c r="G3563">
        <v>0.11</v>
      </c>
      <c r="H3563" s="1" t="str">
        <f>HYPERLINK("http://www.weizmann.ac.il/complex/compphys/software/geview/data/figures/222089_s_at.png","Figure")</f>
        <v>Figure</v>
      </c>
      <c r="I3563">
        <v>1.1299999999999999</v>
      </c>
      <c r="J3563">
        <v>0.12</v>
      </c>
      <c r="K3563">
        <v>1.1599999999999999</v>
      </c>
      <c r="L3563">
        <v>0.02</v>
      </c>
      <c r="M3563">
        <v>1.03</v>
      </c>
      <c r="N3563">
        <v>0.81</v>
      </c>
    </row>
    <row r="3564" spans="1:14" x14ac:dyDescent="0.25">
      <c r="A3564" t="s">
        <v>6528</v>
      </c>
      <c r="B3564" t="s">
        <v>13</v>
      </c>
      <c r="C3564" s="1" t="str">
        <f>HYPERLINK("http://www.genecards.org/cgi-bin/carddisp.pl?gene=SOCS2","GeneCards")</f>
        <v>GeneCards</v>
      </c>
      <c r="D3564" s="1" t="str">
        <f>HYPERLINK("http://genome-euro.ucsc.edu/cgi-bin/hgTracks?position=203372_s_at","UCSC")</f>
        <v>UCSC</v>
      </c>
      <c r="E3564" s="1" t="str">
        <f>HYPERLINK("http://www.ncbi.nlm.nih.gov/gene/?term=SOCS2","NCBI")</f>
        <v>NCBI</v>
      </c>
      <c r="F3564">
        <v>2.3E-2</v>
      </c>
      <c r="G3564">
        <v>0.11</v>
      </c>
      <c r="H3564" s="1" t="str">
        <f>HYPERLINK("http://www.weizmann.ac.il/complex/compphys/software/geview/data/figures/203372_s_at.png","Figure")</f>
        <v>Figure</v>
      </c>
      <c r="I3564">
        <v>0.32200000000000001</v>
      </c>
      <c r="J3564">
        <v>2.5999999999999999E-2</v>
      </c>
      <c r="K3564">
        <v>0.441</v>
      </c>
      <c r="L3564">
        <v>6.7000000000000004E-2</v>
      </c>
      <c r="M3564">
        <v>1.37</v>
      </c>
      <c r="N3564">
        <v>0.65</v>
      </c>
    </row>
    <row r="3565" spans="1:14" x14ac:dyDescent="0.25">
      <c r="A3565" t="s">
        <v>6529</v>
      </c>
      <c r="B3565" t="s">
        <v>6530</v>
      </c>
      <c r="C3565" s="1" t="str">
        <f>HYPERLINK("http://www.genecards.org/cgi-bin/carddisp.pl?gene=CLDN10","GeneCards")</f>
        <v>GeneCards</v>
      </c>
      <c r="D3565" s="1" t="str">
        <f>HYPERLINK("http://genome-euro.ucsc.edu/cgi-bin/hgTracks?position=205328_at","UCSC")</f>
        <v>UCSC</v>
      </c>
      <c r="E3565" s="1" t="str">
        <f>HYPERLINK("http://www.ncbi.nlm.nih.gov/gene/?term=CLDN10","NCBI")</f>
        <v>NCBI</v>
      </c>
      <c r="F3565">
        <v>2.3E-2</v>
      </c>
      <c r="G3565">
        <v>0.11</v>
      </c>
      <c r="H3565" s="1" t="str">
        <f>HYPERLINK("http://www.weizmann.ac.il/complex/compphys/software/geview/data/figures/205328_at.png","Figure")</f>
        <v>Figure</v>
      </c>
      <c r="I3565">
        <v>1.0900000000000001</v>
      </c>
      <c r="J3565">
        <v>0.51</v>
      </c>
      <c r="K3565">
        <v>0.876</v>
      </c>
      <c r="L3565">
        <v>0.15</v>
      </c>
      <c r="M3565">
        <v>0.80400000000000005</v>
      </c>
      <c r="N3565">
        <v>2.1999999999999999E-2</v>
      </c>
    </row>
    <row r="3566" spans="1:14" x14ac:dyDescent="0.25">
      <c r="A3566" t="s">
        <v>6531</v>
      </c>
      <c r="B3566" t="s">
        <v>6532</v>
      </c>
      <c r="C3566" s="1" t="str">
        <f>HYPERLINK("http://www.genecards.org/cgi-bin/carddisp.pl?gene=SOS2","GeneCards")</f>
        <v>GeneCards</v>
      </c>
      <c r="D3566" s="1" t="str">
        <f>HYPERLINK("http://genome-euro.ucsc.edu/cgi-bin/hgTracks?position=212870_at","UCSC")</f>
        <v>UCSC</v>
      </c>
      <c r="E3566" s="1" t="str">
        <f>HYPERLINK("http://www.ncbi.nlm.nih.gov/gene/?term=SOS2","NCBI")</f>
        <v>NCBI</v>
      </c>
      <c r="F3566">
        <v>2.3E-2</v>
      </c>
      <c r="G3566">
        <v>0.11</v>
      </c>
      <c r="H3566" s="1" t="str">
        <f>HYPERLINK("http://www.weizmann.ac.il/complex/compphys/software/geview/data/figures/212870_at.png","Figure")</f>
        <v>Figure</v>
      </c>
      <c r="I3566">
        <v>0.44500000000000001</v>
      </c>
      <c r="J3566">
        <v>0.02</v>
      </c>
      <c r="K3566">
        <v>0.61699999999999999</v>
      </c>
      <c r="L3566">
        <v>0.12</v>
      </c>
      <c r="M3566">
        <v>1.38</v>
      </c>
      <c r="N3566">
        <v>0.4</v>
      </c>
    </row>
    <row r="3567" spans="1:14" x14ac:dyDescent="0.25">
      <c r="A3567" t="s">
        <v>6533</v>
      </c>
      <c r="B3567" t="s">
        <v>6534</v>
      </c>
      <c r="C3567" s="1" t="str">
        <f>HYPERLINK("http://www.genecards.org/cgi-bin/carddisp.pl?gene=EGLN2","GeneCards")</f>
        <v>GeneCards</v>
      </c>
      <c r="D3567" s="1" t="str">
        <f>HYPERLINK("http://genome-euro.ucsc.edu/cgi-bin/hgTracks?position=220956_s_at","UCSC")</f>
        <v>UCSC</v>
      </c>
      <c r="E3567" s="1" t="str">
        <f>HYPERLINK("http://www.ncbi.nlm.nih.gov/gene/?term=EGLN2","NCBI")</f>
        <v>NCBI</v>
      </c>
      <c r="F3567">
        <v>2.3E-2</v>
      </c>
      <c r="G3567">
        <v>0.11</v>
      </c>
      <c r="H3567" s="1" t="str">
        <f>HYPERLINK("http://www.weizmann.ac.il/complex/compphys/software/geview/data/figures/220956_s_at.png","Figure")</f>
        <v>Figure</v>
      </c>
      <c r="I3567">
        <v>1.3</v>
      </c>
      <c r="J3567">
        <v>1.9E-2</v>
      </c>
      <c r="K3567">
        <v>1.1599999999999999</v>
      </c>
      <c r="L3567">
        <v>0.14000000000000001</v>
      </c>
      <c r="M3567">
        <v>0.89100000000000001</v>
      </c>
      <c r="N3567">
        <v>0.33</v>
      </c>
    </row>
    <row r="3568" spans="1:14" x14ac:dyDescent="0.25">
      <c r="A3568" t="s">
        <v>6535</v>
      </c>
      <c r="B3568" t="s">
        <v>6536</v>
      </c>
      <c r="C3568" s="1" t="str">
        <f>HYPERLINK("http://www.genecards.org/cgi-bin/carddisp.pl?gene=GGH","GeneCards")</f>
        <v>GeneCards</v>
      </c>
      <c r="D3568" s="1" t="str">
        <f>HYPERLINK("http://genome-euro.ucsc.edu/cgi-bin/hgTracks?position=203560_at","UCSC")</f>
        <v>UCSC</v>
      </c>
      <c r="E3568" s="1" t="str">
        <f>HYPERLINK("http://www.ncbi.nlm.nih.gov/gene/?term=GGH","NCBI")</f>
        <v>NCBI</v>
      </c>
      <c r="F3568">
        <v>2.3E-2</v>
      </c>
      <c r="G3568">
        <v>0.11</v>
      </c>
      <c r="H3568" s="1" t="str">
        <f>HYPERLINK("http://www.weizmann.ac.il/complex/compphys/software/geview/data/figures/203560_at.png","Figure")</f>
        <v>Figure</v>
      </c>
      <c r="I3568">
        <v>0.58299999999999996</v>
      </c>
      <c r="J3568">
        <v>0.12</v>
      </c>
      <c r="K3568">
        <v>1.22</v>
      </c>
      <c r="L3568">
        <v>0.64</v>
      </c>
      <c r="M3568">
        <v>2.1</v>
      </c>
      <c r="N3568">
        <v>1.9E-2</v>
      </c>
    </row>
    <row r="3569" spans="1:14" x14ac:dyDescent="0.25">
      <c r="A3569" t="s">
        <v>6537</v>
      </c>
      <c r="B3569" t="s">
        <v>6538</v>
      </c>
      <c r="C3569" s="1" t="str">
        <f>HYPERLINK("http://www.genecards.org/cgi-bin/carddisp.pl?gene=SMARCC2","GeneCards")</f>
        <v>GeneCards</v>
      </c>
      <c r="D3569" s="1" t="str">
        <f>HYPERLINK("http://genome-euro.ucsc.edu/cgi-bin/hgTracks?position=201320_at","UCSC")</f>
        <v>UCSC</v>
      </c>
      <c r="E3569" s="1" t="str">
        <f>HYPERLINK("http://www.ncbi.nlm.nih.gov/gene/?term=SMARCC2","NCBI")</f>
        <v>NCBI</v>
      </c>
      <c r="F3569">
        <v>2.3E-2</v>
      </c>
      <c r="G3569">
        <v>0.11</v>
      </c>
      <c r="H3569" s="1" t="str">
        <f>HYPERLINK("http://www.weizmann.ac.il/complex/compphys/software/geview/data/figures/201320_at.png","Figure")</f>
        <v>Figure</v>
      </c>
      <c r="I3569">
        <v>1.35</v>
      </c>
      <c r="J3569">
        <v>3.2000000000000001E-2</v>
      </c>
      <c r="K3569">
        <v>1.27</v>
      </c>
      <c r="L3569">
        <v>4.9000000000000002E-2</v>
      </c>
      <c r="M3569">
        <v>0.94199999999999995</v>
      </c>
      <c r="N3569">
        <v>0.81</v>
      </c>
    </row>
    <row r="3570" spans="1:14" x14ac:dyDescent="0.25">
      <c r="A3570" t="s">
        <v>6539</v>
      </c>
      <c r="B3570" t="s">
        <v>6540</v>
      </c>
      <c r="C3570" s="1" t="str">
        <f>HYPERLINK("http://www.genecards.org/cgi-bin/carddisp.pl?gene=VPS13C","GeneCards")</f>
        <v>GeneCards</v>
      </c>
      <c r="D3570" s="1" t="str">
        <f>HYPERLINK("http://genome-euro.ucsc.edu/cgi-bin/hgTracks?position=220517_at","UCSC")</f>
        <v>UCSC</v>
      </c>
      <c r="E3570" s="1" t="str">
        <f>HYPERLINK("http://www.ncbi.nlm.nih.gov/gene/?term=VPS13C","NCBI")</f>
        <v>NCBI</v>
      </c>
      <c r="F3570">
        <v>2.3E-2</v>
      </c>
      <c r="G3570">
        <v>0.11</v>
      </c>
      <c r="H3570" s="1" t="str">
        <f>HYPERLINK("http://www.weizmann.ac.il/complex/compphys/software/geview/data/figures/220517_at.png","Figure")</f>
        <v>Figure</v>
      </c>
      <c r="I3570">
        <v>0.97399999999999998</v>
      </c>
      <c r="J3570">
        <v>0.96</v>
      </c>
      <c r="K3570">
        <v>0.78200000000000003</v>
      </c>
      <c r="L3570">
        <v>3.2000000000000001E-2</v>
      </c>
      <c r="M3570">
        <v>0.80300000000000005</v>
      </c>
      <c r="N3570">
        <v>7.6999999999999999E-2</v>
      </c>
    </row>
    <row r="3571" spans="1:14" x14ac:dyDescent="0.25">
      <c r="A3571" t="s">
        <v>6541</v>
      </c>
      <c r="B3571" t="s">
        <v>6542</v>
      </c>
      <c r="C3571" s="1" t="str">
        <f>HYPERLINK("http://www.genecards.org/cgi-bin/carddisp.pl?gene=CDC42BPA","GeneCards")</f>
        <v>GeneCards</v>
      </c>
      <c r="D3571" s="1" t="str">
        <f>HYPERLINK("http://genome-euro.ucsc.edu/cgi-bin/hgTracks?position=203794_at","UCSC")</f>
        <v>UCSC</v>
      </c>
      <c r="E3571" s="1" t="str">
        <f>HYPERLINK("http://www.ncbi.nlm.nih.gov/gene/?term=CDC42BPA","NCBI")</f>
        <v>NCBI</v>
      </c>
      <c r="F3571">
        <v>2.3E-2</v>
      </c>
      <c r="G3571">
        <v>0.11</v>
      </c>
      <c r="H3571" s="1" t="str">
        <f>HYPERLINK("http://www.weizmann.ac.il/complex/compphys/software/geview/data/figures/203794_at.png","Figure")</f>
        <v>Figure</v>
      </c>
      <c r="I3571">
        <v>1.54</v>
      </c>
      <c r="J3571">
        <v>2.1999999999999999E-2</v>
      </c>
      <c r="K3571">
        <v>1.32</v>
      </c>
      <c r="L3571">
        <v>9.1999999999999998E-2</v>
      </c>
      <c r="M3571">
        <v>0.86099999999999999</v>
      </c>
      <c r="N3571">
        <v>0.5</v>
      </c>
    </row>
    <row r="3572" spans="1:14" x14ac:dyDescent="0.25">
      <c r="A3572" t="s">
        <v>6543</v>
      </c>
      <c r="B3572" t="s">
        <v>6544</v>
      </c>
      <c r="C3572" s="1" t="str">
        <f>HYPERLINK("http://www.genecards.org/cgi-bin/carddisp.pl?gene=SELPLG","GeneCards")</f>
        <v>GeneCards</v>
      </c>
      <c r="D3572" s="1" t="str">
        <f>HYPERLINK("http://genome-euro.ucsc.edu/cgi-bin/hgTracks?position=209880_s_at","UCSC")</f>
        <v>UCSC</v>
      </c>
      <c r="E3572" s="1" t="str">
        <f>HYPERLINK("http://www.ncbi.nlm.nih.gov/gene/?term=SELPLG","NCBI")</f>
        <v>NCBI</v>
      </c>
      <c r="F3572">
        <v>2.3E-2</v>
      </c>
      <c r="G3572">
        <v>0.11</v>
      </c>
      <c r="H3572" s="1" t="str">
        <f>HYPERLINK("http://www.weizmann.ac.il/complex/compphys/software/geview/data/figures/209880_s_at.png","Figure")</f>
        <v>Figure</v>
      </c>
      <c r="I3572">
        <v>1.47</v>
      </c>
      <c r="J3572">
        <v>2.3E-2</v>
      </c>
      <c r="K3572">
        <v>1.3</v>
      </c>
      <c r="L3572">
        <v>8.4000000000000005E-2</v>
      </c>
      <c r="M3572">
        <v>0.88</v>
      </c>
      <c r="N3572">
        <v>0.54</v>
      </c>
    </row>
    <row r="3573" spans="1:14" x14ac:dyDescent="0.25">
      <c r="A3573" t="s">
        <v>6545</v>
      </c>
      <c r="B3573" t="s">
        <v>6546</v>
      </c>
      <c r="C3573" s="1" t="str">
        <f>HYPERLINK("http://www.genecards.org/cgi-bin/carddisp.pl?gene=NR0B2","GeneCards")</f>
        <v>GeneCards</v>
      </c>
      <c r="D3573" s="1" t="str">
        <f>HYPERLINK("http://genome-euro.ucsc.edu/cgi-bin/hgTracks?position=206410_at","UCSC")</f>
        <v>UCSC</v>
      </c>
      <c r="E3573" s="1" t="str">
        <f>HYPERLINK("http://www.ncbi.nlm.nih.gov/gene/?term=NR0B2","NCBI")</f>
        <v>NCBI</v>
      </c>
      <c r="F3573">
        <v>2.3E-2</v>
      </c>
      <c r="G3573">
        <v>0.11</v>
      </c>
      <c r="H3573" s="1" t="str">
        <f>HYPERLINK("http://www.weizmann.ac.il/complex/compphys/software/geview/data/figures/206410_at.png","Figure")</f>
        <v>Figure</v>
      </c>
      <c r="I3573">
        <v>1.29</v>
      </c>
      <c r="J3573">
        <v>2.7E-2</v>
      </c>
      <c r="K3573">
        <v>1.04</v>
      </c>
      <c r="L3573">
        <v>0.85</v>
      </c>
      <c r="M3573">
        <v>0.80800000000000005</v>
      </c>
      <c r="N3573">
        <v>4.5999999999999999E-2</v>
      </c>
    </row>
    <row r="3574" spans="1:14" x14ac:dyDescent="0.25">
      <c r="A3574" t="s">
        <v>6547</v>
      </c>
      <c r="B3574" t="s">
        <v>3666</v>
      </c>
      <c r="C3574" s="1" t="str">
        <f>HYPERLINK("http://www.genecards.org/cgi-bin/carddisp.pl?gene=ATP5S","GeneCards")</f>
        <v>GeneCards</v>
      </c>
      <c r="D3574" s="1" t="str">
        <f>HYPERLINK("http://genome-euro.ucsc.edu/cgi-bin/hgTracks?position=206993_at","UCSC")</f>
        <v>UCSC</v>
      </c>
      <c r="E3574" s="1" t="str">
        <f>HYPERLINK("http://www.ncbi.nlm.nih.gov/gene/?term=ATP5S","NCBI")</f>
        <v>NCBI</v>
      </c>
      <c r="F3574">
        <v>2.3E-2</v>
      </c>
      <c r="G3574">
        <v>0.11</v>
      </c>
      <c r="H3574" s="1" t="str">
        <f>HYPERLINK("http://www.weizmann.ac.il/complex/compphys/software/geview/data/figures/206993_at.png","Figure")</f>
        <v>Figure</v>
      </c>
      <c r="I3574">
        <v>0.74299999999999999</v>
      </c>
      <c r="J3574">
        <v>4.9000000000000002E-2</v>
      </c>
      <c r="K3574">
        <v>1.02</v>
      </c>
      <c r="L3574">
        <v>0.98</v>
      </c>
      <c r="M3574">
        <v>1.37</v>
      </c>
      <c r="N3574">
        <v>2.5000000000000001E-2</v>
      </c>
    </row>
    <row r="3575" spans="1:14" x14ac:dyDescent="0.25">
      <c r="A3575" t="s">
        <v>6548</v>
      </c>
      <c r="B3575" t="s">
        <v>6549</v>
      </c>
      <c r="C3575" s="1" t="str">
        <f>HYPERLINK("http://www.genecards.org/cgi-bin/carddisp.pl?gene=POLR2F","GeneCards")</f>
        <v>GeneCards</v>
      </c>
      <c r="D3575" s="1" t="str">
        <f>HYPERLINK("http://genome-euro.ucsc.edu/cgi-bin/hgTracks?position=209511_at","UCSC")</f>
        <v>UCSC</v>
      </c>
      <c r="E3575" s="1" t="str">
        <f>HYPERLINK("http://www.ncbi.nlm.nih.gov/gene/?term=POLR2F","NCBI")</f>
        <v>NCBI</v>
      </c>
      <c r="F3575">
        <v>2.3E-2</v>
      </c>
      <c r="G3575">
        <v>0.11</v>
      </c>
      <c r="H3575" s="1" t="str">
        <f>HYPERLINK("http://www.weizmann.ac.il/complex/compphys/software/geview/data/figures/209511_at.png","Figure")</f>
        <v>Figure</v>
      </c>
      <c r="I3575">
        <v>0.98599999999999999</v>
      </c>
      <c r="J3575">
        <v>0.99</v>
      </c>
      <c r="K3575">
        <v>1.42</v>
      </c>
      <c r="L3575">
        <v>4.4999999999999998E-2</v>
      </c>
      <c r="M3575">
        <v>1.44</v>
      </c>
      <c r="N3575">
        <v>5.0999999999999997E-2</v>
      </c>
    </row>
    <row r="3576" spans="1:14" x14ac:dyDescent="0.25">
      <c r="A3576" t="s">
        <v>6550</v>
      </c>
      <c r="B3576" t="s">
        <v>1667</v>
      </c>
      <c r="C3576" s="1" t="str">
        <f>HYPERLINK("http://www.genecards.org/cgi-bin/carddisp.pl?gene=PWP1","GeneCards")</f>
        <v>GeneCards</v>
      </c>
      <c r="D3576" s="1" t="str">
        <f>HYPERLINK("http://genome-euro.ucsc.edu/cgi-bin/hgTracks?position=201606_s_at","UCSC")</f>
        <v>UCSC</v>
      </c>
      <c r="E3576" s="1" t="str">
        <f>HYPERLINK("http://www.ncbi.nlm.nih.gov/gene/?term=PWP1","NCBI")</f>
        <v>NCBI</v>
      </c>
      <c r="F3576">
        <v>2.3E-2</v>
      </c>
      <c r="G3576">
        <v>0.11</v>
      </c>
      <c r="H3576" s="1" t="str">
        <f>HYPERLINK("http://www.weizmann.ac.il/complex/compphys/software/geview/data/figures/201606_s_at.png","Figure")</f>
        <v>Figure</v>
      </c>
      <c r="I3576">
        <v>1.35</v>
      </c>
      <c r="J3576">
        <v>7.5999999999999998E-2</v>
      </c>
      <c r="K3576">
        <v>0.93799999999999994</v>
      </c>
      <c r="L3576">
        <v>0.83</v>
      </c>
      <c r="M3576">
        <v>0.69499999999999995</v>
      </c>
      <c r="N3576">
        <v>2.1000000000000001E-2</v>
      </c>
    </row>
    <row r="3577" spans="1:14" x14ac:dyDescent="0.25">
      <c r="A3577" t="s">
        <v>6551</v>
      </c>
      <c r="B3577" t="s">
        <v>2958</v>
      </c>
      <c r="C3577" s="1" t="str">
        <f>HYPERLINK("http://www.genecards.org/cgi-bin/carddisp.pl?gene=FGFR2","GeneCards")</f>
        <v>GeneCards</v>
      </c>
      <c r="D3577" s="1" t="str">
        <f>HYPERLINK("http://genome-euro.ucsc.edu/cgi-bin/hgTracks?position=211398_at","UCSC")</f>
        <v>UCSC</v>
      </c>
      <c r="E3577" s="1" t="str">
        <f>HYPERLINK("http://www.ncbi.nlm.nih.gov/gene/?term=FGFR2","NCBI")</f>
        <v>NCBI</v>
      </c>
      <c r="F3577">
        <v>2.3E-2</v>
      </c>
      <c r="G3577">
        <v>0.11</v>
      </c>
      <c r="H3577" s="1" t="str">
        <f>HYPERLINK("http://www.weizmann.ac.il/complex/compphys/software/geview/data/figures/211398_at.png","Figure")</f>
        <v>Figure</v>
      </c>
      <c r="I3577">
        <v>1.29</v>
      </c>
      <c r="J3577">
        <v>2.5000000000000001E-2</v>
      </c>
      <c r="K3577">
        <v>1.19</v>
      </c>
      <c r="L3577">
        <v>7.3999999999999996E-2</v>
      </c>
      <c r="M3577">
        <v>0.92700000000000005</v>
      </c>
      <c r="N3577">
        <v>0.6</v>
      </c>
    </row>
    <row r="3578" spans="1:14" x14ac:dyDescent="0.25">
      <c r="A3578" t="s">
        <v>6552</v>
      </c>
      <c r="B3578" t="s">
        <v>6553</v>
      </c>
      <c r="C3578" s="1" t="str">
        <f>HYPERLINK("http://www.genecards.org/cgi-bin/carddisp.pl?gene=ESRP2","GeneCards")</f>
        <v>GeneCards</v>
      </c>
      <c r="D3578" s="1" t="str">
        <f>HYPERLINK("http://genome-euro.ucsc.edu/cgi-bin/hgTracks?position=219395_at","UCSC")</f>
        <v>UCSC</v>
      </c>
      <c r="E3578" s="1" t="str">
        <f>HYPERLINK("http://www.ncbi.nlm.nih.gov/gene/?term=ESRP2","NCBI")</f>
        <v>NCBI</v>
      </c>
      <c r="F3578">
        <v>2.3E-2</v>
      </c>
      <c r="G3578">
        <v>0.11</v>
      </c>
      <c r="H3578" s="1" t="str">
        <f>HYPERLINK("http://www.weizmann.ac.il/complex/compphys/software/geview/data/figures/219395_at.png","Figure")</f>
        <v>Figure</v>
      </c>
      <c r="I3578">
        <v>1.25</v>
      </c>
      <c r="J3578">
        <v>2.1999999999999999E-2</v>
      </c>
      <c r="K3578">
        <v>1.1499999999999999</v>
      </c>
      <c r="L3578">
        <v>9.4E-2</v>
      </c>
      <c r="M3578">
        <v>0.92500000000000004</v>
      </c>
      <c r="N3578">
        <v>0.49</v>
      </c>
    </row>
    <row r="3579" spans="1:14" x14ac:dyDescent="0.25">
      <c r="A3579" t="s">
        <v>6554</v>
      </c>
      <c r="B3579" t="s">
        <v>6555</v>
      </c>
      <c r="C3579" s="1" t="str">
        <f>HYPERLINK("http://www.genecards.org/cgi-bin/carddisp.pl?gene=HOXC13","GeneCards")</f>
        <v>GeneCards</v>
      </c>
      <c r="D3579" s="1" t="str">
        <f>HYPERLINK("http://genome-euro.ucsc.edu/cgi-bin/hgTracks?position=219832_s_at","UCSC")</f>
        <v>UCSC</v>
      </c>
      <c r="E3579" s="1" t="str">
        <f>HYPERLINK("http://www.ncbi.nlm.nih.gov/gene/?term=HOXC13","NCBI")</f>
        <v>NCBI</v>
      </c>
      <c r="F3579">
        <v>2.3E-2</v>
      </c>
      <c r="G3579">
        <v>0.11</v>
      </c>
      <c r="H3579" s="1" t="str">
        <f>HYPERLINK("http://www.weizmann.ac.il/complex/compphys/software/geview/data/figures/219832_s_at.png","Figure")</f>
        <v>Figure</v>
      </c>
      <c r="I3579">
        <v>1.32</v>
      </c>
      <c r="J3579">
        <v>1.7999999999999999E-2</v>
      </c>
      <c r="K3579">
        <v>1.1299999999999999</v>
      </c>
      <c r="L3579">
        <v>0.28999999999999998</v>
      </c>
      <c r="M3579">
        <v>0.85199999999999998</v>
      </c>
      <c r="N3579">
        <v>0.16</v>
      </c>
    </row>
    <row r="3580" spans="1:14" x14ac:dyDescent="0.25">
      <c r="A3580" t="s">
        <v>6556</v>
      </c>
      <c r="B3580" t="s">
        <v>4605</v>
      </c>
      <c r="C3580" s="1" t="str">
        <f>HYPERLINK("http://www.genecards.org/cgi-bin/carddisp.pl?gene=PPP1R16B","GeneCards")</f>
        <v>GeneCards</v>
      </c>
      <c r="D3580" s="1" t="str">
        <f>HYPERLINK("http://genome-euro.ucsc.edu/cgi-bin/hgTracks?position=41577_at","UCSC")</f>
        <v>UCSC</v>
      </c>
      <c r="E3580" s="1" t="str">
        <f>HYPERLINK("http://www.ncbi.nlm.nih.gov/gene/?term=PPP1R16B","NCBI")</f>
        <v>NCBI</v>
      </c>
      <c r="F3580">
        <v>2.3E-2</v>
      </c>
      <c r="G3580">
        <v>0.11</v>
      </c>
      <c r="H3580" s="1" t="str">
        <f>HYPERLINK("http://www.weizmann.ac.il/complex/compphys/software/geview/data/figures/41577_at.png","Figure")</f>
        <v>Figure</v>
      </c>
      <c r="I3580">
        <v>1.27</v>
      </c>
      <c r="J3580">
        <v>0.87</v>
      </c>
      <c r="K3580">
        <v>0.36</v>
      </c>
      <c r="L3580">
        <v>6.9000000000000006E-2</v>
      </c>
      <c r="M3580">
        <v>0.28399999999999997</v>
      </c>
      <c r="N3580">
        <v>3.5000000000000003E-2</v>
      </c>
    </row>
    <row r="3581" spans="1:14" x14ac:dyDescent="0.25">
      <c r="A3581" t="s">
        <v>6557</v>
      </c>
      <c r="B3581" t="s">
        <v>3668</v>
      </c>
      <c r="C3581" s="1" t="str">
        <f>HYPERLINK("http://www.genecards.org/cgi-bin/carddisp.pl?gene=VPS33B","GeneCards")</f>
        <v>GeneCards</v>
      </c>
      <c r="D3581" s="1" t="str">
        <f>HYPERLINK("http://genome-euro.ucsc.edu/cgi-bin/hgTracks?position=44111_at","UCSC")</f>
        <v>UCSC</v>
      </c>
      <c r="E3581" s="1" t="str">
        <f>HYPERLINK("http://www.ncbi.nlm.nih.gov/gene/?term=VPS33B","NCBI")</f>
        <v>NCBI</v>
      </c>
      <c r="F3581">
        <v>2.3E-2</v>
      </c>
      <c r="G3581">
        <v>0.11</v>
      </c>
      <c r="H3581" s="1" t="str">
        <f>HYPERLINK("http://www.weizmann.ac.il/complex/compphys/software/geview/data/figures/44111_at.png","Figure")</f>
        <v>Figure</v>
      </c>
      <c r="I3581">
        <v>0.89400000000000002</v>
      </c>
      <c r="J3581">
        <v>0.84</v>
      </c>
      <c r="K3581">
        <v>0.59899999999999998</v>
      </c>
      <c r="L3581">
        <v>2.5999999999999999E-2</v>
      </c>
      <c r="M3581">
        <v>0.67</v>
      </c>
      <c r="N3581">
        <v>0.11</v>
      </c>
    </row>
    <row r="3582" spans="1:14" x14ac:dyDescent="0.25">
      <c r="A3582" t="s">
        <v>6558</v>
      </c>
      <c r="B3582" t="s">
        <v>6559</v>
      </c>
      <c r="C3582" s="1" t="str">
        <f>HYPERLINK("http://www.genecards.org/cgi-bin/carddisp.pl?gene=TRAM2","GeneCards")</f>
        <v>GeneCards</v>
      </c>
      <c r="D3582" s="1" t="str">
        <f>HYPERLINK("http://genome-euro.ucsc.edu/cgi-bin/hgTracks?position=202368_s_at","UCSC")</f>
        <v>UCSC</v>
      </c>
      <c r="E3582" s="1" t="str">
        <f>HYPERLINK("http://www.ncbi.nlm.nih.gov/gene/?term=TRAM2","NCBI")</f>
        <v>NCBI</v>
      </c>
      <c r="F3582">
        <v>2.3E-2</v>
      </c>
      <c r="G3582">
        <v>0.11</v>
      </c>
      <c r="H3582" s="1" t="str">
        <f>HYPERLINK("http://www.weizmann.ac.il/complex/compphys/software/geview/data/figures/202368_s_at.png","Figure")</f>
        <v>Figure</v>
      </c>
      <c r="I3582">
        <v>0.878</v>
      </c>
      <c r="J3582">
        <v>0.68</v>
      </c>
      <c r="K3582">
        <v>1.35</v>
      </c>
      <c r="L3582">
        <v>0.11</v>
      </c>
      <c r="M3582">
        <v>1.54</v>
      </c>
      <c r="N3582">
        <v>2.7E-2</v>
      </c>
    </row>
    <row r="3583" spans="1:14" x14ac:dyDescent="0.25">
      <c r="A3583" t="s">
        <v>6560</v>
      </c>
      <c r="B3583" t="s">
        <v>6561</v>
      </c>
      <c r="C3583" s="1" t="str">
        <f>HYPERLINK("http://www.genecards.org/cgi-bin/carddisp.pl?gene=CDH15","GeneCards")</f>
        <v>GeneCards</v>
      </c>
      <c r="D3583" s="1" t="str">
        <f>HYPERLINK("http://genome-euro.ucsc.edu/cgi-bin/hgTracks?position=206327_s_at","UCSC")</f>
        <v>UCSC</v>
      </c>
      <c r="E3583" s="1" t="str">
        <f>HYPERLINK("http://www.ncbi.nlm.nih.gov/gene/?term=CDH15","NCBI")</f>
        <v>NCBI</v>
      </c>
      <c r="F3583">
        <v>2.3E-2</v>
      </c>
      <c r="G3583">
        <v>0.11</v>
      </c>
      <c r="H3583" s="1" t="str">
        <f>HYPERLINK("http://www.weizmann.ac.il/complex/compphys/software/geview/data/figures/206327_s_at.png","Figure")</f>
        <v>Figure</v>
      </c>
      <c r="I3583">
        <v>1.26</v>
      </c>
      <c r="J3583">
        <v>2.7E-2</v>
      </c>
      <c r="K3583">
        <v>1.18</v>
      </c>
      <c r="L3583">
        <v>6.5000000000000002E-2</v>
      </c>
      <c r="M3583">
        <v>0.94</v>
      </c>
      <c r="N3583">
        <v>0.67</v>
      </c>
    </row>
    <row r="3584" spans="1:14" x14ac:dyDescent="0.25">
      <c r="A3584" t="s">
        <v>6562</v>
      </c>
      <c r="B3584" t="s">
        <v>6563</v>
      </c>
      <c r="C3584" s="1" t="str">
        <f>HYPERLINK("http://www.genecards.org/cgi-bin/carddisp.pl?gene=HSPH1","GeneCards")</f>
        <v>GeneCards</v>
      </c>
      <c r="D3584" s="1" t="str">
        <f>HYPERLINK("http://genome-euro.ucsc.edu/cgi-bin/hgTracks?position=208744_x_at","UCSC")</f>
        <v>UCSC</v>
      </c>
      <c r="E3584" s="1" t="str">
        <f>HYPERLINK("http://www.ncbi.nlm.nih.gov/gene/?term=HSPH1","NCBI")</f>
        <v>NCBI</v>
      </c>
      <c r="F3584">
        <v>2.3E-2</v>
      </c>
      <c r="G3584">
        <v>0.11</v>
      </c>
      <c r="H3584" s="1" t="str">
        <f>HYPERLINK("http://www.weizmann.ac.il/complex/compphys/software/geview/data/figures/208744_x_at.png","Figure")</f>
        <v>Figure</v>
      </c>
      <c r="I3584">
        <v>1.64</v>
      </c>
      <c r="J3584">
        <v>2.5999999999999999E-2</v>
      </c>
      <c r="K3584">
        <v>1.42</v>
      </c>
      <c r="L3584">
        <v>7.0000000000000007E-2</v>
      </c>
      <c r="M3584">
        <v>0.86699999999999999</v>
      </c>
      <c r="N3584">
        <v>0.63</v>
      </c>
    </row>
    <row r="3585" spans="1:14" x14ac:dyDescent="0.25">
      <c r="A3585" t="s">
        <v>6564</v>
      </c>
      <c r="B3585" t="s">
        <v>6565</v>
      </c>
      <c r="C3585" s="1" t="str">
        <f>HYPERLINK("http://www.genecards.org/cgi-bin/carddisp.pl?gene=RGS16","GeneCards")</f>
        <v>GeneCards</v>
      </c>
      <c r="D3585" s="1" t="str">
        <f>HYPERLINK("http://genome-euro.ucsc.edu/cgi-bin/hgTracks?position=209324_s_at","UCSC")</f>
        <v>UCSC</v>
      </c>
      <c r="E3585" s="1" t="str">
        <f>HYPERLINK("http://www.ncbi.nlm.nih.gov/gene/?term=RGS16","NCBI")</f>
        <v>NCBI</v>
      </c>
      <c r="F3585">
        <v>2.3E-2</v>
      </c>
      <c r="G3585">
        <v>0.11</v>
      </c>
      <c r="H3585" s="1" t="str">
        <f>HYPERLINK("http://www.weizmann.ac.il/complex/compphys/software/geview/data/figures/209324_s_at.png","Figure")</f>
        <v>Figure</v>
      </c>
      <c r="I3585">
        <v>0.98199999999999998</v>
      </c>
      <c r="J3585">
        <v>0.99</v>
      </c>
      <c r="K3585">
        <v>1.48</v>
      </c>
      <c r="L3585">
        <v>4.5999999999999999E-2</v>
      </c>
      <c r="M3585">
        <v>1.51</v>
      </c>
      <c r="N3585">
        <v>5.0999999999999997E-2</v>
      </c>
    </row>
    <row r="3586" spans="1:14" x14ac:dyDescent="0.25">
      <c r="A3586" t="s">
        <v>6566</v>
      </c>
      <c r="B3586" t="s">
        <v>6567</v>
      </c>
      <c r="C3586" s="1" t="str">
        <f>HYPERLINK("http://www.genecards.org/cgi-bin/carddisp.pl?gene=SLC17A7","GeneCards")</f>
        <v>GeneCards</v>
      </c>
      <c r="D3586" s="1" t="str">
        <f>HYPERLINK("http://genome-euro.ucsc.edu/cgi-bin/hgTracks?position=204229_at","UCSC")</f>
        <v>UCSC</v>
      </c>
      <c r="E3586" s="1" t="str">
        <f>HYPERLINK("http://www.ncbi.nlm.nih.gov/gene/?term=SLC17A7","NCBI")</f>
        <v>NCBI</v>
      </c>
      <c r="F3586">
        <v>2.3E-2</v>
      </c>
      <c r="G3586">
        <v>0.11</v>
      </c>
      <c r="H3586" s="1" t="str">
        <f>HYPERLINK("http://www.weizmann.ac.il/complex/compphys/software/geview/data/figures/204229_at.png","Figure")</f>
        <v>Figure</v>
      </c>
      <c r="I3586">
        <v>1.19</v>
      </c>
      <c r="J3586">
        <v>0.17</v>
      </c>
      <c r="K3586">
        <v>0.91300000000000003</v>
      </c>
      <c r="L3586">
        <v>0.48</v>
      </c>
      <c r="M3586">
        <v>0.77</v>
      </c>
      <c r="N3586">
        <v>1.7999999999999999E-2</v>
      </c>
    </row>
    <row r="3587" spans="1:14" x14ac:dyDescent="0.25">
      <c r="A3587" t="s">
        <v>6568</v>
      </c>
      <c r="B3587" t="s">
        <v>3649</v>
      </c>
      <c r="C3587" s="1" t="str">
        <f>HYPERLINK("http://www.genecards.org/cgi-bin/carddisp.pl?gene=CD2BP2","GeneCards")</f>
        <v>GeneCards</v>
      </c>
      <c r="D3587" s="1" t="str">
        <f>HYPERLINK("http://genome-euro.ucsc.edu/cgi-bin/hgTracks?position=202257_s_at","UCSC")</f>
        <v>UCSC</v>
      </c>
      <c r="E3587" s="1" t="str">
        <f>HYPERLINK("http://www.ncbi.nlm.nih.gov/gene/?term=CD2BP2","NCBI")</f>
        <v>NCBI</v>
      </c>
      <c r="F3587">
        <v>2.3E-2</v>
      </c>
      <c r="G3587">
        <v>0.11</v>
      </c>
      <c r="H3587" s="1" t="str">
        <f>HYPERLINK("http://www.weizmann.ac.il/complex/compphys/software/geview/data/figures/202257_s_at.png","Figure")</f>
        <v>Figure</v>
      </c>
      <c r="I3587">
        <v>1.56</v>
      </c>
      <c r="J3587">
        <v>1.9E-2</v>
      </c>
      <c r="K3587">
        <v>1.28</v>
      </c>
      <c r="L3587">
        <v>0.15</v>
      </c>
      <c r="M3587">
        <v>0.82199999999999995</v>
      </c>
      <c r="N3587">
        <v>0.32</v>
      </c>
    </row>
    <row r="3588" spans="1:14" x14ac:dyDescent="0.25">
      <c r="A3588" t="s">
        <v>6569</v>
      </c>
      <c r="B3588" t="s">
        <v>6570</v>
      </c>
      <c r="C3588" s="1" t="str">
        <f>HYPERLINK("http://www.genecards.org/cgi-bin/carddisp.pl?gene=DDX11","GeneCards")</f>
        <v>GeneCards</v>
      </c>
      <c r="D3588" s="1" t="str">
        <f>HYPERLINK("http://genome-euro.ucsc.edu/cgi-bin/hgTracks?position=208159_x_at","UCSC")</f>
        <v>UCSC</v>
      </c>
      <c r="E3588" s="1" t="str">
        <f>HYPERLINK("http://www.ncbi.nlm.nih.gov/gene/?term=DDX11","NCBI")</f>
        <v>NCBI</v>
      </c>
      <c r="F3588">
        <v>2.3E-2</v>
      </c>
      <c r="G3588">
        <v>0.11</v>
      </c>
      <c r="H3588" s="1" t="str">
        <f>HYPERLINK("http://www.weizmann.ac.il/complex/compphys/software/geview/data/figures/208159_x_at.png","Figure")</f>
        <v>Figure</v>
      </c>
      <c r="I3588">
        <v>1.54</v>
      </c>
      <c r="J3588">
        <v>2.8000000000000001E-2</v>
      </c>
      <c r="K3588">
        <v>1.06</v>
      </c>
      <c r="L3588">
        <v>0.87</v>
      </c>
      <c r="M3588">
        <v>0.69299999999999995</v>
      </c>
      <c r="N3588">
        <v>4.3999999999999997E-2</v>
      </c>
    </row>
    <row r="3589" spans="1:14" x14ac:dyDescent="0.25">
      <c r="A3589" t="s">
        <v>6571</v>
      </c>
      <c r="B3589" t="s">
        <v>6572</v>
      </c>
      <c r="C3589" s="1" t="str">
        <f>HYPERLINK("http://www.genecards.org/cgi-bin/carddisp.pl?gene=TRPA1","GeneCards")</f>
        <v>GeneCards</v>
      </c>
      <c r="D3589" s="1" t="str">
        <f>HYPERLINK("http://genome-euro.ucsc.edu/cgi-bin/hgTracks?position=208349_at","UCSC")</f>
        <v>UCSC</v>
      </c>
      <c r="E3589" s="1" t="str">
        <f>HYPERLINK("http://www.ncbi.nlm.nih.gov/gene/?term=TRPA1","NCBI")</f>
        <v>NCBI</v>
      </c>
      <c r="F3589">
        <v>2.3E-2</v>
      </c>
      <c r="G3589">
        <v>0.11</v>
      </c>
      <c r="H3589" s="1" t="str">
        <f>HYPERLINK("http://www.weizmann.ac.il/complex/compphys/software/geview/data/figures/208349_at.png","Figure")</f>
        <v>Figure</v>
      </c>
      <c r="I3589">
        <v>1.1100000000000001</v>
      </c>
      <c r="J3589">
        <v>0.12</v>
      </c>
      <c r="K3589">
        <v>0.96</v>
      </c>
      <c r="L3589">
        <v>0.63</v>
      </c>
      <c r="M3589">
        <v>0.86099999999999999</v>
      </c>
      <c r="N3589">
        <v>1.9E-2</v>
      </c>
    </row>
    <row r="3590" spans="1:14" x14ac:dyDescent="0.25">
      <c r="A3590" t="s">
        <v>6573</v>
      </c>
      <c r="B3590" t="s">
        <v>6574</v>
      </c>
      <c r="C3590" s="1" t="str">
        <f>HYPERLINK("http://www.genecards.org/cgi-bin/carddisp.pl?gene=NIPAL3","GeneCards")</f>
        <v>GeneCards</v>
      </c>
      <c r="D3590" s="1" t="str">
        <f>HYPERLINK("http://genome-euro.ucsc.edu/cgi-bin/hgTracks?position=214579_at","UCSC")</f>
        <v>UCSC</v>
      </c>
      <c r="E3590" s="1" t="str">
        <f>HYPERLINK("http://www.ncbi.nlm.nih.gov/gene/?term=NIPAL3","NCBI")</f>
        <v>NCBI</v>
      </c>
      <c r="F3590">
        <v>2.3E-2</v>
      </c>
      <c r="G3590">
        <v>0.11</v>
      </c>
      <c r="H3590" s="1" t="str">
        <f>HYPERLINK("http://www.weizmann.ac.il/complex/compphys/software/geview/data/figures/214579_at.png","Figure")</f>
        <v>Figure</v>
      </c>
      <c r="I3590">
        <v>1.23</v>
      </c>
      <c r="J3590">
        <v>5.3999999999999999E-2</v>
      </c>
      <c r="K3590">
        <v>1.22</v>
      </c>
      <c r="L3590">
        <v>0.03</v>
      </c>
      <c r="M3590">
        <v>0.996</v>
      </c>
      <c r="N3590">
        <v>1</v>
      </c>
    </row>
    <row r="3591" spans="1:14" x14ac:dyDescent="0.25">
      <c r="A3591" t="s">
        <v>6575</v>
      </c>
      <c r="B3591" t="s">
        <v>6386</v>
      </c>
      <c r="C3591" s="1" t="str">
        <f>HYPERLINK("http://www.genecards.org/cgi-bin/carddisp.pl?gene=GSK3A","GeneCards")</f>
        <v>GeneCards</v>
      </c>
      <c r="D3591" s="1" t="str">
        <f>HYPERLINK("http://genome-euro.ucsc.edu/cgi-bin/hgTracks?position=632_at","UCSC")</f>
        <v>UCSC</v>
      </c>
      <c r="E3591" s="1" t="str">
        <f>HYPERLINK("http://www.ncbi.nlm.nih.gov/gene/?term=GSK3A","NCBI")</f>
        <v>NCBI</v>
      </c>
      <c r="F3591">
        <v>2.3E-2</v>
      </c>
      <c r="G3591">
        <v>0.11</v>
      </c>
      <c r="H3591" s="1" t="str">
        <f>HYPERLINK("http://www.weizmann.ac.il/complex/compphys/software/geview/data/figures/632_at.png","Figure")</f>
        <v>Figure</v>
      </c>
      <c r="I3591">
        <v>1.34</v>
      </c>
      <c r="J3591">
        <v>2.3E-2</v>
      </c>
      <c r="K3591">
        <v>1.21</v>
      </c>
      <c r="L3591">
        <v>8.7999999999999995E-2</v>
      </c>
      <c r="M3591">
        <v>0.90500000000000003</v>
      </c>
      <c r="N3591">
        <v>0.52</v>
      </c>
    </row>
    <row r="3592" spans="1:14" x14ac:dyDescent="0.25">
      <c r="A3592" t="s">
        <v>6576</v>
      </c>
      <c r="B3592" t="s">
        <v>6577</v>
      </c>
      <c r="C3592" s="1" t="str">
        <f>HYPERLINK("http://www.genecards.org/cgi-bin/carddisp.pl?gene=PSMB3","GeneCards")</f>
        <v>GeneCards</v>
      </c>
      <c r="D3592" s="1" t="str">
        <f>HYPERLINK("http://genome-euro.ucsc.edu/cgi-bin/hgTracks?position=201400_at","UCSC")</f>
        <v>UCSC</v>
      </c>
      <c r="E3592" s="1" t="str">
        <f>HYPERLINK("http://www.ncbi.nlm.nih.gov/gene/?term=PSMB3","NCBI")</f>
        <v>NCBI</v>
      </c>
      <c r="F3592">
        <v>2.3E-2</v>
      </c>
      <c r="G3592">
        <v>0.11</v>
      </c>
      <c r="H3592" s="1" t="str">
        <f>HYPERLINK("http://www.weizmann.ac.il/complex/compphys/software/geview/data/figures/201400_at.png","Figure")</f>
        <v>Figure</v>
      </c>
      <c r="I3592">
        <v>1.2</v>
      </c>
      <c r="J3592">
        <v>0.52</v>
      </c>
      <c r="K3592">
        <v>1.56</v>
      </c>
      <c r="L3592">
        <v>0.02</v>
      </c>
      <c r="M3592">
        <v>1.3</v>
      </c>
      <c r="N3592">
        <v>0.23</v>
      </c>
    </row>
    <row r="3593" spans="1:14" x14ac:dyDescent="0.25">
      <c r="A3593" t="s">
        <v>6578</v>
      </c>
      <c r="B3593" t="s">
        <v>2678</v>
      </c>
      <c r="C3593" s="1" t="str">
        <f>HYPERLINK("http://www.genecards.org/cgi-bin/carddisp.pl?gene=RAP1GAP","GeneCards")</f>
        <v>GeneCards</v>
      </c>
      <c r="D3593" s="1" t="str">
        <f>HYPERLINK("http://genome-euro.ucsc.edu/cgi-bin/hgTracks?position=203911_at","UCSC")</f>
        <v>UCSC</v>
      </c>
      <c r="E3593" s="1" t="str">
        <f>HYPERLINK("http://www.ncbi.nlm.nih.gov/gene/?term=RAP1GAP","NCBI")</f>
        <v>NCBI</v>
      </c>
      <c r="F3593">
        <v>2.3E-2</v>
      </c>
      <c r="G3593">
        <v>0.11</v>
      </c>
      <c r="H3593" s="1" t="str">
        <f>HYPERLINK("http://www.weizmann.ac.il/complex/compphys/software/geview/data/figures/203911_at.png","Figure")</f>
        <v>Figure</v>
      </c>
      <c r="I3593">
        <v>1.46</v>
      </c>
      <c r="J3593">
        <v>2.5000000000000001E-2</v>
      </c>
      <c r="K3593">
        <v>1.07</v>
      </c>
      <c r="L3593">
        <v>0.79</v>
      </c>
      <c r="M3593">
        <v>0.73699999999999999</v>
      </c>
      <c r="N3593">
        <v>5.1999999999999998E-2</v>
      </c>
    </row>
    <row r="3594" spans="1:14" x14ac:dyDescent="0.25">
      <c r="A3594" t="s">
        <v>6579</v>
      </c>
      <c r="B3594" t="s">
        <v>6580</v>
      </c>
      <c r="C3594" s="1" t="str">
        <f>HYPERLINK("http://www.genecards.org/cgi-bin/carddisp.pl?gene=HOXD1","GeneCards")</f>
        <v>GeneCards</v>
      </c>
      <c r="D3594" s="1" t="str">
        <f>HYPERLINK("http://genome-euro.ucsc.edu/cgi-bin/hgTracks?position=205975_s_at","UCSC")</f>
        <v>UCSC</v>
      </c>
      <c r="E3594" s="1" t="str">
        <f>HYPERLINK("http://www.ncbi.nlm.nih.gov/gene/?term=HOXD1","NCBI")</f>
        <v>NCBI</v>
      </c>
      <c r="F3594">
        <v>2.3E-2</v>
      </c>
      <c r="G3594">
        <v>0.11</v>
      </c>
      <c r="H3594" s="1" t="str">
        <f>HYPERLINK("http://www.weizmann.ac.il/complex/compphys/software/geview/data/figures/205975_s_at.png","Figure")</f>
        <v>Figure</v>
      </c>
      <c r="I3594">
        <v>1.28</v>
      </c>
      <c r="J3594">
        <v>1.9E-2</v>
      </c>
      <c r="K3594">
        <v>1.0900000000000001</v>
      </c>
      <c r="L3594">
        <v>0.44</v>
      </c>
      <c r="M3594">
        <v>0.85199999999999998</v>
      </c>
      <c r="N3594">
        <v>0.11</v>
      </c>
    </row>
    <row r="3595" spans="1:14" x14ac:dyDescent="0.25">
      <c r="A3595" t="s">
        <v>6581</v>
      </c>
      <c r="B3595" t="s">
        <v>4108</v>
      </c>
      <c r="C3595" s="1" t="str">
        <f>HYPERLINK("http://www.genecards.org/cgi-bin/carddisp.pl?gene=STX7","GeneCards")</f>
        <v>GeneCards</v>
      </c>
      <c r="D3595" s="1" t="str">
        <f>HYPERLINK("http://genome-euro.ucsc.edu/cgi-bin/hgTracks?position=212632_at","UCSC")</f>
        <v>UCSC</v>
      </c>
      <c r="E3595" s="1" t="str">
        <f>HYPERLINK("http://www.ncbi.nlm.nih.gov/gene/?term=STX7","NCBI")</f>
        <v>NCBI</v>
      </c>
      <c r="F3595">
        <v>2.3E-2</v>
      </c>
      <c r="G3595">
        <v>0.11</v>
      </c>
      <c r="H3595" s="1" t="str">
        <f>HYPERLINK("http://www.weizmann.ac.il/complex/compphys/software/geview/data/figures/212632_at.png","Figure")</f>
        <v>Figure</v>
      </c>
      <c r="I3595">
        <v>0.42099999999999999</v>
      </c>
      <c r="J3595">
        <v>2.7E-2</v>
      </c>
      <c r="K3595">
        <v>0.871</v>
      </c>
      <c r="L3595">
        <v>0.85</v>
      </c>
      <c r="M3595">
        <v>2.0699999999999998</v>
      </c>
      <c r="N3595">
        <v>4.5999999999999999E-2</v>
      </c>
    </row>
    <row r="3596" spans="1:14" x14ac:dyDescent="0.25">
      <c r="A3596" t="s">
        <v>6582</v>
      </c>
      <c r="B3596" t="s">
        <v>6583</v>
      </c>
      <c r="C3596" s="1" t="str">
        <f>HYPERLINK("http://www.genecards.org/cgi-bin/carddisp.pl?gene=FASTKD5","GeneCards")</f>
        <v>GeneCards</v>
      </c>
      <c r="D3596" s="1" t="str">
        <f>HYPERLINK("http://genome-euro.ucsc.edu/cgi-bin/hgTracks?position=219016_at","UCSC")</f>
        <v>UCSC</v>
      </c>
      <c r="E3596" s="1" t="str">
        <f>HYPERLINK("http://www.ncbi.nlm.nih.gov/gene/?term=FASTKD5","NCBI")</f>
        <v>NCBI</v>
      </c>
      <c r="F3596">
        <v>2.3E-2</v>
      </c>
      <c r="G3596">
        <v>0.11</v>
      </c>
      <c r="H3596" s="1" t="str">
        <f>HYPERLINK("http://www.weizmann.ac.il/complex/compphys/software/geview/data/figures/219016_at.png","Figure")</f>
        <v>Figure</v>
      </c>
      <c r="I3596">
        <v>0.75900000000000001</v>
      </c>
      <c r="J3596">
        <v>0.34</v>
      </c>
      <c r="K3596">
        <v>0.59</v>
      </c>
      <c r="L3596">
        <v>1.7999999999999999E-2</v>
      </c>
      <c r="M3596">
        <v>0.77800000000000002</v>
      </c>
      <c r="N3596">
        <v>0.36</v>
      </c>
    </row>
    <row r="3597" spans="1:14" x14ac:dyDescent="0.25">
      <c r="A3597" t="s">
        <v>6584</v>
      </c>
      <c r="B3597" t="s">
        <v>6585</v>
      </c>
      <c r="C3597" s="1" t="str">
        <f>HYPERLINK("http://www.genecards.org/cgi-bin/carddisp.pl?gene=C2orf47","GeneCards")</f>
        <v>GeneCards</v>
      </c>
      <c r="D3597" s="1" t="str">
        <f>HYPERLINK("http://genome-euro.ucsc.edu/cgi-bin/hgTracks?position=219176_at","UCSC")</f>
        <v>UCSC</v>
      </c>
      <c r="E3597" s="1" t="str">
        <f>HYPERLINK("http://www.ncbi.nlm.nih.gov/gene/?term=C2orf47","NCBI")</f>
        <v>NCBI</v>
      </c>
      <c r="F3597">
        <v>2.3E-2</v>
      </c>
      <c r="G3597">
        <v>0.11</v>
      </c>
      <c r="H3597" s="1" t="str">
        <f>HYPERLINK("http://www.weizmann.ac.il/complex/compphys/software/geview/data/figures/219176_at.png","Figure")</f>
        <v>Figure</v>
      </c>
      <c r="I3597">
        <v>0.95299999999999996</v>
      </c>
      <c r="J3597">
        <v>0.92</v>
      </c>
      <c r="K3597">
        <v>0.73399999999999999</v>
      </c>
      <c r="L3597">
        <v>0.03</v>
      </c>
      <c r="M3597">
        <v>0.77</v>
      </c>
      <c r="N3597">
        <v>0.09</v>
      </c>
    </row>
    <row r="3598" spans="1:14" x14ac:dyDescent="0.25">
      <c r="A3598" t="s">
        <v>6586</v>
      </c>
      <c r="B3598" t="s">
        <v>6587</v>
      </c>
      <c r="C3598" s="1" t="str">
        <f>HYPERLINK("http://www.genecards.org/cgi-bin/carddisp.pl?gene=ADM2","GeneCards")</f>
        <v>GeneCards</v>
      </c>
      <c r="D3598" s="1" t="str">
        <f>HYPERLINK("http://genome-euro.ucsc.edu/cgi-bin/hgTracks?position=220538_at","UCSC")</f>
        <v>UCSC</v>
      </c>
      <c r="E3598" s="1" t="str">
        <f>HYPERLINK("http://www.ncbi.nlm.nih.gov/gene/?term=ADM2","NCBI")</f>
        <v>NCBI</v>
      </c>
      <c r="F3598">
        <v>2.3E-2</v>
      </c>
      <c r="G3598">
        <v>0.11</v>
      </c>
      <c r="H3598" s="1" t="str">
        <f>HYPERLINK("http://www.weizmann.ac.il/complex/compphys/software/geview/data/figures/220538_at.png","Figure")</f>
        <v>Figure</v>
      </c>
      <c r="I3598">
        <v>1.4</v>
      </c>
      <c r="J3598">
        <v>0.02</v>
      </c>
      <c r="K3598">
        <v>1.1100000000000001</v>
      </c>
      <c r="L3598">
        <v>0.5</v>
      </c>
      <c r="M3598">
        <v>0.79800000000000004</v>
      </c>
      <c r="N3598">
        <v>9.4E-2</v>
      </c>
    </row>
    <row r="3599" spans="1:14" x14ac:dyDescent="0.25">
      <c r="A3599" t="s">
        <v>6588</v>
      </c>
      <c r="B3599" t="s">
        <v>6589</v>
      </c>
      <c r="C3599" s="1" t="str">
        <f>HYPERLINK("http://www.genecards.org/cgi-bin/carddisp.pl?gene=HSPA8","GeneCards")</f>
        <v>GeneCards</v>
      </c>
      <c r="D3599" s="1" t="str">
        <f>HYPERLINK("http://genome-euro.ucsc.edu/cgi-bin/hgTracks?position=221891_x_at","UCSC")</f>
        <v>UCSC</v>
      </c>
      <c r="E3599" s="1" t="str">
        <f>HYPERLINK("http://www.ncbi.nlm.nih.gov/gene/?term=HSPA8","NCBI")</f>
        <v>NCBI</v>
      </c>
      <c r="F3599">
        <v>2.3E-2</v>
      </c>
      <c r="G3599">
        <v>0.11</v>
      </c>
      <c r="H3599" s="1" t="str">
        <f>HYPERLINK("http://www.weizmann.ac.il/complex/compphys/software/geview/data/figures/221891_x_at.png","Figure")</f>
        <v>Figure</v>
      </c>
      <c r="I3599">
        <v>1.22</v>
      </c>
      <c r="J3599">
        <v>0.78</v>
      </c>
      <c r="K3599">
        <v>2.1800000000000002</v>
      </c>
      <c r="L3599">
        <v>2.4E-2</v>
      </c>
      <c r="M3599">
        <v>1.78</v>
      </c>
      <c r="N3599">
        <v>0.13</v>
      </c>
    </row>
    <row r="3600" spans="1:14" x14ac:dyDescent="0.25">
      <c r="A3600" t="s">
        <v>6590</v>
      </c>
      <c r="B3600" t="s">
        <v>6591</v>
      </c>
      <c r="C3600" s="1" t="str">
        <f>HYPERLINK("http://www.genecards.org/cgi-bin/carddisp.pl?gene=HTATSF1","GeneCards")</f>
        <v>GeneCards</v>
      </c>
      <c r="D3600" s="1" t="str">
        <f>HYPERLINK("http://genome-euro.ucsc.edu/cgi-bin/hgTracks?position=202602_s_at","UCSC")</f>
        <v>UCSC</v>
      </c>
      <c r="E3600" s="1" t="str">
        <f>HYPERLINK("http://www.ncbi.nlm.nih.gov/gene/?term=HTATSF1","NCBI")</f>
        <v>NCBI</v>
      </c>
      <c r="F3600">
        <v>2.3E-2</v>
      </c>
      <c r="G3600">
        <v>0.11</v>
      </c>
      <c r="H3600" s="1" t="str">
        <f>HYPERLINK("http://www.weizmann.ac.il/complex/compphys/software/geview/data/figures/202602_s_at.png","Figure")</f>
        <v>Figure</v>
      </c>
      <c r="I3600">
        <v>0.61099999999999999</v>
      </c>
      <c r="J3600">
        <v>2.7E-2</v>
      </c>
      <c r="K3600">
        <v>0.69799999999999995</v>
      </c>
      <c r="L3600">
        <v>6.5000000000000002E-2</v>
      </c>
      <c r="M3600">
        <v>1.1399999999999999</v>
      </c>
      <c r="N3600">
        <v>0.67</v>
      </c>
    </row>
    <row r="3601" spans="1:14" x14ac:dyDescent="0.25">
      <c r="A3601" t="s">
        <v>6592</v>
      </c>
      <c r="B3601" t="s">
        <v>6593</v>
      </c>
      <c r="C3601" s="1" t="str">
        <f>HYPERLINK("http://www.genecards.org/cgi-bin/carddisp.pl?gene=GEMIN7","GeneCards")</f>
        <v>GeneCards</v>
      </c>
      <c r="D3601" s="1" t="str">
        <f>HYPERLINK("http://genome-euro.ucsc.edu/cgi-bin/hgTracks?position=219085_s_at","UCSC")</f>
        <v>UCSC</v>
      </c>
      <c r="E3601" s="1" t="str">
        <f>HYPERLINK("http://www.ncbi.nlm.nih.gov/gene/?term=GEMIN7","NCBI")</f>
        <v>NCBI</v>
      </c>
      <c r="F3601">
        <v>2.3E-2</v>
      </c>
      <c r="G3601">
        <v>0.11</v>
      </c>
      <c r="H3601" s="1" t="str">
        <f>HYPERLINK("http://www.weizmann.ac.il/complex/compphys/software/geview/data/figures/219085_s_at.png","Figure")</f>
        <v>Figure</v>
      </c>
      <c r="I3601">
        <v>1.21</v>
      </c>
      <c r="J3601">
        <v>1.9E-2</v>
      </c>
      <c r="K3601">
        <v>1.07</v>
      </c>
      <c r="L3601">
        <v>0.43</v>
      </c>
      <c r="M3601">
        <v>0.88200000000000001</v>
      </c>
      <c r="N3601">
        <v>0.11</v>
      </c>
    </row>
    <row r="3602" spans="1:14" x14ac:dyDescent="0.25">
      <c r="A3602" t="s">
        <v>6594</v>
      </c>
      <c r="B3602" t="s">
        <v>6595</v>
      </c>
      <c r="C3602" s="1" t="str">
        <f>HYPERLINK("http://www.genecards.org/cgi-bin/carddisp.pl?gene=BAZ1A","GeneCards")</f>
        <v>GeneCards</v>
      </c>
      <c r="D3602" s="1" t="str">
        <f>HYPERLINK("http://genome-euro.ucsc.edu/cgi-bin/hgTracks?position=217985_s_at","UCSC")</f>
        <v>UCSC</v>
      </c>
      <c r="E3602" s="1" t="str">
        <f>HYPERLINK("http://www.ncbi.nlm.nih.gov/gene/?term=BAZ1A","NCBI")</f>
        <v>NCBI</v>
      </c>
      <c r="F3602">
        <v>2.3E-2</v>
      </c>
      <c r="G3602">
        <v>0.11</v>
      </c>
      <c r="H3602" s="1" t="str">
        <f>HYPERLINK("http://www.weizmann.ac.il/complex/compphys/software/geview/data/figures/217985_s_at.png","Figure")</f>
        <v>Figure</v>
      </c>
      <c r="I3602">
        <v>0.52500000000000002</v>
      </c>
      <c r="J3602">
        <v>5.0999999999999997E-2</v>
      </c>
      <c r="K3602">
        <v>1.05</v>
      </c>
      <c r="L3602">
        <v>0.97</v>
      </c>
      <c r="M3602">
        <v>2</v>
      </c>
      <c r="N3602">
        <v>2.5000000000000001E-2</v>
      </c>
    </row>
    <row r="3603" spans="1:14" x14ac:dyDescent="0.25">
      <c r="A3603" t="s">
        <v>6596</v>
      </c>
      <c r="B3603" t="s">
        <v>6597</v>
      </c>
      <c r="C3603" s="1" t="str">
        <f>HYPERLINK("http://www.genecards.org/cgi-bin/carddisp.pl?gene=NT5C2","GeneCards")</f>
        <v>GeneCards</v>
      </c>
      <c r="D3603" s="1" t="str">
        <f>HYPERLINK("http://genome-euro.ucsc.edu/cgi-bin/hgTracks?position=209155_s_at","UCSC")</f>
        <v>UCSC</v>
      </c>
      <c r="E3603" s="1" t="str">
        <f>HYPERLINK("http://www.ncbi.nlm.nih.gov/gene/?term=NT5C2","NCBI")</f>
        <v>NCBI</v>
      </c>
      <c r="F3603">
        <v>2.3E-2</v>
      </c>
      <c r="G3603">
        <v>0.11</v>
      </c>
      <c r="H3603" s="1" t="str">
        <f>HYPERLINK("http://www.weizmann.ac.il/complex/compphys/software/geview/data/figures/209155_s_at.png","Figure")</f>
        <v>Figure</v>
      </c>
      <c r="I3603">
        <v>0.56100000000000005</v>
      </c>
      <c r="J3603">
        <v>4.1000000000000002E-2</v>
      </c>
      <c r="K3603">
        <v>0.6</v>
      </c>
      <c r="L3603">
        <v>3.7999999999999999E-2</v>
      </c>
      <c r="M3603">
        <v>1.07</v>
      </c>
      <c r="N3603">
        <v>0.94</v>
      </c>
    </row>
    <row r="3604" spans="1:14" x14ac:dyDescent="0.25">
      <c r="A3604" t="s">
        <v>6598</v>
      </c>
      <c r="B3604" t="s">
        <v>5934</v>
      </c>
      <c r="C3604" s="1" t="str">
        <f>HYPERLINK("http://www.genecards.org/cgi-bin/carddisp.pl?gene=ZMYM6","GeneCards")</f>
        <v>GeneCards</v>
      </c>
      <c r="D3604" s="1" t="str">
        <f>HYPERLINK("http://genome-euro.ucsc.edu/cgi-bin/hgTracks?position=219924_s_at","UCSC")</f>
        <v>UCSC</v>
      </c>
      <c r="E3604" s="1" t="str">
        <f>HYPERLINK("http://www.ncbi.nlm.nih.gov/gene/?term=ZMYM6","NCBI")</f>
        <v>NCBI</v>
      </c>
      <c r="F3604">
        <v>2.3E-2</v>
      </c>
      <c r="G3604">
        <v>0.11</v>
      </c>
      <c r="H3604" s="1" t="str">
        <f>HYPERLINK("http://www.weizmann.ac.il/complex/compphys/software/geview/data/figures/219924_s_at.png","Figure")</f>
        <v>Figure</v>
      </c>
      <c r="I3604">
        <v>1.32</v>
      </c>
      <c r="J3604">
        <v>5.7000000000000002E-2</v>
      </c>
      <c r="K3604">
        <v>1.31</v>
      </c>
      <c r="L3604">
        <v>2.9000000000000001E-2</v>
      </c>
      <c r="M3604">
        <v>0.999</v>
      </c>
      <c r="N3604">
        <v>1</v>
      </c>
    </row>
    <row r="3605" spans="1:14" x14ac:dyDescent="0.25">
      <c r="A3605" t="s">
        <v>6599</v>
      </c>
      <c r="B3605" t="s">
        <v>6066</v>
      </c>
      <c r="C3605" s="1" t="str">
        <f>HYPERLINK("http://www.genecards.org/cgi-bin/carddisp.pl?gene=CRTC1","GeneCards")</f>
        <v>GeneCards</v>
      </c>
      <c r="D3605" s="1" t="str">
        <f>HYPERLINK("http://genome-euro.ucsc.edu/cgi-bin/hgTracks?position=207159_x_at","UCSC")</f>
        <v>UCSC</v>
      </c>
      <c r="E3605" s="1" t="str">
        <f>HYPERLINK("http://www.ncbi.nlm.nih.gov/gene/?term=CRTC1","NCBI")</f>
        <v>NCBI</v>
      </c>
      <c r="F3605">
        <v>2.3E-2</v>
      </c>
      <c r="G3605">
        <v>0.11</v>
      </c>
      <c r="H3605" s="1" t="str">
        <f>HYPERLINK("http://www.weizmann.ac.il/complex/compphys/software/geview/data/figures/207159_x_at.png","Figure")</f>
        <v>Figure</v>
      </c>
      <c r="I3605">
        <v>1.34</v>
      </c>
      <c r="J3605">
        <v>1.9E-2</v>
      </c>
      <c r="K3605">
        <v>1.1000000000000001</v>
      </c>
      <c r="L3605">
        <v>0.47</v>
      </c>
      <c r="M3605">
        <v>0.82299999999999995</v>
      </c>
      <c r="N3605">
        <v>0.1</v>
      </c>
    </row>
    <row r="3606" spans="1:14" x14ac:dyDescent="0.25">
      <c r="A3606" t="s">
        <v>6600</v>
      </c>
      <c r="B3606" t="s">
        <v>6601</v>
      </c>
      <c r="C3606" s="1" t="str">
        <f>HYPERLINK("http://www.genecards.org/cgi-bin/carddisp.pl?gene=WASF1","GeneCards")</f>
        <v>GeneCards</v>
      </c>
      <c r="D3606" s="1" t="str">
        <f>HYPERLINK("http://genome-euro.ucsc.edu/cgi-bin/hgTracks?position=204165_at","UCSC")</f>
        <v>UCSC</v>
      </c>
      <c r="E3606" s="1" t="str">
        <f>HYPERLINK("http://www.ncbi.nlm.nih.gov/gene/?term=WASF1","NCBI")</f>
        <v>NCBI</v>
      </c>
      <c r="F3606">
        <v>2.3E-2</v>
      </c>
      <c r="G3606">
        <v>0.11</v>
      </c>
      <c r="H3606" s="1" t="str">
        <f>HYPERLINK("http://www.weizmann.ac.il/complex/compphys/software/geview/data/figures/204165_at.png","Figure")</f>
        <v>Figure</v>
      </c>
      <c r="I3606">
        <v>1.1599999999999999</v>
      </c>
      <c r="J3606">
        <v>0.91</v>
      </c>
      <c r="K3606">
        <v>2.5299999999999998</v>
      </c>
      <c r="L3606">
        <v>2.9000000000000001E-2</v>
      </c>
      <c r="M3606">
        <v>2.1800000000000002</v>
      </c>
      <c r="N3606">
        <v>9.1999999999999998E-2</v>
      </c>
    </row>
    <row r="3607" spans="1:14" x14ac:dyDescent="0.25">
      <c r="A3607" t="s">
        <v>6602</v>
      </c>
      <c r="B3607" t="s">
        <v>1499</v>
      </c>
      <c r="C3607" s="1" t="str">
        <f>HYPERLINK("http://www.genecards.org/cgi-bin/carddisp.pl?gene=QKI","GeneCards")</f>
        <v>GeneCards</v>
      </c>
      <c r="D3607" s="1" t="str">
        <f>HYPERLINK("http://genome-euro.ucsc.edu/cgi-bin/hgTracks?position=212262_at","UCSC")</f>
        <v>UCSC</v>
      </c>
      <c r="E3607" s="1" t="str">
        <f>HYPERLINK("http://www.ncbi.nlm.nih.gov/gene/?term=QKI","NCBI")</f>
        <v>NCBI</v>
      </c>
      <c r="F3607">
        <v>2.3E-2</v>
      </c>
      <c r="G3607">
        <v>0.11</v>
      </c>
      <c r="H3607" s="1" t="str">
        <f>HYPERLINK("http://www.weizmann.ac.il/complex/compphys/software/geview/data/figures/212262_at.png","Figure")</f>
        <v>Figure</v>
      </c>
      <c r="I3607">
        <v>0.64800000000000002</v>
      </c>
      <c r="J3607">
        <v>2.1999999999999999E-2</v>
      </c>
      <c r="K3607">
        <v>0.89400000000000002</v>
      </c>
      <c r="L3607">
        <v>0.64</v>
      </c>
      <c r="M3607">
        <v>1.38</v>
      </c>
      <c r="N3607">
        <v>7.0000000000000007E-2</v>
      </c>
    </row>
    <row r="3608" spans="1:14" x14ac:dyDescent="0.25">
      <c r="A3608" t="s">
        <v>6603</v>
      </c>
      <c r="B3608" t="s">
        <v>6604</v>
      </c>
      <c r="C3608" s="1" t="str">
        <f>HYPERLINK("http://www.genecards.org/cgi-bin/carddisp.pl?gene=GTF2E2","GeneCards")</f>
        <v>GeneCards</v>
      </c>
      <c r="D3608" s="1" t="str">
        <f>HYPERLINK("http://genome-euro.ucsc.edu/cgi-bin/hgTracks?position=202680_at","UCSC")</f>
        <v>UCSC</v>
      </c>
      <c r="E3608" s="1" t="str">
        <f>HYPERLINK("http://www.ncbi.nlm.nih.gov/gene/?term=GTF2E2","NCBI")</f>
        <v>NCBI</v>
      </c>
      <c r="F3608">
        <v>2.3E-2</v>
      </c>
      <c r="G3608">
        <v>0.11</v>
      </c>
      <c r="H3608" s="1" t="str">
        <f>HYPERLINK("http://www.weizmann.ac.il/complex/compphys/software/geview/data/figures/202680_at.png","Figure")</f>
        <v>Figure</v>
      </c>
      <c r="I3608">
        <v>0.82799999999999996</v>
      </c>
      <c r="J3608">
        <v>0.4</v>
      </c>
      <c r="K3608">
        <v>1.25</v>
      </c>
      <c r="L3608">
        <v>0.21</v>
      </c>
      <c r="M3608">
        <v>1.51</v>
      </c>
      <c r="N3608">
        <v>2.1000000000000001E-2</v>
      </c>
    </row>
    <row r="3609" spans="1:14" x14ac:dyDescent="0.25">
      <c r="A3609" t="s">
        <v>6605</v>
      </c>
      <c r="B3609" t="s">
        <v>2212</v>
      </c>
      <c r="C3609" s="1" t="str">
        <f>HYPERLINK("http://www.genecards.org/cgi-bin/carddisp.pl?gene=TPR","GeneCards")</f>
        <v>GeneCards</v>
      </c>
      <c r="D3609" s="1" t="str">
        <f>HYPERLINK("http://genome-euro.ucsc.edu/cgi-bin/hgTracks?position=201730_s_at","UCSC")</f>
        <v>UCSC</v>
      </c>
      <c r="E3609" s="1" t="str">
        <f>HYPERLINK("http://www.ncbi.nlm.nih.gov/gene/?term=TPR","NCBI")</f>
        <v>NCBI</v>
      </c>
      <c r="F3609">
        <v>2.4E-2</v>
      </c>
      <c r="G3609">
        <v>0.11</v>
      </c>
      <c r="H3609" s="1" t="str">
        <f>HYPERLINK("http://www.weizmann.ac.il/complex/compphys/software/geview/data/figures/201730_s_at.png","Figure")</f>
        <v>Figure</v>
      </c>
      <c r="I3609">
        <v>1.49</v>
      </c>
      <c r="J3609">
        <v>2.8000000000000001E-2</v>
      </c>
      <c r="K3609">
        <v>1.35</v>
      </c>
      <c r="L3609">
        <v>6.0999999999999999E-2</v>
      </c>
      <c r="M3609">
        <v>0.90400000000000003</v>
      </c>
      <c r="N3609">
        <v>0.71</v>
      </c>
    </row>
    <row r="3610" spans="1:14" x14ac:dyDescent="0.25">
      <c r="A3610" t="s">
        <v>6606</v>
      </c>
      <c r="B3610" t="s">
        <v>6607</v>
      </c>
      <c r="C3610" s="1" t="str">
        <f>HYPERLINK("http://www.genecards.org/cgi-bin/carddisp.pl?gene=BCKDK","GeneCards")</f>
        <v>GeneCards</v>
      </c>
      <c r="D3610" s="1" t="str">
        <f>HYPERLINK("http://genome-euro.ucsc.edu/cgi-bin/hgTracks?position=202030_at","UCSC")</f>
        <v>UCSC</v>
      </c>
      <c r="E3610" s="1" t="str">
        <f>HYPERLINK("http://www.ncbi.nlm.nih.gov/gene/?term=BCKDK","NCBI")</f>
        <v>NCBI</v>
      </c>
      <c r="F3610">
        <v>2.4E-2</v>
      </c>
      <c r="G3610">
        <v>0.11</v>
      </c>
      <c r="H3610" s="1" t="str">
        <f>HYPERLINK("http://www.weizmann.ac.il/complex/compphys/software/geview/data/figures/202030_at.png","Figure")</f>
        <v>Figure</v>
      </c>
      <c r="I3610">
        <v>0.69299999999999995</v>
      </c>
      <c r="J3610">
        <v>4.3999999999999997E-2</v>
      </c>
      <c r="K3610">
        <v>1.01</v>
      </c>
      <c r="L3610">
        <v>1</v>
      </c>
      <c r="M3610">
        <v>1.45</v>
      </c>
      <c r="N3610">
        <v>2.8000000000000001E-2</v>
      </c>
    </row>
    <row r="3611" spans="1:14" x14ac:dyDescent="0.25">
      <c r="A3611" t="s">
        <v>6608</v>
      </c>
      <c r="B3611" t="s">
        <v>6609</v>
      </c>
      <c r="C3611" s="1" t="str">
        <f>HYPERLINK("http://www.genecards.org/cgi-bin/carddisp.pl?gene=C22orf30 /// PISD","GeneCards")</f>
        <v>GeneCards</v>
      </c>
      <c r="D3611" s="1" t="str">
        <f>HYPERLINK("http://genome-euro.ucsc.edu/cgi-bin/hgTracks?position=202392_s_at","UCSC")</f>
        <v>UCSC</v>
      </c>
      <c r="E3611" s="1" t="str">
        <f>HYPERLINK("http://www.ncbi.nlm.nih.gov/gene/?term=C22orf30 /// PISD","NCBI")</f>
        <v>NCBI</v>
      </c>
      <c r="F3611">
        <v>2.4E-2</v>
      </c>
      <c r="G3611">
        <v>0.11</v>
      </c>
      <c r="H3611" s="1" t="str">
        <f>HYPERLINK("http://www.weizmann.ac.il/complex/compphys/software/geview/data/figures/202392_s_at.png","Figure")</f>
        <v>Figure</v>
      </c>
      <c r="I3611">
        <v>1.1499999999999999</v>
      </c>
      <c r="J3611">
        <v>0.53</v>
      </c>
      <c r="K3611">
        <v>0.79600000000000004</v>
      </c>
      <c r="L3611">
        <v>0.15</v>
      </c>
      <c r="M3611">
        <v>0.69</v>
      </c>
      <c r="N3611">
        <v>2.3E-2</v>
      </c>
    </row>
    <row r="3612" spans="1:14" x14ac:dyDescent="0.25">
      <c r="A3612" t="s">
        <v>6610</v>
      </c>
      <c r="B3612" t="s">
        <v>6611</v>
      </c>
      <c r="C3612" s="1" t="str">
        <f>HYPERLINK("http://www.genecards.org/cgi-bin/carddisp.pl?gene=CD3EAP","GeneCards")</f>
        <v>GeneCards</v>
      </c>
      <c r="D3612" s="1" t="str">
        <f>HYPERLINK("http://genome-euro.ucsc.edu/cgi-bin/hgTracks?position=205264_at","UCSC")</f>
        <v>UCSC</v>
      </c>
      <c r="E3612" s="1" t="str">
        <f>HYPERLINK("http://www.ncbi.nlm.nih.gov/gene/?term=CD3EAP","NCBI")</f>
        <v>NCBI</v>
      </c>
      <c r="F3612">
        <v>2.3E-2</v>
      </c>
      <c r="G3612">
        <v>0.11</v>
      </c>
      <c r="H3612" s="1" t="str">
        <f>HYPERLINK("http://www.weizmann.ac.il/complex/compphys/software/geview/data/figures/205264_at.png","Figure")</f>
        <v>Figure</v>
      </c>
      <c r="I3612">
        <v>0.95</v>
      </c>
      <c r="J3612">
        <v>0.73</v>
      </c>
      <c r="K3612">
        <v>1.1399999999999999</v>
      </c>
      <c r="L3612">
        <v>9.5000000000000001E-2</v>
      </c>
      <c r="M3612">
        <v>1.21</v>
      </c>
      <c r="N3612">
        <v>2.9000000000000001E-2</v>
      </c>
    </row>
    <row r="3613" spans="1:14" x14ac:dyDescent="0.25">
      <c r="A3613" t="s">
        <v>6612</v>
      </c>
      <c r="B3613" t="s">
        <v>5901</v>
      </c>
      <c r="C3613" s="1" t="str">
        <f>HYPERLINK("http://www.genecards.org/cgi-bin/carddisp.pl?gene=CACNB1","GeneCards")</f>
        <v>GeneCards</v>
      </c>
      <c r="D3613" s="1" t="str">
        <f>HYPERLINK("http://genome-euro.ucsc.edu/cgi-bin/hgTracks?position=210185_at","UCSC")</f>
        <v>UCSC</v>
      </c>
      <c r="E3613" s="1" t="str">
        <f>HYPERLINK("http://www.ncbi.nlm.nih.gov/gene/?term=CACNB1","NCBI")</f>
        <v>NCBI</v>
      </c>
      <c r="F3613">
        <v>2.4E-2</v>
      </c>
      <c r="G3613">
        <v>0.11</v>
      </c>
      <c r="H3613" s="1" t="str">
        <f>HYPERLINK("http://www.weizmann.ac.il/complex/compphys/software/geview/data/figures/210185_at.png","Figure")</f>
        <v>Figure</v>
      </c>
      <c r="I3613">
        <v>1.25</v>
      </c>
      <c r="J3613">
        <v>6.9000000000000006E-2</v>
      </c>
      <c r="K3613">
        <v>0.96199999999999997</v>
      </c>
      <c r="L3613">
        <v>0.88</v>
      </c>
      <c r="M3613">
        <v>0.77100000000000002</v>
      </c>
      <c r="N3613">
        <v>2.1999999999999999E-2</v>
      </c>
    </row>
    <row r="3614" spans="1:14" x14ac:dyDescent="0.25">
      <c r="A3614" t="s">
        <v>6613</v>
      </c>
      <c r="B3614" t="s">
        <v>6614</v>
      </c>
      <c r="C3614" s="1" t="str">
        <f>HYPERLINK("http://www.genecards.org/cgi-bin/carddisp.pl?gene=NDUFA4L2","GeneCards")</f>
        <v>GeneCards</v>
      </c>
      <c r="D3614" s="1" t="str">
        <f>HYPERLINK("http://genome-euro.ucsc.edu/cgi-bin/hgTracks?position=218484_at","UCSC")</f>
        <v>UCSC</v>
      </c>
      <c r="E3614" s="1" t="str">
        <f>HYPERLINK("http://www.ncbi.nlm.nih.gov/gene/?term=NDUFA4L2","NCBI")</f>
        <v>NCBI</v>
      </c>
      <c r="F3614">
        <v>2.4E-2</v>
      </c>
      <c r="G3614">
        <v>0.11</v>
      </c>
      <c r="H3614" s="1" t="str">
        <f>HYPERLINK("http://www.weizmann.ac.il/complex/compphys/software/geview/data/figures/218484_at.png","Figure")</f>
        <v>Figure</v>
      </c>
      <c r="I3614">
        <v>1.1399999999999999</v>
      </c>
      <c r="J3614">
        <v>2.8000000000000001E-2</v>
      </c>
      <c r="K3614">
        <v>1.1000000000000001</v>
      </c>
      <c r="L3614">
        <v>6.2E-2</v>
      </c>
      <c r="M3614">
        <v>0.96599999999999997</v>
      </c>
      <c r="N3614">
        <v>0.7</v>
      </c>
    </row>
    <row r="3615" spans="1:14" x14ac:dyDescent="0.25">
      <c r="A3615" t="s">
        <v>6615</v>
      </c>
      <c r="B3615" t="s">
        <v>6616</v>
      </c>
      <c r="C3615" s="1" t="str">
        <f>HYPERLINK("http://www.genecards.org/cgi-bin/carddisp.pl?gene=UBE2D4","GeneCards")</f>
        <v>GeneCards</v>
      </c>
      <c r="D3615" s="1" t="str">
        <f>HYPERLINK("http://genome-euro.ucsc.edu/cgi-bin/hgTracks?position=218837_s_at","UCSC")</f>
        <v>UCSC</v>
      </c>
      <c r="E3615" s="1" t="str">
        <f>HYPERLINK("http://www.ncbi.nlm.nih.gov/gene/?term=UBE2D4","NCBI")</f>
        <v>NCBI</v>
      </c>
      <c r="F3615">
        <v>2.4E-2</v>
      </c>
      <c r="G3615">
        <v>0.11</v>
      </c>
      <c r="H3615" s="1" t="str">
        <f>HYPERLINK("http://www.weizmann.ac.il/complex/compphys/software/geview/data/figures/218837_s_at.png","Figure")</f>
        <v>Figure</v>
      </c>
      <c r="I3615">
        <v>1.06</v>
      </c>
      <c r="J3615">
        <v>0.48</v>
      </c>
      <c r="K3615">
        <v>0.92500000000000004</v>
      </c>
      <c r="L3615">
        <v>0.17</v>
      </c>
      <c r="M3615">
        <v>0.876</v>
      </c>
      <c r="N3615">
        <v>2.1999999999999999E-2</v>
      </c>
    </row>
    <row r="3616" spans="1:14" x14ac:dyDescent="0.25">
      <c r="A3616" t="s">
        <v>6617</v>
      </c>
      <c r="B3616" t="s">
        <v>6618</v>
      </c>
      <c r="C3616" s="1" t="str">
        <f>HYPERLINK("http://www.genecards.org/cgi-bin/carddisp.pl?gene=EXD2","GeneCards")</f>
        <v>GeneCards</v>
      </c>
      <c r="D3616" s="1" t="str">
        <f>HYPERLINK("http://genome-euro.ucsc.edu/cgi-bin/hgTracks?position=218363_at","UCSC")</f>
        <v>UCSC</v>
      </c>
      <c r="E3616" s="1" t="str">
        <f>HYPERLINK("http://www.ncbi.nlm.nih.gov/gene/?term=EXD2","NCBI")</f>
        <v>NCBI</v>
      </c>
      <c r="F3616">
        <v>2.4E-2</v>
      </c>
      <c r="G3616">
        <v>0.11</v>
      </c>
      <c r="H3616" s="1" t="str">
        <f>HYPERLINK("http://www.weizmann.ac.il/complex/compphys/software/geview/data/figures/218363_at.png","Figure")</f>
        <v>Figure</v>
      </c>
      <c r="I3616">
        <v>0.79900000000000004</v>
      </c>
      <c r="J3616">
        <v>2.1000000000000001E-2</v>
      </c>
      <c r="K3616">
        <v>0.93500000000000005</v>
      </c>
      <c r="L3616">
        <v>0.55000000000000004</v>
      </c>
      <c r="M3616">
        <v>1.17</v>
      </c>
      <c r="N3616">
        <v>8.4000000000000005E-2</v>
      </c>
    </row>
    <row r="3617" spans="1:14" x14ac:dyDescent="0.25">
      <c r="A3617" t="s">
        <v>6619</v>
      </c>
      <c r="B3617" t="s">
        <v>6620</v>
      </c>
      <c r="C3617" s="1" t="str">
        <f>HYPERLINK("http://www.genecards.org/cgi-bin/carddisp.pl?gene=BTN3A2 /// BTN3A3","GeneCards")</f>
        <v>GeneCards</v>
      </c>
      <c r="D3617" s="1" t="str">
        <f>HYPERLINK("http://genome-euro.ucsc.edu/cgi-bin/hgTracks?position=204820_s_at","UCSC")</f>
        <v>UCSC</v>
      </c>
      <c r="E3617" s="1" t="str">
        <f>HYPERLINK("http://www.ncbi.nlm.nih.gov/gene/?term=BTN3A2 /// BTN3A3","NCBI")</f>
        <v>NCBI</v>
      </c>
      <c r="F3617">
        <v>2.4E-2</v>
      </c>
      <c r="G3617">
        <v>0.11</v>
      </c>
      <c r="H3617" s="1" t="str">
        <f>HYPERLINK("http://www.weizmann.ac.il/complex/compphys/software/geview/data/figures/204820_s_at.png","Figure")</f>
        <v>Figure</v>
      </c>
      <c r="I3617">
        <v>0.81499999999999995</v>
      </c>
      <c r="J3617">
        <v>0.82</v>
      </c>
      <c r="K3617">
        <v>2.0099999999999998</v>
      </c>
      <c r="L3617">
        <v>0.08</v>
      </c>
      <c r="M3617">
        <v>2.4700000000000002</v>
      </c>
      <c r="N3617">
        <v>3.3000000000000002E-2</v>
      </c>
    </row>
    <row r="3618" spans="1:14" x14ac:dyDescent="0.25">
      <c r="A3618" t="s">
        <v>6621</v>
      </c>
      <c r="B3618" t="s">
        <v>6622</v>
      </c>
      <c r="C3618" s="1" t="str">
        <f>HYPERLINK("http://www.genecards.org/cgi-bin/carddisp.pl?gene=DRD2","GeneCards")</f>
        <v>GeneCards</v>
      </c>
      <c r="D3618" s="1" t="str">
        <f>HYPERLINK("http://genome-euro.ucsc.edu/cgi-bin/hgTracks?position=216924_s_at","UCSC")</f>
        <v>UCSC</v>
      </c>
      <c r="E3618" s="1" t="str">
        <f>HYPERLINK("http://www.ncbi.nlm.nih.gov/gene/?term=DRD2","NCBI")</f>
        <v>NCBI</v>
      </c>
      <c r="F3618">
        <v>2.4E-2</v>
      </c>
      <c r="G3618">
        <v>0.11</v>
      </c>
      <c r="H3618" s="1" t="str">
        <f>HYPERLINK("http://www.weizmann.ac.il/complex/compphys/software/geview/data/figures/216924_s_at.png","Figure")</f>
        <v>Figure</v>
      </c>
      <c r="I3618">
        <v>1.32</v>
      </c>
      <c r="J3618">
        <v>1.9E-2</v>
      </c>
      <c r="K3618">
        <v>1.1100000000000001</v>
      </c>
      <c r="L3618">
        <v>0.36</v>
      </c>
      <c r="M3618">
        <v>0.84499999999999997</v>
      </c>
      <c r="N3618">
        <v>0.13</v>
      </c>
    </row>
    <row r="3619" spans="1:14" x14ac:dyDescent="0.25">
      <c r="A3619" t="s">
        <v>6623</v>
      </c>
      <c r="B3619" t="s">
        <v>6624</v>
      </c>
      <c r="C3619" s="1" t="str">
        <f>HYPERLINK("http://www.genecards.org/cgi-bin/carddisp.pl?gene=ZBTB1","GeneCards")</f>
        <v>GeneCards</v>
      </c>
      <c r="D3619" s="1" t="str">
        <f>HYPERLINK("http://genome-euro.ucsc.edu/cgi-bin/hgTracks?position=213376_at","UCSC")</f>
        <v>UCSC</v>
      </c>
      <c r="E3619" s="1" t="str">
        <f>HYPERLINK("http://www.ncbi.nlm.nih.gov/gene/?term=ZBTB1","NCBI")</f>
        <v>NCBI</v>
      </c>
      <c r="F3619">
        <v>2.4E-2</v>
      </c>
      <c r="G3619">
        <v>0.11</v>
      </c>
      <c r="H3619" s="1" t="str">
        <f>HYPERLINK("http://www.weizmann.ac.il/complex/compphys/software/geview/data/figures/213376_at.png","Figure")</f>
        <v>Figure</v>
      </c>
      <c r="I3619">
        <v>0.45</v>
      </c>
      <c r="J3619">
        <v>3.1E-2</v>
      </c>
      <c r="K3619">
        <v>0.53400000000000003</v>
      </c>
      <c r="L3619">
        <v>5.2999999999999999E-2</v>
      </c>
      <c r="M3619">
        <v>1.19</v>
      </c>
      <c r="N3619">
        <v>0.79</v>
      </c>
    </row>
    <row r="3620" spans="1:14" x14ac:dyDescent="0.25">
      <c r="A3620" t="s">
        <v>6625</v>
      </c>
      <c r="B3620" t="s">
        <v>6626</v>
      </c>
      <c r="C3620" s="1" t="str">
        <f>HYPERLINK("http://www.genecards.org/cgi-bin/carddisp.pl?gene=SLCO4A1","GeneCards")</f>
        <v>GeneCards</v>
      </c>
      <c r="D3620" s="1" t="str">
        <f>HYPERLINK("http://genome-euro.ucsc.edu/cgi-bin/hgTracks?position=219911_s_at","UCSC")</f>
        <v>UCSC</v>
      </c>
      <c r="E3620" s="1" t="str">
        <f>HYPERLINK("http://www.ncbi.nlm.nih.gov/gene/?term=SLCO4A1","NCBI")</f>
        <v>NCBI</v>
      </c>
      <c r="F3620">
        <v>2.4E-2</v>
      </c>
      <c r="G3620">
        <v>0.11</v>
      </c>
      <c r="H3620" s="1" t="str">
        <f>HYPERLINK("http://www.weizmann.ac.il/complex/compphys/software/geview/data/figures/219911_s_at.png","Figure")</f>
        <v>Figure</v>
      </c>
      <c r="I3620">
        <v>1.31</v>
      </c>
      <c r="J3620">
        <v>0.06</v>
      </c>
      <c r="K3620">
        <v>0.96699999999999997</v>
      </c>
      <c r="L3620">
        <v>0.93</v>
      </c>
      <c r="M3620">
        <v>0.73699999999999999</v>
      </c>
      <c r="N3620">
        <v>2.3E-2</v>
      </c>
    </row>
    <row r="3621" spans="1:14" x14ac:dyDescent="0.25">
      <c r="A3621" t="s">
        <v>6627</v>
      </c>
      <c r="B3621" t="s">
        <v>6628</v>
      </c>
      <c r="C3621" s="1" t="str">
        <f>HYPERLINK("http://www.genecards.org/cgi-bin/carddisp.pl?gene=TIMP1","GeneCards")</f>
        <v>GeneCards</v>
      </c>
      <c r="D3621" s="1" t="str">
        <f>HYPERLINK("http://genome-euro.ucsc.edu/cgi-bin/hgTracks?position=201666_at","UCSC")</f>
        <v>UCSC</v>
      </c>
      <c r="E3621" s="1" t="str">
        <f>HYPERLINK("http://www.ncbi.nlm.nih.gov/gene/?term=TIMP1","NCBI")</f>
        <v>NCBI</v>
      </c>
      <c r="F3621">
        <v>2.4E-2</v>
      </c>
      <c r="G3621">
        <v>0.11</v>
      </c>
      <c r="H3621" s="1" t="str">
        <f>HYPERLINK("http://www.weizmann.ac.il/complex/compphys/software/geview/data/figures/201666_at.png","Figure")</f>
        <v>Figure</v>
      </c>
      <c r="I3621">
        <v>0.57099999999999995</v>
      </c>
      <c r="J3621">
        <v>2.9000000000000001E-2</v>
      </c>
      <c r="K3621">
        <v>0.93200000000000005</v>
      </c>
      <c r="L3621">
        <v>0.91</v>
      </c>
      <c r="M3621">
        <v>1.63</v>
      </c>
      <c r="N3621">
        <v>4.2000000000000003E-2</v>
      </c>
    </row>
    <row r="3622" spans="1:14" x14ac:dyDescent="0.25">
      <c r="A3622" t="s">
        <v>6629</v>
      </c>
      <c r="B3622" t="s">
        <v>6630</v>
      </c>
      <c r="C3622" s="1" t="str">
        <f>HYPERLINK("http://www.genecards.org/cgi-bin/carddisp.pl?gene=PLK3","GeneCards")</f>
        <v>GeneCards</v>
      </c>
      <c r="D3622" s="1" t="str">
        <f>HYPERLINK("http://genome-euro.ucsc.edu/cgi-bin/hgTracks?position=204958_at","UCSC")</f>
        <v>UCSC</v>
      </c>
      <c r="E3622" s="1" t="str">
        <f>HYPERLINK("http://www.ncbi.nlm.nih.gov/gene/?term=PLK3","NCBI")</f>
        <v>NCBI</v>
      </c>
      <c r="F3622">
        <v>2.4E-2</v>
      </c>
      <c r="G3622">
        <v>0.11</v>
      </c>
      <c r="H3622" s="1" t="str">
        <f>HYPERLINK("http://www.weizmann.ac.il/complex/compphys/software/geview/data/figures/204958_at.png","Figure")</f>
        <v>Figure</v>
      </c>
      <c r="I3622">
        <v>0.69699999999999995</v>
      </c>
      <c r="J3622">
        <v>0.21</v>
      </c>
      <c r="K3622">
        <v>0.57199999999999995</v>
      </c>
      <c r="L3622">
        <v>1.9E-2</v>
      </c>
      <c r="M3622">
        <v>0.82099999999999995</v>
      </c>
      <c r="N3622">
        <v>0.56000000000000005</v>
      </c>
    </row>
    <row r="3623" spans="1:14" x14ac:dyDescent="0.25">
      <c r="A3623" t="s">
        <v>6631</v>
      </c>
      <c r="B3623" t="s">
        <v>6632</v>
      </c>
      <c r="C3623" s="1" t="str">
        <f>HYPERLINK("http://www.genecards.org/cgi-bin/carddisp.pl?gene=TGFA","GeneCards")</f>
        <v>GeneCards</v>
      </c>
      <c r="D3623" s="1" t="str">
        <f>HYPERLINK("http://genome-euro.ucsc.edu/cgi-bin/hgTracks?position=205015_s_at","UCSC")</f>
        <v>UCSC</v>
      </c>
      <c r="E3623" s="1" t="str">
        <f>HYPERLINK("http://www.ncbi.nlm.nih.gov/gene/?term=TGFA","NCBI")</f>
        <v>NCBI</v>
      </c>
      <c r="F3623">
        <v>2.4E-2</v>
      </c>
      <c r="G3623">
        <v>0.11</v>
      </c>
      <c r="H3623" s="1" t="str">
        <f>HYPERLINK("http://www.weizmann.ac.il/complex/compphys/software/geview/data/figures/205015_s_at.png","Figure")</f>
        <v>Figure</v>
      </c>
      <c r="I3623">
        <v>1.1599999999999999</v>
      </c>
      <c r="J3623">
        <v>3.5999999999999997E-2</v>
      </c>
      <c r="K3623">
        <v>1.01</v>
      </c>
      <c r="L3623">
        <v>0.98</v>
      </c>
      <c r="M3623">
        <v>0.86799999999999999</v>
      </c>
      <c r="N3623">
        <v>3.4000000000000002E-2</v>
      </c>
    </row>
    <row r="3624" spans="1:14" x14ac:dyDescent="0.25">
      <c r="A3624" t="s">
        <v>6633</v>
      </c>
      <c r="B3624" t="s">
        <v>6634</v>
      </c>
      <c r="C3624" s="1" t="str">
        <f>HYPERLINK("http://www.genecards.org/cgi-bin/carddisp.pl?gene=PSKH1","GeneCards")</f>
        <v>GeneCards</v>
      </c>
      <c r="D3624" s="1" t="str">
        <f>HYPERLINK("http://genome-euro.ucsc.edu/cgi-bin/hgTracks?position=213141_at","UCSC")</f>
        <v>UCSC</v>
      </c>
      <c r="E3624" s="1" t="str">
        <f>HYPERLINK("http://www.ncbi.nlm.nih.gov/gene/?term=PSKH1","NCBI")</f>
        <v>NCBI</v>
      </c>
      <c r="F3624">
        <v>2.4E-2</v>
      </c>
      <c r="G3624">
        <v>0.11</v>
      </c>
      <c r="H3624" s="1" t="str">
        <f>HYPERLINK("http://www.weizmann.ac.il/complex/compphys/software/geview/data/figures/213141_at.png","Figure")</f>
        <v>Figure</v>
      </c>
      <c r="I3624">
        <v>1.24</v>
      </c>
      <c r="J3624">
        <v>4.7E-2</v>
      </c>
      <c r="K3624">
        <v>1.22</v>
      </c>
      <c r="L3624">
        <v>3.4000000000000002E-2</v>
      </c>
      <c r="M3624">
        <v>0.98499999999999999</v>
      </c>
      <c r="N3624">
        <v>0.98</v>
      </c>
    </row>
    <row r="3625" spans="1:14" x14ac:dyDescent="0.25">
      <c r="A3625" t="s">
        <v>6635</v>
      </c>
      <c r="B3625" t="s">
        <v>6636</v>
      </c>
      <c r="C3625" s="1" t="str">
        <f>HYPERLINK("http://www.genecards.org/cgi-bin/carddisp.pl?gene=RNF167","GeneCards")</f>
        <v>GeneCards</v>
      </c>
      <c r="D3625" s="1" t="str">
        <f>HYPERLINK("http://genome-euro.ucsc.edu/cgi-bin/hgTracks?position=212047_s_at","UCSC")</f>
        <v>UCSC</v>
      </c>
      <c r="E3625" s="1" t="str">
        <f>HYPERLINK("http://www.ncbi.nlm.nih.gov/gene/?term=RNF167","NCBI")</f>
        <v>NCBI</v>
      </c>
      <c r="F3625">
        <v>2.4E-2</v>
      </c>
      <c r="G3625">
        <v>0.11</v>
      </c>
      <c r="H3625" s="1" t="str">
        <f>HYPERLINK("http://www.weizmann.ac.il/complex/compphys/software/geview/data/figures/212047_s_at.png","Figure")</f>
        <v>Figure</v>
      </c>
      <c r="I3625">
        <v>1.42</v>
      </c>
      <c r="J3625">
        <v>5.3999999999999999E-2</v>
      </c>
      <c r="K3625">
        <v>1.4</v>
      </c>
      <c r="L3625">
        <v>3.1E-2</v>
      </c>
      <c r="M3625">
        <v>0.99099999999999999</v>
      </c>
      <c r="N3625">
        <v>1</v>
      </c>
    </row>
    <row r="3626" spans="1:14" x14ac:dyDescent="0.25">
      <c r="A3626" t="s">
        <v>6637</v>
      </c>
      <c r="B3626" t="s">
        <v>6638</v>
      </c>
      <c r="C3626" s="1" t="str">
        <f>HYPERLINK("http://www.genecards.org/cgi-bin/carddisp.pl?gene=MUC1","GeneCards")</f>
        <v>GeneCards</v>
      </c>
      <c r="D3626" s="1" t="str">
        <f>HYPERLINK("http://genome-euro.ucsc.edu/cgi-bin/hgTracks?position=213693_s_at","UCSC")</f>
        <v>UCSC</v>
      </c>
      <c r="E3626" s="1" t="str">
        <f>HYPERLINK("http://www.ncbi.nlm.nih.gov/gene/?term=MUC1","NCBI")</f>
        <v>NCBI</v>
      </c>
      <c r="F3626">
        <v>2.4E-2</v>
      </c>
      <c r="G3626">
        <v>0.11</v>
      </c>
      <c r="H3626" s="1" t="str">
        <f>HYPERLINK("http://www.weizmann.ac.il/complex/compphys/software/geview/data/figures/213693_s_at.png","Figure")</f>
        <v>Figure</v>
      </c>
      <c r="I3626">
        <v>1.26</v>
      </c>
      <c r="J3626">
        <v>4.2000000000000003E-2</v>
      </c>
      <c r="K3626">
        <v>1</v>
      </c>
      <c r="L3626">
        <v>1</v>
      </c>
      <c r="M3626">
        <v>0.79100000000000004</v>
      </c>
      <c r="N3626">
        <v>2.9000000000000001E-2</v>
      </c>
    </row>
    <row r="3627" spans="1:14" x14ac:dyDescent="0.25">
      <c r="A3627" t="s">
        <v>6639</v>
      </c>
      <c r="B3627" t="s">
        <v>6640</v>
      </c>
      <c r="C3627" s="1" t="str">
        <f>HYPERLINK("http://www.genecards.org/cgi-bin/carddisp.pl?gene=OAT","GeneCards")</f>
        <v>GeneCards</v>
      </c>
      <c r="D3627" s="1" t="str">
        <f>HYPERLINK("http://genome-euro.ucsc.edu/cgi-bin/hgTracks?position=201599_at","UCSC")</f>
        <v>UCSC</v>
      </c>
      <c r="E3627" s="1" t="str">
        <f>HYPERLINK("http://www.ncbi.nlm.nih.gov/gene/?term=OAT","NCBI")</f>
        <v>NCBI</v>
      </c>
      <c r="F3627">
        <v>2.4E-2</v>
      </c>
      <c r="G3627">
        <v>0.11</v>
      </c>
      <c r="H3627" s="1" t="str">
        <f>HYPERLINK("http://www.weizmann.ac.il/complex/compphys/software/geview/data/figures/201599_at.png","Figure")</f>
        <v>Figure</v>
      </c>
      <c r="I3627">
        <v>0.38</v>
      </c>
      <c r="J3627">
        <v>2.5000000000000001E-2</v>
      </c>
      <c r="K3627">
        <v>0.82699999999999996</v>
      </c>
      <c r="L3627">
        <v>0.78</v>
      </c>
      <c r="M3627">
        <v>2.1800000000000002</v>
      </c>
      <c r="N3627">
        <v>5.3999999999999999E-2</v>
      </c>
    </row>
    <row r="3628" spans="1:14" x14ac:dyDescent="0.25">
      <c r="A3628" t="s">
        <v>6641</v>
      </c>
      <c r="B3628" t="s">
        <v>6642</v>
      </c>
      <c r="C3628" s="1" t="str">
        <f>HYPERLINK("http://www.genecards.org/cgi-bin/carddisp.pl?gene=PSMA4","GeneCards")</f>
        <v>GeneCards</v>
      </c>
      <c r="D3628" s="1" t="str">
        <f>HYPERLINK("http://genome-euro.ucsc.edu/cgi-bin/hgTracks?position=203396_at","UCSC")</f>
        <v>UCSC</v>
      </c>
      <c r="E3628" s="1" t="str">
        <f>HYPERLINK("http://www.ncbi.nlm.nih.gov/gene/?term=PSMA4","NCBI")</f>
        <v>NCBI</v>
      </c>
      <c r="F3628">
        <v>2.4E-2</v>
      </c>
      <c r="G3628">
        <v>0.11</v>
      </c>
      <c r="H3628" s="1" t="str">
        <f>HYPERLINK("http://www.weizmann.ac.il/complex/compphys/software/geview/data/figures/203396_at.png","Figure")</f>
        <v>Figure</v>
      </c>
      <c r="I3628">
        <v>1.02</v>
      </c>
      <c r="J3628">
        <v>0.99</v>
      </c>
      <c r="K3628">
        <v>1.5</v>
      </c>
      <c r="L3628">
        <v>3.6999999999999998E-2</v>
      </c>
      <c r="M3628">
        <v>1.47</v>
      </c>
      <c r="N3628">
        <v>6.7000000000000004E-2</v>
      </c>
    </row>
    <row r="3629" spans="1:14" x14ac:dyDescent="0.25">
      <c r="A3629" t="s">
        <v>6643</v>
      </c>
      <c r="B3629" t="s">
        <v>6644</v>
      </c>
      <c r="C3629" s="1" t="str">
        <f>HYPERLINK("http://www.genecards.org/cgi-bin/carddisp.pl?gene=POMT2","GeneCards")</f>
        <v>GeneCards</v>
      </c>
      <c r="D3629" s="1" t="str">
        <f>HYPERLINK("http://genome-euro.ucsc.edu/cgi-bin/hgTracks?position=220632_s_at","UCSC")</f>
        <v>UCSC</v>
      </c>
      <c r="E3629" s="1" t="str">
        <f>HYPERLINK("http://www.ncbi.nlm.nih.gov/gene/?term=POMT2","NCBI")</f>
        <v>NCBI</v>
      </c>
      <c r="F3629">
        <v>2.4E-2</v>
      </c>
      <c r="G3629">
        <v>0.11</v>
      </c>
      <c r="H3629" s="1" t="str">
        <f>HYPERLINK("http://www.weizmann.ac.il/complex/compphys/software/geview/data/figures/220632_s_at.png","Figure")</f>
        <v>Figure</v>
      </c>
      <c r="I3629">
        <v>1.37</v>
      </c>
      <c r="J3629">
        <v>2.1000000000000001E-2</v>
      </c>
      <c r="K3629">
        <v>1.1000000000000001</v>
      </c>
      <c r="L3629">
        <v>0.55000000000000004</v>
      </c>
      <c r="M3629">
        <v>0.80400000000000005</v>
      </c>
      <c r="N3629">
        <v>8.5000000000000006E-2</v>
      </c>
    </row>
    <row r="3630" spans="1:14" x14ac:dyDescent="0.25">
      <c r="A3630" t="s">
        <v>6645</v>
      </c>
      <c r="B3630" t="s">
        <v>5199</v>
      </c>
      <c r="C3630" s="1" t="str">
        <f>HYPERLINK("http://www.genecards.org/cgi-bin/carddisp.pl?gene=ZNF771","GeneCards")</f>
        <v>GeneCards</v>
      </c>
      <c r="D3630" s="1" t="str">
        <f>HYPERLINK("http://genome-euro.ucsc.edu/cgi-bin/hgTracks?position=221968_s_at","UCSC")</f>
        <v>UCSC</v>
      </c>
      <c r="E3630" s="1" t="str">
        <f>HYPERLINK("http://www.ncbi.nlm.nih.gov/gene/?term=ZNF771","NCBI")</f>
        <v>NCBI</v>
      </c>
      <c r="F3630">
        <v>2.4E-2</v>
      </c>
      <c r="G3630">
        <v>0.11</v>
      </c>
      <c r="H3630" s="1" t="str">
        <f>HYPERLINK("http://www.weizmann.ac.il/complex/compphys/software/geview/data/figures/221968_s_at.png","Figure")</f>
        <v>Figure</v>
      </c>
      <c r="I3630">
        <v>1.23</v>
      </c>
      <c r="J3630">
        <v>2.4E-2</v>
      </c>
      <c r="K3630">
        <v>1.1499999999999999</v>
      </c>
      <c r="L3630">
        <v>8.1000000000000003E-2</v>
      </c>
      <c r="M3630">
        <v>0.93700000000000006</v>
      </c>
      <c r="N3630">
        <v>0.56999999999999995</v>
      </c>
    </row>
    <row r="3631" spans="1:14" x14ac:dyDescent="0.25">
      <c r="A3631" t="s">
        <v>6646</v>
      </c>
      <c r="B3631" t="s">
        <v>6647</v>
      </c>
      <c r="C3631" s="1" t="str">
        <f>HYPERLINK("http://www.genecards.org/cgi-bin/carddisp.pl?gene=RHAG","GeneCards")</f>
        <v>GeneCards</v>
      </c>
      <c r="D3631" s="1" t="str">
        <f>HYPERLINK("http://genome-euro.ucsc.edu/cgi-bin/hgTracks?position=206146_s_at","UCSC")</f>
        <v>UCSC</v>
      </c>
      <c r="E3631" s="1" t="str">
        <f>HYPERLINK("http://www.ncbi.nlm.nih.gov/gene/?term=RHAG","NCBI")</f>
        <v>NCBI</v>
      </c>
      <c r="F3631">
        <v>2.4E-2</v>
      </c>
      <c r="G3631">
        <v>0.11</v>
      </c>
      <c r="H3631" s="1" t="str">
        <f>HYPERLINK("http://www.weizmann.ac.il/complex/compphys/software/geview/data/figures/206146_s_at.png","Figure")</f>
        <v>Figure</v>
      </c>
      <c r="I3631">
        <v>1.46</v>
      </c>
      <c r="J3631">
        <v>1.9E-2</v>
      </c>
      <c r="K3631">
        <v>1.18</v>
      </c>
      <c r="L3631">
        <v>0.28999999999999998</v>
      </c>
      <c r="M3631">
        <v>0.80700000000000005</v>
      </c>
      <c r="N3631">
        <v>0.17</v>
      </c>
    </row>
    <row r="3632" spans="1:14" x14ac:dyDescent="0.25">
      <c r="A3632" t="s">
        <v>6648</v>
      </c>
      <c r="B3632" t="s">
        <v>6649</v>
      </c>
      <c r="C3632" s="1" t="str">
        <f>HYPERLINK("http://www.genecards.org/cgi-bin/carddisp.pl?gene=GNE","GeneCards")</f>
        <v>GeneCards</v>
      </c>
      <c r="D3632" s="1" t="str">
        <f>HYPERLINK("http://genome-euro.ucsc.edu/cgi-bin/hgTracks?position=205042_at","UCSC")</f>
        <v>UCSC</v>
      </c>
      <c r="E3632" s="1" t="str">
        <f>HYPERLINK("http://www.ncbi.nlm.nih.gov/gene/?term=GNE","NCBI")</f>
        <v>NCBI</v>
      </c>
      <c r="F3632">
        <v>2.4E-2</v>
      </c>
      <c r="G3632">
        <v>0.11</v>
      </c>
      <c r="H3632" s="1" t="str">
        <f>HYPERLINK("http://www.weizmann.ac.il/complex/compphys/software/geview/data/figures/205042_at.png","Figure")</f>
        <v>Figure</v>
      </c>
      <c r="I3632">
        <v>0.56999999999999995</v>
      </c>
      <c r="J3632">
        <v>5.3999999999999999E-2</v>
      </c>
      <c r="K3632">
        <v>0.57799999999999996</v>
      </c>
      <c r="L3632">
        <v>3.1E-2</v>
      </c>
      <c r="M3632">
        <v>1.01</v>
      </c>
      <c r="N3632">
        <v>1</v>
      </c>
    </row>
    <row r="3633" spans="1:14" x14ac:dyDescent="0.25">
      <c r="A3633" t="s">
        <v>6650</v>
      </c>
      <c r="B3633" t="s">
        <v>6651</v>
      </c>
      <c r="C3633" s="1" t="str">
        <f>HYPERLINK("http://www.genecards.org/cgi-bin/carddisp.pl?gene=COPE","GeneCards")</f>
        <v>GeneCards</v>
      </c>
      <c r="D3633" s="1" t="str">
        <f>HYPERLINK("http://genome-euro.ucsc.edu/cgi-bin/hgTracks?position=220469_at","UCSC")</f>
        <v>UCSC</v>
      </c>
      <c r="E3633" s="1" t="str">
        <f>HYPERLINK("http://www.ncbi.nlm.nih.gov/gene/?term=COPE","NCBI")</f>
        <v>NCBI</v>
      </c>
      <c r="F3633">
        <v>2.4E-2</v>
      </c>
      <c r="G3633">
        <v>0.11</v>
      </c>
      <c r="H3633" s="1" t="str">
        <f>HYPERLINK("http://www.weizmann.ac.il/complex/compphys/software/geview/data/figures/220469_at.png","Figure")</f>
        <v>Figure</v>
      </c>
      <c r="I3633">
        <v>1.1599999999999999</v>
      </c>
      <c r="J3633">
        <v>0.69</v>
      </c>
      <c r="K3633">
        <v>0.71699999999999997</v>
      </c>
      <c r="L3633">
        <v>0.11</v>
      </c>
      <c r="M3633">
        <v>0.62</v>
      </c>
      <c r="N3633">
        <v>2.8000000000000001E-2</v>
      </c>
    </row>
    <row r="3634" spans="1:14" x14ac:dyDescent="0.25">
      <c r="A3634" t="s">
        <v>6652</v>
      </c>
      <c r="B3634" t="s">
        <v>6653</v>
      </c>
      <c r="C3634" s="1" t="str">
        <f>HYPERLINK("http://www.genecards.org/cgi-bin/carddisp.pl?gene=C15orf44","GeneCards")</f>
        <v>GeneCards</v>
      </c>
      <c r="D3634" s="1" t="str">
        <f>HYPERLINK("http://genome-euro.ucsc.edu/cgi-bin/hgTracks?position=221265_s_at","UCSC")</f>
        <v>UCSC</v>
      </c>
      <c r="E3634" s="1" t="str">
        <f>HYPERLINK("http://www.ncbi.nlm.nih.gov/gene/?term=C15orf44","NCBI")</f>
        <v>NCBI</v>
      </c>
      <c r="F3634">
        <v>2.4E-2</v>
      </c>
      <c r="G3634">
        <v>0.11</v>
      </c>
      <c r="H3634" s="1" t="str">
        <f>HYPERLINK("http://www.weizmann.ac.il/complex/compphys/software/geview/data/figures/221265_s_at.png","Figure")</f>
        <v>Figure</v>
      </c>
      <c r="I3634">
        <v>1.21</v>
      </c>
      <c r="J3634">
        <v>3.1E-2</v>
      </c>
      <c r="K3634">
        <v>1.1599999999999999</v>
      </c>
      <c r="L3634">
        <v>5.5E-2</v>
      </c>
      <c r="M3634">
        <v>0.95899999999999996</v>
      </c>
      <c r="N3634">
        <v>0.77</v>
      </c>
    </row>
    <row r="3635" spans="1:14" x14ac:dyDescent="0.25">
      <c r="A3635" t="s">
        <v>6654</v>
      </c>
      <c r="B3635" t="s">
        <v>1511</v>
      </c>
      <c r="C3635" s="1" t="str">
        <f>HYPERLINK("http://www.genecards.org/cgi-bin/carddisp.pl?gene=H3F3A /// H3F3B /// LOC440926","GeneCards")</f>
        <v>GeneCards</v>
      </c>
      <c r="D3635" s="1" t="str">
        <f>HYPERLINK("http://genome-euro.ucsc.edu/cgi-bin/hgTracks?position=211940_x_at","UCSC")</f>
        <v>UCSC</v>
      </c>
      <c r="E3635" s="1" t="str">
        <f>HYPERLINK("http://www.ncbi.nlm.nih.gov/gene/?term=H3F3A /// H3F3B /// LOC440926","NCBI")</f>
        <v>NCBI</v>
      </c>
      <c r="F3635">
        <v>2.4E-2</v>
      </c>
      <c r="G3635">
        <v>0.11</v>
      </c>
      <c r="H3635" s="1" t="str">
        <f>HYPERLINK("http://www.weizmann.ac.il/complex/compphys/software/geview/data/figures/211940_x_at.png","Figure")</f>
        <v>Figure</v>
      </c>
      <c r="I3635">
        <v>1.64</v>
      </c>
      <c r="J3635">
        <v>5.0999999999999997E-2</v>
      </c>
      <c r="K3635">
        <v>1.61</v>
      </c>
      <c r="L3635">
        <v>3.2000000000000001E-2</v>
      </c>
      <c r="M3635">
        <v>0.97799999999999998</v>
      </c>
      <c r="N3635">
        <v>0.99</v>
      </c>
    </row>
    <row r="3636" spans="1:14" x14ac:dyDescent="0.25">
      <c r="A3636" t="s">
        <v>6655</v>
      </c>
      <c r="B3636" t="s">
        <v>6656</v>
      </c>
      <c r="C3636" s="1" t="str">
        <f>HYPERLINK("http://www.genecards.org/cgi-bin/carddisp.pl?gene=POL3S","GeneCards")</f>
        <v>GeneCards</v>
      </c>
      <c r="D3636" s="1" t="str">
        <f>HYPERLINK("http://genome-euro.ucsc.edu/cgi-bin/hgTracks?position=214226_at","UCSC")</f>
        <v>UCSC</v>
      </c>
      <c r="E3636" s="1" t="str">
        <f>HYPERLINK("http://www.ncbi.nlm.nih.gov/gene/?term=POL3S","NCBI")</f>
        <v>NCBI</v>
      </c>
      <c r="F3636">
        <v>2.4E-2</v>
      </c>
      <c r="G3636">
        <v>0.11</v>
      </c>
      <c r="H3636" s="1" t="str">
        <f>HYPERLINK("http://www.weizmann.ac.il/complex/compphys/software/geview/data/figures/214226_at.png","Figure")</f>
        <v>Figure</v>
      </c>
      <c r="I3636">
        <v>1.21</v>
      </c>
      <c r="J3636">
        <v>2.5000000000000001E-2</v>
      </c>
      <c r="K3636">
        <v>1.04</v>
      </c>
      <c r="L3636">
        <v>0.78</v>
      </c>
      <c r="M3636">
        <v>0.85799999999999998</v>
      </c>
      <c r="N3636">
        <v>5.5E-2</v>
      </c>
    </row>
    <row r="3637" spans="1:14" x14ac:dyDescent="0.25">
      <c r="A3637" t="s">
        <v>6657</v>
      </c>
      <c r="B3637" t="s">
        <v>6658</v>
      </c>
      <c r="C3637" s="1" t="str">
        <f>HYPERLINK("http://www.genecards.org/cgi-bin/carddisp.pl?gene=TIAL1","GeneCards")</f>
        <v>GeneCards</v>
      </c>
      <c r="D3637" s="1" t="str">
        <f>HYPERLINK("http://genome-euro.ucsc.edu/cgi-bin/hgTracks?position=202405_at","UCSC")</f>
        <v>UCSC</v>
      </c>
      <c r="E3637" s="1" t="str">
        <f>HYPERLINK("http://www.ncbi.nlm.nih.gov/gene/?term=TIAL1","NCBI")</f>
        <v>NCBI</v>
      </c>
      <c r="F3637">
        <v>2.4E-2</v>
      </c>
      <c r="G3637">
        <v>0.11</v>
      </c>
      <c r="H3637" s="1" t="str">
        <f>HYPERLINK("http://www.weizmann.ac.il/complex/compphys/software/geview/data/figures/202405_at.png","Figure")</f>
        <v>Figure</v>
      </c>
      <c r="I3637">
        <v>0.70399999999999996</v>
      </c>
      <c r="J3637">
        <v>0.42</v>
      </c>
      <c r="K3637">
        <v>0.47699999999999998</v>
      </c>
      <c r="L3637">
        <v>1.9E-2</v>
      </c>
      <c r="M3637">
        <v>0.67700000000000005</v>
      </c>
      <c r="N3637">
        <v>0.3</v>
      </c>
    </row>
    <row r="3638" spans="1:14" x14ac:dyDescent="0.25">
      <c r="A3638" t="s">
        <v>6659</v>
      </c>
      <c r="B3638" t="s">
        <v>6660</v>
      </c>
      <c r="C3638" s="1" t="str">
        <f>HYPERLINK("http://www.genecards.org/cgi-bin/carddisp.pl?gene=INPP5A","GeneCards")</f>
        <v>GeneCards</v>
      </c>
      <c r="D3638" s="1" t="str">
        <f>HYPERLINK("http://genome-euro.ucsc.edu/cgi-bin/hgTracks?position=203006_at","UCSC")</f>
        <v>UCSC</v>
      </c>
      <c r="E3638" s="1" t="str">
        <f>HYPERLINK("http://www.ncbi.nlm.nih.gov/gene/?term=INPP5A","NCBI")</f>
        <v>NCBI</v>
      </c>
      <c r="F3638">
        <v>2.4E-2</v>
      </c>
      <c r="G3638">
        <v>0.11</v>
      </c>
      <c r="H3638" s="1" t="str">
        <f>HYPERLINK("http://www.weizmann.ac.il/complex/compphys/software/geview/data/figures/203006_at.png","Figure")</f>
        <v>Figure</v>
      </c>
      <c r="I3638">
        <v>0.64500000000000002</v>
      </c>
      <c r="J3638">
        <v>4.3999999999999997E-2</v>
      </c>
      <c r="K3638">
        <v>0.67300000000000004</v>
      </c>
      <c r="L3638">
        <v>3.6999999999999998E-2</v>
      </c>
      <c r="M3638">
        <v>1.04</v>
      </c>
      <c r="N3638">
        <v>0.96</v>
      </c>
    </row>
    <row r="3639" spans="1:14" x14ac:dyDescent="0.25">
      <c r="A3639" t="s">
        <v>6661</v>
      </c>
      <c r="B3639" t="s">
        <v>2136</v>
      </c>
      <c r="C3639" s="1" t="str">
        <f>HYPERLINK("http://www.genecards.org/cgi-bin/carddisp.pl?gene=KIAA0652","GeneCards")</f>
        <v>GeneCards</v>
      </c>
      <c r="D3639" s="1" t="str">
        <f>HYPERLINK("http://genome-euro.ucsc.edu/cgi-bin/hgTracks?position=203363_s_at","UCSC")</f>
        <v>UCSC</v>
      </c>
      <c r="E3639" s="1" t="str">
        <f>HYPERLINK("http://www.ncbi.nlm.nih.gov/gene/?term=KIAA0652","NCBI")</f>
        <v>NCBI</v>
      </c>
      <c r="F3639">
        <v>2.4E-2</v>
      </c>
      <c r="G3639">
        <v>0.11</v>
      </c>
      <c r="H3639" s="1" t="str">
        <f>HYPERLINK("http://www.weizmann.ac.il/complex/compphys/software/geview/data/figures/203363_s_at.png","Figure")</f>
        <v>Figure</v>
      </c>
      <c r="I3639">
        <v>1.38</v>
      </c>
      <c r="J3639">
        <v>0.02</v>
      </c>
      <c r="K3639">
        <v>1.1200000000000001</v>
      </c>
      <c r="L3639">
        <v>0.46</v>
      </c>
      <c r="M3639">
        <v>0.81</v>
      </c>
      <c r="N3639">
        <v>0.11</v>
      </c>
    </row>
    <row r="3640" spans="1:14" x14ac:dyDescent="0.25">
      <c r="A3640" t="s">
        <v>6662</v>
      </c>
      <c r="B3640" t="s">
        <v>6663</v>
      </c>
      <c r="C3640" s="1" t="str">
        <f>HYPERLINK("http://www.genecards.org/cgi-bin/carddisp.pl?gene=FAM178A","GeneCards")</f>
        <v>GeneCards</v>
      </c>
      <c r="D3640" s="1" t="str">
        <f>HYPERLINK("http://genome-euro.ucsc.edu/cgi-bin/hgTracks?position=203481_at","UCSC")</f>
        <v>UCSC</v>
      </c>
      <c r="E3640" s="1" t="str">
        <f>HYPERLINK("http://www.ncbi.nlm.nih.gov/gene/?term=FAM178A","NCBI")</f>
        <v>NCBI</v>
      </c>
      <c r="F3640">
        <v>2.4E-2</v>
      </c>
      <c r="G3640">
        <v>0.11</v>
      </c>
      <c r="H3640" s="1" t="str">
        <f>HYPERLINK("http://www.weizmann.ac.il/complex/compphys/software/geview/data/figures/203481_at.png","Figure")</f>
        <v>Figure</v>
      </c>
      <c r="I3640">
        <v>0.81399999999999995</v>
      </c>
      <c r="J3640">
        <v>3.5999999999999997E-2</v>
      </c>
      <c r="K3640">
        <v>0.98799999999999999</v>
      </c>
      <c r="L3640">
        <v>0.98</v>
      </c>
      <c r="M3640">
        <v>1.21</v>
      </c>
      <c r="N3640">
        <v>3.4000000000000002E-2</v>
      </c>
    </row>
    <row r="3641" spans="1:14" x14ac:dyDescent="0.25">
      <c r="A3641" t="s">
        <v>6664</v>
      </c>
      <c r="B3641" t="s">
        <v>6665</v>
      </c>
      <c r="C3641" s="1" t="str">
        <f>HYPERLINK("http://www.genecards.org/cgi-bin/carddisp.pl?gene=FUT8","GeneCards")</f>
        <v>GeneCards</v>
      </c>
      <c r="D3641" s="1" t="str">
        <f>HYPERLINK("http://genome-euro.ucsc.edu/cgi-bin/hgTracks?position=203988_s_at","UCSC")</f>
        <v>UCSC</v>
      </c>
      <c r="E3641" s="1" t="str">
        <f>HYPERLINK("http://www.ncbi.nlm.nih.gov/gene/?term=FUT8","NCBI")</f>
        <v>NCBI</v>
      </c>
      <c r="F3641">
        <v>2.4E-2</v>
      </c>
      <c r="G3641">
        <v>0.11</v>
      </c>
      <c r="H3641" s="1" t="str">
        <f>HYPERLINK("http://www.weizmann.ac.il/complex/compphys/software/geview/data/figures/203988_s_at.png","Figure")</f>
        <v>Figure</v>
      </c>
      <c r="I3641">
        <v>0.65300000000000002</v>
      </c>
      <c r="J3641">
        <v>0.02</v>
      </c>
      <c r="K3641">
        <v>0.877</v>
      </c>
      <c r="L3641">
        <v>0.53</v>
      </c>
      <c r="M3641">
        <v>1.34</v>
      </c>
      <c r="N3641">
        <v>0.09</v>
      </c>
    </row>
    <row r="3642" spans="1:14" x14ac:dyDescent="0.25">
      <c r="A3642" t="s">
        <v>6666</v>
      </c>
      <c r="B3642" t="s">
        <v>6667</v>
      </c>
      <c r="C3642" s="1" t="str">
        <f>HYPERLINK("http://www.genecards.org/cgi-bin/carddisp.pl?gene=SAP30","GeneCards")</f>
        <v>GeneCards</v>
      </c>
      <c r="D3642" s="1" t="str">
        <f>HYPERLINK("http://genome-euro.ucsc.edu/cgi-bin/hgTracks?position=204900_x_at","UCSC")</f>
        <v>UCSC</v>
      </c>
      <c r="E3642" s="1" t="str">
        <f>HYPERLINK("http://www.ncbi.nlm.nih.gov/gene/?term=SAP30","NCBI")</f>
        <v>NCBI</v>
      </c>
      <c r="F3642">
        <v>2.4E-2</v>
      </c>
      <c r="G3642">
        <v>0.11</v>
      </c>
      <c r="H3642" s="1" t="str">
        <f>HYPERLINK("http://www.weizmann.ac.il/complex/compphys/software/geview/data/figures/204900_x_at.png","Figure")</f>
        <v>Figure</v>
      </c>
      <c r="I3642">
        <v>0.28599999999999998</v>
      </c>
      <c r="J3642">
        <v>1.9E-2</v>
      </c>
      <c r="K3642">
        <v>0.58599999999999997</v>
      </c>
      <c r="L3642">
        <v>0.3</v>
      </c>
      <c r="M3642">
        <v>2.0499999999999998</v>
      </c>
      <c r="N3642">
        <v>0.16</v>
      </c>
    </row>
    <row r="3643" spans="1:14" x14ac:dyDescent="0.25">
      <c r="A3643" t="s">
        <v>6668</v>
      </c>
      <c r="B3643" t="s">
        <v>4234</v>
      </c>
      <c r="C3643" s="1" t="str">
        <f>HYPERLINK("http://www.genecards.org/cgi-bin/carddisp.pl?gene=CSRP2","GeneCards")</f>
        <v>GeneCards</v>
      </c>
      <c r="D3643" s="1" t="str">
        <f>HYPERLINK("http://genome-euro.ucsc.edu/cgi-bin/hgTracks?position=207030_s_at","UCSC")</f>
        <v>UCSC</v>
      </c>
      <c r="E3643" s="1" t="str">
        <f>HYPERLINK("http://www.ncbi.nlm.nih.gov/gene/?term=CSRP2","NCBI")</f>
        <v>NCBI</v>
      </c>
      <c r="F3643">
        <v>2.4E-2</v>
      </c>
      <c r="G3643">
        <v>0.11</v>
      </c>
      <c r="H3643" s="1" t="str">
        <f>HYPERLINK("http://www.weizmann.ac.il/complex/compphys/software/geview/data/figures/207030_s_at.png","Figure")</f>
        <v>Figure</v>
      </c>
      <c r="I3643">
        <v>0.40500000000000003</v>
      </c>
      <c r="J3643">
        <v>2.1999999999999999E-2</v>
      </c>
      <c r="K3643">
        <v>0.56200000000000006</v>
      </c>
      <c r="L3643">
        <v>0.1</v>
      </c>
      <c r="M3643">
        <v>1.39</v>
      </c>
      <c r="N3643">
        <v>0.48</v>
      </c>
    </row>
    <row r="3644" spans="1:14" x14ac:dyDescent="0.25">
      <c r="A3644" t="s">
        <v>6669</v>
      </c>
      <c r="B3644" t="s">
        <v>3447</v>
      </c>
      <c r="C3644" s="1" t="str">
        <f>HYPERLINK("http://www.genecards.org/cgi-bin/carddisp.pl?gene=RAB27A","GeneCards")</f>
        <v>GeneCards</v>
      </c>
      <c r="D3644" s="1" t="str">
        <f>HYPERLINK("http://genome-euro.ucsc.edu/cgi-bin/hgTracks?position=209514_s_at","UCSC")</f>
        <v>UCSC</v>
      </c>
      <c r="E3644" s="1" t="str">
        <f>HYPERLINK("http://www.ncbi.nlm.nih.gov/gene/?term=RAB27A","NCBI")</f>
        <v>NCBI</v>
      </c>
      <c r="F3644">
        <v>2.4E-2</v>
      </c>
      <c r="G3644">
        <v>0.11</v>
      </c>
      <c r="H3644" s="1" t="str">
        <f>HYPERLINK("http://www.weizmann.ac.il/complex/compphys/software/geview/data/figures/209514_s_at.png","Figure")</f>
        <v>Figure</v>
      </c>
      <c r="I3644">
        <v>0.91200000000000003</v>
      </c>
      <c r="J3644">
        <v>0.76</v>
      </c>
      <c r="K3644">
        <v>1.29</v>
      </c>
      <c r="L3644">
        <v>9.1999999999999998E-2</v>
      </c>
      <c r="M3644">
        <v>1.42</v>
      </c>
      <c r="N3644">
        <v>0.03</v>
      </c>
    </row>
    <row r="3645" spans="1:14" x14ac:dyDescent="0.25">
      <c r="A3645" t="s">
        <v>6670</v>
      </c>
      <c r="B3645" t="s">
        <v>6671</v>
      </c>
      <c r="C3645" s="1" t="str">
        <f>HYPERLINK("http://www.genecards.org/cgi-bin/carddisp.pl?gene=WEE1","GeneCards")</f>
        <v>GeneCards</v>
      </c>
      <c r="D3645" s="1" t="str">
        <f>HYPERLINK("http://genome-euro.ucsc.edu/cgi-bin/hgTracks?position=215711_s_at","UCSC")</f>
        <v>UCSC</v>
      </c>
      <c r="E3645" s="1" t="str">
        <f>HYPERLINK("http://www.ncbi.nlm.nih.gov/gene/?term=WEE1","NCBI")</f>
        <v>NCBI</v>
      </c>
      <c r="F3645">
        <v>2.4E-2</v>
      </c>
      <c r="G3645">
        <v>0.11</v>
      </c>
      <c r="H3645" s="1" t="str">
        <f>HYPERLINK("http://www.weizmann.ac.il/complex/compphys/software/geview/data/figures/215711_s_at.png","Figure")</f>
        <v>Figure</v>
      </c>
      <c r="I3645">
        <v>1.21</v>
      </c>
      <c r="J3645">
        <v>2.1000000000000001E-2</v>
      </c>
      <c r="K3645">
        <v>1.06</v>
      </c>
      <c r="L3645">
        <v>0.54</v>
      </c>
      <c r="M3645">
        <v>0.876</v>
      </c>
      <c r="N3645">
        <v>8.5999999999999993E-2</v>
      </c>
    </row>
    <row r="3646" spans="1:14" x14ac:dyDescent="0.25">
      <c r="A3646" t="s">
        <v>6672</v>
      </c>
      <c r="B3646" t="s">
        <v>6673</v>
      </c>
      <c r="C3646" s="1" t="str">
        <f>HYPERLINK("http://www.genecards.org/cgi-bin/carddisp.pl?gene=PLCXD1","GeneCards")</f>
        <v>GeneCards</v>
      </c>
      <c r="D3646" s="1" t="str">
        <f>HYPERLINK("http://genome-euro.ucsc.edu/cgi-bin/hgTracks?position=218951_s_at","UCSC")</f>
        <v>UCSC</v>
      </c>
      <c r="E3646" s="1" t="str">
        <f>HYPERLINK("http://www.ncbi.nlm.nih.gov/gene/?term=PLCXD1","NCBI")</f>
        <v>NCBI</v>
      </c>
      <c r="F3646">
        <v>2.4E-2</v>
      </c>
      <c r="G3646">
        <v>0.11</v>
      </c>
      <c r="H3646" s="1" t="str">
        <f>HYPERLINK("http://www.weizmann.ac.il/complex/compphys/software/geview/data/figures/218951_s_at.png","Figure")</f>
        <v>Figure</v>
      </c>
      <c r="I3646">
        <v>0.66900000000000004</v>
      </c>
      <c r="J3646">
        <v>2.9000000000000001E-2</v>
      </c>
      <c r="K3646">
        <v>0.73899999999999999</v>
      </c>
      <c r="L3646">
        <v>0.06</v>
      </c>
      <c r="M3646">
        <v>1.1000000000000001</v>
      </c>
      <c r="N3646">
        <v>0.72</v>
      </c>
    </row>
    <row r="3647" spans="1:14" x14ac:dyDescent="0.25">
      <c r="A3647" t="s">
        <v>6674</v>
      </c>
      <c r="B3647" t="s">
        <v>6675</v>
      </c>
      <c r="C3647" s="1" t="str">
        <f>HYPERLINK("http://www.genecards.org/cgi-bin/carddisp.pl?gene=TUBA4A","GeneCards")</f>
        <v>GeneCards</v>
      </c>
      <c r="D3647" s="1" t="str">
        <f>HYPERLINK("http://genome-euro.ucsc.edu/cgi-bin/hgTracks?position=212242_at","UCSC")</f>
        <v>UCSC</v>
      </c>
      <c r="E3647" s="1" t="str">
        <f>HYPERLINK("http://www.ncbi.nlm.nih.gov/gene/?term=TUBA4A","NCBI")</f>
        <v>NCBI</v>
      </c>
      <c r="F3647">
        <v>2.4E-2</v>
      </c>
      <c r="G3647">
        <v>0.11</v>
      </c>
      <c r="H3647" s="1" t="str">
        <f>HYPERLINK("http://www.weizmann.ac.il/complex/compphys/software/geview/data/figures/212242_at.png","Figure")</f>
        <v>Figure</v>
      </c>
      <c r="I3647">
        <v>0.48699999999999999</v>
      </c>
      <c r="J3647">
        <v>0.03</v>
      </c>
      <c r="K3647">
        <v>0.57799999999999996</v>
      </c>
      <c r="L3647">
        <v>5.8000000000000003E-2</v>
      </c>
      <c r="M3647">
        <v>1.19</v>
      </c>
      <c r="N3647">
        <v>0.74</v>
      </c>
    </row>
    <row r="3648" spans="1:14" x14ac:dyDescent="0.25">
      <c r="A3648" t="s">
        <v>6676</v>
      </c>
      <c r="B3648" t="s">
        <v>2567</v>
      </c>
      <c r="C3648" s="1" t="str">
        <f>HYPERLINK("http://www.genecards.org/cgi-bin/carddisp.pl?gene=LARP4B","GeneCards")</f>
        <v>GeneCards</v>
      </c>
      <c r="D3648" s="1" t="str">
        <f>HYPERLINK("http://genome-euro.ucsc.edu/cgi-bin/hgTracks?position=208954_s_at","UCSC")</f>
        <v>UCSC</v>
      </c>
      <c r="E3648" s="1" t="str">
        <f>HYPERLINK("http://www.ncbi.nlm.nih.gov/gene/?term=LARP4B","NCBI")</f>
        <v>NCBI</v>
      </c>
      <c r="F3648">
        <v>2.4E-2</v>
      </c>
      <c r="G3648">
        <v>0.11</v>
      </c>
      <c r="H3648" s="1" t="str">
        <f>HYPERLINK("http://www.weizmann.ac.il/complex/compphys/software/geview/data/figures/208954_s_at.png","Figure")</f>
        <v>Figure</v>
      </c>
      <c r="I3648">
        <v>0.60799999999999998</v>
      </c>
      <c r="J3648">
        <v>5.2999999999999999E-2</v>
      </c>
      <c r="K3648">
        <v>1.04</v>
      </c>
      <c r="L3648">
        <v>0.97</v>
      </c>
      <c r="M3648">
        <v>1.71</v>
      </c>
      <c r="N3648">
        <v>2.5999999999999999E-2</v>
      </c>
    </row>
    <row r="3649" spans="1:14" x14ac:dyDescent="0.25">
      <c r="A3649" t="s">
        <v>6677</v>
      </c>
      <c r="B3649" t="s">
        <v>6678</v>
      </c>
      <c r="C3649" s="1" t="str">
        <f>HYPERLINK("http://www.genecards.org/cgi-bin/carddisp.pl?gene=MACF1","GeneCards")</f>
        <v>GeneCards</v>
      </c>
      <c r="D3649" s="1" t="str">
        <f>HYPERLINK("http://genome-euro.ucsc.edu/cgi-bin/hgTracks?position=215222_x_at","UCSC")</f>
        <v>UCSC</v>
      </c>
      <c r="E3649" s="1" t="str">
        <f>HYPERLINK("http://www.ncbi.nlm.nih.gov/gene/?term=MACF1","NCBI")</f>
        <v>NCBI</v>
      </c>
      <c r="F3649">
        <v>2.4E-2</v>
      </c>
      <c r="G3649">
        <v>0.11</v>
      </c>
      <c r="H3649" s="1" t="str">
        <f>HYPERLINK("http://www.weizmann.ac.il/complex/compphys/software/geview/data/figures/215222_x_at.png","Figure")</f>
        <v>Figure</v>
      </c>
      <c r="I3649">
        <v>1.65</v>
      </c>
      <c r="J3649">
        <v>2.1999999999999999E-2</v>
      </c>
      <c r="K3649">
        <v>1.36</v>
      </c>
      <c r="L3649">
        <v>0.11</v>
      </c>
      <c r="M3649">
        <v>0.82699999999999996</v>
      </c>
      <c r="N3649">
        <v>0.44</v>
      </c>
    </row>
    <row r="3650" spans="1:14" x14ac:dyDescent="0.25">
      <c r="A3650" t="s">
        <v>6679</v>
      </c>
      <c r="B3650" t="s">
        <v>6680</v>
      </c>
      <c r="C3650" s="1" t="str">
        <f>HYPERLINK("http://www.genecards.org/cgi-bin/carddisp.pl?gene=CARD14","GeneCards")</f>
        <v>GeneCards</v>
      </c>
      <c r="D3650" s="1" t="str">
        <f>HYPERLINK("http://genome-euro.ucsc.edu/cgi-bin/hgTracks?position=220598_at","UCSC")</f>
        <v>UCSC</v>
      </c>
      <c r="E3650" s="1" t="str">
        <f>HYPERLINK("http://www.ncbi.nlm.nih.gov/gene/?term=CARD14","NCBI")</f>
        <v>NCBI</v>
      </c>
      <c r="F3650">
        <v>2.4E-2</v>
      </c>
      <c r="G3650">
        <v>0.11</v>
      </c>
      <c r="H3650" s="1" t="str">
        <f>HYPERLINK("http://www.weizmann.ac.il/complex/compphys/software/geview/data/figures/220598_at.png","Figure")</f>
        <v>Figure</v>
      </c>
      <c r="I3650">
        <v>1.25</v>
      </c>
      <c r="J3650">
        <v>2.1999999999999999E-2</v>
      </c>
      <c r="K3650">
        <v>1.06</v>
      </c>
      <c r="L3650">
        <v>0.61</v>
      </c>
      <c r="M3650">
        <v>0.85199999999999998</v>
      </c>
      <c r="N3650">
        <v>7.4999999999999997E-2</v>
      </c>
    </row>
    <row r="3651" spans="1:14" x14ac:dyDescent="0.25">
      <c r="A3651" t="s">
        <v>6681</v>
      </c>
      <c r="B3651" t="s">
        <v>6682</v>
      </c>
      <c r="C3651" s="1" t="str">
        <f>HYPERLINK("http://www.genecards.org/cgi-bin/carddisp.pl?gene=SEZ6L","GeneCards")</f>
        <v>GeneCards</v>
      </c>
      <c r="D3651" s="1" t="str">
        <f>HYPERLINK("http://genome-euro.ucsc.edu/cgi-bin/hgTracks?position=207873_x_at","UCSC")</f>
        <v>UCSC</v>
      </c>
      <c r="E3651" s="1" t="str">
        <f>HYPERLINK("http://www.ncbi.nlm.nih.gov/gene/?term=SEZ6L","NCBI")</f>
        <v>NCBI</v>
      </c>
      <c r="F3651">
        <v>2.4E-2</v>
      </c>
      <c r="G3651">
        <v>0.11</v>
      </c>
      <c r="H3651" s="1" t="str">
        <f>HYPERLINK("http://www.weizmann.ac.il/complex/compphys/software/geview/data/figures/207873_x_at.png","Figure")</f>
        <v>Figure</v>
      </c>
      <c r="I3651">
        <v>1.28</v>
      </c>
      <c r="J3651">
        <v>2.1999999999999999E-2</v>
      </c>
      <c r="K3651">
        <v>1.07</v>
      </c>
      <c r="L3651">
        <v>0.64</v>
      </c>
      <c r="M3651">
        <v>0.83399999999999996</v>
      </c>
      <c r="N3651">
        <v>7.0999999999999994E-2</v>
      </c>
    </row>
    <row r="3652" spans="1:14" x14ac:dyDescent="0.25">
      <c r="A3652" t="s">
        <v>6683</v>
      </c>
      <c r="B3652" t="s">
        <v>6684</v>
      </c>
      <c r="C3652" s="1" t="str">
        <f>HYPERLINK("http://www.genecards.org/cgi-bin/carddisp.pl?gene=PLA2G2D","GeneCards")</f>
        <v>GeneCards</v>
      </c>
      <c r="D3652" s="1" t="str">
        <f>HYPERLINK("http://genome-euro.ucsc.edu/cgi-bin/hgTracks?position=220423_at","UCSC")</f>
        <v>UCSC</v>
      </c>
      <c r="E3652" s="1" t="str">
        <f>HYPERLINK("http://www.ncbi.nlm.nih.gov/gene/?term=PLA2G2D","NCBI")</f>
        <v>NCBI</v>
      </c>
      <c r="F3652">
        <v>2.4E-2</v>
      </c>
      <c r="G3652">
        <v>0.11</v>
      </c>
      <c r="H3652" s="1" t="str">
        <f>HYPERLINK("http://www.weizmann.ac.il/complex/compphys/software/geview/data/figures/220423_at.png","Figure")</f>
        <v>Figure</v>
      </c>
      <c r="I3652">
        <v>1.38</v>
      </c>
      <c r="J3652">
        <v>0.02</v>
      </c>
      <c r="K3652">
        <v>1.1100000000000001</v>
      </c>
      <c r="L3652">
        <v>0.49</v>
      </c>
      <c r="M3652">
        <v>0.80300000000000005</v>
      </c>
      <c r="N3652">
        <v>9.7000000000000003E-2</v>
      </c>
    </row>
    <row r="3653" spans="1:14" x14ac:dyDescent="0.25">
      <c r="A3653" t="s">
        <v>6685</v>
      </c>
      <c r="B3653" t="s">
        <v>6686</v>
      </c>
      <c r="C3653" s="1" t="str">
        <f>HYPERLINK("http://www.genecards.org/cgi-bin/carddisp.pl?gene=SFRS5","GeneCards")</f>
        <v>GeneCards</v>
      </c>
      <c r="D3653" s="1" t="str">
        <f>HYPERLINK("http://genome-euro.ucsc.edu/cgi-bin/hgTracks?position=203380_x_at","UCSC")</f>
        <v>UCSC</v>
      </c>
      <c r="E3653" s="1" t="str">
        <f>HYPERLINK("http://www.ncbi.nlm.nih.gov/gene/?term=SFRS5","NCBI")</f>
        <v>NCBI</v>
      </c>
      <c r="F3653">
        <v>2.4E-2</v>
      </c>
      <c r="G3653">
        <v>0.11</v>
      </c>
      <c r="H3653" s="1" t="str">
        <f>HYPERLINK("http://www.weizmann.ac.il/complex/compphys/software/geview/data/figures/203380_x_at.png","Figure")</f>
        <v>Figure</v>
      </c>
      <c r="I3653">
        <v>0.61199999999999999</v>
      </c>
      <c r="J3653">
        <v>2.5999999999999999E-2</v>
      </c>
      <c r="K3653">
        <v>0.70399999999999996</v>
      </c>
      <c r="L3653">
        <v>7.1999999999999995E-2</v>
      </c>
      <c r="M3653">
        <v>1.1499999999999999</v>
      </c>
      <c r="N3653">
        <v>0.64</v>
      </c>
    </row>
    <row r="3654" spans="1:14" x14ac:dyDescent="0.25">
      <c r="A3654" t="s">
        <v>6687</v>
      </c>
      <c r="B3654" t="s">
        <v>6688</v>
      </c>
      <c r="C3654" s="1" t="str">
        <f>HYPERLINK("http://www.genecards.org/cgi-bin/carddisp.pl?gene=PDE4A","GeneCards")</f>
        <v>GeneCards</v>
      </c>
      <c r="D3654" s="1" t="str">
        <f>HYPERLINK("http://genome-euro.ucsc.edu/cgi-bin/hgTracks?position=204735_at","UCSC")</f>
        <v>UCSC</v>
      </c>
      <c r="E3654" s="1" t="str">
        <f>HYPERLINK("http://www.ncbi.nlm.nih.gov/gene/?term=PDE4A","NCBI")</f>
        <v>NCBI</v>
      </c>
      <c r="F3654">
        <v>2.4E-2</v>
      </c>
      <c r="G3654">
        <v>0.11</v>
      </c>
      <c r="H3654" s="1" t="str">
        <f>HYPERLINK("http://www.weizmann.ac.il/complex/compphys/software/geview/data/figures/204735_at.png","Figure")</f>
        <v>Figure</v>
      </c>
      <c r="I3654">
        <v>1.25</v>
      </c>
      <c r="J3654">
        <v>0.34</v>
      </c>
      <c r="K3654">
        <v>0.79900000000000004</v>
      </c>
      <c r="L3654">
        <v>0.25</v>
      </c>
      <c r="M3654">
        <v>0.64</v>
      </c>
      <c r="N3654">
        <v>0.02</v>
      </c>
    </row>
    <row r="3655" spans="1:14" x14ac:dyDescent="0.25">
      <c r="A3655" t="s">
        <v>6689</v>
      </c>
      <c r="B3655" t="s">
        <v>6690</v>
      </c>
      <c r="C3655" s="1" t="str">
        <f>HYPERLINK("http://www.genecards.org/cgi-bin/carddisp.pl?gene=NFE2L1","GeneCards")</f>
        <v>GeneCards</v>
      </c>
      <c r="D3655" s="1" t="str">
        <f>HYPERLINK("http://genome-euro.ucsc.edu/cgi-bin/hgTracks?position=214179_s_at","UCSC")</f>
        <v>UCSC</v>
      </c>
      <c r="E3655" s="1" t="str">
        <f>HYPERLINK("http://www.ncbi.nlm.nih.gov/gene/?term=NFE2L1","NCBI")</f>
        <v>NCBI</v>
      </c>
      <c r="F3655">
        <v>2.4E-2</v>
      </c>
      <c r="G3655">
        <v>0.11</v>
      </c>
      <c r="H3655" s="1" t="str">
        <f>HYPERLINK("http://www.weizmann.ac.il/complex/compphys/software/geview/data/figures/214179_s_at.png","Figure")</f>
        <v>Figure</v>
      </c>
      <c r="I3655">
        <v>1.34</v>
      </c>
      <c r="J3655">
        <v>2.1000000000000001E-2</v>
      </c>
      <c r="K3655">
        <v>1.08</v>
      </c>
      <c r="L3655">
        <v>0.59</v>
      </c>
      <c r="M3655">
        <v>0.81200000000000006</v>
      </c>
      <c r="N3655">
        <v>7.9000000000000001E-2</v>
      </c>
    </row>
    <row r="3656" spans="1:14" x14ac:dyDescent="0.25">
      <c r="A3656" t="s">
        <v>6691</v>
      </c>
      <c r="B3656" t="s">
        <v>6692</v>
      </c>
      <c r="C3656" s="1" t="str">
        <f>HYPERLINK("http://www.genecards.org/cgi-bin/carddisp.pl?gene=PCDHB13","GeneCards")</f>
        <v>GeneCards</v>
      </c>
      <c r="D3656" s="1" t="str">
        <f>HYPERLINK("http://genome-euro.ucsc.edu/cgi-bin/hgTracks?position=221450_x_at","UCSC")</f>
        <v>UCSC</v>
      </c>
      <c r="E3656" s="1" t="str">
        <f>HYPERLINK("http://www.ncbi.nlm.nih.gov/gene/?term=PCDHB13","NCBI")</f>
        <v>NCBI</v>
      </c>
      <c r="F3656">
        <v>2.4E-2</v>
      </c>
      <c r="G3656">
        <v>0.11</v>
      </c>
      <c r="H3656" s="1" t="str">
        <f>HYPERLINK("http://www.weizmann.ac.il/complex/compphys/software/geview/data/figures/221450_x_at.png","Figure")</f>
        <v>Figure</v>
      </c>
      <c r="I3656">
        <v>0.96</v>
      </c>
      <c r="J3656">
        <v>0.87</v>
      </c>
      <c r="K3656">
        <v>0.81100000000000005</v>
      </c>
      <c r="L3656">
        <v>2.8000000000000001E-2</v>
      </c>
      <c r="M3656">
        <v>0.84499999999999997</v>
      </c>
      <c r="N3656">
        <v>0.1</v>
      </c>
    </row>
    <row r="3657" spans="1:14" x14ac:dyDescent="0.25">
      <c r="A3657" t="s">
        <v>6693</v>
      </c>
      <c r="B3657" t="s">
        <v>6694</v>
      </c>
      <c r="C3657" s="1" t="str">
        <f>HYPERLINK("http://www.genecards.org/cgi-bin/carddisp.pl?gene=RPA3","GeneCards")</f>
        <v>GeneCards</v>
      </c>
      <c r="D3657" s="1" t="str">
        <f>HYPERLINK("http://genome-euro.ucsc.edu/cgi-bin/hgTracks?position=209507_at","UCSC")</f>
        <v>UCSC</v>
      </c>
      <c r="E3657" s="1" t="str">
        <f>HYPERLINK("http://www.ncbi.nlm.nih.gov/gene/?term=RPA3","NCBI")</f>
        <v>NCBI</v>
      </c>
      <c r="F3657">
        <v>2.4E-2</v>
      </c>
      <c r="G3657">
        <v>0.11</v>
      </c>
      <c r="H3657" s="1" t="str">
        <f>HYPERLINK("http://www.weizmann.ac.il/complex/compphys/software/geview/data/figures/209507_at.png","Figure")</f>
        <v>Figure</v>
      </c>
      <c r="I3657">
        <v>1.53</v>
      </c>
      <c r="J3657">
        <v>9.5000000000000001E-2</v>
      </c>
      <c r="K3657">
        <v>1.65</v>
      </c>
      <c r="L3657">
        <v>2.3E-2</v>
      </c>
      <c r="M3657">
        <v>1.08</v>
      </c>
      <c r="N3657">
        <v>0.91</v>
      </c>
    </row>
    <row r="3658" spans="1:14" x14ac:dyDescent="0.25">
      <c r="A3658" t="s">
        <v>6695</v>
      </c>
      <c r="B3658" t="s">
        <v>5140</v>
      </c>
      <c r="C3658" s="1" t="str">
        <f>HYPERLINK("http://www.genecards.org/cgi-bin/carddisp.pl?gene=LEF1","GeneCards")</f>
        <v>GeneCards</v>
      </c>
      <c r="D3658" s="1" t="str">
        <f>HYPERLINK("http://genome-euro.ucsc.edu/cgi-bin/hgTracks?position=221557_s_at","UCSC")</f>
        <v>UCSC</v>
      </c>
      <c r="E3658" s="1" t="str">
        <f>HYPERLINK("http://www.ncbi.nlm.nih.gov/gene/?term=LEF1","NCBI")</f>
        <v>NCBI</v>
      </c>
      <c r="F3658">
        <v>2.4E-2</v>
      </c>
      <c r="G3658">
        <v>0.11</v>
      </c>
      <c r="H3658" s="1" t="str">
        <f>HYPERLINK("http://www.weizmann.ac.il/complex/compphys/software/geview/data/figures/221557_s_at.png","Figure")</f>
        <v>Figure</v>
      </c>
      <c r="I3658">
        <v>1.41</v>
      </c>
      <c r="J3658">
        <v>2.3E-2</v>
      </c>
      <c r="K3658">
        <v>1.25</v>
      </c>
      <c r="L3658">
        <v>9.6000000000000002E-2</v>
      </c>
      <c r="M3658">
        <v>0.88700000000000001</v>
      </c>
      <c r="N3658">
        <v>0.5</v>
      </c>
    </row>
    <row r="3659" spans="1:14" x14ac:dyDescent="0.25">
      <c r="A3659" t="s">
        <v>6696</v>
      </c>
      <c r="B3659" t="s">
        <v>229</v>
      </c>
      <c r="C3659" s="1" t="str">
        <f>HYPERLINK("http://www.genecards.org/cgi-bin/carddisp.pl?gene=BAG5","GeneCards")</f>
        <v>GeneCards</v>
      </c>
      <c r="D3659" s="1" t="str">
        <f>HYPERLINK("http://genome-euro.ucsc.edu/cgi-bin/hgTracks?position=202985_s_at","UCSC")</f>
        <v>UCSC</v>
      </c>
      <c r="E3659" s="1" t="str">
        <f>HYPERLINK("http://www.ncbi.nlm.nih.gov/gene/?term=BAG5","NCBI")</f>
        <v>NCBI</v>
      </c>
      <c r="F3659">
        <v>2.4E-2</v>
      </c>
      <c r="G3659">
        <v>0.11</v>
      </c>
      <c r="H3659" s="1" t="str">
        <f>HYPERLINK("http://www.weizmann.ac.il/complex/compphys/software/geview/data/figures/202985_s_at.png","Figure")</f>
        <v>Figure</v>
      </c>
      <c r="I3659">
        <v>0.54500000000000004</v>
      </c>
      <c r="J3659">
        <v>1.9E-2</v>
      </c>
      <c r="K3659">
        <v>0.74</v>
      </c>
      <c r="L3659">
        <v>0.21</v>
      </c>
      <c r="M3659">
        <v>1.36</v>
      </c>
      <c r="N3659">
        <v>0.24</v>
      </c>
    </row>
    <row r="3660" spans="1:14" x14ac:dyDescent="0.25">
      <c r="A3660" t="s">
        <v>6697</v>
      </c>
      <c r="B3660" t="s">
        <v>6698</v>
      </c>
      <c r="C3660" s="1" t="str">
        <f>HYPERLINK("http://www.genecards.org/cgi-bin/carddisp.pl?gene=POLR3B","GeneCards")</f>
        <v>GeneCards</v>
      </c>
      <c r="D3660" s="1" t="str">
        <f>HYPERLINK("http://genome-euro.ucsc.edu/cgi-bin/hgTracks?position=219459_at","UCSC")</f>
        <v>UCSC</v>
      </c>
      <c r="E3660" s="1" t="str">
        <f>HYPERLINK("http://www.ncbi.nlm.nih.gov/gene/?term=POLR3B","NCBI")</f>
        <v>NCBI</v>
      </c>
      <c r="F3660">
        <v>2.4E-2</v>
      </c>
      <c r="G3660">
        <v>0.11</v>
      </c>
      <c r="H3660" s="1" t="str">
        <f>HYPERLINK("http://www.weizmann.ac.il/complex/compphys/software/geview/data/figures/219459_at.png","Figure")</f>
        <v>Figure</v>
      </c>
      <c r="I3660">
        <v>1.1599999999999999</v>
      </c>
      <c r="J3660">
        <v>0.17</v>
      </c>
      <c r="K3660">
        <v>1.24</v>
      </c>
      <c r="L3660">
        <v>0.02</v>
      </c>
      <c r="M3660">
        <v>1.07</v>
      </c>
      <c r="N3660">
        <v>0.67</v>
      </c>
    </row>
    <row r="3661" spans="1:14" x14ac:dyDescent="0.25">
      <c r="A3661" t="s">
        <v>6699</v>
      </c>
      <c r="B3661" t="s">
        <v>6700</v>
      </c>
      <c r="C3661" s="1" t="str">
        <f>HYPERLINK("http://www.genecards.org/cgi-bin/carddisp.pl?gene=PSMB4","GeneCards")</f>
        <v>GeneCards</v>
      </c>
      <c r="D3661" s="1" t="str">
        <f>HYPERLINK("http://genome-euro.ucsc.edu/cgi-bin/hgTracks?position=202243_s_at","UCSC")</f>
        <v>UCSC</v>
      </c>
      <c r="E3661" s="1" t="str">
        <f>HYPERLINK("http://www.ncbi.nlm.nih.gov/gene/?term=PSMB4","NCBI")</f>
        <v>NCBI</v>
      </c>
      <c r="F3661">
        <v>2.4E-2</v>
      </c>
      <c r="G3661">
        <v>0.11</v>
      </c>
      <c r="H3661" s="1" t="str">
        <f>HYPERLINK("http://www.weizmann.ac.il/complex/compphys/software/geview/data/figures/202243_s_at.png","Figure")</f>
        <v>Figure</v>
      </c>
      <c r="I3661">
        <v>1.36</v>
      </c>
      <c r="J3661">
        <v>0.44</v>
      </c>
      <c r="K3661">
        <v>1.95</v>
      </c>
      <c r="L3661">
        <v>0.02</v>
      </c>
      <c r="M3661">
        <v>1.44</v>
      </c>
      <c r="N3661">
        <v>0.28999999999999998</v>
      </c>
    </row>
    <row r="3662" spans="1:14" x14ac:dyDescent="0.25">
      <c r="A3662" t="s">
        <v>6701</v>
      </c>
      <c r="B3662" t="s">
        <v>6702</v>
      </c>
      <c r="C3662" s="1" t="str">
        <f>HYPERLINK("http://www.genecards.org/cgi-bin/carddisp.pl?gene=PKP2","GeneCards")</f>
        <v>GeneCards</v>
      </c>
      <c r="D3662" s="1" t="str">
        <f>HYPERLINK("http://genome-euro.ucsc.edu/cgi-bin/hgTracks?position=214154_s_at","UCSC")</f>
        <v>UCSC</v>
      </c>
      <c r="E3662" s="1" t="str">
        <f>HYPERLINK("http://www.ncbi.nlm.nih.gov/gene/?term=PKP2","NCBI")</f>
        <v>NCBI</v>
      </c>
      <c r="F3662">
        <v>2.4E-2</v>
      </c>
      <c r="G3662">
        <v>0.11</v>
      </c>
      <c r="H3662" s="1" t="str">
        <f>HYPERLINK("http://www.weizmann.ac.il/complex/compphys/software/geview/data/figures/214154_s_at.png","Figure")</f>
        <v>Figure</v>
      </c>
      <c r="I3662">
        <v>1.02</v>
      </c>
      <c r="J3662">
        <v>0.05</v>
      </c>
      <c r="K3662">
        <v>1.02</v>
      </c>
      <c r="L3662">
        <v>3.4000000000000002E-2</v>
      </c>
      <c r="M3662">
        <v>0.999</v>
      </c>
      <c r="N3662">
        <v>0.99</v>
      </c>
    </row>
    <row r="3663" spans="1:14" x14ac:dyDescent="0.25">
      <c r="A3663" t="s">
        <v>6703</v>
      </c>
      <c r="B3663" t="s">
        <v>4548</v>
      </c>
      <c r="C3663" s="1" t="str">
        <f>HYPERLINK("http://www.genecards.org/cgi-bin/carddisp.pl?gene=RPL36A","GeneCards")</f>
        <v>GeneCards</v>
      </c>
      <c r="D3663" s="1" t="str">
        <f>HYPERLINK("http://genome-euro.ucsc.edu/cgi-bin/hgTracks?position=217256_x_at","UCSC")</f>
        <v>UCSC</v>
      </c>
      <c r="E3663" s="1" t="str">
        <f>HYPERLINK("http://www.ncbi.nlm.nih.gov/gene/?term=RPL36A","NCBI")</f>
        <v>NCBI</v>
      </c>
      <c r="F3663">
        <v>2.4E-2</v>
      </c>
      <c r="G3663">
        <v>0.11</v>
      </c>
      <c r="H3663" s="1" t="str">
        <f>HYPERLINK("http://www.weizmann.ac.il/complex/compphys/software/geview/data/figures/217256_x_at.png","Figure")</f>
        <v>Figure</v>
      </c>
      <c r="I3663">
        <v>0.69</v>
      </c>
      <c r="J3663">
        <v>7.6999999999999999E-2</v>
      </c>
      <c r="K3663">
        <v>1.08</v>
      </c>
      <c r="L3663">
        <v>0.84</v>
      </c>
      <c r="M3663">
        <v>1.56</v>
      </c>
      <c r="N3663">
        <v>2.1999999999999999E-2</v>
      </c>
    </row>
    <row r="3664" spans="1:14" x14ac:dyDescent="0.25">
      <c r="A3664" t="s">
        <v>6704</v>
      </c>
      <c r="B3664" t="s">
        <v>6705</v>
      </c>
      <c r="C3664" s="1" t="str">
        <f>HYPERLINK("http://www.genecards.org/cgi-bin/carddisp.pl?gene=PFKFB3","GeneCards")</f>
        <v>GeneCards</v>
      </c>
      <c r="D3664" s="1" t="str">
        <f>HYPERLINK("http://genome-euro.ucsc.edu/cgi-bin/hgTracks?position=202464_s_at","UCSC")</f>
        <v>UCSC</v>
      </c>
      <c r="E3664" s="1" t="str">
        <f>HYPERLINK("http://www.ncbi.nlm.nih.gov/gene/?term=PFKFB3","NCBI")</f>
        <v>NCBI</v>
      </c>
      <c r="F3664">
        <v>2.4E-2</v>
      </c>
      <c r="G3664">
        <v>0.11</v>
      </c>
      <c r="H3664" s="1" t="str">
        <f>HYPERLINK("http://www.weizmann.ac.il/complex/compphys/software/geview/data/figures/202464_s_at.png","Figure")</f>
        <v>Figure</v>
      </c>
      <c r="I3664">
        <v>0.22500000000000001</v>
      </c>
      <c r="J3664">
        <v>3.9E-2</v>
      </c>
      <c r="K3664">
        <v>0.27700000000000002</v>
      </c>
      <c r="L3664">
        <v>4.2000000000000003E-2</v>
      </c>
      <c r="M3664">
        <v>1.23</v>
      </c>
      <c r="N3664">
        <v>0.91</v>
      </c>
    </row>
    <row r="3665" spans="1:14" x14ac:dyDescent="0.25">
      <c r="A3665" t="s">
        <v>6706</v>
      </c>
      <c r="B3665" t="s">
        <v>6707</v>
      </c>
      <c r="C3665" s="1" t="str">
        <f>HYPERLINK("http://www.genecards.org/cgi-bin/carddisp.pl?gene=SCD","GeneCards")</f>
        <v>GeneCards</v>
      </c>
      <c r="D3665" s="1" t="str">
        <f>HYPERLINK("http://genome-euro.ucsc.edu/cgi-bin/hgTracks?position=200831_s_at","UCSC")</f>
        <v>UCSC</v>
      </c>
      <c r="E3665" s="1" t="str">
        <f>HYPERLINK("http://www.ncbi.nlm.nih.gov/gene/?term=SCD","NCBI")</f>
        <v>NCBI</v>
      </c>
      <c r="F3665">
        <v>2.4E-2</v>
      </c>
      <c r="G3665">
        <v>0.11</v>
      </c>
      <c r="H3665" s="1" t="str">
        <f>HYPERLINK("http://www.weizmann.ac.il/complex/compphys/software/geview/data/figures/200831_s_at.png","Figure")</f>
        <v>Figure</v>
      </c>
      <c r="I3665">
        <v>1.38</v>
      </c>
      <c r="J3665">
        <v>1.9E-2</v>
      </c>
      <c r="K3665">
        <v>1.1299999999999999</v>
      </c>
      <c r="L3665">
        <v>0.4</v>
      </c>
      <c r="M3665">
        <v>0.81499999999999995</v>
      </c>
      <c r="N3665">
        <v>0.12</v>
      </c>
    </row>
    <row r="3666" spans="1:14" x14ac:dyDescent="0.25">
      <c r="A3666" t="s">
        <v>6708</v>
      </c>
      <c r="B3666" t="s">
        <v>6709</v>
      </c>
      <c r="C3666" s="1" t="str">
        <f>HYPERLINK("http://www.genecards.org/cgi-bin/carddisp.pl?gene=MAFG","GeneCards")</f>
        <v>GeneCards</v>
      </c>
      <c r="D3666" s="1" t="str">
        <f>HYPERLINK("http://genome-euro.ucsc.edu/cgi-bin/hgTracks?position=204970_s_at","UCSC")</f>
        <v>UCSC</v>
      </c>
      <c r="E3666" s="1" t="str">
        <f>HYPERLINK("http://www.ncbi.nlm.nih.gov/gene/?term=MAFG","NCBI")</f>
        <v>NCBI</v>
      </c>
      <c r="F3666">
        <v>2.4E-2</v>
      </c>
      <c r="G3666">
        <v>0.11</v>
      </c>
      <c r="H3666" s="1" t="str">
        <f>HYPERLINK("http://www.weizmann.ac.il/complex/compphys/software/geview/data/figures/204970_s_at.png","Figure")</f>
        <v>Figure</v>
      </c>
      <c r="I3666">
        <v>0.57099999999999995</v>
      </c>
      <c r="J3666">
        <v>0.03</v>
      </c>
      <c r="K3666">
        <v>0.92900000000000005</v>
      </c>
      <c r="L3666">
        <v>0.9</v>
      </c>
      <c r="M3666">
        <v>1.63</v>
      </c>
      <c r="N3666">
        <v>4.2999999999999997E-2</v>
      </c>
    </row>
    <row r="3667" spans="1:14" x14ac:dyDescent="0.25">
      <c r="A3667" t="s">
        <v>6710</v>
      </c>
      <c r="B3667" t="s">
        <v>6711</v>
      </c>
      <c r="C3667" s="1" t="str">
        <f>HYPERLINK("http://www.genecards.org/cgi-bin/carddisp.pl?gene=NDUFAF1","GeneCards")</f>
        <v>GeneCards</v>
      </c>
      <c r="D3667" s="1" t="str">
        <f>HYPERLINK("http://genome-euro.ucsc.edu/cgi-bin/hgTracks?position=204125_at","UCSC")</f>
        <v>UCSC</v>
      </c>
      <c r="E3667" s="1" t="str">
        <f>HYPERLINK("http://www.ncbi.nlm.nih.gov/gene/?term=NDUFAF1","NCBI")</f>
        <v>NCBI</v>
      </c>
      <c r="F3667">
        <v>2.4E-2</v>
      </c>
      <c r="G3667">
        <v>0.11</v>
      </c>
      <c r="H3667" s="1" t="str">
        <f>HYPERLINK("http://www.weizmann.ac.il/complex/compphys/software/geview/data/figures/204125_at.png","Figure")</f>
        <v>Figure</v>
      </c>
      <c r="I3667">
        <v>0.98399999999999999</v>
      </c>
      <c r="J3667">
        <v>1</v>
      </c>
      <c r="K3667">
        <v>1.52</v>
      </c>
      <c r="L3667">
        <v>4.5999999999999999E-2</v>
      </c>
      <c r="M3667">
        <v>1.54</v>
      </c>
      <c r="N3667">
        <v>5.3999999999999999E-2</v>
      </c>
    </row>
    <row r="3668" spans="1:14" x14ac:dyDescent="0.25">
      <c r="A3668" t="s">
        <v>6712</v>
      </c>
      <c r="B3668" t="s">
        <v>6713</v>
      </c>
      <c r="C3668" s="1" t="str">
        <f>HYPERLINK("http://www.genecards.org/cgi-bin/carddisp.pl?gene=SIVA1","GeneCards")</f>
        <v>GeneCards</v>
      </c>
      <c r="D3668" s="1" t="str">
        <f>HYPERLINK("http://genome-euro.ucsc.edu/cgi-bin/hgTracks?position=222030_at","UCSC")</f>
        <v>UCSC</v>
      </c>
      <c r="E3668" s="1" t="str">
        <f>HYPERLINK("http://www.ncbi.nlm.nih.gov/gene/?term=SIVA1","NCBI")</f>
        <v>NCBI</v>
      </c>
      <c r="F3668">
        <v>2.4E-2</v>
      </c>
      <c r="G3668">
        <v>0.11</v>
      </c>
      <c r="H3668" s="1" t="str">
        <f>HYPERLINK("http://www.weizmann.ac.il/complex/compphys/software/geview/data/figures/222030_at.png","Figure")</f>
        <v>Figure</v>
      </c>
      <c r="I3668">
        <v>0.83799999999999997</v>
      </c>
      <c r="J3668">
        <v>0.41</v>
      </c>
      <c r="K3668">
        <v>0.68899999999999995</v>
      </c>
      <c r="L3668">
        <v>0.02</v>
      </c>
      <c r="M3668">
        <v>0.82299999999999995</v>
      </c>
      <c r="N3668">
        <v>0.3</v>
      </c>
    </row>
    <row r="3669" spans="1:14" x14ac:dyDescent="0.25">
      <c r="A3669" t="s">
        <v>6714</v>
      </c>
      <c r="B3669" t="s">
        <v>6715</v>
      </c>
      <c r="C3669" s="1" t="str">
        <f>HYPERLINK("http://www.genecards.org/cgi-bin/carddisp.pl?gene=TGFBRAP1","GeneCards")</f>
        <v>GeneCards</v>
      </c>
      <c r="D3669" s="1" t="str">
        <f>HYPERLINK("http://genome-euro.ucsc.edu/cgi-bin/hgTracks?position=205210_at","UCSC")</f>
        <v>UCSC</v>
      </c>
      <c r="E3669" s="1" t="str">
        <f>HYPERLINK("http://www.ncbi.nlm.nih.gov/gene/?term=TGFBRAP1","NCBI")</f>
        <v>NCBI</v>
      </c>
      <c r="F3669">
        <v>2.4E-2</v>
      </c>
      <c r="G3669">
        <v>0.11</v>
      </c>
      <c r="H3669" s="1" t="str">
        <f>HYPERLINK("http://www.weizmann.ac.il/complex/compphys/software/geview/data/figures/205210_at.png","Figure")</f>
        <v>Figure</v>
      </c>
      <c r="I3669">
        <v>0.83699999999999997</v>
      </c>
      <c r="J3669">
        <v>0.87</v>
      </c>
      <c r="K3669">
        <v>0.40200000000000002</v>
      </c>
      <c r="L3669">
        <v>2.8000000000000001E-2</v>
      </c>
      <c r="M3669">
        <v>0.48</v>
      </c>
      <c r="N3669">
        <v>0.11</v>
      </c>
    </row>
    <row r="3670" spans="1:14" x14ac:dyDescent="0.25">
      <c r="A3670" t="s">
        <v>6716</v>
      </c>
      <c r="B3670" t="s">
        <v>6717</v>
      </c>
      <c r="C3670" s="1" t="str">
        <f>HYPERLINK("http://www.genecards.org/cgi-bin/carddisp.pl?gene=BDH1","GeneCards")</f>
        <v>GeneCards</v>
      </c>
      <c r="D3670" s="1" t="str">
        <f>HYPERLINK("http://genome-euro.ucsc.edu/cgi-bin/hgTracks?position=211715_s_at","UCSC")</f>
        <v>UCSC</v>
      </c>
      <c r="E3670" s="1" t="str">
        <f>HYPERLINK("http://www.ncbi.nlm.nih.gov/gene/?term=BDH1","NCBI")</f>
        <v>NCBI</v>
      </c>
      <c r="F3670">
        <v>2.4E-2</v>
      </c>
      <c r="G3670">
        <v>0.11</v>
      </c>
      <c r="H3670" s="1" t="str">
        <f>HYPERLINK("http://www.weizmann.ac.il/complex/compphys/software/geview/data/figures/211715_s_at.png","Figure")</f>
        <v>Figure</v>
      </c>
      <c r="I3670">
        <v>1.05</v>
      </c>
      <c r="J3670">
        <v>0.87</v>
      </c>
      <c r="K3670">
        <v>1.27</v>
      </c>
      <c r="L3670">
        <v>2.8000000000000001E-2</v>
      </c>
      <c r="M3670">
        <v>1.21</v>
      </c>
      <c r="N3670">
        <v>0.11</v>
      </c>
    </row>
    <row r="3671" spans="1:14" x14ac:dyDescent="0.25">
      <c r="A3671" t="s">
        <v>6718</v>
      </c>
      <c r="B3671" t="s">
        <v>6719</v>
      </c>
      <c r="C3671" s="1" t="str">
        <f>HYPERLINK("http://www.genecards.org/cgi-bin/carddisp.pl?gene=PIGO","GeneCards")</f>
        <v>GeneCards</v>
      </c>
      <c r="D3671" s="1" t="str">
        <f>HYPERLINK("http://genome-euro.ucsc.edu/cgi-bin/hgTracks?position=214990_at","UCSC")</f>
        <v>UCSC</v>
      </c>
      <c r="E3671" s="1" t="str">
        <f>HYPERLINK("http://www.ncbi.nlm.nih.gov/gene/?term=PIGO","NCBI")</f>
        <v>NCBI</v>
      </c>
      <c r="F3671">
        <v>2.4E-2</v>
      </c>
      <c r="G3671">
        <v>0.11</v>
      </c>
      <c r="H3671" s="1" t="str">
        <f>HYPERLINK("http://www.weizmann.ac.il/complex/compphys/software/geview/data/figures/214990_at.png","Figure")</f>
        <v>Figure</v>
      </c>
      <c r="I3671">
        <v>1.27</v>
      </c>
      <c r="J3671">
        <v>2.7E-2</v>
      </c>
      <c r="K3671">
        <v>1.04</v>
      </c>
      <c r="L3671">
        <v>0.82</v>
      </c>
      <c r="M3671">
        <v>0.82</v>
      </c>
      <c r="N3671">
        <v>5.0999999999999997E-2</v>
      </c>
    </row>
    <row r="3672" spans="1:14" x14ac:dyDescent="0.25">
      <c r="A3672" t="s">
        <v>6720</v>
      </c>
      <c r="B3672" t="s">
        <v>2978</v>
      </c>
      <c r="C3672" s="1" t="str">
        <f>HYPERLINK("http://www.genecards.org/cgi-bin/carddisp.pl?gene=CD40","GeneCards")</f>
        <v>GeneCards</v>
      </c>
      <c r="D3672" s="1" t="str">
        <f>HYPERLINK("http://genome-euro.ucsc.edu/cgi-bin/hgTracks?position=215346_at","UCSC")</f>
        <v>UCSC</v>
      </c>
      <c r="E3672" s="1" t="str">
        <f>HYPERLINK("http://www.ncbi.nlm.nih.gov/gene/?term=CD40","NCBI")</f>
        <v>NCBI</v>
      </c>
      <c r="F3672">
        <v>2.4E-2</v>
      </c>
      <c r="G3672">
        <v>0.11</v>
      </c>
      <c r="H3672" s="1" t="str">
        <f>HYPERLINK("http://www.weizmann.ac.il/complex/compphys/software/geview/data/figures/215346_at.png","Figure")</f>
        <v>Figure</v>
      </c>
      <c r="I3672">
        <v>1.1200000000000001</v>
      </c>
      <c r="J3672">
        <v>0.24</v>
      </c>
      <c r="K3672">
        <v>0.92200000000000004</v>
      </c>
      <c r="L3672">
        <v>0.35</v>
      </c>
      <c r="M3672">
        <v>0.82699999999999996</v>
      </c>
      <c r="N3672">
        <v>1.9E-2</v>
      </c>
    </row>
    <row r="3673" spans="1:14" x14ac:dyDescent="0.25">
      <c r="A3673" t="s">
        <v>6721</v>
      </c>
      <c r="B3673" t="s">
        <v>6722</v>
      </c>
      <c r="C3673" s="1" t="str">
        <f>HYPERLINK("http://www.genecards.org/cgi-bin/carddisp.pl?gene=C1orf68","GeneCards")</f>
        <v>GeneCards</v>
      </c>
      <c r="D3673" s="1" t="str">
        <f>HYPERLINK("http://genome-euro.ucsc.edu/cgi-bin/hgTracks?position=217087_at","UCSC")</f>
        <v>UCSC</v>
      </c>
      <c r="E3673" s="1" t="str">
        <f>HYPERLINK("http://www.ncbi.nlm.nih.gov/gene/?term=C1orf68","NCBI")</f>
        <v>NCBI</v>
      </c>
      <c r="F3673">
        <v>2.4E-2</v>
      </c>
      <c r="G3673">
        <v>0.11</v>
      </c>
      <c r="H3673" s="1" t="str">
        <f>HYPERLINK("http://www.weizmann.ac.il/complex/compphys/software/geview/data/figures/217087_at.png","Figure")</f>
        <v>Figure</v>
      </c>
      <c r="I3673">
        <v>1.27</v>
      </c>
      <c r="J3673">
        <v>1.9E-2</v>
      </c>
      <c r="K3673">
        <v>1.1200000000000001</v>
      </c>
      <c r="L3673">
        <v>0.23</v>
      </c>
      <c r="M3673">
        <v>0.88400000000000001</v>
      </c>
      <c r="N3673">
        <v>0.21</v>
      </c>
    </row>
    <row r="3674" spans="1:14" x14ac:dyDescent="0.25">
      <c r="A3674" t="s">
        <v>6723</v>
      </c>
      <c r="B3674" t="s">
        <v>6724</v>
      </c>
      <c r="C3674" s="1" t="str">
        <f>HYPERLINK("http://www.genecards.org/cgi-bin/carddisp.pl?gene=DUSP5","GeneCards")</f>
        <v>GeneCards</v>
      </c>
      <c r="D3674" s="1" t="str">
        <f>HYPERLINK("http://genome-euro.ucsc.edu/cgi-bin/hgTracks?position=209457_at","UCSC")</f>
        <v>UCSC</v>
      </c>
      <c r="E3674" s="1" t="str">
        <f>HYPERLINK("http://www.ncbi.nlm.nih.gov/gene/?term=DUSP5","NCBI")</f>
        <v>NCBI</v>
      </c>
      <c r="F3674">
        <v>2.4E-2</v>
      </c>
      <c r="G3674">
        <v>0.11</v>
      </c>
      <c r="H3674" s="1" t="str">
        <f>HYPERLINK("http://www.weizmann.ac.il/complex/compphys/software/geview/data/figures/209457_at.png","Figure")</f>
        <v>Figure</v>
      </c>
      <c r="I3674">
        <v>0.24199999999999999</v>
      </c>
      <c r="J3674">
        <v>2.4E-2</v>
      </c>
      <c r="K3674">
        <v>0.72099999999999997</v>
      </c>
      <c r="L3674">
        <v>0.71</v>
      </c>
      <c r="M3674">
        <v>2.99</v>
      </c>
      <c r="N3674">
        <v>6.3E-2</v>
      </c>
    </row>
    <row r="3675" spans="1:14" x14ac:dyDescent="0.25">
      <c r="A3675" t="s">
        <v>6725</v>
      </c>
      <c r="B3675" t="s">
        <v>6726</v>
      </c>
      <c r="C3675" s="1" t="str">
        <f>HYPERLINK("http://www.genecards.org/cgi-bin/carddisp.pl?gene=DUSP3","GeneCards")</f>
        <v>GeneCards</v>
      </c>
      <c r="D3675" s="1" t="str">
        <f>HYPERLINK("http://genome-euro.ucsc.edu/cgi-bin/hgTracks?position=201536_at","UCSC")</f>
        <v>UCSC</v>
      </c>
      <c r="E3675" s="1" t="str">
        <f>HYPERLINK("http://www.ncbi.nlm.nih.gov/gene/?term=DUSP3","NCBI")</f>
        <v>NCBI</v>
      </c>
      <c r="F3675">
        <v>2.4E-2</v>
      </c>
      <c r="G3675">
        <v>0.11</v>
      </c>
      <c r="H3675" s="1" t="str">
        <f>HYPERLINK("http://www.weizmann.ac.il/complex/compphys/software/geview/data/figures/201536_at.png","Figure")</f>
        <v>Figure</v>
      </c>
      <c r="I3675">
        <v>0.78400000000000003</v>
      </c>
      <c r="J3675">
        <v>0.14000000000000001</v>
      </c>
      <c r="K3675">
        <v>1.1200000000000001</v>
      </c>
      <c r="L3675">
        <v>0.56000000000000005</v>
      </c>
      <c r="M3675">
        <v>1.42</v>
      </c>
      <c r="N3675">
        <v>1.9E-2</v>
      </c>
    </row>
    <row r="3676" spans="1:14" x14ac:dyDescent="0.25">
      <c r="A3676" t="s">
        <v>6727</v>
      </c>
      <c r="B3676" t="s">
        <v>6728</v>
      </c>
      <c r="C3676" s="1" t="str">
        <f>HYPERLINK("http://www.genecards.org/cgi-bin/carddisp.pl?gene=HNRNPU","GeneCards")</f>
        <v>GeneCards</v>
      </c>
      <c r="D3676" s="1" t="str">
        <f>HYPERLINK("http://genome-euro.ucsc.edu/cgi-bin/hgTracks?position=200593_s_at","UCSC")</f>
        <v>UCSC</v>
      </c>
      <c r="E3676" s="1" t="str">
        <f>HYPERLINK("http://www.ncbi.nlm.nih.gov/gene/?term=HNRNPU","NCBI")</f>
        <v>NCBI</v>
      </c>
      <c r="F3676">
        <v>2.4E-2</v>
      </c>
      <c r="G3676">
        <v>0.11</v>
      </c>
      <c r="H3676" s="1" t="str">
        <f>HYPERLINK("http://www.weizmann.ac.il/complex/compphys/software/geview/data/figures/200593_s_at.png","Figure")</f>
        <v>Figure</v>
      </c>
      <c r="I3676">
        <v>1.71</v>
      </c>
      <c r="J3676">
        <v>3.3000000000000002E-2</v>
      </c>
      <c r="K3676">
        <v>1.05</v>
      </c>
      <c r="L3676">
        <v>0.94</v>
      </c>
      <c r="M3676">
        <v>0.61699999999999999</v>
      </c>
      <c r="N3676">
        <v>3.9E-2</v>
      </c>
    </row>
    <row r="3677" spans="1:14" x14ac:dyDescent="0.25">
      <c r="A3677" t="s">
        <v>6729</v>
      </c>
      <c r="B3677" t="s">
        <v>1288</v>
      </c>
      <c r="C3677" s="1" t="str">
        <f>HYPERLINK("http://www.genecards.org/cgi-bin/carddisp.pl?gene=EIF2S1","GeneCards")</f>
        <v>GeneCards</v>
      </c>
      <c r="D3677" s="1" t="str">
        <f>HYPERLINK("http://genome-euro.ucsc.edu/cgi-bin/hgTracks?position=201142_at","UCSC")</f>
        <v>UCSC</v>
      </c>
      <c r="E3677" s="1" t="str">
        <f>HYPERLINK("http://www.ncbi.nlm.nih.gov/gene/?term=EIF2S1","NCBI")</f>
        <v>NCBI</v>
      </c>
      <c r="F3677">
        <v>2.4E-2</v>
      </c>
      <c r="G3677">
        <v>0.11</v>
      </c>
      <c r="H3677" s="1" t="str">
        <f>HYPERLINK("http://www.weizmann.ac.il/complex/compphys/software/geview/data/figures/201142_at.png","Figure")</f>
        <v>Figure</v>
      </c>
      <c r="I3677">
        <v>0.9</v>
      </c>
      <c r="J3677">
        <v>0.74</v>
      </c>
      <c r="K3677">
        <v>1.33</v>
      </c>
      <c r="L3677">
        <v>9.6000000000000002E-2</v>
      </c>
      <c r="M3677">
        <v>1.47</v>
      </c>
      <c r="N3677">
        <v>0.03</v>
      </c>
    </row>
    <row r="3678" spans="1:14" x14ac:dyDescent="0.25">
      <c r="A3678" t="s">
        <v>6730</v>
      </c>
      <c r="B3678" t="s">
        <v>6731</v>
      </c>
      <c r="C3678" s="1" t="str">
        <f>HYPERLINK("http://www.genecards.org/cgi-bin/carddisp.pl?gene=CEBPA","GeneCards")</f>
        <v>GeneCards</v>
      </c>
      <c r="D3678" s="1" t="str">
        <f>HYPERLINK("http://genome-euro.ucsc.edu/cgi-bin/hgTracks?position=204039_at","UCSC")</f>
        <v>UCSC</v>
      </c>
      <c r="E3678" s="1" t="str">
        <f>HYPERLINK("http://www.ncbi.nlm.nih.gov/gene/?term=CEBPA","NCBI")</f>
        <v>NCBI</v>
      </c>
      <c r="F3678">
        <v>2.4E-2</v>
      </c>
      <c r="G3678">
        <v>0.11</v>
      </c>
      <c r="H3678" s="1" t="str">
        <f>HYPERLINK("http://www.weizmann.ac.il/complex/compphys/software/geview/data/figures/204039_at.png","Figure")</f>
        <v>Figure</v>
      </c>
      <c r="I3678">
        <v>1.22</v>
      </c>
      <c r="J3678">
        <v>2.5999999999999999E-2</v>
      </c>
      <c r="K3678">
        <v>1.04</v>
      </c>
      <c r="L3678">
        <v>0.79</v>
      </c>
      <c r="M3678">
        <v>0.85399999999999998</v>
      </c>
      <c r="N3678">
        <v>5.3999999999999999E-2</v>
      </c>
    </row>
    <row r="3679" spans="1:14" x14ac:dyDescent="0.25">
      <c r="A3679" t="s">
        <v>6732</v>
      </c>
      <c r="B3679" t="s">
        <v>6733</v>
      </c>
      <c r="C3679" s="1" t="str">
        <f>HYPERLINK("http://www.genecards.org/cgi-bin/carddisp.pl?gene=RPS6KA5","GeneCards")</f>
        <v>GeneCards</v>
      </c>
      <c r="D3679" s="1" t="str">
        <f>HYPERLINK("http://genome-euro.ucsc.edu/cgi-bin/hgTracks?position=204633_s_at","UCSC")</f>
        <v>UCSC</v>
      </c>
      <c r="E3679" s="1" t="str">
        <f>HYPERLINK("http://www.ncbi.nlm.nih.gov/gene/?term=RPS6KA5","NCBI")</f>
        <v>NCBI</v>
      </c>
      <c r="F3679">
        <v>2.4E-2</v>
      </c>
      <c r="G3679">
        <v>0.11</v>
      </c>
      <c r="H3679" s="1" t="str">
        <f>HYPERLINK("http://www.weizmann.ac.il/complex/compphys/software/geview/data/figures/204633_s_at.png","Figure")</f>
        <v>Figure</v>
      </c>
      <c r="I3679">
        <v>0.61399999999999999</v>
      </c>
      <c r="J3679">
        <v>2.8000000000000001E-2</v>
      </c>
      <c r="K3679">
        <v>0.92500000000000004</v>
      </c>
      <c r="L3679">
        <v>0.85</v>
      </c>
      <c r="M3679">
        <v>1.51</v>
      </c>
      <c r="N3679">
        <v>4.8000000000000001E-2</v>
      </c>
    </row>
    <row r="3680" spans="1:14" x14ac:dyDescent="0.25">
      <c r="A3680" t="s">
        <v>6734</v>
      </c>
      <c r="B3680" t="s">
        <v>6735</v>
      </c>
      <c r="C3680" s="1" t="str">
        <f>HYPERLINK("http://www.genecards.org/cgi-bin/carddisp.pl?gene=RORC","GeneCards")</f>
        <v>GeneCards</v>
      </c>
      <c r="D3680" s="1" t="str">
        <f>HYPERLINK("http://genome-euro.ucsc.edu/cgi-bin/hgTracks?position=206419_at","UCSC")</f>
        <v>UCSC</v>
      </c>
      <c r="E3680" s="1" t="str">
        <f>HYPERLINK("http://www.ncbi.nlm.nih.gov/gene/?term=RORC","NCBI")</f>
        <v>NCBI</v>
      </c>
      <c r="F3680">
        <v>2.4E-2</v>
      </c>
      <c r="G3680">
        <v>0.11</v>
      </c>
      <c r="H3680" s="1" t="str">
        <f>HYPERLINK("http://www.weizmann.ac.il/complex/compphys/software/geview/data/figures/206419_at.png","Figure")</f>
        <v>Figure</v>
      </c>
      <c r="I3680">
        <v>1.38</v>
      </c>
      <c r="J3680">
        <v>1.9E-2</v>
      </c>
      <c r="K3680">
        <v>1.1499999999999999</v>
      </c>
      <c r="L3680">
        <v>0.28999999999999998</v>
      </c>
      <c r="M3680">
        <v>0.83399999999999996</v>
      </c>
      <c r="N3680">
        <v>0.18</v>
      </c>
    </row>
    <row r="3681" spans="1:14" x14ac:dyDescent="0.25">
      <c r="A3681" t="s">
        <v>6736</v>
      </c>
      <c r="B3681" t="s">
        <v>342</v>
      </c>
      <c r="C3681" s="1" t="str">
        <f>HYPERLINK("http://www.genecards.org/cgi-bin/carddisp.pl?gene=SRP72","GeneCards")</f>
        <v>GeneCards</v>
      </c>
      <c r="D3681" s="1" t="str">
        <f>HYPERLINK("http://genome-euro.ucsc.edu/cgi-bin/hgTracks?position=208095_s_at","UCSC")</f>
        <v>UCSC</v>
      </c>
      <c r="E3681" s="1" t="str">
        <f>HYPERLINK("http://www.ncbi.nlm.nih.gov/gene/?term=SRP72","NCBI")</f>
        <v>NCBI</v>
      </c>
      <c r="F3681">
        <v>2.4E-2</v>
      </c>
      <c r="G3681">
        <v>0.11</v>
      </c>
      <c r="H3681" s="1" t="str">
        <f>HYPERLINK("http://www.weizmann.ac.il/complex/compphys/software/geview/data/figures/208095_s_at.png","Figure")</f>
        <v>Figure</v>
      </c>
      <c r="I3681">
        <v>0.72399999999999998</v>
      </c>
      <c r="J3681">
        <v>0.22</v>
      </c>
      <c r="K3681">
        <v>1.24</v>
      </c>
      <c r="L3681">
        <v>0.39</v>
      </c>
      <c r="M3681">
        <v>1.72</v>
      </c>
      <c r="N3681">
        <v>1.9E-2</v>
      </c>
    </row>
    <row r="3682" spans="1:14" x14ac:dyDescent="0.25">
      <c r="A3682" t="s">
        <v>6737</v>
      </c>
      <c r="B3682" t="s">
        <v>6738</v>
      </c>
      <c r="C3682" s="1" t="str">
        <f>HYPERLINK("http://www.genecards.org/cgi-bin/carddisp.pl?gene=GTF3C2","GeneCards")</f>
        <v>GeneCards</v>
      </c>
      <c r="D3682" s="1" t="str">
        <f>HYPERLINK("http://genome-euro.ucsc.edu/cgi-bin/hgTracks?position=210620_s_at","UCSC")</f>
        <v>UCSC</v>
      </c>
      <c r="E3682" s="1" t="str">
        <f>HYPERLINK("http://www.ncbi.nlm.nih.gov/gene/?term=GTF3C2","NCBI")</f>
        <v>NCBI</v>
      </c>
      <c r="F3682">
        <v>2.4E-2</v>
      </c>
      <c r="G3682">
        <v>0.11</v>
      </c>
      <c r="H3682" s="1" t="str">
        <f>HYPERLINK("http://www.weizmann.ac.il/complex/compphys/software/geview/data/figures/210620_s_at.png","Figure")</f>
        <v>Figure</v>
      </c>
      <c r="I3682">
        <v>1.38</v>
      </c>
      <c r="J3682">
        <v>0.12</v>
      </c>
      <c r="K3682">
        <v>0.88900000000000001</v>
      </c>
      <c r="L3682">
        <v>0.65</v>
      </c>
      <c r="M3682">
        <v>0.64300000000000002</v>
      </c>
      <c r="N3682">
        <v>0.02</v>
      </c>
    </row>
    <row r="3683" spans="1:14" x14ac:dyDescent="0.25">
      <c r="A3683" t="s">
        <v>6739</v>
      </c>
      <c r="B3683" t="s">
        <v>6740</v>
      </c>
      <c r="C3683" s="1" t="str">
        <f>HYPERLINK("http://www.genecards.org/cgi-bin/carddisp.pl?gene=PCDHGB5","GeneCards")</f>
        <v>GeneCards</v>
      </c>
      <c r="D3683" s="1" t="str">
        <f>HYPERLINK("http://genome-euro.ucsc.edu/cgi-bin/hgTracks?position=211807_x_at","UCSC")</f>
        <v>UCSC</v>
      </c>
      <c r="E3683" s="1" t="str">
        <f>HYPERLINK("http://www.ncbi.nlm.nih.gov/gene/?term=PCDHGB5","NCBI")</f>
        <v>NCBI</v>
      </c>
      <c r="F3683">
        <v>2.4E-2</v>
      </c>
      <c r="G3683">
        <v>0.11</v>
      </c>
      <c r="H3683" s="1" t="str">
        <f>HYPERLINK("http://www.weizmann.ac.il/complex/compphys/software/geview/data/figures/211807_x_at.png","Figure")</f>
        <v>Figure</v>
      </c>
      <c r="I3683">
        <v>1.21</v>
      </c>
      <c r="J3683">
        <v>3.6999999999999998E-2</v>
      </c>
      <c r="K3683">
        <v>1.01</v>
      </c>
      <c r="L3683">
        <v>0.99</v>
      </c>
      <c r="M3683">
        <v>0.83699999999999997</v>
      </c>
      <c r="N3683">
        <v>3.4000000000000002E-2</v>
      </c>
    </row>
    <row r="3684" spans="1:14" x14ac:dyDescent="0.25">
      <c r="A3684" t="s">
        <v>6741</v>
      </c>
      <c r="B3684" t="s">
        <v>2896</v>
      </c>
      <c r="C3684" s="1" t="str">
        <f>HYPERLINK("http://www.genecards.org/cgi-bin/carddisp.pl?gene=BTN3A2","GeneCards")</f>
        <v>GeneCards</v>
      </c>
      <c r="D3684" s="1" t="str">
        <f>HYPERLINK("http://genome-euro.ucsc.edu/cgi-bin/hgTracks?position=212613_at","UCSC")</f>
        <v>UCSC</v>
      </c>
      <c r="E3684" s="1" t="str">
        <f>HYPERLINK("http://www.ncbi.nlm.nih.gov/gene/?term=BTN3A2","NCBI")</f>
        <v>NCBI</v>
      </c>
      <c r="F3684">
        <v>2.4E-2</v>
      </c>
      <c r="G3684">
        <v>0.11</v>
      </c>
      <c r="H3684" s="1" t="str">
        <f>HYPERLINK("http://www.weizmann.ac.il/complex/compphys/software/geview/data/figures/212613_at.png","Figure")</f>
        <v>Figure</v>
      </c>
      <c r="I3684">
        <v>0.873</v>
      </c>
      <c r="J3684">
        <v>0.73</v>
      </c>
      <c r="K3684">
        <v>1.41</v>
      </c>
      <c r="L3684">
        <v>0.1</v>
      </c>
      <c r="M3684">
        <v>1.62</v>
      </c>
      <c r="N3684">
        <v>0.03</v>
      </c>
    </row>
    <row r="3685" spans="1:14" x14ac:dyDescent="0.25">
      <c r="A3685" t="s">
        <v>6742</v>
      </c>
      <c r="B3685" t="s">
        <v>2126</v>
      </c>
      <c r="C3685" s="1" t="str">
        <f>HYPERLINK("http://www.genecards.org/cgi-bin/carddisp.pl?gene=PPIA","GeneCards")</f>
        <v>GeneCards</v>
      </c>
      <c r="D3685" s="1" t="str">
        <f>HYPERLINK("http://genome-euro.ucsc.edu/cgi-bin/hgTracks?position=212661_x_at","UCSC")</f>
        <v>UCSC</v>
      </c>
      <c r="E3685" s="1" t="str">
        <f>HYPERLINK("http://www.ncbi.nlm.nih.gov/gene/?term=PPIA","NCBI")</f>
        <v>NCBI</v>
      </c>
      <c r="F3685">
        <v>2.4E-2</v>
      </c>
      <c r="G3685">
        <v>0.11</v>
      </c>
      <c r="H3685" s="1" t="str">
        <f>HYPERLINK("http://www.weizmann.ac.il/complex/compphys/software/geview/data/figures/212661_x_at.png","Figure")</f>
        <v>Figure</v>
      </c>
      <c r="I3685">
        <v>1.07</v>
      </c>
      <c r="J3685">
        <v>0.89</v>
      </c>
      <c r="K3685">
        <v>1.46</v>
      </c>
      <c r="L3685">
        <v>2.9000000000000001E-2</v>
      </c>
      <c r="M3685">
        <v>1.36</v>
      </c>
      <c r="N3685">
        <v>0.1</v>
      </c>
    </row>
    <row r="3686" spans="1:14" x14ac:dyDescent="0.25">
      <c r="A3686" t="s">
        <v>6743</v>
      </c>
      <c r="B3686" t="s">
        <v>6744</v>
      </c>
      <c r="C3686" s="1" t="str">
        <f>HYPERLINK("http://www.genecards.org/cgi-bin/carddisp.pl?gene=NFYB","GeneCards")</f>
        <v>GeneCards</v>
      </c>
      <c r="D3686" s="1" t="str">
        <f>HYPERLINK("http://genome-euro.ucsc.edu/cgi-bin/hgTracks?position=218127_at","UCSC")</f>
        <v>UCSC</v>
      </c>
      <c r="E3686" s="1" t="str">
        <f>HYPERLINK("http://www.ncbi.nlm.nih.gov/gene/?term=NFYB","NCBI")</f>
        <v>NCBI</v>
      </c>
      <c r="F3686">
        <v>2.4E-2</v>
      </c>
      <c r="G3686">
        <v>0.11</v>
      </c>
      <c r="H3686" s="1" t="str">
        <f>HYPERLINK("http://www.weizmann.ac.il/complex/compphys/software/geview/data/figures/218127_at.png","Figure")</f>
        <v>Figure</v>
      </c>
      <c r="I3686">
        <v>0.57999999999999996</v>
      </c>
      <c r="J3686">
        <v>2.3E-2</v>
      </c>
      <c r="K3686">
        <v>0.70499999999999996</v>
      </c>
      <c r="L3686">
        <v>9.9000000000000005E-2</v>
      </c>
      <c r="M3686">
        <v>1.21</v>
      </c>
      <c r="N3686">
        <v>0.49</v>
      </c>
    </row>
    <row r="3687" spans="1:14" x14ac:dyDescent="0.25">
      <c r="A3687" t="s">
        <v>6745</v>
      </c>
      <c r="B3687" t="s">
        <v>3599</v>
      </c>
      <c r="C3687" s="1" t="str">
        <f>HYPERLINK("http://www.genecards.org/cgi-bin/carddisp.pl?gene=TRIM24","GeneCards")</f>
        <v>GeneCards</v>
      </c>
      <c r="D3687" s="1" t="str">
        <f>HYPERLINK("http://genome-euro.ucsc.edu/cgi-bin/hgTracks?position=204391_x_at","UCSC")</f>
        <v>UCSC</v>
      </c>
      <c r="E3687" s="1" t="str">
        <f>HYPERLINK("http://www.ncbi.nlm.nih.gov/gene/?term=TRIM24","NCBI")</f>
        <v>NCBI</v>
      </c>
      <c r="F3687">
        <v>2.4E-2</v>
      </c>
      <c r="G3687">
        <v>0.11</v>
      </c>
      <c r="H3687" s="1" t="str">
        <f>HYPERLINK("http://www.weizmann.ac.il/complex/compphys/software/geview/data/figures/204391_x_at.png","Figure")</f>
        <v>Figure</v>
      </c>
      <c r="I3687">
        <v>1.08</v>
      </c>
      <c r="J3687">
        <v>0.97</v>
      </c>
      <c r="K3687">
        <v>0.503</v>
      </c>
      <c r="L3687">
        <v>5.5E-2</v>
      </c>
      <c r="M3687">
        <v>0.46500000000000002</v>
      </c>
      <c r="N3687">
        <v>4.5999999999999999E-2</v>
      </c>
    </row>
    <row r="3688" spans="1:14" x14ac:dyDescent="0.25">
      <c r="A3688" t="s">
        <v>6746</v>
      </c>
      <c r="B3688" t="s">
        <v>6747</v>
      </c>
      <c r="C3688" s="1" t="str">
        <f>HYPERLINK("http://www.genecards.org/cgi-bin/carddisp.pl?gene=CTPS","GeneCards")</f>
        <v>GeneCards</v>
      </c>
      <c r="D3688" s="1" t="str">
        <f>HYPERLINK("http://genome-euro.ucsc.edu/cgi-bin/hgTracks?position=202613_at","UCSC")</f>
        <v>UCSC</v>
      </c>
      <c r="E3688" s="1" t="str">
        <f>HYPERLINK("http://www.ncbi.nlm.nih.gov/gene/?term=CTPS","NCBI")</f>
        <v>NCBI</v>
      </c>
      <c r="F3688">
        <v>2.4E-2</v>
      </c>
      <c r="G3688">
        <v>0.11</v>
      </c>
      <c r="H3688" s="1" t="str">
        <f>HYPERLINK("http://www.weizmann.ac.il/complex/compphys/software/geview/data/figures/202613_at.png","Figure")</f>
        <v>Figure</v>
      </c>
      <c r="I3688">
        <v>1.59</v>
      </c>
      <c r="J3688">
        <v>3.5000000000000003E-2</v>
      </c>
      <c r="K3688">
        <v>1.45</v>
      </c>
      <c r="L3688">
        <v>0.05</v>
      </c>
      <c r="M3688">
        <v>0.91700000000000004</v>
      </c>
      <c r="N3688">
        <v>0.84</v>
      </c>
    </row>
    <row r="3689" spans="1:14" x14ac:dyDescent="0.25">
      <c r="A3689" t="s">
        <v>6748</v>
      </c>
      <c r="B3689" t="s">
        <v>6749</v>
      </c>
      <c r="C3689" s="1" t="str">
        <f>HYPERLINK("http://www.genecards.org/cgi-bin/carddisp.pl?gene=GMPR2","GeneCards")</f>
        <v>GeneCards</v>
      </c>
      <c r="D3689" s="1" t="str">
        <f>HYPERLINK("http://genome-euro.ucsc.edu/cgi-bin/hgTracks?position=217990_at","UCSC")</f>
        <v>UCSC</v>
      </c>
      <c r="E3689" s="1" t="str">
        <f>HYPERLINK("http://www.ncbi.nlm.nih.gov/gene/?term=GMPR2","NCBI")</f>
        <v>NCBI</v>
      </c>
      <c r="F3689">
        <v>2.4E-2</v>
      </c>
      <c r="G3689">
        <v>0.11</v>
      </c>
      <c r="H3689" s="1" t="str">
        <f>HYPERLINK("http://www.weizmann.ac.il/complex/compphys/software/geview/data/figures/217990_at.png","Figure")</f>
        <v>Figure</v>
      </c>
      <c r="I3689">
        <v>0.63900000000000001</v>
      </c>
      <c r="J3689">
        <v>0.12</v>
      </c>
      <c r="K3689">
        <v>1.18</v>
      </c>
      <c r="L3689">
        <v>0.64</v>
      </c>
      <c r="M3689">
        <v>1.85</v>
      </c>
      <c r="N3689">
        <v>0.02</v>
      </c>
    </row>
    <row r="3690" spans="1:14" x14ac:dyDescent="0.25">
      <c r="A3690" t="s">
        <v>6750</v>
      </c>
      <c r="B3690" t="s">
        <v>2672</v>
      </c>
      <c r="C3690" s="1" t="str">
        <f>HYPERLINK("http://www.genecards.org/cgi-bin/carddisp.pl?gene=ARAP1","GeneCards")</f>
        <v>GeneCards</v>
      </c>
      <c r="D3690" s="1" t="str">
        <f>HYPERLINK("http://genome-euro.ucsc.edu/cgi-bin/hgTracks?position=34206_at","UCSC")</f>
        <v>UCSC</v>
      </c>
      <c r="E3690" s="1" t="str">
        <f>HYPERLINK("http://www.ncbi.nlm.nih.gov/gene/?term=ARAP1","NCBI")</f>
        <v>NCBI</v>
      </c>
      <c r="F3690">
        <v>2.4E-2</v>
      </c>
      <c r="G3690">
        <v>0.11</v>
      </c>
      <c r="H3690" s="1" t="str">
        <f>HYPERLINK("http://www.weizmann.ac.il/complex/compphys/software/geview/data/figures/34206_at.png","Figure")</f>
        <v>Figure</v>
      </c>
      <c r="I3690">
        <v>1.23</v>
      </c>
      <c r="J3690">
        <v>3.7999999999999999E-2</v>
      </c>
      <c r="K3690">
        <v>1.19</v>
      </c>
      <c r="L3690">
        <v>4.4999999999999998E-2</v>
      </c>
      <c r="M3690">
        <v>0.96799999999999997</v>
      </c>
      <c r="N3690">
        <v>0.88</v>
      </c>
    </row>
    <row r="3691" spans="1:14" x14ac:dyDescent="0.25">
      <c r="A3691" t="s">
        <v>6751</v>
      </c>
      <c r="B3691" t="s">
        <v>6752</v>
      </c>
      <c r="C3691" s="1" t="str">
        <f>HYPERLINK("http://www.genecards.org/cgi-bin/carddisp.pl?gene=EIF2B2","GeneCards")</f>
        <v>GeneCards</v>
      </c>
      <c r="D3691" s="1" t="str">
        <f>HYPERLINK("http://genome-euro.ucsc.edu/cgi-bin/hgTracks?position=202461_at","UCSC")</f>
        <v>UCSC</v>
      </c>
      <c r="E3691" s="1" t="str">
        <f>HYPERLINK("http://www.ncbi.nlm.nih.gov/gene/?term=EIF2B2","NCBI")</f>
        <v>NCBI</v>
      </c>
      <c r="F3691">
        <v>2.4E-2</v>
      </c>
      <c r="G3691">
        <v>0.11</v>
      </c>
      <c r="H3691" s="1" t="str">
        <f>HYPERLINK("http://www.weizmann.ac.il/complex/compphys/software/geview/data/figures/202461_at.png","Figure")</f>
        <v>Figure</v>
      </c>
      <c r="I3691">
        <v>0.93799999999999994</v>
      </c>
      <c r="J3691">
        <v>0.94</v>
      </c>
      <c r="K3691">
        <v>1.52</v>
      </c>
      <c r="L3691">
        <v>6.0999999999999999E-2</v>
      </c>
      <c r="M3691">
        <v>1.62</v>
      </c>
      <c r="N3691">
        <v>4.2000000000000003E-2</v>
      </c>
    </row>
    <row r="3692" spans="1:14" x14ac:dyDescent="0.25">
      <c r="A3692" t="s">
        <v>6753</v>
      </c>
      <c r="B3692" t="s">
        <v>6452</v>
      </c>
      <c r="C3692" s="1" t="str">
        <f>HYPERLINK("http://www.genecards.org/cgi-bin/carddisp.pl?gene=CBFB","GeneCards")</f>
        <v>GeneCards</v>
      </c>
      <c r="D3692" s="1" t="str">
        <f>HYPERLINK("http://genome-euro.ucsc.edu/cgi-bin/hgTracks?position=206788_s_at","UCSC")</f>
        <v>UCSC</v>
      </c>
      <c r="E3692" s="1" t="str">
        <f>HYPERLINK("http://www.ncbi.nlm.nih.gov/gene/?term=CBFB","NCBI")</f>
        <v>NCBI</v>
      </c>
      <c r="F3692">
        <v>2.4E-2</v>
      </c>
      <c r="G3692">
        <v>0.11</v>
      </c>
      <c r="H3692" s="1" t="str">
        <f>HYPERLINK("http://www.weizmann.ac.il/complex/compphys/software/geview/data/figures/206788_s_at.png","Figure")</f>
        <v>Figure</v>
      </c>
      <c r="I3692">
        <v>1.31</v>
      </c>
      <c r="J3692">
        <v>0.02</v>
      </c>
      <c r="K3692">
        <v>1.1000000000000001</v>
      </c>
      <c r="L3692">
        <v>0.45</v>
      </c>
      <c r="M3692">
        <v>0.83699999999999997</v>
      </c>
      <c r="N3692">
        <v>0.11</v>
      </c>
    </row>
    <row r="3693" spans="1:14" x14ac:dyDescent="0.25">
      <c r="A3693" t="s">
        <v>6754</v>
      </c>
      <c r="B3693" t="s">
        <v>6755</v>
      </c>
      <c r="C3693" s="1" t="str">
        <f>HYPERLINK("http://www.genecards.org/cgi-bin/carddisp.pl?gene=POFUT2","GeneCards")</f>
        <v>GeneCards</v>
      </c>
      <c r="D3693" s="1" t="str">
        <f>HYPERLINK("http://genome-euro.ucsc.edu/cgi-bin/hgTracks?position=207449_s_at","UCSC")</f>
        <v>UCSC</v>
      </c>
      <c r="E3693" s="1" t="str">
        <f>HYPERLINK("http://www.ncbi.nlm.nih.gov/gene/?term=POFUT2","NCBI")</f>
        <v>NCBI</v>
      </c>
      <c r="F3693">
        <v>2.4E-2</v>
      </c>
      <c r="G3693">
        <v>0.11</v>
      </c>
      <c r="H3693" s="1" t="str">
        <f>HYPERLINK("http://www.weizmann.ac.il/complex/compphys/software/geview/data/figures/207449_s_at.png","Figure")</f>
        <v>Figure</v>
      </c>
      <c r="I3693">
        <v>1.32</v>
      </c>
      <c r="J3693">
        <v>3.7999999999999999E-2</v>
      </c>
      <c r="K3693">
        <v>1.01</v>
      </c>
      <c r="L3693">
        <v>0.99</v>
      </c>
      <c r="M3693">
        <v>0.76500000000000001</v>
      </c>
      <c r="N3693">
        <v>3.4000000000000002E-2</v>
      </c>
    </row>
    <row r="3694" spans="1:14" x14ac:dyDescent="0.25">
      <c r="A3694" t="s">
        <v>6756</v>
      </c>
      <c r="B3694" t="s">
        <v>6757</v>
      </c>
      <c r="C3694" s="1" t="str">
        <f>HYPERLINK("http://www.genecards.org/cgi-bin/carddisp.pl?gene=PA2G4","GeneCards")</f>
        <v>GeneCards</v>
      </c>
      <c r="D3694" s="1" t="str">
        <f>HYPERLINK("http://genome-euro.ucsc.edu/cgi-bin/hgTracks?position=208676_s_at","UCSC")</f>
        <v>UCSC</v>
      </c>
      <c r="E3694" s="1" t="str">
        <f>HYPERLINK("http://www.ncbi.nlm.nih.gov/gene/?term=PA2G4","NCBI")</f>
        <v>NCBI</v>
      </c>
      <c r="F3694">
        <v>2.4E-2</v>
      </c>
      <c r="G3694">
        <v>0.11</v>
      </c>
      <c r="H3694" s="1" t="str">
        <f>HYPERLINK("http://www.weizmann.ac.il/complex/compphys/software/geview/data/figures/208676_s_at.png","Figure")</f>
        <v>Figure</v>
      </c>
      <c r="I3694">
        <v>1.23</v>
      </c>
      <c r="J3694">
        <v>0.18</v>
      </c>
      <c r="K3694">
        <v>1.35</v>
      </c>
      <c r="L3694">
        <v>0.02</v>
      </c>
      <c r="M3694">
        <v>1.1000000000000001</v>
      </c>
      <c r="N3694">
        <v>0.65</v>
      </c>
    </row>
    <row r="3695" spans="1:14" x14ac:dyDescent="0.25">
      <c r="A3695" t="s">
        <v>6758</v>
      </c>
      <c r="B3695" t="s">
        <v>6759</v>
      </c>
      <c r="C3695" s="1" t="str">
        <f>HYPERLINK("http://www.genecards.org/cgi-bin/carddisp.pl?gene=H2AFX","GeneCards")</f>
        <v>GeneCards</v>
      </c>
      <c r="D3695" s="1" t="str">
        <f>HYPERLINK("http://genome-euro.ucsc.edu/cgi-bin/hgTracks?position=213344_s_at","UCSC")</f>
        <v>UCSC</v>
      </c>
      <c r="E3695" s="1" t="str">
        <f>HYPERLINK("http://www.ncbi.nlm.nih.gov/gene/?term=H2AFX","NCBI")</f>
        <v>NCBI</v>
      </c>
      <c r="F3695">
        <v>2.4E-2</v>
      </c>
      <c r="G3695">
        <v>0.11</v>
      </c>
      <c r="H3695" s="1" t="str">
        <f>HYPERLINK("http://www.weizmann.ac.il/complex/compphys/software/geview/data/figures/213344_s_at.png","Figure")</f>
        <v>Figure</v>
      </c>
      <c r="I3695">
        <v>1.25</v>
      </c>
      <c r="J3695">
        <v>1.9E-2</v>
      </c>
      <c r="K3695">
        <v>1.0900000000000001</v>
      </c>
      <c r="L3695">
        <v>0.35</v>
      </c>
      <c r="M3695">
        <v>0.874</v>
      </c>
      <c r="N3695">
        <v>0.14000000000000001</v>
      </c>
    </row>
    <row r="3696" spans="1:14" x14ac:dyDescent="0.25">
      <c r="A3696" t="s">
        <v>6760</v>
      </c>
      <c r="B3696" t="s">
        <v>6761</v>
      </c>
      <c r="C3696" s="1" t="str">
        <f>HYPERLINK("http://www.genecards.org/cgi-bin/carddisp.pl?gene=TMEM184C","GeneCards")</f>
        <v>GeneCards</v>
      </c>
      <c r="D3696" s="1" t="str">
        <f>HYPERLINK("http://genome-euro.ucsc.edu/cgi-bin/hgTracks?position=219074_at","UCSC")</f>
        <v>UCSC</v>
      </c>
      <c r="E3696" s="1" t="str">
        <f>HYPERLINK("http://www.ncbi.nlm.nih.gov/gene/?term=TMEM184C","NCBI")</f>
        <v>NCBI</v>
      </c>
      <c r="F3696">
        <v>2.4E-2</v>
      </c>
      <c r="G3696">
        <v>0.11</v>
      </c>
      <c r="H3696" s="1" t="str">
        <f>HYPERLINK("http://www.weizmann.ac.il/complex/compphys/software/geview/data/figures/219074_at.png","Figure")</f>
        <v>Figure</v>
      </c>
      <c r="I3696">
        <v>0.78100000000000003</v>
      </c>
      <c r="J3696">
        <v>1.9E-2</v>
      </c>
      <c r="K3696">
        <v>0.88400000000000001</v>
      </c>
      <c r="L3696">
        <v>0.21</v>
      </c>
      <c r="M3696">
        <v>1.1299999999999999</v>
      </c>
      <c r="N3696">
        <v>0.24</v>
      </c>
    </row>
    <row r="3697" spans="1:14" x14ac:dyDescent="0.25">
      <c r="A3697" t="s">
        <v>6762</v>
      </c>
      <c r="B3697" t="s">
        <v>6763</v>
      </c>
      <c r="C3697" s="1" t="str">
        <f>HYPERLINK("http://www.genecards.org/cgi-bin/carddisp.pl?gene=SPTBN4","GeneCards")</f>
        <v>GeneCards</v>
      </c>
      <c r="D3697" s="1" t="str">
        <f>HYPERLINK("http://genome-euro.ucsc.edu/cgi-bin/hgTracks?position=220185_at","UCSC")</f>
        <v>UCSC</v>
      </c>
      <c r="E3697" s="1" t="str">
        <f>HYPERLINK("http://www.ncbi.nlm.nih.gov/gene/?term=SPTBN4","NCBI")</f>
        <v>NCBI</v>
      </c>
      <c r="F3697">
        <v>2.4E-2</v>
      </c>
      <c r="G3697">
        <v>0.11</v>
      </c>
      <c r="H3697" s="1" t="str">
        <f>HYPERLINK("http://www.weizmann.ac.il/complex/compphys/software/geview/data/figures/220185_at.png","Figure")</f>
        <v>Figure</v>
      </c>
      <c r="I3697">
        <v>1.47</v>
      </c>
      <c r="J3697">
        <v>0.02</v>
      </c>
      <c r="K3697">
        <v>1.1499999999999999</v>
      </c>
      <c r="L3697">
        <v>0.43</v>
      </c>
      <c r="M3697">
        <v>0.78100000000000003</v>
      </c>
      <c r="N3697">
        <v>0.12</v>
      </c>
    </row>
    <row r="3698" spans="1:14" x14ac:dyDescent="0.25">
      <c r="A3698" t="s">
        <v>6764</v>
      </c>
      <c r="B3698" t="s">
        <v>6765</v>
      </c>
      <c r="C3698" s="1" t="str">
        <f>HYPERLINK("http://www.genecards.org/cgi-bin/carddisp.pl?gene=VAMP3","GeneCards")</f>
        <v>GeneCards</v>
      </c>
      <c r="D3698" s="1" t="str">
        <f>HYPERLINK("http://genome-euro.ucsc.edu/cgi-bin/hgTracks?position=201336_at","UCSC")</f>
        <v>UCSC</v>
      </c>
      <c r="E3698" s="1" t="str">
        <f>HYPERLINK("http://www.ncbi.nlm.nih.gov/gene/?term=VAMP3","NCBI")</f>
        <v>NCBI</v>
      </c>
      <c r="F3698">
        <v>2.5000000000000001E-2</v>
      </c>
      <c r="G3698">
        <v>0.11</v>
      </c>
      <c r="H3698" s="1" t="str">
        <f>HYPERLINK("http://www.weizmann.ac.il/complex/compphys/software/geview/data/figures/201336_at.png","Figure")</f>
        <v>Figure</v>
      </c>
      <c r="I3698">
        <v>1.02</v>
      </c>
      <c r="J3698">
        <v>0.99</v>
      </c>
      <c r="K3698">
        <v>0.67700000000000005</v>
      </c>
      <c r="L3698">
        <v>4.9000000000000002E-2</v>
      </c>
      <c r="M3698">
        <v>0.66300000000000003</v>
      </c>
      <c r="N3698">
        <v>5.1999999999999998E-2</v>
      </c>
    </row>
    <row r="3699" spans="1:14" x14ac:dyDescent="0.25">
      <c r="A3699" t="s">
        <v>6766</v>
      </c>
      <c r="B3699" t="s">
        <v>5602</v>
      </c>
      <c r="C3699" s="1" t="str">
        <f>HYPERLINK("http://www.genecards.org/cgi-bin/carddisp.pl?gene=TFRC","GeneCards")</f>
        <v>GeneCards</v>
      </c>
      <c r="D3699" s="1" t="str">
        <f>HYPERLINK("http://genome-euro.ucsc.edu/cgi-bin/hgTracks?position=208691_at","UCSC")</f>
        <v>UCSC</v>
      </c>
      <c r="E3699" s="1" t="str">
        <f>HYPERLINK("http://www.ncbi.nlm.nih.gov/gene/?term=TFRC","NCBI")</f>
        <v>NCBI</v>
      </c>
      <c r="F3699">
        <v>2.5000000000000001E-2</v>
      </c>
      <c r="G3699">
        <v>0.11</v>
      </c>
      <c r="H3699" s="1" t="str">
        <f>HYPERLINK("http://www.weizmann.ac.il/complex/compphys/software/geview/data/figures/208691_at.png","Figure")</f>
        <v>Figure</v>
      </c>
      <c r="I3699">
        <v>1.56</v>
      </c>
      <c r="J3699">
        <v>0.26</v>
      </c>
      <c r="K3699">
        <v>0.71</v>
      </c>
      <c r="L3699">
        <v>0.34</v>
      </c>
      <c r="M3699">
        <v>0.45400000000000001</v>
      </c>
      <c r="N3699">
        <v>0.02</v>
      </c>
    </row>
    <row r="3700" spans="1:14" x14ac:dyDescent="0.25">
      <c r="A3700" t="s">
        <v>6767</v>
      </c>
      <c r="B3700" t="s">
        <v>6768</v>
      </c>
      <c r="C3700" s="1" t="str">
        <f>HYPERLINK("http://www.genecards.org/cgi-bin/carddisp.pl?gene=THAP3","GeneCards")</f>
        <v>GeneCards</v>
      </c>
      <c r="D3700" s="1" t="str">
        <f>HYPERLINK("http://genome-euro.ucsc.edu/cgi-bin/hgTracks?position=213192_at","UCSC")</f>
        <v>UCSC</v>
      </c>
      <c r="E3700" s="1" t="str">
        <f>HYPERLINK("http://www.ncbi.nlm.nih.gov/gene/?term=THAP3","NCBI")</f>
        <v>NCBI</v>
      </c>
      <c r="F3700">
        <v>2.5000000000000001E-2</v>
      </c>
      <c r="G3700">
        <v>0.11</v>
      </c>
      <c r="H3700" s="1" t="str">
        <f>HYPERLINK("http://www.weizmann.ac.il/complex/compphys/software/geview/data/figures/213192_at.png","Figure")</f>
        <v>Figure</v>
      </c>
      <c r="I3700">
        <v>1.22</v>
      </c>
      <c r="J3700">
        <v>6.4000000000000001E-2</v>
      </c>
      <c r="K3700">
        <v>0.97299999999999998</v>
      </c>
      <c r="L3700">
        <v>0.92</v>
      </c>
      <c r="M3700">
        <v>0.79500000000000004</v>
      </c>
      <c r="N3700">
        <v>2.4E-2</v>
      </c>
    </row>
    <row r="3701" spans="1:14" x14ac:dyDescent="0.25">
      <c r="A3701" t="s">
        <v>6769</v>
      </c>
      <c r="B3701" t="s">
        <v>6770</v>
      </c>
      <c r="C3701" s="1" t="str">
        <f>HYPERLINK("http://www.genecards.org/cgi-bin/carddisp.pl?gene=ZNF37B","GeneCards")</f>
        <v>GeneCards</v>
      </c>
      <c r="D3701" s="1" t="str">
        <f>HYPERLINK("http://genome-euro.ucsc.edu/cgi-bin/hgTracks?position=215358_x_at","UCSC")</f>
        <v>UCSC</v>
      </c>
      <c r="E3701" s="1" t="str">
        <f>HYPERLINK("http://www.ncbi.nlm.nih.gov/gene/?term=ZNF37B","NCBI")</f>
        <v>NCBI</v>
      </c>
      <c r="F3701">
        <v>2.5000000000000001E-2</v>
      </c>
      <c r="G3701">
        <v>0.11</v>
      </c>
      <c r="H3701" s="1" t="str">
        <f>HYPERLINK("http://www.weizmann.ac.il/complex/compphys/software/geview/data/figures/215358_x_at.png","Figure")</f>
        <v>Figure</v>
      </c>
      <c r="I3701">
        <v>0.67300000000000004</v>
      </c>
      <c r="J3701">
        <v>9.9000000000000005E-2</v>
      </c>
      <c r="K3701">
        <v>0.627</v>
      </c>
      <c r="L3701">
        <v>2.3E-2</v>
      </c>
      <c r="M3701">
        <v>0.93100000000000005</v>
      </c>
      <c r="N3701">
        <v>0.9</v>
      </c>
    </row>
    <row r="3702" spans="1:14" x14ac:dyDescent="0.25">
      <c r="A3702" t="s">
        <v>6771</v>
      </c>
      <c r="B3702" t="s">
        <v>6772</v>
      </c>
      <c r="C3702" s="1" t="str">
        <f>HYPERLINK("http://www.genecards.org/cgi-bin/carddisp.pl?gene=SLAMF8","GeneCards")</f>
        <v>GeneCards</v>
      </c>
      <c r="D3702" s="1" t="str">
        <f>HYPERLINK("http://genome-euro.ucsc.edu/cgi-bin/hgTracks?position=219385_at","UCSC")</f>
        <v>UCSC</v>
      </c>
      <c r="E3702" s="1" t="str">
        <f>HYPERLINK("http://www.ncbi.nlm.nih.gov/gene/?term=SLAMF8","NCBI")</f>
        <v>NCBI</v>
      </c>
      <c r="F3702">
        <v>2.5000000000000001E-2</v>
      </c>
      <c r="G3702">
        <v>0.11</v>
      </c>
      <c r="H3702" s="1" t="str">
        <f>HYPERLINK("http://www.weizmann.ac.il/complex/compphys/software/geview/data/figures/219385_at.png","Figure")</f>
        <v>Figure</v>
      </c>
      <c r="I3702">
        <v>1.3</v>
      </c>
      <c r="J3702">
        <v>2.7E-2</v>
      </c>
      <c r="K3702">
        <v>1.05</v>
      </c>
      <c r="L3702">
        <v>0.83</v>
      </c>
      <c r="M3702">
        <v>0.80500000000000005</v>
      </c>
      <c r="N3702">
        <v>5.0999999999999997E-2</v>
      </c>
    </row>
    <row r="3703" spans="1:14" x14ac:dyDescent="0.25">
      <c r="A3703" t="s">
        <v>6773</v>
      </c>
      <c r="B3703" t="s">
        <v>6774</v>
      </c>
      <c r="C3703" s="1" t="str">
        <f>HYPERLINK("http://www.genecards.org/cgi-bin/carddisp.pl?gene=IGFBP5","GeneCards")</f>
        <v>GeneCards</v>
      </c>
      <c r="D3703" s="1" t="str">
        <f>HYPERLINK("http://genome-euro.ucsc.edu/cgi-bin/hgTracks?position=203425_s_at","UCSC")</f>
        <v>UCSC</v>
      </c>
      <c r="E3703" s="1" t="str">
        <f>HYPERLINK("http://www.ncbi.nlm.nih.gov/gene/?term=IGFBP5","NCBI")</f>
        <v>NCBI</v>
      </c>
      <c r="F3703">
        <v>2.5000000000000001E-2</v>
      </c>
      <c r="G3703">
        <v>0.11</v>
      </c>
      <c r="H3703" s="1" t="str">
        <f>HYPERLINK("http://www.weizmann.ac.il/complex/compphys/software/geview/data/figures/203425_s_at.png","Figure")</f>
        <v>Figure</v>
      </c>
      <c r="I3703">
        <v>1.2</v>
      </c>
      <c r="J3703">
        <v>2.9000000000000001E-2</v>
      </c>
      <c r="K3703">
        <v>1.03</v>
      </c>
      <c r="L3703">
        <v>0.87</v>
      </c>
      <c r="M3703">
        <v>0.85499999999999998</v>
      </c>
      <c r="N3703">
        <v>4.7E-2</v>
      </c>
    </row>
    <row r="3704" spans="1:14" x14ac:dyDescent="0.25">
      <c r="A3704" t="s">
        <v>6775</v>
      </c>
      <c r="B3704" t="s">
        <v>4952</v>
      </c>
      <c r="C3704" s="1" t="str">
        <f>HYPERLINK("http://www.genecards.org/cgi-bin/carddisp.pl?gene=RPL38","GeneCards")</f>
        <v>GeneCards</v>
      </c>
      <c r="D3704" s="1" t="str">
        <f>HYPERLINK("http://genome-euro.ucsc.edu/cgi-bin/hgTracks?position=202029_x_at","UCSC")</f>
        <v>UCSC</v>
      </c>
      <c r="E3704" s="1" t="str">
        <f>HYPERLINK("http://www.ncbi.nlm.nih.gov/gene/?term=RPL38","NCBI")</f>
        <v>NCBI</v>
      </c>
      <c r="F3704">
        <v>2.5000000000000001E-2</v>
      </c>
      <c r="G3704">
        <v>0.11</v>
      </c>
      <c r="H3704" s="1" t="str">
        <f>HYPERLINK("http://www.weizmann.ac.il/complex/compphys/software/geview/data/figures/202029_x_at.png","Figure")</f>
        <v>Figure</v>
      </c>
      <c r="I3704">
        <v>0.79</v>
      </c>
      <c r="J3704">
        <v>0.18</v>
      </c>
      <c r="K3704">
        <v>1.1399999999999999</v>
      </c>
      <c r="L3704">
        <v>0.47</v>
      </c>
      <c r="M3704">
        <v>1.44</v>
      </c>
      <c r="N3704">
        <v>1.9E-2</v>
      </c>
    </row>
    <row r="3705" spans="1:14" x14ac:dyDescent="0.25">
      <c r="A3705" t="s">
        <v>6776</v>
      </c>
      <c r="B3705" t="s">
        <v>6777</v>
      </c>
      <c r="C3705" s="1" t="str">
        <f>HYPERLINK("http://www.genecards.org/cgi-bin/carddisp.pl?gene=NMT1","GeneCards")</f>
        <v>GeneCards</v>
      </c>
      <c r="D3705" s="1" t="str">
        <f>HYPERLINK("http://genome-euro.ucsc.edu/cgi-bin/hgTracks?position=201158_at","UCSC")</f>
        <v>UCSC</v>
      </c>
      <c r="E3705" s="1" t="str">
        <f>HYPERLINK("http://www.ncbi.nlm.nih.gov/gene/?term=NMT1","NCBI")</f>
        <v>NCBI</v>
      </c>
      <c r="F3705">
        <v>2.5000000000000001E-2</v>
      </c>
      <c r="G3705">
        <v>0.11</v>
      </c>
      <c r="H3705" s="1" t="str">
        <f>HYPERLINK("http://www.weizmann.ac.il/complex/compphys/software/geview/data/figures/201158_at.png","Figure")</f>
        <v>Figure</v>
      </c>
      <c r="I3705">
        <v>0.69599999999999995</v>
      </c>
      <c r="J3705">
        <v>0.1</v>
      </c>
      <c r="K3705">
        <v>1.1100000000000001</v>
      </c>
      <c r="L3705">
        <v>0.73</v>
      </c>
      <c r="M3705">
        <v>1.6</v>
      </c>
      <c r="N3705">
        <v>2.1000000000000001E-2</v>
      </c>
    </row>
    <row r="3706" spans="1:14" x14ac:dyDescent="0.25">
      <c r="A3706" t="s">
        <v>6778</v>
      </c>
      <c r="B3706" t="s">
        <v>6779</v>
      </c>
      <c r="C3706" s="1" t="str">
        <f>HYPERLINK("http://www.genecards.org/cgi-bin/carddisp.pl?gene=NES","GeneCards")</f>
        <v>GeneCards</v>
      </c>
      <c r="D3706" s="1" t="str">
        <f>HYPERLINK("http://genome-euro.ucsc.edu/cgi-bin/hgTracks?position=218678_at","UCSC")</f>
        <v>UCSC</v>
      </c>
      <c r="E3706" s="1" t="str">
        <f>HYPERLINK("http://www.ncbi.nlm.nih.gov/gene/?term=NES","NCBI")</f>
        <v>NCBI</v>
      </c>
      <c r="F3706">
        <v>2.5000000000000001E-2</v>
      </c>
      <c r="G3706">
        <v>0.11</v>
      </c>
      <c r="H3706" s="1" t="str">
        <f>HYPERLINK("http://www.weizmann.ac.il/complex/compphys/software/geview/data/figures/218678_at.png","Figure")</f>
        <v>Figure</v>
      </c>
      <c r="I3706">
        <v>1.22</v>
      </c>
      <c r="J3706">
        <v>2.1000000000000001E-2</v>
      </c>
      <c r="K3706">
        <v>1.1200000000000001</v>
      </c>
      <c r="L3706">
        <v>0.14000000000000001</v>
      </c>
      <c r="M3706">
        <v>0.91800000000000004</v>
      </c>
      <c r="N3706">
        <v>0.36</v>
      </c>
    </row>
    <row r="3707" spans="1:14" x14ac:dyDescent="0.25">
      <c r="A3707" t="s">
        <v>6780</v>
      </c>
      <c r="B3707" t="s">
        <v>6781</v>
      </c>
      <c r="C3707" s="1" t="str">
        <f>HYPERLINK("http://www.genecards.org/cgi-bin/carddisp.pl?gene=SENP6","GeneCards")</f>
        <v>GeneCards</v>
      </c>
      <c r="D3707" s="1" t="str">
        <f>HYPERLINK("http://genome-euro.ucsc.edu/cgi-bin/hgTracks?position=214790_at","UCSC")</f>
        <v>UCSC</v>
      </c>
      <c r="E3707" s="1" t="str">
        <f>HYPERLINK("http://www.ncbi.nlm.nih.gov/gene/?term=SENP6","NCBI")</f>
        <v>NCBI</v>
      </c>
      <c r="F3707">
        <v>2.5000000000000001E-2</v>
      </c>
      <c r="G3707">
        <v>0.11</v>
      </c>
      <c r="H3707" s="1" t="str">
        <f>HYPERLINK("http://www.weizmann.ac.il/complex/compphys/software/geview/data/figures/214790_at.png","Figure")</f>
        <v>Figure</v>
      </c>
      <c r="I3707">
        <v>0.82599999999999996</v>
      </c>
      <c r="J3707">
        <v>0.87</v>
      </c>
      <c r="K3707">
        <v>0.38</v>
      </c>
      <c r="L3707">
        <v>2.9000000000000001E-2</v>
      </c>
      <c r="M3707">
        <v>0.46</v>
      </c>
      <c r="N3707">
        <v>0.11</v>
      </c>
    </row>
    <row r="3708" spans="1:14" x14ac:dyDescent="0.25">
      <c r="A3708" t="s">
        <v>6782</v>
      </c>
      <c r="B3708" t="s">
        <v>6783</v>
      </c>
      <c r="C3708" s="1" t="str">
        <f>HYPERLINK("http://www.genecards.org/cgi-bin/carddisp.pl?gene=GP5","GeneCards")</f>
        <v>GeneCards</v>
      </c>
      <c r="D3708" s="1" t="str">
        <f>HYPERLINK("http://genome-euro.ucsc.edu/cgi-bin/hgTracks?position=207926_at","UCSC")</f>
        <v>UCSC</v>
      </c>
      <c r="E3708" s="1" t="str">
        <f>HYPERLINK("http://www.ncbi.nlm.nih.gov/gene/?term=GP5","NCBI")</f>
        <v>NCBI</v>
      </c>
      <c r="F3708">
        <v>2.5000000000000001E-2</v>
      </c>
      <c r="G3708">
        <v>0.11</v>
      </c>
      <c r="H3708" s="1" t="str">
        <f>HYPERLINK("http://www.weizmann.ac.il/complex/compphys/software/geview/data/figures/207926_at.png","Figure")</f>
        <v>Figure</v>
      </c>
      <c r="I3708">
        <v>1.08</v>
      </c>
      <c r="J3708">
        <v>0.06</v>
      </c>
      <c r="K3708">
        <v>1.08</v>
      </c>
      <c r="L3708">
        <v>3.1E-2</v>
      </c>
      <c r="M3708">
        <v>1</v>
      </c>
      <c r="N3708">
        <v>1</v>
      </c>
    </row>
    <row r="3709" spans="1:14" x14ac:dyDescent="0.25">
      <c r="A3709" t="s">
        <v>6784</v>
      </c>
      <c r="B3709" t="s">
        <v>6785</v>
      </c>
      <c r="C3709" s="1" t="str">
        <f>HYPERLINK("http://www.genecards.org/cgi-bin/carddisp.pl?gene=CDC42EP1","GeneCards")</f>
        <v>GeneCards</v>
      </c>
      <c r="D3709" s="1" t="str">
        <f>HYPERLINK("http://genome-euro.ucsc.edu/cgi-bin/hgTracks?position=204693_at","UCSC")</f>
        <v>UCSC</v>
      </c>
      <c r="E3709" s="1" t="str">
        <f>HYPERLINK("http://www.ncbi.nlm.nih.gov/gene/?term=CDC42EP1","NCBI")</f>
        <v>NCBI</v>
      </c>
      <c r="F3709">
        <v>2.5000000000000001E-2</v>
      </c>
      <c r="G3709">
        <v>0.11</v>
      </c>
      <c r="H3709" s="1" t="str">
        <f>HYPERLINK("http://www.weizmann.ac.il/complex/compphys/software/geview/data/figures/204693_at.png","Figure")</f>
        <v>Figure</v>
      </c>
      <c r="I3709">
        <v>1.33</v>
      </c>
      <c r="J3709">
        <v>1.9E-2</v>
      </c>
      <c r="K3709">
        <v>1.1399999999999999</v>
      </c>
      <c r="L3709">
        <v>0.26</v>
      </c>
      <c r="M3709">
        <v>0.85499999999999998</v>
      </c>
      <c r="N3709">
        <v>0.2</v>
      </c>
    </row>
    <row r="3710" spans="1:14" x14ac:dyDescent="0.25">
      <c r="A3710" t="s">
        <v>6786</v>
      </c>
      <c r="B3710" t="s">
        <v>6787</v>
      </c>
      <c r="C3710" s="1" t="str">
        <f>HYPERLINK("http://www.genecards.org/cgi-bin/carddisp.pl?gene=FEM1B","GeneCards")</f>
        <v>GeneCards</v>
      </c>
      <c r="D3710" s="1" t="str">
        <f>HYPERLINK("http://genome-euro.ucsc.edu/cgi-bin/hgTracks?position=212367_at","UCSC")</f>
        <v>UCSC</v>
      </c>
      <c r="E3710" s="1" t="str">
        <f>HYPERLINK("http://www.ncbi.nlm.nih.gov/gene/?term=FEM1B","NCBI")</f>
        <v>NCBI</v>
      </c>
      <c r="F3710">
        <v>2.5000000000000001E-2</v>
      </c>
      <c r="G3710">
        <v>0.11</v>
      </c>
      <c r="H3710" s="1" t="str">
        <f>HYPERLINK("http://www.weizmann.ac.il/complex/compphys/software/geview/data/figures/212367_at.png","Figure")</f>
        <v>Figure</v>
      </c>
      <c r="I3710">
        <v>0.53</v>
      </c>
      <c r="J3710">
        <v>3.3000000000000002E-2</v>
      </c>
      <c r="K3710">
        <v>0.93799999999999994</v>
      </c>
      <c r="L3710">
        <v>0.94</v>
      </c>
      <c r="M3710">
        <v>1.77</v>
      </c>
      <c r="N3710">
        <v>0.04</v>
      </c>
    </row>
    <row r="3711" spans="1:14" x14ac:dyDescent="0.25">
      <c r="A3711" t="s">
        <v>6788</v>
      </c>
      <c r="B3711" t="s">
        <v>6789</v>
      </c>
      <c r="C3711" s="1" t="str">
        <f>HYPERLINK("http://www.genecards.org/cgi-bin/carddisp.pl?gene=ZFP64","GeneCards")</f>
        <v>GeneCards</v>
      </c>
      <c r="D3711" s="1" t="str">
        <f>HYPERLINK("http://genome-euro.ucsc.edu/cgi-bin/hgTracks?position=219536_s_at","UCSC")</f>
        <v>UCSC</v>
      </c>
      <c r="E3711" s="1" t="str">
        <f>HYPERLINK("http://www.ncbi.nlm.nih.gov/gene/?term=ZFP64","NCBI")</f>
        <v>NCBI</v>
      </c>
      <c r="F3711">
        <v>2.5000000000000001E-2</v>
      </c>
      <c r="G3711">
        <v>0.11</v>
      </c>
      <c r="H3711" s="1" t="str">
        <f>HYPERLINK("http://www.weizmann.ac.il/complex/compphys/software/geview/data/figures/219536_s_at.png","Figure")</f>
        <v>Figure</v>
      </c>
      <c r="I3711">
        <v>1.19</v>
      </c>
      <c r="J3711">
        <v>0.02</v>
      </c>
      <c r="K3711">
        <v>1.0900000000000001</v>
      </c>
      <c r="L3711">
        <v>0.22</v>
      </c>
      <c r="M3711">
        <v>0.91600000000000004</v>
      </c>
      <c r="N3711">
        <v>0.23</v>
      </c>
    </row>
    <row r="3712" spans="1:14" x14ac:dyDescent="0.25">
      <c r="A3712" t="s">
        <v>6790</v>
      </c>
      <c r="B3712" t="s">
        <v>779</v>
      </c>
      <c r="C3712" s="1" t="str">
        <f>HYPERLINK("http://www.genecards.org/cgi-bin/carddisp.pl?gene=TBC1D9","GeneCards")</f>
        <v>GeneCards</v>
      </c>
      <c r="D3712" s="1" t="str">
        <f>HYPERLINK("http://genome-euro.ucsc.edu/cgi-bin/hgTracks?position=212960_at","UCSC")</f>
        <v>UCSC</v>
      </c>
      <c r="E3712" s="1" t="str">
        <f>HYPERLINK("http://www.ncbi.nlm.nih.gov/gene/?term=TBC1D9","NCBI")</f>
        <v>NCBI</v>
      </c>
      <c r="F3712">
        <v>2.5000000000000001E-2</v>
      </c>
      <c r="G3712">
        <v>0.11</v>
      </c>
      <c r="H3712" s="1" t="str">
        <f>HYPERLINK("http://www.weizmann.ac.il/complex/compphys/software/geview/data/figures/212960_at.png","Figure")</f>
        <v>Figure</v>
      </c>
      <c r="I3712">
        <v>0.93200000000000005</v>
      </c>
      <c r="J3712">
        <v>0.5</v>
      </c>
      <c r="K3712">
        <v>0.84599999999999997</v>
      </c>
      <c r="L3712">
        <v>2.1000000000000001E-2</v>
      </c>
      <c r="M3712">
        <v>0.90800000000000003</v>
      </c>
      <c r="N3712">
        <v>0.25</v>
      </c>
    </row>
    <row r="3713" spans="1:14" x14ac:dyDescent="0.25">
      <c r="A3713" t="s">
        <v>6791</v>
      </c>
      <c r="B3713" t="s">
        <v>6792</v>
      </c>
      <c r="C3713" s="1" t="str">
        <f>HYPERLINK("http://www.genecards.org/cgi-bin/carddisp.pl?gene=RBM /// RBMY1A1 /// RBMY1B /// RBMY1D /// RBMY1E /// RBMY1F /// RBMY1J","GeneCards")</f>
        <v>GeneCards</v>
      </c>
      <c r="D3713" s="1" t="str">
        <f>HYPERLINK("http://genome-euro.ucsc.edu/cgi-bin/hgTracks?position=216842_x_at","UCSC")</f>
        <v>UCSC</v>
      </c>
      <c r="E3713" s="1" t="str">
        <f>HYPERLINK("http://www.ncbi.nlm.nih.gov/gene/?term=RBM /// RBMY1A1 /// RBMY1B /// RBMY1D /// RBMY1E /// RBMY1F /// RBMY1J","NCBI")</f>
        <v>NCBI</v>
      </c>
      <c r="F3713">
        <v>2.5000000000000001E-2</v>
      </c>
      <c r="G3713">
        <v>0.11</v>
      </c>
      <c r="H3713" s="1" t="str">
        <f>HYPERLINK("http://www.weizmann.ac.il/complex/compphys/software/geview/data/figures/216842_x_at.png","Figure")</f>
        <v>Figure</v>
      </c>
      <c r="I3713">
        <v>1.57</v>
      </c>
      <c r="J3713">
        <v>2.4E-2</v>
      </c>
      <c r="K3713">
        <v>1.34</v>
      </c>
      <c r="L3713">
        <v>9.4E-2</v>
      </c>
      <c r="M3713">
        <v>0.85699999999999998</v>
      </c>
      <c r="N3713">
        <v>0.52</v>
      </c>
    </row>
    <row r="3714" spans="1:14" x14ac:dyDescent="0.25">
      <c r="A3714" t="s">
        <v>6793</v>
      </c>
      <c r="B3714" t="s">
        <v>6794</v>
      </c>
      <c r="C3714" s="1" t="str">
        <f>HYPERLINK("http://www.genecards.org/cgi-bin/carddisp.pl?gene=TREX1","GeneCards")</f>
        <v>GeneCards</v>
      </c>
      <c r="D3714" s="1" t="str">
        <f>HYPERLINK("http://genome-euro.ucsc.edu/cgi-bin/hgTracks?position=34689_at","UCSC")</f>
        <v>UCSC</v>
      </c>
      <c r="E3714" s="1" t="str">
        <f>HYPERLINK("http://www.ncbi.nlm.nih.gov/gene/?term=TREX1","NCBI")</f>
        <v>NCBI</v>
      </c>
      <c r="F3714">
        <v>2.5000000000000001E-2</v>
      </c>
      <c r="G3714">
        <v>0.11</v>
      </c>
      <c r="H3714" s="1" t="str">
        <f>HYPERLINK("http://www.weizmann.ac.il/complex/compphys/software/geview/data/figures/34689_at.png","Figure")</f>
        <v>Figure</v>
      </c>
      <c r="I3714">
        <v>1.38</v>
      </c>
      <c r="J3714">
        <v>2.8000000000000001E-2</v>
      </c>
      <c r="K3714">
        <v>1.26</v>
      </c>
      <c r="L3714">
        <v>7.0999999999999994E-2</v>
      </c>
      <c r="M3714">
        <v>0.91400000000000003</v>
      </c>
      <c r="N3714">
        <v>0.65</v>
      </c>
    </row>
    <row r="3715" spans="1:14" x14ac:dyDescent="0.25">
      <c r="A3715" t="s">
        <v>6795</v>
      </c>
      <c r="B3715" t="s">
        <v>6796</v>
      </c>
      <c r="C3715" s="1" t="str">
        <f>HYPERLINK("http://www.genecards.org/cgi-bin/carddisp.pl?gene=IP6K1","GeneCards")</f>
        <v>GeneCards</v>
      </c>
      <c r="D3715" s="1" t="str">
        <f>HYPERLINK("http://genome-euro.ucsc.edu/cgi-bin/hgTracks?position=212439_at","UCSC")</f>
        <v>UCSC</v>
      </c>
      <c r="E3715" s="1" t="str">
        <f>HYPERLINK("http://www.ncbi.nlm.nih.gov/gene/?term=IP6K1","NCBI")</f>
        <v>NCBI</v>
      </c>
      <c r="F3715">
        <v>2.5000000000000001E-2</v>
      </c>
      <c r="G3715">
        <v>0.11</v>
      </c>
      <c r="H3715" s="1" t="str">
        <f>HYPERLINK("http://www.weizmann.ac.il/complex/compphys/software/geview/data/figures/212439_at.png","Figure")</f>
        <v>Figure</v>
      </c>
      <c r="I3715">
        <v>1.61</v>
      </c>
      <c r="J3715">
        <v>3.3000000000000002E-2</v>
      </c>
      <c r="K3715">
        <v>1.05</v>
      </c>
      <c r="L3715">
        <v>0.94</v>
      </c>
      <c r="M3715">
        <v>0.65100000000000002</v>
      </c>
      <c r="N3715">
        <v>0.04</v>
      </c>
    </row>
    <row r="3716" spans="1:14" x14ac:dyDescent="0.25">
      <c r="A3716" t="s">
        <v>6797</v>
      </c>
      <c r="B3716" t="s">
        <v>6798</v>
      </c>
      <c r="C3716" s="1" t="str">
        <f>HYPERLINK("http://www.genecards.org/cgi-bin/carddisp.pl?gene=DGCR8","GeneCards")</f>
        <v>GeneCards</v>
      </c>
      <c r="D3716" s="1" t="str">
        <f>HYPERLINK("http://genome-euro.ucsc.edu/cgi-bin/hgTracks?position=219811_at","UCSC")</f>
        <v>UCSC</v>
      </c>
      <c r="E3716" s="1" t="str">
        <f>HYPERLINK("http://www.ncbi.nlm.nih.gov/gene/?term=DGCR8","NCBI")</f>
        <v>NCBI</v>
      </c>
      <c r="F3716">
        <v>2.5000000000000001E-2</v>
      </c>
      <c r="G3716">
        <v>0.11</v>
      </c>
      <c r="H3716" s="1" t="str">
        <f>HYPERLINK("http://www.weizmann.ac.il/complex/compphys/software/geview/data/figures/219811_at.png","Figure")</f>
        <v>Figure</v>
      </c>
      <c r="I3716">
        <v>1.29</v>
      </c>
      <c r="J3716">
        <v>5.1999999999999998E-2</v>
      </c>
      <c r="K3716">
        <v>0.98499999999999999</v>
      </c>
      <c r="L3716">
        <v>0.98</v>
      </c>
      <c r="M3716">
        <v>0.76500000000000001</v>
      </c>
      <c r="N3716">
        <v>2.7E-2</v>
      </c>
    </row>
    <row r="3717" spans="1:14" x14ac:dyDescent="0.25">
      <c r="A3717" t="s">
        <v>6799</v>
      </c>
      <c r="B3717" t="s">
        <v>6800</v>
      </c>
      <c r="C3717" s="1" t="str">
        <f>HYPERLINK("http://www.genecards.org/cgi-bin/carddisp.pl?gene=UBR5","GeneCards")</f>
        <v>GeneCards</v>
      </c>
      <c r="D3717" s="1" t="str">
        <f>HYPERLINK("http://genome-euro.ucsc.edu/cgi-bin/hgTracks?position=208883_at","UCSC")</f>
        <v>UCSC</v>
      </c>
      <c r="E3717" s="1" t="str">
        <f>HYPERLINK("http://www.ncbi.nlm.nih.gov/gene/?term=UBR5","NCBI")</f>
        <v>NCBI</v>
      </c>
      <c r="F3717">
        <v>2.5000000000000001E-2</v>
      </c>
      <c r="G3717">
        <v>0.11</v>
      </c>
      <c r="H3717" s="1" t="str">
        <f>HYPERLINK("http://www.weizmann.ac.il/complex/compphys/software/geview/data/figures/208883_at.png","Figure")</f>
        <v>Figure</v>
      </c>
      <c r="I3717">
        <v>0.63100000000000001</v>
      </c>
      <c r="J3717">
        <v>2.3E-2</v>
      </c>
      <c r="K3717">
        <v>0.88500000000000001</v>
      </c>
      <c r="L3717">
        <v>0.63</v>
      </c>
      <c r="M3717">
        <v>1.4</v>
      </c>
      <c r="N3717">
        <v>7.4999999999999997E-2</v>
      </c>
    </row>
    <row r="3718" spans="1:14" x14ac:dyDescent="0.25">
      <c r="A3718" t="s">
        <v>6801</v>
      </c>
      <c r="B3718" t="s">
        <v>6678</v>
      </c>
      <c r="C3718" s="1" t="str">
        <f>HYPERLINK("http://www.genecards.org/cgi-bin/carddisp.pl?gene=MACF1","GeneCards")</f>
        <v>GeneCards</v>
      </c>
      <c r="D3718" s="1" t="str">
        <f>HYPERLINK("http://genome-euro.ucsc.edu/cgi-bin/hgTracks?position=214894_x_at","UCSC")</f>
        <v>UCSC</v>
      </c>
      <c r="E3718" s="1" t="str">
        <f>HYPERLINK("http://www.ncbi.nlm.nih.gov/gene/?term=MACF1","NCBI")</f>
        <v>NCBI</v>
      </c>
      <c r="F3718">
        <v>2.5000000000000001E-2</v>
      </c>
      <c r="G3718">
        <v>0.11</v>
      </c>
      <c r="H3718" s="1" t="str">
        <f>HYPERLINK("http://www.weizmann.ac.il/complex/compphys/software/geview/data/figures/214894_x_at.png","Figure")</f>
        <v>Figure</v>
      </c>
      <c r="I3718">
        <v>1.61</v>
      </c>
      <c r="J3718">
        <v>2.3E-2</v>
      </c>
      <c r="K3718">
        <v>1.35</v>
      </c>
      <c r="L3718">
        <v>0.11</v>
      </c>
      <c r="M3718">
        <v>0.83799999999999997</v>
      </c>
      <c r="N3718">
        <v>0.46</v>
      </c>
    </row>
    <row r="3719" spans="1:14" x14ac:dyDescent="0.25">
      <c r="A3719" t="s">
        <v>6802</v>
      </c>
      <c r="B3719" t="s">
        <v>6803</v>
      </c>
      <c r="C3719" s="1" t="str">
        <f>HYPERLINK("http://www.genecards.org/cgi-bin/carddisp.pl?gene=HLA-C","GeneCards")</f>
        <v>GeneCards</v>
      </c>
      <c r="D3719" s="1" t="str">
        <f>HYPERLINK("http://genome-euro.ucsc.edu/cgi-bin/hgTracks?position=216526_x_at","UCSC")</f>
        <v>UCSC</v>
      </c>
      <c r="E3719" s="1" t="str">
        <f>HYPERLINK("http://www.ncbi.nlm.nih.gov/gene/?term=HLA-C","NCBI")</f>
        <v>NCBI</v>
      </c>
      <c r="F3719">
        <v>2.5000000000000001E-2</v>
      </c>
      <c r="G3719">
        <v>0.11</v>
      </c>
      <c r="H3719" s="1" t="str">
        <f>HYPERLINK("http://www.weizmann.ac.il/complex/compphys/software/geview/data/figures/216526_x_at.png","Figure")</f>
        <v>Figure</v>
      </c>
      <c r="I3719">
        <v>0.97899999999999998</v>
      </c>
      <c r="J3719">
        <v>0.97</v>
      </c>
      <c r="K3719">
        <v>0.79900000000000004</v>
      </c>
      <c r="L3719">
        <v>3.5999999999999997E-2</v>
      </c>
      <c r="M3719">
        <v>0.81599999999999995</v>
      </c>
      <c r="N3719">
        <v>7.8E-2</v>
      </c>
    </row>
    <row r="3720" spans="1:14" x14ac:dyDescent="0.25">
      <c r="A3720" t="s">
        <v>6804</v>
      </c>
      <c r="B3720" t="s">
        <v>6805</v>
      </c>
      <c r="C3720" s="1" t="str">
        <f>HYPERLINK("http://www.genecards.org/cgi-bin/carddisp.pl?gene=COL7A1","GeneCards")</f>
        <v>GeneCards</v>
      </c>
      <c r="D3720" s="1" t="str">
        <f>HYPERLINK("http://genome-euro.ucsc.edu/cgi-bin/hgTracks?position=204136_at","UCSC")</f>
        <v>UCSC</v>
      </c>
      <c r="E3720" s="1" t="str">
        <f>HYPERLINK("http://www.ncbi.nlm.nih.gov/gene/?term=COL7A1","NCBI")</f>
        <v>NCBI</v>
      </c>
      <c r="F3720">
        <v>2.5000000000000001E-2</v>
      </c>
      <c r="G3720">
        <v>0.11</v>
      </c>
      <c r="H3720" s="1" t="str">
        <f>HYPERLINK("http://www.weizmann.ac.il/complex/compphys/software/geview/data/figures/204136_at.png","Figure")</f>
        <v>Figure</v>
      </c>
      <c r="I3720">
        <v>1.26</v>
      </c>
      <c r="J3720">
        <v>0.02</v>
      </c>
      <c r="K3720">
        <v>1.1299999999999999</v>
      </c>
      <c r="L3720">
        <v>0.17</v>
      </c>
      <c r="M3720">
        <v>0.90100000000000002</v>
      </c>
      <c r="N3720">
        <v>0.31</v>
      </c>
    </row>
    <row r="3721" spans="1:14" x14ac:dyDescent="0.25">
      <c r="A3721" t="s">
        <v>6806</v>
      </c>
      <c r="B3721" t="s">
        <v>6807</v>
      </c>
      <c r="C3721" s="1" t="str">
        <f>HYPERLINK("http://www.genecards.org/cgi-bin/carddisp.pl?gene=APBB3","GeneCards")</f>
        <v>GeneCards</v>
      </c>
      <c r="D3721" s="1" t="str">
        <f>HYPERLINK("http://genome-euro.ucsc.edu/cgi-bin/hgTracks?position=204650_s_at","UCSC")</f>
        <v>UCSC</v>
      </c>
      <c r="E3721" s="1" t="str">
        <f>HYPERLINK("http://www.ncbi.nlm.nih.gov/gene/?term=APBB3","NCBI")</f>
        <v>NCBI</v>
      </c>
      <c r="F3721">
        <v>2.5000000000000001E-2</v>
      </c>
      <c r="G3721">
        <v>0.11</v>
      </c>
      <c r="H3721" s="1" t="str">
        <f>HYPERLINK("http://www.weizmann.ac.il/complex/compphys/software/geview/data/figures/204650_s_at.png","Figure")</f>
        <v>Figure</v>
      </c>
      <c r="I3721">
        <v>1.43</v>
      </c>
      <c r="J3721">
        <v>2.4E-2</v>
      </c>
      <c r="K3721">
        <v>1.08</v>
      </c>
      <c r="L3721">
        <v>0.72</v>
      </c>
      <c r="M3721">
        <v>0.76</v>
      </c>
      <c r="N3721">
        <v>6.3E-2</v>
      </c>
    </row>
    <row r="3722" spans="1:14" x14ac:dyDescent="0.25">
      <c r="A3722" t="s">
        <v>6808</v>
      </c>
      <c r="B3722" t="s">
        <v>3274</v>
      </c>
      <c r="C3722" s="1" t="str">
        <f>HYPERLINK("http://www.genecards.org/cgi-bin/carddisp.pl?gene=SMARCA4","GeneCards")</f>
        <v>GeneCards</v>
      </c>
      <c r="D3722" s="1" t="str">
        <f>HYPERLINK("http://genome-euro.ucsc.edu/cgi-bin/hgTracks?position=217656_at","UCSC")</f>
        <v>UCSC</v>
      </c>
      <c r="E3722" s="1" t="str">
        <f>HYPERLINK("http://www.ncbi.nlm.nih.gov/gene/?term=SMARCA4","NCBI")</f>
        <v>NCBI</v>
      </c>
      <c r="F3722">
        <v>2.5000000000000001E-2</v>
      </c>
      <c r="G3722">
        <v>0.11</v>
      </c>
      <c r="H3722" s="1" t="str">
        <f>HYPERLINK("http://www.weizmann.ac.il/complex/compphys/software/geview/data/figures/217656_at.png","Figure")</f>
        <v>Figure</v>
      </c>
      <c r="I3722">
        <v>1.94</v>
      </c>
      <c r="J3722">
        <v>0.09</v>
      </c>
      <c r="K3722">
        <v>0.84399999999999997</v>
      </c>
      <c r="L3722">
        <v>0.78</v>
      </c>
      <c r="M3722">
        <v>0.435</v>
      </c>
      <c r="N3722">
        <v>2.1000000000000001E-2</v>
      </c>
    </row>
    <row r="3723" spans="1:14" x14ac:dyDescent="0.25">
      <c r="A3723" t="s">
        <v>6809</v>
      </c>
      <c r="B3723" t="s">
        <v>6810</v>
      </c>
      <c r="C3723" s="1" t="str">
        <f>HYPERLINK("http://www.genecards.org/cgi-bin/carddisp.pl?gene=NXPH3","GeneCards")</f>
        <v>GeneCards</v>
      </c>
      <c r="D3723" s="1" t="str">
        <f>HYPERLINK("http://genome-euro.ucsc.edu/cgi-bin/hgTracks?position=221991_at","UCSC")</f>
        <v>UCSC</v>
      </c>
      <c r="E3723" s="1" t="str">
        <f>HYPERLINK("http://www.ncbi.nlm.nih.gov/gene/?term=NXPH3","NCBI")</f>
        <v>NCBI</v>
      </c>
      <c r="F3723">
        <v>2.5000000000000001E-2</v>
      </c>
      <c r="G3723">
        <v>0.11</v>
      </c>
      <c r="H3723" s="1" t="str">
        <f>HYPERLINK("http://www.weizmann.ac.il/complex/compphys/software/geview/data/figures/221991_at.png","Figure")</f>
        <v>Figure</v>
      </c>
      <c r="I3723">
        <v>1.39</v>
      </c>
      <c r="J3723">
        <v>0.02</v>
      </c>
      <c r="K3723">
        <v>1.18</v>
      </c>
      <c r="L3723">
        <v>0.19</v>
      </c>
      <c r="M3723">
        <v>0.85399999999999998</v>
      </c>
      <c r="N3723">
        <v>0.27</v>
      </c>
    </row>
    <row r="3724" spans="1:14" x14ac:dyDescent="0.25">
      <c r="A3724" t="s">
        <v>6811</v>
      </c>
      <c r="B3724" t="s">
        <v>6148</v>
      </c>
      <c r="C3724" s="1" t="str">
        <f>HYPERLINK("http://www.genecards.org/cgi-bin/carddisp.pl?gene=GTPBP1","GeneCards")</f>
        <v>GeneCards</v>
      </c>
      <c r="D3724" s="1" t="str">
        <f>HYPERLINK("http://genome-euro.ucsc.edu/cgi-bin/hgTracks?position=205276_s_at","UCSC")</f>
        <v>UCSC</v>
      </c>
      <c r="E3724" s="1" t="str">
        <f>HYPERLINK("http://www.ncbi.nlm.nih.gov/gene/?term=GTPBP1","NCBI")</f>
        <v>NCBI</v>
      </c>
      <c r="F3724">
        <v>2.5000000000000001E-2</v>
      </c>
      <c r="G3724">
        <v>0.11</v>
      </c>
      <c r="H3724" s="1" t="str">
        <f>HYPERLINK("http://www.weizmann.ac.il/complex/compphys/software/geview/data/figures/205276_s_at.png","Figure")</f>
        <v>Figure</v>
      </c>
      <c r="I3724">
        <v>1.35</v>
      </c>
      <c r="J3724">
        <v>1.9E-2</v>
      </c>
      <c r="K3724">
        <v>1.1499999999999999</v>
      </c>
      <c r="L3724">
        <v>0.27</v>
      </c>
      <c r="M3724">
        <v>0.84699999999999998</v>
      </c>
      <c r="N3724">
        <v>0.19</v>
      </c>
    </row>
    <row r="3725" spans="1:14" x14ac:dyDescent="0.25">
      <c r="A3725" t="s">
        <v>6812</v>
      </c>
      <c r="B3725" t="s">
        <v>6813</v>
      </c>
      <c r="C3725" s="1" t="str">
        <f>HYPERLINK("http://www.genecards.org/cgi-bin/carddisp.pl?gene=CYP3A4","GeneCards")</f>
        <v>GeneCards</v>
      </c>
      <c r="D3725" s="1" t="str">
        <f>HYPERLINK("http://genome-euro.ucsc.edu/cgi-bin/hgTracks?position=205998_x_at","UCSC")</f>
        <v>UCSC</v>
      </c>
      <c r="E3725" s="1" t="str">
        <f>HYPERLINK("http://www.ncbi.nlm.nih.gov/gene/?term=CYP3A4","NCBI")</f>
        <v>NCBI</v>
      </c>
      <c r="F3725">
        <v>2.5000000000000001E-2</v>
      </c>
      <c r="G3725">
        <v>0.11</v>
      </c>
      <c r="H3725" s="1" t="str">
        <f>HYPERLINK("http://www.weizmann.ac.il/complex/compphys/software/geview/data/figures/205998_x_at.png","Figure")</f>
        <v>Figure</v>
      </c>
      <c r="I3725">
        <v>1.43</v>
      </c>
      <c r="J3725">
        <v>5.8000000000000003E-2</v>
      </c>
      <c r="K3725">
        <v>0.96599999999999997</v>
      </c>
      <c r="L3725">
        <v>0.96</v>
      </c>
      <c r="M3725">
        <v>0.67700000000000005</v>
      </c>
      <c r="N3725">
        <v>2.5999999999999999E-2</v>
      </c>
    </row>
    <row r="3726" spans="1:14" x14ac:dyDescent="0.25">
      <c r="A3726" t="s">
        <v>6814</v>
      </c>
      <c r="B3726" t="s">
        <v>6815</v>
      </c>
      <c r="C3726" s="1" t="str">
        <f>HYPERLINK("http://www.genecards.org/cgi-bin/carddisp.pl?gene=PZP","GeneCards")</f>
        <v>GeneCards</v>
      </c>
      <c r="D3726" s="1" t="str">
        <f>HYPERLINK("http://genome-euro.ucsc.edu/cgi-bin/hgTracks?position=207330_at","UCSC")</f>
        <v>UCSC</v>
      </c>
      <c r="E3726" s="1" t="str">
        <f>HYPERLINK("http://www.ncbi.nlm.nih.gov/gene/?term=PZP","NCBI")</f>
        <v>NCBI</v>
      </c>
      <c r="F3726">
        <v>2.5000000000000001E-2</v>
      </c>
      <c r="G3726">
        <v>0.11</v>
      </c>
      <c r="H3726" s="1" t="str">
        <f>HYPERLINK("http://www.weizmann.ac.il/complex/compphys/software/geview/data/figures/207330_at.png","Figure")</f>
        <v>Figure</v>
      </c>
      <c r="I3726">
        <v>1.1599999999999999</v>
      </c>
      <c r="J3726">
        <v>3.3000000000000002E-2</v>
      </c>
      <c r="K3726">
        <v>1.02</v>
      </c>
      <c r="L3726">
        <v>0.94</v>
      </c>
      <c r="M3726">
        <v>0.874</v>
      </c>
      <c r="N3726">
        <v>0.04</v>
      </c>
    </row>
    <row r="3727" spans="1:14" x14ac:dyDescent="0.25">
      <c r="A3727" t="s">
        <v>6816</v>
      </c>
      <c r="B3727" t="s">
        <v>6817</v>
      </c>
      <c r="C3727" s="1" t="str">
        <f>HYPERLINK("http://www.genecards.org/cgi-bin/carddisp.pl?gene=TIMM10","GeneCards")</f>
        <v>GeneCards</v>
      </c>
      <c r="D3727" s="1" t="str">
        <f>HYPERLINK("http://genome-euro.ucsc.edu/cgi-bin/hgTracks?position=218408_at","UCSC")</f>
        <v>UCSC</v>
      </c>
      <c r="E3727" s="1" t="str">
        <f>HYPERLINK("http://www.ncbi.nlm.nih.gov/gene/?term=TIMM10","NCBI")</f>
        <v>NCBI</v>
      </c>
      <c r="F3727">
        <v>2.5000000000000001E-2</v>
      </c>
      <c r="G3727">
        <v>0.11</v>
      </c>
      <c r="H3727" s="1" t="str">
        <f>HYPERLINK("http://www.weizmann.ac.il/complex/compphys/software/geview/data/figures/218408_at.png","Figure")</f>
        <v>Figure</v>
      </c>
      <c r="I3727">
        <v>1.44</v>
      </c>
      <c r="J3727">
        <v>2.1999999999999999E-2</v>
      </c>
      <c r="K3727">
        <v>1.25</v>
      </c>
      <c r="L3727">
        <v>0.12</v>
      </c>
      <c r="M3727">
        <v>0.86799999999999999</v>
      </c>
      <c r="N3727">
        <v>0.43</v>
      </c>
    </row>
    <row r="3728" spans="1:14" x14ac:dyDescent="0.25">
      <c r="A3728" t="s">
        <v>6818</v>
      </c>
      <c r="B3728" t="s">
        <v>6819</v>
      </c>
      <c r="C3728" s="1" t="str">
        <f>HYPERLINK("http://www.genecards.org/cgi-bin/carddisp.pl?gene=ZNF207","GeneCards")</f>
        <v>GeneCards</v>
      </c>
      <c r="D3728" s="1" t="str">
        <f>HYPERLINK("http://genome-euro.ucsc.edu/cgi-bin/hgTracks?position=200829_x_at","UCSC")</f>
        <v>UCSC</v>
      </c>
      <c r="E3728" s="1" t="str">
        <f>HYPERLINK("http://www.ncbi.nlm.nih.gov/gene/?term=ZNF207","NCBI")</f>
        <v>NCBI</v>
      </c>
      <c r="F3728">
        <v>2.5000000000000001E-2</v>
      </c>
      <c r="G3728">
        <v>0.11</v>
      </c>
      <c r="H3728" s="1" t="str">
        <f>HYPERLINK("http://www.weizmann.ac.il/complex/compphys/software/geview/data/figures/200829_x_at.png","Figure")</f>
        <v>Figure</v>
      </c>
      <c r="I3728">
        <v>0.95699999999999996</v>
      </c>
      <c r="J3728">
        <v>0.96</v>
      </c>
      <c r="K3728">
        <v>0.68300000000000005</v>
      </c>
      <c r="L3728">
        <v>3.4000000000000002E-2</v>
      </c>
      <c r="M3728">
        <v>0.71399999999999997</v>
      </c>
      <c r="N3728">
        <v>8.3000000000000004E-2</v>
      </c>
    </row>
    <row r="3729" spans="1:14" x14ac:dyDescent="0.25">
      <c r="A3729" t="s">
        <v>6820</v>
      </c>
      <c r="B3729" t="s">
        <v>6821</v>
      </c>
      <c r="C3729" s="1" t="str">
        <f>HYPERLINK("http://www.genecards.org/cgi-bin/carddisp.pl?gene=PSMD7","GeneCards")</f>
        <v>GeneCards</v>
      </c>
      <c r="D3729" s="1" t="str">
        <f>HYPERLINK("http://genome-euro.ucsc.edu/cgi-bin/hgTracks?position=201705_at","UCSC")</f>
        <v>UCSC</v>
      </c>
      <c r="E3729" s="1" t="str">
        <f>HYPERLINK("http://www.ncbi.nlm.nih.gov/gene/?term=PSMD7","NCBI")</f>
        <v>NCBI</v>
      </c>
      <c r="F3729">
        <v>2.5000000000000001E-2</v>
      </c>
      <c r="G3729">
        <v>0.11</v>
      </c>
      <c r="H3729" s="1" t="str">
        <f>HYPERLINK("http://www.weizmann.ac.il/complex/compphys/software/geview/data/figures/201705_at.png","Figure")</f>
        <v>Figure</v>
      </c>
      <c r="I3729">
        <v>1.4</v>
      </c>
      <c r="J3729">
        <v>0.04</v>
      </c>
      <c r="K3729">
        <v>1.01</v>
      </c>
      <c r="L3729">
        <v>0.99</v>
      </c>
      <c r="M3729">
        <v>0.72299999999999998</v>
      </c>
      <c r="N3729">
        <v>3.3000000000000002E-2</v>
      </c>
    </row>
    <row r="3730" spans="1:14" x14ac:dyDescent="0.25">
      <c r="A3730" t="s">
        <v>6822</v>
      </c>
      <c r="B3730" t="s">
        <v>802</v>
      </c>
      <c r="C3730" s="1" t="str">
        <f>HYPERLINK("http://www.genecards.org/cgi-bin/carddisp.pl?gene=PDCD6","GeneCards")</f>
        <v>GeneCards</v>
      </c>
      <c r="D3730" s="1" t="str">
        <f>HYPERLINK("http://genome-euro.ucsc.edu/cgi-bin/hgTracks?position=203415_at","UCSC")</f>
        <v>UCSC</v>
      </c>
      <c r="E3730" s="1" t="str">
        <f>HYPERLINK("http://www.ncbi.nlm.nih.gov/gene/?term=PDCD6","NCBI")</f>
        <v>NCBI</v>
      </c>
      <c r="F3730">
        <v>2.5000000000000001E-2</v>
      </c>
      <c r="G3730">
        <v>0.11</v>
      </c>
      <c r="H3730" s="1" t="str">
        <f>HYPERLINK("http://www.weizmann.ac.il/complex/compphys/software/geview/data/figures/203415_at.png","Figure")</f>
        <v>Figure</v>
      </c>
      <c r="I3730">
        <v>0.874</v>
      </c>
      <c r="J3730">
        <v>0.71</v>
      </c>
      <c r="K3730">
        <v>1.39</v>
      </c>
      <c r="L3730">
        <v>0.11</v>
      </c>
      <c r="M3730">
        <v>1.58</v>
      </c>
      <c r="N3730">
        <v>0.03</v>
      </c>
    </row>
    <row r="3731" spans="1:14" x14ac:dyDescent="0.25">
      <c r="A3731" t="s">
        <v>6823</v>
      </c>
      <c r="B3731" t="s">
        <v>583</v>
      </c>
      <c r="C3731" s="1" t="str">
        <f>HYPERLINK("http://www.genecards.org/cgi-bin/carddisp.pl?gene=SNRK","GeneCards")</f>
        <v>GeneCards</v>
      </c>
      <c r="D3731" s="1" t="str">
        <f>HYPERLINK("http://genome-euro.ucsc.edu/cgi-bin/hgTracks?position=207474_at","UCSC")</f>
        <v>UCSC</v>
      </c>
      <c r="E3731" s="1" t="str">
        <f>HYPERLINK("http://www.ncbi.nlm.nih.gov/gene/?term=SNRK","NCBI")</f>
        <v>NCBI</v>
      </c>
      <c r="F3731">
        <v>2.5000000000000001E-2</v>
      </c>
      <c r="G3731">
        <v>0.11</v>
      </c>
      <c r="H3731" s="1" t="str">
        <f>HYPERLINK("http://www.weizmann.ac.il/complex/compphys/software/geview/data/figures/207474_at.png","Figure")</f>
        <v>Figure</v>
      </c>
      <c r="I3731">
        <v>0.96899999999999997</v>
      </c>
      <c r="J3731">
        <v>0.98</v>
      </c>
      <c r="K3731">
        <v>0.66600000000000004</v>
      </c>
      <c r="L3731">
        <v>3.6999999999999998E-2</v>
      </c>
      <c r="M3731">
        <v>0.68700000000000006</v>
      </c>
      <c r="N3731">
        <v>7.3999999999999996E-2</v>
      </c>
    </row>
    <row r="3732" spans="1:14" x14ac:dyDescent="0.25">
      <c r="A3732" t="s">
        <v>6824</v>
      </c>
      <c r="B3732" t="s">
        <v>895</v>
      </c>
      <c r="C3732" s="1" t="str">
        <f>HYPERLINK("http://www.genecards.org/cgi-bin/carddisp.pl?gene=C18orf1","GeneCards")</f>
        <v>GeneCards</v>
      </c>
      <c r="D3732" s="1" t="str">
        <f>HYPERLINK("http://genome-euro.ucsc.edu/cgi-bin/hgTracks?position=207996_s_at","UCSC")</f>
        <v>UCSC</v>
      </c>
      <c r="E3732" s="1" t="str">
        <f>HYPERLINK("http://www.ncbi.nlm.nih.gov/gene/?term=C18orf1","NCBI")</f>
        <v>NCBI</v>
      </c>
      <c r="F3732">
        <v>2.5000000000000001E-2</v>
      </c>
      <c r="G3732">
        <v>0.11</v>
      </c>
      <c r="H3732" s="1" t="str">
        <f>HYPERLINK("http://www.weizmann.ac.il/complex/compphys/software/geview/data/figures/207996_s_at.png","Figure")</f>
        <v>Figure</v>
      </c>
      <c r="I3732">
        <v>0.74199999999999999</v>
      </c>
      <c r="J3732">
        <v>0.59</v>
      </c>
      <c r="K3732">
        <v>1.71</v>
      </c>
      <c r="L3732">
        <v>0.14000000000000001</v>
      </c>
      <c r="M3732">
        <v>2.2999999999999998</v>
      </c>
      <c r="N3732">
        <v>2.5999999999999999E-2</v>
      </c>
    </row>
    <row r="3733" spans="1:14" x14ac:dyDescent="0.25">
      <c r="A3733" t="s">
        <v>6825</v>
      </c>
      <c r="B3733" t="s">
        <v>6826</v>
      </c>
      <c r="C3733" s="1" t="str">
        <f>HYPERLINK("http://www.genecards.org/cgi-bin/carddisp.pl?gene=RBMY1A1 /// RBMY1B /// RBMY1D /// RBMY1E /// RBMY1F /// RBMY1J","GeneCards")</f>
        <v>GeneCards</v>
      </c>
      <c r="D3733" s="1" t="str">
        <f>HYPERLINK("http://genome-euro.ucsc.edu/cgi-bin/hgTracks?position=208307_at","UCSC")</f>
        <v>UCSC</v>
      </c>
      <c r="E3733" s="1" t="str">
        <f>HYPERLINK("http://www.ncbi.nlm.nih.gov/gene/?term=RBMY1A1 /// RBMY1B /// RBMY1D /// RBMY1E /// RBMY1F /// RBMY1J","NCBI")</f>
        <v>NCBI</v>
      </c>
      <c r="F3733">
        <v>2.5000000000000001E-2</v>
      </c>
      <c r="G3733">
        <v>0.11</v>
      </c>
      <c r="H3733" s="1" t="str">
        <f>HYPERLINK("http://www.weizmann.ac.il/complex/compphys/software/geview/data/figures/208307_at.png","Figure")</f>
        <v>Figure</v>
      </c>
      <c r="I3733">
        <v>1.1000000000000001</v>
      </c>
      <c r="J3733">
        <v>2.1999999999999999E-2</v>
      </c>
      <c r="K3733">
        <v>1.06</v>
      </c>
      <c r="L3733">
        <v>0.12</v>
      </c>
      <c r="M3733">
        <v>0.96399999999999997</v>
      </c>
      <c r="N3733">
        <v>0.41</v>
      </c>
    </row>
    <row r="3734" spans="1:14" x14ac:dyDescent="0.25">
      <c r="A3734" t="s">
        <v>6827</v>
      </c>
      <c r="B3734" t="s">
        <v>6828</v>
      </c>
      <c r="C3734" s="1" t="str">
        <f>HYPERLINK("http://www.genecards.org/cgi-bin/carddisp.pl?gene=ZNF592","GeneCards")</f>
        <v>GeneCards</v>
      </c>
      <c r="D3734" s="1" t="str">
        <f>HYPERLINK("http://genome-euro.ucsc.edu/cgi-bin/hgTracks?position=213389_at","UCSC")</f>
        <v>UCSC</v>
      </c>
      <c r="E3734" s="1" t="str">
        <f>HYPERLINK("http://www.ncbi.nlm.nih.gov/gene/?term=ZNF592","NCBI")</f>
        <v>NCBI</v>
      </c>
      <c r="F3734">
        <v>2.5000000000000001E-2</v>
      </c>
      <c r="G3734">
        <v>0.11</v>
      </c>
      <c r="H3734" s="1" t="str">
        <f>HYPERLINK("http://www.weizmann.ac.il/complex/compphys/software/geview/data/figures/213389_at.png","Figure")</f>
        <v>Figure</v>
      </c>
      <c r="I3734">
        <v>1.19</v>
      </c>
      <c r="J3734">
        <v>5.2999999999999999E-2</v>
      </c>
      <c r="K3734">
        <v>0.98799999999999999</v>
      </c>
      <c r="L3734">
        <v>0.98</v>
      </c>
      <c r="M3734">
        <v>0.82699999999999996</v>
      </c>
      <c r="N3734">
        <v>2.7E-2</v>
      </c>
    </row>
    <row r="3735" spans="1:14" x14ac:dyDescent="0.25">
      <c r="A3735" t="s">
        <v>6829</v>
      </c>
      <c r="B3735" t="s">
        <v>6830</v>
      </c>
      <c r="C3735" s="1" t="str">
        <f>HYPERLINK("http://www.genecards.org/cgi-bin/carddisp.pl?gene=C14orf79","GeneCards")</f>
        <v>GeneCards</v>
      </c>
      <c r="D3735" s="1" t="str">
        <f>HYPERLINK("http://genome-euro.ucsc.edu/cgi-bin/hgTracks?position=213512_at","UCSC")</f>
        <v>UCSC</v>
      </c>
      <c r="E3735" s="1" t="str">
        <f>HYPERLINK("http://www.ncbi.nlm.nih.gov/gene/?term=C14orf79","NCBI")</f>
        <v>NCBI</v>
      </c>
      <c r="F3735">
        <v>2.5000000000000001E-2</v>
      </c>
      <c r="G3735">
        <v>0.11</v>
      </c>
      <c r="H3735" s="1" t="str">
        <f>HYPERLINK("http://www.weizmann.ac.il/complex/compphys/software/geview/data/figures/213512_at.png","Figure")</f>
        <v>Figure</v>
      </c>
      <c r="I3735">
        <v>1.3</v>
      </c>
      <c r="J3735">
        <v>0.02</v>
      </c>
      <c r="K3735">
        <v>1.1299999999999999</v>
      </c>
      <c r="L3735">
        <v>0.27</v>
      </c>
      <c r="M3735">
        <v>0.86399999999999999</v>
      </c>
      <c r="N3735">
        <v>0.19</v>
      </c>
    </row>
    <row r="3736" spans="1:14" x14ac:dyDescent="0.25">
      <c r="A3736" t="s">
        <v>6831</v>
      </c>
      <c r="B3736" t="s">
        <v>6832</v>
      </c>
      <c r="C3736" s="1" t="str">
        <f>HYPERLINK("http://www.genecards.org/cgi-bin/carddisp.pl?gene=MYO9B","GeneCards")</f>
        <v>GeneCards</v>
      </c>
      <c r="D3736" s="1" t="str">
        <f>HYPERLINK("http://genome-euro.ucsc.edu/cgi-bin/hgTracks?position=214780_s_at","UCSC")</f>
        <v>UCSC</v>
      </c>
      <c r="E3736" s="1" t="str">
        <f>HYPERLINK("http://www.ncbi.nlm.nih.gov/gene/?term=MYO9B","NCBI")</f>
        <v>NCBI</v>
      </c>
      <c r="F3736">
        <v>2.5000000000000001E-2</v>
      </c>
      <c r="G3736">
        <v>0.11</v>
      </c>
      <c r="H3736" s="1" t="str">
        <f>HYPERLINK("http://www.weizmann.ac.il/complex/compphys/software/geview/data/figures/214780_s_at.png","Figure")</f>
        <v>Figure</v>
      </c>
      <c r="I3736">
        <v>1.47</v>
      </c>
      <c r="J3736">
        <v>0.02</v>
      </c>
      <c r="K3736">
        <v>1.2</v>
      </c>
      <c r="L3736">
        <v>0.24</v>
      </c>
      <c r="M3736">
        <v>0.81499999999999995</v>
      </c>
      <c r="N3736">
        <v>0.21</v>
      </c>
    </row>
    <row r="3737" spans="1:14" x14ac:dyDescent="0.25">
      <c r="A3737" t="s">
        <v>6833</v>
      </c>
      <c r="B3737" t="s">
        <v>1277</v>
      </c>
      <c r="C3737" s="1" t="str">
        <f>HYPERLINK("http://www.genecards.org/cgi-bin/carddisp.pl?gene=ZNF75D","GeneCards")</f>
        <v>GeneCards</v>
      </c>
      <c r="D3737" s="1" t="str">
        <f>HYPERLINK("http://genome-euro.ucsc.edu/cgi-bin/hgTracks?position=214813_at","UCSC")</f>
        <v>UCSC</v>
      </c>
      <c r="E3737" s="1" t="str">
        <f>HYPERLINK("http://www.ncbi.nlm.nih.gov/gene/?term=ZNF75D","NCBI")</f>
        <v>NCBI</v>
      </c>
      <c r="F3737">
        <v>2.5000000000000001E-2</v>
      </c>
      <c r="G3737">
        <v>0.11</v>
      </c>
      <c r="H3737" s="1" t="str">
        <f>HYPERLINK("http://www.weizmann.ac.il/complex/compphys/software/geview/data/figures/214813_at.png","Figure")</f>
        <v>Figure</v>
      </c>
      <c r="I3737">
        <v>0.81599999999999995</v>
      </c>
      <c r="J3737">
        <v>8.8999999999999996E-2</v>
      </c>
      <c r="K3737">
        <v>1.05</v>
      </c>
      <c r="L3737">
        <v>0.79</v>
      </c>
      <c r="M3737">
        <v>1.29</v>
      </c>
      <c r="N3737">
        <v>2.1999999999999999E-2</v>
      </c>
    </row>
    <row r="3738" spans="1:14" x14ac:dyDescent="0.25">
      <c r="A3738" t="s">
        <v>6834</v>
      </c>
      <c r="B3738" t="s">
        <v>6835</v>
      </c>
      <c r="C3738" s="1" t="str">
        <f>HYPERLINK("http://www.genecards.org/cgi-bin/carddisp.pl?gene=NOSIP","GeneCards")</f>
        <v>GeneCards</v>
      </c>
      <c r="D3738" s="1" t="str">
        <f>HYPERLINK("http://genome-euro.ucsc.edu/cgi-bin/hgTracks?position=217950_at","UCSC")</f>
        <v>UCSC</v>
      </c>
      <c r="E3738" s="1" t="str">
        <f>HYPERLINK("http://www.ncbi.nlm.nih.gov/gene/?term=NOSIP","NCBI")</f>
        <v>NCBI</v>
      </c>
      <c r="F3738">
        <v>2.5000000000000001E-2</v>
      </c>
      <c r="G3738">
        <v>0.11</v>
      </c>
      <c r="H3738" s="1" t="str">
        <f>HYPERLINK("http://www.weizmann.ac.il/complex/compphys/software/geview/data/figures/217950_at.png","Figure")</f>
        <v>Figure</v>
      </c>
      <c r="I3738">
        <v>1.36</v>
      </c>
      <c r="J3738">
        <v>7.6999999999999999E-2</v>
      </c>
      <c r="K3738">
        <v>1.4</v>
      </c>
      <c r="L3738">
        <v>2.7E-2</v>
      </c>
      <c r="M3738">
        <v>1.03</v>
      </c>
      <c r="N3738">
        <v>0.97</v>
      </c>
    </row>
    <row r="3739" spans="1:14" x14ac:dyDescent="0.25">
      <c r="A3739" t="s">
        <v>6836</v>
      </c>
      <c r="B3739" t="s">
        <v>6837</v>
      </c>
      <c r="C3739" s="1" t="str">
        <f>HYPERLINK("http://www.genecards.org/cgi-bin/carddisp.pl?gene=C16orf80","GeneCards")</f>
        <v>GeneCards</v>
      </c>
      <c r="D3739" s="1" t="str">
        <f>HYPERLINK("http://genome-euro.ucsc.edu/cgi-bin/hgTracks?position=217957_at","UCSC")</f>
        <v>UCSC</v>
      </c>
      <c r="E3739" s="1" t="str">
        <f>HYPERLINK("http://www.ncbi.nlm.nih.gov/gene/?term=C16orf80","NCBI")</f>
        <v>NCBI</v>
      </c>
      <c r="F3739">
        <v>2.5000000000000001E-2</v>
      </c>
      <c r="G3739">
        <v>0.11</v>
      </c>
      <c r="H3739" s="1" t="str">
        <f>HYPERLINK("http://www.weizmann.ac.il/complex/compphys/software/geview/data/figures/217957_at.png","Figure")</f>
        <v>Figure</v>
      </c>
      <c r="I3739">
        <v>1.18</v>
      </c>
      <c r="J3739">
        <v>0.82</v>
      </c>
      <c r="K3739">
        <v>0.56499999999999995</v>
      </c>
      <c r="L3739">
        <v>8.3000000000000004E-2</v>
      </c>
      <c r="M3739">
        <v>0.47899999999999998</v>
      </c>
      <c r="N3739">
        <v>3.5000000000000003E-2</v>
      </c>
    </row>
    <row r="3740" spans="1:14" x14ac:dyDescent="0.25">
      <c r="A3740" t="s">
        <v>6838</v>
      </c>
      <c r="B3740" t="s">
        <v>6839</v>
      </c>
      <c r="C3740" s="1" t="str">
        <f>HYPERLINK("http://www.genecards.org/cgi-bin/carddisp.pl?gene=GALNT7","GeneCards")</f>
        <v>GeneCards</v>
      </c>
      <c r="D3740" s="1" t="str">
        <f>HYPERLINK("http://genome-euro.ucsc.edu/cgi-bin/hgTracks?position=218313_s_at","UCSC")</f>
        <v>UCSC</v>
      </c>
      <c r="E3740" s="1" t="str">
        <f>HYPERLINK("http://www.ncbi.nlm.nih.gov/gene/?term=GALNT7","NCBI")</f>
        <v>NCBI</v>
      </c>
      <c r="F3740">
        <v>2.5000000000000001E-2</v>
      </c>
      <c r="G3740">
        <v>0.11</v>
      </c>
      <c r="H3740" s="1" t="str">
        <f>HYPERLINK("http://www.weizmann.ac.il/complex/compphys/software/geview/data/figures/218313_s_at.png","Figure")</f>
        <v>Figure</v>
      </c>
      <c r="I3740">
        <v>0.435</v>
      </c>
      <c r="J3740">
        <v>6.2E-2</v>
      </c>
      <c r="K3740">
        <v>1.1000000000000001</v>
      </c>
      <c r="L3740">
        <v>0.94</v>
      </c>
      <c r="M3740">
        <v>2.54</v>
      </c>
      <c r="N3740">
        <v>2.5000000000000001E-2</v>
      </c>
    </row>
    <row r="3741" spans="1:14" x14ac:dyDescent="0.25">
      <c r="A3741" t="s">
        <v>6840</v>
      </c>
      <c r="B3741" t="s">
        <v>6841</v>
      </c>
      <c r="C3741" s="1" t="str">
        <f>HYPERLINK("http://www.genecards.org/cgi-bin/carddisp.pl?gene=ZNF281","GeneCards")</f>
        <v>GeneCards</v>
      </c>
      <c r="D3741" s="1" t="str">
        <f>HYPERLINK("http://genome-euro.ucsc.edu/cgi-bin/hgTracks?position=218401_s_at","UCSC")</f>
        <v>UCSC</v>
      </c>
      <c r="E3741" s="1" t="str">
        <f>HYPERLINK("http://www.ncbi.nlm.nih.gov/gene/?term=ZNF281","NCBI")</f>
        <v>NCBI</v>
      </c>
      <c r="F3741">
        <v>2.5000000000000001E-2</v>
      </c>
      <c r="G3741">
        <v>0.11</v>
      </c>
      <c r="H3741" s="1" t="str">
        <f>HYPERLINK("http://www.weizmann.ac.il/complex/compphys/software/geview/data/figures/218401_s_at.png","Figure")</f>
        <v>Figure</v>
      </c>
      <c r="I3741">
        <v>0.59599999999999997</v>
      </c>
      <c r="J3741">
        <v>0.33</v>
      </c>
      <c r="K3741">
        <v>0.38400000000000001</v>
      </c>
      <c r="L3741">
        <v>0.02</v>
      </c>
      <c r="M3741">
        <v>0.64500000000000002</v>
      </c>
      <c r="N3741">
        <v>0.39</v>
      </c>
    </row>
    <row r="3742" spans="1:14" x14ac:dyDescent="0.25">
      <c r="A3742" t="s">
        <v>6842</v>
      </c>
      <c r="B3742" t="s">
        <v>6843</v>
      </c>
      <c r="C3742" s="1" t="str">
        <f>HYPERLINK("http://www.genecards.org/cgi-bin/carddisp.pl?gene=PLEKHA5","GeneCards")</f>
        <v>GeneCards</v>
      </c>
      <c r="D3742" s="1" t="str">
        <f>HYPERLINK("http://genome-euro.ucsc.edu/cgi-bin/hgTracks?position=220952_s_at","UCSC")</f>
        <v>UCSC</v>
      </c>
      <c r="E3742" s="1" t="str">
        <f>HYPERLINK("http://www.ncbi.nlm.nih.gov/gene/?term=PLEKHA5","NCBI")</f>
        <v>NCBI</v>
      </c>
      <c r="F3742">
        <v>2.5000000000000001E-2</v>
      </c>
      <c r="G3742">
        <v>0.11</v>
      </c>
      <c r="H3742" s="1" t="str">
        <f>HYPERLINK("http://www.weizmann.ac.il/complex/compphys/software/geview/data/figures/220952_s_at.png","Figure")</f>
        <v>Figure</v>
      </c>
      <c r="I3742">
        <v>0.438</v>
      </c>
      <c r="J3742">
        <v>2.3E-2</v>
      </c>
      <c r="K3742">
        <v>0.80900000000000005</v>
      </c>
      <c r="L3742">
        <v>0.65</v>
      </c>
      <c r="M3742">
        <v>1.85</v>
      </c>
      <c r="N3742">
        <v>7.1999999999999995E-2</v>
      </c>
    </row>
    <row r="3743" spans="1:14" x14ac:dyDescent="0.25">
      <c r="A3743" t="s">
        <v>6844</v>
      </c>
      <c r="B3743" t="s">
        <v>6845</v>
      </c>
      <c r="C3743" s="1" t="str">
        <f>HYPERLINK("http://www.genecards.org/cgi-bin/carddisp.pl?gene=KCNMB3","GeneCards")</f>
        <v>GeneCards</v>
      </c>
      <c r="D3743" s="1" t="str">
        <f>HYPERLINK("http://genome-euro.ucsc.edu/cgi-bin/hgTracks?position=221125_s_at","UCSC")</f>
        <v>UCSC</v>
      </c>
      <c r="E3743" s="1" t="str">
        <f>HYPERLINK("http://www.ncbi.nlm.nih.gov/gene/?term=KCNMB3","NCBI")</f>
        <v>NCBI</v>
      </c>
      <c r="F3743">
        <v>2.5000000000000001E-2</v>
      </c>
      <c r="G3743">
        <v>0.11</v>
      </c>
      <c r="H3743" s="1" t="str">
        <f>HYPERLINK("http://www.weizmann.ac.il/complex/compphys/software/geview/data/figures/221125_s_at.png","Figure")</f>
        <v>Figure</v>
      </c>
      <c r="I3743">
        <v>1.9</v>
      </c>
      <c r="J3743">
        <v>0.02</v>
      </c>
      <c r="K3743">
        <v>1.33</v>
      </c>
      <c r="L3743">
        <v>0.27</v>
      </c>
      <c r="M3743">
        <v>0.70199999999999996</v>
      </c>
      <c r="N3743">
        <v>0.19</v>
      </c>
    </row>
    <row r="3744" spans="1:14" x14ac:dyDescent="0.25">
      <c r="A3744" t="s">
        <v>6846</v>
      </c>
      <c r="B3744" t="s">
        <v>6847</v>
      </c>
      <c r="C3744" s="1" t="str">
        <f>HYPERLINK("http://www.genecards.org/cgi-bin/carddisp.pl?gene=DDX5","GeneCards")</f>
        <v>GeneCards</v>
      </c>
      <c r="D3744" s="1" t="str">
        <f>HYPERLINK("http://genome-euro.ucsc.edu/cgi-bin/hgTracks?position=200033_at","UCSC")</f>
        <v>UCSC</v>
      </c>
      <c r="E3744" s="1" t="str">
        <f>HYPERLINK("http://www.ncbi.nlm.nih.gov/gene/?term=DDX5","NCBI")</f>
        <v>NCBI</v>
      </c>
      <c r="F3744">
        <v>2.5000000000000001E-2</v>
      </c>
      <c r="G3744">
        <v>0.11</v>
      </c>
      <c r="H3744" s="1" t="str">
        <f>HYPERLINK("http://www.weizmann.ac.il/complex/compphys/software/geview/data/figures/200033_at.png","Figure")</f>
        <v>Figure</v>
      </c>
      <c r="I3744">
        <v>0.753</v>
      </c>
      <c r="J3744">
        <v>0.14000000000000001</v>
      </c>
      <c r="K3744">
        <v>0.68500000000000005</v>
      </c>
      <c r="L3744">
        <v>2.1000000000000001E-2</v>
      </c>
      <c r="M3744">
        <v>0.91</v>
      </c>
      <c r="N3744">
        <v>0.76</v>
      </c>
    </row>
    <row r="3745" spans="1:14" x14ac:dyDescent="0.25">
      <c r="A3745" t="s">
        <v>6848</v>
      </c>
      <c r="B3745" t="s">
        <v>6849</v>
      </c>
      <c r="C3745" s="1" t="str">
        <f>HYPERLINK("http://www.genecards.org/cgi-bin/carddisp.pl?gene=CXCL12","GeneCards")</f>
        <v>GeneCards</v>
      </c>
      <c r="D3745" s="1" t="str">
        <f>HYPERLINK("http://genome-euro.ucsc.edu/cgi-bin/hgTracks?position=203666_at","UCSC")</f>
        <v>UCSC</v>
      </c>
      <c r="E3745" s="1" t="str">
        <f>HYPERLINK("http://www.ncbi.nlm.nih.gov/gene/?term=CXCL12","NCBI")</f>
        <v>NCBI</v>
      </c>
      <c r="F3745">
        <v>2.5000000000000001E-2</v>
      </c>
      <c r="G3745">
        <v>0.11</v>
      </c>
      <c r="H3745" s="1" t="str">
        <f>HYPERLINK("http://www.weizmann.ac.il/complex/compphys/software/geview/data/figures/203666_at.png","Figure")</f>
        <v>Figure</v>
      </c>
      <c r="I3745">
        <v>1.1399999999999999</v>
      </c>
      <c r="J3745">
        <v>0.33</v>
      </c>
      <c r="K3745">
        <v>0.88</v>
      </c>
      <c r="L3745">
        <v>0.27</v>
      </c>
      <c r="M3745">
        <v>0.77</v>
      </c>
      <c r="N3745">
        <v>2.1000000000000001E-2</v>
      </c>
    </row>
    <row r="3746" spans="1:14" x14ac:dyDescent="0.25">
      <c r="A3746" t="s">
        <v>6850</v>
      </c>
      <c r="B3746" t="s">
        <v>6377</v>
      </c>
      <c r="C3746" s="1" t="str">
        <f>HYPERLINK("http://www.genecards.org/cgi-bin/carddisp.pl?gene=C17orf59","GeneCards")</f>
        <v>GeneCards</v>
      </c>
      <c r="D3746" s="1" t="str">
        <f>HYPERLINK("http://genome-euro.ucsc.edu/cgi-bin/hgTracks?position=220101_x_at","UCSC")</f>
        <v>UCSC</v>
      </c>
      <c r="E3746" s="1" t="str">
        <f>HYPERLINK("http://www.ncbi.nlm.nih.gov/gene/?term=C17orf59","NCBI")</f>
        <v>NCBI</v>
      </c>
      <c r="F3746">
        <v>2.5000000000000001E-2</v>
      </c>
      <c r="G3746">
        <v>0.11</v>
      </c>
      <c r="H3746" s="1" t="str">
        <f>HYPERLINK("http://www.weizmann.ac.il/complex/compphys/software/geview/data/figures/220101_x_at.png","Figure")</f>
        <v>Figure</v>
      </c>
      <c r="I3746">
        <v>1.28</v>
      </c>
      <c r="J3746">
        <v>2.4E-2</v>
      </c>
      <c r="K3746">
        <v>1.17</v>
      </c>
      <c r="L3746">
        <v>0.1</v>
      </c>
      <c r="M3746">
        <v>0.91600000000000004</v>
      </c>
      <c r="N3746">
        <v>0.48</v>
      </c>
    </row>
    <row r="3747" spans="1:14" x14ac:dyDescent="0.25">
      <c r="A3747" t="s">
        <v>6851</v>
      </c>
      <c r="B3747" t="s">
        <v>6852</v>
      </c>
      <c r="C3747" s="1" t="str">
        <f>HYPERLINK("http://www.genecards.org/cgi-bin/carddisp.pl?gene=PITRM1","GeneCards")</f>
        <v>GeneCards</v>
      </c>
      <c r="D3747" s="1" t="str">
        <f>HYPERLINK("http://genome-euro.ucsc.edu/cgi-bin/hgTracks?position=205273_s_at","UCSC")</f>
        <v>UCSC</v>
      </c>
      <c r="E3747" s="1" t="str">
        <f>HYPERLINK("http://www.ncbi.nlm.nih.gov/gene/?term=PITRM1","NCBI")</f>
        <v>NCBI</v>
      </c>
      <c r="F3747">
        <v>2.5000000000000001E-2</v>
      </c>
      <c r="G3747">
        <v>0.11</v>
      </c>
      <c r="H3747" s="1" t="str">
        <f>HYPERLINK("http://www.weizmann.ac.il/complex/compphys/software/geview/data/figures/205273_s_at.png","Figure")</f>
        <v>Figure</v>
      </c>
      <c r="I3747">
        <v>0.53500000000000003</v>
      </c>
      <c r="J3747">
        <v>0.02</v>
      </c>
      <c r="K3747">
        <v>0.74299999999999999</v>
      </c>
      <c r="L3747">
        <v>0.24</v>
      </c>
      <c r="M3747">
        <v>1.39</v>
      </c>
      <c r="N3747">
        <v>0.22</v>
      </c>
    </row>
    <row r="3748" spans="1:14" x14ac:dyDescent="0.25">
      <c r="A3748" t="s">
        <v>6853</v>
      </c>
      <c r="B3748" t="s">
        <v>6854</v>
      </c>
      <c r="C3748" s="1" t="str">
        <f>HYPERLINK("http://www.genecards.org/cgi-bin/carddisp.pl?gene=LEPROTL1","GeneCards")</f>
        <v>GeneCards</v>
      </c>
      <c r="D3748" s="1" t="str">
        <f>HYPERLINK("http://genome-euro.ucsc.edu/cgi-bin/hgTracks?position=202594_at","UCSC")</f>
        <v>UCSC</v>
      </c>
      <c r="E3748" s="1" t="str">
        <f>HYPERLINK("http://www.ncbi.nlm.nih.gov/gene/?term=LEPROTL1","NCBI")</f>
        <v>NCBI</v>
      </c>
      <c r="F3748">
        <v>2.5000000000000001E-2</v>
      </c>
      <c r="G3748">
        <v>0.11</v>
      </c>
      <c r="H3748" s="1" t="str">
        <f>HYPERLINK("http://www.weizmann.ac.il/complex/compphys/software/geview/data/figures/202594_at.png","Figure")</f>
        <v>Figure</v>
      </c>
      <c r="I3748">
        <v>0.57699999999999996</v>
      </c>
      <c r="J3748">
        <v>0.02</v>
      </c>
      <c r="K3748">
        <v>0.81899999999999995</v>
      </c>
      <c r="L3748">
        <v>0.42</v>
      </c>
      <c r="M3748">
        <v>1.42</v>
      </c>
      <c r="N3748">
        <v>0.12</v>
      </c>
    </row>
    <row r="3749" spans="1:14" x14ac:dyDescent="0.25">
      <c r="A3749" t="s">
        <v>6855</v>
      </c>
      <c r="B3749" t="s">
        <v>6856</v>
      </c>
      <c r="C3749" s="1" t="str">
        <f>HYPERLINK("http://www.genecards.org/cgi-bin/carddisp.pl?gene=PROC","GeneCards")</f>
        <v>GeneCards</v>
      </c>
      <c r="D3749" s="1" t="str">
        <f>HYPERLINK("http://genome-euro.ucsc.edu/cgi-bin/hgTracks?position=206259_at","UCSC")</f>
        <v>UCSC</v>
      </c>
      <c r="E3749" s="1" t="str">
        <f>HYPERLINK("http://www.ncbi.nlm.nih.gov/gene/?term=PROC","NCBI")</f>
        <v>NCBI</v>
      </c>
      <c r="F3749">
        <v>2.5000000000000001E-2</v>
      </c>
      <c r="G3749">
        <v>0.11</v>
      </c>
      <c r="H3749" s="1" t="str">
        <f>HYPERLINK("http://www.weizmann.ac.il/complex/compphys/software/geview/data/figures/206259_at.png","Figure")</f>
        <v>Figure</v>
      </c>
      <c r="I3749">
        <v>1.31</v>
      </c>
      <c r="J3749">
        <v>2.1000000000000001E-2</v>
      </c>
      <c r="K3749">
        <v>1.17</v>
      </c>
      <c r="L3749">
        <v>0.14000000000000001</v>
      </c>
      <c r="M3749">
        <v>0.89200000000000002</v>
      </c>
      <c r="N3749">
        <v>0.37</v>
      </c>
    </row>
    <row r="3750" spans="1:14" x14ac:dyDescent="0.25">
      <c r="A3750" t="s">
        <v>6857</v>
      </c>
      <c r="B3750" t="s">
        <v>6858</v>
      </c>
      <c r="C3750" s="1" t="str">
        <f>HYPERLINK("http://www.genecards.org/cgi-bin/carddisp.pl?gene=SAP18","GeneCards")</f>
        <v>GeneCards</v>
      </c>
      <c r="D3750" s="1" t="str">
        <f>HYPERLINK("http://genome-euro.ucsc.edu/cgi-bin/hgTracks?position=208740_at","UCSC")</f>
        <v>UCSC</v>
      </c>
      <c r="E3750" s="1" t="str">
        <f>HYPERLINK("http://www.ncbi.nlm.nih.gov/gene/?term=SAP18","NCBI")</f>
        <v>NCBI</v>
      </c>
      <c r="F3750">
        <v>2.5000000000000001E-2</v>
      </c>
      <c r="G3750">
        <v>0.11</v>
      </c>
      <c r="H3750" s="1" t="str">
        <f>HYPERLINK("http://www.weizmann.ac.il/complex/compphys/software/geview/data/figures/208740_at.png","Figure")</f>
        <v>Figure</v>
      </c>
      <c r="I3750">
        <v>0.60099999999999998</v>
      </c>
      <c r="J3750">
        <v>3.5999999999999997E-2</v>
      </c>
      <c r="K3750">
        <v>0.66</v>
      </c>
      <c r="L3750">
        <v>0.05</v>
      </c>
      <c r="M3750">
        <v>1.1000000000000001</v>
      </c>
      <c r="N3750">
        <v>0.85</v>
      </c>
    </row>
    <row r="3751" spans="1:14" x14ac:dyDescent="0.25">
      <c r="A3751" t="s">
        <v>6859</v>
      </c>
      <c r="B3751" t="s">
        <v>3617</v>
      </c>
      <c r="C3751" s="1" t="str">
        <f>HYPERLINK("http://www.genecards.org/cgi-bin/carddisp.pl?gene=SFPQ","GeneCards")</f>
        <v>GeneCards</v>
      </c>
      <c r="D3751" s="1" t="str">
        <f>HYPERLINK("http://genome-euro.ucsc.edu/cgi-bin/hgTracks?position=214016_s_at","UCSC")</f>
        <v>UCSC</v>
      </c>
      <c r="E3751" s="1" t="str">
        <f>HYPERLINK("http://www.ncbi.nlm.nih.gov/gene/?term=SFPQ","NCBI")</f>
        <v>NCBI</v>
      </c>
      <c r="F3751">
        <v>2.5000000000000001E-2</v>
      </c>
      <c r="G3751">
        <v>0.11</v>
      </c>
      <c r="H3751" s="1" t="str">
        <f>HYPERLINK("http://www.weizmann.ac.il/complex/compphys/software/geview/data/figures/214016_s_at.png","Figure")</f>
        <v>Figure</v>
      </c>
      <c r="I3751">
        <v>0.95399999999999996</v>
      </c>
      <c r="J3751">
        <v>0.98</v>
      </c>
      <c r="K3751">
        <v>0.57399999999999995</v>
      </c>
      <c r="L3751">
        <v>3.6999999999999998E-2</v>
      </c>
      <c r="M3751">
        <v>0.60199999999999998</v>
      </c>
      <c r="N3751">
        <v>7.6999999999999999E-2</v>
      </c>
    </row>
    <row r="3752" spans="1:14" x14ac:dyDescent="0.25">
      <c r="A3752" t="s">
        <v>6860</v>
      </c>
      <c r="B3752" t="s">
        <v>6861</v>
      </c>
      <c r="C3752" s="1" t="str">
        <f>HYPERLINK("http://www.genecards.org/cgi-bin/carddisp.pl?gene=RB1CC1","GeneCards")</f>
        <v>GeneCards</v>
      </c>
      <c r="D3752" s="1" t="str">
        <f>HYPERLINK("http://genome-euro.ucsc.edu/cgi-bin/hgTracks?position=202033_s_at","UCSC")</f>
        <v>UCSC</v>
      </c>
      <c r="E3752" s="1" t="str">
        <f>HYPERLINK("http://www.ncbi.nlm.nih.gov/gene/?term=RB1CC1","NCBI")</f>
        <v>NCBI</v>
      </c>
      <c r="F3752">
        <v>2.5000000000000001E-2</v>
      </c>
      <c r="G3752">
        <v>0.11</v>
      </c>
      <c r="H3752" s="1" t="str">
        <f>HYPERLINK("http://www.weizmann.ac.il/complex/compphys/software/geview/data/figures/202033_s_at.png","Figure")</f>
        <v>Figure</v>
      </c>
      <c r="I3752">
        <v>0.86699999999999999</v>
      </c>
      <c r="J3752">
        <v>0.86</v>
      </c>
      <c r="K3752">
        <v>0.504</v>
      </c>
      <c r="L3752">
        <v>2.9000000000000001E-2</v>
      </c>
      <c r="M3752">
        <v>0.58099999999999996</v>
      </c>
      <c r="N3752">
        <v>0.11</v>
      </c>
    </row>
    <row r="3753" spans="1:14" x14ac:dyDescent="0.25">
      <c r="A3753" t="s">
        <v>6862</v>
      </c>
      <c r="B3753" t="s">
        <v>6863</v>
      </c>
      <c r="C3753" s="1" t="str">
        <f>HYPERLINK("http://www.genecards.org/cgi-bin/carddisp.pl?gene=NAGA","GeneCards")</f>
        <v>GeneCards</v>
      </c>
      <c r="D3753" s="1" t="str">
        <f>HYPERLINK("http://genome-euro.ucsc.edu/cgi-bin/hgTracks?position=202943_s_at","UCSC")</f>
        <v>UCSC</v>
      </c>
      <c r="E3753" s="1" t="str">
        <f>HYPERLINK("http://www.ncbi.nlm.nih.gov/gene/?term=NAGA","NCBI")</f>
        <v>NCBI</v>
      </c>
      <c r="F3753">
        <v>2.5000000000000001E-2</v>
      </c>
      <c r="G3753">
        <v>0.11</v>
      </c>
      <c r="H3753" s="1" t="str">
        <f>HYPERLINK("http://www.weizmann.ac.il/complex/compphys/software/geview/data/figures/202943_s_at.png","Figure")</f>
        <v>Figure</v>
      </c>
      <c r="I3753">
        <v>0.86</v>
      </c>
      <c r="J3753">
        <v>5.8999999999999997E-2</v>
      </c>
      <c r="K3753">
        <v>1.01</v>
      </c>
      <c r="L3753">
        <v>0.96</v>
      </c>
      <c r="M3753">
        <v>1.18</v>
      </c>
      <c r="N3753">
        <v>2.5999999999999999E-2</v>
      </c>
    </row>
    <row r="3754" spans="1:14" x14ac:dyDescent="0.25">
      <c r="A3754" t="s">
        <v>6864</v>
      </c>
      <c r="B3754" t="s">
        <v>6865</v>
      </c>
      <c r="C3754" s="1" t="str">
        <f>HYPERLINK("http://www.genecards.org/cgi-bin/carddisp.pl?gene=RIMS2","GeneCards")</f>
        <v>GeneCards</v>
      </c>
      <c r="D3754" s="1" t="str">
        <f>HYPERLINK("http://genome-euro.ucsc.edu/cgi-bin/hgTracks?position=206137_at","UCSC")</f>
        <v>UCSC</v>
      </c>
      <c r="E3754" s="1" t="str">
        <f>HYPERLINK("http://www.ncbi.nlm.nih.gov/gene/?term=RIMS2","NCBI")</f>
        <v>NCBI</v>
      </c>
      <c r="F3754">
        <v>2.5000000000000001E-2</v>
      </c>
      <c r="G3754">
        <v>0.11</v>
      </c>
      <c r="H3754" s="1" t="str">
        <f>HYPERLINK("http://www.weizmann.ac.il/complex/compphys/software/geview/data/figures/206137_at.png","Figure")</f>
        <v>Figure</v>
      </c>
      <c r="I3754">
        <v>1.19</v>
      </c>
      <c r="J3754">
        <v>2.1000000000000001E-2</v>
      </c>
      <c r="K3754">
        <v>1.06</v>
      </c>
      <c r="L3754">
        <v>0.46</v>
      </c>
      <c r="M3754">
        <v>0.88900000000000001</v>
      </c>
      <c r="N3754">
        <v>0.11</v>
      </c>
    </row>
    <row r="3755" spans="1:14" x14ac:dyDescent="0.25">
      <c r="A3755" t="s">
        <v>6866</v>
      </c>
      <c r="B3755" t="s">
        <v>6867</v>
      </c>
      <c r="C3755" s="1" t="str">
        <f>HYPERLINK("http://www.genecards.org/cgi-bin/carddisp.pl?gene=MAP3K10","GeneCards")</f>
        <v>GeneCards</v>
      </c>
      <c r="D3755" s="1" t="str">
        <f>HYPERLINK("http://genome-euro.ucsc.edu/cgi-bin/hgTracks?position=206362_x_at","UCSC")</f>
        <v>UCSC</v>
      </c>
      <c r="E3755" s="1" t="str">
        <f>HYPERLINK("http://www.ncbi.nlm.nih.gov/gene/?term=MAP3K10","NCBI")</f>
        <v>NCBI</v>
      </c>
      <c r="F3755">
        <v>2.5000000000000001E-2</v>
      </c>
      <c r="G3755">
        <v>0.11</v>
      </c>
      <c r="H3755" s="1" t="str">
        <f>HYPERLINK("http://www.weizmann.ac.il/complex/compphys/software/geview/data/figures/206362_x_at.png","Figure")</f>
        <v>Figure</v>
      </c>
      <c r="I3755">
        <v>1.5</v>
      </c>
      <c r="J3755">
        <v>0.02</v>
      </c>
      <c r="K3755">
        <v>1.1599999999999999</v>
      </c>
      <c r="L3755">
        <v>0.41</v>
      </c>
      <c r="M3755">
        <v>0.77200000000000002</v>
      </c>
      <c r="N3755">
        <v>0.12</v>
      </c>
    </row>
    <row r="3756" spans="1:14" x14ac:dyDescent="0.25">
      <c r="A3756" t="s">
        <v>6868</v>
      </c>
      <c r="B3756" t="s">
        <v>6869</v>
      </c>
      <c r="C3756" s="1" t="str">
        <f>HYPERLINK("http://www.genecards.org/cgi-bin/carddisp.pl?gene=EIF5","GeneCards")</f>
        <v>GeneCards</v>
      </c>
      <c r="D3756" s="1" t="str">
        <f>HYPERLINK("http://genome-euro.ucsc.edu/cgi-bin/hgTracks?position=208705_s_at","UCSC")</f>
        <v>UCSC</v>
      </c>
      <c r="E3756" s="1" t="str">
        <f>HYPERLINK("http://www.ncbi.nlm.nih.gov/gene/?term=EIF5","NCBI")</f>
        <v>NCBI</v>
      </c>
      <c r="F3756">
        <v>2.5000000000000001E-2</v>
      </c>
      <c r="G3756">
        <v>0.11</v>
      </c>
      <c r="H3756" s="1" t="str">
        <f>HYPERLINK("http://www.weizmann.ac.il/complex/compphys/software/geview/data/figures/208705_s_at.png","Figure")</f>
        <v>Figure</v>
      </c>
      <c r="I3756">
        <v>0.56499999999999995</v>
      </c>
      <c r="J3756">
        <v>2.5999999999999999E-2</v>
      </c>
      <c r="K3756">
        <v>0.67700000000000005</v>
      </c>
      <c r="L3756">
        <v>8.5000000000000006E-2</v>
      </c>
      <c r="M3756">
        <v>1.2</v>
      </c>
      <c r="N3756">
        <v>0.57999999999999996</v>
      </c>
    </row>
    <row r="3757" spans="1:14" x14ac:dyDescent="0.25">
      <c r="A3757" t="s">
        <v>6870</v>
      </c>
      <c r="B3757" t="s">
        <v>5513</v>
      </c>
      <c r="C3757" s="1" t="str">
        <f>HYPERLINK("http://www.genecards.org/cgi-bin/carddisp.pl?gene=KCNJ1","GeneCards")</f>
        <v>GeneCards</v>
      </c>
      <c r="D3757" s="1" t="str">
        <f>HYPERLINK("http://genome-euro.ucsc.edu/cgi-bin/hgTracks?position=210402_at","UCSC")</f>
        <v>UCSC</v>
      </c>
      <c r="E3757" s="1" t="str">
        <f>HYPERLINK("http://www.ncbi.nlm.nih.gov/gene/?term=KCNJ1","NCBI")</f>
        <v>NCBI</v>
      </c>
      <c r="F3757">
        <v>2.5000000000000001E-2</v>
      </c>
      <c r="G3757">
        <v>0.11</v>
      </c>
      <c r="H3757" s="1" t="str">
        <f>HYPERLINK("http://www.weizmann.ac.il/complex/compphys/software/geview/data/figures/210402_at.png","Figure")</f>
        <v>Figure</v>
      </c>
      <c r="I3757">
        <v>1.1200000000000001</v>
      </c>
      <c r="J3757">
        <v>2.3E-2</v>
      </c>
      <c r="K3757">
        <v>1.03</v>
      </c>
      <c r="L3757">
        <v>0.61</v>
      </c>
      <c r="M3757">
        <v>0.92300000000000004</v>
      </c>
      <c r="N3757">
        <v>0.08</v>
      </c>
    </row>
    <row r="3758" spans="1:14" x14ac:dyDescent="0.25">
      <c r="A3758" t="s">
        <v>6871</v>
      </c>
      <c r="B3758" t="s">
        <v>6872</v>
      </c>
      <c r="C3758" s="1" t="str">
        <f>HYPERLINK("http://www.genecards.org/cgi-bin/carddisp.pl?gene=GFOD2","GeneCards")</f>
        <v>GeneCards</v>
      </c>
      <c r="D3758" s="1" t="str">
        <f>HYPERLINK("http://genome-euro.ucsc.edu/cgi-bin/hgTracks?position=214076_at","UCSC")</f>
        <v>UCSC</v>
      </c>
      <c r="E3758" s="1" t="str">
        <f>HYPERLINK("http://www.ncbi.nlm.nih.gov/gene/?term=GFOD2","NCBI")</f>
        <v>NCBI</v>
      </c>
      <c r="F3758">
        <v>2.5000000000000001E-2</v>
      </c>
      <c r="G3758">
        <v>0.11</v>
      </c>
      <c r="H3758" s="1" t="str">
        <f>HYPERLINK("http://www.weizmann.ac.il/complex/compphys/software/geview/data/figures/214076_at.png","Figure")</f>
        <v>Figure</v>
      </c>
      <c r="I3758">
        <v>1.32</v>
      </c>
      <c r="J3758">
        <v>0.03</v>
      </c>
      <c r="K3758">
        <v>1.04</v>
      </c>
      <c r="L3758">
        <v>0.89</v>
      </c>
      <c r="M3758">
        <v>0.78600000000000003</v>
      </c>
      <c r="N3758">
        <v>4.5999999999999999E-2</v>
      </c>
    </row>
    <row r="3759" spans="1:14" x14ac:dyDescent="0.25">
      <c r="A3759" t="s">
        <v>6873</v>
      </c>
      <c r="B3759" t="s">
        <v>6874</v>
      </c>
      <c r="C3759" s="1" t="str">
        <f>HYPERLINK("http://www.genecards.org/cgi-bin/carddisp.pl?gene=ITM2B","GeneCards")</f>
        <v>GeneCards</v>
      </c>
      <c r="D3759" s="1" t="str">
        <f>HYPERLINK("http://genome-euro.ucsc.edu/cgi-bin/hgTracks?position=217731_s_at","UCSC")</f>
        <v>UCSC</v>
      </c>
      <c r="E3759" s="1" t="str">
        <f>HYPERLINK("http://www.ncbi.nlm.nih.gov/gene/?term=ITM2B","NCBI")</f>
        <v>NCBI</v>
      </c>
      <c r="F3759">
        <v>2.5000000000000001E-2</v>
      </c>
      <c r="G3759">
        <v>0.11</v>
      </c>
      <c r="H3759" s="1" t="str">
        <f>HYPERLINK("http://www.weizmann.ac.il/complex/compphys/software/geview/data/figures/217731_s_at.png","Figure")</f>
        <v>Figure</v>
      </c>
      <c r="I3759">
        <v>0.69299999999999995</v>
      </c>
      <c r="J3759">
        <v>3.2000000000000001E-2</v>
      </c>
      <c r="K3759">
        <v>0.755</v>
      </c>
      <c r="L3759">
        <v>5.8999999999999997E-2</v>
      </c>
      <c r="M3759">
        <v>1.0900000000000001</v>
      </c>
      <c r="N3759">
        <v>0.76</v>
      </c>
    </row>
    <row r="3760" spans="1:14" x14ac:dyDescent="0.25">
      <c r="A3760" t="s">
        <v>6875</v>
      </c>
      <c r="B3760" t="s">
        <v>6876</v>
      </c>
      <c r="C3760" s="1" t="str">
        <f>HYPERLINK("http://www.genecards.org/cgi-bin/carddisp.pl?gene=LOC100129361","GeneCards")</f>
        <v>GeneCards</v>
      </c>
      <c r="D3760" s="1" t="str">
        <f>HYPERLINK("http://genome-euro.ucsc.edu/cgi-bin/hgTracks?position=221847_at","UCSC")</f>
        <v>UCSC</v>
      </c>
      <c r="E3760" s="1" t="str">
        <f>HYPERLINK("http://www.ncbi.nlm.nih.gov/gene/?term=LOC100129361","NCBI")</f>
        <v>NCBI</v>
      </c>
      <c r="F3760">
        <v>2.5000000000000001E-2</v>
      </c>
      <c r="G3760">
        <v>0.11</v>
      </c>
      <c r="H3760" s="1" t="str">
        <f>HYPERLINK("http://www.weizmann.ac.il/complex/compphys/software/geview/data/figures/221847_at.png","Figure")</f>
        <v>Figure</v>
      </c>
      <c r="I3760">
        <v>0.49299999999999999</v>
      </c>
      <c r="J3760">
        <v>0.02</v>
      </c>
      <c r="K3760">
        <v>0.70499999999999996</v>
      </c>
      <c r="L3760">
        <v>0.22</v>
      </c>
      <c r="M3760">
        <v>1.43</v>
      </c>
      <c r="N3760">
        <v>0.24</v>
      </c>
    </row>
    <row r="3761" spans="1:14" x14ac:dyDescent="0.25">
      <c r="A3761" t="s">
        <v>6877</v>
      </c>
      <c r="B3761" t="s">
        <v>6878</v>
      </c>
      <c r="C3761" s="1" t="str">
        <f>HYPERLINK("http://www.genecards.org/cgi-bin/carddisp.pl?gene=ANXA11","GeneCards")</f>
        <v>GeneCards</v>
      </c>
      <c r="D3761" s="1" t="str">
        <f>HYPERLINK("http://genome-euro.ucsc.edu/cgi-bin/hgTracks?position=214783_s_at","UCSC")</f>
        <v>UCSC</v>
      </c>
      <c r="E3761" s="1" t="str">
        <f>HYPERLINK("http://www.ncbi.nlm.nih.gov/gene/?term=ANXA11","NCBI")</f>
        <v>NCBI</v>
      </c>
      <c r="F3761">
        <v>2.5000000000000001E-2</v>
      </c>
      <c r="G3761">
        <v>0.11</v>
      </c>
      <c r="H3761" s="1" t="str">
        <f>HYPERLINK("http://www.weizmann.ac.il/complex/compphys/software/geview/data/figures/214783_s_at.png","Figure")</f>
        <v>Figure</v>
      </c>
      <c r="I3761">
        <v>0.626</v>
      </c>
      <c r="J3761">
        <v>7.5999999999999998E-2</v>
      </c>
      <c r="K3761">
        <v>0.60399999999999998</v>
      </c>
      <c r="L3761">
        <v>2.7E-2</v>
      </c>
      <c r="M3761">
        <v>0.96499999999999997</v>
      </c>
      <c r="N3761">
        <v>0.98</v>
      </c>
    </row>
    <row r="3762" spans="1:14" x14ac:dyDescent="0.25">
      <c r="A3762" t="s">
        <v>6879</v>
      </c>
      <c r="B3762" t="s">
        <v>6880</v>
      </c>
      <c r="C3762" s="1" t="str">
        <f>HYPERLINK("http://www.genecards.org/cgi-bin/carddisp.pl?gene=ALG5","GeneCards")</f>
        <v>GeneCards</v>
      </c>
      <c r="D3762" s="1" t="str">
        <f>HYPERLINK("http://genome-euro.ucsc.edu/cgi-bin/hgTracks?position=218203_at","UCSC")</f>
        <v>UCSC</v>
      </c>
      <c r="E3762" s="1" t="str">
        <f>HYPERLINK("http://www.ncbi.nlm.nih.gov/gene/?term=ALG5","NCBI")</f>
        <v>NCBI</v>
      </c>
      <c r="F3762">
        <v>2.5000000000000001E-2</v>
      </c>
      <c r="G3762">
        <v>0.11</v>
      </c>
      <c r="H3762" s="1" t="str">
        <f>HYPERLINK("http://www.weizmann.ac.il/complex/compphys/software/geview/data/figures/218203_at.png","Figure")</f>
        <v>Figure</v>
      </c>
      <c r="I3762">
        <v>0.74</v>
      </c>
      <c r="J3762">
        <v>5.1999999999999998E-2</v>
      </c>
      <c r="K3762">
        <v>1.02</v>
      </c>
      <c r="L3762">
        <v>0.98</v>
      </c>
      <c r="M3762">
        <v>1.38</v>
      </c>
      <c r="N3762">
        <v>2.8000000000000001E-2</v>
      </c>
    </row>
    <row r="3763" spans="1:14" x14ac:dyDescent="0.25">
      <c r="A3763" t="s">
        <v>6881</v>
      </c>
      <c r="B3763" t="s">
        <v>6882</v>
      </c>
      <c r="C3763" s="1" t="str">
        <f>HYPERLINK("http://www.genecards.org/cgi-bin/carddisp.pl?gene=POMC","GeneCards")</f>
        <v>GeneCards</v>
      </c>
      <c r="D3763" s="1" t="str">
        <f>HYPERLINK("http://genome-euro.ucsc.edu/cgi-bin/hgTracks?position=205720_at","UCSC")</f>
        <v>UCSC</v>
      </c>
      <c r="E3763" s="1" t="str">
        <f>HYPERLINK("http://www.ncbi.nlm.nih.gov/gene/?term=POMC","NCBI")</f>
        <v>NCBI</v>
      </c>
      <c r="F3763">
        <v>2.5000000000000001E-2</v>
      </c>
      <c r="G3763">
        <v>0.11</v>
      </c>
      <c r="H3763" s="1" t="str">
        <f>HYPERLINK("http://www.weizmann.ac.il/complex/compphys/software/geview/data/figures/205720_at.png","Figure")</f>
        <v>Figure</v>
      </c>
      <c r="I3763">
        <v>1.24</v>
      </c>
      <c r="J3763">
        <v>2.3E-2</v>
      </c>
      <c r="K3763">
        <v>1.1499999999999999</v>
      </c>
      <c r="L3763">
        <v>0.11</v>
      </c>
      <c r="M3763">
        <v>0.92100000000000004</v>
      </c>
      <c r="N3763">
        <v>0.46</v>
      </c>
    </row>
    <row r="3764" spans="1:14" x14ac:dyDescent="0.25">
      <c r="A3764" t="s">
        <v>6883</v>
      </c>
      <c r="B3764" t="s">
        <v>6884</v>
      </c>
      <c r="C3764" s="1" t="str">
        <f>HYPERLINK("http://www.genecards.org/cgi-bin/carddisp.pl?gene=KIAA0586","GeneCards")</f>
        <v>GeneCards</v>
      </c>
      <c r="D3764" s="1" t="str">
        <f>HYPERLINK("http://genome-euro.ucsc.edu/cgi-bin/hgTracks?position=37232_at","UCSC")</f>
        <v>UCSC</v>
      </c>
      <c r="E3764" s="1" t="str">
        <f>HYPERLINK("http://www.ncbi.nlm.nih.gov/gene/?term=KIAA0586","NCBI")</f>
        <v>NCBI</v>
      </c>
      <c r="F3764">
        <v>2.5000000000000001E-2</v>
      </c>
      <c r="G3764">
        <v>0.11</v>
      </c>
      <c r="H3764" s="1" t="str">
        <f>HYPERLINK("http://www.weizmann.ac.il/complex/compphys/software/geview/data/figures/37232_at.png","Figure")</f>
        <v>Figure</v>
      </c>
      <c r="I3764">
        <v>0.90800000000000003</v>
      </c>
      <c r="J3764">
        <v>0.41</v>
      </c>
      <c r="K3764">
        <v>1.1200000000000001</v>
      </c>
      <c r="L3764">
        <v>0.21</v>
      </c>
      <c r="M3764">
        <v>1.23</v>
      </c>
      <c r="N3764">
        <v>2.1999999999999999E-2</v>
      </c>
    </row>
    <row r="3765" spans="1:14" x14ac:dyDescent="0.25">
      <c r="A3765" t="s">
        <v>6885</v>
      </c>
      <c r="B3765" t="s">
        <v>6886</v>
      </c>
      <c r="C3765" s="1" t="str">
        <f>HYPERLINK("http://www.genecards.org/cgi-bin/carddisp.pl?gene=COQ7","GeneCards")</f>
        <v>GeneCards</v>
      </c>
      <c r="D3765" s="1" t="str">
        <f>HYPERLINK("http://genome-euro.ucsc.edu/cgi-bin/hgTracks?position=209746_s_at","UCSC")</f>
        <v>UCSC</v>
      </c>
      <c r="E3765" s="1" t="str">
        <f>HYPERLINK("http://www.ncbi.nlm.nih.gov/gene/?term=COQ7","NCBI")</f>
        <v>NCBI</v>
      </c>
      <c r="F3765">
        <v>2.5000000000000001E-2</v>
      </c>
      <c r="G3765">
        <v>0.11</v>
      </c>
      <c r="H3765" s="1" t="str">
        <f>HYPERLINK("http://www.weizmann.ac.il/complex/compphys/software/geview/data/figures/209746_s_at.png","Figure")</f>
        <v>Figure</v>
      </c>
      <c r="I3765">
        <v>1.19</v>
      </c>
      <c r="J3765">
        <v>0.02</v>
      </c>
      <c r="K3765">
        <v>1.0900000000000001</v>
      </c>
      <c r="L3765">
        <v>0.2</v>
      </c>
      <c r="M3765">
        <v>0.91800000000000004</v>
      </c>
      <c r="N3765">
        <v>0.27</v>
      </c>
    </row>
    <row r="3766" spans="1:14" x14ac:dyDescent="0.25">
      <c r="A3766" t="s">
        <v>6887</v>
      </c>
      <c r="B3766" t="s">
        <v>3316</v>
      </c>
      <c r="C3766" s="1" t="str">
        <f>HYPERLINK("http://www.genecards.org/cgi-bin/carddisp.pl?gene=USF2","GeneCards")</f>
        <v>GeneCards</v>
      </c>
      <c r="D3766" s="1" t="str">
        <f>HYPERLINK("http://genome-euro.ucsc.edu/cgi-bin/hgTracks?position=215737_x_at","UCSC")</f>
        <v>UCSC</v>
      </c>
      <c r="E3766" s="1" t="str">
        <f>HYPERLINK("http://www.ncbi.nlm.nih.gov/gene/?term=USF2","NCBI")</f>
        <v>NCBI</v>
      </c>
      <c r="F3766">
        <v>2.5000000000000001E-2</v>
      </c>
      <c r="G3766">
        <v>0.11</v>
      </c>
      <c r="H3766" s="1" t="str">
        <f>HYPERLINK("http://www.weizmann.ac.il/complex/compphys/software/geview/data/figures/215737_x_at.png","Figure")</f>
        <v>Figure</v>
      </c>
      <c r="I3766">
        <v>1.41</v>
      </c>
      <c r="J3766">
        <v>2.1000000000000001E-2</v>
      </c>
      <c r="K3766">
        <v>1.21</v>
      </c>
      <c r="L3766">
        <v>0.15</v>
      </c>
      <c r="M3766">
        <v>0.86099999999999999</v>
      </c>
      <c r="N3766">
        <v>0.34</v>
      </c>
    </row>
    <row r="3767" spans="1:14" x14ac:dyDescent="0.25">
      <c r="A3767" t="s">
        <v>6888</v>
      </c>
      <c r="B3767" t="s">
        <v>6889</v>
      </c>
      <c r="C3767" s="1" t="str">
        <f>HYPERLINK("http://www.genecards.org/cgi-bin/carddisp.pl?gene=TBC1D2B","GeneCards")</f>
        <v>GeneCards</v>
      </c>
      <c r="D3767" s="1" t="str">
        <f>HYPERLINK("http://genome-euro.ucsc.edu/cgi-bin/hgTracks?position=215640_at","UCSC")</f>
        <v>UCSC</v>
      </c>
      <c r="E3767" s="1" t="str">
        <f>HYPERLINK("http://www.ncbi.nlm.nih.gov/gene/?term=TBC1D2B","NCBI")</f>
        <v>NCBI</v>
      </c>
      <c r="F3767">
        <v>2.5000000000000001E-2</v>
      </c>
      <c r="G3767">
        <v>0.11</v>
      </c>
      <c r="H3767" s="1" t="str">
        <f>HYPERLINK("http://www.weizmann.ac.il/complex/compphys/software/geview/data/figures/215640_at.png","Figure")</f>
        <v>Figure</v>
      </c>
      <c r="I3767">
        <v>1.38</v>
      </c>
      <c r="J3767">
        <v>2.7E-2</v>
      </c>
      <c r="K3767">
        <v>1.26</v>
      </c>
      <c r="L3767">
        <v>7.5999999999999998E-2</v>
      </c>
      <c r="M3767">
        <v>0.91100000000000003</v>
      </c>
      <c r="N3767">
        <v>0.63</v>
      </c>
    </row>
    <row r="3768" spans="1:14" x14ac:dyDescent="0.25">
      <c r="A3768" t="s">
        <v>6890</v>
      </c>
      <c r="B3768" t="s">
        <v>6891</v>
      </c>
      <c r="C3768" s="1" t="str">
        <f>HYPERLINK("http://www.genecards.org/cgi-bin/carddisp.pl?gene=MBD2","GeneCards")</f>
        <v>GeneCards</v>
      </c>
      <c r="D3768" s="1" t="str">
        <f>HYPERLINK("http://genome-euro.ucsc.edu/cgi-bin/hgTracks?position=202484_s_at","UCSC")</f>
        <v>UCSC</v>
      </c>
      <c r="E3768" s="1" t="str">
        <f>HYPERLINK("http://www.ncbi.nlm.nih.gov/gene/?term=MBD2","NCBI")</f>
        <v>NCBI</v>
      </c>
      <c r="F3768">
        <v>2.5000000000000001E-2</v>
      </c>
      <c r="G3768">
        <v>0.11</v>
      </c>
      <c r="H3768" s="1" t="str">
        <f>HYPERLINK("http://www.weizmann.ac.il/complex/compphys/software/geview/data/figures/202484_s_at.png","Figure")</f>
        <v>Figure</v>
      </c>
      <c r="I3768">
        <v>0.61</v>
      </c>
      <c r="J3768">
        <v>0.12</v>
      </c>
      <c r="K3768">
        <v>1.2</v>
      </c>
      <c r="L3768">
        <v>0.64</v>
      </c>
      <c r="M3768">
        <v>1.97</v>
      </c>
      <c r="N3768">
        <v>0.02</v>
      </c>
    </row>
    <row r="3769" spans="1:14" x14ac:dyDescent="0.25">
      <c r="A3769" t="s">
        <v>6892</v>
      </c>
      <c r="B3769" t="s">
        <v>3305</v>
      </c>
      <c r="C3769" s="1" t="str">
        <f>HYPERLINK("http://www.genecards.org/cgi-bin/carddisp.pl?gene=ASMTL","GeneCards")</f>
        <v>GeneCards</v>
      </c>
      <c r="D3769" s="1" t="str">
        <f>HYPERLINK("http://genome-euro.ucsc.edu/cgi-bin/hgTracks?position=209394_at","UCSC")</f>
        <v>UCSC</v>
      </c>
      <c r="E3769" s="1" t="str">
        <f>HYPERLINK("http://www.ncbi.nlm.nih.gov/gene/?term=ASMTL","NCBI")</f>
        <v>NCBI</v>
      </c>
      <c r="F3769">
        <v>2.5000000000000001E-2</v>
      </c>
      <c r="G3769">
        <v>0.11</v>
      </c>
      <c r="H3769" s="1" t="str">
        <f>HYPERLINK("http://www.weizmann.ac.il/complex/compphys/software/geview/data/figures/209394_at.png","Figure")</f>
        <v>Figure</v>
      </c>
      <c r="I3769">
        <v>0.56699999999999995</v>
      </c>
      <c r="J3769">
        <v>3.1E-2</v>
      </c>
      <c r="K3769">
        <v>0.92800000000000005</v>
      </c>
      <c r="L3769">
        <v>0.9</v>
      </c>
      <c r="M3769">
        <v>1.64</v>
      </c>
      <c r="N3769">
        <v>4.4999999999999998E-2</v>
      </c>
    </row>
    <row r="3770" spans="1:14" x14ac:dyDescent="0.25">
      <c r="A3770" t="s">
        <v>6893</v>
      </c>
      <c r="B3770" t="s">
        <v>6894</v>
      </c>
      <c r="C3770" s="1" t="str">
        <f>HYPERLINK("http://www.genecards.org/cgi-bin/carddisp.pl?gene=CD6","GeneCards")</f>
        <v>GeneCards</v>
      </c>
      <c r="D3770" s="1" t="str">
        <f>HYPERLINK("http://genome-euro.ucsc.edu/cgi-bin/hgTracks?position=208602_x_at","UCSC")</f>
        <v>UCSC</v>
      </c>
      <c r="E3770" s="1" t="str">
        <f>HYPERLINK("http://www.ncbi.nlm.nih.gov/gene/?term=CD6","NCBI")</f>
        <v>NCBI</v>
      </c>
      <c r="F3770">
        <v>2.5000000000000001E-2</v>
      </c>
      <c r="G3770">
        <v>0.11</v>
      </c>
      <c r="H3770" s="1" t="str">
        <f>HYPERLINK("http://www.weizmann.ac.il/complex/compphys/software/geview/data/figures/208602_x_at.png","Figure")</f>
        <v>Figure</v>
      </c>
      <c r="I3770">
        <v>1.18</v>
      </c>
      <c r="J3770">
        <v>2.3E-2</v>
      </c>
      <c r="K3770">
        <v>1.05</v>
      </c>
      <c r="L3770">
        <v>0.6</v>
      </c>
      <c r="M3770">
        <v>0.88800000000000001</v>
      </c>
      <c r="N3770">
        <v>8.1000000000000003E-2</v>
      </c>
    </row>
    <row r="3771" spans="1:14" x14ac:dyDescent="0.25">
      <c r="A3771" t="s">
        <v>6895</v>
      </c>
      <c r="B3771" t="s">
        <v>6896</v>
      </c>
      <c r="C3771" s="1" t="str">
        <f>HYPERLINK("http://www.genecards.org/cgi-bin/carddisp.pl?gene=ATXN10","GeneCards")</f>
        <v>GeneCards</v>
      </c>
      <c r="D3771" s="1" t="str">
        <f>HYPERLINK("http://genome-euro.ucsc.edu/cgi-bin/hgTracks?position=208833_s_at","UCSC")</f>
        <v>UCSC</v>
      </c>
      <c r="E3771" s="1" t="str">
        <f>HYPERLINK("http://www.ncbi.nlm.nih.gov/gene/?term=ATXN10","NCBI")</f>
        <v>NCBI</v>
      </c>
      <c r="F3771">
        <v>2.5000000000000001E-2</v>
      </c>
      <c r="G3771">
        <v>0.11</v>
      </c>
      <c r="H3771" s="1" t="str">
        <f>HYPERLINK("http://www.weizmann.ac.il/complex/compphys/software/geview/data/figures/208833_s_at.png","Figure")</f>
        <v>Figure</v>
      </c>
      <c r="I3771">
        <v>0.96199999999999997</v>
      </c>
      <c r="J3771">
        <v>0.98</v>
      </c>
      <c r="K3771">
        <v>1.54</v>
      </c>
      <c r="L3771">
        <v>5.3999999999999999E-2</v>
      </c>
      <c r="M3771">
        <v>1.6</v>
      </c>
      <c r="N3771">
        <v>0.05</v>
      </c>
    </row>
    <row r="3772" spans="1:14" x14ac:dyDescent="0.25">
      <c r="A3772" t="s">
        <v>6897</v>
      </c>
      <c r="B3772" t="s">
        <v>6898</v>
      </c>
      <c r="C3772" s="1" t="str">
        <f>HYPERLINK("http://www.genecards.org/cgi-bin/carddisp.pl?gene=DTX4","GeneCards")</f>
        <v>GeneCards</v>
      </c>
      <c r="D3772" s="1" t="str">
        <f>HYPERLINK("http://genome-euro.ucsc.edu/cgi-bin/hgTracks?position=212611_at","UCSC")</f>
        <v>UCSC</v>
      </c>
      <c r="E3772" s="1" t="str">
        <f>HYPERLINK("http://www.ncbi.nlm.nih.gov/gene/?term=DTX4","NCBI")</f>
        <v>NCBI</v>
      </c>
      <c r="F3772">
        <v>2.5000000000000001E-2</v>
      </c>
      <c r="G3772">
        <v>0.11</v>
      </c>
      <c r="H3772" s="1" t="str">
        <f>HYPERLINK("http://www.weizmann.ac.il/complex/compphys/software/geview/data/figures/212611_at.png","Figure")</f>
        <v>Figure</v>
      </c>
      <c r="I3772">
        <v>1.3</v>
      </c>
      <c r="J3772">
        <v>0.23</v>
      </c>
      <c r="K3772">
        <v>0.83299999999999996</v>
      </c>
      <c r="L3772">
        <v>0.38</v>
      </c>
      <c r="M3772">
        <v>0.64100000000000001</v>
      </c>
      <c r="N3772">
        <v>0.02</v>
      </c>
    </row>
    <row r="3773" spans="1:14" x14ac:dyDescent="0.25">
      <c r="A3773" t="s">
        <v>6899</v>
      </c>
      <c r="B3773" t="s">
        <v>3255</v>
      </c>
      <c r="C3773" s="1" t="str">
        <f>HYPERLINK("http://www.genecards.org/cgi-bin/carddisp.pl?gene=TMF1","GeneCards")</f>
        <v>GeneCards</v>
      </c>
      <c r="D3773" s="1" t="str">
        <f>HYPERLINK("http://genome-euro.ucsc.edu/cgi-bin/hgTracks?position=215855_s_at","UCSC")</f>
        <v>UCSC</v>
      </c>
      <c r="E3773" s="1" t="str">
        <f>HYPERLINK("http://www.ncbi.nlm.nih.gov/gene/?term=TMF1","NCBI")</f>
        <v>NCBI</v>
      </c>
      <c r="F3773">
        <v>2.5000000000000001E-2</v>
      </c>
      <c r="G3773">
        <v>0.11</v>
      </c>
      <c r="H3773" s="1" t="str">
        <f>HYPERLINK("http://www.weizmann.ac.il/complex/compphys/software/geview/data/figures/215855_s_at.png","Figure")</f>
        <v>Figure</v>
      </c>
      <c r="I3773">
        <v>1.32</v>
      </c>
      <c r="J3773">
        <v>2.8000000000000001E-2</v>
      </c>
      <c r="K3773">
        <v>1.05</v>
      </c>
      <c r="L3773">
        <v>0.84</v>
      </c>
      <c r="M3773">
        <v>0.79400000000000004</v>
      </c>
      <c r="N3773">
        <v>5.1999999999999998E-2</v>
      </c>
    </row>
    <row r="3774" spans="1:14" x14ac:dyDescent="0.25">
      <c r="A3774" t="s">
        <v>6900</v>
      </c>
      <c r="B3774" t="s">
        <v>6901</v>
      </c>
      <c r="C3774" s="1" t="str">
        <f>HYPERLINK("http://www.genecards.org/cgi-bin/carddisp.pl?gene=ZNF576","GeneCards")</f>
        <v>GeneCards</v>
      </c>
      <c r="D3774" s="1" t="str">
        <f>HYPERLINK("http://genome-euro.ucsc.edu/cgi-bin/hgTracks?position=219089_s_at","UCSC")</f>
        <v>UCSC</v>
      </c>
      <c r="E3774" s="1" t="str">
        <f>HYPERLINK("http://www.ncbi.nlm.nih.gov/gene/?term=ZNF576","NCBI")</f>
        <v>NCBI</v>
      </c>
      <c r="F3774">
        <v>2.5000000000000001E-2</v>
      </c>
      <c r="G3774">
        <v>0.11</v>
      </c>
      <c r="H3774" s="1" t="str">
        <f>HYPERLINK("http://www.weizmann.ac.il/complex/compphys/software/geview/data/figures/219089_s_at.png","Figure")</f>
        <v>Figure</v>
      </c>
      <c r="I3774">
        <v>1.21</v>
      </c>
      <c r="J3774">
        <v>2.8000000000000001E-2</v>
      </c>
      <c r="K3774">
        <v>1.03</v>
      </c>
      <c r="L3774">
        <v>0.82</v>
      </c>
      <c r="M3774">
        <v>0.85699999999999998</v>
      </c>
      <c r="N3774">
        <v>5.2999999999999999E-2</v>
      </c>
    </row>
    <row r="3775" spans="1:14" x14ac:dyDescent="0.25">
      <c r="A3775" t="s">
        <v>6902</v>
      </c>
      <c r="B3775" t="s">
        <v>6903</v>
      </c>
      <c r="C3775" s="1" t="str">
        <f>HYPERLINK("http://www.genecards.org/cgi-bin/carddisp.pl?gene=C18orf8","GeneCards")</f>
        <v>GeneCards</v>
      </c>
      <c r="D3775" s="1" t="str">
        <f>HYPERLINK("http://genome-euro.ucsc.edu/cgi-bin/hgTracks?position=221190_s_at","UCSC")</f>
        <v>UCSC</v>
      </c>
      <c r="E3775" s="1" t="str">
        <f>HYPERLINK("http://www.ncbi.nlm.nih.gov/gene/?term=C18orf8","NCBI")</f>
        <v>NCBI</v>
      </c>
      <c r="F3775">
        <v>2.5000000000000001E-2</v>
      </c>
      <c r="G3775">
        <v>0.11</v>
      </c>
      <c r="H3775" s="1" t="str">
        <f>HYPERLINK("http://www.weizmann.ac.il/complex/compphys/software/geview/data/figures/221190_s_at.png","Figure")</f>
        <v>Figure</v>
      </c>
      <c r="I3775">
        <v>0.71899999999999997</v>
      </c>
      <c r="J3775">
        <v>0.24</v>
      </c>
      <c r="K3775">
        <v>0.58599999999999997</v>
      </c>
      <c r="L3775">
        <v>0.02</v>
      </c>
      <c r="M3775">
        <v>0.81499999999999995</v>
      </c>
      <c r="N3775">
        <v>0.52</v>
      </c>
    </row>
    <row r="3776" spans="1:14" x14ac:dyDescent="0.25">
      <c r="A3776" t="s">
        <v>6904</v>
      </c>
      <c r="B3776" t="s">
        <v>3005</v>
      </c>
      <c r="C3776" s="1" t="str">
        <f>HYPERLINK("http://www.genecards.org/cgi-bin/carddisp.pl?gene=MOBKL3","GeneCards")</f>
        <v>GeneCards</v>
      </c>
      <c r="D3776" s="1" t="str">
        <f>HYPERLINK("http://genome-euro.ucsc.edu/cgi-bin/hgTracks?position=202919_at","UCSC")</f>
        <v>UCSC</v>
      </c>
      <c r="E3776" s="1" t="str">
        <f>HYPERLINK("http://www.ncbi.nlm.nih.gov/gene/?term=MOBKL3","NCBI")</f>
        <v>NCBI</v>
      </c>
      <c r="F3776">
        <v>2.5000000000000001E-2</v>
      </c>
      <c r="G3776">
        <v>0.11</v>
      </c>
      <c r="H3776" s="1" t="str">
        <f>HYPERLINK("http://www.weizmann.ac.il/complex/compphys/software/geview/data/figures/202919_at.png","Figure")</f>
        <v>Figure</v>
      </c>
      <c r="I3776">
        <v>0.99</v>
      </c>
      <c r="J3776">
        <v>1</v>
      </c>
      <c r="K3776">
        <v>0.66</v>
      </c>
      <c r="L3776">
        <v>4.2000000000000003E-2</v>
      </c>
      <c r="M3776">
        <v>0.66700000000000004</v>
      </c>
      <c r="N3776">
        <v>6.5000000000000002E-2</v>
      </c>
    </row>
    <row r="3777" spans="1:14" x14ac:dyDescent="0.25">
      <c r="A3777" t="s">
        <v>6905</v>
      </c>
      <c r="B3777" t="s">
        <v>6906</v>
      </c>
      <c r="C3777" s="1" t="str">
        <f>HYPERLINK("http://www.genecards.org/cgi-bin/carddisp.pl?gene=IGH@ /// IGHA1 /// IGHA2 /// IGHD /// IGHG1 /// IGHG3 /// IGHM /// IGHV3-23 /// IGHV4-31 /// LOC1001","GeneCards")</f>
        <v>GeneCards</v>
      </c>
      <c r="D3777" s="1" t="str">
        <f>HYPERLINK("http://genome-euro.ucsc.edu/cgi-bin/hgTracks?position=211641_x_at","UCSC")</f>
        <v>UCSC</v>
      </c>
      <c r="E3777" s="1" t="str">
        <f>HYPERLINK("http://www.ncbi.nlm.nih.gov/gene/?term=IGH@ /// IGHA1 /// IGHA2 /// IGHD /// IGHG1 /// IGHG3 /// IGHM /// IGHV3-23 /// IGHV4-31 /// LOC1001","NCBI")</f>
        <v>NCBI</v>
      </c>
      <c r="F3777">
        <v>2.5000000000000001E-2</v>
      </c>
      <c r="G3777">
        <v>0.11</v>
      </c>
      <c r="H3777" s="1" t="str">
        <f>HYPERLINK("http://www.weizmann.ac.il/complex/compphys/software/geview/data/figures/211641_x_at.png","Figure")</f>
        <v>Figure</v>
      </c>
      <c r="I3777">
        <v>1.27</v>
      </c>
      <c r="J3777">
        <v>0.04</v>
      </c>
      <c r="K3777">
        <v>1.23</v>
      </c>
      <c r="L3777">
        <v>4.4999999999999998E-2</v>
      </c>
      <c r="M3777">
        <v>0.96599999999999997</v>
      </c>
      <c r="N3777">
        <v>0.9</v>
      </c>
    </row>
    <row r="3778" spans="1:14" x14ac:dyDescent="0.25">
      <c r="A3778" t="s">
        <v>6907</v>
      </c>
      <c r="B3778" t="s">
        <v>6908</v>
      </c>
      <c r="C3778" s="1" t="str">
        <f>HYPERLINK("http://www.genecards.org/cgi-bin/carddisp.pl?gene=CBLB","GeneCards")</f>
        <v>GeneCards</v>
      </c>
      <c r="D3778" s="1" t="str">
        <f>HYPERLINK("http://genome-euro.ucsc.edu/cgi-bin/hgTracks?position=209682_at","UCSC")</f>
        <v>UCSC</v>
      </c>
      <c r="E3778" s="1" t="str">
        <f>HYPERLINK("http://www.ncbi.nlm.nih.gov/gene/?term=CBLB","NCBI")</f>
        <v>NCBI</v>
      </c>
      <c r="F3778">
        <v>2.5000000000000001E-2</v>
      </c>
      <c r="G3778">
        <v>0.11</v>
      </c>
      <c r="H3778" s="1" t="str">
        <f>HYPERLINK("http://www.weizmann.ac.il/complex/compphys/software/geview/data/figures/209682_at.png","Figure")</f>
        <v>Figure</v>
      </c>
      <c r="I3778">
        <v>0.69499999999999995</v>
      </c>
      <c r="J3778">
        <v>0.51</v>
      </c>
      <c r="K3778">
        <v>0.42199999999999999</v>
      </c>
      <c r="L3778">
        <v>2.1000000000000001E-2</v>
      </c>
      <c r="M3778">
        <v>0.60699999999999998</v>
      </c>
      <c r="N3778">
        <v>0.25</v>
      </c>
    </row>
    <row r="3779" spans="1:14" x14ac:dyDescent="0.25">
      <c r="A3779" t="s">
        <v>6909</v>
      </c>
      <c r="B3779" t="s">
        <v>1405</v>
      </c>
      <c r="C3779" s="1" t="str">
        <f>HYPERLINK("http://www.genecards.org/cgi-bin/carddisp.pl?gene=CEP68","GeneCards")</f>
        <v>GeneCards</v>
      </c>
      <c r="D3779" s="1" t="str">
        <f>HYPERLINK("http://genome-euro.ucsc.edu/cgi-bin/hgTracks?position=212677_s_at","UCSC")</f>
        <v>UCSC</v>
      </c>
      <c r="E3779" s="1" t="str">
        <f>HYPERLINK("http://www.ncbi.nlm.nih.gov/gene/?term=CEP68","NCBI")</f>
        <v>NCBI</v>
      </c>
      <c r="F3779">
        <v>2.5000000000000001E-2</v>
      </c>
      <c r="G3779">
        <v>0.11</v>
      </c>
      <c r="H3779" s="1" t="str">
        <f>HYPERLINK("http://www.weizmann.ac.il/complex/compphys/software/geview/data/figures/212677_s_at.png","Figure")</f>
        <v>Figure</v>
      </c>
      <c r="I3779">
        <v>0.55400000000000005</v>
      </c>
      <c r="J3779">
        <v>2.1999999999999999E-2</v>
      </c>
      <c r="K3779">
        <v>0.84199999999999997</v>
      </c>
      <c r="L3779">
        <v>0.56999999999999995</v>
      </c>
      <c r="M3779">
        <v>1.52</v>
      </c>
      <c r="N3779">
        <v>8.5999999999999993E-2</v>
      </c>
    </row>
    <row r="3780" spans="1:14" x14ac:dyDescent="0.25">
      <c r="A3780" t="s">
        <v>6910</v>
      </c>
      <c r="B3780" t="s">
        <v>6911</v>
      </c>
      <c r="C3780" s="1" t="str">
        <f>HYPERLINK("http://www.genecards.org/cgi-bin/carddisp.pl?gene=FLJ22167","GeneCards")</f>
        <v>GeneCards</v>
      </c>
      <c r="D3780" s="1" t="str">
        <f>HYPERLINK("http://genome-euro.ucsc.edu/cgi-bin/hgTracks?position=219182_at","UCSC")</f>
        <v>UCSC</v>
      </c>
      <c r="E3780" s="1" t="str">
        <f>HYPERLINK("http://www.ncbi.nlm.nih.gov/gene/?term=FLJ22167","NCBI")</f>
        <v>NCBI</v>
      </c>
      <c r="F3780">
        <v>2.5000000000000001E-2</v>
      </c>
      <c r="G3780">
        <v>0.11</v>
      </c>
      <c r="H3780" s="1" t="str">
        <f>HYPERLINK("http://www.weizmann.ac.il/complex/compphys/software/geview/data/figures/219182_at.png","Figure")</f>
        <v>Figure</v>
      </c>
      <c r="I3780">
        <v>1.1200000000000001</v>
      </c>
      <c r="J3780">
        <v>5.7000000000000002E-2</v>
      </c>
      <c r="K3780">
        <v>1.1200000000000001</v>
      </c>
      <c r="L3780">
        <v>3.3000000000000002E-2</v>
      </c>
      <c r="M3780">
        <v>0.997</v>
      </c>
      <c r="N3780">
        <v>1</v>
      </c>
    </row>
    <row r="3781" spans="1:14" x14ac:dyDescent="0.25">
      <c r="A3781" t="s">
        <v>6912</v>
      </c>
      <c r="B3781" t="s">
        <v>6913</v>
      </c>
      <c r="C3781" s="1" t="str">
        <f>HYPERLINK("http://www.genecards.org/cgi-bin/carddisp.pl?gene=TMEM14B","GeneCards")</f>
        <v>GeneCards</v>
      </c>
      <c r="D3781" s="1" t="str">
        <f>HYPERLINK("http://genome-euro.ucsc.edu/cgi-bin/hgTracks?position=221452_s_at","UCSC")</f>
        <v>UCSC</v>
      </c>
      <c r="E3781" s="1" t="str">
        <f>HYPERLINK("http://www.ncbi.nlm.nih.gov/gene/?term=TMEM14B","NCBI")</f>
        <v>NCBI</v>
      </c>
      <c r="F3781">
        <v>2.5000000000000001E-2</v>
      </c>
      <c r="G3781">
        <v>0.11</v>
      </c>
      <c r="H3781" s="1" t="str">
        <f>HYPERLINK("http://www.weizmann.ac.il/complex/compphys/software/geview/data/figures/221452_s_at.png","Figure")</f>
        <v>Figure</v>
      </c>
      <c r="I3781">
        <v>0.60699999999999998</v>
      </c>
      <c r="J3781">
        <v>3.4000000000000002E-2</v>
      </c>
      <c r="K3781">
        <v>0.95499999999999996</v>
      </c>
      <c r="L3781">
        <v>0.95</v>
      </c>
      <c r="M3781">
        <v>1.57</v>
      </c>
      <c r="N3781">
        <v>0.04</v>
      </c>
    </row>
    <row r="3782" spans="1:14" x14ac:dyDescent="0.25">
      <c r="A3782" t="s">
        <v>6914</v>
      </c>
      <c r="B3782" t="s">
        <v>6915</v>
      </c>
      <c r="C3782" s="1" t="str">
        <f>HYPERLINK("http://www.genecards.org/cgi-bin/carddisp.pl?gene=CRTAP","GeneCards")</f>
        <v>GeneCards</v>
      </c>
      <c r="D3782" s="1" t="str">
        <f>HYPERLINK("http://genome-euro.ucsc.edu/cgi-bin/hgTracks?position=201380_at","UCSC")</f>
        <v>UCSC</v>
      </c>
      <c r="E3782" s="1" t="str">
        <f>HYPERLINK("http://www.ncbi.nlm.nih.gov/gene/?term=CRTAP","NCBI")</f>
        <v>NCBI</v>
      </c>
      <c r="F3782">
        <v>2.5000000000000001E-2</v>
      </c>
      <c r="G3782">
        <v>0.11</v>
      </c>
      <c r="H3782" s="1" t="str">
        <f>HYPERLINK("http://www.weizmann.ac.il/complex/compphys/software/geview/data/figures/201380_at.png","Figure")</f>
        <v>Figure</v>
      </c>
      <c r="I3782">
        <v>0.81799999999999995</v>
      </c>
      <c r="J3782">
        <v>0.2</v>
      </c>
      <c r="K3782">
        <v>0.73899999999999999</v>
      </c>
      <c r="L3782">
        <v>0.02</v>
      </c>
      <c r="M3782">
        <v>0.90300000000000002</v>
      </c>
      <c r="N3782">
        <v>0.6</v>
      </c>
    </row>
    <row r="3783" spans="1:14" x14ac:dyDescent="0.25">
      <c r="A3783" t="s">
        <v>6916</v>
      </c>
      <c r="B3783" t="s">
        <v>6917</v>
      </c>
      <c r="C3783" s="1" t="str">
        <f>HYPERLINK("http://www.genecards.org/cgi-bin/carddisp.pl?gene=C7orf28A","GeneCards")</f>
        <v>GeneCards</v>
      </c>
      <c r="D3783" s="1" t="str">
        <f>HYPERLINK("http://genome-euro.ucsc.edu/cgi-bin/hgTracks?position=201974_s_at","UCSC")</f>
        <v>UCSC</v>
      </c>
      <c r="E3783" s="1" t="str">
        <f>HYPERLINK("http://www.ncbi.nlm.nih.gov/gene/?term=C7orf28A","NCBI")</f>
        <v>NCBI</v>
      </c>
      <c r="F3783">
        <v>2.5000000000000001E-2</v>
      </c>
      <c r="G3783">
        <v>0.11</v>
      </c>
      <c r="H3783" s="1" t="str">
        <f>HYPERLINK("http://www.weizmann.ac.il/complex/compphys/software/geview/data/figures/201974_s_at.png","Figure")</f>
        <v>Figure</v>
      </c>
      <c r="I3783">
        <v>1.34</v>
      </c>
      <c r="J3783">
        <v>2.5000000000000001E-2</v>
      </c>
      <c r="K3783">
        <v>1.07</v>
      </c>
      <c r="L3783">
        <v>0.71</v>
      </c>
      <c r="M3783">
        <v>0.79900000000000004</v>
      </c>
      <c r="N3783">
        <v>6.5000000000000002E-2</v>
      </c>
    </row>
    <row r="3784" spans="1:14" x14ac:dyDescent="0.25">
      <c r="A3784" t="s">
        <v>6918</v>
      </c>
      <c r="B3784" t="s">
        <v>6919</v>
      </c>
      <c r="C3784" s="1" t="str">
        <f>HYPERLINK("http://www.genecards.org/cgi-bin/carddisp.pl?gene=CSF2RB","GeneCards")</f>
        <v>GeneCards</v>
      </c>
      <c r="D3784" s="1" t="str">
        <f>HYPERLINK("http://genome-euro.ucsc.edu/cgi-bin/hgTracks?position=205159_at","UCSC")</f>
        <v>UCSC</v>
      </c>
      <c r="E3784" s="1" t="str">
        <f>HYPERLINK("http://www.ncbi.nlm.nih.gov/gene/?term=CSF2RB","NCBI")</f>
        <v>NCBI</v>
      </c>
      <c r="F3784">
        <v>2.5000000000000001E-2</v>
      </c>
      <c r="G3784">
        <v>0.11</v>
      </c>
      <c r="H3784" s="1" t="str">
        <f>HYPERLINK("http://www.weizmann.ac.il/complex/compphys/software/geview/data/figures/205159_at.png","Figure")</f>
        <v>Figure</v>
      </c>
      <c r="I3784">
        <v>2.0699999999999998</v>
      </c>
      <c r="J3784">
        <v>2.9000000000000001E-2</v>
      </c>
      <c r="K3784">
        <v>1.7</v>
      </c>
      <c r="L3784">
        <v>6.8000000000000005E-2</v>
      </c>
      <c r="M3784">
        <v>0.82399999999999995</v>
      </c>
      <c r="N3784">
        <v>0.69</v>
      </c>
    </row>
    <row r="3785" spans="1:14" x14ac:dyDescent="0.25">
      <c r="A3785" t="s">
        <v>6920</v>
      </c>
      <c r="B3785" t="s">
        <v>1389</v>
      </c>
      <c r="C3785" s="1" t="str">
        <f>HYPERLINK("http://www.genecards.org/cgi-bin/carddisp.pl?gene=TNPO3","GeneCards")</f>
        <v>GeneCards</v>
      </c>
      <c r="D3785" s="1" t="str">
        <f>HYPERLINK("http://genome-euro.ucsc.edu/cgi-bin/hgTracks?position=212317_at","UCSC")</f>
        <v>UCSC</v>
      </c>
      <c r="E3785" s="1" t="str">
        <f>HYPERLINK("http://www.ncbi.nlm.nih.gov/gene/?term=TNPO3","NCBI")</f>
        <v>NCBI</v>
      </c>
      <c r="F3785">
        <v>2.5000000000000001E-2</v>
      </c>
      <c r="G3785">
        <v>0.11</v>
      </c>
      <c r="H3785" s="1" t="str">
        <f>HYPERLINK("http://www.weizmann.ac.il/complex/compphys/software/geview/data/figures/212317_at.png","Figure")</f>
        <v>Figure</v>
      </c>
      <c r="I3785">
        <v>1.22</v>
      </c>
      <c r="J3785">
        <v>0.02</v>
      </c>
      <c r="K3785">
        <v>1.1100000000000001</v>
      </c>
      <c r="L3785">
        <v>0.2</v>
      </c>
      <c r="M3785">
        <v>0.90700000000000003</v>
      </c>
      <c r="N3785">
        <v>0.26</v>
      </c>
    </row>
    <row r="3786" spans="1:14" x14ac:dyDescent="0.25">
      <c r="A3786" t="s">
        <v>6921</v>
      </c>
      <c r="B3786" t="s">
        <v>6595</v>
      </c>
      <c r="C3786" s="1" t="str">
        <f>HYPERLINK("http://www.genecards.org/cgi-bin/carddisp.pl?gene=BAZ1A","GeneCards")</f>
        <v>GeneCards</v>
      </c>
      <c r="D3786" s="1" t="str">
        <f>HYPERLINK("http://genome-euro.ucsc.edu/cgi-bin/hgTracks?position=217986_s_at","UCSC")</f>
        <v>UCSC</v>
      </c>
      <c r="E3786" s="1" t="str">
        <f>HYPERLINK("http://www.ncbi.nlm.nih.gov/gene/?term=BAZ1A","NCBI")</f>
        <v>NCBI</v>
      </c>
      <c r="F3786">
        <v>2.5000000000000001E-2</v>
      </c>
      <c r="G3786">
        <v>0.11</v>
      </c>
      <c r="H3786" s="1" t="str">
        <f>HYPERLINK("http://www.weizmann.ac.il/complex/compphys/software/geview/data/figures/217986_s_at.png","Figure")</f>
        <v>Figure</v>
      </c>
      <c r="I3786">
        <v>0.58799999999999997</v>
      </c>
      <c r="J3786">
        <v>0.32</v>
      </c>
      <c r="K3786">
        <v>1.63</v>
      </c>
      <c r="L3786">
        <v>0.28000000000000003</v>
      </c>
      <c r="M3786">
        <v>2.78</v>
      </c>
      <c r="N3786">
        <v>2.1000000000000001E-2</v>
      </c>
    </row>
    <row r="3787" spans="1:14" x14ac:dyDescent="0.25">
      <c r="A3787" t="s">
        <v>6922</v>
      </c>
      <c r="B3787" t="s">
        <v>6869</v>
      </c>
      <c r="C3787" s="1" t="str">
        <f>HYPERLINK("http://www.genecards.org/cgi-bin/carddisp.pl?gene=EIF5","GeneCards")</f>
        <v>GeneCards</v>
      </c>
      <c r="D3787" s="1" t="str">
        <f>HYPERLINK("http://genome-euro.ucsc.edu/cgi-bin/hgTracks?position=208706_s_at","UCSC")</f>
        <v>UCSC</v>
      </c>
      <c r="E3787" s="1" t="str">
        <f>HYPERLINK("http://www.ncbi.nlm.nih.gov/gene/?term=EIF5","NCBI")</f>
        <v>NCBI</v>
      </c>
      <c r="F3787">
        <v>2.5000000000000001E-2</v>
      </c>
      <c r="G3787">
        <v>0.11</v>
      </c>
      <c r="H3787" s="1" t="str">
        <f>HYPERLINK("http://www.weizmann.ac.il/complex/compphys/software/geview/data/figures/208706_s_at.png","Figure")</f>
        <v>Figure</v>
      </c>
      <c r="I3787">
        <v>0.53900000000000003</v>
      </c>
      <c r="J3787">
        <v>4.7E-2</v>
      </c>
      <c r="K3787">
        <v>0.57199999999999995</v>
      </c>
      <c r="L3787">
        <v>3.9E-2</v>
      </c>
      <c r="M3787">
        <v>1.06</v>
      </c>
      <c r="N3787">
        <v>0.96</v>
      </c>
    </row>
    <row r="3788" spans="1:14" x14ac:dyDescent="0.25">
      <c r="A3788" t="s">
        <v>6923</v>
      </c>
      <c r="B3788" t="s">
        <v>6924</v>
      </c>
      <c r="C3788" s="1" t="str">
        <f>HYPERLINK("http://www.genecards.org/cgi-bin/carddisp.pl?gene=DGCR11","GeneCards")</f>
        <v>GeneCards</v>
      </c>
      <c r="D3788" s="1" t="str">
        <f>HYPERLINK("http://genome-euro.ucsc.edu/cgi-bin/hgTracks?position=215725_at","UCSC")</f>
        <v>UCSC</v>
      </c>
      <c r="E3788" s="1" t="str">
        <f>HYPERLINK("http://www.ncbi.nlm.nih.gov/gene/?term=DGCR11","NCBI")</f>
        <v>NCBI</v>
      </c>
      <c r="F3788">
        <v>2.5000000000000001E-2</v>
      </c>
      <c r="G3788">
        <v>0.11</v>
      </c>
      <c r="H3788" s="1" t="str">
        <f>HYPERLINK("http://www.weizmann.ac.il/complex/compphys/software/geview/data/figures/215725_at.png","Figure")</f>
        <v>Figure</v>
      </c>
      <c r="I3788">
        <v>1.39</v>
      </c>
      <c r="J3788">
        <v>2.1999999999999999E-2</v>
      </c>
      <c r="K3788">
        <v>1.1100000000000001</v>
      </c>
      <c r="L3788">
        <v>0.51</v>
      </c>
      <c r="M3788">
        <v>0.79800000000000004</v>
      </c>
      <c r="N3788">
        <v>9.9000000000000005E-2</v>
      </c>
    </row>
    <row r="3789" spans="1:14" x14ac:dyDescent="0.25">
      <c r="A3789" t="s">
        <v>6925</v>
      </c>
      <c r="B3789" t="s">
        <v>6926</v>
      </c>
      <c r="C3789" s="1" t="str">
        <f>HYPERLINK("http://www.genecards.org/cgi-bin/carddisp.pl?gene=NDRG2","GeneCards")</f>
        <v>GeneCards</v>
      </c>
      <c r="D3789" s="1" t="str">
        <f>HYPERLINK("http://genome-euro.ucsc.edu/cgi-bin/hgTracks?position=214279_s_at","UCSC")</f>
        <v>UCSC</v>
      </c>
      <c r="E3789" s="1" t="str">
        <f>HYPERLINK("http://www.ncbi.nlm.nih.gov/gene/?term=NDRG2","NCBI")</f>
        <v>NCBI</v>
      </c>
      <c r="F3789">
        <v>2.5000000000000001E-2</v>
      </c>
      <c r="G3789">
        <v>0.11</v>
      </c>
      <c r="H3789" s="1" t="str">
        <f>HYPERLINK("http://www.weizmann.ac.il/complex/compphys/software/geview/data/figures/214279_s_at.png","Figure")</f>
        <v>Figure</v>
      </c>
      <c r="I3789">
        <v>1.27</v>
      </c>
      <c r="J3789">
        <v>0.02</v>
      </c>
      <c r="K3789">
        <v>1.0900000000000001</v>
      </c>
      <c r="L3789">
        <v>0.41</v>
      </c>
      <c r="M3789">
        <v>0.86</v>
      </c>
      <c r="N3789">
        <v>0.13</v>
      </c>
    </row>
    <row r="3790" spans="1:14" x14ac:dyDescent="0.25">
      <c r="A3790" t="s">
        <v>6927</v>
      </c>
      <c r="B3790" t="s">
        <v>6928</v>
      </c>
      <c r="C3790" s="1" t="str">
        <f>HYPERLINK("http://www.genecards.org/cgi-bin/carddisp.pl?gene=LMNB2","GeneCards")</f>
        <v>GeneCards</v>
      </c>
      <c r="D3790" s="1" t="str">
        <f>HYPERLINK("http://genome-euro.ucsc.edu/cgi-bin/hgTracks?position=216952_s_at","UCSC")</f>
        <v>UCSC</v>
      </c>
      <c r="E3790" s="1" t="str">
        <f>HYPERLINK("http://www.ncbi.nlm.nih.gov/gene/?term=LMNB2","NCBI")</f>
        <v>NCBI</v>
      </c>
      <c r="F3790">
        <v>2.5000000000000001E-2</v>
      </c>
      <c r="G3790">
        <v>0.11</v>
      </c>
      <c r="H3790" s="1" t="str">
        <f>HYPERLINK("http://www.weizmann.ac.il/complex/compphys/software/geview/data/figures/216952_s_at.png","Figure")</f>
        <v>Figure</v>
      </c>
      <c r="I3790">
        <v>1.31</v>
      </c>
      <c r="J3790">
        <v>0.2</v>
      </c>
      <c r="K3790">
        <v>1.49</v>
      </c>
      <c r="L3790">
        <v>0.02</v>
      </c>
      <c r="M3790">
        <v>1.1399999999999999</v>
      </c>
      <c r="N3790">
        <v>0.6</v>
      </c>
    </row>
    <row r="3791" spans="1:14" x14ac:dyDescent="0.25">
      <c r="A3791" t="s">
        <v>6929</v>
      </c>
      <c r="B3791" t="s">
        <v>6930</v>
      </c>
      <c r="C3791" s="1" t="str">
        <f>HYPERLINK("http://www.genecards.org/cgi-bin/carddisp.pl?gene=OGDH","GeneCards")</f>
        <v>GeneCards</v>
      </c>
      <c r="D3791" s="1" t="str">
        <f>HYPERLINK("http://genome-euro.ucsc.edu/cgi-bin/hgTracks?position=201282_at","UCSC")</f>
        <v>UCSC</v>
      </c>
      <c r="E3791" s="1" t="str">
        <f>HYPERLINK("http://www.ncbi.nlm.nih.gov/gene/?term=OGDH","NCBI")</f>
        <v>NCBI</v>
      </c>
      <c r="F3791">
        <v>2.5999999999999999E-2</v>
      </c>
      <c r="G3791">
        <v>0.11</v>
      </c>
      <c r="H3791" s="1" t="str">
        <f>HYPERLINK("http://www.weizmann.ac.il/complex/compphys/software/geview/data/figures/201282_at.png","Figure")</f>
        <v>Figure</v>
      </c>
      <c r="I3791">
        <v>0.83399999999999996</v>
      </c>
      <c r="J3791">
        <v>7.0000000000000007E-2</v>
      </c>
      <c r="K3791">
        <v>1.03</v>
      </c>
      <c r="L3791">
        <v>0.9</v>
      </c>
      <c r="M3791">
        <v>1.23</v>
      </c>
      <c r="N3791">
        <v>2.4E-2</v>
      </c>
    </row>
    <row r="3792" spans="1:14" x14ac:dyDescent="0.25">
      <c r="A3792" t="s">
        <v>6931</v>
      </c>
      <c r="B3792" t="s">
        <v>6932</v>
      </c>
      <c r="C3792" s="1" t="str">
        <f>HYPERLINK("http://www.genecards.org/cgi-bin/carddisp.pl?gene=LMBR1L","GeneCards")</f>
        <v>GeneCards</v>
      </c>
      <c r="D3792" s="1" t="str">
        <f>HYPERLINK("http://genome-euro.ucsc.edu/cgi-bin/hgTracks?position=220036_s_at","UCSC")</f>
        <v>UCSC</v>
      </c>
      <c r="E3792" s="1" t="str">
        <f>HYPERLINK("http://www.ncbi.nlm.nih.gov/gene/?term=LMBR1L","NCBI")</f>
        <v>NCBI</v>
      </c>
      <c r="F3792">
        <v>2.5999999999999999E-2</v>
      </c>
      <c r="G3792">
        <v>0.11</v>
      </c>
      <c r="H3792" s="1" t="str">
        <f>HYPERLINK("http://www.weizmann.ac.il/complex/compphys/software/geview/data/figures/220036_s_at.png","Figure")</f>
        <v>Figure</v>
      </c>
      <c r="I3792">
        <v>1.03</v>
      </c>
      <c r="J3792">
        <v>0.98</v>
      </c>
      <c r="K3792">
        <v>0.69099999999999995</v>
      </c>
      <c r="L3792">
        <v>5.2999999999999999E-2</v>
      </c>
      <c r="M3792">
        <v>0.67100000000000004</v>
      </c>
      <c r="N3792">
        <v>5.0999999999999997E-2</v>
      </c>
    </row>
    <row r="3793" spans="1:14" x14ac:dyDescent="0.25">
      <c r="A3793" t="s">
        <v>6933</v>
      </c>
      <c r="B3793" t="s">
        <v>6214</v>
      </c>
      <c r="C3793" s="1" t="str">
        <f>HYPERLINK("http://www.genecards.org/cgi-bin/carddisp.pl?gene=IGF2BP3","GeneCards")</f>
        <v>GeneCards</v>
      </c>
      <c r="D3793" s="1" t="str">
        <f>HYPERLINK("http://genome-euro.ucsc.edu/cgi-bin/hgTracks?position=203820_s_at","UCSC")</f>
        <v>UCSC</v>
      </c>
      <c r="E3793" s="1" t="str">
        <f>HYPERLINK("http://www.ncbi.nlm.nih.gov/gene/?term=IGF2BP3","NCBI")</f>
        <v>NCBI</v>
      </c>
      <c r="F3793">
        <v>2.5999999999999999E-2</v>
      </c>
      <c r="G3793">
        <v>0.11</v>
      </c>
      <c r="H3793" s="1" t="str">
        <f>HYPERLINK("http://www.weizmann.ac.il/complex/compphys/software/geview/data/figures/203820_s_at.png","Figure")</f>
        <v>Figure</v>
      </c>
      <c r="I3793">
        <v>0.36899999999999999</v>
      </c>
      <c r="J3793">
        <v>3.6999999999999998E-2</v>
      </c>
      <c r="K3793">
        <v>0.439</v>
      </c>
      <c r="L3793">
        <v>4.9000000000000002E-2</v>
      </c>
      <c r="M3793">
        <v>1.19</v>
      </c>
      <c r="N3793">
        <v>0.86</v>
      </c>
    </row>
    <row r="3794" spans="1:14" x14ac:dyDescent="0.25">
      <c r="A3794" t="s">
        <v>6934</v>
      </c>
      <c r="B3794" t="s">
        <v>685</v>
      </c>
      <c r="C3794" s="1" t="str">
        <f>HYPERLINK("http://www.genecards.org/cgi-bin/carddisp.pl?gene=NOTCH3","GeneCards")</f>
        <v>GeneCards</v>
      </c>
      <c r="D3794" s="1" t="str">
        <f>HYPERLINK("http://genome-euro.ucsc.edu/cgi-bin/hgTracks?position=203237_s_at","UCSC")</f>
        <v>UCSC</v>
      </c>
      <c r="E3794" s="1" t="str">
        <f>HYPERLINK("http://www.ncbi.nlm.nih.gov/gene/?term=NOTCH3","NCBI")</f>
        <v>NCBI</v>
      </c>
      <c r="F3794">
        <v>2.5999999999999999E-2</v>
      </c>
      <c r="G3794">
        <v>0.11</v>
      </c>
      <c r="H3794" s="1" t="str">
        <f>HYPERLINK("http://www.weizmann.ac.il/complex/compphys/software/geview/data/figures/203237_s_at.png","Figure")</f>
        <v>Figure</v>
      </c>
      <c r="I3794">
        <v>1.43</v>
      </c>
      <c r="J3794">
        <v>0.02</v>
      </c>
      <c r="K3794">
        <v>1.1499999999999999</v>
      </c>
      <c r="L3794">
        <v>0.35</v>
      </c>
      <c r="M3794">
        <v>0.80800000000000005</v>
      </c>
      <c r="N3794">
        <v>0.15</v>
      </c>
    </row>
    <row r="3795" spans="1:14" x14ac:dyDescent="0.25">
      <c r="A3795" t="s">
        <v>6935</v>
      </c>
      <c r="B3795" t="s">
        <v>6936</v>
      </c>
      <c r="C3795" s="1" t="str">
        <f>HYPERLINK("http://www.genecards.org/cgi-bin/carddisp.pl?gene=COL11A2","GeneCards")</f>
        <v>GeneCards</v>
      </c>
      <c r="D3795" s="1" t="str">
        <f>HYPERLINK("http://genome-euro.ucsc.edu/cgi-bin/hgTracks?position=216993_s_at","UCSC")</f>
        <v>UCSC</v>
      </c>
      <c r="E3795" s="1" t="str">
        <f>HYPERLINK("http://www.ncbi.nlm.nih.gov/gene/?term=COL11A2","NCBI")</f>
        <v>NCBI</v>
      </c>
      <c r="F3795">
        <v>2.5999999999999999E-2</v>
      </c>
      <c r="G3795">
        <v>0.11</v>
      </c>
      <c r="H3795" s="1" t="str">
        <f>HYPERLINK("http://www.weizmann.ac.il/complex/compphys/software/geview/data/figures/216993_s_at.png","Figure")</f>
        <v>Figure</v>
      </c>
      <c r="I3795">
        <v>1.32</v>
      </c>
      <c r="J3795">
        <v>0.02</v>
      </c>
      <c r="K3795">
        <v>1.1399999999999999</v>
      </c>
      <c r="L3795">
        <v>0.26</v>
      </c>
      <c r="M3795">
        <v>0.86</v>
      </c>
      <c r="N3795">
        <v>0.2</v>
      </c>
    </row>
    <row r="3796" spans="1:14" x14ac:dyDescent="0.25">
      <c r="A3796" t="s">
        <v>6937</v>
      </c>
      <c r="B3796" t="s">
        <v>6938</v>
      </c>
      <c r="C3796" s="1" t="str">
        <f>HYPERLINK("http://www.genecards.org/cgi-bin/carddisp.pl?gene=PWP2","GeneCards")</f>
        <v>GeneCards</v>
      </c>
      <c r="D3796" s="1" t="str">
        <f>HYPERLINK("http://genome-euro.ucsc.edu/cgi-bin/hgTracks?position=209336_at","UCSC")</f>
        <v>UCSC</v>
      </c>
      <c r="E3796" s="1" t="str">
        <f>HYPERLINK("http://www.ncbi.nlm.nih.gov/gene/?term=PWP2","NCBI")</f>
        <v>NCBI</v>
      </c>
      <c r="F3796">
        <v>2.5999999999999999E-2</v>
      </c>
      <c r="G3796">
        <v>0.11</v>
      </c>
      <c r="H3796" s="1" t="str">
        <f>HYPERLINK("http://www.weizmann.ac.il/complex/compphys/software/geview/data/figures/209336_at.png","Figure")</f>
        <v>Figure</v>
      </c>
      <c r="I3796">
        <v>0.90500000000000003</v>
      </c>
      <c r="J3796">
        <v>0.73</v>
      </c>
      <c r="K3796">
        <v>1.29</v>
      </c>
      <c r="L3796">
        <v>0.1</v>
      </c>
      <c r="M3796">
        <v>1.42</v>
      </c>
      <c r="N3796">
        <v>3.1E-2</v>
      </c>
    </row>
    <row r="3797" spans="1:14" x14ac:dyDescent="0.25">
      <c r="A3797" t="s">
        <v>6939</v>
      </c>
      <c r="B3797" t="s">
        <v>6940</v>
      </c>
      <c r="C3797" s="1" t="str">
        <f>HYPERLINK("http://www.genecards.org/cgi-bin/carddisp.pl?gene=PLEKHA8 /// PLEKHA9","GeneCards")</f>
        <v>GeneCards</v>
      </c>
      <c r="D3797" s="1" t="str">
        <f>HYPERLINK("http://genome-euro.ucsc.edu/cgi-bin/hgTracks?position=220157_x_at","UCSC")</f>
        <v>UCSC</v>
      </c>
      <c r="E3797" s="1" t="str">
        <f>HYPERLINK("http://www.ncbi.nlm.nih.gov/gene/?term=PLEKHA8 /// PLEKHA9","NCBI")</f>
        <v>NCBI</v>
      </c>
      <c r="F3797">
        <v>2.5999999999999999E-2</v>
      </c>
      <c r="G3797">
        <v>0.11</v>
      </c>
      <c r="H3797" s="1" t="str">
        <f>HYPERLINK("http://www.weizmann.ac.il/complex/compphys/software/geview/data/figures/220157_x_at.png","Figure")</f>
        <v>Figure</v>
      </c>
      <c r="I3797">
        <v>1.23</v>
      </c>
      <c r="J3797">
        <v>0.14000000000000001</v>
      </c>
      <c r="K3797">
        <v>1.3</v>
      </c>
      <c r="L3797">
        <v>2.1999999999999999E-2</v>
      </c>
      <c r="M3797">
        <v>1.06</v>
      </c>
      <c r="N3797">
        <v>0.79</v>
      </c>
    </row>
    <row r="3798" spans="1:14" x14ac:dyDescent="0.25">
      <c r="A3798" t="s">
        <v>6941</v>
      </c>
      <c r="B3798" t="s">
        <v>1566</v>
      </c>
      <c r="C3798" s="1" t="str">
        <f>HYPERLINK("http://www.genecards.org/cgi-bin/carddisp.pl?gene=PPIL2","GeneCards")</f>
        <v>GeneCards</v>
      </c>
      <c r="D3798" s="1" t="str">
        <f>HYPERLINK("http://genome-euro.ucsc.edu/cgi-bin/hgTracks?position=214986_x_at","UCSC")</f>
        <v>UCSC</v>
      </c>
      <c r="E3798" s="1" t="str">
        <f>HYPERLINK("http://www.ncbi.nlm.nih.gov/gene/?term=PPIL2","NCBI")</f>
        <v>NCBI</v>
      </c>
      <c r="F3798">
        <v>2.5999999999999999E-2</v>
      </c>
      <c r="G3798">
        <v>0.11</v>
      </c>
      <c r="H3798" s="1" t="str">
        <f>HYPERLINK("http://www.weizmann.ac.il/complex/compphys/software/geview/data/figures/214986_x_at.png","Figure")</f>
        <v>Figure</v>
      </c>
      <c r="I3798">
        <v>1.46</v>
      </c>
      <c r="J3798">
        <v>0.02</v>
      </c>
      <c r="K3798">
        <v>1.17</v>
      </c>
      <c r="L3798">
        <v>0.31</v>
      </c>
      <c r="M3798">
        <v>0.80600000000000005</v>
      </c>
      <c r="N3798">
        <v>0.17</v>
      </c>
    </row>
    <row r="3799" spans="1:14" x14ac:dyDescent="0.25">
      <c r="A3799" t="s">
        <v>6942</v>
      </c>
      <c r="B3799" t="s">
        <v>6943</v>
      </c>
      <c r="C3799" s="1" t="str">
        <f>HYPERLINK("http://www.genecards.org/cgi-bin/carddisp.pl?gene=GTF2F1","GeneCards")</f>
        <v>GeneCards</v>
      </c>
      <c r="D3799" s="1" t="str">
        <f>HYPERLINK("http://genome-euro.ucsc.edu/cgi-bin/hgTracks?position=202356_s_at","UCSC")</f>
        <v>UCSC</v>
      </c>
      <c r="E3799" s="1" t="str">
        <f>HYPERLINK("http://www.ncbi.nlm.nih.gov/gene/?term=GTF2F1","NCBI")</f>
        <v>NCBI</v>
      </c>
      <c r="F3799">
        <v>2.5999999999999999E-2</v>
      </c>
      <c r="G3799">
        <v>0.11</v>
      </c>
      <c r="H3799" s="1" t="str">
        <f>HYPERLINK("http://www.weizmann.ac.il/complex/compphys/software/geview/data/figures/202356_s_at.png","Figure")</f>
        <v>Figure</v>
      </c>
      <c r="I3799">
        <v>1.21</v>
      </c>
      <c r="J3799">
        <v>0.2</v>
      </c>
      <c r="K3799">
        <v>0.89</v>
      </c>
      <c r="L3799">
        <v>0.43</v>
      </c>
      <c r="M3799">
        <v>0.73699999999999999</v>
      </c>
      <c r="N3799">
        <v>0.02</v>
      </c>
    </row>
    <row r="3800" spans="1:14" x14ac:dyDescent="0.25">
      <c r="A3800" t="s">
        <v>6944</v>
      </c>
      <c r="B3800" t="s">
        <v>1648</v>
      </c>
      <c r="C3800" s="1" t="str">
        <f>HYPERLINK("http://www.genecards.org/cgi-bin/carddisp.pl?gene=TMEM87A","GeneCards")</f>
        <v>GeneCards</v>
      </c>
      <c r="D3800" s="1" t="str">
        <f>HYPERLINK("http://genome-euro.ucsc.edu/cgi-bin/hgTracks?position=212204_at","UCSC")</f>
        <v>UCSC</v>
      </c>
      <c r="E3800" s="1" t="str">
        <f>HYPERLINK("http://www.ncbi.nlm.nih.gov/gene/?term=TMEM87A","NCBI")</f>
        <v>NCBI</v>
      </c>
      <c r="F3800">
        <v>2.5999999999999999E-2</v>
      </c>
      <c r="G3800">
        <v>0.11</v>
      </c>
      <c r="H3800" s="1" t="str">
        <f>HYPERLINK("http://www.weizmann.ac.il/complex/compphys/software/geview/data/figures/212204_at.png","Figure")</f>
        <v>Figure</v>
      </c>
      <c r="I3800">
        <v>1.28</v>
      </c>
      <c r="J3800">
        <v>0.46</v>
      </c>
      <c r="K3800">
        <v>0.72199999999999998</v>
      </c>
      <c r="L3800">
        <v>0.19</v>
      </c>
      <c r="M3800">
        <v>0.56399999999999995</v>
      </c>
      <c r="N3800">
        <v>2.4E-2</v>
      </c>
    </row>
    <row r="3801" spans="1:14" x14ac:dyDescent="0.25">
      <c r="A3801" t="s">
        <v>6945</v>
      </c>
      <c r="B3801" t="s">
        <v>6946</v>
      </c>
      <c r="C3801" s="1" t="str">
        <f>HYPERLINK("http://www.genecards.org/cgi-bin/carddisp.pl?gene=HPX","GeneCards")</f>
        <v>GeneCards</v>
      </c>
      <c r="D3801" s="1" t="str">
        <f>HYPERLINK("http://genome-euro.ucsc.edu/cgi-bin/hgTracks?position=39763_at","UCSC")</f>
        <v>UCSC</v>
      </c>
      <c r="E3801" s="1" t="str">
        <f>HYPERLINK("http://www.ncbi.nlm.nih.gov/gene/?term=HPX","NCBI")</f>
        <v>NCBI</v>
      </c>
      <c r="F3801">
        <v>2.5999999999999999E-2</v>
      </c>
      <c r="G3801">
        <v>0.11</v>
      </c>
      <c r="H3801" s="1" t="str">
        <f>HYPERLINK("http://www.weizmann.ac.il/complex/compphys/software/geview/data/figures/39763_at.png","Figure")</f>
        <v>Figure</v>
      </c>
      <c r="I3801">
        <v>1.29</v>
      </c>
      <c r="J3801">
        <v>2.9000000000000001E-2</v>
      </c>
      <c r="K3801">
        <v>1.04</v>
      </c>
      <c r="L3801">
        <v>0.84</v>
      </c>
      <c r="M3801">
        <v>0.80800000000000005</v>
      </c>
      <c r="N3801">
        <v>5.1999999999999998E-2</v>
      </c>
    </row>
    <row r="3802" spans="1:14" x14ac:dyDescent="0.25">
      <c r="A3802" t="s">
        <v>6947</v>
      </c>
      <c r="B3802" t="s">
        <v>6361</v>
      </c>
      <c r="C3802" s="1" t="str">
        <f>HYPERLINK("http://www.genecards.org/cgi-bin/carddisp.pl?gene=WRAP53","GeneCards")</f>
        <v>GeneCards</v>
      </c>
      <c r="D3802" s="1" t="str">
        <f>HYPERLINK("http://genome-euro.ucsc.edu/cgi-bin/hgTracks?position=44563_at","UCSC")</f>
        <v>UCSC</v>
      </c>
      <c r="E3802" s="1" t="str">
        <f>HYPERLINK("http://www.ncbi.nlm.nih.gov/gene/?term=WRAP53","NCBI")</f>
        <v>NCBI</v>
      </c>
      <c r="F3802">
        <v>2.5999999999999999E-2</v>
      </c>
      <c r="G3802">
        <v>0.11</v>
      </c>
      <c r="H3802" s="1" t="str">
        <f>HYPERLINK("http://www.weizmann.ac.il/complex/compphys/software/geview/data/figures/44563_at.png","Figure")</f>
        <v>Figure</v>
      </c>
      <c r="I3802">
        <v>1.32</v>
      </c>
      <c r="J3802">
        <v>3.2000000000000001E-2</v>
      </c>
      <c r="K3802">
        <v>1.24</v>
      </c>
      <c r="L3802">
        <v>6.2E-2</v>
      </c>
      <c r="M3802">
        <v>0.93700000000000006</v>
      </c>
      <c r="N3802">
        <v>0.75</v>
      </c>
    </row>
    <row r="3803" spans="1:14" x14ac:dyDescent="0.25">
      <c r="A3803" t="s">
        <v>6948</v>
      </c>
      <c r="B3803" t="s">
        <v>6949</v>
      </c>
      <c r="C3803" s="1" t="str">
        <f>HYPERLINK("http://www.genecards.org/cgi-bin/carddisp.pl?gene=ENO1","GeneCards")</f>
        <v>GeneCards</v>
      </c>
      <c r="D3803" s="1" t="str">
        <f>HYPERLINK("http://genome-euro.ucsc.edu/cgi-bin/hgTracks?position=201231_s_at","UCSC")</f>
        <v>UCSC</v>
      </c>
      <c r="E3803" s="1" t="str">
        <f>HYPERLINK("http://www.ncbi.nlm.nih.gov/gene/?term=ENO1","NCBI")</f>
        <v>NCBI</v>
      </c>
      <c r="F3803">
        <v>2.5999999999999999E-2</v>
      </c>
      <c r="G3803">
        <v>0.11</v>
      </c>
      <c r="H3803" s="1" t="str">
        <f>HYPERLINK("http://www.weizmann.ac.il/complex/compphys/software/geview/data/figures/201231_s_at.png","Figure")</f>
        <v>Figure</v>
      </c>
      <c r="I3803">
        <v>1.4</v>
      </c>
      <c r="J3803">
        <v>0.31</v>
      </c>
      <c r="K3803">
        <v>1.81</v>
      </c>
      <c r="L3803">
        <v>0.02</v>
      </c>
      <c r="M3803">
        <v>1.3</v>
      </c>
      <c r="N3803">
        <v>0.43</v>
      </c>
    </row>
    <row r="3804" spans="1:14" x14ac:dyDescent="0.25">
      <c r="A3804" t="s">
        <v>6950</v>
      </c>
      <c r="B3804" t="s">
        <v>6951</v>
      </c>
      <c r="C3804" s="1" t="str">
        <f>HYPERLINK("http://www.genecards.org/cgi-bin/carddisp.pl?gene=GRSF1","GeneCards")</f>
        <v>GeneCards</v>
      </c>
      <c r="D3804" s="1" t="str">
        <f>HYPERLINK("http://genome-euro.ucsc.edu/cgi-bin/hgTracks?position=201501_s_at","UCSC")</f>
        <v>UCSC</v>
      </c>
      <c r="E3804" s="1" t="str">
        <f>HYPERLINK("http://www.ncbi.nlm.nih.gov/gene/?term=GRSF1","NCBI")</f>
        <v>NCBI</v>
      </c>
      <c r="F3804">
        <v>2.5999999999999999E-2</v>
      </c>
      <c r="G3804">
        <v>0.11</v>
      </c>
      <c r="H3804" s="1" t="str">
        <f>HYPERLINK("http://www.weizmann.ac.il/complex/compphys/software/geview/data/figures/201501_s_at.png","Figure")</f>
        <v>Figure</v>
      </c>
      <c r="I3804">
        <v>0.52200000000000002</v>
      </c>
      <c r="J3804">
        <v>4.7E-2</v>
      </c>
      <c r="K3804">
        <v>1.01</v>
      </c>
      <c r="L3804">
        <v>1</v>
      </c>
      <c r="M3804">
        <v>1.93</v>
      </c>
      <c r="N3804">
        <v>3.1E-2</v>
      </c>
    </row>
    <row r="3805" spans="1:14" x14ac:dyDescent="0.25">
      <c r="A3805" t="s">
        <v>6952</v>
      </c>
      <c r="B3805" t="s">
        <v>6953</v>
      </c>
      <c r="C3805" s="1" t="str">
        <f>HYPERLINK("http://www.genecards.org/cgi-bin/carddisp.pl?gene=CPT1A","GeneCards")</f>
        <v>GeneCards</v>
      </c>
      <c r="D3805" s="1" t="str">
        <f>HYPERLINK("http://genome-euro.ucsc.edu/cgi-bin/hgTracks?position=203633_at","UCSC")</f>
        <v>UCSC</v>
      </c>
      <c r="E3805" s="1" t="str">
        <f>HYPERLINK("http://www.ncbi.nlm.nih.gov/gene/?term=CPT1A","NCBI")</f>
        <v>NCBI</v>
      </c>
      <c r="F3805">
        <v>2.5999999999999999E-2</v>
      </c>
      <c r="G3805">
        <v>0.11</v>
      </c>
      <c r="H3805" s="1" t="str">
        <f>HYPERLINK("http://www.weizmann.ac.il/complex/compphys/software/geview/data/figures/203633_at.png","Figure")</f>
        <v>Figure</v>
      </c>
      <c r="I3805">
        <v>1.7</v>
      </c>
      <c r="J3805">
        <v>3.3000000000000002E-2</v>
      </c>
      <c r="K3805">
        <v>1.51</v>
      </c>
      <c r="L3805">
        <v>5.8000000000000003E-2</v>
      </c>
      <c r="M3805">
        <v>0.88900000000000001</v>
      </c>
      <c r="N3805">
        <v>0.78</v>
      </c>
    </row>
    <row r="3806" spans="1:14" x14ac:dyDescent="0.25">
      <c r="A3806" t="s">
        <v>6954</v>
      </c>
      <c r="B3806" t="s">
        <v>6955</v>
      </c>
      <c r="C3806" s="1" t="str">
        <f>HYPERLINK("http://www.genecards.org/cgi-bin/carddisp.pl?gene=UTRN","GeneCards")</f>
        <v>GeneCards</v>
      </c>
      <c r="D3806" s="1" t="str">
        <f>HYPERLINK("http://genome-euro.ucsc.edu/cgi-bin/hgTracks?position=213022_s_at","UCSC")</f>
        <v>UCSC</v>
      </c>
      <c r="E3806" s="1" t="str">
        <f>HYPERLINK("http://www.ncbi.nlm.nih.gov/gene/?term=UTRN","NCBI")</f>
        <v>NCBI</v>
      </c>
      <c r="F3806">
        <v>2.5999999999999999E-2</v>
      </c>
      <c r="G3806">
        <v>0.11</v>
      </c>
      <c r="H3806" s="1" t="str">
        <f>HYPERLINK("http://www.weizmann.ac.il/complex/compphys/software/geview/data/figures/213022_s_at.png","Figure")</f>
        <v>Figure</v>
      </c>
      <c r="I3806">
        <v>0.70699999999999996</v>
      </c>
      <c r="J3806">
        <v>0.02</v>
      </c>
      <c r="K3806">
        <v>0.86099999999999999</v>
      </c>
      <c r="L3806">
        <v>0.3</v>
      </c>
      <c r="M3806">
        <v>1.22</v>
      </c>
      <c r="N3806">
        <v>0.18</v>
      </c>
    </row>
    <row r="3807" spans="1:14" x14ac:dyDescent="0.25">
      <c r="A3807" t="s">
        <v>6956</v>
      </c>
      <c r="B3807" t="s">
        <v>4419</v>
      </c>
      <c r="C3807" s="1" t="str">
        <f>HYPERLINK("http://www.genecards.org/cgi-bin/carddisp.pl?gene=SFRS11","GeneCards")</f>
        <v>GeneCards</v>
      </c>
      <c r="D3807" s="1" t="str">
        <f>HYPERLINK("http://genome-euro.ucsc.edu/cgi-bin/hgTracks?position=213742_at","UCSC")</f>
        <v>UCSC</v>
      </c>
      <c r="E3807" s="1" t="str">
        <f>HYPERLINK("http://www.ncbi.nlm.nih.gov/gene/?term=SFRS11","NCBI")</f>
        <v>NCBI</v>
      </c>
      <c r="F3807">
        <v>2.5999999999999999E-2</v>
      </c>
      <c r="G3807">
        <v>0.11</v>
      </c>
      <c r="H3807" s="1" t="str">
        <f>HYPERLINK("http://www.weizmann.ac.il/complex/compphys/software/geview/data/figures/213742_at.png","Figure")</f>
        <v>Figure</v>
      </c>
      <c r="I3807">
        <v>1.34</v>
      </c>
      <c r="J3807">
        <v>0.63</v>
      </c>
      <c r="K3807">
        <v>0.56299999999999994</v>
      </c>
      <c r="L3807">
        <v>0.13</v>
      </c>
      <c r="M3807">
        <v>0.42</v>
      </c>
      <c r="N3807">
        <v>2.8000000000000001E-2</v>
      </c>
    </row>
    <row r="3808" spans="1:14" x14ac:dyDescent="0.25">
      <c r="A3808" t="s">
        <v>6957</v>
      </c>
      <c r="B3808" t="s">
        <v>3632</v>
      </c>
      <c r="C3808" s="1" t="str">
        <f>HYPERLINK("http://www.genecards.org/cgi-bin/carddisp.pl?gene=EMX1","GeneCards")</f>
        <v>GeneCards</v>
      </c>
      <c r="D3808" s="1" t="str">
        <f>HYPERLINK("http://genome-euro.ucsc.edu/cgi-bin/hgTracks?position=215264_at","UCSC")</f>
        <v>UCSC</v>
      </c>
      <c r="E3808" s="1" t="str">
        <f>HYPERLINK("http://www.ncbi.nlm.nih.gov/gene/?term=EMX1","NCBI")</f>
        <v>NCBI</v>
      </c>
      <c r="F3808">
        <v>2.5999999999999999E-2</v>
      </c>
      <c r="G3808">
        <v>0.11</v>
      </c>
      <c r="H3808" s="1" t="str">
        <f>HYPERLINK("http://www.weizmann.ac.il/complex/compphys/software/geview/data/figures/215264_at.png","Figure")</f>
        <v>Figure</v>
      </c>
      <c r="I3808">
        <v>1.24</v>
      </c>
      <c r="J3808">
        <v>2.1000000000000001E-2</v>
      </c>
      <c r="K3808">
        <v>1.08</v>
      </c>
      <c r="L3808">
        <v>0.41</v>
      </c>
      <c r="M3808">
        <v>0.874</v>
      </c>
      <c r="N3808">
        <v>0.13</v>
      </c>
    </row>
    <row r="3809" spans="1:14" x14ac:dyDescent="0.25">
      <c r="A3809" t="s">
        <v>6958</v>
      </c>
      <c r="B3809" t="s">
        <v>6959</v>
      </c>
      <c r="C3809" s="1" t="str">
        <f>HYPERLINK("http://www.genecards.org/cgi-bin/carddisp.pl?gene=HRASLS2","GeneCards")</f>
        <v>GeneCards</v>
      </c>
      <c r="D3809" s="1" t="str">
        <f>HYPERLINK("http://genome-euro.ucsc.edu/cgi-bin/hgTracks?position=216760_at","UCSC")</f>
        <v>UCSC</v>
      </c>
      <c r="E3809" s="1" t="str">
        <f>HYPERLINK("http://www.ncbi.nlm.nih.gov/gene/?term=HRASLS2","NCBI")</f>
        <v>NCBI</v>
      </c>
      <c r="F3809">
        <v>2.5999999999999999E-2</v>
      </c>
      <c r="G3809">
        <v>0.11</v>
      </c>
      <c r="H3809" s="1" t="str">
        <f>HYPERLINK("http://www.weizmann.ac.il/complex/compphys/software/geview/data/figures/216760_at.png","Figure")</f>
        <v>Figure</v>
      </c>
      <c r="I3809">
        <v>1.3</v>
      </c>
      <c r="J3809">
        <v>2.3E-2</v>
      </c>
      <c r="K3809">
        <v>1.07</v>
      </c>
      <c r="L3809">
        <v>0.62</v>
      </c>
      <c r="M3809">
        <v>0.82799999999999996</v>
      </c>
      <c r="N3809">
        <v>7.9000000000000001E-2</v>
      </c>
    </row>
    <row r="3810" spans="1:14" x14ac:dyDescent="0.25">
      <c r="A3810" t="s">
        <v>6960</v>
      </c>
      <c r="B3810" t="s">
        <v>6961</v>
      </c>
      <c r="C3810" s="1" t="str">
        <f>HYPERLINK("http://www.genecards.org/cgi-bin/carddisp.pl?gene=EGR4","GeneCards")</f>
        <v>GeneCards</v>
      </c>
      <c r="D3810" s="1" t="str">
        <f>HYPERLINK("http://genome-euro.ucsc.edu/cgi-bin/hgTracks?position=207767_s_at","UCSC")</f>
        <v>UCSC</v>
      </c>
      <c r="E3810" s="1" t="str">
        <f>HYPERLINK("http://www.ncbi.nlm.nih.gov/gene/?term=EGR4","NCBI")</f>
        <v>NCBI</v>
      </c>
      <c r="F3810">
        <v>2.5999999999999999E-2</v>
      </c>
      <c r="G3810">
        <v>0.12</v>
      </c>
      <c r="H3810" s="1" t="str">
        <f>HYPERLINK("http://www.weizmann.ac.il/complex/compphys/software/geview/data/figures/207767_s_at.png","Figure")</f>
        <v>Figure</v>
      </c>
      <c r="I3810">
        <v>1.31</v>
      </c>
      <c r="J3810">
        <v>3.4000000000000002E-2</v>
      </c>
      <c r="K3810">
        <v>1.24</v>
      </c>
      <c r="L3810">
        <v>5.7000000000000002E-2</v>
      </c>
      <c r="M3810">
        <v>0.94399999999999995</v>
      </c>
      <c r="N3810">
        <v>0.79</v>
      </c>
    </row>
    <row r="3811" spans="1:14" x14ac:dyDescent="0.25">
      <c r="A3811" t="s">
        <v>6962</v>
      </c>
      <c r="B3811" t="s">
        <v>6963</v>
      </c>
      <c r="C3811" s="1" t="str">
        <f>HYPERLINK("http://www.genecards.org/cgi-bin/carddisp.pl?gene=FOXO3 /// FOXO3B","GeneCards")</f>
        <v>GeneCards</v>
      </c>
      <c r="D3811" s="1" t="str">
        <f>HYPERLINK("http://genome-euro.ucsc.edu/cgi-bin/hgTracks?position=204132_s_at","UCSC")</f>
        <v>UCSC</v>
      </c>
      <c r="E3811" s="1" t="str">
        <f>HYPERLINK("http://www.ncbi.nlm.nih.gov/gene/?term=FOXO3 /// FOXO3B","NCBI")</f>
        <v>NCBI</v>
      </c>
      <c r="F3811">
        <v>2.5999999999999999E-2</v>
      </c>
      <c r="G3811">
        <v>0.12</v>
      </c>
      <c r="H3811" s="1" t="str">
        <f>HYPERLINK("http://www.weizmann.ac.il/complex/compphys/software/geview/data/figures/204132_s_at.png","Figure")</f>
        <v>Figure</v>
      </c>
      <c r="I3811">
        <v>0.67800000000000005</v>
      </c>
      <c r="J3811">
        <v>0.02</v>
      </c>
      <c r="K3811">
        <v>0.82899999999999996</v>
      </c>
      <c r="L3811">
        <v>0.23</v>
      </c>
      <c r="M3811">
        <v>1.22</v>
      </c>
      <c r="N3811">
        <v>0.23</v>
      </c>
    </row>
    <row r="3812" spans="1:14" x14ac:dyDescent="0.25">
      <c r="A3812" t="s">
        <v>6964</v>
      </c>
      <c r="B3812" t="s">
        <v>6965</v>
      </c>
      <c r="C3812" s="1" t="str">
        <f>HYPERLINK("http://www.genecards.org/cgi-bin/carddisp.pl?gene=ZNF236","GeneCards")</f>
        <v>GeneCards</v>
      </c>
      <c r="D3812" s="1" t="str">
        <f>HYPERLINK("http://genome-euro.ucsc.edu/cgi-bin/hgTracks?position=47571_at","UCSC")</f>
        <v>UCSC</v>
      </c>
      <c r="E3812" s="1" t="str">
        <f>HYPERLINK("http://www.ncbi.nlm.nih.gov/gene/?term=ZNF236","NCBI")</f>
        <v>NCBI</v>
      </c>
      <c r="F3812">
        <v>2.5999999999999999E-2</v>
      </c>
      <c r="G3812">
        <v>0.12</v>
      </c>
      <c r="H3812" s="1" t="str">
        <f>HYPERLINK("http://www.weizmann.ac.il/complex/compphys/software/geview/data/figures/47571_at.png","Figure")</f>
        <v>Figure</v>
      </c>
      <c r="I3812">
        <v>1.31</v>
      </c>
      <c r="J3812">
        <v>3.7999999999999999E-2</v>
      </c>
      <c r="K3812">
        <v>1.02</v>
      </c>
      <c r="L3812">
        <v>0.98</v>
      </c>
      <c r="M3812">
        <v>0.77300000000000002</v>
      </c>
      <c r="N3812">
        <v>3.6999999999999998E-2</v>
      </c>
    </row>
    <row r="3813" spans="1:14" x14ac:dyDescent="0.25">
      <c r="A3813" t="s">
        <v>6966</v>
      </c>
      <c r="B3813" t="s">
        <v>6967</v>
      </c>
      <c r="C3813" s="1" t="str">
        <f>HYPERLINK("http://www.genecards.org/cgi-bin/carddisp.pl?gene=RNF122","GeneCards")</f>
        <v>GeneCards</v>
      </c>
      <c r="D3813" s="1" t="str">
        <f>HYPERLINK("http://genome-euro.ucsc.edu/cgi-bin/hgTracks?position=219897_at","UCSC")</f>
        <v>UCSC</v>
      </c>
      <c r="E3813" s="1" t="str">
        <f>HYPERLINK("http://www.ncbi.nlm.nih.gov/gene/?term=RNF122","NCBI")</f>
        <v>NCBI</v>
      </c>
      <c r="F3813">
        <v>2.5999999999999999E-2</v>
      </c>
      <c r="G3813">
        <v>0.12</v>
      </c>
      <c r="H3813" s="1" t="str">
        <f>HYPERLINK("http://www.weizmann.ac.il/complex/compphys/software/geview/data/figures/219897_at.png","Figure")</f>
        <v>Figure</v>
      </c>
      <c r="I3813">
        <v>1.49</v>
      </c>
      <c r="J3813">
        <v>2.7E-2</v>
      </c>
      <c r="K3813">
        <v>1.08</v>
      </c>
      <c r="L3813">
        <v>0.78</v>
      </c>
      <c r="M3813">
        <v>0.72699999999999998</v>
      </c>
      <c r="N3813">
        <v>5.8999999999999997E-2</v>
      </c>
    </row>
    <row r="3814" spans="1:14" x14ac:dyDescent="0.25">
      <c r="A3814" t="s">
        <v>6968</v>
      </c>
      <c r="B3814" t="s">
        <v>6969</v>
      </c>
      <c r="C3814" s="1" t="str">
        <f>HYPERLINK("http://www.genecards.org/cgi-bin/carddisp.pl?gene=CPSF4","GeneCards")</f>
        <v>GeneCards</v>
      </c>
      <c r="D3814" s="1" t="str">
        <f>HYPERLINK("http://genome-euro.ucsc.edu/cgi-bin/hgTracks?position=206688_s_at","UCSC")</f>
        <v>UCSC</v>
      </c>
      <c r="E3814" s="1" t="str">
        <f>HYPERLINK("http://www.ncbi.nlm.nih.gov/gene/?term=CPSF4","NCBI")</f>
        <v>NCBI</v>
      </c>
      <c r="F3814">
        <v>2.5999999999999999E-2</v>
      </c>
      <c r="G3814">
        <v>0.12</v>
      </c>
      <c r="H3814" s="1" t="str">
        <f>HYPERLINK("http://www.weizmann.ac.il/complex/compphys/software/geview/data/figures/206688_s_at.png","Figure")</f>
        <v>Figure</v>
      </c>
      <c r="I3814">
        <v>1.29</v>
      </c>
      <c r="J3814">
        <v>3.3000000000000002E-2</v>
      </c>
      <c r="K3814">
        <v>1.03</v>
      </c>
      <c r="L3814">
        <v>0.93</v>
      </c>
      <c r="M3814">
        <v>0.79600000000000004</v>
      </c>
      <c r="N3814">
        <v>4.2999999999999997E-2</v>
      </c>
    </row>
    <row r="3815" spans="1:14" x14ac:dyDescent="0.25">
      <c r="A3815" t="s">
        <v>6970</v>
      </c>
      <c r="B3815" t="s">
        <v>6971</v>
      </c>
      <c r="C3815" s="1" t="str">
        <f>HYPERLINK("http://www.genecards.org/cgi-bin/carddisp.pl?gene=DNTTIP2","GeneCards")</f>
        <v>GeneCards</v>
      </c>
      <c r="D3815" s="1" t="str">
        <f>HYPERLINK("http://genome-euro.ucsc.edu/cgi-bin/hgTracks?position=202776_at","UCSC")</f>
        <v>UCSC</v>
      </c>
      <c r="E3815" s="1" t="str">
        <f>HYPERLINK("http://www.ncbi.nlm.nih.gov/gene/?term=DNTTIP2","NCBI")</f>
        <v>NCBI</v>
      </c>
      <c r="F3815">
        <v>2.5999999999999999E-2</v>
      </c>
      <c r="G3815">
        <v>0.12</v>
      </c>
      <c r="H3815" s="1" t="str">
        <f>HYPERLINK("http://www.weizmann.ac.il/complex/compphys/software/geview/data/figures/202776_at.png","Figure")</f>
        <v>Figure</v>
      </c>
      <c r="I3815">
        <v>0.84199999999999997</v>
      </c>
      <c r="J3815">
        <v>0.65</v>
      </c>
      <c r="K3815">
        <v>0.60099999999999998</v>
      </c>
      <c r="L3815">
        <v>2.4E-2</v>
      </c>
      <c r="M3815">
        <v>0.71399999999999997</v>
      </c>
      <c r="N3815">
        <v>0.18</v>
      </c>
    </row>
    <row r="3816" spans="1:14" x14ac:dyDescent="0.25">
      <c r="A3816" t="s">
        <v>6972</v>
      </c>
      <c r="B3816" t="s">
        <v>6973</v>
      </c>
      <c r="C3816" s="1" t="str">
        <f>HYPERLINK("http://www.genecards.org/cgi-bin/carddisp.pl?gene=SRD5A2","GeneCards")</f>
        <v>GeneCards</v>
      </c>
      <c r="D3816" s="1" t="str">
        <f>HYPERLINK("http://genome-euro.ucsc.edu/cgi-bin/hgTracks?position=206938_at","UCSC")</f>
        <v>UCSC</v>
      </c>
      <c r="E3816" s="1" t="str">
        <f>HYPERLINK("http://www.ncbi.nlm.nih.gov/gene/?term=SRD5A2","NCBI")</f>
        <v>NCBI</v>
      </c>
      <c r="F3816">
        <v>2.5999999999999999E-2</v>
      </c>
      <c r="G3816">
        <v>0.12</v>
      </c>
      <c r="H3816" s="1" t="str">
        <f>HYPERLINK("http://www.weizmann.ac.il/complex/compphys/software/geview/data/figures/206938_at.png","Figure")</f>
        <v>Figure</v>
      </c>
      <c r="I3816">
        <v>1.39</v>
      </c>
      <c r="J3816">
        <v>2.1999999999999999E-2</v>
      </c>
      <c r="K3816">
        <v>1.1100000000000001</v>
      </c>
      <c r="L3816">
        <v>0.49</v>
      </c>
      <c r="M3816">
        <v>0.80200000000000005</v>
      </c>
      <c r="N3816">
        <v>0.1</v>
      </c>
    </row>
    <row r="3817" spans="1:14" x14ac:dyDescent="0.25">
      <c r="A3817" t="s">
        <v>6974</v>
      </c>
      <c r="B3817" t="s">
        <v>4415</v>
      </c>
      <c r="C3817" s="1" t="str">
        <f>HYPERLINK("http://www.genecards.org/cgi-bin/carddisp.pl?gene=SETD4","GeneCards")</f>
        <v>GeneCards</v>
      </c>
      <c r="D3817" s="1" t="str">
        <f>HYPERLINK("http://genome-euro.ucsc.edu/cgi-bin/hgTracks?position=219482_at","UCSC")</f>
        <v>UCSC</v>
      </c>
      <c r="E3817" s="1" t="str">
        <f>HYPERLINK("http://www.ncbi.nlm.nih.gov/gene/?term=SETD4","NCBI")</f>
        <v>NCBI</v>
      </c>
      <c r="F3817">
        <v>2.5999999999999999E-2</v>
      </c>
      <c r="G3817">
        <v>0.12</v>
      </c>
      <c r="H3817" s="1" t="str">
        <f>HYPERLINK("http://www.weizmann.ac.il/complex/compphys/software/geview/data/figures/219482_at.png","Figure")</f>
        <v>Figure</v>
      </c>
      <c r="I3817">
        <v>0.66</v>
      </c>
      <c r="J3817">
        <v>0.13</v>
      </c>
      <c r="K3817">
        <v>0.58399999999999996</v>
      </c>
      <c r="L3817">
        <v>2.1999999999999999E-2</v>
      </c>
      <c r="M3817">
        <v>0.88500000000000001</v>
      </c>
      <c r="N3817">
        <v>0.79</v>
      </c>
    </row>
    <row r="3818" spans="1:14" x14ac:dyDescent="0.25">
      <c r="A3818" t="s">
        <v>6975</v>
      </c>
      <c r="B3818" t="s">
        <v>6976</v>
      </c>
      <c r="C3818" s="1" t="str">
        <f>HYPERLINK("http://www.genecards.org/cgi-bin/carddisp.pl?gene=PLCB2","GeneCards")</f>
        <v>GeneCards</v>
      </c>
      <c r="D3818" s="1" t="str">
        <f>HYPERLINK("http://genome-euro.ucsc.edu/cgi-bin/hgTracks?position=204046_at","UCSC")</f>
        <v>UCSC</v>
      </c>
      <c r="E3818" s="1" t="str">
        <f>HYPERLINK("http://www.ncbi.nlm.nih.gov/gene/?term=PLCB2","NCBI")</f>
        <v>NCBI</v>
      </c>
      <c r="F3818">
        <v>2.5999999999999999E-2</v>
      </c>
      <c r="G3818">
        <v>0.12</v>
      </c>
      <c r="H3818" s="1" t="str">
        <f>HYPERLINK("http://www.weizmann.ac.il/complex/compphys/software/geview/data/figures/204046_at.png","Figure")</f>
        <v>Figure</v>
      </c>
      <c r="I3818">
        <v>1.38</v>
      </c>
      <c r="J3818">
        <v>2.1000000000000001E-2</v>
      </c>
      <c r="K3818">
        <v>1.19</v>
      </c>
      <c r="L3818">
        <v>0.17</v>
      </c>
      <c r="M3818">
        <v>0.86199999999999999</v>
      </c>
      <c r="N3818">
        <v>0.31</v>
      </c>
    </row>
    <row r="3819" spans="1:14" x14ac:dyDescent="0.25">
      <c r="A3819" t="s">
        <v>6977</v>
      </c>
      <c r="B3819" t="s">
        <v>6978</v>
      </c>
      <c r="C3819" s="1" t="str">
        <f>HYPERLINK("http://www.genecards.org/cgi-bin/carddisp.pl?gene=LYPLA2","GeneCards")</f>
        <v>GeneCards</v>
      </c>
      <c r="D3819" s="1" t="str">
        <f>HYPERLINK("http://genome-euro.ucsc.edu/cgi-bin/hgTracks?position=215566_x_at","UCSC")</f>
        <v>UCSC</v>
      </c>
      <c r="E3819" s="1" t="str">
        <f>HYPERLINK("http://www.ncbi.nlm.nih.gov/gene/?term=LYPLA2","NCBI")</f>
        <v>NCBI</v>
      </c>
      <c r="F3819">
        <v>2.5999999999999999E-2</v>
      </c>
      <c r="G3819">
        <v>0.12</v>
      </c>
      <c r="H3819" s="1" t="str">
        <f>HYPERLINK("http://www.weizmann.ac.il/complex/compphys/software/geview/data/figures/215566_x_at.png","Figure")</f>
        <v>Figure</v>
      </c>
      <c r="I3819">
        <v>1.35</v>
      </c>
      <c r="J3819">
        <v>0.02</v>
      </c>
      <c r="K3819">
        <v>1.1499999999999999</v>
      </c>
      <c r="L3819">
        <v>0.26</v>
      </c>
      <c r="M3819">
        <v>0.85199999999999998</v>
      </c>
      <c r="N3819">
        <v>0.21</v>
      </c>
    </row>
    <row r="3820" spans="1:14" x14ac:dyDescent="0.25">
      <c r="A3820" t="s">
        <v>6979</v>
      </c>
      <c r="B3820" t="s">
        <v>6980</v>
      </c>
      <c r="C3820" s="1" t="str">
        <f>HYPERLINK("http://www.genecards.org/cgi-bin/carddisp.pl?gene=RPL21 /// RPL21P19 /// RPL21P28","GeneCards")</f>
        <v>GeneCards</v>
      </c>
      <c r="D3820" s="1" t="str">
        <f>HYPERLINK("http://genome-euro.ucsc.edu/cgi-bin/hgTracks?position=216479_at","UCSC")</f>
        <v>UCSC</v>
      </c>
      <c r="E3820" s="1" t="str">
        <f>HYPERLINK("http://www.ncbi.nlm.nih.gov/gene/?term=RPL21 /// RPL21P19 /// RPL21P28","NCBI")</f>
        <v>NCBI</v>
      </c>
      <c r="F3820">
        <v>2.5999999999999999E-2</v>
      </c>
      <c r="G3820">
        <v>0.12</v>
      </c>
      <c r="H3820" s="1" t="str">
        <f>HYPERLINK("http://www.weizmann.ac.il/complex/compphys/software/geview/data/figures/216479_at.png","Figure")</f>
        <v>Figure</v>
      </c>
      <c r="I3820">
        <v>1.25</v>
      </c>
      <c r="J3820">
        <v>2.8000000000000001E-2</v>
      </c>
      <c r="K3820">
        <v>1.04</v>
      </c>
      <c r="L3820">
        <v>0.81</v>
      </c>
      <c r="M3820">
        <v>0.83499999999999996</v>
      </c>
      <c r="N3820">
        <v>5.5E-2</v>
      </c>
    </row>
    <row r="3821" spans="1:14" x14ac:dyDescent="0.25">
      <c r="A3821" t="s">
        <v>6981</v>
      </c>
      <c r="B3821" t="s">
        <v>6982</v>
      </c>
      <c r="C3821" s="1" t="str">
        <f>HYPERLINK("http://www.genecards.org/cgi-bin/carddisp.pl?gene=TMEM9B","GeneCards")</f>
        <v>GeneCards</v>
      </c>
      <c r="D3821" s="1" t="str">
        <f>HYPERLINK("http://genome-euro.ucsc.edu/cgi-bin/hgTracks?position=218065_s_at","UCSC")</f>
        <v>UCSC</v>
      </c>
      <c r="E3821" s="1" t="str">
        <f>HYPERLINK("http://www.ncbi.nlm.nih.gov/gene/?term=TMEM9B","NCBI")</f>
        <v>NCBI</v>
      </c>
      <c r="F3821">
        <v>2.5999999999999999E-2</v>
      </c>
      <c r="G3821">
        <v>0.12</v>
      </c>
      <c r="H3821" s="1" t="str">
        <f>HYPERLINK("http://www.weizmann.ac.il/complex/compphys/software/geview/data/figures/218065_s_at.png","Figure")</f>
        <v>Figure</v>
      </c>
      <c r="I3821">
        <v>0.86799999999999999</v>
      </c>
      <c r="J3821">
        <v>0.74</v>
      </c>
      <c r="K3821">
        <v>0.60899999999999999</v>
      </c>
      <c r="L3821">
        <v>2.5999999999999999E-2</v>
      </c>
      <c r="M3821">
        <v>0.70199999999999996</v>
      </c>
      <c r="N3821">
        <v>0.15</v>
      </c>
    </row>
    <row r="3822" spans="1:14" x14ac:dyDescent="0.25">
      <c r="A3822" t="s">
        <v>6983</v>
      </c>
      <c r="B3822" t="s">
        <v>2144</v>
      </c>
      <c r="C3822" s="1" t="str">
        <f>HYPERLINK("http://www.genecards.org/cgi-bin/carddisp.pl?gene=CALM1","GeneCards")</f>
        <v>GeneCards</v>
      </c>
      <c r="D3822" s="1" t="str">
        <f>HYPERLINK("http://genome-euro.ucsc.edu/cgi-bin/hgTracks?position=200655_s_at","UCSC")</f>
        <v>UCSC</v>
      </c>
      <c r="E3822" s="1" t="str">
        <f>HYPERLINK("http://www.ncbi.nlm.nih.gov/gene/?term=CALM1","NCBI")</f>
        <v>NCBI</v>
      </c>
      <c r="F3822">
        <v>2.5999999999999999E-2</v>
      </c>
      <c r="G3822">
        <v>0.12</v>
      </c>
      <c r="H3822" s="1" t="str">
        <f>HYPERLINK("http://www.weizmann.ac.il/complex/compphys/software/geview/data/figures/200655_s_at.png","Figure")</f>
        <v>Figure</v>
      </c>
      <c r="I3822">
        <v>0.70099999999999996</v>
      </c>
      <c r="J3822">
        <v>3.6999999999999998E-2</v>
      </c>
      <c r="K3822">
        <v>0.97499999999999998</v>
      </c>
      <c r="L3822">
        <v>0.97</v>
      </c>
      <c r="M3822">
        <v>1.39</v>
      </c>
      <c r="N3822">
        <v>3.7999999999999999E-2</v>
      </c>
    </row>
    <row r="3823" spans="1:14" x14ac:dyDescent="0.25">
      <c r="A3823" t="s">
        <v>6984</v>
      </c>
      <c r="B3823" t="s">
        <v>6985</v>
      </c>
      <c r="C3823" s="1" t="str">
        <f>HYPERLINK("http://www.genecards.org/cgi-bin/carddisp.pl?gene=DDX1","GeneCards")</f>
        <v>GeneCards</v>
      </c>
      <c r="D3823" s="1" t="str">
        <f>HYPERLINK("http://genome-euro.ucsc.edu/cgi-bin/hgTracks?position=201241_at","UCSC")</f>
        <v>UCSC</v>
      </c>
      <c r="E3823" s="1" t="str">
        <f>HYPERLINK("http://www.ncbi.nlm.nih.gov/gene/?term=DDX1","NCBI")</f>
        <v>NCBI</v>
      </c>
      <c r="F3823">
        <v>2.5999999999999999E-2</v>
      </c>
      <c r="G3823">
        <v>0.12</v>
      </c>
      <c r="H3823" s="1" t="str">
        <f>HYPERLINK("http://www.weizmann.ac.il/complex/compphys/software/geview/data/figures/201241_at.png","Figure")</f>
        <v>Figure</v>
      </c>
      <c r="I3823">
        <v>1.29</v>
      </c>
      <c r="J3823">
        <v>7.8E-2</v>
      </c>
      <c r="K3823">
        <v>1.31</v>
      </c>
      <c r="L3823">
        <v>2.8000000000000001E-2</v>
      </c>
      <c r="M3823">
        <v>1.02</v>
      </c>
      <c r="N3823">
        <v>0.98</v>
      </c>
    </row>
    <row r="3824" spans="1:14" x14ac:dyDescent="0.25">
      <c r="A3824" t="s">
        <v>6986</v>
      </c>
      <c r="B3824" t="s">
        <v>6987</v>
      </c>
      <c r="C3824" s="1" t="str">
        <f>HYPERLINK("http://www.genecards.org/cgi-bin/carddisp.pl?gene=DHX16","GeneCards")</f>
        <v>GeneCards</v>
      </c>
      <c r="D3824" s="1" t="str">
        <f>HYPERLINK("http://genome-euro.ucsc.edu/cgi-bin/hgTracks?position=203694_s_at","UCSC")</f>
        <v>UCSC</v>
      </c>
      <c r="E3824" s="1" t="str">
        <f>HYPERLINK("http://www.ncbi.nlm.nih.gov/gene/?term=DHX16","NCBI")</f>
        <v>NCBI</v>
      </c>
      <c r="F3824">
        <v>2.5999999999999999E-2</v>
      </c>
      <c r="G3824">
        <v>0.12</v>
      </c>
      <c r="H3824" s="1" t="str">
        <f>HYPERLINK("http://www.weizmann.ac.il/complex/compphys/software/geview/data/figures/203694_s_at.png","Figure")</f>
        <v>Figure</v>
      </c>
      <c r="I3824">
        <v>1.04</v>
      </c>
      <c r="J3824">
        <v>0.96</v>
      </c>
      <c r="K3824">
        <v>1.37</v>
      </c>
      <c r="L3824">
        <v>3.5999999999999997E-2</v>
      </c>
      <c r="M3824">
        <v>1.33</v>
      </c>
      <c r="N3824">
        <v>8.4000000000000005E-2</v>
      </c>
    </row>
    <row r="3825" spans="1:14" x14ac:dyDescent="0.25">
      <c r="A3825" t="s">
        <v>6988</v>
      </c>
      <c r="B3825" t="s">
        <v>6989</v>
      </c>
      <c r="C3825" s="1" t="str">
        <f>HYPERLINK("http://www.genecards.org/cgi-bin/carddisp.pl?gene=ATG4B","GeneCards")</f>
        <v>GeneCards</v>
      </c>
      <c r="D3825" s="1" t="str">
        <f>HYPERLINK("http://genome-euro.ucsc.edu/cgi-bin/hgTracks?position=204902_s_at","UCSC")</f>
        <v>UCSC</v>
      </c>
      <c r="E3825" s="1" t="str">
        <f>HYPERLINK("http://www.ncbi.nlm.nih.gov/gene/?term=ATG4B","NCBI")</f>
        <v>NCBI</v>
      </c>
      <c r="F3825">
        <v>2.5999999999999999E-2</v>
      </c>
      <c r="G3825">
        <v>0.12</v>
      </c>
      <c r="H3825" s="1" t="str">
        <f>HYPERLINK("http://www.weizmann.ac.il/complex/compphys/software/geview/data/figures/204902_s_at.png","Figure")</f>
        <v>Figure</v>
      </c>
      <c r="I3825">
        <v>1.28</v>
      </c>
      <c r="J3825">
        <v>3.6999999999999998E-2</v>
      </c>
      <c r="K3825">
        <v>1.22</v>
      </c>
      <c r="L3825">
        <v>5.1999999999999998E-2</v>
      </c>
      <c r="M3825">
        <v>0.95499999999999996</v>
      </c>
      <c r="N3825">
        <v>0.84</v>
      </c>
    </row>
    <row r="3826" spans="1:14" x14ac:dyDescent="0.25">
      <c r="A3826" t="s">
        <v>6990</v>
      </c>
      <c r="B3826" t="s">
        <v>6991</v>
      </c>
      <c r="C3826" s="1" t="str">
        <f>HYPERLINK("http://www.genecards.org/cgi-bin/carddisp.pl?gene=RASGRP2","GeneCards")</f>
        <v>GeneCards</v>
      </c>
      <c r="D3826" s="1" t="str">
        <f>HYPERLINK("http://genome-euro.ucsc.edu/cgi-bin/hgTracks?position=214368_at","UCSC")</f>
        <v>UCSC</v>
      </c>
      <c r="E3826" s="1" t="str">
        <f>HYPERLINK("http://www.ncbi.nlm.nih.gov/gene/?term=RASGRP2","NCBI")</f>
        <v>NCBI</v>
      </c>
      <c r="F3826">
        <v>2.5999999999999999E-2</v>
      </c>
      <c r="G3826">
        <v>0.12</v>
      </c>
      <c r="H3826" s="1" t="str">
        <f>HYPERLINK("http://www.weizmann.ac.il/complex/compphys/software/geview/data/figures/214368_at.png","Figure")</f>
        <v>Figure</v>
      </c>
      <c r="I3826">
        <v>1.59</v>
      </c>
      <c r="J3826">
        <v>3.5000000000000003E-2</v>
      </c>
      <c r="K3826">
        <v>1.45</v>
      </c>
      <c r="L3826">
        <v>5.5E-2</v>
      </c>
      <c r="M3826">
        <v>0.91200000000000003</v>
      </c>
      <c r="N3826">
        <v>0.82</v>
      </c>
    </row>
    <row r="3827" spans="1:14" x14ac:dyDescent="0.25">
      <c r="A3827" t="s">
        <v>6992</v>
      </c>
      <c r="B3827" t="s">
        <v>3589</v>
      </c>
      <c r="C3827" s="1" t="str">
        <f>HYPERLINK("http://www.genecards.org/cgi-bin/carddisp.pl?gene=CCT2","GeneCards")</f>
        <v>GeneCards</v>
      </c>
      <c r="D3827" s="1" t="str">
        <f>HYPERLINK("http://genome-euro.ucsc.edu/cgi-bin/hgTracks?position=201946_s_at","UCSC")</f>
        <v>UCSC</v>
      </c>
      <c r="E3827" s="1" t="str">
        <f>HYPERLINK("http://www.ncbi.nlm.nih.gov/gene/?term=CCT2","NCBI")</f>
        <v>NCBI</v>
      </c>
      <c r="F3827">
        <v>2.5999999999999999E-2</v>
      </c>
      <c r="G3827">
        <v>0.12</v>
      </c>
      <c r="H3827" s="1" t="str">
        <f>HYPERLINK("http://www.weizmann.ac.il/complex/compphys/software/geview/data/figures/201946_s_at.png","Figure")</f>
        <v>Figure</v>
      </c>
      <c r="I3827">
        <v>1.42</v>
      </c>
      <c r="J3827">
        <v>0.06</v>
      </c>
      <c r="K3827">
        <v>1.41</v>
      </c>
      <c r="L3827">
        <v>3.3000000000000002E-2</v>
      </c>
      <c r="M3827">
        <v>0.996</v>
      </c>
      <c r="N3827">
        <v>1</v>
      </c>
    </row>
    <row r="3828" spans="1:14" x14ac:dyDescent="0.25">
      <c r="A3828" t="s">
        <v>6993</v>
      </c>
      <c r="B3828" t="s">
        <v>6994</v>
      </c>
      <c r="C3828" s="1" t="str">
        <f>HYPERLINK("http://www.genecards.org/cgi-bin/carddisp.pl?gene=SLC9A3R1","GeneCards")</f>
        <v>GeneCards</v>
      </c>
      <c r="D3828" s="1" t="str">
        <f>HYPERLINK("http://genome-euro.ucsc.edu/cgi-bin/hgTracks?position=201349_at","UCSC")</f>
        <v>UCSC</v>
      </c>
      <c r="E3828" s="1" t="str">
        <f>HYPERLINK("http://www.ncbi.nlm.nih.gov/gene/?term=SLC9A3R1","NCBI")</f>
        <v>NCBI</v>
      </c>
      <c r="F3828">
        <v>2.5999999999999999E-2</v>
      </c>
      <c r="G3828">
        <v>0.12</v>
      </c>
      <c r="H3828" s="1" t="str">
        <f>HYPERLINK("http://www.weizmann.ac.il/complex/compphys/software/geview/data/figures/201349_at.png","Figure")</f>
        <v>Figure</v>
      </c>
      <c r="I3828">
        <v>0.72799999999999998</v>
      </c>
      <c r="J3828">
        <v>6.3E-2</v>
      </c>
      <c r="K3828">
        <v>1.04</v>
      </c>
      <c r="L3828">
        <v>0.95</v>
      </c>
      <c r="M3828">
        <v>1.42</v>
      </c>
      <c r="N3828">
        <v>2.5999999999999999E-2</v>
      </c>
    </row>
    <row r="3829" spans="1:14" x14ac:dyDescent="0.25">
      <c r="A3829" t="s">
        <v>6995</v>
      </c>
      <c r="B3829" t="s">
        <v>6996</v>
      </c>
      <c r="C3829" s="1" t="str">
        <f>HYPERLINK("http://www.genecards.org/cgi-bin/carddisp.pl?gene=IL13RA1","GeneCards")</f>
        <v>GeneCards</v>
      </c>
      <c r="D3829" s="1" t="str">
        <f>HYPERLINK("http://genome-euro.ucsc.edu/cgi-bin/hgTracks?position=201887_at","UCSC")</f>
        <v>UCSC</v>
      </c>
      <c r="E3829" s="1" t="str">
        <f>HYPERLINK("http://www.ncbi.nlm.nih.gov/gene/?term=IL13RA1","NCBI")</f>
        <v>NCBI</v>
      </c>
      <c r="F3829">
        <v>2.5999999999999999E-2</v>
      </c>
      <c r="G3829">
        <v>0.12</v>
      </c>
      <c r="H3829" s="1" t="str">
        <f>HYPERLINK("http://www.weizmann.ac.il/complex/compphys/software/geview/data/figures/201887_at.png","Figure")</f>
        <v>Figure</v>
      </c>
      <c r="I3829">
        <v>0.38400000000000001</v>
      </c>
      <c r="J3829">
        <v>2.1999999999999999E-2</v>
      </c>
      <c r="K3829">
        <v>0.74199999999999999</v>
      </c>
      <c r="L3829">
        <v>0.53</v>
      </c>
      <c r="M3829">
        <v>1.94</v>
      </c>
      <c r="N3829">
        <v>9.6000000000000002E-2</v>
      </c>
    </row>
    <row r="3830" spans="1:14" x14ac:dyDescent="0.25">
      <c r="A3830" t="s">
        <v>6997</v>
      </c>
      <c r="B3830" t="s">
        <v>6998</v>
      </c>
      <c r="C3830" s="1" t="str">
        <f>HYPERLINK("http://www.genecards.org/cgi-bin/carddisp.pl?gene=SLC6A2","GeneCards")</f>
        <v>GeneCards</v>
      </c>
      <c r="D3830" s="1" t="str">
        <f>HYPERLINK("http://genome-euro.ucsc.edu/cgi-bin/hgTracks?position=216611_s_at","UCSC")</f>
        <v>UCSC</v>
      </c>
      <c r="E3830" s="1" t="str">
        <f>HYPERLINK("http://www.ncbi.nlm.nih.gov/gene/?term=SLC6A2","NCBI")</f>
        <v>NCBI</v>
      </c>
      <c r="F3830">
        <v>2.5999999999999999E-2</v>
      </c>
      <c r="G3830">
        <v>0.12</v>
      </c>
      <c r="H3830" s="1" t="str">
        <f>HYPERLINK("http://www.weizmann.ac.il/complex/compphys/software/geview/data/figures/216611_s_at.png","Figure")</f>
        <v>Figure</v>
      </c>
      <c r="I3830">
        <v>1.5</v>
      </c>
      <c r="J3830">
        <v>0.02</v>
      </c>
      <c r="K3830">
        <v>1.19</v>
      </c>
      <c r="L3830">
        <v>0.28999999999999998</v>
      </c>
      <c r="M3830">
        <v>0.79700000000000004</v>
      </c>
      <c r="N3830">
        <v>0.18</v>
      </c>
    </row>
    <row r="3831" spans="1:14" x14ac:dyDescent="0.25">
      <c r="A3831" t="s">
        <v>6999</v>
      </c>
      <c r="B3831" t="s">
        <v>7000</v>
      </c>
      <c r="C3831" s="1" t="str">
        <f>HYPERLINK("http://www.genecards.org/cgi-bin/carddisp.pl?gene=INPP1","GeneCards")</f>
        <v>GeneCards</v>
      </c>
      <c r="D3831" s="1" t="str">
        <f>HYPERLINK("http://genome-euro.ucsc.edu/cgi-bin/hgTracks?position=202794_at","UCSC")</f>
        <v>UCSC</v>
      </c>
      <c r="E3831" s="1" t="str">
        <f>HYPERLINK("http://www.ncbi.nlm.nih.gov/gene/?term=INPP1","NCBI")</f>
        <v>NCBI</v>
      </c>
      <c r="F3831">
        <v>2.5999999999999999E-2</v>
      </c>
      <c r="G3831">
        <v>0.12</v>
      </c>
      <c r="H3831" s="1" t="str">
        <f>HYPERLINK("http://www.weizmann.ac.il/complex/compphys/software/geview/data/figures/202794_at.png","Figure")</f>
        <v>Figure</v>
      </c>
      <c r="I3831">
        <v>1.56</v>
      </c>
      <c r="J3831">
        <v>3.1E-2</v>
      </c>
      <c r="K3831">
        <v>1.39</v>
      </c>
      <c r="L3831">
        <v>6.8000000000000005E-2</v>
      </c>
      <c r="M3831">
        <v>0.89100000000000001</v>
      </c>
      <c r="N3831">
        <v>0.71</v>
      </c>
    </row>
    <row r="3832" spans="1:14" x14ac:dyDescent="0.25">
      <c r="A3832" t="s">
        <v>7001</v>
      </c>
      <c r="B3832" t="s">
        <v>7002</v>
      </c>
      <c r="C3832" s="1" t="str">
        <f>HYPERLINK("http://www.genecards.org/cgi-bin/carddisp.pl?gene=KIAA0831","GeneCards")</f>
        <v>GeneCards</v>
      </c>
      <c r="D3832" s="1" t="str">
        <f>HYPERLINK("http://genome-euro.ucsc.edu/cgi-bin/hgTracks?position=204568_at","UCSC")</f>
        <v>UCSC</v>
      </c>
      <c r="E3832" s="1" t="str">
        <f>HYPERLINK("http://www.ncbi.nlm.nih.gov/gene/?term=KIAA0831","NCBI")</f>
        <v>NCBI</v>
      </c>
      <c r="F3832">
        <v>2.5999999999999999E-2</v>
      </c>
      <c r="G3832">
        <v>0.12</v>
      </c>
      <c r="H3832" s="1" t="str">
        <f>HYPERLINK("http://www.weizmann.ac.il/complex/compphys/software/geview/data/figures/204568_at.png","Figure")</f>
        <v>Figure</v>
      </c>
      <c r="I3832">
        <v>0.501</v>
      </c>
      <c r="J3832">
        <v>4.2999999999999997E-2</v>
      </c>
      <c r="K3832">
        <v>0.54900000000000004</v>
      </c>
      <c r="L3832">
        <v>4.3999999999999997E-2</v>
      </c>
      <c r="M3832">
        <v>1.1000000000000001</v>
      </c>
      <c r="N3832">
        <v>0.92</v>
      </c>
    </row>
    <row r="3833" spans="1:14" x14ac:dyDescent="0.25">
      <c r="A3833" t="s">
        <v>7003</v>
      </c>
      <c r="B3833" t="s">
        <v>7004</v>
      </c>
      <c r="C3833" s="1" t="str">
        <f>HYPERLINK("http://www.genecards.org/cgi-bin/carddisp.pl?gene=TOP3A","GeneCards")</f>
        <v>GeneCards</v>
      </c>
      <c r="D3833" s="1" t="str">
        <f>HYPERLINK("http://genome-euro.ucsc.edu/cgi-bin/hgTracks?position=214300_s_at","UCSC")</f>
        <v>UCSC</v>
      </c>
      <c r="E3833" s="1" t="str">
        <f>HYPERLINK("http://www.ncbi.nlm.nih.gov/gene/?term=TOP3A","NCBI")</f>
        <v>NCBI</v>
      </c>
      <c r="F3833">
        <v>2.5999999999999999E-2</v>
      </c>
      <c r="G3833">
        <v>0.12</v>
      </c>
      <c r="H3833" s="1" t="str">
        <f>HYPERLINK("http://www.weizmann.ac.il/complex/compphys/software/geview/data/figures/214300_s_at.png","Figure")</f>
        <v>Figure</v>
      </c>
      <c r="I3833">
        <v>1.02</v>
      </c>
      <c r="J3833">
        <v>6.3E-2</v>
      </c>
      <c r="K3833">
        <v>1.02</v>
      </c>
      <c r="L3833">
        <v>3.2000000000000001E-2</v>
      </c>
      <c r="M3833">
        <v>1</v>
      </c>
      <c r="N3833">
        <v>1</v>
      </c>
    </row>
    <row r="3834" spans="1:14" x14ac:dyDescent="0.25">
      <c r="A3834" t="s">
        <v>7005</v>
      </c>
      <c r="B3834" t="s">
        <v>1980</v>
      </c>
      <c r="C3834" s="1" t="str">
        <f>HYPERLINK("http://www.genecards.org/cgi-bin/carddisp.pl?gene=MYST4","GeneCards")</f>
        <v>GeneCards</v>
      </c>
      <c r="D3834" s="1" t="str">
        <f>HYPERLINK("http://genome-euro.ucsc.edu/cgi-bin/hgTracks?position=211874_s_at","UCSC")</f>
        <v>UCSC</v>
      </c>
      <c r="E3834" s="1" t="str">
        <f>HYPERLINK("http://www.ncbi.nlm.nih.gov/gene/?term=MYST4","NCBI")</f>
        <v>NCBI</v>
      </c>
      <c r="F3834">
        <v>2.5999999999999999E-2</v>
      </c>
      <c r="G3834">
        <v>0.12</v>
      </c>
      <c r="H3834" s="1" t="str">
        <f>HYPERLINK("http://www.weizmann.ac.il/complex/compphys/software/geview/data/figures/211874_s_at.png","Figure")</f>
        <v>Figure</v>
      </c>
      <c r="I3834">
        <v>0.80400000000000005</v>
      </c>
      <c r="J3834">
        <v>0.2</v>
      </c>
      <c r="K3834">
        <v>0.72399999999999998</v>
      </c>
      <c r="L3834">
        <v>2.1000000000000001E-2</v>
      </c>
      <c r="M3834">
        <v>0.90100000000000002</v>
      </c>
      <c r="N3834">
        <v>0.62</v>
      </c>
    </row>
    <row r="3835" spans="1:14" x14ac:dyDescent="0.25">
      <c r="A3835" t="s">
        <v>7006</v>
      </c>
      <c r="B3835" t="s">
        <v>5699</v>
      </c>
      <c r="C3835" s="1" t="str">
        <f>HYPERLINK("http://www.genecards.org/cgi-bin/carddisp.pl?gene=DCUN1D4","GeneCards")</f>
        <v>GeneCards</v>
      </c>
      <c r="D3835" s="1" t="str">
        <f>HYPERLINK("http://genome-euro.ucsc.edu/cgi-bin/hgTracks?position=212851_at","UCSC")</f>
        <v>UCSC</v>
      </c>
      <c r="E3835" s="1" t="str">
        <f>HYPERLINK("http://www.ncbi.nlm.nih.gov/gene/?term=DCUN1D4","NCBI")</f>
        <v>NCBI</v>
      </c>
      <c r="F3835">
        <v>2.5999999999999999E-2</v>
      </c>
      <c r="G3835">
        <v>0.12</v>
      </c>
      <c r="H3835" s="1" t="str">
        <f>HYPERLINK("http://www.weizmann.ac.il/complex/compphys/software/geview/data/figures/212851_at.png","Figure")</f>
        <v>Figure</v>
      </c>
      <c r="I3835">
        <v>0.66900000000000004</v>
      </c>
      <c r="J3835">
        <v>7.0999999999999994E-2</v>
      </c>
      <c r="K3835">
        <v>1.07</v>
      </c>
      <c r="L3835">
        <v>0.9</v>
      </c>
      <c r="M3835">
        <v>1.59</v>
      </c>
      <c r="N3835">
        <v>2.5000000000000001E-2</v>
      </c>
    </row>
    <row r="3836" spans="1:14" x14ac:dyDescent="0.25">
      <c r="A3836" t="s">
        <v>7007</v>
      </c>
      <c r="B3836" t="s">
        <v>7008</v>
      </c>
      <c r="C3836" s="1" t="str">
        <f>HYPERLINK("http://www.genecards.org/cgi-bin/carddisp.pl?gene=CCDC22","GeneCards")</f>
        <v>GeneCards</v>
      </c>
      <c r="D3836" s="1" t="str">
        <f>HYPERLINK("http://genome-euro.ucsc.edu/cgi-bin/hgTracks?position=206016_at","UCSC")</f>
        <v>UCSC</v>
      </c>
      <c r="E3836" s="1" t="str">
        <f>HYPERLINK("http://www.ncbi.nlm.nih.gov/gene/?term=CCDC22","NCBI")</f>
        <v>NCBI</v>
      </c>
      <c r="F3836">
        <v>2.5999999999999999E-2</v>
      </c>
      <c r="G3836">
        <v>0.12</v>
      </c>
      <c r="H3836" s="1" t="str">
        <f>HYPERLINK("http://www.weizmann.ac.il/complex/compphys/software/geview/data/figures/206016_at.png","Figure")</f>
        <v>Figure</v>
      </c>
      <c r="I3836">
        <v>0.58099999999999996</v>
      </c>
      <c r="J3836">
        <v>3.4000000000000002E-2</v>
      </c>
      <c r="K3836">
        <v>0.94599999999999995</v>
      </c>
      <c r="L3836">
        <v>0.94</v>
      </c>
      <c r="M3836">
        <v>1.63</v>
      </c>
      <c r="N3836">
        <v>4.2000000000000003E-2</v>
      </c>
    </row>
    <row r="3837" spans="1:14" x14ac:dyDescent="0.25">
      <c r="A3837" t="s">
        <v>7009</v>
      </c>
      <c r="B3837" t="s">
        <v>7010</v>
      </c>
      <c r="C3837" s="1" t="str">
        <f>HYPERLINK("http://www.genecards.org/cgi-bin/carddisp.pl?gene=CSH1","GeneCards")</f>
        <v>GeneCards</v>
      </c>
      <c r="D3837" s="1" t="str">
        <f>HYPERLINK("http://genome-euro.ucsc.edu/cgi-bin/hgTracks?position=208357_x_at","UCSC")</f>
        <v>UCSC</v>
      </c>
      <c r="E3837" s="1" t="str">
        <f>HYPERLINK("http://www.ncbi.nlm.nih.gov/gene/?term=CSH1","NCBI")</f>
        <v>NCBI</v>
      </c>
      <c r="F3837">
        <v>2.5999999999999999E-2</v>
      </c>
      <c r="G3837">
        <v>0.12</v>
      </c>
      <c r="H3837" s="1" t="str">
        <f>HYPERLINK("http://www.weizmann.ac.il/complex/compphys/software/geview/data/figures/208357_x_at.png","Figure")</f>
        <v>Figure</v>
      </c>
      <c r="I3837">
        <v>1.17</v>
      </c>
      <c r="J3837">
        <v>3.9E-2</v>
      </c>
      <c r="K3837">
        <v>1.1399999999999999</v>
      </c>
      <c r="L3837">
        <v>4.9000000000000002E-2</v>
      </c>
      <c r="M3837">
        <v>0.97499999999999998</v>
      </c>
      <c r="N3837">
        <v>0.88</v>
      </c>
    </row>
    <row r="3838" spans="1:14" x14ac:dyDescent="0.25">
      <c r="A3838" t="s">
        <v>7011</v>
      </c>
      <c r="B3838" t="s">
        <v>7012</v>
      </c>
      <c r="C3838" s="1" t="str">
        <f>HYPERLINK("http://www.genecards.org/cgi-bin/carddisp.pl?gene=OFD1","GeneCards")</f>
        <v>GeneCards</v>
      </c>
      <c r="D3838" s="1" t="str">
        <f>HYPERLINK("http://genome-euro.ucsc.edu/cgi-bin/hgTracks?position=203569_s_at","UCSC")</f>
        <v>UCSC</v>
      </c>
      <c r="E3838" s="1" t="str">
        <f>HYPERLINK("http://www.ncbi.nlm.nih.gov/gene/?term=OFD1","NCBI")</f>
        <v>NCBI</v>
      </c>
      <c r="F3838">
        <v>2.5999999999999999E-2</v>
      </c>
      <c r="G3838">
        <v>0.12</v>
      </c>
      <c r="H3838" s="1" t="str">
        <f>HYPERLINK("http://www.weizmann.ac.il/complex/compphys/software/geview/data/figures/203569_s_at.png","Figure")</f>
        <v>Figure</v>
      </c>
      <c r="I3838">
        <v>1.33</v>
      </c>
      <c r="J3838">
        <v>0.5</v>
      </c>
      <c r="K3838">
        <v>1.95</v>
      </c>
      <c r="L3838">
        <v>2.1999999999999999E-2</v>
      </c>
      <c r="M3838">
        <v>1.46</v>
      </c>
      <c r="N3838">
        <v>0.26</v>
      </c>
    </row>
    <row r="3839" spans="1:14" x14ac:dyDescent="0.25">
      <c r="A3839" t="s">
        <v>7013</v>
      </c>
      <c r="B3839" t="s">
        <v>7014</v>
      </c>
      <c r="C3839" s="1" t="str">
        <f>HYPERLINK("http://www.genecards.org/cgi-bin/carddisp.pl?gene=REG1A","GeneCards")</f>
        <v>GeneCards</v>
      </c>
      <c r="D3839" s="1" t="str">
        <f>HYPERLINK("http://genome-euro.ucsc.edu/cgi-bin/hgTracks?position=209752_at","UCSC")</f>
        <v>UCSC</v>
      </c>
      <c r="E3839" s="1" t="str">
        <f>HYPERLINK("http://www.ncbi.nlm.nih.gov/gene/?term=REG1A","NCBI")</f>
        <v>NCBI</v>
      </c>
      <c r="F3839">
        <v>2.5999999999999999E-2</v>
      </c>
      <c r="G3839">
        <v>0.12</v>
      </c>
      <c r="H3839" s="1" t="str">
        <f>HYPERLINK("http://www.weizmann.ac.il/complex/compphys/software/geview/data/figures/209752_at.png","Figure")</f>
        <v>Figure</v>
      </c>
      <c r="I3839">
        <v>1.17</v>
      </c>
      <c r="J3839">
        <v>2.1999999999999999E-2</v>
      </c>
      <c r="K3839">
        <v>1.0900000000000001</v>
      </c>
      <c r="L3839">
        <v>0.15</v>
      </c>
      <c r="M3839">
        <v>0.93500000000000005</v>
      </c>
      <c r="N3839">
        <v>0.36</v>
      </c>
    </row>
    <row r="3840" spans="1:14" x14ac:dyDescent="0.25">
      <c r="A3840" t="s">
        <v>7015</v>
      </c>
      <c r="B3840" t="s">
        <v>6565</v>
      </c>
      <c r="C3840" s="1" t="str">
        <f>HYPERLINK("http://www.genecards.org/cgi-bin/carddisp.pl?gene=RGS16","GeneCards")</f>
        <v>GeneCards</v>
      </c>
      <c r="D3840" s="1" t="str">
        <f>HYPERLINK("http://genome-euro.ucsc.edu/cgi-bin/hgTracks?position=209325_s_at","UCSC")</f>
        <v>UCSC</v>
      </c>
      <c r="E3840" s="1" t="str">
        <f>HYPERLINK("http://www.ncbi.nlm.nih.gov/gene/?term=RGS16","NCBI")</f>
        <v>NCBI</v>
      </c>
      <c r="F3840">
        <v>2.5999999999999999E-2</v>
      </c>
      <c r="G3840">
        <v>0.12</v>
      </c>
      <c r="H3840" s="1" t="str">
        <f>HYPERLINK("http://www.weizmann.ac.il/complex/compphys/software/geview/data/figures/209325_s_at.png","Figure")</f>
        <v>Figure</v>
      </c>
      <c r="I3840">
        <v>1.08</v>
      </c>
      <c r="J3840">
        <v>0.79</v>
      </c>
      <c r="K3840">
        <v>1.37</v>
      </c>
      <c r="L3840">
        <v>2.7E-2</v>
      </c>
      <c r="M3840">
        <v>1.26</v>
      </c>
      <c r="N3840">
        <v>0.14000000000000001</v>
      </c>
    </row>
    <row r="3841" spans="1:14" x14ac:dyDescent="0.25">
      <c r="A3841" t="s">
        <v>7016</v>
      </c>
      <c r="B3841" t="s">
        <v>7017</v>
      </c>
      <c r="C3841" s="1" t="str">
        <f>HYPERLINK("http://www.genecards.org/cgi-bin/carddisp.pl?gene=PHLDB1","GeneCards")</f>
        <v>GeneCards</v>
      </c>
      <c r="D3841" s="1" t="str">
        <f>HYPERLINK("http://genome-euro.ucsc.edu/cgi-bin/hgTracks?position=216102_at","UCSC")</f>
        <v>UCSC</v>
      </c>
      <c r="E3841" s="1" t="str">
        <f>HYPERLINK("http://www.ncbi.nlm.nih.gov/gene/?term=PHLDB1","NCBI")</f>
        <v>NCBI</v>
      </c>
      <c r="F3841">
        <v>2.5999999999999999E-2</v>
      </c>
      <c r="G3841">
        <v>0.12</v>
      </c>
      <c r="H3841" s="1" t="str">
        <f>HYPERLINK("http://www.weizmann.ac.il/complex/compphys/software/geview/data/figures/216102_at.png","Figure")</f>
        <v>Figure</v>
      </c>
      <c r="I3841">
        <v>1.21</v>
      </c>
      <c r="J3841">
        <v>2.1000000000000001E-2</v>
      </c>
      <c r="K3841">
        <v>1.07</v>
      </c>
      <c r="L3841">
        <v>0.4</v>
      </c>
      <c r="M3841">
        <v>0.88800000000000001</v>
      </c>
      <c r="N3841">
        <v>0.13</v>
      </c>
    </row>
    <row r="3842" spans="1:14" x14ac:dyDescent="0.25">
      <c r="A3842" t="s">
        <v>7018</v>
      </c>
      <c r="B3842" t="s">
        <v>7019</v>
      </c>
      <c r="C3842" s="1" t="str">
        <f>HYPERLINK("http://www.genecards.org/cgi-bin/carddisp.pl?gene=KCNS1","GeneCards")</f>
        <v>GeneCards</v>
      </c>
      <c r="D3842" s="1" t="str">
        <f>HYPERLINK("http://genome-euro.ucsc.edu/cgi-bin/hgTracks?position=207366_at","UCSC")</f>
        <v>UCSC</v>
      </c>
      <c r="E3842" s="1" t="str">
        <f>HYPERLINK("http://www.ncbi.nlm.nih.gov/gene/?term=KCNS1","NCBI")</f>
        <v>NCBI</v>
      </c>
      <c r="F3842">
        <v>2.5999999999999999E-2</v>
      </c>
      <c r="G3842">
        <v>0.12</v>
      </c>
      <c r="H3842" s="1" t="str">
        <f>HYPERLINK("http://www.weizmann.ac.il/complex/compphys/software/geview/data/figures/207366_at.png","Figure")</f>
        <v>Figure</v>
      </c>
      <c r="I3842">
        <v>1.42</v>
      </c>
      <c r="J3842">
        <v>2.1999999999999999E-2</v>
      </c>
      <c r="K3842">
        <v>1.1200000000000001</v>
      </c>
      <c r="L3842">
        <v>0.51</v>
      </c>
      <c r="M3842">
        <v>0.78900000000000003</v>
      </c>
      <c r="N3842">
        <v>0.1</v>
      </c>
    </row>
    <row r="3843" spans="1:14" x14ac:dyDescent="0.25">
      <c r="A3843" t="s">
        <v>7020</v>
      </c>
      <c r="B3843" t="s">
        <v>7021</v>
      </c>
      <c r="C3843" s="1" t="str">
        <f>HYPERLINK("http://www.genecards.org/cgi-bin/carddisp.pl?gene=GLI1","GeneCards")</f>
        <v>GeneCards</v>
      </c>
      <c r="D3843" s="1" t="str">
        <f>HYPERLINK("http://genome-euro.ucsc.edu/cgi-bin/hgTracks?position=206646_at","UCSC")</f>
        <v>UCSC</v>
      </c>
      <c r="E3843" s="1" t="str">
        <f>HYPERLINK("http://www.ncbi.nlm.nih.gov/gene/?term=GLI1","NCBI")</f>
        <v>NCBI</v>
      </c>
      <c r="F3843">
        <v>2.5999999999999999E-2</v>
      </c>
      <c r="G3843">
        <v>0.12</v>
      </c>
      <c r="H3843" s="1" t="str">
        <f>HYPERLINK("http://www.weizmann.ac.il/complex/compphys/software/geview/data/figures/206646_at.png","Figure")</f>
        <v>Figure</v>
      </c>
      <c r="I3843">
        <v>1.33</v>
      </c>
      <c r="J3843">
        <v>2.1000000000000001E-2</v>
      </c>
      <c r="K3843">
        <v>1.1299999999999999</v>
      </c>
      <c r="L3843">
        <v>0.31</v>
      </c>
      <c r="M3843">
        <v>0.85099999999999998</v>
      </c>
      <c r="N3843">
        <v>0.17</v>
      </c>
    </row>
    <row r="3844" spans="1:14" x14ac:dyDescent="0.25">
      <c r="A3844" t="s">
        <v>7022</v>
      </c>
      <c r="B3844" t="s">
        <v>7023</v>
      </c>
      <c r="C3844" s="1" t="str">
        <f>HYPERLINK("http://www.genecards.org/cgi-bin/carddisp.pl?gene=EPHA3","GeneCards")</f>
        <v>GeneCards</v>
      </c>
      <c r="D3844" s="1" t="str">
        <f>HYPERLINK("http://genome-euro.ucsc.edu/cgi-bin/hgTracks?position=206070_s_at","UCSC")</f>
        <v>UCSC</v>
      </c>
      <c r="E3844" s="1" t="str">
        <f>HYPERLINK("http://www.ncbi.nlm.nih.gov/gene/?term=EPHA3","NCBI")</f>
        <v>NCBI</v>
      </c>
      <c r="F3844">
        <v>2.5999999999999999E-2</v>
      </c>
      <c r="G3844">
        <v>0.12</v>
      </c>
      <c r="H3844" s="1" t="str">
        <f>HYPERLINK("http://www.weizmann.ac.il/complex/compphys/software/geview/data/figures/206070_s_at.png","Figure")</f>
        <v>Figure</v>
      </c>
      <c r="I3844">
        <v>1.31</v>
      </c>
      <c r="J3844">
        <v>6.3E-2</v>
      </c>
      <c r="K3844">
        <v>1.31</v>
      </c>
      <c r="L3844">
        <v>3.2000000000000001E-2</v>
      </c>
      <c r="M3844">
        <v>1</v>
      </c>
      <c r="N3844">
        <v>1</v>
      </c>
    </row>
    <row r="3845" spans="1:14" x14ac:dyDescent="0.25">
      <c r="A3845" t="s">
        <v>7024</v>
      </c>
      <c r="B3845" t="s">
        <v>7025</v>
      </c>
      <c r="C3845" s="1" t="str">
        <f>HYPERLINK("http://www.genecards.org/cgi-bin/carddisp.pl?gene=APOA4","GeneCards")</f>
        <v>GeneCards</v>
      </c>
      <c r="D3845" s="1" t="str">
        <f>HYPERLINK("http://genome-euro.ucsc.edu/cgi-bin/hgTracks?position=206894_at","UCSC")</f>
        <v>UCSC</v>
      </c>
      <c r="E3845" s="1" t="str">
        <f>HYPERLINK("http://www.ncbi.nlm.nih.gov/gene/?term=APOA4","NCBI")</f>
        <v>NCBI</v>
      </c>
      <c r="F3845">
        <v>2.5999999999999999E-2</v>
      </c>
      <c r="G3845">
        <v>0.12</v>
      </c>
      <c r="H3845" s="1" t="str">
        <f>HYPERLINK("http://www.weizmann.ac.il/complex/compphys/software/geview/data/figures/206894_at.png","Figure")</f>
        <v>Figure</v>
      </c>
      <c r="I3845">
        <v>1.4</v>
      </c>
      <c r="J3845">
        <v>2.8000000000000001E-2</v>
      </c>
      <c r="K3845">
        <v>1.27</v>
      </c>
      <c r="L3845">
        <v>8.2000000000000003E-2</v>
      </c>
      <c r="M3845">
        <v>0.90300000000000002</v>
      </c>
      <c r="N3845">
        <v>0.61</v>
      </c>
    </row>
    <row r="3846" spans="1:14" x14ac:dyDescent="0.25">
      <c r="A3846" t="s">
        <v>7026</v>
      </c>
      <c r="B3846" t="s">
        <v>7027</v>
      </c>
      <c r="C3846" s="1" t="str">
        <f>HYPERLINK("http://www.genecards.org/cgi-bin/carddisp.pl?gene=PPP5C","GeneCards")</f>
        <v>GeneCards</v>
      </c>
      <c r="D3846" s="1" t="str">
        <f>HYPERLINK("http://genome-euro.ucsc.edu/cgi-bin/hgTracks?position=215705_at","UCSC")</f>
        <v>UCSC</v>
      </c>
      <c r="E3846" s="1" t="str">
        <f>HYPERLINK("http://www.ncbi.nlm.nih.gov/gene/?term=PPP5C","NCBI")</f>
        <v>NCBI</v>
      </c>
      <c r="F3846">
        <v>2.5999999999999999E-2</v>
      </c>
      <c r="G3846">
        <v>0.12</v>
      </c>
      <c r="H3846" s="1" t="str">
        <f>HYPERLINK("http://www.weizmann.ac.il/complex/compphys/software/geview/data/figures/215705_at.png","Figure")</f>
        <v>Figure</v>
      </c>
      <c r="I3846">
        <v>1.18</v>
      </c>
      <c r="J3846">
        <v>0.06</v>
      </c>
      <c r="K3846">
        <v>0.98499999999999999</v>
      </c>
      <c r="L3846">
        <v>0.96</v>
      </c>
      <c r="M3846">
        <v>0.83699999999999997</v>
      </c>
      <c r="N3846">
        <v>2.7E-2</v>
      </c>
    </row>
    <row r="3847" spans="1:14" x14ac:dyDescent="0.25">
      <c r="A3847" t="s">
        <v>7028</v>
      </c>
      <c r="B3847" t="s">
        <v>7029</v>
      </c>
      <c r="C3847" s="1" t="str">
        <f>HYPERLINK("http://www.genecards.org/cgi-bin/carddisp.pl?gene=LOC100129503","GeneCards")</f>
        <v>GeneCards</v>
      </c>
      <c r="D3847" s="1" t="str">
        <f>HYPERLINK("http://genome-euro.ucsc.edu/cgi-bin/hgTracks?position=216107_at","UCSC")</f>
        <v>UCSC</v>
      </c>
      <c r="E3847" s="1" t="str">
        <f>HYPERLINK("http://www.ncbi.nlm.nih.gov/gene/?term=LOC100129503","NCBI")</f>
        <v>NCBI</v>
      </c>
      <c r="F3847">
        <v>2.5999999999999999E-2</v>
      </c>
      <c r="G3847">
        <v>0.12</v>
      </c>
      <c r="H3847" s="1" t="str">
        <f>HYPERLINK("http://www.weizmann.ac.il/complex/compphys/software/geview/data/figures/216107_at.png","Figure")</f>
        <v>Figure</v>
      </c>
      <c r="I3847">
        <v>1.38</v>
      </c>
      <c r="J3847">
        <v>2.1000000000000001E-2</v>
      </c>
      <c r="K3847">
        <v>1.1200000000000001</v>
      </c>
      <c r="L3847">
        <v>0.42</v>
      </c>
      <c r="M3847">
        <v>0.81599999999999995</v>
      </c>
      <c r="N3847">
        <v>0.13</v>
      </c>
    </row>
    <row r="3848" spans="1:14" x14ac:dyDescent="0.25">
      <c r="A3848" t="s">
        <v>7030</v>
      </c>
      <c r="B3848" t="s">
        <v>4016</v>
      </c>
      <c r="C3848" s="1" t="str">
        <f>HYPERLINK("http://www.genecards.org/cgi-bin/carddisp.pl?gene=CYLD","GeneCards")</f>
        <v>GeneCards</v>
      </c>
      <c r="D3848" s="1" t="str">
        <f>HYPERLINK("http://genome-euro.ucsc.edu/cgi-bin/hgTracks?position=60084_at","UCSC")</f>
        <v>UCSC</v>
      </c>
      <c r="E3848" s="1" t="str">
        <f>HYPERLINK("http://www.ncbi.nlm.nih.gov/gene/?term=CYLD","NCBI")</f>
        <v>NCBI</v>
      </c>
      <c r="F3848">
        <v>2.5999999999999999E-2</v>
      </c>
      <c r="G3848">
        <v>0.12</v>
      </c>
      <c r="H3848" s="1" t="str">
        <f>HYPERLINK("http://www.weizmann.ac.il/complex/compphys/software/geview/data/figures/60084_at.png","Figure")</f>
        <v>Figure</v>
      </c>
      <c r="I3848">
        <v>0.57999999999999996</v>
      </c>
      <c r="J3848">
        <v>0.36</v>
      </c>
      <c r="K3848">
        <v>0.35399999999999998</v>
      </c>
      <c r="L3848">
        <v>2.1000000000000001E-2</v>
      </c>
      <c r="M3848">
        <v>0.61099999999999999</v>
      </c>
      <c r="N3848">
        <v>0.38</v>
      </c>
    </row>
    <row r="3849" spans="1:14" x14ac:dyDescent="0.25">
      <c r="A3849" t="s">
        <v>7031</v>
      </c>
      <c r="B3849" t="s">
        <v>1674</v>
      </c>
      <c r="C3849" s="1" t="str">
        <f>HYPERLINK("http://www.genecards.org/cgi-bin/carddisp.pl?gene=ARHGEF2","GeneCards")</f>
        <v>GeneCards</v>
      </c>
      <c r="D3849" s="1" t="str">
        <f>HYPERLINK("http://genome-euro.ucsc.edu/cgi-bin/hgTracks?position=207629_s_at","UCSC")</f>
        <v>UCSC</v>
      </c>
      <c r="E3849" s="1" t="str">
        <f>HYPERLINK("http://www.ncbi.nlm.nih.gov/gene/?term=ARHGEF2","NCBI")</f>
        <v>NCBI</v>
      </c>
      <c r="F3849">
        <v>2.5999999999999999E-2</v>
      </c>
      <c r="G3849">
        <v>0.12</v>
      </c>
      <c r="H3849" s="1" t="str">
        <f>HYPERLINK("http://www.weizmann.ac.il/complex/compphys/software/geview/data/figures/207629_s_at.png","Figure")</f>
        <v>Figure</v>
      </c>
      <c r="I3849">
        <v>1.26</v>
      </c>
      <c r="J3849">
        <v>0.13</v>
      </c>
      <c r="K3849">
        <v>1.35</v>
      </c>
      <c r="L3849">
        <v>2.3E-2</v>
      </c>
      <c r="M3849">
        <v>1.07</v>
      </c>
      <c r="N3849">
        <v>0.8</v>
      </c>
    </row>
    <row r="3850" spans="1:14" x14ac:dyDescent="0.25">
      <c r="A3850" t="s">
        <v>7032</v>
      </c>
      <c r="B3850" t="s">
        <v>382</v>
      </c>
      <c r="C3850" s="1" t="str">
        <f>HYPERLINK("http://www.genecards.org/cgi-bin/carddisp.pl?gene=FAM149B1","GeneCards")</f>
        <v>GeneCards</v>
      </c>
      <c r="D3850" s="1" t="str">
        <f>HYPERLINK("http://genome-euro.ucsc.edu/cgi-bin/hgTracks?position=213896_x_at","UCSC")</f>
        <v>UCSC</v>
      </c>
      <c r="E3850" s="1" t="str">
        <f>HYPERLINK("http://www.ncbi.nlm.nih.gov/gene/?term=FAM149B1","NCBI")</f>
        <v>NCBI</v>
      </c>
      <c r="F3850">
        <v>2.5999999999999999E-2</v>
      </c>
      <c r="G3850">
        <v>0.12</v>
      </c>
      <c r="H3850" s="1" t="str">
        <f>HYPERLINK("http://www.weizmann.ac.il/complex/compphys/software/geview/data/figures/213896_x_at.png","Figure")</f>
        <v>Figure</v>
      </c>
      <c r="I3850">
        <v>0.99</v>
      </c>
      <c r="J3850">
        <v>4.5999999999999999E-2</v>
      </c>
      <c r="K3850">
        <v>1</v>
      </c>
      <c r="L3850">
        <v>1</v>
      </c>
      <c r="M3850">
        <v>1.01</v>
      </c>
      <c r="N3850">
        <v>3.3000000000000002E-2</v>
      </c>
    </row>
    <row r="3851" spans="1:14" x14ac:dyDescent="0.25">
      <c r="A3851" t="s">
        <v>7033</v>
      </c>
      <c r="B3851" t="s">
        <v>7034</v>
      </c>
      <c r="C3851" s="1" t="str">
        <f>HYPERLINK("http://www.genecards.org/cgi-bin/carddisp.pl?gene=SMEK1","GeneCards")</f>
        <v>GeneCards</v>
      </c>
      <c r="D3851" s="1" t="str">
        <f>HYPERLINK("http://genome-euro.ucsc.edu/cgi-bin/hgTracks?position=220369_at","UCSC")</f>
        <v>UCSC</v>
      </c>
      <c r="E3851" s="1" t="str">
        <f>HYPERLINK("http://www.ncbi.nlm.nih.gov/gene/?term=SMEK1","NCBI")</f>
        <v>NCBI</v>
      </c>
      <c r="F3851">
        <v>2.5999999999999999E-2</v>
      </c>
      <c r="G3851">
        <v>0.12</v>
      </c>
      <c r="H3851" s="1" t="str">
        <f>HYPERLINK("http://www.weizmann.ac.il/complex/compphys/software/geview/data/figures/220369_at.png","Figure")</f>
        <v>Figure</v>
      </c>
      <c r="I3851">
        <v>0.748</v>
      </c>
      <c r="J3851">
        <v>0.4</v>
      </c>
      <c r="K3851">
        <v>0.55600000000000005</v>
      </c>
      <c r="L3851">
        <v>2.1000000000000001E-2</v>
      </c>
      <c r="M3851">
        <v>0.74299999999999999</v>
      </c>
      <c r="N3851">
        <v>0.34</v>
      </c>
    </row>
    <row r="3852" spans="1:14" x14ac:dyDescent="0.25">
      <c r="A3852" t="s">
        <v>7035</v>
      </c>
      <c r="B3852" t="s">
        <v>7036</v>
      </c>
      <c r="C3852" s="1" t="str">
        <f>HYPERLINK("http://www.genecards.org/cgi-bin/carddisp.pl?gene=WIPI2","GeneCards")</f>
        <v>GeneCards</v>
      </c>
      <c r="D3852" s="1" t="str">
        <f>HYPERLINK("http://genome-euro.ucsc.edu/cgi-bin/hgTracks?position=202031_s_at","UCSC")</f>
        <v>UCSC</v>
      </c>
      <c r="E3852" s="1" t="str">
        <f>HYPERLINK("http://www.ncbi.nlm.nih.gov/gene/?term=WIPI2","NCBI")</f>
        <v>NCBI</v>
      </c>
      <c r="F3852">
        <v>2.5999999999999999E-2</v>
      </c>
      <c r="G3852">
        <v>0.12</v>
      </c>
      <c r="H3852" s="1" t="str">
        <f>HYPERLINK("http://www.weizmann.ac.il/complex/compphys/software/geview/data/figures/202031_s_at.png","Figure")</f>
        <v>Figure</v>
      </c>
      <c r="I3852">
        <v>1.39</v>
      </c>
      <c r="J3852">
        <v>0.18</v>
      </c>
      <c r="K3852">
        <v>0.84099999999999997</v>
      </c>
      <c r="L3852">
        <v>0.5</v>
      </c>
      <c r="M3852">
        <v>0.60599999999999998</v>
      </c>
      <c r="N3852">
        <v>2.1000000000000001E-2</v>
      </c>
    </row>
    <row r="3853" spans="1:14" x14ac:dyDescent="0.25">
      <c r="A3853" t="s">
        <v>7037</v>
      </c>
      <c r="B3853" t="s">
        <v>615</v>
      </c>
      <c r="C3853" s="1" t="str">
        <f>HYPERLINK("http://www.genecards.org/cgi-bin/carddisp.pl?gene=DYRK2","GeneCards")</f>
        <v>GeneCards</v>
      </c>
      <c r="D3853" s="1" t="str">
        <f>HYPERLINK("http://genome-euro.ucsc.edu/cgi-bin/hgTracks?position=202969_at","UCSC")</f>
        <v>UCSC</v>
      </c>
      <c r="E3853" s="1" t="str">
        <f>HYPERLINK("http://www.ncbi.nlm.nih.gov/gene/?term=DYRK2","NCBI")</f>
        <v>NCBI</v>
      </c>
      <c r="F3853">
        <v>2.5999999999999999E-2</v>
      </c>
      <c r="G3853">
        <v>0.12</v>
      </c>
      <c r="H3853" s="1" t="str">
        <f>HYPERLINK("http://www.weizmann.ac.il/complex/compphys/software/geview/data/figures/202969_at.png","Figure")</f>
        <v>Figure</v>
      </c>
      <c r="I3853">
        <v>0.65900000000000003</v>
      </c>
      <c r="J3853">
        <v>0.27</v>
      </c>
      <c r="K3853">
        <v>0.496</v>
      </c>
      <c r="L3853">
        <v>2.1000000000000001E-2</v>
      </c>
      <c r="M3853">
        <v>0.752</v>
      </c>
      <c r="N3853">
        <v>0.48</v>
      </c>
    </row>
    <row r="3854" spans="1:14" x14ac:dyDescent="0.25">
      <c r="A3854" t="s">
        <v>7038</v>
      </c>
      <c r="B3854" t="s">
        <v>5952</v>
      </c>
      <c r="C3854" s="1" t="str">
        <f>HYPERLINK("http://www.genecards.org/cgi-bin/carddisp.pl?gene=NFAT5","GeneCards")</f>
        <v>GeneCards</v>
      </c>
      <c r="D3854" s="1" t="str">
        <f>HYPERLINK("http://genome-euro.ucsc.edu/cgi-bin/hgTracks?position=208003_s_at","UCSC")</f>
        <v>UCSC</v>
      </c>
      <c r="E3854" s="1" t="str">
        <f>HYPERLINK("http://www.ncbi.nlm.nih.gov/gene/?term=NFAT5","NCBI")</f>
        <v>NCBI</v>
      </c>
      <c r="F3854">
        <v>2.5999999999999999E-2</v>
      </c>
      <c r="G3854">
        <v>0.12</v>
      </c>
      <c r="H3854" s="1" t="str">
        <f>HYPERLINK("http://www.weizmann.ac.il/complex/compphys/software/geview/data/figures/208003_s_at.png","Figure")</f>
        <v>Figure</v>
      </c>
      <c r="I3854">
        <v>0.72499999999999998</v>
      </c>
      <c r="J3854">
        <v>0.2</v>
      </c>
      <c r="K3854">
        <v>0.623</v>
      </c>
      <c r="L3854">
        <v>2.1000000000000001E-2</v>
      </c>
      <c r="M3854">
        <v>0.85799999999999998</v>
      </c>
      <c r="N3854">
        <v>0.63</v>
      </c>
    </row>
    <row r="3855" spans="1:14" x14ac:dyDescent="0.25">
      <c r="A3855" t="s">
        <v>7039</v>
      </c>
      <c r="B3855" t="s">
        <v>7040</v>
      </c>
      <c r="C3855" s="1" t="str">
        <f>HYPERLINK("http://www.genecards.org/cgi-bin/carddisp.pl?gene=D4S234E","GeneCards")</f>
        <v>GeneCards</v>
      </c>
      <c r="D3855" s="1" t="str">
        <f>HYPERLINK("http://genome-euro.ucsc.edu/cgi-bin/hgTracks?position=209569_x_at","UCSC")</f>
        <v>UCSC</v>
      </c>
      <c r="E3855" s="1" t="str">
        <f>HYPERLINK("http://www.ncbi.nlm.nih.gov/gene/?term=D4S234E","NCBI")</f>
        <v>NCBI</v>
      </c>
      <c r="F3855">
        <v>2.5999999999999999E-2</v>
      </c>
      <c r="G3855">
        <v>0.12</v>
      </c>
      <c r="H3855" s="1" t="str">
        <f>HYPERLINK("http://www.weizmann.ac.il/complex/compphys/software/geview/data/figures/209569_x_at.png","Figure")</f>
        <v>Figure</v>
      </c>
      <c r="I3855">
        <v>1.87</v>
      </c>
      <c r="J3855">
        <v>9.7000000000000003E-2</v>
      </c>
      <c r="K3855">
        <v>2.0699999999999998</v>
      </c>
      <c r="L3855">
        <v>2.5999999999999999E-2</v>
      </c>
      <c r="M3855">
        <v>1.1000000000000001</v>
      </c>
      <c r="N3855">
        <v>0.92</v>
      </c>
    </row>
    <row r="3856" spans="1:14" x14ac:dyDescent="0.25">
      <c r="A3856" t="s">
        <v>7041</v>
      </c>
      <c r="B3856" t="s">
        <v>7042</v>
      </c>
      <c r="C3856" s="1" t="str">
        <f>HYPERLINK("http://www.genecards.org/cgi-bin/carddisp.pl?gene=ENOPH1","GeneCards")</f>
        <v>GeneCards</v>
      </c>
      <c r="D3856" s="1" t="str">
        <f>HYPERLINK("http://genome-euro.ucsc.edu/cgi-bin/hgTracks?position=217956_s_at","UCSC")</f>
        <v>UCSC</v>
      </c>
      <c r="E3856" s="1" t="str">
        <f>HYPERLINK("http://www.ncbi.nlm.nih.gov/gene/?term=ENOPH1","NCBI")</f>
        <v>NCBI</v>
      </c>
      <c r="F3856">
        <v>2.5999999999999999E-2</v>
      </c>
      <c r="G3856">
        <v>0.12</v>
      </c>
      <c r="H3856" s="1" t="str">
        <f>HYPERLINK("http://www.weizmann.ac.il/complex/compphys/software/geview/data/figures/217956_s_at.png","Figure")</f>
        <v>Figure</v>
      </c>
      <c r="I3856">
        <v>0.78100000000000003</v>
      </c>
      <c r="J3856">
        <v>0.19</v>
      </c>
      <c r="K3856">
        <v>1.1499999999999999</v>
      </c>
      <c r="L3856">
        <v>0.48</v>
      </c>
      <c r="M3856">
        <v>1.47</v>
      </c>
      <c r="N3856">
        <v>2.1000000000000001E-2</v>
      </c>
    </row>
    <row r="3857" spans="1:14" x14ac:dyDescent="0.25">
      <c r="A3857" t="s">
        <v>7043</v>
      </c>
      <c r="B3857" t="s">
        <v>7044</v>
      </c>
      <c r="C3857" s="1" t="str">
        <f>HYPERLINK("http://www.genecards.org/cgi-bin/carddisp.pl?gene=VPS35","GeneCards")</f>
        <v>GeneCards</v>
      </c>
      <c r="D3857" s="1" t="str">
        <f>HYPERLINK("http://genome-euro.ucsc.edu/cgi-bin/hgTracks?position=217727_x_at","UCSC")</f>
        <v>UCSC</v>
      </c>
      <c r="E3857" s="1" t="str">
        <f>HYPERLINK("http://www.ncbi.nlm.nih.gov/gene/?term=VPS35","NCBI")</f>
        <v>NCBI</v>
      </c>
      <c r="F3857">
        <v>2.5999999999999999E-2</v>
      </c>
      <c r="G3857">
        <v>0.12</v>
      </c>
      <c r="H3857" s="1" t="str">
        <f>HYPERLINK("http://www.weizmann.ac.il/complex/compphys/software/geview/data/figures/217727_x_at.png","Figure")</f>
        <v>Figure</v>
      </c>
      <c r="I3857">
        <v>1.05</v>
      </c>
      <c r="J3857">
        <v>0.98</v>
      </c>
      <c r="K3857">
        <v>1.84</v>
      </c>
      <c r="L3857">
        <v>3.9E-2</v>
      </c>
      <c r="M3857">
        <v>1.75</v>
      </c>
      <c r="N3857">
        <v>7.6999999999999999E-2</v>
      </c>
    </row>
    <row r="3858" spans="1:14" x14ac:dyDescent="0.25">
      <c r="A3858" t="s">
        <v>7045</v>
      </c>
      <c r="B3858" t="s">
        <v>7046</v>
      </c>
      <c r="C3858" s="1" t="str">
        <f>HYPERLINK("http://www.genecards.org/cgi-bin/carddisp.pl?gene=GTSE1","GeneCards")</f>
        <v>GeneCards</v>
      </c>
      <c r="D3858" s="1" t="str">
        <f>HYPERLINK("http://genome-euro.ucsc.edu/cgi-bin/hgTracks?position=211040_x_at","UCSC")</f>
        <v>UCSC</v>
      </c>
      <c r="E3858" s="1" t="str">
        <f>HYPERLINK("http://www.ncbi.nlm.nih.gov/gene/?term=GTSE1","NCBI")</f>
        <v>NCBI</v>
      </c>
      <c r="F3858">
        <v>2.5999999999999999E-2</v>
      </c>
      <c r="G3858">
        <v>0.12</v>
      </c>
      <c r="H3858" s="1" t="str">
        <f>HYPERLINK("http://www.weizmann.ac.il/complex/compphys/software/geview/data/figures/211040_x_at.png","Figure")</f>
        <v>Figure</v>
      </c>
      <c r="I3858">
        <v>1.58</v>
      </c>
      <c r="J3858">
        <v>3.3000000000000002E-2</v>
      </c>
      <c r="K3858">
        <v>1.06</v>
      </c>
      <c r="L3858">
        <v>0.91</v>
      </c>
      <c r="M3858">
        <v>0.67100000000000004</v>
      </c>
      <c r="N3858">
        <v>4.5999999999999999E-2</v>
      </c>
    </row>
    <row r="3859" spans="1:14" x14ac:dyDescent="0.25">
      <c r="A3859" t="s">
        <v>7047</v>
      </c>
      <c r="B3859" t="s">
        <v>3335</v>
      </c>
      <c r="C3859" s="1" t="str">
        <f>HYPERLINK("http://www.genecards.org/cgi-bin/carddisp.pl?gene=KCNJ5","GeneCards")</f>
        <v>GeneCards</v>
      </c>
      <c r="D3859" s="1" t="str">
        <f>HYPERLINK("http://genome-euro.ucsc.edu/cgi-bin/hgTracks?position=211817_s_at","UCSC")</f>
        <v>UCSC</v>
      </c>
      <c r="E3859" s="1" t="str">
        <f>HYPERLINK("http://www.ncbi.nlm.nih.gov/gene/?term=KCNJ5","NCBI")</f>
        <v>NCBI</v>
      </c>
      <c r="F3859">
        <v>2.5999999999999999E-2</v>
      </c>
      <c r="G3859">
        <v>0.12</v>
      </c>
      <c r="H3859" s="1" t="str">
        <f>HYPERLINK("http://www.weizmann.ac.il/complex/compphys/software/geview/data/figures/211817_s_at.png","Figure")</f>
        <v>Figure</v>
      </c>
      <c r="I3859">
        <v>1.33</v>
      </c>
      <c r="J3859">
        <v>2.1000000000000001E-2</v>
      </c>
      <c r="K3859">
        <v>1.1399999999999999</v>
      </c>
      <c r="L3859">
        <v>0.27</v>
      </c>
      <c r="M3859">
        <v>0.85699999999999998</v>
      </c>
      <c r="N3859">
        <v>0.2</v>
      </c>
    </row>
    <row r="3860" spans="1:14" x14ac:dyDescent="0.25">
      <c r="A3860" t="s">
        <v>7048</v>
      </c>
      <c r="B3860" t="s">
        <v>7049</v>
      </c>
      <c r="C3860" s="1" t="str">
        <f>HYPERLINK("http://www.genecards.org/cgi-bin/carddisp.pl?gene=UTP14A /// UTP14C","GeneCards")</f>
        <v>GeneCards</v>
      </c>
      <c r="D3860" s="1" t="str">
        <f>HYPERLINK("http://genome-euro.ucsc.edu/cgi-bin/hgTracks?position=221513_s_at","UCSC")</f>
        <v>UCSC</v>
      </c>
      <c r="E3860" s="1" t="str">
        <f>HYPERLINK("http://www.ncbi.nlm.nih.gov/gene/?term=UTP14A /// UTP14C","NCBI")</f>
        <v>NCBI</v>
      </c>
      <c r="F3860">
        <v>2.5999999999999999E-2</v>
      </c>
      <c r="G3860">
        <v>0.12</v>
      </c>
      <c r="H3860" s="1" t="str">
        <f>HYPERLINK("http://www.weizmann.ac.il/complex/compphys/software/geview/data/figures/221513_s_at.png","Figure")</f>
        <v>Figure</v>
      </c>
      <c r="I3860">
        <v>0.86699999999999999</v>
      </c>
      <c r="J3860">
        <v>0.53</v>
      </c>
      <c r="K3860">
        <v>1.24</v>
      </c>
      <c r="L3860">
        <v>0.17</v>
      </c>
      <c r="M3860">
        <v>1.43</v>
      </c>
      <c r="N3860">
        <v>2.5999999999999999E-2</v>
      </c>
    </row>
    <row r="3861" spans="1:14" x14ac:dyDescent="0.25">
      <c r="A3861" t="s">
        <v>7050</v>
      </c>
      <c r="B3861" t="s">
        <v>7051</v>
      </c>
      <c r="C3861" s="1" t="str">
        <f>HYPERLINK("http://www.genecards.org/cgi-bin/carddisp.pl?gene=ITGB3BP","GeneCards")</f>
        <v>GeneCards</v>
      </c>
      <c r="D3861" s="1" t="str">
        <f>HYPERLINK("http://genome-euro.ucsc.edu/cgi-bin/hgTracks?position=205176_s_at","UCSC")</f>
        <v>UCSC</v>
      </c>
      <c r="E3861" s="1" t="str">
        <f>HYPERLINK("http://www.ncbi.nlm.nih.gov/gene/?term=ITGB3BP","NCBI")</f>
        <v>NCBI</v>
      </c>
      <c r="F3861">
        <v>2.5999999999999999E-2</v>
      </c>
      <c r="G3861">
        <v>0.12</v>
      </c>
      <c r="H3861" s="1" t="str">
        <f>HYPERLINK("http://www.weizmann.ac.il/complex/compphys/software/geview/data/figures/205176_s_at.png","Figure")</f>
        <v>Figure</v>
      </c>
      <c r="I3861">
        <v>0.85599999999999998</v>
      </c>
      <c r="J3861">
        <v>0.8</v>
      </c>
      <c r="K3861">
        <v>1.62</v>
      </c>
      <c r="L3861">
        <v>9.1999999999999998E-2</v>
      </c>
      <c r="M3861">
        <v>1.9</v>
      </c>
      <c r="N3861">
        <v>3.5000000000000003E-2</v>
      </c>
    </row>
    <row r="3862" spans="1:14" x14ac:dyDescent="0.25">
      <c r="A3862" t="s">
        <v>7052</v>
      </c>
      <c r="B3862" t="s">
        <v>7053</v>
      </c>
      <c r="C3862" s="1" t="str">
        <f>HYPERLINK("http://www.genecards.org/cgi-bin/carddisp.pl?gene=APPL1","GeneCards")</f>
        <v>GeneCards</v>
      </c>
      <c r="D3862" s="1" t="str">
        <f>HYPERLINK("http://genome-euro.ucsc.edu/cgi-bin/hgTracks?position=218158_s_at","UCSC")</f>
        <v>UCSC</v>
      </c>
      <c r="E3862" s="1" t="str">
        <f>HYPERLINK("http://www.ncbi.nlm.nih.gov/gene/?term=APPL1","NCBI")</f>
        <v>NCBI</v>
      </c>
      <c r="F3862">
        <v>2.5999999999999999E-2</v>
      </c>
      <c r="G3862">
        <v>0.12</v>
      </c>
      <c r="H3862" s="1" t="str">
        <f>HYPERLINK("http://www.weizmann.ac.il/complex/compphys/software/geview/data/figures/218158_s_at.png","Figure")</f>
        <v>Figure</v>
      </c>
      <c r="I3862">
        <v>0.77300000000000002</v>
      </c>
      <c r="J3862">
        <v>0.14000000000000001</v>
      </c>
      <c r="K3862">
        <v>1.1200000000000001</v>
      </c>
      <c r="L3862">
        <v>0.59</v>
      </c>
      <c r="M3862">
        <v>1.44</v>
      </c>
      <c r="N3862">
        <v>2.1000000000000001E-2</v>
      </c>
    </row>
    <row r="3863" spans="1:14" x14ac:dyDescent="0.25">
      <c r="A3863" t="s">
        <v>7054</v>
      </c>
      <c r="B3863" t="s">
        <v>7055</v>
      </c>
      <c r="C3863" s="1" t="str">
        <f>HYPERLINK("http://www.genecards.org/cgi-bin/carddisp.pl?gene=PAWR","GeneCards")</f>
        <v>GeneCards</v>
      </c>
      <c r="D3863" s="1" t="str">
        <f>HYPERLINK("http://genome-euro.ucsc.edu/cgi-bin/hgTracks?position=214237_x_at","UCSC")</f>
        <v>UCSC</v>
      </c>
      <c r="E3863" s="1" t="str">
        <f>HYPERLINK("http://www.ncbi.nlm.nih.gov/gene/?term=PAWR","NCBI")</f>
        <v>NCBI</v>
      </c>
      <c r="F3863">
        <v>2.7E-2</v>
      </c>
      <c r="G3863">
        <v>0.12</v>
      </c>
      <c r="H3863" s="1" t="str">
        <f>HYPERLINK("http://www.weizmann.ac.il/complex/compphys/software/geview/data/figures/214237_x_at.png","Figure")</f>
        <v>Figure</v>
      </c>
      <c r="I3863">
        <v>1.3</v>
      </c>
      <c r="J3863">
        <v>2.3E-2</v>
      </c>
      <c r="K3863">
        <v>1.17</v>
      </c>
      <c r="L3863">
        <v>0.14000000000000001</v>
      </c>
      <c r="M3863">
        <v>0.89700000000000002</v>
      </c>
      <c r="N3863">
        <v>0.4</v>
      </c>
    </row>
    <row r="3864" spans="1:14" x14ac:dyDescent="0.25">
      <c r="A3864" t="s">
        <v>7056</v>
      </c>
      <c r="B3864" t="s">
        <v>7057</v>
      </c>
      <c r="C3864" s="1" t="str">
        <f>HYPERLINK("http://www.genecards.org/cgi-bin/carddisp.pl?gene=HAO2","GeneCards")</f>
        <v>GeneCards</v>
      </c>
      <c r="D3864" s="1" t="str">
        <f>HYPERLINK("http://genome-euro.ucsc.edu/cgi-bin/hgTracks?position=220801_s_at","UCSC")</f>
        <v>UCSC</v>
      </c>
      <c r="E3864" s="1" t="str">
        <f>HYPERLINK("http://www.ncbi.nlm.nih.gov/gene/?term=HAO2","NCBI")</f>
        <v>NCBI</v>
      </c>
      <c r="F3864">
        <v>2.7E-2</v>
      </c>
      <c r="G3864">
        <v>0.12</v>
      </c>
      <c r="H3864" s="1" t="str">
        <f>HYPERLINK("http://www.weizmann.ac.il/complex/compphys/software/geview/data/figures/220801_s_at.png","Figure")</f>
        <v>Figure</v>
      </c>
      <c r="I3864">
        <v>1.3</v>
      </c>
      <c r="J3864">
        <v>2.1000000000000001E-2</v>
      </c>
      <c r="K3864">
        <v>1.1100000000000001</v>
      </c>
      <c r="L3864">
        <v>0.36</v>
      </c>
      <c r="M3864">
        <v>0.85599999999999998</v>
      </c>
      <c r="N3864">
        <v>0.15</v>
      </c>
    </row>
    <row r="3865" spans="1:14" x14ac:dyDescent="0.25">
      <c r="A3865" t="s">
        <v>7058</v>
      </c>
      <c r="B3865" t="s">
        <v>7059</v>
      </c>
      <c r="C3865" s="1" t="str">
        <f>HYPERLINK("http://www.genecards.org/cgi-bin/carddisp.pl?gene=ARHGEF15","GeneCards")</f>
        <v>GeneCards</v>
      </c>
      <c r="D3865" s="1" t="str">
        <f>HYPERLINK("http://genome-euro.ucsc.edu/cgi-bin/hgTracks?position=205507_at","UCSC")</f>
        <v>UCSC</v>
      </c>
      <c r="E3865" s="1" t="str">
        <f>HYPERLINK("http://www.ncbi.nlm.nih.gov/gene/?term=ARHGEF15","NCBI")</f>
        <v>NCBI</v>
      </c>
      <c r="F3865">
        <v>2.7E-2</v>
      </c>
      <c r="G3865">
        <v>0.12</v>
      </c>
      <c r="H3865" s="1" t="str">
        <f>HYPERLINK("http://www.weizmann.ac.il/complex/compphys/software/geview/data/figures/205507_at.png","Figure")</f>
        <v>Figure</v>
      </c>
      <c r="I3865">
        <v>1.1200000000000001</v>
      </c>
      <c r="J3865">
        <v>0.13</v>
      </c>
      <c r="K3865">
        <v>0.95599999999999996</v>
      </c>
      <c r="L3865">
        <v>0.62</v>
      </c>
      <c r="M3865">
        <v>0.85499999999999998</v>
      </c>
      <c r="N3865">
        <v>2.1000000000000001E-2</v>
      </c>
    </row>
    <row r="3866" spans="1:14" x14ac:dyDescent="0.25">
      <c r="A3866" t="s">
        <v>7060</v>
      </c>
      <c r="B3866" t="s">
        <v>7061</v>
      </c>
      <c r="C3866" s="1" t="str">
        <f>HYPERLINK("http://www.genecards.org/cgi-bin/carddisp.pl?gene=NUDT4 /// NUDT4P1","GeneCards")</f>
        <v>GeneCards</v>
      </c>
      <c r="D3866" s="1" t="str">
        <f>HYPERLINK("http://genome-euro.ucsc.edu/cgi-bin/hgTracks?position=206302_s_at","UCSC")</f>
        <v>UCSC</v>
      </c>
      <c r="E3866" s="1" t="str">
        <f>HYPERLINK("http://www.ncbi.nlm.nih.gov/gene/?term=NUDT4 /// NUDT4P1","NCBI")</f>
        <v>NCBI</v>
      </c>
      <c r="F3866">
        <v>2.7E-2</v>
      </c>
      <c r="G3866">
        <v>0.12</v>
      </c>
      <c r="H3866" s="1" t="str">
        <f>HYPERLINK("http://www.weizmann.ac.il/complex/compphys/software/geview/data/figures/206302_s_at.png","Figure")</f>
        <v>Figure</v>
      </c>
      <c r="I3866">
        <v>0.58599999999999997</v>
      </c>
      <c r="J3866">
        <v>4.2999999999999997E-2</v>
      </c>
      <c r="K3866">
        <v>0.63100000000000001</v>
      </c>
      <c r="L3866">
        <v>4.5999999999999999E-2</v>
      </c>
      <c r="M3866">
        <v>1.08</v>
      </c>
      <c r="N3866">
        <v>0.91</v>
      </c>
    </row>
    <row r="3867" spans="1:14" x14ac:dyDescent="0.25">
      <c r="A3867" t="s">
        <v>7062</v>
      </c>
      <c r="B3867" t="s">
        <v>4477</v>
      </c>
      <c r="C3867" s="1" t="str">
        <f>HYPERLINK("http://www.genecards.org/cgi-bin/carddisp.pl?gene=ADA","GeneCards")</f>
        <v>GeneCards</v>
      </c>
      <c r="D3867" s="1" t="str">
        <f>HYPERLINK("http://genome-euro.ucsc.edu/cgi-bin/hgTracks?position=216705_s_at","UCSC")</f>
        <v>UCSC</v>
      </c>
      <c r="E3867" s="1" t="str">
        <f>HYPERLINK("http://www.ncbi.nlm.nih.gov/gene/?term=ADA","NCBI")</f>
        <v>NCBI</v>
      </c>
      <c r="F3867">
        <v>2.7E-2</v>
      </c>
      <c r="G3867">
        <v>0.12</v>
      </c>
      <c r="H3867" s="1" t="str">
        <f>HYPERLINK("http://www.weizmann.ac.il/complex/compphys/software/geview/data/figures/216705_s_at.png","Figure")</f>
        <v>Figure</v>
      </c>
      <c r="I3867">
        <v>1.2</v>
      </c>
      <c r="J3867">
        <v>0.63</v>
      </c>
      <c r="K3867">
        <v>1.69</v>
      </c>
      <c r="L3867">
        <v>2.4E-2</v>
      </c>
      <c r="M3867">
        <v>1.4</v>
      </c>
      <c r="N3867">
        <v>0.2</v>
      </c>
    </row>
    <row r="3868" spans="1:14" x14ac:dyDescent="0.25">
      <c r="A3868" t="s">
        <v>7063</v>
      </c>
      <c r="B3868" t="s">
        <v>7064</v>
      </c>
      <c r="C3868" s="1" t="str">
        <f>HYPERLINK("http://www.genecards.org/cgi-bin/carddisp.pl?gene=DPY30 /// MEMO1","GeneCards")</f>
        <v>GeneCards</v>
      </c>
      <c r="D3868" s="1" t="str">
        <f>HYPERLINK("http://genome-euro.ucsc.edu/cgi-bin/hgTracks?position=219065_s_at","UCSC")</f>
        <v>UCSC</v>
      </c>
      <c r="E3868" s="1" t="str">
        <f>HYPERLINK("http://www.ncbi.nlm.nih.gov/gene/?term=DPY30 /// MEMO1","NCBI")</f>
        <v>NCBI</v>
      </c>
      <c r="F3868">
        <v>2.7E-2</v>
      </c>
      <c r="G3868">
        <v>0.12</v>
      </c>
      <c r="H3868" s="1" t="str">
        <f>HYPERLINK("http://www.weizmann.ac.il/complex/compphys/software/geview/data/figures/219065_s_at.png","Figure")</f>
        <v>Figure</v>
      </c>
      <c r="I3868">
        <v>0.68799999999999994</v>
      </c>
      <c r="J3868">
        <v>3.7999999999999999E-2</v>
      </c>
      <c r="K3868">
        <v>0.73599999999999999</v>
      </c>
      <c r="L3868">
        <v>5.1999999999999998E-2</v>
      </c>
      <c r="M3868">
        <v>1.07</v>
      </c>
      <c r="N3868">
        <v>0.85</v>
      </c>
    </row>
    <row r="3869" spans="1:14" x14ac:dyDescent="0.25">
      <c r="A3869" t="s">
        <v>7065</v>
      </c>
      <c r="B3869" t="s">
        <v>7066</v>
      </c>
      <c r="C3869" s="1" t="str">
        <f>HYPERLINK("http://www.genecards.org/cgi-bin/carddisp.pl?gene=PEX1","GeneCards")</f>
        <v>GeneCards</v>
      </c>
      <c r="D3869" s="1" t="str">
        <f>HYPERLINK("http://genome-euro.ucsc.edu/cgi-bin/hgTracks?position=215023_s_at","UCSC")</f>
        <v>UCSC</v>
      </c>
      <c r="E3869" s="1" t="str">
        <f>HYPERLINK("http://www.ncbi.nlm.nih.gov/gene/?term=PEX1","NCBI")</f>
        <v>NCBI</v>
      </c>
      <c r="F3869">
        <v>2.7E-2</v>
      </c>
      <c r="G3869">
        <v>0.12</v>
      </c>
      <c r="H3869" s="1" t="str">
        <f>HYPERLINK("http://www.weizmann.ac.il/complex/compphys/software/geview/data/figures/215023_s_at.png","Figure")</f>
        <v>Figure</v>
      </c>
      <c r="I3869">
        <v>0.80700000000000005</v>
      </c>
      <c r="J3869">
        <v>9.6000000000000002E-2</v>
      </c>
      <c r="K3869">
        <v>1.06</v>
      </c>
      <c r="L3869">
        <v>0.78</v>
      </c>
      <c r="M3869">
        <v>1.31</v>
      </c>
      <c r="N3869">
        <v>2.3E-2</v>
      </c>
    </row>
    <row r="3870" spans="1:14" x14ac:dyDescent="0.25">
      <c r="A3870" t="s">
        <v>7067</v>
      </c>
      <c r="B3870" t="s">
        <v>4922</v>
      </c>
      <c r="C3870" s="1" t="str">
        <f>HYPERLINK("http://www.genecards.org/cgi-bin/carddisp.pl?gene=STMN1","GeneCards")</f>
        <v>GeneCards</v>
      </c>
      <c r="D3870" s="1" t="str">
        <f>HYPERLINK("http://genome-euro.ucsc.edu/cgi-bin/hgTracks?position=200783_s_at","UCSC")</f>
        <v>UCSC</v>
      </c>
      <c r="E3870" s="1" t="str">
        <f>HYPERLINK("http://www.ncbi.nlm.nih.gov/gene/?term=STMN1","NCBI")</f>
        <v>NCBI</v>
      </c>
      <c r="F3870">
        <v>2.7E-2</v>
      </c>
      <c r="G3870">
        <v>0.12</v>
      </c>
      <c r="H3870" s="1" t="str">
        <f>HYPERLINK("http://www.weizmann.ac.il/complex/compphys/software/geview/data/figures/200783_s_at.png","Figure")</f>
        <v>Figure</v>
      </c>
      <c r="I3870">
        <v>1.34</v>
      </c>
      <c r="J3870">
        <v>0.2</v>
      </c>
      <c r="K3870">
        <v>0.84099999999999997</v>
      </c>
      <c r="L3870">
        <v>0.46</v>
      </c>
      <c r="M3870">
        <v>0.625</v>
      </c>
      <c r="N3870">
        <v>2.1000000000000001E-2</v>
      </c>
    </row>
    <row r="3871" spans="1:14" x14ac:dyDescent="0.25">
      <c r="A3871" t="s">
        <v>7068</v>
      </c>
      <c r="B3871" t="s">
        <v>7069</v>
      </c>
      <c r="C3871" s="1" t="str">
        <f>HYPERLINK("http://www.genecards.org/cgi-bin/carddisp.pl?gene=ING2","GeneCards")</f>
        <v>GeneCards</v>
      </c>
      <c r="D3871" s="1" t="str">
        <f>HYPERLINK("http://genome-euro.ucsc.edu/cgi-bin/hgTracks?position=205981_s_at","UCSC")</f>
        <v>UCSC</v>
      </c>
      <c r="E3871" s="1" t="str">
        <f>HYPERLINK("http://www.ncbi.nlm.nih.gov/gene/?term=ING2","NCBI")</f>
        <v>NCBI</v>
      </c>
      <c r="F3871">
        <v>2.7E-2</v>
      </c>
      <c r="G3871">
        <v>0.12</v>
      </c>
      <c r="H3871" s="1" t="str">
        <f>HYPERLINK("http://www.weizmann.ac.il/complex/compphys/software/geview/data/figures/205981_s_at.png","Figure")</f>
        <v>Figure</v>
      </c>
      <c r="I3871">
        <v>0.41299999999999998</v>
      </c>
      <c r="J3871">
        <v>4.5999999999999999E-2</v>
      </c>
      <c r="K3871">
        <v>0.45700000000000002</v>
      </c>
      <c r="L3871">
        <v>4.2999999999999997E-2</v>
      </c>
      <c r="M3871">
        <v>1.1100000000000001</v>
      </c>
      <c r="N3871">
        <v>0.94</v>
      </c>
    </row>
    <row r="3872" spans="1:14" x14ac:dyDescent="0.25">
      <c r="A3872" t="s">
        <v>7070</v>
      </c>
      <c r="B3872" t="s">
        <v>1252</v>
      </c>
      <c r="C3872" s="1" t="str">
        <f>HYPERLINK("http://www.genecards.org/cgi-bin/carddisp.pl?gene=MTDH","GeneCards")</f>
        <v>GeneCards</v>
      </c>
      <c r="D3872" s="1" t="str">
        <f>HYPERLINK("http://genome-euro.ucsc.edu/cgi-bin/hgTracks?position=212251_at","UCSC")</f>
        <v>UCSC</v>
      </c>
      <c r="E3872" s="1" t="str">
        <f>HYPERLINK("http://www.ncbi.nlm.nih.gov/gene/?term=MTDH","NCBI")</f>
        <v>NCBI</v>
      </c>
      <c r="F3872">
        <v>2.7E-2</v>
      </c>
      <c r="G3872">
        <v>0.12</v>
      </c>
      <c r="H3872" s="1" t="str">
        <f>HYPERLINK("http://www.weizmann.ac.il/complex/compphys/software/geview/data/figures/212251_at.png","Figure")</f>
        <v>Figure</v>
      </c>
      <c r="I3872">
        <v>0.77900000000000003</v>
      </c>
      <c r="J3872">
        <v>0.13</v>
      </c>
      <c r="K3872">
        <v>1.1000000000000001</v>
      </c>
      <c r="L3872">
        <v>0.64</v>
      </c>
      <c r="M3872">
        <v>1.41</v>
      </c>
      <c r="N3872">
        <v>2.1000000000000001E-2</v>
      </c>
    </row>
    <row r="3873" spans="1:14" x14ac:dyDescent="0.25">
      <c r="A3873" t="s">
        <v>7071</v>
      </c>
      <c r="B3873" t="s">
        <v>7072</v>
      </c>
      <c r="C3873" s="1" t="str">
        <f>HYPERLINK("http://www.genecards.org/cgi-bin/carddisp.pl?gene=EXPH5","GeneCards")</f>
        <v>GeneCards</v>
      </c>
      <c r="D3873" s="1" t="str">
        <f>HYPERLINK("http://genome-euro.ucsc.edu/cgi-bin/hgTracks?position=215226_at","UCSC")</f>
        <v>UCSC</v>
      </c>
      <c r="E3873" s="1" t="str">
        <f>HYPERLINK("http://www.ncbi.nlm.nih.gov/gene/?term=EXPH5","NCBI")</f>
        <v>NCBI</v>
      </c>
      <c r="F3873">
        <v>2.7E-2</v>
      </c>
      <c r="G3873">
        <v>0.12</v>
      </c>
      <c r="H3873" s="1" t="str">
        <f>HYPERLINK("http://www.weizmann.ac.il/complex/compphys/software/geview/data/figures/215226_at.png","Figure")</f>
        <v>Figure</v>
      </c>
      <c r="I3873">
        <v>1.1399999999999999</v>
      </c>
      <c r="J3873">
        <v>2.1999999999999999E-2</v>
      </c>
      <c r="K3873">
        <v>1.07</v>
      </c>
      <c r="L3873">
        <v>0.19</v>
      </c>
      <c r="M3873">
        <v>0.94</v>
      </c>
      <c r="N3873">
        <v>0.28999999999999998</v>
      </c>
    </row>
    <row r="3874" spans="1:14" x14ac:dyDescent="0.25">
      <c r="A3874" t="s">
        <v>7073</v>
      </c>
      <c r="B3874" t="s">
        <v>7074</v>
      </c>
      <c r="C3874" s="1" t="str">
        <f>HYPERLINK("http://www.genecards.org/cgi-bin/carddisp.pl?gene=MIF","GeneCards")</f>
        <v>GeneCards</v>
      </c>
      <c r="D3874" s="1" t="str">
        <f>HYPERLINK("http://genome-euro.ucsc.edu/cgi-bin/hgTracks?position=217871_s_at","UCSC")</f>
        <v>UCSC</v>
      </c>
      <c r="E3874" s="1" t="str">
        <f>HYPERLINK("http://www.ncbi.nlm.nih.gov/gene/?term=MIF","NCBI")</f>
        <v>NCBI</v>
      </c>
      <c r="F3874">
        <v>2.7E-2</v>
      </c>
      <c r="G3874">
        <v>0.12</v>
      </c>
      <c r="H3874" s="1" t="str">
        <f>HYPERLINK("http://www.weizmann.ac.il/complex/compphys/software/geview/data/figures/217871_s_at.png","Figure")</f>
        <v>Figure</v>
      </c>
      <c r="I3874">
        <v>1.0900000000000001</v>
      </c>
      <c r="J3874">
        <v>0.96</v>
      </c>
      <c r="K3874">
        <v>2.14</v>
      </c>
      <c r="L3874">
        <v>3.5999999999999997E-2</v>
      </c>
      <c r="M3874">
        <v>1.96</v>
      </c>
      <c r="N3874">
        <v>8.6999999999999994E-2</v>
      </c>
    </row>
    <row r="3875" spans="1:14" x14ac:dyDescent="0.25">
      <c r="A3875" t="s">
        <v>7075</v>
      </c>
      <c r="B3875" t="s">
        <v>7076</v>
      </c>
      <c r="C3875" s="1" t="str">
        <f>HYPERLINK("http://www.genecards.org/cgi-bin/carddisp.pl?gene=RPS15","GeneCards")</f>
        <v>GeneCards</v>
      </c>
      <c r="D3875" s="1" t="str">
        <f>HYPERLINK("http://genome-euro.ucsc.edu/cgi-bin/hgTracks?position=200819_s_at","UCSC")</f>
        <v>UCSC</v>
      </c>
      <c r="E3875" s="1" t="str">
        <f>HYPERLINK("http://www.ncbi.nlm.nih.gov/gene/?term=RPS15","NCBI")</f>
        <v>NCBI</v>
      </c>
      <c r="F3875">
        <v>2.7E-2</v>
      </c>
      <c r="G3875">
        <v>0.12</v>
      </c>
      <c r="H3875" s="1" t="str">
        <f>HYPERLINK("http://www.weizmann.ac.il/complex/compphys/software/geview/data/figures/200819_s_at.png","Figure")</f>
        <v>Figure</v>
      </c>
      <c r="I3875">
        <v>0.57999999999999996</v>
      </c>
      <c r="J3875">
        <v>2.3E-2</v>
      </c>
      <c r="K3875">
        <v>0.72699999999999998</v>
      </c>
      <c r="L3875">
        <v>0.14000000000000001</v>
      </c>
      <c r="M3875">
        <v>1.25</v>
      </c>
      <c r="N3875">
        <v>0.39</v>
      </c>
    </row>
    <row r="3876" spans="1:14" x14ac:dyDescent="0.25">
      <c r="A3876" t="s">
        <v>7077</v>
      </c>
      <c r="B3876" t="s">
        <v>2652</v>
      </c>
      <c r="C3876" s="1" t="str">
        <f>HYPERLINK("http://www.genecards.org/cgi-bin/carddisp.pl?gene=CEP170","GeneCards")</f>
        <v>GeneCards</v>
      </c>
      <c r="D3876" s="1" t="str">
        <f>HYPERLINK("http://genome-euro.ucsc.edu/cgi-bin/hgTracks?position=207719_x_at","UCSC")</f>
        <v>UCSC</v>
      </c>
      <c r="E3876" s="1" t="str">
        <f>HYPERLINK("http://www.ncbi.nlm.nih.gov/gene/?term=CEP170","NCBI")</f>
        <v>NCBI</v>
      </c>
      <c r="F3876">
        <v>2.7E-2</v>
      </c>
      <c r="G3876">
        <v>0.12</v>
      </c>
      <c r="H3876" s="1" t="str">
        <f>HYPERLINK("http://www.weizmann.ac.il/complex/compphys/software/geview/data/figures/207719_x_at.png","Figure")</f>
        <v>Figure</v>
      </c>
      <c r="I3876">
        <v>0.96899999999999997</v>
      </c>
      <c r="J3876">
        <v>0.99</v>
      </c>
      <c r="K3876">
        <v>1.68</v>
      </c>
      <c r="L3876">
        <v>5.2999999999999999E-2</v>
      </c>
      <c r="M3876">
        <v>1.74</v>
      </c>
      <c r="N3876">
        <v>5.5E-2</v>
      </c>
    </row>
    <row r="3877" spans="1:14" x14ac:dyDescent="0.25">
      <c r="A3877" t="s">
        <v>7078</v>
      </c>
      <c r="B3877" t="s">
        <v>7079</v>
      </c>
      <c r="C3877" s="1" t="str">
        <f>HYPERLINK("http://www.genecards.org/cgi-bin/carddisp.pl?gene=RRP7A /// RRP7B","GeneCards")</f>
        <v>GeneCards</v>
      </c>
      <c r="D3877" s="1" t="str">
        <f>HYPERLINK("http://genome-euro.ucsc.edu/cgi-bin/hgTracks?position=214828_s_at","UCSC")</f>
        <v>UCSC</v>
      </c>
      <c r="E3877" s="1" t="str">
        <f>HYPERLINK("http://www.ncbi.nlm.nih.gov/gene/?term=RRP7A /// RRP7B","NCBI")</f>
        <v>NCBI</v>
      </c>
      <c r="F3877">
        <v>2.7E-2</v>
      </c>
      <c r="G3877">
        <v>0.12</v>
      </c>
      <c r="H3877" s="1" t="str">
        <f>HYPERLINK("http://www.weizmann.ac.il/complex/compphys/software/geview/data/figures/214828_s_at.png","Figure")</f>
        <v>Figure</v>
      </c>
      <c r="I3877">
        <v>1.26</v>
      </c>
      <c r="J3877">
        <v>3.5000000000000003E-2</v>
      </c>
      <c r="K3877">
        <v>1.2</v>
      </c>
      <c r="L3877">
        <v>0.06</v>
      </c>
      <c r="M3877">
        <v>0.95</v>
      </c>
      <c r="N3877">
        <v>0.79</v>
      </c>
    </row>
    <row r="3878" spans="1:14" x14ac:dyDescent="0.25">
      <c r="A3878" t="s">
        <v>7080</v>
      </c>
      <c r="B3878" t="s">
        <v>7081</v>
      </c>
      <c r="C3878" s="1" t="str">
        <f>HYPERLINK("http://www.genecards.org/cgi-bin/carddisp.pl?gene=SRPK2","GeneCards")</f>
        <v>GeneCards</v>
      </c>
      <c r="D3878" s="1" t="str">
        <f>HYPERLINK("http://genome-euro.ucsc.edu/cgi-bin/hgTracks?position=214931_s_at","UCSC")</f>
        <v>UCSC</v>
      </c>
      <c r="E3878" s="1" t="str">
        <f>HYPERLINK("http://www.ncbi.nlm.nih.gov/gene/?term=SRPK2","NCBI")</f>
        <v>NCBI</v>
      </c>
      <c r="F3878">
        <v>2.7E-2</v>
      </c>
      <c r="G3878">
        <v>0.12</v>
      </c>
      <c r="H3878" s="1" t="str">
        <f>HYPERLINK("http://www.weizmann.ac.il/complex/compphys/software/geview/data/figures/214931_s_at.png","Figure")</f>
        <v>Figure</v>
      </c>
      <c r="I3878">
        <v>1.23</v>
      </c>
      <c r="J3878">
        <v>4.4999999999999998E-2</v>
      </c>
      <c r="K3878">
        <v>1.2</v>
      </c>
      <c r="L3878">
        <v>4.3999999999999997E-2</v>
      </c>
      <c r="M3878">
        <v>0.97499999999999998</v>
      </c>
      <c r="N3878">
        <v>0.93</v>
      </c>
    </row>
    <row r="3879" spans="1:14" x14ac:dyDescent="0.25">
      <c r="A3879" t="s">
        <v>7082</v>
      </c>
      <c r="B3879" t="s">
        <v>639</v>
      </c>
      <c r="C3879" s="1" t="str">
        <f>HYPERLINK("http://www.genecards.org/cgi-bin/carddisp.pl?gene=LST1","GeneCards")</f>
        <v>GeneCards</v>
      </c>
      <c r="D3879" s="1" t="str">
        <f>HYPERLINK("http://genome-euro.ucsc.edu/cgi-bin/hgTracks?position=214574_x_at","UCSC")</f>
        <v>UCSC</v>
      </c>
      <c r="E3879" s="1" t="str">
        <f>HYPERLINK("http://www.ncbi.nlm.nih.gov/gene/?term=LST1","NCBI")</f>
        <v>NCBI</v>
      </c>
      <c r="F3879">
        <v>2.7E-2</v>
      </c>
      <c r="G3879">
        <v>0.12</v>
      </c>
      <c r="H3879" s="1" t="str">
        <f>HYPERLINK("http://www.weizmann.ac.il/complex/compphys/software/geview/data/figures/214574_x_at.png","Figure")</f>
        <v>Figure</v>
      </c>
      <c r="I3879">
        <v>0.54</v>
      </c>
      <c r="J3879">
        <v>2.5000000000000001E-2</v>
      </c>
      <c r="K3879">
        <v>0.67900000000000005</v>
      </c>
      <c r="L3879">
        <v>0.11</v>
      </c>
      <c r="M3879">
        <v>1.26</v>
      </c>
      <c r="N3879">
        <v>0.47</v>
      </c>
    </row>
    <row r="3880" spans="1:14" x14ac:dyDescent="0.25">
      <c r="A3880" t="s">
        <v>7083</v>
      </c>
      <c r="B3880" t="s">
        <v>7084</v>
      </c>
      <c r="C3880" s="1" t="str">
        <f>HYPERLINK("http://www.genecards.org/cgi-bin/carddisp.pl?gene=NSL1","GeneCards")</f>
        <v>GeneCards</v>
      </c>
      <c r="D3880" s="1" t="str">
        <f>HYPERLINK("http://genome-euro.ucsc.edu/cgi-bin/hgTracks?position=209484_s_at","UCSC")</f>
        <v>UCSC</v>
      </c>
      <c r="E3880" s="1" t="str">
        <f>HYPERLINK("http://www.ncbi.nlm.nih.gov/gene/?term=NSL1","NCBI")</f>
        <v>NCBI</v>
      </c>
      <c r="F3880">
        <v>2.7E-2</v>
      </c>
      <c r="G3880">
        <v>0.12</v>
      </c>
      <c r="H3880" s="1" t="str">
        <f>HYPERLINK("http://www.weizmann.ac.il/complex/compphys/software/geview/data/figures/209484_s_at.png","Figure")</f>
        <v>Figure</v>
      </c>
      <c r="I3880">
        <v>1.64</v>
      </c>
      <c r="J3880">
        <v>9.7000000000000003E-2</v>
      </c>
      <c r="K3880">
        <v>1.77</v>
      </c>
      <c r="L3880">
        <v>2.5999999999999999E-2</v>
      </c>
      <c r="M3880">
        <v>1.08</v>
      </c>
      <c r="N3880">
        <v>0.93</v>
      </c>
    </row>
    <row r="3881" spans="1:14" x14ac:dyDescent="0.25">
      <c r="A3881" t="s">
        <v>7085</v>
      </c>
      <c r="B3881" t="s">
        <v>7086</v>
      </c>
      <c r="C3881" s="1" t="str">
        <f>HYPERLINK("http://www.genecards.org/cgi-bin/carddisp.pl?gene=AMY1A /// AMY1B /// AMY1C /// AMY2A /// AMY2B","GeneCards")</f>
        <v>GeneCards</v>
      </c>
      <c r="D3881" s="1" t="str">
        <f>HYPERLINK("http://genome-euro.ucsc.edu/cgi-bin/hgTracks?position=208498_s_at","UCSC")</f>
        <v>UCSC</v>
      </c>
      <c r="E3881" s="1" t="str">
        <f>HYPERLINK("http://www.ncbi.nlm.nih.gov/gene/?term=AMY1A /// AMY1B /// AMY1C /// AMY2A /// AMY2B","NCBI")</f>
        <v>NCBI</v>
      </c>
      <c r="F3881">
        <v>2.7E-2</v>
      </c>
      <c r="G3881">
        <v>0.12</v>
      </c>
      <c r="H3881" s="1" t="str">
        <f>HYPERLINK("http://www.weizmann.ac.il/complex/compphys/software/geview/data/figures/208498_s_at.png","Figure")</f>
        <v>Figure</v>
      </c>
      <c r="I3881">
        <v>0.96799999999999997</v>
      </c>
      <c r="J3881">
        <v>4.7E-2</v>
      </c>
      <c r="K3881">
        <v>1</v>
      </c>
      <c r="L3881">
        <v>1</v>
      </c>
      <c r="M3881">
        <v>1.03</v>
      </c>
      <c r="N3881">
        <v>3.3000000000000002E-2</v>
      </c>
    </row>
    <row r="3882" spans="1:14" x14ac:dyDescent="0.25">
      <c r="A3882" t="s">
        <v>7087</v>
      </c>
      <c r="B3882" t="s">
        <v>7088</v>
      </c>
      <c r="C3882" s="1" t="str">
        <f>HYPERLINK("http://www.genecards.org/cgi-bin/carddisp.pl?gene=C1QA","GeneCards")</f>
        <v>GeneCards</v>
      </c>
      <c r="D3882" s="1" t="str">
        <f>HYPERLINK("http://genome-euro.ucsc.edu/cgi-bin/hgTracks?position=218232_at","UCSC")</f>
        <v>UCSC</v>
      </c>
      <c r="E3882" s="1" t="str">
        <f>HYPERLINK("http://www.ncbi.nlm.nih.gov/gene/?term=C1QA","NCBI")</f>
        <v>NCBI</v>
      </c>
      <c r="F3882">
        <v>2.7E-2</v>
      </c>
      <c r="G3882">
        <v>0.12</v>
      </c>
      <c r="H3882" s="1" t="str">
        <f>HYPERLINK("http://www.weizmann.ac.il/complex/compphys/software/geview/data/figures/218232_at.png","Figure")</f>
        <v>Figure</v>
      </c>
      <c r="I3882">
        <v>1.1399999999999999</v>
      </c>
      <c r="J3882">
        <v>2.5999999999999999E-2</v>
      </c>
      <c r="K3882">
        <v>1.0900000000000001</v>
      </c>
      <c r="L3882">
        <v>0.1</v>
      </c>
      <c r="M3882">
        <v>0.95499999999999996</v>
      </c>
      <c r="N3882">
        <v>0.51</v>
      </c>
    </row>
    <row r="3883" spans="1:14" x14ac:dyDescent="0.25">
      <c r="A3883" t="s">
        <v>7089</v>
      </c>
      <c r="B3883" t="s">
        <v>7090</v>
      </c>
      <c r="C3883" s="1" t="str">
        <f>HYPERLINK("http://www.genecards.org/cgi-bin/carddisp.pl?gene=NPEPL1","GeneCards")</f>
        <v>GeneCards</v>
      </c>
      <c r="D3883" s="1" t="str">
        <f>HYPERLINK("http://genome-euro.ucsc.edu/cgi-bin/hgTracks?position=218821_at","UCSC")</f>
        <v>UCSC</v>
      </c>
      <c r="E3883" s="1" t="str">
        <f>HYPERLINK("http://www.ncbi.nlm.nih.gov/gene/?term=NPEPL1","NCBI")</f>
        <v>NCBI</v>
      </c>
      <c r="F3883">
        <v>2.7E-2</v>
      </c>
      <c r="G3883">
        <v>0.12</v>
      </c>
      <c r="H3883" s="1" t="str">
        <f>HYPERLINK("http://www.weizmann.ac.il/complex/compphys/software/geview/data/figures/218821_at.png","Figure")</f>
        <v>Figure</v>
      </c>
      <c r="I3883">
        <v>0.86499999999999999</v>
      </c>
      <c r="J3883">
        <v>0.46</v>
      </c>
      <c r="K3883">
        <v>0.72699999999999998</v>
      </c>
      <c r="L3883">
        <v>2.1999999999999999E-2</v>
      </c>
      <c r="M3883">
        <v>0.84099999999999997</v>
      </c>
      <c r="N3883">
        <v>0.28999999999999998</v>
      </c>
    </row>
    <row r="3884" spans="1:14" x14ac:dyDescent="0.25">
      <c r="A3884" t="s">
        <v>7091</v>
      </c>
      <c r="B3884" t="s">
        <v>7092</v>
      </c>
      <c r="C3884" s="1" t="str">
        <f>HYPERLINK("http://www.genecards.org/cgi-bin/carddisp.pl?gene=PPP2R5C","GeneCards")</f>
        <v>GeneCards</v>
      </c>
      <c r="D3884" s="1" t="str">
        <f>HYPERLINK("http://genome-euro.ucsc.edu/cgi-bin/hgTracks?position=201877_s_at","UCSC")</f>
        <v>UCSC</v>
      </c>
      <c r="E3884" s="1" t="str">
        <f>HYPERLINK("http://www.ncbi.nlm.nih.gov/gene/?term=PPP2R5C","NCBI")</f>
        <v>NCBI</v>
      </c>
      <c r="F3884">
        <v>2.7E-2</v>
      </c>
      <c r="G3884">
        <v>0.12</v>
      </c>
      <c r="H3884" s="1" t="str">
        <f>HYPERLINK("http://www.weizmann.ac.il/complex/compphys/software/geview/data/figures/201877_s_at.png","Figure")</f>
        <v>Figure</v>
      </c>
      <c r="I3884">
        <v>0.56100000000000005</v>
      </c>
      <c r="J3884">
        <v>0.23</v>
      </c>
      <c r="K3884">
        <v>1.47</v>
      </c>
      <c r="L3884">
        <v>0.4</v>
      </c>
      <c r="M3884">
        <v>2.62</v>
      </c>
      <c r="N3884">
        <v>2.1000000000000001E-2</v>
      </c>
    </row>
    <row r="3885" spans="1:14" x14ac:dyDescent="0.25">
      <c r="A3885" t="s">
        <v>7093</v>
      </c>
      <c r="B3885" t="s">
        <v>7094</v>
      </c>
      <c r="C3885" s="1" t="str">
        <f>HYPERLINK("http://www.genecards.org/cgi-bin/carddisp.pl?gene=PIGQ","GeneCards")</f>
        <v>GeneCards</v>
      </c>
      <c r="D3885" s="1" t="str">
        <f>HYPERLINK("http://genome-euro.ucsc.edu/cgi-bin/hgTracks?position=204144_s_at","UCSC")</f>
        <v>UCSC</v>
      </c>
      <c r="E3885" s="1" t="str">
        <f>HYPERLINK("http://www.ncbi.nlm.nih.gov/gene/?term=PIGQ","NCBI")</f>
        <v>NCBI</v>
      </c>
      <c r="F3885">
        <v>2.7E-2</v>
      </c>
      <c r="G3885">
        <v>0.12</v>
      </c>
      <c r="H3885" s="1" t="str">
        <f>HYPERLINK("http://www.weizmann.ac.il/complex/compphys/software/geview/data/figures/204144_s_at.png","Figure")</f>
        <v>Figure</v>
      </c>
      <c r="I3885">
        <v>1.24</v>
      </c>
      <c r="J3885">
        <v>2.7E-2</v>
      </c>
      <c r="K3885">
        <v>1.05</v>
      </c>
      <c r="L3885">
        <v>0.76</v>
      </c>
      <c r="M3885">
        <v>0.84399999999999997</v>
      </c>
      <c r="N3885">
        <v>6.3E-2</v>
      </c>
    </row>
    <row r="3886" spans="1:14" x14ac:dyDescent="0.25">
      <c r="A3886" t="s">
        <v>7095</v>
      </c>
      <c r="B3886" t="s">
        <v>7096</v>
      </c>
      <c r="C3886" s="1" t="str">
        <f>HYPERLINK("http://www.genecards.org/cgi-bin/carddisp.pl?gene=FZR1","GeneCards")</f>
        <v>GeneCards</v>
      </c>
      <c r="D3886" s="1" t="str">
        <f>HYPERLINK("http://genome-euro.ucsc.edu/cgi-bin/hgTracks?position=209416_s_at","UCSC")</f>
        <v>UCSC</v>
      </c>
      <c r="E3886" s="1" t="str">
        <f>HYPERLINK("http://www.ncbi.nlm.nih.gov/gene/?term=FZR1","NCBI")</f>
        <v>NCBI</v>
      </c>
      <c r="F3886">
        <v>2.7E-2</v>
      </c>
      <c r="G3886">
        <v>0.12</v>
      </c>
      <c r="H3886" s="1" t="str">
        <f>HYPERLINK("http://www.weizmann.ac.il/complex/compphys/software/geview/data/figures/209416_s_at.png","Figure")</f>
        <v>Figure</v>
      </c>
      <c r="I3886">
        <v>1.34</v>
      </c>
      <c r="J3886">
        <v>2.1999999999999999E-2</v>
      </c>
      <c r="K3886">
        <v>1.17</v>
      </c>
      <c r="L3886">
        <v>0.17</v>
      </c>
      <c r="M3886">
        <v>0.874</v>
      </c>
      <c r="N3886">
        <v>0.32</v>
      </c>
    </row>
    <row r="3887" spans="1:14" x14ac:dyDescent="0.25">
      <c r="A3887" t="s">
        <v>7097</v>
      </c>
      <c r="B3887" t="s">
        <v>7098</v>
      </c>
      <c r="C3887" s="1" t="str">
        <f>HYPERLINK("http://www.genecards.org/cgi-bin/carddisp.pl?gene=GDI2","GeneCards")</f>
        <v>GeneCards</v>
      </c>
      <c r="D3887" s="1" t="str">
        <f>HYPERLINK("http://genome-euro.ucsc.edu/cgi-bin/hgTracks?position=200009_at","UCSC")</f>
        <v>UCSC</v>
      </c>
      <c r="E3887" s="1" t="str">
        <f>HYPERLINK("http://www.ncbi.nlm.nih.gov/gene/?term=GDI2","NCBI")</f>
        <v>NCBI</v>
      </c>
      <c r="F3887">
        <v>2.7E-2</v>
      </c>
      <c r="G3887">
        <v>0.12</v>
      </c>
      <c r="H3887" s="1" t="str">
        <f>HYPERLINK("http://www.weizmann.ac.il/complex/compphys/software/geview/data/figures/200009_at.png","Figure")</f>
        <v>Figure</v>
      </c>
      <c r="I3887">
        <v>0.68400000000000005</v>
      </c>
      <c r="J3887">
        <v>0.23</v>
      </c>
      <c r="K3887">
        <v>1.29</v>
      </c>
      <c r="L3887">
        <v>0.4</v>
      </c>
      <c r="M3887">
        <v>1.88</v>
      </c>
      <c r="N3887">
        <v>2.1000000000000001E-2</v>
      </c>
    </row>
    <row r="3888" spans="1:14" x14ac:dyDescent="0.25">
      <c r="A3888" t="s">
        <v>7099</v>
      </c>
      <c r="B3888" t="s">
        <v>7100</v>
      </c>
      <c r="C3888" s="1" t="str">
        <f>HYPERLINK("http://www.genecards.org/cgi-bin/carddisp.pl?gene=PMM2","GeneCards")</f>
        <v>GeneCards</v>
      </c>
      <c r="D3888" s="1" t="str">
        <f>HYPERLINK("http://genome-euro.ucsc.edu/cgi-bin/hgTracks?position=203201_at","UCSC")</f>
        <v>UCSC</v>
      </c>
      <c r="E3888" s="1" t="str">
        <f>HYPERLINK("http://www.ncbi.nlm.nih.gov/gene/?term=PMM2","NCBI")</f>
        <v>NCBI</v>
      </c>
      <c r="F3888">
        <v>2.7E-2</v>
      </c>
      <c r="G3888">
        <v>0.12</v>
      </c>
      <c r="H3888" s="1" t="str">
        <f>HYPERLINK("http://www.weizmann.ac.il/complex/compphys/software/geview/data/figures/203201_at.png","Figure")</f>
        <v>Figure</v>
      </c>
      <c r="I3888">
        <v>1.21</v>
      </c>
      <c r="J3888">
        <v>0.15</v>
      </c>
      <c r="K3888">
        <v>1.29</v>
      </c>
      <c r="L3888">
        <v>2.3E-2</v>
      </c>
      <c r="M3888">
        <v>1.07</v>
      </c>
      <c r="N3888">
        <v>0.76</v>
      </c>
    </row>
    <row r="3889" spans="1:14" x14ac:dyDescent="0.25">
      <c r="A3889" t="s">
        <v>7101</v>
      </c>
      <c r="B3889" t="s">
        <v>7102</v>
      </c>
      <c r="C3889" s="1" t="str">
        <f>HYPERLINK("http://www.genecards.org/cgi-bin/carddisp.pl?gene=RICH2","GeneCards")</f>
        <v>GeneCards</v>
      </c>
      <c r="D3889" s="1" t="str">
        <f>HYPERLINK("http://genome-euro.ucsc.edu/cgi-bin/hgTracks?position=205414_s_at","UCSC")</f>
        <v>UCSC</v>
      </c>
      <c r="E3889" s="1" t="str">
        <f>HYPERLINK("http://www.ncbi.nlm.nih.gov/gene/?term=RICH2","NCBI")</f>
        <v>NCBI</v>
      </c>
      <c r="F3889">
        <v>2.7E-2</v>
      </c>
      <c r="G3889">
        <v>0.12</v>
      </c>
      <c r="H3889" s="1" t="str">
        <f>HYPERLINK("http://www.weizmann.ac.il/complex/compphys/software/geview/data/figures/205414_s_at.png","Figure")</f>
        <v>Figure</v>
      </c>
      <c r="I3889">
        <v>1.0900000000000001</v>
      </c>
      <c r="J3889">
        <v>4.9000000000000002E-2</v>
      </c>
      <c r="K3889">
        <v>1.08</v>
      </c>
      <c r="L3889">
        <v>4.1000000000000002E-2</v>
      </c>
      <c r="M3889">
        <v>0.99199999999999999</v>
      </c>
      <c r="N3889">
        <v>0.96</v>
      </c>
    </row>
    <row r="3890" spans="1:14" x14ac:dyDescent="0.25">
      <c r="A3890" t="s">
        <v>7103</v>
      </c>
      <c r="B3890" t="s">
        <v>7104</v>
      </c>
      <c r="C3890" s="1" t="str">
        <f>HYPERLINK("http://www.genecards.org/cgi-bin/carddisp.pl?gene=GUCY1B3","GeneCards")</f>
        <v>GeneCards</v>
      </c>
      <c r="D3890" s="1" t="str">
        <f>HYPERLINK("http://genome-euro.ucsc.edu/cgi-bin/hgTracks?position=203817_at","UCSC")</f>
        <v>UCSC</v>
      </c>
      <c r="E3890" s="1" t="str">
        <f>HYPERLINK("http://www.ncbi.nlm.nih.gov/gene/?term=GUCY1B3","NCBI")</f>
        <v>NCBI</v>
      </c>
      <c r="F3890">
        <v>2.7E-2</v>
      </c>
      <c r="G3890">
        <v>0.12</v>
      </c>
      <c r="H3890" s="1" t="str">
        <f>HYPERLINK("http://www.weizmann.ac.il/complex/compphys/software/geview/data/figures/203817_at.png","Figure")</f>
        <v>Figure</v>
      </c>
      <c r="I3890">
        <v>0.63100000000000001</v>
      </c>
      <c r="J3890">
        <v>2.1000000000000001E-2</v>
      </c>
      <c r="K3890">
        <v>0.82599999999999996</v>
      </c>
      <c r="L3890">
        <v>0.33</v>
      </c>
      <c r="M3890">
        <v>1.31</v>
      </c>
      <c r="N3890">
        <v>0.16</v>
      </c>
    </row>
    <row r="3891" spans="1:14" x14ac:dyDescent="0.25">
      <c r="A3891" t="s">
        <v>7105</v>
      </c>
      <c r="B3891" t="s">
        <v>7106</v>
      </c>
      <c r="C3891" s="1" t="str">
        <f>HYPERLINK("http://www.genecards.org/cgi-bin/carddisp.pl?gene=DNAJC8","GeneCards")</f>
        <v>GeneCards</v>
      </c>
      <c r="D3891" s="1" t="str">
        <f>HYPERLINK("http://genome-euro.ucsc.edu/cgi-bin/hgTracks?position=212491_s_at","UCSC")</f>
        <v>UCSC</v>
      </c>
      <c r="E3891" s="1" t="str">
        <f>HYPERLINK("http://www.ncbi.nlm.nih.gov/gene/?term=DNAJC8","NCBI")</f>
        <v>NCBI</v>
      </c>
      <c r="F3891">
        <v>2.7E-2</v>
      </c>
      <c r="G3891">
        <v>0.12</v>
      </c>
      <c r="H3891" s="1" t="str">
        <f>HYPERLINK("http://www.weizmann.ac.il/complex/compphys/software/geview/data/figures/212491_s_at.png","Figure")</f>
        <v>Figure</v>
      </c>
      <c r="I3891">
        <v>1.49</v>
      </c>
      <c r="J3891">
        <v>2.1000000000000001E-2</v>
      </c>
      <c r="K3891">
        <v>1.19</v>
      </c>
      <c r="L3891">
        <v>0.28999999999999998</v>
      </c>
      <c r="M3891">
        <v>0.8</v>
      </c>
      <c r="N3891">
        <v>0.19</v>
      </c>
    </row>
    <row r="3892" spans="1:14" x14ac:dyDescent="0.25">
      <c r="A3892" t="s">
        <v>7107</v>
      </c>
      <c r="B3892" t="s">
        <v>7108</v>
      </c>
      <c r="C3892" s="1" t="str">
        <f>HYPERLINK("http://www.genecards.org/cgi-bin/carddisp.pl?gene=C1orf89","GeneCards")</f>
        <v>GeneCards</v>
      </c>
      <c r="D3892" s="1" t="str">
        <f>HYPERLINK("http://genome-euro.ucsc.edu/cgi-bin/hgTracks?position=220963_s_at","UCSC")</f>
        <v>UCSC</v>
      </c>
      <c r="E3892" s="1" t="str">
        <f>HYPERLINK("http://www.ncbi.nlm.nih.gov/gene/?term=C1orf89","NCBI")</f>
        <v>NCBI</v>
      </c>
      <c r="F3892">
        <v>2.7E-2</v>
      </c>
      <c r="G3892">
        <v>0.12</v>
      </c>
      <c r="H3892" s="1" t="str">
        <f>HYPERLINK("http://www.weizmann.ac.il/complex/compphys/software/geview/data/figures/220963_s_at.png","Figure")</f>
        <v>Figure</v>
      </c>
      <c r="I3892">
        <v>1.21</v>
      </c>
      <c r="J3892">
        <v>2.1000000000000001E-2</v>
      </c>
      <c r="K3892">
        <v>1.1000000000000001</v>
      </c>
      <c r="L3892">
        <v>0.21</v>
      </c>
      <c r="M3892">
        <v>0.91100000000000003</v>
      </c>
      <c r="N3892">
        <v>0.26</v>
      </c>
    </row>
    <row r="3893" spans="1:14" x14ac:dyDescent="0.25">
      <c r="A3893" t="s">
        <v>7109</v>
      </c>
      <c r="B3893" t="s">
        <v>820</v>
      </c>
      <c r="C3893" s="1" t="str">
        <f>HYPERLINK("http://www.genecards.org/cgi-bin/carddisp.pl?gene=GORASP2","GeneCards")</f>
        <v>GeneCards</v>
      </c>
      <c r="D3893" s="1" t="str">
        <f>HYPERLINK("http://genome-euro.ucsc.edu/cgi-bin/hgTracks?position=207812_s_at","UCSC")</f>
        <v>UCSC</v>
      </c>
      <c r="E3893" s="1" t="str">
        <f>HYPERLINK("http://www.ncbi.nlm.nih.gov/gene/?term=GORASP2","NCBI")</f>
        <v>NCBI</v>
      </c>
      <c r="F3893">
        <v>2.7E-2</v>
      </c>
      <c r="G3893">
        <v>0.12</v>
      </c>
      <c r="H3893" s="1" t="str">
        <f>HYPERLINK("http://www.weizmann.ac.il/complex/compphys/software/geview/data/figures/207812_s_at.png","Figure")</f>
        <v>Figure</v>
      </c>
      <c r="I3893">
        <v>0.63100000000000001</v>
      </c>
      <c r="J3893">
        <v>9.8000000000000004E-2</v>
      </c>
      <c r="K3893">
        <v>0.58799999999999997</v>
      </c>
      <c r="L3893">
        <v>2.5999999999999999E-2</v>
      </c>
      <c r="M3893">
        <v>0.93100000000000005</v>
      </c>
      <c r="N3893">
        <v>0.93</v>
      </c>
    </row>
    <row r="3894" spans="1:14" x14ac:dyDescent="0.25">
      <c r="A3894" t="s">
        <v>7110</v>
      </c>
      <c r="B3894" t="s">
        <v>7111</v>
      </c>
      <c r="C3894" s="1" t="str">
        <f>HYPERLINK("http://www.genecards.org/cgi-bin/carddisp.pl?gene=CIDEB","GeneCards")</f>
        <v>GeneCards</v>
      </c>
      <c r="D3894" s="1" t="str">
        <f>HYPERLINK("http://genome-euro.ucsc.edu/cgi-bin/hgTracks?position=221188_s_at","UCSC")</f>
        <v>UCSC</v>
      </c>
      <c r="E3894" s="1" t="str">
        <f>HYPERLINK("http://www.ncbi.nlm.nih.gov/gene/?term=CIDEB","NCBI")</f>
        <v>NCBI</v>
      </c>
      <c r="F3894">
        <v>2.7E-2</v>
      </c>
      <c r="G3894">
        <v>0.12</v>
      </c>
      <c r="H3894" s="1" t="str">
        <f>HYPERLINK("http://www.weizmann.ac.il/complex/compphys/software/geview/data/figures/221188_s_at.png","Figure")</f>
        <v>Figure</v>
      </c>
      <c r="I3894">
        <v>0.79</v>
      </c>
      <c r="J3894">
        <v>0.28000000000000003</v>
      </c>
      <c r="K3894">
        <v>1.21</v>
      </c>
      <c r="L3894">
        <v>0.33</v>
      </c>
      <c r="M3894">
        <v>1.53</v>
      </c>
      <c r="N3894">
        <v>2.1999999999999999E-2</v>
      </c>
    </row>
    <row r="3895" spans="1:14" x14ac:dyDescent="0.25">
      <c r="A3895" t="s">
        <v>7112</v>
      </c>
      <c r="B3895" t="s">
        <v>7113</v>
      </c>
      <c r="C3895" s="1" t="str">
        <f>HYPERLINK("http://www.genecards.org/cgi-bin/carddisp.pl?gene=C7orf28A /// C7orf28B /// LOC100133775","GeneCards")</f>
        <v>GeneCards</v>
      </c>
      <c r="D3895" s="1" t="str">
        <f>HYPERLINK("http://genome-euro.ucsc.edu/cgi-bin/hgTracks?position=201973_s_at","UCSC")</f>
        <v>UCSC</v>
      </c>
      <c r="E3895" s="1" t="str">
        <f>HYPERLINK("http://www.ncbi.nlm.nih.gov/gene/?term=C7orf28A /// C7orf28B /// LOC100133775","NCBI")</f>
        <v>NCBI</v>
      </c>
      <c r="F3895">
        <v>2.7E-2</v>
      </c>
      <c r="G3895">
        <v>0.12</v>
      </c>
      <c r="H3895" s="1" t="str">
        <f>HYPERLINK("http://www.weizmann.ac.il/complex/compphys/software/geview/data/figures/201973_s_at.png","Figure")</f>
        <v>Figure</v>
      </c>
      <c r="I3895">
        <v>0.97299999999999998</v>
      </c>
      <c r="J3895">
        <v>0.97</v>
      </c>
      <c r="K3895">
        <v>1.28</v>
      </c>
      <c r="L3895">
        <v>5.8999999999999997E-2</v>
      </c>
      <c r="M3895">
        <v>1.32</v>
      </c>
      <c r="N3895">
        <v>0.05</v>
      </c>
    </row>
    <row r="3896" spans="1:14" x14ac:dyDescent="0.25">
      <c r="A3896" t="s">
        <v>7114</v>
      </c>
      <c r="B3896" t="s">
        <v>124</v>
      </c>
      <c r="C3896" s="1" t="str">
        <f>HYPERLINK("http://www.genecards.org/cgi-bin/carddisp.pl?gene=ALOX5","GeneCards")</f>
        <v>GeneCards</v>
      </c>
      <c r="D3896" s="1" t="str">
        <f>HYPERLINK("http://genome-euro.ucsc.edu/cgi-bin/hgTracks?position=213952_s_at","UCSC")</f>
        <v>UCSC</v>
      </c>
      <c r="E3896" s="1" t="str">
        <f>HYPERLINK("http://www.ncbi.nlm.nih.gov/gene/?term=ALOX5","NCBI")</f>
        <v>NCBI</v>
      </c>
      <c r="F3896">
        <v>2.7E-2</v>
      </c>
      <c r="G3896">
        <v>0.12</v>
      </c>
      <c r="H3896" s="1" t="str">
        <f>HYPERLINK("http://www.weizmann.ac.il/complex/compphys/software/geview/data/figures/213952_s_at.png","Figure")</f>
        <v>Figure</v>
      </c>
      <c r="I3896">
        <v>1</v>
      </c>
      <c r="J3896">
        <v>1</v>
      </c>
      <c r="K3896">
        <v>0.96699999999999997</v>
      </c>
      <c r="L3896">
        <v>4.7E-2</v>
      </c>
      <c r="M3896">
        <v>0.96699999999999997</v>
      </c>
      <c r="N3896">
        <v>6.4000000000000001E-2</v>
      </c>
    </row>
    <row r="3897" spans="1:14" x14ac:dyDescent="0.25">
      <c r="A3897" t="s">
        <v>7115</v>
      </c>
      <c r="B3897" t="s">
        <v>7116</v>
      </c>
      <c r="C3897" s="1" t="str">
        <f>HYPERLINK("http://www.genecards.org/cgi-bin/carddisp.pl?gene=HLCS","GeneCards")</f>
        <v>GeneCards</v>
      </c>
      <c r="D3897" s="1" t="str">
        <f>HYPERLINK("http://genome-euro.ucsc.edu/cgi-bin/hgTracks?position=209399_at","UCSC")</f>
        <v>UCSC</v>
      </c>
      <c r="E3897" s="1" t="str">
        <f>HYPERLINK("http://www.ncbi.nlm.nih.gov/gene/?term=HLCS","NCBI")</f>
        <v>NCBI</v>
      </c>
      <c r="F3897">
        <v>2.7E-2</v>
      </c>
      <c r="G3897">
        <v>0.12</v>
      </c>
      <c r="H3897" s="1" t="str">
        <f>HYPERLINK("http://www.weizmann.ac.il/complex/compphys/software/geview/data/figures/209399_at.png","Figure")</f>
        <v>Figure</v>
      </c>
      <c r="I3897">
        <v>1.06</v>
      </c>
      <c r="J3897">
        <v>0.6</v>
      </c>
      <c r="K3897">
        <v>1.18</v>
      </c>
      <c r="L3897">
        <v>2.4E-2</v>
      </c>
      <c r="M3897">
        <v>1.1100000000000001</v>
      </c>
      <c r="N3897">
        <v>0.21</v>
      </c>
    </row>
    <row r="3898" spans="1:14" x14ac:dyDescent="0.25">
      <c r="A3898" t="s">
        <v>7117</v>
      </c>
      <c r="B3898" t="s">
        <v>4258</v>
      </c>
      <c r="C3898" s="1" t="str">
        <f>HYPERLINK("http://www.genecards.org/cgi-bin/carddisp.pl?gene=SOX11","GeneCards")</f>
        <v>GeneCards</v>
      </c>
      <c r="D3898" s="1" t="str">
        <f>HYPERLINK("http://genome-euro.ucsc.edu/cgi-bin/hgTracks?position=204915_s_at","UCSC")</f>
        <v>UCSC</v>
      </c>
      <c r="E3898" s="1" t="str">
        <f>HYPERLINK("http://www.ncbi.nlm.nih.gov/gene/?term=SOX11","NCBI")</f>
        <v>NCBI</v>
      </c>
      <c r="F3898">
        <v>2.7E-2</v>
      </c>
      <c r="G3898">
        <v>0.12</v>
      </c>
      <c r="H3898" s="1" t="str">
        <f>HYPERLINK("http://www.weizmann.ac.il/complex/compphys/software/geview/data/figures/204915_s_at.png","Figure")</f>
        <v>Figure</v>
      </c>
      <c r="I3898">
        <v>2.97</v>
      </c>
      <c r="J3898">
        <v>9.2999999999999999E-2</v>
      </c>
      <c r="K3898">
        <v>0.76600000000000001</v>
      </c>
      <c r="L3898">
        <v>0.8</v>
      </c>
      <c r="M3898">
        <v>0.25800000000000001</v>
      </c>
      <c r="N3898">
        <v>2.3E-2</v>
      </c>
    </row>
    <row r="3899" spans="1:14" x14ac:dyDescent="0.25">
      <c r="A3899" t="s">
        <v>7118</v>
      </c>
      <c r="B3899" t="s">
        <v>7119</v>
      </c>
      <c r="C3899" s="1" t="str">
        <f>HYPERLINK("http://www.genecards.org/cgi-bin/carddisp.pl?gene=DHX8","GeneCards")</f>
        <v>GeneCards</v>
      </c>
      <c r="D3899" s="1" t="str">
        <f>HYPERLINK("http://genome-euro.ucsc.edu/cgi-bin/hgTracks?position=203334_at","UCSC")</f>
        <v>UCSC</v>
      </c>
      <c r="E3899" s="1" t="str">
        <f>HYPERLINK("http://www.ncbi.nlm.nih.gov/gene/?term=DHX8","NCBI")</f>
        <v>NCBI</v>
      </c>
      <c r="F3899">
        <v>2.7E-2</v>
      </c>
      <c r="G3899">
        <v>0.12</v>
      </c>
      <c r="H3899" s="1" t="str">
        <f>HYPERLINK("http://www.weizmann.ac.il/complex/compphys/software/geview/data/figures/203334_at.png","Figure")</f>
        <v>Figure</v>
      </c>
      <c r="I3899">
        <v>0.91500000000000004</v>
      </c>
      <c r="J3899">
        <v>0.92</v>
      </c>
      <c r="K3899">
        <v>0.56100000000000005</v>
      </c>
      <c r="L3899">
        <v>3.4000000000000002E-2</v>
      </c>
      <c r="M3899">
        <v>0.61299999999999999</v>
      </c>
      <c r="N3899">
        <v>9.9000000000000005E-2</v>
      </c>
    </row>
    <row r="3900" spans="1:14" x14ac:dyDescent="0.25">
      <c r="A3900" t="s">
        <v>7120</v>
      </c>
      <c r="B3900" t="s">
        <v>7121</v>
      </c>
      <c r="C3900" s="1" t="str">
        <f>HYPERLINK("http://www.genecards.org/cgi-bin/carddisp.pl?gene=KLF9","GeneCards")</f>
        <v>GeneCards</v>
      </c>
      <c r="D3900" s="1" t="str">
        <f>HYPERLINK("http://genome-euro.ucsc.edu/cgi-bin/hgTracks?position=203543_s_at","UCSC")</f>
        <v>UCSC</v>
      </c>
      <c r="E3900" s="1" t="str">
        <f>HYPERLINK("http://www.ncbi.nlm.nih.gov/gene/?term=KLF9","NCBI")</f>
        <v>NCBI</v>
      </c>
      <c r="F3900">
        <v>2.7E-2</v>
      </c>
      <c r="G3900">
        <v>0.12</v>
      </c>
      <c r="H3900" s="1" t="str">
        <f>HYPERLINK("http://www.weizmann.ac.il/complex/compphys/software/geview/data/figures/203543_s_at.png","Figure")</f>
        <v>Figure</v>
      </c>
      <c r="I3900">
        <v>0.81799999999999995</v>
      </c>
      <c r="J3900">
        <v>4.7E-2</v>
      </c>
      <c r="K3900">
        <v>1</v>
      </c>
      <c r="L3900">
        <v>1</v>
      </c>
      <c r="M3900">
        <v>1.22</v>
      </c>
      <c r="N3900">
        <v>3.3000000000000002E-2</v>
      </c>
    </row>
    <row r="3901" spans="1:14" x14ac:dyDescent="0.25">
      <c r="A3901" t="s">
        <v>7122</v>
      </c>
      <c r="B3901" t="s">
        <v>7123</v>
      </c>
      <c r="C3901" s="1" t="str">
        <f>HYPERLINK("http://www.genecards.org/cgi-bin/carddisp.pl?gene=ARHGAP4","GeneCards")</f>
        <v>GeneCards</v>
      </c>
      <c r="D3901" s="1" t="str">
        <f>HYPERLINK("http://genome-euro.ucsc.edu/cgi-bin/hgTracks?position=204425_at","UCSC")</f>
        <v>UCSC</v>
      </c>
      <c r="E3901" s="1" t="str">
        <f>HYPERLINK("http://www.ncbi.nlm.nih.gov/gene/?term=ARHGAP4","NCBI")</f>
        <v>NCBI</v>
      </c>
      <c r="F3901">
        <v>2.7E-2</v>
      </c>
      <c r="G3901">
        <v>0.12</v>
      </c>
      <c r="H3901" s="1" t="str">
        <f>HYPERLINK("http://www.weizmann.ac.il/complex/compphys/software/geview/data/figures/204425_at.png","Figure")</f>
        <v>Figure</v>
      </c>
      <c r="I3901">
        <v>0.50800000000000001</v>
      </c>
      <c r="J3901">
        <v>3.1E-2</v>
      </c>
      <c r="K3901">
        <v>0.61199999999999999</v>
      </c>
      <c r="L3901">
        <v>7.3999999999999996E-2</v>
      </c>
      <c r="M3901">
        <v>1.2</v>
      </c>
      <c r="N3901">
        <v>0.68</v>
      </c>
    </row>
    <row r="3902" spans="1:14" x14ac:dyDescent="0.25">
      <c r="A3902" t="s">
        <v>7124</v>
      </c>
      <c r="B3902" t="s">
        <v>7125</v>
      </c>
      <c r="C3902" s="1" t="str">
        <f>HYPERLINK("http://www.genecards.org/cgi-bin/carddisp.pl?gene=PDCD1","GeneCards")</f>
        <v>GeneCards</v>
      </c>
      <c r="D3902" s="1" t="str">
        <f>HYPERLINK("http://genome-euro.ucsc.edu/cgi-bin/hgTracks?position=207634_at","UCSC")</f>
        <v>UCSC</v>
      </c>
      <c r="E3902" s="1" t="str">
        <f>HYPERLINK("http://www.ncbi.nlm.nih.gov/gene/?term=PDCD1","NCBI")</f>
        <v>NCBI</v>
      </c>
      <c r="F3902">
        <v>2.7E-2</v>
      </c>
      <c r="G3902">
        <v>0.12</v>
      </c>
      <c r="H3902" s="1" t="str">
        <f>HYPERLINK("http://www.weizmann.ac.il/complex/compphys/software/geview/data/figures/207634_at.png","Figure")</f>
        <v>Figure</v>
      </c>
      <c r="I3902">
        <v>1.38</v>
      </c>
      <c r="J3902">
        <v>2.1000000000000001E-2</v>
      </c>
      <c r="K3902">
        <v>1.17</v>
      </c>
      <c r="L3902">
        <v>0.24</v>
      </c>
      <c r="M3902">
        <v>0.84699999999999998</v>
      </c>
      <c r="N3902">
        <v>0.23</v>
      </c>
    </row>
    <row r="3903" spans="1:14" x14ac:dyDescent="0.25">
      <c r="A3903" t="s">
        <v>7126</v>
      </c>
      <c r="B3903" t="s">
        <v>7127</v>
      </c>
      <c r="C3903" s="1" t="str">
        <f>HYPERLINK("http://www.genecards.org/cgi-bin/carddisp.pl?gene=RAB28","GeneCards")</f>
        <v>GeneCards</v>
      </c>
      <c r="D3903" s="1" t="str">
        <f>HYPERLINK("http://genome-euro.ucsc.edu/cgi-bin/hgTracks?position=209084_s_at","UCSC")</f>
        <v>UCSC</v>
      </c>
      <c r="E3903" s="1" t="str">
        <f>HYPERLINK("http://www.ncbi.nlm.nih.gov/gene/?term=RAB28","NCBI")</f>
        <v>NCBI</v>
      </c>
      <c r="F3903">
        <v>2.7E-2</v>
      </c>
      <c r="G3903">
        <v>0.12</v>
      </c>
      <c r="H3903" s="1" t="str">
        <f>HYPERLINK("http://www.weizmann.ac.il/complex/compphys/software/geview/data/figures/209084_s_at.png","Figure")</f>
        <v>Figure</v>
      </c>
      <c r="I3903">
        <v>0.63200000000000001</v>
      </c>
      <c r="J3903">
        <v>7.0999999999999994E-2</v>
      </c>
      <c r="K3903">
        <v>1.07</v>
      </c>
      <c r="L3903">
        <v>0.91</v>
      </c>
      <c r="M3903">
        <v>1.69</v>
      </c>
      <c r="N3903">
        <v>2.5999999999999999E-2</v>
      </c>
    </row>
    <row r="3904" spans="1:14" x14ac:dyDescent="0.25">
      <c r="A3904" t="s">
        <v>7128</v>
      </c>
      <c r="B3904" t="s">
        <v>7129</v>
      </c>
      <c r="C3904" s="1" t="str">
        <f>HYPERLINK("http://www.genecards.org/cgi-bin/carddisp.pl?gene=TMEM39B","GeneCards")</f>
        <v>GeneCards</v>
      </c>
      <c r="D3904" s="1" t="str">
        <f>HYPERLINK("http://genome-euro.ucsc.edu/cgi-bin/hgTracks?position=218770_s_at","UCSC")</f>
        <v>UCSC</v>
      </c>
      <c r="E3904" s="1" t="str">
        <f>HYPERLINK("http://www.ncbi.nlm.nih.gov/gene/?term=TMEM39B","NCBI")</f>
        <v>NCBI</v>
      </c>
      <c r="F3904">
        <v>2.7E-2</v>
      </c>
      <c r="G3904">
        <v>0.12</v>
      </c>
      <c r="H3904" s="1" t="str">
        <f>HYPERLINK("http://www.weizmann.ac.il/complex/compphys/software/geview/data/figures/218770_s_at.png","Figure")</f>
        <v>Figure</v>
      </c>
      <c r="I3904">
        <v>0.8</v>
      </c>
      <c r="J3904">
        <v>2.3E-2</v>
      </c>
      <c r="K3904">
        <v>0.879</v>
      </c>
      <c r="L3904">
        <v>0.15</v>
      </c>
      <c r="M3904">
        <v>1.1000000000000001</v>
      </c>
      <c r="N3904">
        <v>0.37</v>
      </c>
    </row>
    <row r="3905" spans="1:14" x14ac:dyDescent="0.25">
      <c r="A3905" t="s">
        <v>7130</v>
      </c>
      <c r="B3905" t="s">
        <v>7131</v>
      </c>
      <c r="C3905" s="1" t="str">
        <f>HYPERLINK("http://www.genecards.org/cgi-bin/carddisp.pl?gene=TRIB1","GeneCards")</f>
        <v>GeneCards</v>
      </c>
      <c r="D3905" s="1" t="str">
        <f>HYPERLINK("http://genome-euro.ucsc.edu/cgi-bin/hgTracks?position=202241_at","UCSC")</f>
        <v>UCSC</v>
      </c>
      <c r="E3905" s="1" t="str">
        <f>HYPERLINK("http://www.ncbi.nlm.nih.gov/gene/?term=TRIB1","NCBI")</f>
        <v>NCBI</v>
      </c>
      <c r="F3905">
        <v>2.7E-2</v>
      </c>
      <c r="G3905">
        <v>0.12</v>
      </c>
      <c r="H3905" s="1" t="str">
        <f>HYPERLINK("http://www.weizmann.ac.il/complex/compphys/software/geview/data/figures/202241_at.png","Figure")</f>
        <v>Figure</v>
      </c>
      <c r="I3905">
        <v>0.36299999999999999</v>
      </c>
      <c r="J3905">
        <v>9.5000000000000001E-2</v>
      </c>
      <c r="K3905">
        <v>0.315</v>
      </c>
      <c r="L3905">
        <v>2.7E-2</v>
      </c>
      <c r="M3905">
        <v>0.86799999999999999</v>
      </c>
      <c r="N3905">
        <v>0.94</v>
      </c>
    </row>
    <row r="3906" spans="1:14" x14ac:dyDescent="0.25">
      <c r="A3906" t="s">
        <v>7132</v>
      </c>
      <c r="B3906" t="s">
        <v>7133</v>
      </c>
      <c r="C3906" s="1" t="str">
        <f>HYPERLINK("http://www.genecards.org/cgi-bin/carddisp.pl?gene=C3orf36","GeneCards")</f>
        <v>GeneCards</v>
      </c>
      <c r="D3906" s="1" t="str">
        <f>HYPERLINK("http://genome-euro.ucsc.edu/cgi-bin/hgTracks?position=221175_at","UCSC")</f>
        <v>UCSC</v>
      </c>
      <c r="E3906" s="1" t="str">
        <f>HYPERLINK("http://www.ncbi.nlm.nih.gov/gene/?term=C3orf36","NCBI")</f>
        <v>NCBI</v>
      </c>
      <c r="F3906">
        <v>2.7E-2</v>
      </c>
      <c r="G3906">
        <v>0.12</v>
      </c>
      <c r="H3906" s="1" t="str">
        <f>HYPERLINK("http://www.weizmann.ac.il/complex/compphys/software/geview/data/figures/221175_at.png","Figure")</f>
        <v>Figure</v>
      </c>
      <c r="I3906">
        <v>1.23</v>
      </c>
      <c r="J3906">
        <v>2.8000000000000001E-2</v>
      </c>
      <c r="K3906">
        <v>1.1499999999999999</v>
      </c>
      <c r="L3906">
        <v>9.0999999999999998E-2</v>
      </c>
      <c r="M3906">
        <v>0.93500000000000005</v>
      </c>
      <c r="N3906">
        <v>0.57999999999999996</v>
      </c>
    </row>
    <row r="3907" spans="1:14" x14ac:dyDescent="0.25">
      <c r="A3907" t="s">
        <v>7134</v>
      </c>
      <c r="B3907" t="s">
        <v>7135</v>
      </c>
      <c r="C3907" s="1" t="str">
        <f>HYPERLINK("http://www.genecards.org/cgi-bin/carddisp.pl?gene=AAGAB","GeneCards")</f>
        <v>GeneCards</v>
      </c>
      <c r="D3907" s="1" t="str">
        <f>HYPERLINK("http://genome-euro.ucsc.edu/cgi-bin/hgTracks?position=202852_s_at","UCSC")</f>
        <v>UCSC</v>
      </c>
      <c r="E3907" s="1" t="str">
        <f>HYPERLINK("http://www.ncbi.nlm.nih.gov/gene/?term=AAGAB","NCBI")</f>
        <v>NCBI</v>
      </c>
      <c r="F3907">
        <v>2.7E-2</v>
      </c>
      <c r="G3907">
        <v>0.12</v>
      </c>
      <c r="H3907" s="1" t="str">
        <f>HYPERLINK("http://www.weizmann.ac.il/complex/compphys/software/geview/data/figures/202852_s_at.png","Figure")</f>
        <v>Figure</v>
      </c>
      <c r="I3907">
        <v>1.3</v>
      </c>
      <c r="J3907">
        <v>0.11</v>
      </c>
      <c r="K3907">
        <v>1.38</v>
      </c>
      <c r="L3907">
        <v>2.5000000000000001E-2</v>
      </c>
      <c r="M3907">
        <v>1.06</v>
      </c>
      <c r="N3907">
        <v>0.88</v>
      </c>
    </row>
    <row r="3908" spans="1:14" x14ac:dyDescent="0.25">
      <c r="A3908" t="s">
        <v>7136</v>
      </c>
      <c r="B3908" t="s">
        <v>2612</v>
      </c>
      <c r="C3908" s="1" t="str">
        <f>HYPERLINK("http://www.genecards.org/cgi-bin/carddisp.pl?gene=ATP2C1","GeneCards")</f>
        <v>GeneCards</v>
      </c>
      <c r="D3908" s="1" t="str">
        <f>HYPERLINK("http://genome-euro.ucsc.edu/cgi-bin/hgTracks?position=209935_at","UCSC")</f>
        <v>UCSC</v>
      </c>
      <c r="E3908" s="1" t="str">
        <f>HYPERLINK("http://www.ncbi.nlm.nih.gov/gene/?term=ATP2C1","NCBI")</f>
        <v>NCBI</v>
      </c>
      <c r="F3908">
        <v>2.7E-2</v>
      </c>
      <c r="G3908">
        <v>0.12</v>
      </c>
      <c r="H3908" s="1" t="str">
        <f>HYPERLINK("http://www.weizmann.ac.il/complex/compphys/software/geview/data/figures/209935_at.png","Figure")</f>
        <v>Figure</v>
      </c>
      <c r="I3908">
        <v>0.94799999999999995</v>
      </c>
      <c r="J3908">
        <v>4.7E-2</v>
      </c>
      <c r="K3908">
        <v>1</v>
      </c>
      <c r="L3908">
        <v>1</v>
      </c>
      <c r="M3908">
        <v>1.06</v>
      </c>
      <c r="N3908">
        <v>3.3000000000000002E-2</v>
      </c>
    </row>
    <row r="3909" spans="1:14" x14ac:dyDescent="0.25">
      <c r="A3909" t="s">
        <v>7137</v>
      </c>
      <c r="B3909" t="s">
        <v>7138</v>
      </c>
      <c r="C3909" s="1" t="str">
        <f>HYPERLINK("http://www.genecards.org/cgi-bin/carddisp.pl?gene=CTSL1","GeneCards")</f>
        <v>GeneCards</v>
      </c>
      <c r="D3909" s="1" t="str">
        <f>HYPERLINK("http://genome-euro.ucsc.edu/cgi-bin/hgTracks?position=202087_s_at","UCSC")</f>
        <v>UCSC</v>
      </c>
      <c r="E3909" s="1" t="str">
        <f>HYPERLINK("http://www.ncbi.nlm.nih.gov/gene/?term=CTSL1","NCBI")</f>
        <v>NCBI</v>
      </c>
      <c r="F3909">
        <v>2.7E-2</v>
      </c>
      <c r="G3909">
        <v>0.12</v>
      </c>
      <c r="H3909" s="1" t="str">
        <f>HYPERLINK("http://www.weizmann.ac.il/complex/compphys/software/geview/data/figures/202087_s_at.png","Figure")</f>
        <v>Figure</v>
      </c>
      <c r="I3909">
        <v>1.1000000000000001</v>
      </c>
      <c r="J3909">
        <v>0.48</v>
      </c>
      <c r="K3909">
        <v>0.88100000000000001</v>
      </c>
      <c r="L3909">
        <v>0.19</v>
      </c>
      <c r="M3909">
        <v>0.80300000000000005</v>
      </c>
      <c r="N3909">
        <v>2.5000000000000001E-2</v>
      </c>
    </row>
    <row r="3910" spans="1:14" x14ac:dyDescent="0.25">
      <c r="A3910" t="s">
        <v>7139</v>
      </c>
      <c r="B3910" t="s">
        <v>7140</v>
      </c>
      <c r="C3910" s="1" t="str">
        <f>HYPERLINK("http://www.genecards.org/cgi-bin/carddisp.pl?gene=DPYSL3","GeneCards")</f>
        <v>GeneCards</v>
      </c>
      <c r="D3910" s="1" t="str">
        <f>HYPERLINK("http://genome-euro.ucsc.edu/cgi-bin/hgTracks?position=201431_s_at","UCSC")</f>
        <v>UCSC</v>
      </c>
      <c r="E3910" s="1" t="str">
        <f>HYPERLINK("http://www.ncbi.nlm.nih.gov/gene/?term=DPYSL3","NCBI")</f>
        <v>NCBI</v>
      </c>
      <c r="F3910">
        <v>2.7E-2</v>
      </c>
      <c r="G3910">
        <v>0.12</v>
      </c>
      <c r="H3910" s="1" t="str">
        <f>HYPERLINK("http://www.weizmann.ac.il/complex/compphys/software/geview/data/figures/201431_s_at.png","Figure")</f>
        <v>Figure</v>
      </c>
      <c r="I3910">
        <v>1.17</v>
      </c>
      <c r="J3910">
        <v>5.7000000000000002E-2</v>
      </c>
      <c r="K3910">
        <v>0.99</v>
      </c>
      <c r="L3910">
        <v>0.98</v>
      </c>
      <c r="M3910">
        <v>0.84899999999999998</v>
      </c>
      <c r="N3910">
        <v>2.9000000000000001E-2</v>
      </c>
    </row>
    <row r="3911" spans="1:14" x14ac:dyDescent="0.25">
      <c r="A3911" t="s">
        <v>7141</v>
      </c>
      <c r="B3911" t="s">
        <v>643</v>
      </c>
      <c r="C3911" s="1" t="str">
        <f>HYPERLINK("http://www.genecards.org/cgi-bin/carddisp.pl?gene=EIF1","GeneCards")</f>
        <v>GeneCards</v>
      </c>
      <c r="D3911" s="1" t="str">
        <f>HYPERLINK("http://genome-euro.ucsc.edu/cgi-bin/hgTracks?position=202021_x_at","UCSC")</f>
        <v>UCSC</v>
      </c>
      <c r="E3911" s="1" t="str">
        <f>HYPERLINK("http://www.ncbi.nlm.nih.gov/gene/?term=EIF1","NCBI")</f>
        <v>NCBI</v>
      </c>
      <c r="F3911">
        <v>2.7E-2</v>
      </c>
      <c r="G3911">
        <v>0.12</v>
      </c>
      <c r="H3911" s="1" t="str">
        <f>HYPERLINK("http://www.weizmann.ac.il/complex/compphys/software/geview/data/figures/202021_x_at.png","Figure")</f>
        <v>Figure</v>
      </c>
      <c r="I3911">
        <v>0.61799999999999999</v>
      </c>
      <c r="J3911">
        <v>0.15</v>
      </c>
      <c r="K3911">
        <v>0.52300000000000002</v>
      </c>
      <c r="L3911">
        <v>2.3E-2</v>
      </c>
      <c r="M3911">
        <v>0.84699999999999998</v>
      </c>
      <c r="N3911">
        <v>0.75</v>
      </c>
    </row>
    <row r="3912" spans="1:14" x14ac:dyDescent="0.25">
      <c r="A3912" t="s">
        <v>7142</v>
      </c>
      <c r="B3912" t="s">
        <v>643</v>
      </c>
      <c r="C3912" s="1" t="str">
        <f>HYPERLINK("http://www.genecards.org/cgi-bin/carddisp.pl?gene=EIF1","GeneCards")</f>
        <v>GeneCards</v>
      </c>
      <c r="D3912" s="1" t="str">
        <f>HYPERLINK("http://genome-euro.ucsc.edu/cgi-bin/hgTracks?position=212130_x_at","UCSC")</f>
        <v>UCSC</v>
      </c>
      <c r="E3912" s="1" t="str">
        <f>HYPERLINK("http://www.ncbi.nlm.nih.gov/gene/?term=EIF1","NCBI")</f>
        <v>NCBI</v>
      </c>
      <c r="F3912">
        <v>2.7E-2</v>
      </c>
      <c r="G3912">
        <v>0.12</v>
      </c>
      <c r="H3912" s="1" t="str">
        <f>HYPERLINK("http://www.weizmann.ac.il/complex/compphys/software/geview/data/figures/212130_x_at.png","Figure")</f>
        <v>Figure</v>
      </c>
      <c r="I3912">
        <v>0.63100000000000001</v>
      </c>
      <c r="J3912">
        <v>0.15</v>
      </c>
      <c r="K3912">
        <v>0.54200000000000004</v>
      </c>
      <c r="L3912">
        <v>2.3E-2</v>
      </c>
      <c r="M3912">
        <v>0.86</v>
      </c>
      <c r="N3912">
        <v>0.76</v>
      </c>
    </row>
    <row r="3913" spans="1:14" x14ac:dyDescent="0.25">
      <c r="A3913" t="s">
        <v>7143</v>
      </c>
      <c r="B3913" t="s">
        <v>7144</v>
      </c>
      <c r="C3913" s="1" t="str">
        <f>HYPERLINK("http://www.genecards.org/cgi-bin/carddisp.pl?gene=ITIH1","GeneCards")</f>
        <v>GeneCards</v>
      </c>
      <c r="D3913" s="1" t="str">
        <f>HYPERLINK("http://genome-euro.ucsc.edu/cgi-bin/hgTracks?position=210888_s_at","UCSC")</f>
        <v>UCSC</v>
      </c>
      <c r="E3913" s="1" t="str">
        <f>HYPERLINK("http://www.ncbi.nlm.nih.gov/gene/?term=ITIH1","NCBI")</f>
        <v>NCBI</v>
      </c>
      <c r="F3913">
        <v>2.7E-2</v>
      </c>
      <c r="G3913">
        <v>0.12</v>
      </c>
      <c r="H3913" s="1" t="str">
        <f>HYPERLINK("http://www.weizmann.ac.il/complex/compphys/software/geview/data/figures/210888_s_at.png","Figure")</f>
        <v>Figure</v>
      </c>
      <c r="I3913">
        <v>1.3</v>
      </c>
      <c r="J3913">
        <v>2.1000000000000001E-2</v>
      </c>
      <c r="K3913">
        <v>1.1200000000000001</v>
      </c>
      <c r="L3913">
        <v>0.32</v>
      </c>
      <c r="M3913">
        <v>0.86099999999999999</v>
      </c>
      <c r="N3913">
        <v>0.18</v>
      </c>
    </row>
    <row r="3914" spans="1:14" x14ac:dyDescent="0.25">
      <c r="A3914" t="s">
        <v>7145</v>
      </c>
      <c r="B3914" t="s">
        <v>7146</v>
      </c>
      <c r="C3914" s="1" t="str">
        <f>HYPERLINK("http://www.genecards.org/cgi-bin/carddisp.pl?gene=OSBPL11","GeneCards")</f>
        <v>GeneCards</v>
      </c>
      <c r="D3914" s="1" t="str">
        <f>HYPERLINK("http://genome-euro.ucsc.edu/cgi-bin/hgTracks?position=218304_s_at","UCSC")</f>
        <v>UCSC</v>
      </c>
      <c r="E3914" s="1" t="str">
        <f>HYPERLINK("http://www.ncbi.nlm.nih.gov/gene/?term=OSBPL11","NCBI")</f>
        <v>NCBI</v>
      </c>
      <c r="F3914">
        <v>2.7E-2</v>
      </c>
      <c r="G3914">
        <v>0.12</v>
      </c>
      <c r="H3914" s="1" t="str">
        <f>HYPERLINK("http://www.weizmann.ac.il/complex/compphys/software/geview/data/figures/218304_s_at.png","Figure")</f>
        <v>Figure</v>
      </c>
      <c r="I3914">
        <v>0.67100000000000004</v>
      </c>
      <c r="J3914">
        <v>7.4999999999999997E-2</v>
      </c>
      <c r="K3914">
        <v>1.07</v>
      </c>
      <c r="L3914">
        <v>0.89</v>
      </c>
      <c r="M3914">
        <v>1.59</v>
      </c>
      <c r="N3914">
        <v>2.5999999999999999E-2</v>
      </c>
    </row>
    <row r="3915" spans="1:14" x14ac:dyDescent="0.25">
      <c r="A3915" t="s">
        <v>7147</v>
      </c>
      <c r="B3915" t="s">
        <v>7148</v>
      </c>
      <c r="C3915" s="1" t="str">
        <f>HYPERLINK("http://www.genecards.org/cgi-bin/carddisp.pl?gene=PLEKHA1","GeneCards")</f>
        <v>GeneCards</v>
      </c>
      <c r="D3915" s="1" t="str">
        <f>HYPERLINK("http://genome-euro.ucsc.edu/cgi-bin/hgTracks?position=219024_at","UCSC")</f>
        <v>UCSC</v>
      </c>
      <c r="E3915" s="1" t="str">
        <f>HYPERLINK("http://www.ncbi.nlm.nih.gov/gene/?term=PLEKHA1","NCBI")</f>
        <v>NCBI</v>
      </c>
      <c r="F3915">
        <v>2.7E-2</v>
      </c>
      <c r="G3915">
        <v>0.12</v>
      </c>
      <c r="H3915" s="1" t="str">
        <f>HYPERLINK("http://www.weizmann.ac.il/complex/compphys/software/geview/data/figures/219024_at.png","Figure")</f>
        <v>Figure</v>
      </c>
      <c r="I3915">
        <v>0.68300000000000005</v>
      </c>
      <c r="J3915">
        <v>2.1999999999999999E-2</v>
      </c>
      <c r="K3915">
        <v>0.86499999999999999</v>
      </c>
      <c r="L3915">
        <v>0.39</v>
      </c>
      <c r="M3915">
        <v>1.27</v>
      </c>
      <c r="N3915">
        <v>0.14000000000000001</v>
      </c>
    </row>
    <row r="3916" spans="1:14" x14ac:dyDescent="0.25">
      <c r="A3916" t="s">
        <v>7149</v>
      </c>
      <c r="B3916" t="s">
        <v>7150</v>
      </c>
      <c r="C3916" s="1" t="str">
        <f>HYPERLINK("http://www.genecards.org/cgi-bin/carddisp.pl?gene=FAM13A","GeneCards")</f>
        <v>GeneCards</v>
      </c>
      <c r="D3916" s="1" t="str">
        <f>HYPERLINK("http://genome-euro.ucsc.edu/cgi-bin/hgTracks?position=202973_x_at","UCSC")</f>
        <v>UCSC</v>
      </c>
      <c r="E3916" s="1" t="str">
        <f>HYPERLINK("http://www.ncbi.nlm.nih.gov/gene/?term=FAM13A","NCBI")</f>
        <v>NCBI</v>
      </c>
      <c r="F3916">
        <v>2.7E-2</v>
      </c>
      <c r="G3916">
        <v>0.12</v>
      </c>
      <c r="H3916" s="1" t="str">
        <f>HYPERLINK("http://www.weizmann.ac.il/complex/compphys/software/geview/data/figures/202973_x_at.png","Figure")</f>
        <v>Figure</v>
      </c>
      <c r="I3916">
        <v>0.56399999999999995</v>
      </c>
      <c r="J3916">
        <v>4.3999999999999997E-2</v>
      </c>
      <c r="K3916">
        <v>0.61099999999999999</v>
      </c>
      <c r="L3916">
        <v>4.7E-2</v>
      </c>
      <c r="M3916">
        <v>1.08</v>
      </c>
      <c r="N3916">
        <v>0.91</v>
      </c>
    </row>
    <row r="3917" spans="1:14" x14ac:dyDescent="0.25">
      <c r="A3917" t="s">
        <v>7151</v>
      </c>
      <c r="B3917" t="s">
        <v>7152</v>
      </c>
      <c r="C3917" s="1" t="str">
        <f>HYPERLINK("http://www.genecards.org/cgi-bin/carddisp.pl?gene=TBCE","GeneCards")</f>
        <v>GeneCards</v>
      </c>
      <c r="D3917" s="1" t="str">
        <f>HYPERLINK("http://genome-euro.ucsc.edu/cgi-bin/hgTracks?position=203714_s_at","UCSC")</f>
        <v>UCSC</v>
      </c>
      <c r="E3917" s="1" t="str">
        <f>HYPERLINK("http://www.ncbi.nlm.nih.gov/gene/?term=TBCE","NCBI")</f>
        <v>NCBI</v>
      </c>
      <c r="F3917">
        <v>2.7E-2</v>
      </c>
      <c r="G3917">
        <v>0.12</v>
      </c>
      <c r="H3917" s="1" t="str">
        <f>HYPERLINK("http://www.weizmann.ac.il/complex/compphys/software/geview/data/figures/203714_s_at.png","Figure")</f>
        <v>Figure</v>
      </c>
      <c r="I3917">
        <v>1.25</v>
      </c>
      <c r="J3917">
        <v>0.56000000000000005</v>
      </c>
      <c r="K3917">
        <v>1.74</v>
      </c>
      <c r="L3917">
        <v>2.4E-2</v>
      </c>
      <c r="M3917">
        <v>1.4</v>
      </c>
      <c r="N3917">
        <v>0.24</v>
      </c>
    </row>
    <row r="3918" spans="1:14" x14ac:dyDescent="0.25">
      <c r="A3918" t="s">
        <v>7153</v>
      </c>
      <c r="B3918" t="s">
        <v>7154</v>
      </c>
      <c r="C3918" s="1" t="str">
        <f>HYPERLINK("http://www.genecards.org/cgi-bin/carddisp.pl?gene=PLAGL1","GeneCards")</f>
        <v>GeneCards</v>
      </c>
      <c r="D3918" s="1" t="str">
        <f>HYPERLINK("http://genome-euro.ucsc.edu/cgi-bin/hgTracks?position=209318_x_at","UCSC")</f>
        <v>UCSC</v>
      </c>
      <c r="E3918" s="1" t="str">
        <f>HYPERLINK("http://www.ncbi.nlm.nih.gov/gene/?term=PLAGL1","NCBI")</f>
        <v>NCBI</v>
      </c>
      <c r="F3918">
        <v>2.7E-2</v>
      </c>
      <c r="G3918">
        <v>0.12</v>
      </c>
      <c r="H3918" s="1" t="str">
        <f>HYPERLINK("http://www.weizmann.ac.il/complex/compphys/software/geview/data/figures/209318_x_at.png","Figure")</f>
        <v>Figure</v>
      </c>
      <c r="I3918">
        <v>0.67800000000000005</v>
      </c>
      <c r="J3918">
        <v>0.18</v>
      </c>
      <c r="K3918">
        <v>1.23</v>
      </c>
      <c r="L3918">
        <v>0.5</v>
      </c>
      <c r="M3918">
        <v>1.81</v>
      </c>
      <c r="N3918">
        <v>2.1000000000000001E-2</v>
      </c>
    </row>
    <row r="3919" spans="1:14" x14ac:dyDescent="0.25">
      <c r="A3919" t="s">
        <v>7155</v>
      </c>
      <c r="B3919" t="s">
        <v>5467</v>
      </c>
      <c r="C3919" s="1" t="str">
        <f>HYPERLINK("http://www.genecards.org/cgi-bin/carddisp.pl?gene=NUSAP1","GeneCards")</f>
        <v>GeneCards</v>
      </c>
      <c r="D3919" s="1" t="str">
        <f>HYPERLINK("http://genome-euro.ucsc.edu/cgi-bin/hgTracks?position=219978_s_at","UCSC")</f>
        <v>UCSC</v>
      </c>
      <c r="E3919" s="1" t="str">
        <f>HYPERLINK("http://www.ncbi.nlm.nih.gov/gene/?term=NUSAP1","NCBI")</f>
        <v>NCBI</v>
      </c>
      <c r="F3919">
        <v>2.7E-2</v>
      </c>
      <c r="G3919">
        <v>0.12</v>
      </c>
      <c r="H3919" s="1" t="str">
        <f>HYPERLINK("http://www.weizmann.ac.il/complex/compphys/software/geview/data/figures/219978_s_at.png","Figure")</f>
        <v>Figure</v>
      </c>
      <c r="I3919">
        <v>2.0699999999999998</v>
      </c>
      <c r="J3919">
        <v>6.2E-2</v>
      </c>
      <c r="K3919">
        <v>2.0499999999999998</v>
      </c>
      <c r="L3919">
        <v>3.5000000000000003E-2</v>
      </c>
      <c r="M3919">
        <v>0.98799999999999999</v>
      </c>
      <c r="N3919">
        <v>1</v>
      </c>
    </row>
    <row r="3920" spans="1:14" x14ac:dyDescent="0.25">
      <c r="A3920" t="s">
        <v>7156</v>
      </c>
      <c r="B3920" t="s">
        <v>7157</v>
      </c>
      <c r="C3920" s="1" t="str">
        <f>HYPERLINK("http://www.genecards.org/cgi-bin/carddisp.pl?gene=CSRNP2","GeneCards")</f>
        <v>GeneCards</v>
      </c>
      <c r="D3920" s="1" t="str">
        <f>HYPERLINK("http://genome-euro.ucsc.edu/cgi-bin/hgTracks?position=221260_s_at","UCSC")</f>
        <v>UCSC</v>
      </c>
      <c r="E3920" s="1" t="str">
        <f>HYPERLINK("http://www.ncbi.nlm.nih.gov/gene/?term=CSRNP2","NCBI")</f>
        <v>NCBI</v>
      </c>
      <c r="F3920">
        <v>2.7E-2</v>
      </c>
      <c r="G3920">
        <v>0.12</v>
      </c>
      <c r="H3920" s="1" t="str">
        <f>HYPERLINK("http://www.weizmann.ac.il/complex/compphys/software/geview/data/figures/221260_s_at.png","Figure")</f>
        <v>Figure</v>
      </c>
      <c r="I3920">
        <v>0.81</v>
      </c>
      <c r="J3920">
        <v>0.13</v>
      </c>
      <c r="K3920">
        <v>1.0900000000000001</v>
      </c>
      <c r="L3920">
        <v>0.64</v>
      </c>
      <c r="M3920">
        <v>1.34</v>
      </c>
      <c r="N3920">
        <v>2.1999999999999999E-2</v>
      </c>
    </row>
    <row r="3921" spans="1:14" x14ac:dyDescent="0.25">
      <c r="A3921" t="s">
        <v>7158</v>
      </c>
      <c r="B3921" t="s">
        <v>7159</v>
      </c>
      <c r="C3921" s="1" t="str">
        <f>HYPERLINK("http://www.genecards.org/cgi-bin/carddisp.pl?gene=FBXO34","GeneCards")</f>
        <v>GeneCards</v>
      </c>
      <c r="D3921" s="1" t="str">
        <f>HYPERLINK("http://genome-euro.ucsc.edu/cgi-bin/hgTracks?position=218539_at","UCSC")</f>
        <v>UCSC</v>
      </c>
      <c r="E3921" s="1" t="str">
        <f>HYPERLINK("http://www.ncbi.nlm.nih.gov/gene/?term=FBXO34","NCBI")</f>
        <v>NCBI</v>
      </c>
      <c r="F3921">
        <v>2.7E-2</v>
      </c>
      <c r="G3921">
        <v>0.12</v>
      </c>
      <c r="H3921" s="1" t="str">
        <f>HYPERLINK("http://www.weizmann.ac.il/complex/compphys/software/geview/data/figures/218539_at.png","Figure")</f>
        <v>Figure</v>
      </c>
      <c r="I3921">
        <v>0.55100000000000005</v>
      </c>
      <c r="J3921">
        <v>2.1000000000000001E-2</v>
      </c>
      <c r="K3921">
        <v>0.754</v>
      </c>
      <c r="L3921">
        <v>0.25</v>
      </c>
      <c r="M3921">
        <v>1.37</v>
      </c>
      <c r="N3921">
        <v>0.23</v>
      </c>
    </row>
    <row r="3922" spans="1:14" x14ac:dyDescent="0.25">
      <c r="A3922" t="s">
        <v>7160</v>
      </c>
      <c r="B3922" t="s">
        <v>7161</v>
      </c>
      <c r="C3922" s="1" t="str">
        <f>HYPERLINK("http://www.genecards.org/cgi-bin/carddisp.pl?gene=RPS24","GeneCards")</f>
        <v>GeneCards</v>
      </c>
      <c r="D3922" s="1" t="str">
        <f>HYPERLINK("http://genome-euro.ucsc.edu/cgi-bin/hgTracks?position=200061_s_at","UCSC")</f>
        <v>UCSC</v>
      </c>
      <c r="E3922" s="1" t="str">
        <f>HYPERLINK("http://www.ncbi.nlm.nih.gov/gene/?term=RPS24","NCBI")</f>
        <v>NCBI</v>
      </c>
      <c r="F3922">
        <v>2.7E-2</v>
      </c>
      <c r="G3922">
        <v>0.12</v>
      </c>
      <c r="H3922" s="1" t="str">
        <f>HYPERLINK("http://www.weizmann.ac.il/complex/compphys/software/geview/data/figures/200061_s_at.png","Figure")</f>
        <v>Figure</v>
      </c>
      <c r="I3922">
        <v>0.79</v>
      </c>
      <c r="J3922">
        <v>0.23</v>
      </c>
      <c r="K3922">
        <v>1.17</v>
      </c>
      <c r="L3922">
        <v>0.4</v>
      </c>
      <c r="M3922">
        <v>1.49</v>
      </c>
      <c r="N3922">
        <v>2.1999999999999999E-2</v>
      </c>
    </row>
    <row r="3923" spans="1:14" x14ac:dyDescent="0.25">
      <c r="A3923" t="s">
        <v>7162</v>
      </c>
      <c r="B3923" t="s">
        <v>1395</v>
      </c>
      <c r="C3923" s="1" t="str">
        <f>HYPERLINK("http://www.genecards.org/cgi-bin/carddisp.pl?gene=IDH3B","GeneCards")</f>
        <v>GeneCards</v>
      </c>
      <c r="D3923" s="1" t="str">
        <f>HYPERLINK("http://genome-euro.ucsc.edu/cgi-bin/hgTracks?position=201509_at","UCSC")</f>
        <v>UCSC</v>
      </c>
      <c r="E3923" s="1" t="str">
        <f>HYPERLINK("http://www.ncbi.nlm.nih.gov/gene/?term=IDH3B","NCBI")</f>
        <v>NCBI</v>
      </c>
      <c r="F3923">
        <v>2.7E-2</v>
      </c>
      <c r="G3923">
        <v>0.12</v>
      </c>
      <c r="H3923" s="1" t="str">
        <f>HYPERLINK("http://www.weizmann.ac.il/complex/compphys/software/geview/data/figures/201509_at.png","Figure")</f>
        <v>Figure</v>
      </c>
      <c r="I3923">
        <v>1.18</v>
      </c>
      <c r="J3923">
        <v>0.17</v>
      </c>
      <c r="K3923">
        <v>0.91900000000000004</v>
      </c>
      <c r="L3923">
        <v>0.52</v>
      </c>
      <c r="M3923">
        <v>0.77600000000000002</v>
      </c>
      <c r="N3923">
        <v>2.1000000000000001E-2</v>
      </c>
    </row>
    <row r="3924" spans="1:14" x14ac:dyDescent="0.25">
      <c r="A3924" t="s">
        <v>7163</v>
      </c>
      <c r="B3924" t="s">
        <v>7164</v>
      </c>
      <c r="C3924" s="1" t="str">
        <f>HYPERLINK("http://www.genecards.org/cgi-bin/carddisp.pl?gene=IER2","GeneCards")</f>
        <v>GeneCards</v>
      </c>
      <c r="D3924" s="1" t="str">
        <f>HYPERLINK("http://genome-euro.ucsc.edu/cgi-bin/hgTracks?position=202081_at","UCSC")</f>
        <v>UCSC</v>
      </c>
      <c r="E3924" s="1" t="str">
        <f>HYPERLINK("http://www.ncbi.nlm.nih.gov/gene/?term=IER2","NCBI")</f>
        <v>NCBI</v>
      </c>
      <c r="F3924">
        <v>2.7E-2</v>
      </c>
      <c r="G3924">
        <v>0.12</v>
      </c>
      <c r="H3924" s="1" t="str">
        <f>HYPERLINK("http://www.weizmann.ac.il/complex/compphys/software/geview/data/figures/202081_at.png","Figure")</f>
        <v>Figure</v>
      </c>
      <c r="I3924">
        <v>0.46500000000000002</v>
      </c>
      <c r="J3924">
        <v>5.5E-2</v>
      </c>
      <c r="K3924">
        <v>1.04</v>
      </c>
      <c r="L3924">
        <v>0.99</v>
      </c>
      <c r="M3924">
        <v>2.2400000000000002</v>
      </c>
      <c r="N3924">
        <v>0.03</v>
      </c>
    </row>
    <row r="3925" spans="1:14" x14ac:dyDescent="0.25">
      <c r="A3925" t="s">
        <v>7165</v>
      </c>
      <c r="B3925" t="s">
        <v>7166</v>
      </c>
      <c r="C3925" s="1" t="str">
        <f>HYPERLINK("http://www.genecards.org/cgi-bin/carddisp.pl?gene=ACSL4","GeneCards")</f>
        <v>GeneCards</v>
      </c>
      <c r="D3925" s="1" t="str">
        <f>HYPERLINK("http://genome-euro.ucsc.edu/cgi-bin/hgTracks?position=202422_s_at","UCSC")</f>
        <v>UCSC</v>
      </c>
      <c r="E3925" s="1" t="str">
        <f>HYPERLINK("http://www.ncbi.nlm.nih.gov/gene/?term=ACSL4","NCBI")</f>
        <v>NCBI</v>
      </c>
      <c r="F3925">
        <v>2.7E-2</v>
      </c>
      <c r="G3925">
        <v>0.12</v>
      </c>
      <c r="H3925" s="1" t="str">
        <f>HYPERLINK("http://www.weizmann.ac.il/complex/compphys/software/geview/data/figures/202422_s_at.png","Figure")</f>
        <v>Figure</v>
      </c>
      <c r="I3925">
        <v>0.77400000000000002</v>
      </c>
      <c r="J3925">
        <v>4.7E-2</v>
      </c>
      <c r="K3925">
        <v>1</v>
      </c>
      <c r="L3925">
        <v>1</v>
      </c>
      <c r="M3925">
        <v>1.29</v>
      </c>
      <c r="N3925">
        <v>3.4000000000000002E-2</v>
      </c>
    </row>
    <row r="3926" spans="1:14" x14ac:dyDescent="0.25">
      <c r="A3926" t="s">
        <v>7167</v>
      </c>
      <c r="B3926" t="s">
        <v>5903</v>
      </c>
      <c r="C3926" s="1" t="str">
        <f>HYPERLINK("http://www.genecards.org/cgi-bin/carddisp.pl?gene=IVD","GeneCards")</f>
        <v>GeneCards</v>
      </c>
      <c r="D3926" s="1" t="str">
        <f>HYPERLINK("http://genome-euro.ucsc.edu/cgi-bin/hgTracks?position=203682_s_at","UCSC")</f>
        <v>UCSC</v>
      </c>
      <c r="E3926" s="1" t="str">
        <f>HYPERLINK("http://www.ncbi.nlm.nih.gov/gene/?term=IVD","NCBI")</f>
        <v>NCBI</v>
      </c>
      <c r="F3926">
        <v>2.7E-2</v>
      </c>
      <c r="G3926">
        <v>0.12</v>
      </c>
      <c r="H3926" s="1" t="str">
        <f>HYPERLINK("http://www.weizmann.ac.il/complex/compphys/software/geview/data/figures/203682_s_at.png","Figure")</f>
        <v>Figure</v>
      </c>
      <c r="I3926">
        <v>1.2</v>
      </c>
      <c r="J3926">
        <v>0.1</v>
      </c>
      <c r="K3926">
        <v>1.24</v>
      </c>
      <c r="L3926">
        <v>2.7E-2</v>
      </c>
      <c r="M3926">
        <v>1.03</v>
      </c>
      <c r="N3926">
        <v>0.92</v>
      </c>
    </row>
    <row r="3927" spans="1:14" x14ac:dyDescent="0.25">
      <c r="A3927" t="s">
        <v>7168</v>
      </c>
      <c r="B3927" t="s">
        <v>7169</v>
      </c>
      <c r="C3927" s="1" t="str">
        <f>HYPERLINK("http://www.genecards.org/cgi-bin/carddisp.pl?gene=APOBEC3G","GeneCards")</f>
        <v>GeneCards</v>
      </c>
      <c r="D3927" s="1" t="str">
        <f>HYPERLINK("http://genome-euro.ucsc.edu/cgi-bin/hgTracks?position=204205_at","UCSC")</f>
        <v>UCSC</v>
      </c>
      <c r="E3927" s="1" t="str">
        <f>HYPERLINK("http://www.ncbi.nlm.nih.gov/gene/?term=APOBEC3G","NCBI")</f>
        <v>NCBI</v>
      </c>
      <c r="F3927">
        <v>2.7E-2</v>
      </c>
      <c r="G3927">
        <v>0.12</v>
      </c>
      <c r="H3927" s="1" t="str">
        <f>HYPERLINK("http://www.weizmann.ac.il/complex/compphys/software/geview/data/figures/204205_at.png","Figure")</f>
        <v>Figure</v>
      </c>
      <c r="I3927">
        <v>0.67900000000000005</v>
      </c>
      <c r="J3927">
        <v>0.4</v>
      </c>
      <c r="K3927">
        <v>1.54</v>
      </c>
      <c r="L3927">
        <v>0.23</v>
      </c>
      <c r="M3927">
        <v>2.27</v>
      </c>
      <c r="N3927">
        <v>2.4E-2</v>
      </c>
    </row>
    <row r="3928" spans="1:14" x14ac:dyDescent="0.25">
      <c r="A3928" t="s">
        <v>7170</v>
      </c>
      <c r="B3928" t="s">
        <v>4643</v>
      </c>
      <c r="C3928" s="1" t="str">
        <f>HYPERLINK("http://www.genecards.org/cgi-bin/carddisp.pl?gene=ACOX3","GeneCards")</f>
        <v>GeneCards</v>
      </c>
      <c r="D3928" s="1" t="str">
        <f>HYPERLINK("http://genome-euro.ucsc.edu/cgi-bin/hgTracks?position=204242_s_at","UCSC")</f>
        <v>UCSC</v>
      </c>
      <c r="E3928" s="1" t="str">
        <f>HYPERLINK("http://www.ncbi.nlm.nih.gov/gene/?term=ACOX3","NCBI")</f>
        <v>NCBI</v>
      </c>
      <c r="F3928">
        <v>2.7E-2</v>
      </c>
      <c r="G3928">
        <v>0.12</v>
      </c>
      <c r="H3928" s="1" t="str">
        <f>HYPERLINK("http://www.weizmann.ac.il/complex/compphys/software/geview/data/figures/204242_s_at.png","Figure")</f>
        <v>Figure</v>
      </c>
      <c r="I3928">
        <v>1.31</v>
      </c>
      <c r="J3928">
        <v>3.5000000000000003E-2</v>
      </c>
      <c r="K3928">
        <v>1.24</v>
      </c>
      <c r="L3928">
        <v>6.2E-2</v>
      </c>
      <c r="M3928">
        <v>0.94</v>
      </c>
      <c r="N3928">
        <v>0.78</v>
      </c>
    </row>
    <row r="3929" spans="1:14" x14ac:dyDescent="0.25">
      <c r="A3929" t="s">
        <v>7171</v>
      </c>
      <c r="B3929" t="s">
        <v>7172</v>
      </c>
      <c r="C3929" s="1" t="str">
        <f>HYPERLINK("http://www.genecards.org/cgi-bin/carddisp.pl?gene=TXN2","GeneCards")</f>
        <v>GeneCards</v>
      </c>
      <c r="D3929" s="1" t="str">
        <f>HYPERLINK("http://genome-euro.ucsc.edu/cgi-bin/hgTracks?position=209077_at","UCSC")</f>
        <v>UCSC</v>
      </c>
      <c r="E3929" s="1" t="str">
        <f>HYPERLINK("http://www.ncbi.nlm.nih.gov/gene/?term=TXN2","NCBI")</f>
        <v>NCBI</v>
      </c>
      <c r="F3929">
        <v>2.7E-2</v>
      </c>
      <c r="G3929">
        <v>0.12</v>
      </c>
      <c r="H3929" s="1" t="str">
        <f>HYPERLINK("http://www.weizmann.ac.il/complex/compphys/software/geview/data/figures/209077_at.png","Figure")</f>
        <v>Figure</v>
      </c>
      <c r="I3929">
        <v>1.33</v>
      </c>
      <c r="J3929">
        <v>8.7999999999999995E-2</v>
      </c>
      <c r="K3929">
        <v>1.37</v>
      </c>
      <c r="L3929">
        <v>2.8000000000000001E-2</v>
      </c>
      <c r="M3929">
        <v>1.03</v>
      </c>
      <c r="N3929">
        <v>0.96</v>
      </c>
    </row>
    <row r="3930" spans="1:14" x14ac:dyDescent="0.25">
      <c r="A3930" t="s">
        <v>7173</v>
      </c>
      <c r="B3930" t="s">
        <v>5140</v>
      </c>
      <c r="C3930" s="1" t="str">
        <f>HYPERLINK("http://www.genecards.org/cgi-bin/carddisp.pl?gene=LEF1","GeneCards")</f>
        <v>GeneCards</v>
      </c>
      <c r="D3930" s="1" t="str">
        <f>HYPERLINK("http://genome-euro.ucsc.edu/cgi-bin/hgTracks?position=210948_s_at","UCSC")</f>
        <v>UCSC</v>
      </c>
      <c r="E3930" s="1" t="str">
        <f>HYPERLINK("http://www.ncbi.nlm.nih.gov/gene/?term=LEF1","NCBI")</f>
        <v>NCBI</v>
      </c>
      <c r="F3930">
        <v>2.7E-2</v>
      </c>
      <c r="G3930">
        <v>0.12</v>
      </c>
      <c r="H3930" s="1" t="str">
        <f>HYPERLINK("http://www.weizmann.ac.il/complex/compphys/software/geview/data/figures/210948_s_at.png","Figure")</f>
        <v>Figure</v>
      </c>
      <c r="I3930">
        <v>1.23</v>
      </c>
      <c r="J3930">
        <v>0.8</v>
      </c>
      <c r="K3930">
        <v>2.27</v>
      </c>
      <c r="L3930">
        <v>2.9000000000000001E-2</v>
      </c>
      <c r="M3930">
        <v>1.85</v>
      </c>
      <c r="N3930">
        <v>0.14000000000000001</v>
      </c>
    </row>
    <row r="3931" spans="1:14" x14ac:dyDescent="0.25">
      <c r="A3931" t="s">
        <v>7174</v>
      </c>
      <c r="B3931" t="s">
        <v>7175</v>
      </c>
      <c r="C3931" s="1" t="str">
        <f>HYPERLINK("http://www.genecards.org/cgi-bin/carddisp.pl?gene=PAX4","GeneCards")</f>
        <v>GeneCards</v>
      </c>
      <c r="D3931" s="1" t="str">
        <f>HYPERLINK("http://genome-euro.ucsc.edu/cgi-bin/hgTracks?position=211176_s_at","UCSC")</f>
        <v>UCSC</v>
      </c>
      <c r="E3931" s="1" t="str">
        <f>HYPERLINK("http://www.ncbi.nlm.nih.gov/gene/?term=PAX4","NCBI")</f>
        <v>NCBI</v>
      </c>
      <c r="F3931">
        <v>2.7E-2</v>
      </c>
      <c r="G3931">
        <v>0.12</v>
      </c>
      <c r="H3931" s="1" t="str">
        <f>HYPERLINK("http://www.weizmann.ac.il/complex/compphys/software/geview/data/figures/211176_s_at.png","Figure")</f>
        <v>Figure</v>
      </c>
      <c r="I3931">
        <v>1.17</v>
      </c>
      <c r="J3931">
        <v>2.1000000000000001E-2</v>
      </c>
      <c r="K3931">
        <v>1.07</v>
      </c>
      <c r="L3931">
        <v>0.28000000000000003</v>
      </c>
      <c r="M3931">
        <v>0.91800000000000004</v>
      </c>
      <c r="N3931">
        <v>0.2</v>
      </c>
    </row>
    <row r="3932" spans="1:14" x14ac:dyDescent="0.25">
      <c r="A3932" t="s">
        <v>7176</v>
      </c>
      <c r="B3932" t="s">
        <v>7177</v>
      </c>
      <c r="C3932" s="1" t="str">
        <f>HYPERLINK("http://www.genecards.org/cgi-bin/carddisp.pl?gene=CTSZ","GeneCards")</f>
        <v>GeneCards</v>
      </c>
      <c r="D3932" s="1" t="str">
        <f>HYPERLINK("http://genome-euro.ucsc.edu/cgi-bin/hgTracks?position=212562_s_at","UCSC")</f>
        <v>UCSC</v>
      </c>
      <c r="E3932" s="1" t="str">
        <f>HYPERLINK("http://www.ncbi.nlm.nih.gov/gene/?term=CTSZ","NCBI")</f>
        <v>NCBI</v>
      </c>
      <c r="F3932">
        <v>2.7E-2</v>
      </c>
      <c r="G3932">
        <v>0.12</v>
      </c>
      <c r="H3932" s="1" t="str">
        <f>HYPERLINK("http://www.weizmann.ac.il/complex/compphys/software/geview/data/figures/212562_s_at.png","Figure")</f>
        <v>Figure</v>
      </c>
      <c r="I3932">
        <v>1.51</v>
      </c>
      <c r="J3932">
        <v>2.1999999999999999E-2</v>
      </c>
      <c r="K3932">
        <v>1.25</v>
      </c>
      <c r="L3932">
        <v>0.18</v>
      </c>
      <c r="M3932">
        <v>0.82699999999999996</v>
      </c>
      <c r="N3932">
        <v>0.31</v>
      </c>
    </row>
    <row r="3933" spans="1:14" x14ac:dyDescent="0.25">
      <c r="A3933" t="s">
        <v>7178</v>
      </c>
      <c r="B3933" t="s">
        <v>7179</v>
      </c>
      <c r="C3933" s="1" t="str">
        <f>HYPERLINK("http://www.genecards.org/cgi-bin/carddisp.pl?gene=USP19","GeneCards")</f>
        <v>GeneCards</v>
      </c>
      <c r="D3933" s="1" t="str">
        <f>HYPERLINK("http://genome-euro.ucsc.edu/cgi-bin/hgTracks?position=214674_at","UCSC")</f>
        <v>UCSC</v>
      </c>
      <c r="E3933" s="1" t="str">
        <f>HYPERLINK("http://www.ncbi.nlm.nih.gov/gene/?term=USP19","NCBI")</f>
        <v>NCBI</v>
      </c>
      <c r="F3933">
        <v>2.7E-2</v>
      </c>
      <c r="G3933">
        <v>0.12</v>
      </c>
      <c r="H3933" s="1" t="str">
        <f>HYPERLINK("http://www.weizmann.ac.il/complex/compphys/software/geview/data/figures/214674_at.png","Figure")</f>
        <v>Figure</v>
      </c>
      <c r="I3933">
        <v>1.4</v>
      </c>
      <c r="J3933">
        <v>8.8999999999999996E-2</v>
      </c>
      <c r="K3933">
        <v>0.92600000000000005</v>
      </c>
      <c r="L3933">
        <v>0.82</v>
      </c>
      <c r="M3933">
        <v>0.66100000000000003</v>
      </c>
      <c r="N3933">
        <v>2.4E-2</v>
      </c>
    </row>
    <row r="3934" spans="1:14" x14ac:dyDescent="0.25">
      <c r="A3934" t="s">
        <v>7180</v>
      </c>
      <c r="B3934" t="s">
        <v>7181</v>
      </c>
      <c r="C3934" s="1" t="str">
        <f>HYPERLINK("http://www.genecards.org/cgi-bin/carddisp.pl?gene=PJA1","GeneCards")</f>
        <v>GeneCards</v>
      </c>
      <c r="D3934" s="1" t="str">
        <f>HYPERLINK("http://genome-euro.ucsc.edu/cgi-bin/hgTracks?position=218667_at","UCSC")</f>
        <v>UCSC</v>
      </c>
      <c r="E3934" s="1" t="str">
        <f>HYPERLINK("http://www.ncbi.nlm.nih.gov/gene/?term=PJA1","NCBI")</f>
        <v>NCBI</v>
      </c>
      <c r="F3934">
        <v>2.7E-2</v>
      </c>
      <c r="G3934">
        <v>0.12</v>
      </c>
      <c r="H3934" s="1" t="str">
        <f>HYPERLINK("http://www.weizmann.ac.il/complex/compphys/software/geview/data/figures/218667_at.png","Figure")</f>
        <v>Figure</v>
      </c>
      <c r="I3934">
        <v>0.77700000000000002</v>
      </c>
      <c r="J3934">
        <v>0.26</v>
      </c>
      <c r="K3934">
        <v>1.21</v>
      </c>
      <c r="L3934">
        <v>0.36</v>
      </c>
      <c r="M3934">
        <v>1.55</v>
      </c>
      <c r="N3934">
        <v>2.1999999999999999E-2</v>
      </c>
    </row>
    <row r="3935" spans="1:14" x14ac:dyDescent="0.25">
      <c r="A3935" t="s">
        <v>7182</v>
      </c>
      <c r="B3935" t="s">
        <v>7183</v>
      </c>
      <c r="C3935" s="1" t="str">
        <f>HYPERLINK("http://www.genecards.org/cgi-bin/carddisp.pl?gene=HEYL","GeneCards")</f>
        <v>GeneCards</v>
      </c>
      <c r="D3935" s="1" t="str">
        <f>HYPERLINK("http://genome-euro.ucsc.edu/cgi-bin/hgTracks?position=220662_s_at","UCSC")</f>
        <v>UCSC</v>
      </c>
      <c r="E3935" s="1" t="str">
        <f>HYPERLINK("http://www.ncbi.nlm.nih.gov/gene/?term=HEYL","NCBI")</f>
        <v>NCBI</v>
      </c>
      <c r="F3935">
        <v>2.7E-2</v>
      </c>
      <c r="G3935">
        <v>0.12</v>
      </c>
      <c r="H3935" s="1" t="str">
        <f>HYPERLINK("http://www.weizmann.ac.il/complex/compphys/software/geview/data/figures/220662_s_at.png","Figure")</f>
        <v>Figure</v>
      </c>
      <c r="I3935">
        <v>1.17</v>
      </c>
      <c r="J3935">
        <v>2.1999999999999999E-2</v>
      </c>
      <c r="K3935">
        <v>1.0900000000000001</v>
      </c>
      <c r="L3935">
        <v>0.18</v>
      </c>
      <c r="M3935">
        <v>0.93200000000000005</v>
      </c>
      <c r="N3935">
        <v>0.32</v>
      </c>
    </row>
    <row r="3936" spans="1:14" x14ac:dyDescent="0.25">
      <c r="A3936" t="s">
        <v>7184</v>
      </c>
      <c r="B3936" t="s">
        <v>7121</v>
      </c>
      <c r="C3936" s="1" t="str">
        <f>HYPERLINK("http://www.genecards.org/cgi-bin/carddisp.pl?gene=KLF9","GeneCards")</f>
        <v>GeneCards</v>
      </c>
      <c r="D3936" s="1" t="str">
        <f>HYPERLINK("http://genome-euro.ucsc.edu/cgi-bin/hgTracks?position=203542_s_at","UCSC")</f>
        <v>UCSC</v>
      </c>
      <c r="E3936" s="1" t="str">
        <f>HYPERLINK("http://www.ncbi.nlm.nih.gov/gene/?term=KLF9","NCBI")</f>
        <v>NCBI</v>
      </c>
      <c r="F3936">
        <v>2.7E-2</v>
      </c>
      <c r="G3936">
        <v>0.12</v>
      </c>
      <c r="H3936" s="1" t="str">
        <f>HYPERLINK("http://www.weizmann.ac.il/complex/compphys/software/geview/data/figures/203542_s_at.png","Figure")</f>
        <v>Figure</v>
      </c>
      <c r="I3936">
        <v>0.51400000000000001</v>
      </c>
      <c r="J3936">
        <v>2.8000000000000001E-2</v>
      </c>
      <c r="K3936">
        <v>0.86599999999999999</v>
      </c>
      <c r="L3936">
        <v>0.75</v>
      </c>
      <c r="M3936">
        <v>1.69</v>
      </c>
      <c r="N3936">
        <v>6.6000000000000003E-2</v>
      </c>
    </row>
    <row r="3937" spans="1:14" x14ac:dyDescent="0.25">
      <c r="A3937" t="s">
        <v>7185</v>
      </c>
      <c r="B3937" t="s">
        <v>7186</v>
      </c>
      <c r="C3937" s="1" t="str">
        <f>HYPERLINK("http://www.genecards.org/cgi-bin/carddisp.pl?gene=KDM5A","GeneCards")</f>
        <v>GeneCards</v>
      </c>
      <c r="D3937" s="1" t="str">
        <f>HYPERLINK("http://genome-euro.ucsc.edu/cgi-bin/hgTracks?position=202040_s_at","UCSC")</f>
        <v>UCSC</v>
      </c>
      <c r="E3937" s="1" t="str">
        <f>HYPERLINK("http://www.ncbi.nlm.nih.gov/gene/?term=KDM5A","NCBI")</f>
        <v>NCBI</v>
      </c>
      <c r="F3937">
        <v>2.7E-2</v>
      </c>
      <c r="G3937">
        <v>0.12</v>
      </c>
      <c r="H3937" s="1" t="str">
        <f>HYPERLINK("http://www.weizmann.ac.il/complex/compphys/software/geview/data/figures/202040_s_at.png","Figure")</f>
        <v>Figure</v>
      </c>
      <c r="I3937">
        <v>1.5</v>
      </c>
      <c r="J3937">
        <v>4.4999999999999998E-2</v>
      </c>
      <c r="K3937">
        <v>1.01</v>
      </c>
      <c r="L3937">
        <v>1</v>
      </c>
      <c r="M3937">
        <v>0.67200000000000004</v>
      </c>
      <c r="N3937">
        <v>3.5000000000000003E-2</v>
      </c>
    </row>
    <row r="3938" spans="1:14" x14ac:dyDescent="0.25">
      <c r="A3938" t="s">
        <v>7187</v>
      </c>
      <c r="B3938" t="s">
        <v>6989</v>
      </c>
      <c r="C3938" s="1" t="str">
        <f>HYPERLINK("http://www.genecards.org/cgi-bin/carddisp.pl?gene=ATG4B","GeneCards")</f>
        <v>GeneCards</v>
      </c>
      <c r="D3938" s="1" t="str">
        <f>HYPERLINK("http://genome-euro.ucsc.edu/cgi-bin/hgTracks?position=212280_x_at","UCSC")</f>
        <v>UCSC</v>
      </c>
      <c r="E3938" s="1" t="str">
        <f>HYPERLINK("http://www.ncbi.nlm.nih.gov/gene/?term=ATG4B","NCBI")</f>
        <v>NCBI</v>
      </c>
      <c r="F3938">
        <v>2.7E-2</v>
      </c>
      <c r="G3938">
        <v>0.12</v>
      </c>
      <c r="H3938" s="1" t="str">
        <f>HYPERLINK("http://www.weizmann.ac.il/complex/compphys/software/geview/data/figures/212280_x_at.png","Figure")</f>
        <v>Figure</v>
      </c>
      <c r="I3938">
        <v>1.4</v>
      </c>
      <c r="J3938">
        <v>6.4000000000000001E-2</v>
      </c>
      <c r="K3938">
        <v>0.96499999999999997</v>
      </c>
      <c r="L3938">
        <v>0.95</v>
      </c>
      <c r="M3938">
        <v>0.68700000000000006</v>
      </c>
      <c r="N3938">
        <v>2.8000000000000001E-2</v>
      </c>
    </row>
    <row r="3939" spans="1:14" x14ac:dyDescent="0.25">
      <c r="A3939" t="s">
        <v>7188</v>
      </c>
      <c r="B3939" t="s">
        <v>5822</v>
      </c>
      <c r="C3939" s="1" t="str">
        <f>HYPERLINK("http://www.genecards.org/cgi-bin/carddisp.pl?gene=ARVCF","GeneCards")</f>
        <v>GeneCards</v>
      </c>
      <c r="D3939" s="1" t="str">
        <f>HYPERLINK("http://genome-euro.ucsc.edu/cgi-bin/hgTracks?position=217516_x_at","UCSC")</f>
        <v>UCSC</v>
      </c>
      <c r="E3939" s="1" t="str">
        <f>HYPERLINK("http://www.ncbi.nlm.nih.gov/gene/?term=ARVCF","NCBI")</f>
        <v>NCBI</v>
      </c>
      <c r="F3939">
        <v>2.7E-2</v>
      </c>
      <c r="G3939">
        <v>0.12</v>
      </c>
      <c r="H3939" s="1" t="str">
        <f>HYPERLINK("http://www.weizmann.ac.il/complex/compphys/software/geview/data/figures/217516_x_at.png","Figure")</f>
        <v>Figure</v>
      </c>
      <c r="I3939">
        <v>1.69</v>
      </c>
      <c r="J3939">
        <v>2.1999999999999999E-2</v>
      </c>
      <c r="K3939">
        <v>1.22</v>
      </c>
      <c r="L3939">
        <v>0.4</v>
      </c>
      <c r="M3939">
        <v>0.72099999999999997</v>
      </c>
      <c r="N3939">
        <v>0.14000000000000001</v>
      </c>
    </row>
    <row r="3940" spans="1:14" x14ac:dyDescent="0.25">
      <c r="A3940" t="s">
        <v>7189</v>
      </c>
      <c r="B3940" t="s">
        <v>6442</v>
      </c>
      <c r="C3940" s="1" t="str">
        <f>HYPERLINK("http://www.genecards.org/cgi-bin/carddisp.pl?gene=APOC1","GeneCards")</f>
        <v>GeneCards</v>
      </c>
      <c r="D3940" s="1" t="str">
        <f>HYPERLINK("http://genome-euro.ucsc.edu/cgi-bin/hgTracks?position=204416_x_at","UCSC")</f>
        <v>UCSC</v>
      </c>
      <c r="E3940" s="1" t="str">
        <f>HYPERLINK("http://www.ncbi.nlm.nih.gov/gene/?term=APOC1","NCBI")</f>
        <v>NCBI</v>
      </c>
      <c r="F3940">
        <v>2.7E-2</v>
      </c>
      <c r="G3940">
        <v>0.12</v>
      </c>
      <c r="H3940" s="1" t="str">
        <f>HYPERLINK("http://www.weizmann.ac.il/complex/compphys/software/geview/data/figures/204416_x_at.png","Figure")</f>
        <v>Figure</v>
      </c>
      <c r="I3940">
        <v>1.3</v>
      </c>
      <c r="J3940">
        <v>0.05</v>
      </c>
      <c r="K3940">
        <v>0.995</v>
      </c>
      <c r="L3940">
        <v>1</v>
      </c>
      <c r="M3940">
        <v>0.76500000000000001</v>
      </c>
      <c r="N3940">
        <v>3.2000000000000001E-2</v>
      </c>
    </row>
    <row r="3941" spans="1:14" x14ac:dyDescent="0.25">
      <c r="A3941" t="s">
        <v>7190</v>
      </c>
      <c r="B3941" t="s">
        <v>7191</v>
      </c>
      <c r="C3941" s="1" t="str">
        <f>HYPERLINK("http://www.genecards.org/cgi-bin/carddisp.pl?gene=SMC2","GeneCards")</f>
        <v>GeneCards</v>
      </c>
      <c r="D3941" s="1" t="str">
        <f>HYPERLINK("http://genome-euro.ucsc.edu/cgi-bin/hgTracks?position=213253_at","UCSC")</f>
        <v>UCSC</v>
      </c>
      <c r="E3941" s="1" t="str">
        <f>HYPERLINK("http://www.ncbi.nlm.nih.gov/gene/?term=SMC2","NCBI")</f>
        <v>NCBI</v>
      </c>
      <c r="F3941">
        <v>2.7E-2</v>
      </c>
      <c r="G3941">
        <v>0.12</v>
      </c>
      <c r="H3941" s="1" t="str">
        <f>HYPERLINK("http://www.weizmann.ac.il/complex/compphys/software/geview/data/figures/213253_at.png","Figure")</f>
        <v>Figure</v>
      </c>
      <c r="I3941">
        <v>1.05</v>
      </c>
      <c r="J3941">
        <v>0.98</v>
      </c>
      <c r="K3941">
        <v>1.88</v>
      </c>
      <c r="L3941">
        <v>0.04</v>
      </c>
      <c r="M3941">
        <v>1.79</v>
      </c>
      <c r="N3941">
        <v>0.08</v>
      </c>
    </row>
    <row r="3942" spans="1:14" x14ac:dyDescent="0.25">
      <c r="A3942" t="s">
        <v>7192</v>
      </c>
      <c r="B3942" t="s">
        <v>7193</v>
      </c>
      <c r="C3942" s="1" t="str">
        <f>HYPERLINK("http://www.genecards.org/cgi-bin/carddisp.pl?gene=AMPD2","GeneCards")</f>
        <v>GeneCards</v>
      </c>
      <c r="D3942" s="1" t="str">
        <f>HYPERLINK("http://genome-euro.ucsc.edu/cgi-bin/hgTracks?position=212360_at","UCSC")</f>
        <v>UCSC</v>
      </c>
      <c r="E3942" s="1" t="str">
        <f>HYPERLINK("http://www.ncbi.nlm.nih.gov/gene/?term=AMPD2","NCBI")</f>
        <v>NCBI</v>
      </c>
      <c r="F3942">
        <v>2.7E-2</v>
      </c>
      <c r="G3942">
        <v>0.12</v>
      </c>
      <c r="H3942" s="1" t="str">
        <f>HYPERLINK("http://www.weizmann.ac.il/complex/compphys/software/geview/data/figures/212360_at.png","Figure")</f>
        <v>Figure</v>
      </c>
      <c r="I3942">
        <v>1.41</v>
      </c>
      <c r="J3942">
        <v>0.13</v>
      </c>
      <c r="K3942">
        <v>1.54</v>
      </c>
      <c r="L3942">
        <v>2.4E-2</v>
      </c>
      <c r="M3942">
        <v>1.1000000000000001</v>
      </c>
      <c r="N3942">
        <v>0.82</v>
      </c>
    </row>
    <row r="3943" spans="1:14" x14ac:dyDescent="0.25">
      <c r="A3943" t="s">
        <v>7194</v>
      </c>
      <c r="B3943" t="s">
        <v>7195</v>
      </c>
      <c r="C3943" s="1" t="str">
        <f>HYPERLINK("http://www.genecards.org/cgi-bin/carddisp.pl?gene=LRTM1","GeneCards")</f>
        <v>GeneCards</v>
      </c>
      <c r="D3943" s="1" t="str">
        <f>HYPERLINK("http://genome-euro.ucsc.edu/cgi-bin/hgTracks?position=221612_at","UCSC")</f>
        <v>UCSC</v>
      </c>
      <c r="E3943" s="1" t="str">
        <f>HYPERLINK("http://www.ncbi.nlm.nih.gov/gene/?term=LRTM1","NCBI")</f>
        <v>NCBI</v>
      </c>
      <c r="F3943">
        <v>2.8000000000000001E-2</v>
      </c>
      <c r="G3943">
        <v>0.12</v>
      </c>
      <c r="H3943" s="1" t="str">
        <f>HYPERLINK("http://www.weizmann.ac.il/complex/compphys/software/geview/data/figures/221612_at.png","Figure")</f>
        <v>Figure</v>
      </c>
      <c r="I3943">
        <v>1.28</v>
      </c>
      <c r="J3943">
        <v>2.5999999999999999E-2</v>
      </c>
      <c r="K3943">
        <v>1.17</v>
      </c>
      <c r="L3943">
        <v>0.11</v>
      </c>
      <c r="M3943">
        <v>0.91600000000000004</v>
      </c>
      <c r="N3943">
        <v>0.5</v>
      </c>
    </row>
    <row r="3944" spans="1:14" x14ac:dyDescent="0.25">
      <c r="A3944" t="s">
        <v>7196</v>
      </c>
      <c r="B3944" t="s">
        <v>7197</v>
      </c>
      <c r="C3944" s="1" t="str">
        <f>HYPERLINK("http://www.genecards.org/cgi-bin/carddisp.pl?gene=IGH@ /// IGHA1 /// IGHA2 /// IGHD /// IGHG1 /// IGHG3 /// IGHG4 /// IGHM /// IGHV4-31 /// LOC1001338","GeneCards")</f>
        <v>GeneCards</v>
      </c>
      <c r="D3944" s="1" t="str">
        <f>HYPERLINK("http://genome-euro.ucsc.edu/cgi-bin/hgTracks?position=211635_x_at","UCSC")</f>
        <v>UCSC</v>
      </c>
      <c r="E3944" s="1" t="str">
        <f>HYPERLINK("http://www.ncbi.nlm.nih.gov/gene/?term=IGH@ /// IGHA1 /// IGHA2 /// IGHD /// IGHG1 /// IGHG3 /// IGHG4 /// IGHM /// IGHV4-31 /// LOC1001338","NCBI")</f>
        <v>NCBI</v>
      </c>
      <c r="F3944">
        <v>2.8000000000000001E-2</v>
      </c>
      <c r="G3944">
        <v>0.12</v>
      </c>
      <c r="H3944" s="1" t="str">
        <f>HYPERLINK("http://www.weizmann.ac.il/complex/compphys/software/geview/data/figures/211635_x_at.png","Figure")</f>
        <v>Figure</v>
      </c>
      <c r="I3944">
        <v>0.96299999999999997</v>
      </c>
      <c r="J3944">
        <v>0.96</v>
      </c>
      <c r="K3944">
        <v>1.35</v>
      </c>
      <c r="L3944">
        <v>6.3E-2</v>
      </c>
      <c r="M3944">
        <v>1.4</v>
      </c>
      <c r="N3944">
        <v>0.05</v>
      </c>
    </row>
    <row r="3945" spans="1:14" x14ac:dyDescent="0.25">
      <c r="A3945" t="s">
        <v>7198</v>
      </c>
      <c r="B3945" t="s">
        <v>7199</v>
      </c>
      <c r="C3945" s="1" t="str">
        <f>HYPERLINK("http://www.genecards.org/cgi-bin/carddisp.pl?gene=C1orf144","GeneCards")</f>
        <v>GeneCards</v>
      </c>
      <c r="D3945" s="1" t="str">
        <f>HYPERLINK("http://genome-euro.ucsc.edu/cgi-bin/hgTracks?position=212004_at","UCSC")</f>
        <v>UCSC</v>
      </c>
      <c r="E3945" s="1" t="str">
        <f>HYPERLINK("http://www.ncbi.nlm.nih.gov/gene/?term=C1orf144","NCBI")</f>
        <v>NCBI</v>
      </c>
      <c r="F3945">
        <v>2.8000000000000001E-2</v>
      </c>
      <c r="G3945">
        <v>0.12</v>
      </c>
      <c r="H3945" s="1" t="str">
        <f>HYPERLINK("http://www.weizmann.ac.il/complex/compphys/software/geview/data/figures/212004_at.png","Figure")</f>
        <v>Figure</v>
      </c>
      <c r="I3945">
        <v>1.38</v>
      </c>
      <c r="J3945">
        <v>2.1999999999999999E-2</v>
      </c>
      <c r="K3945">
        <v>1.18</v>
      </c>
      <c r="L3945">
        <v>0.19</v>
      </c>
      <c r="M3945">
        <v>0.85799999999999998</v>
      </c>
      <c r="N3945">
        <v>0.28999999999999998</v>
      </c>
    </row>
    <row r="3946" spans="1:14" x14ac:dyDescent="0.25">
      <c r="A3946" t="s">
        <v>7200</v>
      </c>
      <c r="B3946" t="s">
        <v>7201</v>
      </c>
      <c r="C3946" s="1" t="str">
        <f>HYPERLINK("http://www.genecards.org/cgi-bin/carddisp.pl?gene=ACTR2","GeneCards")</f>
        <v>GeneCards</v>
      </c>
      <c r="D3946" s="1" t="str">
        <f>HYPERLINK("http://genome-euro.ucsc.edu/cgi-bin/hgTracks?position=200727_s_at","UCSC")</f>
        <v>UCSC</v>
      </c>
      <c r="E3946" s="1" t="str">
        <f>HYPERLINK("http://www.ncbi.nlm.nih.gov/gene/?term=ACTR2","NCBI")</f>
        <v>NCBI</v>
      </c>
      <c r="F3946">
        <v>2.8000000000000001E-2</v>
      </c>
      <c r="G3946">
        <v>0.12</v>
      </c>
      <c r="H3946" s="1" t="str">
        <f>HYPERLINK("http://www.weizmann.ac.il/complex/compphys/software/geview/data/figures/200727_s_at.png","Figure")</f>
        <v>Figure</v>
      </c>
      <c r="I3946">
        <v>1.77</v>
      </c>
      <c r="J3946">
        <v>2.1999999999999999E-2</v>
      </c>
      <c r="K3946">
        <v>1.26</v>
      </c>
      <c r="L3946">
        <v>0.36</v>
      </c>
      <c r="M3946">
        <v>0.71</v>
      </c>
      <c r="N3946">
        <v>0.16</v>
      </c>
    </row>
    <row r="3947" spans="1:14" x14ac:dyDescent="0.25">
      <c r="A3947" t="s">
        <v>7202</v>
      </c>
      <c r="B3947" t="s">
        <v>7203</v>
      </c>
      <c r="C3947" s="1" t="str">
        <f>HYPERLINK("http://www.genecards.org/cgi-bin/carddisp.pl?gene=LRP5L","GeneCards")</f>
        <v>GeneCards</v>
      </c>
      <c r="D3947" s="1" t="str">
        <f>HYPERLINK("http://genome-euro.ucsc.edu/cgi-bin/hgTracks?position=214873_at","UCSC")</f>
        <v>UCSC</v>
      </c>
      <c r="E3947" s="1" t="str">
        <f>HYPERLINK("http://www.ncbi.nlm.nih.gov/gene/?term=LRP5L","NCBI")</f>
        <v>NCBI</v>
      </c>
      <c r="F3947">
        <v>2.8000000000000001E-2</v>
      </c>
      <c r="G3947">
        <v>0.12</v>
      </c>
      <c r="H3947" s="1" t="str">
        <f>HYPERLINK("http://www.weizmann.ac.il/complex/compphys/software/geview/data/figures/214873_at.png","Figure")</f>
        <v>Figure</v>
      </c>
      <c r="I3947">
        <v>1.97</v>
      </c>
      <c r="J3947">
        <v>5.1999999999999998E-2</v>
      </c>
      <c r="K3947">
        <v>0.98</v>
      </c>
      <c r="L3947">
        <v>1</v>
      </c>
      <c r="M3947">
        <v>0.498</v>
      </c>
      <c r="N3947">
        <v>3.2000000000000001E-2</v>
      </c>
    </row>
    <row r="3948" spans="1:14" x14ac:dyDescent="0.25">
      <c r="A3948" t="s">
        <v>7204</v>
      </c>
      <c r="B3948" t="s">
        <v>7205</v>
      </c>
      <c r="C3948" s="1" t="str">
        <f>HYPERLINK("http://www.genecards.org/cgi-bin/carddisp.pl?gene=ZNF444","GeneCards")</f>
        <v>GeneCards</v>
      </c>
      <c r="D3948" s="1" t="str">
        <f>HYPERLINK("http://genome-euro.ucsc.edu/cgi-bin/hgTracks?position=50376_at","UCSC")</f>
        <v>UCSC</v>
      </c>
      <c r="E3948" s="1" t="str">
        <f>HYPERLINK("http://www.ncbi.nlm.nih.gov/gene/?term=ZNF444","NCBI")</f>
        <v>NCBI</v>
      </c>
      <c r="F3948">
        <v>2.8000000000000001E-2</v>
      </c>
      <c r="G3948">
        <v>0.12</v>
      </c>
      <c r="H3948" s="1" t="str">
        <f>HYPERLINK("http://www.weizmann.ac.il/complex/compphys/software/geview/data/figures/50376_at.png","Figure")</f>
        <v>Figure</v>
      </c>
      <c r="I3948">
        <v>1.37</v>
      </c>
      <c r="J3948">
        <v>2.4E-2</v>
      </c>
      <c r="K3948">
        <v>1.21</v>
      </c>
      <c r="L3948">
        <v>0.13</v>
      </c>
      <c r="M3948">
        <v>0.88200000000000001</v>
      </c>
      <c r="N3948">
        <v>0.42</v>
      </c>
    </row>
    <row r="3949" spans="1:14" x14ac:dyDescent="0.25">
      <c r="A3949" t="s">
        <v>7206</v>
      </c>
      <c r="B3949" t="s">
        <v>7207</v>
      </c>
      <c r="C3949" s="1" t="str">
        <f>HYPERLINK("http://www.genecards.org/cgi-bin/carddisp.pl?gene=SSX1","GeneCards")</f>
        <v>GeneCards</v>
      </c>
      <c r="D3949" s="1" t="str">
        <f>HYPERLINK("http://genome-euro.ucsc.edu/cgi-bin/hgTracks?position=206626_x_at","UCSC")</f>
        <v>UCSC</v>
      </c>
      <c r="E3949" s="1" t="str">
        <f>HYPERLINK("http://www.ncbi.nlm.nih.gov/gene/?term=SSX1","NCBI")</f>
        <v>NCBI</v>
      </c>
      <c r="F3949">
        <v>2.8000000000000001E-2</v>
      </c>
      <c r="G3949">
        <v>0.12</v>
      </c>
      <c r="H3949" s="1" t="str">
        <f>HYPERLINK("http://www.weizmann.ac.il/complex/compphys/software/geview/data/figures/206626_x_at.png","Figure")</f>
        <v>Figure</v>
      </c>
      <c r="I3949">
        <v>1.0900000000000001</v>
      </c>
      <c r="J3949">
        <v>0.72</v>
      </c>
      <c r="K3949">
        <v>0.82</v>
      </c>
      <c r="L3949">
        <v>0.11</v>
      </c>
      <c r="M3949">
        <v>0.75600000000000001</v>
      </c>
      <c r="N3949">
        <v>3.3000000000000002E-2</v>
      </c>
    </row>
    <row r="3950" spans="1:14" x14ac:dyDescent="0.25">
      <c r="A3950" t="s">
        <v>7208</v>
      </c>
      <c r="B3950" t="s">
        <v>62</v>
      </c>
      <c r="C3950" s="1" t="str">
        <f>HYPERLINK("http://www.genecards.org/cgi-bin/carddisp.pl?gene=ACOT7","GeneCards")</f>
        <v>GeneCards</v>
      </c>
      <c r="D3950" s="1" t="str">
        <f>HYPERLINK("http://genome-euro.ucsc.edu/cgi-bin/hgTracks?position=215728_s_at","UCSC")</f>
        <v>UCSC</v>
      </c>
      <c r="E3950" s="1" t="str">
        <f>HYPERLINK("http://www.ncbi.nlm.nih.gov/gene/?term=ACOT7","NCBI")</f>
        <v>NCBI</v>
      </c>
      <c r="F3950">
        <v>2.8000000000000001E-2</v>
      </c>
      <c r="G3950">
        <v>0.12</v>
      </c>
      <c r="H3950" s="1" t="str">
        <f>HYPERLINK("http://www.weizmann.ac.il/complex/compphys/software/geview/data/figures/215728_s_at.png","Figure")</f>
        <v>Figure</v>
      </c>
      <c r="I3950">
        <v>1.37</v>
      </c>
      <c r="J3950">
        <v>3.5000000000000003E-2</v>
      </c>
      <c r="K3950">
        <v>1.28</v>
      </c>
      <c r="L3950">
        <v>6.2E-2</v>
      </c>
      <c r="M3950">
        <v>0.93200000000000005</v>
      </c>
      <c r="N3950">
        <v>0.78</v>
      </c>
    </row>
    <row r="3951" spans="1:14" x14ac:dyDescent="0.25">
      <c r="A3951" t="s">
        <v>7209</v>
      </c>
      <c r="B3951" t="s">
        <v>7210</v>
      </c>
      <c r="C3951" s="1" t="str">
        <f>HYPERLINK("http://www.genecards.org/cgi-bin/carddisp.pl?gene=KIAA1751","GeneCards")</f>
        <v>GeneCards</v>
      </c>
      <c r="D3951" s="1" t="str">
        <f>HYPERLINK("http://genome-euro.ucsc.edu/cgi-bin/hgTracks?position=216807_at","UCSC")</f>
        <v>UCSC</v>
      </c>
      <c r="E3951" s="1" t="str">
        <f>HYPERLINK("http://www.ncbi.nlm.nih.gov/gene/?term=KIAA1751","NCBI")</f>
        <v>NCBI</v>
      </c>
      <c r="F3951">
        <v>2.8000000000000001E-2</v>
      </c>
      <c r="G3951">
        <v>0.12</v>
      </c>
      <c r="H3951" s="1" t="str">
        <f>HYPERLINK("http://www.weizmann.ac.il/complex/compphys/software/geview/data/figures/216807_at.png","Figure")</f>
        <v>Figure</v>
      </c>
      <c r="I3951">
        <v>1.1299999999999999</v>
      </c>
      <c r="J3951">
        <v>7.8E-2</v>
      </c>
      <c r="K3951">
        <v>0.97899999999999998</v>
      </c>
      <c r="L3951">
        <v>0.89</v>
      </c>
      <c r="M3951">
        <v>0.86299999999999999</v>
      </c>
      <c r="N3951">
        <v>2.5999999999999999E-2</v>
      </c>
    </row>
    <row r="3952" spans="1:14" x14ac:dyDescent="0.25">
      <c r="A3952" t="s">
        <v>7211</v>
      </c>
      <c r="B3952" t="s">
        <v>7212</v>
      </c>
      <c r="C3952" s="1" t="str">
        <f>HYPERLINK("http://www.genecards.org/cgi-bin/carddisp.pl?gene=FTSJ2","GeneCards")</f>
        <v>GeneCards</v>
      </c>
      <c r="D3952" s="1" t="str">
        <f>HYPERLINK("http://genome-euro.ucsc.edu/cgi-bin/hgTracks?position=218356_at","UCSC")</f>
        <v>UCSC</v>
      </c>
      <c r="E3952" s="1" t="str">
        <f>HYPERLINK("http://www.ncbi.nlm.nih.gov/gene/?term=FTSJ2","NCBI")</f>
        <v>NCBI</v>
      </c>
      <c r="F3952">
        <v>2.8000000000000001E-2</v>
      </c>
      <c r="G3952">
        <v>0.12</v>
      </c>
      <c r="H3952" s="1" t="str">
        <f>HYPERLINK("http://www.weizmann.ac.il/complex/compphys/software/geview/data/figures/218356_at.png","Figure")</f>
        <v>Figure</v>
      </c>
      <c r="I3952">
        <v>0.83699999999999997</v>
      </c>
      <c r="J3952">
        <v>0.45</v>
      </c>
      <c r="K3952">
        <v>1.25</v>
      </c>
      <c r="L3952">
        <v>0.21</v>
      </c>
      <c r="M3952">
        <v>1.5</v>
      </c>
      <c r="N3952">
        <v>2.5000000000000001E-2</v>
      </c>
    </row>
    <row r="3953" spans="1:14" x14ac:dyDescent="0.25">
      <c r="A3953" t="s">
        <v>7213</v>
      </c>
      <c r="B3953" t="s">
        <v>7214</v>
      </c>
      <c r="C3953" s="1" t="str">
        <f>HYPERLINK("http://www.genecards.org/cgi-bin/carddisp.pl?gene=DGKA","GeneCards")</f>
        <v>GeneCards</v>
      </c>
      <c r="D3953" s="1" t="str">
        <f>HYPERLINK("http://genome-euro.ucsc.edu/cgi-bin/hgTracks?position=211272_s_at","UCSC")</f>
        <v>UCSC</v>
      </c>
      <c r="E3953" s="1" t="str">
        <f>HYPERLINK("http://www.ncbi.nlm.nih.gov/gene/?term=DGKA","NCBI")</f>
        <v>NCBI</v>
      </c>
      <c r="F3953">
        <v>2.8000000000000001E-2</v>
      </c>
      <c r="G3953">
        <v>0.12</v>
      </c>
      <c r="H3953" s="1" t="str">
        <f>HYPERLINK("http://www.weizmann.ac.il/complex/compphys/software/geview/data/figures/211272_s_at.png","Figure")</f>
        <v>Figure</v>
      </c>
      <c r="I3953">
        <v>0.93</v>
      </c>
      <c r="J3953">
        <v>4.8000000000000001E-2</v>
      </c>
      <c r="K3953">
        <v>1</v>
      </c>
      <c r="L3953">
        <v>1</v>
      </c>
      <c r="M3953">
        <v>1.08</v>
      </c>
      <c r="N3953">
        <v>3.4000000000000002E-2</v>
      </c>
    </row>
    <row r="3954" spans="1:14" x14ac:dyDescent="0.25">
      <c r="A3954" t="s">
        <v>7215</v>
      </c>
      <c r="B3954" t="s">
        <v>7216</v>
      </c>
      <c r="C3954" s="1" t="str">
        <f>HYPERLINK("http://www.genecards.org/cgi-bin/carddisp.pl?gene=CANT1","GeneCards")</f>
        <v>GeneCards</v>
      </c>
      <c r="D3954" s="1" t="str">
        <f>HYPERLINK("http://genome-euro.ucsc.edu/cgi-bin/hgTracks?position=46323_at","UCSC")</f>
        <v>UCSC</v>
      </c>
      <c r="E3954" s="1" t="str">
        <f>HYPERLINK("http://www.ncbi.nlm.nih.gov/gene/?term=CANT1","NCBI")</f>
        <v>NCBI</v>
      </c>
      <c r="F3954">
        <v>2.8000000000000001E-2</v>
      </c>
      <c r="G3954">
        <v>0.12</v>
      </c>
      <c r="H3954" s="1" t="str">
        <f>HYPERLINK("http://www.weizmann.ac.il/complex/compphys/software/geview/data/figures/46323_at.png","Figure")</f>
        <v>Figure</v>
      </c>
      <c r="I3954">
        <v>0.624</v>
      </c>
      <c r="J3954">
        <v>5.1999999999999998E-2</v>
      </c>
      <c r="K3954">
        <v>0.64800000000000002</v>
      </c>
      <c r="L3954">
        <v>4.1000000000000002E-2</v>
      </c>
      <c r="M3954">
        <v>1.04</v>
      </c>
      <c r="N3954">
        <v>0.97</v>
      </c>
    </row>
    <row r="3955" spans="1:14" x14ac:dyDescent="0.25">
      <c r="A3955" t="s">
        <v>7217</v>
      </c>
      <c r="B3955" t="s">
        <v>7218</v>
      </c>
      <c r="C3955" s="1" t="str">
        <f>HYPERLINK("http://www.genecards.org/cgi-bin/carddisp.pl?gene=KHDRBS1","GeneCards")</f>
        <v>GeneCards</v>
      </c>
      <c r="D3955" s="1" t="str">
        <f>HYPERLINK("http://genome-euro.ucsc.edu/cgi-bin/hgTracks?position=214185_at","UCSC")</f>
        <v>UCSC</v>
      </c>
      <c r="E3955" s="1" t="str">
        <f>HYPERLINK("http://www.ncbi.nlm.nih.gov/gene/?term=KHDRBS1","NCBI")</f>
        <v>NCBI</v>
      </c>
      <c r="F3955">
        <v>2.8000000000000001E-2</v>
      </c>
      <c r="G3955">
        <v>0.12</v>
      </c>
      <c r="H3955" s="1" t="str">
        <f>HYPERLINK("http://www.weizmann.ac.il/complex/compphys/software/geview/data/figures/214185_at.png","Figure")</f>
        <v>Figure</v>
      </c>
      <c r="I3955">
        <v>1.38</v>
      </c>
      <c r="J3955">
        <v>6.8000000000000005E-2</v>
      </c>
      <c r="K3955">
        <v>0.96</v>
      </c>
      <c r="L3955">
        <v>0.93</v>
      </c>
      <c r="M3955">
        <v>0.69399999999999995</v>
      </c>
      <c r="N3955">
        <v>2.7E-2</v>
      </c>
    </row>
    <row r="3956" spans="1:14" x14ac:dyDescent="0.25">
      <c r="A3956" t="s">
        <v>7219</v>
      </c>
      <c r="B3956" t="s">
        <v>2530</v>
      </c>
      <c r="C3956" s="1" t="str">
        <f>HYPERLINK("http://www.genecards.org/cgi-bin/carddisp.pl?gene=ENOX2","GeneCards")</f>
        <v>GeneCards</v>
      </c>
      <c r="D3956" s="1" t="str">
        <f>HYPERLINK("http://genome-euro.ucsc.edu/cgi-bin/hgTracks?position=204644_at","UCSC")</f>
        <v>UCSC</v>
      </c>
      <c r="E3956" s="1" t="str">
        <f>HYPERLINK("http://www.ncbi.nlm.nih.gov/gene/?term=ENOX2","NCBI")</f>
        <v>NCBI</v>
      </c>
      <c r="F3956">
        <v>2.8000000000000001E-2</v>
      </c>
      <c r="G3956">
        <v>0.12</v>
      </c>
      <c r="H3956" s="1" t="str">
        <f>HYPERLINK("http://www.weizmann.ac.il/complex/compphys/software/geview/data/figures/204644_at.png","Figure")</f>
        <v>Figure</v>
      </c>
      <c r="I3956">
        <v>0.76500000000000001</v>
      </c>
      <c r="J3956">
        <v>0.13</v>
      </c>
      <c r="K3956">
        <v>1.1100000000000001</v>
      </c>
      <c r="L3956">
        <v>0.65</v>
      </c>
      <c r="M3956">
        <v>1.45</v>
      </c>
      <c r="N3956">
        <v>2.1999999999999999E-2</v>
      </c>
    </row>
    <row r="3957" spans="1:14" x14ac:dyDescent="0.25">
      <c r="A3957" t="s">
        <v>7220</v>
      </c>
      <c r="B3957" t="s">
        <v>7221</v>
      </c>
      <c r="C3957" s="1" t="str">
        <f>HYPERLINK("http://www.genecards.org/cgi-bin/carddisp.pl?gene=MPHOSPH9","GeneCards")</f>
        <v>GeneCards</v>
      </c>
      <c r="D3957" s="1" t="str">
        <f>HYPERLINK("http://genome-euro.ucsc.edu/cgi-bin/hgTracks?position=221965_at","UCSC")</f>
        <v>UCSC</v>
      </c>
      <c r="E3957" s="1" t="str">
        <f>HYPERLINK("http://www.ncbi.nlm.nih.gov/gene/?term=MPHOSPH9","NCBI")</f>
        <v>NCBI</v>
      </c>
      <c r="F3957">
        <v>2.8000000000000001E-2</v>
      </c>
      <c r="G3957">
        <v>0.12</v>
      </c>
      <c r="H3957" s="1" t="str">
        <f>HYPERLINK("http://www.weizmann.ac.il/complex/compphys/software/geview/data/figures/221965_at.png","Figure")</f>
        <v>Figure</v>
      </c>
      <c r="I3957">
        <v>0.90600000000000003</v>
      </c>
      <c r="J3957">
        <v>0.66</v>
      </c>
      <c r="K3957">
        <v>1.23</v>
      </c>
      <c r="L3957">
        <v>0.13</v>
      </c>
      <c r="M3957">
        <v>1.35</v>
      </c>
      <c r="N3957">
        <v>3.1E-2</v>
      </c>
    </row>
    <row r="3958" spans="1:14" x14ac:dyDescent="0.25">
      <c r="A3958" t="s">
        <v>7222</v>
      </c>
      <c r="B3958" t="s">
        <v>7223</v>
      </c>
      <c r="C3958" s="1" t="str">
        <f>HYPERLINK("http://www.genecards.org/cgi-bin/carddisp.pl?gene=PLEKHF2","GeneCards")</f>
        <v>GeneCards</v>
      </c>
      <c r="D3958" s="1" t="str">
        <f>HYPERLINK("http://genome-euro.ucsc.edu/cgi-bin/hgTracks?position=218640_s_at","UCSC")</f>
        <v>UCSC</v>
      </c>
      <c r="E3958" s="1" t="str">
        <f>HYPERLINK("http://www.ncbi.nlm.nih.gov/gene/?term=PLEKHF2","NCBI")</f>
        <v>NCBI</v>
      </c>
      <c r="F3958">
        <v>2.8000000000000001E-2</v>
      </c>
      <c r="G3958">
        <v>0.12</v>
      </c>
      <c r="H3958" s="1" t="str">
        <f>HYPERLINK("http://www.weizmann.ac.il/complex/compphys/software/geview/data/figures/218640_s_at.png","Figure")</f>
        <v>Figure</v>
      </c>
      <c r="I3958">
        <v>0.73099999999999998</v>
      </c>
      <c r="J3958">
        <v>0.45</v>
      </c>
      <c r="K3958">
        <v>0.50700000000000001</v>
      </c>
      <c r="L3958">
        <v>2.3E-2</v>
      </c>
      <c r="M3958">
        <v>0.69299999999999995</v>
      </c>
      <c r="N3958">
        <v>0.3</v>
      </c>
    </row>
    <row r="3959" spans="1:14" x14ac:dyDescent="0.25">
      <c r="A3959" t="s">
        <v>7224</v>
      </c>
      <c r="B3959" t="s">
        <v>7225</v>
      </c>
      <c r="C3959" s="1" t="str">
        <f>HYPERLINK("http://www.genecards.org/cgi-bin/carddisp.pl?gene=UBE2A","GeneCards")</f>
        <v>GeneCards</v>
      </c>
      <c r="D3959" s="1" t="str">
        <f>HYPERLINK("http://genome-euro.ucsc.edu/cgi-bin/hgTracks?position=201899_s_at","UCSC")</f>
        <v>UCSC</v>
      </c>
      <c r="E3959" s="1" t="str">
        <f>HYPERLINK("http://www.ncbi.nlm.nih.gov/gene/?term=UBE2A","NCBI")</f>
        <v>NCBI</v>
      </c>
      <c r="F3959">
        <v>2.8000000000000001E-2</v>
      </c>
      <c r="G3959">
        <v>0.12</v>
      </c>
      <c r="H3959" s="1" t="str">
        <f>HYPERLINK("http://www.weizmann.ac.il/complex/compphys/software/geview/data/figures/201899_s_at.png","Figure")</f>
        <v>Figure</v>
      </c>
      <c r="I3959">
        <v>0.60399999999999998</v>
      </c>
      <c r="J3959">
        <v>6.9000000000000006E-2</v>
      </c>
      <c r="K3959">
        <v>1.07</v>
      </c>
      <c r="L3959">
        <v>0.93</v>
      </c>
      <c r="M3959">
        <v>1.77</v>
      </c>
      <c r="N3959">
        <v>2.7E-2</v>
      </c>
    </row>
    <row r="3960" spans="1:14" x14ac:dyDescent="0.25">
      <c r="A3960" t="s">
        <v>7226</v>
      </c>
      <c r="B3960" t="s">
        <v>7227</v>
      </c>
      <c r="C3960" s="1" t="str">
        <f>HYPERLINK("http://www.genecards.org/cgi-bin/carddisp.pl?gene=UBE2NL","GeneCards")</f>
        <v>GeneCards</v>
      </c>
      <c r="D3960" s="1" t="str">
        <f>HYPERLINK("http://genome-euro.ucsc.edu/cgi-bin/hgTracks?position=217393_x_at","UCSC")</f>
        <v>UCSC</v>
      </c>
      <c r="E3960" s="1" t="str">
        <f>HYPERLINK("http://www.ncbi.nlm.nih.gov/gene/?term=UBE2NL","NCBI")</f>
        <v>NCBI</v>
      </c>
      <c r="F3960">
        <v>2.8000000000000001E-2</v>
      </c>
      <c r="G3960">
        <v>0.12</v>
      </c>
      <c r="H3960" s="1" t="str">
        <f>HYPERLINK("http://www.weizmann.ac.il/complex/compphys/software/geview/data/figures/217393_x_at.png","Figure")</f>
        <v>Figure</v>
      </c>
      <c r="I3960">
        <v>1.45</v>
      </c>
      <c r="J3960">
        <v>2.1999999999999999E-2</v>
      </c>
      <c r="K3960">
        <v>1.1599999999999999</v>
      </c>
      <c r="L3960">
        <v>0.35</v>
      </c>
      <c r="M3960">
        <v>0.80200000000000005</v>
      </c>
      <c r="N3960">
        <v>0.16</v>
      </c>
    </row>
    <row r="3961" spans="1:14" x14ac:dyDescent="0.25">
      <c r="A3961" t="s">
        <v>7228</v>
      </c>
      <c r="B3961" t="s">
        <v>3558</v>
      </c>
      <c r="C3961" s="1" t="str">
        <f>HYPERLINK("http://www.genecards.org/cgi-bin/carddisp.pl?gene=PTGES","GeneCards")</f>
        <v>GeneCards</v>
      </c>
      <c r="D3961" s="1" t="str">
        <f>HYPERLINK("http://genome-euro.ucsc.edu/cgi-bin/hgTracks?position=210367_s_at","UCSC")</f>
        <v>UCSC</v>
      </c>
      <c r="E3961" s="1" t="str">
        <f>HYPERLINK("http://www.ncbi.nlm.nih.gov/gene/?term=PTGES","NCBI")</f>
        <v>NCBI</v>
      </c>
      <c r="F3961">
        <v>2.8000000000000001E-2</v>
      </c>
      <c r="G3961">
        <v>0.12</v>
      </c>
      <c r="H3961" s="1" t="str">
        <f>HYPERLINK("http://www.weizmann.ac.il/complex/compphys/software/geview/data/figures/210367_s_at.png","Figure")</f>
        <v>Figure</v>
      </c>
      <c r="I3961">
        <v>1.27</v>
      </c>
      <c r="J3961">
        <v>3.7999999999999999E-2</v>
      </c>
      <c r="K3961">
        <v>1.02</v>
      </c>
      <c r="L3961">
        <v>0.96</v>
      </c>
      <c r="M3961">
        <v>0.80200000000000005</v>
      </c>
      <c r="N3961">
        <v>4.2999999999999997E-2</v>
      </c>
    </row>
    <row r="3962" spans="1:14" x14ac:dyDescent="0.25">
      <c r="A3962" t="s">
        <v>7229</v>
      </c>
      <c r="B3962" t="s">
        <v>7230</v>
      </c>
      <c r="C3962" s="1" t="str">
        <f>HYPERLINK("http://www.genecards.org/cgi-bin/carddisp.pl?gene=EIF3C","GeneCards")</f>
        <v>GeneCards</v>
      </c>
      <c r="D3962" s="1" t="str">
        <f>HYPERLINK("http://genome-euro.ucsc.edu/cgi-bin/hgTracks?position=215230_x_at","UCSC")</f>
        <v>UCSC</v>
      </c>
      <c r="E3962" s="1" t="str">
        <f>HYPERLINK("http://www.ncbi.nlm.nih.gov/gene/?term=EIF3C","NCBI")</f>
        <v>NCBI</v>
      </c>
      <c r="F3962">
        <v>2.8000000000000001E-2</v>
      </c>
      <c r="G3962">
        <v>0.12</v>
      </c>
      <c r="H3962" s="1" t="str">
        <f>HYPERLINK("http://www.weizmann.ac.il/complex/compphys/software/geview/data/figures/215230_x_at.png","Figure")</f>
        <v>Figure</v>
      </c>
      <c r="I3962">
        <v>1.25</v>
      </c>
      <c r="J3962">
        <v>0.37</v>
      </c>
      <c r="K3962">
        <v>1.53</v>
      </c>
      <c r="L3962">
        <v>2.1999999999999999E-2</v>
      </c>
      <c r="M3962">
        <v>1.23</v>
      </c>
      <c r="N3962">
        <v>0.37</v>
      </c>
    </row>
    <row r="3963" spans="1:14" x14ac:dyDescent="0.25">
      <c r="A3963" t="s">
        <v>7231</v>
      </c>
      <c r="B3963" t="s">
        <v>1658</v>
      </c>
      <c r="C3963" s="1" t="str">
        <f>HYPERLINK("http://www.genecards.org/cgi-bin/carddisp.pl?gene=GAS7","GeneCards")</f>
        <v>GeneCards</v>
      </c>
      <c r="D3963" s="1" t="str">
        <f>HYPERLINK("http://genome-euro.ucsc.edu/cgi-bin/hgTracks?position=202191_s_at","UCSC")</f>
        <v>UCSC</v>
      </c>
      <c r="E3963" s="1" t="str">
        <f>HYPERLINK("http://www.ncbi.nlm.nih.gov/gene/?term=GAS7","NCBI")</f>
        <v>NCBI</v>
      </c>
      <c r="F3963">
        <v>2.8000000000000001E-2</v>
      </c>
      <c r="G3963">
        <v>0.12</v>
      </c>
      <c r="H3963" s="1" t="str">
        <f>HYPERLINK("http://www.weizmann.ac.il/complex/compphys/software/geview/data/figures/202191_s_at.png","Figure")</f>
        <v>Figure</v>
      </c>
      <c r="I3963">
        <v>0.71599999999999997</v>
      </c>
      <c r="J3963">
        <v>0.39</v>
      </c>
      <c r="K3963">
        <v>1.45</v>
      </c>
      <c r="L3963">
        <v>0.24</v>
      </c>
      <c r="M3963">
        <v>2.02</v>
      </c>
      <c r="N3963">
        <v>2.4E-2</v>
      </c>
    </row>
    <row r="3964" spans="1:14" x14ac:dyDescent="0.25">
      <c r="A3964" t="s">
        <v>7232</v>
      </c>
      <c r="B3964" t="s">
        <v>4291</v>
      </c>
      <c r="C3964" s="1" t="str">
        <f>HYPERLINK("http://www.genecards.org/cgi-bin/carddisp.pl?gene=DHFR","GeneCards")</f>
        <v>GeneCards</v>
      </c>
      <c r="D3964" s="1" t="str">
        <f>HYPERLINK("http://genome-euro.ucsc.edu/cgi-bin/hgTracks?position=202532_s_at","UCSC")</f>
        <v>UCSC</v>
      </c>
      <c r="E3964" s="1" t="str">
        <f>HYPERLINK("http://www.ncbi.nlm.nih.gov/gene/?term=DHFR","NCBI")</f>
        <v>NCBI</v>
      </c>
      <c r="F3964">
        <v>2.8000000000000001E-2</v>
      </c>
      <c r="G3964">
        <v>0.12</v>
      </c>
      <c r="H3964" s="1" t="str">
        <f>HYPERLINK("http://www.weizmann.ac.il/complex/compphys/software/geview/data/figures/202532_s_at.png","Figure")</f>
        <v>Figure</v>
      </c>
      <c r="I3964">
        <v>0.68899999999999995</v>
      </c>
      <c r="J3964">
        <v>8.4000000000000005E-2</v>
      </c>
      <c r="K3964">
        <v>1.08</v>
      </c>
      <c r="L3964">
        <v>0.86</v>
      </c>
      <c r="M3964">
        <v>1.56</v>
      </c>
      <c r="N3964">
        <v>2.5000000000000001E-2</v>
      </c>
    </row>
    <row r="3965" spans="1:14" x14ac:dyDescent="0.25">
      <c r="A3965" t="s">
        <v>7233</v>
      </c>
      <c r="B3965" t="s">
        <v>7234</v>
      </c>
      <c r="C3965" s="1" t="str">
        <f>HYPERLINK("http://www.genecards.org/cgi-bin/carddisp.pl?gene=ITIH4","GeneCards")</f>
        <v>GeneCards</v>
      </c>
      <c r="D3965" s="1" t="str">
        <f>HYPERLINK("http://genome-euro.ucsc.edu/cgi-bin/hgTracks?position=206287_s_at","UCSC")</f>
        <v>UCSC</v>
      </c>
      <c r="E3965" s="1" t="str">
        <f>HYPERLINK("http://www.ncbi.nlm.nih.gov/gene/?term=ITIH4","NCBI")</f>
        <v>NCBI</v>
      </c>
      <c r="F3965">
        <v>2.8000000000000001E-2</v>
      </c>
      <c r="G3965">
        <v>0.12</v>
      </c>
      <c r="H3965" s="1" t="str">
        <f>HYPERLINK("http://www.weizmann.ac.il/complex/compphys/software/geview/data/figures/206287_s_at.png","Figure")</f>
        <v>Figure</v>
      </c>
      <c r="I3965">
        <v>1.28</v>
      </c>
      <c r="J3965">
        <v>3.9E-2</v>
      </c>
      <c r="K3965">
        <v>1.22</v>
      </c>
      <c r="L3965">
        <v>5.5E-2</v>
      </c>
      <c r="M3965">
        <v>0.95599999999999996</v>
      </c>
      <c r="N3965">
        <v>0.85</v>
      </c>
    </row>
    <row r="3966" spans="1:14" x14ac:dyDescent="0.25">
      <c r="A3966" t="s">
        <v>7235</v>
      </c>
      <c r="B3966" t="s">
        <v>7236</v>
      </c>
      <c r="C3966" s="1" t="str">
        <f>HYPERLINK("http://www.genecards.org/cgi-bin/carddisp.pl?gene=FAM168B","GeneCards")</f>
        <v>GeneCards</v>
      </c>
      <c r="D3966" s="1" t="str">
        <f>HYPERLINK("http://genome-euro.ucsc.edu/cgi-bin/hgTracks?position=212017_at","UCSC")</f>
        <v>UCSC</v>
      </c>
      <c r="E3966" s="1" t="str">
        <f>HYPERLINK("http://www.ncbi.nlm.nih.gov/gene/?term=FAM168B","NCBI")</f>
        <v>NCBI</v>
      </c>
      <c r="F3966">
        <v>2.8000000000000001E-2</v>
      </c>
      <c r="G3966">
        <v>0.12</v>
      </c>
      <c r="H3966" s="1" t="str">
        <f>HYPERLINK("http://www.weizmann.ac.il/complex/compphys/software/geview/data/figures/212017_at.png","Figure")</f>
        <v>Figure</v>
      </c>
      <c r="I3966">
        <v>1.0900000000000001</v>
      </c>
      <c r="J3966">
        <v>0.89</v>
      </c>
      <c r="K3966">
        <v>0.68100000000000005</v>
      </c>
      <c r="L3966">
        <v>7.8E-2</v>
      </c>
      <c r="M3966">
        <v>0.625</v>
      </c>
      <c r="N3966">
        <v>4.2000000000000003E-2</v>
      </c>
    </row>
    <row r="3967" spans="1:14" x14ac:dyDescent="0.25">
      <c r="A3967" t="s">
        <v>7237</v>
      </c>
      <c r="B3967" t="s">
        <v>7238</v>
      </c>
      <c r="C3967" s="1" t="str">
        <f>HYPERLINK("http://www.genecards.org/cgi-bin/carddisp.pl?gene=ALDH1A1","GeneCards")</f>
        <v>GeneCards</v>
      </c>
      <c r="D3967" s="1" t="str">
        <f>HYPERLINK("http://genome-euro.ucsc.edu/cgi-bin/hgTracks?position=212224_at","UCSC")</f>
        <v>UCSC</v>
      </c>
      <c r="E3967" s="1" t="str">
        <f>HYPERLINK("http://www.ncbi.nlm.nih.gov/gene/?term=ALDH1A1","NCBI")</f>
        <v>NCBI</v>
      </c>
      <c r="F3967">
        <v>2.8000000000000001E-2</v>
      </c>
      <c r="G3967">
        <v>0.12</v>
      </c>
      <c r="H3967" s="1" t="str">
        <f>HYPERLINK("http://www.weizmann.ac.il/complex/compphys/software/geview/data/figures/212224_at.png","Figure")</f>
        <v>Figure</v>
      </c>
      <c r="I3967">
        <v>2.38</v>
      </c>
      <c r="J3967">
        <v>5.5E-2</v>
      </c>
      <c r="K3967">
        <v>2.25</v>
      </c>
      <c r="L3967">
        <v>3.9E-2</v>
      </c>
      <c r="M3967">
        <v>0.94599999999999995</v>
      </c>
      <c r="N3967">
        <v>0.98</v>
      </c>
    </row>
    <row r="3968" spans="1:14" x14ac:dyDescent="0.25">
      <c r="A3968" t="s">
        <v>7239</v>
      </c>
      <c r="B3968" t="s">
        <v>3597</v>
      </c>
      <c r="C3968" s="1" t="str">
        <f>HYPERLINK("http://www.genecards.org/cgi-bin/carddisp.pl?gene=LSM12","GeneCards")</f>
        <v>GeneCards</v>
      </c>
      <c r="D3968" s="1" t="str">
        <f>HYPERLINK("http://genome-euro.ucsc.edu/cgi-bin/hgTracks?position=212532_s_at","UCSC")</f>
        <v>UCSC</v>
      </c>
      <c r="E3968" s="1" t="str">
        <f>HYPERLINK("http://www.ncbi.nlm.nih.gov/gene/?term=LSM12","NCBI")</f>
        <v>NCBI</v>
      </c>
      <c r="F3968">
        <v>2.8000000000000001E-2</v>
      </c>
      <c r="G3968">
        <v>0.12</v>
      </c>
      <c r="H3968" s="1" t="str">
        <f>HYPERLINK("http://www.weizmann.ac.il/complex/compphys/software/geview/data/figures/212532_s_at.png","Figure")</f>
        <v>Figure</v>
      </c>
      <c r="I3968">
        <v>0.76600000000000001</v>
      </c>
      <c r="J3968">
        <v>0.16</v>
      </c>
      <c r="K3968">
        <v>1.1299999999999999</v>
      </c>
      <c r="L3968">
        <v>0.56999999999999995</v>
      </c>
      <c r="M3968">
        <v>1.47</v>
      </c>
      <c r="N3968">
        <v>2.1999999999999999E-2</v>
      </c>
    </row>
    <row r="3969" spans="1:14" x14ac:dyDescent="0.25">
      <c r="A3969" t="s">
        <v>7240</v>
      </c>
      <c r="B3969" t="s">
        <v>7241</v>
      </c>
      <c r="C3969" s="1" t="str">
        <f>HYPERLINK("http://www.genecards.org/cgi-bin/carddisp.pl?gene=MT4","GeneCards")</f>
        <v>GeneCards</v>
      </c>
      <c r="D3969" s="1" t="str">
        <f>HYPERLINK("http://genome-euro.ucsc.edu/cgi-bin/hgTracks?position=217395_at","UCSC")</f>
        <v>UCSC</v>
      </c>
      <c r="E3969" s="1" t="str">
        <f>HYPERLINK("http://www.ncbi.nlm.nih.gov/gene/?term=MT4","NCBI")</f>
        <v>NCBI</v>
      </c>
      <c r="F3969">
        <v>2.8000000000000001E-2</v>
      </c>
      <c r="G3969">
        <v>0.12</v>
      </c>
      <c r="H3969" s="1" t="str">
        <f>HYPERLINK("http://www.weizmann.ac.il/complex/compphys/software/geview/data/figures/217395_at.png","Figure")</f>
        <v>Figure</v>
      </c>
      <c r="I3969">
        <v>0.999</v>
      </c>
      <c r="J3969">
        <v>1</v>
      </c>
      <c r="K3969">
        <v>0.89500000000000002</v>
      </c>
      <c r="L3969">
        <v>4.7E-2</v>
      </c>
      <c r="M3969">
        <v>0.89600000000000002</v>
      </c>
      <c r="N3969">
        <v>6.8000000000000005E-2</v>
      </c>
    </row>
    <row r="3970" spans="1:14" x14ac:dyDescent="0.25">
      <c r="A3970" t="s">
        <v>7242</v>
      </c>
      <c r="B3970" t="s">
        <v>7243</v>
      </c>
      <c r="C3970" s="1" t="str">
        <f>HYPERLINK("http://www.genecards.org/cgi-bin/carddisp.pl?gene=ANTXR1","GeneCards")</f>
        <v>GeneCards</v>
      </c>
      <c r="D3970" s="1" t="str">
        <f>HYPERLINK("http://genome-euro.ucsc.edu/cgi-bin/hgTracks?position=220093_at","UCSC")</f>
        <v>UCSC</v>
      </c>
      <c r="E3970" s="1" t="str">
        <f>HYPERLINK("http://www.ncbi.nlm.nih.gov/gene/?term=ANTXR1","NCBI")</f>
        <v>NCBI</v>
      </c>
      <c r="F3970">
        <v>2.8000000000000001E-2</v>
      </c>
      <c r="G3970">
        <v>0.12</v>
      </c>
      <c r="H3970" s="1" t="str">
        <f>HYPERLINK("http://www.weizmann.ac.il/complex/compphys/software/geview/data/figures/220093_at.png","Figure")</f>
        <v>Figure</v>
      </c>
      <c r="I3970">
        <v>1.1599999999999999</v>
      </c>
      <c r="J3970">
        <v>2.5000000000000001E-2</v>
      </c>
      <c r="K3970">
        <v>1.04</v>
      </c>
      <c r="L3970">
        <v>0.6</v>
      </c>
      <c r="M3970">
        <v>0.90200000000000002</v>
      </c>
      <c r="N3970">
        <v>0.09</v>
      </c>
    </row>
    <row r="3971" spans="1:14" x14ac:dyDescent="0.25">
      <c r="A3971" t="s">
        <v>7244</v>
      </c>
      <c r="B3971" t="s">
        <v>2767</v>
      </c>
      <c r="C3971" s="1" t="str">
        <f>HYPERLINK("http://www.genecards.org/cgi-bin/carddisp.pl?gene=OPA1","GeneCards")</f>
        <v>GeneCards</v>
      </c>
      <c r="D3971" s="1" t="str">
        <f>HYPERLINK("http://genome-euro.ucsc.edu/cgi-bin/hgTracks?position=212214_at","UCSC")</f>
        <v>UCSC</v>
      </c>
      <c r="E3971" s="1" t="str">
        <f>HYPERLINK("http://www.ncbi.nlm.nih.gov/gene/?term=OPA1","NCBI")</f>
        <v>NCBI</v>
      </c>
      <c r="F3971">
        <v>2.8000000000000001E-2</v>
      </c>
      <c r="G3971">
        <v>0.12</v>
      </c>
      <c r="H3971" s="1" t="str">
        <f>HYPERLINK("http://www.weizmann.ac.il/complex/compphys/software/geview/data/figures/212214_at.png","Figure")</f>
        <v>Figure</v>
      </c>
      <c r="I3971">
        <v>0.79400000000000004</v>
      </c>
      <c r="J3971">
        <v>0.28999999999999998</v>
      </c>
      <c r="K3971">
        <v>1.21</v>
      </c>
      <c r="L3971">
        <v>0.32</v>
      </c>
      <c r="M3971">
        <v>1.53</v>
      </c>
      <c r="N3971">
        <v>2.3E-2</v>
      </c>
    </row>
    <row r="3972" spans="1:14" x14ac:dyDescent="0.25">
      <c r="A3972" t="s">
        <v>7245</v>
      </c>
      <c r="B3972" t="s">
        <v>7246</v>
      </c>
      <c r="C3972" s="1" t="str">
        <f>HYPERLINK("http://www.genecards.org/cgi-bin/carddisp.pl?gene=PRELP","GeneCards")</f>
        <v>GeneCards</v>
      </c>
      <c r="D3972" s="1" t="str">
        <f>HYPERLINK("http://genome-euro.ucsc.edu/cgi-bin/hgTracks?position=37022_at","UCSC")</f>
        <v>UCSC</v>
      </c>
      <c r="E3972" s="1" t="str">
        <f>HYPERLINK("http://www.ncbi.nlm.nih.gov/gene/?term=PRELP","NCBI")</f>
        <v>NCBI</v>
      </c>
      <c r="F3972">
        <v>2.8000000000000001E-2</v>
      </c>
      <c r="G3972">
        <v>0.12</v>
      </c>
      <c r="H3972" s="1" t="str">
        <f>HYPERLINK("http://www.weizmann.ac.il/complex/compphys/software/geview/data/figures/37022_at.png","Figure")</f>
        <v>Figure</v>
      </c>
      <c r="I3972">
        <v>1.31</v>
      </c>
      <c r="J3972">
        <v>2.1999999999999999E-2</v>
      </c>
      <c r="K3972">
        <v>1.1100000000000001</v>
      </c>
      <c r="L3972">
        <v>0.36</v>
      </c>
      <c r="M3972">
        <v>0.85199999999999998</v>
      </c>
      <c r="N3972">
        <v>0.16</v>
      </c>
    </row>
    <row r="3973" spans="1:14" x14ac:dyDescent="0.25">
      <c r="A3973" t="s">
        <v>7247</v>
      </c>
      <c r="B3973" t="s">
        <v>7248</v>
      </c>
      <c r="C3973" s="1" t="str">
        <f>HYPERLINK("http://www.genecards.org/cgi-bin/carddisp.pl?gene=TMEM80","GeneCards")</f>
        <v>GeneCards</v>
      </c>
      <c r="D3973" s="1" t="str">
        <f>HYPERLINK("http://genome-euro.ucsc.edu/cgi-bin/hgTracks?position=221951_at","UCSC")</f>
        <v>UCSC</v>
      </c>
      <c r="E3973" s="1" t="str">
        <f>HYPERLINK("http://www.ncbi.nlm.nih.gov/gene/?term=TMEM80","NCBI")</f>
        <v>NCBI</v>
      </c>
      <c r="F3973">
        <v>2.8000000000000001E-2</v>
      </c>
      <c r="G3973">
        <v>0.12</v>
      </c>
      <c r="H3973" s="1" t="str">
        <f>HYPERLINK("http://www.weizmann.ac.il/complex/compphys/software/geview/data/figures/221951_at.png","Figure")</f>
        <v>Figure</v>
      </c>
      <c r="I3973">
        <v>1.38</v>
      </c>
      <c r="J3973">
        <v>0.03</v>
      </c>
      <c r="K3973">
        <v>1.25</v>
      </c>
      <c r="L3973">
        <v>8.5000000000000006E-2</v>
      </c>
      <c r="M3973">
        <v>0.90700000000000003</v>
      </c>
      <c r="N3973">
        <v>0.62</v>
      </c>
    </row>
    <row r="3974" spans="1:14" x14ac:dyDescent="0.25">
      <c r="A3974" t="s">
        <v>7249</v>
      </c>
      <c r="B3974" t="s">
        <v>7250</v>
      </c>
      <c r="C3974" s="1" t="str">
        <f>HYPERLINK("http://www.genecards.org/cgi-bin/carddisp.pl?gene=NR4A1","GeneCards")</f>
        <v>GeneCards</v>
      </c>
      <c r="D3974" s="1" t="str">
        <f>HYPERLINK("http://genome-euro.ucsc.edu/cgi-bin/hgTracks?position=210226_at","UCSC")</f>
        <v>UCSC</v>
      </c>
      <c r="E3974" s="1" t="str">
        <f>HYPERLINK("http://www.ncbi.nlm.nih.gov/gene/?term=NR4A1","NCBI")</f>
        <v>NCBI</v>
      </c>
      <c r="F3974">
        <v>2.8000000000000001E-2</v>
      </c>
      <c r="G3974">
        <v>0.12</v>
      </c>
      <c r="H3974" s="1" t="str">
        <f>HYPERLINK("http://www.weizmann.ac.il/complex/compphys/software/geview/data/figures/210226_at.png","Figure")</f>
        <v>Figure</v>
      </c>
      <c r="I3974">
        <v>1.37</v>
      </c>
      <c r="J3974">
        <v>2.1999999999999999E-2</v>
      </c>
      <c r="K3974">
        <v>1.1499999999999999</v>
      </c>
      <c r="L3974">
        <v>0.28999999999999998</v>
      </c>
      <c r="M3974">
        <v>0.84099999999999997</v>
      </c>
      <c r="N3974">
        <v>0.2</v>
      </c>
    </row>
    <row r="3975" spans="1:14" x14ac:dyDescent="0.25">
      <c r="A3975" t="s">
        <v>7251</v>
      </c>
      <c r="B3975" t="s">
        <v>7252</v>
      </c>
      <c r="C3975" s="1" t="str">
        <f>HYPERLINK("http://www.genecards.org/cgi-bin/carddisp.pl?gene=CCT8","GeneCards")</f>
        <v>GeneCards</v>
      </c>
      <c r="D3975" s="1" t="str">
        <f>HYPERLINK("http://genome-euro.ucsc.edu/cgi-bin/hgTracks?position=200873_s_at","UCSC")</f>
        <v>UCSC</v>
      </c>
      <c r="E3975" s="1" t="str">
        <f>HYPERLINK("http://www.ncbi.nlm.nih.gov/gene/?term=CCT8","NCBI")</f>
        <v>NCBI</v>
      </c>
      <c r="F3975">
        <v>2.8000000000000001E-2</v>
      </c>
      <c r="G3975">
        <v>0.12</v>
      </c>
      <c r="H3975" s="1" t="str">
        <f>HYPERLINK("http://www.weizmann.ac.il/complex/compphys/software/geview/data/figures/200873_s_at.png","Figure")</f>
        <v>Figure</v>
      </c>
      <c r="I3975">
        <v>0.86599999999999999</v>
      </c>
      <c r="J3975">
        <v>0.31</v>
      </c>
      <c r="K3975">
        <v>1.1399999999999999</v>
      </c>
      <c r="L3975">
        <v>0.31</v>
      </c>
      <c r="M3975">
        <v>1.31</v>
      </c>
      <c r="N3975">
        <v>2.3E-2</v>
      </c>
    </row>
    <row r="3976" spans="1:14" x14ac:dyDescent="0.25">
      <c r="A3976" t="s">
        <v>7253</v>
      </c>
      <c r="B3976" t="s">
        <v>7254</v>
      </c>
      <c r="C3976" s="1" t="str">
        <f>HYPERLINK("http://www.genecards.org/cgi-bin/carddisp.pl?gene=IDH1","GeneCards")</f>
        <v>GeneCards</v>
      </c>
      <c r="D3976" s="1" t="str">
        <f>HYPERLINK("http://genome-euro.ucsc.edu/cgi-bin/hgTracks?position=201193_at","UCSC")</f>
        <v>UCSC</v>
      </c>
      <c r="E3976" s="1" t="str">
        <f>HYPERLINK("http://www.ncbi.nlm.nih.gov/gene/?term=IDH1","NCBI")</f>
        <v>NCBI</v>
      </c>
      <c r="F3976">
        <v>2.8000000000000001E-2</v>
      </c>
      <c r="G3976">
        <v>0.12</v>
      </c>
      <c r="H3976" s="1" t="str">
        <f>HYPERLINK("http://www.weizmann.ac.il/complex/compphys/software/geview/data/figures/201193_at.png","Figure")</f>
        <v>Figure</v>
      </c>
      <c r="I3976">
        <v>0.60299999999999998</v>
      </c>
      <c r="J3976">
        <v>0.1</v>
      </c>
      <c r="K3976">
        <v>1.1499999999999999</v>
      </c>
      <c r="L3976">
        <v>0.77</v>
      </c>
      <c r="M3976">
        <v>1.9</v>
      </c>
      <c r="N3976">
        <v>2.4E-2</v>
      </c>
    </row>
    <row r="3977" spans="1:14" x14ac:dyDescent="0.25">
      <c r="A3977" t="s">
        <v>7255</v>
      </c>
      <c r="B3977" t="s">
        <v>4365</v>
      </c>
      <c r="C3977" s="1" t="str">
        <f>HYPERLINK("http://www.genecards.org/cgi-bin/carddisp.pl?gene=DCTD","GeneCards")</f>
        <v>GeneCards</v>
      </c>
      <c r="D3977" s="1" t="str">
        <f>HYPERLINK("http://genome-euro.ucsc.edu/cgi-bin/hgTracks?position=201571_s_at","UCSC")</f>
        <v>UCSC</v>
      </c>
      <c r="E3977" s="1" t="str">
        <f>HYPERLINK("http://www.ncbi.nlm.nih.gov/gene/?term=DCTD","NCBI")</f>
        <v>NCBI</v>
      </c>
      <c r="F3977">
        <v>2.8000000000000001E-2</v>
      </c>
      <c r="G3977">
        <v>0.12</v>
      </c>
      <c r="H3977" s="1" t="str">
        <f>HYPERLINK("http://www.weizmann.ac.il/complex/compphys/software/geview/data/figures/201571_s_at.png","Figure")</f>
        <v>Figure</v>
      </c>
      <c r="I3977">
        <v>0.67900000000000005</v>
      </c>
      <c r="J3977">
        <v>7.0999999999999994E-2</v>
      </c>
      <c r="K3977">
        <v>1.05</v>
      </c>
      <c r="L3977">
        <v>0.92</v>
      </c>
      <c r="M3977">
        <v>1.55</v>
      </c>
      <c r="N3977">
        <v>2.7E-2</v>
      </c>
    </row>
    <row r="3978" spans="1:14" x14ac:dyDescent="0.25">
      <c r="A3978" t="s">
        <v>7256</v>
      </c>
      <c r="B3978" t="s">
        <v>7257</v>
      </c>
      <c r="C3978" s="1" t="str">
        <f>HYPERLINK("http://www.genecards.org/cgi-bin/carddisp.pl?gene=SMG6","GeneCards")</f>
        <v>GeneCards</v>
      </c>
      <c r="D3978" s="1" t="str">
        <f>HYPERLINK("http://genome-euro.ucsc.edu/cgi-bin/hgTracks?position=220347_at","UCSC")</f>
        <v>UCSC</v>
      </c>
      <c r="E3978" s="1" t="str">
        <f>HYPERLINK("http://www.ncbi.nlm.nih.gov/gene/?term=SMG6","NCBI")</f>
        <v>NCBI</v>
      </c>
      <c r="F3978">
        <v>2.8000000000000001E-2</v>
      </c>
      <c r="G3978">
        <v>0.12</v>
      </c>
      <c r="H3978" s="1" t="str">
        <f>HYPERLINK("http://www.weizmann.ac.il/complex/compphys/software/geview/data/figures/220347_at.png","Figure")</f>
        <v>Figure</v>
      </c>
      <c r="I3978">
        <v>0.879</v>
      </c>
      <c r="J3978">
        <v>0.37</v>
      </c>
      <c r="K3978">
        <v>0.77900000000000003</v>
      </c>
      <c r="L3978">
        <v>2.1999999999999999E-2</v>
      </c>
      <c r="M3978">
        <v>0.88600000000000001</v>
      </c>
      <c r="N3978">
        <v>0.37</v>
      </c>
    </row>
    <row r="3979" spans="1:14" x14ac:dyDescent="0.25">
      <c r="A3979" t="s">
        <v>7258</v>
      </c>
      <c r="B3979" t="s">
        <v>415</v>
      </c>
      <c r="C3979" s="1" t="str">
        <f>HYPERLINK("http://www.genecards.org/cgi-bin/carddisp.pl?gene=IDS","GeneCards")</f>
        <v>GeneCards</v>
      </c>
      <c r="D3979" s="1" t="str">
        <f>HYPERLINK("http://genome-euro.ucsc.edu/cgi-bin/hgTracks?position=206342_x_at","UCSC")</f>
        <v>UCSC</v>
      </c>
      <c r="E3979" s="1" t="str">
        <f>HYPERLINK("http://www.ncbi.nlm.nih.gov/gene/?term=IDS","NCBI")</f>
        <v>NCBI</v>
      </c>
      <c r="F3979">
        <v>2.8000000000000001E-2</v>
      </c>
      <c r="G3979">
        <v>0.12</v>
      </c>
      <c r="H3979" s="1" t="str">
        <f>HYPERLINK("http://www.weizmann.ac.il/complex/compphys/software/geview/data/figures/206342_x_at.png","Figure")</f>
        <v>Figure</v>
      </c>
      <c r="I3979">
        <v>0.93799999999999994</v>
      </c>
      <c r="J3979">
        <v>0.98</v>
      </c>
      <c r="K3979">
        <v>0.48199999999999998</v>
      </c>
      <c r="L3979">
        <v>0.04</v>
      </c>
      <c r="M3979">
        <v>0.51400000000000001</v>
      </c>
      <c r="N3979">
        <v>8.4000000000000005E-2</v>
      </c>
    </row>
    <row r="3980" spans="1:14" x14ac:dyDescent="0.25">
      <c r="A3980" t="s">
        <v>7259</v>
      </c>
      <c r="B3980" t="s">
        <v>7260</v>
      </c>
      <c r="C3980" s="1" t="str">
        <f>HYPERLINK("http://www.genecards.org/cgi-bin/carddisp.pl?gene=TTLL3","GeneCards")</f>
        <v>GeneCards</v>
      </c>
      <c r="D3980" s="1" t="str">
        <f>HYPERLINK("http://genome-euro.ucsc.edu/cgi-bin/hgTracks?position=203670_at","UCSC")</f>
        <v>UCSC</v>
      </c>
      <c r="E3980" s="1" t="str">
        <f>HYPERLINK("http://www.ncbi.nlm.nih.gov/gene/?term=TTLL3","NCBI")</f>
        <v>NCBI</v>
      </c>
      <c r="F3980">
        <v>2.8000000000000001E-2</v>
      </c>
      <c r="G3980">
        <v>0.12</v>
      </c>
      <c r="H3980" s="1" t="str">
        <f>HYPERLINK("http://www.weizmann.ac.il/complex/compphys/software/geview/data/figures/203670_at.png","Figure")</f>
        <v>Figure</v>
      </c>
      <c r="I3980">
        <v>1.26</v>
      </c>
      <c r="J3980">
        <v>2.8000000000000001E-2</v>
      </c>
      <c r="K3980">
        <v>1.17</v>
      </c>
      <c r="L3980">
        <v>9.6000000000000002E-2</v>
      </c>
      <c r="M3980">
        <v>0.92700000000000005</v>
      </c>
      <c r="N3980">
        <v>0.56999999999999995</v>
      </c>
    </row>
    <row r="3981" spans="1:14" x14ac:dyDescent="0.25">
      <c r="A3981" t="s">
        <v>7261</v>
      </c>
      <c r="B3981" t="s">
        <v>3964</v>
      </c>
      <c r="C3981" s="1" t="str">
        <f>HYPERLINK("http://www.genecards.org/cgi-bin/carddisp.pl?gene=TRIO","GeneCards")</f>
        <v>GeneCards</v>
      </c>
      <c r="D3981" s="1" t="str">
        <f>HYPERLINK("http://genome-euro.ucsc.edu/cgi-bin/hgTracks?position=209011_at","UCSC")</f>
        <v>UCSC</v>
      </c>
      <c r="E3981" s="1" t="str">
        <f>HYPERLINK("http://www.ncbi.nlm.nih.gov/gene/?term=TRIO","NCBI")</f>
        <v>NCBI</v>
      </c>
      <c r="F3981">
        <v>2.8000000000000001E-2</v>
      </c>
      <c r="G3981">
        <v>0.12</v>
      </c>
      <c r="H3981" s="1" t="str">
        <f>HYPERLINK("http://www.weizmann.ac.il/complex/compphys/software/geview/data/figures/209011_at.png","Figure")</f>
        <v>Figure</v>
      </c>
      <c r="I3981">
        <v>1.24</v>
      </c>
      <c r="J3981">
        <v>9.5000000000000001E-2</v>
      </c>
      <c r="K3981">
        <v>0.94899999999999995</v>
      </c>
      <c r="L3981">
        <v>0.8</v>
      </c>
      <c r="M3981">
        <v>0.76500000000000001</v>
      </c>
      <c r="N3981">
        <v>2.4E-2</v>
      </c>
    </row>
    <row r="3982" spans="1:14" x14ac:dyDescent="0.25">
      <c r="A3982" t="s">
        <v>7262</v>
      </c>
      <c r="B3982" t="s">
        <v>1806</v>
      </c>
      <c r="C3982" s="1" t="str">
        <f>HYPERLINK("http://www.genecards.org/cgi-bin/carddisp.pl?gene=LDB3","GeneCards")</f>
        <v>GeneCards</v>
      </c>
      <c r="D3982" s="1" t="str">
        <f>HYPERLINK("http://genome-euro.ucsc.edu/cgi-bin/hgTracks?position=216888_at","UCSC")</f>
        <v>UCSC</v>
      </c>
      <c r="E3982" s="1" t="str">
        <f>HYPERLINK("http://www.ncbi.nlm.nih.gov/gene/?term=LDB3","NCBI")</f>
        <v>NCBI</v>
      </c>
      <c r="F3982">
        <v>2.8000000000000001E-2</v>
      </c>
      <c r="G3982">
        <v>0.12</v>
      </c>
      <c r="H3982" s="1" t="str">
        <f>HYPERLINK("http://www.weizmann.ac.il/complex/compphys/software/geview/data/figures/216888_at.png","Figure")</f>
        <v>Figure</v>
      </c>
      <c r="I3982">
        <v>1.28</v>
      </c>
      <c r="J3982">
        <v>3.3000000000000002E-2</v>
      </c>
      <c r="K3982">
        <v>1.04</v>
      </c>
      <c r="L3982">
        <v>0.88</v>
      </c>
      <c r="M3982">
        <v>0.81200000000000006</v>
      </c>
      <c r="N3982">
        <v>5.1999999999999998E-2</v>
      </c>
    </row>
    <row r="3983" spans="1:14" x14ac:dyDescent="0.25">
      <c r="A3983" t="s">
        <v>7263</v>
      </c>
      <c r="B3983" t="s">
        <v>7264</v>
      </c>
      <c r="C3983" s="1" t="str">
        <f>HYPERLINK("http://www.genecards.org/cgi-bin/carddisp.pl?gene=MMADHC","GeneCards")</f>
        <v>GeneCards</v>
      </c>
      <c r="D3983" s="1" t="str">
        <f>HYPERLINK("http://genome-euro.ucsc.edu/cgi-bin/hgTracks?position=217883_at","UCSC")</f>
        <v>UCSC</v>
      </c>
      <c r="E3983" s="1" t="str">
        <f>HYPERLINK("http://www.ncbi.nlm.nih.gov/gene/?term=MMADHC","NCBI")</f>
        <v>NCBI</v>
      </c>
      <c r="F3983">
        <v>2.8000000000000001E-2</v>
      </c>
      <c r="G3983">
        <v>0.12</v>
      </c>
      <c r="H3983" s="1" t="str">
        <f>HYPERLINK("http://www.weizmann.ac.il/complex/compphys/software/geview/data/figures/217883_at.png","Figure")</f>
        <v>Figure</v>
      </c>
      <c r="I3983">
        <v>1.19</v>
      </c>
      <c r="J3983">
        <v>0.35</v>
      </c>
      <c r="K3983">
        <v>0.84499999999999997</v>
      </c>
      <c r="L3983">
        <v>0.27</v>
      </c>
      <c r="M3983">
        <v>0.71299999999999997</v>
      </c>
      <c r="N3983">
        <v>2.4E-2</v>
      </c>
    </row>
    <row r="3984" spans="1:14" x14ac:dyDescent="0.25">
      <c r="A3984" t="s">
        <v>7265</v>
      </c>
      <c r="B3984" t="s">
        <v>7266</v>
      </c>
      <c r="C3984" s="1" t="str">
        <f>HYPERLINK("http://www.genecards.org/cgi-bin/carddisp.pl?gene=MLXIP","GeneCards")</f>
        <v>GeneCards</v>
      </c>
      <c r="D3984" s="1" t="str">
        <f>HYPERLINK("http://genome-euro.ucsc.edu/cgi-bin/hgTracks?position=202519_at","UCSC")</f>
        <v>UCSC</v>
      </c>
      <c r="E3984" s="1" t="str">
        <f>HYPERLINK("http://www.ncbi.nlm.nih.gov/gene/?term=MLXIP","NCBI")</f>
        <v>NCBI</v>
      </c>
      <c r="F3984">
        <v>2.8000000000000001E-2</v>
      </c>
      <c r="G3984">
        <v>0.12</v>
      </c>
      <c r="H3984" s="1" t="str">
        <f>HYPERLINK("http://www.weizmann.ac.il/complex/compphys/software/geview/data/figures/202519_at.png","Figure")</f>
        <v>Figure</v>
      </c>
      <c r="I3984">
        <v>1.1399999999999999</v>
      </c>
      <c r="J3984">
        <v>0.72</v>
      </c>
      <c r="K3984">
        <v>0.72499999999999998</v>
      </c>
      <c r="L3984">
        <v>0.11</v>
      </c>
      <c r="M3984">
        <v>0.63500000000000001</v>
      </c>
      <c r="N3984">
        <v>3.3000000000000002E-2</v>
      </c>
    </row>
    <row r="3985" spans="1:14" x14ac:dyDescent="0.25">
      <c r="A3985" t="s">
        <v>7267</v>
      </c>
      <c r="B3985" t="s">
        <v>400</v>
      </c>
      <c r="C3985" s="1" t="str">
        <f>HYPERLINK("http://www.genecards.org/cgi-bin/carddisp.pl?gene=BNIP3L","GeneCards")</f>
        <v>GeneCards</v>
      </c>
      <c r="D3985" s="1" t="str">
        <f>HYPERLINK("http://genome-euro.ucsc.edu/cgi-bin/hgTracks?position=221479_s_at","UCSC")</f>
        <v>UCSC</v>
      </c>
      <c r="E3985" s="1" t="str">
        <f>HYPERLINK("http://www.ncbi.nlm.nih.gov/gene/?term=BNIP3L","NCBI")</f>
        <v>NCBI</v>
      </c>
      <c r="F3985">
        <v>2.8000000000000001E-2</v>
      </c>
      <c r="G3985">
        <v>0.12</v>
      </c>
      <c r="H3985" s="1" t="str">
        <f>HYPERLINK("http://www.weizmann.ac.il/complex/compphys/software/geview/data/figures/221479_s_at.png","Figure")</f>
        <v>Figure</v>
      </c>
      <c r="I3985">
        <v>0.998</v>
      </c>
      <c r="J3985">
        <v>1</v>
      </c>
      <c r="K3985">
        <v>0.59599999999999997</v>
      </c>
      <c r="L3985">
        <v>4.8000000000000001E-2</v>
      </c>
      <c r="M3985">
        <v>0.59699999999999998</v>
      </c>
      <c r="N3985">
        <v>6.7000000000000004E-2</v>
      </c>
    </row>
    <row r="3986" spans="1:14" x14ac:dyDescent="0.25">
      <c r="A3986" t="s">
        <v>7268</v>
      </c>
      <c r="B3986" t="s">
        <v>7269</v>
      </c>
      <c r="C3986" s="1" t="str">
        <f>HYPERLINK("http://www.genecards.org/cgi-bin/carddisp.pl?gene=CABC1","GeneCards")</f>
        <v>GeneCards</v>
      </c>
      <c r="D3986" s="1" t="str">
        <f>HYPERLINK("http://genome-euro.ucsc.edu/cgi-bin/hgTracks?position=218168_s_at","UCSC")</f>
        <v>UCSC</v>
      </c>
      <c r="E3986" s="1" t="str">
        <f>HYPERLINK("http://www.ncbi.nlm.nih.gov/gene/?term=CABC1","NCBI")</f>
        <v>NCBI</v>
      </c>
      <c r="F3986">
        <v>2.8000000000000001E-2</v>
      </c>
      <c r="G3986">
        <v>0.12</v>
      </c>
      <c r="H3986" s="1" t="str">
        <f>HYPERLINK("http://www.weizmann.ac.il/complex/compphys/software/geview/data/figures/218168_s_at.png","Figure")</f>
        <v>Figure</v>
      </c>
      <c r="I3986">
        <v>1.54</v>
      </c>
      <c r="J3986">
        <v>3.3000000000000002E-2</v>
      </c>
      <c r="K3986">
        <v>1.38</v>
      </c>
      <c r="L3986">
        <v>7.0000000000000007E-2</v>
      </c>
      <c r="M3986">
        <v>0.89600000000000002</v>
      </c>
      <c r="N3986">
        <v>0.72</v>
      </c>
    </row>
    <row r="3987" spans="1:14" x14ac:dyDescent="0.25">
      <c r="A3987" t="s">
        <v>7270</v>
      </c>
      <c r="B3987" t="s">
        <v>7271</v>
      </c>
      <c r="C3987" s="1" t="str">
        <f>HYPERLINK("http://www.genecards.org/cgi-bin/carddisp.pl?gene=COL13A1","GeneCards")</f>
        <v>GeneCards</v>
      </c>
      <c r="D3987" s="1" t="str">
        <f>HYPERLINK("http://genome-euro.ucsc.edu/cgi-bin/hgTracks?position=208535_x_at","UCSC")</f>
        <v>UCSC</v>
      </c>
      <c r="E3987" s="1" t="str">
        <f>HYPERLINK("http://www.ncbi.nlm.nih.gov/gene/?term=COL13A1","NCBI")</f>
        <v>NCBI</v>
      </c>
      <c r="F3987">
        <v>2.8000000000000001E-2</v>
      </c>
      <c r="G3987">
        <v>0.12</v>
      </c>
      <c r="H3987" s="1" t="str">
        <f>HYPERLINK("http://www.weizmann.ac.il/complex/compphys/software/geview/data/figures/208535_x_at.png","Figure")</f>
        <v>Figure</v>
      </c>
      <c r="I3987">
        <v>1.21</v>
      </c>
      <c r="J3987">
        <v>2.7E-2</v>
      </c>
      <c r="K3987">
        <v>1.1299999999999999</v>
      </c>
      <c r="L3987">
        <v>0.11</v>
      </c>
      <c r="M3987">
        <v>0.93400000000000005</v>
      </c>
      <c r="N3987">
        <v>0.52</v>
      </c>
    </row>
    <row r="3988" spans="1:14" x14ac:dyDescent="0.25">
      <c r="A3988" t="s">
        <v>7272</v>
      </c>
      <c r="B3988" t="s">
        <v>848</v>
      </c>
      <c r="C3988" s="1" t="str">
        <f>HYPERLINK("http://www.genecards.org/cgi-bin/carddisp.pl?gene=PLEK","GeneCards")</f>
        <v>GeneCards</v>
      </c>
      <c r="D3988" s="1" t="str">
        <f>HYPERLINK("http://genome-euro.ucsc.edu/cgi-bin/hgTracks?position=203470_s_at","UCSC")</f>
        <v>UCSC</v>
      </c>
      <c r="E3988" s="1" t="str">
        <f>HYPERLINK("http://www.ncbi.nlm.nih.gov/gene/?term=PLEK","NCBI")</f>
        <v>NCBI</v>
      </c>
      <c r="F3988">
        <v>2.8000000000000001E-2</v>
      </c>
      <c r="G3988">
        <v>0.12</v>
      </c>
      <c r="H3988" s="1" t="str">
        <f>HYPERLINK("http://www.weizmann.ac.il/complex/compphys/software/geview/data/figures/203470_s_at.png","Figure")</f>
        <v>Figure</v>
      </c>
      <c r="I3988">
        <v>0.74099999999999999</v>
      </c>
      <c r="J3988">
        <v>7.6999999999999999E-2</v>
      </c>
      <c r="K3988">
        <v>1.05</v>
      </c>
      <c r="L3988">
        <v>0.9</v>
      </c>
      <c r="M3988">
        <v>1.42</v>
      </c>
      <c r="N3988">
        <v>2.5999999999999999E-2</v>
      </c>
    </row>
    <row r="3989" spans="1:14" x14ac:dyDescent="0.25">
      <c r="A3989" t="s">
        <v>7273</v>
      </c>
      <c r="B3989" t="s">
        <v>7274</v>
      </c>
      <c r="C3989" s="1" t="str">
        <f>HYPERLINK("http://www.genecards.org/cgi-bin/carddisp.pl?gene=SOD2","GeneCards")</f>
        <v>GeneCards</v>
      </c>
      <c r="D3989" s="1" t="str">
        <f>HYPERLINK("http://genome-euro.ucsc.edu/cgi-bin/hgTracks?position=221477_s_at","UCSC")</f>
        <v>UCSC</v>
      </c>
      <c r="E3989" s="1" t="str">
        <f>HYPERLINK("http://www.ncbi.nlm.nih.gov/gene/?term=SOD2","NCBI")</f>
        <v>NCBI</v>
      </c>
      <c r="F3989">
        <v>2.8000000000000001E-2</v>
      </c>
      <c r="G3989">
        <v>0.12</v>
      </c>
      <c r="H3989" s="1" t="str">
        <f>HYPERLINK("http://www.weizmann.ac.il/complex/compphys/software/geview/data/figures/221477_s_at.png","Figure")</f>
        <v>Figure</v>
      </c>
      <c r="I3989">
        <v>0.45600000000000002</v>
      </c>
      <c r="J3989">
        <v>3.3000000000000002E-2</v>
      </c>
      <c r="K3989">
        <v>0.56000000000000005</v>
      </c>
      <c r="L3989">
        <v>7.2999999999999995E-2</v>
      </c>
      <c r="M3989">
        <v>1.23</v>
      </c>
      <c r="N3989">
        <v>0.71</v>
      </c>
    </row>
    <row r="3990" spans="1:14" x14ac:dyDescent="0.25">
      <c r="A3990" t="s">
        <v>7275</v>
      </c>
      <c r="B3990" t="s">
        <v>1196</v>
      </c>
      <c r="C3990" s="1" t="str">
        <f>HYPERLINK("http://www.genecards.org/cgi-bin/carddisp.pl?gene=LETM1","GeneCards")</f>
        <v>GeneCards</v>
      </c>
      <c r="D3990" s="1" t="str">
        <f>HYPERLINK("http://genome-euro.ucsc.edu/cgi-bin/hgTracks?position=218939_at","UCSC")</f>
        <v>UCSC</v>
      </c>
      <c r="E3990" s="1" t="str">
        <f>HYPERLINK("http://www.ncbi.nlm.nih.gov/gene/?term=LETM1","NCBI")</f>
        <v>NCBI</v>
      </c>
      <c r="F3990">
        <v>2.8000000000000001E-2</v>
      </c>
      <c r="G3990">
        <v>0.12</v>
      </c>
      <c r="H3990" s="1" t="str">
        <f>HYPERLINK("http://www.weizmann.ac.il/complex/compphys/software/geview/data/figures/218939_at.png","Figure")</f>
        <v>Figure</v>
      </c>
      <c r="I3990">
        <v>0.89900000000000002</v>
      </c>
      <c r="J3990">
        <v>0.11</v>
      </c>
      <c r="K3990">
        <v>1.03</v>
      </c>
      <c r="L3990">
        <v>0.74</v>
      </c>
      <c r="M3990">
        <v>1.1499999999999999</v>
      </c>
      <c r="N3990">
        <v>2.4E-2</v>
      </c>
    </row>
    <row r="3991" spans="1:14" x14ac:dyDescent="0.25">
      <c r="A3991" t="s">
        <v>7276</v>
      </c>
      <c r="B3991" t="s">
        <v>7277</v>
      </c>
      <c r="C3991" s="1" t="str">
        <f>HYPERLINK("http://www.genecards.org/cgi-bin/carddisp.pl?gene=SS18","GeneCards")</f>
        <v>GeneCards</v>
      </c>
      <c r="D3991" s="1" t="str">
        <f>HYPERLINK("http://genome-euro.ucsc.edu/cgi-bin/hgTracks?position=209954_x_at","UCSC")</f>
        <v>UCSC</v>
      </c>
      <c r="E3991" s="1" t="str">
        <f>HYPERLINK("http://www.ncbi.nlm.nih.gov/gene/?term=SS18","NCBI")</f>
        <v>NCBI</v>
      </c>
      <c r="F3991">
        <v>2.8000000000000001E-2</v>
      </c>
      <c r="G3991">
        <v>0.12</v>
      </c>
      <c r="H3991" s="1" t="str">
        <f>HYPERLINK("http://www.weizmann.ac.il/complex/compphys/software/geview/data/figures/209954_x_at.png","Figure")</f>
        <v>Figure</v>
      </c>
      <c r="I3991">
        <v>1.21</v>
      </c>
      <c r="J3991">
        <v>3.5000000000000003E-2</v>
      </c>
      <c r="K3991">
        <v>1.1599999999999999</v>
      </c>
      <c r="L3991">
        <v>6.4000000000000001E-2</v>
      </c>
      <c r="M3991">
        <v>0.95699999999999996</v>
      </c>
      <c r="N3991">
        <v>0.77</v>
      </c>
    </row>
    <row r="3992" spans="1:14" x14ac:dyDescent="0.25">
      <c r="A3992" t="s">
        <v>7278</v>
      </c>
      <c r="B3992" t="s">
        <v>7279</v>
      </c>
      <c r="C3992" s="1" t="str">
        <f>HYPERLINK("http://www.genecards.org/cgi-bin/carddisp.pl?gene=SLC7A5","GeneCards")</f>
        <v>GeneCards</v>
      </c>
      <c r="D3992" s="1" t="str">
        <f>HYPERLINK("http://genome-euro.ucsc.edu/cgi-bin/hgTracks?position=201195_s_at","UCSC")</f>
        <v>UCSC</v>
      </c>
      <c r="E3992" s="1" t="str">
        <f>HYPERLINK("http://www.ncbi.nlm.nih.gov/gene/?term=SLC7A5","NCBI")</f>
        <v>NCBI</v>
      </c>
      <c r="F3992">
        <v>2.8000000000000001E-2</v>
      </c>
      <c r="G3992">
        <v>0.12</v>
      </c>
      <c r="H3992" s="1" t="str">
        <f>HYPERLINK("http://www.weizmann.ac.il/complex/compphys/software/geview/data/figures/201195_s_at.png","Figure")</f>
        <v>Figure</v>
      </c>
      <c r="I3992">
        <v>0.438</v>
      </c>
      <c r="J3992">
        <v>6.3E-2</v>
      </c>
      <c r="K3992">
        <v>0.44500000000000001</v>
      </c>
      <c r="L3992">
        <v>3.5999999999999997E-2</v>
      </c>
      <c r="M3992">
        <v>1.02</v>
      </c>
      <c r="N3992">
        <v>1</v>
      </c>
    </row>
    <row r="3993" spans="1:14" x14ac:dyDescent="0.25">
      <c r="A3993" t="s">
        <v>7280</v>
      </c>
      <c r="B3993" t="s">
        <v>7281</v>
      </c>
      <c r="C3993" s="1" t="str">
        <f>HYPERLINK("http://www.genecards.org/cgi-bin/carddisp.pl?gene=SAE1","GeneCards")</f>
        <v>GeneCards</v>
      </c>
      <c r="D3993" s="1" t="str">
        <f>HYPERLINK("http://genome-euro.ucsc.edu/cgi-bin/hgTracks?position=217946_s_at","UCSC")</f>
        <v>UCSC</v>
      </c>
      <c r="E3993" s="1" t="str">
        <f>HYPERLINK("http://www.ncbi.nlm.nih.gov/gene/?term=SAE1","NCBI")</f>
        <v>NCBI</v>
      </c>
      <c r="F3993">
        <v>2.8000000000000001E-2</v>
      </c>
      <c r="G3993">
        <v>0.12</v>
      </c>
      <c r="H3993" s="1" t="str">
        <f>HYPERLINK("http://www.weizmann.ac.il/complex/compphys/software/geview/data/figures/217946_s_at.png","Figure")</f>
        <v>Figure</v>
      </c>
      <c r="I3993">
        <v>1.34</v>
      </c>
      <c r="J3993">
        <v>0.19</v>
      </c>
      <c r="K3993">
        <v>1.53</v>
      </c>
      <c r="L3993">
        <v>2.3E-2</v>
      </c>
      <c r="M3993">
        <v>1.1399999999999999</v>
      </c>
      <c r="N3993">
        <v>0.65</v>
      </c>
    </row>
    <row r="3994" spans="1:14" x14ac:dyDescent="0.25">
      <c r="A3994" t="s">
        <v>7282</v>
      </c>
      <c r="B3994" t="s">
        <v>7283</v>
      </c>
      <c r="C3994" s="1" t="str">
        <f>HYPERLINK("http://www.genecards.org/cgi-bin/carddisp.pl?gene=HOXC10","GeneCards")</f>
        <v>GeneCards</v>
      </c>
      <c r="D3994" s="1" t="str">
        <f>HYPERLINK("http://genome-euro.ucsc.edu/cgi-bin/hgTracks?position=218959_at","UCSC")</f>
        <v>UCSC</v>
      </c>
      <c r="E3994" s="1" t="str">
        <f>HYPERLINK("http://www.ncbi.nlm.nih.gov/gene/?term=HOXC10","NCBI")</f>
        <v>NCBI</v>
      </c>
      <c r="F3994">
        <v>2.8000000000000001E-2</v>
      </c>
      <c r="G3994">
        <v>0.12</v>
      </c>
      <c r="H3994" s="1" t="str">
        <f>HYPERLINK("http://www.weizmann.ac.il/complex/compphys/software/geview/data/figures/218959_at.png","Figure")</f>
        <v>Figure</v>
      </c>
      <c r="I3994">
        <v>0.93400000000000005</v>
      </c>
      <c r="J3994">
        <v>0.51</v>
      </c>
      <c r="K3994">
        <v>0.85399999999999998</v>
      </c>
      <c r="L3994">
        <v>2.4E-2</v>
      </c>
      <c r="M3994">
        <v>0.91400000000000003</v>
      </c>
      <c r="N3994">
        <v>0.27</v>
      </c>
    </row>
    <row r="3995" spans="1:14" x14ac:dyDescent="0.25">
      <c r="A3995" t="s">
        <v>7284</v>
      </c>
      <c r="B3995" t="s">
        <v>7285</v>
      </c>
      <c r="C3995" s="1" t="str">
        <f>HYPERLINK("http://www.genecards.org/cgi-bin/carddisp.pl?gene=ACTG2","GeneCards")</f>
        <v>GeneCards</v>
      </c>
      <c r="D3995" s="1" t="str">
        <f>HYPERLINK("http://genome-euro.ucsc.edu/cgi-bin/hgTracks?position=202274_at","UCSC")</f>
        <v>UCSC</v>
      </c>
      <c r="E3995" s="1" t="str">
        <f>HYPERLINK("http://www.ncbi.nlm.nih.gov/gene/?term=ACTG2","NCBI")</f>
        <v>NCBI</v>
      </c>
      <c r="F3995">
        <v>2.8000000000000001E-2</v>
      </c>
      <c r="G3995">
        <v>0.12</v>
      </c>
      <c r="H3995" s="1" t="str">
        <f>HYPERLINK("http://www.weizmann.ac.il/complex/compphys/software/geview/data/figures/202274_at.png","Figure")</f>
        <v>Figure</v>
      </c>
      <c r="I3995">
        <v>1.1599999999999999</v>
      </c>
      <c r="J3995">
        <v>0.03</v>
      </c>
      <c r="K3995">
        <v>1.1100000000000001</v>
      </c>
      <c r="L3995">
        <v>8.5999999999999993E-2</v>
      </c>
      <c r="M3995">
        <v>0.95499999999999996</v>
      </c>
      <c r="N3995">
        <v>0.62</v>
      </c>
    </row>
    <row r="3996" spans="1:14" x14ac:dyDescent="0.25">
      <c r="A3996" t="s">
        <v>7286</v>
      </c>
      <c r="B3996" t="s">
        <v>490</v>
      </c>
      <c r="C3996" s="1" t="str">
        <f>HYPERLINK("http://www.genecards.org/cgi-bin/carddisp.pl?gene=ADARB1","GeneCards")</f>
        <v>GeneCards</v>
      </c>
      <c r="D3996" s="1" t="str">
        <f>HYPERLINK("http://genome-euro.ucsc.edu/cgi-bin/hgTracks?position=209979_at","UCSC")</f>
        <v>UCSC</v>
      </c>
      <c r="E3996" s="1" t="str">
        <f>HYPERLINK("http://www.ncbi.nlm.nih.gov/gene/?term=ADARB1","NCBI")</f>
        <v>NCBI</v>
      </c>
      <c r="F3996">
        <v>2.8000000000000001E-2</v>
      </c>
      <c r="G3996">
        <v>0.12</v>
      </c>
      <c r="H3996" s="1" t="str">
        <f>HYPERLINK("http://www.weizmann.ac.il/complex/compphys/software/geview/data/figures/209979_at.png","Figure")</f>
        <v>Figure</v>
      </c>
      <c r="I3996">
        <v>1.62</v>
      </c>
      <c r="J3996">
        <v>2.5999999999999999E-2</v>
      </c>
      <c r="K3996">
        <v>1.35</v>
      </c>
      <c r="L3996">
        <v>0.12</v>
      </c>
      <c r="M3996">
        <v>0.83299999999999996</v>
      </c>
      <c r="N3996">
        <v>0.47</v>
      </c>
    </row>
    <row r="3997" spans="1:14" x14ac:dyDescent="0.25">
      <c r="A3997" t="s">
        <v>7287</v>
      </c>
      <c r="B3997" t="s">
        <v>7288</v>
      </c>
      <c r="C3997" s="1" t="str">
        <f>HYPERLINK("http://www.genecards.org/cgi-bin/carddisp.pl?gene=IMPACT","GeneCards")</f>
        <v>GeneCards</v>
      </c>
      <c r="D3997" s="1" t="str">
        <f>HYPERLINK("http://genome-euro.ucsc.edu/cgi-bin/hgTracks?position=218637_at","UCSC")</f>
        <v>UCSC</v>
      </c>
      <c r="E3997" s="1" t="str">
        <f>HYPERLINK("http://www.ncbi.nlm.nih.gov/gene/?term=IMPACT","NCBI")</f>
        <v>NCBI</v>
      </c>
      <c r="F3997">
        <v>2.8000000000000001E-2</v>
      </c>
      <c r="G3997">
        <v>0.12</v>
      </c>
      <c r="H3997" s="1" t="str">
        <f>HYPERLINK("http://www.weizmann.ac.il/complex/compphys/software/geview/data/figures/218637_at.png","Figure")</f>
        <v>Figure</v>
      </c>
      <c r="I3997">
        <v>0.76700000000000002</v>
      </c>
      <c r="J3997">
        <v>4.9000000000000002E-2</v>
      </c>
      <c r="K3997">
        <v>1</v>
      </c>
      <c r="L3997">
        <v>1</v>
      </c>
      <c r="M3997">
        <v>1.3</v>
      </c>
      <c r="N3997">
        <v>3.5000000000000003E-2</v>
      </c>
    </row>
    <row r="3998" spans="1:14" x14ac:dyDescent="0.25">
      <c r="A3998" t="s">
        <v>7289</v>
      </c>
      <c r="B3998" t="s">
        <v>6989</v>
      </c>
      <c r="C3998" s="1" t="str">
        <f>HYPERLINK("http://www.genecards.org/cgi-bin/carddisp.pl?gene=ATG4B","GeneCards")</f>
        <v>GeneCards</v>
      </c>
      <c r="D3998" s="1" t="str">
        <f>HYPERLINK("http://genome-euro.ucsc.edu/cgi-bin/hgTracks?position=204903_x_at","UCSC")</f>
        <v>UCSC</v>
      </c>
      <c r="E3998" s="1" t="str">
        <f>HYPERLINK("http://www.ncbi.nlm.nih.gov/gene/?term=ATG4B","NCBI")</f>
        <v>NCBI</v>
      </c>
      <c r="F3998">
        <v>2.8000000000000001E-2</v>
      </c>
      <c r="G3998">
        <v>0.12</v>
      </c>
      <c r="H3998" s="1" t="str">
        <f>HYPERLINK("http://www.weizmann.ac.il/complex/compphys/software/geview/data/figures/204903_x_at.png","Figure")</f>
        <v>Figure</v>
      </c>
      <c r="I3998">
        <v>1.18</v>
      </c>
      <c r="J3998">
        <v>0.13</v>
      </c>
      <c r="K3998">
        <v>0.94199999999999995</v>
      </c>
      <c r="L3998">
        <v>0.67</v>
      </c>
      <c r="M3998">
        <v>0.79700000000000004</v>
      </c>
      <c r="N3998">
        <v>2.3E-2</v>
      </c>
    </row>
    <row r="3999" spans="1:14" x14ac:dyDescent="0.25">
      <c r="A3999" t="s">
        <v>7290</v>
      </c>
      <c r="B3999" t="s">
        <v>7291</v>
      </c>
      <c r="C3999" s="1" t="str">
        <f>HYPERLINK("http://www.genecards.org/cgi-bin/carddisp.pl?gene=BCKDHB","GeneCards")</f>
        <v>GeneCards</v>
      </c>
      <c r="D3999" s="1" t="str">
        <f>HYPERLINK("http://genome-euro.ucsc.edu/cgi-bin/hgTracks?position=210653_s_at","UCSC")</f>
        <v>UCSC</v>
      </c>
      <c r="E3999" s="1" t="str">
        <f>HYPERLINK("http://www.ncbi.nlm.nih.gov/gene/?term=BCKDHB","NCBI")</f>
        <v>NCBI</v>
      </c>
      <c r="F3999">
        <v>2.8000000000000001E-2</v>
      </c>
      <c r="G3999">
        <v>0.12</v>
      </c>
      <c r="H3999" s="1" t="str">
        <f>HYPERLINK("http://www.weizmann.ac.il/complex/compphys/software/geview/data/figures/210653_s_at.png","Figure")</f>
        <v>Figure</v>
      </c>
      <c r="I3999">
        <v>0.67200000000000004</v>
      </c>
      <c r="J3999">
        <v>4.3999999999999997E-2</v>
      </c>
      <c r="K3999">
        <v>0.98499999999999999</v>
      </c>
      <c r="L3999">
        <v>0.99</v>
      </c>
      <c r="M3999">
        <v>1.47</v>
      </c>
      <c r="N3999">
        <v>3.7999999999999999E-2</v>
      </c>
    </row>
    <row r="4000" spans="1:14" x14ac:dyDescent="0.25">
      <c r="A4000" t="s">
        <v>7292</v>
      </c>
      <c r="B4000" t="s">
        <v>7293</v>
      </c>
      <c r="C4000" s="1" t="str">
        <f>HYPERLINK("http://www.genecards.org/cgi-bin/carddisp.pl?gene=KIT","GeneCards")</f>
        <v>GeneCards</v>
      </c>
      <c r="D4000" s="1" t="str">
        <f>HYPERLINK("http://genome-euro.ucsc.edu/cgi-bin/hgTracks?position=205051_s_at","UCSC")</f>
        <v>UCSC</v>
      </c>
      <c r="E4000" s="1" t="str">
        <f>HYPERLINK("http://www.ncbi.nlm.nih.gov/gene/?term=KIT","NCBI")</f>
        <v>NCBI</v>
      </c>
      <c r="F4000">
        <v>2.8000000000000001E-2</v>
      </c>
      <c r="G4000">
        <v>0.12</v>
      </c>
      <c r="H4000" s="1" t="str">
        <f>HYPERLINK("http://www.weizmann.ac.il/complex/compphys/software/geview/data/figures/205051_s_at.png","Figure")</f>
        <v>Figure</v>
      </c>
      <c r="I4000">
        <v>1.52</v>
      </c>
      <c r="J4000">
        <v>0.12</v>
      </c>
      <c r="K4000">
        <v>0.872</v>
      </c>
      <c r="L4000">
        <v>0.71</v>
      </c>
      <c r="M4000">
        <v>0.57399999999999995</v>
      </c>
      <c r="N4000">
        <v>2.3E-2</v>
      </c>
    </row>
    <row r="4001" spans="1:14" x14ac:dyDescent="0.25">
      <c r="A4001" t="s">
        <v>7294</v>
      </c>
      <c r="B4001" t="s">
        <v>579</v>
      </c>
      <c r="C4001" s="1" t="str">
        <f>HYPERLINK("http://www.genecards.org/cgi-bin/carddisp.pl?gene=ASF1A","GeneCards")</f>
        <v>GeneCards</v>
      </c>
      <c r="D4001" s="1" t="str">
        <f>HYPERLINK("http://genome-euro.ucsc.edu/cgi-bin/hgTracks?position=203428_s_at","UCSC")</f>
        <v>UCSC</v>
      </c>
      <c r="E4001" s="1" t="str">
        <f>HYPERLINK("http://www.ncbi.nlm.nih.gov/gene/?term=ASF1A","NCBI")</f>
        <v>NCBI</v>
      </c>
      <c r="F4001">
        <v>2.8000000000000001E-2</v>
      </c>
      <c r="G4001">
        <v>0.12</v>
      </c>
      <c r="H4001" s="1" t="str">
        <f>HYPERLINK("http://www.weizmann.ac.il/complex/compphys/software/geview/data/figures/203428_s_at.png","Figure")</f>
        <v>Figure</v>
      </c>
      <c r="I4001">
        <v>0.6</v>
      </c>
      <c r="J4001">
        <v>0.04</v>
      </c>
      <c r="K4001">
        <v>0.96199999999999997</v>
      </c>
      <c r="L4001">
        <v>0.97</v>
      </c>
      <c r="M4001">
        <v>1.6</v>
      </c>
      <c r="N4001">
        <v>4.2000000000000003E-2</v>
      </c>
    </row>
    <row r="4002" spans="1:14" x14ac:dyDescent="0.25">
      <c r="A4002" t="s">
        <v>7295</v>
      </c>
      <c r="B4002" t="s">
        <v>7296</v>
      </c>
      <c r="C4002" s="1" t="str">
        <f>HYPERLINK("http://www.genecards.org/cgi-bin/carddisp.pl?gene=SDC1","GeneCards")</f>
        <v>GeneCards</v>
      </c>
      <c r="D4002" s="1" t="str">
        <f>HYPERLINK("http://genome-euro.ucsc.edu/cgi-bin/hgTracks?position=201287_s_at","UCSC")</f>
        <v>UCSC</v>
      </c>
      <c r="E4002" s="1" t="str">
        <f>HYPERLINK("http://www.ncbi.nlm.nih.gov/gene/?term=SDC1","NCBI")</f>
        <v>NCBI</v>
      </c>
      <c r="F4002">
        <v>2.8000000000000001E-2</v>
      </c>
      <c r="G4002">
        <v>0.12</v>
      </c>
      <c r="H4002" s="1" t="str">
        <f>HYPERLINK("http://www.weizmann.ac.il/complex/compphys/software/geview/data/figures/201287_s_at.png","Figure")</f>
        <v>Figure</v>
      </c>
      <c r="I4002">
        <v>1.31</v>
      </c>
      <c r="J4002">
        <v>2.8000000000000001E-2</v>
      </c>
      <c r="K4002">
        <v>1.06</v>
      </c>
      <c r="L4002">
        <v>0.75</v>
      </c>
      <c r="M4002">
        <v>0.80700000000000005</v>
      </c>
      <c r="N4002">
        <v>6.8000000000000005E-2</v>
      </c>
    </row>
    <row r="4003" spans="1:14" x14ac:dyDescent="0.25">
      <c r="A4003" t="s">
        <v>7297</v>
      </c>
      <c r="B4003" t="s">
        <v>1865</v>
      </c>
      <c r="C4003" s="1" t="str">
        <f>HYPERLINK("http://www.genecards.org/cgi-bin/carddisp.pl?gene=AK2","GeneCards")</f>
        <v>GeneCards</v>
      </c>
      <c r="D4003" s="1" t="str">
        <f>HYPERLINK("http://genome-euro.ucsc.edu/cgi-bin/hgTracks?position=212175_s_at","UCSC")</f>
        <v>UCSC</v>
      </c>
      <c r="E4003" s="1" t="str">
        <f>HYPERLINK("http://www.ncbi.nlm.nih.gov/gene/?term=AK2","NCBI")</f>
        <v>NCBI</v>
      </c>
      <c r="F4003">
        <v>2.8000000000000001E-2</v>
      </c>
      <c r="G4003">
        <v>0.12</v>
      </c>
      <c r="H4003" s="1" t="str">
        <f>HYPERLINK("http://www.weizmann.ac.il/complex/compphys/software/geview/data/figures/212175_s_at.png","Figure")</f>
        <v>Figure</v>
      </c>
      <c r="I4003">
        <v>1.1299999999999999</v>
      </c>
      <c r="J4003">
        <v>0.84</v>
      </c>
      <c r="K4003">
        <v>1.73</v>
      </c>
      <c r="L4003">
        <v>3.1E-2</v>
      </c>
      <c r="M4003">
        <v>1.53</v>
      </c>
      <c r="N4003">
        <v>0.13</v>
      </c>
    </row>
    <row r="4004" spans="1:14" x14ac:dyDescent="0.25">
      <c r="A4004" t="s">
        <v>7298</v>
      </c>
      <c r="B4004" t="s">
        <v>2604</v>
      </c>
      <c r="C4004" s="1" t="str">
        <f>HYPERLINK("http://www.genecards.org/cgi-bin/carddisp.pl?gene=UNC5B","GeneCards")</f>
        <v>GeneCards</v>
      </c>
      <c r="D4004" s="1" t="str">
        <f>HYPERLINK("http://genome-euro.ucsc.edu/cgi-bin/hgTracks?position=41856_at","UCSC")</f>
        <v>UCSC</v>
      </c>
      <c r="E4004" s="1" t="str">
        <f>HYPERLINK("http://www.ncbi.nlm.nih.gov/gene/?term=UNC5B","NCBI")</f>
        <v>NCBI</v>
      </c>
      <c r="F4004">
        <v>2.8000000000000001E-2</v>
      </c>
      <c r="G4004">
        <v>0.12</v>
      </c>
      <c r="H4004" s="1" t="str">
        <f>HYPERLINK("http://www.weizmann.ac.il/complex/compphys/software/geview/data/figures/41856_at.png","Figure")</f>
        <v>Figure</v>
      </c>
      <c r="I4004">
        <v>1.48</v>
      </c>
      <c r="J4004">
        <v>2.1999999999999999E-2</v>
      </c>
      <c r="K4004">
        <v>1.17</v>
      </c>
      <c r="L4004">
        <v>0.36</v>
      </c>
      <c r="M4004">
        <v>0.79200000000000004</v>
      </c>
      <c r="N4004">
        <v>0.16</v>
      </c>
    </row>
    <row r="4005" spans="1:14" x14ac:dyDescent="0.25">
      <c r="A4005" t="s">
        <v>7299</v>
      </c>
      <c r="B4005" t="s">
        <v>7300</v>
      </c>
      <c r="C4005" s="1" t="str">
        <f>HYPERLINK("http://www.genecards.org/cgi-bin/carddisp.pl?gene=ZNF248","GeneCards")</f>
        <v>GeneCards</v>
      </c>
      <c r="D4005" s="1" t="str">
        <f>HYPERLINK("http://genome-euro.ucsc.edu/cgi-bin/hgTracks?position=213269_at","UCSC")</f>
        <v>UCSC</v>
      </c>
      <c r="E4005" s="1" t="str">
        <f>HYPERLINK("http://www.ncbi.nlm.nih.gov/gene/?term=ZNF248","NCBI")</f>
        <v>NCBI</v>
      </c>
      <c r="F4005">
        <v>2.8000000000000001E-2</v>
      </c>
      <c r="G4005">
        <v>0.12</v>
      </c>
      <c r="H4005" s="1" t="str">
        <f>HYPERLINK("http://www.weizmann.ac.il/complex/compphys/software/geview/data/figures/213269_at.png","Figure")</f>
        <v>Figure</v>
      </c>
      <c r="I4005">
        <v>0.68400000000000005</v>
      </c>
      <c r="J4005">
        <v>5.5E-2</v>
      </c>
      <c r="K4005">
        <v>1.02</v>
      </c>
      <c r="L4005">
        <v>0.99</v>
      </c>
      <c r="M4005">
        <v>1.48</v>
      </c>
      <c r="N4005">
        <v>3.2000000000000001E-2</v>
      </c>
    </row>
    <row r="4006" spans="1:14" x14ac:dyDescent="0.25">
      <c r="A4006" t="s">
        <v>7301</v>
      </c>
      <c r="B4006" t="s">
        <v>7302</v>
      </c>
      <c r="C4006" s="1" t="str">
        <f>HYPERLINK("http://www.genecards.org/cgi-bin/carddisp.pl?gene=DNMBP","GeneCards")</f>
        <v>GeneCards</v>
      </c>
      <c r="D4006" s="1" t="str">
        <f>HYPERLINK("http://genome-euro.ucsc.edu/cgi-bin/hgTracks?position=212838_at","UCSC")</f>
        <v>UCSC</v>
      </c>
      <c r="E4006" s="1" t="str">
        <f>HYPERLINK("http://www.ncbi.nlm.nih.gov/gene/?term=DNMBP","NCBI")</f>
        <v>NCBI</v>
      </c>
      <c r="F4006">
        <v>2.8000000000000001E-2</v>
      </c>
      <c r="G4006">
        <v>0.12</v>
      </c>
      <c r="H4006" s="1" t="str">
        <f>HYPERLINK("http://www.weizmann.ac.il/complex/compphys/software/geview/data/figures/212838_at.png","Figure")</f>
        <v>Figure</v>
      </c>
      <c r="I4006">
        <v>1</v>
      </c>
      <c r="J4006">
        <v>1</v>
      </c>
      <c r="K4006">
        <v>0.55000000000000004</v>
      </c>
      <c r="L4006">
        <v>4.9000000000000002E-2</v>
      </c>
      <c r="M4006">
        <v>0.55000000000000004</v>
      </c>
      <c r="N4006">
        <v>6.7000000000000004E-2</v>
      </c>
    </row>
    <row r="4007" spans="1:14" x14ac:dyDescent="0.25">
      <c r="A4007" t="s">
        <v>7303</v>
      </c>
      <c r="B4007" t="s">
        <v>7304</v>
      </c>
      <c r="C4007" s="1" t="str">
        <f>HYPERLINK("http://www.genecards.org/cgi-bin/carddisp.pl?gene=SUSD4","GeneCards")</f>
        <v>GeneCards</v>
      </c>
      <c r="D4007" s="1" t="str">
        <f>HYPERLINK("http://genome-euro.ucsc.edu/cgi-bin/hgTracks?position=219389_at","UCSC")</f>
        <v>UCSC</v>
      </c>
      <c r="E4007" s="1" t="str">
        <f>HYPERLINK("http://www.ncbi.nlm.nih.gov/gene/?term=SUSD4","NCBI")</f>
        <v>NCBI</v>
      </c>
      <c r="F4007">
        <v>2.8000000000000001E-2</v>
      </c>
      <c r="G4007">
        <v>0.12</v>
      </c>
      <c r="H4007" s="1" t="str">
        <f>HYPERLINK("http://www.weizmann.ac.il/complex/compphys/software/geview/data/figures/219389_at.png","Figure")</f>
        <v>Figure</v>
      </c>
      <c r="I4007">
        <v>1.28</v>
      </c>
      <c r="J4007">
        <v>5.7000000000000002E-2</v>
      </c>
      <c r="K4007">
        <v>0.98799999999999999</v>
      </c>
      <c r="L4007">
        <v>0.99</v>
      </c>
      <c r="M4007">
        <v>0.77</v>
      </c>
      <c r="N4007">
        <v>3.2000000000000001E-2</v>
      </c>
    </row>
    <row r="4008" spans="1:14" x14ac:dyDescent="0.25">
      <c r="A4008" t="s">
        <v>7305</v>
      </c>
      <c r="B4008" t="s">
        <v>7306</v>
      </c>
      <c r="C4008" s="1" t="str">
        <f>HYPERLINK("http://www.genecards.org/cgi-bin/carddisp.pl?gene=PAPOLG","GeneCards")</f>
        <v>GeneCards</v>
      </c>
      <c r="D4008" s="1" t="str">
        <f>HYPERLINK("http://genome-euro.ucsc.edu/cgi-bin/hgTracks?position=222273_at","UCSC")</f>
        <v>UCSC</v>
      </c>
      <c r="E4008" s="1" t="str">
        <f>HYPERLINK("http://www.ncbi.nlm.nih.gov/gene/?term=PAPOLG","NCBI")</f>
        <v>NCBI</v>
      </c>
      <c r="F4008">
        <v>2.8000000000000001E-2</v>
      </c>
      <c r="G4008">
        <v>0.12</v>
      </c>
      <c r="H4008" s="1" t="str">
        <f>HYPERLINK("http://www.weizmann.ac.il/complex/compphys/software/geview/data/figures/222273_at.png","Figure")</f>
        <v>Figure</v>
      </c>
      <c r="I4008">
        <v>0.7</v>
      </c>
      <c r="J4008">
        <v>4.3999999999999997E-2</v>
      </c>
      <c r="K4008">
        <v>0.98399999999999999</v>
      </c>
      <c r="L4008">
        <v>0.99</v>
      </c>
      <c r="M4008">
        <v>1.41</v>
      </c>
      <c r="N4008">
        <v>3.9E-2</v>
      </c>
    </row>
    <row r="4009" spans="1:14" x14ac:dyDescent="0.25">
      <c r="A4009" t="s">
        <v>7307</v>
      </c>
      <c r="B4009" t="s">
        <v>7308</v>
      </c>
      <c r="C4009" s="1" t="str">
        <f>HYPERLINK("http://www.genecards.org/cgi-bin/carddisp.pl?gene=GRIA1","GeneCards")</f>
        <v>GeneCards</v>
      </c>
      <c r="D4009" s="1" t="str">
        <f>HYPERLINK("http://genome-euro.ucsc.edu/cgi-bin/hgTracks?position=209793_at","UCSC")</f>
        <v>UCSC</v>
      </c>
      <c r="E4009" s="1" t="str">
        <f>HYPERLINK("http://www.ncbi.nlm.nih.gov/gene/?term=GRIA1","NCBI")</f>
        <v>NCBI</v>
      </c>
      <c r="F4009">
        <v>2.8000000000000001E-2</v>
      </c>
      <c r="G4009">
        <v>0.12</v>
      </c>
      <c r="H4009" s="1" t="str">
        <f>HYPERLINK("http://www.weizmann.ac.il/complex/compphys/software/geview/data/figures/209793_at.png","Figure")</f>
        <v>Figure</v>
      </c>
      <c r="I4009">
        <v>1.06</v>
      </c>
      <c r="J4009">
        <v>3.4000000000000002E-2</v>
      </c>
      <c r="K4009">
        <v>1.04</v>
      </c>
      <c r="L4009">
        <v>7.1999999999999995E-2</v>
      </c>
      <c r="M4009">
        <v>0.98599999999999999</v>
      </c>
      <c r="N4009">
        <v>0.72</v>
      </c>
    </row>
    <row r="4010" spans="1:14" x14ac:dyDescent="0.25">
      <c r="A4010" t="s">
        <v>7309</v>
      </c>
      <c r="B4010" t="s">
        <v>7310</v>
      </c>
      <c r="C4010" s="1" t="str">
        <f>HYPERLINK("http://www.genecards.org/cgi-bin/carddisp.pl?gene=POFUT1","GeneCards")</f>
        <v>GeneCards</v>
      </c>
      <c r="D4010" s="1" t="str">
        <f>HYPERLINK("http://genome-euro.ucsc.edu/cgi-bin/hgTracks?position=212349_at","UCSC")</f>
        <v>UCSC</v>
      </c>
      <c r="E4010" s="1" t="str">
        <f>HYPERLINK("http://www.ncbi.nlm.nih.gov/gene/?term=POFUT1","NCBI")</f>
        <v>NCBI</v>
      </c>
      <c r="F4010">
        <v>2.9000000000000001E-2</v>
      </c>
      <c r="G4010">
        <v>0.12</v>
      </c>
      <c r="H4010" s="1" t="str">
        <f>HYPERLINK("http://www.weizmann.ac.il/complex/compphys/software/geview/data/figures/212349_at.png","Figure")</f>
        <v>Figure</v>
      </c>
      <c r="I4010">
        <v>0.94299999999999995</v>
      </c>
      <c r="J4010">
        <v>0.34</v>
      </c>
      <c r="K4010">
        <v>1.06</v>
      </c>
      <c r="L4010">
        <v>0.28000000000000003</v>
      </c>
      <c r="M4010">
        <v>1.1200000000000001</v>
      </c>
      <c r="N4010">
        <v>2.4E-2</v>
      </c>
    </row>
    <row r="4011" spans="1:14" x14ac:dyDescent="0.25">
      <c r="A4011" t="s">
        <v>7311</v>
      </c>
      <c r="B4011" t="s">
        <v>7312</v>
      </c>
      <c r="C4011" s="1" t="str">
        <f>HYPERLINK("http://www.genecards.org/cgi-bin/carddisp.pl?gene=DNAJC9","GeneCards")</f>
        <v>GeneCards</v>
      </c>
      <c r="D4011" s="1" t="str">
        <f>HYPERLINK("http://genome-euro.ucsc.edu/cgi-bin/hgTracks?position=213092_x_at","UCSC")</f>
        <v>UCSC</v>
      </c>
      <c r="E4011" s="1" t="str">
        <f>HYPERLINK("http://www.ncbi.nlm.nih.gov/gene/?term=DNAJC9","NCBI")</f>
        <v>NCBI</v>
      </c>
      <c r="F4011">
        <v>2.9000000000000001E-2</v>
      </c>
      <c r="G4011">
        <v>0.12</v>
      </c>
      <c r="H4011" s="1" t="str">
        <f>HYPERLINK("http://www.weizmann.ac.il/complex/compphys/software/geview/data/figures/213092_x_at.png","Figure")</f>
        <v>Figure</v>
      </c>
      <c r="I4011">
        <v>0.51800000000000002</v>
      </c>
      <c r="J4011">
        <v>4.8000000000000001E-2</v>
      </c>
      <c r="K4011">
        <v>0.99199999999999999</v>
      </c>
      <c r="L4011">
        <v>1</v>
      </c>
      <c r="M4011">
        <v>1.91</v>
      </c>
      <c r="N4011">
        <v>3.5999999999999997E-2</v>
      </c>
    </row>
    <row r="4012" spans="1:14" x14ac:dyDescent="0.25">
      <c r="A4012" t="s">
        <v>7313</v>
      </c>
      <c r="B4012" t="s">
        <v>7314</v>
      </c>
      <c r="C4012" s="1" t="str">
        <f>HYPERLINK("http://www.genecards.org/cgi-bin/carddisp.pl?gene=COX7A1","GeneCards")</f>
        <v>GeneCards</v>
      </c>
      <c r="D4012" s="1" t="str">
        <f>HYPERLINK("http://genome-euro.ucsc.edu/cgi-bin/hgTracks?position=204570_at","UCSC")</f>
        <v>UCSC</v>
      </c>
      <c r="E4012" s="1" t="str">
        <f>HYPERLINK("http://www.ncbi.nlm.nih.gov/gene/?term=COX7A1","NCBI")</f>
        <v>NCBI</v>
      </c>
      <c r="F4012">
        <v>2.9000000000000001E-2</v>
      </c>
      <c r="G4012">
        <v>0.12</v>
      </c>
      <c r="H4012" s="1" t="str">
        <f>HYPERLINK("http://www.weizmann.ac.il/complex/compphys/software/geview/data/figures/204570_at.png","Figure")</f>
        <v>Figure</v>
      </c>
      <c r="I4012">
        <v>1.27</v>
      </c>
      <c r="J4012">
        <v>2.5999999999999999E-2</v>
      </c>
      <c r="K4012">
        <v>1.1599999999999999</v>
      </c>
      <c r="L4012">
        <v>0.12</v>
      </c>
      <c r="M4012">
        <v>0.91500000000000004</v>
      </c>
      <c r="N4012">
        <v>0.47</v>
      </c>
    </row>
    <row r="4013" spans="1:14" x14ac:dyDescent="0.25">
      <c r="A4013" t="s">
        <v>7315</v>
      </c>
      <c r="B4013" t="s">
        <v>7316</v>
      </c>
      <c r="C4013" s="1" t="str">
        <f>HYPERLINK("http://www.genecards.org/cgi-bin/carddisp.pl?gene=MAN2A1","GeneCards")</f>
        <v>GeneCards</v>
      </c>
      <c r="D4013" s="1" t="str">
        <f>HYPERLINK("http://genome-euro.ucsc.edu/cgi-bin/hgTracks?position=205105_at","UCSC")</f>
        <v>UCSC</v>
      </c>
      <c r="E4013" s="1" t="str">
        <f>HYPERLINK("http://www.ncbi.nlm.nih.gov/gene/?term=MAN2A1","NCBI")</f>
        <v>NCBI</v>
      </c>
      <c r="F4013">
        <v>2.9000000000000001E-2</v>
      </c>
      <c r="G4013">
        <v>0.12</v>
      </c>
      <c r="H4013" s="1" t="str">
        <f>HYPERLINK("http://www.weizmann.ac.il/complex/compphys/software/geview/data/figures/205105_at.png","Figure")</f>
        <v>Figure</v>
      </c>
      <c r="I4013">
        <v>1.02</v>
      </c>
      <c r="J4013">
        <v>0.99</v>
      </c>
      <c r="K4013">
        <v>0.70699999999999996</v>
      </c>
      <c r="L4013">
        <v>5.7000000000000002E-2</v>
      </c>
      <c r="M4013">
        <v>0.69099999999999995</v>
      </c>
      <c r="N4013">
        <v>5.8000000000000003E-2</v>
      </c>
    </row>
    <row r="4014" spans="1:14" x14ac:dyDescent="0.25">
      <c r="A4014" t="s">
        <v>7317</v>
      </c>
      <c r="B4014" t="s">
        <v>7055</v>
      </c>
      <c r="C4014" s="1" t="str">
        <f>HYPERLINK("http://www.genecards.org/cgi-bin/carddisp.pl?gene=PAWR","GeneCards")</f>
        <v>GeneCards</v>
      </c>
      <c r="D4014" s="1" t="str">
        <f>HYPERLINK("http://genome-euro.ucsc.edu/cgi-bin/hgTracks?position=204004_at","UCSC")</f>
        <v>UCSC</v>
      </c>
      <c r="E4014" s="1" t="str">
        <f>HYPERLINK("http://www.ncbi.nlm.nih.gov/gene/?term=PAWR","NCBI")</f>
        <v>NCBI</v>
      </c>
      <c r="F4014">
        <v>2.9000000000000001E-2</v>
      </c>
      <c r="G4014">
        <v>0.12</v>
      </c>
      <c r="H4014" s="1" t="str">
        <f>HYPERLINK("http://www.weizmann.ac.il/complex/compphys/software/geview/data/figures/204004_at.png","Figure")</f>
        <v>Figure</v>
      </c>
      <c r="I4014">
        <v>1.72</v>
      </c>
      <c r="J4014">
        <v>6.7000000000000004E-2</v>
      </c>
      <c r="K4014">
        <v>1.72</v>
      </c>
      <c r="L4014">
        <v>3.5000000000000003E-2</v>
      </c>
      <c r="M4014">
        <v>1</v>
      </c>
      <c r="N4014">
        <v>1</v>
      </c>
    </row>
    <row r="4015" spans="1:14" x14ac:dyDescent="0.25">
      <c r="A4015" t="s">
        <v>7318</v>
      </c>
      <c r="B4015" t="s">
        <v>7319</v>
      </c>
      <c r="C4015" s="1" t="str">
        <f>HYPERLINK("http://www.genecards.org/cgi-bin/carddisp.pl?gene=HDC","GeneCards")</f>
        <v>GeneCards</v>
      </c>
      <c r="D4015" s="1" t="str">
        <f>HYPERLINK("http://genome-euro.ucsc.edu/cgi-bin/hgTracks?position=207067_s_at","UCSC")</f>
        <v>UCSC</v>
      </c>
      <c r="E4015" s="1" t="str">
        <f>HYPERLINK("http://www.ncbi.nlm.nih.gov/gene/?term=HDC","NCBI")</f>
        <v>NCBI</v>
      </c>
      <c r="F4015">
        <v>2.9000000000000001E-2</v>
      </c>
      <c r="G4015">
        <v>0.12</v>
      </c>
      <c r="H4015" s="1" t="str">
        <f>HYPERLINK("http://www.weizmann.ac.il/complex/compphys/software/geview/data/figures/207067_s_at.png","Figure")</f>
        <v>Figure</v>
      </c>
      <c r="I4015">
        <v>1.26</v>
      </c>
      <c r="J4015">
        <v>2.7E-2</v>
      </c>
      <c r="K4015">
        <v>1.06</v>
      </c>
      <c r="L4015">
        <v>0.67</v>
      </c>
      <c r="M4015">
        <v>0.84399999999999997</v>
      </c>
      <c r="N4015">
        <v>0.08</v>
      </c>
    </row>
    <row r="4016" spans="1:14" x14ac:dyDescent="0.25">
      <c r="A4016" t="s">
        <v>7320</v>
      </c>
      <c r="B4016" t="s">
        <v>7135</v>
      </c>
      <c r="C4016" s="1" t="str">
        <f>HYPERLINK("http://www.genecards.org/cgi-bin/carddisp.pl?gene=AAGAB","GeneCards")</f>
        <v>GeneCards</v>
      </c>
      <c r="D4016" s="1" t="str">
        <f>HYPERLINK("http://genome-euro.ucsc.edu/cgi-bin/hgTracks?position=202851_at","UCSC")</f>
        <v>UCSC</v>
      </c>
      <c r="E4016" s="1" t="str">
        <f>HYPERLINK("http://www.ncbi.nlm.nih.gov/gene/?term=AAGAB","NCBI")</f>
        <v>NCBI</v>
      </c>
      <c r="F4016">
        <v>2.9000000000000001E-2</v>
      </c>
      <c r="G4016">
        <v>0.12</v>
      </c>
      <c r="H4016" s="1" t="str">
        <f>HYPERLINK("http://www.weizmann.ac.il/complex/compphys/software/geview/data/figures/202851_at.png","Figure")</f>
        <v>Figure</v>
      </c>
      <c r="I4016">
        <v>1.3</v>
      </c>
      <c r="J4016">
        <v>2.4E-2</v>
      </c>
      <c r="K4016">
        <v>1.1599999999999999</v>
      </c>
      <c r="L4016">
        <v>0.16</v>
      </c>
      <c r="M4016">
        <v>0.89400000000000002</v>
      </c>
      <c r="N4016">
        <v>0.37</v>
      </c>
    </row>
    <row r="4017" spans="1:14" x14ac:dyDescent="0.25">
      <c r="A4017" t="s">
        <v>7321</v>
      </c>
      <c r="B4017" t="s">
        <v>4325</v>
      </c>
      <c r="C4017" s="1" t="str">
        <f>HYPERLINK("http://www.genecards.org/cgi-bin/carddisp.pl?gene=PXDN","GeneCards")</f>
        <v>GeneCards</v>
      </c>
      <c r="D4017" s="1" t="str">
        <f>HYPERLINK("http://genome-euro.ucsc.edu/cgi-bin/hgTracks?position=212013_at","UCSC")</f>
        <v>UCSC</v>
      </c>
      <c r="E4017" s="1" t="str">
        <f>HYPERLINK("http://www.ncbi.nlm.nih.gov/gene/?term=PXDN","NCBI")</f>
        <v>NCBI</v>
      </c>
      <c r="F4017">
        <v>2.9000000000000001E-2</v>
      </c>
      <c r="G4017">
        <v>0.12</v>
      </c>
      <c r="H4017" s="1" t="str">
        <f>HYPERLINK("http://www.weizmann.ac.il/complex/compphys/software/geview/data/figures/212013_at.png","Figure")</f>
        <v>Figure</v>
      </c>
      <c r="I4017">
        <v>1.93</v>
      </c>
      <c r="J4017">
        <v>6.7000000000000004E-2</v>
      </c>
      <c r="K4017">
        <v>1.93</v>
      </c>
      <c r="L4017">
        <v>3.5000000000000003E-2</v>
      </c>
      <c r="M4017">
        <v>0.998</v>
      </c>
      <c r="N4017">
        <v>1</v>
      </c>
    </row>
    <row r="4018" spans="1:14" x14ac:dyDescent="0.25">
      <c r="A4018" t="s">
        <v>7322</v>
      </c>
      <c r="B4018" t="s">
        <v>1885</v>
      </c>
      <c r="C4018" s="1" t="str">
        <f>HYPERLINK("http://www.genecards.org/cgi-bin/carddisp.pl?gene=GNA11","GeneCards")</f>
        <v>GeneCards</v>
      </c>
      <c r="D4018" s="1" t="str">
        <f>HYPERLINK("http://genome-euro.ucsc.edu/cgi-bin/hgTracks?position=213766_x_at","UCSC")</f>
        <v>UCSC</v>
      </c>
      <c r="E4018" s="1" t="str">
        <f>HYPERLINK("http://www.ncbi.nlm.nih.gov/gene/?term=GNA11","NCBI")</f>
        <v>NCBI</v>
      </c>
      <c r="F4018">
        <v>2.9000000000000001E-2</v>
      </c>
      <c r="G4018">
        <v>0.12</v>
      </c>
      <c r="H4018" s="1" t="str">
        <f>HYPERLINK("http://www.weizmann.ac.il/complex/compphys/software/geview/data/figures/213766_x_at.png","Figure")</f>
        <v>Figure</v>
      </c>
      <c r="I4018">
        <v>0.58599999999999997</v>
      </c>
      <c r="J4018">
        <v>6.9000000000000006E-2</v>
      </c>
      <c r="K4018">
        <v>1.07</v>
      </c>
      <c r="L4018">
        <v>0.94</v>
      </c>
      <c r="M4018">
        <v>1.82</v>
      </c>
      <c r="N4018">
        <v>2.9000000000000001E-2</v>
      </c>
    </row>
    <row r="4019" spans="1:14" x14ac:dyDescent="0.25">
      <c r="A4019" t="s">
        <v>7323</v>
      </c>
      <c r="B4019" t="s">
        <v>7324</v>
      </c>
      <c r="C4019" s="1" t="str">
        <f>HYPERLINK("http://www.genecards.org/cgi-bin/carddisp.pl?gene=RNF38","GeneCards")</f>
        <v>GeneCards</v>
      </c>
      <c r="D4019" s="1" t="str">
        <f>HYPERLINK("http://genome-euro.ucsc.edu/cgi-bin/hgTracks?position=218528_s_at","UCSC")</f>
        <v>UCSC</v>
      </c>
      <c r="E4019" s="1" t="str">
        <f>HYPERLINK("http://www.ncbi.nlm.nih.gov/gene/?term=RNF38","NCBI")</f>
        <v>NCBI</v>
      </c>
      <c r="F4019">
        <v>2.9000000000000001E-2</v>
      </c>
      <c r="G4019">
        <v>0.12</v>
      </c>
      <c r="H4019" s="1" t="str">
        <f>HYPERLINK("http://www.weizmann.ac.il/complex/compphys/software/geview/data/figures/218528_s_at.png","Figure")</f>
        <v>Figure</v>
      </c>
      <c r="I4019">
        <v>0.60599999999999998</v>
      </c>
      <c r="J4019">
        <v>0.17</v>
      </c>
      <c r="K4019">
        <v>0.502</v>
      </c>
      <c r="L4019">
        <v>2.4E-2</v>
      </c>
      <c r="M4019">
        <v>0.82799999999999996</v>
      </c>
      <c r="N4019">
        <v>0.72</v>
      </c>
    </row>
    <row r="4020" spans="1:14" x14ac:dyDescent="0.25">
      <c r="A4020" t="s">
        <v>7325</v>
      </c>
      <c r="B4020" t="s">
        <v>7326</v>
      </c>
      <c r="C4020" s="1" t="str">
        <f>HYPERLINK("http://www.genecards.org/cgi-bin/carddisp.pl?gene=SHFM1","GeneCards")</f>
        <v>GeneCards</v>
      </c>
      <c r="D4020" s="1" t="str">
        <f>HYPERLINK("http://genome-euro.ucsc.edu/cgi-bin/hgTracks?position=202276_at","UCSC")</f>
        <v>UCSC</v>
      </c>
      <c r="E4020" s="1" t="str">
        <f>HYPERLINK("http://www.ncbi.nlm.nih.gov/gene/?term=SHFM1","NCBI")</f>
        <v>NCBI</v>
      </c>
      <c r="F4020">
        <v>2.9000000000000001E-2</v>
      </c>
      <c r="G4020">
        <v>0.12</v>
      </c>
      <c r="H4020" s="1" t="str">
        <f>HYPERLINK("http://www.weizmann.ac.il/complex/compphys/software/geview/data/figures/202276_at.png","Figure")</f>
        <v>Figure</v>
      </c>
      <c r="I4020">
        <v>1.26</v>
      </c>
      <c r="J4020">
        <v>5.3999999999999999E-2</v>
      </c>
      <c r="K4020">
        <v>1.24</v>
      </c>
      <c r="L4020">
        <v>4.2000000000000003E-2</v>
      </c>
      <c r="M4020">
        <v>0.98199999999999998</v>
      </c>
      <c r="N4020">
        <v>0.97</v>
      </c>
    </row>
    <row r="4021" spans="1:14" x14ac:dyDescent="0.25">
      <c r="A4021" t="s">
        <v>7327</v>
      </c>
      <c r="B4021" t="s">
        <v>7328</v>
      </c>
      <c r="C4021" s="1" t="str">
        <f>HYPERLINK("http://www.genecards.org/cgi-bin/carddisp.pl?gene=CCDC85B","GeneCards")</f>
        <v>GeneCards</v>
      </c>
      <c r="D4021" s="1" t="str">
        <f>HYPERLINK("http://genome-euro.ucsc.edu/cgi-bin/hgTracks?position=213250_at","UCSC")</f>
        <v>UCSC</v>
      </c>
      <c r="E4021" s="1" t="str">
        <f>HYPERLINK("http://www.ncbi.nlm.nih.gov/gene/?term=CCDC85B","NCBI")</f>
        <v>NCBI</v>
      </c>
      <c r="F4021">
        <v>2.9000000000000001E-2</v>
      </c>
      <c r="G4021">
        <v>0.12</v>
      </c>
      <c r="H4021" s="1" t="str">
        <f>HYPERLINK("http://www.weizmann.ac.il/complex/compphys/software/geview/data/figures/213250_at.png","Figure")</f>
        <v>Figure</v>
      </c>
      <c r="I4021">
        <v>1.48</v>
      </c>
      <c r="J4021">
        <v>2.3E-2</v>
      </c>
      <c r="K4021">
        <v>1.2</v>
      </c>
      <c r="L4021">
        <v>0.26</v>
      </c>
      <c r="M4021">
        <v>0.81299999999999994</v>
      </c>
      <c r="N4021">
        <v>0.23</v>
      </c>
    </row>
    <row r="4022" spans="1:14" x14ac:dyDescent="0.25">
      <c r="A4022" t="s">
        <v>7329</v>
      </c>
      <c r="B4022" t="s">
        <v>7330</v>
      </c>
      <c r="C4022" s="1" t="str">
        <f>HYPERLINK("http://www.genecards.org/cgi-bin/carddisp.pl?gene=SIRT2","GeneCards")</f>
        <v>GeneCards</v>
      </c>
      <c r="D4022" s="1" t="str">
        <f>HYPERLINK("http://genome-euro.ucsc.edu/cgi-bin/hgTracks?position=220605_s_at","UCSC")</f>
        <v>UCSC</v>
      </c>
      <c r="E4022" s="1" t="str">
        <f>HYPERLINK("http://www.ncbi.nlm.nih.gov/gene/?term=SIRT2","NCBI")</f>
        <v>NCBI</v>
      </c>
      <c r="F4022">
        <v>2.9000000000000001E-2</v>
      </c>
      <c r="G4022">
        <v>0.12</v>
      </c>
      <c r="H4022" s="1" t="str">
        <f>HYPERLINK("http://www.weizmann.ac.il/complex/compphys/software/geview/data/figures/220605_s_at.png","Figure")</f>
        <v>Figure</v>
      </c>
      <c r="I4022">
        <v>1.57</v>
      </c>
      <c r="J4022">
        <v>2.3E-2</v>
      </c>
      <c r="K4022">
        <v>1.27</v>
      </c>
      <c r="L4022">
        <v>0.2</v>
      </c>
      <c r="M4022">
        <v>0.80600000000000005</v>
      </c>
      <c r="N4022">
        <v>0.3</v>
      </c>
    </row>
    <row r="4023" spans="1:14" x14ac:dyDescent="0.25">
      <c r="A4023" t="s">
        <v>7331</v>
      </c>
      <c r="B4023" t="s">
        <v>7332</v>
      </c>
      <c r="C4023" s="1" t="str">
        <f>HYPERLINK("http://www.genecards.org/cgi-bin/carddisp.pl?gene=PDS5A","GeneCards")</f>
        <v>GeneCards</v>
      </c>
      <c r="D4023" s="1" t="str">
        <f>HYPERLINK("http://genome-euro.ucsc.edu/cgi-bin/hgTracks?position=212140_at","UCSC")</f>
        <v>UCSC</v>
      </c>
      <c r="E4023" s="1" t="str">
        <f>HYPERLINK("http://www.ncbi.nlm.nih.gov/gene/?term=PDS5A","NCBI")</f>
        <v>NCBI</v>
      </c>
      <c r="F4023">
        <v>2.9000000000000001E-2</v>
      </c>
      <c r="G4023">
        <v>0.12</v>
      </c>
      <c r="H4023" s="1" t="str">
        <f>HYPERLINK("http://www.weizmann.ac.il/complex/compphys/software/geview/data/figures/212140_at.png","Figure")</f>
        <v>Figure</v>
      </c>
      <c r="I4023">
        <v>0.54400000000000004</v>
      </c>
      <c r="J4023">
        <v>4.9000000000000002E-2</v>
      </c>
      <c r="K4023">
        <v>0.998</v>
      </c>
      <c r="L4023">
        <v>1</v>
      </c>
      <c r="M4023">
        <v>1.83</v>
      </c>
      <c r="N4023">
        <v>3.5999999999999997E-2</v>
      </c>
    </row>
    <row r="4024" spans="1:14" x14ac:dyDescent="0.25">
      <c r="A4024" t="s">
        <v>7333</v>
      </c>
      <c r="B4024" t="s">
        <v>7092</v>
      </c>
      <c r="C4024" s="1" t="str">
        <f>HYPERLINK("http://www.genecards.org/cgi-bin/carddisp.pl?gene=PPP2R5C","GeneCards")</f>
        <v>GeneCards</v>
      </c>
      <c r="D4024" s="1" t="str">
        <f>HYPERLINK("http://genome-euro.ucsc.edu/cgi-bin/hgTracks?position=214083_at","UCSC")</f>
        <v>UCSC</v>
      </c>
      <c r="E4024" s="1" t="str">
        <f>HYPERLINK("http://www.ncbi.nlm.nih.gov/gene/?term=PPP2R5C","NCBI")</f>
        <v>NCBI</v>
      </c>
      <c r="F4024">
        <v>2.9000000000000001E-2</v>
      </c>
      <c r="G4024">
        <v>0.12</v>
      </c>
      <c r="H4024" s="1" t="str">
        <f>HYPERLINK("http://www.weizmann.ac.il/complex/compphys/software/geview/data/figures/214083_at.png","Figure")</f>
        <v>Figure</v>
      </c>
      <c r="I4024">
        <v>0.61199999999999999</v>
      </c>
      <c r="J4024">
        <v>0.36</v>
      </c>
      <c r="K4024">
        <v>0.39800000000000002</v>
      </c>
      <c r="L4024">
        <v>2.3E-2</v>
      </c>
      <c r="M4024">
        <v>0.65100000000000002</v>
      </c>
      <c r="N4024">
        <v>0.4</v>
      </c>
    </row>
    <row r="4025" spans="1:14" x14ac:dyDescent="0.25">
      <c r="A4025" t="s">
        <v>7334</v>
      </c>
      <c r="B4025" t="s">
        <v>3223</v>
      </c>
      <c r="C4025" s="1" t="str">
        <f>HYPERLINK("http://www.genecards.org/cgi-bin/carddisp.pl?gene=AGRN","GeneCards")</f>
        <v>GeneCards</v>
      </c>
      <c r="D4025" s="1" t="str">
        <f>HYPERLINK("http://genome-euro.ucsc.edu/cgi-bin/hgTracks?position=217410_at","UCSC")</f>
        <v>UCSC</v>
      </c>
      <c r="E4025" s="1" t="str">
        <f>HYPERLINK("http://www.ncbi.nlm.nih.gov/gene/?term=AGRN","NCBI")</f>
        <v>NCBI</v>
      </c>
      <c r="F4025">
        <v>2.9000000000000001E-2</v>
      </c>
      <c r="G4025">
        <v>0.12</v>
      </c>
      <c r="H4025" s="1" t="str">
        <f>HYPERLINK("http://www.weizmann.ac.il/complex/compphys/software/geview/data/figures/217410_at.png","Figure")</f>
        <v>Figure</v>
      </c>
      <c r="I4025">
        <v>1.59</v>
      </c>
      <c r="J4025">
        <v>2.3E-2</v>
      </c>
      <c r="K4025">
        <v>1.26</v>
      </c>
      <c r="L4025">
        <v>0.23</v>
      </c>
      <c r="M4025">
        <v>0.78900000000000003</v>
      </c>
      <c r="N4025">
        <v>0.25</v>
      </c>
    </row>
    <row r="4026" spans="1:14" x14ac:dyDescent="0.25">
      <c r="A4026" t="s">
        <v>7335</v>
      </c>
      <c r="B4026" t="s">
        <v>7336</v>
      </c>
      <c r="C4026" s="1" t="str">
        <f>HYPERLINK("http://www.genecards.org/cgi-bin/carddisp.pl?gene=CLC","GeneCards")</f>
        <v>GeneCards</v>
      </c>
      <c r="D4026" s="1" t="str">
        <f>HYPERLINK("http://genome-euro.ucsc.edu/cgi-bin/hgTracks?position=206207_at","UCSC")</f>
        <v>UCSC</v>
      </c>
      <c r="E4026" s="1" t="str">
        <f>HYPERLINK("http://www.ncbi.nlm.nih.gov/gene/?term=CLC","NCBI")</f>
        <v>NCBI</v>
      </c>
      <c r="F4026">
        <v>2.9000000000000001E-2</v>
      </c>
      <c r="G4026">
        <v>0.12</v>
      </c>
      <c r="H4026" s="1" t="str">
        <f>HYPERLINK("http://www.weizmann.ac.il/complex/compphys/software/geview/data/figures/206207_at.png","Figure")</f>
        <v>Figure</v>
      </c>
      <c r="I4026">
        <v>1.23</v>
      </c>
      <c r="J4026">
        <v>0.08</v>
      </c>
      <c r="K4026">
        <v>0.96499999999999997</v>
      </c>
      <c r="L4026">
        <v>0.89</v>
      </c>
      <c r="M4026">
        <v>0.78300000000000003</v>
      </c>
      <c r="N4026">
        <v>2.7E-2</v>
      </c>
    </row>
    <row r="4027" spans="1:14" x14ac:dyDescent="0.25">
      <c r="A4027" t="s">
        <v>7337</v>
      </c>
      <c r="B4027" t="s">
        <v>1550</v>
      </c>
      <c r="C4027" s="1" t="str">
        <f>HYPERLINK("http://www.genecards.org/cgi-bin/carddisp.pl?gene=SHQ1","GeneCards")</f>
        <v>GeneCards</v>
      </c>
      <c r="D4027" s="1" t="str">
        <f>HYPERLINK("http://genome-euro.ucsc.edu/cgi-bin/hgTracks?position=63009_at","UCSC")</f>
        <v>UCSC</v>
      </c>
      <c r="E4027" s="1" t="str">
        <f>HYPERLINK("http://www.ncbi.nlm.nih.gov/gene/?term=SHQ1","NCBI")</f>
        <v>NCBI</v>
      </c>
      <c r="F4027">
        <v>2.9000000000000001E-2</v>
      </c>
      <c r="G4027">
        <v>0.12</v>
      </c>
      <c r="H4027" s="1" t="str">
        <f>HYPERLINK("http://www.weizmann.ac.il/complex/compphys/software/geview/data/figures/63009_at.png","Figure")</f>
        <v>Figure</v>
      </c>
      <c r="I4027">
        <v>0.90600000000000003</v>
      </c>
      <c r="J4027">
        <v>0.56999999999999995</v>
      </c>
      <c r="K4027">
        <v>1.18</v>
      </c>
      <c r="L4027">
        <v>0.16</v>
      </c>
      <c r="M4027">
        <v>1.3</v>
      </c>
      <c r="N4027">
        <v>2.9000000000000001E-2</v>
      </c>
    </row>
    <row r="4028" spans="1:14" x14ac:dyDescent="0.25">
      <c r="A4028" t="s">
        <v>7338</v>
      </c>
      <c r="B4028" t="s">
        <v>7339</v>
      </c>
      <c r="C4028" s="1" t="str">
        <f>HYPERLINK("http://www.genecards.org/cgi-bin/carddisp.pl?gene=SYPL1","GeneCards")</f>
        <v>GeneCards</v>
      </c>
      <c r="D4028" s="1" t="str">
        <f>HYPERLINK("http://genome-euro.ucsc.edu/cgi-bin/hgTracks?position=201260_s_at","UCSC")</f>
        <v>UCSC</v>
      </c>
      <c r="E4028" s="1" t="str">
        <f>HYPERLINK("http://www.ncbi.nlm.nih.gov/gene/?term=SYPL1","NCBI")</f>
        <v>NCBI</v>
      </c>
      <c r="F4028">
        <v>2.9000000000000001E-2</v>
      </c>
      <c r="G4028">
        <v>0.12</v>
      </c>
      <c r="H4028" s="1" t="str">
        <f>HYPERLINK("http://www.weizmann.ac.il/complex/compphys/software/geview/data/figures/201260_s_at.png","Figure")</f>
        <v>Figure</v>
      </c>
      <c r="I4028">
        <v>0.60299999999999998</v>
      </c>
      <c r="J4028">
        <v>0.16</v>
      </c>
      <c r="K4028">
        <v>0.50600000000000001</v>
      </c>
      <c r="L4028">
        <v>2.4E-2</v>
      </c>
      <c r="M4028">
        <v>0.83899999999999997</v>
      </c>
      <c r="N4028">
        <v>0.75</v>
      </c>
    </row>
    <row r="4029" spans="1:14" x14ac:dyDescent="0.25">
      <c r="A4029" t="s">
        <v>7340</v>
      </c>
      <c r="B4029" t="s">
        <v>7341</v>
      </c>
      <c r="C4029" s="1" t="str">
        <f>HYPERLINK("http://www.genecards.org/cgi-bin/carddisp.pl?gene=VAMP2","GeneCards")</f>
        <v>GeneCards</v>
      </c>
      <c r="D4029" s="1" t="str">
        <f>HYPERLINK("http://genome-euro.ucsc.edu/cgi-bin/hgTracks?position=201557_at","UCSC")</f>
        <v>UCSC</v>
      </c>
      <c r="E4029" s="1" t="str">
        <f>HYPERLINK("http://www.ncbi.nlm.nih.gov/gene/?term=VAMP2","NCBI")</f>
        <v>NCBI</v>
      </c>
      <c r="F4029">
        <v>2.9000000000000001E-2</v>
      </c>
      <c r="G4029">
        <v>0.12</v>
      </c>
      <c r="H4029" s="1" t="str">
        <f>HYPERLINK("http://www.weizmann.ac.il/complex/compphys/software/geview/data/figures/201557_at.png","Figure")</f>
        <v>Figure</v>
      </c>
      <c r="I4029">
        <v>1.1000000000000001</v>
      </c>
      <c r="J4029">
        <v>0.61</v>
      </c>
      <c r="K4029">
        <v>0.84399999999999997</v>
      </c>
      <c r="L4029">
        <v>0.15</v>
      </c>
      <c r="M4029">
        <v>0.76900000000000002</v>
      </c>
      <c r="N4029">
        <v>0.03</v>
      </c>
    </row>
    <row r="4030" spans="1:14" x14ac:dyDescent="0.25">
      <c r="A4030" t="s">
        <v>7342</v>
      </c>
      <c r="B4030" t="s">
        <v>7343</v>
      </c>
      <c r="C4030" s="1" t="str">
        <f>HYPERLINK("http://www.genecards.org/cgi-bin/carddisp.pl?gene=IL8","GeneCards")</f>
        <v>GeneCards</v>
      </c>
      <c r="D4030" s="1" t="str">
        <f>HYPERLINK("http://genome-euro.ucsc.edu/cgi-bin/hgTracks?position=202859_x_at","UCSC")</f>
        <v>UCSC</v>
      </c>
      <c r="E4030" s="1" t="str">
        <f>HYPERLINK("http://www.ncbi.nlm.nih.gov/gene/?term=IL8","NCBI")</f>
        <v>NCBI</v>
      </c>
      <c r="F4030">
        <v>2.9000000000000001E-2</v>
      </c>
      <c r="G4030">
        <v>0.12</v>
      </c>
      <c r="H4030" s="1" t="str">
        <f>HYPERLINK("http://www.weizmann.ac.il/complex/compphys/software/geview/data/figures/202859_x_at.png","Figure")</f>
        <v>Figure</v>
      </c>
      <c r="I4030">
        <v>1.87</v>
      </c>
      <c r="J4030">
        <v>0.41</v>
      </c>
      <c r="K4030">
        <v>0.48899999999999999</v>
      </c>
      <c r="L4030">
        <v>0.23</v>
      </c>
      <c r="M4030">
        <v>0.26200000000000001</v>
      </c>
      <c r="N4030">
        <v>2.5000000000000001E-2</v>
      </c>
    </row>
    <row r="4031" spans="1:14" x14ac:dyDescent="0.25">
      <c r="A4031" t="s">
        <v>7344</v>
      </c>
      <c r="B4031" t="s">
        <v>4601</v>
      </c>
      <c r="C4031" s="1" t="str">
        <f>HYPERLINK("http://www.genecards.org/cgi-bin/carddisp.pl?gene=MED12","GeneCards")</f>
        <v>GeneCards</v>
      </c>
      <c r="D4031" s="1" t="str">
        <f>HYPERLINK("http://genome-euro.ucsc.edu/cgi-bin/hgTracks?position=203506_s_at","UCSC")</f>
        <v>UCSC</v>
      </c>
      <c r="E4031" s="1" t="str">
        <f>HYPERLINK("http://www.ncbi.nlm.nih.gov/gene/?term=MED12","NCBI")</f>
        <v>NCBI</v>
      </c>
      <c r="F4031">
        <v>2.9000000000000001E-2</v>
      </c>
      <c r="G4031">
        <v>0.12</v>
      </c>
      <c r="H4031" s="1" t="str">
        <f>HYPERLINK("http://www.weizmann.ac.il/complex/compphys/software/geview/data/figures/203506_s_at.png","Figure")</f>
        <v>Figure</v>
      </c>
      <c r="I4031">
        <v>0.64</v>
      </c>
      <c r="J4031">
        <v>8.4000000000000005E-2</v>
      </c>
      <c r="K4031">
        <v>1.0900000000000001</v>
      </c>
      <c r="L4031">
        <v>0.87</v>
      </c>
      <c r="M4031">
        <v>1.7</v>
      </c>
      <c r="N4031">
        <v>2.5999999999999999E-2</v>
      </c>
    </row>
    <row r="4032" spans="1:14" x14ac:dyDescent="0.25">
      <c r="A4032" t="s">
        <v>7345</v>
      </c>
      <c r="B4032" t="s">
        <v>3437</v>
      </c>
      <c r="C4032" s="1" t="str">
        <f>HYPERLINK("http://www.genecards.org/cgi-bin/carddisp.pl?gene=IGHG1","GeneCards")</f>
        <v>GeneCards</v>
      </c>
      <c r="D4032" s="1" t="str">
        <f>HYPERLINK("http://genome-euro.ucsc.edu/cgi-bin/hgTracks?position=217035_at","UCSC")</f>
        <v>UCSC</v>
      </c>
      <c r="E4032" s="1" t="str">
        <f>HYPERLINK("http://www.ncbi.nlm.nih.gov/gene/?term=IGHG1","NCBI")</f>
        <v>NCBI</v>
      </c>
      <c r="F4032">
        <v>2.9000000000000001E-2</v>
      </c>
      <c r="G4032">
        <v>0.12</v>
      </c>
      <c r="H4032" s="1" t="str">
        <f>HYPERLINK("http://www.weizmann.ac.il/complex/compphys/software/geview/data/figures/217035_at.png","Figure")</f>
        <v>Figure</v>
      </c>
      <c r="I4032">
        <v>1.32</v>
      </c>
      <c r="J4032">
        <v>2.3E-2</v>
      </c>
      <c r="K4032">
        <v>1.1499999999999999</v>
      </c>
      <c r="L4032">
        <v>0.21</v>
      </c>
      <c r="M4032">
        <v>0.874</v>
      </c>
      <c r="N4032">
        <v>0.28000000000000003</v>
      </c>
    </row>
    <row r="4033" spans="1:14" x14ac:dyDescent="0.25">
      <c r="A4033" t="s">
        <v>7346</v>
      </c>
      <c r="B4033" t="s">
        <v>3437</v>
      </c>
      <c r="C4033" s="1" t="str">
        <f>HYPERLINK("http://www.genecards.org/cgi-bin/carddisp.pl?gene=IGHG1","GeneCards")</f>
        <v>GeneCards</v>
      </c>
      <c r="D4033" s="1" t="str">
        <f>HYPERLINK("http://genome-euro.ucsc.edu/cgi-bin/hgTracks?position=217260_x_at","UCSC")</f>
        <v>UCSC</v>
      </c>
      <c r="E4033" s="1" t="str">
        <f>HYPERLINK("http://www.ncbi.nlm.nih.gov/gene/?term=IGHG1","NCBI")</f>
        <v>NCBI</v>
      </c>
      <c r="F4033">
        <v>2.9000000000000001E-2</v>
      </c>
      <c r="G4033">
        <v>0.12</v>
      </c>
      <c r="H4033" s="1" t="str">
        <f>HYPERLINK("http://www.weizmann.ac.il/complex/compphys/software/geview/data/figures/217260_x_at.png","Figure")</f>
        <v>Figure</v>
      </c>
      <c r="I4033">
        <v>1.17</v>
      </c>
      <c r="J4033">
        <v>2.9000000000000001E-2</v>
      </c>
      <c r="K4033">
        <v>1.1100000000000001</v>
      </c>
      <c r="L4033">
        <v>9.5000000000000001E-2</v>
      </c>
      <c r="M4033">
        <v>0.95</v>
      </c>
      <c r="N4033">
        <v>0.57999999999999996</v>
      </c>
    </row>
    <row r="4034" spans="1:14" x14ac:dyDescent="0.25">
      <c r="A4034" t="s">
        <v>7347</v>
      </c>
      <c r="B4034" t="s">
        <v>7348</v>
      </c>
      <c r="C4034" s="1" t="str">
        <f>HYPERLINK("http://www.genecards.org/cgi-bin/carddisp.pl?gene=MLXIPL","GeneCards")</f>
        <v>GeneCards</v>
      </c>
      <c r="D4034" s="1" t="str">
        <f>HYPERLINK("http://genome-euro.ucsc.edu/cgi-bin/hgTracks?position=221163_s_at","UCSC")</f>
        <v>UCSC</v>
      </c>
      <c r="E4034" s="1" t="str">
        <f>HYPERLINK("http://www.ncbi.nlm.nih.gov/gene/?term=MLXIPL","NCBI")</f>
        <v>NCBI</v>
      </c>
      <c r="F4034">
        <v>2.9000000000000001E-2</v>
      </c>
      <c r="G4034">
        <v>0.12</v>
      </c>
      <c r="H4034" s="1" t="str">
        <f>HYPERLINK("http://www.weizmann.ac.il/complex/compphys/software/geview/data/figures/221163_s_at.png","Figure")</f>
        <v>Figure</v>
      </c>
      <c r="I4034">
        <v>1.66</v>
      </c>
      <c r="J4034">
        <v>2.5999999999999999E-2</v>
      </c>
      <c r="K4034">
        <v>1.36</v>
      </c>
      <c r="L4034">
        <v>0.13</v>
      </c>
      <c r="M4034">
        <v>0.81699999999999995</v>
      </c>
      <c r="N4034">
        <v>0.43</v>
      </c>
    </row>
    <row r="4035" spans="1:14" x14ac:dyDescent="0.25">
      <c r="A4035" t="s">
        <v>7349</v>
      </c>
      <c r="B4035" t="s">
        <v>7350</v>
      </c>
      <c r="C4035" s="1" t="str">
        <f>HYPERLINK("http://www.genecards.org/cgi-bin/carddisp.pl?gene=OR7E47P","GeneCards")</f>
        <v>GeneCards</v>
      </c>
      <c r="D4035" s="1" t="str">
        <f>HYPERLINK("http://genome-euro.ucsc.edu/cgi-bin/hgTracks?position=222304_x_at","UCSC")</f>
        <v>UCSC</v>
      </c>
      <c r="E4035" s="1" t="str">
        <f>HYPERLINK("http://www.ncbi.nlm.nih.gov/gene/?term=OR7E47P","NCBI")</f>
        <v>NCBI</v>
      </c>
      <c r="F4035">
        <v>2.9000000000000001E-2</v>
      </c>
      <c r="G4035">
        <v>0.12</v>
      </c>
      <c r="H4035" s="1" t="str">
        <f>HYPERLINK("http://www.weizmann.ac.il/complex/compphys/software/geview/data/figures/222304_x_at.png","Figure")</f>
        <v>Figure</v>
      </c>
      <c r="I4035">
        <v>1.26</v>
      </c>
      <c r="J4035">
        <v>2.4E-2</v>
      </c>
      <c r="K4035">
        <v>1.0900000000000001</v>
      </c>
      <c r="L4035">
        <v>0.45</v>
      </c>
      <c r="M4035">
        <v>0.86</v>
      </c>
      <c r="N4035">
        <v>0.13</v>
      </c>
    </row>
    <row r="4036" spans="1:14" x14ac:dyDescent="0.25">
      <c r="A4036" t="s">
        <v>7351</v>
      </c>
      <c r="B4036" t="s">
        <v>7352</v>
      </c>
      <c r="C4036" s="1" t="str">
        <f>HYPERLINK("http://www.genecards.org/cgi-bin/carddisp.pl?gene=DDX18","GeneCards")</f>
        <v>GeneCards</v>
      </c>
      <c r="D4036" s="1" t="str">
        <f>HYPERLINK("http://genome-euro.ucsc.edu/cgi-bin/hgTracks?position=208896_at","UCSC")</f>
        <v>UCSC</v>
      </c>
      <c r="E4036" s="1" t="str">
        <f>HYPERLINK("http://www.ncbi.nlm.nih.gov/gene/?term=DDX18","NCBI")</f>
        <v>NCBI</v>
      </c>
      <c r="F4036">
        <v>2.9000000000000001E-2</v>
      </c>
      <c r="G4036">
        <v>0.12</v>
      </c>
      <c r="H4036" s="1" t="str">
        <f>HYPERLINK("http://www.weizmann.ac.il/complex/compphys/software/geview/data/figures/208896_at.png","Figure")</f>
        <v>Figure</v>
      </c>
      <c r="I4036">
        <v>0.51500000000000001</v>
      </c>
      <c r="J4036">
        <v>0.04</v>
      </c>
      <c r="K4036">
        <v>0.58499999999999996</v>
      </c>
      <c r="L4036">
        <v>5.8000000000000003E-2</v>
      </c>
      <c r="M4036">
        <v>1.1399999999999999</v>
      </c>
      <c r="N4036">
        <v>0.84</v>
      </c>
    </row>
    <row r="4037" spans="1:14" x14ac:dyDescent="0.25">
      <c r="A4037" t="s">
        <v>7353</v>
      </c>
      <c r="B4037" t="s">
        <v>7354</v>
      </c>
      <c r="C4037" s="1" t="str">
        <f>HYPERLINK("http://www.genecards.org/cgi-bin/carddisp.pl?gene=ARMC7","GeneCards")</f>
        <v>GeneCards</v>
      </c>
      <c r="D4037" s="1" t="str">
        <f>HYPERLINK("http://genome-euro.ucsc.edu/cgi-bin/hgTracks?position=219096_at","UCSC")</f>
        <v>UCSC</v>
      </c>
      <c r="E4037" s="1" t="str">
        <f>HYPERLINK("http://www.ncbi.nlm.nih.gov/gene/?term=ARMC7","NCBI")</f>
        <v>NCBI</v>
      </c>
      <c r="F4037">
        <v>2.9000000000000001E-2</v>
      </c>
      <c r="G4037">
        <v>0.12</v>
      </c>
      <c r="H4037" s="1" t="str">
        <f>HYPERLINK("http://www.weizmann.ac.il/complex/compphys/software/geview/data/figures/219096_at.png","Figure")</f>
        <v>Figure</v>
      </c>
      <c r="I4037">
        <v>1.22</v>
      </c>
      <c r="J4037">
        <v>7.9000000000000001E-2</v>
      </c>
      <c r="K4037">
        <v>1.23</v>
      </c>
      <c r="L4037">
        <v>3.2000000000000001E-2</v>
      </c>
      <c r="M4037">
        <v>1.01</v>
      </c>
      <c r="N4037">
        <v>0.99</v>
      </c>
    </row>
    <row r="4038" spans="1:14" x14ac:dyDescent="0.25">
      <c r="A4038" t="s">
        <v>7355</v>
      </c>
      <c r="B4038" t="s">
        <v>243</v>
      </c>
      <c r="C4038" s="1" t="str">
        <f>HYPERLINK("http://www.genecards.org/cgi-bin/carddisp.pl?gene=CLIC5","GeneCards")</f>
        <v>GeneCards</v>
      </c>
      <c r="D4038" s="1" t="str">
        <f>HYPERLINK("http://genome-euro.ucsc.edu/cgi-bin/hgTracks?position=217628_at","UCSC")</f>
        <v>UCSC</v>
      </c>
      <c r="E4038" s="1" t="str">
        <f>HYPERLINK("http://www.ncbi.nlm.nih.gov/gene/?term=CLIC5","NCBI")</f>
        <v>NCBI</v>
      </c>
      <c r="F4038">
        <v>2.9000000000000001E-2</v>
      </c>
      <c r="G4038">
        <v>0.12</v>
      </c>
      <c r="H4038" s="1" t="str">
        <f>HYPERLINK("http://www.weizmann.ac.il/complex/compphys/software/geview/data/figures/217628_at.png","Figure")</f>
        <v>Figure</v>
      </c>
      <c r="I4038">
        <v>0.94299999999999995</v>
      </c>
      <c r="J4038">
        <v>0.66</v>
      </c>
      <c r="K4038">
        <v>0.84099999999999997</v>
      </c>
      <c r="L4038">
        <v>2.7E-2</v>
      </c>
      <c r="M4038">
        <v>0.89100000000000001</v>
      </c>
      <c r="N4038">
        <v>0.19</v>
      </c>
    </row>
    <row r="4039" spans="1:14" x14ac:dyDescent="0.25">
      <c r="A4039" t="s">
        <v>7356</v>
      </c>
      <c r="B4039" t="s">
        <v>7357</v>
      </c>
      <c r="C4039" s="1" t="str">
        <f>HYPERLINK("http://www.genecards.org/cgi-bin/carddisp.pl?gene=CLEC1B","GeneCards")</f>
        <v>GeneCards</v>
      </c>
      <c r="D4039" s="1" t="str">
        <f>HYPERLINK("http://genome-euro.ucsc.edu/cgi-bin/hgTracks?position=220496_at","UCSC")</f>
        <v>UCSC</v>
      </c>
      <c r="E4039" s="1" t="str">
        <f>HYPERLINK("http://www.ncbi.nlm.nih.gov/gene/?term=CLEC1B","NCBI")</f>
        <v>NCBI</v>
      </c>
      <c r="F4039">
        <v>2.9000000000000001E-2</v>
      </c>
      <c r="G4039">
        <v>0.12</v>
      </c>
      <c r="H4039" s="1" t="str">
        <f>HYPERLINK("http://www.weizmann.ac.il/complex/compphys/software/geview/data/figures/220496_at.png","Figure")</f>
        <v>Figure</v>
      </c>
      <c r="I4039">
        <v>1.1399999999999999</v>
      </c>
      <c r="J4039">
        <v>6.2E-2</v>
      </c>
      <c r="K4039">
        <v>0.99</v>
      </c>
      <c r="L4039">
        <v>0.97</v>
      </c>
      <c r="M4039">
        <v>0.86799999999999999</v>
      </c>
      <c r="N4039">
        <v>3.1E-2</v>
      </c>
    </row>
    <row r="4040" spans="1:14" x14ac:dyDescent="0.25">
      <c r="A4040" t="s">
        <v>7358</v>
      </c>
      <c r="B4040" t="s">
        <v>7359</v>
      </c>
      <c r="C4040" s="1" t="str">
        <f>HYPERLINK("http://www.genecards.org/cgi-bin/carddisp.pl?gene=AUP1","GeneCards")</f>
        <v>GeneCards</v>
      </c>
      <c r="D4040" s="1" t="str">
        <f>HYPERLINK("http://genome-euro.ucsc.edu/cgi-bin/hgTracks?position=220525_s_at","UCSC")</f>
        <v>UCSC</v>
      </c>
      <c r="E4040" s="1" t="str">
        <f>HYPERLINK("http://www.ncbi.nlm.nih.gov/gene/?term=AUP1","NCBI")</f>
        <v>NCBI</v>
      </c>
      <c r="F4040">
        <v>2.9000000000000001E-2</v>
      </c>
      <c r="G4040">
        <v>0.12</v>
      </c>
      <c r="H4040" s="1" t="str">
        <f>HYPERLINK("http://www.weizmann.ac.il/complex/compphys/software/geview/data/figures/220525_s_at.png","Figure")</f>
        <v>Figure</v>
      </c>
      <c r="I4040">
        <v>1.27</v>
      </c>
      <c r="J4040">
        <v>2.5000000000000001E-2</v>
      </c>
      <c r="K4040">
        <v>1.07</v>
      </c>
      <c r="L4040">
        <v>0.59</v>
      </c>
      <c r="M4040">
        <v>0.84299999999999997</v>
      </c>
      <c r="N4040">
        <v>9.5000000000000001E-2</v>
      </c>
    </row>
    <row r="4041" spans="1:14" x14ac:dyDescent="0.25">
      <c r="A4041" t="s">
        <v>7360</v>
      </c>
      <c r="B4041" t="s">
        <v>7361</v>
      </c>
      <c r="C4041" s="1" t="str">
        <f>HYPERLINK("http://www.genecards.org/cgi-bin/carddisp.pl?gene=C14orf139","GeneCards")</f>
        <v>GeneCards</v>
      </c>
      <c r="D4041" s="1" t="str">
        <f>HYPERLINK("http://genome-euro.ucsc.edu/cgi-bin/hgTracks?position=219563_at","UCSC")</f>
        <v>UCSC</v>
      </c>
      <c r="E4041" s="1" t="str">
        <f>HYPERLINK("http://www.ncbi.nlm.nih.gov/gene/?term=C14orf139","NCBI")</f>
        <v>NCBI</v>
      </c>
      <c r="F4041">
        <v>2.9000000000000001E-2</v>
      </c>
      <c r="G4041">
        <v>0.12</v>
      </c>
      <c r="H4041" s="1" t="str">
        <f>HYPERLINK("http://www.weizmann.ac.il/complex/compphys/software/geview/data/figures/219563_at.png","Figure")</f>
        <v>Figure</v>
      </c>
      <c r="I4041">
        <v>0.80300000000000005</v>
      </c>
      <c r="J4041">
        <v>0.8</v>
      </c>
      <c r="K4041">
        <v>1.94</v>
      </c>
      <c r="L4041">
        <v>9.9000000000000005E-2</v>
      </c>
      <c r="M4041">
        <v>2.42</v>
      </c>
      <c r="N4041">
        <v>3.7999999999999999E-2</v>
      </c>
    </row>
    <row r="4042" spans="1:14" x14ac:dyDescent="0.25">
      <c r="A4042" t="s">
        <v>7362</v>
      </c>
      <c r="B4042" t="s">
        <v>7363</v>
      </c>
      <c r="C4042" s="1" t="str">
        <f>HYPERLINK("http://www.genecards.org/cgi-bin/carddisp.pl?gene=LOC100291393 /// SHC2","GeneCards")</f>
        <v>GeneCards</v>
      </c>
      <c r="D4042" s="1" t="str">
        <f>HYPERLINK("http://genome-euro.ucsc.edu/cgi-bin/hgTracks?position=213464_at","UCSC")</f>
        <v>UCSC</v>
      </c>
      <c r="E4042" s="1" t="str">
        <f>HYPERLINK("http://www.ncbi.nlm.nih.gov/gene/?term=LOC100291393 /// SHC2","NCBI")</f>
        <v>NCBI</v>
      </c>
      <c r="F4042">
        <v>2.9000000000000001E-2</v>
      </c>
      <c r="G4042">
        <v>0.12</v>
      </c>
      <c r="H4042" s="1" t="str">
        <f>HYPERLINK("http://www.weizmann.ac.il/complex/compphys/software/geview/data/figures/213464_at.png","Figure")</f>
        <v>Figure</v>
      </c>
      <c r="I4042">
        <v>1.4</v>
      </c>
      <c r="J4042">
        <v>2.4E-2</v>
      </c>
      <c r="K4042">
        <v>1.1299999999999999</v>
      </c>
      <c r="L4042">
        <v>0.44</v>
      </c>
      <c r="M4042">
        <v>0.80800000000000005</v>
      </c>
      <c r="N4042">
        <v>0.13</v>
      </c>
    </row>
    <row r="4043" spans="1:14" x14ac:dyDescent="0.25">
      <c r="A4043" t="s">
        <v>7364</v>
      </c>
      <c r="B4043" t="s">
        <v>2395</v>
      </c>
      <c r="C4043" s="1" t="str">
        <f>HYPERLINK("http://www.genecards.org/cgi-bin/carddisp.pl?gene=ARHGEF12","GeneCards")</f>
        <v>GeneCards</v>
      </c>
      <c r="D4043" s="1" t="str">
        <f>HYPERLINK("http://genome-euro.ucsc.edu/cgi-bin/hgTracks?position=201333_s_at","UCSC")</f>
        <v>UCSC</v>
      </c>
      <c r="E4043" s="1" t="str">
        <f>HYPERLINK("http://www.ncbi.nlm.nih.gov/gene/?term=ARHGEF12","NCBI")</f>
        <v>NCBI</v>
      </c>
      <c r="F4043">
        <v>2.9000000000000001E-2</v>
      </c>
      <c r="G4043">
        <v>0.12</v>
      </c>
      <c r="H4043" s="1" t="str">
        <f>HYPERLINK("http://www.weizmann.ac.il/complex/compphys/software/geview/data/figures/201333_s_at.png","Figure")</f>
        <v>Figure</v>
      </c>
      <c r="I4043">
        <v>1.1399999999999999</v>
      </c>
      <c r="J4043">
        <v>0.3</v>
      </c>
      <c r="K4043">
        <v>0.89400000000000002</v>
      </c>
      <c r="L4043">
        <v>0.33</v>
      </c>
      <c r="M4043">
        <v>0.78200000000000003</v>
      </c>
      <c r="N4043">
        <v>2.4E-2</v>
      </c>
    </row>
    <row r="4044" spans="1:14" x14ac:dyDescent="0.25">
      <c r="A4044" t="s">
        <v>7365</v>
      </c>
      <c r="B4044" t="s">
        <v>7366</v>
      </c>
      <c r="C4044" s="1" t="str">
        <f>HYPERLINK("http://www.genecards.org/cgi-bin/carddisp.pl?gene=ARFRP1","GeneCards")</f>
        <v>GeneCards</v>
      </c>
      <c r="D4044" s="1" t="str">
        <f>HYPERLINK("http://genome-euro.ucsc.edu/cgi-bin/hgTracks?position=203174_s_at","UCSC")</f>
        <v>UCSC</v>
      </c>
      <c r="E4044" s="1" t="str">
        <f>HYPERLINK("http://www.ncbi.nlm.nih.gov/gene/?term=ARFRP1","NCBI")</f>
        <v>NCBI</v>
      </c>
      <c r="F4044">
        <v>2.9000000000000001E-2</v>
      </c>
      <c r="G4044">
        <v>0.12</v>
      </c>
      <c r="H4044" s="1" t="str">
        <f>HYPERLINK("http://www.weizmann.ac.il/complex/compphys/software/geview/data/figures/203174_s_at.png","Figure")</f>
        <v>Figure</v>
      </c>
      <c r="I4044">
        <v>1.49</v>
      </c>
      <c r="J4044">
        <v>2.4E-2</v>
      </c>
      <c r="K4044">
        <v>1.24</v>
      </c>
      <c r="L4044">
        <v>0.18</v>
      </c>
      <c r="M4044">
        <v>0.83199999999999996</v>
      </c>
      <c r="N4044">
        <v>0.32</v>
      </c>
    </row>
    <row r="4045" spans="1:14" x14ac:dyDescent="0.25">
      <c r="A4045" t="s">
        <v>7367</v>
      </c>
      <c r="B4045" t="s">
        <v>7368</v>
      </c>
      <c r="C4045" s="1" t="str">
        <f>HYPERLINK("http://www.genecards.org/cgi-bin/carddisp.pl?gene=SF3B2","GeneCards")</f>
        <v>GeneCards</v>
      </c>
      <c r="D4045" s="1" t="str">
        <f>HYPERLINK("http://genome-euro.ucsc.edu/cgi-bin/hgTracks?position=200619_at","UCSC")</f>
        <v>UCSC</v>
      </c>
      <c r="E4045" s="1" t="str">
        <f>HYPERLINK("http://www.ncbi.nlm.nih.gov/gene/?term=SF3B2","NCBI")</f>
        <v>NCBI</v>
      </c>
      <c r="F4045">
        <v>2.9000000000000001E-2</v>
      </c>
      <c r="G4045">
        <v>0.12</v>
      </c>
      <c r="H4045" s="1" t="str">
        <f>HYPERLINK("http://www.weizmann.ac.il/complex/compphys/software/geview/data/figures/200619_at.png","Figure")</f>
        <v>Figure</v>
      </c>
      <c r="I4045">
        <v>1.46</v>
      </c>
      <c r="J4045">
        <v>2.3E-2</v>
      </c>
      <c r="K4045">
        <v>1.2</v>
      </c>
      <c r="L4045">
        <v>0.26</v>
      </c>
      <c r="M4045">
        <v>0.81699999999999995</v>
      </c>
      <c r="N4045">
        <v>0.23</v>
      </c>
    </row>
    <row r="4046" spans="1:14" x14ac:dyDescent="0.25">
      <c r="A4046" t="s">
        <v>7369</v>
      </c>
      <c r="B4046" t="s">
        <v>7370</v>
      </c>
      <c r="C4046" s="1" t="str">
        <f>HYPERLINK("http://www.genecards.org/cgi-bin/carddisp.pl?gene=LOC728361","GeneCards")</f>
        <v>GeneCards</v>
      </c>
      <c r="D4046" s="1" t="str">
        <f>HYPERLINK("http://genome-euro.ucsc.edu/cgi-bin/hgTracks?position=216311_at","UCSC")</f>
        <v>UCSC</v>
      </c>
      <c r="E4046" s="1" t="str">
        <f>HYPERLINK("http://www.ncbi.nlm.nih.gov/gene/?term=LOC728361","NCBI")</f>
        <v>NCBI</v>
      </c>
      <c r="F4046">
        <v>2.9000000000000001E-2</v>
      </c>
      <c r="G4046">
        <v>0.12</v>
      </c>
      <c r="H4046" s="1" t="str">
        <f>HYPERLINK("http://www.weizmann.ac.il/complex/compphys/software/geview/data/figures/216311_at.png","Figure")</f>
        <v>Figure</v>
      </c>
      <c r="I4046">
        <v>1.24</v>
      </c>
      <c r="J4046">
        <v>2.4E-2</v>
      </c>
      <c r="K4046">
        <v>1.07</v>
      </c>
      <c r="L4046">
        <v>0.5</v>
      </c>
      <c r="M4046">
        <v>0.86599999999999999</v>
      </c>
      <c r="N4046">
        <v>0.12</v>
      </c>
    </row>
    <row r="4047" spans="1:14" x14ac:dyDescent="0.25">
      <c r="A4047" t="s">
        <v>7371</v>
      </c>
      <c r="B4047" t="s">
        <v>4915</v>
      </c>
      <c r="C4047" s="1" t="str">
        <f>HYPERLINK("http://www.genecards.org/cgi-bin/carddisp.pl?gene=GOLGA2","GeneCards")</f>
        <v>GeneCards</v>
      </c>
      <c r="D4047" s="1" t="str">
        <f>HYPERLINK("http://genome-euro.ucsc.edu/cgi-bin/hgTracks?position=35436_at","UCSC")</f>
        <v>UCSC</v>
      </c>
      <c r="E4047" s="1" t="str">
        <f>HYPERLINK("http://www.ncbi.nlm.nih.gov/gene/?term=GOLGA2","NCBI")</f>
        <v>NCBI</v>
      </c>
      <c r="F4047">
        <v>2.9000000000000001E-2</v>
      </c>
      <c r="G4047">
        <v>0.12</v>
      </c>
      <c r="H4047" s="1" t="str">
        <f>HYPERLINK("http://www.weizmann.ac.il/complex/compphys/software/geview/data/figures/35436_at.png","Figure")</f>
        <v>Figure</v>
      </c>
      <c r="I4047">
        <v>1.32</v>
      </c>
      <c r="J4047">
        <v>0.11</v>
      </c>
      <c r="K4047">
        <v>0.92100000000000004</v>
      </c>
      <c r="L4047">
        <v>0.74</v>
      </c>
      <c r="M4047">
        <v>0.69899999999999995</v>
      </c>
      <c r="N4047">
        <v>2.4E-2</v>
      </c>
    </row>
    <row r="4048" spans="1:14" x14ac:dyDescent="0.25">
      <c r="A4048" t="s">
        <v>7372</v>
      </c>
      <c r="B4048" t="s">
        <v>7373</v>
      </c>
      <c r="C4048" s="1" t="str">
        <f>HYPERLINK("http://www.genecards.org/cgi-bin/carddisp.pl?gene=JAKMIP2","GeneCards")</f>
        <v>GeneCards</v>
      </c>
      <c r="D4048" s="1" t="str">
        <f>HYPERLINK("http://genome-euro.ucsc.edu/cgi-bin/hgTracks?position=205888_s_at","UCSC")</f>
        <v>UCSC</v>
      </c>
      <c r="E4048" s="1" t="str">
        <f>HYPERLINK("http://www.ncbi.nlm.nih.gov/gene/?term=JAKMIP2","NCBI")</f>
        <v>NCBI</v>
      </c>
      <c r="F4048">
        <v>2.9000000000000001E-2</v>
      </c>
      <c r="G4048">
        <v>0.12</v>
      </c>
      <c r="H4048" s="1" t="str">
        <f>HYPERLINK("http://www.weizmann.ac.il/complex/compphys/software/geview/data/figures/205888_s_at.png","Figure")</f>
        <v>Figure</v>
      </c>
      <c r="I4048">
        <v>0.94499999999999995</v>
      </c>
      <c r="J4048">
        <v>0.55000000000000004</v>
      </c>
      <c r="K4048">
        <v>1.0900000000000001</v>
      </c>
      <c r="L4048">
        <v>0.17</v>
      </c>
      <c r="M4048">
        <v>1.1599999999999999</v>
      </c>
      <c r="N4048">
        <v>2.9000000000000001E-2</v>
      </c>
    </row>
    <row r="4049" spans="1:14" x14ac:dyDescent="0.25">
      <c r="A4049" t="s">
        <v>7374</v>
      </c>
      <c r="B4049" t="s">
        <v>6231</v>
      </c>
      <c r="C4049" s="1" t="str">
        <f>HYPERLINK("http://www.genecards.org/cgi-bin/carddisp.pl?gene=SFTPC","GeneCards")</f>
        <v>GeneCards</v>
      </c>
      <c r="D4049" s="1" t="str">
        <f>HYPERLINK("http://genome-euro.ucsc.edu/cgi-bin/hgTracks?position=205982_x_at","UCSC")</f>
        <v>UCSC</v>
      </c>
      <c r="E4049" s="1" t="str">
        <f>HYPERLINK("http://www.ncbi.nlm.nih.gov/gene/?term=SFTPC","NCBI")</f>
        <v>NCBI</v>
      </c>
      <c r="F4049">
        <v>2.9000000000000001E-2</v>
      </c>
      <c r="G4049">
        <v>0.12</v>
      </c>
      <c r="H4049" s="1" t="str">
        <f>HYPERLINK("http://www.weizmann.ac.il/complex/compphys/software/geview/data/figures/205982_x_at.png","Figure")</f>
        <v>Figure</v>
      </c>
      <c r="I4049">
        <v>1.1399999999999999</v>
      </c>
      <c r="J4049">
        <v>4.7E-2</v>
      </c>
      <c r="K4049">
        <v>1.1200000000000001</v>
      </c>
      <c r="L4049">
        <v>4.9000000000000002E-2</v>
      </c>
      <c r="M4049">
        <v>0.98299999999999998</v>
      </c>
      <c r="N4049">
        <v>0.92</v>
      </c>
    </row>
    <row r="4050" spans="1:14" x14ac:dyDescent="0.25">
      <c r="A4050" t="s">
        <v>7375</v>
      </c>
      <c r="B4050" t="s">
        <v>7376</v>
      </c>
      <c r="C4050" s="1" t="str">
        <f>HYPERLINK("http://www.genecards.org/cgi-bin/carddisp.pl?gene=CERK","GeneCards")</f>
        <v>GeneCards</v>
      </c>
      <c r="D4050" s="1" t="str">
        <f>HYPERLINK("http://genome-euro.ucsc.edu/cgi-bin/hgTracks?position=218421_at","UCSC")</f>
        <v>UCSC</v>
      </c>
      <c r="E4050" s="1" t="str">
        <f>HYPERLINK("http://www.ncbi.nlm.nih.gov/gene/?term=CERK","NCBI")</f>
        <v>NCBI</v>
      </c>
      <c r="F4050">
        <v>2.9000000000000001E-2</v>
      </c>
      <c r="G4050">
        <v>0.12</v>
      </c>
      <c r="H4050" s="1" t="str">
        <f>HYPERLINK("http://www.weizmann.ac.il/complex/compphys/software/geview/data/figures/218421_at.png","Figure")</f>
        <v>Figure</v>
      </c>
      <c r="I4050">
        <v>1.73</v>
      </c>
      <c r="J4050">
        <v>4.4999999999999998E-2</v>
      </c>
      <c r="K4050">
        <v>1.6</v>
      </c>
      <c r="L4050">
        <v>5.0999999999999997E-2</v>
      </c>
      <c r="M4050">
        <v>0.92200000000000004</v>
      </c>
      <c r="N4050">
        <v>0.9</v>
      </c>
    </row>
    <row r="4051" spans="1:14" x14ac:dyDescent="0.25">
      <c r="A4051" t="s">
        <v>7377</v>
      </c>
      <c r="B4051" t="s">
        <v>7378</v>
      </c>
      <c r="C4051" s="1" t="str">
        <f>HYPERLINK("http://www.genecards.org/cgi-bin/carddisp.pl?gene=ZNF428","GeneCards")</f>
        <v>GeneCards</v>
      </c>
      <c r="D4051" s="1" t="str">
        <f>HYPERLINK("http://genome-euro.ucsc.edu/cgi-bin/hgTracks?position=215429_s_at","UCSC")</f>
        <v>UCSC</v>
      </c>
      <c r="E4051" s="1" t="str">
        <f>HYPERLINK("http://www.ncbi.nlm.nih.gov/gene/?term=ZNF428","NCBI")</f>
        <v>NCBI</v>
      </c>
      <c r="F4051">
        <v>2.9000000000000001E-2</v>
      </c>
      <c r="G4051">
        <v>0.12</v>
      </c>
      <c r="H4051" s="1" t="str">
        <f>HYPERLINK("http://www.weizmann.ac.il/complex/compphys/software/geview/data/figures/215429_s_at.png","Figure")</f>
        <v>Figure</v>
      </c>
      <c r="I4051">
        <v>1.44</v>
      </c>
      <c r="J4051">
        <v>2.3E-2</v>
      </c>
      <c r="K4051">
        <v>1.17</v>
      </c>
      <c r="L4051">
        <v>0.32</v>
      </c>
      <c r="M4051">
        <v>0.81200000000000006</v>
      </c>
      <c r="N4051">
        <v>0.19</v>
      </c>
    </row>
    <row r="4052" spans="1:14" x14ac:dyDescent="0.25">
      <c r="A4052" t="s">
        <v>7379</v>
      </c>
      <c r="B4052" t="s">
        <v>7380</v>
      </c>
      <c r="C4052" s="1" t="str">
        <f>HYPERLINK("http://www.genecards.org/cgi-bin/carddisp.pl?gene=PHF3","GeneCards")</f>
        <v>GeneCards</v>
      </c>
      <c r="D4052" s="1" t="str">
        <f>HYPERLINK("http://genome-euro.ucsc.edu/cgi-bin/hgTracks?position=217952_x_at","UCSC")</f>
        <v>UCSC</v>
      </c>
      <c r="E4052" s="1" t="str">
        <f>HYPERLINK("http://www.ncbi.nlm.nih.gov/gene/?term=PHF3","NCBI")</f>
        <v>NCBI</v>
      </c>
      <c r="F4052">
        <v>2.9000000000000001E-2</v>
      </c>
      <c r="G4052">
        <v>0.12</v>
      </c>
      <c r="H4052" s="1" t="str">
        <f>HYPERLINK("http://www.weizmann.ac.il/complex/compphys/software/geview/data/figures/217952_x_at.png","Figure")</f>
        <v>Figure</v>
      </c>
      <c r="I4052">
        <v>0.76900000000000002</v>
      </c>
      <c r="J4052">
        <v>0.28999999999999998</v>
      </c>
      <c r="K4052">
        <v>0.63900000000000001</v>
      </c>
      <c r="L4052">
        <v>2.3E-2</v>
      </c>
      <c r="M4052">
        <v>0.83099999999999996</v>
      </c>
      <c r="N4052">
        <v>0.48</v>
      </c>
    </row>
    <row r="4053" spans="1:14" x14ac:dyDescent="0.25">
      <c r="A4053" t="s">
        <v>7381</v>
      </c>
      <c r="B4053" t="s">
        <v>7382</v>
      </c>
      <c r="C4053" s="1" t="str">
        <f>HYPERLINK("http://www.genecards.org/cgi-bin/carddisp.pl?gene=TSP50","GeneCards")</f>
        <v>GeneCards</v>
      </c>
      <c r="D4053" s="1" t="str">
        <f>HYPERLINK("http://genome-euro.ucsc.edu/cgi-bin/hgTracks?position=220126_at","UCSC")</f>
        <v>UCSC</v>
      </c>
      <c r="E4053" s="1" t="str">
        <f>HYPERLINK("http://www.ncbi.nlm.nih.gov/gene/?term=TSP50","NCBI")</f>
        <v>NCBI</v>
      </c>
      <c r="F4053">
        <v>2.9000000000000001E-2</v>
      </c>
      <c r="G4053">
        <v>0.12</v>
      </c>
      <c r="H4053" s="1" t="str">
        <f>HYPERLINK("http://www.weizmann.ac.il/complex/compphys/software/geview/data/figures/220126_at.png","Figure")</f>
        <v>Figure</v>
      </c>
      <c r="I4053">
        <v>1.3</v>
      </c>
      <c r="J4053">
        <v>2.9000000000000001E-2</v>
      </c>
      <c r="K4053">
        <v>1.19</v>
      </c>
      <c r="L4053">
        <v>0.1</v>
      </c>
      <c r="M4053">
        <v>0.91600000000000004</v>
      </c>
      <c r="N4053">
        <v>0.55000000000000004</v>
      </c>
    </row>
    <row r="4054" spans="1:14" x14ac:dyDescent="0.25">
      <c r="A4054" t="s">
        <v>7383</v>
      </c>
      <c r="B4054" t="s">
        <v>7384</v>
      </c>
      <c r="C4054" s="1" t="str">
        <f>HYPERLINK("http://www.genecards.org/cgi-bin/carddisp.pl?gene=MMP14","GeneCards")</f>
        <v>GeneCards</v>
      </c>
      <c r="D4054" s="1" t="str">
        <f>HYPERLINK("http://genome-euro.ucsc.edu/cgi-bin/hgTracks?position=160020_at","UCSC")</f>
        <v>UCSC</v>
      </c>
      <c r="E4054" s="1" t="str">
        <f>HYPERLINK("http://www.ncbi.nlm.nih.gov/gene/?term=MMP14","NCBI")</f>
        <v>NCBI</v>
      </c>
      <c r="F4054">
        <v>2.9000000000000001E-2</v>
      </c>
      <c r="G4054">
        <v>0.12</v>
      </c>
      <c r="H4054" s="1" t="str">
        <f>HYPERLINK("http://www.weizmann.ac.il/complex/compphys/software/geview/data/figures/160020_at.png","Figure")</f>
        <v>Figure</v>
      </c>
      <c r="I4054">
        <v>1.44</v>
      </c>
      <c r="J4054">
        <v>2.3E-2</v>
      </c>
      <c r="K4054">
        <v>1.1499999999999999</v>
      </c>
      <c r="L4054">
        <v>0.38</v>
      </c>
      <c r="M4054">
        <v>0.80100000000000005</v>
      </c>
      <c r="N4054">
        <v>0.15</v>
      </c>
    </row>
    <row r="4055" spans="1:14" x14ac:dyDescent="0.25">
      <c r="A4055" t="s">
        <v>7385</v>
      </c>
      <c r="B4055" t="s">
        <v>3146</v>
      </c>
      <c r="C4055" s="1" t="str">
        <f>HYPERLINK("http://www.genecards.org/cgi-bin/carddisp.pl?gene=TRIM62","GeneCards")</f>
        <v>GeneCards</v>
      </c>
      <c r="D4055" s="1" t="str">
        <f>HYPERLINK("http://genome-euro.ucsc.edu/cgi-bin/hgTracks?position=58308_at","UCSC")</f>
        <v>UCSC</v>
      </c>
      <c r="E4055" s="1" t="str">
        <f>HYPERLINK("http://www.ncbi.nlm.nih.gov/gene/?term=TRIM62","NCBI")</f>
        <v>NCBI</v>
      </c>
      <c r="F4055">
        <v>2.9000000000000001E-2</v>
      </c>
      <c r="G4055">
        <v>0.12</v>
      </c>
      <c r="H4055" s="1" t="str">
        <f>HYPERLINK("http://www.weizmann.ac.il/complex/compphys/software/geview/data/figures/58308_at.png","Figure")</f>
        <v>Figure</v>
      </c>
      <c r="I4055">
        <v>1.2</v>
      </c>
      <c r="J4055">
        <v>2.7E-2</v>
      </c>
      <c r="K4055">
        <v>1.05</v>
      </c>
      <c r="L4055">
        <v>0.65</v>
      </c>
      <c r="M4055">
        <v>0.874</v>
      </c>
      <c r="N4055">
        <v>8.4000000000000005E-2</v>
      </c>
    </row>
    <row r="4056" spans="1:14" x14ac:dyDescent="0.25">
      <c r="A4056" t="s">
        <v>7386</v>
      </c>
      <c r="B4056" t="s">
        <v>7387</v>
      </c>
      <c r="C4056" s="1" t="str">
        <f>HYPERLINK("http://www.genecards.org/cgi-bin/carddisp.pl?gene=CGRRF1","GeneCards")</f>
        <v>GeneCards</v>
      </c>
      <c r="D4056" s="1" t="str">
        <f>HYPERLINK("http://genome-euro.ucsc.edu/cgi-bin/hgTracks?position=204605_at","UCSC")</f>
        <v>UCSC</v>
      </c>
      <c r="E4056" s="1" t="str">
        <f>HYPERLINK("http://www.ncbi.nlm.nih.gov/gene/?term=CGRRF1","NCBI")</f>
        <v>NCBI</v>
      </c>
      <c r="F4056">
        <v>2.9000000000000001E-2</v>
      </c>
      <c r="G4056">
        <v>0.12</v>
      </c>
      <c r="H4056" s="1" t="str">
        <f>HYPERLINK("http://www.weizmann.ac.il/complex/compphys/software/geview/data/figures/204605_at.png","Figure")</f>
        <v>Figure</v>
      </c>
      <c r="I4056">
        <v>0.443</v>
      </c>
      <c r="J4056">
        <v>0.03</v>
      </c>
      <c r="K4056">
        <v>0.57599999999999996</v>
      </c>
      <c r="L4056">
        <v>9.6000000000000002E-2</v>
      </c>
      <c r="M4056">
        <v>1.3</v>
      </c>
      <c r="N4056">
        <v>0.57999999999999996</v>
      </c>
    </row>
    <row r="4057" spans="1:14" x14ac:dyDescent="0.25">
      <c r="A4057" t="s">
        <v>7388</v>
      </c>
      <c r="B4057" t="s">
        <v>7389</v>
      </c>
      <c r="C4057" s="1" t="str">
        <f>HYPERLINK("http://www.genecards.org/cgi-bin/carddisp.pl?gene=DEFA4","GeneCards")</f>
        <v>GeneCards</v>
      </c>
      <c r="D4057" s="1" t="str">
        <f>HYPERLINK("http://genome-euro.ucsc.edu/cgi-bin/hgTracks?position=207269_at","UCSC")</f>
        <v>UCSC</v>
      </c>
      <c r="E4057" s="1" t="str">
        <f>HYPERLINK("http://www.ncbi.nlm.nih.gov/gene/?term=DEFA4","NCBI")</f>
        <v>NCBI</v>
      </c>
      <c r="F4057">
        <v>2.9000000000000001E-2</v>
      </c>
      <c r="G4057">
        <v>0.12</v>
      </c>
      <c r="H4057" s="1" t="str">
        <f>HYPERLINK("http://www.weizmann.ac.il/complex/compphys/software/geview/data/figures/207269_at.png","Figure")</f>
        <v>Figure</v>
      </c>
      <c r="I4057">
        <v>1.25</v>
      </c>
      <c r="J4057">
        <v>0.26</v>
      </c>
      <c r="K4057">
        <v>0.85299999999999998</v>
      </c>
      <c r="L4057">
        <v>0.38</v>
      </c>
      <c r="M4057">
        <v>0.68400000000000005</v>
      </c>
      <c r="N4057">
        <v>2.3E-2</v>
      </c>
    </row>
    <row r="4058" spans="1:14" x14ac:dyDescent="0.25">
      <c r="A4058" t="s">
        <v>7390</v>
      </c>
      <c r="B4058" t="s">
        <v>7391</v>
      </c>
      <c r="C4058" s="1" t="str">
        <f>HYPERLINK("http://www.genecards.org/cgi-bin/carddisp.pl?gene=RPS4P6 /// RPS4X","GeneCards")</f>
        <v>GeneCards</v>
      </c>
      <c r="D4058" s="1" t="str">
        <f>HYPERLINK("http://genome-euro.ucsc.edu/cgi-bin/hgTracks?position=217019_at","UCSC")</f>
        <v>UCSC</v>
      </c>
      <c r="E4058" s="1" t="str">
        <f>HYPERLINK("http://www.ncbi.nlm.nih.gov/gene/?term=RPS4P6 /// RPS4X","NCBI")</f>
        <v>NCBI</v>
      </c>
      <c r="F4058">
        <v>2.9000000000000001E-2</v>
      </c>
      <c r="G4058">
        <v>0.12</v>
      </c>
      <c r="H4058" s="1" t="str">
        <f>HYPERLINK("http://www.weizmann.ac.il/complex/compphys/software/geview/data/figures/217019_at.png","Figure")</f>
        <v>Figure</v>
      </c>
      <c r="I4058">
        <v>0.92700000000000005</v>
      </c>
      <c r="J4058">
        <v>0.05</v>
      </c>
      <c r="K4058">
        <v>1</v>
      </c>
      <c r="L4058">
        <v>1</v>
      </c>
      <c r="M4058">
        <v>1.08</v>
      </c>
      <c r="N4058">
        <v>3.5999999999999997E-2</v>
      </c>
    </row>
    <row r="4059" spans="1:14" x14ac:dyDescent="0.25">
      <c r="A4059" t="s">
        <v>7392</v>
      </c>
      <c r="B4059" t="s">
        <v>7393</v>
      </c>
      <c r="C4059" s="1" t="str">
        <f>HYPERLINK("http://www.genecards.org/cgi-bin/carddisp.pl?gene=CENPM","GeneCards")</f>
        <v>GeneCards</v>
      </c>
      <c r="D4059" s="1" t="str">
        <f>HYPERLINK("http://genome-euro.ucsc.edu/cgi-bin/hgTracks?position=218741_at","UCSC")</f>
        <v>UCSC</v>
      </c>
      <c r="E4059" s="1" t="str">
        <f>HYPERLINK("http://www.ncbi.nlm.nih.gov/gene/?term=CENPM","NCBI")</f>
        <v>NCBI</v>
      </c>
      <c r="F4059">
        <v>2.9000000000000001E-2</v>
      </c>
      <c r="G4059">
        <v>0.12</v>
      </c>
      <c r="H4059" s="1" t="str">
        <f>HYPERLINK("http://www.weizmann.ac.il/complex/compphys/software/geview/data/figures/218741_at.png","Figure")</f>
        <v>Figure</v>
      </c>
      <c r="I4059">
        <v>1.3</v>
      </c>
      <c r="J4059">
        <v>0.31</v>
      </c>
      <c r="K4059">
        <v>1.57</v>
      </c>
      <c r="L4059">
        <v>2.3E-2</v>
      </c>
      <c r="M4059">
        <v>1.21</v>
      </c>
      <c r="N4059">
        <v>0.47</v>
      </c>
    </row>
    <row r="4060" spans="1:14" x14ac:dyDescent="0.25">
      <c r="A4060" t="s">
        <v>7394</v>
      </c>
      <c r="B4060" t="s">
        <v>7395</v>
      </c>
      <c r="C4060" s="1" t="str">
        <f>HYPERLINK("http://www.genecards.org/cgi-bin/carddisp.pl?gene=SETD1B","GeneCards")</f>
        <v>GeneCards</v>
      </c>
      <c r="D4060" s="1" t="str">
        <f>HYPERLINK("http://genome-euro.ucsc.edu/cgi-bin/hgTracks?position=213153_at","UCSC")</f>
        <v>UCSC</v>
      </c>
      <c r="E4060" s="1" t="str">
        <f>HYPERLINK("http://www.ncbi.nlm.nih.gov/gene/?term=SETD1B","NCBI")</f>
        <v>NCBI</v>
      </c>
      <c r="F4060">
        <v>2.9000000000000001E-2</v>
      </c>
      <c r="G4060">
        <v>0.12</v>
      </c>
      <c r="H4060" s="1" t="str">
        <f>HYPERLINK("http://www.weizmann.ac.il/complex/compphys/software/geview/data/figures/213153_at.png","Figure")</f>
        <v>Figure</v>
      </c>
      <c r="I4060">
        <v>1.1000000000000001</v>
      </c>
      <c r="J4060">
        <v>0.95</v>
      </c>
      <c r="K4060">
        <v>0.52200000000000002</v>
      </c>
      <c r="L4060">
        <v>6.8000000000000005E-2</v>
      </c>
      <c r="M4060">
        <v>0.47599999999999998</v>
      </c>
      <c r="N4060">
        <v>5.0999999999999997E-2</v>
      </c>
    </row>
    <row r="4061" spans="1:14" x14ac:dyDescent="0.25">
      <c r="A4061" t="s">
        <v>7396</v>
      </c>
      <c r="B4061" t="s">
        <v>7397</v>
      </c>
      <c r="C4061" s="1" t="str">
        <f>HYPERLINK("http://www.genecards.org/cgi-bin/carddisp.pl?gene=AP2S1","GeneCards")</f>
        <v>GeneCards</v>
      </c>
      <c r="D4061" s="1" t="str">
        <f>HYPERLINK("http://genome-euro.ucsc.edu/cgi-bin/hgTracks?position=202120_x_at","UCSC")</f>
        <v>UCSC</v>
      </c>
      <c r="E4061" s="1" t="str">
        <f>HYPERLINK("http://www.ncbi.nlm.nih.gov/gene/?term=AP2S1","NCBI")</f>
        <v>NCBI</v>
      </c>
      <c r="F4061">
        <v>2.9000000000000001E-2</v>
      </c>
      <c r="G4061">
        <v>0.12</v>
      </c>
      <c r="H4061" s="1" t="str">
        <f>HYPERLINK("http://www.weizmann.ac.il/complex/compphys/software/geview/data/figures/202120_x_at.png","Figure")</f>
        <v>Figure</v>
      </c>
      <c r="I4061">
        <v>1.38</v>
      </c>
      <c r="J4061">
        <v>6.0999999999999999E-2</v>
      </c>
      <c r="K4061">
        <v>1.36</v>
      </c>
      <c r="L4061">
        <v>3.9E-2</v>
      </c>
      <c r="M4061">
        <v>0.98699999999999999</v>
      </c>
      <c r="N4061">
        <v>0.99</v>
      </c>
    </row>
    <row r="4062" spans="1:14" x14ac:dyDescent="0.25">
      <c r="A4062" t="s">
        <v>7398</v>
      </c>
      <c r="B4062" t="s">
        <v>7399</v>
      </c>
      <c r="C4062" s="1" t="str">
        <f>HYPERLINK("http://www.genecards.org/cgi-bin/carddisp.pl?gene=UGT1A1 /// UGT1A10 /// UGT1A4 /// UGT1A6 /// UGT1A8 /// UGT1A9","GeneCards")</f>
        <v>GeneCards</v>
      </c>
      <c r="D4062" s="1" t="str">
        <f>HYPERLINK("http://genome-euro.ucsc.edu/cgi-bin/hgTracks?position=204532_x_at","UCSC")</f>
        <v>UCSC</v>
      </c>
      <c r="E4062" s="1" t="str">
        <f>HYPERLINK("http://www.ncbi.nlm.nih.gov/gene/?term=UGT1A1 /// UGT1A10 /// UGT1A4 /// UGT1A6 /// UGT1A8 /// UGT1A9","NCBI")</f>
        <v>NCBI</v>
      </c>
      <c r="F4062">
        <v>2.9000000000000001E-2</v>
      </c>
      <c r="G4062">
        <v>0.12</v>
      </c>
      <c r="H4062" s="1" t="str">
        <f>HYPERLINK("http://www.weizmann.ac.il/complex/compphys/software/geview/data/figures/204532_x_at.png","Figure")</f>
        <v>Figure</v>
      </c>
      <c r="I4062">
        <v>1.1499999999999999</v>
      </c>
      <c r="J4062">
        <v>0.09</v>
      </c>
      <c r="K4062">
        <v>0.97099999999999997</v>
      </c>
      <c r="L4062">
        <v>0.85</v>
      </c>
      <c r="M4062">
        <v>0.84499999999999997</v>
      </c>
      <c r="N4062">
        <v>2.5999999999999999E-2</v>
      </c>
    </row>
    <row r="4063" spans="1:14" x14ac:dyDescent="0.25">
      <c r="A4063" t="s">
        <v>7400</v>
      </c>
      <c r="B4063" t="s">
        <v>7401</v>
      </c>
      <c r="C4063" s="1" t="str">
        <f>HYPERLINK("http://www.genecards.org/cgi-bin/carddisp.pl?gene=HOXC5","GeneCards")</f>
        <v>GeneCards</v>
      </c>
      <c r="D4063" s="1" t="str">
        <f>HYPERLINK("http://genome-euro.ucsc.edu/cgi-bin/hgTracks?position=206739_at","UCSC")</f>
        <v>UCSC</v>
      </c>
      <c r="E4063" s="1" t="str">
        <f>HYPERLINK("http://www.ncbi.nlm.nih.gov/gene/?term=HOXC5","NCBI")</f>
        <v>NCBI</v>
      </c>
      <c r="F4063">
        <v>2.9000000000000001E-2</v>
      </c>
      <c r="G4063">
        <v>0.12</v>
      </c>
      <c r="H4063" s="1" t="str">
        <f>HYPERLINK("http://www.weizmann.ac.il/complex/compphys/software/geview/data/figures/206739_at.png","Figure")</f>
        <v>Figure</v>
      </c>
      <c r="I4063">
        <v>1.21</v>
      </c>
      <c r="J4063">
        <v>3.5999999999999997E-2</v>
      </c>
      <c r="K4063">
        <v>1.03</v>
      </c>
      <c r="L4063">
        <v>0.91</v>
      </c>
      <c r="M4063">
        <v>0.84499999999999997</v>
      </c>
      <c r="N4063">
        <v>5.0999999999999997E-2</v>
      </c>
    </row>
    <row r="4064" spans="1:14" x14ac:dyDescent="0.25">
      <c r="A4064" t="s">
        <v>7402</v>
      </c>
      <c r="B4064" t="s">
        <v>7403</v>
      </c>
      <c r="C4064" s="1" t="str">
        <f>HYPERLINK("http://www.genecards.org/cgi-bin/carddisp.pl?gene=LIMS1","GeneCards")</f>
        <v>GeneCards</v>
      </c>
      <c r="D4064" s="1" t="str">
        <f>HYPERLINK("http://genome-euro.ucsc.edu/cgi-bin/hgTracks?position=207198_s_at","UCSC")</f>
        <v>UCSC</v>
      </c>
      <c r="E4064" s="1" t="str">
        <f>HYPERLINK("http://www.ncbi.nlm.nih.gov/gene/?term=LIMS1","NCBI")</f>
        <v>NCBI</v>
      </c>
      <c r="F4064">
        <v>2.9000000000000001E-2</v>
      </c>
      <c r="G4064">
        <v>0.12</v>
      </c>
      <c r="H4064" s="1" t="str">
        <f>HYPERLINK("http://www.weizmann.ac.il/complex/compphys/software/geview/data/figures/207198_s_at.png","Figure")</f>
        <v>Figure</v>
      </c>
      <c r="I4064">
        <v>1.17</v>
      </c>
      <c r="J4064">
        <v>0.21</v>
      </c>
      <c r="K4064">
        <v>1.26</v>
      </c>
      <c r="L4064">
        <v>2.4E-2</v>
      </c>
      <c r="M4064">
        <v>1.08</v>
      </c>
      <c r="N4064">
        <v>0.63</v>
      </c>
    </row>
    <row r="4065" spans="1:14" x14ac:dyDescent="0.25">
      <c r="A4065" t="s">
        <v>7404</v>
      </c>
      <c r="B4065" t="s">
        <v>3217</v>
      </c>
      <c r="C4065" s="1" t="str">
        <f>HYPERLINK("http://www.genecards.org/cgi-bin/carddisp.pl?gene=SLC43A3","GeneCards")</f>
        <v>GeneCards</v>
      </c>
      <c r="D4065" s="1" t="str">
        <f>HYPERLINK("http://genome-euro.ucsc.edu/cgi-bin/hgTracks?position=210692_s_at","UCSC")</f>
        <v>UCSC</v>
      </c>
      <c r="E4065" s="1" t="str">
        <f>HYPERLINK("http://www.ncbi.nlm.nih.gov/gene/?term=SLC43A3","NCBI")</f>
        <v>NCBI</v>
      </c>
      <c r="F4065">
        <v>2.9000000000000001E-2</v>
      </c>
      <c r="G4065">
        <v>0.12</v>
      </c>
      <c r="H4065" s="1" t="str">
        <f>HYPERLINK("http://www.weizmann.ac.il/complex/compphys/software/geview/data/figures/210692_s_at.png","Figure")</f>
        <v>Figure</v>
      </c>
      <c r="I4065">
        <v>0.79</v>
      </c>
      <c r="J4065">
        <v>5.8000000000000003E-2</v>
      </c>
      <c r="K4065">
        <v>1.01</v>
      </c>
      <c r="L4065">
        <v>0.99</v>
      </c>
      <c r="M4065">
        <v>1.28</v>
      </c>
      <c r="N4065">
        <v>3.2000000000000001E-2</v>
      </c>
    </row>
    <row r="4066" spans="1:14" x14ac:dyDescent="0.25">
      <c r="A4066" t="s">
        <v>7405</v>
      </c>
      <c r="B4066" t="s">
        <v>7406</v>
      </c>
      <c r="C4066" s="1" t="str">
        <f>HYPERLINK("http://www.genecards.org/cgi-bin/carddisp.pl?gene=MT1P2","GeneCards")</f>
        <v>GeneCards</v>
      </c>
      <c r="D4066" s="1" t="str">
        <f>HYPERLINK("http://genome-euro.ucsc.edu/cgi-bin/hgTracks?position=211456_x_at","UCSC")</f>
        <v>UCSC</v>
      </c>
      <c r="E4066" s="1" t="str">
        <f>HYPERLINK("http://www.ncbi.nlm.nih.gov/gene/?term=MT1P2","NCBI")</f>
        <v>NCBI</v>
      </c>
      <c r="F4066">
        <v>2.9000000000000001E-2</v>
      </c>
      <c r="G4066">
        <v>0.12</v>
      </c>
      <c r="H4066" s="1" t="str">
        <f>HYPERLINK("http://www.weizmann.ac.il/complex/compphys/software/geview/data/figures/211456_x_at.png","Figure")</f>
        <v>Figure</v>
      </c>
      <c r="I4066">
        <v>1.65</v>
      </c>
      <c r="J4066">
        <v>3.3000000000000002E-2</v>
      </c>
      <c r="K4066">
        <v>1.44</v>
      </c>
      <c r="L4066">
        <v>0.08</v>
      </c>
      <c r="M4066">
        <v>0.86899999999999999</v>
      </c>
      <c r="N4066">
        <v>0.68</v>
      </c>
    </row>
    <row r="4067" spans="1:14" x14ac:dyDescent="0.25">
      <c r="A4067" t="s">
        <v>7407</v>
      </c>
      <c r="B4067" t="s">
        <v>7408</v>
      </c>
      <c r="C4067" s="1" t="str">
        <f>HYPERLINK("http://www.genecards.org/cgi-bin/carddisp.pl?gene=RAB36","GeneCards")</f>
        <v>GeneCards</v>
      </c>
      <c r="D4067" s="1" t="str">
        <f>HYPERLINK("http://genome-euro.ucsc.edu/cgi-bin/hgTracks?position=211471_s_at","UCSC")</f>
        <v>UCSC</v>
      </c>
      <c r="E4067" s="1" t="str">
        <f>HYPERLINK("http://www.ncbi.nlm.nih.gov/gene/?term=RAB36","NCBI")</f>
        <v>NCBI</v>
      </c>
      <c r="F4067">
        <v>2.9000000000000001E-2</v>
      </c>
      <c r="G4067">
        <v>0.12</v>
      </c>
      <c r="H4067" s="1" t="str">
        <f>HYPERLINK("http://www.weizmann.ac.il/complex/compphys/software/geview/data/figures/211471_s_at.png","Figure")</f>
        <v>Figure</v>
      </c>
      <c r="I4067">
        <v>1.23</v>
      </c>
      <c r="J4067">
        <v>0.13</v>
      </c>
      <c r="K4067">
        <v>0.93</v>
      </c>
      <c r="L4067">
        <v>0.68</v>
      </c>
      <c r="M4067">
        <v>0.754</v>
      </c>
      <c r="N4067">
        <v>2.4E-2</v>
      </c>
    </row>
    <row r="4068" spans="1:14" x14ac:dyDescent="0.25">
      <c r="A4068" t="s">
        <v>7409</v>
      </c>
      <c r="B4068" t="s">
        <v>7410</v>
      </c>
      <c r="C4068" s="1" t="str">
        <f>HYPERLINK("http://www.genecards.org/cgi-bin/carddisp.pl?gene=CXorf40A","GeneCards")</f>
        <v>GeneCards</v>
      </c>
      <c r="D4068" s="1" t="str">
        <f>HYPERLINK("http://genome-euro.ucsc.edu/cgi-bin/hgTracks?position=213315_x_at","UCSC")</f>
        <v>UCSC</v>
      </c>
      <c r="E4068" s="1" t="str">
        <f>HYPERLINK("http://www.ncbi.nlm.nih.gov/gene/?term=CXorf40A","NCBI")</f>
        <v>NCBI</v>
      </c>
      <c r="F4068">
        <v>2.9000000000000001E-2</v>
      </c>
      <c r="G4068">
        <v>0.12</v>
      </c>
      <c r="H4068" s="1" t="str">
        <f>HYPERLINK("http://www.weizmann.ac.il/complex/compphys/software/geview/data/figures/213315_x_at.png","Figure")</f>
        <v>Figure</v>
      </c>
      <c r="I4068">
        <v>0.79900000000000004</v>
      </c>
      <c r="J4068">
        <v>0.42</v>
      </c>
      <c r="K4068">
        <v>0.63100000000000001</v>
      </c>
      <c r="L4068">
        <v>2.4E-2</v>
      </c>
      <c r="M4068">
        <v>0.79</v>
      </c>
      <c r="N4068">
        <v>0.34</v>
      </c>
    </row>
    <row r="4069" spans="1:14" x14ac:dyDescent="0.25">
      <c r="A4069" t="s">
        <v>7411</v>
      </c>
      <c r="B4069" t="s">
        <v>6991</v>
      </c>
      <c r="C4069" s="1" t="str">
        <f>HYPERLINK("http://www.genecards.org/cgi-bin/carddisp.pl?gene=RASGRP2","GeneCards")</f>
        <v>GeneCards</v>
      </c>
      <c r="D4069" s="1" t="str">
        <f>HYPERLINK("http://genome-euro.ucsc.edu/cgi-bin/hgTracks?position=214369_s_at","UCSC")</f>
        <v>UCSC</v>
      </c>
      <c r="E4069" s="1" t="str">
        <f>HYPERLINK("http://www.ncbi.nlm.nih.gov/gene/?term=RASGRP2","NCBI")</f>
        <v>NCBI</v>
      </c>
      <c r="F4069">
        <v>2.9000000000000001E-2</v>
      </c>
      <c r="G4069">
        <v>0.12</v>
      </c>
      <c r="H4069" s="1" t="str">
        <f>HYPERLINK("http://www.weizmann.ac.il/complex/compphys/software/geview/data/figures/214369_s_at.png","Figure")</f>
        <v>Figure</v>
      </c>
      <c r="I4069">
        <v>1.33</v>
      </c>
      <c r="J4069">
        <v>0.35</v>
      </c>
      <c r="K4069">
        <v>1.7</v>
      </c>
      <c r="L4069">
        <v>2.3E-2</v>
      </c>
      <c r="M4069">
        <v>1.28</v>
      </c>
      <c r="N4069">
        <v>0.41</v>
      </c>
    </row>
    <row r="4070" spans="1:14" x14ac:dyDescent="0.25">
      <c r="A4070" t="s">
        <v>7412</v>
      </c>
      <c r="B4070" t="s">
        <v>7413</v>
      </c>
      <c r="C4070" s="1" t="str">
        <f>HYPERLINK("http://www.genecards.org/cgi-bin/carddisp.pl?gene=DLX2","GeneCards")</f>
        <v>GeneCards</v>
      </c>
      <c r="D4070" s="1" t="str">
        <f>HYPERLINK("http://genome-euro.ucsc.edu/cgi-bin/hgTracks?position=215685_s_at","UCSC")</f>
        <v>UCSC</v>
      </c>
      <c r="E4070" s="1" t="str">
        <f>HYPERLINK("http://www.ncbi.nlm.nih.gov/gene/?term=DLX2","NCBI")</f>
        <v>NCBI</v>
      </c>
      <c r="F4070">
        <v>2.9000000000000001E-2</v>
      </c>
      <c r="G4070">
        <v>0.12</v>
      </c>
      <c r="H4070" s="1" t="str">
        <f>HYPERLINK("http://www.weizmann.ac.il/complex/compphys/software/geview/data/figures/215685_s_at.png","Figure")</f>
        <v>Figure</v>
      </c>
      <c r="I4070">
        <v>1.26</v>
      </c>
      <c r="J4070">
        <v>2.4E-2</v>
      </c>
      <c r="K4070">
        <v>1.1299999999999999</v>
      </c>
      <c r="L4070">
        <v>0.2</v>
      </c>
      <c r="M4070">
        <v>0.89400000000000002</v>
      </c>
      <c r="N4070">
        <v>0.3</v>
      </c>
    </row>
    <row r="4071" spans="1:14" x14ac:dyDescent="0.25">
      <c r="A4071" t="s">
        <v>7414</v>
      </c>
      <c r="B4071" t="s">
        <v>7415</v>
      </c>
      <c r="C4071" s="1" t="str">
        <f>HYPERLINK("http://www.genecards.org/cgi-bin/carddisp.pl?gene=HIF3A","GeneCards")</f>
        <v>GeneCards</v>
      </c>
      <c r="D4071" s="1" t="str">
        <f>HYPERLINK("http://genome-euro.ucsc.edu/cgi-bin/hgTracks?position=222124_at","UCSC")</f>
        <v>UCSC</v>
      </c>
      <c r="E4071" s="1" t="str">
        <f>HYPERLINK("http://www.ncbi.nlm.nih.gov/gene/?term=HIF3A","NCBI")</f>
        <v>NCBI</v>
      </c>
      <c r="F4071">
        <v>2.9000000000000001E-2</v>
      </c>
      <c r="G4071">
        <v>0.12</v>
      </c>
      <c r="H4071" s="1" t="str">
        <f>HYPERLINK("http://www.weizmann.ac.il/complex/compphys/software/geview/data/figures/222124_at.png","Figure")</f>
        <v>Figure</v>
      </c>
      <c r="I4071">
        <v>1.05</v>
      </c>
      <c r="J4071">
        <v>0.83</v>
      </c>
      <c r="K4071">
        <v>0.83699999999999997</v>
      </c>
      <c r="L4071">
        <v>9.1999999999999998E-2</v>
      </c>
      <c r="M4071">
        <v>0.79600000000000004</v>
      </c>
      <c r="N4071">
        <v>0.04</v>
      </c>
    </row>
    <row r="4072" spans="1:14" x14ac:dyDescent="0.25">
      <c r="A4072" t="s">
        <v>7416</v>
      </c>
      <c r="B4072" t="s">
        <v>7417</v>
      </c>
      <c r="C4072" s="1" t="str">
        <f>HYPERLINK("http://www.genecards.org/cgi-bin/carddisp.pl?gene=EWSR1","GeneCards")</f>
        <v>GeneCards</v>
      </c>
      <c r="D4072" s="1" t="str">
        <f>HYPERLINK("http://genome-euro.ucsc.edu/cgi-bin/hgTracks?position=210011_s_at","UCSC")</f>
        <v>UCSC</v>
      </c>
      <c r="E4072" s="1" t="str">
        <f>HYPERLINK("http://www.ncbi.nlm.nih.gov/gene/?term=EWSR1","NCBI")</f>
        <v>NCBI</v>
      </c>
      <c r="F4072">
        <v>2.9000000000000001E-2</v>
      </c>
      <c r="G4072">
        <v>0.12</v>
      </c>
      <c r="H4072" s="1" t="str">
        <f>HYPERLINK("http://www.weizmann.ac.il/complex/compphys/software/geview/data/figures/210011_s_at.png","Figure")</f>
        <v>Figure</v>
      </c>
      <c r="I4072">
        <v>1.55</v>
      </c>
      <c r="J4072">
        <v>2.3E-2</v>
      </c>
      <c r="K4072">
        <v>1.2</v>
      </c>
      <c r="L4072">
        <v>0.34</v>
      </c>
      <c r="M4072">
        <v>0.77600000000000002</v>
      </c>
      <c r="N4072">
        <v>0.18</v>
      </c>
    </row>
    <row r="4073" spans="1:14" x14ac:dyDescent="0.25">
      <c r="A4073" t="s">
        <v>7418</v>
      </c>
      <c r="B4073" t="s">
        <v>7419</v>
      </c>
      <c r="C4073" s="1" t="str">
        <f>HYPERLINK("http://www.genecards.org/cgi-bin/carddisp.pl?gene=RAB8B","GeneCards")</f>
        <v>GeneCards</v>
      </c>
      <c r="D4073" s="1" t="str">
        <f>HYPERLINK("http://genome-euro.ucsc.edu/cgi-bin/hgTracks?position=219210_s_at","UCSC")</f>
        <v>UCSC</v>
      </c>
      <c r="E4073" s="1" t="str">
        <f>HYPERLINK("http://www.ncbi.nlm.nih.gov/gene/?term=RAB8B","NCBI")</f>
        <v>NCBI</v>
      </c>
      <c r="F4073">
        <v>2.9000000000000001E-2</v>
      </c>
      <c r="G4073">
        <v>0.12</v>
      </c>
      <c r="H4073" s="1" t="str">
        <f>HYPERLINK("http://www.weizmann.ac.il/complex/compphys/software/geview/data/figures/219210_s_at.png","Figure")</f>
        <v>Figure</v>
      </c>
      <c r="I4073">
        <v>1.26</v>
      </c>
      <c r="J4073">
        <v>0.35</v>
      </c>
      <c r="K4073">
        <v>0.80400000000000005</v>
      </c>
      <c r="L4073">
        <v>0.28000000000000003</v>
      </c>
      <c r="M4073">
        <v>0.64</v>
      </c>
      <c r="N4073">
        <v>2.4E-2</v>
      </c>
    </row>
    <row r="4074" spans="1:14" x14ac:dyDescent="0.25">
      <c r="A4074" t="s">
        <v>7420</v>
      </c>
      <c r="B4074" t="s">
        <v>1252</v>
      </c>
      <c r="C4074" s="1" t="str">
        <f>HYPERLINK("http://www.genecards.org/cgi-bin/carddisp.pl?gene=MTDH","GeneCards")</f>
        <v>GeneCards</v>
      </c>
      <c r="D4074" s="1" t="str">
        <f>HYPERLINK("http://genome-euro.ucsc.edu/cgi-bin/hgTracks?position=212250_at","UCSC")</f>
        <v>UCSC</v>
      </c>
      <c r="E4074" s="1" t="str">
        <f>HYPERLINK("http://www.ncbi.nlm.nih.gov/gene/?term=MTDH","NCBI")</f>
        <v>NCBI</v>
      </c>
      <c r="F4074">
        <v>2.9000000000000001E-2</v>
      </c>
      <c r="G4074">
        <v>0.12</v>
      </c>
      <c r="H4074" s="1" t="str">
        <f>HYPERLINK("http://www.weizmann.ac.il/complex/compphys/software/geview/data/figures/212250_at.png","Figure")</f>
        <v>Figure</v>
      </c>
      <c r="I4074">
        <v>0.42799999999999999</v>
      </c>
      <c r="J4074">
        <v>2.4E-2</v>
      </c>
      <c r="K4074">
        <v>0.73599999999999999</v>
      </c>
      <c r="L4074">
        <v>0.44</v>
      </c>
      <c r="M4074">
        <v>1.72</v>
      </c>
      <c r="N4074">
        <v>0.13</v>
      </c>
    </row>
    <row r="4075" spans="1:14" x14ac:dyDescent="0.25">
      <c r="A4075" t="s">
        <v>7421</v>
      </c>
      <c r="B4075" t="s">
        <v>7422</v>
      </c>
      <c r="C4075" s="1" t="str">
        <f>HYPERLINK("http://www.genecards.org/cgi-bin/carddisp.pl?gene=KCTD12","GeneCards")</f>
        <v>GeneCards</v>
      </c>
      <c r="D4075" s="1" t="str">
        <f>HYPERLINK("http://genome-euro.ucsc.edu/cgi-bin/hgTracks?position=212188_at","UCSC")</f>
        <v>UCSC</v>
      </c>
      <c r="E4075" s="1" t="str">
        <f>HYPERLINK("http://www.ncbi.nlm.nih.gov/gene/?term=KCTD12","NCBI")</f>
        <v>NCBI</v>
      </c>
      <c r="F4075">
        <v>2.9000000000000001E-2</v>
      </c>
      <c r="G4075">
        <v>0.12</v>
      </c>
      <c r="H4075" s="1" t="str">
        <f>HYPERLINK("http://www.weizmann.ac.il/complex/compphys/software/geview/data/figures/212188_at.png","Figure")</f>
        <v>Figure</v>
      </c>
      <c r="I4075">
        <v>0.35799999999999998</v>
      </c>
      <c r="J4075">
        <v>3.2000000000000001E-2</v>
      </c>
      <c r="K4075">
        <v>0.48099999999999998</v>
      </c>
      <c r="L4075">
        <v>8.3000000000000004E-2</v>
      </c>
      <c r="M4075">
        <v>1.34</v>
      </c>
      <c r="N4075">
        <v>0.66</v>
      </c>
    </row>
    <row r="4076" spans="1:14" x14ac:dyDescent="0.25">
      <c r="A4076" t="s">
        <v>7423</v>
      </c>
      <c r="B4076" t="s">
        <v>7424</v>
      </c>
      <c r="C4076" s="1" t="str">
        <f>HYPERLINK("http://www.genecards.org/cgi-bin/carddisp.pl?gene=TBC1D19","GeneCards")</f>
        <v>GeneCards</v>
      </c>
      <c r="D4076" s="1" t="str">
        <f>HYPERLINK("http://genome-euro.ucsc.edu/cgi-bin/hgTracks?position=220260_at","UCSC")</f>
        <v>UCSC</v>
      </c>
      <c r="E4076" s="1" t="str">
        <f>HYPERLINK("http://www.ncbi.nlm.nih.gov/gene/?term=TBC1D19","NCBI")</f>
        <v>NCBI</v>
      </c>
      <c r="F4076">
        <v>2.9000000000000001E-2</v>
      </c>
      <c r="G4076">
        <v>0.12</v>
      </c>
      <c r="H4076" s="1" t="str">
        <f>HYPERLINK("http://www.weizmann.ac.il/complex/compphys/software/geview/data/figures/220260_at.png","Figure")</f>
        <v>Figure</v>
      </c>
      <c r="I4076">
        <v>0.89500000000000002</v>
      </c>
      <c r="J4076">
        <v>0.66</v>
      </c>
      <c r="K4076">
        <v>1.26</v>
      </c>
      <c r="L4076">
        <v>0.13</v>
      </c>
      <c r="M4076">
        <v>1.4</v>
      </c>
      <c r="N4076">
        <v>3.2000000000000001E-2</v>
      </c>
    </row>
    <row r="4077" spans="1:14" x14ac:dyDescent="0.25">
      <c r="A4077" t="s">
        <v>7425</v>
      </c>
      <c r="B4077" t="s">
        <v>5872</v>
      </c>
      <c r="C4077" s="1" t="str">
        <f>HYPERLINK("http://www.genecards.org/cgi-bin/carddisp.pl?gene=SET","GeneCards")</f>
        <v>GeneCards</v>
      </c>
      <c r="D4077" s="1" t="str">
        <f>HYPERLINK("http://genome-euro.ucsc.edu/cgi-bin/hgTracks?position=210231_x_at","UCSC")</f>
        <v>UCSC</v>
      </c>
      <c r="E4077" s="1" t="str">
        <f>HYPERLINK("http://www.ncbi.nlm.nih.gov/gene/?term=SET","NCBI")</f>
        <v>NCBI</v>
      </c>
      <c r="F4077">
        <v>2.9000000000000001E-2</v>
      </c>
      <c r="G4077">
        <v>0.12</v>
      </c>
      <c r="H4077" s="1" t="str">
        <f>HYPERLINK("http://www.weizmann.ac.il/complex/compphys/software/geview/data/figures/210231_x_at.png","Figure")</f>
        <v>Figure</v>
      </c>
      <c r="I4077">
        <v>1.61</v>
      </c>
      <c r="J4077">
        <v>2.5999999999999999E-2</v>
      </c>
      <c r="K4077">
        <v>1.34</v>
      </c>
      <c r="L4077">
        <v>0.13</v>
      </c>
      <c r="M4077">
        <v>0.83099999999999996</v>
      </c>
      <c r="N4077">
        <v>0.45</v>
      </c>
    </row>
    <row r="4078" spans="1:14" x14ac:dyDescent="0.25">
      <c r="A4078" t="s">
        <v>7426</v>
      </c>
      <c r="B4078" t="s">
        <v>7427</v>
      </c>
      <c r="C4078" s="1" t="str">
        <f>HYPERLINK("http://www.genecards.org/cgi-bin/carddisp.pl?gene=NSUN5C","GeneCards")</f>
        <v>GeneCards</v>
      </c>
      <c r="D4078" s="1" t="str">
        <f>HYPERLINK("http://genome-euro.ucsc.edu/cgi-bin/hgTracks?position=213842_x_at","UCSC")</f>
        <v>UCSC</v>
      </c>
      <c r="E4078" s="1" t="str">
        <f>HYPERLINK("http://www.ncbi.nlm.nih.gov/gene/?term=NSUN5C","NCBI")</f>
        <v>NCBI</v>
      </c>
      <c r="F4078">
        <v>2.9000000000000001E-2</v>
      </c>
      <c r="G4078">
        <v>0.12</v>
      </c>
      <c r="H4078" s="1" t="str">
        <f>HYPERLINK("http://www.weizmann.ac.il/complex/compphys/software/geview/data/figures/213842_x_at.png","Figure")</f>
        <v>Figure</v>
      </c>
      <c r="I4078">
        <v>1.53</v>
      </c>
      <c r="J4078">
        <v>0.12</v>
      </c>
      <c r="K4078">
        <v>1.67</v>
      </c>
      <c r="L4078">
        <v>2.7E-2</v>
      </c>
      <c r="M4078">
        <v>1.0900000000000001</v>
      </c>
      <c r="N4078">
        <v>0.88</v>
      </c>
    </row>
    <row r="4079" spans="1:14" x14ac:dyDescent="0.25">
      <c r="A4079" t="s">
        <v>7428</v>
      </c>
      <c r="B4079" t="s">
        <v>7429</v>
      </c>
      <c r="C4079" s="1" t="str">
        <f>HYPERLINK("http://www.genecards.org/cgi-bin/carddisp.pl?gene=GPD1L","GeneCards")</f>
        <v>GeneCards</v>
      </c>
      <c r="D4079" s="1" t="str">
        <f>HYPERLINK("http://genome-euro.ucsc.edu/cgi-bin/hgTracks?position=212510_at","UCSC")</f>
        <v>UCSC</v>
      </c>
      <c r="E4079" s="1" t="str">
        <f>HYPERLINK("http://www.ncbi.nlm.nih.gov/gene/?term=GPD1L","NCBI")</f>
        <v>NCBI</v>
      </c>
      <c r="F4079">
        <v>2.9000000000000001E-2</v>
      </c>
      <c r="G4079">
        <v>0.12</v>
      </c>
      <c r="H4079" s="1" t="str">
        <f>HYPERLINK("http://www.weizmann.ac.il/complex/compphys/software/geview/data/figures/212510_at.png","Figure")</f>
        <v>Figure</v>
      </c>
      <c r="I4079">
        <v>0.89400000000000002</v>
      </c>
      <c r="J4079">
        <v>0.79</v>
      </c>
      <c r="K4079">
        <v>1.39</v>
      </c>
      <c r="L4079">
        <v>0.1</v>
      </c>
      <c r="M4079">
        <v>1.55</v>
      </c>
      <c r="N4079">
        <v>3.7999999999999999E-2</v>
      </c>
    </row>
    <row r="4080" spans="1:14" x14ac:dyDescent="0.25">
      <c r="A4080" t="s">
        <v>7430</v>
      </c>
      <c r="B4080" t="s">
        <v>7431</v>
      </c>
      <c r="C4080" s="1" t="str">
        <f>HYPERLINK("http://www.genecards.org/cgi-bin/carddisp.pl?gene=RNF216","GeneCards")</f>
        <v>GeneCards</v>
      </c>
      <c r="D4080" s="1" t="str">
        <f>HYPERLINK("http://genome-euro.ucsc.edu/cgi-bin/hgTracks?position=218426_s_at","UCSC")</f>
        <v>UCSC</v>
      </c>
      <c r="E4080" s="1" t="str">
        <f>HYPERLINK("http://www.ncbi.nlm.nih.gov/gene/?term=RNF216","NCBI")</f>
        <v>NCBI</v>
      </c>
      <c r="F4080">
        <v>2.9000000000000001E-2</v>
      </c>
      <c r="G4080">
        <v>0.12</v>
      </c>
      <c r="H4080" s="1" t="str">
        <f>HYPERLINK("http://www.weizmann.ac.il/complex/compphys/software/geview/data/figures/218426_s_at.png","Figure")</f>
        <v>Figure</v>
      </c>
      <c r="I4080">
        <v>1.21</v>
      </c>
      <c r="J4080">
        <v>2.3E-2</v>
      </c>
      <c r="K4080">
        <v>1.08</v>
      </c>
      <c r="L4080">
        <v>0.39</v>
      </c>
      <c r="M4080">
        <v>0.88900000000000001</v>
      </c>
      <c r="N4080">
        <v>0.15</v>
      </c>
    </row>
    <row r="4081" spans="1:14" x14ac:dyDescent="0.25">
      <c r="A4081" t="s">
        <v>7432</v>
      </c>
      <c r="B4081" t="s">
        <v>7433</v>
      </c>
      <c r="C4081" s="1" t="str">
        <f>HYPERLINK("http://www.genecards.org/cgi-bin/carddisp.pl?gene=GPD1","GeneCards")</f>
        <v>GeneCards</v>
      </c>
      <c r="D4081" s="1" t="str">
        <f>HYPERLINK("http://genome-euro.ucsc.edu/cgi-bin/hgTracks?position=204997_at","UCSC")</f>
        <v>UCSC</v>
      </c>
      <c r="E4081" s="1" t="str">
        <f>HYPERLINK("http://www.ncbi.nlm.nih.gov/gene/?term=GPD1","NCBI")</f>
        <v>NCBI</v>
      </c>
      <c r="F4081">
        <v>2.9000000000000001E-2</v>
      </c>
      <c r="G4081">
        <v>0.12</v>
      </c>
      <c r="H4081" s="1" t="str">
        <f>HYPERLINK("http://www.weizmann.ac.il/complex/compphys/software/geview/data/figures/204997_at.png","Figure")</f>
        <v>Figure</v>
      </c>
      <c r="I4081">
        <v>1.2</v>
      </c>
      <c r="J4081">
        <v>2.4E-2</v>
      </c>
      <c r="K4081">
        <v>1.07</v>
      </c>
      <c r="L4081">
        <v>0.42</v>
      </c>
      <c r="M4081">
        <v>0.89200000000000002</v>
      </c>
      <c r="N4081">
        <v>0.14000000000000001</v>
      </c>
    </row>
    <row r="4082" spans="1:14" x14ac:dyDescent="0.25">
      <c r="A4082" t="s">
        <v>7434</v>
      </c>
      <c r="B4082" t="s">
        <v>7435</v>
      </c>
      <c r="C4082" s="1" t="str">
        <f>HYPERLINK("http://www.genecards.org/cgi-bin/carddisp.pl?gene=BANP","GeneCards")</f>
        <v>GeneCards</v>
      </c>
      <c r="D4082" s="1" t="str">
        <f>HYPERLINK("http://genome-euro.ucsc.edu/cgi-bin/hgTracks?position=219966_x_at","UCSC")</f>
        <v>UCSC</v>
      </c>
      <c r="E4082" s="1" t="str">
        <f>HYPERLINK("http://www.ncbi.nlm.nih.gov/gene/?term=BANP","NCBI")</f>
        <v>NCBI</v>
      </c>
      <c r="F4082">
        <v>2.9000000000000001E-2</v>
      </c>
      <c r="G4082">
        <v>0.12</v>
      </c>
      <c r="H4082" s="1" t="str">
        <f>HYPERLINK("http://www.weizmann.ac.il/complex/compphys/software/geview/data/figures/219966_x_at.png","Figure")</f>
        <v>Figure</v>
      </c>
      <c r="I4082">
        <v>1.53</v>
      </c>
      <c r="J4082">
        <v>2.3E-2</v>
      </c>
      <c r="K4082">
        <v>1.22</v>
      </c>
      <c r="L4082">
        <v>0.26</v>
      </c>
      <c r="M4082">
        <v>0.79900000000000004</v>
      </c>
      <c r="N4082">
        <v>0.23</v>
      </c>
    </row>
    <row r="4083" spans="1:14" x14ac:dyDescent="0.25">
      <c r="A4083" t="s">
        <v>7436</v>
      </c>
      <c r="B4083" t="s">
        <v>7437</v>
      </c>
      <c r="C4083" s="1" t="str">
        <f>HYPERLINK("http://www.genecards.org/cgi-bin/carddisp.pl?gene=ELF2","GeneCards")</f>
        <v>GeneCards</v>
      </c>
      <c r="D4083" s="1" t="str">
        <f>HYPERLINK("http://genome-euro.ucsc.edu/cgi-bin/hgTracks?position=210361_s_at","UCSC")</f>
        <v>UCSC</v>
      </c>
      <c r="E4083" s="1" t="str">
        <f>HYPERLINK("http://www.ncbi.nlm.nih.gov/gene/?term=ELF2","NCBI")</f>
        <v>NCBI</v>
      </c>
      <c r="F4083">
        <v>2.9000000000000001E-2</v>
      </c>
      <c r="G4083">
        <v>0.12</v>
      </c>
      <c r="H4083" s="1" t="str">
        <f>HYPERLINK("http://www.weizmann.ac.il/complex/compphys/software/geview/data/figures/210361_s_at.png","Figure")</f>
        <v>Figure</v>
      </c>
      <c r="I4083">
        <v>0.61599999999999999</v>
      </c>
      <c r="J4083">
        <v>7.6999999999999999E-2</v>
      </c>
      <c r="K4083">
        <v>0.60399999999999998</v>
      </c>
      <c r="L4083">
        <v>3.4000000000000002E-2</v>
      </c>
      <c r="M4083">
        <v>0.98199999999999998</v>
      </c>
      <c r="N4083">
        <v>0.99</v>
      </c>
    </row>
    <row r="4084" spans="1:14" x14ac:dyDescent="0.25">
      <c r="A4084" t="s">
        <v>7438</v>
      </c>
      <c r="B4084" t="s">
        <v>4032</v>
      </c>
      <c r="C4084" s="1" t="str">
        <f>HYPERLINK("http://www.genecards.org/cgi-bin/carddisp.pl?gene=LUC7L2","GeneCards")</f>
        <v>GeneCards</v>
      </c>
      <c r="D4084" s="1" t="str">
        <f>HYPERLINK("http://genome-euro.ucsc.edu/cgi-bin/hgTracks?position=217842_at","UCSC")</f>
        <v>UCSC</v>
      </c>
      <c r="E4084" s="1" t="str">
        <f>HYPERLINK("http://www.ncbi.nlm.nih.gov/gene/?term=LUC7L2","NCBI")</f>
        <v>NCBI</v>
      </c>
      <c r="F4084">
        <v>2.9000000000000001E-2</v>
      </c>
      <c r="G4084">
        <v>0.12</v>
      </c>
      <c r="H4084" s="1" t="str">
        <f>HYPERLINK("http://www.weizmann.ac.il/complex/compphys/software/geview/data/figures/217842_at.png","Figure")</f>
        <v>Figure</v>
      </c>
      <c r="I4084">
        <v>0.68600000000000005</v>
      </c>
      <c r="J4084">
        <v>8.8999999999999996E-2</v>
      </c>
      <c r="K4084">
        <v>0.66300000000000003</v>
      </c>
      <c r="L4084">
        <v>3.1E-2</v>
      </c>
      <c r="M4084">
        <v>0.96499999999999997</v>
      </c>
      <c r="N4084">
        <v>0.97</v>
      </c>
    </row>
    <row r="4085" spans="1:14" x14ac:dyDescent="0.25">
      <c r="A4085" t="s">
        <v>7439</v>
      </c>
      <c r="B4085" t="s">
        <v>6996</v>
      </c>
      <c r="C4085" s="1" t="str">
        <f>HYPERLINK("http://www.genecards.org/cgi-bin/carddisp.pl?gene=IL13RA1","GeneCards")</f>
        <v>GeneCards</v>
      </c>
      <c r="D4085" s="1" t="str">
        <f>HYPERLINK("http://genome-euro.ucsc.edu/cgi-bin/hgTracks?position=201888_s_at","UCSC")</f>
        <v>UCSC</v>
      </c>
      <c r="E4085" s="1" t="str">
        <f>HYPERLINK("http://www.ncbi.nlm.nih.gov/gene/?term=IL13RA1","NCBI")</f>
        <v>NCBI</v>
      </c>
      <c r="F4085">
        <v>2.9000000000000001E-2</v>
      </c>
      <c r="G4085">
        <v>0.12</v>
      </c>
      <c r="H4085" s="1" t="str">
        <f>HYPERLINK("http://www.weizmann.ac.il/complex/compphys/software/geview/data/figures/201888_s_at.png","Figure")</f>
        <v>Figure</v>
      </c>
      <c r="I4085">
        <v>0.77800000000000002</v>
      </c>
      <c r="J4085">
        <v>5.0999999999999997E-2</v>
      </c>
      <c r="K4085">
        <v>1</v>
      </c>
      <c r="L4085">
        <v>1</v>
      </c>
      <c r="M4085">
        <v>1.29</v>
      </c>
      <c r="N4085">
        <v>3.5999999999999997E-2</v>
      </c>
    </row>
    <row r="4086" spans="1:14" x14ac:dyDescent="0.25">
      <c r="A4086" t="s">
        <v>7440</v>
      </c>
      <c r="B4086" t="s">
        <v>7441</v>
      </c>
      <c r="C4086" s="1" t="str">
        <f>HYPERLINK("http://www.genecards.org/cgi-bin/carddisp.pl?gene=NLGN3","GeneCards")</f>
        <v>GeneCards</v>
      </c>
      <c r="D4086" s="1" t="str">
        <f>HYPERLINK("http://genome-euro.ucsc.edu/cgi-bin/hgTracks?position=219726_at","UCSC")</f>
        <v>UCSC</v>
      </c>
      <c r="E4086" s="1" t="str">
        <f>HYPERLINK("http://www.ncbi.nlm.nih.gov/gene/?term=NLGN3","NCBI")</f>
        <v>NCBI</v>
      </c>
      <c r="F4086">
        <v>2.9000000000000001E-2</v>
      </c>
      <c r="G4086">
        <v>0.12</v>
      </c>
      <c r="H4086" s="1" t="str">
        <f>HYPERLINK("http://www.weizmann.ac.il/complex/compphys/software/geview/data/figures/219726_at.png","Figure")</f>
        <v>Figure</v>
      </c>
      <c r="I4086">
        <v>1.26</v>
      </c>
      <c r="J4086">
        <v>2.3E-2</v>
      </c>
      <c r="K4086">
        <v>1.1100000000000001</v>
      </c>
      <c r="L4086">
        <v>0.28000000000000003</v>
      </c>
      <c r="M4086">
        <v>0.88100000000000001</v>
      </c>
      <c r="N4086">
        <v>0.21</v>
      </c>
    </row>
    <row r="4087" spans="1:14" x14ac:dyDescent="0.25">
      <c r="A4087" t="s">
        <v>7442</v>
      </c>
      <c r="B4087" t="s">
        <v>7443</v>
      </c>
      <c r="C4087" s="1" t="str">
        <f>HYPERLINK("http://www.genecards.org/cgi-bin/carddisp.pl?gene=SEMA6A","GeneCards")</f>
        <v>GeneCards</v>
      </c>
      <c r="D4087" s="1" t="str">
        <f>HYPERLINK("http://genome-euro.ucsc.edu/cgi-bin/hgTracks?position=220454_s_at","UCSC")</f>
        <v>UCSC</v>
      </c>
      <c r="E4087" s="1" t="str">
        <f>HYPERLINK("http://www.ncbi.nlm.nih.gov/gene/?term=SEMA6A","NCBI")</f>
        <v>NCBI</v>
      </c>
      <c r="F4087">
        <v>2.9000000000000001E-2</v>
      </c>
      <c r="G4087">
        <v>0.12</v>
      </c>
      <c r="H4087" s="1" t="str">
        <f>HYPERLINK("http://www.weizmann.ac.il/complex/compphys/software/geview/data/figures/220454_s_at.png","Figure")</f>
        <v>Figure</v>
      </c>
      <c r="I4087">
        <v>1.1100000000000001</v>
      </c>
      <c r="J4087">
        <v>0.84</v>
      </c>
      <c r="K4087">
        <v>0.68100000000000005</v>
      </c>
      <c r="L4087">
        <v>9.0999999999999998E-2</v>
      </c>
      <c r="M4087">
        <v>0.61099999999999999</v>
      </c>
      <c r="N4087">
        <v>4.1000000000000002E-2</v>
      </c>
    </row>
    <row r="4088" spans="1:14" x14ac:dyDescent="0.25">
      <c r="A4088" t="s">
        <v>7444</v>
      </c>
      <c r="B4088" t="s">
        <v>7445</v>
      </c>
      <c r="C4088" s="1" t="str">
        <f>HYPERLINK("http://www.genecards.org/cgi-bin/carddisp.pl?gene=NSFL1C","GeneCards")</f>
        <v>GeneCards</v>
      </c>
      <c r="D4088" s="1" t="str">
        <f>HYPERLINK("http://genome-euro.ucsc.edu/cgi-bin/hgTracks?position=220248_x_at","UCSC")</f>
        <v>UCSC</v>
      </c>
      <c r="E4088" s="1" t="str">
        <f>HYPERLINK("http://www.ncbi.nlm.nih.gov/gene/?term=NSFL1C","NCBI")</f>
        <v>NCBI</v>
      </c>
      <c r="F4088">
        <v>2.9000000000000001E-2</v>
      </c>
      <c r="G4088">
        <v>0.12</v>
      </c>
      <c r="H4088" s="1" t="str">
        <f>HYPERLINK("http://www.weizmann.ac.il/complex/compphys/software/geview/data/figures/220248_x_at.png","Figure")</f>
        <v>Figure</v>
      </c>
      <c r="I4088">
        <v>0.80500000000000005</v>
      </c>
      <c r="J4088">
        <v>0.18</v>
      </c>
      <c r="K4088">
        <v>0.73799999999999999</v>
      </c>
      <c r="L4088">
        <v>2.4E-2</v>
      </c>
      <c r="M4088">
        <v>0.91600000000000004</v>
      </c>
      <c r="N4088">
        <v>0.7</v>
      </c>
    </row>
    <row r="4089" spans="1:14" x14ac:dyDescent="0.25">
      <c r="A4089" t="s">
        <v>7446</v>
      </c>
      <c r="B4089" t="s">
        <v>7447</v>
      </c>
      <c r="C4089" s="1" t="str">
        <f>HYPERLINK("http://www.genecards.org/cgi-bin/carddisp.pl?gene=ZNF302","GeneCards")</f>
        <v>GeneCards</v>
      </c>
      <c r="D4089" s="1" t="str">
        <f>HYPERLINK("http://genome-euro.ucsc.edu/cgi-bin/hgTracks?position=218490_s_at","UCSC")</f>
        <v>UCSC</v>
      </c>
      <c r="E4089" s="1" t="str">
        <f>HYPERLINK("http://www.ncbi.nlm.nih.gov/gene/?term=ZNF302","NCBI")</f>
        <v>NCBI</v>
      </c>
      <c r="F4089">
        <v>2.9000000000000001E-2</v>
      </c>
      <c r="G4089">
        <v>0.12</v>
      </c>
      <c r="H4089" s="1" t="str">
        <f>HYPERLINK("http://www.weizmann.ac.il/complex/compphys/software/geview/data/figures/218490_s_at.png","Figure")</f>
        <v>Figure</v>
      </c>
      <c r="I4089">
        <v>0.85199999999999998</v>
      </c>
      <c r="J4089">
        <v>5.5E-2</v>
      </c>
      <c r="K4089">
        <v>1</v>
      </c>
      <c r="L4089">
        <v>1</v>
      </c>
      <c r="M4089">
        <v>1.18</v>
      </c>
      <c r="N4089">
        <v>3.4000000000000002E-2</v>
      </c>
    </row>
    <row r="4090" spans="1:14" x14ac:dyDescent="0.25">
      <c r="A4090" t="s">
        <v>7448</v>
      </c>
      <c r="B4090" t="s">
        <v>3353</v>
      </c>
      <c r="C4090" s="1" t="str">
        <f>HYPERLINK("http://www.genecards.org/cgi-bin/carddisp.pl?gene=PSD3","GeneCards")</f>
        <v>GeneCards</v>
      </c>
      <c r="D4090" s="1" t="str">
        <f>HYPERLINK("http://genome-euro.ucsc.edu/cgi-bin/hgTracks?position=218613_at","UCSC")</f>
        <v>UCSC</v>
      </c>
      <c r="E4090" s="1" t="str">
        <f>HYPERLINK("http://www.ncbi.nlm.nih.gov/gene/?term=PSD3","NCBI")</f>
        <v>NCBI</v>
      </c>
      <c r="F4090">
        <v>0.03</v>
      </c>
      <c r="G4090">
        <v>0.12</v>
      </c>
      <c r="H4090" s="1" t="str">
        <f>HYPERLINK("http://www.weizmann.ac.il/complex/compphys/software/geview/data/figures/218613_at.png","Figure")</f>
        <v>Figure</v>
      </c>
      <c r="I4090">
        <v>0.47899999999999998</v>
      </c>
      <c r="J4090">
        <v>4.5999999999999999E-2</v>
      </c>
      <c r="K4090">
        <v>0.53300000000000003</v>
      </c>
      <c r="L4090">
        <v>5.0999999999999997E-2</v>
      </c>
      <c r="M4090">
        <v>1.1100000000000001</v>
      </c>
      <c r="N4090">
        <v>0.91</v>
      </c>
    </row>
    <row r="4091" spans="1:14" x14ac:dyDescent="0.25">
      <c r="A4091" t="s">
        <v>7449</v>
      </c>
      <c r="B4091" t="s">
        <v>483</v>
      </c>
      <c r="C4091" s="1" t="str">
        <f>HYPERLINK("http://www.genecards.org/cgi-bin/carddisp.pl?gene=FUSIP1","GeneCards")</f>
        <v>GeneCards</v>
      </c>
      <c r="D4091" s="1" t="str">
        <f>HYPERLINK("http://genome-euro.ucsc.edu/cgi-bin/hgTracks?position=206095_s_at","UCSC")</f>
        <v>UCSC</v>
      </c>
      <c r="E4091" s="1" t="str">
        <f>HYPERLINK("http://www.ncbi.nlm.nih.gov/gene/?term=FUSIP1","NCBI")</f>
        <v>NCBI</v>
      </c>
      <c r="F4091">
        <v>0.03</v>
      </c>
      <c r="G4091">
        <v>0.12</v>
      </c>
      <c r="H4091" s="1" t="str">
        <f>HYPERLINK("http://www.weizmann.ac.il/complex/compphys/software/geview/data/figures/206095_s_at.png","Figure")</f>
        <v>Figure</v>
      </c>
      <c r="I4091">
        <v>1.08</v>
      </c>
      <c r="J4091">
        <v>0.88</v>
      </c>
      <c r="K4091">
        <v>0.72299999999999998</v>
      </c>
      <c r="L4091">
        <v>8.3000000000000004E-2</v>
      </c>
      <c r="M4091">
        <v>0.67100000000000004</v>
      </c>
      <c r="N4091">
        <v>4.3999999999999997E-2</v>
      </c>
    </row>
    <row r="4092" spans="1:14" x14ac:dyDescent="0.25">
      <c r="A4092" t="s">
        <v>7450</v>
      </c>
      <c r="B4092" t="s">
        <v>7451</v>
      </c>
      <c r="C4092" s="1" t="str">
        <f>HYPERLINK("http://www.genecards.org/cgi-bin/carddisp.pl?gene=DMWD","GeneCards")</f>
        <v>GeneCards</v>
      </c>
      <c r="D4092" s="1" t="str">
        <f>HYPERLINK("http://genome-euro.ucsc.edu/cgi-bin/hgTracks?position=33768_at","UCSC")</f>
        <v>UCSC</v>
      </c>
      <c r="E4092" s="1" t="str">
        <f>HYPERLINK("http://www.ncbi.nlm.nih.gov/gene/?term=DMWD","NCBI")</f>
        <v>NCBI</v>
      </c>
      <c r="F4092">
        <v>0.03</v>
      </c>
      <c r="G4092">
        <v>0.12</v>
      </c>
      <c r="H4092" s="1" t="str">
        <f>HYPERLINK("http://www.weizmann.ac.il/complex/compphys/software/geview/data/figures/33768_at.png","Figure")</f>
        <v>Figure</v>
      </c>
      <c r="I4092">
        <v>1.51</v>
      </c>
      <c r="J4092">
        <v>2.3E-2</v>
      </c>
      <c r="K4092">
        <v>1.19</v>
      </c>
      <c r="L4092">
        <v>0.35</v>
      </c>
      <c r="M4092">
        <v>0.78500000000000003</v>
      </c>
      <c r="N4092">
        <v>0.17</v>
      </c>
    </row>
    <row r="4093" spans="1:14" x14ac:dyDescent="0.25">
      <c r="A4093" t="s">
        <v>7452</v>
      </c>
      <c r="B4093" t="s">
        <v>7453</v>
      </c>
      <c r="C4093" s="1" t="str">
        <f>HYPERLINK("http://www.genecards.org/cgi-bin/carddisp.pl?gene=TRIP10","GeneCards")</f>
        <v>GeneCards</v>
      </c>
      <c r="D4093" s="1" t="str">
        <f>HYPERLINK("http://genome-euro.ucsc.edu/cgi-bin/hgTracks?position=202734_at","UCSC")</f>
        <v>UCSC</v>
      </c>
      <c r="E4093" s="1" t="str">
        <f>HYPERLINK("http://www.ncbi.nlm.nih.gov/gene/?term=TRIP10","NCBI")</f>
        <v>NCBI</v>
      </c>
      <c r="F4093">
        <v>0.03</v>
      </c>
      <c r="G4093">
        <v>0.12</v>
      </c>
      <c r="H4093" s="1" t="str">
        <f>HYPERLINK("http://www.weizmann.ac.il/complex/compphys/software/geview/data/figures/202734_at.png","Figure")</f>
        <v>Figure</v>
      </c>
      <c r="I4093">
        <v>1.17</v>
      </c>
      <c r="J4093">
        <v>0.17</v>
      </c>
      <c r="K4093">
        <v>1.24</v>
      </c>
      <c r="L4093">
        <v>2.5000000000000001E-2</v>
      </c>
      <c r="M4093">
        <v>1.06</v>
      </c>
      <c r="N4093">
        <v>0.74</v>
      </c>
    </row>
    <row r="4094" spans="1:14" x14ac:dyDescent="0.25">
      <c r="A4094" t="s">
        <v>7454</v>
      </c>
      <c r="B4094" t="s">
        <v>6561</v>
      </c>
      <c r="C4094" s="1" t="str">
        <f>HYPERLINK("http://www.genecards.org/cgi-bin/carddisp.pl?gene=CDH15","GeneCards")</f>
        <v>GeneCards</v>
      </c>
      <c r="D4094" s="1" t="str">
        <f>HYPERLINK("http://genome-euro.ucsc.edu/cgi-bin/hgTracks?position=206328_at","UCSC")</f>
        <v>UCSC</v>
      </c>
      <c r="E4094" s="1" t="str">
        <f>HYPERLINK("http://www.ncbi.nlm.nih.gov/gene/?term=CDH15","NCBI")</f>
        <v>NCBI</v>
      </c>
      <c r="F4094">
        <v>0.03</v>
      </c>
      <c r="G4094">
        <v>0.12</v>
      </c>
      <c r="H4094" s="1" t="str">
        <f>HYPERLINK("http://www.weizmann.ac.il/complex/compphys/software/geview/data/figures/206328_at.png","Figure")</f>
        <v>Figure</v>
      </c>
      <c r="I4094">
        <v>1.42</v>
      </c>
      <c r="J4094">
        <v>2.4E-2</v>
      </c>
      <c r="K4094">
        <v>1.1399999999999999</v>
      </c>
      <c r="L4094">
        <v>0.44</v>
      </c>
      <c r="M4094">
        <v>0.79900000000000004</v>
      </c>
      <c r="N4094">
        <v>0.13</v>
      </c>
    </row>
    <row r="4095" spans="1:14" x14ac:dyDescent="0.25">
      <c r="A4095" t="s">
        <v>7455</v>
      </c>
      <c r="B4095" t="s">
        <v>7456</v>
      </c>
      <c r="C4095" s="1" t="str">
        <f>HYPERLINK("http://www.genecards.org/cgi-bin/carddisp.pl?gene=DDR1","GeneCards")</f>
        <v>GeneCards</v>
      </c>
      <c r="D4095" s="1" t="str">
        <f>HYPERLINK("http://genome-euro.ucsc.edu/cgi-bin/hgTracks?position=208779_x_at","UCSC")</f>
        <v>UCSC</v>
      </c>
      <c r="E4095" s="1" t="str">
        <f>HYPERLINK("http://www.ncbi.nlm.nih.gov/gene/?term=DDR1","NCBI")</f>
        <v>NCBI</v>
      </c>
      <c r="F4095">
        <v>0.03</v>
      </c>
      <c r="G4095">
        <v>0.12</v>
      </c>
      <c r="H4095" s="1" t="str">
        <f>HYPERLINK("http://www.weizmann.ac.il/complex/compphys/software/geview/data/figures/208779_x_at.png","Figure")</f>
        <v>Figure</v>
      </c>
      <c r="I4095">
        <v>1.57</v>
      </c>
      <c r="J4095">
        <v>2.7E-2</v>
      </c>
      <c r="K4095">
        <v>1.1399999999999999</v>
      </c>
      <c r="L4095">
        <v>0.61</v>
      </c>
      <c r="M4095">
        <v>0.72199999999999998</v>
      </c>
      <c r="N4095">
        <v>9.1999999999999998E-2</v>
      </c>
    </row>
    <row r="4096" spans="1:14" x14ac:dyDescent="0.25">
      <c r="A4096" t="s">
        <v>7457</v>
      </c>
      <c r="B4096" t="s">
        <v>7458</v>
      </c>
      <c r="C4096" s="1" t="str">
        <f>HYPERLINK("http://www.genecards.org/cgi-bin/carddisp.pl?gene=GABBR2","GeneCards")</f>
        <v>GeneCards</v>
      </c>
      <c r="D4096" s="1" t="str">
        <f>HYPERLINK("http://genome-euro.ucsc.edu/cgi-bin/hgTracks?position=209991_x_at","UCSC")</f>
        <v>UCSC</v>
      </c>
      <c r="E4096" s="1" t="str">
        <f>HYPERLINK("http://www.ncbi.nlm.nih.gov/gene/?term=GABBR2","NCBI")</f>
        <v>NCBI</v>
      </c>
      <c r="F4096">
        <v>0.03</v>
      </c>
      <c r="G4096">
        <v>0.12</v>
      </c>
      <c r="H4096" s="1" t="str">
        <f>HYPERLINK("http://www.weizmann.ac.il/complex/compphys/software/geview/data/figures/209991_x_at.png","Figure")</f>
        <v>Figure</v>
      </c>
      <c r="I4096">
        <v>1.23</v>
      </c>
      <c r="J4096">
        <v>2.5000000000000001E-2</v>
      </c>
      <c r="K4096">
        <v>1.07</v>
      </c>
      <c r="L4096">
        <v>0.48</v>
      </c>
      <c r="M4096">
        <v>0.871</v>
      </c>
      <c r="N4096">
        <v>0.12</v>
      </c>
    </row>
    <row r="4097" spans="1:14" x14ac:dyDescent="0.25">
      <c r="A4097" t="s">
        <v>7459</v>
      </c>
      <c r="B4097" t="s">
        <v>7460</v>
      </c>
      <c r="C4097" s="1" t="str">
        <f>HYPERLINK("http://www.genecards.org/cgi-bin/carddisp.pl?gene=NGDN","GeneCards")</f>
        <v>GeneCards</v>
      </c>
      <c r="D4097" s="1" t="str">
        <f>HYPERLINK("http://genome-euro.ucsc.edu/cgi-bin/hgTracks?position=213794_s_at","UCSC")</f>
        <v>UCSC</v>
      </c>
      <c r="E4097" s="1" t="str">
        <f>HYPERLINK("http://www.ncbi.nlm.nih.gov/gene/?term=NGDN","NCBI")</f>
        <v>NCBI</v>
      </c>
      <c r="F4097">
        <v>0.03</v>
      </c>
      <c r="G4097">
        <v>0.12</v>
      </c>
      <c r="H4097" s="1" t="str">
        <f>HYPERLINK("http://www.weizmann.ac.il/complex/compphys/software/geview/data/figures/213794_s_at.png","Figure")</f>
        <v>Figure</v>
      </c>
      <c r="I4097">
        <v>0.70299999999999996</v>
      </c>
      <c r="J4097">
        <v>0.15</v>
      </c>
      <c r="K4097">
        <v>0.63</v>
      </c>
      <c r="L4097">
        <v>2.5999999999999999E-2</v>
      </c>
      <c r="M4097">
        <v>0.89600000000000002</v>
      </c>
      <c r="N4097">
        <v>0.79</v>
      </c>
    </row>
    <row r="4098" spans="1:14" x14ac:dyDescent="0.25">
      <c r="A4098" t="s">
        <v>7461</v>
      </c>
      <c r="B4098" t="s">
        <v>7462</v>
      </c>
      <c r="C4098" s="1" t="str">
        <f>HYPERLINK("http://www.genecards.org/cgi-bin/carddisp.pl?gene=NUDT7","GeneCards")</f>
        <v>GeneCards</v>
      </c>
      <c r="D4098" s="1" t="str">
        <f>HYPERLINK("http://genome-euro.ucsc.edu/cgi-bin/hgTracks?position=215818_at","UCSC")</f>
        <v>UCSC</v>
      </c>
      <c r="E4098" s="1" t="str">
        <f>HYPERLINK("http://www.ncbi.nlm.nih.gov/gene/?term=NUDT7","NCBI")</f>
        <v>NCBI</v>
      </c>
      <c r="F4098">
        <v>0.03</v>
      </c>
      <c r="G4098">
        <v>0.12</v>
      </c>
      <c r="H4098" s="1" t="str">
        <f>HYPERLINK("http://www.weizmann.ac.il/complex/compphys/software/geview/data/figures/215818_at.png","Figure")</f>
        <v>Figure</v>
      </c>
      <c r="I4098">
        <v>1.29</v>
      </c>
      <c r="J4098">
        <v>2.4E-2</v>
      </c>
      <c r="K4098">
        <v>1.1399999999999999</v>
      </c>
      <c r="L4098">
        <v>0.21</v>
      </c>
      <c r="M4098">
        <v>0.88500000000000001</v>
      </c>
      <c r="N4098">
        <v>0.28999999999999998</v>
      </c>
    </row>
    <row r="4099" spans="1:14" x14ac:dyDescent="0.25">
      <c r="A4099" t="s">
        <v>7463</v>
      </c>
      <c r="B4099" t="s">
        <v>7464</v>
      </c>
      <c r="C4099" s="1" t="str">
        <f>HYPERLINK("http://www.genecards.org/cgi-bin/carddisp.pl?gene=NR1H3","GeneCards")</f>
        <v>GeneCards</v>
      </c>
      <c r="D4099" s="1" t="str">
        <f>HYPERLINK("http://genome-euro.ucsc.edu/cgi-bin/hgTracks?position=217370_x_at","UCSC")</f>
        <v>UCSC</v>
      </c>
      <c r="E4099" s="1" t="str">
        <f>HYPERLINK("http://www.ncbi.nlm.nih.gov/gene/?term=NR1H3","NCBI")</f>
        <v>NCBI</v>
      </c>
      <c r="F4099">
        <v>0.03</v>
      </c>
      <c r="G4099">
        <v>0.12</v>
      </c>
      <c r="H4099" s="1" t="str">
        <f>HYPERLINK("http://www.weizmann.ac.il/complex/compphys/software/geview/data/figures/217370_x_at.png","Figure")</f>
        <v>Figure</v>
      </c>
      <c r="I4099">
        <v>1.1200000000000001</v>
      </c>
      <c r="J4099">
        <v>0.33</v>
      </c>
      <c r="K4099">
        <v>0.9</v>
      </c>
      <c r="L4099">
        <v>0.3</v>
      </c>
      <c r="M4099">
        <v>0.80200000000000005</v>
      </c>
      <c r="N4099">
        <v>2.5000000000000001E-2</v>
      </c>
    </row>
    <row r="4100" spans="1:14" x14ac:dyDescent="0.25">
      <c r="A4100" t="s">
        <v>7465</v>
      </c>
      <c r="B4100" t="s">
        <v>7466</v>
      </c>
      <c r="C4100" s="1" t="str">
        <f>HYPERLINK("http://www.genecards.org/cgi-bin/carddisp.pl?gene=PLAU","GeneCards")</f>
        <v>GeneCards</v>
      </c>
      <c r="D4100" s="1" t="str">
        <f>HYPERLINK("http://genome-euro.ucsc.edu/cgi-bin/hgTracks?position=211668_s_at","UCSC")</f>
        <v>UCSC</v>
      </c>
      <c r="E4100" s="1" t="str">
        <f>HYPERLINK("http://www.ncbi.nlm.nih.gov/gene/?term=PLAU","NCBI")</f>
        <v>NCBI</v>
      </c>
      <c r="F4100">
        <v>0.03</v>
      </c>
      <c r="G4100">
        <v>0.12</v>
      </c>
      <c r="H4100" s="1" t="str">
        <f>HYPERLINK("http://www.weizmann.ac.il/complex/compphys/software/geview/data/figures/211668_s_at.png","Figure")</f>
        <v>Figure</v>
      </c>
      <c r="I4100">
        <v>1.1599999999999999</v>
      </c>
      <c r="J4100">
        <v>2.4E-2</v>
      </c>
      <c r="K4100">
        <v>1.08</v>
      </c>
      <c r="L4100">
        <v>0.21</v>
      </c>
      <c r="M4100">
        <v>0.92900000000000005</v>
      </c>
      <c r="N4100">
        <v>0.28000000000000003</v>
      </c>
    </row>
    <row r="4101" spans="1:14" x14ac:dyDescent="0.25">
      <c r="A4101" t="s">
        <v>7467</v>
      </c>
      <c r="B4101" t="s">
        <v>7468</v>
      </c>
      <c r="C4101" s="1" t="str">
        <f>HYPERLINK("http://www.genecards.org/cgi-bin/carddisp.pl?gene=INO80D","GeneCards")</f>
        <v>GeneCards</v>
      </c>
      <c r="D4101" s="1" t="str">
        <f>HYPERLINK("http://genome-euro.ucsc.edu/cgi-bin/hgTracks?position=220165_at","UCSC")</f>
        <v>UCSC</v>
      </c>
      <c r="E4101" s="1" t="str">
        <f>HYPERLINK("http://www.ncbi.nlm.nih.gov/gene/?term=INO80D","NCBI")</f>
        <v>NCBI</v>
      </c>
      <c r="F4101">
        <v>0.03</v>
      </c>
      <c r="G4101">
        <v>0.12</v>
      </c>
      <c r="H4101" s="1" t="str">
        <f>HYPERLINK("http://www.weizmann.ac.il/complex/compphys/software/geview/data/figures/220165_at.png","Figure")</f>
        <v>Figure</v>
      </c>
      <c r="I4101">
        <v>1.34</v>
      </c>
      <c r="J4101">
        <v>2.5000000000000001E-2</v>
      </c>
      <c r="K4101">
        <v>1.1000000000000001</v>
      </c>
      <c r="L4101">
        <v>0.48</v>
      </c>
      <c r="M4101">
        <v>0.82599999999999996</v>
      </c>
      <c r="N4101">
        <v>0.12</v>
      </c>
    </row>
    <row r="4102" spans="1:14" x14ac:dyDescent="0.25">
      <c r="A4102" t="s">
        <v>7469</v>
      </c>
      <c r="B4102" t="s">
        <v>6282</v>
      </c>
      <c r="C4102" s="1" t="str">
        <f>HYPERLINK("http://www.genecards.org/cgi-bin/carddisp.pl?gene=EPS8L1","GeneCards")</f>
        <v>GeneCards</v>
      </c>
      <c r="D4102" s="1" t="str">
        <f>HYPERLINK("http://genome-euro.ucsc.edu/cgi-bin/hgTracks?position=91826_at","UCSC")</f>
        <v>UCSC</v>
      </c>
      <c r="E4102" s="1" t="str">
        <f>HYPERLINK("http://www.ncbi.nlm.nih.gov/gene/?term=EPS8L1","NCBI")</f>
        <v>NCBI</v>
      </c>
      <c r="F4102">
        <v>0.03</v>
      </c>
      <c r="G4102">
        <v>0.12</v>
      </c>
      <c r="H4102" s="1" t="str">
        <f>HYPERLINK("http://www.weizmann.ac.il/complex/compphys/software/geview/data/figures/91826_at.png","Figure")</f>
        <v>Figure</v>
      </c>
      <c r="I4102">
        <v>1.21</v>
      </c>
      <c r="J4102">
        <v>2.8000000000000001E-2</v>
      </c>
      <c r="K4102">
        <v>1.05</v>
      </c>
      <c r="L4102">
        <v>0.66</v>
      </c>
      <c r="M4102">
        <v>0.87</v>
      </c>
      <c r="N4102">
        <v>8.4000000000000005E-2</v>
      </c>
    </row>
    <row r="4103" spans="1:14" x14ac:dyDescent="0.25">
      <c r="A4103" t="s">
        <v>7470</v>
      </c>
      <c r="B4103" t="s">
        <v>7471</v>
      </c>
      <c r="C4103" s="1" t="str">
        <f>HYPERLINK("http://www.genecards.org/cgi-bin/carddisp.pl?gene=LOC171220","GeneCards")</f>
        <v>GeneCards</v>
      </c>
      <c r="D4103" s="1" t="str">
        <f>HYPERLINK("http://genome-euro.ucsc.edu/cgi-bin/hgTracks?position=211325_x_at","UCSC")</f>
        <v>UCSC</v>
      </c>
      <c r="E4103" s="1" t="str">
        <f>HYPERLINK("http://www.ncbi.nlm.nih.gov/gene/?term=LOC171220","NCBI")</f>
        <v>NCBI</v>
      </c>
      <c r="F4103">
        <v>0.03</v>
      </c>
      <c r="G4103">
        <v>0.12</v>
      </c>
      <c r="H4103" s="1" t="str">
        <f>HYPERLINK("http://www.weizmann.ac.il/complex/compphys/software/geview/data/figures/211325_x_at.png","Figure")</f>
        <v>Figure</v>
      </c>
      <c r="I4103">
        <v>1.26</v>
      </c>
      <c r="J4103">
        <v>3.2000000000000001E-2</v>
      </c>
      <c r="K4103">
        <v>1.18</v>
      </c>
      <c r="L4103">
        <v>8.5999999999999993E-2</v>
      </c>
      <c r="M4103">
        <v>0.93500000000000005</v>
      </c>
      <c r="N4103">
        <v>0.65</v>
      </c>
    </row>
    <row r="4104" spans="1:14" x14ac:dyDescent="0.25">
      <c r="A4104" t="s">
        <v>7472</v>
      </c>
      <c r="B4104" t="s">
        <v>7473</v>
      </c>
      <c r="C4104" s="1" t="str">
        <f>HYPERLINK("http://www.genecards.org/cgi-bin/carddisp.pl?gene=TPSD1","GeneCards")</f>
        <v>GeneCards</v>
      </c>
      <c r="D4104" s="1" t="str">
        <f>HYPERLINK("http://genome-euro.ucsc.edu/cgi-bin/hgTracks?position=214568_at","UCSC")</f>
        <v>UCSC</v>
      </c>
      <c r="E4104" s="1" t="str">
        <f>HYPERLINK("http://www.ncbi.nlm.nih.gov/gene/?term=TPSD1","NCBI")</f>
        <v>NCBI</v>
      </c>
      <c r="F4104">
        <v>0.03</v>
      </c>
      <c r="G4104">
        <v>0.12</v>
      </c>
      <c r="H4104" s="1" t="str">
        <f>HYPERLINK("http://www.weizmann.ac.il/complex/compphys/software/geview/data/figures/214568_at.png","Figure")</f>
        <v>Figure</v>
      </c>
      <c r="I4104">
        <v>1.42</v>
      </c>
      <c r="J4104">
        <v>2.3E-2</v>
      </c>
      <c r="K4104">
        <v>1.18</v>
      </c>
      <c r="L4104">
        <v>0.26</v>
      </c>
      <c r="M4104">
        <v>0.83</v>
      </c>
      <c r="N4104">
        <v>0.23</v>
      </c>
    </row>
    <row r="4105" spans="1:14" x14ac:dyDescent="0.25">
      <c r="A4105" t="s">
        <v>7474</v>
      </c>
      <c r="B4105" t="s">
        <v>7475</v>
      </c>
      <c r="C4105" s="1" t="str">
        <f>HYPERLINK("http://www.genecards.org/cgi-bin/carddisp.pl?gene=SIL1","GeneCards")</f>
        <v>GeneCards</v>
      </c>
      <c r="D4105" s="1" t="str">
        <f>HYPERLINK("http://genome-euro.ucsc.edu/cgi-bin/hgTracks?position=218436_at","UCSC")</f>
        <v>UCSC</v>
      </c>
      <c r="E4105" s="1" t="str">
        <f>HYPERLINK("http://www.ncbi.nlm.nih.gov/gene/?term=SIL1","NCBI")</f>
        <v>NCBI</v>
      </c>
      <c r="F4105">
        <v>0.03</v>
      </c>
      <c r="G4105">
        <v>0.12</v>
      </c>
      <c r="H4105" s="1" t="str">
        <f>HYPERLINK("http://www.weizmann.ac.il/complex/compphys/software/geview/data/figures/218436_at.png","Figure")</f>
        <v>Figure</v>
      </c>
      <c r="I4105">
        <v>0.754</v>
      </c>
      <c r="J4105">
        <v>3.1E-2</v>
      </c>
      <c r="K4105">
        <v>0.94499999999999995</v>
      </c>
      <c r="L4105">
        <v>0.79</v>
      </c>
      <c r="M4105">
        <v>1.25</v>
      </c>
      <c r="N4105">
        <v>6.5000000000000002E-2</v>
      </c>
    </row>
    <row r="4106" spans="1:14" x14ac:dyDescent="0.25">
      <c r="A4106" t="s">
        <v>7476</v>
      </c>
      <c r="B4106" t="s">
        <v>7477</v>
      </c>
      <c r="C4106" s="1" t="str">
        <f>HYPERLINK("http://www.genecards.org/cgi-bin/carddisp.pl?gene=ADAM10","GeneCards")</f>
        <v>GeneCards</v>
      </c>
      <c r="D4106" s="1" t="str">
        <f>HYPERLINK("http://genome-euro.ucsc.edu/cgi-bin/hgTracks?position=202604_x_at","UCSC")</f>
        <v>UCSC</v>
      </c>
      <c r="E4106" s="1" t="str">
        <f>HYPERLINK("http://www.ncbi.nlm.nih.gov/gene/?term=ADAM10","NCBI")</f>
        <v>NCBI</v>
      </c>
      <c r="F4106">
        <v>0.03</v>
      </c>
      <c r="G4106">
        <v>0.12</v>
      </c>
      <c r="H4106" s="1" t="str">
        <f>HYPERLINK("http://www.weizmann.ac.il/complex/compphys/software/geview/data/figures/202604_x_at.png","Figure")</f>
        <v>Figure</v>
      </c>
      <c r="I4106">
        <v>1.46</v>
      </c>
      <c r="J4106">
        <v>4.5999999999999999E-2</v>
      </c>
      <c r="K4106">
        <v>1.38</v>
      </c>
      <c r="L4106">
        <v>5.1999999999999998E-2</v>
      </c>
      <c r="M4106">
        <v>0.94599999999999995</v>
      </c>
      <c r="N4106">
        <v>0.91</v>
      </c>
    </row>
    <row r="4107" spans="1:14" x14ac:dyDescent="0.25">
      <c r="A4107" t="s">
        <v>7478</v>
      </c>
      <c r="B4107" t="s">
        <v>7479</v>
      </c>
      <c r="C4107" s="1" t="str">
        <f>HYPERLINK("http://www.genecards.org/cgi-bin/carddisp.pl?gene=AGTPBP1","GeneCards")</f>
        <v>GeneCards</v>
      </c>
      <c r="D4107" s="1" t="str">
        <f>HYPERLINK("http://genome-euro.ucsc.edu/cgi-bin/hgTracks?position=204499_at","UCSC")</f>
        <v>UCSC</v>
      </c>
      <c r="E4107" s="1" t="str">
        <f>HYPERLINK("http://www.ncbi.nlm.nih.gov/gene/?term=AGTPBP1","NCBI")</f>
        <v>NCBI</v>
      </c>
      <c r="F4107">
        <v>0.03</v>
      </c>
      <c r="G4107">
        <v>0.12</v>
      </c>
      <c r="H4107" s="1" t="str">
        <f>HYPERLINK("http://www.weizmann.ac.il/complex/compphys/software/geview/data/figures/204499_at.png","Figure")</f>
        <v>Figure</v>
      </c>
      <c r="I4107">
        <v>0.84</v>
      </c>
      <c r="J4107">
        <v>3.9E-2</v>
      </c>
      <c r="K4107">
        <v>0.98299999999999998</v>
      </c>
      <c r="L4107">
        <v>0.94</v>
      </c>
      <c r="M4107">
        <v>1.17</v>
      </c>
      <c r="N4107">
        <v>4.7E-2</v>
      </c>
    </row>
    <row r="4108" spans="1:14" x14ac:dyDescent="0.25">
      <c r="A4108" t="s">
        <v>7480</v>
      </c>
      <c r="B4108" t="s">
        <v>7481</v>
      </c>
      <c r="C4108" s="1" t="str">
        <f>HYPERLINK("http://www.genecards.org/cgi-bin/carddisp.pl?gene=ZNF277","GeneCards")</f>
        <v>GeneCards</v>
      </c>
      <c r="D4108" s="1" t="str">
        <f>HYPERLINK("http://genome-euro.ucsc.edu/cgi-bin/hgTracks?position=215887_at","UCSC")</f>
        <v>UCSC</v>
      </c>
      <c r="E4108" s="1" t="str">
        <f>HYPERLINK("http://www.ncbi.nlm.nih.gov/gene/?term=ZNF277","NCBI")</f>
        <v>NCBI</v>
      </c>
      <c r="F4108">
        <v>0.03</v>
      </c>
      <c r="G4108">
        <v>0.12</v>
      </c>
      <c r="H4108" s="1" t="str">
        <f>HYPERLINK("http://www.weizmann.ac.il/complex/compphys/software/geview/data/figures/215887_at.png","Figure")</f>
        <v>Figure</v>
      </c>
      <c r="I4108">
        <v>1.26</v>
      </c>
      <c r="J4108">
        <v>3.2000000000000001E-2</v>
      </c>
      <c r="K4108">
        <v>1.18</v>
      </c>
      <c r="L4108">
        <v>8.5000000000000006E-2</v>
      </c>
      <c r="M4108">
        <v>0.93500000000000005</v>
      </c>
      <c r="N4108">
        <v>0.65</v>
      </c>
    </row>
    <row r="4109" spans="1:14" x14ac:dyDescent="0.25">
      <c r="A4109" t="s">
        <v>7482</v>
      </c>
      <c r="B4109" t="s">
        <v>7483</v>
      </c>
      <c r="C4109" s="1" t="str">
        <f>HYPERLINK("http://www.genecards.org/cgi-bin/carddisp.pl?gene=ICAM2","GeneCards")</f>
        <v>GeneCards</v>
      </c>
      <c r="D4109" s="1" t="str">
        <f>HYPERLINK("http://genome-euro.ucsc.edu/cgi-bin/hgTracks?position=204683_at","UCSC")</f>
        <v>UCSC</v>
      </c>
      <c r="E4109" s="1" t="str">
        <f>HYPERLINK("http://www.ncbi.nlm.nih.gov/gene/?term=ICAM2","NCBI")</f>
        <v>NCBI</v>
      </c>
      <c r="F4109">
        <v>0.03</v>
      </c>
      <c r="G4109">
        <v>0.12</v>
      </c>
      <c r="H4109" s="1" t="str">
        <f>HYPERLINK("http://www.weizmann.ac.il/complex/compphys/software/geview/data/figures/204683_at.png","Figure")</f>
        <v>Figure</v>
      </c>
      <c r="I4109">
        <v>0.77600000000000002</v>
      </c>
      <c r="J4109">
        <v>0.38</v>
      </c>
      <c r="K4109">
        <v>1.31</v>
      </c>
      <c r="L4109">
        <v>0.26</v>
      </c>
      <c r="M4109">
        <v>1.68</v>
      </c>
      <c r="N4109">
        <v>2.5000000000000001E-2</v>
      </c>
    </row>
    <row r="4110" spans="1:14" x14ac:dyDescent="0.25">
      <c r="A4110" t="s">
        <v>7484</v>
      </c>
      <c r="B4110" t="s">
        <v>7485</v>
      </c>
      <c r="C4110" s="1" t="str">
        <f>HYPERLINK("http://www.genecards.org/cgi-bin/carddisp.pl?gene=MAGED2","GeneCards")</f>
        <v>GeneCards</v>
      </c>
      <c r="D4110" s="1" t="str">
        <f>HYPERLINK("http://genome-euro.ucsc.edu/cgi-bin/hgTracks?position=208682_s_at","UCSC")</f>
        <v>UCSC</v>
      </c>
      <c r="E4110" s="1" t="str">
        <f>HYPERLINK("http://www.ncbi.nlm.nih.gov/gene/?term=MAGED2","NCBI")</f>
        <v>NCBI</v>
      </c>
      <c r="F4110">
        <v>0.03</v>
      </c>
      <c r="G4110">
        <v>0.12</v>
      </c>
      <c r="H4110" s="1" t="str">
        <f>HYPERLINK("http://www.weizmann.ac.il/complex/compphys/software/geview/data/figures/208682_s_at.png","Figure")</f>
        <v>Figure</v>
      </c>
      <c r="I4110">
        <v>0.78900000000000003</v>
      </c>
      <c r="J4110">
        <v>0.04</v>
      </c>
      <c r="K4110">
        <v>0.82799999999999996</v>
      </c>
      <c r="L4110">
        <v>6.2E-2</v>
      </c>
      <c r="M4110">
        <v>1.05</v>
      </c>
      <c r="N4110">
        <v>0.82</v>
      </c>
    </row>
    <row r="4111" spans="1:14" x14ac:dyDescent="0.25">
      <c r="A4111" t="s">
        <v>7486</v>
      </c>
      <c r="B4111" t="s">
        <v>7487</v>
      </c>
      <c r="C4111" s="1" t="str">
        <f>HYPERLINK("http://www.genecards.org/cgi-bin/carddisp.pl?gene=APBA2","GeneCards")</f>
        <v>GeneCards</v>
      </c>
      <c r="D4111" s="1" t="str">
        <f>HYPERLINK("http://genome-euro.ucsc.edu/cgi-bin/hgTracks?position=209870_s_at","UCSC")</f>
        <v>UCSC</v>
      </c>
      <c r="E4111" s="1" t="str">
        <f>HYPERLINK("http://www.ncbi.nlm.nih.gov/gene/?term=APBA2","NCBI")</f>
        <v>NCBI</v>
      </c>
      <c r="F4111">
        <v>0.03</v>
      </c>
      <c r="G4111">
        <v>0.12</v>
      </c>
      <c r="H4111" s="1" t="str">
        <f>HYPERLINK("http://www.weizmann.ac.il/complex/compphys/software/geview/data/figures/209870_s_at.png","Figure")</f>
        <v>Figure</v>
      </c>
      <c r="I4111">
        <v>1.17</v>
      </c>
      <c r="J4111">
        <v>0.22</v>
      </c>
      <c r="K4111">
        <v>0.90700000000000003</v>
      </c>
      <c r="L4111">
        <v>0.45</v>
      </c>
      <c r="M4111">
        <v>0.77600000000000002</v>
      </c>
      <c r="N4111">
        <v>2.3E-2</v>
      </c>
    </row>
    <row r="4112" spans="1:14" x14ac:dyDescent="0.25">
      <c r="A4112" t="s">
        <v>7488</v>
      </c>
      <c r="B4112" t="s">
        <v>7489</v>
      </c>
      <c r="C4112" s="1" t="str">
        <f>HYPERLINK("http://www.genecards.org/cgi-bin/carddisp.pl?gene=TELO2","GeneCards")</f>
        <v>GeneCards</v>
      </c>
      <c r="D4112" s="1" t="str">
        <f>HYPERLINK("http://genome-euro.ucsc.edu/cgi-bin/hgTracks?position=34260_at","UCSC")</f>
        <v>UCSC</v>
      </c>
      <c r="E4112" s="1" t="str">
        <f>HYPERLINK("http://www.ncbi.nlm.nih.gov/gene/?term=TELO2","NCBI")</f>
        <v>NCBI</v>
      </c>
      <c r="F4112">
        <v>0.03</v>
      </c>
      <c r="G4112">
        <v>0.12</v>
      </c>
      <c r="H4112" s="1" t="str">
        <f>HYPERLINK("http://www.weizmann.ac.il/complex/compphys/software/geview/data/figures/34260_at.png","Figure")</f>
        <v>Figure</v>
      </c>
      <c r="I4112">
        <v>0.72199999999999998</v>
      </c>
      <c r="J4112">
        <v>9.4E-2</v>
      </c>
      <c r="K4112">
        <v>1.08</v>
      </c>
      <c r="L4112">
        <v>0.83</v>
      </c>
      <c r="M4112">
        <v>1.49</v>
      </c>
      <c r="N4112">
        <v>2.5999999999999999E-2</v>
      </c>
    </row>
    <row r="4113" spans="1:14" x14ac:dyDescent="0.25">
      <c r="A4113" t="s">
        <v>7490</v>
      </c>
      <c r="B4113" t="s">
        <v>7491</v>
      </c>
      <c r="C4113" s="1" t="str">
        <f>HYPERLINK("http://www.genecards.org/cgi-bin/carddisp.pl?gene=CTNS","GeneCards")</f>
        <v>GeneCards</v>
      </c>
      <c r="D4113" s="1" t="str">
        <f>HYPERLINK("http://genome-euro.ucsc.edu/cgi-bin/hgTracks?position=36566_at","UCSC")</f>
        <v>UCSC</v>
      </c>
      <c r="E4113" s="1" t="str">
        <f>HYPERLINK("http://www.ncbi.nlm.nih.gov/gene/?term=CTNS","NCBI")</f>
        <v>NCBI</v>
      </c>
      <c r="F4113">
        <v>0.03</v>
      </c>
      <c r="G4113">
        <v>0.12</v>
      </c>
      <c r="H4113" s="1" t="str">
        <f>HYPERLINK("http://www.weizmann.ac.il/complex/compphys/software/geview/data/figures/36566_at.png","Figure")</f>
        <v>Figure</v>
      </c>
      <c r="I4113">
        <v>1.1599999999999999</v>
      </c>
      <c r="J4113">
        <v>0.14000000000000001</v>
      </c>
      <c r="K4113">
        <v>1.21</v>
      </c>
      <c r="L4113">
        <v>2.5999999999999999E-2</v>
      </c>
      <c r="M4113">
        <v>1.04</v>
      </c>
      <c r="N4113">
        <v>0.81</v>
      </c>
    </row>
    <row r="4114" spans="1:14" x14ac:dyDescent="0.25">
      <c r="A4114" t="s">
        <v>7492</v>
      </c>
      <c r="B4114" t="s">
        <v>7493</v>
      </c>
      <c r="C4114" s="1" t="str">
        <f>HYPERLINK("http://www.genecards.org/cgi-bin/carddisp.pl?gene=C19orf29","GeneCards")</f>
        <v>GeneCards</v>
      </c>
      <c r="D4114" s="1" t="str">
        <f>HYPERLINK("http://genome-euro.ucsc.edu/cgi-bin/hgTracks?position=213815_x_at","UCSC")</f>
        <v>UCSC</v>
      </c>
      <c r="E4114" s="1" t="str">
        <f>HYPERLINK("http://www.ncbi.nlm.nih.gov/gene/?term=C19orf29","NCBI")</f>
        <v>NCBI</v>
      </c>
      <c r="F4114">
        <v>0.03</v>
      </c>
      <c r="G4114">
        <v>0.12</v>
      </c>
      <c r="H4114" s="1" t="str">
        <f>HYPERLINK("http://www.weizmann.ac.il/complex/compphys/software/geview/data/figures/213815_x_at.png","Figure")</f>
        <v>Figure</v>
      </c>
      <c r="I4114">
        <v>1.1599999999999999</v>
      </c>
      <c r="J4114">
        <v>6.2E-2</v>
      </c>
      <c r="K4114">
        <v>0.99</v>
      </c>
      <c r="L4114">
        <v>0.98</v>
      </c>
      <c r="M4114">
        <v>0.85499999999999998</v>
      </c>
      <c r="N4114">
        <v>3.2000000000000001E-2</v>
      </c>
    </row>
    <row r="4115" spans="1:14" x14ac:dyDescent="0.25">
      <c r="A4115" t="s">
        <v>7494</v>
      </c>
      <c r="B4115" t="s">
        <v>6542</v>
      </c>
      <c r="C4115" s="1" t="str">
        <f>HYPERLINK("http://www.genecards.org/cgi-bin/carddisp.pl?gene=CDC42BPA","GeneCards")</f>
        <v>GeneCards</v>
      </c>
      <c r="D4115" s="1" t="str">
        <f>HYPERLINK("http://genome-euro.ucsc.edu/cgi-bin/hgTracks?position=214464_at","UCSC")</f>
        <v>UCSC</v>
      </c>
      <c r="E4115" s="1" t="str">
        <f>HYPERLINK("http://www.ncbi.nlm.nih.gov/gene/?term=CDC42BPA","NCBI")</f>
        <v>NCBI</v>
      </c>
      <c r="F4115">
        <v>0.03</v>
      </c>
      <c r="G4115">
        <v>0.12</v>
      </c>
      <c r="H4115" s="1" t="str">
        <f>HYPERLINK("http://www.weizmann.ac.il/complex/compphys/software/geview/data/figures/214464_at.png","Figure")</f>
        <v>Figure</v>
      </c>
      <c r="I4115">
        <v>2.23</v>
      </c>
      <c r="J4115">
        <v>7.0000000000000007E-2</v>
      </c>
      <c r="K4115">
        <v>2.23</v>
      </c>
      <c r="L4115">
        <v>3.6999999999999998E-2</v>
      </c>
      <c r="M4115">
        <v>1</v>
      </c>
      <c r="N4115">
        <v>1</v>
      </c>
    </row>
    <row r="4116" spans="1:14" x14ac:dyDescent="0.25">
      <c r="A4116" t="s">
        <v>7495</v>
      </c>
      <c r="B4116" t="s">
        <v>7496</v>
      </c>
      <c r="C4116" s="1" t="str">
        <f>HYPERLINK("http://www.genecards.org/cgi-bin/carddisp.pl?gene=ANKRD12","GeneCards")</f>
        <v>GeneCards</v>
      </c>
      <c r="D4116" s="1" t="str">
        <f>HYPERLINK("http://genome-euro.ucsc.edu/cgi-bin/hgTracks?position=216550_x_at","UCSC")</f>
        <v>UCSC</v>
      </c>
      <c r="E4116" s="1" t="str">
        <f>HYPERLINK("http://www.ncbi.nlm.nih.gov/gene/?term=ANKRD12","NCBI")</f>
        <v>NCBI</v>
      </c>
      <c r="F4116">
        <v>0.03</v>
      </c>
      <c r="G4116">
        <v>0.12</v>
      </c>
      <c r="H4116" s="1" t="str">
        <f>HYPERLINK("http://www.weizmann.ac.il/complex/compphys/software/geview/data/figures/216550_x_at.png","Figure")</f>
        <v>Figure</v>
      </c>
      <c r="I4116">
        <v>0.53</v>
      </c>
      <c r="J4116">
        <v>4.8000000000000001E-2</v>
      </c>
      <c r="K4116">
        <v>0.57699999999999996</v>
      </c>
      <c r="L4116">
        <v>0.05</v>
      </c>
      <c r="M4116">
        <v>1.0900000000000001</v>
      </c>
      <c r="N4116">
        <v>0.92</v>
      </c>
    </row>
    <row r="4117" spans="1:14" x14ac:dyDescent="0.25">
      <c r="A4117" t="s">
        <v>7497</v>
      </c>
      <c r="B4117" t="s">
        <v>7498</v>
      </c>
      <c r="C4117" s="1" t="str">
        <f>HYPERLINK("http://www.genecards.org/cgi-bin/carddisp.pl?gene=FNDC4","GeneCards")</f>
        <v>GeneCards</v>
      </c>
      <c r="D4117" s="1" t="str">
        <f>HYPERLINK("http://genome-euro.ucsc.edu/cgi-bin/hgTracks?position=218843_at","UCSC")</f>
        <v>UCSC</v>
      </c>
      <c r="E4117" s="1" t="str">
        <f>HYPERLINK("http://www.ncbi.nlm.nih.gov/gene/?term=FNDC4","NCBI")</f>
        <v>NCBI</v>
      </c>
      <c r="F4117">
        <v>0.03</v>
      </c>
      <c r="G4117">
        <v>0.12</v>
      </c>
      <c r="H4117" s="1" t="str">
        <f>HYPERLINK("http://www.weizmann.ac.il/complex/compphys/software/geview/data/figures/218843_at.png","Figure")</f>
        <v>Figure</v>
      </c>
      <c r="I4117">
        <v>1.6</v>
      </c>
      <c r="J4117">
        <v>2.4E-2</v>
      </c>
      <c r="K4117">
        <v>1.19</v>
      </c>
      <c r="L4117">
        <v>0.42</v>
      </c>
      <c r="M4117">
        <v>0.745</v>
      </c>
      <c r="N4117">
        <v>0.14000000000000001</v>
      </c>
    </row>
    <row r="4118" spans="1:14" x14ac:dyDescent="0.25">
      <c r="A4118" t="s">
        <v>7499</v>
      </c>
      <c r="B4118" t="s">
        <v>7500</v>
      </c>
      <c r="C4118" s="1" t="str">
        <f>HYPERLINK("http://www.genecards.org/cgi-bin/carddisp.pl?gene=IGHMBP2","GeneCards")</f>
        <v>GeneCards</v>
      </c>
      <c r="D4118" s="1" t="str">
        <f>HYPERLINK("http://genome-euro.ucsc.edu/cgi-bin/hgTracks?position=215980_s_at","UCSC")</f>
        <v>UCSC</v>
      </c>
      <c r="E4118" s="1" t="str">
        <f>HYPERLINK("http://www.ncbi.nlm.nih.gov/gene/?term=IGHMBP2","NCBI")</f>
        <v>NCBI</v>
      </c>
      <c r="F4118">
        <v>0.03</v>
      </c>
      <c r="G4118">
        <v>0.12</v>
      </c>
      <c r="H4118" s="1" t="str">
        <f>HYPERLINK("http://www.weizmann.ac.il/complex/compphys/software/geview/data/figures/215980_s_at.png","Figure")</f>
        <v>Figure</v>
      </c>
      <c r="I4118">
        <v>1.21</v>
      </c>
      <c r="J4118">
        <v>2.5000000000000001E-2</v>
      </c>
      <c r="K4118">
        <v>1.07</v>
      </c>
      <c r="L4118">
        <v>0.48</v>
      </c>
      <c r="M4118">
        <v>0.88200000000000001</v>
      </c>
      <c r="N4118">
        <v>0.12</v>
      </c>
    </row>
    <row r="4119" spans="1:14" x14ac:dyDescent="0.25">
      <c r="A4119" t="s">
        <v>7501</v>
      </c>
      <c r="B4119" t="s">
        <v>7502</v>
      </c>
      <c r="C4119" s="1" t="str">
        <f>HYPERLINK("http://www.genecards.org/cgi-bin/carddisp.pl?gene=RBPJL","GeneCards")</f>
        <v>GeneCards</v>
      </c>
      <c r="D4119" s="1" t="str">
        <f>HYPERLINK("http://genome-euro.ucsc.edu/cgi-bin/hgTracks?position=221377_s_at","UCSC")</f>
        <v>UCSC</v>
      </c>
      <c r="E4119" s="1" t="str">
        <f>HYPERLINK("http://www.ncbi.nlm.nih.gov/gene/?term=RBPJL","NCBI")</f>
        <v>NCBI</v>
      </c>
      <c r="F4119">
        <v>0.03</v>
      </c>
      <c r="G4119">
        <v>0.12</v>
      </c>
      <c r="H4119" s="1" t="str">
        <f>HYPERLINK("http://www.weizmann.ac.il/complex/compphys/software/geview/data/figures/221377_s_at.png","Figure")</f>
        <v>Figure</v>
      </c>
      <c r="I4119">
        <v>1.1100000000000001</v>
      </c>
      <c r="J4119">
        <v>6.8000000000000005E-2</v>
      </c>
      <c r="K4119">
        <v>1.1100000000000001</v>
      </c>
      <c r="L4119">
        <v>3.6999999999999998E-2</v>
      </c>
      <c r="M4119">
        <v>0.999</v>
      </c>
      <c r="N4119">
        <v>1</v>
      </c>
    </row>
    <row r="4120" spans="1:14" x14ac:dyDescent="0.25">
      <c r="A4120" t="s">
        <v>7503</v>
      </c>
      <c r="B4120" t="s">
        <v>7504</v>
      </c>
      <c r="C4120" s="1" t="str">
        <f>HYPERLINK("http://www.genecards.org/cgi-bin/carddisp.pl?gene=RRM1","GeneCards")</f>
        <v>GeneCards</v>
      </c>
      <c r="D4120" s="1" t="str">
        <f>HYPERLINK("http://genome-euro.ucsc.edu/cgi-bin/hgTracks?position=201476_s_at","UCSC")</f>
        <v>UCSC</v>
      </c>
      <c r="E4120" s="1" t="str">
        <f>HYPERLINK("http://www.ncbi.nlm.nih.gov/gene/?term=RRM1","NCBI")</f>
        <v>NCBI</v>
      </c>
      <c r="F4120">
        <v>0.03</v>
      </c>
      <c r="G4120">
        <v>0.12</v>
      </c>
      <c r="H4120" s="1" t="str">
        <f>HYPERLINK("http://www.weizmann.ac.il/complex/compphys/software/geview/data/figures/201476_s_at.png","Figure")</f>
        <v>Figure</v>
      </c>
      <c r="I4120">
        <v>1.56</v>
      </c>
      <c r="J4120">
        <v>2.5999999999999999E-2</v>
      </c>
      <c r="K4120">
        <v>1.29</v>
      </c>
      <c r="L4120">
        <v>0.15</v>
      </c>
      <c r="M4120">
        <v>0.83199999999999996</v>
      </c>
      <c r="N4120">
        <v>0.4</v>
      </c>
    </row>
    <row r="4121" spans="1:14" x14ac:dyDescent="0.25">
      <c r="A4121" t="s">
        <v>7505</v>
      </c>
      <c r="B4121" t="s">
        <v>3651</v>
      </c>
      <c r="C4121" s="1" t="str">
        <f>HYPERLINK("http://www.genecards.org/cgi-bin/carddisp.pl?gene=GLRX3","GeneCards")</f>
        <v>GeneCards</v>
      </c>
      <c r="D4121" s="1" t="str">
        <f>HYPERLINK("http://genome-euro.ucsc.edu/cgi-bin/hgTracks?position=209080_x_at","UCSC")</f>
        <v>UCSC</v>
      </c>
      <c r="E4121" s="1" t="str">
        <f>HYPERLINK("http://www.ncbi.nlm.nih.gov/gene/?term=GLRX3","NCBI")</f>
        <v>NCBI</v>
      </c>
      <c r="F4121">
        <v>0.03</v>
      </c>
      <c r="G4121">
        <v>0.12</v>
      </c>
      <c r="H4121" s="1" t="str">
        <f>HYPERLINK("http://www.weizmann.ac.il/complex/compphys/software/geview/data/figures/209080_x_at.png","Figure")</f>
        <v>Figure</v>
      </c>
      <c r="I4121">
        <v>0.97499999999999998</v>
      </c>
      <c r="J4121">
        <v>0.99</v>
      </c>
      <c r="K4121">
        <v>1.44</v>
      </c>
      <c r="L4121">
        <v>5.8999999999999997E-2</v>
      </c>
      <c r="M4121">
        <v>1.48</v>
      </c>
      <c r="N4121">
        <v>0.06</v>
      </c>
    </row>
    <row r="4122" spans="1:14" x14ac:dyDescent="0.25">
      <c r="A4122" t="s">
        <v>7506</v>
      </c>
      <c r="B4122" t="s">
        <v>7507</v>
      </c>
      <c r="C4122" s="1" t="str">
        <f>HYPERLINK("http://www.genecards.org/cgi-bin/carddisp.pl?gene=CYTH1","GeneCards")</f>
        <v>GeneCards</v>
      </c>
      <c r="D4122" s="1" t="str">
        <f>HYPERLINK("http://genome-euro.ucsc.edu/cgi-bin/hgTracks?position=202879_s_at","UCSC")</f>
        <v>UCSC</v>
      </c>
      <c r="E4122" s="1" t="str">
        <f>HYPERLINK("http://www.ncbi.nlm.nih.gov/gene/?term=CYTH1","NCBI")</f>
        <v>NCBI</v>
      </c>
      <c r="F4122">
        <v>0.03</v>
      </c>
      <c r="G4122">
        <v>0.12</v>
      </c>
      <c r="H4122" s="1" t="str">
        <f>HYPERLINK("http://www.weizmann.ac.il/complex/compphys/software/geview/data/figures/202879_s_at.png","Figure")</f>
        <v>Figure</v>
      </c>
      <c r="I4122">
        <v>1.24</v>
      </c>
      <c r="J4122">
        <v>2.4E-2</v>
      </c>
      <c r="K4122">
        <v>1.1000000000000001</v>
      </c>
      <c r="L4122">
        <v>0.28000000000000003</v>
      </c>
      <c r="M4122">
        <v>0.89100000000000001</v>
      </c>
      <c r="N4122">
        <v>0.22</v>
      </c>
    </row>
    <row r="4123" spans="1:14" x14ac:dyDescent="0.25">
      <c r="A4123" t="s">
        <v>7508</v>
      </c>
      <c r="B4123" t="s">
        <v>7509</v>
      </c>
      <c r="C4123" s="1" t="str">
        <f>HYPERLINK("http://www.genecards.org/cgi-bin/carddisp.pl?gene=CASD1","GeneCards")</f>
        <v>GeneCards</v>
      </c>
      <c r="D4123" s="1" t="str">
        <f>HYPERLINK("http://genome-euro.ucsc.edu/cgi-bin/hgTracks?position=219342_at","UCSC")</f>
        <v>UCSC</v>
      </c>
      <c r="E4123" s="1" t="str">
        <f>HYPERLINK("http://www.ncbi.nlm.nih.gov/gene/?term=CASD1","NCBI")</f>
        <v>NCBI</v>
      </c>
      <c r="F4123">
        <v>0.03</v>
      </c>
      <c r="G4123">
        <v>0.12</v>
      </c>
      <c r="H4123" s="1" t="str">
        <f>HYPERLINK("http://www.weizmann.ac.il/complex/compphys/software/geview/data/figures/219342_at.png","Figure")</f>
        <v>Figure</v>
      </c>
      <c r="I4123">
        <v>0.54900000000000004</v>
      </c>
      <c r="J4123">
        <v>4.8000000000000001E-2</v>
      </c>
      <c r="K4123">
        <v>0.59399999999999997</v>
      </c>
      <c r="L4123">
        <v>0.05</v>
      </c>
      <c r="M4123">
        <v>1.08</v>
      </c>
      <c r="N4123">
        <v>0.92</v>
      </c>
    </row>
    <row r="4124" spans="1:14" x14ac:dyDescent="0.25">
      <c r="A4124" t="s">
        <v>7510</v>
      </c>
      <c r="B4124" t="s">
        <v>4659</v>
      </c>
      <c r="C4124" s="1" t="str">
        <f>HYPERLINK("http://www.genecards.org/cgi-bin/carddisp.pl?gene=RYBP","GeneCards")</f>
        <v>GeneCards</v>
      </c>
      <c r="D4124" s="1" t="str">
        <f>HYPERLINK("http://genome-euro.ucsc.edu/cgi-bin/hgTracks?position=201845_s_at","UCSC")</f>
        <v>UCSC</v>
      </c>
      <c r="E4124" s="1" t="str">
        <f>HYPERLINK("http://www.ncbi.nlm.nih.gov/gene/?term=RYBP","NCBI")</f>
        <v>NCBI</v>
      </c>
      <c r="F4124">
        <v>0.03</v>
      </c>
      <c r="G4124">
        <v>0.12</v>
      </c>
      <c r="H4124" s="1" t="str">
        <f>HYPERLINK("http://www.weizmann.ac.il/complex/compphys/software/geview/data/figures/201845_s_at.png","Figure")</f>
        <v>Figure</v>
      </c>
      <c r="I4124">
        <v>0.35099999999999998</v>
      </c>
      <c r="J4124">
        <v>2.7E-2</v>
      </c>
      <c r="K4124">
        <v>0.52500000000000002</v>
      </c>
      <c r="L4124">
        <v>0.13</v>
      </c>
      <c r="M4124">
        <v>1.5</v>
      </c>
      <c r="N4124">
        <v>0.46</v>
      </c>
    </row>
    <row r="4125" spans="1:14" x14ac:dyDescent="0.25">
      <c r="A4125" t="s">
        <v>7511</v>
      </c>
      <c r="B4125" t="s">
        <v>2444</v>
      </c>
      <c r="C4125" s="1" t="str">
        <f>HYPERLINK("http://www.genecards.org/cgi-bin/carddisp.pl?gene=RIOK3","GeneCards")</f>
        <v>GeneCards</v>
      </c>
      <c r="D4125" s="1" t="str">
        <f>HYPERLINK("http://genome-euro.ucsc.edu/cgi-bin/hgTracks?position=202130_at","UCSC")</f>
        <v>UCSC</v>
      </c>
      <c r="E4125" s="1" t="str">
        <f>HYPERLINK("http://www.ncbi.nlm.nih.gov/gene/?term=RIOK3","NCBI")</f>
        <v>NCBI</v>
      </c>
      <c r="F4125">
        <v>0.03</v>
      </c>
      <c r="G4125">
        <v>0.12</v>
      </c>
      <c r="H4125" s="1" t="str">
        <f>HYPERLINK("http://www.weizmann.ac.il/complex/compphys/software/geview/data/figures/202130_at.png","Figure")</f>
        <v>Figure</v>
      </c>
      <c r="I4125">
        <v>0.59199999999999997</v>
      </c>
      <c r="J4125">
        <v>8.4000000000000005E-2</v>
      </c>
      <c r="K4125">
        <v>0.57099999999999995</v>
      </c>
      <c r="L4125">
        <v>3.3000000000000002E-2</v>
      </c>
      <c r="M4125">
        <v>0.96499999999999997</v>
      </c>
      <c r="N4125">
        <v>0.98</v>
      </c>
    </row>
    <row r="4126" spans="1:14" x14ac:dyDescent="0.25">
      <c r="A4126" t="s">
        <v>7512</v>
      </c>
      <c r="B4126" t="s">
        <v>7513</v>
      </c>
      <c r="C4126" s="1" t="str">
        <f>HYPERLINK("http://www.genecards.org/cgi-bin/carddisp.pl?gene=NTHL1","GeneCards")</f>
        <v>GeneCards</v>
      </c>
      <c r="D4126" s="1" t="str">
        <f>HYPERLINK("http://genome-euro.ucsc.edu/cgi-bin/hgTracks?position=209731_at","UCSC")</f>
        <v>UCSC</v>
      </c>
      <c r="E4126" s="1" t="str">
        <f>HYPERLINK("http://www.ncbi.nlm.nih.gov/gene/?term=NTHL1","NCBI")</f>
        <v>NCBI</v>
      </c>
      <c r="F4126">
        <v>0.03</v>
      </c>
      <c r="G4126">
        <v>0.12</v>
      </c>
      <c r="H4126" s="1" t="str">
        <f>HYPERLINK("http://www.weizmann.ac.il/complex/compphys/software/geview/data/figures/209731_at.png","Figure")</f>
        <v>Figure</v>
      </c>
      <c r="I4126">
        <v>0.95899999999999996</v>
      </c>
      <c r="J4126">
        <v>0.69</v>
      </c>
      <c r="K4126">
        <v>1.1000000000000001</v>
      </c>
      <c r="L4126">
        <v>0.13</v>
      </c>
      <c r="M4126">
        <v>1.1399999999999999</v>
      </c>
      <c r="N4126">
        <v>3.4000000000000002E-2</v>
      </c>
    </row>
    <row r="4127" spans="1:14" x14ac:dyDescent="0.25">
      <c r="A4127" t="s">
        <v>7514</v>
      </c>
      <c r="B4127" t="s">
        <v>7515</v>
      </c>
      <c r="C4127" s="1" t="str">
        <f>HYPERLINK("http://www.genecards.org/cgi-bin/carddisp.pl?gene=LMAN2L","GeneCards")</f>
        <v>GeneCards</v>
      </c>
      <c r="D4127" s="1" t="str">
        <f>HYPERLINK("http://genome-euro.ucsc.edu/cgi-bin/hgTracks?position=221274_s_at","UCSC")</f>
        <v>UCSC</v>
      </c>
      <c r="E4127" s="1" t="str">
        <f>HYPERLINK("http://www.ncbi.nlm.nih.gov/gene/?term=LMAN2L","NCBI")</f>
        <v>NCBI</v>
      </c>
      <c r="F4127">
        <v>0.03</v>
      </c>
      <c r="G4127">
        <v>0.12</v>
      </c>
      <c r="H4127" s="1" t="str">
        <f>HYPERLINK("http://www.weizmann.ac.il/complex/compphys/software/geview/data/figures/221274_s_at.png","Figure")</f>
        <v>Figure</v>
      </c>
      <c r="I4127">
        <v>1.1399999999999999</v>
      </c>
      <c r="J4127">
        <v>0.38</v>
      </c>
      <c r="K4127">
        <v>1.3</v>
      </c>
      <c r="L4127">
        <v>2.4E-2</v>
      </c>
      <c r="M4127">
        <v>1.1299999999999999</v>
      </c>
      <c r="N4127">
        <v>0.38</v>
      </c>
    </row>
    <row r="4128" spans="1:14" x14ac:dyDescent="0.25">
      <c r="A4128" t="s">
        <v>7516</v>
      </c>
      <c r="B4128" t="s">
        <v>1667</v>
      </c>
      <c r="C4128" s="1" t="str">
        <f>HYPERLINK("http://www.genecards.org/cgi-bin/carddisp.pl?gene=PWP1","GeneCards")</f>
        <v>GeneCards</v>
      </c>
      <c r="D4128" s="1" t="str">
        <f>HYPERLINK("http://genome-euro.ucsc.edu/cgi-bin/hgTracks?position=201607_at","UCSC")</f>
        <v>UCSC</v>
      </c>
      <c r="E4128" s="1" t="str">
        <f>HYPERLINK("http://www.ncbi.nlm.nih.gov/gene/?term=PWP1","NCBI")</f>
        <v>NCBI</v>
      </c>
      <c r="F4128">
        <v>0.03</v>
      </c>
      <c r="G4128">
        <v>0.12</v>
      </c>
      <c r="H4128" s="1" t="str">
        <f>HYPERLINK("http://www.weizmann.ac.il/complex/compphys/software/geview/data/figures/201607_at.png","Figure")</f>
        <v>Figure</v>
      </c>
      <c r="I4128">
        <v>1.04</v>
      </c>
      <c r="J4128">
        <v>0.89</v>
      </c>
      <c r="K4128">
        <v>0.85099999999999998</v>
      </c>
      <c r="L4128">
        <v>8.4000000000000005E-2</v>
      </c>
      <c r="M4128">
        <v>0.82</v>
      </c>
      <c r="N4128">
        <v>4.4999999999999998E-2</v>
      </c>
    </row>
    <row r="4129" spans="1:14" x14ac:dyDescent="0.25">
      <c r="A4129" t="s">
        <v>7517</v>
      </c>
      <c r="B4129" t="s">
        <v>7518</v>
      </c>
      <c r="C4129" s="1" t="str">
        <f>HYPERLINK("http://www.genecards.org/cgi-bin/carddisp.pl?gene=SEMA3F","GeneCards")</f>
        <v>GeneCards</v>
      </c>
      <c r="D4129" s="1" t="str">
        <f>HYPERLINK("http://genome-euro.ucsc.edu/cgi-bin/hgTracks?position=209730_at","UCSC")</f>
        <v>UCSC</v>
      </c>
      <c r="E4129" s="1" t="str">
        <f>HYPERLINK("http://www.ncbi.nlm.nih.gov/gene/?term=SEMA3F","NCBI")</f>
        <v>NCBI</v>
      </c>
      <c r="F4129">
        <v>0.03</v>
      </c>
      <c r="G4129">
        <v>0.12</v>
      </c>
      <c r="H4129" s="1" t="str">
        <f>HYPERLINK("http://www.weizmann.ac.il/complex/compphys/software/geview/data/figures/209730_at.png","Figure")</f>
        <v>Figure</v>
      </c>
      <c r="I4129">
        <v>1.37</v>
      </c>
      <c r="J4129">
        <v>2.4E-2</v>
      </c>
      <c r="K4129">
        <v>1.1200000000000001</v>
      </c>
      <c r="L4129">
        <v>0.43</v>
      </c>
      <c r="M4129">
        <v>0.81899999999999995</v>
      </c>
      <c r="N4129">
        <v>0.14000000000000001</v>
      </c>
    </row>
    <row r="4130" spans="1:14" x14ac:dyDescent="0.25">
      <c r="A4130" t="s">
        <v>7519</v>
      </c>
      <c r="B4130" t="s">
        <v>7520</v>
      </c>
      <c r="C4130" s="1" t="str">
        <f>HYPERLINK("http://www.genecards.org/cgi-bin/carddisp.pl?gene=B4GALT4","GeneCards")</f>
        <v>GeneCards</v>
      </c>
      <c r="D4130" s="1" t="str">
        <f>HYPERLINK("http://genome-euro.ucsc.edu/cgi-bin/hgTracks?position=212876_at","UCSC")</f>
        <v>UCSC</v>
      </c>
      <c r="E4130" s="1" t="str">
        <f>HYPERLINK("http://www.ncbi.nlm.nih.gov/gene/?term=B4GALT4","NCBI")</f>
        <v>NCBI</v>
      </c>
      <c r="F4130">
        <v>0.03</v>
      </c>
      <c r="G4130">
        <v>0.12</v>
      </c>
      <c r="H4130" s="1" t="str">
        <f>HYPERLINK("http://www.weizmann.ac.il/complex/compphys/software/geview/data/figures/212876_at.png","Figure")</f>
        <v>Figure</v>
      </c>
      <c r="I4130">
        <v>1.26</v>
      </c>
      <c r="J4130">
        <v>2.4E-2</v>
      </c>
      <c r="K4130">
        <v>1.0900000000000001</v>
      </c>
      <c r="L4130">
        <v>0.43</v>
      </c>
      <c r="M4130">
        <v>0.86199999999999999</v>
      </c>
      <c r="N4130">
        <v>0.14000000000000001</v>
      </c>
    </row>
    <row r="4131" spans="1:14" x14ac:dyDescent="0.25">
      <c r="A4131" t="s">
        <v>7521</v>
      </c>
      <c r="B4131" t="s">
        <v>7522</v>
      </c>
      <c r="C4131" s="1" t="str">
        <f>HYPERLINK("http://www.genecards.org/cgi-bin/carddisp.pl?gene=MT1F","GeneCards")</f>
        <v>GeneCards</v>
      </c>
      <c r="D4131" s="1" t="str">
        <f>HYPERLINK("http://genome-euro.ucsc.edu/cgi-bin/hgTracks?position=213629_x_at","UCSC")</f>
        <v>UCSC</v>
      </c>
      <c r="E4131" s="1" t="str">
        <f>HYPERLINK("http://www.ncbi.nlm.nih.gov/gene/?term=MT1F","NCBI")</f>
        <v>NCBI</v>
      </c>
      <c r="F4131">
        <v>0.03</v>
      </c>
      <c r="G4131">
        <v>0.12</v>
      </c>
      <c r="H4131" s="1" t="str">
        <f>HYPERLINK("http://www.weizmann.ac.il/complex/compphys/software/geview/data/figures/213629_x_at.png","Figure")</f>
        <v>Figure</v>
      </c>
      <c r="I4131">
        <v>1.46</v>
      </c>
      <c r="J4131">
        <v>3.2000000000000001E-2</v>
      </c>
      <c r="K4131">
        <v>1.3</v>
      </c>
      <c r="L4131">
        <v>8.8999999999999996E-2</v>
      </c>
      <c r="M4131">
        <v>0.89300000000000002</v>
      </c>
      <c r="N4131">
        <v>0.63</v>
      </c>
    </row>
    <row r="4132" spans="1:14" x14ac:dyDescent="0.25">
      <c r="A4132" t="s">
        <v>7523</v>
      </c>
      <c r="B4132" t="s">
        <v>7524</v>
      </c>
      <c r="C4132" s="1" t="str">
        <f>HYPERLINK("http://www.genecards.org/cgi-bin/carddisp.pl?gene=PRPF40A","GeneCards")</f>
        <v>GeneCards</v>
      </c>
      <c r="D4132" s="1" t="str">
        <f>HYPERLINK("http://genome-euro.ucsc.edu/cgi-bin/hgTracks?position=213729_at","UCSC")</f>
        <v>UCSC</v>
      </c>
      <c r="E4132" s="1" t="str">
        <f>HYPERLINK("http://www.ncbi.nlm.nih.gov/gene/?term=PRPF40A","NCBI")</f>
        <v>NCBI</v>
      </c>
      <c r="F4132">
        <v>0.03</v>
      </c>
      <c r="G4132">
        <v>0.12</v>
      </c>
      <c r="H4132" s="1" t="str">
        <f>HYPERLINK("http://www.weizmann.ac.il/complex/compphys/software/geview/data/figures/213729_at.png","Figure")</f>
        <v>Figure</v>
      </c>
      <c r="I4132">
        <v>1.2</v>
      </c>
      <c r="J4132">
        <v>0.42</v>
      </c>
      <c r="K4132">
        <v>0.80900000000000005</v>
      </c>
      <c r="L4132">
        <v>0.24</v>
      </c>
      <c r="M4132">
        <v>0.67400000000000004</v>
      </c>
      <c r="N4132">
        <v>2.5999999999999999E-2</v>
      </c>
    </row>
    <row r="4133" spans="1:14" x14ac:dyDescent="0.25">
      <c r="A4133" t="s">
        <v>7525</v>
      </c>
      <c r="B4133" t="s">
        <v>2646</v>
      </c>
      <c r="C4133" s="1" t="str">
        <f>HYPERLINK("http://www.genecards.org/cgi-bin/carddisp.pl?gene=TCF3","GeneCards")</f>
        <v>GeneCards</v>
      </c>
      <c r="D4133" s="1" t="str">
        <f>HYPERLINK("http://genome-euro.ucsc.edu/cgi-bin/hgTracks?position=216647_at","UCSC")</f>
        <v>UCSC</v>
      </c>
      <c r="E4133" s="1" t="str">
        <f>HYPERLINK("http://www.ncbi.nlm.nih.gov/gene/?term=TCF3","NCBI")</f>
        <v>NCBI</v>
      </c>
      <c r="F4133">
        <v>0.03</v>
      </c>
      <c r="G4133">
        <v>0.12</v>
      </c>
      <c r="H4133" s="1" t="str">
        <f>HYPERLINK("http://www.weizmann.ac.il/complex/compphys/software/geview/data/figures/216647_at.png","Figure")</f>
        <v>Figure</v>
      </c>
      <c r="I4133">
        <v>1.34</v>
      </c>
      <c r="J4133">
        <v>2.4E-2</v>
      </c>
      <c r="K4133">
        <v>1.17</v>
      </c>
      <c r="L4133">
        <v>0.2</v>
      </c>
      <c r="M4133">
        <v>0.87</v>
      </c>
      <c r="N4133">
        <v>0.31</v>
      </c>
    </row>
    <row r="4134" spans="1:14" x14ac:dyDescent="0.25">
      <c r="A4134" t="s">
        <v>7526</v>
      </c>
      <c r="B4134" t="s">
        <v>7527</v>
      </c>
      <c r="C4134" s="1" t="str">
        <f>HYPERLINK("http://www.genecards.org/cgi-bin/carddisp.pl?gene=NPY","GeneCards")</f>
        <v>GeneCards</v>
      </c>
      <c r="D4134" s="1" t="str">
        <f>HYPERLINK("http://genome-euro.ucsc.edu/cgi-bin/hgTracks?position=206001_at","UCSC")</f>
        <v>UCSC</v>
      </c>
      <c r="E4134" s="1" t="str">
        <f>HYPERLINK("http://www.ncbi.nlm.nih.gov/gene/?term=NPY","NCBI")</f>
        <v>NCBI</v>
      </c>
      <c r="F4134">
        <v>0.03</v>
      </c>
      <c r="G4134">
        <v>0.12</v>
      </c>
      <c r="H4134" s="1" t="str">
        <f>HYPERLINK("http://www.weizmann.ac.il/complex/compphys/software/geview/data/figures/206001_at.png","Figure")</f>
        <v>Figure</v>
      </c>
      <c r="I4134">
        <v>0.32400000000000001</v>
      </c>
      <c r="J4134">
        <v>3.1E-2</v>
      </c>
      <c r="K4134">
        <v>0.79100000000000004</v>
      </c>
      <c r="L4134">
        <v>0.77</v>
      </c>
      <c r="M4134">
        <v>2.44</v>
      </c>
      <c r="N4134">
        <v>6.8000000000000005E-2</v>
      </c>
    </row>
    <row r="4135" spans="1:14" x14ac:dyDescent="0.25">
      <c r="A4135" t="s">
        <v>7528</v>
      </c>
      <c r="B4135" t="s">
        <v>1646</v>
      </c>
      <c r="C4135" s="1" t="str">
        <f>HYPERLINK("http://www.genecards.org/cgi-bin/carddisp.pl?gene=AAK1","GeneCards")</f>
        <v>GeneCards</v>
      </c>
      <c r="D4135" s="1" t="str">
        <f>HYPERLINK("http://genome-euro.ucsc.edu/cgi-bin/hgTracks?position=205434_s_at","UCSC")</f>
        <v>UCSC</v>
      </c>
      <c r="E4135" s="1" t="str">
        <f>HYPERLINK("http://www.ncbi.nlm.nih.gov/gene/?term=AAK1","NCBI")</f>
        <v>NCBI</v>
      </c>
      <c r="F4135">
        <v>0.03</v>
      </c>
      <c r="G4135">
        <v>0.12</v>
      </c>
      <c r="H4135" s="1" t="str">
        <f>HYPERLINK("http://www.weizmann.ac.il/complex/compphys/software/geview/data/figures/205434_s_at.png","Figure")</f>
        <v>Figure</v>
      </c>
      <c r="I4135">
        <v>1.22</v>
      </c>
      <c r="J4135">
        <v>0.61</v>
      </c>
      <c r="K4135">
        <v>1.71</v>
      </c>
      <c r="L4135">
        <v>2.7E-2</v>
      </c>
      <c r="M4135">
        <v>1.4</v>
      </c>
      <c r="N4135">
        <v>0.23</v>
      </c>
    </row>
    <row r="4136" spans="1:14" x14ac:dyDescent="0.25">
      <c r="A4136" t="s">
        <v>7529</v>
      </c>
      <c r="B4136" t="s">
        <v>7530</v>
      </c>
      <c r="C4136" s="1" t="str">
        <f>HYPERLINK("http://www.genecards.org/cgi-bin/carddisp.pl?gene=NINL","GeneCards")</f>
        <v>GeneCards</v>
      </c>
      <c r="D4136" s="1" t="str">
        <f>HYPERLINK("http://genome-euro.ucsc.edu/cgi-bin/hgTracks?position=207705_s_at","UCSC")</f>
        <v>UCSC</v>
      </c>
      <c r="E4136" s="1" t="str">
        <f>HYPERLINK("http://www.ncbi.nlm.nih.gov/gene/?term=NINL","NCBI")</f>
        <v>NCBI</v>
      </c>
      <c r="F4136">
        <v>0.03</v>
      </c>
      <c r="G4136">
        <v>0.12</v>
      </c>
      <c r="H4136" s="1" t="str">
        <f>HYPERLINK("http://www.weizmann.ac.il/complex/compphys/software/geview/data/figures/207705_s_at.png","Figure")</f>
        <v>Figure</v>
      </c>
      <c r="I4136">
        <v>1.67</v>
      </c>
      <c r="J4136">
        <v>0.15</v>
      </c>
      <c r="K4136">
        <v>0.80800000000000005</v>
      </c>
      <c r="L4136">
        <v>0.62</v>
      </c>
      <c r="M4136">
        <v>0.48299999999999998</v>
      </c>
      <c r="N4136">
        <v>2.4E-2</v>
      </c>
    </row>
    <row r="4137" spans="1:14" x14ac:dyDescent="0.25">
      <c r="A4137" t="s">
        <v>7531</v>
      </c>
      <c r="B4137" t="s">
        <v>7532</v>
      </c>
      <c r="C4137" s="1" t="str">
        <f>HYPERLINK("http://www.genecards.org/cgi-bin/carddisp.pl?gene=PDSS2","GeneCards")</f>
        <v>GeneCards</v>
      </c>
      <c r="D4137" s="1" t="str">
        <f>HYPERLINK("http://genome-euro.ucsc.edu/cgi-bin/hgTracks?position=219307_at","UCSC")</f>
        <v>UCSC</v>
      </c>
      <c r="E4137" s="1" t="str">
        <f>HYPERLINK("http://www.ncbi.nlm.nih.gov/gene/?term=PDSS2","NCBI")</f>
        <v>NCBI</v>
      </c>
      <c r="F4137">
        <v>0.03</v>
      </c>
      <c r="G4137">
        <v>0.12</v>
      </c>
      <c r="H4137" s="1" t="str">
        <f>HYPERLINK("http://www.weizmann.ac.il/complex/compphys/software/geview/data/figures/219307_at.png","Figure")</f>
        <v>Figure</v>
      </c>
      <c r="I4137">
        <v>0.75600000000000001</v>
      </c>
      <c r="J4137">
        <v>0.26</v>
      </c>
      <c r="K4137">
        <v>1.22</v>
      </c>
      <c r="L4137">
        <v>0.39</v>
      </c>
      <c r="M4137">
        <v>1.61</v>
      </c>
      <c r="N4137">
        <v>2.4E-2</v>
      </c>
    </row>
    <row r="4138" spans="1:14" x14ac:dyDescent="0.25">
      <c r="A4138" t="s">
        <v>7533</v>
      </c>
      <c r="B4138" t="s">
        <v>7534</v>
      </c>
      <c r="C4138" s="1" t="str">
        <f>HYPERLINK("http://www.genecards.org/cgi-bin/carddisp.pl?gene=TFDP2","GeneCards")</f>
        <v>GeneCards</v>
      </c>
      <c r="D4138" s="1" t="str">
        <f>HYPERLINK("http://genome-euro.ucsc.edu/cgi-bin/hgTracks?position=203588_s_at","UCSC")</f>
        <v>UCSC</v>
      </c>
      <c r="E4138" s="1" t="str">
        <f>HYPERLINK("http://www.ncbi.nlm.nih.gov/gene/?term=TFDP2","NCBI")</f>
        <v>NCBI</v>
      </c>
      <c r="F4138">
        <v>0.03</v>
      </c>
      <c r="G4138">
        <v>0.12</v>
      </c>
      <c r="H4138" s="1" t="str">
        <f>HYPERLINK("http://www.weizmann.ac.il/complex/compphys/software/geview/data/figures/203588_s_at.png","Figure")</f>
        <v>Figure</v>
      </c>
      <c r="I4138">
        <v>1.53</v>
      </c>
      <c r="J4138">
        <v>0.16</v>
      </c>
      <c r="K4138">
        <v>0.82799999999999996</v>
      </c>
      <c r="L4138">
        <v>0.59</v>
      </c>
      <c r="M4138">
        <v>0.54100000000000004</v>
      </c>
      <c r="N4138">
        <v>2.4E-2</v>
      </c>
    </row>
    <row r="4139" spans="1:14" x14ac:dyDescent="0.25">
      <c r="A4139" t="s">
        <v>7535</v>
      </c>
      <c r="B4139" t="s">
        <v>7536</v>
      </c>
      <c r="C4139" s="1" t="str">
        <f>HYPERLINK("http://www.genecards.org/cgi-bin/carddisp.pl?gene=PRB3","GeneCards")</f>
        <v>GeneCards</v>
      </c>
      <c r="D4139" s="1" t="str">
        <f>HYPERLINK("http://genome-euro.ucsc.edu/cgi-bin/hgTracks?position=206998_x_at","UCSC")</f>
        <v>UCSC</v>
      </c>
      <c r="E4139" s="1" t="str">
        <f>HYPERLINK("http://www.ncbi.nlm.nih.gov/gene/?term=PRB3","NCBI")</f>
        <v>NCBI</v>
      </c>
      <c r="F4139">
        <v>0.03</v>
      </c>
      <c r="G4139">
        <v>0.12</v>
      </c>
      <c r="H4139" s="1" t="str">
        <f>HYPERLINK("http://www.weizmann.ac.il/complex/compphys/software/geview/data/figures/206998_x_at.png","Figure")</f>
        <v>Figure</v>
      </c>
      <c r="I4139">
        <v>1.3</v>
      </c>
      <c r="J4139">
        <v>2.4E-2</v>
      </c>
      <c r="K4139">
        <v>1.1299999999999999</v>
      </c>
      <c r="L4139">
        <v>0.25</v>
      </c>
      <c r="M4139">
        <v>0.875</v>
      </c>
      <c r="N4139">
        <v>0.25</v>
      </c>
    </row>
    <row r="4140" spans="1:14" x14ac:dyDescent="0.25">
      <c r="A4140" t="s">
        <v>7537</v>
      </c>
      <c r="B4140" t="s">
        <v>4424</v>
      </c>
      <c r="C4140" s="1" t="str">
        <f>HYPERLINK("http://www.genecards.org/cgi-bin/carddisp.pl?gene=SFRS17A","GeneCards")</f>
        <v>GeneCards</v>
      </c>
      <c r="D4140" s="1" t="str">
        <f>HYPERLINK("http://genome-euro.ucsc.edu/cgi-bin/hgTracks?position=210269_s_at","UCSC")</f>
        <v>UCSC</v>
      </c>
      <c r="E4140" s="1" t="str">
        <f>HYPERLINK("http://www.ncbi.nlm.nih.gov/gene/?term=SFRS17A","NCBI")</f>
        <v>NCBI</v>
      </c>
      <c r="F4140">
        <v>0.03</v>
      </c>
      <c r="G4140">
        <v>0.12</v>
      </c>
      <c r="H4140" s="1" t="str">
        <f>HYPERLINK("http://www.weizmann.ac.il/complex/compphys/software/geview/data/figures/210269_s_at.png","Figure")</f>
        <v>Figure</v>
      </c>
      <c r="I4140">
        <v>0.67900000000000005</v>
      </c>
      <c r="J4140">
        <v>4.8000000000000001E-2</v>
      </c>
      <c r="K4140">
        <v>0.71599999999999997</v>
      </c>
      <c r="L4140">
        <v>5.0999999999999997E-2</v>
      </c>
      <c r="M4140">
        <v>1.05</v>
      </c>
      <c r="N4140">
        <v>0.92</v>
      </c>
    </row>
    <row r="4141" spans="1:14" x14ac:dyDescent="0.25">
      <c r="A4141" t="s">
        <v>7538</v>
      </c>
      <c r="B4141" t="s">
        <v>4228</v>
      </c>
      <c r="C4141" s="1" t="str">
        <f>HYPERLINK("http://www.genecards.org/cgi-bin/carddisp.pl?gene=TLE1","GeneCards")</f>
        <v>GeneCards</v>
      </c>
      <c r="D4141" s="1" t="str">
        <f>HYPERLINK("http://genome-euro.ucsc.edu/cgi-bin/hgTracks?position=203221_at","UCSC")</f>
        <v>UCSC</v>
      </c>
      <c r="E4141" s="1" t="str">
        <f>HYPERLINK("http://www.ncbi.nlm.nih.gov/gene/?term=TLE1","NCBI")</f>
        <v>NCBI</v>
      </c>
      <c r="F4141">
        <v>0.03</v>
      </c>
      <c r="G4141">
        <v>0.12</v>
      </c>
      <c r="H4141" s="1" t="str">
        <f>HYPERLINK("http://www.weizmann.ac.il/complex/compphys/software/geview/data/figures/203221_at.png","Figure")</f>
        <v>Figure</v>
      </c>
      <c r="I4141">
        <v>2.14</v>
      </c>
      <c r="J4141">
        <v>3.5999999999999997E-2</v>
      </c>
      <c r="K4141">
        <v>1.78</v>
      </c>
      <c r="L4141">
        <v>7.2999999999999995E-2</v>
      </c>
      <c r="M4141">
        <v>0.82899999999999996</v>
      </c>
      <c r="N4141">
        <v>0.74</v>
      </c>
    </row>
    <row r="4142" spans="1:14" x14ac:dyDescent="0.25">
      <c r="A4142" t="s">
        <v>7539</v>
      </c>
      <c r="B4142" t="s">
        <v>7540</v>
      </c>
      <c r="C4142" s="1" t="str">
        <f>HYPERLINK("http://www.genecards.org/cgi-bin/carddisp.pl?gene=SH3BP1","GeneCards")</f>
        <v>GeneCards</v>
      </c>
      <c r="D4142" s="1" t="str">
        <f>HYPERLINK("http://genome-euro.ucsc.edu/cgi-bin/hgTracks?position=213633_at","UCSC")</f>
        <v>UCSC</v>
      </c>
      <c r="E4142" s="1" t="str">
        <f>HYPERLINK("http://www.ncbi.nlm.nih.gov/gene/?term=SH3BP1","NCBI")</f>
        <v>NCBI</v>
      </c>
      <c r="F4142">
        <v>0.03</v>
      </c>
      <c r="G4142">
        <v>0.12</v>
      </c>
      <c r="H4142" s="1" t="str">
        <f>HYPERLINK("http://www.weizmann.ac.il/complex/compphys/software/geview/data/figures/213633_at.png","Figure")</f>
        <v>Figure</v>
      </c>
      <c r="I4142">
        <v>1.36</v>
      </c>
      <c r="J4142">
        <v>9.6000000000000002E-2</v>
      </c>
      <c r="K4142">
        <v>1.41</v>
      </c>
      <c r="L4142">
        <v>3.1E-2</v>
      </c>
      <c r="M4142">
        <v>1.04</v>
      </c>
      <c r="N4142">
        <v>0.96</v>
      </c>
    </row>
    <row r="4143" spans="1:14" x14ac:dyDescent="0.25">
      <c r="A4143" t="s">
        <v>7541</v>
      </c>
      <c r="B4143" t="s">
        <v>7542</v>
      </c>
      <c r="C4143" s="1" t="str">
        <f>HYPERLINK("http://www.genecards.org/cgi-bin/carddisp.pl?gene=C12orf35","GeneCards")</f>
        <v>GeneCards</v>
      </c>
      <c r="D4143" s="1" t="str">
        <f>HYPERLINK("http://genome-euro.ucsc.edu/cgi-bin/hgTracks?position=218614_at","UCSC")</f>
        <v>UCSC</v>
      </c>
      <c r="E4143" s="1" t="str">
        <f>HYPERLINK("http://www.ncbi.nlm.nih.gov/gene/?term=C12orf35","NCBI")</f>
        <v>NCBI</v>
      </c>
      <c r="F4143">
        <v>0.03</v>
      </c>
      <c r="G4143">
        <v>0.12</v>
      </c>
      <c r="H4143" s="1" t="str">
        <f>HYPERLINK("http://www.weizmann.ac.il/complex/compphys/software/geview/data/figures/218614_at.png","Figure")</f>
        <v>Figure</v>
      </c>
      <c r="I4143">
        <v>0.57199999999999995</v>
      </c>
      <c r="J4143">
        <v>0.14000000000000001</v>
      </c>
      <c r="K4143">
        <v>0.49299999999999999</v>
      </c>
      <c r="L4143">
        <v>2.7E-2</v>
      </c>
      <c r="M4143">
        <v>0.86199999999999999</v>
      </c>
      <c r="N4143">
        <v>0.83</v>
      </c>
    </row>
    <row r="4144" spans="1:14" x14ac:dyDescent="0.25">
      <c r="A4144" t="s">
        <v>7543</v>
      </c>
      <c r="B4144" t="s">
        <v>5014</v>
      </c>
      <c r="C4144" s="1" t="str">
        <f>HYPERLINK("http://www.genecards.org/cgi-bin/carddisp.pl?gene=EIF3C /// EIF3CL","GeneCards")</f>
        <v>GeneCards</v>
      </c>
      <c r="D4144" s="1" t="str">
        <f>HYPERLINK("http://genome-euro.ucsc.edu/cgi-bin/hgTracks?position=210949_s_at","UCSC")</f>
        <v>UCSC</v>
      </c>
      <c r="E4144" s="1" t="str">
        <f>HYPERLINK("http://www.ncbi.nlm.nih.gov/gene/?term=EIF3C /// EIF3CL","NCBI")</f>
        <v>NCBI</v>
      </c>
      <c r="F4144">
        <v>0.03</v>
      </c>
      <c r="G4144">
        <v>0.12</v>
      </c>
      <c r="H4144" s="1" t="str">
        <f>HYPERLINK("http://www.weizmann.ac.il/complex/compphys/software/geview/data/figures/210949_s_at.png","Figure")</f>
        <v>Figure</v>
      </c>
      <c r="I4144">
        <v>1.21</v>
      </c>
      <c r="J4144">
        <v>0.56000000000000005</v>
      </c>
      <c r="K4144">
        <v>1.6</v>
      </c>
      <c r="L4144">
        <v>2.5999999999999999E-2</v>
      </c>
      <c r="M4144">
        <v>1.33</v>
      </c>
      <c r="N4144">
        <v>0.25</v>
      </c>
    </row>
    <row r="4145" spans="1:14" x14ac:dyDescent="0.25">
      <c r="A4145" t="s">
        <v>7544</v>
      </c>
      <c r="B4145" t="s">
        <v>7545</v>
      </c>
      <c r="C4145" s="1" t="str">
        <f>HYPERLINK("http://www.genecards.org/cgi-bin/carddisp.pl?gene=SNTB2","GeneCards")</f>
        <v>GeneCards</v>
      </c>
      <c r="D4145" s="1" t="str">
        <f>HYPERLINK("http://genome-euro.ucsc.edu/cgi-bin/hgTracks?position=205315_s_at","UCSC")</f>
        <v>UCSC</v>
      </c>
      <c r="E4145" s="1" t="str">
        <f>HYPERLINK("http://www.ncbi.nlm.nih.gov/gene/?term=SNTB2","NCBI")</f>
        <v>NCBI</v>
      </c>
      <c r="F4145">
        <v>0.03</v>
      </c>
      <c r="G4145">
        <v>0.12</v>
      </c>
      <c r="H4145" s="1" t="str">
        <f>HYPERLINK("http://www.weizmann.ac.il/complex/compphys/software/geview/data/figures/205315_s_at.png","Figure")</f>
        <v>Figure</v>
      </c>
      <c r="I4145">
        <v>1.47</v>
      </c>
      <c r="J4145">
        <v>7.2999999999999995E-2</v>
      </c>
      <c r="K4145">
        <v>1.48</v>
      </c>
      <c r="L4145">
        <v>3.6999999999999998E-2</v>
      </c>
      <c r="M4145">
        <v>1</v>
      </c>
      <c r="N4145">
        <v>1</v>
      </c>
    </row>
    <row r="4146" spans="1:14" x14ac:dyDescent="0.25">
      <c r="A4146" t="s">
        <v>7546</v>
      </c>
      <c r="B4146" t="s">
        <v>7547</v>
      </c>
      <c r="C4146" s="1" t="str">
        <f>HYPERLINK("http://www.genecards.org/cgi-bin/carddisp.pl?gene=MAST2","GeneCards")</f>
        <v>GeneCards</v>
      </c>
      <c r="D4146" s="1" t="str">
        <f>HYPERLINK("http://genome-euro.ucsc.edu/cgi-bin/hgTracks?position=211593_s_at","UCSC")</f>
        <v>UCSC</v>
      </c>
      <c r="E4146" s="1" t="str">
        <f>HYPERLINK("http://www.ncbi.nlm.nih.gov/gene/?term=MAST2","NCBI")</f>
        <v>NCBI</v>
      </c>
      <c r="F4146">
        <v>0.03</v>
      </c>
      <c r="G4146">
        <v>0.12</v>
      </c>
      <c r="H4146" s="1" t="str">
        <f>HYPERLINK("http://www.weizmann.ac.il/complex/compphys/software/geview/data/figures/211593_s_at.png","Figure")</f>
        <v>Figure</v>
      </c>
      <c r="I4146">
        <v>1.22</v>
      </c>
      <c r="J4146">
        <v>2.9000000000000001E-2</v>
      </c>
      <c r="K4146">
        <v>1.1399999999999999</v>
      </c>
      <c r="L4146">
        <v>0.12</v>
      </c>
      <c r="M4146">
        <v>0.93</v>
      </c>
      <c r="N4146">
        <v>0.5</v>
      </c>
    </row>
    <row r="4147" spans="1:14" x14ac:dyDescent="0.25">
      <c r="A4147" t="s">
        <v>7548</v>
      </c>
      <c r="B4147" t="s">
        <v>7549</v>
      </c>
      <c r="C4147" s="1" t="str">
        <f>HYPERLINK("http://www.genecards.org/cgi-bin/carddisp.pl?gene=TUBGCP3","GeneCards")</f>
        <v>GeneCards</v>
      </c>
      <c r="D4147" s="1" t="str">
        <f>HYPERLINK("http://genome-euro.ucsc.edu/cgi-bin/hgTracks?position=203690_at","UCSC")</f>
        <v>UCSC</v>
      </c>
      <c r="E4147" s="1" t="str">
        <f>HYPERLINK("http://www.ncbi.nlm.nih.gov/gene/?term=TUBGCP3","NCBI")</f>
        <v>NCBI</v>
      </c>
      <c r="F4147">
        <v>0.03</v>
      </c>
      <c r="G4147">
        <v>0.12</v>
      </c>
      <c r="H4147" s="1" t="str">
        <f>HYPERLINK("http://www.weizmann.ac.il/complex/compphys/software/geview/data/figures/203690_at.png","Figure")</f>
        <v>Figure</v>
      </c>
      <c r="I4147">
        <v>0.59399999999999997</v>
      </c>
      <c r="J4147">
        <v>7.4999999999999997E-2</v>
      </c>
      <c r="K4147">
        <v>1.07</v>
      </c>
      <c r="L4147">
        <v>0.93</v>
      </c>
      <c r="M4147">
        <v>1.81</v>
      </c>
      <c r="N4147">
        <v>0.03</v>
      </c>
    </row>
    <row r="4148" spans="1:14" x14ac:dyDescent="0.25">
      <c r="A4148" t="s">
        <v>7550</v>
      </c>
      <c r="B4148" t="s">
        <v>7551</v>
      </c>
      <c r="C4148" s="1" t="str">
        <f>HYPERLINK("http://www.genecards.org/cgi-bin/carddisp.pl?gene=DNAJC16","GeneCards")</f>
        <v>GeneCards</v>
      </c>
      <c r="D4148" s="1" t="str">
        <f>HYPERLINK("http://genome-euro.ucsc.edu/cgi-bin/hgTracks?position=212908_at","UCSC")</f>
        <v>UCSC</v>
      </c>
      <c r="E4148" s="1" t="str">
        <f>HYPERLINK("http://www.ncbi.nlm.nih.gov/gene/?term=DNAJC16","NCBI")</f>
        <v>NCBI</v>
      </c>
      <c r="F4148">
        <v>0.03</v>
      </c>
      <c r="G4148">
        <v>0.12</v>
      </c>
      <c r="H4148" s="1" t="str">
        <f>HYPERLINK("http://www.weizmann.ac.il/complex/compphys/software/geview/data/figures/212908_at.png","Figure")</f>
        <v>Figure</v>
      </c>
      <c r="I4148">
        <v>0.80800000000000005</v>
      </c>
      <c r="J4148">
        <v>0.36</v>
      </c>
      <c r="K4148">
        <v>1.23</v>
      </c>
      <c r="L4148">
        <v>0.28000000000000003</v>
      </c>
      <c r="M4148">
        <v>1.52</v>
      </c>
      <c r="N4148">
        <v>2.5999999999999999E-2</v>
      </c>
    </row>
    <row r="4149" spans="1:14" x14ac:dyDescent="0.25">
      <c r="A4149" t="s">
        <v>7552</v>
      </c>
      <c r="B4149" t="s">
        <v>7553</v>
      </c>
      <c r="C4149" s="1" t="str">
        <f>HYPERLINK("http://www.genecards.org/cgi-bin/carddisp.pl?gene=ADAMTS7","GeneCards")</f>
        <v>GeneCards</v>
      </c>
      <c r="D4149" s="1" t="str">
        <f>HYPERLINK("http://genome-euro.ucsc.edu/cgi-bin/hgTracks?position=220706_at","UCSC")</f>
        <v>UCSC</v>
      </c>
      <c r="E4149" s="1" t="str">
        <f>HYPERLINK("http://www.ncbi.nlm.nih.gov/gene/?term=ADAMTS7","NCBI")</f>
        <v>NCBI</v>
      </c>
      <c r="F4149">
        <v>0.03</v>
      </c>
      <c r="G4149">
        <v>0.12</v>
      </c>
      <c r="H4149" s="1" t="str">
        <f>HYPERLINK("http://www.weizmann.ac.il/complex/compphys/software/geview/data/figures/220706_at.png","Figure")</f>
        <v>Figure</v>
      </c>
      <c r="I4149">
        <v>1.1499999999999999</v>
      </c>
      <c r="J4149">
        <v>0.03</v>
      </c>
      <c r="K4149">
        <v>1.03</v>
      </c>
      <c r="L4149">
        <v>0.75</v>
      </c>
      <c r="M4149">
        <v>0.89800000000000002</v>
      </c>
      <c r="N4149">
        <v>7.2999999999999995E-2</v>
      </c>
    </row>
    <row r="4150" spans="1:14" x14ac:dyDescent="0.25">
      <c r="A4150" t="s">
        <v>7554</v>
      </c>
      <c r="B4150" t="s">
        <v>7555</v>
      </c>
      <c r="C4150" s="1" t="str">
        <f>HYPERLINK("http://www.genecards.org/cgi-bin/carddisp.pl?gene=USP15","GeneCards")</f>
        <v>GeneCards</v>
      </c>
      <c r="D4150" s="1" t="str">
        <f>HYPERLINK("http://genome-euro.ucsc.edu/cgi-bin/hgTracks?position=209475_at","UCSC")</f>
        <v>UCSC</v>
      </c>
      <c r="E4150" s="1" t="str">
        <f>HYPERLINK("http://www.ncbi.nlm.nih.gov/gene/?term=USP15","NCBI")</f>
        <v>NCBI</v>
      </c>
      <c r="F4150">
        <v>0.03</v>
      </c>
      <c r="G4150">
        <v>0.12</v>
      </c>
      <c r="H4150" s="1" t="str">
        <f>HYPERLINK("http://www.weizmann.ac.il/complex/compphys/software/geview/data/figures/209475_at.png","Figure")</f>
        <v>Figure</v>
      </c>
      <c r="I4150">
        <v>0.79900000000000004</v>
      </c>
      <c r="J4150">
        <v>0.4</v>
      </c>
      <c r="K4150">
        <v>0.64300000000000002</v>
      </c>
      <c r="L4150">
        <v>2.4E-2</v>
      </c>
      <c r="M4150">
        <v>0.80500000000000005</v>
      </c>
      <c r="N4150">
        <v>0.37</v>
      </c>
    </row>
    <row r="4151" spans="1:14" x14ac:dyDescent="0.25">
      <c r="A4151" t="s">
        <v>7556</v>
      </c>
      <c r="B4151" t="s">
        <v>7557</v>
      </c>
      <c r="C4151" s="1" t="str">
        <f>HYPERLINK("http://www.genecards.org/cgi-bin/carddisp.pl?gene=CSNK1A1","GeneCards")</f>
        <v>GeneCards</v>
      </c>
      <c r="D4151" s="1" t="str">
        <f>HYPERLINK("http://genome-euro.ucsc.edu/cgi-bin/hgTracks?position=208866_at","UCSC")</f>
        <v>UCSC</v>
      </c>
      <c r="E4151" s="1" t="str">
        <f>HYPERLINK("http://www.ncbi.nlm.nih.gov/gene/?term=CSNK1A1","NCBI")</f>
        <v>NCBI</v>
      </c>
      <c r="F4151">
        <v>0.03</v>
      </c>
      <c r="G4151">
        <v>0.12</v>
      </c>
      <c r="H4151" s="1" t="str">
        <f>HYPERLINK("http://www.weizmann.ac.il/complex/compphys/software/geview/data/figures/208866_at.png","Figure")</f>
        <v>Figure</v>
      </c>
      <c r="I4151">
        <v>0.66900000000000004</v>
      </c>
      <c r="J4151">
        <v>0.24</v>
      </c>
      <c r="K4151">
        <v>0.53800000000000003</v>
      </c>
      <c r="L4151">
        <v>2.4E-2</v>
      </c>
      <c r="M4151">
        <v>0.80400000000000005</v>
      </c>
      <c r="N4151">
        <v>0.59</v>
      </c>
    </row>
    <row r="4152" spans="1:14" x14ac:dyDescent="0.25">
      <c r="A4152" t="s">
        <v>7558</v>
      </c>
      <c r="B4152" t="s">
        <v>7559</v>
      </c>
      <c r="C4152" s="1" t="str">
        <f>HYPERLINK("http://www.genecards.org/cgi-bin/carddisp.pl?gene=PLXNA1","GeneCards")</f>
        <v>GeneCards</v>
      </c>
      <c r="D4152" s="1" t="str">
        <f>HYPERLINK("http://genome-euro.ucsc.edu/cgi-bin/hgTracks?position=221537_at","UCSC")</f>
        <v>UCSC</v>
      </c>
      <c r="E4152" s="1" t="str">
        <f>HYPERLINK("http://www.ncbi.nlm.nih.gov/gene/?term=PLXNA1","NCBI")</f>
        <v>NCBI</v>
      </c>
      <c r="F4152">
        <v>0.03</v>
      </c>
      <c r="G4152">
        <v>0.12</v>
      </c>
      <c r="H4152" s="1" t="str">
        <f>HYPERLINK("http://www.weizmann.ac.il/complex/compphys/software/geview/data/figures/221537_at.png","Figure")</f>
        <v>Figure</v>
      </c>
      <c r="I4152">
        <v>1.2</v>
      </c>
      <c r="J4152">
        <v>5.5E-2</v>
      </c>
      <c r="K4152">
        <v>0.997</v>
      </c>
      <c r="L4152">
        <v>1</v>
      </c>
      <c r="M4152">
        <v>0.83299999999999996</v>
      </c>
      <c r="N4152">
        <v>3.5999999999999997E-2</v>
      </c>
    </row>
    <row r="4153" spans="1:14" x14ac:dyDescent="0.25">
      <c r="A4153" t="s">
        <v>7560</v>
      </c>
      <c r="B4153" t="s">
        <v>7561</v>
      </c>
      <c r="C4153" s="1" t="str">
        <f>HYPERLINK("http://www.genecards.org/cgi-bin/carddisp.pl?gene=TNFAIP3","GeneCards")</f>
        <v>GeneCards</v>
      </c>
      <c r="D4153" s="1" t="str">
        <f>HYPERLINK("http://genome-euro.ucsc.edu/cgi-bin/hgTracks?position=202643_s_at","UCSC")</f>
        <v>UCSC</v>
      </c>
      <c r="E4153" s="1" t="str">
        <f>HYPERLINK("http://www.ncbi.nlm.nih.gov/gene/?term=TNFAIP3","NCBI")</f>
        <v>NCBI</v>
      </c>
      <c r="F4153">
        <v>0.03</v>
      </c>
      <c r="G4153">
        <v>0.12</v>
      </c>
      <c r="H4153" s="1" t="str">
        <f>HYPERLINK("http://www.weizmann.ac.il/complex/compphys/software/geview/data/figures/202643_s_at.png","Figure")</f>
        <v>Figure</v>
      </c>
      <c r="I4153">
        <v>0.45400000000000001</v>
      </c>
      <c r="J4153">
        <v>0.18</v>
      </c>
      <c r="K4153">
        <v>0.33800000000000002</v>
      </c>
      <c r="L4153">
        <v>2.5000000000000001E-2</v>
      </c>
      <c r="M4153">
        <v>0.74299999999999999</v>
      </c>
      <c r="N4153">
        <v>0.73</v>
      </c>
    </row>
    <row r="4154" spans="1:14" x14ac:dyDescent="0.25">
      <c r="A4154" t="s">
        <v>7562</v>
      </c>
      <c r="B4154" t="s">
        <v>7563</v>
      </c>
      <c r="C4154" s="1" t="str">
        <f>HYPERLINK("http://www.genecards.org/cgi-bin/carddisp.pl?gene=SLC7A8","GeneCards")</f>
        <v>GeneCards</v>
      </c>
      <c r="D4154" s="1" t="str">
        <f>HYPERLINK("http://genome-euro.ucsc.edu/cgi-bin/hgTracks?position=202752_x_at","UCSC")</f>
        <v>UCSC</v>
      </c>
      <c r="E4154" s="1" t="str">
        <f>HYPERLINK("http://www.ncbi.nlm.nih.gov/gene/?term=SLC7A8","NCBI")</f>
        <v>NCBI</v>
      </c>
      <c r="F4154">
        <v>3.1E-2</v>
      </c>
      <c r="G4154">
        <v>0.12</v>
      </c>
      <c r="H4154" s="1" t="str">
        <f>HYPERLINK("http://www.weizmann.ac.il/complex/compphys/software/geview/data/figures/202752_x_at.png","Figure")</f>
        <v>Figure</v>
      </c>
      <c r="I4154">
        <v>1.51</v>
      </c>
      <c r="J4154">
        <v>2.4E-2</v>
      </c>
      <c r="K4154">
        <v>1.21</v>
      </c>
      <c r="L4154">
        <v>0.27</v>
      </c>
      <c r="M4154">
        <v>0.80300000000000005</v>
      </c>
      <c r="N4154">
        <v>0.23</v>
      </c>
    </row>
    <row r="4155" spans="1:14" x14ac:dyDescent="0.25">
      <c r="A4155" t="s">
        <v>7564</v>
      </c>
      <c r="B4155" t="s">
        <v>7565</v>
      </c>
      <c r="C4155" s="1" t="str">
        <f>HYPERLINK("http://www.genecards.org/cgi-bin/carddisp.pl?gene=CA2","GeneCards")</f>
        <v>GeneCards</v>
      </c>
      <c r="D4155" s="1" t="str">
        <f>HYPERLINK("http://genome-euro.ucsc.edu/cgi-bin/hgTracks?position=209301_at","UCSC")</f>
        <v>UCSC</v>
      </c>
      <c r="E4155" s="1" t="str">
        <f>HYPERLINK("http://www.ncbi.nlm.nih.gov/gene/?term=CA2","NCBI")</f>
        <v>NCBI</v>
      </c>
      <c r="F4155">
        <v>3.1E-2</v>
      </c>
      <c r="G4155">
        <v>0.12</v>
      </c>
      <c r="H4155" s="1" t="str">
        <f>HYPERLINK("http://www.weizmann.ac.il/complex/compphys/software/geview/data/figures/209301_at.png","Figure")</f>
        <v>Figure</v>
      </c>
      <c r="I4155">
        <v>1.1499999999999999</v>
      </c>
      <c r="J4155">
        <v>0.96</v>
      </c>
      <c r="K4155">
        <v>0.32400000000000001</v>
      </c>
      <c r="L4155">
        <v>6.7000000000000004E-2</v>
      </c>
      <c r="M4155">
        <v>0.28299999999999997</v>
      </c>
      <c r="N4155">
        <v>5.5E-2</v>
      </c>
    </row>
    <row r="4156" spans="1:14" x14ac:dyDescent="0.25">
      <c r="A4156" t="s">
        <v>7566</v>
      </c>
      <c r="B4156" t="s">
        <v>7567</v>
      </c>
      <c r="C4156" s="1" t="str">
        <f>HYPERLINK("http://www.genecards.org/cgi-bin/carddisp.pl?gene=PRMT7","GeneCards")</f>
        <v>GeneCards</v>
      </c>
      <c r="D4156" s="1" t="str">
        <f>HYPERLINK("http://genome-euro.ucsc.edu/cgi-bin/hgTracks?position=219408_at","UCSC")</f>
        <v>UCSC</v>
      </c>
      <c r="E4156" s="1" t="str">
        <f>HYPERLINK("http://www.ncbi.nlm.nih.gov/gene/?term=PRMT7","NCBI")</f>
        <v>NCBI</v>
      </c>
      <c r="F4156">
        <v>3.1E-2</v>
      </c>
      <c r="G4156">
        <v>0.12</v>
      </c>
      <c r="H4156" s="1" t="str">
        <f>HYPERLINK("http://www.weizmann.ac.il/complex/compphys/software/geview/data/figures/219408_at.png","Figure")</f>
        <v>Figure</v>
      </c>
      <c r="I4156">
        <v>0.875</v>
      </c>
      <c r="J4156">
        <v>7.2999999999999995E-2</v>
      </c>
      <c r="K4156">
        <v>1.02</v>
      </c>
      <c r="L4156">
        <v>0.94</v>
      </c>
      <c r="M4156">
        <v>1.1599999999999999</v>
      </c>
      <c r="N4156">
        <v>0.03</v>
      </c>
    </row>
    <row r="4157" spans="1:14" x14ac:dyDescent="0.25">
      <c r="A4157" t="s">
        <v>7568</v>
      </c>
      <c r="B4157" t="s">
        <v>7569</v>
      </c>
      <c r="C4157" s="1" t="str">
        <f>HYPERLINK("http://www.genecards.org/cgi-bin/carddisp.pl?gene=CPLX3 /// LMAN1L","GeneCards")</f>
        <v>GeneCards</v>
      </c>
      <c r="D4157" s="1" t="str">
        <f>HYPERLINK("http://genome-euro.ucsc.edu/cgi-bin/hgTracks?position=219775_s_at","UCSC")</f>
        <v>UCSC</v>
      </c>
      <c r="E4157" s="1" t="str">
        <f>HYPERLINK("http://www.ncbi.nlm.nih.gov/gene/?term=CPLX3 /// LMAN1L","NCBI")</f>
        <v>NCBI</v>
      </c>
      <c r="F4157">
        <v>3.1E-2</v>
      </c>
      <c r="G4157">
        <v>0.12</v>
      </c>
      <c r="H4157" s="1" t="str">
        <f>HYPERLINK("http://www.weizmann.ac.il/complex/compphys/software/geview/data/figures/219775_s_at.png","Figure")</f>
        <v>Figure</v>
      </c>
      <c r="I4157">
        <v>1.29</v>
      </c>
      <c r="J4157">
        <v>2.5000000000000001E-2</v>
      </c>
      <c r="K4157">
        <v>1.1000000000000001</v>
      </c>
      <c r="L4157">
        <v>0.44</v>
      </c>
      <c r="M4157">
        <v>0.85099999999999998</v>
      </c>
      <c r="N4157">
        <v>0.14000000000000001</v>
      </c>
    </row>
    <row r="4158" spans="1:14" x14ac:dyDescent="0.25">
      <c r="A4158" t="s">
        <v>7570</v>
      </c>
      <c r="B4158" t="s">
        <v>7571</v>
      </c>
      <c r="C4158" s="1" t="str">
        <f>HYPERLINK("http://www.genecards.org/cgi-bin/carddisp.pl?gene=AIPL1","GeneCards")</f>
        <v>GeneCards</v>
      </c>
      <c r="D4158" s="1" t="str">
        <f>HYPERLINK("http://genome-euro.ucsc.edu/cgi-bin/hgTracks?position=219977_at","UCSC")</f>
        <v>UCSC</v>
      </c>
      <c r="E4158" s="1" t="str">
        <f>HYPERLINK("http://www.ncbi.nlm.nih.gov/gene/?term=AIPL1","NCBI")</f>
        <v>NCBI</v>
      </c>
      <c r="F4158">
        <v>3.1E-2</v>
      </c>
      <c r="G4158">
        <v>0.12</v>
      </c>
      <c r="H4158" s="1" t="str">
        <f>HYPERLINK("http://www.weizmann.ac.il/complex/compphys/software/geview/data/figures/219977_at.png","Figure")</f>
        <v>Figure</v>
      </c>
      <c r="I4158">
        <v>1.26</v>
      </c>
      <c r="J4158">
        <v>2.7E-2</v>
      </c>
      <c r="K4158">
        <v>1.1399999999999999</v>
      </c>
      <c r="L4158">
        <v>0.15</v>
      </c>
      <c r="M4158">
        <v>0.91</v>
      </c>
      <c r="N4158">
        <v>0.41</v>
      </c>
    </row>
    <row r="4159" spans="1:14" x14ac:dyDescent="0.25">
      <c r="A4159" t="s">
        <v>7572</v>
      </c>
      <c r="B4159" t="s">
        <v>7573</v>
      </c>
      <c r="C4159" s="1" t="str">
        <f>HYPERLINK("http://www.genecards.org/cgi-bin/carddisp.pl?gene=FBXL18","GeneCards")</f>
        <v>GeneCards</v>
      </c>
      <c r="D4159" s="1" t="str">
        <f>HYPERLINK("http://genome-euro.ucsc.edu/cgi-bin/hgTracks?position=220896_at","UCSC")</f>
        <v>UCSC</v>
      </c>
      <c r="E4159" s="1" t="str">
        <f>HYPERLINK("http://www.ncbi.nlm.nih.gov/gene/?term=FBXL18","NCBI")</f>
        <v>NCBI</v>
      </c>
      <c r="F4159">
        <v>3.1E-2</v>
      </c>
      <c r="G4159">
        <v>0.12</v>
      </c>
      <c r="H4159" s="1" t="str">
        <f>HYPERLINK("http://www.weizmann.ac.il/complex/compphys/software/geview/data/figures/220896_at.png","Figure")</f>
        <v>Figure</v>
      </c>
      <c r="I4159">
        <v>1.23</v>
      </c>
      <c r="J4159">
        <v>2.5000000000000001E-2</v>
      </c>
      <c r="K4159">
        <v>1.1200000000000001</v>
      </c>
      <c r="L4159">
        <v>0.2</v>
      </c>
      <c r="M4159">
        <v>0.90600000000000003</v>
      </c>
      <c r="N4159">
        <v>0.31</v>
      </c>
    </row>
    <row r="4160" spans="1:14" x14ac:dyDescent="0.25">
      <c r="A4160" t="s">
        <v>7574</v>
      </c>
      <c r="B4160" t="s">
        <v>1664</v>
      </c>
      <c r="C4160" s="1" t="str">
        <f>HYPERLINK("http://www.genecards.org/cgi-bin/carddisp.pl?gene=EID1","GeneCards")</f>
        <v>GeneCards</v>
      </c>
      <c r="D4160" s="1" t="str">
        <f>HYPERLINK("http://genome-euro.ucsc.edu/cgi-bin/hgTracks?position=208669_s_at","UCSC")</f>
        <v>UCSC</v>
      </c>
      <c r="E4160" s="1" t="str">
        <f>HYPERLINK("http://www.ncbi.nlm.nih.gov/gene/?term=EID1","NCBI")</f>
        <v>NCBI</v>
      </c>
      <c r="F4160">
        <v>3.1E-2</v>
      </c>
      <c r="G4160">
        <v>0.13</v>
      </c>
      <c r="H4160" s="1" t="str">
        <f>HYPERLINK("http://www.weizmann.ac.il/complex/compphys/software/geview/data/figures/208669_s_at.png","Figure")</f>
        <v>Figure</v>
      </c>
      <c r="I4160">
        <v>0.91400000000000003</v>
      </c>
      <c r="J4160">
        <v>0.9</v>
      </c>
      <c r="K4160">
        <v>1.52</v>
      </c>
      <c r="L4160">
        <v>8.2000000000000003E-2</v>
      </c>
      <c r="M4160">
        <v>1.66</v>
      </c>
      <c r="N4160">
        <v>4.5999999999999999E-2</v>
      </c>
    </row>
    <row r="4161" spans="1:14" x14ac:dyDescent="0.25">
      <c r="A4161" t="s">
        <v>7575</v>
      </c>
      <c r="B4161" t="s">
        <v>7576</v>
      </c>
      <c r="C4161" s="1" t="str">
        <f>HYPERLINK("http://www.genecards.org/cgi-bin/carddisp.pl?gene=HCRP1","GeneCards")</f>
        <v>GeneCards</v>
      </c>
      <c r="D4161" s="1" t="str">
        <f>HYPERLINK("http://genome-euro.ucsc.edu/cgi-bin/hgTracks?position=216176_at","UCSC")</f>
        <v>UCSC</v>
      </c>
      <c r="E4161" s="1" t="str">
        <f>HYPERLINK("http://www.ncbi.nlm.nih.gov/gene/?term=HCRP1","NCBI")</f>
        <v>NCBI</v>
      </c>
      <c r="F4161">
        <v>3.1E-2</v>
      </c>
      <c r="G4161">
        <v>0.13</v>
      </c>
      <c r="H4161" s="1" t="str">
        <f>HYPERLINK("http://www.weizmann.ac.il/complex/compphys/software/geview/data/figures/216176_at.png","Figure")</f>
        <v>Figure</v>
      </c>
      <c r="I4161">
        <v>1.39</v>
      </c>
      <c r="J4161">
        <v>9.1999999999999998E-2</v>
      </c>
      <c r="K4161">
        <v>1.43</v>
      </c>
      <c r="L4161">
        <v>3.2000000000000001E-2</v>
      </c>
      <c r="M4161">
        <v>1.03</v>
      </c>
      <c r="N4161">
        <v>0.97</v>
      </c>
    </row>
    <row r="4162" spans="1:14" x14ac:dyDescent="0.25">
      <c r="A4162" t="s">
        <v>7577</v>
      </c>
      <c r="B4162" t="s">
        <v>7578</v>
      </c>
      <c r="C4162" s="1" t="str">
        <f>HYPERLINK("http://www.genecards.org/cgi-bin/carddisp.pl?gene=C19orf73","GeneCards")</f>
        <v>GeneCards</v>
      </c>
      <c r="D4162" s="1" t="str">
        <f>HYPERLINK("http://genome-euro.ucsc.edu/cgi-bin/hgTracks?position=220151_at","UCSC")</f>
        <v>UCSC</v>
      </c>
      <c r="E4162" s="1" t="str">
        <f>HYPERLINK("http://www.ncbi.nlm.nih.gov/gene/?term=C19orf73","NCBI")</f>
        <v>NCBI</v>
      </c>
      <c r="F4162">
        <v>3.1E-2</v>
      </c>
      <c r="G4162">
        <v>0.13</v>
      </c>
      <c r="H4162" s="1" t="str">
        <f>HYPERLINK("http://www.weizmann.ac.il/complex/compphys/software/geview/data/figures/220151_at.png","Figure")</f>
        <v>Figure</v>
      </c>
      <c r="I4162">
        <v>1.2</v>
      </c>
      <c r="J4162">
        <v>2.5000000000000001E-2</v>
      </c>
      <c r="K4162">
        <v>1.0900000000000001</v>
      </c>
      <c r="L4162">
        <v>0.23</v>
      </c>
      <c r="M4162">
        <v>0.91500000000000004</v>
      </c>
      <c r="N4162">
        <v>0.27</v>
      </c>
    </row>
    <row r="4163" spans="1:14" x14ac:dyDescent="0.25">
      <c r="A4163" t="s">
        <v>7579</v>
      </c>
      <c r="B4163" t="s">
        <v>2087</v>
      </c>
      <c r="C4163" s="1" t="str">
        <f>HYPERLINK("http://www.genecards.org/cgi-bin/carddisp.pl?gene=TPT1","GeneCards")</f>
        <v>GeneCards</v>
      </c>
      <c r="D4163" s="1" t="str">
        <f>HYPERLINK("http://genome-euro.ucsc.edu/cgi-bin/hgTracks?position=212869_x_at","UCSC")</f>
        <v>UCSC</v>
      </c>
      <c r="E4163" s="1" t="str">
        <f>HYPERLINK("http://www.ncbi.nlm.nih.gov/gene/?term=TPT1","NCBI")</f>
        <v>NCBI</v>
      </c>
      <c r="F4163">
        <v>3.1E-2</v>
      </c>
      <c r="G4163">
        <v>0.13</v>
      </c>
      <c r="H4163" s="1" t="str">
        <f>HYPERLINK("http://www.weizmann.ac.il/complex/compphys/software/geview/data/figures/212869_x_at.png","Figure")</f>
        <v>Figure</v>
      </c>
      <c r="I4163">
        <v>0.89200000000000002</v>
      </c>
      <c r="J4163">
        <v>0.51</v>
      </c>
      <c r="K4163">
        <v>0.76700000000000002</v>
      </c>
      <c r="L4163">
        <v>2.5999999999999999E-2</v>
      </c>
      <c r="M4163">
        <v>0.86</v>
      </c>
      <c r="N4163">
        <v>0.28000000000000003</v>
      </c>
    </row>
    <row r="4164" spans="1:14" x14ac:dyDescent="0.25">
      <c r="A4164" t="s">
        <v>7580</v>
      </c>
      <c r="B4164" t="s">
        <v>7581</v>
      </c>
      <c r="C4164" s="1" t="str">
        <f>HYPERLINK("http://www.genecards.org/cgi-bin/carddisp.pl?gene=FIG4","GeneCards")</f>
        <v>GeneCards</v>
      </c>
      <c r="D4164" s="1" t="str">
        <f>HYPERLINK("http://genome-euro.ucsc.edu/cgi-bin/hgTracks?position=203656_at","UCSC")</f>
        <v>UCSC</v>
      </c>
      <c r="E4164" s="1" t="str">
        <f>HYPERLINK("http://www.ncbi.nlm.nih.gov/gene/?term=FIG4","NCBI")</f>
        <v>NCBI</v>
      </c>
      <c r="F4164">
        <v>3.1E-2</v>
      </c>
      <c r="G4164">
        <v>0.13</v>
      </c>
      <c r="H4164" s="1" t="str">
        <f>HYPERLINK("http://www.weizmann.ac.il/complex/compphys/software/geview/data/figures/203656_at.png","Figure")</f>
        <v>Figure</v>
      </c>
      <c r="I4164">
        <v>0.90500000000000003</v>
      </c>
      <c r="J4164">
        <v>0.77</v>
      </c>
      <c r="K4164">
        <v>1.31</v>
      </c>
      <c r="L4164">
        <v>0.11</v>
      </c>
      <c r="M4164">
        <v>1.45</v>
      </c>
      <c r="N4164">
        <v>3.7999999999999999E-2</v>
      </c>
    </row>
    <row r="4165" spans="1:14" x14ac:dyDescent="0.25">
      <c r="A4165" t="s">
        <v>7582</v>
      </c>
      <c r="B4165" t="s">
        <v>7583</v>
      </c>
      <c r="C4165" s="1" t="str">
        <f>HYPERLINK("http://www.genecards.org/cgi-bin/carddisp.pl?gene=FAM172A","GeneCards")</f>
        <v>GeneCards</v>
      </c>
      <c r="D4165" s="1" t="str">
        <f>HYPERLINK("http://genome-euro.ucsc.edu/cgi-bin/hgTracks?position=212936_at","UCSC")</f>
        <v>UCSC</v>
      </c>
      <c r="E4165" s="1" t="str">
        <f>HYPERLINK("http://www.ncbi.nlm.nih.gov/gene/?term=FAM172A","NCBI")</f>
        <v>NCBI</v>
      </c>
      <c r="F4165">
        <v>3.1E-2</v>
      </c>
      <c r="G4165">
        <v>0.13</v>
      </c>
      <c r="H4165" s="1" t="str">
        <f>HYPERLINK("http://www.weizmann.ac.il/complex/compphys/software/geview/data/figures/212936_at.png","Figure")</f>
        <v>Figure</v>
      </c>
      <c r="I4165">
        <v>0.77900000000000003</v>
      </c>
      <c r="J4165">
        <v>0.28000000000000003</v>
      </c>
      <c r="K4165">
        <v>1.21</v>
      </c>
      <c r="L4165">
        <v>0.37</v>
      </c>
      <c r="M4165">
        <v>1.55</v>
      </c>
      <c r="N4165">
        <v>2.5000000000000001E-2</v>
      </c>
    </row>
    <row r="4166" spans="1:14" x14ac:dyDescent="0.25">
      <c r="A4166" t="s">
        <v>7584</v>
      </c>
      <c r="B4166" t="s">
        <v>7585</v>
      </c>
      <c r="C4166" s="1" t="str">
        <f>HYPERLINK("http://www.genecards.org/cgi-bin/carddisp.pl?gene=TOX4","GeneCards")</f>
        <v>GeneCards</v>
      </c>
      <c r="D4166" s="1" t="str">
        <f>HYPERLINK("http://genome-euro.ucsc.edu/cgi-bin/hgTracks?position=201685_s_at","UCSC")</f>
        <v>UCSC</v>
      </c>
      <c r="E4166" s="1" t="str">
        <f>HYPERLINK("http://www.ncbi.nlm.nih.gov/gene/?term=TOX4","NCBI")</f>
        <v>NCBI</v>
      </c>
      <c r="F4166">
        <v>3.1E-2</v>
      </c>
      <c r="G4166">
        <v>0.13</v>
      </c>
      <c r="H4166" s="1" t="str">
        <f>HYPERLINK("http://www.weizmann.ac.il/complex/compphys/software/geview/data/figures/201685_s_at.png","Figure")</f>
        <v>Figure</v>
      </c>
      <c r="I4166">
        <v>0.67800000000000005</v>
      </c>
      <c r="J4166">
        <v>0.04</v>
      </c>
      <c r="K4166">
        <v>0.96099999999999997</v>
      </c>
      <c r="L4166">
        <v>0.94</v>
      </c>
      <c r="M4166">
        <v>1.42</v>
      </c>
      <c r="N4166">
        <v>4.9000000000000002E-2</v>
      </c>
    </row>
    <row r="4167" spans="1:14" x14ac:dyDescent="0.25">
      <c r="A4167" t="s">
        <v>7586</v>
      </c>
      <c r="B4167" t="s">
        <v>7587</v>
      </c>
      <c r="C4167" s="1" t="str">
        <f>HYPERLINK("http://www.genecards.org/cgi-bin/carddisp.pl?gene=MOCS3","GeneCards")</f>
        <v>GeneCards</v>
      </c>
      <c r="D4167" s="1" t="str">
        <f>HYPERLINK("http://genome-euro.ucsc.edu/cgi-bin/hgTracks?position=206141_at","UCSC")</f>
        <v>UCSC</v>
      </c>
      <c r="E4167" s="1" t="str">
        <f>HYPERLINK("http://www.ncbi.nlm.nih.gov/gene/?term=MOCS3","NCBI")</f>
        <v>NCBI</v>
      </c>
      <c r="F4167">
        <v>3.1E-2</v>
      </c>
      <c r="G4167">
        <v>0.13</v>
      </c>
      <c r="H4167" s="1" t="str">
        <f>HYPERLINK("http://www.weizmann.ac.il/complex/compphys/software/geview/data/figures/206141_at.png","Figure")</f>
        <v>Figure</v>
      </c>
      <c r="I4167">
        <v>1.2</v>
      </c>
      <c r="J4167">
        <v>3.3000000000000002E-2</v>
      </c>
      <c r="K4167">
        <v>1.03</v>
      </c>
      <c r="L4167">
        <v>0.81</v>
      </c>
      <c r="M4167">
        <v>0.86199999999999999</v>
      </c>
      <c r="N4167">
        <v>6.5000000000000002E-2</v>
      </c>
    </row>
    <row r="4168" spans="1:14" x14ac:dyDescent="0.25">
      <c r="A4168" t="s">
        <v>7588</v>
      </c>
      <c r="B4168" t="s">
        <v>4855</v>
      </c>
      <c r="C4168" s="1" t="str">
        <f>HYPERLINK("http://www.genecards.org/cgi-bin/carddisp.pl?gene=DNAJB6 /// TMEM135","GeneCards")</f>
        <v>GeneCards</v>
      </c>
      <c r="D4168" s="1" t="str">
        <f>HYPERLINK("http://genome-euro.ucsc.edu/cgi-bin/hgTracks?position=208811_s_at","UCSC")</f>
        <v>UCSC</v>
      </c>
      <c r="E4168" s="1" t="str">
        <f>HYPERLINK("http://www.ncbi.nlm.nih.gov/gene/?term=DNAJB6 /// TMEM135","NCBI")</f>
        <v>NCBI</v>
      </c>
      <c r="F4168">
        <v>3.1E-2</v>
      </c>
      <c r="G4168">
        <v>0.13</v>
      </c>
      <c r="H4168" s="1" t="str">
        <f>HYPERLINK("http://www.weizmann.ac.il/complex/compphys/software/geview/data/figures/208811_s_at.png","Figure")</f>
        <v>Figure</v>
      </c>
      <c r="I4168">
        <v>0.65</v>
      </c>
      <c r="J4168">
        <v>0.28999999999999998</v>
      </c>
      <c r="K4168">
        <v>0.48699999999999999</v>
      </c>
      <c r="L4168">
        <v>2.4E-2</v>
      </c>
      <c r="M4168">
        <v>0.749</v>
      </c>
      <c r="N4168">
        <v>0.51</v>
      </c>
    </row>
    <row r="4169" spans="1:14" x14ac:dyDescent="0.25">
      <c r="A4169" t="s">
        <v>7589</v>
      </c>
      <c r="B4169" t="s">
        <v>7590</v>
      </c>
      <c r="C4169" s="1" t="str">
        <f>HYPERLINK("http://www.genecards.org/cgi-bin/carddisp.pl?gene=AHCYL2","GeneCards")</f>
        <v>GeneCards</v>
      </c>
      <c r="D4169" s="1" t="str">
        <f>HYPERLINK("http://genome-euro.ucsc.edu/cgi-bin/hgTracks?position=212814_at","UCSC")</f>
        <v>UCSC</v>
      </c>
      <c r="E4169" s="1" t="str">
        <f>HYPERLINK("http://www.ncbi.nlm.nih.gov/gene/?term=AHCYL2","NCBI")</f>
        <v>NCBI</v>
      </c>
      <c r="F4169">
        <v>3.1E-2</v>
      </c>
      <c r="G4169">
        <v>0.13</v>
      </c>
      <c r="H4169" s="1" t="str">
        <f>HYPERLINK("http://www.weizmann.ac.il/complex/compphys/software/geview/data/figures/212814_at.png","Figure")</f>
        <v>Figure</v>
      </c>
      <c r="I4169">
        <v>0.79600000000000004</v>
      </c>
      <c r="J4169">
        <v>0.11</v>
      </c>
      <c r="K4169">
        <v>1.07</v>
      </c>
      <c r="L4169">
        <v>0.76</v>
      </c>
      <c r="M4169">
        <v>1.34</v>
      </c>
      <c r="N4169">
        <v>2.5999999999999999E-2</v>
      </c>
    </row>
    <row r="4170" spans="1:14" x14ac:dyDescent="0.25">
      <c r="A4170" t="s">
        <v>7591</v>
      </c>
      <c r="B4170" t="s">
        <v>7592</v>
      </c>
      <c r="C4170" s="1" t="str">
        <f>HYPERLINK("http://www.genecards.org/cgi-bin/carddisp.pl?gene=IGHM /// LOC652494","GeneCards")</f>
        <v>GeneCards</v>
      </c>
      <c r="D4170" s="1" t="str">
        <f>HYPERLINK("http://genome-euro.ucsc.edu/cgi-bin/hgTracks?position=215949_x_at","UCSC")</f>
        <v>UCSC</v>
      </c>
      <c r="E4170" s="1" t="str">
        <f>HYPERLINK("http://www.ncbi.nlm.nih.gov/gene/?term=IGHM /// LOC652494","NCBI")</f>
        <v>NCBI</v>
      </c>
      <c r="F4170">
        <v>3.1E-2</v>
      </c>
      <c r="G4170">
        <v>0.13</v>
      </c>
      <c r="H4170" s="1" t="str">
        <f>HYPERLINK("http://www.weizmann.ac.il/complex/compphys/software/geview/data/figures/215949_x_at.png","Figure")</f>
        <v>Figure</v>
      </c>
      <c r="I4170">
        <v>1.45</v>
      </c>
      <c r="J4170">
        <v>2.5999999999999999E-2</v>
      </c>
      <c r="K4170">
        <v>1.23</v>
      </c>
      <c r="L4170">
        <v>0.17</v>
      </c>
      <c r="M4170">
        <v>0.84899999999999998</v>
      </c>
      <c r="N4170">
        <v>0.37</v>
      </c>
    </row>
    <row r="4171" spans="1:14" x14ac:dyDescent="0.25">
      <c r="A4171" t="s">
        <v>7593</v>
      </c>
      <c r="B4171" t="s">
        <v>7594</v>
      </c>
      <c r="C4171" s="1" t="str">
        <f>HYPERLINK("http://www.genecards.org/cgi-bin/carddisp.pl?gene=NDUFA3","GeneCards")</f>
        <v>GeneCards</v>
      </c>
      <c r="D4171" s="1" t="str">
        <f>HYPERLINK("http://genome-euro.ucsc.edu/cgi-bin/hgTracks?position=218563_at","UCSC")</f>
        <v>UCSC</v>
      </c>
      <c r="E4171" s="1" t="str">
        <f>HYPERLINK("http://www.ncbi.nlm.nih.gov/gene/?term=NDUFA3","NCBI")</f>
        <v>NCBI</v>
      </c>
      <c r="F4171">
        <v>3.1E-2</v>
      </c>
      <c r="G4171">
        <v>0.13</v>
      </c>
      <c r="H4171" s="1" t="str">
        <f>HYPERLINK("http://www.weizmann.ac.il/complex/compphys/software/geview/data/figures/218563_at.png","Figure")</f>
        <v>Figure</v>
      </c>
      <c r="I4171">
        <v>1.1399999999999999</v>
      </c>
      <c r="J4171">
        <v>0.72</v>
      </c>
      <c r="K4171">
        <v>1.52</v>
      </c>
      <c r="L4171">
        <v>0.03</v>
      </c>
      <c r="M4171">
        <v>1.33</v>
      </c>
      <c r="N4171">
        <v>0.18</v>
      </c>
    </row>
    <row r="4172" spans="1:14" x14ac:dyDescent="0.25">
      <c r="A4172" t="s">
        <v>7595</v>
      </c>
      <c r="B4172" t="s">
        <v>7596</v>
      </c>
      <c r="C4172" s="1" t="str">
        <f>HYPERLINK("http://www.genecards.org/cgi-bin/carddisp.pl?gene=TMEM189-UBE2V1 /// UBE2V1","GeneCards")</f>
        <v>GeneCards</v>
      </c>
      <c r="D4172" s="1" t="str">
        <f>HYPERLINK("http://genome-euro.ucsc.edu/cgi-bin/hgTracks?position=201001_s_at","UCSC")</f>
        <v>UCSC</v>
      </c>
      <c r="E4172" s="1" t="str">
        <f>HYPERLINK("http://www.ncbi.nlm.nih.gov/gene/?term=TMEM189-UBE2V1 /// UBE2V1","NCBI")</f>
        <v>NCBI</v>
      </c>
      <c r="F4172">
        <v>3.1E-2</v>
      </c>
      <c r="G4172">
        <v>0.13</v>
      </c>
      <c r="H4172" s="1" t="str">
        <f>HYPERLINK("http://www.weizmann.ac.il/complex/compphys/software/geview/data/figures/201001_s_at.png","Figure")</f>
        <v>Figure</v>
      </c>
      <c r="I4172">
        <v>0.66900000000000004</v>
      </c>
      <c r="J4172">
        <v>2.7E-2</v>
      </c>
      <c r="K4172">
        <v>0.89100000000000001</v>
      </c>
      <c r="L4172">
        <v>0.61</v>
      </c>
      <c r="M4172">
        <v>1.33</v>
      </c>
      <c r="N4172">
        <v>9.6000000000000002E-2</v>
      </c>
    </row>
    <row r="4173" spans="1:14" x14ac:dyDescent="0.25">
      <c r="A4173" t="s">
        <v>7597</v>
      </c>
      <c r="B4173" t="s">
        <v>7598</v>
      </c>
      <c r="C4173" s="1" t="str">
        <f>HYPERLINK("http://www.genecards.org/cgi-bin/carddisp.pl?gene=CHD7","GeneCards")</f>
        <v>GeneCards</v>
      </c>
      <c r="D4173" s="1" t="str">
        <f>HYPERLINK("http://genome-euro.ucsc.edu/cgi-bin/hgTracks?position=218829_s_at","UCSC")</f>
        <v>UCSC</v>
      </c>
      <c r="E4173" s="1" t="str">
        <f>HYPERLINK("http://www.ncbi.nlm.nih.gov/gene/?term=CHD7","NCBI")</f>
        <v>NCBI</v>
      </c>
      <c r="F4173">
        <v>3.1E-2</v>
      </c>
      <c r="G4173">
        <v>0.13</v>
      </c>
      <c r="H4173" s="1" t="str">
        <f>HYPERLINK("http://www.weizmann.ac.il/complex/compphys/software/geview/data/figures/218829_s_at.png","Figure")</f>
        <v>Figure</v>
      </c>
      <c r="I4173">
        <v>0.79400000000000004</v>
      </c>
      <c r="J4173">
        <v>0.56999999999999995</v>
      </c>
      <c r="K4173">
        <v>0.56000000000000005</v>
      </c>
      <c r="L4173">
        <v>2.7E-2</v>
      </c>
      <c r="M4173">
        <v>0.70599999999999996</v>
      </c>
      <c r="N4173">
        <v>0.25</v>
      </c>
    </row>
    <row r="4174" spans="1:14" x14ac:dyDescent="0.25">
      <c r="A4174" t="s">
        <v>7599</v>
      </c>
      <c r="B4174" t="s">
        <v>7600</v>
      </c>
      <c r="C4174" s="1" t="str">
        <f>HYPERLINK("http://www.genecards.org/cgi-bin/carddisp.pl?gene=PF4","GeneCards")</f>
        <v>GeneCards</v>
      </c>
      <c r="D4174" s="1" t="str">
        <f>HYPERLINK("http://genome-euro.ucsc.edu/cgi-bin/hgTracks?position=206390_x_at","UCSC")</f>
        <v>UCSC</v>
      </c>
      <c r="E4174" s="1" t="str">
        <f>HYPERLINK("http://www.ncbi.nlm.nih.gov/gene/?term=PF4","NCBI")</f>
        <v>NCBI</v>
      </c>
      <c r="F4174">
        <v>3.1E-2</v>
      </c>
      <c r="G4174">
        <v>0.13</v>
      </c>
      <c r="H4174" s="1" t="str">
        <f>HYPERLINK("http://www.weizmann.ac.il/complex/compphys/software/geview/data/figures/206390_x_at.png","Figure")</f>
        <v>Figure</v>
      </c>
      <c r="I4174">
        <v>1.39</v>
      </c>
      <c r="J4174">
        <v>4.9000000000000002E-2</v>
      </c>
      <c r="K4174">
        <v>1.01</v>
      </c>
      <c r="L4174">
        <v>1</v>
      </c>
      <c r="M4174">
        <v>0.72499999999999998</v>
      </c>
      <c r="N4174">
        <v>0.04</v>
      </c>
    </row>
    <row r="4175" spans="1:14" x14ac:dyDescent="0.25">
      <c r="A4175" t="s">
        <v>7601</v>
      </c>
      <c r="B4175" t="s">
        <v>7602</v>
      </c>
      <c r="C4175" s="1" t="str">
        <f>HYPERLINK("http://www.genecards.org/cgi-bin/carddisp.pl?gene=NRIP2","GeneCards")</f>
        <v>GeneCards</v>
      </c>
      <c r="D4175" s="1" t="str">
        <f>HYPERLINK("http://genome-euro.ucsc.edu/cgi-bin/hgTracks?position=215104_at","UCSC")</f>
        <v>UCSC</v>
      </c>
      <c r="E4175" s="1" t="str">
        <f>HYPERLINK("http://www.ncbi.nlm.nih.gov/gene/?term=NRIP2","NCBI")</f>
        <v>NCBI</v>
      </c>
      <c r="F4175">
        <v>3.1E-2</v>
      </c>
      <c r="G4175">
        <v>0.13</v>
      </c>
      <c r="H4175" s="1" t="str">
        <f>HYPERLINK("http://www.weizmann.ac.il/complex/compphys/software/geview/data/figures/215104_at.png","Figure")</f>
        <v>Figure</v>
      </c>
      <c r="I4175">
        <v>1.02</v>
      </c>
      <c r="J4175">
        <v>0.06</v>
      </c>
      <c r="K4175">
        <v>1.01</v>
      </c>
      <c r="L4175">
        <v>4.2999999999999997E-2</v>
      </c>
      <c r="M4175">
        <v>0.999</v>
      </c>
      <c r="N4175">
        <v>0.98</v>
      </c>
    </row>
    <row r="4176" spans="1:14" x14ac:dyDescent="0.25">
      <c r="A4176" t="s">
        <v>7603</v>
      </c>
      <c r="B4176" t="s">
        <v>7604</v>
      </c>
      <c r="C4176" s="1" t="str">
        <f>HYPERLINK("http://www.genecards.org/cgi-bin/carddisp.pl?gene=GAL3ST4","GeneCards")</f>
        <v>GeneCards</v>
      </c>
      <c r="D4176" s="1" t="str">
        <f>HYPERLINK("http://genome-euro.ucsc.edu/cgi-bin/hgTracks?position=219815_at","UCSC")</f>
        <v>UCSC</v>
      </c>
      <c r="E4176" s="1" t="str">
        <f>HYPERLINK("http://www.ncbi.nlm.nih.gov/gene/?term=GAL3ST4","NCBI")</f>
        <v>NCBI</v>
      </c>
      <c r="F4176">
        <v>3.1E-2</v>
      </c>
      <c r="G4176">
        <v>0.13</v>
      </c>
      <c r="H4176" s="1" t="str">
        <f>HYPERLINK("http://www.weizmann.ac.il/complex/compphys/software/geview/data/figures/219815_at.png","Figure")</f>
        <v>Figure</v>
      </c>
      <c r="I4176">
        <v>1.1100000000000001</v>
      </c>
      <c r="J4176">
        <v>0.67</v>
      </c>
      <c r="K4176">
        <v>0.79600000000000004</v>
      </c>
      <c r="L4176">
        <v>0.14000000000000001</v>
      </c>
      <c r="M4176">
        <v>0.71399999999999997</v>
      </c>
      <c r="N4176">
        <v>3.4000000000000002E-2</v>
      </c>
    </row>
    <row r="4177" spans="1:14" x14ac:dyDescent="0.25">
      <c r="A4177" t="s">
        <v>7605</v>
      </c>
      <c r="B4177" t="s">
        <v>7606</v>
      </c>
      <c r="C4177" s="1" t="str">
        <f>HYPERLINK("http://www.genecards.org/cgi-bin/carddisp.pl?gene=FNDC8","GeneCards")</f>
        <v>GeneCards</v>
      </c>
      <c r="D4177" s="1" t="str">
        <f>HYPERLINK("http://genome-euro.ucsc.edu/cgi-bin/hgTracks?position=220499_at","UCSC")</f>
        <v>UCSC</v>
      </c>
      <c r="E4177" s="1" t="str">
        <f>HYPERLINK("http://www.ncbi.nlm.nih.gov/gene/?term=FNDC8","NCBI")</f>
        <v>NCBI</v>
      </c>
      <c r="F4177">
        <v>3.1E-2</v>
      </c>
      <c r="G4177">
        <v>0.13</v>
      </c>
      <c r="H4177" s="1" t="str">
        <f>HYPERLINK("http://www.weizmann.ac.il/complex/compphys/software/geview/data/figures/220499_at.png","Figure")</f>
        <v>Figure</v>
      </c>
      <c r="I4177">
        <v>1.1499999999999999</v>
      </c>
      <c r="J4177">
        <v>0.11</v>
      </c>
      <c r="K4177">
        <v>1.18</v>
      </c>
      <c r="L4177">
        <v>0.03</v>
      </c>
      <c r="M4177">
        <v>1.02</v>
      </c>
      <c r="N4177">
        <v>0.92</v>
      </c>
    </row>
    <row r="4178" spans="1:14" x14ac:dyDescent="0.25">
      <c r="A4178" t="s">
        <v>7607</v>
      </c>
      <c r="B4178" t="s">
        <v>7608</v>
      </c>
      <c r="C4178" s="1" t="str">
        <f>HYPERLINK("http://www.genecards.org/cgi-bin/carddisp.pl?gene=FBXL5","GeneCards")</f>
        <v>GeneCards</v>
      </c>
      <c r="D4178" s="1" t="str">
        <f>HYPERLINK("http://genome-euro.ucsc.edu/cgi-bin/hgTracks?position=209004_s_at","UCSC")</f>
        <v>UCSC</v>
      </c>
      <c r="E4178" s="1" t="str">
        <f>HYPERLINK("http://www.ncbi.nlm.nih.gov/gene/?term=FBXL5","NCBI")</f>
        <v>NCBI</v>
      </c>
      <c r="F4178">
        <v>3.1E-2</v>
      </c>
      <c r="G4178">
        <v>0.13</v>
      </c>
      <c r="H4178" s="1" t="str">
        <f>HYPERLINK("http://www.weizmann.ac.il/complex/compphys/software/geview/data/figures/209004_s_at.png","Figure")</f>
        <v>Figure</v>
      </c>
      <c r="I4178">
        <v>0.51800000000000002</v>
      </c>
      <c r="J4178">
        <v>3.7999999999999999E-2</v>
      </c>
      <c r="K4178">
        <v>0.60499999999999998</v>
      </c>
      <c r="L4178">
        <v>7.0999999999999994E-2</v>
      </c>
      <c r="M4178">
        <v>1.17</v>
      </c>
      <c r="N4178">
        <v>0.76</v>
      </c>
    </row>
    <row r="4179" spans="1:14" x14ac:dyDescent="0.25">
      <c r="A4179" t="s">
        <v>7609</v>
      </c>
      <c r="B4179" t="s">
        <v>7610</v>
      </c>
      <c r="C4179" s="1" t="str">
        <f>HYPERLINK("http://www.genecards.org/cgi-bin/carddisp.pl?gene=VASH2","GeneCards")</f>
        <v>GeneCards</v>
      </c>
      <c r="D4179" s="1" t="str">
        <f>HYPERLINK("http://genome-euro.ucsc.edu/cgi-bin/hgTracks?position=219740_at","UCSC")</f>
        <v>UCSC</v>
      </c>
      <c r="E4179" s="1" t="str">
        <f>HYPERLINK("http://www.ncbi.nlm.nih.gov/gene/?term=VASH2","NCBI")</f>
        <v>NCBI</v>
      </c>
      <c r="F4179">
        <v>3.1E-2</v>
      </c>
      <c r="G4179">
        <v>0.13</v>
      </c>
      <c r="H4179" s="1" t="str">
        <f>HYPERLINK("http://www.weizmann.ac.il/complex/compphys/software/geview/data/figures/219740_at.png","Figure")</f>
        <v>Figure</v>
      </c>
      <c r="I4179">
        <v>1.72</v>
      </c>
      <c r="J4179">
        <v>5.7000000000000002E-2</v>
      </c>
      <c r="K4179">
        <v>1.64</v>
      </c>
      <c r="L4179">
        <v>4.4999999999999998E-2</v>
      </c>
      <c r="M4179">
        <v>0.95599999999999996</v>
      </c>
      <c r="N4179">
        <v>0.97</v>
      </c>
    </row>
    <row r="4180" spans="1:14" x14ac:dyDescent="0.25">
      <c r="A4180" t="s">
        <v>7611</v>
      </c>
      <c r="B4180" t="s">
        <v>7612</v>
      </c>
      <c r="C4180" s="1" t="str">
        <f>HYPERLINK("http://www.genecards.org/cgi-bin/carddisp.pl?gene=CAMK2B","GeneCards")</f>
        <v>GeneCards</v>
      </c>
      <c r="D4180" s="1" t="str">
        <f>HYPERLINK("http://genome-euro.ucsc.edu/cgi-bin/hgTracks?position=34846_at","UCSC")</f>
        <v>UCSC</v>
      </c>
      <c r="E4180" s="1" t="str">
        <f>HYPERLINK("http://www.ncbi.nlm.nih.gov/gene/?term=CAMK2B","NCBI")</f>
        <v>NCBI</v>
      </c>
      <c r="F4180">
        <v>3.1E-2</v>
      </c>
      <c r="G4180">
        <v>0.13</v>
      </c>
      <c r="H4180" s="1" t="str">
        <f>HYPERLINK("http://www.weizmann.ac.il/complex/compphys/software/geview/data/figures/34846_at.png","Figure")</f>
        <v>Figure</v>
      </c>
      <c r="I4180">
        <v>1.32</v>
      </c>
      <c r="J4180">
        <v>2.5999999999999999E-2</v>
      </c>
      <c r="K4180">
        <v>1.1000000000000001</v>
      </c>
      <c r="L4180">
        <v>0.48</v>
      </c>
      <c r="M4180">
        <v>0.83399999999999996</v>
      </c>
      <c r="N4180">
        <v>0.13</v>
      </c>
    </row>
    <row r="4181" spans="1:14" x14ac:dyDescent="0.25">
      <c r="A4181" t="s">
        <v>7613</v>
      </c>
      <c r="B4181" t="s">
        <v>7614</v>
      </c>
      <c r="C4181" s="1" t="str">
        <f>HYPERLINK("http://www.genecards.org/cgi-bin/carddisp.pl?gene=VBP1","GeneCards")</f>
        <v>GeneCards</v>
      </c>
      <c r="D4181" s="1" t="str">
        <f>HYPERLINK("http://genome-euro.ucsc.edu/cgi-bin/hgTracks?position=201472_at","UCSC")</f>
        <v>UCSC</v>
      </c>
      <c r="E4181" s="1" t="str">
        <f>HYPERLINK("http://www.ncbi.nlm.nih.gov/gene/?term=VBP1","NCBI")</f>
        <v>NCBI</v>
      </c>
      <c r="F4181">
        <v>3.1E-2</v>
      </c>
      <c r="G4181">
        <v>0.13</v>
      </c>
      <c r="H4181" s="1" t="str">
        <f>HYPERLINK("http://www.weizmann.ac.il/complex/compphys/software/geview/data/figures/201472_at.png","Figure")</f>
        <v>Figure</v>
      </c>
      <c r="I4181">
        <v>0.67200000000000004</v>
      </c>
      <c r="J4181">
        <v>0.3</v>
      </c>
      <c r="K4181">
        <v>1.39</v>
      </c>
      <c r="L4181">
        <v>0.34</v>
      </c>
      <c r="M4181">
        <v>2.06</v>
      </c>
      <c r="N4181">
        <v>2.5000000000000001E-2</v>
      </c>
    </row>
    <row r="4182" spans="1:14" x14ac:dyDescent="0.25">
      <c r="A4182" t="s">
        <v>7615</v>
      </c>
      <c r="B4182" t="s">
        <v>7616</v>
      </c>
      <c r="C4182" s="1" t="str">
        <f>HYPERLINK("http://www.genecards.org/cgi-bin/carddisp.pl?gene=CYP2J2","GeneCards")</f>
        <v>GeneCards</v>
      </c>
      <c r="D4182" s="1" t="str">
        <f>HYPERLINK("http://genome-euro.ucsc.edu/cgi-bin/hgTracks?position=205073_at","UCSC")</f>
        <v>UCSC</v>
      </c>
      <c r="E4182" s="1" t="str">
        <f>HYPERLINK("http://www.ncbi.nlm.nih.gov/gene/?term=CYP2J2","NCBI")</f>
        <v>NCBI</v>
      </c>
      <c r="F4182">
        <v>3.1E-2</v>
      </c>
      <c r="G4182">
        <v>0.13</v>
      </c>
      <c r="H4182" s="1" t="str">
        <f>HYPERLINK("http://www.weizmann.ac.il/complex/compphys/software/geview/data/figures/205073_at.png","Figure")</f>
        <v>Figure</v>
      </c>
      <c r="I4182">
        <v>1.1100000000000001</v>
      </c>
      <c r="J4182">
        <v>7.6999999999999999E-2</v>
      </c>
      <c r="K4182">
        <v>0.98599999999999999</v>
      </c>
      <c r="L4182">
        <v>0.93</v>
      </c>
      <c r="M4182">
        <v>0.89</v>
      </c>
      <c r="N4182">
        <v>0.03</v>
      </c>
    </row>
    <row r="4183" spans="1:14" x14ac:dyDescent="0.25">
      <c r="A4183" t="s">
        <v>7617</v>
      </c>
      <c r="B4183" t="s">
        <v>6467</v>
      </c>
      <c r="C4183" s="1" t="str">
        <f>HYPERLINK("http://www.genecards.org/cgi-bin/carddisp.pl?gene=ADAM8","GeneCards")</f>
        <v>GeneCards</v>
      </c>
      <c r="D4183" s="1" t="str">
        <f>HYPERLINK("http://genome-euro.ucsc.edu/cgi-bin/hgTracks?position=205179_s_at","UCSC")</f>
        <v>UCSC</v>
      </c>
      <c r="E4183" s="1" t="str">
        <f>HYPERLINK("http://www.ncbi.nlm.nih.gov/gene/?term=ADAM8","NCBI")</f>
        <v>NCBI</v>
      </c>
      <c r="F4183">
        <v>3.1E-2</v>
      </c>
      <c r="G4183">
        <v>0.13</v>
      </c>
      <c r="H4183" s="1" t="str">
        <f>HYPERLINK("http://www.weizmann.ac.il/complex/compphys/software/geview/data/figures/205179_s_at.png","Figure")</f>
        <v>Figure</v>
      </c>
      <c r="I4183">
        <v>1.1599999999999999</v>
      </c>
      <c r="J4183">
        <v>3.6999999999999998E-2</v>
      </c>
      <c r="K4183">
        <v>1.1100000000000001</v>
      </c>
      <c r="L4183">
        <v>7.4999999999999997E-2</v>
      </c>
      <c r="M4183">
        <v>0.96499999999999997</v>
      </c>
      <c r="N4183">
        <v>0.74</v>
      </c>
    </row>
    <row r="4184" spans="1:14" x14ac:dyDescent="0.25">
      <c r="A4184" t="s">
        <v>7618</v>
      </c>
      <c r="B4184" t="s">
        <v>7619</v>
      </c>
      <c r="C4184" s="1" t="str">
        <f>HYPERLINK("http://www.genecards.org/cgi-bin/carddisp.pl?gene=EFNB3","GeneCards")</f>
        <v>GeneCards</v>
      </c>
      <c r="D4184" s="1" t="str">
        <f>HYPERLINK("http://genome-euro.ucsc.edu/cgi-bin/hgTracks?position=210883_x_at","UCSC")</f>
        <v>UCSC</v>
      </c>
      <c r="E4184" s="1" t="str">
        <f>HYPERLINK("http://www.ncbi.nlm.nih.gov/gene/?term=EFNB3","NCBI")</f>
        <v>NCBI</v>
      </c>
      <c r="F4184">
        <v>3.1E-2</v>
      </c>
      <c r="G4184">
        <v>0.13</v>
      </c>
      <c r="H4184" s="1" t="str">
        <f>HYPERLINK("http://www.weizmann.ac.il/complex/compphys/software/geview/data/figures/210883_x_at.png","Figure")</f>
        <v>Figure</v>
      </c>
      <c r="I4184">
        <v>1.27</v>
      </c>
      <c r="J4184">
        <v>4.2999999999999997E-2</v>
      </c>
      <c r="K4184">
        <v>1.02</v>
      </c>
      <c r="L4184">
        <v>0.97</v>
      </c>
      <c r="M4184">
        <v>0.80200000000000005</v>
      </c>
      <c r="N4184">
        <v>4.5999999999999999E-2</v>
      </c>
    </row>
    <row r="4185" spans="1:14" x14ac:dyDescent="0.25">
      <c r="A4185" t="s">
        <v>7620</v>
      </c>
      <c r="B4185" t="s">
        <v>2386</v>
      </c>
      <c r="C4185" s="1" t="str">
        <f>HYPERLINK("http://www.genecards.org/cgi-bin/carddisp.pl?gene=SRD5A1","GeneCards")</f>
        <v>GeneCards</v>
      </c>
      <c r="D4185" s="1" t="str">
        <f>HYPERLINK("http://genome-euro.ucsc.edu/cgi-bin/hgTracks?position=211056_s_at","UCSC")</f>
        <v>UCSC</v>
      </c>
      <c r="E4185" s="1" t="str">
        <f>HYPERLINK("http://www.ncbi.nlm.nih.gov/gene/?term=SRD5A1","NCBI")</f>
        <v>NCBI</v>
      </c>
      <c r="F4185">
        <v>3.1E-2</v>
      </c>
      <c r="G4185">
        <v>0.13</v>
      </c>
      <c r="H4185" s="1" t="str">
        <f>HYPERLINK("http://www.weizmann.ac.il/complex/compphys/software/geview/data/figures/211056_s_at.png","Figure")</f>
        <v>Figure</v>
      </c>
      <c r="I4185">
        <v>0.81499999999999995</v>
      </c>
      <c r="J4185">
        <v>3.9E-2</v>
      </c>
      <c r="K4185">
        <v>0.97599999999999998</v>
      </c>
      <c r="L4185">
        <v>0.93</v>
      </c>
      <c r="M4185">
        <v>1.2</v>
      </c>
      <c r="N4185">
        <v>5.0999999999999997E-2</v>
      </c>
    </row>
    <row r="4186" spans="1:14" x14ac:dyDescent="0.25">
      <c r="A4186" t="s">
        <v>7621</v>
      </c>
      <c r="B4186" t="s">
        <v>2922</v>
      </c>
      <c r="C4186" s="1" t="str">
        <f>HYPERLINK("http://www.genecards.org/cgi-bin/carddisp.pl?gene=SRCAP","GeneCards")</f>
        <v>GeneCards</v>
      </c>
      <c r="D4186" s="1" t="str">
        <f>HYPERLINK("http://genome-euro.ucsc.edu/cgi-bin/hgTracks?position=212275_s_at","UCSC")</f>
        <v>UCSC</v>
      </c>
      <c r="E4186" s="1" t="str">
        <f>HYPERLINK("http://www.ncbi.nlm.nih.gov/gene/?term=SRCAP","NCBI")</f>
        <v>NCBI</v>
      </c>
      <c r="F4186">
        <v>3.1E-2</v>
      </c>
      <c r="G4186">
        <v>0.13</v>
      </c>
      <c r="H4186" s="1" t="str">
        <f>HYPERLINK("http://www.weizmann.ac.il/complex/compphys/software/geview/data/figures/212275_s_at.png","Figure")</f>
        <v>Figure</v>
      </c>
      <c r="I4186">
        <v>1.32</v>
      </c>
      <c r="J4186">
        <v>2.5999999999999999E-2</v>
      </c>
      <c r="K4186">
        <v>1.1000000000000001</v>
      </c>
      <c r="L4186">
        <v>0.5</v>
      </c>
      <c r="M4186">
        <v>0.83299999999999996</v>
      </c>
      <c r="N4186">
        <v>0.12</v>
      </c>
    </row>
    <row r="4187" spans="1:14" x14ac:dyDescent="0.25">
      <c r="A4187" t="s">
        <v>7622</v>
      </c>
      <c r="B4187" t="s">
        <v>7623</v>
      </c>
      <c r="C4187" s="1" t="str">
        <f>HYPERLINK("http://www.genecards.org/cgi-bin/carddisp.pl?gene=C6orf105","GeneCards")</f>
        <v>GeneCards</v>
      </c>
      <c r="D4187" s="1" t="str">
        <f>HYPERLINK("http://genome-euro.ucsc.edu/cgi-bin/hgTracks?position=215100_at","UCSC")</f>
        <v>UCSC</v>
      </c>
      <c r="E4187" s="1" t="str">
        <f>HYPERLINK("http://www.ncbi.nlm.nih.gov/gene/?term=C6orf105","NCBI")</f>
        <v>NCBI</v>
      </c>
      <c r="F4187">
        <v>3.1E-2</v>
      </c>
      <c r="G4187">
        <v>0.13</v>
      </c>
      <c r="H4187" s="1" t="str">
        <f>HYPERLINK("http://www.weizmann.ac.il/complex/compphys/software/geview/data/figures/215100_at.png","Figure")</f>
        <v>Figure</v>
      </c>
      <c r="I4187">
        <v>1.25</v>
      </c>
      <c r="J4187">
        <v>3.9E-2</v>
      </c>
      <c r="K4187">
        <v>1.03</v>
      </c>
      <c r="L4187">
        <v>0.92</v>
      </c>
      <c r="M4187">
        <v>0.82</v>
      </c>
      <c r="N4187">
        <v>5.1999999999999998E-2</v>
      </c>
    </row>
    <row r="4188" spans="1:14" x14ac:dyDescent="0.25">
      <c r="A4188" t="s">
        <v>7624</v>
      </c>
      <c r="B4188" t="s">
        <v>7625</v>
      </c>
      <c r="C4188" s="1" t="str">
        <f>HYPERLINK("http://www.genecards.org/cgi-bin/carddisp.pl?gene=AFTPH","GeneCards")</f>
        <v>GeneCards</v>
      </c>
      <c r="D4188" s="1" t="str">
        <f>HYPERLINK("http://genome-euro.ucsc.edu/cgi-bin/hgTracks?position=217939_s_at","UCSC")</f>
        <v>UCSC</v>
      </c>
      <c r="E4188" s="1" t="str">
        <f>HYPERLINK("http://www.ncbi.nlm.nih.gov/gene/?term=AFTPH","NCBI")</f>
        <v>NCBI</v>
      </c>
      <c r="F4188">
        <v>3.1E-2</v>
      </c>
      <c r="G4188">
        <v>0.13</v>
      </c>
      <c r="H4188" s="1" t="str">
        <f>HYPERLINK("http://www.weizmann.ac.il/complex/compphys/software/geview/data/figures/217939_s_at.png","Figure")</f>
        <v>Figure</v>
      </c>
      <c r="I4188">
        <v>1.34</v>
      </c>
      <c r="J4188">
        <v>8.6999999999999994E-2</v>
      </c>
      <c r="K4188">
        <v>1.37</v>
      </c>
      <c r="L4188">
        <v>3.4000000000000002E-2</v>
      </c>
      <c r="M4188">
        <v>1.02</v>
      </c>
      <c r="N4188">
        <v>0.98</v>
      </c>
    </row>
    <row r="4189" spans="1:14" x14ac:dyDescent="0.25">
      <c r="A4189" t="s">
        <v>7626</v>
      </c>
      <c r="B4189" t="s">
        <v>7627</v>
      </c>
      <c r="C4189" s="1" t="str">
        <f>HYPERLINK("http://www.genecards.org/cgi-bin/carddisp.pl?gene=RAB9A","GeneCards")</f>
        <v>GeneCards</v>
      </c>
      <c r="D4189" s="1" t="str">
        <f>HYPERLINK("http://genome-euro.ucsc.edu/cgi-bin/hgTracks?position=221808_at","UCSC")</f>
        <v>UCSC</v>
      </c>
      <c r="E4189" s="1" t="str">
        <f>HYPERLINK("http://www.ncbi.nlm.nih.gov/gene/?term=RAB9A","NCBI")</f>
        <v>NCBI</v>
      </c>
      <c r="F4189">
        <v>3.1E-2</v>
      </c>
      <c r="G4189">
        <v>0.13</v>
      </c>
      <c r="H4189" s="1" t="str">
        <f>HYPERLINK("http://www.weizmann.ac.il/complex/compphys/software/geview/data/figures/221808_at.png","Figure")</f>
        <v>Figure</v>
      </c>
      <c r="I4189">
        <v>0.55300000000000005</v>
      </c>
      <c r="J4189">
        <v>0.03</v>
      </c>
      <c r="K4189">
        <v>0.68</v>
      </c>
      <c r="L4189">
        <v>0.11</v>
      </c>
      <c r="M4189">
        <v>1.23</v>
      </c>
      <c r="N4189">
        <v>0.53</v>
      </c>
    </row>
    <row r="4190" spans="1:14" x14ac:dyDescent="0.25">
      <c r="A4190" t="s">
        <v>7628</v>
      </c>
      <c r="B4190" t="s">
        <v>7629</v>
      </c>
      <c r="C4190" s="1" t="str">
        <f>HYPERLINK("http://www.genecards.org/cgi-bin/carddisp.pl?gene=B3GNT2","GeneCards")</f>
        <v>GeneCards</v>
      </c>
      <c r="D4190" s="1" t="str">
        <f>HYPERLINK("http://genome-euro.ucsc.edu/cgi-bin/hgTracks?position=219326_s_at","UCSC")</f>
        <v>UCSC</v>
      </c>
      <c r="E4190" s="1" t="str">
        <f>HYPERLINK("http://www.ncbi.nlm.nih.gov/gene/?term=B3GNT2","NCBI")</f>
        <v>NCBI</v>
      </c>
      <c r="F4190">
        <v>3.1E-2</v>
      </c>
      <c r="G4190">
        <v>0.13</v>
      </c>
      <c r="H4190" s="1" t="str">
        <f>HYPERLINK("http://www.weizmann.ac.il/complex/compphys/software/geview/data/figures/219326_s_at.png","Figure")</f>
        <v>Figure</v>
      </c>
      <c r="I4190">
        <v>0.82</v>
      </c>
      <c r="J4190">
        <v>0.32</v>
      </c>
      <c r="K4190">
        <v>0.70599999999999996</v>
      </c>
      <c r="L4190">
        <v>2.4E-2</v>
      </c>
      <c r="M4190">
        <v>0.86099999999999999</v>
      </c>
      <c r="N4190">
        <v>0.46</v>
      </c>
    </row>
    <row r="4191" spans="1:14" x14ac:dyDescent="0.25">
      <c r="A4191" t="s">
        <v>7630</v>
      </c>
      <c r="B4191" t="s">
        <v>3819</v>
      </c>
      <c r="C4191" s="1" t="str">
        <f>HYPERLINK("http://www.genecards.org/cgi-bin/carddisp.pl?gene=ARPP19","GeneCards")</f>
        <v>GeneCards</v>
      </c>
      <c r="D4191" s="1" t="str">
        <f>HYPERLINK("http://genome-euro.ucsc.edu/cgi-bin/hgTracks?position=214553_s_at","UCSC")</f>
        <v>UCSC</v>
      </c>
      <c r="E4191" s="1" t="str">
        <f>HYPERLINK("http://www.ncbi.nlm.nih.gov/gene/?term=ARPP19","NCBI")</f>
        <v>NCBI</v>
      </c>
      <c r="F4191">
        <v>3.1E-2</v>
      </c>
      <c r="G4191">
        <v>0.13</v>
      </c>
      <c r="H4191" s="1" t="str">
        <f>HYPERLINK("http://www.weizmann.ac.il/complex/compphys/software/geview/data/figures/214553_s_at.png","Figure")</f>
        <v>Figure</v>
      </c>
      <c r="I4191">
        <v>1.04</v>
      </c>
      <c r="J4191">
        <v>0.95</v>
      </c>
      <c r="K4191">
        <v>0.75700000000000001</v>
      </c>
      <c r="L4191">
        <v>7.0999999999999994E-2</v>
      </c>
      <c r="M4191">
        <v>0.72799999999999998</v>
      </c>
      <c r="N4191">
        <v>5.3999999999999999E-2</v>
      </c>
    </row>
    <row r="4192" spans="1:14" x14ac:dyDescent="0.25">
      <c r="A4192" t="s">
        <v>7631</v>
      </c>
      <c r="B4192" t="s">
        <v>7632</v>
      </c>
      <c r="C4192" s="1" t="str">
        <f>HYPERLINK("http://www.genecards.org/cgi-bin/carddisp.pl?gene=ORAI3","GeneCards")</f>
        <v>GeneCards</v>
      </c>
      <c r="D4192" s="1" t="str">
        <f>HYPERLINK("http://genome-euro.ucsc.edu/cgi-bin/hgTracks?position=221864_at","UCSC")</f>
        <v>UCSC</v>
      </c>
      <c r="E4192" s="1" t="str">
        <f>HYPERLINK("http://www.ncbi.nlm.nih.gov/gene/?term=ORAI3","NCBI")</f>
        <v>NCBI</v>
      </c>
      <c r="F4192">
        <v>3.1E-2</v>
      </c>
      <c r="G4192">
        <v>0.13</v>
      </c>
      <c r="H4192" s="1" t="str">
        <f>HYPERLINK("http://www.weizmann.ac.il/complex/compphys/software/geview/data/figures/221864_at.png","Figure")</f>
        <v>Figure</v>
      </c>
      <c r="I4192">
        <v>1.33</v>
      </c>
      <c r="J4192">
        <v>0.2</v>
      </c>
      <c r="K4192">
        <v>1.51</v>
      </c>
      <c r="L4192">
        <v>2.5000000000000001E-2</v>
      </c>
      <c r="M4192">
        <v>1.1299999999999999</v>
      </c>
      <c r="N4192">
        <v>0.68</v>
      </c>
    </row>
    <row r="4193" spans="1:14" x14ac:dyDescent="0.25">
      <c r="A4193" t="s">
        <v>7633</v>
      </c>
      <c r="B4193" t="s">
        <v>7634</v>
      </c>
      <c r="C4193" s="1" t="str">
        <f>HYPERLINK("http://www.genecards.org/cgi-bin/carddisp.pl?gene=MECP2","GeneCards")</f>
        <v>GeneCards</v>
      </c>
      <c r="D4193" s="1" t="str">
        <f>HYPERLINK("http://genome-euro.ucsc.edu/cgi-bin/hgTracks?position=202617_s_at","UCSC")</f>
        <v>UCSC</v>
      </c>
      <c r="E4193" s="1" t="str">
        <f>HYPERLINK("http://www.ncbi.nlm.nih.gov/gene/?term=MECP2","NCBI")</f>
        <v>NCBI</v>
      </c>
      <c r="F4193">
        <v>3.1E-2</v>
      </c>
      <c r="G4193">
        <v>0.13</v>
      </c>
      <c r="H4193" s="1" t="str">
        <f>HYPERLINK("http://www.weizmann.ac.il/complex/compphys/software/geview/data/figures/202617_s_at.png","Figure")</f>
        <v>Figure</v>
      </c>
      <c r="I4193">
        <v>0.55900000000000005</v>
      </c>
      <c r="J4193">
        <v>4.1000000000000002E-2</v>
      </c>
      <c r="K4193">
        <v>0.94499999999999995</v>
      </c>
      <c r="L4193">
        <v>0.95</v>
      </c>
      <c r="M4193">
        <v>1.69</v>
      </c>
      <c r="N4193">
        <v>4.9000000000000002E-2</v>
      </c>
    </row>
    <row r="4194" spans="1:14" x14ac:dyDescent="0.25">
      <c r="A4194" t="s">
        <v>7635</v>
      </c>
      <c r="B4194" t="s">
        <v>7636</v>
      </c>
      <c r="C4194" s="1" t="str">
        <f>HYPERLINK("http://www.genecards.org/cgi-bin/carddisp.pl?gene=C1orf14","GeneCards")</f>
        <v>GeneCards</v>
      </c>
      <c r="D4194" s="1" t="str">
        <f>HYPERLINK("http://genome-euro.ucsc.edu/cgi-bin/hgTracks?position=220996_s_at","UCSC")</f>
        <v>UCSC</v>
      </c>
      <c r="E4194" s="1" t="str">
        <f>HYPERLINK("http://www.ncbi.nlm.nih.gov/gene/?term=C1orf14","NCBI")</f>
        <v>NCBI</v>
      </c>
      <c r="F4194">
        <v>3.1E-2</v>
      </c>
      <c r="G4194">
        <v>0.13</v>
      </c>
      <c r="H4194" s="1" t="str">
        <f>HYPERLINK("http://www.weizmann.ac.il/complex/compphys/software/geview/data/figures/220996_s_at.png","Figure")</f>
        <v>Figure</v>
      </c>
      <c r="I4194">
        <v>1.17</v>
      </c>
      <c r="J4194">
        <v>3.9E-2</v>
      </c>
      <c r="K4194">
        <v>1.1299999999999999</v>
      </c>
      <c r="L4194">
        <v>6.8000000000000005E-2</v>
      </c>
      <c r="M4194">
        <v>0.96599999999999997</v>
      </c>
      <c r="N4194">
        <v>0.79</v>
      </c>
    </row>
    <row r="4195" spans="1:14" x14ac:dyDescent="0.25">
      <c r="A4195" t="s">
        <v>7637</v>
      </c>
      <c r="B4195" t="s">
        <v>7638</v>
      </c>
      <c r="C4195" s="1" t="str">
        <f>HYPERLINK("http://www.genecards.org/cgi-bin/carddisp.pl?gene=NUP43","GeneCards")</f>
        <v>GeneCards</v>
      </c>
      <c r="D4195" s="1" t="str">
        <f>HYPERLINK("http://genome-euro.ucsc.edu/cgi-bin/hgTracks?position=219007_at","UCSC")</f>
        <v>UCSC</v>
      </c>
      <c r="E4195" s="1" t="str">
        <f>HYPERLINK("http://www.ncbi.nlm.nih.gov/gene/?term=NUP43","NCBI")</f>
        <v>NCBI</v>
      </c>
      <c r="F4195">
        <v>3.1E-2</v>
      </c>
      <c r="G4195">
        <v>0.13</v>
      </c>
      <c r="H4195" s="1" t="str">
        <f>HYPERLINK("http://www.weizmann.ac.il/complex/compphys/software/geview/data/figures/219007_at.png","Figure")</f>
        <v>Figure</v>
      </c>
      <c r="I4195">
        <v>0.81299999999999994</v>
      </c>
      <c r="J4195">
        <v>0.72</v>
      </c>
      <c r="K4195">
        <v>1.64</v>
      </c>
      <c r="L4195">
        <v>0.12</v>
      </c>
      <c r="M4195">
        <v>2.0099999999999998</v>
      </c>
      <c r="N4195">
        <v>3.5999999999999997E-2</v>
      </c>
    </row>
    <row r="4196" spans="1:14" x14ac:dyDescent="0.25">
      <c r="A4196" t="s">
        <v>7639</v>
      </c>
      <c r="B4196" t="s">
        <v>7640</v>
      </c>
      <c r="C4196" s="1" t="str">
        <f>HYPERLINK("http://www.genecards.org/cgi-bin/carddisp.pl?gene=CRIP1","GeneCards")</f>
        <v>GeneCards</v>
      </c>
      <c r="D4196" s="1" t="str">
        <f>HYPERLINK("http://genome-euro.ucsc.edu/cgi-bin/hgTracks?position=205081_at","UCSC")</f>
        <v>UCSC</v>
      </c>
      <c r="E4196" s="1" t="str">
        <f>HYPERLINK("http://www.ncbi.nlm.nih.gov/gene/?term=CRIP1","NCBI")</f>
        <v>NCBI</v>
      </c>
      <c r="F4196">
        <v>3.1E-2</v>
      </c>
      <c r="G4196">
        <v>0.13</v>
      </c>
      <c r="H4196" s="1" t="str">
        <f>HYPERLINK("http://www.weizmann.ac.il/complex/compphys/software/geview/data/figures/205081_at.png","Figure")</f>
        <v>Figure</v>
      </c>
      <c r="I4196">
        <v>2.2799999999999998</v>
      </c>
      <c r="J4196">
        <v>3.5000000000000003E-2</v>
      </c>
      <c r="K4196">
        <v>1.82</v>
      </c>
      <c r="L4196">
        <v>8.2000000000000003E-2</v>
      </c>
      <c r="M4196">
        <v>0.79800000000000004</v>
      </c>
      <c r="N4196">
        <v>0.69</v>
      </c>
    </row>
    <row r="4197" spans="1:14" x14ac:dyDescent="0.25">
      <c r="A4197" t="s">
        <v>7641</v>
      </c>
      <c r="B4197" t="s">
        <v>7642</v>
      </c>
      <c r="C4197" s="1" t="str">
        <f>HYPERLINK("http://www.genecards.org/cgi-bin/carddisp.pl?gene=PLEKHG3","GeneCards")</f>
        <v>GeneCards</v>
      </c>
      <c r="D4197" s="1" t="str">
        <f>HYPERLINK("http://genome-euro.ucsc.edu/cgi-bin/hgTracks?position=212823_s_at","UCSC")</f>
        <v>UCSC</v>
      </c>
      <c r="E4197" s="1" t="str">
        <f>HYPERLINK("http://www.ncbi.nlm.nih.gov/gene/?term=PLEKHG3","NCBI")</f>
        <v>NCBI</v>
      </c>
      <c r="F4197">
        <v>3.1E-2</v>
      </c>
      <c r="G4197">
        <v>0.13</v>
      </c>
      <c r="H4197" s="1" t="str">
        <f>HYPERLINK("http://www.weizmann.ac.il/complex/compphys/software/geview/data/figures/212823_s_at.png","Figure")</f>
        <v>Figure</v>
      </c>
      <c r="I4197">
        <v>1.3</v>
      </c>
      <c r="J4197">
        <v>2.7E-2</v>
      </c>
      <c r="K4197">
        <v>1.08</v>
      </c>
      <c r="L4197">
        <v>0.59</v>
      </c>
      <c r="M4197">
        <v>0.83</v>
      </c>
      <c r="N4197">
        <v>0.1</v>
      </c>
    </row>
    <row r="4198" spans="1:14" x14ac:dyDescent="0.25">
      <c r="A4198" t="s">
        <v>7643</v>
      </c>
      <c r="B4198" t="s">
        <v>5702</v>
      </c>
      <c r="C4198" s="1" t="str">
        <f>HYPERLINK("http://www.genecards.org/cgi-bin/carddisp.pl?gene=USP14","GeneCards")</f>
        <v>GeneCards</v>
      </c>
      <c r="D4198" s="1" t="str">
        <f>HYPERLINK("http://genome-euro.ucsc.edu/cgi-bin/hgTracks?position=201672_s_at","UCSC")</f>
        <v>UCSC</v>
      </c>
      <c r="E4198" s="1" t="str">
        <f>HYPERLINK("http://www.ncbi.nlm.nih.gov/gene/?term=USP14","NCBI")</f>
        <v>NCBI</v>
      </c>
      <c r="F4198">
        <v>3.1E-2</v>
      </c>
      <c r="G4198">
        <v>0.13</v>
      </c>
      <c r="H4198" s="1" t="str">
        <f>HYPERLINK("http://www.weizmann.ac.il/complex/compphys/software/geview/data/figures/201672_s_at.png","Figure")</f>
        <v>Figure</v>
      </c>
      <c r="I4198">
        <v>0.69799999999999995</v>
      </c>
      <c r="J4198">
        <v>0.12</v>
      </c>
      <c r="K4198">
        <v>0.64800000000000002</v>
      </c>
      <c r="L4198">
        <v>2.9000000000000001E-2</v>
      </c>
      <c r="M4198">
        <v>0.92900000000000005</v>
      </c>
      <c r="N4198">
        <v>0.89</v>
      </c>
    </row>
    <row r="4199" spans="1:14" x14ac:dyDescent="0.25">
      <c r="A4199" t="s">
        <v>7644</v>
      </c>
      <c r="B4199" t="s">
        <v>7645</v>
      </c>
      <c r="C4199" s="1" t="str">
        <f>HYPERLINK("http://www.genecards.org/cgi-bin/carddisp.pl?gene=RGS6","GeneCards")</f>
        <v>GeneCards</v>
      </c>
      <c r="D4199" s="1" t="str">
        <f>HYPERLINK("http://genome-euro.ucsc.edu/cgi-bin/hgTracks?position=214538_x_at","UCSC")</f>
        <v>UCSC</v>
      </c>
      <c r="E4199" s="1" t="str">
        <f>HYPERLINK("http://www.ncbi.nlm.nih.gov/gene/?term=RGS6","NCBI")</f>
        <v>NCBI</v>
      </c>
      <c r="F4199">
        <v>3.1E-2</v>
      </c>
      <c r="G4199">
        <v>0.13</v>
      </c>
      <c r="H4199" s="1" t="str">
        <f>HYPERLINK("http://www.weizmann.ac.il/complex/compphys/software/geview/data/figures/214538_x_at.png","Figure")</f>
        <v>Figure</v>
      </c>
      <c r="I4199">
        <v>1.26</v>
      </c>
      <c r="J4199">
        <v>2.5999999999999999E-2</v>
      </c>
      <c r="K4199">
        <v>1.08</v>
      </c>
      <c r="L4199">
        <v>0.48</v>
      </c>
      <c r="M4199">
        <v>0.85899999999999999</v>
      </c>
      <c r="N4199">
        <v>0.13</v>
      </c>
    </row>
    <row r="4200" spans="1:14" x14ac:dyDescent="0.25">
      <c r="A4200" t="s">
        <v>7646</v>
      </c>
      <c r="B4200" t="s">
        <v>7647</v>
      </c>
      <c r="C4200" s="1" t="str">
        <f>HYPERLINK("http://www.genecards.org/cgi-bin/carddisp.pl?gene=NDST2","GeneCards")</f>
        <v>GeneCards</v>
      </c>
      <c r="D4200" s="1" t="str">
        <f>HYPERLINK("http://genome-euro.ucsc.edu/cgi-bin/hgTracks?position=203916_at","UCSC")</f>
        <v>UCSC</v>
      </c>
      <c r="E4200" s="1" t="str">
        <f>HYPERLINK("http://www.ncbi.nlm.nih.gov/gene/?term=NDST2","NCBI")</f>
        <v>NCBI</v>
      </c>
      <c r="F4200">
        <v>3.1E-2</v>
      </c>
      <c r="G4200">
        <v>0.13</v>
      </c>
      <c r="H4200" s="1" t="str">
        <f>HYPERLINK("http://www.weizmann.ac.il/complex/compphys/software/geview/data/figures/203916_at.png","Figure")</f>
        <v>Figure</v>
      </c>
      <c r="I4200">
        <v>1.31</v>
      </c>
      <c r="J4200">
        <v>6.9000000000000006E-2</v>
      </c>
      <c r="K4200">
        <v>0.97499999999999998</v>
      </c>
      <c r="L4200">
        <v>0.96</v>
      </c>
      <c r="M4200">
        <v>0.745</v>
      </c>
      <c r="N4200">
        <v>3.2000000000000001E-2</v>
      </c>
    </row>
    <row r="4201" spans="1:14" x14ac:dyDescent="0.25">
      <c r="A4201" t="s">
        <v>7648</v>
      </c>
      <c r="B4201" t="s">
        <v>7649</v>
      </c>
      <c r="C4201" s="1" t="str">
        <f>HYPERLINK("http://www.genecards.org/cgi-bin/carddisp.pl?gene=AP3M2","GeneCards")</f>
        <v>GeneCards</v>
      </c>
      <c r="D4201" s="1" t="str">
        <f>HYPERLINK("http://genome-euro.ucsc.edu/cgi-bin/hgTracks?position=203410_at","UCSC")</f>
        <v>UCSC</v>
      </c>
      <c r="E4201" s="1" t="str">
        <f>HYPERLINK("http://www.ncbi.nlm.nih.gov/gene/?term=AP3M2","NCBI")</f>
        <v>NCBI</v>
      </c>
      <c r="F4201">
        <v>3.1E-2</v>
      </c>
      <c r="G4201">
        <v>0.13</v>
      </c>
      <c r="H4201" s="1" t="str">
        <f>HYPERLINK("http://www.weizmann.ac.il/complex/compphys/software/geview/data/figures/203410_at.png","Figure")</f>
        <v>Figure</v>
      </c>
      <c r="I4201">
        <v>0.746</v>
      </c>
      <c r="J4201">
        <v>2.5000000000000001E-2</v>
      </c>
      <c r="K4201">
        <v>0.86199999999999999</v>
      </c>
      <c r="L4201">
        <v>0.23</v>
      </c>
      <c r="M4201">
        <v>1.1599999999999999</v>
      </c>
      <c r="N4201">
        <v>0.28000000000000003</v>
      </c>
    </row>
    <row r="4202" spans="1:14" x14ac:dyDescent="0.25">
      <c r="A4202" t="s">
        <v>7650</v>
      </c>
      <c r="B4202" t="s">
        <v>861</v>
      </c>
      <c r="C4202" s="1" t="str">
        <f>HYPERLINK("http://www.genecards.org/cgi-bin/carddisp.pl?gene=COX11","GeneCards")</f>
        <v>GeneCards</v>
      </c>
      <c r="D4202" s="1" t="str">
        <f>HYPERLINK("http://genome-euro.ucsc.edu/cgi-bin/hgTracks?position=203551_s_at","UCSC")</f>
        <v>UCSC</v>
      </c>
      <c r="E4202" s="1" t="str">
        <f>HYPERLINK("http://www.ncbi.nlm.nih.gov/gene/?term=COX11","NCBI")</f>
        <v>NCBI</v>
      </c>
      <c r="F4202">
        <v>3.1E-2</v>
      </c>
      <c r="G4202">
        <v>0.13</v>
      </c>
      <c r="H4202" s="1" t="str">
        <f>HYPERLINK("http://www.weizmann.ac.il/complex/compphys/software/geview/data/figures/203551_s_at.png","Figure")</f>
        <v>Figure</v>
      </c>
      <c r="I4202">
        <v>0.628</v>
      </c>
      <c r="J4202">
        <v>4.9000000000000002E-2</v>
      </c>
      <c r="K4202">
        <v>0.98699999999999999</v>
      </c>
      <c r="L4202">
        <v>1</v>
      </c>
      <c r="M4202">
        <v>1.57</v>
      </c>
      <c r="N4202">
        <v>4.1000000000000002E-2</v>
      </c>
    </row>
    <row r="4203" spans="1:14" x14ac:dyDescent="0.25">
      <c r="A4203" t="s">
        <v>7651</v>
      </c>
      <c r="B4203" t="s">
        <v>6424</v>
      </c>
      <c r="C4203" s="1" t="str">
        <f>HYPERLINK("http://www.genecards.org/cgi-bin/carddisp.pl?gene=ESR2","GeneCards")</f>
        <v>GeneCards</v>
      </c>
      <c r="D4203" s="1" t="str">
        <f>HYPERLINK("http://genome-euro.ucsc.edu/cgi-bin/hgTracks?position=210780_at","UCSC")</f>
        <v>UCSC</v>
      </c>
      <c r="E4203" s="1" t="str">
        <f>HYPERLINK("http://www.ncbi.nlm.nih.gov/gene/?term=ESR2","NCBI")</f>
        <v>NCBI</v>
      </c>
      <c r="F4203">
        <v>3.1E-2</v>
      </c>
      <c r="G4203">
        <v>0.13</v>
      </c>
      <c r="H4203" s="1" t="str">
        <f>HYPERLINK("http://www.weizmann.ac.il/complex/compphys/software/geview/data/figures/210780_at.png","Figure")</f>
        <v>Figure</v>
      </c>
      <c r="I4203">
        <v>1.22</v>
      </c>
      <c r="J4203">
        <v>2.5999999999999999E-2</v>
      </c>
      <c r="K4203">
        <v>1.1200000000000001</v>
      </c>
      <c r="L4203">
        <v>0.17</v>
      </c>
      <c r="M4203">
        <v>0.91500000000000004</v>
      </c>
      <c r="N4203">
        <v>0.36</v>
      </c>
    </row>
    <row r="4204" spans="1:14" x14ac:dyDescent="0.25">
      <c r="A4204" t="s">
        <v>7652</v>
      </c>
      <c r="B4204" t="s">
        <v>7653</v>
      </c>
      <c r="C4204" s="1" t="str">
        <f>HYPERLINK("http://www.genecards.org/cgi-bin/carddisp.pl?gene=BSPRY","GeneCards")</f>
        <v>GeneCards</v>
      </c>
      <c r="D4204" s="1" t="str">
        <f>HYPERLINK("http://genome-euro.ucsc.edu/cgi-bin/hgTracks?position=218792_s_at","UCSC")</f>
        <v>UCSC</v>
      </c>
      <c r="E4204" s="1" t="str">
        <f>HYPERLINK("http://www.ncbi.nlm.nih.gov/gene/?term=BSPRY","NCBI")</f>
        <v>NCBI</v>
      </c>
      <c r="F4204">
        <v>3.1E-2</v>
      </c>
      <c r="G4204">
        <v>0.13</v>
      </c>
      <c r="H4204" s="1" t="str">
        <f>HYPERLINK("http://www.weizmann.ac.il/complex/compphys/software/geview/data/figures/218792_s_at.png","Figure")</f>
        <v>Figure</v>
      </c>
      <c r="I4204">
        <v>1.32</v>
      </c>
      <c r="J4204">
        <v>5.7000000000000002E-2</v>
      </c>
      <c r="K4204">
        <v>1.29</v>
      </c>
      <c r="L4204">
        <v>4.5999999999999999E-2</v>
      </c>
      <c r="M4204">
        <v>0.97599999999999998</v>
      </c>
      <c r="N4204">
        <v>0.97</v>
      </c>
    </row>
    <row r="4205" spans="1:14" x14ac:dyDescent="0.25">
      <c r="A4205" t="s">
        <v>7654</v>
      </c>
      <c r="B4205" t="s">
        <v>7655</v>
      </c>
      <c r="C4205" s="1" t="str">
        <f>HYPERLINK("http://www.genecards.org/cgi-bin/carddisp.pl?gene=DLK2","GeneCards")</f>
        <v>GeneCards</v>
      </c>
      <c r="D4205" s="1" t="str">
        <f>HYPERLINK("http://genome-euro.ucsc.edu/cgi-bin/hgTracks?position=220262_s_at","UCSC")</f>
        <v>UCSC</v>
      </c>
      <c r="E4205" s="1" t="str">
        <f>HYPERLINK("http://www.ncbi.nlm.nih.gov/gene/?term=DLK2","NCBI")</f>
        <v>NCBI</v>
      </c>
      <c r="F4205">
        <v>3.1E-2</v>
      </c>
      <c r="G4205">
        <v>0.13</v>
      </c>
      <c r="H4205" s="1" t="str">
        <f>HYPERLINK("http://www.weizmann.ac.il/complex/compphys/software/geview/data/figures/220262_s_at.png","Figure")</f>
        <v>Figure</v>
      </c>
      <c r="I4205">
        <v>1.1599999999999999</v>
      </c>
      <c r="J4205">
        <v>0.22</v>
      </c>
      <c r="K4205">
        <v>0.91500000000000004</v>
      </c>
      <c r="L4205">
        <v>0.46</v>
      </c>
      <c r="M4205">
        <v>0.79100000000000004</v>
      </c>
      <c r="N4205">
        <v>2.5000000000000001E-2</v>
      </c>
    </row>
    <row r="4206" spans="1:14" x14ac:dyDescent="0.25">
      <c r="A4206" t="s">
        <v>7656</v>
      </c>
      <c r="B4206" t="s">
        <v>4131</v>
      </c>
      <c r="C4206" s="1" t="str">
        <f>HYPERLINK("http://www.genecards.org/cgi-bin/carddisp.pl?gene=RASGRF1","GeneCards")</f>
        <v>GeneCards</v>
      </c>
      <c r="D4206" s="1" t="str">
        <f>HYPERLINK("http://genome-euro.ucsc.edu/cgi-bin/hgTracks?position=215688_at","UCSC")</f>
        <v>UCSC</v>
      </c>
      <c r="E4206" s="1" t="str">
        <f>HYPERLINK("http://www.ncbi.nlm.nih.gov/gene/?term=RASGRF1","NCBI")</f>
        <v>NCBI</v>
      </c>
      <c r="F4206">
        <v>3.1E-2</v>
      </c>
      <c r="G4206">
        <v>0.13</v>
      </c>
      <c r="H4206" s="1" t="str">
        <f>HYPERLINK("http://www.weizmann.ac.il/complex/compphys/software/geview/data/figures/215688_at.png","Figure")</f>
        <v>Figure</v>
      </c>
      <c r="I4206">
        <v>1.1399999999999999</v>
      </c>
      <c r="J4206">
        <v>0.19</v>
      </c>
      <c r="K4206">
        <v>0.93300000000000005</v>
      </c>
      <c r="L4206">
        <v>0.53</v>
      </c>
      <c r="M4206">
        <v>0.81499999999999995</v>
      </c>
      <c r="N4206">
        <v>2.5000000000000001E-2</v>
      </c>
    </row>
    <row r="4207" spans="1:14" x14ac:dyDescent="0.25">
      <c r="A4207" t="s">
        <v>7657</v>
      </c>
      <c r="B4207" t="s">
        <v>7658</v>
      </c>
      <c r="C4207" s="1" t="str">
        <f>HYPERLINK("http://www.genecards.org/cgi-bin/carddisp.pl?gene=LRCH4","GeneCards")</f>
        <v>GeneCards</v>
      </c>
      <c r="D4207" s="1" t="str">
        <f>HYPERLINK("http://genome-euro.ucsc.edu/cgi-bin/hgTracks?position=204692_at","UCSC")</f>
        <v>UCSC</v>
      </c>
      <c r="E4207" s="1" t="str">
        <f>HYPERLINK("http://www.ncbi.nlm.nih.gov/gene/?term=LRCH4","NCBI")</f>
        <v>NCBI</v>
      </c>
      <c r="F4207">
        <v>3.1E-2</v>
      </c>
      <c r="G4207">
        <v>0.13</v>
      </c>
      <c r="H4207" s="1" t="str">
        <f>HYPERLINK("http://www.weizmann.ac.il/complex/compphys/software/geview/data/figures/204692_at.png","Figure")</f>
        <v>Figure</v>
      </c>
      <c r="I4207">
        <v>1.46</v>
      </c>
      <c r="J4207">
        <v>2.5000000000000001E-2</v>
      </c>
      <c r="K4207">
        <v>1.18</v>
      </c>
      <c r="L4207">
        <v>0.3</v>
      </c>
      <c r="M4207">
        <v>0.81</v>
      </c>
      <c r="N4207">
        <v>0.21</v>
      </c>
    </row>
    <row r="4208" spans="1:14" x14ac:dyDescent="0.25">
      <c r="A4208" t="s">
        <v>7659</v>
      </c>
      <c r="B4208" t="s">
        <v>7660</v>
      </c>
      <c r="C4208" s="1" t="str">
        <f>HYPERLINK("http://www.genecards.org/cgi-bin/carddisp.pl?gene=GRP","GeneCards")</f>
        <v>GeneCards</v>
      </c>
      <c r="D4208" s="1" t="str">
        <f>HYPERLINK("http://genome-euro.ucsc.edu/cgi-bin/hgTracks?position=206326_at","UCSC")</f>
        <v>UCSC</v>
      </c>
      <c r="E4208" s="1" t="str">
        <f>HYPERLINK("http://www.ncbi.nlm.nih.gov/gene/?term=GRP","NCBI")</f>
        <v>NCBI</v>
      </c>
      <c r="F4208">
        <v>3.1E-2</v>
      </c>
      <c r="G4208">
        <v>0.13</v>
      </c>
      <c r="H4208" s="1" t="str">
        <f>HYPERLINK("http://www.weizmann.ac.il/complex/compphys/software/geview/data/figures/206326_at.png","Figure")</f>
        <v>Figure</v>
      </c>
      <c r="I4208">
        <v>1.18</v>
      </c>
      <c r="J4208">
        <v>2.5000000000000001E-2</v>
      </c>
      <c r="K4208">
        <v>1.08</v>
      </c>
      <c r="L4208">
        <v>0.24</v>
      </c>
      <c r="M4208">
        <v>0.92100000000000004</v>
      </c>
      <c r="N4208">
        <v>0.26</v>
      </c>
    </row>
    <row r="4209" spans="1:14" x14ac:dyDescent="0.25">
      <c r="A4209" t="s">
        <v>7661</v>
      </c>
      <c r="B4209" t="s">
        <v>7662</v>
      </c>
      <c r="C4209" s="1" t="str">
        <f>HYPERLINK("http://www.genecards.org/cgi-bin/carddisp.pl?gene=BAAT","GeneCards")</f>
        <v>GeneCards</v>
      </c>
      <c r="D4209" s="1" t="str">
        <f>HYPERLINK("http://genome-euro.ucsc.edu/cgi-bin/hgTracks?position=206913_at","UCSC")</f>
        <v>UCSC</v>
      </c>
      <c r="E4209" s="1" t="str">
        <f>HYPERLINK("http://www.ncbi.nlm.nih.gov/gene/?term=BAAT","NCBI")</f>
        <v>NCBI</v>
      </c>
      <c r="F4209">
        <v>3.1E-2</v>
      </c>
      <c r="G4209">
        <v>0.13</v>
      </c>
      <c r="H4209" s="1" t="str">
        <f>HYPERLINK("http://www.weizmann.ac.il/complex/compphys/software/geview/data/figures/206913_at.png","Figure")</f>
        <v>Figure</v>
      </c>
      <c r="I4209">
        <v>1.33</v>
      </c>
      <c r="J4209">
        <v>2.8000000000000001E-2</v>
      </c>
      <c r="K4209">
        <v>1.18</v>
      </c>
      <c r="L4209">
        <v>0.15</v>
      </c>
      <c r="M4209">
        <v>0.89200000000000002</v>
      </c>
      <c r="N4209">
        <v>0.43</v>
      </c>
    </row>
    <row r="4210" spans="1:14" x14ac:dyDescent="0.25">
      <c r="A4210" t="s">
        <v>7663</v>
      </c>
      <c r="B4210" t="s">
        <v>7664</v>
      </c>
      <c r="C4210" s="1" t="str">
        <f>HYPERLINK("http://www.genecards.org/cgi-bin/carddisp.pl?gene=LBP","GeneCards")</f>
        <v>GeneCards</v>
      </c>
      <c r="D4210" s="1" t="str">
        <f>HYPERLINK("http://genome-euro.ucsc.edu/cgi-bin/hgTracks?position=211652_s_at","UCSC")</f>
        <v>UCSC</v>
      </c>
      <c r="E4210" s="1" t="str">
        <f>HYPERLINK("http://www.ncbi.nlm.nih.gov/gene/?term=LBP","NCBI")</f>
        <v>NCBI</v>
      </c>
      <c r="F4210">
        <v>3.1E-2</v>
      </c>
      <c r="G4210">
        <v>0.13</v>
      </c>
      <c r="H4210" s="1" t="str">
        <f>HYPERLINK("http://www.weizmann.ac.il/complex/compphys/software/geview/data/figures/211652_s_at.png","Figure")</f>
        <v>Figure</v>
      </c>
      <c r="I4210">
        <v>1.24</v>
      </c>
      <c r="J4210">
        <v>0.1</v>
      </c>
      <c r="K4210">
        <v>0.95</v>
      </c>
      <c r="L4210">
        <v>0.81</v>
      </c>
      <c r="M4210">
        <v>0.76700000000000002</v>
      </c>
      <c r="N4210">
        <v>2.7E-2</v>
      </c>
    </row>
    <row r="4211" spans="1:14" x14ac:dyDescent="0.25">
      <c r="A4211" t="s">
        <v>7665</v>
      </c>
      <c r="B4211" t="s">
        <v>7666</v>
      </c>
      <c r="C4211" s="1" t="str">
        <f>HYPERLINK("http://www.genecards.org/cgi-bin/carddisp.pl?gene=POLR3D","GeneCards")</f>
        <v>GeneCards</v>
      </c>
      <c r="D4211" s="1" t="str">
        <f>HYPERLINK("http://genome-euro.ucsc.edu/cgi-bin/hgTracks?position=208361_s_at","UCSC")</f>
        <v>UCSC</v>
      </c>
      <c r="E4211" s="1" t="str">
        <f>HYPERLINK("http://www.ncbi.nlm.nih.gov/gene/?term=POLR3D","NCBI")</f>
        <v>NCBI</v>
      </c>
      <c r="F4211">
        <v>3.1E-2</v>
      </c>
      <c r="G4211">
        <v>0.13</v>
      </c>
      <c r="H4211" s="1" t="str">
        <f>HYPERLINK("http://www.weizmann.ac.il/complex/compphys/software/geview/data/figures/208361_s_at.png","Figure")</f>
        <v>Figure</v>
      </c>
      <c r="I4211">
        <v>0.79</v>
      </c>
      <c r="J4211">
        <v>3.6999999999999998E-2</v>
      </c>
      <c r="K4211">
        <v>0.96699999999999997</v>
      </c>
      <c r="L4211">
        <v>0.89</v>
      </c>
      <c r="M4211">
        <v>1.22</v>
      </c>
      <c r="N4211">
        <v>5.7000000000000002E-2</v>
      </c>
    </row>
    <row r="4212" spans="1:14" x14ac:dyDescent="0.25">
      <c r="A4212" t="s">
        <v>7667</v>
      </c>
      <c r="B4212" t="s">
        <v>7668</v>
      </c>
      <c r="C4212" s="1" t="str">
        <f>HYPERLINK("http://www.genecards.org/cgi-bin/carddisp.pl?gene=NFE2","GeneCards")</f>
        <v>GeneCards</v>
      </c>
      <c r="D4212" s="1" t="str">
        <f>HYPERLINK("http://genome-euro.ucsc.edu/cgi-bin/hgTracks?position=209930_s_at","UCSC")</f>
        <v>UCSC</v>
      </c>
      <c r="E4212" s="1" t="str">
        <f>HYPERLINK("http://www.ncbi.nlm.nih.gov/gene/?term=NFE2","NCBI")</f>
        <v>NCBI</v>
      </c>
      <c r="F4212">
        <v>3.1E-2</v>
      </c>
      <c r="G4212">
        <v>0.13</v>
      </c>
      <c r="H4212" s="1" t="str">
        <f>HYPERLINK("http://www.weizmann.ac.il/complex/compphys/software/geview/data/figures/209930_s_at.png","Figure")</f>
        <v>Figure</v>
      </c>
      <c r="I4212">
        <v>0.55300000000000005</v>
      </c>
      <c r="J4212">
        <v>4.8000000000000001E-2</v>
      </c>
      <c r="K4212">
        <v>0.97599999999999998</v>
      </c>
      <c r="L4212">
        <v>0.99</v>
      </c>
      <c r="M4212">
        <v>1.77</v>
      </c>
      <c r="N4212">
        <v>4.2000000000000003E-2</v>
      </c>
    </row>
    <row r="4213" spans="1:14" x14ac:dyDescent="0.25">
      <c r="A4213" t="s">
        <v>7669</v>
      </c>
      <c r="B4213" t="s">
        <v>7670</v>
      </c>
      <c r="C4213" s="1" t="str">
        <f>HYPERLINK("http://www.genecards.org/cgi-bin/carddisp.pl?gene=GPR144","GeneCards")</f>
        <v>GeneCards</v>
      </c>
      <c r="D4213" s="1" t="str">
        <f>HYPERLINK("http://genome-euro.ucsc.edu/cgi-bin/hgTracks?position=216289_at","UCSC")</f>
        <v>UCSC</v>
      </c>
      <c r="E4213" s="1" t="str">
        <f>HYPERLINK("http://www.ncbi.nlm.nih.gov/gene/?term=GPR144","NCBI")</f>
        <v>NCBI</v>
      </c>
      <c r="F4213">
        <v>3.1E-2</v>
      </c>
      <c r="G4213">
        <v>0.13</v>
      </c>
      <c r="H4213" s="1" t="str">
        <f>HYPERLINK("http://www.weizmann.ac.il/complex/compphys/software/geview/data/figures/216289_at.png","Figure")</f>
        <v>Figure</v>
      </c>
      <c r="I4213">
        <v>1.6</v>
      </c>
      <c r="J4213">
        <v>4.5999999999999999E-2</v>
      </c>
      <c r="K4213">
        <v>1.48</v>
      </c>
      <c r="L4213">
        <v>5.7000000000000002E-2</v>
      </c>
      <c r="M4213">
        <v>0.92400000000000004</v>
      </c>
      <c r="N4213">
        <v>0.88</v>
      </c>
    </row>
    <row r="4214" spans="1:14" x14ac:dyDescent="0.25">
      <c r="A4214" t="s">
        <v>7671</v>
      </c>
      <c r="B4214" t="s">
        <v>7672</v>
      </c>
      <c r="C4214" s="1" t="str">
        <f>HYPERLINK("http://www.genecards.org/cgi-bin/carddisp.pl?gene=THEG","GeneCards")</f>
        <v>GeneCards</v>
      </c>
      <c r="D4214" s="1" t="str">
        <f>HYPERLINK("http://genome-euro.ucsc.edu/cgi-bin/hgTracks?position=220808_at","UCSC")</f>
        <v>UCSC</v>
      </c>
      <c r="E4214" s="1" t="str">
        <f>HYPERLINK("http://www.ncbi.nlm.nih.gov/gene/?term=THEG","NCBI")</f>
        <v>NCBI</v>
      </c>
      <c r="F4214">
        <v>3.1E-2</v>
      </c>
      <c r="G4214">
        <v>0.13</v>
      </c>
      <c r="H4214" s="1" t="str">
        <f>HYPERLINK("http://www.weizmann.ac.il/complex/compphys/software/geview/data/figures/220808_at.png","Figure")</f>
        <v>Figure</v>
      </c>
      <c r="I4214">
        <v>1.27</v>
      </c>
      <c r="J4214">
        <v>2.5000000000000001E-2</v>
      </c>
      <c r="K4214">
        <v>1.1200000000000001</v>
      </c>
      <c r="L4214">
        <v>0.27</v>
      </c>
      <c r="M4214">
        <v>0.88100000000000001</v>
      </c>
      <c r="N4214">
        <v>0.23</v>
      </c>
    </row>
    <row r="4215" spans="1:14" x14ac:dyDescent="0.25">
      <c r="A4215" t="s">
        <v>7673</v>
      </c>
      <c r="B4215" t="s">
        <v>7674</v>
      </c>
      <c r="C4215" s="1" t="str">
        <f>HYPERLINK("http://www.genecards.org/cgi-bin/carddisp.pl?gene=EIF5A","GeneCards")</f>
        <v>GeneCards</v>
      </c>
      <c r="D4215" s="1" t="str">
        <f>HYPERLINK("http://genome-euro.ucsc.edu/cgi-bin/hgTracks?position=213753_x_at","UCSC")</f>
        <v>UCSC</v>
      </c>
      <c r="E4215" s="1" t="str">
        <f>HYPERLINK("http://www.ncbi.nlm.nih.gov/gene/?term=EIF5A","NCBI")</f>
        <v>NCBI</v>
      </c>
      <c r="F4215">
        <v>3.1E-2</v>
      </c>
      <c r="G4215">
        <v>0.13</v>
      </c>
      <c r="H4215" s="1" t="str">
        <f>HYPERLINK("http://www.weizmann.ac.il/complex/compphys/software/geview/data/figures/213753_x_at.png","Figure")</f>
        <v>Figure</v>
      </c>
      <c r="I4215">
        <v>1.52</v>
      </c>
      <c r="J4215">
        <v>3.9E-2</v>
      </c>
      <c r="K4215">
        <v>1.38</v>
      </c>
      <c r="L4215">
        <v>7.0000000000000007E-2</v>
      </c>
      <c r="M4215">
        <v>0.91</v>
      </c>
      <c r="N4215">
        <v>0.78</v>
      </c>
    </row>
    <row r="4216" spans="1:14" x14ac:dyDescent="0.25">
      <c r="A4216" t="s">
        <v>7675</v>
      </c>
      <c r="B4216" t="s">
        <v>7676</v>
      </c>
      <c r="C4216" s="1" t="str">
        <f>HYPERLINK("http://www.genecards.org/cgi-bin/carddisp.pl?gene=THYN1","GeneCards")</f>
        <v>GeneCards</v>
      </c>
      <c r="D4216" s="1" t="str">
        <f>HYPERLINK("http://genome-euro.ucsc.edu/cgi-bin/hgTracks?position=218491_s_at","UCSC")</f>
        <v>UCSC</v>
      </c>
      <c r="E4216" s="1" t="str">
        <f>HYPERLINK("http://www.ncbi.nlm.nih.gov/gene/?term=THYN1","NCBI")</f>
        <v>NCBI</v>
      </c>
      <c r="F4216">
        <v>3.1E-2</v>
      </c>
      <c r="G4216">
        <v>0.13</v>
      </c>
      <c r="H4216" s="1" t="str">
        <f>HYPERLINK("http://www.weizmann.ac.il/complex/compphys/software/geview/data/figures/218491_s_at.png","Figure")</f>
        <v>Figure</v>
      </c>
      <c r="I4216">
        <v>1.42</v>
      </c>
      <c r="J4216">
        <v>0.46</v>
      </c>
      <c r="K4216">
        <v>2.11</v>
      </c>
      <c r="L4216">
        <v>2.5999999999999999E-2</v>
      </c>
      <c r="M4216">
        <v>1.49</v>
      </c>
      <c r="N4216">
        <v>0.33</v>
      </c>
    </row>
    <row r="4217" spans="1:14" x14ac:dyDescent="0.25">
      <c r="A4217" t="s">
        <v>7677</v>
      </c>
      <c r="B4217" t="s">
        <v>7678</v>
      </c>
      <c r="C4217" s="1" t="str">
        <f>HYPERLINK("http://www.genecards.org/cgi-bin/carddisp.pl?gene=SMURF1","GeneCards")</f>
        <v>GeneCards</v>
      </c>
      <c r="D4217" s="1" t="str">
        <f>HYPERLINK("http://genome-euro.ucsc.edu/cgi-bin/hgTracks?position=212666_at","UCSC")</f>
        <v>UCSC</v>
      </c>
      <c r="E4217" s="1" t="str">
        <f>HYPERLINK("http://www.ncbi.nlm.nih.gov/gene/?term=SMURF1","NCBI")</f>
        <v>NCBI</v>
      </c>
      <c r="F4217">
        <v>3.1E-2</v>
      </c>
      <c r="G4217">
        <v>0.13</v>
      </c>
      <c r="H4217" s="1" t="str">
        <f>HYPERLINK("http://www.weizmann.ac.il/complex/compphys/software/geview/data/figures/212666_at.png","Figure")</f>
        <v>Figure</v>
      </c>
      <c r="I4217">
        <v>1.01</v>
      </c>
      <c r="J4217">
        <v>1</v>
      </c>
      <c r="K4217">
        <v>0.50900000000000001</v>
      </c>
      <c r="L4217">
        <v>5.6000000000000001E-2</v>
      </c>
      <c r="M4217">
        <v>0.503</v>
      </c>
      <c r="N4217">
        <v>7.0000000000000007E-2</v>
      </c>
    </row>
    <row r="4218" spans="1:14" x14ac:dyDescent="0.25">
      <c r="A4218" t="s">
        <v>7679</v>
      </c>
      <c r="B4218" t="s">
        <v>7680</v>
      </c>
      <c r="C4218" s="1" t="str">
        <f>HYPERLINK("http://www.genecards.org/cgi-bin/carddisp.pl?gene=C14orf135","GeneCards")</f>
        <v>GeneCards</v>
      </c>
      <c r="D4218" s="1" t="str">
        <f>HYPERLINK("http://genome-euro.ucsc.edu/cgi-bin/hgTracks?position=219972_s_at","UCSC")</f>
        <v>UCSC</v>
      </c>
      <c r="E4218" s="1" t="str">
        <f>HYPERLINK("http://www.ncbi.nlm.nih.gov/gene/?term=C14orf135","NCBI")</f>
        <v>NCBI</v>
      </c>
      <c r="F4218">
        <v>3.1E-2</v>
      </c>
      <c r="G4218">
        <v>0.13</v>
      </c>
      <c r="H4218" s="1" t="str">
        <f>HYPERLINK("http://www.weizmann.ac.il/complex/compphys/software/geview/data/figures/219972_s_at.png","Figure")</f>
        <v>Figure</v>
      </c>
      <c r="I4218">
        <v>0.89200000000000002</v>
      </c>
      <c r="J4218">
        <v>5.3999999999999999E-2</v>
      </c>
      <c r="K4218">
        <v>1</v>
      </c>
      <c r="L4218">
        <v>1</v>
      </c>
      <c r="M4218">
        <v>1.1200000000000001</v>
      </c>
      <c r="N4218">
        <v>3.7999999999999999E-2</v>
      </c>
    </row>
    <row r="4219" spans="1:14" x14ac:dyDescent="0.25">
      <c r="A4219" t="s">
        <v>7681</v>
      </c>
      <c r="B4219" t="s">
        <v>1712</v>
      </c>
      <c r="C4219" s="1" t="str">
        <f>HYPERLINK("http://www.genecards.org/cgi-bin/carddisp.pl?gene=IPO9","GeneCards")</f>
        <v>GeneCards</v>
      </c>
      <c r="D4219" s="1" t="str">
        <f>HYPERLINK("http://genome-euro.ucsc.edu/cgi-bin/hgTracks?position=217885_at","UCSC")</f>
        <v>UCSC</v>
      </c>
      <c r="E4219" s="1" t="str">
        <f>HYPERLINK("http://www.ncbi.nlm.nih.gov/gene/?term=IPO9","NCBI")</f>
        <v>NCBI</v>
      </c>
      <c r="F4219">
        <v>3.1E-2</v>
      </c>
      <c r="G4219">
        <v>0.13</v>
      </c>
      <c r="H4219" s="1" t="str">
        <f>HYPERLINK("http://www.weizmann.ac.il/complex/compphys/software/geview/data/figures/217885_at.png","Figure")</f>
        <v>Figure</v>
      </c>
      <c r="I4219">
        <v>1.85</v>
      </c>
      <c r="J4219">
        <v>4.5999999999999999E-2</v>
      </c>
      <c r="K4219">
        <v>1.66</v>
      </c>
      <c r="L4219">
        <v>5.8000000000000003E-2</v>
      </c>
      <c r="M4219">
        <v>0.9</v>
      </c>
      <c r="N4219">
        <v>0.88</v>
      </c>
    </row>
    <row r="4220" spans="1:14" x14ac:dyDescent="0.25">
      <c r="A4220" t="s">
        <v>7682</v>
      </c>
      <c r="B4220" t="s">
        <v>7683</v>
      </c>
      <c r="C4220" s="1" t="str">
        <f>HYPERLINK("http://www.genecards.org/cgi-bin/carddisp.pl?gene=NME7","GeneCards")</f>
        <v>GeneCards</v>
      </c>
      <c r="D4220" s="1" t="str">
        <f>HYPERLINK("http://genome-euro.ucsc.edu/cgi-bin/hgTracks?position=219553_at","UCSC")</f>
        <v>UCSC</v>
      </c>
      <c r="E4220" s="1" t="str">
        <f>HYPERLINK("http://www.ncbi.nlm.nih.gov/gene/?term=NME7","NCBI")</f>
        <v>NCBI</v>
      </c>
      <c r="F4220">
        <v>3.1E-2</v>
      </c>
      <c r="G4220">
        <v>0.13</v>
      </c>
      <c r="H4220" s="1" t="str">
        <f>HYPERLINK("http://www.weizmann.ac.il/complex/compphys/software/geview/data/figures/219553_at.png","Figure")</f>
        <v>Figure</v>
      </c>
      <c r="I4220">
        <v>1.02</v>
      </c>
      <c r="J4220">
        <v>0.99</v>
      </c>
      <c r="K4220">
        <v>1.41</v>
      </c>
      <c r="L4220">
        <v>4.9000000000000002E-2</v>
      </c>
      <c r="M4220">
        <v>1.39</v>
      </c>
      <c r="N4220">
        <v>8.1000000000000003E-2</v>
      </c>
    </row>
    <row r="4221" spans="1:14" x14ac:dyDescent="0.25">
      <c r="A4221" t="s">
        <v>7684</v>
      </c>
      <c r="B4221" t="s">
        <v>2780</v>
      </c>
      <c r="C4221" s="1" t="str">
        <f>HYPERLINK("http://www.genecards.org/cgi-bin/carddisp.pl?gene=CXCR4","GeneCards")</f>
        <v>GeneCards</v>
      </c>
      <c r="D4221" s="1" t="str">
        <f>HYPERLINK("http://genome-euro.ucsc.edu/cgi-bin/hgTracks?position=217028_at","UCSC")</f>
        <v>UCSC</v>
      </c>
      <c r="E4221" s="1" t="str">
        <f>HYPERLINK("http://www.ncbi.nlm.nih.gov/gene/?term=CXCR4","NCBI")</f>
        <v>NCBI</v>
      </c>
      <c r="F4221">
        <v>3.1E-2</v>
      </c>
      <c r="G4221">
        <v>0.13</v>
      </c>
      <c r="H4221" s="1" t="str">
        <f>HYPERLINK("http://www.weizmann.ac.il/complex/compphys/software/geview/data/figures/217028_at.png","Figure")</f>
        <v>Figure</v>
      </c>
      <c r="I4221">
        <v>1.07</v>
      </c>
      <c r="J4221">
        <v>0.91</v>
      </c>
      <c r="K4221">
        <v>0.71699999999999997</v>
      </c>
      <c r="L4221">
        <v>8.1000000000000003E-2</v>
      </c>
      <c r="M4221">
        <v>0.67100000000000004</v>
      </c>
      <c r="N4221">
        <v>4.9000000000000002E-2</v>
      </c>
    </row>
    <row r="4222" spans="1:14" x14ac:dyDescent="0.25">
      <c r="A4222" t="s">
        <v>7685</v>
      </c>
      <c r="B4222" t="s">
        <v>2377</v>
      </c>
      <c r="C4222" s="1" t="str">
        <f>HYPERLINK("http://www.genecards.org/cgi-bin/carddisp.pl?gene=JMJD6","GeneCards")</f>
        <v>GeneCards</v>
      </c>
      <c r="D4222" s="1" t="str">
        <f>HYPERLINK("http://genome-euro.ucsc.edu/cgi-bin/hgTracks?position=212722_s_at","UCSC")</f>
        <v>UCSC</v>
      </c>
      <c r="E4222" s="1" t="str">
        <f>HYPERLINK("http://www.ncbi.nlm.nih.gov/gene/?term=JMJD6","NCBI")</f>
        <v>NCBI</v>
      </c>
      <c r="F4222">
        <v>3.1E-2</v>
      </c>
      <c r="G4222">
        <v>0.13</v>
      </c>
      <c r="H4222" s="1" t="str">
        <f>HYPERLINK("http://www.weizmann.ac.il/complex/compphys/software/geview/data/figures/212722_s_at.png","Figure")</f>
        <v>Figure</v>
      </c>
      <c r="I4222">
        <v>0.51100000000000001</v>
      </c>
      <c r="J4222">
        <v>2.5000000000000001E-2</v>
      </c>
      <c r="K4222">
        <v>0.76300000000000001</v>
      </c>
      <c r="L4222">
        <v>0.37</v>
      </c>
      <c r="M4222">
        <v>1.49</v>
      </c>
      <c r="N4222">
        <v>0.17</v>
      </c>
    </row>
    <row r="4223" spans="1:14" x14ac:dyDescent="0.25">
      <c r="A4223" t="s">
        <v>7686</v>
      </c>
      <c r="B4223" t="s">
        <v>7687</v>
      </c>
      <c r="C4223" s="1" t="str">
        <f>HYPERLINK("http://www.genecards.org/cgi-bin/carddisp.pl?gene=FRMD4B","GeneCards")</f>
        <v>GeneCards</v>
      </c>
      <c r="D4223" s="1" t="str">
        <f>HYPERLINK("http://genome-euro.ucsc.edu/cgi-bin/hgTracks?position=213056_at","UCSC")</f>
        <v>UCSC</v>
      </c>
      <c r="E4223" s="1" t="str">
        <f>HYPERLINK("http://www.ncbi.nlm.nih.gov/gene/?term=FRMD4B","NCBI")</f>
        <v>NCBI</v>
      </c>
      <c r="F4223">
        <v>3.1E-2</v>
      </c>
      <c r="G4223">
        <v>0.13</v>
      </c>
      <c r="H4223" s="1" t="str">
        <f>HYPERLINK("http://www.weizmann.ac.il/complex/compphys/software/geview/data/figures/213056_at.png","Figure")</f>
        <v>Figure</v>
      </c>
      <c r="I4223">
        <v>0.23200000000000001</v>
      </c>
      <c r="J4223">
        <v>2.5000000000000001E-2</v>
      </c>
      <c r="K4223">
        <v>0.55300000000000005</v>
      </c>
      <c r="L4223">
        <v>0.37</v>
      </c>
      <c r="M4223">
        <v>2.39</v>
      </c>
      <c r="N4223">
        <v>0.17</v>
      </c>
    </row>
    <row r="4224" spans="1:14" x14ac:dyDescent="0.25">
      <c r="A4224" t="s">
        <v>7688</v>
      </c>
      <c r="B4224" t="s">
        <v>7689</v>
      </c>
      <c r="C4224" s="1" t="str">
        <f>HYPERLINK("http://www.genecards.org/cgi-bin/carddisp.pl?gene=TET3","GeneCards")</f>
        <v>GeneCards</v>
      </c>
      <c r="D4224" s="1" t="str">
        <f>HYPERLINK("http://genome-euro.ucsc.edu/cgi-bin/hgTracks?position=214754_at","UCSC")</f>
        <v>UCSC</v>
      </c>
      <c r="E4224" s="1" t="str">
        <f>HYPERLINK("http://www.ncbi.nlm.nih.gov/gene/?term=TET3","NCBI")</f>
        <v>NCBI</v>
      </c>
      <c r="F4224">
        <v>3.1E-2</v>
      </c>
      <c r="G4224">
        <v>0.13</v>
      </c>
      <c r="H4224" s="1" t="str">
        <f>HYPERLINK("http://www.weizmann.ac.il/complex/compphys/software/geview/data/figures/214754_at.png","Figure")</f>
        <v>Figure</v>
      </c>
      <c r="I4224">
        <v>1.34</v>
      </c>
      <c r="J4224">
        <v>3.2000000000000001E-2</v>
      </c>
      <c r="K4224">
        <v>1.06</v>
      </c>
      <c r="L4224">
        <v>0.78</v>
      </c>
      <c r="M4224">
        <v>0.79</v>
      </c>
      <c r="N4224">
        <v>7.0000000000000007E-2</v>
      </c>
    </row>
    <row r="4225" spans="1:14" x14ac:dyDescent="0.25">
      <c r="A4225" t="s">
        <v>7690</v>
      </c>
      <c r="B4225" t="s">
        <v>7691</v>
      </c>
      <c r="C4225" s="1" t="str">
        <f>HYPERLINK("http://www.genecards.org/cgi-bin/carddisp.pl?gene=CASQ2","GeneCards")</f>
        <v>GeneCards</v>
      </c>
      <c r="D4225" s="1" t="str">
        <f>HYPERLINK("http://genome-euro.ucsc.edu/cgi-bin/hgTracks?position=207317_s_at","UCSC")</f>
        <v>UCSC</v>
      </c>
      <c r="E4225" s="1" t="str">
        <f>HYPERLINK("http://www.ncbi.nlm.nih.gov/gene/?term=CASQ2","NCBI")</f>
        <v>NCBI</v>
      </c>
      <c r="F4225">
        <v>3.1E-2</v>
      </c>
      <c r="G4225">
        <v>0.13</v>
      </c>
      <c r="H4225" s="1" t="str">
        <f>HYPERLINK("http://www.weizmann.ac.il/complex/compphys/software/geview/data/figures/207317_s_at.png","Figure")</f>
        <v>Figure</v>
      </c>
      <c r="I4225">
        <v>1.05</v>
      </c>
      <c r="J4225">
        <v>0.82</v>
      </c>
      <c r="K4225">
        <v>0.86399999999999999</v>
      </c>
      <c r="L4225">
        <v>0.1</v>
      </c>
      <c r="M4225">
        <v>0.82699999999999996</v>
      </c>
      <c r="N4225">
        <v>4.2000000000000003E-2</v>
      </c>
    </row>
    <row r="4226" spans="1:14" x14ac:dyDescent="0.25">
      <c r="A4226" t="s">
        <v>7692</v>
      </c>
      <c r="B4226" t="s">
        <v>7693</v>
      </c>
      <c r="C4226" s="1" t="str">
        <f>HYPERLINK("http://www.genecards.org/cgi-bin/carddisp.pl?gene=PAIP1","GeneCards")</f>
        <v>GeneCards</v>
      </c>
      <c r="D4226" s="1" t="str">
        <f>HYPERLINK("http://genome-euro.ucsc.edu/cgi-bin/hgTracks?position=209064_x_at","UCSC")</f>
        <v>UCSC</v>
      </c>
      <c r="E4226" s="1" t="str">
        <f>HYPERLINK("http://www.ncbi.nlm.nih.gov/gene/?term=PAIP1","NCBI")</f>
        <v>NCBI</v>
      </c>
      <c r="F4226">
        <v>3.1E-2</v>
      </c>
      <c r="G4226">
        <v>0.13</v>
      </c>
      <c r="H4226" s="1" t="str">
        <f>HYPERLINK("http://www.weizmann.ac.il/complex/compphys/software/geview/data/figures/209064_x_at.png","Figure")</f>
        <v>Figure</v>
      </c>
      <c r="I4226">
        <v>0.56000000000000005</v>
      </c>
      <c r="J4226">
        <v>0.11</v>
      </c>
      <c r="K4226">
        <v>0.51200000000000001</v>
      </c>
      <c r="L4226">
        <v>3.1E-2</v>
      </c>
      <c r="M4226">
        <v>0.91500000000000004</v>
      </c>
      <c r="N4226">
        <v>0.93</v>
      </c>
    </row>
    <row r="4227" spans="1:14" x14ac:dyDescent="0.25">
      <c r="A4227" t="s">
        <v>7694</v>
      </c>
      <c r="B4227" t="s">
        <v>7695</v>
      </c>
      <c r="C4227" s="1" t="str">
        <f>HYPERLINK("http://www.genecards.org/cgi-bin/carddisp.pl?gene=NSDHL","GeneCards")</f>
        <v>GeneCards</v>
      </c>
      <c r="D4227" s="1" t="str">
        <f>HYPERLINK("http://genome-euro.ucsc.edu/cgi-bin/hgTracks?position=209279_s_at","UCSC")</f>
        <v>UCSC</v>
      </c>
      <c r="E4227" s="1" t="str">
        <f>HYPERLINK("http://www.ncbi.nlm.nih.gov/gene/?term=NSDHL","NCBI")</f>
        <v>NCBI</v>
      </c>
      <c r="F4227">
        <v>3.1E-2</v>
      </c>
      <c r="G4227">
        <v>0.13</v>
      </c>
      <c r="H4227" s="1" t="str">
        <f>HYPERLINK("http://www.weizmann.ac.il/complex/compphys/software/geview/data/figures/209279_s_at.png","Figure")</f>
        <v>Figure</v>
      </c>
      <c r="I4227">
        <v>0.71599999999999997</v>
      </c>
      <c r="J4227">
        <v>0.05</v>
      </c>
      <c r="K4227">
        <v>0.99199999999999999</v>
      </c>
      <c r="L4227">
        <v>1</v>
      </c>
      <c r="M4227">
        <v>1.39</v>
      </c>
      <c r="N4227">
        <v>4.1000000000000002E-2</v>
      </c>
    </row>
    <row r="4228" spans="1:14" x14ac:dyDescent="0.25">
      <c r="A4228" t="s">
        <v>7696</v>
      </c>
      <c r="B4228" t="s">
        <v>7697</v>
      </c>
      <c r="C4228" s="1" t="str">
        <f>HYPERLINK("http://www.genecards.org/cgi-bin/carddisp.pl?gene=CYP26A1","GeneCards")</f>
        <v>GeneCards</v>
      </c>
      <c r="D4228" s="1" t="str">
        <f>HYPERLINK("http://genome-euro.ucsc.edu/cgi-bin/hgTracks?position=206424_at","UCSC")</f>
        <v>UCSC</v>
      </c>
      <c r="E4228" s="1" t="str">
        <f>HYPERLINK("http://www.ncbi.nlm.nih.gov/gene/?term=CYP26A1","NCBI")</f>
        <v>NCBI</v>
      </c>
      <c r="F4228">
        <v>3.1E-2</v>
      </c>
      <c r="G4228">
        <v>0.13</v>
      </c>
      <c r="H4228" s="1" t="str">
        <f>HYPERLINK("http://www.weizmann.ac.il/complex/compphys/software/geview/data/figures/206424_at.png","Figure")</f>
        <v>Figure</v>
      </c>
      <c r="I4228">
        <v>1.1200000000000001</v>
      </c>
      <c r="J4228">
        <v>4.4999999999999998E-2</v>
      </c>
      <c r="K4228">
        <v>1.01</v>
      </c>
      <c r="L4228">
        <v>0.98</v>
      </c>
      <c r="M4228">
        <v>0.9</v>
      </c>
      <c r="N4228">
        <v>4.4999999999999998E-2</v>
      </c>
    </row>
    <row r="4229" spans="1:14" x14ac:dyDescent="0.25">
      <c r="A4229" t="s">
        <v>7698</v>
      </c>
      <c r="B4229" t="s">
        <v>7699</v>
      </c>
      <c r="C4229" s="1" t="str">
        <f>HYPERLINK("http://www.genecards.org/cgi-bin/carddisp.pl?gene=PDE9A","GeneCards")</f>
        <v>GeneCards</v>
      </c>
      <c r="D4229" s="1" t="str">
        <f>HYPERLINK("http://genome-euro.ucsc.edu/cgi-bin/hgTracks?position=205593_s_at","UCSC")</f>
        <v>UCSC</v>
      </c>
      <c r="E4229" s="1" t="str">
        <f>HYPERLINK("http://www.ncbi.nlm.nih.gov/gene/?term=PDE9A","NCBI")</f>
        <v>NCBI</v>
      </c>
      <c r="F4229">
        <v>3.2000000000000001E-2</v>
      </c>
      <c r="G4229">
        <v>0.13</v>
      </c>
      <c r="H4229" s="1" t="str">
        <f>HYPERLINK("http://www.weizmann.ac.il/complex/compphys/software/geview/data/figures/205593_s_at.png","Figure")</f>
        <v>Figure</v>
      </c>
      <c r="I4229">
        <v>1.2</v>
      </c>
      <c r="J4229">
        <v>0.41</v>
      </c>
      <c r="K4229">
        <v>0.82299999999999995</v>
      </c>
      <c r="L4229">
        <v>0.26</v>
      </c>
      <c r="M4229">
        <v>0.68799999999999994</v>
      </c>
      <c r="N4229">
        <v>2.7E-2</v>
      </c>
    </row>
    <row r="4230" spans="1:14" x14ac:dyDescent="0.25">
      <c r="A4230" t="s">
        <v>7700</v>
      </c>
      <c r="B4230" t="s">
        <v>7701</v>
      </c>
      <c r="C4230" s="1" t="str">
        <f>HYPERLINK("http://www.genecards.org/cgi-bin/carddisp.pl?gene=CHERP","GeneCards")</f>
        <v>GeneCards</v>
      </c>
      <c r="D4230" s="1" t="str">
        <f>HYPERLINK("http://genome-euro.ucsc.edu/cgi-bin/hgTracks?position=202229_s_at","UCSC")</f>
        <v>UCSC</v>
      </c>
      <c r="E4230" s="1" t="str">
        <f>HYPERLINK("http://www.ncbi.nlm.nih.gov/gene/?term=CHERP","NCBI")</f>
        <v>NCBI</v>
      </c>
      <c r="F4230">
        <v>3.2000000000000001E-2</v>
      </c>
      <c r="G4230">
        <v>0.13</v>
      </c>
      <c r="H4230" s="1" t="str">
        <f>HYPERLINK("http://www.weizmann.ac.il/complex/compphys/software/geview/data/figures/202229_s_at.png","Figure")</f>
        <v>Figure</v>
      </c>
      <c r="I4230">
        <v>1.29</v>
      </c>
      <c r="J4230">
        <v>2.5000000000000001E-2</v>
      </c>
      <c r="K4230">
        <v>1.1399999999999999</v>
      </c>
      <c r="L4230">
        <v>0.23</v>
      </c>
      <c r="M4230">
        <v>0.879</v>
      </c>
      <c r="N4230">
        <v>0.27</v>
      </c>
    </row>
    <row r="4231" spans="1:14" x14ac:dyDescent="0.25">
      <c r="A4231" t="s">
        <v>7702</v>
      </c>
      <c r="B4231" t="s">
        <v>7703</v>
      </c>
      <c r="C4231" s="1" t="str">
        <f>HYPERLINK("http://www.genecards.org/cgi-bin/carddisp.pl?gene=PPP2R5E","GeneCards")</f>
        <v>GeneCards</v>
      </c>
      <c r="D4231" s="1" t="str">
        <f>HYPERLINK("http://genome-euro.ucsc.edu/cgi-bin/hgTracks?position=203338_at","UCSC")</f>
        <v>UCSC</v>
      </c>
      <c r="E4231" s="1" t="str">
        <f>HYPERLINK("http://www.ncbi.nlm.nih.gov/gene/?term=PPP2R5E","NCBI")</f>
        <v>NCBI</v>
      </c>
      <c r="F4231">
        <v>3.2000000000000001E-2</v>
      </c>
      <c r="G4231">
        <v>0.13</v>
      </c>
      <c r="H4231" s="1" t="str">
        <f>HYPERLINK("http://www.weizmann.ac.il/complex/compphys/software/geview/data/figures/203338_at.png","Figure")</f>
        <v>Figure</v>
      </c>
      <c r="I4231">
        <v>0.47399999999999998</v>
      </c>
      <c r="J4231">
        <v>3.5999999999999997E-2</v>
      </c>
      <c r="K4231">
        <v>0.88900000000000001</v>
      </c>
      <c r="L4231">
        <v>0.87</v>
      </c>
      <c r="M4231">
        <v>1.88</v>
      </c>
      <c r="N4231">
        <v>5.8999999999999997E-2</v>
      </c>
    </row>
    <row r="4232" spans="1:14" x14ac:dyDescent="0.25">
      <c r="A4232" t="s">
        <v>7704</v>
      </c>
      <c r="B4232" t="s">
        <v>368</v>
      </c>
      <c r="C4232" s="1" t="str">
        <f>HYPERLINK("http://www.genecards.org/cgi-bin/carddisp.pl?gene=BMP2","GeneCards")</f>
        <v>GeneCards</v>
      </c>
      <c r="D4232" s="1" t="str">
        <f>HYPERLINK("http://genome-euro.ucsc.edu/cgi-bin/hgTracks?position=205289_at","UCSC")</f>
        <v>UCSC</v>
      </c>
      <c r="E4232" s="1" t="str">
        <f>HYPERLINK("http://www.ncbi.nlm.nih.gov/gene/?term=BMP2","NCBI")</f>
        <v>NCBI</v>
      </c>
      <c r="F4232">
        <v>3.2000000000000001E-2</v>
      </c>
      <c r="G4232">
        <v>0.13</v>
      </c>
      <c r="H4232" s="1" t="str">
        <f>HYPERLINK("http://www.weizmann.ac.il/complex/compphys/software/geview/data/figures/205289_at.png","Figure")</f>
        <v>Figure</v>
      </c>
      <c r="I4232">
        <v>0.316</v>
      </c>
      <c r="J4232">
        <v>3.6999999999999998E-2</v>
      </c>
      <c r="K4232">
        <v>0.42699999999999999</v>
      </c>
      <c r="L4232">
        <v>7.9000000000000001E-2</v>
      </c>
      <c r="M4232">
        <v>1.35</v>
      </c>
      <c r="N4232">
        <v>0.72</v>
      </c>
    </row>
    <row r="4233" spans="1:14" x14ac:dyDescent="0.25">
      <c r="A4233" t="s">
        <v>7705</v>
      </c>
      <c r="B4233" t="s">
        <v>7706</v>
      </c>
      <c r="C4233" s="1" t="str">
        <f>HYPERLINK("http://www.genecards.org/cgi-bin/carddisp.pl?gene=SLC16A1","GeneCards")</f>
        <v>GeneCards</v>
      </c>
      <c r="D4233" s="1" t="str">
        <f>HYPERLINK("http://genome-euro.ucsc.edu/cgi-bin/hgTracks?position=209900_s_at","UCSC")</f>
        <v>UCSC</v>
      </c>
      <c r="E4233" s="1" t="str">
        <f>HYPERLINK("http://www.ncbi.nlm.nih.gov/gene/?term=SLC16A1","NCBI")</f>
        <v>NCBI</v>
      </c>
      <c r="F4233">
        <v>3.2000000000000001E-2</v>
      </c>
      <c r="G4233">
        <v>0.13</v>
      </c>
      <c r="H4233" s="1" t="str">
        <f>HYPERLINK("http://www.weizmann.ac.il/complex/compphys/software/geview/data/figures/209900_s_at.png","Figure")</f>
        <v>Figure</v>
      </c>
      <c r="I4233">
        <v>0.86</v>
      </c>
      <c r="J4233">
        <v>3.1E-2</v>
      </c>
      <c r="K4233">
        <v>0.96699999999999997</v>
      </c>
      <c r="L4233">
        <v>0.74</v>
      </c>
      <c r="M4233">
        <v>1.1200000000000001</v>
      </c>
      <c r="N4233">
        <v>7.5999999999999998E-2</v>
      </c>
    </row>
    <row r="4234" spans="1:14" x14ac:dyDescent="0.25">
      <c r="A4234" t="s">
        <v>7707</v>
      </c>
      <c r="B4234" t="s">
        <v>7708</v>
      </c>
      <c r="C4234" s="1" t="str">
        <f>HYPERLINK("http://www.genecards.org/cgi-bin/carddisp.pl?gene=ABCG1","GeneCards")</f>
        <v>GeneCards</v>
      </c>
      <c r="D4234" s="1" t="str">
        <f>HYPERLINK("http://genome-euro.ucsc.edu/cgi-bin/hgTracks?position=211113_s_at","UCSC")</f>
        <v>UCSC</v>
      </c>
      <c r="E4234" s="1" t="str">
        <f>HYPERLINK("http://www.ncbi.nlm.nih.gov/gene/?term=ABCG1","NCBI")</f>
        <v>NCBI</v>
      </c>
      <c r="F4234">
        <v>3.2000000000000001E-2</v>
      </c>
      <c r="G4234">
        <v>0.13</v>
      </c>
      <c r="H4234" s="1" t="str">
        <f>HYPERLINK("http://www.weizmann.ac.il/complex/compphys/software/geview/data/figures/211113_s_at.png","Figure")</f>
        <v>Figure</v>
      </c>
      <c r="I4234">
        <v>1.1000000000000001</v>
      </c>
      <c r="J4234">
        <v>0.48</v>
      </c>
      <c r="K4234">
        <v>0.88600000000000001</v>
      </c>
      <c r="L4234">
        <v>0.21</v>
      </c>
      <c r="M4234">
        <v>0.80800000000000005</v>
      </c>
      <c r="N4234">
        <v>2.9000000000000001E-2</v>
      </c>
    </row>
    <row r="4235" spans="1:14" x14ac:dyDescent="0.25">
      <c r="A4235" t="s">
        <v>7709</v>
      </c>
      <c r="B4235" t="s">
        <v>7710</v>
      </c>
      <c r="C4235" s="1" t="str">
        <f>HYPERLINK("http://www.genecards.org/cgi-bin/carddisp.pl?gene=FAM89B","GeneCards")</f>
        <v>GeneCards</v>
      </c>
      <c r="D4235" s="1" t="str">
        <f>HYPERLINK("http://genome-euro.ucsc.edu/cgi-bin/hgTracks?position=212484_at","UCSC")</f>
        <v>UCSC</v>
      </c>
      <c r="E4235" s="1" t="str">
        <f>HYPERLINK("http://www.ncbi.nlm.nih.gov/gene/?term=FAM89B","NCBI")</f>
        <v>NCBI</v>
      </c>
      <c r="F4235">
        <v>3.2000000000000001E-2</v>
      </c>
      <c r="G4235">
        <v>0.13</v>
      </c>
      <c r="H4235" s="1" t="str">
        <f>HYPERLINK("http://www.weizmann.ac.il/complex/compphys/software/geview/data/figures/212484_at.png","Figure")</f>
        <v>Figure</v>
      </c>
      <c r="I4235">
        <v>1.39</v>
      </c>
      <c r="J4235">
        <v>4.7E-2</v>
      </c>
      <c r="K4235">
        <v>1.32</v>
      </c>
      <c r="L4235">
        <v>5.7000000000000002E-2</v>
      </c>
      <c r="M4235">
        <v>0.94899999999999995</v>
      </c>
      <c r="N4235">
        <v>0.89</v>
      </c>
    </row>
    <row r="4236" spans="1:14" x14ac:dyDescent="0.25">
      <c r="A4236" t="s">
        <v>7711</v>
      </c>
      <c r="B4236" t="s">
        <v>7712</v>
      </c>
      <c r="C4236" s="1" t="str">
        <f>HYPERLINK("http://www.genecards.org/cgi-bin/carddisp.pl?gene=RNF144A","GeneCards")</f>
        <v>GeneCards</v>
      </c>
      <c r="D4236" s="1" t="str">
        <f>HYPERLINK("http://genome-euro.ucsc.edu/cgi-bin/hgTracks?position=204040_at","UCSC")</f>
        <v>UCSC</v>
      </c>
      <c r="E4236" s="1" t="str">
        <f>HYPERLINK("http://www.ncbi.nlm.nih.gov/gene/?term=RNF144A","NCBI")</f>
        <v>NCBI</v>
      </c>
      <c r="F4236">
        <v>3.2000000000000001E-2</v>
      </c>
      <c r="G4236">
        <v>0.13</v>
      </c>
      <c r="H4236" s="1" t="str">
        <f>HYPERLINK("http://www.weizmann.ac.il/complex/compphys/software/geview/data/figures/204040_at.png","Figure")</f>
        <v>Figure</v>
      </c>
      <c r="I4236">
        <v>1.39</v>
      </c>
      <c r="J4236">
        <v>0.25</v>
      </c>
      <c r="K4236">
        <v>1.69</v>
      </c>
      <c r="L4236">
        <v>2.5000000000000001E-2</v>
      </c>
      <c r="M4236">
        <v>1.21</v>
      </c>
      <c r="N4236">
        <v>0.56999999999999995</v>
      </c>
    </row>
    <row r="4237" spans="1:14" x14ac:dyDescent="0.25">
      <c r="A4237" t="s">
        <v>7713</v>
      </c>
      <c r="B4237" t="s">
        <v>7714</v>
      </c>
      <c r="C4237" s="1" t="str">
        <f>HYPERLINK("http://www.genecards.org/cgi-bin/carddisp.pl?gene=LGALS8","GeneCards")</f>
        <v>GeneCards</v>
      </c>
      <c r="D4237" s="1" t="str">
        <f>HYPERLINK("http://genome-euro.ucsc.edu/cgi-bin/hgTracks?position=208933_s_at","UCSC")</f>
        <v>UCSC</v>
      </c>
      <c r="E4237" s="1" t="str">
        <f>HYPERLINK("http://www.ncbi.nlm.nih.gov/gene/?term=LGALS8","NCBI")</f>
        <v>NCBI</v>
      </c>
      <c r="F4237">
        <v>3.2000000000000001E-2</v>
      </c>
      <c r="G4237">
        <v>0.13</v>
      </c>
      <c r="H4237" s="1" t="str">
        <f>HYPERLINK("http://www.weizmann.ac.il/complex/compphys/software/geview/data/figures/208933_s_at.png","Figure")</f>
        <v>Figure</v>
      </c>
      <c r="I4237">
        <v>0.51400000000000001</v>
      </c>
      <c r="J4237">
        <v>2.5000000000000001E-2</v>
      </c>
      <c r="K4237">
        <v>0.76200000000000001</v>
      </c>
      <c r="L4237">
        <v>0.36</v>
      </c>
      <c r="M4237">
        <v>1.48</v>
      </c>
      <c r="N4237">
        <v>0.18</v>
      </c>
    </row>
    <row r="4238" spans="1:14" x14ac:dyDescent="0.25">
      <c r="A4238" t="s">
        <v>7715</v>
      </c>
      <c r="B4238" t="s">
        <v>7716</v>
      </c>
      <c r="C4238" s="1" t="str">
        <f>HYPERLINK("http://www.genecards.org/cgi-bin/carddisp.pl?gene=AATF","GeneCards")</f>
        <v>GeneCards</v>
      </c>
      <c r="D4238" s="1" t="str">
        <f>HYPERLINK("http://genome-euro.ucsc.edu/cgi-bin/hgTracks?position=209165_at","UCSC")</f>
        <v>UCSC</v>
      </c>
      <c r="E4238" s="1" t="str">
        <f>HYPERLINK("http://www.ncbi.nlm.nih.gov/gene/?term=AATF","NCBI")</f>
        <v>NCBI</v>
      </c>
      <c r="F4238">
        <v>3.2000000000000001E-2</v>
      </c>
      <c r="G4238">
        <v>0.13</v>
      </c>
      <c r="H4238" s="1" t="str">
        <f>HYPERLINK("http://www.weizmann.ac.il/complex/compphys/software/geview/data/figures/209165_at.png","Figure")</f>
        <v>Figure</v>
      </c>
      <c r="I4238">
        <v>0.88300000000000001</v>
      </c>
      <c r="J4238">
        <v>0.64</v>
      </c>
      <c r="K4238">
        <v>1.27</v>
      </c>
      <c r="L4238">
        <v>0.15</v>
      </c>
      <c r="M4238">
        <v>1.44</v>
      </c>
      <c r="N4238">
        <v>3.4000000000000002E-2</v>
      </c>
    </row>
    <row r="4239" spans="1:14" x14ac:dyDescent="0.25">
      <c r="A4239" t="s">
        <v>7717</v>
      </c>
      <c r="B4239" t="s">
        <v>7718</v>
      </c>
      <c r="C4239" s="1" t="str">
        <f>HYPERLINK("http://www.genecards.org/cgi-bin/carddisp.pl?gene=PIGH","GeneCards")</f>
        <v>GeneCards</v>
      </c>
      <c r="D4239" s="1" t="str">
        <f>HYPERLINK("http://genome-euro.ucsc.edu/cgi-bin/hgTracks?position=209625_at","UCSC")</f>
        <v>UCSC</v>
      </c>
      <c r="E4239" s="1" t="str">
        <f>HYPERLINK("http://www.ncbi.nlm.nih.gov/gene/?term=PIGH","NCBI")</f>
        <v>NCBI</v>
      </c>
      <c r="F4239">
        <v>3.2000000000000001E-2</v>
      </c>
      <c r="G4239">
        <v>0.13</v>
      </c>
      <c r="H4239" s="1" t="str">
        <f>HYPERLINK("http://www.weizmann.ac.il/complex/compphys/software/geview/data/figures/209625_at.png","Figure")</f>
        <v>Figure</v>
      </c>
      <c r="I4239">
        <v>0.84299999999999997</v>
      </c>
      <c r="J4239">
        <v>3.5000000000000003E-2</v>
      </c>
      <c r="K4239">
        <v>0.97099999999999997</v>
      </c>
      <c r="L4239">
        <v>0.85</v>
      </c>
      <c r="M4239">
        <v>1.1499999999999999</v>
      </c>
      <c r="N4239">
        <v>6.2E-2</v>
      </c>
    </row>
    <row r="4240" spans="1:14" x14ac:dyDescent="0.25">
      <c r="A4240" t="s">
        <v>7719</v>
      </c>
      <c r="B4240" t="s">
        <v>7720</v>
      </c>
      <c r="C4240" s="1" t="str">
        <f>HYPERLINK("http://www.genecards.org/cgi-bin/carddisp.pl?gene=NFKBIL1","GeneCards")</f>
        <v>GeneCards</v>
      </c>
      <c r="D4240" s="1" t="str">
        <f>HYPERLINK("http://genome-euro.ucsc.edu/cgi-bin/hgTracks?position=209973_at","UCSC")</f>
        <v>UCSC</v>
      </c>
      <c r="E4240" s="1" t="str">
        <f>HYPERLINK("http://www.ncbi.nlm.nih.gov/gene/?term=NFKBIL1","NCBI")</f>
        <v>NCBI</v>
      </c>
      <c r="F4240">
        <v>3.2000000000000001E-2</v>
      </c>
      <c r="G4240">
        <v>0.13</v>
      </c>
      <c r="H4240" s="1" t="str">
        <f>HYPERLINK("http://www.weizmann.ac.il/complex/compphys/software/geview/data/figures/209973_at.png","Figure")</f>
        <v>Figure</v>
      </c>
      <c r="I4240">
        <v>1.31</v>
      </c>
      <c r="J4240">
        <v>3.5999999999999997E-2</v>
      </c>
      <c r="K4240">
        <v>1.22</v>
      </c>
      <c r="L4240">
        <v>8.1000000000000003E-2</v>
      </c>
      <c r="M4240">
        <v>0.93</v>
      </c>
      <c r="N4240">
        <v>0.71</v>
      </c>
    </row>
    <row r="4241" spans="1:14" x14ac:dyDescent="0.25">
      <c r="A4241" t="s">
        <v>7721</v>
      </c>
      <c r="B4241" t="s">
        <v>7722</v>
      </c>
      <c r="C4241" s="1" t="str">
        <f>HYPERLINK("http://www.genecards.org/cgi-bin/carddisp.pl?gene=CDC42BPB","GeneCards")</f>
        <v>GeneCards</v>
      </c>
      <c r="D4241" s="1" t="str">
        <f>HYPERLINK("http://genome-euro.ucsc.edu/cgi-bin/hgTracks?position=217849_s_at","UCSC")</f>
        <v>UCSC</v>
      </c>
      <c r="E4241" s="1" t="str">
        <f>HYPERLINK("http://www.ncbi.nlm.nih.gov/gene/?term=CDC42BPB","NCBI")</f>
        <v>NCBI</v>
      </c>
      <c r="F4241">
        <v>3.2000000000000001E-2</v>
      </c>
      <c r="G4241">
        <v>0.13</v>
      </c>
      <c r="H4241" s="1" t="str">
        <f>HYPERLINK("http://www.weizmann.ac.il/complex/compphys/software/geview/data/figures/217849_s_at.png","Figure")</f>
        <v>Figure</v>
      </c>
      <c r="I4241">
        <v>0.78</v>
      </c>
      <c r="J4241">
        <v>5.6000000000000001E-2</v>
      </c>
      <c r="K4241">
        <v>1</v>
      </c>
      <c r="L4241">
        <v>1</v>
      </c>
      <c r="M4241">
        <v>1.29</v>
      </c>
      <c r="N4241">
        <v>3.7999999999999999E-2</v>
      </c>
    </row>
    <row r="4242" spans="1:14" x14ac:dyDescent="0.25">
      <c r="A4242" t="s">
        <v>7723</v>
      </c>
      <c r="B4242" t="s">
        <v>7724</v>
      </c>
      <c r="C4242" s="1" t="str">
        <f>HYPERLINK("http://www.genecards.org/cgi-bin/carddisp.pl?gene=ATP5J2 /// PTCD1","GeneCards")</f>
        <v>GeneCards</v>
      </c>
      <c r="D4242" s="1" t="str">
        <f>HYPERLINK("http://genome-euro.ucsc.edu/cgi-bin/hgTracks?position=218956_s_at","UCSC")</f>
        <v>UCSC</v>
      </c>
      <c r="E4242" s="1" t="str">
        <f>HYPERLINK("http://www.ncbi.nlm.nih.gov/gene/?term=ATP5J2 /// PTCD1","NCBI")</f>
        <v>NCBI</v>
      </c>
      <c r="F4242">
        <v>3.2000000000000001E-2</v>
      </c>
      <c r="G4242">
        <v>0.13</v>
      </c>
      <c r="H4242" s="1" t="str">
        <f>HYPERLINK("http://www.weizmann.ac.il/complex/compphys/software/geview/data/figures/218956_s_at.png","Figure")</f>
        <v>Figure</v>
      </c>
      <c r="I4242">
        <v>1.22</v>
      </c>
      <c r="J4242">
        <v>2.9000000000000001E-2</v>
      </c>
      <c r="K4242">
        <v>1.1299999999999999</v>
      </c>
      <c r="L4242">
        <v>0.13</v>
      </c>
      <c r="M4242">
        <v>0.92900000000000005</v>
      </c>
      <c r="N4242">
        <v>0.48</v>
      </c>
    </row>
    <row r="4243" spans="1:14" x14ac:dyDescent="0.25">
      <c r="A4243" t="s">
        <v>7725</v>
      </c>
      <c r="B4243" t="s">
        <v>7726</v>
      </c>
      <c r="C4243" s="1" t="str">
        <f>HYPERLINK("http://www.genecards.org/cgi-bin/carddisp.pl?gene=HCFC2","GeneCards")</f>
        <v>GeneCards</v>
      </c>
      <c r="D4243" s="1" t="str">
        <f>HYPERLINK("http://genome-euro.ucsc.edu/cgi-bin/hgTracks?position=219484_at","UCSC")</f>
        <v>UCSC</v>
      </c>
      <c r="E4243" s="1" t="str">
        <f>HYPERLINK("http://www.ncbi.nlm.nih.gov/gene/?term=HCFC2","NCBI")</f>
        <v>NCBI</v>
      </c>
      <c r="F4243">
        <v>3.2000000000000001E-2</v>
      </c>
      <c r="G4243">
        <v>0.13</v>
      </c>
      <c r="H4243" s="1" t="str">
        <f>HYPERLINK("http://www.weizmann.ac.il/complex/compphys/software/geview/data/figures/219484_at.png","Figure")</f>
        <v>Figure</v>
      </c>
      <c r="I4243">
        <v>0.65500000000000003</v>
      </c>
      <c r="J4243">
        <v>0.38</v>
      </c>
      <c r="K4243">
        <v>0.44500000000000001</v>
      </c>
      <c r="L4243">
        <v>2.5000000000000001E-2</v>
      </c>
      <c r="M4243">
        <v>0.67900000000000005</v>
      </c>
      <c r="N4243">
        <v>0.4</v>
      </c>
    </row>
    <row r="4244" spans="1:14" x14ac:dyDescent="0.25">
      <c r="A4244" t="s">
        <v>7727</v>
      </c>
      <c r="B4244" t="s">
        <v>3496</v>
      </c>
      <c r="C4244" s="1" t="str">
        <f>HYPERLINK("http://www.genecards.org/cgi-bin/carddisp.pl?gene=SLC38A7","GeneCards")</f>
        <v>GeneCards</v>
      </c>
      <c r="D4244" s="1" t="str">
        <f>HYPERLINK("http://genome-euro.ucsc.edu/cgi-bin/hgTracks?position=222215_at","UCSC")</f>
        <v>UCSC</v>
      </c>
      <c r="E4244" s="1" t="str">
        <f>HYPERLINK("http://www.ncbi.nlm.nih.gov/gene/?term=SLC38A7","NCBI")</f>
        <v>NCBI</v>
      </c>
      <c r="F4244">
        <v>3.2000000000000001E-2</v>
      </c>
      <c r="G4244">
        <v>0.13</v>
      </c>
      <c r="H4244" s="1" t="str">
        <f>HYPERLINK("http://www.weizmann.ac.il/complex/compphys/software/geview/data/figures/222215_at.png","Figure")</f>
        <v>Figure</v>
      </c>
      <c r="I4244">
        <v>1.1100000000000001</v>
      </c>
      <c r="J4244">
        <v>0.1</v>
      </c>
      <c r="K4244">
        <v>0.97599999999999998</v>
      </c>
      <c r="L4244">
        <v>0.83</v>
      </c>
      <c r="M4244">
        <v>0.878</v>
      </c>
      <c r="N4244">
        <v>2.8000000000000001E-2</v>
      </c>
    </row>
    <row r="4245" spans="1:14" x14ac:dyDescent="0.25">
      <c r="A4245" t="s">
        <v>7728</v>
      </c>
      <c r="B4245" t="s">
        <v>4374</v>
      </c>
      <c r="C4245" s="1" t="str">
        <f>HYPERLINK("http://www.genecards.org/cgi-bin/carddisp.pl?gene=AGA","GeneCards")</f>
        <v>GeneCards</v>
      </c>
      <c r="D4245" s="1" t="str">
        <f>HYPERLINK("http://genome-euro.ucsc.edu/cgi-bin/hgTracks?position=216064_s_at","UCSC")</f>
        <v>UCSC</v>
      </c>
      <c r="E4245" s="1" t="str">
        <f>HYPERLINK("http://www.ncbi.nlm.nih.gov/gene/?term=AGA","NCBI")</f>
        <v>NCBI</v>
      </c>
      <c r="F4245">
        <v>3.2000000000000001E-2</v>
      </c>
      <c r="G4245">
        <v>0.13</v>
      </c>
      <c r="H4245" s="1" t="str">
        <f>HYPERLINK("http://www.weizmann.ac.il/complex/compphys/software/geview/data/figures/216064_s_at.png","Figure")</f>
        <v>Figure</v>
      </c>
      <c r="I4245">
        <v>0.63500000000000001</v>
      </c>
      <c r="J4245">
        <v>2.5999999999999999E-2</v>
      </c>
      <c r="K4245">
        <v>0.84799999999999998</v>
      </c>
      <c r="L4245">
        <v>0.45</v>
      </c>
      <c r="M4245">
        <v>1.33</v>
      </c>
      <c r="N4245">
        <v>0.14000000000000001</v>
      </c>
    </row>
    <row r="4246" spans="1:14" x14ac:dyDescent="0.25">
      <c r="A4246" t="s">
        <v>7729</v>
      </c>
      <c r="B4246" t="s">
        <v>7730</v>
      </c>
      <c r="C4246" s="1" t="str">
        <f>HYPERLINK("http://www.genecards.org/cgi-bin/carddisp.pl?gene=SPPL2B","GeneCards")</f>
        <v>GeneCards</v>
      </c>
      <c r="D4246" s="1" t="str">
        <f>HYPERLINK("http://genome-euro.ucsc.edu/cgi-bin/hgTracks?position=210693_at","UCSC")</f>
        <v>UCSC</v>
      </c>
      <c r="E4246" s="1" t="str">
        <f>HYPERLINK("http://www.ncbi.nlm.nih.gov/gene/?term=SPPL2B","NCBI")</f>
        <v>NCBI</v>
      </c>
      <c r="F4246">
        <v>3.2000000000000001E-2</v>
      </c>
      <c r="G4246">
        <v>0.13</v>
      </c>
      <c r="H4246" s="1" t="str">
        <f>HYPERLINK("http://www.weizmann.ac.il/complex/compphys/software/geview/data/figures/210693_at.png","Figure")</f>
        <v>Figure</v>
      </c>
      <c r="I4246">
        <v>1.62</v>
      </c>
      <c r="J4246">
        <v>0.05</v>
      </c>
      <c r="K4246">
        <v>1.51</v>
      </c>
      <c r="L4246">
        <v>5.3999999999999999E-2</v>
      </c>
      <c r="M4246">
        <v>0.93300000000000005</v>
      </c>
      <c r="N4246">
        <v>0.91</v>
      </c>
    </row>
    <row r="4247" spans="1:14" x14ac:dyDescent="0.25">
      <c r="A4247" t="s">
        <v>7731</v>
      </c>
      <c r="B4247" t="s">
        <v>7732</v>
      </c>
      <c r="C4247" s="1" t="str">
        <f>HYPERLINK("http://www.genecards.org/cgi-bin/carddisp.pl?gene=IRF2","GeneCards")</f>
        <v>GeneCards</v>
      </c>
      <c r="D4247" s="1" t="str">
        <f>HYPERLINK("http://genome-euro.ucsc.edu/cgi-bin/hgTracks?position=203275_at","UCSC")</f>
        <v>UCSC</v>
      </c>
      <c r="E4247" s="1" t="str">
        <f>HYPERLINK("http://www.ncbi.nlm.nih.gov/gene/?term=IRF2","NCBI")</f>
        <v>NCBI</v>
      </c>
      <c r="F4247">
        <v>3.2000000000000001E-2</v>
      </c>
      <c r="G4247">
        <v>0.13</v>
      </c>
      <c r="H4247" s="1" t="str">
        <f>HYPERLINK("http://www.weizmann.ac.il/complex/compphys/software/geview/data/figures/203275_at.png","Figure")</f>
        <v>Figure</v>
      </c>
      <c r="I4247">
        <v>0.76200000000000001</v>
      </c>
      <c r="J4247">
        <v>0.78</v>
      </c>
      <c r="K4247">
        <v>2.13</v>
      </c>
      <c r="L4247">
        <v>0.11</v>
      </c>
      <c r="M4247">
        <v>2.79</v>
      </c>
      <c r="N4247">
        <v>3.9E-2</v>
      </c>
    </row>
    <row r="4248" spans="1:14" x14ac:dyDescent="0.25">
      <c r="A4248" t="s">
        <v>7733</v>
      </c>
      <c r="B4248" t="s">
        <v>2524</v>
      </c>
      <c r="C4248" s="1" t="str">
        <f>HYPERLINK("http://www.genecards.org/cgi-bin/carddisp.pl?gene=C22orf9","GeneCards")</f>
        <v>GeneCards</v>
      </c>
      <c r="D4248" s="1" t="str">
        <f>HYPERLINK("http://genome-euro.ucsc.edu/cgi-bin/hgTracks?position=212421_at","UCSC")</f>
        <v>UCSC</v>
      </c>
      <c r="E4248" s="1" t="str">
        <f>HYPERLINK("http://www.ncbi.nlm.nih.gov/gene/?term=C22orf9","NCBI")</f>
        <v>NCBI</v>
      </c>
      <c r="F4248">
        <v>3.2000000000000001E-2</v>
      </c>
      <c r="G4248">
        <v>0.13</v>
      </c>
      <c r="H4248" s="1" t="str">
        <f>HYPERLINK("http://www.weizmann.ac.il/complex/compphys/software/geview/data/figures/212421_at.png","Figure")</f>
        <v>Figure</v>
      </c>
      <c r="I4248">
        <v>0.91</v>
      </c>
      <c r="J4248">
        <v>0.38</v>
      </c>
      <c r="K4248">
        <v>1.1000000000000001</v>
      </c>
      <c r="L4248">
        <v>0.27</v>
      </c>
      <c r="M4248">
        <v>1.21</v>
      </c>
      <c r="N4248">
        <v>2.7E-2</v>
      </c>
    </row>
    <row r="4249" spans="1:14" x14ac:dyDescent="0.25">
      <c r="A4249" t="s">
        <v>7734</v>
      </c>
      <c r="B4249" t="s">
        <v>7735</v>
      </c>
      <c r="C4249" s="1" t="str">
        <f>HYPERLINK("http://www.genecards.org/cgi-bin/carddisp.pl?gene=RAG1AP1","GeneCards")</f>
        <v>GeneCards</v>
      </c>
      <c r="D4249" s="1" t="str">
        <f>HYPERLINK("http://genome-euro.ucsc.edu/cgi-bin/hgTracks?position=219125_s_at","UCSC")</f>
        <v>UCSC</v>
      </c>
      <c r="E4249" s="1" t="str">
        <f>HYPERLINK("http://www.ncbi.nlm.nih.gov/gene/?term=RAG1AP1","NCBI")</f>
        <v>NCBI</v>
      </c>
      <c r="F4249">
        <v>3.2000000000000001E-2</v>
      </c>
      <c r="G4249">
        <v>0.13</v>
      </c>
      <c r="H4249" s="1" t="str">
        <f>HYPERLINK("http://www.weizmann.ac.il/complex/compphys/software/geview/data/figures/219125_s_at.png","Figure")</f>
        <v>Figure</v>
      </c>
      <c r="I4249">
        <v>1.38</v>
      </c>
      <c r="J4249">
        <v>3.5999999999999997E-2</v>
      </c>
      <c r="K4249">
        <v>1.05</v>
      </c>
      <c r="L4249">
        <v>0.86</v>
      </c>
      <c r="M4249">
        <v>0.76300000000000001</v>
      </c>
      <c r="N4249">
        <v>6.0999999999999999E-2</v>
      </c>
    </row>
    <row r="4250" spans="1:14" x14ac:dyDescent="0.25">
      <c r="A4250" t="s">
        <v>7736</v>
      </c>
      <c r="B4250" t="s">
        <v>7737</v>
      </c>
      <c r="C4250" s="1" t="str">
        <f>HYPERLINK("http://www.genecards.org/cgi-bin/carddisp.pl?gene=SAPS3","GeneCards")</f>
        <v>GeneCards</v>
      </c>
      <c r="D4250" s="1" t="str">
        <f>HYPERLINK("http://genome-euro.ucsc.edu/cgi-bin/hgTracks?position=217928_s_at","UCSC")</f>
        <v>UCSC</v>
      </c>
      <c r="E4250" s="1" t="str">
        <f>HYPERLINK("http://www.ncbi.nlm.nih.gov/gene/?term=SAPS3","NCBI")</f>
        <v>NCBI</v>
      </c>
      <c r="F4250">
        <v>3.2000000000000001E-2</v>
      </c>
      <c r="G4250">
        <v>0.13</v>
      </c>
      <c r="H4250" s="1" t="str">
        <f>HYPERLINK("http://www.weizmann.ac.il/complex/compphys/software/geview/data/figures/217928_s_at.png","Figure")</f>
        <v>Figure</v>
      </c>
      <c r="I4250">
        <v>1.32</v>
      </c>
      <c r="J4250">
        <v>2.5999999999999999E-2</v>
      </c>
      <c r="K4250">
        <v>1.1100000000000001</v>
      </c>
      <c r="L4250">
        <v>0.44</v>
      </c>
      <c r="M4250">
        <v>0.84</v>
      </c>
      <c r="N4250">
        <v>0.14000000000000001</v>
      </c>
    </row>
    <row r="4251" spans="1:14" x14ac:dyDescent="0.25">
      <c r="A4251" t="s">
        <v>7738</v>
      </c>
      <c r="B4251" t="s">
        <v>7739</v>
      </c>
      <c r="C4251" s="1" t="str">
        <f>HYPERLINK("http://www.genecards.org/cgi-bin/carddisp.pl?gene=RBM5","GeneCards")</f>
        <v>GeneCards</v>
      </c>
      <c r="D4251" s="1" t="str">
        <f>HYPERLINK("http://genome-euro.ucsc.edu/cgi-bin/hgTracks?position=201395_at","UCSC")</f>
        <v>UCSC</v>
      </c>
      <c r="E4251" s="1" t="str">
        <f>HYPERLINK("http://www.ncbi.nlm.nih.gov/gene/?term=RBM5","NCBI")</f>
        <v>NCBI</v>
      </c>
      <c r="F4251">
        <v>3.2000000000000001E-2</v>
      </c>
      <c r="G4251">
        <v>0.13</v>
      </c>
      <c r="H4251" s="1" t="str">
        <f>HYPERLINK("http://www.weizmann.ac.il/complex/compphys/software/geview/data/figures/201395_at.png","Figure")</f>
        <v>Figure</v>
      </c>
      <c r="I4251">
        <v>1.46</v>
      </c>
      <c r="J4251">
        <v>0.28999999999999998</v>
      </c>
      <c r="K4251">
        <v>0.74399999999999999</v>
      </c>
      <c r="L4251">
        <v>0.36</v>
      </c>
      <c r="M4251">
        <v>0.51</v>
      </c>
      <c r="N4251">
        <v>2.5999999999999999E-2</v>
      </c>
    </row>
    <row r="4252" spans="1:14" x14ac:dyDescent="0.25">
      <c r="A4252" t="s">
        <v>7740</v>
      </c>
      <c r="B4252" t="s">
        <v>7741</v>
      </c>
      <c r="C4252" s="1" t="str">
        <f>HYPERLINK("http://www.genecards.org/cgi-bin/carddisp.pl?gene=JMJD7 /// JMJD7-PLA2G4B","GeneCards")</f>
        <v>GeneCards</v>
      </c>
      <c r="D4252" s="1" t="str">
        <f>HYPERLINK("http://genome-euro.ucsc.edu/cgi-bin/hgTracks?position=222256_s_at","UCSC")</f>
        <v>UCSC</v>
      </c>
      <c r="E4252" s="1" t="str">
        <f>HYPERLINK("http://www.ncbi.nlm.nih.gov/gene/?term=JMJD7 /// JMJD7-PLA2G4B","NCBI")</f>
        <v>NCBI</v>
      </c>
      <c r="F4252">
        <v>3.2000000000000001E-2</v>
      </c>
      <c r="G4252">
        <v>0.13</v>
      </c>
      <c r="H4252" s="1" t="str">
        <f>HYPERLINK("http://www.weizmann.ac.il/complex/compphys/software/geview/data/figures/222256_s_at.png","Figure")</f>
        <v>Figure</v>
      </c>
      <c r="I4252">
        <v>1</v>
      </c>
      <c r="J4252">
        <v>1</v>
      </c>
      <c r="K4252">
        <v>1.19</v>
      </c>
      <c r="L4252">
        <v>5.2999999999999999E-2</v>
      </c>
      <c r="M4252">
        <v>1.19</v>
      </c>
      <c r="N4252">
        <v>7.4999999999999997E-2</v>
      </c>
    </row>
    <row r="4253" spans="1:14" x14ac:dyDescent="0.25">
      <c r="A4253" t="s">
        <v>7742</v>
      </c>
      <c r="B4253" t="s">
        <v>7743</v>
      </c>
      <c r="C4253" s="1" t="str">
        <f>HYPERLINK("http://www.genecards.org/cgi-bin/carddisp.pl?gene=PDCD4","GeneCards")</f>
        <v>GeneCards</v>
      </c>
      <c r="D4253" s="1" t="str">
        <f>HYPERLINK("http://genome-euro.ucsc.edu/cgi-bin/hgTracks?position=202731_at","UCSC")</f>
        <v>UCSC</v>
      </c>
      <c r="E4253" s="1" t="str">
        <f>HYPERLINK("http://www.ncbi.nlm.nih.gov/gene/?term=PDCD4","NCBI")</f>
        <v>NCBI</v>
      </c>
      <c r="F4253">
        <v>3.2000000000000001E-2</v>
      </c>
      <c r="G4253">
        <v>0.13</v>
      </c>
      <c r="H4253" s="1" t="str">
        <f>HYPERLINK("http://www.weizmann.ac.il/complex/compphys/software/geview/data/figures/202731_at.png","Figure")</f>
        <v>Figure</v>
      </c>
      <c r="I4253">
        <v>0.73499999999999999</v>
      </c>
      <c r="J4253">
        <v>0.38</v>
      </c>
      <c r="K4253">
        <v>0.55700000000000005</v>
      </c>
      <c r="L4253">
        <v>2.5000000000000001E-2</v>
      </c>
      <c r="M4253">
        <v>0.75800000000000001</v>
      </c>
      <c r="N4253">
        <v>0.4</v>
      </c>
    </row>
    <row r="4254" spans="1:14" x14ac:dyDescent="0.25">
      <c r="A4254" t="s">
        <v>7744</v>
      </c>
      <c r="B4254" t="s">
        <v>7745</v>
      </c>
      <c r="C4254" s="1" t="str">
        <f>HYPERLINK("http://www.genecards.org/cgi-bin/carddisp.pl?gene=FANCE","GeneCards")</f>
        <v>GeneCards</v>
      </c>
      <c r="D4254" s="1" t="str">
        <f>HYPERLINK("http://genome-euro.ucsc.edu/cgi-bin/hgTracks?position=220255_at","UCSC")</f>
        <v>UCSC</v>
      </c>
      <c r="E4254" s="1" t="str">
        <f>HYPERLINK("http://www.ncbi.nlm.nih.gov/gene/?term=FANCE","NCBI")</f>
        <v>NCBI</v>
      </c>
      <c r="F4254">
        <v>3.2000000000000001E-2</v>
      </c>
      <c r="G4254">
        <v>0.13</v>
      </c>
      <c r="H4254" s="1" t="str">
        <f>HYPERLINK("http://www.weizmann.ac.il/complex/compphys/software/geview/data/figures/220255_at.png","Figure")</f>
        <v>Figure</v>
      </c>
      <c r="I4254">
        <v>0.879</v>
      </c>
      <c r="J4254">
        <v>0.51</v>
      </c>
      <c r="K4254">
        <v>1.2</v>
      </c>
      <c r="L4254">
        <v>0.2</v>
      </c>
      <c r="M4254">
        <v>1.36</v>
      </c>
      <c r="N4254">
        <v>0.03</v>
      </c>
    </row>
    <row r="4255" spans="1:14" x14ac:dyDescent="0.25">
      <c r="A4255" t="s">
        <v>7746</v>
      </c>
      <c r="B4255" t="s">
        <v>7747</v>
      </c>
      <c r="C4255" s="1" t="str">
        <f>HYPERLINK("http://www.genecards.org/cgi-bin/carddisp.pl?gene=GOLGA7","GeneCards")</f>
        <v>GeneCards</v>
      </c>
      <c r="D4255" s="1" t="str">
        <f>HYPERLINK("http://genome-euro.ucsc.edu/cgi-bin/hgTracks?position=217819_at","UCSC")</f>
        <v>UCSC</v>
      </c>
      <c r="E4255" s="1" t="str">
        <f>HYPERLINK("http://www.ncbi.nlm.nih.gov/gene/?term=GOLGA7","NCBI")</f>
        <v>NCBI</v>
      </c>
      <c r="F4255">
        <v>3.2000000000000001E-2</v>
      </c>
      <c r="G4255">
        <v>0.13</v>
      </c>
      <c r="H4255" s="1" t="str">
        <f>HYPERLINK("http://www.weizmann.ac.il/complex/compphys/software/geview/data/figures/217819_at.png","Figure")</f>
        <v>Figure</v>
      </c>
      <c r="I4255">
        <v>0.73</v>
      </c>
      <c r="J4255">
        <v>6.6000000000000003E-2</v>
      </c>
      <c r="K4255">
        <v>1.02</v>
      </c>
      <c r="L4255">
        <v>0.98</v>
      </c>
      <c r="M4255">
        <v>1.4</v>
      </c>
      <c r="N4255">
        <v>3.4000000000000002E-2</v>
      </c>
    </row>
    <row r="4256" spans="1:14" x14ac:dyDescent="0.25">
      <c r="A4256" t="s">
        <v>7748</v>
      </c>
      <c r="B4256" t="s">
        <v>7749</v>
      </c>
      <c r="C4256" s="1" t="str">
        <f>HYPERLINK("http://www.genecards.org/cgi-bin/carddisp.pl?gene=C16orf53","GeneCards")</f>
        <v>GeneCards</v>
      </c>
      <c r="D4256" s="1" t="str">
        <f>HYPERLINK("http://genome-euro.ucsc.edu/cgi-bin/hgTracks?position=218300_at","UCSC")</f>
        <v>UCSC</v>
      </c>
      <c r="E4256" s="1" t="str">
        <f>HYPERLINK("http://www.ncbi.nlm.nih.gov/gene/?term=C16orf53","NCBI")</f>
        <v>NCBI</v>
      </c>
      <c r="F4256">
        <v>3.2000000000000001E-2</v>
      </c>
      <c r="G4256">
        <v>0.13</v>
      </c>
      <c r="H4256" s="1" t="str">
        <f>HYPERLINK("http://www.weizmann.ac.il/complex/compphys/software/geview/data/figures/218300_at.png","Figure")</f>
        <v>Figure</v>
      </c>
      <c r="I4256">
        <v>1.1599999999999999</v>
      </c>
      <c r="J4256">
        <v>0.56999999999999995</v>
      </c>
      <c r="K4256">
        <v>1.47</v>
      </c>
      <c r="L4256">
        <v>2.8000000000000001E-2</v>
      </c>
      <c r="M4256">
        <v>1.26</v>
      </c>
      <c r="N4256">
        <v>0.25</v>
      </c>
    </row>
    <row r="4257" spans="1:14" x14ac:dyDescent="0.25">
      <c r="A4257" t="s">
        <v>7750</v>
      </c>
      <c r="B4257" t="s">
        <v>4731</v>
      </c>
      <c r="C4257" s="1" t="str">
        <f>HYPERLINK("http://www.genecards.org/cgi-bin/carddisp.pl?gene=PSMD4","GeneCards")</f>
        <v>GeneCards</v>
      </c>
      <c r="D4257" s="1" t="str">
        <f>HYPERLINK("http://genome-euro.ucsc.edu/cgi-bin/hgTracks?position=210460_s_at","UCSC")</f>
        <v>UCSC</v>
      </c>
      <c r="E4257" s="1" t="str">
        <f>HYPERLINK("http://www.ncbi.nlm.nih.gov/gene/?term=PSMD4","NCBI")</f>
        <v>NCBI</v>
      </c>
      <c r="F4257">
        <v>3.2000000000000001E-2</v>
      </c>
      <c r="G4257">
        <v>0.13</v>
      </c>
      <c r="H4257" s="1" t="str">
        <f>HYPERLINK("http://www.weizmann.ac.il/complex/compphys/software/geview/data/figures/210460_s_at.png","Figure")</f>
        <v>Figure</v>
      </c>
      <c r="I4257">
        <v>1.29</v>
      </c>
      <c r="J4257">
        <v>0.44</v>
      </c>
      <c r="K4257">
        <v>1.68</v>
      </c>
      <c r="L4257">
        <v>2.5999999999999999E-2</v>
      </c>
      <c r="M4257">
        <v>1.31</v>
      </c>
      <c r="N4257">
        <v>0.35</v>
      </c>
    </row>
    <row r="4258" spans="1:14" x14ac:dyDescent="0.25">
      <c r="A4258" t="s">
        <v>7751</v>
      </c>
      <c r="B4258" t="s">
        <v>7752</v>
      </c>
      <c r="C4258" s="1" t="str">
        <f>HYPERLINK("http://www.genecards.org/cgi-bin/carddisp.pl?gene=COL6A1","GeneCards")</f>
        <v>GeneCards</v>
      </c>
      <c r="D4258" s="1" t="str">
        <f>HYPERLINK("http://genome-euro.ucsc.edu/cgi-bin/hgTracks?position=213428_s_at","UCSC")</f>
        <v>UCSC</v>
      </c>
      <c r="E4258" s="1" t="str">
        <f>HYPERLINK("http://www.ncbi.nlm.nih.gov/gene/?term=COL6A1","NCBI")</f>
        <v>NCBI</v>
      </c>
      <c r="F4258">
        <v>3.2000000000000001E-2</v>
      </c>
      <c r="G4258">
        <v>0.13</v>
      </c>
      <c r="H4258" s="1" t="str">
        <f>HYPERLINK("http://www.weizmann.ac.il/complex/compphys/software/geview/data/figures/213428_s_at.png","Figure")</f>
        <v>Figure</v>
      </c>
      <c r="I4258">
        <v>1.18</v>
      </c>
      <c r="J4258">
        <v>0.21</v>
      </c>
      <c r="K4258">
        <v>0.91300000000000003</v>
      </c>
      <c r="L4258">
        <v>0.5</v>
      </c>
      <c r="M4258">
        <v>0.77700000000000002</v>
      </c>
      <c r="N4258">
        <v>2.5000000000000001E-2</v>
      </c>
    </row>
    <row r="4259" spans="1:14" x14ac:dyDescent="0.25">
      <c r="A4259" t="s">
        <v>7753</v>
      </c>
      <c r="B4259" t="s">
        <v>3504</v>
      </c>
      <c r="C4259" s="1" t="str">
        <f>HYPERLINK("http://www.genecards.org/cgi-bin/carddisp.pl?gene=MKL1","GeneCards")</f>
        <v>GeneCards</v>
      </c>
      <c r="D4259" s="1" t="str">
        <f>HYPERLINK("http://genome-euro.ucsc.edu/cgi-bin/hgTracks?position=215292_s_at","UCSC")</f>
        <v>UCSC</v>
      </c>
      <c r="E4259" s="1" t="str">
        <f>HYPERLINK("http://www.ncbi.nlm.nih.gov/gene/?term=MKL1","NCBI")</f>
        <v>NCBI</v>
      </c>
      <c r="F4259">
        <v>3.2000000000000001E-2</v>
      </c>
      <c r="G4259">
        <v>0.13</v>
      </c>
      <c r="H4259" s="1" t="str">
        <f>HYPERLINK("http://www.weizmann.ac.il/complex/compphys/software/geview/data/figures/215292_s_at.png","Figure")</f>
        <v>Figure</v>
      </c>
      <c r="I4259">
        <v>1.17</v>
      </c>
      <c r="J4259">
        <v>7.5999999999999998E-2</v>
      </c>
      <c r="K4259">
        <v>0.98</v>
      </c>
      <c r="L4259">
        <v>0.94</v>
      </c>
      <c r="M4259">
        <v>0.83599999999999997</v>
      </c>
      <c r="N4259">
        <v>3.2000000000000001E-2</v>
      </c>
    </row>
    <row r="4260" spans="1:14" x14ac:dyDescent="0.25">
      <c r="A4260" t="s">
        <v>7754</v>
      </c>
      <c r="B4260" t="s">
        <v>7755</v>
      </c>
      <c r="C4260" s="1" t="str">
        <f>HYPERLINK("http://www.genecards.org/cgi-bin/carddisp.pl?gene=ESPN","GeneCards")</f>
        <v>GeneCards</v>
      </c>
      <c r="D4260" s="1" t="str">
        <f>HYPERLINK("http://genome-euro.ucsc.edu/cgi-bin/hgTracks?position=219422_at","UCSC")</f>
        <v>UCSC</v>
      </c>
      <c r="E4260" s="1" t="str">
        <f>HYPERLINK("http://www.ncbi.nlm.nih.gov/gene/?term=ESPN","NCBI")</f>
        <v>NCBI</v>
      </c>
      <c r="F4260">
        <v>3.2000000000000001E-2</v>
      </c>
      <c r="G4260">
        <v>0.13</v>
      </c>
      <c r="H4260" s="1" t="str">
        <f>HYPERLINK("http://www.weizmann.ac.il/complex/compphys/software/geview/data/figures/219422_at.png","Figure")</f>
        <v>Figure</v>
      </c>
      <c r="I4260">
        <v>1.1499999999999999</v>
      </c>
      <c r="J4260">
        <v>2.5000000000000001E-2</v>
      </c>
      <c r="K4260">
        <v>1.06</v>
      </c>
      <c r="L4260">
        <v>0.32</v>
      </c>
      <c r="M4260">
        <v>0.92600000000000005</v>
      </c>
      <c r="N4260">
        <v>0.2</v>
      </c>
    </row>
    <row r="4261" spans="1:14" x14ac:dyDescent="0.25">
      <c r="A4261" t="s">
        <v>7756</v>
      </c>
      <c r="B4261" t="s">
        <v>7757</v>
      </c>
      <c r="C4261" s="1" t="str">
        <f>HYPERLINK("http://www.genecards.org/cgi-bin/carddisp.pl?gene=FLRT3","GeneCards")</f>
        <v>GeneCards</v>
      </c>
      <c r="D4261" s="1" t="str">
        <f>HYPERLINK("http://genome-euro.ucsc.edu/cgi-bin/hgTracks?position=219250_s_at","UCSC")</f>
        <v>UCSC</v>
      </c>
      <c r="E4261" s="1" t="str">
        <f>HYPERLINK("http://www.ncbi.nlm.nih.gov/gene/?term=FLRT3","NCBI")</f>
        <v>NCBI</v>
      </c>
      <c r="F4261">
        <v>3.2000000000000001E-2</v>
      </c>
      <c r="G4261">
        <v>0.13</v>
      </c>
      <c r="H4261" s="1" t="str">
        <f>HYPERLINK("http://www.weizmann.ac.il/complex/compphys/software/geview/data/figures/219250_s_at.png","Figure")</f>
        <v>Figure</v>
      </c>
      <c r="I4261">
        <v>1</v>
      </c>
      <c r="J4261">
        <v>1</v>
      </c>
      <c r="K4261">
        <v>0.79900000000000004</v>
      </c>
      <c r="L4261">
        <v>5.3999999999999999E-2</v>
      </c>
      <c r="M4261">
        <v>0.79900000000000004</v>
      </c>
      <c r="N4261">
        <v>7.3999999999999996E-2</v>
      </c>
    </row>
    <row r="4262" spans="1:14" x14ac:dyDescent="0.25">
      <c r="A4262" t="s">
        <v>7758</v>
      </c>
      <c r="B4262" t="s">
        <v>7759</v>
      </c>
      <c r="C4262" s="1" t="str">
        <f>HYPERLINK("http://www.genecards.org/cgi-bin/carddisp.pl?gene=C14orf169","GeneCards")</f>
        <v>GeneCards</v>
      </c>
      <c r="D4262" s="1" t="str">
        <f>HYPERLINK("http://genome-euro.ucsc.edu/cgi-bin/hgTracks?position=219526_at","UCSC")</f>
        <v>UCSC</v>
      </c>
      <c r="E4262" s="1" t="str">
        <f>HYPERLINK("http://www.ncbi.nlm.nih.gov/gene/?term=C14orf169","NCBI")</f>
        <v>NCBI</v>
      </c>
      <c r="F4262">
        <v>3.2000000000000001E-2</v>
      </c>
      <c r="G4262">
        <v>0.13</v>
      </c>
      <c r="H4262" s="1" t="str">
        <f>HYPERLINK("http://www.weizmann.ac.il/complex/compphys/software/geview/data/figures/219526_at.png","Figure")</f>
        <v>Figure</v>
      </c>
      <c r="I4262">
        <v>0.65200000000000002</v>
      </c>
      <c r="J4262">
        <v>2.7E-2</v>
      </c>
      <c r="K4262">
        <v>0.86799999999999999</v>
      </c>
      <c r="L4262">
        <v>0.51</v>
      </c>
      <c r="M4262">
        <v>1.33</v>
      </c>
      <c r="N4262">
        <v>0.12</v>
      </c>
    </row>
    <row r="4263" spans="1:14" x14ac:dyDescent="0.25">
      <c r="A4263" t="s">
        <v>7760</v>
      </c>
      <c r="B4263" t="s">
        <v>7500</v>
      </c>
      <c r="C4263" s="1" t="str">
        <f>HYPERLINK("http://www.genecards.org/cgi-bin/carddisp.pl?gene=IGHMBP2","GeneCards")</f>
        <v>GeneCards</v>
      </c>
      <c r="D4263" s="1" t="str">
        <f>HYPERLINK("http://genome-euro.ucsc.edu/cgi-bin/hgTracks?position=31861_at","UCSC")</f>
        <v>UCSC</v>
      </c>
      <c r="E4263" s="1" t="str">
        <f>HYPERLINK("http://www.ncbi.nlm.nih.gov/gene/?term=IGHMBP2","NCBI")</f>
        <v>NCBI</v>
      </c>
      <c r="F4263">
        <v>3.2000000000000001E-2</v>
      </c>
      <c r="G4263">
        <v>0.13</v>
      </c>
      <c r="H4263" s="1" t="str">
        <f>HYPERLINK("http://www.weizmann.ac.il/complex/compphys/software/geview/data/figures/31861_at.png","Figure")</f>
        <v>Figure</v>
      </c>
      <c r="I4263">
        <v>1.46</v>
      </c>
      <c r="J4263">
        <v>2.5000000000000001E-2</v>
      </c>
      <c r="K4263">
        <v>1.17</v>
      </c>
      <c r="L4263">
        <v>0.34</v>
      </c>
      <c r="M4263">
        <v>0.80400000000000005</v>
      </c>
      <c r="N4263">
        <v>0.19</v>
      </c>
    </row>
    <row r="4264" spans="1:14" x14ac:dyDescent="0.25">
      <c r="A4264" t="s">
        <v>7761</v>
      </c>
      <c r="B4264" t="s">
        <v>7762</v>
      </c>
      <c r="C4264" s="1" t="str">
        <f>HYPERLINK("http://www.genecards.org/cgi-bin/carddisp.pl?gene=IPO13","GeneCards")</f>
        <v>GeneCards</v>
      </c>
      <c r="D4264" s="1" t="str">
        <f>HYPERLINK("http://genome-euro.ucsc.edu/cgi-bin/hgTracks?position=203546_at","UCSC")</f>
        <v>UCSC</v>
      </c>
      <c r="E4264" s="1" t="str">
        <f>HYPERLINK("http://www.ncbi.nlm.nih.gov/gene/?term=IPO13","NCBI")</f>
        <v>NCBI</v>
      </c>
      <c r="F4264">
        <v>3.2000000000000001E-2</v>
      </c>
      <c r="G4264">
        <v>0.13</v>
      </c>
      <c r="H4264" s="1" t="str">
        <f>HYPERLINK("http://www.weizmann.ac.il/complex/compphys/software/geview/data/figures/203546_at.png","Figure")</f>
        <v>Figure</v>
      </c>
      <c r="I4264">
        <v>1.22</v>
      </c>
      <c r="J4264">
        <v>0.23</v>
      </c>
      <c r="K4264">
        <v>1.35</v>
      </c>
      <c r="L4264">
        <v>2.5999999999999999E-2</v>
      </c>
      <c r="M4264">
        <v>1.1100000000000001</v>
      </c>
      <c r="N4264">
        <v>0.62</v>
      </c>
    </row>
    <row r="4265" spans="1:14" x14ac:dyDescent="0.25">
      <c r="A4265" t="s">
        <v>7763</v>
      </c>
      <c r="B4265" t="s">
        <v>7764</v>
      </c>
      <c r="C4265" s="1" t="str">
        <f>HYPERLINK("http://www.genecards.org/cgi-bin/carddisp.pl?gene=PFDN4","GeneCards")</f>
        <v>GeneCards</v>
      </c>
      <c r="D4265" s="1" t="str">
        <f>HYPERLINK("http://genome-euro.ucsc.edu/cgi-bin/hgTracks?position=205360_at","UCSC")</f>
        <v>UCSC</v>
      </c>
      <c r="E4265" s="1" t="str">
        <f>HYPERLINK("http://www.ncbi.nlm.nih.gov/gene/?term=PFDN4","NCBI")</f>
        <v>NCBI</v>
      </c>
      <c r="F4265">
        <v>3.2000000000000001E-2</v>
      </c>
      <c r="G4265">
        <v>0.13</v>
      </c>
      <c r="H4265" s="1" t="str">
        <f>HYPERLINK("http://www.weizmann.ac.il/complex/compphys/software/geview/data/figures/205360_at.png","Figure")</f>
        <v>Figure</v>
      </c>
      <c r="I4265">
        <v>1.18</v>
      </c>
      <c r="J4265">
        <v>0.23</v>
      </c>
      <c r="K4265">
        <v>0.90400000000000003</v>
      </c>
      <c r="L4265">
        <v>0.46</v>
      </c>
      <c r="M4265">
        <v>0.76600000000000001</v>
      </c>
      <c r="N4265">
        <v>2.5000000000000001E-2</v>
      </c>
    </row>
    <row r="4266" spans="1:14" x14ac:dyDescent="0.25">
      <c r="A4266" t="s">
        <v>7765</v>
      </c>
      <c r="B4266" t="s">
        <v>7766</v>
      </c>
      <c r="C4266" s="1" t="str">
        <f>HYPERLINK("http://www.genecards.org/cgi-bin/carddisp.pl?gene=SCN4A","GeneCards")</f>
        <v>GeneCards</v>
      </c>
      <c r="D4266" s="1" t="str">
        <f>HYPERLINK("http://genome-euro.ucsc.edu/cgi-bin/hgTracks?position=206981_at","UCSC")</f>
        <v>UCSC</v>
      </c>
      <c r="E4266" s="1" t="str">
        <f>HYPERLINK("http://www.ncbi.nlm.nih.gov/gene/?term=SCN4A","NCBI")</f>
        <v>NCBI</v>
      </c>
      <c r="F4266">
        <v>3.2000000000000001E-2</v>
      </c>
      <c r="G4266">
        <v>0.13</v>
      </c>
      <c r="H4266" s="1" t="str">
        <f>HYPERLINK("http://www.weizmann.ac.il/complex/compphys/software/geview/data/figures/206981_at.png","Figure")</f>
        <v>Figure</v>
      </c>
      <c r="I4266">
        <v>1.06</v>
      </c>
      <c r="J4266">
        <v>0.92</v>
      </c>
      <c r="K4266">
        <v>0.72599999999999998</v>
      </c>
      <c r="L4266">
        <v>8.1000000000000003E-2</v>
      </c>
      <c r="M4266">
        <v>0.68300000000000005</v>
      </c>
      <c r="N4266">
        <v>5.0999999999999997E-2</v>
      </c>
    </row>
    <row r="4267" spans="1:14" x14ac:dyDescent="0.25">
      <c r="A4267" t="s">
        <v>7767</v>
      </c>
      <c r="B4267" t="s">
        <v>7768</v>
      </c>
      <c r="C4267" s="1" t="str">
        <f>HYPERLINK("http://www.genecards.org/cgi-bin/carddisp.pl?gene=ZZEF1","GeneCards")</f>
        <v>GeneCards</v>
      </c>
      <c r="D4267" s="1" t="str">
        <f>HYPERLINK("http://genome-euro.ucsc.edu/cgi-bin/hgTracks?position=207190_at","UCSC")</f>
        <v>UCSC</v>
      </c>
      <c r="E4267" s="1" t="str">
        <f>HYPERLINK("http://www.ncbi.nlm.nih.gov/gene/?term=ZZEF1","NCBI")</f>
        <v>NCBI</v>
      </c>
      <c r="F4267">
        <v>3.2000000000000001E-2</v>
      </c>
      <c r="G4267">
        <v>0.13</v>
      </c>
      <c r="H4267" s="1" t="str">
        <f>HYPERLINK("http://www.weizmann.ac.il/complex/compphys/software/geview/data/figures/207190_at.png","Figure")</f>
        <v>Figure</v>
      </c>
      <c r="I4267">
        <v>1.19</v>
      </c>
      <c r="J4267">
        <v>0.53</v>
      </c>
      <c r="K4267">
        <v>0.77200000000000002</v>
      </c>
      <c r="L4267">
        <v>0.19</v>
      </c>
      <c r="M4267">
        <v>0.64900000000000002</v>
      </c>
      <c r="N4267">
        <v>3.1E-2</v>
      </c>
    </row>
    <row r="4268" spans="1:14" x14ac:dyDescent="0.25">
      <c r="A4268" t="s">
        <v>7769</v>
      </c>
      <c r="B4268" t="s">
        <v>7770</v>
      </c>
      <c r="C4268" s="1" t="str">
        <f>HYPERLINK("http://www.genecards.org/cgi-bin/carddisp.pl?gene=TPX2","GeneCards")</f>
        <v>GeneCards</v>
      </c>
      <c r="D4268" s="1" t="str">
        <f>HYPERLINK("http://genome-euro.ucsc.edu/cgi-bin/hgTracks?position=210052_s_at","UCSC")</f>
        <v>UCSC</v>
      </c>
      <c r="E4268" s="1" t="str">
        <f>HYPERLINK("http://www.ncbi.nlm.nih.gov/gene/?term=TPX2","NCBI")</f>
        <v>NCBI</v>
      </c>
      <c r="F4268">
        <v>3.2000000000000001E-2</v>
      </c>
      <c r="G4268">
        <v>0.13</v>
      </c>
      <c r="H4268" s="1" t="str">
        <f>HYPERLINK("http://www.weizmann.ac.il/complex/compphys/software/geview/data/figures/210052_s_at.png","Figure")</f>
        <v>Figure</v>
      </c>
      <c r="I4268">
        <v>1.25</v>
      </c>
      <c r="J4268">
        <v>0.47</v>
      </c>
      <c r="K4268">
        <v>1.62</v>
      </c>
      <c r="L4268">
        <v>2.5999999999999999E-2</v>
      </c>
      <c r="M4268">
        <v>1.3</v>
      </c>
      <c r="N4268">
        <v>0.32</v>
      </c>
    </row>
    <row r="4269" spans="1:14" x14ac:dyDescent="0.25">
      <c r="A4269" t="s">
        <v>7771</v>
      </c>
      <c r="B4269" t="s">
        <v>7772</v>
      </c>
      <c r="C4269" s="1" t="str">
        <f>HYPERLINK("http://www.genecards.org/cgi-bin/carddisp.pl?gene=B4GALT3","GeneCards")</f>
        <v>GeneCards</v>
      </c>
      <c r="D4269" s="1" t="str">
        <f>HYPERLINK("http://genome-euro.ucsc.edu/cgi-bin/hgTracks?position=210243_s_at","UCSC")</f>
        <v>UCSC</v>
      </c>
      <c r="E4269" s="1" t="str">
        <f>HYPERLINK("http://www.ncbi.nlm.nih.gov/gene/?term=B4GALT3","NCBI")</f>
        <v>NCBI</v>
      </c>
      <c r="F4269">
        <v>3.2000000000000001E-2</v>
      </c>
      <c r="G4269">
        <v>0.13</v>
      </c>
      <c r="H4269" s="1" t="str">
        <f>HYPERLINK("http://www.weizmann.ac.il/complex/compphys/software/geview/data/figures/210243_s_at.png","Figure")</f>
        <v>Figure</v>
      </c>
      <c r="I4269">
        <v>1.17</v>
      </c>
      <c r="J4269">
        <v>0.32</v>
      </c>
      <c r="K4269">
        <v>0.875</v>
      </c>
      <c r="L4269">
        <v>0.34</v>
      </c>
      <c r="M4269">
        <v>0.748</v>
      </c>
      <c r="N4269">
        <v>2.5999999999999999E-2</v>
      </c>
    </row>
    <row r="4270" spans="1:14" x14ac:dyDescent="0.25">
      <c r="A4270" t="s">
        <v>7773</v>
      </c>
      <c r="B4270" t="s">
        <v>7774</v>
      </c>
      <c r="C4270" s="1" t="str">
        <f>HYPERLINK("http://www.genecards.org/cgi-bin/carddisp.pl?gene=HLA-DQA1 /// HLA-DQA2 /// LOC100294224 /// LOC100294317","GeneCards")</f>
        <v>GeneCards</v>
      </c>
      <c r="D4270" s="1" t="str">
        <f>HYPERLINK("http://genome-euro.ucsc.edu/cgi-bin/hgTracks?position=212671_s_at","UCSC")</f>
        <v>UCSC</v>
      </c>
      <c r="E4270" s="1" t="str">
        <f>HYPERLINK("http://www.ncbi.nlm.nih.gov/gene/?term=HLA-DQA1 /// HLA-DQA2 /// LOC100294224 /// LOC100294317","NCBI")</f>
        <v>NCBI</v>
      </c>
      <c r="F4270">
        <v>3.2000000000000001E-2</v>
      </c>
      <c r="G4270">
        <v>0.13</v>
      </c>
      <c r="H4270" s="1" t="str">
        <f>HYPERLINK("http://www.weizmann.ac.il/complex/compphys/software/geview/data/figures/212671_s_at.png","Figure")</f>
        <v>Figure</v>
      </c>
      <c r="I4270">
        <v>0.48799999999999999</v>
      </c>
      <c r="J4270">
        <v>0.48</v>
      </c>
      <c r="K4270">
        <v>0.20799999999999999</v>
      </c>
      <c r="L4270">
        <v>2.5999999999999999E-2</v>
      </c>
      <c r="M4270">
        <v>0.42699999999999999</v>
      </c>
      <c r="N4270">
        <v>0.32</v>
      </c>
    </row>
    <row r="4271" spans="1:14" x14ac:dyDescent="0.25">
      <c r="A4271" t="s">
        <v>7775</v>
      </c>
      <c r="B4271" t="s">
        <v>7776</v>
      </c>
      <c r="C4271" s="1" t="str">
        <f>HYPERLINK("http://www.genecards.org/cgi-bin/carddisp.pl?gene=C17orf91","GeneCards")</f>
        <v>GeneCards</v>
      </c>
      <c r="D4271" s="1" t="str">
        <f>HYPERLINK("http://genome-euro.ucsc.edu/cgi-bin/hgTracks?position=214696_at","UCSC")</f>
        <v>UCSC</v>
      </c>
      <c r="E4271" s="1" t="str">
        <f>HYPERLINK("http://www.ncbi.nlm.nih.gov/gene/?term=C17orf91","NCBI")</f>
        <v>NCBI</v>
      </c>
      <c r="F4271">
        <v>3.2000000000000001E-2</v>
      </c>
      <c r="G4271">
        <v>0.13</v>
      </c>
      <c r="H4271" s="1" t="str">
        <f>HYPERLINK("http://www.weizmann.ac.il/complex/compphys/software/geview/data/figures/214696_at.png","Figure")</f>
        <v>Figure</v>
      </c>
      <c r="I4271">
        <v>0.44500000000000001</v>
      </c>
      <c r="J4271">
        <v>2.7E-2</v>
      </c>
      <c r="K4271">
        <v>0.77100000000000002</v>
      </c>
      <c r="L4271">
        <v>0.53</v>
      </c>
      <c r="M4271">
        <v>1.73</v>
      </c>
      <c r="N4271">
        <v>0.12</v>
      </c>
    </row>
    <row r="4272" spans="1:14" x14ac:dyDescent="0.25">
      <c r="A4272" t="s">
        <v>7777</v>
      </c>
      <c r="B4272" t="s">
        <v>7778</v>
      </c>
      <c r="C4272" s="1" t="str">
        <f>HYPERLINK("http://www.genecards.org/cgi-bin/carddisp.pl?gene=TCF25","GeneCards")</f>
        <v>GeneCards</v>
      </c>
      <c r="D4272" s="1" t="str">
        <f>HYPERLINK("http://genome-euro.ucsc.edu/cgi-bin/hgTracks?position=214704_at","UCSC")</f>
        <v>UCSC</v>
      </c>
      <c r="E4272" s="1" t="str">
        <f>HYPERLINK("http://www.ncbi.nlm.nih.gov/gene/?term=TCF25","NCBI")</f>
        <v>NCBI</v>
      </c>
      <c r="F4272">
        <v>3.2000000000000001E-2</v>
      </c>
      <c r="G4272">
        <v>0.13</v>
      </c>
      <c r="H4272" s="1" t="str">
        <f>HYPERLINK("http://www.weizmann.ac.il/complex/compphys/software/geview/data/figures/214704_at.png","Figure")</f>
        <v>Figure</v>
      </c>
      <c r="I4272">
        <v>1.19</v>
      </c>
      <c r="J4272">
        <v>0.64</v>
      </c>
      <c r="K4272">
        <v>0.71499999999999997</v>
      </c>
      <c r="L4272">
        <v>0.15</v>
      </c>
      <c r="M4272">
        <v>0.6</v>
      </c>
      <c r="N4272">
        <v>3.4000000000000002E-2</v>
      </c>
    </row>
    <row r="4273" spans="1:14" x14ac:dyDescent="0.25">
      <c r="A4273" t="s">
        <v>7779</v>
      </c>
      <c r="B4273" t="s">
        <v>7780</v>
      </c>
      <c r="C4273" s="1" t="str">
        <f>HYPERLINK("http://www.genecards.org/cgi-bin/carddisp.pl?gene=ZNF259 /// ZNF259P","GeneCards")</f>
        <v>GeneCards</v>
      </c>
      <c r="D4273" s="1" t="str">
        <f>HYPERLINK("http://genome-euro.ucsc.edu/cgi-bin/hgTracks?position=217185_s_at","UCSC")</f>
        <v>UCSC</v>
      </c>
      <c r="E4273" s="1" t="str">
        <f>HYPERLINK("http://www.ncbi.nlm.nih.gov/gene/?term=ZNF259 /// ZNF259P","NCBI")</f>
        <v>NCBI</v>
      </c>
      <c r="F4273">
        <v>3.2000000000000001E-2</v>
      </c>
      <c r="G4273">
        <v>0.13</v>
      </c>
      <c r="H4273" s="1" t="str">
        <f>HYPERLINK("http://www.weizmann.ac.il/complex/compphys/software/geview/data/figures/217185_s_at.png","Figure")</f>
        <v>Figure</v>
      </c>
      <c r="I4273">
        <v>1.19</v>
      </c>
      <c r="J4273">
        <v>3.3000000000000002E-2</v>
      </c>
      <c r="K4273">
        <v>1.1200000000000001</v>
      </c>
      <c r="L4273">
        <v>9.9000000000000005E-2</v>
      </c>
      <c r="M4273">
        <v>0.94799999999999995</v>
      </c>
      <c r="N4273">
        <v>0.61</v>
      </c>
    </row>
    <row r="4274" spans="1:14" x14ac:dyDescent="0.25">
      <c r="A4274" t="s">
        <v>7781</v>
      </c>
      <c r="B4274" t="s">
        <v>7782</v>
      </c>
      <c r="C4274" s="1" t="str">
        <f>HYPERLINK("http://www.genecards.org/cgi-bin/carddisp.pl?gene=PLEK2","GeneCards")</f>
        <v>GeneCards</v>
      </c>
      <c r="D4274" s="1" t="str">
        <f>HYPERLINK("http://genome-euro.ucsc.edu/cgi-bin/hgTracks?position=218644_at","UCSC")</f>
        <v>UCSC</v>
      </c>
      <c r="E4274" s="1" t="str">
        <f>HYPERLINK("http://www.ncbi.nlm.nih.gov/gene/?term=PLEK2","NCBI")</f>
        <v>NCBI</v>
      </c>
      <c r="F4274">
        <v>3.2000000000000001E-2</v>
      </c>
      <c r="G4274">
        <v>0.13</v>
      </c>
      <c r="H4274" s="1" t="str">
        <f>HYPERLINK("http://www.weizmann.ac.il/complex/compphys/software/geview/data/figures/218644_at.png","Figure")</f>
        <v>Figure</v>
      </c>
      <c r="I4274">
        <v>1.37</v>
      </c>
      <c r="J4274">
        <v>2.8000000000000001E-2</v>
      </c>
      <c r="K4274">
        <v>1.1000000000000001</v>
      </c>
      <c r="L4274">
        <v>0.6</v>
      </c>
      <c r="M4274">
        <v>0.80100000000000005</v>
      </c>
      <c r="N4274">
        <v>0.1</v>
      </c>
    </row>
    <row r="4275" spans="1:14" x14ac:dyDescent="0.25">
      <c r="A4275" t="s">
        <v>7783</v>
      </c>
      <c r="B4275" t="s">
        <v>5130</v>
      </c>
      <c r="C4275" s="1" t="str">
        <f>HYPERLINK("http://www.genecards.org/cgi-bin/carddisp.pl?gene=ERLIN2","GeneCards")</f>
        <v>GeneCards</v>
      </c>
      <c r="D4275" s="1" t="str">
        <f>HYPERLINK("http://genome-euro.ucsc.edu/cgi-bin/hgTracks?position=221542_s_at","UCSC")</f>
        <v>UCSC</v>
      </c>
      <c r="E4275" s="1" t="str">
        <f>HYPERLINK("http://www.ncbi.nlm.nih.gov/gene/?term=ERLIN2","NCBI")</f>
        <v>NCBI</v>
      </c>
      <c r="F4275">
        <v>3.2000000000000001E-2</v>
      </c>
      <c r="G4275">
        <v>0.13</v>
      </c>
      <c r="H4275" s="1" t="str">
        <f>HYPERLINK("http://www.weizmann.ac.il/complex/compphys/software/geview/data/figures/221542_s_at.png","Figure")</f>
        <v>Figure</v>
      </c>
      <c r="I4275">
        <v>0.69699999999999995</v>
      </c>
      <c r="J4275">
        <v>3.5999999999999997E-2</v>
      </c>
      <c r="K4275">
        <v>0.94199999999999995</v>
      </c>
      <c r="L4275">
        <v>0.85</v>
      </c>
      <c r="M4275">
        <v>1.35</v>
      </c>
      <c r="N4275">
        <v>6.2E-2</v>
      </c>
    </row>
    <row r="4276" spans="1:14" x14ac:dyDescent="0.25">
      <c r="A4276" t="s">
        <v>7784</v>
      </c>
      <c r="B4276" t="s">
        <v>7785</v>
      </c>
      <c r="C4276" s="1" t="str">
        <f>HYPERLINK("http://www.genecards.org/cgi-bin/carddisp.pl?gene=HLA-DQB1 /// LOC100294318","GeneCards")</f>
        <v>GeneCards</v>
      </c>
      <c r="D4276" s="1" t="str">
        <f>HYPERLINK("http://genome-euro.ucsc.edu/cgi-bin/hgTracks?position=211656_x_at","UCSC")</f>
        <v>UCSC</v>
      </c>
      <c r="E4276" s="1" t="str">
        <f>HYPERLINK("http://www.ncbi.nlm.nih.gov/gene/?term=HLA-DQB1 /// LOC100294318","NCBI")</f>
        <v>NCBI</v>
      </c>
      <c r="F4276">
        <v>3.2000000000000001E-2</v>
      </c>
      <c r="G4276">
        <v>0.13</v>
      </c>
      <c r="H4276" s="1" t="str">
        <f>HYPERLINK("http://www.weizmann.ac.il/complex/compphys/software/geview/data/figures/211656_x_at.png","Figure")</f>
        <v>Figure</v>
      </c>
      <c r="I4276">
        <v>1.66</v>
      </c>
      <c r="J4276">
        <v>0.18</v>
      </c>
      <c r="K4276">
        <v>0.77600000000000002</v>
      </c>
      <c r="L4276">
        <v>0.55000000000000004</v>
      </c>
      <c r="M4276">
        <v>0.46700000000000003</v>
      </c>
      <c r="N4276">
        <v>2.5000000000000001E-2</v>
      </c>
    </row>
    <row r="4277" spans="1:14" x14ac:dyDescent="0.25">
      <c r="A4277" t="s">
        <v>7786</v>
      </c>
      <c r="B4277" t="s">
        <v>7787</v>
      </c>
      <c r="C4277" s="1" t="str">
        <f>HYPERLINK("http://www.genecards.org/cgi-bin/carddisp.pl?gene=EZH2","GeneCards")</f>
        <v>GeneCards</v>
      </c>
      <c r="D4277" s="1" t="str">
        <f>HYPERLINK("http://genome-euro.ucsc.edu/cgi-bin/hgTracks?position=203358_s_at","UCSC")</f>
        <v>UCSC</v>
      </c>
      <c r="E4277" s="1" t="str">
        <f>HYPERLINK("http://www.ncbi.nlm.nih.gov/gene/?term=EZH2","NCBI")</f>
        <v>NCBI</v>
      </c>
      <c r="F4277">
        <v>3.2000000000000001E-2</v>
      </c>
      <c r="G4277">
        <v>0.13</v>
      </c>
      <c r="H4277" s="1" t="str">
        <f>HYPERLINK("http://www.weizmann.ac.il/complex/compphys/software/geview/data/figures/203358_s_at.png","Figure")</f>
        <v>Figure</v>
      </c>
      <c r="I4277">
        <v>1.31</v>
      </c>
      <c r="J4277">
        <v>0.65</v>
      </c>
      <c r="K4277">
        <v>0.58299999999999996</v>
      </c>
      <c r="L4277">
        <v>0.15</v>
      </c>
      <c r="M4277">
        <v>0.44400000000000001</v>
      </c>
      <c r="N4277">
        <v>3.5000000000000003E-2</v>
      </c>
    </row>
    <row r="4278" spans="1:14" x14ac:dyDescent="0.25">
      <c r="A4278" t="s">
        <v>7788</v>
      </c>
      <c r="B4278" t="s">
        <v>7789</v>
      </c>
      <c r="C4278" s="1" t="str">
        <f>HYPERLINK("http://www.genecards.org/cgi-bin/carddisp.pl?gene=TINF2","GeneCards")</f>
        <v>GeneCards</v>
      </c>
      <c r="D4278" s="1" t="str">
        <f>HYPERLINK("http://genome-euro.ucsc.edu/cgi-bin/hgTracks?position=220052_s_at","UCSC")</f>
        <v>UCSC</v>
      </c>
      <c r="E4278" s="1" t="str">
        <f>HYPERLINK("http://www.ncbi.nlm.nih.gov/gene/?term=TINF2","NCBI")</f>
        <v>NCBI</v>
      </c>
      <c r="F4278">
        <v>3.2000000000000001E-2</v>
      </c>
      <c r="G4278">
        <v>0.13</v>
      </c>
      <c r="H4278" s="1" t="str">
        <f>HYPERLINK("http://www.weizmann.ac.il/complex/compphys/software/geview/data/figures/220052_s_at.png","Figure")</f>
        <v>Figure</v>
      </c>
      <c r="I4278">
        <v>0.83099999999999996</v>
      </c>
      <c r="J4278">
        <v>7.6999999999999999E-2</v>
      </c>
      <c r="K4278">
        <v>1.02</v>
      </c>
      <c r="L4278">
        <v>0.93</v>
      </c>
      <c r="M4278">
        <v>1.23</v>
      </c>
      <c r="N4278">
        <v>3.2000000000000001E-2</v>
      </c>
    </row>
    <row r="4279" spans="1:14" x14ac:dyDescent="0.25">
      <c r="A4279" t="s">
        <v>7790</v>
      </c>
      <c r="B4279" t="s">
        <v>7791</v>
      </c>
      <c r="C4279" s="1" t="str">
        <f>HYPERLINK("http://www.genecards.org/cgi-bin/carddisp.pl?gene=INTS12","GeneCards")</f>
        <v>GeneCards</v>
      </c>
      <c r="D4279" s="1" t="str">
        <f>HYPERLINK("http://genome-euro.ucsc.edu/cgi-bin/hgTracks?position=218616_at","UCSC")</f>
        <v>UCSC</v>
      </c>
      <c r="E4279" s="1" t="str">
        <f>HYPERLINK("http://www.ncbi.nlm.nih.gov/gene/?term=INTS12","NCBI")</f>
        <v>NCBI</v>
      </c>
      <c r="F4279">
        <v>3.2000000000000001E-2</v>
      </c>
      <c r="G4279">
        <v>0.13</v>
      </c>
      <c r="H4279" s="1" t="str">
        <f>HYPERLINK("http://www.weizmann.ac.il/complex/compphys/software/geview/data/figures/218616_at.png","Figure")</f>
        <v>Figure</v>
      </c>
      <c r="I4279">
        <v>0.60599999999999998</v>
      </c>
      <c r="J4279">
        <v>0.03</v>
      </c>
      <c r="K4279">
        <v>0.73099999999999998</v>
      </c>
      <c r="L4279">
        <v>0.13</v>
      </c>
      <c r="M4279">
        <v>1.21</v>
      </c>
      <c r="N4279">
        <v>0.49</v>
      </c>
    </row>
    <row r="4280" spans="1:14" x14ac:dyDescent="0.25">
      <c r="A4280" t="s">
        <v>7792</v>
      </c>
      <c r="B4280" t="s">
        <v>7793</v>
      </c>
      <c r="C4280" s="1" t="str">
        <f>HYPERLINK("http://www.genecards.org/cgi-bin/carddisp.pl?gene=LIMD1","GeneCards")</f>
        <v>GeneCards</v>
      </c>
      <c r="D4280" s="1" t="str">
        <f>HYPERLINK("http://genome-euro.ucsc.edu/cgi-bin/hgTracks?position=218850_s_at","UCSC")</f>
        <v>UCSC</v>
      </c>
      <c r="E4280" s="1" t="str">
        <f>HYPERLINK("http://www.ncbi.nlm.nih.gov/gene/?term=LIMD1","NCBI")</f>
        <v>NCBI</v>
      </c>
      <c r="F4280">
        <v>3.2000000000000001E-2</v>
      </c>
      <c r="G4280">
        <v>0.13</v>
      </c>
      <c r="H4280" s="1" t="str">
        <f>HYPERLINK("http://www.weizmann.ac.il/complex/compphys/software/geview/data/figures/218850_s_at.png","Figure")</f>
        <v>Figure</v>
      </c>
      <c r="I4280">
        <v>0.77700000000000002</v>
      </c>
      <c r="J4280">
        <v>2.5000000000000001E-2</v>
      </c>
      <c r="K4280">
        <v>0.89400000000000002</v>
      </c>
      <c r="L4280">
        <v>0.31</v>
      </c>
      <c r="M4280">
        <v>1.1499999999999999</v>
      </c>
      <c r="N4280">
        <v>0.21</v>
      </c>
    </row>
    <row r="4281" spans="1:14" x14ac:dyDescent="0.25">
      <c r="A4281" t="s">
        <v>7794</v>
      </c>
      <c r="B4281" t="s">
        <v>7795</v>
      </c>
      <c r="C4281" s="1" t="str">
        <f>HYPERLINK("http://www.genecards.org/cgi-bin/carddisp.pl?gene=SFRS7","GeneCards")</f>
        <v>GeneCards</v>
      </c>
      <c r="D4281" s="1" t="str">
        <f>HYPERLINK("http://genome-euro.ucsc.edu/cgi-bin/hgTracks?position=201129_at","UCSC")</f>
        <v>UCSC</v>
      </c>
      <c r="E4281" s="1" t="str">
        <f>HYPERLINK("http://www.ncbi.nlm.nih.gov/gene/?term=SFRS7","NCBI")</f>
        <v>NCBI</v>
      </c>
      <c r="F4281">
        <v>3.2000000000000001E-2</v>
      </c>
      <c r="G4281">
        <v>0.13</v>
      </c>
      <c r="H4281" s="1" t="str">
        <f>HYPERLINK("http://www.weizmann.ac.il/complex/compphys/software/geview/data/figures/201129_at.png","Figure")</f>
        <v>Figure</v>
      </c>
      <c r="I4281">
        <v>1.91</v>
      </c>
      <c r="J4281">
        <v>4.4999999999999998E-2</v>
      </c>
      <c r="K4281">
        <v>1.69</v>
      </c>
      <c r="L4281">
        <v>6.3E-2</v>
      </c>
      <c r="M4281">
        <v>0.88600000000000001</v>
      </c>
      <c r="N4281">
        <v>0.85</v>
      </c>
    </row>
    <row r="4282" spans="1:14" x14ac:dyDescent="0.25">
      <c r="A4282" t="s">
        <v>7796</v>
      </c>
      <c r="B4282" t="s">
        <v>7797</v>
      </c>
      <c r="C4282" s="1" t="str">
        <f>HYPERLINK("http://www.genecards.org/cgi-bin/carddisp.pl?gene=CCL18","GeneCards")</f>
        <v>GeneCards</v>
      </c>
      <c r="D4282" s="1" t="str">
        <f>HYPERLINK("http://genome-euro.ucsc.edu/cgi-bin/hgTracks?position=209924_at","UCSC")</f>
        <v>UCSC</v>
      </c>
      <c r="E4282" s="1" t="str">
        <f>HYPERLINK("http://www.ncbi.nlm.nih.gov/gene/?term=CCL18","NCBI")</f>
        <v>NCBI</v>
      </c>
      <c r="F4282">
        <v>3.2000000000000001E-2</v>
      </c>
      <c r="G4282">
        <v>0.13</v>
      </c>
      <c r="H4282" s="1" t="str">
        <f>HYPERLINK("http://www.weizmann.ac.il/complex/compphys/software/geview/data/figures/209924_at.png","Figure")</f>
        <v>Figure</v>
      </c>
      <c r="I4282">
        <v>1.19</v>
      </c>
      <c r="J4282">
        <v>2.5000000000000001E-2</v>
      </c>
      <c r="K4282">
        <v>1.08</v>
      </c>
      <c r="L4282">
        <v>0.28999999999999998</v>
      </c>
      <c r="M4282">
        <v>0.91200000000000003</v>
      </c>
      <c r="N4282">
        <v>0.23</v>
      </c>
    </row>
    <row r="4283" spans="1:14" x14ac:dyDescent="0.25">
      <c r="A4283" t="s">
        <v>7798</v>
      </c>
      <c r="B4283" t="s">
        <v>7799</v>
      </c>
      <c r="C4283" s="1" t="str">
        <f>HYPERLINK("http://www.genecards.org/cgi-bin/carddisp.pl?gene=ADO","GeneCards")</f>
        <v>GeneCards</v>
      </c>
      <c r="D4283" s="1" t="str">
        <f>HYPERLINK("http://genome-euro.ucsc.edu/cgi-bin/hgTracks?position=212502_at","UCSC")</f>
        <v>UCSC</v>
      </c>
      <c r="E4283" s="1" t="str">
        <f>HYPERLINK("http://www.ncbi.nlm.nih.gov/gene/?term=ADO","NCBI")</f>
        <v>NCBI</v>
      </c>
      <c r="F4283">
        <v>3.2000000000000001E-2</v>
      </c>
      <c r="G4283">
        <v>0.13</v>
      </c>
      <c r="H4283" s="1" t="str">
        <f>HYPERLINK("http://www.weizmann.ac.il/complex/compphys/software/geview/data/figures/212502_at.png","Figure")</f>
        <v>Figure</v>
      </c>
      <c r="I4283">
        <v>0.51200000000000001</v>
      </c>
      <c r="J4283">
        <v>2.5000000000000001E-2</v>
      </c>
      <c r="K4283">
        <v>0.751</v>
      </c>
      <c r="L4283">
        <v>0.33</v>
      </c>
      <c r="M4283">
        <v>1.47</v>
      </c>
      <c r="N4283">
        <v>0.2</v>
      </c>
    </row>
    <row r="4284" spans="1:14" x14ac:dyDescent="0.25">
      <c r="A4284" t="s">
        <v>7800</v>
      </c>
      <c r="B4284" t="s">
        <v>7801</v>
      </c>
      <c r="C4284" s="1" t="str">
        <f>HYPERLINK("http://www.genecards.org/cgi-bin/carddisp.pl?gene=FLJ20184","GeneCards")</f>
        <v>GeneCards</v>
      </c>
      <c r="D4284" s="1" t="str">
        <f>HYPERLINK("http://genome-euro.ucsc.edu/cgi-bin/hgTracks?position=221119_at","UCSC")</f>
        <v>UCSC</v>
      </c>
      <c r="E4284" s="1" t="str">
        <f>HYPERLINK("http://www.ncbi.nlm.nih.gov/gene/?term=FLJ20184","NCBI")</f>
        <v>NCBI</v>
      </c>
      <c r="F4284">
        <v>3.2000000000000001E-2</v>
      </c>
      <c r="G4284">
        <v>0.13</v>
      </c>
      <c r="H4284" s="1" t="str">
        <f>HYPERLINK("http://www.weizmann.ac.il/complex/compphys/software/geview/data/figures/221119_at.png","Figure")</f>
        <v>Figure</v>
      </c>
      <c r="I4284">
        <v>1.23</v>
      </c>
      <c r="J4284">
        <v>3.9E-2</v>
      </c>
      <c r="K4284">
        <v>1.03</v>
      </c>
      <c r="L4284">
        <v>0.91</v>
      </c>
      <c r="M4284">
        <v>0.83299999999999996</v>
      </c>
      <c r="N4284">
        <v>5.5E-2</v>
      </c>
    </row>
    <row r="4285" spans="1:14" x14ac:dyDescent="0.25">
      <c r="A4285" t="s">
        <v>7802</v>
      </c>
      <c r="B4285" t="s">
        <v>7803</v>
      </c>
      <c r="C4285" s="1" t="str">
        <f>HYPERLINK("http://www.genecards.org/cgi-bin/carddisp.pl?gene=ATN1","GeneCards")</f>
        <v>GeneCards</v>
      </c>
      <c r="D4285" s="1" t="str">
        <f>HYPERLINK("http://genome-euro.ucsc.edu/cgi-bin/hgTracks?position=40489_at","UCSC")</f>
        <v>UCSC</v>
      </c>
      <c r="E4285" s="1" t="str">
        <f>HYPERLINK("http://www.ncbi.nlm.nih.gov/gene/?term=ATN1","NCBI")</f>
        <v>NCBI</v>
      </c>
      <c r="F4285">
        <v>3.2000000000000001E-2</v>
      </c>
      <c r="G4285">
        <v>0.13</v>
      </c>
      <c r="H4285" s="1" t="str">
        <f>HYPERLINK("http://www.weizmann.ac.il/complex/compphys/software/geview/data/figures/40489_at.png","Figure")</f>
        <v>Figure</v>
      </c>
      <c r="I4285">
        <v>1.36</v>
      </c>
      <c r="J4285">
        <v>2.9000000000000001E-2</v>
      </c>
      <c r="K4285">
        <v>1.0900000000000001</v>
      </c>
      <c r="L4285">
        <v>0.64</v>
      </c>
      <c r="M4285">
        <v>0.79900000000000004</v>
      </c>
      <c r="N4285">
        <v>9.2999999999999999E-2</v>
      </c>
    </row>
    <row r="4286" spans="1:14" x14ac:dyDescent="0.25">
      <c r="A4286" t="s">
        <v>7804</v>
      </c>
      <c r="B4286" t="s">
        <v>7805</v>
      </c>
      <c r="C4286" s="1" t="str">
        <f>HYPERLINK("http://www.genecards.org/cgi-bin/carddisp.pl?gene=MAST4","GeneCards")</f>
        <v>GeneCards</v>
      </c>
      <c r="D4286" s="1" t="str">
        <f>HYPERLINK("http://genome-euro.ucsc.edu/cgi-bin/hgTracks?position=40016_g_at","UCSC")</f>
        <v>UCSC</v>
      </c>
      <c r="E4286" s="1" t="str">
        <f>HYPERLINK("http://www.ncbi.nlm.nih.gov/gene/?term=MAST4","NCBI")</f>
        <v>NCBI</v>
      </c>
      <c r="F4286">
        <v>3.2000000000000001E-2</v>
      </c>
      <c r="G4286">
        <v>0.13</v>
      </c>
      <c r="H4286" s="1" t="str">
        <f>HYPERLINK("http://www.weizmann.ac.il/complex/compphys/software/geview/data/figures/40016_g_at.png","Figure")</f>
        <v>Figure</v>
      </c>
      <c r="I4286">
        <v>1.3</v>
      </c>
      <c r="J4286">
        <v>3.1E-2</v>
      </c>
      <c r="K4286">
        <v>1.19</v>
      </c>
      <c r="L4286">
        <v>0.11</v>
      </c>
      <c r="M4286">
        <v>0.91400000000000003</v>
      </c>
      <c r="N4286">
        <v>0.55000000000000004</v>
      </c>
    </row>
    <row r="4287" spans="1:14" x14ac:dyDescent="0.25">
      <c r="A4287" t="s">
        <v>7806</v>
      </c>
      <c r="B4287" t="s">
        <v>7807</v>
      </c>
      <c r="C4287" s="1" t="str">
        <f>HYPERLINK("http://www.genecards.org/cgi-bin/carddisp.pl?gene=UBE3A","GeneCards")</f>
        <v>GeneCards</v>
      </c>
      <c r="D4287" s="1" t="str">
        <f>HYPERLINK("http://genome-euro.ucsc.edu/cgi-bin/hgTracks?position=212278_x_at","UCSC")</f>
        <v>UCSC</v>
      </c>
      <c r="E4287" s="1" t="str">
        <f>HYPERLINK("http://www.ncbi.nlm.nih.gov/gene/?term=UBE3A","NCBI")</f>
        <v>NCBI</v>
      </c>
      <c r="F4287">
        <v>3.2000000000000001E-2</v>
      </c>
      <c r="G4287">
        <v>0.13</v>
      </c>
      <c r="H4287" s="1" t="str">
        <f>HYPERLINK("http://www.weizmann.ac.il/complex/compphys/software/geview/data/figures/212278_x_at.png","Figure")</f>
        <v>Figure</v>
      </c>
      <c r="I4287">
        <v>1.3</v>
      </c>
      <c r="J4287">
        <v>3.1E-2</v>
      </c>
      <c r="K4287">
        <v>1.18</v>
      </c>
      <c r="L4287">
        <v>0.12</v>
      </c>
      <c r="M4287">
        <v>0.91300000000000003</v>
      </c>
      <c r="N4287">
        <v>0.53</v>
      </c>
    </row>
    <row r="4288" spans="1:14" x14ac:dyDescent="0.25">
      <c r="A4288" t="s">
        <v>7808</v>
      </c>
      <c r="B4288" t="s">
        <v>7809</v>
      </c>
      <c r="C4288" s="1" t="str">
        <f>HYPERLINK("http://www.genecards.org/cgi-bin/carddisp.pl?gene=SHB","GeneCards")</f>
        <v>GeneCards</v>
      </c>
      <c r="D4288" s="1" t="str">
        <f>HYPERLINK("http://genome-euro.ucsc.edu/cgi-bin/hgTracks?position=204656_at","UCSC")</f>
        <v>UCSC</v>
      </c>
      <c r="E4288" s="1" t="str">
        <f>HYPERLINK("http://www.ncbi.nlm.nih.gov/gene/?term=SHB","NCBI")</f>
        <v>NCBI</v>
      </c>
      <c r="F4288">
        <v>3.2000000000000001E-2</v>
      </c>
      <c r="G4288">
        <v>0.13</v>
      </c>
      <c r="H4288" s="1" t="str">
        <f>HYPERLINK("http://www.weizmann.ac.il/complex/compphys/software/geview/data/figures/204656_at.png","Figure")</f>
        <v>Figure</v>
      </c>
      <c r="I4288">
        <v>1.33</v>
      </c>
      <c r="J4288">
        <v>2.5999999999999999E-2</v>
      </c>
      <c r="K4288">
        <v>1.1599999999999999</v>
      </c>
      <c r="L4288">
        <v>0.22</v>
      </c>
      <c r="M4288">
        <v>0.871</v>
      </c>
      <c r="N4288">
        <v>0.3</v>
      </c>
    </row>
    <row r="4289" spans="1:14" x14ac:dyDescent="0.25">
      <c r="A4289" t="s">
        <v>7810</v>
      </c>
      <c r="B4289" t="s">
        <v>3731</v>
      </c>
      <c r="C4289" s="1" t="str">
        <f>HYPERLINK("http://www.genecards.org/cgi-bin/carddisp.pl?gene=ASL /// CRCP","GeneCards")</f>
        <v>GeneCards</v>
      </c>
      <c r="D4289" s="1" t="str">
        <f>HYPERLINK("http://genome-euro.ucsc.edu/cgi-bin/hgTracks?position=203898_at","UCSC")</f>
        <v>UCSC</v>
      </c>
      <c r="E4289" s="1" t="str">
        <f>HYPERLINK("http://www.ncbi.nlm.nih.gov/gene/?term=ASL /// CRCP","NCBI")</f>
        <v>NCBI</v>
      </c>
      <c r="F4289">
        <v>3.2000000000000001E-2</v>
      </c>
      <c r="G4289">
        <v>0.13</v>
      </c>
      <c r="H4289" s="1" t="str">
        <f>HYPERLINK("http://www.weizmann.ac.il/complex/compphys/software/geview/data/figures/203898_at.png","Figure")</f>
        <v>Figure</v>
      </c>
      <c r="I4289">
        <v>0.71299999999999997</v>
      </c>
      <c r="J4289">
        <v>3.1E-2</v>
      </c>
      <c r="K4289">
        <v>0.80400000000000005</v>
      </c>
      <c r="L4289">
        <v>0.12</v>
      </c>
      <c r="M4289">
        <v>1.1299999999999999</v>
      </c>
      <c r="N4289">
        <v>0.53</v>
      </c>
    </row>
    <row r="4290" spans="1:14" x14ac:dyDescent="0.25">
      <c r="A4290" t="s">
        <v>7811</v>
      </c>
      <c r="B4290" t="s">
        <v>1179</v>
      </c>
      <c r="C4290" s="1" t="str">
        <f>HYPERLINK("http://www.genecards.org/cgi-bin/carddisp.pl?gene=USO1","GeneCards")</f>
        <v>GeneCards</v>
      </c>
      <c r="D4290" s="1" t="str">
        <f>HYPERLINK("http://genome-euro.ucsc.edu/cgi-bin/hgTracks?position=201832_s_at","UCSC")</f>
        <v>UCSC</v>
      </c>
      <c r="E4290" s="1" t="str">
        <f>HYPERLINK("http://www.ncbi.nlm.nih.gov/gene/?term=USO1","NCBI")</f>
        <v>NCBI</v>
      </c>
      <c r="F4290">
        <v>3.2000000000000001E-2</v>
      </c>
      <c r="G4290">
        <v>0.13</v>
      </c>
      <c r="H4290" s="1" t="str">
        <f>HYPERLINK("http://www.weizmann.ac.il/complex/compphys/software/geview/data/figures/201832_s_at.png","Figure")</f>
        <v>Figure</v>
      </c>
      <c r="I4290">
        <v>0.79700000000000004</v>
      </c>
      <c r="J4290">
        <v>0.69</v>
      </c>
      <c r="K4290">
        <v>1.62</v>
      </c>
      <c r="L4290">
        <v>0.14000000000000001</v>
      </c>
      <c r="M4290">
        <v>2.04</v>
      </c>
      <c r="N4290">
        <v>3.5999999999999997E-2</v>
      </c>
    </row>
    <row r="4291" spans="1:14" x14ac:dyDescent="0.25">
      <c r="A4291" t="s">
        <v>7812</v>
      </c>
      <c r="B4291" t="s">
        <v>7813</v>
      </c>
      <c r="C4291" s="1" t="str">
        <f>HYPERLINK("http://www.genecards.org/cgi-bin/carddisp.pl?gene=RPS21","GeneCards")</f>
        <v>GeneCards</v>
      </c>
      <c r="D4291" s="1" t="str">
        <f>HYPERLINK("http://genome-euro.ucsc.edu/cgi-bin/hgTracks?position=214097_at","UCSC")</f>
        <v>UCSC</v>
      </c>
      <c r="E4291" s="1" t="str">
        <f>HYPERLINK("http://www.ncbi.nlm.nih.gov/gene/?term=RPS21","NCBI")</f>
        <v>NCBI</v>
      </c>
      <c r="F4291">
        <v>3.2000000000000001E-2</v>
      </c>
      <c r="G4291">
        <v>0.13</v>
      </c>
      <c r="H4291" s="1" t="str">
        <f>HYPERLINK("http://www.weizmann.ac.il/complex/compphys/software/geview/data/figures/214097_at.png","Figure")</f>
        <v>Figure</v>
      </c>
      <c r="I4291">
        <v>1.56</v>
      </c>
      <c r="J4291">
        <v>5.2999999999999999E-2</v>
      </c>
      <c r="K4291">
        <v>1.47</v>
      </c>
      <c r="L4291">
        <v>5.1999999999999998E-2</v>
      </c>
      <c r="M4291">
        <v>0.94599999999999995</v>
      </c>
      <c r="N4291">
        <v>0.94</v>
      </c>
    </row>
    <row r="4292" spans="1:14" x14ac:dyDescent="0.25">
      <c r="A4292" t="s">
        <v>7814</v>
      </c>
      <c r="B4292" t="s">
        <v>4010</v>
      </c>
      <c r="C4292" s="1" t="str">
        <f>HYPERLINK("http://www.genecards.org/cgi-bin/carddisp.pl?gene=CALML4","GeneCards")</f>
        <v>GeneCards</v>
      </c>
      <c r="D4292" s="1" t="str">
        <f>HYPERLINK("http://genome-euro.ucsc.edu/cgi-bin/hgTracks?position=64408_s_at","UCSC")</f>
        <v>UCSC</v>
      </c>
      <c r="E4292" s="1" t="str">
        <f>HYPERLINK("http://www.ncbi.nlm.nih.gov/gene/?term=CALML4","NCBI")</f>
        <v>NCBI</v>
      </c>
      <c r="F4292">
        <v>3.2000000000000001E-2</v>
      </c>
      <c r="G4292">
        <v>0.13</v>
      </c>
      <c r="H4292" s="1" t="str">
        <f>HYPERLINK("http://www.weizmann.ac.il/complex/compphys/software/geview/data/figures/64408_s_at.png","Figure")</f>
        <v>Figure</v>
      </c>
      <c r="I4292">
        <v>0.97399999999999998</v>
      </c>
      <c r="J4292">
        <v>5.5E-2</v>
      </c>
      <c r="K4292">
        <v>1</v>
      </c>
      <c r="L4292">
        <v>1</v>
      </c>
      <c r="M4292">
        <v>1.03</v>
      </c>
      <c r="N4292">
        <v>0.04</v>
      </c>
    </row>
    <row r="4293" spans="1:14" x14ac:dyDescent="0.25">
      <c r="A4293" t="s">
        <v>7815</v>
      </c>
      <c r="B4293" t="s">
        <v>7816</v>
      </c>
      <c r="C4293" s="1" t="str">
        <f>HYPERLINK("http://www.genecards.org/cgi-bin/carddisp.pl?gene=CCRK","GeneCards")</f>
        <v>GeneCards</v>
      </c>
      <c r="D4293" s="1" t="str">
        <f>HYPERLINK("http://genome-euro.ucsc.edu/cgi-bin/hgTracks?position=205271_s_at","UCSC")</f>
        <v>UCSC</v>
      </c>
      <c r="E4293" s="1" t="str">
        <f>HYPERLINK("http://www.ncbi.nlm.nih.gov/gene/?term=CCRK","NCBI")</f>
        <v>NCBI</v>
      </c>
      <c r="F4293">
        <v>3.3000000000000002E-2</v>
      </c>
      <c r="G4293">
        <v>0.13</v>
      </c>
      <c r="H4293" s="1" t="str">
        <f>HYPERLINK("http://www.weizmann.ac.il/complex/compphys/software/geview/data/figures/205271_s_at.png","Figure")</f>
        <v>Figure</v>
      </c>
      <c r="I4293">
        <v>1.22</v>
      </c>
      <c r="J4293">
        <v>2.5999999999999999E-2</v>
      </c>
      <c r="K4293">
        <v>1.08</v>
      </c>
      <c r="L4293">
        <v>0.44</v>
      </c>
      <c r="M4293">
        <v>0.88200000000000001</v>
      </c>
      <c r="N4293">
        <v>0.15</v>
      </c>
    </row>
    <row r="4294" spans="1:14" x14ac:dyDescent="0.25">
      <c r="A4294" t="s">
        <v>7817</v>
      </c>
      <c r="B4294" t="s">
        <v>2664</v>
      </c>
      <c r="C4294" s="1" t="str">
        <f>HYPERLINK("http://www.genecards.org/cgi-bin/carddisp.pl?gene=DTX3","GeneCards")</f>
        <v>GeneCards</v>
      </c>
      <c r="D4294" s="1" t="str">
        <f>HYPERLINK("http://genome-euro.ucsc.edu/cgi-bin/hgTracks?position=222022_at","UCSC")</f>
        <v>UCSC</v>
      </c>
      <c r="E4294" s="1" t="str">
        <f>HYPERLINK("http://www.ncbi.nlm.nih.gov/gene/?term=DTX3","NCBI")</f>
        <v>NCBI</v>
      </c>
      <c r="F4294">
        <v>3.3000000000000002E-2</v>
      </c>
      <c r="G4294">
        <v>0.13</v>
      </c>
      <c r="H4294" s="1" t="str">
        <f>HYPERLINK("http://www.weizmann.ac.il/complex/compphys/software/geview/data/figures/222022_at.png","Figure")</f>
        <v>Figure</v>
      </c>
      <c r="I4294">
        <v>1.1299999999999999</v>
      </c>
      <c r="J4294">
        <v>0.21</v>
      </c>
      <c r="K4294">
        <v>0.93400000000000005</v>
      </c>
      <c r="L4294">
        <v>0.5</v>
      </c>
      <c r="M4294">
        <v>0.82699999999999996</v>
      </c>
      <c r="N4294">
        <v>2.5999999999999999E-2</v>
      </c>
    </row>
    <row r="4295" spans="1:14" x14ac:dyDescent="0.25">
      <c r="A4295" t="s">
        <v>7818</v>
      </c>
      <c r="B4295" t="s">
        <v>7819</v>
      </c>
      <c r="C4295" s="1" t="str">
        <f>HYPERLINK("http://www.genecards.org/cgi-bin/carddisp.pl?gene=PCTK3","GeneCards")</f>
        <v>GeneCards</v>
      </c>
      <c r="D4295" s="1" t="str">
        <f>HYPERLINK("http://genome-euro.ucsc.edu/cgi-bin/hgTracks?position=214797_s_at","UCSC")</f>
        <v>UCSC</v>
      </c>
      <c r="E4295" s="1" t="str">
        <f>HYPERLINK("http://www.ncbi.nlm.nih.gov/gene/?term=PCTK3","NCBI")</f>
        <v>NCBI</v>
      </c>
      <c r="F4295">
        <v>3.3000000000000002E-2</v>
      </c>
      <c r="G4295">
        <v>0.13</v>
      </c>
      <c r="H4295" s="1" t="str">
        <f>HYPERLINK("http://www.weizmann.ac.il/complex/compphys/software/geview/data/figures/214797_s_at.png","Figure")</f>
        <v>Figure</v>
      </c>
      <c r="I4295">
        <v>1.1200000000000001</v>
      </c>
      <c r="J4295">
        <v>0.43</v>
      </c>
      <c r="K4295">
        <v>1.25</v>
      </c>
      <c r="L4295">
        <v>2.5999999999999999E-2</v>
      </c>
      <c r="M4295">
        <v>1.1200000000000001</v>
      </c>
      <c r="N4295">
        <v>0.36</v>
      </c>
    </row>
    <row r="4296" spans="1:14" x14ac:dyDescent="0.25">
      <c r="A4296" t="s">
        <v>7820</v>
      </c>
      <c r="B4296" t="s">
        <v>6412</v>
      </c>
      <c r="C4296" s="1" t="str">
        <f>HYPERLINK("http://www.genecards.org/cgi-bin/carddisp.pl?gene=TNPO2","GeneCards")</f>
        <v>GeneCards</v>
      </c>
      <c r="D4296" s="1" t="str">
        <f>HYPERLINK("http://genome-euro.ucsc.edu/cgi-bin/hgTracks?position=215844_at","UCSC")</f>
        <v>UCSC</v>
      </c>
      <c r="E4296" s="1" t="str">
        <f>HYPERLINK("http://www.ncbi.nlm.nih.gov/gene/?term=TNPO2","NCBI")</f>
        <v>NCBI</v>
      </c>
      <c r="F4296">
        <v>3.3000000000000002E-2</v>
      </c>
      <c r="G4296">
        <v>0.13</v>
      </c>
      <c r="H4296" s="1" t="str">
        <f>HYPERLINK("http://www.weizmann.ac.il/complex/compphys/software/geview/data/figures/215844_at.png","Figure")</f>
        <v>Figure</v>
      </c>
      <c r="I4296">
        <v>1.46</v>
      </c>
      <c r="J4296">
        <v>3.1E-2</v>
      </c>
      <c r="K4296">
        <v>1.27</v>
      </c>
      <c r="L4296">
        <v>0.13</v>
      </c>
      <c r="M4296">
        <v>0.872</v>
      </c>
      <c r="N4296">
        <v>0.51</v>
      </c>
    </row>
    <row r="4297" spans="1:14" x14ac:dyDescent="0.25">
      <c r="A4297" t="s">
        <v>7821</v>
      </c>
      <c r="B4297" t="s">
        <v>7822</v>
      </c>
      <c r="C4297" s="1" t="str">
        <f>HYPERLINK("http://www.genecards.org/cgi-bin/carddisp.pl?gene=OSBP","GeneCards")</f>
        <v>GeneCards</v>
      </c>
      <c r="D4297" s="1" t="str">
        <f>HYPERLINK("http://genome-euro.ucsc.edu/cgi-bin/hgTracks?position=201799_s_at","UCSC")</f>
        <v>UCSC</v>
      </c>
      <c r="E4297" s="1" t="str">
        <f>HYPERLINK("http://www.ncbi.nlm.nih.gov/gene/?term=OSBP","NCBI")</f>
        <v>NCBI</v>
      </c>
      <c r="F4297">
        <v>3.3000000000000002E-2</v>
      </c>
      <c r="G4297">
        <v>0.13</v>
      </c>
      <c r="H4297" s="1" t="str">
        <f>HYPERLINK("http://www.weizmann.ac.il/complex/compphys/software/geview/data/figures/201799_s_at.png","Figure")</f>
        <v>Figure</v>
      </c>
      <c r="I4297">
        <v>1.29</v>
      </c>
      <c r="J4297">
        <v>0.34</v>
      </c>
      <c r="K4297">
        <v>0.79600000000000004</v>
      </c>
      <c r="L4297">
        <v>0.32</v>
      </c>
      <c r="M4297">
        <v>0.61799999999999999</v>
      </c>
      <c r="N4297">
        <v>2.7E-2</v>
      </c>
    </row>
    <row r="4298" spans="1:14" x14ac:dyDescent="0.25">
      <c r="A4298" t="s">
        <v>7823</v>
      </c>
      <c r="B4298" t="s">
        <v>7824</v>
      </c>
      <c r="C4298" s="1" t="str">
        <f>HYPERLINK("http://www.genecards.org/cgi-bin/carddisp.pl?gene=HSPC157","GeneCards")</f>
        <v>GeneCards</v>
      </c>
      <c r="D4298" s="1" t="str">
        <f>HYPERLINK("http://genome-euro.ucsc.edu/cgi-bin/hgTracks?position=219865_at","UCSC")</f>
        <v>UCSC</v>
      </c>
      <c r="E4298" s="1" t="str">
        <f>HYPERLINK("http://www.ncbi.nlm.nih.gov/gene/?term=HSPC157","NCBI")</f>
        <v>NCBI</v>
      </c>
      <c r="F4298">
        <v>3.3000000000000002E-2</v>
      </c>
      <c r="G4298">
        <v>0.13</v>
      </c>
      <c r="H4298" s="1" t="str">
        <f>HYPERLINK("http://www.weizmann.ac.il/complex/compphys/software/geview/data/figures/219865_at.png","Figure")</f>
        <v>Figure</v>
      </c>
      <c r="I4298">
        <v>0.82699999999999996</v>
      </c>
      <c r="J4298">
        <v>2.9000000000000001E-2</v>
      </c>
      <c r="K4298">
        <v>0.94799999999999995</v>
      </c>
      <c r="L4298">
        <v>0.62</v>
      </c>
      <c r="M4298">
        <v>1.1499999999999999</v>
      </c>
      <c r="N4298">
        <v>9.8000000000000004E-2</v>
      </c>
    </row>
    <row r="4299" spans="1:14" x14ac:dyDescent="0.25">
      <c r="A4299" t="s">
        <v>7825</v>
      </c>
      <c r="B4299" t="s">
        <v>7826</v>
      </c>
      <c r="C4299" s="1" t="str">
        <f>HYPERLINK("http://www.genecards.org/cgi-bin/carddisp.pl?gene=FLJ11710","GeneCards")</f>
        <v>GeneCards</v>
      </c>
      <c r="D4299" s="1" t="str">
        <f>HYPERLINK("http://genome-euro.ucsc.edu/cgi-bin/hgTracks?position=220529_at","UCSC")</f>
        <v>UCSC</v>
      </c>
      <c r="E4299" s="1" t="str">
        <f>HYPERLINK("http://www.ncbi.nlm.nih.gov/gene/?term=FLJ11710","NCBI")</f>
        <v>NCBI</v>
      </c>
      <c r="F4299">
        <v>3.3000000000000002E-2</v>
      </c>
      <c r="G4299">
        <v>0.13</v>
      </c>
      <c r="H4299" s="1" t="str">
        <f>HYPERLINK("http://www.weizmann.ac.il/complex/compphys/software/geview/data/figures/220529_at.png","Figure")</f>
        <v>Figure</v>
      </c>
      <c r="I4299">
        <v>1.42</v>
      </c>
      <c r="J4299">
        <v>0.04</v>
      </c>
      <c r="K4299">
        <v>1.31</v>
      </c>
      <c r="L4299">
        <v>7.4999999999999997E-2</v>
      </c>
      <c r="M4299">
        <v>0.92</v>
      </c>
      <c r="N4299">
        <v>0.77</v>
      </c>
    </row>
    <row r="4300" spans="1:14" x14ac:dyDescent="0.25">
      <c r="A4300" t="s">
        <v>7827</v>
      </c>
      <c r="B4300" t="s">
        <v>7828</v>
      </c>
      <c r="C4300" s="1" t="str">
        <f>HYPERLINK("http://www.genecards.org/cgi-bin/carddisp.pl?gene=PRDM2","GeneCards")</f>
        <v>GeneCards</v>
      </c>
      <c r="D4300" s="1" t="str">
        <f>HYPERLINK("http://genome-euro.ucsc.edu/cgi-bin/hgTracks?position=203056_s_at","UCSC")</f>
        <v>UCSC</v>
      </c>
      <c r="E4300" s="1" t="str">
        <f>HYPERLINK("http://www.ncbi.nlm.nih.gov/gene/?term=PRDM2","NCBI")</f>
        <v>NCBI</v>
      </c>
      <c r="F4300">
        <v>3.3000000000000002E-2</v>
      </c>
      <c r="G4300">
        <v>0.13</v>
      </c>
      <c r="H4300" s="1" t="str">
        <f>HYPERLINK("http://www.weizmann.ac.il/complex/compphys/software/geview/data/figures/203056_s_at.png","Figure")</f>
        <v>Figure</v>
      </c>
      <c r="I4300">
        <v>1.44</v>
      </c>
      <c r="J4300">
        <v>0.67</v>
      </c>
      <c r="K4300">
        <v>0.48</v>
      </c>
      <c r="L4300">
        <v>0.15</v>
      </c>
      <c r="M4300">
        <v>0.33400000000000002</v>
      </c>
      <c r="N4300">
        <v>3.5999999999999997E-2</v>
      </c>
    </row>
    <row r="4301" spans="1:14" x14ac:dyDescent="0.25">
      <c r="A4301" t="s">
        <v>7829</v>
      </c>
      <c r="B4301" t="s">
        <v>7830</v>
      </c>
      <c r="C4301" s="1" t="str">
        <f>HYPERLINK("http://www.genecards.org/cgi-bin/carddisp.pl?gene=DGCR2","GeneCards")</f>
        <v>GeneCards</v>
      </c>
      <c r="D4301" s="1" t="str">
        <f>HYPERLINK("http://genome-euro.ucsc.edu/cgi-bin/hgTracks?position=202099_s_at","UCSC")</f>
        <v>UCSC</v>
      </c>
      <c r="E4301" s="1" t="str">
        <f>HYPERLINK("http://www.ncbi.nlm.nih.gov/gene/?term=DGCR2","NCBI")</f>
        <v>NCBI</v>
      </c>
      <c r="F4301">
        <v>3.3000000000000002E-2</v>
      </c>
      <c r="G4301">
        <v>0.13</v>
      </c>
      <c r="H4301" s="1" t="str">
        <f>HYPERLINK("http://www.weizmann.ac.il/complex/compphys/software/geview/data/figures/202099_s_at.png","Figure")</f>
        <v>Figure</v>
      </c>
      <c r="I4301">
        <v>1.22</v>
      </c>
      <c r="J4301">
        <v>3.4000000000000002E-2</v>
      </c>
      <c r="K4301">
        <v>1.04</v>
      </c>
      <c r="L4301">
        <v>0.8</v>
      </c>
      <c r="M4301">
        <v>0.85499999999999998</v>
      </c>
      <c r="N4301">
        <v>7.0000000000000007E-2</v>
      </c>
    </row>
    <row r="4302" spans="1:14" x14ac:dyDescent="0.25">
      <c r="A4302" t="s">
        <v>7831</v>
      </c>
      <c r="B4302" t="s">
        <v>7832</v>
      </c>
      <c r="C4302" s="1" t="str">
        <f>HYPERLINK("http://www.genecards.org/cgi-bin/carddisp.pl?gene=EIF4B","GeneCards")</f>
        <v>GeneCards</v>
      </c>
      <c r="D4302" s="1" t="str">
        <f>HYPERLINK("http://genome-euro.ucsc.edu/cgi-bin/hgTracks?position=211937_at","UCSC")</f>
        <v>UCSC</v>
      </c>
      <c r="E4302" s="1" t="str">
        <f>HYPERLINK("http://www.ncbi.nlm.nih.gov/gene/?term=EIF4B","NCBI")</f>
        <v>NCBI</v>
      </c>
      <c r="F4302">
        <v>3.3000000000000002E-2</v>
      </c>
      <c r="G4302">
        <v>0.13</v>
      </c>
      <c r="H4302" s="1" t="str">
        <f>HYPERLINK("http://www.weizmann.ac.il/complex/compphys/software/geview/data/figures/211937_at.png","Figure")</f>
        <v>Figure</v>
      </c>
      <c r="I4302">
        <v>1.74</v>
      </c>
      <c r="J4302">
        <v>4.4999999999999998E-2</v>
      </c>
      <c r="K4302">
        <v>1.57</v>
      </c>
      <c r="L4302">
        <v>6.5000000000000002E-2</v>
      </c>
      <c r="M4302">
        <v>0.89800000000000002</v>
      </c>
      <c r="N4302">
        <v>0.84</v>
      </c>
    </row>
    <row r="4303" spans="1:14" x14ac:dyDescent="0.25">
      <c r="A4303" t="s">
        <v>7833</v>
      </c>
      <c r="B4303" t="s">
        <v>7834</v>
      </c>
      <c r="C4303" s="1" t="str">
        <f>HYPERLINK("http://www.genecards.org/cgi-bin/carddisp.pl?gene=RAB7A","GeneCards")</f>
        <v>GeneCards</v>
      </c>
      <c r="D4303" s="1" t="str">
        <f>HYPERLINK("http://genome-euro.ucsc.edu/cgi-bin/hgTracks?position=211961_s_at","UCSC")</f>
        <v>UCSC</v>
      </c>
      <c r="E4303" s="1" t="str">
        <f>HYPERLINK("http://www.ncbi.nlm.nih.gov/gene/?term=RAB7A","NCBI")</f>
        <v>NCBI</v>
      </c>
      <c r="F4303">
        <v>3.3000000000000002E-2</v>
      </c>
      <c r="G4303">
        <v>0.13</v>
      </c>
      <c r="H4303" s="1" t="str">
        <f>HYPERLINK("http://www.weizmann.ac.il/complex/compphys/software/geview/data/figures/211961_s_at.png","Figure")</f>
        <v>Figure</v>
      </c>
      <c r="I4303">
        <v>0.62</v>
      </c>
      <c r="J4303">
        <v>0.13</v>
      </c>
      <c r="K4303">
        <v>1.1599999999999999</v>
      </c>
      <c r="L4303">
        <v>0.73</v>
      </c>
      <c r="M4303">
        <v>1.88</v>
      </c>
      <c r="N4303">
        <v>2.7E-2</v>
      </c>
    </row>
    <row r="4304" spans="1:14" x14ac:dyDescent="0.25">
      <c r="A4304" t="s">
        <v>7835</v>
      </c>
      <c r="B4304" t="s">
        <v>7836</v>
      </c>
      <c r="C4304" s="1" t="str">
        <f>HYPERLINK("http://www.genecards.org/cgi-bin/carddisp.pl?gene=CROCC","GeneCards")</f>
        <v>GeneCards</v>
      </c>
      <c r="D4304" s="1" t="str">
        <f>HYPERLINK("http://genome-euro.ucsc.edu/cgi-bin/hgTracks?position=216419_at","UCSC")</f>
        <v>UCSC</v>
      </c>
      <c r="E4304" s="1" t="str">
        <f>HYPERLINK("http://www.ncbi.nlm.nih.gov/gene/?term=CROCC","NCBI")</f>
        <v>NCBI</v>
      </c>
      <c r="F4304">
        <v>3.3000000000000002E-2</v>
      </c>
      <c r="G4304">
        <v>0.13</v>
      </c>
      <c r="H4304" s="1" t="str">
        <f>HYPERLINK("http://www.weizmann.ac.il/complex/compphys/software/geview/data/figures/216419_at.png","Figure")</f>
        <v>Figure</v>
      </c>
      <c r="I4304">
        <v>1.27</v>
      </c>
      <c r="J4304">
        <v>3.5999999999999997E-2</v>
      </c>
      <c r="K4304">
        <v>1.04</v>
      </c>
      <c r="L4304">
        <v>0.83</v>
      </c>
      <c r="M4304">
        <v>0.82299999999999995</v>
      </c>
      <c r="N4304">
        <v>6.6000000000000003E-2</v>
      </c>
    </row>
    <row r="4305" spans="1:14" x14ac:dyDescent="0.25">
      <c r="A4305" t="s">
        <v>7837</v>
      </c>
      <c r="B4305" t="s">
        <v>7838</v>
      </c>
      <c r="C4305" s="1" t="str">
        <f>HYPERLINK("http://www.genecards.org/cgi-bin/carddisp.pl?gene=TULP3","GeneCards")</f>
        <v>GeneCards</v>
      </c>
      <c r="D4305" s="1" t="str">
        <f>HYPERLINK("http://genome-euro.ucsc.edu/cgi-bin/hgTracks?position=221964_at","UCSC")</f>
        <v>UCSC</v>
      </c>
      <c r="E4305" s="1" t="str">
        <f>HYPERLINK("http://www.ncbi.nlm.nih.gov/gene/?term=TULP3","NCBI")</f>
        <v>NCBI</v>
      </c>
      <c r="F4305">
        <v>3.3000000000000002E-2</v>
      </c>
      <c r="G4305">
        <v>0.13</v>
      </c>
      <c r="H4305" s="1" t="str">
        <f>HYPERLINK("http://www.weizmann.ac.il/complex/compphys/software/geview/data/figures/221964_at.png","Figure")</f>
        <v>Figure</v>
      </c>
      <c r="I4305">
        <v>1.17</v>
      </c>
      <c r="J4305">
        <v>3.3000000000000002E-2</v>
      </c>
      <c r="K4305">
        <v>1.1100000000000001</v>
      </c>
      <c r="L4305">
        <v>0.11</v>
      </c>
      <c r="M4305">
        <v>0.95</v>
      </c>
      <c r="N4305">
        <v>0.59</v>
      </c>
    </row>
    <row r="4306" spans="1:14" x14ac:dyDescent="0.25">
      <c r="A4306" t="s">
        <v>7839</v>
      </c>
      <c r="B4306" t="s">
        <v>7840</v>
      </c>
      <c r="C4306" s="1" t="str">
        <f>HYPERLINK("http://www.genecards.org/cgi-bin/carddisp.pl?gene=VLDLR","GeneCards")</f>
        <v>GeneCards</v>
      </c>
      <c r="D4306" s="1" t="str">
        <f>HYPERLINK("http://genome-euro.ucsc.edu/cgi-bin/hgTracks?position=209822_s_at","UCSC")</f>
        <v>UCSC</v>
      </c>
      <c r="E4306" s="1" t="str">
        <f>HYPERLINK("http://www.ncbi.nlm.nih.gov/gene/?term=VLDLR","NCBI")</f>
        <v>NCBI</v>
      </c>
      <c r="F4306">
        <v>3.3000000000000002E-2</v>
      </c>
      <c r="G4306">
        <v>0.13</v>
      </c>
      <c r="H4306" s="1" t="str">
        <f>HYPERLINK("http://www.weizmann.ac.il/complex/compphys/software/geview/data/figures/209822_s_at.png","Figure")</f>
        <v>Figure</v>
      </c>
      <c r="I4306">
        <v>0.67800000000000005</v>
      </c>
      <c r="J4306">
        <v>5.6000000000000001E-2</v>
      </c>
      <c r="K4306">
        <v>1</v>
      </c>
      <c r="L4306">
        <v>1</v>
      </c>
      <c r="M4306">
        <v>1.47</v>
      </c>
      <c r="N4306">
        <v>0.04</v>
      </c>
    </row>
    <row r="4307" spans="1:14" x14ac:dyDescent="0.25">
      <c r="A4307" t="s">
        <v>7841</v>
      </c>
      <c r="B4307" t="s">
        <v>7596</v>
      </c>
      <c r="C4307" s="1" t="str">
        <f>HYPERLINK("http://www.genecards.org/cgi-bin/carddisp.pl?gene=TMEM189-UBE2V1 /// UBE2V1","GeneCards")</f>
        <v>GeneCards</v>
      </c>
      <c r="D4307" s="1" t="str">
        <f>HYPERLINK("http://genome-euro.ucsc.edu/cgi-bin/hgTracks?position=201002_s_at","UCSC")</f>
        <v>UCSC</v>
      </c>
      <c r="E4307" s="1" t="str">
        <f>HYPERLINK("http://www.ncbi.nlm.nih.gov/gene/?term=TMEM189-UBE2V1 /// UBE2V1","NCBI")</f>
        <v>NCBI</v>
      </c>
      <c r="F4307">
        <v>3.3000000000000002E-2</v>
      </c>
      <c r="G4307">
        <v>0.13</v>
      </c>
      <c r="H4307" s="1" t="str">
        <f>HYPERLINK("http://www.weizmann.ac.il/complex/compphys/software/geview/data/figures/201002_s_at.png","Figure")</f>
        <v>Figure</v>
      </c>
      <c r="I4307">
        <v>0.69</v>
      </c>
      <c r="J4307">
        <v>8.5999999999999993E-2</v>
      </c>
      <c r="K4307">
        <v>1.06</v>
      </c>
      <c r="L4307">
        <v>0.9</v>
      </c>
      <c r="M4307">
        <v>1.54</v>
      </c>
      <c r="N4307">
        <v>3.1E-2</v>
      </c>
    </row>
    <row r="4308" spans="1:14" x14ac:dyDescent="0.25">
      <c r="A4308" t="s">
        <v>7842</v>
      </c>
      <c r="B4308" t="s">
        <v>7843</v>
      </c>
      <c r="C4308" s="1" t="str">
        <f>HYPERLINK("http://www.genecards.org/cgi-bin/carddisp.pl?gene=NCAPH2","GeneCards")</f>
        <v>GeneCards</v>
      </c>
      <c r="D4308" s="1" t="str">
        <f>HYPERLINK("http://genome-euro.ucsc.edu/cgi-bin/hgTracks?position=209718_at","UCSC")</f>
        <v>UCSC</v>
      </c>
      <c r="E4308" s="1" t="str">
        <f>HYPERLINK("http://www.ncbi.nlm.nih.gov/gene/?term=NCAPH2","NCBI")</f>
        <v>NCBI</v>
      </c>
      <c r="F4308">
        <v>3.3000000000000002E-2</v>
      </c>
      <c r="G4308">
        <v>0.13</v>
      </c>
      <c r="H4308" s="1" t="str">
        <f>HYPERLINK("http://www.weizmann.ac.il/complex/compphys/software/geview/data/figures/209718_at.png","Figure")</f>
        <v>Figure</v>
      </c>
      <c r="I4308">
        <v>1.41</v>
      </c>
      <c r="J4308">
        <v>3.5999999999999997E-2</v>
      </c>
      <c r="K4308">
        <v>1.06</v>
      </c>
      <c r="L4308">
        <v>0.83</v>
      </c>
      <c r="M4308">
        <v>0.75600000000000001</v>
      </c>
      <c r="N4308">
        <v>6.6000000000000003E-2</v>
      </c>
    </row>
    <row r="4309" spans="1:14" x14ac:dyDescent="0.25">
      <c r="A4309" t="s">
        <v>7844</v>
      </c>
      <c r="B4309" t="s">
        <v>7845</v>
      </c>
      <c r="C4309" s="1" t="str">
        <f>HYPERLINK("http://www.genecards.org/cgi-bin/carddisp.pl?gene=ZNF8","GeneCards")</f>
        <v>GeneCards</v>
      </c>
      <c r="D4309" s="1" t="str">
        <f>HYPERLINK("http://genome-euro.ucsc.edu/cgi-bin/hgTracks?position=214901_at","UCSC")</f>
        <v>UCSC</v>
      </c>
      <c r="E4309" s="1" t="str">
        <f>HYPERLINK("http://www.ncbi.nlm.nih.gov/gene/?term=ZNF8","NCBI")</f>
        <v>NCBI</v>
      </c>
      <c r="F4309">
        <v>3.3000000000000002E-2</v>
      </c>
      <c r="G4309">
        <v>0.13</v>
      </c>
      <c r="H4309" s="1" t="str">
        <f>HYPERLINK("http://www.weizmann.ac.il/complex/compphys/software/geview/data/figures/214901_at.png","Figure")</f>
        <v>Figure</v>
      </c>
      <c r="I4309">
        <v>1.1499999999999999</v>
      </c>
      <c r="J4309">
        <v>0.6</v>
      </c>
      <c r="K4309">
        <v>0.78600000000000003</v>
      </c>
      <c r="L4309">
        <v>0.17</v>
      </c>
      <c r="M4309">
        <v>0.68300000000000005</v>
      </c>
      <c r="N4309">
        <v>3.3000000000000002E-2</v>
      </c>
    </row>
    <row r="4310" spans="1:14" x14ac:dyDescent="0.25">
      <c r="A4310" t="s">
        <v>7846</v>
      </c>
      <c r="B4310" t="s">
        <v>7847</v>
      </c>
      <c r="C4310" s="1" t="str">
        <f>HYPERLINK("http://www.genecards.org/cgi-bin/carddisp.pl?gene=A4GNT","GeneCards")</f>
        <v>GeneCards</v>
      </c>
      <c r="D4310" s="1" t="str">
        <f>HYPERLINK("http://genome-euro.ucsc.edu/cgi-bin/hgTracks?position=221131_at","UCSC")</f>
        <v>UCSC</v>
      </c>
      <c r="E4310" s="1" t="str">
        <f>HYPERLINK("http://www.ncbi.nlm.nih.gov/gene/?term=A4GNT","NCBI")</f>
        <v>NCBI</v>
      </c>
      <c r="F4310">
        <v>3.3000000000000002E-2</v>
      </c>
      <c r="G4310">
        <v>0.13</v>
      </c>
      <c r="H4310" s="1" t="str">
        <f>HYPERLINK("http://www.weizmann.ac.il/complex/compphys/software/geview/data/figures/221131_at.png","Figure")</f>
        <v>Figure</v>
      </c>
      <c r="I4310">
        <v>1.29</v>
      </c>
      <c r="J4310">
        <v>2.8000000000000001E-2</v>
      </c>
      <c r="K4310">
        <v>1.1599999999999999</v>
      </c>
      <c r="L4310">
        <v>0.17</v>
      </c>
      <c r="M4310">
        <v>0.89600000000000002</v>
      </c>
      <c r="N4310">
        <v>0.38</v>
      </c>
    </row>
    <row r="4311" spans="1:14" x14ac:dyDescent="0.25">
      <c r="A4311" t="s">
        <v>7848</v>
      </c>
      <c r="B4311" t="s">
        <v>7849</v>
      </c>
      <c r="C4311" s="1" t="str">
        <f>HYPERLINK("http://www.genecards.org/cgi-bin/carddisp.pl?gene=GAST","GeneCards")</f>
        <v>GeneCards</v>
      </c>
      <c r="D4311" s="1" t="str">
        <f>HYPERLINK("http://genome-euro.ucsc.edu/cgi-bin/hgTracks?position=208138_at","UCSC")</f>
        <v>UCSC</v>
      </c>
      <c r="E4311" s="1" t="str">
        <f>HYPERLINK("http://www.ncbi.nlm.nih.gov/gene/?term=GAST","NCBI")</f>
        <v>NCBI</v>
      </c>
      <c r="F4311">
        <v>3.3000000000000002E-2</v>
      </c>
      <c r="G4311">
        <v>0.13</v>
      </c>
      <c r="H4311" s="1" t="str">
        <f>HYPERLINK("http://www.weizmann.ac.il/complex/compphys/software/geview/data/figures/208138_at.png","Figure")</f>
        <v>Figure</v>
      </c>
      <c r="I4311">
        <v>1.1499999999999999</v>
      </c>
      <c r="J4311">
        <v>6.5000000000000002E-2</v>
      </c>
      <c r="K4311">
        <v>1.1499999999999999</v>
      </c>
      <c r="L4311">
        <v>4.4999999999999998E-2</v>
      </c>
      <c r="M4311">
        <v>0.99199999999999999</v>
      </c>
      <c r="N4311">
        <v>0.99</v>
      </c>
    </row>
    <row r="4312" spans="1:14" x14ac:dyDescent="0.25">
      <c r="A4312" t="s">
        <v>7850</v>
      </c>
      <c r="B4312" t="s">
        <v>7851</v>
      </c>
      <c r="C4312" s="1" t="str">
        <f>HYPERLINK("http://www.genecards.org/cgi-bin/carddisp.pl?gene=KCNC1","GeneCards")</f>
        <v>GeneCards</v>
      </c>
      <c r="D4312" s="1" t="str">
        <f>HYPERLINK("http://genome-euro.ucsc.edu/cgi-bin/hgTracks?position=208477_at","UCSC")</f>
        <v>UCSC</v>
      </c>
      <c r="E4312" s="1" t="str">
        <f>HYPERLINK("http://www.ncbi.nlm.nih.gov/gene/?term=KCNC1","NCBI")</f>
        <v>NCBI</v>
      </c>
      <c r="F4312">
        <v>3.3000000000000002E-2</v>
      </c>
      <c r="G4312">
        <v>0.13</v>
      </c>
      <c r="H4312" s="1" t="str">
        <f>HYPERLINK("http://www.weizmann.ac.il/complex/compphys/software/geview/data/figures/208477_at.png","Figure")</f>
        <v>Figure</v>
      </c>
      <c r="I4312">
        <v>1.19</v>
      </c>
      <c r="J4312">
        <v>8.8999999999999996E-2</v>
      </c>
      <c r="K4312">
        <v>1.2</v>
      </c>
      <c r="L4312">
        <v>3.5999999999999997E-2</v>
      </c>
      <c r="M4312">
        <v>1.01</v>
      </c>
      <c r="N4312">
        <v>0.99</v>
      </c>
    </row>
    <row r="4313" spans="1:14" x14ac:dyDescent="0.25">
      <c r="A4313" t="s">
        <v>7852</v>
      </c>
      <c r="B4313" t="s">
        <v>7853</v>
      </c>
      <c r="C4313" s="1" t="str">
        <f>HYPERLINK("http://www.genecards.org/cgi-bin/carddisp.pl?gene=TNXB","GeneCards")</f>
        <v>GeneCards</v>
      </c>
      <c r="D4313" s="1" t="str">
        <f>HYPERLINK("http://genome-euro.ucsc.edu/cgi-bin/hgTracks?position=216654_at","UCSC")</f>
        <v>UCSC</v>
      </c>
      <c r="E4313" s="1" t="str">
        <f>HYPERLINK("http://www.ncbi.nlm.nih.gov/gene/?term=TNXB","NCBI")</f>
        <v>NCBI</v>
      </c>
      <c r="F4313">
        <v>3.3000000000000002E-2</v>
      </c>
      <c r="G4313">
        <v>0.13</v>
      </c>
      <c r="H4313" s="1" t="str">
        <f>HYPERLINK("http://www.weizmann.ac.il/complex/compphys/software/geview/data/figures/216654_at.png","Figure")</f>
        <v>Figure</v>
      </c>
      <c r="I4313">
        <v>1.25</v>
      </c>
      <c r="J4313">
        <v>2.5999999999999999E-2</v>
      </c>
      <c r="K4313">
        <v>1.1100000000000001</v>
      </c>
      <c r="L4313">
        <v>0.28000000000000003</v>
      </c>
      <c r="M4313">
        <v>0.88700000000000001</v>
      </c>
      <c r="N4313">
        <v>0.24</v>
      </c>
    </row>
    <row r="4314" spans="1:14" x14ac:dyDescent="0.25">
      <c r="A4314" t="s">
        <v>7854</v>
      </c>
      <c r="B4314" t="s">
        <v>7855</v>
      </c>
      <c r="C4314" s="1" t="str">
        <f>HYPERLINK("http://www.genecards.org/cgi-bin/carddisp.pl?gene=UQCRH","GeneCards")</f>
        <v>GeneCards</v>
      </c>
      <c r="D4314" s="1" t="str">
        <f>HYPERLINK("http://genome-euro.ucsc.edu/cgi-bin/hgTracks?position=202233_s_at","UCSC")</f>
        <v>UCSC</v>
      </c>
      <c r="E4314" s="1" t="str">
        <f>HYPERLINK("http://www.ncbi.nlm.nih.gov/gene/?term=UQCRH","NCBI")</f>
        <v>NCBI</v>
      </c>
      <c r="F4314">
        <v>3.3000000000000002E-2</v>
      </c>
      <c r="G4314">
        <v>0.13</v>
      </c>
      <c r="H4314" s="1" t="str">
        <f>HYPERLINK("http://www.weizmann.ac.il/complex/compphys/software/geview/data/figures/202233_s_at.png","Figure")</f>
        <v>Figure</v>
      </c>
      <c r="I4314">
        <v>1.37</v>
      </c>
      <c r="J4314">
        <v>0.41</v>
      </c>
      <c r="K4314">
        <v>1.87</v>
      </c>
      <c r="L4314">
        <v>2.5999999999999999E-2</v>
      </c>
      <c r="M4314">
        <v>1.36</v>
      </c>
      <c r="N4314">
        <v>0.38</v>
      </c>
    </row>
    <row r="4315" spans="1:14" x14ac:dyDescent="0.25">
      <c r="A4315" t="s">
        <v>7856</v>
      </c>
      <c r="B4315" t="s">
        <v>7857</v>
      </c>
      <c r="C4315" s="1" t="str">
        <f>HYPERLINK("http://www.genecards.org/cgi-bin/carddisp.pl?gene=TBX2","GeneCards")</f>
        <v>GeneCards</v>
      </c>
      <c r="D4315" s="1" t="str">
        <f>HYPERLINK("http://genome-euro.ucsc.edu/cgi-bin/hgTracks?position=205993_s_at","UCSC")</f>
        <v>UCSC</v>
      </c>
      <c r="E4315" s="1" t="str">
        <f>HYPERLINK("http://www.ncbi.nlm.nih.gov/gene/?term=TBX2","NCBI")</f>
        <v>NCBI</v>
      </c>
      <c r="F4315">
        <v>3.3000000000000002E-2</v>
      </c>
      <c r="G4315">
        <v>0.13</v>
      </c>
      <c r="H4315" s="1" t="str">
        <f>HYPERLINK("http://www.weizmann.ac.il/complex/compphys/software/geview/data/figures/205993_s_at.png","Figure")</f>
        <v>Figure</v>
      </c>
      <c r="I4315">
        <v>1.26</v>
      </c>
      <c r="J4315">
        <v>3.1E-2</v>
      </c>
      <c r="K4315">
        <v>1.1599999999999999</v>
      </c>
      <c r="L4315">
        <v>0.12</v>
      </c>
      <c r="M4315">
        <v>0.92100000000000004</v>
      </c>
      <c r="N4315">
        <v>0.52</v>
      </c>
    </row>
    <row r="4316" spans="1:14" x14ac:dyDescent="0.25">
      <c r="A4316" t="s">
        <v>7858</v>
      </c>
      <c r="B4316" t="s">
        <v>7859</v>
      </c>
      <c r="C4316" s="1" t="str">
        <f>HYPERLINK("http://www.genecards.org/cgi-bin/carddisp.pl?gene=ADH5","GeneCards")</f>
        <v>GeneCards</v>
      </c>
      <c r="D4316" s="1" t="str">
        <f>HYPERLINK("http://genome-euro.ucsc.edu/cgi-bin/hgTracks?position=208848_at","UCSC")</f>
        <v>UCSC</v>
      </c>
      <c r="E4316" s="1" t="str">
        <f>HYPERLINK("http://www.ncbi.nlm.nih.gov/gene/?term=ADH5","NCBI")</f>
        <v>NCBI</v>
      </c>
      <c r="F4316">
        <v>3.3000000000000002E-2</v>
      </c>
      <c r="G4316">
        <v>0.13</v>
      </c>
      <c r="H4316" s="1" t="str">
        <f>HYPERLINK("http://www.weizmann.ac.il/complex/compphys/software/geview/data/figures/208848_at.png","Figure")</f>
        <v>Figure</v>
      </c>
      <c r="I4316">
        <v>0.499</v>
      </c>
      <c r="J4316">
        <v>7.5999999999999998E-2</v>
      </c>
      <c r="K4316">
        <v>1.08</v>
      </c>
      <c r="L4316">
        <v>0.95</v>
      </c>
      <c r="M4316">
        <v>2.17</v>
      </c>
      <c r="N4316">
        <v>3.3000000000000002E-2</v>
      </c>
    </row>
    <row r="4317" spans="1:14" x14ac:dyDescent="0.25">
      <c r="A4317" t="s">
        <v>7860</v>
      </c>
      <c r="B4317" t="s">
        <v>1593</v>
      </c>
      <c r="C4317" s="1" t="str">
        <f>HYPERLINK("http://www.genecards.org/cgi-bin/carddisp.pl?gene=TRIP11","GeneCards")</f>
        <v>GeneCards</v>
      </c>
      <c r="D4317" s="1" t="str">
        <f>HYPERLINK("http://genome-euro.ucsc.edu/cgi-bin/hgTracks?position=210760_x_at","UCSC")</f>
        <v>UCSC</v>
      </c>
      <c r="E4317" s="1" t="str">
        <f>HYPERLINK("http://www.ncbi.nlm.nih.gov/gene/?term=TRIP11","NCBI")</f>
        <v>NCBI</v>
      </c>
      <c r="F4317">
        <v>3.3000000000000002E-2</v>
      </c>
      <c r="G4317">
        <v>0.13</v>
      </c>
      <c r="H4317" s="1" t="str">
        <f>HYPERLINK("http://www.weizmann.ac.il/complex/compphys/software/geview/data/figures/210760_x_at.png","Figure")</f>
        <v>Figure</v>
      </c>
      <c r="I4317">
        <v>0.94899999999999995</v>
      </c>
      <c r="J4317">
        <v>0.81</v>
      </c>
      <c r="K4317">
        <v>0.81100000000000005</v>
      </c>
      <c r="L4317">
        <v>3.5000000000000003E-2</v>
      </c>
      <c r="M4317">
        <v>0.85499999999999998</v>
      </c>
      <c r="N4317">
        <v>0.15</v>
      </c>
    </row>
    <row r="4318" spans="1:14" x14ac:dyDescent="0.25">
      <c r="A4318" t="s">
        <v>7861</v>
      </c>
      <c r="B4318" t="s">
        <v>7862</v>
      </c>
      <c r="C4318" s="1" t="str">
        <f>HYPERLINK("http://www.genecards.org/cgi-bin/carddisp.pl?gene=TCTN3","GeneCards")</f>
        <v>GeneCards</v>
      </c>
      <c r="D4318" s="1" t="str">
        <f>HYPERLINK("http://genome-euro.ucsc.edu/cgi-bin/hgTracks?position=212121_at","UCSC")</f>
        <v>UCSC</v>
      </c>
      <c r="E4318" s="1" t="str">
        <f>HYPERLINK("http://www.ncbi.nlm.nih.gov/gene/?term=TCTN3","NCBI")</f>
        <v>NCBI</v>
      </c>
      <c r="F4318">
        <v>3.3000000000000002E-2</v>
      </c>
      <c r="G4318">
        <v>0.13</v>
      </c>
      <c r="H4318" s="1" t="str">
        <f>HYPERLINK("http://www.weizmann.ac.il/complex/compphys/software/geview/data/figures/212121_at.png","Figure")</f>
        <v>Figure</v>
      </c>
      <c r="I4318">
        <v>0.76600000000000001</v>
      </c>
      <c r="J4318">
        <v>4.2999999999999997E-2</v>
      </c>
      <c r="K4318">
        <v>0.97499999999999998</v>
      </c>
      <c r="L4318">
        <v>0.95</v>
      </c>
      <c r="M4318">
        <v>1.27</v>
      </c>
      <c r="N4318">
        <v>5.0999999999999997E-2</v>
      </c>
    </row>
    <row r="4319" spans="1:14" x14ac:dyDescent="0.25">
      <c r="A4319" t="s">
        <v>7863</v>
      </c>
      <c r="B4319" t="s">
        <v>7864</v>
      </c>
      <c r="C4319" s="1" t="str">
        <f>HYPERLINK("http://www.genecards.org/cgi-bin/carddisp.pl?gene=CHRNA10","GeneCards")</f>
        <v>GeneCards</v>
      </c>
      <c r="D4319" s="1" t="str">
        <f>HYPERLINK("http://genome-euro.ucsc.edu/cgi-bin/hgTracks?position=220210_at","UCSC")</f>
        <v>UCSC</v>
      </c>
      <c r="E4319" s="1" t="str">
        <f>HYPERLINK("http://www.ncbi.nlm.nih.gov/gene/?term=CHRNA10","NCBI")</f>
        <v>NCBI</v>
      </c>
      <c r="F4319">
        <v>3.3000000000000002E-2</v>
      </c>
      <c r="G4319">
        <v>0.13</v>
      </c>
      <c r="H4319" s="1" t="str">
        <f>HYPERLINK("http://www.weizmann.ac.il/complex/compphys/software/geview/data/figures/220210_at.png","Figure")</f>
        <v>Figure</v>
      </c>
      <c r="I4319">
        <v>1.17</v>
      </c>
      <c r="J4319">
        <v>2.7E-2</v>
      </c>
      <c r="K4319">
        <v>1.0900000000000001</v>
      </c>
      <c r="L4319">
        <v>0.19</v>
      </c>
      <c r="M4319">
        <v>0.93</v>
      </c>
      <c r="N4319">
        <v>0.35</v>
      </c>
    </row>
    <row r="4320" spans="1:14" x14ac:dyDescent="0.25">
      <c r="A4320" t="s">
        <v>7865</v>
      </c>
      <c r="B4320" t="s">
        <v>3535</v>
      </c>
      <c r="C4320" s="1" t="str">
        <f>HYPERLINK("http://www.genecards.org/cgi-bin/carddisp.pl?gene=TSPAN4","GeneCards")</f>
        <v>GeneCards</v>
      </c>
      <c r="D4320" s="1" t="str">
        <f>HYPERLINK("http://genome-euro.ucsc.edu/cgi-bin/hgTracks?position=209263_x_at","UCSC")</f>
        <v>UCSC</v>
      </c>
      <c r="E4320" s="1" t="str">
        <f>HYPERLINK("http://www.ncbi.nlm.nih.gov/gene/?term=TSPAN4","NCBI")</f>
        <v>NCBI</v>
      </c>
      <c r="F4320">
        <v>3.3000000000000002E-2</v>
      </c>
      <c r="G4320">
        <v>0.13</v>
      </c>
      <c r="H4320" s="1" t="str">
        <f>HYPERLINK("http://www.weizmann.ac.il/complex/compphys/software/geview/data/figures/209263_x_at.png","Figure")</f>
        <v>Figure</v>
      </c>
      <c r="I4320">
        <v>1.27</v>
      </c>
      <c r="J4320">
        <v>9.4E-2</v>
      </c>
      <c r="K4320">
        <v>1.3</v>
      </c>
      <c r="L4320">
        <v>3.5000000000000003E-2</v>
      </c>
      <c r="M4320">
        <v>1.02</v>
      </c>
      <c r="N4320">
        <v>0.98</v>
      </c>
    </row>
    <row r="4321" spans="1:14" x14ac:dyDescent="0.25">
      <c r="A4321" t="s">
        <v>7866</v>
      </c>
      <c r="B4321" t="s">
        <v>7867</v>
      </c>
      <c r="C4321" s="1" t="str">
        <f>HYPERLINK("http://www.genecards.org/cgi-bin/carddisp.pl?gene=EML3","GeneCards")</f>
        <v>GeneCards</v>
      </c>
      <c r="D4321" s="1" t="str">
        <f>HYPERLINK("http://genome-euro.ucsc.edu/cgi-bin/hgTracks?position=203442_x_at","UCSC")</f>
        <v>UCSC</v>
      </c>
      <c r="E4321" s="1" t="str">
        <f>HYPERLINK("http://www.ncbi.nlm.nih.gov/gene/?term=EML3","NCBI")</f>
        <v>NCBI</v>
      </c>
      <c r="F4321">
        <v>3.3000000000000002E-2</v>
      </c>
      <c r="G4321">
        <v>0.13</v>
      </c>
      <c r="H4321" s="1" t="str">
        <f>HYPERLINK("http://www.weizmann.ac.il/complex/compphys/software/geview/data/figures/203442_x_at.png","Figure")</f>
        <v>Figure</v>
      </c>
      <c r="I4321">
        <v>1.3</v>
      </c>
      <c r="J4321">
        <v>2.5999999999999999E-2</v>
      </c>
      <c r="K4321">
        <v>1.1100000000000001</v>
      </c>
      <c r="L4321">
        <v>0.36</v>
      </c>
      <c r="M4321">
        <v>0.85799999999999998</v>
      </c>
      <c r="N4321">
        <v>0.18</v>
      </c>
    </row>
    <row r="4322" spans="1:14" x14ac:dyDescent="0.25">
      <c r="A4322" t="s">
        <v>7868</v>
      </c>
      <c r="B4322" t="s">
        <v>7869</v>
      </c>
      <c r="C4322" s="1" t="str">
        <f>HYPERLINK("http://www.genecards.org/cgi-bin/carddisp.pl?gene=IER5","GeneCards")</f>
        <v>GeneCards</v>
      </c>
      <c r="D4322" s="1" t="str">
        <f>HYPERLINK("http://genome-euro.ucsc.edu/cgi-bin/hgTracks?position=218611_at","UCSC")</f>
        <v>UCSC</v>
      </c>
      <c r="E4322" s="1" t="str">
        <f>HYPERLINK("http://www.ncbi.nlm.nih.gov/gene/?term=IER5","NCBI")</f>
        <v>NCBI</v>
      </c>
      <c r="F4322">
        <v>3.3000000000000002E-2</v>
      </c>
      <c r="G4322">
        <v>0.13</v>
      </c>
      <c r="H4322" s="1" t="str">
        <f>HYPERLINK("http://www.weizmann.ac.il/complex/compphys/software/geview/data/figures/218611_at.png","Figure")</f>
        <v>Figure</v>
      </c>
      <c r="I4322">
        <v>0.35499999999999998</v>
      </c>
      <c r="J4322">
        <v>2.5999999999999999E-2</v>
      </c>
      <c r="K4322">
        <v>0.61599999999999999</v>
      </c>
      <c r="L4322">
        <v>0.28000000000000003</v>
      </c>
      <c r="M4322">
        <v>1.74</v>
      </c>
      <c r="N4322">
        <v>0.24</v>
      </c>
    </row>
    <row r="4323" spans="1:14" x14ac:dyDescent="0.25">
      <c r="A4323" t="s">
        <v>7870</v>
      </c>
      <c r="B4323" t="s">
        <v>7871</v>
      </c>
      <c r="C4323" s="1" t="str">
        <f>HYPERLINK("http://www.genecards.org/cgi-bin/carddisp.pl?gene=C20orf29","GeneCards")</f>
        <v>GeneCards</v>
      </c>
      <c r="D4323" s="1" t="str">
        <f>HYPERLINK("http://genome-euro.ucsc.edu/cgi-bin/hgTracks?position=219706_at","UCSC")</f>
        <v>UCSC</v>
      </c>
      <c r="E4323" s="1" t="str">
        <f>HYPERLINK("http://www.ncbi.nlm.nih.gov/gene/?term=C20orf29","NCBI")</f>
        <v>NCBI</v>
      </c>
      <c r="F4323">
        <v>3.3000000000000002E-2</v>
      </c>
      <c r="G4323">
        <v>0.13</v>
      </c>
      <c r="H4323" s="1" t="str">
        <f>HYPERLINK("http://www.weizmann.ac.il/complex/compphys/software/geview/data/figures/219706_at.png","Figure")</f>
        <v>Figure</v>
      </c>
      <c r="I4323">
        <v>1.18</v>
      </c>
      <c r="J4323">
        <v>0.08</v>
      </c>
      <c r="K4323">
        <v>0.97799999999999998</v>
      </c>
      <c r="L4323">
        <v>0.93</v>
      </c>
      <c r="M4323">
        <v>0.82799999999999996</v>
      </c>
      <c r="N4323">
        <v>3.2000000000000001E-2</v>
      </c>
    </row>
    <row r="4324" spans="1:14" x14ac:dyDescent="0.25">
      <c r="A4324" t="s">
        <v>7872</v>
      </c>
      <c r="B4324" t="s">
        <v>7873</v>
      </c>
      <c r="C4324" s="1" t="str">
        <f>HYPERLINK("http://www.genecards.org/cgi-bin/carddisp.pl?gene=BDH2","GeneCards")</f>
        <v>GeneCards</v>
      </c>
      <c r="D4324" s="1" t="str">
        <f>HYPERLINK("http://genome-euro.ucsc.edu/cgi-bin/hgTracks?position=218285_s_at","UCSC")</f>
        <v>UCSC</v>
      </c>
      <c r="E4324" s="1" t="str">
        <f>HYPERLINK("http://www.ncbi.nlm.nih.gov/gene/?term=BDH2","NCBI")</f>
        <v>NCBI</v>
      </c>
      <c r="F4324">
        <v>3.3000000000000002E-2</v>
      </c>
      <c r="G4324">
        <v>0.13</v>
      </c>
      <c r="H4324" s="1" t="str">
        <f>HYPERLINK("http://www.weizmann.ac.il/complex/compphys/software/geview/data/figures/218285_s_at.png","Figure")</f>
        <v>Figure</v>
      </c>
      <c r="I4324">
        <v>0.70599999999999996</v>
      </c>
      <c r="J4324">
        <v>0.04</v>
      </c>
      <c r="K4324">
        <v>0.95399999999999996</v>
      </c>
      <c r="L4324">
        <v>0.9</v>
      </c>
      <c r="M4324">
        <v>1.35</v>
      </c>
      <c r="N4324">
        <v>5.7000000000000002E-2</v>
      </c>
    </row>
    <row r="4325" spans="1:14" x14ac:dyDescent="0.25">
      <c r="A4325" t="s">
        <v>7874</v>
      </c>
      <c r="B4325" t="s">
        <v>7875</v>
      </c>
      <c r="C4325" s="1" t="str">
        <f>HYPERLINK("http://www.genecards.org/cgi-bin/carddisp.pl?gene=C21orf96","GeneCards")</f>
        <v>GeneCards</v>
      </c>
      <c r="D4325" s="1" t="str">
        <f>HYPERLINK("http://genome-euro.ucsc.edu/cgi-bin/hgTracks?position=220918_at","UCSC")</f>
        <v>UCSC</v>
      </c>
      <c r="E4325" s="1" t="str">
        <f>HYPERLINK("http://www.ncbi.nlm.nih.gov/gene/?term=C21orf96","NCBI")</f>
        <v>NCBI</v>
      </c>
      <c r="F4325">
        <v>3.3000000000000002E-2</v>
      </c>
      <c r="G4325">
        <v>0.13</v>
      </c>
      <c r="H4325" s="1" t="str">
        <f>HYPERLINK("http://www.weizmann.ac.il/complex/compphys/software/geview/data/figures/220918_at.png","Figure")</f>
        <v>Figure</v>
      </c>
      <c r="I4325">
        <v>1.1399999999999999</v>
      </c>
      <c r="J4325">
        <v>0.87</v>
      </c>
      <c r="K4325">
        <v>1.92</v>
      </c>
      <c r="L4325">
        <v>3.7999999999999999E-2</v>
      </c>
      <c r="M4325">
        <v>1.68</v>
      </c>
      <c r="N4325">
        <v>0.13</v>
      </c>
    </row>
    <row r="4326" spans="1:14" x14ac:dyDescent="0.25">
      <c r="A4326" t="s">
        <v>7876</v>
      </c>
      <c r="B4326" t="s">
        <v>7877</v>
      </c>
      <c r="C4326" s="1" t="str">
        <f>HYPERLINK("http://www.genecards.org/cgi-bin/carddisp.pl?gene=SLC30A3","GeneCards")</f>
        <v>GeneCards</v>
      </c>
      <c r="D4326" s="1" t="str">
        <f>HYPERLINK("http://genome-euro.ucsc.edu/cgi-bin/hgTracks?position=207035_at","UCSC")</f>
        <v>UCSC</v>
      </c>
      <c r="E4326" s="1" t="str">
        <f>HYPERLINK("http://www.ncbi.nlm.nih.gov/gene/?term=SLC30A3","NCBI")</f>
        <v>NCBI</v>
      </c>
      <c r="F4326">
        <v>3.3000000000000002E-2</v>
      </c>
      <c r="G4326">
        <v>0.13</v>
      </c>
      <c r="H4326" s="1" t="str">
        <f>HYPERLINK("http://www.weizmann.ac.il/complex/compphys/software/geview/data/figures/207035_at.png","Figure")</f>
        <v>Figure</v>
      </c>
      <c r="I4326">
        <v>1.39</v>
      </c>
      <c r="J4326">
        <v>0.05</v>
      </c>
      <c r="K4326">
        <v>1.01</v>
      </c>
      <c r="L4326">
        <v>0.99</v>
      </c>
      <c r="M4326">
        <v>0.73099999999999998</v>
      </c>
      <c r="N4326">
        <v>4.4999999999999998E-2</v>
      </c>
    </row>
    <row r="4327" spans="1:14" x14ac:dyDescent="0.25">
      <c r="A4327" t="s">
        <v>7878</v>
      </c>
      <c r="B4327" t="s">
        <v>7040</v>
      </c>
      <c r="C4327" s="1" t="str">
        <f>HYPERLINK("http://www.genecards.org/cgi-bin/carddisp.pl?gene=D4S234E","GeneCards")</f>
        <v>GeneCards</v>
      </c>
      <c r="D4327" s="1" t="str">
        <f>HYPERLINK("http://genome-euro.ucsc.edu/cgi-bin/hgTracks?position=209570_s_at","UCSC")</f>
        <v>UCSC</v>
      </c>
      <c r="E4327" s="1" t="str">
        <f>HYPERLINK("http://www.ncbi.nlm.nih.gov/gene/?term=D4S234E","NCBI")</f>
        <v>NCBI</v>
      </c>
      <c r="F4327">
        <v>3.3000000000000002E-2</v>
      </c>
      <c r="G4327">
        <v>0.13</v>
      </c>
      <c r="H4327" s="1" t="str">
        <f>HYPERLINK("http://www.weizmann.ac.il/complex/compphys/software/geview/data/figures/209570_s_at.png","Figure")</f>
        <v>Figure</v>
      </c>
      <c r="I4327">
        <v>1.75</v>
      </c>
      <c r="J4327">
        <v>0.18</v>
      </c>
      <c r="K4327">
        <v>2.14</v>
      </c>
      <c r="L4327">
        <v>2.8000000000000001E-2</v>
      </c>
      <c r="M4327">
        <v>1.22</v>
      </c>
      <c r="N4327">
        <v>0.76</v>
      </c>
    </row>
    <row r="4328" spans="1:14" x14ac:dyDescent="0.25">
      <c r="A4328" t="s">
        <v>7879</v>
      </c>
      <c r="B4328" t="s">
        <v>7880</v>
      </c>
      <c r="C4328" s="1" t="str">
        <f>HYPERLINK("http://www.genecards.org/cgi-bin/carddisp.pl?gene=SCP2","GeneCards")</f>
        <v>GeneCards</v>
      </c>
      <c r="D4328" s="1" t="str">
        <f>HYPERLINK("http://genome-euro.ucsc.edu/cgi-bin/hgTracks?position=201339_s_at","UCSC")</f>
        <v>UCSC</v>
      </c>
      <c r="E4328" s="1" t="str">
        <f>HYPERLINK("http://www.ncbi.nlm.nih.gov/gene/?term=SCP2","NCBI")</f>
        <v>NCBI</v>
      </c>
      <c r="F4328">
        <v>3.3000000000000002E-2</v>
      </c>
      <c r="G4328">
        <v>0.13</v>
      </c>
      <c r="H4328" s="1" t="str">
        <f>HYPERLINK("http://www.weizmann.ac.il/complex/compphys/software/geview/data/figures/201339_s_at.png","Figure")</f>
        <v>Figure</v>
      </c>
      <c r="I4328">
        <v>0.95399999999999996</v>
      </c>
      <c r="J4328">
        <v>0.97</v>
      </c>
      <c r="K4328">
        <v>1.52</v>
      </c>
      <c r="L4328">
        <v>7.0999999999999994E-2</v>
      </c>
      <c r="M4328">
        <v>1.6</v>
      </c>
      <c r="N4328">
        <v>0.06</v>
      </c>
    </row>
    <row r="4329" spans="1:14" x14ac:dyDescent="0.25">
      <c r="A4329" t="s">
        <v>7881</v>
      </c>
      <c r="B4329" t="s">
        <v>7882</v>
      </c>
      <c r="C4329" s="1" t="str">
        <f>HYPERLINK("http://www.genecards.org/cgi-bin/carddisp.pl?gene=CCDC99","GeneCards")</f>
        <v>GeneCards</v>
      </c>
      <c r="D4329" s="1" t="str">
        <f>HYPERLINK("http://genome-euro.ucsc.edu/cgi-bin/hgTracks?position=221685_s_at","UCSC")</f>
        <v>UCSC</v>
      </c>
      <c r="E4329" s="1" t="str">
        <f>HYPERLINK("http://www.ncbi.nlm.nih.gov/gene/?term=CCDC99","NCBI")</f>
        <v>NCBI</v>
      </c>
      <c r="F4329">
        <v>3.3000000000000002E-2</v>
      </c>
      <c r="G4329">
        <v>0.13</v>
      </c>
      <c r="H4329" s="1" t="str">
        <f>HYPERLINK("http://www.weizmann.ac.il/complex/compphys/software/geview/data/figures/221685_s_at.png","Figure")</f>
        <v>Figure</v>
      </c>
      <c r="I4329">
        <v>0.67500000000000004</v>
      </c>
      <c r="J4329">
        <v>9.5000000000000001E-2</v>
      </c>
      <c r="K4329">
        <v>1.08</v>
      </c>
      <c r="L4329">
        <v>0.87</v>
      </c>
      <c r="M4329">
        <v>1.6</v>
      </c>
      <c r="N4329">
        <v>0.03</v>
      </c>
    </row>
    <row r="4330" spans="1:14" x14ac:dyDescent="0.25">
      <c r="A4330" t="s">
        <v>7883</v>
      </c>
      <c r="B4330" t="s">
        <v>7884</v>
      </c>
      <c r="C4330" s="1" t="str">
        <f>HYPERLINK("http://www.genecards.org/cgi-bin/carddisp.pl?gene=USP9X","GeneCards")</f>
        <v>GeneCards</v>
      </c>
      <c r="D4330" s="1" t="str">
        <f>HYPERLINK("http://genome-euro.ucsc.edu/cgi-bin/hgTracks?position=201100_s_at","UCSC")</f>
        <v>UCSC</v>
      </c>
      <c r="E4330" s="1" t="str">
        <f>HYPERLINK("http://www.ncbi.nlm.nih.gov/gene/?term=USP9X","NCBI")</f>
        <v>NCBI</v>
      </c>
      <c r="F4330">
        <v>3.3000000000000002E-2</v>
      </c>
      <c r="G4330">
        <v>0.13</v>
      </c>
      <c r="H4330" s="1" t="str">
        <f>HYPERLINK("http://www.weizmann.ac.il/complex/compphys/software/geview/data/figures/201100_s_at.png","Figure")</f>
        <v>Figure</v>
      </c>
      <c r="I4330">
        <v>0.70599999999999996</v>
      </c>
      <c r="J4330">
        <v>0.13</v>
      </c>
      <c r="K4330">
        <v>1.1200000000000001</v>
      </c>
      <c r="L4330">
        <v>0.73</v>
      </c>
      <c r="M4330">
        <v>1.58</v>
      </c>
      <c r="N4330">
        <v>2.8000000000000001E-2</v>
      </c>
    </row>
    <row r="4331" spans="1:14" x14ac:dyDescent="0.25">
      <c r="A4331" t="s">
        <v>7885</v>
      </c>
      <c r="B4331" t="s">
        <v>7886</v>
      </c>
      <c r="C4331" s="1" t="str">
        <f>HYPERLINK("http://www.genecards.org/cgi-bin/carddisp.pl?gene=KRT1","GeneCards")</f>
        <v>GeneCards</v>
      </c>
      <c r="D4331" s="1" t="str">
        <f>HYPERLINK("http://genome-euro.ucsc.edu/cgi-bin/hgTracks?position=205900_at","UCSC")</f>
        <v>UCSC</v>
      </c>
      <c r="E4331" s="1" t="str">
        <f>HYPERLINK("http://www.ncbi.nlm.nih.gov/gene/?term=KRT1","NCBI")</f>
        <v>NCBI</v>
      </c>
      <c r="F4331">
        <v>3.3000000000000002E-2</v>
      </c>
      <c r="G4331">
        <v>0.13</v>
      </c>
      <c r="H4331" s="1" t="str">
        <f>HYPERLINK("http://www.weizmann.ac.il/complex/compphys/software/geview/data/figures/205900_at.png","Figure")</f>
        <v>Figure</v>
      </c>
      <c r="I4331">
        <v>1.19</v>
      </c>
      <c r="J4331">
        <v>0.11</v>
      </c>
      <c r="K4331">
        <v>0.95599999999999996</v>
      </c>
      <c r="L4331">
        <v>0.8</v>
      </c>
      <c r="M4331">
        <v>0.80300000000000005</v>
      </c>
      <c r="N4331">
        <v>2.9000000000000001E-2</v>
      </c>
    </row>
    <row r="4332" spans="1:14" x14ac:dyDescent="0.25">
      <c r="A4332" t="s">
        <v>7887</v>
      </c>
      <c r="B4332" s="3">
        <v>42621</v>
      </c>
      <c r="C4332" s="1" t="str">
        <f>HYPERLINK("http://www.genecards.org/cgi-bin/carddisp.pl?gene=8-Sep","GeneCards")</f>
        <v>GeneCards</v>
      </c>
      <c r="D4332" s="1" t="str">
        <f>HYPERLINK("http://genome-euro.ucsc.edu/cgi-bin/hgTracks?position=209000_s_at","UCSC")</f>
        <v>UCSC</v>
      </c>
      <c r="E4332" s="1" t="str">
        <f>HYPERLINK("http://www.ncbi.nlm.nih.gov/gene/?term=8-Sep","NCBI")</f>
        <v>NCBI</v>
      </c>
      <c r="F4332">
        <v>3.3000000000000002E-2</v>
      </c>
      <c r="G4332">
        <v>0.13</v>
      </c>
      <c r="H4332" s="1" t="str">
        <f>HYPERLINK("http://www.weizmann.ac.il/complex/compphys/software/geview/data/figures/209000_s_at.png","Figure")</f>
        <v>Figure</v>
      </c>
      <c r="I4332">
        <v>1.1299999999999999</v>
      </c>
      <c r="J4332">
        <v>5.0999999999999997E-2</v>
      </c>
      <c r="K4332">
        <v>1</v>
      </c>
      <c r="L4332">
        <v>0.99</v>
      </c>
      <c r="M4332">
        <v>0.88600000000000001</v>
      </c>
      <c r="N4332">
        <v>4.3999999999999997E-2</v>
      </c>
    </row>
    <row r="4333" spans="1:14" x14ac:dyDescent="0.25">
      <c r="A4333" t="s">
        <v>7888</v>
      </c>
      <c r="B4333" t="s">
        <v>6632</v>
      </c>
      <c r="C4333" s="1" t="str">
        <f>HYPERLINK("http://www.genecards.org/cgi-bin/carddisp.pl?gene=TGFA","GeneCards")</f>
        <v>GeneCards</v>
      </c>
      <c r="D4333" s="1" t="str">
        <f>HYPERLINK("http://genome-euro.ucsc.edu/cgi-bin/hgTracks?position=211258_s_at","UCSC")</f>
        <v>UCSC</v>
      </c>
      <c r="E4333" s="1" t="str">
        <f>HYPERLINK("http://www.ncbi.nlm.nih.gov/gene/?term=TGFA","NCBI")</f>
        <v>NCBI</v>
      </c>
      <c r="F4333">
        <v>3.3000000000000002E-2</v>
      </c>
      <c r="G4333">
        <v>0.13</v>
      </c>
      <c r="H4333" s="1" t="str">
        <f>HYPERLINK("http://www.weizmann.ac.il/complex/compphys/software/geview/data/figures/211258_s_at.png","Figure")</f>
        <v>Figure</v>
      </c>
      <c r="I4333">
        <v>1.4</v>
      </c>
      <c r="J4333">
        <v>3.3000000000000002E-2</v>
      </c>
      <c r="K4333">
        <v>1.08</v>
      </c>
      <c r="L4333">
        <v>0.75</v>
      </c>
      <c r="M4333">
        <v>0.76900000000000002</v>
      </c>
      <c r="N4333">
        <v>7.9000000000000001E-2</v>
      </c>
    </row>
    <row r="4334" spans="1:14" x14ac:dyDescent="0.25">
      <c r="A4334" t="s">
        <v>7889</v>
      </c>
      <c r="B4334" t="s">
        <v>7890</v>
      </c>
      <c r="C4334" s="1" t="str">
        <f>HYPERLINK("http://www.genecards.org/cgi-bin/carddisp.pl?gene=TLL2","GeneCards")</f>
        <v>GeneCards</v>
      </c>
      <c r="D4334" s="1" t="str">
        <f>HYPERLINK("http://genome-euro.ucsc.edu/cgi-bin/hgTracks?position=215843_s_at","UCSC")</f>
        <v>UCSC</v>
      </c>
      <c r="E4334" s="1" t="str">
        <f>HYPERLINK("http://www.ncbi.nlm.nih.gov/gene/?term=TLL2","NCBI")</f>
        <v>NCBI</v>
      </c>
      <c r="F4334">
        <v>3.3000000000000002E-2</v>
      </c>
      <c r="G4334">
        <v>0.13</v>
      </c>
      <c r="H4334" s="1" t="str">
        <f>HYPERLINK("http://www.weizmann.ac.il/complex/compphys/software/geview/data/figures/215843_s_at.png","Figure")</f>
        <v>Figure</v>
      </c>
      <c r="I4334">
        <v>1.0900000000000001</v>
      </c>
      <c r="J4334">
        <v>0.67</v>
      </c>
      <c r="K4334">
        <v>0.84599999999999997</v>
      </c>
      <c r="L4334">
        <v>0.15</v>
      </c>
      <c r="M4334">
        <v>0.77900000000000003</v>
      </c>
      <c r="N4334">
        <v>3.5999999999999997E-2</v>
      </c>
    </row>
    <row r="4335" spans="1:14" x14ac:dyDescent="0.25">
      <c r="A4335" t="s">
        <v>7891</v>
      </c>
      <c r="B4335" t="s">
        <v>7892</v>
      </c>
      <c r="C4335" s="1" t="str">
        <f>HYPERLINK("http://www.genecards.org/cgi-bin/carddisp.pl?gene=COPA","GeneCards")</f>
        <v>GeneCards</v>
      </c>
      <c r="D4335" s="1" t="str">
        <f>HYPERLINK("http://genome-euro.ucsc.edu/cgi-bin/hgTracks?position=214336_s_at","UCSC")</f>
        <v>UCSC</v>
      </c>
      <c r="E4335" s="1" t="str">
        <f>HYPERLINK("http://www.ncbi.nlm.nih.gov/gene/?term=COPA","NCBI")</f>
        <v>NCBI</v>
      </c>
      <c r="F4335">
        <v>3.3000000000000002E-2</v>
      </c>
      <c r="G4335">
        <v>0.13</v>
      </c>
      <c r="H4335" s="1" t="str">
        <f>HYPERLINK("http://www.weizmann.ac.il/complex/compphys/software/geview/data/figures/214336_s_at.png","Figure")</f>
        <v>Figure</v>
      </c>
      <c r="I4335">
        <v>0.99299999999999999</v>
      </c>
      <c r="J4335">
        <v>0.99</v>
      </c>
      <c r="K4335">
        <v>0.86299999999999999</v>
      </c>
      <c r="L4335">
        <v>5.0999999999999997E-2</v>
      </c>
      <c r="M4335">
        <v>0.86899999999999999</v>
      </c>
      <c r="N4335">
        <v>8.5000000000000006E-2</v>
      </c>
    </row>
    <row r="4336" spans="1:14" x14ac:dyDescent="0.25">
      <c r="A4336" t="s">
        <v>7893</v>
      </c>
      <c r="B4336" t="s">
        <v>7894</v>
      </c>
      <c r="C4336" s="1" t="str">
        <f>HYPERLINK("http://www.genecards.org/cgi-bin/carddisp.pl?gene=CD83","GeneCards")</f>
        <v>GeneCards</v>
      </c>
      <c r="D4336" s="1" t="str">
        <f>HYPERLINK("http://genome-euro.ucsc.edu/cgi-bin/hgTracks?position=204440_at","UCSC")</f>
        <v>UCSC</v>
      </c>
      <c r="E4336" s="1" t="str">
        <f>HYPERLINK("http://www.ncbi.nlm.nih.gov/gene/?term=CD83","NCBI")</f>
        <v>NCBI</v>
      </c>
      <c r="F4336">
        <v>3.3000000000000002E-2</v>
      </c>
      <c r="G4336">
        <v>0.13</v>
      </c>
      <c r="H4336" s="1" t="str">
        <f>HYPERLINK("http://www.weizmann.ac.il/complex/compphys/software/geview/data/figures/204440_at.png","Figure")</f>
        <v>Figure</v>
      </c>
      <c r="I4336">
        <v>0.51300000000000001</v>
      </c>
      <c r="J4336">
        <v>0.22</v>
      </c>
      <c r="K4336">
        <v>0.372</v>
      </c>
      <c r="L4336">
        <v>2.7E-2</v>
      </c>
      <c r="M4336">
        <v>0.72399999999999998</v>
      </c>
      <c r="N4336">
        <v>0.65</v>
      </c>
    </row>
    <row r="4337" spans="1:14" x14ac:dyDescent="0.25">
      <c r="A4337" t="s">
        <v>7895</v>
      </c>
      <c r="B4337" t="s">
        <v>7896</v>
      </c>
      <c r="C4337" s="1" t="str">
        <f>HYPERLINK("http://www.genecards.org/cgi-bin/carddisp.pl?gene=DUSP11","GeneCards")</f>
        <v>GeneCards</v>
      </c>
      <c r="D4337" s="1" t="str">
        <f>HYPERLINK("http://genome-euro.ucsc.edu/cgi-bin/hgTracks?position=202703_at","UCSC")</f>
        <v>UCSC</v>
      </c>
      <c r="E4337" s="1" t="str">
        <f>HYPERLINK("http://www.ncbi.nlm.nih.gov/gene/?term=DUSP11","NCBI")</f>
        <v>NCBI</v>
      </c>
      <c r="F4337">
        <v>3.3000000000000002E-2</v>
      </c>
      <c r="G4337">
        <v>0.13</v>
      </c>
      <c r="H4337" s="1" t="str">
        <f>HYPERLINK("http://www.weizmann.ac.il/complex/compphys/software/geview/data/figures/202703_at.png","Figure")</f>
        <v>Figure</v>
      </c>
      <c r="I4337">
        <v>1.01</v>
      </c>
      <c r="J4337">
        <v>1</v>
      </c>
      <c r="K4337">
        <v>0.77800000000000002</v>
      </c>
      <c r="L4337">
        <v>5.8999999999999997E-2</v>
      </c>
      <c r="M4337">
        <v>0.77300000000000002</v>
      </c>
      <c r="N4337">
        <v>7.1999999999999995E-2</v>
      </c>
    </row>
    <row r="4338" spans="1:14" x14ac:dyDescent="0.25">
      <c r="A4338" t="s">
        <v>7897</v>
      </c>
      <c r="B4338" t="s">
        <v>6400</v>
      </c>
      <c r="C4338" s="1" t="str">
        <f>HYPERLINK("http://www.genecards.org/cgi-bin/carddisp.pl?gene=TRIM10","GeneCards")</f>
        <v>GeneCards</v>
      </c>
      <c r="D4338" s="1" t="str">
        <f>HYPERLINK("http://genome-euro.ucsc.edu/cgi-bin/hgTracks?position=210578_at","UCSC")</f>
        <v>UCSC</v>
      </c>
      <c r="E4338" s="1" t="str">
        <f>HYPERLINK("http://www.ncbi.nlm.nih.gov/gene/?term=TRIM10","NCBI")</f>
        <v>NCBI</v>
      </c>
      <c r="F4338">
        <v>3.3000000000000002E-2</v>
      </c>
      <c r="G4338">
        <v>0.13</v>
      </c>
      <c r="H4338" s="1" t="str">
        <f>HYPERLINK("http://www.weizmann.ac.il/complex/compphys/software/geview/data/figures/210578_at.png","Figure")</f>
        <v>Figure</v>
      </c>
      <c r="I4338">
        <v>1.22</v>
      </c>
      <c r="J4338">
        <v>2.9000000000000001E-2</v>
      </c>
      <c r="K4338">
        <v>1.06</v>
      </c>
      <c r="L4338">
        <v>0.59</v>
      </c>
      <c r="M4338">
        <v>0.872</v>
      </c>
      <c r="N4338">
        <v>0.11</v>
      </c>
    </row>
    <row r="4339" spans="1:14" x14ac:dyDescent="0.25">
      <c r="A4339" t="s">
        <v>7898</v>
      </c>
      <c r="B4339" t="s">
        <v>7899</v>
      </c>
      <c r="C4339" s="1" t="str">
        <f>HYPERLINK("http://www.genecards.org/cgi-bin/carddisp.pl?gene=RNF146","GeneCards")</f>
        <v>GeneCards</v>
      </c>
      <c r="D4339" s="1" t="str">
        <f>HYPERLINK("http://genome-euro.ucsc.edu/cgi-bin/hgTracks?position=221430_s_at","UCSC")</f>
        <v>UCSC</v>
      </c>
      <c r="E4339" s="1" t="str">
        <f>HYPERLINK("http://www.ncbi.nlm.nih.gov/gene/?term=RNF146","NCBI")</f>
        <v>NCBI</v>
      </c>
      <c r="F4339">
        <v>3.3000000000000002E-2</v>
      </c>
      <c r="G4339">
        <v>0.13</v>
      </c>
      <c r="H4339" s="1" t="str">
        <f>HYPERLINK("http://www.weizmann.ac.il/complex/compphys/software/geview/data/figures/221430_s_at.png","Figure")</f>
        <v>Figure</v>
      </c>
      <c r="I4339">
        <v>0.89200000000000002</v>
      </c>
      <c r="J4339">
        <v>5.6000000000000001E-2</v>
      </c>
      <c r="K4339">
        <v>1</v>
      </c>
      <c r="L4339">
        <v>1</v>
      </c>
      <c r="M4339">
        <v>1.1200000000000001</v>
      </c>
      <c r="N4339">
        <v>4.1000000000000002E-2</v>
      </c>
    </row>
    <row r="4340" spans="1:14" x14ac:dyDescent="0.25">
      <c r="A4340" t="s">
        <v>7900</v>
      </c>
      <c r="B4340" t="s">
        <v>7901</v>
      </c>
      <c r="C4340" s="1" t="str">
        <f>HYPERLINK("http://www.genecards.org/cgi-bin/carddisp.pl?gene=ZNF778","GeneCards")</f>
        <v>GeneCards</v>
      </c>
      <c r="D4340" s="1" t="str">
        <f>HYPERLINK("http://genome-euro.ucsc.edu/cgi-bin/hgTracks?position=220730_at","UCSC")</f>
        <v>UCSC</v>
      </c>
      <c r="E4340" s="1" t="str">
        <f>HYPERLINK("http://www.ncbi.nlm.nih.gov/gene/?term=ZNF778","NCBI")</f>
        <v>NCBI</v>
      </c>
      <c r="F4340">
        <v>3.3000000000000002E-2</v>
      </c>
      <c r="G4340">
        <v>0.13</v>
      </c>
      <c r="H4340" s="1" t="str">
        <f>HYPERLINK("http://www.weizmann.ac.il/complex/compphys/software/geview/data/figures/220730_at.png","Figure")</f>
        <v>Figure</v>
      </c>
      <c r="I4340">
        <v>1.1200000000000001</v>
      </c>
      <c r="J4340">
        <v>0.23</v>
      </c>
      <c r="K4340">
        <v>0.93500000000000005</v>
      </c>
      <c r="L4340">
        <v>0.46</v>
      </c>
      <c r="M4340">
        <v>0.83799999999999997</v>
      </c>
      <c r="N4340">
        <v>2.5999999999999999E-2</v>
      </c>
    </row>
    <row r="4341" spans="1:14" x14ac:dyDescent="0.25">
      <c r="A4341" t="s">
        <v>7902</v>
      </c>
      <c r="B4341" t="s">
        <v>7903</v>
      </c>
      <c r="C4341" s="1" t="str">
        <f>HYPERLINK("http://www.genecards.org/cgi-bin/carddisp.pl?gene=IFITM2","GeneCards")</f>
        <v>GeneCards</v>
      </c>
      <c r="D4341" s="1" t="str">
        <f>HYPERLINK("http://genome-euro.ucsc.edu/cgi-bin/hgTracks?position=201315_x_at","UCSC")</f>
        <v>UCSC</v>
      </c>
      <c r="E4341" s="1" t="str">
        <f>HYPERLINK("http://www.ncbi.nlm.nih.gov/gene/?term=IFITM2","NCBI")</f>
        <v>NCBI</v>
      </c>
      <c r="F4341">
        <v>3.3000000000000002E-2</v>
      </c>
      <c r="G4341">
        <v>0.13</v>
      </c>
      <c r="H4341" s="1" t="str">
        <f>HYPERLINK("http://www.weizmann.ac.il/complex/compphys/software/geview/data/figures/201315_x_at.png","Figure")</f>
        <v>Figure</v>
      </c>
      <c r="I4341">
        <v>0.59399999999999997</v>
      </c>
      <c r="J4341">
        <v>0.19</v>
      </c>
      <c r="K4341">
        <v>1.29</v>
      </c>
      <c r="L4341">
        <v>0.56000000000000005</v>
      </c>
      <c r="M4341">
        <v>2.17</v>
      </c>
      <c r="N4341">
        <v>2.5999999999999999E-2</v>
      </c>
    </row>
    <row r="4342" spans="1:14" x14ac:dyDescent="0.25">
      <c r="A4342" t="s">
        <v>7904</v>
      </c>
      <c r="B4342" t="s">
        <v>7905</v>
      </c>
      <c r="C4342" s="1" t="str">
        <f>HYPERLINK("http://www.genecards.org/cgi-bin/carddisp.pl?gene=TOMM34","GeneCards")</f>
        <v>GeneCards</v>
      </c>
      <c r="D4342" s="1" t="str">
        <f>HYPERLINK("http://genome-euro.ucsc.edu/cgi-bin/hgTracks?position=201870_at","UCSC")</f>
        <v>UCSC</v>
      </c>
      <c r="E4342" s="1" t="str">
        <f>HYPERLINK("http://www.ncbi.nlm.nih.gov/gene/?term=TOMM34","NCBI")</f>
        <v>NCBI</v>
      </c>
      <c r="F4342">
        <v>3.3000000000000002E-2</v>
      </c>
      <c r="G4342">
        <v>0.13</v>
      </c>
      <c r="H4342" s="1" t="str">
        <f>HYPERLINK("http://www.weizmann.ac.il/complex/compphys/software/geview/data/figures/201870_at.png","Figure")</f>
        <v>Figure</v>
      </c>
      <c r="I4342">
        <v>1.24</v>
      </c>
      <c r="J4342">
        <v>4.4999999999999998E-2</v>
      </c>
      <c r="K4342">
        <v>1.19</v>
      </c>
      <c r="L4342">
        <v>6.6000000000000003E-2</v>
      </c>
      <c r="M4342">
        <v>0.95899999999999996</v>
      </c>
      <c r="N4342">
        <v>0.84</v>
      </c>
    </row>
    <row r="4343" spans="1:14" x14ac:dyDescent="0.25">
      <c r="A4343" t="s">
        <v>7906</v>
      </c>
      <c r="B4343" t="s">
        <v>6589</v>
      </c>
      <c r="C4343" s="1" t="str">
        <f>HYPERLINK("http://www.genecards.org/cgi-bin/carddisp.pl?gene=HSPA8","GeneCards")</f>
        <v>GeneCards</v>
      </c>
      <c r="D4343" s="1" t="str">
        <f>HYPERLINK("http://genome-euro.ucsc.edu/cgi-bin/hgTracks?position=208687_x_at","UCSC")</f>
        <v>UCSC</v>
      </c>
      <c r="E4343" s="1" t="str">
        <f>HYPERLINK("http://www.ncbi.nlm.nih.gov/gene/?term=HSPA8","NCBI")</f>
        <v>NCBI</v>
      </c>
      <c r="F4343">
        <v>3.3000000000000002E-2</v>
      </c>
      <c r="G4343">
        <v>0.13</v>
      </c>
      <c r="H4343" s="1" t="str">
        <f>HYPERLINK("http://www.weizmann.ac.il/complex/compphys/software/geview/data/figures/208687_x_at.png","Figure")</f>
        <v>Figure</v>
      </c>
      <c r="I4343">
        <v>1.32</v>
      </c>
      <c r="J4343">
        <v>0.78</v>
      </c>
      <c r="K4343">
        <v>2.8</v>
      </c>
      <c r="L4343">
        <v>3.4000000000000002E-2</v>
      </c>
      <c r="M4343">
        <v>2.12</v>
      </c>
      <c r="N4343">
        <v>0.17</v>
      </c>
    </row>
    <row r="4344" spans="1:14" x14ac:dyDescent="0.25">
      <c r="A4344" t="s">
        <v>7907</v>
      </c>
      <c r="B4344" t="s">
        <v>7739</v>
      </c>
      <c r="C4344" s="1" t="str">
        <f>HYPERLINK("http://www.genecards.org/cgi-bin/carddisp.pl?gene=RBM5","GeneCards")</f>
        <v>GeneCards</v>
      </c>
      <c r="D4344" s="1" t="str">
        <f>HYPERLINK("http://genome-euro.ucsc.edu/cgi-bin/hgTracks?position=209936_at","UCSC")</f>
        <v>UCSC</v>
      </c>
      <c r="E4344" s="1" t="str">
        <f>HYPERLINK("http://www.ncbi.nlm.nih.gov/gene/?term=RBM5","NCBI")</f>
        <v>NCBI</v>
      </c>
      <c r="F4344">
        <v>3.3000000000000002E-2</v>
      </c>
      <c r="G4344">
        <v>0.13</v>
      </c>
      <c r="H4344" s="1" t="str">
        <f>HYPERLINK("http://www.weizmann.ac.il/complex/compphys/software/geview/data/figures/209936_at.png","Figure")</f>
        <v>Figure</v>
      </c>
      <c r="I4344">
        <v>1.08</v>
      </c>
      <c r="J4344">
        <v>0.89</v>
      </c>
      <c r="K4344">
        <v>0.72899999999999998</v>
      </c>
      <c r="L4344">
        <v>9.0999999999999998E-2</v>
      </c>
      <c r="M4344">
        <v>0.67700000000000005</v>
      </c>
      <c r="N4344">
        <v>4.9000000000000002E-2</v>
      </c>
    </row>
    <row r="4345" spans="1:14" x14ac:dyDescent="0.25">
      <c r="A4345" t="s">
        <v>7908</v>
      </c>
      <c r="B4345" t="s">
        <v>5611</v>
      </c>
      <c r="C4345" s="1" t="str">
        <f>HYPERLINK("http://www.genecards.org/cgi-bin/carddisp.pl?gene=RNASEH1","GeneCards")</f>
        <v>GeneCards</v>
      </c>
      <c r="D4345" s="1" t="str">
        <f>HYPERLINK("http://genome-euro.ucsc.edu/cgi-bin/hgTracks?position=218497_s_at","UCSC")</f>
        <v>UCSC</v>
      </c>
      <c r="E4345" s="1" t="str">
        <f>HYPERLINK("http://www.ncbi.nlm.nih.gov/gene/?term=RNASEH1","NCBI")</f>
        <v>NCBI</v>
      </c>
      <c r="F4345">
        <v>3.3000000000000002E-2</v>
      </c>
      <c r="G4345">
        <v>0.13</v>
      </c>
      <c r="H4345" s="1" t="str">
        <f>HYPERLINK("http://www.weizmann.ac.il/complex/compphys/software/geview/data/figures/218497_s_at.png","Figure")</f>
        <v>Figure</v>
      </c>
      <c r="I4345">
        <v>1.1200000000000001</v>
      </c>
      <c r="J4345">
        <v>0.68</v>
      </c>
      <c r="K4345">
        <v>0.79400000000000004</v>
      </c>
      <c r="L4345">
        <v>0.14000000000000001</v>
      </c>
      <c r="M4345">
        <v>0.71199999999999997</v>
      </c>
      <c r="N4345">
        <v>3.6999999999999998E-2</v>
      </c>
    </row>
    <row r="4346" spans="1:14" x14ac:dyDescent="0.25">
      <c r="A4346" t="s">
        <v>7909</v>
      </c>
      <c r="B4346" t="s">
        <v>7910</v>
      </c>
      <c r="C4346" s="1" t="str">
        <f>HYPERLINK("http://www.genecards.org/cgi-bin/carddisp.pl?gene=AKIRIN1","GeneCards")</f>
        <v>GeneCards</v>
      </c>
      <c r="D4346" s="1" t="str">
        <f>HYPERLINK("http://genome-euro.ucsc.edu/cgi-bin/hgTracks?position=217893_s_at","UCSC")</f>
        <v>UCSC</v>
      </c>
      <c r="E4346" s="1" t="str">
        <f>HYPERLINK("http://www.ncbi.nlm.nih.gov/gene/?term=AKIRIN1","NCBI")</f>
        <v>NCBI</v>
      </c>
      <c r="F4346">
        <v>3.3000000000000002E-2</v>
      </c>
      <c r="G4346">
        <v>0.13</v>
      </c>
      <c r="H4346" s="1" t="str">
        <f>HYPERLINK("http://www.weizmann.ac.il/complex/compphys/software/geview/data/figures/217893_s_at.png","Figure")</f>
        <v>Figure</v>
      </c>
      <c r="I4346">
        <v>0.81200000000000006</v>
      </c>
      <c r="J4346">
        <v>0.59</v>
      </c>
      <c r="K4346">
        <v>0.58499999999999996</v>
      </c>
      <c r="L4346">
        <v>2.9000000000000001E-2</v>
      </c>
      <c r="M4346">
        <v>0.72</v>
      </c>
      <c r="N4346">
        <v>0.25</v>
      </c>
    </row>
    <row r="4347" spans="1:14" x14ac:dyDescent="0.25">
      <c r="A4347" t="s">
        <v>7911</v>
      </c>
      <c r="B4347" t="s">
        <v>7912</v>
      </c>
      <c r="C4347" s="1" t="str">
        <f>HYPERLINK("http://www.genecards.org/cgi-bin/carddisp.pl?gene=SNX13","GeneCards")</f>
        <v>GeneCards</v>
      </c>
      <c r="D4347" s="1" t="str">
        <f>HYPERLINK("http://genome-euro.ucsc.edu/cgi-bin/hgTracks?position=215366_at","UCSC")</f>
        <v>UCSC</v>
      </c>
      <c r="E4347" s="1" t="str">
        <f>HYPERLINK("http://www.ncbi.nlm.nih.gov/gene/?term=SNX13","NCBI")</f>
        <v>NCBI</v>
      </c>
      <c r="F4347">
        <v>3.3000000000000002E-2</v>
      </c>
      <c r="G4347">
        <v>0.13</v>
      </c>
      <c r="H4347" s="1" t="str">
        <f>HYPERLINK("http://www.weizmann.ac.il/complex/compphys/software/geview/data/figures/215366_at.png","Figure")</f>
        <v>Figure</v>
      </c>
      <c r="I4347">
        <v>1.21</v>
      </c>
      <c r="J4347">
        <v>0.12</v>
      </c>
      <c r="K4347">
        <v>0.94799999999999995</v>
      </c>
      <c r="L4347">
        <v>0.77</v>
      </c>
      <c r="M4347">
        <v>0.78500000000000003</v>
      </c>
      <c r="N4347">
        <v>2.8000000000000001E-2</v>
      </c>
    </row>
    <row r="4348" spans="1:14" x14ac:dyDescent="0.25">
      <c r="A4348" t="s">
        <v>7913</v>
      </c>
      <c r="B4348" t="s">
        <v>7914</v>
      </c>
      <c r="C4348" s="1" t="str">
        <f>HYPERLINK("http://www.genecards.org/cgi-bin/carddisp.pl?gene=HEATR2","GeneCards")</f>
        <v>GeneCards</v>
      </c>
      <c r="D4348" s="1" t="str">
        <f>HYPERLINK("http://genome-euro.ucsc.edu/cgi-bin/hgTracks?position=218460_at","UCSC")</f>
        <v>UCSC</v>
      </c>
      <c r="E4348" s="1" t="str">
        <f>HYPERLINK("http://www.ncbi.nlm.nih.gov/gene/?term=HEATR2","NCBI")</f>
        <v>NCBI</v>
      </c>
      <c r="F4348">
        <v>3.3000000000000002E-2</v>
      </c>
      <c r="G4348">
        <v>0.13</v>
      </c>
      <c r="H4348" s="1" t="str">
        <f>HYPERLINK("http://www.weizmann.ac.il/complex/compphys/software/geview/data/figures/218460_at.png","Figure")</f>
        <v>Figure</v>
      </c>
      <c r="I4348">
        <v>0.92</v>
      </c>
      <c r="J4348">
        <v>0.77</v>
      </c>
      <c r="K4348">
        <v>1.25</v>
      </c>
      <c r="L4348">
        <v>0.12</v>
      </c>
      <c r="M4348">
        <v>1.36</v>
      </c>
      <c r="N4348">
        <v>4.1000000000000002E-2</v>
      </c>
    </row>
    <row r="4349" spans="1:14" x14ac:dyDescent="0.25">
      <c r="A4349" t="s">
        <v>7915</v>
      </c>
      <c r="B4349" t="s">
        <v>7916</v>
      </c>
      <c r="C4349" s="1" t="str">
        <f>HYPERLINK("http://www.genecards.org/cgi-bin/carddisp.pl?gene=SMNDC1","GeneCards")</f>
        <v>GeneCards</v>
      </c>
      <c r="D4349" s="1" t="str">
        <f>HYPERLINK("http://genome-euro.ucsc.edu/cgi-bin/hgTracks?position=200071_at","UCSC")</f>
        <v>UCSC</v>
      </c>
      <c r="E4349" s="1" t="str">
        <f>HYPERLINK("http://www.ncbi.nlm.nih.gov/gene/?term=SMNDC1","NCBI")</f>
        <v>NCBI</v>
      </c>
      <c r="F4349">
        <v>3.3000000000000002E-2</v>
      </c>
      <c r="G4349">
        <v>0.13</v>
      </c>
      <c r="H4349" s="1" t="str">
        <f>HYPERLINK("http://www.weizmann.ac.il/complex/compphys/software/geview/data/figures/200071_at.png","Figure")</f>
        <v>Figure</v>
      </c>
      <c r="I4349">
        <v>0.55800000000000005</v>
      </c>
      <c r="J4349">
        <v>7.5999999999999998E-2</v>
      </c>
      <c r="K4349">
        <v>0.55800000000000005</v>
      </c>
      <c r="L4349">
        <v>4.1000000000000002E-2</v>
      </c>
      <c r="M4349">
        <v>1</v>
      </c>
      <c r="N4349">
        <v>1</v>
      </c>
    </row>
    <row r="4350" spans="1:14" x14ac:dyDescent="0.25">
      <c r="A4350" t="s">
        <v>7917</v>
      </c>
      <c r="B4350" t="s">
        <v>7918</v>
      </c>
      <c r="C4350" s="1" t="str">
        <f>HYPERLINK("http://www.genecards.org/cgi-bin/carddisp.pl?gene=CHKB","GeneCards")</f>
        <v>GeneCards</v>
      </c>
      <c r="D4350" s="1" t="str">
        <f>HYPERLINK("http://genome-euro.ucsc.edu/cgi-bin/hgTracks?position=204193_at","UCSC")</f>
        <v>UCSC</v>
      </c>
      <c r="E4350" s="1" t="str">
        <f>HYPERLINK("http://www.ncbi.nlm.nih.gov/gene/?term=CHKB","NCBI")</f>
        <v>NCBI</v>
      </c>
      <c r="F4350">
        <v>3.3000000000000002E-2</v>
      </c>
      <c r="G4350">
        <v>0.13</v>
      </c>
      <c r="H4350" s="1" t="str">
        <f>HYPERLINK("http://www.weizmann.ac.il/complex/compphys/software/geview/data/figures/204193_at.png","Figure")</f>
        <v>Figure</v>
      </c>
      <c r="I4350">
        <v>1.64</v>
      </c>
      <c r="J4350">
        <v>3.6999999999999998E-2</v>
      </c>
      <c r="K4350">
        <v>1.0900000000000001</v>
      </c>
      <c r="L4350">
        <v>0.86</v>
      </c>
      <c r="M4350">
        <v>0.66100000000000003</v>
      </c>
      <c r="N4350">
        <v>6.4000000000000001E-2</v>
      </c>
    </row>
    <row r="4351" spans="1:14" x14ac:dyDescent="0.25">
      <c r="A4351" t="s">
        <v>7919</v>
      </c>
      <c r="B4351" t="s">
        <v>2390</v>
      </c>
      <c r="C4351" s="1" t="str">
        <f>HYPERLINK("http://www.genecards.org/cgi-bin/carddisp.pl?gene=FUT4","GeneCards")</f>
        <v>GeneCards</v>
      </c>
      <c r="D4351" s="1" t="str">
        <f>HYPERLINK("http://genome-euro.ucsc.edu/cgi-bin/hgTracks?position=209893_s_at","UCSC")</f>
        <v>UCSC</v>
      </c>
      <c r="E4351" s="1" t="str">
        <f>HYPERLINK("http://www.ncbi.nlm.nih.gov/gene/?term=FUT4","NCBI")</f>
        <v>NCBI</v>
      </c>
      <c r="F4351">
        <v>3.3000000000000002E-2</v>
      </c>
      <c r="G4351">
        <v>0.13</v>
      </c>
      <c r="H4351" s="1" t="str">
        <f>HYPERLINK("http://www.weizmann.ac.il/complex/compphys/software/geview/data/figures/209893_s_at.png","Figure")</f>
        <v>Figure</v>
      </c>
      <c r="I4351">
        <v>0.95299999999999996</v>
      </c>
      <c r="J4351">
        <v>0.84</v>
      </c>
      <c r="K4351">
        <v>0.81</v>
      </c>
      <c r="L4351">
        <v>3.6999999999999998E-2</v>
      </c>
      <c r="M4351">
        <v>0.85</v>
      </c>
      <c r="N4351">
        <v>0.15</v>
      </c>
    </row>
    <row r="4352" spans="1:14" x14ac:dyDescent="0.25">
      <c r="A4352" t="s">
        <v>7920</v>
      </c>
      <c r="B4352" t="s">
        <v>7921</v>
      </c>
      <c r="C4352" s="1" t="str">
        <f>HYPERLINK("http://www.genecards.org/cgi-bin/carddisp.pl?gene=PSMA3","GeneCards")</f>
        <v>GeneCards</v>
      </c>
      <c r="D4352" s="1" t="str">
        <f>HYPERLINK("http://genome-euro.ucsc.edu/cgi-bin/hgTracks?position=201532_at","UCSC")</f>
        <v>UCSC</v>
      </c>
      <c r="E4352" s="1" t="str">
        <f>HYPERLINK("http://www.ncbi.nlm.nih.gov/gene/?term=PSMA3","NCBI")</f>
        <v>NCBI</v>
      </c>
      <c r="F4352">
        <v>3.4000000000000002E-2</v>
      </c>
      <c r="G4352">
        <v>0.13</v>
      </c>
      <c r="H4352" s="1" t="str">
        <f>HYPERLINK("http://www.weizmann.ac.il/complex/compphys/software/geview/data/figures/201532_at.png","Figure")</f>
        <v>Figure</v>
      </c>
      <c r="I4352">
        <v>0.77100000000000002</v>
      </c>
      <c r="J4352">
        <v>0.31</v>
      </c>
      <c r="K4352">
        <v>1.24</v>
      </c>
      <c r="L4352">
        <v>0.35</v>
      </c>
      <c r="M4352">
        <v>1.6</v>
      </c>
      <c r="N4352">
        <v>2.7E-2</v>
      </c>
    </row>
    <row r="4353" spans="1:14" x14ac:dyDescent="0.25">
      <c r="A4353" t="s">
        <v>7922</v>
      </c>
      <c r="B4353" t="s">
        <v>7923</v>
      </c>
      <c r="C4353" s="1" t="str">
        <f>HYPERLINK("http://www.genecards.org/cgi-bin/carddisp.pl?gene=RARG","GeneCards")</f>
        <v>GeneCards</v>
      </c>
      <c r="D4353" s="1" t="str">
        <f>HYPERLINK("http://genome-euro.ucsc.edu/cgi-bin/hgTracks?position=204189_at","UCSC")</f>
        <v>UCSC</v>
      </c>
      <c r="E4353" s="1" t="str">
        <f>HYPERLINK("http://www.ncbi.nlm.nih.gov/gene/?term=RARG","NCBI")</f>
        <v>NCBI</v>
      </c>
      <c r="F4353">
        <v>3.4000000000000002E-2</v>
      </c>
      <c r="G4353">
        <v>0.13</v>
      </c>
      <c r="H4353" s="1" t="str">
        <f>HYPERLINK("http://www.weizmann.ac.il/complex/compphys/software/geview/data/figures/204189_at.png","Figure")</f>
        <v>Figure</v>
      </c>
      <c r="I4353">
        <v>1.51</v>
      </c>
      <c r="J4353">
        <v>0.03</v>
      </c>
      <c r="K4353">
        <v>1.29</v>
      </c>
      <c r="L4353">
        <v>0.14000000000000001</v>
      </c>
      <c r="M4353">
        <v>0.85199999999999998</v>
      </c>
      <c r="N4353">
        <v>0.46</v>
      </c>
    </row>
    <row r="4354" spans="1:14" x14ac:dyDescent="0.25">
      <c r="A4354" t="s">
        <v>7924</v>
      </c>
      <c r="B4354" t="s">
        <v>7925</v>
      </c>
      <c r="C4354" s="1" t="str">
        <f>HYPERLINK("http://www.genecards.org/cgi-bin/carddisp.pl?gene=C19orf57","GeneCards")</f>
        <v>GeneCards</v>
      </c>
      <c r="D4354" s="1" t="str">
        <f>HYPERLINK("http://genome-euro.ucsc.edu/cgi-bin/hgTracks?position=206901_at","UCSC")</f>
        <v>UCSC</v>
      </c>
      <c r="E4354" s="1" t="str">
        <f>HYPERLINK("http://www.ncbi.nlm.nih.gov/gene/?term=C19orf57","NCBI")</f>
        <v>NCBI</v>
      </c>
      <c r="F4354">
        <v>3.4000000000000002E-2</v>
      </c>
      <c r="G4354">
        <v>0.13</v>
      </c>
      <c r="H4354" s="1" t="str">
        <f>HYPERLINK("http://www.weizmann.ac.il/complex/compphys/software/geview/data/figures/206901_at.png","Figure")</f>
        <v>Figure</v>
      </c>
      <c r="I4354">
        <v>1.47</v>
      </c>
      <c r="J4354">
        <v>2.7E-2</v>
      </c>
      <c r="K4354">
        <v>1.17</v>
      </c>
      <c r="L4354">
        <v>0.36</v>
      </c>
      <c r="M4354">
        <v>0.79900000000000004</v>
      </c>
      <c r="N4354">
        <v>0.19</v>
      </c>
    </row>
    <row r="4355" spans="1:14" x14ac:dyDescent="0.25">
      <c r="A4355" t="s">
        <v>7926</v>
      </c>
      <c r="B4355" t="s">
        <v>7927</v>
      </c>
      <c r="C4355" s="1" t="str">
        <f>HYPERLINK("http://www.genecards.org/cgi-bin/carddisp.pl?gene=KCNJ12 /// LOC100131509 /// LOC100290070","GeneCards")</f>
        <v>GeneCards</v>
      </c>
      <c r="D4355" s="1" t="str">
        <f>HYPERLINK("http://genome-euro.ucsc.edu/cgi-bin/hgTracks?position=208567_s_at","UCSC")</f>
        <v>UCSC</v>
      </c>
      <c r="E4355" s="1" t="str">
        <f>HYPERLINK("http://www.ncbi.nlm.nih.gov/gene/?term=KCNJ12 /// LOC100131509 /// LOC100290070","NCBI")</f>
        <v>NCBI</v>
      </c>
      <c r="F4355">
        <v>3.4000000000000002E-2</v>
      </c>
      <c r="G4355">
        <v>0.13</v>
      </c>
      <c r="H4355" s="1" t="str">
        <f>HYPERLINK("http://www.weizmann.ac.il/complex/compphys/software/geview/data/figures/208567_s_at.png","Figure")</f>
        <v>Figure</v>
      </c>
      <c r="I4355">
        <v>1.05</v>
      </c>
      <c r="J4355">
        <v>7.6999999999999999E-2</v>
      </c>
      <c r="K4355">
        <v>1.05</v>
      </c>
      <c r="L4355">
        <v>4.1000000000000002E-2</v>
      </c>
      <c r="M4355">
        <v>1</v>
      </c>
      <c r="N4355">
        <v>1</v>
      </c>
    </row>
    <row r="4356" spans="1:14" x14ac:dyDescent="0.25">
      <c r="A4356" t="s">
        <v>7928</v>
      </c>
      <c r="B4356" t="s">
        <v>7929</v>
      </c>
      <c r="C4356" s="1" t="str">
        <f>HYPERLINK("http://www.genecards.org/cgi-bin/carddisp.pl?gene=RPS14 /// RPS14P3","GeneCards")</f>
        <v>GeneCards</v>
      </c>
      <c r="D4356" s="1" t="str">
        <f>HYPERLINK("http://genome-euro.ucsc.edu/cgi-bin/hgTracks?position=208646_at","UCSC")</f>
        <v>UCSC</v>
      </c>
      <c r="E4356" s="1" t="str">
        <f>HYPERLINK("http://www.ncbi.nlm.nih.gov/gene/?term=RPS14 /// RPS14P3","NCBI")</f>
        <v>NCBI</v>
      </c>
      <c r="F4356">
        <v>3.4000000000000002E-2</v>
      </c>
      <c r="G4356">
        <v>0.13</v>
      </c>
      <c r="H4356" s="1" t="str">
        <f>HYPERLINK("http://www.weizmann.ac.il/complex/compphys/software/geview/data/figures/208646_at.png","Figure")</f>
        <v>Figure</v>
      </c>
      <c r="I4356">
        <v>1.49</v>
      </c>
      <c r="J4356">
        <v>0.15</v>
      </c>
      <c r="K4356">
        <v>1.66</v>
      </c>
      <c r="L4356">
        <v>0.03</v>
      </c>
      <c r="M4356">
        <v>1.1100000000000001</v>
      </c>
      <c r="N4356">
        <v>0.83</v>
      </c>
    </row>
    <row r="4357" spans="1:14" x14ac:dyDescent="0.25">
      <c r="A4357" t="s">
        <v>7930</v>
      </c>
      <c r="B4357" t="s">
        <v>7931</v>
      </c>
      <c r="C4357" s="1" t="str">
        <f>HYPERLINK("http://www.genecards.org/cgi-bin/carddisp.pl?gene=CCBL1","GeneCards")</f>
        <v>GeneCards</v>
      </c>
      <c r="D4357" s="1" t="str">
        <f>HYPERLINK("http://genome-euro.ucsc.edu/cgi-bin/hgTracks?position=206037_at","UCSC")</f>
        <v>UCSC</v>
      </c>
      <c r="E4357" s="1" t="str">
        <f>HYPERLINK("http://www.ncbi.nlm.nih.gov/gene/?term=CCBL1","NCBI")</f>
        <v>NCBI</v>
      </c>
      <c r="F4357">
        <v>3.4000000000000002E-2</v>
      </c>
      <c r="G4357">
        <v>0.13</v>
      </c>
      <c r="H4357" s="1" t="str">
        <f>HYPERLINK("http://www.weizmann.ac.il/complex/compphys/software/geview/data/figures/206037_at.png","Figure")</f>
        <v>Figure</v>
      </c>
      <c r="I4357">
        <v>1.22</v>
      </c>
      <c r="J4357">
        <v>0.15</v>
      </c>
      <c r="K4357">
        <v>1.3</v>
      </c>
      <c r="L4357">
        <v>0.03</v>
      </c>
      <c r="M4357">
        <v>1.06</v>
      </c>
      <c r="N4357">
        <v>0.82</v>
      </c>
    </row>
    <row r="4358" spans="1:14" x14ac:dyDescent="0.25">
      <c r="A4358" t="s">
        <v>7932</v>
      </c>
      <c r="B4358" t="s">
        <v>7933</v>
      </c>
      <c r="C4358" s="1" t="str">
        <f>HYPERLINK("http://www.genecards.org/cgi-bin/carddisp.pl?gene=FAM69A","GeneCards")</f>
        <v>GeneCards</v>
      </c>
      <c r="D4358" s="1" t="str">
        <f>HYPERLINK("http://genome-euro.ucsc.edu/cgi-bin/hgTracks?position=216044_x_at","UCSC")</f>
        <v>UCSC</v>
      </c>
      <c r="E4358" s="1" t="str">
        <f>HYPERLINK("http://www.ncbi.nlm.nih.gov/gene/?term=FAM69A","NCBI")</f>
        <v>NCBI</v>
      </c>
      <c r="F4358">
        <v>3.4000000000000002E-2</v>
      </c>
      <c r="G4358">
        <v>0.13</v>
      </c>
      <c r="H4358" s="1" t="str">
        <f>HYPERLINK("http://www.weizmann.ac.il/complex/compphys/software/geview/data/figures/216044_x_at.png","Figure")</f>
        <v>Figure</v>
      </c>
      <c r="I4358">
        <v>0.96299999999999997</v>
      </c>
      <c r="J4358">
        <v>0.75</v>
      </c>
      <c r="K4358">
        <v>1.1000000000000001</v>
      </c>
      <c r="L4358">
        <v>0.12</v>
      </c>
      <c r="M4358">
        <v>1.1399999999999999</v>
      </c>
      <c r="N4358">
        <v>0.04</v>
      </c>
    </row>
    <row r="4359" spans="1:14" x14ac:dyDescent="0.25">
      <c r="A4359" t="s">
        <v>7934</v>
      </c>
      <c r="B4359" t="s">
        <v>7935</v>
      </c>
      <c r="C4359" s="1" t="str">
        <f>HYPERLINK("http://www.genecards.org/cgi-bin/carddisp.pl?gene=NINJ2","GeneCards")</f>
        <v>GeneCards</v>
      </c>
      <c r="D4359" s="1" t="str">
        <f>HYPERLINK("http://genome-euro.ucsc.edu/cgi-bin/hgTracks?position=219594_at","UCSC")</f>
        <v>UCSC</v>
      </c>
      <c r="E4359" s="1" t="str">
        <f>HYPERLINK("http://www.ncbi.nlm.nih.gov/gene/?term=NINJ2","NCBI")</f>
        <v>NCBI</v>
      </c>
      <c r="F4359">
        <v>3.4000000000000002E-2</v>
      </c>
      <c r="G4359">
        <v>0.13</v>
      </c>
      <c r="H4359" s="1" t="str">
        <f>HYPERLINK("http://www.weizmann.ac.il/complex/compphys/software/geview/data/figures/219594_at.png","Figure")</f>
        <v>Figure</v>
      </c>
      <c r="I4359">
        <v>0.79700000000000004</v>
      </c>
      <c r="J4359">
        <v>0.12</v>
      </c>
      <c r="K4359">
        <v>1.07</v>
      </c>
      <c r="L4359">
        <v>0.77</v>
      </c>
      <c r="M4359">
        <v>1.34</v>
      </c>
      <c r="N4359">
        <v>2.9000000000000001E-2</v>
      </c>
    </row>
    <row r="4360" spans="1:14" x14ac:dyDescent="0.25">
      <c r="A4360" t="s">
        <v>7936</v>
      </c>
      <c r="B4360" t="s">
        <v>7937</v>
      </c>
      <c r="C4360" s="1" t="str">
        <f>HYPERLINK("http://www.genecards.org/cgi-bin/carddisp.pl?gene=RASSF4","GeneCards")</f>
        <v>GeneCards</v>
      </c>
      <c r="D4360" s="1" t="str">
        <f>HYPERLINK("http://genome-euro.ucsc.edu/cgi-bin/hgTracks?position=221578_at","UCSC")</f>
        <v>UCSC</v>
      </c>
      <c r="E4360" s="1" t="str">
        <f>HYPERLINK("http://www.ncbi.nlm.nih.gov/gene/?term=RASSF4","NCBI")</f>
        <v>NCBI</v>
      </c>
      <c r="F4360">
        <v>3.4000000000000002E-2</v>
      </c>
      <c r="G4360">
        <v>0.13</v>
      </c>
      <c r="H4360" s="1" t="str">
        <f>HYPERLINK("http://www.weizmann.ac.il/complex/compphys/software/geview/data/figures/221578_at.png","Figure")</f>
        <v>Figure</v>
      </c>
      <c r="I4360">
        <v>1.1399999999999999</v>
      </c>
      <c r="J4360">
        <v>0.15</v>
      </c>
      <c r="K4360">
        <v>1.19</v>
      </c>
      <c r="L4360">
        <v>0.03</v>
      </c>
      <c r="M4360">
        <v>1.04</v>
      </c>
      <c r="N4360">
        <v>0.82</v>
      </c>
    </row>
    <row r="4361" spans="1:14" x14ac:dyDescent="0.25">
      <c r="A4361" t="s">
        <v>7938</v>
      </c>
      <c r="B4361" t="s">
        <v>5074</v>
      </c>
      <c r="C4361" s="1" t="str">
        <f>HYPERLINK("http://www.genecards.org/cgi-bin/carddisp.pl?gene=SNX11","GeneCards")</f>
        <v>GeneCards</v>
      </c>
      <c r="D4361" s="1" t="str">
        <f>HYPERLINK("http://genome-euro.ucsc.edu/cgi-bin/hgTracks?position=53912_at","UCSC")</f>
        <v>UCSC</v>
      </c>
      <c r="E4361" s="1" t="str">
        <f>HYPERLINK("http://www.ncbi.nlm.nih.gov/gene/?term=SNX11","NCBI")</f>
        <v>NCBI</v>
      </c>
      <c r="F4361">
        <v>3.4000000000000002E-2</v>
      </c>
      <c r="G4361">
        <v>0.13</v>
      </c>
      <c r="H4361" s="1" t="str">
        <f>HYPERLINK("http://www.weizmann.ac.il/complex/compphys/software/geview/data/figures/53912_at.png","Figure")</f>
        <v>Figure</v>
      </c>
      <c r="I4361">
        <v>1.1599999999999999</v>
      </c>
      <c r="J4361">
        <v>3.6999999999999998E-2</v>
      </c>
      <c r="K4361">
        <v>1.03</v>
      </c>
      <c r="L4361">
        <v>0.85</v>
      </c>
      <c r="M4361">
        <v>0.88200000000000001</v>
      </c>
      <c r="N4361">
        <v>6.6000000000000003E-2</v>
      </c>
    </row>
    <row r="4362" spans="1:14" x14ac:dyDescent="0.25">
      <c r="A4362" t="s">
        <v>7939</v>
      </c>
      <c r="B4362" t="s">
        <v>7940</v>
      </c>
      <c r="C4362" s="1" t="str">
        <f>HYPERLINK("http://www.genecards.org/cgi-bin/carddisp.pl?gene=DUOX2","GeneCards")</f>
        <v>GeneCards</v>
      </c>
      <c r="D4362" s="1" t="str">
        <f>HYPERLINK("http://genome-euro.ucsc.edu/cgi-bin/hgTracks?position=219727_at","UCSC")</f>
        <v>UCSC</v>
      </c>
      <c r="E4362" s="1" t="str">
        <f>HYPERLINK("http://www.ncbi.nlm.nih.gov/gene/?term=DUOX2","NCBI")</f>
        <v>NCBI</v>
      </c>
      <c r="F4362">
        <v>3.4000000000000002E-2</v>
      </c>
      <c r="G4362">
        <v>0.13</v>
      </c>
      <c r="H4362" s="1" t="str">
        <f>HYPERLINK("http://www.weizmann.ac.il/complex/compphys/software/geview/data/figures/219727_at.png","Figure")</f>
        <v>Figure</v>
      </c>
      <c r="I4362">
        <v>1.0900000000000001</v>
      </c>
      <c r="J4362">
        <v>0.21</v>
      </c>
      <c r="K4362">
        <v>0.95399999999999996</v>
      </c>
      <c r="L4362">
        <v>0.52</v>
      </c>
      <c r="M4362">
        <v>0.874</v>
      </c>
      <c r="N4362">
        <v>2.7E-2</v>
      </c>
    </row>
    <row r="4363" spans="1:14" x14ac:dyDescent="0.25">
      <c r="A4363" t="s">
        <v>7941</v>
      </c>
      <c r="B4363" t="s">
        <v>7843</v>
      </c>
      <c r="C4363" s="1" t="str">
        <f>HYPERLINK("http://www.genecards.org/cgi-bin/carddisp.pl?gene=NCAPH2","GeneCards")</f>
        <v>GeneCards</v>
      </c>
      <c r="D4363" s="1" t="str">
        <f>HYPERLINK("http://genome-euro.ucsc.edu/cgi-bin/hgTracks?position=40640_at","UCSC")</f>
        <v>UCSC</v>
      </c>
      <c r="E4363" s="1" t="str">
        <f>HYPERLINK("http://www.ncbi.nlm.nih.gov/gene/?term=NCAPH2","NCBI")</f>
        <v>NCBI</v>
      </c>
      <c r="F4363">
        <v>3.4000000000000002E-2</v>
      </c>
      <c r="G4363">
        <v>0.13</v>
      </c>
      <c r="H4363" s="1" t="str">
        <f>HYPERLINK("http://www.weizmann.ac.il/complex/compphys/software/geview/data/figures/40640_at.png","Figure")</f>
        <v>Figure</v>
      </c>
      <c r="I4363">
        <v>1.23</v>
      </c>
      <c r="J4363">
        <v>2.8000000000000001E-2</v>
      </c>
      <c r="K4363">
        <v>1.07</v>
      </c>
      <c r="L4363">
        <v>0.49</v>
      </c>
      <c r="M4363">
        <v>0.872</v>
      </c>
      <c r="N4363">
        <v>0.13</v>
      </c>
    </row>
    <row r="4364" spans="1:14" x14ac:dyDescent="0.25">
      <c r="A4364" t="s">
        <v>7942</v>
      </c>
      <c r="B4364" t="s">
        <v>7943</v>
      </c>
      <c r="C4364" s="1" t="str">
        <f>HYPERLINK("http://www.genecards.org/cgi-bin/carddisp.pl?gene=EIF3A","GeneCards")</f>
        <v>GeneCards</v>
      </c>
      <c r="D4364" s="1" t="str">
        <f>HYPERLINK("http://genome-euro.ucsc.edu/cgi-bin/hgTracks?position=200597_at","UCSC")</f>
        <v>UCSC</v>
      </c>
      <c r="E4364" s="1" t="str">
        <f>HYPERLINK("http://www.ncbi.nlm.nih.gov/gene/?term=EIF3A","NCBI")</f>
        <v>NCBI</v>
      </c>
      <c r="F4364">
        <v>3.4000000000000002E-2</v>
      </c>
      <c r="G4364">
        <v>0.13</v>
      </c>
      <c r="H4364" s="1" t="str">
        <f>HYPERLINK("http://www.weizmann.ac.il/complex/compphys/software/geview/data/figures/200597_at.png","Figure")</f>
        <v>Figure</v>
      </c>
      <c r="I4364">
        <v>0.69399999999999995</v>
      </c>
      <c r="J4364">
        <v>0.31</v>
      </c>
      <c r="K4364">
        <v>0.53900000000000003</v>
      </c>
      <c r="L4364">
        <v>2.7E-2</v>
      </c>
      <c r="M4364">
        <v>0.77700000000000002</v>
      </c>
      <c r="N4364">
        <v>0.51</v>
      </c>
    </row>
    <row r="4365" spans="1:14" x14ac:dyDescent="0.25">
      <c r="A4365" t="s">
        <v>7944</v>
      </c>
      <c r="B4365" t="s">
        <v>7945</v>
      </c>
      <c r="C4365" s="1" t="str">
        <f>HYPERLINK("http://www.genecards.org/cgi-bin/carddisp.pl?gene=RAPGEF2","GeneCards")</f>
        <v>GeneCards</v>
      </c>
      <c r="D4365" s="1" t="str">
        <f>HYPERLINK("http://genome-euro.ucsc.edu/cgi-bin/hgTracks?position=203097_s_at","UCSC")</f>
        <v>UCSC</v>
      </c>
      <c r="E4365" s="1" t="str">
        <f>HYPERLINK("http://www.ncbi.nlm.nih.gov/gene/?term=RAPGEF2","NCBI")</f>
        <v>NCBI</v>
      </c>
      <c r="F4365">
        <v>3.4000000000000002E-2</v>
      </c>
      <c r="G4365">
        <v>0.13</v>
      </c>
      <c r="H4365" s="1" t="str">
        <f>HYPERLINK("http://www.weizmann.ac.il/complex/compphys/software/geview/data/figures/203097_s_at.png","Figure")</f>
        <v>Figure</v>
      </c>
      <c r="I4365">
        <v>0.98299999999999998</v>
      </c>
      <c r="J4365">
        <v>1</v>
      </c>
      <c r="K4365">
        <v>0.63900000000000001</v>
      </c>
      <c r="L4365">
        <v>5.2999999999999999E-2</v>
      </c>
      <c r="M4365">
        <v>0.65</v>
      </c>
      <c r="N4365">
        <v>8.4000000000000005E-2</v>
      </c>
    </row>
    <row r="4366" spans="1:14" x14ac:dyDescent="0.25">
      <c r="A4366" t="s">
        <v>7946</v>
      </c>
      <c r="B4366" t="s">
        <v>1246</v>
      </c>
      <c r="C4366" s="1" t="str">
        <f>HYPERLINK("http://www.genecards.org/cgi-bin/carddisp.pl?gene=LPHN1","GeneCards")</f>
        <v>GeneCards</v>
      </c>
      <c r="D4366" s="1" t="str">
        <f>HYPERLINK("http://genome-euro.ucsc.edu/cgi-bin/hgTracks?position=203488_at","UCSC")</f>
        <v>UCSC</v>
      </c>
      <c r="E4366" s="1" t="str">
        <f>HYPERLINK("http://www.ncbi.nlm.nih.gov/gene/?term=LPHN1","NCBI")</f>
        <v>NCBI</v>
      </c>
      <c r="F4366">
        <v>3.4000000000000002E-2</v>
      </c>
      <c r="G4366">
        <v>0.13</v>
      </c>
      <c r="H4366" s="1" t="str">
        <f>HYPERLINK("http://www.weizmann.ac.il/complex/compphys/software/geview/data/figures/203488_at.png","Figure")</f>
        <v>Figure</v>
      </c>
      <c r="I4366">
        <v>1.35</v>
      </c>
      <c r="J4366">
        <v>4.2999999999999997E-2</v>
      </c>
      <c r="K4366">
        <v>1.03</v>
      </c>
      <c r="L4366">
        <v>0.93</v>
      </c>
      <c r="M4366">
        <v>0.76700000000000002</v>
      </c>
      <c r="N4366">
        <v>5.5E-2</v>
      </c>
    </row>
    <row r="4367" spans="1:14" x14ac:dyDescent="0.25">
      <c r="A4367" t="s">
        <v>7947</v>
      </c>
      <c r="B4367" t="s">
        <v>7948</v>
      </c>
      <c r="C4367" s="1" t="str">
        <f>HYPERLINK("http://www.genecards.org/cgi-bin/carddisp.pl?gene=MAD1L1","GeneCards")</f>
        <v>GeneCards</v>
      </c>
      <c r="D4367" s="1" t="str">
        <f>HYPERLINK("http://genome-euro.ucsc.edu/cgi-bin/hgTracks?position=204857_at","UCSC")</f>
        <v>UCSC</v>
      </c>
      <c r="E4367" s="1" t="str">
        <f>HYPERLINK("http://www.ncbi.nlm.nih.gov/gene/?term=MAD1L1","NCBI")</f>
        <v>NCBI</v>
      </c>
      <c r="F4367">
        <v>3.4000000000000002E-2</v>
      </c>
      <c r="G4367">
        <v>0.13</v>
      </c>
      <c r="H4367" s="1" t="str">
        <f>HYPERLINK("http://www.weizmann.ac.il/complex/compphys/software/geview/data/figures/204857_at.png","Figure")</f>
        <v>Figure</v>
      </c>
      <c r="I4367">
        <v>1.54</v>
      </c>
      <c r="J4367">
        <v>0.18</v>
      </c>
      <c r="K4367">
        <v>1.81</v>
      </c>
      <c r="L4367">
        <v>2.8000000000000001E-2</v>
      </c>
      <c r="M4367">
        <v>1.17</v>
      </c>
      <c r="N4367">
        <v>0.75</v>
      </c>
    </row>
    <row r="4368" spans="1:14" x14ac:dyDescent="0.25">
      <c r="A4368" t="s">
        <v>7949</v>
      </c>
      <c r="B4368" t="s">
        <v>6430</v>
      </c>
      <c r="C4368" s="1" t="str">
        <f>HYPERLINK("http://www.genecards.org/cgi-bin/carddisp.pl?gene=HMMR","GeneCards")</f>
        <v>GeneCards</v>
      </c>
      <c r="D4368" s="1" t="str">
        <f>HYPERLINK("http://genome-euro.ucsc.edu/cgi-bin/hgTracks?position=207165_at","UCSC")</f>
        <v>UCSC</v>
      </c>
      <c r="E4368" s="1" t="str">
        <f>HYPERLINK("http://www.ncbi.nlm.nih.gov/gene/?term=HMMR","NCBI")</f>
        <v>NCBI</v>
      </c>
      <c r="F4368">
        <v>3.4000000000000002E-2</v>
      </c>
      <c r="G4368">
        <v>0.13</v>
      </c>
      <c r="H4368" s="1" t="str">
        <f>HYPERLINK("http://www.weizmann.ac.il/complex/compphys/software/geview/data/figures/207165_at.png","Figure")</f>
        <v>Figure</v>
      </c>
      <c r="I4368">
        <v>0.85699999999999998</v>
      </c>
      <c r="J4368">
        <v>0.86</v>
      </c>
      <c r="K4368">
        <v>1.77</v>
      </c>
      <c r="L4368">
        <v>9.9000000000000005E-2</v>
      </c>
      <c r="M4368">
        <v>2.0699999999999998</v>
      </c>
      <c r="N4368">
        <v>4.7E-2</v>
      </c>
    </row>
    <row r="4369" spans="1:14" x14ac:dyDescent="0.25">
      <c r="A4369" t="s">
        <v>7950</v>
      </c>
      <c r="B4369" t="s">
        <v>7951</v>
      </c>
      <c r="C4369" s="1" t="str">
        <f>HYPERLINK("http://www.genecards.org/cgi-bin/carddisp.pl?gene=MC2R","GeneCards")</f>
        <v>GeneCards</v>
      </c>
      <c r="D4369" s="1" t="str">
        <f>HYPERLINK("http://genome-euro.ucsc.edu/cgi-bin/hgTracks?position=208568_at","UCSC")</f>
        <v>UCSC</v>
      </c>
      <c r="E4369" s="1" t="str">
        <f>HYPERLINK("http://www.ncbi.nlm.nih.gov/gene/?term=MC2R","NCBI")</f>
        <v>NCBI</v>
      </c>
      <c r="F4369">
        <v>3.4000000000000002E-2</v>
      </c>
      <c r="G4369">
        <v>0.13</v>
      </c>
      <c r="H4369" s="1" t="str">
        <f>HYPERLINK("http://www.weizmann.ac.il/complex/compphys/software/geview/data/figures/208568_at.png","Figure")</f>
        <v>Figure</v>
      </c>
      <c r="I4369">
        <v>1.31</v>
      </c>
      <c r="J4369">
        <v>3.3000000000000002E-2</v>
      </c>
      <c r="K4369">
        <v>1.06</v>
      </c>
      <c r="L4369">
        <v>0.75</v>
      </c>
      <c r="M4369">
        <v>0.81200000000000006</v>
      </c>
      <c r="N4369">
        <v>0.08</v>
      </c>
    </row>
    <row r="4370" spans="1:14" x14ac:dyDescent="0.25">
      <c r="A4370" t="s">
        <v>7952</v>
      </c>
      <c r="B4370" t="s">
        <v>7953</v>
      </c>
      <c r="C4370" s="1" t="str">
        <f>HYPERLINK("http://www.genecards.org/cgi-bin/carddisp.pl?gene=COMT","GeneCards")</f>
        <v>GeneCards</v>
      </c>
      <c r="D4370" s="1" t="str">
        <f>HYPERLINK("http://genome-euro.ucsc.edu/cgi-bin/hgTracks?position=208817_at","UCSC")</f>
        <v>UCSC</v>
      </c>
      <c r="E4370" s="1" t="str">
        <f>HYPERLINK("http://www.ncbi.nlm.nih.gov/gene/?term=COMT","NCBI")</f>
        <v>NCBI</v>
      </c>
      <c r="F4370">
        <v>3.4000000000000002E-2</v>
      </c>
      <c r="G4370">
        <v>0.13</v>
      </c>
      <c r="H4370" s="1" t="str">
        <f>HYPERLINK("http://www.weizmann.ac.il/complex/compphys/software/geview/data/figures/208817_at.png","Figure")</f>
        <v>Figure</v>
      </c>
      <c r="I4370">
        <v>1.1399999999999999</v>
      </c>
      <c r="J4370">
        <v>0.73</v>
      </c>
      <c r="K4370">
        <v>1.55</v>
      </c>
      <c r="L4370">
        <v>3.3000000000000002E-2</v>
      </c>
      <c r="M4370">
        <v>1.36</v>
      </c>
      <c r="N4370">
        <v>0.19</v>
      </c>
    </row>
    <row r="4371" spans="1:14" x14ac:dyDescent="0.25">
      <c r="A4371" t="s">
        <v>7954</v>
      </c>
      <c r="B4371" t="s">
        <v>6405</v>
      </c>
      <c r="C4371" s="1" t="str">
        <f>HYPERLINK("http://www.genecards.org/cgi-bin/carddisp.pl?gene=MYL4","GeneCards")</f>
        <v>GeneCards</v>
      </c>
      <c r="D4371" s="1" t="str">
        <f>HYPERLINK("http://genome-euro.ucsc.edu/cgi-bin/hgTracks?position=210088_x_at","UCSC")</f>
        <v>UCSC</v>
      </c>
      <c r="E4371" s="1" t="str">
        <f>HYPERLINK("http://www.ncbi.nlm.nih.gov/gene/?term=MYL4","NCBI")</f>
        <v>NCBI</v>
      </c>
      <c r="F4371">
        <v>3.4000000000000002E-2</v>
      </c>
      <c r="G4371">
        <v>0.13</v>
      </c>
      <c r="H4371" s="1" t="str">
        <f>HYPERLINK("http://www.weizmann.ac.il/complex/compphys/software/geview/data/figures/210088_x_at.png","Figure")</f>
        <v>Figure</v>
      </c>
      <c r="I4371">
        <v>1.55</v>
      </c>
      <c r="J4371">
        <v>3.6999999999999998E-2</v>
      </c>
      <c r="K4371">
        <v>1.36</v>
      </c>
      <c r="L4371">
        <v>9.4E-2</v>
      </c>
      <c r="M4371">
        <v>0.88100000000000001</v>
      </c>
      <c r="N4371">
        <v>0.67</v>
      </c>
    </row>
    <row r="4372" spans="1:14" x14ac:dyDescent="0.25">
      <c r="A4372" t="s">
        <v>7955</v>
      </c>
      <c r="B4372" t="s">
        <v>7956</v>
      </c>
      <c r="C4372" s="1" t="str">
        <f>HYPERLINK("http://www.genecards.org/cgi-bin/carddisp.pl?gene=BUB1","GeneCards")</f>
        <v>GeneCards</v>
      </c>
      <c r="D4372" s="1" t="str">
        <f>HYPERLINK("http://genome-euro.ucsc.edu/cgi-bin/hgTracks?position=216275_at","UCSC")</f>
        <v>UCSC</v>
      </c>
      <c r="E4372" s="1" t="str">
        <f>HYPERLINK("http://www.ncbi.nlm.nih.gov/gene/?term=BUB1","NCBI")</f>
        <v>NCBI</v>
      </c>
      <c r="F4372">
        <v>3.4000000000000002E-2</v>
      </c>
      <c r="G4372">
        <v>0.13</v>
      </c>
      <c r="H4372" s="1" t="str">
        <f>HYPERLINK("http://www.weizmann.ac.il/complex/compphys/software/geview/data/figures/216275_at.png","Figure")</f>
        <v>Figure</v>
      </c>
      <c r="I4372">
        <v>1.26</v>
      </c>
      <c r="J4372">
        <v>2.7E-2</v>
      </c>
      <c r="K4372">
        <v>1.1200000000000001</v>
      </c>
      <c r="L4372">
        <v>0.25</v>
      </c>
      <c r="M4372">
        <v>0.89</v>
      </c>
      <c r="N4372">
        <v>0.27</v>
      </c>
    </row>
    <row r="4373" spans="1:14" x14ac:dyDescent="0.25">
      <c r="A4373" t="s">
        <v>7957</v>
      </c>
      <c r="B4373" t="s">
        <v>7958</v>
      </c>
      <c r="C4373" s="1" t="str">
        <f>HYPERLINK("http://www.genecards.org/cgi-bin/carddisp.pl?gene=SCNM1","GeneCards")</f>
        <v>GeneCards</v>
      </c>
      <c r="D4373" s="1" t="str">
        <f>HYPERLINK("http://genome-euro.ucsc.edu/cgi-bin/hgTracks?position=218672_at","UCSC")</f>
        <v>UCSC</v>
      </c>
      <c r="E4373" s="1" t="str">
        <f>HYPERLINK("http://www.ncbi.nlm.nih.gov/gene/?term=SCNM1","NCBI")</f>
        <v>NCBI</v>
      </c>
      <c r="F4373">
        <v>3.4000000000000002E-2</v>
      </c>
      <c r="G4373">
        <v>0.13</v>
      </c>
      <c r="H4373" s="1" t="str">
        <f>HYPERLINK("http://www.weizmann.ac.il/complex/compphys/software/geview/data/figures/218672_at.png","Figure")</f>
        <v>Figure</v>
      </c>
      <c r="I4373">
        <v>1.37</v>
      </c>
      <c r="J4373">
        <v>0.12</v>
      </c>
      <c r="K4373">
        <v>1.45</v>
      </c>
      <c r="L4373">
        <v>3.3000000000000002E-2</v>
      </c>
      <c r="M4373">
        <v>1.05</v>
      </c>
      <c r="N4373">
        <v>0.93</v>
      </c>
    </row>
    <row r="4374" spans="1:14" x14ac:dyDescent="0.25">
      <c r="A4374" t="s">
        <v>7959</v>
      </c>
      <c r="B4374" t="s">
        <v>7960</v>
      </c>
      <c r="C4374" s="1" t="str">
        <f>HYPERLINK("http://www.genecards.org/cgi-bin/carddisp.pl?gene=ETV7","GeneCards")</f>
        <v>GeneCards</v>
      </c>
      <c r="D4374" s="1" t="str">
        <f>HYPERLINK("http://genome-euro.ucsc.edu/cgi-bin/hgTracks?position=221680_s_at","UCSC")</f>
        <v>UCSC</v>
      </c>
      <c r="E4374" s="1" t="str">
        <f>HYPERLINK("http://www.ncbi.nlm.nih.gov/gene/?term=ETV7","NCBI")</f>
        <v>NCBI</v>
      </c>
      <c r="F4374">
        <v>3.4000000000000002E-2</v>
      </c>
      <c r="G4374">
        <v>0.13</v>
      </c>
      <c r="H4374" s="1" t="str">
        <f>HYPERLINK("http://www.weizmann.ac.il/complex/compphys/software/geview/data/figures/221680_s_at.png","Figure")</f>
        <v>Figure</v>
      </c>
      <c r="I4374">
        <v>1.34</v>
      </c>
      <c r="J4374">
        <v>3.4000000000000002E-2</v>
      </c>
      <c r="K4374">
        <v>1.07</v>
      </c>
      <c r="L4374">
        <v>0.76</v>
      </c>
      <c r="M4374">
        <v>0.79700000000000004</v>
      </c>
      <c r="N4374">
        <v>7.8E-2</v>
      </c>
    </row>
    <row r="4375" spans="1:14" x14ac:dyDescent="0.25">
      <c r="A4375" t="s">
        <v>7961</v>
      </c>
      <c r="B4375" t="s">
        <v>7962</v>
      </c>
      <c r="C4375" s="1" t="str">
        <f>HYPERLINK("http://www.genecards.org/cgi-bin/carddisp.pl?gene=EEF2","GeneCards")</f>
        <v>GeneCards</v>
      </c>
      <c r="D4375" s="1" t="str">
        <f>HYPERLINK("http://genome-euro.ucsc.edu/cgi-bin/hgTracks?position=204102_s_at","UCSC")</f>
        <v>UCSC</v>
      </c>
      <c r="E4375" s="1" t="str">
        <f>HYPERLINK("http://www.ncbi.nlm.nih.gov/gene/?term=EEF2","NCBI")</f>
        <v>NCBI</v>
      </c>
      <c r="F4375">
        <v>3.4000000000000002E-2</v>
      </c>
      <c r="G4375">
        <v>0.13</v>
      </c>
      <c r="H4375" s="1" t="str">
        <f>HYPERLINK("http://www.weizmann.ac.il/complex/compphys/software/geview/data/figures/204102_s_at.png","Figure")</f>
        <v>Figure</v>
      </c>
      <c r="I4375">
        <v>0.67500000000000004</v>
      </c>
      <c r="J4375">
        <v>2.7E-2</v>
      </c>
      <c r="K4375">
        <v>0.83499999999999996</v>
      </c>
      <c r="L4375">
        <v>0.28999999999999998</v>
      </c>
      <c r="M4375">
        <v>1.24</v>
      </c>
      <c r="N4375">
        <v>0.23</v>
      </c>
    </row>
    <row r="4376" spans="1:14" x14ac:dyDescent="0.25">
      <c r="A4376" t="s">
        <v>7963</v>
      </c>
      <c r="B4376" t="s">
        <v>7964</v>
      </c>
      <c r="C4376" s="1" t="str">
        <f>HYPERLINK("http://www.genecards.org/cgi-bin/carddisp.pl?gene=PIK3R1","GeneCards")</f>
        <v>GeneCards</v>
      </c>
      <c r="D4376" s="1" t="str">
        <f>HYPERLINK("http://genome-euro.ucsc.edu/cgi-bin/hgTracks?position=212240_s_at","UCSC")</f>
        <v>UCSC</v>
      </c>
      <c r="E4376" s="1" t="str">
        <f>HYPERLINK("http://www.ncbi.nlm.nih.gov/gene/?term=PIK3R1","NCBI")</f>
        <v>NCBI</v>
      </c>
      <c r="F4376">
        <v>3.4000000000000002E-2</v>
      </c>
      <c r="G4376">
        <v>0.13</v>
      </c>
      <c r="H4376" s="1" t="str">
        <f>HYPERLINK("http://www.weizmann.ac.il/complex/compphys/software/geview/data/figures/212240_s_at.png","Figure")</f>
        <v>Figure</v>
      </c>
      <c r="I4376">
        <v>1.48</v>
      </c>
      <c r="J4376">
        <v>0.18</v>
      </c>
      <c r="K4376">
        <v>0.83199999999999996</v>
      </c>
      <c r="L4376">
        <v>0.57999999999999996</v>
      </c>
      <c r="M4376">
        <v>0.56399999999999995</v>
      </c>
      <c r="N4376">
        <v>2.7E-2</v>
      </c>
    </row>
    <row r="4377" spans="1:14" x14ac:dyDescent="0.25">
      <c r="A4377" t="s">
        <v>7965</v>
      </c>
      <c r="B4377" t="s">
        <v>4551</v>
      </c>
      <c r="C4377" s="1" t="str">
        <f>HYPERLINK("http://www.genecards.org/cgi-bin/carddisp.pl?gene=CNOT8","GeneCards")</f>
        <v>GeneCards</v>
      </c>
      <c r="D4377" s="1" t="str">
        <f>HYPERLINK("http://genome-euro.ucsc.edu/cgi-bin/hgTracks?position=202163_s_at","UCSC")</f>
        <v>UCSC</v>
      </c>
      <c r="E4377" s="1" t="str">
        <f>HYPERLINK("http://www.ncbi.nlm.nih.gov/gene/?term=CNOT8","NCBI")</f>
        <v>NCBI</v>
      </c>
      <c r="F4377">
        <v>3.4000000000000002E-2</v>
      </c>
      <c r="G4377">
        <v>0.13</v>
      </c>
      <c r="H4377" s="1" t="str">
        <f>HYPERLINK("http://www.weizmann.ac.il/complex/compphys/software/geview/data/figures/202163_s_at.png","Figure")</f>
        <v>Figure</v>
      </c>
      <c r="I4377">
        <v>0.78700000000000003</v>
      </c>
      <c r="J4377">
        <v>0.51</v>
      </c>
      <c r="K4377">
        <v>0.58099999999999996</v>
      </c>
      <c r="L4377">
        <v>2.8000000000000001E-2</v>
      </c>
      <c r="M4377">
        <v>0.73699999999999999</v>
      </c>
      <c r="N4377">
        <v>0.3</v>
      </c>
    </row>
    <row r="4378" spans="1:14" x14ac:dyDescent="0.25">
      <c r="A4378" t="s">
        <v>7966</v>
      </c>
      <c r="B4378" t="s">
        <v>7967</v>
      </c>
      <c r="C4378" s="1" t="str">
        <f>HYPERLINK("http://www.genecards.org/cgi-bin/carddisp.pl?gene=DIO3","GeneCards")</f>
        <v>GeneCards</v>
      </c>
      <c r="D4378" s="1" t="str">
        <f>HYPERLINK("http://genome-euro.ucsc.edu/cgi-bin/hgTracks?position=207154_at","UCSC")</f>
        <v>UCSC</v>
      </c>
      <c r="E4378" s="1" t="str">
        <f>HYPERLINK("http://www.ncbi.nlm.nih.gov/gene/?term=DIO3","NCBI")</f>
        <v>NCBI</v>
      </c>
      <c r="F4378">
        <v>3.4000000000000002E-2</v>
      </c>
      <c r="G4378">
        <v>0.13</v>
      </c>
      <c r="H4378" s="1" t="str">
        <f>HYPERLINK("http://www.weizmann.ac.il/complex/compphys/software/geview/data/figures/207154_at.png","Figure")</f>
        <v>Figure</v>
      </c>
      <c r="I4378">
        <v>1.36</v>
      </c>
      <c r="J4378">
        <v>2.9000000000000001E-2</v>
      </c>
      <c r="K4378">
        <v>1.19</v>
      </c>
      <c r="L4378">
        <v>0.18</v>
      </c>
      <c r="M4378">
        <v>0.874</v>
      </c>
      <c r="N4378">
        <v>0.38</v>
      </c>
    </row>
    <row r="4379" spans="1:14" x14ac:dyDescent="0.25">
      <c r="A4379" t="s">
        <v>7968</v>
      </c>
      <c r="B4379" t="s">
        <v>3514</v>
      </c>
      <c r="C4379" s="1" t="str">
        <f>HYPERLINK("http://www.genecards.org/cgi-bin/carddisp.pl?gene=STAG2","GeneCards")</f>
        <v>GeneCards</v>
      </c>
      <c r="D4379" s="1" t="str">
        <f>HYPERLINK("http://genome-euro.ucsc.edu/cgi-bin/hgTracks?position=209022_at","UCSC")</f>
        <v>UCSC</v>
      </c>
      <c r="E4379" s="1" t="str">
        <f>HYPERLINK("http://www.ncbi.nlm.nih.gov/gene/?term=STAG2","NCBI")</f>
        <v>NCBI</v>
      </c>
      <c r="F4379">
        <v>3.4000000000000002E-2</v>
      </c>
      <c r="G4379">
        <v>0.13</v>
      </c>
      <c r="H4379" s="1" t="str">
        <f>HYPERLINK("http://www.weizmann.ac.il/complex/compphys/software/geview/data/figures/209022_at.png","Figure")</f>
        <v>Figure</v>
      </c>
      <c r="I4379">
        <v>0.57099999999999995</v>
      </c>
      <c r="J4379">
        <v>3.1E-2</v>
      </c>
      <c r="K4379">
        <v>0.85699999999999998</v>
      </c>
      <c r="L4379">
        <v>0.64</v>
      </c>
      <c r="M4379">
        <v>1.5</v>
      </c>
      <c r="N4379">
        <v>9.9000000000000005E-2</v>
      </c>
    </row>
    <row r="4380" spans="1:14" x14ac:dyDescent="0.25">
      <c r="A4380" t="s">
        <v>7969</v>
      </c>
      <c r="B4380" t="s">
        <v>6185</v>
      </c>
      <c r="C4380" s="1" t="str">
        <f>HYPERLINK("http://www.genecards.org/cgi-bin/carddisp.pl?gene=APBB2","GeneCards")</f>
        <v>GeneCards</v>
      </c>
      <c r="D4380" s="1" t="str">
        <f>HYPERLINK("http://genome-euro.ucsc.edu/cgi-bin/hgTracks?position=212970_at","UCSC")</f>
        <v>UCSC</v>
      </c>
      <c r="E4380" s="1" t="str">
        <f>HYPERLINK("http://www.ncbi.nlm.nih.gov/gene/?term=APBB2","NCBI")</f>
        <v>NCBI</v>
      </c>
      <c r="F4380">
        <v>3.4000000000000002E-2</v>
      </c>
      <c r="G4380">
        <v>0.13</v>
      </c>
      <c r="H4380" s="1" t="str">
        <f>HYPERLINK("http://www.weizmann.ac.il/complex/compphys/software/geview/data/figures/212970_at.png","Figure")</f>
        <v>Figure</v>
      </c>
      <c r="I4380">
        <v>1.64</v>
      </c>
      <c r="J4380">
        <v>2.9000000000000001E-2</v>
      </c>
      <c r="K4380">
        <v>1.17</v>
      </c>
      <c r="L4380">
        <v>0.54</v>
      </c>
      <c r="M4380">
        <v>0.71399999999999997</v>
      </c>
      <c r="N4380">
        <v>0.12</v>
      </c>
    </row>
    <row r="4381" spans="1:14" x14ac:dyDescent="0.25">
      <c r="A4381" t="s">
        <v>7970</v>
      </c>
      <c r="B4381" t="s">
        <v>7971</v>
      </c>
      <c r="C4381" s="1" t="str">
        <f>HYPERLINK("http://www.genecards.org/cgi-bin/carddisp.pl?gene=RIF1","GeneCards")</f>
        <v>GeneCards</v>
      </c>
      <c r="D4381" s="1" t="str">
        <f>HYPERLINK("http://genome-euro.ucsc.edu/cgi-bin/hgTracks?position=214700_x_at","UCSC")</f>
        <v>UCSC</v>
      </c>
      <c r="E4381" s="1" t="str">
        <f>HYPERLINK("http://www.ncbi.nlm.nih.gov/gene/?term=RIF1","NCBI")</f>
        <v>NCBI</v>
      </c>
      <c r="F4381">
        <v>3.4000000000000002E-2</v>
      </c>
      <c r="G4381">
        <v>0.13</v>
      </c>
      <c r="H4381" s="1" t="str">
        <f>HYPERLINK("http://www.weizmann.ac.il/complex/compphys/software/geview/data/figures/214700_x_at.png","Figure")</f>
        <v>Figure</v>
      </c>
      <c r="I4381">
        <v>1</v>
      </c>
      <c r="J4381">
        <v>1</v>
      </c>
      <c r="K4381">
        <v>0.55200000000000005</v>
      </c>
      <c r="L4381">
        <v>5.8000000000000003E-2</v>
      </c>
      <c r="M4381">
        <v>0.54900000000000004</v>
      </c>
      <c r="N4381">
        <v>7.5999999999999998E-2</v>
      </c>
    </row>
    <row r="4382" spans="1:14" x14ac:dyDescent="0.25">
      <c r="A4382" t="s">
        <v>7972</v>
      </c>
      <c r="B4382" t="s">
        <v>7973</v>
      </c>
      <c r="C4382" s="1" t="str">
        <f>HYPERLINK("http://www.genecards.org/cgi-bin/carddisp.pl?gene=ZNF573","GeneCards")</f>
        <v>GeneCards</v>
      </c>
      <c r="D4382" s="1" t="str">
        <f>HYPERLINK("http://genome-euro.ucsc.edu/cgi-bin/hgTracks?position=217627_at","UCSC")</f>
        <v>UCSC</v>
      </c>
      <c r="E4382" s="1" t="str">
        <f>HYPERLINK("http://www.ncbi.nlm.nih.gov/gene/?term=ZNF573","NCBI")</f>
        <v>NCBI</v>
      </c>
      <c r="F4382">
        <v>3.4000000000000002E-2</v>
      </c>
      <c r="G4382">
        <v>0.13</v>
      </c>
      <c r="H4382" s="1" t="str">
        <f>HYPERLINK("http://www.weizmann.ac.il/complex/compphys/software/geview/data/figures/217627_at.png","Figure")</f>
        <v>Figure</v>
      </c>
      <c r="I4382">
        <v>0.75</v>
      </c>
      <c r="J4382">
        <v>7.0000000000000007E-2</v>
      </c>
      <c r="K4382">
        <v>1.02</v>
      </c>
      <c r="L4382">
        <v>0.97</v>
      </c>
      <c r="M4382">
        <v>1.36</v>
      </c>
      <c r="N4382">
        <v>3.5999999999999997E-2</v>
      </c>
    </row>
    <row r="4383" spans="1:14" x14ac:dyDescent="0.25">
      <c r="A4383" t="s">
        <v>7974</v>
      </c>
      <c r="B4383" t="s">
        <v>6231</v>
      </c>
      <c r="C4383" s="1" t="str">
        <f>HYPERLINK("http://www.genecards.org/cgi-bin/carddisp.pl?gene=SFTPC","GeneCards")</f>
        <v>GeneCards</v>
      </c>
      <c r="D4383" s="1" t="str">
        <f>HYPERLINK("http://genome-euro.ucsc.edu/cgi-bin/hgTracks?position=211735_x_at","UCSC")</f>
        <v>UCSC</v>
      </c>
      <c r="E4383" s="1" t="str">
        <f>HYPERLINK("http://www.ncbi.nlm.nih.gov/gene/?term=SFTPC","NCBI")</f>
        <v>NCBI</v>
      </c>
      <c r="F4383">
        <v>3.4000000000000002E-2</v>
      </c>
      <c r="G4383">
        <v>0.13</v>
      </c>
      <c r="H4383" s="1" t="str">
        <f>HYPERLINK("http://www.weizmann.ac.il/complex/compphys/software/geview/data/figures/211735_x_at.png","Figure")</f>
        <v>Figure</v>
      </c>
      <c r="I4383">
        <v>1.19</v>
      </c>
      <c r="J4383">
        <v>7.6999999999999999E-2</v>
      </c>
      <c r="K4383">
        <v>1.19</v>
      </c>
      <c r="L4383">
        <v>4.1000000000000002E-2</v>
      </c>
      <c r="M4383">
        <v>1</v>
      </c>
      <c r="N4383">
        <v>1</v>
      </c>
    </row>
    <row r="4384" spans="1:14" x14ac:dyDescent="0.25">
      <c r="A4384" t="s">
        <v>7975</v>
      </c>
      <c r="B4384" t="s">
        <v>7976</v>
      </c>
      <c r="C4384" s="1" t="str">
        <f>HYPERLINK("http://www.genecards.org/cgi-bin/carddisp.pl?gene=TUBG1","GeneCards")</f>
        <v>GeneCards</v>
      </c>
      <c r="D4384" s="1" t="str">
        <f>HYPERLINK("http://genome-euro.ucsc.edu/cgi-bin/hgTracks?position=201714_at","UCSC")</f>
        <v>UCSC</v>
      </c>
      <c r="E4384" s="1" t="str">
        <f>HYPERLINK("http://www.ncbi.nlm.nih.gov/gene/?term=TUBG1","NCBI")</f>
        <v>NCBI</v>
      </c>
      <c r="F4384">
        <v>3.4000000000000002E-2</v>
      </c>
      <c r="G4384">
        <v>0.13</v>
      </c>
      <c r="H4384" s="1" t="str">
        <f>HYPERLINK("http://www.weizmann.ac.il/complex/compphys/software/geview/data/figures/201714_at.png","Figure")</f>
        <v>Figure</v>
      </c>
      <c r="I4384">
        <v>0.60699999999999998</v>
      </c>
      <c r="J4384">
        <v>0.12</v>
      </c>
      <c r="K4384">
        <v>1.1399999999999999</v>
      </c>
      <c r="L4384">
        <v>0.79</v>
      </c>
      <c r="M4384">
        <v>1.88</v>
      </c>
      <c r="N4384">
        <v>2.9000000000000001E-2</v>
      </c>
    </row>
    <row r="4385" spans="1:14" x14ac:dyDescent="0.25">
      <c r="A4385" t="s">
        <v>7977</v>
      </c>
      <c r="B4385" t="s">
        <v>7978</v>
      </c>
      <c r="C4385" s="1" t="str">
        <f>HYPERLINK("http://www.genecards.org/cgi-bin/carddisp.pl?gene=KLK13","GeneCards")</f>
        <v>GeneCards</v>
      </c>
      <c r="D4385" s="1" t="str">
        <f>HYPERLINK("http://genome-euro.ucsc.edu/cgi-bin/hgTracks?position=216670_at","UCSC")</f>
        <v>UCSC</v>
      </c>
      <c r="E4385" s="1" t="str">
        <f>HYPERLINK("http://www.ncbi.nlm.nih.gov/gene/?term=KLK13","NCBI")</f>
        <v>NCBI</v>
      </c>
      <c r="F4385">
        <v>3.4000000000000002E-2</v>
      </c>
      <c r="G4385">
        <v>0.13</v>
      </c>
      <c r="H4385" s="1" t="str">
        <f>HYPERLINK("http://www.weizmann.ac.il/complex/compphys/software/geview/data/figures/216670_at.png","Figure")</f>
        <v>Figure</v>
      </c>
      <c r="I4385">
        <v>1.17</v>
      </c>
      <c r="J4385">
        <v>3.5000000000000003E-2</v>
      </c>
      <c r="K4385">
        <v>1.03</v>
      </c>
      <c r="L4385">
        <v>0.8</v>
      </c>
      <c r="M4385">
        <v>0.88100000000000001</v>
      </c>
      <c r="N4385">
        <v>7.2999999999999995E-2</v>
      </c>
    </row>
    <row r="4386" spans="1:14" x14ac:dyDescent="0.25">
      <c r="A4386" t="s">
        <v>7979</v>
      </c>
      <c r="B4386" t="s">
        <v>7980</v>
      </c>
      <c r="C4386" s="1" t="str">
        <f>HYPERLINK("http://www.genecards.org/cgi-bin/carddisp.pl?gene=CHST3","GeneCards")</f>
        <v>GeneCards</v>
      </c>
      <c r="D4386" s="1" t="str">
        <f>HYPERLINK("http://genome-euro.ucsc.edu/cgi-bin/hgTracks?position=32094_at","UCSC")</f>
        <v>UCSC</v>
      </c>
      <c r="E4386" s="1" t="str">
        <f>HYPERLINK("http://www.ncbi.nlm.nih.gov/gene/?term=CHST3","NCBI")</f>
        <v>NCBI</v>
      </c>
      <c r="F4386">
        <v>3.4000000000000002E-2</v>
      </c>
      <c r="G4386">
        <v>0.13</v>
      </c>
      <c r="H4386" s="1" t="str">
        <f>HYPERLINK("http://www.weizmann.ac.il/complex/compphys/software/geview/data/figures/32094_at.png","Figure")</f>
        <v>Figure</v>
      </c>
      <c r="I4386">
        <v>1.2</v>
      </c>
      <c r="J4386">
        <v>2.7E-2</v>
      </c>
      <c r="K4386">
        <v>1.08</v>
      </c>
      <c r="L4386">
        <v>0.34</v>
      </c>
      <c r="M4386">
        <v>0.90300000000000002</v>
      </c>
      <c r="N4386">
        <v>0.2</v>
      </c>
    </row>
    <row r="4387" spans="1:14" x14ac:dyDescent="0.25">
      <c r="A4387" t="s">
        <v>7981</v>
      </c>
      <c r="B4387" t="s">
        <v>7982</v>
      </c>
      <c r="C4387" s="1" t="str">
        <f>HYPERLINK("http://www.genecards.org/cgi-bin/carddisp.pl?gene=TEX2","GeneCards")</f>
        <v>GeneCards</v>
      </c>
      <c r="D4387" s="1" t="str">
        <f>HYPERLINK("http://genome-euro.ucsc.edu/cgi-bin/hgTracks?position=218099_at","UCSC")</f>
        <v>UCSC</v>
      </c>
      <c r="E4387" s="1" t="str">
        <f>HYPERLINK("http://www.ncbi.nlm.nih.gov/gene/?term=TEX2","NCBI")</f>
        <v>NCBI</v>
      </c>
      <c r="F4387">
        <v>3.4000000000000002E-2</v>
      </c>
      <c r="G4387">
        <v>0.13</v>
      </c>
      <c r="H4387" s="1" t="str">
        <f>HYPERLINK("http://www.weizmann.ac.il/complex/compphys/software/geview/data/figures/218099_at.png","Figure")</f>
        <v>Figure</v>
      </c>
      <c r="I4387">
        <v>0.749</v>
      </c>
      <c r="J4387">
        <v>8.6999999999999994E-2</v>
      </c>
      <c r="K4387">
        <v>1.05</v>
      </c>
      <c r="L4387">
        <v>0.91</v>
      </c>
      <c r="M4387">
        <v>1.4</v>
      </c>
      <c r="N4387">
        <v>3.2000000000000001E-2</v>
      </c>
    </row>
    <row r="4388" spans="1:14" x14ac:dyDescent="0.25">
      <c r="A4388" t="s">
        <v>7983</v>
      </c>
      <c r="B4388" t="s">
        <v>3472</v>
      </c>
      <c r="C4388" s="1" t="str">
        <f>HYPERLINK("http://www.genecards.org/cgi-bin/carddisp.pl?gene=C3orf37","GeneCards")</f>
        <v>GeneCards</v>
      </c>
      <c r="D4388" s="1" t="str">
        <f>HYPERLINK("http://genome-euro.ucsc.edu/cgi-bin/hgTracks?position=201677_at","UCSC")</f>
        <v>UCSC</v>
      </c>
      <c r="E4388" s="1" t="str">
        <f>HYPERLINK("http://www.ncbi.nlm.nih.gov/gene/?term=C3orf37","NCBI")</f>
        <v>NCBI</v>
      </c>
      <c r="F4388">
        <v>3.4000000000000002E-2</v>
      </c>
      <c r="G4388">
        <v>0.13</v>
      </c>
      <c r="H4388" s="1" t="str">
        <f>HYPERLINK("http://www.weizmann.ac.il/complex/compphys/software/geview/data/figures/201677_at.png","Figure")</f>
        <v>Figure</v>
      </c>
      <c r="I4388">
        <v>1.5</v>
      </c>
      <c r="J4388">
        <v>0.18</v>
      </c>
      <c r="K4388">
        <v>0.82399999999999995</v>
      </c>
      <c r="L4388">
        <v>0.56999999999999995</v>
      </c>
      <c r="M4388">
        <v>0.54800000000000004</v>
      </c>
      <c r="N4388">
        <v>2.7E-2</v>
      </c>
    </row>
    <row r="4389" spans="1:14" x14ac:dyDescent="0.25">
      <c r="A4389" t="s">
        <v>7984</v>
      </c>
      <c r="B4389" t="s">
        <v>7985</v>
      </c>
      <c r="C4389" s="1" t="str">
        <f>HYPERLINK("http://www.genecards.org/cgi-bin/carddisp.pl?gene=GATAD1","GeneCards")</f>
        <v>GeneCards</v>
      </c>
      <c r="D4389" s="1" t="str">
        <f>HYPERLINK("http://genome-euro.ucsc.edu/cgi-bin/hgTracks?position=214718_at","UCSC")</f>
        <v>UCSC</v>
      </c>
      <c r="E4389" s="1" t="str">
        <f>HYPERLINK("http://www.ncbi.nlm.nih.gov/gene/?term=GATAD1","NCBI")</f>
        <v>NCBI</v>
      </c>
      <c r="F4389">
        <v>3.4000000000000002E-2</v>
      </c>
      <c r="G4389">
        <v>0.13</v>
      </c>
      <c r="H4389" s="1" t="str">
        <f>HYPERLINK("http://www.weizmann.ac.il/complex/compphys/software/geview/data/figures/214718_at.png","Figure")</f>
        <v>Figure</v>
      </c>
      <c r="I4389">
        <v>0.94</v>
      </c>
      <c r="J4389">
        <v>5.7000000000000002E-2</v>
      </c>
      <c r="K4389">
        <v>1</v>
      </c>
      <c r="L4389">
        <v>1</v>
      </c>
      <c r="M4389">
        <v>1.06</v>
      </c>
      <c r="N4389">
        <v>4.1000000000000002E-2</v>
      </c>
    </row>
    <row r="4390" spans="1:14" x14ac:dyDescent="0.25">
      <c r="A4390" t="s">
        <v>7986</v>
      </c>
      <c r="B4390" t="s">
        <v>7987</v>
      </c>
      <c r="C4390" s="1" t="str">
        <f>HYPERLINK("http://www.genecards.org/cgi-bin/carddisp.pl?gene=OR3A3","GeneCards")</f>
        <v>GeneCards</v>
      </c>
      <c r="D4390" s="1" t="str">
        <f>HYPERLINK("http://genome-euro.ucsc.edu/cgi-bin/hgTracks?position=221426_s_at","UCSC")</f>
        <v>UCSC</v>
      </c>
      <c r="E4390" s="1" t="str">
        <f>HYPERLINK("http://www.ncbi.nlm.nih.gov/gene/?term=OR3A3","NCBI")</f>
        <v>NCBI</v>
      </c>
      <c r="F4390">
        <v>3.4000000000000002E-2</v>
      </c>
      <c r="G4390">
        <v>0.13</v>
      </c>
      <c r="H4390" s="1" t="str">
        <f>HYPERLINK("http://www.weizmann.ac.il/complex/compphys/software/geview/data/figures/221426_s_at.png","Figure")</f>
        <v>Figure</v>
      </c>
      <c r="I4390">
        <v>1.37</v>
      </c>
      <c r="J4390">
        <v>2.8000000000000001E-2</v>
      </c>
      <c r="K4390">
        <v>1.1100000000000001</v>
      </c>
      <c r="L4390">
        <v>0.5</v>
      </c>
      <c r="M4390">
        <v>0.81200000000000006</v>
      </c>
      <c r="N4390">
        <v>0.13</v>
      </c>
    </row>
    <row r="4391" spans="1:14" x14ac:dyDescent="0.25">
      <c r="A4391" t="s">
        <v>7988</v>
      </c>
      <c r="B4391" t="s">
        <v>7989</v>
      </c>
      <c r="C4391" s="1" t="str">
        <f>HYPERLINK("http://www.genecards.org/cgi-bin/carddisp.pl?gene=UBE2C","GeneCards")</f>
        <v>GeneCards</v>
      </c>
      <c r="D4391" s="1" t="str">
        <f>HYPERLINK("http://genome-euro.ucsc.edu/cgi-bin/hgTracks?position=202954_at","UCSC")</f>
        <v>UCSC</v>
      </c>
      <c r="E4391" s="1" t="str">
        <f>HYPERLINK("http://www.ncbi.nlm.nih.gov/gene/?term=UBE2C","NCBI")</f>
        <v>NCBI</v>
      </c>
      <c r="F4391">
        <v>3.4000000000000002E-2</v>
      </c>
      <c r="G4391">
        <v>0.13</v>
      </c>
      <c r="H4391" s="1" t="str">
        <f>HYPERLINK("http://www.weizmann.ac.il/complex/compphys/software/geview/data/figures/202954_at.png","Figure")</f>
        <v>Figure</v>
      </c>
      <c r="I4391">
        <v>1.46</v>
      </c>
      <c r="J4391">
        <v>0.16</v>
      </c>
      <c r="K4391">
        <v>1.64</v>
      </c>
      <c r="L4391">
        <v>0.03</v>
      </c>
      <c r="M4391">
        <v>1.1200000000000001</v>
      </c>
      <c r="N4391">
        <v>0.81</v>
      </c>
    </row>
    <row r="4392" spans="1:14" x14ac:dyDescent="0.25">
      <c r="A4392" t="s">
        <v>7990</v>
      </c>
      <c r="B4392" t="s">
        <v>6345</v>
      </c>
      <c r="C4392" s="1" t="str">
        <f>HYPERLINK("http://www.genecards.org/cgi-bin/carddisp.pl?gene=CPD","GeneCards")</f>
        <v>GeneCards</v>
      </c>
      <c r="D4392" s="1" t="str">
        <f>HYPERLINK("http://genome-euro.ucsc.edu/cgi-bin/hgTracks?position=201940_at","UCSC")</f>
        <v>UCSC</v>
      </c>
      <c r="E4392" s="1" t="str">
        <f>HYPERLINK("http://www.ncbi.nlm.nih.gov/gene/?term=CPD","NCBI")</f>
        <v>NCBI</v>
      </c>
      <c r="F4392">
        <v>3.4000000000000002E-2</v>
      </c>
      <c r="G4392">
        <v>0.13</v>
      </c>
      <c r="H4392" s="1" t="str">
        <f>HYPERLINK("http://www.weizmann.ac.il/complex/compphys/software/geview/data/figures/201940_at.png","Figure")</f>
        <v>Figure</v>
      </c>
      <c r="I4392">
        <v>0.68100000000000005</v>
      </c>
      <c r="J4392">
        <v>2.8000000000000001E-2</v>
      </c>
      <c r="K4392">
        <v>0.872</v>
      </c>
      <c r="L4392">
        <v>0.47</v>
      </c>
      <c r="M4392">
        <v>1.28</v>
      </c>
      <c r="N4392">
        <v>0.14000000000000001</v>
      </c>
    </row>
    <row r="4393" spans="1:14" x14ac:dyDescent="0.25">
      <c r="A4393" t="s">
        <v>7991</v>
      </c>
      <c r="B4393" t="s">
        <v>1952</v>
      </c>
      <c r="C4393" s="1" t="str">
        <f>HYPERLINK("http://www.genecards.org/cgi-bin/carddisp.pl?gene=ZC3H15","GeneCards")</f>
        <v>GeneCards</v>
      </c>
      <c r="D4393" s="1" t="str">
        <f>HYPERLINK("http://genome-euro.ucsc.edu/cgi-bin/hgTracks?position=201595_s_at","UCSC")</f>
        <v>UCSC</v>
      </c>
      <c r="E4393" s="1" t="str">
        <f>HYPERLINK("http://www.ncbi.nlm.nih.gov/gene/?term=ZC3H15","NCBI")</f>
        <v>NCBI</v>
      </c>
      <c r="F4393">
        <v>3.4000000000000002E-2</v>
      </c>
      <c r="G4393">
        <v>0.13</v>
      </c>
      <c r="H4393" s="1" t="str">
        <f>HYPERLINK("http://www.weizmann.ac.il/complex/compphys/software/geview/data/figures/201595_s_at.png","Figure")</f>
        <v>Figure</v>
      </c>
      <c r="I4393">
        <v>0.94</v>
      </c>
      <c r="J4393">
        <v>0.94</v>
      </c>
      <c r="K4393">
        <v>0.65300000000000002</v>
      </c>
      <c r="L4393">
        <v>4.2999999999999997E-2</v>
      </c>
      <c r="M4393">
        <v>0.69499999999999995</v>
      </c>
      <c r="N4393">
        <v>0.11</v>
      </c>
    </row>
    <row r="4394" spans="1:14" x14ac:dyDescent="0.25">
      <c r="A4394" t="s">
        <v>7992</v>
      </c>
      <c r="B4394" t="s">
        <v>7993</v>
      </c>
      <c r="C4394" s="1" t="str">
        <f>HYPERLINK("http://www.genecards.org/cgi-bin/carddisp.pl?gene=DOLPP1","GeneCards")</f>
        <v>GeneCards</v>
      </c>
      <c r="D4394" s="1" t="str">
        <f>HYPERLINK("http://genome-euro.ucsc.edu/cgi-bin/hgTracks?position=221817_at","UCSC")</f>
        <v>UCSC</v>
      </c>
      <c r="E4394" s="1" t="str">
        <f>HYPERLINK("http://www.ncbi.nlm.nih.gov/gene/?term=DOLPP1","NCBI")</f>
        <v>NCBI</v>
      </c>
      <c r="F4394">
        <v>3.4000000000000002E-2</v>
      </c>
      <c r="G4394">
        <v>0.13</v>
      </c>
      <c r="H4394" s="1" t="str">
        <f>HYPERLINK("http://www.weizmann.ac.il/complex/compphys/software/geview/data/figures/221817_at.png","Figure")</f>
        <v>Figure</v>
      </c>
      <c r="I4394">
        <v>1.37</v>
      </c>
      <c r="J4394">
        <v>3.2000000000000001E-2</v>
      </c>
      <c r="K4394">
        <v>1.08</v>
      </c>
      <c r="L4394">
        <v>0.71</v>
      </c>
      <c r="M4394">
        <v>0.78800000000000003</v>
      </c>
      <c r="N4394">
        <v>8.6999999999999994E-2</v>
      </c>
    </row>
    <row r="4395" spans="1:14" x14ac:dyDescent="0.25">
      <c r="A4395" t="s">
        <v>7994</v>
      </c>
      <c r="B4395" t="s">
        <v>7995</v>
      </c>
      <c r="C4395" s="1" t="str">
        <f>HYPERLINK("http://www.genecards.org/cgi-bin/carddisp.pl?gene=MANBA","GeneCards")</f>
        <v>GeneCards</v>
      </c>
      <c r="D4395" s="1" t="str">
        <f>HYPERLINK("http://genome-euro.ucsc.edu/cgi-bin/hgTracks?position=203778_at","UCSC")</f>
        <v>UCSC</v>
      </c>
      <c r="E4395" s="1" t="str">
        <f>HYPERLINK("http://www.ncbi.nlm.nih.gov/gene/?term=MANBA","NCBI")</f>
        <v>NCBI</v>
      </c>
      <c r="F4395">
        <v>3.4000000000000002E-2</v>
      </c>
      <c r="G4395">
        <v>0.13</v>
      </c>
      <c r="H4395" s="1" t="str">
        <f>HYPERLINK("http://www.weizmann.ac.il/complex/compphys/software/geview/data/figures/203778_at.png","Figure")</f>
        <v>Figure</v>
      </c>
      <c r="I4395">
        <v>0.76500000000000001</v>
      </c>
      <c r="J4395">
        <v>8.7999999999999995E-2</v>
      </c>
      <c r="K4395">
        <v>1.04</v>
      </c>
      <c r="L4395">
        <v>0.91</v>
      </c>
      <c r="M4395">
        <v>1.36</v>
      </c>
      <c r="N4395">
        <v>3.2000000000000001E-2</v>
      </c>
    </row>
    <row r="4396" spans="1:14" x14ac:dyDescent="0.25">
      <c r="A4396" t="s">
        <v>7996</v>
      </c>
      <c r="B4396" t="s">
        <v>6955</v>
      </c>
      <c r="C4396" s="1" t="str">
        <f>HYPERLINK("http://www.genecards.org/cgi-bin/carddisp.pl?gene=UTRN","GeneCards")</f>
        <v>GeneCards</v>
      </c>
      <c r="D4396" s="1" t="str">
        <f>HYPERLINK("http://genome-euro.ucsc.edu/cgi-bin/hgTracks?position=213023_at","UCSC")</f>
        <v>UCSC</v>
      </c>
      <c r="E4396" s="1" t="str">
        <f>HYPERLINK("http://www.ncbi.nlm.nih.gov/gene/?term=UTRN","NCBI")</f>
        <v>NCBI</v>
      </c>
      <c r="F4396">
        <v>3.4000000000000002E-2</v>
      </c>
      <c r="G4396">
        <v>0.13</v>
      </c>
      <c r="H4396" s="1" t="str">
        <f>HYPERLINK("http://www.weizmann.ac.il/complex/compphys/software/geview/data/figures/213023_at.png","Figure")</f>
        <v>Figure</v>
      </c>
      <c r="I4396">
        <v>0.874</v>
      </c>
      <c r="J4396">
        <v>4.2999999999999997E-2</v>
      </c>
      <c r="K4396">
        <v>0.98499999999999999</v>
      </c>
      <c r="L4396">
        <v>0.94</v>
      </c>
      <c r="M4396">
        <v>1.1299999999999999</v>
      </c>
      <c r="N4396">
        <v>5.5E-2</v>
      </c>
    </row>
    <row r="4397" spans="1:14" x14ac:dyDescent="0.25">
      <c r="A4397" t="s">
        <v>7997</v>
      </c>
      <c r="B4397" t="s">
        <v>7998</v>
      </c>
      <c r="C4397" s="1" t="str">
        <f>HYPERLINK("http://www.genecards.org/cgi-bin/carddisp.pl?gene=ITGA10","GeneCards")</f>
        <v>GeneCards</v>
      </c>
      <c r="D4397" s="1" t="str">
        <f>HYPERLINK("http://genome-euro.ucsc.edu/cgi-bin/hgTracks?position=206766_at","UCSC")</f>
        <v>UCSC</v>
      </c>
      <c r="E4397" s="1" t="str">
        <f>HYPERLINK("http://www.ncbi.nlm.nih.gov/gene/?term=ITGA10","NCBI")</f>
        <v>NCBI</v>
      </c>
      <c r="F4397">
        <v>3.4000000000000002E-2</v>
      </c>
      <c r="G4397">
        <v>0.13</v>
      </c>
      <c r="H4397" s="1" t="str">
        <f>HYPERLINK("http://www.weizmann.ac.il/complex/compphys/software/geview/data/figures/206766_at.png","Figure")</f>
        <v>Figure</v>
      </c>
      <c r="I4397">
        <v>1.2</v>
      </c>
      <c r="J4397">
        <v>3.5000000000000003E-2</v>
      </c>
      <c r="K4397">
        <v>1.04</v>
      </c>
      <c r="L4397">
        <v>0.78</v>
      </c>
      <c r="M4397">
        <v>0.86499999999999999</v>
      </c>
      <c r="N4397">
        <v>7.6999999999999999E-2</v>
      </c>
    </row>
    <row r="4398" spans="1:14" x14ac:dyDescent="0.25">
      <c r="A4398" t="s">
        <v>7999</v>
      </c>
      <c r="B4398" t="s">
        <v>8000</v>
      </c>
      <c r="C4398" s="1" t="str">
        <f>HYPERLINK("http://www.genecards.org/cgi-bin/carddisp.pl?gene=MRPL9","GeneCards")</f>
        <v>GeneCards</v>
      </c>
      <c r="D4398" s="1" t="str">
        <f>HYPERLINK("http://genome-euro.ucsc.edu/cgi-bin/hgTracks?position=211594_s_at","UCSC")</f>
        <v>UCSC</v>
      </c>
      <c r="E4398" s="1" t="str">
        <f>HYPERLINK("http://www.ncbi.nlm.nih.gov/gene/?term=MRPL9","NCBI")</f>
        <v>NCBI</v>
      </c>
      <c r="F4398">
        <v>3.4000000000000002E-2</v>
      </c>
      <c r="G4398">
        <v>0.13</v>
      </c>
      <c r="H4398" s="1" t="str">
        <f>HYPERLINK("http://www.weizmann.ac.il/complex/compphys/software/geview/data/figures/211594_s_at.png","Figure")</f>
        <v>Figure</v>
      </c>
      <c r="I4398">
        <v>1.56</v>
      </c>
      <c r="J4398">
        <v>3.7999999999999999E-2</v>
      </c>
      <c r="K4398">
        <v>1.08</v>
      </c>
      <c r="L4398">
        <v>0.85</v>
      </c>
      <c r="M4398">
        <v>0.69199999999999995</v>
      </c>
      <c r="N4398">
        <v>6.7000000000000004E-2</v>
      </c>
    </row>
    <row r="4399" spans="1:14" x14ac:dyDescent="0.25">
      <c r="A4399" t="s">
        <v>8001</v>
      </c>
      <c r="B4399" t="s">
        <v>8002</v>
      </c>
      <c r="C4399" s="1" t="str">
        <f>HYPERLINK("http://www.genecards.org/cgi-bin/carddisp.pl?gene=GLUD1","GeneCards")</f>
        <v>GeneCards</v>
      </c>
      <c r="D4399" s="1" t="str">
        <f>HYPERLINK("http://genome-euro.ucsc.edu/cgi-bin/hgTracks?position=200947_s_at","UCSC")</f>
        <v>UCSC</v>
      </c>
      <c r="E4399" s="1" t="str">
        <f>HYPERLINK("http://www.ncbi.nlm.nih.gov/gene/?term=GLUD1","NCBI")</f>
        <v>NCBI</v>
      </c>
      <c r="F4399">
        <v>3.4000000000000002E-2</v>
      </c>
      <c r="G4399">
        <v>0.13</v>
      </c>
      <c r="H4399" s="1" t="str">
        <f>HYPERLINK("http://www.weizmann.ac.il/complex/compphys/software/geview/data/figures/200947_s_at.png","Figure")</f>
        <v>Figure</v>
      </c>
      <c r="I4399">
        <v>0.61499999999999999</v>
      </c>
      <c r="J4399">
        <v>0.03</v>
      </c>
      <c r="K4399">
        <v>0.86599999999999999</v>
      </c>
      <c r="L4399">
        <v>0.59</v>
      </c>
      <c r="M4399">
        <v>1.41</v>
      </c>
      <c r="N4399">
        <v>0.11</v>
      </c>
    </row>
    <row r="4400" spans="1:14" x14ac:dyDescent="0.25">
      <c r="A4400" t="s">
        <v>8003</v>
      </c>
      <c r="B4400" t="s">
        <v>8004</v>
      </c>
      <c r="C4400" s="1" t="str">
        <f>HYPERLINK("http://www.genecards.org/cgi-bin/carddisp.pl?gene=ANKRD46","GeneCards")</f>
        <v>GeneCards</v>
      </c>
      <c r="D4400" s="1" t="str">
        <f>HYPERLINK("http://genome-euro.ucsc.edu/cgi-bin/hgTracks?position=212731_at","UCSC")</f>
        <v>UCSC</v>
      </c>
      <c r="E4400" s="1" t="str">
        <f>HYPERLINK("http://www.ncbi.nlm.nih.gov/gene/?term=ANKRD46","NCBI")</f>
        <v>NCBI</v>
      </c>
      <c r="F4400">
        <v>3.4000000000000002E-2</v>
      </c>
      <c r="G4400">
        <v>0.13</v>
      </c>
      <c r="H4400" s="1" t="str">
        <f>HYPERLINK("http://www.weizmann.ac.il/complex/compphys/software/geview/data/figures/212731_at.png","Figure")</f>
        <v>Figure</v>
      </c>
      <c r="I4400">
        <v>0.59299999999999997</v>
      </c>
      <c r="J4400">
        <v>6.3E-2</v>
      </c>
      <c r="K4400">
        <v>1.02</v>
      </c>
      <c r="L4400">
        <v>1</v>
      </c>
      <c r="M4400">
        <v>1.71</v>
      </c>
      <c r="N4400">
        <v>3.9E-2</v>
      </c>
    </row>
    <row r="4401" spans="1:14" x14ac:dyDescent="0.25">
      <c r="A4401" t="s">
        <v>8005</v>
      </c>
      <c r="B4401" t="s">
        <v>8006</v>
      </c>
      <c r="C4401" s="1" t="str">
        <f>HYPERLINK("http://www.genecards.org/cgi-bin/carddisp.pl?gene=ADAP2","GeneCards")</f>
        <v>GeneCards</v>
      </c>
      <c r="D4401" s="1" t="str">
        <f>HYPERLINK("http://genome-euro.ucsc.edu/cgi-bin/hgTracks?position=219358_s_at","UCSC")</f>
        <v>UCSC</v>
      </c>
      <c r="E4401" s="1" t="str">
        <f>HYPERLINK("http://www.ncbi.nlm.nih.gov/gene/?term=ADAP2","NCBI")</f>
        <v>NCBI</v>
      </c>
      <c r="F4401">
        <v>3.4000000000000002E-2</v>
      </c>
      <c r="G4401">
        <v>0.13</v>
      </c>
      <c r="H4401" s="1" t="str">
        <f>HYPERLINK("http://www.weizmann.ac.il/complex/compphys/software/geview/data/figures/219358_s_at.png","Figure")</f>
        <v>Figure</v>
      </c>
      <c r="I4401">
        <v>0.82799999999999996</v>
      </c>
      <c r="J4401">
        <v>8.7999999999999995E-2</v>
      </c>
      <c r="K4401">
        <v>0.82099999999999995</v>
      </c>
      <c r="L4401">
        <v>3.9E-2</v>
      </c>
      <c r="M4401">
        <v>0.99199999999999999</v>
      </c>
      <c r="N4401">
        <v>0.99</v>
      </c>
    </row>
    <row r="4402" spans="1:14" x14ac:dyDescent="0.25">
      <c r="A4402" t="s">
        <v>8007</v>
      </c>
      <c r="B4402" t="s">
        <v>8008</v>
      </c>
      <c r="C4402" s="1" t="str">
        <f>HYPERLINK("http://www.genecards.org/cgi-bin/carddisp.pl?gene=CXCL10","GeneCards")</f>
        <v>GeneCards</v>
      </c>
      <c r="D4402" s="1" t="str">
        <f>HYPERLINK("http://genome-euro.ucsc.edu/cgi-bin/hgTracks?position=204533_at","UCSC")</f>
        <v>UCSC</v>
      </c>
      <c r="E4402" s="1" t="str">
        <f>HYPERLINK("http://www.ncbi.nlm.nih.gov/gene/?term=CXCL10","NCBI")</f>
        <v>NCBI</v>
      </c>
      <c r="F4402">
        <v>3.4000000000000002E-2</v>
      </c>
      <c r="G4402">
        <v>0.13</v>
      </c>
      <c r="H4402" s="1" t="str">
        <f>HYPERLINK("http://www.weizmann.ac.il/complex/compphys/software/geview/data/figures/204533_at.png","Figure")</f>
        <v>Figure</v>
      </c>
      <c r="I4402">
        <v>1.23</v>
      </c>
      <c r="J4402">
        <v>3.5999999999999997E-2</v>
      </c>
      <c r="K4402">
        <v>1.04</v>
      </c>
      <c r="L4402">
        <v>0.81</v>
      </c>
      <c r="M4402">
        <v>0.84399999999999997</v>
      </c>
      <c r="N4402">
        <v>7.1999999999999995E-2</v>
      </c>
    </row>
    <row r="4403" spans="1:14" x14ac:dyDescent="0.25">
      <c r="A4403" t="s">
        <v>8009</v>
      </c>
      <c r="B4403" t="s">
        <v>8010</v>
      </c>
      <c r="C4403" s="1" t="str">
        <f>HYPERLINK("http://www.genecards.org/cgi-bin/carddisp.pl?gene=TAF4","GeneCards")</f>
        <v>GeneCards</v>
      </c>
      <c r="D4403" s="1" t="str">
        <f>HYPERLINK("http://genome-euro.ucsc.edu/cgi-bin/hgTracks?position=213090_s_at","UCSC")</f>
        <v>UCSC</v>
      </c>
      <c r="E4403" s="1" t="str">
        <f>HYPERLINK("http://www.ncbi.nlm.nih.gov/gene/?term=TAF4","NCBI")</f>
        <v>NCBI</v>
      </c>
      <c r="F4403">
        <v>3.4000000000000002E-2</v>
      </c>
      <c r="G4403">
        <v>0.13</v>
      </c>
      <c r="H4403" s="1" t="str">
        <f>HYPERLINK("http://www.weizmann.ac.il/complex/compphys/software/geview/data/figures/213090_s_at.png","Figure")</f>
        <v>Figure</v>
      </c>
      <c r="I4403">
        <v>0.61499999999999999</v>
      </c>
      <c r="J4403">
        <v>0.14000000000000001</v>
      </c>
      <c r="K4403">
        <v>1.19</v>
      </c>
      <c r="L4403">
        <v>0.7</v>
      </c>
      <c r="M4403">
        <v>1.93</v>
      </c>
      <c r="N4403">
        <v>2.8000000000000001E-2</v>
      </c>
    </row>
    <row r="4404" spans="1:14" x14ac:dyDescent="0.25">
      <c r="A4404" t="s">
        <v>8011</v>
      </c>
      <c r="B4404" t="s">
        <v>8012</v>
      </c>
      <c r="C4404" s="1" t="str">
        <f>HYPERLINK("http://www.genecards.org/cgi-bin/carddisp.pl?gene=CSNK2B","GeneCards")</f>
        <v>GeneCards</v>
      </c>
      <c r="D4404" s="1" t="str">
        <f>HYPERLINK("http://genome-euro.ucsc.edu/cgi-bin/hgTracks?position=201390_s_at","UCSC")</f>
        <v>UCSC</v>
      </c>
      <c r="E4404" s="1" t="str">
        <f>HYPERLINK("http://www.ncbi.nlm.nih.gov/gene/?term=CSNK2B","NCBI")</f>
        <v>NCBI</v>
      </c>
      <c r="F4404">
        <v>3.4000000000000002E-2</v>
      </c>
      <c r="G4404">
        <v>0.13</v>
      </c>
      <c r="H4404" s="1" t="str">
        <f>HYPERLINK("http://www.weizmann.ac.il/complex/compphys/software/geview/data/figures/201390_s_at.png","Figure")</f>
        <v>Figure</v>
      </c>
      <c r="I4404">
        <v>0.85099999999999998</v>
      </c>
      <c r="J4404">
        <v>0.81</v>
      </c>
      <c r="K4404">
        <v>1.65</v>
      </c>
      <c r="L4404">
        <v>0.11</v>
      </c>
      <c r="M4404">
        <v>1.94</v>
      </c>
      <c r="N4404">
        <v>4.4999999999999998E-2</v>
      </c>
    </row>
    <row r="4405" spans="1:14" x14ac:dyDescent="0.25">
      <c r="A4405" t="s">
        <v>8013</v>
      </c>
      <c r="B4405" t="s">
        <v>4371</v>
      </c>
      <c r="C4405" s="1" t="str">
        <f>HYPERLINK("http://www.genecards.org/cgi-bin/carddisp.pl?gene=RPL23A","GeneCards")</f>
        <v>GeneCards</v>
      </c>
      <c r="D4405" s="1" t="str">
        <f>HYPERLINK("http://genome-euro.ucsc.edu/cgi-bin/hgTracks?position=203012_x_at","UCSC")</f>
        <v>UCSC</v>
      </c>
      <c r="E4405" s="1" t="str">
        <f>HYPERLINK("http://www.ncbi.nlm.nih.gov/gene/?term=RPL23A","NCBI")</f>
        <v>NCBI</v>
      </c>
      <c r="F4405">
        <v>3.4000000000000002E-2</v>
      </c>
      <c r="G4405">
        <v>0.13</v>
      </c>
      <c r="H4405" s="1" t="str">
        <f>HYPERLINK("http://www.weizmann.ac.il/complex/compphys/software/geview/data/figures/203012_x_at.png","Figure")</f>
        <v>Figure</v>
      </c>
      <c r="I4405">
        <v>0.92700000000000005</v>
      </c>
      <c r="J4405">
        <v>0.84</v>
      </c>
      <c r="K4405">
        <v>1.3</v>
      </c>
      <c r="L4405">
        <v>0.1</v>
      </c>
      <c r="M4405">
        <v>1.41</v>
      </c>
      <c r="N4405">
        <v>4.7E-2</v>
      </c>
    </row>
    <row r="4406" spans="1:14" x14ac:dyDescent="0.25">
      <c r="A4406" t="s">
        <v>8014</v>
      </c>
      <c r="B4406" t="s">
        <v>2668</v>
      </c>
      <c r="C4406" s="1" t="str">
        <f>HYPERLINK("http://www.genecards.org/cgi-bin/carddisp.pl?gene=STK24","GeneCards")</f>
        <v>GeneCards</v>
      </c>
      <c r="D4406" s="1" t="str">
        <f>HYPERLINK("http://genome-euro.ucsc.edu/cgi-bin/hgTracks?position=208854_s_at","UCSC")</f>
        <v>UCSC</v>
      </c>
      <c r="E4406" s="1" t="str">
        <f>HYPERLINK("http://www.ncbi.nlm.nih.gov/gene/?term=STK24","NCBI")</f>
        <v>NCBI</v>
      </c>
      <c r="F4406">
        <v>3.4000000000000002E-2</v>
      </c>
      <c r="G4406">
        <v>0.13</v>
      </c>
      <c r="H4406" s="1" t="str">
        <f>HYPERLINK("http://www.weizmann.ac.il/complex/compphys/software/geview/data/figures/208854_s_at.png","Figure")</f>
        <v>Figure</v>
      </c>
      <c r="I4406">
        <v>1.32</v>
      </c>
      <c r="J4406">
        <v>0.08</v>
      </c>
      <c r="K4406">
        <v>0.96699999999999997</v>
      </c>
      <c r="L4406">
        <v>0.94</v>
      </c>
      <c r="M4406">
        <v>0.73099999999999998</v>
      </c>
      <c r="N4406">
        <v>3.4000000000000002E-2</v>
      </c>
    </row>
    <row r="4407" spans="1:14" x14ac:dyDescent="0.25">
      <c r="A4407" t="s">
        <v>8015</v>
      </c>
      <c r="B4407" t="s">
        <v>8016</v>
      </c>
      <c r="C4407" s="1" t="str">
        <f>HYPERLINK("http://www.genecards.org/cgi-bin/carddisp.pl?gene=SLC6A8","GeneCards")</f>
        <v>GeneCards</v>
      </c>
      <c r="D4407" s="1" t="str">
        <f>HYPERLINK("http://genome-euro.ucsc.edu/cgi-bin/hgTracks?position=210854_x_at","UCSC")</f>
        <v>UCSC</v>
      </c>
      <c r="E4407" s="1" t="str">
        <f>HYPERLINK("http://www.ncbi.nlm.nih.gov/gene/?term=SLC6A8","NCBI")</f>
        <v>NCBI</v>
      </c>
      <c r="F4407">
        <v>3.4000000000000002E-2</v>
      </c>
      <c r="G4407">
        <v>0.13</v>
      </c>
      <c r="H4407" s="1" t="str">
        <f>HYPERLINK("http://www.weizmann.ac.il/complex/compphys/software/geview/data/figures/210854_x_at.png","Figure")</f>
        <v>Figure</v>
      </c>
      <c r="I4407">
        <v>1.32</v>
      </c>
      <c r="J4407">
        <v>0.03</v>
      </c>
      <c r="K4407">
        <v>1.0900000000000001</v>
      </c>
      <c r="L4407">
        <v>0.56000000000000005</v>
      </c>
      <c r="M4407">
        <v>0.82499999999999996</v>
      </c>
      <c r="N4407">
        <v>0.12</v>
      </c>
    </row>
    <row r="4408" spans="1:14" x14ac:dyDescent="0.25">
      <c r="A4408" t="s">
        <v>8017</v>
      </c>
      <c r="B4408" t="s">
        <v>8018</v>
      </c>
      <c r="C4408" s="1" t="str">
        <f>HYPERLINK("http://www.genecards.org/cgi-bin/carddisp.pl?gene=IL8RA","GeneCards")</f>
        <v>GeneCards</v>
      </c>
      <c r="D4408" s="1" t="str">
        <f>HYPERLINK("http://genome-euro.ucsc.edu/cgi-bin/hgTracks?position=207094_at","UCSC")</f>
        <v>UCSC</v>
      </c>
      <c r="E4408" s="1" t="str">
        <f>HYPERLINK("http://www.ncbi.nlm.nih.gov/gene/?term=IL8RA","NCBI")</f>
        <v>NCBI</v>
      </c>
      <c r="F4408">
        <v>3.4000000000000002E-2</v>
      </c>
      <c r="G4408">
        <v>0.13</v>
      </c>
      <c r="H4408" s="1" t="str">
        <f>HYPERLINK("http://www.weizmann.ac.il/complex/compphys/software/geview/data/figures/207094_at.png","Figure")</f>
        <v>Figure</v>
      </c>
      <c r="I4408">
        <v>1.2</v>
      </c>
      <c r="J4408">
        <v>9.4E-2</v>
      </c>
      <c r="K4408">
        <v>0.96799999999999997</v>
      </c>
      <c r="L4408">
        <v>0.89</v>
      </c>
      <c r="M4408">
        <v>0.80900000000000005</v>
      </c>
      <c r="N4408">
        <v>3.2000000000000001E-2</v>
      </c>
    </row>
    <row r="4409" spans="1:14" x14ac:dyDescent="0.25">
      <c r="A4409" t="s">
        <v>8019</v>
      </c>
      <c r="B4409" t="s">
        <v>8020</v>
      </c>
      <c r="C4409" s="1" t="str">
        <f>HYPERLINK("http://www.genecards.org/cgi-bin/carddisp.pl?gene=NRG1","GeneCards")</f>
        <v>GeneCards</v>
      </c>
      <c r="D4409" s="1" t="str">
        <f>HYPERLINK("http://genome-euro.ucsc.edu/cgi-bin/hgTracks?position=208230_s_at","UCSC")</f>
        <v>UCSC</v>
      </c>
      <c r="E4409" s="1" t="str">
        <f>HYPERLINK("http://www.ncbi.nlm.nih.gov/gene/?term=NRG1","NCBI")</f>
        <v>NCBI</v>
      </c>
      <c r="F4409">
        <v>3.4000000000000002E-2</v>
      </c>
      <c r="G4409">
        <v>0.13</v>
      </c>
      <c r="H4409" s="1" t="str">
        <f>HYPERLINK("http://www.weizmann.ac.il/complex/compphys/software/geview/data/figures/208230_s_at.png","Figure")</f>
        <v>Figure</v>
      </c>
      <c r="I4409">
        <v>1.24</v>
      </c>
      <c r="J4409">
        <v>4.1000000000000002E-2</v>
      </c>
      <c r="K4409">
        <v>1.18</v>
      </c>
      <c r="L4409">
        <v>8.2000000000000003E-2</v>
      </c>
      <c r="M4409">
        <v>0.94699999999999995</v>
      </c>
      <c r="N4409">
        <v>0.75</v>
      </c>
    </row>
    <row r="4410" spans="1:14" x14ac:dyDescent="0.25">
      <c r="A4410" t="s">
        <v>8021</v>
      </c>
      <c r="B4410" t="s">
        <v>8022</v>
      </c>
      <c r="C4410" s="1" t="str">
        <f>HYPERLINK("http://www.genecards.org/cgi-bin/carddisp.pl?gene=METTL4","GeneCards")</f>
        <v>GeneCards</v>
      </c>
      <c r="D4410" s="1" t="str">
        <f>HYPERLINK("http://genome-euro.ucsc.edu/cgi-bin/hgTracks?position=219698_s_at","UCSC")</f>
        <v>UCSC</v>
      </c>
      <c r="E4410" s="1" t="str">
        <f>HYPERLINK("http://www.ncbi.nlm.nih.gov/gene/?term=METTL4","NCBI")</f>
        <v>NCBI</v>
      </c>
      <c r="F4410">
        <v>3.4000000000000002E-2</v>
      </c>
      <c r="G4410">
        <v>0.13</v>
      </c>
      <c r="H4410" s="1" t="str">
        <f>HYPERLINK("http://www.weizmann.ac.il/complex/compphys/software/geview/data/figures/219698_s_at.png","Figure")</f>
        <v>Figure</v>
      </c>
      <c r="I4410">
        <v>0.70799999999999996</v>
      </c>
      <c r="J4410">
        <v>9.1999999999999998E-2</v>
      </c>
      <c r="K4410">
        <v>1.06</v>
      </c>
      <c r="L4410">
        <v>0.89</v>
      </c>
      <c r="M4410">
        <v>1.5</v>
      </c>
      <c r="N4410">
        <v>3.2000000000000001E-2</v>
      </c>
    </row>
    <row r="4411" spans="1:14" x14ac:dyDescent="0.25">
      <c r="A4411" t="s">
        <v>8023</v>
      </c>
      <c r="B4411" t="s">
        <v>8024</v>
      </c>
      <c r="C4411" s="1" t="str">
        <f>HYPERLINK("http://www.genecards.org/cgi-bin/carddisp.pl?gene=RAN","GeneCards")</f>
        <v>GeneCards</v>
      </c>
      <c r="D4411" s="1" t="str">
        <f>HYPERLINK("http://genome-euro.ucsc.edu/cgi-bin/hgTracks?position=200750_s_at","UCSC")</f>
        <v>UCSC</v>
      </c>
      <c r="E4411" s="1" t="str">
        <f>HYPERLINK("http://www.ncbi.nlm.nih.gov/gene/?term=RAN","NCBI")</f>
        <v>NCBI</v>
      </c>
      <c r="F4411">
        <v>3.4000000000000002E-2</v>
      </c>
      <c r="G4411">
        <v>0.13</v>
      </c>
      <c r="H4411" s="1" t="str">
        <f>HYPERLINK("http://www.weizmann.ac.il/complex/compphys/software/geview/data/figures/200750_s_at.png","Figure")</f>
        <v>Figure</v>
      </c>
      <c r="I4411">
        <v>1.4</v>
      </c>
      <c r="J4411">
        <v>0.17</v>
      </c>
      <c r="K4411">
        <v>1.55</v>
      </c>
      <c r="L4411">
        <v>0.03</v>
      </c>
      <c r="M4411">
        <v>1.1100000000000001</v>
      </c>
      <c r="N4411">
        <v>0.79</v>
      </c>
    </row>
    <row r="4412" spans="1:14" x14ac:dyDescent="0.25">
      <c r="A4412" t="s">
        <v>8025</v>
      </c>
      <c r="B4412" t="s">
        <v>8026</v>
      </c>
      <c r="C4412" s="1" t="str">
        <f>HYPERLINK("http://www.genecards.org/cgi-bin/carddisp.pl?gene=DHX29","GeneCards")</f>
        <v>GeneCards</v>
      </c>
      <c r="D4412" s="1" t="str">
        <f>HYPERLINK("http://genome-euro.ucsc.edu/cgi-bin/hgTracks?position=212648_at","UCSC")</f>
        <v>UCSC</v>
      </c>
      <c r="E4412" s="1" t="str">
        <f>HYPERLINK("http://www.ncbi.nlm.nih.gov/gene/?term=DHX29","NCBI")</f>
        <v>NCBI</v>
      </c>
      <c r="F4412">
        <v>3.4000000000000002E-2</v>
      </c>
      <c r="G4412">
        <v>0.13</v>
      </c>
      <c r="H4412" s="1" t="str">
        <f>HYPERLINK("http://www.weizmann.ac.il/complex/compphys/software/geview/data/figures/212648_at.png","Figure")</f>
        <v>Figure</v>
      </c>
      <c r="I4412">
        <v>0.51300000000000001</v>
      </c>
      <c r="J4412">
        <v>3.2000000000000001E-2</v>
      </c>
      <c r="K4412">
        <v>0.83799999999999997</v>
      </c>
      <c r="L4412">
        <v>0.67</v>
      </c>
      <c r="M4412">
        <v>1.63</v>
      </c>
      <c r="N4412">
        <v>9.6000000000000002E-2</v>
      </c>
    </row>
    <row r="4413" spans="1:14" x14ac:dyDescent="0.25">
      <c r="A4413" t="s">
        <v>8027</v>
      </c>
      <c r="B4413" t="s">
        <v>8028</v>
      </c>
      <c r="C4413" s="1" t="str">
        <f>HYPERLINK("http://www.genecards.org/cgi-bin/carddisp.pl?gene=UNC119","GeneCards")</f>
        <v>GeneCards</v>
      </c>
      <c r="D4413" s="1" t="str">
        <f>HYPERLINK("http://genome-euro.ucsc.edu/cgi-bin/hgTracks?position=203271_s_at","UCSC")</f>
        <v>UCSC</v>
      </c>
      <c r="E4413" s="1" t="str">
        <f>HYPERLINK("http://www.ncbi.nlm.nih.gov/gene/?term=UNC119","NCBI")</f>
        <v>NCBI</v>
      </c>
      <c r="F4413">
        <v>3.5000000000000003E-2</v>
      </c>
      <c r="G4413">
        <v>0.13</v>
      </c>
      <c r="H4413" s="1" t="str">
        <f>HYPERLINK("http://www.weizmann.ac.il/complex/compphys/software/geview/data/figures/203271_s_at.png","Figure")</f>
        <v>Figure</v>
      </c>
      <c r="I4413">
        <v>1.39</v>
      </c>
      <c r="J4413">
        <v>3.5999999999999997E-2</v>
      </c>
      <c r="K4413">
        <v>1.07</v>
      </c>
      <c r="L4413">
        <v>0.81</v>
      </c>
      <c r="M4413">
        <v>0.76700000000000002</v>
      </c>
      <c r="N4413">
        <v>7.2999999999999995E-2</v>
      </c>
    </row>
    <row r="4414" spans="1:14" x14ac:dyDescent="0.25">
      <c r="A4414" t="s">
        <v>8029</v>
      </c>
      <c r="B4414" t="s">
        <v>2194</v>
      </c>
      <c r="C4414" s="1" t="str">
        <f>HYPERLINK("http://www.genecards.org/cgi-bin/carddisp.pl?gene=TNFRSF10B","GeneCards")</f>
        <v>GeneCards</v>
      </c>
      <c r="D4414" s="1" t="str">
        <f>HYPERLINK("http://genome-euro.ucsc.edu/cgi-bin/hgTracks?position=209294_x_at","UCSC")</f>
        <v>UCSC</v>
      </c>
      <c r="E4414" s="1" t="str">
        <f>HYPERLINK("http://www.ncbi.nlm.nih.gov/gene/?term=TNFRSF10B","NCBI")</f>
        <v>NCBI</v>
      </c>
      <c r="F4414">
        <v>3.5000000000000003E-2</v>
      </c>
      <c r="G4414">
        <v>0.13</v>
      </c>
      <c r="H4414" s="1" t="str">
        <f>HYPERLINK("http://www.weizmann.ac.il/complex/compphys/software/geview/data/figures/209294_x_at.png","Figure")</f>
        <v>Figure</v>
      </c>
      <c r="I4414">
        <v>1.1399999999999999</v>
      </c>
      <c r="J4414">
        <v>0.64</v>
      </c>
      <c r="K4414">
        <v>0.78</v>
      </c>
      <c r="L4414">
        <v>0.16</v>
      </c>
      <c r="M4414">
        <v>0.68300000000000005</v>
      </c>
      <c r="N4414">
        <v>3.5999999999999997E-2</v>
      </c>
    </row>
    <row r="4415" spans="1:14" x14ac:dyDescent="0.25">
      <c r="A4415" t="s">
        <v>8030</v>
      </c>
      <c r="B4415" t="s">
        <v>8031</v>
      </c>
      <c r="C4415" s="1" t="str">
        <f>HYPERLINK("http://www.genecards.org/cgi-bin/carddisp.pl?gene=SRP9","GeneCards")</f>
        <v>GeneCards</v>
      </c>
      <c r="D4415" s="1" t="str">
        <f>HYPERLINK("http://genome-euro.ucsc.edu/cgi-bin/hgTracks?position=201273_s_at","UCSC")</f>
        <v>UCSC</v>
      </c>
      <c r="E4415" s="1" t="str">
        <f>HYPERLINK("http://www.ncbi.nlm.nih.gov/gene/?term=SRP9","NCBI")</f>
        <v>NCBI</v>
      </c>
      <c r="F4415">
        <v>3.5000000000000003E-2</v>
      </c>
      <c r="G4415">
        <v>0.13</v>
      </c>
      <c r="H4415" s="1" t="str">
        <f>HYPERLINK("http://www.weizmann.ac.il/complex/compphys/software/geview/data/figures/201273_s_at.png","Figure")</f>
        <v>Figure</v>
      </c>
      <c r="I4415">
        <v>1.25</v>
      </c>
      <c r="J4415">
        <v>0.41</v>
      </c>
      <c r="K4415">
        <v>1.55</v>
      </c>
      <c r="L4415">
        <v>2.8000000000000001E-2</v>
      </c>
      <c r="M4415">
        <v>1.24</v>
      </c>
      <c r="N4415">
        <v>0.4</v>
      </c>
    </row>
    <row r="4416" spans="1:14" x14ac:dyDescent="0.25">
      <c r="A4416" t="s">
        <v>8032</v>
      </c>
      <c r="B4416" t="s">
        <v>8033</v>
      </c>
      <c r="C4416" s="1" t="str">
        <f>HYPERLINK("http://www.genecards.org/cgi-bin/carddisp.pl?gene=GLUD2","GeneCards")</f>
        <v>GeneCards</v>
      </c>
      <c r="D4416" s="1" t="str">
        <f>HYPERLINK("http://genome-euro.ucsc.edu/cgi-bin/hgTracks?position=215794_x_at","UCSC")</f>
        <v>UCSC</v>
      </c>
      <c r="E4416" s="1" t="str">
        <f>HYPERLINK("http://www.ncbi.nlm.nih.gov/gene/?term=GLUD2","NCBI")</f>
        <v>NCBI</v>
      </c>
      <c r="F4416">
        <v>3.5000000000000003E-2</v>
      </c>
      <c r="G4416">
        <v>0.13</v>
      </c>
      <c r="H4416" s="1" t="str">
        <f>HYPERLINK("http://www.weizmann.ac.il/complex/compphys/software/geview/data/figures/215794_x_at.png","Figure")</f>
        <v>Figure</v>
      </c>
      <c r="I4416">
        <v>0.77</v>
      </c>
      <c r="J4416">
        <v>0.1</v>
      </c>
      <c r="K4416">
        <v>0.748</v>
      </c>
      <c r="L4416">
        <v>3.5999999999999997E-2</v>
      </c>
      <c r="M4416">
        <v>0.97199999999999998</v>
      </c>
      <c r="N4416">
        <v>0.96</v>
      </c>
    </row>
    <row r="4417" spans="1:14" x14ac:dyDescent="0.25">
      <c r="A4417" t="s">
        <v>8034</v>
      </c>
      <c r="B4417" t="s">
        <v>8035</v>
      </c>
      <c r="C4417" s="1" t="str">
        <f>HYPERLINK("http://www.genecards.org/cgi-bin/carddisp.pl?gene=PAAF1","GeneCards")</f>
        <v>GeneCards</v>
      </c>
      <c r="D4417" s="1" t="str">
        <f>HYPERLINK("http://genome-euro.ucsc.edu/cgi-bin/hgTracks?position=218957_s_at","UCSC")</f>
        <v>UCSC</v>
      </c>
      <c r="E4417" s="1" t="str">
        <f>HYPERLINK("http://www.ncbi.nlm.nih.gov/gene/?term=PAAF1","NCBI")</f>
        <v>NCBI</v>
      </c>
      <c r="F4417">
        <v>3.5000000000000003E-2</v>
      </c>
      <c r="G4417">
        <v>0.13</v>
      </c>
      <c r="H4417" s="1" t="str">
        <f>HYPERLINK("http://www.weizmann.ac.il/complex/compphys/software/geview/data/figures/218957_s_at.png","Figure")</f>
        <v>Figure</v>
      </c>
      <c r="I4417">
        <v>1.0900000000000001</v>
      </c>
      <c r="J4417">
        <v>0.79</v>
      </c>
      <c r="K4417">
        <v>1.38</v>
      </c>
      <c r="L4417">
        <v>3.5999999999999997E-2</v>
      </c>
      <c r="M4417">
        <v>1.27</v>
      </c>
      <c r="N4417">
        <v>0.17</v>
      </c>
    </row>
    <row r="4418" spans="1:14" x14ac:dyDescent="0.25">
      <c r="A4418" t="s">
        <v>8036</v>
      </c>
      <c r="B4418" t="s">
        <v>8037</v>
      </c>
      <c r="C4418" s="1" t="str">
        <f>HYPERLINK("http://www.genecards.org/cgi-bin/carddisp.pl?gene=MOBKL2B","GeneCards")</f>
        <v>GeneCards</v>
      </c>
      <c r="D4418" s="1" t="str">
        <f>HYPERLINK("http://genome-euro.ucsc.edu/cgi-bin/hgTracks?position=219265_at","UCSC")</f>
        <v>UCSC</v>
      </c>
      <c r="E4418" s="1" t="str">
        <f>HYPERLINK("http://www.ncbi.nlm.nih.gov/gene/?term=MOBKL2B","NCBI")</f>
        <v>NCBI</v>
      </c>
      <c r="F4418">
        <v>3.5000000000000003E-2</v>
      </c>
      <c r="G4418">
        <v>0.13</v>
      </c>
      <c r="H4418" s="1" t="str">
        <f>HYPERLINK("http://www.weizmann.ac.il/complex/compphys/software/geview/data/figures/219265_at.png","Figure")</f>
        <v>Figure</v>
      </c>
      <c r="I4418">
        <v>1.21</v>
      </c>
      <c r="J4418">
        <v>0.12</v>
      </c>
      <c r="K4418">
        <v>0.94599999999999995</v>
      </c>
      <c r="L4418">
        <v>0.76</v>
      </c>
      <c r="M4418">
        <v>0.78500000000000003</v>
      </c>
      <c r="N4418">
        <v>2.9000000000000001E-2</v>
      </c>
    </row>
    <row r="4419" spans="1:14" x14ac:dyDescent="0.25">
      <c r="A4419" t="s">
        <v>8038</v>
      </c>
      <c r="B4419" t="s">
        <v>8039</v>
      </c>
      <c r="C4419" s="1" t="str">
        <f>HYPERLINK("http://www.genecards.org/cgi-bin/carddisp.pl?gene=HIST1H1T","GeneCards")</f>
        <v>GeneCards</v>
      </c>
      <c r="D4419" s="1" t="str">
        <f>HYPERLINK("http://genome-euro.ucsc.edu/cgi-bin/hgTracks?position=207982_at","UCSC")</f>
        <v>UCSC</v>
      </c>
      <c r="E4419" s="1" t="str">
        <f>HYPERLINK("http://www.ncbi.nlm.nih.gov/gene/?term=HIST1H1T","NCBI")</f>
        <v>NCBI</v>
      </c>
      <c r="F4419">
        <v>3.5000000000000003E-2</v>
      </c>
      <c r="G4419">
        <v>0.13</v>
      </c>
      <c r="H4419" s="1" t="str">
        <f>HYPERLINK("http://www.weizmann.ac.il/complex/compphys/software/geview/data/figures/207982_at.png","Figure")</f>
        <v>Figure</v>
      </c>
      <c r="I4419">
        <v>1.46</v>
      </c>
      <c r="J4419">
        <v>3.3000000000000002E-2</v>
      </c>
      <c r="K4419">
        <v>1.1000000000000001</v>
      </c>
      <c r="L4419">
        <v>0.7</v>
      </c>
      <c r="M4419">
        <v>0.751</v>
      </c>
      <c r="N4419">
        <v>0.09</v>
      </c>
    </row>
    <row r="4420" spans="1:14" x14ac:dyDescent="0.25">
      <c r="A4420" t="s">
        <v>8040</v>
      </c>
      <c r="B4420" t="s">
        <v>8041</v>
      </c>
      <c r="C4420" s="1" t="str">
        <f>HYPERLINK("http://www.genecards.org/cgi-bin/carddisp.pl?gene=KIF5B","GeneCards")</f>
        <v>GeneCards</v>
      </c>
      <c r="D4420" s="1" t="str">
        <f>HYPERLINK("http://genome-euro.ucsc.edu/cgi-bin/hgTracks?position=201992_s_at","UCSC")</f>
        <v>UCSC</v>
      </c>
      <c r="E4420" s="1" t="str">
        <f>HYPERLINK("http://www.ncbi.nlm.nih.gov/gene/?term=KIF5B","NCBI")</f>
        <v>NCBI</v>
      </c>
      <c r="F4420">
        <v>3.5000000000000003E-2</v>
      </c>
      <c r="G4420">
        <v>0.13</v>
      </c>
      <c r="H4420" s="1" t="str">
        <f>HYPERLINK("http://www.weizmann.ac.il/complex/compphys/software/geview/data/figures/201992_s_at.png","Figure")</f>
        <v>Figure</v>
      </c>
      <c r="I4420">
        <v>0.67200000000000004</v>
      </c>
      <c r="J4420">
        <v>3.5999999999999997E-2</v>
      </c>
      <c r="K4420">
        <v>0.76100000000000001</v>
      </c>
      <c r="L4420">
        <v>0.1</v>
      </c>
      <c r="M4420">
        <v>1.1299999999999999</v>
      </c>
      <c r="N4420">
        <v>0.63</v>
      </c>
    </row>
    <row r="4421" spans="1:14" x14ac:dyDescent="0.25">
      <c r="A4421" t="s">
        <v>8042</v>
      </c>
      <c r="B4421" t="s">
        <v>8043</v>
      </c>
      <c r="C4421" s="1" t="str">
        <f>HYPERLINK("http://www.genecards.org/cgi-bin/carddisp.pl?gene=GUCA2A","GeneCards")</f>
        <v>GeneCards</v>
      </c>
      <c r="D4421" s="1" t="str">
        <f>HYPERLINK("http://genome-euro.ucsc.edu/cgi-bin/hgTracks?position=207003_at","UCSC")</f>
        <v>UCSC</v>
      </c>
      <c r="E4421" s="1" t="str">
        <f>HYPERLINK("http://www.ncbi.nlm.nih.gov/gene/?term=GUCA2A","NCBI")</f>
        <v>NCBI</v>
      </c>
      <c r="F4421">
        <v>3.5000000000000003E-2</v>
      </c>
      <c r="G4421">
        <v>0.13</v>
      </c>
      <c r="H4421" s="1" t="str">
        <f>HYPERLINK("http://www.weizmann.ac.il/complex/compphys/software/geview/data/figures/207003_at.png","Figure")</f>
        <v>Figure</v>
      </c>
      <c r="I4421">
        <v>1.49</v>
      </c>
      <c r="J4421">
        <v>2.8000000000000001E-2</v>
      </c>
      <c r="K4421">
        <v>1.1599999999999999</v>
      </c>
      <c r="L4421">
        <v>0.45</v>
      </c>
      <c r="M4421">
        <v>0.77800000000000002</v>
      </c>
      <c r="N4421">
        <v>0.15</v>
      </c>
    </row>
    <row r="4422" spans="1:14" x14ac:dyDescent="0.25">
      <c r="A4422" t="s">
        <v>8044</v>
      </c>
      <c r="B4422" t="s">
        <v>8045</v>
      </c>
      <c r="C4422" s="1" t="str">
        <f>HYPERLINK("http://www.genecards.org/cgi-bin/carddisp.pl?gene=POU6F1","GeneCards")</f>
        <v>GeneCards</v>
      </c>
      <c r="D4422" s="1" t="str">
        <f>HYPERLINK("http://genome-euro.ucsc.edu/cgi-bin/hgTracks?position=216332_at","UCSC")</f>
        <v>UCSC</v>
      </c>
      <c r="E4422" s="1" t="str">
        <f>HYPERLINK("http://www.ncbi.nlm.nih.gov/gene/?term=POU6F1","NCBI")</f>
        <v>NCBI</v>
      </c>
      <c r="F4422">
        <v>3.5000000000000003E-2</v>
      </c>
      <c r="G4422">
        <v>0.13</v>
      </c>
      <c r="H4422" s="1" t="str">
        <f>HYPERLINK("http://www.weizmann.ac.il/complex/compphys/software/geview/data/figures/216332_at.png","Figure")</f>
        <v>Figure</v>
      </c>
      <c r="I4422">
        <v>1.29</v>
      </c>
      <c r="J4422">
        <v>2.8000000000000001E-2</v>
      </c>
      <c r="K4422">
        <v>1.1100000000000001</v>
      </c>
      <c r="L4422">
        <v>0.35</v>
      </c>
      <c r="M4422">
        <v>0.86399999999999999</v>
      </c>
      <c r="N4422">
        <v>0.2</v>
      </c>
    </row>
    <row r="4423" spans="1:14" x14ac:dyDescent="0.25">
      <c r="A4423" t="s">
        <v>8046</v>
      </c>
      <c r="B4423" t="s">
        <v>8047</v>
      </c>
      <c r="C4423" s="1" t="str">
        <f>HYPERLINK("http://www.genecards.org/cgi-bin/carddisp.pl?gene=TRA@ /// TRAC","GeneCards")</f>
        <v>GeneCards</v>
      </c>
      <c r="D4423" s="1" t="str">
        <f>HYPERLINK("http://genome-euro.ucsc.edu/cgi-bin/hgTracks?position=209671_x_at","UCSC")</f>
        <v>UCSC</v>
      </c>
      <c r="E4423" s="1" t="str">
        <f>HYPERLINK("http://www.ncbi.nlm.nih.gov/gene/?term=TRA@ /// TRAC","NCBI")</f>
        <v>NCBI</v>
      </c>
      <c r="F4423">
        <v>3.5000000000000003E-2</v>
      </c>
      <c r="G4423">
        <v>0.13</v>
      </c>
      <c r="H4423" s="1" t="str">
        <f>HYPERLINK("http://www.weizmann.ac.il/complex/compphys/software/geview/data/figures/209671_x_at.png","Figure")</f>
        <v>Figure</v>
      </c>
      <c r="I4423">
        <v>1.24</v>
      </c>
      <c r="J4423">
        <v>5.7000000000000002E-2</v>
      </c>
      <c r="K4423">
        <v>1.21</v>
      </c>
      <c r="L4423">
        <v>5.5E-2</v>
      </c>
      <c r="M4423">
        <v>0.97499999999999998</v>
      </c>
      <c r="N4423">
        <v>0.94</v>
      </c>
    </row>
    <row r="4424" spans="1:14" x14ac:dyDescent="0.25">
      <c r="A4424" t="s">
        <v>8048</v>
      </c>
      <c r="B4424" t="s">
        <v>8049</v>
      </c>
      <c r="C4424" s="1" t="str">
        <f>HYPERLINK("http://www.genecards.org/cgi-bin/carddisp.pl?gene=LOC92973","GeneCards")</f>
        <v>GeneCards</v>
      </c>
      <c r="D4424" s="1" t="str">
        <f>HYPERLINK("http://genome-euro.ucsc.edu/cgi-bin/hgTracks?position=214344_at","UCSC")</f>
        <v>UCSC</v>
      </c>
      <c r="E4424" s="1" t="str">
        <f>HYPERLINK("http://www.ncbi.nlm.nih.gov/gene/?term=LOC92973","NCBI")</f>
        <v>NCBI</v>
      </c>
      <c r="F4424">
        <v>3.5000000000000003E-2</v>
      </c>
      <c r="G4424">
        <v>0.13</v>
      </c>
      <c r="H4424" s="1" t="str">
        <f>HYPERLINK("http://www.weizmann.ac.il/complex/compphys/software/geview/data/figures/214344_at.png","Figure")</f>
        <v>Figure</v>
      </c>
      <c r="I4424">
        <v>1.2</v>
      </c>
      <c r="J4424">
        <v>4.4999999999999998E-2</v>
      </c>
      <c r="K4424">
        <v>1.02</v>
      </c>
      <c r="L4424">
        <v>0.95</v>
      </c>
      <c r="M4424">
        <v>0.84799999999999998</v>
      </c>
      <c r="N4424">
        <v>5.3999999999999999E-2</v>
      </c>
    </row>
    <row r="4425" spans="1:14" x14ac:dyDescent="0.25">
      <c r="A4425" t="s">
        <v>8050</v>
      </c>
      <c r="B4425" t="s">
        <v>8051</v>
      </c>
      <c r="C4425" s="1" t="str">
        <f>HYPERLINK("http://www.genecards.org/cgi-bin/carddisp.pl?gene=IL25","GeneCards")</f>
        <v>GeneCards</v>
      </c>
      <c r="D4425" s="1" t="str">
        <f>HYPERLINK("http://genome-euro.ucsc.edu/cgi-bin/hgTracks?position=220971_at","UCSC")</f>
        <v>UCSC</v>
      </c>
      <c r="E4425" s="1" t="str">
        <f>HYPERLINK("http://www.ncbi.nlm.nih.gov/gene/?term=IL25","NCBI")</f>
        <v>NCBI</v>
      </c>
      <c r="F4425">
        <v>3.5000000000000003E-2</v>
      </c>
      <c r="G4425">
        <v>0.13</v>
      </c>
      <c r="H4425" s="1" t="str">
        <f>HYPERLINK("http://www.weizmann.ac.il/complex/compphys/software/geview/data/figures/220971_at.png","Figure")</f>
        <v>Figure</v>
      </c>
      <c r="I4425">
        <v>1.32</v>
      </c>
      <c r="J4425">
        <v>2.8000000000000001E-2</v>
      </c>
      <c r="K4425">
        <v>1.1599999999999999</v>
      </c>
      <c r="L4425">
        <v>0.21</v>
      </c>
      <c r="M4425">
        <v>0.877</v>
      </c>
      <c r="N4425">
        <v>0.33</v>
      </c>
    </row>
    <row r="4426" spans="1:14" x14ac:dyDescent="0.25">
      <c r="A4426" t="s">
        <v>8052</v>
      </c>
      <c r="B4426" t="s">
        <v>8053</v>
      </c>
      <c r="C4426" s="1" t="str">
        <f>HYPERLINK("http://www.genecards.org/cgi-bin/carddisp.pl?gene=VWA1","GeneCards")</f>
        <v>GeneCards</v>
      </c>
      <c r="D4426" s="1" t="str">
        <f>HYPERLINK("http://genome-euro.ucsc.edu/cgi-bin/hgTracks?position=218731_s_at","UCSC")</f>
        <v>UCSC</v>
      </c>
      <c r="E4426" s="1" t="str">
        <f>HYPERLINK("http://www.ncbi.nlm.nih.gov/gene/?term=VWA1","NCBI")</f>
        <v>NCBI</v>
      </c>
      <c r="F4426">
        <v>3.5000000000000003E-2</v>
      </c>
      <c r="G4426">
        <v>0.13</v>
      </c>
      <c r="H4426" s="1" t="str">
        <f>HYPERLINK("http://www.weizmann.ac.il/complex/compphys/software/geview/data/figures/218731_s_at.png","Figure")</f>
        <v>Figure</v>
      </c>
      <c r="I4426">
        <v>1.1399999999999999</v>
      </c>
      <c r="J4426">
        <v>0.23</v>
      </c>
      <c r="K4426">
        <v>1.21</v>
      </c>
      <c r="L4426">
        <v>2.8000000000000001E-2</v>
      </c>
      <c r="M4426">
        <v>1.06</v>
      </c>
      <c r="N4426">
        <v>0.66</v>
      </c>
    </row>
    <row r="4427" spans="1:14" x14ac:dyDescent="0.25">
      <c r="A4427" t="s">
        <v>8054</v>
      </c>
      <c r="B4427" t="s">
        <v>6477</v>
      </c>
      <c r="C4427" s="1" t="str">
        <f>HYPERLINK("http://www.genecards.org/cgi-bin/carddisp.pl?gene=ADCY3","GeneCards")</f>
        <v>GeneCards</v>
      </c>
      <c r="D4427" s="1" t="str">
        <f>HYPERLINK("http://genome-euro.ucsc.edu/cgi-bin/hgTracks?position=209320_at","UCSC")</f>
        <v>UCSC</v>
      </c>
      <c r="E4427" s="1" t="str">
        <f>HYPERLINK("http://www.ncbi.nlm.nih.gov/gene/?term=ADCY3","NCBI")</f>
        <v>NCBI</v>
      </c>
      <c r="F4427">
        <v>3.5000000000000003E-2</v>
      </c>
      <c r="G4427">
        <v>0.13</v>
      </c>
      <c r="H4427" s="1" t="str">
        <f>HYPERLINK("http://www.weizmann.ac.il/complex/compphys/software/geview/data/figures/209320_at.png","Figure")</f>
        <v>Figure</v>
      </c>
      <c r="I4427">
        <v>1.2</v>
      </c>
      <c r="J4427">
        <v>0.11</v>
      </c>
      <c r="K4427">
        <v>0.95799999999999996</v>
      </c>
      <c r="L4427">
        <v>0.83</v>
      </c>
      <c r="M4427">
        <v>0.79600000000000004</v>
      </c>
      <c r="N4427">
        <v>3.1E-2</v>
      </c>
    </row>
    <row r="4428" spans="1:14" x14ac:dyDescent="0.25">
      <c r="A4428" t="s">
        <v>8055</v>
      </c>
      <c r="B4428" t="s">
        <v>8056</v>
      </c>
      <c r="C4428" s="1" t="str">
        <f>HYPERLINK("http://www.genecards.org/cgi-bin/carddisp.pl?gene=OAS2","GeneCards")</f>
        <v>GeneCards</v>
      </c>
      <c r="D4428" s="1" t="str">
        <f>HYPERLINK("http://genome-euro.ucsc.edu/cgi-bin/hgTracks?position=206553_at","UCSC")</f>
        <v>UCSC</v>
      </c>
      <c r="E4428" s="1" t="str">
        <f>HYPERLINK("http://www.ncbi.nlm.nih.gov/gene/?term=OAS2","NCBI")</f>
        <v>NCBI</v>
      </c>
      <c r="F4428">
        <v>3.5000000000000003E-2</v>
      </c>
      <c r="G4428">
        <v>0.13</v>
      </c>
      <c r="H4428" s="1" t="str">
        <f>HYPERLINK("http://www.weizmann.ac.il/complex/compphys/software/geview/data/figures/206553_at.png","Figure")</f>
        <v>Figure</v>
      </c>
      <c r="I4428">
        <v>1.31</v>
      </c>
      <c r="J4428">
        <v>3.5999999999999997E-2</v>
      </c>
      <c r="K4428">
        <v>1.06</v>
      </c>
      <c r="L4428">
        <v>0.79</v>
      </c>
      <c r="M4428">
        <v>0.80800000000000005</v>
      </c>
      <c r="N4428">
        <v>7.5999999999999998E-2</v>
      </c>
    </row>
    <row r="4429" spans="1:14" x14ac:dyDescent="0.25">
      <c r="A4429" t="s">
        <v>8057</v>
      </c>
      <c r="B4429" t="s">
        <v>8058</v>
      </c>
      <c r="C4429" s="1" t="str">
        <f>HYPERLINK("http://www.genecards.org/cgi-bin/carddisp.pl?gene=NFATC1","GeneCards")</f>
        <v>GeneCards</v>
      </c>
      <c r="D4429" s="1" t="str">
        <f>HYPERLINK("http://genome-euro.ucsc.edu/cgi-bin/hgTracks?position=211105_s_at","UCSC")</f>
        <v>UCSC</v>
      </c>
      <c r="E4429" s="1" t="str">
        <f>HYPERLINK("http://www.ncbi.nlm.nih.gov/gene/?term=NFATC1","NCBI")</f>
        <v>NCBI</v>
      </c>
      <c r="F4429">
        <v>3.5000000000000003E-2</v>
      </c>
      <c r="G4429">
        <v>0.13</v>
      </c>
      <c r="H4429" s="1" t="str">
        <f>HYPERLINK("http://www.weizmann.ac.il/complex/compphys/software/geview/data/figures/211105_s_at.png","Figure")</f>
        <v>Figure</v>
      </c>
      <c r="I4429">
        <v>1.74</v>
      </c>
      <c r="J4429">
        <v>5.0999999999999997E-2</v>
      </c>
      <c r="K4429">
        <v>1.59</v>
      </c>
      <c r="L4429">
        <v>6.2E-2</v>
      </c>
      <c r="M4429">
        <v>0.91500000000000004</v>
      </c>
      <c r="N4429">
        <v>0.9</v>
      </c>
    </row>
    <row r="4430" spans="1:14" x14ac:dyDescent="0.25">
      <c r="A4430" t="s">
        <v>8059</v>
      </c>
      <c r="B4430" t="s">
        <v>2775</v>
      </c>
      <c r="C4430" s="1" t="str">
        <f>HYPERLINK("http://www.genecards.org/cgi-bin/carddisp.pl?gene=B3GAT3","GeneCards")</f>
        <v>GeneCards</v>
      </c>
      <c r="D4430" s="1" t="str">
        <f>HYPERLINK("http://genome-euro.ucsc.edu/cgi-bin/hgTracks?position=35179_at","UCSC")</f>
        <v>UCSC</v>
      </c>
      <c r="E4430" s="1" t="str">
        <f>HYPERLINK("http://www.ncbi.nlm.nih.gov/gene/?term=B3GAT3","NCBI")</f>
        <v>NCBI</v>
      </c>
      <c r="F4430">
        <v>3.5000000000000003E-2</v>
      </c>
      <c r="G4430">
        <v>0.13</v>
      </c>
      <c r="H4430" s="1" t="str">
        <f>HYPERLINK("http://www.weizmann.ac.il/complex/compphys/software/geview/data/figures/35179_at.png","Figure")</f>
        <v>Figure</v>
      </c>
      <c r="I4430">
        <v>1.2</v>
      </c>
      <c r="J4430">
        <v>2.9000000000000001E-2</v>
      </c>
      <c r="K4430">
        <v>1.07</v>
      </c>
      <c r="L4430">
        <v>0.49</v>
      </c>
      <c r="M4430">
        <v>0.88600000000000001</v>
      </c>
      <c r="N4430">
        <v>0.14000000000000001</v>
      </c>
    </row>
    <row r="4431" spans="1:14" x14ac:dyDescent="0.25">
      <c r="A4431" t="s">
        <v>8060</v>
      </c>
      <c r="B4431" t="s">
        <v>8061</v>
      </c>
      <c r="C4431" s="1" t="str">
        <f>HYPERLINK("http://www.genecards.org/cgi-bin/carddisp.pl?gene=SLC9A3","GeneCards")</f>
        <v>GeneCards</v>
      </c>
      <c r="D4431" s="1" t="str">
        <f>HYPERLINK("http://genome-euro.ucsc.edu/cgi-bin/hgTracks?position=207212_at","UCSC")</f>
        <v>UCSC</v>
      </c>
      <c r="E4431" s="1" t="str">
        <f>HYPERLINK("http://www.ncbi.nlm.nih.gov/gene/?term=SLC9A3","NCBI")</f>
        <v>NCBI</v>
      </c>
      <c r="F4431">
        <v>3.5000000000000003E-2</v>
      </c>
      <c r="G4431">
        <v>0.13</v>
      </c>
      <c r="H4431" s="1" t="str">
        <f>HYPERLINK("http://www.weizmann.ac.il/complex/compphys/software/geview/data/figures/207212_at.png","Figure")</f>
        <v>Figure</v>
      </c>
      <c r="I4431">
        <v>1.24</v>
      </c>
      <c r="J4431">
        <v>3.2000000000000001E-2</v>
      </c>
      <c r="K4431">
        <v>1.1399999999999999</v>
      </c>
      <c r="L4431">
        <v>0.14000000000000001</v>
      </c>
      <c r="M4431">
        <v>0.92100000000000004</v>
      </c>
      <c r="N4431">
        <v>0.47</v>
      </c>
    </row>
    <row r="4432" spans="1:14" x14ac:dyDescent="0.25">
      <c r="A4432" t="s">
        <v>8062</v>
      </c>
      <c r="B4432" t="s">
        <v>8063</v>
      </c>
      <c r="C4432" s="1" t="str">
        <f>HYPERLINK("http://www.genecards.org/cgi-bin/carddisp.pl?gene=TTC28","GeneCards")</f>
        <v>GeneCards</v>
      </c>
      <c r="D4432" s="1" t="str">
        <f>HYPERLINK("http://genome-euro.ucsc.edu/cgi-bin/hgTracks?position=213058_at","UCSC")</f>
        <v>UCSC</v>
      </c>
      <c r="E4432" s="1" t="str">
        <f>HYPERLINK("http://www.ncbi.nlm.nih.gov/gene/?term=TTC28","NCBI")</f>
        <v>NCBI</v>
      </c>
      <c r="F4432">
        <v>3.5000000000000003E-2</v>
      </c>
      <c r="G4432">
        <v>0.13</v>
      </c>
      <c r="H4432" s="1" t="str">
        <f>HYPERLINK("http://www.weizmann.ac.il/complex/compphys/software/geview/data/figures/213058_at.png","Figure")</f>
        <v>Figure</v>
      </c>
      <c r="I4432">
        <v>0.71899999999999997</v>
      </c>
      <c r="J4432">
        <v>0.5</v>
      </c>
      <c r="K4432">
        <v>0.47799999999999998</v>
      </c>
      <c r="L4432">
        <v>2.9000000000000001E-2</v>
      </c>
      <c r="M4432">
        <v>0.66500000000000004</v>
      </c>
      <c r="N4432">
        <v>0.32</v>
      </c>
    </row>
    <row r="4433" spans="1:14" x14ac:dyDescent="0.25">
      <c r="A4433" t="s">
        <v>8064</v>
      </c>
      <c r="B4433" t="s">
        <v>8065</v>
      </c>
      <c r="C4433" s="1" t="str">
        <f>HYPERLINK("http://www.genecards.org/cgi-bin/carddisp.pl?gene=AP3S1","GeneCards")</f>
        <v>GeneCards</v>
      </c>
      <c r="D4433" s="1" t="str">
        <f>HYPERLINK("http://genome-euro.ucsc.edu/cgi-bin/hgTracks?position=202442_at","UCSC")</f>
        <v>UCSC</v>
      </c>
      <c r="E4433" s="1" t="str">
        <f>HYPERLINK("http://www.ncbi.nlm.nih.gov/gene/?term=AP3S1","NCBI")</f>
        <v>NCBI</v>
      </c>
      <c r="F4433">
        <v>3.5000000000000003E-2</v>
      </c>
      <c r="G4433">
        <v>0.13</v>
      </c>
      <c r="H4433" s="1" t="str">
        <f>HYPERLINK("http://www.weizmann.ac.il/complex/compphys/software/geview/data/figures/202442_at.png","Figure")</f>
        <v>Figure</v>
      </c>
      <c r="I4433">
        <v>0.61899999999999999</v>
      </c>
      <c r="J4433">
        <v>3.5999999999999997E-2</v>
      </c>
      <c r="K4433">
        <v>0.90700000000000003</v>
      </c>
      <c r="L4433">
        <v>0.79</v>
      </c>
      <c r="M4433">
        <v>1.47</v>
      </c>
      <c r="N4433">
        <v>7.5999999999999998E-2</v>
      </c>
    </row>
    <row r="4434" spans="1:14" x14ac:dyDescent="0.25">
      <c r="A4434" t="s">
        <v>8066</v>
      </c>
      <c r="B4434" t="s">
        <v>8067</v>
      </c>
      <c r="C4434" s="1" t="str">
        <f>HYPERLINK("http://www.genecards.org/cgi-bin/carddisp.pl?gene=F11","GeneCards")</f>
        <v>GeneCards</v>
      </c>
      <c r="D4434" s="1" t="str">
        <f>HYPERLINK("http://genome-euro.ucsc.edu/cgi-bin/hgTracks?position=206610_s_at","UCSC")</f>
        <v>UCSC</v>
      </c>
      <c r="E4434" s="1" t="str">
        <f>HYPERLINK("http://www.ncbi.nlm.nih.gov/gene/?term=F11","NCBI")</f>
        <v>NCBI</v>
      </c>
      <c r="F4434">
        <v>3.5000000000000003E-2</v>
      </c>
      <c r="G4434">
        <v>0.13</v>
      </c>
      <c r="H4434" s="1" t="str">
        <f>HYPERLINK("http://www.weizmann.ac.il/complex/compphys/software/geview/data/figures/206610_s_at.png","Figure")</f>
        <v>Figure</v>
      </c>
      <c r="I4434">
        <v>1.31</v>
      </c>
      <c r="J4434">
        <v>0.03</v>
      </c>
      <c r="K4434">
        <v>1.0900000000000001</v>
      </c>
      <c r="L4434">
        <v>0.56000000000000005</v>
      </c>
      <c r="M4434">
        <v>0.83199999999999996</v>
      </c>
      <c r="N4434">
        <v>0.12</v>
      </c>
    </row>
    <row r="4435" spans="1:14" x14ac:dyDescent="0.25">
      <c r="A4435" t="s">
        <v>8068</v>
      </c>
      <c r="B4435" t="s">
        <v>8069</v>
      </c>
      <c r="C4435" s="1" t="str">
        <f>HYPERLINK("http://www.genecards.org/cgi-bin/carddisp.pl?gene=H3F3B","GeneCards")</f>
        <v>GeneCards</v>
      </c>
      <c r="D4435" s="1" t="str">
        <f>HYPERLINK("http://genome-euro.ucsc.edu/cgi-bin/hgTracks?position=211998_at","UCSC")</f>
        <v>UCSC</v>
      </c>
      <c r="E4435" s="1" t="str">
        <f>HYPERLINK("http://www.ncbi.nlm.nih.gov/gene/?term=H3F3B","NCBI")</f>
        <v>NCBI</v>
      </c>
      <c r="F4435">
        <v>3.5000000000000003E-2</v>
      </c>
      <c r="G4435">
        <v>0.13</v>
      </c>
      <c r="H4435" s="1" t="str">
        <f>HYPERLINK("http://www.weizmann.ac.il/complex/compphys/software/geview/data/figures/211998_at.png","Figure")</f>
        <v>Figure</v>
      </c>
      <c r="I4435">
        <v>0.52900000000000003</v>
      </c>
      <c r="J4435">
        <v>2.8000000000000001E-2</v>
      </c>
      <c r="K4435">
        <v>0.73899999999999999</v>
      </c>
      <c r="L4435">
        <v>0.28000000000000003</v>
      </c>
      <c r="M4435">
        <v>1.4</v>
      </c>
      <c r="N4435">
        <v>0.26</v>
      </c>
    </row>
    <row r="4436" spans="1:14" x14ac:dyDescent="0.25">
      <c r="A4436" t="s">
        <v>8070</v>
      </c>
      <c r="B4436" t="s">
        <v>8071</v>
      </c>
      <c r="C4436" s="1" t="str">
        <f>HYPERLINK("http://www.genecards.org/cgi-bin/carddisp.pl?gene=NINJ1","GeneCards")</f>
        <v>GeneCards</v>
      </c>
      <c r="D4436" s="1" t="str">
        <f>HYPERLINK("http://genome-euro.ucsc.edu/cgi-bin/hgTracks?position=203045_at","UCSC")</f>
        <v>UCSC</v>
      </c>
      <c r="E4436" s="1" t="str">
        <f>HYPERLINK("http://www.ncbi.nlm.nih.gov/gene/?term=NINJ1","NCBI")</f>
        <v>NCBI</v>
      </c>
      <c r="F4436">
        <v>3.5000000000000003E-2</v>
      </c>
      <c r="G4436">
        <v>0.13</v>
      </c>
      <c r="H4436" s="1" t="str">
        <f>HYPERLINK("http://www.weizmann.ac.il/complex/compphys/software/geview/data/figures/203045_at.png","Figure")</f>
        <v>Figure</v>
      </c>
      <c r="I4436">
        <v>1.95</v>
      </c>
      <c r="J4436">
        <v>5.2999999999999999E-2</v>
      </c>
      <c r="K4436">
        <v>1.76</v>
      </c>
      <c r="L4436">
        <v>6.0999999999999999E-2</v>
      </c>
      <c r="M4436">
        <v>0.90200000000000002</v>
      </c>
      <c r="N4436">
        <v>0.9</v>
      </c>
    </row>
    <row r="4437" spans="1:14" x14ac:dyDescent="0.25">
      <c r="A4437" t="s">
        <v>8072</v>
      </c>
      <c r="B4437" t="s">
        <v>7518</v>
      </c>
      <c r="C4437" s="1" t="str">
        <f>HYPERLINK("http://www.genecards.org/cgi-bin/carddisp.pl?gene=SEMA3F","GeneCards")</f>
        <v>GeneCards</v>
      </c>
      <c r="D4437" s="1" t="str">
        <f>HYPERLINK("http://genome-euro.ucsc.edu/cgi-bin/hgTracks?position=35666_at","UCSC")</f>
        <v>UCSC</v>
      </c>
      <c r="E4437" s="1" t="str">
        <f>HYPERLINK("http://www.ncbi.nlm.nih.gov/gene/?term=SEMA3F","NCBI")</f>
        <v>NCBI</v>
      </c>
      <c r="F4437">
        <v>3.5000000000000003E-2</v>
      </c>
      <c r="G4437">
        <v>0.13</v>
      </c>
      <c r="H4437" s="1" t="str">
        <f>HYPERLINK("http://www.weizmann.ac.il/complex/compphys/software/geview/data/figures/35666_at.png","Figure")</f>
        <v>Figure</v>
      </c>
      <c r="I4437">
        <v>1.01</v>
      </c>
      <c r="J4437">
        <v>1</v>
      </c>
      <c r="K4437">
        <v>0.67100000000000004</v>
      </c>
      <c r="L4437">
        <v>6.3E-2</v>
      </c>
      <c r="M4437">
        <v>0.66100000000000003</v>
      </c>
      <c r="N4437">
        <v>7.2999999999999995E-2</v>
      </c>
    </row>
    <row r="4438" spans="1:14" x14ac:dyDescent="0.25">
      <c r="A4438" t="s">
        <v>8073</v>
      </c>
      <c r="B4438" t="s">
        <v>1326</v>
      </c>
      <c r="C4438" s="1" t="str">
        <f>HYPERLINK("http://www.genecards.org/cgi-bin/carddisp.pl?gene=CSH2","GeneCards")</f>
        <v>GeneCards</v>
      </c>
      <c r="D4438" s="1" t="str">
        <f>HYPERLINK("http://genome-euro.ucsc.edu/cgi-bin/hgTracks?position=207770_x_at","UCSC")</f>
        <v>UCSC</v>
      </c>
      <c r="E4438" s="1" t="str">
        <f>HYPERLINK("http://www.ncbi.nlm.nih.gov/gene/?term=CSH2","NCBI")</f>
        <v>NCBI</v>
      </c>
      <c r="F4438">
        <v>3.5000000000000003E-2</v>
      </c>
      <c r="G4438">
        <v>0.13</v>
      </c>
      <c r="H4438" s="1" t="str">
        <f>HYPERLINK("http://www.weizmann.ac.il/complex/compphys/software/geview/data/figures/207770_x_at.png","Figure")</f>
        <v>Figure</v>
      </c>
      <c r="I4438">
        <v>1.19</v>
      </c>
      <c r="J4438">
        <v>2.8000000000000001E-2</v>
      </c>
      <c r="K4438">
        <v>1.0900000000000001</v>
      </c>
      <c r="L4438">
        <v>0.24</v>
      </c>
      <c r="M4438">
        <v>0.91800000000000004</v>
      </c>
      <c r="N4438">
        <v>0.28999999999999998</v>
      </c>
    </row>
    <row r="4439" spans="1:14" x14ac:dyDescent="0.25">
      <c r="A4439" t="s">
        <v>8074</v>
      </c>
      <c r="B4439" t="s">
        <v>8075</v>
      </c>
      <c r="C4439" s="1" t="str">
        <f>HYPERLINK("http://www.genecards.org/cgi-bin/carddisp.pl?gene=IGFBP4","GeneCards")</f>
        <v>GeneCards</v>
      </c>
      <c r="D4439" s="1" t="str">
        <f>HYPERLINK("http://genome-euro.ucsc.edu/cgi-bin/hgTracks?position=201508_at","UCSC")</f>
        <v>UCSC</v>
      </c>
      <c r="E4439" s="1" t="str">
        <f>HYPERLINK("http://www.ncbi.nlm.nih.gov/gene/?term=IGFBP4","NCBI")</f>
        <v>NCBI</v>
      </c>
      <c r="F4439">
        <v>3.5000000000000003E-2</v>
      </c>
      <c r="G4439">
        <v>0.13</v>
      </c>
      <c r="H4439" s="1" t="str">
        <f>HYPERLINK("http://www.weizmann.ac.il/complex/compphys/software/geview/data/figures/201508_at.png","Figure")</f>
        <v>Figure</v>
      </c>
      <c r="I4439">
        <v>1.1499999999999999</v>
      </c>
      <c r="J4439">
        <v>0.63</v>
      </c>
      <c r="K4439">
        <v>1.45</v>
      </c>
      <c r="L4439">
        <v>3.1E-2</v>
      </c>
      <c r="M4439">
        <v>1.27</v>
      </c>
      <c r="N4439">
        <v>0.24</v>
      </c>
    </row>
    <row r="4440" spans="1:14" x14ac:dyDescent="0.25">
      <c r="A4440" t="s">
        <v>8076</v>
      </c>
      <c r="B4440" t="s">
        <v>8077</v>
      </c>
      <c r="C4440" s="1" t="str">
        <f>HYPERLINK("http://www.genecards.org/cgi-bin/carddisp.pl?gene=SLC35A3","GeneCards")</f>
        <v>GeneCards</v>
      </c>
      <c r="D4440" s="1" t="str">
        <f>HYPERLINK("http://genome-euro.ucsc.edu/cgi-bin/hgTracks?position=206770_s_at","UCSC")</f>
        <v>UCSC</v>
      </c>
      <c r="E4440" s="1" t="str">
        <f>HYPERLINK("http://www.ncbi.nlm.nih.gov/gene/?term=SLC35A3","NCBI")</f>
        <v>NCBI</v>
      </c>
      <c r="F4440">
        <v>3.5000000000000003E-2</v>
      </c>
      <c r="G4440">
        <v>0.13</v>
      </c>
      <c r="H4440" s="1" t="str">
        <f>HYPERLINK("http://www.weizmann.ac.il/complex/compphys/software/geview/data/figures/206770_s_at.png","Figure")</f>
        <v>Figure</v>
      </c>
      <c r="I4440">
        <v>0.70299999999999996</v>
      </c>
      <c r="J4440">
        <v>0.41</v>
      </c>
      <c r="K4440">
        <v>0.504</v>
      </c>
      <c r="L4440">
        <v>2.8000000000000001E-2</v>
      </c>
      <c r="M4440">
        <v>0.71799999999999997</v>
      </c>
      <c r="N4440">
        <v>0.4</v>
      </c>
    </row>
    <row r="4441" spans="1:14" x14ac:dyDescent="0.25">
      <c r="A4441" t="s">
        <v>8078</v>
      </c>
      <c r="B4441" t="s">
        <v>8079</v>
      </c>
      <c r="C4441" s="1" t="str">
        <f>HYPERLINK("http://www.genecards.org/cgi-bin/carddisp.pl?gene=UBE2N","GeneCards")</f>
        <v>GeneCards</v>
      </c>
      <c r="D4441" s="1" t="str">
        <f>HYPERLINK("http://genome-euro.ucsc.edu/cgi-bin/hgTracks?position=212751_at","UCSC")</f>
        <v>UCSC</v>
      </c>
      <c r="E4441" s="1" t="str">
        <f>HYPERLINK("http://www.ncbi.nlm.nih.gov/gene/?term=UBE2N","NCBI")</f>
        <v>NCBI</v>
      </c>
      <c r="F4441">
        <v>3.5000000000000003E-2</v>
      </c>
      <c r="G4441">
        <v>0.13</v>
      </c>
      <c r="H4441" s="1" t="str">
        <f>HYPERLINK("http://www.weizmann.ac.il/complex/compphys/software/geview/data/figures/212751_at.png","Figure")</f>
        <v>Figure</v>
      </c>
      <c r="I4441">
        <v>0.63800000000000001</v>
      </c>
      <c r="J4441">
        <v>0.12</v>
      </c>
      <c r="K4441">
        <v>0.59099999999999997</v>
      </c>
      <c r="L4441">
        <v>3.4000000000000002E-2</v>
      </c>
      <c r="M4441">
        <v>0.92700000000000005</v>
      </c>
      <c r="N4441">
        <v>0.92</v>
      </c>
    </row>
    <row r="4442" spans="1:14" x14ac:dyDescent="0.25">
      <c r="A4442" t="s">
        <v>8080</v>
      </c>
      <c r="B4442" t="s">
        <v>5712</v>
      </c>
      <c r="C4442" s="1" t="str">
        <f>HYPERLINK("http://www.genecards.org/cgi-bin/carddisp.pl?gene=BOP1 /// LOC727967","GeneCards")</f>
        <v>GeneCards</v>
      </c>
      <c r="D4442" s="1" t="str">
        <f>HYPERLINK("http://genome-euro.ucsc.edu/cgi-bin/hgTracks?position=216397_s_at","UCSC")</f>
        <v>UCSC</v>
      </c>
      <c r="E4442" s="1" t="str">
        <f>HYPERLINK("http://www.ncbi.nlm.nih.gov/gene/?term=BOP1 /// LOC727967","NCBI")</f>
        <v>NCBI</v>
      </c>
      <c r="F4442">
        <v>3.5000000000000003E-2</v>
      </c>
      <c r="G4442">
        <v>0.13</v>
      </c>
      <c r="H4442" s="1" t="str">
        <f>HYPERLINK("http://www.weizmann.ac.il/complex/compphys/software/geview/data/figures/216397_s_at.png","Figure")</f>
        <v>Figure</v>
      </c>
      <c r="I4442">
        <v>1.18</v>
      </c>
      <c r="J4442">
        <v>8.2000000000000003E-2</v>
      </c>
      <c r="K4442">
        <v>1.18</v>
      </c>
      <c r="L4442">
        <v>4.2000000000000003E-2</v>
      </c>
      <c r="M4442">
        <v>1</v>
      </c>
      <c r="N4442">
        <v>1</v>
      </c>
    </row>
    <row r="4443" spans="1:14" x14ac:dyDescent="0.25">
      <c r="A4443" t="s">
        <v>8081</v>
      </c>
      <c r="B4443" t="s">
        <v>8082</v>
      </c>
      <c r="C4443" s="1" t="str">
        <f>HYPERLINK("http://www.genecards.org/cgi-bin/carddisp.pl?gene=MT1X","GeneCards")</f>
        <v>GeneCards</v>
      </c>
      <c r="D4443" s="1" t="str">
        <f>HYPERLINK("http://genome-euro.ucsc.edu/cgi-bin/hgTracks?position=208581_x_at","UCSC")</f>
        <v>UCSC</v>
      </c>
      <c r="E4443" s="1" t="str">
        <f>HYPERLINK("http://www.ncbi.nlm.nih.gov/gene/?term=MT1X","NCBI")</f>
        <v>NCBI</v>
      </c>
      <c r="F4443">
        <v>3.5000000000000003E-2</v>
      </c>
      <c r="G4443">
        <v>0.13</v>
      </c>
      <c r="H4443" s="1" t="str">
        <f>HYPERLINK("http://www.weizmann.ac.il/complex/compphys/software/geview/data/figures/208581_x_at.png","Figure")</f>
        <v>Figure</v>
      </c>
      <c r="I4443">
        <v>1.73</v>
      </c>
      <c r="J4443">
        <v>6.5000000000000002E-2</v>
      </c>
      <c r="K4443">
        <v>1.66</v>
      </c>
      <c r="L4443">
        <v>0.05</v>
      </c>
      <c r="M4443">
        <v>0.95899999999999996</v>
      </c>
      <c r="N4443">
        <v>0.98</v>
      </c>
    </row>
    <row r="4444" spans="1:14" x14ac:dyDescent="0.25">
      <c r="A4444" t="s">
        <v>8083</v>
      </c>
      <c r="B4444" t="s">
        <v>8084</v>
      </c>
      <c r="C4444" s="1" t="str">
        <f>HYPERLINK("http://www.genecards.org/cgi-bin/carddisp.pl?gene=C1orf35","GeneCards")</f>
        <v>GeneCards</v>
      </c>
      <c r="D4444" s="1" t="str">
        <f>HYPERLINK("http://genome-euro.ucsc.edu/cgi-bin/hgTracks?position=219063_at","UCSC")</f>
        <v>UCSC</v>
      </c>
      <c r="E4444" s="1" t="str">
        <f>HYPERLINK("http://www.ncbi.nlm.nih.gov/gene/?term=C1orf35","NCBI")</f>
        <v>NCBI</v>
      </c>
      <c r="F4444">
        <v>3.5000000000000003E-2</v>
      </c>
      <c r="G4444">
        <v>0.13</v>
      </c>
      <c r="H4444" s="1" t="str">
        <f>HYPERLINK("http://www.weizmann.ac.il/complex/compphys/software/geview/data/figures/219063_at.png","Figure")</f>
        <v>Figure</v>
      </c>
      <c r="I4444">
        <v>1.24</v>
      </c>
      <c r="J4444">
        <v>0.03</v>
      </c>
      <c r="K4444">
        <v>1.07</v>
      </c>
      <c r="L4444">
        <v>0.55000000000000004</v>
      </c>
      <c r="M4444">
        <v>0.86399999999999999</v>
      </c>
      <c r="N4444">
        <v>0.12</v>
      </c>
    </row>
    <row r="4445" spans="1:14" x14ac:dyDescent="0.25">
      <c r="A4445" t="s">
        <v>8085</v>
      </c>
      <c r="B4445" t="s">
        <v>8086</v>
      </c>
      <c r="C4445" s="1" t="str">
        <f>HYPERLINK("http://www.genecards.org/cgi-bin/carddisp.pl?gene=SNAI1","GeneCards")</f>
        <v>GeneCards</v>
      </c>
      <c r="D4445" s="1" t="str">
        <f>HYPERLINK("http://genome-euro.ucsc.edu/cgi-bin/hgTracks?position=219480_at","UCSC")</f>
        <v>UCSC</v>
      </c>
      <c r="E4445" s="1" t="str">
        <f>HYPERLINK("http://www.ncbi.nlm.nih.gov/gene/?term=SNAI1","NCBI")</f>
        <v>NCBI</v>
      </c>
      <c r="F4445">
        <v>3.5000000000000003E-2</v>
      </c>
      <c r="G4445">
        <v>0.13</v>
      </c>
      <c r="H4445" s="1" t="str">
        <f>HYPERLINK("http://www.weizmann.ac.il/complex/compphys/software/geview/data/figures/219480_at.png","Figure")</f>
        <v>Figure</v>
      </c>
      <c r="I4445">
        <v>0.77900000000000003</v>
      </c>
      <c r="J4445">
        <v>0.17</v>
      </c>
      <c r="K4445">
        <v>1.1100000000000001</v>
      </c>
      <c r="L4445">
        <v>0.63</v>
      </c>
      <c r="M4445">
        <v>1.43</v>
      </c>
      <c r="N4445">
        <v>2.8000000000000001E-2</v>
      </c>
    </row>
    <row r="4446" spans="1:14" x14ac:dyDescent="0.25">
      <c r="A4446" t="s">
        <v>8087</v>
      </c>
      <c r="B4446" t="s">
        <v>7212</v>
      </c>
      <c r="C4446" s="1" t="str">
        <f>HYPERLINK("http://www.genecards.org/cgi-bin/carddisp.pl?gene=FTSJ2","GeneCards")</f>
        <v>GeneCards</v>
      </c>
      <c r="D4446" s="1" t="str">
        <f>HYPERLINK("http://genome-euro.ucsc.edu/cgi-bin/hgTracks?position=222130_s_at","UCSC")</f>
        <v>UCSC</v>
      </c>
      <c r="E4446" s="1" t="str">
        <f>HYPERLINK("http://www.ncbi.nlm.nih.gov/gene/?term=FTSJ2","NCBI")</f>
        <v>NCBI</v>
      </c>
      <c r="F4446">
        <v>3.5000000000000003E-2</v>
      </c>
      <c r="G4446">
        <v>0.13</v>
      </c>
      <c r="H4446" s="1" t="str">
        <f>HYPERLINK("http://www.weizmann.ac.il/complex/compphys/software/geview/data/figures/222130_s_at.png","Figure")</f>
        <v>Figure</v>
      </c>
      <c r="I4446">
        <v>1.32</v>
      </c>
      <c r="J4446">
        <v>0.2</v>
      </c>
      <c r="K4446">
        <v>1.49</v>
      </c>
      <c r="L4446">
        <v>2.9000000000000001E-2</v>
      </c>
      <c r="M4446">
        <v>1.1200000000000001</v>
      </c>
      <c r="N4446">
        <v>0.71</v>
      </c>
    </row>
    <row r="4447" spans="1:14" x14ac:dyDescent="0.25">
      <c r="A4447" t="s">
        <v>8088</v>
      </c>
      <c r="B4447" t="s">
        <v>8089</v>
      </c>
      <c r="C4447" s="1" t="str">
        <f>HYPERLINK("http://www.genecards.org/cgi-bin/carddisp.pl?gene=CCDC90A","GeneCards")</f>
        <v>GeneCards</v>
      </c>
      <c r="D4447" s="1" t="str">
        <f>HYPERLINK("http://genome-euro.ucsc.edu/cgi-bin/hgTracks?position=220094_s_at","UCSC")</f>
        <v>UCSC</v>
      </c>
      <c r="E4447" s="1" t="str">
        <f>HYPERLINK("http://www.ncbi.nlm.nih.gov/gene/?term=CCDC90A","NCBI")</f>
        <v>NCBI</v>
      </c>
      <c r="F4447">
        <v>3.5000000000000003E-2</v>
      </c>
      <c r="G4447">
        <v>0.13</v>
      </c>
      <c r="H4447" s="1" t="str">
        <f>HYPERLINK("http://www.weizmann.ac.il/complex/compphys/software/geview/data/figures/220094_s_at.png","Figure")</f>
        <v>Figure</v>
      </c>
      <c r="I4447">
        <v>0.36299999999999999</v>
      </c>
      <c r="J4447">
        <v>3.4000000000000002E-2</v>
      </c>
      <c r="K4447">
        <v>0.79</v>
      </c>
      <c r="L4447">
        <v>0.73</v>
      </c>
      <c r="M4447">
        <v>2.1800000000000002</v>
      </c>
      <c r="N4447">
        <v>8.5000000000000006E-2</v>
      </c>
    </row>
    <row r="4448" spans="1:14" x14ac:dyDescent="0.25">
      <c r="A4448" t="s">
        <v>8090</v>
      </c>
      <c r="B4448" t="s">
        <v>8091</v>
      </c>
      <c r="C4448" s="1" t="str">
        <f>HYPERLINK("http://www.genecards.org/cgi-bin/carddisp.pl?gene=HYAL3","GeneCards")</f>
        <v>GeneCards</v>
      </c>
      <c r="D4448" s="1" t="str">
        <f>HYPERLINK("http://genome-euro.ucsc.edu/cgi-bin/hgTracks?position=211728_s_at","UCSC")</f>
        <v>UCSC</v>
      </c>
      <c r="E4448" s="1" t="str">
        <f>HYPERLINK("http://www.ncbi.nlm.nih.gov/gene/?term=HYAL3","NCBI")</f>
        <v>NCBI</v>
      </c>
      <c r="F4448">
        <v>3.5000000000000003E-2</v>
      </c>
      <c r="G4448">
        <v>0.13</v>
      </c>
      <c r="H4448" s="1" t="str">
        <f>HYPERLINK("http://www.weizmann.ac.il/complex/compphys/software/geview/data/figures/211728_s_at.png","Figure")</f>
        <v>Figure</v>
      </c>
      <c r="I4448">
        <v>1.07</v>
      </c>
      <c r="J4448">
        <v>3.1E-2</v>
      </c>
      <c r="K4448">
        <v>1.04</v>
      </c>
      <c r="L4448">
        <v>0.16</v>
      </c>
      <c r="M4448">
        <v>0.97299999999999998</v>
      </c>
      <c r="N4448">
        <v>0.44</v>
      </c>
    </row>
    <row r="4449" spans="1:14" x14ac:dyDescent="0.25">
      <c r="A4449" t="s">
        <v>8092</v>
      </c>
      <c r="B4449" t="s">
        <v>8093</v>
      </c>
      <c r="C4449" s="1" t="str">
        <f>HYPERLINK("http://www.genecards.org/cgi-bin/carddisp.pl?gene=TIPRL","GeneCards")</f>
        <v>GeneCards</v>
      </c>
      <c r="D4449" s="1" t="str">
        <f>HYPERLINK("http://genome-euro.ucsc.edu/cgi-bin/hgTracks?position=214773_x_at","UCSC")</f>
        <v>UCSC</v>
      </c>
      <c r="E4449" s="1" t="str">
        <f>HYPERLINK("http://www.ncbi.nlm.nih.gov/gene/?term=TIPRL","NCBI")</f>
        <v>NCBI</v>
      </c>
      <c r="F4449">
        <v>3.5000000000000003E-2</v>
      </c>
      <c r="G4449">
        <v>0.13</v>
      </c>
      <c r="H4449" s="1" t="str">
        <f>HYPERLINK("http://www.weizmann.ac.il/complex/compphys/software/geview/data/figures/214773_x_at.png","Figure")</f>
        <v>Figure</v>
      </c>
      <c r="I4449">
        <v>0.85399999999999998</v>
      </c>
      <c r="J4449">
        <v>0.84</v>
      </c>
      <c r="K4449">
        <v>1.7</v>
      </c>
      <c r="L4449">
        <v>0.11</v>
      </c>
      <c r="M4449">
        <v>1.99</v>
      </c>
      <c r="N4449">
        <v>4.7E-2</v>
      </c>
    </row>
    <row r="4450" spans="1:14" x14ac:dyDescent="0.25">
      <c r="A4450" t="s">
        <v>8094</v>
      </c>
      <c r="B4450" t="s">
        <v>8095</v>
      </c>
      <c r="C4450" s="1" t="str">
        <f>HYPERLINK("http://www.genecards.org/cgi-bin/carddisp.pl?gene=ZFP36L2","GeneCards")</f>
        <v>GeneCards</v>
      </c>
      <c r="D4450" s="1" t="str">
        <f>HYPERLINK("http://genome-euro.ucsc.edu/cgi-bin/hgTracks?position=201368_at","UCSC")</f>
        <v>UCSC</v>
      </c>
      <c r="E4450" s="1" t="str">
        <f>HYPERLINK("http://www.ncbi.nlm.nih.gov/gene/?term=ZFP36L2","NCBI")</f>
        <v>NCBI</v>
      </c>
      <c r="F4450">
        <v>3.5000000000000003E-2</v>
      </c>
      <c r="G4450">
        <v>0.13</v>
      </c>
      <c r="H4450" s="1" t="str">
        <f>HYPERLINK("http://www.weizmann.ac.il/complex/compphys/software/geview/data/figures/201368_at.png","Figure")</f>
        <v>Figure</v>
      </c>
      <c r="I4450">
        <v>0.625</v>
      </c>
      <c r="J4450">
        <v>0.13</v>
      </c>
      <c r="K4450">
        <v>0.57099999999999995</v>
      </c>
      <c r="L4450">
        <v>3.3000000000000002E-2</v>
      </c>
      <c r="M4450">
        <v>0.91200000000000003</v>
      </c>
      <c r="N4450">
        <v>0.9</v>
      </c>
    </row>
    <row r="4451" spans="1:14" x14ac:dyDescent="0.25">
      <c r="A4451" t="s">
        <v>8096</v>
      </c>
      <c r="B4451" t="s">
        <v>8097</v>
      </c>
      <c r="C4451" s="1" t="str">
        <f>HYPERLINK("http://www.genecards.org/cgi-bin/carddisp.pl?gene=IVNS1ABP","GeneCards")</f>
        <v>GeneCards</v>
      </c>
      <c r="D4451" s="1" t="str">
        <f>HYPERLINK("http://genome-euro.ucsc.edu/cgi-bin/hgTracks?position=201362_at","UCSC")</f>
        <v>UCSC</v>
      </c>
      <c r="E4451" s="1" t="str">
        <f>HYPERLINK("http://www.ncbi.nlm.nih.gov/gene/?term=IVNS1ABP","NCBI")</f>
        <v>NCBI</v>
      </c>
      <c r="F4451">
        <v>3.5000000000000003E-2</v>
      </c>
      <c r="G4451">
        <v>0.13</v>
      </c>
      <c r="H4451" s="1" t="str">
        <f>HYPERLINK("http://www.weizmann.ac.il/complex/compphys/software/geview/data/figures/201362_at.png","Figure")</f>
        <v>Figure</v>
      </c>
      <c r="I4451">
        <v>0.433</v>
      </c>
      <c r="J4451">
        <v>2.9000000000000001E-2</v>
      </c>
      <c r="K4451">
        <v>0.63800000000000001</v>
      </c>
      <c r="L4451">
        <v>0.21</v>
      </c>
      <c r="M4451">
        <v>1.47</v>
      </c>
      <c r="N4451">
        <v>0.34</v>
      </c>
    </row>
    <row r="4452" spans="1:14" x14ac:dyDescent="0.25">
      <c r="A4452" t="s">
        <v>8098</v>
      </c>
      <c r="B4452" t="s">
        <v>8099</v>
      </c>
      <c r="C4452" s="1" t="str">
        <f>HYPERLINK("http://www.genecards.org/cgi-bin/carddisp.pl?gene=BAZ1B","GeneCards")</f>
        <v>GeneCards</v>
      </c>
      <c r="D4452" s="1" t="str">
        <f>HYPERLINK("http://genome-euro.ucsc.edu/cgi-bin/hgTracks?position=208445_s_at","UCSC")</f>
        <v>UCSC</v>
      </c>
      <c r="E4452" s="1" t="str">
        <f>HYPERLINK("http://www.ncbi.nlm.nih.gov/gene/?term=BAZ1B","NCBI")</f>
        <v>NCBI</v>
      </c>
      <c r="F4452">
        <v>3.5000000000000003E-2</v>
      </c>
      <c r="G4452">
        <v>0.13</v>
      </c>
      <c r="H4452" s="1" t="str">
        <f>HYPERLINK("http://www.weizmann.ac.il/complex/compphys/software/geview/data/figures/208445_s_at.png","Figure")</f>
        <v>Figure</v>
      </c>
      <c r="I4452">
        <v>1.04</v>
      </c>
      <c r="J4452">
        <v>0.94</v>
      </c>
      <c r="K4452">
        <v>1.37</v>
      </c>
      <c r="L4452">
        <v>4.4999999999999998E-2</v>
      </c>
      <c r="M4452">
        <v>1.31</v>
      </c>
      <c r="N4452">
        <v>0.11</v>
      </c>
    </row>
    <row r="4453" spans="1:14" x14ac:dyDescent="0.25">
      <c r="A4453" t="s">
        <v>8100</v>
      </c>
      <c r="B4453" t="s">
        <v>8041</v>
      </c>
      <c r="C4453" s="1" t="str">
        <f>HYPERLINK("http://www.genecards.org/cgi-bin/carddisp.pl?gene=KIF5B","GeneCards")</f>
        <v>GeneCards</v>
      </c>
      <c r="D4453" s="1" t="str">
        <f>HYPERLINK("http://genome-euro.ucsc.edu/cgi-bin/hgTracks?position=201991_s_at","UCSC")</f>
        <v>UCSC</v>
      </c>
      <c r="E4453" s="1" t="str">
        <f>HYPERLINK("http://www.ncbi.nlm.nih.gov/gene/?term=KIF5B","NCBI")</f>
        <v>NCBI</v>
      </c>
      <c r="F4453">
        <v>3.5000000000000003E-2</v>
      </c>
      <c r="G4453">
        <v>0.13</v>
      </c>
      <c r="H4453" s="1" t="str">
        <f>HYPERLINK("http://www.weizmann.ac.il/complex/compphys/software/geview/data/figures/201991_s_at.png","Figure")</f>
        <v>Figure</v>
      </c>
      <c r="I4453">
        <v>0.77400000000000002</v>
      </c>
      <c r="J4453">
        <v>0.33</v>
      </c>
      <c r="K4453">
        <v>0.64100000000000001</v>
      </c>
      <c r="L4453">
        <v>2.8000000000000001E-2</v>
      </c>
      <c r="M4453">
        <v>0.82899999999999996</v>
      </c>
      <c r="N4453">
        <v>0.49</v>
      </c>
    </row>
    <row r="4454" spans="1:14" x14ac:dyDescent="0.25">
      <c r="A4454" t="s">
        <v>8101</v>
      </c>
      <c r="B4454" t="s">
        <v>8102</v>
      </c>
      <c r="C4454" s="1" t="str">
        <f>HYPERLINK("http://www.genecards.org/cgi-bin/carddisp.pl?gene=TMED5","GeneCards")</f>
        <v>GeneCards</v>
      </c>
      <c r="D4454" s="1" t="str">
        <f>HYPERLINK("http://genome-euro.ucsc.edu/cgi-bin/hgTracks?position=202195_s_at","UCSC")</f>
        <v>UCSC</v>
      </c>
      <c r="E4454" s="1" t="str">
        <f>HYPERLINK("http://www.ncbi.nlm.nih.gov/gene/?term=TMED5","NCBI")</f>
        <v>NCBI</v>
      </c>
      <c r="F4454">
        <v>3.5000000000000003E-2</v>
      </c>
      <c r="G4454">
        <v>0.13</v>
      </c>
      <c r="H4454" s="1" t="str">
        <f>HYPERLINK("http://www.weizmann.ac.il/complex/compphys/software/geview/data/figures/202195_s_at.png","Figure")</f>
        <v>Figure</v>
      </c>
      <c r="I4454">
        <v>0.78600000000000003</v>
      </c>
      <c r="J4454">
        <v>0.23</v>
      </c>
      <c r="K4454">
        <v>0.70199999999999996</v>
      </c>
      <c r="L4454">
        <v>2.9000000000000001E-2</v>
      </c>
      <c r="M4454">
        <v>0.89300000000000002</v>
      </c>
      <c r="N4454">
        <v>0.66</v>
      </c>
    </row>
    <row r="4455" spans="1:14" x14ac:dyDescent="0.25">
      <c r="A4455" t="s">
        <v>8103</v>
      </c>
      <c r="B4455" t="s">
        <v>8104</v>
      </c>
      <c r="C4455" s="1" t="str">
        <f>HYPERLINK("http://www.genecards.org/cgi-bin/carddisp.pl?gene=B4GALT1","GeneCards")</f>
        <v>GeneCards</v>
      </c>
      <c r="D4455" s="1" t="str">
        <f>HYPERLINK("http://genome-euro.ucsc.edu/cgi-bin/hgTracks?position=201882_x_at","UCSC")</f>
        <v>UCSC</v>
      </c>
      <c r="E4455" s="1" t="str">
        <f>HYPERLINK("http://www.ncbi.nlm.nih.gov/gene/?term=B4GALT1","NCBI")</f>
        <v>NCBI</v>
      </c>
      <c r="F4455">
        <v>3.5000000000000003E-2</v>
      </c>
      <c r="G4455">
        <v>0.13</v>
      </c>
      <c r="H4455" s="1" t="str">
        <f>HYPERLINK("http://www.weizmann.ac.il/complex/compphys/software/geview/data/figures/201882_x_at.png","Figure")</f>
        <v>Figure</v>
      </c>
      <c r="I4455">
        <v>1.2</v>
      </c>
      <c r="J4455">
        <v>5.2999999999999999E-2</v>
      </c>
      <c r="K4455">
        <v>1.17</v>
      </c>
      <c r="L4455">
        <v>6.2E-2</v>
      </c>
      <c r="M4455">
        <v>0.97199999999999998</v>
      </c>
      <c r="N4455">
        <v>0.9</v>
      </c>
    </row>
    <row r="4456" spans="1:14" x14ac:dyDescent="0.25">
      <c r="A4456" t="s">
        <v>8105</v>
      </c>
      <c r="B4456" t="s">
        <v>8106</v>
      </c>
      <c r="C4456" s="1" t="str">
        <f>HYPERLINK("http://www.genecards.org/cgi-bin/carddisp.pl?gene=SRRM2","GeneCards")</f>
        <v>GeneCards</v>
      </c>
      <c r="D4456" s="1" t="str">
        <f>HYPERLINK("http://genome-euro.ucsc.edu/cgi-bin/hgTracks?position=208610_s_at","UCSC")</f>
        <v>UCSC</v>
      </c>
      <c r="E4456" s="1" t="str">
        <f>HYPERLINK("http://www.ncbi.nlm.nih.gov/gene/?term=SRRM2","NCBI")</f>
        <v>NCBI</v>
      </c>
      <c r="F4456">
        <v>3.5000000000000003E-2</v>
      </c>
      <c r="G4456">
        <v>0.13</v>
      </c>
      <c r="H4456" s="1" t="str">
        <f>HYPERLINK("http://www.weizmann.ac.il/complex/compphys/software/geview/data/figures/208610_s_at.png","Figure")</f>
        <v>Figure</v>
      </c>
      <c r="I4456">
        <v>1.75</v>
      </c>
      <c r="J4456">
        <v>5.6000000000000001E-2</v>
      </c>
      <c r="K4456">
        <v>1.01</v>
      </c>
      <c r="L4456">
        <v>1</v>
      </c>
      <c r="M4456">
        <v>0.57799999999999996</v>
      </c>
      <c r="N4456">
        <v>4.4999999999999998E-2</v>
      </c>
    </row>
    <row r="4457" spans="1:14" x14ac:dyDescent="0.25">
      <c r="A4457" t="s">
        <v>8107</v>
      </c>
      <c r="B4457" t="s">
        <v>8108</v>
      </c>
      <c r="C4457" s="1" t="str">
        <f>HYPERLINK("http://www.genecards.org/cgi-bin/carddisp.pl?gene=HIGD2A","GeneCards")</f>
        <v>GeneCards</v>
      </c>
      <c r="D4457" s="1" t="str">
        <f>HYPERLINK("http://genome-euro.ucsc.edu/cgi-bin/hgTracks?position=209329_x_at","UCSC")</f>
        <v>UCSC</v>
      </c>
      <c r="E4457" s="1" t="str">
        <f>HYPERLINK("http://www.ncbi.nlm.nih.gov/gene/?term=HIGD2A","NCBI")</f>
        <v>NCBI</v>
      </c>
      <c r="F4457">
        <v>3.5000000000000003E-2</v>
      </c>
      <c r="G4457">
        <v>0.13</v>
      </c>
      <c r="H4457" s="1" t="str">
        <f>HYPERLINK("http://www.weizmann.ac.il/complex/compphys/software/geview/data/figures/209329_x_at.png","Figure")</f>
        <v>Figure</v>
      </c>
      <c r="I4457">
        <v>1.43</v>
      </c>
      <c r="J4457">
        <v>2.9000000000000001E-2</v>
      </c>
      <c r="K4457">
        <v>1.21</v>
      </c>
      <c r="L4457">
        <v>0.21</v>
      </c>
      <c r="M4457">
        <v>0.84599999999999997</v>
      </c>
      <c r="N4457">
        <v>0.34</v>
      </c>
    </row>
    <row r="4458" spans="1:14" x14ac:dyDescent="0.25">
      <c r="A4458" t="s">
        <v>8109</v>
      </c>
      <c r="B4458" t="s">
        <v>6667</v>
      </c>
      <c r="C4458" s="1" t="str">
        <f>HYPERLINK("http://www.genecards.org/cgi-bin/carddisp.pl?gene=SAP30","GeneCards")</f>
        <v>GeneCards</v>
      </c>
      <c r="D4458" s="1" t="str">
        <f>HYPERLINK("http://genome-euro.ucsc.edu/cgi-bin/hgTracks?position=213963_s_at","UCSC")</f>
        <v>UCSC</v>
      </c>
      <c r="E4458" s="1" t="str">
        <f>HYPERLINK("http://www.ncbi.nlm.nih.gov/gene/?term=SAP30","NCBI")</f>
        <v>NCBI</v>
      </c>
      <c r="F4458">
        <v>3.5000000000000003E-2</v>
      </c>
      <c r="G4458">
        <v>0.14000000000000001</v>
      </c>
      <c r="H4458" s="1" t="str">
        <f>HYPERLINK("http://www.weizmann.ac.il/complex/compphys/software/geview/data/figures/213963_s_at.png","Figure")</f>
        <v>Figure</v>
      </c>
      <c r="I4458">
        <v>0.90100000000000002</v>
      </c>
      <c r="J4458">
        <v>3.1E-2</v>
      </c>
      <c r="K4458">
        <v>0.96899999999999997</v>
      </c>
      <c r="L4458">
        <v>0.57999999999999996</v>
      </c>
      <c r="M4458">
        <v>1.07</v>
      </c>
      <c r="N4458">
        <v>0.12</v>
      </c>
    </row>
    <row r="4459" spans="1:14" x14ac:dyDescent="0.25">
      <c r="A4459" t="s">
        <v>8110</v>
      </c>
      <c r="B4459" t="s">
        <v>8111</v>
      </c>
      <c r="C4459" s="1" t="str">
        <f>HYPERLINK("http://www.genecards.org/cgi-bin/carddisp.pl?gene=TNFRSF12A","GeneCards")</f>
        <v>GeneCards</v>
      </c>
      <c r="D4459" s="1" t="str">
        <f>HYPERLINK("http://genome-euro.ucsc.edu/cgi-bin/hgTracks?position=218368_s_at","UCSC")</f>
        <v>UCSC</v>
      </c>
      <c r="E4459" s="1" t="str">
        <f>HYPERLINK("http://www.ncbi.nlm.nih.gov/gene/?term=TNFRSF12A","NCBI")</f>
        <v>NCBI</v>
      </c>
      <c r="F4459">
        <v>3.5000000000000003E-2</v>
      </c>
      <c r="G4459">
        <v>0.14000000000000001</v>
      </c>
      <c r="H4459" s="1" t="str">
        <f>HYPERLINK("http://www.weizmann.ac.il/complex/compphys/software/geview/data/figures/218368_s_at.png","Figure")</f>
        <v>Figure</v>
      </c>
      <c r="I4459">
        <v>1.39</v>
      </c>
      <c r="J4459">
        <v>2.8000000000000001E-2</v>
      </c>
      <c r="K4459">
        <v>1.1399999999999999</v>
      </c>
      <c r="L4459">
        <v>0.39</v>
      </c>
      <c r="M4459">
        <v>0.82</v>
      </c>
      <c r="N4459">
        <v>0.18</v>
      </c>
    </row>
    <row r="4460" spans="1:14" x14ac:dyDescent="0.25">
      <c r="A4460" t="s">
        <v>8112</v>
      </c>
      <c r="B4460" t="s">
        <v>5777</v>
      </c>
      <c r="C4460" s="1" t="str">
        <f>HYPERLINK("http://www.genecards.org/cgi-bin/carddisp.pl?gene=PTP4A1","GeneCards")</f>
        <v>GeneCards</v>
      </c>
      <c r="D4460" s="1" t="str">
        <f>HYPERLINK("http://genome-euro.ucsc.edu/cgi-bin/hgTracks?position=200733_s_at","UCSC")</f>
        <v>UCSC</v>
      </c>
      <c r="E4460" s="1" t="str">
        <f>HYPERLINK("http://www.ncbi.nlm.nih.gov/gene/?term=PTP4A1","NCBI")</f>
        <v>NCBI</v>
      </c>
      <c r="F4460">
        <v>3.5000000000000003E-2</v>
      </c>
      <c r="G4460">
        <v>0.14000000000000001</v>
      </c>
      <c r="H4460" s="1" t="str">
        <f>HYPERLINK("http://www.weizmann.ac.il/complex/compphys/software/geview/data/figures/200733_s_at.png","Figure")</f>
        <v>Figure</v>
      </c>
      <c r="I4460">
        <v>0.46</v>
      </c>
      <c r="J4460">
        <v>3.4000000000000002E-2</v>
      </c>
      <c r="K4460">
        <v>0.60799999999999998</v>
      </c>
      <c r="L4460">
        <v>0.13</v>
      </c>
      <c r="M4460">
        <v>1.32</v>
      </c>
      <c r="N4460">
        <v>0.53</v>
      </c>
    </row>
    <row r="4461" spans="1:14" x14ac:dyDescent="0.25">
      <c r="A4461" t="s">
        <v>8113</v>
      </c>
      <c r="B4461" t="s">
        <v>8114</v>
      </c>
      <c r="C4461" s="1" t="str">
        <f>HYPERLINK("http://www.genecards.org/cgi-bin/carddisp.pl?gene=CTF1","GeneCards")</f>
        <v>GeneCards</v>
      </c>
      <c r="D4461" s="1" t="str">
        <f>HYPERLINK("http://genome-euro.ucsc.edu/cgi-bin/hgTracks?position=206813_at","UCSC")</f>
        <v>UCSC</v>
      </c>
      <c r="E4461" s="1" t="str">
        <f>HYPERLINK("http://www.ncbi.nlm.nih.gov/gene/?term=CTF1","NCBI")</f>
        <v>NCBI</v>
      </c>
      <c r="F4461">
        <v>3.5000000000000003E-2</v>
      </c>
      <c r="G4461">
        <v>0.14000000000000001</v>
      </c>
      <c r="H4461" s="1" t="str">
        <f>HYPERLINK("http://www.weizmann.ac.il/complex/compphys/software/geview/data/figures/206813_at.png","Figure")</f>
        <v>Figure</v>
      </c>
      <c r="I4461">
        <v>1.58</v>
      </c>
      <c r="J4461">
        <v>0.03</v>
      </c>
      <c r="K4461">
        <v>1.1599999999999999</v>
      </c>
      <c r="L4461">
        <v>0.52</v>
      </c>
      <c r="M4461">
        <v>0.73599999999999999</v>
      </c>
      <c r="N4461">
        <v>0.13</v>
      </c>
    </row>
    <row r="4462" spans="1:14" x14ac:dyDescent="0.25">
      <c r="A4462" t="s">
        <v>8115</v>
      </c>
      <c r="B4462" t="s">
        <v>8116</v>
      </c>
      <c r="C4462" s="1" t="str">
        <f>HYPERLINK("http://www.genecards.org/cgi-bin/carddisp.pl?gene=PATZ1","GeneCards")</f>
        <v>GeneCards</v>
      </c>
      <c r="D4462" s="1" t="str">
        <f>HYPERLINK("http://genome-euro.ucsc.edu/cgi-bin/hgTracks?position=211393_at","UCSC")</f>
        <v>UCSC</v>
      </c>
      <c r="E4462" s="1" t="str">
        <f>HYPERLINK("http://www.ncbi.nlm.nih.gov/gene/?term=PATZ1","NCBI")</f>
        <v>NCBI</v>
      </c>
      <c r="F4462">
        <v>3.5000000000000003E-2</v>
      </c>
      <c r="G4462">
        <v>0.14000000000000001</v>
      </c>
      <c r="H4462" s="1" t="str">
        <f>HYPERLINK("http://www.weizmann.ac.il/complex/compphys/software/geview/data/figures/211393_at.png","Figure")</f>
        <v>Figure</v>
      </c>
      <c r="I4462">
        <v>1.27</v>
      </c>
      <c r="J4462">
        <v>3.3000000000000002E-2</v>
      </c>
      <c r="K4462">
        <v>1.06</v>
      </c>
      <c r="L4462">
        <v>0.68</v>
      </c>
      <c r="M4462">
        <v>0.83899999999999997</v>
      </c>
      <c r="N4462">
        <v>9.5000000000000001E-2</v>
      </c>
    </row>
    <row r="4463" spans="1:14" x14ac:dyDescent="0.25">
      <c r="A4463" t="s">
        <v>8117</v>
      </c>
      <c r="B4463" t="s">
        <v>8118</v>
      </c>
      <c r="C4463" s="1" t="str">
        <f>HYPERLINK("http://www.genecards.org/cgi-bin/carddisp.pl?gene=TTTY15","GeneCards")</f>
        <v>GeneCards</v>
      </c>
      <c r="D4463" s="1" t="str">
        <f>HYPERLINK("http://genome-euro.ucsc.edu/cgi-bin/hgTracks?position=214983_at","UCSC")</f>
        <v>UCSC</v>
      </c>
      <c r="E4463" s="1" t="str">
        <f>HYPERLINK("http://www.ncbi.nlm.nih.gov/gene/?term=TTTY15","NCBI")</f>
        <v>NCBI</v>
      </c>
      <c r="F4463">
        <v>3.5000000000000003E-2</v>
      </c>
      <c r="G4463">
        <v>0.14000000000000001</v>
      </c>
      <c r="H4463" s="1" t="str">
        <f>HYPERLINK("http://www.weizmann.ac.il/complex/compphys/software/geview/data/figures/214983_at.png","Figure")</f>
        <v>Figure</v>
      </c>
      <c r="I4463">
        <v>1.29</v>
      </c>
      <c r="J4463">
        <v>0.52</v>
      </c>
      <c r="K4463">
        <v>0.70299999999999996</v>
      </c>
      <c r="L4463">
        <v>0.21</v>
      </c>
      <c r="M4463">
        <v>0.54400000000000004</v>
      </c>
      <c r="N4463">
        <v>3.3000000000000002E-2</v>
      </c>
    </row>
    <row r="4464" spans="1:14" x14ac:dyDescent="0.25">
      <c r="A4464" t="s">
        <v>8119</v>
      </c>
      <c r="B4464" t="s">
        <v>8120</v>
      </c>
      <c r="C4464" s="1" t="str">
        <f>HYPERLINK("http://www.genecards.org/cgi-bin/carddisp.pl?gene=EFNB2","GeneCards")</f>
        <v>GeneCards</v>
      </c>
      <c r="D4464" s="1" t="str">
        <f>HYPERLINK("http://genome-euro.ucsc.edu/cgi-bin/hgTracks?position=202668_at","UCSC")</f>
        <v>UCSC</v>
      </c>
      <c r="E4464" s="1" t="str">
        <f>HYPERLINK("http://www.ncbi.nlm.nih.gov/gene/?term=EFNB2","NCBI")</f>
        <v>NCBI</v>
      </c>
      <c r="F4464">
        <v>3.5999999999999997E-2</v>
      </c>
      <c r="G4464">
        <v>0.14000000000000001</v>
      </c>
      <c r="H4464" s="1" t="str">
        <f>HYPERLINK("http://www.weizmann.ac.il/complex/compphys/software/geview/data/figures/202668_at.png","Figure")</f>
        <v>Figure</v>
      </c>
      <c r="I4464">
        <v>2.1800000000000002</v>
      </c>
      <c r="J4464">
        <v>0.13</v>
      </c>
      <c r="K4464">
        <v>0.78300000000000003</v>
      </c>
      <c r="L4464">
        <v>0.74</v>
      </c>
      <c r="M4464">
        <v>0.35899999999999999</v>
      </c>
      <c r="N4464">
        <v>0.03</v>
      </c>
    </row>
    <row r="4465" spans="1:14" x14ac:dyDescent="0.25">
      <c r="A4465" t="s">
        <v>8121</v>
      </c>
      <c r="B4465" t="s">
        <v>8122</v>
      </c>
      <c r="C4465" s="1" t="str">
        <f>HYPERLINK("http://www.genecards.org/cgi-bin/carddisp.pl?gene=FAM38A","GeneCards")</f>
        <v>GeneCards</v>
      </c>
      <c r="D4465" s="1" t="str">
        <f>HYPERLINK("http://genome-euro.ucsc.edu/cgi-bin/hgTracks?position=202771_at","UCSC")</f>
        <v>UCSC</v>
      </c>
      <c r="E4465" s="1" t="str">
        <f>HYPERLINK("http://www.ncbi.nlm.nih.gov/gene/?term=FAM38A","NCBI")</f>
        <v>NCBI</v>
      </c>
      <c r="F4465">
        <v>3.5000000000000003E-2</v>
      </c>
      <c r="G4465">
        <v>0.14000000000000001</v>
      </c>
      <c r="H4465" s="1" t="str">
        <f>HYPERLINK("http://www.weizmann.ac.il/complex/compphys/software/geview/data/figures/202771_at.png","Figure")</f>
        <v>Figure</v>
      </c>
      <c r="I4465">
        <v>0.48599999999999999</v>
      </c>
      <c r="J4465">
        <v>2.9000000000000001E-2</v>
      </c>
      <c r="K4465">
        <v>0.77300000000000002</v>
      </c>
      <c r="L4465">
        <v>0.47</v>
      </c>
      <c r="M4465">
        <v>1.59</v>
      </c>
      <c r="N4465">
        <v>0.15</v>
      </c>
    </row>
    <row r="4466" spans="1:14" x14ac:dyDescent="0.25">
      <c r="A4466" t="s">
        <v>8123</v>
      </c>
      <c r="B4466" t="s">
        <v>7384</v>
      </c>
      <c r="C4466" s="1" t="str">
        <f>HYPERLINK("http://www.genecards.org/cgi-bin/carddisp.pl?gene=MMP14","GeneCards")</f>
        <v>GeneCards</v>
      </c>
      <c r="D4466" s="1" t="str">
        <f>HYPERLINK("http://genome-euro.ucsc.edu/cgi-bin/hgTracks?position=202828_s_at","UCSC")</f>
        <v>UCSC</v>
      </c>
      <c r="E4466" s="1" t="str">
        <f>HYPERLINK("http://www.ncbi.nlm.nih.gov/gene/?term=MMP14","NCBI")</f>
        <v>NCBI</v>
      </c>
      <c r="F4466">
        <v>3.5000000000000003E-2</v>
      </c>
      <c r="G4466">
        <v>0.14000000000000001</v>
      </c>
      <c r="H4466" s="1" t="str">
        <f>HYPERLINK("http://www.weizmann.ac.il/complex/compphys/software/geview/data/figures/202828_s_at.png","Figure")</f>
        <v>Figure</v>
      </c>
      <c r="I4466">
        <v>1.32</v>
      </c>
      <c r="J4466">
        <v>4.7E-2</v>
      </c>
      <c r="K4466">
        <v>1.24</v>
      </c>
      <c r="L4466">
        <v>7.1999999999999995E-2</v>
      </c>
      <c r="M4466">
        <v>0.94499999999999995</v>
      </c>
      <c r="N4466">
        <v>0.83</v>
      </c>
    </row>
    <row r="4467" spans="1:14" x14ac:dyDescent="0.25">
      <c r="A4467" t="s">
        <v>8124</v>
      </c>
      <c r="B4467" t="s">
        <v>8125</v>
      </c>
      <c r="C4467" s="1" t="str">
        <f>HYPERLINK("http://www.genecards.org/cgi-bin/carddisp.pl?gene=PPID","GeneCards")</f>
        <v>GeneCards</v>
      </c>
      <c r="D4467" s="1" t="str">
        <f>HYPERLINK("http://genome-euro.ucsc.edu/cgi-bin/hgTracks?position=204185_x_at","UCSC")</f>
        <v>UCSC</v>
      </c>
      <c r="E4467" s="1" t="str">
        <f>HYPERLINK("http://www.ncbi.nlm.nih.gov/gene/?term=PPID","NCBI")</f>
        <v>NCBI</v>
      </c>
      <c r="F4467">
        <v>3.5000000000000003E-2</v>
      </c>
      <c r="G4467">
        <v>0.14000000000000001</v>
      </c>
      <c r="H4467" s="1" t="str">
        <f>HYPERLINK("http://www.weizmann.ac.il/complex/compphys/software/geview/data/figures/204185_x_at.png","Figure")</f>
        <v>Figure</v>
      </c>
      <c r="I4467">
        <v>0.503</v>
      </c>
      <c r="J4467">
        <v>0.04</v>
      </c>
      <c r="K4467">
        <v>0.89500000000000002</v>
      </c>
      <c r="L4467">
        <v>0.87</v>
      </c>
      <c r="M4467">
        <v>1.78</v>
      </c>
      <c r="N4467">
        <v>6.7000000000000004E-2</v>
      </c>
    </row>
    <row r="4468" spans="1:14" x14ac:dyDescent="0.25">
      <c r="A4468" t="s">
        <v>8126</v>
      </c>
      <c r="B4468" t="s">
        <v>8127</v>
      </c>
      <c r="C4468" s="1" t="str">
        <f>HYPERLINK("http://www.genecards.org/cgi-bin/carddisp.pl?gene=MYL1","GeneCards")</f>
        <v>GeneCards</v>
      </c>
      <c r="D4468" s="1" t="str">
        <f>HYPERLINK("http://genome-euro.ucsc.edu/cgi-bin/hgTracks?position=209888_s_at","UCSC")</f>
        <v>UCSC</v>
      </c>
      <c r="E4468" s="1" t="str">
        <f>HYPERLINK("http://www.ncbi.nlm.nih.gov/gene/?term=MYL1","NCBI")</f>
        <v>NCBI</v>
      </c>
      <c r="F4468">
        <v>3.5000000000000003E-2</v>
      </c>
      <c r="G4468">
        <v>0.14000000000000001</v>
      </c>
      <c r="H4468" s="1" t="str">
        <f>HYPERLINK("http://www.weizmann.ac.il/complex/compphys/software/geview/data/figures/209888_s_at.png","Figure")</f>
        <v>Figure</v>
      </c>
      <c r="I4468">
        <v>1.05</v>
      </c>
      <c r="J4468">
        <v>0.34</v>
      </c>
      <c r="K4468">
        <v>0.95699999999999996</v>
      </c>
      <c r="L4468">
        <v>0.34</v>
      </c>
      <c r="M4468">
        <v>0.91</v>
      </c>
      <c r="N4468">
        <v>2.9000000000000001E-2</v>
      </c>
    </row>
    <row r="4469" spans="1:14" x14ac:dyDescent="0.25">
      <c r="A4469" t="s">
        <v>8128</v>
      </c>
      <c r="B4469" t="s">
        <v>8129</v>
      </c>
      <c r="C4469" s="1" t="str">
        <f>HYPERLINK("http://www.genecards.org/cgi-bin/carddisp.pl?gene=DCAF4","GeneCards")</f>
        <v>GeneCards</v>
      </c>
      <c r="D4469" s="1" t="str">
        <f>HYPERLINK("http://genome-euro.ucsc.edu/cgi-bin/hgTracks?position=214758_at","UCSC")</f>
        <v>UCSC</v>
      </c>
      <c r="E4469" s="1" t="str">
        <f>HYPERLINK("http://www.ncbi.nlm.nih.gov/gene/?term=DCAF4","NCBI")</f>
        <v>NCBI</v>
      </c>
      <c r="F4469">
        <v>3.5999999999999997E-2</v>
      </c>
      <c r="G4469">
        <v>0.14000000000000001</v>
      </c>
      <c r="H4469" s="1" t="str">
        <f>HYPERLINK("http://www.weizmann.ac.il/complex/compphys/software/geview/data/figures/214758_at.png","Figure")</f>
        <v>Figure</v>
      </c>
      <c r="I4469">
        <v>0.81599999999999995</v>
      </c>
      <c r="J4469">
        <v>0.2</v>
      </c>
      <c r="K4469">
        <v>1.1100000000000001</v>
      </c>
      <c r="L4469">
        <v>0.54</v>
      </c>
      <c r="M4469">
        <v>1.36</v>
      </c>
      <c r="N4469">
        <v>2.8000000000000001E-2</v>
      </c>
    </row>
    <row r="4470" spans="1:14" x14ac:dyDescent="0.25">
      <c r="A4470" t="s">
        <v>8130</v>
      </c>
      <c r="B4470" t="s">
        <v>8131</v>
      </c>
      <c r="C4470" s="1" t="str">
        <f>HYPERLINK("http://www.genecards.org/cgi-bin/carddisp.pl?gene=LOC100288332 /// LOC100288583 /// NPIPL3","GeneCards")</f>
        <v>GeneCards</v>
      </c>
      <c r="D4470" s="1" t="str">
        <f>HYPERLINK("http://genome-euro.ucsc.edu/cgi-bin/hgTracks?position=215123_at","UCSC")</f>
        <v>UCSC</v>
      </c>
      <c r="E4470" s="1" t="str">
        <f>HYPERLINK("http://www.ncbi.nlm.nih.gov/gene/?term=LOC100288332 /// LOC100288583 /// NPIPL3","NCBI")</f>
        <v>NCBI</v>
      </c>
      <c r="F4470">
        <v>3.5000000000000003E-2</v>
      </c>
      <c r="G4470">
        <v>0.14000000000000001</v>
      </c>
      <c r="H4470" s="1" t="str">
        <f>HYPERLINK("http://www.weizmann.ac.il/complex/compphys/software/geview/data/figures/215123_at.png","Figure")</f>
        <v>Figure</v>
      </c>
      <c r="I4470">
        <v>2.57</v>
      </c>
      <c r="J4470">
        <v>2.8000000000000001E-2</v>
      </c>
      <c r="K4470">
        <v>1.48</v>
      </c>
      <c r="L4470">
        <v>0.37</v>
      </c>
      <c r="M4470">
        <v>0.57599999999999996</v>
      </c>
      <c r="N4470">
        <v>0.19</v>
      </c>
    </row>
    <row r="4471" spans="1:14" x14ac:dyDescent="0.25">
      <c r="A4471" t="s">
        <v>8132</v>
      </c>
      <c r="B4471" t="s">
        <v>8133</v>
      </c>
      <c r="C4471" s="1" t="str">
        <f>HYPERLINK("http://www.genecards.org/cgi-bin/carddisp.pl?gene=TMC7","GeneCards")</f>
        <v>GeneCards</v>
      </c>
      <c r="D4471" s="1" t="str">
        <f>HYPERLINK("http://genome-euro.ucsc.edu/cgi-bin/hgTracks?position=220021_at","UCSC")</f>
        <v>UCSC</v>
      </c>
      <c r="E4471" s="1" t="str">
        <f>HYPERLINK("http://www.ncbi.nlm.nih.gov/gene/?term=TMC7","NCBI")</f>
        <v>NCBI</v>
      </c>
      <c r="F4471">
        <v>3.5999999999999997E-2</v>
      </c>
      <c r="G4471">
        <v>0.14000000000000001</v>
      </c>
      <c r="H4471" s="1" t="str">
        <f>HYPERLINK("http://www.weizmann.ac.il/complex/compphys/software/geview/data/figures/220021_at.png","Figure")</f>
        <v>Figure</v>
      </c>
      <c r="I4471">
        <v>1.04</v>
      </c>
      <c r="J4471">
        <v>5.8000000000000003E-2</v>
      </c>
      <c r="K4471">
        <v>1.04</v>
      </c>
      <c r="L4471">
        <v>5.6000000000000001E-2</v>
      </c>
      <c r="M4471">
        <v>0.995</v>
      </c>
      <c r="N4471">
        <v>0.94</v>
      </c>
    </row>
    <row r="4472" spans="1:14" x14ac:dyDescent="0.25">
      <c r="A4472" t="s">
        <v>8134</v>
      </c>
      <c r="B4472" t="s">
        <v>8135</v>
      </c>
      <c r="C4472" s="1" t="str">
        <f>HYPERLINK("http://www.genecards.org/cgi-bin/carddisp.pl?gene=JHDM1D","GeneCards")</f>
        <v>GeneCards</v>
      </c>
      <c r="D4472" s="1" t="str">
        <f>HYPERLINK("http://genome-euro.ucsc.edu/cgi-bin/hgTracks?position=221778_at","UCSC")</f>
        <v>UCSC</v>
      </c>
      <c r="E4472" s="1" t="str">
        <f>HYPERLINK("http://www.ncbi.nlm.nih.gov/gene/?term=JHDM1D","NCBI")</f>
        <v>NCBI</v>
      </c>
      <c r="F4472">
        <v>3.5000000000000003E-2</v>
      </c>
      <c r="G4472">
        <v>0.14000000000000001</v>
      </c>
      <c r="H4472" s="1" t="str">
        <f>HYPERLINK("http://www.weizmann.ac.il/complex/compphys/software/geview/data/figures/221778_at.png","Figure")</f>
        <v>Figure</v>
      </c>
      <c r="I4472">
        <v>0.67200000000000004</v>
      </c>
      <c r="J4472">
        <v>0.15</v>
      </c>
      <c r="K4472">
        <v>0.60499999999999998</v>
      </c>
      <c r="L4472">
        <v>3.2000000000000001E-2</v>
      </c>
      <c r="M4472">
        <v>0.9</v>
      </c>
      <c r="N4472">
        <v>0.84</v>
      </c>
    </row>
    <row r="4473" spans="1:14" x14ac:dyDescent="0.25">
      <c r="A4473" t="s">
        <v>8136</v>
      </c>
      <c r="B4473" t="s">
        <v>6405</v>
      </c>
      <c r="C4473" s="1" t="str">
        <f>HYPERLINK("http://www.genecards.org/cgi-bin/carddisp.pl?gene=MYL4","GeneCards")</f>
        <v>GeneCards</v>
      </c>
      <c r="D4473" s="1" t="str">
        <f>HYPERLINK("http://genome-euro.ucsc.edu/cgi-bin/hgTracks?position=217274_x_at","UCSC")</f>
        <v>UCSC</v>
      </c>
      <c r="E4473" s="1" t="str">
        <f>HYPERLINK("http://www.ncbi.nlm.nih.gov/gene/?term=MYL4","NCBI")</f>
        <v>NCBI</v>
      </c>
      <c r="F4473">
        <v>3.5999999999999997E-2</v>
      </c>
      <c r="G4473">
        <v>0.14000000000000001</v>
      </c>
      <c r="H4473" s="1" t="str">
        <f>HYPERLINK("http://www.weizmann.ac.il/complex/compphys/software/geview/data/figures/217274_x_at.png","Figure")</f>
        <v>Figure</v>
      </c>
      <c r="I4473">
        <v>1.48</v>
      </c>
      <c r="J4473">
        <v>3.3000000000000002E-2</v>
      </c>
      <c r="K4473">
        <v>1.28</v>
      </c>
      <c r="L4473">
        <v>0.13</v>
      </c>
      <c r="M4473">
        <v>0.86799999999999999</v>
      </c>
      <c r="N4473">
        <v>0.52</v>
      </c>
    </row>
    <row r="4474" spans="1:14" x14ac:dyDescent="0.25">
      <c r="A4474" t="s">
        <v>8137</v>
      </c>
      <c r="B4474" t="s">
        <v>8138</v>
      </c>
      <c r="C4474" s="1" t="str">
        <f>HYPERLINK("http://www.genecards.org/cgi-bin/carddisp.pl?gene=GLB1L","GeneCards")</f>
        <v>GeneCards</v>
      </c>
      <c r="D4474" s="1" t="str">
        <f>HYPERLINK("http://genome-euro.ucsc.edu/cgi-bin/hgTracks?position=206540_at","UCSC")</f>
        <v>UCSC</v>
      </c>
      <c r="E4474" s="1" t="str">
        <f>HYPERLINK("http://www.ncbi.nlm.nih.gov/gene/?term=GLB1L","NCBI")</f>
        <v>NCBI</v>
      </c>
      <c r="F4474">
        <v>3.5999999999999997E-2</v>
      </c>
      <c r="G4474">
        <v>0.14000000000000001</v>
      </c>
      <c r="H4474" s="1" t="str">
        <f>HYPERLINK("http://www.weizmann.ac.il/complex/compphys/software/geview/data/figures/206540_at.png","Figure")</f>
        <v>Figure</v>
      </c>
      <c r="I4474">
        <v>1.29</v>
      </c>
      <c r="J4474">
        <v>0.03</v>
      </c>
      <c r="K4474">
        <v>1.0900000000000001</v>
      </c>
      <c r="L4474">
        <v>0.52</v>
      </c>
      <c r="M4474">
        <v>0.84399999999999997</v>
      </c>
      <c r="N4474">
        <v>0.13</v>
      </c>
    </row>
    <row r="4475" spans="1:14" x14ac:dyDescent="0.25">
      <c r="A4475" t="s">
        <v>8139</v>
      </c>
      <c r="B4475" t="s">
        <v>8140</v>
      </c>
      <c r="C4475" s="1" t="str">
        <f>HYPERLINK("http://www.genecards.org/cgi-bin/carddisp.pl?gene=SAMD14","GeneCards")</f>
        <v>GeneCards</v>
      </c>
      <c r="D4475" s="1" t="str">
        <f>HYPERLINK("http://genome-euro.ucsc.edu/cgi-bin/hgTracks?position=213866_at","UCSC")</f>
        <v>UCSC</v>
      </c>
      <c r="E4475" s="1" t="str">
        <f>HYPERLINK("http://www.ncbi.nlm.nih.gov/gene/?term=SAMD14","NCBI")</f>
        <v>NCBI</v>
      </c>
      <c r="F4475">
        <v>3.5999999999999997E-2</v>
      </c>
      <c r="G4475">
        <v>0.14000000000000001</v>
      </c>
      <c r="H4475" s="1" t="str">
        <f>HYPERLINK("http://www.weizmann.ac.il/complex/compphys/software/geview/data/figures/213866_at.png","Figure")</f>
        <v>Figure</v>
      </c>
      <c r="I4475">
        <v>1.25</v>
      </c>
      <c r="J4475">
        <v>4.2999999999999997E-2</v>
      </c>
      <c r="K4475">
        <v>1.18</v>
      </c>
      <c r="L4475">
        <v>8.1000000000000003E-2</v>
      </c>
      <c r="M4475">
        <v>0.94799999999999995</v>
      </c>
      <c r="N4475">
        <v>0.77</v>
      </c>
    </row>
    <row r="4476" spans="1:14" x14ac:dyDescent="0.25">
      <c r="A4476" t="s">
        <v>8141</v>
      </c>
      <c r="B4476" t="s">
        <v>8142</v>
      </c>
      <c r="C4476" s="1" t="str">
        <f>HYPERLINK("http://www.genecards.org/cgi-bin/carddisp.pl?gene=TGM1","GeneCards")</f>
        <v>GeneCards</v>
      </c>
      <c r="D4476" s="1" t="str">
        <f>HYPERLINK("http://genome-euro.ucsc.edu/cgi-bin/hgTracks?position=206008_at","UCSC")</f>
        <v>UCSC</v>
      </c>
      <c r="E4476" s="1" t="str">
        <f>HYPERLINK("http://www.ncbi.nlm.nih.gov/gene/?term=TGM1","NCBI")</f>
        <v>NCBI</v>
      </c>
      <c r="F4476">
        <v>3.5999999999999997E-2</v>
      </c>
      <c r="G4476">
        <v>0.14000000000000001</v>
      </c>
      <c r="H4476" s="1" t="str">
        <f>HYPERLINK("http://www.weizmann.ac.il/complex/compphys/software/geview/data/figures/206008_at.png","Figure")</f>
        <v>Figure</v>
      </c>
      <c r="I4476">
        <v>1.21</v>
      </c>
      <c r="J4476">
        <v>3.6999999999999998E-2</v>
      </c>
      <c r="K4476">
        <v>1.04</v>
      </c>
      <c r="L4476">
        <v>0.81</v>
      </c>
      <c r="M4476">
        <v>0.86</v>
      </c>
      <c r="N4476">
        <v>7.3999999999999996E-2</v>
      </c>
    </row>
    <row r="4477" spans="1:14" x14ac:dyDescent="0.25">
      <c r="A4477" t="s">
        <v>8143</v>
      </c>
      <c r="B4477" t="s">
        <v>8144</v>
      </c>
      <c r="C4477" s="1" t="str">
        <f>HYPERLINK("http://www.genecards.org/cgi-bin/carddisp.pl?gene=SLC35D1","GeneCards")</f>
        <v>GeneCards</v>
      </c>
      <c r="D4477" s="1" t="str">
        <f>HYPERLINK("http://genome-euro.ucsc.edu/cgi-bin/hgTracks?position=209712_at","UCSC")</f>
        <v>UCSC</v>
      </c>
      <c r="E4477" s="1" t="str">
        <f>HYPERLINK("http://www.ncbi.nlm.nih.gov/gene/?term=SLC35D1","NCBI")</f>
        <v>NCBI</v>
      </c>
      <c r="F4477">
        <v>3.5999999999999997E-2</v>
      </c>
      <c r="G4477">
        <v>0.14000000000000001</v>
      </c>
      <c r="H4477" s="1" t="str">
        <f>HYPERLINK("http://www.weizmann.ac.il/complex/compphys/software/geview/data/figures/209712_at.png","Figure")</f>
        <v>Figure</v>
      </c>
      <c r="I4477">
        <v>1.1599999999999999</v>
      </c>
      <c r="J4477">
        <v>0.85</v>
      </c>
      <c r="K4477">
        <v>0.58799999999999997</v>
      </c>
      <c r="L4477">
        <v>0.1</v>
      </c>
      <c r="M4477">
        <v>0.50700000000000001</v>
      </c>
      <c r="N4477">
        <v>4.9000000000000002E-2</v>
      </c>
    </row>
    <row r="4478" spans="1:14" x14ac:dyDescent="0.25">
      <c r="A4478" t="s">
        <v>8145</v>
      </c>
      <c r="B4478" t="s">
        <v>8146</v>
      </c>
      <c r="C4478" s="1" t="str">
        <f>HYPERLINK("http://www.genecards.org/cgi-bin/carddisp.pl?gene=OSBPL3","GeneCards")</f>
        <v>GeneCards</v>
      </c>
      <c r="D4478" s="1" t="str">
        <f>HYPERLINK("http://genome-euro.ucsc.edu/cgi-bin/hgTracks?position=209626_s_at","UCSC")</f>
        <v>UCSC</v>
      </c>
      <c r="E4478" s="1" t="str">
        <f>HYPERLINK("http://www.ncbi.nlm.nih.gov/gene/?term=OSBPL3","NCBI")</f>
        <v>NCBI</v>
      </c>
      <c r="F4478">
        <v>3.5999999999999997E-2</v>
      </c>
      <c r="G4478">
        <v>0.14000000000000001</v>
      </c>
      <c r="H4478" s="1" t="str">
        <f>HYPERLINK("http://www.weizmann.ac.il/complex/compphys/software/geview/data/figures/209626_s_at.png","Figure")</f>
        <v>Figure</v>
      </c>
      <c r="I4478">
        <v>1.83</v>
      </c>
      <c r="J4478">
        <v>0.11</v>
      </c>
      <c r="K4478">
        <v>1.99</v>
      </c>
      <c r="L4478">
        <v>3.5999999999999997E-2</v>
      </c>
      <c r="M4478">
        <v>1.08</v>
      </c>
      <c r="N4478">
        <v>0.95</v>
      </c>
    </row>
    <row r="4479" spans="1:14" x14ac:dyDescent="0.25">
      <c r="A4479" t="s">
        <v>8147</v>
      </c>
      <c r="B4479" t="s">
        <v>8148</v>
      </c>
      <c r="C4479" s="1" t="str">
        <f>HYPERLINK("http://www.genecards.org/cgi-bin/carddisp.pl?gene=PPP2R2D","GeneCards")</f>
        <v>GeneCards</v>
      </c>
      <c r="D4479" s="1" t="str">
        <f>HYPERLINK("http://genome-euro.ucsc.edu/cgi-bin/hgTracks?position=221772_s_at","UCSC")</f>
        <v>UCSC</v>
      </c>
      <c r="E4479" s="1" t="str">
        <f>HYPERLINK("http://www.ncbi.nlm.nih.gov/gene/?term=PPP2R2D","NCBI")</f>
        <v>NCBI</v>
      </c>
      <c r="F4479">
        <v>3.5999999999999997E-2</v>
      </c>
      <c r="G4479">
        <v>0.14000000000000001</v>
      </c>
      <c r="H4479" s="1" t="str">
        <f>HYPERLINK("http://www.weizmann.ac.il/complex/compphys/software/geview/data/figures/221772_s_at.png","Figure")</f>
        <v>Figure</v>
      </c>
      <c r="I4479">
        <v>0.78</v>
      </c>
      <c r="J4479">
        <v>7.8E-2</v>
      </c>
      <c r="K4479">
        <v>1.02</v>
      </c>
      <c r="L4479">
        <v>0.96</v>
      </c>
      <c r="M4479">
        <v>1.31</v>
      </c>
      <c r="N4479">
        <v>3.6999999999999998E-2</v>
      </c>
    </row>
    <row r="4480" spans="1:14" x14ac:dyDescent="0.25">
      <c r="A4480" t="s">
        <v>8149</v>
      </c>
      <c r="B4480" t="s">
        <v>8150</v>
      </c>
      <c r="C4480" s="1" t="str">
        <f>HYPERLINK("http://www.genecards.org/cgi-bin/carddisp.pl?gene=SH3BGR","GeneCards")</f>
        <v>GeneCards</v>
      </c>
      <c r="D4480" s="1" t="str">
        <f>HYPERLINK("http://genome-euro.ucsc.edu/cgi-bin/hgTracks?position=204979_s_at","UCSC")</f>
        <v>UCSC</v>
      </c>
      <c r="E4480" s="1" t="str">
        <f>HYPERLINK("http://www.ncbi.nlm.nih.gov/gene/?term=SH3BGR","NCBI")</f>
        <v>NCBI</v>
      </c>
      <c r="F4480">
        <v>3.5999999999999997E-2</v>
      </c>
      <c r="G4480">
        <v>0.14000000000000001</v>
      </c>
      <c r="H4480" s="1" t="str">
        <f>HYPERLINK("http://www.weizmann.ac.il/complex/compphys/software/geview/data/figures/204979_s_at.png","Figure")</f>
        <v>Figure</v>
      </c>
      <c r="I4480">
        <v>0.83</v>
      </c>
      <c r="J4480">
        <v>5.2999999999999999E-2</v>
      </c>
      <c r="K4480">
        <v>0.99199999999999999</v>
      </c>
      <c r="L4480">
        <v>0.99</v>
      </c>
      <c r="M4480">
        <v>1.19</v>
      </c>
      <c r="N4480">
        <v>4.8000000000000001E-2</v>
      </c>
    </row>
    <row r="4481" spans="1:14" x14ac:dyDescent="0.25">
      <c r="A4481" t="s">
        <v>8151</v>
      </c>
      <c r="B4481" t="s">
        <v>8152</v>
      </c>
      <c r="C4481" s="1" t="str">
        <f>HYPERLINK("http://www.genecards.org/cgi-bin/carddisp.pl?gene=TJP3","GeneCards")</f>
        <v>GeneCards</v>
      </c>
      <c r="D4481" s="1" t="str">
        <f>HYPERLINK("http://genome-euro.ucsc.edu/cgi-bin/hgTracks?position=213412_at","UCSC")</f>
        <v>UCSC</v>
      </c>
      <c r="E4481" s="1" t="str">
        <f>HYPERLINK("http://www.ncbi.nlm.nih.gov/gene/?term=TJP3","NCBI")</f>
        <v>NCBI</v>
      </c>
      <c r="F4481">
        <v>3.5999999999999997E-2</v>
      </c>
      <c r="G4481">
        <v>0.14000000000000001</v>
      </c>
      <c r="H4481" s="1" t="str">
        <f>HYPERLINK("http://www.weizmann.ac.il/complex/compphys/software/geview/data/figures/213412_at.png","Figure")</f>
        <v>Figure</v>
      </c>
      <c r="I4481">
        <v>1.25</v>
      </c>
      <c r="J4481">
        <v>2.9000000000000001E-2</v>
      </c>
      <c r="K4481">
        <v>1.0900000000000001</v>
      </c>
      <c r="L4481">
        <v>0.45</v>
      </c>
      <c r="M4481">
        <v>0.86699999999999999</v>
      </c>
      <c r="N4481">
        <v>0.16</v>
      </c>
    </row>
    <row r="4482" spans="1:14" x14ac:dyDescent="0.25">
      <c r="A4482" t="s">
        <v>8153</v>
      </c>
      <c r="B4482" t="s">
        <v>566</v>
      </c>
      <c r="C4482" s="1" t="str">
        <f>HYPERLINK("http://www.genecards.org/cgi-bin/carddisp.pl?gene=FTSJ1","GeneCards")</f>
        <v>GeneCards</v>
      </c>
      <c r="D4482" s="1" t="str">
        <f>HYPERLINK("http://genome-euro.ucsc.edu/cgi-bin/hgTracks?position=213937_s_at","UCSC")</f>
        <v>UCSC</v>
      </c>
      <c r="E4482" s="1" t="str">
        <f>HYPERLINK("http://www.ncbi.nlm.nih.gov/gene/?term=FTSJ1","NCBI")</f>
        <v>NCBI</v>
      </c>
      <c r="F4482">
        <v>3.5999999999999997E-2</v>
      </c>
      <c r="G4482">
        <v>0.14000000000000001</v>
      </c>
      <c r="H4482" s="1" t="str">
        <f>HYPERLINK("http://www.weizmann.ac.il/complex/compphys/software/geview/data/figures/213937_s_at.png","Figure")</f>
        <v>Figure</v>
      </c>
      <c r="I4482">
        <v>0.97</v>
      </c>
      <c r="J4482">
        <v>0.9</v>
      </c>
      <c r="K4482">
        <v>1.1499999999999999</v>
      </c>
      <c r="L4482">
        <v>9.4E-2</v>
      </c>
      <c r="M4482">
        <v>1.18</v>
      </c>
      <c r="N4482">
        <v>5.2999999999999999E-2</v>
      </c>
    </row>
    <row r="4483" spans="1:14" x14ac:dyDescent="0.25">
      <c r="A4483" t="s">
        <v>8154</v>
      </c>
      <c r="B4483" t="s">
        <v>8155</v>
      </c>
      <c r="C4483" s="1" t="str">
        <f>HYPERLINK("http://www.genecards.org/cgi-bin/carddisp.pl?gene=DIABLO","GeneCards")</f>
        <v>GeneCards</v>
      </c>
      <c r="D4483" s="1" t="str">
        <f>HYPERLINK("http://genome-euro.ucsc.edu/cgi-bin/hgTracks?position=219350_s_at","UCSC")</f>
        <v>UCSC</v>
      </c>
      <c r="E4483" s="1" t="str">
        <f>HYPERLINK("http://www.ncbi.nlm.nih.gov/gene/?term=DIABLO","NCBI")</f>
        <v>NCBI</v>
      </c>
      <c r="F4483">
        <v>3.5999999999999997E-2</v>
      </c>
      <c r="G4483">
        <v>0.14000000000000001</v>
      </c>
      <c r="H4483" s="1" t="str">
        <f>HYPERLINK("http://www.weizmann.ac.il/complex/compphys/software/geview/data/figures/219350_s_at.png","Figure")</f>
        <v>Figure</v>
      </c>
      <c r="I4483">
        <v>1.26</v>
      </c>
      <c r="J4483">
        <v>9.5000000000000001E-2</v>
      </c>
      <c r="K4483">
        <v>0.96099999999999997</v>
      </c>
      <c r="L4483">
        <v>0.89</v>
      </c>
      <c r="M4483">
        <v>0.76500000000000001</v>
      </c>
      <c r="N4483">
        <v>3.3000000000000002E-2</v>
      </c>
    </row>
    <row r="4484" spans="1:14" x14ac:dyDescent="0.25">
      <c r="A4484" t="s">
        <v>8156</v>
      </c>
      <c r="B4484" t="s">
        <v>8157</v>
      </c>
      <c r="C4484" s="1" t="str">
        <f>HYPERLINK("http://www.genecards.org/cgi-bin/carddisp.pl?gene=PRKAG1","GeneCards")</f>
        <v>GeneCards</v>
      </c>
      <c r="D4484" s="1" t="str">
        <f>HYPERLINK("http://genome-euro.ucsc.edu/cgi-bin/hgTracks?position=201805_at","UCSC")</f>
        <v>UCSC</v>
      </c>
      <c r="E4484" s="1" t="str">
        <f>HYPERLINK("http://www.ncbi.nlm.nih.gov/gene/?term=PRKAG1","NCBI")</f>
        <v>NCBI</v>
      </c>
      <c r="F4484">
        <v>3.5999999999999997E-2</v>
      </c>
      <c r="G4484">
        <v>0.14000000000000001</v>
      </c>
      <c r="H4484" s="1" t="str">
        <f>HYPERLINK("http://www.weizmann.ac.il/complex/compphys/software/geview/data/figures/201805_at.png","Figure")</f>
        <v>Figure</v>
      </c>
      <c r="I4484">
        <v>1.36</v>
      </c>
      <c r="J4484">
        <v>5.3999999999999999E-2</v>
      </c>
      <c r="K4484">
        <v>1.3</v>
      </c>
      <c r="L4484">
        <v>6.0999999999999999E-2</v>
      </c>
      <c r="M4484">
        <v>0.95499999999999996</v>
      </c>
      <c r="N4484">
        <v>0.91</v>
      </c>
    </row>
    <row r="4485" spans="1:14" x14ac:dyDescent="0.25">
      <c r="A4485" t="s">
        <v>8158</v>
      </c>
      <c r="B4485" t="s">
        <v>8159</v>
      </c>
      <c r="C4485" s="1" t="str">
        <f>HYPERLINK("http://www.genecards.org/cgi-bin/carddisp.pl?gene=B4GALT6","GeneCards")</f>
        <v>GeneCards</v>
      </c>
      <c r="D4485" s="1" t="str">
        <f>HYPERLINK("http://genome-euro.ucsc.edu/cgi-bin/hgTracks?position=206233_at","UCSC")</f>
        <v>UCSC</v>
      </c>
      <c r="E4485" s="1" t="str">
        <f>HYPERLINK("http://www.ncbi.nlm.nih.gov/gene/?term=B4GALT6","NCBI")</f>
        <v>NCBI</v>
      </c>
      <c r="F4485">
        <v>3.5999999999999997E-2</v>
      </c>
      <c r="G4485">
        <v>0.14000000000000001</v>
      </c>
      <c r="H4485" s="1" t="str">
        <f>HYPERLINK("http://www.weizmann.ac.il/complex/compphys/software/geview/data/figures/206233_at.png","Figure")</f>
        <v>Figure</v>
      </c>
      <c r="I4485">
        <v>0.60899999999999999</v>
      </c>
      <c r="J4485">
        <v>2.9000000000000001E-2</v>
      </c>
      <c r="K4485">
        <v>0.82499999999999996</v>
      </c>
      <c r="L4485">
        <v>0.42</v>
      </c>
      <c r="M4485">
        <v>1.35</v>
      </c>
      <c r="N4485">
        <v>0.17</v>
      </c>
    </row>
    <row r="4486" spans="1:14" x14ac:dyDescent="0.25">
      <c r="A4486" t="s">
        <v>8160</v>
      </c>
      <c r="B4486" t="s">
        <v>8161</v>
      </c>
      <c r="C4486" s="1" t="str">
        <f>HYPERLINK("http://www.genecards.org/cgi-bin/carddisp.pl?gene=AOAH","GeneCards")</f>
        <v>GeneCards</v>
      </c>
      <c r="D4486" s="1" t="str">
        <f>HYPERLINK("http://genome-euro.ucsc.edu/cgi-bin/hgTracks?position=205639_at","UCSC")</f>
        <v>UCSC</v>
      </c>
      <c r="E4486" s="1" t="str">
        <f>HYPERLINK("http://www.ncbi.nlm.nih.gov/gene/?term=AOAH","NCBI")</f>
        <v>NCBI</v>
      </c>
      <c r="F4486">
        <v>3.5999999999999997E-2</v>
      </c>
      <c r="G4486">
        <v>0.14000000000000001</v>
      </c>
      <c r="H4486" s="1" t="str">
        <f>HYPERLINK("http://www.weizmann.ac.il/complex/compphys/software/geview/data/figures/205639_at.png","Figure")</f>
        <v>Figure</v>
      </c>
      <c r="I4486">
        <v>1.19</v>
      </c>
      <c r="J4486">
        <v>0.04</v>
      </c>
      <c r="K4486">
        <v>1.03</v>
      </c>
      <c r="L4486">
        <v>0.86</v>
      </c>
      <c r="M4486">
        <v>0.86399999999999999</v>
      </c>
      <c r="N4486">
        <v>6.7000000000000004E-2</v>
      </c>
    </row>
    <row r="4487" spans="1:14" x14ac:dyDescent="0.25">
      <c r="A4487" t="s">
        <v>8162</v>
      </c>
      <c r="B4487" t="s">
        <v>8163</v>
      </c>
      <c r="C4487" s="1" t="str">
        <f>HYPERLINK("http://www.genecards.org/cgi-bin/carddisp.pl?gene=UBXN4","GeneCards")</f>
        <v>GeneCards</v>
      </c>
      <c r="D4487" s="1" t="str">
        <f>HYPERLINK("http://genome-euro.ucsc.edu/cgi-bin/hgTracks?position=212006_at","UCSC")</f>
        <v>UCSC</v>
      </c>
      <c r="E4487" s="1" t="str">
        <f>HYPERLINK("http://www.ncbi.nlm.nih.gov/gene/?term=UBXN4","NCBI")</f>
        <v>NCBI</v>
      </c>
      <c r="F4487">
        <v>3.5999999999999997E-2</v>
      </c>
      <c r="G4487">
        <v>0.14000000000000001</v>
      </c>
      <c r="H4487" s="1" t="str">
        <f>HYPERLINK("http://www.weizmann.ac.il/complex/compphys/software/geview/data/figures/212006_at.png","Figure")</f>
        <v>Figure</v>
      </c>
      <c r="I4487">
        <v>0.56799999999999995</v>
      </c>
      <c r="J4487">
        <v>6.2E-2</v>
      </c>
      <c r="K4487">
        <v>0.6</v>
      </c>
      <c r="L4487">
        <v>5.2999999999999999E-2</v>
      </c>
      <c r="M4487">
        <v>1.06</v>
      </c>
      <c r="N4487">
        <v>0.96</v>
      </c>
    </row>
    <row r="4488" spans="1:14" x14ac:dyDescent="0.25">
      <c r="A4488" t="s">
        <v>8164</v>
      </c>
      <c r="B4488" t="s">
        <v>8165</v>
      </c>
      <c r="C4488" s="1" t="str">
        <f>HYPERLINK("http://www.genecards.org/cgi-bin/carddisp.pl?gene=INTS8","GeneCards")</f>
        <v>GeneCards</v>
      </c>
      <c r="D4488" s="1" t="str">
        <f>HYPERLINK("http://genome-euro.ucsc.edu/cgi-bin/hgTracks?position=218905_at","UCSC")</f>
        <v>UCSC</v>
      </c>
      <c r="E4488" s="1" t="str">
        <f>HYPERLINK("http://www.ncbi.nlm.nih.gov/gene/?term=INTS8","NCBI")</f>
        <v>NCBI</v>
      </c>
      <c r="F4488">
        <v>3.5999999999999997E-2</v>
      </c>
      <c r="G4488">
        <v>0.14000000000000001</v>
      </c>
      <c r="H4488" s="1" t="str">
        <f>HYPERLINK("http://www.weizmann.ac.il/complex/compphys/software/geview/data/figures/218905_at.png","Figure")</f>
        <v>Figure</v>
      </c>
      <c r="I4488">
        <v>1.02</v>
      </c>
      <c r="J4488">
        <v>0.99</v>
      </c>
      <c r="K4488">
        <v>1.52</v>
      </c>
      <c r="L4488">
        <v>5.3999999999999999E-2</v>
      </c>
      <c r="M4488">
        <v>1.48</v>
      </c>
      <c r="N4488">
        <v>9.2999999999999999E-2</v>
      </c>
    </row>
    <row r="4489" spans="1:14" x14ac:dyDescent="0.25">
      <c r="A4489" t="s">
        <v>8166</v>
      </c>
      <c r="B4489" t="s">
        <v>758</v>
      </c>
      <c r="C4489" s="1" t="str">
        <f>HYPERLINK("http://www.genecards.org/cgi-bin/carddisp.pl?gene=C6orf62","GeneCards")</f>
        <v>GeneCards</v>
      </c>
      <c r="D4489" s="1" t="str">
        <f>HYPERLINK("http://genome-euro.ucsc.edu/cgi-bin/hgTracks?position=222309_at","UCSC")</f>
        <v>UCSC</v>
      </c>
      <c r="E4489" s="1" t="str">
        <f>HYPERLINK("http://www.ncbi.nlm.nih.gov/gene/?term=C6orf62","NCBI")</f>
        <v>NCBI</v>
      </c>
      <c r="F4489">
        <v>3.5999999999999997E-2</v>
      </c>
      <c r="G4489">
        <v>0.14000000000000001</v>
      </c>
      <c r="H4489" s="1" t="str">
        <f>HYPERLINK("http://www.weizmann.ac.il/complex/compphys/software/geview/data/figures/222309_at.png","Figure")</f>
        <v>Figure</v>
      </c>
      <c r="I4489">
        <v>0.49</v>
      </c>
      <c r="J4489">
        <v>0.26</v>
      </c>
      <c r="K4489">
        <v>0.33200000000000002</v>
      </c>
      <c r="L4489">
        <v>2.9000000000000001E-2</v>
      </c>
      <c r="M4489">
        <v>0.67700000000000005</v>
      </c>
      <c r="N4489">
        <v>0.61</v>
      </c>
    </row>
    <row r="4490" spans="1:14" x14ac:dyDescent="0.25">
      <c r="A4490" t="s">
        <v>8167</v>
      </c>
      <c r="B4490" t="s">
        <v>8168</v>
      </c>
      <c r="C4490" s="1" t="str">
        <f>HYPERLINK("http://www.genecards.org/cgi-bin/carddisp.pl?gene=KLHL36","GeneCards")</f>
        <v>GeneCards</v>
      </c>
      <c r="D4490" s="1" t="str">
        <f>HYPERLINK("http://genome-euro.ucsc.edu/cgi-bin/hgTracks?position=219453_at","UCSC")</f>
        <v>UCSC</v>
      </c>
      <c r="E4490" s="1" t="str">
        <f>HYPERLINK("http://www.ncbi.nlm.nih.gov/gene/?term=KLHL36","NCBI")</f>
        <v>NCBI</v>
      </c>
      <c r="F4490">
        <v>3.5999999999999997E-2</v>
      </c>
      <c r="G4490">
        <v>0.14000000000000001</v>
      </c>
      <c r="H4490" s="1" t="str">
        <f>HYPERLINK("http://www.weizmann.ac.il/complex/compphys/software/geview/data/figures/219453_at.png","Figure")</f>
        <v>Figure</v>
      </c>
      <c r="I4490">
        <v>1.06</v>
      </c>
      <c r="J4490">
        <v>0.97</v>
      </c>
      <c r="K4490">
        <v>0.59</v>
      </c>
      <c r="L4490">
        <v>7.3999999999999996E-2</v>
      </c>
      <c r="M4490">
        <v>0.55900000000000005</v>
      </c>
      <c r="N4490">
        <v>6.5000000000000002E-2</v>
      </c>
    </row>
    <row r="4491" spans="1:14" x14ac:dyDescent="0.25">
      <c r="A4491" t="s">
        <v>8169</v>
      </c>
      <c r="B4491" t="s">
        <v>8170</v>
      </c>
      <c r="C4491" s="1" t="str">
        <f>HYPERLINK("http://www.genecards.org/cgi-bin/carddisp.pl?gene=GDAP1L1","GeneCards")</f>
        <v>GeneCards</v>
      </c>
      <c r="D4491" s="1" t="str">
        <f>HYPERLINK("http://genome-euro.ucsc.edu/cgi-bin/hgTracks?position=219668_at","UCSC")</f>
        <v>UCSC</v>
      </c>
      <c r="E4491" s="1" t="str">
        <f>HYPERLINK("http://www.ncbi.nlm.nih.gov/gene/?term=GDAP1L1","NCBI")</f>
        <v>NCBI</v>
      </c>
      <c r="F4491">
        <v>3.5999999999999997E-2</v>
      </c>
      <c r="G4491">
        <v>0.14000000000000001</v>
      </c>
      <c r="H4491" s="1" t="str">
        <f>HYPERLINK("http://www.weizmann.ac.il/complex/compphys/software/geview/data/figures/219668_at.png","Figure")</f>
        <v>Figure</v>
      </c>
      <c r="I4491">
        <v>1.35</v>
      </c>
      <c r="J4491">
        <v>2.9000000000000001E-2</v>
      </c>
      <c r="K4491">
        <v>1.1599999999999999</v>
      </c>
      <c r="L4491">
        <v>0.24</v>
      </c>
      <c r="M4491">
        <v>0.86199999999999999</v>
      </c>
      <c r="N4491">
        <v>0.3</v>
      </c>
    </row>
    <row r="4492" spans="1:14" x14ac:dyDescent="0.25">
      <c r="A4492" t="s">
        <v>8171</v>
      </c>
      <c r="B4492" t="s">
        <v>8172</v>
      </c>
      <c r="C4492" s="1" t="str">
        <f>HYPERLINK("http://www.genecards.org/cgi-bin/carddisp.pl?gene=SPINK2","GeneCards")</f>
        <v>GeneCards</v>
      </c>
      <c r="D4492" s="1" t="str">
        <f>HYPERLINK("http://genome-euro.ucsc.edu/cgi-bin/hgTracks?position=206310_at","UCSC")</f>
        <v>UCSC</v>
      </c>
      <c r="E4492" s="1" t="str">
        <f>HYPERLINK("http://www.ncbi.nlm.nih.gov/gene/?term=SPINK2","NCBI")</f>
        <v>NCBI</v>
      </c>
      <c r="F4492">
        <v>3.5999999999999997E-2</v>
      </c>
      <c r="G4492">
        <v>0.14000000000000001</v>
      </c>
      <c r="H4492" s="1" t="str">
        <f>HYPERLINK("http://www.weizmann.ac.il/complex/compphys/software/geview/data/figures/206310_at.png","Figure")</f>
        <v>Figure</v>
      </c>
      <c r="I4492">
        <v>1.21</v>
      </c>
      <c r="J4492">
        <v>6.5000000000000002E-2</v>
      </c>
      <c r="K4492">
        <v>1.19</v>
      </c>
      <c r="L4492">
        <v>5.1999999999999998E-2</v>
      </c>
      <c r="M4492">
        <v>0.98399999999999999</v>
      </c>
      <c r="N4492">
        <v>0.97</v>
      </c>
    </row>
    <row r="4493" spans="1:14" x14ac:dyDescent="0.25">
      <c r="A4493" t="s">
        <v>8173</v>
      </c>
      <c r="B4493" t="s">
        <v>8174</v>
      </c>
      <c r="C4493" s="1" t="str">
        <f>HYPERLINK("http://www.genecards.org/cgi-bin/carddisp.pl?gene=C9orf46","GeneCards")</f>
        <v>GeneCards</v>
      </c>
      <c r="D4493" s="1" t="str">
        <f>HYPERLINK("http://genome-euro.ucsc.edu/cgi-bin/hgTracks?position=218992_at","UCSC")</f>
        <v>UCSC</v>
      </c>
      <c r="E4493" s="1" t="str">
        <f>HYPERLINK("http://www.ncbi.nlm.nih.gov/gene/?term=C9orf46","NCBI")</f>
        <v>NCBI</v>
      </c>
      <c r="F4493">
        <v>3.5999999999999997E-2</v>
      </c>
      <c r="G4493">
        <v>0.14000000000000001</v>
      </c>
      <c r="H4493" s="1" t="str">
        <f>HYPERLINK("http://www.weizmann.ac.il/complex/compphys/software/geview/data/figures/218992_at.png","Figure")</f>
        <v>Figure</v>
      </c>
      <c r="I4493">
        <v>0.85099999999999998</v>
      </c>
      <c r="J4493">
        <v>0.44</v>
      </c>
      <c r="K4493">
        <v>1.2</v>
      </c>
      <c r="L4493">
        <v>0.26</v>
      </c>
      <c r="M4493">
        <v>1.41</v>
      </c>
      <c r="N4493">
        <v>3.2000000000000001E-2</v>
      </c>
    </row>
    <row r="4494" spans="1:14" x14ac:dyDescent="0.25">
      <c r="A4494" t="s">
        <v>8175</v>
      </c>
      <c r="B4494" t="s">
        <v>8176</v>
      </c>
      <c r="C4494" s="1" t="str">
        <f>HYPERLINK("http://www.genecards.org/cgi-bin/carddisp.pl?gene=EPO","GeneCards")</f>
        <v>GeneCards</v>
      </c>
      <c r="D4494" s="1" t="str">
        <f>HYPERLINK("http://genome-euro.ucsc.edu/cgi-bin/hgTracks?position=217254_s_at","UCSC")</f>
        <v>UCSC</v>
      </c>
      <c r="E4494" s="1" t="str">
        <f>HYPERLINK("http://www.ncbi.nlm.nih.gov/gene/?term=EPO","NCBI")</f>
        <v>NCBI</v>
      </c>
      <c r="F4494">
        <v>3.5999999999999997E-2</v>
      </c>
      <c r="G4494">
        <v>0.14000000000000001</v>
      </c>
      <c r="H4494" s="1" t="str">
        <f>HYPERLINK("http://www.weizmann.ac.il/complex/compphys/software/geview/data/figures/217254_s_at.png","Figure")</f>
        <v>Figure</v>
      </c>
      <c r="I4494">
        <v>1.19</v>
      </c>
      <c r="J4494">
        <v>2.9000000000000001E-2</v>
      </c>
      <c r="K4494">
        <v>1.0900000000000001</v>
      </c>
      <c r="L4494">
        <v>0.27</v>
      </c>
      <c r="M4494">
        <v>0.91200000000000003</v>
      </c>
      <c r="N4494">
        <v>0.27</v>
      </c>
    </row>
    <row r="4495" spans="1:14" x14ac:dyDescent="0.25">
      <c r="A4495" t="s">
        <v>8177</v>
      </c>
      <c r="B4495" t="s">
        <v>8178</v>
      </c>
      <c r="C4495" s="1" t="str">
        <f>HYPERLINK("http://www.genecards.org/cgi-bin/carddisp.pl?gene=ANKRD49","GeneCards")</f>
        <v>GeneCards</v>
      </c>
      <c r="D4495" s="1" t="str">
        <f>HYPERLINK("http://genome-euro.ucsc.edu/cgi-bin/hgTracks?position=219069_at","UCSC")</f>
        <v>UCSC</v>
      </c>
      <c r="E4495" s="1" t="str">
        <f>HYPERLINK("http://www.ncbi.nlm.nih.gov/gene/?term=ANKRD49","NCBI")</f>
        <v>NCBI</v>
      </c>
      <c r="F4495">
        <v>3.5999999999999997E-2</v>
      </c>
      <c r="G4495">
        <v>0.14000000000000001</v>
      </c>
      <c r="H4495" s="1" t="str">
        <f>HYPERLINK("http://www.weizmann.ac.il/complex/compphys/software/geview/data/figures/219069_at.png","Figure")</f>
        <v>Figure</v>
      </c>
      <c r="I4495">
        <v>0.79400000000000004</v>
      </c>
      <c r="J4495">
        <v>0.39</v>
      </c>
      <c r="K4495">
        <v>0.64800000000000002</v>
      </c>
      <c r="L4495">
        <v>2.9000000000000001E-2</v>
      </c>
      <c r="M4495">
        <v>0.81599999999999995</v>
      </c>
      <c r="N4495">
        <v>0.43</v>
      </c>
    </row>
    <row r="4496" spans="1:14" x14ac:dyDescent="0.25">
      <c r="A4496" t="s">
        <v>8179</v>
      </c>
      <c r="B4496" t="s">
        <v>8180</v>
      </c>
      <c r="C4496" s="1" t="str">
        <f>HYPERLINK("http://www.genecards.org/cgi-bin/carddisp.pl?gene=USP18","GeneCards")</f>
        <v>GeneCards</v>
      </c>
      <c r="D4496" s="1" t="str">
        <f>HYPERLINK("http://genome-euro.ucsc.edu/cgi-bin/hgTracks?position=219211_at","UCSC")</f>
        <v>UCSC</v>
      </c>
      <c r="E4496" s="1" t="str">
        <f>HYPERLINK("http://www.ncbi.nlm.nih.gov/gene/?term=USP18","NCBI")</f>
        <v>NCBI</v>
      </c>
      <c r="F4496">
        <v>3.5999999999999997E-2</v>
      </c>
      <c r="G4496">
        <v>0.14000000000000001</v>
      </c>
      <c r="H4496" s="1" t="str">
        <f>HYPERLINK("http://www.weizmann.ac.il/complex/compphys/software/geview/data/figures/219211_at.png","Figure")</f>
        <v>Figure</v>
      </c>
      <c r="I4496">
        <v>0.47</v>
      </c>
      <c r="J4496">
        <v>0.03</v>
      </c>
      <c r="K4496">
        <v>0.77900000000000003</v>
      </c>
      <c r="L4496">
        <v>0.53</v>
      </c>
      <c r="M4496">
        <v>1.66</v>
      </c>
      <c r="N4496">
        <v>0.13</v>
      </c>
    </row>
    <row r="4497" spans="1:14" x14ac:dyDescent="0.25">
      <c r="A4497" t="s">
        <v>8181</v>
      </c>
      <c r="B4497" t="s">
        <v>8182</v>
      </c>
      <c r="C4497" s="1" t="str">
        <f>HYPERLINK("http://www.genecards.org/cgi-bin/carddisp.pl?gene=MRPS18B","GeneCards")</f>
        <v>GeneCards</v>
      </c>
      <c r="D4497" s="1" t="str">
        <f>HYPERLINK("http://genome-euro.ucsc.edu/cgi-bin/hgTracks?position=217408_at","UCSC")</f>
        <v>UCSC</v>
      </c>
      <c r="E4497" s="1" t="str">
        <f>HYPERLINK("http://www.ncbi.nlm.nih.gov/gene/?term=MRPS18B","NCBI")</f>
        <v>NCBI</v>
      </c>
      <c r="F4497">
        <v>3.5999999999999997E-2</v>
      </c>
      <c r="G4497">
        <v>0.14000000000000001</v>
      </c>
      <c r="H4497" s="1" t="str">
        <f>HYPERLINK("http://www.weizmann.ac.il/complex/compphys/software/geview/data/figures/217408_at.png","Figure")</f>
        <v>Figure</v>
      </c>
      <c r="I4497">
        <v>0.76200000000000001</v>
      </c>
      <c r="J4497">
        <v>0.2</v>
      </c>
      <c r="K4497">
        <v>1.1499999999999999</v>
      </c>
      <c r="L4497">
        <v>0.55000000000000004</v>
      </c>
      <c r="M4497">
        <v>1.51</v>
      </c>
      <c r="N4497">
        <v>2.9000000000000001E-2</v>
      </c>
    </row>
    <row r="4498" spans="1:14" x14ac:dyDescent="0.25">
      <c r="A4498" t="s">
        <v>8183</v>
      </c>
      <c r="B4498" t="s">
        <v>552</v>
      </c>
      <c r="C4498" s="1" t="str">
        <f>HYPERLINK("http://www.genecards.org/cgi-bin/carddisp.pl?gene=GNPTAB","GeneCards")</f>
        <v>GeneCards</v>
      </c>
      <c r="D4498" s="1" t="str">
        <f>HYPERLINK("http://genome-euro.ucsc.edu/cgi-bin/hgTracks?position=220398_at","UCSC")</f>
        <v>UCSC</v>
      </c>
      <c r="E4498" s="1" t="str">
        <f>HYPERLINK("http://www.ncbi.nlm.nih.gov/gene/?term=GNPTAB","NCBI")</f>
        <v>NCBI</v>
      </c>
      <c r="F4498">
        <v>3.5999999999999997E-2</v>
      </c>
      <c r="G4498">
        <v>0.14000000000000001</v>
      </c>
      <c r="H4498" s="1" t="str">
        <f>HYPERLINK("http://www.weizmann.ac.il/complex/compphys/software/geview/data/figures/220398_at.png","Figure")</f>
        <v>Figure</v>
      </c>
      <c r="I4498">
        <v>1.1299999999999999</v>
      </c>
      <c r="J4498">
        <v>0.17</v>
      </c>
      <c r="K4498">
        <v>0.95199999999999996</v>
      </c>
      <c r="L4498">
        <v>0.64</v>
      </c>
      <c r="M4498">
        <v>0.84299999999999997</v>
      </c>
      <c r="N4498">
        <v>2.9000000000000001E-2</v>
      </c>
    </row>
    <row r="4499" spans="1:14" x14ac:dyDescent="0.25">
      <c r="A4499" t="s">
        <v>8184</v>
      </c>
      <c r="B4499" t="s">
        <v>8185</v>
      </c>
      <c r="C4499" s="1" t="str">
        <f>HYPERLINK("http://www.genecards.org/cgi-bin/carddisp.pl?gene=NPAS2","GeneCards")</f>
        <v>GeneCards</v>
      </c>
      <c r="D4499" s="1" t="str">
        <f>HYPERLINK("http://genome-euro.ucsc.edu/cgi-bin/hgTracks?position=213462_at","UCSC")</f>
        <v>UCSC</v>
      </c>
      <c r="E4499" s="1" t="str">
        <f>HYPERLINK("http://www.ncbi.nlm.nih.gov/gene/?term=NPAS2","NCBI")</f>
        <v>NCBI</v>
      </c>
      <c r="F4499">
        <v>3.5999999999999997E-2</v>
      </c>
      <c r="G4499">
        <v>0.14000000000000001</v>
      </c>
      <c r="H4499" s="1" t="str">
        <f>HYPERLINK("http://www.weizmann.ac.il/complex/compphys/software/geview/data/figures/213462_at.png","Figure")</f>
        <v>Figure</v>
      </c>
      <c r="I4499">
        <v>1.24</v>
      </c>
      <c r="J4499">
        <v>4.5999999999999999E-2</v>
      </c>
      <c r="K4499">
        <v>1.02</v>
      </c>
      <c r="L4499">
        <v>0.94</v>
      </c>
      <c r="M4499">
        <v>0.82299999999999995</v>
      </c>
      <c r="N4499">
        <v>5.7000000000000002E-2</v>
      </c>
    </row>
    <row r="4500" spans="1:14" x14ac:dyDescent="0.25">
      <c r="A4500" t="s">
        <v>8186</v>
      </c>
      <c r="B4500" t="s">
        <v>6482</v>
      </c>
      <c r="C4500" s="1" t="str">
        <f>HYPERLINK("http://www.genecards.org/cgi-bin/carddisp.pl?gene=NUP188","GeneCards")</f>
        <v>GeneCards</v>
      </c>
      <c r="D4500" s="1" t="str">
        <f>HYPERLINK("http://genome-euro.ucsc.edu/cgi-bin/hgTracks?position=217601_at","UCSC")</f>
        <v>UCSC</v>
      </c>
      <c r="E4500" s="1" t="str">
        <f>HYPERLINK("http://www.ncbi.nlm.nih.gov/gene/?term=NUP188","NCBI")</f>
        <v>NCBI</v>
      </c>
      <c r="F4500">
        <v>3.5999999999999997E-2</v>
      </c>
      <c r="G4500">
        <v>0.14000000000000001</v>
      </c>
      <c r="H4500" s="1" t="str">
        <f>HYPERLINK("http://www.weizmann.ac.il/complex/compphys/software/geview/data/figures/217601_at.png","Figure")</f>
        <v>Figure</v>
      </c>
      <c r="I4500">
        <v>1.24</v>
      </c>
      <c r="J4500">
        <v>2.9000000000000001E-2</v>
      </c>
      <c r="K4500">
        <v>1.1000000000000001</v>
      </c>
      <c r="L4500">
        <v>0.3</v>
      </c>
      <c r="M4500">
        <v>0.88900000000000001</v>
      </c>
      <c r="N4500">
        <v>0.24</v>
      </c>
    </row>
    <row r="4501" spans="1:14" x14ac:dyDescent="0.25">
      <c r="A4501" t="s">
        <v>8187</v>
      </c>
      <c r="B4501" t="s">
        <v>8188</v>
      </c>
      <c r="C4501" s="1" t="str">
        <f>HYPERLINK("http://www.genecards.org/cgi-bin/carddisp.pl?gene=ANK1","GeneCards")</f>
        <v>GeneCards</v>
      </c>
      <c r="D4501" s="1" t="str">
        <f>HYPERLINK("http://genome-euro.ucsc.edu/cgi-bin/hgTracks?position=205391_x_at","UCSC")</f>
        <v>UCSC</v>
      </c>
      <c r="E4501" s="1" t="str">
        <f>HYPERLINK("http://www.ncbi.nlm.nih.gov/gene/?term=ANK1","NCBI")</f>
        <v>NCBI</v>
      </c>
      <c r="F4501">
        <v>3.5999999999999997E-2</v>
      </c>
      <c r="G4501">
        <v>0.14000000000000001</v>
      </c>
      <c r="H4501" s="1" t="str">
        <f>HYPERLINK("http://www.weizmann.ac.il/complex/compphys/software/geview/data/figures/205391_x_at.png","Figure")</f>
        <v>Figure</v>
      </c>
      <c r="I4501">
        <v>1.43</v>
      </c>
      <c r="J4501">
        <v>3.2000000000000001E-2</v>
      </c>
      <c r="K4501">
        <v>1.1100000000000001</v>
      </c>
      <c r="L4501">
        <v>0.63</v>
      </c>
      <c r="M4501">
        <v>0.77300000000000002</v>
      </c>
      <c r="N4501">
        <v>0.11</v>
      </c>
    </row>
    <row r="4502" spans="1:14" x14ac:dyDescent="0.25">
      <c r="A4502" t="s">
        <v>8189</v>
      </c>
      <c r="B4502" t="s">
        <v>8190</v>
      </c>
      <c r="C4502" s="1" t="str">
        <f>HYPERLINK("http://www.genecards.org/cgi-bin/carddisp.pl?gene=CREB1","GeneCards")</f>
        <v>GeneCards</v>
      </c>
      <c r="D4502" s="1" t="str">
        <f>HYPERLINK("http://genome-euro.ucsc.edu/cgi-bin/hgTracks?position=204313_s_at","UCSC")</f>
        <v>UCSC</v>
      </c>
      <c r="E4502" s="1" t="str">
        <f>HYPERLINK("http://www.ncbi.nlm.nih.gov/gene/?term=CREB1","NCBI")</f>
        <v>NCBI</v>
      </c>
      <c r="F4502">
        <v>3.5999999999999997E-2</v>
      </c>
      <c r="G4502">
        <v>0.14000000000000001</v>
      </c>
      <c r="H4502" s="1" t="str">
        <f>HYPERLINK("http://www.weizmann.ac.il/complex/compphys/software/geview/data/figures/204313_s_at.png","Figure")</f>
        <v>Figure</v>
      </c>
      <c r="I4502">
        <v>0.61399999999999999</v>
      </c>
      <c r="J4502">
        <v>0.03</v>
      </c>
      <c r="K4502">
        <v>0.77300000000000002</v>
      </c>
      <c r="L4502">
        <v>0.22</v>
      </c>
      <c r="M4502">
        <v>1.26</v>
      </c>
      <c r="N4502">
        <v>0.33</v>
      </c>
    </row>
    <row r="4503" spans="1:14" x14ac:dyDescent="0.25">
      <c r="A4503" t="s">
        <v>8191</v>
      </c>
      <c r="B4503" t="s">
        <v>8192</v>
      </c>
      <c r="C4503" s="1" t="str">
        <f>HYPERLINK("http://www.genecards.org/cgi-bin/carddisp.pl?gene=UBOX5","GeneCards")</f>
        <v>GeneCards</v>
      </c>
      <c r="D4503" s="1" t="str">
        <f>HYPERLINK("http://genome-euro.ucsc.edu/cgi-bin/hgTracks?position=204598_at","UCSC")</f>
        <v>UCSC</v>
      </c>
      <c r="E4503" s="1" t="str">
        <f>HYPERLINK("http://www.ncbi.nlm.nih.gov/gene/?term=UBOX5","NCBI")</f>
        <v>NCBI</v>
      </c>
      <c r="F4503">
        <v>3.5999999999999997E-2</v>
      </c>
      <c r="G4503">
        <v>0.14000000000000001</v>
      </c>
      <c r="H4503" s="1" t="str">
        <f>HYPERLINK("http://www.weizmann.ac.il/complex/compphys/software/geview/data/figures/204598_at.png","Figure")</f>
        <v>Figure</v>
      </c>
      <c r="I4503">
        <v>1.28</v>
      </c>
      <c r="J4503">
        <v>2.9000000000000001E-2</v>
      </c>
      <c r="K4503">
        <v>1.1100000000000001</v>
      </c>
      <c r="L4503">
        <v>0.36</v>
      </c>
      <c r="M4503">
        <v>0.86699999999999999</v>
      </c>
      <c r="N4503">
        <v>0.2</v>
      </c>
    </row>
    <row r="4504" spans="1:14" x14ac:dyDescent="0.25">
      <c r="A4504" t="s">
        <v>8193</v>
      </c>
      <c r="B4504" t="s">
        <v>1065</v>
      </c>
      <c r="C4504" s="1" t="str">
        <f>HYPERLINK("http://www.genecards.org/cgi-bin/carddisp.pl?gene=NEK1","GeneCards")</f>
        <v>GeneCards</v>
      </c>
      <c r="D4504" s="1" t="str">
        <f>HYPERLINK("http://genome-euro.ucsc.edu/cgi-bin/hgTracks?position=211086_x_at","UCSC")</f>
        <v>UCSC</v>
      </c>
      <c r="E4504" s="1" t="str">
        <f>HYPERLINK("http://www.ncbi.nlm.nih.gov/gene/?term=NEK1","NCBI")</f>
        <v>NCBI</v>
      </c>
      <c r="F4504">
        <v>3.5999999999999997E-2</v>
      </c>
      <c r="G4504">
        <v>0.14000000000000001</v>
      </c>
      <c r="H4504" s="1" t="str">
        <f>HYPERLINK("http://www.weizmann.ac.il/complex/compphys/software/geview/data/figures/211086_x_at.png","Figure")</f>
        <v>Figure</v>
      </c>
      <c r="I4504">
        <v>0.90800000000000003</v>
      </c>
      <c r="J4504">
        <v>6.0999999999999999E-2</v>
      </c>
      <c r="K4504">
        <v>1</v>
      </c>
      <c r="L4504">
        <v>1</v>
      </c>
      <c r="M4504">
        <v>1.1000000000000001</v>
      </c>
      <c r="N4504">
        <v>4.3999999999999997E-2</v>
      </c>
    </row>
    <row r="4505" spans="1:14" x14ac:dyDescent="0.25">
      <c r="A4505" t="s">
        <v>8194</v>
      </c>
      <c r="B4505" t="s">
        <v>6405</v>
      </c>
      <c r="C4505" s="1" t="str">
        <f>HYPERLINK("http://www.genecards.org/cgi-bin/carddisp.pl?gene=MYL4","GeneCards")</f>
        <v>GeneCards</v>
      </c>
      <c r="D4505" s="1" t="str">
        <f>HYPERLINK("http://genome-euro.ucsc.edu/cgi-bin/hgTracks?position=210395_x_at","UCSC")</f>
        <v>UCSC</v>
      </c>
      <c r="E4505" s="1" t="str">
        <f>HYPERLINK("http://www.ncbi.nlm.nih.gov/gene/?term=MYL4","NCBI")</f>
        <v>NCBI</v>
      </c>
      <c r="F4505">
        <v>3.5999999999999997E-2</v>
      </c>
      <c r="G4505">
        <v>0.14000000000000001</v>
      </c>
      <c r="H4505" s="1" t="str">
        <f>HYPERLINK("http://www.weizmann.ac.il/complex/compphys/software/geview/data/figures/210395_x_at.png","Figure")</f>
        <v>Figure</v>
      </c>
      <c r="I4505">
        <v>1.64</v>
      </c>
      <c r="J4505">
        <v>3.9E-2</v>
      </c>
      <c r="K4505">
        <v>1.42</v>
      </c>
      <c r="L4505">
        <v>0.1</v>
      </c>
      <c r="M4505">
        <v>0.86399999999999999</v>
      </c>
      <c r="N4505">
        <v>0.66</v>
      </c>
    </row>
    <row r="4506" spans="1:14" x14ac:dyDescent="0.25">
      <c r="A4506" t="s">
        <v>8195</v>
      </c>
      <c r="B4506" t="s">
        <v>2966</v>
      </c>
      <c r="C4506" s="1" t="str">
        <f>HYPERLINK("http://www.genecards.org/cgi-bin/carddisp.pl?gene=USP4","GeneCards")</f>
        <v>GeneCards</v>
      </c>
      <c r="D4506" s="1" t="str">
        <f>HYPERLINK("http://genome-euro.ucsc.edu/cgi-bin/hgTracks?position=211800_s_at","UCSC")</f>
        <v>UCSC</v>
      </c>
      <c r="E4506" s="1" t="str">
        <f>HYPERLINK("http://www.ncbi.nlm.nih.gov/gene/?term=USP4","NCBI")</f>
        <v>NCBI</v>
      </c>
      <c r="F4506">
        <v>3.5999999999999997E-2</v>
      </c>
      <c r="G4506">
        <v>0.14000000000000001</v>
      </c>
      <c r="H4506" s="1" t="str">
        <f>HYPERLINK("http://www.weizmann.ac.il/complex/compphys/software/geview/data/figures/211800_s_at.png","Figure")</f>
        <v>Figure</v>
      </c>
      <c r="I4506">
        <v>1.47</v>
      </c>
      <c r="J4506">
        <v>0.03</v>
      </c>
      <c r="K4506">
        <v>1.1399999999999999</v>
      </c>
      <c r="L4506">
        <v>0.52</v>
      </c>
      <c r="M4506">
        <v>0.77300000000000002</v>
      </c>
      <c r="N4506">
        <v>0.13</v>
      </c>
    </row>
    <row r="4507" spans="1:14" x14ac:dyDescent="0.25">
      <c r="A4507" t="s">
        <v>8196</v>
      </c>
      <c r="B4507" t="s">
        <v>8197</v>
      </c>
      <c r="C4507" s="1" t="str">
        <f>HYPERLINK("http://www.genecards.org/cgi-bin/carddisp.pl?gene=SFXN3","GeneCards")</f>
        <v>GeneCards</v>
      </c>
      <c r="D4507" s="1" t="str">
        <f>HYPERLINK("http://genome-euro.ucsc.edu/cgi-bin/hgTracks?position=217226_s_at","UCSC")</f>
        <v>UCSC</v>
      </c>
      <c r="E4507" s="1" t="str">
        <f>HYPERLINK("http://www.ncbi.nlm.nih.gov/gene/?term=SFXN3","NCBI")</f>
        <v>NCBI</v>
      </c>
      <c r="F4507">
        <v>3.5999999999999997E-2</v>
      </c>
      <c r="G4507">
        <v>0.14000000000000001</v>
      </c>
      <c r="H4507" s="1" t="str">
        <f>HYPERLINK("http://www.weizmann.ac.il/complex/compphys/software/geview/data/figures/217226_s_at.png","Figure")</f>
        <v>Figure</v>
      </c>
      <c r="I4507">
        <v>0.82799999999999996</v>
      </c>
      <c r="J4507">
        <v>7.1999999999999995E-2</v>
      </c>
      <c r="K4507">
        <v>1.01</v>
      </c>
      <c r="L4507">
        <v>0.98</v>
      </c>
      <c r="M4507">
        <v>1.22</v>
      </c>
      <c r="N4507">
        <v>3.9E-2</v>
      </c>
    </row>
    <row r="4508" spans="1:14" x14ac:dyDescent="0.25">
      <c r="A4508" t="s">
        <v>8198</v>
      </c>
      <c r="B4508" t="s">
        <v>6036</v>
      </c>
      <c r="C4508" s="1" t="str">
        <f>HYPERLINK("http://www.genecards.org/cgi-bin/carddisp.pl?gene=DERL1","GeneCards")</f>
        <v>GeneCards</v>
      </c>
      <c r="D4508" s="1" t="str">
        <f>HYPERLINK("http://genome-euro.ucsc.edu/cgi-bin/hgTracks?position=218172_s_at","UCSC")</f>
        <v>UCSC</v>
      </c>
      <c r="E4508" s="1" t="str">
        <f>HYPERLINK("http://www.ncbi.nlm.nih.gov/gene/?term=DERL1","NCBI")</f>
        <v>NCBI</v>
      </c>
      <c r="F4508">
        <v>3.5999999999999997E-2</v>
      </c>
      <c r="G4508">
        <v>0.14000000000000001</v>
      </c>
      <c r="H4508" s="1" t="str">
        <f>HYPERLINK("http://www.weizmann.ac.il/complex/compphys/software/geview/data/figures/218172_s_at.png","Figure")</f>
        <v>Figure</v>
      </c>
      <c r="I4508">
        <v>0.64500000000000002</v>
      </c>
      <c r="J4508">
        <v>3.3000000000000002E-2</v>
      </c>
      <c r="K4508">
        <v>0.76100000000000001</v>
      </c>
      <c r="L4508">
        <v>0.14000000000000001</v>
      </c>
      <c r="M4508">
        <v>1.18</v>
      </c>
      <c r="N4508">
        <v>0.5</v>
      </c>
    </row>
    <row r="4509" spans="1:14" x14ac:dyDescent="0.25">
      <c r="A4509" t="s">
        <v>8199</v>
      </c>
      <c r="B4509" t="s">
        <v>8200</v>
      </c>
      <c r="C4509" s="1" t="str">
        <f>HYPERLINK("http://www.genecards.org/cgi-bin/carddisp.pl?gene=SLC18A3","GeneCards")</f>
        <v>GeneCards</v>
      </c>
      <c r="D4509" s="1" t="str">
        <f>HYPERLINK("http://genome-euro.ucsc.edu/cgi-bin/hgTracks?position=207150_at","UCSC")</f>
        <v>UCSC</v>
      </c>
      <c r="E4509" s="1" t="str">
        <f>HYPERLINK("http://www.ncbi.nlm.nih.gov/gene/?term=SLC18A3","NCBI")</f>
        <v>NCBI</v>
      </c>
      <c r="F4509">
        <v>3.5999999999999997E-2</v>
      </c>
      <c r="G4509">
        <v>0.14000000000000001</v>
      </c>
      <c r="H4509" s="1" t="str">
        <f>HYPERLINK("http://www.weizmann.ac.il/complex/compphys/software/geview/data/figures/207150_at.png","Figure")</f>
        <v>Figure</v>
      </c>
      <c r="I4509">
        <v>1.1200000000000001</v>
      </c>
      <c r="J4509">
        <v>5.6000000000000001E-2</v>
      </c>
      <c r="K4509">
        <v>1.1000000000000001</v>
      </c>
      <c r="L4509">
        <v>0.06</v>
      </c>
      <c r="M4509">
        <v>0.98499999999999999</v>
      </c>
      <c r="N4509">
        <v>0.92</v>
      </c>
    </row>
    <row r="4510" spans="1:14" x14ac:dyDescent="0.25">
      <c r="A4510" t="s">
        <v>8201</v>
      </c>
      <c r="B4510" t="s">
        <v>8144</v>
      </c>
      <c r="C4510" s="1" t="str">
        <f>HYPERLINK("http://www.genecards.org/cgi-bin/carddisp.pl?gene=SLC35D1","GeneCards")</f>
        <v>GeneCards</v>
      </c>
      <c r="D4510" s="1" t="str">
        <f>HYPERLINK("http://genome-euro.ucsc.edu/cgi-bin/hgTracks?position=209711_at","UCSC")</f>
        <v>UCSC</v>
      </c>
      <c r="E4510" s="1" t="str">
        <f>HYPERLINK("http://www.ncbi.nlm.nih.gov/gene/?term=SLC35D1","NCBI")</f>
        <v>NCBI</v>
      </c>
      <c r="F4510">
        <v>3.5999999999999997E-2</v>
      </c>
      <c r="G4510">
        <v>0.14000000000000001</v>
      </c>
      <c r="H4510" s="1" t="str">
        <f>HYPERLINK("http://www.weizmann.ac.il/complex/compphys/software/geview/data/figures/209711_at.png","Figure")</f>
        <v>Figure</v>
      </c>
      <c r="I4510">
        <v>1.72</v>
      </c>
      <c r="J4510">
        <v>0.11</v>
      </c>
      <c r="K4510">
        <v>0.88</v>
      </c>
      <c r="L4510">
        <v>0.83</v>
      </c>
      <c r="M4510">
        <v>0.51200000000000001</v>
      </c>
      <c r="N4510">
        <v>3.2000000000000001E-2</v>
      </c>
    </row>
    <row r="4511" spans="1:14" x14ac:dyDescent="0.25">
      <c r="A4511" t="s">
        <v>8202</v>
      </c>
      <c r="B4511" t="s">
        <v>8203</v>
      </c>
      <c r="C4511" s="1" t="str">
        <f>HYPERLINK("http://www.genecards.org/cgi-bin/carddisp.pl?gene=KRT6A /// KRT6B /// KRT6C","GeneCards")</f>
        <v>GeneCards</v>
      </c>
      <c r="D4511" s="1" t="str">
        <f>HYPERLINK("http://genome-euro.ucsc.edu/cgi-bin/hgTracks?position=214580_x_at","UCSC")</f>
        <v>UCSC</v>
      </c>
      <c r="E4511" s="1" t="str">
        <f>HYPERLINK("http://www.ncbi.nlm.nih.gov/gene/?term=KRT6A /// KRT6B /// KRT6C","NCBI")</f>
        <v>NCBI</v>
      </c>
      <c r="F4511">
        <v>3.5999999999999997E-2</v>
      </c>
      <c r="G4511">
        <v>0.14000000000000001</v>
      </c>
      <c r="H4511" s="1" t="str">
        <f>HYPERLINK("http://www.weizmann.ac.il/complex/compphys/software/geview/data/figures/214580_x_at.png","Figure")</f>
        <v>Figure</v>
      </c>
      <c r="I4511">
        <v>1.1599999999999999</v>
      </c>
      <c r="J4511">
        <v>0.03</v>
      </c>
      <c r="K4511">
        <v>1.0900000000000001</v>
      </c>
      <c r="L4511">
        <v>0.2</v>
      </c>
      <c r="M4511">
        <v>0.93300000000000005</v>
      </c>
      <c r="N4511">
        <v>0.36</v>
      </c>
    </row>
    <row r="4512" spans="1:14" x14ac:dyDescent="0.25">
      <c r="A4512" t="s">
        <v>8204</v>
      </c>
      <c r="B4512" t="s">
        <v>8205</v>
      </c>
      <c r="C4512" s="1" t="str">
        <f>HYPERLINK("http://www.genecards.org/cgi-bin/carddisp.pl?gene=ANKHD1","GeneCards")</f>
        <v>GeneCards</v>
      </c>
      <c r="D4512" s="1" t="str">
        <f>HYPERLINK("http://genome-euro.ucsc.edu/cgi-bin/hgTracks?position=219081_at","UCSC")</f>
        <v>UCSC</v>
      </c>
      <c r="E4512" s="1" t="str">
        <f>HYPERLINK("http://www.ncbi.nlm.nih.gov/gene/?term=ANKHD1","NCBI")</f>
        <v>NCBI</v>
      </c>
      <c r="F4512">
        <v>3.5999999999999997E-2</v>
      </c>
      <c r="G4512">
        <v>0.14000000000000001</v>
      </c>
      <c r="H4512" s="1" t="str">
        <f>HYPERLINK("http://www.weizmann.ac.il/complex/compphys/software/geview/data/figures/219081_at.png","Figure")</f>
        <v>Figure</v>
      </c>
      <c r="I4512">
        <v>1.22</v>
      </c>
      <c r="J4512">
        <v>0.71</v>
      </c>
      <c r="K4512">
        <v>0.64800000000000002</v>
      </c>
      <c r="L4512">
        <v>0.15</v>
      </c>
      <c r="M4512">
        <v>0.53200000000000003</v>
      </c>
      <c r="N4512">
        <v>4.1000000000000002E-2</v>
      </c>
    </row>
    <row r="4513" spans="1:14" x14ac:dyDescent="0.25">
      <c r="A4513" t="s">
        <v>8206</v>
      </c>
      <c r="B4513" t="s">
        <v>8207</v>
      </c>
      <c r="C4513" s="1" t="str">
        <f>HYPERLINK("http://www.genecards.org/cgi-bin/carddisp.pl?gene=C11orf67","GeneCards")</f>
        <v>GeneCards</v>
      </c>
      <c r="D4513" s="1" t="str">
        <f>HYPERLINK("http://genome-euro.ucsc.edu/cgi-bin/hgTracks?position=221599_at","UCSC")</f>
        <v>UCSC</v>
      </c>
      <c r="E4513" s="1" t="str">
        <f>HYPERLINK("http://www.ncbi.nlm.nih.gov/gene/?term=C11orf67","NCBI")</f>
        <v>NCBI</v>
      </c>
      <c r="F4513">
        <v>3.5999999999999997E-2</v>
      </c>
      <c r="G4513">
        <v>0.14000000000000001</v>
      </c>
      <c r="H4513" s="1" t="str">
        <f>HYPERLINK("http://www.weizmann.ac.il/complex/compphys/software/geview/data/figures/221599_at.png","Figure")</f>
        <v>Figure</v>
      </c>
      <c r="I4513">
        <v>0.88800000000000001</v>
      </c>
      <c r="J4513">
        <v>0.56999999999999995</v>
      </c>
      <c r="K4513">
        <v>1.21</v>
      </c>
      <c r="L4513">
        <v>0.19</v>
      </c>
      <c r="M4513">
        <v>1.36</v>
      </c>
      <c r="N4513">
        <v>3.5000000000000003E-2</v>
      </c>
    </row>
    <row r="4514" spans="1:14" x14ac:dyDescent="0.25">
      <c r="A4514" t="s">
        <v>8208</v>
      </c>
      <c r="B4514" t="s">
        <v>8209</v>
      </c>
      <c r="C4514" s="1" t="str">
        <f>HYPERLINK("http://www.genecards.org/cgi-bin/carddisp.pl?gene=FAS","GeneCards")</f>
        <v>GeneCards</v>
      </c>
      <c r="D4514" s="1" t="str">
        <f>HYPERLINK("http://genome-euro.ucsc.edu/cgi-bin/hgTracks?position=204781_s_at","UCSC")</f>
        <v>UCSC</v>
      </c>
      <c r="E4514" s="1" t="str">
        <f>HYPERLINK("http://www.ncbi.nlm.nih.gov/gene/?term=FAS","NCBI")</f>
        <v>NCBI</v>
      </c>
      <c r="F4514">
        <v>3.5999999999999997E-2</v>
      </c>
      <c r="G4514">
        <v>0.14000000000000001</v>
      </c>
      <c r="H4514" s="1" t="str">
        <f>HYPERLINK("http://www.weizmann.ac.il/complex/compphys/software/geview/data/figures/204781_s_at.png","Figure")</f>
        <v>Figure</v>
      </c>
      <c r="I4514">
        <v>1</v>
      </c>
      <c r="J4514">
        <v>1</v>
      </c>
      <c r="K4514">
        <v>0.85699999999999998</v>
      </c>
      <c r="L4514">
        <v>6.0999999999999999E-2</v>
      </c>
      <c r="M4514">
        <v>0.85599999999999998</v>
      </c>
      <c r="N4514">
        <v>8.1000000000000003E-2</v>
      </c>
    </row>
    <row r="4515" spans="1:14" x14ac:dyDescent="0.25">
      <c r="A4515" t="s">
        <v>8210</v>
      </c>
      <c r="B4515" t="s">
        <v>8211</v>
      </c>
      <c r="C4515" s="1" t="str">
        <f>HYPERLINK("http://www.genecards.org/cgi-bin/carddisp.pl?gene=SPAST","GeneCards")</f>
        <v>GeneCards</v>
      </c>
      <c r="D4515" s="1" t="str">
        <f>HYPERLINK("http://genome-euro.ucsc.edu/cgi-bin/hgTracks?position=209748_at","UCSC")</f>
        <v>UCSC</v>
      </c>
      <c r="E4515" s="1" t="str">
        <f>HYPERLINK("http://www.ncbi.nlm.nih.gov/gene/?term=SPAST","NCBI")</f>
        <v>NCBI</v>
      </c>
      <c r="F4515">
        <v>3.5999999999999997E-2</v>
      </c>
      <c r="G4515">
        <v>0.14000000000000001</v>
      </c>
      <c r="H4515" s="1" t="str">
        <f>HYPERLINK("http://www.weizmann.ac.il/complex/compphys/software/geview/data/figures/209748_at.png","Figure")</f>
        <v>Figure</v>
      </c>
      <c r="I4515">
        <v>0.67500000000000004</v>
      </c>
      <c r="J4515">
        <v>8.6999999999999994E-2</v>
      </c>
      <c r="K4515">
        <v>1.05</v>
      </c>
      <c r="L4515">
        <v>0.93</v>
      </c>
      <c r="M4515">
        <v>1.56</v>
      </c>
      <c r="N4515">
        <v>3.5000000000000003E-2</v>
      </c>
    </row>
    <row r="4516" spans="1:14" x14ac:dyDescent="0.25">
      <c r="A4516" t="s">
        <v>8212</v>
      </c>
      <c r="B4516" t="s">
        <v>8213</v>
      </c>
      <c r="C4516" s="1" t="str">
        <f>HYPERLINK("http://www.genecards.org/cgi-bin/carddisp.pl?gene=MTPAP","GeneCards")</f>
        <v>GeneCards</v>
      </c>
      <c r="D4516" s="1" t="str">
        <f>HYPERLINK("http://genome-euro.ucsc.edu/cgi-bin/hgTracks?position=218947_s_at","UCSC")</f>
        <v>UCSC</v>
      </c>
      <c r="E4516" s="1" t="str">
        <f>HYPERLINK("http://www.ncbi.nlm.nih.gov/gene/?term=MTPAP","NCBI")</f>
        <v>NCBI</v>
      </c>
      <c r="F4516">
        <v>3.5999999999999997E-2</v>
      </c>
      <c r="G4516">
        <v>0.14000000000000001</v>
      </c>
      <c r="H4516" s="1" t="str">
        <f>HYPERLINK("http://www.weizmann.ac.il/complex/compphys/software/geview/data/figures/218947_s_at.png","Figure")</f>
        <v>Figure</v>
      </c>
      <c r="I4516">
        <v>0.443</v>
      </c>
      <c r="J4516">
        <v>3.6999999999999998E-2</v>
      </c>
      <c r="K4516">
        <v>0.57499999999999996</v>
      </c>
      <c r="L4516">
        <v>0.11</v>
      </c>
      <c r="M4516">
        <v>1.3</v>
      </c>
      <c r="N4516">
        <v>0.61</v>
      </c>
    </row>
    <row r="4517" spans="1:14" x14ac:dyDescent="0.25">
      <c r="A4517" t="s">
        <v>8214</v>
      </c>
      <c r="B4517" t="s">
        <v>8215</v>
      </c>
      <c r="C4517" s="1" t="str">
        <f>HYPERLINK("http://www.genecards.org/cgi-bin/carddisp.pl?gene=C9orf45","GeneCards")</f>
        <v>GeneCards</v>
      </c>
      <c r="D4517" s="1" t="str">
        <f>HYPERLINK("http://genome-euro.ucsc.edu/cgi-bin/hgTracks?position=221422_s_at","UCSC")</f>
        <v>UCSC</v>
      </c>
      <c r="E4517" s="1" t="str">
        <f>HYPERLINK("http://www.ncbi.nlm.nih.gov/gene/?term=C9orf45","NCBI")</f>
        <v>NCBI</v>
      </c>
      <c r="F4517">
        <v>3.5999999999999997E-2</v>
      </c>
      <c r="G4517">
        <v>0.14000000000000001</v>
      </c>
      <c r="H4517" s="1" t="str">
        <f>HYPERLINK("http://www.weizmann.ac.il/complex/compphys/software/geview/data/figures/221422_s_at.png","Figure")</f>
        <v>Figure</v>
      </c>
      <c r="I4517">
        <v>1.1299999999999999</v>
      </c>
      <c r="J4517">
        <v>4.5999999999999999E-2</v>
      </c>
      <c r="K4517">
        <v>1.1000000000000001</v>
      </c>
      <c r="L4517">
        <v>7.5999999999999998E-2</v>
      </c>
      <c r="M4517">
        <v>0.97399999999999998</v>
      </c>
      <c r="N4517">
        <v>0.81</v>
      </c>
    </row>
    <row r="4518" spans="1:14" x14ac:dyDescent="0.25">
      <c r="A4518" t="s">
        <v>8216</v>
      </c>
      <c r="B4518" t="s">
        <v>8217</v>
      </c>
      <c r="C4518" s="1" t="str">
        <f>HYPERLINK("http://www.genecards.org/cgi-bin/carddisp.pl?gene=RECQL5","GeneCards")</f>
        <v>GeneCards</v>
      </c>
      <c r="D4518" s="1" t="str">
        <f>HYPERLINK("http://genome-euro.ucsc.edu/cgi-bin/hgTracks?position=221686_s_at","UCSC")</f>
        <v>UCSC</v>
      </c>
      <c r="E4518" s="1" t="str">
        <f>HYPERLINK("http://www.ncbi.nlm.nih.gov/gene/?term=RECQL5","NCBI")</f>
        <v>NCBI</v>
      </c>
      <c r="F4518">
        <v>3.5999999999999997E-2</v>
      </c>
      <c r="G4518">
        <v>0.14000000000000001</v>
      </c>
      <c r="H4518" s="1" t="str">
        <f>HYPERLINK("http://www.weizmann.ac.il/complex/compphys/software/geview/data/figures/221686_s_at.png","Figure")</f>
        <v>Figure</v>
      </c>
      <c r="I4518">
        <v>1.36</v>
      </c>
      <c r="J4518">
        <v>3.5999999999999997E-2</v>
      </c>
      <c r="K4518">
        <v>1.22</v>
      </c>
      <c r="L4518">
        <v>0.12</v>
      </c>
      <c r="M4518">
        <v>0.90100000000000002</v>
      </c>
      <c r="N4518">
        <v>0.56999999999999995</v>
      </c>
    </row>
    <row r="4519" spans="1:14" x14ac:dyDescent="0.25">
      <c r="A4519" t="s">
        <v>8218</v>
      </c>
      <c r="B4519" t="s">
        <v>8219</v>
      </c>
      <c r="C4519" s="1" t="str">
        <f>HYPERLINK("http://www.genecards.org/cgi-bin/carddisp.pl?gene=TRMT112","GeneCards")</f>
        <v>GeneCards</v>
      </c>
      <c r="D4519" s="1" t="str">
        <f>HYPERLINK("http://genome-euro.ucsc.edu/cgi-bin/hgTracks?position=217774_s_at","UCSC")</f>
        <v>UCSC</v>
      </c>
      <c r="E4519" s="1" t="str">
        <f>HYPERLINK("http://www.ncbi.nlm.nih.gov/gene/?term=TRMT112","NCBI")</f>
        <v>NCBI</v>
      </c>
      <c r="F4519">
        <v>3.5999999999999997E-2</v>
      </c>
      <c r="G4519">
        <v>0.14000000000000001</v>
      </c>
      <c r="H4519" s="1" t="str">
        <f>HYPERLINK("http://www.weizmann.ac.il/complex/compphys/software/geview/data/figures/217774_s_at.png","Figure")</f>
        <v>Figure</v>
      </c>
      <c r="I4519">
        <v>1.17</v>
      </c>
      <c r="J4519">
        <v>0.72</v>
      </c>
      <c r="K4519">
        <v>1.65</v>
      </c>
      <c r="L4519">
        <v>3.5000000000000003E-2</v>
      </c>
      <c r="M4519">
        <v>1.41</v>
      </c>
      <c r="N4519">
        <v>0.2</v>
      </c>
    </row>
    <row r="4520" spans="1:14" x14ac:dyDescent="0.25">
      <c r="A4520" t="s">
        <v>8220</v>
      </c>
      <c r="B4520" t="s">
        <v>6690</v>
      </c>
      <c r="C4520" s="1" t="str">
        <f>HYPERLINK("http://www.genecards.org/cgi-bin/carddisp.pl?gene=NFE2L1","GeneCards")</f>
        <v>GeneCards</v>
      </c>
      <c r="D4520" s="1" t="str">
        <f>HYPERLINK("http://genome-euro.ucsc.edu/cgi-bin/hgTracks?position=200759_x_at","UCSC")</f>
        <v>UCSC</v>
      </c>
      <c r="E4520" s="1" t="str">
        <f>HYPERLINK("http://www.ncbi.nlm.nih.gov/gene/?term=NFE2L1","NCBI")</f>
        <v>NCBI</v>
      </c>
      <c r="F4520">
        <v>3.5999999999999997E-2</v>
      </c>
      <c r="G4520">
        <v>0.14000000000000001</v>
      </c>
      <c r="H4520" s="1" t="str">
        <f>HYPERLINK("http://www.weizmann.ac.il/complex/compphys/software/geview/data/figures/200759_x_at.png","Figure")</f>
        <v>Figure</v>
      </c>
      <c r="I4520">
        <v>1.3</v>
      </c>
      <c r="J4520">
        <v>0.12</v>
      </c>
      <c r="K4520">
        <v>0.93100000000000005</v>
      </c>
      <c r="L4520">
        <v>0.79</v>
      </c>
      <c r="M4520">
        <v>0.71399999999999997</v>
      </c>
      <c r="N4520">
        <v>3.1E-2</v>
      </c>
    </row>
    <row r="4521" spans="1:14" x14ac:dyDescent="0.25">
      <c r="A4521" t="s">
        <v>8221</v>
      </c>
      <c r="B4521" t="s">
        <v>2381</v>
      </c>
      <c r="C4521" s="1" t="str">
        <f>HYPERLINK("http://www.genecards.org/cgi-bin/carddisp.pl?gene=C21orf2","GeneCards")</f>
        <v>GeneCards</v>
      </c>
      <c r="D4521" s="1" t="str">
        <f>HYPERLINK("http://genome-euro.ucsc.edu/cgi-bin/hgTracks?position=203994_s_at","UCSC")</f>
        <v>UCSC</v>
      </c>
      <c r="E4521" s="1" t="str">
        <f>HYPERLINK("http://www.ncbi.nlm.nih.gov/gene/?term=C21orf2","NCBI")</f>
        <v>NCBI</v>
      </c>
      <c r="F4521">
        <v>3.5999999999999997E-2</v>
      </c>
      <c r="G4521">
        <v>0.14000000000000001</v>
      </c>
      <c r="H4521" s="1" t="str">
        <f>HYPERLINK("http://www.weizmann.ac.il/complex/compphys/software/geview/data/figures/203994_s_at.png","Figure")</f>
        <v>Figure</v>
      </c>
      <c r="I4521">
        <v>0.81899999999999995</v>
      </c>
      <c r="J4521">
        <v>2.9000000000000001E-2</v>
      </c>
      <c r="K4521">
        <v>0.91</v>
      </c>
      <c r="L4521">
        <v>0.28999999999999998</v>
      </c>
      <c r="M4521">
        <v>1.1100000000000001</v>
      </c>
      <c r="N4521">
        <v>0.26</v>
      </c>
    </row>
    <row r="4522" spans="1:14" x14ac:dyDescent="0.25">
      <c r="A4522" t="s">
        <v>8222</v>
      </c>
      <c r="B4522" t="s">
        <v>8223</v>
      </c>
      <c r="C4522" s="1" t="str">
        <f>HYPERLINK("http://www.genecards.org/cgi-bin/carddisp.pl?gene=TUBB2A /// TUBB2B","GeneCards")</f>
        <v>GeneCards</v>
      </c>
      <c r="D4522" s="1" t="str">
        <f>HYPERLINK("http://genome-euro.ucsc.edu/cgi-bin/hgTracks?position=209372_x_at","UCSC")</f>
        <v>UCSC</v>
      </c>
      <c r="E4522" s="1" t="str">
        <f>HYPERLINK("http://www.ncbi.nlm.nih.gov/gene/?term=TUBB2A /// TUBB2B","NCBI")</f>
        <v>NCBI</v>
      </c>
      <c r="F4522">
        <v>3.5999999999999997E-2</v>
      </c>
      <c r="G4522">
        <v>0.14000000000000001</v>
      </c>
      <c r="H4522" s="1" t="str">
        <f>HYPERLINK("http://www.weizmann.ac.il/complex/compphys/software/geview/data/figures/209372_x_at.png","Figure")</f>
        <v>Figure</v>
      </c>
      <c r="I4522">
        <v>1.22</v>
      </c>
      <c r="J4522">
        <v>2.9000000000000001E-2</v>
      </c>
      <c r="K4522">
        <v>1.1000000000000001</v>
      </c>
      <c r="L4522">
        <v>0.28000000000000003</v>
      </c>
      <c r="M4522">
        <v>0.90100000000000002</v>
      </c>
      <c r="N4522">
        <v>0.26</v>
      </c>
    </row>
    <row r="4523" spans="1:14" x14ac:dyDescent="0.25">
      <c r="A4523" t="s">
        <v>8224</v>
      </c>
      <c r="B4523" t="s">
        <v>8225</v>
      </c>
      <c r="C4523" s="1" t="str">
        <f>HYPERLINK("http://www.genecards.org/cgi-bin/carddisp.pl?gene=TIAM1","GeneCards")</f>
        <v>GeneCards</v>
      </c>
      <c r="D4523" s="1" t="str">
        <f>HYPERLINK("http://genome-euro.ucsc.edu/cgi-bin/hgTracks?position=213135_at","UCSC")</f>
        <v>UCSC</v>
      </c>
      <c r="E4523" s="1" t="str">
        <f>HYPERLINK("http://www.ncbi.nlm.nih.gov/gene/?term=TIAM1","NCBI")</f>
        <v>NCBI</v>
      </c>
      <c r="F4523">
        <v>3.5999999999999997E-2</v>
      </c>
      <c r="G4523">
        <v>0.14000000000000001</v>
      </c>
      <c r="H4523" s="1" t="str">
        <f>HYPERLINK("http://www.weizmann.ac.il/complex/compphys/software/geview/data/figures/213135_at.png","Figure")</f>
        <v>Figure</v>
      </c>
      <c r="I4523">
        <v>0.66300000000000003</v>
      </c>
      <c r="J4523">
        <v>0.38</v>
      </c>
      <c r="K4523">
        <v>1.5</v>
      </c>
      <c r="L4523">
        <v>0.3</v>
      </c>
      <c r="M4523">
        <v>2.2599999999999998</v>
      </c>
      <c r="N4523">
        <v>3.1E-2</v>
      </c>
    </row>
    <row r="4524" spans="1:14" x14ac:dyDescent="0.25">
      <c r="A4524" t="s">
        <v>8226</v>
      </c>
      <c r="B4524" t="s">
        <v>8227</v>
      </c>
      <c r="C4524" s="1" t="str">
        <f>HYPERLINK("http://www.genecards.org/cgi-bin/carddisp.pl?gene=C6orf120","GeneCards")</f>
        <v>GeneCards</v>
      </c>
      <c r="D4524" s="1" t="str">
        <f>HYPERLINK("http://genome-euro.ucsc.edu/cgi-bin/hgTracks?position=221787_at","UCSC")</f>
        <v>UCSC</v>
      </c>
      <c r="E4524" s="1" t="str">
        <f>HYPERLINK("http://www.ncbi.nlm.nih.gov/gene/?term=C6orf120","NCBI")</f>
        <v>NCBI</v>
      </c>
      <c r="F4524">
        <v>3.5999999999999997E-2</v>
      </c>
      <c r="G4524">
        <v>0.14000000000000001</v>
      </c>
      <c r="H4524" s="1" t="str">
        <f>HYPERLINK("http://www.weizmann.ac.il/complex/compphys/software/geview/data/figures/221787_at.png","Figure")</f>
        <v>Figure</v>
      </c>
      <c r="I4524">
        <v>0.498</v>
      </c>
      <c r="J4524">
        <v>0.03</v>
      </c>
      <c r="K4524">
        <v>0.78</v>
      </c>
      <c r="L4524">
        <v>0.48</v>
      </c>
      <c r="M4524">
        <v>1.57</v>
      </c>
      <c r="N4524">
        <v>0.15</v>
      </c>
    </row>
    <row r="4525" spans="1:14" x14ac:dyDescent="0.25">
      <c r="A4525" t="s">
        <v>8228</v>
      </c>
      <c r="B4525" t="s">
        <v>3506</v>
      </c>
      <c r="C4525" s="1" t="str">
        <f>HYPERLINK("http://www.genecards.org/cgi-bin/carddisp.pl?gene=CNOT2","GeneCards")</f>
        <v>GeneCards</v>
      </c>
      <c r="D4525" s="1" t="str">
        <f>HYPERLINK("http://genome-euro.ucsc.edu/cgi-bin/hgTracks?position=217798_at","UCSC")</f>
        <v>UCSC</v>
      </c>
      <c r="E4525" s="1" t="str">
        <f>HYPERLINK("http://www.ncbi.nlm.nih.gov/gene/?term=CNOT2","NCBI")</f>
        <v>NCBI</v>
      </c>
      <c r="F4525">
        <v>3.5999999999999997E-2</v>
      </c>
      <c r="G4525">
        <v>0.14000000000000001</v>
      </c>
      <c r="H4525" s="1" t="str">
        <f>HYPERLINK("http://www.weizmann.ac.il/complex/compphys/software/geview/data/figures/217798_at.png","Figure")</f>
        <v>Figure</v>
      </c>
      <c r="I4525">
        <v>1.19</v>
      </c>
      <c r="J4525">
        <v>0.48</v>
      </c>
      <c r="K4525">
        <v>0.80500000000000005</v>
      </c>
      <c r="L4525">
        <v>0.24</v>
      </c>
      <c r="M4525">
        <v>0.67800000000000005</v>
      </c>
      <c r="N4525">
        <v>3.3000000000000002E-2</v>
      </c>
    </row>
    <row r="4526" spans="1:14" x14ac:dyDescent="0.25">
      <c r="A4526" t="s">
        <v>8229</v>
      </c>
      <c r="B4526" t="s">
        <v>8230</v>
      </c>
      <c r="C4526" s="1" t="str">
        <f>HYPERLINK("http://www.genecards.org/cgi-bin/carddisp.pl?gene=AP4S1","GeneCards")</f>
        <v>GeneCards</v>
      </c>
      <c r="D4526" s="1" t="str">
        <f>HYPERLINK("http://genome-euro.ucsc.edu/cgi-bin/hgTracks?position=210952_at","UCSC")</f>
        <v>UCSC</v>
      </c>
      <c r="E4526" s="1" t="str">
        <f>HYPERLINK("http://www.ncbi.nlm.nih.gov/gene/?term=AP4S1","NCBI")</f>
        <v>NCBI</v>
      </c>
      <c r="F4526">
        <v>3.5999999999999997E-2</v>
      </c>
      <c r="G4526">
        <v>0.14000000000000001</v>
      </c>
      <c r="H4526" s="1" t="str">
        <f>HYPERLINK("http://www.weizmann.ac.il/complex/compphys/software/geview/data/figures/210952_at.png","Figure")</f>
        <v>Figure</v>
      </c>
      <c r="I4526">
        <v>1.38</v>
      </c>
      <c r="J4526">
        <v>3.3000000000000002E-2</v>
      </c>
      <c r="K4526">
        <v>1.0900000000000001</v>
      </c>
      <c r="L4526">
        <v>0.65</v>
      </c>
      <c r="M4526">
        <v>0.79100000000000004</v>
      </c>
      <c r="N4526">
        <v>0.1</v>
      </c>
    </row>
    <row r="4527" spans="1:14" x14ac:dyDescent="0.25">
      <c r="A4527" t="s">
        <v>8231</v>
      </c>
      <c r="B4527" t="s">
        <v>1010</v>
      </c>
      <c r="C4527" s="1" t="str">
        <f>HYPERLINK("http://www.genecards.org/cgi-bin/carddisp.pl?gene=PRDX2","GeneCards")</f>
        <v>GeneCards</v>
      </c>
      <c r="D4527" s="1" t="str">
        <f>HYPERLINK("http://genome-euro.ucsc.edu/cgi-bin/hgTracks?position=215067_x_at","UCSC")</f>
        <v>UCSC</v>
      </c>
      <c r="E4527" s="1" t="str">
        <f>HYPERLINK("http://www.ncbi.nlm.nih.gov/gene/?term=PRDX2","NCBI")</f>
        <v>NCBI</v>
      </c>
      <c r="F4527">
        <v>3.5999999999999997E-2</v>
      </c>
      <c r="G4527">
        <v>0.14000000000000001</v>
      </c>
      <c r="H4527" s="1" t="str">
        <f>HYPERLINK("http://www.weizmann.ac.il/complex/compphys/software/geview/data/figures/215067_x_at.png","Figure")</f>
        <v>Figure</v>
      </c>
      <c r="I4527">
        <v>1.79</v>
      </c>
      <c r="J4527">
        <v>4.5999999999999999E-2</v>
      </c>
      <c r="K4527">
        <v>1.06</v>
      </c>
      <c r="L4527">
        <v>0.94</v>
      </c>
      <c r="M4527">
        <v>0.59399999999999997</v>
      </c>
      <c r="N4527">
        <v>5.8000000000000003E-2</v>
      </c>
    </row>
    <row r="4528" spans="1:14" x14ac:dyDescent="0.25">
      <c r="A4528" t="s">
        <v>8232</v>
      </c>
      <c r="B4528" t="s">
        <v>8233</v>
      </c>
      <c r="C4528" s="1" t="str">
        <f>HYPERLINK("http://www.genecards.org/cgi-bin/carddisp.pl?gene=FKBP11","GeneCards")</f>
        <v>GeneCards</v>
      </c>
      <c r="D4528" s="1" t="str">
        <f>HYPERLINK("http://genome-euro.ucsc.edu/cgi-bin/hgTracks?position=219118_at","UCSC")</f>
        <v>UCSC</v>
      </c>
      <c r="E4528" s="1" t="str">
        <f>HYPERLINK("http://www.ncbi.nlm.nih.gov/gene/?term=FKBP11","NCBI")</f>
        <v>NCBI</v>
      </c>
      <c r="F4528">
        <v>3.5999999999999997E-2</v>
      </c>
      <c r="G4528">
        <v>0.14000000000000001</v>
      </c>
      <c r="H4528" s="1" t="str">
        <f>HYPERLINK("http://www.weizmann.ac.il/complex/compphys/software/geview/data/figures/219118_at.png","Figure")</f>
        <v>Figure</v>
      </c>
      <c r="I4528">
        <v>0.71399999999999997</v>
      </c>
      <c r="J4528">
        <v>3.3000000000000002E-2</v>
      </c>
      <c r="K4528">
        <v>0.91100000000000003</v>
      </c>
      <c r="L4528">
        <v>0.64</v>
      </c>
      <c r="M4528">
        <v>1.28</v>
      </c>
      <c r="N4528">
        <v>0.1</v>
      </c>
    </row>
    <row r="4529" spans="1:14" x14ac:dyDescent="0.25">
      <c r="A4529" t="s">
        <v>8234</v>
      </c>
      <c r="B4529" t="s">
        <v>8235</v>
      </c>
      <c r="C4529" s="1" t="str">
        <f>HYPERLINK("http://www.genecards.org/cgi-bin/carddisp.pl?gene=NOVA1","GeneCards")</f>
        <v>GeneCards</v>
      </c>
      <c r="D4529" s="1" t="str">
        <f>HYPERLINK("http://genome-euro.ucsc.edu/cgi-bin/hgTracks?position=205794_s_at","UCSC")</f>
        <v>UCSC</v>
      </c>
      <c r="E4529" s="1" t="str">
        <f>HYPERLINK("http://www.ncbi.nlm.nih.gov/gene/?term=NOVA1","NCBI")</f>
        <v>NCBI</v>
      </c>
      <c r="F4529">
        <v>3.5999999999999997E-2</v>
      </c>
      <c r="G4529">
        <v>0.14000000000000001</v>
      </c>
      <c r="H4529" s="1" t="str">
        <f>HYPERLINK("http://www.weizmann.ac.il/complex/compphys/software/geview/data/figures/205794_s_at.png","Figure")</f>
        <v>Figure</v>
      </c>
      <c r="I4529">
        <v>1.1299999999999999</v>
      </c>
      <c r="J4529">
        <v>0.84</v>
      </c>
      <c r="K4529">
        <v>0.66200000000000003</v>
      </c>
      <c r="L4529">
        <v>0.11</v>
      </c>
      <c r="M4529">
        <v>0.58599999999999997</v>
      </c>
      <c r="N4529">
        <v>4.9000000000000002E-2</v>
      </c>
    </row>
    <row r="4530" spans="1:14" x14ac:dyDescent="0.25">
      <c r="A4530" t="s">
        <v>8236</v>
      </c>
      <c r="B4530" t="s">
        <v>8237</v>
      </c>
      <c r="C4530" s="1" t="str">
        <f>HYPERLINK("http://www.genecards.org/cgi-bin/carddisp.pl?gene=PIK3CD","GeneCards")</f>
        <v>GeneCards</v>
      </c>
      <c r="D4530" s="1" t="str">
        <f>HYPERLINK("http://genome-euro.ucsc.edu/cgi-bin/hgTracks?position=211230_s_at","UCSC")</f>
        <v>UCSC</v>
      </c>
      <c r="E4530" s="1" t="str">
        <f>HYPERLINK("http://www.ncbi.nlm.nih.gov/gene/?term=PIK3CD","NCBI")</f>
        <v>NCBI</v>
      </c>
      <c r="F4530">
        <v>3.5999999999999997E-2</v>
      </c>
      <c r="G4530">
        <v>0.14000000000000001</v>
      </c>
      <c r="H4530" s="1" t="str">
        <f>HYPERLINK("http://www.weizmann.ac.il/complex/compphys/software/geview/data/figures/211230_s_at.png","Figure")</f>
        <v>Figure</v>
      </c>
      <c r="I4530">
        <v>1.58</v>
      </c>
      <c r="J4530">
        <v>0.03</v>
      </c>
      <c r="K4530">
        <v>1.27</v>
      </c>
      <c r="L4530">
        <v>0.22</v>
      </c>
      <c r="M4530">
        <v>0.80400000000000005</v>
      </c>
      <c r="N4530">
        <v>0.33</v>
      </c>
    </row>
    <row r="4531" spans="1:14" x14ac:dyDescent="0.25">
      <c r="A4531" t="s">
        <v>8238</v>
      </c>
      <c r="B4531" t="s">
        <v>8239</v>
      </c>
      <c r="C4531" s="1" t="str">
        <f>HYPERLINK("http://www.genecards.org/cgi-bin/carddisp.pl?gene=OGDHL","GeneCards")</f>
        <v>GeneCards</v>
      </c>
      <c r="D4531" s="1" t="str">
        <f>HYPERLINK("http://genome-euro.ucsc.edu/cgi-bin/hgTracks?position=219277_s_at","UCSC")</f>
        <v>UCSC</v>
      </c>
      <c r="E4531" s="1" t="str">
        <f>HYPERLINK("http://www.ncbi.nlm.nih.gov/gene/?term=OGDHL","NCBI")</f>
        <v>NCBI</v>
      </c>
      <c r="F4531">
        <v>3.5999999999999997E-2</v>
      </c>
      <c r="G4531">
        <v>0.14000000000000001</v>
      </c>
      <c r="H4531" s="1" t="str">
        <f>HYPERLINK("http://www.weizmann.ac.il/complex/compphys/software/geview/data/figures/219277_s_at.png","Figure")</f>
        <v>Figure</v>
      </c>
      <c r="I4531">
        <v>1.22</v>
      </c>
      <c r="J4531">
        <v>3.9E-2</v>
      </c>
      <c r="K4531">
        <v>1.04</v>
      </c>
      <c r="L4531">
        <v>0.84</v>
      </c>
      <c r="M4531">
        <v>0.84899999999999998</v>
      </c>
      <c r="N4531">
        <v>7.1999999999999995E-2</v>
      </c>
    </row>
    <row r="4532" spans="1:14" x14ac:dyDescent="0.25">
      <c r="A4532" t="s">
        <v>8240</v>
      </c>
      <c r="B4532" t="s">
        <v>2860</v>
      </c>
      <c r="C4532" s="1" t="str">
        <f>HYPERLINK("http://www.genecards.org/cgi-bin/carddisp.pl?gene=SNRNP27","GeneCards")</f>
        <v>GeneCards</v>
      </c>
      <c r="D4532" s="1" t="str">
        <f>HYPERLINK("http://genome-euro.ucsc.edu/cgi-bin/hgTracks?position=212438_at","UCSC")</f>
        <v>UCSC</v>
      </c>
      <c r="E4532" s="1" t="str">
        <f>HYPERLINK("http://www.ncbi.nlm.nih.gov/gene/?term=SNRNP27","NCBI")</f>
        <v>NCBI</v>
      </c>
      <c r="F4532">
        <v>3.6999999999999998E-2</v>
      </c>
      <c r="G4532">
        <v>0.14000000000000001</v>
      </c>
      <c r="H4532" s="1" t="str">
        <f>HYPERLINK("http://www.weizmann.ac.il/complex/compphys/software/geview/data/figures/212438_at.png","Figure")</f>
        <v>Figure</v>
      </c>
      <c r="I4532">
        <v>1.1200000000000001</v>
      </c>
      <c r="J4532">
        <v>0.61</v>
      </c>
      <c r="K4532">
        <v>0.82399999999999995</v>
      </c>
      <c r="L4532">
        <v>0.18</v>
      </c>
      <c r="M4532">
        <v>0.73699999999999999</v>
      </c>
      <c r="N4532">
        <v>3.6999999999999998E-2</v>
      </c>
    </row>
    <row r="4533" spans="1:14" x14ac:dyDescent="0.25">
      <c r="A4533" t="s">
        <v>8241</v>
      </c>
      <c r="B4533" t="s">
        <v>8242</v>
      </c>
      <c r="C4533" s="1" t="str">
        <f>HYPERLINK("http://www.genecards.org/cgi-bin/carddisp.pl?gene=ZC3H3","GeneCards")</f>
        <v>GeneCards</v>
      </c>
      <c r="D4533" s="1" t="str">
        <f>HYPERLINK("http://genome-euro.ucsc.edu/cgi-bin/hgTracks?position=213445_at","UCSC")</f>
        <v>UCSC</v>
      </c>
      <c r="E4533" s="1" t="str">
        <f>HYPERLINK("http://www.ncbi.nlm.nih.gov/gene/?term=ZC3H3","NCBI")</f>
        <v>NCBI</v>
      </c>
      <c r="F4533">
        <v>3.6999999999999998E-2</v>
      </c>
      <c r="G4533">
        <v>0.14000000000000001</v>
      </c>
      <c r="H4533" s="1" t="str">
        <f>HYPERLINK("http://www.weizmann.ac.il/complex/compphys/software/geview/data/figures/213445_at.png","Figure")</f>
        <v>Figure</v>
      </c>
      <c r="I4533">
        <v>0.83</v>
      </c>
      <c r="J4533">
        <v>0.26</v>
      </c>
      <c r="K4533">
        <v>1.1299999999999999</v>
      </c>
      <c r="L4533">
        <v>0.44</v>
      </c>
      <c r="M4533">
        <v>1.37</v>
      </c>
      <c r="N4533">
        <v>2.9000000000000001E-2</v>
      </c>
    </row>
    <row r="4534" spans="1:14" x14ac:dyDescent="0.25">
      <c r="A4534" t="s">
        <v>8243</v>
      </c>
      <c r="B4534" t="s">
        <v>8244</v>
      </c>
      <c r="C4534" s="1" t="str">
        <f>HYPERLINK("http://www.genecards.org/cgi-bin/carddisp.pl?gene=ZNF446","GeneCards")</f>
        <v>GeneCards</v>
      </c>
      <c r="D4534" s="1" t="str">
        <f>HYPERLINK("http://genome-euro.ucsc.edu/cgi-bin/hgTracks?position=219900_s_at","UCSC")</f>
        <v>UCSC</v>
      </c>
      <c r="E4534" s="1" t="str">
        <f>HYPERLINK("http://www.ncbi.nlm.nih.gov/gene/?term=ZNF446","NCBI")</f>
        <v>NCBI</v>
      </c>
      <c r="F4534">
        <v>3.6999999999999998E-2</v>
      </c>
      <c r="G4534">
        <v>0.14000000000000001</v>
      </c>
      <c r="H4534" s="1" t="str">
        <f>HYPERLINK("http://www.weizmann.ac.il/complex/compphys/software/geview/data/figures/219900_s_at.png","Figure")</f>
        <v>Figure</v>
      </c>
      <c r="I4534">
        <v>1.35</v>
      </c>
      <c r="J4534">
        <v>0.03</v>
      </c>
      <c r="K4534">
        <v>1.1200000000000001</v>
      </c>
      <c r="L4534">
        <v>0.42</v>
      </c>
      <c r="M4534">
        <v>0.83299999999999996</v>
      </c>
      <c r="N4534">
        <v>0.17</v>
      </c>
    </row>
    <row r="4535" spans="1:14" x14ac:dyDescent="0.25">
      <c r="A4535" t="s">
        <v>8245</v>
      </c>
      <c r="B4535" t="s">
        <v>118</v>
      </c>
      <c r="C4535" s="1" t="str">
        <f>HYPERLINK("http://www.genecards.org/cgi-bin/carddisp.pl?gene=WDFY3","GeneCards")</f>
        <v>GeneCards</v>
      </c>
      <c r="D4535" s="1" t="str">
        <f>HYPERLINK("http://genome-euro.ucsc.edu/cgi-bin/hgTracks?position=212598_at","UCSC")</f>
        <v>UCSC</v>
      </c>
      <c r="E4535" s="1" t="str">
        <f>HYPERLINK("http://www.ncbi.nlm.nih.gov/gene/?term=WDFY3","NCBI")</f>
        <v>NCBI</v>
      </c>
      <c r="F4535">
        <v>3.6999999999999998E-2</v>
      </c>
      <c r="G4535">
        <v>0.14000000000000001</v>
      </c>
      <c r="H4535" s="1" t="str">
        <f>HYPERLINK("http://www.weizmann.ac.il/complex/compphys/software/geview/data/figures/212598_at.png","Figure")</f>
        <v>Figure</v>
      </c>
      <c r="I4535">
        <v>0.747</v>
      </c>
      <c r="J4535">
        <v>0.04</v>
      </c>
      <c r="K4535">
        <v>0.81200000000000006</v>
      </c>
      <c r="L4535">
        <v>9.7000000000000003E-2</v>
      </c>
      <c r="M4535">
        <v>1.0900000000000001</v>
      </c>
      <c r="N4535">
        <v>0.68</v>
      </c>
    </row>
    <row r="4536" spans="1:14" x14ac:dyDescent="0.25">
      <c r="A4536" t="s">
        <v>8246</v>
      </c>
      <c r="B4536" t="s">
        <v>8247</v>
      </c>
      <c r="C4536" s="1" t="str">
        <f>HYPERLINK("http://www.genecards.org/cgi-bin/carddisp.pl?gene=NEU1","GeneCards")</f>
        <v>GeneCards</v>
      </c>
      <c r="D4536" s="1" t="str">
        <f>HYPERLINK("http://genome-euro.ucsc.edu/cgi-bin/hgTracks?position=208926_at","UCSC")</f>
        <v>UCSC</v>
      </c>
      <c r="E4536" s="1" t="str">
        <f>HYPERLINK("http://www.ncbi.nlm.nih.gov/gene/?term=NEU1","NCBI")</f>
        <v>NCBI</v>
      </c>
      <c r="F4536">
        <v>3.6999999999999998E-2</v>
      </c>
      <c r="G4536">
        <v>0.14000000000000001</v>
      </c>
      <c r="H4536" s="1" t="str">
        <f>HYPERLINK("http://www.weizmann.ac.il/complex/compphys/software/geview/data/figures/208926_at.png","Figure")</f>
        <v>Figure</v>
      </c>
      <c r="I4536">
        <v>0.68700000000000006</v>
      </c>
      <c r="J4536">
        <v>2.9000000000000001E-2</v>
      </c>
      <c r="K4536">
        <v>0.86299999999999999</v>
      </c>
      <c r="L4536">
        <v>0.41</v>
      </c>
      <c r="M4536">
        <v>1.26</v>
      </c>
      <c r="N4536">
        <v>0.18</v>
      </c>
    </row>
    <row r="4537" spans="1:14" x14ac:dyDescent="0.25">
      <c r="A4537" t="s">
        <v>8248</v>
      </c>
      <c r="B4537" t="s">
        <v>563</v>
      </c>
      <c r="C4537" s="1" t="str">
        <f>HYPERLINK("http://www.genecards.org/cgi-bin/carddisp.pl?gene=CALD1","GeneCards")</f>
        <v>GeneCards</v>
      </c>
      <c r="D4537" s="1" t="str">
        <f>HYPERLINK("http://genome-euro.ucsc.edu/cgi-bin/hgTracks?position=205525_at","UCSC")</f>
        <v>UCSC</v>
      </c>
      <c r="E4537" s="1" t="str">
        <f>HYPERLINK("http://www.ncbi.nlm.nih.gov/gene/?term=CALD1","NCBI")</f>
        <v>NCBI</v>
      </c>
      <c r="F4537">
        <v>3.6999999999999998E-2</v>
      </c>
      <c r="G4537">
        <v>0.14000000000000001</v>
      </c>
      <c r="H4537" s="1" t="str">
        <f>HYPERLINK("http://www.weizmann.ac.il/complex/compphys/software/geview/data/figures/205525_at.png","Figure")</f>
        <v>Figure</v>
      </c>
      <c r="I4537">
        <v>1.1000000000000001</v>
      </c>
      <c r="J4537">
        <v>8.2000000000000003E-2</v>
      </c>
      <c r="K4537">
        <v>1.1000000000000001</v>
      </c>
      <c r="L4537">
        <v>4.3999999999999997E-2</v>
      </c>
      <c r="M4537">
        <v>1</v>
      </c>
      <c r="N4537">
        <v>1</v>
      </c>
    </row>
    <row r="4538" spans="1:14" x14ac:dyDescent="0.25">
      <c r="A4538" t="s">
        <v>8249</v>
      </c>
      <c r="B4538" t="s">
        <v>8250</v>
      </c>
      <c r="C4538" s="1" t="str">
        <f>HYPERLINK("http://www.genecards.org/cgi-bin/carddisp.pl?gene=LLPH","GeneCards")</f>
        <v>GeneCards</v>
      </c>
      <c r="D4538" s="1" t="str">
        <f>HYPERLINK("http://genome-euro.ucsc.edu/cgi-bin/hgTracks?position=209779_at","UCSC")</f>
        <v>UCSC</v>
      </c>
      <c r="E4538" s="1" t="str">
        <f>HYPERLINK("http://www.ncbi.nlm.nih.gov/gene/?term=LLPH","NCBI")</f>
        <v>NCBI</v>
      </c>
      <c r="F4538">
        <v>3.6999999999999998E-2</v>
      </c>
      <c r="G4538">
        <v>0.14000000000000001</v>
      </c>
      <c r="H4538" s="1" t="str">
        <f>HYPERLINK("http://www.weizmann.ac.il/complex/compphys/software/geview/data/figures/209779_at.png","Figure")</f>
        <v>Figure</v>
      </c>
      <c r="I4538">
        <v>1</v>
      </c>
      <c r="J4538">
        <v>1</v>
      </c>
      <c r="K4538">
        <v>0.93200000000000005</v>
      </c>
      <c r="L4538">
        <v>6.0999999999999999E-2</v>
      </c>
      <c r="M4538">
        <v>0.93200000000000005</v>
      </c>
      <c r="N4538">
        <v>8.2000000000000003E-2</v>
      </c>
    </row>
    <row r="4539" spans="1:14" x14ac:dyDescent="0.25">
      <c r="A4539" t="s">
        <v>8251</v>
      </c>
      <c r="B4539" t="s">
        <v>8252</v>
      </c>
      <c r="C4539" s="1" t="str">
        <f>HYPERLINK("http://www.genecards.org/cgi-bin/carddisp.pl?gene=SLC15A3","GeneCards")</f>
        <v>GeneCards</v>
      </c>
      <c r="D4539" s="1" t="str">
        <f>HYPERLINK("http://genome-euro.ucsc.edu/cgi-bin/hgTracks?position=219593_at","UCSC")</f>
        <v>UCSC</v>
      </c>
      <c r="E4539" s="1" t="str">
        <f>HYPERLINK("http://www.ncbi.nlm.nih.gov/gene/?term=SLC15A3","NCBI")</f>
        <v>NCBI</v>
      </c>
      <c r="F4539">
        <v>3.6999999999999998E-2</v>
      </c>
      <c r="G4539">
        <v>0.14000000000000001</v>
      </c>
      <c r="H4539" s="1" t="str">
        <f>HYPERLINK("http://www.weizmann.ac.il/complex/compphys/software/geview/data/figures/219593_at.png","Figure")</f>
        <v>Figure</v>
      </c>
      <c r="I4539">
        <v>1.21</v>
      </c>
      <c r="J4539">
        <v>3.6999999999999998E-2</v>
      </c>
      <c r="K4539">
        <v>1.1399999999999999</v>
      </c>
      <c r="L4539">
        <v>0.11</v>
      </c>
      <c r="M4539">
        <v>0.94099999999999995</v>
      </c>
      <c r="N4539">
        <v>0.61</v>
      </c>
    </row>
    <row r="4540" spans="1:14" x14ac:dyDescent="0.25">
      <c r="A4540" t="s">
        <v>8253</v>
      </c>
      <c r="B4540" t="s">
        <v>8254</v>
      </c>
      <c r="C4540" s="1" t="str">
        <f>HYPERLINK("http://www.genecards.org/cgi-bin/carddisp.pl?gene=SAPS2","GeneCards")</f>
        <v>GeneCards</v>
      </c>
      <c r="D4540" s="1" t="str">
        <f>HYPERLINK("http://genome-euro.ucsc.edu/cgi-bin/hgTracks?position=202792_s_at","UCSC")</f>
        <v>UCSC</v>
      </c>
      <c r="E4540" s="1" t="str">
        <f>HYPERLINK("http://www.ncbi.nlm.nih.gov/gene/?term=SAPS2","NCBI")</f>
        <v>NCBI</v>
      </c>
      <c r="F4540">
        <v>3.6999999999999998E-2</v>
      </c>
      <c r="G4540">
        <v>0.14000000000000001</v>
      </c>
      <c r="H4540" s="1" t="str">
        <f>HYPERLINK("http://www.weizmann.ac.il/complex/compphys/software/geview/data/figures/202792_s_at.png","Figure")</f>
        <v>Figure</v>
      </c>
      <c r="I4540">
        <v>1.29</v>
      </c>
      <c r="J4540">
        <v>5.3999999999999999E-2</v>
      </c>
      <c r="K4540">
        <v>1.24</v>
      </c>
      <c r="L4540">
        <v>6.5000000000000002E-2</v>
      </c>
      <c r="M4540">
        <v>0.95899999999999996</v>
      </c>
      <c r="N4540">
        <v>0.9</v>
      </c>
    </row>
    <row r="4541" spans="1:14" x14ac:dyDescent="0.25">
      <c r="A4541" t="s">
        <v>8255</v>
      </c>
      <c r="B4541" t="s">
        <v>8256</v>
      </c>
      <c r="C4541" s="1" t="str">
        <f>HYPERLINK("http://www.genecards.org/cgi-bin/carddisp.pl?gene=IL12RB1","GeneCards")</f>
        <v>GeneCards</v>
      </c>
      <c r="D4541" s="1" t="str">
        <f>HYPERLINK("http://genome-euro.ucsc.edu/cgi-bin/hgTracks?position=206890_at","UCSC")</f>
        <v>UCSC</v>
      </c>
      <c r="E4541" s="1" t="str">
        <f>HYPERLINK("http://www.ncbi.nlm.nih.gov/gene/?term=IL12RB1","NCBI")</f>
        <v>NCBI</v>
      </c>
      <c r="F4541">
        <v>3.6999999999999998E-2</v>
      </c>
      <c r="G4541">
        <v>0.14000000000000001</v>
      </c>
      <c r="H4541" s="1" t="str">
        <f>HYPERLINK("http://www.weizmann.ac.il/complex/compphys/software/geview/data/figures/206890_at.png","Figure")</f>
        <v>Figure</v>
      </c>
      <c r="I4541">
        <v>1.1399999999999999</v>
      </c>
      <c r="J4541">
        <v>7.1999999999999995E-2</v>
      </c>
      <c r="K4541">
        <v>1.1299999999999999</v>
      </c>
      <c r="L4541">
        <v>4.9000000000000002E-2</v>
      </c>
      <c r="M4541">
        <v>0.99299999999999999</v>
      </c>
      <c r="N4541">
        <v>0.99</v>
      </c>
    </row>
    <row r="4542" spans="1:14" x14ac:dyDescent="0.25">
      <c r="A4542" t="s">
        <v>8257</v>
      </c>
      <c r="B4542" t="s">
        <v>8258</v>
      </c>
      <c r="C4542" s="1" t="str">
        <f>HYPERLINK("http://www.genecards.org/cgi-bin/carddisp.pl?gene=PRKDC","GeneCards")</f>
        <v>GeneCards</v>
      </c>
      <c r="D4542" s="1" t="str">
        <f>HYPERLINK("http://genome-euro.ucsc.edu/cgi-bin/hgTracks?position=208694_at","UCSC")</f>
        <v>UCSC</v>
      </c>
      <c r="E4542" s="1" t="str">
        <f>HYPERLINK("http://www.ncbi.nlm.nih.gov/gene/?term=PRKDC","NCBI")</f>
        <v>NCBI</v>
      </c>
      <c r="F4542">
        <v>3.6999999999999998E-2</v>
      </c>
      <c r="G4542">
        <v>0.14000000000000001</v>
      </c>
      <c r="H4542" s="1" t="str">
        <f>HYPERLINK("http://www.weizmann.ac.il/complex/compphys/software/geview/data/figures/208694_at.png","Figure")</f>
        <v>Figure</v>
      </c>
      <c r="I4542">
        <v>0.63100000000000001</v>
      </c>
      <c r="J4542">
        <v>0.11</v>
      </c>
      <c r="K4542">
        <v>1.1000000000000001</v>
      </c>
      <c r="L4542">
        <v>0.86</v>
      </c>
      <c r="M4542">
        <v>1.74</v>
      </c>
      <c r="N4542">
        <v>3.3000000000000002E-2</v>
      </c>
    </row>
    <row r="4543" spans="1:14" x14ac:dyDescent="0.25">
      <c r="A4543" t="s">
        <v>8259</v>
      </c>
      <c r="B4543" t="s">
        <v>3335</v>
      </c>
      <c r="C4543" s="1" t="str">
        <f>HYPERLINK("http://www.genecards.org/cgi-bin/carddisp.pl?gene=KCNJ5","GeneCards")</f>
        <v>GeneCards</v>
      </c>
      <c r="D4543" s="1" t="str">
        <f>HYPERLINK("http://genome-euro.ucsc.edu/cgi-bin/hgTracks?position=211304_x_at","UCSC")</f>
        <v>UCSC</v>
      </c>
      <c r="E4543" s="1" t="str">
        <f>HYPERLINK("http://www.ncbi.nlm.nih.gov/gene/?term=KCNJ5","NCBI")</f>
        <v>NCBI</v>
      </c>
      <c r="F4543">
        <v>3.6999999999999998E-2</v>
      </c>
      <c r="G4543">
        <v>0.14000000000000001</v>
      </c>
      <c r="H4543" s="1" t="str">
        <f>HYPERLINK("http://www.weizmann.ac.il/complex/compphys/software/geview/data/figures/211304_x_at.png","Figure")</f>
        <v>Figure</v>
      </c>
      <c r="I4543">
        <v>1.19</v>
      </c>
      <c r="J4543">
        <v>0.17</v>
      </c>
      <c r="K4543">
        <v>0.93100000000000005</v>
      </c>
      <c r="L4543">
        <v>0.64</v>
      </c>
      <c r="M4543">
        <v>0.78200000000000003</v>
      </c>
      <c r="N4543">
        <v>0.03</v>
      </c>
    </row>
    <row r="4544" spans="1:14" x14ac:dyDescent="0.25">
      <c r="A4544" t="s">
        <v>8260</v>
      </c>
      <c r="B4544" t="s">
        <v>8261</v>
      </c>
      <c r="C4544" s="1" t="str">
        <f>HYPERLINK("http://www.genecards.org/cgi-bin/carddisp.pl?gene=KLF15","GeneCards")</f>
        <v>GeneCards</v>
      </c>
      <c r="D4544" s="1" t="str">
        <f>HYPERLINK("http://genome-euro.ucsc.edu/cgi-bin/hgTracks?position=221302_at","UCSC")</f>
        <v>UCSC</v>
      </c>
      <c r="E4544" s="1" t="str">
        <f>HYPERLINK("http://www.ncbi.nlm.nih.gov/gene/?term=KLF15","NCBI")</f>
        <v>NCBI</v>
      </c>
      <c r="F4544">
        <v>3.6999999999999998E-2</v>
      </c>
      <c r="G4544">
        <v>0.14000000000000001</v>
      </c>
      <c r="H4544" s="1" t="str">
        <f>HYPERLINK("http://www.weizmann.ac.il/complex/compphys/software/geview/data/figures/221302_at.png","Figure")</f>
        <v>Figure</v>
      </c>
      <c r="I4544">
        <v>1.31</v>
      </c>
      <c r="J4544">
        <v>3.6999999999999998E-2</v>
      </c>
      <c r="K4544">
        <v>1.06</v>
      </c>
      <c r="L4544">
        <v>0.78</v>
      </c>
      <c r="M4544">
        <v>0.80900000000000005</v>
      </c>
      <c r="N4544">
        <v>8.1000000000000003E-2</v>
      </c>
    </row>
    <row r="4545" spans="1:14" x14ac:dyDescent="0.25">
      <c r="A4545" t="s">
        <v>8262</v>
      </c>
      <c r="B4545" t="s">
        <v>5690</v>
      </c>
      <c r="C4545" s="1" t="str">
        <f>HYPERLINK("http://www.genecards.org/cgi-bin/carddisp.pl?gene=SLA","GeneCards")</f>
        <v>GeneCards</v>
      </c>
      <c r="D4545" s="1" t="str">
        <f>HYPERLINK("http://genome-euro.ucsc.edu/cgi-bin/hgTracks?position=203761_at","UCSC")</f>
        <v>UCSC</v>
      </c>
      <c r="E4545" s="1" t="str">
        <f>HYPERLINK("http://www.ncbi.nlm.nih.gov/gene/?term=SLA","NCBI")</f>
        <v>NCBI</v>
      </c>
      <c r="F4545">
        <v>3.6999999999999998E-2</v>
      </c>
      <c r="G4545">
        <v>0.14000000000000001</v>
      </c>
      <c r="H4545" s="1" t="str">
        <f>HYPERLINK("http://www.weizmann.ac.il/complex/compphys/software/geview/data/figures/203761_at.png","Figure")</f>
        <v>Figure</v>
      </c>
      <c r="I4545">
        <v>0.78</v>
      </c>
      <c r="J4545">
        <v>5.0999999999999997E-2</v>
      </c>
      <c r="K4545">
        <v>0.81599999999999995</v>
      </c>
      <c r="L4545">
        <v>6.9000000000000006E-2</v>
      </c>
      <c r="M4545">
        <v>1.05</v>
      </c>
      <c r="N4545">
        <v>0.87</v>
      </c>
    </row>
    <row r="4546" spans="1:14" x14ac:dyDescent="0.25">
      <c r="A4546" t="s">
        <v>8263</v>
      </c>
      <c r="B4546" t="s">
        <v>7714</v>
      </c>
      <c r="C4546" s="1" t="str">
        <f>HYPERLINK("http://www.genecards.org/cgi-bin/carddisp.pl?gene=LGALS8","GeneCards")</f>
        <v>GeneCards</v>
      </c>
      <c r="D4546" s="1" t="str">
        <f>HYPERLINK("http://genome-euro.ucsc.edu/cgi-bin/hgTracks?position=208936_x_at","UCSC")</f>
        <v>UCSC</v>
      </c>
      <c r="E4546" s="1" t="str">
        <f>HYPERLINK("http://www.ncbi.nlm.nih.gov/gene/?term=LGALS8","NCBI")</f>
        <v>NCBI</v>
      </c>
      <c r="F4546">
        <v>3.6999999999999998E-2</v>
      </c>
      <c r="G4546">
        <v>0.14000000000000001</v>
      </c>
      <c r="H4546" s="1" t="str">
        <f>HYPERLINK("http://www.weizmann.ac.il/complex/compphys/software/geview/data/figures/208936_x_at.png","Figure")</f>
        <v>Figure</v>
      </c>
      <c r="I4546">
        <v>0.79900000000000004</v>
      </c>
      <c r="J4546">
        <v>0.56999999999999995</v>
      </c>
      <c r="K4546">
        <v>0.57899999999999996</v>
      </c>
      <c r="L4546">
        <v>3.2000000000000001E-2</v>
      </c>
      <c r="M4546">
        <v>0.72499999999999998</v>
      </c>
      <c r="N4546">
        <v>0.28000000000000003</v>
      </c>
    </row>
    <row r="4547" spans="1:14" x14ac:dyDescent="0.25">
      <c r="A4547" t="s">
        <v>8264</v>
      </c>
      <c r="B4547" t="s">
        <v>8265</v>
      </c>
      <c r="C4547" s="1" t="str">
        <f>HYPERLINK("http://www.genecards.org/cgi-bin/carddisp.pl?gene=GPR35","GeneCards")</f>
        <v>GeneCards</v>
      </c>
      <c r="D4547" s="1" t="str">
        <f>HYPERLINK("http://genome-euro.ucsc.edu/cgi-bin/hgTracks?position=210264_at","UCSC")</f>
        <v>UCSC</v>
      </c>
      <c r="E4547" s="1" t="str">
        <f>HYPERLINK("http://www.ncbi.nlm.nih.gov/gene/?term=GPR35","NCBI")</f>
        <v>NCBI</v>
      </c>
      <c r="F4547">
        <v>3.6999999999999998E-2</v>
      </c>
      <c r="G4547">
        <v>0.14000000000000001</v>
      </c>
      <c r="H4547" s="1" t="str">
        <f>HYPERLINK("http://www.weizmann.ac.il/complex/compphys/software/geview/data/figures/210264_at.png","Figure")</f>
        <v>Figure</v>
      </c>
      <c r="I4547">
        <v>1.1599999999999999</v>
      </c>
      <c r="J4547">
        <v>5.2999999999999999E-2</v>
      </c>
      <c r="K4547">
        <v>1.1299999999999999</v>
      </c>
      <c r="L4547">
        <v>6.6000000000000003E-2</v>
      </c>
      <c r="M4547">
        <v>0.97499999999999998</v>
      </c>
      <c r="N4547">
        <v>0.89</v>
      </c>
    </row>
    <row r="4548" spans="1:14" x14ac:dyDescent="0.25">
      <c r="A4548" t="s">
        <v>8266</v>
      </c>
      <c r="B4548" t="s">
        <v>8267</v>
      </c>
      <c r="C4548" s="1" t="str">
        <f>HYPERLINK("http://www.genecards.org/cgi-bin/carddisp.pl?gene=RQCD1","GeneCards")</f>
        <v>GeneCards</v>
      </c>
      <c r="D4548" s="1" t="str">
        <f>HYPERLINK("http://genome-euro.ucsc.edu/cgi-bin/hgTracks?position=213179_at","UCSC")</f>
        <v>UCSC</v>
      </c>
      <c r="E4548" s="1" t="str">
        <f>HYPERLINK("http://www.ncbi.nlm.nih.gov/gene/?term=RQCD1","NCBI")</f>
        <v>NCBI</v>
      </c>
      <c r="F4548">
        <v>3.6999999999999998E-2</v>
      </c>
      <c r="G4548">
        <v>0.14000000000000001</v>
      </c>
      <c r="H4548" s="1" t="str">
        <f>HYPERLINK("http://www.weizmann.ac.il/complex/compphys/software/geview/data/figures/213179_at.png","Figure")</f>
        <v>Figure</v>
      </c>
      <c r="I4548">
        <v>1.3</v>
      </c>
      <c r="J4548">
        <v>3.1E-2</v>
      </c>
      <c r="K4548">
        <v>1.1599999999999999</v>
      </c>
      <c r="L4548">
        <v>0.18</v>
      </c>
      <c r="M4548">
        <v>0.89400000000000002</v>
      </c>
      <c r="N4548">
        <v>0.4</v>
      </c>
    </row>
    <row r="4549" spans="1:14" x14ac:dyDescent="0.25">
      <c r="A4549" t="s">
        <v>8268</v>
      </c>
      <c r="B4549" t="s">
        <v>4082</v>
      </c>
      <c r="C4549" s="1" t="str">
        <f>HYPERLINK("http://www.genecards.org/cgi-bin/carddisp.pl?gene=KRT10","GeneCards")</f>
        <v>GeneCards</v>
      </c>
      <c r="D4549" s="1" t="str">
        <f>HYPERLINK("http://genome-euro.ucsc.edu/cgi-bin/hgTracks?position=207023_x_at","UCSC")</f>
        <v>UCSC</v>
      </c>
      <c r="E4549" s="1" t="str">
        <f>HYPERLINK("http://www.ncbi.nlm.nih.gov/gene/?term=KRT10","NCBI")</f>
        <v>NCBI</v>
      </c>
      <c r="F4549">
        <v>3.6999999999999998E-2</v>
      </c>
      <c r="G4549">
        <v>0.14000000000000001</v>
      </c>
      <c r="H4549" s="1" t="str">
        <f>HYPERLINK("http://www.weizmann.ac.il/complex/compphys/software/geview/data/figures/207023_x_at.png","Figure")</f>
        <v>Figure</v>
      </c>
      <c r="I4549">
        <v>0.71499999999999997</v>
      </c>
      <c r="J4549">
        <v>2.9000000000000001E-2</v>
      </c>
      <c r="K4549">
        <v>0.872</v>
      </c>
      <c r="L4549">
        <v>0.38</v>
      </c>
      <c r="M4549">
        <v>1.22</v>
      </c>
      <c r="N4549">
        <v>0.19</v>
      </c>
    </row>
    <row r="4550" spans="1:14" x14ac:dyDescent="0.25">
      <c r="A4550" t="s">
        <v>8269</v>
      </c>
      <c r="B4550" t="s">
        <v>8270</v>
      </c>
      <c r="C4550" s="1" t="str">
        <f>HYPERLINK("http://www.genecards.org/cgi-bin/carddisp.pl?gene=DNAJA3","GeneCards")</f>
        <v>GeneCards</v>
      </c>
      <c r="D4550" s="1" t="str">
        <f>HYPERLINK("http://genome-euro.ucsc.edu/cgi-bin/hgTracks?position=205963_s_at","UCSC")</f>
        <v>UCSC</v>
      </c>
      <c r="E4550" s="1" t="str">
        <f>HYPERLINK("http://www.ncbi.nlm.nih.gov/gene/?term=DNAJA3","NCBI")</f>
        <v>NCBI</v>
      </c>
      <c r="F4550">
        <v>3.6999999999999998E-2</v>
      </c>
      <c r="G4550">
        <v>0.14000000000000001</v>
      </c>
      <c r="H4550" s="1" t="str">
        <f>HYPERLINK("http://www.weizmann.ac.il/complex/compphys/software/geview/data/figures/205963_s_at.png","Figure")</f>
        <v>Figure</v>
      </c>
      <c r="I4550">
        <v>1.1399999999999999</v>
      </c>
      <c r="J4550">
        <v>0.45</v>
      </c>
      <c r="K4550">
        <v>1.31</v>
      </c>
      <c r="L4550">
        <v>0.03</v>
      </c>
      <c r="M4550">
        <v>1.1499999999999999</v>
      </c>
      <c r="N4550">
        <v>0.37</v>
      </c>
    </row>
    <row r="4551" spans="1:14" x14ac:dyDescent="0.25">
      <c r="A4551" t="s">
        <v>8271</v>
      </c>
      <c r="B4551" t="s">
        <v>8272</v>
      </c>
      <c r="C4551" s="1" t="str">
        <f>HYPERLINK("http://www.genecards.org/cgi-bin/carddisp.pl?gene=NFIX","GeneCards")</f>
        <v>GeneCards</v>
      </c>
      <c r="D4551" s="1" t="str">
        <f>HYPERLINK("http://genome-euro.ucsc.edu/cgi-bin/hgTracks?position=209807_s_at","UCSC")</f>
        <v>UCSC</v>
      </c>
      <c r="E4551" s="1" t="str">
        <f>HYPERLINK("http://www.ncbi.nlm.nih.gov/gene/?term=NFIX","NCBI")</f>
        <v>NCBI</v>
      </c>
      <c r="F4551">
        <v>3.6999999999999998E-2</v>
      </c>
      <c r="G4551">
        <v>0.14000000000000001</v>
      </c>
      <c r="H4551" s="1" t="str">
        <f>HYPERLINK("http://www.weizmann.ac.il/complex/compphys/software/geview/data/figures/209807_s_at.png","Figure")</f>
        <v>Figure</v>
      </c>
      <c r="I4551">
        <v>1.1100000000000001</v>
      </c>
      <c r="J4551">
        <v>0.11</v>
      </c>
      <c r="K4551">
        <v>1.1299999999999999</v>
      </c>
      <c r="L4551">
        <v>3.7999999999999999E-2</v>
      </c>
      <c r="M4551">
        <v>1.01</v>
      </c>
      <c r="N4551">
        <v>0.97</v>
      </c>
    </row>
    <row r="4552" spans="1:14" x14ac:dyDescent="0.25">
      <c r="A4552" t="s">
        <v>8273</v>
      </c>
      <c r="B4552" t="s">
        <v>8274</v>
      </c>
      <c r="C4552" s="1" t="str">
        <f>HYPERLINK("http://www.genecards.org/cgi-bin/carddisp.pl?gene=TOMM22","GeneCards")</f>
        <v>GeneCards</v>
      </c>
      <c r="D4552" s="1" t="str">
        <f>HYPERLINK("http://genome-euro.ucsc.edu/cgi-bin/hgTracks?position=217960_s_at","UCSC")</f>
        <v>UCSC</v>
      </c>
      <c r="E4552" s="1" t="str">
        <f>HYPERLINK("http://www.ncbi.nlm.nih.gov/gene/?term=TOMM22","NCBI")</f>
        <v>NCBI</v>
      </c>
      <c r="F4552">
        <v>3.6999999999999998E-2</v>
      </c>
      <c r="G4552">
        <v>0.14000000000000001</v>
      </c>
      <c r="H4552" s="1" t="str">
        <f>HYPERLINK("http://www.weizmann.ac.il/complex/compphys/software/geview/data/figures/217960_s_at.png","Figure")</f>
        <v>Figure</v>
      </c>
      <c r="I4552">
        <v>1.35</v>
      </c>
      <c r="J4552">
        <v>3.6999999999999998E-2</v>
      </c>
      <c r="K4552">
        <v>1.22</v>
      </c>
      <c r="L4552">
        <v>0.12</v>
      </c>
      <c r="M4552">
        <v>0.90700000000000003</v>
      </c>
      <c r="N4552">
        <v>0.6</v>
      </c>
    </row>
    <row r="4553" spans="1:14" x14ac:dyDescent="0.25">
      <c r="A4553" t="s">
        <v>8275</v>
      </c>
      <c r="B4553" t="s">
        <v>8276</v>
      </c>
      <c r="C4553" s="1" t="str">
        <f>HYPERLINK("http://www.genecards.org/cgi-bin/carddisp.pl?gene=PLAC8","GeneCards")</f>
        <v>GeneCards</v>
      </c>
      <c r="D4553" s="1" t="str">
        <f>HYPERLINK("http://genome-euro.ucsc.edu/cgi-bin/hgTracks?position=219014_at","UCSC")</f>
        <v>UCSC</v>
      </c>
      <c r="E4553" s="1" t="str">
        <f>HYPERLINK("http://www.ncbi.nlm.nih.gov/gene/?term=PLAC8","NCBI")</f>
        <v>NCBI</v>
      </c>
      <c r="F4553">
        <v>3.6999999999999998E-2</v>
      </c>
      <c r="G4553">
        <v>0.14000000000000001</v>
      </c>
      <c r="H4553" s="1" t="str">
        <f>HYPERLINK("http://www.weizmann.ac.il/complex/compphys/software/geview/data/figures/219014_at.png","Figure")</f>
        <v>Figure</v>
      </c>
      <c r="I4553">
        <v>0.30099999999999999</v>
      </c>
      <c r="J4553">
        <v>4.1000000000000002E-2</v>
      </c>
      <c r="K4553">
        <v>0.81899999999999995</v>
      </c>
      <c r="L4553">
        <v>0.86</v>
      </c>
      <c r="M4553">
        <v>2.72</v>
      </c>
      <c r="N4553">
        <v>7.0000000000000007E-2</v>
      </c>
    </row>
    <row r="4554" spans="1:14" x14ac:dyDescent="0.25">
      <c r="A4554" t="s">
        <v>8277</v>
      </c>
      <c r="B4554" t="s">
        <v>4959</v>
      </c>
      <c r="C4554" s="1" t="str">
        <f>HYPERLINK("http://www.genecards.org/cgi-bin/carddisp.pl?gene=TUBGCP2","GeneCards")</f>
        <v>GeneCards</v>
      </c>
      <c r="D4554" s="1" t="str">
        <f>HYPERLINK("http://genome-euro.ucsc.edu/cgi-bin/hgTracks?position=202476_s_at","UCSC")</f>
        <v>UCSC</v>
      </c>
      <c r="E4554" s="1" t="str">
        <f>HYPERLINK("http://www.ncbi.nlm.nih.gov/gene/?term=TUBGCP2","NCBI")</f>
        <v>NCBI</v>
      </c>
      <c r="F4554">
        <v>3.6999999999999998E-2</v>
      </c>
      <c r="G4554">
        <v>0.14000000000000001</v>
      </c>
      <c r="H4554" s="1" t="str">
        <f>HYPERLINK("http://www.weizmann.ac.il/complex/compphys/software/geview/data/figures/202476_s_at.png","Figure")</f>
        <v>Figure</v>
      </c>
      <c r="I4554">
        <v>1.21</v>
      </c>
      <c r="J4554">
        <v>3.6999999999999998E-2</v>
      </c>
      <c r="K4554">
        <v>1.1399999999999999</v>
      </c>
      <c r="L4554">
        <v>0.11</v>
      </c>
      <c r="M4554">
        <v>0.94</v>
      </c>
      <c r="N4554">
        <v>0.61</v>
      </c>
    </row>
    <row r="4555" spans="1:14" x14ac:dyDescent="0.25">
      <c r="A4555" t="s">
        <v>8278</v>
      </c>
      <c r="B4555" t="s">
        <v>8279</v>
      </c>
      <c r="C4555" s="1" t="str">
        <f>HYPERLINK("http://www.genecards.org/cgi-bin/carddisp.pl?gene=AP1B1","GeneCards")</f>
        <v>GeneCards</v>
      </c>
      <c r="D4555" s="1" t="str">
        <f>HYPERLINK("http://genome-euro.ucsc.edu/cgi-bin/hgTracks?position=205423_at","UCSC")</f>
        <v>UCSC</v>
      </c>
      <c r="E4555" s="1" t="str">
        <f>HYPERLINK("http://www.ncbi.nlm.nih.gov/gene/?term=AP1B1","NCBI")</f>
        <v>NCBI</v>
      </c>
      <c r="F4555">
        <v>3.6999999999999998E-2</v>
      </c>
      <c r="G4555">
        <v>0.14000000000000001</v>
      </c>
      <c r="H4555" s="1" t="str">
        <f>HYPERLINK("http://www.weizmann.ac.il/complex/compphys/software/geview/data/figures/205423_at.png","Figure")</f>
        <v>Figure</v>
      </c>
      <c r="I4555">
        <v>1.06</v>
      </c>
      <c r="J4555">
        <v>0.94</v>
      </c>
      <c r="K4555">
        <v>0.72699999999999998</v>
      </c>
      <c r="L4555">
        <v>8.6999999999999994E-2</v>
      </c>
      <c r="M4555">
        <v>0.68799999999999994</v>
      </c>
      <c r="N4555">
        <v>5.8999999999999997E-2</v>
      </c>
    </row>
    <row r="4556" spans="1:14" x14ac:dyDescent="0.25">
      <c r="A4556" t="s">
        <v>8280</v>
      </c>
      <c r="B4556" t="s">
        <v>2528</v>
      </c>
      <c r="C4556" s="1" t="str">
        <f>HYPERLINK("http://www.genecards.org/cgi-bin/carddisp.pl?gene=SEC31A","GeneCards")</f>
        <v>GeneCards</v>
      </c>
      <c r="D4556" s="1" t="str">
        <f>HYPERLINK("http://genome-euro.ucsc.edu/cgi-bin/hgTracks?position=210616_s_at","UCSC")</f>
        <v>UCSC</v>
      </c>
      <c r="E4556" s="1" t="str">
        <f>HYPERLINK("http://www.ncbi.nlm.nih.gov/gene/?term=SEC31A","NCBI")</f>
        <v>NCBI</v>
      </c>
      <c r="F4556">
        <v>3.6999999999999998E-2</v>
      </c>
      <c r="G4556">
        <v>0.14000000000000001</v>
      </c>
      <c r="H4556" s="1" t="str">
        <f>HYPERLINK("http://www.weizmann.ac.il/complex/compphys/software/geview/data/figures/210616_s_at.png","Figure")</f>
        <v>Figure</v>
      </c>
      <c r="I4556">
        <v>1.06</v>
      </c>
      <c r="J4556">
        <v>0.93</v>
      </c>
      <c r="K4556">
        <v>1.43</v>
      </c>
      <c r="L4556">
        <v>4.5999999999999999E-2</v>
      </c>
      <c r="M4556">
        <v>1.36</v>
      </c>
      <c r="N4556">
        <v>0.12</v>
      </c>
    </row>
    <row r="4557" spans="1:14" x14ac:dyDescent="0.25">
      <c r="A4557" t="s">
        <v>8281</v>
      </c>
      <c r="B4557" t="s">
        <v>8282</v>
      </c>
      <c r="C4557" s="1" t="str">
        <f>HYPERLINK("http://www.genecards.org/cgi-bin/carddisp.pl?gene=TOP2B","GeneCards")</f>
        <v>GeneCards</v>
      </c>
      <c r="D4557" s="1" t="str">
        <f>HYPERLINK("http://genome-euro.ucsc.edu/cgi-bin/hgTracks?position=211987_at","UCSC")</f>
        <v>UCSC</v>
      </c>
      <c r="E4557" s="1" t="str">
        <f>HYPERLINK("http://www.ncbi.nlm.nih.gov/gene/?term=TOP2B","NCBI")</f>
        <v>NCBI</v>
      </c>
      <c r="F4557">
        <v>3.6999999999999998E-2</v>
      </c>
      <c r="G4557">
        <v>0.14000000000000001</v>
      </c>
      <c r="H4557" s="1" t="str">
        <f>HYPERLINK("http://www.weizmann.ac.il/complex/compphys/software/geview/data/figures/211987_at.png","Figure")</f>
        <v>Figure</v>
      </c>
      <c r="I4557">
        <v>1.55</v>
      </c>
      <c r="J4557">
        <v>3.1E-2</v>
      </c>
      <c r="K4557">
        <v>1.1499999999999999</v>
      </c>
      <c r="L4557">
        <v>0.53</v>
      </c>
      <c r="M4557">
        <v>0.747</v>
      </c>
      <c r="N4557">
        <v>0.13</v>
      </c>
    </row>
    <row r="4558" spans="1:14" x14ac:dyDescent="0.25">
      <c r="A4558" t="s">
        <v>8283</v>
      </c>
      <c r="B4558" t="s">
        <v>8284</v>
      </c>
      <c r="C4558" s="1" t="str">
        <f>HYPERLINK("http://www.genecards.org/cgi-bin/carddisp.pl?gene=PHTF2","GeneCards")</f>
        <v>GeneCards</v>
      </c>
      <c r="D4558" s="1" t="str">
        <f>HYPERLINK("http://genome-euro.ucsc.edu/cgi-bin/hgTracks?position=209780_at","UCSC")</f>
        <v>UCSC</v>
      </c>
      <c r="E4558" s="1" t="str">
        <f>HYPERLINK("http://www.ncbi.nlm.nih.gov/gene/?term=PHTF2","NCBI")</f>
        <v>NCBI</v>
      </c>
      <c r="F4558">
        <v>3.6999999999999998E-2</v>
      </c>
      <c r="G4558">
        <v>0.14000000000000001</v>
      </c>
      <c r="H4558" s="1" t="str">
        <f>HYPERLINK("http://www.weizmann.ac.il/complex/compphys/software/geview/data/figures/209780_at.png","Figure")</f>
        <v>Figure</v>
      </c>
      <c r="I4558">
        <v>0.55100000000000005</v>
      </c>
      <c r="J4558">
        <v>0.1</v>
      </c>
      <c r="K4558">
        <v>0.52200000000000002</v>
      </c>
      <c r="L4558">
        <v>3.9E-2</v>
      </c>
      <c r="M4558">
        <v>0.94899999999999995</v>
      </c>
      <c r="N4558">
        <v>0.98</v>
      </c>
    </row>
    <row r="4559" spans="1:14" x14ac:dyDescent="0.25">
      <c r="A4559" t="s">
        <v>8285</v>
      </c>
      <c r="B4559" t="s">
        <v>8286</v>
      </c>
      <c r="C4559" s="1" t="str">
        <f>HYPERLINK("http://www.genecards.org/cgi-bin/carddisp.pl?gene=CHEK2","GeneCards")</f>
        <v>GeneCards</v>
      </c>
      <c r="D4559" s="1" t="str">
        <f>HYPERLINK("http://genome-euro.ucsc.edu/cgi-bin/hgTracks?position=210416_s_at","UCSC")</f>
        <v>UCSC</v>
      </c>
      <c r="E4559" s="1" t="str">
        <f>HYPERLINK("http://www.ncbi.nlm.nih.gov/gene/?term=CHEK2","NCBI")</f>
        <v>NCBI</v>
      </c>
      <c r="F4559">
        <v>3.6999999999999998E-2</v>
      </c>
      <c r="G4559">
        <v>0.14000000000000001</v>
      </c>
      <c r="H4559" s="1" t="str">
        <f>HYPERLINK("http://www.weizmann.ac.il/complex/compphys/software/geview/data/figures/210416_s_at.png","Figure")</f>
        <v>Figure</v>
      </c>
      <c r="I4559">
        <v>0.80300000000000005</v>
      </c>
      <c r="J4559">
        <v>0.11</v>
      </c>
      <c r="K4559">
        <v>1.05</v>
      </c>
      <c r="L4559">
        <v>0.82</v>
      </c>
      <c r="M4559">
        <v>1.31</v>
      </c>
      <c r="N4559">
        <v>3.3000000000000002E-2</v>
      </c>
    </row>
    <row r="4560" spans="1:14" x14ac:dyDescent="0.25">
      <c r="A4560" t="s">
        <v>8287</v>
      </c>
      <c r="B4560" t="s">
        <v>8288</v>
      </c>
      <c r="C4560" s="1" t="str">
        <f>HYPERLINK("http://www.genecards.org/cgi-bin/carddisp.pl?gene=CHP2","GeneCards")</f>
        <v>GeneCards</v>
      </c>
      <c r="D4560" s="1" t="str">
        <f>HYPERLINK("http://genome-euro.ucsc.edu/cgi-bin/hgTracks?position=206149_at","UCSC")</f>
        <v>UCSC</v>
      </c>
      <c r="E4560" s="1" t="str">
        <f>HYPERLINK("http://www.ncbi.nlm.nih.gov/gene/?term=CHP2","NCBI")</f>
        <v>NCBI</v>
      </c>
      <c r="F4560">
        <v>3.6999999999999998E-2</v>
      </c>
      <c r="G4560">
        <v>0.14000000000000001</v>
      </c>
      <c r="H4560" s="1" t="str">
        <f>HYPERLINK("http://www.weizmann.ac.il/complex/compphys/software/geview/data/figures/206149_at.png","Figure")</f>
        <v>Figure</v>
      </c>
      <c r="I4560">
        <v>1.19</v>
      </c>
      <c r="J4560">
        <v>6.3E-2</v>
      </c>
      <c r="K4560">
        <v>0.999</v>
      </c>
      <c r="L4560">
        <v>1</v>
      </c>
      <c r="M4560">
        <v>0.84099999999999997</v>
      </c>
      <c r="N4560">
        <v>4.4999999999999998E-2</v>
      </c>
    </row>
    <row r="4561" spans="1:14" x14ac:dyDescent="0.25">
      <c r="A4561" t="s">
        <v>8289</v>
      </c>
      <c r="B4561" t="s">
        <v>6787</v>
      </c>
      <c r="C4561" s="1" t="str">
        <f>HYPERLINK("http://www.genecards.org/cgi-bin/carddisp.pl?gene=FEM1B","GeneCards")</f>
        <v>GeneCards</v>
      </c>
      <c r="D4561" s="1" t="str">
        <f>HYPERLINK("http://genome-euro.ucsc.edu/cgi-bin/hgTracks?position=212374_at","UCSC")</f>
        <v>UCSC</v>
      </c>
      <c r="E4561" s="1" t="str">
        <f>HYPERLINK("http://www.ncbi.nlm.nih.gov/gene/?term=FEM1B","NCBI")</f>
        <v>NCBI</v>
      </c>
      <c r="F4561">
        <v>3.6999999999999998E-2</v>
      </c>
      <c r="G4561">
        <v>0.14000000000000001</v>
      </c>
      <c r="H4561" s="1" t="str">
        <f>HYPERLINK("http://www.weizmann.ac.il/complex/compphys/software/geview/data/figures/212374_at.png","Figure")</f>
        <v>Figure</v>
      </c>
      <c r="I4561">
        <v>0.56399999999999995</v>
      </c>
      <c r="J4561">
        <v>0.21</v>
      </c>
      <c r="K4561">
        <v>0.44500000000000001</v>
      </c>
      <c r="L4561">
        <v>3.1E-2</v>
      </c>
      <c r="M4561">
        <v>0.78900000000000003</v>
      </c>
      <c r="N4561">
        <v>0.71</v>
      </c>
    </row>
    <row r="4562" spans="1:14" x14ac:dyDescent="0.25">
      <c r="A4562" t="s">
        <v>8290</v>
      </c>
      <c r="B4562" t="s">
        <v>8291</v>
      </c>
      <c r="C4562" s="1" t="str">
        <f>HYPERLINK("http://www.genecards.org/cgi-bin/carddisp.pl?gene=MLF2","GeneCards")</f>
        <v>GeneCards</v>
      </c>
      <c r="D4562" s="1" t="str">
        <f>HYPERLINK("http://genome-euro.ucsc.edu/cgi-bin/hgTracks?position=200948_at","UCSC")</f>
        <v>UCSC</v>
      </c>
      <c r="E4562" s="1" t="str">
        <f>HYPERLINK("http://www.ncbi.nlm.nih.gov/gene/?term=MLF2","NCBI")</f>
        <v>NCBI</v>
      </c>
      <c r="F4562">
        <v>3.6999999999999998E-2</v>
      </c>
      <c r="G4562">
        <v>0.14000000000000001</v>
      </c>
      <c r="H4562" s="1" t="str">
        <f>HYPERLINK("http://www.weizmann.ac.il/complex/compphys/software/geview/data/figures/200948_at.png","Figure")</f>
        <v>Figure</v>
      </c>
      <c r="I4562">
        <v>0.7</v>
      </c>
      <c r="J4562">
        <v>0.03</v>
      </c>
      <c r="K4562">
        <v>0.86499999999999999</v>
      </c>
      <c r="L4562">
        <v>0.39</v>
      </c>
      <c r="M4562">
        <v>1.24</v>
      </c>
      <c r="N4562">
        <v>0.19</v>
      </c>
    </row>
    <row r="4563" spans="1:14" x14ac:dyDescent="0.25">
      <c r="A4563" t="s">
        <v>8292</v>
      </c>
      <c r="B4563" t="s">
        <v>8293</v>
      </c>
      <c r="C4563" s="1" t="str">
        <f>HYPERLINK("http://www.genecards.org/cgi-bin/carddisp.pl?gene=LTB4R2","GeneCards")</f>
        <v>GeneCards</v>
      </c>
      <c r="D4563" s="1" t="str">
        <f>HYPERLINK("http://genome-euro.ucsc.edu/cgi-bin/hgTracks?position=220130_x_at","UCSC")</f>
        <v>UCSC</v>
      </c>
      <c r="E4563" s="1" t="str">
        <f>HYPERLINK("http://www.ncbi.nlm.nih.gov/gene/?term=LTB4R2","NCBI")</f>
        <v>NCBI</v>
      </c>
      <c r="F4563">
        <v>3.6999999999999998E-2</v>
      </c>
      <c r="G4563">
        <v>0.14000000000000001</v>
      </c>
      <c r="H4563" s="1" t="str">
        <f>HYPERLINK("http://www.weizmann.ac.il/complex/compphys/software/geview/data/figures/220130_x_at.png","Figure")</f>
        <v>Figure</v>
      </c>
      <c r="I4563">
        <v>1.39</v>
      </c>
      <c r="J4563">
        <v>3.6999999999999998E-2</v>
      </c>
      <c r="K4563">
        <v>1.24</v>
      </c>
      <c r="L4563">
        <v>0.12</v>
      </c>
      <c r="M4563">
        <v>0.89600000000000002</v>
      </c>
      <c r="N4563">
        <v>0.57999999999999996</v>
      </c>
    </row>
    <row r="4564" spans="1:14" x14ac:dyDescent="0.25">
      <c r="A4564" t="s">
        <v>8294</v>
      </c>
      <c r="B4564" t="s">
        <v>8295</v>
      </c>
      <c r="C4564" s="1" t="str">
        <f>HYPERLINK("http://www.genecards.org/cgi-bin/carddisp.pl?gene=LPAR2","GeneCards")</f>
        <v>GeneCards</v>
      </c>
      <c r="D4564" s="1" t="str">
        <f>HYPERLINK("http://genome-euro.ucsc.edu/cgi-bin/hgTracks?position=206722_s_at","UCSC")</f>
        <v>UCSC</v>
      </c>
      <c r="E4564" s="1" t="str">
        <f>HYPERLINK("http://www.ncbi.nlm.nih.gov/gene/?term=LPAR2","NCBI")</f>
        <v>NCBI</v>
      </c>
      <c r="F4564">
        <v>3.6999999999999998E-2</v>
      </c>
      <c r="G4564">
        <v>0.14000000000000001</v>
      </c>
      <c r="H4564" s="1" t="str">
        <f>HYPERLINK("http://www.weizmann.ac.il/complex/compphys/software/geview/data/figures/206722_s_at.png","Figure")</f>
        <v>Figure</v>
      </c>
      <c r="I4564">
        <v>1.1000000000000001</v>
      </c>
      <c r="J4564">
        <v>0.22</v>
      </c>
      <c r="K4564">
        <v>0.94899999999999995</v>
      </c>
      <c r="L4564">
        <v>0.52</v>
      </c>
      <c r="M4564">
        <v>0.86399999999999999</v>
      </c>
      <c r="N4564">
        <v>0.03</v>
      </c>
    </row>
    <row r="4565" spans="1:14" x14ac:dyDescent="0.25">
      <c r="A4565" t="s">
        <v>8296</v>
      </c>
      <c r="B4565" t="s">
        <v>8297</v>
      </c>
      <c r="C4565" s="1" t="str">
        <f>HYPERLINK("http://www.genecards.org/cgi-bin/carddisp.pl?gene=SEC11A","GeneCards")</f>
        <v>GeneCards</v>
      </c>
      <c r="D4565" s="1" t="str">
        <f>HYPERLINK("http://genome-euro.ucsc.edu/cgi-bin/hgTracks?position=201290_at","UCSC")</f>
        <v>UCSC</v>
      </c>
      <c r="E4565" s="1" t="str">
        <f>HYPERLINK("http://www.ncbi.nlm.nih.gov/gene/?term=SEC11A","NCBI")</f>
        <v>NCBI</v>
      </c>
      <c r="F4565">
        <v>3.6999999999999998E-2</v>
      </c>
      <c r="G4565">
        <v>0.14000000000000001</v>
      </c>
      <c r="H4565" s="1" t="str">
        <f>HYPERLINK("http://www.weizmann.ac.il/complex/compphys/software/geview/data/figures/201290_at.png","Figure")</f>
        <v>Figure</v>
      </c>
      <c r="I4565">
        <v>0.76800000000000002</v>
      </c>
      <c r="J4565">
        <v>0.21</v>
      </c>
      <c r="K4565">
        <v>1.1499999999999999</v>
      </c>
      <c r="L4565">
        <v>0.55000000000000004</v>
      </c>
      <c r="M4565">
        <v>1.49</v>
      </c>
      <c r="N4565">
        <v>0.03</v>
      </c>
    </row>
    <row r="4566" spans="1:14" x14ac:dyDescent="0.25">
      <c r="A4566" t="s">
        <v>8298</v>
      </c>
      <c r="B4566" t="s">
        <v>8299</v>
      </c>
      <c r="C4566" s="1" t="str">
        <f>HYPERLINK("http://www.genecards.org/cgi-bin/carddisp.pl?gene=ATF4","GeneCards")</f>
        <v>GeneCards</v>
      </c>
      <c r="D4566" s="1" t="str">
        <f>HYPERLINK("http://genome-euro.ucsc.edu/cgi-bin/hgTracks?position=200779_at","UCSC")</f>
        <v>UCSC</v>
      </c>
      <c r="E4566" s="1" t="str">
        <f>HYPERLINK("http://www.ncbi.nlm.nih.gov/gene/?term=ATF4","NCBI")</f>
        <v>NCBI</v>
      </c>
      <c r="F4566">
        <v>3.6999999999999998E-2</v>
      </c>
      <c r="G4566">
        <v>0.14000000000000001</v>
      </c>
      <c r="H4566" s="1" t="str">
        <f>HYPERLINK("http://www.weizmann.ac.il/complex/compphys/software/geview/data/figures/200779_at.png","Figure")</f>
        <v>Figure</v>
      </c>
      <c r="I4566">
        <v>1.23</v>
      </c>
      <c r="J4566">
        <v>0.37</v>
      </c>
      <c r="K4566">
        <v>0.82399999999999995</v>
      </c>
      <c r="L4566">
        <v>0.32</v>
      </c>
      <c r="M4566">
        <v>0.66900000000000004</v>
      </c>
      <c r="N4566">
        <v>3.1E-2</v>
      </c>
    </row>
    <row r="4567" spans="1:14" x14ac:dyDescent="0.25">
      <c r="A4567" t="s">
        <v>8300</v>
      </c>
      <c r="B4567" t="s">
        <v>8301</v>
      </c>
      <c r="C4567" s="1" t="str">
        <f>HYPERLINK("http://www.genecards.org/cgi-bin/carddisp.pl?gene=OAZ2","GeneCards")</f>
        <v>GeneCards</v>
      </c>
      <c r="D4567" s="1" t="str">
        <f>HYPERLINK("http://genome-euro.ucsc.edu/cgi-bin/hgTracks?position=201365_at","UCSC")</f>
        <v>UCSC</v>
      </c>
      <c r="E4567" s="1" t="str">
        <f>HYPERLINK("http://www.ncbi.nlm.nih.gov/gene/?term=OAZ2","NCBI")</f>
        <v>NCBI</v>
      </c>
      <c r="F4567">
        <v>3.6999999999999998E-2</v>
      </c>
      <c r="G4567">
        <v>0.14000000000000001</v>
      </c>
      <c r="H4567" s="1" t="str">
        <f>HYPERLINK("http://www.weizmann.ac.il/complex/compphys/software/geview/data/figures/201365_at.png","Figure")</f>
        <v>Figure</v>
      </c>
      <c r="I4567">
        <v>0.96199999999999997</v>
      </c>
      <c r="J4567">
        <v>0.94</v>
      </c>
      <c r="K4567">
        <v>0.76</v>
      </c>
      <c r="L4567">
        <v>4.7E-2</v>
      </c>
      <c r="M4567">
        <v>0.78900000000000003</v>
      </c>
      <c r="N4567">
        <v>0.12</v>
      </c>
    </row>
    <row r="4568" spans="1:14" x14ac:dyDescent="0.25">
      <c r="A4568" t="s">
        <v>8302</v>
      </c>
      <c r="B4568" t="s">
        <v>8254</v>
      </c>
      <c r="C4568" s="1" t="str">
        <f>HYPERLINK("http://www.genecards.org/cgi-bin/carddisp.pl?gene=SAPS2","GeneCards")</f>
        <v>GeneCards</v>
      </c>
      <c r="D4568" s="1" t="str">
        <f>HYPERLINK("http://genome-euro.ucsc.edu/cgi-bin/hgTracks?position=202791_s_at","UCSC")</f>
        <v>UCSC</v>
      </c>
      <c r="E4568" s="1" t="str">
        <f>HYPERLINK("http://www.ncbi.nlm.nih.gov/gene/?term=SAPS2","NCBI")</f>
        <v>NCBI</v>
      </c>
      <c r="F4568">
        <v>3.6999999999999998E-2</v>
      </c>
      <c r="G4568">
        <v>0.14000000000000001</v>
      </c>
      <c r="H4568" s="1" t="str">
        <f>HYPERLINK("http://www.weizmann.ac.il/complex/compphys/software/geview/data/figures/202791_s_at.png","Figure")</f>
        <v>Figure</v>
      </c>
      <c r="I4568">
        <v>0.79600000000000004</v>
      </c>
      <c r="J4568">
        <v>3.5999999999999997E-2</v>
      </c>
      <c r="K4568">
        <v>0.94799999999999995</v>
      </c>
      <c r="L4568">
        <v>0.74</v>
      </c>
      <c r="M4568">
        <v>1.19</v>
      </c>
      <c r="N4568">
        <v>8.8999999999999996E-2</v>
      </c>
    </row>
    <row r="4569" spans="1:14" x14ac:dyDescent="0.25">
      <c r="A4569" t="s">
        <v>8303</v>
      </c>
      <c r="B4569" t="s">
        <v>1349</v>
      </c>
      <c r="C4569" s="1" t="str">
        <f>HYPERLINK("http://www.genecards.org/cgi-bin/carddisp.pl?gene=TNK2","GeneCards")</f>
        <v>GeneCards</v>
      </c>
      <c r="D4569" s="1" t="str">
        <f>HYPERLINK("http://genome-euro.ucsc.edu/cgi-bin/hgTracks?position=203838_s_at","UCSC")</f>
        <v>UCSC</v>
      </c>
      <c r="E4569" s="1" t="str">
        <f>HYPERLINK("http://www.ncbi.nlm.nih.gov/gene/?term=TNK2","NCBI")</f>
        <v>NCBI</v>
      </c>
      <c r="F4569">
        <v>3.6999999999999998E-2</v>
      </c>
      <c r="G4569">
        <v>0.14000000000000001</v>
      </c>
      <c r="H4569" s="1" t="str">
        <f>HYPERLINK("http://www.weizmann.ac.il/complex/compphys/software/geview/data/figures/203838_s_at.png","Figure")</f>
        <v>Figure</v>
      </c>
      <c r="I4569">
        <v>1.08</v>
      </c>
      <c r="J4569">
        <v>4.3999999999999997E-2</v>
      </c>
      <c r="K4569">
        <v>1.06</v>
      </c>
      <c r="L4569">
        <v>8.6999999999999994E-2</v>
      </c>
      <c r="M4569">
        <v>0.98</v>
      </c>
      <c r="N4569">
        <v>0.75</v>
      </c>
    </row>
    <row r="4570" spans="1:14" x14ac:dyDescent="0.25">
      <c r="A4570" t="s">
        <v>8304</v>
      </c>
      <c r="B4570" t="s">
        <v>4335</v>
      </c>
      <c r="C4570" s="1" t="str">
        <f>HYPERLINK("http://www.genecards.org/cgi-bin/carddisp.pl?gene=SLC5A3","GeneCards")</f>
        <v>GeneCards</v>
      </c>
      <c r="D4570" s="1" t="str">
        <f>HYPERLINK("http://genome-euro.ucsc.edu/cgi-bin/hgTracks?position=213164_at","UCSC")</f>
        <v>UCSC</v>
      </c>
      <c r="E4570" s="1" t="str">
        <f>HYPERLINK("http://www.ncbi.nlm.nih.gov/gene/?term=SLC5A3","NCBI")</f>
        <v>NCBI</v>
      </c>
      <c r="F4570">
        <v>3.6999999999999998E-2</v>
      </c>
      <c r="G4570">
        <v>0.14000000000000001</v>
      </c>
      <c r="H4570" s="1" t="str">
        <f>HYPERLINK("http://www.weizmann.ac.il/complex/compphys/software/geview/data/figures/213164_at.png","Figure")</f>
        <v>Figure</v>
      </c>
      <c r="I4570">
        <v>0.53700000000000003</v>
      </c>
      <c r="J4570">
        <v>0.04</v>
      </c>
      <c r="K4570">
        <v>0.89</v>
      </c>
      <c r="L4570">
        <v>0.83</v>
      </c>
      <c r="M4570">
        <v>1.66</v>
      </c>
      <c r="N4570">
        <v>7.4999999999999997E-2</v>
      </c>
    </row>
    <row r="4571" spans="1:14" x14ac:dyDescent="0.25">
      <c r="A4571" t="s">
        <v>8305</v>
      </c>
      <c r="B4571" t="s">
        <v>8306</v>
      </c>
      <c r="C4571" s="1" t="str">
        <f>HYPERLINK("http://www.genecards.org/cgi-bin/carddisp.pl?gene=SRC","GeneCards")</f>
        <v>GeneCards</v>
      </c>
      <c r="D4571" s="1" t="str">
        <f>HYPERLINK("http://genome-euro.ucsc.edu/cgi-bin/hgTracks?position=221281_at","UCSC")</f>
        <v>UCSC</v>
      </c>
      <c r="E4571" s="1" t="str">
        <f>HYPERLINK("http://www.ncbi.nlm.nih.gov/gene/?term=SRC","NCBI")</f>
        <v>NCBI</v>
      </c>
      <c r="F4571">
        <v>3.6999999999999998E-2</v>
      </c>
      <c r="G4571">
        <v>0.14000000000000001</v>
      </c>
      <c r="H4571" s="1" t="str">
        <f>HYPERLINK("http://www.weizmann.ac.il/complex/compphys/software/geview/data/figures/221281_at.png","Figure")</f>
        <v>Figure</v>
      </c>
      <c r="I4571">
        <v>1.31</v>
      </c>
      <c r="J4571">
        <v>0.03</v>
      </c>
      <c r="K4571">
        <v>1.1399999999999999</v>
      </c>
      <c r="L4571">
        <v>0.26</v>
      </c>
      <c r="M4571">
        <v>0.871</v>
      </c>
      <c r="N4571">
        <v>0.28000000000000003</v>
      </c>
    </row>
    <row r="4572" spans="1:14" x14ac:dyDescent="0.25">
      <c r="A4572" t="s">
        <v>8307</v>
      </c>
      <c r="B4572" t="s">
        <v>8308</v>
      </c>
      <c r="C4572" s="1" t="str">
        <f>HYPERLINK("http://www.genecards.org/cgi-bin/carddisp.pl?gene=WDR67","GeneCards")</f>
        <v>GeneCards</v>
      </c>
      <c r="D4572" s="1" t="str">
        <f>HYPERLINK("http://genome-euro.ucsc.edu/cgi-bin/hgTracks?position=214061_at","UCSC")</f>
        <v>UCSC</v>
      </c>
      <c r="E4572" s="1" t="str">
        <f>HYPERLINK("http://www.ncbi.nlm.nih.gov/gene/?term=WDR67","NCBI")</f>
        <v>NCBI</v>
      </c>
      <c r="F4572">
        <v>3.6999999999999998E-2</v>
      </c>
      <c r="G4572">
        <v>0.14000000000000001</v>
      </c>
      <c r="H4572" s="1" t="str">
        <f>HYPERLINK("http://www.weizmann.ac.il/complex/compphys/software/geview/data/figures/214061_at.png","Figure")</f>
        <v>Figure</v>
      </c>
      <c r="I4572">
        <v>0.63600000000000001</v>
      </c>
      <c r="J4572">
        <v>0.13</v>
      </c>
      <c r="K4572">
        <v>1.1299999999999999</v>
      </c>
      <c r="L4572">
        <v>0.79</v>
      </c>
      <c r="M4572">
        <v>1.78</v>
      </c>
      <c r="N4572">
        <v>3.2000000000000001E-2</v>
      </c>
    </row>
    <row r="4573" spans="1:14" x14ac:dyDescent="0.25">
      <c r="A4573" t="s">
        <v>8309</v>
      </c>
      <c r="B4573" t="s">
        <v>8310</v>
      </c>
      <c r="C4573" s="1" t="str">
        <f>HYPERLINK("http://www.genecards.org/cgi-bin/carddisp.pl?gene=ZHX3","GeneCards")</f>
        <v>GeneCards</v>
      </c>
      <c r="D4573" s="1" t="str">
        <f>HYPERLINK("http://genome-euro.ucsc.edu/cgi-bin/hgTracks?position=212545_s_at","UCSC")</f>
        <v>UCSC</v>
      </c>
      <c r="E4573" s="1" t="str">
        <f>HYPERLINK("http://www.ncbi.nlm.nih.gov/gene/?term=ZHX3","NCBI")</f>
        <v>NCBI</v>
      </c>
      <c r="F4573">
        <v>3.6999999999999998E-2</v>
      </c>
      <c r="G4573">
        <v>0.14000000000000001</v>
      </c>
      <c r="H4573" s="1" t="str">
        <f>HYPERLINK("http://www.weizmann.ac.il/complex/compphys/software/geview/data/figures/212545_s_at.png","Figure")</f>
        <v>Figure</v>
      </c>
      <c r="I4573">
        <v>1.1200000000000001</v>
      </c>
      <c r="J4573">
        <v>6.5000000000000002E-2</v>
      </c>
      <c r="K4573">
        <v>1.1100000000000001</v>
      </c>
      <c r="L4573">
        <v>5.5E-2</v>
      </c>
      <c r="M4573">
        <v>0.98899999999999999</v>
      </c>
      <c r="N4573">
        <v>0.97</v>
      </c>
    </row>
    <row r="4574" spans="1:14" x14ac:dyDescent="0.25">
      <c r="A4574" t="s">
        <v>8311</v>
      </c>
      <c r="B4574" t="s">
        <v>7945</v>
      </c>
      <c r="C4574" s="1" t="str">
        <f>HYPERLINK("http://www.genecards.org/cgi-bin/carddisp.pl?gene=RAPGEF2","GeneCards")</f>
        <v>GeneCards</v>
      </c>
      <c r="D4574" s="1" t="str">
        <f>HYPERLINK("http://genome-euro.ucsc.edu/cgi-bin/hgTracks?position=203096_s_at","UCSC")</f>
        <v>UCSC</v>
      </c>
      <c r="E4574" s="1" t="str">
        <f>HYPERLINK("http://www.ncbi.nlm.nih.gov/gene/?term=RAPGEF2","NCBI")</f>
        <v>NCBI</v>
      </c>
      <c r="F4574">
        <v>3.6999999999999998E-2</v>
      </c>
      <c r="G4574">
        <v>0.14000000000000001</v>
      </c>
      <c r="H4574" s="1" t="str">
        <f>HYPERLINK("http://www.weizmann.ac.il/complex/compphys/software/geview/data/figures/203096_s_at.png","Figure")</f>
        <v>Figure</v>
      </c>
      <c r="I4574">
        <v>1.1000000000000001</v>
      </c>
      <c r="J4574">
        <v>0.96</v>
      </c>
      <c r="K4574">
        <v>0.503</v>
      </c>
      <c r="L4574">
        <v>8.2000000000000003E-2</v>
      </c>
      <c r="M4574">
        <v>0.45800000000000002</v>
      </c>
      <c r="N4574">
        <v>6.3E-2</v>
      </c>
    </row>
    <row r="4575" spans="1:14" x14ac:dyDescent="0.25">
      <c r="A4575" t="s">
        <v>8312</v>
      </c>
      <c r="B4575" t="s">
        <v>8313</v>
      </c>
      <c r="C4575" s="1" t="str">
        <f>HYPERLINK("http://www.genecards.org/cgi-bin/carddisp.pl?gene=NPTX1","GeneCards")</f>
        <v>GeneCards</v>
      </c>
      <c r="D4575" s="1" t="str">
        <f>HYPERLINK("http://genome-euro.ucsc.edu/cgi-bin/hgTracks?position=204684_at","UCSC")</f>
        <v>UCSC</v>
      </c>
      <c r="E4575" s="1" t="str">
        <f>HYPERLINK("http://www.ncbi.nlm.nih.gov/gene/?term=NPTX1","NCBI")</f>
        <v>NCBI</v>
      </c>
      <c r="F4575">
        <v>3.6999999999999998E-2</v>
      </c>
      <c r="G4575">
        <v>0.14000000000000001</v>
      </c>
      <c r="H4575" s="1" t="str">
        <f>HYPERLINK("http://www.weizmann.ac.il/complex/compphys/software/geview/data/figures/204684_at.png","Figure")</f>
        <v>Figure</v>
      </c>
      <c r="I4575">
        <v>1.43</v>
      </c>
      <c r="J4575">
        <v>0.03</v>
      </c>
      <c r="K4575">
        <v>1.17</v>
      </c>
      <c r="L4575">
        <v>0.33</v>
      </c>
      <c r="M4575">
        <v>0.81699999999999995</v>
      </c>
      <c r="N4575">
        <v>0.23</v>
      </c>
    </row>
    <row r="4576" spans="1:14" x14ac:dyDescent="0.25">
      <c r="A4576" t="s">
        <v>8314</v>
      </c>
      <c r="B4576" t="s">
        <v>1134</v>
      </c>
      <c r="C4576" s="1" t="str">
        <f>HYPERLINK("http://www.genecards.org/cgi-bin/carddisp.pl?gene=FAM49A","GeneCards")</f>
        <v>GeneCards</v>
      </c>
      <c r="D4576" s="1" t="str">
        <f>HYPERLINK("http://genome-euro.ucsc.edu/cgi-bin/hgTracks?position=209683_at","UCSC")</f>
        <v>UCSC</v>
      </c>
      <c r="E4576" s="1" t="str">
        <f>HYPERLINK("http://www.ncbi.nlm.nih.gov/gene/?term=FAM49A","NCBI")</f>
        <v>NCBI</v>
      </c>
      <c r="F4576">
        <v>3.6999999999999998E-2</v>
      </c>
      <c r="G4576">
        <v>0.14000000000000001</v>
      </c>
      <c r="H4576" s="1" t="str">
        <f>HYPERLINK("http://www.weizmann.ac.il/complex/compphys/software/geview/data/figures/209683_at.png","Figure")</f>
        <v>Figure</v>
      </c>
      <c r="I4576">
        <v>0.47099999999999997</v>
      </c>
      <c r="J4576">
        <v>0.08</v>
      </c>
      <c r="K4576">
        <v>0.47699999999999998</v>
      </c>
      <c r="L4576">
        <v>4.7E-2</v>
      </c>
      <c r="M4576">
        <v>1.01</v>
      </c>
      <c r="N4576">
        <v>1</v>
      </c>
    </row>
    <row r="4577" spans="1:14" x14ac:dyDescent="0.25">
      <c r="A4577" t="s">
        <v>8315</v>
      </c>
      <c r="B4577" t="s">
        <v>8316</v>
      </c>
      <c r="C4577" s="1" t="str">
        <f>HYPERLINK("http://www.genecards.org/cgi-bin/carddisp.pl?gene=MLLT11","GeneCards")</f>
        <v>GeneCards</v>
      </c>
      <c r="D4577" s="1" t="str">
        <f>HYPERLINK("http://genome-euro.ucsc.edu/cgi-bin/hgTracks?position=211071_s_at","UCSC")</f>
        <v>UCSC</v>
      </c>
      <c r="E4577" s="1" t="str">
        <f>HYPERLINK("http://www.ncbi.nlm.nih.gov/gene/?term=MLLT11","NCBI")</f>
        <v>NCBI</v>
      </c>
      <c r="F4577">
        <v>3.6999999999999998E-2</v>
      </c>
      <c r="G4577">
        <v>0.14000000000000001</v>
      </c>
      <c r="H4577" s="1" t="str">
        <f>HYPERLINK("http://www.weizmann.ac.il/complex/compphys/software/geview/data/figures/211071_s_at.png","Figure")</f>
        <v>Figure</v>
      </c>
      <c r="I4577">
        <v>1.32</v>
      </c>
      <c r="J4577">
        <v>0.42</v>
      </c>
      <c r="K4577">
        <v>1.73</v>
      </c>
      <c r="L4577">
        <v>0.03</v>
      </c>
      <c r="M4577">
        <v>1.31</v>
      </c>
      <c r="N4577">
        <v>0.4</v>
      </c>
    </row>
    <row r="4578" spans="1:14" x14ac:dyDescent="0.25">
      <c r="A4578" t="s">
        <v>8317</v>
      </c>
      <c r="B4578" t="s">
        <v>8318</v>
      </c>
      <c r="C4578" s="1" t="str">
        <f>HYPERLINK("http://www.genecards.org/cgi-bin/carddisp.pl?gene=AMD1","GeneCards")</f>
        <v>GeneCards</v>
      </c>
      <c r="D4578" s="1" t="str">
        <f>HYPERLINK("http://genome-euro.ucsc.edu/cgi-bin/hgTracks?position=201197_at","UCSC")</f>
        <v>UCSC</v>
      </c>
      <c r="E4578" s="1" t="str">
        <f>HYPERLINK("http://www.ncbi.nlm.nih.gov/gene/?term=AMD1","NCBI")</f>
        <v>NCBI</v>
      </c>
      <c r="F4578">
        <v>3.6999999999999998E-2</v>
      </c>
      <c r="G4578">
        <v>0.14000000000000001</v>
      </c>
      <c r="H4578" s="1" t="str">
        <f>HYPERLINK("http://www.weizmann.ac.il/complex/compphys/software/geview/data/figures/201197_at.png","Figure")</f>
        <v>Figure</v>
      </c>
      <c r="I4578">
        <v>0.57199999999999995</v>
      </c>
      <c r="J4578">
        <v>0.17</v>
      </c>
      <c r="K4578">
        <v>0.48199999999999998</v>
      </c>
      <c r="L4578">
        <v>3.3000000000000002E-2</v>
      </c>
      <c r="M4578">
        <v>0.84299999999999997</v>
      </c>
      <c r="N4578">
        <v>0.81</v>
      </c>
    </row>
    <row r="4579" spans="1:14" x14ac:dyDescent="0.25">
      <c r="A4579" t="s">
        <v>8319</v>
      </c>
      <c r="B4579" t="s">
        <v>8320</v>
      </c>
      <c r="C4579" s="1" t="str">
        <f>HYPERLINK("http://www.genecards.org/cgi-bin/carddisp.pl?gene=QSK","GeneCards")</f>
        <v>GeneCards</v>
      </c>
      <c r="D4579" s="1" t="str">
        <f>HYPERLINK("http://genome-euro.ucsc.edu/cgi-bin/hgTracks?position=204155_s_at","UCSC")</f>
        <v>UCSC</v>
      </c>
      <c r="E4579" s="1" t="str">
        <f>HYPERLINK("http://www.ncbi.nlm.nih.gov/gene/?term=QSK","NCBI")</f>
        <v>NCBI</v>
      </c>
      <c r="F4579">
        <v>3.6999999999999998E-2</v>
      </c>
      <c r="G4579">
        <v>0.14000000000000001</v>
      </c>
      <c r="H4579" s="1" t="str">
        <f>HYPERLINK("http://www.weizmann.ac.il/complex/compphys/software/geview/data/figures/204155_s_at.png","Figure")</f>
        <v>Figure</v>
      </c>
      <c r="I4579">
        <v>1.45</v>
      </c>
      <c r="J4579">
        <v>3.7999999999999999E-2</v>
      </c>
      <c r="K4579">
        <v>1.28</v>
      </c>
      <c r="L4579">
        <v>0.11</v>
      </c>
      <c r="M4579">
        <v>0.88800000000000001</v>
      </c>
      <c r="N4579">
        <v>0.61</v>
      </c>
    </row>
    <row r="4580" spans="1:14" x14ac:dyDescent="0.25">
      <c r="A4580" t="s">
        <v>8321</v>
      </c>
      <c r="B4580" t="s">
        <v>8322</v>
      </c>
      <c r="C4580" s="1" t="str">
        <f>HYPERLINK("http://www.genecards.org/cgi-bin/carddisp.pl?gene=RABL4","GeneCards")</f>
        <v>GeneCards</v>
      </c>
      <c r="D4580" s="1" t="str">
        <f>HYPERLINK("http://genome-euro.ucsc.edu/cgi-bin/hgTracks?position=205037_at","UCSC")</f>
        <v>UCSC</v>
      </c>
      <c r="E4580" s="1" t="str">
        <f>HYPERLINK("http://www.ncbi.nlm.nih.gov/gene/?term=RABL4","NCBI")</f>
        <v>NCBI</v>
      </c>
      <c r="F4580">
        <v>3.6999999999999998E-2</v>
      </c>
      <c r="G4580">
        <v>0.14000000000000001</v>
      </c>
      <c r="H4580" s="1" t="str">
        <f>HYPERLINK("http://www.weizmann.ac.il/complex/compphys/software/geview/data/figures/205037_at.png","Figure")</f>
        <v>Figure</v>
      </c>
      <c r="I4580">
        <v>0.96299999999999997</v>
      </c>
      <c r="J4580">
        <v>0.97</v>
      </c>
      <c r="K4580">
        <v>1.38</v>
      </c>
      <c r="L4580">
        <v>7.9000000000000001E-2</v>
      </c>
      <c r="M4580">
        <v>1.43</v>
      </c>
      <c r="N4580">
        <v>6.5000000000000002E-2</v>
      </c>
    </row>
    <row r="4581" spans="1:14" x14ac:dyDescent="0.25">
      <c r="A4581" t="s">
        <v>8323</v>
      </c>
      <c r="B4581" t="s">
        <v>8324</v>
      </c>
      <c r="C4581" s="1" t="str">
        <f>HYPERLINK("http://www.genecards.org/cgi-bin/carddisp.pl?gene=EDA","GeneCards")</f>
        <v>GeneCards</v>
      </c>
      <c r="D4581" s="1" t="str">
        <f>HYPERLINK("http://genome-euro.ucsc.edu/cgi-bin/hgTracks?position=206217_at","UCSC")</f>
        <v>UCSC</v>
      </c>
      <c r="E4581" s="1" t="str">
        <f>HYPERLINK("http://www.ncbi.nlm.nih.gov/gene/?term=EDA","NCBI")</f>
        <v>NCBI</v>
      </c>
      <c r="F4581">
        <v>3.6999999999999998E-2</v>
      </c>
      <c r="G4581">
        <v>0.14000000000000001</v>
      </c>
      <c r="H4581" s="1" t="str">
        <f>HYPERLINK("http://www.weizmann.ac.il/complex/compphys/software/geview/data/figures/206217_at.png","Figure")</f>
        <v>Figure</v>
      </c>
      <c r="I4581">
        <v>1.32</v>
      </c>
      <c r="J4581">
        <v>3.3000000000000002E-2</v>
      </c>
      <c r="K4581">
        <v>1.0900000000000001</v>
      </c>
      <c r="L4581">
        <v>0.59</v>
      </c>
      <c r="M4581">
        <v>0.82299999999999995</v>
      </c>
      <c r="N4581">
        <v>0.12</v>
      </c>
    </row>
    <row r="4582" spans="1:14" x14ac:dyDescent="0.25">
      <c r="A4582" t="s">
        <v>8325</v>
      </c>
      <c r="B4582" t="s">
        <v>8326</v>
      </c>
      <c r="C4582" s="1" t="str">
        <f>HYPERLINK("http://www.genecards.org/cgi-bin/carddisp.pl?gene=CD19","GeneCards")</f>
        <v>GeneCards</v>
      </c>
      <c r="D4582" s="1" t="str">
        <f>HYPERLINK("http://genome-euro.ucsc.edu/cgi-bin/hgTracks?position=206398_s_at","UCSC")</f>
        <v>UCSC</v>
      </c>
      <c r="E4582" s="1" t="str">
        <f>HYPERLINK("http://www.ncbi.nlm.nih.gov/gene/?term=CD19","NCBI")</f>
        <v>NCBI</v>
      </c>
      <c r="F4582">
        <v>3.6999999999999998E-2</v>
      </c>
      <c r="G4582">
        <v>0.14000000000000001</v>
      </c>
      <c r="H4582" s="1" t="str">
        <f>HYPERLINK("http://www.weizmann.ac.il/complex/compphys/software/geview/data/figures/206398_s_at.png","Figure")</f>
        <v>Figure</v>
      </c>
      <c r="I4582">
        <v>2.5299999999999998</v>
      </c>
      <c r="J4582">
        <v>5.0999999999999997E-2</v>
      </c>
      <c r="K4582">
        <v>2.12</v>
      </c>
      <c r="L4582">
        <v>7.0999999999999994E-2</v>
      </c>
      <c r="M4582">
        <v>0.83899999999999997</v>
      </c>
      <c r="N4582">
        <v>0.86</v>
      </c>
    </row>
    <row r="4583" spans="1:14" x14ac:dyDescent="0.25">
      <c r="A4583" t="s">
        <v>8327</v>
      </c>
      <c r="B4583" t="s">
        <v>8104</v>
      </c>
      <c r="C4583" s="1" t="str">
        <f>HYPERLINK("http://www.genecards.org/cgi-bin/carddisp.pl?gene=B4GALT1","GeneCards")</f>
        <v>GeneCards</v>
      </c>
      <c r="D4583" s="1" t="str">
        <f>HYPERLINK("http://genome-euro.ucsc.edu/cgi-bin/hgTracks?position=211631_x_at","UCSC")</f>
        <v>UCSC</v>
      </c>
      <c r="E4583" s="1" t="str">
        <f>HYPERLINK("http://www.ncbi.nlm.nih.gov/gene/?term=B4GALT1","NCBI")</f>
        <v>NCBI</v>
      </c>
      <c r="F4583">
        <v>3.6999999999999998E-2</v>
      </c>
      <c r="G4583">
        <v>0.14000000000000001</v>
      </c>
      <c r="H4583" s="1" t="str">
        <f>HYPERLINK("http://www.weizmann.ac.il/complex/compphys/software/geview/data/figures/211631_x_at.png","Figure")</f>
        <v>Figure</v>
      </c>
      <c r="I4583">
        <v>1.24</v>
      </c>
      <c r="J4583">
        <v>5.2999999999999999E-2</v>
      </c>
      <c r="K4583">
        <v>1.01</v>
      </c>
      <c r="L4583">
        <v>0.98</v>
      </c>
      <c r="M4583">
        <v>0.81699999999999995</v>
      </c>
      <c r="N4583">
        <v>5.2999999999999999E-2</v>
      </c>
    </row>
    <row r="4584" spans="1:14" x14ac:dyDescent="0.25">
      <c r="A4584" t="s">
        <v>8328</v>
      </c>
      <c r="B4584" t="s">
        <v>8329</v>
      </c>
      <c r="C4584" s="1" t="str">
        <f>HYPERLINK("http://www.genecards.org/cgi-bin/carddisp.pl?gene=CHP","GeneCards")</f>
        <v>GeneCards</v>
      </c>
      <c r="D4584" s="1" t="str">
        <f>HYPERLINK("http://genome-euro.ucsc.edu/cgi-bin/hgTracks?position=214665_s_at","UCSC")</f>
        <v>UCSC</v>
      </c>
      <c r="E4584" s="1" t="str">
        <f>HYPERLINK("http://www.ncbi.nlm.nih.gov/gene/?term=CHP","NCBI")</f>
        <v>NCBI</v>
      </c>
      <c r="F4584">
        <v>3.6999999999999998E-2</v>
      </c>
      <c r="G4584">
        <v>0.14000000000000001</v>
      </c>
      <c r="H4584" s="1" t="str">
        <f>HYPERLINK("http://www.weizmann.ac.il/complex/compphys/software/geview/data/figures/214665_s_at.png","Figure")</f>
        <v>Figure</v>
      </c>
      <c r="I4584">
        <v>1.5</v>
      </c>
      <c r="J4584">
        <v>5.8000000000000003E-2</v>
      </c>
      <c r="K4584">
        <v>1.42</v>
      </c>
      <c r="L4584">
        <v>6.2E-2</v>
      </c>
      <c r="M4584">
        <v>0.94499999999999995</v>
      </c>
      <c r="N4584">
        <v>0.92</v>
      </c>
    </row>
    <row r="4585" spans="1:14" x14ac:dyDescent="0.25">
      <c r="A4585" t="s">
        <v>8330</v>
      </c>
      <c r="B4585" t="s">
        <v>8331</v>
      </c>
      <c r="C4585" s="1" t="str">
        <f>HYPERLINK("http://www.genecards.org/cgi-bin/carddisp.pl?gene=C18orf22","GeneCards")</f>
        <v>GeneCards</v>
      </c>
      <c r="D4585" s="1" t="str">
        <f>HYPERLINK("http://genome-euro.ucsc.edu/cgi-bin/hgTracks?position=219419_at","UCSC")</f>
        <v>UCSC</v>
      </c>
      <c r="E4585" s="1" t="str">
        <f>HYPERLINK("http://www.ncbi.nlm.nih.gov/gene/?term=C18orf22","NCBI")</f>
        <v>NCBI</v>
      </c>
      <c r="F4585">
        <v>3.6999999999999998E-2</v>
      </c>
      <c r="G4585">
        <v>0.14000000000000001</v>
      </c>
      <c r="H4585" s="1" t="str">
        <f>HYPERLINK("http://www.weizmann.ac.il/complex/compphys/software/geview/data/figures/219419_at.png","Figure")</f>
        <v>Figure</v>
      </c>
      <c r="I4585">
        <v>0.75800000000000001</v>
      </c>
      <c r="J4585">
        <v>3.1E-2</v>
      </c>
      <c r="K4585">
        <v>0.86199999999999999</v>
      </c>
      <c r="L4585">
        <v>0.21</v>
      </c>
      <c r="M4585">
        <v>1.1399999999999999</v>
      </c>
      <c r="N4585">
        <v>0.35</v>
      </c>
    </row>
    <row r="4586" spans="1:14" x14ac:dyDescent="0.25">
      <c r="A4586" t="s">
        <v>8332</v>
      </c>
      <c r="B4586" t="s">
        <v>8333</v>
      </c>
      <c r="C4586" s="1" t="str">
        <f>HYPERLINK("http://www.genecards.org/cgi-bin/carddisp.pl?gene=PRG3","GeneCards")</f>
        <v>GeneCards</v>
      </c>
      <c r="D4586" s="1" t="str">
        <f>HYPERLINK("http://genome-euro.ucsc.edu/cgi-bin/hgTracks?position=220811_at","UCSC")</f>
        <v>UCSC</v>
      </c>
      <c r="E4586" s="1" t="str">
        <f>HYPERLINK("http://www.ncbi.nlm.nih.gov/gene/?term=PRG3","NCBI")</f>
        <v>NCBI</v>
      </c>
      <c r="F4586">
        <v>3.6999999999999998E-2</v>
      </c>
      <c r="G4586">
        <v>0.14000000000000001</v>
      </c>
      <c r="H4586" s="1" t="str">
        <f>HYPERLINK("http://www.weizmann.ac.il/complex/compphys/software/geview/data/figures/220811_at.png","Figure")</f>
        <v>Figure</v>
      </c>
      <c r="I4586">
        <v>1.28</v>
      </c>
      <c r="J4586">
        <v>3.1E-2</v>
      </c>
      <c r="K4586">
        <v>1.0900000000000001</v>
      </c>
      <c r="L4586">
        <v>0.48</v>
      </c>
      <c r="M4586">
        <v>0.85299999999999998</v>
      </c>
      <c r="N4586">
        <v>0.15</v>
      </c>
    </row>
    <row r="4587" spans="1:14" x14ac:dyDescent="0.25">
      <c r="A4587" t="s">
        <v>8334</v>
      </c>
      <c r="B4587" t="s">
        <v>6170</v>
      </c>
      <c r="C4587" s="1" t="str">
        <f>HYPERLINK("http://www.genecards.org/cgi-bin/carddisp.pl?gene=GMEB2","GeneCards")</f>
        <v>GeneCards</v>
      </c>
      <c r="D4587" s="1" t="str">
        <f>HYPERLINK("http://genome-euro.ucsc.edu/cgi-bin/hgTracks?position=222251_s_at","UCSC")</f>
        <v>UCSC</v>
      </c>
      <c r="E4587" s="1" t="str">
        <f>HYPERLINK("http://www.ncbi.nlm.nih.gov/gene/?term=GMEB2","NCBI")</f>
        <v>NCBI</v>
      </c>
      <c r="F4587">
        <v>3.6999999999999998E-2</v>
      </c>
      <c r="G4587">
        <v>0.14000000000000001</v>
      </c>
      <c r="H4587" s="1" t="str">
        <f>HYPERLINK("http://www.weizmann.ac.il/complex/compphys/software/geview/data/figures/222251_s_at.png","Figure")</f>
        <v>Figure</v>
      </c>
      <c r="I4587">
        <v>1.57</v>
      </c>
      <c r="J4587">
        <v>3.2000000000000001E-2</v>
      </c>
      <c r="K4587">
        <v>1.1499999999999999</v>
      </c>
      <c r="L4587">
        <v>0.56999999999999995</v>
      </c>
      <c r="M4587">
        <v>0.73299999999999998</v>
      </c>
      <c r="N4587">
        <v>0.12</v>
      </c>
    </row>
    <row r="4588" spans="1:14" x14ac:dyDescent="0.25">
      <c r="A4588" t="s">
        <v>8335</v>
      </c>
      <c r="B4588" t="s">
        <v>8336</v>
      </c>
      <c r="C4588" s="1" t="str">
        <f>HYPERLINK("http://www.genecards.org/cgi-bin/carddisp.pl?gene=OR2A20P /// OR2A5 /// OR2A9P","GeneCards")</f>
        <v>GeneCards</v>
      </c>
      <c r="D4588" s="1" t="str">
        <f>HYPERLINK("http://genome-euro.ucsc.edu/cgi-bin/hgTracks?position=222290_at","UCSC")</f>
        <v>UCSC</v>
      </c>
      <c r="E4588" s="1" t="str">
        <f>HYPERLINK("http://www.ncbi.nlm.nih.gov/gene/?term=OR2A20P /// OR2A5 /// OR2A9P","NCBI")</f>
        <v>NCBI</v>
      </c>
      <c r="F4588">
        <v>3.6999999999999998E-2</v>
      </c>
      <c r="G4588">
        <v>0.14000000000000001</v>
      </c>
      <c r="H4588" s="1" t="str">
        <f>HYPERLINK("http://www.weizmann.ac.il/complex/compphys/software/geview/data/figures/222290_at.png","Figure")</f>
        <v>Figure</v>
      </c>
      <c r="I4588">
        <v>0.749</v>
      </c>
      <c r="J4588">
        <v>0.12</v>
      </c>
      <c r="K4588">
        <v>1.08</v>
      </c>
      <c r="L4588">
        <v>0.81</v>
      </c>
      <c r="M4588">
        <v>1.44</v>
      </c>
      <c r="N4588">
        <v>3.3000000000000002E-2</v>
      </c>
    </row>
    <row r="4589" spans="1:14" x14ac:dyDescent="0.25">
      <c r="A4589" t="s">
        <v>8337</v>
      </c>
      <c r="B4589" t="s">
        <v>8338</v>
      </c>
      <c r="C4589" s="1" t="str">
        <f>HYPERLINK("http://www.genecards.org/cgi-bin/carddisp.pl?gene=AASDHPPT","GeneCards")</f>
        <v>GeneCards</v>
      </c>
      <c r="D4589" s="1" t="str">
        <f>HYPERLINK("http://genome-euro.ucsc.edu/cgi-bin/hgTracks?position=202170_s_at","UCSC")</f>
        <v>UCSC</v>
      </c>
      <c r="E4589" s="1" t="str">
        <f>HYPERLINK("http://www.ncbi.nlm.nih.gov/gene/?term=AASDHPPT","NCBI")</f>
        <v>NCBI</v>
      </c>
      <c r="F4589">
        <v>3.6999999999999998E-2</v>
      </c>
      <c r="G4589">
        <v>0.14000000000000001</v>
      </c>
      <c r="H4589" s="1" t="str">
        <f>HYPERLINK("http://www.weizmann.ac.il/complex/compphys/software/geview/data/figures/202170_s_at.png","Figure")</f>
        <v>Figure</v>
      </c>
      <c r="I4589">
        <v>0.876</v>
      </c>
      <c r="J4589">
        <v>0.76</v>
      </c>
      <c r="K4589">
        <v>0.63400000000000001</v>
      </c>
      <c r="L4589">
        <v>3.6999999999999998E-2</v>
      </c>
      <c r="M4589">
        <v>0.72399999999999998</v>
      </c>
      <c r="N4589">
        <v>0.19</v>
      </c>
    </row>
    <row r="4590" spans="1:14" x14ac:dyDescent="0.25">
      <c r="A4590" t="s">
        <v>8339</v>
      </c>
      <c r="B4590" t="s">
        <v>745</v>
      </c>
      <c r="C4590" s="1" t="str">
        <f>HYPERLINK("http://www.genecards.org/cgi-bin/carddisp.pl?gene=NTRK3","GeneCards")</f>
        <v>GeneCards</v>
      </c>
      <c r="D4590" s="1" t="str">
        <f>HYPERLINK("http://genome-euro.ucsc.edu/cgi-bin/hgTracks?position=215115_x_at","UCSC")</f>
        <v>UCSC</v>
      </c>
      <c r="E4590" s="1" t="str">
        <f>HYPERLINK("http://www.ncbi.nlm.nih.gov/gene/?term=NTRK3","NCBI")</f>
        <v>NCBI</v>
      </c>
      <c r="F4590">
        <v>3.6999999999999998E-2</v>
      </c>
      <c r="G4590">
        <v>0.14000000000000001</v>
      </c>
      <c r="H4590" s="1" t="str">
        <f>HYPERLINK("http://www.weizmann.ac.il/complex/compphys/software/geview/data/figures/215115_x_at.png","Figure")</f>
        <v>Figure</v>
      </c>
      <c r="I4590">
        <v>1.36</v>
      </c>
      <c r="J4590">
        <v>3.3000000000000002E-2</v>
      </c>
      <c r="K4590">
        <v>1.2</v>
      </c>
      <c r="L4590">
        <v>0.17</v>
      </c>
      <c r="M4590">
        <v>0.88</v>
      </c>
      <c r="N4590">
        <v>0.43</v>
      </c>
    </row>
    <row r="4591" spans="1:14" x14ac:dyDescent="0.25">
      <c r="A4591" t="s">
        <v>8340</v>
      </c>
      <c r="B4591" t="s">
        <v>1710</v>
      </c>
      <c r="C4591" s="1" t="str">
        <f>HYPERLINK("http://www.genecards.org/cgi-bin/carddisp.pl?gene=HNRNPC","GeneCards")</f>
        <v>GeneCards</v>
      </c>
      <c r="D4591" s="1" t="str">
        <f>HYPERLINK("http://genome-euro.ucsc.edu/cgi-bin/hgTracks?position=200014_s_at","UCSC")</f>
        <v>UCSC</v>
      </c>
      <c r="E4591" s="1" t="str">
        <f>HYPERLINK("http://www.ncbi.nlm.nih.gov/gene/?term=HNRNPC","NCBI")</f>
        <v>NCBI</v>
      </c>
      <c r="F4591">
        <v>3.7999999999999999E-2</v>
      </c>
      <c r="G4591">
        <v>0.14000000000000001</v>
      </c>
      <c r="H4591" s="1" t="str">
        <f>HYPERLINK("http://www.weizmann.ac.il/complex/compphys/software/geview/data/figures/200014_s_at.png","Figure")</f>
        <v>Figure</v>
      </c>
      <c r="I4591">
        <v>0.97899999999999998</v>
      </c>
      <c r="J4591">
        <v>0.99</v>
      </c>
      <c r="K4591">
        <v>1.32</v>
      </c>
      <c r="L4591">
        <v>7.2999999999999995E-2</v>
      </c>
      <c r="M4591">
        <v>1.35</v>
      </c>
      <c r="N4591">
        <v>7.0999999999999994E-2</v>
      </c>
    </row>
    <row r="4592" spans="1:14" x14ac:dyDescent="0.25">
      <c r="A4592" t="s">
        <v>8341</v>
      </c>
      <c r="B4592" t="s">
        <v>506</v>
      </c>
      <c r="C4592" s="1" t="str">
        <f>HYPERLINK("http://www.genecards.org/cgi-bin/carddisp.pl?gene=CREBL2","GeneCards")</f>
        <v>GeneCards</v>
      </c>
      <c r="D4592" s="1" t="str">
        <f>HYPERLINK("http://genome-euro.ucsc.edu/cgi-bin/hgTracks?position=201990_s_at","UCSC")</f>
        <v>UCSC</v>
      </c>
      <c r="E4592" s="1" t="str">
        <f>HYPERLINK("http://www.ncbi.nlm.nih.gov/gene/?term=CREBL2","NCBI")</f>
        <v>NCBI</v>
      </c>
      <c r="F4592">
        <v>3.7999999999999999E-2</v>
      </c>
      <c r="G4592">
        <v>0.14000000000000001</v>
      </c>
      <c r="H4592" s="1" t="str">
        <f>HYPERLINK("http://www.weizmann.ac.il/complex/compphys/software/geview/data/figures/201990_s_at.png","Figure")</f>
        <v>Figure</v>
      </c>
      <c r="I4592">
        <v>0.78600000000000003</v>
      </c>
      <c r="J4592">
        <v>6.3E-2</v>
      </c>
      <c r="K4592">
        <v>1</v>
      </c>
      <c r="L4592">
        <v>1</v>
      </c>
      <c r="M4592">
        <v>1.27</v>
      </c>
      <c r="N4592">
        <v>4.5999999999999999E-2</v>
      </c>
    </row>
    <row r="4593" spans="1:14" x14ac:dyDescent="0.25">
      <c r="A4593" t="s">
        <v>8342</v>
      </c>
      <c r="B4593" t="s">
        <v>8343</v>
      </c>
      <c r="C4593" s="1" t="str">
        <f>HYPERLINK("http://www.genecards.org/cgi-bin/carddisp.pl?gene=KLF10","GeneCards")</f>
        <v>GeneCards</v>
      </c>
      <c r="D4593" s="1" t="str">
        <f>HYPERLINK("http://genome-euro.ucsc.edu/cgi-bin/hgTracks?position=202393_s_at","UCSC")</f>
        <v>UCSC</v>
      </c>
      <c r="E4593" s="1" t="str">
        <f>HYPERLINK("http://www.ncbi.nlm.nih.gov/gene/?term=KLF10","NCBI")</f>
        <v>NCBI</v>
      </c>
      <c r="F4593">
        <v>3.7999999999999999E-2</v>
      </c>
      <c r="G4593">
        <v>0.14000000000000001</v>
      </c>
      <c r="H4593" s="1" t="str">
        <f>HYPERLINK("http://www.weizmann.ac.il/complex/compphys/software/geview/data/figures/202393_s_at.png","Figure")</f>
        <v>Figure</v>
      </c>
      <c r="I4593">
        <v>0.28499999999999998</v>
      </c>
      <c r="J4593">
        <v>9.4E-2</v>
      </c>
      <c r="K4593">
        <v>0.26900000000000002</v>
      </c>
      <c r="L4593">
        <v>4.2000000000000003E-2</v>
      </c>
      <c r="M4593">
        <v>0.94699999999999995</v>
      </c>
      <c r="N4593">
        <v>0.99</v>
      </c>
    </row>
    <row r="4594" spans="1:14" x14ac:dyDescent="0.25">
      <c r="A4594" t="s">
        <v>8344</v>
      </c>
      <c r="B4594" t="s">
        <v>8345</v>
      </c>
      <c r="C4594" s="1" t="str">
        <f>HYPERLINK("http://www.genecards.org/cgi-bin/carddisp.pl?gene=HMGCL","GeneCards")</f>
        <v>GeneCards</v>
      </c>
      <c r="D4594" s="1" t="str">
        <f>HYPERLINK("http://genome-euro.ucsc.edu/cgi-bin/hgTracks?position=202772_at","UCSC")</f>
        <v>UCSC</v>
      </c>
      <c r="E4594" s="1" t="str">
        <f>HYPERLINK("http://www.ncbi.nlm.nih.gov/gene/?term=HMGCL","NCBI")</f>
        <v>NCBI</v>
      </c>
      <c r="F4594">
        <v>3.7999999999999999E-2</v>
      </c>
      <c r="G4594">
        <v>0.14000000000000001</v>
      </c>
      <c r="H4594" s="1" t="str">
        <f>HYPERLINK("http://www.weizmann.ac.il/complex/compphys/software/geview/data/figures/202772_at.png","Figure")</f>
        <v>Figure</v>
      </c>
      <c r="I4594">
        <v>1.18</v>
      </c>
      <c r="J4594">
        <v>3.9E-2</v>
      </c>
      <c r="K4594">
        <v>1.03</v>
      </c>
      <c r="L4594">
        <v>0.8</v>
      </c>
      <c r="M4594">
        <v>0.874</v>
      </c>
      <c r="N4594">
        <v>8.1000000000000003E-2</v>
      </c>
    </row>
    <row r="4595" spans="1:14" x14ac:dyDescent="0.25">
      <c r="A4595" t="s">
        <v>8346</v>
      </c>
      <c r="B4595" t="s">
        <v>8347</v>
      </c>
      <c r="C4595" s="1" t="str">
        <f>HYPERLINK("http://www.genecards.org/cgi-bin/carddisp.pl?gene=GLP1R","GeneCards")</f>
        <v>GeneCards</v>
      </c>
      <c r="D4595" s="1" t="str">
        <f>HYPERLINK("http://genome-euro.ucsc.edu/cgi-bin/hgTracks?position=208390_s_at","UCSC")</f>
        <v>UCSC</v>
      </c>
      <c r="E4595" s="1" t="str">
        <f>HYPERLINK("http://www.ncbi.nlm.nih.gov/gene/?term=GLP1R","NCBI")</f>
        <v>NCBI</v>
      </c>
      <c r="F4595">
        <v>3.7999999999999999E-2</v>
      </c>
      <c r="G4595">
        <v>0.14000000000000001</v>
      </c>
      <c r="H4595" s="1" t="str">
        <f>HYPERLINK("http://www.weizmann.ac.il/complex/compphys/software/geview/data/figures/208390_s_at.png","Figure")</f>
        <v>Figure</v>
      </c>
      <c r="I4595">
        <v>1.7</v>
      </c>
      <c r="J4595">
        <v>0.03</v>
      </c>
      <c r="K4595">
        <v>1.26</v>
      </c>
      <c r="L4595">
        <v>0.35</v>
      </c>
      <c r="M4595">
        <v>0.73699999999999999</v>
      </c>
      <c r="N4595">
        <v>0.21</v>
      </c>
    </row>
    <row r="4596" spans="1:14" x14ac:dyDescent="0.25">
      <c r="A4596" t="s">
        <v>8348</v>
      </c>
      <c r="B4596" t="s">
        <v>8322</v>
      </c>
      <c r="C4596" s="1" t="str">
        <f>HYPERLINK("http://www.genecards.org/cgi-bin/carddisp.pl?gene=RABL4","GeneCards")</f>
        <v>GeneCards</v>
      </c>
      <c r="D4596" s="1" t="str">
        <f>HYPERLINK("http://genome-euro.ucsc.edu/cgi-bin/hgTracks?position=213784_at","UCSC")</f>
        <v>UCSC</v>
      </c>
      <c r="E4596" s="1" t="str">
        <f>HYPERLINK("http://www.ncbi.nlm.nih.gov/gene/?term=RABL4","NCBI")</f>
        <v>NCBI</v>
      </c>
      <c r="F4596">
        <v>3.7999999999999999E-2</v>
      </c>
      <c r="G4596">
        <v>0.14000000000000001</v>
      </c>
      <c r="H4596" s="1" t="str">
        <f>HYPERLINK("http://www.weizmann.ac.il/complex/compphys/software/geview/data/figures/213784_at.png","Figure")</f>
        <v>Figure</v>
      </c>
      <c r="I4596">
        <v>1.08</v>
      </c>
      <c r="J4596">
        <v>0.7</v>
      </c>
      <c r="K4596">
        <v>1.26</v>
      </c>
      <c r="L4596">
        <v>3.5000000000000003E-2</v>
      </c>
      <c r="M4596">
        <v>1.17</v>
      </c>
      <c r="N4596">
        <v>0.22</v>
      </c>
    </row>
    <row r="4597" spans="1:14" x14ac:dyDescent="0.25">
      <c r="A4597" t="s">
        <v>8349</v>
      </c>
      <c r="B4597" t="s">
        <v>8350</v>
      </c>
      <c r="C4597" s="1" t="str">
        <f>HYPERLINK("http://www.genecards.org/cgi-bin/carddisp.pl?gene=PTPRA","GeneCards")</f>
        <v>GeneCards</v>
      </c>
      <c r="D4597" s="1" t="str">
        <f>HYPERLINK("http://genome-euro.ucsc.edu/cgi-bin/hgTracks?position=213799_s_at","UCSC")</f>
        <v>UCSC</v>
      </c>
      <c r="E4597" s="1" t="str">
        <f>HYPERLINK("http://www.ncbi.nlm.nih.gov/gene/?term=PTPRA","NCBI")</f>
        <v>NCBI</v>
      </c>
      <c r="F4597">
        <v>3.6999999999999998E-2</v>
      </c>
      <c r="G4597">
        <v>0.14000000000000001</v>
      </c>
      <c r="H4597" s="1" t="str">
        <f>HYPERLINK("http://www.weizmann.ac.il/complex/compphys/software/geview/data/figures/213799_s_at.png","Figure")</f>
        <v>Figure</v>
      </c>
      <c r="I4597">
        <v>1.22</v>
      </c>
      <c r="J4597">
        <v>0.03</v>
      </c>
      <c r="K4597">
        <v>1.08</v>
      </c>
      <c r="L4597">
        <v>0.39</v>
      </c>
      <c r="M4597">
        <v>0.89</v>
      </c>
      <c r="N4597">
        <v>0.19</v>
      </c>
    </row>
    <row r="4598" spans="1:14" x14ac:dyDescent="0.25">
      <c r="A4598" t="s">
        <v>8351</v>
      </c>
      <c r="B4598" t="s">
        <v>8352</v>
      </c>
      <c r="C4598" s="1" t="str">
        <f>HYPERLINK("http://www.genecards.org/cgi-bin/carddisp.pl?gene=SLC25A32","GeneCards")</f>
        <v>GeneCards</v>
      </c>
      <c r="D4598" s="1" t="str">
        <f>HYPERLINK("http://genome-euro.ucsc.edu/cgi-bin/hgTracks?position=221020_s_at","UCSC")</f>
        <v>UCSC</v>
      </c>
      <c r="E4598" s="1" t="str">
        <f>HYPERLINK("http://www.ncbi.nlm.nih.gov/gene/?term=SLC25A32","NCBI")</f>
        <v>NCBI</v>
      </c>
      <c r="F4598">
        <v>3.7999999999999999E-2</v>
      </c>
      <c r="G4598">
        <v>0.14000000000000001</v>
      </c>
      <c r="H4598" s="1" t="str">
        <f>HYPERLINK("http://www.weizmann.ac.il/complex/compphys/software/geview/data/figures/221020_s_at.png","Figure")</f>
        <v>Figure</v>
      </c>
      <c r="I4598">
        <v>0.433</v>
      </c>
      <c r="J4598">
        <v>0.05</v>
      </c>
      <c r="K4598">
        <v>0.51300000000000001</v>
      </c>
      <c r="L4598">
        <v>7.3999999999999996E-2</v>
      </c>
      <c r="M4598">
        <v>1.18</v>
      </c>
      <c r="N4598">
        <v>0.84</v>
      </c>
    </row>
    <row r="4599" spans="1:14" x14ac:dyDescent="0.25">
      <c r="A4599" t="s">
        <v>8353</v>
      </c>
      <c r="B4599" t="s">
        <v>8354</v>
      </c>
      <c r="C4599" s="1" t="str">
        <f>HYPERLINK("http://www.genecards.org/cgi-bin/carddisp.pl?gene=FBXL12","GeneCards")</f>
        <v>GeneCards</v>
      </c>
      <c r="D4599" s="1" t="str">
        <f>HYPERLINK("http://genome-euro.ucsc.edu/cgi-bin/hgTracks?position=220127_s_at","UCSC")</f>
        <v>UCSC</v>
      </c>
      <c r="E4599" s="1" t="str">
        <f>HYPERLINK("http://www.ncbi.nlm.nih.gov/gene/?term=FBXL12","NCBI")</f>
        <v>NCBI</v>
      </c>
      <c r="F4599">
        <v>3.7999999999999999E-2</v>
      </c>
      <c r="G4599">
        <v>0.14000000000000001</v>
      </c>
      <c r="H4599" s="1" t="str">
        <f>HYPERLINK("http://www.weizmann.ac.il/complex/compphys/software/geview/data/figures/220127_s_at.png","Figure")</f>
        <v>Figure</v>
      </c>
      <c r="I4599">
        <v>1.23</v>
      </c>
      <c r="J4599">
        <v>0.25</v>
      </c>
      <c r="K4599">
        <v>0.878</v>
      </c>
      <c r="L4599">
        <v>0.47</v>
      </c>
      <c r="M4599">
        <v>0.71399999999999997</v>
      </c>
      <c r="N4599">
        <v>0.03</v>
      </c>
    </row>
    <row r="4600" spans="1:14" x14ac:dyDescent="0.25">
      <c r="A4600" t="s">
        <v>8355</v>
      </c>
      <c r="B4600" t="s">
        <v>1314</v>
      </c>
      <c r="C4600" s="1" t="str">
        <f>HYPERLINK("http://www.genecards.org/cgi-bin/carddisp.pl?gene=AGFG1","GeneCards")</f>
        <v>GeneCards</v>
      </c>
      <c r="D4600" s="1" t="str">
        <f>HYPERLINK("http://genome-euro.ucsc.edu/cgi-bin/hgTracks?position=213926_s_at","UCSC")</f>
        <v>UCSC</v>
      </c>
      <c r="E4600" s="1" t="str">
        <f>HYPERLINK("http://www.ncbi.nlm.nih.gov/gene/?term=AGFG1","NCBI")</f>
        <v>NCBI</v>
      </c>
      <c r="F4600">
        <v>3.7999999999999999E-2</v>
      </c>
      <c r="G4600">
        <v>0.14000000000000001</v>
      </c>
      <c r="H4600" s="1" t="str">
        <f>HYPERLINK("http://www.weizmann.ac.il/complex/compphys/software/geview/data/figures/213926_s_at.png","Figure")</f>
        <v>Figure</v>
      </c>
      <c r="I4600">
        <v>1.01</v>
      </c>
      <c r="J4600">
        <v>1</v>
      </c>
      <c r="K4600">
        <v>0.61799999999999999</v>
      </c>
      <c r="L4600">
        <v>6.5000000000000002E-2</v>
      </c>
      <c r="M4600">
        <v>0.61199999999999999</v>
      </c>
      <c r="N4600">
        <v>0.08</v>
      </c>
    </row>
    <row r="4601" spans="1:14" x14ac:dyDescent="0.25">
      <c r="A4601" t="s">
        <v>8356</v>
      </c>
      <c r="B4601" t="s">
        <v>8357</v>
      </c>
      <c r="C4601" s="1" t="str">
        <f>HYPERLINK("http://www.genecards.org/cgi-bin/carddisp.pl?gene=MLPH","GeneCards")</f>
        <v>GeneCards</v>
      </c>
      <c r="D4601" s="1" t="str">
        <f>HYPERLINK("http://genome-euro.ucsc.edu/cgi-bin/hgTracks?position=218211_s_at","UCSC")</f>
        <v>UCSC</v>
      </c>
      <c r="E4601" s="1" t="str">
        <f>HYPERLINK("http://www.ncbi.nlm.nih.gov/gene/?term=MLPH","NCBI")</f>
        <v>NCBI</v>
      </c>
      <c r="F4601">
        <v>3.7999999999999999E-2</v>
      </c>
      <c r="G4601">
        <v>0.14000000000000001</v>
      </c>
      <c r="H4601" s="1" t="str">
        <f>HYPERLINK("http://www.weizmann.ac.il/complex/compphys/software/geview/data/figures/218211_s_at.png","Figure")</f>
        <v>Figure</v>
      </c>
      <c r="I4601">
        <v>1.31</v>
      </c>
      <c r="J4601">
        <v>0.03</v>
      </c>
      <c r="K4601">
        <v>1.1100000000000001</v>
      </c>
      <c r="L4601">
        <v>0.43</v>
      </c>
      <c r="M4601">
        <v>0.84799999999999998</v>
      </c>
      <c r="N4601">
        <v>0.17</v>
      </c>
    </row>
    <row r="4602" spans="1:14" x14ac:dyDescent="0.25">
      <c r="A4602" t="s">
        <v>8358</v>
      </c>
      <c r="B4602" t="s">
        <v>8359</v>
      </c>
      <c r="C4602" s="1" t="str">
        <f>HYPERLINK("http://www.genecards.org/cgi-bin/carddisp.pl?gene=DOK3","GeneCards")</f>
        <v>GeneCards</v>
      </c>
      <c r="D4602" s="1" t="str">
        <f>HYPERLINK("http://genome-euro.ucsc.edu/cgi-bin/hgTracks?position=220320_at","UCSC")</f>
        <v>UCSC</v>
      </c>
      <c r="E4602" s="1" t="str">
        <f>HYPERLINK("http://www.ncbi.nlm.nih.gov/gene/?term=DOK3","NCBI")</f>
        <v>NCBI</v>
      </c>
      <c r="F4602">
        <v>3.7999999999999999E-2</v>
      </c>
      <c r="G4602">
        <v>0.14000000000000001</v>
      </c>
      <c r="H4602" s="1" t="str">
        <f>HYPERLINK("http://www.weizmann.ac.il/complex/compphys/software/geview/data/figures/220320_at.png","Figure")</f>
        <v>Figure</v>
      </c>
      <c r="I4602">
        <v>1.1499999999999999</v>
      </c>
      <c r="J4602">
        <v>0.27</v>
      </c>
      <c r="K4602">
        <v>1.24</v>
      </c>
      <c r="L4602">
        <v>0.03</v>
      </c>
      <c r="M4602">
        <v>1.08</v>
      </c>
      <c r="N4602">
        <v>0.59</v>
      </c>
    </row>
    <row r="4603" spans="1:14" x14ac:dyDescent="0.25">
      <c r="A4603" t="s">
        <v>8360</v>
      </c>
      <c r="B4603" t="s">
        <v>8361</v>
      </c>
      <c r="C4603" s="1" t="str">
        <f>HYPERLINK("http://www.genecards.org/cgi-bin/carddisp.pl?gene=RHBDF2","GeneCards")</f>
        <v>GeneCards</v>
      </c>
      <c r="D4603" s="1" t="str">
        <f>HYPERLINK("http://genome-euro.ucsc.edu/cgi-bin/hgTracks?position=219202_at","UCSC")</f>
        <v>UCSC</v>
      </c>
      <c r="E4603" s="1" t="str">
        <f>HYPERLINK("http://www.ncbi.nlm.nih.gov/gene/?term=RHBDF2","NCBI")</f>
        <v>NCBI</v>
      </c>
      <c r="F4603">
        <v>3.7999999999999999E-2</v>
      </c>
      <c r="G4603">
        <v>0.14000000000000001</v>
      </c>
      <c r="H4603" s="1" t="str">
        <f>HYPERLINK("http://www.weizmann.ac.il/complex/compphys/software/geview/data/figures/219202_at.png","Figure")</f>
        <v>Figure</v>
      </c>
      <c r="I4603">
        <v>0.71699999999999997</v>
      </c>
      <c r="J4603">
        <v>0.28999999999999998</v>
      </c>
      <c r="K4603">
        <v>1.27</v>
      </c>
      <c r="L4603">
        <v>0.41</v>
      </c>
      <c r="M4603">
        <v>1.78</v>
      </c>
      <c r="N4603">
        <v>0.03</v>
      </c>
    </row>
    <row r="4604" spans="1:14" x14ac:dyDescent="0.25">
      <c r="A4604" t="s">
        <v>8362</v>
      </c>
      <c r="B4604" t="s">
        <v>353</v>
      </c>
      <c r="C4604" s="1" t="str">
        <f>HYPERLINK("http://www.genecards.org/cgi-bin/carddisp.pl?gene=UBE2J1","GeneCards")</f>
        <v>GeneCards</v>
      </c>
      <c r="D4604" s="1" t="str">
        <f>HYPERLINK("http://genome-euro.ucsc.edu/cgi-bin/hgTracks?position=217824_at","UCSC")</f>
        <v>UCSC</v>
      </c>
      <c r="E4604" s="1" t="str">
        <f>HYPERLINK("http://www.ncbi.nlm.nih.gov/gene/?term=UBE2J1","NCBI")</f>
        <v>NCBI</v>
      </c>
      <c r="F4604">
        <v>3.7999999999999999E-2</v>
      </c>
      <c r="G4604">
        <v>0.14000000000000001</v>
      </c>
      <c r="H4604" s="1" t="str">
        <f>HYPERLINK("http://www.weizmann.ac.il/complex/compphys/software/geview/data/figures/217824_at.png","Figure")</f>
        <v>Figure</v>
      </c>
      <c r="I4604">
        <v>0.48199999999999998</v>
      </c>
      <c r="J4604">
        <v>3.1E-2</v>
      </c>
      <c r="K4604">
        <v>0.77200000000000002</v>
      </c>
      <c r="L4604">
        <v>0.49</v>
      </c>
      <c r="M4604">
        <v>1.6</v>
      </c>
      <c r="N4604">
        <v>0.15</v>
      </c>
    </row>
    <row r="4605" spans="1:14" x14ac:dyDescent="0.25">
      <c r="A4605" t="s">
        <v>8363</v>
      </c>
      <c r="B4605" t="s">
        <v>8364</v>
      </c>
      <c r="C4605" s="1" t="str">
        <f>HYPERLINK("http://www.genecards.org/cgi-bin/carddisp.pl?gene=DHX15","GeneCards")</f>
        <v>GeneCards</v>
      </c>
      <c r="D4605" s="1" t="str">
        <f>HYPERLINK("http://genome-euro.ucsc.edu/cgi-bin/hgTracks?position=201385_at","UCSC")</f>
        <v>UCSC</v>
      </c>
      <c r="E4605" s="1" t="str">
        <f>HYPERLINK("http://www.ncbi.nlm.nih.gov/gene/?term=DHX15","NCBI")</f>
        <v>NCBI</v>
      </c>
      <c r="F4605">
        <v>3.7999999999999999E-2</v>
      </c>
      <c r="G4605">
        <v>0.14000000000000001</v>
      </c>
      <c r="H4605" s="1" t="str">
        <f>HYPERLINK("http://www.weizmann.ac.il/complex/compphys/software/geview/data/figures/201385_at.png","Figure")</f>
        <v>Figure</v>
      </c>
      <c r="I4605">
        <v>1.1299999999999999</v>
      </c>
      <c r="J4605">
        <v>0.81</v>
      </c>
      <c r="K4605">
        <v>0.69099999999999995</v>
      </c>
      <c r="L4605">
        <v>0.12</v>
      </c>
      <c r="M4605">
        <v>0.61</v>
      </c>
      <c r="N4605">
        <v>4.8000000000000001E-2</v>
      </c>
    </row>
    <row r="4606" spans="1:14" x14ac:dyDescent="0.25">
      <c r="A4606" t="s">
        <v>8365</v>
      </c>
      <c r="B4606" t="s">
        <v>8366</v>
      </c>
      <c r="C4606" s="1" t="str">
        <f>HYPERLINK("http://www.genecards.org/cgi-bin/carddisp.pl?gene=RTCD1","GeneCards")</f>
        <v>GeneCards</v>
      </c>
      <c r="D4606" s="1" t="str">
        <f>HYPERLINK("http://genome-euro.ucsc.edu/cgi-bin/hgTracks?position=203594_at","UCSC")</f>
        <v>UCSC</v>
      </c>
      <c r="E4606" s="1" t="str">
        <f>HYPERLINK("http://www.ncbi.nlm.nih.gov/gene/?term=RTCD1","NCBI")</f>
        <v>NCBI</v>
      </c>
      <c r="F4606">
        <v>3.7999999999999999E-2</v>
      </c>
      <c r="G4606">
        <v>0.14000000000000001</v>
      </c>
      <c r="H4606" s="1" t="str">
        <f>HYPERLINK("http://www.weizmann.ac.il/complex/compphys/software/geview/data/figures/203594_at.png","Figure")</f>
        <v>Figure</v>
      </c>
      <c r="I4606">
        <v>0.623</v>
      </c>
      <c r="J4606">
        <v>3.9E-2</v>
      </c>
      <c r="K4606">
        <v>0.90900000000000003</v>
      </c>
      <c r="L4606">
        <v>0.8</v>
      </c>
      <c r="M4606">
        <v>1.46</v>
      </c>
      <c r="N4606">
        <v>0.08</v>
      </c>
    </row>
    <row r="4607" spans="1:14" x14ac:dyDescent="0.25">
      <c r="A4607" t="s">
        <v>8367</v>
      </c>
      <c r="B4607" t="s">
        <v>8368</v>
      </c>
      <c r="C4607" s="1" t="str">
        <f>HYPERLINK("http://www.genecards.org/cgi-bin/carddisp.pl?gene=GRAP2","GeneCards")</f>
        <v>GeneCards</v>
      </c>
      <c r="D4607" s="1" t="str">
        <f>HYPERLINK("http://genome-euro.ucsc.edu/cgi-bin/hgTracks?position=208406_s_at","UCSC")</f>
        <v>UCSC</v>
      </c>
      <c r="E4607" s="1" t="str">
        <f>HYPERLINK("http://www.ncbi.nlm.nih.gov/gene/?term=GRAP2","NCBI")</f>
        <v>NCBI</v>
      </c>
      <c r="F4607">
        <v>3.7999999999999999E-2</v>
      </c>
      <c r="G4607">
        <v>0.14000000000000001</v>
      </c>
      <c r="H4607" s="1" t="str">
        <f>HYPERLINK("http://www.weizmann.ac.il/complex/compphys/software/geview/data/figures/208406_s_at.png","Figure")</f>
        <v>Figure</v>
      </c>
      <c r="I4607">
        <v>1.17</v>
      </c>
      <c r="J4607">
        <v>4.4999999999999998E-2</v>
      </c>
      <c r="K4607">
        <v>1.1200000000000001</v>
      </c>
      <c r="L4607">
        <v>8.6999999999999994E-2</v>
      </c>
      <c r="M4607">
        <v>0.96199999999999997</v>
      </c>
      <c r="N4607">
        <v>0.76</v>
      </c>
    </row>
    <row r="4608" spans="1:14" x14ac:dyDescent="0.25">
      <c r="A4608" t="s">
        <v>8369</v>
      </c>
      <c r="B4608" t="s">
        <v>8370</v>
      </c>
      <c r="C4608" s="1" t="str">
        <f>HYPERLINK("http://www.genecards.org/cgi-bin/carddisp.pl?gene=CAND1","GeneCards")</f>
        <v>GeneCards</v>
      </c>
      <c r="D4608" s="1" t="str">
        <f>HYPERLINK("http://genome-euro.ucsc.edu/cgi-bin/hgTracks?position=207483_s_at","UCSC")</f>
        <v>UCSC</v>
      </c>
      <c r="E4608" s="1" t="str">
        <f>HYPERLINK("http://www.ncbi.nlm.nih.gov/gene/?term=CAND1","NCBI")</f>
        <v>NCBI</v>
      </c>
      <c r="F4608">
        <v>3.7999999999999999E-2</v>
      </c>
      <c r="G4608">
        <v>0.14000000000000001</v>
      </c>
      <c r="H4608" s="1" t="str">
        <f>HYPERLINK("http://www.weizmann.ac.il/complex/compphys/software/geview/data/figures/207483_s_at.png","Figure")</f>
        <v>Figure</v>
      </c>
      <c r="I4608">
        <v>0.85699999999999998</v>
      </c>
      <c r="J4608">
        <v>0.68</v>
      </c>
      <c r="K4608">
        <v>0.63600000000000001</v>
      </c>
      <c r="L4608">
        <v>3.5000000000000003E-2</v>
      </c>
      <c r="M4608">
        <v>0.74199999999999999</v>
      </c>
      <c r="N4608">
        <v>0.23</v>
      </c>
    </row>
    <row r="4609" spans="1:14" x14ac:dyDescent="0.25">
      <c r="A4609" t="s">
        <v>8371</v>
      </c>
      <c r="B4609" t="s">
        <v>8372</v>
      </c>
      <c r="C4609" s="1" t="str">
        <f>HYPERLINK("http://www.genecards.org/cgi-bin/carddisp.pl?gene=ALDH4A1","GeneCards")</f>
        <v>GeneCards</v>
      </c>
      <c r="D4609" s="1" t="str">
        <f>HYPERLINK("http://genome-euro.ucsc.edu/cgi-bin/hgTracks?position=203722_at","UCSC")</f>
        <v>UCSC</v>
      </c>
      <c r="E4609" s="1" t="str">
        <f>HYPERLINK("http://www.ncbi.nlm.nih.gov/gene/?term=ALDH4A1","NCBI")</f>
        <v>NCBI</v>
      </c>
      <c r="F4609">
        <v>3.7999999999999999E-2</v>
      </c>
      <c r="G4609">
        <v>0.14000000000000001</v>
      </c>
      <c r="H4609" s="1" t="str">
        <f>HYPERLINK("http://www.weizmann.ac.il/complex/compphys/software/geview/data/figures/203722_at.png","Figure")</f>
        <v>Figure</v>
      </c>
      <c r="I4609">
        <v>1.17</v>
      </c>
      <c r="J4609">
        <v>4.4999999999999998E-2</v>
      </c>
      <c r="K4609">
        <v>1.02</v>
      </c>
      <c r="L4609">
        <v>0.91</v>
      </c>
      <c r="M4609">
        <v>0.873</v>
      </c>
      <c r="N4609">
        <v>6.4000000000000001E-2</v>
      </c>
    </row>
    <row r="4610" spans="1:14" x14ac:dyDescent="0.25">
      <c r="A4610" t="s">
        <v>8373</v>
      </c>
      <c r="B4610" t="s">
        <v>8374</v>
      </c>
      <c r="C4610" s="1" t="str">
        <f>HYPERLINK("http://www.genecards.org/cgi-bin/carddisp.pl?gene=EVX1","GeneCards")</f>
        <v>GeneCards</v>
      </c>
      <c r="D4610" s="1" t="str">
        <f>HYPERLINK("http://genome-euro.ucsc.edu/cgi-bin/hgTracks?position=207914_x_at","UCSC")</f>
        <v>UCSC</v>
      </c>
      <c r="E4610" s="1" t="str">
        <f>HYPERLINK("http://www.ncbi.nlm.nih.gov/gene/?term=EVX1","NCBI")</f>
        <v>NCBI</v>
      </c>
      <c r="F4610">
        <v>3.7999999999999999E-2</v>
      </c>
      <c r="G4610">
        <v>0.14000000000000001</v>
      </c>
      <c r="H4610" s="1" t="str">
        <f>HYPERLINK("http://www.weizmann.ac.il/complex/compphys/software/geview/data/figures/207914_x_at.png","Figure")</f>
        <v>Figure</v>
      </c>
      <c r="I4610">
        <v>1.28</v>
      </c>
      <c r="J4610">
        <v>3.4000000000000002E-2</v>
      </c>
      <c r="K4610">
        <v>1.08</v>
      </c>
      <c r="L4610">
        <v>0.62</v>
      </c>
      <c r="M4610">
        <v>0.83799999999999997</v>
      </c>
      <c r="N4610">
        <v>0.11</v>
      </c>
    </row>
    <row r="4611" spans="1:14" x14ac:dyDescent="0.25">
      <c r="A4611" t="s">
        <v>8375</v>
      </c>
      <c r="B4611" t="s">
        <v>8376</v>
      </c>
      <c r="C4611" s="1" t="str">
        <f>HYPERLINK("http://www.genecards.org/cgi-bin/carddisp.pl?gene=SACS","GeneCards")</f>
        <v>GeneCards</v>
      </c>
      <c r="D4611" s="1" t="str">
        <f>HYPERLINK("http://genome-euro.ucsc.edu/cgi-bin/hgTracks?position=213262_at","UCSC")</f>
        <v>UCSC</v>
      </c>
      <c r="E4611" s="1" t="str">
        <f>HYPERLINK("http://www.ncbi.nlm.nih.gov/gene/?term=SACS","NCBI")</f>
        <v>NCBI</v>
      </c>
      <c r="F4611">
        <v>3.7999999999999999E-2</v>
      </c>
      <c r="G4611">
        <v>0.14000000000000001</v>
      </c>
      <c r="H4611" s="1" t="str">
        <f>HYPERLINK("http://www.weizmann.ac.il/complex/compphys/software/geview/data/figures/213262_at.png","Figure")</f>
        <v>Figure</v>
      </c>
      <c r="I4611">
        <v>0.57999999999999996</v>
      </c>
      <c r="J4611">
        <v>3.7999999999999999E-2</v>
      </c>
      <c r="K4611">
        <v>0.88600000000000001</v>
      </c>
      <c r="L4611">
        <v>0.76</v>
      </c>
      <c r="M4611">
        <v>1.53</v>
      </c>
      <c r="N4611">
        <v>8.6999999999999994E-2</v>
      </c>
    </row>
    <row r="4612" spans="1:14" x14ac:dyDescent="0.25">
      <c r="A4612" t="s">
        <v>8377</v>
      </c>
      <c r="B4612" t="s">
        <v>1885</v>
      </c>
      <c r="C4612" s="1" t="str">
        <f>HYPERLINK("http://www.genecards.org/cgi-bin/carddisp.pl?gene=GNA11","GeneCards")</f>
        <v>GeneCards</v>
      </c>
      <c r="D4612" s="1" t="str">
        <f>HYPERLINK("http://genome-euro.ucsc.edu/cgi-bin/hgTracks?position=204248_at","UCSC")</f>
        <v>UCSC</v>
      </c>
      <c r="E4612" s="1" t="str">
        <f>HYPERLINK("http://www.ncbi.nlm.nih.gov/gene/?term=GNA11","NCBI")</f>
        <v>NCBI</v>
      </c>
      <c r="F4612">
        <v>3.7999999999999999E-2</v>
      </c>
      <c r="G4612">
        <v>0.14000000000000001</v>
      </c>
      <c r="H4612" s="1" t="str">
        <f>HYPERLINK("http://www.weizmann.ac.il/complex/compphys/software/geview/data/figures/204248_at.png","Figure")</f>
        <v>Figure</v>
      </c>
      <c r="I4612">
        <v>0.875</v>
      </c>
      <c r="J4612">
        <v>0.35</v>
      </c>
      <c r="K4612">
        <v>1.1299999999999999</v>
      </c>
      <c r="L4612">
        <v>0.34</v>
      </c>
      <c r="M4612">
        <v>1.29</v>
      </c>
      <c r="N4612">
        <v>3.1E-2</v>
      </c>
    </row>
    <row r="4613" spans="1:14" x14ac:dyDescent="0.25">
      <c r="A4613" t="s">
        <v>8378</v>
      </c>
      <c r="B4613" t="s">
        <v>8379</v>
      </c>
      <c r="C4613" s="1" t="str">
        <f>HYPERLINK("http://www.genecards.org/cgi-bin/carddisp.pl?gene=PIP4K2C","GeneCards")</f>
        <v>GeneCards</v>
      </c>
      <c r="D4613" s="1" t="str">
        <f>HYPERLINK("http://genome-euro.ucsc.edu/cgi-bin/hgTracks?position=218942_at","UCSC")</f>
        <v>UCSC</v>
      </c>
      <c r="E4613" s="1" t="str">
        <f>HYPERLINK("http://www.ncbi.nlm.nih.gov/gene/?term=PIP4K2C","NCBI")</f>
        <v>NCBI</v>
      </c>
      <c r="F4613">
        <v>3.7999999999999999E-2</v>
      </c>
      <c r="G4613">
        <v>0.14000000000000001</v>
      </c>
      <c r="H4613" s="1" t="str">
        <f>HYPERLINK("http://www.weizmann.ac.il/complex/compphys/software/geview/data/figures/218942_at.png","Figure")</f>
        <v>Figure</v>
      </c>
      <c r="I4613">
        <v>1.36</v>
      </c>
      <c r="J4613">
        <v>0.05</v>
      </c>
      <c r="K4613">
        <v>1.03</v>
      </c>
      <c r="L4613">
        <v>0.96</v>
      </c>
      <c r="M4613">
        <v>0.75700000000000001</v>
      </c>
      <c r="N4613">
        <v>5.6000000000000001E-2</v>
      </c>
    </row>
    <row r="4614" spans="1:14" x14ac:dyDescent="0.25">
      <c r="A4614" t="s">
        <v>8380</v>
      </c>
      <c r="B4614" t="s">
        <v>8381</v>
      </c>
      <c r="C4614" s="1" t="str">
        <f>HYPERLINK("http://www.genecards.org/cgi-bin/carddisp.pl?gene=CCDC93","GeneCards")</f>
        <v>GeneCards</v>
      </c>
      <c r="D4614" s="1" t="str">
        <f>HYPERLINK("http://genome-euro.ucsc.edu/cgi-bin/hgTracks?position=209688_s_at","UCSC")</f>
        <v>UCSC</v>
      </c>
      <c r="E4614" s="1" t="str">
        <f>HYPERLINK("http://www.ncbi.nlm.nih.gov/gene/?term=CCDC93","NCBI")</f>
        <v>NCBI</v>
      </c>
      <c r="F4614">
        <v>3.7999999999999999E-2</v>
      </c>
      <c r="G4614">
        <v>0.14000000000000001</v>
      </c>
      <c r="H4614" s="1" t="str">
        <f>HYPERLINK("http://www.weizmann.ac.il/complex/compphys/software/geview/data/figures/209688_s_at.png","Figure")</f>
        <v>Figure</v>
      </c>
      <c r="I4614">
        <v>0.74</v>
      </c>
      <c r="J4614">
        <v>0.31</v>
      </c>
      <c r="K4614">
        <v>0.60599999999999998</v>
      </c>
      <c r="L4614">
        <v>0.03</v>
      </c>
      <c r="M4614">
        <v>0.81899999999999995</v>
      </c>
      <c r="N4614">
        <v>0.54</v>
      </c>
    </row>
    <row r="4615" spans="1:14" x14ac:dyDescent="0.25">
      <c r="A4615" t="s">
        <v>8382</v>
      </c>
      <c r="B4615" t="s">
        <v>8383</v>
      </c>
      <c r="C4615" s="1" t="str">
        <f>HYPERLINK("http://www.genecards.org/cgi-bin/carddisp.pl?gene=DKFZP564O0823","GeneCards")</f>
        <v>GeneCards</v>
      </c>
      <c r="D4615" s="1" t="str">
        <f>HYPERLINK("http://genome-euro.ucsc.edu/cgi-bin/hgTracks?position=204687_at","UCSC")</f>
        <v>UCSC</v>
      </c>
      <c r="E4615" s="1" t="str">
        <f>HYPERLINK("http://www.ncbi.nlm.nih.gov/gene/?term=DKFZP564O0823","NCBI")</f>
        <v>NCBI</v>
      </c>
      <c r="F4615">
        <v>3.7999999999999999E-2</v>
      </c>
      <c r="G4615">
        <v>0.14000000000000001</v>
      </c>
      <c r="H4615" s="1" t="str">
        <f>HYPERLINK("http://www.weizmann.ac.il/complex/compphys/software/geview/data/figures/204687_at.png","Figure")</f>
        <v>Figure</v>
      </c>
      <c r="I4615">
        <v>1.19</v>
      </c>
      <c r="J4615">
        <v>3.2000000000000001E-2</v>
      </c>
      <c r="K4615">
        <v>1.06</v>
      </c>
      <c r="L4615">
        <v>0.5</v>
      </c>
      <c r="M4615">
        <v>0.89100000000000001</v>
      </c>
      <c r="N4615">
        <v>0.15</v>
      </c>
    </row>
    <row r="4616" spans="1:14" x14ac:dyDescent="0.25">
      <c r="A4616" t="s">
        <v>8384</v>
      </c>
      <c r="B4616" t="s">
        <v>8385</v>
      </c>
      <c r="C4616" s="1" t="str">
        <f>HYPERLINK("http://www.genecards.org/cgi-bin/carddisp.pl?gene=RPL36AL","GeneCards")</f>
        <v>GeneCards</v>
      </c>
      <c r="D4616" s="1" t="str">
        <f>HYPERLINK("http://genome-euro.ucsc.edu/cgi-bin/hgTracks?position=207585_s_at","UCSC")</f>
        <v>UCSC</v>
      </c>
      <c r="E4616" s="1" t="str">
        <f>HYPERLINK("http://www.ncbi.nlm.nih.gov/gene/?term=RPL36AL","NCBI")</f>
        <v>NCBI</v>
      </c>
      <c r="F4616">
        <v>3.7999999999999999E-2</v>
      </c>
      <c r="G4616">
        <v>0.14000000000000001</v>
      </c>
      <c r="H4616" s="1" t="str">
        <f>HYPERLINK("http://www.weizmann.ac.il/complex/compphys/software/geview/data/figures/207585_s_at.png","Figure")</f>
        <v>Figure</v>
      </c>
      <c r="I4616">
        <v>0.54400000000000004</v>
      </c>
      <c r="J4616">
        <v>0.03</v>
      </c>
      <c r="K4616">
        <v>0.746</v>
      </c>
      <c r="L4616">
        <v>0.28000000000000003</v>
      </c>
      <c r="M4616">
        <v>1.37</v>
      </c>
      <c r="N4616">
        <v>0.27</v>
      </c>
    </row>
    <row r="4617" spans="1:14" x14ac:dyDescent="0.25">
      <c r="A4617" t="s">
        <v>8386</v>
      </c>
      <c r="B4617" t="s">
        <v>4529</v>
      </c>
      <c r="C4617" s="1" t="str">
        <f>HYPERLINK("http://www.genecards.org/cgi-bin/carddisp.pl?gene=GPM6B","GeneCards")</f>
        <v>GeneCards</v>
      </c>
      <c r="D4617" s="1" t="str">
        <f>HYPERLINK("http://genome-euro.ucsc.edu/cgi-bin/hgTracks?position=209169_at","UCSC")</f>
        <v>UCSC</v>
      </c>
      <c r="E4617" s="1" t="str">
        <f>HYPERLINK("http://www.ncbi.nlm.nih.gov/gene/?term=GPM6B","NCBI")</f>
        <v>NCBI</v>
      </c>
      <c r="F4617">
        <v>3.7999999999999999E-2</v>
      </c>
      <c r="G4617">
        <v>0.14000000000000001</v>
      </c>
      <c r="H4617" s="1" t="str">
        <f>HYPERLINK("http://www.weizmann.ac.il/complex/compphys/software/geview/data/figures/209169_at.png","Figure")</f>
        <v>Figure</v>
      </c>
      <c r="I4617">
        <v>0.745</v>
      </c>
      <c r="J4617">
        <v>6.3E-2</v>
      </c>
      <c r="K4617">
        <v>1</v>
      </c>
      <c r="L4617">
        <v>1</v>
      </c>
      <c r="M4617">
        <v>1.34</v>
      </c>
      <c r="N4617">
        <v>4.5999999999999999E-2</v>
      </c>
    </row>
    <row r="4618" spans="1:14" x14ac:dyDescent="0.25">
      <c r="A4618" t="s">
        <v>8387</v>
      </c>
      <c r="B4618" t="s">
        <v>2031</v>
      </c>
      <c r="C4618" s="1" t="str">
        <f>HYPERLINK("http://www.genecards.org/cgi-bin/carddisp.pl?gene=GPSM2","GeneCards")</f>
        <v>GeneCards</v>
      </c>
      <c r="D4618" s="1" t="str">
        <f>HYPERLINK("http://genome-euro.ucsc.edu/cgi-bin/hgTracks?position=221922_at","UCSC")</f>
        <v>UCSC</v>
      </c>
      <c r="E4618" s="1" t="str">
        <f>HYPERLINK("http://www.ncbi.nlm.nih.gov/gene/?term=GPSM2","NCBI")</f>
        <v>NCBI</v>
      </c>
      <c r="F4618">
        <v>3.7999999999999999E-2</v>
      </c>
      <c r="G4618">
        <v>0.14000000000000001</v>
      </c>
      <c r="H4618" s="1" t="str">
        <f>HYPERLINK("http://www.weizmann.ac.il/complex/compphys/software/geview/data/figures/221922_at.png","Figure")</f>
        <v>Figure</v>
      </c>
      <c r="I4618">
        <v>1.07</v>
      </c>
      <c r="J4618">
        <v>0.95</v>
      </c>
      <c r="K4618">
        <v>1.6</v>
      </c>
      <c r="L4618">
        <v>4.9000000000000002E-2</v>
      </c>
      <c r="M4618">
        <v>1.5</v>
      </c>
      <c r="N4618">
        <v>0.12</v>
      </c>
    </row>
    <row r="4619" spans="1:14" x14ac:dyDescent="0.25">
      <c r="A4619" t="s">
        <v>8388</v>
      </c>
      <c r="B4619" t="s">
        <v>8389</v>
      </c>
      <c r="C4619" s="1" t="str">
        <f>HYPERLINK("http://www.genecards.org/cgi-bin/carddisp.pl?gene=PFN1","GeneCards")</f>
        <v>GeneCards</v>
      </c>
      <c r="D4619" s="1" t="str">
        <f>HYPERLINK("http://genome-euro.ucsc.edu/cgi-bin/hgTracks?position=200634_at","UCSC")</f>
        <v>UCSC</v>
      </c>
      <c r="E4619" s="1" t="str">
        <f>HYPERLINK("http://www.ncbi.nlm.nih.gov/gene/?term=PFN1","NCBI")</f>
        <v>NCBI</v>
      </c>
      <c r="F4619">
        <v>3.7999999999999999E-2</v>
      </c>
      <c r="G4619">
        <v>0.14000000000000001</v>
      </c>
      <c r="H4619" s="1" t="str">
        <f>HYPERLINK("http://www.weizmann.ac.il/complex/compphys/software/geview/data/figures/200634_at.png","Figure")</f>
        <v>Figure</v>
      </c>
      <c r="I4619">
        <v>0.67300000000000004</v>
      </c>
      <c r="J4619">
        <v>0.5</v>
      </c>
      <c r="K4619">
        <v>1.68</v>
      </c>
      <c r="L4619">
        <v>0.24</v>
      </c>
      <c r="M4619">
        <v>2.4900000000000002</v>
      </c>
      <c r="N4619">
        <v>3.5000000000000003E-2</v>
      </c>
    </row>
    <row r="4620" spans="1:14" x14ac:dyDescent="0.25">
      <c r="A4620" t="s">
        <v>8390</v>
      </c>
      <c r="B4620" t="s">
        <v>3144</v>
      </c>
      <c r="C4620" s="1" t="str">
        <f>HYPERLINK("http://www.genecards.org/cgi-bin/carddisp.pl?gene=ARHGEF7","GeneCards")</f>
        <v>GeneCards</v>
      </c>
      <c r="D4620" s="1" t="str">
        <f>HYPERLINK("http://genome-euro.ucsc.edu/cgi-bin/hgTracks?position=202548_s_at","UCSC")</f>
        <v>UCSC</v>
      </c>
      <c r="E4620" s="1" t="str">
        <f>HYPERLINK("http://www.ncbi.nlm.nih.gov/gene/?term=ARHGEF7","NCBI")</f>
        <v>NCBI</v>
      </c>
      <c r="F4620">
        <v>3.7999999999999999E-2</v>
      </c>
      <c r="G4620">
        <v>0.14000000000000001</v>
      </c>
      <c r="H4620" s="1" t="str">
        <f>HYPERLINK("http://www.weizmann.ac.il/complex/compphys/software/geview/data/figures/202548_s_at.png","Figure")</f>
        <v>Figure</v>
      </c>
      <c r="I4620">
        <v>2.31</v>
      </c>
      <c r="J4620">
        <v>3.4000000000000002E-2</v>
      </c>
      <c r="K4620">
        <v>1.66</v>
      </c>
      <c r="L4620">
        <v>0.16</v>
      </c>
      <c r="M4620">
        <v>0.71899999999999997</v>
      </c>
      <c r="N4620">
        <v>0.47</v>
      </c>
    </row>
    <row r="4621" spans="1:14" x14ac:dyDescent="0.25">
      <c r="A4621" t="s">
        <v>8391</v>
      </c>
      <c r="B4621" t="s">
        <v>8392</v>
      </c>
      <c r="C4621" s="1" t="str">
        <f>HYPERLINK("http://www.genecards.org/cgi-bin/carddisp.pl?gene=OSBPL1A","GeneCards")</f>
        <v>GeneCards</v>
      </c>
      <c r="D4621" s="1" t="str">
        <f>HYPERLINK("http://genome-euro.ucsc.edu/cgi-bin/hgTracks?position=208158_s_at","UCSC")</f>
        <v>UCSC</v>
      </c>
      <c r="E4621" s="1" t="str">
        <f>HYPERLINK("http://www.ncbi.nlm.nih.gov/gene/?term=OSBPL1A","NCBI")</f>
        <v>NCBI</v>
      </c>
      <c r="F4621">
        <v>3.7999999999999999E-2</v>
      </c>
      <c r="G4621">
        <v>0.14000000000000001</v>
      </c>
      <c r="H4621" s="1" t="str">
        <f>HYPERLINK("http://www.weizmann.ac.il/complex/compphys/software/geview/data/figures/208158_s_at.png","Figure")</f>
        <v>Figure</v>
      </c>
      <c r="I4621">
        <v>0.81499999999999995</v>
      </c>
      <c r="J4621">
        <v>6.3E-2</v>
      </c>
      <c r="K4621">
        <v>1</v>
      </c>
      <c r="L4621">
        <v>1</v>
      </c>
      <c r="M4621">
        <v>1.23</v>
      </c>
      <c r="N4621">
        <v>4.5999999999999999E-2</v>
      </c>
    </row>
    <row r="4622" spans="1:14" x14ac:dyDescent="0.25">
      <c r="A4622" t="s">
        <v>8393</v>
      </c>
      <c r="B4622" t="s">
        <v>8394</v>
      </c>
      <c r="C4622" s="1" t="str">
        <f>HYPERLINK("http://www.genecards.org/cgi-bin/carddisp.pl?gene=SCN2B","GeneCards")</f>
        <v>GeneCards</v>
      </c>
      <c r="D4622" s="1" t="str">
        <f>HYPERLINK("http://genome-euro.ucsc.edu/cgi-bin/hgTracks?position=210364_at","UCSC")</f>
        <v>UCSC</v>
      </c>
      <c r="E4622" s="1" t="str">
        <f>HYPERLINK("http://www.ncbi.nlm.nih.gov/gene/?term=SCN2B","NCBI")</f>
        <v>NCBI</v>
      </c>
      <c r="F4622">
        <v>3.7999999999999999E-2</v>
      </c>
      <c r="G4622">
        <v>0.14000000000000001</v>
      </c>
      <c r="H4622" s="1" t="str">
        <f>HYPERLINK("http://www.weizmann.ac.il/complex/compphys/software/geview/data/figures/210364_at.png","Figure")</f>
        <v>Figure</v>
      </c>
      <c r="I4622">
        <v>1.28</v>
      </c>
      <c r="J4622">
        <v>4.1000000000000002E-2</v>
      </c>
      <c r="K4622">
        <v>1.19</v>
      </c>
      <c r="L4622">
        <v>0.1</v>
      </c>
      <c r="M4622">
        <v>0.93100000000000005</v>
      </c>
      <c r="N4622">
        <v>0.67</v>
      </c>
    </row>
    <row r="4623" spans="1:14" x14ac:dyDescent="0.25">
      <c r="A4623" t="s">
        <v>8395</v>
      </c>
      <c r="B4623" t="s">
        <v>8396</v>
      </c>
      <c r="C4623" s="1" t="str">
        <f>HYPERLINK("http://www.genecards.org/cgi-bin/carddisp.pl?gene=LRPPRC","GeneCards")</f>
        <v>GeneCards</v>
      </c>
      <c r="D4623" s="1" t="str">
        <f>HYPERLINK("http://genome-euro.ucsc.edu/cgi-bin/hgTracks?position=211971_s_at","UCSC")</f>
        <v>UCSC</v>
      </c>
      <c r="E4623" s="1" t="str">
        <f>HYPERLINK("http://www.ncbi.nlm.nih.gov/gene/?term=LRPPRC","NCBI")</f>
        <v>NCBI</v>
      </c>
      <c r="F4623">
        <v>3.7999999999999999E-2</v>
      </c>
      <c r="G4623">
        <v>0.14000000000000001</v>
      </c>
      <c r="H4623" s="1" t="str">
        <f>HYPERLINK("http://www.weizmann.ac.il/complex/compphys/software/geview/data/figures/211971_s_at.png","Figure")</f>
        <v>Figure</v>
      </c>
      <c r="I4623">
        <v>1.1399999999999999</v>
      </c>
      <c r="J4623">
        <v>0.57999999999999996</v>
      </c>
      <c r="K4623">
        <v>1.37</v>
      </c>
      <c r="L4623">
        <v>3.3000000000000002E-2</v>
      </c>
      <c r="M4623">
        <v>1.21</v>
      </c>
      <c r="N4623">
        <v>0.28000000000000003</v>
      </c>
    </row>
    <row r="4624" spans="1:14" x14ac:dyDescent="0.25">
      <c r="A4624" t="s">
        <v>8397</v>
      </c>
      <c r="B4624" t="s">
        <v>8398</v>
      </c>
      <c r="C4624" s="1" t="str">
        <f>HYPERLINK("http://www.genecards.org/cgi-bin/carddisp.pl?gene=TLE2","GeneCards")</f>
        <v>GeneCards</v>
      </c>
      <c r="D4624" s="1" t="str">
        <f>HYPERLINK("http://genome-euro.ucsc.edu/cgi-bin/hgTracks?position=40837_at","UCSC")</f>
        <v>UCSC</v>
      </c>
      <c r="E4624" s="1" t="str">
        <f>HYPERLINK("http://www.ncbi.nlm.nih.gov/gene/?term=TLE2","NCBI")</f>
        <v>NCBI</v>
      </c>
      <c r="F4624">
        <v>3.7999999999999999E-2</v>
      </c>
      <c r="G4624">
        <v>0.14000000000000001</v>
      </c>
      <c r="H4624" s="1" t="str">
        <f>HYPERLINK("http://www.weizmann.ac.il/complex/compphys/software/geview/data/figures/40837_at.png","Figure")</f>
        <v>Figure</v>
      </c>
      <c r="I4624">
        <v>1.33</v>
      </c>
      <c r="J4624">
        <v>3.2000000000000001E-2</v>
      </c>
      <c r="K4624">
        <v>1.1000000000000001</v>
      </c>
      <c r="L4624">
        <v>0.53</v>
      </c>
      <c r="M4624">
        <v>0.82899999999999996</v>
      </c>
      <c r="N4624">
        <v>0.14000000000000001</v>
      </c>
    </row>
    <row r="4625" spans="1:14" x14ac:dyDescent="0.25">
      <c r="A4625" t="s">
        <v>8399</v>
      </c>
      <c r="B4625" t="s">
        <v>8400</v>
      </c>
      <c r="C4625" s="1" t="str">
        <f>HYPERLINK("http://www.genecards.org/cgi-bin/carddisp.pl?gene=ARFIP1","GeneCards")</f>
        <v>GeneCards</v>
      </c>
      <c r="D4625" s="1" t="str">
        <f>HYPERLINK("http://genome-euro.ucsc.edu/cgi-bin/hgTracks?position=218230_at","UCSC")</f>
        <v>UCSC</v>
      </c>
      <c r="E4625" s="1" t="str">
        <f>HYPERLINK("http://www.ncbi.nlm.nih.gov/gene/?term=ARFIP1","NCBI")</f>
        <v>NCBI</v>
      </c>
      <c r="F4625">
        <v>3.7999999999999999E-2</v>
      </c>
      <c r="G4625">
        <v>0.14000000000000001</v>
      </c>
      <c r="H4625" s="1" t="str">
        <f>HYPERLINK("http://www.weizmann.ac.il/complex/compphys/software/geview/data/figures/218230_at.png","Figure")</f>
        <v>Figure</v>
      </c>
      <c r="I4625">
        <v>0.52200000000000002</v>
      </c>
      <c r="J4625">
        <v>5.6000000000000001E-2</v>
      </c>
      <c r="K4625">
        <v>0.97</v>
      </c>
      <c r="L4625">
        <v>0.99</v>
      </c>
      <c r="M4625">
        <v>1.86</v>
      </c>
      <c r="N4625">
        <v>5.0999999999999997E-2</v>
      </c>
    </row>
    <row r="4626" spans="1:14" x14ac:dyDescent="0.25">
      <c r="A4626" t="s">
        <v>8401</v>
      </c>
      <c r="B4626" t="s">
        <v>8402</v>
      </c>
      <c r="C4626" s="1" t="str">
        <f>HYPERLINK("http://www.genecards.org/cgi-bin/carddisp.pl?gene=FCGR2A","GeneCards")</f>
        <v>GeneCards</v>
      </c>
      <c r="D4626" s="1" t="str">
        <f>HYPERLINK("http://genome-euro.ucsc.edu/cgi-bin/hgTracks?position=203561_at","UCSC")</f>
        <v>UCSC</v>
      </c>
      <c r="E4626" s="1" t="str">
        <f>HYPERLINK("http://www.ncbi.nlm.nih.gov/gene/?term=FCGR2A","NCBI")</f>
        <v>NCBI</v>
      </c>
      <c r="F4626">
        <v>3.7999999999999999E-2</v>
      </c>
      <c r="G4626">
        <v>0.14000000000000001</v>
      </c>
      <c r="H4626" s="1" t="str">
        <f>HYPERLINK("http://www.weizmann.ac.il/complex/compphys/software/geview/data/figures/203561_at.png","Figure")</f>
        <v>Figure</v>
      </c>
      <c r="I4626">
        <v>0.98099999999999998</v>
      </c>
      <c r="J4626">
        <v>6.3E-2</v>
      </c>
      <c r="K4626">
        <v>1</v>
      </c>
      <c r="L4626">
        <v>1</v>
      </c>
      <c r="M4626">
        <v>1.02</v>
      </c>
      <c r="N4626">
        <v>4.5999999999999999E-2</v>
      </c>
    </row>
    <row r="4627" spans="1:14" x14ac:dyDescent="0.25">
      <c r="A4627" t="s">
        <v>8403</v>
      </c>
      <c r="B4627" t="s">
        <v>8404</v>
      </c>
      <c r="C4627" s="1" t="str">
        <f>HYPERLINK("http://www.genecards.org/cgi-bin/carddisp.pl?gene=PAFAH2","GeneCards")</f>
        <v>GeneCards</v>
      </c>
      <c r="D4627" s="1" t="str">
        <f>HYPERLINK("http://genome-euro.ucsc.edu/cgi-bin/hgTracks?position=205232_s_at","UCSC")</f>
        <v>UCSC</v>
      </c>
      <c r="E4627" s="1" t="str">
        <f>HYPERLINK("http://www.ncbi.nlm.nih.gov/gene/?term=PAFAH2","NCBI")</f>
        <v>NCBI</v>
      </c>
      <c r="F4627">
        <v>3.7999999999999999E-2</v>
      </c>
      <c r="G4627">
        <v>0.14000000000000001</v>
      </c>
      <c r="H4627" s="1" t="str">
        <f>HYPERLINK("http://www.weizmann.ac.il/complex/compphys/software/geview/data/figures/205232_s_at.png","Figure")</f>
        <v>Figure</v>
      </c>
      <c r="I4627">
        <v>1.18</v>
      </c>
      <c r="J4627">
        <v>0.18</v>
      </c>
      <c r="K4627">
        <v>0.93</v>
      </c>
      <c r="L4627">
        <v>0.62</v>
      </c>
      <c r="M4627">
        <v>0.78700000000000003</v>
      </c>
      <c r="N4627">
        <v>3.1E-2</v>
      </c>
    </row>
    <row r="4628" spans="1:14" x14ac:dyDescent="0.25">
      <c r="A4628" t="s">
        <v>8405</v>
      </c>
      <c r="B4628" t="s">
        <v>3660</v>
      </c>
      <c r="C4628" s="1" t="str">
        <f>HYPERLINK("http://www.genecards.org/cgi-bin/carddisp.pl?gene=GABPB1","GeneCards")</f>
        <v>GeneCards</v>
      </c>
      <c r="D4628" s="1" t="str">
        <f>HYPERLINK("http://genome-euro.ucsc.edu/cgi-bin/hgTracks?position=204618_s_at","UCSC")</f>
        <v>UCSC</v>
      </c>
      <c r="E4628" s="1" t="str">
        <f>HYPERLINK("http://www.ncbi.nlm.nih.gov/gene/?term=GABPB1","NCBI")</f>
        <v>NCBI</v>
      </c>
      <c r="F4628">
        <v>3.7999999999999999E-2</v>
      </c>
      <c r="G4628">
        <v>0.14000000000000001</v>
      </c>
      <c r="H4628" s="1" t="str">
        <f>HYPERLINK("http://www.weizmann.ac.il/complex/compphys/software/geview/data/figures/204618_s_at.png","Figure")</f>
        <v>Figure</v>
      </c>
      <c r="I4628">
        <v>1.32</v>
      </c>
      <c r="J4628">
        <v>0.3</v>
      </c>
      <c r="K4628">
        <v>0.81499999999999995</v>
      </c>
      <c r="L4628">
        <v>0.4</v>
      </c>
      <c r="M4628">
        <v>0.61899999999999999</v>
      </c>
      <c r="N4628">
        <v>3.1E-2</v>
      </c>
    </row>
    <row r="4629" spans="1:14" x14ac:dyDescent="0.25">
      <c r="A4629" t="s">
        <v>8406</v>
      </c>
      <c r="B4629" t="s">
        <v>3571</v>
      </c>
      <c r="C4629" s="1" t="str">
        <f>HYPERLINK("http://www.genecards.org/cgi-bin/carddisp.pl?gene=AHCYL1","GeneCards")</f>
        <v>GeneCards</v>
      </c>
      <c r="D4629" s="1" t="str">
        <f>HYPERLINK("http://genome-euro.ucsc.edu/cgi-bin/hgTracks?position=200848_at","UCSC")</f>
        <v>UCSC</v>
      </c>
      <c r="E4629" s="1" t="str">
        <f>HYPERLINK("http://www.ncbi.nlm.nih.gov/gene/?term=AHCYL1","NCBI")</f>
        <v>NCBI</v>
      </c>
      <c r="F4629">
        <v>3.7999999999999999E-2</v>
      </c>
      <c r="G4629">
        <v>0.14000000000000001</v>
      </c>
      <c r="H4629" s="1" t="str">
        <f>HYPERLINK("http://www.weizmann.ac.il/complex/compphys/software/geview/data/figures/200848_at.png","Figure")</f>
        <v>Figure</v>
      </c>
      <c r="I4629">
        <v>0.68899999999999995</v>
      </c>
      <c r="J4629">
        <v>0.24</v>
      </c>
      <c r="K4629">
        <v>1.25</v>
      </c>
      <c r="L4629">
        <v>0.49</v>
      </c>
      <c r="M4629">
        <v>1.82</v>
      </c>
      <c r="N4629">
        <v>0.03</v>
      </c>
    </row>
    <row r="4630" spans="1:14" x14ac:dyDescent="0.25">
      <c r="A4630" t="s">
        <v>8407</v>
      </c>
      <c r="B4630" t="s">
        <v>8408</v>
      </c>
      <c r="C4630" s="1" t="str">
        <f>HYPERLINK("http://www.genecards.org/cgi-bin/carddisp.pl?gene=CYP4F12","GeneCards")</f>
        <v>GeneCards</v>
      </c>
      <c r="D4630" s="1" t="str">
        <f>HYPERLINK("http://genome-euro.ucsc.edu/cgi-bin/hgTracks?position=206539_s_at","UCSC")</f>
        <v>UCSC</v>
      </c>
      <c r="E4630" s="1" t="str">
        <f>HYPERLINK("http://www.ncbi.nlm.nih.gov/gene/?term=CYP4F12","NCBI")</f>
        <v>NCBI</v>
      </c>
      <c r="F4630">
        <v>3.7999999999999999E-2</v>
      </c>
      <c r="G4630">
        <v>0.14000000000000001</v>
      </c>
      <c r="H4630" s="1" t="str">
        <f>HYPERLINK("http://www.weizmann.ac.il/complex/compphys/software/geview/data/figures/206539_s_at.png","Figure")</f>
        <v>Figure</v>
      </c>
      <c r="I4630">
        <v>1.39</v>
      </c>
      <c r="J4630">
        <v>5.1999999999999998E-2</v>
      </c>
      <c r="K4630">
        <v>1.03</v>
      </c>
      <c r="L4630">
        <v>0.97</v>
      </c>
      <c r="M4630">
        <v>0.73799999999999999</v>
      </c>
      <c r="N4630">
        <v>5.5E-2</v>
      </c>
    </row>
    <row r="4631" spans="1:14" x14ac:dyDescent="0.25">
      <c r="A4631" t="s">
        <v>8409</v>
      </c>
      <c r="B4631" t="s">
        <v>8410</v>
      </c>
      <c r="C4631" s="1" t="str">
        <f>HYPERLINK("http://www.genecards.org/cgi-bin/carddisp.pl?gene=CARD9","GeneCards")</f>
        <v>GeneCards</v>
      </c>
      <c r="D4631" s="1" t="str">
        <f>HYPERLINK("http://genome-euro.ucsc.edu/cgi-bin/hgTracks?position=220162_s_at","UCSC")</f>
        <v>UCSC</v>
      </c>
      <c r="E4631" s="1" t="str">
        <f>HYPERLINK("http://www.ncbi.nlm.nih.gov/gene/?term=CARD9","NCBI")</f>
        <v>NCBI</v>
      </c>
      <c r="F4631">
        <v>3.7999999999999999E-2</v>
      </c>
      <c r="G4631">
        <v>0.14000000000000001</v>
      </c>
      <c r="H4631" s="1" t="str">
        <f>HYPERLINK("http://www.weizmann.ac.il/complex/compphys/software/geview/data/figures/220162_s_at.png","Figure")</f>
        <v>Figure</v>
      </c>
      <c r="I4631">
        <v>1.19</v>
      </c>
      <c r="J4631">
        <v>8.6999999999999994E-2</v>
      </c>
      <c r="K4631">
        <v>1.19</v>
      </c>
      <c r="L4631">
        <v>4.5999999999999999E-2</v>
      </c>
      <c r="M4631">
        <v>1</v>
      </c>
      <c r="N4631">
        <v>1</v>
      </c>
    </row>
    <row r="4632" spans="1:14" x14ac:dyDescent="0.25">
      <c r="A4632" t="s">
        <v>8411</v>
      </c>
      <c r="B4632" t="s">
        <v>8412</v>
      </c>
      <c r="C4632" s="1" t="str">
        <f>HYPERLINK("http://www.genecards.org/cgi-bin/carddisp.pl?gene=RGS14","GeneCards")</f>
        <v>GeneCards</v>
      </c>
      <c r="D4632" s="1" t="str">
        <f>HYPERLINK("http://genome-euro.ucsc.edu/cgi-bin/hgTracks?position=204280_at","UCSC")</f>
        <v>UCSC</v>
      </c>
      <c r="E4632" s="1" t="str">
        <f>HYPERLINK("http://www.ncbi.nlm.nih.gov/gene/?term=RGS14","NCBI")</f>
        <v>NCBI</v>
      </c>
      <c r="F4632">
        <v>3.7999999999999999E-2</v>
      </c>
      <c r="G4632">
        <v>0.14000000000000001</v>
      </c>
      <c r="H4632" s="1" t="str">
        <f>HYPERLINK("http://www.weizmann.ac.il/complex/compphys/software/geview/data/figures/204280_at.png","Figure")</f>
        <v>Figure</v>
      </c>
      <c r="I4632">
        <v>1.24</v>
      </c>
      <c r="J4632">
        <v>0.11</v>
      </c>
      <c r="K4632">
        <v>1.27</v>
      </c>
      <c r="L4632">
        <v>4.1000000000000002E-2</v>
      </c>
      <c r="M4632">
        <v>1.02</v>
      </c>
      <c r="N4632">
        <v>0.98</v>
      </c>
    </row>
    <row r="4633" spans="1:14" x14ac:dyDescent="0.25">
      <c r="A4633" t="s">
        <v>8413</v>
      </c>
      <c r="B4633" t="s">
        <v>8414</v>
      </c>
      <c r="C4633" s="1" t="str">
        <f>HYPERLINK("http://www.genecards.org/cgi-bin/carddisp.pl?gene=C20orf20","GeneCards")</f>
        <v>GeneCards</v>
      </c>
      <c r="D4633" s="1" t="str">
        <f>HYPERLINK("http://genome-euro.ucsc.edu/cgi-bin/hgTracks?position=218586_at","UCSC")</f>
        <v>UCSC</v>
      </c>
      <c r="E4633" s="1" t="str">
        <f>HYPERLINK("http://www.ncbi.nlm.nih.gov/gene/?term=C20orf20","NCBI")</f>
        <v>NCBI</v>
      </c>
      <c r="F4633">
        <v>3.7999999999999999E-2</v>
      </c>
      <c r="G4633">
        <v>0.14000000000000001</v>
      </c>
      <c r="H4633" s="1" t="str">
        <f>HYPERLINK("http://www.weizmann.ac.il/complex/compphys/software/geview/data/figures/218586_at.png","Figure")</f>
        <v>Figure</v>
      </c>
      <c r="I4633">
        <v>0.86799999999999999</v>
      </c>
      <c r="J4633">
        <v>3.1E-2</v>
      </c>
      <c r="K4633">
        <v>0.93200000000000005</v>
      </c>
      <c r="L4633">
        <v>0.26</v>
      </c>
      <c r="M4633">
        <v>1.07</v>
      </c>
      <c r="N4633">
        <v>0.3</v>
      </c>
    </row>
    <row r="4634" spans="1:14" x14ac:dyDescent="0.25">
      <c r="A4634" t="s">
        <v>8415</v>
      </c>
      <c r="B4634" t="s">
        <v>8416</v>
      </c>
      <c r="C4634" s="1" t="str">
        <f>HYPERLINK("http://www.genecards.org/cgi-bin/carddisp.pl?gene=KIF20B","GeneCards")</f>
        <v>GeneCards</v>
      </c>
      <c r="D4634" s="1" t="str">
        <f>HYPERLINK("http://genome-euro.ucsc.edu/cgi-bin/hgTracks?position=205235_s_at","UCSC")</f>
        <v>UCSC</v>
      </c>
      <c r="E4634" s="1" t="str">
        <f>HYPERLINK("http://www.ncbi.nlm.nih.gov/gene/?term=KIF20B","NCBI")</f>
        <v>NCBI</v>
      </c>
      <c r="F4634">
        <v>3.7999999999999999E-2</v>
      </c>
      <c r="G4634">
        <v>0.14000000000000001</v>
      </c>
      <c r="H4634" s="1" t="str">
        <f>HYPERLINK("http://www.weizmann.ac.il/complex/compphys/software/geview/data/figures/205235_s_at.png","Figure")</f>
        <v>Figure</v>
      </c>
      <c r="I4634">
        <v>1.0900000000000001</v>
      </c>
      <c r="J4634">
        <v>0.54</v>
      </c>
      <c r="K4634">
        <v>1.21</v>
      </c>
      <c r="L4634">
        <v>3.3000000000000002E-2</v>
      </c>
      <c r="M4634">
        <v>1.1200000000000001</v>
      </c>
      <c r="N4634">
        <v>0.31</v>
      </c>
    </row>
    <row r="4635" spans="1:14" x14ac:dyDescent="0.25">
      <c r="A4635" t="s">
        <v>8417</v>
      </c>
      <c r="B4635" t="s">
        <v>4917</v>
      </c>
      <c r="C4635" s="1" t="str">
        <f>HYPERLINK("http://www.genecards.org/cgi-bin/carddisp.pl?gene=EIF3K","GeneCards")</f>
        <v>GeneCards</v>
      </c>
      <c r="D4635" s="1" t="str">
        <f>HYPERLINK("http://genome-euro.ucsc.edu/cgi-bin/hgTracks?position=212716_s_at","UCSC")</f>
        <v>UCSC</v>
      </c>
      <c r="E4635" s="1" t="str">
        <f>HYPERLINK("http://www.ncbi.nlm.nih.gov/gene/?term=EIF3K","NCBI")</f>
        <v>NCBI</v>
      </c>
      <c r="F4635">
        <v>3.7999999999999999E-2</v>
      </c>
      <c r="G4635">
        <v>0.14000000000000001</v>
      </c>
      <c r="H4635" s="1" t="str">
        <f>HYPERLINK("http://www.weizmann.ac.il/complex/compphys/software/geview/data/figures/212716_s_at.png","Figure")</f>
        <v>Figure</v>
      </c>
      <c r="I4635">
        <v>1.66</v>
      </c>
      <c r="J4635">
        <v>4.4999999999999998E-2</v>
      </c>
      <c r="K4635">
        <v>1.46</v>
      </c>
      <c r="L4635">
        <v>8.8999999999999996E-2</v>
      </c>
      <c r="M4635">
        <v>0.88</v>
      </c>
      <c r="N4635">
        <v>0.75</v>
      </c>
    </row>
    <row r="4636" spans="1:14" x14ac:dyDescent="0.25">
      <c r="A4636" t="s">
        <v>8418</v>
      </c>
      <c r="B4636" t="s">
        <v>3615</v>
      </c>
      <c r="C4636" s="1" t="str">
        <f>HYPERLINK("http://www.genecards.org/cgi-bin/carddisp.pl?gene=KLK2","GeneCards")</f>
        <v>GeneCards</v>
      </c>
      <c r="D4636" s="1" t="str">
        <f>HYPERLINK("http://genome-euro.ucsc.edu/cgi-bin/hgTracks?position=209855_s_at","UCSC")</f>
        <v>UCSC</v>
      </c>
      <c r="E4636" s="1" t="str">
        <f>HYPERLINK("http://www.ncbi.nlm.nih.gov/gene/?term=KLK2","NCBI")</f>
        <v>NCBI</v>
      </c>
      <c r="F4636">
        <v>3.7999999999999999E-2</v>
      </c>
      <c r="G4636">
        <v>0.14000000000000001</v>
      </c>
      <c r="H4636" s="1" t="str">
        <f>HYPERLINK("http://www.weizmann.ac.il/complex/compphys/software/geview/data/figures/209855_s_at.png","Figure")</f>
        <v>Figure</v>
      </c>
      <c r="I4636">
        <v>1.21</v>
      </c>
      <c r="J4636">
        <v>8.6999999999999994E-2</v>
      </c>
      <c r="K4636">
        <v>0.97799999999999998</v>
      </c>
      <c r="L4636">
        <v>0.95</v>
      </c>
      <c r="M4636">
        <v>0.80600000000000005</v>
      </c>
      <c r="N4636">
        <v>3.7999999999999999E-2</v>
      </c>
    </row>
    <row r="4637" spans="1:14" x14ac:dyDescent="0.25">
      <c r="A4637" t="s">
        <v>8419</v>
      </c>
      <c r="B4637" t="s">
        <v>8420</v>
      </c>
      <c r="C4637" s="1" t="str">
        <f>HYPERLINK("http://www.genecards.org/cgi-bin/carddisp.pl?gene=RBP3","GeneCards")</f>
        <v>GeneCards</v>
      </c>
      <c r="D4637" s="1" t="str">
        <f>HYPERLINK("http://genome-euro.ucsc.edu/cgi-bin/hgTracks?position=210318_at","UCSC")</f>
        <v>UCSC</v>
      </c>
      <c r="E4637" s="1" t="str">
        <f>HYPERLINK("http://www.ncbi.nlm.nih.gov/gene/?term=RBP3","NCBI")</f>
        <v>NCBI</v>
      </c>
      <c r="F4637">
        <v>3.7999999999999999E-2</v>
      </c>
      <c r="G4637">
        <v>0.14000000000000001</v>
      </c>
      <c r="H4637" s="1" t="str">
        <f>HYPERLINK("http://www.weizmann.ac.il/complex/compphys/software/geview/data/figures/210318_at.png","Figure")</f>
        <v>Figure</v>
      </c>
      <c r="I4637">
        <v>1.2</v>
      </c>
      <c r="J4637">
        <v>7.3999999999999996E-2</v>
      </c>
      <c r="K4637">
        <v>1.19</v>
      </c>
      <c r="L4637">
        <v>5.1999999999999998E-2</v>
      </c>
      <c r="M4637">
        <v>0.99</v>
      </c>
      <c r="N4637">
        <v>0.99</v>
      </c>
    </row>
    <row r="4638" spans="1:14" x14ac:dyDescent="0.25">
      <c r="A4638" t="s">
        <v>8421</v>
      </c>
      <c r="B4638" t="s">
        <v>3007</v>
      </c>
      <c r="C4638" s="1" t="str">
        <f>HYPERLINK("http://www.genecards.org/cgi-bin/carddisp.pl?gene=OGFR","GeneCards")</f>
        <v>GeneCards</v>
      </c>
      <c r="D4638" s="1" t="str">
        <f>HYPERLINK("http://genome-euro.ucsc.edu/cgi-bin/hgTracks?position=211513_s_at","UCSC")</f>
        <v>UCSC</v>
      </c>
      <c r="E4638" s="1" t="str">
        <f>HYPERLINK("http://www.ncbi.nlm.nih.gov/gene/?term=OGFR","NCBI")</f>
        <v>NCBI</v>
      </c>
      <c r="F4638">
        <v>3.7999999999999999E-2</v>
      </c>
      <c r="G4638">
        <v>0.14000000000000001</v>
      </c>
      <c r="H4638" s="1" t="str">
        <f>HYPERLINK("http://www.weizmann.ac.il/complex/compphys/software/geview/data/figures/211513_s_at.png","Figure")</f>
        <v>Figure</v>
      </c>
      <c r="I4638">
        <v>1.1100000000000001</v>
      </c>
      <c r="J4638">
        <v>5.0999999999999997E-2</v>
      </c>
      <c r="K4638">
        <v>1.0900000000000001</v>
      </c>
      <c r="L4638">
        <v>7.5999999999999998E-2</v>
      </c>
      <c r="M4638">
        <v>0.97899999999999998</v>
      </c>
      <c r="N4638">
        <v>0.84</v>
      </c>
    </row>
    <row r="4639" spans="1:14" x14ac:dyDescent="0.25">
      <c r="A4639" t="s">
        <v>8422</v>
      </c>
      <c r="B4639" t="s">
        <v>3031</v>
      </c>
      <c r="C4639" s="1" t="str">
        <f>HYPERLINK("http://www.genecards.org/cgi-bin/carddisp.pl?gene=SFRS18","GeneCards")</f>
        <v>GeneCards</v>
      </c>
      <c r="D4639" s="1" t="str">
        <f>HYPERLINK("http://genome-euro.ucsc.edu/cgi-bin/hgTracks?position=212176_at","UCSC")</f>
        <v>UCSC</v>
      </c>
      <c r="E4639" s="1" t="str">
        <f>HYPERLINK("http://www.ncbi.nlm.nih.gov/gene/?term=SFRS18","NCBI")</f>
        <v>NCBI</v>
      </c>
      <c r="F4639">
        <v>3.7999999999999999E-2</v>
      </c>
      <c r="G4639">
        <v>0.14000000000000001</v>
      </c>
      <c r="H4639" s="1" t="str">
        <f>HYPERLINK("http://www.weizmann.ac.il/complex/compphys/software/geview/data/figures/212176_at.png","Figure")</f>
        <v>Figure</v>
      </c>
      <c r="I4639">
        <v>0.74299999999999999</v>
      </c>
      <c r="J4639">
        <v>5.8000000000000003E-2</v>
      </c>
      <c r="K4639">
        <v>0.77600000000000002</v>
      </c>
      <c r="L4639">
        <v>6.5000000000000002E-2</v>
      </c>
      <c r="M4639">
        <v>1.04</v>
      </c>
      <c r="N4639">
        <v>0.92</v>
      </c>
    </row>
    <row r="4640" spans="1:14" x14ac:dyDescent="0.25">
      <c r="A4640" t="s">
        <v>8423</v>
      </c>
      <c r="B4640" t="s">
        <v>1664</v>
      </c>
      <c r="C4640" s="1" t="str">
        <f>HYPERLINK("http://www.genecards.org/cgi-bin/carddisp.pl?gene=EID1","GeneCards")</f>
        <v>GeneCards</v>
      </c>
      <c r="D4640" s="1" t="str">
        <f>HYPERLINK("http://genome-euro.ucsc.edu/cgi-bin/hgTracks?position=208670_s_at","UCSC")</f>
        <v>UCSC</v>
      </c>
      <c r="E4640" s="1" t="str">
        <f>HYPERLINK("http://www.ncbi.nlm.nih.gov/gene/?term=EID1","NCBI")</f>
        <v>NCBI</v>
      </c>
      <c r="F4640">
        <v>3.7999999999999999E-2</v>
      </c>
      <c r="G4640">
        <v>0.14000000000000001</v>
      </c>
      <c r="H4640" s="1" t="str">
        <f>HYPERLINK("http://www.weizmann.ac.il/complex/compphys/software/geview/data/figures/208670_s_at.png","Figure")</f>
        <v>Figure</v>
      </c>
      <c r="I4640">
        <v>1.22</v>
      </c>
      <c r="J4640">
        <v>0.61</v>
      </c>
      <c r="K4640">
        <v>1.67</v>
      </c>
      <c r="L4640">
        <v>3.4000000000000002E-2</v>
      </c>
      <c r="M4640">
        <v>1.37</v>
      </c>
      <c r="N4640">
        <v>0.27</v>
      </c>
    </row>
    <row r="4641" spans="1:14" x14ac:dyDescent="0.25">
      <c r="A4641" t="s">
        <v>8424</v>
      </c>
      <c r="B4641" t="s">
        <v>8425</v>
      </c>
      <c r="C4641" s="1" t="str">
        <f>HYPERLINK("http://www.genecards.org/cgi-bin/carddisp.pl?gene=MRPL12","GeneCards")</f>
        <v>GeneCards</v>
      </c>
      <c r="D4641" s="1" t="str">
        <f>HYPERLINK("http://genome-euro.ucsc.edu/cgi-bin/hgTracks?position=203931_s_at","UCSC")</f>
        <v>UCSC</v>
      </c>
      <c r="E4641" s="1" t="str">
        <f>HYPERLINK("http://www.ncbi.nlm.nih.gov/gene/?term=MRPL12","NCBI")</f>
        <v>NCBI</v>
      </c>
      <c r="F4641">
        <v>3.7999999999999999E-2</v>
      </c>
      <c r="G4641">
        <v>0.14000000000000001</v>
      </c>
      <c r="H4641" s="1" t="str">
        <f>HYPERLINK("http://www.weizmann.ac.il/complex/compphys/software/geview/data/figures/203931_s_at.png","Figure")</f>
        <v>Figure</v>
      </c>
      <c r="I4641">
        <v>0.93799999999999994</v>
      </c>
      <c r="J4641">
        <v>0.91</v>
      </c>
      <c r="K4641">
        <v>1.36</v>
      </c>
      <c r="L4641">
        <v>9.6000000000000002E-2</v>
      </c>
      <c r="M4641">
        <v>1.45</v>
      </c>
      <c r="N4641">
        <v>5.8000000000000003E-2</v>
      </c>
    </row>
    <row r="4642" spans="1:14" x14ac:dyDescent="0.25">
      <c r="A4642" t="s">
        <v>8426</v>
      </c>
      <c r="B4642" t="s">
        <v>3561</v>
      </c>
      <c r="C4642" s="1" t="str">
        <f>HYPERLINK("http://www.genecards.org/cgi-bin/carddisp.pl?gene=RBPJ","GeneCards")</f>
        <v>GeneCards</v>
      </c>
      <c r="D4642" s="1" t="str">
        <f>HYPERLINK("http://genome-euro.ucsc.edu/cgi-bin/hgTracks?position=211974_x_at","UCSC")</f>
        <v>UCSC</v>
      </c>
      <c r="E4642" s="1" t="str">
        <f>HYPERLINK("http://www.ncbi.nlm.nih.gov/gene/?term=RBPJ","NCBI")</f>
        <v>NCBI</v>
      </c>
      <c r="F4642">
        <v>3.7999999999999999E-2</v>
      </c>
      <c r="G4642">
        <v>0.14000000000000001</v>
      </c>
      <c r="H4642" s="1" t="str">
        <f>HYPERLINK("http://www.weizmann.ac.il/complex/compphys/software/geview/data/figures/211974_x_at.png","Figure")</f>
        <v>Figure</v>
      </c>
      <c r="I4642">
        <v>0.72</v>
      </c>
      <c r="J4642">
        <v>6.2E-2</v>
      </c>
      <c r="K4642">
        <v>0.996</v>
      </c>
      <c r="L4642">
        <v>1</v>
      </c>
      <c r="M4642">
        <v>1.38</v>
      </c>
      <c r="N4642">
        <v>4.8000000000000001E-2</v>
      </c>
    </row>
    <row r="4643" spans="1:14" x14ac:dyDescent="0.25">
      <c r="A4643" t="s">
        <v>8427</v>
      </c>
      <c r="B4643" t="s">
        <v>6894</v>
      </c>
      <c r="C4643" s="1" t="str">
        <f>HYPERLINK("http://www.genecards.org/cgi-bin/carddisp.pl?gene=CD6","GeneCards")</f>
        <v>GeneCards</v>
      </c>
      <c r="D4643" s="1" t="str">
        <f>HYPERLINK("http://genome-euro.ucsc.edu/cgi-bin/hgTracks?position=213958_at","UCSC")</f>
        <v>UCSC</v>
      </c>
      <c r="E4643" s="1" t="str">
        <f>HYPERLINK("http://www.ncbi.nlm.nih.gov/gene/?term=CD6","NCBI")</f>
        <v>NCBI</v>
      </c>
      <c r="F4643">
        <v>3.7999999999999999E-2</v>
      </c>
      <c r="G4643">
        <v>0.14000000000000001</v>
      </c>
      <c r="H4643" s="1" t="str">
        <f>HYPERLINK("http://www.weizmann.ac.il/complex/compphys/software/geview/data/figures/213958_at.png","Figure")</f>
        <v>Figure</v>
      </c>
      <c r="I4643">
        <v>1.46</v>
      </c>
      <c r="J4643">
        <v>5.3999999999999999E-2</v>
      </c>
      <c r="K4643">
        <v>1.03</v>
      </c>
      <c r="L4643">
        <v>0.98</v>
      </c>
      <c r="M4643">
        <v>0.70399999999999996</v>
      </c>
      <c r="N4643">
        <v>5.3999999999999999E-2</v>
      </c>
    </row>
    <row r="4644" spans="1:14" x14ac:dyDescent="0.25">
      <c r="A4644" t="s">
        <v>8428</v>
      </c>
      <c r="B4644" t="s">
        <v>8429</v>
      </c>
      <c r="C4644" s="1" t="str">
        <f>HYPERLINK("http://www.genecards.org/cgi-bin/carddisp.pl?gene=LOC282997","GeneCards")</f>
        <v>GeneCards</v>
      </c>
      <c r="D4644" s="1" t="str">
        <f>HYPERLINK("http://genome-euro.ucsc.edu/cgi-bin/hgTracks?position=222307_at","UCSC")</f>
        <v>UCSC</v>
      </c>
      <c r="E4644" s="1" t="str">
        <f>HYPERLINK("http://www.ncbi.nlm.nih.gov/gene/?term=LOC282997","NCBI")</f>
        <v>NCBI</v>
      </c>
      <c r="F4644">
        <v>3.7999999999999999E-2</v>
      </c>
      <c r="G4644">
        <v>0.14000000000000001</v>
      </c>
      <c r="H4644" s="1" t="str">
        <f>HYPERLINK("http://www.weizmann.ac.il/complex/compphys/software/geview/data/figures/222307_at.png","Figure")</f>
        <v>Figure</v>
      </c>
      <c r="I4644">
        <v>0.69799999999999995</v>
      </c>
      <c r="J4644">
        <v>0.28000000000000003</v>
      </c>
      <c r="K4644">
        <v>0.56599999999999995</v>
      </c>
      <c r="L4644">
        <v>3.1E-2</v>
      </c>
      <c r="M4644">
        <v>0.81</v>
      </c>
      <c r="N4644">
        <v>0.59</v>
      </c>
    </row>
    <row r="4645" spans="1:14" x14ac:dyDescent="0.25">
      <c r="A4645" t="s">
        <v>8430</v>
      </c>
      <c r="B4645" t="s">
        <v>8431</v>
      </c>
      <c r="C4645" s="1" t="str">
        <f>HYPERLINK("http://www.genecards.org/cgi-bin/carddisp.pl?gene=CEACAM1","GeneCards")</f>
        <v>GeneCards</v>
      </c>
      <c r="D4645" s="1" t="str">
        <f>HYPERLINK("http://genome-euro.ucsc.edu/cgi-bin/hgTracks?position=210610_at","UCSC")</f>
        <v>UCSC</v>
      </c>
      <c r="E4645" s="1" t="str">
        <f>HYPERLINK("http://www.ncbi.nlm.nih.gov/gene/?term=CEACAM1","NCBI")</f>
        <v>NCBI</v>
      </c>
      <c r="F4645">
        <v>3.9E-2</v>
      </c>
      <c r="G4645">
        <v>0.14000000000000001</v>
      </c>
      <c r="H4645" s="1" t="str">
        <f>HYPERLINK("http://www.weizmann.ac.il/complex/compphys/software/geview/data/figures/210610_at.png","Figure")</f>
        <v>Figure</v>
      </c>
      <c r="I4645">
        <v>1.38</v>
      </c>
      <c r="J4645">
        <v>3.1E-2</v>
      </c>
      <c r="K4645">
        <v>1.1299999999999999</v>
      </c>
      <c r="L4645">
        <v>0.45</v>
      </c>
      <c r="M4645">
        <v>0.81699999999999995</v>
      </c>
      <c r="N4645">
        <v>0.17</v>
      </c>
    </row>
    <row r="4646" spans="1:14" x14ac:dyDescent="0.25">
      <c r="A4646" t="s">
        <v>8432</v>
      </c>
      <c r="B4646" t="s">
        <v>8433</v>
      </c>
      <c r="C4646" s="1" t="str">
        <f>HYPERLINK("http://www.genecards.org/cgi-bin/carddisp.pl?gene=TIMM9","GeneCards")</f>
        <v>GeneCards</v>
      </c>
      <c r="D4646" s="1" t="str">
        <f>HYPERLINK("http://genome-euro.ucsc.edu/cgi-bin/hgTracks?position=218316_at","UCSC")</f>
        <v>UCSC</v>
      </c>
      <c r="E4646" s="1" t="str">
        <f>HYPERLINK("http://www.ncbi.nlm.nih.gov/gene/?term=TIMM9","NCBI")</f>
        <v>NCBI</v>
      </c>
      <c r="F4646">
        <v>3.9E-2</v>
      </c>
      <c r="G4646">
        <v>0.14000000000000001</v>
      </c>
      <c r="H4646" s="1" t="str">
        <f>HYPERLINK("http://www.weizmann.ac.il/complex/compphys/software/geview/data/figures/218316_at.png","Figure")</f>
        <v>Figure</v>
      </c>
      <c r="I4646">
        <v>0.68600000000000005</v>
      </c>
      <c r="J4646">
        <v>6.4000000000000001E-2</v>
      </c>
      <c r="K4646">
        <v>1</v>
      </c>
      <c r="L4646">
        <v>1</v>
      </c>
      <c r="M4646">
        <v>1.46</v>
      </c>
      <c r="N4646">
        <v>4.7E-2</v>
      </c>
    </row>
    <row r="4647" spans="1:14" x14ac:dyDescent="0.25">
      <c r="A4647" t="s">
        <v>8434</v>
      </c>
      <c r="B4647" t="s">
        <v>1616</v>
      </c>
      <c r="C4647" s="1" t="str">
        <f>HYPERLINK("http://www.genecards.org/cgi-bin/carddisp.pl?gene=NCR2","GeneCards")</f>
        <v>GeneCards</v>
      </c>
      <c r="D4647" s="1" t="str">
        <f>HYPERLINK("http://genome-euro.ucsc.edu/cgi-bin/hgTracks?position=217045_x_at","UCSC")</f>
        <v>UCSC</v>
      </c>
      <c r="E4647" s="1" t="str">
        <f>HYPERLINK("http://www.ncbi.nlm.nih.gov/gene/?term=NCR2","NCBI")</f>
        <v>NCBI</v>
      </c>
      <c r="F4647">
        <v>3.9E-2</v>
      </c>
      <c r="G4647">
        <v>0.14000000000000001</v>
      </c>
      <c r="H4647" s="1" t="str">
        <f>HYPERLINK("http://www.weizmann.ac.il/complex/compphys/software/geview/data/figures/217045_x_at.png","Figure")</f>
        <v>Figure</v>
      </c>
      <c r="I4647">
        <v>1.37</v>
      </c>
      <c r="J4647">
        <v>3.1E-2</v>
      </c>
      <c r="K4647">
        <v>1.1299999999999999</v>
      </c>
      <c r="L4647">
        <v>0.42</v>
      </c>
      <c r="M4647">
        <v>0.82599999999999996</v>
      </c>
      <c r="N4647">
        <v>0.18</v>
      </c>
    </row>
    <row r="4648" spans="1:14" x14ac:dyDescent="0.25">
      <c r="A4648" t="s">
        <v>8435</v>
      </c>
      <c r="B4648" t="s">
        <v>8436</v>
      </c>
      <c r="C4648" s="1" t="str">
        <f>HYPERLINK("http://www.genecards.org/cgi-bin/carddisp.pl?gene=SMARCA2","GeneCards")</f>
        <v>GeneCards</v>
      </c>
      <c r="D4648" s="1" t="str">
        <f>HYPERLINK("http://genome-euro.ucsc.edu/cgi-bin/hgTracks?position=206542_s_at","UCSC")</f>
        <v>UCSC</v>
      </c>
      <c r="E4648" s="1" t="str">
        <f>HYPERLINK("http://www.ncbi.nlm.nih.gov/gene/?term=SMARCA2","NCBI")</f>
        <v>NCBI</v>
      </c>
      <c r="F4648">
        <v>3.9E-2</v>
      </c>
      <c r="G4648">
        <v>0.14000000000000001</v>
      </c>
      <c r="H4648" s="1" t="str">
        <f>HYPERLINK("http://www.weizmann.ac.il/complex/compphys/software/geview/data/figures/206542_s_at.png","Figure")</f>
        <v>Figure</v>
      </c>
      <c r="I4648">
        <v>0.55100000000000005</v>
      </c>
      <c r="J4648">
        <v>3.2000000000000001E-2</v>
      </c>
      <c r="K4648">
        <v>0.71899999999999997</v>
      </c>
      <c r="L4648">
        <v>0.2</v>
      </c>
      <c r="M4648">
        <v>1.31</v>
      </c>
      <c r="N4648">
        <v>0.38</v>
      </c>
    </row>
    <row r="4649" spans="1:14" x14ac:dyDescent="0.25">
      <c r="A4649" t="s">
        <v>8437</v>
      </c>
      <c r="B4649" t="s">
        <v>5872</v>
      </c>
      <c r="C4649" s="1" t="str">
        <f>HYPERLINK("http://www.genecards.org/cgi-bin/carddisp.pl?gene=SET","GeneCards")</f>
        <v>GeneCards</v>
      </c>
      <c r="D4649" s="1" t="str">
        <f>HYPERLINK("http://genome-euro.ucsc.edu/cgi-bin/hgTracks?position=200631_s_at","UCSC")</f>
        <v>UCSC</v>
      </c>
      <c r="E4649" s="1" t="str">
        <f>HYPERLINK("http://www.ncbi.nlm.nih.gov/gene/?term=SET","NCBI")</f>
        <v>NCBI</v>
      </c>
      <c r="F4649">
        <v>3.9E-2</v>
      </c>
      <c r="G4649">
        <v>0.14000000000000001</v>
      </c>
      <c r="H4649" s="1" t="str">
        <f>HYPERLINK("http://www.weizmann.ac.il/complex/compphys/software/geview/data/figures/200631_s_at.png","Figure")</f>
        <v>Figure</v>
      </c>
      <c r="I4649">
        <v>1.31</v>
      </c>
      <c r="J4649">
        <v>0.2</v>
      </c>
      <c r="K4649">
        <v>1.45</v>
      </c>
      <c r="L4649">
        <v>3.3000000000000002E-2</v>
      </c>
      <c r="M4649">
        <v>1.1000000000000001</v>
      </c>
      <c r="N4649">
        <v>0.76</v>
      </c>
    </row>
    <row r="4650" spans="1:14" x14ac:dyDescent="0.25">
      <c r="A4650" t="s">
        <v>8438</v>
      </c>
      <c r="B4650" t="s">
        <v>8439</v>
      </c>
      <c r="C4650" s="1" t="str">
        <f>HYPERLINK("http://www.genecards.org/cgi-bin/carddisp.pl?gene=SLC7A6","GeneCards")</f>
        <v>GeneCards</v>
      </c>
      <c r="D4650" s="1" t="str">
        <f>HYPERLINK("http://genome-euro.ucsc.edu/cgi-bin/hgTracks?position=203580_s_at","UCSC")</f>
        <v>UCSC</v>
      </c>
      <c r="E4650" s="1" t="str">
        <f>HYPERLINK("http://www.ncbi.nlm.nih.gov/gene/?term=SLC7A6","NCBI")</f>
        <v>NCBI</v>
      </c>
      <c r="F4650">
        <v>3.9E-2</v>
      </c>
      <c r="G4650">
        <v>0.14000000000000001</v>
      </c>
      <c r="H4650" s="1" t="str">
        <f>HYPERLINK("http://www.weizmann.ac.il/complex/compphys/software/geview/data/figures/203580_s_at.png","Figure")</f>
        <v>Figure</v>
      </c>
      <c r="I4650">
        <v>1.24</v>
      </c>
      <c r="J4650">
        <v>7.9000000000000001E-2</v>
      </c>
      <c r="K4650">
        <v>1.24</v>
      </c>
      <c r="L4650">
        <v>0.05</v>
      </c>
      <c r="M4650">
        <v>0.99299999999999999</v>
      </c>
      <c r="N4650">
        <v>1</v>
      </c>
    </row>
    <row r="4651" spans="1:14" x14ac:dyDescent="0.25">
      <c r="A4651" t="s">
        <v>8440</v>
      </c>
      <c r="B4651" t="s">
        <v>8441</v>
      </c>
      <c r="C4651" s="1" t="str">
        <f>HYPERLINK("http://www.genecards.org/cgi-bin/carddisp.pl?gene=ABCF3","GeneCards")</f>
        <v>GeneCards</v>
      </c>
      <c r="D4651" s="1" t="str">
        <f>HYPERLINK("http://genome-euro.ucsc.edu/cgi-bin/hgTracks?position=202394_s_at","UCSC")</f>
        <v>UCSC</v>
      </c>
      <c r="E4651" s="1" t="str">
        <f>HYPERLINK("http://www.ncbi.nlm.nih.gov/gene/?term=ABCF3","NCBI")</f>
        <v>NCBI</v>
      </c>
      <c r="F4651">
        <v>3.9E-2</v>
      </c>
      <c r="G4651">
        <v>0.14000000000000001</v>
      </c>
      <c r="H4651" s="1" t="str">
        <f>HYPERLINK("http://www.weizmann.ac.il/complex/compphys/software/geview/data/figures/202394_s_at.png","Figure")</f>
        <v>Figure</v>
      </c>
      <c r="I4651">
        <v>1.26</v>
      </c>
      <c r="J4651">
        <v>0.1</v>
      </c>
      <c r="K4651">
        <v>0.96199999999999997</v>
      </c>
      <c r="L4651">
        <v>0.9</v>
      </c>
      <c r="M4651">
        <v>0.76600000000000001</v>
      </c>
      <c r="N4651">
        <v>3.5999999999999997E-2</v>
      </c>
    </row>
    <row r="4652" spans="1:14" x14ac:dyDescent="0.25">
      <c r="A4652" t="s">
        <v>8442</v>
      </c>
      <c r="B4652" t="s">
        <v>8443</v>
      </c>
      <c r="C4652" s="1" t="str">
        <f>HYPERLINK("http://www.genecards.org/cgi-bin/carddisp.pl?gene=STC1","GeneCards")</f>
        <v>GeneCards</v>
      </c>
      <c r="D4652" s="1" t="str">
        <f>HYPERLINK("http://genome-euro.ucsc.edu/cgi-bin/hgTracks?position=204595_s_at","UCSC")</f>
        <v>UCSC</v>
      </c>
      <c r="E4652" s="1" t="str">
        <f>HYPERLINK("http://www.ncbi.nlm.nih.gov/gene/?term=STC1","NCBI")</f>
        <v>NCBI</v>
      </c>
      <c r="F4652">
        <v>3.9E-2</v>
      </c>
      <c r="G4652">
        <v>0.14000000000000001</v>
      </c>
      <c r="H4652" s="1" t="str">
        <f>HYPERLINK("http://www.weizmann.ac.il/complex/compphys/software/geview/data/figures/204595_s_at.png","Figure")</f>
        <v>Figure</v>
      </c>
      <c r="I4652">
        <v>1.33</v>
      </c>
      <c r="J4652">
        <v>3.2000000000000001E-2</v>
      </c>
      <c r="K4652">
        <v>1.17</v>
      </c>
      <c r="L4652">
        <v>0.21</v>
      </c>
      <c r="M4652">
        <v>0.877</v>
      </c>
      <c r="N4652">
        <v>0.37</v>
      </c>
    </row>
    <row r="4653" spans="1:14" x14ac:dyDescent="0.25">
      <c r="A4653" t="s">
        <v>8444</v>
      </c>
      <c r="B4653" t="s">
        <v>8445</v>
      </c>
      <c r="C4653" s="1" t="str">
        <f>HYPERLINK("http://www.genecards.org/cgi-bin/carddisp.pl?gene=PON2","GeneCards")</f>
        <v>GeneCards</v>
      </c>
      <c r="D4653" s="1" t="str">
        <f>HYPERLINK("http://genome-euro.ucsc.edu/cgi-bin/hgTracks?position=210830_s_at","UCSC")</f>
        <v>UCSC</v>
      </c>
      <c r="E4653" s="1" t="str">
        <f>HYPERLINK("http://www.ncbi.nlm.nih.gov/gene/?term=PON2","NCBI")</f>
        <v>NCBI</v>
      </c>
      <c r="F4653">
        <v>3.9E-2</v>
      </c>
      <c r="G4653">
        <v>0.14000000000000001</v>
      </c>
      <c r="H4653" s="1" t="str">
        <f>HYPERLINK("http://www.weizmann.ac.il/complex/compphys/software/geview/data/figures/210830_s_at.png","Figure")</f>
        <v>Figure</v>
      </c>
      <c r="I4653">
        <v>0.88300000000000001</v>
      </c>
      <c r="J4653">
        <v>6.4000000000000001E-2</v>
      </c>
      <c r="K4653">
        <v>1</v>
      </c>
      <c r="L4653">
        <v>1</v>
      </c>
      <c r="M4653">
        <v>1.1299999999999999</v>
      </c>
      <c r="N4653">
        <v>4.7E-2</v>
      </c>
    </row>
    <row r="4654" spans="1:14" x14ac:dyDescent="0.25">
      <c r="A4654" t="s">
        <v>8446</v>
      </c>
      <c r="B4654" t="s">
        <v>8447</v>
      </c>
      <c r="C4654" s="1" t="str">
        <f>HYPERLINK("http://www.genecards.org/cgi-bin/carddisp.pl?gene=TBXA2R","GeneCards")</f>
        <v>GeneCards</v>
      </c>
      <c r="D4654" s="1" t="str">
        <f>HYPERLINK("http://genome-euro.ucsc.edu/cgi-bin/hgTracks?position=211590_x_at","UCSC")</f>
        <v>UCSC</v>
      </c>
      <c r="E4654" s="1" t="str">
        <f>HYPERLINK("http://www.ncbi.nlm.nih.gov/gene/?term=TBXA2R","NCBI")</f>
        <v>NCBI</v>
      </c>
      <c r="F4654">
        <v>3.9E-2</v>
      </c>
      <c r="G4654">
        <v>0.14000000000000001</v>
      </c>
      <c r="H4654" s="1" t="str">
        <f>HYPERLINK("http://www.weizmann.ac.il/complex/compphys/software/geview/data/figures/211590_x_at.png","Figure")</f>
        <v>Figure</v>
      </c>
      <c r="I4654">
        <v>1.37</v>
      </c>
      <c r="J4654">
        <v>3.1E-2</v>
      </c>
      <c r="K4654">
        <v>1.1399999999999999</v>
      </c>
      <c r="L4654">
        <v>0.38</v>
      </c>
      <c r="M4654">
        <v>0.83</v>
      </c>
      <c r="N4654">
        <v>0.2</v>
      </c>
    </row>
    <row r="4655" spans="1:14" x14ac:dyDescent="0.25">
      <c r="A4655" t="s">
        <v>8448</v>
      </c>
      <c r="B4655" t="s">
        <v>8449</v>
      </c>
      <c r="C4655" s="1" t="str">
        <f>HYPERLINK("http://www.genecards.org/cgi-bin/carddisp.pl?gene=DCP1A","GeneCards")</f>
        <v>GeneCards</v>
      </c>
      <c r="D4655" s="1" t="str">
        <f>HYPERLINK("http://genome-euro.ucsc.edu/cgi-bin/hgTracks?position=218508_at","UCSC")</f>
        <v>UCSC</v>
      </c>
      <c r="E4655" s="1" t="str">
        <f>HYPERLINK("http://www.ncbi.nlm.nih.gov/gene/?term=DCP1A","NCBI")</f>
        <v>NCBI</v>
      </c>
      <c r="F4655">
        <v>3.9E-2</v>
      </c>
      <c r="G4655">
        <v>0.14000000000000001</v>
      </c>
      <c r="H4655" s="1" t="str">
        <f>HYPERLINK("http://www.weizmann.ac.il/complex/compphys/software/geview/data/figures/218508_at.png","Figure")</f>
        <v>Figure</v>
      </c>
      <c r="I4655">
        <v>1.0900000000000001</v>
      </c>
      <c r="J4655">
        <v>0.9</v>
      </c>
      <c r="K4655">
        <v>0.68700000000000006</v>
      </c>
      <c r="L4655">
        <v>9.9000000000000005E-2</v>
      </c>
      <c r="M4655">
        <v>0.63200000000000001</v>
      </c>
      <c r="N4655">
        <v>5.7000000000000002E-2</v>
      </c>
    </row>
    <row r="4656" spans="1:14" x14ac:dyDescent="0.25">
      <c r="A4656" t="s">
        <v>8450</v>
      </c>
      <c r="B4656" t="s">
        <v>8451</v>
      </c>
      <c r="C4656" s="1" t="str">
        <f>HYPERLINK("http://www.genecards.org/cgi-bin/carddisp.pl?gene=DLGAP5","GeneCards")</f>
        <v>GeneCards</v>
      </c>
      <c r="D4656" s="1" t="str">
        <f>HYPERLINK("http://genome-euro.ucsc.edu/cgi-bin/hgTracks?position=203764_at","UCSC")</f>
        <v>UCSC</v>
      </c>
      <c r="E4656" s="1" t="str">
        <f>HYPERLINK("http://www.ncbi.nlm.nih.gov/gene/?term=DLGAP5","NCBI")</f>
        <v>NCBI</v>
      </c>
      <c r="F4656">
        <v>3.9E-2</v>
      </c>
      <c r="G4656">
        <v>0.14000000000000001</v>
      </c>
      <c r="H4656" s="1" t="str">
        <f>HYPERLINK("http://www.weizmann.ac.il/complex/compphys/software/geview/data/figures/203764_at.png","Figure")</f>
        <v>Figure</v>
      </c>
      <c r="I4656">
        <v>0.78200000000000003</v>
      </c>
      <c r="J4656">
        <v>0.69</v>
      </c>
      <c r="K4656">
        <v>1.67</v>
      </c>
      <c r="L4656">
        <v>0.16</v>
      </c>
      <c r="M4656">
        <v>2.13</v>
      </c>
      <c r="N4656">
        <v>4.2000000000000003E-2</v>
      </c>
    </row>
    <row r="4657" spans="1:14" x14ac:dyDescent="0.25">
      <c r="A4657" t="s">
        <v>8452</v>
      </c>
      <c r="B4657" t="s">
        <v>8453</v>
      </c>
      <c r="C4657" s="1" t="str">
        <f>HYPERLINK("http://www.genecards.org/cgi-bin/carddisp.pl?gene=DEDD","GeneCards")</f>
        <v>GeneCards</v>
      </c>
      <c r="D4657" s="1" t="str">
        <f>HYPERLINK("http://genome-euro.ucsc.edu/cgi-bin/hgTracks?position=202480_s_at","UCSC")</f>
        <v>UCSC</v>
      </c>
      <c r="E4657" s="1" t="str">
        <f>HYPERLINK("http://www.ncbi.nlm.nih.gov/gene/?term=DEDD","NCBI")</f>
        <v>NCBI</v>
      </c>
      <c r="F4657">
        <v>3.9E-2</v>
      </c>
      <c r="G4657">
        <v>0.14000000000000001</v>
      </c>
      <c r="H4657" s="1" t="str">
        <f>HYPERLINK("http://www.weizmann.ac.il/complex/compphys/software/geview/data/figures/202480_s_at.png","Figure")</f>
        <v>Figure</v>
      </c>
      <c r="I4657">
        <v>1.23</v>
      </c>
      <c r="J4657">
        <v>3.4000000000000002E-2</v>
      </c>
      <c r="K4657">
        <v>1.1299999999999999</v>
      </c>
      <c r="L4657">
        <v>0.18</v>
      </c>
      <c r="M4657">
        <v>0.91600000000000004</v>
      </c>
      <c r="N4657">
        <v>0.43</v>
      </c>
    </row>
    <row r="4658" spans="1:14" x14ac:dyDescent="0.25">
      <c r="A4658" t="s">
        <v>8454</v>
      </c>
      <c r="B4658" t="s">
        <v>2466</v>
      </c>
      <c r="C4658" s="1" t="str">
        <f>HYPERLINK("http://www.genecards.org/cgi-bin/carddisp.pl?gene=KDELR3","GeneCards")</f>
        <v>GeneCards</v>
      </c>
      <c r="D4658" s="1" t="str">
        <f>HYPERLINK("http://genome-euro.ucsc.edu/cgi-bin/hgTracks?position=207265_s_at","UCSC")</f>
        <v>UCSC</v>
      </c>
      <c r="E4658" s="1" t="str">
        <f>HYPERLINK("http://www.ncbi.nlm.nih.gov/gene/?term=KDELR3","NCBI")</f>
        <v>NCBI</v>
      </c>
      <c r="F4658">
        <v>3.9E-2</v>
      </c>
      <c r="G4658">
        <v>0.14000000000000001</v>
      </c>
      <c r="H4658" s="1" t="str">
        <f>HYPERLINK("http://www.weizmann.ac.il/complex/compphys/software/geview/data/figures/207265_s_at.png","Figure")</f>
        <v>Figure</v>
      </c>
      <c r="I4658">
        <v>1.1100000000000001</v>
      </c>
      <c r="J4658">
        <v>0.37</v>
      </c>
      <c r="K4658">
        <v>0.91200000000000003</v>
      </c>
      <c r="L4658">
        <v>0.33</v>
      </c>
      <c r="M4658">
        <v>0.82499999999999996</v>
      </c>
      <c r="N4658">
        <v>3.2000000000000001E-2</v>
      </c>
    </row>
    <row r="4659" spans="1:14" x14ac:dyDescent="0.25">
      <c r="A4659" t="s">
        <v>8455</v>
      </c>
      <c r="B4659" t="s">
        <v>8456</v>
      </c>
      <c r="C4659" s="1" t="str">
        <f>HYPERLINK("http://www.genecards.org/cgi-bin/carddisp.pl?gene=PTPRU","GeneCards")</f>
        <v>GeneCards</v>
      </c>
      <c r="D4659" s="1" t="str">
        <f>HYPERLINK("http://genome-euro.ucsc.edu/cgi-bin/hgTracks?position=211320_s_at","UCSC")</f>
        <v>UCSC</v>
      </c>
      <c r="E4659" s="1" t="str">
        <f>HYPERLINK("http://www.ncbi.nlm.nih.gov/gene/?term=PTPRU","NCBI")</f>
        <v>NCBI</v>
      </c>
      <c r="F4659">
        <v>3.9E-2</v>
      </c>
      <c r="G4659">
        <v>0.14000000000000001</v>
      </c>
      <c r="H4659" s="1" t="str">
        <f>HYPERLINK("http://www.weizmann.ac.il/complex/compphys/software/geview/data/figures/211320_s_at.png","Figure")</f>
        <v>Figure</v>
      </c>
      <c r="I4659">
        <v>1.26</v>
      </c>
      <c r="J4659">
        <v>0.04</v>
      </c>
      <c r="K4659">
        <v>1.05</v>
      </c>
      <c r="L4659">
        <v>0.81</v>
      </c>
      <c r="M4659">
        <v>0.83099999999999996</v>
      </c>
      <c r="N4659">
        <v>0.08</v>
      </c>
    </row>
    <row r="4660" spans="1:14" x14ac:dyDescent="0.25">
      <c r="A4660" t="s">
        <v>8457</v>
      </c>
      <c r="B4660" t="s">
        <v>8458</v>
      </c>
      <c r="C4660" s="1" t="str">
        <f>HYPERLINK("http://www.genecards.org/cgi-bin/carddisp.pl?gene=LRCH3","GeneCards")</f>
        <v>GeneCards</v>
      </c>
      <c r="D4660" s="1" t="str">
        <f>HYPERLINK("http://genome-euro.ucsc.edu/cgi-bin/hgTracks?position=214739_at","UCSC")</f>
        <v>UCSC</v>
      </c>
      <c r="E4660" s="1" t="str">
        <f>HYPERLINK("http://www.ncbi.nlm.nih.gov/gene/?term=LRCH3","NCBI")</f>
        <v>NCBI</v>
      </c>
      <c r="F4660">
        <v>3.9E-2</v>
      </c>
      <c r="G4660">
        <v>0.14000000000000001</v>
      </c>
      <c r="H4660" s="1" t="str">
        <f>HYPERLINK("http://www.weizmann.ac.il/complex/compphys/software/geview/data/figures/214739_at.png","Figure")</f>
        <v>Figure</v>
      </c>
      <c r="I4660">
        <v>0.64900000000000002</v>
      </c>
      <c r="J4660">
        <v>4.3999999999999997E-2</v>
      </c>
      <c r="K4660">
        <v>0.93500000000000005</v>
      </c>
      <c r="L4660">
        <v>0.88</v>
      </c>
      <c r="M4660">
        <v>1.44</v>
      </c>
      <c r="N4660">
        <v>7.0000000000000007E-2</v>
      </c>
    </row>
    <row r="4661" spans="1:14" x14ac:dyDescent="0.25">
      <c r="A4661" t="s">
        <v>8459</v>
      </c>
      <c r="B4661" t="s">
        <v>8460</v>
      </c>
      <c r="C4661" s="1" t="str">
        <f>HYPERLINK("http://www.genecards.org/cgi-bin/carddisp.pl?gene=MRPS22","GeneCards")</f>
        <v>GeneCards</v>
      </c>
      <c r="D4661" s="1" t="str">
        <f>HYPERLINK("http://genome-euro.ucsc.edu/cgi-bin/hgTracks?position=219220_x_at","UCSC")</f>
        <v>UCSC</v>
      </c>
      <c r="E4661" s="1" t="str">
        <f>HYPERLINK("http://www.ncbi.nlm.nih.gov/gene/?term=MRPS22","NCBI")</f>
        <v>NCBI</v>
      </c>
      <c r="F4661">
        <v>3.9E-2</v>
      </c>
      <c r="G4661">
        <v>0.14000000000000001</v>
      </c>
      <c r="H4661" s="1" t="str">
        <f>HYPERLINK("http://www.weizmann.ac.il/complex/compphys/software/geview/data/figures/219220_x_at.png","Figure")</f>
        <v>Figure</v>
      </c>
      <c r="I4661">
        <v>1.36</v>
      </c>
      <c r="J4661">
        <v>0.15</v>
      </c>
      <c r="K4661">
        <v>0.90200000000000002</v>
      </c>
      <c r="L4661">
        <v>0.72</v>
      </c>
      <c r="M4661">
        <v>0.66400000000000003</v>
      </c>
      <c r="N4661">
        <v>3.2000000000000001E-2</v>
      </c>
    </row>
    <row r="4662" spans="1:14" x14ac:dyDescent="0.25">
      <c r="A4662" t="s">
        <v>8461</v>
      </c>
      <c r="B4662" t="s">
        <v>8462</v>
      </c>
      <c r="C4662" s="1" t="str">
        <f>HYPERLINK("http://www.genecards.org/cgi-bin/carddisp.pl?gene=PART1","GeneCards")</f>
        <v>GeneCards</v>
      </c>
      <c r="D4662" s="1" t="str">
        <f>HYPERLINK("http://genome-euro.ucsc.edu/cgi-bin/hgTracks?position=205834_s_at","UCSC")</f>
        <v>UCSC</v>
      </c>
      <c r="E4662" s="1" t="str">
        <f>HYPERLINK("http://www.ncbi.nlm.nih.gov/gene/?term=PART1","NCBI")</f>
        <v>NCBI</v>
      </c>
      <c r="F4662">
        <v>3.9E-2</v>
      </c>
      <c r="G4662">
        <v>0.14000000000000001</v>
      </c>
      <c r="H4662" s="1" t="str">
        <f>HYPERLINK("http://www.weizmann.ac.il/complex/compphys/software/geview/data/figures/205834_s_at.png","Figure")</f>
        <v>Figure</v>
      </c>
      <c r="I4662">
        <v>1.21</v>
      </c>
      <c r="J4662">
        <v>0.11</v>
      </c>
      <c r="K4662">
        <v>0.96299999999999997</v>
      </c>
      <c r="L4662">
        <v>0.87</v>
      </c>
      <c r="M4662">
        <v>0.79600000000000004</v>
      </c>
      <c r="N4662">
        <v>3.5000000000000003E-2</v>
      </c>
    </row>
    <row r="4663" spans="1:14" x14ac:dyDescent="0.25">
      <c r="A4663" t="s">
        <v>8463</v>
      </c>
      <c r="B4663" t="s">
        <v>8464</v>
      </c>
      <c r="C4663" s="1" t="str">
        <f>HYPERLINK("http://www.genecards.org/cgi-bin/carddisp.pl?gene=HIPK2","GeneCards")</f>
        <v>GeneCards</v>
      </c>
      <c r="D4663" s="1" t="str">
        <f>HYPERLINK("http://genome-euro.ucsc.edu/cgi-bin/hgTracks?position=219028_at","UCSC")</f>
        <v>UCSC</v>
      </c>
      <c r="E4663" s="1" t="str">
        <f>HYPERLINK("http://www.ncbi.nlm.nih.gov/gene/?term=HIPK2","NCBI")</f>
        <v>NCBI</v>
      </c>
      <c r="F4663">
        <v>3.9E-2</v>
      </c>
      <c r="G4663">
        <v>0.14000000000000001</v>
      </c>
      <c r="H4663" s="1" t="str">
        <f>HYPERLINK("http://www.weizmann.ac.il/complex/compphys/software/geview/data/figures/219028_at.png","Figure")</f>
        <v>Figure</v>
      </c>
      <c r="I4663">
        <v>1.17</v>
      </c>
      <c r="J4663">
        <v>0.12</v>
      </c>
      <c r="K4663">
        <v>1.2</v>
      </c>
      <c r="L4663">
        <v>3.9E-2</v>
      </c>
      <c r="M4663">
        <v>1.02</v>
      </c>
      <c r="N4663">
        <v>0.96</v>
      </c>
    </row>
    <row r="4664" spans="1:14" x14ac:dyDescent="0.25">
      <c r="A4664" t="s">
        <v>8465</v>
      </c>
      <c r="B4664" t="s">
        <v>8466</v>
      </c>
      <c r="C4664" s="1" t="str">
        <f>HYPERLINK("http://www.genecards.org/cgi-bin/carddisp.pl?gene=CDK2AP2","GeneCards")</f>
        <v>GeneCards</v>
      </c>
      <c r="D4664" s="1" t="str">
        <f>HYPERLINK("http://genome-euro.ucsc.edu/cgi-bin/hgTracks?position=203252_at","UCSC")</f>
        <v>UCSC</v>
      </c>
      <c r="E4664" s="1" t="str">
        <f>HYPERLINK("http://www.ncbi.nlm.nih.gov/gene/?term=CDK2AP2","NCBI")</f>
        <v>NCBI</v>
      </c>
      <c r="F4664">
        <v>3.9E-2</v>
      </c>
      <c r="G4664">
        <v>0.14000000000000001</v>
      </c>
      <c r="H4664" s="1" t="str">
        <f>HYPERLINK("http://www.weizmann.ac.il/complex/compphys/software/geview/data/figures/203252_at.png","Figure")</f>
        <v>Figure</v>
      </c>
      <c r="I4664">
        <v>1.03</v>
      </c>
      <c r="J4664">
        <v>0.96</v>
      </c>
      <c r="K4664">
        <v>1.27</v>
      </c>
      <c r="L4664">
        <v>5.1999999999999998E-2</v>
      </c>
      <c r="M4664">
        <v>1.24</v>
      </c>
      <c r="N4664">
        <v>0.11</v>
      </c>
    </row>
    <row r="4665" spans="1:14" x14ac:dyDescent="0.25">
      <c r="A4665" t="s">
        <v>8467</v>
      </c>
      <c r="B4665" t="s">
        <v>8468</v>
      </c>
      <c r="C4665" s="1" t="str">
        <f>HYPERLINK("http://www.genecards.org/cgi-bin/carddisp.pl?gene=OBP2A","GeneCards")</f>
        <v>GeneCards</v>
      </c>
      <c r="D4665" s="1" t="str">
        <f>HYPERLINK("http://genome-euro.ucsc.edu/cgi-bin/hgTracks?position=220848_x_at","UCSC")</f>
        <v>UCSC</v>
      </c>
      <c r="E4665" s="1" t="str">
        <f>HYPERLINK("http://www.ncbi.nlm.nih.gov/gene/?term=OBP2A","NCBI")</f>
        <v>NCBI</v>
      </c>
      <c r="F4665">
        <v>3.9E-2</v>
      </c>
      <c r="G4665">
        <v>0.14000000000000001</v>
      </c>
      <c r="H4665" s="1" t="str">
        <f>HYPERLINK("http://www.weizmann.ac.il/complex/compphys/software/geview/data/figures/220848_x_at.png","Figure")</f>
        <v>Figure</v>
      </c>
      <c r="I4665">
        <v>1.27</v>
      </c>
      <c r="J4665">
        <v>6.2E-2</v>
      </c>
      <c r="K4665">
        <v>1</v>
      </c>
      <c r="L4665">
        <v>1</v>
      </c>
      <c r="M4665">
        <v>0.79100000000000004</v>
      </c>
      <c r="N4665">
        <v>4.8000000000000001E-2</v>
      </c>
    </row>
    <row r="4666" spans="1:14" x14ac:dyDescent="0.25">
      <c r="A4666" t="s">
        <v>8469</v>
      </c>
      <c r="B4666" t="s">
        <v>2629</v>
      </c>
      <c r="C4666" s="1" t="str">
        <f>HYPERLINK("http://www.genecards.org/cgi-bin/carddisp.pl?gene=TECPR2","GeneCards")</f>
        <v>GeneCards</v>
      </c>
      <c r="D4666" s="1" t="str">
        <f>HYPERLINK("http://genome-euro.ucsc.edu/cgi-bin/hgTracks?position=204307_at","UCSC")</f>
        <v>UCSC</v>
      </c>
      <c r="E4666" s="1" t="str">
        <f>HYPERLINK("http://www.ncbi.nlm.nih.gov/gene/?term=TECPR2","NCBI")</f>
        <v>NCBI</v>
      </c>
      <c r="F4666">
        <v>3.9E-2</v>
      </c>
      <c r="G4666">
        <v>0.14000000000000001</v>
      </c>
      <c r="H4666" s="1" t="str">
        <f>HYPERLINK("http://www.weizmann.ac.il/complex/compphys/software/geview/data/figures/204307_at.png","Figure")</f>
        <v>Figure</v>
      </c>
      <c r="I4666">
        <v>0.76800000000000002</v>
      </c>
      <c r="J4666">
        <v>7.4999999999999997E-2</v>
      </c>
      <c r="K4666">
        <v>1.02</v>
      </c>
      <c r="L4666">
        <v>0.99</v>
      </c>
      <c r="M4666">
        <v>1.32</v>
      </c>
      <c r="N4666">
        <v>4.2000000000000003E-2</v>
      </c>
    </row>
    <row r="4667" spans="1:14" x14ac:dyDescent="0.25">
      <c r="A4667" t="s">
        <v>8470</v>
      </c>
      <c r="B4667" t="s">
        <v>8471</v>
      </c>
      <c r="C4667" s="1" t="str">
        <f>HYPERLINK("http://www.genecards.org/cgi-bin/carddisp.pl?gene=MKRN2","GeneCards")</f>
        <v>GeneCards</v>
      </c>
      <c r="D4667" s="1" t="str">
        <f>HYPERLINK("http://genome-euro.ucsc.edu/cgi-bin/hgTracks?position=218071_s_at","UCSC")</f>
        <v>UCSC</v>
      </c>
      <c r="E4667" s="1" t="str">
        <f>HYPERLINK("http://www.ncbi.nlm.nih.gov/gene/?term=MKRN2","NCBI")</f>
        <v>NCBI</v>
      </c>
      <c r="F4667">
        <v>3.9E-2</v>
      </c>
      <c r="G4667">
        <v>0.14000000000000001</v>
      </c>
      <c r="H4667" s="1" t="str">
        <f>HYPERLINK("http://www.weizmann.ac.il/complex/compphys/software/geview/data/figures/218071_s_at.png","Figure")</f>
        <v>Figure</v>
      </c>
      <c r="I4667">
        <v>0.75900000000000001</v>
      </c>
      <c r="J4667">
        <v>6.9000000000000006E-2</v>
      </c>
      <c r="K4667">
        <v>1.01</v>
      </c>
      <c r="L4667">
        <v>1</v>
      </c>
      <c r="M4667">
        <v>1.33</v>
      </c>
      <c r="N4667">
        <v>4.4999999999999998E-2</v>
      </c>
    </row>
    <row r="4668" spans="1:14" x14ac:dyDescent="0.25">
      <c r="A4668" t="s">
        <v>8472</v>
      </c>
      <c r="B4668" t="s">
        <v>8473</v>
      </c>
      <c r="C4668" s="1" t="str">
        <f>HYPERLINK("http://www.genecards.org/cgi-bin/carddisp.pl?gene=CLDN6","GeneCards")</f>
        <v>GeneCards</v>
      </c>
      <c r="D4668" s="1" t="str">
        <f>HYPERLINK("http://genome-euro.ucsc.edu/cgi-bin/hgTracks?position=208474_at","UCSC")</f>
        <v>UCSC</v>
      </c>
      <c r="E4668" s="1" t="str">
        <f>HYPERLINK("http://www.ncbi.nlm.nih.gov/gene/?term=CLDN6","NCBI")</f>
        <v>NCBI</v>
      </c>
      <c r="F4668">
        <v>3.9E-2</v>
      </c>
      <c r="G4668">
        <v>0.14000000000000001</v>
      </c>
      <c r="H4668" s="1" t="str">
        <f>HYPERLINK("http://www.weizmann.ac.il/complex/compphys/software/geview/data/figures/208474_at.png","Figure")</f>
        <v>Figure</v>
      </c>
      <c r="I4668">
        <v>1.52</v>
      </c>
      <c r="J4668">
        <v>4.4999999999999998E-2</v>
      </c>
      <c r="K4668">
        <v>1.36</v>
      </c>
      <c r="L4668">
        <v>9.4E-2</v>
      </c>
      <c r="M4668">
        <v>0.89700000000000002</v>
      </c>
      <c r="N4668">
        <v>0.73</v>
      </c>
    </row>
    <row r="4669" spans="1:14" x14ac:dyDescent="0.25">
      <c r="A4669" t="s">
        <v>8474</v>
      </c>
      <c r="B4669" t="s">
        <v>285</v>
      </c>
      <c r="C4669" s="1" t="str">
        <f>HYPERLINK("http://www.genecards.org/cgi-bin/carddisp.pl?gene=GALNT1","GeneCards")</f>
        <v>GeneCards</v>
      </c>
      <c r="D4669" s="1" t="str">
        <f>HYPERLINK("http://genome-euro.ucsc.edu/cgi-bin/hgTracks?position=201723_s_at","UCSC")</f>
        <v>UCSC</v>
      </c>
      <c r="E4669" s="1" t="str">
        <f>HYPERLINK("http://www.ncbi.nlm.nih.gov/gene/?term=GALNT1","NCBI")</f>
        <v>NCBI</v>
      </c>
      <c r="F4669">
        <v>3.9E-2</v>
      </c>
      <c r="G4669">
        <v>0.14000000000000001</v>
      </c>
      <c r="H4669" s="1" t="str">
        <f>HYPERLINK("http://www.weizmann.ac.il/complex/compphys/software/geview/data/figures/201723_s_at.png","Figure")</f>
        <v>Figure</v>
      </c>
      <c r="I4669">
        <v>0.63400000000000001</v>
      </c>
      <c r="J4669">
        <v>3.3000000000000002E-2</v>
      </c>
      <c r="K4669">
        <v>0.85799999999999998</v>
      </c>
      <c r="L4669">
        <v>0.53</v>
      </c>
      <c r="M4669">
        <v>1.35</v>
      </c>
      <c r="N4669">
        <v>0.14000000000000001</v>
      </c>
    </row>
    <row r="4670" spans="1:14" x14ac:dyDescent="0.25">
      <c r="A4670" t="s">
        <v>8475</v>
      </c>
      <c r="B4670" t="s">
        <v>8476</v>
      </c>
      <c r="C4670" s="1" t="str">
        <f>HYPERLINK("http://www.genecards.org/cgi-bin/carddisp.pl?gene=XRCC1","GeneCards")</f>
        <v>GeneCards</v>
      </c>
      <c r="D4670" s="1" t="str">
        <f>HYPERLINK("http://genome-euro.ucsc.edu/cgi-bin/hgTracks?position=203655_at","UCSC")</f>
        <v>UCSC</v>
      </c>
      <c r="E4670" s="1" t="str">
        <f>HYPERLINK("http://www.ncbi.nlm.nih.gov/gene/?term=XRCC1","NCBI")</f>
        <v>NCBI</v>
      </c>
      <c r="F4670">
        <v>3.9E-2</v>
      </c>
      <c r="G4670">
        <v>0.14000000000000001</v>
      </c>
      <c r="H4670" s="1" t="str">
        <f>HYPERLINK("http://www.weizmann.ac.il/complex/compphys/software/geview/data/figures/203655_at.png","Figure")</f>
        <v>Figure</v>
      </c>
      <c r="I4670">
        <v>1.1599999999999999</v>
      </c>
      <c r="J4670">
        <v>0.52</v>
      </c>
      <c r="K4670">
        <v>1.4</v>
      </c>
      <c r="L4670">
        <v>3.3000000000000002E-2</v>
      </c>
      <c r="M4670">
        <v>1.2</v>
      </c>
      <c r="N4670">
        <v>0.33</v>
      </c>
    </row>
    <row r="4671" spans="1:14" x14ac:dyDescent="0.25">
      <c r="A4671" t="s">
        <v>8477</v>
      </c>
      <c r="B4671" t="s">
        <v>6886</v>
      </c>
      <c r="C4671" s="1" t="str">
        <f>HYPERLINK("http://www.genecards.org/cgi-bin/carddisp.pl?gene=COQ7","GeneCards")</f>
        <v>GeneCards</v>
      </c>
      <c r="D4671" s="1" t="str">
        <f>HYPERLINK("http://genome-euro.ucsc.edu/cgi-bin/hgTracks?position=210820_x_at","UCSC")</f>
        <v>UCSC</v>
      </c>
      <c r="E4671" s="1" t="str">
        <f>HYPERLINK("http://www.ncbi.nlm.nih.gov/gene/?term=COQ7","NCBI")</f>
        <v>NCBI</v>
      </c>
      <c r="F4671">
        <v>3.9E-2</v>
      </c>
      <c r="G4671">
        <v>0.14000000000000001</v>
      </c>
      <c r="H4671" s="1" t="str">
        <f>HYPERLINK("http://www.weizmann.ac.il/complex/compphys/software/geview/data/figures/210820_x_at.png","Figure")</f>
        <v>Figure</v>
      </c>
      <c r="I4671">
        <v>1.17</v>
      </c>
      <c r="J4671">
        <v>3.2000000000000001E-2</v>
      </c>
      <c r="K4671">
        <v>1.06</v>
      </c>
      <c r="L4671">
        <v>0.49</v>
      </c>
      <c r="M4671">
        <v>0.90200000000000002</v>
      </c>
      <c r="N4671">
        <v>0.16</v>
      </c>
    </row>
    <row r="4672" spans="1:14" x14ac:dyDescent="0.25">
      <c r="A4672" t="s">
        <v>8478</v>
      </c>
      <c r="B4672" t="s">
        <v>8479</v>
      </c>
      <c r="C4672" s="1" t="str">
        <f>HYPERLINK("http://www.genecards.org/cgi-bin/carddisp.pl?gene=ACSM3","GeneCards")</f>
        <v>GeneCards</v>
      </c>
      <c r="D4672" s="1" t="str">
        <f>HYPERLINK("http://genome-euro.ucsc.edu/cgi-bin/hgTracks?position=210377_at","UCSC")</f>
        <v>UCSC</v>
      </c>
      <c r="E4672" s="1" t="str">
        <f>HYPERLINK("http://www.ncbi.nlm.nih.gov/gene/?term=ACSM3","NCBI")</f>
        <v>NCBI</v>
      </c>
      <c r="F4672">
        <v>3.9E-2</v>
      </c>
      <c r="G4672">
        <v>0.14000000000000001</v>
      </c>
      <c r="H4672" s="1" t="str">
        <f>HYPERLINK("http://www.weizmann.ac.il/complex/compphys/software/geview/data/figures/210377_at.png","Figure")</f>
        <v>Figure</v>
      </c>
      <c r="I4672">
        <v>1.04</v>
      </c>
      <c r="J4672">
        <v>5.2999999999999999E-2</v>
      </c>
      <c r="K4672">
        <v>1.03</v>
      </c>
      <c r="L4672">
        <v>7.3999999999999996E-2</v>
      </c>
      <c r="M4672">
        <v>0.99199999999999999</v>
      </c>
      <c r="N4672">
        <v>0.86</v>
      </c>
    </row>
    <row r="4673" spans="1:14" x14ac:dyDescent="0.25">
      <c r="A4673" t="s">
        <v>8480</v>
      </c>
      <c r="B4673" t="s">
        <v>8481</v>
      </c>
      <c r="C4673" s="1" t="str">
        <f>HYPERLINK("http://www.genecards.org/cgi-bin/carddisp.pl?gene=MTM1","GeneCards")</f>
        <v>GeneCards</v>
      </c>
      <c r="D4673" s="1" t="str">
        <f>HYPERLINK("http://genome-euro.ucsc.edu/cgi-bin/hgTracks?position=36920_at","UCSC")</f>
        <v>UCSC</v>
      </c>
      <c r="E4673" s="1" t="str">
        <f>HYPERLINK("http://www.ncbi.nlm.nih.gov/gene/?term=MTM1","NCBI")</f>
        <v>NCBI</v>
      </c>
      <c r="F4673">
        <v>3.9E-2</v>
      </c>
      <c r="G4673">
        <v>0.14000000000000001</v>
      </c>
      <c r="H4673" s="1" t="str">
        <f>HYPERLINK("http://www.weizmann.ac.il/complex/compphys/software/geview/data/figures/36920_at.png","Figure")</f>
        <v>Figure</v>
      </c>
      <c r="I4673">
        <v>0.64400000000000002</v>
      </c>
      <c r="J4673">
        <v>4.2000000000000003E-2</v>
      </c>
      <c r="K4673">
        <v>0.92400000000000004</v>
      </c>
      <c r="L4673">
        <v>0.84</v>
      </c>
      <c r="M4673">
        <v>1.43</v>
      </c>
      <c r="N4673">
        <v>7.6999999999999999E-2</v>
      </c>
    </row>
    <row r="4674" spans="1:14" x14ac:dyDescent="0.25">
      <c r="A4674" t="s">
        <v>8482</v>
      </c>
      <c r="B4674" t="s">
        <v>758</v>
      </c>
      <c r="C4674" s="1" t="str">
        <f>HYPERLINK("http://www.genecards.org/cgi-bin/carddisp.pl?gene=C6orf62","GeneCards")</f>
        <v>GeneCards</v>
      </c>
      <c r="D4674" s="1" t="str">
        <f>HYPERLINK("http://genome-euro.ucsc.edu/cgi-bin/hgTracks?position=213872_at","UCSC")</f>
        <v>UCSC</v>
      </c>
      <c r="E4674" s="1" t="str">
        <f>HYPERLINK("http://www.ncbi.nlm.nih.gov/gene/?term=C6orf62","NCBI")</f>
        <v>NCBI</v>
      </c>
      <c r="F4674">
        <v>3.9E-2</v>
      </c>
      <c r="G4674">
        <v>0.14000000000000001</v>
      </c>
      <c r="H4674" s="1" t="str">
        <f>HYPERLINK("http://www.weizmann.ac.il/complex/compphys/software/geview/data/figures/213872_at.png","Figure")</f>
        <v>Figure</v>
      </c>
      <c r="I4674">
        <v>0.502</v>
      </c>
      <c r="J4674">
        <v>3.4000000000000002E-2</v>
      </c>
      <c r="K4674">
        <v>0.67300000000000004</v>
      </c>
      <c r="L4674">
        <v>0.18</v>
      </c>
      <c r="M4674">
        <v>1.34</v>
      </c>
      <c r="N4674">
        <v>0.42</v>
      </c>
    </row>
    <row r="4675" spans="1:14" x14ac:dyDescent="0.25">
      <c r="A4675" t="s">
        <v>8483</v>
      </c>
      <c r="B4675" t="s">
        <v>8484</v>
      </c>
      <c r="C4675" s="1" t="str">
        <f>HYPERLINK("http://www.genecards.org/cgi-bin/carddisp.pl?gene=C17orf68","GeneCards")</f>
        <v>GeneCards</v>
      </c>
      <c r="D4675" s="1" t="str">
        <f>HYPERLINK("http://genome-euro.ucsc.edu/cgi-bin/hgTracks?position=219435_at","UCSC")</f>
        <v>UCSC</v>
      </c>
      <c r="E4675" s="1" t="str">
        <f>HYPERLINK("http://www.ncbi.nlm.nih.gov/gene/?term=C17orf68","NCBI")</f>
        <v>NCBI</v>
      </c>
      <c r="F4675">
        <v>3.9E-2</v>
      </c>
      <c r="G4675">
        <v>0.14000000000000001</v>
      </c>
      <c r="H4675" s="1" t="str">
        <f>HYPERLINK("http://www.weizmann.ac.il/complex/compphys/software/geview/data/figures/219435_at.png","Figure")</f>
        <v>Figure</v>
      </c>
      <c r="I4675">
        <v>1.44</v>
      </c>
      <c r="J4675">
        <v>3.3000000000000002E-2</v>
      </c>
      <c r="K4675">
        <v>1.22</v>
      </c>
      <c r="L4675">
        <v>0.22</v>
      </c>
      <c r="M4675">
        <v>0.84399999999999997</v>
      </c>
      <c r="N4675">
        <v>0.36</v>
      </c>
    </row>
    <row r="4676" spans="1:14" x14ac:dyDescent="0.25">
      <c r="A4676" t="s">
        <v>8485</v>
      </c>
      <c r="B4676" t="s">
        <v>8486</v>
      </c>
      <c r="C4676" s="1" t="str">
        <f>HYPERLINK("http://www.genecards.org/cgi-bin/carddisp.pl?gene=UCRC","GeneCards")</f>
        <v>GeneCards</v>
      </c>
      <c r="D4676" s="1" t="str">
        <f>HYPERLINK("http://genome-euro.ucsc.edu/cgi-bin/hgTracks?position=218190_s_at","UCSC")</f>
        <v>UCSC</v>
      </c>
      <c r="E4676" s="1" t="str">
        <f>HYPERLINK("http://www.ncbi.nlm.nih.gov/gene/?term=UCRC","NCBI")</f>
        <v>NCBI</v>
      </c>
      <c r="F4676">
        <v>3.9E-2</v>
      </c>
      <c r="G4676">
        <v>0.14000000000000001</v>
      </c>
      <c r="H4676" s="1" t="str">
        <f>HYPERLINK("http://www.weizmann.ac.il/complex/compphys/software/geview/data/figures/218190_s_at.png","Figure")</f>
        <v>Figure</v>
      </c>
      <c r="I4676">
        <v>0.82299999999999995</v>
      </c>
      <c r="J4676">
        <v>0.52</v>
      </c>
      <c r="K4676">
        <v>1.3</v>
      </c>
      <c r="L4676">
        <v>0.23</v>
      </c>
      <c r="M4676">
        <v>1.58</v>
      </c>
      <c r="N4676">
        <v>3.5999999999999997E-2</v>
      </c>
    </row>
    <row r="4677" spans="1:14" x14ac:dyDescent="0.25">
      <c r="A4677" t="s">
        <v>8487</v>
      </c>
      <c r="B4677" t="s">
        <v>8488</v>
      </c>
      <c r="C4677" s="1" t="str">
        <f>HYPERLINK("http://www.genecards.org/cgi-bin/carddisp.pl?gene=DNMT3A","GeneCards")</f>
        <v>GeneCards</v>
      </c>
      <c r="D4677" s="1" t="str">
        <f>HYPERLINK("http://genome-euro.ucsc.edu/cgi-bin/hgTracks?position=218457_s_at","UCSC")</f>
        <v>UCSC</v>
      </c>
      <c r="E4677" s="1" t="str">
        <f>HYPERLINK("http://www.ncbi.nlm.nih.gov/gene/?term=DNMT3A","NCBI")</f>
        <v>NCBI</v>
      </c>
      <c r="F4677">
        <v>3.9E-2</v>
      </c>
      <c r="G4677">
        <v>0.14000000000000001</v>
      </c>
      <c r="H4677" s="1" t="str">
        <f>HYPERLINK("http://www.weizmann.ac.il/complex/compphys/software/geview/data/figures/218457_s_at.png","Figure")</f>
        <v>Figure</v>
      </c>
      <c r="I4677">
        <v>0.99</v>
      </c>
      <c r="J4677">
        <v>1</v>
      </c>
      <c r="K4677">
        <v>0.71499999999999997</v>
      </c>
      <c r="L4677">
        <v>6.2E-2</v>
      </c>
      <c r="M4677">
        <v>0.72199999999999998</v>
      </c>
      <c r="N4677">
        <v>9.2999999999999999E-2</v>
      </c>
    </row>
    <row r="4678" spans="1:14" x14ac:dyDescent="0.25">
      <c r="A4678" t="s">
        <v>8489</v>
      </c>
      <c r="B4678" t="s">
        <v>8490</v>
      </c>
      <c r="C4678" s="1" t="str">
        <f>HYPERLINK("http://www.genecards.org/cgi-bin/carddisp.pl?gene=ILKAP","GeneCards")</f>
        <v>GeneCards</v>
      </c>
      <c r="D4678" s="1" t="str">
        <f>HYPERLINK("http://genome-euro.ucsc.edu/cgi-bin/hgTracks?position=221548_s_at","UCSC")</f>
        <v>UCSC</v>
      </c>
      <c r="E4678" s="1" t="str">
        <f>HYPERLINK("http://www.ncbi.nlm.nih.gov/gene/?term=ILKAP","NCBI")</f>
        <v>NCBI</v>
      </c>
      <c r="F4678">
        <v>3.9E-2</v>
      </c>
      <c r="G4678">
        <v>0.14000000000000001</v>
      </c>
      <c r="H4678" s="1" t="str">
        <f>HYPERLINK("http://www.weizmann.ac.il/complex/compphys/software/geview/data/figures/221548_s_at.png","Figure")</f>
        <v>Figure</v>
      </c>
      <c r="I4678">
        <v>1.3</v>
      </c>
      <c r="J4678">
        <v>0.15</v>
      </c>
      <c r="K4678">
        <v>0.91100000000000003</v>
      </c>
      <c r="L4678">
        <v>0.71</v>
      </c>
      <c r="M4678">
        <v>0.69899999999999995</v>
      </c>
      <c r="N4678">
        <v>3.3000000000000002E-2</v>
      </c>
    </row>
    <row r="4679" spans="1:14" x14ac:dyDescent="0.25">
      <c r="A4679" t="s">
        <v>8491</v>
      </c>
      <c r="B4679" t="s">
        <v>8492</v>
      </c>
      <c r="C4679" s="1" t="str">
        <f>HYPERLINK("http://www.genecards.org/cgi-bin/carddisp.pl?gene=ITGB5","GeneCards")</f>
        <v>GeneCards</v>
      </c>
      <c r="D4679" s="1" t="str">
        <f>HYPERLINK("http://genome-euro.ucsc.edu/cgi-bin/hgTracks?position=201125_s_at","UCSC")</f>
        <v>UCSC</v>
      </c>
      <c r="E4679" s="1" t="str">
        <f>HYPERLINK("http://www.ncbi.nlm.nih.gov/gene/?term=ITGB5","NCBI")</f>
        <v>NCBI</v>
      </c>
      <c r="F4679">
        <v>3.9E-2</v>
      </c>
      <c r="G4679">
        <v>0.14000000000000001</v>
      </c>
      <c r="H4679" s="1" t="str">
        <f>HYPERLINK("http://www.weizmann.ac.il/complex/compphys/software/geview/data/figures/201125_s_at.png","Figure")</f>
        <v>Figure</v>
      </c>
      <c r="I4679">
        <v>1.27</v>
      </c>
      <c r="J4679">
        <v>3.3000000000000002E-2</v>
      </c>
      <c r="K4679">
        <v>1.0900000000000001</v>
      </c>
      <c r="L4679">
        <v>0.49</v>
      </c>
      <c r="M4679">
        <v>0.85699999999999998</v>
      </c>
      <c r="N4679">
        <v>0.16</v>
      </c>
    </row>
    <row r="4680" spans="1:14" x14ac:dyDescent="0.25">
      <c r="A4680" t="s">
        <v>8493</v>
      </c>
      <c r="B4680" t="s">
        <v>8494</v>
      </c>
      <c r="C4680" s="1" t="str">
        <f>HYPERLINK("http://www.genecards.org/cgi-bin/carddisp.pl?gene=SNX1","GeneCards")</f>
        <v>GeneCards</v>
      </c>
      <c r="D4680" s="1" t="str">
        <f>HYPERLINK("http://genome-euro.ucsc.edu/cgi-bin/hgTracks?position=201716_at","UCSC")</f>
        <v>UCSC</v>
      </c>
      <c r="E4680" s="1" t="str">
        <f>HYPERLINK("http://www.ncbi.nlm.nih.gov/gene/?term=SNX1","NCBI")</f>
        <v>NCBI</v>
      </c>
      <c r="F4680">
        <v>3.9E-2</v>
      </c>
      <c r="G4680">
        <v>0.14000000000000001</v>
      </c>
      <c r="H4680" s="1" t="str">
        <f>HYPERLINK("http://www.weizmann.ac.il/complex/compphys/software/geview/data/figures/201716_at.png","Figure")</f>
        <v>Figure</v>
      </c>
      <c r="I4680">
        <v>1.26</v>
      </c>
      <c r="J4680">
        <v>0.27</v>
      </c>
      <c r="K4680">
        <v>1.42</v>
      </c>
      <c r="L4680">
        <v>3.2000000000000001E-2</v>
      </c>
      <c r="M4680">
        <v>1.1299999999999999</v>
      </c>
      <c r="N4680">
        <v>0.62</v>
      </c>
    </row>
    <row r="4681" spans="1:14" x14ac:dyDescent="0.25">
      <c r="A4681" t="s">
        <v>8495</v>
      </c>
      <c r="B4681" t="s">
        <v>8496</v>
      </c>
      <c r="C4681" s="1" t="str">
        <f>HYPERLINK("http://www.genecards.org/cgi-bin/carddisp.pl?gene=MYLK","GeneCards")</f>
        <v>GeneCards</v>
      </c>
      <c r="D4681" s="1" t="str">
        <f>HYPERLINK("http://genome-euro.ucsc.edu/cgi-bin/hgTracks?position=202555_s_at","UCSC")</f>
        <v>UCSC</v>
      </c>
      <c r="E4681" s="1" t="str">
        <f>HYPERLINK("http://www.ncbi.nlm.nih.gov/gene/?term=MYLK","NCBI")</f>
        <v>NCBI</v>
      </c>
      <c r="F4681">
        <v>3.9E-2</v>
      </c>
      <c r="G4681">
        <v>0.14000000000000001</v>
      </c>
      <c r="H4681" s="1" t="str">
        <f>HYPERLINK("http://www.weizmann.ac.il/complex/compphys/software/geview/data/figures/202555_s_at.png","Figure")</f>
        <v>Figure</v>
      </c>
      <c r="I4681">
        <v>2.2999999999999998</v>
      </c>
      <c r="J4681">
        <v>0.04</v>
      </c>
      <c r="K4681">
        <v>1.76</v>
      </c>
      <c r="L4681">
        <v>0.12</v>
      </c>
      <c r="M4681">
        <v>0.76500000000000001</v>
      </c>
      <c r="N4681">
        <v>0.62</v>
      </c>
    </row>
    <row r="4682" spans="1:14" x14ac:dyDescent="0.25">
      <c r="A4682" t="s">
        <v>8497</v>
      </c>
      <c r="B4682" t="s">
        <v>8498</v>
      </c>
      <c r="C4682" s="1" t="str">
        <f>HYPERLINK("http://www.genecards.org/cgi-bin/carddisp.pl?gene=KRT38","GeneCards")</f>
        <v>GeneCards</v>
      </c>
      <c r="D4682" s="1" t="str">
        <f>HYPERLINK("http://genome-euro.ucsc.edu/cgi-bin/hgTracks?position=207716_at","UCSC")</f>
        <v>UCSC</v>
      </c>
      <c r="E4682" s="1" t="str">
        <f>HYPERLINK("http://www.ncbi.nlm.nih.gov/gene/?term=KRT38","NCBI")</f>
        <v>NCBI</v>
      </c>
      <c r="F4682">
        <v>3.9E-2</v>
      </c>
      <c r="G4682">
        <v>0.14000000000000001</v>
      </c>
      <c r="H4682" s="1" t="str">
        <f>HYPERLINK("http://www.weizmann.ac.il/complex/compphys/software/geview/data/figures/207716_at.png","Figure")</f>
        <v>Figure</v>
      </c>
      <c r="I4682">
        <v>1.1399999999999999</v>
      </c>
      <c r="J4682">
        <v>0.19</v>
      </c>
      <c r="K4682">
        <v>0.94299999999999995</v>
      </c>
      <c r="L4682">
        <v>0.61</v>
      </c>
      <c r="M4682">
        <v>0.82799999999999996</v>
      </c>
      <c r="N4682">
        <v>3.2000000000000001E-2</v>
      </c>
    </row>
    <row r="4683" spans="1:14" x14ac:dyDescent="0.25">
      <c r="A4683" t="s">
        <v>8499</v>
      </c>
      <c r="B4683" t="s">
        <v>8500</v>
      </c>
      <c r="C4683" s="1" t="str">
        <f>HYPERLINK("http://www.genecards.org/cgi-bin/carddisp.pl?gene=NR2E3","GeneCards")</f>
        <v>GeneCards</v>
      </c>
      <c r="D4683" s="1" t="str">
        <f>HYPERLINK("http://genome-euro.ucsc.edu/cgi-bin/hgTracks?position=208385_at","UCSC")</f>
        <v>UCSC</v>
      </c>
      <c r="E4683" s="1" t="str">
        <f>HYPERLINK("http://www.ncbi.nlm.nih.gov/gene/?term=NR2E3","NCBI")</f>
        <v>NCBI</v>
      </c>
      <c r="F4683">
        <v>3.9E-2</v>
      </c>
      <c r="G4683">
        <v>0.14000000000000001</v>
      </c>
      <c r="H4683" s="1" t="str">
        <f>HYPERLINK("http://www.weizmann.ac.il/complex/compphys/software/geview/data/figures/208385_at.png","Figure")</f>
        <v>Figure</v>
      </c>
      <c r="I4683">
        <v>1.18</v>
      </c>
      <c r="J4683">
        <v>3.2000000000000001E-2</v>
      </c>
      <c r="K4683">
        <v>1.07</v>
      </c>
      <c r="L4683">
        <v>0.44</v>
      </c>
      <c r="M4683">
        <v>0.9</v>
      </c>
      <c r="N4683">
        <v>0.17</v>
      </c>
    </row>
    <row r="4684" spans="1:14" x14ac:dyDescent="0.25">
      <c r="A4684" t="s">
        <v>8501</v>
      </c>
      <c r="B4684" t="s">
        <v>251</v>
      </c>
      <c r="C4684" s="1" t="str">
        <f>HYPERLINK("http://www.genecards.org/cgi-bin/carddisp.pl?gene=NXT2","GeneCards")</f>
        <v>GeneCards</v>
      </c>
      <c r="D4684" s="1" t="str">
        <f>HYPERLINK("http://genome-euro.ucsc.edu/cgi-bin/hgTracks?position=209629_s_at","UCSC")</f>
        <v>UCSC</v>
      </c>
      <c r="E4684" s="1" t="str">
        <f>HYPERLINK("http://www.ncbi.nlm.nih.gov/gene/?term=NXT2","NCBI")</f>
        <v>NCBI</v>
      </c>
      <c r="F4684">
        <v>3.9E-2</v>
      </c>
      <c r="G4684">
        <v>0.14000000000000001</v>
      </c>
      <c r="H4684" s="1" t="str">
        <f>HYPERLINK("http://www.weizmann.ac.il/complex/compphys/software/geview/data/figures/209629_s_at.png","Figure")</f>
        <v>Figure</v>
      </c>
      <c r="I4684">
        <v>0.86799999999999999</v>
      </c>
      <c r="J4684">
        <v>6.4000000000000001E-2</v>
      </c>
      <c r="K4684">
        <v>0.999</v>
      </c>
      <c r="L4684">
        <v>1</v>
      </c>
      <c r="M4684">
        <v>1.1499999999999999</v>
      </c>
      <c r="N4684">
        <v>4.8000000000000001E-2</v>
      </c>
    </row>
    <row r="4685" spans="1:14" x14ac:dyDescent="0.25">
      <c r="A4685" t="s">
        <v>8502</v>
      </c>
      <c r="B4685" t="s">
        <v>8503</v>
      </c>
      <c r="C4685" s="1" t="str">
        <f>HYPERLINK("http://www.genecards.org/cgi-bin/carddisp.pl?gene=LRP4","GeneCards")</f>
        <v>GeneCards</v>
      </c>
      <c r="D4685" s="1" t="str">
        <f>HYPERLINK("http://genome-euro.ucsc.edu/cgi-bin/hgTracks?position=212850_s_at","UCSC")</f>
        <v>UCSC</v>
      </c>
      <c r="E4685" s="1" t="str">
        <f>HYPERLINK("http://www.ncbi.nlm.nih.gov/gene/?term=LRP4","NCBI")</f>
        <v>NCBI</v>
      </c>
      <c r="F4685">
        <v>3.9E-2</v>
      </c>
      <c r="G4685">
        <v>0.14000000000000001</v>
      </c>
      <c r="H4685" s="1" t="str">
        <f>HYPERLINK("http://www.weizmann.ac.il/complex/compphys/software/geview/data/figures/212850_s_at.png","Figure")</f>
        <v>Figure</v>
      </c>
      <c r="I4685">
        <v>1.19</v>
      </c>
      <c r="J4685">
        <v>5.7000000000000002E-2</v>
      </c>
      <c r="K4685">
        <v>1.1599999999999999</v>
      </c>
      <c r="L4685">
        <v>6.9000000000000006E-2</v>
      </c>
      <c r="M4685">
        <v>0.97199999999999998</v>
      </c>
      <c r="N4685">
        <v>0.89</v>
      </c>
    </row>
    <row r="4686" spans="1:14" x14ac:dyDescent="0.25">
      <c r="A4686" t="s">
        <v>8504</v>
      </c>
      <c r="B4686" t="s">
        <v>8505</v>
      </c>
      <c r="C4686" s="1" t="str">
        <f>HYPERLINK("http://www.genecards.org/cgi-bin/carddisp.pl?gene=CLN6","GeneCards")</f>
        <v>GeneCards</v>
      </c>
      <c r="D4686" s="1" t="str">
        <f>HYPERLINK("http://genome-euro.ucsc.edu/cgi-bin/hgTracks?position=218161_s_at","UCSC")</f>
        <v>UCSC</v>
      </c>
      <c r="E4686" s="1" t="str">
        <f>HYPERLINK("http://www.ncbi.nlm.nih.gov/gene/?term=CLN6","NCBI")</f>
        <v>NCBI</v>
      </c>
      <c r="F4686">
        <v>3.9E-2</v>
      </c>
      <c r="G4686">
        <v>0.14000000000000001</v>
      </c>
      <c r="H4686" s="1" t="str">
        <f>HYPERLINK("http://www.weizmann.ac.il/complex/compphys/software/geview/data/figures/218161_s_at.png","Figure")</f>
        <v>Figure</v>
      </c>
      <c r="I4686">
        <v>0.93799999999999994</v>
      </c>
      <c r="J4686">
        <v>0.76</v>
      </c>
      <c r="K4686">
        <v>1.18</v>
      </c>
      <c r="L4686">
        <v>0.14000000000000001</v>
      </c>
      <c r="M4686">
        <v>1.25</v>
      </c>
      <c r="N4686">
        <v>4.7E-2</v>
      </c>
    </row>
    <row r="4687" spans="1:14" x14ac:dyDescent="0.25">
      <c r="A4687" t="s">
        <v>8506</v>
      </c>
      <c r="B4687" t="s">
        <v>8507</v>
      </c>
      <c r="C4687" s="1" t="str">
        <f>HYPERLINK("http://www.genecards.org/cgi-bin/carddisp.pl?gene=MTHFSD","GeneCards")</f>
        <v>GeneCards</v>
      </c>
      <c r="D4687" s="1" t="str">
        <f>HYPERLINK("http://genome-euro.ucsc.edu/cgi-bin/hgTracks?position=218879_s_at","UCSC")</f>
        <v>UCSC</v>
      </c>
      <c r="E4687" s="1" t="str">
        <f>HYPERLINK("http://www.ncbi.nlm.nih.gov/gene/?term=MTHFSD","NCBI")</f>
        <v>NCBI</v>
      </c>
      <c r="F4687">
        <v>3.9E-2</v>
      </c>
      <c r="G4687">
        <v>0.14000000000000001</v>
      </c>
      <c r="H4687" s="1" t="str">
        <f>HYPERLINK("http://www.weizmann.ac.il/complex/compphys/software/geview/data/figures/218879_s_at.png","Figure")</f>
        <v>Figure</v>
      </c>
      <c r="I4687">
        <v>0.80600000000000005</v>
      </c>
      <c r="J4687">
        <v>4.4999999999999998E-2</v>
      </c>
      <c r="K4687">
        <v>0.96699999999999997</v>
      </c>
      <c r="L4687">
        <v>0.88</v>
      </c>
      <c r="M4687">
        <v>1.2</v>
      </c>
      <c r="N4687">
        <v>7.1999999999999995E-2</v>
      </c>
    </row>
    <row r="4688" spans="1:14" x14ac:dyDescent="0.25">
      <c r="A4688" t="s">
        <v>8508</v>
      </c>
      <c r="B4688" t="s">
        <v>8509</v>
      </c>
      <c r="C4688" s="1" t="str">
        <f>HYPERLINK("http://www.genecards.org/cgi-bin/carddisp.pl?gene=IL1A","GeneCards")</f>
        <v>GeneCards</v>
      </c>
      <c r="D4688" s="1" t="str">
        <f>HYPERLINK("http://genome-euro.ucsc.edu/cgi-bin/hgTracks?position=208200_at","UCSC")</f>
        <v>UCSC</v>
      </c>
      <c r="E4688" s="1" t="str">
        <f>HYPERLINK("http://www.ncbi.nlm.nih.gov/gene/?term=IL1A","NCBI")</f>
        <v>NCBI</v>
      </c>
      <c r="F4688">
        <v>3.9E-2</v>
      </c>
      <c r="G4688">
        <v>0.14000000000000001</v>
      </c>
      <c r="H4688" s="1" t="str">
        <f>HYPERLINK("http://www.weizmann.ac.il/complex/compphys/software/geview/data/figures/208200_at.png","Figure")</f>
        <v>Figure</v>
      </c>
      <c r="I4688">
        <v>0.89400000000000002</v>
      </c>
      <c r="J4688">
        <v>0.64</v>
      </c>
      <c r="K4688">
        <v>0.74</v>
      </c>
      <c r="L4688">
        <v>3.5000000000000003E-2</v>
      </c>
      <c r="M4688">
        <v>0.82799999999999996</v>
      </c>
      <c r="N4688">
        <v>0.26</v>
      </c>
    </row>
    <row r="4689" spans="1:14" x14ac:dyDescent="0.25">
      <c r="A4689" t="s">
        <v>8510</v>
      </c>
      <c r="B4689" t="s">
        <v>8511</v>
      </c>
      <c r="C4689" s="1" t="str">
        <f>HYPERLINK("http://www.genecards.org/cgi-bin/carddisp.pl?gene=E2F2","GeneCards")</f>
        <v>GeneCards</v>
      </c>
      <c r="D4689" s="1" t="str">
        <f>HYPERLINK("http://genome-euro.ucsc.edu/cgi-bin/hgTracks?position=207042_at","UCSC")</f>
        <v>UCSC</v>
      </c>
      <c r="E4689" s="1" t="str">
        <f>HYPERLINK("http://www.ncbi.nlm.nih.gov/gene/?term=E2F2","NCBI")</f>
        <v>NCBI</v>
      </c>
      <c r="F4689">
        <v>3.9E-2</v>
      </c>
      <c r="G4689">
        <v>0.14000000000000001</v>
      </c>
      <c r="H4689" s="1" t="str">
        <f>HYPERLINK("http://www.weizmann.ac.il/complex/compphys/software/geview/data/figures/207042_at.png","Figure")</f>
        <v>Figure</v>
      </c>
      <c r="I4689">
        <v>0.91400000000000003</v>
      </c>
      <c r="J4689">
        <v>0.56999999999999995</v>
      </c>
      <c r="K4689">
        <v>1.1499999999999999</v>
      </c>
      <c r="L4689">
        <v>0.21</v>
      </c>
      <c r="M4689">
        <v>1.26</v>
      </c>
      <c r="N4689">
        <v>3.7999999999999999E-2</v>
      </c>
    </row>
    <row r="4690" spans="1:14" x14ac:dyDescent="0.25">
      <c r="A4690" t="s">
        <v>8512</v>
      </c>
      <c r="B4690" t="s">
        <v>8513</v>
      </c>
      <c r="C4690" s="1" t="str">
        <f>HYPERLINK("http://www.genecards.org/cgi-bin/carddisp.pl?gene=P2RX1","GeneCards")</f>
        <v>GeneCards</v>
      </c>
      <c r="D4690" s="1" t="str">
        <f>HYPERLINK("http://genome-euro.ucsc.edu/cgi-bin/hgTracks?position=210401_at","UCSC")</f>
        <v>UCSC</v>
      </c>
      <c r="E4690" s="1" t="str">
        <f>HYPERLINK("http://www.ncbi.nlm.nih.gov/gene/?term=P2RX1","NCBI")</f>
        <v>NCBI</v>
      </c>
      <c r="F4690">
        <v>3.9E-2</v>
      </c>
      <c r="G4690">
        <v>0.14000000000000001</v>
      </c>
      <c r="H4690" s="1" t="str">
        <f>HYPERLINK("http://www.weizmann.ac.il/complex/compphys/software/geview/data/figures/210401_at.png","Figure")</f>
        <v>Figure</v>
      </c>
      <c r="I4690">
        <v>1.57</v>
      </c>
      <c r="J4690">
        <v>7.4999999999999997E-2</v>
      </c>
      <c r="K4690">
        <v>1.53</v>
      </c>
      <c r="L4690">
        <v>5.3999999999999999E-2</v>
      </c>
      <c r="M4690">
        <v>0.97299999999999998</v>
      </c>
      <c r="N4690">
        <v>0.99</v>
      </c>
    </row>
    <row r="4691" spans="1:14" x14ac:dyDescent="0.25">
      <c r="A4691" t="s">
        <v>8514</v>
      </c>
      <c r="B4691" t="s">
        <v>8515</v>
      </c>
      <c r="C4691" s="1" t="str">
        <f>HYPERLINK("http://www.genecards.org/cgi-bin/carddisp.pl?gene=HAP1","GeneCards")</f>
        <v>GeneCards</v>
      </c>
      <c r="D4691" s="1" t="str">
        <f>HYPERLINK("http://genome-euro.ucsc.edu/cgi-bin/hgTracks?position=211604_x_at","UCSC")</f>
        <v>UCSC</v>
      </c>
      <c r="E4691" s="1" t="str">
        <f>HYPERLINK("http://www.ncbi.nlm.nih.gov/gene/?term=HAP1","NCBI")</f>
        <v>NCBI</v>
      </c>
      <c r="F4691">
        <v>0.04</v>
      </c>
      <c r="G4691">
        <v>0.14000000000000001</v>
      </c>
      <c r="H4691" s="1" t="str">
        <f>HYPERLINK("http://www.weizmann.ac.il/complex/compphys/software/geview/data/figures/211604_x_at.png","Figure")</f>
        <v>Figure</v>
      </c>
      <c r="I4691">
        <v>1.19</v>
      </c>
      <c r="J4691">
        <v>0.23</v>
      </c>
      <c r="K4691">
        <v>0.90900000000000003</v>
      </c>
      <c r="L4691">
        <v>0.52</v>
      </c>
      <c r="M4691">
        <v>0.76700000000000002</v>
      </c>
      <c r="N4691">
        <v>3.2000000000000001E-2</v>
      </c>
    </row>
    <row r="4692" spans="1:14" x14ac:dyDescent="0.25">
      <c r="A4692" t="s">
        <v>8516</v>
      </c>
      <c r="B4692" t="s">
        <v>8517</v>
      </c>
      <c r="C4692" s="1" t="str">
        <f>HYPERLINK("http://www.genecards.org/cgi-bin/carddisp.pl?gene=SSB","GeneCards")</f>
        <v>GeneCards</v>
      </c>
      <c r="D4692" s="1" t="str">
        <f>HYPERLINK("http://genome-euro.ucsc.edu/cgi-bin/hgTracks?position=201138_s_at","UCSC")</f>
        <v>UCSC</v>
      </c>
      <c r="E4692" s="1" t="str">
        <f>HYPERLINK("http://www.ncbi.nlm.nih.gov/gene/?term=SSB","NCBI")</f>
        <v>NCBI</v>
      </c>
      <c r="F4692">
        <v>0.04</v>
      </c>
      <c r="G4692">
        <v>0.14000000000000001</v>
      </c>
      <c r="H4692" s="1" t="str">
        <f>HYPERLINK("http://www.weizmann.ac.il/complex/compphys/software/geview/data/figures/201138_s_at.png","Figure")</f>
        <v>Figure</v>
      </c>
      <c r="I4692">
        <v>0.70399999999999996</v>
      </c>
      <c r="J4692">
        <v>4.2999999999999997E-2</v>
      </c>
      <c r="K4692">
        <v>0.94099999999999995</v>
      </c>
      <c r="L4692">
        <v>0.85</v>
      </c>
      <c r="M4692">
        <v>1.34</v>
      </c>
      <c r="N4692">
        <v>7.5999999999999998E-2</v>
      </c>
    </row>
    <row r="4693" spans="1:14" x14ac:dyDescent="0.25">
      <c r="A4693" t="s">
        <v>8518</v>
      </c>
      <c r="B4693" t="s">
        <v>8519</v>
      </c>
      <c r="C4693" s="1" t="str">
        <f>HYPERLINK("http://www.genecards.org/cgi-bin/carddisp.pl?gene=TARBP1","GeneCards")</f>
        <v>GeneCards</v>
      </c>
      <c r="D4693" s="1" t="str">
        <f>HYPERLINK("http://genome-euro.ucsc.edu/cgi-bin/hgTracks?position=202813_at","UCSC")</f>
        <v>UCSC</v>
      </c>
      <c r="E4693" s="1" t="str">
        <f>HYPERLINK("http://www.ncbi.nlm.nih.gov/gene/?term=TARBP1","NCBI")</f>
        <v>NCBI</v>
      </c>
      <c r="F4693">
        <v>0.04</v>
      </c>
      <c r="G4693">
        <v>0.14000000000000001</v>
      </c>
      <c r="H4693" s="1" t="str">
        <f>HYPERLINK("http://www.weizmann.ac.il/complex/compphys/software/geview/data/figures/202813_at.png","Figure")</f>
        <v>Figure</v>
      </c>
      <c r="I4693">
        <v>1.33</v>
      </c>
      <c r="J4693">
        <v>0.42</v>
      </c>
      <c r="K4693">
        <v>1.75</v>
      </c>
      <c r="L4693">
        <v>3.2000000000000001E-2</v>
      </c>
      <c r="M4693">
        <v>1.31</v>
      </c>
      <c r="N4693">
        <v>0.41</v>
      </c>
    </row>
    <row r="4694" spans="1:14" x14ac:dyDescent="0.25">
      <c r="A4694" t="s">
        <v>8520</v>
      </c>
      <c r="B4694" t="s">
        <v>8521</v>
      </c>
      <c r="C4694" s="1" t="str">
        <f>HYPERLINK("http://www.genecards.org/cgi-bin/carddisp.pl?gene=SLC25A40","GeneCards")</f>
        <v>GeneCards</v>
      </c>
      <c r="D4694" s="1" t="str">
        <f>HYPERLINK("http://genome-euro.ucsc.edu/cgi-bin/hgTracks?position=205716_at","UCSC")</f>
        <v>UCSC</v>
      </c>
      <c r="E4694" s="1" t="str">
        <f>HYPERLINK("http://www.ncbi.nlm.nih.gov/gene/?term=SLC25A40","NCBI")</f>
        <v>NCBI</v>
      </c>
      <c r="F4694">
        <v>0.04</v>
      </c>
      <c r="G4694">
        <v>0.14000000000000001</v>
      </c>
      <c r="H4694" s="1" t="str">
        <f>HYPERLINK("http://www.weizmann.ac.il/complex/compphys/software/geview/data/figures/205716_at.png","Figure")</f>
        <v>Figure</v>
      </c>
      <c r="I4694">
        <v>1.24</v>
      </c>
      <c r="J4694">
        <v>3.2000000000000001E-2</v>
      </c>
      <c r="K4694">
        <v>1.1000000000000001</v>
      </c>
      <c r="L4694">
        <v>0.32</v>
      </c>
      <c r="M4694">
        <v>0.88800000000000001</v>
      </c>
      <c r="N4694">
        <v>0.24</v>
      </c>
    </row>
    <row r="4695" spans="1:14" x14ac:dyDescent="0.25">
      <c r="A4695" t="s">
        <v>8522</v>
      </c>
      <c r="B4695" t="s">
        <v>8523</v>
      </c>
      <c r="C4695" s="1" t="str">
        <f>HYPERLINK("http://www.genecards.org/cgi-bin/carddisp.pl?gene=ZNF280D","GeneCards")</f>
        <v>GeneCards</v>
      </c>
      <c r="D4695" s="1" t="str">
        <f>HYPERLINK("http://genome-euro.ucsc.edu/cgi-bin/hgTracks?position=221213_s_at","UCSC")</f>
        <v>UCSC</v>
      </c>
      <c r="E4695" s="1" t="str">
        <f>HYPERLINK("http://www.ncbi.nlm.nih.gov/gene/?term=ZNF280D","NCBI")</f>
        <v>NCBI</v>
      </c>
      <c r="F4695">
        <v>0.04</v>
      </c>
      <c r="G4695">
        <v>0.14000000000000001</v>
      </c>
      <c r="H4695" s="1" t="str">
        <f>HYPERLINK("http://www.weizmann.ac.il/complex/compphys/software/geview/data/figures/221213_s_at.png","Figure")</f>
        <v>Figure</v>
      </c>
      <c r="I4695">
        <v>0.879</v>
      </c>
      <c r="J4695">
        <v>8.8999999999999996E-2</v>
      </c>
      <c r="K4695">
        <v>1.02</v>
      </c>
      <c r="L4695">
        <v>0.95</v>
      </c>
      <c r="M4695">
        <v>1.1499999999999999</v>
      </c>
      <c r="N4695">
        <v>3.9E-2</v>
      </c>
    </row>
    <row r="4696" spans="1:14" x14ac:dyDescent="0.25">
      <c r="A4696" t="s">
        <v>8524</v>
      </c>
      <c r="B4696" t="s">
        <v>8525</v>
      </c>
      <c r="C4696" s="1" t="str">
        <f>HYPERLINK("http://www.genecards.org/cgi-bin/carddisp.pl?gene=RAB6B","GeneCards")</f>
        <v>GeneCards</v>
      </c>
      <c r="D4696" s="1" t="str">
        <f>HYPERLINK("http://genome-euro.ucsc.edu/cgi-bin/hgTracks?position=221792_at","UCSC")</f>
        <v>UCSC</v>
      </c>
      <c r="E4696" s="1" t="str">
        <f>HYPERLINK("http://www.ncbi.nlm.nih.gov/gene/?term=RAB6B","NCBI")</f>
        <v>NCBI</v>
      </c>
      <c r="F4696">
        <v>0.04</v>
      </c>
      <c r="G4696">
        <v>0.14000000000000001</v>
      </c>
      <c r="H4696" s="1" t="str">
        <f>HYPERLINK("http://www.weizmann.ac.il/complex/compphys/software/geview/data/figures/221792_at.png","Figure")</f>
        <v>Figure</v>
      </c>
      <c r="I4696">
        <v>1.36</v>
      </c>
      <c r="J4696">
        <v>0.04</v>
      </c>
      <c r="K4696">
        <v>1.07</v>
      </c>
      <c r="L4696">
        <v>0.78</v>
      </c>
      <c r="M4696">
        <v>0.78600000000000003</v>
      </c>
      <c r="N4696">
        <v>8.6999999999999994E-2</v>
      </c>
    </row>
    <row r="4697" spans="1:14" x14ac:dyDescent="0.25">
      <c r="A4697" t="s">
        <v>8526</v>
      </c>
      <c r="B4697" t="s">
        <v>4911</v>
      </c>
      <c r="C4697" s="1" t="str">
        <f>HYPERLINK("http://www.genecards.org/cgi-bin/carddisp.pl?gene=IFITM1","GeneCards")</f>
        <v>GeneCards</v>
      </c>
      <c r="D4697" s="1" t="str">
        <f>HYPERLINK("http://genome-euro.ucsc.edu/cgi-bin/hgTracks?position=201601_x_at","UCSC")</f>
        <v>UCSC</v>
      </c>
      <c r="E4697" s="1" t="str">
        <f>HYPERLINK("http://www.ncbi.nlm.nih.gov/gene/?term=IFITM1","NCBI")</f>
        <v>NCBI</v>
      </c>
      <c r="F4697">
        <v>0.04</v>
      </c>
      <c r="G4697">
        <v>0.14000000000000001</v>
      </c>
      <c r="H4697" s="1" t="str">
        <f>HYPERLINK("http://www.weizmann.ac.il/complex/compphys/software/geview/data/figures/201601_x_at.png","Figure")</f>
        <v>Figure</v>
      </c>
      <c r="I4697">
        <v>0.52900000000000003</v>
      </c>
      <c r="J4697">
        <v>5.1999999999999998E-2</v>
      </c>
      <c r="K4697">
        <v>0.94299999999999995</v>
      </c>
      <c r="L4697">
        <v>0.96</v>
      </c>
      <c r="M4697">
        <v>1.78</v>
      </c>
      <c r="N4697">
        <v>5.8999999999999997E-2</v>
      </c>
    </row>
    <row r="4698" spans="1:14" x14ac:dyDescent="0.25">
      <c r="A4698" t="s">
        <v>8527</v>
      </c>
      <c r="B4698" t="s">
        <v>8528</v>
      </c>
      <c r="C4698" s="1" t="str">
        <f>HYPERLINK("http://www.genecards.org/cgi-bin/carddisp.pl?gene=ZNF253","GeneCards")</f>
        <v>GeneCards</v>
      </c>
      <c r="D4698" s="1" t="str">
        <f>HYPERLINK("http://genome-euro.ucsc.edu/cgi-bin/hgTracks?position=206900_x_at","UCSC")</f>
        <v>UCSC</v>
      </c>
      <c r="E4698" s="1" t="str">
        <f>HYPERLINK("http://www.ncbi.nlm.nih.gov/gene/?term=ZNF253","NCBI")</f>
        <v>NCBI</v>
      </c>
      <c r="F4698">
        <v>0.04</v>
      </c>
      <c r="G4698">
        <v>0.14000000000000001</v>
      </c>
      <c r="H4698" s="1" t="str">
        <f>HYPERLINK("http://www.weizmann.ac.il/complex/compphys/software/geview/data/figures/206900_x_at.png","Figure")</f>
        <v>Figure</v>
      </c>
      <c r="I4698">
        <v>1.1599999999999999</v>
      </c>
      <c r="J4698">
        <v>0.19</v>
      </c>
      <c r="K4698">
        <v>0.93799999999999994</v>
      </c>
      <c r="L4698">
        <v>0.62</v>
      </c>
      <c r="M4698">
        <v>0.81100000000000005</v>
      </c>
      <c r="N4698">
        <v>3.2000000000000001E-2</v>
      </c>
    </row>
    <row r="4699" spans="1:14" x14ac:dyDescent="0.25">
      <c r="A4699" t="s">
        <v>8529</v>
      </c>
      <c r="B4699" t="s">
        <v>3052</v>
      </c>
      <c r="C4699" s="1" t="str">
        <f>HYPERLINK("http://www.genecards.org/cgi-bin/carddisp.pl?gene=IGHD","GeneCards")</f>
        <v>GeneCards</v>
      </c>
      <c r="D4699" s="1" t="str">
        <f>HYPERLINK("http://genome-euro.ucsc.edu/cgi-bin/hgTracks?position=213674_x_at","UCSC")</f>
        <v>UCSC</v>
      </c>
      <c r="E4699" s="1" t="str">
        <f>HYPERLINK("http://www.ncbi.nlm.nih.gov/gene/?term=IGHD","NCBI")</f>
        <v>NCBI</v>
      </c>
      <c r="F4699">
        <v>0.04</v>
      </c>
      <c r="G4699">
        <v>0.14000000000000001</v>
      </c>
      <c r="H4699" s="1" t="str">
        <f>HYPERLINK("http://www.weizmann.ac.il/complex/compphys/software/geview/data/figures/213674_x_at.png","Figure")</f>
        <v>Figure</v>
      </c>
      <c r="I4699">
        <v>0.57899999999999996</v>
      </c>
      <c r="J4699">
        <v>0.11</v>
      </c>
      <c r="K4699">
        <v>1.1100000000000001</v>
      </c>
      <c r="L4699">
        <v>0.88</v>
      </c>
      <c r="M4699">
        <v>1.92</v>
      </c>
      <c r="N4699">
        <v>3.5999999999999997E-2</v>
      </c>
    </row>
    <row r="4700" spans="1:14" x14ac:dyDescent="0.25">
      <c r="A4700" t="s">
        <v>8530</v>
      </c>
      <c r="B4700" t="s">
        <v>8531</v>
      </c>
      <c r="C4700" s="1" t="str">
        <f>HYPERLINK("http://www.genecards.org/cgi-bin/carddisp.pl?gene=KRT83","GeneCards")</f>
        <v>GeneCards</v>
      </c>
      <c r="D4700" s="1" t="str">
        <f>HYPERLINK("http://genome-euro.ucsc.edu/cgi-bin/hgTracks?position=207669_at","UCSC")</f>
        <v>UCSC</v>
      </c>
      <c r="E4700" s="1" t="str">
        <f>HYPERLINK("http://www.ncbi.nlm.nih.gov/gene/?term=KRT83","NCBI")</f>
        <v>NCBI</v>
      </c>
      <c r="F4700">
        <v>0.04</v>
      </c>
      <c r="G4700">
        <v>0.14000000000000001</v>
      </c>
      <c r="H4700" s="1" t="str">
        <f>HYPERLINK("http://www.weizmann.ac.il/complex/compphys/software/geview/data/figures/207669_at.png","Figure")</f>
        <v>Figure</v>
      </c>
      <c r="I4700">
        <v>1.42</v>
      </c>
      <c r="J4700">
        <v>3.4000000000000002E-2</v>
      </c>
      <c r="K4700">
        <v>1.22</v>
      </c>
      <c r="L4700">
        <v>0.2</v>
      </c>
      <c r="M4700">
        <v>0.85699999999999998</v>
      </c>
      <c r="N4700">
        <v>0.4</v>
      </c>
    </row>
    <row r="4701" spans="1:14" x14ac:dyDescent="0.25">
      <c r="A4701" t="s">
        <v>8532</v>
      </c>
      <c r="B4701" t="s">
        <v>4988</v>
      </c>
      <c r="C4701" s="1" t="str">
        <f>HYPERLINK("http://www.genecards.org/cgi-bin/carddisp.pl?gene=TMEM97","GeneCards")</f>
        <v>GeneCards</v>
      </c>
      <c r="D4701" s="1" t="str">
        <f>HYPERLINK("http://genome-euro.ucsc.edu/cgi-bin/hgTracks?position=212282_at","UCSC")</f>
        <v>UCSC</v>
      </c>
      <c r="E4701" s="1" t="str">
        <f>HYPERLINK("http://www.ncbi.nlm.nih.gov/gene/?term=TMEM97","NCBI")</f>
        <v>NCBI</v>
      </c>
      <c r="F4701">
        <v>0.04</v>
      </c>
      <c r="G4701">
        <v>0.14000000000000001</v>
      </c>
      <c r="H4701" s="1" t="str">
        <f>HYPERLINK("http://www.weizmann.ac.il/complex/compphys/software/geview/data/figures/212282_at.png","Figure")</f>
        <v>Figure</v>
      </c>
      <c r="I4701">
        <v>0.79600000000000004</v>
      </c>
      <c r="J4701">
        <v>0.39</v>
      </c>
      <c r="K4701">
        <v>1.25</v>
      </c>
      <c r="L4701">
        <v>0.32</v>
      </c>
      <c r="M4701">
        <v>1.57</v>
      </c>
      <c r="N4701">
        <v>3.4000000000000002E-2</v>
      </c>
    </row>
    <row r="4702" spans="1:14" x14ac:dyDescent="0.25">
      <c r="A4702" t="s">
        <v>8533</v>
      </c>
      <c r="B4702" t="s">
        <v>8534</v>
      </c>
      <c r="C4702" s="1" t="str">
        <f>HYPERLINK("http://www.genecards.org/cgi-bin/carddisp.pl?gene=TPSAB1","GeneCards")</f>
        <v>GeneCards</v>
      </c>
      <c r="D4702" s="1" t="str">
        <f>HYPERLINK("http://genome-euro.ucsc.edu/cgi-bin/hgTracks?position=216485_s_at","UCSC")</f>
        <v>UCSC</v>
      </c>
      <c r="E4702" s="1" t="str">
        <f>HYPERLINK("http://www.ncbi.nlm.nih.gov/gene/?term=TPSAB1","NCBI")</f>
        <v>NCBI</v>
      </c>
      <c r="F4702">
        <v>0.04</v>
      </c>
      <c r="G4702">
        <v>0.14000000000000001</v>
      </c>
      <c r="H4702" s="1" t="str">
        <f>HYPERLINK("http://www.weizmann.ac.il/complex/compphys/software/geview/data/figures/216485_s_at.png","Figure")</f>
        <v>Figure</v>
      </c>
      <c r="I4702">
        <v>1.28</v>
      </c>
      <c r="J4702">
        <v>4.2000000000000003E-2</v>
      </c>
      <c r="K4702">
        <v>1.19</v>
      </c>
      <c r="L4702">
        <v>0.11</v>
      </c>
      <c r="M4702">
        <v>0.92800000000000005</v>
      </c>
      <c r="N4702">
        <v>0.66</v>
      </c>
    </row>
    <row r="4703" spans="1:14" x14ac:dyDescent="0.25">
      <c r="A4703" t="s">
        <v>8535</v>
      </c>
      <c r="B4703" t="s">
        <v>8536</v>
      </c>
      <c r="C4703" s="1" t="str">
        <f>HYPERLINK("http://www.genecards.org/cgi-bin/carddisp.pl?gene=SEH1L","GeneCards")</f>
        <v>GeneCards</v>
      </c>
      <c r="D4703" s="1" t="str">
        <f>HYPERLINK("http://genome-euro.ucsc.edu/cgi-bin/hgTracks?position=221931_s_at","UCSC")</f>
        <v>UCSC</v>
      </c>
      <c r="E4703" s="1" t="str">
        <f>HYPERLINK("http://www.ncbi.nlm.nih.gov/gene/?term=SEH1L","NCBI")</f>
        <v>NCBI</v>
      </c>
      <c r="F4703">
        <v>0.04</v>
      </c>
      <c r="G4703">
        <v>0.14000000000000001</v>
      </c>
      <c r="H4703" s="1" t="str">
        <f>HYPERLINK("http://www.weizmann.ac.il/complex/compphys/software/geview/data/figures/221931_s_at.png","Figure")</f>
        <v>Figure</v>
      </c>
      <c r="I4703">
        <v>0.38200000000000001</v>
      </c>
      <c r="J4703">
        <v>5.3999999999999999E-2</v>
      </c>
      <c r="K4703">
        <v>0.92900000000000005</v>
      </c>
      <c r="L4703">
        <v>0.97</v>
      </c>
      <c r="M4703">
        <v>2.4300000000000002</v>
      </c>
      <c r="N4703">
        <v>5.7000000000000002E-2</v>
      </c>
    </row>
    <row r="4704" spans="1:14" x14ac:dyDescent="0.25">
      <c r="A4704" t="s">
        <v>8537</v>
      </c>
      <c r="B4704" t="s">
        <v>8538</v>
      </c>
      <c r="C4704" s="1" t="str">
        <f>HYPERLINK("http://www.genecards.org/cgi-bin/carddisp.pl?gene=VARS","GeneCards")</f>
        <v>GeneCards</v>
      </c>
      <c r="D4704" s="1" t="str">
        <f>HYPERLINK("http://genome-euro.ucsc.edu/cgi-bin/hgTracks?position=201796_s_at","UCSC")</f>
        <v>UCSC</v>
      </c>
      <c r="E4704" s="1" t="str">
        <f>HYPERLINK("http://www.ncbi.nlm.nih.gov/gene/?term=VARS","NCBI")</f>
        <v>NCBI</v>
      </c>
      <c r="F4704">
        <v>0.04</v>
      </c>
      <c r="G4704">
        <v>0.14000000000000001</v>
      </c>
      <c r="H4704" s="1" t="str">
        <f>HYPERLINK("http://www.weizmann.ac.il/complex/compphys/software/geview/data/figures/201796_s_at.png","Figure")</f>
        <v>Figure</v>
      </c>
      <c r="I4704">
        <v>1.48</v>
      </c>
      <c r="J4704">
        <v>3.3000000000000002E-2</v>
      </c>
      <c r="K4704">
        <v>1.23</v>
      </c>
      <c r="L4704">
        <v>0.23</v>
      </c>
      <c r="M4704">
        <v>0.82799999999999996</v>
      </c>
      <c r="N4704">
        <v>0.34</v>
      </c>
    </row>
    <row r="4705" spans="1:14" x14ac:dyDescent="0.25">
      <c r="A4705" t="s">
        <v>8539</v>
      </c>
      <c r="B4705" t="s">
        <v>8540</v>
      </c>
      <c r="C4705" s="1" t="str">
        <f>HYPERLINK("http://www.genecards.org/cgi-bin/carddisp.pl?gene=SPDEF","GeneCards")</f>
        <v>GeneCards</v>
      </c>
      <c r="D4705" s="1" t="str">
        <f>HYPERLINK("http://genome-euro.ucsc.edu/cgi-bin/hgTracks?position=213441_x_at","UCSC")</f>
        <v>UCSC</v>
      </c>
      <c r="E4705" s="1" t="str">
        <f>HYPERLINK("http://www.ncbi.nlm.nih.gov/gene/?term=SPDEF","NCBI")</f>
        <v>NCBI</v>
      </c>
      <c r="F4705">
        <v>0.04</v>
      </c>
      <c r="G4705">
        <v>0.14000000000000001</v>
      </c>
      <c r="H4705" s="1" t="str">
        <f>HYPERLINK("http://www.weizmann.ac.il/complex/compphys/software/geview/data/figures/213441_x_at.png","Figure")</f>
        <v>Figure</v>
      </c>
      <c r="I4705">
        <v>1.52</v>
      </c>
      <c r="J4705">
        <v>3.2000000000000001E-2</v>
      </c>
      <c r="K4705">
        <v>1.22</v>
      </c>
      <c r="L4705">
        <v>0.28999999999999998</v>
      </c>
      <c r="M4705">
        <v>0.80100000000000005</v>
      </c>
      <c r="N4705">
        <v>0.27</v>
      </c>
    </row>
    <row r="4706" spans="1:14" x14ac:dyDescent="0.25">
      <c r="A4706" t="s">
        <v>8541</v>
      </c>
      <c r="B4706" t="s">
        <v>4430</v>
      </c>
      <c r="C4706" s="1" t="str">
        <f>HYPERLINK("http://www.genecards.org/cgi-bin/carddisp.pl?gene=CACNG4","GeneCards")</f>
        <v>GeneCards</v>
      </c>
      <c r="D4706" s="1" t="str">
        <f>HYPERLINK("http://genome-euro.ucsc.edu/cgi-bin/hgTracks?position=62987_r_at","UCSC")</f>
        <v>UCSC</v>
      </c>
      <c r="E4706" s="1" t="str">
        <f>HYPERLINK("http://www.ncbi.nlm.nih.gov/gene/?term=CACNG4","NCBI")</f>
        <v>NCBI</v>
      </c>
      <c r="F4706">
        <v>0.04</v>
      </c>
      <c r="G4706">
        <v>0.14000000000000001</v>
      </c>
      <c r="H4706" s="1" t="str">
        <f>HYPERLINK("http://www.weizmann.ac.il/complex/compphys/software/geview/data/figures/62987_r_at.png","Figure")</f>
        <v>Figure</v>
      </c>
      <c r="I4706">
        <v>1.57</v>
      </c>
      <c r="J4706">
        <v>3.9E-2</v>
      </c>
      <c r="K4706">
        <v>1.34</v>
      </c>
      <c r="L4706">
        <v>0.13</v>
      </c>
      <c r="M4706">
        <v>0.85699999999999998</v>
      </c>
      <c r="N4706">
        <v>0.57999999999999996</v>
      </c>
    </row>
    <row r="4707" spans="1:14" x14ac:dyDescent="0.25">
      <c r="A4707" t="s">
        <v>8542</v>
      </c>
      <c r="B4707" t="s">
        <v>8543</v>
      </c>
      <c r="C4707" s="1" t="str">
        <f>HYPERLINK("http://www.genecards.org/cgi-bin/carddisp.pl?gene=GAS1","GeneCards")</f>
        <v>GeneCards</v>
      </c>
      <c r="D4707" s="1" t="str">
        <f>HYPERLINK("http://genome-euro.ucsc.edu/cgi-bin/hgTracks?position=204457_s_at","UCSC")</f>
        <v>UCSC</v>
      </c>
      <c r="E4707" s="1" t="str">
        <f>HYPERLINK("http://www.ncbi.nlm.nih.gov/gene/?term=GAS1","NCBI")</f>
        <v>NCBI</v>
      </c>
      <c r="F4707">
        <v>0.04</v>
      </c>
      <c r="G4707">
        <v>0.14000000000000001</v>
      </c>
      <c r="H4707" s="1" t="str">
        <f>HYPERLINK("http://www.weizmann.ac.il/complex/compphys/software/geview/data/figures/204457_s_at.png","Figure")</f>
        <v>Figure</v>
      </c>
      <c r="I4707">
        <v>0.51600000000000001</v>
      </c>
      <c r="J4707">
        <v>3.9E-2</v>
      </c>
      <c r="K4707">
        <v>0.85899999999999999</v>
      </c>
      <c r="L4707">
        <v>0.75</v>
      </c>
      <c r="M4707">
        <v>1.66</v>
      </c>
      <c r="N4707">
        <v>9.2999999999999999E-2</v>
      </c>
    </row>
    <row r="4708" spans="1:14" x14ac:dyDescent="0.25">
      <c r="A4708" t="s">
        <v>8544</v>
      </c>
      <c r="B4708" t="s">
        <v>8545</v>
      </c>
      <c r="C4708" s="1" t="str">
        <f>HYPERLINK("http://www.genecards.org/cgi-bin/carddisp.pl?gene=DEFA1 /// DEFA1B /// DEFA3","GeneCards")</f>
        <v>GeneCards</v>
      </c>
      <c r="D4708" s="1" t="str">
        <f>HYPERLINK("http://genome-euro.ucsc.edu/cgi-bin/hgTracks?position=205033_s_at","UCSC")</f>
        <v>UCSC</v>
      </c>
      <c r="E4708" s="1" t="str">
        <f>HYPERLINK("http://www.ncbi.nlm.nih.gov/gene/?term=DEFA1 /// DEFA1B /// DEFA3","NCBI")</f>
        <v>NCBI</v>
      </c>
      <c r="F4708">
        <v>0.04</v>
      </c>
      <c r="G4708">
        <v>0.14000000000000001</v>
      </c>
      <c r="H4708" s="1" t="str">
        <f>HYPERLINK("http://www.weizmann.ac.il/complex/compphys/software/geview/data/figures/205033_s_at.png","Figure")</f>
        <v>Figure</v>
      </c>
      <c r="I4708">
        <v>1.73</v>
      </c>
      <c r="J4708">
        <v>0.53</v>
      </c>
      <c r="K4708">
        <v>0.47099999999999997</v>
      </c>
      <c r="L4708">
        <v>0.23</v>
      </c>
      <c r="M4708">
        <v>0.27300000000000002</v>
      </c>
      <c r="N4708">
        <v>3.6999999999999998E-2</v>
      </c>
    </row>
    <row r="4709" spans="1:14" x14ac:dyDescent="0.25">
      <c r="A4709" t="s">
        <v>8546</v>
      </c>
      <c r="B4709" t="s">
        <v>8547</v>
      </c>
      <c r="C4709" s="1" t="str">
        <f>HYPERLINK("http://www.genecards.org/cgi-bin/carddisp.pl?gene=SPINLW1","GeneCards")</f>
        <v>GeneCards</v>
      </c>
      <c r="D4709" s="1" t="str">
        <f>HYPERLINK("http://genome-euro.ucsc.edu/cgi-bin/hgTracks?position=206319_s_at","UCSC")</f>
        <v>UCSC</v>
      </c>
      <c r="E4709" s="1" t="str">
        <f>HYPERLINK("http://www.ncbi.nlm.nih.gov/gene/?term=SPINLW1","NCBI")</f>
        <v>NCBI</v>
      </c>
      <c r="F4709">
        <v>0.04</v>
      </c>
      <c r="G4709">
        <v>0.14000000000000001</v>
      </c>
      <c r="H4709" s="1" t="str">
        <f>HYPERLINK("http://www.weizmann.ac.il/complex/compphys/software/geview/data/figures/206319_s_at.png","Figure")</f>
        <v>Figure</v>
      </c>
      <c r="I4709">
        <v>0.93100000000000005</v>
      </c>
      <c r="J4709">
        <v>0.85</v>
      </c>
      <c r="K4709">
        <v>0.73599999999999999</v>
      </c>
      <c r="L4709">
        <v>4.2999999999999997E-2</v>
      </c>
      <c r="M4709">
        <v>0.79</v>
      </c>
      <c r="N4709">
        <v>0.16</v>
      </c>
    </row>
    <row r="4710" spans="1:14" x14ac:dyDescent="0.25">
      <c r="A4710" t="s">
        <v>8548</v>
      </c>
      <c r="B4710" t="s">
        <v>7017</v>
      </c>
      <c r="C4710" s="1" t="str">
        <f>HYPERLINK("http://www.genecards.org/cgi-bin/carddisp.pl?gene=PHLDB1","GeneCards")</f>
        <v>GeneCards</v>
      </c>
      <c r="D4710" s="1" t="str">
        <f>HYPERLINK("http://genome-euro.ucsc.edu/cgi-bin/hgTracks?position=212134_at","UCSC")</f>
        <v>UCSC</v>
      </c>
      <c r="E4710" s="1" t="str">
        <f>HYPERLINK("http://www.ncbi.nlm.nih.gov/gene/?term=PHLDB1","NCBI")</f>
        <v>NCBI</v>
      </c>
      <c r="F4710">
        <v>0.04</v>
      </c>
      <c r="G4710">
        <v>0.14000000000000001</v>
      </c>
      <c r="H4710" s="1" t="str">
        <f>HYPERLINK("http://www.weizmann.ac.il/complex/compphys/software/geview/data/figures/212134_at.png","Figure")</f>
        <v>Figure</v>
      </c>
      <c r="I4710">
        <v>1.27</v>
      </c>
      <c r="J4710">
        <v>3.6999999999999998E-2</v>
      </c>
      <c r="K4710">
        <v>1.06</v>
      </c>
      <c r="L4710">
        <v>0.7</v>
      </c>
      <c r="M4710">
        <v>0.83899999999999997</v>
      </c>
      <c r="N4710">
        <v>0.1</v>
      </c>
    </row>
    <row r="4711" spans="1:14" x14ac:dyDescent="0.25">
      <c r="A4711" t="s">
        <v>8549</v>
      </c>
      <c r="B4711" t="s">
        <v>8550</v>
      </c>
      <c r="C4711" s="1" t="str">
        <f>HYPERLINK("http://www.genecards.org/cgi-bin/carddisp.pl?gene=KIF13A","GeneCards")</f>
        <v>GeneCards</v>
      </c>
      <c r="D4711" s="1" t="str">
        <f>HYPERLINK("http://genome-euro.ucsc.edu/cgi-bin/hgTracks?position=220777_at","UCSC")</f>
        <v>UCSC</v>
      </c>
      <c r="E4711" s="1" t="str">
        <f>HYPERLINK("http://www.ncbi.nlm.nih.gov/gene/?term=KIF13A","NCBI")</f>
        <v>NCBI</v>
      </c>
      <c r="F4711">
        <v>0.04</v>
      </c>
      <c r="G4711">
        <v>0.14000000000000001</v>
      </c>
      <c r="H4711" s="1" t="str">
        <f>HYPERLINK("http://www.weizmann.ac.il/complex/compphys/software/geview/data/figures/220777_at.png","Figure")</f>
        <v>Figure</v>
      </c>
      <c r="I4711">
        <v>0.74199999999999999</v>
      </c>
      <c r="J4711">
        <v>0.37</v>
      </c>
      <c r="K4711">
        <v>1.32</v>
      </c>
      <c r="L4711">
        <v>0.34</v>
      </c>
      <c r="M4711">
        <v>1.77</v>
      </c>
      <c r="N4711">
        <v>3.3000000000000002E-2</v>
      </c>
    </row>
    <row r="4712" spans="1:14" x14ac:dyDescent="0.25">
      <c r="A4712" t="s">
        <v>8551</v>
      </c>
      <c r="B4712" t="s">
        <v>8538</v>
      </c>
      <c r="C4712" s="1" t="str">
        <f>HYPERLINK("http://www.genecards.org/cgi-bin/carddisp.pl?gene=VARS","GeneCards")</f>
        <v>GeneCards</v>
      </c>
      <c r="D4712" s="1" t="str">
        <f>HYPERLINK("http://genome-euro.ucsc.edu/cgi-bin/hgTracks?position=201797_s_at","UCSC")</f>
        <v>UCSC</v>
      </c>
      <c r="E4712" s="1" t="str">
        <f>HYPERLINK("http://www.ncbi.nlm.nih.gov/gene/?term=VARS","NCBI")</f>
        <v>NCBI</v>
      </c>
      <c r="F4712">
        <v>0.04</v>
      </c>
      <c r="G4712">
        <v>0.14000000000000001</v>
      </c>
      <c r="H4712" s="1" t="str">
        <f>HYPERLINK("http://www.weizmann.ac.il/complex/compphys/software/geview/data/figures/201797_s_at.png","Figure")</f>
        <v>Figure</v>
      </c>
      <c r="I4712">
        <v>0.66400000000000003</v>
      </c>
      <c r="J4712">
        <v>0.13</v>
      </c>
      <c r="K4712">
        <v>1.1100000000000001</v>
      </c>
      <c r="L4712">
        <v>0.81</v>
      </c>
      <c r="M4712">
        <v>1.67</v>
      </c>
      <c r="N4712">
        <v>3.5000000000000003E-2</v>
      </c>
    </row>
    <row r="4713" spans="1:14" x14ac:dyDescent="0.25">
      <c r="A4713" t="s">
        <v>8552</v>
      </c>
      <c r="B4713" t="s">
        <v>8553</v>
      </c>
      <c r="C4713" s="1" t="str">
        <f>HYPERLINK("http://www.genecards.org/cgi-bin/carddisp.pl?gene=OXCT2","GeneCards")</f>
        <v>GeneCards</v>
      </c>
      <c r="D4713" s="1" t="str">
        <f>HYPERLINK("http://genome-euro.ucsc.edu/cgi-bin/hgTracks?position=220256_s_at","UCSC")</f>
        <v>UCSC</v>
      </c>
      <c r="E4713" s="1" t="str">
        <f>HYPERLINK("http://www.ncbi.nlm.nih.gov/gene/?term=OXCT2","NCBI")</f>
        <v>NCBI</v>
      </c>
      <c r="F4713">
        <v>0.04</v>
      </c>
      <c r="G4713">
        <v>0.14000000000000001</v>
      </c>
      <c r="H4713" s="1" t="str">
        <f>HYPERLINK("http://www.weizmann.ac.il/complex/compphys/software/geview/data/figures/220256_s_at.png","Figure")</f>
        <v>Figure</v>
      </c>
      <c r="I4713">
        <v>1.36</v>
      </c>
      <c r="J4713">
        <v>3.3000000000000002E-2</v>
      </c>
      <c r="K4713">
        <v>1.18</v>
      </c>
      <c r="L4713">
        <v>0.23</v>
      </c>
      <c r="M4713">
        <v>0.86499999999999999</v>
      </c>
      <c r="N4713">
        <v>0.35</v>
      </c>
    </row>
    <row r="4714" spans="1:14" x14ac:dyDescent="0.25">
      <c r="A4714" t="s">
        <v>8554</v>
      </c>
      <c r="B4714" t="s">
        <v>8555</v>
      </c>
      <c r="C4714" s="1" t="str">
        <f>HYPERLINK("http://www.genecards.org/cgi-bin/carddisp.pl?gene=MCF2L","GeneCards")</f>
        <v>GeneCards</v>
      </c>
      <c r="D4714" s="1" t="str">
        <f>HYPERLINK("http://genome-euro.ucsc.edu/cgi-bin/hgTracks?position=220464_at","UCSC")</f>
        <v>UCSC</v>
      </c>
      <c r="E4714" s="1" t="str">
        <f>HYPERLINK("http://www.ncbi.nlm.nih.gov/gene/?term=MCF2L","NCBI")</f>
        <v>NCBI</v>
      </c>
      <c r="F4714">
        <v>0.04</v>
      </c>
      <c r="G4714">
        <v>0.14000000000000001</v>
      </c>
      <c r="H4714" s="1" t="str">
        <f>HYPERLINK("http://www.weizmann.ac.il/complex/compphys/software/geview/data/figures/220464_at.png","Figure")</f>
        <v>Figure</v>
      </c>
      <c r="I4714">
        <v>1.1200000000000001</v>
      </c>
      <c r="J4714">
        <v>0.19</v>
      </c>
      <c r="K4714">
        <v>0.95099999999999996</v>
      </c>
      <c r="L4714">
        <v>0.63</v>
      </c>
      <c r="M4714">
        <v>0.84799999999999998</v>
      </c>
      <c r="N4714">
        <v>3.2000000000000001E-2</v>
      </c>
    </row>
    <row r="4715" spans="1:14" x14ac:dyDescent="0.25">
      <c r="A4715" t="s">
        <v>8556</v>
      </c>
      <c r="B4715" t="s">
        <v>4668</v>
      </c>
      <c r="C4715" s="1" t="str">
        <f>HYPERLINK("http://www.genecards.org/cgi-bin/carddisp.pl?gene=ANKHD1 /// ANKHD1-EIF4EBP3","GeneCards")</f>
        <v>GeneCards</v>
      </c>
      <c r="D4715" s="1" t="str">
        <f>HYPERLINK("http://genome-euro.ucsc.edu/cgi-bin/hgTracks?position=208772_at","UCSC")</f>
        <v>UCSC</v>
      </c>
      <c r="E4715" s="1" t="str">
        <f>HYPERLINK("http://www.ncbi.nlm.nih.gov/gene/?term=ANKHD1 /// ANKHD1-EIF4EBP3","NCBI")</f>
        <v>NCBI</v>
      </c>
      <c r="F4715">
        <v>0.04</v>
      </c>
      <c r="G4715">
        <v>0.14000000000000001</v>
      </c>
      <c r="H4715" s="1" t="str">
        <f>HYPERLINK("http://www.weizmann.ac.il/complex/compphys/software/geview/data/figures/208772_at.png","Figure")</f>
        <v>Figure</v>
      </c>
      <c r="I4715">
        <v>1.47</v>
      </c>
      <c r="J4715">
        <v>5.5E-2</v>
      </c>
      <c r="K4715">
        <v>1.03</v>
      </c>
      <c r="L4715">
        <v>0.97</v>
      </c>
      <c r="M4715">
        <v>0.7</v>
      </c>
      <c r="N4715">
        <v>5.7000000000000002E-2</v>
      </c>
    </row>
    <row r="4716" spans="1:14" x14ac:dyDescent="0.25">
      <c r="A4716" t="s">
        <v>8557</v>
      </c>
      <c r="B4716" t="s">
        <v>8558</v>
      </c>
      <c r="C4716" s="1" t="str">
        <f>HYPERLINK("http://www.genecards.org/cgi-bin/carddisp.pl?gene=NDUFA4","GeneCards")</f>
        <v>GeneCards</v>
      </c>
      <c r="D4716" s="1" t="str">
        <f>HYPERLINK("http://genome-euro.ucsc.edu/cgi-bin/hgTracks?position=217773_s_at","UCSC")</f>
        <v>UCSC</v>
      </c>
      <c r="E4716" s="1" t="str">
        <f>HYPERLINK("http://www.ncbi.nlm.nih.gov/gene/?term=NDUFA4","NCBI")</f>
        <v>NCBI</v>
      </c>
      <c r="F4716">
        <v>0.04</v>
      </c>
      <c r="G4716">
        <v>0.14000000000000001</v>
      </c>
      <c r="H4716" s="1" t="str">
        <f>HYPERLINK("http://www.weizmann.ac.il/complex/compphys/software/geview/data/figures/217773_s_at.png","Figure")</f>
        <v>Figure</v>
      </c>
      <c r="I4716">
        <v>1.32</v>
      </c>
      <c r="J4716">
        <v>0.16</v>
      </c>
      <c r="K4716">
        <v>1.4</v>
      </c>
      <c r="L4716">
        <v>3.5999999999999997E-2</v>
      </c>
      <c r="M4716">
        <v>1.07</v>
      </c>
      <c r="N4716">
        <v>0.87</v>
      </c>
    </row>
    <row r="4717" spans="1:14" x14ac:dyDescent="0.25">
      <c r="A4717" t="s">
        <v>8559</v>
      </c>
      <c r="B4717" t="s">
        <v>3037</v>
      </c>
      <c r="C4717" s="1" t="str">
        <f>HYPERLINK("http://www.genecards.org/cgi-bin/carddisp.pl?gene=CLCN3","GeneCards")</f>
        <v>GeneCards</v>
      </c>
      <c r="D4717" s="1" t="str">
        <f>HYPERLINK("http://genome-euro.ucsc.edu/cgi-bin/hgTracks?position=201734_at","UCSC")</f>
        <v>UCSC</v>
      </c>
      <c r="E4717" s="1" t="str">
        <f>HYPERLINK("http://www.ncbi.nlm.nih.gov/gene/?term=CLCN3","NCBI")</f>
        <v>NCBI</v>
      </c>
      <c r="F4717">
        <v>0.04</v>
      </c>
      <c r="G4717">
        <v>0.14000000000000001</v>
      </c>
      <c r="H4717" s="1" t="str">
        <f>HYPERLINK("http://www.weizmann.ac.il/complex/compphys/software/geview/data/figures/201734_at.png","Figure")</f>
        <v>Figure</v>
      </c>
      <c r="I4717">
        <v>0.39300000000000002</v>
      </c>
      <c r="J4717">
        <v>5.7000000000000002E-2</v>
      </c>
      <c r="K4717">
        <v>0.94399999999999995</v>
      </c>
      <c r="L4717">
        <v>0.98</v>
      </c>
      <c r="M4717">
        <v>2.4</v>
      </c>
      <c r="N4717">
        <v>5.5E-2</v>
      </c>
    </row>
    <row r="4718" spans="1:14" x14ac:dyDescent="0.25">
      <c r="A4718" t="s">
        <v>8560</v>
      </c>
      <c r="B4718" t="s">
        <v>8561</v>
      </c>
      <c r="C4718" s="1" t="str">
        <f>HYPERLINK("http://www.genecards.org/cgi-bin/carddisp.pl?gene=KIR2DL1","GeneCards")</f>
        <v>GeneCards</v>
      </c>
      <c r="D4718" s="1" t="str">
        <f>HYPERLINK("http://genome-euro.ucsc.edu/cgi-bin/hgTracks?position=210890_x_at","UCSC")</f>
        <v>UCSC</v>
      </c>
      <c r="E4718" s="1" t="str">
        <f>HYPERLINK("http://www.ncbi.nlm.nih.gov/gene/?term=KIR2DL1","NCBI")</f>
        <v>NCBI</v>
      </c>
      <c r="F4718">
        <v>0.04</v>
      </c>
      <c r="G4718">
        <v>0.14000000000000001</v>
      </c>
      <c r="H4718" s="1" t="str">
        <f>HYPERLINK("http://www.weizmann.ac.il/complex/compphys/software/geview/data/figures/210890_x_at.png","Figure")</f>
        <v>Figure</v>
      </c>
      <c r="I4718">
        <v>1.36</v>
      </c>
      <c r="J4718">
        <v>3.6999999999999998E-2</v>
      </c>
      <c r="K4718">
        <v>1.08</v>
      </c>
      <c r="L4718">
        <v>0.68</v>
      </c>
      <c r="M4718">
        <v>0.79900000000000004</v>
      </c>
      <c r="N4718">
        <v>0.11</v>
      </c>
    </row>
    <row r="4719" spans="1:14" x14ac:dyDescent="0.25">
      <c r="A4719" t="s">
        <v>8562</v>
      </c>
      <c r="B4719" t="s">
        <v>8563</v>
      </c>
      <c r="C4719" s="1" t="str">
        <f>HYPERLINK("http://www.genecards.org/cgi-bin/carddisp.pl?gene=ZNF205","GeneCards")</f>
        <v>GeneCards</v>
      </c>
      <c r="D4719" s="1" t="str">
        <f>HYPERLINK("http://genome-euro.ucsc.edu/cgi-bin/hgTracks?position=206416_at","UCSC")</f>
        <v>UCSC</v>
      </c>
      <c r="E4719" s="1" t="str">
        <f>HYPERLINK("http://www.ncbi.nlm.nih.gov/gene/?term=ZNF205","NCBI")</f>
        <v>NCBI</v>
      </c>
      <c r="F4719">
        <v>0.04</v>
      </c>
      <c r="G4719">
        <v>0.14000000000000001</v>
      </c>
      <c r="H4719" s="1" t="str">
        <f>HYPERLINK("http://www.weizmann.ac.il/complex/compphys/software/geview/data/figures/206416_at.png","Figure")</f>
        <v>Figure</v>
      </c>
      <c r="I4719">
        <v>1.33</v>
      </c>
      <c r="J4719">
        <v>6.4000000000000001E-2</v>
      </c>
      <c r="K4719">
        <v>1.28</v>
      </c>
      <c r="L4719">
        <v>6.4000000000000001E-2</v>
      </c>
      <c r="M4719">
        <v>0.96399999999999997</v>
      </c>
      <c r="N4719">
        <v>0.94</v>
      </c>
    </row>
    <row r="4720" spans="1:14" x14ac:dyDescent="0.25">
      <c r="A4720" t="s">
        <v>8564</v>
      </c>
      <c r="B4720" t="s">
        <v>4378</v>
      </c>
      <c r="C4720" s="1" t="str">
        <f>HYPERLINK("http://www.genecards.org/cgi-bin/carddisp.pl?gene=CDC42EP3","GeneCards")</f>
        <v>GeneCards</v>
      </c>
      <c r="D4720" s="1" t="str">
        <f>HYPERLINK("http://genome-euro.ucsc.edu/cgi-bin/hgTracks?position=209286_at","UCSC")</f>
        <v>UCSC</v>
      </c>
      <c r="E4720" s="1" t="str">
        <f>HYPERLINK("http://www.ncbi.nlm.nih.gov/gene/?term=CDC42EP3","NCBI")</f>
        <v>NCBI</v>
      </c>
      <c r="F4720">
        <v>0.04</v>
      </c>
      <c r="G4720">
        <v>0.14000000000000001</v>
      </c>
      <c r="H4720" s="1" t="str">
        <f>HYPERLINK("http://www.weizmann.ac.il/complex/compphys/software/geview/data/figures/209286_at.png","Figure")</f>
        <v>Figure</v>
      </c>
      <c r="I4720">
        <v>0.97299999999999998</v>
      </c>
      <c r="J4720">
        <v>0.97</v>
      </c>
      <c r="K4720">
        <v>0.77800000000000002</v>
      </c>
      <c r="L4720">
        <v>5.3999999999999999E-2</v>
      </c>
      <c r="M4720">
        <v>0.79900000000000004</v>
      </c>
      <c r="N4720">
        <v>0.12</v>
      </c>
    </row>
    <row r="4721" spans="1:14" x14ac:dyDescent="0.25">
      <c r="A4721" t="s">
        <v>8565</v>
      </c>
      <c r="B4721" t="s">
        <v>8566</v>
      </c>
      <c r="C4721" s="1" t="str">
        <f>HYPERLINK("http://www.genecards.org/cgi-bin/carddisp.pl?gene=HSD17B14","GeneCards")</f>
        <v>GeneCards</v>
      </c>
      <c r="D4721" s="1" t="str">
        <f>HYPERLINK("http://genome-euro.ucsc.edu/cgi-bin/hgTracks?position=219113_x_at","UCSC")</f>
        <v>UCSC</v>
      </c>
      <c r="E4721" s="1" t="str">
        <f>HYPERLINK("http://www.ncbi.nlm.nih.gov/gene/?term=HSD17B14","NCBI")</f>
        <v>NCBI</v>
      </c>
      <c r="F4721">
        <v>0.04</v>
      </c>
      <c r="G4721">
        <v>0.14000000000000001</v>
      </c>
      <c r="H4721" s="1" t="str">
        <f>HYPERLINK("http://www.weizmann.ac.il/complex/compphys/software/geview/data/figures/219113_x_at.png","Figure")</f>
        <v>Figure</v>
      </c>
      <c r="I4721">
        <v>1.36</v>
      </c>
      <c r="J4721">
        <v>4.3999999999999997E-2</v>
      </c>
      <c r="K4721">
        <v>1.05</v>
      </c>
      <c r="L4721">
        <v>0.85</v>
      </c>
      <c r="M4721">
        <v>0.77700000000000002</v>
      </c>
      <c r="N4721">
        <v>7.6999999999999999E-2</v>
      </c>
    </row>
    <row r="4722" spans="1:14" x14ac:dyDescent="0.25">
      <c r="A4722" t="s">
        <v>8567</v>
      </c>
      <c r="B4722" t="s">
        <v>3070</v>
      </c>
      <c r="C4722" s="1" t="str">
        <f>HYPERLINK("http://www.genecards.org/cgi-bin/carddisp.pl?gene=GNAS","GeneCards")</f>
        <v>GeneCards</v>
      </c>
      <c r="D4722" s="1" t="str">
        <f>HYPERLINK("http://genome-euro.ucsc.edu/cgi-bin/hgTracks?position=212273_x_at","UCSC")</f>
        <v>UCSC</v>
      </c>
      <c r="E4722" s="1" t="str">
        <f>HYPERLINK("http://www.ncbi.nlm.nih.gov/gene/?term=GNAS","NCBI")</f>
        <v>NCBI</v>
      </c>
      <c r="F4722">
        <v>0.04</v>
      </c>
      <c r="G4722">
        <v>0.14000000000000001</v>
      </c>
      <c r="H4722" s="1" t="str">
        <f>HYPERLINK("http://www.weizmann.ac.il/complex/compphys/software/geview/data/figures/212273_x_at.png","Figure")</f>
        <v>Figure</v>
      </c>
      <c r="I4722">
        <v>1.22</v>
      </c>
      <c r="J4722">
        <v>0.21</v>
      </c>
      <c r="K4722">
        <v>0.90800000000000003</v>
      </c>
      <c r="L4722">
        <v>0.57999999999999996</v>
      </c>
      <c r="M4722">
        <v>0.745</v>
      </c>
      <c r="N4722">
        <v>3.2000000000000001E-2</v>
      </c>
    </row>
    <row r="4723" spans="1:14" x14ac:dyDescent="0.25">
      <c r="A4723" t="s">
        <v>8568</v>
      </c>
      <c r="B4723" t="s">
        <v>8569</v>
      </c>
      <c r="C4723" s="1" t="str">
        <f>HYPERLINK("http://www.genecards.org/cgi-bin/carddisp.pl?gene=PEG10","GeneCards")</f>
        <v>GeneCards</v>
      </c>
      <c r="D4723" s="1" t="str">
        <f>HYPERLINK("http://genome-euro.ucsc.edu/cgi-bin/hgTracks?position=212094_at","UCSC")</f>
        <v>UCSC</v>
      </c>
      <c r="E4723" s="1" t="str">
        <f>HYPERLINK("http://www.ncbi.nlm.nih.gov/gene/?term=PEG10","NCBI")</f>
        <v>NCBI</v>
      </c>
      <c r="F4723">
        <v>0.04</v>
      </c>
      <c r="G4723">
        <v>0.14000000000000001</v>
      </c>
      <c r="H4723" s="1" t="str">
        <f>HYPERLINK("http://www.weizmann.ac.il/complex/compphys/software/geview/data/figures/212094_at.png","Figure")</f>
        <v>Figure</v>
      </c>
      <c r="I4723">
        <v>0.73299999999999998</v>
      </c>
      <c r="J4723">
        <v>0.76</v>
      </c>
      <c r="K4723">
        <v>0.35299999999999998</v>
      </c>
      <c r="L4723">
        <v>3.9E-2</v>
      </c>
      <c r="M4723">
        <v>0.48099999999999998</v>
      </c>
      <c r="N4723">
        <v>0.2</v>
      </c>
    </row>
    <row r="4724" spans="1:14" x14ac:dyDescent="0.25">
      <c r="A4724" t="s">
        <v>8570</v>
      </c>
      <c r="B4724" t="s">
        <v>8571</v>
      </c>
      <c r="C4724" s="1" t="str">
        <f>HYPERLINK("http://www.genecards.org/cgi-bin/carddisp.pl?gene=RABGGTA","GeneCards")</f>
        <v>GeneCards</v>
      </c>
      <c r="D4724" s="1" t="str">
        <f>HYPERLINK("http://genome-euro.ucsc.edu/cgi-bin/hgTracks?position=203573_s_at","UCSC")</f>
        <v>UCSC</v>
      </c>
      <c r="E4724" s="1" t="str">
        <f>HYPERLINK("http://www.ncbi.nlm.nih.gov/gene/?term=RABGGTA","NCBI")</f>
        <v>NCBI</v>
      </c>
      <c r="F4724">
        <v>0.04</v>
      </c>
      <c r="G4724">
        <v>0.14000000000000001</v>
      </c>
      <c r="H4724" s="1" t="str">
        <f>HYPERLINK("http://www.weizmann.ac.il/complex/compphys/software/geview/data/figures/203573_s_at.png","Figure")</f>
        <v>Figure</v>
      </c>
      <c r="I4724">
        <v>0.70699999999999996</v>
      </c>
      <c r="J4724">
        <v>7.9000000000000001E-2</v>
      </c>
      <c r="K4724">
        <v>1.02</v>
      </c>
      <c r="L4724">
        <v>0.98</v>
      </c>
      <c r="M4724">
        <v>1.45</v>
      </c>
      <c r="N4724">
        <v>4.2999999999999997E-2</v>
      </c>
    </row>
    <row r="4725" spans="1:14" x14ac:dyDescent="0.25">
      <c r="A4725" t="s">
        <v>8572</v>
      </c>
      <c r="B4725" t="s">
        <v>8573</v>
      </c>
      <c r="C4725" s="1" t="str">
        <f>HYPERLINK("http://www.genecards.org/cgi-bin/carddisp.pl?gene=KIAA1609","GeneCards")</f>
        <v>GeneCards</v>
      </c>
      <c r="D4725" s="1" t="str">
        <f>HYPERLINK("http://genome-euro.ucsc.edu/cgi-bin/hgTracks?position=222261_at","UCSC")</f>
        <v>UCSC</v>
      </c>
      <c r="E4725" s="1" t="str">
        <f>HYPERLINK("http://www.ncbi.nlm.nih.gov/gene/?term=KIAA1609","NCBI")</f>
        <v>NCBI</v>
      </c>
      <c r="F4725">
        <v>0.04</v>
      </c>
      <c r="G4725">
        <v>0.14000000000000001</v>
      </c>
      <c r="H4725" s="1" t="str">
        <f>HYPERLINK("http://www.weizmann.ac.il/complex/compphys/software/geview/data/figures/222261_at.png","Figure")</f>
        <v>Figure</v>
      </c>
      <c r="I4725">
        <v>1.1599999999999999</v>
      </c>
      <c r="J4725">
        <v>7.0999999999999994E-2</v>
      </c>
      <c r="K4725">
        <v>1.1399999999999999</v>
      </c>
      <c r="L4725">
        <v>5.8000000000000003E-2</v>
      </c>
      <c r="M4725">
        <v>0.98699999999999999</v>
      </c>
      <c r="N4725">
        <v>0.97</v>
      </c>
    </row>
    <row r="4726" spans="1:14" x14ac:dyDescent="0.25">
      <c r="A4726" t="s">
        <v>8574</v>
      </c>
      <c r="B4726" t="s">
        <v>8575</v>
      </c>
      <c r="C4726" s="1" t="str">
        <f>HYPERLINK("http://www.genecards.org/cgi-bin/carddisp.pl?gene=RTEL1","GeneCards")</f>
        <v>GeneCards</v>
      </c>
      <c r="D4726" s="1" t="str">
        <f>HYPERLINK("http://genome-euro.ucsc.edu/cgi-bin/hgTracks?position=213829_x_at","UCSC")</f>
        <v>UCSC</v>
      </c>
      <c r="E4726" s="1" t="str">
        <f>HYPERLINK("http://www.ncbi.nlm.nih.gov/gene/?term=RTEL1","NCBI")</f>
        <v>NCBI</v>
      </c>
      <c r="F4726">
        <v>0.04</v>
      </c>
      <c r="G4726">
        <v>0.14000000000000001</v>
      </c>
      <c r="H4726" s="1" t="str">
        <f>HYPERLINK("http://www.weizmann.ac.il/complex/compphys/software/geview/data/figures/213829_x_at.png","Figure")</f>
        <v>Figure</v>
      </c>
      <c r="I4726">
        <v>1.45</v>
      </c>
      <c r="J4726">
        <v>3.5000000000000003E-2</v>
      </c>
      <c r="K4726">
        <v>1.24</v>
      </c>
      <c r="L4726">
        <v>0.18</v>
      </c>
      <c r="M4726">
        <v>0.85599999999999998</v>
      </c>
      <c r="N4726">
        <v>0.44</v>
      </c>
    </row>
    <row r="4727" spans="1:14" x14ac:dyDescent="0.25">
      <c r="A4727" t="s">
        <v>8576</v>
      </c>
      <c r="B4727" t="s">
        <v>1095</v>
      </c>
      <c r="C4727" s="1" t="str">
        <f>HYPERLINK("http://www.genecards.org/cgi-bin/carddisp.pl?gene=PAPOLA","GeneCards")</f>
        <v>GeneCards</v>
      </c>
      <c r="D4727" s="1" t="str">
        <f>HYPERLINK("http://genome-euro.ucsc.edu/cgi-bin/hgTracks?position=212718_at","UCSC")</f>
        <v>UCSC</v>
      </c>
      <c r="E4727" s="1" t="str">
        <f>HYPERLINK("http://www.ncbi.nlm.nih.gov/gene/?term=PAPOLA","NCBI")</f>
        <v>NCBI</v>
      </c>
      <c r="F4727">
        <v>0.04</v>
      </c>
      <c r="G4727">
        <v>0.14000000000000001</v>
      </c>
      <c r="H4727" s="1" t="str">
        <f>HYPERLINK("http://www.weizmann.ac.il/complex/compphys/software/geview/data/figures/212718_at.png","Figure")</f>
        <v>Figure</v>
      </c>
      <c r="I4727">
        <v>0.54800000000000004</v>
      </c>
      <c r="J4727">
        <v>5.1999999999999998E-2</v>
      </c>
      <c r="K4727">
        <v>0.94399999999999995</v>
      </c>
      <c r="L4727">
        <v>0.96</v>
      </c>
      <c r="M4727">
        <v>1.72</v>
      </c>
      <c r="N4727">
        <v>6.0999999999999999E-2</v>
      </c>
    </row>
    <row r="4728" spans="1:14" x14ac:dyDescent="0.25">
      <c r="A4728" t="s">
        <v>8577</v>
      </c>
      <c r="B4728" t="s">
        <v>8578</v>
      </c>
      <c r="C4728" s="1" t="str">
        <f>HYPERLINK("http://www.genecards.org/cgi-bin/carddisp.pl?gene=GADD45A","GeneCards")</f>
        <v>GeneCards</v>
      </c>
      <c r="D4728" s="1" t="str">
        <f>HYPERLINK("http://genome-euro.ucsc.edu/cgi-bin/hgTracks?position=203725_at","UCSC")</f>
        <v>UCSC</v>
      </c>
      <c r="E4728" s="1" t="str">
        <f>HYPERLINK("http://www.ncbi.nlm.nih.gov/gene/?term=GADD45A","NCBI")</f>
        <v>NCBI</v>
      </c>
      <c r="F4728">
        <v>0.04</v>
      </c>
      <c r="G4728">
        <v>0.14000000000000001</v>
      </c>
      <c r="H4728" s="1" t="str">
        <f>HYPERLINK("http://www.weizmann.ac.il/complex/compphys/software/geview/data/figures/203725_at.png","Figure")</f>
        <v>Figure</v>
      </c>
      <c r="I4728">
        <v>0.94099999999999995</v>
      </c>
      <c r="J4728">
        <v>0.98</v>
      </c>
      <c r="K4728">
        <v>0.5</v>
      </c>
      <c r="L4728">
        <v>5.6000000000000001E-2</v>
      </c>
      <c r="M4728">
        <v>0.53200000000000003</v>
      </c>
      <c r="N4728">
        <v>0.11</v>
      </c>
    </row>
    <row r="4729" spans="1:14" x14ac:dyDescent="0.25">
      <c r="A4729" t="s">
        <v>8579</v>
      </c>
      <c r="B4729" t="s">
        <v>1020</v>
      </c>
      <c r="C4729" s="1" t="str">
        <f>HYPERLINK("http://www.genecards.org/cgi-bin/carddisp.pl?gene=KDM4B","GeneCards")</f>
        <v>GeneCards</v>
      </c>
      <c r="D4729" s="1" t="str">
        <f>HYPERLINK("http://genome-euro.ucsc.edu/cgi-bin/hgTracks?position=215616_s_at","UCSC")</f>
        <v>UCSC</v>
      </c>
      <c r="E4729" s="1" t="str">
        <f>HYPERLINK("http://www.ncbi.nlm.nih.gov/gene/?term=KDM4B","NCBI")</f>
        <v>NCBI</v>
      </c>
      <c r="F4729">
        <v>0.04</v>
      </c>
      <c r="G4729">
        <v>0.14000000000000001</v>
      </c>
      <c r="H4729" s="1" t="str">
        <f>HYPERLINK("http://www.weizmann.ac.il/complex/compphys/software/geview/data/figures/215616_s_at.png","Figure")</f>
        <v>Figure</v>
      </c>
      <c r="I4729">
        <v>1.31</v>
      </c>
      <c r="J4729">
        <v>3.5000000000000003E-2</v>
      </c>
      <c r="K4729">
        <v>1.0900000000000001</v>
      </c>
      <c r="L4729">
        <v>0.56999999999999995</v>
      </c>
      <c r="M4729">
        <v>0.83299999999999996</v>
      </c>
      <c r="N4729">
        <v>0.13</v>
      </c>
    </row>
    <row r="4730" spans="1:14" x14ac:dyDescent="0.25">
      <c r="A4730" t="s">
        <v>8580</v>
      </c>
      <c r="B4730" t="s">
        <v>8581</v>
      </c>
      <c r="C4730" s="1" t="str">
        <f>HYPERLINK("http://www.genecards.org/cgi-bin/carddisp.pl?gene=B3GNT1","GeneCards")</f>
        <v>GeneCards</v>
      </c>
      <c r="D4730" s="1" t="str">
        <f>HYPERLINK("http://genome-euro.ucsc.edu/cgi-bin/hgTracks?position=203188_at","UCSC")</f>
        <v>UCSC</v>
      </c>
      <c r="E4730" s="1" t="str">
        <f>HYPERLINK("http://www.ncbi.nlm.nih.gov/gene/?term=B3GNT1","NCBI")</f>
        <v>NCBI</v>
      </c>
      <c r="F4730">
        <v>0.04</v>
      </c>
      <c r="G4730">
        <v>0.14000000000000001</v>
      </c>
      <c r="H4730" s="1" t="str">
        <f>HYPERLINK("http://www.weizmann.ac.il/complex/compphys/software/geview/data/figures/203188_at.png","Figure")</f>
        <v>Figure</v>
      </c>
      <c r="I4730">
        <v>1.1200000000000001</v>
      </c>
      <c r="J4730">
        <v>0.36</v>
      </c>
      <c r="K4730">
        <v>1.22</v>
      </c>
      <c r="L4730">
        <v>3.2000000000000001E-2</v>
      </c>
      <c r="M4730">
        <v>1.0900000000000001</v>
      </c>
      <c r="N4730">
        <v>0.49</v>
      </c>
    </row>
    <row r="4731" spans="1:14" x14ac:dyDescent="0.25">
      <c r="A4731" t="s">
        <v>8582</v>
      </c>
      <c r="B4731" t="s">
        <v>8583</v>
      </c>
      <c r="C4731" s="1" t="str">
        <f>HYPERLINK("http://www.genecards.org/cgi-bin/carddisp.pl?gene=MUC3B","GeneCards")</f>
        <v>GeneCards</v>
      </c>
      <c r="D4731" s="1" t="str">
        <f>HYPERLINK("http://genome-euro.ucsc.edu/cgi-bin/hgTracks?position=214898_x_at","UCSC")</f>
        <v>UCSC</v>
      </c>
      <c r="E4731" s="1" t="str">
        <f>HYPERLINK("http://www.ncbi.nlm.nih.gov/gene/?term=MUC3B","NCBI")</f>
        <v>NCBI</v>
      </c>
      <c r="F4731">
        <v>0.04</v>
      </c>
      <c r="G4731">
        <v>0.14000000000000001</v>
      </c>
      <c r="H4731" s="1" t="str">
        <f>HYPERLINK("http://www.weizmann.ac.il/complex/compphys/software/geview/data/figures/214898_x_at.png","Figure")</f>
        <v>Figure</v>
      </c>
      <c r="I4731">
        <v>1.29</v>
      </c>
      <c r="J4731">
        <v>3.4000000000000002E-2</v>
      </c>
      <c r="K4731">
        <v>1.0900000000000001</v>
      </c>
      <c r="L4731">
        <v>0.56000000000000005</v>
      </c>
      <c r="M4731">
        <v>0.84099999999999997</v>
      </c>
      <c r="N4731">
        <v>0.14000000000000001</v>
      </c>
    </row>
    <row r="4732" spans="1:14" x14ac:dyDescent="0.25">
      <c r="A4732" t="s">
        <v>8584</v>
      </c>
      <c r="B4732" t="s">
        <v>8585</v>
      </c>
      <c r="C4732" s="1" t="str">
        <f>HYPERLINK("http://www.genecards.org/cgi-bin/carddisp.pl?gene=C12orf41","GeneCards")</f>
        <v>GeneCards</v>
      </c>
      <c r="D4732" s="1" t="str">
        <f>HYPERLINK("http://genome-euro.ucsc.edu/cgi-bin/hgTracks?position=221821_s_at","UCSC")</f>
        <v>UCSC</v>
      </c>
      <c r="E4732" s="1" t="str">
        <f>HYPERLINK("http://www.ncbi.nlm.nih.gov/gene/?term=C12orf41","NCBI")</f>
        <v>NCBI</v>
      </c>
      <c r="F4732">
        <v>0.04</v>
      </c>
      <c r="G4732">
        <v>0.14000000000000001</v>
      </c>
      <c r="H4732" s="1" t="str">
        <f>HYPERLINK("http://www.weizmann.ac.il/complex/compphys/software/geview/data/figures/221821_s_at.png","Figure")</f>
        <v>Figure</v>
      </c>
      <c r="I4732">
        <v>0.86299999999999999</v>
      </c>
      <c r="J4732">
        <v>0.89</v>
      </c>
      <c r="K4732">
        <v>0.46899999999999997</v>
      </c>
      <c r="L4732">
        <v>4.5999999999999999E-2</v>
      </c>
      <c r="M4732">
        <v>0.54300000000000004</v>
      </c>
      <c r="N4732">
        <v>0.15</v>
      </c>
    </row>
    <row r="4733" spans="1:14" x14ac:dyDescent="0.25">
      <c r="A4733" t="s">
        <v>8586</v>
      </c>
      <c r="B4733" t="s">
        <v>8587</v>
      </c>
      <c r="C4733" s="1" t="str">
        <f>HYPERLINK("http://www.genecards.org/cgi-bin/carddisp.pl?gene=AIP","GeneCards")</f>
        <v>GeneCards</v>
      </c>
      <c r="D4733" s="1" t="str">
        <f>HYPERLINK("http://genome-euro.ucsc.edu/cgi-bin/hgTracks?position=201781_s_at","UCSC")</f>
        <v>UCSC</v>
      </c>
      <c r="E4733" s="1" t="str">
        <f>HYPERLINK("http://www.ncbi.nlm.nih.gov/gene/?term=AIP","NCBI")</f>
        <v>NCBI</v>
      </c>
      <c r="F4733">
        <v>0.04</v>
      </c>
      <c r="G4733">
        <v>0.14000000000000001</v>
      </c>
      <c r="H4733" s="1" t="str">
        <f>HYPERLINK("http://www.weizmann.ac.il/complex/compphys/software/geview/data/figures/201781_s_at.png","Figure")</f>
        <v>Figure</v>
      </c>
      <c r="I4733">
        <v>1.32</v>
      </c>
      <c r="J4733">
        <v>3.3000000000000002E-2</v>
      </c>
      <c r="K4733">
        <v>1.1599999999999999</v>
      </c>
      <c r="L4733">
        <v>0.23</v>
      </c>
      <c r="M4733">
        <v>0.876</v>
      </c>
      <c r="N4733">
        <v>0.35</v>
      </c>
    </row>
    <row r="4734" spans="1:14" x14ac:dyDescent="0.25">
      <c r="A4734" t="s">
        <v>8588</v>
      </c>
      <c r="B4734" t="s">
        <v>8589</v>
      </c>
      <c r="C4734" s="1" t="str">
        <f>HYPERLINK("http://www.genecards.org/cgi-bin/carddisp.pl?gene=GPN1","GeneCards")</f>
        <v>GeneCards</v>
      </c>
      <c r="D4734" s="1" t="str">
        <f>HYPERLINK("http://genome-euro.ucsc.edu/cgi-bin/hgTracks?position=209313_at","UCSC")</f>
        <v>UCSC</v>
      </c>
      <c r="E4734" s="1" t="str">
        <f>HYPERLINK("http://www.ncbi.nlm.nih.gov/gene/?term=GPN1","NCBI")</f>
        <v>NCBI</v>
      </c>
      <c r="F4734">
        <v>0.04</v>
      </c>
      <c r="G4734">
        <v>0.14000000000000001</v>
      </c>
      <c r="H4734" s="1" t="str">
        <f>HYPERLINK("http://www.weizmann.ac.il/complex/compphys/software/geview/data/figures/209313_at.png","Figure")</f>
        <v>Figure</v>
      </c>
      <c r="I4734">
        <v>1.36</v>
      </c>
      <c r="J4734">
        <v>4.8000000000000001E-2</v>
      </c>
      <c r="K4734">
        <v>1.04</v>
      </c>
      <c r="L4734">
        <v>0.91</v>
      </c>
      <c r="M4734">
        <v>0.76500000000000001</v>
      </c>
      <c r="N4734">
        <v>6.8000000000000005E-2</v>
      </c>
    </row>
    <row r="4735" spans="1:14" x14ac:dyDescent="0.25">
      <c r="A4735" t="s">
        <v>8590</v>
      </c>
      <c r="B4735" t="s">
        <v>5394</v>
      </c>
      <c r="C4735" s="1" t="str">
        <f>HYPERLINK("http://www.genecards.org/cgi-bin/carddisp.pl?gene=SEC63","GeneCards")</f>
        <v>GeneCards</v>
      </c>
      <c r="D4735" s="1" t="str">
        <f>HYPERLINK("http://genome-euro.ucsc.edu/cgi-bin/hgTracks?position=201915_at","UCSC")</f>
        <v>UCSC</v>
      </c>
      <c r="E4735" s="1" t="str">
        <f>HYPERLINK("http://www.ncbi.nlm.nih.gov/gene/?term=SEC63","NCBI")</f>
        <v>NCBI</v>
      </c>
      <c r="F4735">
        <v>0.04</v>
      </c>
      <c r="G4735">
        <v>0.14000000000000001</v>
      </c>
      <c r="H4735" s="1" t="str">
        <f>HYPERLINK("http://www.weizmann.ac.il/complex/compphys/software/geview/data/figures/201915_at.png","Figure")</f>
        <v>Figure</v>
      </c>
      <c r="I4735">
        <v>0.80300000000000005</v>
      </c>
      <c r="J4735">
        <v>3.5999999999999997E-2</v>
      </c>
      <c r="K4735">
        <v>0.93799999999999994</v>
      </c>
      <c r="L4735">
        <v>0.63</v>
      </c>
      <c r="M4735">
        <v>1.17</v>
      </c>
      <c r="N4735">
        <v>0.12</v>
      </c>
    </row>
    <row r="4736" spans="1:14" x14ac:dyDescent="0.25">
      <c r="A4736" t="s">
        <v>8591</v>
      </c>
      <c r="B4736" t="s">
        <v>7121</v>
      </c>
      <c r="C4736" s="1" t="str">
        <f>HYPERLINK("http://www.genecards.org/cgi-bin/carddisp.pl?gene=KLF9","GeneCards")</f>
        <v>GeneCards</v>
      </c>
      <c r="D4736" s="1" t="str">
        <f>HYPERLINK("http://genome-euro.ucsc.edu/cgi-bin/hgTracks?position=203541_s_at","UCSC")</f>
        <v>UCSC</v>
      </c>
      <c r="E4736" s="1" t="str">
        <f>HYPERLINK("http://www.ncbi.nlm.nih.gov/gene/?term=KLF9","NCBI")</f>
        <v>NCBI</v>
      </c>
      <c r="F4736">
        <v>0.04</v>
      </c>
      <c r="G4736">
        <v>0.14000000000000001</v>
      </c>
      <c r="H4736" s="1" t="str">
        <f>HYPERLINK("http://www.weizmann.ac.il/complex/compphys/software/geview/data/figures/203541_s_at.png","Figure")</f>
        <v>Figure</v>
      </c>
      <c r="I4736">
        <v>1.07</v>
      </c>
      <c r="J4736">
        <v>6.9000000000000006E-2</v>
      </c>
      <c r="K4736">
        <v>1.06</v>
      </c>
      <c r="L4736">
        <v>0.06</v>
      </c>
      <c r="M4736">
        <v>0.99299999999999999</v>
      </c>
      <c r="N4736">
        <v>0.96</v>
      </c>
    </row>
    <row r="4737" spans="1:14" x14ac:dyDescent="0.25">
      <c r="A4737" t="s">
        <v>8592</v>
      </c>
      <c r="B4737" t="s">
        <v>8593</v>
      </c>
      <c r="C4737" s="1" t="str">
        <f>HYPERLINK("http://www.genecards.org/cgi-bin/carddisp.pl?gene=AURKB","GeneCards")</f>
        <v>GeneCards</v>
      </c>
      <c r="D4737" s="1" t="str">
        <f>HYPERLINK("http://genome-euro.ucsc.edu/cgi-bin/hgTracks?position=209464_at","UCSC")</f>
        <v>UCSC</v>
      </c>
      <c r="E4737" s="1" t="str">
        <f>HYPERLINK("http://www.ncbi.nlm.nih.gov/gene/?term=AURKB","NCBI")</f>
        <v>NCBI</v>
      </c>
      <c r="F4737">
        <v>0.04</v>
      </c>
      <c r="G4737">
        <v>0.14000000000000001</v>
      </c>
      <c r="H4737" s="1" t="str">
        <f>HYPERLINK("http://www.weizmann.ac.il/complex/compphys/software/geview/data/figures/209464_at.png","Figure")</f>
        <v>Figure</v>
      </c>
      <c r="I4737">
        <v>1.1200000000000001</v>
      </c>
      <c r="J4737">
        <v>0.65</v>
      </c>
      <c r="K4737">
        <v>1.38</v>
      </c>
      <c r="L4737">
        <v>3.6999999999999998E-2</v>
      </c>
      <c r="M4737">
        <v>1.23</v>
      </c>
      <c r="N4737">
        <v>0.25</v>
      </c>
    </row>
    <row r="4738" spans="1:14" x14ac:dyDescent="0.25">
      <c r="A4738" t="s">
        <v>8594</v>
      </c>
      <c r="B4738" t="s">
        <v>8595</v>
      </c>
      <c r="C4738" s="1" t="str">
        <f>HYPERLINK("http://www.genecards.org/cgi-bin/carddisp.pl?gene=ABHD5","GeneCards")</f>
        <v>GeneCards</v>
      </c>
      <c r="D4738" s="1" t="str">
        <f>HYPERLINK("http://genome-euro.ucsc.edu/cgi-bin/hgTracks?position=218739_at","UCSC")</f>
        <v>UCSC</v>
      </c>
      <c r="E4738" s="1" t="str">
        <f>HYPERLINK("http://www.ncbi.nlm.nih.gov/gene/?term=ABHD5","NCBI")</f>
        <v>NCBI</v>
      </c>
      <c r="F4738">
        <v>0.04</v>
      </c>
      <c r="G4738">
        <v>0.14000000000000001</v>
      </c>
      <c r="H4738" s="1" t="str">
        <f>HYPERLINK("http://www.weizmann.ac.il/complex/compphys/software/geview/data/figures/218739_at.png","Figure")</f>
        <v>Figure</v>
      </c>
      <c r="I4738">
        <v>1.21</v>
      </c>
      <c r="J4738">
        <v>3.4000000000000002E-2</v>
      </c>
      <c r="K4738">
        <v>1.06</v>
      </c>
      <c r="L4738">
        <v>0.56000000000000005</v>
      </c>
      <c r="M4738">
        <v>0.88100000000000001</v>
      </c>
      <c r="N4738">
        <v>0.14000000000000001</v>
      </c>
    </row>
    <row r="4739" spans="1:14" x14ac:dyDescent="0.25">
      <c r="A4739" t="s">
        <v>8596</v>
      </c>
      <c r="B4739" t="s">
        <v>8597</v>
      </c>
      <c r="C4739" s="1" t="str">
        <f>HYPERLINK("http://www.genecards.org/cgi-bin/carddisp.pl?gene=SIPA1","GeneCards")</f>
        <v>GeneCards</v>
      </c>
      <c r="D4739" s="1" t="str">
        <f>HYPERLINK("http://genome-euro.ucsc.edu/cgi-bin/hgTracks?position=204164_at","UCSC")</f>
        <v>UCSC</v>
      </c>
      <c r="E4739" s="1" t="str">
        <f>HYPERLINK("http://www.ncbi.nlm.nih.gov/gene/?term=SIPA1","NCBI")</f>
        <v>NCBI</v>
      </c>
      <c r="F4739">
        <v>0.04</v>
      </c>
      <c r="G4739">
        <v>0.15</v>
      </c>
      <c r="H4739" s="1" t="str">
        <f>HYPERLINK("http://www.weizmann.ac.il/complex/compphys/software/geview/data/figures/204164_at.png","Figure")</f>
        <v>Figure</v>
      </c>
      <c r="I4739">
        <v>0.84099999999999997</v>
      </c>
      <c r="J4739">
        <v>0.34</v>
      </c>
      <c r="K4739">
        <v>1.1599999999999999</v>
      </c>
      <c r="L4739">
        <v>0.37</v>
      </c>
      <c r="M4739">
        <v>1.38</v>
      </c>
      <c r="N4739">
        <v>3.3000000000000002E-2</v>
      </c>
    </row>
    <row r="4740" spans="1:14" x14ac:dyDescent="0.25">
      <c r="A4740" t="s">
        <v>8598</v>
      </c>
      <c r="B4740" t="s">
        <v>8599</v>
      </c>
      <c r="C4740" s="1" t="str">
        <f>HYPERLINK("http://www.genecards.org/cgi-bin/carddisp.pl?gene=BTN3A1","GeneCards")</f>
        <v>GeneCards</v>
      </c>
      <c r="D4740" s="1" t="str">
        <f>HYPERLINK("http://genome-euro.ucsc.edu/cgi-bin/hgTracks?position=207485_x_at","UCSC")</f>
        <v>UCSC</v>
      </c>
      <c r="E4740" s="1" t="str">
        <f>HYPERLINK("http://www.ncbi.nlm.nih.gov/gene/?term=BTN3A1","NCBI")</f>
        <v>NCBI</v>
      </c>
      <c r="F4740">
        <v>0.04</v>
      </c>
      <c r="G4740">
        <v>0.15</v>
      </c>
      <c r="H4740" s="1" t="str">
        <f>HYPERLINK("http://www.weizmann.ac.il/complex/compphys/software/geview/data/figures/207485_x_at.png","Figure")</f>
        <v>Figure</v>
      </c>
      <c r="I4740">
        <v>1.36</v>
      </c>
      <c r="J4740">
        <v>6.3E-2</v>
      </c>
      <c r="K4740">
        <v>1.01</v>
      </c>
      <c r="L4740">
        <v>1</v>
      </c>
      <c r="M4740">
        <v>0.74</v>
      </c>
      <c r="N4740">
        <v>5.0999999999999997E-2</v>
      </c>
    </row>
    <row r="4741" spans="1:14" x14ac:dyDescent="0.25">
      <c r="A4741" t="s">
        <v>8600</v>
      </c>
      <c r="B4741" t="s">
        <v>8601</v>
      </c>
      <c r="C4741" s="1" t="str">
        <f>HYPERLINK("http://www.genecards.org/cgi-bin/carddisp.pl?gene=PSD","GeneCards")</f>
        <v>GeneCards</v>
      </c>
      <c r="D4741" s="1" t="str">
        <f>HYPERLINK("http://genome-euro.ucsc.edu/cgi-bin/hgTracks?position=208102_s_at","UCSC")</f>
        <v>UCSC</v>
      </c>
      <c r="E4741" s="1" t="str">
        <f>HYPERLINK("http://www.ncbi.nlm.nih.gov/gene/?term=PSD","NCBI")</f>
        <v>NCBI</v>
      </c>
      <c r="F4741">
        <v>0.04</v>
      </c>
      <c r="G4741">
        <v>0.15</v>
      </c>
      <c r="H4741" s="1" t="str">
        <f>HYPERLINK("http://www.weizmann.ac.il/complex/compphys/software/geview/data/figures/208102_s_at.png","Figure")</f>
        <v>Figure</v>
      </c>
      <c r="I4741">
        <v>1.22</v>
      </c>
      <c r="J4741">
        <v>3.2000000000000001E-2</v>
      </c>
      <c r="K4741">
        <v>1.1000000000000001</v>
      </c>
      <c r="L4741">
        <v>0.32</v>
      </c>
      <c r="M4741">
        <v>0.89700000000000002</v>
      </c>
      <c r="N4741">
        <v>0.25</v>
      </c>
    </row>
    <row r="4742" spans="1:14" x14ac:dyDescent="0.25">
      <c r="A4742" t="s">
        <v>8602</v>
      </c>
      <c r="B4742" t="s">
        <v>8603</v>
      </c>
      <c r="C4742" s="1" t="str">
        <f>HYPERLINK("http://www.genecards.org/cgi-bin/carddisp.pl?gene=LGMN","GeneCards")</f>
        <v>GeneCards</v>
      </c>
      <c r="D4742" s="1" t="str">
        <f>HYPERLINK("http://genome-euro.ucsc.edu/cgi-bin/hgTracks?position=201212_at","UCSC")</f>
        <v>UCSC</v>
      </c>
      <c r="E4742" s="1" t="str">
        <f>HYPERLINK("http://www.ncbi.nlm.nih.gov/gene/?term=LGMN","NCBI")</f>
        <v>NCBI</v>
      </c>
      <c r="F4742">
        <v>0.04</v>
      </c>
      <c r="G4742">
        <v>0.15</v>
      </c>
      <c r="H4742" s="1" t="str">
        <f>HYPERLINK("http://www.weizmann.ac.il/complex/compphys/software/geview/data/figures/201212_at.png","Figure")</f>
        <v>Figure</v>
      </c>
      <c r="I4742">
        <v>0.51200000000000001</v>
      </c>
      <c r="J4742">
        <v>6.7000000000000004E-2</v>
      </c>
      <c r="K4742">
        <v>0.55100000000000005</v>
      </c>
      <c r="L4742">
        <v>6.0999999999999999E-2</v>
      </c>
      <c r="M4742">
        <v>1.08</v>
      </c>
      <c r="N4742">
        <v>0.96</v>
      </c>
    </row>
    <row r="4743" spans="1:14" x14ac:dyDescent="0.25">
      <c r="A4743" t="s">
        <v>8604</v>
      </c>
      <c r="B4743" t="s">
        <v>8605</v>
      </c>
      <c r="C4743" s="1" t="str">
        <f>HYPERLINK("http://www.genecards.org/cgi-bin/carddisp.pl?gene=SGCD","GeneCards")</f>
        <v>GeneCards</v>
      </c>
      <c r="D4743" s="1" t="str">
        <f>HYPERLINK("http://genome-euro.ucsc.edu/cgi-bin/hgTracks?position=214492_at","UCSC")</f>
        <v>UCSC</v>
      </c>
      <c r="E4743" s="1" t="str">
        <f>HYPERLINK("http://www.ncbi.nlm.nih.gov/gene/?term=SGCD","NCBI")</f>
        <v>NCBI</v>
      </c>
      <c r="F4743">
        <v>0.04</v>
      </c>
      <c r="G4743">
        <v>0.15</v>
      </c>
      <c r="H4743" s="1" t="str">
        <f>HYPERLINK("http://www.weizmann.ac.il/complex/compphys/software/geview/data/figures/214492_at.png","Figure")</f>
        <v>Figure</v>
      </c>
      <c r="I4743">
        <v>1.17</v>
      </c>
      <c r="J4743">
        <v>5.8999999999999997E-2</v>
      </c>
      <c r="K4743">
        <v>1.01</v>
      </c>
      <c r="L4743">
        <v>0.99</v>
      </c>
      <c r="M4743">
        <v>0.86099999999999999</v>
      </c>
      <c r="N4743">
        <v>5.3999999999999999E-2</v>
      </c>
    </row>
    <row r="4744" spans="1:14" x14ac:dyDescent="0.25">
      <c r="A4744" t="s">
        <v>8606</v>
      </c>
      <c r="B4744" t="s">
        <v>8607</v>
      </c>
      <c r="C4744" s="1" t="str">
        <f>HYPERLINK("http://www.genecards.org/cgi-bin/carddisp.pl?gene=FUT2","GeneCards")</f>
        <v>GeneCards</v>
      </c>
      <c r="D4744" s="1" t="str">
        <f>HYPERLINK("http://genome-euro.ucsc.edu/cgi-bin/hgTracks?position=208505_s_at","UCSC")</f>
        <v>UCSC</v>
      </c>
      <c r="E4744" s="1" t="str">
        <f>HYPERLINK("http://www.ncbi.nlm.nih.gov/gene/?term=FUT2","NCBI")</f>
        <v>NCBI</v>
      </c>
      <c r="F4744">
        <v>4.1000000000000002E-2</v>
      </c>
      <c r="G4744">
        <v>0.15</v>
      </c>
      <c r="H4744" s="1" t="str">
        <f>HYPERLINK("http://www.weizmann.ac.il/complex/compphys/software/geview/data/figures/208505_s_at.png","Figure")</f>
        <v>Figure</v>
      </c>
      <c r="I4744">
        <v>1.39</v>
      </c>
      <c r="J4744">
        <v>3.3000000000000002E-2</v>
      </c>
      <c r="K4744">
        <v>1.17</v>
      </c>
      <c r="L4744">
        <v>0.28999999999999998</v>
      </c>
      <c r="M4744">
        <v>0.84099999999999997</v>
      </c>
      <c r="N4744">
        <v>0.28000000000000003</v>
      </c>
    </row>
    <row r="4745" spans="1:14" x14ac:dyDescent="0.25">
      <c r="A4745" t="s">
        <v>8608</v>
      </c>
      <c r="B4745" t="s">
        <v>8609</v>
      </c>
      <c r="C4745" s="1" t="str">
        <f>HYPERLINK("http://www.genecards.org/cgi-bin/carddisp.pl?gene=PCDH24","GeneCards")</f>
        <v>GeneCards</v>
      </c>
      <c r="D4745" s="1" t="str">
        <f>HYPERLINK("http://genome-euro.ucsc.edu/cgi-bin/hgTracks?position=220186_s_at","UCSC")</f>
        <v>UCSC</v>
      </c>
      <c r="E4745" s="1" t="str">
        <f>HYPERLINK("http://www.ncbi.nlm.nih.gov/gene/?term=PCDH24","NCBI")</f>
        <v>NCBI</v>
      </c>
      <c r="F4745">
        <v>4.1000000000000002E-2</v>
      </c>
      <c r="G4745">
        <v>0.15</v>
      </c>
      <c r="H4745" s="1" t="str">
        <f>HYPERLINK("http://www.weizmann.ac.il/complex/compphys/software/geview/data/figures/220186_s_at.png","Figure")</f>
        <v>Figure</v>
      </c>
      <c r="I4745">
        <v>1.22</v>
      </c>
      <c r="J4745">
        <v>3.4000000000000002E-2</v>
      </c>
      <c r="K4745">
        <v>1.07</v>
      </c>
      <c r="L4745">
        <v>0.49</v>
      </c>
      <c r="M4745">
        <v>0.88</v>
      </c>
      <c r="N4745">
        <v>0.16</v>
      </c>
    </row>
    <row r="4746" spans="1:14" x14ac:dyDescent="0.25">
      <c r="A4746" t="s">
        <v>8610</v>
      </c>
      <c r="B4746" t="s">
        <v>7216</v>
      </c>
      <c r="C4746" s="1" t="str">
        <f>HYPERLINK("http://www.genecards.org/cgi-bin/carddisp.pl?gene=CANT1","GeneCards")</f>
        <v>GeneCards</v>
      </c>
      <c r="D4746" s="1" t="str">
        <f>HYPERLINK("http://genome-euro.ucsc.edu/cgi-bin/hgTracks?position=221732_at","UCSC")</f>
        <v>UCSC</v>
      </c>
      <c r="E4746" s="1" t="str">
        <f>HYPERLINK("http://www.ncbi.nlm.nih.gov/gene/?term=CANT1","NCBI")</f>
        <v>NCBI</v>
      </c>
      <c r="F4746">
        <v>4.1000000000000002E-2</v>
      </c>
      <c r="G4746">
        <v>0.15</v>
      </c>
      <c r="H4746" s="1" t="str">
        <f>HYPERLINK("http://www.weizmann.ac.il/complex/compphys/software/geview/data/figures/221732_at.png","Figure")</f>
        <v>Figure</v>
      </c>
      <c r="I4746">
        <v>0.83899999999999997</v>
      </c>
      <c r="J4746">
        <v>0.33</v>
      </c>
      <c r="K4746">
        <v>0.74199999999999999</v>
      </c>
      <c r="L4746">
        <v>3.2000000000000001E-2</v>
      </c>
      <c r="M4746">
        <v>0.88400000000000001</v>
      </c>
      <c r="N4746">
        <v>0.52</v>
      </c>
    </row>
    <row r="4747" spans="1:14" x14ac:dyDescent="0.25">
      <c r="A4747" t="s">
        <v>8611</v>
      </c>
      <c r="B4747" t="s">
        <v>8612</v>
      </c>
      <c r="C4747" s="1" t="str">
        <f>HYPERLINK("http://www.genecards.org/cgi-bin/carddisp.pl?gene=FAM120A","GeneCards")</f>
        <v>GeneCards</v>
      </c>
      <c r="D4747" s="1" t="str">
        <f>HYPERLINK("http://genome-euro.ucsc.edu/cgi-bin/hgTracks?position=200767_s_at","UCSC")</f>
        <v>UCSC</v>
      </c>
      <c r="E4747" s="1" t="str">
        <f>HYPERLINK("http://www.ncbi.nlm.nih.gov/gene/?term=FAM120A","NCBI")</f>
        <v>NCBI</v>
      </c>
      <c r="F4747">
        <v>4.1000000000000002E-2</v>
      </c>
      <c r="G4747">
        <v>0.15</v>
      </c>
      <c r="H4747" s="1" t="str">
        <f>HYPERLINK("http://www.weizmann.ac.il/complex/compphys/software/geview/data/figures/200767_s_at.png","Figure")</f>
        <v>Figure</v>
      </c>
      <c r="I4747">
        <v>1.29</v>
      </c>
      <c r="J4747">
        <v>0.13</v>
      </c>
      <c r="K4747">
        <v>1.34</v>
      </c>
      <c r="L4747">
        <v>0.04</v>
      </c>
      <c r="M4747">
        <v>1.04</v>
      </c>
      <c r="N4747">
        <v>0.94</v>
      </c>
    </row>
    <row r="4748" spans="1:14" x14ac:dyDescent="0.25">
      <c r="A4748" t="s">
        <v>8613</v>
      </c>
      <c r="B4748" t="s">
        <v>8614</v>
      </c>
      <c r="C4748" s="1" t="str">
        <f>HYPERLINK("http://www.genecards.org/cgi-bin/carddisp.pl?gene=TMEM147","GeneCards")</f>
        <v>GeneCards</v>
      </c>
      <c r="D4748" s="1" t="str">
        <f>HYPERLINK("http://genome-euro.ucsc.edu/cgi-bin/hgTracks?position=202475_at","UCSC")</f>
        <v>UCSC</v>
      </c>
      <c r="E4748" s="1" t="str">
        <f>HYPERLINK("http://www.ncbi.nlm.nih.gov/gene/?term=TMEM147","NCBI")</f>
        <v>NCBI</v>
      </c>
      <c r="F4748">
        <v>4.1000000000000002E-2</v>
      </c>
      <c r="G4748">
        <v>0.15</v>
      </c>
      <c r="H4748" s="1" t="str">
        <f>HYPERLINK("http://www.weizmann.ac.il/complex/compphys/software/geview/data/figures/202475_at.png","Figure")</f>
        <v>Figure</v>
      </c>
      <c r="I4748">
        <v>0.86099999999999999</v>
      </c>
      <c r="J4748">
        <v>0.53</v>
      </c>
      <c r="K4748">
        <v>1.23</v>
      </c>
      <c r="L4748">
        <v>0.23</v>
      </c>
      <c r="M4748">
        <v>1.43</v>
      </c>
      <c r="N4748">
        <v>3.7999999999999999E-2</v>
      </c>
    </row>
    <row r="4749" spans="1:14" x14ac:dyDescent="0.25">
      <c r="A4749" t="s">
        <v>8615</v>
      </c>
      <c r="B4749" t="s">
        <v>8616</v>
      </c>
      <c r="C4749" s="1" t="str">
        <f>HYPERLINK("http://www.genecards.org/cgi-bin/carddisp.pl?gene=DPM1","GeneCards")</f>
        <v>GeneCards</v>
      </c>
      <c r="D4749" s="1" t="str">
        <f>HYPERLINK("http://genome-euro.ucsc.edu/cgi-bin/hgTracks?position=202673_at","UCSC")</f>
        <v>UCSC</v>
      </c>
      <c r="E4749" s="1" t="str">
        <f>HYPERLINK("http://www.ncbi.nlm.nih.gov/gene/?term=DPM1","NCBI")</f>
        <v>NCBI</v>
      </c>
      <c r="F4749">
        <v>4.1000000000000002E-2</v>
      </c>
      <c r="G4749">
        <v>0.15</v>
      </c>
      <c r="H4749" s="1" t="str">
        <f>HYPERLINK("http://www.weizmann.ac.il/complex/compphys/software/geview/data/figures/202673_at.png","Figure")</f>
        <v>Figure</v>
      </c>
      <c r="I4749">
        <v>0.91400000000000003</v>
      </c>
      <c r="J4749">
        <v>0.88</v>
      </c>
      <c r="K4749">
        <v>0.64200000000000002</v>
      </c>
      <c r="L4749">
        <v>4.5999999999999999E-2</v>
      </c>
      <c r="M4749">
        <v>0.70299999999999996</v>
      </c>
      <c r="N4749">
        <v>0.15</v>
      </c>
    </row>
    <row r="4750" spans="1:14" x14ac:dyDescent="0.25">
      <c r="A4750" t="s">
        <v>8617</v>
      </c>
      <c r="B4750" t="s">
        <v>8618</v>
      </c>
      <c r="C4750" s="1" t="str">
        <f>HYPERLINK("http://www.genecards.org/cgi-bin/carddisp.pl?gene=C9orf114","GeneCards")</f>
        <v>GeneCards</v>
      </c>
      <c r="D4750" s="1" t="str">
        <f>HYPERLINK("http://genome-euro.ucsc.edu/cgi-bin/hgTracks?position=218565_at","UCSC")</f>
        <v>UCSC</v>
      </c>
      <c r="E4750" s="1" t="str">
        <f>HYPERLINK("http://www.ncbi.nlm.nih.gov/gene/?term=C9orf114","NCBI")</f>
        <v>NCBI</v>
      </c>
      <c r="F4750">
        <v>4.1000000000000002E-2</v>
      </c>
      <c r="G4750">
        <v>0.15</v>
      </c>
      <c r="H4750" s="1" t="str">
        <f>HYPERLINK("http://www.weizmann.ac.il/complex/compphys/software/geview/data/figures/218565_at.png","Figure")</f>
        <v>Figure</v>
      </c>
      <c r="I4750">
        <v>1.26</v>
      </c>
      <c r="J4750">
        <v>8.5000000000000006E-2</v>
      </c>
      <c r="K4750">
        <v>1.26</v>
      </c>
      <c r="L4750">
        <v>5.0999999999999997E-2</v>
      </c>
      <c r="M4750">
        <v>0.996</v>
      </c>
      <c r="N4750">
        <v>1</v>
      </c>
    </row>
    <row r="4751" spans="1:14" x14ac:dyDescent="0.25">
      <c r="A4751" t="s">
        <v>8619</v>
      </c>
      <c r="B4751" t="s">
        <v>8620</v>
      </c>
      <c r="C4751" s="1" t="str">
        <f>HYPERLINK("http://www.genecards.org/cgi-bin/carddisp.pl?gene=CRB1","GeneCards")</f>
        <v>GeneCards</v>
      </c>
      <c r="D4751" s="1" t="str">
        <f>HYPERLINK("http://genome-euro.ucsc.edu/cgi-bin/hgTracks?position=220522_at","UCSC")</f>
        <v>UCSC</v>
      </c>
      <c r="E4751" s="1" t="str">
        <f>HYPERLINK("http://www.ncbi.nlm.nih.gov/gene/?term=CRB1","NCBI")</f>
        <v>NCBI</v>
      </c>
      <c r="F4751">
        <v>4.1000000000000002E-2</v>
      </c>
      <c r="G4751">
        <v>0.15</v>
      </c>
      <c r="H4751" s="1" t="str">
        <f>HYPERLINK("http://www.weizmann.ac.il/complex/compphys/software/geview/data/figures/220522_at.png","Figure")</f>
        <v>Figure</v>
      </c>
      <c r="I4751">
        <v>0.96399999999999997</v>
      </c>
      <c r="J4751">
        <v>0.56000000000000005</v>
      </c>
      <c r="K4751">
        <v>1.06</v>
      </c>
      <c r="L4751">
        <v>0.22</v>
      </c>
      <c r="M4751">
        <v>1.1000000000000001</v>
      </c>
      <c r="N4751">
        <v>3.9E-2</v>
      </c>
    </row>
    <row r="4752" spans="1:14" x14ac:dyDescent="0.25">
      <c r="A4752" t="s">
        <v>8621</v>
      </c>
      <c r="B4752" t="s">
        <v>8622</v>
      </c>
      <c r="C4752" s="1" t="str">
        <f>HYPERLINK("http://www.genecards.org/cgi-bin/carddisp.pl?gene=CSAD","GeneCards")</f>
        <v>GeneCards</v>
      </c>
      <c r="D4752" s="1" t="str">
        <f>HYPERLINK("http://genome-euro.ucsc.edu/cgi-bin/hgTracks?position=221139_s_at","UCSC")</f>
        <v>UCSC</v>
      </c>
      <c r="E4752" s="1" t="str">
        <f>HYPERLINK("http://www.ncbi.nlm.nih.gov/gene/?term=CSAD","NCBI")</f>
        <v>NCBI</v>
      </c>
      <c r="F4752">
        <v>4.1000000000000002E-2</v>
      </c>
      <c r="G4752">
        <v>0.15</v>
      </c>
      <c r="H4752" s="1" t="str">
        <f>HYPERLINK("http://www.weizmann.ac.il/complex/compphys/software/geview/data/figures/221139_s_at.png","Figure")</f>
        <v>Figure</v>
      </c>
      <c r="I4752">
        <v>1.02</v>
      </c>
      <c r="J4752">
        <v>1</v>
      </c>
      <c r="K4752">
        <v>0.68899999999999995</v>
      </c>
      <c r="L4752">
        <v>7.2999999999999995E-2</v>
      </c>
      <c r="M4752">
        <v>0.67800000000000005</v>
      </c>
      <c r="N4752">
        <v>8.1000000000000003E-2</v>
      </c>
    </row>
    <row r="4753" spans="1:14" x14ac:dyDescent="0.25">
      <c r="A4753" t="s">
        <v>8623</v>
      </c>
      <c r="B4753" t="s">
        <v>8624</v>
      </c>
      <c r="C4753" s="1" t="str">
        <f>HYPERLINK("http://www.genecards.org/cgi-bin/carddisp.pl?gene=MMP19","GeneCards")</f>
        <v>GeneCards</v>
      </c>
      <c r="D4753" s="1" t="str">
        <f>HYPERLINK("http://genome-euro.ucsc.edu/cgi-bin/hgTracks?position=204574_s_at","UCSC")</f>
        <v>UCSC</v>
      </c>
      <c r="E4753" s="1" t="str">
        <f>HYPERLINK("http://www.ncbi.nlm.nih.gov/gene/?term=MMP19","NCBI")</f>
        <v>NCBI</v>
      </c>
      <c r="F4753">
        <v>4.1000000000000002E-2</v>
      </c>
      <c r="G4753">
        <v>0.15</v>
      </c>
      <c r="H4753" s="1" t="str">
        <f>HYPERLINK("http://www.weizmann.ac.il/complex/compphys/software/geview/data/figures/204574_s_at.png","Figure")</f>
        <v>Figure</v>
      </c>
      <c r="I4753">
        <v>1.31</v>
      </c>
      <c r="J4753">
        <v>5.3999999999999999E-2</v>
      </c>
      <c r="K4753">
        <v>1.02</v>
      </c>
      <c r="L4753">
        <v>0.96</v>
      </c>
      <c r="M4753">
        <v>0.78100000000000003</v>
      </c>
      <c r="N4753">
        <v>0.06</v>
      </c>
    </row>
    <row r="4754" spans="1:14" x14ac:dyDescent="0.25">
      <c r="A4754" t="s">
        <v>8625</v>
      </c>
      <c r="B4754" t="s">
        <v>8626</v>
      </c>
      <c r="C4754" s="1" t="str">
        <f>HYPERLINK("http://www.genecards.org/cgi-bin/carddisp.pl?gene=FAM90A1","GeneCards")</f>
        <v>GeneCards</v>
      </c>
      <c r="D4754" s="1" t="str">
        <f>HYPERLINK("http://genome-euro.ucsc.edu/cgi-bin/hgTracks?position=220535_at","UCSC")</f>
        <v>UCSC</v>
      </c>
      <c r="E4754" s="1" t="str">
        <f>HYPERLINK("http://www.ncbi.nlm.nih.gov/gene/?term=FAM90A1","NCBI")</f>
        <v>NCBI</v>
      </c>
      <c r="F4754">
        <v>4.1000000000000002E-2</v>
      </c>
      <c r="G4754">
        <v>0.15</v>
      </c>
      <c r="H4754" s="1" t="str">
        <f>HYPERLINK("http://www.weizmann.ac.il/complex/compphys/software/geview/data/figures/220535_at.png","Figure")</f>
        <v>Figure</v>
      </c>
      <c r="I4754">
        <v>1.1499999999999999</v>
      </c>
      <c r="J4754">
        <v>3.3000000000000002E-2</v>
      </c>
      <c r="K4754">
        <v>1.07</v>
      </c>
      <c r="L4754">
        <v>0.3</v>
      </c>
      <c r="M4754">
        <v>0.92700000000000005</v>
      </c>
      <c r="N4754">
        <v>0.27</v>
      </c>
    </row>
    <row r="4755" spans="1:14" x14ac:dyDescent="0.25">
      <c r="A4755" t="s">
        <v>8627</v>
      </c>
      <c r="B4755" t="s">
        <v>8628</v>
      </c>
      <c r="C4755" s="1" t="str">
        <f>HYPERLINK("http://www.genecards.org/cgi-bin/carddisp.pl?gene=UQCR","GeneCards")</f>
        <v>GeneCards</v>
      </c>
      <c r="D4755" s="1" t="str">
        <f>HYPERLINK("http://genome-euro.ucsc.edu/cgi-bin/hgTracks?position=202090_s_at","UCSC")</f>
        <v>UCSC</v>
      </c>
      <c r="E4755" s="1" t="str">
        <f>HYPERLINK("http://www.ncbi.nlm.nih.gov/gene/?term=UQCR","NCBI")</f>
        <v>NCBI</v>
      </c>
      <c r="F4755">
        <v>4.1000000000000002E-2</v>
      </c>
      <c r="G4755">
        <v>0.15</v>
      </c>
      <c r="H4755" s="1" t="str">
        <f>HYPERLINK("http://www.weizmann.ac.il/complex/compphys/software/geview/data/figures/202090_s_at.png","Figure")</f>
        <v>Figure</v>
      </c>
      <c r="I4755">
        <v>0.58399999999999996</v>
      </c>
      <c r="J4755">
        <v>9.7000000000000003E-2</v>
      </c>
      <c r="K4755">
        <v>1.08</v>
      </c>
      <c r="L4755">
        <v>0.93</v>
      </c>
      <c r="M4755">
        <v>1.85</v>
      </c>
      <c r="N4755">
        <v>3.9E-2</v>
      </c>
    </row>
    <row r="4756" spans="1:14" x14ac:dyDescent="0.25">
      <c r="A4756" t="s">
        <v>8629</v>
      </c>
      <c r="B4756" t="s">
        <v>5181</v>
      </c>
      <c r="C4756" s="1" t="str">
        <f>HYPERLINK("http://www.genecards.org/cgi-bin/carddisp.pl?gene=RHEB","GeneCards")</f>
        <v>GeneCards</v>
      </c>
      <c r="D4756" s="1" t="str">
        <f>HYPERLINK("http://genome-euro.ucsc.edu/cgi-bin/hgTracks?position=201452_at","UCSC")</f>
        <v>UCSC</v>
      </c>
      <c r="E4756" s="1" t="str">
        <f>HYPERLINK("http://www.ncbi.nlm.nih.gov/gene/?term=RHEB","NCBI")</f>
        <v>NCBI</v>
      </c>
      <c r="F4756">
        <v>4.1000000000000002E-2</v>
      </c>
      <c r="G4756">
        <v>0.15</v>
      </c>
      <c r="H4756" s="1" t="str">
        <f>HYPERLINK("http://www.weizmann.ac.il/complex/compphys/software/geview/data/figures/201452_at.png","Figure")</f>
        <v>Figure</v>
      </c>
      <c r="I4756">
        <v>1.25</v>
      </c>
      <c r="J4756">
        <v>0.04</v>
      </c>
      <c r="K4756">
        <v>1.1599999999999999</v>
      </c>
      <c r="L4756">
        <v>0.13</v>
      </c>
      <c r="M4756">
        <v>0.92700000000000005</v>
      </c>
      <c r="N4756">
        <v>0.6</v>
      </c>
    </row>
    <row r="4757" spans="1:14" x14ac:dyDescent="0.25">
      <c r="A4757" t="s">
        <v>8630</v>
      </c>
      <c r="B4757" t="s">
        <v>8631</v>
      </c>
      <c r="C4757" s="1" t="str">
        <f>HYPERLINK("http://www.genecards.org/cgi-bin/carddisp.pl?gene=HTR1E","GeneCards")</f>
        <v>GeneCards</v>
      </c>
      <c r="D4757" s="1" t="str">
        <f>HYPERLINK("http://genome-euro.ucsc.edu/cgi-bin/hgTracks?position=207404_s_at","UCSC")</f>
        <v>UCSC</v>
      </c>
      <c r="E4757" s="1" t="str">
        <f>HYPERLINK("http://www.ncbi.nlm.nih.gov/gene/?term=HTR1E","NCBI")</f>
        <v>NCBI</v>
      </c>
      <c r="F4757">
        <v>4.1000000000000002E-2</v>
      </c>
      <c r="G4757">
        <v>0.15</v>
      </c>
      <c r="H4757" s="1" t="str">
        <f>HYPERLINK("http://www.weizmann.ac.il/complex/compphys/software/geview/data/figures/207404_s_at.png","Figure")</f>
        <v>Figure</v>
      </c>
      <c r="I4757">
        <v>1</v>
      </c>
      <c r="J4757">
        <v>1</v>
      </c>
      <c r="K4757">
        <v>0.85399999999999998</v>
      </c>
      <c r="L4757">
        <v>7.0000000000000007E-2</v>
      </c>
      <c r="M4757">
        <v>0.85099999999999998</v>
      </c>
      <c r="N4757">
        <v>8.5000000000000006E-2</v>
      </c>
    </row>
    <row r="4758" spans="1:14" x14ac:dyDescent="0.25">
      <c r="A4758" t="s">
        <v>8632</v>
      </c>
      <c r="B4758" t="s">
        <v>8633</v>
      </c>
      <c r="C4758" s="1" t="str">
        <f>HYPERLINK("http://www.genecards.org/cgi-bin/carddisp.pl?gene=JTB","GeneCards")</f>
        <v>GeneCards</v>
      </c>
      <c r="D4758" s="1" t="str">
        <f>HYPERLINK("http://genome-euro.ucsc.edu/cgi-bin/hgTracks?position=210927_x_at","UCSC")</f>
        <v>UCSC</v>
      </c>
      <c r="E4758" s="1" t="str">
        <f>HYPERLINK("http://www.ncbi.nlm.nih.gov/gene/?term=JTB","NCBI")</f>
        <v>NCBI</v>
      </c>
      <c r="F4758">
        <v>4.1000000000000002E-2</v>
      </c>
      <c r="G4758">
        <v>0.15</v>
      </c>
      <c r="H4758" s="1" t="str">
        <f>HYPERLINK("http://www.weizmann.ac.il/complex/compphys/software/geview/data/figures/210927_x_at.png","Figure")</f>
        <v>Figure</v>
      </c>
      <c r="I4758">
        <v>1.24</v>
      </c>
      <c r="J4758">
        <v>9.2999999999999999E-2</v>
      </c>
      <c r="K4758">
        <v>0.97299999999999998</v>
      </c>
      <c r="L4758">
        <v>0.94</v>
      </c>
      <c r="M4758">
        <v>0.78700000000000003</v>
      </c>
      <c r="N4758">
        <v>0.04</v>
      </c>
    </row>
    <row r="4759" spans="1:14" x14ac:dyDescent="0.25">
      <c r="A4759" t="s">
        <v>8634</v>
      </c>
      <c r="B4759" t="s">
        <v>8635</v>
      </c>
      <c r="C4759" s="1" t="str">
        <f>HYPERLINK("http://www.genecards.org/cgi-bin/carddisp.pl?gene=FSTL3","GeneCards")</f>
        <v>GeneCards</v>
      </c>
      <c r="D4759" s="1" t="str">
        <f>HYPERLINK("http://genome-euro.ucsc.edu/cgi-bin/hgTracks?position=203592_s_at","UCSC")</f>
        <v>UCSC</v>
      </c>
      <c r="E4759" s="1" t="str">
        <f>HYPERLINK("http://www.ncbi.nlm.nih.gov/gene/?term=FSTL3","NCBI")</f>
        <v>NCBI</v>
      </c>
      <c r="F4759">
        <v>4.1000000000000002E-2</v>
      </c>
      <c r="G4759">
        <v>0.15</v>
      </c>
      <c r="H4759" s="1" t="str">
        <f>HYPERLINK("http://www.weizmann.ac.il/complex/compphys/software/geview/data/figures/203592_s_at.png","Figure")</f>
        <v>Figure</v>
      </c>
      <c r="I4759">
        <v>1.25</v>
      </c>
      <c r="J4759">
        <v>3.3000000000000002E-2</v>
      </c>
      <c r="K4759">
        <v>1.1200000000000001</v>
      </c>
      <c r="L4759">
        <v>0.25</v>
      </c>
      <c r="M4759">
        <v>0.89600000000000002</v>
      </c>
      <c r="N4759">
        <v>0.32</v>
      </c>
    </row>
    <row r="4760" spans="1:14" x14ac:dyDescent="0.25">
      <c r="A4760" t="s">
        <v>8636</v>
      </c>
      <c r="B4760" t="s">
        <v>8637</v>
      </c>
      <c r="C4760" s="1" t="str">
        <f>HYPERLINK("http://www.genecards.org/cgi-bin/carddisp.pl?gene=PAX5","GeneCards")</f>
        <v>GeneCards</v>
      </c>
      <c r="D4760" s="1" t="str">
        <f>HYPERLINK("http://genome-euro.ucsc.edu/cgi-bin/hgTracks?position=206802_at","UCSC")</f>
        <v>UCSC</v>
      </c>
      <c r="E4760" s="1" t="str">
        <f>HYPERLINK("http://www.ncbi.nlm.nih.gov/gene/?term=PAX5","NCBI")</f>
        <v>NCBI</v>
      </c>
      <c r="F4760">
        <v>4.1000000000000002E-2</v>
      </c>
      <c r="G4760">
        <v>0.15</v>
      </c>
      <c r="H4760" s="1" t="str">
        <f>HYPERLINK("http://www.weizmann.ac.il/complex/compphys/software/geview/data/figures/206802_at.png","Figure")</f>
        <v>Figure</v>
      </c>
      <c r="I4760">
        <v>1.22</v>
      </c>
      <c r="J4760">
        <v>3.3000000000000002E-2</v>
      </c>
      <c r="K4760">
        <v>1.0900000000000001</v>
      </c>
      <c r="L4760">
        <v>0.36</v>
      </c>
      <c r="M4760">
        <v>0.89100000000000001</v>
      </c>
      <c r="N4760">
        <v>0.22</v>
      </c>
    </row>
    <row r="4761" spans="1:14" x14ac:dyDescent="0.25">
      <c r="A4761" t="s">
        <v>8638</v>
      </c>
      <c r="B4761" t="s">
        <v>8639</v>
      </c>
      <c r="C4761" s="1" t="str">
        <f>HYPERLINK("http://www.genecards.org/cgi-bin/carddisp.pl?gene=NR1I2","GeneCards")</f>
        <v>GeneCards</v>
      </c>
      <c r="D4761" s="1" t="str">
        <f>HYPERLINK("http://genome-euro.ucsc.edu/cgi-bin/hgTracks?position=207203_s_at","UCSC")</f>
        <v>UCSC</v>
      </c>
      <c r="E4761" s="1" t="str">
        <f>HYPERLINK("http://www.ncbi.nlm.nih.gov/gene/?term=NR1I2","NCBI")</f>
        <v>NCBI</v>
      </c>
      <c r="F4761">
        <v>4.1000000000000002E-2</v>
      </c>
      <c r="G4761">
        <v>0.15</v>
      </c>
      <c r="H4761" s="1" t="str">
        <f>HYPERLINK("http://www.weizmann.ac.il/complex/compphys/software/geview/data/figures/207203_s_at.png","Figure")</f>
        <v>Figure</v>
      </c>
      <c r="I4761">
        <v>1.38</v>
      </c>
      <c r="J4761">
        <v>3.5999999999999997E-2</v>
      </c>
      <c r="K4761">
        <v>1.1000000000000001</v>
      </c>
      <c r="L4761">
        <v>0.63</v>
      </c>
      <c r="M4761">
        <v>0.79700000000000004</v>
      </c>
      <c r="N4761">
        <v>0.12</v>
      </c>
    </row>
    <row r="4762" spans="1:14" x14ac:dyDescent="0.25">
      <c r="A4762" t="s">
        <v>8640</v>
      </c>
      <c r="B4762" t="s">
        <v>8641</v>
      </c>
      <c r="C4762" s="1" t="str">
        <f>HYPERLINK("http://www.genecards.org/cgi-bin/carddisp.pl?gene=ABCB4","GeneCards")</f>
        <v>GeneCards</v>
      </c>
      <c r="D4762" s="1" t="str">
        <f>HYPERLINK("http://genome-euro.ucsc.edu/cgi-bin/hgTracks?position=207819_s_at","UCSC")</f>
        <v>UCSC</v>
      </c>
      <c r="E4762" s="1" t="str">
        <f>HYPERLINK("http://www.ncbi.nlm.nih.gov/gene/?term=ABCB4","NCBI")</f>
        <v>NCBI</v>
      </c>
      <c r="F4762">
        <v>4.1000000000000002E-2</v>
      </c>
      <c r="G4762">
        <v>0.15</v>
      </c>
      <c r="H4762" s="1" t="str">
        <f>HYPERLINK("http://www.weizmann.ac.il/complex/compphys/software/geview/data/figures/207819_s_at.png","Figure")</f>
        <v>Figure</v>
      </c>
      <c r="I4762">
        <v>1.0900000000000001</v>
      </c>
      <c r="J4762">
        <v>0.9</v>
      </c>
      <c r="K4762">
        <v>1.6</v>
      </c>
      <c r="L4762">
        <v>4.8000000000000001E-2</v>
      </c>
      <c r="M4762">
        <v>1.47</v>
      </c>
      <c r="N4762">
        <v>0.15</v>
      </c>
    </row>
    <row r="4763" spans="1:14" x14ac:dyDescent="0.25">
      <c r="A4763" t="s">
        <v>8642</v>
      </c>
      <c r="B4763" t="s">
        <v>4542</v>
      </c>
      <c r="C4763" s="1" t="str">
        <f>HYPERLINK("http://www.genecards.org/cgi-bin/carddisp.pl?gene=HUWE1","GeneCards")</f>
        <v>GeneCards</v>
      </c>
      <c r="D4763" s="1" t="str">
        <f>HYPERLINK("http://genome-euro.ucsc.edu/cgi-bin/hgTracks?position=208599_at","UCSC")</f>
        <v>UCSC</v>
      </c>
      <c r="E4763" s="1" t="str">
        <f>HYPERLINK("http://www.ncbi.nlm.nih.gov/gene/?term=HUWE1","NCBI")</f>
        <v>NCBI</v>
      </c>
      <c r="F4763">
        <v>4.1000000000000002E-2</v>
      </c>
      <c r="G4763">
        <v>0.15</v>
      </c>
      <c r="H4763" s="1" t="str">
        <f>HYPERLINK("http://www.weizmann.ac.il/complex/compphys/software/geview/data/figures/208599_at.png","Figure")</f>
        <v>Figure</v>
      </c>
      <c r="I4763">
        <v>1.24</v>
      </c>
      <c r="J4763">
        <v>3.3000000000000002E-2</v>
      </c>
      <c r="K4763">
        <v>1.1200000000000001</v>
      </c>
      <c r="L4763">
        <v>0.24</v>
      </c>
      <c r="M4763">
        <v>0.90200000000000002</v>
      </c>
      <c r="N4763">
        <v>0.34</v>
      </c>
    </row>
    <row r="4764" spans="1:14" x14ac:dyDescent="0.25">
      <c r="A4764" t="s">
        <v>8643</v>
      </c>
      <c r="B4764" t="s">
        <v>8644</v>
      </c>
      <c r="C4764" s="1" t="str">
        <f>HYPERLINK("http://www.genecards.org/cgi-bin/carddisp.pl?gene=ZNF174","GeneCards")</f>
        <v>GeneCards</v>
      </c>
      <c r="D4764" s="1" t="str">
        <f>HYPERLINK("http://genome-euro.ucsc.edu/cgi-bin/hgTracks?position=210291_s_at","UCSC")</f>
        <v>UCSC</v>
      </c>
      <c r="E4764" s="1" t="str">
        <f>HYPERLINK("http://www.ncbi.nlm.nih.gov/gene/?term=ZNF174","NCBI")</f>
        <v>NCBI</v>
      </c>
      <c r="F4764">
        <v>4.1000000000000002E-2</v>
      </c>
      <c r="G4764">
        <v>0.15</v>
      </c>
      <c r="H4764" s="1" t="str">
        <f>HYPERLINK("http://www.weizmann.ac.il/complex/compphys/software/geview/data/figures/210291_s_at.png","Figure")</f>
        <v>Figure</v>
      </c>
      <c r="I4764">
        <v>1.1399999999999999</v>
      </c>
      <c r="J4764">
        <v>7.5999999999999998E-2</v>
      </c>
      <c r="K4764">
        <v>1.1299999999999999</v>
      </c>
      <c r="L4764">
        <v>5.6000000000000001E-2</v>
      </c>
      <c r="M4764">
        <v>0.99199999999999999</v>
      </c>
      <c r="N4764">
        <v>0.99</v>
      </c>
    </row>
    <row r="4765" spans="1:14" x14ac:dyDescent="0.25">
      <c r="A4765" t="s">
        <v>8645</v>
      </c>
      <c r="B4765" t="s">
        <v>3522</v>
      </c>
      <c r="C4765" s="1" t="str">
        <f>HYPERLINK("http://www.genecards.org/cgi-bin/carddisp.pl?gene=ITPR2","GeneCards")</f>
        <v>GeneCards</v>
      </c>
      <c r="D4765" s="1" t="str">
        <f>HYPERLINK("http://genome-euro.ucsc.edu/cgi-bin/hgTracks?position=211360_s_at","UCSC")</f>
        <v>UCSC</v>
      </c>
      <c r="E4765" s="1" t="str">
        <f>HYPERLINK("http://www.ncbi.nlm.nih.gov/gene/?term=ITPR2","NCBI")</f>
        <v>NCBI</v>
      </c>
      <c r="F4765">
        <v>4.1000000000000002E-2</v>
      </c>
      <c r="G4765">
        <v>0.15</v>
      </c>
      <c r="H4765" s="1" t="str">
        <f>HYPERLINK("http://www.weizmann.ac.il/complex/compphys/software/geview/data/figures/211360_s_at.png","Figure")</f>
        <v>Figure</v>
      </c>
      <c r="I4765">
        <v>1.51</v>
      </c>
      <c r="J4765">
        <v>3.7999999999999999E-2</v>
      </c>
      <c r="K4765">
        <v>1.1200000000000001</v>
      </c>
      <c r="L4765">
        <v>0.67</v>
      </c>
      <c r="M4765">
        <v>0.74</v>
      </c>
      <c r="N4765">
        <v>0.11</v>
      </c>
    </row>
    <row r="4766" spans="1:14" x14ac:dyDescent="0.25">
      <c r="A4766" t="s">
        <v>8646</v>
      </c>
      <c r="B4766" t="s">
        <v>8647</v>
      </c>
      <c r="C4766" s="1" t="str">
        <f>HYPERLINK("http://www.genecards.org/cgi-bin/carddisp.pl?gene=CCRL2","GeneCards")</f>
        <v>GeneCards</v>
      </c>
      <c r="D4766" s="1" t="str">
        <f>HYPERLINK("http://genome-euro.ucsc.edu/cgi-bin/hgTracks?position=211434_s_at","UCSC")</f>
        <v>UCSC</v>
      </c>
      <c r="E4766" s="1" t="str">
        <f>HYPERLINK("http://www.ncbi.nlm.nih.gov/gene/?term=CCRL2","NCBI")</f>
        <v>NCBI</v>
      </c>
      <c r="F4766">
        <v>4.1000000000000002E-2</v>
      </c>
      <c r="G4766">
        <v>0.15</v>
      </c>
      <c r="H4766" s="1" t="str">
        <f>HYPERLINK("http://www.weizmann.ac.il/complex/compphys/software/geview/data/figures/211434_s_at.png","Figure")</f>
        <v>Figure</v>
      </c>
      <c r="I4766">
        <v>1.1599999999999999</v>
      </c>
      <c r="J4766">
        <v>4.7E-2</v>
      </c>
      <c r="K4766">
        <v>1.1200000000000001</v>
      </c>
      <c r="L4766">
        <v>9.7000000000000003E-2</v>
      </c>
      <c r="M4766">
        <v>0.96099999999999997</v>
      </c>
      <c r="N4766">
        <v>0.74</v>
      </c>
    </row>
    <row r="4767" spans="1:14" x14ac:dyDescent="0.25">
      <c r="A4767" t="s">
        <v>8648</v>
      </c>
      <c r="B4767" t="s">
        <v>8649</v>
      </c>
      <c r="C4767" s="1" t="str">
        <f>HYPERLINK("http://www.genecards.org/cgi-bin/carddisp.pl?gene=FBL","GeneCards")</f>
        <v>GeneCards</v>
      </c>
      <c r="D4767" s="1" t="str">
        <f>HYPERLINK("http://genome-euro.ucsc.edu/cgi-bin/hgTracks?position=211623_s_at","UCSC")</f>
        <v>UCSC</v>
      </c>
      <c r="E4767" s="1" t="str">
        <f>HYPERLINK("http://www.ncbi.nlm.nih.gov/gene/?term=FBL","NCBI")</f>
        <v>NCBI</v>
      </c>
      <c r="F4767">
        <v>4.1000000000000002E-2</v>
      </c>
      <c r="G4767">
        <v>0.15</v>
      </c>
      <c r="H4767" s="1" t="str">
        <f>HYPERLINK("http://www.weizmann.ac.il/complex/compphys/software/geview/data/figures/211623_s_at.png","Figure")</f>
        <v>Figure</v>
      </c>
      <c r="I4767">
        <v>1.38</v>
      </c>
      <c r="J4767">
        <v>0.22</v>
      </c>
      <c r="K4767">
        <v>1.58</v>
      </c>
      <c r="L4767">
        <v>3.4000000000000002E-2</v>
      </c>
      <c r="M4767">
        <v>1.1399999999999999</v>
      </c>
      <c r="N4767">
        <v>0.71</v>
      </c>
    </row>
    <row r="4768" spans="1:14" x14ac:dyDescent="0.25">
      <c r="A4768" t="s">
        <v>8650</v>
      </c>
      <c r="B4768" t="s">
        <v>8651</v>
      </c>
      <c r="C4768" s="1" t="str">
        <f>HYPERLINK("http://www.genecards.org/cgi-bin/carddisp.pl?gene=MRPS31","GeneCards")</f>
        <v>GeneCards</v>
      </c>
      <c r="D4768" s="1" t="str">
        <f>HYPERLINK("http://genome-euro.ucsc.edu/cgi-bin/hgTracks?position=212604_at","UCSC")</f>
        <v>UCSC</v>
      </c>
      <c r="E4768" s="1" t="str">
        <f>HYPERLINK("http://www.ncbi.nlm.nih.gov/gene/?term=MRPS31","NCBI")</f>
        <v>NCBI</v>
      </c>
      <c r="F4768">
        <v>4.1000000000000002E-2</v>
      </c>
      <c r="G4768">
        <v>0.15</v>
      </c>
      <c r="H4768" s="1" t="str">
        <f>HYPERLINK("http://www.weizmann.ac.il/complex/compphys/software/geview/data/figures/212604_at.png","Figure")</f>
        <v>Figure</v>
      </c>
      <c r="I4768">
        <v>0.84899999999999998</v>
      </c>
      <c r="J4768">
        <v>0.6</v>
      </c>
      <c r="K4768">
        <v>1.3</v>
      </c>
      <c r="L4768">
        <v>0.2</v>
      </c>
      <c r="M4768">
        <v>1.53</v>
      </c>
      <c r="N4768">
        <v>0.04</v>
      </c>
    </row>
    <row r="4769" spans="1:14" x14ac:dyDescent="0.25">
      <c r="A4769" t="s">
        <v>8652</v>
      </c>
      <c r="B4769" t="s">
        <v>8555</v>
      </c>
      <c r="C4769" s="1" t="str">
        <f>HYPERLINK("http://www.genecards.org/cgi-bin/carddisp.pl?gene=MCF2L","GeneCards")</f>
        <v>GeneCards</v>
      </c>
      <c r="D4769" s="1" t="str">
        <f>HYPERLINK("http://genome-euro.ucsc.edu/cgi-bin/hgTracks?position=212935_at","UCSC")</f>
        <v>UCSC</v>
      </c>
      <c r="E4769" s="1" t="str">
        <f>HYPERLINK("http://www.ncbi.nlm.nih.gov/gene/?term=MCF2L","NCBI")</f>
        <v>NCBI</v>
      </c>
      <c r="F4769">
        <v>4.1000000000000002E-2</v>
      </c>
      <c r="G4769">
        <v>0.15</v>
      </c>
      <c r="H4769" s="1" t="str">
        <f>HYPERLINK("http://www.weizmann.ac.il/complex/compphys/software/geview/data/figures/212935_at.png","Figure")</f>
        <v>Figure</v>
      </c>
      <c r="I4769">
        <v>1.1299999999999999</v>
      </c>
      <c r="J4769">
        <v>0.5</v>
      </c>
      <c r="K4769">
        <v>0.85799999999999998</v>
      </c>
      <c r="L4769">
        <v>0.25</v>
      </c>
      <c r="M4769">
        <v>0.76100000000000001</v>
      </c>
      <c r="N4769">
        <v>3.6999999999999998E-2</v>
      </c>
    </row>
    <row r="4770" spans="1:14" x14ac:dyDescent="0.25">
      <c r="A4770" t="s">
        <v>8653</v>
      </c>
      <c r="B4770" t="s">
        <v>3869</v>
      </c>
      <c r="C4770" s="1" t="str">
        <f>HYPERLINK("http://www.genecards.org/cgi-bin/carddisp.pl?gene=SYNCRIP","GeneCards")</f>
        <v>GeneCards</v>
      </c>
      <c r="D4770" s="1" t="str">
        <f>HYPERLINK("http://genome-euro.ucsc.edu/cgi-bin/hgTracks?position=217834_s_at","UCSC")</f>
        <v>UCSC</v>
      </c>
      <c r="E4770" s="1" t="str">
        <f>HYPERLINK("http://www.ncbi.nlm.nih.gov/gene/?term=SYNCRIP","NCBI")</f>
        <v>NCBI</v>
      </c>
      <c r="F4770">
        <v>4.1000000000000002E-2</v>
      </c>
      <c r="G4770">
        <v>0.15</v>
      </c>
      <c r="H4770" s="1" t="str">
        <f>HYPERLINK("http://www.weizmann.ac.il/complex/compphys/software/geview/data/figures/217834_s_at.png","Figure")</f>
        <v>Figure</v>
      </c>
      <c r="I4770">
        <v>0.84699999999999998</v>
      </c>
      <c r="J4770">
        <v>0.59</v>
      </c>
      <c r="K4770">
        <v>1.3</v>
      </c>
      <c r="L4770">
        <v>0.2</v>
      </c>
      <c r="M4770">
        <v>1.54</v>
      </c>
      <c r="N4770">
        <v>0.04</v>
      </c>
    </row>
    <row r="4771" spans="1:14" x14ac:dyDescent="0.25">
      <c r="A4771" t="s">
        <v>8654</v>
      </c>
      <c r="B4771" t="s">
        <v>8655</v>
      </c>
      <c r="C4771" s="1" t="str">
        <f>HYPERLINK("http://www.genecards.org/cgi-bin/carddisp.pl?gene=CADM3","GeneCards")</f>
        <v>GeneCards</v>
      </c>
      <c r="D4771" s="1" t="str">
        <f>HYPERLINK("http://genome-euro.ucsc.edu/cgi-bin/hgTracks?position=221921_s_at","UCSC")</f>
        <v>UCSC</v>
      </c>
      <c r="E4771" s="1" t="str">
        <f>HYPERLINK("http://www.ncbi.nlm.nih.gov/gene/?term=CADM3","NCBI")</f>
        <v>NCBI</v>
      </c>
      <c r="F4771">
        <v>4.1000000000000002E-2</v>
      </c>
      <c r="G4771">
        <v>0.15</v>
      </c>
      <c r="H4771" s="1" t="str">
        <f>HYPERLINK("http://www.weizmann.ac.il/complex/compphys/software/geview/data/figures/221921_s_at.png","Figure")</f>
        <v>Figure</v>
      </c>
      <c r="I4771">
        <v>1.1200000000000001</v>
      </c>
      <c r="J4771">
        <v>5.0999999999999997E-2</v>
      </c>
      <c r="K4771">
        <v>1.01</v>
      </c>
      <c r="L4771">
        <v>0.94</v>
      </c>
      <c r="M4771">
        <v>0.90300000000000002</v>
      </c>
      <c r="N4771">
        <v>6.5000000000000002E-2</v>
      </c>
    </row>
    <row r="4772" spans="1:14" x14ac:dyDescent="0.25">
      <c r="A4772" t="s">
        <v>8656</v>
      </c>
      <c r="B4772" t="s">
        <v>8633</v>
      </c>
      <c r="C4772" s="1" t="str">
        <f>HYPERLINK("http://www.genecards.org/cgi-bin/carddisp.pl?gene=JTB","GeneCards")</f>
        <v>GeneCards</v>
      </c>
      <c r="D4772" s="1" t="str">
        <f>HYPERLINK("http://genome-euro.ucsc.edu/cgi-bin/hgTracks?position=210434_x_at","UCSC")</f>
        <v>UCSC</v>
      </c>
      <c r="E4772" s="1" t="str">
        <f>HYPERLINK("http://www.ncbi.nlm.nih.gov/gene/?term=JTB","NCBI")</f>
        <v>NCBI</v>
      </c>
      <c r="F4772">
        <v>4.1000000000000002E-2</v>
      </c>
      <c r="G4772">
        <v>0.15</v>
      </c>
      <c r="H4772" s="1" t="str">
        <f>HYPERLINK("http://www.weizmann.ac.il/complex/compphys/software/geview/data/figures/210434_x_at.png","Figure")</f>
        <v>Figure</v>
      </c>
      <c r="I4772">
        <v>1.19</v>
      </c>
      <c r="J4772">
        <v>9.4E-2</v>
      </c>
      <c r="K4772">
        <v>0.97799999999999998</v>
      </c>
      <c r="L4772">
        <v>0.94</v>
      </c>
      <c r="M4772">
        <v>0.82399999999999995</v>
      </c>
      <c r="N4772">
        <v>0.04</v>
      </c>
    </row>
    <row r="4773" spans="1:14" x14ac:dyDescent="0.25">
      <c r="A4773" t="s">
        <v>8657</v>
      </c>
      <c r="B4773" t="s">
        <v>8658</v>
      </c>
      <c r="C4773" s="1" t="str">
        <f>HYPERLINK("http://www.genecards.org/cgi-bin/carddisp.pl?gene=ATAD4","GeneCards")</f>
        <v>GeneCards</v>
      </c>
      <c r="D4773" s="1" t="str">
        <f>HYPERLINK("http://genome-euro.ucsc.edu/cgi-bin/hgTracks?position=219127_at","UCSC")</f>
        <v>UCSC</v>
      </c>
      <c r="E4773" s="1" t="str">
        <f>HYPERLINK("http://www.ncbi.nlm.nih.gov/gene/?term=ATAD4","NCBI")</f>
        <v>NCBI</v>
      </c>
      <c r="F4773">
        <v>4.1000000000000002E-2</v>
      </c>
      <c r="G4773">
        <v>0.15</v>
      </c>
      <c r="H4773" s="1" t="str">
        <f>HYPERLINK("http://www.weizmann.ac.il/complex/compphys/software/geview/data/figures/219127_at.png","Figure")</f>
        <v>Figure</v>
      </c>
      <c r="I4773">
        <v>1.23</v>
      </c>
      <c r="J4773">
        <v>0.04</v>
      </c>
      <c r="K4773">
        <v>1.05</v>
      </c>
      <c r="L4773">
        <v>0.76</v>
      </c>
      <c r="M4773">
        <v>0.85199999999999998</v>
      </c>
      <c r="N4773">
        <v>9.4E-2</v>
      </c>
    </row>
    <row r="4774" spans="1:14" x14ac:dyDescent="0.25">
      <c r="A4774" t="s">
        <v>8659</v>
      </c>
      <c r="B4774" t="s">
        <v>8660</v>
      </c>
      <c r="C4774" s="1" t="str">
        <f>HYPERLINK("http://www.genecards.org/cgi-bin/carddisp.pl?gene=LANCL2","GeneCards")</f>
        <v>GeneCards</v>
      </c>
      <c r="D4774" s="1" t="str">
        <f>HYPERLINK("http://genome-euro.ucsc.edu/cgi-bin/hgTracks?position=218219_s_at","UCSC")</f>
        <v>UCSC</v>
      </c>
      <c r="E4774" s="1" t="str">
        <f>HYPERLINK("http://www.ncbi.nlm.nih.gov/gene/?term=LANCL2","NCBI")</f>
        <v>NCBI</v>
      </c>
      <c r="F4774">
        <v>4.1000000000000002E-2</v>
      </c>
      <c r="G4774">
        <v>0.15</v>
      </c>
      <c r="H4774" s="1" t="str">
        <f>HYPERLINK("http://www.weizmann.ac.il/complex/compphys/software/geview/data/figures/218219_s_at.png","Figure")</f>
        <v>Figure</v>
      </c>
      <c r="I4774">
        <v>1.05</v>
      </c>
      <c r="J4774">
        <v>0.98</v>
      </c>
      <c r="K4774">
        <v>0.58699999999999997</v>
      </c>
      <c r="L4774">
        <v>7.9000000000000001E-2</v>
      </c>
      <c r="M4774">
        <v>0.56200000000000006</v>
      </c>
      <c r="N4774">
        <v>7.5999999999999998E-2</v>
      </c>
    </row>
    <row r="4775" spans="1:14" x14ac:dyDescent="0.25">
      <c r="A4775" t="s">
        <v>8661</v>
      </c>
      <c r="B4775" t="s">
        <v>8662</v>
      </c>
      <c r="C4775" s="1" t="str">
        <f>HYPERLINK("http://www.genecards.org/cgi-bin/carddisp.pl?gene=STX16","GeneCards")</f>
        <v>GeneCards</v>
      </c>
      <c r="D4775" s="1" t="str">
        <f>HYPERLINK("http://genome-euro.ucsc.edu/cgi-bin/hgTracks?position=221499_s_at","UCSC")</f>
        <v>UCSC</v>
      </c>
      <c r="E4775" s="1" t="str">
        <f>HYPERLINK("http://www.ncbi.nlm.nih.gov/gene/?term=STX16","NCBI")</f>
        <v>NCBI</v>
      </c>
      <c r="F4775">
        <v>4.1000000000000002E-2</v>
      </c>
      <c r="G4775">
        <v>0.15</v>
      </c>
      <c r="H4775" s="1" t="str">
        <f>HYPERLINK("http://www.weizmann.ac.il/complex/compphys/software/geview/data/figures/221499_s_at.png","Figure")</f>
        <v>Figure</v>
      </c>
      <c r="I4775">
        <v>0.78500000000000003</v>
      </c>
      <c r="J4775">
        <v>0.57999999999999996</v>
      </c>
      <c r="K4775">
        <v>0.55700000000000005</v>
      </c>
      <c r="L4775">
        <v>3.5000000000000003E-2</v>
      </c>
      <c r="M4775">
        <v>0.70899999999999996</v>
      </c>
      <c r="N4775">
        <v>0.3</v>
      </c>
    </row>
    <row r="4776" spans="1:14" x14ac:dyDescent="0.25">
      <c r="A4776" t="s">
        <v>8663</v>
      </c>
      <c r="B4776" t="s">
        <v>5676</v>
      </c>
      <c r="C4776" s="1" t="str">
        <f>HYPERLINK("http://www.genecards.org/cgi-bin/carddisp.pl?gene=KYNU","GeneCards")</f>
        <v>GeneCards</v>
      </c>
      <c r="D4776" s="1" t="str">
        <f>HYPERLINK("http://genome-euro.ucsc.edu/cgi-bin/hgTracks?position=210663_s_at","UCSC")</f>
        <v>UCSC</v>
      </c>
      <c r="E4776" s="1" t="str">
        <f>HYPERLINK("http://www.ncbi.nlm.nih.gov/gene/?term=KYNU","NCBI")</f>
        <v>NCBI</v>
      </c>
      <c r="F4776">
        <v>4.1000000000000002E-2</v>
      </c>
      <c r="G4776">
        <v>0.15</v>
      </c>
      <c r="H4776" s="1" t="str">
        <f>HYPERLINK("http://www.weizmann.ac.il/complex/compphys/software/geview/data/figures/210663_s_at.png","Figure")</f>
        <v>Figure</v>
      </c>
      <c r="I4776">
        <v>1.27</v>
      </c>
      <c r="J4776">
        <v>3.4000000000000002E-2</v>
      </c>
      <c r="K4776">
        <v>1.0900000000000001</v>
      </c>
      <c r="L4776">
        <v>0.5</v>
      </c>
      <c r="M4776">
        <v>0.85799999999999998</v>
      </c>
      <c r="N4776">
        <v>0.16</v>
      </c>
    </row>
    <row r="4777" spans="1:14" x14ac:dyDescent="0.25">
      <c r="A4777" t="s">
        <v>8664</v>
      </c>
      <c r="B4777" t="s">
        <v>8665</v>
      </c>
      <c r="C4777" s="1" t="str">
        <f>HYPERLINK("http://www.genecards.org/cgi-bin/carddisp.pl?gene=CBR3","GeneCards")</f>
        <v>GeneCards</v>
      </c>
      <c r="D4777" s="1" t="str">
        <f>HYPERLINK("http://genome-euro.ucsc.edu/cgi-bin/hgTracks?position=205379_at","UCSC")</f>
        <v>UCSC</v>
      </c>
      <c r="E4777" s="1" t="str">
        <f>HYPERLINK("http://www.ncbi.nlm.nih.gov/gene/?term=CBR3","NCBI")</f>
        <v>NCBI</v>
      </c>
      <c r="F4777">
        <v>4.1000000000000002E-2</v>
      </c>
      <c r="G4777">
        <v>0.15</v>
      </c>
      <c r="H4777" s="1" t="str">
        <f>HYPERLINK("http://www.weizmann.ac.il/complex/compphys/software/geview/data/figures/205379_at.png","Figure")</f>
        <v>Figure</v>
      </c>
      <c r="I4777">
        <v>1.0900000000000001</v>
      </c>
      <c r="J4777">
        <v>0.75</v>
      </c>
      <c r="K4777">
        <v>1.32</v>
      </c>
      <c r="L4777">
        <v>0.04</v>
      </c>
      <c r="M4777">
        <v>1.21</v>
      </c>
      <c r="N4777">
        <v>0.21</v>
      </c>
    </row>
    <row r="4778" spans="1:14" x14ac:dyDescent="0.25">
      <c r="A4778" t="s">
        <v>8666</v>
      </c>
      <c r="B4778" t="s">
        <v>3316</v>
      </c>
      <c r="C4778" s="1" t="str">
        <f>HYPERLINK("http://www.genecards.org/cgi-bin/carddisp.pl?gene=USF2","GeneCards")</f>
        <v>GeneCards</v>
      </c>
      <c r="D4778" s="1" t="str">
        <f>HYPERLINK("http://genome-euro.ucsc.edu/cgi-bin/hgTracks?position=214879_x_at","UCSC")</f>
        <v>UCSC</v>
      </c>
      <c r="E4778" s="1" t="str">
        <f>HYPERLINK("http://www.ncbi.nlm.nih.gov/gene/?term=USF2","NCBI")</f>
        <v>NCBI</v>
      </c>
      <c r="F4778">
        <v>4.1000000000000002E-2</v>
      </c>
      <c r="G4778">
        <v>0.15</v>
      </c>
      <c r="H4778" s="1" t="str">
        <f>HYPERLINK("http://www.weizmann.ac.il/complex/compphys/software/geview/data/figures/214879_x_at.png","Figure")</f>
        <v>Figure</v>
      </c>
      <c r="I4778">
        <v>1.3</v>
      </c>
      <c r="J4778">
        <v>3.7999999999999999E-2</v>
      </c>
      <c r="K4778">
        <v>1.07</v>
      </c>
      <c r="L4778">
        <v>0.67</v>
      </c>
      <c r="M4778">
        <v>0.82699999999999996</v>
      </c>
      <c r="N4778">
        <v>0.11</v>
      </c>
    </row>
    <row r="4779" spans="1:14" x14ac:dyDescent="0.25">
      <c r="A4779" t="s">
        <v>8667</v>
      </c>
      <c r="B4779" t="s">
        <v>8668</v>
      </c>
      <c r="C4779" s="1" t="str">
        <f>HYPERLINK("http://www.genecards.org/cgi-bin/carddisp.pl?gene=HIBCH","GeneCards")</f>
        <v>GeneCards</v>
      </c>
      <c r="D4779" s="1" t="str">
        <f>HYPERLINK("http://genome-euro.ucsc.edu/cgi-bin/hgTracks?position=213374_x_at","UCSC")</f>
        <v>UCSC</v>
      </c>
      <c r="E4779" s="1" t="str">
        <f>HYPERLINK("http://www.ncbi.nlm.nih.gov/gene/?term=HIBCH","NCBI")</f>
        <v>NCBI</v>
      </c>
      <c r="F4779">
        <v>4.1000000000000002E-2</v>
      </c>
      <c r="G4779">
        <v>0.15</v>
      </c>
      <c r="H4779" s="1" t="str">
        <f>HYPERLINK("http://www.weizmann.ac.il/complex/compphys/software/geview/data/figures/213374_x_at.png","Figure")</f>
        <v>Figure</v>
      </c>
      <c r="I4779">
        <v>0.81599999999999995</v>
      </c>
      <c r="J4779">
        <v>0.55000000000000004</v>
      </c>
      <c r="K4779">
        <v>1.33</v>
      </c>
      <c r="L4779">
        <v>0.23</v>
      </c>
      <c r="M4779">
        <v>1.63</v>
      </c>
      <c r="N4779">
        <v>3.9E-2</v>
      </c>
    </row>
    <row r="4780" spans="1:14" x14ac:dyDescent="0.25">
      <c r="A4780" t="s">
        <v>8669</v>
      </c>
      <c r="B4780" t="s">
        <v>8670</v>
      </c>
      <c r="C4780" s="1" t="str">
        <f>HYPERLINK("http://www.genecards.org/cgi-bin/carddisp.pl?gene=MSH2","GeneCards")</f>
        <v>GeneCards</v>
      </c>
      <c r="D4780" s="1" t="str">
        <f>HYPERLINK("http://genome-euro.ucsc.edu/cgi-bin/hgTracks?position=209421_at","UCSC")</f>
        <v>UCSC</v>
      </c>
      <c r="E4780" s="1" t="str">
        <f>HYPERLINK("http://www.ncbi.nlm.nih.gov/gene/?term=MSH2","NCBI")</f>
        <v>NCBI</v>
      </c>
      <c r="F4780">
        <v>4.1000000000000002E-2</v>
      </c>
      <c r="G4780">
        <v>0.15</v>
      </c>
      <c r="H4780" s="1" t="str">
        <f>HYPERLINK("http://www.weizmann.ac.il/complex/compphys/software/geview/data/figures/209421_at.png","Figure")</f>
        <v>Figure</v>
      </c>
      <c r="I4780">
        <v>0.67900000000000005</v>
      </c>
      <c r="J4780">
        <v>0.36</v>
      </c>
      <c r="K4780">
        <v>1.41</v>
      </c>
      <c r="L4780">
        <v>0.35</v>
      </c>
      <c r="M4780">
        <v>2.08</v>
      </c>
      <c r="N4780">
        <v>3.4000000000000002E-2</v>
      </c>
    </row>
    <row r="4781" spans="1:14" x14ac:dyDescent="0.25">
      <c r="A4781" t="s">
        <v>8671</v>
      </c>
      <c r="B4781" t="s">
        <v>8672</v>
      </c>
      <c r="C4781" s="1" t="str">
        <f>HYPERLINK("http://www.genecards.org/cgi-bin/carddisp.pl?gene=ADRB3","GeneCards")</f>
        <v>GeneCards</v>
      </c>
      <c r="D4781" s="1" t="str">
        <f>HYPERLINK("http://genome-euro.ucsc.edu/cgi-bin/hgTracks?position=217303_s_at","UCSC")</f>
        <v>UCSC</v>
      </c>
      <c r="E4781" s="1" t="str">
        <f>HYPERLINK("http://www.ncbi.nlm.nih.gov/gene/?term=ADRB3","NCBI")</f>
        <v>NCBI</v>
      </c>
      <c r="F4781">
        <v>4.1000000000000002E-2</v>
      </c>
      <c r="G4781">
        <v>0.15</v>
      </c>
      <c r="H4781" s="1" t="str">
        <f>HYPERLINK("http://www.weizmann.ac.il/complex/compphys/software/geview/data/figures/217303_s_at.png","Figure")</f>
        <v>Figure</v>
      </c>
      <c r="I4781">
        <v>1.2</v>
      </c>
      <c r="J4781">
        <v>4.8000000000000001E-2</v>
      </c>
      <c r="K4781">
        <v>1.1499999999999999</v>
      </c>
      <c r="L4781">
        <v>9.4E-2</v>
      </c>
      <c r="M4781">
        <v>0.95499999999999996</v>
      </c>
      <c r="N4781">
        <v>0.76</v>
      </c>
    </row>
    <row r="4782" spans="1:14" x14ac:dyDescent="0.25">
      <c r="A4782" t="s">
        <v>8673</v>
      </c>
      <c r="B4782" t="s">
        <v>8674</v>
      </c>
      <c r="C4782" s="1" t="str">
        <f>HYPERLINK("http://www.genecards.org/cgi-bin/carddisp.pl?gene=FAM8A1","GeneCards")</f>
        <v>GeneCards</v>
      </c>
      <c r="D4782" s="1" t="str">
        <f>HYPERLINK("http://genome-euro.ucsc.edu/cgi-bin/hgTracks?position=203420_at","UCSC")</f>
        <v>UCSC</v>
      </c>
      <c r="E4782" s="1" t="str">
        <f>HYPERLINK("http://www.ncbi.nlm.nih.gov/gene/?term=FAM8A1","NCBI")</f>
        <v>NCBI</v>
      </c>
      <c r="F4782">
        <v>4.1000000000000002E-2</v>
      </c>
      <c r="G4782">
        <v>0.15</v>
      </c>
      <c r="H4782" s="1" t="str">
        <f>HYPERLINK("http://www.weizmann.ac.il/complex/compphys/software/geview/data/figures/203420_at.png","Figure")</f>
        <v>Figure</v>
      </c>
      <c r="I4782">
        <v>0.69599999999999995</v>
      </c>
      <c r="J4782">
        <v>6.9000000000000006E-2</v>
      </c>
      <c r="K4782">
        <v>0.72199999999999998</v>
      </c>
      <c r="L4782">
        <v>6.0999999999999999E-2</v>
      </c>
      <c r="M4782">
        <v>1.04</v>
      </c>
      <c r="N4782">
        <v>0.96</v>
      </c>
    </row>
    <row r="4783" spans="1:14" x14ac:dyDescent="0.25">
      <c r="A4783" t="s">
        <v>8675</v>
      </c>
      <c r="B4783" t="s">
        <v>2156</v>
      </c>
      <c r="C4783" s="1" t="str">
        <f>HYPERLINK("http://www.genecards.org/cgi-bin/carddisp.pl?gene=CHKB-CPT1B /// CPT1B","GeneCards")</f>
        <v>GeneCards</v>
      </c>
      <c r="D4783" s="1" t="str">
        <f>HYPERLINK("http://genome-euro.ucsc.edu/cgi-bin/hgTracks?position=210069_at","UCSC")</f>
        <v>UCSC</v>
      </c>
      <c r="E4783" s="1" t="str">
        <f>HYPERLINK("http://www.ncbi.nlm.nih.gov/gene/?term=CHKB-CPT1B /// CPT1B","NCBI")</f>
        <v>NCBI</v>
      </c>
      <c r="F4783">
        <v>4.1000000000000002E-2</v>
      </c>
      <c r="G4783">
        <v>0.15</v>
      </c>
      <c r="H4783" s="1" t="str">
        <f>HYPERLINK("http://www.weizmann.ac.il/complex/compphys/software/geview/data/figures/210069_at.png","Figure")</f>
        <v>Figure</v>
      </c>
      <c r="I4783">
        <v>0.53200000000000003</v>
      </c>
      <c r="J4783">
        <v>0.13</v>
      </c>
      <c r="K4783">
        <v>1.17</v>
      </c>
      <c r="L4783">
        <v>0.83</v>
      </c>
      <c r="M4783">
        <v>2.19</v>
      </c>
      <c r="N4783">
        <v>3.5999999999999997E-2</v>
      </c>
    </row>
    <row r="4784" spans="1:14" x14ac:dyDescent="0.25">
      <c r="A4784" t="s">
        <v>8676</v>
      </c>
      <c r="B4784" t="s">
        <v>8677</v>
      </c>
      <c r="C4784" s="1" t="str">
        <f>HYPERLINK("http://www.genecards.org/cgi-bin/carddisp.pl?gene=ZNF419","GeneCards")</f>
        <v>GeneCards</v>
      </c>
      <c r="D4784" s="1" t="str">
        <f>HYPERLINK("http://genome-euro.ucsc.edu/cgi-bin/hgTracks?position=58367_s_at","UCSC")</f>
        <v>UCSC</v>
      </c>
      <c r="E4784" s="1" t="str">
        <f>HYPERLINK("http://www.ncbi.nlm.nih.gov/gene/?term=ZNF419","NCBI")</f>
        <v>NCBI</v>
      </c>
      <c r="F4784">
        <v>4.1000000000000002E-2</v>
      </c>
      <c r="G4784">
        <v>0.15</v>
      </c>
      <c r="H4784" s="1" t="str">
        <f>HYPERLINK("http://www.weizmann.ac.il/complex/compphys/software/geview/data/figures/58367_s_at.png","Figure")</f>
        <v>Figure</v>
      </c>
      <c r="I4784">
        <v>1.26</v>
      </c>
      <c r="J4784">
        <v>0.08</v>
      </c>
      <c r="K4784">
        <v>0.98499999999999999</v>
      </c>
      <c r="L4784">
        <v>0.98</v>
      </c>
      <c r="M4784">
        <v>0.77900000000000003</v>
      </c>
      <c r="N4784">
        <v>4.3999999999999997E-2</v>
      </c>
    </row>
    <row r="4785" spans="1:14" x14ac:dyDescent="0.25">
      <c r="A4785" t="s">
        <v>8678</v>
      </c>
      <c r="B4785" t="s">
        <v>8679</v>
      </c>
      <c r="C4785" s="1" t="str">
        <f>HYPERLINK("http://www.genecards.org/cgi-bin/carddisp.pl?gene=TSTA3","GeneCards")</f>
        <v>GeneCards</v>
      </c>
      <c r="D4785" s="1" t="str">
        <f>HYPERLINK("http://genome-euro.ucsc.edu/cgi-bin/hgTracks?position=201644_at","UCSC")</f>
        <v>UCSC</v>
      </c>
      <c r="E4785" s="1" t="str">
        <f>HYPERLINK("http://www.ncbi.nlm.nih.gov/gene/?term=TSTA3","NCBI")</f>
        <v>NCBI</v>
      </c>
      <c r="F4785">
        <v>4.1000000000000002E-2</v>
      </c>
      <c r="G4785">
        <v>0.15</v>
      </c>
      <c r="H4785" s="1" t="str">
        <f>HYPERLINK("http://www.weizmann.ac.il/complex/compphys/software/geview/data/figures/201644_at.png","Figure")</f>
        <v>Figure</v>
      </c>
      <c r="I4785">
        <v>1.1299999999999999</v>
      </c>
      <c r="J4785">
        <v>0.56000000000000005</v>
      </c>
      <c r="K4785">
        <v>1.34</v>
      </c>
      <c r="L4785">
        <v>3.5000000000000003E-2</v>
      </c>
      <c r="M4785">
        <v>1.18</v>
      </c>
      <c r="N4785">
        <v>0.31</v>
      </c>
    </row>
    <row r="4786" spans="1:14" x14ac:dyDescent="0.25">
      <c r="A4786" t="s">
        <v>8680</v>
      </c>
      <c r="B4786" t="s">
        <v>8681</v>
      </c>
      <c r="C4786" s="1" t="str">
        <f>HYPERLINK("http://www.genecards.org/cgi-bin/carddisp.pl?gene=SOX2","GeneCards")</f>
        <v>GeneCards</v>
      </c>
      <c r="D4786" s="1" t="str">
        <f>HYPERLINK("http://genome-euro.ucsc.edu/cgi-bin/hgTracks?position=214178_s_at","UCSC")</f>
        <v>UCSC</v>
      </c>
      <c r="E4786" s="1" t="str">
        <f>HYPERLINK("http://www.ncbi.nlm.nih.gov/gene/?term=SOX2","NCBI")</f>
        <v>NCBI</v>
      </c>
      <c r="F4786">
        <v>4.1000000000000002E-2</v>
      </c>
      <c r="G4786">
        <v>0.15</v>
      </c>
      <c r="H4786" s="1" t="str">
        <f>HYPERLINK("http://www.weizmann.ac.il/complex/compphys/software/geview/data/figures/214178_s_at.png","Figure")</f>
        <v>Figure</v>
      </c>
      <c r="I4786">
        <v>1.1599999999999999</v>
      </c>
      <c r="J4786">
        <v>0.23</v>
      </c>
      <c r="K4786">
        <v>0.92300000000000004</v>
      </c>
      <c r="L4786">
        <v>0.54</v>
      </c>
      <c r="M4786">
        <v>0.79500000000000004</v>
      </c>
      <c r="N4786">
        <v>3.3000000000000002E-2</v>
      </c>
    </row>
    <row r="4787" spans="1:14" x14ac:dyDescent="0.25">
      <c r="A4787" t="s">
        <v>8682</v>
      </c>
      <c r="B4787" t="s">
        <v>8683</v>
      </c>
      <c r="C4787" s="1" t="str">
        <f>HYPERLINK("http://www.genecards.org/cgi-bin/carddisp.pl?gene=LY6G6D","GeneCards")</f>
        <v>GeneCards</v>
      </c>
      <c r="D4787" s="1" t="str">
        <f>HYPERLINK("http://genome-euro.ucsc.edu/cgi-bin/hgTracks?position=207457_s_at","UCSC")</f>
        <v>UCSC</v>
      </c>
      <c r="E4787" s="1" t="str">
        <f>HYPERLINK("http://www.ncbi.nlm.nih.gov/gene/?term=LY6G6D","NCBI")</f>
        <v>NCBI</v>
      </c>
      <c r="F4787">
        <v>4.1000000000000002E-2</v>
      </c>
      <c r="G4787">
        <v>0.15</v>
      </c>
      <c r="H4787" s="1" t="str">
        <f>HYPERLINK("http://www.weizmann.ac.il/complex/compphys/software/geview/data/figures/207457_s_at.png","Figure")</f>
        <v>Figure</v>
      </c>
      <c r="I4787">
        <v>1.28</v>
      </c>
      <c r="J4787">
        <v>3.5000000000000003E-2</v>
      </c>
      <c r="K4787">
        <v>1.0900000000000001</v>
      </c>
      <c r="L4787">
        <v>0.52</v>
      </c>
      <c r="M4787">
        <v>0.85099999999999998</v>
      </c>
      <c r="N4787">
        <v>0.15</v>
      </c>
    </row>
    <row r="4788" spans="1:14" x14ac:dyDescent="0.25">
      <c r="A4788" t="s">
        <v>8684</v>
      </c>
      <c r="B4788" t="s">
        <v>3094</v>
      </c>
      <c r="C4788" s="1" t="str">
        <f>HYPERLINK("http://www.genecards.org/cgi-bin/carddisp.pl?gene=NCK1","GeneCards")</f>
        <v>GeneCards</v>
      </c>
      <c r="D4788" s="1" t="str">
        <f>HYPERLINK("http://genome-euro.ucsc.edu/cgi-bin/hgTracks?position=211063_s_at","UCSC")</f>
        <v>UCSC</v>
      </c>
      <c r="E4788" s="1" t="str">
        <f>HYPERLINK("http://www.ncbi.nlm.nih.gov/gene/?term=NCK1","NCBI")</f>
        <v>NCBI</v>
      </c>
      <c r="F4788">
        <v>4.1000000000000002E-2</v>
      </c>
      <c r="G4788">
        <v>0.15</v>
      </c>
      <c r="H4788" s="1" t="str">
        <f>HYPERLINK("http://www.weizmann.ac.il/complex/compphys/software/geview/data/figures/211063_s_at.png","Figure")</f>
        <v>Figure</v>
      </c>
      <c r="I4788">
        <v>0.625</v>
      </c>
      <c r="J4788">
        <v>0.11</v>
      </c>
      <c r="K4788">
        <v>0.59699999999999998</v>
      </c>
      <c r="L4788">
        <v>4.2999999999999997E-2</v>
      </c>
      <c r="M4788">
        <v>0.95599999999999996</v>
      </c>
      <c r="N4788">
        <v>0.97</v>
      </c>
    </row>
    <row r="4789" spans="1:14" x14ac:dyDescent="0.25">
      <c r="A4789" t="s">
        <v>8685</v>
      </c>
      <c r="B4789" t="s">
        <v>8686</v>
      </c>
      <c r="C4789" s="1" t="str">
        <f>HYPERLINK("http://www.genecards.org/cgi-bin/carddisp.pl?gene=CST5","GeneCards")</f>
        <v>GeneCards</v>
      </c>
      <c r="D4789" s="1" t="str">
        <f>HYPERLINK("http://genome-euro.ucsc.edu/cgi-bin/hgTracks?position=207925_at","UCSC")</f>
        <v>UCSC</v>
      </c>
      <c r="E4789" s="1" t="str">
        <f>HYPERLINK("http://www.ncbi.nlm.nih.gov/gene/?term=CST5","NCBI")</f>
        <v>NCBI</v>
      </c>
      <c r="F4789">
        <v>4.1000000000000002E-2</v>
      </c>
      <c r="G4789">
        <v>0.15</v>
      </c>
      <c r="H4789" s="1" t="str">
        <f>HYPERLINK("http://www.weizmann.ac.il/complex/compphys/software/geview/data/figures/207925_at.png","Figure")</f>
        <v>Figure</v>
      </c>
      <c r="I4789">
        <v>1.25</v>
      </c>
      <c r="J4789">
        <v>4.1000000000000002E-2</v>
      </c>
      <c r="K4789">
        <v>1.05</v>
      </c>
      <c r="L4789">
        <v>0.77</v>
      </c>
      <c r="M4789">
        <v>0.84299999999999997</v>
      </c>
      <c r="N4789">
        <v>9.2999999999999999E-2</v>
      </c>
    </row>
    <row r="4790" spans="1:14" x14ac:dyDescent="0.25">
      <c r="A4790" t="s">
        <v>8687</v>
      </c>
      <c r="B4790" t="s">
        <v>8688</v>
      </c>
      <c r="C4790" s="1" t="str">
        <f>HYPERLINK("http://www.genecards.org/cgi-bin/carddisp.pl?gene=BLMH","GeneCards")</f>
        <v>GeneCards</v>
      </c>
      <c r="D4790" s="1" t="str">
        <f>HYPERLINK("http://genome-euro.ucsc.edu/cgi-bin/hgTracks?position=202179_at","UCSC")</f>
        <v>UCSC</v>
      </c>
      <c r="E4790" s="1" t="str">
        <f>HYPERLINK("http://www.ncbi.nlm.nih.gov/gene/?term=BLMH","NCBI")</f>
        <v>NCBI</v>
      </c>
      <c r="F4790">
        <v>4.1000000000000002E-2</v>
      </c>
      <c r="G4790">
        <v>0.15</v>
      </c>
      <c r="H4790" s="1" t="str">
        <f>HYPERLINK("http://www.weizmann.ac.il/complex/compphys/software/geview/data/figures/202179_at.png","Figure")</f>
        <v>Figure</v>
      </c>
      <c r="I4790">
        <v>0.73699999999999999</v>
      </c>
      <c r="J4790">
        <v>0.17</v>
      </c>
      <c r="K4790">
        <v>1.1299999999999999</v>
      </c>
      <c r="L4790">
        <v>0.67</v>
      </c>
      <c r="M4790">
        <v>1.53</v>
      </c>
      <c r="N4790">
        <v>3.4000000000000002E-2</v>
      </c>
    </row>
    <row r="4791" spans="1:14" x14ac:dyDescent="0.25">
      <c r="A4791" t="s">
        <v>8689</v>
      </c>
      <c r="B4791" t="s">
        <v>8690</v>
      </c>
      <c r="C4791" s="1" t="str">
        <f>HYPERLINK("http://www.genecards.org/cgi-bin/carddisp.pl?gene=EVI5","GeneCards")</f>
        <v>GeneCards</v>
      </c>
      <c r="D4791" s="1" t="str">
        <f>HYPERLINK("http://genome-euro.ucsc.edu/cgi-bin/hgTracks?position=209717_at","UCSC")</f>
        <v>UCSC</v>
      </c>
      <c r="E4791" s="1" t="str">
        <f>HYPERLINK("http://www.ncbi.nlm.nih.gov/gene/?term=EVI5","NCBI")</f>
        <v>NCBI</v>
      </c>
      <c r="F4791">
        <v>4.1000000000000002E-2</v>
      </c>
      <c r="G4791">
        <v>0.15</v>
      </c>
      <c r="H4791" s="1" t="str">
        <f>HYPERLINK("http://www.weizmann.ac.il/complex/compphys/software/geview/data/figures/209717_at.png","Figure")</f>
        <v>Figure</v>
      </c>
      <c r="I4791">
        <v>0.92300000000000004</v>
      </c>
      <c r="J4791">
        <v>6.8000000000000005E-2</v>
      </c>
      <c r="K4791">
        <v>1</v>
      </c>
      <c r="L4791">
        <v>1</v>
      </c>
      <c r="M4791">
        <v>1.08</v>
      </c>
      <c r="N4791">
        <v>0.05</v>
      </c>
    </row>
    <row r="4792" spans="1:14" x14ac:dyDescent="0.25">
      <c r="A4792" t="s">
        <v>8691</v>
      </c>
      <c r="B4792" t="s">
        <v>7658</v>
      </c>
      <c r="C4792" s="1" t="str">
        <f>HYPERLINK("http://www.genecards.org/cgi-bin/carddisp.pl?gene=LRCH4","GeneCards")</f>
        <v>GeneCards</v>
      </c>
      <c r="D4792" s="1" t="str">
        <f>HYPERLINK("http://genome-euro.ucsc.edu/cgi-bin/hgTracks?position=222017_x_at","UCSC")</f>
        <v>UCSC</v>
      </c>
      <c r="E4792" s="1" t="str">
        <f>HYPERLINK("http://www.ncbi.nlm.nih.gov/gene/?term=LRCH4","NCBI")</f>
        <v>NCBI</v>
      </c>
      <c r="F4792">
        <v>4.1000000000000002E-2</v>
      </c>
      <c r="G4792">
        <v>0.15</v>
      </c>
      <c r="H4792" s="1" t="str">
        <f>HYPERLINK("http://www.weizmann.ac.il/complex/compphys/software/geview/data/figures/222017_x_at.png","Figure")</f>
        <v>Figure</v>
      </c>
      <c r="I4792">
        <v>1.28</v>
      </c>
      <c r="J4792">
        <v>7.8E-2</v>
      </c>
      <c r="K4792">
        <v>0.98699999999999999</v>
      </c>
      <c r="L4792">
        <v>0.99</v>
      </c>
      <c r="M4792">
        <v>0.77</v>
      </c>
      <c r="N4792">
        <v>4.4999999999999998E-2</v>
      </c>
    </row>
    <row r="4793" spans="1:14" x14ac:dyDescent="0.25">
      <c r="A4793" t="s">
        <v>8692</v>
      </c>
      <c r="B4793" t="s">
        <v>8693</v>
      </c>
      <c r="C4793" s="1" t="str">
        <f>HYPERLINK("http://www.genecards.org/cgi-bin/carddisp.pl?gene=PEG3","GeneCards")</f>
        <v>GeneCards</v>
      </c>
      <c r="D4793" s="1" t="str">
        <f>HYPERLINK("http://genome-euro.ucsc.edu/cgi-bin/hgTracks?position=209242_at","UCSC")</f>
        <v>UCSC</v>
      </c>
      <c r="E4793" s="1" t="str">
        <f>HYPERLINK("http://www.ncbi.nlm.nih.gov/gene/?term=PEG3","NCBI")</f>
        <v>NCBI</v>
      </c>
      <c r="F4793">
        <v>4.1000000000000002E-2</v>
      </c>
      <c r="G4793">
        <v>0.15</v>
      </c>
      <c r="H4793" s="1" t="str">
        <f>HYPERLINK("http://www.weizmann.ac.il/complex/compphys/software/geview/data/figures/209242_at.png","Figure")</f>
        <v>Figure</v>
      </c>
      <c r="I4793">
        <v>1</v>
      </c>
      <c r="J4793">
        <v>1</v>
      </c>
      <c r="K4793">
        <v>0.35699999999999998</v>
      </c>
      <c r="L4793">
        <v>6.8000000000000005E-2</v>
      </c>
      <c r="M4793">
        <v>0.35699999999999998</v>
      </c>
      <c r="N4793">
        <v>0.09</v>
      </c>
    </row>
    <row r="4794" spans="1:14" x14ac:dyDescent="0.25">
      <c r="A4794" t="s">
        <v>8694</v>
      </c>
      <c r="B4794" t="s">
        <v>8695</v>
      </c>
      <c r="C4794" s="1" t="str">
        <f>HYPERLINK("http://www.genecards.org/cgi-bin/carddisp.pl?gene=HNRNPL","GeneCards")</f>
        <v>GeneCards</v>
      </c>
      <c r="D4794" s="1" t="str">
        <f>HYPERLINK("http://genome-euro.ucsc.edu/cgi-bin/hgTracks?position=202072_at","UCSC")</f>
        <v>UCSC</v>
      </c>
      <c r="E4794" s="1" t="str">
        <f>HYPERLINK("http://www.ncbi.nlm.nih.gov/gene/?term=HNRNPL","NCBI")</f>
        <v>NCBI</v>
      </c>
      <c r="F4794">
        <v>4.1000000000000002E-2</v>
      </c>
      <c r="G4794">
        <v>0.15</v>
      </c>
      <c r="H4794" s="1" t="str">
        <f>HYPERLINK("http://www.weizmann.ac.il/complex/compphys/software/geview/data/figures/202072_at.png","Figure")</f>
        <v>Figure</v>
      </c>
      <c r="I4794">
        <v>1.36</v>
      </c>
      <c r="J4794">
        <v>0.04</v>
      </c>
      <c r="K4794">
        <v>1.08</v>
      </c>
      <c r="L4794">
        <v>0.73</v>
      </c>
      <c r="M4794">
        <v>0.79400000000000004</v>
      </c>
      <c r="N4794">
        <v>0.1</v>
      </c>
    </row>
    <row r="4795" spans="1:14" x14ac:dyDescent="0.25">
      <c r="A4795" t="s">
        <v>8696</v>
      </c>
      <c r="B4795" t="s">
        <v>7561</v>
      </c>
      <c r="C4795" s="1" t="str">
        <f>HYPERLINK("http://www.genecards.org/cgi-bin/carddisp.pl?gene=TNFAIP3","GeneCards")</f>
        <v>GeneCards</v>
      </c>
      <c r="D4795" s="1" t="str">
        <f>HYPERLINK("http://genome-euro.ucsc.edu/cgi-bin/hgTracks?position=202644_s_at","UCSC")</f>
        <v>UCSC</v>
      </c>
      <c r="E4795" s="1" t="str">
        <f>HYPERLINK("http://www.ncbi.nlm.nih.gov/gene/?term=TNFAIP3","NCBI")</f>
        <v>NCBI</v>
      </c>
      <c r="F4795">
        <v>4.1000000000000002E-2</v>
      </c>
      <c r="G4795">
        <v>0.15</v>
      </c>
      <c r="H4795" s="1" t="str">
        <f>HYPERLINK("http://www.weizmann.ac.il/complex/compphys/software/geview/data/figures/202644_s_at.png","Figure")</f>
        <v>Figure</v>
      </c>
      <c r="I4795">
        <v>0.47799999999999998</v>
      </c>
      <c r="J4795">
        <v>0.19</v>
      </c>
      <c r="K4795">
        <v>0.376</v>
      </c>
      <c r="L4795">
        <v>3.5999999999999997E-2</v>
      </c>
      <c r="M4795">
        <v>0.78700000000000003</v>
      </c>
      <c r="N4795">
        <v>0.8</v>
      </c>
    </row>
    <row r="4796" spans="1:14" x14ac:dyDescent="0.25">
      <c r="A4796" t="s">
        <v>8697</v>
      </c>
      <c r="B4796" t="s">
        <v>8698</v>
      </c>
      <c r="C4796" s="1" t="str">
        <f>HYPERLINK("http://www.genecards.org/cgi-bin/carddisp.pl?gene=PAFAH1B3","GeneCards")</f>
        <v>GeneCards</v>
      </c>
      <c r="D4796" s="1" t="str">
        <f>HYPERLINK("http://genome-euro.ucsc.edu/cgi-bin/hgTracks?position=203228_at","UCSC")</f>
        <v>UCSC</v>
      </c>
      <c r="E4796" s="1" t="str">
        <f>HYPERLINK("http://www.ncbi.nlm.nih.gov/gene/?term=PAFAH1B3","NCBI")</f>
        <v>NCBI</v>
      </c>
      <c r="F4796">
        <v>4.1000000000000002E-2</v>
      </c>
      <c r="G4796">
        <v>0.15</v>
      </c>
      <c r="H4796" s="1" t="str">
        <f>HYPERLINK("http://www.weizmann.ac.il/complex/compphys/software/geview/data/figures/203228_at.png","Figure")</f>
        <v>Figure</v>
      </c>
      <c r="I4796">
        <v>1.36</v>
      </c>
      <c r="J4796">
        <v>0.2</v>
      </c>
      <c r="K4796">
        <v>1.52</v>
      </c>
      <c r="L4796">
        <v>3.5000000000000003E-2</v>
      </c>
      <c r="M4796">
        <v>1.1100000000000001</v>
      </c>
      <c r="N4796">
        <v>0.77</v>
      </c>
    </row>
    <row r="4797" spans="1:14" x14ac:dyDescent="0.25">
      <c r="A4797" t="s">
        <v>8699</v>
      </c>
      <c r="B4797" t="s">
        <v>8700</v>
      </c>
      <c r="C4797" s="1" t="str">
        <f>HYPERLINK("http://www.genecards.org/cgi-bin/carddisp.pl?gene=NRGN","GeneCards")</f>
        <v>GeneCards</v>
      </c>
      <c r="D4797" s="1" t="str">
        <f>HYPERLINK("http://genome-euro.ucsc.edu/cgi-bin/hgTracks?position=204081_at","UCSC")</f>
        <v>UCSC</v>
      </c>
      <c r="E4797" s="1" t="str">
        <f>HYPERLINK("http://www.ncbi.nlm.nih.gov/gene/?term=NRGN","NCBI")</f>
        <v>NCBI</v>
      </c>
      <c r="F4797">
        <v>4.1000000000000002E-2</v>
      </c>
      <c r="G4797">
        <v>0.15</v>
      </c>
      <c r="H4797" s="1" t="str">
        <f>HYPERLINK("http://www.weizmann.ac.il/complex/compphys/software/geview/data/figures/204081_at.png","Figure")</f>
        <v>Figure</v>
      </c>
      <c r="I4797">
        <v>1.21</v>
      </c>
      <c r="J4797">
        <v>0.41</v>
      </c>
      <c r="K4797">
        <v>1.43</v>
      </c>
      <c r="L4797">
        <v>3.3000000000000002E-2</v>
      </c>
      <c r="M4797">
        <v>1.18</v>
      </c>
      <c r="N4797">
        <v>0.44</v>
      </c>
    </row>
    <row r="4798" spans="1:14" x14ac:dyDescent="0.25">
      <c r="A4798" t="s">
        <v>8701</v>
      </c>
      <c r="B4798" t="s">
        <v>8702</v>
      </c>
      <c r="C4798" s="1" t="str">
        <f>HYPERLINK("http://www.genecards.org/cgi-bin/carddisp.pl?gene=SMPD2","GeneCards")</f>
        <v>GeneCards</v>
      </c>
      <c r="D4798" s="1" t="str">
        <f>HYPERLINK("http://genome-euro.ucsc.edu/cgi-bin/hgTracks?position=205622_at","UCSC")</f>
        <v>UCSC</v>
      </c>
      <c r="E4798" s="1" t="str">
        <f>HYPERLINK("http://www.ncbi.nlm.nih.gov/gene/?term=SMPD2","NCBI")</f>
        <v>NCBI</v>
      </c>
      <c r="F4798">
        <v>4.1000000000000002E-2</v>
      </c>
      <c r="G4798">
        <v>0.15</v>
      </c>
      <c r="H4798" s="1" t="str">
        <f>HYPERLINK("http://www.weizmann.ac.il/complex/compphys/software/geview/data/figures/205622_at.png","Figure")</f>
        <v>Figure</v>
      </c>
      <c r="I4798">
        <v>1.08</v>
      </c>
      <c r="J4798">
        <v>0.88</v>
      </c>
      <c r="K4798">
        <v>1.44</v>
      </c>
      <c r="L4798">
        <v>4.7E-2</v>
      </c>
      <c r="M4798">
        <v>1.34</v>
      </c>
      <c r="N4798">
        <v>0.15</v>
      </c>
    </row>
    <row r="4799" spans="1:14" x14ac:dyDescent="0.25">
      <c r="A4799" t="s">
        <v>8703</v>
      </c>
      <c r="B4799" t="s">
        <v>8704</v>
      </c>
      <c r="C4799" s="1" t="str">
        <f>HYPERLINK("http://www.genecards.org/cgi-bin/carddisp.pl?gene=SAA1 /// SAA2","GeneCards")</f>
        <v>GeneCards</v>
      </c>
      <c r="D4799" s="1" t="str">
        <f>HYPERLINK("http://genome-euro.ucsc.edu/cgi-bin/hgTracks?position=208607_s_at","UCSC")</f>
        <v>UCSC</v>
      </c>
      <c r="E4799" s="1" t="str">
        <f>HYPERLINK("http://www.ncbi.nlm.nih.gov/gene/?term=SAA1 /// SAA2","NCBI")</f>
        <v>NCBI</v>
      </c>
      <c r="F4799">
        <v>4.1000000000000002E-2</v>
      </c>
      <c r="G4799">
        <v>0.15</v>
      </c>
      <c r="H4799" s="1" t="str">
        <f>HYPERLINK("http://www.weizmann.ac.il/complex/compphys/software/geview/data/figures/208607_s_at.png","Figure")</f>
        <v>Figure</v>
      </c>
      <c r="I4799">
        <v>1.31</v>
      </c>
      <c r="J4799">
        <v>5.3999999999999999E-2</v>
      </c>
      <c r="K4799">
        <v>1.24</v>
      </c>
      <c r="L4799">
        <v>8.1000000000000003E-2</v>
      </c>
      <c r="M4799">
        <v>0.94699999999999995</v>
      </c>
      <c r="N4799">
        <v>0.84</v>
      </c>
    </row>
    <row r="4800" spans="1:14" x14ac:dyDescent="0.25">
      <c r="A4800" t="s">
        <v>8705</v>
      </c>
      <c r="B4800" t="s">
        <v>8706</v>
      </c>
      <c r="C4800" s="1" t="str">
        <f>HYPERLINK("http://www.genecards.org/cgi-bin/carddisp.pl?gene=FKSG49","GeneCards")</f>
        <v>GeneCards</v>
      </c>
      <c r="D4800" s="1" t="str">
        <f>HYPERLINK("http://genome-euro.ucsc.edu/cgi-bin/hgTracks?position=211454_x_at","UCSC")</f>
        <v>UCSC</v>
      </c>
      <c r="E4800" s="1" t="str">
        <f>HYPERLINK("http://www.ncbi.nlm.nih.gov/gene/?term=FKSG49","NCBI")</f>
        <v>NCBI</v>
      </c>
      <c r="F4800">
        <v>4.1000000000000002E-2</v>
      </c>
      <c r="G4800">
        <v>0.15</v>
      </c>
      <c r="H4800" s="1" t="str">
        <f>HYPERLINK("http://www.weizmann.ac.il/complex/compphys/software/geview/data/figures/211454_x_at.png","Figure")</f>
        <v>Figure</v>
      </c>
      <c r="I4800">
        <v>1.67</v>
      </c>
      <c r="J4800">
        <v>3.4000000000000002E-2</v>
      </c>
      <c r="K4800">
        <v>1.3</v>
      </c>
      <c r="L4800">
        <v>0.26</v>
      </c>
      <c r="M4800">
        <v>0.77500000000000002</v>
      </c>
      <c r="N4800">
        <v>0.31</v>
      </c>
    </row>
    <row r="4801" spans="1:14" x14ac:dyDescent="0.25">
      <c r="A4801" t="s">
        <v>8707</v>
      </c>
      <c r="B4801" t="s">
        <v>328</v>
      </c>
      <c r="C4801" s="1" t="str">
        <f>HYPERLINK("http://www.genecards.org/cgi-bin/carddisp.pl?gene=DIP2C","GeneCards")</f>
        <v>GeneCards</v>
      </c>
      <c r="D4801" s="1" t="str">
        <f>HYPERLINK("http://genome-euro.ucsc.edu/cgi-bin/hgTracks?position=212503_s_at","UCSC")</f>
        <v>UCSC</v>
      </c>
      <c r="E4801" s="1" t="str">
        <f>HYPERLINK("http://www.ncbi.nlm.nih.gov/gene/?term=DIP2C","NCBI")</f>
        <v>NCBI</v>
      </c>
      <c r="F4801">
        <v>4.1000000000000002E-2</v>
      </c>
      <c r="G4801">
        <v>0.15</v>
      </c>
      <c r="H4801" s="1" t="str">
        <f>HYPERLINK("http://www.weizmann.ac.il/complex/compphys/software/geview/data/figures/212503_s_at.png","Figure")</f>
        <v>Figure</v>
      </c>
      <c r="I4801">
        <v>1.64</v>
      </c>
      <c r="J4801">
        <v>5.7000000000000002E-2</v>
      </c>
      <c r="K4801">
        <v>1.04</v>
      </c>
      <c r="L4801">
        <v>0.97</v>
      </c>
      <c r="M4801">
        <v>0.63200000000000001</v>
      </c>
      <c r="N4801">
        <v>5.8999999999999997E-2</v>
      </c>
    </row>
    <row r="4802" spans="1:14" x14ac:dyDescent="0.25">
      <c r="A4802" t="s">
        <v>8708</v>
      </c>
      <c r="B4802" t="s">
        <v>8709</v>
      </c>
      <c r="C4802" s="1" t="str">
        <f>HYPERLINK("http://www.genecards.org/cgi-bin/carddisp.pl?gene=NAAA","GeneCards")</f>
        <v>GeneCards</v>
      </c>
      <c r="D4802" s="1" t="str">
        <f>HYPERLINK("http://genome-euro.ucsc.edu/cgi-bin/hgTracks?position=214765_s_at","UCSC")</f>
        <v>UCSC</v>
      </c>
      <c r="E4802" s="1" t="str">
        <f>HYPERLINK("http://www.ncbi.nlm.nih.gov/gene/?term=NAAA","NCBI")</f>
        <v>NCBI</v>
      </c>
      <c r="F4802">
        <v>4.1000000000000002E-2</v>
      </c>
      <c r="G4802">
        <v>0.15</v>
      </c>
      <c r="H4802" s="1" t="str">
        <f>HYPERLINK("http://www.weizmann.ac.il/complex/compphys/software/geview/data/figures/214765_s_at.png","Figure")</f>
        <v>Figure</v>
      </c>
      <c r="I4802">
        <v>0.78300000000000003</v>
      </c>
      <c r="J4802">
        <v>9.8000000000000004E-2</v>
      </c>
      <c r="K4802">
        <v>1.04</v>
      </c>
      <c r="L4802">
        <v>0.93</v>
      </c>
      <c r="M4802">
        <v>1.32</v>
      </c>
      <c r="N4802">
        <v>0.04</v>
      </c>
    </row>
    <row r="4803" spans="1:14" x14ac:dyDescent="0.25">
      <c r="A4803" t="s">
        <v>8710</v>
      </c>
      <c r="B4803" t="s">
        <v>8711</v>
      </c>
      <c r="C4803" s="1" t="str">
        <f>HYPERLINK("http://www.genecards.org/cgi-bin/carddisp.pl?gene=SRR","GeneCards")</f>
        <v>GeneCards</v>
      </c>
      <c r="D4803" s="1" t="str">
        <f>HYPERLINK("http://genome-euro.ucsc.edu/cgi-bin/hgTracks?position=219205_at","UCSC")</f>
        <v>UCSC</v>
      </c>
      <c r="E4803" s="1" t="str">
        <f>HYPERLINK("http://www.ncbi.nlm.nih.gov/gene/?term=SRR","NCBI")</f>
        <v>NCBI</v>
      </c>
      <c r="F4803">
        <v>4.1000000000000002E-2</v>
      </c>
      <c r="G4803">
        <v>0.15</v>
      </c>
      <c r="H4803" s="1" t="str">
        <f>HYPERLINK("http://www.weizmann.ac.il/complex/compphys/software/geview/data/figures/219205_at.png","Figure")</f>
        <v>Figure</v>
      </c>
      <c r="I4803">
        <v>0.92900000000000005</v>
      </c>
      <c r="J4803">
        <v>0.76</v>
      </c>
      <c r="K4803">
        <v>1.2</v>
      </c>
      <c r="L4803">
        <v>0.15</v>
      </c>
      <c r="M4803">
        <v>1.29</v>
      </c>
      <c r="N4803">
        <v>4.9000000000000002E-2</v>
      </c>
    </row>
    <row r="4804" spans="1:14" x14ac:dyDescent="0.25">
      <c r="A4804" t="s">
        <v>8712</v>
      </c>
      <c r="B4804" t="s">
        <v>8713</v>
      </c>
      <c r="C4804" s="1" t="str">
        <f>HYPERLINK("http://www.genecards.org/cgi-bin/carddisp.pl?gene=WDR44","GeneCards")</f>
        <v>GeneCards</v>
      </c>
      <c r="D4804" s="1" t="str">
        <f>HYPERLINK("http://genome-euro.ucsc.edu/cgi-bin/hgTracks?position=219297_at","UCSC")</f>
        <v>UCSC</v>
      </c>
      <c r="E4804" s="1" t="str">
        <f>HYPERLINK("http://www.ncbi.nlm.nih.gov/gene/?term=WDR44","NCBI")</f>
        <v>NCBI</v>
      </c>
      <c r="F4804">
        <v>4.1000000000000002E-2</v>
      </c>
      <c r="G4804">
        <v>0.15</v>
      </c>
      <c r="H4804" s="1" t="str">
        <f>HYPERLINK("http://www.weizmann.ac.il/complex/compphys/software/geview/data/figures/219297_at.png","Figure")</f>
        <v>Figure</v>
      </c>
      <c r="I4804">
        <v>0.42199999999999999</v>
      </c>
      <c r="J4804">
        <v>3.4000000000000002E-2</v>
      </c>
      <c r="K4804">
        <v>0.63400000000000001</v>
      </c>
      <c r="L4804">
        <v>0.23</v>
      </c>
      <c r="M4804">
        <v>1.5</v>
      </c>
      <c r="N4804">
        <v>0.35</v>
      </c>
    </row>
    <row r="4805" spans="1:14" x14ac:dyDescent="0.25">
      <c r="A4805" t="s">
        <v>8714</v>
      </c>
      <c r="B4805" t="s">
        <v>8715</v>
      </c>
      <c r="C4805" s="1" t="str">
        <f>HYPERLINK("http://www.genecards.org/cgi-bin/carddisp.pl?gene=CXXC4","GeneCards")</f>
        <v>GeneCards</v>
      </c>
      <c r="D4805" s="1" t="str">
        <f>HYPERLINK("http://genome-euro.ucsc.edu/cgi-bin/hgTracks?position=220277_at","UCSC")</f>
        <v>UCSC</v>
      </c>
      <c r="E4805" s="1" t="str">
        <f>HYPERLINK("http://www.ncbi.nlm.nih.gov/gene/?term=CXXC4","NCBI")</f>
        <v>NCBI</v>
      </c>
      <c r="F4805">
        <v>4.1000000000000002E-2</v>
      </c>
      <c r="G4805">
        <v>0.15</v>
      </c>
      <c r="H4805" s="1" t="str">
        <f>HYPERLINK("http://www.weizmann.ac.il/complex/compphys/software/geview/data/figures/220277_at.png","Figure")</f>
        <v>Figure</v>
      </c>
      <c r="I4805">
        <v>1.21</v>
      </c>
      <c r="J4805">
        <v>4.9000000000000002E-2</v>
      </c>
      <c r="K4805">
        <v>1.1599999999999999</v>
      </c>
      <c r="L4805">
        <v>9.4E-2</v>
      </c>
      <c r="M4805">
        <v>0.95299999999999996</v>
      </c>
      <c r="N4805">
        <v>0.76</v>
      </c>
    </row>
    <row r="4806" spans="1:14" x14ac:dyDescent="0.25">
      <c r="A4806" t="s">
        <v>8716</v>
      </c>
      <c r="B4806" t="s">
        <v>8717</v>
      </c>
      <c r="C4806" s="1" t="str">
        <f>HYPERLINK("http://www.genecards.org/cgi-bin/carddisp.pl?gene=MC3R","GeneCards")</f>
        <v>GeneCards</v>
      </c>
      <c r="D4806" s="1" t="str">
        <f>HYPERLINK("http://genome-euro.ucsc.edu/cgi-bin/hgTracks?position=221442_at","UCSC")</f>
        <v>UCSC</v>
      </c>
      <c r="E4806" s="1" t="str">
        <f>HYPERLINK("http://www.ncbi.nlm.nih.gov/gene/?term=MC3R","NCBI")</f>
        <v>NCBI</v>
      </c>
      <c r="F4806">
        <v>4.1000000000000002E-2</v>
      </c>
      <c r="G4806">
        <v>0.15</v>
      </c>
      <c r="H4806" s="1" t="str">
        <f>HYPERLINK("http://www.weizmann.ac.il/complex/compphys/software/geview/data/figures/221442_at.png","Figure")</f>
        <v>Figure</v>
      </c>
      <c r="I4806">
        <v>1.07</v>
      </c>
      <c r="J4806">
        <v>5.5E-2</v>
      </c>
      <c r="K4806">
        <v>1.05</v>
      </c>
      <c r="L4806">
        <v>7.9000000000000001E-2</v>
      </c>
      <c r="M4806">
        <v>0.98799999999999999</v>
      </c>
      <c r="N4806">
        <v>0.85</v>
      </c>
    </row>
    <row r="4807" spans="1:14" x14ac:dyDescent="0.25">
      <c r="A4807" t="s">
        <v>8718</v>
      </c>
      <c r="B4807" t="s">
        <v>556</v>
      </c>
      <c r="C4807" s="1" t="str">
        <f>HYPERLINK("http://www.genecards.org/cgi-bin/carddisp.pl?gene=SIAH1","GeneCards")</f>
        <v>GeneCards</v>
      </c>
      <c r="D4807" s="1" t="str">
        <f>HYPERLINK("http://genome-euro.ucsc.edu/cgi-bin/hgTracks?position=202980_s_at","UCSC")</f>
        <v>UCSC</v>
      </c>
      <c r="E4807" s="1" t="str">
        <f>HYPERLINK("http://www.ncbi.nlm.nih.gov/gene/?term=SIAH1","NCBI")</f>
        <v>NCBI</v>
      </c>
      <c r="F4807">
        <v>4.1000000000000002E-2</v>
      </c>
      <c r="G4807">
        <v>0.15</v>
      </c>
      <c r="H4807" s="1" t="str">
        <f>HYPERLINK("http://www.weizmann.ac.il/complex/compphys/software/geview/data/figures/202980_s_at.png","Figure")</f>
        <v>Figure</v>
      </c>
      <c r="I4807">
        <v>0.9</v>
      </c>
      <c r="J4807">
        <v>0.89</v>
      </c>
      <c r="K4807">
        <v>0.58899999999999997</v>
      </c>
      <c r="L4807">
        <v>4.7E-2</v>
      </c>
      <c r="M4807">
        <v>0.65400000000000003</v>
      </c>
      <c r="N4807">
        <v>0.15</v>
      </c>
    </row>
    <row r="4808" spans="1:14" x14ac:dyDescent="0.25">
      <c r="A4808" t="s">
        <v>8719</v>
      </c>
      <c r="B4808" t="s">
        <v>8720</v>
      </c>
      <c r="C4808" s="1" t="str">
        <f>HYPERLINK("http://www.genecards.org/cgi-bin/carddisp.pl?gene=LIG4","GeneCards")</f>
        <v>GeneCards</v>
      </c>
      <c r="D4808" s="1" t="str">
        <f>HYPERLINK("http://genome-euro.ucsc.edu/cgi-bin/hgTracks?position=206235_at","UCSC")</f>
        <v>UCSC</v>
      </c>
      <c r="E4808" s="1" t="str">
        <f>HYPERLINK("http://www.ncbi.nlm.nih.gov/gene/?term=LIG4","NCBI")</f>
        <v>NCBI</v>
      </c>
      <c r="F4808">
        <v>4.1000000000000002E-2</v>
      </c>
      <c r="G4808">
        <v>0.15</v>
      </c>
      <c r="H4808" s="1" t="str">
        <f>HYPERLINK("http://www.weizmann.ac.il/complex/compphys/software/geview/data/figures/206235_at.png","Figure")</f>
        <v>Figure</v>
      </c>
      <c r="I4808">
        <v>1.17</v>
      </c>
      <c r="J4808">
        <v>0.49</v>
      </c>
      <c r="K4808">
        <v>0.81799999999999995</v>
      </c>
      <c r="L4808">
        <v>0.26</v>
      </c>
      <c r="M4808">
        <v>0.69599999999999995</v>
      </c>
      <c r="N4808">
        <v>3.7999999999999999E-2</v>
      </c>
    </row>
    <row r="4809" spans="1:14" x14ac:dyDescent="0.25">
      <c r="A4809" t="s">
        <v>8721</v>
      </c>
      <c r="B4809" t="s">
        <v>8722</v>
      </c>
      <c r="C4809" s="1" t="str">
        <f>HYPERLINK("http://www.genecards.org/cgi-bin/carddisp.pl?gene=INTS7","GeneCards")</f>
        <v>GeneCards</v>
      </c>
      <c r="D4809" s="1" t="str">
        <f>HYPERLINK("http://genome-euro.ucsc.edu/cgi-bin/hgTracks?position=222250_s_at","UCSC")</f>
        <v>UCSC</v>
      </c>
      <c r="E4809" s="1" t="str">
        <f>HYPERLINK("http://www.ncbi.nlm.nih.gov/gene/?term=INTS7","NCBI")</f>
        <v>NCBI</v>
      </c>
      <c r="F4809">
        <v>4.1000000000000002E-2</v>
      </c>
      <c r="G4809">
        <v>0.15</v>
      </c>
      <c r="H4809" s="1" t="str">
        <f>HYPERLINK("http://www.weizmann.ac.il/complex/compphys/software/geview/data/figures/222250_s_at.png","Figure")</f>
        <v>Figure</v>
      </c>
      <c r="I4809">
        <v>1.47</v>
      </c>
      <c r="J4809">
        <v>8.2000000000000003E-2</v>
      </c>
      <c r="K4809">
        <v>1.44</v>
      </c>
      <c r="L4809">
        <v>5.3999999999999999E-2</v>
      </c>
      <c r="M4809">
        <v>0.98399999999999999</v>
      </c>
      <c r="N4809">
        <v>0.99</v>
      </c>
    </row>
    <row r="4810" spans="1:14" x14ac:dyDescent="0.25">
      <c r="A4810" t="s">
        <v>8723</v>
      </c>
      <c r="B4810" t="s">
        <v>2858</v>
      </c>
      <c r="C4810" s="1" t="str">
        <f>HYPERLINK("http://www.genecards.org/cgi-bin/carddisp.pl?gene=ID2","GeneCards")</f>
        <v>GeneCards</v>
      </c>
      <c r="D4810" s="1" t="str">
        <f>HYPERLINK("http://genome-euro.ucsc.edu/cgi-bin/hgTracks?position=201566_x_at","UCSC")</f>
        <v>UCSC</v>
      </c>
      <c r="E4810" s="1" t="str">
        <f>HYPERLINK("http://www.ncbi.nlm.nih.gov/gene/?term=ID2","NCBI")</f>
        <v>NCBI</v>
      </c>
      <c r="F4810">
        <v>4.2000000000000003E-2</v>
      </c>
      <c r="G4810">
        <v>0.15</v>
      </c>
      <c r="H4810" s="1" t="str">
        <f>HYPERLINK("http://www.weizmann.ac.il/complex/compphys/software/geview/data/figures/201566_x_at.png","Figure")</f>
        <v>Figure</v>
      </c>
      <c r="I4810">
        <v>0.432</v>
      </c>
      <c r="J4810">
        <v>0.04</v>
      </c>
      <c r="K4810">
        <v>0.57599999999999996</v>
      </c>
      <c r="L4810">
        <v>0.13</v>
      </c>
      <c r="M4810">
        <v>1.33</v>
      </c>
      <c r="N4810">
        <v>0.57999999999999996</v>
      </c>
    </row>
    <row r="4811" spans="1:14" x14ac:dyDescent="0.25">
      <c r="A4811" t="s">
        <v>8724</v>
      </c>
      <c r="B4811" t="s">
        <v>8725</v>
      </c>
      <c r="C4811" s="1" t="str">
        <f>HYPERLINK("http://www.genecards.org/cgi-bin/carddisp.pl?gene=FAIM","GeneCards")</f>
        <v>GeneCards</v>
      </c>
      <c r="D4811" s="1" t="str">
        <f>HYPERLINK("http://genome-euro.ucsc.edu/cgi-bin/hgTracks?position=220643_s_at","UCSC")</f>
        <v>UCSC</v>
      </c>
      <c r="E4811" s="1" t="str">
        <f>HYPERLINK("http://www.ncbi.nlm.nih.gov/gene/?term=FAIM","NCBI")</f>
        <v>NCBI</v>
      </c>
      <c r="F4811">
        <v>4.2000000000000003E-2</v>
      </c>
      <c r="G4811">
        <v>0.15</v>
      </c>
      <c r="H4811" s="1" t="str">
        <f>HYPERLINK("http://www.weizmann.ac.il/complex/compphys/software/geview/data/figures/220643_s_at.png","Figure")</f>
        <v>Figure</v>
      </c>
      <c r="I4811">
        <v>1.1499999999999999</v>
      </c>
      <c r="J4811">
        <v>0.71</v>
      </c>
      <c r="K4811">
        <v>1.5</v>
      </c>
      <c r="L4811">
        <v>3.9E-2</v>
      </c>
      <c r="M4811">
        <v>1.31</v>
      </c>
      <c r="N4811">
        <v>0.23</v>
      </c>
    </row>
    <row r="4812" spans="1:14" x14ac:dyDescent="0.25">
      <c r="A4812" t="s">
        <v>8726</v>
      </c>
      <c r="B4812" t="s">
        <v>8727</v>
      </c>
      <c r="C4812" s="1" t="str">
        <f>HYPERLINK("http://www.genecards.org/cgi-bin/carddisp.pl?gene=P4HTM","GeneCards")</f>
        <v>GeneCards</v>
      </c>
      <c r="D4812" s="1" t="str">
        <f>HYPERLINK("http://genome-euro.ucsc.edu/cgi-bin/hgTracks?position=222125_s_at","UCSC")</f>
        <v>UCSC</v>
      </c>
      <c r="E4812" s="1" t="str">
        <f>HYPERLINK("http://www.ncbi.nlm.nih.gov/gene/?term=P4HTM","NCBI")</f>
        <v>NCBI</v>
      </c>
      <c r="F4812">
        <v>4.2000000000000003E-2</v>
      </c>
      <c r="G4812">
        <v>0.15</v>
      </c>
      <c r="H4812" s="1" t="str">
        <f>HYPERLINK("http://www.weizmann.ac.il/complex/compphys/software/geview/data/figures/222125_s_at.png","Figure")</f>
        <v>Figure</v>
      </c>
      <c r="I4812">
        <v>1.1399999999999999</v>
      </c>
      <c r="J4812">
        <v>0.35</v>
      </c>
      <c r="K4812">
        <v>1.26</v>
      </c>
      <c r="L4812">
        <v>3.3000000000000002E-2</v>
      </c>
      <c r="M4812">
        <v>1.1000000000000001</v>
      </c>
      <c r="N4812">
        <v>0.51</v>
      </c>
    </row>
    <row r="4813" spans="1:14" x14ac:dyDescent="0.25">
      <c r="A4813" t="s">
        <v>8728</v>
      </c>
      <c r="B4813" t="s">
        <v>8729</v>
      </c>
      <c r="C4813" s="1" t="str">
        <f>HYPERLINK("http://www.genecards.org/cgi-bin/carddisp.pl?gene=PICK1","GeneCards")</f>
        <v>GeneCards</v>
      </c>
      <c r="D4813" s="1" t="str">
        <f>HYPERLINK("http://genome-euro.ucsc.edu/cgi-bin/hgTracks?position=204746_s_at","UCSC")</f>
        <v>UCSC</v>
      </c>
      <c r="E4813" s="1" t="str">
        <f>HYPERLINK("http://www.ncbi.nlm.nih.gov/gene/?term=PICK1","NCBI")</f>
        <v>NCBI</v>
      </c>
      <c r="F4813">
        <v>4.2000000000000003E-2</v>
      </c>
      <c r="G4813">
        <v>0.15</v>
      </c>
      <c r="H4813" s="1" t="str">
        <f>HYPERLINK("http://www.weizmann.ac.il/complex/compphys/software/geview/data/figures/204746_s_at.png","Figure")</f>
        <v>Figure</v>
      </c>
      <c r="I4813">
        <v>1.2</v>
      </c>
      <c r="J4813">
        <v>0.06</v>
      </c>
      <c r="K4813">
        <v>1.01</v>
      </c>
      <c r="L4813">
        <v>0.99</v>
      </c>
      <c r="M4813">
        <v>0.83799999999999997</v>
      </c>
      <c r="N4813">
        <v>5.6000000000000001E-2</v>
      </c>
    </row>
    <row r="4814" spans="1:14" x14ac:dyDescent="0.25">
      <c r="A4814" t="s">
        <v>8730</v>
      </c>
      <c r="B4814" t="s">
        <v>5974</v>
      </c>
      <c r="C4814" s="1" t="str">
        <f>HYPERLINK("http://www.genecards.org/cgi-bin/carddisp.pl?gene=NKTR","GeneCards")</f>
        <v>GeneCards</v>
      </c>
      <c r="D4814" s="1" t="str">
        <f>HYPERLINK("http://genome-euro.ucsc.edu/cgi-bin/hgTracks?position=202380_s_at","UCSC")</f>
        <v>UCSC</v>
      </c>
      <c r="E4814" s="1" t="str">
        <f>HYPERLINK("http://www.ncbi.nlm.nih.gov/gene/?term=NKTR","NCBI")</f>
        <v>NCBI</v>
      </c>
      <c r="F4814">
        <v>4.2000000000000003E-2</v>
      </c>
      <c r="G4814">
        <v>0.15</v>
      </c>
      <c r="H4814" s="1" t="str">
        <f>HYPERLINK("http://www.weizmann.ac.il/complex/compphys/software/geview/data/figures/202380_s_at.png","Figure")</f>
        <v>Figure</v>
      </c>
      <c r="I4814">
        <v>1.33</v>
      </c>
      <c r="J4814">
        <v>0.18</v>
      </c>
      <c r="K4814">
        <v>0.89400000000000002</v>
      </c>
      <c r="L4814">
        <v>0.67</v>
      </c>
      <c r="M4814">
        <v>0.67400000000000004</v>
      </c>
      <c r="N4814">
        <v>3.4000000000000002E-2</v>
      </c>
    </row>
    <row r="4815" spans="1:14" x14ac:dyDescent="0.25">
      <c r="A4815" t="s">
        <v>8731</v>
      </c>
      <c r="B4815" t="s">
        <v>8732</v>
      </c>
      <c r="C4815" s="1" t="str">
        <f>HYPERLINK("http://www.genecards.org/cgi-bin/carddisp.pl?gene=CFB","GeneCards")</f>
        <v>GeneCards</v>
      </c>
      <c r="D4815" s="1" t="str">
        <f>HYPERLINK("http://genome-euro.ucsc.edu/cgi-bin/hgTracks?position=211920_at","UCSC")</f>
        <v>UCSC</v>
      </c>
      <c r="E4815" s="1" t="str">
        <f>HYPERLINK("http://www.ncbi.nlm.nih.gov/gene/?term=CFB","NCBI")</f>
        <v>NCBI</v>
      </c>
      <c r="F4815">
        <v>4.2000000000000003E-2</v>
      </c>
      <c r="G4815">
        <v>0.15</v>
      </c>
      <c r="H4815" s="1" t="str">
        <f>HYPERLINK("http://www.weizmann.ac.il/complex/compphys/software/geview/data/figures/211920_at.png","Figure")</f>
        <v>Figure</v>
      </c>
      <c r="I4815">
        <v>1.57</v>
      </c>
      <c r="J4815">
        <v>3.3000000000000002E-2</v>
      </c>
      <c r="K4815">
        <v>1.23</v>
      </c>
      <c r="L4815">
        <v>0.31</v>
      </c>
      <c r="M4815">
        <v>0.78500000000000003</v>
      </c>
      <c r="N4815">
        <v>0.26</v>
      </c>
    </row>
    <row r="4816" spans="1:14" x14ac:dyDescent="0.25">
      <c r="A4816" t="s">
        <v>8733</v>
      </c>
      <c r="B4816" t="s">
        <v>8734</v>
      </c>
      <c r="C4816" s="1" t="str">
        <f>HYPERLINK("http://www.genecards.org/cgi-bin/carddisp.pl?gene=ARR3","GeneCards")</f>
        <v>GeneCards</v>
      </c>
      <c r="D4816" s="1" t="str">
        <f>HYPERLINK("http://genome-euro.ucsc.edu/cgi-bin/hgTracks?position=207136_at","UCSC")</f>
        <v>UCSC</v>
      </c>
      <c r="E4816" s="1" t="str">
        <f>HYPERLINK("http://www.ncbi.nlm.nih.gov/gene/?term=ARR3","NCBI")</f>
        <v>NCBI</v>
      </c>
      <c r="F4816">
        <v>4.2000000000000003E-2</v>
      </c>
      <c r="G4816">
        <v>0.15</v>
      </c>
      <c r="H4816" s="1" t="str">
        <f>HYPERLINK("http://www.weizmann.ac.il/complex/compphys/software/geview/data/figures/207136_at.png","Figure")</f>
        <v>Figure</v>
      </c>
      <c r="I4816">
        <v>1.19</v>
      </c>
      <c r="J4816">
        <v>7.0000000000000007E-2</v>
      </c>
      <c r="K4816">
        <v>0.999</v>
      </c>
      <c r="L4816">
        <v>1</v>
      </c>
      <c r="M4816">
        <v>0.83799999999999997</v>
      </c>
      <c r="N4816">
        <v>4.9000000000000002E-2</v>
      </c>
    </row>
    <row r="4817" spans="1:14" x14ac:dyDescent="0.25">
      <c r="A4817" t="s">
        <v>8735</v>
      </c>
      <c r="B4817" t="s">
        <v>8736</v>
      </c>
      <c r="C4817" s="1" t="str">
        <f>HYPERLINK("http://www.genecards.org/cgi-bin/carddisp.pl?gene=EZR","GeneCards")</f>
        <v>GeneCards</v>
      </c>
      <c r="D4817" s="1" t="str">
        <f>HYPERLINK("http://genome-euro.ucsc.edu/cgi-bin/hgTracks?position=208623_s_at","UCSC")</f>
        <v>UCSC</v>
      </c>
      <c r="E4817" s="1" t="str">
        <f>HYPERLINK("http://www.ncbi.nlm.nih.gov/gene/?term=EZR","NCBI")</f>
        <v>NCBI</v>
      </c>
      <c r="F4817">
        <v>4.2000000000000003E-2</v>
      </c>
      <c r="G4817">
        <v>0.15</v>
      </c>
      <c r="H4817" s="1" t="str">
        <f>HYPERLINK("http://www.weizmann.ac.il/complex/compphys/software/geview/data/figures/208623_s_at.png","Figure")</f>
        <v>Figure</v>
      </c>
      <c r="I4817">
        <v>2.09</v>
      </c>
      <c r="J4817">
        <v>8.8999999999999996E-2</v>
      </c>
      <c r="K4817">
        <v>2.08</v>
      </c>
      <c r="L4817">
        <v>5.0999999999999997E-2</v>
      </c>
      <c r="M4817">
        <v>0.99199999999999999</v>
      </c>
      <c r="N4817">
        <v>1</v>
      </c>
    </row>
    <row r="4818" spans="1:14" x14ac:dyDescent="0.25">
      <c r="A4818" t="s">
        <v>8737</v>
      </c>
      <c r="B4818" t="s">
        <v>8738</v>
      </c>
      <c r="C4818" s="1" t="str">
        <f>HYPERLINK("http://www.genecards.org/cgi-bin/carddisp.pl?gene=TBXAS1","GeneCards")</f>
        <v>GeneCards</v>
      </c>
      <c r="D4818" s="1" t="str">
        <f>HYPERLINK("http://genome-euro.ucsc.edu/cgi-bin/hgTracks?position=208130_s_at","UCSC")</f>
        <v>UCSC</v>
      </c>
      <c r="E4818" s="1" t="str">
        <f>HYPERLINK("http://www.ncbi.nlm.nih.gov/gene/?term=TBXAS1","NCBI")</f>
        <v>NCBI</v>
      </c>
      <c r="F4818">
        <v>4.2000000000000003E-2</v>
      </c>
      <c r="G4818">
        <v>0.15</v>
      </c>
      <c r="H4818" s="1" t="str">
        <f>HYPERLINK("http://www.weizmann.ac.il/complex/compphys/software/geview/data/figures/208130_s_at.png","Figure")</f>
        <v>Figure</v>
      </c>
      <c r="I4818">
        <v>0.85799999999999998</v>
      </c>
      <c r="J4818">
        <v>9.7000000000000003E-2</v>
      </c>
      <c r="K4818">
        <v>1.02</v>
      </c>
      <c r="L4818">
        <v>0.94</v>
      </c>
      <c r="M4818">
        <v>1.19</v>
      </c>
      <c r="N4818">
        <v>4.1000000000000002E-2</v>
      </c>
    </row>
    <row r="4819" spans="1:14" x14ac:dyDescent="0.25">
      <c r="A4819" t="s">
        <v>8739</v>
      </c>
      <c r="B4819" t="s">
        <v>8740</v>
      </c>
      <c r="C4819" s="1" t="str">
        <f>HYPERLINK("http://www.genecards.org/cgi-bin/carddisp.pl?gene=ITFG1","GeneCards")</f>
        <v>GeneCards</v>
      </c>
      <c r="D4819" s="1" t="str">
        <f>HYPERLINK("http://genome-euro.ucsc.edu/cgi-bin/hgTracks?position=221449_s_at","UCSC")</f>
        <v>UCSC</v>
      </c>
      <c r="E4819" s="1" t="str">
        <f>HYPERLINK("http://www.ncbi.nlm.nih.gov/gene/?term=ITFG1","NCBI")</f>
        <v>NCBI</v>
      </c>
      <c r="F4819">
        <v>4.2000000000000003E-2</v>
      </c>
      <c r="G4819">
        <v>0.15</v>
      </c>
      <c r="H4819" s="1" t="str">
        <f>HYPERLINK("http://www.weizmann.ac.il/complex/compphys/software/geview/data/figures/221449_s_at.png","Figure")</f>
        <v>Figure</v>
      </c>
      <c r="I4819">
        <v>0.80200000000000005</v>
      </c>
      <c r="J4819">
        <v>0.21</v>
      </c>
      <c r="K4819">
        <v>1.1100000000000001</v>
      </c>
      <c r="L4819">
        <v>0.57999999999999996</v>
      </c>
      <c r="M4819">
        <v>1.39</v>
      </c>
      <c r="N4819">
        <v>3.3000000000000002E-2</v>
      </c>
    </row>
    <row r="4820" spans="1:14" x14ac:dyDescent="0.25">
      <c r="A4820" t="s">
        <v>8741</v>
      </c>
      <c r="B4820" t="s">
        <v>6369</v>
      </c>
      <c r="C4820" s="1" t="str">
        <f>HYPERLINK("http://www.genecards.org/cgi-bin/carddisp.pl?gene=SECISBP2L","GeneCards")</f>
        <v>GeneCards</v>
      </c>
      <c r="D4820" s="1" t="str">
        <f>HYPERLINK("http://genome-euro.ucsc.edu/cgi-bin/hgTracks?position=212451_at","UCSC")</f>
        <v>UCSC</v>
      </c>
      <c r="E4820" s="1" t="str">
        <f>HYPERLINK("http://www.ncbi.nlm.nih.gov/gene/?term=SECISBP2L","NCBI")</f>
        <v>NCBI</v>
      </c>
      <c r="F4820">
        <v>4.2000000000000003E-2</v>
      </c>
      <c r="G4820">
        <v>0.15</v>
      </c>
      <c r="H4820" s="1" t="str">
        <f>HYPERLINK("http://www.weizmann.ac.il/complex/compphys/software/geview/data/figures/212451_at.png","Figure")</f>
        <v>Figure</v>
      </c>
      <c r="I4820">
        <v>0.70099999999999996</v>
      </c>
      <c r="J4820">
        <v>0.45</v>
      </c>
      <c r="K4820">
        <v>0.49099999999999999</v>
      </c>
      <c r="L4820">
        <v>3.4000000000000002E-2</v>
      </c>
      <c r="M4820">
        <v>0.7</v>
      </c>
      <c r="N4820">
        <v>0.4</v>
      </c>
    </row>
    <row r="4821" spans="1:14" x14ac:dyDescent="0.25">
      <c r="A4821" t="s">
        <v>8742</v>
      </c>
      <c r="B4821" t="s">
        <v>8743</v>
      </c>
      <c r="C4821" s="1" t="str">
        <f>HYPERLINK("http://www.genecards.org/cgi-bin/carddisp.pl?gene=ABHD6","GeneCards")</f>
        <v>GeneCards</v>
      </c>
      <c r="D4821" s="1" t="str">
        <f>HYPERLINK("http://genome-euro.ucsc.edu/cgi-bin/hgTracks?position=221552_at","UCSC")</f>
        <v>UCSC</v>
      </c>
      <c r="E4821" s="1" t="str">
        <f>HYPERLINK("http://www.ncbi.nlm.nih.gov/gene/?term=ABHD6","NCBI")</f>
        <v>NCBI</v>
      </c>
      <c r="F4821">
        <v>4.2000000000000003E-2</v>
      </c>
      <c r="G4821">
        <v>0.15</v>
      </c>
      <c r="H4821" s="1" t="str">
        <f>HYPERLINK("http://www.weizmann.ac.il/complex/compphys/software/geview/data/figures/221552_at.png","Figure")</f>
        <v>Figure</v>
      </c>
      <c r="I4821">
        <v>1.1299999999999999</v>
      </c>
      <c r="J4821">
        <v>3.5999999999999997E-2</v>
      </c>
      <c r="K4821">
        <v>1.04</v>
      </c>
      <c r="L4821">
        <v>0.56999999999999995</v>
      </c>
      <c r="M4821">
        <v>0.91900000000000004</v>
      </c>
      <c r="N4821">
        <v>0.14000000000000001</v>
      </c>
    </row>
    <row r="4822" spans="1:14" x14ac:dyDescent="0.25">
      <c r="A4822" t="s">
        <v>8744</v>
      </c>
      <c r="B4822" t="s">
        <v>3712</v>
      </c>
      <c r="C4822" s="1" t="str">
        <f>HYPERLINK("http://www.genecards.org/cgi-bin/carddisp.pl?gene=RRP7A","GeneCards")</f>
        <v>GeneCards</v>
      </c>
      <c r="D4822" s="1" t="str">
        <f>HYPERLINK("http://genome-euro.ucsc.edu/cgi-bin/hgTracks?position=33307_at","UCSC")</f>
        <v>UCSC</v>
      </c>
      <c r="E4822" s="1" t="str">
        <f>HYPERLINK("http://www.ncbi.nlm.nih.gov/gene/?term=RRP7A","NCBI")</f>
        <v>NCBI</v>
      </c>
      <c r="F4822">
        <v>4.2000000000000003E-2</v>
      </c>
      <c r="G4822">
        <v>0.15</v>
      </c>
      <c r="H4822" s="1" t="str">
        <f>HYPERLINK("http://www.weizmann.ac.il/complex/compphys/software/geview/data/figures/33307_at.png","Figure")</f>
        <v>Figure</v>
      </c>
      <c r="I4822">
        <v>0.98499999999999999</v>
      </c>
      <c r="J4822">
        <v>0.99</v>
      </c>
      <c r="K4822">
        <v>1.22</v>
      </c>
      <c r="L4822">
        <v>0.08</v>
      </c>
      <c r="M4822">
        <v>1.24</v>
      </c>
      <c r="N4822">
        <v>7.8E-2</v>
      </c>
    </row>
    <row r="4823" spans="1:14" x14ac:dyDescent="0.25">
      <c r="A4823" t="s">
        <v>8745</v>
      </c>
      <c r="B4823" t="s">
        <v>8746</v>
      </c>
      <c r="C4823" s="1" t="str">
        <f>HYPERLINK("http://www.genecards.org/cgi-bin/carddisp.pl?gene=POLR2K","GeneCards")</f>
        <v>GeneCards</v>
      </c>
      <c r="D4823" s="1" t="str">
        <f>HYPERLINK("http://genome-euro.ucsc.edu/cgi-bin/hgTracks?position=202634_at","UCSC")</f>
        <v>UCSC</v>
      </c>
      <c r="E4823" s="1" t="str">
        <f>HYPERLINK("http://www.ncbi.nlm.nih.gov/gene/?term=POLR2K","NCBI")</f>
        <v>NCBI</v>
      </c>
      <c r="F4823">
        <v>4.2000000000000003E-2</v>
      </c>
      <c r="G4823">
        <v>0.15</v>
      </c>
      <c r="H4823" s="1" t="str">
        <f>HYPERLINK("http://www.weizmann.ac.il/complex/compphys/software/geview/data/figures/202634_at.png","Figure")</f>
        <v>Figure</v>
      </c>
      <c r="I4823">
        <v>0.68500000000000005</v>
      </c>
      <c r="J4823">
        <v>4.8000000000000001E-2</v>
      </c>
      <c r="K4823">
        <v>0.94599999999999995</v>
      </c>
      <c r="L4823">
        <v>0.9</v>
      </c>
      <c r="M4823">
        <v>1.38</v>
      </c>
      <c r="N4823">
        <v>7.2999999999999995E-2</v>
      </c>
    </row>
    <row r="4824" spans="1:14" x14ac:dyDescent="0.25">
      <c r="A4824" t="s">
        <v>8747</v>
      </c>
      <c r="B4824" t="s">
        <v>8748</v>
      </c>
      <c r="C4824" s="1" t="str">
        <f>HYPERLINK("http://www.genecards.org/cgi-bin/carddisp.pl?gene=ARSD","GeneCards")</f>
        <v>GeneCards</v>
      </c>
      <c r="D4824" s="1" t="str">
        <f>HYPERLINK("http://genome-euro.ucsc.edu/cgi-bin/hgTracks?position=206831_s_at","UCSC")</f>
        <v>UCSC</v>
      </c>
      <c r="E4824" s="1" t="str">
        <f>HYPERLINK("http://www.ncbi.nlm.nih.gov/gene/?term=ARSD","NCBI")</f>
        <v>NCBI</v>
      </c>
      <c r="F4824">
        <v>4.2000000000000003E-2</v>
      </c>
      <c r="G4824">
        <v>0.15</v>
      </c>
      <c r="H4824" s="1" t="str">
        <f>HYPERLINK("http://www.weizmann.ac.il/complex/compphys/software/geview/data/figures/206831_s_at.png","Figure")</f>
        <v>Figure</v>
      </c>
      <c r="I4824">
        <v>0.83899999999999997</v>
      </c>
      <c r="J4824">
        <v>0.15</v>
      </c>
      <c r="K4824">
        <v>1.06</v>
      </c>
      <c r="L4824">
        <v>0.74</v>
      </c>
      <c r="M4824">
        <v>1.26</v>
      </c>
      <c r="N4824">
        <v>3.5000000000000003E-2</v>
      </c>
    </row>
    <row r="4825" spans="1:14" x14ac:dyDescent="0.25">
      <c r="A4825" t="s">
        <v>8749</v>
      </c>
      <c r="B4825" t="s">
        <v>8750</v>
      </c>
      <c r="C4825" s="1" t="str">
        <f>HYPERLINK("http://www.genecards.org/cgi-bin/carddisp.pl?gene=KIAA0894","GeneCards")</f>
        <v>GeneCards</v>
      </c>
      <c r="D4825" s="1" t="str">
        <f>HYPERLINK("http://genome-euro.ucsc.edu/cgi-bin/hgTracks?position=207436_x_at","UCSC")</f>
        <v>UCSC</v>
      </c>
      <c r="E4825" s="1" t="str">
        <f>HYPERLINK("http://www.ncbi.nlm.nih.gov/gene/?term=KIAA0894","NCBI")</f>
        <v>NCBI</v>
      </c>
      <c r="F4825">
        <v>4.2000000000000003E-2</v>
      </c>
      <c r="G4825">
        <v>0.15</v>
      </c>
      <c r="H4825" s="1" t="str">
        <f>HYPERLINK("http://www.weizmann.ac.il/complex/compphys/software/geview/data/figures/207436_x_at.png","Figure")</f>
        <v>Figure</v>
      </c>
      <c r="I4825">
        <v>1.67</v>
      </c>
      <c r="J4825">
        <v>3.7999999999999999E-2</v>
      </c>
      <c r="K4825">
        <v>1.1499999999999999</v>
      </c>
      <c r="L4825">
        <v>0.65</v>
      </c>
      <c r="M4825">
        <v>0.69299999999999995</v>
      </c>
      <c r="N4825">
        <v>0.12</v>
      </c>
    </row>
    <row r="4826" spans="1:14" x14ac:dyDescent="0.25">
      <c r="A4826" t="s">
        <v>8751</v>
      </c>
      <c r="B4826" t="s">
        <v>8752</v>
      </c>
      <c r="C4826" s="1" t="str">
        <f>HYPERLINK("http://www.genecards.org/cgi-bin/carddisp.pl?gene=RBM39","GeneCards")</f>
        <v>GeneCards</v>
      </c>
      <c r="D4826" s="1" t="str">
        <f>HYPERLINK("http://genome-euro.ucsc.edu/cgi-bin/hgTracks?position=208720_s_at","UCSC")</f>
        <v>UCSC</v>
      </c>
      <c r="E4826" s="1" t="str">
        <f>HYPERLINK("http://www.ncbi.nlm.nih.gov/gene/?term=RBM39","NCBI")</f>
        <v>NCBI</v>
      </c>
      <c r="F4826">
        <v>4.2000000000000003E-2</v>
      </c>
      <c r="G4826">
        <v>0.15</v>
      </c>
      <c r="H4826" s="1" t="str">
        <f>HYPERLINK("http://www.weizmann.ac.il/complex/compphys/software/geview/data/figures/208720_s_at.png","Figure")</f>
        <v>Figure</v>
      </c>
      <c r="I4826">
        <v>0.97199999999999998</v>
      </c>
      <c r="J4826">
        <v>0.99</v>
      </c>
      <c r="K4826">
        <v>0.6</v>
      </c>
      <c r="L4826">
        <v>6.2E-2</v>
      </c>
      <c r="M4826">
        <v>0.61799999999999999</v>
      </c>
      <c r="N4826">
        <v>0.1</v>
      </c>
    </row>
    <row r="4827" spans="1:14" x14ac:dyDescent="0.25">
      <c r="A4827" t="s">
        <v>8753</v>
      </c>
      <c r="B4827" t="s">
        <v>3791</v>
      </c>
      <c r="C4827" s="1" t="str">
        <f>HYPERLINK("http://www.genecards.org/cgi-bin/carddisp.pl?gene=ENDOD1","GeneCards")</f>
        <v>GeneCards</v>
      </c>
      <c r="D4827" s="1" t="str">
        <f>HYPERLINK("http://genome-euro.ucsc.edu/cgi-bin/hgTracks?position=212570_at","UCSC")</f>
        <v>UCSC</v>
      </c>
      <c r="E4827" s="1" t="str">
        <f>HYPERLINK("http://www.ncbi.nlm.nih.gov/gene/?term=ENDOD1","NCBI")</f>
        <v>NCBI</v>
      </c>
      <c r="F4827">
        <v>4.2000000000000003E-2</v>
      </c>
      <c r="G4827">
        <v>0.15</v>
      </c>
      <c r="H4827" s="1" t="str">
        <f>HYPERLINK("http://www.weizmann.ac.il/complex/compphys/software/geview/data/figures/212570_at.png","Figure")</f>
        <v>Figure</v>
      </c>
      <c r="I4827">
        <v>1.47</v>
      </c>
      <c r="J4827">
        <v>7.9000000000000001E-2</v>
      </c>
      <c r="K4827">
        <v>1.44</v>
      </c>
      <c r="L4827">
        <v>5.6000000000000001E-2</v>
      </c>
      <c r="M4827">
        <v>0.97899999999999998</v>
      </c>
      <c r="N4827">
        <v>0.99</v>
      </c>
    </row>
    <row r="4828" spans="1:14" x14ac:dyDescent="0.25">
      <c r="A4828" t="s">
        <v>8754</v>
      </c>
      <c r="B4828" t="s">
        <v>444</v>
      </c>
      <c r="C4828" s="1" t="str">
        <f>HYPERLINK("http://www.genecards.org/cgi-bin/carddisp.pl?gene=TSPAN9","GeneCards")</f>
        <v>GeneCards</v>
      </c>
      <c r="D4828" s="1" t="str">
        <f>HYPERLINK("http://genome-euro.ucsc.edu/cgi-bin/hgTracks?position=205665_at","UCSC")</f>
        <v>UCSC</v>
      </c>
      <c r="E4828" s="1" t="str">
        <f>HYPERLINK("http://www.ncbi.nlm.nih.gov/gene/?term=TSPAN9","NCBI")</f>
        <v>NCBI</v>
      </c>
      <c r="F4828">
        <v>4.2000000000000003E-2</v>
      </c>
      <c r="G4828">
        <v>0.15</v>
      </c>
      <c r="H4828" s="1" t="str">
        <f>HYPERLINK("http://www.weizmann.ac.il/complex/compphys/software/geview/data/figures/205665_at.png","Figure")</f>
        <v>Figure</v>
      </c>
      <c r="I4828">
        <v>1.1599999999999999</v>
      </c>
      <c r="J4828">
        <v>3.6999999999999998E-2</v>
      </c>
      <c r="K4828">
        <v>1.0900000000000001</v>
      </c>
      <c r="L4828">
        <v>0.18</v>
      </c>
      <c r="M4828">
        <v>0.94</v>
      </c>
      <c r="N4828">
        <v>0.46</v>
      </c>
    </row>
    <row r="4829" spans="1:14" x14ac:dyDescent="0.25">
      <c r="A4829" t="s">
        <v>8755</v>
      </c>
      <c r="B4829" t="s">
        <v>8756</v>
      </c>
      <c r="C4829" s="1" t="str">
        <f>HYPERLINK("http://www.genecards.org/cgi-bin/carddisp.pl?gene=PDHB","GeneCards")</f>
        <v>GeneCards</v>
      </c>
      <c r="D4829" s="1" t="str">
        <f>HYPERLINK("http://genome-euro.ucsc.edu/cgi-bin/hgTracks?position=208911_s_at","UCSC")</f>
        <v>UCSC</v>
      </c>
      <c r="E4829" s="1" t="str">
        <f>HYPERLINK("http://www.ncbi.nlm.nih.gov/gene/?term=PDHB","NCBI")</f>
        <v>NCBI</v>
      </c>
      <c r="F4829">
        <v>4.2000000000000003E-2</v>
      </c>
      <c r="G4829">
        <v>0.15</v>
      </c>
      <c r="H4829" s="1" t="str">
        <f>HYPERLINK("http://www.weizmann.ac.il/complex/compphys/software/geview/data/figures/208911_s_at.png","Figure")</f>
        <v>Figure</v>
      </c>
      <c r="I4829">
        <v>1.34</v>
      </c>
      <c r="J4829">
        <v>0.24</v>
      </c>
      <c r="K4829">
        <v>1.53</v>
      </c>
      <c r="L4829">
        <v>3.4000000000000002E-2</v>
      </c>
      <c r="M4829">
        <v>1.1399999999999999</v>
      </c>
      <c r="N4829">
        <v>0.69</v>
      </c>
    </row>
    <row r="4830" spans="1:14" x14ac:dyDescent="0.25">
      <c r="A4830" t="s">
        <v>8757</v>
      </c>
      <c r="B4830" t="s">
        <v>8758</v>
      </c>
      <c r="C4830" s="1" t="str">
        <f>HYPERLINK("http://www.genecards.org/cgi-bin/carddisp.pl?gene=SLIT2","GeneCards")</f>
        <v>GeneCards</v>
      </c>
      <c r="D4830" s="1" t="str">
        <f>HYPERLINK("http://genome-euro.ucsc.edu/cgi-bin/hgTracks?position=209897_s_at","UCSC")</f>
        <v>UCSC</v>
      </c>
      <c r="E4830" s="1" t="str">
        <f>HYPERLINK("http://www.ncbi.nlm.nih.gov/gene/?term=SLIT2","NCBI")</f>
        <v>NCBI</v>
      </c>
      <c r="F4830">
        <v>4.2000000000000003E-2</v>
      </c>
      <c r="G4830">
        <v>0.15</v>
      </c>
      <c r="H4830" s="1" t="str">
        <f>HYPERLINK("http://www.weizmann.ac.il/complex/compphys/software/geview/data/figures/209897_s_at.png","Figure")</f>
        <v>Figure</v>
      </c>
      <c r="I4830">
        <v>1.1100000000000001</v>
      </c>
      <c r="J4830">
        <v>0.81</v>
      </c>
      <c r="K4830">
        <v>0.73299999999999998</v>
      </c>
      <c r="L4830">
        <v>0.13</v>
      </c>
      <c r="M4830">
        <v>0.66</v>
      </c>
      <c r="N4830">
        <v>5.2999999999999999E-2</v>
      </c>
    </row>
    <row r="4831" spans="1:14" x14ac:dyDescent="0.25">
      <c r="A4831" t="s">
        <v>8759</v>
      </c>
      <c r="B4831" t="s">
        <v>2644</v>
      </c>
      <c r="C4831" s="1" t="str">
        <f>HYPERLINK("http://www.genecards.org/cgi-bin/carddisp.pl?gene=MAPK14","GeneCards")</f>
        <v>GeneCards</v>
      </c>
      <c r="D4831" s="1" t="str">
        <f>HYPERLINK("http://genome-euro.ucsc.edu/cgi-bin/hgTracks?position=210449_x_at","UCSC")</f>
        <v>UCSC</v>
      </c>
      <c r="E4831" s="1" t="str">
        <f>HYPERLINK("http://www.ncbi.nlm.nih.gov/gene/?term=MAPK14","NCBI")</f>
        <v>NCBI</v>
      </c>
      <c r="F4831">
        <v>4.2000000000000003E-2</v>
      </c>
      <c r="G4831">
        <v>0.15</v>
      </c>
      <c r="H4831" s="1" t="str">
        <f>HYPERLINK("http://www.weizmann.ac.il/complex/compphys/software/geview/data/figures/210449_x_at.png","Figure")</f>
        <v>Figure</v>
      </c>
      <c r="I4831">
        <v>1.21</v>
      </c>
      <c r="J4831">
        <v>0.08</v>
      </c>
      <c r="K4831">
        <v>0.98899999999999999</v>
      </c>
      <c r="L4831">
        <v>0.99</v>
      </c>
      <c r="M4831">
        <v>0.81899999999999995</v>
      </c>
      <c r="N4831">
        <v>4.5999999999999999E-2</v>
      </c>
    </row>
    <row r="4832" spans="1:14" x14ac:dyDescent="0.25">
      <c r="A4832" t="s">
        <v>8760</v>
      </c>
      <c r="B4832" t="s">
        <v>8761</v>
      </c>
      <c r="C4832" s="1" t="str">
        <f>HYPERLINK("http://www.genecards.org/cgi-bin/carddisp.pl?gene=CFLAR","GeneCards")</f>
        <v>GeneCards</v>
      </c>
      <c r="D4832" s="1" t="str">
        <f>HYPERLINK("http://genome-euro.ucsc.edu/cgi-bin/hgTracks?position=211316_x_at","UCSC")</f>
        <v>UCSC</v>
      </c>
      <c r="E4832" s="1" t="str">
        <f>HYPERLINK("http://www.ncbi.nlm.nih.gov/gene/?term=CFLAR","NCBI")</f>
        <v>NCBI</v>
      </c>
      <c r="F4832">
        <v>4.2000000000000003E-2</v>
      </c>
      <c r="G4832">
        <v>0.15</v>
      </c>
      <c r="H4832" s="1" t="str">
        <f>HYPERLINK("http://www.weizmann.ac.il/complex/compphys/software/geview/data/figures/211316_x_at.png","Figure")</f>
        <v>Figure</v>
      </c>
      <c r="I4832">
        <v>1.02</v>
      </c>
      <c r="J4832">
        <v>0.99</v>
      </c>
      <c r="K4832">
        <v>0.69299999999999995</v>
      </c>
      <c r="L4832">
        <v>7.6999999999999999E-2</v>
      </c>
      <c r="M4832">
        <v>0.67800000000000005</v>
      </c>
      <c r="N4832">
        <v>8.1000000000000003E-2</v>
      </c>
    </row>
    <row r="4833" spans="1:14" x14ac:dyDescent="0.25">
      <c r="A4833" t="s">
        <v>8762</v>
      </c>
      <c r="B4833" t="s">
        <v>8763</v>
      </c>
      <c r="C4833" s="1" t="str">
        <f>HYPERLINK("http://www.genecards.org/cgi-bin/carddisp.pl?gene=ACOX1","GeneCards")</f>
        <v>GeneCards</v>
      </c>
      <c r="D4833" s="1" t="str">
        <f>HYPERLINK("http://genome-euro.ucsc.edu/cgi-bin/hgTracks?position=213501_at","UCSC")</f>
        <v>UCSC</v>
      </c>
      <c r="E4833" s="1" t="str">
        <f>HYPERLINK("http://www.ncbi.nlm.nih.gov/gene/?term=ACOX1","NCBI")</f>
        <v>NCBI</v>
      </c>
      <c r="F4833">
        <v>4.2000000000000003E-2</v>
      </c>
      <c r="G4833">
        <v>0.15</v>
      </c>
      <c r="H4833" s="1" t="str">
        <f>HYPERLINK("http://www.weizmann.ac.il/complex/compphys/software/geview/data/figures/213501_at.png","Figure")</f>
        <v>Figure</v>
      </c>
      <c r="I4833">
        <v>0.91700000000000004</v>
      </c>
      <c r="J4833">
        <v>0.5</v>
      </c>
      <c r="K4833">
        <v>1.1100000000000001</v>
      </c>
      <c r="L4833">
        <v>0.26</v>
      </c>
      <c r="M4833">
        <v>1.21</v>
      </c>
      <c r="N4833">
        <v>3.7999999999999999E-2</v>
      </c>
    </row>
    <row r="4834" spans="1:14" x14ac:dyDescent="0.25">
      <c r="A4834" t="s">
        <v>8764</v>
      </c>
      <c r="B4834" t="s">
        <v>8765</v>
      </c>
      <c r="C4834" s="1" t="str">
        <f>HYPERLINK("http://www.genecards.org/cgi-bin/carddisp.pl?gene=SLTM","GeneCards")</f>
        <v>GeneCards</v>
      </c>
      <c r="D4834" s="1" t="str">
        <f>HYPERLINK("http://genome-euro.ucsc.edu/cgi-bin/hgTracks?position=217828_at","UCSC")</f>
        <v>UCSC</v>
      </c>
      <c r="E4834" s="1" t="str">
        <f>HYPERLINK("http://www.ncbi.nlm.nih.gov/gene/?term=SLTM","NCBI")</f>
        <v>NCBI</v>
      </c>
      <c r="F4834">
        <v>4.2000000000000003E-2</v>
      </c>
      <c r="G4834">
        <v>0.15</v>
      </c>
      <c r="H4834" s="1" t="str">
        <f>HYPERLINK("http://www.weizmann.ac.il/complex/compphys/software/geview/data/figures/217828_at.png","Figure")</f>
        <v>Figure</v>
      </c>
      <c r="I4834">
        <v>0.90300000000000002</v>
      </c>
      <c r="J4834">
        <v>0.68</v>
      </c>
      <c r="K4834">
        <v>0.747</v>
      </c>
      <c r="L4834">
        <v>3.9E-2</v>
      </c>
      <c r="M4834">
        <v>0.82699999999999996</v>
      </c>
      <c r="N4834">
        <v>0.25</v>
      </c>
    </row>
    <row r="4835" spans="1:14" x14ac:dyDescent="0.25">
      <c r="A4835" t="s">
        <v>8766</v>
      </c>
      <c r="B4835" t="s">
        <v>8767</v>
      </c>
      <c r="C4835" s="1" t="str">
        <f>HYPERLINK("http://www.genecards.org/cgi-bin/carddisp.pl?gene=ALCAM","GeneCards")</f>
        <v>GeneCards</v>
      </c>
      <c r="D4835" s="1" t="str">
        <f>HYPERLINK("http://genome-euro.ucsc.edu/cgi-bin/hgTracks?position=201952_at","UCSC")</f>
        <v>UCSC</v>
      </c>
      <c r="E4835" s="1" t="str">
        <f>HYPERLINK("http://www.ncbi.nlm.nih.gov/gene/?term=ALCAM","NCBI")</f>
        <v>NCBI</v>
      </c>
      <c r="F4835">
        <v>4.2000000000000003E-2</v>
      </c>
      <c r="G4835">
        <v>0.15</v>
      </c>
      <c r="H4835" s="1" t="str">
        <f>HYPERLINK("http://www.weizmann.ac.il/complex/compphys/software/geview/data/figures/201952_at.png","Figure")</f>
        <v>Figure</v>
      </c>
      <c r="I4835">
        <v>1.76</v>
      </c>
      <c r="J4835">
        <v>9.7000000000000003E-2</v>
      </c>
      <c r="K4835">
        <v>1.78</v>
      </c>
      <c r="L4835">
        <v>4.9000000000000002E-2</v>
      </c>
      <c r="M4835">
        <v>1.01</v>
      </c>
      <c r="N4835">
        <v>1</v>
      </c>
    </row>
    <row r="4836" spans="1:14" x14ac:dyDescent="0.25">
      <c r="A4836" t="s">
        <v>8768</v>
      </c>
      <c r="B4836" t="s">
        <v>8769</v>
      </c>
      <c r="C4836" s="1" t="str">
        <f>HYPERLINK("http://www.genecards.org/cgi-bin/carddisp.pl?gene=CES4","GeneCards")</f>
        <v>GeneCards</v>
      </c>
      <c r="D4836" s="1" t="str">
        <f>HYPERLINK("http://genome-euro.ucsc.edu/cgi-bin/hgTracks?position=206824_at","UCSC")</f>
        <v>UCSC</v>
      </c>
      <c r="E4836" s="1" t="str">
        <f>HYPERLINK("http://www.ncbi.nlm.nih.gov/gene/?term=CES4","NCBI")</f>
        <v>NCBI</v>
      </c>
      <c r="F4836">
        <v>4.2000000000000003E-2</v>
      </c>
      <c r="G4836">
        <v>0.15</v>
      </c>
      <c r="H4836" s="1" t="str">
        <f>HYPERLINK("http://www.weizmann.ac.il/complex/compphys/software/geview/data/figures/206824_at.png","Figure")</f>
        <v>Figure</v>
      </c>
      <c r="I4836">
        <v>1.05</v>
      </c>
      <c r="J4836">
        <v>9.1999999999999998E-2</v>
      </c>
      <c r="K4836">
        <v>1.05</v>
      </c>
      <c r="L4836">
        <v>5.0999999999999997E-2</v>
      </c>
      <c r="M4836">
        <v>1</v>
      </c>
      <c r="N4836">
        <v>1</v>
      </c>
    </row>
    <row r="4837" spans="1:14" x14ac:dyDescent="0.25">
      <c r="A4837" t="s">
        <v>8770</v>
      </c>
      <c r="B4837" t="s">
        <v>8771</v>
      </c>
      <c r="C4837" s="1" t="str">
        <f>HYPERLINK("http://www.genecards.org/cgi-bin/carddisp.pl?gene=DST","GeneCards")</f>
        <v>GeneCards</v>
      </c>
      <c r="D4837" s="1" t="str">
        <f>HYPERLINK("http://genome-euro.ucsc.edu/cgi-bin/hgTracks?position=216918_s_at","UCSC")</f>
        <v>UCSC</v>
      </c>
      <c r="E4837" s="1" t="str">
        <f>HYPERLINK("http://www.ncbi.nlm.nih.gov/gene/?term=DST","NCBI")</f>
        <v>NCBI</v>
      </c>
      <c r="F4837">
        <v>4.2000000000000003E-2</v>
      </c>
      <c r="G4837">
        <v>0.15</v>
      </c>
      <c r="H4837" s="1" t="str">
        <f>HYPERLINK("http://www.weizmann.ac.il/complex/compphys/software/geview/data/figures/216918_s_at.png","Figure")</f>
        <v>Figure</v>
      </c>
      <c r="I4837">
        <v>1.37</v>
      </c>
      <c r="J4837">
        <v>3.4000000000000002E-2</v>
      </c>
      <c r="K4837">
        <v>1.18</v>
      </c>
      <c r="L4837">
        <v>0.25</v>
      </c>
      <c r="M4837">
        <v>0.85699999999999998</v>
      </c>
      <c r="N4837">
        <v>0.33</v>
      </c>
    </row>
    <row r="4838" spans="1:14" x14ac:dyDescent="0.25">
      <c r="A4838" t="s">
        <v>8772</v>
      </c>
      <c r="B4838" t="s">
        <v>8773</v>
      </c>
      <c r="C4838" s="1" t="str">
        <f>HYPERLINK("http://www.genecards.org/cgi-bin/carddisp.pl?gene=MCM10","GeneCards")</f>
        <v>GeneCards</v>
      </c>
      <c r="D4838" s="1" t="str">
        <f>HYPERLINK("http://genome-euro.ucsc.edu/cgi-bin/hgTracks?position=220651_s_at","UCSC")</f>
        <v>UCSC</v>
      </c>
      <c r="E4838" s="1" t="str">
        <f>HYPERLINK("http://www.ncbi.nlm.nih.gov/gene/?term=MCM10","NCBI")</f>
        <v>NCBI</v>
      </c>
      <c r="F4838">
        <v>4.2000000000000003E-2</v>
      </c>
      <c r="G4838">
        <v>0.15</v>
      </c>
      <c r="H4838" s="1" t="str">
        <f>HYPERLINK("http://www.weizmann.ac.il/complex/compphys/software/geview/data/figures/220651_s_at.png","Figure")</f>
        <v>Figure</v>
      </c>
      <c r="I4838">
        <v>0.71599999999999997</v>
      </c>
      <c r="J4838">
        <v>0.13</v>
      </c>
      <c r="K4838">
        <v>1.08</v>
      </c>
      <c r="L4838">
        <v>0.83</v>
      </c>
      <c r="M4838">
        <v>1.51</v>
      </c>
      <c r="N4838">
        <v>3.6999999999999998E-2</v>
      </c>
    </row>
    <row r="4839" spans="1:14" x14ac:dyDescent="0.25">
      <c r="A4839" t="s">
        <v>8774</v>
      </c>
      <c r="B4839" t="s">
        <v>8775</v>
      </c>
      <c r="C4839" s="1" t="str">
        <f>HYPERLINK("http://www.genecards.org/cgi-bin/carddisp.pl?gene=IGH@ /// IGHA1 /// IGHA2 /// IGHG1 /// IGHG2 /// IGHG3 /// IGHM /// IGHV4-31 /// LOC100126583 /// LO","GeneCards")</f>
        <v>GeneCards</v>
      </c>
      <c r="D4839" s="1" t="str">
        <f>HYPERLINK("http://genome-euro.ucsc.edu/cgi-bin/hgTracks?position=217281_x_at","UCSC")</f>
        <v>UCSC</v>
      </c>
      <c r="E4839" s="1" t="str">
        <f>HYPERLINK("http://www.ncbi.nlm.nih.gov/gene/?term=IGH@ /// IGHA1 /// IGHA2 /// IGHG1 /// IGHG2 /// IGHG3 /// IGHM /// IGHV4-31 /// LOC100126583 /// LO","NCBI")</f>
        <v>NCBI</v>
      </c>
      <c r="F4839">
        <v>4.2000000000000003E-2</v>
      </c>
      <c r="G4839">
        <v>0.15</v>
      </c>
      <c r="H4839" s="1" t="str">
        <f>HYPERLINK("http://www.weizmann.ac.il/complex/compphys/software/geview/data/figures/217281_x_at.png","Figure")</f>
        <v>Figure</v>
      </c>
      <c r="I4839">
        <v>1.6</v>
      </c>
      <c r="J4839">
        <v>5.1999999999999998E-2</v>
      </c>
      <c r="K4839">
        <v>1.43</v>
      </c>
      <c r="L4839">
        <v>8.8999999999999996E-2</v>
      </c>
      <c r="M4839">
        <v>0.89800000000000002</v>
      </c>
      <c r="N4839">
        <v>0.8</v>
      </c>
    </row>
    <row r="4840" spans="1:14" x14ac:dyDescent="0.25">
      <c r="A4840" t="s">
        <v>8776</v>
      </c>
      <c r="B4840" t="s">
        <v>5812</v>
      </c>
      <c r="C4840" s="1" t="str">
        <f>HYPERLINK("http://www.genecards.org/cgi-bin/carddisp.pl?gene=MCM7","GeneCards")</f>
        <v>GeneCards</v>
      </c>
      <c r="D4840" s="1" t="str">
        <f>HYPERLINK("http://genome-euro.ucsc.edu/cgi-bin/hgTracks?position=210983_s_at","UCSC")</f>
        <v>UCSC</v>
      </c>
      <c r="E4840" s="1" t="str">
        <f>HYPERLINK("http://www.ncbi.nlm.nih.gov/gene/?term=MCM7","NCBI")</f>
        <v>NCBI</v>
      </c>
      <c r="F4840">
        <v>4.2000000000000003E-2</v>
      </c>
      <c r="G4840">
        <v>0.15</v>
      </c>
      <c r="H4840" s="1" t="str">
        <f>HYPERLINK("http://www.weizmann.ac.il/complex/compphys/software/geview/data/figures/210983_s_at.png","Figure")</f>
        <v>Figure</v>
      </c>
      <c r="I4840">
        <v>2.15</v>
      </c>
      <c r="J4840">
        <v>3.5999999999999997E-2</v>
      </c>
      <c r="K4840">
        <v>1.53</v>
      </c>
      <c r="L4840">
        <v>0.2</v>
      </c>
      <c r="M4840">
        <v>0.71399999999999997</v>
      </c>
      <c r="N4840">
        <v>0.4</v>
      </c>
    </row>
    <row r="4841" spans="1:14" x14ac:dyDescent="0.25">
      <c r="A4841" t="s">
        <v>8777</v>
      </c>
      <c r="B4841" t="s">
        <v>8778</v>
      </c>
      <c r="C4841" s="1" t="str">
        <f>HYPERLINK("http://www.genecards.org/cgi-bin/carddisp.pl?gene=hCG_1757335 /// RAP1B","GeneCards")</f>
        <v>GeneCards</v>
      </c>
      <c r="D4841" s="1" t="str">
        <f>HYPERLINK("http://genome-euro.ucsc.edu/cgi-bin/hgTracks?position=200833_s_at","UCSC")</f>
        <v>UCSC</v>
      </c>
      <c r="E4841" s="1" t="str">
        <f>HYPERLINK("http://www.ncbi.nlm.nih.gov/gene/?term=hCG_1757335 /// RAP1B","NCBI")</f>
        <v>NCBI</v>
      </c>
      <c r="F4841">
        <v>4.2000000000000003E-2</v>
      </c>
      <c r="G4841">
        <v>0.15</v>
      </c>
      <c r="H4841" s="1" t="str">
        <f>HYPERLINK("http://www.weizmann.ac.il/complex/compphys/software/geview/data/figures/200833_s_at.png","Figure")</f>
        <v>Figure</v>
      </c>
      <c r="I4841">
        <v>1.1499999999999999</v>
      </c>
      <c r="J4841">
        <v>0.82</v>
      </c>
      <c r="K4841">
        <v>0.65600000000000003</v>
      </c>
      <c r="L4841">
        <v>0.13</v>
      </c>
      <c r="M4841">
        <v>0.56999999999999995</v>
      </c>
      <c r="N4841">
        <v>5.2999999999999999E-2</v>
      </c>
    </row>
    <row r="4842" spans="1:14" x14ac:dyDescent="0.25">
      <c r="A4842" t="s">
        <v>8779</v>
      </c>
      <c r="B4842" t="s">
        <v>2627</v>
      </c>
      <c r="C4842" s="1" t="str">
        <f>HYPERLINK("http://www.genecards.org/cgi-bin/carddisp.pl?gene=ELL","GeneCards")</f>
        <v>GeneCards</v>
      </c>
      <c r="D4842" s="1" t="str">
        <f>HYPERLINK("http://genome-euro.ucsc.edu/cgi-bin/hgTracks?position=204095_s_at","UCSC")</f>
        <v>UCSC</v>
      </c>
      <c r="E4842" s="1" t="str">
        <f>HYPERLINK("http://www.ncbi.nlm.nih.gov/gene/?term=ELL","NCBI")</f>
        <v>NCBI</v>
      </c>
      <c r="F4842">
        <v>4.2000000000000003E-2</v>
      </c>
      <c r="G4842">
        <v>0.15</v>
      </c>
      <c r="H4842" s="1" t="str">
        <f>HYPERLINK("http://www.weizmann.ac.il/complex/compphys/software/geview/data/figures/204095_s_at.png","Figure")</f>
        <v>Figure</v>
      </c>
      <c r="I4842">
        <v>1.24</v>
      </c>
      <c r="J4842">
        <v>3.5000000000000003E-2</v>
      </c>
      <c r="K4842">
        <v>1.1200000000000001</v>
      </c>
      <c r="L4842">
        <v>0.22</v>
      </c>
      <c r="M4842">
        <v>0.90500000000000003</v>
      </c>
      <c r="N4842">
        <v>0.37</v>
      </c>
    </row>
    <row r="4843" spans="1:14" x14ac:dyDescent="0.25">
      <c r="A4843" t="s">
        <v>8780</v>
      </c>
      <c r="B4843" t="s">
        <v>1292</v>
      </c>
      <c r="C4843" s="1" t="str">
        <f>HYPERLINK("http://www.genecards.org/cgi-bin/carddisp.pl?gene=SPTBN1","GeneCards")</f>
        <v>GeneCards</v>
      </c>
      <c r="D4843" s="1" t="str">
        <f>HYPERLINK("http://genome-euro.ucsc.edu/cgi-bin/hgTracks?position=213914_s_at","UCSC")</f>
        <v>UCSC</v>
      </c>
      <c r="E4843" s="1" t="str">
        <f>HYPERLINK("http://www.ncbi.nlm.nih.gov/gene/?term=SPTBN1","NCBI")</f>
        <v>NCBI</v>
      </c>
      <c r="F4843">
        <v>4.2000000000000003E-2</v>
      </c>
      <c r="G4843">
        <v>0.15</v>
      </c>
      <c r="H4843" s="1" t="str">
        <f>HYPERLINK("http://www.weizmann.ac.il/complex/compphys/software/geview/data/figures/213914_s_at.png","Figure")</f>
        <v>Figure</v>
      </c>
      <c r="I4843">
        <v>1.27</v>
      </c>
      <c r="J4843">
        <v>3.7999999999999999E-2</v>
      </c>
      <c r="K4843">
        <v>1.07</v>
      </c>
      <c r="L4843">
        <v>0.66</v>
      </c>
      <c r="M4843">
        <v>0.83899999999999997</v>
      </c>
      <c r="N4843">
        <v>0.12</v>
      </c>
    </row>
    <row r="4844" spans="1:14" x14ac:dyDescent="0.25">
      <c r="A4844" t="s">
        <v>8781</v>
      </c>
      <c r="B4844" t="s">
        <v>8782</v>
      </c>
      <c r="C4844" s="1" t="str">
        <f>HYPERLINK("http://www.genecards.org/cgi-bin/carddisp.pl?gene=OR1D2","GeneCards")</f>
        <v>GeneCards</v>
      </c>
      <c r="D4844" s="1" t="str">
        <f>HYPERLINK("http://genome-euro.ucsc.edu/cgi-bin/hgTracks?position=221464_at","UCSC")</f>
        <v>UCSC</v>
      </c>
      <c r="E4844" s="1" t="str">
        <f>HYPERLINK("http://www.ncbi.nlm.nih.gov/gene/?term=OR1D2","NCBI")</f>
        <v>NCBI</v>
      </c>
      <c r="F4844">
        <v>4.2000000000000003E-2</v>
      </c>
      <c r="G4844">
        <v>0.15</v>
      </c>
      <c r="H4844" s="1" t="str">
        <f>HYPERLINK("http://www.weizmann.ac.il/complex/compphys/software/geview/data/figures/221464_at.png","Figure")</f>
        <v>Figure</v>
      </c>
      <c r="I4844">
        <v>1.35</v>
      </c>
      <c r="J4844">
        <v>4.2000000000000003E-2</v>
      </c>
      <c r="K4844">
        <v>1.07</v>
      </c>
      <c r="L4844">
        <v>0.77</v>
      </c>
      <c r="M4844">
        <v>0.79200000000000004</v>
      </c>
      <c r="N4844">
        <v>9.4E-2</v>
      </c>
    </row>
    <row r="4845" spans="1:14" x14ac:dyDescent="0.25">
      <c r="A4845" t="s">
        <v>8783</v>
      </c>
      <c r="B4845" t="s">
        <v>8784</v>
      </c>
      <c r="C4845" s="1" t="str">
        <f>HYPERLINK("http://www.genecards.org/cgi-bin/carddisp.pl?gene=CNTN2","GeneCards")</f>
        <v>GeneCards</v>
      </c>
      <c r="D4845" s="1" t="str">
        <f>HYPERLINK("http://genome-euro.ucsc.edu/cgi-bin/hgTracks?position=206970_at","UCSC")</f>
        <v>UCSC</v>
      </c>
      <c r="E4845" s="1" t="str">
        <f>HYPERLINK("http://www.ncbi.nlm.nih.gov/gene/?term=CNTN2","NCBI")</f>
        <v>NCBI</v>
      </c>
      <c r="F4845">
        <v>4.2000000000000003E-2</v>
      </c>
      <c r="G4845">
        <v>0.15</v>
      </c>
      <c r="H4845" s="1" t="str">
        <f>HYPERLINK("http://www.weizmann.ac.il/complex/compphys/software/geview/data/figures/206970_at.png","Figure")</f>
        <v>Figure</v>
      </c>
      <c r="I4845">
        <v>1.31</v>
      </c>
      <c r="J4845">
        <v>4.4999999999999998E-2</v>
      </c>
      <c r="K4845">
        <v>1.05</v>
      </c>
      <c r="L4845">
        <v>0.83</v>
      </c>
      <c r="M4845">
        <v>0.80300000000000005</v>
      </c>
      <c r="N4845">
        <v>8.4000000000000005E-2</v>
      </c>
    </row>
    <row r="4846" spans="1:14" x14ac:dyDescent="0.25">
      <c r="A4846" t="s">
        <v>8785</v>
      </c>
      <c r="B4846" t="s">
        <v>8786</v>
      </c>
      <c r="C4846" s="1" t="str">
        <f>HYPERLINK("http://www.genecards.org/cgi-bin/carddisp.pl?gene=MAPK8IP3","GeneCards")</f>
        <v>GeneCards</v>
      </c>
      <c r="D4846" s="1" t="str">
        <f>HYPERLINK("http://genome-euro.ucsc.edu/cgi-bin/hgTracks?position=213178_s_at","UCSC")</f>
        <v>UCSC</v>
      </c>
      <c r="E4846" s="1" t="str">
        <f>HYPERLINK("http://www.ncbi.nlm.nih.gov/gene/?term=MAPK8IP3","NCBI")</f>
        <v>NCBI</v>
      </c>
      <c r="F4846">
        <v>4.2000000000000003E-2</v>
      </c>
      <c r="G4846">
        <v>0.15</v>
      </c>
      <c r="H4846" s="1" t="str">
        <f>HYPERLINK("http://www.weizmann.ac.il/complex/compphys/software/geview/data/figures/213178_s_at.png","Figure")</f>
        <v>Figure</v>
      </c>
      <c r="I4846">
        <v>1.24</v>
      </c>
      <c r="J4846">
        <v>0.5</v>
      </c>
      <c r="K4846">
        <v>0.76</v>
      </c>
      <c r="L4846">
        <v>0.25</v>
      </c>
      <c r="M4846">
        <v>0.61099999999999999</v>
      </c>
      <c r="N4846">
        <v>3.7999999999999999E-2</v>
      </c>
    </row>
    <row r="4847" spans="1:14" x14ac:dyDescent="0.25">
      <c r="A4847" t="s">
        <v>8787</v>
      </c>
      <c r="B4847" t="s">
        <v>3098</v>
      </c>
      <c r="C4847" s="1" t="str">
        <f>HYPERLINK("http://www.genecards.org/cgi-bin/carddisp.pl?gene=EIF2B4","GeneCards")</f>
        <v>GeneCards</v>
      </c>
      <c r="D4847" s="1" t="str">
        <f>HYPERLINK("http://genome-euro.ucsc.edu/cgi-bin/hgTracks?position=215482_s_at","UCSC")</f>
        <v>UCSC</v>
      </c>
      <c r="E4847" s="1" t="str">
        <f>HYPERLINK("http://www.ncbi.nlm.nih.gov/gene/?term=EIF2B4","NCBI")</f>
        <v>NCBI</v>
      </c>
      <c r="F4847">
        <v>4.2000000000000003E-2</v>
      </c>
      <c r="G4847">
        <v>0.15</v>
      </c>
      <c r="H4847" s="1" t="str">
        <f>HYPERLINK("http://www.weizmann.ac.il/complex/compphys/software/geview/data/figures/215482_s_at.png","Figure")</f>
        <v>Figure</v>
      </c>
      <c r="I4847">
        <v>1.22</v>
      </c>
      <c r="J4847">
        <v>7.0000000000000007E-2</v>
      </c>
      <c r="K4847">
        <v>1.2</v>
      </c>
      <c r="L4847">
        <v>6.3E-2</v>
      </c>
      <c r="M4847">
        <v>0.97899999999999998</v>
      </c>
      <c r="N4847">
        <v>0.96</v>
      </c>
    </row>
    <row r="4848" spans="1:14" x14ac:dyDescent="0.25">
      <c r="A4848" t="s">
        <v>8788</v>
      </c>
      <c r="B4848" t="s">
        <v>8789</v>
      </c>
      <c r="C4848" s="1" t="str">
        <f>HYPERLINK("http://www.genecards.org/cgi-bin/carddisp.pl?gene=RASSF7","GeneCards")</f>
        <v>GeneCards</v>
      </c>
      <c r="D4848" s="1" t="str">
        <f>HYPERLINK("http://genome-euro.ucsc.edu/cgi-bin/hgTracks?position=40359_at","UCSC")</f>
        <v>UCSC</v>
      </c>
      <c r="E4848" s="1" t="str">
        <f>HYPERLINK("http://www.ncbi.nlm.nih.gov/gene/?term=RASSF7","NCBI")</f>
        <v>NCBI</v>
      </c>
      <c r="F4848">
        <v>4.2000000000000003E-2</v>
      </c>
      <c r="G4848">
        <v>0.15</v>
      </c>
      <c r="H4848" s="1" t="str">
        <f>HYPERLINK("http://www.weizmann.ac.il/complex/compphys/software/geview/data/figures/40359_at.png","Figure")</f>
        <v>Figure</v>
      </c>
      <c r="I4848">
        <v>1.45</v>
      </c>
      <c r="J4848">
        <v>0.05</v>
      </c>
      <c r="K4848">
        <v>1.32</v>
      </c>
      <c r="L4848">
        <v>9.5000000000000001E-2</v>
      </c>
      <c r="M4848">
        <v>0.91200000000000003</v>
      </c>
      <c r="N4848">
        <v>0.77</v>
      </c>
    </row>
    <row r="4849" spans="1:14" x14ac:dyDescent="0.25">
      <c r="A4849" t="s">
        <v>8790</v>
      </c>
      <c r="B4849" t="s">
        <v>6768</v>
      </c>
      <c r="C4849" s="1" t="str">
        <f>HYPERLINK("http://www.genecards.org/cgi-bin/carddisp.pl?gene=THAP3","GeneCards")</f>
        <v>GeneCards</v>
      </c>
      <c r="D4849" s="1" t="str">
        <f>HYPERLINK("http://genome-euro.ucsc.edu/cgi-bin/hgTracks?position=217658_at","UCSC")</f>
        <v>UCSC</v>
      </c>
      <c r="E4849" s="1" t="str">
        <f>HYPERLINK("http://www.ncbi.nlm.nih.gov/gene/?term=THAP3","NCBI")</f>
        <v>NCBI</v>
      </c>
      <c r="F4849">
        <v>4.2000000000000003E-2</v>
      </c>
      <c r="G4849">
        <v>0.15</v>
      </c>
      <c r="H4849" s="1" t="str">
        <f>HYPERLINK("http://www.weizmann.ac.il/complex/compphys/software/geview/data/figures/217658_at.png","Figure")</f>
        <v>Figure</v>
      </c>
      <c r="I4849">
        <v>1.19</v>
      </c>
      <c r="J4849">
        <v>3.5000000000000003E-2</v>
      </c>
      <c r="K4849">
        <v>1.06</v>
      </c>
      <c r="L4849">
        <v>0.48</v>
      </c>
      <c r="M4849">
        <v>0.89700000000000002</v>
      </c>
      <c r="N4849">
        <v>0.17</v>
      </c>
    </row>
    <row r="4850" spans="1:14" x14ac:dyDescent="0.25">
      <c r="A4850" t="s">
        <v>8791</v>
      </c>
      <c r="B4850" t="s">
        <v>8792</v>
      </c>
      <c r="C4850" s="1" t="str">
        <f>HYPERLINK("http://www.genecards.org/cgi-bin/carddisp.pl?gene=DPEP2","GeneCards")</f>
        <v>GeneCards</v>
      </c>
      <c r="D4850" s="1" t="str">
        <f>HYPERLINK("http://genome-euro.ucsc.edu/cgi-bin/hgTracks?position=219452_at","UCSC")</f>
        <v>UCSC</v>
      </c>
      <c r="E4850" s="1" t="str">
        <f>HYPERLINK("http://www.ncbi.nlm.nih.gov/gene/?term=DPEP2","NCBI")</f>
        <v>NCBI</v>
      </c>
      <c r="F4850">
        <v>4.2000000000000003E-2</v>
      </c>
      <c r="G4850">
        <v>0.15</v>
      </c>
      <c r="H4850" s="1" t="str">
        <f>HYPERLINK("http://www.weizmann.ac.il/complex/compphys/software/geview/data/figures/219452_at.png","Figure")</f>
        <v>Figure</v>
      </c>
      <c r="I4850">
        <v>0.65900000000000003</v>
      </c>
      <c r="J4850">
        <v>3.4000000000000002E-2</v>
      </c>
      <c r="K4850">
        <v>0.82799999999999996</v>
      </c>
      <c r="L4850">
        <v>0.33</v>
      </c>
      <c r="M4850">
        <v>1.26</v>
      </c>
      <c r="N4850">
        <v>0.25</v>
      </c>
    </row>
    <row r="4851" spans="1:14" x14ac:dyDescent="0.25">
      <c r="A4851" t="s">
        <v>8793</v>
      </c>
      <c r="B4851" t="s">
        <v>8794</v>
      </c>
      <c r="C4851" s="1" t="str">
        <f>HYPERLINK("http://www.genecards.org/cgi-bin/carddisp.pl?gene=MAMLD1","GeneCards")</f>
        <v>GeneCards</v>
      </c>
      <c r="D4851" s="1" t="str">
        <f>HYPERLINK("http://genome-euro.ucsc.edu/cgi-bin/hgTracks?position=205088_at","UCSC")</f>
        <v>UCSC</v>
      </c>
      <c r="E4851" s="1" t="str">
        <f>HYPERLINK("http://www.ncbi.nlm.nih.gov/gene/?term=MAMLD1","NCBI")</f>
        <v>NCBI</v>
      </c>
      <c r="F4851">
        <v>4.2000000000000003E-2</v>
      </c>
      <c r="G4851">
        <v>0.15</v>
      </c>
      <c r="H4851" s="1" t="str">
        <f>HYPERLINK("http://www.weizmann.ac.il/complex/compphys/software/geview/data/figures/205088_at.png","Figure")</f>
        <v>Figure</v>
      </c>
      <c r="I4851">
        <v>0.74</v>
      </c>
      <c r="J4851">
        <v>9.6000000000000002E-2</v>
      </c>
      <c r="K4851">
        <v>0.73599999999999999</v>
      </c>
      <c r="L4851">
        <v>0.05</v>
      </c>
      <c r="M4851">
        <v>0.996</v>
      </c>
      <c r="N4851">
        <v>1</v>
      </c>
    </row>
    <row r="4852" spans="1:14" x14ac:dyDescent="0.25">
      <c r="A4852" t="s">
        <v>8795</v>
      </c>
      <c r="B4852" t="s">
        <v>8796</v>
      </c>
      <c r="C4852" s="1" t="str">
        <f>HYPERLINK("http://www.genecards.org/cgi-bin/carddisp.pl?gene=PVALB","GeneCards")</f>
        <v>GeneCards</v>
      </c>
      <c r="D4852" s="1" t="str">
        <f>HYPERLINK("http://genome-euro.ucsc.edu/cgi-bin/hgTracks?position=205336_at","UCSC")</f>
        <v>UCSC</v>
      </c>
      <c r="E4852" s="1" t="str">
        <f>HYPERLINK("http://www.ncbi.nlm.nih.gov/gene/?term=PVALB","NCBI")</f>
        <v>NCBI</v>
      </c>
      <c r="F4852">
        <v>4.2000000000000003E-2</v>
      </c>
      <c r="G4852">
        <v>0.15</v>
      </c>
      <c r="H4852" s="1" t="str">
        <f>HYPERLINK("http://www.weizmann.ac.il/complex/compphys/software/geview/data/figures/205336_at.png","Figure")</f>
        <v>Figure</v>
      </c>
      <c r="I4852">
        <v>1.19</v>
      </c>
      <c r="J4852">
        <v>7.5999999999999998E-2</v>
      </c>
      <c r="K4852">
        <v>1.17</v>
      </c>
      <c r="L4852">
        <v>5.8999999999999997E-2</v>
      </c>
      <c r="M4852">
        <v>0.98699999999999999</v>
      </c>
      <c r="N4852">
        <v>0.98</v>
      </c>
    </row>
    <row r="4853" spans="1:14" x14ac:dyDescent="0.25">
      <c r="A4853" t="s">
        <v>8797</v>
      </c>
      <c r="B4853" t="s">
        <v>8798</v>
      </c>
      <c r="C4853" s="1" t="str">
        <f>HYPERLINK("http://www.genecards.org/cgi-bin/carddisp.pl?gene=SFI1","GeneCards")</f>
        <v>GeneCards</v>
      </c>
      <c r="D4853" s="1" t="str">
        <f>HYPERLINK("http://genome-euro.ucsc.edu/cgi-bin/hgTracks?position=215699_x_at","UCSC")</f>
        <v>UCSC</v>
      </c>
      <c r="E4853" s="1" t="str">
        <f>HYPERLINK("http://www.ncbi.nlm.nih.gov/gene/?term=SFI1","NCBI")</f>
        <v>NCBI</v>
      </c>
      <c r="F4853">
        <v>4.2000000000000003E-2</v>
      </c>
      <c r="G4853">
        <v>0.15</v>
      </c>
      <c r="H4853" s="1" t="str">
        <f>HYPERLINK("http://www.weizmann.ac.il/complex/compphys/software/geview/data/figures/215699_x_at.png","Figure")</f>
        <v>Figure</v>
      </c>
      <c r="I4853">
        <v>1.19</v>
      </c>
      <c r="J4853">
        <v>0.12</v>
      </c>
      <c r="K4853">
        <v>0.96199999999999997</v>
      </c>
      <c r="L4853">
        <v>0.84</v>
      </c>
      <c r="M4853">
        <v>0.81</v>
      </c>
      <c r="N4853">
        <v>3.7999999999999999E-2</v>
      </c>
    </row>
    <row r="4854" spans="1:14" x14ac:dyDescent="0.25">
      <c r="A4854" t="s">
        <v>8799</v>
      </c>
      <c r="B4854" t="s">
        <v>8800</v>
      </c>
      <c r="C4854" s="1" t="str">
        <f>HYPERLINK("http://www.genecards.org/cgi-bin/carddisp.pl?gene=AMACR","GeneCards")</f>
        <v>GeneCards</v>
      </c>
      <c r="D4854" s="1" t="str">
        <f>HYPERLINK("http://genome-euro.ucsc.edu/cgi-bin/hgTracks?position=217113_at","UCSC")</f>
        <v>UCSC</v>
      </c>
      <c r="E4854" s="1" t="str">
        <f>HYPERLINK("http://www.ncbi.nlm.nih.gov/gene/?term=AMACR","NCBI")</f>
        <v>NCBI</v>
      </c>
      <c r="F4854">
        <v>4.2000000000000003E-2</v>
      </c>
      <c r="G4854">
        <v>0.15</v>
      </c>
      <c r="H4854" s="1" t="str">
        <f>HYPERLINK("http://www.weizmann.ac.il/complex/compphys/software/geview/data/figures/217113_at.png","Figure")</f>
        <v>Figure</v>
      </c>
      <c r="I4854">
        <v>1.02</v>
      </c>
      <c r="J4854">
        <v>0.18</v>
      </c>
      <c r="K4854">
        <v>1.02</v>
      </c>
      <c r="L4854">
        <v>3.6999999999999998E-2</v>
      </c>
      <c r="M4854">
        <v>1.01</v>
      </c>
      <c r="N4854">
        <v>0.83</v>
      </c>
    </row>
    <row r="4855" spans="1:14" x14ac:dyDescent="0.25">
      <c r="A4855" t="s">
        <v>8801</v>
      </c>
      <c r="B4855" t="s">
        <v>8802</v>
      </c>
      <c r="C4855" s="1" t="str">
        <f>HYPERLINK("http://www.genecards.org/cgi-bin/carddisp.pl?gene=B9D2","GeneCards")</f>
        <v>GeneCards</v>
      </c>
      <c r="D4855" s="1" t="str">
        <f>HYPERLINK("http://genome-euro.ucsc.edu/cgi-bin/hgTracks?position=219766_at","UCSC")</f>
        <v>UCSC</v>
      </c>
      <c r="E4855" s="1" t="str">
        <f>HYPERLINK("http://www.ncbi.nlm.nih.gov/gene/?term=B9D2","NCBI")</f>
        <v>NCBI</v>
      </c>
      <c r="F4855">
        <v>4.2000000000000003E-2</v>
      </c>
      <c r="G4855">
        <v>0.15</v>
      </c>
      <c r="H4855" s="1" t="str">
        <f>HYPERLINK("http://www.weizmann.ac.il/complex/compphys/software/geview/data/figures/219766_at.png","Figure")</f>
        <v>Figure</v>
      </c>
      <c r="I4855">
        <v>1.36</v>
      </c>
      <c r="J4855">
        <v>3.7999999999999999E-2</v>
      </c>
      <c r="K4855">
        <v>1.0900000000000001</v>
      </c>
      <c r="L4855">
        <v>0.65</v>
      </c>
      <c r="M4855">
        <v>0.80200000000000005</v>
      </c>
      <c r="N4855">
        <v>0.12</v>
      </c>
    </row>
    <row r="4856" spans="1:14" x14ac:dyDescent="0.25">
      <c r="A4856" t="s">
        <v>8803</v>
      </c>
      <c r="B4856" t="s">
        <v>2924</v>
      </c>
      <c r="C4856" s="1" t="str">
        <f>HYPERLINK("http://www.genecards.org/cgi-bin/carddisp.pl?gene=USP7","GeneCards")</f>
        <v>GeneCards</v>
      </c>
      <c r="D4856" s="1" t="str">
        <f>HYPERLINK("http://genome-euro.ucsc.edu/cgi-bin/hgTracks?position=222032_s_at","UCSC")</f>
        <v>UCSC</v>
      </c>
      <c r="E4856" s="1" t="str">
        <f>HYPERLINK("http://www.ncbi.nlm.nih.gov/gene/?term=USP7","NCBI")</f>
        <v>NCBI</v>
      </c>
      <c r="F4856">
        <v>4.2000000000000003E-2</v>
      </c>
      <c r="G4856">
        <v>0.15</v>
      </c>
      <c r="H4856" s="1" t="str">
        <f>HYPERLINK("http://www.weizmann.ac.il/complex/compphys/software/geview/data/figures/222032_s_at.png","Figure")</f>
        <v>Figure</v>
      </c>
      <c r="I4856">
        <v>0.97499999999999998</v>
      </c>
      <c r="J4856">
        <v>0.9</v>
      </c>
      <c r="K4856">
        <v>0.874</v>
      </c>
      <c r="L4856">
        <v>4.9000000000000002E-2</v>
      </c>
      <c r="M4856">
        <v>0.89700000000000002</v>
      </c>
      <c r="N4856">
        <v>0.15</v>
      </c>
    </row>
    <row r="4857" spans="1:14" x14ac:dyDescent="0.25">
      <c r="A4857" t="s">
        <v>8804</v>
      </c>
      <c r="B4857" t="s">
        <v>8805</v>
      </c>
      <c r="C4857" s="1" t="str">
        <f>HYPERLINK("http://www.genecards.org/cgi-bin/carddisp.pl?gene=C12orf52","GeneCards")</f>
        <v>GeneCards</v>
      </c>
      <c r="D4857" s="1" t="str">
        <f>HYPERLINK("http://genome-euro.ucsc.edu/cgi-bin/hgTracks?position=221777_at","UCSC")</f>
        <v>UCSC</v>
      </c>
      <c r="E4857" s="1" t="str">
        <f>HYPERLINK("http://www.ncbi.nlm.nih.gov/gene/?term=C12orf52","NCBI")</f>
        <v>NCBI</v>
      </c>
      <c r="F4857">
        <v>4.2000000000000003E-2</v>
      </c>
      <c r="G4857">
        <v>0.15</v>
      </c>
      <c r="H4857" s="1" t="str">
        <f>HYPERLINK("http://www.weizmann.ac.il/complex/compphys/software/geview/data/figures/221777_at.png","Figure")</f>
        <v>Figure</v>
      </c>
      <c r="I4857">
        <v>1.37</v>
      </c>
      <c r="J4857">
        <v>7.1999999999999995E-2</v>
      </c>
      <c r="K4857">
        <v>1.33</v>
      </c>
      <c r="L4857">
        <v>6.2E-2</v>
      </c>
      <c r="M4857">
        <v>0.97099999999999997</v>
      </c>
      <c r="N4857">
        <v>0.97</v>
      </c>
    </row>
    <row r="4858" spans="1:14" x14ac:dyDescent="0.25">
      <c r="A4858" t="s">
        <v>8806</v>
      </c>
      <c r="B4858" t="s">
        <v>8807</v>
      </c>
      <c r="C4858" s="1" t="str">
        <f>HYPERLINK("http://www.genecards.org/cgi-bin/carddisp.pl?gene=HDAC2","GeneCards")</f>
        <v>GeneCards</v>
      </c>
      <c r="D4858" s="1" t="str">
        <f>HYPERLINK("http://genome-euro.ucsc.edu/cgi-bin/hgTracks?position=201833_at","UCSC")</f>
        <v>UCSC</v>
      </c>
      <c r="E4858" s="1" t="str">
        <f>HYPERLINK("http://www.ncbi.nlm.nih.gov/gene/?term=HDAC2","NCBI")</f>
        <v>NCBI</v>
      </c>
      <c r="F4858">
        <v>4.2000000000000003E-2</v>
      </c>
      <c r="G4858">
        <v>0.15</v>
      </c>
      <c r="H4858" s="1" t="str">
        <f>HYPERLINK("http://www.weizmann.ac.il/complex/compphys/software/geview/data/figures/201833_at.png","Figure")</f>
        <v>Figure</v>
      </c>
      <c r="I4858">
        <v>0.70899999999999996</v>
      </c>
      <c r="J4858">
        <v>0.14000000000000001</v>
      </c>
      <c r="K4858">
        <v>1.1100000000000001</v>
      </c>
      <c r="L4858">
        <v>0.78</v>
      </c>
      <c r="M4858">
        <v>1.56</v>
      </c>
      <c r="N4858">
        <v>3.5999999999999997E-2</v>
      </c>
    </row>
    <row r="4859" spans="1:14" x14ac:dyDescent="0.25">
      <c r="A4859" t="s">
        <v>8808</v>
      </c>
      <c r="B4859" t="s">
        <v>4899</v>
      </c>
      <c r="C4859" s="1" t="str">
        <f>HYPERLINK("http://www.genecards.org/cgi-bin/carddisp.pl?gene=ARF3","GeneCards")</f>
        <v>GeneCards</v>
      </c>
      <c r="D4859" s="1" t="str">
        <f>HYPERLINK("http://genome-euro.ucsc.edu/cgi-bin/hgTracks?position=200734_s_at","UCSC")</f>
        <v>UCSC</v>
      </c>
      <c r="E4859" s="1" t="str">
        <f>HYPERLINK("http://www.ncbi.nlm.nih.gov/gene/?term=ARF3","NCBI")</f>
        <v>NCBI</v>
      </c>
      <c r="F4859">
        <v>4.2000000000000003E-2</v>
      </c>
      <c r="G4859">
        <v>0.15</v>
      </c>
      <c r="H4859" s="1" t="str">
        <f>HYPERLINK("http://www.weizmann.ac.il/complex/compphys/software/geview/data/figures/200734_s_at.png","Figure")</f>
        <v>Figure</v>
      </c>
      <c r="I4859">
        <v>1.36</v>
      </c>
      <c r="J4859">
        <v>0.46</v>
      </c>
      <c r="K4859">
        <v>1.86</v>
      </c>
      <c r="L4859">
        <v>3.5000000000000003E-2</v>
      </c>
      <c r="M4859">
        <v>1.37</v>
      </c>
      <c r="N4859">
        <v>0.4</v>
      </c>
    </row>
    <row r="4860" spans="1:14" x14ac:dyDescent="0.25">
      <c r="A4860" t="s">
        <v>8809</v>
      </c>
      <c r="B4860" t="s">
        <v>2322</v>
      </c>
      <c r="C4860" s="1" t="str">
        <f>HYPERLINK("http://www.genecards.org/cgi-bin/carddisp.pl?gene=PAM","GeneCards")</f>
        <v>GeneCards</v>
      </c>
      <c r="D4860" s="1" t="str">
        <f>HYPERLINK("http://genome-euro.ucsc.edu/cgi-bin/hgTracks?position=212958_x_at","UCSC")</f>
        <v>UCSC</v>
      </c>
      <c r="E4860" s="1" t="str">
        <f>HYPERLINK("http://www.ncbi.nlm.nih.gov/gene/?term=PAM","NCBI")</f>
        <v>NCBI</v>
      </c>
      <c r="F4860">
        <v>4.2000000000000003E-2</v>
      </c>
      <c r="G4860">
        <v>0.15</v>
      </c>
      <c r="H4860" s="1" t="str">
        <f>HYPERLINK("http://www.weizmann.ac.il/complex/compphys/software/geview/data/figures/212958_x_at.png","Figure")</f>
        <v>Figure</v>
      </c>
      <c r="I4860">
        <v>1.03</v>
      </c>
      <c r="J4860">
        <v>0.99</v>
      </c>
      <c r="K4860">
        <v>0.70499999999999996</v>
      </c>
      <c r="L4860">
        <v>0.08</v>
      </c>
      <c r="M4860">
        <v>0.68700000000000006</v>
      </c>
      <c r="N4860">
        <v>7.9000000000000001E-2</v>
      </c>
    </row>
    <row r="4861" spans="1:14" x14ac:dyDescent="0.25">
      <c r="A4861" t="s">
        <v>8810</v>
      </c>
      <c r="B4861" t="s">
        <v>4913</v>
      </c>
      <c r="C4861" s="1" t="str">
        <f>HYPERLINK("http://www.genecards.org/cgi-bin/carddisp.pl?gene=MAP4","GeneCards")</f>
        <v>GeneCards</v>
      </c>
      <c r="D4861" s="1" t="str">
        <f>HYPERLINK("http://genome-euro.ucsc.edu/cgi-bin/hgTracks?position=212567_s_at","UCSC")</f>
        <v>UCSC</v>
      </c>
      <c r="E4861" s="1" t="str">
        <f>HYPERLINK("http://www.ncbi.nlm.nih.gov/gene/?term=MAP4","NCBI")</f>
        <v>NCBI</v>
      </c>
      <c r="F4861">
        <v>4.2000000000000003E-2</v>
      </c>
      <c r="G4861">
        <v>0.15</v>
      </c>
      <c r="H4861" s="1" t="str">
        <f>HYPERLINK("http://www.weizmann.ac.il/complex/compphys/software/geview/data/figures/212567_s_at.png","Figure")</f>
        <v>Figure</v>
      </c>
      <c r="I4861">
        <v>1.27</v>
      </c>
      <c r="J4861">
        <v>8.1000000000000003E-2</v>
      </c>
      <c r="K4861">
        <v>1.25</v>
      </c>
      <c r="L4861">
        <v>5.6000000000000001E-2</v>
      </c>
      <c r="M4861">
        <v>0.98799999999999999</v>
      </c>
      <c r="N4861">
        <v>0.99</v>
      </c>
    </row>
    <row r="4862" spans="1:14" x14ac:dyDescent="0.25">
      <c r="A4862" t="s">
        <v>8811</v>
      </c>
      <c r="B4862" t="s">
        <v>8812</v>
      </c>
      <c r="C4862" s="1" t="str">
        <f>HYPERLINK("http://www.genecards.org/cgi-bin/carddisp.pl?gene=EXT1","GeneCards")</f>
        <v>GeneCards</v>
      </c>
      <c r="D4862" s="1" t="str">
        <f>HYPERLINK("http://genome-euro.ucsc.edu/cgi-bin/hgTracks?position=201995_at","UCSC")</f>
        <v>UCSC</v>
      </c>
      <c r="E4862" s="1" t="str">
        <f>HYPERLINK("http://www.ncbi.nlm.nih.gov/gene/?term=EXT1","NCBI")</f>
        <v>NCBI</v>
      </c>
      <c r="F4862">
        <v>4.2000000000000003E-2</v>
      </c>
      <c r="G4862">
        <v>0.15</v>
      </c>
      <c r="H4862" s="1" t="str">
        <f>HYPERLINK("http://www.weizmann.ac.il/complex/compphys/software/geview/data/figures/201995_at.png","Figure")</f>
        <v>Figure</v>
      </c>
      <c r="I4862">
        <v>0.72099999999999997</v>
      </c>
      <c r="J4862">
        <v>5.8999999999999997E-2</v>
      </c>
      <c r="K4862">
        <v>0.97699999999999998</v>
      </c>
      <c r="L4862">
        <v>0.98</v>
      </c>
      <c r="M4862">
        <v>1.36</v>
      </c>
      <c r="N4862">
        <v>0.06</v>
      </c>
    </row>
    <row r="4863" spans="1:14" x14ac:dyDescent="0.25">
      <c r="A4863" t="s">
        <v>8813</v>
      </c>
      <c r="B4863" t="s">
        <v>6953</v>
      </c>
      <c r="C4863" s="1" t="str">
        <f>HYPERLINK("http://www.genecards.org/cgi-bin/carddisp.pl?gene=CPT1A","GeneCards")</f>
        <v>GeneCards</v>
      </c>
      <c r="D4863" s="1" t="str">
        <f>HYPERLINK("http://genome-euro.ucsc.edu/cgi-bin/hgTracks?position=210688_s_at","UCSC")</f>
        <v>UCSC</v>
      </c>
      <c r="E4863" s="1" t="str">
        <f>HYPERLINK("http://www.ncbi.nlm.nih.gov/gene/?term=CPT1A","NCBI")</f>
        <v>NCBI</v>
      </c>
      <c r="F4863">
        <v>4.2000000000000003E-2</v>
      </c>
      <c r="G4863">
        <v>0.15</v>
      </c>
      <c r="H4863" s="1" t="str">
        <f>HYPERLINK("http://www.weizmann.ac.il/complex/compphys/software/geview/data/figures/210688_s_at.png","Figure")</f>
        <v>Figure</v>
      </c>
      <c r="I4863">
        <v>1.2</v>
      </c>
      <c r="J4863">
        <v>4.2999999999999997E-2</v>
      </c>
      <c r="K4863">
        <v>1.04</v>
      </c>
      <c r="L4863">
        <v>0.78</v>
      </c>
      <c r="M4863">
        <v>0.86799999999999999</v>
      </c>
      <c r="N4863">
        <v>9.2999999999999999E-2</v>
      </c>
    </row>
    <row r="4864" spans="1:14" x14ac:dyDescent="0.25">
      <c r="A4864" t="s">
        <v>8814</v>
      </c>
      <c r="B4864" t="s">
        <v>8815</v>
      </c>
      <c r="C4864" s="1" t="str">
        <f>HYPERLINK("http://www.genecards.org/cgi-bin/carddisp.pl?gene=TNFSF9","GeneCards")</f>
        <v>GeneCards</v>
      </c>
      <c r="D4864" s="1" t="str">
        <f>HYPERLINK("http://genome-euro.ucsc.edu/cgi-bin/hgTracks?position=206907_at","UCSC")</f>
        <v>UCSC</v>
      </c>
      <c r="E4864" s="1" t="str">
        <f>HYPERLINK("http://www.ncbi.nlm.nih.gov/gene/?term=TNFSF9","NCBI")</f>
        <v>NCBI</v>
      </c>
      <c r="F4864">
        <v>4.2999999999999997E-2</v>
      </c>
      <c r="G4864">
        <v>0.15</v>
      </c>
      <c r="H4864" s="1" t="str">
        <f>HYPERLINK("http://www.weizmann.ac.il/complex/compphys/software/geview/data/figures/206907_at.png","Figure")</f>
        <v>Figure</v>
      </c>
      <c r="I4864">
        <v>1.1599999999999999</v>
      </c>
      <c r="J4864">
        <v>9.5000000000000001E-2</v>
      </c>
      <c r="K4864">
        <v>0.98199999999999998</v>
      </c>
      <c r="L4864">
        <v>0.95</v>
      </c>
      <c r="M4864">
        <v>0.84399999999999997</v>
      </c>
      <c r="N4864">
        <v>4.2000000000000003E-2</v>
      </c>
    </row>
    <row r="4865" spans="1:14" x14ac:dyDescent="0.25">
      <c r="A4865" t="s">
        <v>8816</v>
      </c>
      <c r="B4865" t="s">
        <v>8817</v>
      </c>
      <c r="C4865" s="1" t="str">
        <f>HYPERLINK("http://www.genecards.org/cgi-bin/carddisp.pl?gene=CUGBP2","GeneCards")</f>
        <v>GeneCards</v>
      </c>
      <c r="D4865" s="1" t="str">
        <f>HYPERLINK("http://genome-euro.ucsc.edu/cgi-bin/hgTracks?position=202158_s_at","UCSC")</f>
        <v>UCSC</v>
      </c>
      <c r="E4865" s="1" t="str">
        <f>HYPERLINK("http://www.ncbi.nlm.nih.gov/gene/?term=CUGBP2","NCBI")</f>
        <v>NCBI</v>
      </c>
      <c r="F4865">
        <v>4.2999999999999997E-2</v>
      </c>
      <c r="G4865">
        <v>0.15</v>
      </c>
      <c r="H4865" s="1" t="str">
        <f>HYPERLINK("http://www.weizmann.ac.il/complex/compphys/software/geview/data/figures/202158_s_at.png","Figure")</f>
        <v>Figure</v>
      </c>
      <c r="I4865">
        <v>0.67600000000000005</v>
      </c>
      <c r="J4865">
        <v>0.15</v>
      </c>
      <c r="K4865">
        <v>0.627</v>
      </c>
      <c r="L4865">
        <v>0.04</v>
      </c>
      <c r="M4865">
        <v>0.92800000000000005</v>
      </c>
      <c r="N4865">
        <v>0.91</v>
      </c>
    </row>
    <row r="4866" spans="1:14" x14ac:dyDescent="0.25">
      <c r="A4866" t="s">
        <v>8818</v>
      </c>
      <c r="B4866" t="s">
        <v>8819</v>
      </c>
      <c r="C4866" s="1" t="str">
        <f>HYPERLINK("http://www.genecards.org/cgi-bin/carddisp.pl?gene=C1orf107","GeneCards")</f>
        <v>GeneCards</v>
      </c>
      <c r="D4866" s="1" t="str">
        <f>HYPERLINK("http://genome-euro.ucsc.edu/cgi-bin/hgTracks?position=204699_s_at","UCSC")</f>
        <v>UCSC</v>
      </c>
      <c r="E4866" s="1" t="str">
        <f>HYPERLINK("http://www.ncbi.nlm.nih.gov/gene/?term=C1orf107","NCBI")</f>
        <v>NCBI</v>
      </c>
      <c r="F4866">
        <v>4.2999999999999997E-2</v>
      </c>
      <c r="G4866">
        <v>0.15</v>
      </c>
      <c r="H4866" s="1" t="str">
        <f>HYPERLINK("http://www.weizmann.ac.il/complex/compphys/software/geview/data/figures/204699_s_at.png","Figure")</f>
        <v>Figure</v>
      </c>
      <c r="I4866">
        <v>1.45</v>
      </c>
      <c r="J4866">
        <v>3.4000000000000002E-2</v>
      </c>
      <c r="K4866">
        <v>1.18</v>
      </c>
      <c r="L4866">
        <v>0.34</v>
      </c>
      <c r="M4866">
        <v>0.81599999999999995</v>
      </c>
      <c r="N4866">
        <v>0.25</v>
      </c>
    </row>
    <row r="4867" spans="1:14" x14ac:dyDescent="0.25">
      <c r="A4867" t="s">
        <v>8820</v>
      </c>
      <c r="B4867" t="s">
        <v>8821</v>
      </c>
      <c r="C4867" s="1" t="str">
        <f>HYPERLINK("http://www.genecards.org/cgi-bin/carddisp.pl?gene=STK38L","GeneCards")</f>
        <v>GeneCards</v>
      </c>
      <c r="D4867" s="1" t="str">
        <f>HYPERLINK("http://genome-euro.ucsc.edu/cgi-bin/hgTracks?position=212565_at","UCSC")</f>
        <v>UCSC</v>
      </c>
      <c r="E4867" s="1" t="str">
        <f>HYPERLINK("http://www.ncbi.nlm.nih.gov/gene/?term=STK38L","NCBI")</f>
        <v>NCBI</v>
      </c>
      <c r="F4867">
        <v>4.2999999999999997E-2</v>
      </c>
      <c r="G4867">
        <v>0.15</v>
      </c>
      <c r="H4867" s="1" t="str">
        <f>HYPERLINK("http://www.weizmann.ac.il/complex/compphys/software/geview/data/figures/212565_at.png","Figure")</f>
        <v>Figure</v>
      </c>
      <c r="I4867">
        <v>0.93600000000000005</v>
      </c>
      <c r="J4867">
        <v>7.0000000000000007E-2</v>
      </c>
      <c r="K4867">
        <v>1</v>
      </c>
      <c r="L4867">
        <v>1</v>
      </c>
      <c r="M4867">
        <v>1.07</v>
      </c>
      <c r="N4867">
        <v>5.0999999999999997E-2</v>
      </c>
    </row>
    <row r="4868" spans="1:14" x14ac:dyDescent="0.25">
      <c r="A4868" t="s">
        <v>8822</v>
      </c>
      <c r="B4868" t="s">
        <v>8823</v>
      </c>
      <c r="C4868" s="1" t="str">
        <f>HYPERLINK("http://www.genecards.org/cgi-bin/carddisp.pl?gene=CADM1","GeneCards")</f>
        <v>GeneCards</v>
      </c>
      <c r="D4868" s="1" t="str">
        <f>HYPERLINK("http://genome-euro.ucsc.edu/cgi-bin/hgTracks?position=209032_s_at","UCSC")</f>
        <v>UCSC</v>
      </c>
      <c r="E4868" s="1" t="str">
        <f>HYPERLINK("http://www.ncbi.nlm.nih.gov/gene/?term=CADM1","NCBI")</f>
        <v>NCBI</v>
      </c>
      <c r="F4868">
        <v>4.2999999999999997E-2</v>
      </c>
      <c r="G4868">
        <v>0.15</v>
      </c>
      <c r="H4868" s="1" t="str">
        <f>HYPERLINK("http://www.weizmann.ac.il/complex/compphys/software/geview/data/figures/209032_s_at.png","Figure")</f>
        <v>Figure</v>
      </c>
      <c r="I4868">
        <v>1.31</v>
      </c>
      <c r="J4868">
        <v>3.4000000000000002E-2</v>
      </c>
      <c r="K4868">
        <v>1.1200000000000001</v>
      </c>
      <c r="L4868">
        <v>0.39</v>
      </c>
      <c r="M4868">
        <v>0.85199999999999998</v>
      </c>
      <c r="N4868">
        <v>0.21</v>
      </c>
    </row>
    <row r="4869" spans="1:14" x14ac:dyDescent="0.25">
      <c r="A4869" t="s">
        <v>8824</v>
      </c>
      <c r="B4869" s="3">
        <v>42621</v>
      </c>
      <c r="C4869" s="1" t="str">
        <f>HYPERLINK("http://www.genecards.org/cgi-bin/carddisp.pl?gene=8-Sep","GeneCards")</f>
        <v>GeneCards</v>
      </c>
      <c r="D4869" s="1" t="str">
        <f>HYPERLINK("http://genome-euro.ucsc.edu/cgi-bin/hgTracks?position=208999_at","UCSC")</f>
        <v>UCSC</v>
      </c>
      <c r="E4869" s="1" t="str">
        <f>HYPERLINK("http://www.ncbi.nlm.nih.gov/gene/?term=8-Sep","NCBI")</f>
        <v>NCBI</v>
      </c>
      <c r="F4869">
        <v>4.2999999999999997E-2</v>
      </c>
      <c r="G4869">
        <v>0.15</v>
      </c>
      <c r="H4869" s="1" t="str">
        <f>HYPERLINK("http://www.weizmann.ac.il/complex/compphys/software/geview/data/figures/208999_at.png","Figure")</f>
        <v>Figure</v>
      </c>
      <c r="I4869">
        <v>1.55</v>
      </c>
      <c r="J4869">
        <v>0.15</v>
      </c>
      <c r="K4869">
        <v>1.69</v>
      </c>
      <c r="L4869">
        <v>0.04</v>
      </c>
      <c r="M4869">
        <v>1.0900000000000001</v>
      </c>
      <c r="N4869">
        <v>0.91</v>
      </c>
    </row>
    <row r="4870" spans="1:14" x14ac:dyDescent="0.25">
      <c r="A4870" t="s">
        <v>8825</v>
      </c>
      <c r="B4870" t="s">
        <v>8826</v>
      </c>
      <c r="C4870" s="1" t="str">
        <f>HYPERLINK("http://www.genecards.org/cgi-bin/carddisp.pl?gene=ANKLE2","GeneCards")</f>
        <v>GeneCards</v>
      </c>
      <c r="D4870" s="1" t="str">
        <f>HYPERLINK("http://genome-euro.ucsc.edu/cgi-bin/hgTracks?position=213962_s_at","UCSC")</f>
        <v>UCSC</v>
      </c>
      <c r="E4870" s="1" t="str">
        <f>HYPERLINK("http://www.ncbi.nlm.nih.gov/gene/?term=ANKLE2","NCBI")</f>
        <v>NCBI</v>
      </c>
      <c r="F4870">
        <v>4.2999999999999997E-2</v>
      </c>
      <c r="G4870">
        <v>0.15</v>
      </c>
      <c r="H4870" s="1" t="str">
        <f>HYPERLINK("http://www.weizmann.ac.il/complex/compphys/software/geview/data/figures/213962_s_at.png","Figure")</f>
        <v>Figure</v>
      </c>
      <c r="I4870">
        <v>1.08</v>
      </c>
      <c r="J4870">
        <v>8.2000000000000003E-2</v>
      </c>
      <c r="K4870">
        <v>0.995</v>
      </c>
      <c r="L4870">
        <v>0.98</v>
      </c>
      <c r="M4870">
        <v>0.91900000000000004</v>
      </c>
      <c r="N4870">
        <v>4.5999999999999999E-2</v>
      </c>
    </row>
    <row r="4871" spans="1:14" x14ac:dyDescent="0.25">
      <c r="A4871" t="s">
        <v>8827</v>
      </c>
      <c r="B4871" t="s">
        <v>8828</v>
      </c>
      <c r="C4871" s="1" t="str">
        <f>HYPERLINK("http://www.genecards.org/cgi-bin/carddisp.pl?gene=YBX2","GeneCards")</f>
        <v>GeneCards</v>
      </c>
      <c r="D4871" s="1" t="str">
        <f>HYPERLINK("http://genome-euro.ucsc.edu/cgi-bin/hgTracks?position=219704_at","UCSC")</f>
        <v>UCSC</v>
      </c>
      <c r="E4871" s="1" t="str">
        <f>HYPERLINK("http://www.ncbi.nlm.nih.gov/gene/?term=YBX2","NCBI")</f>
        <v>NCBI</v>
      </c>
      <c r="F4871">
        <v>4.2999999999999997E-2</v>
      </c>
      <c r="G4871">
        <v>0.15</v>
      </c>
      <c r="H4871" s="1" t="str">
        <f>HYPERLINK("http://www.weizmann.ac.il/complex/compphys/software/geview/data/figures/219704_at.png","Figure")</f>
        <v>Figure</v>
      </c>
      <c r="I4871">
        <v>1.17</v>
      </c>
      <c r="J4871">
        <v>0.21</v>
      </c>
      <c r="K4871">
        <v>0.92700000000000005</v>
      </c>
      <c r="L4871">
        <v>0.57999999999999996</v>
      </c>
      <c r="M4871">
        <v>0.79400000000000004</v>
      </c>
      <c r="N4871">
        <v>3.4000000000000002E-2</v>
      </c>
    </row>
    <row r="4872" spans="1:14" x14ac:dyDescent="0.25">
      <c r="A4872" t="s">
        <v>8829</v>
      </c>
      <c r="B4872" t="s">
        <v>8830</v>
      </c>
      <c r="C4872" s="1" t="str">
        <f>HYPERLINK("http://www.genecards.org/cgi-bin/carddisp.pl?gene=FTH1","GeneCards")</f>
        <v>GeneCards</v>
      </c>
      <c r="D4872" s="1" t="str">
        <f>HYPERLINK("http://genome-euro.ucsc.edu/cgi-bin/hgTracks?position=200748_s_at","UCSC")</f>
        <v>UCSC</v>
      </c>
      <c r="E4872" s="1" t="str">
        <f>HYPERLINK("http://www.ncbi.nlm.nih.gov/gene/?term=FTH1","NCBI")</f>
        <v>NCBI</v>
      </c>
      <c r="F4872">
        <v>4.2999999999999997E-2</v>
      </c>
      <c r="G4872">
        <v>0.15</v>
      </c>
      <c r="H4872" s="1" t="str">
        <f>HYPERLINK("http://www.weizmann.ac.il/complex/compphys/software/geview/data/figures/200748_s_at.png","Figure")</f>
        <v>Figure</v>
      </c>
      <c r="I4872">
        <v>0.67</v>
      </c>
      <c r="J4872">
        <v>0.31</v>
      </c>
      <c r="K4872">
        <v>0.52400000000000002</v>
      </c>
      <c r="L4872">
        <v>3.4000000000000002E-2</v>
      </c>
      <c r="M4872">
        <v>0.78200000000000003</v>
      </c>
      <c r="N4872">
        <v>0.57999999999999996</v>
      </c>
    </row>
    <row r="4873" spans="1:14" x14ac:dyDescent="0.25">
      <c r="A4873" t="s">
        <v>8831</v>
      </c>
      <c r="B4873" t="s">
        <v>8832</v>
      </c>
      <c r="C4873" s="1" t="str">
        <f>HYPERLINK("http://www.genecards.org/cgi-bin/carddisp.pl?gene=MPPED1","GeneCards")</f>
        <v>GeneCards</v>
      </c>
      <c r="D4873" s="1" t="str">
        <f>HYPERLINK("http://genome-euro.ucsc.edu/cgi-bin/hgTracks?position=206436_at","UCSC")</f>
        <v>UCSC</v>
      </c>
      <c r="E4873" s="1" t="str">
        <f>HYPERLINK("http://www.ncbi.nlm.nih.gov/gene/?term=MPPED1","NCBI")</f>
        <v>NCBI</v>
      </c>
      <c r="F4873">
        <v>4.2999999999999997E-2</v>
      </c>
      <c r="G4873">
        <v>0.15</v>
      </c>
      <c r="H4873" s="1" t="str">
        <f>HYPERLINK("http://www.weizmann.ac.il/complex/compphys/software/geview/data/figures/206436_at.png","Figure")</f>
        <v>Figure</v>
      </c>
      <c r="I4873">
        <v>1.45</v>
      </c>
      <c r="J4873">
        <v>3.5000000000000003E-2</v>
      </c>
      <c r="K4873">
        <v>1.1599999999999999</v>
      </c>
      <c r="L4873">
        <v>0.43</v>
      </c>
      <c r="M4873">
        <v>0.79800000000000004</v>
      </c>
      <c r="N4873">
        <v>0.19</v>
      </c>
    </row>
    <row r="4874" spans="1:14" x14ac:dyDescent="0.25">
      <c r="A4874" t="s">
        <v>8833</v>
      </c>
      <c r="B4874" t="s">
        <v>8834</v>
      </c>
      <c r="C4874" s="1" t="str">
        <f>HYPERLINK("http://www.genecards.org/cgi-bin/carddisp.pl?gene=RPRM","GeneCards")</f>
        <v>GeneCards</v>
      </c>
      <c r="D4874" s="1" t="str">
        <f>HYPERLINK("http://genome-euro.ucsc.edu/cgi-bin/hgTracks?position=219370_at","UCSC")</f>
        <v>UCSC</v>
      </c>
      <c r="E4874" s="1" t="str">
        <f>HYPERLINK("http://www.ncbi.nlm.nih.gov/gene/?term=RPRM","NCBI")</f>
        <v>NCBI</v>
      </c>
      <c r="F4874">
        <v>4.2999999999999997E-2</v>
      </c>
      <c r="G4874">
        <v>0.15</v>
      </c>
      <c r="H4874" s="1" t="str">
        <f>HYPERLINK("http://www.weizmann.ac.il/complex/compphys/software/geview/data/figures/219370_at.png","Figure")</f>
        <v>Figure</v>
      </c>
      <c r="I4874">
        <v>1.1499999999999999</v>
      </c>
      <c r="J4874">
        <v>3.5000000000000003E-2</v>
      </c>
      <c r="K4874">
        <v>1.05</v>
      </c>
      <c r="L4874">
        <v>0.48</v>
      </c>
      <c r="M4874">
        <v>0.91700000000000004</v>
      </c>
      <c r="N4874">
        <v>0.17</v>
      </c>
    </row>
    <row r="4875" spans="1:14" x14ac:dyDescent="0.25">
      <c r="A4875" t="s">
        <v>8835</v>
      </c>
      <c r="B4875" t="s">
        <v>8836</v>
      </c>
      <c r="C4875" s="1" t="str">
        <f>HYPERLINK("http://www.genecards.org/cgi-bin/carddisp.pl?gene=HUNK","GeneCards")</f>
        <v>GeneCards</v>
      </c>
      <c r="D4875" s="1" t="str">
        <f>HYPERLINK("http://genome-euro.ucsc.edu/cgi-bin/hgTracks?position=219535_at","UCSC")</f>
        <v>UCSC</v>
      </c>
      <c r="E4875" s="1" t="str">
        <f>HYPERLINK("http://www.ncbi.nlm.nih.gov/gene/?term=HUNK","NCBI")</f>
        <v>NCBI</v>
      </c>
      <c r="F4875">
        <v>4.2999999999999997E-2</v>
      </c>
      <c r="G4875">
        <v>0.15</v>
      </c>
      <c r="H4875" s="1" t="str">
        <f>HYPERLINK("http://www.weizmann.ac.il/complex/compphys/software/geview/data/figures/219535_at.png","Figure")</f>
        <v>Figure</v>
      </c>
      <c r="I4875">
        <v>1.1599999999999999</v>
      </c>
      <c r="J4875">
        <v>5.3999999999999999E-2</v>
      </c>
      <c r="K4875">
        <v>1.02</v>
      </c>
      <c r="L4875">
        <v>0.95</v>
      </c>
      <c r="M4875">
        <v>0.877</v>
      </c>
      <c r="N4875">
        <v>6.6000000000000003E-2</v>
      </c>
    </row>
    <row r="4876" spans="1:14" x14ac:dyDescent="0.25">
      <c r="A4876" t="s">
        <v>8837</v>
      </c>
      <c r="B4876" t="s">
        <v>8838</v>
      </c>
      <c r="C4876" s="1" t="str">
        <f>HYPERLINK("http://www.genecards.org/cgi-bin/carddisp.pl?gene=HLA-B","GeneCards")</f>
        <v>GeneCards</v>
      </c>
      <c r="D4876" s="1" t="str">
        <f>HYPERLINK("http://genome-euro.ucsc.edu/cgi-bin/hgTracks?position=209140_x_at","UCSC")</f>
        <v>UCSC</v>
      </c>
      <c r="E4876" s="1" t="str">
        <f>HYPERLINK("http://www.ncbi.nlm.nih.gov/gene/?term=HLA-B","NCBI")</f>
        <v>NCBI</v>
      </c>
      <c r="F4876">
        <v>4.2999999999999997E-2</v>
      </c>
      <c r="G4876">
        <v>0.15</v>
      </c>
      <c r="H4876" s="1" t="str">
        <f>HYPERLINK("http://www.weizmann.ac.il/complex/compphys/software/geview/data/figures/209140_x_at.png","Figure")</f>
        <v>Figure</v>
      </c>
      <c r="I4876">
        <v>0.85899999999999999</v>
      </c>
      <c r="J4876">
        <v>0.35</v>
      </c>
      <c r="K4876">
        <v>0.77</v>
      </c>
      <c r="L4876">
        <v>3.4000000000000002E-2</v>
      </c>
      <c r="M4876">
        <v>0.89700000000000002</v>
      </c>
      <c r="N4876">
        <v>0.53</v>
      </c>
    </row>
    <row r="4877" spans="1:14" x14ac:dyDescent="0.25">
      <c r="A4877" t="s">
        <v>8839</v>
      </c>
      <c r="B4877" t="s">
        <v>2835</v>
      </c>
      <c r="C4877" s="1" t="str">
        <f>HYPERLINK("http://www.genecards.org/cgi-bin/carddisp.pl?gene=NHP2","GeneCards")</f>
        <v>GeneCards</v>
      </c>
      <c r="D4877" s="1" t="str">
        <f>HYPERLINK("http://genome-euro.ucsc.edu/cgi-bin/hgTracks?position=216583_x_at","UCSC")</f>
        <v>UCSC</v>
      </c>
      <c r="E4877" s="1" t="str">
        <f>HYPERLINK("http://www.ncbi.nlm.nih.gov/gene/?term=NHP2","NCBI")</f>
        <v>NCBI</v>
      </c>
      <c r="F4877">
        <v>4.2999999999999997E-2</v>
      </c>
      <c r="G4877">
        <v>0.15</v>
      </c>
      <c r="H4877" s="1" t="str">
        <f>HYPERLINK("http://www.weizmann.ac.il/complex/compphys/software/geview/data/figures/216583_x_at.png","Figure")</f>
        <v>Figure</v>
      </c>
      <c r="I4877">
        <v>1.28</v>
      </c>
      <c r="J4877">
        <v>4.7E-2</v>
      </c>
      <c r="K4877">
        <v>1.19</v>
      </c>
      <c r="L4877">
        <v>0.11</v>
      </c>
      <c r="M4877">
        <v>0.93300000000000005</v>
      </c>
      <c r="N4877">
        <v>0.7</v>
      </c>
    </row>
    <row r="4878" spans="1:14" x14ac:dyDescent="0.25">
      <c r="A4878" t="s">
        <v>8840</v>
      </c>
      <c r="B4878" t="s">
        <v>8841</v>
      </c>
      <c r="C4878" s="1" t="str">
        <f>HYPERLINK("http://www.genecards.org/cgi-bin/carddisp.pl?gene=CYLC1","GeneCards")</f>
        <v>GeneCards</v>
      </c>
      <c r="D4878" s="1" t="str">
        <f>HYPERLINK("http://genome-euro.ucsc.edu/cgi-bin/hgTracks?position=216779_at","UCSC")</f>
        <v>UCSC</v>
      </c>
      <c r="E4878" s="1" t="str">
        <f>HYPERLINK("http://www.ncbi.nlm.nih.gov/gene/?term=CYLC1","NCBI")</f>
        <v>NCBI</v>
      </c>
      <c r="F4878">
        <v>4.2999999999999997E-2</v>
      </c>
      <c r="G4878">
        <v>0.15</v>
      </c>
      <c r="H4878" s="1" t="str">
        <f>HYPERLINK("http://www.weizmann.ac.il/complex/compphys/software/geview/data/figures/216779_at.png","Figure")</f>
        <v>Figure</v>
      </c>
      <c r="I4878">
        <v>1.19</v>
      </c>
      <c r="J4878">
        <v>4.2999999999999997E-2</v>
      </c>
      <c r="K4878">
        <v>1.1200000000000001</v>
      </c>
      <c r="L4878">
        <v>0.13</v>
      </c>
      <c r="M4878">
        <v>0.94399999999999995</v>
      </c>
      <c r="N4878">
        <v>0.61</v>
      </c>
    </row>
    <row r="4879" spans="1:14" x14ac:dyDescent="0.25">
      <c r="A4879" t="s">
        <v>8842</v>
      </c>
      <c r="B4879" t="s">
        <v>8843</v>
      </c>
      <c r="C4879" s="1" t="str">
        <f>HYPERLINK("http://www.genecards.org/cgi-bin/carddisp.pl?gene=PSMA2","GeneCards")</f>
        <v>GeneCards</v>
      </c>
      <c r="D4879" s="1" t="str">
        <f>HYPERLINK("http://genome-euro.ucsc.edu/cgi-bin/hgTracks?position=201317_s_at","UCSC")</f>
        <v>UCSC</v>
      </c>
      <c r="E4879" s="1" t="str">
        <f>HYPERLINK("http://www.ncbi.nlm.nih.gov/gene/?term=PSMA2","NCBI")</f>
        <v>NCBI</v>
      </c>
      <c r="F4879">
        <v>4.2999999999999997E-2</v>
      </c>
      <c r="G4879">
        <v>0.15</v>
      </c>
      <c r="H4879" s="1" t="str">
        <f>HYPERLINK("http://www.weizmann.ac.il/complex/compphys/software/geview/data/figures/201317_s_at.png","Figure")</f>
        <v>Figure</v>
      </c>
      <c r="I4879">
        <v>0.97299999999999998</v>
      </c>
      <c r="J4879">
        <v>0.99</v>
      </c>
      <c r="K4879">
        <v>1.56</v>
      </c>
      <c r="L4879">
        <v>7.9000000000000001E-2</v>
      </c>
      <c r="M4879">
        <v>1.61</v>
      </c>
      <c r="N4879">
        <v>8.2000000000000003E-2</v>
      </c>
    </row>
    <row r="4880" spans="1:14" x14ac:dyDescent="0.25">
      <c r="A4880" t="s">
        <v>8844</v>
      </c>
      <c r="B4880" t="s">
        <v>8845</v>
      </c>
      <c r="C4880" s="1" t="str">
        <f>HYPERLINK("http://www.genecards.org/cgi-bin/carddisp.pl?gene=RNF13","GeneCards")</f>
        <v>GeneCards</v>
      </c>
      <c r="D4880" s="1" t="str">
        <f>HYPERLINK("http://genome-euro.ucsc.edu/cgi-bin/hgTracks?position=201780_s_at","UCSC")</f>
        <v>UCSC</v>
      </c>
      <c r="E4880" s="1" t="str">
        <f>HYPERLINK("http://www.ncbi.nlm.nih.gov/gene/?term=RNF13","NCBI")</f>
        <v>NCBI</v>
      </c>
      <c r="F4880">
        <v>4.2999999999999997E-2</v>
      </c>
      <c r="G4880">
        <v>0.15</v>
      </c>
      <c r="H4880" s="1" t="str">
        <f>HYPERLINK("http://www.weizmann.ac.il/complex/compphys/software/geview/data/figures/201780_s_at.png","Figure")</f>
        <v>Figure</v>
      </c>
      <c r="I4880">
        <v>0.58699999999999997</v>
      </c>
      <c r="J4880">
        <v>5.0999999999999997E-2</v>
      </c>
      <c r="K4880">
        <v>0.93300000000000005</v>
      </c>
      <c r="L4880">
        <v>0.92</v>
      </c>
      <c r="M4880">
        <v>1.59</v>
      </c>
      <c r="N4880">
        <v>7.0999999999999994E-2</v>
      </c>
    </row>
    <row r="4881" spans="1:14" x14ac:dyDescent="0.25">
      <c r="A4881" t="s">
        <v>8846</v>
      </c>
      <c r="B4881" t="s">
        <v>6032</v>
      </c>
      <c r="C4881" s="1" t="str">
        <f>HYPERLINK("http://www.genecards.org/cgi-bin/carddisp.pl?gene=HMGN4","GeneCards")</f>
        <v>GeneCards</v>
      </c>
      <c r="D4881" s="1" t="str">
        <f>HYPERLINK("http://genome-euro.ucsc.edu/cgi-bin/hgTracks?position=209787_s_at","UCSC")</f>
        <v>UCSC</v>
      </c>
      <c r="E4881" s="1" t="str">
        <f>HYPERLINK("http://www.ncbi.nlm.nih.gov/gene/?term=HMGN4","NCBI")</f>
        <v>NCBI</v>
      </c>
      <c r="F4881">
        <v>4.2999999999999997E-2</v>
      </c>
      <c r="G4881">
        <v>0.15</v>
      </c>
      <c r="H4881" s="1" t="str">
        <f>HYPERLINK("http://www.weizmann.ac.il/complex/compphys/software/geview/data/figures/209787_s_at.png","Figure")</f>
        <v>Figure</v>
      </c>
      <c r="I4881">
        <v>0.79400000000000004</v>
      </c>
      <c r="J4881">
        <v>0.3</v>
      </c>
      <c r="K4881">
        <v>1.18</v>
      </c>
      <c r="L4881">
        <v>0.44</v>
      </c>
      <c r="M4881">
        <v>1.48</v>
      </c>
      <c r="N4881">
        <v>3.5000000000000003E-2</v>
      </c>
    </row>
    <row r="4882" spans="1:14" x14ac:dyDescent="0.25">
      <c r="A4882" t="s">
        <v>8847</v>
      </c>
      <c r="B4882" t="s">
        <v>8848</v>
      </c>
      <c r="C4882" s="1" t="str">
        <f>HYPERLINK("http://www.genecards.org/cgi-bin/carddisp.pl?gene=KIF15","GeneCards")</f>
        <v>GeneCards</v>
      </c>
      <c r="D4882" s="1" t="str">
        <f>HYPERLINK("http://genome-euro.ucsc.edu/cgi-bin/hgTracks?position=219306_at","UCSC")</f>
        <v>UCSC</v>
      </c>
      <c r="E4882" s="1" t="str">
        <f>HYPERLINK("http://www.ncbi.nlm.nih.gov/gene/?term=KIF15","NCBI")</f>
        <v>NCBI</v>
      </c>
      <c r="F4882">
        <v>4.2999999999999997E-2</v>
      </c>
      <c r="G4882">
        <v>0.15</v>
      </c>
      <c r="H4882" s="1" t="str">
        <f>HYPERLINK("http://www.weizmann.ac.il/complex/compphys/software/geview/data/figures/219306_at.png","Figure")</f>
        <v>Figure</v>
      </c>
      <c r="I4882">
        <v>1.25</v>
      </c>
      <c r="J4882">
        <v>0.66</v>
      </c>
      <c r="K4882">
        <v>1.85</v>
      </c>
      <c r="L4882">
        <v>3.9E-2</v>
      </c>
      <c r="M4882">
        <v>1.48</v>
      </c>
      <c r="N4882">
        <v>0.26</v>
      </c>
    </row>
    <row r="4883" spans="1:14" x14ac:dyDescent="0.25">
      <c r="A4883" t="s">
        <v>8849</v>
      </c>
      <c r="B4883" t="s">
        <v>4626</v>
      </c>
      <c r="C4883" s="1" t="str">
        <f>HYPERLINK("http://www.genecards.org/cgi-bin/carddisp.pl?gene=WDR1","GeneCards")</f>
        <v>GeneCards</v>
      </c>
      <c r="D4883" s="1" t="str">
        <f>HYPERLINK("http://genome-euro.ucsc.edu/cgi-bin/hgTracks?position=200611_s_at","UCSC")</f>
        <v>UCSC</v>
      </c>
      <c r="E4883" s="1" t="str">
        <f>HYPERLINK("http://www.ncbi.nlm.nih.gov/gene/?term=WDR1","NCBI")</f>
        <v>NCBI</v>
      </c>
      <c r="F4883">
        <v>4.2999999999999997E-2</v>
      </c>
      <c r="G4883">
        <v>0.15</v>
      </c>
      <c r="H4883" s="1" t="str">
        <f>HYPERLINK("http://www.weizmann.ac.il/complex/compphys/software/geview/data/figures/200611_s_at.png","Figure")</f>
        <v>Figure</v>
      </c>
      <c r="I4883">
        <v>1</v>
      </c>
      <c r="J4883">
        <v>1</v>
      </c>
      <c r="K4883">
        <v>1.27</v>
      </c>
      <c r="L4883">
        <v>7.0000000000000007E-2</v>
      </c>
      <c r="M4883">
        <v>1.27</v>
      </c>
      <c r="N4883">
        <v>9.4E-2</v>
      </c>
    </row>
    <row r="4884" spans="1:14" x14ac:dyDescent="0.25">
      <c r="A4884" t="s">
        <v>8850</v>
      </c>
      <c r="B4884" t="s">
        <v>8851</v>
      </c>
      <c r="C4884" s="1" t="str">
        <f>HYPERLINK("http://www.genecards.org/cgi-bin/carddisp.pl?gene=KIDINS220","GeneCards")</f>
        <v>GeneCards</v>
      </c>
      <c r="D4884" s="1" t="str">
        <f>HYPERLINK("http://genome-euro.ucsc.edu/cgi-bin/hgTracks?position=212162_at","UCSC")</f>
        <v>UCSC</v>
      </c>
      <c r="E4884" s="1" t="str">
        <f>HYPERLINK("http://www.ncbi.nlm.nih.gov/gene/?term=KIDINS220","NCBI")</f>
        <v>NCBI</v>
      </c>
      <c r="F4884">
        <v>4.2999999999999997E-2</v>
      </c>
      <c r="G4884">
        <v>0.15</v>
      </c>
      <c r="H4884" s="1" t="str">
        <f>HYPERLINK("http://www.weizmann.ac.il/complex/compphys/software/geview/data/figures/212162_at.png","Figure")</f>
        <v>Figure</v>
      </c>
      <c r="I4884">
        <v>1.39</v>
      </c>
      <c r="J4884">
        <v>3.5000000000000003E-2</v>
      </c>
      <c r="K4884">
        <v>1.1499999999999999</v>
      </c>
      <c r="L4884">
        <v>0.39</v>
      </c>
      <c r="M4884">
        <v>0.82499999999999996</v>
      </c>
      <c r="N4884">
        <v>0.22</v>
      </c>
    </row>
    <row r="4885" spans="1:14" x14ac:dyDescent="0.25">
      <c r="A4885" t="s">
        <v>8852</v>
      </c>
      <c r="B4885" t="s">
        <v>8853</v>
      </c>
      <c r="C4885" s="1" t="str">
        <f>HYPERLINK("http://www.genecards.org/cgi-bin/carddisp.pl?gene=LDLR","GeneCards")</f>
        <v>GeneCards</v>
      </c>
      <c r="D4885" s="1" t="str">
        <f>HYPERLINK("http://genome-euro.ucsc.edu/cgi-bin/hgTracks?position=217183_at","UCSC")</f>
        <v>UCSC</v>
      </c>
      <c r="E4885" s="1" t="str">
        <f>HYPERLINK("http://www.ncbi.nlm.nih.gov/gene/?term=LDLR","NCBI")</f>
        <v>NCBI</v>
      </c>
      <c r="F4885">
        <v>4.2999999999999997E-2</v>
      </c>
      <c r="G4885">
        <v>0.15</v>
      </c>
      <c r="H4885" s="1" t="str">
        <f>HYPERLINK("http://www.weizmann.ac.il/complex/compphys/software/geview/data/figures/217183_at.png","Figure")</f>
        <v>Figure</v>
      </c>
      <c r="I4885">
        <v>1.25</v>
      </c>
      <c r="J4885">
        <v>4.1000000000000002E-2</v>
      </c>
      <c r="K4885">
        <v>1.1499999999999999</v>
      </c>
      <c r="L4885">
        <v>0.15</v>
      </c>
      <c r="M4885">
        <v>0.92300000000000004</v>
      </c>
      <c r="N4885">
        <v>0.56000000000000005</v>
      </c>
    </row>
    <row r="4886" spans="1:14" x14ac:dyDescent="0.25">
      <c r="A4886" t="s">
        <v>8854</v>
      </c>
      <c r="B4886" t="s">
        <v>6632</v>
      </c>
      <c r="C4886" s="1" t="str">
        <f>HYPERLINK("http://www.genecards.org/cgi-bin/carddisp.pl?gene=TGFA","GeneCards")</f>
        <v>GeneCards</v>
      </c>
      <c r="D4886" s="1" t="str">
        <f>HYPERLINK("http://genome-euro.ucsc.edu/cgi-bin/hgTracks?position=205016_at","UCSC")</f>
        <v>UCSC</v>
      </c>
      <c r="E4886" s="1" t="str">
        <f>HYPERLINK("http://www.ncbi.nlm.nih.gov/gene/?term=TGFA","NCBI")</f>
        <v>NCBI</v>
      </c>
      <c r="F4886">
        <v>4.2999999999999997E-2</v>
      </c>
      <c r="G4886">
        <v>0.15</v>
      </c>
      <c r="H4886" s="1" t="str">
        <f>HYPERLINK("http://www.weizmann.ac.il/complex/compphys/software/geview/data/figures/205016_at.png","Figure")</f>
        <v>Figure</v>
      </c>
      <c r="I4886">
        <v>1.06</v>
      </c>
      <c r="J4886">
        <v>0.73</v>
      </c>
      <c r="K4886">
        <v>0.872</v>
      </c>
      <c r="L4886">
        <v>0.16</v>
      </c>
      <c r="M4886">
        <v>0.82</v>
      </c>
      <c r="N4886">
        <v>4.8000000000000001E-2</v>
      </c>
    </row>
    <row r="4887" spans="1:14" x14ac:dyDescent="0.25">
      <c r="A4887" t="s">
        <v>8855</v>
      </c>
      <c r="B4887" t="s">
        <v>8856</v>
      </c>
      <c r="C4887" s="1" t="str">
        <f>HYPERLINK("http://www.genecards.org/cgi-bin/carddisp.pl?gene=SOX15","GeneCards")</f>
        <v>GeneCards</v>
      </c>
      <c r="D4887" s="1" t="str">
        <f>HYPERLINK("http://genome-euro.ucsc.edu/cgi-bin/hgTracks?position=206122_at","UCSC")</f>
        <v>UCSC</v>
      </c>
      <c r="E4887" s="1" t="str">
        <f>HYPERLINK("http://www.ncbi.nlm.nih.gov/gene/?term=SOX15","NCBI")</f>
        <v>NCBI</v>
      </c>
      <c r="F4887">
        <v>4.2999999999999997E-2</v>
      </c>
      <c r="G4887">
        <v>0.15</v>
      </c>
      <c r="H4887" s="1" t="str">
        <f>HYPERLINK("http://www.weizmann.ac.il/complex/compphys/software/geview/data/figures/206122_at.png","Figure")</f>
        <v>Figure</v>
      </c>
      <c r="I4887">
        <v>1.1399999999999999</v>
      </c>
      <c r="J4887">
        <v>5.2999999999999999E-2</v>
      </c>
      <c r="K4887">
        <v>1.02</v>
      </c>
      <c r="L4887">
        <v>0.94</v>
      </c>
      <c r="M4887">
        <v>0.88800000000000001</v>
      </c>
      <c r="N4887">
        <v>6.8000000000000005E-2</v>
      </c>
    </row>
    <row r="4888" spans="1:14" x14ac:dyDescent="0.25">
      <c r="A4888" t="s">
        <v>8857</v>
      </c>
      <c r="B4888" t="s">
        <v>8858</v>
      </c>
      <c r="C4888" s="1" t="str">
        <f>HYPERLINK("http://www.genecards.org/cgi-bin/carddisp.pl?gene=PSG1","GeneCards")</f>
        <v>GeneCards</v>
      </c>
      <c r="D4888" s="1" t="str">
        <f>HYPERLINK("http://genome-euro.ucsc.edu/cgi-bin/hgTracks?position=208257_x_at","UCSC")</f>
        <v>UCSC</v>
      </c>
      <c r="E4888" s="1" t="str">
        <f>HYPERLINK("http://www.ncbi.nlm.nih.gov/gene/?term=PSG1","NCBI")</f>
        <v>NCBI</v>
      </c>
      <c r="F4888">
        <v>4.2999999999999997E-2</v>
      </c>
      <c r="G4888">
        <v>0.15</v>
      </c>
      <c r="H4888" s="1" t="str">
        <f>HYPERLINK("http://www.weizmann.ac.il/complex/compphys/software/geview/data/figures/208257_x_at.png","Figure")</f>
        <v>Figure</v>
      </c>
      <c r="I4888">
        <v>1.08</v>
      </c>
      <c r="J4888">
        <v>0.74</v>
      </c>
      <c r="K4888">
        <v>0.84499999999999997</v>
      </c>
      <c r="L4888">
        <v>0.16</v>
      </c>
      <c r="M4888">
        <v>0.78600000000000003</v>
      </c>
      <c r="N4888">
        <v>4.9000000000000002E-2</v>
      </c>
    </row>
    <row r="4889" spans="1:14" x14ac:dyDescent="0.25">
      <c r="A4889" t="s">
        <v>8859</v>
      </c>
      <c r="B4889" t="s">
        <v>8860</v>
      </c>
      <c r="C4889" s="1" t="str">
        <f>HYPERLINK("http://www.genecards.org/cgi-bin/carddisp.pl?gene=SARDH","GeneCards")</f>
        <v>GeneCards</v>
      </c>
      <c r="D4889" s="1" t="str">
        <f>HYPERLINK("http://genome-euro.ucsc.edu/cgi-bin/hgTracks?position=210063_at","UCSC")</f>
        <v>UCSC</v>
      </c>
      <c r="E4889" s="1" t="str">
        <f>HYPERLINK("http://www.ncbi.nlm.nih.gov/gene/?term=SARDH","NCBI")</f>
        <v>NCBI</v>
      </c>
      <c r="F4889">
        <v>4.2999999999999997E-2</v>
      </c>
      <c r="G4889">
        <v>0.15</v>
      </c>
      <c r="H4889" s="1" t="str">
        <f>HYPERLINK("http://www.weizmann.ac.il/complex/compphys/software/geview/data/figures/210063_at.png","Figure")</f>
        <v>Figure</v>
      </c>
      <c r="I4889">
        <v>1.32</v>
      </c>
      <c r="J4889">
        <v>0.11</v>
      </c>
      <c r="K4889">
        <v>1.34</v>
      </c>
      <c r="L4889">
        <v>4.8000000000000001E-2</v>
      </c>
      <c r="M4889">
        <v>1.01</v>
      </c>
      <c r="N4889">
        <v>0.99</v>
      </c>
    </row>
    <row r="4890" spans="1:14" x14ac:dyDescent="0.25">
      <c r="A4890" t="s">
        <v>8861</v>
      </c>
      <c r="B4890" t="s">
        <v>8862</v>
      </c>
      <c r="C4890" s="1" t="str">
        <f>HYPERLINK("http://www.genecards.org/cgi-bin/carddisp.pl?gene=MRPS27","GeneCards")</f>
        <v>GeneCards</v>
      </c>
      <c r="D4890" s="1" t="str">
        <f>HYPERLINK("http://genome-euro.ucsc.edu/cgi-bin/hgTracks?position=212145_at","UCSC")</f>
        <v>UCSC</v>
      </c>
      <c r="E4890" s="1" t="str">
        <f>HYPERLINK("http://www.ncbi.nlm.nih.gov/gene/?term=MRPS27","NCBI")</f>
        <v>NCBI</v>
      </c>
      <c r="F4890">
        <v>4.2999999999999997E-2</v>
      </c>
      <c r="G4890">
        <v>0.15</v>
      </c>
      <c r="H4890" s="1" t="str">
        <f>HYPERLINK("http://www.weizmann.ac.il/complex/compphys/software/geview/data/figures/212145_at.png","Figure")</f>
        <v>Figure</v>
      </c>
      <c r="I4890">
        <v>1.44</v>
      </c>
      <c r="J4890">
        <v>6.8000000000000005E-2</v>
      </c>
      <c r="K4890">
        <v>1.37</v>
      </c>
      <c r="L4890">
        <v>6.7000000000000004E-2</v>
      </c>
      <c r="M4890">
        <v>0.95599999999999996</v>
      </c>
      <c r="N4890">
        <v>0.94</v>
      </c>
    </row>
    <row r="4891" spans="1:14" x14ac:dyDescent="0.25">
      <c r="A4891" t="s">
        <v>8863</v>
      </c>
      <c r="B4891" t="s">
        <v>8864</v>
      </c>
      <c r="C4891" s="1" t="str">
        <f>HYPERLINK("http://www.genecards.org/cgi-bin/carddisp.pl?gene=VAX2","GeneCards")</f>
        <v>GeneCards</v>
      </c>
      <c r="D4891" s="1" t="str">
        <f>HYPERLINK("http://genome-euro.ucsc.edu/cgi-bin/hgTracks?position=220443_s_at","UCSC")</f>
        <v>UCSC</v>
      </c>
      <c r="E4891" s="1" t="str">
        <f>HYPERLINK("http://www.ncbi.nlm.nih.gov/gene/?term=VAX2","NCBI")</f>
        <v>NCBI</v>
      </c>
      <c r="F4891">
        <v>4.2999999999999997E-2</v>
      </c>
      <c r="G4891">
        <v>0.15</v>
      </c>
      <c r="H4891" s="1" t="str">
        <f>HYPERLINK("http://www.weizmann.ac.il/complex/compphys/software/geview/data/figures/220443_s_at.png","Figure")</f>
        <v>Figure</v>
      </c>
      <c r="I4891">
        <v>1.05</v>
      </c>
      <c r="J4891">
        <v>0.68</v>
      </c>
      <c r="K4891">
        <v>0.91200000000000003</v>
      </c>
      <c r="L4891">
        <v>0.18</v>
      </c>
      <c r="M4891">
        <v>0.87</v>
      </c>
      <c r="N4891">
        <v>4.5999999999999999E-2</v>
      </c>
    </row>
    <row r="4892" spans="1:14" x14ac:dyDescent="0.25">
      <c r="A4892" t="s">
        <v>8865</v>
      </c>
      <c r="B4892" t="s">
        <v>8866</v>
      </c>
      <c r="C4892" s="1" t="str">
        <f>HYPERLINK("http://www.genecards.org/cgi-bin/carddisp.pl?gene=CALM3","GeneCards")</f>
        <v>GeneCards</v>
      </c>
      <c r="D4892" s="1" t="str">
        <f>HYPERLINK("http://genome-euro.ucsc.edu/cgi-bin/hgTracks?position=200622_x_at","UCSC")</f>
        <v>UCSC</v>
      </c>
      <c r="E4892" s="1" t="str">
        <f>HYPERLINK("http://www.ncbi.nlm.nih.gov/gene/?term=CALM3","NCBI")</f>
        <v>NCBI</v>
      </c>
      <c r="F4892">
        <v>4.2999999999999997E-2</v>
      </c>
      <c r="G4892">
        <v>0.15</v>
      </c>
      <c r="H4892" s="1" t="str">
        <f>HYPERLINK("http://www.weizmann.ac.il/complex/compphys/software/geview/data/figures/200622_x_at.png","Figure")</f>
        <v>Figure</v>
      </c>
      <c r="I4892">
        <v>1.47</v>
      </c>
      <c r="J4892">
        <v>9.8000000000000004E-2</v>
      </c>
      <c r="K4892">
        <v>1.48</v>
      </c>
      <c r="L4892">
        <v>5.0999999999999997E-2</v>
      </c>
      <c r="M4892">
        <v>1.01</v>
      </c>
      <c r="N4892">
        <v>1</v>
      </c>
    </row>
    <row r="4893" spans="1:14" x14ac:dyDescent="0.25">
      <c r="A4893" t="s">
        <v>8867</v>
      </c>
      <c r="B4893" t="s">
        <v>8868</v>
      </c>
      <c r="C4893" s="1" t="str">
        <f>HYPERLINK("http://www.genecards.org/cgi-bin/carddisp.pl?gene=SMCHD1","GeneCards")</f>
        <v>GeneCards</v>
      </c>
      <c r="D4893" s="1" t="str">
        <f>HYPERLINK("http://genome-euro.ucsc.edu/cgi-bin/hgTracks?position=212577_at","UCSC")</f>
        <v>UCSC</v>
      </c>
      <c r="E4893" s="1" t="str">
        <f>HYPERLINK("http://www.ncbi.nlm.nih.gov/gene/?term=SMCHD1","NCBI")</f>
        <v>NCBI</v>
      </c>
      <c r="F4893">
        <v>4.2999999999999997E-2</v>
      </c>
      <c r="G4893">
        <v>0.15</v>
      </c>
      <c r="H4893" s="1" t="str">
        <f>HYPERLINK("http://www.weizmann.ac.il/complex/compphys/software/geview/data/figures/212577_at.png","Figure")</f>
        <v>Figure</v>
      </c>
      <c r="I4893">
        <v>0.92</v>
      </c>
      <c r="J4893">
        <v>0.91</v>
      </c>
      <c r="K4893">
        <v>0.63300000000000001</v>
      </c>
      <c r="L4893">
        <v>5.0999999999999997E-2</v>
      </c>
      <c r="M4893">
        <v>0.68799999999999994</v>
      </c>
      <c r="N4893">
        <v>0.15</v>
      </c>
    </row>
    <row r="4894" spans="1:14" x14ac:dyDescent="0.25">
      <c r="A4894" t="s">
        <v>8869</v>
      </c>
      <c r="B4894" t="s">
        <v>8870</v>
      </c>
      <c r="C4894" s="1" t="str">
        <f>HYPERLINK("http://www.genecards.org/cgi-bin/carddisp.pl?gene=FLJ42627","GeneCards")</f>
        <v>GeneCards</v>
      </c>
      <c r="D4894" s="1" t="str">
        <f>HYPERLINK("http://genome-euro.ucsc.edu/cgi-bin/hgTracks?position=221944_at","UCSC")</f>
        <v>UCSC</v>
      </c>
      <c r="E4894" s="1" t="str">
        <f>HYPERLINK("http://www.ncbi.nlm.nih.gov/gene/?term=FLJ42627","NCBI")</f>
        <v>NCBI</v>
      </c>
      <c r="F4894">
        <v>4.2999999999999997E-2</v>
      </c>
      <c r="G4894">
        <v>0.15</v>
      </c>
      <c r="H4894" s="1" t="str">
        <f>HYPERLINK("http://www.weizmann.ac.il/complex/compphys/software/geview/data/figures/221944_at.png","Figure")</f>
        <v>Figure</v>
      </c>
      <c r="I4894">
        <v>0.59299999999999997</v>
      </c>
      <c r="J4894">
        <v>7.2999999999999995E-2</v>
      </c>
      <c r="K4894">
        <v>1.01</v>
      </c>
      <c r="L4894">
        <v>1</v>
      </c>
      <c r="M4894">
        <v>1.7</v>
      </c>
      <c r="N4894">
        <v>5.0999999999999997E-2</v>
      </c>
    </row>
    <row r="4895" spans="1:14" x14ac:dyDescent="0.25">
      <c r="A4895" t="s">
        <v>8871</v>
      </c>
      <c r="B4895" t="s">
        <v>8872</v>
      </c>
      <c r="C4895" s="1" t="str">
        <f>HYPERLINK("http://www.genecards.org/cgi-bin/carddisp.pl?gene=DLGAP4","GeneCards")</f>
        <v>GeneCards</v>
      </c>
      <c r="D4895" s="1" t="str">
        <f>HYPERLINK("http://genome-euro.ucsc.edu/cgi-bin/hgTracks?position=202571_s_at","UCSC")</f>
        <v>UCSC</v>
      </c>
      <c r="E4895" s="1" t="str">
        <f>HYPERLINK("http://www.ncbi.nlm.nih.gov/gene/?term=DLGAP4","NCBI")</f>
        <v>NCBI</v>
      </c>
      <c r="F4895">
        <v>4.2999999999999997E-2</v>
      </c>
      <c r="G4895">
        <v>0.15</v>
      </c>
      <c r="H4895" s="1" t="str">
        <f>HYPERLINK("http://www.weizmann.ac.il/complex/compphys/software/geview/data/figures/202571_s_at.png","Figure")</f>
        <v>Figure</v>
      </c>
      <c r="I4895">
        <v>1.28</v>
      </c>
      <c r="J4895">
        <v>4.8000000000000001E-2</v>
      </c>
      <c r="K4895">
        <v>1.04</v>
      </c>
      <c r="L4895">
        <v>0.88</v>
      </c>
      <c r="M4895">
        <v>0.81200000000000006</v>
      </c>
      <c r="N4895">
        <v>7.8E-2</v>
      </c>
    </row>
    <row r="4896" spans="1:14" x14ac:dyDescent="0.25">
      <c r="A4896" t="s">
        <v>8873</v>
      </c>
      <c r="B4896" t="s">
        <v>8874</v>
      </c>
      <c r="C4896" s="1" t="str">
        <f>HYPERLINK("http://www.genecards.org/cgi-bin/carddisp.pl?gene=ATP13A3","GeneCards")</f>
        <v>GeneCards</v>
      </c>
      <c r="D4896" s="1" t="str">
        <f>HYPERLINK("http://genome-euro.ucsc.edu/cgi-bin/hgTracks?position=212297_at","UCSC")</f>
        <v>UCSC</v>
      </c>
      <c r="E4896" s="1" t="str">
        <f>HYPERLINK("http://www.ncbi.nlm.nih.gov/gene/?term=ATP13A3","NCBI")</f>
        <v>NCBI</v>
      </c>
      <c r="F4896">
        <v>4.2999999999999997E-2</v>
      </c>
      <c r="G4896">
        <v>0.15</v>
      </c>
      <c r="H4896" s="1" t="str">
        <f>HYPERLINK("http://www.weizmann.ac.il/complex/compphys/software/geview/data/figures/212297_at.png","Figure")</f>
        <v>Figure</v>
      </c>
      <c r="I4896">
        <v>0.501</v>
      </c>
      <c r="J4896">
        <v>3.5000000000000003E-2</v>
      </c>
      <c r="K4896">
        <v>0.751</v>
      </c>
      <c r="L4896">
        <v>0.39</v>
      </c>
      <c r="M4896">
        <v>1.5</v>
      </c>
      <c r="N4896">
        <v>0.22</v>
      </c>
    </row>
    <row r="4897" spans="1:14" x14ac:dyDescent="0.25">
      <c r="A4897" t="s">
        <v>8875</v>
      </c>
      <c r="B4897" t="s">
        <v>8876</v>
      </c>
      <c r="C4897" s="1" t="str">
        <f>HYPERLINK("http://www.genecards.org/cgi-bin/carddisp.pl?gene=TRPV1","GeneCards")</f>
        <v>GeneCards</v>
      </c>
      <c r="D4897" s="1" t="str">
        <f>HYPERLINK("http://genome-euro.ucsc.edu/cgi-bin/hgTracks?position=219632_s_at","UCSC")</f>
        <v>UCSC</v>
      </c>
      <c r="E4897" s="1" t="str">
        <f>HYPERLINK("http://www.ncbi.nlm.nih.gov/gene/?term=TRPV1","NCBI")</f>
        <v>NCBI</v>
      </c>
      <c r="F4897">
        <v>4.2999999999999997E-2</v>
      </c>
      <c r="G4897">
        <v>0.15</v>
      </c>
      <c r="H4897" s="1" t="str">
        <f>HYPERLINK("http://www.weizmann.ac.il/complex/compphys/software/geview/data/figures/219632_s_at.png","Figure")</f>
        <v>Figure</v>
      </c>
      <c r="I4897">
        <v>1.1200000000000001</v>
      </c>
      <c r="J4897">
        <v>8.8999999999999996E-2</v>
      </c>
      <c r="K4897">
        <v>1.1200000000000001</v>
      </c>
      <c r="L4897">
        <v>5.3999999999999999E-2</v>
      </c>
      <c r="M4897">
        <v>0.998</v>
      </c>
      <c r="N4897">
        <v>1</v>
      </c>
    </row>
    <row r="4898" spans="1:14" x14ac:dyDescent="0.25">
      <c r="A4898" t="s">
        <v>8877</v>
      </c>
      <c r="B4898" t="s">
        <v>8082</v>
      </c>
      <c r="C4898" s="1" t="str">
        <f>HYPERLINK("http://www.genecards.org/cgi-bin/carddisp.pl?gene=MT1X","GeneCards")</f>
        <v>GeneCards</v>
      </c>
      <c r="D4898" s="1" t="str">
        <f>HYPERLINK("http://genome-euro.ucsc.edu/cgi-bin/hgTracks?position=204326_x_at","UCSC")</f>
        <v>UCSC</v>
      </c>
      <c r="E4898" s="1" t="str">
        <f>HYPERLINK("http://www.ncbi.nlm.nih.gov/gene/?term=MT1X","NCBI")</f>
        <v>NCBI</v>
      </c>
      <c r="F4898">
        <v>4.2999999999999997E-2</v>
      </c>
      <c r="G4898">
        <v>0.15</v>
      </c>
      <c r="H4898" s="1" t="str">
        <f>HYPERLINK("http://www.weizmann.ac.il/complex/compphys/software/geview/data/figures/204326_x_at.png","Figure")</f>
        <v>Figure</v>
      </c>
      <c r="I4898">
        <v>3.17</v>
      </c>
      <c r="J4898">
        <v>9.6000000000000002E-2</v>
      </c>
      <c r="K4898">
        <v>3.2</v>
      </c>
      <c r="L4898">
        <v>5.0999999999999997E-2</v>
      </c>
      <c r="M4898">
        <v>1.01</v>
      </c>
      <c r="N4898">
        <v>1</v>
      </c>
    </row>
    <row r="4899" spans="1:14" x14ac:dyDescent="0.25">
      <c r="A4899" t="s">
        <v>8878</v>
      </c>
      <c r="B4899" t="s">
        <v>4709</v>
      </c>
      <c r="C4899" s="1" t="str">
        <f>HYPERLINK("http://www.genecards.org/cgi-bin/carddisp.pl?gene=L1CAM","GeneCards")</f>
        <v>GeneCards</v>
      </c>
      <c r="D4899" s="1" t="str">
        <f>HYPERLINK("http://genome-euro.ucsc.edu/cgi-bin/hgTracks?position=204584_at","UCSC")</f>
        <v>UCSC</v>
      </c>
      <c r="E4899" s="1" t="str">
        <f>HYPERLINK("http://www.ncbi.nlm.nih.gov/gene/?term=L1CAM","NCBI")</f>
        <v>NCBI</v>
      </c>
      <c r="F4899">
        <v>4.2999999999999997E-2</v>
      </c>
      <c r="G4899">
        <v>0.15</v>
      </c>
      <c r="H4899" s="1" t="str">
        <f>HYPERLINK("http://www.weizmann.ac.il/complex/compphys/software/geview/data/figures/204584_at.png","Figure")</f>
        <v>Figure</v>
      </c>
      <c r="I4899">
        <v>1.07</v>
      </c>
      <c r="J4899">
        <v>0.42</v>
      </c>
      <c r="K4899">
        <v>0.93500000000000005</v>
      </c>
      <c r="L4899">
        <v>0.32</v>
      </c>
      <c r="M4899">
        <v>0.876</v>
      </c>
      <c r="N4899">
        <v>3.6999999999999998E-2</v>
      </c>
    </row>
    <row r="4900" spans="1:14" x14ac:dyDescent="0.25">
      <c r="A4900" t="s">
        <v>8879</v>
      </c>
      <c r="B4900" t="s">
        <v>4501</v>
      </c>
      <c r="C4900" s="1" t="str">
        <f>HYPERLINK("http://www.genecards.org/cgi-bin/carddisp.pl?gene=CIB2","GeneCards")</f>
        <v>GeneCards</v>
      </c>
      <c r="D4900" s="1" t="str">
        <f>HYPERLINK("http://genome-euro.ucsc.edu/cgi-bin/hgTracks?position=214065_s_at","UCSC")</f>
        <v>UCSC</v>
      </c>
      <c r="E4900" s="1" t="str">
        <f>HYPERLINK("http://www.ncbi.nlm.nih.gov/gene/?term=CIB2","NCBI")</f>
        <v>NCBI</v>
      </c>
      <c r="F4900">
        <v>4.2999999999999997E-2</v>
      </c>
      <c r="G4900">
        <v>0.15</v>
      </c>
      <c r="H4900" s="1" t="str">
        <f>HYPERLINK("http://www.weizmann.ac.il/complex/compphys/software/geview/data/figures/214065_s_at.png","Figure")</f>
        <v>Figure</v>
      </c>
      <c r="I4900">
        <v>1.22</v>
      </c>
      <c r="J4900">
        <v>6.5000000000000002E-2</v>
      </c>
      <c r="K4900">
        <v>1.01</v>
      </c>
      <c r="L4900">
        <v>1</v>
      </c>
      <c r="M4900">
        <v>0.82799999999999996</v>
      </c>
      <c r="N4900">
        <v>5.6000000000000001E-2</v>
      </c>
    </row>
    <row r="4901" spans="1:14" x14ac:dyDescent="0.25">
      <c r="A4901" t="s">
        <v>8880</v>
      </c>
      <c r="B4901" t="s">
        <v>8881</v>
      </c>
      <c r="C4901" s="1" t="str">
        <f>HYPERLINK("http://www.genecards.org/cgi-bin/carddisp.pl?gene=STXBP5L","GeneCards")</f>
        <v>GeneCards</v>
      </c>
      <c r="D4901" s="1" t="str">
        <f>HYPERLINK("http://genome-euro.ucsc.edu/cgi-bin/hgTracks?position=215518_at","UCSC")</f>
        <v>UCSC</v>
      </c>
      <c r="E4901" s="1" t="str">
        <f>HYPERLINK("http://www.ncbi.nlm.nih.gov/gene/?term=STXBP5L","NCBI")</f>
        <v>NCBI</v>
      </c>
      <c r="F4901">
        <v>4.2999999999999997E-2</v>
      </c>
      <c r="G4901">
        <v>0.15</v>
      </c>
      <c r="H4901" s="1" t="str">
        <f>HYPERLINK("http://www.weizmann.ac.il/complex/compphys/software/geview/data/figures/215518_at.png","Figure")</f>
        <v>Figure</v>
      </c>
      <c r="I4901">
        <v>1.26</v>
      </c>
      <c r="J4901">
        <v>3.6999999999999998E-2</v>
      </c>
      <c r="K4901">
        <v>1.08</v>
      </c>
      <c r="L4901">
        <v>0.56000000000000005</v>
      </c>
      <c r="M4901">
        <v>0.85699999999999998</v>
      </c>
      <c r="N4901">
        <v>0.15</v>
      </c>
    </row>
    <row r="4902" spans="1:14" x14ac:dyDescent="0.25">
      <c r="A4902" t="s">
        <v>8882</v>
      </c>
      <c r="B4902" t="s">
        <v>8883</v>
      </c>
      <c r="C4902" s="1" t="str">
        <f>HYPERLINK("http://www.genecards.org/cgi-bin/carddisp.pl?gene=PKNOX2","GeneCards")</f>
        <v>GeneCards</v>
      </c>
      <c r="D4902" s="1" t="str">
        <f>HYPERLINK("http://genome-euro.ucsc.edu/cgi-bin/hgTracks?position=219046_s_at","UCSC")</f>
        <v>UCSC</v>
      </c>
      <c r="E4902" s="1" t="str">
        <f>HYPERLINK("http://www.ncbi.nlm.nih.gov/gene/?term=PKNOX2","NCBI")</f>
        <v>NCBI</v>
      </c>
      <c r="F4902">
        <v>4.2999999999999997E-2</v>
      </c>
      <c r="G4902">
        <v>0.15</v>
      </c>
      <c r="H4902" s="1" t="str">
        <f>HYPERLINK("http://www.weizmann.ac.il/complex/compphys/software/geview/data/figures/219046_s_at.png","Figure")</f>
        <v>Figure</v>
      </c>
      <c r="I4902">
        <v>1.34</v>
      </c>
      <c r="J4902">
        <v>4.2000000000000003E-2</v>
      </c>
      <c r="K4902">
        <v>1.07</v>
      </c>
      <c r="L4902">
        <v>0.74</v>
      </c>
      <c r="M4902">
        <v>0.80100000000000005</v>
      </c>
      <c r="N4902">
        <v>0.1</v>
      </c>
    </row>
    <row r="4903" spans="1:14" x14ac:dyDescent="0.25">
      <c r="A4903" t="s">
        <v>8884</v>
      </c>
      <c r="B4903" t="s">
        <v>8885</v>
      </c>
      <c r="C4903" s="1" t="str">
        <f>HYPERLINK("http://www.genecards.org/cgi-bin/carddisp.pl?gene=ANO2","GeneCards")</f>
        <v>GeneCards</v>
      </c>
      <c r="D4903" s="1" t="str">
        <f>HYPERLINK("http://genome-euro.ucsc.edu/cgi-bin/hgTracks?position=220111_s_at","UCSC")</f>
        <v>UCSC</v>
      </c>
      <c r="E4903" s="1" t="str">
        <f>HYPERLINK("http://www.ncbi.nlm.nih.gov/gene/?term=ANO2","NCBI")</f>
        <v>NCBI</v>
      </c>
      <c r="F4903">
        <v>4.2999999999999997E-2</v>
      </c>
      <c r="G4903">
        <v>0.15</v>
      </c>
      <c r="H4903" s="1" t="str">
        <f>HYPERLINK("http://www.weizmann.ac.il/complex/compphys/software/geview/data/figures/220111_s_at.png","Figure")</f>
        <v>Figure</v>
      </c>
      <c r="I4903">
        <v>1.22</v>
      </c>
      <c r="J4903">
        <v>3.5999999999999997E-2</v>
      </c>
      <c r="K4903">
        <v>1.1100000000000001</v>
      </c>
      <c r="L4903">
        <v>0.24</v>
      </c>
      <c r="M4903">
        <v>0.91100000000000003</v>
      </c>
      <c r="N4903">
        <v>0.35</v>
      </c>
    </row>
    <row r="4904" spans="1:14" x14ac:dyDescent="0.25">
      <c r="A4904" t="s">
        <v>8886</v>
      </c>
      <c r="B4904" s="3">
        <v>42619</v>
      </c>
      <c r="C4904" s="1" t="str">
        <f>HYPERLINK("http://www.genecards.org/cgi-bin/carddisp.pl?gene=6-Sep","GeneCards")</f>
        <v>GeneCards</v>
      </c>
      <c r="D4904" s="1" t="str">
        <f>HYPERLINK("http://genome-euro.ucsc.edu/cgi-bin/hgTracks?position=212415_at","UCSC")</f>
        <v>UCSC</v>
      </c>
      <c r="E4904" s="1" t="str">
        <f>HYPERLINK("http://www.ncbi.nlm.nih.gov/gene/?term=6-Sep","NCBI")</f>
        <v>NCBI</v>
      </c>
      <c r="F4904">
        <v>4.2999999999999997E-2</v>
      </c>
      <c r="G4904">
        <v>0.15</v>
      </c>
      <c r="H4904" s="1" t="str">
        <f>HYPERLINK("http://www.weizmann.ac.il/complex/compphys/software/geview/data/figures/212415_at.png","Figure")</f>
        <v>Figure</v>
      </c>
      <c r="I4904">
        <v>0.70199999999999996</v>
      </c>
      <c r="J4904">
        <v>0.45</v>
      </c>
      <c r="K4904">
        <v>1.48</v>
      </c>
      <c r="L4904">
        <v>0.28999999999999998</v>
      </c>
      <c r="M4904">
        <v>2.1</v>
      </c>
      <c r="N4904">
        <v>3.7999999999999999E-2</v>
      </c>
    </row>
    <row r="4905" spans="1:14" x14ac:dyDescent="0.25">
      <c r="A4905" t="s">
        <v>8887</v>
      </c>
      <c r="B4905" t="s">
        <v>7634</v>
      </c>
      <c r="C4905" s="1" t="str">
        <f>HYPERLINK("http://www.genecards.org/cgi-bin/carddisp.pl?gene=MECP2","GeneCards")</f>
        <v>GeneCards</v>
      </c>
      <c r="D4905" s="1" t="str">
        <f>HYPERLINK("http://genome-euro.ucsc.edu/cgi-bin/hgTracks?position=202616_s_at","UCSC")</f>
        <v>UCSC</v>
      </c>
      <c r="E4905" s="1" t="str">
        <f>HYPERLINK("http://www.ncbi.nlm.nih.gov/gene/?term=MECP2","NCBI")</f>
        <v>NCBI</v>
      </c>
      <c r="F4905">
        <v>4.2999999999999997E-2</v>
      </c>
      <c r="G4905">
        <v>0.15</v>
      </c>
      <c r="H4905" s="1" t="str">
        <f>HYPERLINK("http://www.weizmann.ac.il/complex/compphys/software/geview/data/figures/202616_s_at.png","Figure")</f>
        <v>Figure</v>
      </c>
      <c r="I4905">
        <v>0.79600000000000004</v>
      </c>
      <c r="J4905">
        <v>6.0999999999999999E-2</v>
      </c>
      <c r="K4905">
        <v>0.98599999999999999</v>
      </c>
      <c r="L4905">
        <v>0.98</v>
      </c>
      <c r="M4905">
        <v>1.24</v>
      </c>
      <c r="N4905">
        <v>0.06</v>
      </c>
    </row>
    <row r="4906" spans="1:14" x14ac:dyDescent="0.25">
      <c r="A4906" t="s">
        <v>8888</v>
      </c>
      <c r="B4906" t="s">
        <v>1499</v>
      </c>
      <c r="C4906" s="1" t="str">
        <f>HYPERLINK("http://www.genecards.org/cgi-bin/carddisp.pl?gene=QKI","GeneCards")</f>
        <v>GeneCards</v>
      </c>
      <c r="D4906" s="1" t="str">
        <f>HYPERLINK("http://genome-euro.ucsc.edu/cgi-bin/hgTracks?position=212265_at","UCSC")</f>
        <v>UCSC</v>
      </c>
      <c r="E4906" s="1" t="str">
        <f>HYPERLINK("http://www.ncbi.nlm.nih.gov/gene/?term=QKI","NCBI")</f>
        <v>NCBI</v>
      </c>
      <c r="F4906">
        <v>4.2999999999999997E-2</v>
      </c>
      <c r="G4906">
        <v>0.15</v>
      </c>
      <c r="H4906" s="1" t="str">
        <f>HYPERLINK("http://www.weizmann.ac.il/complex/compphys/software/geview/data/figures/212265_at.png","Figure")</f>
        <v>Figure</v>
      </c>
      <c r="I4906">
        <v>0.77100000000000002</v>
      </c>
      <c r="J4906">
        <v>6.9000000000000006E-2</v>
      </c>
      <c r="K4906">
        <v>0.79500000000000004</v>
      </c>
      <c r="L4906">
        <v>6.7000000000000004E-2</v>
      </c>
      <c r="M4906">
        <v>1.03</v>
      </c>
      <c r="N4906">
        <v>0.95</v>
      </c>
    </row>
    <row r="4907" spans="1:14" x14ac:dyDescent="0.25">
      <c r="A4907" t="s">
        <v>8889</v>
      </c>
      <c r="B4907" t="s">
        <v>8890</v>
      </c>
      <c r="C4907" s="1" t="str">
        <f>HYPERLINK("http://www.genecards.org/cgi-bin/carddisp.pl?gene=OTOF","GeneCards")</f>
        <v>GeneCards</v>
      </c>
      <c r="D4907" s="1" t="str">
        <f>HYPERLINK("http://genome-euro.ucsc.edu/cgi-bin/hgTracks?position=220492_s_at","UCSC")</f>
        <v>UCSC</v>
      </c>
      <c r="E4907" s="1" t="str">
        <f>HYPERLINK("http://www.ncbi.nlm.nih.gov/gene/?term=OTOF","NCBI")</f>
        <v>NCBI</v>
      </c>
      <c r="F4907">
        <v>4.2999999999999997E-2</v>
      </c>
      <c r="G4907">
        <v>0.15</v>
      </c>
      <c r="H4907" s="1" t="str">
        <f>HYPERLINK("http://www.weizmann.ac.il/complex/compphys/software/geview/data/figures/220492_s_at.png","Figure")</f>
        <v>Figure</v>
      </c>
      <c r="I4907">
        <v>1.1299999999999999</v>
      </c>
      <c r="J4907">
        <v>0.12</v>
      </c>
      <c r="K4907">
        <v>1.1499999999999999</v>
      </c>
      <c r="L4907">
        <v>4.4999999999999998E-2</v>
      </c>
      <c r="M4907">
        <v>1.01</v>
      </c>
      <c r="N4907">
        <v>0.97</v>
      </c>
    </row>
    <row r="4908" spans="1:14" x14ac:dyDescent="0.25">
      <c r="A4908" t="s">
        <v>8891</v>
      </c>
      <c r="B4908" t="s">
        <v>8892</v>
      </c>
      <c r="C4908" s="1" t="str">
        <f>HYPERLINK("http://www.genecards.org/cgi-bin/carddisp.pl?gene=EPAG","GeneCards")</f>
        <v>GeneCards</v>
      </c>
      <c r="D4908" s="1" t="str">
        <f>HYPERLINK("http://genome-euro.ucsc.edu/cgi-bin/hgTracks?position=217245_at","UCSC")</f>
        <v>UCSC</v>
      </c>
      <c r="E4908" s="1" t="str">
        <f>HYPERLINK("http://www.ncbi.nlm.nih.gov/gene/?term=EPAG","NCBI")</f>
        <v>NCBI</v>
      </c>
      <c r="F4908">
        <v>4.3999999999999997E-2</v>
      </c>
      <c r="G4908">
        <v>0.15</v>
      </c>
      <c r="H4908" s="1" t="str">
        <f>HYPERLINK("http://www.weizmann.ac.il/complex/compphys/software/geview/data/figures/217245_at.png","Figure")</f>
        <v>Figure</v>
      </c>
      <c r="I4908">
        <v>0.95399999999999996</v>
      </c>
      <c r="J4908">
        <v>6.4000000000000001E-2</v>
      </c>
      <c r="K4908">
        <v>0.998</v>
      </c>
      <c r="L4908">
        <v>0.99</v>
      </c>
      <c r="M4908">
        <v>1.05</v>
      </c>
      <c r="N4908">
        <v>5.7000000000000002E-2</v>
      </c>
    </row>
    <row r="4909" spans="1:14" x14ac:dyDescent="0.25">
      <c r="A4909" t="s">
        <v>8893</v>
      </c>
      <c r="B4909" t="s">
        <v>8894</v>
      </c>
      <c r="C4909" s="1" t="str">
        <f>HYPERLINK("http://www.genecards.org/cgi-bin/carddisp.pl?gene=RNF43","GeneCards")</f>
        <v>GeneCards</v>
      </c>
      <c r="D4909" s="1" t="str">
        <f>HYPERLINK("http://genome-euro.ucsc.edu/cgi-bin/hgTracks?position=218704_at","UCSC")</f>
        <v>UCSC</v>
      </c>
      <c r="E4909" s="1" t="str">
        <f>HYPERLINK("http://www.ncbi.nlm.nih.gov/gene/?term=RNF43","NCBI")</f>
        <v>NCBI</v>
      </c>
      <c r="F4909">
        <v>4.3999999999999997E-2</v>
      </c>
      <c r="G4909">
        <v>0.15</v>
      </c>
      <c r="H4909" s="1" t="str">
        <f>HYPERLINK("http://www.weizmann.ac.il/complex/compphys/software/geview/data/figures/218704_at.png","Figure")</f>
        <v>Figure</v>
      </c>
      <c r="I4909">
        <v>1.1599999999999999</v>
      </c>
      <c r="J4909">
        <v>4.9000000000000002E-2</v>
      </c>
      <c r="K4909">
        <v>1.1200000000000001</v>
      </c>
      <c r="L4909">
        <v>0.11</v>
      </c>
      <c r="M4909">
        <v>0.96</v>
      </c>
      <c r="N4909">
        <v>0.73</v>
      </c>
    </row>
    <row r="4910" spans="1:14" x14ac:dyDescent="0.25">
      <c r="A4910" t="s">
        <v>8895</v>
      </c>
      <c r="B4910" t="s">
        <v>8896</v>
      </c>
      <c r="C4910" s="1" t="str">
        <f>HYPERLINK("http://www.genecards.org/cgi-bin/carddisp.pl?gene=UBIAD1","GeneCards")</f>
        <v>GeneCards</v>
      </c>
      <c r="D4910" s="1" t="str">
        <f>HYPERLINK("http://genome-euro.ucsc.edu/cgi-bin/hgTracks?position=219131_at","UCSC")</f>
        <v>UCSC</v>
      </c>
      <c r="E4910" s="1" t="str">
        <f>HYPERLINK("http://www.ncbi.nlm.nih.gov/gene/?term=UBIAD1","NCBI")</f>
        <v>NCBI</v>
      </c>
      <c r="F4910">
        <v>4.3999999999999997E-2</v>
      </c>
      <c r="G4910">
        <v>0.15</v>
      </c>
      <c r="H4910" s="1" t="str">
        <f>HYPERLINK("http://www.weizmann.ac.il/complex/compphys/software/geview/data/figures/219131_at.png","Figure")</f>
        <v>Figure</v>
      </c>
      <c r="I4910">
        <v>0.94399999999999995</v>
      </c>
      <c r="J4910">
        <v>0.88</v>
      </c>
      <c r="K4910">
        <v>0.76200000000000001</v>
      </c>
      <c r="L4910">
        <v>4.9000000000000002E-2</v>
      </c>
      <c r="M4910">
        <v>0.80700000000000005</v>
      </c>
      <c r="N4910">
        <v>0.16</v>
      </c>
    </row>
    <row r="4911" spans="1:14" x14ac:dyDescent="0.25">
      <c r="A4911" t="s">
        <v>8897</v>
      </c>
      <c r="B4911" t="s">
        <v>3411</v>
      </c>
      <c r="C4911" s="1" t="str">
        <f>HYPERLINK("http://www.genecards.org/cgi-bin/carddisp.pl?gene=SLC11A1","GeneCards")</f>
        <v>GeneCards</v>
      </c>
      <c r="D4911" s="1" t="str">
        <f>HYPERLINK("http://genome-euro.ucsc.edu/cgi-bin/hgTracks?position=217473_x_at","UCSC")</f>
        <v>UCSC</v>
      </c>
      <c r="E4911" s="1" t="str">
        <f>HYPERLINK("http://www.ncbi.nlm.nih.gov/gene/?term=SLC11A1","NCBI")</f>
        <v>NCBI</v>
      </c>
      <c r="F4911">
        <v>4.3999999999999997E-2</v>
      </c>
      <c r="G4911">
        <v>0.15</v>
      </c>
      <c r="H4911" s="1" t="str">
        <f>HYPERLINK("http://www.weizmann.ac.il/complex/compphys/software/geview/data/figures/217473_x_at.png","Figure")</f>
        <v>Figure</v>
      </c>
      <c r="I4911">
        <v>1.31</v>
      </c>
      <c r="J4911">
        <v>6.0999999999999999E-2</v>
      </c>
      <c r="K4911">
        <v>1.25</v>
      </c>
      <c r="L4911">
        <v>7.6999999999999999E-2</v>
      </c>
      <c r="M4911">
        <v>0.95499999999999996</v>
      </c>
      <c r="N4911">
        <v>0.89</v>
      </c>
    </row>
    <row r="4912" spans="1:14" x14ac:dyDescent="0.25">
      <c r="A4912" t="s">
        <v>8898</v>
      </c>
      <c r="B4912" t="s">
        <v>8899</v>
      </c>
      <c r="C4912" s="1" t="str">
        <f>HYPERLINK("http://www.genecards.org/cgi-bin/carddisp.pl?gene=RHOT2","GeneCards")</f>
        <v>GeneCards</v>
      </c>
      <c r="D4912" s="1" t="str">
        <f>HYPERLINK("http://genome-euro.ucsc.edu/cgi-bin/hgTracks?position=222131_x_at","UCSC")</f>
        <v>UCSC</v>
      </c>
      <c r="E4912" s="1" t="str">
        <f>HYPERLINK("http://www.ncbi.nlm.nih.gov/gene/?term=RHOT2","NCBI")</f>
        <v>NCBI</v>
      </c>
      <c r="F4912">
        <v>4.3999999999999997E-2</v>
      </c>
      <c r="G4912">
        <v>0.15</v>
      </c>
      <c r="H4912" s="1" t="str">
        <f>HYPERLINK("http://www.weizmann.ac.il/complex/compphys/software/geview/data/figures/222131_x_at.png","Figure")</f>
        <v>Figure</v>
      </c>
      <c r="I4912">
        <v>1.48</v>
      </c>
      <c r="J4912">
        <v>4.2000000000000003E-2</v>
      </c>
      <c r="K4912">
        <v>1.1000000000000001</v>
      </c>
      <c r="L4912">
        <v>0.73</v>
      </c>
      <c r="M4912">
        <v>0.74199999999999999</v>
      </c>
      <c r="N4912">
        <v>0.1</v>
      </c>
    </row>
    <row r="4913" spans="1:14" x14ac:dyDescent="0.25">
      <c r="A4913" t="s">
        <v>8900</v>
      </c>
      <c r="B4913" t="s">
        <v>8901</v>
      </c>
      <c r="C4913" s="1" t="str">
        <f>HYPERLINK("http://www.genecards.org/cgi-bin/carddisp.pl?gene=GMPR","GeneCards")</f>
        <v>GeneCards</v>
      </c>
      <c r="D4913" s="1" t="str">
        <f>HYPERLINK("http://genome-euro.ucsc.edu/cgi-bin/hgTracks?position=204187_at","UCSC")</f>
        <v>UCSC</v>
      </c>
      <c r="E4913" s="1" t="str">
        <f>HYPERLINK("http://www.ncbi.nlm.nih.gov/gene/?term=GMPR","NCBI")</f>
        <v>NCBI</v>
      </c>
      <c r="F4913">
        <v>4.3999999999999997E-2</v>
      </c>
      <c r="G4913">
        <v>0.15</v>
      </c>
      <c r="H4913" s="1" t="str">
        <f>HYPERLINK("http://www.weizmann.ac.il/complex/compphys/software/geview/data/figures/204187_at.png","Figure")</f>
        <v>Figure</v>
      </c>
      <c r="I4913">
        <v>1.3</v>
      </c>
      <c r="J4913">
        <v>3.9E-2</v>
      </c>
      <c r="K4913">
        <v>1.17</v>
      </c>
      <c r="L4913">
        <v>0.17</v>
      </c>
      <c r="M4913">
        <v>0.90100000000000002</v>
      </c>
      <c r="N4913">
        <v>0.48</v>
      </c>
    </row>
    <row r="4914" spans="1:14" x14ac:dyDescent="0.25">
      <c r="A4914" t="s">
        <v>8902</v>
      </c>
      <c r="B4914" t="s">
        <v>8903</v>
      </c>
      <c r="C4914" s="1" t="str">
        <f>HYPERLINK("http://www.genecards.org/cgi-bin/carddisp.pl?gene=LOC100240726","GeneCards")</f>
        <v>GeneCards</v>
      </c>
      <c r="D4914" s="1" t="str">
        <f>HYPERLINK("http://genome-euro.ucsc.edu/cgi-bin/hgTracks?position=217115_at","UCSC")</f>
        <v>UCSC</v>
      </c>
      <c r="E4914" s="1" t="str">
        <f>HYPERLINK("http://www.ncbi.nlm.nih.gov/gene/?term=LOC100240726","NCBI")</f>
        <v>NCBI</v>
      </c>
      <c r="F4914">
        <v>4.3999999999999997E-2</v>
      </c>
      <c r="G4914">
        <v>0.15</v>
      </c>
      <c r="H4914" s="1" t="str">
        <f>HYPERLINK("http://www.weizmann.ac.il/complex/compphys/software/geview/data/figures/217115_at.png","Figure")</f>
        <v>Figure</v>
      </c>
      <c r="I4914">
        <v>1.05</v>
      </c>
      <c r="J4914">
        <v>0.22</v>
      </c>
      <c r="K4914">
        <v>1.07</v>
      </c>
      <c r="L4914">
        <v>3.6999999999999998E-2</v>
      </c>
      <c r="M4914">
        <v>1.02</v>
      </c>
      <c r="N4914">
        <v>0.74</v>
      </c>
    </row>
    <row r="4915" spans="1:14" x14ac:dyDescent="0.25">
      <c r="A4915" t="s">
        <v>8904</v>
      </c>
      <c r="B4915" t="s">
        <v>8905</v>
      </c>
      <c r="C4915" s="1" t="str">
        <f>HYPERLINK("http://www.genecards.org/cgi-bin/carddisp.pl?gene=XYLT2","GeneCards")</f>
        <v>GeneCards</v>
      </c>
      <c r="D4915" s="1" t="str">
        <f>HYPERLINK("http://genome-euro.ucsc.edu/cgi-bin/hgTracks?position=219401_at","UCSC")</f>
        <v>UCSC</v>
      </c>
      <c r="E4915" s="1" t="str">
        <f>HYPERLINK("http://www.ncbi.nlm.nih.gov/gene/?term=XYLT2","NCBI")</f>
        <v>NCBI</v>
      </c>
      <c r="F4915">
        <v>4.3999999999999997E-2</v>
      </c>
      <c r="G4915">
        <v>0.15</v>
      </c>
      <c r="H4915" s="1" t="str">
        <f>HYPERLINK("http://www.weizmann.ac.il/complex/compphys/software/geview/data/figures/219401_at.png","Figure")</f>
        <v>Figure</v>
      </c>
      <c r="I4915">
        <v>1.05</v>
      </c>
      <c r="J4915">
        <v>0.91</v>
      </c>
      <c r="K4915">
        <v>1.32</v>
      </c>
      <c r="L4915">
        <v>5.0999999999999997E-2</v>
      </c>
      <c r="M4915">
        <v>1.25</v>
      </c>
      <c r="N4915">
        <v>0.15</v>
      </c>
    </row>
    <row r="4916" spans="1:14" x14ac:dyDescent="0.25">
      <c r="A4916" t="s">
        <v>8906</v>
      </c>
      <c r="B4916" t="s">
        <v>8907</v>
      </c>
      <c r="C4916" s="1" t="str">
        <f>HYPERLINK("http://www.genecards.org/cgi-bin/carddisp.pl?gene=ARD1A","GeneCards")</f>
        <v>GeneCards</v>
      </c>
      <c r="D4916" s="1" t="str">
        <f>HYPERLINK("http://genome-euro.ucsc.edu/cgi-bin/hgTracks?position=203025_at","UCSC")</f>
        <v>UCSC</v>
      </c>
      <c r="E4916" s="1" t="str">
        <f>HYPERLINK("http://www.ncbi.nlm.nih.gov/gene/?term=ARD1A","NCBI")</f>
        <v>NCBI</v>
      </c>
      <c r="F4916">
        <v>4.3999999999999997E-2</v>
      </c>
      <c r="G4916">
        <v>0.15</v>
      </c>
      <c r="H4916" s="1" t="str">
        <f>HYPERLINK("http://www.weizmann.ac.il/complex/compphys/software/geview/data/figures/203025_at.png","Figure")</f>
        <v>Figure</v>
      </c>
      <c r="I4916">
        <v>0.81799999999999995</v>
      </c>
      <c r="J4916">
        <v>0.34</v>
      </c>
      <c r="K4916">
        <v>1.17</v>
      </c>
      <c r="L4916">
        <v>0.4</v>
      </c>
      <c r="M4916">
        <v>1.44</v>
      </c>
      <c r="N4916">
        <v>3.5999999999999997E-2</v>
      </c>
    </row>
    <row r="4917" spans="1:14" x14ac:dyDescent="0.25">
      <c r="A4917" t="s">
        <v>8908</v>
      </c>
      <c r="B4917" t="s">
        <v>8909</v>
      </c>
      <c r="C4917" s="1" t="str">
        <f>HYPERLINK("http://www.genecards.org/cgi-bin/carddisp.pl?gene=CABP1","GeneCards")</f>
        <v>GeneCards</v>
      </c>
      <c r="D4917" s="1" t="str">
        <f>HYPERLINK("http://genome-euro.ucsc.edu/cgi-bin/hgTracks?position=208321_s_at","UCSC")</f>
        <v>UCSC</v>
      </c>
      <c r="E4917" s="1" t="str">
        <f>HYPERLINK("http://www.ncbi.nlm.nih.gov/gene/?term=CABP1","NCBI")</f>
        <v>NCBI</v>
      </c>
      <c r="F4917">
        <v>4.3999999999999997E-2</v>
      </c>
      <c r="G4917">
        <v>0.15</v>
      </c>
      <c r="H4917" s="1" t="str">
        <f>HYPERLINK("http://www.weizmann.ac.il/complex/compphys/software/geview/data/figures/208321_s_at.png","Figure")</f>
        <v>Figure</v>
      </c>
      <c r="I4917">
        <v>1.27</v>
      </c>
      <c r="J4917">
        <v>4.1000000000000002E-2</v>
      </c>
      <c r="K4917">
        <v>1.17</v>
      </c>
      <c r="L4917">
        <v>0.15</v>
      </c>
      <c r="M4917">
        <v>0.91800000000000004</v>
      </c>
      <c r="N4917">
        <v>0.56000000000000005</v>
      </c>
    </row>
    <row r="4918" spans="1:14" x14ac:dyDescent="0.25">
      <c r="A4918" t="s">
        <v>8910</v>
      </c>
      <c r="B4918" t="s">
        <v>3257</v>
      </c>
      <c r="C4918" s="1" t="str">
        <f>HYPERLINK("http://www.genecards.org/cgi-bin/carddisp.pl?gene=IGL@","GeneCards")</f>
        <v>GeneCards</v>
      </c>
      <c r="D4918" s="1" t="str">
        <f>HYPERLINK("http://genome-euro.ucsc.edu/cgi-bin/hgTracks?position=217193_x_at","UCSC")</f>
        <v>UCSC</v>
      </c>
      <c r="E4918" s="1" t="str">
        <f>HYPERLINK("http://www.ncbi.nlm.nih.gov/gene/?term=IGL@","NCBI")</f>
        <v>NCBI</v>
      </c>
      <c r="F4918">
        <v>4.3999999999999997E-2</v>
      </c>
      <c r="G4918">
        <v>0.15</v>
      </c>
      <c r="H4918" s="1" t="str">
        <f>HYPERLINK("http://www.weizmann.ac.il/complex/compphys/software/geview/data/figures/217193_x_at.png","Figure")</f>
        <v>Figure</v>
      </c>
      <c r="I4918">
        <v>1.18</v>
      </c>
      <c r="J4918">
        <v>3.5999999999999997E-2</v>
      </c>
      <c r="K4918">
        <v>1.06</v>
      </c>
      <c r="L4918">
        <v>0.51</v>
      </c>
      <c r="M4918">
        <v>0.89700000000000002</v>
      </c>
      <c r="N4918">
        <v>0.16</v>
      </c>
    </row>
    <row r="4919" spans="1:14" x14ac:dyDescent="0.25">
      <c r="A4919" t="s">
        <v>8911</v>
      </c>
      <c r="B4919" t="s">
        <v>5349</v>
      </c>
      <c r="C4919" s="1" t="str">
        <f>HYPERLINK("http://www.genecards.org/cgi-bin/carddisp.pl?gene=FAM49B","GeneCards")</f>
        <v>GeneCards</v>
      </c>
      <c r="D4919" s="1" t="str">
        <f>HYPERLINK("http://genome-euro.ucsc.edu/cgi-bin/hgTracks?position=217534_at","UCSC")</f>
        <v>UCSC</v>
      </c>
      <c r="E4919" s="1" t="str">
        <f>HYPERLINK("http://www.ncbi.nlm.nih.gov/gene/?term=FAM49B","NCBI")</f>
        <v>NCBI</v>
      </c>
      <c r="F4919">
        <v>4.3999999999999997E-2</v>
      </c>
      <c r="G4919">
        <v>0.15</v>
      </c>
      <c r="H4919" s="1" t="str">
        <f>HYPERLINK("http://www.weizmann.ac.il/complex/compphys/software/geview/data/figures/217534_at.png","Figure")</f>
        <v>Figure</v>
      </c>
      <c r="I4919">
        <v>1.02</v>
      </c>
      <c r="J4919">
        <v>0.99</v>
      </c>
      <c r="K4919">
        <v>0.76100000000000001</v>
      </c>
      <c r="L4919">
        <v>8.1000000000000003E-2</v>
      </c>
      <c r="M4919">
        <v>0.748</v>
      </c>
      <c r="N4919">
        <v>8.2000000000000003E-2</v>
      </c>
    </row>
    <row r="4920" spans="1:14" x14ac:dyDescent="0.25">
      <c r="A4920" t="s">
        <v>8912</v>
      </c>
      <c r="B4920" t="s">
        <v>3037</v>
      </c>
      <c r="C4920" s="1" t="str">
        <f>HYPERLINK("http://www.genecards.org/cgi-bin/carddisp.pl?gene=CLCN3","GeneCards")</f>
        <v>GeneCards</v>
      </c>
      <c r="D4920" s="1" t="str">
        <f>HYPERLINK("http://genome-euro.ucsc.edu/cgi-bin/hgTracks?position=201733_at","UCSC")</f>
        <v>UCSC</v>
      </c>
      <c r="E4920" s="1" t="str">
        <f>HYPERLINK("http://www.ncbi.nlm.nih.gov/gene/?term=CLCN3","NCBI")</f>
        <v>NCBI</v>
      </c>
      <c r="F4920">
        <v>4.3999999999999997E-2</v>
      </c>
      <c r="G4920">
        <v>0.15</v>
      </c>
      <c r="H4920" s="1" t="str">
        <f>HYPERLINK("http://www.weizmann.ac.il/complex/compphys/software/geview/data/figures/201733_at.png","Figure")</f>
        <v>Figure</v>
      </c>
      <c r="I4920">
        <v>0.80700000000000005</v>
      </c>
      <c r="J4920">
        <v>7.0999999999999994E-2</v>
      </c>
      <c r="K4920">
        <v>1</v>
      </c>
      <c r="L4920">
        <v>1</v>
      </c>
      <c r="M4920">
        <v>1.24</v>
      </c>
      <c r="N4920">
        <v>5.2999999999999999E-2</v>
      </c>
    </row>
    <row r="4921" spans="1:14" x14ac:dyDescent="0.25">
      <c r="A4921" t="s">
        <v>8913</v>
      </c>
      <c r="B4921" t="s">
        <v>8914</v>
      </c>
      <c r="C4921" s="1" t="str">
        <f>HYPERLINK("http://www.genecards.org/cgi-bin/carddisp.pl?gene=PRM1","GeneCards")</f>
        <v>GeneCards</v>
      </c>
      <c r="D4921" s="1" t="str">
        <f>HYPERLINK("http://genome-euro.ucsc.edu/cgi-bin/hgTracks?position=206358_at","UCSC")</f>
        <v>UCSC</v>
      </c>
      <c r="E4921" s="1" t="str">
        <f>HYPERLINK("http://www.ncbi.nlm.nih.gov/gene/?term=PRM1","NCBI")</f>
        <v>NCBI</v>
      </c>
      <c r="F4921">
        <v>4.3999999999999997E-2</v>
      </c>
      <c r="G4921">
        <v>0.15</v>
      </c>
      <c r="H4921" s="1" t="str">
        <f>HYPERLINK("http://www.weizmann.ac.il/complex/compphys/software/geview/data/figures/206358_at.png","Figure")</f>
        <v>Figure</v>
      </c>
      <c r="I4921">
        <v>1.06</v>
      </c>
      <c r="J4921">
        <v>6.8000000000000005E-2</v>
      </c>
      <c r="K4921">
        <v>1.06</v>
      </c>
      <c r="L4921">
        <v>6.9000000000000006E-2</v>
      </c>
      <c r="M4921">
        <v>0.99199999999999999</v>
      </c>
      <c r="N4921">
        <v>0.94</v>
      </c>
    </row>
    <row r="4922" spans="1:14" x14ac:dyDescent="0.25">
      <c r="A4922" t="s">
        <v>8915</v>
      </c>
      <c r="B4922" t="s">
        <v>8916</v>
      </c>
      <c r="C4922" s="1" t="str">
        <f>HYPERLINK("http://www.genecards.org/cgi-bin/carddisp.pl?gene=AGRP","GeneCards")</f>
        <v>GeneCards</v>
      </c>
      <c r="D4922" s="1" t="str">
        <f>HYPERLINK("http://genome-euro.ucsc.edu/cgi-bin/hgTracks?position=207193_at","UCSC")</f>
        <v>UCSC</v>
      </c>
      <c r="E4922" s="1" t="str">
        <f>HYPERLINK("http://www.ncbi.nlm.nih.gov/gene/?term=AGRP","NCBI")</f>
        <v>NCBI</v>
      </c>
      <c r="F4922">
        <v>4.3999999999999997E-2</v>
      </c>
      <c r="G4922">
        <v>0.15</v>
      </c>
      <c r="H4922" s="1" t="str">
        <f>HYPERLINK("http://www.weizmann.ac.il/complex/compphys/software/geview/data/figures/207193_at.png","Figure")</f>
        <v>Figure</v>
      </c>
      <c r="I4922">
        <v>1.22</v>
      </c>
      <c r="J4922">
        <v>3.6999999999999998E-2</v>
      </c>
      <c r="K4922">
        <v>1.1100000000000001</v>
      </c>
      <c r="L4922">
        <v>0.22</v>
      </c>
      <c r="M4922">
        <v>0.91600000000000004</v>
      </c>
      <c r="N4922">
        <v>0.39</v>
      </c>
    </row>
    <row r="4923" spans="1:14" x14ac:dyDescent="0.25">
      <c r="A4923" t="s">
        <v>8917</v>
      </c>
      <c r="B4923" t="s">
        <v>8918</v>
      </c>
      <c r="C4923" s="1" t="str">
        <f>HYPERLINK("http://www.genecards.org/cgi-bin/carddisp.pl?gene=SMAD5","GeneCards")</f>
        <v>GeneCards</v>
      </c>
      <c r="D4923" s="1" t="str">
        <f>HYPERLINK("http://genome-euro.ucsc.edu/cgi-bin/hgTracks?position=205188_s_at","UCSC")</f>
        <v>UCSC</v>
      </c>
      <c r="E4923" s="1" t="str">
        <f>HYPERLINK("http://www.ncbi.nlm.nih.gov/gene/?term=SMAD5","NCBI")</f>
        <v>NCBI</v>
      </c>
      <c r="F4923">
        <v>4.3999999999999997E-2</v>
      </c>
      <c r="G4923">
        <v>0.15</v>
      </c>
      <c r="H4923" s="1" t="str">
        <f>HYPERLINK("http://www.weizmann.ac.il/complex/compphys/software/geview/data/figures/205188_s_at.png","Figure")</f>
        <v>Figure</v>
      </c>
      <c r="I4923">
        <v>1</v>
      </c>
      <c r="J4923">
        <v>1</v>
      </c>
      <c r="K4923">
        <v>0.79700000000000004</v>
      </c>
      <c r="L4923">
        <v>7.1999999999999995E-2</v>
      </c>
      <c r="M4923">
        <v>0.79700000000000004</v>
      </c>
      <c r="N4923">
        <v>9.4E-2</v>
      </c>
    </row>
    <row r="4924" spans="1:14" x14ac:dyDescent="0.25">
      <c r="A4924" t="s">
        <v>8919</v>
      </c>
      <c r="B4924" t="s">
        <v>4569</v>
      </c>
      <c r="C4924" s="1" t="str">
        <f>HYPERLINK("http://www.genecards.org/cgi-bin/carddisp.pl?gene=RRAS2","GeneCards")</f>
        <v>GeneCards</v>
      </c>
      <c r="D4924" s="1" t="str">
        <f>HYPERLINK("http://genome-euro.ucsc.edu/cgi-bin/hgTracks?position=212590_at","UCSC")</f>
        <v>UCSC</v>
      </c>
      <c r="E4924" s="1" t="str">
        <f>HYPERLINK("http://www.ncbi.nlm.nih.gov/gene/?term=RRAS2","NCBI")</f>
        <v>NCBI</v>
      </c>
      <c r="F4924">
        <v>4.3999999999999997E-2</v>
      </c>
      <c r="G4924">
        <v>0.15</v>
      </c>
      <c r="H4924" s="1" t="str">
        <f>HYPERLINK("http://www.weizmann.ac.il/complex/compphys/software/geview/data/figures/212590_at.png","Figure")</f>
        <v>Figure</v>
      </c>
      <c r="I4924">
        <v>1</v>
      </c>
      <c r="J4924">
        <v>1</v>
      </c>
      <c r="K4924">
        <v>0.69899999999999995</v>
      </c>
      <c r="L4924">
        <v>7.0999999999999994E-2</v>
      </c>
      <c r="M4924">
        <v>0.69899999999999995</v>
      </c>
      <c r="N4924">
        <v>9.5000000000000001E-2</v>
      </c>
    </row>
    <row r="4925" spans="1:14" x14ac:dyDescent="0.25">
      <c r="A4925" t="s">
        <v>8920</v>
      </c>
      <c r="B4925" t="s">
        <v>7953</v>
      </c>
      <c r="C4925" s="1" t="str">
        <f>HYPERLINK("http://www.genecards.org/cgi-bin/carddisp.pl?gene=COMT","GeneCards")</f>
        <v>GeneCards</v>
      </c>
      <c r="D4925" s="1" t="str">
        <f>HYPERLINK("http://genome-euro.ucsc.edu/cgi-bin/hgTracks?position=208818_s_at","UCSC")</f>
        <v>UCSC</v>
      </c>
      <c r="E4925" s="1" t="str">
        <f>HYPERLINK("http://www.ncbi.nlm.nih.gov/gene/?term=COMT","NCBI")</f>
        <v>NCBI</v>
      </c>
      <c r="F4925">
        <v>4.3999999999999997E-2</v>
      </c>
      <c r="G4925">
        <v>0.15</v>
      </c>
      <c r="H4925" s="1" t="str">
        <f>HYPERLINK("http://www.weizmann.ac.il/complex/compphys/software/geview/data/figures/208818_s_at.png","Figure")</f>
        <v>Figure</v>
      </c>
      <c r="I4925">
        <v>0.81899999999999995</v>
      </c>
      <c r="J4925">
        <v>0.84</v>
      </c>
      <c r="K4925">
        <v>1.9</v>
      </c>
      <c r="L4925">
        <v>0.13</v>
      </c>
      <c r="M4925">
        <v>2.3199999999999998</v>
      </c>
      <c r="N4925">
        <v>5.7000000000000002E-2</v>
      </c>
    </row>
    <row r="4926" spans="1:14" x14ac:dyDescent="0.25">
      <c r="A4926" t="s">
        <v>8921</v>
      </c>
      <c r="B4926" t="s">
        <v>8922</v>
      </c>
      <c r="C4926" s="1" t="str">
        <f>HYPERLINK("http://www.genecards.org/cgi-bin/carddisp.pl?gene=B3GAT1","GeneCards")</f>
        <v>GeneCards</v>
      </c>
      <c r="D4926" s="1" t="str">
        <f>HYPERLINK("http://genome-euro.ucsc.edu/cgi-bin/hgTracks?position=219521_at","UCSC")</f>
        <v>UCSC</v>
      </c>
      <c r="E4926" s="1" t="str">
        <f>HYPERLINK("http://www.ncbi.nlm.nih.gov/gene/?term=B3GAT1","NCBI")</f>
        <v>NCBI</v>
      </c>
      <c r="F4926">
        <v>4.3999999999999997E-2</v>
      </c>
      <c r="G4926">
        <v>0.15</v>
      </c>
      <c r="H4926" s="1" t="str">
        <f>HYPERLINK("http://www.weizmann.ac.il/complex/compphys/software/geview/data/figures/219521_at.png","Figure")</f>
        <v>Figure</v>
      </c>
      <c r="I4926">
        <v>1.21</v>
      </c>
      <c r="J4926">
        <v>4.1000000000000002E-2</v>
      </c>
      <c r="K4926">
        <v>1.05</v>
      </c>
      <c r="L4926">
        <v>0.7</v>
      </c>
      <c r="M4926">
        <v>0.86599999999999999</v>
      </c>
      <c r="N4926">
        <v>0.11</v>
      </c>
    </row>
    <row r="4927" spans="1:14" x14ac:dyDescent="0.25">
      <c r="A4927" t="s">
        <v>8923</v>
      </c>
      <c r="B4927" t="s">
        <v>8924</v>
      </c>
      <c r="C4927" s="1" t="str">
        <f>HYPERLINK("http://www.genecards.org/cgi-bin/carddisp.pl?gene=DHPS","GeneCards")</f>
        <v>GeneCards</v>
      </c>
      <c r="D4927" s="1" t="str">
        <f>HYPERLINK("http://genome-euro.ucsc.edu/cgi-bin/hgTracks?position=207831_x_at","UCSC")</f>
        <v>UCSC</v>
      </c>
      <c r="E4927" s="1" t="str">
        <f>HYPERLINK("http://www.ncbi.nlm.nih.gov/gene/?term=DHPS","NCBI")</f>
        <v>NCBI</v>
      </c>
      <c r="F4927">
        <v>4.3999999999999997E-2</v>
      </c>
      <c r="G4927">
        <v>0.15</v>
      </c>
      <c r="H4927" s="1" t="str">
        <f>HYPERLINK("http://www.weizmann.ac.il/complex/compphys/software/geview/data/figures/207831_x_at.png","Figure")</f>
        <v>Figure</v>
      </c>
      <c r="I4927">
        <v>1.29</v>
      </c>
      <c r="J4927">
        <v>0.18</v>
      </c>
      <c r="K4927">
        <v>1.39</v>
      </c>
      <c r="L4927">
        <v>3.9E-2</v>
      </c>
      <c r="M4927">
        <v>1.08</v>
      </c>
      <c r="N4927">
        <v>0.83</v>
      </c>
    </row>
    <row r="4928" spans="1:14" x14ac:dyDescent="0.25">
      <c r="A4928" t="s">
        <v>8925</v>
      </c>
      <c r="B4928" t="s">
        <v>858</v>
      </c>
      <c r="C4928" s="1" t="str">
        <f>HYPERLINK("http://www.genecards.org/cgi-bin/carddisp.pl?gene=MAPK1","GeneCards")</f>
        <v>GeneCards</v>
      </c>
      <c r="D4928" s="1" t="str">
        <f>HYPERLINK("http://genome-euro.ucsc.edu/cgi-bin/hgTracks?position=212271_at","UCSC")</f>
        <v>UCSC</v>
      </c>
      <c r="E4928" s="1" t="str">
        <f>HYPERLINK("http://www.ncbi.nlm.nih.gov/gene/?term=MAPK1","NCBI")</f>
        <v>NCBI</v>
      </c>
      <c r="F4928">
        <v>4.3999999999999997E-2</v>
      </c>
      <c r="G4928">
        <v>0.15</v>
      </c>
      <c r="H4928" s="1" t="str">
        <f>HYPERLINK("http://www.weizmann.ac.il/complex/compphys/software/geview/data/figures/212271_at.png","Figure")</f>
        <v>Figure</v>
      </c>
      <c r="I4928">
        <v>0.95099999999999996</v>
      </c>
      <c r="J4928">
        <v>0.82</v>
      </c>
      <c r="K4928">
        <v>1.1599999999999999</v>
      </c>
      <c r="L4928">
        <v>0.13</v>
      </c>
      <c r="M4928">
        <v>1.22</v>
      </c>
      <c r="N4928">
        <v>5.5E-2</v>
      </c>
    </row>
    <row r="4929" spans="1:14" x14ac:dyDescent="0.25">
      <c r="A4929" t="s">
        <v>8926</v>
      </c>
      <c r="B4929" t="s">
        <v>8927</v>
      </c>
      <c r="C4929" s="1" t="str">
        <f>HYPERLINK("http://www.genecards.org/cgi-bin/carddisp.pl?gene=GTF3C1","GeneCards")</f>
        <v>GeneCards</v>
      </c>
      <c r="D4929" s="1" t="str">
        <f>HYPERLINK("http://genome-euro.ucsc.edu/cgi-bin/hgTracks?position=35671_at","UCSC")</f>
        <v>UCSC</v>
      </c>
      <c r="E4929" s="1" t="str">
        <f>HYPERLINK("http://www.ncbi.nlm.nih.gov/gene/?term=GTF3C1","NCBI")</f>
        <v>NCBI</v>
      </c>
      <c r="F4929">
        <v>4.3999999999999997E-2</v>
      </c>
      <c r="G4929">
        <v>0.15</v>
      </c>
      <c r="H4929" s="1" t="str">
        <f>HYPERLINK("http://www.weizmann.ac.il/complex/compphys/software/geview/data/figures/35671_at.png","Figure")</f>
        <v>Figure</v>
      </c>
      <c r="I4929">
        <v>1.26</v>
      </c>
      <c r="J4929">
        <v>0.04</v>
      </c>
      <c r="K4929">
        <v>1.07</v>
      </c>
      <c r="L4929">
        <v>0.66</v>
      </c>
      <c r="M4929">
        <v>0.84399999999999997</v>
      </c>
      <c r="N4929">
        <v>0.12</v>
      </c>
    </row>
    <row r="4930" spans="1:14" x14ac:dyDescent="0.25">
      <c r="A4930" t="s">
        <v>8928</v>
      </c>
      <c r="B4930" t="s">
        <v>8929</v>
      </c>
      <c r="C4930" s="1" t="str">
        <f>HYPERLINK("http://www.genecards.org/cgi-bin/carddisp.pl?gene=HNRNPF","GeneCards")</f>
        <v>GeneCards</v>
      </c>
      <c r="D4930" s="1" t="str">
        <f>HYPERLINK("http://genome-euro.ucsc.edu/cgi-bin/hgTracks?position=201376_s_at","UCSC")</f>
        <v>UCSC</v>
      </c>
      <c r="E4930" s="1" t="str">
        <f>HYPERLINK("http://www.ncbi.nlm.nih.gov/gene/?term=HNRNPF","NCBI")</f>
        <v>NCBI</v>
      </c>
      <c r="F4930">
        <v>4.3999999999999997E-2</v>
      </c>
      <c r="G4930">
        <v>0.15</v>
      </c>
      <c r="H4930" s="1" t="str">
        <f>HYPERLINK("http://www.weizmann.ac.il/complex/compphys/software/geview/data/figures/201376_s_at.png","Figure")</f>
        <v>Figure</v>
      </c>
      <c r="I4930">
        <v>1.17</v>
      </c>
      <c r="J4930">
        <v>0.35</v>
      </c>
      <c r="K4930">
        <v>1.32</v>
      </c>
      <c r="L4930">
        <v>3.5000000000000003E-2</v>
      </c>
      <c r="M4930">
        <v>1.1200000000000001</v>
      </c>
      <c r="N4930">
        <v>0.53</v>
      </c>
    </row>
    <row r="4931" spans="1:14" x14ac:dyDescent="0.25">
      <c r="A4931" t="s">
        <v>8930</v>
      </c>
      <c r="B4931" t="s">
        <v>8931</v>
      </c>
      <c r="C4931" s="1" t="str">
        <f>HYPERLINK("http://www.genecards.org/cgi-bin/carddisp.pl?gene=IGBP1","GeneCards")</f>
        <v>GeneCards</v>
      </c>
      <c r="D4931" s="1" t="str">
        <f>HYPERLINK("http://genome-euro.ucsc.edu/cgi-bin/hgTracks?position=202105_at","UCSC")</f>
        <v>UCSC</v>
      </c>
      <c r="E4931" s="1" t="str">
        <f>HYPERLINK("http://www.ncbi.nlm.nih.gov/gene/?term=IGBP1","NCBI")</f>
        <v>NCBI</v>
      </c>
      <c r="F4931">
        <v>4.3999999999999997E-2</v>
      </c>
      <c r="G4931">
        <v>0.15</v>
      </c>
      <c r="H4931" s="1" t="str">
        <f>HYPERLINK("http://www.weizmann.ac.il/complex/compphys/software/geview/data/figures/202105_at.png","Figure")</f>
        <v>Figure</v>
      </c>
      <c r="I4931">
        <v>0.90300000000000002</v>
      </c>
      <c r="J4931">
        <v>0.8</v>
      </c>
      <c r="K4931">
        <v>1.33</v>
      </c>
      <c r="L4931">
        <v>0.14000000000000001</v>
      </c>
      <c r="M4931">
        <v>1.47</v>
      </c>
      <c r="N4931">
        <v>5.3999999999999999E-2</v>
      </c>
    </row>
    <row r="4932" spans="1:14" x14ac:dyDescent="0.25">
      <c r="A4932" t="s">
        <v>8932</v>
      </c>
      <c r="B4932" t="s">
        <v>8933</v>
      </c>
      <c r="C4932" s="1" t="str">
        <f>HYPERLINK("http://www.genecards.org/cgi-bin/carddisp.pl?gene=ZNF609","GeneCards")</f>
        <v>GeneCards</v>
      </c>
      <c r="D4932" s="1" t="str">
        <f>HYPERLINK("http://genome-euro.ucsc.edu/cgi-bin/hgTracks?position=212620_at","UCSC")</f>
        <v>UCSC</v>
      </c>
      <c r="E4932" s="1" t="str">
        <f>HYPERLINK("http://www.ncbi.nlm.nih.gov/gene/?term=ZNF609","NCBI")</f>
        <v>NCBI</v>
      </c>
      <c r="F4932">
        <v>4.3999999999999997E-2</v>
      </c>
      <c r="G4932">
        <v>0.15</v>
      </c>
      <c r="H4932" s="1" t="str">
        <f>HYPERLINK("http://www.weizmann.ac.il/complex/compphys/software/geview/data/figures/212620_at.png","Figure")</f>
        <v>Figure</v>
      </c>
      <c r="I4932">
        <v>1.1299999999999999</v>
      </c>
      <c r="J4932">
        <v>0.62</v>
      </c>
      <c r="K4932">
        <v>1.37</v>
      </c>
      <c r="L4932">
        <v>3.9E-2</v>
      </c>
      <c r="M4932">
        <v>1.21</v>
      </c>
      <c r="N4932">
        <v>0.28999999999999998</v>
      </c>
    </row>
    <row r="4933" spans="1:14" x14ac:dyDescent="0.25">
      <c r="A4933" t="s">
        <v>8934</v>
      </c>
      <c r="B4933" t="s">
        <v>8935</v>
      </c>
      <c r="C4933" s="1" t="str">
        <f>HYPERLINK("http://www.genecards.org/cgi-bin/carddisp.pl?gene=PIAS1","GeneCards")</f>
        <v>GeneCards</v>
      </c>
      <c r="D4933" s="1" t="str">
        <f>HYPERLINK("http://genome-euro.ucsc.edu/cgi-bin/hgTracks?position=217864_s_at","UCSC")</f>
        <v>UCSC</v>
      </c>
      <c r="E4933" s="1" t="str">
        <f>HYPERLINK("http://www.ncbi.nlm.nih.gov/gene/?term=PIAS1","NCBI")</f>
        <v>NCBI</v>
      </c>
      <c r="F4933">
        <v>4.3999999999999997E-2</v>
      </c>
      <c r="G4933">
        <v>0.15</v>
      </c>
      <c r="H4933" s="1" t="str">
        <f>HYPERLINK("http://www.weizmann.ac.il/complex/compphys/software/geview/data/figures/217864_s_at.png","Figure")</f>
        <v>Figure</v>
      </c>
      <c r="I4933">
        <v>1.06</v>
      </c>
      <c r="J4933">
        <v>0.85</v>
      </c>
      <c r="K4933">
        <v>0.82599999999999996</v>
      </c>
      <c r="L4933">
        <v>0.13</v>
      </c>
      <c r="M4933">
        <v>0.78</v>
      </c>
      <c r="N4933">
        <v>5.8000000000000003E-2</v>
      </c>
    </row>
    <row r="4934" spans="1:14" x14ac:dyDescent="0.25">
      <c r="A4934" t="s">
        <v>8936</v>
      </c>
      <c r="B4934" t="s">
        <v>8937</v>
      </c>
      <c r="C4934" s="1" t="str">
        <f>HYPERLINK("http://www.genecards.org/cgi-bin/carddisp.pl?gene=ZNF224","GeneCards")</f>
        <v>GeneCards</v>
      </c>
      <c r="D4934" s="1" t="str">
        <f>HYPERLINK("http://genome-euro.ucsc.edu/cgi-bin/hgTracks?position=220019_s_at","UCSC")</f>
        <v>UCSC</v>
      </c>
      <c r="E4934" s="1" t="str">
        <f>HYPERLINK("http://www.ncbi.nlm.nih.gov/gene/?term=ZNF224","NCBI")</f>
        <v>NCBI</v>
      </c>
      <c r="F4934">
        <v>4.3999999999999997E-2</v>
      </c>
      <c r="G4934">
        <v>0.15</v>
      </c>
      <c r="H4934" s="1" t="str">
        <f>HYPERLINK("http://www.weizmann.ac.il/complex/compphys/software/geview/data/figures/220019_s_at.png","Figure")</f>
        <v>Figure</v>
      </c>
      <c r="I4934">
        <v>0.89800000000000002</v>
      </c>
      <c r="J4934">
        <v>0.26</v>
      </c>
      <c r="K4934">
        <v>1.07</v>
      </c>
      <c r="L4934">
        <v>0.5</v>
      </c>
      <c r="M4934">
        <v>1.19</v>
      </c>
      <c r="N4934">
        <v>3.5000000000000003E-2</v>
      </c>
    </row>
    <row r="4935" spans="1:14" x14ac:dyDescent="0.25">
      <c r="A4935" t="s">
        <v>8938</v>
      </c>
      <c r="B4935" t="s">
        <v>8939</v>
      </c>
      <c r="C4935" s="1" t="str">
        <f>HYPERLINK("http://www.genecards.org/cgi-bin/carddisp.pl?gene=ANGPTL4","GeneCards")</f>
        <v>GeneCards</v>
      </c>
      <c r="D4935" s="1" t="str">
        <f>HYPERLINK("http://genome-euro.ucsc.edu/cgi-bin/hgTracks?position=221009_s_at","UCSC")</f>
        <v>UCSC</v>
      </c>
      <c r="E4935" s="1" t="str">
        <f>HYPERLINK("http://www.ncbi.nlm.nih.gov/gene/?term=ANGPTL4","NCBI")</f>
        <v>NCBI</v>
      </c>
      <c r="F4935">
        <v>4.3999999999999997E-2</v>
      </c>
      <c r="G4935">
        <v>0.15</v>
      </c>
      <c r="H4935" s="1" t="str">
        <f>HYPERLINK("http://www.weizmann.ac.il/complex/compphys/software/geview/data/figures/221009_s_at.png","Figure")</f>
        <v>Figure</v>
      </c>
      <c r="I4935">
        <v>1.38</v>
      </c>
      <c r="J4935">
        <v>3.5999999999999997E-2</v>
      </c>
      <c r="K4935">
        <v>1.1299999999999999</v>
      </c>
      <c r="L4935">
        <v>0.46</v>
      </c>
      <c r="M4935">
        <v>0.81899999999999995</v>
      </c>
      <c r="N4935">
        <v>0.18</v>
      </c>
    </row>
    <row r="4936" spans="1:14" x14ac:dyDescent="0.25">
      <c r="A4936" t="s">
        <v>8940</v>
      </c>
      <c r="B4936" t="s">
        <v>4731</v>
      </c>
      <c r="C4936" s="1" t="str">
        <f>HYPERLINK("http://www.genecards.org/cgi-bin/carddisp.pl?gene=PSMD4","GeneCards")</f>
        <v>GeneCards</v>
      </c>
      <c r="D4936" s="1" t="str">
        <f>HYPERLINK("http://genome-euro.ucsc.edu/cgi-bin/hgTracks?position=210459_at","UCSC")</f>
        <v>UCSC</v>
      </c>
      <c r="E4936" s="1" t="str">
        <f>HYPERLINK("http://www.ncbi.nlm.nih.gov/gene/?term=PSMD4","NCBI")</f>
        <v>NCBI</v>
      </c>
      <c r="F4936">
        <v>4.3999999999999997E-2</v>
      </c>
      <c r="G4936">
        <v>0.15</v>
      </c>
      <c r="H4936" s="1" t="str">
        <f>HYPERLINK("http://www.weizmann.ac.il/complex/compphys/software/geview/data/figures/210459_at.png","Figure")</f>
        <v>Figure</v>
      </c>
      <c r="I4936">
        <v>1.1499999999999999</v>
      </c>
      <c r="J4936">
        <v>8.7999999999999995E-2</v>
      </c>
      <c r="K4936">
        <v>0.98899999999999999</v>
      </c>
      <c r="L4936">
        <v>0.98</v>
      </c>
      <c r="M4936">
        <v>0.86299999999999999</v>
      </c>
      <c r="N4936">
        <v>4.5999999999999999E-2</v>
      </c>
    </row>
    <row r="4937" spans="1:14" x14ac:dyDescent="0.25">
      <c r="A4937" t="s">
        <v>8941</v>
      </c>
      <c r="B4937" t="s">
        <v>8942</v>
      </c>
      <c r="C4937" s="1" t="str">
        <f>HYPERLINK("http://www.genecards.org/cgi-bin/carddisp.pl?gene=SIGLEC7","GeneCards")</f>
        <v>GeneCards</v>
      </c>
      <c r="D4937" s="1" t="str">
        <f>HYPERLINK("http://genome-euro.ucsc.edu/cgi-bin/hgTracks?position=216537_s_at","UCSC")</f>
        <v>UCSC</v>
      </c>
      <c r="E4937" s="1" t="str">
        <f>HYPERLINK("http://www.ncbi.nlm.nih.gov/gene/?term=SIGLEC7","NCBI")</f>
        <v>NCBI</v>
      </c>
      <c r="F4937">
        <v>4.3999999999999997E-2</v>
      </c>
      <c r="G4937">
        <v>0.15</v>
      </c>
      <c r="H4937" s="1" t="str">
        <f>HYPERLINK("http://www.weizmann.ac.il/complex/compphys/software/geview/data/figures/216537_s_at.png","Figure")</f>
        <v>Figure</v>
      </c>
      <c r="I4937">
        <v>1.25</v>
      </c>
      <c r="J4937">
        <v>4.3999999999999997E-2</v>
      </c>
      <c r="K4937">
        <v>1.05</v>
      </c>
      <c r="L4937">
        <v>0.79</v>
      </c>
      <c r="M4937">
        <v>0.84099999999999997</v>
      </c>
      <c r="N4937">
        <v>9.5000000000000001E-2</v>
      </c>
    </row>
    <row r="4938" spans="1:14" x14ac:dyDescent="0.25">
      <c r="A4938" t="s">
        <v>8943</v>
      </c>
      <c r="B4938" t="s">
        <v>8944</v>
      </c>
      <c r="C4938" s="1" t="str">
        <f>HYPERLINK("http://www.genecards.org/cgi-bin/carddisp.pl?gene=REEP2","GeneCards")</f>
        <v>GeneCards</v>
      </c>
      <c r="D4938" s="1" t="str">
        <f>HYPERLINK("http://genome-euro.ucsc.edu/cgi-bin/hgTracks?position=205331_s_at","UCSC")</f>
        <v>UCSC</v>
      </c>
      <c r="E4938" s="1" t="str">
        <f>HYPERLINK("http://www.ncbi.nlm.nih.gov/gene/?term=REEP2","NCBI")</f>
        <v>NCBI</v>
      </c>
      <c r="F4938">
        <v>4.3999999999999997E-2</v>
      </c>
      <c r="G4938">
        <v>0.15</v>
      </c>
      <c r="H4938" s="1" t="str">
        <f>HYPERLINK("http://www.weizmann.ac.il/complex/compphys/software/geview/data/figures/205331_s_at.png","Figure")</f>
        <v>Figure</v>
      </c>
      <c r="I4938">
        <v>1.33</v>
      </c>
      <c r="J4938">
        <v>3.5999999999999997E-2</v>
      </c>
      <c r="K4938">
        <v>1.1599999999999999</v>
      </c>
      <c r="L4938">
        <v>0.24</v>
      </c>
      <c r="M4938">
        <v>0.876</v>
      </c>
      <c r="N4938">
        <v>0.36</v>
      </c>
    </row>
    <row r="4939" spans="1:14" x14ac:dyDescent="0.25">
      <c r="A4939" t="s">
        <v>8945</v>
      </c>
      <c r="B4939" t="s">
        <v>8946</v>
      </c>
      <c r="C4939" s="1" t="str">
        <f>HYPERLINK("http://www.genecards.org/cgi-bin/carddisp.pl?gene=TRA2A","GeneCards")</f>
        <v>GeneCards</v>
      </c>
      <c r="D4939" s="1" t="str">
        <f>HYPERLINK("http://genome-euro.ucsc.edu/cgi-bin/hgTracks?position=213593_s_at","UCSC")</f>
        <v>UCSC</v>
      </c>
      <c r="E4939" s="1" t="str">
        <f>HYPERLINK("http://www.ncbi.nlm.nih.gov/gene/?term=TRA2A","NCBI")</f>
        <v>NCBI</v>
      </c>
      <c r="F4939">
        <v>4.3999999999999997E-2</v>
      </c>
      <c r="G4939">
        <v>0.15</v>
      </c>
      <c r="H4939" s="1" t="str">
        <f>HYPERLINK("http://www.weizmann.ac.il/complex/compphys/software/geview/data/figures/213593_s_at.png","Figure")</f>
        <v>Figure</v>
      </c>
      <c r="I4939">
        <v>1.58</v>
      </c>
      <c r="J4939">
        <v>0.44</v>
      </c>
      <c r="K4939">
        <v>0.61299999999999999</v>
      </c>
      <c r="L4939">
        <v>0.3</v>
      </c>
      <c r="M4939">
        <v>0.38900000000000001</v>
      </c>
      <c r="N4939">
        <v>3.7999999999999999E-2</v>
      </c>
    </row>
    <row r="4940" spans="1:14" x14ac:dyDescent="0.25">
      <c r="A4940" t="s">
        <v>8947</v>
      </c>
      <c r="B4940" t="s">
        <v>8948</v>
      </c>
      <c r="C4940" s="1" t="str">
        <f>HYPERLINK("http://www.genecards.org/cgi-bin/carddisp.pl?gene=AKTIP","GeneCards")</f>
        <v>GeneCards</v>
      </c>
      <c r="D4940" s="1" t="str">
        <f>HYPERLINK("http://genome-euro.ucsc.edu/cgi-bin/hgTracks?position=218373_at","UCSC")</f>
        <v>UCSC</v>
      </c>
      <c r="E4940" s="1" t="str">
        <f>HYPERLINK("http://www.ncbi.nlm.nih.gov/gene/?term=AKTIP","NCBI")</f>
        <v>NCBI</v>
      </c>
      <c r="F4940">
        <v>4.3999999999999997E-2</v>
      </c>
      <c r="G4940">
        <v>0.15</v>
      </c>
      <c r="H4940" s="1" t="str">
        <f>HYPERLINK("http://www.weizmann.ac.il/complex/compphys/software/geview/data/figures/218373_at.png","Figure")</f>
        <v>Figure</v>
      </c>
      <c r="I4940">
        <v>0.56899999999999995</v>
      </c>
      <c r="J4940">
        <v>0.04</v>
      </c>
      <c r="K4940">
        <v>0.85399999999999998</v>
      </c>
      <c r="L4940">
        <v>0.66</v>
      </c>
      <c r="M4940">
        <v>1.5</v>
      </c>
      <c r="N4940">
        <v>0.12</v>
      </c>
    </row>
    <row r="4941" spans="1:14" x14ac:dyDescent="0.25">
      <c r="A4941" t="s">
        <v>8949</v>
      </c>
      <c r="B4941" t="s">
        <v>8950</v>
      </c>
      <c r="C4941" s="1" t="str">
        <f>HYPERLINK("http://www.genecards.org/cgi-bin/carddisp.pl?gene=TCP11L1","GeneCards")</f>
        <v>GeneCards</v>
      </c>
      <c r="D4941" s="1" t="str">
        <f>HYPERLINK("http://genome-euro.ucsc.edu/cgi-bin/hgTracks?position=205797_s_at","UCSC")</f>
        <v>UCSC</v>
      </c>
      <c r="E4941" s="1" t="str">
        <f>HYPERLINK("http://www.ncbi.nlm.nih.gov/gene/?term=TCP11L1","NCBI")</f>
        <v>NCBI</v>
      </c>
      <c r="F4941">
        <v>4.3999999999999997E-2</v>
      </c>
      <c r="G4941">
        <v>0.15</v>
      </c>
      <c r="H4941" s="1" t="str">
        <f>HYPERLINK("http://www.weizmann.ac.il/complex/compphys/software/geview/data/figures/205797_s_at.png","Figure")</f>
        <v>Figure</v>
      </c>
      <c r="I4941">
        <v>1.45</v>
      </c>
      <c r="J4941">
        <v>3.7999999999999999E-2</v>
      </c>
      <c r="K4941">
        <v>1.1200000000000001</v>
      </c>
      <c r="L4941">
        <v>0.57999999999999996</v>
      </c>
      <c r="M4941">
        <v>0.77700000000000002</v>
      </c>
      <c r="N4941">
        <v>0.14000000000000001</v>
      </c>
    </row>
    <row r="4942" spans="1:14" x14ac:dyDescent="0.25">
      <c r="A4942" t="s">
        <v>8951</v>
      </c>
      <c r="B4942" t="s">
        <v>7545</v>
      </c>
      <c r="C4942" s="1" t="str">
        <f>HYPERLINK("http://www.genecards.org/cgi-bin/carddisp.pl?gene=SNTB2","GeneCards")</f>
        <v>GeneCards</v>
      </c>
      <c r="D4942" s="1" t="str">
        <f>HYPERLINK("http://genome-euro.ucsc.edu/cgi-bin/hgTracks?position=213814_s_at","UCSC")</f>
        <v>UCSC</v>
      </c>
      <c r="E4942" s="1" t="str">
        <f>HYPERLINK("http://www.ncbi.nlm.nih.gov/gene/?term=SNTB2","NCBI")</f>
        <v>NCBI</v>
      </c>
      <c r="F4942">
        <v>4.3999999999999997E-2</v>
      </c>
      <c r="G4942">
        <v>0.15</v>
      </c>
      <c r="H4942" s="1" t="str">
        <f>HYPERLINK("http://www.weizmann.ac.il/complex/compphys/software/geview/data/figures/213814_s_at.png","Figure")</f>
        <v>Figure</v>
      </c>
      <c r="I4942">
        <v>1.22</v>
      </c>
      <c r="J4942">
        <v>6.5000000000000002E-2</v>
      </c>
      <c r="K4942">
        <v>1.01</v>
      </c>
      <c r="L4942">
        <v>0.99</v>
      </c>
      <c r="M4942">
        <v>0.82899999999999996</v>
      </c>
      <c r="N4942">
        <v>5.8000000000000003E-2</v>
      </c>
    </row>
    <row r="4943" spans="1:14" x14ac:dyDescent="0.25">
      <c r="A4943" t="s">
        <v>8952</v>
      </c>
      <c r="B4943" t="s">
        <v>8953</v>
      </c>
      <c r="C4943" s="1" t="str">
        <f>HYPERLINK("http://www.genecards.org/cgi-bin/carddisp.pl?gene=DENND4C","GeneCards")</f>
        <v>GeneCards</v>
      </c>
      <c r="D4943" s="1" t="str">
        <f>HYPERLINK("http://genome-euro.ucsc.edu/cgi-bin/hgTracks?position=205684_s_at","UCSC")</f>
        <v>UCSC</v>
      </c>
      <c r="E4943" s="1" t="str">
        <f>HYPERLINK("http://www.ncbi.nlm.nih.gov/gene/?term=DENND4C","NCBI")</f>
        <v>NCBI</v>
      </c>
      <c r="F4943">
        <v>4.3999999999999997E-2</v>
      </c>
      <c r="G4943">
        <v>0.15</v>
      </c>
      <c r="H4943" s="1" t="str">
        <f>HYPERLINK("http://www.weizmann.ac.il/complex/compphys/software/geview/data/figures/205684_s_at.png","Figure")</f>
        <v>Figure</v>
      </c>
      <c r="I4943">
        <v>0.80600000000000005</v>
      </c>
      <c r="J4943">
        <v>0.11</v>
      </c>
      <c r="K4943">
        <v>0.79400000000000004</v>
      </c>
      <c r="L4943">
        <v>4.8000000000000001E-2</v>
      </c>
      <c r="M4943">
        <v>0.98599999999999999</v>
      </c>
      <c r="N4943">
        <v>0.99</v>
      </c>
    </row>
    <row r="4944" spans="1:14" x14ac:dyDescent="0.25">
      <c r="A4944" t="s">
        <v>8954</v>
      </c>
      <c r="B4944" t="s">
        <v>4905</v>
      </c>
      <c r="C4944" s="1" t="str">
        <f>HYPERLINK("http://www.genecards.org/cgi-bin/carddisp.pl?gene=LOXL2","GeneCards")</f>
        <v>GeneCards</v>
      </c>
      <c r="D4944" s="1" t="str">
        <f>HYPERLINK("http://genome-euro.ucsc.edu/cgi-bin/hgTracks?position=202999_s_at","UCSC")</f>
        <v>UCSC</v>
      </c>
      <c r="E4944" s="1" t="str">
        <f>HYPERLINK("http://www.ncbi.nlm.nih.gov/gene/?term=LOXL2","NCBI")</f>
        <v>NCBI</v>
      </c>
      <c r="F4944">
        <v>4.3999999999999997E-2</v>
      </c>
      <c r="G4944">
        <v>0.15</v>
      </c>
      <c r="H4944" s="1" t="str">
        <f>HYPERLINK("http://www.weizmann.ac.il/complex/compphys/software/geview/data/figures/202999_s_at.png","Figure")</f>
        <v>Figure</v>
      </c>
      <c r="I4944">
        <v>1.17</v>
      </c>
      <c r="J4944">
        <v>3.7999999999999999E-2</v>
      </c>
      <c r="K4944">
        <v>1.05</v>
      </c>
      <c r="L4944">
        <v>0.57999999999999996</v>
      </c>
      <c r="M4944">
        <v>0.89600000000000002</v>
      </c>
      <c r="N4944">
        <v>0.14000000000000001</v>
      </c>
    </row>
    <row r="4945" spans="1:14" x14ac:dyDescent="0.25">
      <c r="A4945" t="s">
        <v>8955</v>
      </c>
      <c r="B4945" t="s">
        <v>8956</v>
      </c>
      <c r="C4945" s="1" t="str">
        <f>HYPERLINK("http://www.genecards.org/cgi-bin/carddisp.pl?gene=SPOCK2","GeneCards")</f>
        <v>GeneCards</v>
      </c>
      <c r="D4945" s="1" t="str">
        <f>HYPERLINK("http://genome-euro.ucsc.edu/cgi-bin/hgTracks?position=202523_s_at","UCSC")</f>
        <v>UCSC</v>
      </c>
      <c r="E4945" s="1" t="str">
        <f>HYPERLINK("http://www.ncbi.nlm.nih.gov/gene/?term=SPOCK2","NCBI")</f>
        <v>NCBI</v>
      </c>
      <c r="F4945">
        <v>4.3999999999999997E-2</v>
      </c>
      <c r="G4945">
        <v>0.15</v>
      </c>
      <c r="H4945" s="1" t="str">
        <f>HYPERLINK("http://www.weizmann.ac.il/complex/compphys/software/geview/data/figures/202523_s_at.png","Figure")</f>
        <v>Figure</v>
      </c>
      <c r="I4945">
        <v>1.29</v>
      </c>
      <c r="J4945">
        <v>6.9000000000000006E-2</v>
      </c>
      <c r="K4945">
        <v>1</v>
      </c>
      <c r="L4945">
        <v>1</v>
      </c>
      <c r="M4945">
        <v>0.78200000000000003</v>
      </c>
      <c r="N4945">
        <v>5.5E-2</v>
      </c>
    </row>
    <row r="4946" spans="1:14" x14ac:dyDescent="0.25">
      <c r="A4946" t="s">
        <v>8957</v>
      </c>
      <c r="B4946" t="s">
        <v>8958</v>
      </c>
      <c r="C4946" s="1" t="str">
        <f>HYPERLINK("http://www.genecards.org/cgi-bin/carddisp.pl?gene=EXOG","GeneCards")</f>
        <v>GeneCards</v>
      </c>
      <c r="D4946" s="1" t="str">
        <f>HYPERLINK("http://genome-euro.ucsc.edu/cgi-bin/hgTracks?position=205521_at","UCSC")</f>
        <v>UCSC</v>
      </c>
      <c r="E4946" s="1" t="str">
        <f>HYPERLINK("http://www.ncbi.nlm.nih.gov/gene/?term=EXOG","NCBI")</f>
        <v>NCBI</v>
      </c>
      <c r="F4946">
        <v>4.3999999999999997E-2</v>
      </c>
      <c r="G4946">
        <v>0.15</v>
      </c>
      <c r="H4946" s="1" t="str">
        <f>HYPERLINK("http://www.weizmann.ac.il/complex/compphys/software/geview/data/figures/205521_at.png","Figure")</f>
        <v>Figure</v>
      </c>
      <c r="I4946">
        <v>1.25</v>
      </c>
      <c r="J4946">
        <v>0.11</v>
      </c>
      <c r="K4946">
        <v>1.27</v>
      </c>
      <c r="L4946">
        <v>4.7E-2</v>
      </c>
      <c r="M4946">
        <v>1.02</v>
      </c>
      <c r="N4946">
        <v>0.98</v>
      </c>
    </row>
    <row r="4947" spans="1:14" x14ac:dyDescent="0.25">
      <c r="A4947" t="s">
        <v>8959</v>
      </c>
      <c r="B4947" t="s">
        <v>8960</v>
      </c>
      <c r="C4947" s="1" t="str">
        <f>HYPERLINK("http://www.genecards.org/cgi-bin/carddisp.pl?gene=PEX10","GeneCards")</f>
        <v>GeneCards</v>
      </c>
      <c r="D4947" s="1" t="str">
        <f>HYPERLINK("http://genome-euro.ucsc.edu/cgi-bin/hgTracks?position=206352_s_at","UCSC")</f>
        <v>UCSC</v>
      </c>
      <c r="E4947" s="1" t="str">
        <f>HYPERLINK("http://www.ncbi.nlm.nih.gov/gene/?term=PEX10","NCBI")</f>
        <v>NCBI</v>
      </c>
      <c r="F4947">
        <v>4.3999999999999997E-2</v>
      </c>
      <c r="G4947">
        <v>0.15</v>
      </c>
      <c r="H4947" s="1" t="str">
        <f>HYPERLINK("http://www.weizmann.ac.il/complex/compphys/software/geview/data/figures/206352_s_at.png","Figure")</f>
        <v>Figure</v>
      </c>
      <c r="I4947">
        <v>1.22</v>
      </c>
      <c r="J4947">
        <v>4.8000000000000001E-2</v>
      </c>
      <c r="K4947">
        <v>1.03</v>
      </c>
      <c r="L4947">
        <v>0.86</v>
      </c>
      <c r="M4947">
        <v>0.84699999999999998</v>
      </c>
      <c r="N4947">
        <v>8.2000000000000003E-2</v>
      </c>
    </row>
    <row r="4948" spans="1:14" x14ac:dyDescent="0.25">
      <c r="A4948" t="s">
        <v>8961</v>
      </c>
      <c r="B4948" t="s">
        <v>3070</v>
      </c>
      <c r="C4948" s="1" t="str">
        <f>HYPERLINK("http://www.genecards.org/cgi-bin/carddisp.pl?gene=GNAS","GeneCards")</f>
        <v>GeneCards</v>
      </c>
      <c r="D4948" s="1" t="str">
        <f>HYPERLINK("http://genome-euro.ucsc.edu/cgi-bin/hgTracks?position=214548_x_at","UCSC")</f>
        <v>UCSC</v>
      </c>
      <c r="E4948" s="1" t="str">
        <f>HYPERLINK("http://www.ncbi.nlm.nih.gov/gene/?term=GNAS","NCBI")</f>
        <v>NCBI</v>
      </c>
      <c r="F4948">
        <v>4.3999999999999997E-2</v>
      </c>
      <c r="G4948">
        <v>0.15</v>
      </c>
      <c r="H4948" s="1" t="str">
        <f>HYPERLINK("http://www.weizmann.ac.il/complex/compphys/software/geview/data/figures/214548_x_at.png","Figure")</f>
        <v>Figure</v>
      </c>
      <c r="I4948">
        <v>1.21</v>
      </c>
      <c r="J4948">
        <v>0.33</v>
      </c>
      <c r="K4948">
        <v>0.86499999999999999</v>
      </c>
      <c r="L4948">
        <v>0.41</v>
      </c>
      <c r="M4948">
        <v>0.71799999999999997</v>
      </c>
      <c r="N4948">
        <v>3.5999999999999997E-2</v>
      </c>
    </row>
    <row r="4949" spans="1:14" x14ac:dyDescent="0.25">
      <c r="A4949" t="s">
        <v>8962</v>
      </c>
      <c r="B4949" t="s">
        <v>8963</v>
      </c>
      <c r="C4949" s="1" t="str">
        <f>HYPERLINK("http://www.genecards.org/cgi-bin/carddisp.pl?gene=BAALC","GeneCards")</f>
        <v>GeneCards</v>
      </c>
      <c r="D4949" s="1" t="str">
        <f>HYPERLINK("http://genome-euro.ucsc.edu/cgi-bin/hgTracks?position=218899_s_at","UCSC")</f>
        <v>UCSC</v>
      </c>
      <c r="E4949" s="1" t="str">
        <f>HYPERLINK("http://www.ncbi.nlm.nih.gov/gene/?term=BAALC","NCBI")</f>
        <v>NCBI</v>
      </c>
      <c r="F4949">
        <v>4.3999999999999997E-2</v>
      </c>
      <c r="G4949">
        <v>0.15</v>
      </c>
      <c r="H4949" s="1" t="str">
        <f>HYPERLINK("http://www.weizmann.ac.il/complex/compphys/software/geview/data/figures/218899_s_at.png","Figure")</f>
        <v>Figure</v>
      </c>
      <c r="I4949">
        <v>0.78500000000000003</v>
      </c>
      <c r="J4949">
        <v>0.7</v>
      </c>
      <c r="K4949">
        <v>0.49299999999999999</v>
      </c>
      <c r="L4949">
        <v>4.1000000000000002E-2</v>
      </c>
      <c r="M4949">
        <v>0.628</v>
      </c>
      <c r="N4949">
        <v>0.25</v>
      </c>
    </row>
    <row r="4950" spans="1:14" x14ac:dyDescent="0.25">
      <c r="A4950" t="s">
        <v>8964</v>
      </c>
      <c r="B4950" t="s">
        <v>8965</v>
      </c>
      <c r="C4950" s="1" t="str">
        <f>HYPERLINK("http://www.genecards.org/cgi-bin/carddisp.pl?gene=FRAT1","GeneCards")</f>
        <v>GeneCards</v>
      </c>
      <c r="D4950" s="1" t="str">
        <f>HYPERLINK("http://genome-euro.ucsc.edu/cgi-bin/hgTracks?position=219889_at","UCSC")</f>
        <v>UCSC</v>
      </c>
      <c r="E4950" s="1" t="str">
        <f>HYPERLINK("http://www.ncbi.nlm.nih.gov/gene/?term=FRAT1","NCBI")</f>
        <v>NCBI</v>
      </c>
      <c r="F4950">
        <v>4.3999999999999997E-2</v>
      </c>
      <c r="G4950">
        <v>0.15</v>
      </c>
      <c r="H4950" s="1" t="str">
        <f>HYPERLINK("http://www.weizmann.ac.il/complex/compphys/software/geview/data/figures/219889_at.png","Figure")</f>
        <v>Figure</v>
      </c>
      <c r="I4950">
        <v>0.78100000000000003</v>
      </c>
      <c r="J4950">
        <v>0.2</v>
      </c>
      <c r="K4950">
        <v>0.72</v>
      </c>
      <c r="L4950">
        <v>3.7999999999999999E-2</v>
      </c>
      <c r="M4950">
        <v>0.92200000000000004</v>
      </c>
      <c r="N4950">
        <v>0.8</v>
      </c>
    </row>
    <row r="4951" spans="1:14" x14ac:dyDescent="0.25">
      <c r="A4951" t="s">
        <v>8966</v>
      </c>
      <c r="B4951" t="s">
        <v>8967</v>
      </c>
      <c r="C4951" s="1" t="str">
        <f>HYPERLINK("http://www.genecards.org/cgi-bin/carddisp.pl?gene=AGTR2","GeneCards")</f>
        <v>GeneCards</v>
      </c>
      <c r="D4951" s="1" t="str">
        <f>HYPERLINK("http://genome-euro.ucsc.edu/cgi-bin/hgTracks?position=222321_at","UCSC")</f>
        <v>UCSC</v>
      </c>
      <c r="E4951" s="1" t="str">
        <f>HYPERLINK("http://www.ncbi.nlm.nih.gov/gene/?term=AGTR2","NCBI")</f>
        <v>NCBI</v>
      </c>
      <c r="F4951">
        <v>4.3999999999999997E-2</v>
      </c>
      <c r="G4951">
        <v>0.15</v>
      </c>
      <c r="H4951" s="1" t="str">
        <f>HYPERLINK("http://www.weizmann.ac.il/complex/compphys/software/geview/data/figures/222321_at.png","Figure")</f>
        <v>Figure</v>
      </c>
      <c r="I4951">
        <v>1.25</v>
      </c>
      <c r="J4951">
        <v>4.3999999999999997E-2</v>
      </c>
      <c r="K4951">
        <v>1.05</v>
      </c>
      <c r="L4951">
        <v>0.77</v>
      </c>
      <c r="M4951">
        <v>0.84099999999999997</v>
      </c>
      <c r="N4951">
        <v>9.8000000000000004E-2</v>
      </c>
    </row>
    <row r="4952" spans="1:14" x14ac:dyDescent="0.25">
      <c r="A4952" t="s">
        <v>8968</v>
      </c>
      <c r="B4952" t="s">
        <v>6671</v>
      </c>
      <c r="C4952" s="1" t="str">
        <f>HYPERLINK("http://www.genecards.org/cgi-bin/carddisp.pl?gene=WEE1","GeneCards")</f>
        <v>GeneCards</v>
      </c>
      <c r="D4952" s="1" t="str">
        <f>HYPERLINK("http://genome-euro.ucsc.edu/cgi-bin/hgTracks?position=212533_at","UCSC")</f>
        <v>UCSC</v>
      </c>
      <c r="E4952" s="1" t="str">
        <f>HYPERLINK("http://www.ncbi.nlm.nih.gov/gene/?term=WEE1","NCBI")</f>
        <v>NCBI</v>
      </c>
      <c r="F4952">
        <v>4.3999999999999997E-2</v>
      </c>
      <c r="G4952">
        <v>0.15</v>
      </c>
      <c r="H4952" s="1" t="str">
        <f>HYPERLINK("http://www.weizmann.ac.il/complex/compphys/software/geview/data/figures/212533_at.png","Figure")</f>
        <v>Figure</v>
      </c>
      <c r="I4952">
        <v>1.36</v>
      </c>
      <c r="J4952">
        <v>0.1</v>
      </c>
      <c r="K4952">
        <v>0.96099999999999997</v>
      </c>
      <c r="L4952">
        <v>0.94</v>
      </c>
      <c r="M4952">
        <v>0.70399999999999996</v>
      </c>
      <c r="N4952">
        <v>4.2999999999999997E-2</v>
      </c>
    </row>
    <row r="4953" spans="1:14" x14ac:dyDescent="0.25">
      <c r="A4953" t="s">
        <v>8969</v>
      </c>
      <c r="B4953" t="s">
        <v>8970</v>
      </c>
      <c r="C4953" s="1" t="str">
        <f>HYPERLINK("http://www.genecards.org/cgi-bin/carddisp.pl?gene=FKBP1A","GeneCards")</f>
        <v>GeneCards</v>
      </c>
      <c r="D4953" s="1" t="str">
        <f>HYPERLINK("http://genome-euro.ucsc.edu/cgi-bin/hgTracks?position=210187_at","UCSC")</f>
        <v>UCSC</v>
      </c>
      <c r="E4953" s="1" t="str">
        <f>HYPERLINK("http://www.ncbi.nlm.nih.gov/gene/?term=FKBP1A","NCBI")</f>
        <v>NCBI</v>
      </c>
      <c r="F4953">
        <v>4.3999999999999997E-2</v>
      </c>
      <c r="G4953">
        <v>0.15</v>
      </c>
      <c r="H4953" s="1" t="str">
        <f>HYPERLINK("http://www.weizmann.ac.il/complex/compphys/software/geview/data/figures/210187_at.png","Figure")</f>
        <v>Figure</v>
      </c>
      <c r="I4953">
        <v>0.80800000000000005</v>
      </c>
      <c r="J4953">
        <v>0.17</v>
      </c>
      <c r="K4953">
        <v>0.76600000000000001</v>
      </c>
      <c r="L4953">
        <v>0.04</v>
      </c>
      <c r="M4953">
        <v>0.94799999999999995</v>
      </c>
      <c r="N4953">
        <v>0.86</v>
      </c>
    </row>
    <row r="4954" spans="1:14" x14ac:dyDescent="0.25">
      <c r="A4954" t="s">
        <v>8971</v>
      </c>
      <c r="B4954" t="s">
        <v>796</v>
      </c>
      <c r="C4954" s="1" t="str">
        <f>HYPERLINK("http://www.genecards.org/cgi-bin/carddisp.pl?gene=GM2A","GeneCards")</f>
        <v>GeneCards</v>
      </c>
      <c r="D4954" s="1" t="str">
        <f>HYPERLINK("http://genome-euro.ucsc.edu/cgi-bin/hgTracks?position=209727_at","UCSC")</f>
        <v>UCSC</v>
      </c>
      <c r="E4954" s="1" t="str">
        <f>HYPERLINK("http://www.ncbi.nlm.nih.gov/gene/?term=GM2A","NCBI")</f>
        <v>NCBI</v>
      </c>
      <c r="F4954">
        <v>4.3999999999999997E-2</v>
      </c>
      <c r="G4954">
        <v>0.15</v>
      </c>
      <c r="H4954" s="1" t="str">
        <f>HYPERLINK("http://www.weizmann.ac.il/complex/compphys/software/geview/data/figures/209727_at.png","Figure")</f>
        <v>Figure</v>
      </c>
      <c r="I4954">
        <v>1.26</v>
      </c>
      <c r="J4954">
        <v>5.5E-2</v>
      </c>
      <c r="K4954">
        <v>1.03</v>
      </c>
      <c r="L4954">
        <v>0.95</v>
      </c>
      <c r="M4954">
        <v>0.81299999999999994</v>
      </c>
      <c r="N4954">
        <v>6.9000000000000006E-2</v>
      </c>
    </row>
    <row r="4955" spans="1:14" x14ac:dyDescent="0.25">
      <c r="A4955" t="s">
        <v>8972</v>
      </c>
      <c r="B4955" t="s">
        <v>8973</v>
      </c>
      <c r="C4955" s="1" t="str">
        <f>HYPERLINK("http://www.genecards.org/cgi-bin/carddisp.pl?gene=GOLGA8A /// GOLGA8B","GeneCards")</f>
        <v>GeneCards</v>
      </c>
      <c r="D4955" s="1" t="str">
        <f>HYPERLINK("http://genome-euro.ucsc.edu/cgi-bin/hgTracks?position=213650_at","UCSC")</f>
        <v>UCSC</v>
      </c>
      <c r="E4955" s="1" t="str">
        <f>HYPERLINK("http://www.ncbi.nlm.nih.gov/gene/?term=GOLGA8A /// GOLGA8B","NCBI")</f>
        <v>NCBI</v>
      </c>
      <c r="F4955">
        <v>4.3999999999999997E-2</v>
      </c>
      <c r="G4955">
        <v>0.15</v>
      </c>
      <c r="H4955" s="1" t="str">
        <f>HYPERLINK("http://www.weizmann.ac.il/complex/compphys/software/geview/data/figures/213650_at.png","Figure")</f>
        <v>Figure</v>
      </c>
      <c r="I4955">
        <v>0.79500000000000004</v>
      </c>
      <c r="J4955">
        <v>0.35</v>
      </c>
      <c r="K4955">
        <v>0.67300000000000004</v>
      </c>
      <c r="L4955">
        <v>3.5000000000000003E-2</v>
      </c>
      <c r="M4955">
        <v>0.84699999999999998</v>
      </c>
      <c r="N4955">
        <v>0.53</v>
      </c>
    </row>
    <row r="4956" spans="1:14" x14ac:dyDescent="0.25">
      <c r="A4956" t="s">
        <v>8974</v>
      </c>
      <c r="B4956" t="s">
        <v>8975</v>
      </c>
      <c r="C4956" s="1" t="str">
        <f>HYPERLINK("http://www.genecards.org/cgi-bin/carddisp.pl?gene=PPFIBP2","GeneCards")</f>
        <v>GeneCards</v>
      </c>
      <c r="D4956" s="1" t="str">
        <f>HYPERLINK("http://genome-euro.ucsc.edu/cgi-bin/hgTracks?position=212841_s_at","UCSC")</f>
        <v>UCSC</v>
      </c>
      <c r="E4956" s="1" t="str">
        <f>HYPERLINK("http://www.ncbi.nlm.nih.gov/gene/?term=PPFIBP2","NCBI")</f>
        <v>NCBI</v>
      </c>
      <c r="F4956">
        <v>4.3999999999999997E-2</v>
      </c>
      <c r="G4956">
        <v>0.15</v>
      </c>
      <c r="H4956" s="1" t="str">
        <f>HYPERLINK("http://www.weizmann.ac.il/complex/compphys/software/geview/data/figures/212841_s_at.png","Figure")</f>
        <v>Figure</v>
      </c>
      <c r="I4956">
        <v>1.06</v>
      </c>
      <c r="J4956">
        <v>0.98</v>
      </c>
      <c r="K4956">
        <v>0.53400000000000003</v>
      </c>
      <c r="L4956">
        <v>8.5999999999999993E-2</v>
      </c>
      <c r="M4956">
        <v>0.504</v>
      </c>
      <c r="N4956">
        <v>7.9000000000000001E-2</v>
      </c>
    </row>
    <row r="4957" spans="1:14" x14ac:dyDescent="0.25">
      <c r="A4957" t="s">
        <v>8976</v>
      </c>
      <c r="B4957" t="s">
        <v>8977</v>
      </c>
      <c r="C4957" s="1" t="str">
        <f>HYPERLINK("http://www.genecards.org/cgi-bin/carddisp.pl?gene=BICD2","GeneCards")</f>
        <v>GeneCards</v>
      </c>
      <c r="D4957" s="1" t="str">
        <f>HYPERLINK("http://genome-euro.ucsc.edu/cgi-bin/hgTracks?position=213154_s_at","UCSC")</f>
        <v>UCSC</v>
      </c>
      <c r="E4957" s="1" t="str">
        <f>HYPERLINK("http://www.ncbi.nlm.nih.gov/gene/?term=BICD2","NCBI")</f>
        <v>NCBI</v>
      </c>
      <c r="F4957">
        <v>4.3999999999999997E-2</v>
      </c>
      <c r="G4957">
        <v>0.15</v>
      </c>
      <c r="H4957" s="1" t="str">
        <f>HYPERLINK("http://www.weizmann.ac.il/complex/compphys/software/geview/data/figures/213154_s_at.png","Figure")</f>
        <v>Figure</v>
      </c>
      <c r="I4957">
        <v>0.54600000000000004</v>
      </c>
      <c r="J4957">
        <v>6.2E-2</v>
      </c>
      <c r="K4957">
        <v>0.60499999999999998</v>
      </c>
      <c r="L4957">
        <v>7.8E-2</v>
      </c>
      <c r="M4957">
        <v>1.1100000000000001</v>
      </c>
      <c r="N4957">
        <v>0.89</v>
      </c>
    </row>
    <row r="4958" spans="1:14" x14ac:dyDescent="0.25">
      <c r="A4958" t="s">
        <v>8978</v>
      </c>
      <c r="B4958" t="s">
        <v>8979</v>
      </c>
      <c r="C4958" s="1" t="str">
        <f>HYPERLINK("http://www.genecards.org/cgi-bin/carddisp.pl?gene=MUC6","GeneCards")</f>
        <v>GeneCards</v>
      </c>
      <c r="D4958" s="1" t="str">
        <f>HYPERLINK("http://genome-euro.ucsc.edu/cgi-bin/hgTracks?position=214133_at","UCSC")</f>
        <v>UCSC</v>
      </c>
      <c r="E4958" s="1" t="str">
        <f>HYPERLINK("http://www.ncbi.nlm.nih.gov/gene/?term=MUC6","NCBI")</f>
        <v>NCBI</v>
      </c>
      <c r="F4958">
        <v>4.3999999999999997E-2</v>
      </c>
      <c r="G4958">
        <v>0.15</v>
      </c>
      <c r="H4958" s="1" t="str">
        <f>HYPERLINK("http://www.weizmann.ac.il/complex/compphys/software/geview/data/figures/214133_at.png","Figure")</f>
        <v>Figure</v>
      </c>
      <c r="I4958">
        <v>1.32</v>
      </c>
      <c r="J4958">
        <v>3.6999999999999998E-2</v>
      </c>
      <c r="K4958">
        <v>1.1599999999999999</v>
      </c>
      <c r="L4958">
        <v>0.22</v>
      </c>
      <c r="M4958">
        <v>0.88200000000000001</v>
      </c>
      <c r="N4958">
        <v>0.39</v>
      </c>
    </row>
    <row r="4959" spans="1:14" x14ac:dyDescent="0.25">
      <c r="A4959" t="s">
        <v>8980</v>
      </c>
      <c r="B4959" t="s">
        <v>7937</v>
      </c>
      <c r="C4959" s="1" t="str">
        <f>HYPERLINK("http://www.genecards.org/cgi-bin/carddisp.pl?gene=RASSF4","GeneCards")</f>
        <v>GeneCards</v>
      </c>
      <c r="D4959" s="1" t="str">
        <f>HYPERLINK("http://genome-euro.ucsc.edu/cgi-bin/hgTracks?position=49306_at","UCSC")</f>
        <v>UCSC</v>
      </c>
      <c r="E4959" s="1" t="str">
        <f>HYPERLINK("http://www.ncbi.nlm.nih.gov/gene/?term=RASSF4","NCBI")</f>
        <v>NCBI</v>
      </c>
      <c r="F4959">
        <v>4.3999999999999997E-2</v>
      </c>
      <c r="G4959">
        <v>0.15</v>
      </c>
      <c r="H4959" s="1" t="str">
        <f>HYPERLINK("http://www.weizmann.ac.il/complex/compphys/software/geview/data/figures/49306_at.png","Figure")</f>
        <v>Figure</v>
      </c>
      <c r="I4959">
        <v>0.98399999999999999</v>
      </c>
      <c r="J4959">
        <v>0.89</v>
      </c>
      <c r="K4959">
        <v>1.07</v>
      </c>
      <c r="L4959">
        <v>0.12</v>
      </c>
      <c r="M4959">
        <v>1.08</v>
      </c>
      <c r="N4959">
        <v>6.2E-2</v>
      </c>
    </row>
    <row r="4960" spans="1:14" x14ac:dyDescent="0.25">
      <c r="A4960" t="s">
        <v>8981</v>
      </c>
      <c r="B4960" t="s">
        <v>2302</v>
      </c>
      <c r="C4960" s="1" t="str">
        <f>HYPERLINK("http://www.genecards.org/cgi-bin/carddisp.pl?gene=HADH","GeneCards")</f>
        <v>GeneCards</v>
      </c>
      <c r="D4960" s="1" t="str">
        <f>HYPERLINK("http://genome-euro.ucsc.edu/cgi-bin/hgTracks?position=201035_s_at","UCSC")</f>
        <v>UCSC</v>
      </c>
      <c r="E4960" s="1" t="str">
        <f>HYPERLINK("http://www.ncbi.nlm.nih.gov/gene/?term=HADH","NCBI")</f>
        <v>NCBI</v>
      </c>
      <c r="F4960">
        <v>4.3999999999999997E-2</v>
      </c>
      <c r="G4960">
        <v>0.15</v>
      </c>
      <c r="H4960" s="1" t="str">
        <f>HYPERLINK("http://www.weizmann.ac.il/complex/compphys/software/geview/data/figures/201035_s_at.png","Figure")</f>
        <v>Figure</v>
      </c>
      <c r="I4960">
        <v>1.26</v>
      </c>
      <c r="J4960">
        <v>9.9000000000000005E-2</v>
      </c>
      <c r="K4960">
        <v>1.26</v>
      </c>
      <c r="L4960">
        <v>5.1999999999999998E-2</v>
      </c>
      <c r="M4960">
        <v>1</v>
      </c>
      <c r="N4960">
        <v>1</v>
      </c>
    </row>
    <row r="4961" spans="1:14" x14ac:dyDescent="0.25">
      <c r="A4961" t="s">
        <v>8982</v>
      </c>
      <c r="B4961" t="s">
        <v>8983</v>
      </c>
      <c r="C4961" s="1" t="str">
        <f>HYPERLINK("http://www.genecards.org/cgi-bin/carddisp.pl?gene=CHPF","GeneCards")</f>
        <v>GeneCards</v>
      </c>
      <c r="D4961" s="1" t="str">
        <f>HYPERLINK("http://genome-euro.ucsc.edu/cgi-bin/hgTracks?position=202175_at","UCSC")</f>
        <v>UCSC</v>
      </c>
      <c r="E4961" s="1" t="str">
        <f>HYPERLINK("http://www.ncbi.nlm.nih.gov/gene/?term=CHPF","NCBI")</f>
        <v>NCBI</v>
      </c>
      <c r="F4961">
        <v>4.3999999999999997E-2</v>
      </c>
      <c r="G4961">
        <v>0.15</v>
      </c>
      <c r="H4961" s="1" t="str">
        <f>HYPERLINK("http://www.weizmann.ac.il/complex/compphys/software/geview/data/figures/202175_at.png","Figure")</f>
        <v>Figure</v>
      </c>
      <c r="I4961">
        <v>1.32</v>
      </c>
      <c r="J4961">
        <v>3.6999999999999998E-2</v>
      </c>
      <c r="K4961">
        <v>1.1000000000000001</v>
      </c>
      <c r="L4961">
        <v>0.52</v>
      </c>
      <c r="M4961">
        <v>0.83199999999999996</v>
      </c>
      <c r="N4961">
        <v>0.16</v>
      </c>
    </row>
    <row r="4962" spans="1:14" x14ac:dyDescent="0.25">
      <c r="A4962" t="s">
        <v>8984</v>
      </c>
      <c r="B4962" t="s">
        <v>8985</v>
      </c>
      <c r="C4962" s="1" t="str">
        <f>HYPERLINK("http://www.genecards.org/cgi-bin/carddisp.pl?gene=CBFA2T2","GeneCards")</f>
        <v>GeneCards</v>
      </c>
      <c r="D4962" s="1" t="str">
        <f>HYPERLINK("http://genome-euro.ucsc.edu/cgi-bin/hgTracks?position=209144_s_at","UCSC")</f>
        <v>UCSC</v>
      </c>
      <c r="E4962" s="1" t="str">
        <f>HYPERLINK("http://www.ncbi.nlm.nih.gov/gene/?term=CBFA2T2","NCBI")</f>
        <v>NCBI</v>
      </c>
      <c r="F4962">
        <v>4.3999999999999997E-2</v>
      </c>
      <c r="G4962">
        <v>0.15</v>
      </c>
      <c r="H4962" s="1" t="str">
        <f>HYPERLINK("http://www.weizmann.ac.il/complex/compphys/software/geview/data/figures/209144_s_at.png","Figure")</f>
        <v>Figure</v>
      </c>
      <c r="I4962">
        <v>1.18</v>
      </c>
      <c r="J4962">
        <v>6.3E-2</v>
      </c>
      <c r="K4962">
        <v>1.1499999999999999</v>
      </c>
      <c r="L4962">
        <v>7.6999999999999999E-2</v>
      </c>
      <c r="M4962">
        <v>0.97199999999999998</v>
      </c>
      <c r="N4962">
        <v>0.89</v>
      </c>
    </row>
    <row r="4963" spans="1:14" x14ac:dyDescent="0.25">
      <c r="A4963" t="s">
        <v>8986</v>
      </c>
      <c r="B4963" t="s">
        <v>3983</v>
      </c>
      <c r="C4963" s="1" t="str">
        <f>HYPERLINK("http://www.genecards.org/cgi-bin/carddisp.pl?gene=RANBP9","GeneCards")</f>
        <v>GeneCards</v>
      </c>
      <c r="D4963" s="1" t="str">
        <f>HYPERLINK("http://genome-euro.ucsc.edu/cgi-bin/hgTracks?position=202583_s_at","UCSC")</f>
        <v>UCSC</v>
      </c>
      <c r="E4963" s="1" t="str">
        <f>HYPERLINK("http://www.ncbi.nlm.nih.gov/gene/?term=RANBP9","NCBI")</f>
        <v>NCBI</v>
      </c>
      <c r="F4963">
        <v>4.3999999999999997E-2</v>
      </c>
      <c r="G4963">
        <v>0.15</v>
      </c>
      <c r="H4963" s="1" t="str">
        <f>HYPERLINK("http://www.weizmann.ac.il/complex/compphys/software/geview/data/figures/202583_s_at.png","Figure")</f>
        <v>Figure</v>
      </c>
      <c r="I4963">
        <v>0.59599999999999997</v>
      </c>
      <c r="J4963">
        <v>4.8000000000000001E-2</v>
      </c>
      <c r="K4963">
        <v>0.69199999999999995</v>
      </c>
      <c r="L4963">
        <v>0.11</v>
      </c>
      <c r="M4963">
        <v>1.1599999999999999</v>
      </c>
      <c r="N4963">
        <v>0.69</v>
      </c>
    </row>
    <row r="4964" spans="1:14" x14ac:dyDescent="0.25">
      <c r="A4964" t="s">
        <v>8987</v>
      </c>
      <c r="B4964" t="s">
        <v>8988</v>
      </c>
      <c r="C4964" s="1" t="str">
        <f>HYPERLINK("http://www.genecards.org/cgi-bin/carddisp.pl?gene=CCDC72","GeneCards")</f>
        <v>GeneCards</v>
      </c>
      <c r="D4964" s="1" t="str">
        <f>HYPERLINK("http://genome-euro.ucsc.edu/cgi-bin/hgTracks?position=221791_s_at","UCSC")</f>
        <v>UCSC</v>
      </c>
      <c r="E4964" s="1" t="str">
        <f>HYPERLINK("http://www.ncbi.nlm.nih.gov/gene/?term=CCDC72","NCBI")</f>
        <v>NCBI</v>
      </c>
      <c r="F4964">
        <v>4.3999999999999997E-2</v>
      </c>
      <c r="G4964">
        <v>0.15</v>
      </c>
      <c r="H4964" s="1" t="str">
        <f>HYPERLINK("http://www.weizmann.ac.il/complex/compphys/software/geview/data/figures/221791_s_at.png","Figure")</f>
        <v>Figure</v>
      </c>
      <c r="I4964">
        <v>0.84099999999999997</v>
      </c>
      <c r="J4964">
        <v>0.13</v>
      </c>
      <c r="K4964">
        <v>1.04</v>
      </c>
      <c r="L4964">
        <v>0.85</v>
      </c>
      <c r="M4964">
        <v>1.24</v>
      </c>
      <c r="N4964">
        <v>0.04</v>
      </c>
    </row>
    <row r="4965" spans="1:14" x14ac:dyDescent="0.25">
      <c r="A4965" t="s">
        <v>8989</v>
      </c>
      <c r="B4965" t="s">
        <v>2687</v>
      </c>
      <c r="C4965" s="1" t="str">
        <f>HYPERLINK("http://www.genecards.org/cgi-bin/carddisp.pl?gene=RUNX1","GeneCards")</f>
        <v>GeneCards</v>
      </c>
      <c r="D4965" s="1" t="str">
        <f>HYPERLINK("http://genome-euro.ucsc.edu/cgi-bin/hgTracks?position=211181_x_at","UCSC")</f>
        <v>UCSC</v>
      </c>
      <c r="E4965" s="1" t="str">
        <f>HYPERLINK("http://www.ncbi.nlm.nih.gov/gene/?term=RUNX1","NCBI")</f>
        <v>NCBI</v>
      </c>
      <c r="F4965">
        <v>4.3999999999999997E-2</v>
      </c>
      <c r="G4965">
        <v>0.15</v>
      </c>
      <c r="H4965" s="1" t="str">
        <f>HYPERLINK("http://www.weizmann.ac.il/complex/compphys/software/geview/data/figures/211181_x_at.png","Figure")</f>
        <v>Figure</v>
      </c>
      <c r="I4965">
        <v>1.3</v>
      </c>
      <c r="J4965">
        <v>3.5999999999999997E-2</v>
      </c>
      <c r="K4965">
        <v>1.1299999999999999</v>
      </c>
      <c r="L4965">
        <v>0.31</v>
      </c>
      <c r="M4965">
        <v>0.871</v>
      </c>
      <c r="N4965">
        <v>0.28000000000000003</v>
      </c>
    </row>
    <row r="4966" spans="1:14" x14ac:dyDescent="0.25">
      <c r="A4966" t="s">
        <v>8990</v>
      </c>
      <c r="B4966" t="s">
        <v>8991</v>
      </c>
      <c r="C4966" s="1" t="str">
        <f>HYPERLINK("http://www.genecards.org/cgi-bin/carddisp.pl?gene=APEH","GeneCards")</f>
        <v>GeneCards</v>
      </c>
      <c r="D4966" s="1" t="str">
        <f>HYPERLINK("http://genome-euro.ucsc.edu/cgi-bin/hgTracks?position=201284_s_at","UCSC")</f>
        <v>UCSC</v>
      </c>
      <c r="E4966" s="1" t="str">
        <f>HYPERLINK("http://www.ncbi.nlm.nih.gov/gene/?term=APEH","NCBI")</f>
        <v>NCBI</v>
      </c>
      <c r="F4966">
        <v>4.3999999999999997E-2</v>
      </c>
      <c r="G4966">
        <v>0.15</v>
      </c>
      <c r="H4966" s="1" t="str">
        <f>HYPERLINK("http://www.weizmann.ac.il/complex/compphys/software/geview/data/figures/201284_s_at.png","Figure")</f>
        <v>Figure</v>
      </c>
      <c r="I4966">
        <v>1.1599999999999999</v>
      </c>
      <c r="J4966">
        <v>0.62</v>
      </c>
      <c r="K4966">
        <v>1.47</v>
      </c>
      <c r="L4966">
        <v>3.9E-2</v>
      </c>
      <c r="M4966">
        <v>1.27</v>
      </c>
      <c r="N4966">
        <v>0.28999999999999998</v>
      </c>
    </row>
    <row r="4967" spans="1:14" x14ac:dyDescent="0.25">
      <c r="A4967" t="s">
        <v>8992</v>
      </c>
      <c r="B4967" t="s">
        <v>8993</v>
      </c>
      <c r="C4967" s="1" t="str">
        <f>HYPERLINK("http://www.genecards.org/cgi-bin/carddisp.pl?gene=RPL41","GeneCards")</f>
        <v>GeneCards</v>
      </c>
      <c r="D4967" s="1" t="str">
        <f>HYPERLINK("http://genome-euro.ucsc.edu/cgi-bin/hgTracks?position=201492_s_at","UCSC")</f>
        <v>UCSC</v>
      </c>
      <c r="E4967" s="1" t="str">
        <f>HYPERLINK("http://www.ncbi.nlm.nih.gov/gene/?term=RPL41","NCBI")</f>
        <v>NCBI</v>
      </c>
      <c r="F4967">
        <v>4.3999999999999997E-2</v>
      </c>
      <c r="G4967">
        <v>0.15</v>
      </c>
      <c r="H4967" s="1" t="str">
        <f>HYPERLINK("http://www.weizmann.ac.il/complex/compphys/software/geview/data/figures/201492_s_at.png","Figure")</f>
        <v>Figure</v>
      </c>
      <c r="I4967">
        <v>1.02</v>
      </c>
      <c r="J4967">
        <v>0.93</v>
      </c>
      <c r="K4967">
        <v>0.88100000000000001</v>
      </c>
      <c r="L4967">
        <v>0.1</v>
      </c>
      <c r="M4967">
        <v>0.86</v>
      </c>
      <c r="N4967">
        <v>6.7000000000000004E-2</v>
      </c>
    </row>
    <row r="4968" spans="1:14" x14ac:dyDescent="0.25">
      <c r="A4968" t="s">
        <v>8994</v>
      </c>
      <c r="B4968" t="s">
        <v>8995</v>
      </c>
      <c r="C4968" s="1" t="str">
        <f>HYPERLINK("http://www.genecards.org/cgi-bin/carddisp.pl?gene=AHNAK","GeneCards")</f>
        <v>GeneCards</v>
      </c>
      <c r="D4968" s="1" t="str">
        <f>HYPERLINK("http://genome-euro.ucsc.edu/cgi-bin/hgTracks?position=211986_at","UCSC")</f>
        <v>UCSC</v>
      </c>
      <c r="E4968" s="1" t="str">
        <f>HYPERLINK("http://www.ncbi.nlm.nih.gov/gene/?term=AHNAK","NCBI")</f>
        <v>NCBI</v>
      </c>
      <c r="F4968">
        <v>4.3999999999999997E-2</v>
      </c>
      <c r="G4968">
        <v>0.15</v>
      </c>
      <c r="H4968" s="1" t="str">
        <f>HYPERLINK("http://www.weizmann.ac.il/complex/compphys/software/geview/data/figures/211986_at.png","Figure")</f>
        <v>Figure</v>
      </c>
      <c r="I4968">
        <v>1.0900000000000001</v>
      </c>
      <c r="J4968">
        <v>0.93</v>
      </c>
      <c r="K4968">
        <v>0.625</v>
      </c>
      <c r="L4968">
        <v>0.1</v>
      </c>
      <c r="M4968">
        <v>0.57299999999999995</v>
      </c>
      <c r="N4968">
        <v>6.8000000000000005E-2</v>
      </c>
    </row>
    <row r="4969" spans="1:14" x14ac:dyDescent="0.25">
      <c r="A4969" t="s">
        <v>8996</v>
      </c>
      <c r="B4969" t="s">
        <v>8997</v>
      </c>
      <c r="C4969" s="1" t="str">
        <f>HYPERLINK("http://www.genecards.org/cgi-bin/carddisp.pl?gene=TRPM3","GeneCards")</f>
        <v>GeneCards</v>
      </c>
      <c r="D4969" s="1" t="str">
        <f>HYPERLINK("http://genome-euro.ucsc.edu/cgi-bin/hgTracks?position=220463_at","UCSC")</f>
        <v>UCSC</v>
      </c>
      <c r="E4969" s="1" t="str">
        <f>HYPERLINK("http://www.ncbi.nlm.nih.gov/gene/?term=TRPM3","NCBI")</f>
        <v>NCBI</v>
      </c>
      <c r="F4969">
        <v>4.3999999999999997E-2</v>
      </c>
      <c r="G4969">
        <v>0.15</v>
      </c>
      <c r="H4969" s="1" t="str">
        <f>HYPERLINK("http://www.weizmann.ac.il/complex/compphys/software/geview/data/figures/220463_at.png","Figure")</f>
        <v>Figure</v>
      </c>
      <c r="I4969">
        <v>1.19</v>
      </c>
      <c r="J4969">
        <v>3.6999999999999998E-2</v>
      </c>
      <c r="K4969">
        <v>1.06</v>
      </c>
      <c r="L4969">
        <v>0.5</v>
      </c>
      <c r="M4969">
        <v>0.89500000000000002</v>
      </c>
      <c r="N4969">
        <v>0.17</v>
      </c>
    </row>
    <row r="4970" spans="1:14" x14ac:dyDescent="0.25">
      <c r="A4970" t="s">
        <v>8998</v>
      </c>
      <c r="B4970" t="s">
        <v>8999</v>
      </c>
      <c r="C4970" s="1" t="str">
        <f>HYPERLINK("http://www.genecards.org/cgi-bin/carddisp.pl?gene=CLTA","GeneCards")</f>
        <v>GeneCards</v>
      </c>
      <c r="D4970" s="1" t="str">
        <f>HYPERLINK("http://genome-euro.ucsc.edu/cgi-bin/hgTracks?position=216296_at","UCSC")</f>
        <v>UCSC</v>
      </c>
      <c r="E4970" s="1" t="str">
        <f>HYPERLINK("http://www.ncbi.nlm.nih.gov/gene/?term=CLTA","NCBI")</f>
        <v>NCBI</v>
      </c>
      <c r="F4970">
        <v>4.3999999999999997E-2</v>
      </c>
      <c r="G4970">
        <v>0.15</v>
      </c>
      <c r="H4970" s="1" t="str">
        <f>HYPERLINK("http://www.weizmann.ac.il/complex/compphys/software/geview/data/figures/216296_at.png","Figure")</f>
        <v>Figure</v>
      </c>
      <c r="I4970">
        <v>1.22</v>
      </c>
      <c r="J4970">
        <v>4.3999999999999997E-2</v>
      </c>
      <c r="K4970">
        <v>1.04</v>
      </c>
      <c r="L4970">
        <v>0.78</v>
      </c>
      <c r="M4970">
        <v>0.85899999999999999</v>
      </c>
      <c r="N4970">
        <v>9.8000000000000004E-2</v>
      </c>
    </row>
    <row r="4971" spans="1:14" x14ac:dyDescent="0.25">
      <c r="A4971" t="s">
        <v>9000</v>
      </c>
      <c r="B4971" t="s">
        <v>9001</v>
      </c>
      <c r="C4971" s="1" t="str">
        <f>HYPERLINK("http://www.genecards.org/cgi-bin/carddisp.pl?gene=MEST","GeneCards")</f>
        <v>GeneCards</v>
      </c>
      <c r="D4971" s="1" t="str">
        <f>HYPERLINK("http://genome-euro.ucsc.edu/cgi-bin/hgTracks?position=202016_at","UCSC")</f>
        <v>UCSC</v>
      </c>
      <c r="E4971" s="1" t="str">
        <f>HYPERLINK("http://www.ncbi.nlm.nih.gov/gene/?term=MEST","NCBI")</f>
        <v>NCBI</v>
      </c>
      <c r="F4971">
        <v>4.3999999999999997E-2</v>
      </c>
      <c r="G4971">
        <v>0.15</v>
      </c>
      <c r="H4971" s="1" t="str">
        <f>HYPERLINK("http://www.weizmann.ac.il/complex/compphys/software/geview/data/figures/202016_at.png","Figure")</f>
        <v>Figure</v>
      </c>
      <c r="I4971">
        <v>0.626</v>
      </c>
      <c r="J4971">
        <v>0.42</v>
      </c>
      <c r="K4971">
        <v>0.41299999999999998</v>
      </c>
      <c r="L4971">
        <v>3.5999999999999997E-2</v>
      </c>
      <c r="M4971">
        <v>0.65900000000000003</v>
      </c>
      <c r="N4971">
        <v>0.45</v>
      </c>
    </row>
    <row r="4972" spans="1:14" x14ac:dyDescent="0.25">
      <c r="A4972" t="s">
        <v>9002</v>
      </c>
      <c r="B4972" t="s">
        <v>9003</v>
      </c>
      <c r="C4972" s="1" t="str">
        <f>HYPERLINK("http://www.genecards.org/cgi-bin/carddisp.pl?gene=USP25","GeneCards")</f>
        <v>GeneCards</v>
      </c>
      <c r="D4972" s="1" t="str">
        <f>HYPERLINK("http://genome-euro.ucsc.edu/cgi-bin/hgTracks?position=220419_s_at","UCSC")</f>
        <v>UCSC</v>
      </c>
      <c r="E4972" s="1" t="str">
        <f>HYPERLINK("http://www.ncbi.nlm.nih.gov/gene/?term=USP25","NCBI")</f>
        <v>NCBI</v>
      </c>
      <c r="F4972">
        <v>4.4999999999999998E-2</v>
      </c>
      <c r="G4972">
        <v>0.15</v>
      </c>
      <c r="H4972" s="1" t="str">
        <f>HYPERLINK("http://www.weizmann.ac.il/complex/compphys/software/geview/data/figures/220419_s_at.png","Figure")</f>
        <v>Figure</v>
      </c>
      <c r="I4972">
        <v>0.89800000000000002</v>
      </c>
      <c r="J4972">
        <v>0.83</v>
      </c>
      <c r="K4972">
        <v>0.64800000000000002</v>
      </c>
      <c r="L4972">
        <v>4.7E-2</v>
      </c>
      <c r="M4972">
        <v>0.72199999999999998</v>
      </c>
      <c r="N4972">
        <v>0.18</v>
      </c>
    </row>
    <row r="4973" spans="1:14" x14ac:dyDescent="0.25">
      <c r="A4973" t="s">
        <v>9004</v>
      </c>
      <c r="B4973" t="s">
        <v>9005</v>
      </c>
      <c r="C4973" s="1" t="str">
        <f>HYPERLINK("http://www.genecards.org/cgi-bin/carddisp.pl?gene=TRIM44","GeneCards")</f>
        <v>GeneCards</v>
      </c>
      <c r="D4973" s="1" t="str">
        <f>HYPERLINK("http://genome-euro.ucsc.edu/cgi-bin/hgTracks?position=217759_at","UCSC")</f>
        <v>UCSC</v>
      </c>
      <c r="E4973" s="1" t="str">
        <f>HYPERLINK("http://www.ncbi.nlm.nih.gov/gene/?term=TRIM44","NCBI")</f>
        <v>NCBI</v>
      </c>
      <c r="F4973">
        <v>4.4999999999999998E-2</v>
      </c>
      <c r="G4973">
        <v>0.15</v>
      </c>
      <c r="H4973" s="1" t="str">
        <f>HYPERLINK("http://www.weizmann.ac.il/complex/compphys/software/geview/data/figures/217759_at.png","Figure")</f>
        <v>Figure</v>
      </c>
      <c r="I4973">
        <v>1.47</v>
      </c>
      <c r="J4973">
        <v>0.05</v>
      </c>
      <c r="K4973">
        <v>1.32</v>
      </c>
      <c r="L4973">
        <v>0.11</v>
      </c>
      <c r="M4973">
        <v>0.90100000000000002</v>
      </c>
      <c r="N4973">
        <v>0.73</v>
      </c>
    </row>
    <row r="4974" spans="1:14" x14ac:dyDescent="0.25">
      <c r="A4974" t="s">
        <v>9006</v>
      </c>
      <c r="B4974" t="s">
        <v>9007</v>
      </c>
      <c r="C4974" s="1" t="str">
        <f>HYPERLINK("http://www.genecards.org/cgi-bin/carddisp.pl?gene=SLC2A4RG","GeneCards")</f>
        <v>GeneCards</v>
      </c>
      <c r="D4974" s="1" t="str">
        <f>HYPERLINK("http://genome-euro.ucsc.edu/cgi-bin/hgTracks?position=218494_s_at","UCSC")</f>
        <v>UCSC</v>
      </c>
      <c r="E4974" s="1" t="str">
        <f>HYPERLINK("http://www.ncbi.nlm.nih.gov/gene/?term=SLC2A4RG","NCBI")</f>
        <v>NCBI</v>
      </c>
      <c r="F4974">
        <v>4.4999999999999998E-2</v>
      </c>
      <c r="G4974">
        <v>0.15</v>
      </c>
      <c r="H4974" s="1" t="str">
        <f>HYPERLINK("http://www.weizmann.ac.il/complex/compphys/software/geview/data/figures/218494_s_at.png","Figure")</f>
        <v>Figure</v>
      </c>
      <c r="I4974">
        <v>1.25</v>
      </c>
      <c r="J4974">
        <v>3.5999999999999997E-2</v>
      </c>
      <c r="K4974">
        <v>1.1200000000000001</v>
      </c>
      <c r="L4974">
        <v>0.26</v>
      </c>
      <c r="M4974">
        <v>0.89600000000000002</v>
      </c>
      <c r="N4974">
        <v>0.34</v>
      </c>
    </row>
    <row r="4975" spans="1:14" x14ac:dyDescent="0.25">
      <c r="A4975" t="s">
        <v>9008</v>
      </c>
      <c r="B4975" t="s">
        <v>9009</v>
      </c>
      <c r="C4975" s="1" t="str">
        <f>HYPERLINK("http://www.genecards.org/cgi-bin/carddisp.pl?gene=DCPS","GeneCards")</f>
        <v>GeneCards</v>
      </c>
      <c r="D4975" s="1" t="str">
        <f>HYPERLINK("http://genome-euro.ucsc.edu/cgi-bin/hgTracks?position=218774_at","UCSC")</f>
        <v>UCSC</v>
      </c>
      <c r="E4975" s="1" t="str">
        <f>HYPERLINK("http://www.ncbi.nlm.nih.gov/gene/?term=DCPS","NCBI")</f>
        <v>NCBI</v>
      </c>
      <c r="F4975">
        <v>4.4999999999999998E-2</v>
      </c>
      <c r="G4975">
        <v>0.15</v>
      </c>
      <c r="H4975" s="1" t="str">
        <f>HYPERLINK("http://www.weizmann.ac.il/complex/compphys/software/geview/data/figures/218774_at.png","Figure")</f>
        <v>Figure</v>
      </c>
      <c r="I4975">
        <v>1.05</v>
      </c>
      <c r="J4975">
        <v>0.91</v>
      </c>
      <c r="K4975">
        <v>1.32</v>
      </c>
      <c r="L4975">
        <v>5.1999999999999998E-2</v>
      </c>
      <c r="M4975">
        <v>1.26</v>
      </c>
      <c r="N4975">
        <v>0.15</v>
      </c>
    </row>
    <row r="4976" spans="1:14" x14ac:dyDescent="0.25">
      <c r="A4976" t="s">
        <v>9010</v>
      </c>
      <c r="B4976" t="s">
        <v>9011</v>
      </c>
      <c r="C4976" s="1" t="str">
        <f>HYPERLINK("http://www.genecards.org/cgi-bin/carddisp.pl?gene=LGALS3","GeneCards")</f>
        <v>GeneCards</v>
      </c>
      <c r="D4976" s="1" t="str">
        <f>HYPERLINK("http://genome-euro.ucsc.edu/cgi-bin/hgTracks?position=208949_s_at","UCSC")</f>
        <v>UCSC</v>
      </c>
      <c r="E4976" s="1" t="str">
        <f>HYPERLINK("http://www.ncbi.nlm.nih.gov/gene/?term=LGALS3","NCBI")</f>
        <v>NCBI</v>
      </c>
      <c r="F4976">
        <v>4.4999999999999998E-2</v>
      </c>
      <c r="G4976">
        <v>0.15</v>
      </c>
      <c r="H4976" s="1" t="str">
        <f>HYPERLINK("http://www.weizmann.ac.il/complex/compphys/software/geview/data/figures/208949_s_at.png","Figure")</f>
        <v>Figure</v>
      </c>
      <c r="I4976">
        <v>1.76</v>
      </c>
      <c r="J4976">
        <v>0.13</v>
      </c>
      <c r="K4976">
        <v>0.876</v>
      </c>
      <c r="L4976">
        <v>0.84</v>
      </c>
      <c r="M4976">
        <v>0.499</v>
      </c>
      <c r="N4976">
        <v>0.04</v>
      </c>
    </row>
    <row r="4977" spans="1:14" x14ac:dyDescent="0.25">
      <c r="A4977" t="s">
        <v>9012</v>
      </c>
      <c r="B4977" t="s">
        <v>2549</v>
      </c>
      <c r="C4977" s="1" t="str">
        <f>HYPERLINK("http://www.genecards.org/cgi-bin/carddisp.pl?gene=MKI67","GeneCards")</f>
        <v>GeneCards</v>
      </c>
      <c r="D4977" s="1" t="str">
        <f>HYPERLINK("http://genome-euro.ucsc.edu/cgi-bin/hgTracks?position=212022_s_at","UCSC")</f>
        <v>UCSC</v>
      </c>
      <c r="E4977" s="1" t="str">
        <f>HYPERLINK("http://www.ncbi.nlm.nih.gov/gene/?term=MKI67","NCBI")</f>
        <v>NCBI</v>
      </c>
      <c r="F4977">
        <v>4.4999999999999998E-2</v>
      </c>
      <c r="G4977">
        <v>0.15</v>
      </c>
      <c r="H4977" s="1" t="str">
        <f>HYPERLINK("http://www.weizmann.ac.il/complex/compphys/software/geview/data/figures/212022_s_at.png","Figure")</f>
        <v>Figure</v>
      </c>
      <c r="I4977">
        <v>1.18</v>
      </c>
      <c r="J4977">
        <v>0.45</v>
      </c>
      <c r="K4977">
        <v>1.39</v>
      </c>
      <c r="L4977">
        <v>3.5999999999999997E-2</v>
      </c>
      <c r="M4977">
        <v>1.18</v>
      </c>
      <c r="N4977">
        <v>0.42</v>
      </c>
    </row>
    <row r="4978" spans="1:14" x14ac:dyDescent="0.25">
      <c r="A4978" t="s">
        <v>9013</v>
      </c>
      <c r="B4978" t="s">
        <v>9014</v>
      </c>
      <c r="C4978" s="1" t="str">
        <f>HYPERLINK("http://www.genecards.org/cgi-bin/carddisp.pl?gene=ELL2","GeneCards")</f>
        <v>GeneCards</v>
      </c>
      <c r="D4978" s="1" t="str">
        <f>HYPERLINK("http://genome-euro.ucsc.edu/cgi-bin/hgTracks?position=214445_at","UCSC")</f>
        <v>UCSC</v>
      </c>
      <c r="E4978" s="1" t="str">
        <f>HYPERLINK("http://www.ncbi.nlm.nih.gov/gene/?term=ELL2","NCBI")</f>
        <v>NCBI</v>
      </c>
      <c r="F4978">
        <v>4.4999999999999998E-2</v>
      </c>
      <c r="G4978">
        <v>0.15</v>
      </c>
      <c r="H4978" s="1" t="str">
        <f>HYPERLINK("http://www.weizmann.ac.il/complex/compphys/software/geview/data/figures/214445_at.png","Figure")</f>
        <v>Figure</v>
      </c>
      <c r="I4978">
        <v>0.99</v>
      </c>
      <c r="J4978">
        <v>7.2999999999999995E-2</v>
      </c>
      <c r="K4978">
        <v>1</v>
      </c>
      <c r="L4978">
        <v>1</v>
      </c>
      <c r="M4978">
        <v>1.01</v>
      </c>
      <c r="N4978">
        <v>5.3999999999999999E-2</v>
      </c>
    </row>
    <row r="4979" spans="1:14" x14ac:dyDescent="0.25">
      <c r="A4979" t="s">
        <v>9015</v>
      </c>
      <c r="B4979" t="s">
        <v>9016</v>
      </c>
      <c r="C4979" s="1" t="str">
        <f>HYPERLINK("http://www.genecards.org/cgi-bin/carddisp.pl?gene=SIRT1","GeneCards")</f>
        <v>GeneCards</v>
      </c>
      <c r="D4979" s="1" t="str">
        <f>HYPERLINK("http://genome-euro.ucsc.edu/cgi-bin/hgTracks?position=218878_s_at","UCSC")</f>
        <v>UCSC</v>
      </c>
      <c r="E4979" s="1" t="str">
        <f>HYPERLINK("http://www.ncbi.nlm.nih.gov/gene/?term=SIRT1","NCBI")</f>
        <v>NCBI</v>
      </c>
      <c r="F4979">
        <v>4.4999999999999998E-2</v>
      </c>
      <c r="G4979">
        <v>0.15</v>
      </c>
      <c r="H4979" s="1" t="str">
        <f>HYPERLINK("http://www.weizmann.ac.il/complex/compphys/software/geview/data/figures/218878_s_at.png","Figure")</f>
        <v>Figure</v>
      </c>
      <c r="I4979">
        <v>0.496</v>
      </c>
      <c r="J4979">
        <v>3.9E-2</v>
      </c>
      <c r="K4979">
        <v>0.66300000000000003</v>
      </c>
      <c r="L4979">
        <v>0.19</v>
      </c>
      <c r="M4979">
        <v>1.34</v>
      </c>
      <c r="N4979">
        <v>0.46</v>
      </c>
    </row>
    <row r="4980" spans="1:14" x14ac:dyDescent="0.25">
      <c r="A4980" t="s">
        <v>9017</v>
      </c>
      <c r="B4980" t="s">
        <v>9018</v>
      </c>
      <c r="C4980" s="1" t="str">
        <f>HYPERLINK("http://www.genecards.org/cgi-bin/carddisp.pl?gene=WNT6","GeneCards")</f>
        <v>GeneCards</v>
      </c>
      <c r="D4980" s="1" t="str">
        <f>HYPERLINK("http://genome-euro.ucsc.edu/cgi-bin/hgTracks?position=221609_s_at","UCSC")</f>
        <v>UCSC</v>
      </c>
      <c r="E4980" s="1" t="str">
        <f>HYPERLINK("http://www.ncbi.nlm.nih.gov/gene/?term=WNT6","NCBI")</f>
        <v>NCBI</v>
      </c>
      <c r="F4980">
        <v>4.4999999999999998E-2</v>
      </c>
      <c r="G4980">
        <v>0.15</v>
      </c>
      <c r="H4980" s="1" t="str">
        <f>HYPERLINK("http://www.weizmann.ac.il/complex/compphys/software/geview/data/figures/221609_s_at.png","Figure")</f>
        <v>Figure</v>
      </c>
      <c r="I4980">
        <v>1.22</v>
      </c>
      <c r="J4980">
        <v>5.2999999999999999E-2</v>
      </c>
      <c r="K4980">
        <v>1.1599999999999999</v>
      </c>
      <c r="L4980">
        <v>9.8000000000000004E-2</v>
      </c>
      <c r="M4980">
        <v>0.95199999999999996</v>
      </c>
      <c r="N4980">
        <v>0.78</v>
      </c>
    </row>
    <row r="4981" spans="1:14" x14ac:dyDescent="0.25">
      <c r="A4981" t="s">
        <v>9019</v>
      </c>
      <c r="B4981" t="s">
        <v>2446</v>
      </c>
      <c r="C4981" s="1" t="str">
        <f>HYPERLINK("http://www.genecards.org/cgi-bin/carddisp.pl?gene=TFAM","GeneCards")</f>
        <v>GeneCards</v>
      </c>
      <c r="D4981" s="1" t="str">
        <f>HYPERLINK("http://genome-euro.ucsc.edu/cgi-bin/hgTracks?position=203176_s_at","UCSC")</f>
        <v>UCSC</v>
      </c>
      <c r="E4981" s="1" t="str">
        <f>HYPERLINK("http://www.ncbi.nlm.nih.gov/gene/?term=TFAM","NCBI")</f>
        <v>NCBI</v>
      </c>
      <c r="F4981">
        <v>4.4999999999999998E-2</v>
      </c>
      <c r="G4981">
        <v>0.15</v>
      </c>
      <c r="H4981" s="1" t="str">
        <f>HYPERLINK("http://www.weizmann.ac.il/complex/compphys/software/geview/data/figures/203176_s_at.png","Figure")</f>
        <v>Figure</v>
      </c>
      <c r="I4981">
        <v>0.56200000000000006</v>
      </c>
      <c r="J4981">
        <v>3.5999999999999997E-2</v>
      </c>
      <c r="K4981">
        <v>0.76100000000000001</v>
      </c>
      <c r="L4981">
        <v>0.31</v>
      </c>
      <c r="M4981">
        <v>1.35</v>
      </c>
      <c r="N4981">
        <v>0.28999999999999998</v>
      </c>
    </row>
    <row r="4982" spans="1:14" x14ac:dyDescent="0.25">
      <c r="A4982" t="s">
        <v>9020</v>
      </c>
      <c r="B4982" t="s">
        <v>9021</v>
      </c>
      <c r="C4982" s="1" t="str">
        <f>HYPERLINK("http://www.genecards.org/cgi-bin/carddisp.pl?gene=WIZ","GeneCards")</f>
        <v>GeneCards</v>
      </c>
      <c r="D4982" s="1" t="str">
        <f>HYPERLINK("http://genome-euro.ucsc.edu/cgi-bin/hgTracks?position=221783_at","UCSC")</f>
        <v>UCSC</v>
      </c>
      <c r="E4982" s="1" t="str">
        <f>HYPERLINK("http://www.ncbi.nlm.nih.gov/gene/?term=WIZ","NCBI")</f>
        <v>NCBI</v>
      </c>
      <c r="F4982">
        <v>4.4999999999999998E-2</v>
      </c>
      <c r="G4982">
        <v>0.15</v>
      </c>
      <c r="H4982" s="1" t="str">
        <f>HYPERLINK("http://www.weizmann.ac.il/complex/compphys/software/geview/data/figures/221783_at.png","Figure")</f>
        <v>Figure</v>
      </c>
      <c r="I4982">
        <v>1.32</v>
      </c>
      <c r="J4982">
        <v>3.7999999999999999E-2</v>
      </c>
      <c r="K4982">
        <v>1.1000000000000001</v>
      </c>
      <c r="L4982">
        <v>0.55000000000000004</v>
      </c>
      <c r="M4982">
        <v>0.83</v>
      </c>
      <c r="N4982">
        <v>0.15</v>
      </c>
    </row>
    <row r="4983" spans="1:14" x14ac:dyDescent="0.25">
      <c r="A4983" t="s">
        <v>9022</v>
      </c>
      <c r="B4983" t="s">
        <v>9023</v>
      </c>
      <c r="C4983" s="1" t="str">
        <f>HYPERLINK("http://www.genecards.org/cgi-bin/carddisp.pl?gene=MRPL33","GeneCards")</f>
        <v>GeneCards</v>
      </c>
      <c r="D4983" s="1" t="str">
        <f>HYPERLINK("http://genome-euro.ucsc.edu/cgi-bin/hgTracks?position=203781_at","UCSC")</f>
        <v>UCSC</v>
      </c>
      <c r="E4983" s="1" t="str">
        <f>HYPERLINK("http://www.ncbi.nlm.nih.gov/gene/?term=MRPL33","NCBI")</f>
        <v>NCBI</v>
      </c>
      <c r="F4983">
        <v>4.4999999999999998E-2</v>
      </c>
      <c r="G4983">
        <v>0.15</v>
      </c>
      <c r="H4983" s="1" t="str">
        <f>HYPERLINK("http://www.weizmann.ac.il/complex/compphys/software/geview/data/figures/203781_at.png","Figure")</f>
        <v>Figure</v>
      </c>
      <c r="I4983">
        <v>0.81499999999999995</v>
      </c>
      <c r="J4983">
        <v>0.2</v>
      </c>
      <c r="K4983">
        <v>1.1000000000000001</v>
      </c>
      <c r="L4983">
        <v>0.62</v>
      </c>
      <c r="M4983">
        <v>1.35</v>
      </c>
      <c r="N4983">
        <v>3.5999999999999997E-2</v>
      </c>
    </row>
    <row r="4984" spans="1:14" x14ac:dyDescent="0.25">
      <c r="A4984" t="s">
        <v>9024</v>
      </c>
      <c r="B4984" t="s">
        <v>9025</v>
      </c>
      <c r="C4984" s="1" t="str">
        <f>HYPERLINK("http://www.genecards.org/cgi-bin/carddisp.pl?gene=CCDC59","GeneCards")</f>
        <v>GeneCards</v>
      </c>
      <c r="D4984" s="1" t="str">
        <f>HYPERLINK("http://genome-euro.ucsc.edu/cgi-bin/hgTracks?position=218936_s_at","UCSC")</f>
        <v>UCSC</v>
      </c>
      <c r="E4984" s="1" t="str">
        <f>HYPERLINK("http://www.ncbi.nlm.nih.gov/gene/?term=CCDC59","NCBI")</f>
        <v>NCBI</v>
      </c>
      <c r="F4984">
        <v>4.4999999999999998E-2</v>
      </c>
      <c r="G4984">
        <v>0.15</v>
      </c>
      <c r="H4984" s="1" t="str">
        <f>HYPERLINK("http://www.weizmann.ac.il/complex/compphys/software/geview/data/figures/218936_s_at.png","Figure")</f>
        <v>Figure</v>
      </c>
      <c r="I4984">
        <v>0.54900000000000004</v>
      </c>
      <c r="J4984">
        <v>0.09</v>
      </c>
      <c r="K4984">
        <v>0.55800000000000005</v>
      </c>
      <c r="L4984">
        <v>5.6000000000000001E-2</v>
      </c>
      <c r="M4984">
        <v>1.02</v>
      </c>
      <c r="N4984">
        <v>1</v>
      </c>
    </row>
    <row r="4985" spans="1:14" x14ac:dyDescent="0.25">
      <c r="A4985" t="s">
        <v>9026</v>
      </c>
      <c r="B4985" t="s">
        <v>3372</v>
      </c>
      <c r="C4985" s="1" t="str">
        <f>HYPERLINK("http://www.genecards.org/cgi-bin/carddisp.pl?gene=BUB3","GeneCards")</f>
        <v>GeneCards</v>
      </c>
      <c r="D4985" s="1" t="str">
        <f>HYPERLINK("http://genome-euro.ucsc.edu/cgi-bin/hgTracks?position=201456_s_at","UCSC")</f>
        <v>UCSC</v>
      </c>
      <c r="E4985" s="1" t="str">
        <f>HYPERLINK("http://www.ncbi.nlm.nih.gov/gene/?term=BUB3","NCBI")</f>
        <v>NCBI</v>
      </c>
      <c r="F4985">
        <v>4.4999999999999998E-2</v>
      </c>
      <c r="G4985">
        <v>0.15</v>
      </c>
      <c r="H4985" s="1" t="str">
        <f>HYPERLINK("http://www.weizmann.ac.il/complex/compphys/software/geview/data/figures/201456_s_at.png","Figure")</f>
        <v>Figure</v>
      </c>
      <c r="I4985">
        <v>1.57</v>
      </c>
      <c r="J4985">
        <v>4.5999999999999999E-2</v>
      </c>
      <c r="K4985">
        <v>1.36</v>
      </c>
      <c r="L4985">
        <v>0.13</v>
      </c>
      <c r="M4985">
        <v>0.86799999999999999</v>
      </c>
      <c r="N4985">
        <v>0.65</v>
      </c>
    </row>
    <row r="4986" spans="1:14" x14ac:dyDescent="0.25">
      <c r="A4986" t="s">
        <v>9027</v>
      </c>
      <c r="B4986" t="s">
        <v>9028</v>
      </c>
      <c r="C4986" s="1" t="str">
        <f>HYPERLINK("http://www.genecards.org/cgi-bin/carddisp.pl?gene=PTCRA","GeneCards")</f>
        <v>GeneCards</v>
      </c>
      <c r="D4986" s="1" t="str">
        <f>HYPERLINK("http://genome-euro.ucsc.edu/cgi-bin/hgTracks?position=211252_x_at","UCSC")</f>
        <v>UCSC</v>
      </c>
      <c r="E4986" s="1" t="str">
        <f>HYPERLINK("http://www.ncbi.nlm.nih.gov/gene/?term=PTCRA","NCBI")</f>
        <v>NCBI</v>
      </c>
      <c r="F4986">
        <v>4.4999999999999998E-2</v>
      </c>
      <c r="G4986">
        <v>0.15</v>
      </c>
      <c r="H4986" s="1" t="str">
        <f>HYPERLINK("http://www.weizmann.ac.il/complex/compphys/software/geview/data/figures/211252_x_at.png","Figure")</f>
        <v>Figure</v>
      </c>
      <c r="I4986">
        <v>1.39</v>
      </c>
      <c r="J4986">
        <v>3.5999999999999997E-2</v>
      </c>
      <c r="K4986">
        <v>1.17</v>
      </c>
      <c r="L4986">
        <v>0.31</v>
      </c>
      <c r="M4986">
        <v>0.84199999999999997</v>
      </c>
      <c r="N4986">
        <v>0.28999999999999998</v>
      </c>
    </row>
    <row r="4987" spans="1:14" x14ac:dyDescent="0.25">
      <c r="A4987" t="s">
        <v>9029</v>
      </c>
      <c r="B4987" t="s">
        <v>9030</v>
      </c>
      <c r="C4987" s="1" t="str">
        <f>HYPERLINK("http://www.genecards.org/cgi-bin/carddisp.pl?gene=KCTD17","GeneCards")</f>
        <v>GeneCards</v>
      </c>
      <c r="D4987" s="1" t="str">
        <f>HYPERLINK("http://genome-euro.ucsc.edu/cgi-bin/hgTracks?position=205561_at","UCSC")</f>
        <v>UCSC</v>
      </c>
      <c r="E4987" s="1" t="str">
        <f>HYPERLINK("http://www.ncbi.nlm.nih.gov/gene/?term=KCTD17","NCBI")</f>
        <v>NCBI</v>
      </c>
      <c r="F4987">
        <v>4.4999999999999998E-2</v>
      </c>
      <c r="G4987">
        <v>0.15</v>
      </c>
      <c r="H4987" s="1" t="str">
        <f>HYPERLINK("http://www.weizmann.ac.il/complex/compphys/software/geview/data/figures/205561_at.png","Figure")</f>
        <v>Figure</v>
      </c>
      <c r="I4987">
        <v>1.27</v>
      </c>
      <c r="J4987">
        <v>4.1000000000000002E-2</v>
      </c>
      <c r="K4987">
        <v>1.07</v>
      </c>
      <c r="L4987">
        <v>0.69</v>
      </c>
      <c r="M4987">
        <v>0.83699999999999997</v>
      </c>
      <c r="N4987">
        <v>0.12</v>
      </c>
    </row>
    <row r="4988" spans="1:14" x14ac:dyDescent="0.25">
      <c r="A4988" t="s">
        <v>9031</v>
      </c>
      <c r="B4988" t="s">
        <v>9032</v>
      </c>
      <c r="C4988" s="1" t="str">
        <f>HYPERLINK("http://www.genecards.org/cgi-bin/carddisp.pl?gene=FOXN1","GeneCards")</f>
        <v>GeneCards</v>
      </c>
      <c r="D4988" s="1" t="str">
        <f>HYPERLINK("http://genome-euro.ucsc.edu/cgi-bin/hgTracks?position=207683_at","UCSC")</f>
        <v>UCSC</v>
      </c>
      <c r="E4988" s="1" t="str">
        <f>HYPERLINK("http://www.ncbi.nlm.nih.gov/gene/?term=FOXN1","NCBI")</f>
        <v>NCBI</v>
      </c>
      <c r="F4988">
        <v>4.4999999999999998E-2</v>
      </c>
      <c r="G4988">
        <v>0.15</v>
      </c>
      <c r="H4988" s="1" t="str">
        <f>HYPERLINK("http://www.weizmann.ac.il/complex/compphys/software/geview/data/figures/207683_at.png","Figure")</f>
        <v>Figure</v>
      </c>
      <c r="I4988">
        <v>1.1499999999999999</v>
      </c>
      <c r="J4988">
        <v>9.1999999999999998E-2</v>
      </c>
      <c r="K4988">
        <v>1.1499999999999999</v>
      </c>
      <c r="L4988">
        <v>5.6000000000000001E-2</v>
      </c>
      <c r="M4988">
        <v>0.998</v>
      </c>
      <c r="N4988">
        <v>1</v>
      </c>
    </row>
    <row r="4989" spans="1:14" x14ac:dyDescent="0.25">
      <c r="A4989" t="s">
        <v>9033</v>
      </c>
      <c r="B4989" t="s">
        <v>9034</v>
      </c>
      <c r="C4989" s="1" t="str">
        <f>HYPERLINK("http://www.genecards.org/cgi-bin/carddisp.pl?gene=PTPRN2","GeneCards")</f>
        <v>GeneCards</v>
      </c>
      <c r="D4989" s="1" t="str">
        <f>HYPERLINK("http://genome-euro.ucsc.edu/cgi-bin/hgTracks?position=211534_x_at","UCSC")</f>
        <v>UCSC</v>
      </c>
      <c r="E4989" s="1" t="str">
        <f>HYPERLINK("http://www.ncbi.nlm.nih.gov/gene/?term=PTPRN2","NCBI")</f>
        <v>NCBI</v>
      </c>
      <c r="F4989">
        <v>4.4999999999999998E-2</v>
      </c>
      <c r="G4989">
        <v>0.15</v>
      </c>
      <c r="H4989" s="1" t="str">
        <f>HYPERLINK("http://www.weizmann.ac.il/complex/compphys/software/geview/data/figures/211534_x_at.png","Figure")</f>
        <v>Figure</v>
      </c>
      <c r="I4989">
        <v>1.19</v>
      </c>
      <c r="J4989">
        <v>3.5999999999999997E-2</v>
      </c>
      <c r="K4989">
        <v>1.08</v>
      </c>
      <c r="L4989">
        <v>0.38</v>
      </c>
      <c r="M4989">
        <v>0.90500000000000003</v>
      </c>
      <c r="N4989">
        <v>0.23</v>
      </c>
    </row>
    <row r="4990" spans="1:14" x14ac:dyDescent="0.25">
      <c r="A4990" t="s">
        <v>9035</v>
      </c>
      <c r="B4990" t="s">
        <v>9036</v>
      </c>
      <c r="C4990" s="1" t="str">
        <f>HYPERLINK("http://www.genecards.org/cgi-bin/carddisp.pl?gene=LHB","GeneCards")</f>
        <v>GeneCards</v>
      </c>
      <c r="D4990" s="1" t="str">
        <f>HYPERLINK("http://genome-euro.ucsc.edu/cgi-bin/hgTracks?position=214471_x_at","UCSC")</f>
        <v>UCSC</v>
      </c>
      <c r="E4990" s="1" t="str">
        <f>HYPERLINK("http://www.ncbi.nlm.nih.gov/gene/?term=LHB","NCBI")</f>
        <v>NCBI</v>
      </c>
      <c r="F4990">
        <v>4.4999999999999998E-2</v>
      </c>
      <c r="G4990">
        <v>0.15</v>
      </c>
      <c r="H4990" s="1" t="str">
        <f>HYPERLINK("http://www.weizmann.ac.il/complex/compphys/software/geview/data/figures/214471_x_at.png","Figure")</f>
        <v>Figure</v>
      </c>
      <c r="I4990">
        <v>1.51</v>
      </c>
      <c r="J4990">
        <v>3.9E-2</v>
      </c>
      <c r="K4990">
        <v>1.1399999999999999</v>
      </c>
      <c r="L4990">
        <v>0.6</v>
      </c>
      <c r="M4990">
        <v>0.754</v>
      </c>
      <c r="N4990">
        <v>0.14000000000000001</v>
      </c>
    </row>
    <row r="4991" spans="1:14" x14ac:dyDescent="0.25">
      <c r="A4991" t="s">
        <v>9037</v>
      </c>
      <c r="B4991" t="s">
        <v>7557</v>
      </c>
      <c r="C4991" s="1" t="str">
        <f>HYPERLINK("http://www.genecards.org/cgi-bin/carddisp.pl?gene=CSNK1A1","GeneCards")</f>
        <v>GeneCards</v>
      </c>
      <c r="D4991" s="1" t="str">
        <f>HYPERLINK("http://genome-euro.ucsc.edu/cgi-bin/hgTracks?position=213860_x_at","UCSC")</f>
        <v>UCSC</v>
      </c>
      <c r="E4991" s="1" t="str">
        <f>HYPERLINK("http://www.ncbi.nlm.nih.gov/gene/?term=CSNK1A1","NCBI")</f>
        <v>NCBI</v>
      </c>
      <c r="F4991">
        <v>4.4999999999999998E-2</v>
      </c>
      <c r="G4991">
        <v>0.15</v>
      </c>
      <c r="H4991" s="1" t="str">
        <f>HYPERLINK("http://www.weizmann.ac.il/complex/compphys/software/geview/data/figures/213860_x_at.png","Figure")</f>
        <v>Figure</v>
      </c>
      <c r="I4991">
        <v>1.83</v>
      </c>
      <c r="J4991">
        <v>5.3999999999999999E-2</v>
      </c>
      <c r="K4991">
        <v>1.08</v>
      </c>
      <c r="L4991">
        <v>0.92</v>
      </c>
      <c r="M4991">
        <v>0.59</v>
      </c>
      <c r="N4991">
        <v>7.3999999999999996E-2</v>
      </c>
    </row>
    <row r="4992" spans="1:14" x14ac:dyDescent="0.25">
      <c r="A4992" t="s">
        <v>9038</v>
      </c>
      <c r="B4992" t="s">
        <v>9039</v>
      </c>
      <c r="C4992" s="1" t="str">
        <f>HYPERLINK("http://www.genecards.org/cgi-bin/carddisp.pl?gene=LMO3","GeneCards")</f>
        <v>GeneCards</v>
      </c>
      <c r="D4992" s="1" t="str">
        <f>HYPERLINK("http://genome-euro.ucsc.edu/cgi-bin/hgTracks?position=204424_s_at","UCSC")</f>
        <v>UCSC</v>
      </c>
      <c r="E4992" s="1" t="str">
        <f>HYPERLINK("http://www.ncbi.nlm.nih.gov/gene/?term=LMO3","NCBI")</f>
        <v>NCBI</v>
      </c>
      <c r="F4992">
        <v>4.4999999999999998E-2</v>
      </c>
      <c r="G4992">
        <v>0.15</v>
      </c>
      <c r="H4992" s="1" t="str">
        <f>HYPERLINK("http://www.weizmann.ac.il/complex/compphys/software/geview/data/figures/204424_s_at.png","Figure")</f>
        <v>Figure</v>
      </c>
      <c r="I4992">
        <v>1.18</v>
      </c>
      <c r="J4992">
        <v>6.3E-2</v>
      </c>
      <c r="K4992">
        <v>1.01</v>
      </c>
      <c r="L4992">
        <v>0.98</v>
      </c>
      <c r="M4992">
        <v>0.85399999999999998</v>
      </c>
      <c r="N4992">
        <v>6.0999999999999999E-2</v>
      </c>
    </row>
    <row r="4993" spans="1:14" x14ac:dyDescent="0.25">
      <c r="A4993" t="s">
        <v>9040</v>
      </c>
      <c r="B4993" t="s">
        <v>9041</v>
      </c>
      <c r="C4993" s="1" t="str">
        <f>HYPERLINK("http://www.genecards.org/cgi-bin/carddisp.pl?gene=ATP6V0A1","GeneCards")</f>
        <v>GeneCards</v>
      </c>
      <c r="D4993" s="1" t="str">
        <f>HYPERLINK("http://genome-euro.ucsc.edu/cgi-bin/hgTracks?position=205095_s_at","UCSC")</f>
        <v>UCSC</v>
      </c>
      <c r="E4993" s="1" t="str">
        <f>HYPERLINK("http://www.ncbi.nlm.nih.gov/gene/?term=ATP6V0A1","NCBI")</f>
        <v>NCBI</v>
      </c>
      <c r="F4993">
        <v>4.4999999999999998E-2</v>
      </c>
      <c r="G4993">
        <v>0.15</v>
      </c>
      <c r="H4993" s="1" t="str">
        <f>HYPERLINK("http://www.weizmann.ac.il/complex/compphys/software/geview/data/figures/205095_s_at.png","Figure")</f>
        <v>Figure</v>
      </c>
      <c r="I4993">
        <v>1.26</v>
      </c>
      <c r="J4993">
        <v>4.9000000000000002E-2</v>
      </c>
      <c r="K4993">
        <v>1.04</v>
      </c>
      <c r="L4993">
        <v>0.86</v>
      </c>
      <c r="M4993">
        <v>0.82399999999999995</v>
      </c>
      <c r="N4993">
        <v>8.5000000000000006E-2</v>
      </c>
    </row>
    <row r="4994" spans="1:14" x14ac:dyDescent="0.25">
      <c r="A4994" t="s">
        <v>9042</v>
      </c>
      <c r="B4994" t="s">
        <v>9043</v>
      </c>
      <c r="C4994" s="1" t="str">
        <f>HYPERLINK("http://www.genecards.org/cgi-bin/carddisp.pl?gene=MUS81","GeneCards")</f>
        <v>GeneCards</v>
      </c>
      <c r="D4994" s="1" t="str">
        <f>HYPERLINK("http://genome-euro.ucsc.edu/cgi-bin/hgTracks?position=218463_s_at","UCSC")</f>
        <v>UCSC</v>
      </c>
      <c r="E4994" s="1" t="str">
        <f>HYPERLINK("http://www.ncbi.nlm.nih.gov/gene/?term=MUS81","NCBI")</f>
        <v>NCBI</v>
      </c>
      <c r="F4994">
        <v>4.4999999999999998E-2</v>
      </c>
      <c r="G4994">
        <v>0.15</v>
      </c>
      <c r="H4994" s="1" t="str">
        <f>HYPERLINK("http://www.weizmann.ac.il/complex/compphys/software/geview/data/figures/218463_s_at.png","Figure")</f>
        <v>Figure</v>
      </c>
      <c r="I4994">
        <v>1.44</v>
      </c>
      <c r="J4994">
        <v>7.0000000000000007E-2</v>
      </c>
      <c r="K4994">
        <v>1.37</v>
      </c>
      <c r="L4994">
        <v>7.0999999999999994E-2</v>
      </c>
      <c r="M4994">
        <v>0.95499999999999996</v>
      </c>
      <c r="N4994">
        <v>0.94</v>
      </c>
    </row>
    <row r="4995" spans="1:14" x14ac:dyDescent="0.25">
      <c r="A4995" t="s">
        <v>9044</v>
      </c>
      <c r="B4995" t="s">
        <v>9045</v>
      </c>
      <c r="C4995" s="1" t="str">
        <f>HYPERLINK("http://www.genecards.org/cgi-bin/carddisp.pl?gene=FAM162A","GeneCards")</f>
        <v>GeneCards</v>
      </c>
      <c r="D4995" s="1" t="str">
        <f>HYPERLINK("http://genome-euro.ucsc.edu/cgi-bin/hgTracks?position=221533_at","UCSC")</f>
        <v>UCSC</v>
      </c>
      <c r="E4995" s="1" t="str">
        <f>HYPERLINK("http://www.ncbi.nlm.nih.gov/gene/?term=FAM162A","NCBI")</f>
        <v>NCBI</v>
      </c>
      <c r="F4995">
        <v>4.4999999999999998E-2</v>
      </c>
      <c r="G4995">
        <v>0.15</v>
      </c>
      <c r="H4995" s="1" t="str">
        <f>HYPERLINK("http://www.weizmann.ac.il/complex/compphys/software/geview/data/figures/221533_at.png","Figure")</f>
        <v>Figure</v>
      </c>
      <c r="I4995">
        <v>1.25</v>
      </c>
      <c r="J4995">
        <v>0.09</v>
      </c>
      <c r="K4995">
        <v>0.98299999999999998</v>
      </c>
      <c r="L4995">
        <v>0.98</v>
      </c>
      <c r="M4995">
        <v>0.78800000000000003</v>
      </c>
      <c r="N4995">
        <v>4.7E-2</v>
      </c>
    </row>
    <row r="4996" spans="1:14" x14ac:dyDescent="0.25">
      <c r="A4996" t="s">
        <v>9046</v>
      </c>
      <c r="B4996" t="s">
        <v>9047</v>
      </c>
      <c r="C4996" s="1" t="str">
        <f>HYPERLINK("http://www.genecards.org/cgi-bin/carddisp.pl?gene=SF1","GeneCards")</f>
        <v>GeneCards</v>
      </c>
      <c r="D4996" s="1" t="str">
        <f>HYPERLINK("http://genome-euro.ucsc.edu/cgi-bin/hgTracks?position=208313_s_at","UCSC")</f>
        <v>UCSC</v>
      </c>
      <c r="E4996" s="1" t="str">
        <f>HYPERLINK("http://www.ncbi.nlm.nih.gov/gene/?term=SF1","NCBI")</f>
        <v>NCBI</v>
      </c>
      <c r="F4996">
        <v>4.4999999999999998E-2</v>
      </c>
      <c r="G4996">
        <v>0.15</v>
      </c>
      <c r="H4996" s="1" t="str">
        <f>HYPERLINK("http://www.weizmann.ac.il/complex/compphys/software/geview/data/figures/208313_s_at.png","Figure")</f>
        <v>Figure</v>
      </c>
      <c r="I4996">
        <v>1.24</v>
      </c>
      <c r="J4996">
        <v>0.17</v>
      </c>
      <c r="K4996">
        <v>0.92500000000000004</v>
      </c>
      <c r="L4996">
        <v>0.71</v>
      </c>
      <c r="M4996">
        <v>0.749</v>
      </c>
      <c r="N4996">
        <v>3.6999999999999998E-2</v>
      </c>
    </row>
    <row r="4997" spans="1:14" x14ac:dyDescent="0.25">
      <c r="A4997" t="s">
        <v>9048</v>
      </c>
      <c r="B4997" t="s">
        <v>9049</v>
      </c>
      <c r="C4997" s="1" t="str">
        <f>HYPERLINK("http://www.genecards.org/cgi-bin/carddisp.pl?gene=NPC1L1","GeneCards")</f>
        <v>GeneCards</v>
      </c>
      <c r="D4997" s="1" t="str">
        <f>HYPERLINK("http://genome-euro.ucsc.edu/cgi-bin/hgTracks?position=220106_at","UCSC")</f>
        <v>UCSC</v>
      </c>
      <c r="E4997" s="1" t="str">
        <f>HYPERLINK("http://www.ncbi.nlm.nih.gov/gene/?term=NPC1L1","NCBI")</f>
        <v>NCBI</v>
      </c>
      <c r="F4997">
        <v>4.4999999999999998E-2</v>
      </c>
      <c r="G4997">
        <v>0.15</v>
      </c>
      <c r="H4997" s="1" t="str">
        <f>HYPERLINK("http://www.weizmann.ac.il/complex/compphys/software/geview/data/figures/220106_at.png","Figure")</f>
        <v>Figure</v>
      </c>
      <c r="I4997">
        <v>1.21</v>
      </c>
      <c r="J4997">
        <v>3.5999999999999997E-2</v>
      </c>
      <c r="K4997">
        <v>1.0900000000000001</v>
      </c>
      <c r="L4997">
        <v>0.35</v>
      </c>
      <c r="M4997">
        <v>0.90100000000000002</v>
      </c>
      <c r="N4997">
        <v>0.25</v>
      </c>
    </row>
    <row r="4998" spans="1:14" x14ac:dyDescent="0.25">
      <c r="A4998" t="s">
        <v>9050</v>
      </c>
      <c r="B4998" t="s">
        <v>9051</v>
      </c>
      <c r="C4998" s="1" t="str">
        <f>HYPERLINK("http://www.genecards.org/cgi-bin/carddisp.pl?gene=C20orf191 /// LOC100131704 /// NCOR1","GeneCards")</f>
        <v>GeneCards</v>
      </c>
      <c r="D4998" s="1" t="str">
        <f>HYPERLINK("http://genome-euro.ucsc.edu/cgi-bin/hgTracks?position=200856_x_at","UCSC")</f>
        <v>UCSC</v>
      </c>
      <c r="E4998" s="1" t="str">
        <f>HYPERLINK("http://www.ncbi.nlm.nih.gov/gene/?term=C20orf191 /// LOC100131704 /// NCOR1","NCBI")</f>
        <v>NCBI</v>
      </c>
      <c r="F4998">
        <v>4.4999999999999998E-2</v>
      </c>
      <c r="G4998">
        <v>0.15</v>
      </c>
      <c r="H4998" s="1" t="str">
        <f>HYPERLINK("http://www.weizmann.ac.il/complex/compphys/software/geview/data/figures/200856_x_at.png","Figure")</f>
        <v>Figure</v>
      </c>
      <c r="I4998">
        <v>0.78100000000000003</v>
      </c>
      <c r="J4998">
        <v>8.6999999999999994E-2</v>
      </c>
      <c r="K4998">
        <v>1.02</v>
      </c>
      <c r="L4998">
        <v>0.98</v>
      </c>
      <c r="M4998">
        <v>1.3</v>
      </c>
      <c r="N4998">
        <v>4.8000000000000001E-2</v>
      </c>
    </row>
    <row r="4999" spans="1:14" x14ac:dyDescent="0.25">
      <c r="A4999" t="s">
        <v>9052</v>
      </c>
      <c r="B4999" t="s">
        <v>9053</v>
      </c>
      <c r="C4999" s="1" t="str">
        <f>HYPERLINK("http://www.genecards.org/cgi-bin/carddisp.pl?gene=SIT1","GeneCards")</f>
        <v>GeneCards</v>
      </c>
      <c r="D4999" s="1" t="str">
        <f>HYPERLINK("http://genome-euro.ucsc.edu/cgi-bin/hgTracks?position=205484_at","UCSC")</f>
        <v>UCSC</v>
      </c>
      <c r="E4999" s="1" t="str">
        <f>HYPERLINK("http://www.ncbi.nlm.nih.gov/gene/?term=SIT1","NCBI")</f>
        <v>NCBI</v>
      </c>
      <c r="F4999">
        <v>4.4999999999999998E-2</v>
      </c>
      <c r="G4999">
        <v>0.15</v>
      </c>
      <c r="H4999" s="1" t="str">
        <f>HYPERLINK("http://www.weizmann.ac.il/complex/compphys/software/geview/data/figures/205484_at.png","Figure")</f>
        <v>Figure</v>
      </c>
      <c r="I4999">
        <v>1.38</v>
      </c>
      <c r="J4999">
        <v>4.1000000000000002E-2</v>
      </c>
      <c r="K4999">
        <v>1.22</v>
      </c>
      <c r="L4999">
        <v>0.17</v>
      </c>
      <c r="M4999">
        <v>0.88100000000000001</v>
      </c>
      <c r="N4999">
        <v>0.5</v>
      </c>
    </row>
    <row r="5000" spans="1:14" x14ac:dyDescent="0.25">
      <c r="A5000" t="s">
        <v>9054</v>
      </c>
      <c r="B5000" t="s">
        <v>9055</v>
      </c>
      <c r="C5000" s="1" t="str">
        <f>HYPERLINK("http://www.genecards.org/cgi-bin/carddisp.pl?gene=KCNJ3","GeneCards")</f>
        <v>GeneCards</v>
      </c>
      <c r="D5000" s="1" t="str">
        <f>HYPERLINK("http://genome-euro.ucsc.edu/cgi-bin/hgTracks?position=207141_s_at","UCSC")</f>
        <v>UCSC</v>
      </c>
      <c r="E5000" s="1" t="str">
        <f>HYPERLINK("http://www.ncbi.nlm.nih.gov/gene/?term=KCNJ3","NCBI")</f>
        <v>NCBI</v>
      </c>
      <c r="F5000">
        <v>4.4999999999999998E-2</v>
      </c>
      <c r="G5000">
        <v>0.15</v>
      </c>
      <c r="H5000" s="1" t="str">
        <f>HYPERLINK("http://www.weizmann.ac.il/complex/compphys/software/geview/data/figures/207141_s_at.png","Figure")</f>
        <v>Figure</v>
      </c>
      <c r="I5000">
        <v>0.97</v>
      </c>
      <c r="J5000">
        <v>0.81</v>
      </c>
      <c r="K5000">
        <v>0.89300000000000002</v>
      </c>
      <c r="L5000">
        <v>4.5999999999999999E-2</v>
      </c>
      <c r="M5000">
        <v>0.92</v>
      </c>
      <c r="N5000">
        <v>0.2</v>
      </c>
    </row>
    <row r="5001" spans="1:14" x14ac:dyDescent="0.25">
      <c r="A5001" t="s">
        <v>9056</v>
      </c>
      <c r="B5001" t="s">
        <v>4082</v>
      </c>
      <c r="C5001" s="1" t="str">
        <f>HYPERLINK("http://www.genecards.org/cgi-bin/carddisp.pl?gene=KRT10","GeneCards")</f>
        <v>GeneCards</v>
      </c>
      <c r="D5001" s="1" t="str">
        <f>HYPERLINK("http://genome-euro.ucsc.edu/cgi-bin/hgTracks?position=210633_x_at","UCSC")</f>
        <v>UCSC</v>
      </c>
      <c r="E5001" s="1" t="str">
        <f>HYPERLINK("http://www.ncbi.nlm.nih.gov/gene/?term=KRT10","NCBI")</f>
        <v>NCBI</v>
      </c>
      <c r="F5001">
        <v>4.4999999999999998E-2</v>
      </c>
      <c r="G5001">
        <v>0.15</v>
      </c>
      <c r="H5001" s="1" t="str">
        <f>HYPERLINK("http://www.weizmann.ac.il/complex/compphys/software/geview/data/figures/210633_x_at.png","Figure")</f>
        <v>Figure</v>
      </c>
      <c r="I5001">
        <v>0.78900000000000003</v>
      </c>
      <c r="J5001">
        <v>6.0999999999999999E-2</v>
      </c>
      <c r="K5001">
        <v>0.82399999999999995</v>
      </c>
      <c r="L5001">
        <v>8.3000000000000004E-2</v>
      </c>
      <c r="M5001">
        <v>1.05</v>
      </c>
      <c r="N5001">
        <v>0.87</v>
      </c>
    </row>
    <row r="5002" spans="1:14" x14ac:dyDescent="0.25">
      <c r="A5002" t="s">
        <v>9057</v>
      </c>
      <c r="B5002" t="s">
        <v>9058</v>
      </c>
      <c r="C5002" s="1" t="str">
        <f>HYPERLINK("http://www.genecards.org/cgi-bin/carddisp.pl?gene=RPL18","GeneCards")</f>
        <v>GeneCards</v>
      </c>
      <c r="D5002" s="1" t="str">
        <f>HYPERLINK("http://genome-euro.ucsc.edu/cgi-bin/hgTracks?position=214335_at","UCSC")</f>
        <v>UCSC</v>
      </c>
      <c r="E5002" s="1" t="str">
        <f>HYPERLINK("http://www.ncbi.nlm.nih.gov/gene/?term=RPL18","NCBI")</f>
        <v>NCBI</v>
      </c>
      <c r="F5002">
        <v>4.4999999999999998E-2</v>
      </c>
      <c r="G5002">
        <v>0.15</v>
      </c>
      <c r="H5002" s="1" t="str">
        <f>HYPERLINK("http://www.weizmann.ac.il/complex/compphys/software/geview/data/figures/214335_at.png","Figure")</f>
        <v>Figure</v>
      </c>
      <c r="I5002">
        <v>1.37</v>
      </c>
      <c r="J5002">
        <v>5.5E-2</v>
      </c>
      <c r="K5002">
        <v>1.04</v>
      </c>
      <c r="L5002">
        <v>0.93</v>
      </c>
      <c r="M5002">
        <v>0.76</v>
      </c>
      <c r="N5002">
        <v>7.1999999999999995E-2</v>
      </c>
    </row>
    <row r="5003" spans="1:14" x14ac:dyDescent="0.25">
      <c r="A5003" t="s">
        <v>9059</v>
      </c>
      <c r="B5003" t="s">
        <v>9060</v>
      </c>
      <c r="C5003" s="1" t="str">
        <f>HYPERLINK("http://www.genecards.org/cgi-bin/carddisp.pl?gene=TAF9B","GeneCards")</f>
        <v>GeneCards</v>
      </c>
      <c r="D5003" s="1" t="str">
        <f>HYPERLINK("http://genome-euro.ucsc.edu/cgi-bin/hgTracks?position=221617_at","UCSC")</f>
        <v>UCSC</v>
      </c>
      <c r="E5003" s="1" t="str">
        <f>HYPERLINK("http://www.ncbi.nlm.nih.gov/gene/?term=TAF9B","NCBI")</f>
        <v>NCBI</v>
      </c>
      <c r="F5003">
        <v>4.4999999999999998E-2</v>
      </c>
      <c r="G5003">
        <v>0.15</v>
      </c>
      <c r="H5003" s="1" t="str">
        <f>HYPERLINK("http://www.weizmann.ac.il/complex/compphys/software/geview/data/figures/221617_at.png","Figure")</f>
        <v>Figure</v>
      </c>
      <c r="I5003">
        <v>0.75</v>
      </c>
      <c r="J5003">
        <v>0.44</v>
      </c>
      <c r="K5003">
        <v>0.57099999999999995</v>
      </c>
      <c r="L5003">
        <v>3.6999999999999998E-2</v>
      </c>
      <c r="M5003">
        <v>0.76100000000000001</v>
      </c>
      <c r="N5003">
        <v>0.43</v>
      </c>
    </row>
    <row r="5004" spans="1:14" x14ac:dyDescent="0.25">
      <c r="A5004" t="s">
        <v>9061</v>
      </c>
      <c r="B5004" t="s">
        <v>2194</v>
      </c>
      <c r="C5004" s="1" t="str">
        <f>HYPERLINK("http://www.genecards.org/cgi-bin/carddisp.pl?gene=TNFRSF10B","GeneCards")</f>
        <v>GeneCards</v>
      </c>
      <c r="D5004" s="1" t="str">
        <f>HYPERLINK("http://genome-euro.ucsc.edu/cgi-bin/hgTracks?position=210405_x_at","UCSC")</f>
        <v>UCSC</v>
      </c>
      <c r="E5004" s="1" t="str">
        <f>HYPERLINK("http://www.ncbi.nlm.nih.gov/gene/?term=TNFRSF10B","NCBI")</f>
        <v>NCBI</v>
      </c>
      <c r="F5004">
        <v>4.4999999999999998E-2</v>
      </c>
      <c r="G5004">
        <v>0.15</v>
      </c>
      <c r="H5004" s="1" t="str">
        <f>HYPERLINK("http://www.weizmann.ac.il/complex/compphys/software/geview/data/figures/210405_x_at.png","Figure")</f>
        <v>Figure</v>
      </c>
      <c r="I5004">
        <v>1.04</v>
      </c>
      <c r="J5004">
        <v>0.97</v>
      </c>
      <c r="K5004">
        <v>0.73</v>
      </c>
      <c r="L5004">
        <v>9.0999999999999998E-2</v>
      </c>
      <c r="M5004">
        <v>0.70499999999999996</v>
      </c>
      <c r="N5004">
        <v>7.8E-2</v>
      </c>
    </row>
    <row r="5005" spans="1:14" x14ac:dyDescent="0.25">
      <c r="A5005" t="s">
        <v>9062</v>
      </c>
      <c r="B5005" t="s">
        <v>7555</v>
      </c>
      <c r="C5005" s="1" t="str">
        <f>HYPERLINK("http://www.genecards.org/cgi-bin/carddisp.pl?gene=USP15","GeneCards")</f>
        <v>GeneCards</v>
      </c>
      <c r="D5005" s="1" t="str">
        <f>HYPERLINK("http://genome-euro.ucsc.edu/cgi-bin/hgTracks?position=210681_s_at","UCSC")</f>
        <v>UCSC</v>
      </c>
      <c r="E5005" s="1" t="str">
        <f>HYPERLINK("http://www.ncbi.nlm.nih.gov/gene/?term=USP15","NCBI")</f>
        <v>NCBI</v>
      </c>
      <c r="F5005">
        <v>4.4999999999999998E-2</v>
      </c>
      <c r="G5005">
        <v>0.15</v>
      </c>
      <c r="H5005" s="1" t="str">
        <f>HYPERLINK("http://www.weizmann.ac.il/complex/compphys/software/geview/data/figures/210681_s_at.png","Figure")</f>
        <v>Figure</v>
      </c>
      <c r="I5005">
        <v>1.03</v>
      </c>
      <c r="J5005">
        <v>0.96</v>
      </c>
      <c r="K5005">
        <v>0.78900000000000003</v>
      </c>
      <c r="L5005">
        <v>9.4E-2</v>
      </c>
      <c r="M5005">
        <v>0.76500000000000001</v>
      </c>
      <c r="N5005">
        <v>7.5999999999999998E-2</v>
      </c>
    </row>
    <row r="5006" spans="1:14" x14ac:dyDescent="0.25">
      <c r="A5006" t="s">
        <v>9063</v>
      </c>
      <c r="B5006" t="s">
        <v>9064</v>
      </c>
      <c r="C5006" s="1" t="str">
        <f>HYPERLINK("http://www.genecards.org/cgi-bin/carddisp.pl?gene=CBLL1","GeneCards")</f>
        <v>GeneCards</v>
      </c>
      <c r="D5006" s="1" t="str">
        <f>HYPERLINK("http://genome-euro.ucsc.edu/cgi-bin/hgTracks?position=220018_at","UCSC")</f>
        <v>UCSC</v>
      </c>
      <c r="E5006" s="1" t="str">
        <f>HYPERLINK("http://www.ncbi.nlm.nih.gov/gene/?term=CBLL1","NCBI")</f>
        <v>NCBI</v>
      </c>
      <c r="F5006">
        <v>4.4999999999999998E-2</v>
      </c>
      <c r="G5006">
        <v>0.15</v>
      </c>
      <c r="H5006" s="1" t="str">
        <f>HYPERLINK("http://www.weizmann.ac.il/complex/compphys/software/geview/data/figures/220018_at.png","Figure")</f>
        <v>Figure</v>
      </c>
      <c r="I5006">
        <v>1</v>
      </c>
      <c r="J5006">
        <v>1</v>
      </c>
      <c r="K5006">
        <v>0.81100000000000005</v>
      </c>
      <c r="L5006">
        <v>7.2999999999999995E-2</v>
      </c>
      <c r="M5006">
        <v>0.81100000000000005</v>
      </c>
      <c r="N5006">
        <v>9.7000000000000003E-2</v>
      </c>
    </row>
    <row r="5007" spans="1:14" x14ac:dyDescent="0.25">
      <c r="A5007" t="s">
        <v>9065</v>
      </c>
      <c r="B5007" t="s">
        <v>3821</v>
      </c>
      <c r="C5007" s="1" t="str">
        <f>HYPERLINK("http://www.genecards.org/cgi-bin/carddisp.pl?gene=FMR1","GeneCards")</f>
        <v>GeneCards</v>
      </c>
      <c r="D5007" s="1" t="str">
        <f>HYPERLINK("http://genome-euro.ucsc.edu/cgi-bin/hgTracks?position=203689_s_at","UCSC")</f>
        <v>UCSC</v>
      </c>
      <c r="E5007" s="1" t="str">
        <f>HYPERLINK("http://www.ncbi.nlm.nih.gov/gene/?term=FMR1","NCBI")</f>
        <v>NCBI</v>
      </c>
      <c r="F5007">
        <v>4.4999999999999998E-2</v>
      </c>
      <c r="G5007">
        <v>0.15</v>
      </c>
      <c r="H5007" s="1" t="str">
        <f>HYPERLINK("http://www.weizmann.ac.il/complex/compphys/software/geview/data/figures/203689_s_at.png","Figure")</f>
        <v>Figure</v>
      </c>
      <c r="I5007">
        <v>0.44900000000000001</v>
      </c>
      <c r="J5007">
        <v>0.04</v>
      </c>
      <c r="K5007">
        <v>0.622</v>
      </c>
      <c r="L5007">
        <v>0.18</v>
      </c>
      <c r="M5007">
        <v>1.39</v>
      </c>
      <c r="N5007">
        <v>0.47</v>
      </c>
    </row>
    <row r="5008" spans="1:14" x14ac:dyDescent="0.25">
      <c r="A5008" t="s">
        <v>9066</v>
      </c>
      <c r="B5008" t="s">
        <v>9067</v>
      </c>
      <c r="C5008" s="1" t="str">
        <f>HYPERLINK("http://www.genecards.org/cgi-bin/carddisp.pl?gene=PICALM","GeneCards")</f>
        <v>GeneCards</v>
      </c>
      <c r="D5008" s="1" t="str">
        <f>HYPERLINK("http://genome-euro.ucsc.edu/cgi-bin/hgTracks?position=215832_x_at","UCSC")</f>
        <v>UCSC</v>
      </c>
      <c r="E5008" s="1" t="str">
        <f>HYPERLINK("http://www.ncbi.nlm.nih.gov/gene/?term=PICALM","NCBI")</f>
        <v>NCBI</v>
      </c>
      <c r="F5008">
        <v>4.4999999999999998E-2</v>
      </c>
      <c r="G5008">
        <v>0.15</v>
      </c>
      <c r="H5008" s="1" t="str">
        <f>HYPERLINK("http://www.weizmann.ac.il/complex/compphys/software/geview/data/figures/215832_x_at.png","Figure")</f>
        <v>Figure</v>
      </c>
      <c r="I5008">
        <v>0.96799999999999997</v>
      </c>
      <c r="J5008">
        <v>0.87</v>
      </c>
      <c r="K5008">
        <v>0.86199999999999999</v>
      </c>
      <c r="L5008">
        <v>0.05</v>
      </c>
      <c r="M5008">
        <v>0.89100000000000001</v>
      </c>
      <c r="N5008">
        <v>0.17</v>
      </c>
    </row>
    <row r="5009" spans="1:14" x14ac:dyDescent="0.25">
      <c r="A5009" t="s">
        <v>9068</v>
      </c>
      <c r="B5009" t="s">
        <v>9069</v>
      </c>
      <c r="C5009" s="1" t="str">
        <f>HYPERLINK("http://www.genecards.org/cgi-bin/carddisp.pl?gene=KEL","GeneCards")</f>
        <v>GeneCards</v>
      </c>
      <c r="D5009" s="1" t="str">
        <f>HYPERLINK("http://genome-euro.ucsc.edu/cgi-bin/hgTracks?position=206077_at","UCSC")</f>
        <v>UCSC</v>
      </c>
      <c r="E5009" s="1" t="str">
        <f>HYPERLINK("http://www.ncbi.nlm.nih.gov/gene/?term=KEL","NCBI")</f>
        <v>NCBI</v>
      </c>
      <c r="F5009">
        <v>4.4999999999999998E-2</v>
      </c>
      <c r="G5009">
        <v>0.15</v>
      </c>
      <c r="H5009" s="1" t="str">
        <f>HYPERLINK("http://www.weizmann.ac.il/complex/compphys/software/geview/data/figures/206077_at.png","Figure")</f>
        <v>Figure</v>
      </c>
      <c r="I5009">
        <v>1.39</v>
      </c>
      <c r="J5009">
        <v>3.9E-2</v>
      </c>
      <c r="K5009">
        <v>1.1100000000000001</v>
      </c>
      <c r="L5009">
        <v>0.6</v>
      </c>
      <c r="M5009">
        <v>0.79600000000000004</v>
      </c>
      <c r="N5009">
        <v>0.14000000000000001</v>
      </c>
    </row>
    <row r="5010" spans="1:14" x14ac:dyDescent="0.25">
      <c r="A5010" t="s">
        <v>9070</v>
      </c>
      <c r="B5010" t="s">
        <v>9071</v>
      </c>
      <c r="C5010" s="1" t="str">
        <f>HYPERLINK("http://www.genecards.org/cgi-bin/carddisp.pl?gene=YWHAQ","GeneCards")</f>
        <v>GeneCards</v>
      </c>
      <c r="D5010" s="1" t="str">
        <f>HYPERLINK("http://genome-euro.ucsc.edu/cgi-bin/hgTracks?position=200693_at","UCSC")</f>
        <v>UCSC</v>
      </c>
      <c r="E5010" s="1" t="str">
        <f>HYPERLINK("http://www.ncbi.nlm.nih.gov/gene/?term=YWHAQ","NCBI")</f>
        <v>NCBI</v>
      </c>
      <c r="F5010">
        <v>4.4999999999999998E-2</v>
      </c>
      <c r="G5010">
        <v>0.15</v>
      </c>
      <c r="H5010" s="1" t="str">
        <f>HYPERLINK("http://www.weizmann.ac.il/complex/compphys/software/geview/data/figures/200693_at.png","Figure")</f>
        <v>Figure</v>
      </c>
      <c r="I5010">
        <v>1.46</v>
      </c>
      <c r="J5010">
        <v>8.5000000000000006E-2</v>
      </c>
      <c r="K5010">
        <v>1.43</v>
      </c>
      <c r="L5010">
        <v>0.06</v>
      </c>
      <c r="M5010">
        <v>0.98</v>
      </c>
      <c r="N5010">
        <v>0.99</v>
      </c>
    </row>
    <row r="5011" spans="1:14" x14ac:dyDescent="0.25">
      <c r="A5011" t="s">
        <v>9072</v>
      </c>
      <c r="B5011" t="s">
        <v>5394</v>
      </c>
      <c r="C5011" s="1" t="str">
        <f>HYPERLINK("http://www.genecards.org/cgi-bin/carddisp.pl?gene=SEC63","GeneCards")</f>
        <v>GeneCards</v>
      </c>
      <c r="D5011" s="1" t="str">
        <f>HYPERLINK("http://genome-euro.ucsc.edu/cgi-bin/hgTracks?position=201914_s_at","UCSC")</f>
        <v>UCSC</v>
      </c>
      <c r="E5011" s="1" t="str">
        <f>HYPERLINK("http://www.ncbi.nlm.nih.gov/gene/?term=SEC63","NCBI")</f>
        <v>NCBI</v>
      </c>
      <c r="F5011">
        <v>4.4999999999999998E-2</v>
      </c>
      <c r="G5011">
        <v>0.15</v>
      </c>
      <c r="H5011" s="1" t="str">
        <f>HYPERLINK("http://www.weizmann.ac.il/complex/compphys/software/geview/data/figures/201914_s_at.png","Figure")</f>
        <v>Figure</v>
      </c>
      <c r="I5011">
        <v>0.61299999999999999</v>
      </c>
      <c r="J5011">
        <v>8.8999999999999996E-2</v>
      </c>
      <c r="K5011">
        <v>0.625</v>
      </c>
      <c r="L5011">
        <v>5.8000000000000003E-2</v>
      </c>
      <c r="M5011">
        <v>1.02</v>
      </c>
      <c r="N5011">
        <v>1</v>
      </c>
    </row>
    <row r="5012" spans="1:14" x14ac:dyDescent="0.25">
      <c r="A5012" t="s">
        <v>9073</v>
      </c>
      <c r="B5012" t="s">
        <v>9074</v>
      </c>
      <c r="C5012" s="1" t="str">
        <f>HYPERLINK("http://www.genecards.org/cgi-bin/carddisp.pl?gene=SLC39A6","GeneCards")</f>
        <v>GeneCards</v>
      </c>
      <c r="D5012" s="1" t="str">
        <f>HYPERLINK("http://genome-euro.ucsc.edu/cgi-bin/hgTracks?position=202088_at","UCSC")</f>
        <v>UCSC</v>
      </c>
      <c r="E5012" s="1" t="str">
        <f>HYPERLINK("http://www.ncbi.nlm.nih.gov/gene/?term=SLC39A6","NCBI")</f>
        <v>NCBI</v>
      </c>
      <c r="F5012">
        <v>4.4999999999999998E-2</v>
      </c>
      <c r="G5012">
        <v>0.15</v>
      </c>
      <c r="H5012" s="1" t="str">
        <f>HYPERLINK("http://www.weizmann.ac.il/complex/compphys/software/geview/data/figures/202088_at.png","Figure")</f>
        <v>Figure</v>
      </c>
      <c r="I5012">
        <v>0.63</v>
      </c>
      <c r="J5012">
        <v>0.14000000000000001</v>
      </c>
      <c r="K5012">
        <v>1.1200000000000001</v>
      </c>
      <c r="L5012">
        <v>0.83</v>
      </c>
      <c r="M5012">
        <v>1.78</v>
      </c>
      <c r="N5012">
        <v>0.04</v>
      </c>
    </row>
    <row r="5013" spans="1:14" x14ac:dyDescent="0.25">
      <c r="A5013" t="s">
        <v>9075</v>
      </c>
      <c r="B5013" t="s">
        <v>9076</v>
      </c>
      <c r="C5013" s="1" t="str">
        <f>HYPERLINK("http://www.genecards.org/cgi-bin/carddisp.pl?gene=GUCA1A","GeneCards")</f>
        <v>GeneCards</v>
      </c>
      <c r="D5013" s="1" t="str">
        <f>HYPERLINK("http://genome-euro.ucsc.edu/cgi-bin/hgTracks?position=206062_at","UCSC")</f>
        <v>UCSC</v>
      </c>
      <c r="E5013" s="1" t="str">
        <f>HYPERLINK("http://www.ncbi.nlm.nih.gov/gene/?term=GUCA1A","NCBI")</f>
        <v>NCBI</v>
      </c>
      <c r="F5013">
        <v>4.4999999999999998E-2</v>
      </c>
      <c r="G5013">
        <v>0.15</v>
      </c>
      <c r="H5013" s="1" t="str">
        <f>HYPERLINK("http://www.weizmann.ac.il/complex/compphys/software/geview/data/figures/206062_at.png","Figure")</f>
        <v>Figure</v>
      </c>
      <c r="I5013">
        <v>1.08</v>
      </c>
      <c r="J5013">
        <v>0.35</v>
      </c>
      <c r="K5013">
        <v>0.93600000000000005</v>
      </c>
      <c r="L5013">
        <v>0.4</v>
      </c>
      <c r="M5013">
        <v>0.86299999999999999</v>
      </c>
      <c r="N5013">
        <v>3.6999999999999998E-2</v>
      </c>
    </row>
    <row r="5014" spans="1:14" x14ac:dyDescent="0.25">
      <c r="A5014" t="s">
        <v>9077</v>
      </c>
      <c r="B5014" t="s">
        <v>7693</v>
      </c>
      <c r="C5014" s="1" t="str">
        <f>HYPERLINK("http://www.genecards.org/cgi-bin/carddisp.pl?gene=PAIP1","GeneCards")</f>
        <v>GeneCards</v>
      </c>
      <c r="D5014" s="1" t="str">
        <f>HYPERLINK("http://genome-euro.ucsc.edu/cgi-bin/hgTracks?position=208051_s_at","UCSC")</f>
        <v>UCSC</v>
      </c>
      <c r="E5014" s="1" t="str">
        <f>HYPERLINK("http://www.ncbi.nlm.nih.gov/gene/?term=PAIP1","NCBI")</f>
        <v>NCBI</v>
      </c>
      <c r="F5014">
        <v>4.4999999999999998E-2</v>
      </c>
      <c r="G5014">
        <v>0.15</v>
      </c>
      <c r="H5014" s="1" t="str">
        <f>HYPERLINK("http://www.weizmann.ac.il/complex/compphys/software/geview/data/figures/208051_s_at.png","Figure")</f>
        <v>Figure</v>
      </c>
      <c r="I5014">
        <v>0.55800000000000005</v>
      </c>
      <c r="J5014">
        <v>0.14000000000000001</v>
      </c>
      <c r="K5014">
        <v>0.51200000000000001</v>
      </c>
      <c r="L5014">
        <v>4.4999999999999998E-2</v>
      </c>
      <c r="M5014">
        <v>0.91700000000000004</v>
      </c>
      <c r="N5014">
        <v>0.94</v>
      </c>
    </row>
    <row r="5015" spans="1:14" x14ac:dyDescent="0.25">
      <c r="A5015" t="s">
        <v>9078</v>
      </c>
      <c r="B5015" t="s">
        <v>6042</v>
      </c>
      <c r="C5015" s="1" t="str">
        <f>HYPERLINK("http://www.genecards.org/cgi-bin/carddisp.pl?gene=CEACAM3","GeneCards")</f>
        <v>GeneCards</v>
      </c>
      <c r="D5015" s="1" t="str">
        <f>HYPERLINK("http://genome-euro.ucsc.edu/cgi-bin/hgTracks?position=208052_x_at","UCSC")</f>
        <v>UCSC</v>
      </c>
      <c r="E5015" s="1" t="str">
        <f>HYPERLINK("http://www.ncbi.nlm.nih.gov/gene/?term=CEACAM3","NCBI")</f>
        <v>NCBI</v>
      </c>
      <c r="F5015">
        <v>4.4999999999999998E-2</v>
      </c>
      <c r="G5015">
        <v>0.15</v>
      </c>
      <c r="H5015" s="1" t="str">
        <f>HYPERLINK("http://www.weizmann.ac.il/complex/compphys/software/geview/data/figures/208052_x_at.png","Figure")</f>
        <v>Figure</v>
      </c>
      <c r="I5015">
        <v>1.3</v>
      </c>
      <c r="J5015">
        <v>3.6999999999999998E-2</v>
      </c>
      <c r="K5015">
        <v>1.1399999999999999</v>
      </c>
      <c r="L5015">
        <v>0.27</v>
      </c>
      <c r="M5015">
        <v>0.878</v>
      </c>
      <c r="N5015">
        <v>0.33</v>
      </c>
    </row>
    <row r="5016" spans="1:14" x14ac:dyDescent="0.25">
      <c r="A5016" t="s">
        <v>9079</v>
      </c>
      <c r="B5016" t="s">
        <v>9080</v>
      </c>
      <c r="C5016" s="1" t="str">
        <f>HYPERLINK("http://www.genecards.org/cgi-bin/carddisp.pl?gene=NAB1","GeneCards")</f>
        <v>GeneCards</v>
      </c>
      <c r="D5016" s="1" t="str">
        <f>HYPERLINK("http://genome-euro.ucsc.edu/cgi-bin/hgTracks?position=209272_at","UCSC")</f>
        <v>UCSC</v>
      </c>
      <c r="E5016" s="1" t="str">
        <f>HYPERLINK("http://www.ncbi.nlm.nih.gov/gene/?term=NAB1","NCBI")</f>
        <v>NCBI</v>
      </c>
      <c r="F5016">
        <v>4.4999999999999998E-2</v>
      </c>
      <c r="G5016">
        <v>0.15</v>
      </c>
      <c r="H5016" s="1" t="str">
        <f>HYPERLINK("http://www.weizmann.ac.il/complex/compphys/software/geview/data/figures/209272_at.png","Figure")</f>
        <v>Figure</v>
      </c>
      <c r="I5016">
        <v>0.60399999999999998</v>
      </c>
      <c r="J5016">
        <v>3.6999999999999998E-2</v>
      </c>
      <c r="K5016">
        <v>0.80900000000000005</v>
      </c>
      <c r="L5016">
        <v>0.39</v>
      </c>
      <c r="M5016">
        <v>1.34</v>
      </c>
      <c r="N5016">
        <v>0.23</v>
      </c>
    </row>
    <row r="5017" spans="1:14" x14ac:dyDescent="0.25">
      <c r="A5017" t="s">
        <v>9081</v>
      </c>
      <c r="B5017" t="s">
        <v>9082</v>
      </c>
      <c r="C5017" s="1" t="str">
        <f>HYPERLINK("http://www.genecards.org/cgi-bin/carddisp.pl?gene=EPHB1","GeneCards")</f>
        <v>GeneCards</v>
      </c>
      <c r="D5017" s="1" t="str">
        <f>HYPERLINK("http://genome-euro.ucsc.edu/cgi-bin/hgTracks?position=210753_s_at","UCSC")</f>
        <v>UCSC</v>
      </c>
      <c r="E5017" s="1" t="str">
        <f>HYPERLINK("http://www.ncbi.nlm.nih.gov/gene/?term=EPHB1","NCBI")</f>
        <v>NCBI</v>
      </c>
      <c r="F5017">
        <v>4.4999999999999998E-2</v>
      </c>
      <c r="G5017">
        <v>0.15</v>
      </c>
      <c r="H5017" s="1" t="str">
        <f>HYPERLINK("http://www.weizmann.ac.il/complex/compphys/software/geview/data/figures/210753_s_at.png","Figure")</f>
        <v>Figure</v>
      </c>
      <c r="I5017">
        <v>1.0900000000000001</v>
      </c>
      <c r="J5017">
        <v>0.18</v>
      </c>
      <c r="K5017">
        <v>0.96699999999999997</v>
      </c>
      <c r="L5017">
        <v>0.69</v>
      </c>
      <c r="M5017">
        <v>0.88600000000000001</v>
      </c>
      <c r="N5017">
        <v>3.6999999999999998E-2</v>
      </c>
    </row>
    <row r="5018" spans="1:14" x14ac:dyDescent="0.25">
      <c r="A5018" t="s">
        <v>9083</v>
      </c>
      <c r="B5018" t="s">
        <v>9084</v>
      </c>
      <c r="C5018" s="1" t="str">
        <f>HYPERLINK("http://www.genecards.org/cgi-bin/carddisp.pl?gene=SPIN2A /// SPIN2B","GeneCards")</f>
        <v>GeneCards</v>
      </c>
      <c r="D5018" s="1" t="str">
        <f>HYPERLINK("http://genome-euro.ucsc.edu/cgi-bin/hgTracks?position=211704_s_at","UCSC")</f>
        <v>UCSC</v>
      </c>
      <c r="E5018" s="1" t="str">
        <f>HYPERLINK("http://www.ncbi.nlm.nih.gov/gene/?term=SPIN2A /// SPIN2B","NCBI")</f>
        <v>NCBI</v>
      </c>
      <c r="F5018">
        <v>4.4999999999999998E-2</v>
      </c>
      <c r="G5018">
        <v>0.15</v>
      </c>
      <c r="H5018" s="1" t="str">
        <f>HYPERLINK("http://www.weizmann.ac.il/complex/compphys/software/geview/data/figures/211704_s_at.png","Figure")</f>
        <v>Figure</v>
      </c>
      <c r="I5018">
        <v>0.66400000000000003</v>
      </c>
      <c r="J5018">
        <v>0.04</v>
      </c>
      <c r="K5018">
        <v>0.88400000000000001</v>
      </c>
      <c r="L5018">
        <v>0.62</v>
      </c>
      <c r="M5018">
        <v>1.33</v>
      </c>
      <c r="N5018">
        <v>0.14000000000000001</v>
      </c>
    </row>
    <row r="5019" spans="1:14" x14ac:dyDescent="0.25">
      <c r="A5019" t="s">
        <v>9085</v>
      </c>
      <c r="B5019" t="s">
        <v>9086</v>
      </c>
      <c r="C5019" s="1" t="str">
        <f>HYPERLINK("http://www.genecards.org/cgi-bin/carddisp.pl?gene=SCAMP5","GeneCards")</f>
        <v>GeneCards</v>
      </c>
      <c r="D5019" s="1" t="str">
        <f>HYPERLINK("http://genome-euro.ucsc.edu/cgi-bin/hgTracks?position=212699_at","UCSC")</f>
        <v>UCSC</v>
      </c>
      <c r="E5019" s="1" t="str">
        <f>HYPERLINK("http://www.ncbi.nlm.nih.gov/gene/?term=SCAMP5","NCBI")</f>
        <v>NCBI</v>
      </c>
      <c r="F5019">
        <v>4.4999999999999998E-2</v>
      </c>
      <c r="G5019">
        <v>0.15</v>
      </c>
      <c r="H5019" s="1" t="str">
        <f>HYPERLINK("http://www.weizmann.ac.il/complex/compphys/software/geview/data/figures/212699_at.png","Figure")</f>
        <v>Figure</v>
      </c>
      <c r="I5019">
        <v>1.27</v>
      </c>
      <c r="J5019">
        <v>4.8000000000000001E-2</v>
      </c>
      <c r="K5019">
        <v>1.05</v>
      </c>
      <c r="L5019">
        <v>0.83</v>
      </c>
      <c r="M5019">
        <v>0.82399999999999995</v>
      </c>
      <c r="N5019">
        <v>0.09</v>
      </c>
    </row>
    <row r="5020" spans="1:14" x14ac:dyDescent="0.25">
      <c r="A5020" t="s">
        <v>9087</v>
      </c>
      <c r="B5020" t="s">
        <v>9088</v>
      </c>
      <c r="C5020" s="1" t="str">
        <f>HYPERLINK("http://www.genecards.org/cgi-bin/carddisp.pl?gene=RAD54L2","GeneCards")</f>
        <v>GeneCards</v>
      </c>
      <c r="D5020" s="1" t="str">
        <f>HYPERLINK("http://genome-euro.ucsc.edu/cgi-bin/hgTracks?position=213205_s_at","UCSC")</f>
        <v>UCSC</v>
      </c>
      <c r="E5020" s="1" t="str">
        <f>HYPERLINK("http://www.ncbi.nlm.nih.gov/gene/?term=RAD54L2","NCBI")</f>
        <v>NCBI</v>
      </c>
      <c r="F5020">
        <v>4.4999999999999998E-2</v>
      </c>
      <c r="G5020">
        <v>0.15</v>
      </c>
      <c r="H5020" s="1" t="str">
        <f>HYPERLINK("http://www.weizmann.ac.il/complex/compphys/software/geview/data/figures/213205_s_at.png","Figure")</f>
        <v>Figure</v>
      </c>
      <c r="I5020">
        <v>1.22</v>
      </c>
      <c r="J5020">
        <v>4.5999999999999999E-2</v>
      </c>
      <c r="K5020">
        <v>1.1399999999999999</v>
      </c>
      <c r="L5020">
        <v>0.13</v>
      </c>
      <c r="M5020">
        <v>0.93899999999999995</v>
      </c>
      <c r="N5020">
        <v>0.64</v>
      </c>
    </row>
    <row r="5021" spans="1:14" x14ac:dyDescent="0.25">
      <c r="A5021" t="s">
        <v>9089</v>
      </c>
      <c r="B5021" t="s">
        <v>9090</v>
      </c>
      <c r="C5021" s="1" t="str">
        <f>HYPERLINK("http://www.genecards.org/cgi-bin/carddisp.pl?gene=IDUA","GeneCards")</f>
        <v>GeneCards</v>
      </c>
      <c r="D5021" s="1" t="str">
        <f>HYPERLINK("http://genome-euro.ucsc.edu/cgi-bin/hgTracks?position=213723_s_at","UCSC")</f>
        <v>UCSC</v>
      </c>
      <c r="E5021" s="1" t="str">
        <f>HYPERLINK("http://www.ncbi.nlm.nih.gov/gene/?term=IDUA","NCBI")</f>
        <v>NCBI</v>
      </c>
      <c r="F5021">
        <v>4.4999999999999998E-2</v>
      </c>
      <c r="G5021">
        <v>0.15</v>
      </c>
      <c r="H5021" s="1" t="str">
        <f>HYPERLINK("http://www.weizmann.ac.il/complex/compphys/software/geview/data/figures/213723_s_at.png","Figure")</f>
        <v>Figure</v>
      </c>
      <c r="I5021">
        <v>1.28</v>
      </c>
      <c r="J5021">
        <v>4.5999999999999999E-2</v>
      </c>
      <c r="K5021">
        <v>1.18</v>
      </c>
      <c r="L5021">
        <v>0.13</v>
      </c>
      <c r="M5021">
        <v>0.92400000000000004</v>
      </c>
      <c r="N5021">
        <v>0.63</v>
      </c>
    </row>
    <row r="5022" spans="1:14" x14ac:dyDescent="0.25">
      <c r="A5022" t="s">
        <v>9091</v>
      </c>
      <c r="B5022" t="s">
        <v>9092</v>
      </c>
      <c r="C5022" s="1" t="str">
        <f>HYPERLINK("http://www.genecards.org/cgi-bin/carddisp.pl?gene=CACNA1A","GeneCards")</f>
        <v>GeneCards</v>
      </c>
      <c r="D5022" s="1" t="str">
        <f>HYPERLINK("http://genome-euro.ucsc.edu/cgi-bin/hgTracks?position=214933_at","UCSC")</f>
        <v>UCSC</v>
      </c>
      <c r="E5022" s="1" t="str">
        <f>HYPERLINK("http://www.ncbi.nlm.nih.gov/gene/?term=CACNA1A","NCBI")</f>
        <v>NCBI</v>
      </c>
      <c r="F5022">
        <v>4.4999999999999998E-2</v>
      </c>
      <c r="G5022">
        <v>0.15</v>
      </c>
      <c r="H5022" s="1" t="str">
        <f>HYPERLINK("http://www.weizmann.ac.il/complex/compphys/software/geview/data/figures/214933_at.png","Figure")</f>
        <v>Figure</v>
      </c>
      <c r="I5022">
        <v>1.68</v>
      </c>
      <c r="J5022">
        <v>5.8999999999999997E-2</v>
      </c>
      <c r="K5022">
        <v>1.51</v>
      </c>
      <c r="L5022">
        <v>8.7999999999999995E-2</v>
      </c>
      <c r="M5022">
        <v>0.9</v>
      </c>
      <c r="N5022">
        <v>0.84</v>
      </c>
    </row>
    <row r="5023" spans="1:14" x14ac:dyDescent="0.25">
      <c r="A5023" t="s">
        <v>9093</v>
      </c>
      <c r="B5023" t="s">
        <v>9094</v>
      </c>
      <c r="C5023" s="1" t="str">
        <f>HYPERLINK("http://www.genecards.org/cgi-bin/carddisp.pl?gene=TRAF3IP2","GeneCards")</f>
        <v>GeneCards</v>
      </c>
      <c r="D5023" s="1" t="str">
        <f>HYPERLINK("http://genome-euro.ucsc.edu/cgi-bin/hgTracks?position=215411_s_at","UCSC")</f>
        <v>UCSC</v>
      </c>
      <c r="E5023" s="1" t="str">
        <f>HYPERLINK("http://www.ncbi.nlm.nih.gov/gene/?term=TRAF3IP2","NCBI")</f>
        <v>NCBI</v>
      </c>
      <c r="F5023">
        <v>4.4999999999999998E-2</v>
      </c>
      <c r="G5023">
        <v>0.15</v>
      </c>
      <c r="H5023" s="1" t="str">
        <f>HYPERLINK("http://www.weizmann.ac.il/complex/compphys/software/geview/data/figures/215411_s_at.png","Figure")</f>
        <v>Figure</v>
      </c>
      <c r="I5023">
        <v>1.03</v>
      </c>
      <c r="J5023">
        <v>0.99</v>
      </c>
      <c r="K5023">
        <v>1.51</v>
      </c>
      <c r="L5023">
        <v>6.5000000000000002E-2</v>
      </c>
      <c r="M5023">
        <v>1.47</v>
      </c>
      <c r="N5023">
        <v>0.11</v>
      </c>
    </row>
    <row r="5024" spans="1:14" x14ac:dyDescent="0.25">
      <c r="A5024" t="s">
        <v>9095</v>
      </c>
      <c r="B5024" t="s">
        <v>6959</v>
      </c>
      <c r="C5024" s="1" t="str">
        <f>HYPERLINK("http://www.genecards.org/cgi-bin/carddisp.pl?gene=HRASLS2","GeneCards")</f>
        <v>GeneCards</v>
      </c>
      <c r="D5024" s="1" t="str">
        <f>HYPERLINK("http://genome-euro.ucsc.edu/cgi-bin/hgTracks?position=216759_at","UCSC")</f>
        <v>UCSC</v>
      </c>
      <c r="E5024" s="1" t="str">
        <f>HYPERLINK("http://www.ncbi.nlm.nih.gov/gene/?term=HRASLS2","NCBI")</f>
        <v>NCBI</v>
      </c>
      <c r="F5024">
        <v>4.4999999999999998E-2</v>
      </c>
      <c r="G5024">
        <v>0.15</v>
      </c>
      <c r="H5024" s="1" t="str">
        <f>HYPERLINK("http://www.weizmann.ac.il/complex/compphys/software/geview/data/figures/216759_at.png","Figure")</f>
        <v>Figure</v>
      </c>
      <c r="I5024">
        <v>1.03</v>
      </c>
      <c r="J5024">
        <v>7.5999999999999998E-2</v>
      </c>
      <c r="K5024">
        <v>1.03</v>
      </c>
      <c r="L5024">
        <v>6.6000000000000003E-2</v>
      </c>
      <c r="M5024">
        <v>0.997</v>
      </c>
      <c r="N5024">
        <v>0.97</v>
      </c>
    </row>
    <row r="5025" spans="1:14" x14ac:dyDescent="0.25">
      <c r="A5025" t="s">
        <v>9096</v>
      </c>
      <c r="B5025" t="s">
        <v>9097</v>
      </c>
      <c r="C5025" s="1" t="str">
        <f>HYPERLINK("http://www.genecards.org/cgi-bin/carddisp.pl?gene=MYO9A","GeneCards")</f>
        <v>GeneCards</v>
      </c>
      <c r="D5025" s="1" t="str">
        <f>HYPERLINK("http://genome-euro.ucsc.edu/cgi-bin/hgTracks?position=219027_s_at","UCSC")</f>
        <v>UCSC</v>
      </c>
      <c r="E5025" s="1" t="str">
        <f>HYPERLINK("http://www.ncbi.nlm.nih.gov/gene/?term=MYO9A","NCBI")</f>
        <v>NCBI</v>
      </c>
      <c r="F5025">
        <v>4.4999999999999998E-2</v>
      </c>
      <c r="G5025">
        <v>0.15</v>
      </c>
      <c r="H5025" s="1" t="str">
        <f>HYPERLINK("http://www.weizmann.ac.il/complex/compphys/software/geview/data/figures/219027_s_at.png","Figure")</f>
        <v>Figure</v>
      </c>
      <c r="I5025">
        <v>1.37</v>
      </c>
      <c r="J5025">
        <v>6.7000000000000004E-2</v>
      </c>
      <c r="K5025">
        <v>1.31</v>
      </c>
      <c r="L5025">
        <v>7.4999999999999997E-2</v>
      </c>
      <c r="M5025">
        <v>0.95399999999999996</v>
      </c>
      <c r="N5025">
        <v>0.92</v>
      </c>
    </row>
    <row r="5026" spans="1:14" x14ac:dyDescent="0.25">
      <c r="A5026" t="s">
        <v>9098</v>
      </c>
      <c r="B5026" t="s">
        <v>9099</v>
      </c>
      <c r="C5026" s="1" t="str">
        <f>HYPERLINK("http://www.genecards.org/cgi-bin/carddisp.pl?gene=GPR157","GeneCards")</f>
        <v>GeneCards</v>
      </c>
      <c r="D5026" s="1" t="str">
        <f>HYPERLINK("http://genome-euro.ucsc.edu/cgi-bin/hgTracks?position=220901_at","UCSC")</f>
        <v>UCSC</v>
      </c>
      <c r="E5026" s="1" t="str">
        <f>HYPERLINK("http://www.ncbi.nlm.nih.gov/gene/?term=GPR157","NCBI")</f>
        <v>NCBI</v>
      </c>
      <c r="F5026">
        <v>4.4999999999999998E-2</v>
      </c>
      <c r="G5026">
        <v>0.15</v>
      </c>
      <c r="H5026" s="1" t="str">
        <f>HYPERLINK("http://www.weizmann.ac.il/complex/compphys/software/geview/data/figures/220901_at.png","Figure")</f>
        <v>Figure</v>
      </c>
      <c r="I5026">
        <v>1.1599999999999999</v>
      </c>
      <c r="J5026">
        <v>3.5999999999999997E-2</v>
      </c>
      <c r="K5026">
        <v>1.07</v>
      </c>
      <c r="L5026">
        <v>0.37</v>
      </c>
      <c r="M5026">
        <v>0.91900000000000004</v>
      </c>
      <c r="N5026">
        <v>0.24</v>
      </c>
    </row>
    <row r="5027" spans="1:14" x14ac:dyDescent="0.25">
      <c r="A5027" t="s">
        <v>9100</v>
      </c>
      <c r="B5027" t="s">
        <v>9101</v>
      </c>
      <c r="C5027" s="1" t="str">
        <f>HYPERLINK("http://www.genecards.org/cgi-bin/carddisp.pl?gene=CLDN17","GeneCards")</f>
        <v>GeneCards</v>
      </c>
      <c r="D5027" s="1" t="str">
        <f>HYPERLINK("http://genome-euro.ucsc.edu/cgi-bin/hgTracks?position=221328_at","UCSC")</f>
        <v>UCSC</v>
      </c>
      <c r="E5027" s="1" t="str">
        <f>HYPERLINK("http://www.ncbi.nlm.nih.gov/gene/?term=CLDN17","NCBI")</f>
        <v>NCBI</v>
      </c>
      <c r="F5027">
        <v>4.4999999999999998E-2</v>
      </c>
      <c r="G5027">
        <v>0.15</v>
      </c>
      <c r="H5027" s="1" t="str">
        <f>HYPERLINK("http://www.weizmann.ac.il/complex/compphys/software/geview/data/figures/221328_at.png","Figure")</f>
        <v>Figure</v>
      </c>
      <c r="I5027">
        <v>1.32</v>
      </c>
      <c r="J5027">
        <v>3.6999999999999998E-2</v>
      </c>
      <c r="K5027">
        <v>1.1499999999999999</v>
      </c>
      <c r="L5027">
        <v>0.28000000000000003</v>
      </c>
      <c r="M5027">
        <v>0.871</v>
      </c>
      <c r="N5027">
        <v>0.32</v>
      </c>
    </row>
    <row r="5028" spans="1:14" x14ac:dyDescent="0.25">
      <c r="A5028" t="s">
        <v>9102</v>
      </c>
      <c r="B5028" t="s">
        <v>8761</v>
      </c>
      <c r="C5028" s="1" t="str">
        <f>HYPERLINK("http://www.genecards.org/cgi-bin/carddisp.pl?gene=CFLAR","GeneCards")</f>
        <v>GeneCards</v>
      </c>
      <c r="D5028" s="1" t="str">
        <f>HYPERLINK("http://genome-euro.ucsc.edu/cgi-bin/hgTracks?position=209508_x_at","UCSC")</f>
        <v>UCSC</v>
      </c>
      <c r="E5028" s="1" t="str">
        <f>HYPERLINK("http://www.ncbi.nlm.nih.gov/gene/?term=CFLAR","NCBI")</f>
        <v>NCBI</v>
      </c>
      <c r="F5028">
        <v>4.4999999999999998E-2</v>
      </c>
      <c r="G5028">
        <v>0.15</v>
      </c>
      <c r="H5028" s="1" t="str">
        <f>HYPERLINK("http://www.weizmann.ac.il/complex/compphys/software/geview/data/figures/209508_x_at.png","Figure")</f>
        <v>Figure</v>
      </c>
      <c r="I5028">
        <v>0.94599999999999995</v>
      </c>
      <c r="J5028">
        <v>0.85</v>
      </c>
      <c r="K5028">
        <v>0.79200000000000004</v>
      </c>
      <c r="L5028">
        <v>4.9000000000000002E-2</v>
      </c>
      <c r="M5028">
        <v>0.83699999999999997</v>
      </c>
      <c r="N5028">
        <v>0.18</v>
      </c>
    </row>
    <row r="5029" spans="1:14" x14ac:dyDescent="0.25">
      <c r="A5029" t="s">
        <v>9103</v>
      </c>
      <c r="B5029" t="s">
        <v>2610</v>
      </c>
      <c r="C5029" s="1" t="str">
        <f>HYPERLINK("http://www.genecards.org/cgi-bin/carddisp.pl?gene=BAZ2A","GeneCards")</f>
        <v>GeneCards</v>
      </c>
      <c r="D5029" s="1" t="str">
        <f>HYPERLINK("http://genome-euro.ucsc.edu/cgi-bin/hgTracks?position=201353_s_at","UCSC")</f>
        <v>UCSC</v>
      </c>
      <c r="E5029" s="1" t="str">
        <f>HYPERLINK("http://www.ncbi.nlm.nih.gov/gene/?term=BAZ2A","NCBI")</f>
        <v>NCBI</v>
      </c>
      <c r="F5029">
        <v>4.5999999999999999E-2</v>
      </c>
      <c r="G5029">
        <v>0.15</v>
      </c>
      <c r="H5029" s="1" t="str">
        <f>HYPERLINK("http://www.weizmann.ac.il/complex/compphys/software/geview/data/figures/201353_s_at.png","Figure")</f>
        <v>Figure</v>
      </c>
      <c r="I5029">
        <v>1.17</v>
      </c>
      <c r="J5029">
        <v>0.61</v>
      </c>
      <c r="K5029">
        <v>0.77600000000000002</v>
      </c>
      <c r="L5029">
        <v>0.22</v>
      </c>
      <c r="M5029">
        <v>0.66200000000000003</v>
      </c>
      <c r="N5029">
        <v>4.4999999999999998E-2</v>
      </c>
    </row>
    <row r="5030" spans="1:14" x14ac:dyDescent="0.25">
      <c r="A5030" t="s">
        <v>9104</v>
      </c>
      <c r="B5030" t="s">
        <v>9105</v>
      </c>
      <c r="C5030" s="1" t="str">
        <f>HYPERLINK("http://www.genecards.org/cgi-bin/carddisp.pl?gene=GBX1","GeneCards")</f>
        <v>GeneCards</v>
      </c>
      <c r="D5030" s="1" t="str">
        <f>HYPERLINK("http://genome-euro.ucsc.edu/cgi-bin/hgTracks?position=217011_at","UCSC")</f>
        <v>UCSC</v>
      </c>
      <c r="E5030" s="1" t="str">
        <f>HYPERLINK("http://www.ncbi.nlm.nih.gov/gene/?term=GBX1","NCBI")</f>
        <v>NCBI</v>
      </c>
      <c r="F5030">
        <v>4.5999999999999999E-2</v>
      </c>
      <c r="G5030">
        <v>0.15</v>
      </c>
      <c r="H5030" s="1" t="str">
        <f>HYPERLINK("http://www.weizmann.ac.il/complex/compphys/software/geview/data/figures/217011_at.png","Figure")</f>
        <v>Figure</v>
      </c>
      <c r="I5030">
        <v>1.31</v>
      </c>
      <c r="J5030">
        <v>4.1000000000000002E-2</v>
      </c>
      <c r="K5030">
        <v>1.08</v>
      </c>
      <c r="L5030">
        <v>0.64</v>
      </c>
      <c r="M5030">
        <v>0.82399999999999995</v>
      </c>
      <c r="N5030">
        <v>0.13</v>
      </c>
    </row>
    <row r="5031" spans="1:14" x14ac:dyDescent="0.25">
      <c r="A5031" t="s">
        <v>9106</v>
      </c>
      <c r="B5031" t="s">
        <v>9107</v>
      </c>
      <c r="C5031" s="1" t="str">
        <f>HYPERLINK("http://www.genecards.org/cgi-bin/carddisp.pl?gene=BCAN","GeneCards")</f>
        <v>GeneCards</v>
      </c>
      <c r="D5031" s="1" t="str">
        <f>HYPERLINK("http://genome-euro.ucsc.edu/cgi-bin/hgTracks?position=219107_at","UCSC")</f>
        <v>UCSC</v>
      </c>
      <c r="E5031" s="1" t="str">
        <f>HYPERLINK("http://www.ncbi.nlm.nih.gov/gene/?term=BCAN","NCBI")</f>
        <v>NCBI</v>
      </c>
      <c r="F5031">
        <v>4.5999999999999999E-2</v>
      </c>
      <c r="G5031">
        <v>0.15</v>
      </c>
      <c r="H5031" s="1" t="str">
        <f>HYPERLINK("http://www.weizmann.ac.il/complex/compphys/software/geview/data/figures/219107_at.png","Figure")</f>
        <v>Figure</v>
      </c>
      <c r="I5031">
        <v>1.28</v>
      </c>
      <c r="J5031">
        <v>3.9E-2</v>
      </c>
      <c r="K5031">
        <v>1.1499999999999999</v>
      </c>
      <c r="L5031">
        <v>0.22</v>
      </c>
      <c r="M5031">
        <v>0.89600000000000002</v>
      </c>
      <c r="N5031">
        <v>0.4</v>
      </c>
    </row>
    <row r="5032" spans="1:14" x14ac:dyDescent="0.25">
      <c r="A5032" t="s">
        <v>9108</v>
      </c>
      <c r="B5032" t="s">
        <v>2170</v>
      </c>
      <c r="C5032" s="1" t="str">
        <f>HYPERLINK("http://www.genecards.org/cgi-bin/carddisp.pl?gene=ELMO2","GeneCards")</f>
        <v>GeneCards</v>
      </c>
      <c r="D5032" s="1" t="str">
        <f>HYPERLINK("http://genome-euro.ucsc.edu/cgi-bin/hgTracks?position=55692_at","UCSC")</f>
        <v>UCSC</v>
      </c>
      <c r="E5032" s="1" t="str">
        <f>HYPERLINK("http://www.ncbi.nlm.nih.gov/gene/?term=ELMO2","NCBI")</f>
        <v>NCBI</v>
      </c>
      <c r="F5032">
        <v>4.5999999999999999E-2</v>
      </c>
      <c r="G5032">
        <v>0.15</v>
      </c>
      <c r="H5032" s="1" t="str">
        <f>HYPERLINK("http://www.weizmann.ac.il/complex/compphys/software/geview/data/figures/55692_at.png","Figure")</f>
        <v>Figure</v>
      </c>
      <c r="I5032">
        <v>0.68300000000000005</v>
      </c>
      <c r="J5032">
        <v>0.27</v>
      </c>
      <c r="K5032">
        <v>0.56599999999999995</v>
      </c>
      <c r="L5032">
        <v>3.6999999999999998E-2</v>
      </c>
      <c r="M5032">
        <v>0.82799999999999996</v>
      </c>
      <c r="N5032">
        <v>0.67</v>
      </c>
    </row>
    <row r="5033" spans="1:14" x14ac:dyDescent="0.25">
      <c r="A5033" t="s">
        <v>9109</v>
      </c>
      <c r="B5033" t="s">
        <v>9110</v>
      </c>
      <c r="C5033" s="1" t="str">
        <f>HYPERLINK("http://www.genecards.org/cgi-bin/carddisp.pl?gene=WDR3","GeneCards")</f>
        <v>GeneCards</v>
      </c>
      <c r="D5033" s="1" t="str">
        <f>HYPERLINK("http://genome-euro.ucsc.edu/cgi-bin/hgTracks?position=218882_s_at","UCSC")</f>
        <v>UCSC</v>
      </c>
      <c r="E5033" s="1" t="str">
        <f>HYPERLINK("http://www.ncbi.nlm.nih.gov/gene/?term=WDR3","NCBI")</f>
        <v>NCBI</v>
      </c>
      <c r="F5033">
        <v>4.5999999999999999E-2</v>
      </c>
      <c r="G5033">
        <v>0.15</v>
      </c>
      <c r="H5033" s="1" t="str">
        <f>HYPERLINK("http://www.weizmann.ac.il/complex/compphys/software/geview/data/figures/218882_s_at.png","Figure")</f>
        <v>Figure</v>
      </c>
      <c r="I5033">
        <v>1.1200000000000001</v>
      </c>
      <c r="J5033">
        <v>0.69</v>
      </c>
      <c r="K5033">
        <v>1.39</v>
      </c>
      <c r="L5033">
        <v>4.2000000000000003E-2</v>
      </c>
      <c r="M5033">
        <v>1.24</v>
      </c>
      <c r="N5033">
        <v>0.26</v>
      </c>
    </row>
    <row r="5034" spans="1:14" x14ac:dyDescent="0.25">
      <c r="A5034" t="s">
        <v>9111</v>
      </c>
      <c r="B5034" t="s">
        <v>9112</v>
      </c>
      <c r="C5034" s="1" t="str">
        <f>HYPERLINK("http://www.genecards.org/cgi-bin/carddisp.pl?gene=SLC25A11","GeneCards")</f>
        <v>GeneCards</v>
      </c>
      <c r="D5034" s="1" t="str">
        <f>HYPERLINK("http://genome-euro.ucsc.edu/cgi-bin/hgTracks?position=209003_at","UCSC")</f>
        <v>UCSC</v>
      </c>
      <c r="E5034" s="1" t="str">
        <f>HYPERLINK("http://www.ncbi.nlm.nih.gov/gene/?term=SLC25A11","NCBI")</f>
        <v>NCBI</v>
      </c>
      <c r="F5034">
        <v>4.5999999999999999E-2</v>
      </c>
      <c r="G5034">
        <v>0.15</v>
      </c>
      <c r="H5034" s="1" t="str">
        <f>HYPERLINK("http://www.weizmann.ac.il/complex/compphys/software/geview/data/figures/209003_at.png","Figure")</f>
        <v>Figure</v>
      </c>
      <c r="I5034">
        <v>0.63800000000000001</v>
      </c>
      <c r="J5034">
        <v>0.22</v>
      </c>
      <c r="K5034">
        <v>1.24</v>
      </c>
      <c r="L5034">
        <v>0.6</v>
      </c>
      <c r="M5034">
        <v>1.95</v>
      </c>
      <c r="N5034">
        <v>3.6999999999999998E-2</v>
      </c>
    </row>
    <row r="5035" spans="1:14" x14ac:dyDescent="0.25">
      <c r="A5035" t="s">
        <v>9113</v>
      </c>
      <c r="B5035" t="s">
        <v>9114</v>
      </c>
      <c r="C5035" s="1" t="str">
        <f>HYPERLINK("http://www.genecards.org/cgi-bin/carddisp.pl?gene=C17orf86","GeneCards")</f>
        <v>GeneCards</v>
      </c>
      <c r="D5035" s="1" t="str">
        <f>HYPERLINK("http://genome-euro.ucsc.edu/cgi-bin/hgTracks?position=221621_at","UCSC")</f>
        <v>UCSC</v>
      </c>
      <c r="E5035" s="1" t="str">
        <f>HYPERLINK("http://www.ncbi.nlm.nih.gov/gene/?term=C17orf86","NCBI")</f>
        <v>NCBI</v>
      </c>
      <c r="F5035">
        <v>4.5999999999999999E-2</v>
      </c>
      <c r="G5035">
        <v>0.15</v>
      </c>
      <c r="H5035" s="1" t="str">
        <f>HYPERLINK("http://www.weizmann.ac.il/complex/compphys/software/geview/data/figures/221621_at.png","Figure")</f>
        <v>Figure</v>
      </c>
      <c r="I5035">
        <v>0.72599999999999998</v>
      </c>
      <c r="J5035">
        <v>7.3999999999999996E-2</v>
      </c>
      <c r="K5035">
        <v>1</v>
      </c>
      <c r="L5035">
        <v>1</v>
      </c>
      <c r="M5035">
        <v>1.38</v>
      </c>
      <c r="N5035">
        <v>5.5E-2</v>
      </c>
    </row>
    <row r="5036" spans="1:14" x14ac:dyDescent="0.25">
      <c r="A5036" t="s">
        <v>9115</v>
      </c>
      <c r="B5036" t="s">
        <v>9116</v>
      </c>
      <c r="C5036" s="1" t="str">
        <f>HYPERLINK("http://www.genecards.org/cgi-bin/carddisp.pl?gene=PTAFR","GeneCards")</f>
        <v>GeneCards</v>
      </c>
      <c r="D5036" s="1" t="str">
        <f>HYPERLINK("http://genome-euro.ucsc.edu/cgi-bin/hgTracks?position=206278_at","UCSC")</f>
        <v>UCSC</v>
      </c>
      <c r="E5036" s="1" t="str">
        <f>HYPERLINK("http://www.ncbi.nlm.nih.gov/gene/?term=PTAFR","NCBI")</f>
        <v>NCBI</v>
      </c>
      <c r="F5036">
        <v>4.5999999999999999E-2</v>
      </c>
      <c r="G5036">
        <v>0.15</v>
      </c>
      <c r="H5036" s="1" t="str">
        <f>HYPERLINK("http://www.weizmann.ac.il/complex/compphys/software/geview/data/figures/206278_at.png","Figure")</f>
        <v>Figure</v>
      </c>
      <c r="I5036">
        <v>1.57</v>
      </c>
      <c r="J5036">
        <v>3.7999999999999999E-2</v>
      </c>
      <c r="K5036">
        <v>1.28</v>
      </c>
      <c r="L5036">
        <v>0.23</v>
      </c>
      <c r="M5036">
        <v>0.81499999999999995</v>
      </c>
      <c r="N5036">
        <v>0.39</v>
      </c>
    </row>
    <row r="5037" spans="1:14" x14ac:dyDescent="0.25">
      <c r="A5037" t="s">
        <v>9117</v>
      </c>
      <c r="B5037" t="s">
        <v>3486</v>
      </c>
      <c r="C5037" s="1" t="str">
        <f>HYPERLINK("http://www.genecards.org/cgi-bin/carddisp.pl?gene=CLCN7","GeneCards")</f>
        <v>GeneCards</v>
      </c>
      <c r="D5037" s="1" t="str">
        <f>HYPERLINK("http://genome-euro.ucsc.edu/cgi-bin/hgTracks?position=38069_at","UCSC")</f>
        <v>UCSC</v>
      </c>
      <c r="E5037" s="1" t="str">
        <f>HYPERLINK("http://www.ncbi.nlm.nih.gov/gene/?term=CLCN7","NCBI")</f>
        <v>NCBI</v>
      </c>
      <c r="F5037">
        <v>4.5999999999999999E-2</v>
      </c>
      <c r="G5037">
        <v>0.15</v>
      </c>
      <c r="H5037" s="1" t="str">
        <f>HYPERLINK("http://www.weizmann.ac.il/complex/compphys/software/geview/data/figures/38069_at.png","Figure")</f>
        <v>Figure</v>
      </c>
      <c r="I5037">
        <v>1.17</v>
      </c>
      <c r="J5037">
        <v>0.45</v>
      </c>
      <c r="K5037">
        <v>0.84399999999999997</v>
      </c>
      <c r="L5037">
        <v>0.31</v>
      </c>
      <c r="M5037">
        <v>0.72099999999999997</v>
      </c>
      <c r="N5037">
        <v>0.04</v>
      </c>
    </row>
    <row r="5038" spans="1:14" x14ac:dyDescent="0.25">
      <c r="A5038" t="s">
        <v>9118</v>
      </c>
      <c r="B5038" t="s">
        <v>9119</v>
      </c>
      <c r="C5038" s="1" t="str">
        <f>HYPERLINK("http://www.genecards.org/cgi-bin/carddisp.pl?gene=UBE2E1","GeneCards")</f>
        <v>GeneCards</v>
      </c>
      <c r="D5038" s="1" t="str">
        <f>HYPERLINK("http://genome-euro.ucsc.edu/cgi-bin/hgTracks?position=212519_at","UCSC")</f>
        <v>UCSC</v>
      </c>
      <c r="E5038" s="1" t="str">
        <f>HYPERLINK("http://www.ncbi.nlm.nih.gov/gene/?term=UBE2E1","NCBI")</f>
        <v>NCBI</v>
      </c>
      <c r="F5038">
        <v>4.5999999999999999E-2</v>
      </c>
      <c r="G5038">
        <v>0.15</v>
      </c>
      <c r="H5038" s="1" t="str">
        <f>HYPERLINK("http://www.weizmann.ac.il/complex/compphys/software/geview/data/figures/212519_at.png","Figure")</f>
        <v>Figure</v>
      </c>
      <c r="I5038">
        <v>0.46899999999999997</v>
      </c>
      <c r="J5038">
        <v>4.5999999999999999E-2</v>
      </c>
      <c r="K5038">
        <v>0.85399999999999998</v>
      </c>
      <c r="L5038">
        <v>0.8</v>
      </c>
      <c r="M5038">
        <v>1.82</v>
      </c>
      <c r="N5038">
        <v>9.6000000000000002E-2</v>
      </c>
    </row>
    <row r="5039" spans="1:14" x14ac:dyDescent="0.25">
      <c r="A5039" t="s">
        <v>9120</v>
      </c>
      <c r="B5039" t="s">
        <v>9121</v>
      </c>
      <c r="C5039" s="1" t="str">
        <f>HYPERLINK("http://www.genecards.org/cgi-bin/carddisp.pl?gene=ACYP1","GeneCards")</f>
        <v>GeneCards</v>
      </c>
      <c r="D5039" s="1" t="str">
        <f>HYPERLINK("http://genome-euro.ucsc.edu/cgi-bin/hgTracks?position=205260_s_at","UCSC")</f>
        <v>UCSC</v>
      </c>
      <c r="E5039" s="1" t="str">
        <f>HYPERLINK("http://www.ncbi.nlm.nih.gov/gene/?term=ACYP1","NCBI")</f>
        <v>NCBI</v>
      </c>
      <c r="F5039">
        <v>4.5999999999999999E-2</v>
      </c>
      <c r="G5039">
        <v>0.15</v>
      </c>
      <c r="H5039" s="1" t="str">
        <f>HYPERLINK("http://www.weizmann.ac.il/complex/compphys/software/geview/data/figures/205260_s_at.png","Figure")</f>
        <v>Figure</v>
      </c>
      <c r="I5039">
        <v>0.754</v>
      </c>
      <c r="J5039">
        <v>0.72</v>
      </c>
      <c r="K5039">
        <v>1.84</v>
      </c>
      <c r="L5039">
        <v>0.17</v>
      </c>
      <c r="M5039">
        <v>2.44</v>
      </c>
      <c r="N5039">
        <v>5.0999999999999997E-2</v>
      </c>
    </row>
    <row r="5040" spans="1:14" x14ac:dyDescent="0.25">
      <c r="A5040" t="s">
        <v>9122</v>
      </c>
      <c r="B5040" t="s">
        <v>9123</v>
      </c>
      <c r="C5040" s="1" t="str">
        <f>HYPERLINK("http://www.genecards.org/cgi-bin/carddisp.pl?gene=MID2","GeneCards")</f>
        <v>GeneCards</v>
      </c>
      <c r="D5040" s="1" t="str">
        <f>HYPERLINK("http://genome-euro.ucsc.edu/cgi-bin/hgTracks?position=208384_s_at","UCSC")</f>
        <v>UCSC</v>
      </c>
      <c r="E5040" s="1" t="str">
        <f>HYPERLINK("http://www.ncbi.nlm.nih.gov/gene/?term=MID2","NCBI")</f>
        <v>NCBI</v>
      </c>
      <c r="F5040">
        <v>4.5999999999999999E-2</v>
      </c>
      <c r="G5040">
        <v>0.15</v>
      </c>
      <c r="H5040" s="1" t="str">
        <f>HYPERLINK("http://www.weizmann.ac.il/complex/compphys/software/geview/data/figures/208384_s_at.png","Figure")</f>
        <v>Figure</v>
      </c>
      <c r="I5040">
        <v>1.1399999999999999</v>
      </c>
      <c r="J5040">
        <v>0.17</v>
      </c>
      <c r="K5040">
        <v>0.95399999999999996</v>
      </c>
      <c r="L5040">
        <v>0.72</v>
      </c>
      <c r="M5040">
        <v>0.83499999999999996</v>
      </c>
      <c r="N5040">
        <v>3.7999999999999999E-2</v>
      </c>
    </row>
    <row r="5041" spans="1:14" x14ac:dyDescent="0.25">
      <c r="A5041" t="s">
        <v>9124</v>
      </c>
      <c r="B5041" t="s">
        <v>9125</v>
      </c>
      <c r="C5041" s="1" t="str">
        <f>HYPERLINK("http://www.genecards.org/cgi-bin/carddisp.pl?gene=MSTO1 /// MSTO2P","GeneCards")</f>
        <v>GeneCards</v>
      </c>
      <c r="D5041" s="1" t="str">
        <f>HYPERLINK("http://genome-euro.ucsc.edu/cgi-bin/hgTracks?position=218296_x_at","UCSC")</f>
        <v>UCSC</v>
      </c>
      <c r="E5041" s="1" t="str">
        <f>HYPERLINK("http://www.ncbi.nlm.nih.gov/gene/?term=MSTO1 /// MSTO2P","NCBI")</f>
        <v>NCBI</v>
      </c>
      <c r="F5041">
        <v>4.5999999999999999E-2</v>
      </c>
      <c r="G5041">
        <v>0.15</v>
      </c>
      <c r="H5041" s="1" t="str">
        <f>HYPERLINK("http://www.weizmann.ac.il/complex/compphys/software/geview/data/figures/218296_x_at.png","Figure")</f>
        <v>Figure</v>
      </c>
      <c r="I5041">
        <v>1.26</v>
      </c>
      <c r="J5041">
        <v>4.7E-2</v>
      </c>
      <c r="K5041">
        <v>1.05</v>
      </c>
      <c r="L5041">
        <v>0.8</v>
      </c>
      <c r="M5041">
        <v>0.83099999999999996</v>
      </c>
      <c r="N5041">
        <v>9.6000000000000002E-2</v>
      </c>
    </row>
    <row r="5042" spans="1:14" x14ac:dyDescent="0.25">
      <c r="A5042" t="s">
        <v>9126</v>
      </c>
      <c r="B5042" t="s">
        <v>5219</v>
      </c>
      <c r="C5042" s="1" t="str">
        <f>HYPERLINK("http://www.genecards.org/cgi-bin/carddisp.pl?gene=NCOR2","GeneCards")</f>
        <v>GeneCards</v>
      </c>
      <c r="D5042" s="1" t="str">
        <f>HYPERLINK("http://genome-euro.ucsc.edu/cgi-bin/hgTracks?position=208889_s_at","UCSC")</f>
        <v>UCSC</v>
      </c>
      <c r="E5042" s="1" t="str">
        <f>HYPERLINK("http://www.ncbi.nlm.nih.gov/gene/?term=NCOR2","NCBI")</f>
        <v>NCBI</v>
      </c>
      <c r="F5042">
        <v>4.5999999999999999E-2</v>
      </c>
      <c r="G5042">
        <v>0.15</v>
      </c>
      <c r="H5042" s="1" t="str">
        <f>HYPERLINK("http://www.weizmann.ac.il/complex/compphys/software/geview/data/figures/208889_s_at.png","Figure")</f>
        <v>Figure</v>
      </c>
      <c r="I5042">
        <v>1.54</v>
      </c>
      <c r="J5042">
        <v>4.1000000000000002E-2</v>
      </c>
      <c r="K5042">
        <v>1.3</v>
      </c>
      <c r="L5042">
        <v>0.18</v>
      </c>
      <c r="M5042">
        <v>0.84199999999999997</v>
      </c>
      <c r="N5042">
        <v>0.49</v>
      </c>
    </row>
    <row r="5043" spans="1:14" x14ac:dyDescent="0.25">
      <c r="A5043" t="s">
        <v>9127</v>
      </c>
      <c r="B5043" t="s">
        <v>9128</v>
      </c>
      <c r="C5043" s="1" t="str">
        <f>HYPERLINK("http://www.genecards.org/cgi-bin/carddisp.pl?gene=FGB","GeneCards")</f>
        <v>GeneCards</v>
      </c>
      <c r="D5043" s="1" t="str">
        <f>HYPERLINK("http://genome-euro.ucsc.edu/cgi-bin/hgTracks?position=204988_at","UCSC")</f>
        <v>UCSC</v>
      </c>
      <c r="E5043" s="1" t="str">
        <f>HYPERLINK("http://www.ncbi.nlm.nih.gov/gene/?term=FGB","NCBI")</f>
        <v>NCBI</v>
      </c>
      <c r="F5043">
        <v>4.5999999999999999E-2</v>
      </c>
      <c r="G5043">
        <v>0.15</v>
      </c>
      <c r="H5043" s="1" t="str">
        <f>HYPERLINK("http://www.weizmann.ac.il/complex/compphys/software/geview/data/figures/204988_at.png","Figure")</f>
        <v>Figure</v>
      </c>
      <c r="I5043">
        <v>1.33</v>
      </c>
      <c r="J5043">
        <v>4.1000000000000002E-2</v>
      </c>
      <c r="K5043">
        <v>1.19</v>
      </c>
      <c r="L5043">
        <v>0.18</v>
      </c>
      <c r="M5043">
        <v>0.89</v>
      </c>
      <c r="N5043">
        <v>0.48</v>
      </c>
    </row>
    <row r="5044" spans="1:14" x14ac:dyDescent="0.25">
      <c r="A5044" t="s">
        <v>9129</v>
      </c>
      <c r="B5044" t="s">
        <v>9130</v>
      </c>
      <c r="C5044" s="1" t="str">
        <f>HYPERLINK("http://www.genecards.org/cgi-bin/carddisp.pl?gene=TNXA /// TNXB","GeneCards")</f>
        <v>GeneCards</v>
      </c>
      <c r="D5044" s="1" t="str">
        <f>HYPERLINK("http://genome-euro.ucsc.edu/cgi-bin/hgTracks?position=206093_x_at","UCSC")</f>
        <v>UCSC</v>
      </c>
      <c r="E5044" s="1" t="str">
        <f>HYPERLINK("http://www.ncbi.nlm.nih.gov/gene/?term=TNXA /// TNXB","NCBI")</f>
        <v>NCBI</v>
      </c>
      <c r="F5044">
        <v>4.5999999999999999E-2</v>
      </c>
      <c r="G5044">
        <v>0.15</v>
      </c>
      <c r="H5044" s="1" t="str">
        <f>HYPERLINK("http://www.weizmann.ac.il/complex/compphys/software/geview/data/figures/206093_x_at.png","Figure")</f>
        <v>Figure</v>
      </c>
      <c r="I5044">
        <v>1.44</v>
      </c>
      <c r="J5044">
        <v>3.6999999999999998E-2</v>
      </c>
      <c r="K5044">
        <v>1.17</v>
      </c>
      <c r="L5044">
        <v>0.38</v>
      </c>
      <c r="M5044">
        <v>0.81100000000000005</v>
      </c>
      <c r="N5044">
        <v>0.24</v>
      </c>
    </row>
    <row r="5045" spans="1:14" x14ac:dyDescent="0.25">
      <c r="A5045" t="s">
        <v>9131</v>
      </c>
      <c r="B5045" t="s">
        <v>1393</v>
      </c>
      <c r="C5045" s="1" t="str">
        <f>HYPERLINK("http://www.genecards.org/cgi-bin/carddisp.pl?gene=TRAPPC10","GeneCards")</f>
        <v>GeneCards</v>
      </c>
      <c r="D5045" s="1" t="str">
        <f>HYPERLINK("http://genome-euro.ucsc.edu/cgi-bin/hgTracks?position=208184_s_at","UCSC")</f>
        <v>UCSC</v>
      </c>
      <c r="E5045" s="1" t="str">
        <f>HYPERLINK("http://www.ncbi.nlm.nih.gov/gene/?term=TRAPPC10","NCBI")</f>
        <v>NCBI</v>
      </c>
      <c r="F5045">
        <v>4.5999999999999999E-2</v>
      </c>
      <c r="G5045">
        <v>0.15</v>
      </c>
      <c r="H5045" s="1" t="str">
        <f>HYPERLINK("http://www.weizmann.ac.il/complex/compphys/software/geview/data/figures/208184_s_at.png","Figure")</f>
        <v>Figure</v>
      </c>
      <c r="I5045">
        <v>0.74099999999999999</v>
      </c>
      <c r="J5045">
        <v>4.2000000000000003E-2</v>
      </c>
      <c r="K5045">
        <v>0.92200000000000004</v>
      </c>
      <c r="L5045">
        <v>0.68</v>
      </c>
      <c r="M5045">
        <v>1.24</v>
      </c>
      <c r="N5045">
        <v>0.12</v>
      </c>
    </row>
    <row r="5046" spans="1:14" x14ac:dyDescent="0.25">
      <c r="A5046" t="s">
        <v>9132</v>
      </c>
      <c r="B5046" t="s">
        <v>9133</v>
      </c>
      <c r="C5046" s="1" t="str">
        <f>HYPERLINK("http://www.genecards.org/cgi-bin/carddisp.pl?gene=FAM171A1","GeneCards")</f>
        <v>GeneCards</v>
      </c>
      <c r="D5046" s="1" t="str">
        <f>HYPERLINK("http://genome-euro.ucsc.edu/cgi-bin/hgTracks?position=212771_at","UCSC")</f>
        <v>UCSC</v>
      </c>
      <c r="E5046" s="1" t="str">
        <f>HYPERLINK("http://www.ncbi.nlm.nih.gov/gene/?term=FAM171A1","NCBI")</f>
        <v>NCBI</v>
      </c>
      <c r="F5046">
        <v>4.5999999999999999E-2</v>
      </c>
      <c r="G5046">
        <v>0.15</v>
      </c>
      <c r="H5046" s="1" t="str">
        <f>HYPERLINK("http://www.weizmann.ac.il/complex/compphys/software/geview/data/figures/212771_at.png","Figure")</f>
        <v>Figure</v>
      </c>
      <c r="I5046">
        <v>2.06</v>
      </c>
      <c r="J5046">
        <v>0.18</v>
      </c>
      <c r="K5046">
        <v>0.75800000000000001</v>
      </c>
      <c r="L5046">
        <v>0.69</v>
      </c>
      <c r="M5046">
        <v>0.36799999999999999</v>
      </c>
      <c r="N5046">
        <v>3.7999999999999999E-2</v>
      </c>
    </row>
    <row r="5047" spans="1:14" x14ac:dyDescent="0.25">
      <c r="A5047" t="s">
        <v>9134</v>
      </c>
      <c r="B5047" t="s">
        <v>9135</v>
      </c>
      <c r="C5047" s="1" t="str">
        <f>HYPERLINK("http://www.genecards.org/cgi-bin/carddisp.pl?gene=FPR3","GeneCards")</f>
        <v>GeneCards</v>
      </c>
      <c r="D5047" s="1" t="str">
        <f>HYPERLINK("http://genome-euro.ucsc.edu/cgi-bin/hgTracks?position=214560_at","UCSC")</f>
        <v>UCSC</v>
      </c>
      <c r="E5047" s="1" t="str">
        <f>HYPERLINK("http://www.ncbi.nlm.nih.gov/gene/?term=FPR3","NCBI")</f>
        <v>NCBI</v>
      </c>
      <c r="F5047">
        <v>4.5999999999999999E-2</v>
      </c>
      <c r="G5047">
        <v>0.15</v>
      </c>
      <c r="H5047" s="1" t="str">
        <f>HYPERLINK("http://www.weizmann.ac.il/complex/compphys/software/geview/data/figures/214560_at.png","Figure")</f>
        <v>Figure</v>
      </c>
      <c r="I5047">
        <v>1.2</v>
      </c>
      <c r="J5047">
        <v>4.5999999999999999E-2</v>
      </c>
      <c r="K5047">
        <v>1.1299999999999999</v>
      </c>
      <c r="L5047">
        <v>0.13</v>
      </c>
      <c r="M5047">
        <v>0.94199999999999995</v>
      </c>
      <c r="N5047">
        <v>0.63</v>
      </c>
    </row>
    <row r="5048" spans="1:14" x14ac:dyDescent="0.25">
      <c r="A5048" t="s">
        <v>9136</v>
      </c>
      <c r="B5048" t="s">
        <v>9137</v>
      </c>
      <c r="C5048" s="1" t="str">
        <f>HYPERLINK("http://www.genecards.org/cgi-bin/carddisp.pl?gene=ETNK2","GeneCards")</f>
        <v>GeneCards</v>
      </c>
      <c r="D5048" s="1" t="str">
        <f>HYPERLINK("http://genome-euro.ucsc.edu/cgi-bin/hgTracks?position=219268_at","UCSC")</f>
        <v>UCSC</v>
      </c>
      <c r="E5048" s="1" t="str">
        <f>HYPERLINK("http://www.ncbi.nlm.nih.gov/gene/?term=ETNK2","NCBI")</f>
        <v>NCBI</v>
      </c>
      <c r="F5048">
        <v>4.5999999999999999E-2</v>
      </c>
      <c r="G5048">
        <v>0.15</v>
      </c>
      <c r="H5048" s="1" t="str">
        <f>HYPERLINK("http://www.weizmann.ac.il/complex/compphys/software/geview/data/figures/219268_at.png","Figure")</f>
        <v>Figure</v>
      </c>
      <c r="I5048">
        <v>1.34</v>
      </c>
      <c r="J5048">
        <v>3.9E-2</v>
      </c>
      <c r="K5048">
        <v>1.18</v>
      </c>
      <c r="L5048">
        <v>0.23</v>
      </c>
      <c r="M5048">
        <v>0.875</v>
      </c>
      <c r="N5048">
        <v>0.4</v>
      </c>
    </row>
    <row r="5049" spans="1:14" x14ac:dyDescent="0.25">
      <c r="A5049" t="s">
        <v>9138</v>
      </c>
      <c r="B5049" t="s">
        <v>9139</v>
      </c>
      <c r="C5049" s="1" t="str">
        <f>HYPERLINK("http://www.genecards.org/cgi-bin/carddisp.pl?gene=C19orf24","GeneCards")</f>
        <v>GeneCards</v>
      </c>
      <c r="D5049" s="1" t="str">
        <f>HYPERLINK("http://genome-euro.ucsc.edu/cgi-bin/hgTracks?position=221587_s_at","UCSC")</f>
        <v>UCSC</v>
      </c>
      <c r="E5049" s="1" t="str">
        <f>HYPERLINK("http://www.ncbi.nlm.nih.gov/gene/?term=C19orf24","NCBI")</f>
        <v>NCBI</v>
      </c>
      <c r="F5049">
        <v>4.5999999999999999E-2</v>
      </c>
      <c r="G5049">
        <v>0.15</v>
      </c>
      <c r="H5049" s="1" t="str">
        <f>HYPERLINK("http://www.weizmann.ac.il/complex/compphys/software/geview/data/figures/221587_s_at.png","Figure")</f>
        <v>Figure</v>
      </c>
      <c r="I5049">
        <v>1.17</v>
      </c>
      <c r="J5049">
        <v>5.0999999999999997E-2</v>
      </c>
      <c r="K5049">
        <v>1.03</v>
      </c>
      <c r="L5049">
        <v>0.88</v>
      </c>
      <c r="M5049">
        <v>0.878</v>
      </c>
      <c r="N5049">
        <v>8.3000000000000004E-2</v>
      </c>
    </row>
    <row r="5050" spans="1:14" x14ac:dyDescent="0.25">
      <c r="A5050" t="s">
        <v>9140</v>
      </c>
      <c r="B5050" t="s">
        <v>9141</v>
      </c>
      <c r="C5050" s="1" t="str">
        <f>HYPERLINK("http://www.genecards.org/cgi-bin/carddisp.pl?gene=NDUFS3","GeneCards")</f>
        <v>GeneCards</v>
      </c>
      <c r="D5050" s="1" t="str">
        <f>HYPERLINK("http://genome-euro.ucsc.edu/cgi-bin/hgTracks?position=201740_at","UCSC")</f>
        <v>UCSC</v>
      </c>
      <c r="E5050" s="1" t="str">
        <f>HYPERLINK("http://www.ncbi.nlm.nih.gov/gene/?term=NDUFS3","NCBI")</f>
        <v>NCBI</v>
      </c>
      <c r="F5050">
        <v>4.5999999999999999E-2</v>
      </c>
      <c r="G5050">
        <v>0.15</v>
      </c>
      <c r="H5050" s="1" t="str">
        <f>HYPERLINK("http://www.weizmann.ac.il/complex/compphys/software/geview/data/figures/201740_at.png","Figure")</f>
        <v>Figure</v>
      </c>
      <c r="I5050">
        <v>1.29</v>
      </c>
      <c r="J5050">
        <v>5.6000000000000001E-2</v>
      </c>
      <c r="K5050">
        <v>1.03</v>
      </c>
      <c r="L5050">
        <v>0.94</v>
      </c>
      <c r="M5050">
        <v>0.79900000000000004</v>
      </c>
      <c r="N5050">
        <v>7.2999999999999995E-2</v>
      </c>
    </row>
    <row r="5051" spans="1:14" x14ac:dyDescent="0.25">
      <c r="A5051" t="s">
        <v>9142</v>
      </c>
      <c r="B5051" t="s">
        <v>8056</v>
      </c>
      <c r="C5051" s="1" t="str">
        <f>HYPERLINK("http://www.genecards.org/cgi-bin/carddisp.pl?gene=OAS2","GeneCards")</f>
        <v>GeneCards</v>
      </c>
      <c r="D5051" s="1" t="str">
        <f>HYPERLINK("http://genome-euro.ucsc.edu/cgi-bin/hgTracks?position=204972_at","UCSC")</f>
        <v>UCSC</v>
      </c>
      <c r="E5051" s="1" t="str">
        <f>HYPERLINK("http://www.ncbi.nlm.nih.gov/gene/?term=OAS2","NCBI")</f>
        <v>NCBI</v>
      </c>
      <c r="F5051">
        <v>4.5999999999999999E-2</v>
      </c>
      <c r="G5051">
        <v>0.15</v>
      </c>
      <c r="H5051" s="1" t="str">
        <f>HYPERLINK("http://www.weizmann.ac.il/complex/compphys/software/geview/data/figures/204972_at.png","Figure")</f>
        <v>Figure</v>
      </c>
      <c r="I5051">
        <v>0.84299999999999997</v>
      </c>
      <c r="J5051">
        <v>0.43</v>
      </c>
      <c r="K5051">
        <v>1.19</v>
      </c>
      <c r="L5051">
        <v>0.33</v>
      </c>
      <c r="M5051">
        <v>1.41</v>
      </c>
      <c r="N5051">
        <v>3.9E-2</v>
      </c>
    </row>
    <row r="5052" spans="1:14" x14ac:dyDescent="0.25">
      <c r="A5052" t="s">
        <v>9143</v>
      </c>
      <c r="B5052" t="s">
        <v>9144</v>
      </c>
      <c r="C5052" s="1" t="str">
        <f>HYPERLINK("http://www.genecards.org/cgi-bin/carddisp.pl?gene=CENPO","GeneCards")</f>
        <v>GeneCards</v>
      </c>
      <c r="D5052" s="1" t="str">
        <f>HYPERLINK("http://genome-euro.ucsc.edu/cgi-bin/hgTracks?position=219472_at","UCSC")</f>
        <v>UCSC</v>
      </c>
      <c r="E5052" s="1" t="str">
        <f>HYPERLINK("http://www.ncbi.nlm.nih.gov/gene/?term=CENPO","NCBI")</f>
        <v>NCBI</v>
      </c>
      <c r="F5052">
        <v>4.5999999999999999E-2</v>
      </c>
      <c r="G5052">
        <v>0.15</v>
      </c>
      <c r="H5052" s="1" t="str">
        <f>HYPERLINK("http://www.weizmann.ac.il/complex/compphys/software/geview/data/figures/219472_at.png","Figure")</f>
        <v>Figure</v>
      </c>
      <c r="I5052">
        <v>1.3</v>
      </c>
      <c r="J5052">
        <v>5.2999999999999999E-2</v>
      </c>
      <c r="K5052">
        <v>1.21</v>
      </c>
      <c r="L5052">
        <v>0.11</v>
      </c>
      <c r="M5052">
        <v>0.93500000000000005</v>
      </c>
      <c r="N5052">
        <v>0.75</v>
      </c>
    </row>
    <row r="5053" spans="1:14" x14ac:dyDescent="0.25">
      <c r="A5053" t="s">
        <v>9145</v>
      </c>
      <c r="B5053" t="s">
        <v>3325</v>
      </c>
      <c r="C5053" s="1" t="str">
        <f>HYPERLINK("http://www.genecards.org/cgi-bin/carddisp.pl?gene=TAGLN2","GeneCards")</f>
        <v>GeneCards</v>
      </c>
      <c r="D5053" s="1" t="str">
        <f>HYPERLINK("http://genome-euro.ucsc.edu/cgi-bin/hgTracks?position=200916_at","UCSC")</f>
        <v>UCSC</v>
      </c>
      <c r="E5053" s="1" t="str">
        <f>HYPERLINK("http://www.ncbi.nlm.nih.gov/gene/?term=TAGLN2","NCBI")</f>
        <v>NCBI</v>
      </c>
      <c r="F5053">
        <v>4.5999999999999999E-2</v>
      </c>
      <c r="G5053">
        <v>0.15</v>
      </c>
      <c r="H5053" s="1" t="str">
        <f>HYPERLINK("http://www.weizmann.ac.il/complex/compphys/software/geview/data/figures/200916_at.png","Figure")</f>
        <v>Figure</v>
      </c>
      <c r="I5053">
        <v>1.64</v>
      </c>
      <c r="J5053">
        <v>4.1000000000000002E-2</v>
      </c>
      <c r="K5053">
        <v>1.34</v>
      </c>
      <c r="L5053">
        <v>0.19</v>
      </c>
      <c r="M5053">
        <v>0.81799999999999995</v>
      </c>
      <c r="N5053">
        <v>0.47</v>
      </c>
    </row>
    <row r="5054" spans="1:14" x14ac:dyDescent="0.25">
      <c r="A5054" t="s">
        <v>9146</v>
      </c>
      <c r="B5054" t="s">
        <v>9147</v>
      </c>
      <c r="C5054" s="1" t="str">
        <f>HYPERLINK("http://www.genecards.org/cgi-bin/carddisp.pl?gene=PSMD13","GeneCards")</f>
        <v>GeneCards</v>
      </c>
      <c r="D5054" s="1" t="str">
        <f>HYPERLINK("http://genome-euro.ucsc.edu/cgi-bin/hgTracks?position=201233_at","UCSC")</f>
        <v>UCSC</v>
      </c>
      <c r="E5054" s="1" t="str">
        <f>HYPERLINK("http://www.ncbi.nlm.nih.gov/gene/?term=PSMD13","NCBI")</f>
        <v>NCBI</v>
      </c>
      <c r="F5054">
        <v>4.5999999999999999E-2</v>
      </c>
      <c r="G5054">
        <v>0.15</v>
      </c>
      <c r="H5054" s="1" t="str">
        <f>HYPERLINK("http://www.weizmann.ac.il/complex/compphys/software/geview/data/figures/201233_at.png","Figure")</f>
        <v>Figure</v>
      </c>
      <c r="I5054">
        <v>1.29</v>
      </c>
      <c r="J5054">
        <v>4.2999999999999997E-2</v>
      </c>
      <c r="K5054">
        <v>1.17</v>
      </c>
      <c r="L5054">
        <v>0.16</v>
      </c>
      <c r="M5054">
        <v>0.91100000000000003</v>
      </c>
      <c r="N5054">
        <v>0.54</v>
      </c>
    </row>
    <row r="5055" spans="1:14" x14ac:dyDescent="0.25">
      <c r="A5055" t="s">
        <v>9148</v>
      </c>
      <c r="B5055" t="s">
        <v>6357</v>
      </c>
      <c r="C5055" s="1" t="str">
        <f>HYPERLINK("http://www.genecards.org/cgi-bin/carddisp.pl?gene=HADHA","GeneCards")</f>
        <v>GeneCards</v>
      </c>
      <c r="D5055" s="1" t="str">
        <f>HYPERLINK("http://genome-euro.ucsc.edu/cgi-bin/hgTracks?position=208631_s_at","UCSC")</f>
        <v>UCSC</v>
      </c>
      <c r="E5055" s="1" t="str">
        <f>HYPERLINK("http://www.ncbi.nlm.nih.gov/gene/?term=HADHA","NCBI")</f>
        <v>NCBI</v>
      </c>
      <c r="F5055">
        <v>4.5999999999999999E-2</v>
      </c>
      <c r="G5055">
        <v>0.15</v>
      </c>
      <c r="H5055" s="1" t="str">
        <f>HYPERLINK("http://www.weizmann.ac.il/complex/compphys/software/geview/data/figures/208631_s_at.png","Figure")</f>
        <v>Figure</v>
      </c>
      <c r="I5055">
        <v>1.32</v>
      </c>
      <c r="J5055">
        <v>0.17</v>
      </c>
      <c r="K5055">
        <v>1.41</v>
      </c>
      <c r="L5055">
        <v>4.2000000000000003E-2</v>
      </c>
      <c r="M5055">
        <v>1.07</v>
      </c>
      <c r="N5055">
        <v>0.87</v>
      </c>
    </row>
    <row r="5056" spans="1:14" x14ac:dyDescent="0.25">
      <c r="A5056" t="s">
        <v>9149</v>
      </c>
      <c r="B5056" t="s">
        <v>4129</v>
      </c>
      <c r="C5056" s="1" t="str">
        <f>HYPERLINK("http://www.genecards.org/cgi-bin/carddisp.pl?gene=SH3GLB1","GeneCards")</f>
        <v>GeneCards</v>
      </c>
      <c r="D5056" s="1" t="str">
        <f>HYPERLINK("http://genome-euro.ucsc.edu/cgi-bin/hgTracks?position=209091_s_at","UCSC")</f>
        <v>UCSC</v>
      </c>
      <c r="E5056" s="1" t="str">
        <f>HYPERLINK("http://www.ncbi.nlm.nih.gov/gene/?term=SH3GLB1","NCBI")</f>
        <v>NCBI</v>
      </c>
      <c r="F5056">
        <v>4.5999999999999999E-2</v>
      </c>
      <c r="G5056">
        <v>0.15</v>
      </c>
      <c r="H5056" s="1" t="str">
        <f>HYPERLINK("http://www.weizmann.ac.il/complex/compphys/software/geview/data/figures/209091_s_at.png","Figure")</f>
        <v>Figure</v>
      </c>
      <c r="I5056">
        <v>1.2</v>
      </c>
      <c r="J5056">
        <v>0.52</v>
      </c>
      <c r="K5056">
        <v>0.79400000000000004</v>
      </c>
      <c r="L5056">
        <v>0.26</v>
      </c>
      <c r="M5056">
        <v>0.66400000000000003</v>
      </c>
      <c r="N5056">
        <v>4.2000000000000003E-2</v>
      </c>
    </row>
    <row r="5057" spans="1:14" x14ac:dyDescent="0.25">
      <c r="A5057" t="s">
        <v>9150</v>
      </c>
      <c r="B5057" t="s">
        <v>9151</v>
      </c>
      <c r="C5057" s="1" t="str">
        <f>HYPERLINK("http://www.genecards.org/cgi-bin/carddisp.pl?gene=NLRX1","GeneCards")</f>
        <v>GeneCards</v>
      </c>
      <c r="D5057" s="1" t="str">
        <f>HYPERLINK("http://genome-euro.ucsc.edu/cgi-bin/hgTracks?position=219680_at","UCSC")</f>
        <v>UCSC</v>
      </c>
      <c r="E5057" s="1" t="str">
        <f>HYPERLINK("http://www.ncbi.nlm.nih.gov/gene/?term=NLRX1","NCBI")</f>
        <v>NCBI</v>
      </c>
      <c r="F5057">
        <v>4.5999999999999999E-2</v>
      </c>
      <c r="G5057">
        <v>0.15</v>
      </c>
      <c r="H5057" s="1" t="str">
        <f>HYPERLINK("http://www.weizmann.ac.il/complex/compphys/software/geview/data/figures/219680_at.png","Figure")</f>
        <v>Figure</v>
      </c>
      <c r="I5057">
        <v>1.1000000000000001</v>
      </c>
      <c r="J5057">
        <v>0.28999999999999998</v>
      </c>
      <c r="K5057">
        <v>1.1499999999999999</v>
      </c>
      <c r="L5057">
        <v>3.6999999999999998E-2</v>
      </c>
      <c r="M5057">
        <v>1.05</v>
      </c>
      <c r="N5057">
        <v>0.63</v>
      </c>
    </row>
    <row r="5058" spans="1:14" x14ac:dyDescent="0.25">
      <c r="A5058" t="s">
        <v>9152</v>
      </c>
      <c r="B5058" t="s">
        <v>9153</v>
      </c>
      <c r="C5058" s="1" t="str">
        <f>HYPERLINK("http://www.genecards.org/cgi-bin/carddisp.pl?gene=NIPAL2","GeneCards")</f>
        <v>GeneCards</v>
      </c>
      <c r="D5058" s="1" t="str">
        <f>HYPERLINK("http://genome-euro.ucsc.edu/cgi-bin/hgTracks?position=220128_s_at","UCSC")</f>
        <v>UCSC</v>
      </c>
      <c r="E5058" s="1" t="str">
        <f>HYPERLINK("http://www.ncbi.nlm.nih.gov/gene/?term=NIPAL2","NCBI")</f>
        <v>NCBI</v>
      </c>
      <c r="F5058">
        <v>4.5999999999999999E-2</v>
      </c>
      <c r="G5058">
        <v>0.15</v>
      </c>
      <c r="H5058" s="1" t="str">
        <f>HYPERLINK("http://www.weizmann.ac.il/complex/compphys/software/geview/data/figures/220128_s_at.png","Figure")</f>
        <v>Figure</v>
      </c>
      <c r="I5058">
        <v>1.34</v>
      </c>
      <c r="J5058">
        <v>0.04</v>
      </c>
      <c r="K5058">
        <v>1.1000000000000001</v>
      </c>
      <c r="L5058">
        <v>0.57999999999999996</v>
      </c>
      <c r="M5058">
        <v>0.82099999999999995</v>
      </c>
      <c r="N5058">
        <v>0.15</v>
      </c>
    </row>
    <row r="5059" spans="1:14" x14ac:dyDescent="0.25">
      <c r="A5059" t="s">
        <v>9154</v>
      </c>
      <c r="B5059" t="s">
        <v>9155</v>
      </c>
      <c r="C5059" s="1" t="str">
        <f>HYPERLINK("http://www.genecards.org/cgi-bin/carddisp.pl?gene=GCH1","GeneCards")</f>
        <v>GeneCards</v>
      </c>
      <c r="D5059" s="1" t="str">
        <f>HYPERLINK("http://genome-euro.ucsc.edu/cgi-bin/hgTracks?position=204224_s_at","UCSC")</f>
        <v>UCSC</v>
      </c>
      <c r="E5059" s="1" t="str">
        <f>HYPERLINK("http://www.ncbi.nlm.nih.gov/gene/?term=GCH1","NCBI")</f>
        <v>NCBI</v>
      </c>
      <c r="F5059">
        <v>4.5999999999999999E-2</v>
      </c>
      <c r="G5059">
        <v>0.15</v>
      </c>
      <c r="H5059" s="1" t="str">
        <f>HYPERLINK("http://www.weizmann.ac.il/complex/compphys/software/geview/data/figures/204224_s_at.png","Figure")</f>
        <v>Figure</v>
      </c>
      <c r="I5059">
        <v>0.45</v>
      </c>
      <c r="J5059">
        <v>6.8000000000000005E-2</v>
      </c>
      <c r="K5059">
        <v>0.97099999999999997</v>
      </c>
      <c r="L5059">
        <v>0.99</v>
      </c>
      <c r="M5059">
        <v>2.16</v>
      </c>
      <c r="N5059">
        <v>0.06</v>
      </c>
    </row>
    <row r="5060" spans="1:14" x14ac:dyDescent="0.25">
      <c r="A5060" t="s">
        <v>9156</v>
      </c>
      <c r="B5060" t="s">
        <v>9157</v>
      </c>
      <c r="C5060" s="1" t="str">
        <f>HYPERLINK("http://www.genecards.org/cgi-bin/carddisp.pl?gene=GRIN1","GeneCards")</f>
        <v>GeneCards</v>
      </c>
      <c r="D5060" s="1" t="str">
        <f>HYPERLINK("http://genome-euro.ucsc.edu/cgi-bin/hgTracks?position=211125_x_at","UCSC")</f>
        <v>UCSC</v>
      </c>
      <c r="E5060" s="1" t="str">
        <f>HYPERLINK("http://www.ncbi.nlm.nih.gov/gene/?term=GRIN1","NCBI")</f>
        <v>NCBI</v>
      </c>
      <c r="F5060">
        <v>4.5999999999999999E-2</v>
      </c>
      <c r="G5060">
        <v>0.15</v>
      </c>
      <c r="H5060" s="1" t="str">
        <f>HYPERLINK("http://www.weizmann.ac.il/complex/compphys/software/geview/data/figures/211125_x_at.png","Figure")</f>
        <v>Figure</v>
      </c>
      <c r="I5060">
        <v>1.1499999999999999</v>
      </c>
      <c r="J5060">
        <v>9.9000000000000005E-2</v>
      </c>
      <c r="K5060">
        <v>1.1499999999999999</v>
      </c>
      <c r="L5060">
        <v>5.5E-2</v>
      </c>
      <c r="M5060">
        <v>1</v>
      </c>
      <c r="N5060">
        <v>1</v>
      </c>
    </row>
    <row r="5061" spans="1:14" x14ac:dyDescent="0.25">
      <c r="A5061" t="s">
        <v>9158</v>
      </c>
      <c r="B5061" t="s">
        <v>9159</v>
      </c>
      <c r="C5061" s="1" t="str">
        <f>HYPERLINK("http://www.genecards.org/cgi-bin/carddisp.pl?gene=CD47","GeneCards")</f>
        <v>GeneCards</v>
      </c>
      <c r="D5061" s="1" t="str">
        <f>HYPERLINK("http://genome-euro.ucsc.edu/cgi-bin/hgTracks?position=213055_at","UCSC")</f>
        <v>UCSC</v>
      </c>
      <c r="E5061" s="1" t="str">
        <f>HYPERLINK("http://www.ncbi.nlm.nih.gov/gene/?term=CD47","NCBI")</f>
        <v>NCBI</v>
      </c>
      <c r="F5061">
        <v>4.5999999999999999E-2</v>
      </c>
      <c r="G5061">
        <v>0.15</v>
      </c>
      <c r="H5061" s="1" t="str">
        <f>HYPERLINK("http://www.weizmann.ac.il/complex/compphys/software/geview/data/figures/213055_at.png","Figure")</f>
        <v>Figure</v>
      </c>
      <c r="I5061">
        <v>1.38</v>
      </c>
      <c r="J5061">
        <v>4.3999999999999997E-2</v>
      </c>
      <c r="K5061">
        <v>1.23</v>
      </c>
      <c r="L5061">
        <v>0.15</v>
      </c>
      <c r="M5061">
        <v>0.89100000000000001</v>
      </c>
      <c r="N5061">
        <v>0.56999999999999995</v>
      </c>
    </row>
    <row r="5062" spans="1:14" x14ac:dyDescent="0.25">
      <c r="A5062" t="s">
        <v>9160</v>
      </c>
      <c r="B5062" t="s">
        <v>9161</v>
      </c>
      <c r="C5062" s="1" t="str">
        <f>HYPERLINK("http://www.genecards.org/cgi-bin/carddisp.pl?gene=BACH2","GeneCards")</f>
        <v>GeneCards</v>
      </c>
      <c r="D5062" s="1" t="str">
        <f>HYPERLINK("http://genome-euro.ucsc.edu/cgi-bin/hgTracks?position=221234_s_at","UCSC")</f>
        <v>UCSC</v>
      </c>
      <c r="E5062" s="1" t="str">
        <f>HYPERLINK("http://www.ncbi.nlm.nih.gov/gene/?term=BACH2","NCBI")</f>
        <v>NCBI</v>
      </c>
      <c r="F5062">
        <v>4.5999999999999999E-2</v>
      </c>
      <c r="G5062">
        <v>0.15</v>
      </c>
      <c r="H5062" s="1" t="str">
        <f>HYPERLINK("http://www.weizmann.ac.il/complex/compphys/software/geview/data/figures/221234_s_at.png","Figure")</f>
        <v>Figure</v>
      </c>
      <c r="I5062">
        <v>1.96</v>
      </c>
      <c r="J5062">
        <v>8.8999999999999996E-2</v>
      </c>
      <c r="K5062">
        <v>1.9</v>
      </c>
      <c r="L5062">
        <v>0.06</v>
      </c>
      <c r="M5062">
        <v>0.97099999999999997</v>
      </c>
      <c r="N5062">
        <v>0.99</v>
      </c>
    </row>
    <row r="5063" spans="1:14" x14ac:dyDescent="0.25">
      <c r="A5063" t="s">
        <v>9162</v>
      </c>
      <c r="B5063" t="s">
        <v>9163</v>
      </c>
      <c r="C5063" s="1" t="str">
        <f>HYPERLINK("http://www.genecards.org/cgi-bin/carddisp.pl?gene=KRT8 /// LOC149501","GeneCards")</f>
        <v>GeneCards</v>
      </c>
      <c r="D5063" s="1" t="str">
        <f>HYPERLINK("http://genome-euro.ucsc.edu/cgi-bin/hgTracks?position=216821_at","UCSC")</f>
        <v>UCSC</v>
      </c>
      <c r="E5063" s="1" t="str">
        <f>HYPERLINK("http://www.ncbi.nlm.nih.gov/gene/?term=KRT8 /// LOC149501","NCBI")</f>
        <v>NCBI</v>
      </c>
      <c r="F5063">
        <v>4.5999999999999999E-2</v>
      </c>
      <c r="G5063">
        <v>0.15</v>
      </c>
      <c r="H5063" s="1" t="str">
        <f>HYPERLINK("http://www.weizmann.ac.il/complex/compphys/software/geview/data/figures/216821_at.png","Figure")</f>
        <v>Figure</v>
      </c>
      <c r="I5063">
        <v>1.27</v>
      </c>
      <c r="J5063">
        <v>4.4999999999999998E-2</v>
      </c>
      <c r="K5063">
        <v>1.17</v>
      </c>
      <c r="L5063">
        <v>0.15</v>
      </c>
      <c r="M5063">
        <v>0.92100000000000004</v>
      </c>
      <c r="N5063">
        <v>0.59</v>
      </c>
    </row>
    <row r="5064" spans="1:14" x14ac:dyDescent="0.25">
      <c r="A5064" t="s">
        <v>9164</v>
      </c>
      <c r="B5064" t="s">
        <v>9165</v>
      </c>
      <c r="C5064" s="1" t="str">
        <f>HYPERLINK("http://www.genecards.org/cgi-bin/carddisp.pl?gene=DDB1","GeneCards")</f>
        <v>GeneCards</v>
      </c>
      <c r="D5064" s="1" t="str">
        <f>HYPERLINK("http://genome-euro.ucsc.edu/cgi-bin/hgTracks?position=208619_at","UCSC")</f>
        <v>UCSC</v>
      </c>
      <c r="E5064" s="1" t="str">
        <f>HYPERLINK("http://www.ncbi.nlm.nih.gov/gene/?term=DDB1","NCBI")</f>
        <v>NCBI</v>
      </c>
      <c r="F5064">
        <v>4.5999999999999999E-2</v>
      </c>
      <c r="G5064">
        <v>0.15</v>
      </c>
      <c r="H5064" s="1" t="str">
        <f>HYPERLINK("http://www.weizmann.ac.il/complex/compphys/software/geview/data/figures/208619_at.png","Figure")</f>
        <v>Figure</v>
      </c>
      <c r="I5064">
        <v>1.43</v>
      </c>
      <c r="J5064">
        <v>4.2999999999999997E-2</v>
      </c>
      <c r="K5064">
        <v>1.1000000000000001</v>
      </c>
      <c r="L5064">
        <v>0.7</v>
      </c>
      <c r="M5064">
        <v>0.76700000000000002</v>
      </c>
      <c r="N5064">
        <v>0.12</v>
      </c>
    </row>
    <row r="5065" spans="1:14" x14ac:dyDescent="0.25">
      <c r="A5065" t="s">
        <v>9166</v>
      </c>
      <c r="B5065" t="s">
        <v>9167</v>
      </c>
      <c r="C5065" s="1" t="str">
        <f>HYPERLINK("http://www.genecards.org/cgi-bin/carddisp.pl?gene=CSNK1D","GeneCards")</f>
        <v>GeneCards</v>
      </c>
      <c r="D5065" s="1" t="str">
        <f>HYPERLINK("http://genome-euro.ucsc.edu/cgi-bin/hgTracks?position=207945_s_at","UCSC")</f>
        <v>UCSC</v>
      </c>
      <c r="E5065" s="1" t="str">
        <f>HYPERLINK("http://www.ncbi.nlm.nih.gov/gene/?term=CSNK1D","NCBI")</f>
        <v>NCBI</v>
      </c>
      <c r="F5065">
        <v>4.5999999999999999E-2</v>
      </c>
      <c r="G5065">
        <v>0.15</v>
      </c>
      <c r="H5065" s="1" t="str">
        <f>HYPERLINK("http://www.weizmann.ac.il/complex/compphys/software/geview/data/figures/207945_s_at.png","Figure")</f>
        <v>Figure</v>
      </c>
      <c r="I5065">
        <v>0.97199999999999998</v>
      </c>
      <c r="J5065">
        <v>1</v>
      </c>
      <c r="K5065">
        <v>0.443</v>
      </c>
      <c r="L5065">
        <v>7.0000000000000007E-2</v>
      </c>
      <c r="M5065">
        <v>0.45600000000000002</v>
      </c>
      <c r="N5065">
        <v>0.11</v>
      </c>
    </row>
    <row r="5066" spans="1:14" x14ac:dyDescent="0.25">
      <c r="A5066" t="s">
        <v>9168</v>
      </c>
      <c r="B5066" t="s">
        <v>9169</v>
      </c>
      <c r="C5066" s="1" t="str">
        <f>HYPERLINK("http://www.genecards.org/cgi-bin/carddisp.pl?gene=LONP1","GeneCards")</f>
        <v>GeneCards</v>
      </c>
      <c r="D5066" s="1" t="str">
        <f>HYPERLINK("http://genome-euro.ucsc.edu/cgi-bin/hgTracks?position=209017_s_at","UCSC")</f>
        <v>UCSC</v>
      </c>
      <c r="E5066" s="1" t="str">
        <f>HYPERLINK("http://www.ncbi.nlm.nih.gov/gene/?term=LONP1","NCBI")</f>
        <v>NCBI</v>
      </c>
      <c r="F5066">
        <v>4.5999999999999999E-2</v>
      </c>
      <c r="G5066">
        <v>0.15</v>
      </c>
      <c r="H5066" s="1" t="str">
        <f>HYPERLINK("http://www.weizmann.ac.il/complex/compphys/software/geview/data/figures/209017_s_at.png","Figure")</f>
        <v>Figure</v>
      </c>
      <c r="I5066">
        <v>1.24</v>
      </c>
      <c r="J5066">
        <v>0.15</v>
      </c>
      <c r="K5066">
        <v>0.94199999999999995</v>
      </c>
      <c r="L5066">
        <v>0.8</v>
      </c>
      <c r="M5066">
        <v>0.76</v>
      </c>
      <c r="N5066">
        <v>0.04</v>
      </c>
    </row>
    <row r="5067" spans="1:14" x14ac:dyDescent="0.25">
      <c r="A5067" t="s">
        <v>9170</v>
      </c>
      <c r="B5067" t="s">
        <v>6622</v>
      </c>
      <c r="C5067" s="1" t="str">
        <f>HYPERLINK("http://www.genecards.org/cgi-bin/carddisp.pl?gene=DRD2","GeneCards")</f>
        <v>GeneCards</v>
      </c>
      <c r="D5067" s="1" t="str">
        <f>HYPERLINK("http://genome-euro.ucsc.edu/cgi-bin/hgTracks?position=216938_x_at","UCSC")</f>
        <v>UCSC</v>
      </c>
      <c r="E5067" s="1" t="str">
        <f>HYPERLINK("http://www.ncbi.nlm.nih.gov/gene/?term=DRD2","NCBI")</f>
        <v>NCBI</v>
      </c>
      <c r="F5067">
        <v>4.5999999999999999E-2</v>
      </c>
      <c r="G5067">
        <v>0.15</v>
      </c>
      <c r="H5067" s="1" t="str">
        <f>HYPERLINK("http://www.weizmann.ac.il/complex/compphys/software/geview/data/figures/216938_x_at.png","Figure")</f>
        <v>Figure</v>
      </c>
      <c r="I5067">
        <v>1.24</v>
      </c>
      <c r="J5067">
        <v>0.04</v>
      </c>
      <c r="K5067">
        <v>1.1299999999999999</v>
      </c>
      <c r="L5067">
        <v>0.2</v>
      </c>
      <c r="M5067">
        <v>0.91200000000000003</v>
      </c>
      <c r="N5067">
        <v>0.44</v>
      </c>
    </row>
    <row r="5068" spans="1:14" x14ac:dyDescent="0.25">
      <c r="A5068" t="s">
        <v>9171</v>
      </c>
      <c r="B5068" t="s">
        <v>9172</v>
      </c>
      <c r="C5068" s="1" t="str">
        <f>HYPERLINK("http://www.genecards.org/cgi-bin/carddisp.pl?gene=ASB6","GeneCards")</f>
        <v>GeneCards</v>
      </c>
      <c r="D5068" s="1" t="str">
        <f>HYPERLINK("http://genome-euro.ucsc.edu/cgi-bin/hgTracks?position=221657_s_at","UCSC")</f>
        <v>UCSC</v>
      </c>
      <c r="E5068" s="1" t="str">
        <f>HYPERLINK("http://www.ncbi.nlm.nih.gov/gene/?term=ASB6","NCBI")</f>
        <v>NCBI</v>
      </c>
      <c r="F5068">
        <v>4.5999999999999999E-2</v>
      </c>
      <c r="G5068">
        <v>0.15</v>
      </c>
      <c r="H5068" s="1" t="str">
        <f>HYPERLINK("http://www.weizmann.ac.il/complex/compphys/software/geview/data/figures/221657_s_at.png","Figure")</f>
        <v>Figure</v>
      </c>
      <c r="I5068">
        <v>1.18</v>
      </c>
      <c r="J5068">
        <v>0.1</v>
      </c>
      <c r="K5068">
        <v>1.18</v>
      </c>
      <c r="L5068">
        <v>5.5E-2</v>
      </c>
      <c r="M5068">
        <v>1</v>
      </c>
      <c r="N5068">
        <v>1</v>
      </c>
    </row>
    <row r="5069" spans="1:14" x14ac:dyDescent="0.25">
      <c r="A5069" t="s">
        <v>9173</v>
      </c>
      <c r="B5069" t="s">
        <v>9174</v>
      </c>
      <c r="C5069" s="1" t="str">
        <f>HYPERLINK("http://www.genecards.org/cgi-bin/carddisp.pl?gene=SLC1A4","GeneCards")</f>
        <v>GeneCards</v>
      </c>
      <c r="D5069" s="1" t="str">
        <f>HYPERLINK("http://genome-euro.ucsc.edu/cgi-bin/hgTracks?position=212810_s_at","UCSC")</f>
        <v>UCSC</v>
      </c>
      <c r="E5069" s="1" t="str">
        <f>HYPERLINK("http://www.ncbi.nlm.nih.gov/gene/?term=SLC1A4","NCBI")</f>
        <v>NCBI</v>
      </c>
      <c r="F5069">
        <v>4.5999999999999999E-2</v>
      </c>
      <c r="G5069">
        <v>0.16</v>
      </c>
      <c r="H5069" s="1" t="str">
        <f>HYPERLINK("http://www.weizmann.ac.il/complex/compphys/software/geview/data/figures/212810_s_at.png","Figure")</f>
        <v>Figure</v>
      </c>
      <c r="I5069">
        <v>1.25</v>
      </c>
      <c r="J5069">
        <v>0.33</v>
      </c>
      <c r="K5069">
        <v>1.44</v>
      </c>
      <c r="L5069">
        <v>3.6999999999999998E-2</v>
      </c>
      <c r="M5069">
        <v>1.1499999999999999</v>
      </c>
      <c r="N5069">
        <v>0.57999999999999996</v>
      </c>
    </row>
    <row r="5070" spans="1:14" x14ac:dyDescent="0.25">
      <c r="A5070" t="s">
        <v>9175</v>
      </c>
      <c r="B5070" t="s">
        <v>9176</v>
      </c>
      <c r="C5070" s="1" t="str">
        <f>HYPERLINK("http://www.genecards.org/cgi-bin/carddisp.pl?gene=MAP2K3","GeneCards")</f>
        <v>GeneCards</v>
      </c>
      <c r="D5070" s="1" t="str">
        <f>HYPERLINK("http://genome-euro.ucsc.edu/cgi-bin/hgTracks?position=215498_s_at","UCSC")</f>
        <v>UCSC</v>
      </c>
      <c r="E5070" s="1" t="str">
        <f>HYPERLINK("http://www.ncbi.nlm.nih.gov/gene/?term=MAP2K3","NCBI")</f>
        <v>NCBI</v>
      </c>
      <c r="F5070">
        <v>4.5999999999999999E-2</v>
      </c>
      <c r="G5070">
        <v>0.16</v>
      </c>
      <c r="H5070" s="1" t="str">
        <f>HYPERLINK("http://www.weizmann.ac.il/complex/compphys/software/geview/data/figures/215498_s_at.png","Figure")</f>
        <v>Figure</v>
      </c>
      <c r="I5070">
        <v>0.98499999999999999</v>
      </c>
      <c r="J5070">
        <v>1</v>
      </c>
      <c r="K5070">
        <v>1.43</v>
      </c>
      <c r="L5070">
        <v>8.1000000000000003E-2</v>
      </c>
      <c r="M5070">
        <v>1.45</v>
      </c>
      <c r="N5070">
        <v>9.0999999999999998E-2</v>
      </c>
    </row>
    <row r="5071" spans="1:14" x14ac:dyDescent="0.25">
      <c r="A5071" t="s">
        <v>9177</v>
      </c>
      <c r="B5071" t="s">
        <v>9178</v>
      </c>
      <c r="C5071" s="1" t="str">
        <f>HYPERLINK("http://www.genecards.org/cgi-bin/carddisp.pl?gene=DNAJC10","GeneCards")</f>
        <v>GeneCards</v>
      </c>
      <c r="D5071" s="1" t="str">
        <f>HYPERLINK("http://genome-euro.ucsc.edu/cgi-bin/hgTracks?position=221782_at","UCSC")</f>
        <v>UCSC</v>
      </c>
      <c r="E5071" s="1" t="str">
        <f>HYPERLINK("http://www.ncbi.nlm.nih.gov/gene/?term=DNAJC10","NCBI")</f>
        <v>NCBI</v>
      </c>
      <c r="F5071">
        <v>4.5999999999999999E-2</v>
      </c>
      <c r="G5071">
        <v>0.16</v>
      </c>
      <c r="H5071" s="1" t="str">
        <f>HYPERLINK("http://www.weizmann.ac.il/complex/compphys/software/geview/data/figures/221782_at.png","Figure")</f>
        <v>Figure</v>
      </c>
      <c r="I5071">
        <v>0.66700000000000004</v>
      </c>
      <c r="J5071">
        <v>0.1</v>
      </c>
      <c r="K5071">
        <v>0.66100000000000003</v>
      </c>
      <c r="L5071">
        <v>5.3999999999999999E-2</v>
      </c>
      <c r="M5071">
        <v>0.99099999999999999</v>
      </c>
      <c r="N5071">
        <v>1</v>
      </c>
    </row>
    <row r="5072" spans="1:14" x14ac:dyDescent="0.25">
      <c r="A5072" t="s">
        <v>9179</v>
      </c>
      <c r="B5072" t="s">
        <v>9180</v>
      </c>
      <c r="C5072" s="1" t="str">
        <f>HYPERLINK("http://www.genecards.org/cgi-bin/carddisp.pl?gene=RHOD","GeneCards")</f>
        <v>GeneCards</v>
      </c>
      <c r="D5072" s="1" t="str">
        <f>HYPERLINK("http://genome-euro.ucsc.edu/cgi-bin/hgTracks?position=31846_at","UCSC")</f>
        <v>UCSC</v>
      </c>
      <c r="E5072" s="1" t="str">
        <f>HYPERLINK("http://www.ncbi.nlm.nih.gov/gene/?term=RHOD","NCBI")</f>
        <v>NCBI</v>
      </c>
      <c r="F5072">
        <v>4.5999999999999999E-2</v>
      </c>
      <c r="G5072">
        <v>0.16</v>
      </c>
      <c r="H5072" s="1" t="str">
        <f>HYPERLINK("http://www.weizmann.ac.il/complex/compphys/software/geview/data/figures/31846_at.png","Figure")</f>
        <v>Figure</v>
      </c>
      <c r="I5072">
        <v>1.44</v>
      </c>
      <c r="J5072">
        <v>4.9000000000000002E-2</v>
      </c>
      <c r="K5072">
        <v>1.3</v>
      </c>
      <c r="L5072">
        <v>0.12</v>
      </c>
      <c r="M5072">
        <v>0.89800000000000002</v>
      </c>
      <c r="N5072">
        <v>0.69</v>
      </c>
    </row>
    <row r="5073" spans="1:14" x14ac:dyDescent="0.25">
      <c r="A5073" t="s">
        <v>9181</v>
      </c>
      <c r="B5073" t="s">
        <v>4251</v>
      </c>
      <c r="C5073" s="1" t="str">
        <f>HYPERLINK("http://www.genecards.org/cgi-bin/carddisp.pl?gene=AGPAT2","GeneCards")</f>
        <v>GeneCards</v>
      </c>
      <c r="D5073" s="1" t="str">
        <f>HYPERLINK("http://genome-euro.ucsc.edu/cgi-bin/hgTracks?position=210678_s_at","UCSC")</f>
        <v>UCSC</v>
      </c>
      <c r="E5073" s="1" t="str">
        <f>HYPERLINK("http://www.ncbi.nlm.nih.gov/gene/?term=AGPAT2","NCBI")</f>
        <v>NCBI</v>
      </c>
      <c r="F5073">
        <v>4.5999999999999999E-2</v>
      </c>
      <c r="G5073">
        <v>0.16</v>
      </c>
      <c r="H5073" s="1" t="str">
        <f>HYPERLINK("http://www.weizmann.ac.il/complex/compphys/software/geview/data/figures/210678_s_at.png","Figure")</f>
        <v>Figure</v>
      </c>
      <c r="I5073">
        <v>1.25</v>
      </c>
      <c r="J5073">
        <v>8.4000000000000005E-2</v>
      </c>
      <c r="K5073">
        <v>0.99</v>
      </c>
      <c r="L5073">
        <v>0.99</v>
      </c>
      <c r="M5073">
        <v>0.79400000000000004</v>
      </c>
      <c r="N5073">
        <v>5.0999999999999997E-2</v>
      </c>
    </row>
    <row r="5074" spans="1:14" x14ac:dyDescent="0.25">
      <c r="A5074" t="s">
        <v>9182</v>
      </c>
      <c r="B5074" t="s">
        <v>2244</v>
      </c>
      <c r="C5074" s="1" t="str">
        <f>HYPERLINK("http://www.genecards.org/cgi-bin/carddisp.pl?gene=COX5B","GeneCards")</f>
        <v>GeneCards</v>
      </c>
      <c r="D5074" s="1" t="str">
        <f>HYPERLINK("http://genome-euro.ucsc.edu/cgi-bin/hgTracks?position=211025_x_at","UCSC")</f>
        <v>UCSC</v>
      </c>
      <c r="E5074" s="1" t="str">
        <f>HYPERLINK("http://www.ncbi.nlm.nih.gov/gene/?term=COX5B","NCBI")</f>
        <v>NCBI</v>
      </c>
      <c r="F5074">
        <v>4.5999999999999999E-2</v>
      </c>
      <c r="G5074">
        <v>0.16</v>
      </c>
      <c r="H5074" s="1" t="str">
        <f>HYPERLINK("http://www.weizmann.ac.il/complex/compphys/software/geview/data/figures/211025_x_at.png","Figure")</f>
        <v>Figure</v>
      </c>
      <c r="I5074">
        <v>1.43</v>
      </c>
      <c r="J5074">
        <v>7.0000000000000007E-2</v>
      </c>
      <c r="K5074">
        <v>1.36</v>
      </c>
      <c r="L5074">
        <v>7.3999999999999996E-2</v>
      </c>
      <c r="M5074">
        <v>0.95099999999999996</v>
      </c>
      <c r="N5074">
        <v>0.93</v>
      </c>
    </row>
    <row r="5075" spans="1:14" x14ac:dyDescent="0.25">
      <c r="A5075" t="s">
        <v>9183</v>
      </c>
      <c r="B5075" t="s">
        <v>9184</v>
      </c>
      <c r="C5075" s="1" t="str">
        <f>HYPERLINK("http://www.genecards.org/cgi-bin/carddisp.pl?gene=CDCA3","GeneCards")</f>
        <v>GeneCards</v>
      </c>
      <c r="D5075" s="1" t="str">
        <f>HYPERLINK("http://genome-euro.ucsc.edu/cgi-bin/hgTracks?position=221436_s_at","UCSC")</f>
        <v>UCSC</v>
      </c>
      <c r="E5075" s="1" t="str">
        <f>HYPERLINK("http://www.ncbi.nlm.nih.gov/gene/?term=CDCA3","NCBI")</f>
        <v>NCBI</v>
      </c>
      <c r="F5075">
        <v>4.5999999999999999E-2</v>
      </c>
      <c r="G5075">
        <v>0.16</v>
      </c>
      <c r="H5075" s="1" t="str">
        <f>HYPERLINK("http://www.weizmann.ac.il/complex/compphys/software/geview/data/figures/221436_s_at.png","Figure")</f>
        <v>Figure</v>
      </c>
      <c r="I5075">
        <v>1.07</v>
      </c>
      <c r="J5075">
        <v>0.59</v>
      </c>
      <c r="K5075">
        <v>1.17</v>
      </c>
      <c r="L5075">
        <v>0.04</v>
      </c>
      <c r="M5075">
        <v>1.0900000000000001</v>
      </c>
      <c r="N5075">
        <v>0.32</v>
      </c>
    </row>
    <row r="5076" spans="1:14" x14ac:dyDescent="0.25">
      <c r="A5076" t="s">
        <v>9185</v>
      </c>
      <c r="B5076" t="s">
        <v>9186</v>
      </c>
      <c r="C5076" s="1" t="str">
        <f>HYPERLINK("http://www.genecards.org/cgi-bin/carddisp.pl?gene=ZNF146","GeneCards")</f>
        <v>GeneCards</v>
      </c>
      <c r="D5076" s="1" t="str">
        <f>HYPERLINK("http://genome-euro.ucsc.edu/cgi-bin/hgTracks?position=200050_at","UCSC")</f>
        <v>UCSC</v>
      </c>
      <c r="E5076" s="1" t="str">
        <f>HYPERLINK("http://www.ncbi.nlm.nih.gov/gene/?term=ZNF146","NCBI")</f>
        <v>NCBI</v>
      </c>
      <c r="F5076">
        <v>4.5999999999999999E-2</v>
      </c>
      <c r="G5076">
        <v>0.16</v>
      </c>
      <c r="H5076" s="1" t="str">
        <f>HYPERLINK("http://www.weizmann.ac.il/complex/compphys/software/geview/data/figures/200050_at.png","Figure")</f>
        <v>Figure</v>
      </c>
      <c r="I5076">
        <v>0.55600000000000005</v>
      </c>
      <c r="J5076">
        <v>3.6999999999999998E-2</v>
      </c>
      <c r="K5076">
        <v>0.76800000000000002</v>
      </c>
      <c r="L5076">
        <v>0.35</v>
      </c>
      <c r="M5076">
        <v>1.38</v>
      </c>
      <c r="N5076">
        <v>0.26</v>
      </c>
    </row>
    <row r="5077" spans="1:14" x14ac:dyDescent="0.25">
      <c r="A5077" t="s">
        <v>9187</v>
      </c>
      <c r="B5077" t="s">
        <v>9188</v>
      </c>
      <c r="C5077" s="1" t="str">
        <f>HYPERLINK("http://www.genecards.org/cgi-bin/carddisp.pl?gene=FLNA","GeneCards")</f>
        <v>GeneCards</v>
      </c>
      <c r="D5077" s="1" t="str">
        <f>HYPERLINK("http://genome-euro.ucsc.edu/cgi-bin/hgTracks?position=200859_x_at","UCSC")</f>
        <v>UCSC</v>
      </c>
      <c r="E5077" s="1" t="str">
        <f>HYPERLINK("http://www.ncbi.nlm.nih.gov/gene/?term=FLNA","NCBI")</f>
        <v>NCBI</v>
      </c>
      <c r="F5077">
        <v>4.5999999999999999E-2</v>
      </c>
      <c r="G5077">
        <v>0.16</v>
      </c>
      <c r="H5077" s="1" t="str">
        <f>HYPERLINK("http://www.weizmann.ac.il/complex/compphys/software/geview/data/figures/200859_x_at.png","Figure")</f>
        <v>Figure</v>
      </c>
      <c r="I5077">
        <v>0.90900000000000003</v>
      </c>
      <c r="J5077">
        <v>0.78</v>
      </c>
      <c r="K5077">
        <v>1.28</v>
      </c>
      <c r="L5077">
        <v>0.15</v>
      </c>
      <c r="M5077">
        <v>1.41</v>
      </c>
      <c r="N5077">
        <v>5.5E-2</v>
      </c>
    </row>
    <row r="5078" spans="1:14" x14ac:dyDescent="0.25">
      <c r="A5078" t="s">
        <v>9189</v>
      </c>
      <c r="B5078" t="s">
        <v>7739</v>
      </c>
      <c r="C5078" s="1" t="str">
        <f>HYPERLINK("http://www.genecards.org/cgi-bin/carddisp.pl?gene=RBM5","GeneCards")</f>
        <v>GeneCards</v>
      </c>
      <c r="D5078" s="1" t="str">
        <f>HYPERLINK("http://genome-euro.ucsc.edu/cgi-bin/hgTracks?position=201394_s_at","UCSC")</f>
        <v>UCSC</v>
      </c>
      <c r="E5078" s="1" t="str">
        <f>HYPERLINK("http://www.ncbi.nlm.nih.gov/gene/?term=RBM5","NCBI")</f>
        <v>NCBI</v>
      </c>
      <c r="F5078">
        <v>4.5999999999999999E-2</v>
      </c>
      <c r="G5078">
        <v>0.16</v>
      </c>
      <c r="H5078" s="1" t="str">
        <f>HYPERLINK("http://www.weizmann.ac.il/complex/compphys/software/geview/data/figures/201394_s_at.png","Figure")</f>
        <v>Figure</v>
      </c>
      <c r="I5078">
        <v>1.37</v>
      </c>
      <c r="J5078">
        <v>0.3</v>
      </c>
      <c r="K5078">
        <v>0.80600000000000005</v>
      </c>
      <c r="L5078">
        <v>0.47</v>
      </c>
      <c r="M5078">
        <v>0.58699999999999997</v>
      </c>
      <c r="N5078">
        <v>3.6999999999999998E-2</v>
      </c>
    </row>
    <row r="5079" spans="1:14" x14ac:dyDescent="0.25">
      <c r="A5079" t="s">
        <v>9190</v>
      </c>
      <c r="B5079" t="s">
        <v>9191</v>
      </c>
      <c r="C5079" s="1" t="str">
        <f>HYPERLINK("http://www.genecards.org/cgi-bin/carddisp.pl?gene=PIGF","GeneCards")</f>
        <v>GeneCards</v>
      </c>
      <c r="D5079" s="1" t="str">
        <f>HYPERLINK("http://genome-euro.ucsc.edu/cgi-bin/hgTracks?position=205077_s_at","UCSC")</f>
        <v>UCSC</v>
      </c>
      <c r="E5079" s="1" t="str">
        <f>HYPERLINK("http://www.ncbi.nlm.nih.gov/gene/?term=PIGF","NCBI")</f>
        <v>NCBI</v>
      </c>
      <c r="F5079">
        <v>4.5999999999999999E-2</v>
      </c>
      <c r="G5079">
        <v>0.16</v>
      </c>
      <c r="H5079" s="1" t="str">
        <f>HYPERLINK("http://www.weizmann.ac.il/complex/compphys/software/geview/data/figures/205077_s_at.png","Figure")</f>
        <v>Figure</v>
      </c>
      <c r="I5079">
        <v>0.51300000000000001</v>
      </c>
      <c r="J5079">
        <v>9.0999999999999998E-2</v>
      </c>
      <c r="K5079">
        <v>1.05</v>
      </c>
      <c r="L5079">
        <v>0.98</v>
      </c>
      <c r="M5079">
        <v>2.0499999999999998</v>
      </c>
      <c r="N5079">
        <v>4.9000000000000002E-2</v>
      </c>
    </row>
    <row r="5080" spans="1:14" x14ac:dyDescent="0.25">
      <c r="A5080" t="s">
        <v>9192</v>
      </c>
      <c r="B5080" t="s">
        <v>9193</v>
      </c>
      <c r="C5080" s="1" t="str">
        <f>HYPERLINK("http://www.genecards.org/cgi-bin/carddisp.pl?gene=STAT4","GeneCards")</f>
        <v>GeneCards</v>
      </c>
      <c r="D5080" s="1" t="str">
        <f>HYPERLINK("http://genome-euro.ucsc.edu/cgi-bin/hgTracks?position=206118_at","UCSC")</f>
        <v>UCSC</v>
      </c>
      <c r="E5080" s="1" t="str">
        <f>HYPERLINK("http://www.ncbi.nlm.nih.gov/gene/?term=STAT4","NCBI")</f>
        <v>NCBI</v>
      </c>
      <c r="F5080">
        <v>4.5999999999999999E-2</v>
      </c>
      <c r="G5080">
        <v>0.16</v>
      </c>
      <c r="H5080" s="1" t="str">
        <f>HYPERLINK("http://www.weizmann.ac.il/complex/compphys/software/geview/data/figures/206118_at.png","Figure")</f>
        <v>Figure</v>
      </c>
      <c r="I5080">
        <v>1.02</v>
      </c>
      <c r="J5080">
        <v>1</v>
      </c>
      <c r="K5080">
        <v>0.64400000000000002</v>
      </c>
      <c r="L5080">
        <v>8.2000000000000003E-2</v>
      </c>
      <c r="M5080">
        <v>0.63200000000000001</v>
      </c>
      <c r="N5080">
        <v>9.0999999999999998E-2</v>
      </c>
    </row>
    <row r="5081" spans="1:14" x14ac:dyDescent="0.25">
      <c r="A5081" t="s">
        <v>9194</v>
      </c>
      <c r="B5081" t="s">
        <v>9195</v>
      </c>
      <c r="C5081" s="1" t="str">
        <f>HYPERLINK("http://www.genecards.org/cgi-bin/carddisp.pl?gene=CA5A","GeneCards")</f>
        <v>GeneCards</v>
      </c>
      <c r="D5081" s="1" t="str">
        <f>HYPERLINK("http://genome-euro.ucsc.edu/cgi-bin/hgTracks?position=207421_at","UCSC")</f>
        <v>UCSC</v>
      </c>
      <c r="E5081" s="1" t="str">
        <f>HYPERLINK("http://www.ncbi.nlm.nih.gov/gene/?term=CA5A","NCBI")</f>
        <v>NCBI</v>
      </c>
      <c r="F5081">
        <v>4.5999999999999999E-2</v>
      </c>
      <c r="G5081">
        <v>0.16</v>
      </c>
      <c r="H5081" s="1" t="str">
        <f>HYPERLINK("http://www.weizmann.ac.il/complex/compphys/software/geview/data/figures/207421_at.png","Figure")</f>
        <v>Figure</v>
      </c>
      <c r="I5081">
        <v>1.19</v>
      </c>
      <c r="J5081">
        <v>5.2999999999999999E-2</v>
      </c>
      <c r="K5081">
        <v>1.1399999999999999</v>
      </c>
      <c r="L5081">
        <v>0.11</v>
      </c>
      <c r="M5081">
        <v>0.95499999999999996</v>
      </c>
      <c r="N5081">
        <v>0.75</v>
      </c>
    </row>
    <row r="5082" spans="1:14" x14ac:dyDescent="0.25">
      <c r="A5082" t="s">
        <v>9196</v>
      </c>
      <c r="B5082" t="s">
        <v>9197</v>
      </c>
      <c r="C5082" s="1" t="str">
        <f>HYPERLINK("http://www.genecards.org/cgi-bin/carddisp.pl?gene=POLG","GeneCards")</f>
        <v>GeneCards</v>
      </c>
      <c r="D5082" s="1" t="str">
        <f>HYPERLINK("http://genome-euro.ucsc.edu/cgi-bin/hgTracks?position=217635_s_at","UCSC")</f>
        <v>UCSC</v>
      </c>
      <c r="E5082" s="1" t="str">
        <f>HYPERLINK("http://www.ncbi.nlm.nih.gov/gene/?term=POLG","NCBI")</f>
        <v>NCBI</v>
      </c>
      <c r="F5082">
        <v>4.5999999999999999E-2</v>
      </c>
      <c r="G5082">
        <v>0.16</v>
      </c>
      <c r="H5082" s="1" t="str">
        <f>HYPERLINK("http://www.weizmann.ac.il/complex/compphys/software/geview/data/figures/217635_s_at.png","Figure")</f>
        <v>Figure</v>
      </c>
      <c r="I5082">
        <v>1.38</v>
      </c>
      <c r="J5082">
        <v>0.04</v>
      </c>
      <c r="K5082">
        <v>1.2</v>
      </c>
      <c r="L5082">
        <v>0.21</v>
      </c>
      <c r="M5082">
        <v>0.86799999999999999</v>
      </c>
      <c r="N5082">
        <v>0.42</v>
      </c>
    </row>
    <row r="5083" spans="1:14" x14ac:dyDescent="0.25">
      <c r="A5083" t="s">
        <v>9198</v>
      </c>
      <c r="B5083" t="s">
        <v>9199</v>
      </c>
      <c r="C5083" s="1" t="str">
        <f>HYPERLINK("http://www.genecards.org/cgi-bin/carddisp.pl?gene=LOC729799","GeneCards")</f>
        <v>GeneCards</v>
      </c>
      <c r="D5083" s="1" t="str">
        <f>HYPERLINK("http://genome-euro.ucsc.edu/cgi-bin/hgTracks?position=217667_at","UCSC")</f>
        <v>UCSC</v>
      </c>
      <c r="E5083" s="1" t="str">
        <f>HYPERLINK("http://www.ncbi.nlm.nih.gov/gene/?term=LOC729799","NCBI")</f>
        <v>NCBI</v>
      </c>
      <c r="F5083">
        <v>4.5999999999999999E-2</v>
      </c>
      <c r="G5083">
        <v>0.16</v>
      </c>
      <c r="H5083" s="1" t="str">
        <f>HYPERLINK("http://www.weizmann.ac.il/complex/compphys/software/geview/data/figures/217667_at.png","Figure")</f>
        <v>Figure</v>
      </c>
      <c r="I5083">
        <v>1</v>
      </c>
      <c r="J5083">
        <v>1</v>
      </c>
      <c r="K5083">
        <v>0.89300000000000002</v>
      </c>
      <c r="L5083">
        <v>7.4999999999999997E-2</v>
      </c>
      <c r="M5083">
        <v>0.89300000000000002</v>
      </c>
      <c r="N5083">
        <v>9.9000000000000005E-2</v>
      </c>
    </row>
    <row r="5084" spans="1:14" x14ac:dyDescent="0.25">
      <c r="A5084" t="s">
        <v>9200</v>
      </c>
      <c r="B5084" t="s">
        <v>9201</v>
      </c>
      <c r="C5084" s="1" t="str">
        <f>HYPERLINK("http://www.genecards.org/cgi-bin/carddisp.pl?gene=PTGES2","GeneCards")</f>
        <v>GeneCards</v>
      </c>
      <c r="D5084" s="1" t="str">
        <f>HYPERLINK("http://genome-euro.ucsc.edu/cgi-bin/hgTracks?position=218083_at","UCSC")</f>
        <v>UCSC</v>
      </c>
      <c r="E5084" s="1" t="str">
        <f>HYPERLINK("http://www.ncbi.nlm.nih.gov/gene/?term=PTGES2","NCBI")</f>
        <v>NCBI</v>
      </c>
      <c r="F5084">
        <v>4.5999999999999999E-2</v>
      </c>
      <c r="G5084">
        <v>0.16</v>
      </c>
      <c r="H5084" s="1" t="str">
        <f>HYPERLINK("http://www.weizmann.ac.il/complex/compphys/software/geview/data/figures/218083_at.png","Figure")</f>
        <v>Figure</v>
      </c>
      <c r="I5084">
        <v>1.27</v>
      </c>
      <c r="J5084">
        <v>4.1000000000000002E-2</v>
      </c>
      <c r="K5084">
        <v>1.1499999999999999</v>
      </c>
      <c r="L5084">
        <v>0.19</v>
      </c>
      <c r="M5084">
        <v>0.90600000000000003</v>
      </c>
      <c r="N5084">
        <v>0.47</v>
      </c>
    </row>
    <row r="5085" spans="1:14" x14ac:dyDescent="0.25">
      <c r="A5085" t="s">
        <v>9202</v>
      </c>
      <c r="B5085" t="s">
        <v>6227</v>
      </c>
      <c r="C5085" s="1" t="str">
        <f>HYPERLINK("http://www.genecards.org/cgi-bin/carddisp.pl?gene=SYT12","GeneCards")</f>
        <v>GeneCards</v>
      </c>
      <c r="D5085" s="1" t="str">
        <f>HYPERLINK("http://genome-euro.ucsc.edu/cgi-bin/hgTracks?position=215860_at","UCSC")</f>
        <v>UCSC</v>
      </c>
      <c r="E5085" s="1" t="str">
        <f>HYPERLINK("http://www.ncbi.nlm.nih.gov/gene/?term=SYT12","NCBI")</f>
        <v>NCBI</v>
      </c>
      <c r="F5085">
        <v>4.7E-2</v>
      </c>
      <c r="G5085">
        <v>0.16</v>
      </c>
      <c r="H5085" s="1" t="str">
        <f>HYPERLINK("http://www.weizmann.ac.il/complex/compphys/software/geview/data/figures/215860_at.png","Figure")</f>
        <v>Figure</v>
      </c>
      <c r="I5085">
        <v>1.28</v>
      </c>
      <c r="J5085">
        <v>3.7999999999999999E-2</v>
      </c>
      <c r="K5085">
        <v>1.1299999999999999</v>
      </c>
      <c r="L5085">
        <v>0.27</v>
      </c>
      <c r="M5085">
        <v>0.88600000000000001</v>
      </c>
      <c r="N5085">
        <v>0.33</v>
      </c>
    </row>
    <row r="5086" spans="1:14" x14ac:dyDescent="0.25">
      <c r="A5086" t="s">
        <v>9203</v>
      </c>
      <c r="B5086" t="s">
        <v>6861</v>
      </c>
      <c r="C5086" s="1" t="str">
        <f>HYPERLINK("http://www.genecards.org/cgi-bin/carddisp.pl?gene=RB1CC1","GeneCards")</f>
        <v>GeneCards</v>
      </c>
      <c r="D5086" s="1" t="str">
        <f>HYPERLINK("http://genome-euro.ucsc.edu/cgi-bin/hgTracks?position=202034_x_at","UCSC")</f>
        <v>UCSC</v>
      </c>
      <c r="E5086" s="1" t="str">
        <f>HYPERLINK("http://www.ncbi.nlm.nih.gov/gene/?term=RB1CC1","NCBI")</f>
        <v>NCBI</v>
      </c>
      <c r="F5086">
        <v>4.7E-2</v>
      </c>
      <c r="G5086">
        <v>0.16</v>
      </c>
      <c r="H5086" s="1" t="str">
        <f>HYPERLINK("http://www.weizmann.ac.il/complex/compphys/software/geview/data/figures/202034_x_at.png","Figure")</f>
        <v>Figure</v>
      </c>
      <c r="I5086">
        <v>0.46500000000000002</v>
      </c>
      <c r="J5086">
        <v>0.21</v>
      </c>
      <c r="K5086">
        <v>0.35699999999999998</v>
      </c>
      <c r="L5086">
        <v>0.04</v>
      </c>
      <c r="M5086">
        <v>0.76700000000000002</v>
      </c>
      <c r="N5086">
        <v>0.79</v>
      </c>
    </row>
    <row r="5087" spans="1:14" x14ac:dyDescent="0.25">
      <c r="A5087" t="s">
        <v>9204</v>
      </c>
      <c r="B5087" t="s">
        <v>9205</v>
      </c>
      <c r="C5087" s="1" t="str">
        <f>HYPERLINK("http://www.genecards.org/cgi-bin/carddisp.pl?gene=HIST2H2AA3","GeneCards")</f>
        <v>GeneCards</v>
      </c>
      <c r="D5087" s="1" t="str">
        <f>HYPERLINK("http://genome-euro.ucsc.edu/cgi-bin/hgTracks?position=218279_s_at","UCSC")</f>
        <v>UCSC</v>
      </c>
      <c r="E5087" s="1" t="str">
        <f>HYPERLINK("http://www.ncbi.nlm.nih.gov/gene/?term=HIST2H2AA3","NCBI")</f>
        <v>NCBI</v>
      </c>
      <c r="F5087">
        <v>4.7E-2</v>
      </c>
      <c r="G5087">
        <v>0.16</v>
      </c>
      <c r="H5087" s="1" t="str">
        <f>HYPERLINK("http://www.weizmann.ac.il/complex/compphys/software/geview/data/figures/218279_s_at.png","Figure")</f>
        <v>Figure</v>
      </c>
      <c r="I5087">
        <v>1.42</v>
      </c>
      <c r="J5087">
        <v>4.3999999999999997E-2</v>
      </c>
      <c r="K5087">
        <v>1.25</v>
      </c>
      <c r="L5087">
        <v>0.15</v>
      </c>
      <c r="M5087">
        <v>0.88200000000000001</v>
      </c>
      <c r="N5087">
        <v>0.56000000000000005</v>
      </c>
    </row>
    <row r="5088" spans="1:14" x14ac:dyDescent="0.25">
      <c r="A5088" t="s">
        <v>9206</v>
      </c>
      <c r="B5088" t="s">
        <v>9207</v>
      </c>
      <c r="C5088" s="1" t="str">
        <f>HYPERLINK("http://www.genecards.org/cgi-bin/carddisp.pl?gene=USP29","GeneCards")</f>
        <v>GeneCards</v>
      </c>
      <c r="D5088" s="1" t="str">
        <f>HYPERLINK("http://genome-euro.ucsc.edu/cgi-bin/hgTracks?position=220895_at","UCSC")</f>
        <v>UCSC</v>
      </c>
      <c r="E5088" s="1" t="str">
        <f>HYPERLINK("http://www.ncbi.nlm.nih.gov/gene/?term=USP29","NCBI")</f>
        <v>NCBI</v>
      </c>
      <c r="F5088">
        <v>4.7E-2</v>
      </c>
      <c r="G5088">
        <v>0.16</v>
      </c>
      <c r="H5088" s="1" t="str">
        <f>HYPERLINK("http://www.weizmann.ac.il/complex/compphys/software/geview/data/figures/220895_at.png","Figure")</f>
        <v>Figure</v>
      </c>
      <c r="I5088">
        <v>1.17</v>
      </c>
      <c r="J5088">
        <v>0.11</v>
      </c>
      <c r="K5088">
        <v>0.97899999999999998</v>
      </c>
      <c r="L5088">
        <v>0.94</v>
      </c>
      <c r="M5088">
        <v>0.83799999999999997</v>
      </c>
      <c r="N5088">
        <v>4.4999999999999998E-2</v>
      </c>
    </row>
    <row r="5089" spans="1:14" x14ac:dyDescent="0.25">
      <c r="A5089" t="s">
        <v>9208</v>
      </c>
      <c r="B5089" t="s">
        <v>9209</v>
      </c>
      <c r="C5089" s="1" t="str">
        <f>HYPERLINK("http://www.genecards.org/cgi-bin/carddisp.pl?gene=ProSAPiP1","GeneCards")</f>
        <v>GeneCards</v>
      </c>
      <c r="D5089" s="1" t="str">
        <f>HYPERLINK("http://genome-euro.ucsc.edu/cgi-bin/hgTracks?position=204447_at","UCSC")</f>
        <v>UCSC</v>
      </c>
      <c r="E5089" s="1" t="str">
        <f>HYPERLINK("http://www.ncbi.nlm.nih.gov/gene/?term=ProSAPiP1","NCBI")</f>
        <v>NCBI</v>
      </c>
      <c r="F5089">
        <v>4.7E-2</v>
      </c>
      <c r="G5089">
        <v>0.16</v>
      </c>
      <c r="H5089" s="1" t="str">
        <f>HYPERLINK("http://www.weizmann.ac.il/complex/compphys/software/geview/data/figures/204447_at.png","Figure")</f>
        <v>Figure</v>
      </c>
      <c r="I5089">
        <v>1.1000000000000001</v>
      </c>
      <c r="J5089">
        <v>0.57999999999999996</v>
      </c>
      <c r="K5089">
        <v>0.872</v>
      </c>
      <c r="L5089">
        <v>0.23</v>
      </c>
      <c r="M5089">
        <v>0.79600000000000004</v>
      </c>
      <c r="N5089">
        <v>4.4999999999999998E-2</v>
      </c>
    </row>
    <row r="5090" spans="1:14" x14ac:dyDescent="0.25">
      <c r="A5090" t="s">
        <v>9210</v>
      </c>
      <c r="B5090" t="s">
        <v>9211</v>
      </c>
      <c r="C5090" s="1" t="str">
        <f>HYPERLINK("http://www.genecards.org/cgi-bin/carddisp.pl?gene=PCSK1N","GeneCards")</f>
        <v>GeneCards</v>
      </c>
      <c r="D5090" s="1" t="str">
        <f>HYPERLINK("http://genome-euro.ucsc.edu/cgi-bin/hgTracks?position=218952_at","UCSC")</f>
        <v>UCSC</v>
      </c>
      <c r="E5090" s="1" t="str">
        <f>HYPERLINK("http://www.ncbi.nlm.nih.gov/gene/?term=PCSK1N","NCBI")</f>
        <v>NCBI</v>
      </c>
      <c r="F5090">
        <v>4.7E-2</v>
      </c>
      <c r="G5090">
        <v>0.16</v>
      </c>
      <c r="H5090" s="1" t="str">
        <f>HYPERLINK("http://www.weizmann.ac.il/complex/compphys/software/geview/data/figures/218952_at.png","Figure")</f>
        <v>Figure</v>
      </c>
      <c r="I5090">
        <v>1.25</v>
      </c>
      <c r="J5090">
        <v>4.2999999999999997E-2</v>
      </c>
      <c r="K5090">
        <v>1.1499999999999999</v>
      </c>
      <c r="L5090">
        <v>0.17</v>
      </c>
      <c r="M5090">
        <v>0.92</v>
      </c>
      <c r="N5090">
        <v>0.53</v>
      </c>
    </row>
    <row r="5091" spans="1:14" x14ac:dyDescent="0.25">
      <c r="A5091" t="s">
        <v>9212</v>
      </c>
      <c r="B5091" t="s">
        <v>9213</v>
      </c>
      <c r="C5091" s="1" t="str">
        <f>HYPERLINK("http://www.genecards.org/cgi-bin/carddisp.pl?gene=CEND1","GeneCards")</f>
        <v>GeneCards</v>
      </c>
      <c r="D5091" s="1" t="str">
        <f>HYPERLINK("http://genome-euro.ucsc.edu/cgi-bin/hgTracks?position=219591_at","UCSC")</f>
        <v>UCSC</v>
      </c>
      <c r="E5091" s="1" t="str">
        <f>HYPERLINK("http://www.ncbi.nlm.nih.gov/gene/?term=CEND1","NCBI")</f>
        <v>NCBI</v>
      </c>
      <c r="F5091">
        <v>4.7E-2</v>
      </c>
      <c r="G5091">
        <v>0.16</v>
      </c>
      <c r="H5091" s="1" t="str">
        <f>HYPERLINK("http://www.weizmann.ac.il/complex/compphys/software/geview/data/figures/219591_at.png","Figure")</f>
        <v>Figure</v>
      </c>
      <c r="I5091">
        <v>1.32</v>
      </c>
      <c r="J5091">
        <v>3.7999999999999999E-2</v>
      </c>
      <c r="K5091">
        <v>1.1200000000000001</v>
      </c>
      <c r="L5091">
        <v>0.41</v>
      </c>
      <c r="M5091">
        <v>0.84799999999999998</v>
      </c>
      <c r="N5091">
        <v>0.22</v>
      </c>
    </row>
    <row r="5092" spans="1:14" x14ac:dyDescent="0.25">
      <c r="A5092" t="s">
        <v>9214</v>
      </c>
      <c r="B5092" t="s">
        <v>9215</v>
      </c>
      <c r="C5092" s="1" t="str">
        <f>HYPERLINK("http://www.genecards.org/cgi-bin/carddisp.pl?gene=SLC45A2","GeneCards")</f>
        <v>GeneCards</v>
      </c>
      <c r="D5092" s="1" t="str">
        <f>HYPERLINK("http://genome-euro.ucsc.edu/cgi-bin/hgTracks?position=220245_at","UCSC")</f>
        <v>UCSC</v>
      </c>
      <c r="E5092" s="1" t="str">
        <f>HYPERLINK("http://www.ncbi.nlm.nih.gov/gene/?term=SLC45A2","NCBI")</f>
        <v>NCBI</v>
      </c>
      <c r="F5092">
        <v>4.7E-2</v>
      </c>
      <c r="G5092">
        <v>0.16</v>
      </c>
      <c r="H5092" s="1" t="str">
        <f>HYPERLINK("http://www.weizmann.ac.il/complex/compphys/software/geview/data/figures/220245_at.png","Figure")</f>
        <v>Figure</v>
      </c>
      <c r="I5092">
        <v>1.1599999999999999</v>
      </c>
      <c r="J5092">
        <v>7.0999999999999994E-2</v>
      </c>
      <c r="K5092">
        <v>1</v>
      </c>
      <c r="L5092">
        <v>1</v>
      </c>
      <c r="M5092">
        <v>0.86199999999999999</v>
      </c>
      <c r="N5092">
        <v>5.8999999999999997E-2</v>
      </c>
    </row>
    <row r="5093" spans="1:14" x14ac:dyDescent="0.25">
      <c r="A5093" t="s">
        <v>9216</v>
      </c>
      <c r="B5093" t="s">
        <v>9217</v>
      </c>
      <c r="C5093" s="1" t="str">
        <f>HYPERLINK("http://www.genecards.org/cgi-bin/carddisp.pl?gene=CYP1B1","GeneCards")</f>
        <v>GeneCards</v>
      </c>
      <c r="D5093" s="1" t="str">
        <f>HYPERLINK("http://genome-euro.ucsc.edu/cgi-bin/hgTracks?position=202436_s_at","UCSC")</f>
        <v>UCSC</v>
      </c>
      <c r="E5093" s="1" t="str">
        <f>HYPERLINK("http://www.ncbi.nlm.nih.gov/gene/?term=CYP1B1","NCBI")</f>
        <v>NCBI</v>
      </c>
      <c r="F5093">
        <v>4.7E-2</v>
      </c>
      <c r="G5093">
        <v>0.16</v>
      </c>
      <c r="H5093" s="1" t="str">
        <f>HYPERLINK("http://www.weizmann.ac.il/complex/compphys/software/geview/data/figures/202436_s_at.png","Figure")</f>
        <v>Figure</v>
      </c>
      <c r="I5093">
        <v>1.1499999999999999</v>
      </c>
      <c r="J5093">
        <v>0.14000000000000001</v>
      </c>
      <c r="K5093">
        <v>0.96599999999999997</v>
      </c>
      <c r="L5093">
        <v>0.83</v>
      </c>
      <c r="M5093">
        <v>0.84</v>
      </c>
      <c r="N5093">
        <v>4.1000000000000002E-2</v>
      </c>
    </row>
    <row r="5094" spans="1:14" x14ac:dyDescent="0.25">
      <c r="A5094" t="s">
        <v>9218</v>
      </c>
      <c r="B5094" t="s">
        <v>3516</v>
      </c>
      <c r="C5094" s="1" t="str">
        <f>HYPERLINK("http://www.genecards.org/cgi-bin/carddisp.pl?gene=BMP7","GeneCards")</f>
        <v>GeneCards</v>
      </c>
      <c r="D5094" s="1" t="str">
        <f>HYPERLINK("http://genome-euro.ucsc.edu/cgi-bin/hgTracks?position=209590_at","UCSC")</f>
        <v>UCSC</v>
      </c>
      <c r="E5094" s="1" t="str">
        <f>HYPERLINK("http://www.ncbi.nlm.nih.gov/gene/?term=BMP7","NCBI")</f>
        <v>NCBI</v>
      </c>
      <c r="F5094">
        <v>4.7E-2</v>
      </c>
      <c r="G5094">
        <v>0.16</v>
      </c>
      <c r="H5094" s="1" t="str">
        <f>HYPERLINK("http://www.weizmann.ac.il/complex/compphys/software/geview/data/figures/209590_at.png","Figure")</f>
        <v>Figure</v>
      </c>
      <c r="I5094">
        <v>1.25</v>
      </c>
      <c r="J5094">
        <v>5.2999999999999999E-2</v>
      </c>
      <c r="K5094">
        <v>1.03</v>
      </c>
      <c r="L5094">
        <v>0.9</v>
      </c>
      <c r="M5094">
        <v>0.82899999999999996</v>
      </c>
      <c r="N5094">
        <v>8.1000000000000003E-2</v>
      </c>
    </row>
    <row r="5095" spans="1:14" x14ac:dyDescent="0.25">
      <c r="A5095" t="s">
        <v>9219</v>
      </c>
      <c r="B5095" t="s">
        <v>4769</v>
      </c>
      <c r="C5095" s="1" t="str">
        <f>HYPERLINK("http://www.genecards.org/cgi-bin/carddisp.pl?gene=ATP6V1C1","GeneCards")</f>
        <v>GeneCards</v>
      </c>
      <c r="D5095" s="1" t="str">
        <f>HYPERLINK("http://genome-euro.ucsc.edu/cgi-bin/hgTracks?position=202872_at","UCSC")</f>
        <v>UCSC</v>
      </c>
      <c r="E5095" s="1" t="str">
        <f>HYPERLINK("http://www.ncbi.nlm.nih.gov/gene/?term=ATP6V1C1","NCBI")</f>
        <v>NCBI</v>
      </c>
      <c r="F5095">
        <v>4.7E-2</v>
      </c>
      <c r="G5095">
        <v>0.16</v>
      </c>
      <c r="H5095" s="1" t="str">
        <f>HYPERLINK("http://www.weizmann.ac.il/complex/compphys/software/geview/data/figures/202872_at.png","Figure")</f>
        <v>Figure</v>
      </c>
      <c r="I5095">
        <v>0.85199999999999998</v>
      </c>
      <c r="J5095">
        <v>9.5000000000000001E-2</v>
      </c>
      <c r="K5095">
        <v>1.01</v>
      </c>
      <c r="L5095">
        <v>0.97</v>
      </c>
      <c r="M5095">
        <v>1.19</v>
      </c>
      <c r="N5095">
        <v>4.8000000000000001E-2</v>
      </c>
    </row>
    <row r="5096" spans="1:14" x14ac:dyDescent="0.25">
      <c r="A5096" t="s">
        <v>9220</v>
      </c>
      <c r="B5096" t="s">
        <v>9221</v>
      </c>
      <c r="C5096" s="1" t="str">
        <f>HYPERLINK("http://www.genecards.org/cgi-bin/carddisp.pl?gene=DDX49","GeneCards")</f>
        <v>GeneCards</v>
      </c>
      <c r="D5096" s="1" t="str">
        <f>HYPERLINK("http://genome-euro.ucsc.edu/cgi-bin/hgTracks?position=31807_at","UCSC")</f>
        <v>UCSC</v>
      </c>
      <c r="E5096" s="1" t="str">
        <f>HYPERLINK("http://www.ncbi.nlm.nih.gov/gene/?term=DDX49","NCBI")</f>
        <v>NCBI</v>
      </c>
      <c r="F5096">
        <v>4.7E-2</v>
      </c>
      <c r="G5096">
        <v>0.16</v>
      </c>
      <c r="H5096" s="1" t="str">
        <f>HYPERLINK("http://www.weizmann.ac.il/complex/compphys/software/geview/data/figures/31807_at.png","Figure")</f>
        <v>Figure</v>
      </c>
      <c r="I5096">
        <v>1.24</v>
      </c>
      <c r="J5096">
        <v>4.7E-2</v>
      </c>
      <c r="K5096">
        <v>1.1599999999999999</v>
      </c>
      <c r="L5096">
        <v>0.13</v>
      </c>
      <c r="M5096">
        <v>0.93200000000000005</v>
      </c>
      <c r="N5096">
        <v>0.64</v>
      </c>
    </row>
    <row r="5097" spans="1:14" x14ac:dyDescent="0.25">
      <c r="A5097" t="s">
        <v>9222</v>
      </c>
      <c r="B5097" t="s">
        <v>9188</v>
      </c>
      <c r="C5097" s="1" t="str">
        <f>HYPERLINK("http://www.genecards.org/cgi-bin/carddisp.pl?gene=FLNA","GeneCards")</f>
        <v>GeneCards</v>
      </c>
      <c r="D5097" s="1" t="str">
        <f>HYPERLINK("http://genome-euro.ucsc.edu/cgi-bin/hgTracks?position=214752_x_at","UCSC")</f>
        <v>UCSC</v>
      </c>
      <c r="E5097" s="1" t="str">
        <f>HYPERLINK("http://www.ncbi.nlm.nih.gov/gene/?term=FLNA","NCBI")</f>
        <v>NCBI</v>
      </c>
      <c r="F5097">
        <v>4.7E-2</v>
      </c>
      <c r="G5097">
        <v>0.16</v>
      </c>
      <c r="H5097" s="1" t="str">
        <f>HYPERLINK("http://www.weizmann.ac.il/complex/compphys/software/geview/data/figures/214752_x_at.png","Figure")</f>
        <v>Figure</v>
      </c>
      <c r="I5097">
        <v>0.93200000000000005</v>
      </c>
      <c r="J5097">
        <v>0.9</v>
      </c>
      <c r="K5097">
        <v>1.35</v>
      </c>
      <c r="L5097">
        <v>0.12</v>
      </c>
      <c r="M5097">
        <v>1.45</v>
      </c>
      <c r="N5097">
        <v>6.6000000000000003E-2</v>
      </c>
    </row>
    <row r="5098" spans="1:14" x14ac:dyDescent="0.25">
      <c r="A5098" t="s">
        <v>9223</v>
      </c>
      <c r="B5098" t="s">
        <v>9224</v>
      </c>
      <c r="C5098" s="1" t="str">
        <f>HYPERLINK("http://www.genecards.org/cgi-bin/carddisp.pl?gene=MEX3D","GeneCards")</f>
        <v>GeneCards</v>
      </c>
      <c r="D5098" s="1" t="str">
        <f>HYPERLINK("http://genome-euro.ucsc.edu/cgi-bin/hgTracks?position=222042_x_at","UCSC")</f>
        <v>UCSC</v>
      </c>
      <c r="E5098" s="1" t="str">
        <f>HYPERLINK("http://www.ncbi.nlm.nih.gov/gene/?term=MEX3D","NCBI")</f>
        <v>NCBI</v>
      </c>
      <c r="F5098">
        <v>4.7E-2</v>
      </c>
      <c r="G5098">
        <v>0.16</v>
      </c>
      <c r="H5098" s="1" t="str">
        <f>HYPERLINK("http://www.weizmann.ac.il/complex/compphys/software/geview/data/figures/222042_x_at.png","Figure")</f>
        <v>Figure</v>
      </c>
      <c r="I5098">
        <v>1.38</v>
      </c>
      <c r="J5098">
        <v>0.04</v>
      </c>
      <c r="K5098">
        <v>1.2</v>
      </c>
      <c r="L5098">
        <v>0.21</v>
      </c>
      <c r="M5098">
        <v>0.871</v>
      </c>
      <c r="N5098">
        <v>0.44</v>
      </c>
    </row>
    <row r="5099" spans="1:14" x14ac:dyDescent="0.25">
      <c r="A5099" t="s">
        <v>9225</v>
      </c>
      <c r="B5099" t="s">
        <v>9226</v>
      </c>
      <c r="C5099" s="1" t="str">
        <f>HYPERLINK("http://www.genecards.org/cgi-bin/carddisp.pl?gene=CKAP4","GeneCards")</f>
        <v>GeneCards</v>
      </c>
      <c r="D5099" s="1" t="str">
        <f>HYPERLINK("http://genome-euro.ucsc.edu/cgi-bin/hgTracks?position=200998_s_at","UCSC")</f>
        <v>UCSC</v>
      </c>
      <c r="E5099" s="1" t="str">
        <f>HYPERLINK("http://www.ncbi.nlm.nih.gov/gene/?term=CKAP4","NCBI")</f>
        <v>NCBI</v>
      </c>
      <c r="F5099">
        <v>4.7E-2</v>
      </c>
      <c r="G5099">
        <v>0.16</v>
      </c>
      <c r="H5099" s="1" t="str">
        <f>HYPERLINK("http://www.weizmann.ac.il/complex/compphys/software/geview/data/figures/200998_s_at.png","Figure")</f>
        <v>Figure</v>
      </c>
      <c r="I5099">
        <v>1.56</v>
      </c>
      <c r="J5099">
        <v>6.2E-2</v>
      </c>
      <c r="K5099">
        <v>1.43</v>
      </c>
      <c r="L5099">
        <v>8.6999999999999994E-2</v>
      </c>
      <c r="M5099">
        <v>0.91700000000000004</v>
      </c>
      <c r="N5099">
        <v>0.86</v>
      </c>
    </row>
    <row r="5100" spans="1:14" x14ac:dyDescent="0.25">
      <c r="A5100" t="s">
        <v>9227</v>
      </c>
      <c r="B5100" t="s">
        <v>9228</v>
      </c>
      <c r="C5100" s="1" t="str">
        <f>HYPERLINK("http://www.genecards.org/cgi-bin/carddisp.pl?gene=SVIL","GeneCards")</f>
        <v>GeneCards</v>
      </c>
      <c r="D5100" s="1" t="str">
        <f>HYPERLINK("http://genome-euro.ucsc.edu/cgi-bin/hgTracks?position=202565_s_at","UCSC")</f>
        <v>UCSC</v>
      </c>
      <c r="E5100" s="1" t="str">
        <f>HYPERLINK("http://www.ncbi.nlm.nih.gov/gene/?term=SVIL","NCBI")</f>
        <v>NCBI</v>
      </c>
      <c r="F5100">
        <v>4.7E-2</v>
      </c>
      <c r="G5100">
        <v>0.16</v>
      </c>
      <c r="H5100" s="1" t="str">
        <f>HYPERLINK("http://www.weizmann.ac.il/complex/compphys/software/geview/data/figures/202565_s_at.png","Figure")</f>
        <v>Figure</v>
      </c>
      <c r="I5100">
        <v>0.621</v>
      </c>
      <c r="J5100">
        <v>3.9E-2</v>
      </c>
      <c r="K5100">
        <v>0.83899999999999997</v>
      </c>
      <c r="L5100">
        <v>0.49</v>
      </c>
      <c r="M5100">
        <v>1.35</v>
      </c>
      <c r="N5100">
        <v>0.18</v>
      </c>
    </row>
    <row r="5101" spans="1:14" x14ac:dyDescent="0.25">
      <c r="A5101" t="s">
        <v>9229</v>
      </c>
      <c r="B5101" t="s">
        <v>9230</v>
      </c>
      <c r="C5101" s="1" t="str">
        <f>HYPERLINK("http://www.genecards.org/cgi-bin/carddisp.pl?gene=CRABP2","GeneCards")</f>
        <v>GeneCards</v>
      </c>
      <c r="D5101" s="1" t="str">
        <f>HYPERLINK("http://genome-euro.ucsc.edu/cgi-bin/hgTracks?position=202575_at","UCSC")</f>
        <v>UCSC</v>
      </c>
      <c r="E5101" s="1" t="str">
        <f>HYPERLINK("http://www.ncbi.nlm.nih.gov/gene/?term=CRABP2","NCBI")</f>
        <v>NCBI</v>
      </c>
      <c r="F5101">
        <v>4.7E-2</v>
      </c>
      <c r="G5101">
        <v>0.16</v>
      </c>
      <c r="H5101" s="1" t="str">
        <f>HYPERLINK("http://www.weizmann.ac.il/complex/compphys/software/geview/data/figures/202575_at.png","Figure")</f>
        <v>Figure</v>
      </c>
      <c r="I5101">
        <v>1.31</v>
      </c>
      <c r="J5101">
        <v>3.7999999999999999E-2</v>
      </c>
      <c r="K5101">
        <v>1.1499999999999999</v>
      </c>
      <c r="L5101">
        <v>0.28000000000000003</v>
      </c>
      <c r="M5101">
        <v>0.873</v>
      </c>
      <c r="N5101">
        <v>0.33</v>
      </c>
    </row>
    <row r="5102" spans="1:14" x14ac:dyDescent="0.25">
      <c r="A5102" t="s">
        <v>9231</v>
      </c>
      <c r="B5102" t="s">
        <v>4411</v>
      </c>
      <c r="C5102" s="1" t="str">
        <f>HYPERLINK("http://www.genecards.org/cgi-bin/carddisp.pl?gene=STK19","GeneCards")</f>
        <v>GeneCards</v>
      </c>
      <c r="D5102" s="1" t="str">
        <f>HYPERLINK("http://genome-euro.ucsc.edu/cgi-bin/hgTracks?position=204090_at","UCSC")</f>
        <v>UCSC</v>
      </c>
      <c r="E5102" s="1" t="str">
        <f>HYPERLINK("http://www.ncbi.nlm.nih.gov/gene/?term=STK19","NCBI")</f>
        <v>NCBI</v>
      </c>
      <c r="F5102">
        <v>4.7E-2</v>
      </c>
      <c r="G5102">
        <v>0.16</v>
      </c>
      <c r="H5102" s="1" t="str">
        <f>HYPERLINK("http://www.weizmann.ac.il/complex/compphys/software/geview/data/figures/204090_at.png","Figure")</f>
        <v>Figure</v>
      </c>
      <c r="I5102">
        <v>1.33</v>
      </c>
      <c r="J5102">
        <v>3.7999999999999999E-2</v>
      </c>
      <c r="K5102">
        <v>1.1200000000000001</v>
      </c>
      <c r="L5102">
        <v>0.45</v>
      </c>
      <c r="M5102">
        <v>0.83899999999999997</v>
      </c>
      <c r="N5102">
        <v>0.2</v>
      </c>
    </row>
    <row r="5103" spans="1:14" x14ac:dyDescent="0.25">
      <c r="A5103" t="s">
        <v>9232</v>
      </c>
      <c r="B5103" t="s">
        <v>3798</v>
      </c>
      <c r="C5103" s="1" t="str">
        <f>HYPERLINK("http://www.genecards.org/cgi-bin/carddisp.pl?gene=PTK2","GeneCards")</f>
        <v>GeneCards</v>
      </c>
      <c r="D5103" s="1" t="str">
        <f>HYPERLINK("http://genome-euro.ucsc.edu/cgi-bin/hgTracks?position=207821_s_at","UCSC")</f>
        <v>UCSC</v>
      </c>
      <c r="E5103" s="1" t="str">
        <f>HYPERLINK("http://www.ncbi.nlm.nih.gov/gene/?term=PTK2","NCBI")</f>
        <v>NCBI</v>
      </c>
      <c r="F5103">
        <v>4.7E-2</v>
      </c>
      <c r="G5103">
        <v>0.16</v>
      </c>
      <c r="H5103" s="1" t="str">
        <f>HYPERLINK("http://www.weizmann.ac.il/complex/compphys/software/geview/data/figures/207821_s_at.png","Figure")</f>
        <v>Figure</v>
      </c>
      <c r="I5103">
        <v>0.88</v>
      </c>
      <c r="J5103">
        <v>0.56999999999999995</v>
      </c>
      <c r="K5103">
        <v>0.74</v>
      </c>
      <c r="L5103">
        <v>0.04</v>
      </c>
      <c r="M5103">
        <v>0.84199999999999997</v>
      </c>
      <c r="N5103">
        <v>0.33</v>
      </c>
    </row>
    <row r="5104" spans="1:14" x14ac:dyDescent="0.25">
      <c r="A5104" t="s">
        <v>9233</v>
      </c>
      <c r="B5104" t="s">
        <v>9234</v>
      </c>
      <c r="C5104" s="1" t="str">
        <f>HYPERLINK("http://www.genecards.org/cgi-bin/carddisp.pl?gene=GAS2L1","GeneCards")</f>
        <v>GeneCards</v>
      </c>
      <c r="D5104" s="1" t="str">
        <f>HYPERLINK("http://genome-euro.ucsc.edu/cgi-bin/hgTracks?position=209729_at","UCSC")</f>
        <v>UCSC</v>
      </c>
      <c r="E5104" s="1" t="str">
        <f>HYPERLINK("http://www.ncbi.nlm.nih.gov/gene/?term=GAS2L1","NCBI")</f>
        <v>NCBI</v>
      </c>
      <c r="F5104">
        <v>4.7E-2</v>
      </c>
      <c r="G5104">
        <v>0.16</v>
      </c>
      <c r="H5104" s="1" t="str">
        <f>HYPERLINK("http://www.weizmann.ac.il/complex/compphys/software/geview/data/figures/209729_at.png","Figure")</f>
        <v>Figure</v>
      </c>
      <c r="I5104">
        <v>1.24</v>
      </c>
      <c r="J5104">
        <v>3.9E-2</v>
      </c>
      <c r="K5104">
        <v>1.1200000000000001</v>
      </c>
      <c r="L5104">
        <v>0.25</v>
      </c>
      <c r="M5104">
        <v>0.90500000000000003</v>
      </c>
      <c r="N5104">
        <v>0.37</v>
      </c>
    </row>
    <row r="5105" spans="1:14" x14ac:dyDescent="0.25">
      <c r="A5105" t="s">
        <v>9235</v>
      </c>
      <c r="B5105" t="s">
        <v>3318</v>
      </c>
      <c r="C5105" s="1" t="str">
        <f>HYPERLINK("http://www.genecards.org/cgi-bin/carddisp.pl?gene=GH1","GeneCards")</f>
        <v>GeneCards</v>
      </c>
      <c r="D5105" s="1" t="str">
        <f>HYPERLINK("http://genome-euro.ucsc.edu/cgi-bin/hgTracks?position=211151_x_at","UCSC")</f>
        <v>UCSC</v>
      </c>
      <c r="E5105" s="1" t="str">
        <f>HYPERLINK("http://www.ncbi.nlm.nih.gov/gene/?term=GH1","NCBI")</f>
        <v>NCBI</v>
      </c>
      <c r="F5105">
        <v>4.7E-2</v>
      </c>
      <c r="G5105">
        <v>0.16</v>
      </c>
      <c r="H5105" s="1" t="str">
        <f>HYPERLINK("http://www.weizmann.ac.il/complex/compphys/software/geview/data/figures/211151_x_at.png","Figure")</f>
        <v>Figure</v>
      </c>
      <c r="I5105">
        <v>1.27</v>
      </c>
      <c r="J5105">
        <v>5.2999999999999999E-2</v>
      </c>
      <c r="K5105">
        <v>1.19</v>
      </c>
      <c r="L5105">
        <v>0.11</v>
      </c>
      <c r="M5105">
        <v>0.94</v>
      </c>
      <c r="N5105">
        <v>0.75</v>
      </c>
    </row>
    <row r="5106" spans="1:14" x14ac:dyDescent="0.25">
      <c r="A5106" t="s">
        <v>9236</v>
      </c>
      <c r="B5106" t="s">
        <v>9237</v>
      </c>
      <c r="C5106" s="1" t="str">
        <f>HYPERLINK("http://www.genecards.org/cgi-bin/carddisp.pl?gene=TTC18","GeneCards")</f>
        <v>GeneCards</v>
      </c>
      <c r="D5106" s="1" t="str">
        <f>HYPERLINK("http://genome-euro.ucsc.edu/cgi-bin/hgTracks?position=215849_x_at","UCSC")</f>
        <v>UCSC</v>
      </c>
      <c r="E5106" s="1" t="str">
        <f>HYPERLINK("http://www.ncbi.nlm.nih.gov/gene/?term=TTC18","NCBI")</f>
        <v>NCBI</v>
      </c>
      <c r="F5106">
        <v>4.7E-2</v>
      </c>
      <c r="G5106">
        <v>0.16</v>
      </c>
      <c r="H5106" s="1" t="str">
        <f>HYPERLINK("http://www.weizmann.ac.il/complex/compphys/software/geview/data/figures/215849_x_at.png","Figure")</f>
        <v>Figure</v>
      </c>
      <c r="I5106">
        <v>1.33</v>
      </c>
      <c r="J5106">
        <v>3.9E-2</v>
      </c>
      <c r="K5106">
        <v>1.1100000000000001</v>
      </c>
      <c r="L5106">
        <v>0.5</v>
      </c>
      <c r="M5106">
        <v>0.83299999999999996</v>
      </c>
      <c r="N5106">
        <v>0.18</v>
      </c>
    </row>
    <row r="5107" spans="1:14" x14ac:dyDescent="0.25">
      <c r="A5107" t="s">
        <v>9238</v>
      </c>
      <c r="B5107" t="s">
        <v>7563</v>
      </c>
      <c r="C5107" s="1" t="str">
        <f>HYPERLINK("http://www.genecards.org/cgi-bin/carddisp.pl?gene=SLC7A8","GeneCards")</f>
        <v>GeneCards</v>
      </c>
      <c r="D5107" s="1" t="str">
        <f>HYPERLINK("http://genome-euro.ucsc.edu/cgi-bin/hgTracks?position=216603_at","UCSC")</f>
        <v>UCSC</v>
      </c>
      <c r="E5107" s="1" t="str">
        <f>HYPERLINK("http://www.ncbi.nlm.nih.gov/gene/?term=SLC7A8","NCBI")</f>
        <v>NCBI</v>
      </c>
      <c r="F5107">
        <v>4.7E-2</v>
      </c>
      <c r="G5107">
        <v>0.16</v>
      </c>
      <c r="H5107" s="1" t="str">
        <f>HYPERLINK("http://www.weizmann.ac.il/complex/compphys/software/geview/data/figures/216603_at.png","Figure")</f>
        <v>Figure</v>
      </c>
      <c r="I5107">
        <v>1.33</v>
      </c>
      <c r="J5107">
        <v>4.2000000000000003E-2</v>
      </c>
      <c r="K5107">
        <v>1.18</v>
      </c>
      <c r="L5107">
        <v>0.19</v>
      </c>
      <c r="M5107">
        <v>0.89100000000000001</v>
      </c>
      <c r="N5107">
        <v>0.48</v>
      </c>
    </row>
    <row r="5108" spans="1:14" x14ac:dyDescent="0.25">
      <c r="A5108" t="s">
        <v>9239</v>
      </c>
      <c r="B5108" t="s">
        <v>9240</v>
      </c>
      <c r="C5108" s="1" t="str">
        <f>HYPERLINK("http://www.genecards.org/cgi-bin/carddisp.pl?gene=SLC25A15","GeneCards")</f>
        <v>GeneCards</v>
      </c>
      <c r="D5108" s="1" t="str">
        <f>HYPERLINK("http://genome-euro.ucsc.edu/cgi-bin/hgTracks?position=218653_at","UCSC")</f>
        <v>UCSC</v>
      </c>
      <c r="E5108" s="1" t="str">
        <f>HYPERLINK("http://www.ncbi.nlm.nih.gov/gene/?term=SLC25A15","NCBI")</f>
        <v>NCBI</v>
      </c>
      <c r="F5108">
        <v>4.7E-2</v>
      </c>
      <c r="G5108">
        <v>0.16</v>
      </c>
      <c r="H5108" s="1" t="str">
        <f>HYPERLINK("http://www.weizmann.ac.il/complex/compphys/software/geview/data/figures/218653_at.png","Figure")</f>
        <v>Figure</v>
      </c>
      <c r="I5108">
        <v>1.02</v>
      </c>
      <c r="J5108">
        <v>0.95</v>
      </c>
      <c r="K5108">
        <v>1.17</v>
      </c>
      <c r="L5108">
        <v>5.8999999999999997E-2</v>
      </c>
      <c r="M5108">
        <v>1.1499999999999999</v>
      </c>
      <c r="N5108">
        <v>0.14000000000000001</v>
      </c>
    </row>
    <row r="5109" spans="1:14" x14ac:dyDescent="0.25">
      <c r="A5109" t="s">
        <v>9241</v>
      </c>
      <c r="B5109" t="s">
        <v>9242</v>
      </c>
      <c r="C5109" s="1" t="str">
        <f>HYPERLINK("http://www.genecards.org/cgi-bin/carddisp.pl?gene=CDC42EP4","GeneCards")</f>
        <v>GeneCards</v>
      </c>
      <c r="D5109" s="1" t="str">
        <f>HYPERLINK("http://genome-euro.ucsc.edu/cgi-bin/hgTracks?position=214721_x_at","UCSC")</f>
        <v>UCSC</v>
      </c>
      <c r="E5109" s="1" t="str">
        <f>HYPERLINK("http://www.ncbi.nlm.nih.gov/gene/?term=CDC42EP4","NCBI")</f>
        <v>NCBI</v>
      </c>
      <c r="F5109">
        <v>4.7E-2</v>
      </c>
      <c r="G5109">
        <v>0.16</v>
      </c>
      <c r="H5109" s="1" t="str">
        <f>HYPERLINK("http://www.weizmann.ac.il/complex/compphys/software/geview/data/figures/214721_x_at.png","Figure")</f>
        <v>Figure</v>
      </c>
      <c r="I5109">
        <v>1.38</v>
      </c>
      <c r="J5109">
        <v>3.9E-2</v>
      </c>
      <c r="K5109">
        <v>1.19</v>
      </c>
      <c r="L5109">
        <v>0.23</v>
      </c>
      <c r="M5109">
        <v>0.86299999999999999</v>
      </c>
      <c r="N5109">
        <v>0.39</v>
      </c>
    </row>
    <row r="5110" spans="1:14" x14ac:dyDescent="0.25">
      <c r="A5110" t="s">
        <v>9243</v>
      </c>
      <c r="B5110" t="s">
        <v>5339</v>
      </c>
      <c r="C5110" s="1" t="str">
        <f>HYPERLINK("http://www.genecards.org/cgi-bin/carddisp.pl?gene=PCSK6","GeneCards")</f>
        <v>GeneCards</v>
      </c>
      <c r="D5110" s="1" t="str">
        <f>HYPERLINK("http://genome-euro.ucsc.edu/cgi-bin/hgTracks?position=211263_s_at","UCSC")</f>
        <v>UCSC</v>
      </c>
      <c r="E5110" s="1" t="str">
        <f>HYPERLINK("http://www.ncbi.nlm.nih.gov/gene/?term=PCSK6","NCBI")</f>
        <v>NCBI</v>
      </c>
      <c r="F5110">
        <v>4.7E-2</v>
      </c>
      <c r="G5110">
        <v>0.16</v>
      </c>
      <c r="H5110" s="1" t="str">
        <f>HYPERLINK("http://www.weizmann.ac.il/complex/compphys/software/geview/data/figures/211263_s_at.png","Figure")</f>
        <v>Figure</v>
      </c>
      <c r="I5110">
        <v>1.1499999999999999</v>
      </c>
      <c r="J5110">
        <v>7.2999999999999995E-2</v>
      </c>
      <c r="K5110">
        <v>1.1299999999999999</v>
      </c>
      <c r="L5110">
        <v>7.3999999999999996E-2</v>
      </c>
      <c r="M5110">
        <v>0.98199999999999998</v>
      </c>
      <c r="N5110">
        <v>0.94</v>
      </c>
    </row>
    <row r="5111" spans="1:14" x14ac:dyDescent="0.25">
      <c r="A5111" t="s">
        <v>9244</v>
      </c>
      <c r="B5111" t="s">
        <v>6375</v>
      </c>
      <c r="C5111" s="1" t="str">
        <f>HYPERLINK("http://www.genecards.org/cgi-bin/carddisp.pl?gene=MVK","GeneCards")</f>
        <v>GeneCards</v>
      </c>
      <c r="D5111" s="1" t="str">
        <f>HYPERLINK("http://genome-euro.ucsc.edu/cgi-bin/hgTracks?position=215649_s_at","UCSC")</f>
        <v>UCSC</v>
      </c>
      <c r="E5111" s="1" t="str">
        <f>HYPERLINK("http://www.ncbi.nlm.nih.gov/gene/?term=MVK","NCBI")</f>
        <v>NCBI</v>
      </c>
      <c r="F5111">
        <v>4.7E-2</v>
      </c>
      <c r="G5111">
        <v>0.16</v>
      </c>
      <c r="H5111" s="1" t="str">
        <f>HYPERLINK("http://www.weizmann.ac.il/complex/compphys/software/geview/data/figures/215649_s_at.png","Figure")</f>
        <v>Figure</v>
      </c>
      <c r="I5111">
        <v>1.22</v>
      </c>
      <c r="J5111">
        <v>4.1000000000000002E-2</v>
      </c>
      <c r="K5111">
        <v>1.1200000000000001</v>
      </c>
      <c r="L5111">
        <v>0.2</v>
      </c>
      <c r="M5111">
        <v>0.92</v>
      </c>
      <c r="N5111">
        <v>0.46</v>
      </c>
    </row>
    <row r="5112" spans="1:14" x14ac:dyDescent="0.25">
      <c r="A5112" t="s">
        <v>9245</v>
      </c>
      <c r="B5112" t="s">
        <v>6874</v>
      </c>
      <c r="C5112" s="1" t="str">
        <f>HYPERLINK("http://www.genecards.org/cgi-bin/carddisp.pl?gene=ITM2B","GeneCards")</f>
        <v>GeneCards</v>
      </c>
      <c r="D5112" s="1" t="str">
        <f>HYPERLINK("http://genome-euro.ucsc.edu/cgi-bin/hgTracks?position=217732_s_at","UCSC")</f>
        <v>UCSC</v>
      </c>
      <c r="E5112" s="1" t="str">
        <f>HYPERLINK("http://www.ncbi.nlm.nih.gov/gene/?term=ITM2B","NCBI")</f>
        <v>NCBI</v>
      </c>
      <c r="F5112">
        <v>4.7E-2</v>
      </c>
      <c r="G5112">
        <v>0.16</v>
      </c>
      <c r="H5112" s="1" t="str">
        <f>HYPERLINK("http://www.weizmann.ac.il/complex/compphys/software/geview/data/figures/217732_s_at.png","Figure")</f>
        <v>Figure</v>
      </c>
      <c r="I5112">
        <v>0.55600000000000005</v>
      </c>
      <c r="J5112">
        <v>3.7999999999999999E-2</v>
      </c>
      <c r="K5112">
        <v>0.752</v>
      </c>
      <c r="L5112">
        <v>0.3</v>
      </c>
      <c r="M5112">
        <v>1.35</v>
      </c>
      <c r="N5112">
        <v>0.31</v>
      </c>
    </row>
    <row r="5113" spans="1:14" x14ac:dyDescent="0.25">
      <c r="A5113" t="s">
        <v>9246</v>
      </c>
      <c r="B5113" t="s">
        <v>7079</v>
      </c>
      <c r="C5113" s="1" t="str">
        <f>HYPERLINK("http://www.genecards.org/cgi-bin/carddisp.pl?gene=RRP7A /// RRP7B","GeneCards")</f>
        <v>GeneCards</v>
      </c>
      <c r="D5113" s="1" t="str">
        <f>HYPERLINK("http://genome-euro.ucsc.edu/cgi-bin/hgTracks?position=202938_x_at","UCSC")</f>
        <v>UCSC</v>
      </c>
      <c r="E5113" s="1" t="str">
        <f>HYPERLINK("http://www.ncbi.nlm.nih.gov/gene/?term=RRP7A /// RRP7B","NCBI")</f>
        <v>NCBI</v>
      </c>
      <c r="F5113">
        <v>4.7E-2</v>
      </c>
      <c r="G5113">
        <v>0.16</v>
      </c>
      <c r="H5113" s="1" t="str">
        <f>HYPERLINK("http://www.weizmann.ac.il/complex/compphys/software/geview/data/figures/202938_x_at.png","Figure")</f>
        <v>Figure</v>
      </c>
      <c r="I5113">
        <v>1.38</v>
      </c>
      <c r="J5113">
        <v>6.8000000000000005E-2</v>
      </c>
      <c r="K5113">
        <v>1.01</v>
      </c>
      <c r="L5113">
        <v>0.99</v>
      </c>
      <c r="M5113">
        <v>0.73699999999999999</v>
      </c>
      <c r="N5113">
        <v>6.2E-2</v>
      </c>
    </row>
    <row r="5114" spans="1:14" x14ac:dyDescent="0.25">
      <c r="A5114" t="s">
        <v>9247</v>
      </c>
      <c r="B5114" t="s">
        <v>7458</v>
      </c>
      <c r="C5114" s="1" t="str">
        <f>HYPERLINK("http://www.genecards.org/cgi-bin/carddisp.pl?gene=GABBR2","GeneCards")</f>
        <v>GeneCards</v>
      </c>
      <c r="D5114" s="1" t="str">
        <f>HYPERLINK("http://genome-euro.ucsc.edu/cgi-bin/hgTracks?position=217077_s_at","UCSC")</f>
        <v>UCSC</v>
      </c>
      <c r="E5114" s="1" t="str">
        <f>HYPERLINK("http://www.ncbi.nlm.nih.gov/gene/?term=GABBR2","NCBI")</f>
        <v>NCBI</v>
      </c>
      <c r="F5114">
        <v>4.7E-2</v>
      </c>
      <c r="G5114">
        <v>0.16</v>
      </c>
      <c r="H5114" s="1" t="str">
        <f>HYPERLINK("http://www.weizmann.ac.il/complex/compphys/software/geview/data/figures/217077_s_at.png","Figure")</f>
        <v>Figure</v>
      </c>
      <c r="I5114">
        <v>1.19</v>
      </c>
      <c r="J5114">
        <v>3.9E-2</v>
      </c>
      <c r="K5114">
        <v>1.07</v>
      </c>
      <c r="L5114">
        <v>0.47</v>
      </c>
      <c r="M5114">
        <v>0.89900000000000002</v>
      </c>
      <c r="N5114">
        <v>0.19</v>
      </c>
    </row>
    <row r="5115" spans="1:14" x14ac:dyDescent="0.25">
      <c r="A5115" t="s">
        <v>9248</v>
      </c>
      <c r="B5115" t="s">
        <v>5983</v>
      </c>
      <c r="C5115" s="1" t="str">
        <f>HYPERLINK("http://www.genecards.org/cgi-bin/carddisp.pl?gene=NLRP3","GeneCards")</f>
        <v>GeneCards</v>
      </c>
      <c r="D5115" s="1" t="str">
        <f>HYPERLINK("http://genome-euro.ucsc.edu/cgi-bin/hgTracks?position=216015_s_at","UCSC")</f>
        <v>UCSC</v>
      </c>
      <c r="E5115" s="1" t="str">
        <f>HYPERLINK("http://www.ncbi.nlm.nih.gov/gene/?term=NLRP3","NCBI")</f>
        <v>NCBI</v>
      </c>
      <c r="F5115">
        <v>4.7E-2</v>
      </c>
      <c r="G5115">
        <v>0.16</v>
      </c>
      <c r="H5115" s="1" t="str">
        <f>HYPERLINK("http://www.weizmann.ac.il/complex/compphys/software/geview/data/figures/216015_s_at.png","Figure")</f>
        <v>Figure</v>
      </c>
      <c r="I5115">
        <v>0.94299999999999995</v>
      </c>
      <c r="J5115">
        <v>7.5999999999999998E-2</v>
      </c>
      <c r="K5115">
        <v>1</v>
      </c>
      <c r="L5115">
        <v>1</v>
      </c>
      <c r="M5115">
        <v>1.06</v>
      </c>
      <c r="N5115">
        <v>5.6000000000000001E-2</v>
      </c>
    </row>
    <row r="5116" spans="1:14" x14ac:dyDescent="0.25">
      <c r="A5116" t="s">
        <v>9249</v>
      </c>
      <c r="B5116" t="s">
        <v>9250</v>
      </c>
      <c r="C5116" s="1" t="str">
        <f>HYPERLINK("http://www.genecards.org/cgi-bin/carddisp.pl?gene=TM2D1","GeneCards")</f>
        <v>GeneCards</v>
      </c>
      <c r="D5116" s="1" t="str">
        <f>HYPERLINK("http://genome-euro.ucsc.edu/cgi-bin/hgTracks?position=213882_at","UCSC")</f>
        <v>UCSC</v>
      </c>
      <c r="E5116" s="1" t="str">
        <f>HYPERLINK("http://www.ncbi.nlm.nih.gov/gene/?term=TM2D1","NCBI")</f>
        <v>NCBI</v>
      </c>
      <c r="F5116">
        <v>4.7E-2</v>
      </c>
      <c r="G5116">
        <v>0.16</v>
      </c>
      <c r="H5116" s="1" t="str">
        <f>HYPERLINK("http://www.weizmann.ac.il/complex/compphys/software/geview/data/figures/213882_at.png","Figure")</f>
        <v>Figure</v>
      </c>
      <c r="I5116">
        <v>0.78600000000000003</v>
      </c>
      <c r="J5116">
        <v>7.5999999999999998E-2</v>
      </c>
      <c r="K5116">
        <v>1</v>
      </c>
      <c r="L5116">
        <v>1</v>
      </c>
      <c r="M5116">
        <v>1.27</v>
      </c>
      <c r="N5116">
        <v>5.6000000000000001E-2</v>
      </c>
    </row>
    <row r="5117" spans="1:14" x14ac:dyDescent="0.25">
      <c r="A5117" t="s">
        <v>9251</v>
      </c>
      <c r="B5117" t="s">
        <v>9252</v>
      </c>
      <c r="C5117" s="1" t="str">
        <f>HYPERLINK("http://www.genecards.org/cgi-bin/carddisp.pl?gene=CMPK1","GeneCards")</f>
        <v>GeneCards</v>
      </c>
      <c r="D5117" s="1" t="str">
        <f>HYPERLINK("http://genome-euro.ucsc.edu/cgi-bin/hgTracks?position=217870_s_at","UCSC")</f>
        <v>UCSC</v>
      </c>
      <c r="E5117" s="1" t="str">
        <f>HYPERLINK("http://www.ncbi.nlm.nih.gov/gene/?term=CMPK1","NCBI")</f>
        <v>NCBI</v>
      </c>
      <c r="F5117">
        <v>4.7E-2</v>
      </c>
      <c r="G5117">
        <v>0.16</v>
      </c>
      <c r="H5117" s="1" t="str">
        <f>HYPERLINK("http://www.weizmann.ac.il/complex/compphys/software/geview/data/figures/217870_s_at.png","Figure")</f>
        <v>Figure</v>
      </c>
      <c r="I5117">
        <v>0.62</v>
      </c>
      <c r="J5117">
        <v>0.04</v>
      </c>
      <c r="K5117">
        <v>0.85</v>
      </c>
      <c r="L5117">
        <v>0.54</v>
      </c>
      <c r="M5117">
        <v>1.37</v>
      </c>
      <c r="N5117">
        <v>0.16</v>
      </c>
    </row>
    <row r="5118" spans="1:14" x14ac:dyDescent="0.25">
      <c r="A5118" t="s">
        <v>9253</v>
      </c>
      <c r="B5118" t="s">
        <v>9254</v>
      </c>
      <c r="C5118" s="1" t="str">
        <f>HYPERLINK("http://www.genecards.org/cgi-bin/carddisp.pl?gene=HERC5","GeneCards")</f>
        <v>GeneCards</v>
      </c>
      <c r="D5118" s="1" t="str">
        <f>HYPERLINK("http://genome-euro.ucsc.edu/cgi-bin/hgTracks?position=219863_at","UCSC")</f>
        <v>UCSC</v>
      </c>
      <c r="E5118" s="1" t="str">
        <f>HYPERLINK("http://www.ncbi.nlm.nih.gov/gene/?term=HERC5","NCBI")</f>
        <v>NCBI</v>
      </c>
      <c r="F5118">
        <v>4.7E-2</v>
      </c>
      <c r="G5118">
        <v>0.16</v>
      </c>
      <c r="H5118" s="1" t="str">
        <f>HYPERLINK("http://www.weizmann.ac.il/complex/compphys/software/geview/data/figures/219863_at.png","Figure")</f>
        <v>Figure</v>
      </c>
      <c r="I5118">
        <v>1.28</v>
      </c>
      <c r="J5118">
        <v>0.56000000000000005</v>
      </c>
      <c r="K5118">
        <v>0.70499999999999996</v>
      </c>
      <c r="L5118">
        <v>0.24</v>
      </c>
      <c r="M5118">
        <v>0.55000000000000004</v>
      </c>
      <c r="N5118">
        <v>4.3999999999999997E-2</v>
      </c>
    </row>
    <row r="5119" spans="1:14" x14ac:dyDescent="0.25">
      <c r="A5119" t="s">
        <v>9255</v>
      </c>
      <c r="B5119" t="s">
        <v>9256</v>
      </c>
      <c r="C5119" s="1" t="str">
        <f>HYPERLINK("http://www.genecards.org/cgi-bin/carddisp.pl?gene=AUH","GeneCards")</f>
        <v>GeneCards</v>
      </c>
      <c r="D5119" s="1" t="str">
        <f>HYPERLINK("http://genome-euro.ucsc.edu/cgi-bin/hgTracks?position=205052_at","UCSC")</f>
        <v>UCSC</v>
      </c>
      <c r="E5119" s="1" t="str">
        <f>HYPERLINK("http://www.ncbi.nlm.nih.gov/gene/?term=AUH","NCBI")</f>
        <v>NCBI</v>
      </c>
      <c r="F5119">
        <v>4.7E-2</v>
      </c>
      <c r="G5119">
        <v>0.16</v>
      </c>
      <c r="H5119" s="1" t="str">
        <f>HYPERLINK("http://www.weizmann.ac.il/complex/compphys/software/geview/data/figures/205052_at.png","Figure")</f>
        <v>Figure</v>
      </c>
      <c r="I5119">
        <v>0.90900000000000003</v>
      </c>
      <c r="J5119">
        <v>0.89</v>
      </c>
      <c r="K5119">
        <v>1.47</v>
      </c>
      <c r="L5119">
        <v>0.12</v>
      </c>
      <c r="M5119">
        <v>1.62</v>
      </c>
      <c r="N5119">
        <v>6.6000000000000003E-2</v>
      </c>
    </row>
    <row r="5120" spans="1:14" x14ac:dyDescent="0.25">
      <c r="A5120" t="s">
        <v>9257</v>
      </c>
      <c r="B5120" t="s">
        <v>9258</v>
      </c>
      <c r="C5120" s="1" t="str">
        <f>HYPERLINK("http://www.genecards.org/cgi-bin/carddisp.pl?gene=CETN1","GeneCards")</f>
        <v>GeneCards</v>
      </c>
      <c r="D5120" s="1" t="str">
        <f>HYPERLINK("http://genome-euro.ucsc.edu/cgi-bin/hgTracks?position=207209_at","UCSC")</f>
        <v>UCSC</v>
      </c>
      <c r="E5120" s="1" t="str">
        <f>HYPERLINK("http://www.ncbi.nlm.nih.gov/gene/?term=CETN1","NCBI")</f>
        <v>NCBI</v>
      </c>
      <c r="F5120">
        <v>4.7E-2</v>
      </c>
      <c r="G5120">
        <v>0.16</v>
      </c>
      <c r="H5120" s="1" t="str">
        <f>HYPERLINK("http://www.weizmann.ac.il/complex/compphys/software/geview/data/figures/207209_at.png","Figure")</f>
        <v>Figure</v>
      </c>
      <c r="I5120">
        <v>1.1399999999999999</v>
      </c>
      <c r="J5120">
        <v>0.09</v>
      </c>
      <c r="K5120">
        <v>0.99199999999999999</v>
      </c>
      <c r="L5120">
        <v>0.98</v>
      </c>
      <c r="M5120">
        <v>0.874</v>
      </c>
      <c r="N5120">
        <v>0.05</v>
      </c>
    </row>
    <row r="5121" spans="1:14" x14ac:dyDescent="0.25">
      <c r="A5121" t="s">
        <v>9259</v>
      </c>
      <c r="B5121" t="s">
        <v>9260</v>
      </c>
      <c r="C5121" s="1" t="str">
        <f>HYPERLINK("http://www.genecards.org/cgi-bin/carddisp.pl?gene=H2AFY","GeneCards")</f>
        <v>GeneCards</v>
      </c>
      <c r="D5121" s="1" t="str">
        <f>HYPERLINK("http://genome-euro.ucsc.edu/cgi-bin/hgTracks?position=214501_s_at","UCSC")</f>
        <v>UCSC</v>
      </c>
      <c r="E5121" s="1" t="str">
        <f>HYPERLINK("http://www.ncbi.nlm.nih.gov/gene/?term=H2AFY","NCBI")</f>
        <v>NCBI</v>
      </c>
      <c r="F5121">
        <v>4.7E-2</v>
      </c>
      <c r="G5121">
        <v>0.16</v>
      </c>
      <c r="H5121" s="1" t="str">
        <f>HYPERLINK("http://www.weizmann.ac.il/complex/compphys/software/geview/data/figures/214501_s_at.png","Figure")</f>
        <v>Figure</v>
      </c>
      <c r="I5121">
        <v>1.21</v>
      </c>
      <c r="J5121">
        <v>0.49</v>
      </c>
      <c r="K5121">
        <v>1.48</v>
      </c>
      <c r="L5121">
        <v>3.9E-2</v>
      </c>
      <c r="M5121">
        <v>1.23</v>
      </c>
      <c r="N5121">
        <v>0.39</v>
      </c>
    </row>
    <row r="5122" spans="1:14" x14ac:dyDescent="0.25">
      <c r="A5122" t="s">
        <v>9261</v>
      </c>
      <c r="B5122" t="s">
        <v>9262</v>
      </c>
      <c r="C5122" s="1" t="str">
        <f>HYPERLINK("http://www.genecards.org/cgi-bin/carddisp.pl?gene=PVT1","GeneCards")</f>
        <v>GeneCards</v>
      </c>
      <c r="D5122" s="1" t="str">
        <f>HYPERLINK("http://genome-euro.ucsc.edu/cgi-bin/hgTracks?position=222087_at","UCSC")</f>
        <v>UCSC</v>
      </c>
      <c r="E5122" s="1" t="str">
        <f>HYPERLINK("http://www.ncbi.nlm.nih.gov/gene/?term=PVT1","NCBI")</f>
        <v>NCBI</v>
      </c>
      <c r="F5122">
        <v>4.7E-2</v>
      </c>
      <c r="G5122">
        <v>0.16</v>
      </c>
      <c r="H5122" s="1" t="str">
        <f>HYPERLINK("http://www.weizmann.ac.il/complex/compphys/software/geview/data/figures/222087_at.png","Figure")</f>
        <v>Figure</v>
      </c>
      <c r="I5122">
        <v>1.05</v>
      </c>
      <c r="J5122">
        <v>0.7</v>
      </c>
      <c r="K5122">
        <v>0.91</v>
      </c>
      <c r="L5122">
        <v>0.18</v>
      </c>
      <c r="M5122">
        <v>0.86799999999999999</v>
      </c>
      <c r="N5122">
        <v>5.0999999999999997E-2</v>
      </c>
    </row>
    <row r="5123" spans="1:14" x14ac:dyDescent="0.25">
      <c r="A5123" t="s">
        <v>9263</v>
      </c>
      <c r="B5123" t="s">
        <v>9264</v>
      </c>
      <c r="C5123" s="1" t="str">
        <f>HYPERLINK("http://www.genecards.org/cgi-bin/carddisp.pl?gene=KDM5B","GeneCards")</f>
        <v>GeneCards</v>
      </c>
      <c r="D5123" s="1" t="str">
        <f>HYPERLINK("http://genome-euro.ucsc.edu/cgi-bin/hgTracks?position=201548_s_at","UCSC")</f>
        <v>UCSC</v>
      </c>
      <c r="E5123" s="1" t="str">
        <f>HYPERLINK("http://www.ncbi.nlm.nih.gov/gene/?term=KDM5B","NCBI")</f>
        <v>NCBI</v>
      </c>
      <c r="F5123">
        <v>4.7E-2</v>
      </c>
      <c r="G5123">
        <v>0.16</v>
      </c>
      <c r="H5123" s="1" t="str">
        <f>HYPERLINK("http://www.weizmann.ac.il/complex/compphys/software/geview/data/figures/201548_s_at.png","Figure")</f>
        <v>Figure</v>
      </c>
      <c r="I5123">
        <v>1.85</v>
      </c>
      <c r="J5123">
        <v>3.7999999999999999E-2</v>
      </c>
      <c r="K5123">
        <v>1.33</v>
      </c>
      <c r="L5123">
        <v>0.33</v>
      </c>
      <c r="M5123">
        <v>0.72099999999999997</v>
      </c>
      <c r="N5123">
        <v>0.28000000000000003</v>
      </c>
    </row>
    <row r="5124" spans="1:14" x14ac:dyDescent="0.25">
      <c r="A5124" t="s">
        <v>9265</v>
      </c>
      <c r="B5124" t="s">
        <v>7828</v>
      </c>
      <c r="C5124" s="1" t="str">
        <f>HYPERLINK("http://www.genecards.org/cgi-bin/carddisp.pl?gene=PRDM2","GeneCards")</f>
        <v>GeneCards</v>
      </c>
      <c r="D5124" s="1" t="str">
        <f>HYPERLINK("http://genome-euro.ucsc.edu/cgi-bin/hgTracks?position=203057_s_at","UCSC")</f>
        <v>UCSC</v>
      </c>
      <c r="E5124" s="1" t="str">
        <f>HYPERLINK("http://www.ncbi.nlm.nih.gov/gene/?term=PRDM2","NCBI")</f>
        <v>NCBI</v>
      </c>
      <c r="F5124">
        <v>4.7E-2</v>
      </c>
      <c r="G5124">
        <v>0.16</v>
      </c>
      <c r="H5124" s="1" t="str">
        <f>HYPERLINK("http://www.weizmann.ac.il/complex/compphys/software/geview/data/figures/203057_s_at.png","Figure")</f>
        <v>Figure</v>
      </c>
      <c r="I5124">
        <v>0.95499999999999996</v>
      </c>
      <c r="J5124">
        <v>0.99</v>
      </c>
      <c r="K5124">
        <v>0.435</v>
      </c>
      <c r="L5124">
        <v>6.9000000000000006E-2</v>
      </c>
      <c r="M5124">
        <v>0.45600000000000002</v>
      </c>
      <c r="N5124">
        <v>0.11</v>
      </c>
    </row>
    <row r="5125" spans="1:14" x14ac:dyDescent="0.25">
      <c r="A5125" t="s">
        <v>9266</v>
      </c>
      <c r="B5125" t="s">
        <v>9267</v>
      </c>
      <c r="C5125" s="1" t="str">
        <f>HYPERLINK("http://www.genecards.org/cgi-bin/carddisp.pl?gene=NTRK2","GeneCards")</f>
        <v>GeneCards</v>
      </c>
      <c r="D5125" s="1" t="str">
        <f>HYPERLINK("http://genome-euro.ucsc.edu/cgi-bin/hgTracks?position=207152_at","UCSC")</f>
        <v>UCSC</v>
      </c>
      <c r="E5125" s="1" t="str">
        <f>HYPERLINK("http://www.ncbi.nlm.nih.gov/gene/?term=NTRK2","NCBI")</f>
        <v>NCBI</v>
      </c>
      <c r="F5125">
        <v>4.7E-2</v>
      </c>
      <c r="G5125">
        <v>0.16</v>
      </c>
      <c r="H5125" s="1" t="str">
        <f>HYPERLINK("http://www.weizmann.ac.il/complex/compphys/software/geview/data/figures/207152_at.png","Figure")</f>
        <v>Figure</v>
      </c>
      <c r="I5125">
        <v>1.22</v>
      </c>
      <c r="J5125">
        <v>5.5E-2</v>
      </c>
      <c r="K5125">
        <v>1.03</v>
      </c>
      <c r="L5125">
        <v>0.91</v>
      </c>
      <c r="M5125">
        <v>0.84199999999999997</v>
      </c>
      <c r="N5125">
        <v>0.08</v>
      </c>
    </row>
    <row r="5126" spans="1:14" x14ac:dyDescent="0.25">
      <c r="A5126" t="s">
        <v>9268</v>
      </c>
      <c r="B5126" t="s">
        <v>9269</v>
      </c>
      <c r="C5126" s="1" t="str">
        <f>HYPERLINK("http://www.genecards.org/cgi-bin/carddisp.pl?gene=LOC399804","GeneCards")</f>
        <v>GeneCards</v>
      </c>
      <c r="D5126" s="1" t="str">
        <f>HYPERLINK("http://genome-euro.ucsc.edu/cgi-bin/hgTracks?position=216387_x_at","UCSC")</f>
        <v>UCSC</v>
      </c>
      <c r="E5126" s="1" t="str">
        <f>HYPERLINK("http://www.ncbi.nlm.nih.gov/gene/?term=LOC399804","NCBI")</f>
        <v>NCBI</v>
      </c>
      <c r="F5126">
        <v>4.7E-2</v>
      </c>
      <c r="G5126">
        <v>0.16</v>
      </c>
      <c r="H5126" s="1" t="str">
        <f>HYPERLINK("http://www.weizmann.ac.il/complex/compphys/software/geview/data/figures/216387_x_at.png","Figure")</f>
        <v>Figure</v>
      </c>
      <c r="I5126">
        <v>1.48</v>
      </c>
      <c r="J5126">
        <v>0.04</v>
      </c>
      <c r="K5126">
        <v>1.24</v>
      </c>
      <c r="L5126">
        <v>0.23</v>
      </c>
      <c r="M5126">
        <v>0.83699999999999997</v>
      </c>
      <c r="N5126">
        <v>0.4</v>
      </c>
    </row>
    <row r="5127" spans="1:14" x14ac:dyDescent="0.25">
      <c r="A5127" t="s">
        <v>9270</v>
      </c>
      <c r="B5127" t="s">
        <v>9271</v>
      </c>
      <c r="C5127" s="1" t="str">
        <f>HYPERLINK("http://www.genecards.org/cgi-bin/carddisp.pl?gene=BID","GeneCards")</f>
        <v>GeneCards</v>
      </c>
      <c r="D5127" s="1" t="str">
        <f>HYPERLINK("http://genome-euro.ucsc.edu/cgi-bin/hgTracks?position=204493_at","UCSC")</f>
        <v>UCSC</v>
      </c>
      <c r="E5127" s="1" t="str">
        <f>HYPERLINK("http://www.ncbi.nlm.nih.gov/gene/?term=BID","NCBI")</f>
        <v>NCBI</v>
      </c>
      <c r="F5127">
        <v>4.7E-2</v>
      </c>
      <c r="G5127">
        <v>0.16</v>
      </c>
      <c r="H5127" s="1" t="str">
        <f>HYPERLINK("http://www.weizmann.ac.il/complex/compphys/software/geview/data/figures/204493_at.png","Figure")</f>
        <v>Figure</v>
      </c>
      <c r="I5127">
        <v>1.37</v>
      </c>
      <c r="J5127">
        <v>0.21</v>
      </c>
      <c r="K5127">
        <v>1.53</v>
      </c>
      <c r="L5127">
        <v>4.1000000000000002E-2</v>
      </c>
      <c r="M5127">
        <v>1.1100000000000001</v>
      </c>
      <c r="N5127">
        <v>0.79</v>
      </c>
    </row>
    <row r="5128" spans="1:14" x14ac:dyDescent="0.25">
      <c r="A5128" t="s">
        <v>9272</v>
      </c>
      <c r="B5128" t="s">
        <v>9273</v>
      </c>
      <c r="C5128" s="1" t="str">
        <f>HYPERLINK("http://www.genecards.org/cgi-bin/carddisp.pl?gene=SLC2A1","GeneCards")</f>
        <v>GeneCards</v>
      </c>
      <c r="D5128" s="1" t="str">
        <f>HYPERLINK("http://genome-euro.ucsc.edu/cgi-bin/hgTracks?position=201250_s_at","UCSC")</f>
        <v>UCSC</v>
      </c>
      <c r="E5128" s="1" t="str">
        <f>HYPERLINK("http://www.ncbi.nlm.nih.gov/gene/?term=SLC2A1","NCBI")</f>
        <v>NCBI</v>
      </c>
      <c r="F5128">
        <v>4.7E-2</v>
      </c>
      <c r="G5128">
        <v>0.16</v>
      </c>
      <c r="H5128" s="1" t="str">
        <f>HYPERLINK("http://www.weizmann.ac.il/complex/compphys/software/geview/data/figures/201250_s_at.png","Figure")</f>
        <v>Figure</v>
      </c>
      <c r="I5128">
        <v>1.45</v>
      </c>
      <c r="J5128">
        <v>8.4000000000000005E-2</v>
      </c>
      <c r="K5128">
        <v>0.98499999999999999</v>
      </c>
      <c r="L5128">
        <v>0.99</v>
      </c>
      <c r="M5128">
        <v>0.67900000000000005</v>
      </c>
      <c r="N5128">
        <v>5.2999999999999999E-2</v>
      </c>
    </row>
    <row r="5129" spans="1:14" x14ac:dyDescent="0.25">
      <c r="A5129" t="s">
        <v>9274</v>
      </c>
      <c r="B5129" t="s">
        <v>9275</v>
      </c>
      <c r="C5129" s="1" t="str">
        <f>HYPERLINK("http://www.genecards.org/cgi-bin/carddisp.pl?gene=SKP1","GeneCards")</f>
        <v>GeneCards</v>
      </c>
      <c r="D5129" s="1" t="str">
        <f>HYPERLINK("http://genome-euro.ucsc.edu/cgi-bin/hgTracks?position=200718_s_at","UCSC")</f>
        <v>UCSC</v>
      </c>
      <c r="E5129" s="1" t="str">
        <f>HYPERLINK("http://www.ncbi.nlm.nih.gov/gene/?term=SKP1","NCBI")</f>
        <v>NCBI</v>
      </c>
      <c r="F5129">
        <v>4.7E-2</v>
      </c>
      <c r="G5129">
        <v>0.16</v>
      </c>
      <c r="H5129" s="1" t="str">
        <f>HYPERLINK("http://www.weizmann.ac.il/complex/compphys/software/geview/data/figures/200718_s_at.png","Figure")</f>
        <v>Figure</v>
      </c>
      <c r="I5129">
        <v>1.1100000000000001</v>
      </c>
      <c r="J5129">
        <v>0.86</v>
      </c>
      <c r="K5129">
        <v>1.59</v>
      </c>
      <c r="L5129">
        <v>5.0999999999999997E-2</v>
      </c>
      <c r="M5129">
        <v>1.43</v>
      </c>
      <c r="N5129">
        <v>0.18</v>
      </c>
    </row>
    <row r="5130" spans="1:14" x14ac:dyDescent="0.25">
      <c r="A5130" t="s">
        <v>9276</v>
      </c>
      <c r="B5130" t="s">
        <v>9277</v>
      </c>
      <c r="C5130" s="1" t="str">
        <f>HYPERLINK("http://www.genecards.org/cgi-bin/carddisp.pl?gene=MINA","GeneCards")</f>
        <v>GeneCards</v>
      </c>
      <c r="D5130" s="1" t="str">
        <f>HYPERLINK("http://genome-euro.ucsc.edu/cgi-bin/hgTracks?position=213188_s_at","UCSC")</f>
        <v>UCSC</v>
      </c>
      <c r="E5130" s="1" t="str">
        <f>HYPERLINK("http://www.ncbi.nlm.nih.gov/gene/?term=MINA","NCBI")</f>
        <v>NCBI</v>
      </c>
      <c r="F5130">
        <v>4.7E-2</v>
      </c>
      <c r="G5130">
        <v>0.16</v>
      </c>
      <c r="H5130" s="1" t="str">
        <f>HYPERLINK("http://www.weizmann.ac.il/complex/compphys/software/geview/data/figures/213188_s_at.png","Figure")</f>
        <v>Figure</v>
      </c>
      <c r="I5130">
        <v>0.80700000000000005</v>
      </c>
      <c r="J5130">
        <v>7.6999999999999999E-2</v>
      </c>
      <c r="K5130">
        <v>1</v>
      </c>
      <c r="L5130">
        <v>1</v>
      </c>
      <c r="M5130">
        <v>1.24</v>
      </c>
      <c r="N5130">
        <v>5.7000000000000002E-2</v>
      </c>
    </row>
    <row r="5131" spans="1:14" x14ac:dyDescent="0.25">
      <c r="A5131" t="s">
        <v>9278</v>
      </c>
      <c r="B5131" t="s">
        <v>9279</v>
      </c>
      <c r="C5131" s="1" t="str">
        <f>HYPERLINK("http://www.genecards.org/cgi-bin/carddisp.pl?gene=BACE2","GeneCards")</f>
        <v>GeneCards</v>
      </c>
      <c r="D5131" s="1" t="str">
        <f>HYPERLINK("http://genome-euro.ucsc.edu/cgi-bin/hgTracks?position=217867_x_at","UCSC")</f>
        <v>UCSC</v>
      </c>
      <c r="E5131" s="1" t="str">
        <f>HYPERLINK("http://www.ncbi.nlm.nih.gov/gene/?term=BACE2","NCBI")</f>
        <v>NCBI</v>
      </c>
      <c r="F5131">
        <v>4.7E-2</v>
      </c>
      <c r="G5131">
        <v>0.16</v>
      </c>
      <c r="H5131" s="1" t="str">
        <f>HYPERLINK("http://www.weizmann.ac.il/complex/compphys/software/geview/data/figures/217867_x_at.png","Figure")</f>
        <v>Figure</v>
      </c>
      <c r="I5131">
        <v>1.07</v>
      </c>
      <c r="J5131">
        <v>0.78</v>
      </c>
      <c r="K5131">
        <v>0.84299999999999997</v>
      </c>
      <c r="L5131">
        <v>0.15</v>
      </c>
      <c r="M5131">
        <v>0.78800000000000003</v>
      </c>
      <c r="N5131">
        <v>5.6000000000000001E-2</v>
      </c>
    </row>
    <row r="5132" spans="1:14" x14ac:dyDescent="0.25">
      <c r="A5132" t="s">
        <v>9280</v>
      </c>
      <c r="B5132" t="s">
        <v>1459</v>
      </c>
      <c r="C5132" s="1" t="str">
        <f>HYPERLINK("http://www.genecards.org/cgi-bin/carddisp.pl?gene=DARS","GeneCards")</f>
        <v>GeneCards</v>
      </c>
      <c r="D5132" s="1" t="str">
        <f>HYPERLINK("http://genome-euro.ucsc.edu/cgi-bin/hgTracks?position=201624_at","UCSC")</f>
        <v>UCSC</v>
      </c>
      <c r="E5132" s="1" t="str">
        <f>HYPERLINK("http://www.ncbi.nlm.nih.gov/gene/?term=DARS","NCBI")</f>
        <v>NCBI</v>
      </c>
      <c r="F5132">
        <v>4.7E-2</v>
      </c>
      <c r="G5132">
        <v>0.16</v>
      </c>
      <c r="H5132" s="1" t="str">
        <f>HYPERLINK("http://www.weizmann.ac.il/complex/compphys/software/geview/data/figures/201624_at.png","Figure")</f>
        <v>Figure</v>
      </c>
      <c r="I5132">
        <v>0.54900000000000004</v>
      </c>
      <c r="J5132">
        <v>8.2000000000000003E-2</v>
      </c>
      <c r="K5132">
        <v>1.02</v>
      </c>
      <c r="L5132">
        <v>1</v>
      </c>
      <c r="M5132">
        <v>1.85</v>
      </c>
      <c r="N5132">
        <v>5.3999999999999999E-2</v>
      </c>
    </row>
    <row r="5133" spans="1:14" x14ac:dyDescent="0.25">
      <c r="A5133" t="s">
        <v>9281</v>
      </c>
      <c r="B5133" t="s">
        <v>9282</v>
      </c>
      <c r="C5133" s="1" t="str">
        <f>HYPERLINK("http://www.genecards.org/cgi-bin/carddisp.pl?gene=DUSP14","GeneCards")</f>
        <v>GeneCards</v>
      </c>
      <c r="D5133" s="1" t="str">
        <f>HYPERLINK("http://genome-euro.ucsc.edu/cgi-bin/hgTracks?position=203367_at","UCSC")</f>
        <v>UCSC</v>
      </c>
      <c r="E5133" s="1" t="str">
        <f>HYPERLINK("http://www.ncbi.nlm.nih.gov/gene/?term=DUSP14","NCBI")</f>
        <v>NCBI</v>
      </c>
      <c r="F5133">
        <v>4.7E-2</v>
      </c>
      <c r="G5133">
        <v>0.16</v>
      </c>
      <c r="H5133" s="1" t="str">
        <f>HYPERLINK("http://www.weizmann.ac.il/complex/compphys/software/geview/data/figures/203367_at.png","Figure")</f>
        <v>Figure</v>
      </c>
      <c r="I5133">
        <v>0.79100000000000004</v>
      </c>
      <c r="J5133">
        <v>4.1000000000000002E-2</v>
      </c>
      <c r="K5133">
        <v>0.92800000000000005</v>
      </c>
      <c r="L5133">
        <v>0.59</v>
      </c>
      <c r="M5133">
        <v>1.17</v>
      </c>
      <c r="N5133">
        <v>0.15</v>
      </c>
    </row>
    <row r="5134" spans="1:14" x14ac:dyDescent="0.25">
      <c r="A5134" t="s">
        <v>9283</v>
      </c>
      <c r="B5134" t="s">
        <v>9284</v>
      </c>
      <c r="C5134" s="1" t="str">
        <f>HYPERLINK("http://www.genecards.org/cgi-bin/carddisp.pl?gene=TCL1B","GeneCards")</f>
        <v>GeneCards</v>
      </c>
      <c r="D5134" s="1" t="str">
        <f>HYPERLINK("http://genome-euro.ucsc.edu/cgi-bin/hgTracks?position=206413_s_at","UCSC")</f>
        <v>UCSC</v>
      </c>
      <c r="E5134" s="1" t="str">
        <f>HYPERLINK("http://www.ncbi.nlm.nih.gov/gene/?term=TCL1B","NCBI")</f>
        <v>NCBI</v>
      </c>
      <c r="F5134">
        <v>4.7E-2</v>
      </c>
      <c r="G5134">
        <v>0.16</v>
      </c>
      <c r="H5134" s="1" t="str">
        <f>HYPERLINK("http://www.weizmann.ac.il/complex/compphys/software/geview/data/figures/206413_s_at.png","Figure")</f>
        <v>Figure</v>
      </c>
      <c r="I5134">
        <v>2.06</v>
      </c>
      <c r="J5134">
        <v>0.16</v>
      </c>
      <c r="K5134">
        <v>0.8</v>
      </c>
      <c r="L5134">
        <v>0.77</v>
      </c>
      <c r="M5134">
        <v>0.38800000000000001</v>
      </c>
      <c r="N5134">
        <v>0.04</v>
      </c>
    </row>
    <row r="5135" spans="1:14" x14ac:dyDescent="0.25">
      <c r="A5135" t="s">
        <v>9285</v>
      </c>
      <c r="B5135" t="s">
        <v>9286</v>
      </c>
      <c r="C5135" s="1" t="str">
        <f>HYPERLINK("http://www.genecards.org/cgi-bin/carddisp.pl?gene=GABRR2","GeneCards")</f>
        <v>GeneCards</v>
      </c>
      <c r="D5135" s="1" t="str">
        <f>HYPERLINK("http://genome-euro.ucsc.edu/cgi-bin/hgTracks?position=208217_at","UCSC")</f>
        <v>UCSC</v>
      </c>
      <c r="E5135" s="1" t="str">
        <f>HYPERLINK("http://www.ncbi.nlm.nih.gov/gene/?term=GABRR2","NCBI")</f>
        <v>NCBI</v>
      </c>
      <c r="F5135">
        <v>4.7E-2</v>
      </c>
      <c r="G5135">
        <v>0.16</v>
      </c>
      <c r="H5135" s="1" t="str">
        <f>HYPERLINK("http://www.weizmann.ac.il/complex/compphys/software/geview/data/figures/208217_at.png","Figure")</f>
        <v>Figure</v>
      </c>
      <c r="I5135">
        <v>1.26</v>
      </c>
      <c r="J5135">
        <v>3.7999999999999999E-2</v>
      </c>
      <c r="K5135">
        <v>1.1000000000000001</v>
      </c>
      <c r="L5135">
        <v>0.44</v>
      </c>
      <c r="M5135">
        <v>0.87</v>
      </c>
      <c r="N5135">
        <v>0.21</v>
      </c>
    </row>
    <row r="5136" spans="1:14" x14ac:dyDescent="0.25">
      <c r="A5136" t="s">
        <v>9287</v>
      </c>
      <c r="B5136" t="s">
        <v>9288</v>
      </c>
      <c r="C5136" s="1" t="str">
        <f>HYPERLINK("http://www.genecards.org/cgi-bin/carddisp.pl?gene=EIF4G1","GeneCards")</f>
        <v>GeneCards</v>
      </c>
      <c r="D5136" s="1" t="str">
        <f>HYPERLINK("http://genome-euro.ucsc.edu/cgi-bin/hgTracks?position=208625_s_at","UCSC")</f>
        <v>UCSC</v>
      </c>
      <c r="E5136" s="1" t="str">
        <f>HYPERLINK("http://www.ncbi.nlm.nih.gov/gene/?term=EIF4G1","NCBI")</f>
        <v>NCBI</v>
      </c>
      <c r="F5136">
        <v>4.7E-2</v>
      </c>
      <c r="G5136">
        <v>0.16</v>
      </c>
      <c r="H5136" s="1" t="str">
        <f>HYPERLINK("http://www.weizmann.ac.il/complex/compphys/software/geview/data/figures/208625_s_at.png","Figure")</f>
        <v>Figure</v>
      </c>
      <c r="I5136">
        <v>0.85099999999999998</v>
      </c>
      <c r="J5136">
        <v>0.28000000000000003</v>
      </c>
      <c r="K5136">
        <v>0.78400000000000003</v>
      </c>
      <c r="L5136">
        <v>3.9E-2</v>
      </c>
      <c r="M5136">
        <v>0.92100000000000004</v>
      </c>
      <c r="N5136">
        <v>0.67</v>
      </c>
    </row>
    <row r="5137" spans="1:14" x14ac:dyDescent="0.25">
      <c r="A5137" t="s">
        <v>9289</v>
      </c>
      <c r="B5137" t="s">
        <v>9290</v>
      </c>
      <c r="C5137" s="1" t="str">
        <f>HYPERLINK("http://www.genecards.org/cgi-bin/carddisp.pl?gene=UBC","GeneCards")</f>
        <v>GeneCards</v>
      </c>
      <c r="D5137" s="1" t="str">
        <f>HYPERLINK("http://genome-euro.ucsc.edu/cgi-bin/hgTracks?position=211296_x_at","UCSC")</f>
        <v>UCSC</v>
      </c>
      <c r="E5137" s="1" t="str">
        <f>HYPERLINK("http://www.ncbi.nlm.nih.gov/gene/?term=UBC","NCBI")</f>
        <v>NCBI</v>
      </c>
      <c r="F5137">
        <v>4.7E-2</v>
      </c>
      <c r="G5137">
        <v>0.16</v>
      </c>
      <c r="H5137" s="1" t="str">
        <f>HYPERLINK("http://www.weizmann.ac.il/complex/compphys/software/geview/data/figures/211296_x_at.png","Figure")</f>
        <v>Figure</v>
      </c>
      <c r="I5137">
        <v>0.91100000000000003</v>
      </c>
      <c r="J5137">
        <v>0.78</v>
      </c>
      <c r="K5137">
        <v>0.72699999999999998</v>
      </c>
      <c r="L5137">
        <v>4.7E-2</v>
      </c>
      <c r="M5137">
        <v>0.79800000000000004</v>
      </c>
      <c r="N5137">
        <v>0.22</v>
      </c>
    </row>
    <row r="5138" spans="1:14" x14ac:dyDescent="0.25">
      <c r="A5138" t="s">
        <v>9291</v>
      </c>
      <c r="B5138" t="s">
        <v>9292</v>
      </c>
      <c r="C5138" s="1" t="str">
        <f>HYPERLINK("http://www.genecards.org/cgi-bin/carddisp.pl?gene=TXNDC5","GeneCards")</f>
        <v>GeneCards</v>
      </c>
      <c r="D5138" s="1" t="str">
        <f>HYPERLINK("http://genome-euro.ucsc.edu/cgi-bin/hgTracks?position=221253_s_at","UCSC")</f>
        <v>UCSC</v>
      </c>
      <c r="E5138" s="1" t="str">
        <f>HYPERLINK("http://www.ncbi.nlm.nih.gov/gene/?term=TXNDC5","NCBI")</f>
        <v>NCBI</v>
      </c>
      <c r="F5138">
        <v>4.7E-2</v>
      </c>
      <c r="G5138">
        <v>0.16</v>
      </c>
      <c r="H5138" s="1" t="str">
        <f>HYPERLINK("http://www.weizmann.ac.il/complex/compphys/software/geview/data/figures/221253_s_at.png","Figure")</f>
        <v>Figure</v>
      </c>
      <c r="I5138">
        <v>0.63200000000000001</v>
      </c>
      <c r="J5138">
        <v>4.2999999999999997E-2</v>
      </c>
      <c r="K5138">
        <v>0.754</v>
      </c>
      <c r="L5138">
        <v>0.17</v>
      </c>
      <c r="M5138">
        <v>1.19</v>
      </c>
      <c r="N5138">
        <v>0.52</v>
      </c>
    </row>
    <row r="5139" spans="1:14" x14ac:dyDescent="0.25">
      <c r="A5139" t="s">
        <v>9293</v>
      </c>
      <c r="B5139" t="s">
        <v>9294</v>
      </c>
      <c r="C5139" s="1" t="str">
        <f>HYPERLINK("http://www.genecards.org/cgi-bin/carddisp.pl?gene=HNRNPM","GeneCards")</f>
        <v>GeneCards</v>
      </c>
      <c r="D5139" s="1" t="str">
        <f>HYPERLINK("http://genome-euro.ucsc.edu/cgi-bin/hgTracks?position=200072_s_at","UCSC")</f>
        <v>UCSC</v>
      </c>
      <c r="E5139" s="1" t="str">
        <f>HYPERLINK("http://www.ncbi.nlm.nih.gov/gene/?term=HNRNPM","NCBI")</f>
        <v>NCBI</v>
      </c>
      <c r="F5139">
        <v>4.7E-2</v>
      </c>
      <c r="G5139">
        <v>0.16</v>
      </c>
      <c r="H5139" s="1" t="str">
        <f>HYPERLINK("http://www.weizmann.ac.il/complex/compphys/software/geview/data/figures/200072_s_at.png","Figure")</f>
        <v>Figure</v>
      </c>
      <c r="I5139">
        <v>1.27</v>
      </c>
      <c r="J5139">
        <v>0.36</v>
      </c>
      <c r="K5139">
        <v>0.81699999999999995</v>
      </c>
      <c r="L5139">
        <v>0.39</v>
      </c>
      <c r="M5139">
        <v>0.64200000000000002</v>
      </c>
      <c r="N5139">
        <v>3.9E-2</v>
      </c>
    </row>
    <row r="5140" spans="1:14" x14ac:dyDescent="0.25">
      <c r="A5140" t="s">
        <v>9295</v>
      </c>
      <c r="B5140" t="s">
        <v>9296</v>
      </c>
      <c r="C5140" s="1" t="str">
        <f>HYPERLINK("http://www.genecards.org/cgi-bin/carddisp.pl?gene=SPON2","GeneCards")</f>
        <v>GeneCards</v>
      </c>
      <c r="D5140" s="1" t="str">
        <f>HYPERLINK("http://genome-euro.ucsc.edu/cgi-bin/hgTracks?position=218638_s_at","UCSC")</f>
        <v>UCSC</v>
      </c>
      <c r="E5140" s="1" t="str">
        <f>HYPERLINK("http://www.ncbi.nlm.nih.gov/gene/?term=SPON2","NCBI")</f>
        <v>NCBI</v>
      </c>
      <c r="F5140">
        <v>4.7E-2</v>
      </c>
      <c r="G5140">
        <v>0.16</v>
      </c>
      <c r="H5140" s="1" t="str">
        <f>HYPERLINK("http://www.weizmann.ac.il/complex/compphys/software/geview/data/figures/218638_s_at.png","Figure")</f>
        <v>Figure</v>
      </c>
      <c r="I5140">
        <v>1.71</v>
      </c>
      <c r="J5140">
        <v>6.5000000000000002E-2</v>
      </c>
      <c r="K5140">
        <v>1.56</v>
      </c>
      <c r="L5140">
        <v>8.4000000000000005E-2</v>
      </c>
      <c r="M5140">
        <v>0.90800000000000003</v>
      </c>
      <c r="N5140">
        <v>0.88</v>
      </c>
    </row>
    <row r="5141" spans="1:14" x14ac:dyDescent="0.25">
      <c r="A5141" t="s">
        <v>9297</v>
      </c>
      <c r="B5141" t="s">
        <v>9298</v>
      </c>
      <c r="C5141" s="1" t="str">
        <f>HYPERLINK("http://www.genecards.org/cgi-bin/carddisp.pl?gene=GABARAPL1","GeneCards")</f>
        <v>GeneCards</v>
      </c>
      <c r="D5141" s="1" t="str">
        <f>HYPERLINK("http://genome-euro.ucsc.edu/cgi-bin/hgTracks?position=208868_s_at","UCSC")</f>
        <v>UCSC</v>
      </c>
      <c r="E5141" s="1" t="str">
        <f>HYPERLINK("http://www.ncbi.nlm.nih.gov/gene/?term=GABARAPL1","NCBI")</f>
        <v>NCBI</v>
      </c>
      <c r="F5141">
        <v>4.8000000000000001E-2</v>
      </c>
      <c r="G5141">
        <v>0.16</v>
      </c>
      <c r="H5141" s="1" t="str">
        <f>HYPERLINK("http://www.weizmann.ac.il/complex/compphys/software/geview/data/figures/208868_s_at.png","Figure")</f>
        <v>Figure</v>
      </c>
      <c r="I5141">
        <v>1.51</v>
      </c>
      <c r="J5141">
        <v>4.2999999999999997E-2</v>
      </c>
      <c r="K5141">
        <v>1.1299999999999999</v>
      </c>
      <c r="L5141">
        <v>0.65</v>
      </c>
      <c r="M5141">
        <v>0.745</v>
      </c>
      <c r="N5141">
        <v>0.13</v>
      </c>
    </row>
    <row r="5142" spans="1:14" x14ac:dyDescent="0.25">
      <c r="A5142" t="s">
        <v>9299</v>
      </c>
      <c r="B5142" t="s">
        <v>9300</v>
      </c>
      <c r="C5142" s="1" t="str">
        <f>HYPERLINK("http://www.genecards.org/cgi-bin/carddisp.pl?gene=GRIN2B","GeneCards")</f>
        <v>GeneCards</v>
      </c>
      <c r="D5142" s="1" t="str">
        <f>HYPERLINK("http://genome-euro.ucsc.edu/cgi-bin/hgTracks?position=210412_at","UCSC")</f>
        <v>UCSC</v>
      </c>
      <c r="E5142" s="1" t="str">
        <f>HYPERLINK("http://www.ncbi.nlm.nih.gov/gene/?term=GRIN2B","NCBI")</f>
        <v>NCBI</v>
      </c>
      <c r="F5142">
        <v>4.8000000000000001E-2</v>
      </c>
      <c r="G5142">
        <v>0.16</v>
      </c>
      <c r="H5142" s="1" t="str">
        <f>HYPERLINK("http://www.weizmann.ac.il/complex/compphys/software/geview/data/figures/210412_at.png","Figure")</f>
        <v>Figure</v>
      </c>
      <c r="I5142">
        <v>1.19</v>
      </c>
      <c r="J5142">
        <v>5.8999999999999997E-2</v>
      </c>
      <c r="K5142">
        <v>1.02</v>
      </c>
      <c r="L5142">
        <v>0.95</v>
      </c>
      <c r="M5142">
        <v>0.85499999999999998</v>
      </c>
      <c r="N5142">
        <v>7.2999999999999995E-2</v>
      </c>
    </row>
    <row r="5143" spans="1:14" x14ac:dyDescent="0.25">
      <c r="A5143" t="s">
        <v>9301</v>
      </c>
      <c r="B5143" t="s">
        <v>3931</v>
      </c>
      <c r="C5143" s="1" t="str">
        <f>HYPERLINK("http://www.genecards.org/cgi-bin/carddisp.pl?gene=CRKRS","GeneCards")</f>
        <v>GeneCards</v>
      </c>
      <c r="D5143" s="1" t="str">
        <f>HYPERLINK("http://genome-euro.ucsc.edu/cgi-bin/hgTracks?position=213557_at","UCSC")</f>
        <v>UCSC</v>
      </c>
      <c r="E5143" s="1" t="str">
        <f>HYPERLINK("http://www.ncbi.nlm.nih.gov/gene/?term=CRKRS","NCBI")</f>
        <v>NCBI</v>
      </c>
      <c r="F5143">
        <v>4.8000000000000001E-2</v>
      </c>
      <c r="G5143">
        <v>0.16</v>
      </c>
      <c r="H5143" s="1" t="str">
        <f>HYPERLINK("http://www.weizmann.ac.il/complex/compphys/software/geview/data/figures/213557_at.png","Figure")</f>
        <v>Figure</v>
      </c>
      <c r="I5143">
        <v>0.73699999999999999</v>
      </c>
      <c r="J5143">
        <v>0.21</v>
      </c>
      <c r="K5143">
        <v>1.1499999999999999</v>
      </c>
      <c r="L5143">
        <v>0.63</v>
      </c>
      <c r="M5143">
        <v>1.56</v>
      </c>
      <c r="N5143">
        <v>3.9E-2</v>
      </c>
    </row>
    <row r="5144" spans="1:14" x14ac:dyDescent="0.25">
      <c r="A5144" t="s">
        <v>9302</v>
      </c>
      <c r="B5144" t="s">
        <v>9303</v>
      </c>
      <c r="C5144" s="1" t="str">
        <f>HYPERLINK("http://www.genecards.org/cgi-bin/carddisp.pl?gene=GOLGA4","GeneCards")</f>
        <v>GeneCards</v>
      </c>
      <c r="D5144" s="1" t="str">
        <f>HYPERLINK("http://genome-euro.ucsc.edu/cgi-bin/hgTracks?position=215203_at","UCSC")</f>
        <v>UCSC</v>
      </c>
      <c r="E5144" s="1" t="str">
        <f>HYPERLINK("http://www.ncbi.nlm.nih.gov/gene/?term=GOLGA4","NCBI")</f>
        <v>NCBI</v>
      </c>
      <c r="F5144">
        <v>4.8000000000000001E-2</v>
      </c>
      <c r="G5144">
        <v>0.16</v>
      </c>
      <c r="H5144" s="1" t="str">
        <f>HYPERLINK("http://www.weizmann.ac.il/complex/compphys/software/geview/data/figures/215203_at.png","Figure")</f>
        <v>Figure</v>
      </c>
      <c r="I5144">
        <v>1.04</v>
      </c>
      <c r="J5144">
        <v>0.98</v>
      </c>
      <c r="K5144">
        <v>0.60699999999999998</v>
      </c>
      <c r="L5144">
        <v>0.09</v>
      </c>
      <c r="M5144">
        <v>0.58199999999999996</v>
      </c>
      <c r="N5144">
        <v>8.5000000000000006E-2</v>
      </c>
    </row>
    <row r="5145" spans="1:14" x14ac:dyDescent="0.25">
      <c r="A5145" t="s">
        <v>9304</v>
      </c>
      <c r="B5145" t="s">
        <v>9305</v>
      </c>
      <c r="C5145" s="1" t="str">
        <f>HYPERLINK("http://www.genecards.org/cgi-bin/carddisp.pl?gene=PMS2L11","GeneCards")</f>
        <v>GeneCards</v>
      </c>
      <c r="D5145" s="1" t="str">
        <f>HYPERLINK("http://genome-euro.ucsc.edu/cgi-bin/hgTracks?position=179_at","UCSC")</f>
        <v>UCSC</v>
      </c>
      <c r="E5145" s="1" t="str">
        <f>HYPERLINK("http://www.ncbi.nlm.nih.gov/gene/?term=PMS2L11","NCBI")</f>
        <v>NCBI</v>
      </c>
      <c r="F5145">
        <v>4.8000000000000001E-2</v>
      </c>
      <c r="G5145">
        <v>0.16</v>
      </c>
      <c r="H5145" s="1" t="str">
        <f>HYPERLINK("http://www.weizmann.ac.il/complex/compphys/software/geview/data/figures/179_at.png","Figure")</f>
        <v>Figure</v>
      </c>
      <c r="I5145">
        <v>1.46</v>
      </c>
      <c r="J5145">
        <v>4.2000000000000003E-2</v>
      </c>
      <c r="K5145">
        <v>1.25</v>
      </c>
      <c r="L5145">
        <v>0.19</v>
      </c>
      <c r="M5145">
        <v>0.85899999999999999</v>
      </c>
      <c r="N5145">
        <v>0.48</v>
      </c>
    </row>
    <row r="5146" spans="1:14" x14ac:dyDescent="0.25">
      <c r="A5146" t="s">
        <v>9306</v>
      </c>
      <c r="B5146" t="s">
        <v>3073</v>
      </c>
      <c r="C5146" s="1" t="str">
        <f>HYPERLINK("http://www.genecards.org/cgi-bin/carddisp.pl?gene=PREP","GeneCards")</f>
        <v>GeneCards</v>
      </c>
      <c r="D5146" s="1" t="str">
        <f>HYPERLINK("http://genome-euro.ucsc.edu/cgi-bin/hgTracks?position=204117_at","UCSC")</f>
        <v>UCSC</v>
      </c>
      <c r="E5146" s="1" t="str">
        <f>HYPERLINK("http://www.ncbi.nlm.nih.gov/gene/?term=PREP","NCBI")</f>
        <v>NCBI</v>
      </c>
      <c r="F5146">
        <v>4.8000000000000001E-2</v>
      </c>
      <c r="G5146">
        <v>0.16</v>
      </c>
      <c r="H5146" s="1" t="str">
        <f>HYPERLINK("http://www.weizmann.ac.il/complex/compphys/software/geview/data/figures/204117_at.png","Figure")</f>
        <v>Figure</v>
      </c>
      <c r="I5146">
        <v>0.78800000000000003</v>
      </c>
      <c r="J5146">
        <v>0.2</v>
      </c>
      <c r="K5146">
        <v>1.1000000000000001</v>
      </c>
      <c r="L5146">
        <v>0.66</v>
      </c>
      <c r="M5146">
        <v>1.4</v>
      </c>
      <c r="N5146">
        <v>3.9E-2</v>
      </c>
    </row>
    <row r="5147" spans="1:14" x14ac:dyDescent="0.25">
      <c r="A5147" t="s">
        <v>9307</v>
      </c>
      <c r="B5147" t="s">
        <v>9308</v>
      </c>
      <c r="C5147" s="1" t="str">
        <f>HYPERLINK("http://www.genecards.org/cgi-bin/carddisp.pl?gene=PLEKHO2","GeneCards")</f>
        <v>GeneCards</v>
      </c>
      <c r="D5147" s="1" t="str">
        <f>HYPERLINK("http://genome-euro.ucsc.edu/cgi-bin/hgTracks?position=204436_at","UCSC")</f>
        <v>UCSC</v>
      </c>
      <c r="E5147" s="1" t="str">
        <f>HYPERLINK("http://www.ncbi.nlm.nih.gov/gene/?term=PLEKHO2","NCBI")</f>
        <v>NCBI</v>
      </c>
      <c r="F5147">
        <v>4.8000000000000001E-2</v>
      </c>
      <c r="G5147">
        <v>0.16</v>
      </c>
      <c r="H5147" s="1" t="str">
        <f>HYPERLINK("http://www.weizmann.ac.il/complex/compphys/software/geview/data/figures/204436_at.png","Figure")</f>
        <v>Figure</v>
      </c>
      <c r="I5147">
        <v>1.23</v>
      </c>
      <c r="J5147">
        <v>4.2000000000000003E-2</v>
      </c>
      <c r="K5147">
        <v>1.06</v>
      </c>
      <c r="L5147">
        <v>0.64</v>
      </c>
      <c r="M5147">
        <v>0.86499999999999999</v>
      </c>
      <c r="N5147">
        <v>0.13</v>
      </c>
    </row>
    <row r="5148" spans="1:14" x14ac:dyDescent="0.25">
      <c r="A5148" t="s">
        <v>9309</v>
      </c>
      <c r="B5148" t="s">
        <v>9310</v>
      </c>
      <c r="C5148" s="1" t="str">
        <f>HYPERLINK("http://www.genecards.org/cgi-bin/carddisp.pl?gene=MAZ","GeneCards")</f>
        <v>GeneCards</v>
      </c>
      <c r="D5148" s="1" t="str">
        <f>HYPERLINK("http://genome-euro.ucsc.edu/cgi-bin/hgTracks?position=212064_x_at","UCSC")</f>
        <v>UCSC</v>
      </c>
      <c r="E5148" s="1" t="str">
        <f>HYPERLINK("http://www.ncbi.nlm.nih.gov/gene/?term=MAZ","NCBI")</f>
        <v>NCBI</v>
      </c>
      <c r="F5148">
        <v>4.8000000000000001E-2</v>
      </c>
      <c r="G5148">
        <v>0.16</v>
      </c>
      <c r="H5148" s="1" t="str">
        <f>HYPERLINK("http://www.weizmann.ac.il/complex/compphys/software/geview/data/figures/212064_x_at.png","Figure")</f>
        <v>Figure</v>
      </c>
      <c r="I5148">
        <v>1.42</v>
      </c>
      <c r="J5148">
        <v>5.6000000000000001E-2</v>
      </c>
      <c r="K5148">
        <v>1.3</v>
      </c>
      <c r="L5148">
        <v>0.1</v>
      </c>
      <c r="M5148">
        <v>0.91900000000000004</v>
      </c>
      <c r="N5148">
        <v>0.79</v>
      </c>
    </row>
    <row r="5149" spans="1:14" x14ac:dyDescent="0.25">
      <c r="A5149" t="s">
        <v>9311</v>
      </c>
      <c r="B5149" t="s">
        <v>3994</v>
      </c>
      <c r="C5149" s="1" t="str">
        <f>HYPERLINK("http://www.genecards.org/cgi-bin/carddisp.pl?gene=IL1RN","GeneCards")</f>
        <v>GeneCards</v>
      </c>
      <c r="D5149" s="1" t="str">
        <f>HYPERLINK("http://genome-euro.ucsc.edu/cgi-bin/hgTracks?position=212659_s_at","UCSC")</f>
        <v>UCSC</v>
      </c>
      <c r="E5149" s="1" t="str">
        <f>HYPERLINK("http://www.ncbi.nlm.nih.gov/gene/?term=IL1RN","NCBI")</f>
        <v>NCBI</v>
      </c>
      <c r="F5149">
        <v>4.8000000000000001E-2</v>
      </c>
      <c r="G5149">
        <v>0.16</v>
      </c>
      <c r="H5149" s="1" t="str">
        <f>HYPERLINK("http://www.weizmann.ac.il/complex/compphys/software/geview/data/figures/212659_s_at.png","Figure")</f>
        <v>Figure</v>
      </c>
      <c r="I5149">
        <v>1.3</v>
      </c>
      <c r="J5149">
        <v>4.1000000000000002E-2</v>
      </c>
      <c r="K5149">
        <v>1.0900000000000001</v>
      </c>
      <c r="L5149">
        <v>0.59</v>
      </c>
      <c r="M5149">
        <v>0.83599999999999997</v>
      </c>
      <c r="N5149">
        <v>0.15</v>
      </c>
    </row>
    <row r="5150" spans="1:14" x14ac:dyDescent="0.25">
      <c r="A5150" t="s">
        <v>9312</v>
      </c>
      <c r="B5150" t="s">
        <v>9313</v>
      </c>
      <c r="C5150" s="1" t="str">
        <f>HYPERLINK("http://www.genecards.org/cgi-bin/carddisp.pl?gene=AQP5","GeneCards")</f>
        <v>GeneCards</v>
      </c>
      <c r="D5150" s="1" t="str">
        <f>HYPERLINK("http://genome-euro.ucsc.edu/cgi-bin/hgTracks?position=213611_at","UCSC")</f>
        <v>UCSC</v>
      </c>
      <c r="E5150" s="1" t="str">
        <f>HYPERLINK("http://www.ncbi.nlm.nih.gov/gene/?term=AQP5","NCBI")</f>
        <v>NCBI</v>
      </c>
      <c r="F5150">
        <v>4.8000000000000001E-2</v>
      </c>
      <c r="G5150">
        <v>0.16</v>
      </c>
      <c r="H5150" s="1" t="str">
        <f>HYPERLINK("http://www.weizmann.ac.il/complex/compphys/software/geview/data/figures/213611_at.png","Figure")</f>
        <v>Figure</v>
      </c>
      <c r="I5150">
        <v>1.17</v>
      </c>
      <c r="J5150">
        <v>0.04</v>
      </c>
      <c r="K5150">
        <v>1.0900000000000001</v>
      </c>
      <c r="L5150">
        <v>0.25</v>
      </c>
      <c r="M5150">
        <v>0.92900000000000005</v>
      </c>
      <c r="N5150">
        <v>0.38</v>
      </c>
    </row>
    <row r="5151" spans="1:14" x14ac:dyDescent="0.25">
      <c r="A5151" t="s">
        <v>9314</v>
      </c>
      <c r="B5151" t="s">
        <v>9315</v>
      </c>
      <c r="C5151" s="1" t="str">
        <f>HYPERLINK("http://www.genecards.org/cgi-bin/carddisp.pl?gene=LOC440792","GeneCards")</f>
        <v>GeneCards</v>
      </c>
      <c r="D5151" s="1" t="str">
        <f>HYPERLINK("http://genome-euro.ucsc.edu/cgi-bin/hgTracks?position=215678_at","UCSC")</f>
        <v>UCSC</v>
      </c>
      <c r="E5151" s="1" t="str">
        <f>HYPERLINK("http://www.ncbi.nlm.nih.gov/gene/?term=LOC440792","NCBI")</f>
        <v>NCBI</v>
      </c>
      <c r="F5151">
        <v>4.8000000000000001E-2</v>
      </c>
      <c r="G5151">
        <v>0.16</v>
      </c>
      <c r="H5151" s="1" t="str">
        <f>HYPERLINK("http://www.weizmann.ac.il/complex/compphys/software/geview/data/figures/215678_at.png","Figure")</f>
        <v>Figure</v>
      </c>
      <c r="I5151">
        <v>1.27</v>
      </c>
      <c r="J5151">
        <v>3.9E-2</v>
      </c>
      <c r="K5151">
        <v>1.1000000000000001</v>
      </c>
      <c r="L5151">
        <v>0.45</v>
      </c>
      <c r="M5151">
        <v>0.86299999999999999</v>
      </c>
      <c r="N5151">
        <v>0.2</v>
      </c>
    </row>
    <row r="5152" spans="1:14" x14ac:dyDescent="0.25">
      <c r="A5152" t="s">
        <v>9316</v>
      </c>
      <c r="B5152" t="s">
        <v>9317</v>
      </c>
      <c r="C5152" s="1" t="str">
        <f>HYPERLINK("http://www.genecards.org/cgi-bin/carddisp.pl?gene=LOC440366","GeneCards")</f>
        <v>GeneCards</v>
      </c>
      <c r="D5152" s="1" t="str">
        <f>HYPERLINK("http://genome-euro.ucsc.edu/cgi-bin/hgTracks?position=216196_at","UCSC")</f>
        <v>UCSC</v>
      </c>
      <c r="E5152" s="1" t="str">
        <f>HYPERLINK("http://www.ncbi.nlm.nih.gov/gene/?term=LOC440366","NCBI")</f>
        <v>NCBI</v>
      </c>
      <c r="F5152">
        <v>4.8000000000000001E-2</v>
      </c>
      <c r="G5152">
        <v>0.16</v>
      </c>
      <c r="H5152" s="1" t="str">
        <f>HYPERLINK("http://www.weizmann.ac.il/complex/compphys/software/geview/data/figures/216196_at.png","Figure")</f>
        <v>Figure</v>
      </c>
      <c r="I5152">
        <v>1</v>
      </c>
      <c r="J5152">
        <v>1</v>
      </c>
      <c r="K5152">
        <v>0.87</v>
      </c>
      <c r="L5152">
        <v>8.2000000000000003E-2</v>
      </c>
      <c r="M5152">
        <v>0.86599999999999999</v>
      </c>
      <c r="N5152">
        <v>9.5000000000000001E-2</v>
      </c>
    </row>
    <row r="5153" spans="1:14" x14ac:dyDescent="0.25">
      <c r="A5153" t="s">
        <v>9318</v>
      </c>
      <c r="B5153" t="s">
        <v>1451</v>
      </c>
      <c r="C5153" s="1" t="str">
        <f>HYPERLINK("http://www.genecards.org/cgi-bin/carddisp.pl?gene=ACTB","GeneCards")</f>
        <v>GeneCards</v>
      </c>
      <c r="D5153" s="1" t="str">
        <f>HYPERLINK("http://genome-euro.ucsc.edu/cgi-bin/hgTracks?position=AFFX-HSAC07/X00351_3_at","UCSC")</f>
        <v>UCSC</v>
      </c>
      <c r="E5153" s="1" t="str">
        <f>HYPERLINK("http://www.ncbi.nlm.nih.gov/gene/?term=ACTB","NCBI")</f>
        <v>NCBI</v>
      </c>
      <c r="F5153">
        <v>4.8000000000000001E-2</v>
      </c>
      <c r="G5153">
        <v>0.16</v>
      </c>
      <c r="H5153" s="1" t="str">
        <f>HYPERLINK("http://www.weizmann.ac.il/complex/compphys/software/geview/data/figures/AFFX-HSAC07/X00351_3_at.png","Figure")</f>
        <v>Figure</v>
      </c>
      <c r="I5153">
        <v>1.25</v>
      </c>
      <c r="J5153">
        <v>0.52</v>
      </c>
      <c r="K5153">
        <v>1.62</v>
      </c>
      <c r="L5153">
        <v>0.04</v>
      </c>
      <c r="M5153">
        <v>1.3</v>
      </c>
      <c r="N5153">
        <v>0.38</v>
      </c>
    </row>
    <row r="5154" spans="1:14" x14ac:dyDescent="0.25">
      <c r="A5154" t="s">
        <v>9319</v>
      </c>
      <c r="B5154" t="s">
        <v>6268</v>
      </c>
      <c r="C5154" s="1" t="str">
        <f>HYPERLINK("http://www.genecards.org/cgi-bin/carddisp.pl?gene=CYP2A6","GeneCards")</f>
        <v>GeneCards</v>
      </c>
      <c r="D5154" s="1" t="str">
        <f>HYPERLINK("http://genome-euro.ucsc.edu/cgi-bin/hgTracks?position=1494_f_at","UCSC")</f>
        <v>UCSC</v>
      </c>
      <c r="E5154" s="1" t="str">
        <f>HYPERLINK("http://www.ncbi.nlm.nih.gov/gene/?term=CYP2A6","NCBI")</f>
        <v>NCBI</v>
      </c>
      <c r="F5154">
        <v>4.8000000000000001E-2</v>
      </c>
      <c r="G5154">
        <v>0.16</v>
      </c>
      <c r="H5154" s="1" t="str">
        <f>HYPERLINK("http://www.weizmann.ac.il/complex/compphys/software/geview/data/figures/1494_f_at.png","Figure")</f>
        <v>Figure</v>
      </c>
      <c r="I5154">
        <v>1.23</v>
      </c>
      <c r="J5154">
        <v>3.7999999999999999E-2</v>
      </c>
      <c r="K5154">
        <v>1.0900000000000001</v>
      </c>
      <c r="L5154">
        <v>0.39</v>
      </c>
      <c r="M5154">
        <v>0.88600000000000001</v>
      </c>
      <c r="N5154">
        <v>0.24</v>
      </c>
    </row>
    <row r="5155" spans="1:14" x14ac:dyDescent="0.25">
      <c r="A5155" t="s">
        <v>9320</v>
      </c>
      <c r="B5155" t="s">
        <v>9321</v>
      </c>
      <c r="C5155" s="1" t="str">
        <f>HYPERLINK("http://www.genecards.org/cgi-bin/carddisp.pl?gene=CRHR1","GeneCards")</f>
        <v>GeneCards</v>
      </c>
      <c r="D5155" s="1" t="str">
        <f>HYPERLINK("http://genome-euro.ucsc.edu/cgi-bin/hgTracks?position=208593_x_at","UCSC")</f>
        <v>UCSC</v>
      </c>
      <c r="E5155" s="1" t="str">
        <f>HYPERLINK("http://www.ncbi.nlm.nih.gov/gene/?term=CRHR1","NCBI")</f>
        <v>NCBI</v>
      </c>
      <c r="F5155">
        <v>4.8000000000000001E-2</v>
      </c>
      <c r="G5155">
        <v>0.16</v>
      </c>
      <c r="H5155" s="1" t="str">
        <f>HYPERLINK("http://www.weizmann.ac.il/complex/compphys/software/geview/data/figures/208593_x_at.png","Figure")</f>
        <v>Figure</v>
      </c>
      <c r="I5155">
        <v>1.1499999999999999</v>
      </c>
      <c r="J5155">
        <v>9.1999999999999998E-2</v>
      </c>
      <c r="K5155">
        <v>0.99</v>
      </c>
      <c r="L5155">
        <v>0.98</v>
      </c>
      <c r="M5155">
        <v>0.85799999999999998</v>
      </c>
      <c r="N5155">
        <v>5.0999999999999997E-2</v>
      </c>
    </row>
    <row r="5156" spans="1:14" x14ac:dyDescent="0.25">
      <c r="A5156" t="s">
        <v>9322</v>
      </c>
      <c r="B5156" t="s">
        <v>9323</v>
      </c>
      <c r="C5156" s="1" t="str">
        <f>HYPERLINK("http://www.genecards.org/cgi-bin/carddisp.pl?gene=IGHM /// LOC100133862","GeneCards")</f>
        <v>GeneCards</v>
      </c>
      <c r="D5156" s="1" t="str">
        <f>HYPERLINK("http://genome-euro.ucsc.edu/cgi-bin/hgTracks?position=211634_x_at","UCSC")</f>
        <v>UCSC</v>
      </c>
      <c r="E5156" s="1" t="str">
        <f>HYPERLINK("http://www.ncbi.nlm.nih.gov/gene/?term=IGHM /// LOC100133862","NCBI")</f>
        <v>NCBI</v>
      </c>
      <c r="F5156">
        <v>4.8000000000000001E-2</v>
      </c>
      <c r="G5156">
        <v>0.16</v>
      </c>
      <c r="H5156" s="1" t="str">
        <f>HYPERLINK("http://www.weizmann.ac.il/complex/compphys/software/geview/data/figures/211634_x_at.png","Figure")</f>
        <v>Figure</v>
      </c>
      <c r="I5156">
        <v>0.93899999999999995</v>
      </c>
      <c r="J5156">
        <v>0.9</v>
      </c>
      <c r="K5156">
        <v>1.3</v>
      </c>
      <c r="L5156">
        <v>0.12</v>
      </c>
      <c r="M5156">
        <v>1.39</v>
      </c>
      <c r="N5156">
        <v>6.7000000000000004E-2</v>
      </c>
    </row>
    <row r="5157" spans="1:14" x14ac:dyDescent="0.25">
      <c r="A5157" t="s">
        <v>9324</v>
      </c>
      <c r="B5157" t="s">
        <v>9325</v>
      </c>
      <c r="C5157" s="1" t="str">
        <f>HYPERLINK("http://www.genecards.org/cgi-bin/carddisp.pl?gene=LSM6","GeneCards")</f>
        <v>GeneCards</v>
      </c>
      <c r="D5157" s="1" t="str">
        <f>HYPERLINK("http://genome-euro.ucsc.edu/cgi-bin/hgTracks?position=205036_at","UCSC")</f>
        <v>UCSC</v>
      </c>
      <c r="E5157" s="1" t="str">
        <f>HYPERLINK("http://www.ncbi.nlm.nih.gov/gene/?term=LSM6","NCBI")</f>
        <v>NCBI</v>
      </c>
      <c r="F5157">
        <v>4.8000000000000001E-2</v>
      </c>
      <c r="G5157">
        <v>0.16</v>
      </c>
      <c r="H5157" s="1" t="str">
        <f>HYPERLINK("http://www.weizmann.ac.il/complex/compphys/software/geview/data/figures/205036_at.png","Figure")</f>
        <v>Figure</v>
      </c>
      <c r="I5157">
        <v>1.1200000000000001</v>
      </c>
      <c r="J5157">
        <v>0.71</v>
      </c>
      <c r="K5157">
        <v>1.41</v>
      </c>
      <c r="L5157">
        <v>4.4999999999999998E-2</v>
      </c>
      <c r="M5157">
        <v>1.25</v>
      </c>
      <c r="N5157">
        <v>0.25</v>
      </c>
    </row>
    <row r="5158" spans="1:14" x14ac:dyDescent="0.25">
      <c r="A5158" t="s">
        <v>9326</v>
      </c>
      <c r="B5158" t="s">
        <v>9327</v>
      </c>
      <c r="C5158" s="1" t="str">
        <f>HYPERLINK("http://www.genecards.org/cgi-bin/carddisp.pl?gene=NPC2","GeneCards")</f>
        <v>GeneCards</v>
      </c>
      <c r="D5158" s="1" t="str">
        <f>HYPERLINK("http://genome-euro.ucsc.edu/cgi-bin/hgTracks?position=200701_at","UCSC")</f>
        <v>UCSC</v>
      </c>
      <c r="E5158" s="1" t="str">
        <f>HYPERLINK("http://www.ncbi.nlm.nih.gov/gene/?term=NPC2","NCBI")</f>
        <v>NCBI</v>
      </c>
      <c r="F5158">
        <v>4.8000000000000001E-2</v>
      </c>
      <c r="G5158">
        <v>0.16</v>
      </c>
      <c r="H5158" s="1" t="str">
        <f>HYPERLINK("http://www.weizmann.ac.il/complex/compphys/software/geview/data/figures/200701_at.png","Figure")</f>
        <v>Figure</v>
      </c>
      <c r="I5158">
        <v>0.63600000000000001</v>
      </c>
      <c r="J5158">
        <v>7.4999999999999997E-2</v>
      </c>
      <c r="K5158">
        <v>0.99399999999999999</v>
      </c>
      <c r="L5158">
        <v>1</v>
      </c>
      <c r="M5158">
        <v>1.56</v>
      </c>
      <c r="N5158">
        <v>5.8999999999999997E-2</v>
      </c>
    </row>
    <row r="5159" spans="1:14" x14ac:dyDescent="0.25">
      <c r="A5159" t="s">
        <v>9328</v>
      </c>
      <c r="B5159" t="s">
        <v>9329</v>
      </c>
      <c r="C5159" s="1" t="str">
        <f>HYPERLINK("http://www.genecards.org/cgi-bin/carddisp.pl?gene=TBC1D22A","GeneCards")</f>
        <v>GeneCards</v>
      </c>
      <c r="D5159" s="1" t="str">
        <f>HYPERLINK("http://genome-euro.ucsc.edu/cgi-bin/hgTracks?position=209650_s_at","UCSC")</f>
        <v>UCSC</v>
      </c>
      <c r="E5159" s="1" t="str">
        <f>HYPERLINK("http://www.ncbi.nlm.nih.gov/gene/?term=TBC1D22A","NCBI")</f>
        <v>NCBI</v>
      </c>
      <c r="F5159">
        <v>4.8000000000000001E-2</v>
      </c>
      <c r="G5159">
        <v>0.16</v>
      </c>
      <c r="H5159" s="1" t="str">
        <f>HYPERLINK("http://www.weizmann.ac.il/complex/compphys/software/geview/data/figures/209650_s_at.png","Figure")</f>
        <v>Figure</v>
      </c>
      <c r="I5159">
        <v>1.3</v>
      </c>
      <c r="J5159">
        <v>3.7999999999999999E-2</v>
      </c>
      <c r="K5159">
        <v>1.1200000000000001</v>
      </c>
      <c r="L5159">
        <v>0.38</v>
      </c>
      <c r="M5159">
        <v>0.86299999999999999</v>
      </c>
      <c r="N5159">
        <v>0.24</v>
      </c>
    </row>
    <row r="5160" spans="1:14" x14ac:dyDescent="0.25">
      <c r="A5160" t="s">
        <v>9330</v>
      </c>
      <c r="B5160" t="s">
        <v>9331</v>
      </c>
      <c r="C5160" s="1" t="str">
        <f>HYPERLINK("http://www.genecards.org/cgi-bin/carddisp.pl?gene=HERC6","GeneCards")</f>
        <v>GeneCards</v>
      </c>
      <c r="D5160" s="1" t="str">
        <f>HYPERLINK("http://genome-euro.ucsc.edu/cgi-bin/hgTracks?position=219352_at","UCSC")</f>
        <v>UCSC</v>
      </c>
      <c r="E5160" s="1" t="str">
        <f>HYPERLINK("http://www.ncbi.nlm.nih.gov/gene/?term=HERC6","NCBI")</f>
        <v>NCBI</v>
      </c>
      <c r="F5160">
        <v>4.8000000000000001E-2</v>
      </c>
      <c r="G5160">
        <v>0.16</v>
      </c>
      <c r="H5160" s="1" t="str">
        <f>HYPERLINK("http://www.weizmann.ac.il/complex/compphys/software/geview/data/figures/219352_at.png","Figure")</f>
        <v>Figure</v>
      </c>
      <c r="I5160">
        <v>0.70499999999999996</v>
      </c>
      <c r="J5160">
        <v>4.5999999999999999E-2</v>
      </c>
      <c r="K5160">
        <v>0.92100000000000004</v>
      </c>
      <c r="L5160">
        <v>0.75</v>
      </c>
      <c r="M5160">
        <v>1.31</v>
      </c>
      <c r="N5160">
        <v>0.11</v>
      </c>
    </row>
    <row r="5161" spans="1:14" x14ac:dyDescent="0.25">
      <c r="A5161" t="s">
        <v>9332</v>
      </c>
      <c r="B5161" t="s">
        <v>9333</v>
      </c>
      <c r="C5161" s="1" t="str">
        <f>HYPERLINK("http://www.genecards.org/cgi-bin/carddisp.pl?gene=CDK2","GeneCards")</f>
        <v>GeneCards</v>
      </c>
      <c r="D5161" s="1" t="str">
        <f>HYPERLINK("http://genome-euro.ucsc.edu/cgi-bin/hgTracks?position=204252_at","UCSC")</f>
        <v>UCSC</v>
      </c>
      <c r="E5161" s="1" t="str">
        <f>HYPERLINK("http://www.ncbi.nlm.nih.gov/gene/?term=CDK2","NCBI")</f>
        <v>NCBI</v>
      </c>
      <c r="F5161">
        <v>4.8000000000000001E-2</v>
      </c>
      <c r="G5161">
        <v>0.16</v>
      </c>
      <c r="H5161" s="1" t="str">
        <f>HYPERLINK("http://www.weizmann.ac.il/complex/compphys/software/geview/data/figures/204252_at.png","Figure")</f>
        <v>Figure</v>
      </c>
      <c r="I5161">
        <v>1.28</v>
      </c>
      <c r="J5161">
        <v>4.9000000000000002E-2</v>
      </c>
      <c r="K5161">
        <v>1.05</v>
      </c>
      <c r="L5161">
        <v>0.82</v>
      </c>
      <c r="M5161">
        <v>0.82099999999999995</v>
      </c>
      <c r="N5161">
        <v>9.7000000000000003E-2</v>
      </c>
    </row>
    <row r="5162" spans="1:14" x14ac:dyDescent="0.25">
      <c r="A5162" t="s">
        <v>9334</v>
      </c>
      <c r="B5162" t="s">
        <v>9335</v>
      </c>
      <c r="C5162" s="1" t="str">
        <f>HYPERLINK("http://www.genecards.org/cgi-bin/carddisp.pl?gene=MTHFS","GeneCards")</f>
        <v>GeneCards</v>
      </c>
      <c r="D5162" s="1" t="str">
        <f>HYPERLINK("http://genome-euro.ucsc.edu/cgi-bin/hgTracks?position=203433_at","UCSC")</f>
        <v>UCSC</v>
      </c>
      <c r="E5162" s="1" t="str">
        <f>HYPERLINK("http://www.ncbi.nlm.nih.gov/gene/?term=MTHFS","NCBI")</f>
        <v>NCBI</v>
      </c>
      <c r="F5162">
        <v>4.8000000000000001E-2</v>
      </c>
      <c r="G5162">
        <v>0.16</v>
      </c>
      <c r="H5162" s="1" t="str">
        <f>HYPERLINK("http://www.weizmann.ac.il/complex/compphys/software/geview/data/figures/203433_at.png","Figure")</f>
        <v>Figure</v>
      </c>
      <c r="I5162">
        <v>1.21</v>
      </c>
      <c r="J5162">
        <v>0.11</v>
      </c>
      <c r="K5162">
        <v>1.22</v>
      </c>
      <c r="L5162">
        <v>5.5E-2</v>
      </c>
      <c r="M5162">
        <v>1</v>
      </c>
      <c r="N5162">
        <v>1</v>
      </c>
    </row>
    <row r="5163" spans="1:14" x14ac:dyDescent="0.25">
      <c r="A5163" t="s">
        <v>9336</v>
      </c>
      <c r="B5163" t="s">
        <v>9337</v>
      </c>
      <c r="C5163" s="1" t="str">
        <f>HYPERLINK("http://www.genecards.org/cgi-bin/carddisp.pl?gene=ZNF510","GeneCards")</f>
        <v>GeneCards</v>
      </c>
      <c r="D5163" s="1" t="str">
        <f>HYPERLINK("http://genome-euro.ucsc.edu/cgi-bin/hgTracks?position=206053_at","UCSC")</f>
        <v>UCSC</v>
      </c>
      <c r="E5163" s="1" t="str">
        <f>HYPERLINK("http://www.ncbi.nlm.nih.gov/gene/?term=ZNF510","NCBI")</f>
        <v>NCBI</v>
      </c>
      <c r="F5163">
        <v>4.8000000000000001E-2</v>
      </c>
      <c r="G5163">
        <v>0.16</v>
      </c>
      <c r="H5163" s="1" t="str">
        <f>HYPERLINK("http://www.weizmann.ac.il/complex/compphys/software/geview/data/figures/206053_at.png","Figure")</f>
        <v>Figure</v>
      </c>
      <c r="I5163">
        <v>1.1599999999999999</v>
      </c>
      <c r="J5163">
        <v>0.25</v>
      </c>
      <c r="K5163">
        <v>0.92300000000000004</v>
      </c>
      <c r="L5163">
        <v>0.56000000000000005</v>
      </c>
      <c r="M5163">
        <v>0.79700000000000004</v>
      </c>
      <c r="N5163">
        <v>3.7999999999999999E-2</v>
      </c>
    </row>
    <row r="5164" spans="1:14" x14ac:dyDescent="0.25">
      <c r="A5164" t="s">
        <v>9338</v>
      </c>
      <c r="B5164" t="s">
        <v>4507</v>
      </c>
      <c r="C5164" s="1" t="str">
        <f>HYPERLINK("http://www.genecards.org/cgi-bin/carddisp.pl?gene=WSB1","GeneCards")</f>
        <v>GeneCards</v>
      </c>
      <c r="D5164" s="1" t="str">
        <f>HYPERLINK("http://genome-euro.ucsc.edu/cgi-bin/hgTracks?position=210561_s_at","UCSC")</f>
        <v>UCSC</v>
      </c>
      <c r="E5164" s="1" t="str">
        <f>HYPERLINK("http://www.ncbi.nlm.nih.gov/gene/?term=WSB1","NCBI")</f>
        <v>NCBI</v>
      </c>
      <c r="F5164">
        <v>4.8000000000000001E-2</v>
      </c>
      <c r="G5164">
        <v>0.16</v>
      </c>
      <c r="H5164" s="1" t="str">
        <f>HYPERLINK("http://www.weizmann.ac.il/complex/compphys/software/geview/data/figures/210561_s_at.png","Figure")</f>
        <v>Figure</v>
      </c>
      <c r="I5164">
        <v>0.55900000000000005</v>
      </c>
      <c r="J5164">
        <v>0.11</v>
      </c>
      <c r="K5164">
        <v>0.55400000000000005</v>
      </c>
      <c r="L5164">
        <v>5.6000000000000001E-2</v>
      </c>
      <c r="M5164">
        <v>0.99099999999999999</v>
      </c>
      <c r="N5164">
        <v>1</v>
      </c>
    </row>
    <row r="5165" spans="1:14" x14ac:dyDescent="0.25">
      <c r="A5165" t="s">
        <v>9339</v>
      </c>
      <c r="B5165" t="s">
        <v>9340</v>
      </c>
      <c r="C5165" s="1" t="str">
        <f>HYPERLINK("http://www.genecards.org/cgi-bin/carddisp.pl?gene=CTRL","GeneCards")</f>
        <v>GeneCards</v>
      </c>
      <c r="D5165" s="1" t="str">
        <f>HYPERLINK("http://genome-euro.ucsc.edu/cgi-bin/hgTracks?position=214377_s_at","UCSC")</f>
        <v>UCSC</v>
      </c>
      <c r="E5165" s="1" t="str">
        <f>HYPERLINK("http://www.ncbi.nlm.nih.gov/gene/?term=CTRL","NCBI")</f>
        <v>NCBI</v>
      </c>
      <c r="F5165">
        <v>4.8000000000000001E-2</v>
      </c>
      <c r="G5165">
        <v>0.16</v>
      </c>
      <c r="H5165" s="1" t="str">
        <f>HYPERLINK("http://www.weizmann.ac.il/complex/compphys/software/geview/data/figures/214377_s_at.png","Figure")</f>
        <v>Figure</v>
      </c>
      <c r="I5165">
        <v>1.05</v>
      </c>
      <c r="J5165">
        <v>0.85</v>
      </c>
      <c r="K5165">
        <v>0.85299999999999998</v>
      </c>
      <c r="L5165">
        <v>0.14000000000000001</v>
      </c>
      <c r="M5165">
        <v>0.81299999999999994</v>
      </c>
      <c r="N5165">
        <v>6.2E-2</v>
      </c>
    </row>
    <row r="5166" spans="1:14" x14ac:dyDescent="0.25">
      <c r="A5166" t="s">
        <v>9341</v>
      </c>
      <c r="B5166" t="s">
        <v>5068</v>
      </c>
      <c r="C5166" s="1" t="str">
        <f>HYPERLINK("http://www.genecards.org/cgi-bin/carddisp.pl?gene=AFF2","GeneCards")</f>
        <v>GeneCards</v>
      </c>
      <c r="D5166" s="1" t="str">
        <f>HYPERLINK("http://genome-euro.ucsc.edu/cgi-bin/hgTracks?position=216364_s_at","UCSC")</f>
        <v>UCSC</v>
      </c>
      <c r="E5166" s="1" t="str">
        <f>HYPERLINK("http://www.ncbi.nlm.nih.gov/gene/?term=AFF2","NCBI")</f>
        <v>NCBI</v>
      </c>
      <c r="F5166">
        <v>4.8000000000000001E-2</v>
      </c>
      <c r="G5166">
        <v>0.16</v>
      </c>
      <c r="H5166" s="1" t="str">
        <f>HYPERLINK("http://www.weizmann.ac.il/complex/compphys/software/geview/data/figures/216364_s_at.png","Figure")</f>
        <v>Figure</v>
      </c>
      <c r="I5166">
        <v>1.26</v>
      </c>
      <c r="J5166">
        <v>4.2000000000000003E-2</v>
      </c>
      <c r="K5166">
        <v>1.07</v>
      </c>
      <c r="L5166">
        <v>0.63</v>
      </c>
      <c r="M5166">
        <v>0.85099999999999998</v>
      </c>
      <c r="N5166">
        <v>0.14000000000000001</v>
      </c>
    </row>
    <row r="5167" spans="1:14" x14ac:dyDescent="0.25">
      <c r="A5167" t="s">
        <v>9342</v>
      </c>
      <c r="B5167" t="s">
        <v>9343</v>
      </c>
      <c r="C5167" s="1" t="str">
        <f>HYPERLINK("http://www.genecards.org/cgi-bin/carddisp.pl?gene=ORAI2","GeneCards")</f>
        <v>GeneCards</v>
      </c>
      <c r="D5167" s="1" t="str">
        <f>HYPERLINK("http://genome-euro.ucsc.edu/cgi-bin/hgTracks?position=218811_at","UCSC")</f>
        <v>UCSC</v>
      </c>
      <c r="E5167" s="1" t="str">
        <f>HYPERLINK("http://www.ncbi.nlm.nih.gov/gene/?term=ORAI2","NCBI")</f>
        <v>NCBI</v>
      </c>
      <c r="F5167">
        <v>4.8000000000000001E-2</v>
      </c>
      <c r="G5167">
        <v>0.16</v>
      </c>
      <c r="H5167" s="1" t="str">
        <f>HYPERLINK("http://www.weizmann.ac.il/complex/compphys/software/geview/data/figures/218811_at.png","Figure")</f>
        <v>Figure</v>
      </c>
      <c r="I5167">
        <v>1.1299999999999999</v>
      </c>
      <c r="J5167">
        <v>5.1999999999999998E-2</v>
      </c>
      <c r="K5167">
        <v>1.0900000000000001</v>
      </c>
      <c r="L5167">
        <v>0.12</v>
      </c>
      <c r="M5167">
        <v>0.96699999999999997</v>
      </c>
      <c r="N5167">
        <v>0.72</v>
      </c>
    </row>
    <row r="5168" spans="1:14" x14ac:dyDescent="0.25">
      <c r="A5168" t="s">
        <v>9344</v>
      </c>
      <c r="B5168" t="s">
        <v>9345</v>
      </c>
      <c r="C5168" s="1" t="str">
        <f>HYPERLINK("http://www.genecards.org/cgi-bin/carddisp.pl?gene=SLC1A1","GeneCards")</f>
        <v>GeneCards</v>
      </c>
      <c r="D5168" s="1" t="str">
        <f>HYPERLINK("http://genome-euro.ucsc.edu/cgi-bin/hgTracks?position=206396_at","UCSC")</f>
        <v>UCSC</v>
      </c>
      <c r="E5168" s="1" t="str">
        <f>HYPERLINK("http://www.ncbi.nlm.nih.gov/gene/?term=SLC1A1","NCBI")</f>
        <v>NCBI</v>
      </c>
      <c r="F5168">
        <v>4.8000000000000001E-2</v>
      </c>
      <c r="G5168">
        <v>0.16</v>
      </c>
      <c r="H5168" s="1" t="str">
        <f>HYPERLINK("http://www.weizmann.ac.il/complex/compphys/software/geview/data/figures/206396_at.png","Figure")</f>
        <v>Figure</v>
      </c>
      <c r="I5168">
        <v>1.1599999999999999</v>
      </c>
      <c r="J5168">
        <v>6.5000000000000002E-2</v>
      </c>
      <c r="K5168">
        <v>1.01</v>
      </c>
      <c r="L5168">
        <v>0.98</v>
      </c>
      <c r="M5168">
        <v>0.871</v>
      </c>
      <c r="N5168">
        <v>6.7000000000000004E-2</v>
      </c>
    </row>
    <row r="5169" spans="1:14" x14ac:dyDescent="0.25">
      <c r="A5169" t="s">
        <v>9346</v>
      </c>
      <c r="B5169" t="s">
        <v>7403</v>
      </c>
      <c r="C5169" s="1" t="str">
        <f>HYPERLINK("http://www.genecards.org/cgi-bin/carddisp.pl?gene=LIMS1","GeneCards")</f>
        <v>GeneCards</v>
      </c>
      <c r="D5169" s="1" t="str">
        <f>HYPERLINK("http://genome-euro.ucsc.edu/cgi-bin/hgTracks?position=212687_at","UCSC")</f>
        <v>UCSC</v>
      </c>
      <c r="E5169" s="1" t="str">
        <f>HYPERLINK("http://www.ncbi.nlm.nih.gov/gene/?term=LIMS1","NCBI")</f>
        <v>NCBI</v>
      </c>
      <c r="F5169">
        <v>4.8000000000000001E-2</v>
      </c>
      <c r="G5169">
        <v>0.16</v>
      </c>
      <c r="H5169" s="1" t="str">
        <f>HYPERLINK("http://www.weizmann.ac.il/complex/compphys/software/geview/data/figures/212687_at.png","Figure")</f>
        <v>Figure</v>
      </c>
      <c r="I5169">
        <v>1.01</v>
      </c>
      <c r="J5169">
        <v>1</v>
      </c>
      <c r="K5169">
        <v>1.34</v>
      </c>
      <c r="L5169">
        <v>7.1999999999999995E-2</v>
      </c>
      <c r="M5169">
        <v>1.33</v>
      </c>
      <c r="N5169">
        <v>0.11</v>
      </c>
    </row>
    <row r="5170" spans="1:14" x14ac:dyDescent="0.25">
      <c r="A5170" t="s">
        <v>9347</v>
      </c>
      <c r="B5170" t="s">
        <v>9348</v>
      </c>
      <c r="C5170" s="1" t="str">
        <f>HYPERLINK("http://www.genecards.org/cgi-bin/carddisp.pl?gene=ZEB1","GeneCards")</f>
        <v>GeneCards</v>
      </c>
      <c r="D5170" s="1" t="str">
        <f>HYPERLINK("http://genome-euro.ucsc.edu/cgi-bin/hgTracks?position=212758_s_at","UCSC")</f>
        <v>UCSC</v>
      </c>
      <c r="E5170" s="1" t="str">
        <f>HYPERLINK("http://www.ncbi.nlm.nih.gov/gene/?term=ZEB1","NCBI")</f>
        <v>NCBI</v>
      </c>
      <c r="F5170">
        <v>4.8000000000000001E-2</v>
      </c>
      <c r="G5170">
        <v>0.16</v>
      </c>
      <c r="H5170" s="1" t="str">
        <f>HYPERLINK("http://www.weizmann.ac.il/complex/compphys/software/geview/data/figures/212758_s_at.png","Figure")</f>
        <v>Figure</v>
      </c>
      <c r="I5170">
        <v>1.23</v>
      </c>
      <c r="J5170">
        <v>0.76</v>
      </c>
      <c r="K5170">
        <v>0.6</v>
      </c>
      <c r="L5170">
        <v>0.16</v>
      </c>
      <c r="M5170">
        <v>0.48599999999999999</v>
      </c>
      <c r="N5170">
        <v>5.5E-2</v>
      </c>
    </row>
    <row r="5171" spans="1:14" x14ac:dyDescent="0.25">
      <c r="A5171" t="s">
        <v>9349</v>
      </c>
      <c r="B5171" t="s">
        <v>8106</v>
      </c>
      <c r="C5171" s="1" t="str">
        <f>HYPERLINK("http://www.genecards.org/cgi-bin/carddisp.pl?gene=SRRM2","GeneCards")</f>
        <v>GeneCards</v>
      </c>
      <c r="D5171" s="1" t="str">
        <f>HYPERLINK("http://genome-euro.ucsc.edu/cgi-bin/hgTracks?position=207435_s_at","UCSC")</f>
        <v>UCSC</v>
      </c>
      <c r="E5171" s="1" t="str">
        <f>HYPERLINK("http://www.ncbi.nlm.nih.gov/gene/?term=SRRM2","NCBI")</f>
        <v>NCBI</v>
      </c>
      <c r="F5171">
        <v>4.8000000000000001E-2</v>
      </c>
      <c r="G5171">
        <v>0.16</v>
      </c>
      <c r="H5171" s="1" t="str">
        <f>HYPERLINK("http://www.weizmann.ac.il/complex/compphys/software/geview/data/figures/207435_s_at.png","Figure")</f>
        <v>Figure</v>
      </c>
      <c r="I5171">
        <v>1.06</v>
      </c>
      <c r="J5171">
        <v>0.85</v>
      </c>
      <c r="K5171">
        <v>0.83199999999999996</v>
      </c>
      <c r="L5171">
        <v>0.14000000000000001</v>
      </c>
      <c r="M5171">
        <v>0.78600000000000003</v>
      </c>
      <c r="N5171">
        <v>6.2E-2</v>
      </c>
    </row>
    <row r="5172" spans="1:14" x14ac:dyDescent="0.25">
      <c r="A5172" t="s">
        <v>9350</v>
      </c>
      <c r="B5172" t="s">
        <v>4713</v>
      </c>
      <c r="C5172" s="1" t="str">
        <f>HYPERLINK("http://www.genecards.org/cgi-bin/carddisp.pl?gene=USP12","GeneCards")</f>
        <v>GeneCards</v>
      </c>
      <c r="D5172" s="1" t="str">
        <f>HYPERLINK("http://genome-euro.ucsc.edu/cgi-bin/hgTracks?position=213327_s_at","UCSC")</f>
        <v>UCSC</v>
      </c>
      <c r="E5172" s="1" t="str">
        <f>HYPERLINK("http://www.ncbi.nlm.nih.gov/gene/?term=USP12","NCBI")</f>
        <v>NCBI</v>
      </c>
      <c r="F5172">
        <v>4.8000000000000001E-2</v>
      </c>
      <c r="G5172">
        <v>0.16</v>
      </c>
      <c r="H5172" s="1" t="str">
        <f>HYPERLINK("http://www.weizmann.ac.il/complex/compphys/software/geview/data/figures/213327_s_at.png","Figure")</f>
        <v>Figure</v>
      </c>
      <c r="I5172">
        <v>0.72299999999999998</v>
      </c>
      <c r="J5172">
        <v>0.43</v>
      </c>
      <c r="K5172">
        <v>0.54100000000000004</v>
      </c>
      <c r="L5172">
        <v>3.9E-2</v>
      </c>
      <c r="M5172">
        <v>0.748</v>
      </c>
      <c r="N5172">
        <v>0.46</v>
      </c>
    </row>
    <row r="5173" spans="1:14" x14ac:dyDescent="0.25">
      <c r="A5173" t="s">
        <v>9351</v>
      </c>
      <c r="B5173" t="s">
        <v>9352</v>
      </c>
      <c r="C5173" s="1" t="str">
        <f>HYPERLINK("http://www.genecards.org/cgi-bin/carddisp.pl?gene=FCGRT","GeneCards")</f>
        <v>GeneCards</v>
      </c>
      <c r="D5173" s="1" t="str">
        <f>HYPERLINK("http://genome-euro.ucsc.edu/cgi-bin/hgTracks?position=218831_s_at","UCSC")</f>
        <v>UCSC</v>
      </c>
      <c r="E5173" s="1" t="str">
        <f>HYPERLINK("http://www.ncbi.nlm.nih.gov/gene/?term=FCGRT","NCBI")</f>
        <v>NCBI</v>
      </c>
      <c r="F5173">
        <v>4.8000000000000001E-2</v>
      </c>
      <c r="G5173">
        <v>0.16</v>
      </c>
      <c r="H5173" s="1" t="str">
        <f>HYPERLINK("http://www.weizmann.ac.il/complex/compphys/software/geview/data/figures/218831_s_at.png","Figure")</f>
        <v>Figure</v>
      </c>
      <c r="I5173">
        <v>0.77500000000000002</v>
      </c>
      <c r="J5173">
        <v>0.5</v>
      </c>
      <c r="K5173">
        <v>0.58699999999999997</v>
      </c>
      <c r="L5173">
        <v>0.04</v>
      </c>
      <c r="M5173">
        <v>0.75700000000000001</v>
      </c>
      <c r="N5173">
        <v>0.39</v>
      </c>
    </row>
    <row r="5174" spans="1:14" x14ac:dyDescent="0.25">
      <c r="A5174" t="s">
        <v>9353</v>
      </c>
      <c r="B5174" t="s">
        <v>321</v>
      </c>
      <c r="C5174" s="1" t="str">
        <f>HYPERLINK("http://www.genecards.org/cgi-bin/carddisp.pl?gene=G6PC3","GeneCards")</f>
        <v>GeneCards</v>
      </c>
      <c r="D5174" s="1" t="str">
        <f>HYPERLINK("http://genome-euro.ucsc.edu/cgi-bin/hgTracks?position=221759_at","UCSC")</f>
        <v>UCSC</v>
      </c>
      <c r="E5174" s="1" t="str">
        <f>HYPERLINK("http://www.ncbi.nlm.nih.gov/gene/?term=G6PC3","NCBI")</f>
        <v>NCBI</v>
      </c>
      <c r="F5174">
        <v>4.8000000000000001E-2</v>
      </c>
      <c r="G5174">
        <v>0.16</v>
      </c>
      <c r="H5174" s="1" t="str">
        <f>HYPERLINK("http://www.weizmann.ac.il/complex/compphys/software/geview/data/figures/221759_at.png","Figure")</f>
        <v>Figure</v>
      </c>
      <c r="I5174">
        <v>1.1299999999999999</v>
      </c>
      <c r="J5174">
        <v>5.3999999999999999E-2</v>
      </c>
      <c r="K5174">
        <v>1.1000000000000001</v>
      </c>
      <c r="L5174">
        <v>0.11</v>
      </c>
      <c r="M5174">
        <v>0.96699999999999997</v>
      </c>
      <c r="N5174">
        <v>0.74</v>
      </c>
    </row>
    <row r="5175" spans="1:14" x14ac:dyDescent="0.25">
      <c r="A5175" t="s">
        <v>9354</v>
      </c>
      <c r="B5175" t="s">
        <v>9355</v>
      </c>
      <c r="C5175" s="1" t="str">
        <f>HYPERLINK("http://www.genecards.org/cgi-bin/carddisp.pl?gene=SLC38A10","GeneCards")</f>
        <v>GeneCards</v>
      </c>
      <c r="D5175" s="1" t="str">
        <f>HYPERLINK("http://genome-euro.ucsc.edu/cgi-bin/hgTracks?position=212890_at","UCSC")</f>
        <v>UCSC</v>
      </c>
      <c r="E5175" s="1" t="str">
        <f>HYPERLINK("http://www.ncbi.nlm.nih.gov/gene/?term=SLC38A10","NCBI")</f>
        <v>NCBI</v>
      </c>
      <c r="F5175">
        <v>4.8000000000000001E-2</v>
      </c>
      <c r="G5175">
        <v>0.16</v>
      </c>
      <c r="H5175" s="1" t="str">
        <f>HYPERLINK("http://www.weizmann.ac.il/complex/compphys/software/geview/data/figures/212890_at.png","Figure")</f>
        <v>Figure</v>
      </c>
      <c r="I5175">
        <v>0.77100000000000002</v>
      </c>
      <c r="J5175">
        <v>0.74</v>
      </c>
      <c r="K5175">
        <v>1.8</v>
      </c>
      <c r="L5175">
        <v>0.17</v>
      </c>
      <c r="M5175">
        <v>2.34</v>
      </c>
      <c r="N5175">
        <v>5.3999999999999999E-2</v>
      </c>
    </row>
    <row r="5176" spans="1:14" x14ac:dyDescent="0.25">
      <c r="A5176" t="s">
        <v>9356</v>
      </c>
      <c r="B5176" t="s">
        <v>9357</v>
      </c>
      <c r="C5176" s="1" t="str">
        <f>HYPERLINK("http://www.genecards.org/cgi-bin/carddisp.pl?gene=ABL2","GeneCards")</f>
        <v>GeneCards</v>
      </c>
      <c r="D5176" s="1" t="str">
        <f>HYPERLINK("http://genome-euro.ucsc.edu/cgi-bin/hgTracks?position=206411_s_at","UCSC")</f>
        <v>UCSC</v>
      </c>
      <c r="E5176" s="1" t="str">
        <f>HYPERLINK("http://www.ncbi.nlm.nih.gov/gene/?term=ABL2","NCBI")</f>
        <v>NCBI</v>
      </c>
      <c r="F5176">
        <v>4.8000000000000001E-2</v>
      </c>
      <c r="G5176">
        <v>0.16</v>
      </c>
      <c r="H5176" s="1" t="str">
        <f>HYPERLINK("http://www.weizmann.ac.il/complex/compphys/software/geview/data/figures/206411_s_at.png","Figure")</f>
        <v>Figure</v>
      </c>
      <c r="I5176">
        <v>1.21</v>
      </c>
      <c r="J5176">
        <v>7.0000000000000007E-2</v>
      </c>
      <c r="K5176">
        <v>1.01</v>
      </c>
      <c r="L5176">
        <v>0.99</v>
      </c>
      <c r="M5176">
        <v>0.83499999999999996</v>
      </c>
      <c r="N5176">
        <v>6.3E-2</v>
      </c>
    </row>
    <row r="5177" spans="1:14" x14ac:dyDescent="0.25">
      <c r="A5177" t="s">
        <v>9358</v>
      </c>
      <c r="B5177" t="s">
        <v>9359</v>
      </c>
      <c r="C5177" s="1" t="str">
        <f>HYPERLINK("http://www.genecards.org/cgi-bin/carddisp.pl?gene=TP53","GeneCards")</f>
        <v>GeneCards</v>
      </c>
      <c r="D5177" s="1" t="str">
        <f>HYPERLINK("http://genome-euro.ucsc.edu/cgi-bin/hgTracks?position=201746_at","UCSC")</f>
        <v>UCSC</v>
      </c>
      <c r="E5177" s="1" t="str">
        <f>HYPERLINK("http://www.ncbi.nlm.nih.gov/gene/?term=TP53","NCBI")</f>
        <v>NCBI</v>
      </c>
      <c r="F5177">
        <v>4.8000000000000001E-2</v>
      </c>
      <c r="G5177">
        <v>0.16</v>
      </c>
      <c r="H5177" s="1" t="str">
        <f>HYPERLINK("http://www.weizmann.ac.il/complex/compphys/software/geview/data/figures/201746_at.png","Figure")</f>
        <v>Figure</v>
      </c>
      <c r="I5177">
        <v>0.68100000000000005</v>
      </c>
      <c r="J5177">
        <v>0.45</v>
      </c>
      <c r="K5177">
        <v>1.5</v>
      </c>
      <c r="L5177">
        <v>0.32</v>
      </c>
      <c r="M5177">
        <v>2.21</v>
      </c>
      <c r="N5177">
        <v>4.2000000000000003E-2</v>
      </c>
    </row>
    <row r="5178" spans="1:14" x14ac:dyDescent="0.25">
      <c r="A5178" t="s">
        <v>9360</v>
      </c>
      <c r="B5178" t="s">
        <v>9361</v>
      </c>
      <c r="C5178" s="1" t="str">
        <f>HYPERLINK("http://www.genecards.org/cgi-bin/carddisp.pl?gene=B3GNT3","GeneCards")</f>
        <v>GeneCards</v>
      </c>
      <c r="D5178" s="1" t="str">
        <f>HYPERLINK("http://genome-euro.ucsc.edu/cgi-bin/hgTracks?position=204856_at","UCSC")</f>
        <v>UCSC</v>
      </c>
      <c r="E5178" s="1" t="str">
        <f>HYPERLINK("http://www.ncbi.nlm.nih.gov/gene/?term=B3GNT3","NCBI")</f>
        <v>NCBI</v>
      </c>
      <c r="F5178">
        <v>4.8000000000000001E-2</v>
      </c>
      <c r="G5178">
        <v>0.16</v>
      </c>
      <c r="H5178" s="1" t="str">
        <f>HYPERLINK("http://www.weizmann.ac.il/complex/compphys/software/geview/data/figures/204856_at.png","Figure")</f>
        <v>Figure</v>
      </c>
      <c r="I5178">
        <v>1.34</v>
      </c>
      <c r="J5178">
        <v>5.2999999999999999E-2</v>
      </c>
      <c r="K5178">
        <v>1.05</v>
      </c>
      <c r="L5178">
        <v>0.87</v>
      </c>
      <c r="M5178">
        <v>0.78300000000000003</v>
      </c>
      <c r="N5178">
        <v>8.7999999999999995E-2</v>
      </c>
    </row>
    <row r="5179" spans="1:14" x14ac:dyDescent="0.25">
      <c r="A5179" t="s">
        <v>9362</v>
      </c>
      <c r="B5179" t="s">
        <v>9363</v>
      </c>
      <c r="C5179" s="1" t="str">
        <f>HYPERLINK("http://www.genecards.org/cgi-bin/carddisp.pl?gene=PDK1","GeneCards")</f>
        <v>GeneCards</v>
      </c>
      <c r="D5179" s="1" t="str">
        <f>HYPERLINK("http://genome-euro.ucsc.edu/cgi-bin/hgTracks?position=206686_at","UCSC")</f>
        <v>UCSC</v>
      </c>
      <c r="E5179" s="1" t="str">
        <f>HYPERLINK("http://www.ncbi.nlm.nih.gov/gene/?term=PDK1","NCBI")</f>
        <v>NCBI</v>
      </c>
      <c r="F5179">
        <v>4.8000000000000001E-2</v>
      </c>
      <c r="G5179">
        <v>0.16</v>
      </c>
      <c r="H5179" s="1" t="str">
        <f>HYPERLINK("http://www.weizmann.ac.il/complex/compphys/software/geview/data/figures/206686_at.png","Figure")</f>
        <v>Figure</v>
      </c>
      <c r="I5179">
        <v>0.95899999999999996</v>
      </c>
      <c r="J5179">
        <v>0.84</v>
      </c>
      <c r="K5179">
        <v>0.84399999999999997</v>
      </c>
      <c r="L5179">
        <v>5.0999999999999997E-2</v>
      </c>
      <c r="M5179">
        <v>0.88100000000000001</v>
      </c>
      <c r="N5179">
        <v>0.19</v>
      </c>
    </row>
    <row r="5180" spans="1:14" x14ac:dyDescent="0.25">
      <c r="A5180" t="s">
        <v>9364</v>
      </c>
      <c r="B5180" t="s">
        <v>9365</v>
      </c>
      <c r="C5180" s="1" t="str">
        <f>HYPERLINK("http://www.genecards.org/cgi-bin/carddisp.pl?gene=RPL3L","GeneCards")</f>
        <v>GeneCards</v>
      </c>
      <c r="D5180" s="1" t="str">
        <f>HYPERLINK("http://genome-euro.ucsc.edu/cgi-bin/hgTracks?position=206768_at","UCSC")</f>
        <v>UCSC</v>
      </c>
      <c r="E5180" s="1" t="str">
        <f>HYPERLINK("http://www.ncbi.nlm.nih.gov/gene/?term=RPL3L","NCBI")</f>
        <v>NCBI</v>
      </c>
      <c r="F5180">
        <v>4.8000000000000001E-2</v>
      </c>
      <c r="G5180">
        <v>0.16</v>
      </c>
      <c r="H5180" s="1" t="str">
        <f>HYPERLINK("http://www.weizmann.ac.il/complex/compphys/software/geview/data/figures/206768_at.png","Figure")</f>
        <v>Figure</v>
      </c>
      <c r="I5180">
        <v>1.1100000000000001</v>
      </c>
      <c r="J5180">
        <v>5.8000000000000003E-2</v>
      </c>
      <c r="K5180">
        <v>1.08</v>
      </c>
      <c r="L5180">
        <v>0.1</v>
      </c>
      <c r="M5180">
        <v>0.97599999999999998</v>
      </c>
      <c r="N5180">
        <v>0.79</v>
      </c>
    </row>
    <row r="5181" spans="1:14" x14ac:dyDescent="0.25">
      <c r="A5181" t="s">
        <v>9366</v>
      </c>
      <c r="B5181" t="s">
        <v>1543</v>
      </c>
      <c r="C5181" s="1" t="str">
        <f>HYPERLINK("http://www.genecards.org/cgi-bin/carddisp.pl?gene=PHF15","GeneCards")</f>
        <v>GeneCards</v>
      </c>
      <c r="D5181" s="1" t="str">
        <f>HYPERLINK("http://genome-euro.ucsc.edu/cgi-bin/hgTracks?position=208202_s_at","UCSC")</f>
        <v>UCSC</v>
      </c>
      <c r="E5181" s="1" t="str">
        <f>HYPERLINK("http://www.ncbi.nlm.nih.gov/gene/?term=PHF15","NCBI")</f>
        <v>NCBI</v>
      </c>
      <c r="F5181">
        <v>4.8000000000000001E-2</v>
      </c>
      <c r="G5181">
        <v>0.16</v>
      </c>
      <c r="H5181" s="1" t="str">
        <f>HYPERLINK("http://www.weizmann.ac.il/complex/compphys/software/geview/data/figures/208202_s_at.png","Figure")</f>
        <v>Figure</v>
      </c>
      <c r="I5181">
        <v>1.1299999999999999</v>
      </c>
      <c r="J5181">
        <v>4.1000000000000002E-2</v>
      </c>
      <c r="K5181">
        <v>1.07</v>
      </c>
      <c r="L5181">
        <v>0.22</v>
      </c>
      <c r="M5181">
        <v>0.94599999999999995</v>
      </c>
      <c r="N5181">
        <v>0.43</v>
      </c>
    </row>
    <row r="5182" spans="1:14" x14ac:dyDescent="0.25">
      <c r="A5182" t="s">
        <v>9367</v>
      </c>
      <c r="B5182" t="s">
        <v>9368</v>
      </c>
      <c r="C5182" s="1" t="str">
        <f>HYPERLINK("http://www.genecards.org/cgi-bin/carddisp.pl?gene=TNFRSF14","GeneCards")</f>
        <v>GeneCards</v>
      </c>
      <c r="D5182" s="1" t="str">
        <f>HYPERLINK("http://genome-euro.ucsc.edu/cgi-bin/hgTracks?position=209354_at","UCSC")</f>
        <v>UCSC</v>
      </c>
      <c r="E5182" s="1" t="str">
        <f>HYPERLINK("http://www.ncbi.nlm.nih.gov/gene/?term=TNFRSF14","NCBI")</f>
        <v>NCBI</v>
      </c>
      <c r="F5182">
        <v>4.8000000000000001E-2</v>
      </c>
      <c r="G5182">
        <v>0.16</v>
      </c>
      <c r="H5182" s="1" t="str">
        <f>HYPERLINK("http://www.weizmann.ac.il/complex/compphys/software/geview/data/figures/209354_at.png","Figure")</f>
        <v>Figure</v>
      </c>
      <c r="I5182">
        <v>0.73399999999999999</v>
      </c>
      <c r="J5182">
        <v>7.4999999999999997E-2</v>
      </c>
      <c r="K5182">
        <v>0.76300000000000001</v>
      </c>
      <c r="L5182">
        <v>7.4999999999999997E-2</v>
      </c>
      <c r="M5182">
        <v>1.04</v>
      </c>
      <c r="N5182">
        <v>0.94</v>
      </c>
    </row>
    <row r="5183" spans="1:14" x14ac:dyDescent="0.25">
      <c r="A5183" t="s">
        <v>9369</v>
      </c>
      <c r="B5183" t="s">
        <v>9370</v>
      </c>
      <c r="C5183" s="1" t="str">
        <f>HYPERLINK("http://www.genecards.org/cgi-bin/carddisp.pl?gene=TTR","GeneCards")</f>
        <v>GeneCards</v>
      </c>
      <c r="D5183" s="1" t="str">
        <f>HYPERLINK("http://genome-euro.ucsc.edu/cgi-bin/hgTracks?position=209660_at","UCSC")</f>
        <v>UCSC</v>
      </c>
      <c r="E5183" s="1" t="str">
        <f>HYPERLINK("http://www.ncbi.nlm.nih.gov/gene/?term=TTR","NCBI")</f>
        <v>NCBI</v>
      </c>
      <c r="F5183">
        <v>4.8000000000000001E-2</v>
      </c>
      <c r="G5183">
        <v>0.16</v>
      </c>
      <c r="H5183" s="1" t="str">
        <f>HYPERLINK("http://www.weizmann.ac.il/complex/compphys/software/geview/data/figures/209660_at.png","Figure")</f>
        <v>Figure</v>
      </c>
      <c r="I5183">
        <v>1.18</v>
      </c>
      <c r="J5183">
        <v>3.9E-2</v>
      </c>
      <c r="K5183">
        <v>1.08</v>
      </c>
      <c r="L5183">
        <v>0.34</v>
      </c>
      <c r="M5183">
        <v>0.91300000000000003</v>
      </c>
      <c r="N5183">
        <v>0.28000000000000003</v>
      </c>
    </row>
    <row r="5184" spans="1:14" x14ac:dyDescent="0.25">
      <c r="A5184" t="s">
        <v>9371</v>
      </c>
      <c r="B5184" t="s">
        <v>9372</v>
      </c>
      <c r="C5184" s="1" t="str">
        <f>HYPERLINK("http://www.genecards.org/cgi-bin/carddisp.pl?gene=NRXN2","GeneCards")</f>
        <v>GeneCards</v>
      </c>
      <c r="D5184" s="1" t="str">
        <f>HYPERLINK("http://genome-euro.ucsc.edu/cgi-bin/hgTracks?position=209982_s_at","UCSC")</f>
        <v>UCSC</v>
      </c>
      <c r="E5184" s="1" t="str">
        <f>HYPERLINK("http://www.ncbi.nlm.nih.gov/gene/?term=NRXN2","NCBI")</f>
        <v>NCBI</v>
      </c>
      <c r="F5184">
        <v>4.8000000000000001E-2</v>
      </c>
      <c r="G5184">
        <v>0.16</v>
      </c>
      <c r="H5184" s="1" t="str">
        <f>HYPERLINK("http://www.weizmann.ac.il/complex/compphys/software/geview/data/figures/209982_s_at.png","Figure")</f>
        <v>Figure</v>
      </c>
      <c r="I5184">
        <v>0.59699999999999998</v>
      </c>
      <c r="J5184">
        <v>7.8E-2</v>
      </c>
      <c r="K5184">
        <v>1</v>
      </c>
      <c r="L5184">
        <v>1</v>
      </c>
      <c r="M5184">
        <v>1.68</v>
      </c>
      <c r="N5184">
        <v>5.8000000000000003E-2</v>
      </c>
    </row>
    <row r="5185" spans="1:14" x14ac:dyDescent="0.25">
      <c r="A5185" t="s">
        <v>9373</v>
      </c>
      <c r="B5185" t="s">
        <v>9374</v>
      </c>
      <c r="C5185" s="1" t="str">
        <f>HYPERLINK("http://www.genecards.org/cgi-bin/carddisp.pl?gene=SSX4 /// SSX4B","GeneCards")</f>
        <v>GeneCards</v>
      </c>
      <c r="D5185" s="1" t="str">
        <f>HYPERLINK("http://genome-euro.ucsc.edu/cgi-bin/hgTracks?position=210394_x_at","UCSC")</f>
        <v>UCSC</v>
      </c>
      <c r="E5185" s="1" t="str">
        <f>HYPERLINK("http://www.ncbi.nlm.nih.gov/gene/?term=SSX4 /// SSX4B","NCBI")</f>
        <v>NCBI</v>
      </c>
      <c r="F5185">
        <v>4.8000000000000001E-2</v>
      </c>
      <c r="G5185">
        <v>0.16</v>
      </c>
      <c r="H5185" s="1" t="str">
        <f>HYPERLINK("http://www.weizmann.ac.il/complex/compphys/software/geview/data/figures/210394_x_at.png","Figure")</f>
        <v>Figure</v>
      </c>
      <c r="I5185">
        <v>0.95299999999999996</v>
      </c>
      <c r="J5185">
        <v>0.9</v>
      </c>
      <c r="K5185">
        <v>0.77600000000000002</v>
      </c>
      <c r="L5185">
        <v>5.6000000000000001E-2</v>
      </c>
      <c r="M5185">
        <v>0.81399999999999995</v>
      </c>
      <c r="N5185">
        <v>0.16</v>
      </c>
    </row>
    <row r="5186" spans="1:14" x14ac:dyDescent="0.25">
      <c r="A5186" t="s">
        <v>9375</v>
      </c>
      <c r="B5186" t="s">
        <v>9376</v>
      </c>
      <c r="C5186" s="1" t="str">
        <f>HYPERLINK("http://www.genecards.org/cgi-bin/carddisp.pl?gene=SLC25A16","GeneCards")</f>
        <v>GeneCards</v>
      </c>
      <c r="D5186" s="1" t="str">
        <f>HYPERLINK("http://genome-euro.ucsc.edu/cgi-bin/hgTracks?position=210686_x_at","UCSC")</f>
        <v>UCSC</v>
      </c>
      <c r="E5186" s="1" t="str">
        <f>HYPERLINK("http://www.ncbi.nlm.nih.gov/gene/?term=SLC25A16","NCBI")</f>
        <v>NCBI</v>
      </c>
      <c r="F5186">
        <v>4.8000000000000001E-2</v>
      </c>
      <c r="G5186">
        <v>0.16</v>
      </c>
      <c r="H5186" s="1" t="str">
        <f>HYPERLINK("http://www.weizmann.ac.il/complex/compphys/software/geview/data/figures/210686_x_at.png","Figure")</f>
        <v>Figure</v>
      </c>
      <c r="I5186">
        <v>2.06</v>
      </c>
      <c r="J5186">
        <v>3.9E-2</v>
      </c>
      <c r="K5186">
        <v>1.4</v>
      </c>
      <c r="L5186">
        <v>0.33</v>
      </c>
      <c r="M5186">
        <v>0.68100000000000005</v>
      </c>
      <c r="N5186">
        <v>0.28999999999999998</v>
      </c>
    </row>
    <row r="5187" spans="1:14" x14ac:dyDescent="0.25">
      <c r="A5187" t="s">
        <v>9377</v>
      </c>
      <c r="B5187" t="s">
        <v>9378</v>
      </c>
      <c r="C5187" s="1" t="str">
        <f>HYPERLINK("http://www.genecards.org/cgi-bin/carddisp.pl?gene=GINS4","GeneCards")</f>
        <v>GeneCards</v>
      </c>
      <c r="D5187" s="1" t="str">
        <f>HYPERLINK("http://genome-euro.ucsc.edu/cgi-bin/hgTracks?position=211767_at","UCSC")</f>
        <v>UCSC</v>
      </c>
      <c r="E5187" s="1" t="str">
        <f>HYPERLINK("http://www.ncbi.nlm.nih.gov/gene/?term=GINS4","NCBI")</f>
        <v>NCBI</v>
      </c>
      <c r="F5187">
        <v>4.8000000000000001E-2</v>
      </c>
      <c r="G5187">
        <v>0.16</v>
      </c>
      <c r="H5187" s="1" t="str">
        <f>HYPERLINK("http://www.weizmann.ac.il/complex/compphys/software/geview/data/figures/211767_at.png","Figure")</f>
        <v>Figure</v>
      </c>
      <c r="I5187">
        <v>0.78600000000000003</v>
      </c>
      <c r="J5187">
        <v>6.9000000000000006E-2</v>
      </c>
      <c r="K5187">
        <v>0.98899999999999999</v>
      </c>
      <c r="L5187">
        <v>0.99</v>
      </c>
      <c r="M5187">
        <v>1.26</v>
      </c>
      <c r="N5187">
        <v>6.4000000000000001E-2</v>
      </c>
    </row>
    <row r="5188" spans="1:14" x14ac:dyDescent="0.25">
      <c r="A5188" t="s">
        <v>9379</v>
      </c>
      <c r="B5188" t="s">
        <v>9380</v>
      </c>
      <c r="C5188" s="1" t="str">
        <f>HYPERLINK("http://www.genecards.org/cgi-bin/carddisp.pl?gene=UQCRC2","GeneCards")</f>
        <v>GeneCards</v>
      </c>
      <c r="D5188" s="1" t="str">
        <f>HYPERLINK("http://genome-euro.ucsc.edu/cgi-bin/hgTracks?position=212600_s_at","UCSC")</f>
        <v>UCSC</v>
      </c>
      <c r="E5188" s="1" t="str">
        <f>HYPERLINK("http://www.ncbi.nlm.nih.gov/gene/?term=UQCRC2","NCBI")</f>
        <v>NCBI</v>
      </c>
      <c r="F5188">
        <v>4.8000000000000001E-2</v>
      </c>
      <c r="G5188">
        <v>0.16</v>
      </c>
      <c r="H5188" s="1" t="str">
        <f>HYPERLINK("http://www.weizmann.ac.il/complex/compphys/software/geview/data/figures/212600_s_at.png","Figure")</f>
        <v>Figure</v>
      </c>
      <c r="I5188">
        <v>1.28</v>
      </c>
      <c r="J5188">
        <v>0.21</v>
      </c>
      <c r="K5188">
        <v>1.38</v>
      </c>
      <c r="L5188">
        <v>4.2000000000000003E-2</v>
      </c>
      <c r="M5188">
        <v>1.08</v>
      </c>
      <c r="N5188">
        <v>0.81</v>
      </c>
    </row>
    <row r="5189" spans="1:14" x14ac:dyDescent="0.25">
      <c r="A5189" t="s">
        <v>9381</v>
      </c>
      <c r="B5189" t="s">
        <v>9382</v>
      </c>
      <c r="C5189" s="1" t="str">
        <f>HYPERLINK("http://www.genecards.org/cgi-bin/carddisp.pl?gene=ARID5A","GeneCards")</f>
        <v>GeneCards</v>
      </c>
      <c r="D5189" s="1" t="str">
        <f>HYPERLINK("http://genome-euro.ucsc.edu/cgi-bin/hgTracks?position=213138_at","UCSC")</f>
        <v>UCSC</v>
      </c>
      <c r="E5189" s="1" t="str">
        <f>HYPERLINK("http://www.ncbi.nlm.nih.gov/gene/?term=ARID5A","NCBI")</f>
        <v>NCBI</v>
      </c>
      <c r="F5189">
        <v>4.8000000000000001E-2</v>
      </c>
      <c r="G5189">
        <v>0.16</v>
      </c>
      <c r="H5189" s="1" t="str">
        <f>HYPERLINK("http://www.weizmann.ac.il/complex/compphys/software/geview/data/figures/213138_at.png","Figure")</f>
        <v>Figure</v>
      </c>
      <c r="I5189">
        <v>1.69</v>
      </c>
      <c r="J5189">
        <v>8.5000000000000006E-2</v>
      </c>
      <c r="K5189">
        <v>0.98099999999999998</v>
      </c>
      <c r="L5189">
        <v>0.99</v>
      </c>
      <c r="M5189">
        <v>0.58099999999999996</v>
      </c>
      <c r="N5189">
        <v>5.3999999999999999E-2</v>
      </c>
    </row>
    <row r="5190" spans="1:14" x14ac:dyDescent="0.25">
      <c r="A5190" t="s">
        <v>9383</v>
      </c>
      <c r="B5190" t="s">
        <v>9384</v>
      </c>
      <c r="C5190" s="1" t="str">
        <f>HYPERLINK("http://www.genecards.org/cgi-bin/carddisp.pl?gene=RNF138","GeneCards")</f>
        <v>GeneCards</v>
      </c>
      <c r="D5190" s="1" t="str">
        <f>HYPERLINK("http://genome-euro.ucsc.edu/cgi-bin/hgTracks?position=218738_s_at","UCSC")</f>
        <v>UCSC</v>
      </c>
      <c r="E5190" s="1" t="str">
        <f>HYPERLINK("http://www.ncbi.nlm.nih.gov/gene/?term=RNF138","NCBI")</f>
        <v>NCBI</v>
      </c>
      <c r="F5190">
        <v>4.8000000000000001E-2</v>
      </c>
      <c r="G5190">
        <v>0.16</v>
      </c>
      <c r="H5190" s="1" t="str">
        <f>HYPERLINK("http://www.weizmann.ac.il/complex/compphys/software/geview/data/figures/218738_s_at.png","Figure")</f>
        <v>Figure</v>
      </c>
      <c r="I5190">
        <v>0.65500000000000003</v>
      </c>
      <c r="J5190">
        <v>7.6999999999999999E-2</v>
      </c>
      <c r="K5190">
        <v>0.68700000000000006</v>
      </c>
      <c r="L5190">
        <v>7.2999999999999995E-2</v>
      </c>
      <c r="M5190">
        <v>1.05</v>
      </c>
      <c r="N5190">
        <v>0.95</v>
      </c>
    </row>
    <row r="5191" spans="1:14" x14ac:dyDescent="0.25">
      <c r="A5191" t="s">
        <v>9385</v>
      </c>
      <c r="B5191" t="s">
        <v>9386</v>
      </c>
      <c r="C5191" s="1" t="str">
        <f>HYPERLINK("http://www.genecards.org/cgi-bin/carddisp.pl?gene=HIGD1B","GeneCards")</f>
        <v>GeneCards</v>
      </c>
      <c r="D5191" s="1" t="str">
        <f>HYPERLINK("http://genome-euro.ucsc.edu/cgi-bin/hgTracks?position=219719_at","UCSC")</f>
        <v>UCSC</v>
      </c>
      <c r="E5191" s="1" t="str">
        <f>HYPERLINK("http://www.ncbi.nlm.nih.gov/gene/?term=HIGD1B","NCBI")</f>
        <v>NCBI</v>
      </c>
      <c r="F5191">
        <v>4.8000000000000001E-2</v>
      </c>
      <c r="G5191">
        <v>0.16</v>
      </c>
      <c r="H5191" s="1" t="str">
        <f>HYPERLINK("http://www.weizmann.ac.il/complex/compphys/software/geview/data/figures/219719_at.png","Figure")</f>
        <v>Figure</v>
      </c>
      <c r="I5191">
        <v>1.17</v>
      </c>
      <c r="J5191">
        <v>7.2999999999999995E-2</v>
      </c>
      <c r="K5191">
        <v>1.1399999999999999</v>
      </c>
      <c r="L5191">
        <v>7.6999999999999999E-2</v>
      </c>
      <c r="M5191">
        <v>0.97899999999999998</v>
      </c>
      <c r="N5191">
        <v>0.93</v>
      </c>
    </row>
    <row r="5192" spans="1:14" x14ac:dyDescent="0.25">
      <c r="A5192" t="s">
        <v>9387</v>
      </c>
      <c r="B5192" t="s">
        <v>9388</v>
      </c>
      <c r="C5192" s="1" t="str">
        <f>HYPERLINK("http://www.genecards.org/cgi-bin/carddisp.pl?gene=TEK","GeneCards")</f>
        <v>GeneCards</v>
      </c>
      <c r="D5192" s="1" t="str">
        <f>HYPERLINK("http://genome-euro.ucsc.edu/cgi-bin/hgTracks?position=217711_at","UCSC")</f>
        <v>UCSC</v>
      </c>
      <c r="E5192" s="1" t="str">
        <f>HYPERLINK("http://www.ncbi.nlm.nih.gov/gene/?term=TEK","NCBI")</f>
        <v>NCBI</v>
      </c>
      <c r="F5192">
        <v>4.8000000000000001E-2</v>
      </c>
      <c r="G5192">
        <v>0.16</v>
      </c>
      <c r="H5192" s="1" t="str">
        <f>HYPERLINK("http://www.weizmann.ac.il/complex/compphys/software/geview/data/figures/217711_at.png","Figure")</f>
        <v>Figure</v>
      </c>
      <c r="I5192">
        <v>1.43</v>
      </c>
      <c r="J5192">
        <v>5.0999999999999997E-2</v>
      </c>
      <c r="K5192">
        <v>1.07</v>
      </c>
      <c r="L5192">
        <v>0.85</v>
      </c>
      <c r="M5192">
        <v>0.749</v>
      </c>
      <c r="N5192">
        <v>9.1999999999999998E-2</v>
      </c>
    </row>
    <row r="5193" spans="1:14" x14ac:dyDescent="0.25">
      <c r="A5193" t="s">
        <v>9389</v>
      </c>
      <c r="B5193" t="s">
        <v>3654</v>
      </c>
      <c r="C5193" s="1" t="str">
        <f>HYPERLINK("http://www.genecards.org/cgi-bin/carddisp.pl?gene=TARDBP","GeneCards")</f>
        <v>GeneCards</v>
      </c>
      <c r="D5193" s="1" t="str">
        <f>HYPERLINK("http://genome-euro.ucsc.edu/cgi-bin/hgTracks?position=200020_at","UCSC")</f>
        <v>UCSC</v>
      </c>
      <c r="E5193" s="1" t="str">
        <f>HYPERLINK("http://www.ncbi.nlm.nih.gov/gene/?term=TARDBP","NCBI")</f>
        <v>NCBI</v>
      </c>
      <c r="F5193">
        <v>4.8000000000000001E-2</v>
      </c>
      <c r="G5193">
        <v>0.16</v>
      </c>
      <c r="H5193" s="1" t="str">
        <f>HYPERLINK("http://www.weizmann.ac.il/complex/compphys/software/geview/data/figures/200020_at.png","Figure")</f>
        <v>Figure</v>
      </c>
      <c r="I5193">
        <v>1.64</v>
      </c>
      <c r="J5193">
        <v>5.0999999999999997E-2</v>
      </c>
      <c r="K5193">
        <v>1.1000000000000001</v>
      </c>
      <c r="L5193">
        <v>0.84</v>
      </c>
      <c r="M5193">
        <v>0.67</v>
      </c>
      <c r="N5193">
        <v>9.2999999999999999E-2</v>
      </c>
    </row>
    <row r="5194" spans="1:14" x14ac:dyDescent="0.25">
      <c r="A5194" t="s">
        <v>9390</v>
      </c>
      <c r="B5194" t="s">
        <v>3199</v>
      </c>
      <c r="C5194" s="1" t="str">
        <f>HYPERLINK("http://www.genecards.org/cgi-bin/carddisp.pl?gene=MIER2","GeneCards")</f>
        <v>GeneCards</v>
      </c>
      <c r="D5194" s="1" t="str">
        <f>HYPERLINK("http://genome-euro.ucsc.edu/cgi-bin/hgTracks?position=44822_s_at","UCSC")</f>
        <v>UCSC</v>
      </c>
      <c r="E5194" s="1" t="str">
        <f>HYPERLINK("http://www.ncbi.nlm.nih.gov/gene/?term=MIER2","NCBI")</f>
        <v>NCBI</v>
      </c>
      <c r="F5194">
        <v>4.8000000000000001E-2</v>
      </c>
      <c r="G5194">
        <v>0.16</v>
      </c>
      <c r="H5194" s="1" t="str">
        <f>HYPERLINK("http://www.weizmann.ac.il/complex/compphys/software/geview/data/figures/44822_s_at.png","Figure")</f>
        <v>Figure</v>
      </c>
      <c r="I5194">
        <v>1.1000000000000001</v>
      </c>
      <c r="J5194">
        <v>0.43</v>
      </c>
      <c r="K5194">
        <v>0.90600000000000003</v>
      </c>
      <c r="L5194">
        <v>0.34</v>
      </c>
      <c r="M5194">
        <v>0.82</v>
      </c>
      <c r="N5194">
        <v>4.1000000000000002E-2</v>
      </c>
    </row>
    <row r="5195" spans="1:14" x14ac:dyDescent="0.25">
      <c r="A5195" t="s">
        <v>9391</v>
      </c>
      <c r="B5195" t="s">
        <v>9392</v>
      </c>
      <c r="C5195" s="1" t="str">
        <f>HYPERLINK("http://www.genecards.org/cgi-bin/carddisp.pl?gene=NUFIP1","GeneCards")</f>
        <v>GeneCards</v>
      </c>
      <c r="D5195" s="1" t="str">
        <f>HYPERLINK("http://genome-euro.ucsc.edu/cgi-bin/hgTracks?position=205134_s_at","UCSC")</f>
        <v>UCSC</v>
      </c>
      <c r="E5195" s="1" t="str">
        <f>HYPERLINK("http://www.ncbi.nlm.nih.gov/gene/?term=NUFIP1","NCBI")</f>
        <v>NCBI</v>
      </c>
      <c r="F5195">
        <v>4.8000000000000001E-2</v>
      </c>
      <c r="G5195">
        <v>0.16</v>
      </c>
      <c r="H5195" s="1" t="str">
        <f>HYPERLINK("http://www.weizmann.ac.il/complex/compphys/software/geview/data/figures/205134_s_at.png","Figure")</f>
        <v>Figure</v>
      </c>
      <c r="I5195">
        <v>0.95899999999999996</v>
      </c>
      <c r="J5195">
        <v>0.93</v>
      </c>
      <c r="K5195">
        <v>0.76400000000000001</v>
      </c>
      <c r="L5195">
        <v>5.8999999999999997E-2</v>
      </c>
      <c r="M5195">
        <v>0.79800000000000004</v>
      </c>
      <c r="N5195">
        <v>0.15</v>
      </c>
    </row>
    <row r="5196" spans="1:14" x14ac:dyDescent="0.25">
      <c r="A5196" t="s">
        <v>9393</v>
      </c>
      <c r="B5196" t="s">
        <v>9394</v>
      </c>
      <c r="C5196" s="1" t="str">
        <f>HYPERLINK("http://www.genecards.org/cgi-bin/carddisp.pl?gene=EHMT2","GeneCards")</f>
        <v>GeneCards</v>
      </c>
      <c r="D5196" s="1" t="str">
        <f>HYPERLINK("http://genome-euro.ucsc.edu/cgi-bin/hgTracks?position=202326_at","UCSC")</f>
        <v>UCSC</v>
      </c>
      <c r="E5196" s="1" t="str">
        <f>HYPERLINK("http://www.ncbi.nlm.nih.gov/gene/?term=EHMT2","NCBI")</f>
        <v>NCBI</v>
      </c>
      <c r="F5196">
        <v>4.8000000000000001E-2</v>
      </c>
      <c r="G5196">
        <v>0.16</v>
      </c>
      <c r="H5196" s="1" t="str">
        <f>HYPERLINK("http://www.weizmann.ac.il/complex/compphys/software/geview/data/figures/202326_at.png","Figure")</f>
        <v>Figure</v>
      </c>
      <c r="I5196">
        <v>0.67400000000000004</v>
      </c>
      <c r="J5196">
        <v>0.19</v>
      </c>
      <c r="K5196">
        <v>1.17</v>
      </c>
      <c r="L5196">
        <v>0.68</v>
      </c>
      <c r="M5196">
        <v>1.74</v>
      </c>
      <c r="N5196">
        <v>0.04</v>
      </c>
    </row>
    <row r="5197" spans="1:14" x14ac:dyDescent="0.25">
      <c r="A5197" t="s">
        <v>9395</v>
      </c>
      <c r="B5197" t="s">
        <v>9396</v>
      </c>
      <c r="C5197" s="1" t="str">
        <f>HYPERLINK("http://www.genecards.org/cgi-bin/carddisp.pl?gene=AKAP6","GeneCards")</f>
        <v>GeneCards</v>
      </c>
      <c r="D5197" s="1" t="str">
        <f>HYPERLINK("http://genome-euro.ucsc.edu/cgi-bin/hgTracks?position=205359_at","UCSC")</f>
        <v>UCSC</v>
      </c>
      <c r="E5197" s="1" t="str">
        <f>HYPERLINK("http://www.ncbi.nlm.nih.gov/gene/?term=AKAP6","NCBI")</f>
        <v>NCBI</v>
      </c>
      <c r="F5197">
        <v>4.8000000000000001E-2</v>
      </c>
      <c r="G5197">
        <v>0.16</v>
      </c>
      <c r="H5197" s="1" t="str">
        <f>HYPERLINK("http://www.weizmann.ac.il/complex/compphys/software/geview/data/figures/205359_at.png","Figure")</f>
        <v>Figure</v>
      </c>
      <c r="I5197">
        <v>1.04</v>
      </c>
      <c r="J5197">
        <v>0.83</v>
      </c>
      <c r="K5197">
        <v>0.88600000000000001</v>
      </c>
      <c r="L5197">
        <v>0.14000000000000001</v>
      </c>
      <c r="M5197">
        <v>0.85099999999999998</v>
      </c>
      <c r="N5197">
        <v>6.0999999999999999E-2</v>
      </c>
    </row>
    <row r="5198" spans="1:14" x14ac:dyDescent="0.25">
      <c r="A5198" t="s">
        <v>9397</v>
      </c>
      <c r="B5198" t="s">
        <v>9398</v>
      </c>
      <c r="C5198" s="1" t="str">
        <f>HYPERLINK("http://www.genecards.org/cgi-bin/carddisp.pl?gene=TMEM8B","GeneCards")</f>
        <v>GeneCards</v>
      </c>
      <c r="D5198" s="1" t="str">
        <f>HYPERLINK("http://genome-euro.ucsc.edu/cgi-bin/hgTracks?position=207839_s_at","UCSC")</f>
        <v>UCSC</v>
      </c>
      <c r="E5198" s="1" t="str">
        <f>HYPERLINK("http://www.ncbi.nlm.nih.gov/gene/?term=TMEM8B","NCBI")</f>
        <v>NCBI</v>
      </c>
      <c r="F5198">
        <v>4.8000000000000001E-2</v>
      </c>
      <c r="G5198">
        <v>0.16</v>
      </c>
      <c r="H5198" s="1" t="str">
        <f>HYPERLINK("http://www.weizmann.ac.il/complex/compphys/software/geview/data/figures/207839_s_at.png","Figure")</f>
        <v>Figure</v>
      </c>
      <c r="I5198">
        <v>0.80800000000000005</v>
      </c>
      <c r="J5198">
        <v>0.16</v>
      </c>
      <c r="K5198">
        <v>0.77300000000000002</v>
      </c>
      <c r="L5198">
        <v>4.4999999999999998E-2</v>
      </c>
      <c r="M5198">
        <v>0.95699999999999996</v>
      </c>
      <c r="N5198">
        <v>0.91</v>
      </c>
    </row>
    <row r="5199" spans="1:14" x14ac:dyDescent="0.25">
      <c r="A5199" t="s">
        <v>9399</v>
      </c>
      <c r="B5199" t="s">
        <v>9400</v>
      </c>
      <c r="C5199" s="1" t="str">
        <f>HYPERLINK("http://www.genecards.org/cgi-bin/carddisp.pl?gene=TPM1","GeneCards")</f>
        <v>GeneCards</v>
      </c>
      <c r="D5199" s="1" t="str">
        <f>HYPERLINK("http://genome-euro.ucsc.edu/cgi-bin/hgTracks?position=210987_x_at","UCSC")</f>
        <v>UCSC</v>
      </c>
      <c r="E5199" s="1" t="str">
        <f>HYPERLINK("http://www.ncbi.nlm.nih.gov/gene/?term=TPM1","NCBI")</f>
        <v>NCBI</v>
      </c>
      <c r="F5199">
        <v>4.8000000000000001E-2</v>
      </c>
      <c r="G5199">
        <v>0.16</v>
      </c>
      <c r="H5199" s="1" t="str">
        <f>HYPERLINK("http://www.weizmann.ac.il/complex/compphys/software/geview/data/figures/210987_x_at.png","Figure")</f>
        <v>Figure</v>
      </c>
      <c r="I5199">
        <v>1.28</v>
      </c>
      <c r="J5199">
        <v>4.9000000000000002E-2</v>
      </c>
      <c r="K5199">
        <v>1.05</v>
      </c>
      <c r="L5199">
        <v>0.8</v>
      </c>
      <c r="M5199">
        <v>0.82299999999999995</v>
      </c>
      <c r="N5199">
        <v>0.1</v>
      </c>
    </row>
    <row r="5200" spans="1:14" x14ac:dyDescent="0.25">
      <c r="A5200" t="s">
        <v>9401</v>
      </c>
      <c r="B5200" t="s">
        <v>9402</v>
      </c>
      <c r="C5200" s="1" t="str">
        <f>HYPERLINK("http://www.genecards.org/cgi-bin/carddisp.pl?gene=NARG1","GeneCards")</f>
        <v>GeneCards</v>
      </c>
      <c r="D5200" s="1" t="str">
        <f>HYPERLINK("http://genome-euro.ucsc.edu/cgi-bin/hgTracks?position=219158_s_at","UCSC")</f>
        <v>UCSC</v>
      </c>
      <c r="E5200" s="1" t="str">
        <f>HYPERLINK("http://www.ncbi.nlm.nih.gov/gene/?term=NARG1","NCBI")</f>
        <v>NCBI</v>
      </c>
      <c r="F5200">
        <v>4.8000000000000001E-2</v>
      </c>
      <c r="G5200">
        <v>0.16</v>
      </c>
      <c r="H5200" s="1" t="str">
        <f>HYPERLINK("http://www.weizmann.ac.il/complex/compphys/software/geview/data/figures/219158_s_at.png","Figure")</f>
        <v>Figure</v>
      </c>
      <c r="I5200">
        <v>0.441</v>
      </c>
      <c r="J5200">
        <v>4.2999999999999997E-2</v>
      </c>
      <c r="K5200">
        <v>0.61899999999999999</v>
      </c>
      <c r="L5200">
        <v>0.2</v>
      </c>
      <c r="M5200">
        <v>1.4</v>
      </c>
      <c r="N5200">
        <v>0.47</v>
      </c>
    </row>
    <row r="5201" spans="1:14" x14ac:dyDescent="0.25">
      <c r="A5201" t="s">
        <v>9403</v>
      </c>
      <c r="B5201" t="s">
        <v>9404</v>
      </c>
      <c r="C5201" s="1" t="str">
        <f>HYPERLINK("http://www.genecards.org/cgi-bin/carddisp.pl?gene=MYOG","GeneCards")</f>
        <v>GeneCards</v>
      </c>
      <c r="D5201" s="1" t="str">
        <f>HYPERLINK("http://genome-euro.ucsc.edu/cgi-bin/hgTracks?position=207282_s_at","UCSC")</f>
        <v>UCSC</v>
      </c>
      <c r="E5201" s="1" t="str">
        <f>HYPERLINK("http://www.ncbi.nlm.nih.gov/gene/?term=MYOG","NCBI")</f>
        <v>NCBI</v>
      </c>
      <c r="F5201">
        <v>4.8000000000000001E-2</v>
      </c>
      <c r="G5201">
        <v>0.16</v>
      </c>
      <c r="H5201" s="1" t="str">
        <f>HYPERLINK("http://www.weizmann.ac.il/complex/compphys/software/geview/data/figures/207282_s_at.png","Figure")</f>
        <v>Figure</v>
      </c>
      <c r="I5201">
        <v>1.36</v>
      </c>
      <c r="J5201">
        <v>4.1000000000000002E-2</v>
      </c>
      <c r="K5201">
        <v>1.19</v>
      </c>
      <c r="L5201">
        <v>0.22</v>
      </c>
      <c r="M5201">
        <v>0.873</v>
      </c>
      <c r="N5201">
        <v>0.43</v>
      </c>
    </row>
    <row r="5202" spans="1:14" x14ac:dyDescent="0.25">
      <c r="A5202" t="s">
        <v>9405</v>
      </c>
      <c r="B5202" t="s">
        <v>9406</v>
      </c>
      <c r="C5202" s="1" t="str">
        <f>HYPERLINK("http://www.genecards.org/cgi-bin/carddisp.pl?gene=GOSR2","GeneCards")</f>
        <v>GeneCards</v>
      </c>
      <c r="D5202" s="1" t="str">
        <f>HYPERLINK("http://genome-euro.ucsc.edu/cgi-bin/hgTracks?position=213207_s_at","UCSC")</f>
        <v>UCSC</v>
      </c>
      <c r="E5202" s="1" t="str">
        <f>HYPERLINK("http://www.ncbi.nlm.nih.gov/gene/?term=GOSR2","NCBI")</f>
        <v>NCBI</v>
      </c>
      <c r="F5202">
        <v>4.8000000000000001E-2</v>
      </c>
      <c r="G5202">
        <v>0.16</v>
      </c>
      <c r="H5202" s="1" t="str">
        <f>HYPERLINK("http://www.weizmann.ac.il/complex/compphys/software/geview/data/figures/213207_s_at.png","Figure")</f>
        <v>Figure</v>
      </c>
      <c r="I5202">
        <v>1.1299999999999999</v>
      </c>
      <c r="J5202">
        <v>0.16</v>
      </c>
      <c r="K5202">
        <v>1.1499999999999999</v>
      </c>
      <c r="L5202">
        <v>4.4999999999999998E-2</v>
      </c>
      <c r="M5202">
        <v>1.02</v>
      </c>
      <c r="N5202">
        <v>0.9</v>
      </c>
    </row>
    <row r="5203" spans="1:14" x14ac:dyDescent="0.25">
      <c r="A5203" t="s">
        <v>9407</v>
      </c>
      <c r="B5203" t="s">
        <v>1409</v>
      </c>
      <c r="C5203" s="1" t="str">
        <f>HYPERLINK("http://www.genecards.org/cgi-bin/carddisp.pl?gene=MLH3","GeneCards")</f>
        <v>GeneCards</v>
      </c>
      <c r="D5203" s="1" t="str">
        <f>HYPERLINK("http://genome-euro.ucsc.edu/cgi-bin/hgTracks?position=214525_x_at","UCSC")</f>
        <v>UCSC</v>
      </c>
      <c r="E5203" s="1" t="str">
        <f>HYPERLINK("http://www.ncbi.nlm.nih.gov/gene/?term=MLH3","NCBI")</f>
        <v>NCBI</v>
      </c>
      <c r="F5203">
        <v>4.8000000000000001E-2</v>
      </c>
      <c r="G5203">
        <v>0.16</v>
      </c>
      <c r="H5203" s="1" t="str">
        <f>HYPERLINK("http://www.weizmann.ac.il/complex/compphys/software/geview/data/figures/214525_x_at.png","Figure")</f>
        <v>Figure</v>
      </c>
      <c r="I5203">
        <v>1.1100000000000001</v>
      </c>
      <c r="J5203">
        <v>0.19</v>
      </c>
      <c r="K5203">
        <v>1.1399999999999999</v>
      </c>
      <c r="L5203">
        <v>4.2999999999999997E-2</v>
      </c>
      <c r="M5203">
        <v>1.03</v>
      </c>
      <c r="N5203">
        <v>0.85</v>
      </c>
    </row>
    <row r="5204" spans="1:14" x14ac:dyDescent="0.25">
      <c r="A5204" t="s">
        <v>9408</v>
      </c>
      <c r="B5204" t="s">
        <v>9409</v>
      </c>
      <c r="C5204" s="1" t="str">
        <f>HYPERLINK("http://www.genecards.org/cgi-bin/carddisp.pl?gene=MMP15","GeneCards")</f>
        <v>GeneCards</v>
      </c>
      <c r="D5204" s="1" t="str">
        <f>HYPERLINK("http://genome-euro.ucsc.edu/cgi-bin/hgTracks?position=203365_s_at","UCSC")</f>
        <v>UCSC</v>
      </c>
      <c r="E5204" s="1" t="str">
        <f>HYPERLINK("http://www.ncbi.nlm.nih.gov/gene/?term=MMP15","NCBI")</f>
        <v>NCBI</v>
      </c>
      <c r="F5204">
        <v>4.8000000000000001E-2</v>
      </c>
      <c r="G5204">
        <v>0.16</v>
      </c>
      <c r="H5204" s="1" t="str">
        <f>HYPERLINK("http://www.weizmann.ac.il/complex/compphys/software/geview/data/figures/203365_s_at.png","Figure")</f>
        <v>Figure</v>
      </c>
      <c r="I5204">
        <v>1.27</v>
      </c>
      <c r="J5204">
        <v>5.8000000000000003E-2</v>
      </c>
      <c r="K5204">
        <v>1.03</v>
      </c>
      <c r="L5204">
        <v>0.93</v>
      </c>
      <c r="M5204">
        <v>0.81399999999999995</v>
      </c>
      <c r="N5204">
        <v>7.8E-2</v>
      </c>
    </row>
    <row r="5205" spans="1:14" x14ac:dyDescent="0.25">
      <c r="A5205" t="s">
        <v>9410</v>
      </c>
      <c r="B5205" t="s">
        <v>9411</v>
      </c>
      <c r="C5205" s="1" t="str">
        <f>HYPERLINK("http://www.genecards.org/cgi-bin/carddisp.pl?gene=RPL23AP32","GeneCards")</f>
        <v>GeneCards</v>
      </c>
      <c r="D5205" s="1" t="str">
        <f>HYPERLINK("http://genome-euro.ucsc.edu/cgi-bin/hgTracks?position=207283_at","UCSC")</f>
        <v>UCSC</v>
      </c>
      <c r="E5205" s="1" t="str">
        <f>HYPERLINK("http://www.ncbi.nlm.nih.gov/gene/?term=RPL23AP32","NCBI")</f>
        <v>NCBI</v>
      </c>
      <c r="F5205">
        <v>4.8000000000000001E-2</v>
      </c>
      <c r="G5205">
        <v>0.16</v>
      </c>
      <c r="H5205" s="1" t="str">
        <f>HYPERLINK("http://www.weizmann.ac.il/complex/compphys/software/geview/data/figures/207283_at.png","Figure")</f>
        <v>Figure</v>
      </c>
      <c r="I5205">
        <v>0.96299999999999997</v>
      </c>
      <c r="J5205">
        <v>7.8E-2</v>
      </c>
      <c r="K5205">
        <v>1</v>
      </c>
      <c r="L5205">
        <v>1</v>
      </c>
      <c r="M5205">
        <v>1.04</v>
      </c>
      <c r="N5205">
        <v>5.8000000000000003E-2</v>
      </c>
    </row>
    <row r="5206" spans="1:14" x14ac:dyDescent="0.25">
      <c r="A5206" t="s">
        <v>9412</v>
      </c>
      <c r="B5206" t="s">
        <v>8736</v>
      </c>
      <c r="C5206" s="1" t="str">
        <f>HYPERLINK("http://www.genecards.org/cgi-bin/carddisp.pl?gene=EZR","GeneCards")</f>
        <v>GeneCards</v>
      </c>
      <c r="D5206" s="1" t="str">
        <f>HYPERLINK("http://genome-euro.ucsc.edu/cgi-bin/hgTracks?position=208622_s_at","UCSC")</f>
        <v>UCSC</v>
      </c>
      <c r="E5206" s="1" t="str">
        <f>HYPERLINK("http://www.ncbi.nlm.nih.gov/gene/?term=EZR","NCBI")</f>
        <v>NCBI</v>
      </c>
      <c r="F5206">
        <v>4.8000000000000001E-2</v>
      </c>
      <c r="G5206">
        <v>0.16</v>
      </c>
      <c r="H5206" s="1" t="str">
        <f>HYPERLINK("http://www.weizmann.ac.il/complex/compphys/software/geview/data/figures/208622_s_at.png","Figure")</f>
        <v>Figure</v>
      </c>
      <c r="I5206">
        <v>2.76</v>
      </c>
      <c r="J5206">
        <v>3.9E-2</v>
      </c>
      <c r="K5206">
        <v>1.57</v>
      </c>
      <c r="L5206">
        <v>0.36</v>
      </c>
      <c r="M5206">
        <v>0.56999999999999995</v>
      </c>
      <c r="N5206">
        <v>0.26</v>
      </c>
    </row>
    <row r="5207" spans="1:14" x14ac:dyDescent="0.25">
      <c r="A5207" t="s">
        <v>9413</v>
      </c>
      <c r="B5207" t="s">
        <v>6517</v>
      </c>
      <c r="C5207" s="1" t="str">
        <f>HYPERLINK("http://www.genecards.org/cgi-bin/carddisp.pl?gene=NADK","GeneCards")</f>
        <v>GeneCards</v>
      </c>
      <c r="D5207" s="1" t="str">
        <f>HYPERLINK("http://genome-euro.ucsc.edu/cgi-bin/hgTracks?position=208917_x_at","UCSC")</f>
        <v>UCSC</v>
      </c>
      <c r="E5207" s="1" t="str">
        <f>HYPERLINK("http://www.ncbi.nlm.nih.gov/gene/?term=NADK","NCBI")</f>
        <v>NCBI</v>
      </c>
      <c r="F5207">
        <v>4.8000000000000001E-2</v>
      </c>
      <c r="G5207">
        <v>0.16</v>
      </c>
      <c r="H5207" s="1" t="str">
        <f>HYPERLINK("http://www.weizmann.ac.il/complex/compphys/software/geview/data/figures/208917_x_at.png","Figure")</f>
        <v>Figure</v>
      </c>
      <c r="I5207">
        <v>1.22</v>
      </c>
      <c r="J5207">
        <v>4.2000000000000003E-2</v>
      </c>
      <c r="K5207">
        <v>1.1200000000000001</v>
      </c>
      <c r="L5207">
        <v>0.21</v>
      </c>
      <c r="M5207">
        <v>0.91700000000000004</v>
      </c>
      <c r="N5207">
        <v>0.43</v>
      </c>
    </row>
    <row r="5208" spans="1:14" x14ac:dyDescent="0.25">
      <c r="A5208" t="s">
        <v>9414</v>
      </c>
      <c r="B5208" t="s">
        <v>7451</v>
      </c>
      <c r="C5208" s="1" t="str">
        <f>HYPERLINK("http://www.genecards.org/cgi-bin/carddisp.pl?gene=DMWD","GeneCards")</f>
        <v>GeneCards</v>
      </c>
      <c r="D5208" s="1" t="str">
        <f>HYPERLINK("http://genome-euro.ucsc.edu/cgi-bin/hgTracks?position=213231_at","UCSC")</f>
        <v>UCSC</v>
      </c>
      <c r="E5208" s="1" t="str">
        <f>HYPERLINK("http://www.ncbi.nlm.nih.gov/gene/?term=DMWD","NCBI")</f>
        <v>NCBI</v>
      </c>
      <c r="F5208">
        <v>4.8000000000000001E-2</v>
      </c>
      <c r="G5208">
        <v>0.16</v>
      </c>
      <c r="H5208" s="1" t="str">
        <f>HYPERLINK("http://www.weizmann.ac.il/complex/compphys/software/geview/data/figures/213231_at.png","Figure")</f>
        <v>Figure</v>
      </c>
      <c r="I5208">
        <v>1.19</v>
      </c>
      <c r="J5208">
        <v>0.1</v>
      </c>
      <c r="K5208">
        <v>1.19</v>
      </c>
      <c r="L5208">
        <v>5.8000000000000003E-2</v>
      </c>
      <c r="M5208">
        <v>1</v>
      </c>
      <c r="N5208">
        <v>1</v>
      </c>
    </row>
    <row r="5209" spans="1:14" x14ac:dyDescent="0.25">
      <c r="A5209" t="s">
        <v>9415</v>
      </c>
      <c r="B5209" t="s">
        <v>9416</v>
      </c>
      <c r="C5209" s="1" t="str">
        <f>HYPERLINK("http://www.genecards.org/cgi-bin/carddisp.pl?gene=LOC26102","GeneCards")</f>
        <v>GeneCards</v>
      </c>
      <c r="D5209" s="1" t="str">
        <f>HYPERLINK("http://genome-euro.ucsc.edu/cgi-bin/hgTracks?position=217219_at","UCSC")</f>
        <v>UCSC</v>
      </c>
      <c r="E5209" s="1" t="str">
        <f>HYPERLINK("http://www.ncbi.nlm.nih.gov/gene/?term=LOC26102","NCBI")</f>
        <v>NCBI</v>
      </c>
      <c r="F5209">
        <v>4.8000000000000001E-2</v>
      </c>
      <c r="G5209">
        <v>0.16</v>
      </c>
      <c r="H5209" s="1" t="str">
        <f>HYPERLINK("http://www.weizmann.ac.il/complex/compphys/software/geview/data/figures/217219_at.png","Figure")</f>
        <v>Figure</v>
      </c>
      <c r="I5209">
        <v>1.25</v>
      </c>
      <c r="J5209">
        <v>4.2999999999999997E-2</v>
      </c>
      <c r="K5209">
        <v>1.1399999999999999</v>
      </c>
      <c r="L5209">
        <v>0.2</v>
      </c>
      <c r="M5209">
        <v>0.91300000000000003</v>
      </c>
      <c r="N5209">
        <v>0.47</v>
      </c>
    </row>
    <row r="5210" spans="1:14" x14ac:dyDescent="0.25">
      <c r="A5210" t="s">
        <v>9417</v>
      </c>
      <c r="B5210" t="s">
        <v>9418</v>
      </c>
      <c r="C5210" s="1" t="str">
        <f>HYPERLINK("http://www.genecards.org/cgi-bin/carddisp.pl?gene=ACTL7A","GeneCards")</f>
        <v>GeneCards</v>
      </c>
      <c r="D5210" s="1" t="str">
        <f>HYPERLINK("http://genome-euro.ucsc.edu/cgi-bin/hgTracks?position=220501_at","UCSC")</f>
        <v>UCSC</v>
      </c>
      <c r="E5210" s="1" t="str">
        <f>HYPERLINK("http://www.ncbi.nlm.nih.gov/gene/?term=ACTL7A","NCBI")</f>
        <v>NCBI</v>
      </c>
      <c r="F5210">
        <v>4.8000000000000001E-2</v>
      </c>
      <c r="G5210">
        <v>0.16</v>
      </c>
      <c r="H5210" s="1" t="str">
        <f>HYPERLINK("http://www.weizmann.ac.il/complex/compphys/software/geview/data/figures/220501_at.png","Figure")</f>
        <v>Figure</v>
      </c>
      <c r="I5210">
        <v>1.1399999999999999</v>
      </c>
      <c r="J5210">
        <v>6.0999999999999999E-2</v>
      </c>
      <c r="K5210">
        <v>1.1100000000000001</v>
      </c>
      <c r="L5210">
        <v>9.6000000000000002E-2</v>
      </c>
      <c r="M5210">
        <v>0.97199999999999998</v>
      </c>
      <c r="N5210">
        <v>0.83</v>
      </c>
    </row>
    <row r="5211" spans="1:14" x14ac:dyDescent="0.25">
      <c r="A5211" t="s">
        <v>9419</v>
      </c>
      <c r="B5211" t="s">
        <v>9420</v>
      </c>
      <c r="C5211" s="1" t="str">
        <f>HYPERLINK("http://www.genecards.org/cgi-bin/carddisp.pl?gene=CS","GeneCards")</f>
        <v>GeneCards</v>
      </c>
      <c r="D5211" s="1" t="str">
        <f>HYPERLINK("http://genome-euro.ucsc.edu/cgi-bin/hgTracks?position=208660_at","UCSC")</f>
        <v>UCSC</v>
      </c>
      <c r="E5211" s="1" t="str">
        <f>HYPERLINK("http://www.ncbi.nlm.nih.gov/gene/?term=CS","NCBI")</f>
        <v>NCBI</v>
      </c>
      <c r="F5211">
        <v>4.9000000000000002E-2</v>
      </c>
      <c r="G5211">
        <v>0.16</v>
      </c>
      <c r="H5211" s="1" t="str">
        <f>HYPERLINK("http://www.weizmann.ac.il/complex/compphys/software/geview/data/figures/208660_at.png","Figure")</f>
        <v>Figure</v>
      </c>
      <c r="I5211">
        <v>1.33</v>
      </c>
      <c r="J5211">
        <v>4.4999999999999998E-2</v>
      </c>
      <c r="K5211">
        <v>1.19</v>
      </c>
      <c r="L5211">
        <v>0.17</v>
      </c>
      <c r="M5211">
        <v>0.90100000000000002</v>
      </c>
      <c r="N5211">
        <v>0.55000000000000004</v>
      </c>
    </row>
    <row r="5212" spans="1:14" x14ac:dyDescent="0.25">
      <c r="A5212" t="s">
        <v>9421</v>
      </c>
      <c r="B5212" t="s">
        <v>7880</v>
      </c>
      <c r="C5212" s="1" t="str">
        <f>HYPERLINK("http://www.genecards.org/cgi-bin/carddisp.pl?gene=SCP2","GeneCards")</f>
        <v>GeneCards</v>
      </c>
      <c r="D5212" s="1" t="str">
        <f>HYPERLINK("http://genome-euro.ucsc.edu/cgi-bin/hgTracks?position=211733_x_at","UCSC")</f>
        <v>UCSC</v>
      </c>
      <c r="E5212" s="1" t="str">
        <f>HYPERLINK("http://www.ncbi.nlm.nih.gov/gene/?term=SCP2","NCBI")</f>
        <v>NCBI</v>
      </c>
      <c r="F5212">
        <v>4.9000000000000002E-2</v>
      </c>
      <c r="G5212">
        <v>0.16</v>
      </c>
      <c r="H5212" s="1" t="str">
        <f>HYPERLINK("http://www.weizmann.ac.il/complex/compphys/software/geview/data/figures/211733_x_at.png","Figure")</f>
        <v>Figure</v>
      </c>
      <c r="I5212">
        <v>0.745</v>
      </c>
      <c r="J5212">
        <v>0.39</v>
      </c>
      <c r="K5212">
        <v>1.3</v>
      </c>
      <c r="L5212">
        <v>0.38</v>
      </c>
      <c r="M5212">
        <v>1.74</v>
      </c>
      <c r="N5212">
        <v>4.1000000000000002E-2</v>
      </c>
    </row>
    <row r="5213" spans="1:14" x14ac:dyDescent="0.25">
      <c r="A5213" t="s">
        <v>9422</v>
      </c>
      <c r="B5213" t="s">
        <v>4996</v>
      </c>
      <c r="C5213" s="1" t="str">
        <f>HYPERLINK("http://www.genecards.org/cgi-bin/carddisp.pl?gene=APLP2","GeneCards")</f>
        <v>GeneCards</v>
      </c>
      <c r="D5213" s="1" t="str">
        <f>HYPERLINK("http://genome-euro.ucsc.edu/cgi-bin/hgTracks?position=208701_at","UCSC")</f>
        <v>UCSC</v>
      </c>
      <c r="E5213" s="1" t="str">
        <f>HYPERLINK("http://www.ncbi.nlm.nih.gov/gene/?term=APLP2","NCBI")</f>
        <v>NCBI</v>
      </c>
      <c r="F5213">
        <v>4.9000000000000002E-2</v>
      </c>
      <c r="G5213">
        <v>0.16</v>
      </c>
      <c r="H5213" s="1" t="str">
        <f>HYPERLINK("http://www.weizmann.ac.il/complex/compphys/software/geview/data/figures/208701_at.png","Figure")</f>
        <v>Figure</v>
      </c>
      <c r="I5213">
        <v>0.98699999999999999</v>
      </c>
      <c r="J5213">
        <v>0.95</v>
      </c>
      <c r="K5213">
        <v>0.90800000000000003</v>
      </c>
      <c r="L5213">
        <v>6.0999999999999999E-2</v>
      </c>
      <c r="M5213">
        <v>0.92</v>
      </c>
      <c r="N5213">
        <v>0.14000000000000001</v>
      </c>
    </row>
    <row r="5214" spans="1:14" x14ac:dyDescent="0.25">
      <c r="A5214" t="s">
        <v>9423</v>
      </c>
      <c r="B5214" t="s">
        <v>9424</v>
      </c>
      <c r="C5214" s="1" t="str">
        <f>HYPERLINK("http://www.genecards.org/cgi-bin/carddisp.pl?gene=CHRNE","GeneCards")</f>
        <v>GeneCards</v>
      </c>
      <c r="D5214" s="1" t="str">
        <f>HYPERLINK("http://genome-euro.ucsc.edu/cgi-bin/hgTracks?position=215916_at","UCSC")</f>
        <v>UCSC</v>
      </c>
      <c r="E5214" s="1" t="str">
        <f>HYPERLINK("http://www.ncbi.nlm.nih.gov/gene/?term=CHRNE","NCBI")</f>
        <v>NCBI</v>
      </c>
      <c r="F5214">
        <v>4.9000000000000002E-2</v>
      </c>
      <c r="G5214">
        <v>0.16</v>
      </c>
      <c r="H5214" s="1" t="str">
        <f>HYPERLINK("http://www.weizmann.ac.il/complex/compphys/software/geview/data/figures/215916_at.png","Figure")</f>
        <v>Figure</v>
      </c>
      <c r="I5214">
        <v>1.31</v>
      </c>
      <c r="J5214">
        <v>5.3999999999999999E-2</v>
      </c>
      <c r="K5214">
        <v>1.04</v>
      </c>
      <c r="L5214">
        <v>0.88</v>
      </c>
      <c r="M5214">
        <v>0.79900000000000004</v>
      </c>
      <c r="N5214">
        <v>8.6999999999999994E-2</v>
      </c>
    </row>
    <row r="5215" spans="1:14" x14ac:dyDescent="0.25">
      <c r="A5215" t="s">
        <v>9425</v>
      </c>
      <c r="B5215" t="s">
        <v>9426</v>
      </c>
      <c r="C5215" s="1" t="str">
        <f>HYPERLINK("http://www.genecards.org/cgi-bin/carddisp.pl?gene=SLC39A4","GeneCards")</f>
        <v>GeneCards</v>
      </c>
      <c r="D5215" s="1" t="str">
        <f>HYPERLINK("http://genome-euro.ucsc.edu/cgi-bin/hgTracks?position=219215_s_at","UCSC")</f>
        <v>UCSC</v>
      </c>
      <c r="E5215" s="1" t="str">
        <f>HYPERLINK("http://www.ncbi.nlm.nih.gov/gene/?term=SLC39A4","NCBI")</f>
        <v>NCBI</v>
      </c>
      <c r="F5215">
        <v>4.9000000000000002E-2</v>
      </c>
      <c r="G5215">
        <v>0.16</v>
      </c>
      <c r="H5215" s="1" t="str">
        <f>HYPERLINK("http://www.weizmann.ac.il/complex/compphys/software/geview/data/figures/219215_s_at.png","Figure")</f>
        <v>Figure</v>
      </c>
      <c r="I5215">
        <v>0.79700000000000004</v>
      </c>
      <c r="J5215">
        <v>0.31</v>
      </c>
      <c r="K5215">
        <v>1.17</v>
      </c>
      <c r="L5215">
        <v>0.47</v>
      </c>
      <c r="M5215">
        <v>1.47</v>
      </c>
      <c r="N5215">
        <v>3.9E-2</v>
      </c>
    </row>
    <row r="5216" spans="1:14" x14ac:dyDescent="0.25">
      <c r="A5216" t="s">
        <v>9427</v>
      </c>
      <c r="B5216" t="s">
        <v>9428</v>
      </c>
      <c r="C5216" s="1" t="str">
        <f>HYPERLINK("http://www.genecards.org/cgi-bin/carddisp.pl?gene=LOC653566 /// SPCS2","GeneCards")</f>
        <v>GeneCards</v>
      </c>
      <c r="D5216" s="1" t="str">
        <f>HYPERLINK("http://genome-euro.ucsc.edu/cgi-bin/hgTracks?position=201240_s_at","UCSC")</f>
        <v>UCSC</v>
      </c>
      <c r="E5216" s="1" t="str">
        <f>HYPERLINK("http://www.ncbi.nlm.nih.gov/gene/?term=LOC653566 /// SPCS2","NCBI")</f>
        <v>NCBI</v>
      </c>
      <c r="F5216">
        <v>4.9000000000000002E-2</v>
      </c>
      <c r="G5216">
        <v>0.16</v>
      </c>
      <c r="H5216" s="1" t="str">
        <f>HYPERLINK("http://www.weizmann.ac.il/complex/compphys/software/geview/data/figures/201240_s_at.png","Figure")</f>
        <v>Figure</v>
      </c>
      <c r="I5216">
        <v>1.07</v>
      </c>
      <c r="J5216">
        <v>0.98</v>
      </c>
      <c r="K5216">
        <v>2.06</v>
      </c>
      <c r="L5216">
        <v>6.6000000000000003E-2</v>
      </c>
      <c r="M5216">
        <v>1.93</v>
      </c>
      <c r="N5216">
        <v>0.13</v>
      </c>
    </row>
    <row r="5217" spans="1:14" x14ac:dyDescent="0.25">
      <c r="A5217" t="s">
        <v>9429</v>
      </c>
      <c r="B5217" t="s">
        <v>9430</v>
      </c>
      <c r="C5217" s="1" t="str">
        <f>HYPERLINK("http://www.genecards.org/cgi-bin/carddisp.pl?gene=NXF3","GeneCards")</f>
        <v>GeneCards</v>
      </c>
      <c r="D5217" s="1" t="str">
        <f>HYPERLINK("http://genome-euro.ucsc.edu/cgi-bin/hgTracks?position=220110_s_at","UCSC")</f>
        <v>UCSC</v>
      </c>
      <c r="E5217" s="1" t="str">
        <f>HYPERLINK("http://www.ncbi.nlm.nih.gov/gene/?term=NXF3","NCBI")</f>
        <v>NCBI</v>
      </c>
      <c r="F5217">
        <v>4.9000000000000002E-2</v>
      </c>
      <c r="G5217">
        <v>0.16</v>
      </c>
      <c r="H5217" s="1" t="str">
        <f>HYPERLINK("http://www.weizmann.ac.il/complex/compphys/software/geview/data/figures/220110_s_at.png","Figure")</f>
        <v>Figure</v>
      </c>
      <c r="I5217">
        <v>1.18</v>
      </c>
      <c r="J5217">
        <v>5.5E-2</v>
      </c>
      <c r="K5217">
        <v>1.03</v>
      </c>
      <c r="L5217">
        <v>0.89</v>
      </c>
      <c r="M5217">
        <v>0.872</v>
      </c>
      <c r="N5217">
        <v>8.5000000000000006E-2</v>
      </c>
    </row>
    <row r="5218" spans="1:14" x14ac:dyDescent="0.25">
      <c r="A5218" t="s">
        <v>9431</v>
      </c>
      <c r="B5218" t="s">
        <v>9432</v>
      </c>
      <c r="C5218" s="1" t="str">
        <f>HYPERLINK("http://www.genecards.org/cgi-bin/carddisp.pl?gene=C9orf91","GeneCards")</f>
        <v>GeneCards</v>
      </c>
      <c r="D5218" s="1" t="str">
        <f>HYPERLINK("http://genome-euro.ucsc.edu/cgi-bin/hgTracks?position=221865_at","UCSC")</f>
        <v>UCSC</v>
      </c>
      <c r="E5218" s="1" t="str">
        <f>HYPERLINK("http://www.ncbi.nlm.nih.gov/gene/?term=C9orf91","NCBI")</f>
        <v>NCBI</v>
      </c>
      <c r="F5218">
        <v>4.9000000000000002E-2</v>
      </c>
      <c r="G5218">
        <v>0.16</v>
      </c>
      <c r="H5218" s="1" t="str">
        <f>HYPERLINK("http://www.weizmann.ac.il/complex/compphys/software/geview/data/figures/221865_at.png","Figure")</f>
        <v>Figure</v>
      </c>
      <c r="I5218">
        <v>0.65800000000000003</v>
      </c>
      <c r="J5218">
        <v>0.25</v>
      </c>
      <c r="K5218">
        <v>0.54700000000000004</v>
      </c>
      <c r="L5218">
        <v>0.04</v>
      </c>
      <c r="M5218">
        <v>0.83099999999999996</v>
      </c>
      <c r="N5218">
        <v>0.72</v>
      </c>
    </row>
    <row r="5219" spans="1:14" x14ac:dyDescent="0.25">
      <c r="A5219" t="s">
        <v>9433</v>
      </c>
      <c r="B5219" t="s">
        <v>9434</v>
      </c>
      <c r="C5219" s="1" t="str">
        <f>HYPERLINK("http://www.genecards.org/cgi-bin/carddisp.pl?gene=TRMU","GeneCards")</f>
        <v>GeneCards</v>
      </c>
      <c r="D5219" s="1" t="str">
        <f>HYPERLINK("http://genome-euro.ucsc.edu/cgi-bin/hgTracks?position=213634_s_at","UCSC")</f>
        <v>UCSC</v>
      </c>
      <c r="E5219" s="1" t="str">
        <f>HYPERLINK("http://www.ncbi.nlm.nih.gov/gene/?term=TRMU","NCBI")</f>
        <v>NCBI</v>
      </c>
      <c r="F5219">
        <v>4.9000000000000002E-2</v>
      </c>
      <c r="G5219">
        <v>0.16</v>
      </c>
      <c r="H5219" s="1" t="str">
        <f>HYPERLINK("http://www.weizmann.ac.il/complex/compphys/software/geview/data/figures/213634_s_at.png","Figure")</f>
        <v>Figure</v>
      </c>
      <c r="I5219">
        <v>1.1100000000000001</v>
      </c>
      <c r="J5219">
        <v>0.49</v>
      </c>
      <c r="K5219">
        <v>1.24</v>
      </c>
      <c r="L5219">
        <v>0.04</v>
      </c>
      <c r="M5219">
        <v>1.1200000000000001</v>
      </c>
      <c r="N5219">
        <v>0.41</v>
      </c>
    </row>
    <row r="5220" spans="1:14" x14ac:dyDescent="0.25">
      <c r="A5220" t="s">
        <v>9435</v>
      </c>
      <c r="B5220" t="s">
        <v>9436</v>
      </c>
      <c r="C5220" s="1" t="str">
        <f>HYPERLINK("http://www.genecards.org/cgi-bin/carddisp.pl?gene=TIMM22","GeneCards")</f>
        <v>GeneCards</v>
      </c>
      <c r="D5220" s="1" t="str">
        <f>HYPERLINK("http://genome-euro.ucsc.edu/cgi-bin/hgTracks?position=219184_x_at","UCSC")</f>
        <v>UCSC</v>
      </c>
      <c r="E5220" s="1" t="str">
        <f>HYPERLINK("http://www.ncbi.nlm.nih.gov/gene/?term=TIMM22","NCBI")</f>
        <v>NCBI</v>
      </c>
      <c r="F5220">
        <v>4.9000000000000002E-2</v>
      </c>
      <c r="G5220">
        <v>0.16</v>
      </c>
      <c r="H5220" s="1" t="str">
        <f>HYPERLINK("http://www.weizmann.ac.il/complex/compphys/software/geview/data/figures/219184_x_at.png","Figure")</f>
        <v>Figure</v>
      </c>
      <c r="I5220">
        <v>0.69</v>
      </c>
      <c r="J5220">
        <v>0.04</v>
      </c>
      <c r="K5220">
        <v>0.86299999999999999</v>
      </c>
      <c r="L5220">
        <v>0.44</v>
      </c>
      <c r="M5220">
        <v>1.25</v>
      </c>
      <c r="N5220">
        <v>0.21</v>
      </c>
    </row>
    <row r="5221" spans="1:14" x14ac:dyDescent="0.25">
      <c r="A5221" t="s">
        <v>9437</v>
      </c>
      <c r="B5221" t="s">
        <v>9438</v>
      </c>
      <c r="C5221" s="1" t="str">
        <f>HYPERLINK("http://www.genecards.org/cgi-bin/carddisp.pl?gene=PVR","GeneCards")</f>
        <v>GeneCards</v>
      </c>
      <c r="D5221" s="1" t="str">
        <f>HYPERLINK("http://genome-euro.ucsc.edu/cgi-bin/hgTracks?position=214444_s_at","UCSC")</f>
        <v>UCSC</v>
      </c>
      <c r="E5221" s="1" t="str">
        <f>HYPERLINK("http://www.ncbi.nlm.nih.gov/gene/?term=PVR","NCBI")</f>
        <v>NCBI</v>
      </c>
      <c r="F5221">
        <v>4.9000000000000002E-2</v>
      </c>
      <c r="G5221">
        <v>0.16</v>
      </c>
      <c r="H5221" s="1" t="str">
        <f>HYPERLINK("http://www.weizmann.ac.il/complex/compphys/software/geview/data/figures/214444_s_at.png","Figure")</f>
        <v>Figure</v>
      </c>
      <c r="I5221">
        <v>1.31</v>
      </c>
      <c r="J5221">
        <v>3.9E-2</v>
      </c>
      <c r="K5221">
        <v>1.1299999999999999</v>
      </c>
      <c r="L5221">
        <v>0.35</v>
      </c>
      <c r="M5221">
        <v>0.86399999999999999</v>
      </c>
      <c r="N5221">
        <v>0.27</v>
      </c>
    </row>
    <row r="5222" spans="1:14" x14ac:dyDescent="0.25">
      <c r="A5222" t="s">
        <v>9439</v>
      </c>
      <c r="B5222" t="s">
        <v>9440</v>
      </c>
      <c r="C5222" s="1" t="str">
        <f>HYPERLINK("http://www.genecards.org/cgi-bin/carddisp.pl?gene=PREB","GeneCards")</f>
        <v>GeneCards</v>
      </c>
      <c r="D5222" s="1" t="str">
        <f>HYPERLINK("http://genome-euro.ucsc.edu/cgi-bin/hgTracks?position=217861_s_at","UCSC")</f>
        <v>UCSC</v>
      </c>
      <c r="E5222" s="1" t="str">
        <f>HYPERLINK("http://www.ncbi.nlm.nih.gov/gene/?term=PREB","NCBI")</f>
        <v>NCBI</v>
      </c>
      <c r="F5222">
        <v>4.9000000000000002E-2</v>
      </c>
      <c r="G5222">
        <v>0.16</v>
      </c>
      <c r="H5222" s="1" t="str">
        <f>HYPERLINK("http://www.weizmann.ac.il/complex/compphys/software/geview/data/figures/217861_s_at.png","Figure")</f>
        <v>Figure</v>
      </c>
      <c r="I5222">
        <v>0.98699999999999999</v>
      </c>
      <c r="J5222">
        <v>0.99</v>
      </c>
      <c r="K5222">
        <v>1.31</v>
      </c>
      <c r="L5222">
        <v>8.5999999999999993E-2</v>
      </c>
      <c r="M5222">
        <v>1.33</v>
      </c>
      <c r="N5222">
        <v>9.4E-2</v>
      </c>
    </row>
    <row r="5223" spans="1:14" x14ac:dyDescent="0.25">
      <c r="A5223" t="s">
        <v>9441</v>
      </c>
      <c r="B5223" t="s">
        <v>9442</v>
      </c>
      <c r="C5223" s="1" t="str">
        <f>HYPERLINK("http://www.genecards.org/cgi-bin/carddisp.pl?gene=RRP1","GeneCards")</f>
        <v>GeneCards</v>
      </c>
      <c r="D5223" s="1" t="str">
        <f>HYPERLINK("http://genome-euro.ucsc.edu/cgi-bin/hgTracks?position=218758_s_at","UCSC")</f>
        <v>UCSC</v>
      </c>
      <c r="E5223" s="1" t="str">
        <f>HYPERLINK("http://www.ncbi.nlm.nih.gov/gene/?term=RRP1","NCBI")</f>
        <v>NCBI</v>
      </c>
      <c r="F5223">
        <v>4.9000000000000002E-2</v>
      </c>
      <c r="G5223">
        <v>0.16</v>
      </c>
      <c r="H5223" s="1" t="str">
        <f>HYPERLINK("http://www.weizmann.ac.il/complex/compphys/software/geview/data/figures/218758_s_at.png","Figure")</f>
        <v>Figure</v>
      </c>
      <c r="I5223">
        <v>0.96399999999999997</v>
      </c>
      <c r="J5223">
        <v>0.96</v>
      </c>
      <c r="K5223">
        <v>1.3</v>
      </c>
      <c r="L5223">
        <v>0.1</v>
      </c>
      <c r="M5223">
        <v>1.35</v>
      </c>
      <c r="N5223">
        <v>7.9000000000000001E-2</v>
      </c>
    </row>
    <row r="5224" spans="1:14" x14ac:dyDescent="0.25">
      <c r="A5224" t="s">
        <v>9443</v>
      </c>
      <c r="B5224" t="s">
        <v>9444</v>
      </c>
      <c r="C5224" s="1" t="str">
        <f>HYPERLINK("http://www.genecards.org/cgi-bin/carddisp.pl?gene=GMPPB","GeneCards")</f>
        <v>GeneCards</v>
      </c>
      <c r="D5224" s="1" t="str">
        <f>HYPERLINK("http://genome-euro.ucsc.edu/cgi-bin/hgTracks?position=219920_s_at","UCSC")</f>
        <v>UCSC</v>
      </c>
      <c r="E5224" s="1" t="str">
        <f>HYPERLINK("http://www.ncbi.nlm.nih.gov/gene/?term=GMPPB","NCBI")</f>
        <v>NCBI</v>
      </c>
      <c r="F5224">
        <v>4.9000000000000002E-2</v>
      </c>
      <c r="G5224">
        <v>0.16</v>
      </c>
      <c r="H5224" s="1" t="str">
        <f>HYPERLINK("http://www.weizmann.ac.il/complex/compphys/software/geview/data/figures/219920_s_at.png","Figure")</f>
        <v>Figure</v>
      </c>
      <c r="I5224">
        <v>1.39</v>
      </c>
      <c r="J5224">
        <v>4.1000000000000002E-2</v>
      </c>
      <c r="K5224">
        <v>1.2</v>
      </c>
      <c r="L5224">
        <v>0.24</v>
      </c>
      <c r="M5224">
        <v>0.85899999999999999</v>
      </c>
      <c r="N5224">
        <v>0.39</v>
      </c>
    </row>
    <row r="5225" spans="1:14" x14ac:dyDescent="0.25">
      <c r="A5225" t="s">
        <v>9445</v>
      </c>
      <c r="B5225" t="s">
        <v>3397</v>
      </c>
      <c r="C5225" s="1" t="str">
        <f>HYPERLINK("http://www.genecards.org/cgi-bin/carddisp.pl?gene=TCF7L2","GeneCards")</f>
        <v>GeneCards</v>
      </c>
      <c r="D5225" s="1" t="str">
        <f>HYPERLINK("http://genome-euro.ucsc.edu/cgi-bin/hgTracks?position=212761_at","UCSC")</f>
        <v>UCSC</v>
      </c>
      <c r="E5225" s="1" t="str">
        <f>HYPERLINK("http://www.ncbi.nlm.nih.gov/gene/?term=TCF7L2","NCBI")</f>
        <v>NCBI</v>
      </c>
      <c r="F5225">
        <v>4.9000000000000002E-2</v>
      </c>
      <c r="G5225">
        <v>0.16</v>
      </c>
      <c r="H5225" s="1" t="str">
        <f>HYPERLINK("http://www.weizmann.ac.il/complex/compphys/software/geview/data/figures/212761_at.png","Figure")</f>
        <v>Figure</v>
      </c>
      <c r="I5225">
        <v>0.71399999999999997</v>
      </c>
      <c r="J5225">
        <v>0.52</v>
      </c>
      <c r="K5225">
        <v>0.48399999999999999</v>
      </c>
      <c r="L5225">
        <v>4.1000000000000002E-2</v>
      </c>
      <c r="M5225">
        <v>0.67800000000000005</v>
      </c>
      <c r="N5225">
        <v>0.38</v>
      </c>
    </row>
    <row r="5226" spans="1:14" x14ac:dyDescent="0.25">
      <c r="A5226" t="s">
        <v>9446</v>
      </c>
      <c r="B5226" t="s">
        <v>9447</v>
      </c>
      <c r="C5226" s="1" t="str">
        <f>HYPERLINK("http://www.genecards.org/cgi-bin/carddisp.pl?gene=MRPL16","GeneCards")</f>
        <v>GeneCards</v>
      </c>
      <c r="D5226" s="1" t="str">
        <f>HYPERLINK("http://genome-euro.ucsc.edu/cgi-bin/hgTracks?position=217980_s_at","UCSC")</f>
        <v>UCSC</v>
      </c>
      <c r="E5226" s="1" t="str">
        <f>HYPERLINK("http://www.ncbi.nlm.nih.gov/gene/?term=MRPL16","NCBI")</f>
        <v>NCBI</v>
      </c>
      <c r="F5226">
        <v>4.9000000000000002E-2</v>
      </c>
      <c r="G5226">
        <v>0.16</v>
      </c>
      <c r="H5226" s="1" t="str">
        <f>HYPERLINK("http://www.weizmann.ac.il/complex/compphys/software/geview/data/figures/217980_s_at.png","Figure")</f>
        <v>Figure</v>
      </c>
      <c r="I5226">
        <v>1.68</v>
      </c>
      <c r="J5226">
        <v>0.04</v>
      </c>
      <c r="K5226">
        <v>1.31</v>
      </c>
      <c r="L5226">
        <v>0.27</v>
      </c>
      <c r="M5226">
        <v>0.77600000000000002</v>
      </c>
      <c r="N5226">
        <v>0.35</v>
      </c>
    </row>
    <row r="5227" spans="1:14" x14ac:dyDescent="0.25">
      <c r="A5227" t="s">
        <v>9448</v>
      </c>
      <c r="B5227" t="s">
        <v>9449</v>
      </c>
      <c r="C5227" s="1" t="str">
        <f>HYPERLINK("http://www.genecards.org/cgi-bin/carddisp.pl?gene=PDS5B","GeneCards")</f>
        <v>GeneCards</v>
      </c>
      <c r="D5227" s="1" t="str">
        <f>HYPERLINK("http://genome-euro.ucsc.edu/cgi-bin/hgTracks?position=207956_x_at","UCSC")</f>
        <v>UCSC</v>
      </c>
      <c r="E5227" s="1" t="str">
        <f>HYPERLINK("http://www.ncbi.nlm.nih.gov/gene/?term=PDS5B","NCBI")</f>
        <v>NCBI</v>
      </c>
      <c r="F5227">
        <v>4.9000000000000002E-2</v>
      </c>
      <c r="G5227">
        <v>0.16</v>
      </c>
      <c r="H5227" s="1" t="str">
        <f>HYPERLINK("http://www.weizmann.ac.il/complex/compphys/software/geview/data/figures/207956_x_at.png","Figure")</f>
        <v>Figure</v>
      </c>
      <c r="I5227">
        <v>1.52</v>
      </c>
      <c r="J5227">
        <v>0.04</v>
      </c>
      <c r="K5227">
        <v>1.22</v>
      </c>
      <c r="L5227">
        <v>0.32</v>
      </c>
      <c r="M5227">
        <v>0.80100000000000005</v>
      </c>
      <c r="N5227">
        <v>0.3</v>
      </c>
    </row>
    <row r="5228" spans="1:14" x14ac:dyDescent="0.25">
      <c r="A5228" t="s">
        <v>9450</v>
      </c>
      <c r="B5228" t="s">
        <v>9451</v>
      </c>
      <c r="C5228" s="1" t="str">
        <f>HYPERLINK("http://www.genecards.org/cgi-bin/carddisp.pl?gene=KIF4A","GeneCards")</f>
        <v>GeneCards</v>
      </c>
      <c r="D5228" s="1" t="str">
        <f>HYPERLINK("http://genome-euro.ucsc.edu/cgi-bin/hgTracks?position=218355_at","UCSC")</f>
        <v>UCSC</v>
      </c>
      <c r="E5228" s="1" t="str">
        <f>HYPERLINK("http://www.ncbi.nlm.nih.gov/gene/?term=KIF4A","NCBI")</f>
        <v>NCBI</v>
      </c>
      <c r="F5228">
        <v>4.9000000000000002E-2</v>
      </c>
      <c r="G5228">
        <v>0.16</v>
      </c>
      <c r="H5228" s="1" t="str">
        <f>HYPERLINK("http://www.weizmann.ac.il/complex/compphys/software/geview/data/figures/218355_at.png","Figure")</f>
        <v>Figure</v>
      </c>
      <c r="I5228">
        <v>0.73199999999999998</v>
      </c>
      <c r="J5228">
        <v>0.28999999999999998</v>
      </c>
      <c r="K5228">
        <v>1.22</v>
      </c>
      <c r="L5228">
        <v>0.49</v>
      </c>
      <c r="M5228">
        <v>1.67</v>
      </c>
      <c r="N5228">
        <v>3.9E-2</v>
      </c>
    </row>
    <row r="5229" spans="1:14" x14ac:dyDescent="0.25">
      <c r="A5229" t="s">
        <v>9452</v>
      </c>
      <c r="B5229" t="s">
        <v>9453</v>
      </c>
      <c r="C5229" s="1" t="str">
        <f>HYPERLINK("http://www.genecards.org/cgi-bin/carddisp.pl?gene=C14orf138","GeneCards")</f>
        <v>GeneCards</v>
      </c>
      <c r="D5229" s="1" t="str">
        <f>HYPERLINK("http://genome-euro.ucsc.edu/cgi-bin/hgTracks?position=218940_at","UCSC")</f>
        <v>UCSC</v>
      </c>
      <c r="E5229" s="1" t="str">
        <f>HYPERLINK("http://www.ncbi.nlm.nih.gov/gene/?term=C14orf138","NCBI")</f>
        <v>NCBI</v>
      </c>
      <c r="F5229">
        <v>4.9000000000000002E-2</v>
      </c>
      <c r="G5229">
        <v>0.16</v>
      </c>
      <c r="H5229" s="1" t="str">
        <f>HYPERLINK("http://www.weizmann.ac.il/complex/compphys/software/geview/data/figures/218940_at.png","Figure")</f>
        <v>Figure</v>
      </c>
      <c r="I5229">
        <v>0.622</v>
      </c>
      <c r="J5229">
        <v>0.28999999999999998</v>
      </c>
      <c r="K5229">
        <v>0.48599999999999999</v>
      </c>
      <c r="L5229">
        <v>0.04</v>
      </c>
      <c r="M5229">
        <v>0.78100000000000003</v>
      </c>
      <c r="N5229">
        <v>0.66</v>
      </c>
    </row>
    <row r="5230" spans="1:14" x14ac:dyDescent="0.25">
      <c r="A5230" t="s">
        <v>9454</v>
      </c>
      <c r="B5230" t="s">
        <v>9455</v>
      </c>
      <c r="C5230" s="1" t="str">
        <f>HYPERLINK("http://www.genecards.org/cgi-bin/carddisp.pl?gene=FASTKD1","GeneCards")</f>
        <v>GeneCards</v>
      </c>
      <c r="D5230" s="1" t="str">
        <f>HYPERLINK("http://genome-euro.ucsc.edu/cgi-bin/hgTracks?position=219002_at","UCSC")</f>
        <v>UCSC</v>
      </c>
      <c r="E5230" s="1" t="str">
        <f>HYPERLINK("http://www.ncbi.nlm.nih.gov/gene/?term=FASTKD1","NCBI")</f>
        <v>NCBI</v>
      </c>
      <c r="F5230">
        <v>4.9000000000000002E-2</v>
      </c>
      <c r="G5230">
        <v>0.16</v>
      </c>
      <c r="H5230" s="1" t="str">
        <f>HYPERLINK("http://www.weizmann.ac.il/complex/compphys/software/geview/data/figures/219002_at.png","Figure")</f>
        <v>Figure</v>
      </c>
      <c r="I5230">
        <v>0.81299999999999994</v>
      </c>
      <c r="J5230">
        <v>0.56999999999999995</v>
      </c>
      <c r="K5230">
        <v>1.35</v>
      </c>
      <c r="L5230">
        <v>0.24</v>
      </c>
      <c r="M5230">
        <v>1.66</v>
      </c>
      <c r="N5230">
        <v>4.5999999999999999E-2</v>
      </c>
    </row>
    <row r="5231" spans="1:14" x14ac:dyDescent="0.25">
      <c r="A5231" t="s">
        <v>9456</v>
      </c>
      <c r="B5231" t="s">
        <v>9457</v>
      </c>
      <c r="C5231" s="1" t="str">
        <f>HYPERLINK("http://www.genecards.org/cgi-bin/carddisp.pl?gene=ZNF350","GeneCards")</f>
        <v>GeneCards</v>
      </c>
      <c r="D5231" s="1" t="str">
        <f>HYPERLINK("http://genome-euro.ucsc.edu/cgi-bin/hgTracks?position=219266_at","UCSC")</f>
        <v>UCSC</v>
      </c>
      <c r="E5231" s="1" t="str">
        <f>HYPERLINK("http://www.ncbi.nlm.nih.gov/gene/?term=ZNF350","NCBI")</f>
        <v>NCBI</v>
      </c>
      <c r="F5231">
        <v>4.9000000000000002E-2</v>
      </c>
      <c r="G5231">
        <v>0.16</v>
      </c>
      <c r="H5231" s="1" t="str">
        <f>HYPERLINK("http://www.weizmann.ac.il/complex/compphys/software/geview/data/figures/219266_at.png","Figure")</f>
        <v>Figure</v>
      </c>
      <c r="I5231">
        <v>0.98499999999999999</v>
      </c>
      <c r="J5231">
        <v>1</v>
      </c>
      <c r="K5231">
        <v>0.70199999999999996</v>
      </c>
      <c r="L5231">
        <v>7.2999999999999995E-2</v>
      </c>
      <c r="M5231">
        <v>0.71199999999999997</v>
      </c>
      <c r="N5231">
        <v>0.11</v>
      </c>
    </row>
    <row r="5232" spans="1:14" x14ac:dyDescent="0.25">
      <c r="A5232" t="s">
        <v>9458</v>
      </c>
      <c r="B5232" t="s">
        <v>9459</v>
      </c>
      <c r="C5232" s="1" t="str">
        <f>HYPERLINK("http://www.genecards.org/cgi-bin/carddisp.pl?gene=SERGEF","GeneCards")</f>
        <v>GeneCards</v>
      </c>
      <c r="D5232" s="1" t="str">
        <f>HYPERLINK("http://genome-euro.ucsc.edu/cgi-bin/hgTracks?position=220482_s_at","UCSC")</f>
        <v>UCSC</v>
      </c>
      <c r="E5232" s="1" t="str">
        <f>HYPERLINK("http://www.ncbi.nlm.nih.gov/gene/?term=SERGEF","NCBI")</f>
        <v>NCBI</v>
      </c>
      <c r="F5232">
        <v>4.9000000000000002E-2</v>
      </c>
      <c r="G5232">
        <v>0.16</v>
      </c>
      <c r="H5232" s="1" t="str">
        <f>HYPERLINK("http://www.weizmann.ac.il/complex/compphys/software/geview/data/figures/220482_s_at.png","Figure")</f>
        <v>Figure</v>
      </c>
      <c r="I5232">
        <v>1.08</v>
      </c>
      <c r="J5232">
        <v>9.7000000000000003E-2</v>
      </c>
      <c r="K5232">
        <v>1.08</v>
      </c>
      <c r="L5232">
        <v>6.0999999999999999E-2</v>
      </c>
      <c r="M5232">
        <v>0.998</v>
      </c>
      <c r="N5232">
        <v>1</v>
      </c>
    </row>
    <row r="5233" spans="1:14" x14ac:dyDescent="0.25">
      <c r="A5233" t="s">
        <v>9460</v>
      </c>
      <c r="B5233" t="s">
        <v>9461</v>
      </c>
      <c r="C5233" s="1" t="str">
        <f>HYPERLINK("http://www.genecards.org/cgi-bin/carddisp.pl?gene=CD1B","GeneCards")</f>
        <v>GeneCards</v>
      </c>
      <c r="D5233" s="1" t="str">
        <f>HYPERLINK("http://genome-euro.ucsc.edu/cgi-bin/hgTracks?position=206749_at","UCSC")</f>
        <v>UCSC</v>
      </c>
      <c r="E5233" s="1" t="str">
        <f>HYPERLINK("http://www.ncbi.nlm.nih.gov/gene/?term=CD1B","NCBI")</f>
        <v>NCBI</v>
      </c>
      <c r="F5233">
        <v>4.9000000000000002E-2</v>
      </c>
      <c r="G5233">
        <v>0.16</v>
      </c>
      <c r="H5233" s="1" t="str">
        <f>HYPERLINK("http://www.weizmann.ac.il/complex/compphys/software/geview/data/figures/206749_at.png","Figure")</f>
        <v>Figure</v>
      </c>
      <c r="I5233">
        <v>1.0900000000000001</v>
      </c>
      <c r="J5233">
        <v>0.22</v>
      </c>
      <c r="K5233">
        <v>0.96199999999999997</v>
      </c>
      <c r="L5233">
        <v>0.62</v>
      </c>
      <c r="M5233">
        <v>0.88600000000000001</v>
      </c>
      <c r="N5233">
        <v>0.04</v>
      </c>
    </row>
    <row r="5234" spans="1:14" x14ac:dyDescent="0.25">
      <c r="A5234" t="s">
        <v>9462</v>
      </c>
      <c r="B5234" t="s">
        <v>87</v>
      </c>
      <c r="C5234" s="1" t="str">
        <f>HYPERLINK("http://www.genecards.org/cgi-bin/carddisp.pl?gene=IRF4","GeneCards")</f>
        <v>GeneCards</v>
      </c>
      <c r="D5234" s="1" t="str">
        <f>HYPERLINK("http://genome-euro.ucsc.edu/cgi-bin/hgTracks?position=216986_s_at","UCSC")</f>
        <v>UCSC</v>
      </c>
      <c r="E5234" s="1" t="str">
        <f>HYPERLINK("http://www.ncbi.nlm.nih.gov/gene/?term=IRF4","NCBI")</f>
        <v>NCBI</v>
      </c>
      <c r="F5234">
        <v>4.9000000000000002E-2</v>
      </c>
      <c r="G5234">
        <v>0.16</v>
      </c>
      <c r="H5234" s="1" t="str">
        <f>HYPERLINK("http://www.weizmann.ac.il/complex/compphys/software/geview/data/figures/216986_s_at.png","Figure")</f>
        <v>Figure</v>
      </c>
      <c r="I5234">
        <v>1.22</v>
      </c>
      <c r="J5234">
        <v>0.04</v>
      </c>
      <c r="K5234">
        <v>1.1000000000000001</v>
      </c>
      <c r="L5234">
        <v>0.28999999999999998</v>
      </c>
      <c r="M5234">
        <v>0.90600000000000003</v>
      </c>
      <c r="N5234">
        <v>0.33</v>
      </c>
    </row>
    <row r="5235" spans="1:14" x14ac:dyDescent="0.25">
      <c r="A5235" t="s">
        <v>9463</v>
      </c>
      <c r="B5235" s="3">
        <v>42622</v>
      </c>
      <c r="C5235" s="1" t="str">
        <f>HYPERLINK("http://www.genecards.org/cgi-bin/carddisp.pl?gene=9-Sep","GeneCards")</f>
        <v>GeneCards</v>
      </c>
      <c r="D5235" s="1" t="str">
        <f>HYPERLINK("http://genome-euro.ucsc.edu/cgi-bin/hgTracks?position=207425_s_at","UCSC")</f>
        <v>UCSC</v>
      </c>
      <c r="E5235" s="1" t="str">
        <f>HYPERLINK("http://www.ncbi.nlm.nih.gov/gene/?term=9-Sep","NCBI")</f>
        <v>NCBI</v>
      </c>
      <c r="F5235">
        <v>4.9000000000000002E-2</v>
      </c>
      <c r="G5235">
        <v>0.16</v>
      </c>
      <c r="H5235" s="1" t="str">
        <f>HYPERLINK("http://www.weizmann.ac.il/complex/compphys/software/geview/data/figures/207425_s_at.png","Figure")</f>
        <v>Figure</v>
      </c>
      <c r="I5235">
        <v>0.76500000000000001</v>
      </c>
      <c r="J5235">
        <v>9.4E-2</v>
      </c>
      <c r="K5235">
        <v>1.02</v>
      </c>
      <c r="L5235">
        <v>0.98</v>
      </c>
      <c r="M5235">
        <v>1.33</v>
      </c>
      <c r="N5235">
        <v>5.1999999999999998E-2</v>
      </c>
    </row>
    <row r="5236" spans="1:14" x14ac:dyDescent="0.25">
      <c r="A5236" t="s">
        <v>9464</v>
      </c>
      <c r="B5236" t="s">
        <v>9465</v>
      </c>
      <c r="C5236" s="1" t="str">
        <f>HYPERLINK("http://www.genecards.org/cgi-bin/carddisp.pl?gene=POLR1C","GeneCards")</f>
        <v>GeneCards</v>
      </c>
      <c r="D5236" s="1" t="str">
        <f>HYPERLINK("http://genome-euro.ucsc.edu/cgi-bin/hgTracks?position=209317_at","UCSC")</f>
        <v>UCSC</v>
      </c>
      <c r="E5236" s="1" t="str">
        <f>HYPERLINK("http://www.ncbi.nlm.nih.gov/gene/?term=POLR1C","NCBI")</f>
        <v>NCBI</v>
      </c>
      <c r="F5236">
        <v>4.9000000000000002E-2</v>
      </c>
      <c r="G5236">
        <v>0.16</v>
      </c>
      <c r="H5236" s="1" t="str">
        <f>HYPERLINK("http://www.weizmann.ac.il/complex/compphys/software/geview/data/figures/209317_at.png","Figure")</f>
        <v>Figure</v>
      </c>
      <c r="I5236">
        <v>1.1000000000000001</v>
      </c>
      <c r="J5236">
        <v>0.94</v>
      </c>
      <c r="K5236">
        <v>0.57899999999999996</v>
      </c>
      <c r="L5236">
        <v>0.11</v>
      </c>
      <c r="M5236">
        <v>0.52800000000000002</v>
      </c>
      <c r="N5236">
        <v>7.5999999999999998E-2</v>
      </c>
    </row>
    <row r="5237" spans="1:14" x14ac:dyDescent="0.25">
      <c r="A5237" t="s">
        <v>9466</v>
      </c>
      <c r="B5237" t="s">
        <v>9467</v>
      </c>
      <c r="C5237" s="1" t="str">
        <f>HYPERLINK("http://www.genecards.org/cgi-bin/carddisp.pl?gene=AP4M1","GeneCards")</f>
        <v>GeneCards</v>
      </c>
      <c r="D5237" s="1" t="str">
        <f>HYPERLINK("http://genome-euro.ucsc.edu/cgi-bin/hgTracks?position=209837_at","UCSC")</f>
        <v>UCSC</v>
      </c>
      <c r="E5237" s="1" t="str">
        <f>HYPERLINK("http://www.ncbi.nlm.nih.gov/gene/?term=AP4M1","NCBI")</f>
        <v>NCBI</v>
      </c>
      <c r="F5237">
        <v>4.9000000000000002E-2</v>
      </c>
      <c r="G5237">
        <v>0.16</v>
      </c>
      <c r="H5237" s="1" t="str">
        <f>HYPERLINK("http://www.weizmann.ac.il/complex/compphys/software/geview/data/figures/209837_at.png","Figure")</f>
        <v>Figure</v>
      </c>
      <c r="I5237">
        <v>1.23</v>
      </c>
      <c r="J5237">
        <v>0.11</v>
      </c>
      <c r="K5237">
        <v>1.24</v>
      </c>
      <c r="L5237">
        <v>5.7000000000000002E-2</v>
      </c>
      <c r="M5237">
        <v>1</v>
      </c>
      <c r="N5237">
        <v>1</v>
      </c>
    </row>
    <row r="5238" spans="1:14" x14ac:dyDescent="0.25">
      <c r="A5238" t="s">
        <v>9468</v>
      </c>
      <c r="B5238" t="s">
        <v>9469</v>
      </c>
      <c r="C5238" s="1" t="str">
        <f>HYPERLINK("http://www.genecards.org/cgi-bin/carddisp.pl?gene=PHOX2A","GeneCards")</f>
        <v>GeneCards</v>
      </c>
      <c r="D5238" s="1" t="str">
        <f>HYPERLINK("http://genome-euro.ucsc.edu/cgi-bin/hgTracks?position=214609_at","UCSC")</f>
        <v>UCSC</v>
      </c>
      <c r="E5238" s="1" t="str">
        <f>HYPERLINK("http://www.ncbi.nlm.nih.gov/gene/?term=PHOX2A","NCBI")</f>
        <v>NCBI</v>
      </c>
      <c r="F5238">
        <v>4.9000000000000002E-2</v>
      </c>
      <c r="G5238">
        <v>0.16</v>
      </c>
      <c r="H5238" s="1" t="str">
        <f>HYPERLINK("http://www.weizmann.ac.il/complex/compphys/software/geview/data/figures/214609_at.png","Figure")</f>
        <v>Figure</v>
      </c>
      <c r="I5238">
        <v>1.24</v>
      </c>
      <c r="J5238">
        <v>5.2999999999999999E-2</v>
      </c>
      <c r="K5238">
        <v>1.04</v>
      </c>
      <c r="L5238">
        <v>0.86</v>
      </c>
      <c r="M5238">
        <v>0.84</v>
      </c>
      <c r="N5238">
        <v>9.1999999999999998E-2</v>
      </c>
    </row>
    <row r="5239" spans="1:14" x14ac:dyDescent="0.25">
      <c r="A5239" t="s">
        <v>9470</v>
      </c>
      <c r="B5239" t="s">
        <v>9471</v>
      </c>
      <c r="C5239" s="1" t="str">
        <f>HYPERLINK("http://www.genecards.org/cgi-bin/carddisp.pl?gene=UBAP1","GeneCards")</f>
        <v>GeneCards</v>
      </c>
      <c r="D5239" s="1" t="str">
        <f>HYPERLINK("http://genome-euro.ucsc.edu/cgi-bin/hgTracks?position=221490_at","UCSC")</f>
        <v>UCSC</v>
      </c>
      <c r="E5239" s="1" t="str">
        <f>HYPERLINK("http://www.ncbi.nlm.nih.gov/gene/?term=UBAP1","NCBI")</f>
        <v>NCBI</v>
      </c>
      <c r="F5239">
        <v>4.9000000000000002E-2</v>
      </c>
      <c r="G5239">
        <v>0.16</v>
      </c>
      <c r="H5239" s="1" t="str">
        <f>HYPERLINK("http://www.weizmann.ac.il/complex/compphys/software/geview/data/figures/221490_at.png","Figure")</f>
        <v>Figure</v>
      </c>
      <c r="I5239">
        <v>1.1599999999999999</v>
      </c>
      <c r="J5239">
        <v>0.48</v>
      </c>
      <c r="K5239">
        <v>0.84499999999999997</v>
      </c>
      <c r="L5239">
        <v>0.31</v>
      </c>
      <c r="M5239">
        <v>0.72799999999999998</v>
      </c>
      <c r="N5239">
        <v>4.2999999999999997E-2</v>
      </c>
    </row>
    <row r="5240" spans="1:14" x14ac:dyDescent="0.25">
      <c r="A5240" t="s">
        <v>9472</v>
      </c>
      <c r="B5240" t="s">
        <v>944</v>
      </c>
      <c r="C5240" s="1" t="str">
        <f>HYPERLINK("http://www.genecards.org/cgi-bin/carddisp.pl?gene=RAB1A","GeneCards")</f>
        <v>GeneCards</v>
      </c>
      <c r="D5240" s="1" t="str">
        <f>HYPERLINK("http://genome-euro.ucsc.edu/cgi-bin/hgTracks?position=213440_at","UCSC")</f>
        <v>UCSC</v>
      </c>
      <c r="E5240" s="1" t="str">
        <f>HYPERLINK("http://www.ncbi.nlm.nih.gov/gene/?term=RAB1A","NCBI")</f>
        <v>NCBI</v>
      </c>
      <c r="F5240">
        <v>4.9000000000000002E-2</v>
      </c>
      <c r="G5240">
        <v>0.16</v>
      </c>
      <c r="H5240" s="1" t="str">
        <f>HYPERLINK("http://www.weizmann.ac.il/complex/compphys/software/geview/data/figures/213440_at.png","Figure")</f>
        <v>Figure</v>
      </c>
      <c r="I5240">
        <v>0.96299999999999997</v>
      </c>
      <c r="J5240">
        <v>0.98</v>
      </c>
      <c r="K5240">
        <v>0.64800000000000002</v>
      </c>
      <c r="L5240">
        <v>6.7000000000000004E-2</v>
      </c>
      <c r="M5240">
        <v>0.67300000000000004</v>
      </c>
      <c r="N5240">
        <v>0.13</v>
      </c>
    </row>
    <row r="5241" spans="1:14" x14ac:dyDescent="0.25">
      <c r="A5241" t="s">
        <v>9473</v>
      </c>
      <c r="B5241" t="s">
        <v>9474</v>
      </c>
      <c r="C5241" s="1" t="str">
        <f>HYPERLINK("http://www.genecards.org/cgi-bin/carddisp.pl?gene=ADAM22","GeneCards")</f>
        <v>GeneCards</v>
      </c>
      <c r="D5241" s="1" t="str">
        <f>HYPERLINK("http://genome-euro.ucsc.edu/cgi-bin/hgTracks?position=208237_x_at","UCSC")</f>
        <v>UCSC</v>
      </c>
      <c r="E5241" s="1" t="str">
        <f>HYPERLINK("http://www.ncbi.nlm.nih.gov/gene/?term=ADAM22","NCBI")</f>
        <v>NCBI</v>
      </c>
      <c r="F5241">
        <v>4.9000000000000002E-2</v>
      </c>
      <c r="G5241">
        <v>0.16</v>
      </c>
      <c r="H5241" s="1" t="str">
        <f>HYPERLINK("http://www.weizmann.ac.il/complex/compphys/software/geview/data/figures/208237_x_at.png","Figure")</f>
        <v>Figure</v>
      </c>
      <c r="I5241">
        <v>1.26</v>
      </c>
      <c r="J5241">
        <v>0.04</v>
      </c>
      <c r="K5241">
        <v>1.1000000000000001</v>
      </c>
      <c r="L5241">
        <v>0.46</v>
      </c>
      <c r="M5241">
        <v>0.86699999999999999</v>
      </c>
      <c r="N5241">
        <v>0.21</v>
      </c>
    </row>
    <row r="5242" spans="1:14" x14ac:dyDescent="0.25">
      <c r="A5242" t="s">
        <v>9475</v>
      </c>
      <c r="B5242" t="s">
        <v>9476</v>
      </c>
      <c r="C5242" s="1" t="str">
        <f>HYPERLINK("http://www.genecards.org/cgi-bin/carddisp.pl?gene=FLI1","GeneCards")</f>
        <v>GeneCards</v>
      </c>
      <c r="D5242" s="1" t="str">
        <f>HYPERLINK("http://genome-euro.ucsc.edu/cgi-bin/hgTracks?position=210786_s_at","UCSC")</f>
        <v>UCSC</v>
      </c>
      <c r="E5242" s="1" t="str">
        <f>HYPERLINK("http://www.ncbi.nlm.nih.gov/gene/?term=FLI1","NCBI")</f>
        <v>NCBI</v>
      </c>
      <c r="F5242">
        <v>4.9000000000000002E-2</v>
      </c>
      <c r="G5242">
        <v>0.16</v>
      </c>
      <c r="H5242" s="1" t="str">
        <f>HYPERLINK("http://www.weizmann.ac.il/complex/compphys/software/geview/data/figures/210786_s_at.png","Figure")</f>
        <v>Figure</v>
      </c>
      <c r="I5242">
        <v>1.54</v>
      </c>
      <c r="J5242">
        <v>4.4999999999999998E-2</v>
      </c>
      <c r="K5242">
        <v>1.3</v>
      </c>
      <c r="L5242">
        <v>0.18</v>
      </c>
      <c r="M5242">
        <v>0.84799999999999998</v>
      </c>
      <c r="N5242">
        <v>0.53</v>
      </c>
    </row>
    <row r="5243" spans="1:14" x14ac:dyDescent="0.25">
      <c r="A5243" t="s">
        <v>9477</v>
      </c>
      <c r="B5243" t="s">
        <v>9260</v>
      </c>
      <c r="C5243" s="1" t="str">
        <f>HYPERLINK("http://www.genecards.org/cgi-bin/carddisp.pl?gene=H2AFY","GeneCards")</f>
        <v>GeneCards</v>
      </c>
      <c r="D5243" s="1" t="str">
        <f>HYPERLINK("http://genome-euro.ucsc.edu/cgi-bin/hgTracks?position=214500_at","UCSC")</f>
        <v>UCSC</v>
      </c>
      <c r="E5243" s="1" t="str">
        <f>HYPERLINK("http://www.ncbi.nlm.nih.gov/gene/?term=H2AFY","NCBI")</f>
        <v>NCBI</v>
      </c>
      <c r="F5243">
        <v>4.9000000000000002E-2</v>
      </c>
      <c r="G5243">
        <v>0.16</v>
      </c>
      <c r="H5243" s="1" t="str">
        <f>HYPERLINK("http://www.weizmann.ac.il/complex/compphys/software/geview/data/figures/214500_at.png","Figure")</f>
        <v>Figure</v>
      </c>
      <c r="I5243">
        <v>0.47799999999999998</v>
      </c>
      <c r="J5243">
        <v>4.2000000000000003E-2</v>
      </c>
      <c r="K5243">
        <v>0.77800000000000002</v>
      </c>
      <c r="L5243">
        <v>0.55000000000000004</v>
      </c>
      <c r="M5243">
        <v>1.63</v>
      </c>
      <c r="N5243">
        <v>0.17</v>
      </c>
    </row>
    <row r="5244" spans="1:14" x14ac:dyDescent="0.25">
      <c r="A5244" t="s">
        <v>9478</v>
      </c>
      <c r="B5244" t="s">
        <v>9479</v>
      </c>
      <c r="C5244" s="1" t="str">
        <f>HYPERLINK("http://www.genecards.org/cgi-bin/carddisp.pl?gene=TRPV4","GeneCards")</f>
        <v>GeneCards</v>
      </c>
      <c r="D5244" s="1" t="str">
        <f>HYPERLINK("http://genome-euro.ucsc.edu/cgi-bin/hgTracks?position=219516_at","UCSC")</f>
        <v>UCSC</v>
      </c>
      <c r="E5244" s="1" t="str">
        <f>HYPERLINK("http://www.ncbi.nlm.nih.gov/gene/?term=TRPV4","NCBI")</f>
        <v>NCBI</v>
      </c>
      <c r="F5244">
        <v>4.9000000000000002E-2</v>
      </c>
      <c r="G5244">
        <v>0.16</v>
      </c>
      <c r="H5244" s="1" t="str">
        <f>HYPERLINK("http://www.weizmann.ac.il/complex/compphys/software/geview/data/figures/219516_at.png","Figure")</f>
        <v>Figure</v>
      </c>
      <c r="I5244">
        <v>1.1200000000000001</v>
      </c>
      <c r="J5244">
        <v>6.5000000000000002E-2</v>
      </c>
      <c r="K5244">
        <v>1.0900000000000001</v>
      </c>
      <c r="L5244">
        <v>9.1999999999999998E-2</v>
      </c>
      <c r="M5244">
        <v>0.97799999999999998</v>
      </c>
      <c r="N5244">
        <v>0.86</v>
      </c>
    </row>
    <row r="5245" spans="1:14" x14ac:dyDescent="0.25">
      <c r="A5245" t="s">
        <v>9480</v>
      </c>
      <c r="B5245" t="s">
        <v>9481</v>
      </c>
      <c r="C5245" s="1" t="str">
        <f>HYPERLINK("http://www.genecards.org/cgi-bin/carddisp.pl?gene=SSBP1","GeneCards")</f>
        <v>GeneCards</v>
      </c>
      <c r="D5245" s="1" t="str">
        <f>HYPERLINK("http://genome-euro.ucsc.edu/cgi-bin/hgTracks?position=202591_s_at","UCSC")</f>
        <v>UCSC</v>
      </c>
      <c r="E5245" s="1" t="str">
        <f>HYPERLINK("http://www.ncbi.nlm.nih.gov/gene/?term=SSBP1","NCBI")</f>
        <v>NCBI</v>
      </c>
      <c r="F5245">
        <v>4.9000000000000002E-2</v>
      </c>
      <c r="G5245">
        <v>0.16</v>
      </c>
      <c r="H5245" s="1" t="str">
        <f>HYPERLINK("http://www.weizmann.ac.il/complex/compphys/software/geview/data/figures/202591_s_at.png","Figure")</f>
        <v>Figure</v>
      </c>
      <c r="I5245">
        <v>0.68600000000000005</v>
      </c>
      <c r="J5245">
        <v>0.25</v>
      </c>
      <c r="K5245">
        <v>1.23</v>
      </c>
      <c r="L5245">
        <v>0.56000000000000005</v>
      </c>
      <c r="M5245">
        <v>1.79</v>
      </c>
      <c r="N5245">
        <v>0.04</v>
      </c>
    </row>
    <row r="5246" spans="1:14" x14ac:dyDescent="0.25">
      <c r="A5246" t="s">
        <v>9482</v>
      </c>
      <c r="B5246" t="s">
        <v>9483</v>
      </c>
      <c r="C5246" s="1" t="str">
        <f>HYPERLINK("http://www.genecards.org/cgi-bin/carddisp.pl?gene=LOC100134674 /// MUC3A /// MUC3B","GeneCards")</f>
        <v>GeneCards</v>
      </c>
      <c r="D5246" s="1" t="str">
        <f>HYPERLINK("http://genome-euro.ucsc.edu/cgi-bin/hgTracks?position=214676_x_at","UCSC")</f>
        <v>UCSC</v>
      </c>
      <c r="E5246" s="1" t="str">
        <f>HYPERLINK("http://www.ncbi.nlm.nih.gov/gene/?term=LOC100134674 /// MUC3A /// MUC3B","NCBI")</f>
        <v>NCBI</v>
      </c>
      <c r="F5246">
        <v>4.9000000000000002E-2</v>
      </c>
      <c r="G5246">
        <v>0.16</v>
      </c>
      <c r="H5246" s="1" t="str">
        <f>HYPERLINK("http://www.weizmann.ac.il/complex/compphys/software/geview/data/figures/214676_x_at.png","Figure")</f>
        <v>Figure</v>
      </c>
      <c r="I5246">
        <v>1.34</v>
      </c>
      <c r="J5246">
        <v>4.3999999999999997E-2</v>
      </c>
      <c r="K5246">
        <v>1.0900000000000001</v>
      </c>
      <c r="L5246">
        <v>0.66</v>
      </c>
      <c r="M5246">
        <v>0.80900000000000005</v>
      </c>
      <c r="N5246">
        <v>0.13</v>
      </c>
    </row>
    <row r="5247" spans="1:14" x14ac:dyDescent="0.25">
      <c r="A5247" t="s">
        <v>9484</v>
      </c>
      <c r="B5247" t="s">
        <v>9485</v>
      </c>
      <c r="C5247" s="1" t="str">
        <f>HYPERLINK("http://www.genecards.org/cgi-bin/carddisp.pl?gene=MYO16","GeneCards")</f>
        <v>GeneCards</v>
      </c>
      <c r="D5247" s="1" t="str">
        <f>HYPERLINK("http://genome-euro.ucsc.edu/cgi-bin/hgTracks?position=215119_at","UCSC")</f>
        <v>UCSC</v>
      </c>
      <c r="E5247" s="1" t="str">
        <f>HYPERLINK("http://www.ncbi.nlm.nih.gov/gene/?term=MYO16","NCBI")</f>
        <v>NCBI</v>
      </c>
      <c r="F5247">
        <v>4.9000000000000002E-2</v>
      </c>
      <c r="G5247">
        <v>0.16</v>
      </c>
      <c r="H5247" s="1" t="str">
        <f>HYPERLINK("http://www.weizmann.ac.il/complex/compphys/software/geview/data/figures/215119_at.png","Figure")</f>
        <v>Figure</v>
      </c>
      <c r="I5247">
        <v>1.17</v>
      </c>
      <c r="J5247">
        <v>0.14000000000000001</v>
      </c>
      <c r="K5247">
        <v>0.96299999999999997</v>
      </c>
      <c r="L5247">
        <v>0.84</v>
      </c>
      <c r="M5247">
        <v>0.82299999999999995</v>
      </c>
      <c r="N5247">
        <v>4.3999999999999997E-2</v>
      </c>
    </row>
    <row r="5248" spans="1:14" x14ac:dyDescent="0.25">
      <c r="A5248" t="s">
        <v>9486</v>
      </c>
      <c r="B5248" t="s">
        <v>9487</v>
      </c>
      <c r="C5248" s="1" t="str">
        <f>HYPERLINK("http://www.genecards.org/cgi-bin/carddisp.pl?gene=TULP2","GeneCards")</f>
        <v>GeneCards</v>
      </c>
      <c r="D5248" s="1" t="str">
        <f>HYPERLINK("http://genome-euro.ucsc.edu/cgi-bin/hgTracks?position=206733_at","UCSC")</f>
        <v>UCSC</v>
      </c>
      <c r="E5248" s="1" t="str">
        <f>HYPERLINK("http://www.ncbi.nlm.nih.gov/gene/?term=TULP2","NCBI")</f>
        <v>NCBI</v>
      </c>
      <c r="F5248">
        <v>4.9000000000000002E-2</v>
      </c>
      <c r="G5248">
        <v>0.16</v>
      </c>
      <c r="H5248" s="1" t="str">
        <f>HYPERLINK("http://www.weizmann.ac.il/complex/compphys/software/geview/data/figures/206733_at.png","Figure")</f>
        <v>Figure</v>
      </c>
      <c r="I5248">
        <v>1.22</v>
      </c>
      <c r="J5248">
        <v>7.3999999999999996E-2</v>
      </c>
      <c r="K5248">
        <v>1.01</v>
      </c>
      <c r="L5248">
        <v>1</v>
      </c>
      <c r="M5248">
        <v>0.82699999999999996</v>
      </c>
      <c r="N5248">
        <v>6.2E-2</v>
      </c>
    </row>
    <row r="5249" spans="1:14" x14ac:dyDescent="0.25">
      <c r="A5249" t="s">
        <v>9488</v>
      </c>
      <c r="B5249" t="s">
        <v>9489</v>
      </c>
      <c r="C5249" s="1" t="str">
        <f>HYPERLINK("http://www.genecards.org/cgi-bin/carddisp.pl?gene=SNRNP35","GeneCards")</f>
        <v>GeneCards</v>
      </c>
      <c r="D5249" s="1" t="str">
        <f>HYPERLINK("http://genome-euro.ucsc.edu/cgi-bin/hgTracks?position=205300_s_at","UCSC")</f>
        <v>UCSC</v>
      </c>
      <c r="E5249" s="1" t="str">
        <f>HYPERLINK("http://www.ncbi.nlm.nih.gov/gene/?term=SNRNP35","NCBI")</f>
        <v>NCBI</v>
      </c>
      <c r="F5249">
        <v>4.9000000000000002E-2</v>
      </c>
      <c r="G5249">
        <v>0.16</v>
      </c>
      <c r="H5249" s="1" t="str">
        <f>HYPERLINK("http://www.weizmann.ac.il/complex/compphys/software/geview/data/figures/205300_s_at.png","Figure")</f>
        <v>Figure</v>
      </c>
      <c r="I5249">
        <v>1.19</v>
      </c>
      <c r="J5249">
        <v>0.05</v>
      </c>
      <c r="K5249">
        <v>1.04</v>
      </c>
      <c r="L5249">
        <v>0.81</v>
      </c>
      <c r="M5249">
        <v>0.873</v>
      </c>
      <c r="N5249">
        <v>0.1</v>
      </c>
    </row>
    <row r="5250" spans="1:14" x14ac:dyDescent="0.25">
      <c r="A5250" t="s">
        <v>9490</v>
      </c>
      <c r="B5250" t="s">
        <v>9491</v>
      </c>
      <c r="C5250" s="1" t="str">
        <f>HYPERLINK("http://www.genecards.org/cgi-bin/carddisp.pl?gene=AKAP13","GeneCards")</f>
        <v>GeneCards</v>
      </c>
      <c r="D5250" s="1" t="str">
        <f>HYPERLINK("http://genome-euro.ucsc.edu/cgi-bin/hgTracks?position=209534_x_at","UCSC")</f>
        <v>UCSC</v>
      </c>
      <c r="E5250" s="1" t="str">
        <f>HYPERLINK("http://www.ncbi.nlm.nih.gov/gene/?term=AKAP13","NCBI")</f>
        <v>NCBI</v>
      </c>
      <c r="F5250">
        <v>4.9000000000000002E-2</v>
      </c>
      <c r="G5250">
        <v>0.16</v>
      </c>
      <c r="H5250" s="1" t="str">
        <f>HYPERLINK("http://www.weizmann.ac.il/complex/compphys/software/geview/data/figures/209534_x_at.png","Figure")</f>
        <v>Figure</v>
      </c>
      <c r="I5250">
        <v>1.31</v>
      </c>
      <c r="J5250">
        <v>0.22</v>
      </c>
      <c r="K5250">
        <v>0.88400000000000001</v>
      </c>
      <c r="L5250">
        <v>0.63</v>
      </c>
      <c r="M5250">
        <v>0.67600000000000005</v>
      </c>
      <c r="N5250">
        <v>0.04</v>
      </c>
    </row>
    <row r="5251" spans="1:14" x14ac:dyDescent="0.25">
      <c r="A5251" t="s">
        <v>9492</v>
      </c>
      <c r="B5251" t="s">
        <v>9493</v>
      </c>
      <c r="C5251" s="1" t="str">
        <f>HYPERLINK("http://www.genecards.org/cgi-bin/carddisp.pl?gene=HLA-DOA","GeneCards")</f>
        <v>GeneCards</v>
      </c>
      <c r="D5251" s="1" t="str">
        <f>HYPERLINK("http://genome-euro.ucsc.edu/cgi-bin/hgTracks?position=211142_x_at","UCSC")</f>
        <v>UCSC</v>
      </c>
      <c r="E5251" s="1" t="str">
        <f>HYPERLINK("http://www.ncbi.nlm.nih.gov/gene/?term=HLA-DOA","NCBI")</f>
        <v>NCBI</v>
      </c>
      <c r="F5251">
        <v>4.9000000000000002E-2</v>
      </c>
      <c r="G5251">
        <v>0.16</v>
      </c>
      <c r="H5251" s="1" t="str">
        <f>HYPERLINK("http://www.weizmann.ac.il/complex/compphys/software/geview/data/figures/211142_x_at.png","Figure")</f>
        <v>Figure</v>
      </c>
      <c r="I5251">
        <v>1.3</v>
      </c>
      <c r="J5251">
        <v>4.2000000000000003E-2</v>
      </c>
      <c r="K5251">
        <v>1.1599999999999999</v>
      </c>
      <c r="L5251">
        <v>0.24</v>
      </c>
      <c r="M5251">
        <v>0.88600000000000001</v>
      </c>
      <c r="N5251">
        <v>0.4</v>
      </c>
    </row>
    <row r="5252" spans="1:14" x14ac:dyDescent="0.25">
      <c r="A5252" t="s">
        <v>9494</v>
      </c>
      <c r="B5252" t="s">
        <v>9495</v>
      </c>
      <c r="C5252" s="1" t="str">
        <f>HYPERLINK("http://www.genecards.org/cgi-bin/carddisp.pl?gene=GJA4","GeneCards")</f>
        <v>GeneCards</v>
      </c>
      <c r="D5252" s="1" t="str">
        <f>HYPERLINK("http://genome-euro.ucsc.edu/cgi-bin/hgTracks?position=204904_at","UCSC")</f>
        <v>UCSC</v>
      </c>
      <c r="E5252" s="1" t="str">
        <f>HYPERLINK("http://www.ncbi.nlm.nih.gov/gene/?term=GJA4","NCBI")</f>
        <v>NCBI</v>
      </c>
      <c r="F5252">
        <v>4.9000000000000002E-2</v>
      </c>
      <c r="G5252">
        <v>0.16</v>
      </c>
      <c r="H5252" s="1" t="str">
        <f>HYPERLINK("http://www.weizmann.ac.il/complex/compphys/software/geview/data/figures/204904_at.png","Figure")</f>
        <v>Figure</v>
      </c>
      <c r="I5252">
        <v>1.33</v>
      </c>
      <c r="J5252">
        <v>4.3999999999999997E-2</v>
      </c>
      <c r="K5252">
        <v>1.0900000000000001</v>
      </c>
      <c r="L5252">
        <v>0.63</v>
      </c>
      <c r="M5252">
        <v>0.81599999999999995</v>
      </c>
      <c r="N5252">
        <v>0.14000000000000001</v>
      </c>
    </row>
    <row r="5253" spans="1:14" x14ac:dyDescent="0.25">
      <c r="A5253" t="s">
        <v>9496</v>
      </c>
      <c r="B5253" t="s">
        <v>6794</v>
      </c>
      <c r="C5253" s="1" t="str">
        <f>HYPERLINK("http://www.genecards.org/cgi-bin/carddisp.pl?gene=TREX1","GeneCards")</f>
        <v>GeneCards</v>
      </c>
      <c r="D5253" s="1" t="str">
        <f>HYPERLINK("http://genome-euro.ucsc.edu/cgi-bin/hgTracks?position=205875_s_at","UCSC")</f>
        <v>UCSC</v>
      </c>
      <c r="E5253" s="1" t="str">
        <f>HYPERLINK("http://www.ncbi.nlm.nih.gov/gene/?term=TREX1","NCBI")</f>
        <v>NCBI</v>
      </c>
      <c r="F5253">
        <v>4.9000000000000002E-2</v>
      </c>
      <c r="G5253">
        <v>0.16</v>
      </c>
      <c r="H5253" s="1" t="str">
        <f>HYPERLINK("http://www.weizmann.ac.il/complex/compphys/software/geview/data/figures/205875_s_at.png","Figure")</f>
        <v>Figure</v>
      </c>
      <c r="I5253">
        <v>1.24</v>
      </c>
      <c r="J5253">
        <v>0.04</v>
      </c>
      <c r="K5253">
        <v>1.1100000000000001</v>
      </c>
      <c r="L5253">
        <v>0.3</v>
      </c>
      <c r="M5253">
        <v>0.89600000000000002</v>
      </c>
      <c r="N5253">
        <v>0.32</v>
      </c>
    </row>
    <row r="5254" spans="1:14" x14ac:dyDescent="0.25">
      <c r="A5254" t="s">
        <v>9497</v>
      </c>
      <c r="B5254" t="s">
        <v>3411</v>
      </c>
      <c r="C5254" s="1" t="str">
        <f>HYPERLINK("http://www.genecards.org/cgi-bin/carddisp.pl?gene=SLC11A1","GeneCards")</f>
        <v>GeneCards</v>
      </c>
      <c r="D5254" s="1" t="str">
        <f>HYPERLINK("http://genome-euro.ucsc.edu/cgi-bin/hgTracks?position=210422_x_at","UCSC")</f>
        <v>UCSC</v>
      </c>
      <c r="E5254" s="1" t="str">
        <f>HYPERLINK("http://www.ncbi.nlm.nih.gov/gene/?term=SLC11A1","NCBI")</f>
        <v>NCBI</v>
      </c>
      <c r="F5254">
        <v>4.9000000000000002E-2</v>
      </c>
      <c r="G5254">
        <v>0.16</v>
      </c>
      <c r="H5254" s="1" t="str">
        <f>HYPERLINK("http://www.weizmann.ac.il/complex/compphys/software/geview/data/figures/210422_x_at.png","Figure")</f>
        <v>Figure</v>
      </c>
      <c r="I5254">
        <v>1.26</v>
      </c>
      <c r="J5254">
        <v>0.04</v>
      </c>
      <c r="K5254">
        <v>1.1200000000000001</v>
      </c>
      <c r="L5254">
        <v>0.3</v>
      </c>
      <c r="M5254">
        <v>0.89</v>
      </c>
      <c r="N5254">
        <v>0.32</v>
      </c>
    </row>
    <row r="5255" spans="1:14" x14ac:dyDescent="0.25">
      <c r="A5255" t="s">
        <v>9498</v>
      </c>
      <c r="B5255" t="s">
        <v>9499</v>
      </c>
      <c r="C5255" s="1" t="str">
        <f>HYPERLINK("http://www.genecards.org/cgi-bin/carddisp.pl?gene=PDIA4","GeneCards")</f>
        <v>GeneCards</v>
      </c>
      <c r="D5255" s="1" t="str">
        <f>HYPERLINK("http://genome-euro.ucsc.edu/cgi-bin/hgTracks?position=211048_s_at","UCSC")</f>
        <v>UCSC</v>
      </c>
      <c r="E5255" s="1" t="str">
        <f>HYPERLINK("http://www.ncbi.nlm.nih.gov/gene/?term=PDIA4","NCBI")</f>
        <v>NCBI</v>
      </c>
      <c r="F5255">
        <v>4.9000000000000002E-2</v>
      </c>
      <c r="G5255">
        <v>0.16</v>
      </c>
      <c r="H5255" s="1" t="str">
        <f>HYPERLINK("http://www.weizmann.ac.il/complex/compphys/software/geview/data/figures/211048_s_at.png","Figure")</f>
        <v>Figure</v>
      </c>
      <c r="I5255">
        <v>0.78400000000000003</v>
      </c>
      <c r="J5255">
        <v>0.24</v>
      </c>
      <c r="K5255">
        <v>1.1399999999999999</v>
      </c>
      <c r="L5255">
        <v>0.57999999999999996</v>
      </c>
      <c r="M5255">
        <v>1.45</v>
      </c>
      <c r="N5255">
        <v>0.04</v>
      </c>
    </row>
    <row r="5256" spans="1:14" x14ac:dyDescent="0.25">
      <c r="A5256" t="s">
        <v>9500</v>
      </c>
      <c r="B5256" t="s">
        <v>9481</v>
      </c>
      <c r="C5256" s="1" t="str">
        <f>HYPERLINK("http://www.genecards.org/cgi-bin/carddisp.pl?gene=SSBP1","GeneCards")</f>
        <v>GeneCards</v>
      </c>
      <c r="D5256" s="1" t="str">
        <f>HYPERLINK("http://genome-euro.ucsc.edu/cgi-bin/hgTracks?position=214060_at","UCSC")</f>
        <v>UCSC</v>
      </c>
      <c r="E5256" s="1" t="str">
        <f>HYPERLINK("http://www.ncbi.nlm.nih.gov/gene/?term=SSBP1","NCBI")</f>
        <v>NCBI</v>
      </c>
      <c r="F5256">
        <v>4.9000000000000002E-2</v>
      </c>
      <c r="G5256">
        <v>0.16</v>
      </c>
      <c r="H5256" s="1" t="str">
        <f>HYPERLINK("http://www.weizmann.ac.il/complex/compphys/software/geview/data/figures/214060_at.png","Figure")</f>
        <v>Figure</v>
      </c>
      <c r="I5256">
        <v>0.625</v>
      </c>
      <c r="J5256">
        <v>0.27</v>
      </c>
      <c r="K5256">
        <v>0.498</v>
      </c>
      <c r="L5256">
        <v>4.1000000000000002E-2</v>
      </c>
      <c r="M5256">
        <v>0.79600000000000004</v>
      </c>
      <c r="N5256">
        <v>0.69</v>
      </c>
    </row>
    <row r="5257" spans="1:14" x14ac:dyDescent="0.25">
      <c r="A5257" t="s">
        <v>9501</v>
      </c>
      <c r="B5257" t="s">
        <v>9502</v>
      </c>
      <c r="C5257" s="1" t="str">
        <f>HYPERLINK("http://www.genecards.org/cgi-bin/carddisp.pl?gene=MRPS11","GeneCards")</f>
        <v>GeneCards</v>
      </c>
      <c r="D5257" s="1" t="str">
        <f>HYPERLINK("http://genome-euro.ucsc.edu/cgi-bin/hgTracks?position=211595_s_at","UCSC")</f>
        <v>UCSC</v>
      </c>
      <c r="E5257" s="1" t="str">
        <f>HYPERLINK("http://www.ncbi.nlm.nih.gov/gene/?term=MRPS11","NCBI")</f>
        <v>NCBI</v>
      </c>
      <c r="F5257">
        <v>4.9000000000000002E-2</v>
      </c>
      <c r="G5257">
        <v>0.16</v>
      </c>
      <c r="H5257" s="1" t="str">
        <f>HYPERLINK("http://www.weizmann.ac.il/complex/compphys/software/geview/data/figures/211595_s_at.png","Figure")</f>
        <v>Figure</v>
      </c>
      <c r="I5257">
        <v>1.07</v>
      </c>
      <c r="J5257">
        <v>0.78</v>
      </c>
      <c r="K5257">
        <v>1.24</v>
      </c>
      <c r="L5257">
        <v>4.9000000000000002E-2</v>
      </c>
      <c r="M5257">
        <v>1.1599999999999999</v>
      </c>
      <c r="N5257">
        <v>0.23</v>
      </c>
    </row>
    <row r="5258" spans="1:14" x14ac:dyDescent="0.25">
      <c r="A5258" t="s">
        <v>9503</v>
      </c>
      <c r="B5258" t="s">
        <v>9504</v>
      </c>
      <c r="C5258" s="1" t="str">
        <f>HYPERLINK("http://www.genecards.org/cgi-bin/carddisp.pl?gene=THUMPD1","GeneCards")</f>
        <v>GeneCards</v>
      </c>
      <c r="D5258" s="1" t="str">
        <f>HYPERLINK("http://genome-euro.ucsc.edu/cgi-bin/hgTracks?position=206555_s_at","UCSC")</f>
        <v>UCSC</v>
      </c>
      <c r="E5258" s="1" t="str">
        <f>HYPERLINK("http://www.ncbi.nlm.nih.gov/gene/?term=THUMPD1","NCBI")</f>
        <v>NCBI</v>
      </c>
      <c r="F5258">
        <v>4.9000000000000002E-2</v>
      </c>
      <c r="G5258">
        <v>0.16</v>
      </c>
      <c r="H5258" s="1" t="str">
        <f>HYPERLINK("http://www.weizmann.ac.il/complex/compphys/software/geview/data/figures/206555_s_at.png","Figure")</f>
        <v>Figure</v>
      </c>
      <c r="I5258">
        <v>0.84099999999999997</v>
      </c>
      <c r="J5258">
        <v>0.52</v>
      </c>
      <c r="K5258">
        <v>0.69</v>
      </c>
      <c r="L5258">
        <v>4.1000000000000002E-2</v>
      </c>
      <c r="M5258">
        <v>0.82099999999999995</v>
      </c>
      <c r="N5258">
        <v>0.38</v>
      </c>
    </row>
    <row r="5259" spans="1:14" x14ac:dyDescent="0.25">
      <c r="A5259" t="s">
        <v>9505</v>
      </c>
      <c r="B5259" t="s">
        <v>1786</v>
      </c>
      <c r="C5259" s="1" t="str">
        <f>HYPERLINK("http://www.genecards.org/cgi-bin/carddisp.pl?gene=RANBP1","GeneCards")</f>
        <v>GeneCards</v>
      </c>
      <c r="D5259" s="1" t="str">
        <f>HYPERLINK("http://genome-euro.ucsc.edu/cgi-bin/hgTracks?position=221915_s_at","UCSC")</f>
        <v>UCSC</v>
      </c>
      <c r="E5259" s="1" t="str">
        <f>HYPERLINK("http://www.ncbi.nlm.nih.gov/gene/?term=RANBP1","NCBI")</f>
        <v>NCBI</v>
      </c>
      <c r="F5259">
        <v>4.9000000000000002E-2</v>
      </c>
      <c r="G5259">
        <v>0.16</v>
      </c>
      <c r="H5259" s="1" t="str">
        <f>HYPERLINK("http://www.weizmann.ac.il/complex/compphys/software/geview/data/figures/221915_s_at.png","Figure")</f>
        <v>Figure</v>
      </c>
      <c r="I5259">
        <v>1.1399999999999999</v>
      </c>
      <c r="J5259">
        <v>0.04</v>
      </c>
      <c r="K5259">
        <v>1.07</v>
      </c>
      <c r="L5259">
        <v>0.3</v>
      </c>
      <c r="M5259">
        <v>0.93400000000000005</v>
      </c>
      <c r="N5259">
        <v>0.32</v>
      </c>
    </row>
    <row r="5260" spans="1:14" x14ac:dyDescent="0.25">
      <c r="A5260" t="s">
        <v>9506</v>
      </c>
      <c r="B5260" t="s">
        <v>9507</v>
      </c>
      <c r="C5260" s="1" t="str">
        <f>HYPERLINK("http://www.genecards.org/cgi-bin/carddisp.pl?gene=WDR13","GeneCards")</f>
        <v>GeneCards</v>
      </c>
      <c r="D5260" s="1" t="str">
        <f>HYPERLINK("http://genome-euro.ucsc.edu/cgi-bin/hgTracks?position=222138_s_at","UCSC")</f>
        <v>UCSC</v>
      </c>
      <c r="E5260" s="1" t="str">
        <f>HYPERLINK("http://www.ncbi.nlm.nih.gov/gene/?term=WDR13","NCBI")</f>
        <v>NCBI</v>
      </c>
      <c r="F5260">
        <v>4.9000000000000002E-2</v>
      </c>
      <c r="G5260">
        <v>0.16</v>
      </c>
      <c r="H5260" s="1" t="str">
        <f>HYPERLINK("http://www.weizmann.ac.il/complex/compphys/software/geview/data/figures/222138_s_at.png","Figure")</f>
        <v>Figure</v>
      </c>
      <c r="I5260">
        <v>0.69799999999999995</v>
      </c>
      <c r="J5260">
        <v>0.11</v>
      </c>
      <c r="K5260">
        <v>1.05</v>
      </c>
      <c r="L5260">
        <v>0.95</v>
      </c>
      <c r="M5260">
        <v>1.5</v>
      </c>
      <c r="N5260">
        <v>4.9000000000000002E-2</v>
      </c>
    </row>
    <row r="5261" spans="1:14" x14ac:dyDescent="0.25">
      <c r="A5261" t="s">
        <v>9508</v>
      </c>
      <c r="B5261" t="s">
        <v>7479</v>
      </c>
      <c r="C5261" s="1" t="str">
        <f>HYPERLINK("http://www.genecards.org/cgi-bin/carddisp.pl?gene=AGTPBP1","GeneCards")</f>
        <v>GeneCards</v>
      </c>
      <c r="D5261" s="1" t="str">
        <f>HYPERLINK("http://genome-euro.ucsc.edu/cgi-bin/hgTracks?position=204500_s_at","UCSC")</f>
        <v>UCSC</v>
      </c>
      <c r="E5261" s="1" t="str">
        <f>HYPERLINK("http://www.ncbi.nlm.nih.gov/gene/?term=AGTPBP1","NCBI")</f>
        <v>NCBI</v>
      </c>
      <c r="F5261">
        <v>0.05</v>
      </c>
      <c r="G5261">
        <v>0.16</v>
      </c>
      <c r="H5261" s="1" t="str">
        <f>HYPERLINK("http://www.weizmann.ac.il/complex/compphys/software/geview/data/figures/204500_s_at.png","Figure")</f>
        <v>Figure</v>
      </c>
      <c r="I5261">
        <v>0.56399999999999995</v>
      </c>
      <c r="J5261">
        <v>4.2000000000000003E-2</v>
      </c>
      <c r="K5261">
        <v>0.83</v>
      </c>
      <c r="L5261">
        <v>0.57999999999999996</v>
      </c>
      <c r="M5261">
        <v>1.47</v>
      </c>
      <c r="N5261">
        <v>0.16</v>
      </c>
    </row>
    <row r="5262" spans="1:14" x14ac:dyDescent="0.25">
      <c r="A5262" t="s">
        <v>9509</v>
      </c>
      <c r="B5262" t="s">
        <v>9510</v>
      </c>
      <c r="C5262" s="1" t="str">
        <f>HYPERLINK("http://www.genecards.org/cgi-bin/carddisp.pl?gene=COMMD4","GeneCards")</f>
        <v>GeneCards</v>
      </c>
      <c r="D5262" s="1" t="str">
        <f>HYPERLINK("http://genome-euro.ucsc.edu/cgi-bin/hgTracks?position=209133_s_at","UCSC")</f>
        <v>UCSC</v>
      </c>
      <c r="E5262" s="1" t="str">
        <f>HYPERLINK("http://www.ncbi.nlm.nih.gov/gene/?term=COMMD4","NCBI")</f>
        <v>NCBI</v>
      </c>
      <c r="F5262">
        <v>0.05</v>
      </c>
      <c r="G5262">
        <v>0.16</v>
      </c>
      <c r="H5262" s="1" t="str">
        <f>HYPERLINK("http://www.weizmann.ac.il/complex/compphys/software/geview/data/figures/209133_s_at.png","Figure")</f>
        <v>Figure</v>
      </c>
      <c r="I5262">
        <v>1.19</v>
      </c>
      <c r="J5262">
        <v>5.2999999999999999E-2</v>
      </c>
      <c r="K5262">
        <v>1.03</v>
      </c>
      <c r="L5262">
        <v>0.86</v>
      </c>
      <c r="M5262">
        <v>0.86899999999999999</v>
      </c>
      <c r="N5262">
        <v>9.2999999999999999E-2</v>
      </c>
    </row>
    <row r="5263" spans="1:14" x14ac:dyDescent="0.25">
      <c r="A5263" t="s">
        <v>9511</v>
      </c>
      <c r="B5263" t="s">
        <v>9512</v>
      </c>
      <c r="C5263" s="1" t="str">
        <f>HYPERLINK("http://www.genecards.org/cgi-bin/carddisp.pl?gene=CAMKK2","GeneCards")</f>
        <v>GeneCards</v>
      </c>
      <c r="D5263" s="1" t="str">
        <f>HYPERLINK("http://genome-euro.ucsc.edu/cgi-bin/hgTracks?position=213812_s_at","UCSC")</f>
        <v>UCSC</v>
      </c>
      <c r="E5263" s="1" t="str">
        <f>HYPERLINK("http://www.ncbi.nlm.nih.gov/gene/?term=CAMKK2","NCBI")</f>
        <v>NCBI</v>
      </c>
      <c r="F5263">
        <v>0.05</v>
      </c>
      <c r="G5263">
        <v>0.16</v>
      </c>
      <c r="H5263" s="1" t="str">
        <f>HYPERLINK("http://www.weizmann.ac.il/complex/compphys/software/geview/data/figures/213812_s_at.png","Figure")</f>
        <v>Figure</v>
      </c>
      <c r="I5263">
        <v>0.94899999999999995</v>
      </c>
      <c r="J5263">
        <v>0.91</v>
      </c>
      <c r="K5263">
        <v>1.27</v>
      </c>
      <c r="L5263">
        <v>0.12</v>
      </c>
      <c r="M5263">
        <v>1.34</v>
      </c>
      <c r="N5263">
        <v>7.0999999999999994E-2</v>
      </c>
    </row>
    <row r="5264" spans="1:14" x14ac:dyDescent="0.25">
      <c r="A5264" t="s">
        <v>9513</v>
      </c>
      <c r="B5264" t="s">
        <v>9514</v>
      </c>
      <c r="C5264" s="1" t="str">
        <f>HYPERLINK("http://www.genecards.org/cgi-bin/carddisp.pl?gene=TSPAN14","GeneCards")</f>
        <v>GeneCards</v>
      </c>
      <c r="D5264" s="1" t="str">
        <f>HYPERLINK("http://genome-euro.ucsc.edu/cgi-bin/hgTracks?position=221002_s_at","UCSC")</f>
        <v>UCSC</v>
      </c>
      <c r="E5264" s="1" t="str">
        <f>HYPERLINK("http://www.ncbi.nlm.nih.gov/gene/?term=TSPAN14","NCBI")</f>
        <v>NCBI</v>
      </c>
      <c r="F5264">
        <v>0.05</v>
      </c>
      <c r="G5264">
        <v>0.16</v>
      </c>
      <c r="H5264" s="1" t="str">
        <f>HYPERLINK("http://www.weizmann.ac.il/complex/compphys/software/geview/data/figures/221002_s_at.png","Figure")</f>
        <v>Figure</v>
      </c>
      <c r="I5264">
        <v>0.92900000000000005</v>
      </c>
      <c r="J5264">
        <v>0.89</v>
      </c>
      <c r="K5264">
        <v>0.69899999999999995</v>
      </c>
      <c r="L5264">
        <v>5.6000000000000001E-2</v>
      </c>
      <c r="M5264">
        <v>0.752</v>
      </c>
      <c r="N5264">
        <v>0.17</v>
      </c>
    </row>
    <row r="5265" spans="1:14" x14ac:dyDescent="0.25">
      <c r="A5265" t="s">
        <v>9515</v>
      </c>
      <c r="B5265" t="s">
        <v>9516</v>
      </c>
      <c r="C5265" s="1" t="str">
        <f>HYPERLINK("http://www.genecards.org/cgi-bin/carddisp.pl?gene=DHX40","GeneCards")</f>
        <v>GeneCards</v>
      </c>
      <c r="D5265" s="1" t="str">
        <f>HYPERLINK("http://genome-euro.ucsc.edu/cgi-bin/hgTracks?position=218277_s_at","UCSC")</f>
        <v>UCSC</v>
      </c>
      <c r="E5265" s="1" t="str">
        <f>HYPERLINK("http://www.ncbi.nlm.nih.gov/gene/?term=DHX40","NCBI")</f>
        <v>NCBI</v>
      </c>
      <c r="F5265">
        <v>0.05</v>
      </c>
      <c r="G5265">
        <v>0.16</v>
      </c>
      <c r="H5265" s="1" t="str">
        <f>HYPERLINK("http://www.weizmann.ac.il/complex/compphys/software/geview/data/figures/218277_s_at.png","Figure")</f>
        <v>Figure</v>
      </c>
      <c r="I5265">
        <v>0.64800000000000002</v>
      </c>
      <c r="J5265">
        <v>0.23</v>
      </c>
      <c r="K5265">
        <v>0.55300000000000005</v>
      </c>
      <c r="L5265">
        <v>4.2000000000000003E-2</v>
      </c>
      <c r="M5265">
        <v>0.85399999999999998</v>
      </c>
      <c r="N5265">
        <v>0.78</v>
      </c>
    </row>
    <row r="5266" spans="1:14" x14ac:dyDescent="0.25">
      <c r="A5266" t="s">
        <v>9517</v>
      </c>
      <c r="B5266" t="s">
        <v>4851</v>
      </c>
      <c r="C5266" s="1" t="str">
        <f>HYPERLINK("http://www.genecards.org/cgi-bin/carddisp.pl?gene=INSIG1","GeneCards")</f>
        <v>GeneCards</v>
      </c>
      <c r="D5266" s="1" t="str">
        <f>HYPERLINK("http://genome-euro.ucsc.edu/cgi-bin/hgTracks?position=201625_s_at","UCSC")</f>
        <v>UCSC</v>
      </c>
      <c r="E5266" s="1" t="str">
        <f>HYPERLINK("http://www.ncbi.nlm.nih.gov/gene/?term=INSIG1","NCBI")</f>
        <v>NCBI</v>
      </c>
      <c r="F5266">
        <v>0.05</v>
      </c>
      <c r="G5266">
        <v>0.16</v>
      </c>
      <c r="H5266" s="1" t="str">
        <f>HYPERLINK("http://www.weizmann.ac.il/complex/compphys/software/geview/data/figures/201625_s_at.png","Figure")</f>
        <v>Figure</v>
      </c>
      <c r="I5266">
        <v>1.63</v>
      </c>
      <c r="J5266">
        <v>4.4999999999999998E-2</v>
      </c>
      <c r="K5266">
        <v>1.34</v>
      </c>
      <c r="L5266">
        <v>0.19</v>
      </c>
      <c r="M5266">
        <v>0.82299999999999995</v>
      </c>
      <c r="N5266">
        <v>0.5</v>
      </c>
    </row>
    <row r="5267" spans="1:14" x14ac:dyDescent="0.25">
      <c r="A5267" t="s">
        <v>9518</v>
      </c>
      <c r="B5267" t="s">
        <v>9519</v>
      </c>
      <c r="C5267" s="1" t="str">
        <f>HYPERLINK("http://www.genecards.org/cgi-bin/carddisp.pl?gene=TNNI2","GeneCards")</f>
        <v>GeneCards</v>
      </c>
      <c r="D5267" s="1" t="str">
        <f>HYPERLINK("http://genome-euro.ucsc.edu/cgi-bin/hgTracks?position=206393_at","UCSC")</f>
        <v>UCSC</v>
      </c>
      <c r="E5267" s="1" t="str">
        <f>HYPERLINK("http://www.ncbi.nlm.nih.gov/gene/?term=TNNI2","NCBI")</f>
        <v>NCBI</v>
      </c>
      <c r="F5267">
        <v>0.05</v>
      </c>
      <c r="G5267">
        <v>0.16</v>
      </c>
      <c r="H5267" s="1" t="str">
        <f>HYPERLINK("http://www.weizmann.ac.il/complex/compphys/software/geview/data/figures/206393_at.png","Figure")</f>
        <v>Figure</v>
      </c>
      <c r="I5267">
        <v>0.83899999999999997</v>
      </c>
      <c r="J5267">
        <v>9.8000000000000004E-2</v>
      </c>
      <c r="K5267">
        <v>1.01</v>
      </c>
      <c r="L5267">
        <v>0.98</v>
      </c>
      <c r="M5267">
        <v>1.21</v>
      </c>
      <c r="N5267">
        <v>5.1999999999999998E-2</v>
      </c>
    </row>
    <row r="5268" spans="1:14" x14ac:dyDescent="0.25">
      <c r="A5268" t="s">
        <v>9520</v>
      </c>
      <c r="B5268" t="s">
        <v>3964</v>
      </c>
      <c r="C5268" s="1" t="str">
        <f>HYPERLINK("http://www.genecards.org/cgi-bin/carddisp.pl?gene=TRIO","GeneCards")</f>
        <v>GeneCards</v>
      </c>
      <c r="D5268" s="1" t="str">
        <f>HYPERLINK("http://genome-euro.ucsc.edu/cgi-bin/hgTracks?position=208178_x_at","UCSC")</f>
        <v>UCSC</v>
      </c>
      <c r="E5268" s="1" t="str">
        <f>HYPERLINK("http://www.ncbi.nlm.nih.gov/gene/?term=TRIO","NCBI")</f>
        <v>NCBI</v>
      </c>
      <c r="F5268">
        <v>0.05</v>
      </c>
      <c r="G5268">
        <v>0.16</v>
      </c>
      <c r="H5268" s="1" t="str">
        <f>HYPERLINK("http://www.weizmann.ac.il/complex/compphys/software/geview/data/figures/208178_x_at.png","Figure")</f>
        <v>Figure</v>
      </c>
      <c r="I5268">
        <v>1.39</v>
      </c>
      <c r="J5268">
        <v>0.27</v>
      </c>
      <c r="K5268">
        <v>0.82799999999999996</v>
      </c>
      <c r="L5268">
        <v>0.54</v>
      </c>
      <c r="M5268">
        <v>0.59799999999999998</v>
      </c>
      <c r="N5268">
        <v>0.04</v>
      </c>
    </row>
    <row r="5269" spans="1:14" x14ac:dyDescent="0.25">
      <c r="A5269" t="s">
        <v>9521</v>
      </c>
      <c r="B5269" t="s">
        <v>9522</v>
      </c>
      <c r="C5269" s="1" t="str">
        <f>HYPERLINK("http://www.genecards.org/cgi-bin/carddisp.pl?gene=SDF2L1","GeneCards")</f>
        <v>GeneCards</v>
      </c>
      <c r="D5269" s="1" t="str">
        <f>HYPERLINK("http://genome-euro.ucsc.edu/cgi-bin/hgTracks?position=218681_s_at","UCSC")</f>
        <v>UCSC</v>
      </c>
      <c r="E5269" s="1" t="str">
        <f>HYPERLINK("http://www.ncbi.nlm.nih.gov/gene/?term=SDF2L1","NCBI")</f>
        <v>NCBI</v>
      </c>
      <c r="F5269">
        <v>0.05</v>
      </c>
      <c r="G5269">
        <v>0.16</v>
      </c>
      <c r="H5269" s="1" t="str">
        <f>HYPERLINK("http://www.weizmann.ac.il/complex/compphys/software/geview/data/figures/218681_s_at.png","Figure")</f>
        <v>Figure</v>
      </c>
      <c r="I5269">
        <v>1.07</v>
      </c>
      <c r="J5269">
        <v>0.88</v>
      </c>
      <c r="K5269">
        <v>1.39</v>
      </c>
      <c r="L5269">
        <v>5.5E-2</v>
      </c>
      <c r="M5269">
        <v>1.29</v>
      </c>
      <c r="N5269">
        <v>0.18</v>
      </c>
    </row>
    <row r="5270" spans="1:14" x14ac:dyDescent="0.25">
      <c r="A5270" t="s">
        <v>9523</v>
      </c>
      <c r="B5270" t="s">
        <v>9524</v>
      </c>
      <c r="C5270" s="1" t="str">
        <f>HYPERLINK("http://www.genecards.org/cgi-bin/carddisp.pl?gene=LMAN1L","GeneCards")</f>
        <v>GeneCards</v>
      </c>
      <c r="D5270" s="1" t="str">
        <f>HYPERLINK("http://genome-euro.ucsc.edu/cgi-bin/hgTracks?position=220420_at","UCSC")</f>
        <v>UCSC</v>
      </c>
      <c r="E5270" s="1" t="str">
        <f>HYPERLINK("http://www.ncbi.nlm.nih.gov/gene/?term=LMAN1L","NCBI")</f>
        <v>NCBI</v>
      </c>
      <c r="F5270">
        <v>0.05</v>
      </c>
      <c r="G5270">
        <v>0.16</v>
      </c>
      <c r="H5270" s="1" t="str">
        <f>HYPERLINK("http://www.weizmann.ac.il/complex/compphys/software/geview/data/figures/220420_at.png","Figure")</f>
        <v>Figure</v>
      </c>
      <c r="I5270">
        <v>1.17</v>
      </c>
      <c r="J5270">
        <v>8.3000000000000004E-2</v>
      </c>
      <c r="K5270">
        <v>1.1499999999999999</v>
      </c>
      <c r="L5270">
        <v>7.0999999999999994E-2</v>
      </c>
      <c r="M5270">
        <v>0.98599999999999999</v>
      </c>
      <c r="N5270">
        <v>0.97</v>
      </c>
    </row>
    <row r="5271" spans="1:14" x14ac:dyDescent="0.25">
      <c r="A5271" t="s">
        <v>9525</v>
      </c>
      <c r="B5271" t="s">
        <v>1451</v>
      </c>
      <c r="C5271" s="1" t="str">
        <f>HYPERLINK("http://www.genecards.org/cgi-bin/carddisp.pl?gene=ACTB","GeneCards")</f>
        <v>GeneCards</v>
      </c>
      <c r="D5271" s="1" t="str">
        <f>HYPERLINK("http://genome-euro.ucsc.edu/cgi-bin/hgTracks?position=200801_x_at","UCSC")</f>
        <v>UCSC</v>
      </c>
      <c r="E5271" s="1" t="str">
        <f>HYPERLINK("http://www.ncbi.nlm.nih.gov/gene/?term=ACTB","NCBI")</f>
        <v>NCBI</v>
      </c>
      <c r="F5271">
        <v>0.05</v>
      </c>
      <c r="G5271">
        <v>0.16</v>
      </c>
      <c r="H5271" s="1" t="str">
        <f>HYPERLINK("http://www.weizmann.ac.il/complex/compphys/software/geview/data/figures/200801_x_at.png","Figure")</f>
        <v>Figure</v>
      </c>
      <c r="I5271">
        <v>1.26</v>
      </c>
      <c r="J5271">
        <v>0.51</v>
      </c>
      <c r="K5271">
        <v>1.62</v>
      </c>
      <c r="L5271">
        <v>4.1000000000000002E-2</v>
      </c>
      <c r="M5271">
        <v>1.29</v>
      </c>
      <c r="N5271">
        <v>0.4</v>
      </c>
    </row>
    <row r="5272" spans="1:14" x14ac:dyDescent="0.25">
      <c r="A5272" t="s">
        <v>9526</v>
      </c>
      <c r="B5272" t="s">
        <v>9527</v>
      </c>
      <c r="C5272" s="1" t="str">
        <f>HYPERLINK("http://www.genecards.org/cgi-bin/carddisp.pl?gene=SETD1A","GeneCards")</f>
        <v>GeneCards</v>
      </c>
      <c r="D5272" s="1" t="str">
        <f>HYPERLINK("http://genome-euro.ucsc.edu/cgi-bin/hgTracks?position=213202_at","UCSC")</f>
        <v>UCSC</v>
      </c>
      <c r="E5272" s="1" t="str">
        <f>HYPERLINK("http://www.ncbi.nlm.nih.gov/gene/?term=SETD1A","NCBI")</f>
        <v>NCBI</v>
      </c>
      <c r="F5272">
        <v>0.05</v>
      </c>
      <c r="G5272">
        <v>0.16</v>
      </c>
      <c r="H5272" s="1" t="str">
        <f>HYPERLINK("http://www.weizmann.ac.il/complex/compphys/software/geview/data/figures/213202_at.png","Figure")</f>
        <v>Figure</v>
      </c>
      <c r="I5272">
        <v>1.32</v>
      </c>
      <c r="J5272">
        <v>5.6000000000000001E-2</v>
      </c>
      <c r="K5272">
        <v>1.04</v>
      </c>
      <c r="L5272">
        <v>0.89</v>
      </c>
      <c r="M5272">
        <v>0.79100000000000004</v>
      </c>
      <c r="N5272">
        <v>8.6999999999999994E-2</v>
      </c>
    </row>
    <row r="5273" spans="1:14" x14ac:dyDescent="0.25">
      <c r="A5273" t="s">
        <v>9528</v>
      </c>
      <c r="B5273" t="s">
        <v>5734</v>
      </c>
      <c r="C5273" s="1" t="str">
        <f>HYPERLINK("http://www.genecards.org/cgi-bin/carddisp.pl?gene=RPS11","GeneCards")</f>
        <v>GeneCards</v>
      </c>
      <c r="D5273" s="1" t="str">
        <f>HYPERLINK("http://genome-euro.ucsc.edu/cgi-bin/hgTracks?position=200031_s_at","UCSC")</f>
        <v>UCSC</v>
      </c>
      <c r="E5273" s="1" t="str">
        <f>HYPERLINK("http://www.ncbi.nlm.nih.gov/gene/?term=RPS11","NCBI")</f>
        <v>NCBI</v>
      </c>
      <c r="F5273">
        <v>0.05</v>
      </c>
      <c r="G5273">
        <v>0.16</v>
      </c>
      <c r="H5273" s="1" t="str">
        <f>HYPERLINK("http://www.weizmann.ac.il/complex/compphys/software/geview/data/figures/200031_s_at.png","Figure")</f>
        <v>Figure</v>
      </c>
      <c r="I5273">
        <v>1.22</v>
      </c>
      <c r="J5273">
        <v>6.9000000000000006E-2</v>
      </c>
      <c r="K5273">
        <v>1.18</v>
      </c>
      <c r="L5273">
        <v>8.6999999999999994E-2</v>
      </c>
      <c r="M5273">
        <v>0.96599999999999997</v>
      </c>
      <c r="N5273">
        <v>0.89</v>
      </c>
    </row>
    <row r="5274" spans="1:14" x14ac:dyDescent="0.25">
      <c r="A5274" t="s">
        <v>9529</v>
      </c>
      <c r="B5274" t="s">
        <v>9530</v>
      </c>
      <c r="C5274" s="1" t="str">
        <f>HYPERLINK("http://www.genecards.org/cgi-bin/carddisp.pl?gene=RPS6KB1","GeneCards")</f>
        <v>GeneCards</v>
      </c>
      <c r="D5274" s="1" t="str">
        <f>HYPERLINK("http://genome-euro.ucsc.edu/cgi-bin/hgTracks?position=204171_at","UCSC")</f>
        <v>UCSC</v>
      </c>
      <c r="E5274" s="1" t="str">
        <f>HYPERLINK("http://www.ncbi.nlm.nih.gov/gene/?term=RPS6KB1","NCBI")</f>
        <v>NCBI</v>
      </c>
      <c r="F5274">
        <v>0.05</v>
      </c>
      <c r="G5274">
        <v>0.16</v>
      </c>
      <c r="H5274" s="1" t="str">
        <f>HYPERLINK("http://www.weizmann.ac.il/complex/compphys/software/geview/data/figures/204171_at.png","Figure")</f>
        <v>Figure</v>
      </c>
      <c r="I5274">
        <v>0.55100000000000005</v>
      </c>
      <c r="J5274">
        <v>0.12</v>
      </c>
      <c r="K5274">
        <v>0.53400000000000003</v>
      </c>
      <c r="L5274">
        <v>5.5E-2</v>
      </c>
      <c r="M5274">
        <v>0.97</v>
      </c>
      <c r="N5274">
        <v>0.99</v>
      </c>
    </row>
    <row r="5275" spans="1:14" x14ac:dyDescent="0.25">
      <c r="A5275" t="s">
        <v>9531</v>
      </c>
      <c r="B5275" t="s">
        <v>4996</v>
      </c>
      <c r="C5275" s="1" t="str">
        <f>HYPERLINK("http://www.genecards.org/cgi-bin/carddisp.pl?gene=APLP2","GeneCards")</f>
        <v>GeneCards</v>
      </c>
      <c r="D5275" s="1" t="str">
        <f>HYPERLINK("http://genome-euro.ucsc.edu/cgi-bin/hgTracks?position=208703_s_at","UCSC")</f>
        <v>UCSC</v>
      </c>
      <c r="E5275" s="1" t="str">
        <f>HYPERLINK("http://www.ncbi.nlm.nih.gov/gene/?term=APLP2","NCBI")</f>
        <v>NCBI</v>
      </c>
      <c r="F5275">
        <v>0.05</v>
      </c>
      <c r="G5275">
        <v>0.16</v>
      </c>
      <c r="H5275" s="1" t="str">
        <f>HYPERLINK("http://www.weizmann.ac.il/complex/compphys/software/geview/data/figures/208703_s_at.png","Figure")</f>
        <v>Figure</v>
      </c>
      <c r="I5275">
        <v>0.60499999999999998</v>
      </c>
      <c r="J5275">
        <v>5.6000000000000001E-2</v>
      </c>
      <c r="K5275">
        <v>0.69199999999999995</v>
      </c>
      <c r="L5275">
        <v>0.12</v>
      </c>
      <c r="M5275">
        <v>1.1499999999999999</v>
      </c>
      <c r="N5275">
        <v>0.74</v>
      </c>
    </row>
    <row r="5276" spans="1:14" x14ac:dyDescent="0.25">
      <c r="A5276" t="s">
        <v>9532</v>
      </c>
      <c r="B5276" t="s">
        <v>1155</v>
      </c>
      <c r="C5276" s="1" t="str">
        <f>HYPERLINK("http://www.genecards.org/cgi-bin/carddisp.pl?gene=AKAP1","GeneCards")</f>
        <v>GeneCards</v>
      </c>
      <c r="D5276" s="1" t="str">
        <f>HYPERLINK("http://genome-euro.ucsc.edu/cgi-bin/hgTracks?position=210626_at","UCSC")</f>
        <v>UCSC</v>
      </c>
      <c r="E5276" s="1" t="str">
        <f>HYPERLINK("http://www.ncbi.nlm.nih.gov/gene/?term=AKAP1","NCBI")</f>
        <v>NCBI</v>
      </c>
      <c r="F5276">
        <v>0.05</v>
      </c>
      <c r="G5276">
        <v>0.16</v>
      </c>
      <c r="H5276" s="1" t="str">
        <f>HYPERLINK("http://www.weizmann.ac.il/complex/compphys/software/geview/data/figures/210626_at.png","Figure")</f>
        <v>Figure</v>
      </c>
      <c r="I5276">
        <v>1.2</v>
      </c>
      <c r="J5276">
        <v>4.1000000000000002E-2</v>
      </c>
      <c r="K5276">
        <v>1.0900000000000001</v>
      </c>
      <c r="L5276">
        <v>0.28999999999999998</v>
      </c>
      <c r="M5276">
        <v>0.91400000000000003</v>
      </c>
      <c r="N5276">
        <v>0.33</v>
      </c>
    </row>
    <row r="5277" spans="1:14" x14ac:dyDescent="0.25">
      <c r="A5277" t="s">
        <v>9533</v>
      </c>
      <c r="B5277" t="s">
        <v>6064</v>
      </c>
      <c r="C5277" s="1" t="str">
        <f>HYPERLINK("http://www.genecards.org/cgi-bin/carddisp.pl?gene=MED27","GeneCards")</f>
        <v>GeneCards</v>
      </c>
      <c r="D5277" s="1" t="str">
        <f>HYPERLINK("http://genome-euro.ucsc.edu/cgi-bin/hgTracks?position=215371_at","UCSC")</f>
        <v>UCSC</v>
      </c>
      <c r="E5277" s="1" t="str">
        <f>HYPERLINK("http://www.ncbi.nlm.nih.gov/gene/?term=MED27","NCBI")</f>
        <v>NCBI</v>
      </c>
      <c r="F5277">
        <v>0.05</v>
      </c>
      <c r="G5277">
        <v>0.16</v>
      </c>
      <c r="H5277" s="1" t="str">
        <f>HYPERLINK("http://www.weizmann.ac.il/complex/compphys/software/geview/data/figures/215371_at.png","Figure")</f>
        <v>Figure</v>
      </c>
      <c r="I5277">
        <v>1.29</v>
      </c>
      <c r="J5277">
        <v>0.04</v>
      </c>
      <c r="K5277">
        <v>1.1200000000000001</v>
      </c>
      <c r="L5277">
        <v>0.37</v>
      </c>
      <c r="M5277">
        <v>0.86799999999999999</v>
      </c>
      <c r="N5277">
        <v>0.27</v>
      </c>
    </row>
    <row r="5278" spans="1:14" x14ac:dyDescent="0.25">
      <c r="A5278" t="s">
        <v>9534</v>
      </c>
      <c r="B5278" t="s">
        <v>1616</v>
      </c>
      <c r="C5278" s="1" t="str">
        <f>HYPERLINK("http://www.genecards.org/cgi-bin/carddisp.pl?gene=NCR2","GeneCards")</f>
        <v>GeneCards</v>
      </c>
      <c r="D5278" s="1" t="str">
        <f>HYPERLINK("http://genome-euro.ucsc.edu/cgi-bin/hgTracks?position=217493_x_at","UCSC")</f>
        <v>UCSC</v>
      </c>
      <c r="E5278" s="1" t="str">
        <f>HYPERLINK("http://www.ncbi.nlm.nih.gov/gene/?term=NCR2","NCBI")</f>
        <v>NCBI</v>
      </c>
      <c r="F5278">
        <v>0.05</v>
      </c>
      <c r="G5278">
        <v>0.16</v>
      </c>
      <c r="H5278" s="1" t="str">
        <f>HYPERLINK("http://www.weizmann.ac.il/complex/compphys/software/geview/data/figures/217493_x_at.png","Figure")</f>
        <v>Figure</v>
      </c>
      <c r="I5278">
        <v>1.3</v>
      </c>
      <c r="J5278">
        <v>5.0999999999999997E-2</v>
      </c>
      <c r="K5278">
        <v>1.06</v>
      </c>
      <c r="L5278">
        <v>0.81</v>
      </c>
      <c r="M5278">
        <v>0.81200000000000006</v>
      </c>
      <c r="N5278">
        <v>0.1</v>
      </c>
    </row>
    <row r="5279" spans="1:14" x14ac:dyDescent="0.25">
      <c r="A5279" t="s">
        <v>9535</v>
      </c>
      <c r="B5279" t="s">
        <v>9536</v>
      </c>
      <c r="C5279" s="1" t="str">
        <f>HYPERLINK("http://www.genecards.org/cgi-bin/carddisp.pl?gene=TULP4","GeneCards")</f>
        <v>GeneCards</v>
      </c>
      <c r="D5279" s="1" t="str">
        <f>HYPERLINK("http://genome-euro.ucsc.edu/cgi-bin/hgTracks?position=218184_at","UCSC")</f>
        <v>UCSC</v>
      </c>
      <c r="E5279" s="1" t="str">
        <f>HYPERLINK("http://www.ncbi.nlm.nih.gov/gene/?term=TULP4","NCBI")</f>
        <v>NCBI</v>
      </c>
      <c r="F5279">
        <v>0.05</v>
      </c>
      <c r="G5279">
        <v>0.16</v>
      </c>
      <c r="H5279" s="1" t="str">
        <f>HYPERLINK("http://www.weizmann.ac.il/complex/compphys/software/geview/data/figures/218184_at.png","Figure")</f>
        <v>Figure</v>
      </c>
      <c r="I5279">
        <v>1.01</v>
      </c>
      <c r="J5279">
        <v>0.99</v>
      </c>
      <c r="K5279">
        <v>1.31</v>
      </c>
      <c r="L5279">
        <v>7.3999999999999996E-2</v>
      </c>
      <c r="M5279">
        <v>1.29</v>
      </c>
      <c r="N5279">
        <v>0.12</v>
      </c>
    </row>
    <row r="5280" spans="1:14" x14ac:dyDescent="0.25">
      <c r="A5280" t="s">
        <v>9537</v>
      </c>
      <c r="B5280" t="s">
        <v>9538</v>
      </c>
      <c r="C5280" s="1" t="str">
        <f>HYPERLINK("http://www.genecards.org/cgi-bin/carddisp.pl?gene=EXOC2","GeneCards")</f>
        <v>GeneCards</v>
      </c>
      <c r="D5280" s="1" t="str">
        <f>HYPERLINK("http://genome-euro.ucsc.edu/cgi-bin/hgTracks?position=219349_s_at","UCSC")</f>
        <v>UCSC</v>
      </c>
      <c r="E5280" s="1" t="str">
        <f>HYPERLINK("http://www.ncbi.nlm.nih.gov/gene/?term=EXOC2","NCBI")</f>
        <v>NCBI</v>
      </c>
      <c r="F5280">
        <v>0.05</v>
      </c>
      <c r="G5280">
        <v>0.16</v>
      </c>
      <c r="H5280" s="1" t="str">
        <f>HYPERLINK("http://www.weizmann.ac.il/complex/compphys/software/geview/data/figures/219349_s_at.png","Figure")</f>
        <v>Figure</v>
      </c>
      <c r="I5280">
        <v>0.68700000000000006</v>
      </c>
      <c r="J5280">
        <v>8.3000000000000004E-2</v>
      </c>
      <c r="K5280">
        <v>1.01</v>
      </c>
      <c r="L5280">
        <v>1</v>
      </c>
      <c r="M5280">
        <v>1.47</v>
      </c>
      <c r="N5280">
        <v>5.8000000000000003E-2</v>
      </c>
    </row>
    <row r="5281" spans="1:14" x14ac:dyDescent="0.25">
      <c r="A5281" t="s">
        <v>9539</v>
      </c>
      <c r="B5281" t="s">
        <v>9540</v>
      </c>
      <c r="C5281" s="1" t="str">
        <f>HYPERLINK("http://www.genecards.org/cgi-bin/carddisp.pl?gene=C4A /// C4B /// LOC100292046 /// LOC100294156","GeneCards")</f>
        <v>GeneCards</v>
      </c>
      <c r="D5281" s="1" t="str">
        <f>HYPERLINK("http://genome-euro.ucsc.edu/cgi-bin/hgTracks?position=208451_s_at","UCSC")</f>
        <v>UCSC</v>
      </c>
      <c r="E5281" s="1" t="str">
        <f>HYPERLINK("http://www.ncbi.nlm.nih.gov/gene/?term=C4A /// C4B /// LOC100292046 /// LOC100294156","NCBI")</f>
        <v>NCBI</v>
      </c>
      <c r="F5281">
        <v>0.05</v>
      </c>
      <c r="G5281">
        <v>0.16</v>
      </c>
      <c r="H5281" s="1" t="str">
        <f>HYPERLINK("http://www.weizmann.ac.il/complex/compphys/software/geview/data/figures/208451_s_at.png","Figure")</f>
        <v>Figure</v>
      </c>
      <c r="I5281">
        <v>1.22</v>
      </c>
      <c r="J5281">
        <v>4.2999999999999997E-2</v>
      </c>
      <c r="K5281">
        <v>1.07</v>
      </c>
      <c r="L5281">
        <v>0.56999999999999995</v>
      </c>
      <c r="M5281">
        <v>0.877</v>
      </c>
      <c r="N5281">
        <v>0.16</v>
      </c>
    </row>
    <row r="5282" spans="1:14" x14ac:dyDescent="0.25">
      <c r="A5282" t="s">
        <v>9541</v>
      </c>
      <c r="B5282" t="s">
        <v>9542</v>
      </c>
      <c r="C5282" s="1" t="str">
        <f>HYPERLINK("http://www.genecards.org/cgi-bin/carddisp.pl?gene=TMPRSS6","GeneCards")</f>
        <v>GeneCards</v>
      </c>
      <c r="D5282" s="1" t="str">
        <f>HYPERLINK("http://genome-euro.ucsc.edu/cgi-bin/hgTracks?position=214955_at","UCSC")</f>
        <v>UCSC</v>
      </c>
      <c r="E5282" s="1" t="str">
        <f>HYPERLINK("http://www.ncbi.nlm.nih.gov/gene/?term=TMPRSS6","NCBI")</f>
        <v>NCBI</v>
      </c>
      <c r="F5282">
        <v>0.05</v>
      </c>
      <c r="G5282">
        <v>0.16</v>
      </c>
      <c r="H5282" s="1" t="str">
        <f>HYPERLINK("http://www.weizmann.ac.il/complex/compphys/software/geview/data/figures/214955_at.png","Figure")</f>
        <v>Figure</v>
      </c>
      <c r="I5282">
        <v>1.37</v>
      </c>
      <c r="J5282">
        <v>4.1000000000000002E-2</v>
      </c>
      <c r="K5282">
        <v>1.17</v>
      </c>
      <c r="L5282">
        <v>0.27</v>
      </c>
      <c r="M5282">
        <v>0.86</v>
      </c>
      <c r="N5282">
        <v>0.36</v>
      </c>
    </row>
    <row r="5283" spans="1:14" x14ac:dyDescent="0.25">
      <c r="A5283" t="s">
        <v>9543</v>
      </c>
      <c r="B5283" t="s">
        <v>2091</v>
      </c>
      <c r="C5283" s="1" t="str">
        <f>HYPERLINK("http://www.genecards.org/cgi-bin/carddisp.pl?gene=PRMT2","GeneCards")</f>
        <v>GeneCards</v>
      </c>
      <c r="D5283" s="1" t="str">
        <f>HYPERLINK("http://genome-euro.ucsc.edu/cgi-bin/hgTracks?position=202098_s_at","UCSC")</f>
        <v>UCSC</v>
      </c>
      <c r="E5283" s="1" t="str">
        <f>HYPERLINK("http://www.ncbi.nlm.nih.gov/gene/?term=PRMT2","NCBI")</f>
        <v>NCBI</v>
      </c>
      <c r="F5283">
        <v>0.05</v>
      </c>
      <c r="G5283">
        <v>0.16</v>
      </c>
      <c r="H5283" s="1" t="str">
        <f>HYPERLINK("http://www.weizmann.ac.il/complex/compphys/software/geview/data/figures/202098_s_at.png","Figure")</f>
        <v>Figure</v>
      </c>
      <c r="I5283">
        <v>0.76200000000000001</v>
      </c>
      <c r="J5283">
        <v>0.25</v>
      </c>
      <c r="K5283">
        <v>1.1599999999999999</v>
      </c>
      <c r="L5283">
        <v>0.57999999999999996</v>
      </c>
      <c r="M5283">
        <v>1.52</v>
      </c>
      <c r="N5283">
        <v>0.04</v>
      </c>
    </row>
    <row r="5284" spans="1:14" x14ac:dyDescent="0.25">
      <c r="A5284" t="s">
        <v>9544</v>
      </c>
      <c r="B5284" t="s">
        <v>9545</v>
      </c>
      <c r="C5284" s="1" t="str">
        <f>HYPERLINK("http://www.genecards.org/cgi-bin/carddisp.pl?gene=ASIP","GeneCards")</f>
        <v>GeneCards</v>
      </c>
      <c r="D5284" s="1" t="str">
        <f>HYPERLINK("http://genome-euro.ucsc.edu/cgi-bin/hgTracks?position=214498_at","UCSC")</f>
        <v>UCSC</v>
      </c>
      <c r="E5284" s="1" t="str">
        <f>HYPERLINK("http://www.ncbi.nlm.nih.gov/gene/?term=ASIP","NCBI")</f>
        <v>NCBI</v>
      </c>
      <c r="F5284">
        <v>0.05</v>
      </c>
      <c r="G5284">
        <v>0.16</v>
      </c>
      <c r="H5284" s="1" t="str">
        <f>HYPERLINK("http://www.weizmann.ac.il/complex/compphys/software/geview/data/figures/214498_at.png","Figure")</f>
        <v>Figure</v>
      </c>
      <c r="I5284">
        <v>1.07</v>
      </c>
      <c r="J5284">
        <v>0.34</v>
      </c>
      <c r="K5284">
        <v>1.1299999999999999</v>
      </c>
      <c r="L5284">
        <v>0.04</v>
      </c>
      <c r="M5284">
        <v>1.05</v>
      </c>
      <c r="N5284">
        <v>0.57999999999999996</v>
      </c>
    </row>
    <row r="5285" spans="1:14" x14ac:dyDescent="0.25">
      <c r="A5285" t="s">
        <v>9546</v>
      </c>
      <c r="B5285" t="s">
        <v>9547</v>
      </c>
      <c r="C5285" s="1" t="str">
        <f>HYPERLINK("http://www.genecards.org/cgi-bin/carddisp.pl?gene=GPR171","GeneCards")</f>
        <v>GeneCards</v>
      </c>
      <c r="D5285" s="1" t="str">
        <f>HYPERLINK("http://genome-euro.ucsc.edu/cgi-bin/hgTracks?position=207651_at","UCSC")</f>
        <v>UCSC</v>
      </c>
      <c r="E5285" s="1" t="str">
        <f>HYPERLINK("http://www.ncbi.nlm.nih.gov/gene/?term=GPR171","NCBI")</f>
        <v>NCBI</v>
      </c>
      <c r="F5285">
        <v>0.05</v>
      </c>
      <c r="G5285">
        <v>0.16</v>
      </c>
      <c r="H5285" s="1" t="str">
        <f>HYPERLINK("http://www.weizmann.ac.il/complex/compphys/software/geview/data/figures/207651_at.png","Figure")</f>
        <v>Figure</v>
      </c>
      <c r="I5285">
        <v>0.73599999999999999</v>
      </c>
      <c r="J5285">
        <v>5.0999999999999997E-2</v>
      </c>
      <c r="K5285">
        <v>0.93799999999999994</v>
      </c>
      <c r="L5285">
        <v>0.8</v>
      </c>
      <c r="M5285">
        <v>1.27</v>
      </c>
      <c r="N5285">
        <v>0.1</v>
      </c>
    </row>
    <row r="5286" spans="1:14" x14ac:dyDescent="0.25">
      <c r="A5286" t="s">
        <v>9548</v>
      </c>
      <c r="B5286" t="s">
        <v>9549</v>
      </c>
      <c r="C5286" s="1" t="str">
        <f>HYPERLINK("http://www.genecards.org/cgi-bin/carddisp.pl?gene=GPATCH3","GeneCards")</f>
        <v>GeneCards</v>
      </c>
      <c r="D5286" s="1" t="str">
        <f>HYPERLINK("http://genome-euro.ucsc.edu/cgi-bin/hgTracks?position=218895_at","UCSC")</f>
        <v>UCSC</v>
      </c>
      <c r="E5286" s="1" t="str">
        <f>HYPERLINK("http://www.ncbi.nlm.nih.gov/gene/?term=GPATCH3","NCBI")</f>
        <v>NCBI</v>
      </c>
      <c r="F5286">
        <v>0.05</v>
      </c>
      <c r="G5286">
        <v>0.16</v>
      </c>
      <c r="H5286" s="1" t="str">
        <f>HYPERLINK("http://www.weizmann.ac.il/complex/compphys/software/geview/data/figures/218895_at.png","Figure")</f>
        <v>Figure</v>
      </c>
      <c r="I5286">
        <v>1.23</v>
      </c>
      <c r="J5286">
        <v>0.14000000000000001</v>
      </c>
      <c r="K5286">
        <v>0.95399999999999996</v>
      </c>
      <c r="L5286">
        <v>0.85</v>
      </c>
      <c r="M5286">
        <v>0.77900000000000003</v>
      </c>
      <c r="N5286">
        <v>4.4999999999999998E-2</v>
      </c>
    </row>
    <row r="5287" spans="1:14" x14ac:dyDescent="0.25">
      <c r="A5287" t="s">
        <v>9550</v>
      </c>
      <c r="B5287" t="s">
        <v>1955</v>
      </c>
      <c r="C5287" s="1" t="str">
        <f>HYPERLINK("http://www.genecards.org/cgi-bin/carddisp.pl?gene=FBLN1","GeneCards")</f>
        <v>GeneCards</v>
      </c>
      <c r="D5287" s="1" t="str">
        <f>HYPERLINK("http://genome-euro.ucsc.edu/cgi-bin/hgTracks?position=201787_at","UCSC")</f>
        <v>UCSC</v>
      </c>
      <c r="E5287" s="1" t="str">
        <f>HYPERLINK("http://www.ncbi.nlm.nih.gov/gene/?term=FBLN1","NCBI")</f>
        <v>NCBI</v>
      </c>
      <c r="F5287">
        <v>0.05</v>
      </c>
      <c r="G5287">
        <v>0.16</v>
      </c>
      <c r="H5287" s="1" t="str">
        <f>HYPERLINK("http://www.weizmann.ac.il/complex/compphys/software/geview/data/figures/201787_at.png","Figure")</f>
        <v>Figure</v>
      </c>
      <c r="I5287">
        <v>1.27</v>
      </c>
      <c r="J5287">
        <v>0.13</v>
      </c>
      <c r="K5287">
        <v>1.3</v>
      </c>
      <c r="L5287">
        <v>5.1999999999999998E-2</v>
      </c>
      <c r="M5287">
        <v>1.02</v>
      </c>
      <c r="N5287">
        <v>0.97</v>
      </c>
    </row>
    <row r="5288" spans="1:14" x14ac:dyDescent="0.25">
      <c r="A5288" t="s">
        <v>9551</v>
      </c>
      <c r="B5288" t="s">
        <v>3323</v>
      </c>
      <c r="C5288" s="1" t="str">
        <f>HYPERLINK("http://www.genecards.org/cgi-bin/carddisp.pl?gene=SFRS8","GeneCards")</f>
        <v>GeneCards</v>
      </c>
      <c r="D5288" s="1" t="str">
        <f>HYPERLINK("http://genome-euro.ucsc.edu/cgi-bin/hgTracks?position=202773_s_at","UCSC")</f>
        <v>UCSC</v>
      </c>
      <c r="E5288" s="1" t="str">
        <f>HYPERLINK("http://www.ncbi.nlm.nih.gov/gene/?term=SFRS8","NCBI")</f>
        <v>NCBI</v>
      </c>
      <c r="F5288">
        <v>0.05</v>
      </c>
      <c r="G5288">
        <v>0.16</v>
      </c>
      <c r="H5288" s="1" t="str">
        <f>HYPERLINK("http://www.weizmann.ac.il/complex/compphys/software/geview/data/figures/202773_s_at.png","Figure")</f>
        <v>Figure</v>
      </c>
      <c r="I5288">
        <v>1.71</v>
      </c>
      <c r="J5288">
        <v>0.15</v>
      </c>
      <c r="K5288">
        <v>0.86599999999999999</v>
      </c>
      <c r="L5288">
        <v>0.82</v>
      </c>
      <c r="M5288">
        <v>0.505</v>
      </c>
      <c r="N5288">
        <v>4.3999999999999997E-2</v>
      </c>
    </row>
    <row r="5289" spans="1:14" x14ac:dyDescent="0.25">
      <c r="A5289" t="s">
        <v>9552</v>
      </c>
      <c r="B5289" t="s">
        <v>9553</v>
      </c>
      <c r="C5289" s="1" t="str">
        <f>HYPERLINK("http://www.genecards.org/cgi-bin/carddisp.pl?gene=GRPEL1","GeneCards")</f>
        <v>GeneCards</v>
      </c>
      <c r="D5289" s="1" t="str">
        <f>HYPERLINK("http://genome-euro.ucsc.edu/cgi-bin/hgTracks?position=212434_at","UCSC")</f>
        <v>UCSC</v>
      </c>
      <c r="E5289" s="1" t="str">
        <f>HYPERLINK("http://www.ncbi.nlm.nih.gov/gene/?term=GRPEL1","NCBI")</f>
        <v>NCBI</v>
      </c>
      <c r="F5289">
        <v>0.05</v>
      </c>
      <c r="G5289">
        <v>0.16</v>
      </c>
      <c r="H5289" s="1" t="str">
        <f>HYPERLINK("http://www.weizmann.ac.il/complex/compphys/software/geview/data/figures/212434_at.png","Figure")</f>
        <v>Figure</v>
      </c>
      <c r="I5289">
        <v>0.63100000000000001</v>
      </c>
      <c r="J5289">
        <v>4.9000000000000002E-2</v>
      </c>
      <c r="K5289">
        <v>0.73699999999999999</v>
      </c>
      <c r="L5289">
        <v>0.15</v>
      </c>
      <c r="M5289">
        <v>1.17</v>
      </c>
      <c r="N5289">
        <v>0.62</v>
      </c>
    </row>
    <row r="5290" spans="1:14" x14ac:dyDescent="0.25">
      <c r="A5290" t="s">
        <v>9554</v>
      </c>
      <c r="B5290" t="s">
        <v>1407</v>
      </c>
      <c r="C5290" s="1" t="str">
        <f>HYPERLINK("http://www.genecards.org/cgi-bin/carddisp.pl?gene=NFATC4","GeneCards")</f>
        <v>GeneCards</v>
      </c>
      <c r="D5290" s="1" t="str">
        <f>HYPERLINK("http://genome-euro.ucsc.edu/cgi-bin/hgTracks?position=205897_at","UCSC")</f>
        <v>UCSC</v>
      </c>
      <c r="E5290" s="1" t="str">
        <f>HYPERLINK("http://www.ncbi.nlm.nih.gov/gene/?term=NFATC4","NCBI")</f>
        <v>NCBI</v>
      </c>
      <c r="F5290">
        <v>0.05</v>
      </c>
      <c r="G5290">
        <v>0.16</v>
      </c>
      <c r="H5290" s="1" t="str">
        <f>HYPERLINK("http://www.weizmann.ac.il/complex/compphys/software/geview/data/figures/205897_at.png","Figure")</f>
        <v>Figure</v>
      </c>
      <c r="I5290">
        <v>1.26</v>
      </c>
      <c r="J5290">
        <v>4.4999999999999998E-2</v>
      </c>
      <c r="K5290">
        <v>1.1499999999999999</v>
      </c>
      <c r="L5290">
        <v>0.19</v>
      </c>
      <c r="M5290">
        <v>0.91300000000000003</v>
      </c>
      <c r="N5290">
        <v>0.5</v>
      </c>
    </row>
    <row r="5291" spans="1:14" x14ac:dyDescent="0.25">
      <c r="A5291" t="s">
        <v>9555</v>
      </c>
      <c r="B5291" t="s">
        <v>5325</v>
      </c>
      <c r="C5291" s="1" t="str">
        <f>HYPERLINK("http://www.genecards.org/cgi-bin/carddisp.pl?gene=FLJ10038","GeneCards")</f>
        <v>GeneCards</v>
      </c>
      <c r="D5291" s="1" t="str">
        <f>HYPERLINK("http://genome-euro.ucsc.edu/cgi-bin/hgTracks?position=205511_at","UCSC")</f>
        <v>UCSC</v>
      </c>
      <c r="E5291" s="1" t="str">
        <f>HYPERLINK("http://www.ncbi.nlm.nih.gov/gene/?term=FLJ10038","NCBI")</f>
        <v>NCBI</v>
      </c>
      <c r="F5291">
        <v>0.05</v>
      </c>
      <c r="G5291">
        <v>0.16</v>
      </c>
      <c r="H5291" s="1" t="str">
        <f>HYPERLINK("http://www.weizmann.ac.il/complex/compphys/software/geview/data/figures/205511_at.png","Figure")</f>
        <v>Figure</v>
      </c>
      <c r="I5291">
        <v>1.06</v>
      </c>
      <c r="J5291">
        <v>0.98</v>
      </c>
      <c r="K5291">
        <v>0.498</v>
      </c>
      <c r="L5291">
        <v>9.4E-2</v>
      </c>
      <c r="M5291">
        <v>0.47</v>
      </c>
      <c r="N5291">
        <v>0.09</v>
      </c>
    </row>
    <row r="5292" spans="1:14" x14ac:dyDescent="0.25">
      <c r="A5292" t="s">
        <v>9556</v>
      </c>
      <c r="B5292" t="s">
        <v>9557</v>
      </c>
      <c r="C5292" s="1" t="str">
        <f>HYPERLINK("http://www.genecards.org/cgi-bin/carddisp.pl?gene=ZNF710","GeneCards")</f>
        <v>GeneCards</v>
      </c>
      <c r="D5292" s="1" t="str">
        <f>HYPERLINK("http://genome-euro.ucsc.edu/cgi-bin/hgTracks?position=213542_at","UCSC")</f>
        <v>UCSC</v>
      </c>
      <c r="E5292" s="1" t="str">
        <f>HYPERLINK("http://www.ncbi.nlm.nih.gov/gene/?term=ZNF710","NCBI")</f>
        <v>NCBI</v>
      </c>
      <c r="F5292">
        <v>0.05</v>
      </c>
      <c r="G5292">
        <v>0.16</v>
      </c>
      <c r="H5292" s="1" t="str">
        <f>HYPERLINK("http://www.weizmann.ac.il/complex/compphys/software/geview/data/figures/213542_at.png","Figure")</f>
        <v>Figure</v>
      </c>
      <c r="I5292">
        <v>1.35</v>
      </c>
      <c r="J5292">
        <v>4.4999999999999998E-2</v>
      </c>
      <c r="K5292">
        <v>1.0900000000000001</v>
      </c>
      <c r="L5292">
        <v>0.66</v>
      </c>
      <c r="M5292">
        <v>0.80900000000000005</v>
      </c>
      <c r="N5292">
        <v>0.14000000000000001</v>
      </c>
    </row>
    <row r="5293" spans="1:14" x14ac:dyDescent="0.25">
      <c r="A5293" t="s">
        <v>9558</v>
      </c>
      <c r="B5293" t="s">
        <v>5736</v>
      </c>
      <c r="C5293" s="1" t="str">
        <f>HYPERLINK("http://www.genecards.org/cgi-bin/carddisp.pl?gene=SLC35E1","GeneCards")</f>
        <v>GeneCards</v>
      </c>
      <c r="D5293" s="1" t="str">
        <f>HYPERLINK("http://genome-euro.ucsc.edu/cgi-bin/hgTracks?position=222263_at","UCSC")</f>
        <v>UCSC</v>
      </c>
      <c r="E5293" s="1" t="str">
        <f>HYPERLINK("http://www.ncbi.nlm.nih.gov/gene/?term=SLC35E1","NCBI")</f>
        <v>NCBI</v>
      </c>
      <c r="F5293">
        <v>0.05</v>
      </c>
      <c r="G5293">
        <v>0.16</v>
      </c>
      <c r="H5293" s="1" t="str">
        <f>HYPERLINK("http://www.weizmann.ac.il/complex/compphys/software/geview/data/figures/222263_at.png","Figure")</f>
        <v>Figure</v>
      </c>
      <c r="I5293">
        <v>0.79500000000000004</v>
      </c>
      <c r="J5293">
        <v>0.59</v>
      </c>
      <c r="K5293">
        <v>0.58099999999999996</v>
      </c>
      <c r="L5293">
        <v>4.2999999999999997E-2</v>
      </c>
      <c r="M5293">
        <v>0.73099999999999998</v>
      </c>
      <c r="N5293">
        <v>0.34</v>
      </c>
    </row>
    <row r="5294" spans="1:14" x14ac:dyDescent="0.25">
      <c r="A5294" t="s">
        <v>9559</v>
      </c>
      <c r="B5294" t="s">
        <v>9560</v>
      </c>
      <c r="C5294" s="1" t="str">
        <f>HYPERLINK("http://www.genecards.org/cgi-bin/carddisp.pl?gene=CCDC92","GeneCards")</f>
        <v>GeneCards</v>
      </c>
      <c r="D5294" s="1" t="str">
        <f>HYPERLINK("http://genome-euro.ucsc.edu/cgi-bin/hgTracks?position=218175_at","UCSC")</f>
        <v>UCSC</v>
      </c>
      <c r="E5294" s="1" t="str">
        <f>HYPERLINK("http://www.ncbi.nlm.nih.gov/gene/?term=CCDC92","NCBI")</f>
        <v>NCBI</v>
      </c>
      <c r="F5294">
        <v>0.05</v>
      </c>
      <c r="G5294">
        <v>0.16</v>
      </c>
      <c r="H5294" s="1" t="str">
        <f>HYPERLINK("http://www.weizmann.ac.il/complex/compphys/software/geview/data/figures/218175_at.png","Figure")</f>
        <v>Figure</v>
      </c>
      <c r="I5294">
        <v>0.79500000000000004</v>
      </c>
      <c r="J5294">
        <v>0.53</v>
      </c>
      <c r="K5294">
        <v>1.34</v>
      </c>
      <c r="L5294">
        <v>0.28000000000000003</v>
      </c>
      <c r="M5294">
        <v>1.68</v>
      </c>
      <c r="N5294">
        <v>4.5999999999999999E-2</v>
      </c>
    </row>
    <row r="5295" spans="1:14" x14ac:dyDescent="0.25">
      <c r="A5295" t="s">
        <v>9561</v>
      </c>
      <c r="B5295" t="s">
        <v>7437</v>
      </c>
      <c r="C5295" s="1" t="str">
        <f>HYPERLINK("http://www.genecards.org/cgi-bin/carddisp.pl?gene=ELF2","GeneCards")</f>
        <v>GeneCards</v>
      </c>
      <c r="D5295" s="1" t="str">
        <f>HYPERLINK("http://genome-euro.ucsc.edu/cgi-bin/hgTracks?position=203822_s_at","UCSC")</f>
        <v>UCSC</v>
      </c>
      <c r="E5295" s="1" t="str">
        <f>HYPERLINK("http://www.ncbi.nlm.nih.gov/gene/?term=ELF2","NCBI")</f>
        <v>NCBI</v>
      </c>
      <c r="F5295">
        <v>0.05</v>
      </c>
      <c r="G5295">
        <v>0.16</v>
      </c>
      <c r="H5295" s="1" t="str">
        <f>HYPERLINK("http://www.weizmann.ac.il/complex/compphys/software/geview/data/figures/203822_s_at.png","Figure")</f>
        <v>Figure</v>
      </c>
      <c r="I5295">
        <v>0.69899999999999995</v>
      </c>
      <c r="J5295">
        <v>0.3</v>
      </c>
      <c r="K5295">
        <v>0.57199999999999995</v>
      </c>
      <c r="L5295">
        <v>4.1000000000000002E-2</v>
      </c>
      <c r="M5295">
        <v>0.81899999999999995</v>
      </c>
      <c r="N5295">
        <v>0.64</v>
      </c>
    </row>
    <row r="5296" spans="1:14" x14ac:dyDescent="0.25">
      <c r="A5296" t="s">
        <v>9562</v>
      </c>
      <c r="B5296" t="s">
        <v>9563</v>
      </c>
      <c r="C5296" s="1" t="str">
        <f>HYPERLINK("http://www.genecards.org/cgi-bin/carddisp.pl?gene=LASS2","GeneCards")</f>
        <v>GeneCards</v>
      </c>
      <c r="D5296" s="1" t="str">
        <f>HYPERLINK("http://genome-euro.ucsc.edu/cgi-bin/hgTracks?position=222212_s_at","UCSC")</f>
        <v>UCSC</v>
      </c>
      <c r="E5296" s="1" t="str">
        <f>HYPERLINK("http://www.ncbi.nlm.nih.gov/gene/?term=LASS2","NCBI")</f>
        <v>NCBI</v>
      </c>
      <c r="F5296">
        <v>0.05</v>
      </c>
      <c r="G5296">
        <v>0.16</v>
      </c>
      <c r="H5296" s="1" t="str">
        <f>HYPERLINK("http://www.weizmann.ac.il/complex/compphys/software/geview/data/figures/222212_s_at.png","Figure")</f>
        <v>Figure</v>
      </c>
      <c r="I5296">
        <v>0.84099999999999997</v>
      </c>
      <c r="J5296">
        <v>0.45</v>
      </c>
      <c r="K5296">
        <v>1.19</v>
      </c>
      <c r="L5296">
        <v>0.33</v>
      </c>
      <c r="M5296">
        <v>1.42</v>
      </c>
      <c r="N5296">
        <v>4.3999999999999997E-2</v>
      </c>
    </row>
    <row r="5297" spans="1:14" x14ac:dyDescent="0.25">
      <c r="A5297" t="s">
        <v>9564</v>
      </c>
      <c r="B5297" t="s">
        <v>9565</v>
      </c>
      <c r="C5297" s="1" t="str">
        <f>HYPERLINK("http://www.genecards.org/cgi-bin/carddisp.pl?gene=C6orf54","GeneCards")</f>
        <v>GeneCards</v>
      </c>
      <c r="D5297" s="1" t="str">
        <f>HYPERLINK("http://genome-euro.ucsc.edu/cgi-bin/hgTracks?position=211350_s_at","UCSC")</f>
        <v>UCSC</v>
      </c>
      <c r="E5297" s="1" t="str">
        <f>HYPERLINK("http://www.ncbi.nlm.nih.gov/gene/?term=C6orf54","NCBI")</f>
        <v>NCBI</v>
      </c>
      <c r="F5297">
        <v>0.05</v>
      </c>
      <c r="G5297">
        <v>0.16</v>
      </c>
      <c r="H5297" s="1" t="str">
        <f>HYPERLINK("http://www.weizmann.ac.il/complex/compphys/software/geview/data/figures/211350_s_at.png","Figure")</f>
        <v>Figure</v>
      </c>
      <c r="I5297">
        <v>1.22</v>
      </c>
      <c r="J5297">
        <v>4.8000000000000001E-2</v>
      </c>
      <c r="K5297">
        <v>1.05</v>
      </c>
      <c r="L5297">
        <v>0.73</v>
      </c>
      <c r="M5297">
        <v>0.86</v>
      </c>
      <c r="N5297">
        <v>0.12</v>
      </c>
    </row>
    <row r="5298" spans="1:14" x14ac:dyDescent="0.25">
      <c r="A5298" t="s">
        <v>9566</v>
      </c>
      <c r="B5298" t="s">
        <v>2109</v>
      </c>
      <c r="C5298" s="1" t="str">
        <f>HYPERLINK("http://www.genecards.org/cgi-bin/carddisp.pl?gene=PCLO","GeneCards")</f>
        <v>GeneCards</v>
      </c>
      <c r="D5298" s="1" t="str">
        <f>HYPERLINK("http://genome-euro.ucsc.edu/cgi-bin/hgTracks?position=210650_s_at","UCSC")</f>
        <v>UCSC</v>
      </c>
      <c r="E5298" s="1" t="str">
        <f>HYPERLINK("http://www.ncbi.nlm.nih.gov/gene/?term=PCLO","NCBI")</f>
        <v>NCBI</v>
      </c>
      <c r="F5298">
        <v>0.05</v>
      </c>
      <c r="G5298">
        <v>0.16</v>
      </c>
      <c r="H5298" s="1" t="str">
        <f>HYPERLINK("http://www.weizmann.ac.il/complex/compphys/software/geview/data/figures/210650_s_at.png","Figure")</f>
        <v>Figure</v>
      </c>
      <c r="I5298">
        <v>0.58699999999999997</v>
      </c>
      <c r="J5298">
        <v>0.68</v>
      </c>
      <c r="K5298">
        <v>0.22900000000000001</v>
      </c>
      <c r="L5298">
        <v>4.5999999999999999E-2</v>
      </c>
      <c r="M5298">
        <v>0.38900000000000001</v>
      </c>
      <c r="N5298">
        <v>0.28000000000000003</v>
      </c>
    </row>
    <row r="5299" spans="1:14" x14ac:dyDescent="0.25">
      <c r="A5299" t="s">
        <v>9567</v>
      </c>
      <c r="B5299" t="s">
        <v>6396</v>
      </c>
      <c r="C5299" s="1" t="str">
        <f>HYPERLINK("http://www.genecards.org/cgi-bin/carddisp.pl?gene=SFRS6","GeneCards")</f>
        <v>GeneCards</v>
      </c>
      <c r="D5299" s="1" t="str">
        <f>HYPERLINK("http://genome-euro.ucsc.edu/cgi-bin/hgTracks?position=206108_s_at","UCSC")</f>
        <v>UCSC</v>
      </c>
      <c r="E5299" s="1" t="str">
        <f>HYPERLINK("http://www.ncbi.nlm.nih.gov/gene/?term=SFRS6","NCBI")</f>
        <v>NCBI</v>
      </c>
      <c r="F5299">
        <v>0.05</v>
      </c>
      <c r="G5299">
        <v>0.16</v>
      </c>
      <c r="H5299" s="1" t="str">
        <f>HYPERLINK("http://www.weizmann.ac.il/complex/compphys/software/geview/data/figures/206108_s_at.png","Figure")</f>
        <v>Figure</v>
      </c>
      <c r="I5299">
        <v>0.96099999999999997</v>
      </c>
      <c r="J5299">
        <v>0.94</v>
      </c>
      <c r="K5299">
        <v>0.77100000000000002</v>
      </c>
      <c r="L5299">
        <v>6.2E-2</v>
      </c>
      <c r="M5299">
        <v>0.80200000000000005</v>
      </c>
      <c r="N5299">
        <v>0.15</v>
      </c>
    </row>
    <row r="5300" spans="1:14" x14ac:dyDescent="0.25">
      <c r="A5300" t="s">
        <v>9568</v>
      </c>
      <c r="B5300" t="s">
        <v>9569</v>
      </c>
      <c r="C5300" s="1" t="str">
        <f>HYPERLINK("http://www.genecards.org/cgi-bin/carddisp.pl?gene=APH1A","GeneCards")</f>
        <v>GeneCards</v>
      </c>
      <c r="D5300" s="1" t="str">
        <f>HYPERLINK("http://genome-euro.ucsc.edu/cgi-bin/hgTracks?position=218389_s_at","UCSC")</f>
        <v>UCSC</v>
      </c>
      <c r="E5300" s="1" t="str">
        <f>HYPERLINK("http://www.ncbi.nlm.nih.gov/gene/?term=APH1A","NCBI")</f>
        <v>NCBI</v>
      </c>
      <c r="F5300">
        <v>0.05</v>
      </c>
      <c r="G5300">
        <v>0.16</v>
      </c>
      <c r="H5300" s="1" t="str">
        <f>HYPERLINK("http://www.weizmann.ac.il/complex/compphys/software/geview/data/figures/218389_s_at.png","Figure")</f>
        <v>Figure</v>
      </c>
      <c r="I5300">
        <v>0.87</v>
      </c>
      <c r="J5300">
        <v>0.3</v>
      </c>
      <c r="K5300">
        <v>0.80700000000000005</v>
      </c>
      <c r="L5300">
        <v>4.1000000000000002E-2</v>
      </c>
      <c r="M5300">
        <v>0.92800000000000005</v>
      </c>
      <c r="N5300">
        <v>0.65</v>
      </c>
    </row>
    <row r="5301" spans="1:14" x14ac:dyDescent="0.25">
      <c r="A5301" t="s">
        <v>9570</v>
      </c>
      <c r="B5301" t="s">
        <v>9571</v>
      </c>
      <c r="C5301" s="1" t="str">
        <f>HYPERLINK("http://www.genecards.org/cgi-bin/carddisp.pl?gene=TMPRSS2","GeneCards")</f>
        <v>GeneCards</v>
      </c>
      <c r="D5301" s="1" t="str">
        <f>HYPERLINK("http://genome-euro.ucsc.edu/cgi-bin/hgTracks?position=205102_at","UCSC")</f>
        <v>UCSC</v>
      </c>
      <c r="E5301" s="1" t="str">
        <f>HYPERLINK("http://www.ncbi.nlm.nih.gov/gene/?term=TMPRSS2","NCBI")</f>
        <v>NCBI</v>
      </c>
      <c r="F5301">
        <v>5.0999999999999997E-2</v>
      </c>
      <c r="G5301">
        <v>0.16</v>
      </c>
      <c r="H5301" s="1" t="str">
        <f>HYPERLINK("http://www.weizmann.ac.il/complex/compphys/software/geview/data/figures/205102_at.png","Figure")</f>
        <v>Figure</v>
      </c>
      <c r="I5301">
        <v>1.34</v>
      </c>
      <c r="J5301">
        <v>4.1000000000000002E-2</v>
      </c>
      <c r="K5301">
        <v>1.1399999999999999</v>
      </c>
      <c r="L5301">
        <v>0.36</v>
      </c>
      <c r="M5301">
        <v>0.85099999999999998</v>
      </c>
      <c r="N5301">
        <v>0.27</v>
      </c>
    </row>
    <row r="5302" spans="1:14" x14ac:dyDescent="0.25">
      <c r="A5302" t="s">
        <v>9572</v>
      </c>
      <c r="B5302" t="s">
        <v>1306</v>
      </c>
      <c r="C5302" s="1" t="str">
        <f>HYPERLINK("http://www.genecards.org/cgi-bin/carddisp.pl?gene=F12","GeneCards")</f>
        <v>GeneCards</v>
      </c>
      <c r="D5302" s="1" t="str">
        <f>HYPERLINK("http://genome-euro.ucsc.edu/cgi-bin/hgTracks?position=215961_at","UCSC")</f>
        <v>UCSC</v>
      </c>
      <c r="E5302" s="1" t="str">
        <f>HYPERLINK("http://www.ncbi.nlm.nih.gov/gene/?term=F12","NCBI")</f>
        <v>NCBI</v>
      </c>
      <c r="F5302">
        <v>5.0999999999999997E-2</v>
      </c>
      <c r="G5302">
        <v>0.16</v>
      </c>
      <c r="H5302" s="1" t="str">
        <f>HYPERLINK("http://www.weizmann.ac.il/complex/compphys/software/geview/data/figures/215961_at.png","Figure")</f>
        <v>Figure</v>
      </c>
      <c r="I5302">
        <v>1.06</v>
      </c>
      <c r="J5302">
        <v>0.41</v>
      </c>
      <c r="K5302">
        <v>0.94699999999999995</v>
      </c>
      <c r="L5302">
        <v>0.36</v>
      </c>
      <c r="M5302">
        <v>0.89400000000000002</v>
      </c>
      <c r="N5302">
        <v>4.2999999999999997E-2</v>
      </c>
    </row>
    <row r="5303" spans="1:14" x14ac:dyDescent="0.25">
      <c r="A5303" t="s">
        <v>9573</v>
      </c>
      <c r="B5303" t="s">
        <v>9574</v>
      </c>
      <c r="C5303" s="1" t="str">
        <f>HYPERLINK("http://www.genecards.org/cgi-bin/carddisp.pl?gene=GSTA3","GeneCards")</f>
        <v>GeneCards</v>
      </c>
      <c r="D5303" s="1" t="str">
        <f>HYPERLINK("http://genome-euro.ucsc.edu/cgi-bin/hgTracks?position=222102_at","UCSC")</f>
        <v>UCSC</v>
      </c>
      <c r="E5303" s="1" t="str">
        <f>HYPERLINK("http://www.ncbi.nlm.nih.gov/gene/?term=GSTA3","NCBI")</f>
        <v>NCBI</v>
      </c>
      <c r="F5303">
        <v>5.0999999999999997E-2</v>
      </c>
      <c r="G5303">
        <v>0.16</v>
      </c>
      <c r="H5303" s="1" t="str">
        <f>HYPERLINK("http://www.weizmann.ac.il/complex/compphys/software/geview/data/figures/222102_at.png","Figure")</f>
        <v>Figure</v>
      </c>
      <c r="I5303">
        <v>1.1100000000000001</v>
      </c>
      <c r="J5303">
        <v>0.35</v>
      </c>
      <c r="K5303">
        <v>0.91800000000000004</v>
      </c>
      <c r="L5303">
        <v>0.42</v>
      </c>
      <c r="M5303">
        <v>0.82299999999999995</v>
      </c>
      <c r="N5303">
        <v>4.2000000000000003E-2</v>
      </c>
    </row>
    <row r="5304" spans="1:14" x14ac:dyDescent="0.25">
      <c r="A5304" t="s">
        <v>9575</v>
      </c>
      <c r="B5304" t="s">
        <v>9576</v>
      </c>
      <c r="C5304" s="1" t="str">
        <f>HYPERLINK("http://www.genecards.org/cgi-bin/carddisp.pl?gene=STX8","GeneCards")</f>
        <v>GeneCards</v>
      </c>
      <c r="D5304" s="1" t="str">
        <f>HYPERLINK("http://genome-euro.ucsc.edu/cgi-bin/hgTracks?position=204690_at","UCSC")</f>
        <v>UCSC</v>
      </c>
      <c r="E5304" s="1" t="str">
        <f>HYPERLINK("http://www.ncbi.nlm.nih.gov/gene/?term=STX8","NCBI")</f>
        <v>NCBI</v>
      </c>
      <c r="F5304">
        <v>5.0999999999999997E-2</v>
      </c>
      <c r="G5304">
        <v>0.16</v>
      </c>
      <c r="H5304" s="1" t="str">
        <f>HYPERLINK("http://www.weizmann.ac.il/complex/compphys/software/geview/data/figures/204690_at.png","Figure")</f>
        <v>Figure</v>
      </c>
      <c r="I5304">
        <v>0.97699999999999998</v>
      </c>
      <c r="J5304">
        <v>1</v>
      </c>
      <c r="K5304">
        <v>1.64</v>
      </c>
      <c r="L5304">
        <v>8.7999999999999995E-2</v>
      </c>
      <c r="M5304">
        <v>1.68</v>
      </c>
      <c r="N5304">
        <v>9.7000000000000003E-2</v>
      </c>
    </row>
    <row r="5305" spans="1:14" x14ac:dyDescent="0.25">
      <c r="A5305" t="s">
        <v>9577</v>
      </c>
      <c r="B5305" t="s">
        <v>9578</v>
      </c>
      <c r="C5305" s="1" t="str">
        <f>HYPERLINK("http://www.genecards.org/cgi-bin/carddisp.pl?gene=SMOX","GeneCards")</f>
        <v>GeneCards</v>
      </c>
      <c r="D5305" s="1" t="str">
        <f>HYPERLINK("http://genome-euro.ucsc.edu/cgi-bin/hgTracks?position=217074_at","UCSC")</f>
        <v>UCSC</v>
      </c>
      <c r="E5305" s="1" t="str">
        <f>HYPERLINK("http://www.ncbi.nlm.nih.gov/gene/?term=SMOX","NCBI")</f>
        <v>NCBI</v>
      </c>
      <c r="F5305">
        <v>5.0999999999999997E-2</v>
      </c>
      <c r="G5305">
        <v>0.16</v>
      </c>
      <c r="H5305" s="1" t="str">
        <f>HYPERLINK("http://www.weizmann.ac.il/complex/compphys/software/geview/data/figures/217074_at.png","Figure")</f>
        <v>Figure</v>
      </c>
      <c r="I5305">
        <v>1.28</v>
      </c>
      <c r="J5305">
        <v>8.3000000000000004E-2</v>
      </c>
      <c r="K5305">
        <v>1.25</v>
      </c>
      <c r="L5305">
        <v>7.3999999999999996E-2</v>
      </c>
      <c r="M5305">
        <v>0.97499999999999998</v>
      </c>
      <c r="N5305">
        <v>0.96</v>
      </c>
    </row>
    <row r="5306" spans="1:14" x14ac:dyDescent="0.25">
      <c r="A5306" t="s">
        <v>9579</v>
      </c>
      <c r="B5306" t="s">
        <v>1906</v>
      </c>
      <c r="C5306" s="1" t="str">
        <f>HYPERLINK("http://www.genecards.org/cgi-bin/carddisp.pl?gene=PTMA","GeneCards")</f>
        <v>GeneCards</v>
      </c>
      <c r="D5306" s="1" t="str">
        <f>HYPERLINK("http://genome-euro.ucsc.edu/cgi-bin/hgTracks?position=216515_x_at","UCSC")</f>
        <v>UCSC</v>
      </c>
      <c r="E5306" s="1" t="str">
        <f>HYPERLINK("http://www.ncbi.nlm.nih.gov/gene/?term=PTMA","NCBI")</f>
        <v>NCBI</v>
      </c>
      <c r="F5306">
        <v>5.0999999999999997E-2</v>
      </c>
      <c r="G5306">
        <v>0.16</v>
      </c>
      <c r="H5306" s="1" t="str">
        <f>HYPERLINK("http://www.weizmann.ac.il/complex/compphys/software/geview/data/figures/216515_x_at.png","Figure")</f>
        <v>Figure</v>
      </c>
      <c r="I5306">
        <v>1.26</v>
      </c>
      <c r="J5306">
        <v>0.15</v>
      </c>
      <c r="K5306">
        <v>1.3</v>
      </c>
      <c r="L5306">
        <v>0.05</v>
      </c>
      <c r="M5306">
        <v>1.04</v>
      </c>
      <c r="N5306">
        <v>0.94</v>
      </c>
    </row>
    <row r="5307" spans="1:14" x14ac:dyDescent="0.25">
      <c r="A5307" t="s">
        <v>9580</v>
      </c>
      <c r="B5307" t="s">
        <v>9581</v>
      </c>
      <c r="C5307" s="1" t="str">
        <f>HYPERLINK("http://www.genecards.org/cgi-bin/carddisp.pl?gene=HDLBP","GeneCards")</f>
        <v>GeneCards</v>
      </c>
      <c r="D5307" s="1" t="str">
        <f>HYPERLINK("http://genome-euro.ucsc.edu/cgi-bin/hgTracks?position=200643_at","UCSC")</f>
        <v>UCSC</v>
      </c>
      <c r="E5307" s="1" t="str">
        <f>HYPERLINK("http://www.ncbi.nlm.nih.gov/gene/?term=HDLBP","NCBI")</f>
        <v>NCBI</v>
      </c>
      <c r="F5307">
        <v>5.0999999999999997E-2</v>
      </c>
      <c r="G5307">
        <v>0.16</v>
      </c>
      <c r="H5307" s="1" t="str">
        <f>HYPERLINK("http://www.weizmann.ac.il/complex/compphys/software/geview/data/figures/200643_at.png","Figure")</f>
        <v>Figure</v>
      </c>
      <c r="I5307">
        <v>1.29</v>
      </c>
      <c r="J5307">
        <v>4.1000000000000002E-2</v>
      </c>
      <c r="K5307">
        <v>1.1299999999999999</v>
      </c>
      <c r="L5307">
        <v>0.34</v>
      </c>
      <c r="M5307">
        <v>0.872</v>
      </c>
      <c r="N5307">
        <v>0.28999999999999998</v>
      </c>
    </row>
    <row r="5308" spans="1:14" x14ac:dyDescent="0.25">
      <c r="A5308" t="s">
        <v>9582</v>
      </c>
      <c r="B5308" t="s">
        <v>9583</v>
      </c>
      <c r="C5308" s="1" t="str">
        <f>HYPERLINK("http://www.genecards.org/cgi-bin/carddisp.pl?gene=UNC50","GeneCards")</f>
        <v>GeneCards</v>
      </c>
      <c r="D5308" s="1" t="str">
        <f>HYPERLINK("http://genome-euro.ucsc.edu/cgi-bin/hgTracks?position=203583_at","UCSC")</f>
        <v>UCSC</v>
      </c>
      <c r="E5308" s="1" t="str">
        <f>HYPERLINK("http://www.ncbi.nlm.nih.gov/gene/?term=UNC50","NCBI")</f>
        <v>NCBI</v>
      </c>
      <c r="F5308">
        <v>5.0999999999999997E-2</v>
      </c>
      <c r="G5308">
        <v>0.16</v>
      </c>
      <c r="H5308" s="1" t="str">
        <f>HYPERLINK("http://www.weizmann.ac.il/complex/compphys/software/geview/data/figures/203583_at.png","Figure")</f>
        <v>Figure</v>
      </c>
      <c r="I5308">
        <v>0.52700000000000002</v>
      </c>
      <c r="J5308">
        <v>4.1000000000000002E-2</v>
      </c>
      <c r="K5308">
        <v>0.73299999999999998</v>
      </c>
      <c r="L5308">
        <v>0.31</v>
      </c>
      <c r="M5308">
        <v>1.39</v>
      </c>
      <c r="N5308">
        <v>0.31</v>
      </c>
    </row>
    <row r="5309" spans="1:14" x14ac:dyDescent="0.25">
      <c r="A5309" t="s">
        <v>9584</v>
      </c>
      <c r="B5309" t="s">
        <v>9585</v>
      </c>
      <c r="C5309" s="1" t="str">
        <f>HYPERLINK("http://www.genecards.org/cgi-bin/carddisp.pl?gene=PDE3A","GeneCards")</f>
        <v>GeneCards</v>
      </c>
      <c r="D5309" s="1" t="str">
        <f>HYPERLINK("http://genome-euro.ucsc.edu/cgi-bin/hgTracks?position=206388_at","UCSC")</f>
        <v>UCSC</v>
      </c>
      <c r="E5309" s="1" t="str">
        <f>HYPERLINK("http://www.ncbi.nlm.nih.gov/gene/?term=PDE3A","NCBI")</f>
        <v>NCBI</v>
      </c>
      <c r="F5309">
        <v>5.0999999999999997E-2</v>
      </c>
      <c r="G5309">
        <v>0.16</v>
      </c>
      <c r="H5309" s="1" t="str">
        <f>HYPERLINK("http://www.weizmann.ac.il/complex/compphys/software/geview/data/figures/206388_at.png","Figure")</f>
        <v>Figure</v>
      </c>
      <c r="I5309">
        <v>1.1599999999999999</v>
      </c>
      <c r="J5309">
        <v>7.3999999999999996E-2</v>
      </c>
      <c r="K5309">
        <v>1.01</v>
      </c>
      <c r="L5309">
        <v>0.99</v>
      </c>
      <c r="M5309">
        <v>0.86599999999999999</v>
      </c>
      <c r="N5309">
        <v>6.6000000000000003E-2</v>
      </c>
    </row>
    <row r="5310" spans="1:14" x14ac:dyDescent="0.25">
      <c r="A5310" t="s">
        <v>9586</v>
      </c>
      <c r="B5310" t="s">
        <v>9587</v>
      </c>
      <c r="C5310" s="1" t="str">
        <f>HYPERLINK("http://www.genecards.org/cgi-bin/carddisp.pl?gene=C14orf106","GeneCards")</f>
        <v>GeneCards</v>
      </c>
      <c r="D5310" s="1" t="str">
        <f>HYPERLINK("http://genome-euro.ucsc.edu/cgi-bin/hgTracks?position=206500_s_at","UCSC")</f>
        <v>UCSC</v>
      </c>
      <c r="E5310" s="1" t="str">
        <f>HYPERLINK("http://www.ncbi.nlm.nih.gov/gene/?term=C14orf106","NCBI")</f>
        <v>NCBI</v>
      </c>
      <c r="F5310">
        <v>5.0999999999999997E-2</v>
      </c>
      <c r="G5310">
        <v>0.16</v>
      </c>
      <c r="H5310" s="1" t="str">
        <f>HYPERLINK("http://www.weizmann.ac.il/complex/compphys/software/geview/data/figures/206500_s_at.png","Figure")</f>
        <v>Figure</v>
      </c>
      <c r="I5310">
        <v>0.44800000000000001</v>
      </c>
      <c r="J5310">
        <v>0.15</v>
      </c>
      <c r="K5310">
        <v>0.39300000000000002</v>
      </c>
      <c r="L5310">
        <v>4.9000000000000002E-2</v>
      </c>
      <c r="M5310">
        <v>0.877</v>
      </c>
      <c r="N5310">
        <v>0.94</v>
      </c>
    </row>
    <row r="5311" spans="1:14" x14ac:dyDescent="0.25">
      <c r="A5311" t="s">
        <v>9588</v>
      </c>
      <c r="B5311" t="s">
        <v>9589</v>
      </c>
      <c r="C5311" s="1" t="str">
        <f>HYPERLINK("http://www.genecards.org/cgi-bin/carddisp.pl?gene=BCAS1","GeneCards")</f>
        <v>GeneCards</v>
      </c>
      <c r="D5311" s="1" t="str">
        <f>HYPERLINK("http://genome-euro.ucsc.edu/cgi-bin/hgTracks?position=204378_at","UCSC")</f>
        <v>UCSC</v>
      </c>
      <c r="E5311" s="1" t="str">
        <f>HYPERLINK("http://www.ncbi.nlm.nih.gov/gene/?term=BCAS1","NCBI")</f>
        <v>NCBI</v>
      </c>
      <c r="F5311">
        <v>5.0999999999999997E-2</v>
      </c>
      <c r="G5311">
        <v>0.16</v>
      </c>
      <c r="H5311" s="1" t="str">
        <f>HYPERLINK("http://www.weizmann.ac.il/complex/compphys/software/geview/data/figures/204378_at.png","Figure")</f>
        <v>Figure</v>
      </c>
      <c r="I5311">
        <v>1.1599999999999999</v>
      </c>
      <c r="J5311">
        <v>0.22</v>
      </c>
      <c r="K5311">
        <v>0.93700000000000006</v>
      </c>
      <c r="L5311">
        <v>0.64</v>
      </c>
      <c r="M5311">
        <v>0.81100000000000005</v>
      </c>
      <c r="N5311">
        <v>4.1000000000000002E-2</v>
      </c>
    </row>
    <row r="5312" spans="1:14" x14ac:dyDescent="0.25">
      <c r="A5312" t="s">
        <v>9590</v>
      </c>
      <c r="B5312" t="s">
        <v>9591</v>
      </c>
      <c r="C5312" s="1" t="str">
        <f>HYPERLINK("http://www.genecards.org/cgi-bin/carddisp.pl?gene=NOL12 /// TRIOBP","GeneCards")</f>
        <v>GeneCards</v>
      </c>
      <c r="D5312" s="1" t="str">
        <f>HYPERLINK("http://genome-euro.ucsc.edu/cgi-bin/hgTracks?position=210276_s_at","UCSC")</f>
        <v>UCSC</v>
      </c>
      <c r="E5312" s="1" t="str">
        <f>HYPERLINK("http://www.ncbi.nlm.nih.gov/gene/?term=NOL12 /// TRIOBP","NCBI")</f>
        <v>NCBI</v>
      </c>
      <c r="F5312">
        <v>5.0999999999999997E-2</v>
      </c>
      <c r="G5312">
        <v>0.16</v>
      </c>
      <c r="H5312" s="1" t="str">
        <f>HYPERLINK("http://www.weizmann.ac.il/complex/compphys/software/geview/data/figures/210276_s_at.png","Figure")</f>
        <v>Figure</v>
      </c>
      <c r="I5312">
        <v>0.83</v>
      </c>
      <c r="J5312">
        <v>0.49</v>
      </c>
      <c r="K5312">
        <v>1.24</v>
      </c>
      <c r="L5312">
        <v>0.3</v>
      </c>
      <c r="M5312">
        <v>1.5</v>
      </c>
      <c r="N5312">
        <v>4.4999999999999998E-2</v>
      </c>
    </row>
    <row r="5313" spans="1:14" x14ac:dyDescent="0.25">
      <c r="A5313" t="s">
        <v>9592</v>
      </c>
      <c r="B5313" t="s">
        <v>934</v>
      </c>
      <c r="C5313" s="1" t="str">
        <f>HYPERLINK("http://www.genecards.org/cgi-bin/carddisp.pl?gene=PPP1R7","GeneCards")</f>
        <v>GeneCards</v>
      </c>
      <c r="D5313" s="1" t="str">
        <f>HYPERLINK("http://genome-euro.ucsc.edu/cgi-bin/hgTracks?position=213465_s_at","UCSC")</f>
        <v>UCSC</v>
      </c>
      <c r="E5313" s="1" t="str">
        <f>HYPERLINK("http://www.ncbi.nlm.nih.gov/gene/?term=PPP1R7","NCBI")</f>
        <v>NCBI</v>
      </c>
      <c r="F5313">
        <v>5.0999999999999997E-2</v>
      </c>
      <c r="G5313">
        <v>0.16</v>
      </c>
      <c r="H5313" s="1" t="str">
        <f>HYPERLINK("http://www.weizmann.ac.il/complex/compphys/software/geview/data/figures/213465_s_at.png","Figure")</f>
        <v>Figure</v>
      </c>
      <c r="I5313">
        <v>0.75800000000000001</v>
      </c>
      <c r="J5313">
        <v>0.31</v>
      </c>
      <c r="K5313">
        <v>1.21</v>
      </c>
      <c r="L5313">
        <v>0.48</v>
      </c>
      <c r="M5313">
        <v>1.59</v>
      </c>
      <c r="N5313">
        <v>4.1000000000000002E-2</v>
      </c>
    </row>
    <row r="5314" spans="1:14" x14ac:dyDescent="0.25">
      <c r="A5314" t="s">
        <v>9593</v>
      </c>
      <c r="B5314" t="s">
        <v>9594</v>
      </c>
      <c r="C5314" s="1" t="str">
        <f>HYPERLINK("http://www.genecards.org/cgi-bin/carddisp.pl?gene=KIAA1045","GeneCards")</f>
        <v>GeneCards</v>
      </c>
      <c r="D5314" s="1" t="str">
        <f>HYPERLINK("http://genome-euro.ucsc.edu/cgi-bin/hgTracks?position=213636_at","UCSC")</f>
        <v>UCSC</v>
      </c>
      <c r="E5314" s="1" t="str">
        <f>HYPERLINK("http://www.ncbi.nlm.nih.gov/gene/?term=KIAA1045","NCBI")</f>
        <v>NCBI</v>
      </c>
      <c r="F5314">
        <v>5.0999999999999997E-2</v>
      </c>
      <c r="G5314">
        <v>0.16</v>
      </c>
      <c r="H5314" s="1" t="str">
        <f>HYPERLINK("http://www.weizmann.ac.il/complex/compphys/software/geview/data/figures/213636_at.png","Figure")</f>
        <v>Figure</v>
      </c>
      <c r="I5314">
        <v>1.1200000000000001</v>
      </c>
      <c r="J5314">
        <v>4.3999999999999997E-2</v>
      </c>
      <c r="K5314">
        <v>1.07</v>
      </c>
      <c r="L5314">
        <v>0.22</v>
      </c>
      <c r="M5314">
        <v>0.95299999999999996</v>
      </c>
      <c r="N5314">
        <v>0.45</v>
      </c>
    </row>
    <row r="5315" spans="1:14" x14ac:dyDescent="0.25">
      <c r="A5315" t="s">
        <v>9595</v>
      </c>
      <c r="B5315" t="s">
        <v>9596</v>
      </c>
      <c r="C5315" s="1" t="str">
        <f>HYPERLINK("http://www.genecards.org/cgi-bin/carddisp.pl?gene=SLC22A5","GeneCards")</f>
        <v>GeneCards</v>
      </c>
      <c r="D5315" s="1" t="str">
        <f>HYPERLINK("http://genome-euro.ucsc.edu/cgi-bin/hgTracks?position=205074_at","UCSC")</f>
        <v>UCSC</v>
      </c>
      <c r="E5315" s="1" t="str">
        <f>HYPERLINK("http://www.ncbi.nlm.nih.gov/gene/?term=SLC22A5","NCBI")</f>
        <v>NCBI</v>
      </c>
      <c r="F5315">
        <v>5.0999999999999997E-2</v>
      </c>
      <c r="G5315">
        <v>0.16</v>
      </c>
      <c r="H5315" s="1" t="str">
        <f>HYPERLINK("http://www.weizmann.ac.il/complex/compphys/software/geview/data/figures/205074_at.png","Figure")</f>
        <v>Figure</v>
      </c>
      <c r="I5315">
        <v>0.91500000000000004</v>
      </c>
      <c r="J5315">
        <v>0.19</v>
      </c>
      <c r="K5315">
        <v>1.04</v>
      </c>
      <c r="L5315">
        <v>0.7</v>
      </c>
      <c r="M5315">
        <v>1.1299999999999999</v>
      </c>
      <c r="N5315">
        <v>4.2000000000000003E-2</v>
      </c>
    </row>
    <row r="5316" spans="1:14" x14ac:dyDescent="0.25">
      <c r="A5316" t="s">
        <v>9597</v>
      </c>
      <c r="B5316" t="s">
        <v>9598</v>
      </c>
      <c r="C5316" s="1" t="str">
        <f>HYPERLINK("http://www.genecards.org/cgi-bin/carddisp.pl?gene=AIRE","GeneCards")</f>
        <v>GeneCards</v>
      </c>
      <c r="D5316" s="1" t="str">
        <f>HYPERLINK("http://genome-euro.ucsc.edu/cgi-bin/hgTracks?position=208090_s_at","UCSC")</f>
        <v>UCSC</v>
      </c>
      <c r="E5316" s="1" t="str">
        <f>HYPERLINK("http://www.ncbi.nlm.nih.gov/gene/?term=AIRE","NCBI")</f>
        <v>NCBI</v>
      </c>
      <c r="F5316">
        <v>5.0999999999999997E-2</v>
      </c>
      <c r="G5316">
        <v>0.16</v>
      </c>
      <c r="H5316" s="1" t="str">
        <f>HYPERLINK("http://www.weizmann.ac.il/complex/compphys/software/geview/data/figures/208090_s_at.png","Figure")</f>
        <v>Figure</v>
      </c>
      <c r="I5316">
        <v>1.18</v>
      </c>
      <c r="J5316">
        <v>4.2999999999999997E-2</v>
      </c>
      <c r="K5316">
        <v>1.0900000000000001</v>
      </c>
      <c r="L5316">
        <v>0.24</v>
      </c>
      <c r="M5316">
        <v>0.92800000000000005</v>
      </c>
      <c r="N5316">
        <v>0.41</v>
      </c>
    </row>
    <row r="5317" spans="1:14" x14ac:dyDescent="0.25">
      <c r="A5317" t="s">
        <v>9599</v>
      </c>
      <c r="B5317" t="s">
        <v>5205</v>
      </c>
      <c r="C5317" s="1" t="str">
        <f>HYPERLINK("http://www.genecards.org/cgi-bin/carddisp.pl?gene=PPP2R4","GeneCards")</f>
        <v>GeneCards</v>
      </c>
      <c r="D5317" s="1" t="str">
        <f>HYPERLINK("http://genome-euro.ucsc.edu/cgi-bin/hgTracks?position=208874_x_at","UCSC")</f>
        <v>UCSC</v>
      </c>
      <c r="E5317" s="1" t="str">
        <f>HYPERLINK("http://www.ncbi.nlm.nih.gov/gene/?term=PPP2R4","NCBI")</f>
        <v>NCBI</v>
      </c>
      <c r="F5317">
        <v>5.0999999999999997E-2</v>
      </c>
      <c r="G5317">
        <v>0.16</v>
      </c>
      <c r="H5317" s="1" t="str">
        <f>HYPERLINK("http://www.weizmann.ac.il/complex/compphys/software/geview/data/figures/208874_x_at.png","Figure")</f>
        <v>Figure</v>
      </c>
      <c r="I5317">
        <v>1.27</v>
      </c>
      <c r="J5317">
        <v>0.21</v>
      </c>
      <c r="K5317">
        <v>1.37</v>
      </c>
      <c r="L5317">
        <v>4.4999999999999998E-2</v>
      </c>
      <c r="M5317">
        <v>1.08</v>
      </c>
      <c r="N5317">
        <v>0.83</v>
      </c>
    </row>
    <row r="5318" spans="1:14" x14ac:dyDescent="0.25">
      <c r="A5318" t="s">
        <v>9600</v>
      </c>
      <c r="B5318" t="s">
        <v>9601</v>
      </c>
      <c r="C5318" s="1" t="str">
        <f>HYPERLINK("http://www.genecards.org/cgi-bin/carddisp.pl?gene=HMGN1","GeneCards")</f>
        <v>GeneCards</v>
      </c>
      <c r="D5318" s="1" t="str">
        <f>HYPERLINK("http://genome-euro.ucsc.edu/cgi-bin/hgTracks?position=200944_s_at","UCSC")</f>
        <v>UCSC</v>
      </c>
      <c r="E5318" s="1" t="str">
        <f>HYPERLINK("http://www.ncbi.nlm.nih.gov/gene/?term=HMGN1","NCBI")</f>
        <v>NCBI</v>
      </c>
      <c r="F5318">
        <v>5.0999999999999997E-2</v>
      </c>
      <c r="G5318">
        <v>0.16</v>
      </c>
      <c r="H5318" s="1" t="str">
        <f>HYPERLINK("http://www.weizmann.ac.il/complex/compphys/software/geview/data/figures/200944_s_at.png","Figure")</f>
        <v>Figure</v>
      </c>
      <c r="I5318">
        <v>0.69499999999999995</v>
      </c>
      <c r="J5318">
        <v>4.1000000000000002E-2</v>
      </c>
      <c r="K5318">
        <v>0.86199999999999999</v>
      </c>
      <c r="L5318">
        <v>0.43</v>
      </c>
      <c r="M5318">
        <v>1.24</v>
      </c>
      <c r="N5318">
        <v>0.23</v>
      </c>
    </row>
    <row r="5319" spans="1:14" x14ac:dyDescent="0.25">
      <c r="A5319" t="s">
        <v>9602</v>
      </c>
      <c r="B5319" t="s">
        <v>9603</v>
      </c>
      <c r="C5319" s="1" t="str">
        <f>HYPERLINK("http://www.genecards.org/cgi-bin/carddisp.pl?gene=ADORA1","GeneCards")</f>
        <v>GeneCards</v>
      </c>
      <c r="D5319" s="1" t="str">
        <f>HYPERLINK("http://genome-euro.ucsc.edu/cgi-bin/hgTracks?position=216220_s_at","UCSC")</f>
        <v>UCSC</v>
      </c>
      <c r="E5319" s="1" t="str">
        <f>HYPERLINK("http://www.ncbi.nlm.nih.gov/gene/?term=ADORA1","NCBI")</f>
        <v>NCBI</v>
      </c>
      <c r="F5319">
        <v>5.0999999999999997E-2</v>
      </c>
      <c r="G5319">
        <v>0.16</v>
      </c>
      <c r="H5319" s="1" t="str">
        <f>HYPERLINK("http://www.weizmann.ac.il/complex/compphys/software/geview/data/figures/216220_s_at.png","Figure")</f>
        <v>Figure</v>
      </c>
      <c r="I5319">
        <v>1.21</v>
      </c>
      <c r="J5319">
        <v>7.0999999999999994E-2</v>
      </c>
      <c r="K5319">
        <v>1.01</v>
      </c>
      <c r="L5319">
        <v>0.99</v>
      </c>
      <c r="M5319">
        <v>0.83699999999999997</v>
      </c>
      <c r="N5319">
        <v>6.8000000000000005E-2</v>
      </c>
    </row>
    <row r="5320" spans="1:14" x14ac:dyDescent="0.25">
      <c r="A5320" t="s">
        <v>9604</v>
      </c>
      <c r="B5320" t="s">
        <v>9605</v>
      </c>
      <c r="C5320" s="1" t="str">
        <f>HYPERLINK("http://www.genecards.org/cgi-bin/carddisp.pl?gene=ASB8","GeneCards")</f>
        <v>GeneCards</v>
      </c>
      <c r="D5320" s="1" t="str">
        <f>HYPERLINK("http://genome-euro.ucsc.edu/cgi-bin/hgTracks?position=218841_at","UCSC")</f>
        <v>UCSC</v>
      </c>
      <c r="E5320" s="1" t="str">
        <f>HYPERLINK("http://www.ncbi.nlm.nih.gov/gene/?term=ASB8","NCBI")</f>
        <v>NCBI</v>
      </c>
      <c r="F5320">
        <v>5.0999999999999997E-2</v>
      </c>
      <c r="G5320">
        <v>0.16</v>
      </c>
      <c r="H5320" s="1" t="str">
        <f>HYPERLINK("http://www.weizmann.ac.il/complex/compphys/software/geview/data/figures/218841_at.png","Figure")</f>
        <v>Figure</v>
      </c>
      <c r="I5320">
        <v>1.04</v>
      </c>
      <c r="J5320">
        <v>0.98</v>
      </c>
      <c r="K5320">
        <v>0.71199999999999997</v>
      </c>
      <c r="L5320">
        <v>9.9000000000000005E-2</v>
      </c>
      <c r="M5320">
        <v>0.68799999999999994</v>
      </c>
      <c r="N5320">
        <v>8.7999999999999995E-2</v>
      </c>
    </row>
    <row r="5321" spans="1:14" x14ac:dyDescent="0.25">
      <c r="A5321" t="s">
        <v>9606</v>
      </c>
      <c r="B5321" t="s">
        <v>9607</v>
      </c>
      <c r="C5321" s="1" t="str">
        <f>HYPERLINK("http://www.genecards.org/cgi-bin/carddisp.pl?gene=RAB40B","GeneCards")</f>
        <v>GeneCards</v>
      </c>
      <c r="D5321" s="1" t="str">
        <f>HYPERLINK("http://genome-euro.ucsc.edu/cgi-bin/hgTracks?position=217597_x_at","UCSC")</f>
        <v>UCSC</v>
      </c>
      <c r="E5321" s="1" t="str">
        <f>HYPERLINK("http://www.ncbi.nlm.nih.gov/gene/?term=RAB40B","NCBI")</f>
        <v>NCBI</v>
      </c>
      <c r="F5321">
        <v>5.0999999999999997E-2</v>
      </c>
      <c r="G5321">
        <v>0.16</v>
      </c>
      <c r="H5321" s="1" t="str">
        <f>HYPERLINK("http://www.weizmann.ac.il/complex/compphys/software/geview/data/figures/217597_x_at.png","Figure")</f>
        <v>Figure</v>
      </c>
      <c r="I5321">
        <v>0.83499999999999996</v>
      </c>
      <c r="J5321">
        <v>0.25</v>
      </c>
      <c r="K5321">
        <v>0.77200000000000002</v>
      </c>
      <c r="L5321">
        <v>4.2999999999999997E-2</v>
      </c>
      <c r="M5321">
        <v>0.92500000000000004</v>
      </c>
      <c r="N5321">
        <v>0.73</v>
      </c>
    </row>
    <row r="5322" spans="1:14" x14ac:dyDescent="0.25">
      <c r="A5322" t="s">
        <v>9608</v>
      </c>
      <c r="B5322" t="s">
        <v>6680</v>
      </c>
      <c r="C5322" s="1" t="str">
        <f>HYPERLINK("http://www.genecards.org/cgi-bin/carddisp.pl?gene=CARD14","GeneCards")</f>
        <v>GeneCards</v>
      </c>
      <c r="D5322" s="1" t="str">
        <f>HYPERLINK("http://genome-euro.ucsc.edu/cgi-bin/hgTracks?position=220599_s_at","UCSC")</f>
        <v>UCSC</v>
      </c>
      <c r="E5322" s="1" t="str">
        <f>HYPERLINK("http://www.ncbi.nlm.nih.gov/gene/?term=CARD14","NCBI")</f>
        <v>NCBI</v>
      </c>
      <c r="F5322">
        <v>5.0999999999999997E-2</v>
      </c>
      <c r="G5322">
        <v>0.16</v>
      </c>
      <c r="H5322" s="1" t="str">
        <f>HYPERLINK("http://www.weizmann.ac.il/complex/compphys/software/geview/data/figures/220599_s_at.png","Figure")</f>
        <v>Figure</v>
      </c>
      <c r="I5322">
        <v>1.1000000000000001</v>
      </c>
      <c r="J5322">
        <v>0.2</v>
      </c>
      <c r="K5322">
        <v>0.96299999999999997</v>
      </c>
      <c r="L5322">
        <v>0.7</v>
      </c>
      <c r="M5322">
        <v>0.874</v>
      </c>
      <c r="N5322">
        <v>4.2000000000000003E-2</v>
      </c>
    </row>
    <row r="5323" spans="1:14" x14ac:dyDescent="0.25">
      <c r="A5323" t="s">
        <v>9609</v>
      </c>
      <c r="B5323" t="s">
        <v>9610</v>
      </c>
      <c r="C5323" s="1" t="str">
        <f>HYPERLINK("http://www.genecards.org/cgi-bin/carddisp.pl?gene=ZXDA /// ZXDB","GeneCards")</f>
        <v>GeneCards</v>
      </c>
      <c r="D5323" s="1" t="str">
        <f>HYPERLINK("http://genome-euro.ucsc.edu/cgi-bin/hgTracks?position=215263_at","UCSC")</f>
        <v>UCSC</v>
      </c>
      <c r="E5323" s="1" t="str">
        <f>HYPERLINK("http://www.ncbi.nlm.nih.gov/gene/?term=ZXDA /// ZXDB","NCBI")</f>
        <v>NCBI</v>
      </c>
      <c r="F5323">
        <v>5.0999999999999997E-2</v>
      </c>
      <c r="G5323">
        <v>0.16</v>
      </c>
      <c r="H5323" s="1" t="str">
        <f>HYPERLINK("http://www.weizmann.ac.il/complex/compphys/software/geview/data/figures/215263_at.png","Figure")</f>
        <v>Figure</v>
      </c>
      <c r="I5323">
        <v>0.86199999999999999</v>
      </c>
      <c r="J5323">
        <v>7.0999999999999994E-2</v>
      </c>
      <c r="K5323">
        <v>0.99099999999999999</v>
      </c>
      <c r="L5323">
        <v>0.98</v>
      </c>
      <c r="M5323">
        <v>1.1499999999999999</v>
      </c>
      <c r="N5323">
        <v>6.9000000000000006E-2</v>
      </c>
    </row>
    <row r="5324" spans="1:14" x14ac:dyDescent="0.25">
      <c r="A5324" t="s">
        <v>9611</v>
      </c>
      <c r="B5324" t="s">
        <v>9612</v>
      </c>
      <c r="C5324" s="1" t="str">
        <f>HYPERLINK("http://www.genecards.org/cgi-bin/carddisp.pl?gene=DYNC1LI1","GeneCards")</f>
        <v>GeneCards</v>
      </c>
      <c r="D5324" s="1" t="str">
        <f>HYPERLINK("http://genome-euro.ucsc.edu/cgi-bin/hgTracks?position=217976_s_at","UCSC")</f>
        <v>UCSC</v>
      </c>
      <c r="E5324" s="1" t="str">
        <f>HYPERLINK("http://www.ncbi.nlm.nih.gov/gene/?term=DYNC1LI1","NCBI")</f>
        <v>NCBI</v>
      </c>
      <c r="F5324">
        <v>5.0999999999999997E-2</v>
      </c>
      <c r="G5324">
        <v>0.16</v>
      </c>
      <c r="H5324" s="1" t="str">
        <f>HYPERLINK("http://www.weizmann.ac.il/complex/compphys/software/geview/data/figures/217976_s_at.png","Figure")</f>
        <v>Figure</v>
      </c>
      <c r="I5324">
        <v>0.66600000000000004</v>
      </c>
      <c r="J5324">
        <v>0.08</v>
      </c>
      <c r="K5324">
        <v>0.7</v>
      </c>
      <c r="L5324">
        <v>7.6999999999999999E-2</v>
      </c>
      <c r="M5324">
        <v>1.05</v>
      </c>
      <c r="N5324">
        <v>0.95</v>
      </c>
    </row>
    <row r="5325" spans="1:14" x14ac:dyDescent="0.25">
      <c r="A5325" t="s">
        <v>9613</v>
      </c>
      <c r="B5325" t="s">
        <v>5049</v>
      </c>
      <c r="C5325" s="1" t="str">
        <f>HYPERLINK("http://www.genecards.org/cgi-bin/carddisp.pl?gene=SLIT1","GeneCards")</f>
        <v>GeneCards</v>
      </c>
      <c r="D5325" s="1" t="str">
        <f>HYPERLINK("http://genome-euro.ucsc.edu/cgi-bin/hgTracks?position=213601_at","UCSC")</f>
        <v>UCSC</v>
      </c>
      <c r="E5325" s="1" t="str">
        <f>HYPERLINK("http://www.ncbi.nlm.nih.gov/gene/?term=SLIT1","NCBI")</f>
        <v>NCBI</v>
      </c>
      <c r="F5325">
        <v>5.0999999999999997E-2</v>
      </c>
      <c r="G5325">
        <v>0.16</v>
      </c>
      <c r="H5325" s="1" t="str">
        <f>HYPERLINK("http://www.weizmann.ac.il/complex/compphys/software/geview/data/figures/213601_at.png","Figure")</f>
        <v>Figure</v>
      </c>
      <c r="I5325">
        <v>1.04</v>
      </c>
      <c r="J5325">
        <v>0.85</v>
      </c>
      <c r="K5325">
        <v>0.89</v>
      </c>
      <c r="L5325">
        <v>0.14000000000000001</v>
      </c>
      <c r="M5325">
        <v>0.85899999999999999</v>
      </c>
      <c r="N5325">
        <v>6.5000000000000002E-2</v>
      </c>
    </row>
    <row r="5326" spans="1:14" x14ac:dyDescent="0.25">
      <c r="A5326" t="s">
        <v>9614</v>
      </c>
      <c r="B5326" t="s">
        <v>9615</v>
      </c>
      <c r="C5326" s="1" t="str">
        <f>HYPERLINK("http://www.genecards.org/cgi-bin/carddisp.pl?gene=KLRB1","GeneCards")</f>
        <v>GeneCards</v>
      </c>
      <c r="D5326" s="1" t="str">
        <f>HYPERLINK("http://genome-euro.ucsc.edu/cgi-bin/hgTracks?position=214470_at","UCSC")</f>
        <v>UCSC</v>
      </c>
      <c r="E5326" s="1" t="str">
        <f>HYPERLINK("http://www.ncbi.nlm.nih.gov/gene/?term=KLRB1","NCBI")</f>
        <v>NCBI</v>
      </c>
      <c r="F5326">
        <v>5.0999999999999997E-2</v>
      </c>
      <c r="G5326">
        <v>0.16</v>
      </c>
      <c r="H5326" s="1" t="str">
        <f>HYPERLINK("http://www.weizmann.ac.il/complex/compphys/software/geview/data/figures/214470_at.png","Figure")</f>
        <v>Figure</v>
      </c>
      <c r="I5326">
        <v>0.53800000000000003</v>
      </c>
      <c r="J5326">
        <v>0.1</v>
      </c>
      <c r="K5326">
        <v>0.54100000000000004</v>
      </c>
      <c r="L5326">
        <v>6.2E-2</v>
      </c>
      <c r="M5326">
        <v>1.01</v>
      </c>
      <c r="N5326">
        <v>1</v>
      </c>
    </row>
    <row r="5327" spans="1:14" x14ac:dyDescent="0.25">
      <c r="A5327" t="s">
        <v>9616</v>
      </c>
      <c r="B5327" t="s">
        <v>1261</v>
      </c>
      <c r="C5327" s="1" t="str">
        <f>HYPERLINK("http://www.genecards.org/cgi-bin/carddisp.pl?gene=CIRBP","GeneCards")</f>
        <v>GeneCards</v>
      </c>
      <c r="D5327" s="1" t="str">
        <f>HYPERLINK("http://genome-euro.ucsc.edu/cgi-bin/hgTracks?position=200811_at","UCSC")</f>
        <v>UCSC</v>
      </c>
      <c r="E5327" s="1" t="str">
        <f>HYPERLINK("http://www.ncbi.nlm.nih.gov/gene/?term=CIRBP","NCBI")</f>
        <v>NCBI</v>
      </c>
      <c r="F5327">
        <v>5.0999999999999997E-2</v>
      </c>
      <c r="G5327">
        <v>0.16</v>
      </c>
      <c r="H5327" s="1" t="str">
        <f>HYPERLINK("http://www.weizmann.ac.il/complex/compphys/software/geview/data/figures/200811_at.png","Figure")</f>
        <v>Figure</v>
      </c>
      <c r="I5327">
        <v>0.875</v>
      </c>
      <c r="J5327">
        <v>0.87</v>
      </c>
      <c r="K5327">
        <v>0.54700000000000004</v>
      </c>
      <c r="L5327">
        <v>5.6000000000000001E-2</v>
      </c>
      <c r="M5327">
        <v>0.625</v>
      </c>
      <c r="N5327">
        <v>0.19</v>
      </c>
    </row>
    <row r="5328" spans="1:14" x14ac:dyDescent="0.25">
      <c r="A5328" t="s">
        <v>9617</v>
      </c>
      <c r="B5328" t="s">
        <v>9618</v>
      </c>
      <c r="C5328" s="1" t="str">
        <f>HYPERLINK("http://www.genecards.org/cgi-bin/carddisp.pl?gene=GPKOW","GeneCards")</f>
        <v>GeneCards</v>
      </c>
      <c r="D5328" s="1" t="str">
        <f>HYPERLINK("http://genome-euro.ucsc.edu/cgi-bin/hgTracks?position=203776_at","UCSC")</f>
        <v>UCSC</v>
      </c>
      <c r="E5328" s="1" t="str">
        <f>HYPERLINK("http://www.ncbi.nlm.nih.gov/gene/?term=GPKOW","NCBI")</f>
        <v>NCBI</v>
      </c>
      <c r="F5328">
        <v>5.0999999999999997E-2</v>
      </c>
      <c r="G5328">
        <v>0.16</v>
      </c>
      <c r="H5328" s="1" t="str">
        <f>HYPERLINK("http://www.weizmann.ac.il/complex/compphys/software/geview/data/figures/203776_at.png","Figure")</f>
        <v>Figure</v>
      </c>
      <c r="I5328">
        <v>0.82399999999999995</v>
      </c>
      <c r="J5328">
        <v>0.19</v>
      </c>
      <c r="K5328">
        <v>1.07</v>
      </c>
      <c r="L5328">
        <v>0.72</v>
      </c>
      <c r="M5328">
        <v>1.3</v>
      </c>
      <c r="N5328">
        <v>4.2000000000000003E-2</v>
      </c>
    </row>
    <row r="5329" spans="1:14" x14ac:dyDescent="0.25">
      <c r="A5329" t="s">
        <v>9619</v>
      </c>
      <c r="B5329" t="s">
        <v>9620</v>
      </c>
      <c r="C5329" s="1" t="str">
        <f>HYPERLINK("http://www.genecards.org/cgi-bin/carddisp.pl?gene=KIAA0753","GeneCards")</f>
        <v>GeneCards</v>
      </c>
      <c r="D5329" s="1" t="str">
        <f>HYPERLINK("http://genome-euro.ucsc.edu/cgi-bin/hgTracks?position=204711_at","UCSC")</f>
        <v>UCSC</v>
      </c>
      <c r="E5329" s="1" t="str">
        <f>HYPERLINK("http://www.ncbi.nlm.nih.gov/gene/?term=KIAA0753","NCBI")</f>
        <v>NCBI</v>
      </c>
      <c r="F5329">
        <v>5.0999999999999997E-2</v>
      </c>
      <c r="G5329">
        <v>0.16</v>
      </c>
      <c r="H5329" s="1" t="str">
        <f>HYPERLINK("http://www.weizmann.ac.il/complex/compphys/software/geview/data/figures/204711_at.png","Figure")</f>
        <v>Figure</v>
      </c>
      <c r="I5329">
        <v>0.996</v>
      </c>
      <c r="J5329">
        <v>1</v>
      </c>
      <c r="K5329">
        <v>1.27</v>
      </c>
      <c r="L5329">
        <v>8.5000000000000006E-2</v>
      </c>
      <c r="M5329">
        <v>1.28</v>
      </c>
      <c r="N5329">
        <v>0.1</v>
      </c>
    </row>
    <row r="5330" spans="1:14" x14ac:dyDescent="0.25">
      <c r="A5330" t="s">
        <v>9621</v>
      </c>
      <c r="B5330" t="s">
        <v>9622</v>
      </c>
      <c r="C5330" s="1" t="str">
        <f>HYPERLINK("http://www.genecards.org/cgi-bin/carddisp.pl?gene=CHRNB2","GeneCards")</f>
        <v>GeneCards</v>
      </c>
      <c r="D5330" s="1" t="str">
        <f>HYPERLINK("http://genome-euro.ucsc.edu/cgi-bin/hgTracks?position=206635_at","UCSC")</f>
        <v>UCSC</v>
      </c>
      <c r="E5330" s="1" t="str">
        <f>HYPERLINK("http://www.ncbi.nlm.nih.gov/gene/?term=CHRNB2","NCBI")</f>
        <v>NCBI</v>
      </c>
      <c r="F5330">
        <v>5.0999999999999997E-2</v>
      </c>
      <c r="G5330">
        <v>0.16</v>
      </c>
      <c r="H5330" s="1" t="str">
        <f>HYPERLINK("http://www.weizmann.ac.il/complex/compphys/software/geview/data/figures/206635_at.png","Figure")</f>
        <v>Figure</v>
      </c>
      <c r="I5330">
        <v>1.44</v>
      </c>
      <c r="J5330">
        <v>5.0999999999999997E-2</v>
      </c>
      <c r="K5330">
        <v>1.08</v>
      </c>
      <c r="L5330">
        <v>0.79</v>
      </c>
      <c r="M5330">
        <v>0.753</v>
      </c>
      <c r="N5330">
        <v>0.11</v>
      </c>
    </row>
    <row r="5331" spans="1:14" x14ac:dyDescent="0.25">
      <c r="A5331" t="s">
        <v>9623</v>
      </c>
      <c r="B5331" t="s">
        <v>6110</v>
      </c>
      <c r="C5331" s="1" t="str">
        <f>HYPERLINK("http://www.genecards.org/cgi-bin/carddisp.pl?gene=PSAP","GeneCards")</f>
        <v>GeneCards</v>
      </c>
      <c r="D5331" s="1" t="str">
        <f>HYPERLINK("http://genome-euro.ucsc.edu/cgi-bin/hgTracks?position=200866_s_at","UCSC")</f>
        <v>UCSC</v>
      </c>
      <c r="E5331" s="1" t="str">
        <f>HYPERLINK("http://www.ncbi.nlm.nih.gov/gene/?term=PSAP","NCBI")</f>
        <v>NCBI</v>
      </c>
      <c r="F5331">
        <v>5.0999999999999997E-2</v>
      </c>
      <c r="G5331">
        <v>0.16</v>
      </c>
      <c r="H5331" s="1" t="str">
        <f>HYPERLINK("http://www.weizmann.ac.il/complex/compphys/software/geview/data/figures/200866_s_at.png","Figure")</f>
        <v>Figure</v>
      </c>
      <c r="I5331">
        <v>0.63600000000000001</v>
      </c>
      <c r="J5331">
        <v>6.9000000000000006E-2</v>
      </c>
      <c r="K5331">
        <v>0.96799999999999997</v>
      </c>
      <c r="L5331">
        <v>0.98</v>
      </c>
      <c r="M5331">
        <v>1.52</v>
      </c>
      <c r="N5331">
        <v>7.0999999999999994E-2</v>
      </c>
    </row>
    <row r="5332" spans="1:14" x14ac:dyDescent="0.25">
      <c r="A5332" t="s">
        <v>9624</v>
      </c>
      <c r="B5332" t="s">
        <v>9625</v>
      </c>
      <c r="C5332" s="1" t="str">
        <f>HYPERLINK("http://www.genecards.org/cgi-bin/carddisp.pl?gene=CHD4","GeneCards")</f>
        <v>GeneCards</v>
      </c>
      <c r="D5332" s="1" t="str">
        <f>HYPERLINK("http://genome-euro.ucsc.edu/cgi-bin/hgTracks?position=201184_s_at","UCSC")</f>
        <v>UCSC</v>
      </c>
      <c r="E5332" s="1" t="str">
        <f>HYPERLINK("http://www.ncbi.nlm.nih.gov/gene/?term=CHD4","NCBI")</f>
        <v>NCBI</v>
      </c>
      <c r="F5332">
        <v>5.0999999999999997E-2</v>
      </c>
      <c r="G5332">
        <v>0.16</v>
      </c>
      <c r="H5332" s="1" t="str">
        <f>HYPERLINK("http://www.weizmann.ac.il/complex/compphys/software/geview/data/figures/201184_s_at.png","Figure")</f>
        <v>Figure</v>
      </c>
      <c r="I5332">
        <v>1.51</v>
      </c>
      <c r="J5332">
        <v>6.9000000000000006E-2</v>
      </c>
      <c r="K5332">
        <v>1.4</v>
      </c>
      <c r="L5332">
        <v>9.0999999999999998E-2</v>
      </c>
      <c r="M5332">
        <v>0.92800000000000005</v>
      </c>
      <c r="N5332">
        <v>0.88</v>
      </c>
    </row>
    <row r="5333" spans="1:14" x14ac:dyDescent="0.25">
      <c r="A5333" t="s">
        <v>9626</v>
      </c>
      <c r="B5333" t="s">
        <v>9627</v>
      </c>
      <c r="C5333" s="1" t="str">
        <f>HYPERLINK("http://www.genecards.org/cgi-bin/carddisp.pl?gene=GTF3A","GeneCards")</f>
        <v>GeneCards</v>
      </c>
      <c r="D5333" s="1" t="str">
        <f>HYPERLINK("http://genome-euro.ucsc.edu/cgi-bin/hgTracks?position=201338_x_at","UCSC")</f>
        <v>UCSC</v>
      </c>
      <c r="E5333" s="1" t="str">
        <f>HYPERLINK("http://www.ncbi.nlm.nih.gov/gene/?term=GTF3A","NCBI")</f>
        <v>NCBI</v>
      </c>
      <c r="F5333">
        <v>5.0999999999999997E-2</v>
      </c>
      <c r="G5333">
        <v>0.16</v>
      </c>
      <c r="H5333" s="1" t="str">
        <f>HYPERLINK("http://www.weizmann.ac.il/complex/compphys/software/geview/data/figures/201338_x_at.png","Figure")</f>
        <v>Figure</v>
      </c>
      <c r="I5333">
        <v>0.83699999999999997</v>
      </c>
      <c r="J5333">
        <v>0.36</v>
      </c>
      <c r="K5333">
        <v>1.1499999999999999</v>
      </c>
      <c r="L5333">
        <v>0.42</v>
      </c>
      <c r="M5333">
        <v>1.38</v>
      </c>
      <c r="N5333">
        <v>4.2000000000000003E-2</v>
      </c>
    </row>
    <row r="5334" spans="1:14" x14ac:dyDescent="0.25">
      <c r="A5334" t="s">
        <v>9628</v>
      </c>
      <c r="B5334" t="s">
        <v>2598</v>
      </c>
      <c r="C5334" s="1" t="str">
        <f>HYPERLINK("http://www.genecards.org/cgi-bin/carddisp.pl?gene=CEP57","GeneCards")</f>
        <v>GeneCards</v>
      </c>
      <c r="D5334" s="1" t="str">
        <f>HYPERLINK("http://genome-euro.ucsc.edu/cgi-bin/hgTracks?position=203493_s_at","UCSC")</f>
        <v>UCSC</v>
      </c>
      <c r="E5334" s="1" t="str">
        <f>HYPERLINK("http://www.ncbi.nlm.nih.gov/gene/?term=CEP57","NCBI")</f>
        <v>NCBI</v>
      </c>
      <c r="F5334">
        <v>5.0999999999999997E-2</v>
      </c>
      <c r="G5334">
        <v>0.16</v>
      </c>
      <c r="H5334" s="1" t="str">
        <f>HYPERLINK("http://www.weizmann.ac.il/complex/compphys/software/geview/data/figures/203493_s_at.png","Figure")</f>
        <v>Figure</v>
      </c>
      <c r="I5334">
        <v>0.55600000000000005</v>
      </c>
      <c r="J5334">
        <v>4.7E-2</v>
      </c>
      <c r="K5334">
        <v>0.85299999999999998</v>
      </c>
      <c r="L5334">
        <v>0.69</v>
      </c>
      <c r="M5334">
        <v>1.54</v>
      </c>
      <c r="N5334">
        <v>0.13</v>
      </c>
    </row>
    <row r="5335" spans="1:14" x14ac:dyDescent="0.25">
      <c r="A5335" t="s">
        <v>9629</v>
      </c>
      <c r="B5335" t="s">
        <v>9630</v>
      </c>
      <c r="C5335" s="1" t="str">
        <f>HYPERLINK("http://www.genecards.org/cgi-bin/carddisp.pl?gene=DOCK9","GeneCards")</f>
        <v>GeneCards</v>
      </c>
      <c r="D5335" s="1" t="str">
        <f>HYPERLINK("http://genome-euro.ucsc.edu/cgi-bin/hgTracks?position=215041_s_at","UCSC")</f>
        <v>UCSC</v>
      </c>
      <c r="E5335" s="1" t="str">
        <f>HYPERLINK("http://www.ncbi.nlm.nih.gov/gene/?term=DOCK9","NCBI")</f>
        <v>NCBI</v>
      </c>
      <c r="F5335">
        <v>5.0999999999999997E-2</v>
      </c>
      <c r="G5335">
        <v>0.16</v>
      </c>
      <c r="H5335" s="1" t="str">
        <f>HYPERLINK("http://www.weizmann.ac.il/complex/compphys/software/geview/data/figures/215041_s_at.png","Figure")</f>
        <v>Figure</v>
      </c>
      <c r="I5335">
        <v>1.07</v>
      </c>
      <c r="J5335">
        <v>8.2000000000000003E-2</v>
      </c>
      <c r="K5335">
        <v>1.06</v>
      </c>
      <c r="L5335">
        <v>7.5999999999999998E-2</v>
      </c>
      <c r="M5335">
        <v>0.99199999999999999</v>
      </c>
      <c r="N5335">
        <v>0.96</v>
      </c>
    </row>
    <row r="5336" spans="1:14" x14ac:dyDescent="0.25">
      <c r="A5336" t="s">
        <v>9631</v>
      </c>
      <c r="B5336" t="s">
        <v>9632</v>
      </c>
      <c r="C5336" s="1" t="str">
        <f>HYPERLINK("http://www.genecards.org/cgi-bin/carddisp.pl?gene=RNFT2","GeneCards")</f>
        <v>GeneCards</v>
      </c>
      <c r="D5336" s="1" t="str">
        <f>HYPERLINK("http://genome-euro.ucsc.edu/cgi-bin/hgTracks?position=221908_at","UCSC")</f>
        <v>UCSC</v>
      </c>
      <c r="E5336" s="1" t="str">
        <f>HYPERLINK("http://www.ncbi.nlm.nih.gov/gene/?term=RNFT2","NCBI")</f>
        <v>NCBI</v>
      </c>
      <c r="F5336">
        <v>5.0999999999999997E-2</v>
      </c>
      <c r="G5336">
        <v>0.16</v>
      </c>
      <c r="H5336" s="1" t="str">
        <f>HYPERLINK("http://www.weizmann.ac.il/complex/compphys/software/geview/data/figures/221908_at.png","Figure")</f>
        <v>Figure</v>
      </c>
      <c r="I5336">
        <v>0.74</v>
      </c>
      <c r="J5336">
        <v>9.9000000000000005E-2</v>
      </c>
      <c r="K5336">
        <v>1.02</v>
      </c>
      <c r="L5336">
        <v>0.98</v>
      </c>
      <c r="M5336">
        <v>1.38</v>
      </c>
      <c r="N5336">
        <v>5.3999999999999999E-2</v>
      </c>
    </row>
    <row r="5337" spans="1:14" x14ac:dyDescent="0.25">
      <c r="A5337" t="s">
        <v>9633</v>
      </c>
      <c r="B5337" t="s">
        <v>9634</v>
      </c>
      <c r="C5337" s="1" t="str">
        <f>HYPERLINK("http://www.genecards.org/cgi-bin/carddisp.pl?gene=HDAC1","GeneCards")</f>
        <v>GeneCards</v>
      </c>
      <c r="D5337" s="1" t="str">
        <f>HYPERLINK("http://genome-euro.ucsc.edu/cgi-bin/hgTracks?position=201209_at","UCSC")</f>
        <v>UCSC</v>
      </c>
      <c r="E5337" s="1" t="str">
        <f>HYPERLINK("http://www.ncbi.nlm.nih.gov/gene/?term=HDAC1","NCBI")</f>
        <v>NCBI</v>
      </c>
      <c r="F5337">
        <v>5.0999999999999997E-2</v>
      </c>
      <c r="G5337">
        <v>0.16</v>
      </c>
      <c r="H5337" s="1" t="str">
        <f>HYPERLINK("http://www.weizmann.ac.il/complex/compphys/software/geview/data/figures/201209_at.png","Figure")</f>
        <v>Figure</v>
      </c>
      <c r="I5337">
        <v>1.32</v>
      </c>
      <c r="J5337">
        <v>0.24</v>
      </c>
      <c r="K5337">
        <v>1.47</v>
      </c>
      <c r="L5337">
        <v>4.2999999999999997E-2</v>
      </c>
      <c r="M5337">
        <v>1.1100000000000001</v>
      </c>
      <c r="N5337">
        <v>0.77</v>
      </c>
    </row>
    <row r="5338" spans="1:14" x14ac:dyDescent="0.25">
      <c r="A5338" t="s">
        <v>9635</v>
      </c>
      <c r="B5338" t="s">
        <v>6196</v>
      </c>
      <c r="C5338" s="1" t="str">
        <f>HYPERLINK("http://www.genecards.org/cgi-bin/carddisp.pl?gene=HS2ST1","GeneCards")</f>
        <v>GeneCards</v>
      </c>
      <c r="D5338" s="1" t="str">
        <f>HYPERLINK("http://genome-euro.ucsc.edu/cgi-bin/hgTracks?position=203284_s_at","UCSC")</f>
        <v>UCSC</v>
      </c>
      <c r="E5338" s="1" t="str">
        <f>HYPERLINK("http://www.ncbi.nlm.nih.gov/gene/?term=HS2ST1","NCBI")</f>
        <v>NCBI</v>
      </c>
      <c r="F5338">
        <v>5.0999999999999997E-2</v>
      </c>
      <c r="G5338">
        <v>0.16</v>
      </c>
      <c r="H5338" s="1" t="str">
        <f>HYPERLINK("http://www.weizmann.ac.il/complex/compphys/software/geview/data/figures/203284_s_at.png","Figure")</f>
        <v>Figure</v>
      </c>
      <c r="I5338">
        <v>0.59699999999999998</v>
      </c>
      <c r="J5338">
        <v>4.8000000000000001E-2</v>
      </c>
      <c r="K5338">
        <v>0.875</v>
      </c>
      <c r="L5338">
        <v>0.71</v>
      </c>
      <c r="M5338">
        <v>1.47</v>
      </c>
      <c r="N5338">
        <v>0.13</v>
      </c>
    </row>
    <row r="5339" spans="1:14" x14ac:dyDescent="0.25">
      <c r="A5339" t="s">
        <v>9636</v>
      </c>
      <c r="B5339" t="s">
        <v>3370</v>
      </c>
      <c r="C5339" s="1" t="str">
        <f>HYPERLINK("http://www.genecards.org/cgi-bin/carddisp.pl?gene=TBC1D4","GeneCards")</f>
        <v>GeneCards</v>
      </c>
      <c r="D5339" s="1" t="str">
        <f>HYPERLINK("http://genome-euro.ucsc.edu/cgi-bin/hgTracks?position=203387_s_at","UCSC")</f>
        <v>UCSC</v>
      </c>
      <c r="E5339" s="1" t="str">
        <f>HYPERLINK("http://www.ncbi.nlm.nih.gov/gene/?term=TBC1D4","NCBI")</f>
        <v>NCBI</v>
      </c>
      <c r="F5339">
        <v>5.0999999999999997E-2</v>
      </c>
      <c r="G5339">
        <v>0.16</v>
      </c>
      <c r="H5339" s="1" t="str">
        <f>HYPERLINK("http://www.weizmann.ac.il/complex/compphys/software/geview/data/figures/203387_s_at.png","Figure")</f>
        <v>Figure</v>
      </c>
      <c r="I5339">
        <v>0.85599999999999998</v>
      </c>
      <c r="J5339">
        <v>0.2</v>
      </c>
      <c r="K5339">
        <v>1.07</v>
      </c>
      <c r="L5339">
        <v>0.68</v>
      </c>
      <c r="M5339">
        <v>1.24</v>
      </c>
      <c r="N5339">
        <v>4.2000000000000003E-2</v>
      </c>
    </row>
    <row r="5340" spans="1:14" x14ac:dyDescent="0.25">
      <c r="A5340" t="s">
        <v>9637</v>
      </c>
      <c r="B5340" t="s">
        <v>9638</v>
      </c>
      <c r="C5340" s="1" t="str">
        <f>HYPERLINK("http://www.genecards.org/cgi-bin/carddisp.pl?gene=TTC23","GeneCards")</f>
        <v>GeneCards</v>
      </c>
      <c r="D5340" s="1" t="str">
        <f>HYPERLINK("http://genome-euro.ucsc.edu/cgi-bin/hgTracks?position=219838_at","UCSC")</f>
        <v>UCSC</v>
      </c>
      <c r="E5340" s="1" t="str">
        <f>HYPERLINK("http://www.ncbi.nlm.nih.gov/gene/?term=TTC23","NCBI")</f>
        <v>NCBI</v>
      </c>
      <c r="F5340">
        <v>5.0999999999999997E-2</v>
      </c>
      <c r="G5340">
        <v>0.16</v>
      </c>
      <c r="H5340" s="1" t="str">
        <f>HYPERLINK("http://www.weizmann.ac.il/complex/compphys/software/geview/data/figures/219838_at.png","Figure")</f>
        <v>Figure</v>
      </c>
      <c r="I5340">
        <v>1.1200000000000001</v>
      </c>
      <c r="J5340">
        <v>7.6999999999999999E-2</v>
      </c>
      <c r="K5340">
        <v>1.1100000000000001</v>
      </c>
      <c r="L5340">
        <v>8.1000000000000003E-2</v>
      </c>
      <c r="M5340">
        <v>0.98399999999999999</v>
      </c>
      <c r="N5340">
        <v>0.93</v>
      </c>
    </row>
    <row r="5341" spans="1:14" x14ac:dyDescent="0.25">
      <c r="A5341" t="s">
        <v>9639</v>
      </c>
      <c r="B5341" t="s">
        <v>9640</v>
      </c>
      <c r="C5341" s="1" t="str">
        <f>HYPERLINK("http://www.genecards.org/cgi-bin/carddisp.pl?gene=UPF1","GeneCards")</f>
        <v>GeneCards</v>
      </c>
      <c r="D5341" s="1" t="str">
        <f>HYPERLINK("http://genome-euro.ucsc.edu/cgi-bin/hgTracks?position=211168_s_at","UCSC")</f>
        <v>UCSC</v>
      </c>
      <c r="E5341" s="1" t="str">
        <f>HYPERLINK("http://www.ncbi.nlm.nih.gov/gene/?term=UPF1","NCBI")</f>
        <v>NCBI</v>
      </c>
      <c r="F5341">
        <v>5.0999999999999997E-2</v>
      </c>
      <c r="G5341">
        <v>0.16</v>
      </c>
      <c r="H5341" s="1" t="str">
        <f>HYPERLINK("http://www.weizmann.ac.il/complex/compphys/software/geview/data/figures/211168_s_at.png","Figure")</f>
        <v>Figure</v>
      </c>
      <c r="I5341">
        <v>1.33</v>
      </c>
      <c r="J5341">
        <v>0.2</v>
      </c>
      <c r="K5341">
        <v>0.89</v>
      </c>
      <c r="L5341">
        <v>0.68</v>
      </c>
      <c r="M5341">
        <v>0.66800000000000004</v>
      </c>
      <c r="N5341">
        <v>4.2000000000000003E-2</v>
      </c>
    </row>
    <row r="5342" spans="1:14" x14ac:dyDescent="0.25">
      <c r="A5342" t="s">
        <v>9641</v>
      </c>
      <c r="B5342" t="s">
        <v>9642</v>
      </c>
      <c r="C5342" s="1" t="str">
        <f>HYPERLINK("http://www.genecards.org/cgi-bin/carddisp.pl?gene=AACS","GeneCards")</f>
        <v>GeneCards</v>
      </c>
      <c r="D5342" s="1" t="str">
        <f>HYPERLINK("http://genome-euro.ucsc.edu/cgi-bin/hgTracks?position=218434_s_at","UCSC")</f>
        <v>UCSC</v>
      </c>
      <c r="E5342" s="1" t="str">
        <f>HYPERLINK("http://www.ncbi.nlm.nih.gov/gene/?term=AACS","NCBI")</f>
        <v>NCBI</v>
      </c>
      <c r="F5342">
        <v>5.0999999999999997E-2</v>
      </c>
      <c r="G5342">
        <v>0.16</v>
      </c>
      <c r="H5342" s="1" t="str">
        <f>HYPERLINK("http://www.weizmann.ac.il/complex/compphys/software/geview/data/figures/218434_s_at.png","Figure")</f>
        <v>Figure</v>
      </c>
      <c r="I5342">
        <v>1.01</v>
      </c>
      <c r="J5342">
        <v>0.99</v>
      </c>
      <c r="K5342">
        <v>1.2</v>
      </c>
      <c r="L5342">
        <v>7.3999999999999996E-2</v>
      </c>
      <c r="M5342">
        <v>1.19</v>
      </c>
      <c r="N5342">
        <v>0.12</v>
      </c>
    </row>
    <row r="5343" spans="1:14" x14ac:dyDescent="0.25">
      <c r="A5343" t="s">
        <v>9643</v>
      </c>
      <c r="B5343" t="s">
        <v>9644</v>
      </c>
      <c r="C5343" s="1" t="str">
        <f>HYPERLINK("http://www.genecards.org/cgi-bin/carddisp.pl?gene=BNC2","GeneCards")</f>
        <v>GeneCards</v>
      </c>
      <c r="D5343" s="1" t="str">
        <f>HYPERLINK("http://genome-euro.ucsc.edu/cgi-bin/hgTracks?position=220272_at","UCSC")</f>
        <v>UCSC</v>
      </c>
      <c r="E5343" s="1" t="str">
        <f>HYPERLINK("http://www.ncbi.nlm.nih.gov/gene/?term=BNC2","NCBI")</f>
        <v>NCBI</v>
      </c>
      <c r="F5343">
        <v>5.0999999999999997E-2</v>
      </c>
      <c r="G5343">
        <v>0.16</v>
      </c>
      <c r="H5343" s="1" t="str">
        <f>HYPERLINK("http://www.weizmann.ac.il/complex/compphys/software/geview/data/figures/220272_at.png","Figure")</f>
        <v>Figure</v>
      </c>
      <c r="I5343">
        <v>1.3</v>
      </c>
      <c r="J5343">
        <v>4.2000000000000003E-2</v>
      </c>
      <c r="K5343">
        <v>1.1399999999999999</v>
      </c>
      <c r="L5343">
        <v>0.28000000000000003</v>
      </c>
      <c r="M5343">
        <v>0.88</v>
      </c>
      <c r="N5343">
        <v>0.36</v>
      </c>
    </row>
    <row r="5344" spans="1:14" x14ac:dyDescent="0.25">
      <c r="A5344" t="s">
        <v>9645</v>
      </c>
      <c r="B5344" t="s">
        <v>9646</v>
      </c>
      <c r="C5344" s="1" t="str">
        <f>HYPERLINK("http://www.genecards.org/cgi-bin/carddisp.pl?gene=DOCK6","GeneCards")</f>
        <v>GeneCards</v>
      </c>
      <c r="D5344" s="1" t="str">
        <f>HYPERLINK("http://genome-euro.ucsc.edu/cgi-bin/hgTracks?position=221794_at","UCSC")</f>
        <v>UCSC</v>
      </c>
      <c r="E5344" s="1" t="str">
        <f>HYPERLINK("http://www.ncbi.nlm.nih.gov/gene/?term=DOCK6","NCBI")</f>
        <v>NCBI</v>
      </c>
      <c r="F5344">
        <v>5.0999999999999997E-2</v>
      </c>
      <c r="G5344">
        <v>0.16</v>
      </c>
      <c r="H5344" s="1" t="str">
        <f>HYPERLINK("http://www.weizmann.ac.il/complex/compphys/software/geview/data/figures/221794_at.png","Figure")</f>
        <v>Figure</v>
      </c>
      <c r="I5344">
        <v>1.22</v>
      </c>
      <c r="J5344">
        <v>0.16</v>
      </c>
      <c r="K5344">
        <v>0.94299999999999995</v>
      </c>
      <c r="L5344">
        <v>0.79</v>
      </c>
      <c r="M5344">
        <v>0.77300000000000002</v>
      </c>
      <c r="N5344">
        <v>4.3999999999999997E-2</v>
      </c>
    </row>
    <row r="5345" spans="1:14" x14ac:dyDescent="0.25">
      <c r="A5345" t="s">
        <v>9647</v>
      </c>
      <c r="B5345" t="s">
        <v>6046</v>
      </c>
      <c r="C5345" s="1" t="str">
        <f>HYPERLINK("http://www.genecards.org/cgi-bin/carddisp.pl?gene=ZNF335","GeneCards")</f>
        <v>GeneCards</v>
      </c>
      <c r="D5345" s="1" t="str">
        <f>HYPERLINK("http://genome-euro.ucsc.edu/cgi-bin/hgTracks?position=221890_at","UCSC")</f>
        <v>UCSC</v>
      </c>
      <c r="E5345" s="1" t="str">
        <f>HYPERLINK("http://www.ncbi.nlm.nih.gov/gene/?term=ZNF335","NCBI")</f>
        <v>NCBI</v>
      </c>
      <c r="F5345">
        <v>5.0999999999999997E-2</v>
      </c>
      <c r="G5345">
        <v>0.16</v>
      </c>
      <c r="H5345" s="1" t="str">
        <f>HYPERLINK("http://www.weizmann.ac.il/complex/compphys/software/geview/data/figures/221890_at.png","Figure")</f>
        <v>Figure</v>
      </c>
      <c r="I5345">
        <v>1.02</v>
      </c>
      <c r="J5345">
        <v>0.96</v>
      </c>
      <c r="K5345">
        <v>0.85</v>
      </c>
      <c r="L5345">
        <v>0.11</v>
      </c>
      <c r="M5345">
        <v>0.83199999999999996</v>
      </c>
      <c r="N5345">
        <v>8.3000000000000004E-2</v>
      </c>
    </row>
    <row r="5346" spans="1:14" x14ac:dyDescent="0.25">
      <c r="A5346" t="s">
        <v>9648</v>
      </c>
      <c r="B5346" t="s">
        <v>9649</v>
      </c>
      <c r="C5346" s="1" t="str">
        <f>HYPERLINK("http://www.genecards.org/cgi-bin/carddisp.pl?gene=MAP3K8","GeneCards")</f>
        <v>GeneCards</v>
      </c>
      <c r="D5346" s="1" t="str">
        <f>HYPERLINK("http://genome-euro.ucsc.edu/cgi-bin/hgTracks?position=205027_s_at","UCSC")</f>
        <v>UCSC</v>
      </c>
      <c r="E5346" s="1" t="str">
        <f>HYPERLINK("http://www.ncbi.nlm.nih.gov/gene/?term=MAP3K8","NCBI")</f>
        <v>NCBI</v>
      </c>
      <c r="F5346">
        <v>5.0999999999999997E-2</v>
      </c>
      <c r="G5346">
        <v>0.16</v>
      </c>
      <c r="H5346" s="1" t="str">
        <f>HYPERLINK("http://www.weizmann.ac.il/complex/compphys/software/geview/data/figures/205027_s_at.png","Figure")</f>
        <v>Figure</v>
      </c>
      <c r="I5346">
        <v>0.89500000000000002</v>
      </c>
      <c r="J5346">
        <v>8.2000000000000003E-2</v>
      </c>
      <c r="K5346">
        <v>1</v>
      </c>
      <c r="L5346">
        <v>1</v>
      </c>
      <c r="M5346">
        <v>1.1200000000000001</v>
      </c>
      <c r="N5346">
        <v>6.0999999999999999E-2</v>
      </c>
    </row>
    <row r="5347" spans="1:14" x14ac:dyDescent="0.25">
      <c r="A5347" t="s">
        <v>9650</v>
      </c>
      <c r="B5347" t="s">
        <v>9651</v>
      </c>
      <c r="C5347" s="1" t="str">
        <f>HYPERLINK("http://www.genecards.org/cgi-bin/carddisp.pl?gene=COMMD8","GeneCards")</f>
        <v>GeneCards</v>
      </c>
      <c r="D5347" s="1" t="str">
        <f>HYPERLINK("http://genome-euro.ucsc.edu/cgi-bin/hgTracks?position=218351_at","UCSC")</f>
        <v>UCSC</v>
      </c>
      <c r="E5347" s="1" t="str">
        <f>HYPERLINK("http://www.ncbi.nlm.nih.gov/gene/?term=COMMD8","NCBI")</f>
        <v>NCBI</v>
      </c>
      <c r="F5347">
        <v>5.0999999999999997E-2</v>
      </c>
      <c r="G5347">
        <v>0.16</v>
      </c>
      <c r="H5347" s="1" t="str">
        <f>HYPERLINK("http://www.weizmann.ac.il/complex/compphys/software/geview/data/figures/218351_at.png","Figure")</f>
        <v>Figure</v>
      </c>
      <c r="I5347">
        <v>0.59399999999999997</v>
      </c>
      <c r="J5347">
        <v>0.11</v>
      </c>
      <c r="K5347">
        <v>1.06</v>
      </c>
      <c r="L5347">
        <v>0.96</v>
      </c>
      <c r="M5347">
        <v>1.79</v>
      </c>
      <c r="N5347">
        <v>5.0999999999999997E-2</v>
      </c>
    </row>
    <row r="5348" spans="1:14" x14ac:dyDescent="0.25">
      <c r="A5348" t="s">
        <v>9652</v>
      </c>
      <c r="B5348" t="s">
        <v>9653</v>
      </c>
      <c r="C5348" s="1" t="str">
        <f>HYPERLINK("http://www.genecards.org/cgi-bin/carddisp.pl?gene=BOK","GeneCards")</f>
        <v>GeneCards</v>
      </c>
      <c r="D5348" s="1" t="str">
        <f>HYPERLINK("http://genome-euro.ucsc.edu/cgi-bin/hgTracks?position=221454_at","UCSC")</f>
        <v>UCSC</v>
      </c>
      <c r="E5348" s="1" t="str">
        <f>HYPERLINK("http://www.ncbi.nlm.nih.gov/gene/?term=BOK","NCBI")</f>
        <v>NCBI</v>
      </c>
      <c r="F5348">
        <v>5.0999999999999997E-2</v>
      </c>
      <c r="G5348">
        <v>0.16</v>
      </c>
      <c r="H5348" s="1" t="str">
        <f>HYPERLINK("http://www.weizmann.ac.il/complex/compphys/software/geview/data/figures/221454_at.png","Figure")</f>
        <v>Figure</v>
      </c>
      <c r="I5348">
        <v>1.1000000000000001</v>
      </c>
      <c r="J5348">
        <v>0.06</v>
      </c>
      <c r="K5348">
        <v>1.08</v>
      </c>
      <c r="L5348">
        <v>0.11</v>
      </c>
      <c r="M5348">
        <v>0.97599999999999998</v>
      </c>
      <c r="N5348">
        <v>0.78</v>
      </c>
    </row>
    <row r="5349" spans="1:14" x14ac:dyDescent="0.25">
      <c r="A5349" t="s">
        <v>9654</v>
      </c>
      <c r="B5349" t="s">
        <v>9655</v>
      </c>
      <c r="C5349" s="1" t="str">
        <f>HYPERLINK("http://www.genecards.org/cgi-bin/carddisp.pl?gene=SYN1","GeneCards")</f>
        <v>GeneCards</v>
      </c>
      <c r="D5349" s="1" t="str">
        <f>HYPERLINK("http://genome-euro.ucsc.edu/cgi-bin/hgTracks?position=221914_at","UCSC")</f>
        <v>UCSC</v>
      </c>
      <c r="E5349" s="1" t="str">
        <f>HYPERLINK("http://www.ncbi.nlm.nih.gov/gene/?term=SYN1","NCBI")</f>
        <v>NCBI</v>
      </c>
      <c r="F5349">
        <v>5.0999999999999997E-2</v>
      </c>
      <c r="G5349">
        <v>0.16</v>
      </c>
      <c r="H5349" s="1" t="str">
        <f>HYPERLINK("http://www.weizmann.ac.il/complex/compphys/software/geview/data/figures/221914_at.png","Figure")</f>
        <v>Figure</v>
      </c>
      <c r="I5349">
        <v>1.06</v>
      </c>
      <c r="J5349">
        <v>0.55000000000000004</v>
      </c>
      <c r="K5349">
        <v>0.92300000000000004</v>
      </c>
      <c r="L5349">
        <v>0.27</v>
      </c>
      <c r="M5349">
        <v>0.86899999999999999</v>
      </c>
      <c r="N5349">
        <v>4.8000000000000001E-2</v>
      </c>
    </row>
    <row r="5350" spans="1:14" x14ac:dyDescent="0.25">
      <c r="A5350" t="s">
        <v>9656</v>
      </c>
      <c r="B5350" t="s">
        <v>9657</v>
      </c>
      <c r="C5350" s="1" t="str">
        <f>HYPERLINK("http://www.genecards.org/cgi-bin/carddisp.pl?gene=CYTH4","GeneCards")</f>
        <v>GeneCards</v>
      </c>
      <c r="D5350" s="1" t="str">
        <f>HYPERLINK("http://genome-euro.ucsc.edu/cgi-bin/hgTracks?position=211521_s_at","UCSC")</f>
        <v>UCSC</v>
      </c>
      <c r="E5350" s="1" t="str">
        <f>HYPERLINK("http://www.ncbi.nlm.nih.gov/gene/?term=CYTH4","NCBI")</f>
        <v>NCBI</v>
      </c>
      <c r="F5350">
        <v>5.0999999999999997E-2</v>
      </c>
      <c r="G5350">
        <v>0.16</v>
      </c>
      <c r="H5350" s="1" t="str">
        <f>HYPERLINK("http://www.weizmann.ac.il/complex/compphys/software/geview/data/figures/211521_s_at.png","Figure")</f>
        <v>Figure</v>
      </c>
      <c r="I5350">
        <v>1.21</v>
      </c>
      <c r="J5350">
        <v>0.14000000000000001</v>
      </c>
      <c r="K5350">
        <v>0.95899999999999996</v>
      </c>
      <c r="L5350">
        <v>0.86</v>
      </c>
      <c r="M5350">
        <v>0.79600000000000004</v>
      </c>
      <c r="N5350">
        <v>4.5999999999999999E-2</v>
      </c>
    </row>
    <row r="5351" spans="1:14" x14ac:dyDescent="0.25">
      <c r="A5351" t="s">
        <v>9658</v>
      </c>
      <c r="B5351" t="s">
        <v>9659</v>
      </c>
      <c r="C5351" s="1" t="str">
        <f>HYPERLINK("http://www.genecards.org/cgi-bin/carddisp.pl?gene=CYP2C9","GeneCards")</f>
        <v>GeneCards</v>
      </c>
      <c r="D5351" s="1" t="str">
        <f>HYPERLINK("http://genome-euro.ucsc.edu/cgi-bin/hgTracks?position=214421_x_at","UCSC")</f>
        <v>UCSC</v>
      </c>
      <c r="E5351" s="1" t="str">
        <f>HYPERLINK("http://www.ncbi.nlm.nih.gov/gene/?term=CYP2C9","NCBI")</f>
        <v>NCBI</v>
      </c>
      <c r="F5351">
        <v>5.0999999999999997E-2</v>
      </c>
      <c r="G5351">
        <v>0.16</v>
      </c>
      <c r="H5351" s="1" t="str">
        <f>HYPERLINK("http://www.weizmann.ac.il/complex/compphys/software/geview/data/figures/214421_x_at.png","Figure")</f>
        <v>Figure</v>
      </c>
      <c r="I5351">
        <v>1.1000000000000001</v>
      </c>
      <c r="J5351">
        <v>0.41</v>
      </c>
      <c r="K5351">
        <v>0.91500000000000004</v>
      </c>
      <c r="L5351">
        <v>0.37</v>
      </c>
      <c r="M5351">
        <v>0.83099999999999996</v>
      </c>
      <c r="N5351">
        <v>4.2999999999999997E-2</v>
      </c>
    </row>
    <row r="5352" spans="1:14" x14ac:dyDescent="0.25">
      <c r="A5352" t="s">
        <v>9660</v>
      </c>
      <c r="B5352" t="s">
        <v>9661</v>
      </c>
      <c r="C5352" s="1" t="str">
        <f>HYPERLINK("http://www.genecards.org/cgi-bin/carddisp.pl?gene=APOLD1","GeneCards")</f>
        <v>GeneCards</v>
      </c>
      <c r="D5352" s="1" t="str">
        <f>HYPERLINK("http://genome-euro.ucsc.edu/cgi-bin/hgTracks?position=221031_s_at","UCSC")</f>
        <v>UCSC</v>
      </c>
      <c r="E5352" s="1" t="str">
        <f>HYPERLINK("http://www.ncbi.nlm.nih.gov/gene/?term=APOLD1","NCBI")</f>
        <v>NCBI</v>
      </c>
      <c r="F5352">
        <v>5.0999999999999997E-2</v>
      </c>
      <c r="G5352">
        <v>0.16</v>
      </c>
      <c r="H5352" s="1" t="str">
        <f>HYPERLINK("http://www.weizmann.ac.il/complex/compphys/software/geview/data/figures/221031_s_at.png","Figure")</f>
        <v>Figure</v>
      </c>
      <c r="I5352">
        <v>0.82199999999999995</v>
      </c>
      <c r="J5352">
        <v>0.27</v>
      </c>
      <c r="K5352">
        <v>1.1200000000000001</v>
      </c>
      <c r="L5352">
        <v>0.55000000000000004</v>
      </c>
      <c r="M5352">
        <v>1.36</v>
      </c>
      <c r="N5352">
        <v>4.2000000000000003E-2</v>
      </c>
    </row>
    <row r="5353" spans="1:14" x14ac:dyDescent="0.25">
      <c r="A5353" t="s">
        <v>9662</v>
      </c>
      <c r="B5353" t="s">
        <v>9663</v>
      </c>
      <c r="C5353" s="1" t="str">
        <f>HYPERLINK("http://www.genecards.org/cgi-bin/carddisp.pl?gene=HRK","GeneCards")</f>
        <v>GeneCards</v>
      </c>
      <c r="D5353" s="1" t="str">
        <f>HYPERLINK("http://genome-euro.ucsc.edu/cgi-bin/hgTracks?position=206864_s_at","UCSC")</f>
        <v>UCSC</v>
      </c>
      <c r="E5353" s="1" t="str">
        <f>HYPERLINK("http://www.ncbi.nlm.nih.gov/gene/?term=HRK","NCBI")</f>
        <v>NCBI</v>
      </c>
      <c r="F5353">
        <v>5.0999999999999997E-2</v>
      </c>
      <c r="G5353">
        <v>0.16</v>
      </c>
      <c r="H5353" s="1" t="str">
        <f>HYPERLINK("http://www.weizmann.ac.il/complex/compphys/software/geview/data/figures/206864_s_at.png","Figure")</f>
        <v>Figure</v>
      </c>
      <c r="I5353">
        <v>0.63800000000000001</v>
      </c>
      <c r="J5353">
        <v>0.19</v>
      </c>
      <c r="K5353">
        <v>0.56499999999999995</v>
      </c>
      <c r="L5353">
        <v>4.5999999999999999E-2</v>
      </c>
      <c r="M5353">
        <v>0.88600000000000001</v>
      </c>
      <c r="N5353">
        <v>0.86</v>
      </c>
    </row>
    <row r="5354" spans="1:14" x14ac:dyDescent="0.25">
      <c r="A5354" t="s">
        <v>9664</v>
      </c>
      <c r="B5354" t="s">
        <v>9665</v>
      </c>
      <c r="C5354" s="1" t="str">
        <f>HYPERLINK("http://www.genecards.org/cgi-bin/carddisp.pl?gene=HNRNPUL2","GeneCards")</f>
        <v>GeneCards</v>
      </c>
      <c r="D5354" s="1" t="str">
        <f>HYPERLINK("http://genome-euro.ucsc.edu/cgi-bin/hgTracks?position=222264_at","UCSC")</f>
        <v>UCSC</v>
      </c>
      <c r="E5354" s="1" t="str">
        <f>HYPERLINK("http://www.ncbi.nlm.nih.gov/gene/?term=HNRNPUL2","NCBI")</f>
        <v>NCBI</v>
      </c>
      <c r="F5354">
        <v>5.1999999999999998E-2</v>
      </c>
      <c r="G5354">
        <v>0.16</v>
      </c>
      <c r="H5354" s="1" t="str">
        <f>HYPERLINK("http://www.weizmann.ac.il/complex/compphys/software/geview/data/figures/222264_at.png","Figure")</f>
        <v>Figure</v>
      </c>
      <c r="I5354">
        <v>1.33</v>
      </c>
      <c r="J5354">
        <v>0.12</v>
      </c>
      <c r="K5354">
        <v>1.35</v>
      </c>
      <c r="L5354">
        <v>5.7000000000000002E-2</v>
      </c>
      <c r="M5354">
        <v>1.02</v>
      </c>
      <c r="N5354">
        <v>0.99</v>
      </c>
    </row>
    <row r="5355" spans="1:14" x14ac:dyDescent="0.25">
      <c r="A5355" t="s">
        <v>9666</v>
      </c>
      <c r="B5355" t="s">
        <v>9667</v>
      </c>
      <c r="C5355" s="1" t="str">
        <f>HYPERLINK("http://www.genecards.org/cgi-bin/carddisp.pl?gene=LPPR2","GeneCards")</f>
        <v>GeneCards</v>
      </c>
      <c r="D5355" s="1" t="str">
        <f>HYPERLINK("http://genome-euro.ucsc.edu/cgi-bin/hgTracks?position=64899_at","UCSC")</f>
        <v>UCSC</v>
      </c>
      <c r="E5355" s="1" t="str">
        <f>HYPERLINK("http://www.ncbi.nlm.nih.gov/gene/?term=LPPR2","NCBI")</f>
        <v>NCBI</v>
      </c>
      <c r="F5355">
        <v>5.1999999999999998E-2</v>
      </c>
      <c r="G5355">
        <v>0.16</v>
      </c>
      <c r="H5355" s="1" t="str">
        <f>HYPERLINK("http://www.weizmann.ac.il/complex/compphys/software/geview/data/figures/64899_at.png","Figure")</f>
        <v>Figure</v>
      </c>
      <c r="I5355">
        <v>1.1499999999999999</v>
      </c>
      <c r="J5355">
        <v>0.1</v>
      </c>
      <c r="K5355">
        <v>0.98799999999999999</v>
      </c>
      <c r="L5355">
        <v>0.97</v>
      </c>
      <c r="M5355">
        <v>0.85899999999999999</v>
      </c>
      <c r="N5355">
        <v>5.2999999999999999E-2</v>
      </c>
    </row>
    <row r="5356" spans="1:14" x14ac:dyDescent="0.25">
      <c r="A5356" t="s">
        <v>9668</v>
      </c>
      <c r="B5356" t="s">
        <v>9669</v>
      </c>
      <c r="C5356" s="1" t="str">
        <f>HYPERLINK("http://www.genecards.org/cgi-bin/carddisp.pl?gene=GYG1","GeneCards")</f>
        <v>GeneCards</v>
      </c>
      <c r="D5356" s="1" t="str">
        <f>HYPERLINK("http://genome-euro.ucsc.edu/cgi-bin/hgTracks?position=201554_x_at","UCSC")</f>
        <v>UCSC</v>
      </c>
      <c r="E5356" s="1" t="str">
        <f>HYPERLINK("http://www.ncbi.nlm.nih.gov/gene/?term=GYG1","NCBI")</f>
        <v>NCBI</v>
      </c>
      <c r="F5356">
        <v>5.1999999999999998E-2</v>
      </c>
      <c r="G5356">
        <v>0.16</v>
      </c>
      <c r="H5356" s="1" t="str">
        <f>HYPERLINK("http://www.weizmann.ac.il/complex/compphys/software/geview/data/figures/201554_x_at.png","Figure")</f>
        <v>Figure</v>
      </c>
      <c r="I5356">
        <v>1.42</v>
      </c>
      <c r="J5356">
        <v>4.3999999999999997E-2</v>
      </c>
      <c r="K5356">
        <v>1.22</v>
      </c>
      <c r="L5356">
        <v>0.22</v>
      </c>
      <c r="M5356">
        <v>0.85799999999999998</v>
      </c>
      <c r="N5356">
        <v>0.44</v>
      </c>
    </row>
    <row r="5357" spans="1:14" x14ac:dyDescent="0.25">
      <c r="A5357" t="s">
        <v>9670</v>
      </c>
      <c r="B5357" t="s">
        <v>5275</v>
      </c>
      <c r="C5357" s="1" t="str">
        <f>HYPERLINK("http://www.genecards.org/cgi-bin/carddisp.pl?gene=NBL1","GeneCards")</f>
        <v>GeneCards</v>
      </c>
      <c r="D5357" s="1" t="str">
        <f>HYPERLINK("http://genome-euro.ucsc.edu/cgi-bin/hgTracks?position=201621_at","UCSC")</f>
        <v>UCSC</v>
      </c>
      <c r="E5357" s="1" t="str">
        <f>HYPERLINK("http://www.ncbi.nlm.nih.gov/gene/?term=NBL1","NCBI")</f>
        <v>NCBI</v>
      </c>
      <c r="F5357">
        <v>5.1999999999999998E-2</v>
      </c>
      <c r="G5357">
        <v>0.16</v>
      </c>
      <c r="H5357" s="1" t="str">
        <f>HYPERLINK("http://www.weizmann.ac.il/complex/compphys/software/geview/data/figures/201621_at.png","Figure")</f>
        <v>Figure</v>
      </c>
      <c r="I5357">
        <v>1.1200000000000001</v>
      </c>
      <c r="J5357">
        <v>0.14000000000000001</v>
      </c>
      <c r="K5357">
        <v>0.97499999999999998</v>
      </c>
      <c r="L5357">
        <v>0.87</v>
      </c>
      <c r="M5357">
        <v>0.86699999999999999</v>
      </c>
      <c r="N5357">
        <v>4.7E-2</v>
      </c>
    </row>
    <row r="5358" spans="1:14" x14ac:dyDescent="0.25">
      <c r="A5358" t="s">
        <v>9671</v>
      </c>
      <c r="B5358" t="s">
        <v>6700</v>
      </c>
      <c r="C5358" s="1" t="str">
        <f>HYPERLINK("http://www.genecards.org/cgi-bin/carddisp.pl?gene=PSMB4","GeneCards")</f>
        <v>GeneCards</v>
      </c>
      <c r="D5358" s="1" t="str">
        <f>HYPERLINK("http://genome-euro.ucsc.edu/cgi-bin/hgTracks?position=202244_at","UCSC")</f>
        <v>UCSC</v>
      </c>
      <c r="E5358" s="1" t="str">
        <f>HYPERLINK("http://www.ncbi.nlm.nih.gov/gene/?term=PSMB4","NCBI")</f>
        <v>NCBI</v>
      </c>
      <c r="F5358">
        <v>5.1999999999999998E-2</v>
      </c>
      <c r="G5358">
        <v>0.16</v>
      </c>
      <c r="H5358" s="1" t="str">
        <f>HYPERLINK("http://www.weizmann.ac.il/complex/compphys/software/geview/data/figures/202244_at.png","Figure")</f>
        <v>Figure</v>
      </c>
      <c r="I5358">
        <v>1.32</v>
      </c>
      <c r="J5358">
        <v>4.2999999999999997E-2</v>
      </c>
      <c r="K5358">
        <v>1.1499999999999999</v>
      </c>
      <c r="L5358">
        <v>0.28000000000000003</v>
      </c>
      <c r="M5358">
        <v>0.872</v>
      </c>
      <c r="N5358">
        <v>0.36</v>
      </c>
    </row>
    <row r="5359" spans="1:14" x14ac:dyDescent="0.25">
      <c r="A5359" t="s">
        <v>9672</v>
      </c>
      <c r="B5359" t="s">
        <v>9673</v>
      </c>
      <c r="C5359" s="1" t="str">
        <f>HYPERLINK("http://www.genecards.org/cgi-bin/carddisp.pl?gene=CPSF6","GeneCards")</f>
        <v>GeneCards</v>
      </c>
      <c r="D5359" s="1" t="str">
        <f>HYPERLINK("http://genome-euro.ucsc.edu/cgi-bin/hgTracks?position=202470_s_at","UCSC")</f>
        <v>UCSC</v>
      </c>
      <c r="E5359" s="1" t="str">
        <f>HYPERLINK("http://www.ncbi.nlm.nih.gov/gene/?term=CPSF6","NCBI")</f>
        <v>NCBI</v>
      </c>
      <c r="F5359">
        <v>5.1999999999999998E-2</v>
      </c>
      <c r="G5359">
        <v>0.16</v>
      </c>
      <c r="H5359" s="1" t="str">
        <f>HYPERLINK("http://www.weizmann.ac.il/complex/compphys/software/geview/data/figures/202470_s_at.png","Figure")</f>
        <v>Figure</v>
      </c>
      <c r="I5359">
        <v>0.76700000000000002</v>
      </c>
      <c r="J5359">
        <v>9.0999999999999998E-2</v>
      </c>
      <c r="K5359">
        <v>1.01</v>
      </c>
      <c r="L5359">
        <v>0.99</v>
      </c>
      <c r="M5359">
        <v>1.32</v>
      </c>
      <c r="N5359">
        <v>5.7000000000000002E-2</v>
      </c>
    </row>
    <row r="5360" spans="1:14" x14ac:dyDescent="0.25">
      <c r="A5360" t="s">
        <v>9674</v>
      </c>
      <c r="B5360" t="s">
        <v>9675</v>
      </c>
      <c r="C5360" s="1" t="str">
        <f>HYPERLINK("http://www.genecards.org/cgi-bin/carddisp.pl?gene=FAM20B","GeneCards")</f>
        <v>GeneCards</v>
      </c>
      <c r="D5360" s="1" t="str">
        <f>HYPERLINK("http://genome-euro.ucsc.edu/cgi-bin/hgTracks?position=202916_s_at","UCSC")</f>
        <v>UCSC</v>
      </c>
      <c r="E5360" s="1" t="str">
        <f>HYPERLINK("http://www.ncbi.nlm.nih.gov/gene/?term=FAM20B","NCBI")</f>
        <v>NCBI</v>
      </c>
      <c r="F5360">
        <v>5.1999999999999998E-2</v>
      </c>
      <c r="G5360">
        <v>0.16</v>
      </c>
      <c r="H5360" s="1" t="str">
        <f>HYPERLINK("http://www.weizmann.ac.il/complex/compphys/software/geview/data/figures/202916_s_at.png","Figure")</f>
        <v>Figure</v>
      </c>
      <c r="I5360">
        <v>0.94399999999999995</v>
      </c>
      <c r="J5360">
        <v>0.51</v>
      </c>
      <c r="K5360">
        <v>1.07</v>
      </c>
      <c r="L5360">
        <v>0.28999999999999998</v>
      </c>
      <c r="M5360">
        <v>1.1299999999999999</v>
      </c>
      <c r="N5360">
        <v>4.7E-2</v>
      </c>
    </row>
    <row r="5361" spans="1:14" x14ac:dyDescent="0.25">
      <c r="A5361" t="s">
        <v>9676</v>
      </c>
      <c r="B5361" t="s">
        <v>9677</v>
      </c>
      <c r="C5361" s="1" t="str">
        <f>HYPERLINK("http://www.genecards.org/cgi-bin/carddisp.pl?gene=NR2C1","GeneCards")</f>
        <v>GeneCards</v>
      </c>
      <c r="D5361" s="1" t="str">
        <f>HYPERLINK("http://genome-euro.ucsc.edu/cgi-bin/hgTracks?position=204791_at","UCSC")</f>
        <v>UCSC</v>
      </c>
      <c r="E5361" s="1" t="str">
        <f>HYPERLINK("http://www.ncbi.nlm.nih.gov/gene/?term=NR2C1","NCBI")</f>
        <v>NCBI</v>
      </c>
      <c r="F5361">
        <v>5.1999999999999998E-2</v>
      </c>
      <c r="G5361">
        <v>0.16</v>
      </c>
      <c r="H5361" s="1" t="str">
        <f>HYPERLINK("http://www.weizmann.ac.il/complex/compphys/software/geview/data/figures/204791_at.png","Figure")</f>
        <v>Figure</v>
      </c>
      <c r="I5361">
        <v>0.56699999999999995</v>
      </c>
      <c r="J5361">
        <v>7.9000000000000001E-2</v>
      </c>
      <c r="K5361">
        <v>0.99</v>
      </c>
      <c r="L5361">
        <v>1</v>
      </c>
      <c r="M5361">
        <v>1.75</v>
      </c>
      <c r="N5361">
        <v>6.4000000000000001E-2</v>
      </c>
    </row>
    <row r="5362" spans="1:14" x14ac:dyDescent="0.25">
      <c r="A5362" t="s">
        <v>9678</v>
      </c>
      <c r="B5362" t="s">
        <v>9679</v>
      </c>
      <c r="C5362" s="1" t="str">
        <f>HYPERLINK("http://www.genecards.org/cgi-bin/carddisp.pl?gene=B9D1","GeneCards")</f>
        <v>GeneCards</v>
      </c>
      <c r="D5362" s="1" t="str">
        <f>HYPERLINK("http://genome-euro.ucsc.edu/cgi-bin/hgTracks?position=205662_at","UCSC")</f>
        <v>UCSC</v>
      </c>
      <c r="E5362" s="1" t="str">
        <f>HYPERLINK("http://www.ncbi.nlm.nih.gov/gene/?term=B9D1","NCBI")</f>
        <v>NCBI</v>
      </c>
      <c r="F5362">
        <v>5.1999999999999998E-2</v>
      </c>
      <c r="G5362">
        <v>0.16</v>
      </c>
      <c r="H5362" s="1" t="str">
        <f>HYPERLINK("http://www.weizmann.ac.il/complex/compphys/software/geview/data/figures/205662_at.png","Figure")</f>
        <v>Figure</v>
      </c>
      <c r="I5362">
        <v>1.23</v>
      </c>
      <c r="J5362">
        <v>0.05</v>
      </c>
      <c r="K5362">
        <v>1.05</v>
      </c>
      <c r="L5362">
        <v>0.76</v>
      </c>
      <c r="M5362">
        <v>0.85499999999999998</v>
      </c>
      <c r="N5362">
        <v>0.12</v>
      </c>
    </row>
    <row r="5363" spans="1:14" x14ac:dyDescent="0.25">
      <c r="A5363" t="s">
        <v>9680</v>
      </c>
      <c r="B5363" t="s">
        <v>9681</v>
      </c>
      <c r="C5363" s="1" t="str">
        <f>HYPERLINK("http://www.genecards.org/cgi-bin/carddisp.pl?gene=LIPC","GeneCards")</f>
        <v>GeneCards</v>
      </c>
      <c r="D5363" s="1" t="str">
        <f>HYPERLINK("http://genome-euro.ucsc.edu/cgi-bin/hgTracks?position=206606_at","UCSC")</f>
        <v>UCSC</v>
      </c>
      <c r="E5363" s="1" t="str">
        <f>HYPERLINK("http://www.ncbi.nlm.nih.gov/gene/?term=LIPC","NCBI")</f>
        <v>NCBI</v>
      </c>
      <c r="F5363">
        <v>5.1999999999999998E-2</v>
      </c>
      <c r="G5363">
        <v>0.16</v>
      </c>
      <c r="H5363" s="1" t="str">
        <f>HYPERLINK("http://www.weizmann.ac.il/complex/compphys/software/geview/data/figures/206606_at.png","Figure")</f>
        <v>Figure</v>
      </c>
      <c r="I5363">
        <v>1.18</v>
      </c>
      <c r="J5363">
        <v>0.09</v>
      </c>
      <c r="K5363">
        <v>1.1599999999999999</v>
      </c>
      <c r="L5363">
        <v>7.0999999999999994E-2</v>
      </c>
      <c r="M5363">
        <v>0.98799999999999999</v>
      </c>
      <c r="N5363">
        <v>0.98</v>
      </c>
    </row>
    <row r="5364" spans="1:14" x14ac:dyDescent="0.25">
      <c r="A5364" t="s">
        <v>9682</v>
      </c>
      <c r="B5364" t="s">
        <v>8058</v>
      </c>
      <c r="C5364" s="1" t="str">
        <f>HYPERLINK("http://www.genecards.org/cgi-bin/carddisp.pl?gene=NFATC1","GeneCards")</f>
        <v>GeneCards</v>
      </c>
      <c r="D5364" s="1" t="str">
        <f>HYPERLINK("http://genome-euro.ucsc.edu/cgi-bin/hgTracks?position=208196_x_at","UCSC")</f>
        <v>UCSC</v>
      </c>
      <c r="E5364" s="1" t="str">
        <f>HYPERLINK("http://www.ncbi.nlm.nih.gov/gene/?term=NFATC1","NCBI")</f>
        <v>NCBI</v>
      </c>
      <c r="F5364">
        <v>5.1999999999999998E-2</v>
      </c>
      <c r="G5364">
        <v>0.16</v>
      </c>
      <c r="H5364" s="1" t="str">
        <f>HYPERLINK("http://www.weizmann.ac.il/complex/compphys/software/geview/data/figures/208196_x_at.png","Figure")</f>
        <v>Figure</v>
      </c>
      <c r="I5364">
        <v>1.39</v>
      </c>
      <c r="J5364">
        <v>4.2999999999999997E-2</v>
      </c>
      <c r="K5364">
        <v>1.1299999999999999</v>
      </c>
      <c r="L5364">
        <v>0.49</v>
      </c>
      <c r="M5364">
        <v>0.81299999999999994</v>
      </c>
      <c r="N5364">
        <v>0.2</v>
      </c>
    </row>
    <row r="5365" spans="1:14" x14ac:dyDescent="0.25">
      <c r="A5365" t="s">
        <v>9683</v>
      </c>
      <c r="B5365" t="s">
        <v>9684</v>
      </c>
      <c r="C5365" s="1" t="str">
        <f>HYPERLINK("http://www.genecards.org/cgi-bin/carddisp.pl?gene=GPI","GeneCards")</f>
        <v>GeneCards</v>
      </c>
      <c r="D5365" s="1" t="str">
        <f>HYPERLINK("http://genome-euro.ucsc.edu/cgi-bin/hgTracks?position=208308_s_at","UCSC")</f>
        <v>UCSC</v>
      </c>
      <c r="E5365" s="1" t="str">
        <f>HYPERLINK("http://www.ncbi.nlm.nih.gov/gene/?term=GPI","NCBI")</f>
        <v>NCBI</v>
      </c>
      <c r="F5365">
        <v>5.1999999999999998E-2</v>
      </c>
      <c r="G5365">
        <v>0.16</v>
      </c>
      <c r="H5365" s="1" t="str">
        <f>HYPERLINK("http://www.weizmann.ac.il/complex/compphys/software/geview/data/figures/208308_s_at.png","Figure")</f>
        <v>Figure</v>
      </c>
      <c r="I5365">
        <v>1.36</v>
      </c>
      <c r="J5365">
        <v>0.48</v>
      </c>
      <c r="K5365">
        <v>1.84</v>
      </c>
      <c r="L5365">
        <v>4.2000000000000003E-2</v>
      </c>
      <c r="M5365">
        <v>1.35</v>
      </c>
      <c r="N5365">
        <v>0.43</v>
      </c>
    </row>
    <row r="5366" spans="1:14" x14ac:dyDescent="0.25">
      <c r="A5366" t="s">
        <v>9685</v>
      </c>
      <c r="B5366" t="s">
        <v>5078</v>
      </c>
      <c r="C5366" s="1" t="str">
        <f>HYPERLINK("http://www.genecards.org/cgi-bin/carddisp.pl?gene=EGFR","GeneCards")</f>
        <v>GeneCards</v>
      </c>
      <c r="D5366" s="1" t="str">
        <f>HYPERLINK("http://genome-euro.ucsc.edu/cgi-bin/hgTracks?position=211550_at","UCSC")</f>
        <v>UCSC</v>
      </c>
      <c r="E5366" s="1" t="str">
        <f>HYPERLINK("http://www.ncbi.nlm.nih.gov/gene/?term=EGFR","NCBI")</f>
        <v>NCBI</v>
      </c>
      <c r="F5366">
        <v>5.1999999999999998E-2</v>
      </c>
      <c r="G5366">
        <v>0.16</v>
      </c>
      <c r="H5366" s="1" t="str">
        <f>HYPERLINK("http://www.weizmann.ac.il/complex/compphys/software/geview/data/figures/211550_at.png","Figure")</f>
        <v>Figure</v>
      </c>
      <c r="I5366">
        <v>1.17</v>
      </c>
      <c r="J5366">
        <v>0.06</v>
      </c>
      <c r="K5366">
        <v>1.02</v>
      </c>
      <c r="L5366">
        <v>0.91</v>
      </c>
      <c r="M5366">
        <v>0.875</v>
      </c>
      <c r="N5366">
        <v>8.5999999999999993E-2</v>
      </c>
    </row>
    <row r="5367" spans="1:14" x14ac:dyDescent="0.25">
      <c r="A5367" t="s">
        <v>9686</v>
      </c>
      <c r="B5367" t="s">
        <v>9687</v>
      </c>
      <c r="C5367" s="1" t="str">
        <f>HYPERLINK("http://www.genecards.org/cgi-bin/carddisp.pl?gene=GIGYF2","GeneCards")</f>
        <v>GeneCards</v>
      </c>
      <c r="D5367" s="1" t="str">
        <f>HYPERLINK("http://genome-euro.ucsc.edu/cgi-bin/hgTracks?position=212261_at","UCSC")</f>
        <v>UCSC</v>
      </c>
      <c r="E5367" s="1" t="str">
        <f>HYPERLINK("http://www.ncbi.nlm.nih.gov/gene/?term=GIGYF2","NCBI")</f>
        <v>NCBI</v>
      </c>
      <c r="F5367">
        <v>5.1999999999999998E-2</v>
      </c>
      <c r="G5367">
        <v>0.16</v>
      </c>
      <c r="H5367" s="1" t="str">
        <f>HYPERLINK("http://www.weizmann.ac.il/complex/compphys/software/geview/data/figures/212261_at.png","Figure")</f>
        <v>Figure</v>
      </c>
      <c r="I5367">
        <v>1.25</v>
      </c>
      <c r="J5367">
        <v>0.1</v>
      </c>
      <c r="K5367">
        <v>0.98099999999999998</v>
      </c>
      <c r="L5367">
        <v>0.97</v>
      </c>
      <c r="M5367">
        <v>0.78700000000000003</v>
      </c>
      <c r="N5367">
        <v>5.3999999999999999E-2</v>
      </c>
    </row>
    <row r="5368" spans="1:14" x14ac:dyDescent="0.25">
      <c r="A5368" t="s">
        <v>9688</v>
      </c>
      <c r="B5368" t="s">
        <v>7483</v>
      </c>
      <c r="C5368" s="1" t="str">
        <f>HYPERLINK("http://www.genecards.org/cgi-bin/carddisp.pl?gene=ICAM2","GeneCards")</f>
        <v>GeneCards</v>
      </c>
      <c r="D5368" s="1" t="str">
        <f>HYPERLINK("http://genome-euro.ucsc.edu/cgi-bin/hgTracks?position=213620_s_at","UCSC")</f>
        <v>UCSC</v>
      </c>
      <c r="E5368" s="1" t="str">
        <f>HYPERLINK("http://www.ncbi.nlm.nih.gov/gene/?term=ICAM2","NCBI")</f>
        <v>NCBI</v>
      </c>
      <c r="F5368">
        <v>5.1999999999999998E-2</v>
      </c>
      <c r="G5368">
        <v>0.16</v>
      </c>
      <c r="H5368" s="1" t="str">
        <f>HYPERLINK("http://www.weizmann.ac.il/complex/compphys/software/geview/data/figures/213620_s_at.png","Figure")</f>
        <v>Figure</v>
      </c>
      <c r="I5368">
        <v>0.57299999999999995</v>
      </c>
      <c r="J5368">
        <v>0.14000000000000001</v>
      </c>
      <c r="K5368">
        <v>1.1299999999999999</v>
      </c>
      <c r="L5368">
        <v>0.86</v>
      </c>
      <c r="M5368">
        <v>1.97</v>
      </c>
      <c r="N5368">
        <v>4.5999999999999999E-2</v>
      </c>
    </row>
    <row r="5369" spans="1:14" x14ac:dyDescent="0.25">
      <c r="A5369" t="s">
        <v>9689</v>
      </c>
      <c r="B5369" t="s">
        <v>9690</v>
      </c>
      <c r="C5369" s="1" t="str">
        <f>HYPERLINK("http://www.genecards.org/cgi-bin/carddisp.pl?gene=PMS2L1","GeneCards")</f>
        <v>GeneCards</v>
      </c>
      <c r="D5369" s="1" t="str">
        <f>HYPERLINK("http://genome-euro.ucsc.edu/cgi-bin/hgTracks?position=214756_x_at","UCSC")</f>
        <v>UCSC</v>
      </c>
      <c r="E5369" s="1" t="str">
        <f>HYPERLINK("http://www.ncbi.nlm.nih.gov/gene/?term=PMS2L1","NCBI")</f>
        <v>NCBI</v>
      </c>
      <c r="F5369">
        <v>5.1999999999999998E-2</v>
      </c>
      <c r="G5369">
        <v>0.16</v>
      </c>
      <c r="H5369" s="1" t="str">
        <f>HYPERLINK("http://www.weizmann.ac.il/complex/compphys/software/geview/data/figures/214756_x_at.png","Figure")</f>
        <v>Figure</v>
      </c>
      <c r="I5369">
        <v>1.43</v>
      </c>
      <c r="J5369">
        <v>4.5999999999999999E-2</v>
      </c>
      <c r="K5369">
        <v>1.24</v>
      </c>
      <c r="L5369">
        <v>0.2</v>
      </c>
      <c r="M5369">
        <v>0.86199999999999999</v>
      </c>
      <c r="N5369">
        <v>0.48</v>
      </c>
    </row>
    <row r="5370" spans="1:14" x14ac:dyDescent="0.25">
      <c r="A5370" t="s">
        <v>9691</v>
      </c>
      <c r="B5370" t="s">
        <v>9692</v>
      </c>
      <c r="C5370" s="1" t="str">
        <f>HYPERLINK("http://www.genecards.org/cgi-bin/carddisp.pl?gene=MGAT4A","GeneCards")</f>
        <v>GeneCards</v>
      </c>
      <c r="D5370" s="1" t="str">
        <f>HYPERLINK("http://genome-euro.ucsc.edu/cgi-bin/hgTracks?position=219797_at","UCSC")</f>
        <v>UCSC</v>
      </c>
      <c r="E5370" s="1" t="str">
        <f>HYPERLINK("http://www.ncbi.nlm.nih.gov/gene/?term=MGAT4A","NCBI")</f>
        <v>NCBI</v>
      </c>
      <c r="F5370">
        <v>5.1999999999999998E-2</v>
      </c>
      <c r="G5370">
        <v>0.16</v>
      </c>
      <c r="H5370" s="1" t="str">
        <f>HYPERLINK("http://www.weizmann.ac.il/complex/compphys/software/geview/data/figures/219797_at.png","Figure")</f>
        <v>Figure</v>
      </c>
      <c r="I5370">
        <v>0.878</v>
      </c>
      <c r="J5370">
        <v>8.3000000000000004E-2</v>
      </c>
      <c r="K5370">
        <v>1</v>
      </c>
      <c r="L5370">
        <v>1</v>
      </c>
      <c r="M5370">
        <v>1.1399999999999999</v>
      </c>
      <c r="N5370">
        <v>6.2E-2</v>
      </c>
    </row>
    <row r="5371" spans="1:14" x14ac:dyDescent="0.25">
      <c r="A5371" t="s">
        <v>9693</v>
      </c>
      <c r="B5371" t="s">
        <v>9694</v>
      </c>
      <c r="C5371" s="1" t="str">
        <f>HYPERLINK("http://www.genecards.org/cgi-bin/carddisp.pl?gene=NANOG","GeneCards")</f>
        <v>GeneCards</v>
      </c>
      <c r="D5371" s="1" t="str">
        <f>HYPERLINK("http://genome-euro.ucsc.edu/cgi-bin/hgTracks?position=220184_at","UCSC")</f>
        <v>UCSC</v>
      </c>
      <c r="E5371" s="1" t="str">
        <f>HYPERLINK("http://www.ncbi.nlm.nih.gov/gene/?term=NANOG","NCBI")</f>
        <v>NCBI</v>
      </c>
      <c r="F5371">
        <v>5.1999999999999998E-2</v>
      </c>
      <c r="G5371">
        <v>0.16</v>
      </c>
      <c r="H5371" s="1" t="str">
        <f>HYPERLINK("http://www.weizmann.ac.il/complex/compphys/software/geview/data/figures/220184_at.png","Figure")</f>
        <v>Figure</v>
      </c>
      <c r="I5371">
        <v>0.92400000000000004</v>
      </c>
      <c r="J5371">
        <v>0.7</v>
      </c>
      <c r="K5371">
        <v>0.79800000000000004</v>
      </c>
      <c r="L5371">
        <v>4.8000000000000001E-2</v>
      </c>
      <c r="M5371">
        <v>0.86299999999999999</v>
      </c>
      <c r="N5371">
        <v>0.27</v>
      </c>
    </row>
    <row r="5372" spans="1:14" x14ac:dyDescent="0.25">
      <c r="A5372" t="s">
        <v>9695</v>
      </c>
      <c r="B5372" t="s">
        <v>9696</v>
      </c>
      <c r="C5372" s="1" t="str">
        <f>HYPERLINK("http://www.genecards.org/cgi-bin/carddisp.pl?gene=hCG_1732469","GeneCards")</f>
        <v>GeneCards</v>
      </c>
      <c r="D5372" s="1" t="str">
        <f>HYPERLINK("http://genome-euro.ucsc.edu/cgi-bin/hgTracks?position=220823_at","UCSC")</f>
        <v>UCSC</v>
      </c>
      <c r="E5372" s="1" t="str">
        <f>HYPERLINK("http://www.ncbi.nlm.nih.gov/gene/?term=hCG_1732469","NCBI")</f>
        <v>NCBI</v>
      </c>
      <c r="F5372">
        <v>5.1999999999999998E-2</v>
      </c>
      <c r="G5372">
        <v>0.16</v>
      </c>
      <c r="H5372" s="1" t="str">
        <f>HYPERLINK("http://www.weizmann.ac.il/complex/compphys/software/geview/data/figures/220823_at.png","Figure")</f>
        <v>Figure</v>
      </c>
      <c r="I5372">
        <v>1.1599999999999999</v>
      </c>
      <c r="J5372">
        <v>4.7E-2</v>
      </c>
      <c r="K5372">
        <v>1.1000000000000001</v>
      </c>
      <c r="L5372">
        <v>0.18</v>
      </c>
      <c r="M5372">
        <v>0.94499999999999995</v>
      </c>
      <c r="N5372">
        <v>0.54</v>
      </c>
    </row>
    <row r="5373" spans="1:14" x14ac:dyDescent="0.25">
      <c r="A5373" t="s">
        <v>9697</v>
      </c>
      <c r="B5373" t="s">
        <v>9698</v>
      </c>
      <c r="C5373" s="1" t="str">
        <f>HYPERLINK("http://www.genecards.org/cgi-bin/carddisp.pl?gene=ATP6V1H","GeneCards")</f>
        <v>GeneCards</v>
      </c>
      <c r="D5373" s="1" t="str">
        <f>HYPERLINK("http://genome-euro.ucsc.edu/cgi-bin/hgTracks?position=221504_s_at","UCSC")</f>
        <v>UCSC</v>
      </c>
      <c r="E5373" s="1" t="str">
        <f>HYPERLINK("http://www.ncbi.nlm.nih.gov/gene/?term=ATP6V1H","NCBI")</f>
        <v>NCBI</v>
      </c>
      <c r="F5373">
        <v>5.1999999999999998E-2</v>
      </c>
      <c r="G5373">
        <v>0.16</v>
      </c>
      <c r="H5373" s="1" t="str">
        <f>HYPERLINK("http://www.weizmann.ac.il/complex/compphys/software/geview/data/figures/221504_s_at.png","Figure")</f>
        <v>Figure</v>
      </c>
      <c r="I5373">
        <v>0.85</v>
      </c>
      <c r="J5373">
        <v>0.21</v>
      </c>
      <c r="K5373">
        <v>0.80600000000000005</v>
      </c>
      <c r="L5373">
        <v>4.4999999999999998E-2</v>
      </c>
      <c r="M5373">
        <v>0.94899999999999995</v>
      </c>
      <c r="N5373">
        <v>0.81</v>
      </c>
    </row>
    <row r="5374" spans="1:14" x14ac:dyDescent="0.25">
      <c r="A5374" t="s">
        <v>9699</v>
      </c>
      <c r="B5374" t="s">
        <v>9700</v>
      </c>
      <c r="C5374" s="1" t="str">
        <f>HYPERLINK("http://www.genecards.org/cgi-bin/carddisp.pl?gene=HRH3","GeneCards")</f>
        <v>GeneCards</v>
      </c>
      <c r="D5374" s="1" t="str">
        <f>HYPERLINK("http://genome-euro.ucsc.edu/cgi-bin/hgTracks?position=221663_x_at","UCSC")</f>
        <v>UCSC</v>
      </c>
      <c r="E5374" s="1" t="str">
        <f>HYPERLINK("http://www.ncbi.nlm.nih.gov/gene/?term=HRH3","NCBI")</f>
        <v>NCBI</v>
      </c>
      <c r="F5374">
        <v>5.1999999999999998E-2</v>
      </c>
      <c r="G5374">
        <v>0.16</v>
      </c>
      <c r="H5374" s="1" t="str">
        <f>HYPERLINK("http://www.weizmann.ac.il/complex/compphys/software/geview/data/figures/221663_x_at.png","Figure")</f>
        <v>Figure</v>
      </c>
      <c r="I5374">
        <v>1.29</v>
      </c>
      <c r="J5374">
        <v>4.9000000000000002E-2</v>
      </c>
      <c r="K5374">
        <v>1.07</v>
      </c>
      <c r="L5374">
        <v>0.74</v>
      </c>
      <c r="M5374">
        <v>0.82399999999999995</v>
      </c>
      <c r="N5374">
        <v>0.12</v>
      </c>
    </row>
    <row r="5375" spans="1:14" x14ac:dyDescent="0.25">
      <c r="A5375" t="s">
        <v>9701</v>
      </c>
      <c r="B5375" t="s">
        <v>9060</v>
      </c>
      <c r="C5375" s="1" t="str">
        <f>HYPERLINK("http://www.genecards.org/cgi-bin/carddisp.pl?gene=TAF9B","GeneCards")</f>
        <v>GeneCards</v>
      </c>
      <c r="D5375" s="1" t="str">
        <f>HYPERLINK("http://genome-euro.ucsc.edu/cgi-bin/hgTracks?position=221616_s_at","UCSC")</f>
        <v>UCSC</v>
      </c>
      <c r="E5375" s="1" t="str">
        <f>HYPERLINK("http://www.ncbi.nlm.nih.gov/gene/?term=TAF9B","NCBI")</f>
        <v>NCBI</v>
      </c>
      <c r="F5375">
        <v>5.1999999999999998E-2</v>
      </c>
      <c r="G5375">
        <v>0.16</v>
      </c>
      <c r="H5375" s="1" t="str">
        <f>HYPERLINK("http://www.weizmann.ac.il/complex/compphys/software/geview/data/figures/221616_s_at.png","Figure")</f>
        <v>Figure</v>
      </c>
      <c r="I5375">
        <v>1.19</v>
      </c>
      <c r="J5375">
        <v>0.7</v>
      </c>
      <c r="K5375">
        <v>0.70599999999999996</v>
      </c>
      <c r="L5375">
        <v>0.2</v>
      </c>
      <c r="M5375">
        <v>0.59199999999999997</v>
      </c>
      <c r="N5375">
        <v>5.5E-2</v>
      </c>
    </row>
    <row r="5376" spans="1:14" x14ac:dyDescent="0.25">
      <c r="A5376" t="s">
        <v>9702</v>
      </c>
      <c r="B5376" t="s">
        <v>2596</v>
      </c>
      <c r="C5376" s="1" t="str">
        <f>HYPERLINK("http://www.genecards.org/cgi-bin/carddisp.pl?gene=C1orf77","GeneCards")</f>
        <v>GeneCards</v>
      </c>
      <c r="D5376" s="1" t="str">
        <f>HYPERLINK("http://genome-euro.ucsc.edu/cgi-bin/hgTracks?position=202560_s_at","UCSC")</f>
        <v>UCSC</v>
      </c>
      <c r="E5376" s="1" t="str">
        <f>HYPERLINK("http://www.ncbi.nlm.nih.gov/gene/?term=C1orf77","NCBI")</f>
        <v>NCBI</v>
      </c>
      <c r="F5376">
        <v>5.1999999999999998E-2</v>
      </c>
      <c r="G5376">
        <v>0.16</v>
      </c>
      <c r="H5376" s="1" t="str">
        <f>HYPERLINK("http://www.weizmann.ac.il/complex/compphys/software/geview/data/figures/202560_s_at.png","Figure")</f>
        <v>Figure</v>
      </c>
      <c r="I5376">
        <v>1.08</v>
      </c>
      <c r="J5376">
        <v>0.89</v>
      </c>
      <c r="K5376">
        <v>0.72699999999999998</v>
      </c>
      <c r="L5376">
        <v>0.13</v>
      </c>
      <c r="M5376">
        <v>0.67200000000000004</v>
      </c>
      <c r="N5376">
        <v>7.0999999999999994E-2</v>
      </c>
    </row>
    <row r="5377" spans="1:14" x14ac:dyDescent="0.25">
      <c r="A5377" t="s">
        <v>9703</v>
      </c>
      <c r="B5377" t="s">
        <v>4092</v>
      </c>
      <c r="C5377" s="1" t="str">
        <f>HYPERLINK("http://www.genecards.org/cgi-bin/carddisp.pl?gene=NSUN5","GeneCards")</f>
        <v>GeneCards</v>
      </c>
      <c r="D5377" s="1" t="str">
        <f>HYPERLINK("http://genome-euro.ucsc.edu/cgi-bin/hgTracks?position=203802_x_at","UCSC")</f>
        <v>UCSC</v>
      </c>
      <c r="E5377" s="1" t="str">
        <f>HYPERLINK("http://www.ncbi.nlm.nih.gov/gene/?term=NSUN5","NCBI")</f>
        <v>NCBI</v>
      </c>
      <c r="F5377">
        <v>5.1999999999999998E-2</v>
      </c>
      <c r="G5377">
        <v>0.16</v>
      </c>
      <c r="H5377" s="1" t="str">
        <f>HYPERLINK("http://www.weizmann.ac.il/complex/compphys/software/geview/data/figures/203802_x_at.png","Figure")</f>
        <v>Figure</v>
      </c>
      <c r="I5377">
        <v>1.66</v>
      </c>
      <c r="J5377">
        <v>0.12</v>
      </c>
      <c r="K5377">
        <v>1.7</v>
      </c>
      <c r="L5377">
        <v>5.7000000000000002E-2</v>
      </c>
      <c r="M5377">
        <v>1.03</v>
      </c>
      <c r="N5377">
        <v>0.99</v>
      </c>
    </row>
    <row r="5378" spans="1:14" x14ac:dyDescent="0.25">
      <c r="A5378" t="s">
        <v>9704</v>
      </c>
      <c r="B5378" t="s">
        <v>3970</v>
      </c>
      <c r="C5378" s="1" t="str">
        <f>HYPERLINK("http://www.genecards.org/cgi-bin/carddisp.pl?gene=ILF3","GeneCards")</f>
        <v>GeneCards</v>
      </c>
      <c r="D5378" s="1" t="str">
        <f>HYPERLINK("http://genome-euro.ucsc.edu/cgi-bin/hgTracks?position=208930_s_at","UCSC")</f>
        <v>UCSC</v>
      </c>
      <c r="E5378" s="1" t="str">
        <f>HYPERLINK("http://www.ncbi.nlm.nih.gov/gene/?term=ILF3","NCBI")</f>
        <v>NCBI</v>
      </c>
      <c r="F5378">
        <v>5.1999999999999998E-2</v>
      </c>
      <c r="G5378">
        <v>0.16</v>
      </c>
      <c r="H5378" s="1" t="str">
        <f>HYPERLINK("http://www.weizmann.ac.il/complex/compphys/software/geview/data/figures/208930_s_at.png","Figure")</f>
        <v>Figure</v>
      </c>
      <c r="I5378">
        <v>1.64</v>
      </c>
      <c r="J5378">
        <v>0.12</v>
      </c>
      <c r="K5378">
        <v>0.91900000000000004</v>
      </c>
      <c r="L5378">
        <v>0.91</v>
      </c>
      <c r="M5378">
        <v>0.55900000000000005</v>
      </c>
      <c r="N5378">
        <v>4.9000000000000002E-2</v>
      </c>
    </row>
    <row r="5379" spans="1:14" x14ac:dyDescent="0.25">
      <c r="A5379" t="s">
        <v>9705</v>
      </c>
      <c r="B5379" t="s">
        <v>9706</v>
      </c>
      <c r="C5379" s="1" t="str">
        <f>HYPERLINK("http://www.genecards.org/cgi-bin/carddisp.pl?gene=BCL11A","GeneCards")</f>
        <v>GeneCards</v>
      </c>
      <c r="D5379" s="1" t="str">
        <f>HYPERLINK("http://genome-euro.ucsc.edu/cgi-bin/hgTracks?position=210347_s_at","UCSC")</f>
        <v>UCSC</v>
      </c>
      <c r="E5379" s="1" t="str">
        <f>HYPERLINK("http://www.ncbi.nlm.nih.gov/gene/?term=BCL11A","NCBI")</f>
        <v>NCBI</v>
      </c>
      <c r="F5379">
        <v>5.1999999999999998E-2</v>
      </c>
      <c r="G5379">
        <v>0.16</v>
      </c>
      <c r="H5379" s="1" t="str">
        <f>HYPERLINK("http://www.weizmann.ac.il/complex/compphys/software/geview/data/figures/210347_s_at.png","Figure")</f>
        <v>Figure</v>
      </c>
      <c r="I5379">
        <v>0.80600000000000005</v>
      </c>
      <c r="J5379">
        <v>0.34</v>
      </c>
      <c r="K5379">
        <v>1.18</v>
      </c>
      <c r="L5379">
        <v>0.44</v>
      </c>
      <c r="M5379">
        <v>1.46</v>
      </c>
      <c r="N5379">
        <v>4.2000000000000003E-2</v>
      </c>
    </row>
    <row r="5380" spans="1:14" x14ac:dyDescent="0.25">
      <c r="A5380" t="s">
        <v>9707</v>
      </c>
      <c r="B5380" t="s">
        <v>9708</v>
      </c>
      <c r="C5380" s="1" t="str">
        <f>HYPERLINK("http://www.genecards.org/cgi-bin/carddisp.pl?gene=CYP51A1","GeneCards")</f>
        <v>GeneCards</v>
      </c>
      <c r="D5380" s="1" t="str">
        <f>HYPERLINK("http://genome-euro.ucsc.edu/cgi-bin/hgTracks?position=202314_at","UCSC")</f>
        <v>UCSC</v>
      </c>
      <c r="E5380" s="1" t="str">
        <f>HYPERLINK("http://www.ncbi.nlm.nih.gov/gene/?term=CYP51A1","NCBI")</f>
        <v>NCBI</v>
      </c>
      <c r="F5380">
        <v>5.1999999999999998E-2</v>
      </c>
      <c r="G5380">
        <v>0.16</v>
      </c>
      <c r="H5380" s="1" t="str">
        <f>HYPERLINK("http://www.weizmann.ac.il/complex/compphys/software/geview/data/figures/202314_at.png","Figure")</f>
        <v>Figure</v>
      </c>
      <c r="I5380">
        <v>0.80700000000000005</v>
      </c>
      <c r="J5380">
        <v>7.4999999999999997E-2</v>
      </c>
      <c r="K5380">
        <v>0.99099999999999999</v>
      </c>
      <c r="L5380">
        <v>0.99</v>
      </c>
      <c r="M5380">
        <v>1.23</v>
      </c>
      <c r="N5380">
        <v>6.7000000000000004E-2</v>
      </c>
    </row>
    <row r="5381" spans="1:14" x14ac:dyDescent="0.25">
      <c r="A5381" t="s">
        <v>9709</v>
      </c>
      <c r="B5381" t="s">
        <v>9710</v>
      </c>
      <c r="C5381" s="1" t="str">
        <f>HYPERLINK("http://www.genecards.org/cgi-bin/carddisp.pl?gene=ZNF652","GeneCards")</f>
        <v>GeneCards</v>
      </c>
      <c r="D5381" s="1" t="str">
        <f>HYPERLINK("http://genome-euro.ucsc.edu/cgi-bin/hgTracks?position=205594_at","UCSC")</f>
        <v>UCSC</v>
      </c>
      <c r="E5381" s="1" t="str">
        <f>HYPERLINK("http://www.ncbi.nlm.nih.gov/gene/?term=ZNF652","NCBI")</f>
        <v>NCBI</v>
      </c>
      <c r="F5381">
        <v>5.1999999999999998E-2</v>
      </c>
      <c r="G5381">
        <v>0.16</v>
      </c>
      <c r="H5381" s="1" t="str">
        <f>HYPERLINK("http://www.weizmann.ac.il/complex/compphys/software/geview/data/figures/205594_at.png","Figure")</f>
        <v>Figure</v>
      </c>
      <c r="I5381">
        <v>0.61299999999999999</v>
      </c>
      <c r="J5381">
        <v>7.3999999999999996E-2</v>
      </c>
      <c r="K5381">
        <v>0.66300000000000003</v>
      </c>
      <c r="L5381">
        <v>8.5999999999999993E-2</v>
      </c>
      <c r="M5381">
        <v>1.08</v>
      </c>
      <c r="N5381">
        <v>0.91</v>
      </c>
    </row>
    <row r="5382" spans="1:14" x14ac:dyDescent="0.25">
      <c r="A5382" t="s">
        <v>9711</v>
      </c>
      <c r="B5382" t="s">
        <v>9712</v>
      </c>
      <c r="C5382" s="1" t="str">
        <f>HYPERLINK("http://www.genecards.org/cgi-bin/carddisp.pl?gene=ALPPL2","GeneCards")</f>
        <v>GeneCards</v>
      </c>
      <c r="D5382" s="1" t="str">
        <f>HYPERLINK("http://genome-euro.ucsc.edu/cgi-bin/hgTracks?position=210431_at","UCSC")</f>
        <v>UCSC</v>
      </c>
      <c r="E5382" s="1" t="str">
        <f>HYPERLINK("http://www.ncbi.nlm.nih.gov/gene/?term=ALPPL2","NCBI")</f>
        <v>NCBI</v>
      </c>
      <c r="F5382">
        <v>5.1999999999999998E-2</v>
      </c>
      <c r="G5382">
        <v>0.16</v>
      </c>
      <c r="H5382" s="1" t="str">
        <f>HYPERLINK("http://www.weizmann.ac.il/complex/compphys/software/geview/data/figures/210431_at.png","Figure")</f>
        <v>Figure</v>
      </c>
      <c r="I5382">
        <v>1.1399999999999999</v>
      </c>
      <c r="J5382">
        <v>9.9000000000000005E-2</v>
      </c>
      <c r="K5382">
        <v>0.99</v>
      </c>
      <c r="L5382">
        <v>0.98</v>
      </c>
      <c r="M5382">
        <v>0.86499999999999999</v>
      </c>
      <c r="N5382">
        <v>5.5E-2</v>
      </c>
    </row>
    <row r="5383" spans="1:14" x14ac:dyDescent="0.25">
      <c r="A5383" t="s">
        <v>9713</v>
      </c>
      <c r="B5383" t="s">
        <v>9714</v>
      </c>
      <c r="C5383" s="1" t="str">
        <f>HYPERLINK("http://www.genecards.org/cgi-bin/carddisp.pl?gene=DUX1","GeneCards")</f>
        <v>GeneCards</v>
      </c>
      <c r="D5383" s="1" t="str">
        <f>HYPERLINK("http://genome-euro.ucsc.edu/cgi-bin/hgTracks?position=208176_at","UCSC")</f>
        <v>UCSC</v>
      </c>
      <c r="E5383" s="1" t="str">
        <f>HYPERLINK("http://www.ncbi.nlm.nih.gov/gene/?term=DUX1","NCBI")</f>
        <v>NCBI</v>
      </c>
      <c r="F5383">
        <v>5.1999999999999998E-2</v>
      </c>
      <c r="G5383">
        <v>0.16</v>
      </c>
      <c r="H5383" s="1" t="str">
        <f>HYPERLINK("http://www.weizmann.ac.il/complex/compphys/software/geview/data/figures/208176_at.png","Figure")</f>
        <v>Figure</v>
      </c>
      <c r="I5383">
        <v>1.51</v>
      </c>
      <c r="J5383">
        <v>4.2000000000000003E-2</v>
      </c>
      <c r="K5383">
        <v>1.19</v>
      </c>
      <c r="L5383">
        <v>0.43</v>
      </c>
      <c r="M5383">
        <v>0.78300000000000003</v>
      </c>
      <c r="N5383">
        <v>0.23</v>
      </c>
    </row>
    <row r="5384" spans="1:14" x14ac:dyDescent="0.25">
      <c r="A5384" t="s">
        <v>9715</v>
      </c>
      <c r="B5384" t="s">
        <v>9716</v>
      </c>
      <c r="C5384" s="1" t="str">
        <f>HYPERLINK("http://www.genecards.org/cgi-bin/carddisp.pl?gene=GUSB /// LOC100294451 /// LOC91316","GeneCards")</f>
        <v>GeneCards</v>
      </c>
      <c r="D5384" s="1" t="str">
        <f>HYPERLINK("http://genome-euro.ucsc.edu/cgi-bin/hgTracks?position=215816_at","UCSC")</f>
        <v>UCSC</v>
      </c>
      <c r="E5384" s="1" t="str">
        <f>HYPERLINK("http://www.ncbi.nlm.nih.gov/gene/?term=GUSB /// LOC100294451 /// LOC91316","NCBI")</f>
        <v>NCBI</v>
      </c>
      <c r="F5384">
        <v>5.1999999999999998E-2</v>
      </c>
      <c r="G5384">
        <v>0.16</v>
      </c>
      <c r="H5384" s="1" t="str">
        <f>HYPERLINK("http://www.weizmann.ac.il/complex/compphys/software/geview/data/figures/215816_at.png","Figure")</f>
        <v>Figure</v>
      </c>
      <c r="I5384">
        <v>1.26</v>
      </c>
      <c r="J5384">
        <v>0.06</v>
      </c>
      <c r="K5384">
        <v>1.19</v>
      </c>
      <c r="L5384">
        <v>0.11</v>
      </c>
      <c r="M5384">
        <v>0.94399999999999995</v>
      </c>
      <c r="N5384">
        <v>0.78</v>
      </c>
    </row>
    <row r="5385" spans="1:14" x14ac:dyDescent="0.25">
      <c r="A5385" t="s">
        <v>9717</v>
      </c>
      <c r="B5385" t="s">
        <v>3160</v>
      </c>
      <c r="C5385" s="1" t="str">
        <f>HYPERLINK("http://www.genecards.org/cgi-bin/carddisp.pl?gene=MAFF","GeneCards")</f>
        <v>GeneCards</v>
      </c>
      <c r="D5385" s="1" t="str">
        <f>HYPERLINK("http://genome-euro.ucsc.edu/cgi-bin/hgTracks?position=205193_at","UCSC")</f>
        <v>UCSC</v>
      </c>
      <c r="E5385" s="1" t="str">
        <f>HYPERLINK("http://www.ncbi.nlm.nih.gov/gene/?term=MAFF","NCBI")</f>
        <v>NCBI</v>
      </c>
      <c r="F5385">
        <v>5.1999999999999998E-2</v>
      </c>
      <c r="G5385">
        <v>0.16</v>
      </c>
      <c r="H5385" s="1" t="str">
        <f>HYPERLINK("http://www.weizmann.ac.il/complex/compphys/software/geview/data/figures/205193_at.png","Figure")</f>
        <v>Figure</v>
      </c>
      <c r="I5385">
        <v>0.88100000000000001</v>
      </c>
      <c r="J5385">
        <v>0.57999999999999996</v>
      </c>
      <c r="K5385">
        <v>0.746</v>
      </c>
      <c r="L5385">
        <v>4.4999999999999998E-2</v>
      </c>
      <c r="M5385">
        <v>0.84699999999999998</v>
      </c>
      <c r="N5385">
        <v>0.35</v>
      </c>
    </row>
    <row r="5386" spans="1:14" x14ac:dyDescent="0.25">
      <c r="A5386" t="s">
        <v>9718</v>
      </c>
      <c r="B5386" t="s">
        <v>643</v>
      </c>
      <c r="C5386" s="1" t="str">
        <f>HYPERLINK("http://www.genecards.org/cgi-bin/carddisp.pl?gene=EIF1","GeneCards")</f>
        <v>GeneCards</v>
      </c>
      <c r="D5386" s="1" t="str">
        <f>HYPERLINK("http://genome-euro.ucsc.edu/cgi-bin/hgTracks?position=212227_x_at","UCSC")</f>
        <v>UCSC</v>
      </c>
      <c r="E5386" s="1" t="str">
        <f>HYPERLINK("http://www.ncbi.nlm.nih.gov/gene/?term=EIF1","NCBI")</f>
        <v>NCBI</v>
      </c>
      <c r="F5386">
        <v>5.1999999999999998E-2</v>
      </c>
      <c r="G5386">
        <v>0.16</v>
      </c>
      <c r="H5386" s="1" t="str">
        <f>HYPERLINK("http://www.weizmann.ac.il/complex/compphys/software/geview/data/figures/212227_x_at.png","Figure")</f>
        <v>Figure</v>
      </c>
      <c r="I5386">
        <v>0.59499999999999997</v>
      </c>
      <c r="J5386">
        <v>0.15</v>
      </c>
      <c r="K5386">
        <v>0.55200000000000005</v>
      </c>
      <c r="L5386">
        <v>5.1999999999999998E-2</v>
      </c>
      <c r="M5386">
        <v>0.92800000000000005</v>
      </c>
      <c r="N5386">
        <v>0.95</v>
      </c>
    </row>
    <row r="5387" spans="1:14" x14ac:dyDescent="0.25">
      <c r="A5387" t="s">
        <v>9719</v>
      </c>
      <c r="B5387" t="s">
        <v>9720</v>
      </c>
      <c r="C5387" s="1" t="str">
        <f>HYPERLINK("http://www.genecards.org/cgi-bin/carddisp.pl?gene=TFF2","GeneCards")</f>
        <v>GeneCards</v>
      </c>
      <c r="D5387" s="1" t="str">
        <f>HYPERLINK("http://genome-euro.ucsc.edu/cgi-bin/hgTracks?position=214476_at","UCSC")</f>
        <v>UCSC</v>
      </c>
      <c r="E5387" s="1" t="str">
        <f>HYPERLINK("http://www.ncbi.nlm.nih.gov/gene/?term=TFF2","NCBI")</f>
        <v>NCBI</v>
      </c>
      <c r="F5387">
        <v>5.1999999999999998E-2</v>
      </c>
      <c r="G5387">
        <v>0.16</v>
      </c>
      <c r="H5387" s="1" t="str">
        <f>HYPERLINK("http://www.weizmann.ac.il/complex/compphys/software/geview/data/figures/214476_at.png","Figure")</f>
        <v>Figure</v>
      </c>
      <c r="I5387">
        <v>1.23</v>
      </c>
      <c r="J5387">
        <v>4.7E-2</v>
      </c>
      <c r="K5387">
        <v>1.1399999999999999</v>
      </c>
      <c r="L5387">
        <v>0.19</v>
      </c>
      <c r="M5387">
        <v>0.92</v>
      </c>
      <c r="N5387">
        <v>0.51</v>
      </c>
    </row>
    <row r="5388" spans="1:14" x14ac:dyDescent="0.25">
      <c r="A5388" t="s">
        <v>9721</v>
      </c>
      <c r="B5388" t="s">
        <v>9722</v>
      </c>
      <c r="C5388" s="1" t="str">
        <f>HYPERLINK("http://www.genecards.org/cgi-bin/carddisp.pl?gene=DHRS7B","GeneCards")</f>
        <v>GeneCards</v>
      </c>
      <c r="D5388" s="1" t="str">
        <f>HYPERLINK("http://genome-euro.ucsc.edu/cgi-bin/hgTracks?position=220690_s_at","UCSC")</f>
        <v>UCSC</v>
      </c>
      <c r="E5388" s="1" t="str">
        <f>HYPERLINK("http://www.ncbi.nlm.nih.gov/gene/?term=DHRS7B","NCBI")</f>
        <v>NCBI</v>
      </c>
      <c r="F5388">
        <v>5.1999999999999998E-2</v>
      </c>
      <c r="G5388">
        <v>0.16</v>
      </c>
      <c r="H5388" s="1" t="str">
        <f>HYPERLINK("http://www.weizmann.ac.il/complex/compphys/software/geview/data/figures/220690_s_at.png","Figure")</f>
        <v>Figure</v>
      </c>
      <c r="I5388">
        <v>0.94</v>
      </c>
      <c r="J5388">
        <v>8.3000000000000004E-2</v>
      </c>
      <c r="K5388">
        <v>1</v>
      </c>
      <c r="L5388">
        <v>1</v>
      </c>
      <c r="M5388">
        <v>1.06</v>
      </c>
      <c r="N5388">
        <v>6.2E-2</v>
      </c>
    </row>
    <row r="5389" spans="1:14" x14ac:dyDescent="0.25">
      <c r="A5389" t="s">
        <v>9723</v>
      </c>
      <c r="B5389" t="s">
        <v>9724</v>
      </c>
      <c r="C5389" s="1" t="str">
        <f>HYPERLINK("http://www.genecards.org/cgi-bin/carddisp.pl?gene=BIN3","GeneCards")</f>
        <v>GeneCards</v>
      </c>
      <c r="D5389" s="1" t="str">
        <f>HYPERLINK("http://genome-euro.ucsc.edu/cgi-bin/hgTracks?position=222199_s_at","UCSC")</f>
        <v>UCSC</v>
      </c>
      <c r="E5389" s="1" t="str">
        <f>HYPERLINK("http://www.ncbi.nlm.nih.gov/gene/?term=BIN3","NCBI")</f>
        <v>NCBI</v>
      </c>
      <c r="F5389">
        <v>5.1999999999999998E-2</v>
      </c>
      <c r="G5389">
        <v>0.16</v>
      </c>
      <c r="H5389" s="1" t="str">
        <f>HYPERLINK("http://www.weizmann.ac.il/complex/compphys/software/geview/data/figures/222199_s_at.png","Figure")</f>
        <v>Figure</v>
      </c>
      <c r="I5389">
        <v>1.32</v>
      </c>
      <c r="J5389">
        <v>9.5000000000000001E-2</v>
      </c>
      <c r="K5389">
        <v>0.98499999999999999</v>
      </c>
      <c r="L5389">
        <v>0.99</v>
      </c>
      <c r="M5389">
        <v>0.749</v>
      </c>
      <c r="N5389">
        <v>5.7000000000000002E-2</v>
      </c>
    </row>
    <row r="5390" spans="1:14" x14ac:dyDescent="0.25">
      <c r="A5390" t="s">
        <v>9725</v>
      </c>
      <c r="B5390" t="s">
        <v>9726</v>
      </c>
      <c r="C5390" s="1" t="str">
        <f>HYPERLINK("http://www.genecards.org/cgi-bin/carddisp.pl?gene=TMEM223","GeneCards")</f>
        <v>GeneCards</v>
      </c>
      <c r="D5390" s="1" t="str">
        <f>HYPERLINK("http://genome-euro.ucsc.edu/cgi-bin/hgTracks?position=220934_s_at","UCSC")</f>
        <v>UCSC</v>
      </c>
      <c r="E5390" s="1" t="str">
        <f>HYPERLINK("http://www.ncbi.nlm.nih.gov/gene/?term=TMEM223","NCBI")</f>
        <v>NCBI</v>
      </c>
      <c r="F5390">
        <v>5.1999999999999998E-2</v>
      </c>
      <c r="G5390">
        <v>0.16</v>
      </c>
      <c r="H5390" s="1" t="str">
        <f>HYPERLINK("http://www.weizmann.ac.il/complex/compphys/software/geview/data/figures/220934_s_at.png","Figure")</f>
        <v>Figure</v>
      </c>
      <c r="I5390">
        <v>1.25</v>
      </c>
      <c r="J5390">
        <v>0.15</v>
      </c>
      <c r="K5390">
        <v>1.28</v>
      </c>
      <c r="L5390">
        <v>5.1999999999999998E-2</v>
      </c>
      <c r="M5390">
        <v>1.03</v>
      </c>
      <c r="N5390">
        <v>0.96</v>
      </c>
    </row>
    <row r="5391" spans="1:14" x14ac:dyDescent="0.25">
      <c r="A5391" t="s">
        <v>9727</v>
      </c>
      <c r="B5391" t="s">
        <v>9728</v>
      </c>
      <c r="C5391" s="1" t="str">
        <f>HYPERLINK("http://www.genecards.org/cgi-bin/carddisp.pl?gene=SETDB1","GeneCards")</f>
        <v>GeneCards</v>
      </c>
      <c r="D5391" s="1" t="str">
        <f>HYPERLINK("http://genome-euro.ucsc.edu/cgi-bin/hgTracks?position=203155_at","UCSC")</f>
        <v>UCSC</v>
      </c>
      <c r="E5391" s="1" t="str">
        <f>HYPERLINK("http://www.ncbi.nlm.nih.gov/gene/?term=SETDB1","NCBI")</f>
        <v>NCBI</v>
      </c>
      <c r="F5391">
        <v>5.1999999999999998E-2</v>
      </c>
      <c r="G5391">
        <v>0.16</v>
      </c>
      <c r="H5391" s="1" t="str">
        <f>HYPERLINK("http://www.weizmann.ac.il/complex/compphys/software/geview/data/figures/203155_at.png","Figure")</f>
        <v>Figure</v>
      </c>
      <c r="I5391">
        <v>1.35</v>
      </c>
      <c r="J5391">
        <v>0.12</v>
      </c>
      <c r="K5391">
        <v>1.36</v>
      </c>
      <c r="L5391">
        <v>5.8000000000000003E-2</v>
      </c>
      <c r="M5391">
        <v>1.01</v>
      </c>
      <c r="N5391">
        <v>1</v>
      </c>
    </row>
    <row r="5392" spans="1:14" x14ac:dyDescent="0.25">
      <c r="A5392" t="s">
        <v>9729</v>
      </c>
      <c r="B5392" t="s">
        <v>9730</v>
      </c>
      <c r="C5392" s="1" t="str">
        <f>HYPERLINK("http://www.genecards.org/cgi-bin/carddisp.pl?gene=PDGFA","GeneCards")</f>
        <v>GeneCards</v>
      </c>
      <c r="D5392" s="1" t="str">
        <f>HYPERLINK("http://genome-euro.ucsc.edu/cgi-bin/hgTracks?position=205463_s_at","UCSC")</f>
        <v>UCSC</v>
      </c>
      <c r="E5392" s="1" t="str">
        <f>HYPERLINK("http://www.ncbi.nlm.nih.gov/gene/?term=PDGFA","NCBI")</f>
        <v>NCBI</v>
      </c>
      <c r="F5392">
        <v>5.1999999999999998E-2</v>
      </c>
      <c r="G5392">
        <v>0.16</v>
      </c>
      <c r="H5392" s="1" t="str">
        <f>HYPERLINK("http://www.weizmann.ac.il/complex/compphys/software/geview/data/figures/205463_s_at.png","Figure")</f>
        <v>Figure</v>
      </c>
      <c r="I5392">
        <v>0.51700000000000002</v>
      </c>
      <c r="J5392">
        <v>0.27</v>
      </c>
      <c r="K5392">
        <v>1.46</v>
      </c>
      <c r="L5392">
        <v>0.55000000000000004</v>
      </c>
      <c r="M5392">
        <v>2.83</v>
      </c>
      <c r="N5392">
        <v>4.2000000000000003E-2</v>
      </c>
    </row>
    <row r="5393" spans="1:14" x14ac:dyDescent="0.25">
      <c r="A5393" t="s">
        <v>9731</v>
      </c>
      <c r="B5393" t="s">
        <v>5265</v>
      </c>
      <c r="C5393" s="1" t="str">
        <f>HYPERLINK("http://www.genecards.org/cgi-bin/carddisp.pl?gene=ITGA4","GeneCards")</f>
        <v>GeneCards</v>
      </c>
      <c r="D5393" s="1" t="str">
        <f>HYPERLINK("http://genome-euro.ucsc.edu/cgi-bin/hgTracks?position=213416_at","UCSC")</f>
        <v>UCSC</v>
      </c>
      <c r="E5393" s="1" t="str">
        <f>HYPERLINK("http://www.ncbi.nlm.nih.gov/gene/?term=ITGA4","NCBI")</f>
        <v>NCBI</v>
      </c>
      <c r="F5393">
        <v>5.1999999999999998E-2</v>
      </c>
      <c r="G5393">
        <v>0.16</v>
      </c>
      <c r="H5393" s="1" t="str">
        <f>HYPERLINK("http://www.weizmann.ac.il/complex/compphys/software/geview/data/figures/213416_at.png","Figure")</f>
        <v>Figure</v>
      </c>
      <c r="I5393">
        <v>1.3</v>
      </c>
      <c r="J5393">
        <v>0.78</v>
      </c>
      <c r="K5393">
        <v>2.41</v>
      </c>
      <c r="L5393">
        <v>5.0999999999999997E-2</v>
      </c>
      <c r="M5393">
        <v>1.85</v>
      </c>
      <c r="N5393">
        <v>0.23</v>
      </c>
    </row>
    <row r="5394" spans="1:14" x14ac:dyDescent="0.25">
      <c r="A5394" t="s">
        <v>9732</v>
      </c>
      <c r="B5394" t="s">
        <v>9733</v>
      </c>
      <c r="C5394" s="1" t="str">
        <f>HYPERLINK("http://www.genecards.org/cgi-bin/carddisp.pl?gene=PSMB8","GeneCards")</f>
        <v>GeneCards</v>
      </c>
      <c r="D5394" s="1" t="str">
        <f>HYPERLINK("http://genome-euro.ucsc.edu/cgi-bin/hgTracks?position=209040_s_at","UCSC")</f>
        <v>UCSC</v>
      </c>
      <c r="E5394" s="1" t="str">
        <f>HYPERLINK("http://www.ncbi.nlm.nih.gov/gene/?term=PSMB8","NCBI")</f>
        <v>NCBI</v>
      </c>
      <c r="F5394">
        <v>5.1999999999999998E-2</v>
      </c>
      <c r="G5394">
        <v>0.16</v>
      </c>
      <c r="H5394" s="1" t="str">
        <f>HYPERLINK("http://www.weizmann.ac.il/complex/compphys/software/geview/data/figures/209040_s_at.png","Figure")</f>
        <v>Figure</v>
      </c>
      <c r="I5394">
        <v>0.88400000000000001</v>
      </c>
      <c r="J5394">
        <v>0.75</v>
      </c>
      <c r="K5394">
        <v>1.32</v>
      </c>
      <c r="L5394">
        <v>0.18</v>
      </c>
      <c r="M5394">
        <v>1.5</v>
      </c>
      <c r="N5394">
        <v>5.8999999999999997E-2</v>
      </c>
    </row>
    <row r="5395" spans="1:14" x14ac:dyDescent="0.25">
      <c r="A5395" t="s">
        <v>9734</v>
      </c>
      <c r="B5395" t="s">
        <v>9735</v>
      </c>
      <c r="C5395" s="1" t="str">
        <f>HYPERLINK("http://www.genecards.org/cgi-bin/carddisp.pl?gene=COX7B","GeneCards")</f>
        <v>GeneCards</v>
      </c>
      <c r="D5395" s="1" t="str">
        <f>HYPERLINK("http://genome-euro.ucsc.edu/cgi-bin/hgTracks?position=202110_at","UCSC")</f>
        <v>UCSC</v>
      </c>
      <c r="E5395" s="1" t="str">
        <f>HYPERLINK("http://www.ncbi.nlm.nih.gov/gene/?term=COX7B","NCBI")</f>
        <v>NCBI</v>
      </c>
      <c r="F5395">
        <v>5.1999999999999998E-2</v>
      </c>
      <c r="G5395">
        <v>0.16</v>
      </c>
      <c r="H5395" s="1" t="str">
        <f>HYPERLINK("http://www.weizmann.ac.il/complex/compphys/software/geview/data/figures/202110_at.png","Figure")</f>
        <v>Figure</v>
      </c>
      <c r="I5395">
        <v>1.03</v>
      </c>
      <c r="J5395">
        <v>0.98</v>
      </c>
      <c r="K5395">
        <v>1.39</v>
      </c>
      <c r="L5395">
        <v>7.0000000000000007E-2</v>
      </c>
      <c r="M5395">
        <v>1.35</v>
      </c>
      <c r="N5395">
        <v>0.14000000000000001</v>
      </c>
    </row>
    <row r="5396" spans="1:14" x14ac:dyDescent="0.25">
      <c r="A5396" t="s">
        <v>9736</v>
      </c>
      <c r="B5396" t="s">
        <v>9737</v>
      </c>
      <c r="C5396" s="1" t="str">
        <f>HYPERLINK("http://www.genecards.org/cgi-bin/carddisp.pl?gene=SBF1","GeneCards")</f>
        <v>GeneCards</v>
      </c>
      <c r="D5396" s="1" t="str">
        <f>HYPERLINK("http://genome-euro.ucsc.edu/cgi-bin/hgTracks?position=212389_at","UCSC")</f>
        <v>UCSC</v>
      </c>
      <c r="E5396" s="1" t="str">
        <f>HYPERLINK("http://www.ncbi.nlm.nih.gov/gene/?term=SBF1","NCBI")</f>
        <v>NCBI</v>
      </c>
      <c r="F5396">
        <v>5.1999999999999998E-2</v>
      </c>
      <c r="G5396">
        <v>0.16</v>
      </c>
      <c r="H5396" s="1" t="str">
        <f>HYPERLINK("http://www.weizmann.ac.il/complex/compphys/software/geview/data/figures/212389_at.png","Figure")</f>
        <v>Figure</v>
      </c>
      <c r="I5396">
        <v>1.1599999999999999</v>
      </c>
      <c r="J5396">
        <v>4.3999999999999997E-2</v>
      </c>
      <c r="K5396">
        <v>1.0900000000000001</v>
      </c>
      <c r="L5396">
        <v>0.25</v>
      </c>
      <c r="M5396">
        <v>0.93300000000000005</v>
      </c>
      <c r="N5396">
        <v>0.41</v>
      </c>
    </row>
    <row r="5397" spans="1:14" x14ac:dyDescent="0.25">
      <c r="A5397" t="s">
        <v>9738</v>
      </c>
      <c r="B5397" t="s">
        <v>9739</v>
      </c>
      <c r="C5397" s="1" t="str">
        <f>HYPERLINK("http://www.genecards.org/cgi-bin/carddisp.pl?gene=TCF20","GeneCards")</f>
        <v>GeneCards</v>
      </c>
      <c r="D5397" s="1" t="str">
        <f>HYPERLINK("http://genome-euro.ucsc.edu/cgi-bin/hgTracks?position=212931_at","UCSC")</f>
        <v>UCSC</v>
      </c>
      <c r="E5397" s="1" t="str">
        <f>HYPERLINK("http://www.ncbi.nlm.nih.gov/gene/?term=TCF20","NCBI")</f>
        <v>NCBI</v>
      </c>
      <c r="F5397">
        <v>5.1999999999999998E-2</v>
      </c>
      <c r="G5397">
        <v>0.16</v>
      </c>
      <c r="H5397" s="1" t="str">
        <f>HYPERLINK("http://www.weizmann.ac.il/complex/compphys/software/geview/data/figures/212931_at.png","Figure")</f>
        <v>Figure</v>
      </c>
      <c r="I5397">
        <v>1.32</v>
      </c>
      <c r="J5397">
        <v>0.12</v>
      </c>
      <c r="K5397">
        <v>0.96099999999999997</v>
      </c>
      <c r="L5397">
        <v>0.93</v>
      </c>
      <c r="M5397">
        <v>0.72899999999999998</v>
      </c>
      <c r="N5397">
        <v>0.05</v>
      </c>
    </row>
    <row r="5398" spans="1:14" x14ac:dyDescent="0.25">
      <c r="A5398" t="s">
        <v>9740</v>
      </c>
      <c r="B5398" t="s">
        <v>9741</v>
      </c>
      <c r="C5398" s="1" t="str">
        <f>HYPERLINK("http://www.genecards.org/cgi-bin/carddisp.pl?gene=SSR4","GeneCards")</f>
        <v>GeneCards</v>
      </c>
      <c r="D5398" s="1" t="str">
        <f>HYPERLINK("http://genome-euro.ucsc.edu/cgi-bin/hgTracks?position=201004_at","UCSC")</f>
        <v>UCSC</v>
      </c>
      <c r="E5398" s="1" t="str">
        <f>HYPERLINK("http://www.ncbi.nlm.nih.gov/gene/?term=SSR4","NCBI")</f>
        <v>NCBI</v>
      </c>
      <c r="F5398">
        <v>5.1999999999999998E-2</v>
      </c>
      <c r="G5398">
        <v>0.16</v>
      </c>
      <c r="H5398" s="1" t="str">
        <f>HYPERLINK("http://www.weizmann.ac.il/complex/compphys/software/geview/data/figures/201004_at.png","Figure")</f>
        <v>Figure</v>
      </c>
      <c r="I5398">
        <v>0.61299999999999999</v>
      </c>
      <c r="J5398">
        <v>4.8000000000000001E-2</v>
      </c>
      <c r="K5398">
        <v>0.879</v>
      </c>
      <c r="L5398">
        <v>0.71</v>
      </c>
      <c r="M5398">
        <v>1.43</v>
      </c>
      <c r="N5398">
        <v>0.13</v>
      </c>
    </row>
    <row r="5399" spans="1:14" x14ac:dyDescent="0.25">
      <c r="A5399" t="s">
        <v>9742</v>
      </c>
      <c r="B5399" t="s">
        <v>9743</v>
      </c>
      <c r="C5399" s="1" t="str">
        <f>HYPERLINK("http://www.genecards.org/cgi-bin/carddisp.pl?gene=RPN1","GeneCards")</f>
        <v>GeneCards</v>
      </c>
      <c r="D5399" s="1" t="str">
        <f>HYPERLINK("http://genome-euro.ucsc.edu/cgi-bin/hgTracks?position=201011_at","UCSC")</f>
        <v>UCSC</v>
      </c>
      <c r="E5399" s="1" t="str">
        <f>HYPERLINK("http://www.ncbi.nlm.nih.gov/gene/?term=RPN1","NCBI")</f>
        <v>NCBI</v>
      </c>
      <c r="F5399">
        <v>5.1999999999999998E-2</v>
      </c>
      <c r="G5399">
        <v>0.16</v>
      </c>
      <c r="H5399" s="1" t="str">
        <f>HYPERLINK("http://www.weizmann.ac.il/complex/compphys/software/geview/data/figures/201011_at.png","Figure")</f>
        <v>Figure</v>
      </c>
      <c r="I5399">
        <v>0.71399999999999997</v>
      </c>
      <c r="J5399">
        <v>4.2999999999999997E-2</v>
      </c>
      <c r="K5399">
        <v>0.84899999999999998</v>
      </c>
      <c r="L5399">
        <v>0.31</v>
      </c>
      <c r="M5399">
        <v>1.19</v>
      </c>
      <c r="N5399">
        <v>0.32</v>
      </c>
    </row>
    <row r="5400" spans="1:14" x14ac:dyDescent="0.25">
      <c r="A5400" t="s">
        <v>9744</v>
      </c>
      <c r="B5400" t="s">
        <v>9745</v>
      </c>
      <c r="C5400" s="1" t="str">
        <f>HYPERLINK("http://www.genecards.org/cgi-bin/carddisp.pl?gene=MR1","GeneCards")</f>
        <v>GeneCards</v>
      </c>
      <c r="D5400" s="1" t="str">
        <f>HYPERLINK("http://genome-euro.ucsc.edu/cgi-bin/hgTracks?position=207566_at","UCSC")</f>
        <v>UCSC</v>
      </c>
      <c r="E5400" s="1" t="str">
        <f>HYPERLINK("http://www.ncbi.nlm.nih.gov/gene/?term=MR1","NCBI")</f>
        <v>NCBI</v>
      </c>
      <c r="F5400">
        <v>5.1999999999999998E-2</v>
      </c>
      <c r="G5400">
        <v>0.16</v>
      </c>
      <c r="H5400" s="1" t="str">
        <f>HYPERLINK("http://www.weizmann.ac.il/complex/compphys/software/geview/data/figures/207566_at.png","Figure")</f>
        <v>Figure</v>
      </c>
      <c r="I5400">
        <v>1.32</v>
      </c>
      <c r="J5400">
        <v>4.5999999999999999E-2</v>
      </c>
      <c r="K5400">
        <v>1.0900000000000001</v>
      </c>
      <c r="L5400">
        <v>0.65</v>
      </c>
      <c r="M5400">
        <v>0.82199999999999995</v>
      </c>
      <c r="N5400">
        <v>0.15</v>
      </c>
    </row>
    <row r="5401" spans="1:14" x14ac:dyDescent="0.25">
      <c r="A5401" t="s">
        <v>9746</v>
      </c>
      <c r="B5401" t="s">
        <v>9747</v>
      </c>
      <c r="C5401" s="1" t="str">
        <f>HYPERLINK("http://www.genecards.org/cgi-bin/carddisp.pl?gene=GARS","GeneCards")</f>
        <v>GeneCards</v>
      </c>
      <c r="D5401" s="1" t="str">
        <f>HYPERLINK("http://genome-euro.ucsc.edu/cgi-bin/hgTracks?position=208693_s_at","UCSC")</f>
        <v>UCSC</v>
      </c>
      <c r="E5401" s="1" t="str">
        <f>HYPERLINK("http://www.ncbi.nlm.nih.gov/gene/?term=GARS","NCBI")</f>
        <v>NCBI</v>
      </c>
      <c r="F5401">
        <v>5.1999999999999998E-2</v>
      </c>
      <c r="G5401">
        <v>0.16</v>
      </c>
      <c r="H5401" s="1" t="str">
        <f>HYPERLINK("http://www.weizmann.ac.il/complex/compphys/software/geview/data/figures/208693_s_at.png","Figure")</f>
        <v>Figure</v>
      </c>
      <c r="I5401">
        <v>1.28</v>
      </c>
      <c r="J5401">
        <v>0.28999999999999998</v>
      </c>
      <c r="K5401">
        <v>0.85499999999999998</v>
      </c>
      <c r="L5401">
        <v>0.52</v>
      </c>
      <c r="M5401">
        <v>0.66600000000000004</v>
      </c>
      <c r="N5401">
        <v>4.2000000000000003E-2</v>
      </c>
    </row>
    <row r="5402" spans="1:14" x14ac:dyDescent="0.25">
      <c r="A5402" t="s">
        <v>9748</v>
      </c>
      <c r="B5402" t="s">
        <v>9749</v>
      </c>
      <c r="C5402" s="1" t="str">
        <f>HYPERLINK("http://www.genecards.org/cgi-bin/carddisp.pl?gene=CACNB3","GeneCards")</f>
        <v>GeneCards</v>
      </c>
      <c r="D5402" s="1" t="str">
        <f>HYPERLINK("http://genome-euro.ucsc.edu/cgi-bin/hgTracks?position=209530_at","UCSC")</f>
        <v>UCSC</v>
      </c>
      <c r="E5402" s="1" t="str">
        <f>HYPERLINK("http://www.ncbi.nlm.nih.gov/gene/?term=CACNB3","NCBI")</f>
        <v>NCBI</v>
      </c>
      <c r="F5402">
        <v>5.1999999999999998E-2</v>
      </c>
      <c r="G5402">
        <v>0.16</v>
      </c>
      <c r="H5402" s="1" t="str">
        <f>HYPERLINK("http://www.weizmann.ac.il/complex/compphys/software/geview/data/figures/209530_at.png","Figure")</f>
        <v>Figure</v>
      </c>
      <c r="I5402">
        <v>1.43</v>
      </c>
      <c r="J5402">
        <v>7.3999999999999996E-2</v>
      </c>
      <c r="K5402">
        <v>1.02</v>
      </c>
      <c r="L5402">
        <v>0.99</v>
      </c>
      <c r="M5402">
        <v>0.71299999999999997</v>
      </c>
      <c r="N5402">
        <v>6.9000000000000006E-2</v>
      </c>
    </row>
    <row r="5403" spans="1:14" x14ac:dyDescent="0.25">
      <c r="A5403" t="s">
        <v>9750</v>
      </c>
      <c r="B5403" t="s">
        <v>9751</v>
      </c>
      <c r="C5403" s="1" t="str">
        <f>HYPERLINK("http://www.genecards.org/cgi-bin/carddisp.pl?gene=PPWD1","GeneCards")</f>
        <v>GeneCards</v>
      </c>
      <c r="D5403" s="1" t="str">
        <f>HYPERLINK("http://genome-euro.ucsc.edu/cgi-bin/hgTracks?position=213483_at","UCSC")</f>
        <v>UCSC</v>
      </c>
      <c r="E5403" s="1" t="str">
        <f>HYPERLINK("http://www.ncbi.nlm.nih.gov/gene/?term=PPWD1","NCBI")</f>
        <v>NCBI</v>
      </c>
      <c r="F5403">
        <v>5.1999999999999998E-2</v>
      </c>
      <c r="G5403">
        <v>0.16</v>
      </c>
      <c r="H5403" s="1" t="str">
        <f>HYPERLINK("http://www.weizmann.ac.il/complex/compphys/software/geview/data/figures/213483_at.png","Figure")</f>
        <v>Figure</v>
      </c>
      <c r="I5403">
        <v>0.66</v>
      </c>
      <c r="J5403">
        <v>0.38</v>
      </c>
      <c r="K5403">
        <v>0.48599999999999999</v>
      </c>
      <c r="L5403">
        <v>4.2000000000000003E-2</v>
      </c>
      <c r="M5403">
        <v>0.73599999999999999</v>
      </c>
      <c r="N5403">
        <v>0.54</v>
      </c>
    </row>
    <row r="5404" spans="1:14" x14ac:dyDescent="0.25">
      <c r="A5404" t="s">
        <v>9752</v>
      </c>
      <c r="B5404" t="s">
        <v>9753</v>
      </c>
      <c r="C5404" s="1" t="str">
        <f>HYPERLINK("http://www.genecards.org/cgi-bin/carddisp.pl?gene=ATP6V0E2","GeneCards")</f>
        <v>GeneCards</v>
      </c>
      <c r="D5404" s="1" t="str">
        <f>HYPERLINK("http://genome-euro.ucsc.edu/cgi-bin/hgTracks?position=213587_s_at","UCSC")</f>
        <v>UCSC</v>
      </c>
      <c r="E5404" s="1" t="str">
        <f>HYPERLINK("http://www.ncbi.nlm.nih.gov/gene/?term=ATP6V0E2","NCBI")</f>
        <v>NCBI</v>
      </c>
      <c r="F5404">
        <v>5.1999999999999998E-2</v>
      </c>
      <c r="G5404">
        <v>0.16</v>
      </c>
      <c r="H5404" s="1" t="str">
        <f>HYPERLINK("http://www.weizmann.ac.il/complex/compphys/software/geview/data/figures/213587_s_at.png","Figure")</f>
        <v>Figure</v>
      </c>
      <c r="I5404">
        <v>0.67800000000000005</v>
      </c>
      <c r="J5404">
        <v>0.17</v>
      </c>
      <c r="K5404">
        <v>1.1299999999999999</v>
      </c>
      <c r="L5404">
        <v>0.77</v>
      </c>
      <c r="M5404">
        <v>1.67</v>
      </c>
      <c r="N5404">
        <v>4.3999999999999997E-2</v>
      </c>
    </row>
    <row r="5405" spans="1:14" x14ac:dyDescent="0.25">
      <c r="A5405" t="s">
        <v>9754</v>
      </c>
      <c r="B5405" t="s">
        <v>7795</v>
      </c>
      <c r="C5405" s="1" t="str">
        <f>HYPERLINK("http://www.genecards.org/cgi-bin/carddisp.pl?gene=SFRS7","GeneCards")</f>
        <v>GeneCards</v>
      </c>
      <c r="D5405" s="1" t="str">
        <f>HYPERLINK("http://genome-euro.ucsc.edu/cgi-bin/hgTracks?position=213649_at","UCSC")</f>
        <v>UCSC</v>
      </c>
      <c r="E5405" s="1" t="str">
        <f>HYPERLINK("http://www.ncbi.nlm.nih.gov/gene/?term=SFRS7","NCBI")</f>
        <v>NCBI</v>
      </c>
      <c r="F5405">
        <v>5.1999999999999998E-2</v>
      </c>
      <c r="G5405">
        <v>0.16</v>
      </c>
      <c r="H5405" s="1" t="str">
        <f>HYPERLINK("http://www.weizmann.ac.il/complex/compphys/software/geview/data/figures/213649_at.png","Figure")</f>
        <v>Figure</v>
      </c>
      <c r="I5405">
        <v>1.68</v>
      </c>
      <c r="J5405">
        <v>0.12</v>
      </c>
      <c r="K5405">
        <v>0.92400000000000004</v>
      </c>
      <c r="L5405">
        <v>0.93</v>
      </c>
      <c r="M5405">
        <v>0.55000000000000004</v>
      </c>
      <c r="N5405">
        <v>0.05</v>
      </c>
    </row>
    <row r="5406" spans="1:14" x14ac:dyDescent="0.25">
      <c r="A5406" t="s">
        <v>9755</v>
      </c>
      <c r="B5406" t="s">
        <v>9756</v>
      </c>
      <c r="C5406" s="1" t="str">
        <f>HYPERLINK("http://www.genecards.org/cgi-bin/carddisp.pl?gene=XYLT1","GeneCards")</f>
        <v>GeneCards</v>
      </c>
      <c r="D5406" s="1" t="str">
        <f>HYPERLINK("http://genome-euro.ucsc.edu/cgi-bin/hgTracks?position=213725_x_at","UCSC")</f>
        <v>UCSC</v>
      </c>
      <c r="E5406" s="1" t="str">
        <f>HYPERLINK("http://www.ncbi.nlm.nih.gov/gene/?term=XYLT1","NCBI")</f>
        <v>NCBI</v>
      </c>
      <c r="F5406">
        <v>5.1999999999999998E-2</v>
      </c>
      <c r="G5406">
        <v>0.16</v>
      </c>
      <c r="H5406" s="1" t="str">
        <f>HYPERLINK("http://www.weizmann.ac.il/complex/compphys/software/geview/data/figures/213725_x_at.png","Figure")</f>
        <v>Figure</v>
      </c>
      <c r="I5406">
        <v>2.06</v>
      </c>
      <c r="J5406">
        <v>7.0999999999999994E-2</v>
      </c>
      <c r="K5406">
        <v>1.81</v>
      </c>
      <c r="L5406">
        <v>9.1999999999999998E-2</v>
      </c>
      <c r="M5406">
        <v>0.877</v>
      </c>
      <c r="N5406">
        <v>0.88</v>
      </c>
    </row>
    <row r="5407" spans="1:14" x14ac:dyDescent="0.25">
      <c r="A5407" t="s">
        <v>9757</v>
      </c>
      <c r="B5407" t="s">
        <v>9758</v>
      </c>
      <c r="C5407" s="1" t="str">
        <f>HYPERLINK("http://www.genecards.org/cgi-bin/carddisp.pl?gene=PCMTD2","GeneCards")</f>
        <v>GeneCards</v>
      </c>
      <c r="D5407" s="1" t="str">
        <f>HYPERLINK("http://genome-euro.ucsc.edu/cgi-bin/hgTracks?position=212406_s_at","UCSC")</f>
        <v>UCSC</v>
      </c>
      <c r="E5407" s="1" t="str">
        <f>HYPERLINK("http://www.ncbi.nlm.nih.gov/gene/?term=PCMTD2","NCBI")</f>
        <v>NCBI</v>
      </c>
      <c r="F5407">
        <v>5.1999999999999998E-2</v>
      </c>
      <c r="G5407">
        <v>0.16</v>
      </c>
      <c r="H5407" s="1" t="str">
        <f>HYPERLINK("http://www.weizmann.ac.il/complex/compphys/software/geview/data/figures/212406_s_at.png","Figure")</f>
        <v>Figure</v>
      </c>
      <c r="I5407">
        <v>0.66500000000000004</v>
      </c>
      <c r="J5407">
        <v>0.37</v>
      </c>
      <c r="K5407">
        <v>0.497</v>
      </c>
      <c r="L5407">
        <v>4.2000000000000003E-2</v>
      </c>
      <c r="M5407">
        <v>0.747</v>
      </c>
      <c r="N5407">
        <v>0.55000000000000004</v>
      </c>
    </row>
    <row r="5408" spans="1:14" x14ac:dyDescent="0.25">
      <c r="A5408" t="s">
        <v>9759</v>
      </c>
      <c r="B5408" t="s">
        <v>9760</v>
      </c>
      <c r="C5408" s="1" t="str">
        <f>HYPERLINK("http://www.genecards.org/cgi-bin/carddisp.pl?gene=NUP155","GeneCards")</f>
        <v>GeneCards</v>
      </c>
      <c r="D5408" s="1" t="str">
        <f>HYPERLINK("http://genome-euro.ucsc.edu/cgi-bin/hgTracks?position=206550_s_at","UCSC")</f>
        <v>UCSC</v>
      </c>
      <c r="E5408" s="1" t="str">
        <f>HYPERLINK("http://www.ncbi.nlm.nih.gov/gene/?term=NUP155","NCBI")</f>
        <v>NCBI</v>
      </c>
      <c r="F5408">
        <v>5.1999999999999998E-2</v>
      </c>
      <c r="G5408">
        <v>0.16</v>
      </c>
      <c r="H5408" s="1" t="str">
        <f>HYPERLINK("http://www.weizmann.ac.il/complex/compphys/software/geview/data/figures/206550_s_at.png","Figure")</f>
        <v>Figure</v>
      </c>
      <c r="I5408">
        <v>1.0900000000000001</v>
      </c>
      <c r="J5408">
        <v>0.95</v>
      </c>
      <c r="K5408">
        <v>0.60499999999999998</v>
      </c>
      <c r="L5408">
        <v>0.11</v>
      </c>
      <c r="M5408">
        <v>0.55600000000000005</v>
      </c>
      <c r="N5408">
        <v>8.1000000000000003E-2</v>
      </c>
    </row>
    <row r="5409" spans="1:14" x14ac:dyDescent="0.25">
      <c r="A5409" t="s">
        <v>9761</v>
      </c>
      <c r="B5409" t="s">
        <v>9762</v>
      </c>
      <c r="C5409" s="1" t="str">
        <f>HYPERLINK("http://www.genecards.org/cgi-bin/carddisp.pl?gene=ALDH7A1","GeneCards")</f>
        <v>GeneCards</v>
      </c>
      <c r="D5409" s="1" t="str">
        <f>HYPERLINK("http://genome-euro.ucsc.edu/cgi-bin/hgTracks?position=208950_s_at","UCSC")</f>
        <v>UCSC</v>
      </c>
      <c r="E5409" s="1" t="str">
        <f>HYPERLINK("http://www.ncbi.nlm.nih.gov/gene/?term=ALDH7A1","NCBI")</f>
        <v>NCBI</v>
      </c>
      <c r="F5409">
        <v>5.1999999999999998E-2</v>
      </c>
      <c r="G5409">
        <v>0.16</v>
      </c>
      <c r="H5409" s="1" t="str">
        <f>HYPERLINK("http://www.weizmann.ac.il/complex/compphys/software/geview/data/figures/208950_s_at.png","Figure")</f>
        <v>Figure</v>
      </c>
      <c r="I5409">
        <v>0.83299999999999996</v>
      </c>
      <c r="J5409">
        <v>0.41</v>
      </c>
      <c r="K5409">
        <v>1.18</v>
      </c>
      <c r="L5409">
        <v>0.37</v>
      </c>
      <c r="M5409">
        <v>1.42</v>
      </c>
      <c r="N5409">
        <v>4.3999999999999997E-2</v>
      </c>
    </row>
    <row r="5410" spans="1:14" x14ac:dyDescent="0.25">
      <c r="A5410" t="s">
        <v>9763</v>
      </c>
      <c r="B5410" t="s">
        <v>9764</v>
      </c>
      <c r="C5410" s="1" t="str">
        <f>HYPERLINK("http://www.genecards.org/cgi-bin/carddisp.pl?gene=ZCCHC2","GeneCards")</f>
        <v>GeneCards</v>
      </c>
      <c r="D5410" s="1" t="str">
        <f>HYPERLINK("http://genome-euro.ucsc.edu/cgi-bin/hgTracks?position=219062_s_at","UCSC")</f>
        <v>UCSC</v>
      </c>
      <c r="E5410" s="1" t="str">
        <f>HYPERLINK("http://www.ncbi.nlm.nih.gov/gene/?term=ZCCHC2","NCBI")</f>
        <v>NCBI</v>
      </c>
      <c r="F5410">
        <v>5.1999999999999998E-2</v>
      </c>
      <c r="G5410">
        <v>0.16</v>
      </c>
      <c r="H5410" s="1" t="str">
        <f>HYPERLINK("http://www.weizmann.ac.il/complex/compphys/software/geview/data/figures/219062_s_at.png","Figure")</f>
        <v>Figure</v>
      </c>
      <c r="I5410">
        <v>0.40699999999999997</v>
      </c>
      <c r="J5410">
        <v>4.4999999999999998E-2</v>
      </c>
      <c r="K5410">
        <v>0.59799999999999998</v>
      </c>
      <c r="L5410">
        <v>0.22</v>
      </c>
      <c r="M5410">
        <v>1.47</v>
      </c>
      <c r="N5410">
        <v>0.45</v>
      </c>
    </row>
    <row r="5411" spans="1:14" x14ac:dyDescent="0.25">
      <c r="A5411" t="s">
        <v>9765</v>
      </c>
      <c r="B5411" t="s">
        <v>1371</v>
      </c>
      <c r="C5411" s="1" t="str">
        <f>HYPERLINK("http://www.genecards.org/cgi-bin/carddisp.pl?gene=CUX1","GeneCards")</f>
        <v>GeneCards</v>
      </c>
      <c r="D5411" s="1" t="str">
        <f>HYPERLINK("http://genome-euro.ucsc.edu/cgi-bin/hgTracks?position=202367_at","UCSC")</f>
        <v>UCSC</v>
      </c>
      <c r="E5411" s="1" t="str">
        <f>HYPERLINK("http://www.ncbi.nlm.nih.gov/gene/?term=CUX1","NCBI")</f>
        <v>NCBI</v>
      </c>
      <c r="F5411">
        <v>5.1999999999999998E-2</v>
      </c>
      <c r="G5411">
        <v>0.16</v>
      </c>
      <c r="H5411" s="1" t="str">
        <f>HYPERLINK("http://www.weizmann.ac.il/complex/compphys/software/geview/data/figures/202367_at.png","Figure")</f>
        <v>Figure</v>
      </c>
      <c r="I5411">
        <v>1.38</v>
      </c>
      <c r="J5411">
        <v>4.2999999999999997E-2</v>
      </c>
      <c r="K5411">
        <v>1.1299999999999999</v>
      </c>
      <c r="L5411">
        <v>0.46</v>
      </c>
      <c r="M5411">
        <v>0.82199999999999995</v>
      </c>
      <c r="N5411">
        <v>0.22</v>
      </c>
    </row>
    <row r="5412" spans="1:14" x14ac:dyDescent="0.25">
      <c r="A5412" t="s">
        <v>9766</v>
      </c>
      <c r="B5412" t="s">
        <v>7090</v>
      </c>
      <c r="C5412" s="1" t="str">
        <f>HYPERLINK("http://www.genecards.org/cgi-bin/carddisp.pl?gene=NPEPL1","GeneCards")</f>
        <v>GeneCards</v>
      </c>
      <c r="D5412" s="1" t="str">
        <f>HYPERLINK("http://genome-euro.ucsc.edu/cgi-bin/hgTracks?position=218822_s_at","UCSC")</f>
        <v>UCSC</v>
      </c>
      <c r="E5412" s="1" t="str">
        <f>HYPERLINK("http://www.ncbi.nlm.nih.gov/gene/?term=NPEPL1","NCBI")</f>
        <v>NCBI</v>
      </c>
      <c r="F5412">
        <v>5.1999999999999998E-2</v>
      </c>
      <c r="G5412">
        <v>0.16</v>
      </c>
      <c r="H5412" s="1" t="str">
        <f>HYPERLINK("http://www.weizmann.ac.il/complex/compphys/software/geview/data/figures/218822_s_at.png","Figure")</f>
        <v>Figure</v>
      </c>
      <c r="I5412">
        <v>1.17</v>
      </c>
      <c r="J5412">
        <v>4.2000000000000003E-2</v>
      </c>
      <c r="K5412">
        <v>1.07</v>
      </c>
      <c r="L5412">
        <v>0.39</v>
      </c>
      <c r="M5412">
        <v>0.91400000000000003</v>
      </c>
      <c r="N5412">
        <v>0.26</v>
      </c>
    </row>
    <row r="5413" spans="1:14" x14ac:dyDescent="0.25">
      <c r="A5413" t="s">
        <v>9767</v>
      </c>
      <c r="B5413" t="s">
        <v>9768</v>
      </c>
      <c r="C5413" s="1" t="str">
        <f>HYPERLINK("http://www.genecards.org/cgi-bin/carddisp.pl?gene=MRPS35","GeneCards")</f>
        <v>GeneCards</v>
      </c>
      <c r="D5413" s="1" t="str">
        <f>HYPERLINK("http://genome-euro.ucsc.edu/cgi-bin/hgTracks?position=217942_at","UCSC")</f>
        <v>UCSC</v>
      </c>
      <c r="E5413" s="1" t="str">
        <f>HYPERLINK("http://www.ncbi.nlm.nih.gov/gene/?term=MRPS35","NCBI")</f>
        <v>NCBI</v>
      </c>
      <c r="F5413">
        <v>5.1999999999999998E-2</v>
      </c>
      <c r="G5413">
        <v>0.16</v>
      </c>
      <c r="H5413" s="1" t="str">
        <f>HYPERLINK("http://www.weizmann.ac.il/complex/compphys/software/geview/data/figures/217942_at.png","Figure")</f>
        <v>Figure</v>
      </c>
      <c r="I5413">
        <v>1.05</v>
      </c>
      <c r="J5413">
        <v>0.97</v>
      </c>
      <c r="K5413">
        <v>1.49</v>
      </c>
      <c r="L5413">
        <v>6.9000000000000006E-2</v>
      </c>
      <c r="M5413">
        <v>1.43</v>
      </c>
      <c r="N5413">
        <v>0.14000000000000001</v>
      </c>
    </row>
    <row r="5414" spans="1:14" x14ac:dyDescent="0.25">
      <c r="A5414" t="s">
        <v>9769</v>
      </c>
      <c r="B5414" t="s">
        <v>9770</v>
      </c>
      <c r="C5414" s="1" t="str">
        <f>HYPERLINK("http://www.genecards.org/cgi-bin/carddisp.pl?gene=NEDD9","GeneCards")</f>
        <v>GeneCards</v>
      </c>
      <c r="D5414" s="1" t="str">
        <f>HYPERLINK("http://genome-euro.ucsc.edu/cgi-bin/hgTracks?position=202149_at","UCSC")</f>
        <v>UCSC</v>
      </c>
      <c r="E5414" s="1" t="str">
        <f>HYPERLINK("http://www.ncbi.nlm.nih.gov/gene/?term=NEDD9","NCBI")</f>
        <v>NCBI</v>
      </c>
      <c r="F5414">
        <v>5.2999999999999999E-2</v>
      </c>
      <c r="G5414">
        <v>0.16</v>
      </c>
      <c r="H5414" s="1" t="str">
        <f>HYPERLINK("http://www.weizmann.ac.il/complex/compphys/software/geview/data/figures/202149_at.png","Figure")</f>
        <v>Figure</v>
      </c>
      <c r="I5414">
        <v>0.443</v>
      </c>
      <c r="J5414">
        <v>4.9000000000000002E-2</v>
      </c>
      <c r="K5414">
        <v>0.81</v>
      </c>
      <c r="L5414">
        <v>0.72</v>
      </c>
      <c r="M5414">
        <v>1.83</v>
      </c>
      <c r="N5414">
        <v>0.13</v>
      </c>
    </row>
    <row r="5415" spans="1:14" x14ac:dyDescent="0.25">
      <c r="A5415" t="s">
        <v>9771</v>
      </c>
      <c r="B5415" t="s">
        <v>9772</v>
      </c>
      <c r="C5415" s="1" t="str">
        <f>HYPERLINK("http://www.genecards.org/cgi-bin/carddisp.pl?gene=EIF2B5","GeneCards")</f>
        <v>GeneCards</v>
      </c>
      <c r="D5415" s="1" t="str">
        <f>HYPERLINK("http://genome-euro.ucsc.edu/cgi-bin/hgTracks?position=212351_at","UCSC")</f>
        <v>UCSC</v>
      </c>
      <c r="E5415" s="1" t="str">
        <f>HYPERLINK("http://www.ncbi.nlm.nih.gov/gene/?term=EIF2B5","NCBI")</f>
        <v>NCBI</v>
      </c>
      <c r="F5415">
        <v>5.2999999999999999E-2</v>
      </c>
      <c r="G5415">
        <v>0.17</v>
      </c>
      <c r="H5415" s="1" t="str">
        <f>HYPERLINK("http://www.weizmann.ac.il/complex/compphys/software/geview/data/figures/212351_at.png","Figure")</f>
        <v>Figure</v>
      </c>
      <c r="I5415">
        <v>1.26</v>
      </c>
      <c r="J5415">
        <v>4.2999999999999997E-2</v>
      </c>
      <c r="K5415">
        <v>1.1000000000000001</v>
      </c>
      <c r="L5415">
        <v>0.43</v>
      </c>
      <c r="M5415">
        <v>0.874</v>
      </c>
      <c r="N5415">
        <v>0.24</v>
      </c>
    </row>
    <row r="5416" spans="1:14" x14ac:dyDescent="0.25">
      <c r="A5416" t="s">
        <v>9773</v>
      </c>
      <c r="B5416" t="s">
        <v>9774</v>
      </c>
      <c r="C5416" s="1" t="str">
        <f>HYPERLINK("http://www.genecards.org/cgi-bin/carddisp.pl?gene=GNAO1","GeneCards")</f>
        <v>GeneCards</v>
      </c>
      <c r="D5416" s="1" t="str">
        <f>HYPERLINK("http://genome-euro.ucsc.edu/cgi-bin/hgTracks?position=204763_s_at","UCSC")</f>
        <v>UCSC</v>
      </c>
      <c r="E5416" s="1" t="str">
        <f>HYPERLINK("http://www.ncbi.nlm.nih.gov/gene/?term=GNAO1","NCBI")</f>
        <v>NCBI</v>
      </c>
      <c r="F5416">
        <v>5.2999999999999999E-2</v>
      </c>
      <c r="G5416">
        <v>0.17</v>
      </c>
      <c r="H5416" s="1" t="str">
        <f>HYPERLINK("http://www.weizmann.ac.il/complex/compphys/software/geview/data/figures/204763_s_at.png","Figure")</f>
        <v>Figure</v>
      </c>
      <c r="I5416">
        <v>1.34</v>
      </c>
      <c r="J5416">
        <v>4.5999999999999999E-2</v>
      </c>
      <c r="K5416">
        <v>1.1000000000000001</v>
      </c>
      <c r="L5416">
        <v>0.6</v>
      </c>
      <c r="M5416">
        <v>0.81899999999999995</v>
      </c>
      <c r="N5416">
        <v>0.16</v>
      </c>
    </row>
    <row r="5417" spans="1:14" x14ac:dyDescent="0.25">
      <c r="A5417" t="s">
        <v>9775</v>
      </c>
      <c r="B5417" t="s">
        <v>9776</v>
      </c>
      <c r="C5417" s="1" t="str">
        <f>HYPERLINK("http://www.genecards.org/cgi-bin/carddisp.pl?gene=KIAA0562","GeneCards")</f>
        <v>GeneCards</v>
      </c>
      <c r="D5417" s="1" t="str">
        <f>HYPERLINK("http://genome-euro.ucsc.edu/cgi-bin/hgTracks?position=204074_s_at","UCSC")</f>
        <v>UCSC</v>
      </c>
      <c r="E5417" s="1" t="str">
        <f>HYPERLINK("http://www.ncbi.nlm.nih.gov/gene/?term=KIAA0562","NCBI")</f>
        <v>NCBI</v>
      </c>
      <c r="F5417">
        <v>5.2999999999999999E-2</v>
      </c>
      <c r="G5417">
        <v>0.17</v>
      </c>
      <c r="H5417" s="1" t="str">
        <f>HYPERLINK("http://www.weizmann.ac.il/complex/compphys/software/geview/data/figures/204074_s_at.png","Figure")</f>
        <v>Figure</v>
      </c>
      <c r="I5417">
        <v>1.04</v>
      </c>
      <c r="J5417">
        <v>0.93</v>
      </c>
      <c r="K5417">
        <v>1.3</v>
      </c>
      <c r="L5417">
        <v>6.3E-2</v>
      </c>
      <c r="M5417">
        <v>1.24</v>
      </c>
      <c r="N5417">
        <v>0.16</v>
      </c>
    </row>
    <row r="5418" spans="1:14" x14ac:dyDescent="0.25">
      <c r="A5418" t="s">
        <v>9777</v>
      </c>
      <c r="B5418" t="s">
        <v>5804</v>
      </c>
      <c r="C5418" s="1" t="str">
        <f>HYPERLINK("http://www.genecards.org/cgi-bin/carddisp.pl?gene=PSIP1","GeneCards")</f>
        <v>GeneCards</v>
      </c>
      <c r="D5418" s="1" t="str">
        <f>HYPERLINK("http://genome-euro.ucsc.edu/cgi-bin/hgTracks?position=205961_s_at","UCSC")</f>
        <v>UCSC</v>
      </c>
      <c r="E5418" s="1" t="str">
        <f>HYPERLINK("http://www.ncbi.nlm.nih.gov/gene/?term=PSIP1","NCBI")</f>
        <v>NCBI</v>
      </c>
      <c r="F5418">
        <v>5.2999999999999999E-2</v>
      </c>
      <c r="G5418">
        <v>0.17</v>
      </c>
      <c r="H5418" s="1" t="str">
        <f>HYPERLINK("http://www.weizmann.ac.il/complex/compphys/software/geview/data/figures/205961_s_at.png","Figure")</f>
        <v>Figure</v>
      </c>
      <c r="I5418">
        <v>0.64600000000000002</v>
      </c>
      <c r="J5418">
        <v>6.7000000000000004E-2</v>
      </c>
      <c r="K5418">
        <v>0.96</v>
      </c>
      <c r="L5418">
        <v>0.96</v>
      </c>
      <c r="M5418">
        <v>1.48</v>
      </c>
      <c r="N5418">
        <v>7.6999999999999999E-2</v>
      </c>
    </row>
    <row r="5419" spans="1:14" x14ac:dyDescent="0.25">
      <c r="A5419" t="s">
        <v>9778</v>
      </c>
      <c r="B5419" t="s">
        <v>9779</v>
      </c>
      <c r="C5419" s="1" t="str">
        <f>HYPERLINK("http://www.genecards.org/cgi-bin/carddisp.pl?gene=CES1","GeneCards")</f>
        <v>GeneCards</v>
      </c>
      <c r="D5419" s="1" t="str">
        <f>HYPERLINK("http://genome-euro.ucsc.edu/cgi-bin/hgTracks?position=209616_s_at","UCSC")</f>
        <v>UCSC</v>
      </c>
      <c r="E5419" s="1" t="str">
        <f>HYPERLINK("http://www.ncbi.nlm.nih.gov/gene/?term=CES1","NCBI")</f>
        <v>NCBI</v>
      </c>
      <c r="F5419">
        <v>5.2999999999999999E-2</v>
      </c>
      <c r="G5419">
        <v>0.17</v>
      </c>
      <c r="H5419" s="1" t="str">
        <f>HYPERLINK("http://www.weizmann.ac.il/complex/compphys/software/geview/data/figures/209616_s_at.png","Figure")</f>
        <v>Figure</v>
      </c>
      <c r="I5419">
        <v>1.19</v>
      </c>
      <c r="J5419">
        <v>5.2999999999999999E-2</v>
      </c>
      <c r="K5419">
        <v>1.1200000000000001</v>
      </c>
      <c r="L5419">
        <v>0.15</v>
      </c>
      <c r="M5419">
        <v>0.94599999999999995</v>
      </c>
      <c r="N5419">
        <v>0.65</v>
      </c>
    </row>
    <row r="5420" spans="1:14" x14ac:dyDescent="0.25">
      <c r="A5420" t="s">
        <v>9780</v>
      </c>
      <c r="B5420" t="s">
        <v>9781</v>
      </c>
      <c r="C5420" s="1" t="str">
        <f>HYPERLINK("http://www.genecards.org/cgi-bin/carddisp.pl?gene=GMPS","GeneCards")</f>
        <v>GeneCards</v>
      </c>
      <c r="D5420" s="1" t="str">
        <f>HYPERLINK("http://genome-euro.ucsc.edu/cgi-bin/hgTracks?position=214431_at","UCSC")</f>
        <v>UCSC</v>
      </c>
      <c r="E5420" s="1" t="str">
        <f>HYPERLINK("http://www.ncbi.nlm.nih.gov/gene/?term=GMPS","NCBI")</f>
        <v>NCBI</v>
      </c>
      <c r="F5420">
        <v>5.2999999999999999E-2</v>
      </c>
      <c r="G5420">
        <v>0.17</v>
      </c>
      <c r="H5420" s="1" t="str">
        <f>HYPERLINK("http://www.weizmann.ac.il/complex/compphys/software/geview/data/figures/214431_at.png","Figure")</f>
        <v>Figure</v>
      </c>
      <c r="I5420">
        <v>1.46</v>
      </c>
      <c r="J5420">
        <v>4.3999999999999997E-2</v>
      </c>
      <c r="K5420">
        <v>1.23</v>
      </c>
      <c r="L5420">
        <v>0.26</v>
      </c>
      <c r="M5420">
        <v>0.83699999999999997</v>
      </c>
      <c r="N5420">
        <v>0.39</v>
      </c>
    </row>
    <row r="5421" spans="1:14" x14ac:dyDescent="0.25">
      <c r="A5421" t="s">
        <v>9782</v>
      </c>
      <c r="B5421" t="s">
        <v>9783</v>
      </c>
      <c r="C5421" s="1" t="str">
        <f>HYPERLINK("http://www.genecards.org/cgi-bin/carddisp.pl?gene=CSDE1","GeneCards")</f>
        <v>GeneCards</v>
      </c>
      <c r="D5421" s="1" t="str">
        <f>HYPERLINK("http://genome-euro.ucsc.edu/cgi-bin/hgTracks?position=219939_s_at","UCSC")</f>
        <v>UCSC</v>
      </c>
      <c r="E5421" s="1" t="str">
        <f>HYPERLINK("http://www.ncbi.nlm.nih.gov/gene/?term=CSDE1","NCBI")</f>
        <v>NCBI</v>
      </c>
      <c r="F5421">
        <v>5.2999999999999999E-2</v>
      </c>
      <c r="G5421">
        <v>0.17</v>
      </c>
      <c r="H5421" s="1" t="str">
        <f>HYPERLINK("http://www.weizmann.ac.il/complex/compphys/software/geview/data/figures/219939_s_at.png","Figure")</f>
        <v>Figure</v>
      </c>
      <c r="I5421">
        <v>0.77100000000000002</v>
      </c>
      <c r="J5421">
        <v>0.15</v>
      </c>
      <c r="K5421">
        <v>0.74299999999999999</v>
      </c>
      <c r="L5421">
        <v>5.1999999999999998E-2</v>
      </c>
      <c r="M5421">
        <v>0.96399999999999997</v>
      </c>
      <c r="N5421">
        <v>0.95</v>
      </c>
    </row>
    <row r="5422" spans="1:14" x14ac:dyDescent="0.25">
      <c r="A5422" t="s">
        <v>9784</v>
      </c>
      <c r="B5422" t="s">
        <v>9785</v>
      </c>
      <c r="C5422" s="1" t="str">
        <f>HYPERLINK("http://www.genecards.org/cgi-bin/carddisp.pl?gene=CD1E","GeneCards")</f>
        <v>GeneCards</v>
      </c>
      <c r="D5422" s="1" t="str">
        <f>HYPERLINK("http://genome-euro.ucsc.edu/cgi-bin/hgTracks?position=208592_s_at","UCSC")</f>
        <v>UCSC</v>
      </c>
      <c r="E5422" s="1" t="str">
        <f>HYPERLINK("http://www.ncbi.nlm.nih.gov/gene/?term=CD1E","NCBI")</f>
        <v>NCBI</v>
      </c>
      <c r="F5422">
        <v>5.2999999999999999E-2</v>
      </c>
      <c r="G5422">
        <v>0.17</v>
      </c>
      <c r="H5422" s="1" t="str">
        <f>HYPERLINK("http://www.weizmann.ac.il/complex/compphys/software/geview/data/figures/208592_s_at.png","Figure")</f>
        <v>Figure</v>
      </c>
      <c r="I5422">
        <v>1.3</v>
      </c>
      <c r="J5422">
        <v>6.5000000000000002E-2</v>
      </c>
      <c r="K5422">
        <v>1.23</v>
      </c>
      <c r="L5422">
        <v>0.1</v>
      </c>
      <c r="M5422">
        <v>0.94299999999999995</v>
      </c>
      <c r="N5422">
        <v>0.83</v>
      </c>
    </row>
    <row r="5423" spans="1:14" x14ac:dyDescent="0.25">
      <c r="A5423" t="s">
        <v>9786</v>
      </c>
      <c r="B5423" t="s">
        <v>9787</v>
      </c>
      <c r="C5423" s="1" t="str">
        <f>HYPERLINK("http://www.genecards.org/cgi-bin/carddisp.pl?gene=FER","GeneCards")</f>
        <v>GeneCards</v>
      </c>
      <c r="D5423" s="1" t="str">
        <f>HYPERLINK("http://genome-euro.ucsc.edu/cgi-bin/hgTracks?position=206412_at","UCSC")</f>
        <v>UCSC</v>
      </c>
      <c r="E5423" s="1" t="str">
        <f>HYPERLINK("http://www.ncbi.nlm.nih.gov/gene/?term=FER","NCBI")</f>
        <v>NCBI</v>
      </c>
      <c r="F5423">
        <v>5.2999999999999999E-2</v>
      </c>
      <c r="G5423">
        <v>0.17</v>
      </c>
      <c r="H5423" s="1" t="str">
        <f>HYPERLINK("http://www.weizmann.ac.il/complex/compphys/software/geview/data/figures/206412_at.png","Figure")</f>
        <v>Figure</v>
      </c>
      <c r="I5423">
        <v>0.88</v>
      </c>
      <c r="J5423">
        <v>0.33</v>
      </c>
      <c r="K5423">
        <v>0.81399999999999995</v>
      </c>
      <c r="L5423">
        <v>4.2999999999999997E-2</v>
      </c>
      <c r="M5423">
        <v>0.92500000000000004</v>
      </c>
      <c r="N5423">
        <v>0.61</v>
      </c>
    </row>
    <row r="5424" spans="1:14" x14ac:dyDescent="0.25">
      <c r="A5424" t="s">
        <v>9788</v>
      </c>
      <c r="B5424" t="s">
        <v>9789</v>
      </c>
      <c r="C5424" s="1" t="str">
        <f>HYPERLINK("http://www.genecards.org/cgi-bin/carddisp.pl?gene=CRIM1","GeneCards")</f>
        <v>GeneCards</v>
      </c>
      <c r="D5424" s="1" t="str">
        <f>HYPERLINK("http://genome-euro.ucsc.edu/cgi-bin/hgTracks?position=202551_s_at","UCSC")</f>
        <v>UCSC</v>
      </c>
      <c r="E5424" s="1" t="str">
        <f>HYPERLINK("http://www.ncbi.nlm.nih.gov/gene/?term=CRIM1","NCBI")</f>
        <v>NCBI</v>
      </c>
      <c r="F5424">
        <v>5.2999999999999999E-2</v>
      </c>
      <c r="G5424">
        <v>0.17</v>
      </c>
      <c r="H5424" s="1" t="str">
        <f>HYPERLINK("http://www.weizmann.ac.il/complex/compphys/software/geview/data/figures/202551_s_at.png","Figure")</f>
        <v>Figure</v>
      </c>
      <c r="I5424">
        <v>0.56599999999999995</v>
      </c>
      <c r="J5424">
        <v>0.12</v>
      </c>
      <c r="K5424">
        <v>0.55100000000000005</v>
      </c>
      <c r="L5424">
        <v>5.8999999999999997E-2</v>
      </c>
      <c r="M5424">
        <v>0.97299999999999998</v>
      </c>
      <c r="N5424">
        <v>0.99</v>
      </c>
    </row>
    <row r="5425" spans="1:14" x14ac:dyDescent="0.25">
      <c r="A5425" t="s">
        <v>9790</v>
      </c>
      <c r="B5425" t="s">
        <v>9791</v>
      </c>
      <c r="C5425" s="1" t="str">
        <f>HYPERLINK("http://www.genecards.org/cgi-bin/carddisp.pl?gene=TK2","GeneCards")</f>
        <v>GeneCards</v>
      </c>
      <c r="D5425" s="1" t="str">
        <f>HYPERLINK("http://genome-euro.ucsc.edu/cgi-bin/hgTracks?position=204227_s_at","UCSC")</f>
        <v>UCSC</v>
      </c>
      <c r="E5425" s="1" t="str">
        <f>HYPERLINK("http://www.ncbi.nlm.nih.gov/gene/?term=TK2","NCBI")</f>
        <v>NCBI</v>
      </c>
      <c r="F5425">
        <v>5.2999999999999999E-2</v>
      </c>
      <c r="G5425">
        <v>0.17</v>
      </c>
      <c r="H5425" s="1" t="str">
        <f>HYPERLINK("http://www.weizmann.ac.il/complex/compphys/software/geview/data/figures/204227_s_at.png","Figure")</f>
        <v>Figure</v>
      </c>
      <c r="I5425">
        <v>0.89900000000000002</v>
      </c>
      <c r="J5425">
        <v>0.42</v>
      </c>
      <c r="K5425">
        <v>0.82399999999999995</v>
      </c>
      <c r="L5425">
        <v>4.2999999999999997E-2</v>
      </c>
      <c r="M5425">
        <v>0.91600000000000004</v>
      </c>
      <c r="N5425">
        <v>0.5</v>
      </c>
    </row>
    <row r="5426" spans="1:14" x14ac:dyDescent="0.25">
      <c r="A5426" t="s">
        <v>9792</v>
      </c>
      <c r="B5426" t="s">
        <v>9793</v>
      </c>
      <c r="C5426" s="1" t="str">
        <f>HYPERLINK("http://www.genecards.org/cgi-bin/carddisp.pl?gene=SLC6A6","GeneCards")</f>
        <v>GeneCards</v>
      </c>
      <c r="D5426" s="1" t="str">
        <f>HYPERLINK("http://genome-euro.ucsc.edu/cgi-bin/hgTracks?position=205920_at","UCSC")</f>
        <v>UCSC</v>
      </c>
      <c r="E5426" s="1" t="str">
        <f>HYPERLINK("http://www.ncbi.nlm.nih.gov/gene/?term=SLC6A6","NCBI")</f>
        <v>NCBI</v>
      </c>
      <c r="F5426">
        <v>5.2999999999999999E-2</v>
      </c>
      <c r="G5426">
        <v>0.17</v>
      </c>
      <c r="H5426" s="1" t="str">
        <f>HYPERLINK("http://www.weizmann.ac.il/complex/compphys/software/geview/data/figures/205920_at.png","Figure")</f>
        <v>Figure</v>
      </c>
      <c r="I5426">
        <v>1.1499999999999999</v>
      </c>
      <c r="J5426">
        <v>0.16</v>
      </c>
      <c r="K5426">
        <v>0.95899999999999996</v>
      </c>
      <c r="L5426">
        <v>0.8</v>
      </c>
      <c r="M5426">
        <v>0.83099999999999996</v>
      </c>
      <c r="N5426">
        <v>4.4999999999999998E-2</v>
      </c>
    </row>
    <row r="5427" spans="1:14" x14ac:dyDescent="0.25">
      <c r="A5427" t="s">
        <v>9794</v>
      </c>
      <c r="B5427" t="s">
        <v>9795</v>
      </c>
      <c r="C5427" s="1" t="str">
        <f>HYPERLINK("http://www.genecards.org/cgi-bin/carddisp.pl?gene=LOC653562 /// SLC6A10P /// SLC6A8","GeneCards")</f>
        <v>GeneCards</v>
      </c>
      <c r="D5427" s="1" t="str">
        <f>HYPERLINK("http://genome-euro.ucsc.edu/cgi-bin/hgTracks?position=215812_s_at","UCSC")</f>
        <v>UCSC</v>
      </c>
      <c r="E5427" s="1" t="str">
        <f>HYPERLINK("http://www.ncbi.nlm.nih.gov/gene/?term=LOC653562 /// SLC6A10P /// SLC6A8","NCBI")</f>
        <v>NCBI</v>
      </c>
      <c r="F5427">
        <v>5.2999999999999999E-2</v>
      </c>
      <c r="G5427">
        <v>0.17</v>
      </c>
      <c r="H5427" s="1" t="str">
        <f>HYPERLINK("http://www.weizmann.ac.il/complex/compphys/software/geview/data/figures/215812_s_at.png","Figure")</f>
        <v>Figure</v>
      </c>
      <c r="I5427">
        <v>1.17</v>
      </c>
      <c r="J5427">
        <v>0.16</v>
      </c>
      <c r="K5427">
        <v>0.95899999999999996</v>
      </c>
      <c r="L5427">
        <v>0.82</v>
      </c>
      <c r="M5427">
        <v>0.82</v>
      </c>
      <c r="N5427">
        <v>4.5999999999999999E-2</v>
      </c>
    </row>
    <row r="5428" spans="1:14" x14ac:dyDescent="0.25">
      <c r="A5428" t="s">
        <v>9796</v>
      </c>
      <c r="B5428" t="s">
        <v>9797</v>
      </c>
      <c r="C5428" s="1" t="str">
        <f>HYPERLINK("http://www.genecards.org/cgi-bin/carddisp.pl?gene=LOC100292492 /// RPL10","GeneCards")</f>
        <v>GeneCards</v>
      </c>
      <c r="D5428" s="1" t="str">
        <f>HYPERLINK("http://genome-euro.ucsc.edu/cgi-bin/hgTracks?position=217680_x_at","UCSC")</f>
        <v>UCSC</v>
      </c>
      <c r="E5428" s="1" t="str">
        <f>HYPERLINK("http://www.ncbi.nlm.nih.gov/gene/?term=LOC100292492 /// RPL10","NCBI")</f>
        <v>NCBI</v>
      </c>
      <c r="F5428">
        <v>5.2999999999999999E-2</v>
      </c>
      <c r="G5428">
        <v>0.17</v>
      </c>
      <c r="H5428" s="1" t="str">
        <f>HYPERLINK("http://www.weizmann.ac.il/complex/compphys/software/geview/data/figures/217680_x_at.png","Figure")</f>
        <v>Figure</v>
      </c>
      <c r="I5428">
        <v>1.08</v>
      </c>
      <c r="J5428">
        <v>0.7</v>
      </c>
      <c r="K5428">
        <v>1.24</v>
      </c>
      <c r="L5428">
        <v>4.9000000000000002E-2</v>
      </c>
      <c r="M5428">
        <v>1.1499999999999999</v>
      </c>
      <c r="N5428">
        <v>0.28000000000000003</v>
      </c>
    </row>
    <row r="5429" spans="1:14" x14ac:dyDescent="0.25">
      <c r="A5429" t="s">
        <v>9798</v>
      </c>
      <c r="B5429" t="s">
        <v>9799</v>
      </c>
      <c r="C5429" s="1" t="str">
        <f>HYPERLINK("http://www.genecards.org/cgi-bin/carddisp.pl?gene=DNAJC2","GeneCards")</f>
        <v>GeneCards</v>
      </c>
      <c r="D5429" s="1" t="str">
        <f>HYPERLINK("http://genome-euro.ucsc.edu/cgi-bin/hgTracks?position=213097_s_at","UCSC")</f>
        <v>UCSC</v>
      </c>
      <c r="E5429" s="1" t="str">
        <f>HYPERLINK("http://www.ncbi.nlm.nih.gov/gene/?term=DNAJC2","NCBI")</f>
        <v>NCBI</v>
      </c>
      <c r="F5429">
        <v>5.2999999999999999E-2</v>
      </c>
      <c r="G5429">
        <v>0.17</v>
      </c>
      <c r="H5429" s="1" t="str">
        <f>HYPERLINK("http://www.weizmann.ac.il/complex/compphys/software/geview/data/figures/213097_s_at.png","Figure")</f>
        <v>Figure</v>
      </c>
      <c r="I5429">
        <v>0.95199999999999996</v>
      </c>
      <c r="J5429">
        <v>0.98</v>
      </c>
      <c r="K5429">
        <v>0.59799999999999998</v>
      </c>
      <c r="L5429">
        <v>7.0999999999999994E-2</v>
      </c>
      <c r="M5429">
        <v>0.628</v>
      </c>
      <c r="N5429">
        <v>0.14000000000000001</v>
      </c>
    </row>
    <row r="5430" spans="1:14" x14ac:dyDescent="0.25">
      <c r="A5430" t="s">
        <v>9800</v>
      </c>
      <c r="B5430" t="s">
        <v>9801</v>
      </c>
      <c r="C5430" s="1" t="str">
        <f>HYPERLINK("http://www.genecards.org/cgi-bin/carddisp.pl?gene=MED16","GeneCards")</f>
        <v>GeneCards</v>
      </c>
      <c r="D5430" s="1" t="str">
        <f>HYPERLINK("http://genome-euro.ucsc.edu/cgi-bin/hgTracks?position=221418_s_at","UCSC")</f>
        <v>UCSC</v>
      </c>
      <c r="E5430" s="1" t="str">
        <f>HYPERLINK("http://www.ncbi.nlm.nih.gov/gene/?term=MED16","NCBI")</f>
        <v>NCBI</v>
      </c>
      <c r="F5430">
        <v>5.2999999999999999E-2</v>
      </c>
      <c r="G5430">
        <v>0.17</v>
      </c>
      <c r="H5430" s="1" t="str">
        <f>HYPERLINK("http://www.weizmann.ac.il/complex/compphys/software/geview/data/figures/221418_s_at.png","Figure")</f>
        <v>Figure</v>
      </c>
      <c r="I5430">
        <v>0.98699999999999999</v>
      </c>
      <c r="J5430">
        <v>0.98</v>
      </c>
      <c r="K5430">
        <v>1.1599999999999999</v>
      </c>
      <c r="L5430">
        <v>0.1</v>
      </c>
      <c r="M5430">
        <v>1.17</v>
      </c>
      <c r="N5430">
        <v>9.1999999999999998E-2</v>
      </c>
    </row>
    <row r="5431" spans="1:14" x14ac:dyDescent="0.25">
      <c r="A5431" t="s">
        <v>9802</v>
      </c>
      <c r="B5431" t="s">
        <v>9803</v>
      </c>
      <c r="C5431" s="1" t="str">
        <f>HYPERLINK("http://www.genecards.org/cgi-bin/carddisp.pl?gene=MNT","GeneCards")</f>
        <v>GeneCards</v>
      </c>
      <c r="D5431" s="1" t="str">
        <f>HYPERLINK("http://genome-euro.ucsc.edu/cgi-bin/hgTracks?position=204206_at","UCSC")</f>
        <v>UCSC</v>
      </c>
      <c r="E5431" s="1" t="str">
        <f>HYPERLINK("http://www.ncbi.nlm.nih.gov/gene/?term=MNT","NCBI")</f>
        <v>NCBI</v>
      </c>
      <c r="F5431">
        <v>5.2999999999999999E-2</v>
      </c>
      <c r="G5431">
        <v>0.17</v>
      </c>
      <c r="H5431" s="1" t="str">
        <f>HYPERLINK("http://www.weizmann.ac.il/complex/compphys/software/geview/data/figures/204206_at.png","Figure")</f>
        <v>Figure</v>
      </c>
      <c r="I5431">
        <v>0.878</v>
      </c>
      <c r="J5431">
        <v>0.7</v>
      </c>
      <c r="K5431">
        <v>0.69</v>
      </c>
      <c r="L5431">
        <v>4.9000000000000002E-2</v>
      </c>
      <c r="M5431">
        <v>0.78700000000000003</v>
      </c>
      <c r="N5431">
        <v>0.28000000000000003</v>
      </c>
    </row>
    <row r="5432" spans="1:14" x14ac:dyDescent="0.25">
      <c r="A5432" t="s">
        <v>9804</v>
      </c>
      <c r="B5432" t="s">
        <v>9805</v>
      </c>
      <c r="C5432" s="1" t="str">
        <f>HYPERLINK("http://www.genecards.org/cgi-bin/carddisp.pl?gene=BAHD1","GeneCards")</f>
        <v>GeneCards</v>
      </c>
      <c r="D5432" s="1" t="str">
        <f>HYPERLINK("http://genome-euro.ucsc.edu/cgi-bin/hgTracks?position=203051_at","UCSC")</f>
        <v>UCSC</v>
      </c>
      <c r="E5432" s="1" t="str">
        <f>HYPERLINK("http://www.ncbi.nlm.nih.gov/gene/?term=BAHD1","NCBI")</f>
        <v>NCBI</v>
      </c>
      <c r="F5432">
        <v>5.2999999999999999E-2</v>
      </c>
      <c r="G5432">
        <v>0.17</v>
      </c>
      <c r="H5432" s="1" t="str">
        <f>HYPERLINK("http://www.weizmann.ac.il/complex/compphys/software/geview/data/figures/203051_at.png","Figure")</f>
        <v>Figure</v>
      </c>
      <c r="I5432">
        <v>1.19</v>
      </c>
      <c r="J5432">
        <v>4.7E-2</v>
      </c>
      <c r="K5432">
        <v>1.05</v>
      </c>
      <c r="L5432">
        <v>0.65</v>
      </c>
      <c r="M5432">
        <v>0.88600000000000001</v>
      </c>
      <c r="N5432">
        <v>0.15</v>
      </c>
    </row>
    <row r="5433" spans="1:14" x14ac:dyDescent="0.25">
      <c r="A5433" t="s">
        <v>9806</v>
      </c>
      <c r="B5433" t="s">
        <v>9807</v>
      </c>
      <c r="C5433" s="1" t="str">
        <f>HYPERLINK("http://www.genecards.org/cgi-bin/carddisp.pl?gene=CES2","GeneCards")</f>
        <v>GeneCards</v>
      </c>
      <c r="D5433" s="1" t="str">
        <f>HYPERLINK("http://genome-euro.ucsc.edu/cgi-bin/hgTracks?position=213509_x_at","UCSC")</f>
        <v>UCSC</v>
      </c>
      <c r="E5433" s="1" t="str">
        <f>HYPERLINK("http://www.ncbi.nlm.nih.gov/gene/?term=CES2","NCBI")</f>
        <v>NCBI</v>
      </c>
      <c r="F5433">
        <v>5.2999999999999999E-2</v>
      </c>
      <c r="G5433">
        <v>0.17</v>
      </c>
      <c r="H5433" s="1" t="str">
        <f>HYPERLINK("http://www.weizmann.ac.il/complex/compphys/software/geview/data/figures/213509_x_at.png","Figure")</f>
        <v>Figure</v>
      </c>
      <c r="I5433">
        <v>1.24</v>
      </c>
      <c r="J5433">
        <v>5.1999999999999998E-2</v>
      </c>
      <c r="K5433">
        <v>1.1499999999999999</v>
      </c>
      <c r="L5433">
        <v>0.15</v>
      </c>
      <c r="M5433">
        <v>0.93100000000000005</v>
      </c>
      <c r="N5433">
        <v>0.63</v>
      </c>
    </row>
    <row r="5434" spans="1:14" x14ac:dyDescent="0.25">
      <c r="A5434" t="s">
        <v>9808</v>
      </c>
      <c r="B5434" t="s">
        <v>9809</v>
      </c>
      <c r="C5434" s="1" t="str">
        <f>HYPERLINK("http://www.genecards.org/cgi-bin/carddisp.pl?gene=KLK1","GeneCards")</f>
        <v>GeneCards</v>
      </c>
      <c r="D5434" s="1" t="str">
        <f>HYPERLINK("http://genome-euro.ucsc.edu/cgi-bin/hgTracks?position=216699_s_at","UCSC")</f>
        <v>UCSC</v>
      </c>
      <c r="E5434" s="1" t="str">
        <f>HYPERLINK("http://www.ncbi.nlm.nih.gov/gene/?term=KLK1","NCBI")</f>
        <v>NCBI</v>
      </c>
      <c r="F5434">
        <v>5.2999999999999999E-2</v>
      </c>
      <c r="G5434">
        <v>0.17</v>
      </c>
      <c r="H5434" s="1" t="str">
        <f>HYPERLINK("http://www.weizmann.ac.il/complex/compphys/software/geview/data/figures/216699_s_at.png","Figure")</f>
        <v>Figure</v>
      </c>
      <c r="I5434">
        <v>1.35</v>
      </c>
      <c r="J5434">
        <v>0.05</v>
      </c>
      <c r="K5434">
        <v>1.08</v>
      </c>
      <c r="L5434">
        <v>0.73</v>
      </c>
      <c r="M5434">
        <v>0.79800000000000004</v>
      </c>
      <c r="N5434">
        <v>0.13</v>
      </c>
    </row>
    <row r="5435" spans="1:14" x14ac:dyDescent="0.25">
      <c r="A5435" t="s">
        <v>9810</v>
      </c>
      <c r="B5435" t="s">
        <v>7522</v>
      </c>
      <c r="C5435" s="1" t="str">
        <f>HYPERLINK("http://www.genecards.org/cgi-bin/carddisp.pl?gene=MT1F","GeneCards")</f>
        <v>GeneCards</v>
      </c>
      <c r="D5435" s="1" t="str">
        <f>HYPERLINK("http://genome-euro.ucsc.edu/cgi-bin/hgTracks?position=217165_x_at","UCSC")</f>
        <v>UCSC</v>
      </c>
      <c r="E5435" s="1" t="str">
        <f>HYPERLINK("http://www.ncbi.nlm.nih.gov/gene/?term=MT1F","NCBI")</f>
        <v>NCBI</v>
      </c>
      <c r="F5435">
        <v>5.2999999999999999E-2</v>
      </c>
      <c r="G5435">
        <v>0.17</v>
      </c>
      <c r="H5435" s="1" t="str">
        <f>HYPERLINK("http://www.weizmann.ac.il/complex/compphys/software/geview/data/figures/217165_x_at.png","Figure")</f>
        <v>Figure</v>
      </c>
      <c r="I5435">
        <v>1.38</v>
      </c>
      <c r="J5435">
        <v>6.0999999999999999E-2</v>
      </c>
      <c r="K5435">
        <v>1.27</v>
      </c>
      <c r="L5435">
        <v>0.12</v>
      </c>
      <c r="M5435">
        <v>0.92100000000000004</v>
      </c>
      <c r="N5435">
        <v>0.77</v>
      </c>
    </row>
    <row r="5436" spans="1:14" x14ac:dyDescent="0.25">
      <c r="A5436" t="s">
        <v>9811</v>
      </c>
      <c r="B5436" t="s">
        <v>9812</v>
      </c>
      <c r="C5436" s="1" t="str">
        <f>HYPERLINK("http://www.genecards.org/cgi-bin/carddisp.pl?gene=TPSG1","GeneCards")</f>
        <v>GeneCards</v>
      </c>
      <c r="D5436" s="1" t="str">
        <f>HYPERLINK("http://genome-euro.ucsc.edu/cgi-bin/hgTracks?position=220339_s_at","UCSC")</f>
        <v>UCSC</v>
      </c>
      <c r="E5436" s="1" t="str">
        <f>HYPERLINK("http://www.ncbi.nlm.nih.gov/gene/?term=TPSG1","NCBI")</f>
        <v>NCBI</v>
      </c>
      <c r="F5436">
        <v>5.2999999999999999E-2</v>
      </c>
      <c r="G5436">
        <v>0.17</v>
      </c>
      <c r="H5436" s="1" t="str">
        <f>HYPERLINK("http://www.weizmann.ac.il/complex/compphys/software/geview/data/figures/220339_s_at.png","Figure")</f>
        <v>Figure</v>
      </c>
      <c r="I5436">
        <v>1.24</v>
      </c>
      <c r="J5436">
        <v>4.4999999999999998E-2</v>
      </c>
      <c r="K5436">
        <v>1.08</v>
      </c>
      <c r="L5436">
        <v>0.56999999999999995</v>
      </c>
      <c r="M5436">
        <v>0.86499999999999999</v>
      </c>
      <c r="N5436">
        <v>0.17</v>
      </c>
    </row>
    <row r="5437" spans="1:14" x14ac:dyDescent="0.25">
      <c r="A5437" t="s">
        <v>9813</v>
      </c>
      <c r="B5437" t="s">
        <v>9814</v>
      </c>
      <c r="C5437" s="1" t="str">
        <f>HYPERLINK("http://www.genecards.org/cgi-bin/carddisp.pl?gene=CPN2","GeneCards")</f>
        <v>GeneCards</v>
      </c>
      <c r="D5437" s="1" t="str">
        <f>HYPERLINK("http://genome-euro.ucsc.edu/cgi-bin/hgTracks?position=216223_at","UCSC")</f>
        <v>UCSC</v>
      </c>
      <c r="E5437" s="1" t="str">
        <f>HYPERLINK("http://www.ncbi.nlm.nih.gov/gene/?term=CPN2","NCBI")</f>
        <v>NCBI</v>
      </c>
      <c r="F5437">
        <v>5.2999999999999999E-2</v>
      </c>
      <c r="G5437">
        <v>0.17</v>
      </c>
      <c r="H5437" s="1" t="str">
        <f>HYPERLINK("http://www.weizmann.ac.il/complex/compphys/software/geview/data/figures/216223_at.png","Figure")</f>
        <v>Figure</v>
      </c>
      <c r="I5437">
        <v>1.18</v>
      </c>
      <c r="J5437">
        <v>5.0999999999999997E-2</v>
      </c>
      <c r="K5437">
        <v>1.1100000000000001</v>
      </c>
      <c r="L5437">
        <v>0.16</v>
      </c>
      <c r="M5437">
        <v>0.94399999999999995</v>
      </c>
      <c r="N5437">
        <v>0.6</v>
      </c>
    </row>
    <row r="5438" spans="1:14" x14ac:dyDescent="0.25">
      <c r="A5438" t="s">
        <v>9815</v>
      </c>
      <c r="B5438" t="s">
        <v>9816</v>
      </c>
      <c r="C5438" s="1" t="str">
        <f>HYPERLINK("http://www.genecards.org/cgi-bin/carddisp.pl?gene=TPRKB","GeneCards")</f>
        <v>GeneCards</v>
      </c>
      <c r="D5438" s="1" t="str">
        <f>HYPERLINK("http://genome-euro.ucsc.edu/cgi-bin/hgTracks?position=219030_at","UCSC")</f>
        <v>UCSC</v>
      </c>
      <c r="E5438" s="1" t="str">
        <f>HYPERLINK("http://www.ncbi.nlm.nih.gov/gene/?term=TPRKB","NCBI")</f>
        <v>NCBI</v>
      </c>
      <c r="F5438">
        <v>5.2999999999999999E-2</v>
      </c>
      <c r="G5438">
        <v>0.17</v>
      </c>
      <c r="H5438" s="1" t="str">
        <f>HYPERLINK("http://www.weizmann.ac.il/complex/compphys/software/geview/data/figures/219030_at.png","Figure")</f>
        <v>Figure</v>
      </c>
      <c r="I5438">
        <v>0.70199999999999996</v>
      </c>
      <c r="J5438">
        <v>0.25</v>
      </c>
      <c r="K5438">
        <v>1.2</v>
      </c>
      <c r="L5438">
        <v>0.59</v>
      </c>
      <c r="M5438">
        <v>1.71</v>
      </c>
      <c r="N5438">
        <v>4.2999999999999997E-2</v>
      </c>
    </row>
    <row r="5439" spans="1:14" x14ac:dyDescent="0.25">
      <c r="A5439" t="s">
        <v>9817</v>
      </c>
      <c r="B5439" t="s">
        <v>8599</v>
      </c>
      <c r="C5439" s="1" t="str">
        <f>HYPERLINK("http://www.genecards.org/cgi-bin/carddisp.pl?gene=BTN3A1","GeneCards")</f>
        <v>GeneCards</v>
      </c>
      <c r="D5439" s="1" t="str">
        <f>HYPERLINK("http://genome-euro.ucsc.edu/cgi-bin/hgTracks?position=209770_at","UCSC")</f>
        <v>UCSC</v>
      </c>
      <c r="E5439" s="1" t="str">
        <f>HYPERLINK("http://www.ncbi.nlm.nih.gov/gene/?term=BTN3A1","NCBI")</f>
        <v>NCBI</v>
      </c>
      <c r="F5439">
        <v>5.2999999999999999E-2</v>
      </c>
      <c r="G5439">
        <v>0.17</v>
      </c>
      <c r="H5439" s="1" t="str">
        <f>HYPERLINK("http://www.weizmann.ac.il/complex/compphys/software/geview/data/figures/209770_at.png","Figure")</f>
        <v>Figure</v>
      </c>
      <c r="I5439">
        <v>0.86299999999999999</v>
      </c>
      <c r="J5439">
        <v>0.47</v>
      </c>
      <c r="K5439">
        <v>0.749</v>
      </c>
      <c r="L5439">
        <v>4.2999999999999997E-2</v>
      </c>
      <c r="M5439">
        <v>0.86799999999999999</v>
      </c>
      <c r="N5439">
        <v>0.45</v>
      </c>
    </row>
    <row r="5440" spans="1:14" x14ac:dyDescent="0.25">
      <c r="A5440" t="s">
        <v>9818</v>
      </c>
      <c r="B5440" t="s">
        <v>9819</v>
      </c>
      <c r="C5440" s="1" t="str">
        <f>HYPERLINK("http://www.genecards.org/cgi-bin/carddisp.pl?gene=VPS39","GeneCards")</f>
        <v>GeneCards</v>
      </c>
      <c r="D5440" s="1" t="str">
        <f>HYPERLINK("http://genome-euro.ucsc.edu/cgi-bin/hgTracks?position=212156_at","UCSC")</f>
        <v>UCSC</v>
      </c>
      <c r="E5440" s="1" t="str">
        <f>HYPERLINK("http://www.ncbi.nlm.nih.gov/gene/?term=VPS39","NCBI")</f>
        <v>NCBI</v>
      </c>
      <c r="F5440">
        <v>5.2999999999999999E-2</v>
      </c>
      <c r="G5440">
        <v>0.17</v>
      </c>
      <c r="H5440" s="1" t="str">
        <f>HYPERLINK("http://www.weizmann.ac.il/complex/compphys/software/geview/data/figures/212156_at.png","Figure")</f>
        <v>Figure</v>
      </c>
      <c r="I5440">
        <v>1.27</v>
      </c>
      <c r="J5440">
        <v>0.06</v>
      </c>
      <c r="K5440">
        <v>1.04</v>
      </c>
      <c r="L5440">
        <v>0.9</v>
      </c>
      <c r="M5440">
        <v>0.81499999999999995</v>
      </c>
      <c r="N5440">
        <v>9.0999999999999998E-2</v>
      </c>
    </row>
    <row r="5441" spans="1:14" x14ac:dyDescent="0.25">
      <c r="A5441" t="s">
        <v>9820</v>
      </c>
      <c r="B5441" t="s">
        <v>9821</v>
      </c>
      <c r="C5441" s="1" t="str">
        <f>HYPERLINK("http://www.genecards.org/cgi-bin/carddisp.pl?gene=FAM182A","GeneCards")</f>
        <v>GeneCards</v>
      </c>
      <c r="D5441" s="1" t="str">
        <f>HYPERLINK("http://genome-euro.ucsc.edu/cgi-bin/hgTracks?position=216053_x_at","UCSC")</f>
        <v>UCSC</v>
      </c>
      <c r="E5441" s="1" t="str">
        <f>HYPERLINK("http://www.ncbi.nlm.nih.gov/gene/?term=FAM182A","NCBI")</f>
        <v>NCBI</v>
      </c>
      <c r="F5441">
        <v>5.2999999999999999E-2</v>
      </c>
      <c r="G5441">
        <v>0.17</v>
      </c>
      <c r="H5441" s="1" t="str">
        <f>HYPERLINK("http://www.weizmann.ac.il/complex/compphys/software/geview/data/figures/216053_x_at.png","Figure")</f>
        <v>Figure</v>
      </c>
      <c r="I5441">
        <v>1.32</v>
      </c>
      <c r="J5441">
        <v>5.5E-2</v>
      </c>
      <c r="K5441">
        <v>1.22</v>
      </c>
      <c r="L5441">
        <v>0.14000000000000001</v>
      </c>
      <c r="M5441">
        <v>0.91800000000000004</v>
      </c>
      <c r="N5441">
        <v>0.68</v>
      </c>
    </row>
    <row r="5442" spans="1:14" x14ac:dyDescent="0.25">
      <c r="A5442" t="s">
        <v>9822</v>
      </c>
      <c r="B5442" t="s">
        <v>9823</v>
      </c>
      <c r="C5442" s="1" t="str">
        <f>HYPERLINK("http://www.genecards.org/cgi-bin/carddisp.pl?gene=DBI","GeneCards")</f>
        <v>GeneCards</v>
      </c>
      <c r="D5442" s="1" t="str">
        <f>HYPERLINK("http://genome-euro.ucsc.edu/cgi-bin/hgTracks?position=209389_x_at","UCSC")</f>
        <v>UCSC</v>
      </c>
      <c r="E5442" s="1" t="str">
        <f>HYPERLINK("http://www.ncbi.nlm.nih.gov/gene/?term=DBI","NCBI")</f>
        <v>NCBI</v>
      </c>
      <c r="F5442">
        <v>5.2999999999999999E-2</v>
      </c>
      <c r="G5442">
        <v>0.17</v>
      </c>
      <c r="H5442" s="1" t="str">
        <f>HYPERLINK("http://www.weizmann.ac.il/complex/compphys/software/geview/data/figures/209389_x_at.png","Figure")</f>
        <v>Figure</v>
      </c>
      <c r="I5442">
        <v>1.35</v>
      </c>
      <c r="J5442">
        <v>0.34</v>
      </c>
      <c r="K5442">
        <v>1.63</v>
      </c>
      <c r="L5442">
        <v>4.2999999999999997E-2</v>
      </c>
      <c r="M5442">
        <v>1.2</v>
      </c>
      <c r="N5442">
        <v>0.6</v>
      </c>
    </row>
    <row r="5443" spans="1:14" x14ac:dyDescent="0.25">
      <c r="A5443" t="s">
        <v>9824</v>
      </c>
      <c r="B5443" t="s">
        <v>9825</v>
      </c>
      <c r="C5443" s="1" t="str">
        <f>HYPERLINK("http://www.genecards.org/cgi-bin/carddisp.pl?gene=COMMD9","GeneCards")</f>
        <v>GeneCards</v>
      </c>
      <c r="D5443" s="1" t="str">
        <f>HYPERLINK("http://genome-euro.ucsc.edu/cgi-bin/hgTracks?position=218072_at","UCSC")</f>
        <v>UCSC</v>
      </c>
      <c r="E5443" s="1" t="str">
        <f>HYPERLINK("http://www.ncbi.nlm.nih.gov/gene/?term=COMMD9","NCBI")</f>
        <v>NCBI</v>
      </c>
      <c r="F5443">
        <v>5.2999999999999999E-2</v>
      </c>
      <c r="G5443">
        <v>0.17</v>
      </c>
      <c r="H5443" s="1" t="str">
        <f>HYPERLINK("http://www.weizmann.ac.il/complex/compphys/software/geview/data/figures/218072_at.png","Figure")</f>
        <v>Figure</v>
      </c>
      <c r="I5443">
        <v>0.78800000000000003</v>
      </c>
      <c r="J5443">
        <v>0.25</v>
      </c>
      <c r="K5443">
        <v>1.1299999999999999</v>
      </c>
      <c r="L5443">
        <v>0.6</v>
      </c>
      <c r="M5443">
        <v>1.43</v>
      </c>
      <c r="N5443">
        <v>4.2999999999999997E-2</v>
      </c>
    </row>
    <row r="5444" spans="1:14" x14ac:dyDescent="0.25">
      <c r="A5444" t="s">
        <v>9826</v>
      </c>
      <c r="B5444" t="s">
        <v>8711</v>
      </c>
      <c r="C5444" s="1" t="str">
        <f>HYPERLINK("http://www.genecards.org/cgi-bin/carddisp.pl?gene=SRR","GeneCards")</f>
        <v>GeneCards</v>
      </c>
      <c r="D5444" s="1" t="str">
        <f>HYPERLINK("http://genome-euro.ucsc.edu/cgi-bin/hgTracks?position=219204_s_at","UCSC")</f>
        <v>UCSC</v>
      </c>
      <c r="E5444" s="1" t="str">
        <f>HYPERLINK("http://www.ncbi.nlm.nih.gov/gene/?term=SRR","NCBI")</f>
        <v>NCBI</v>
      </c>
      <c r="F5444">
        <v>5.2999999999999999E-2</v>
      </c>
      <c r="G5444">
        <v>0.17</v>
      </c>
      <c r="H5444" s="1" t="str">
        <f>HYPERLINK("http://www.weizmann.ac.il/complex/compphys/software/geview/data/figures/219204_s_at.png","Figure")</f>
        <v>Figure</v>
      </c>
      <c r="I5444">
        <v>0.86199999999999999</v>
      </c>
      <c r="J5444">
        <v>8.4000000000000005E-2</v>
      </c>
      <c r="K5444">
        <v>1</v>
      </c>
      <c r="L5444">
        <v>1</v>
      </c>
      <c r="M5444">
        <v>1.1599999999999999</v>
      </c>
      <c r="N5444">
        <v>6.3E-2</v>
      </c>
    </row>
    <row r="5445" spans="1:14" x14ac:dyDescent="0.25">
      <c r="A5445" t="s">
        <v>9827</v>
      </c>
      <c r="B5445" t="s">
        <v>1678</v>
      </c>
      <c r="C5445" s="1" t="str">
        <f>HYPERLINK("http://www.genecards.org/cgi-bin/carddisp.pl?gene=SMARCA5","GeneCards")</f>
        <v>GeneCards</v>
      </c>
      <c r="D5445" s="1" t="str">
        <f>HYPERLINK("http://genome-euro.ucsc.edu/cgi-bin/hgTracks?position=202303_x_at","UCSC")</f>
        <v>UCSC</v>
      </c>
      <c r="E5445" s="1" t="str">
        <f>HYPERLINK("http://www.ncbi.nlm.nih.gov/gene/?term=SMARCA5","NCBI")</f>
        <v>NCBI</v>
      </c>
      <c r="F5445">
        <v>5.2999999999999999E-2</v>
      </c>
      <c r="G5445">
        <v>0.17</v>
      </c>
      <c r="H5445" s="1" t="str">
        <f>HYPERLINK("http://www.weizmann.ac.il/complex/compphys/software/geview/data/figures/202303_x_at.png","Figure")</f>
        <v>Figure</v>
      </c>
      <c r="I5445">
        <v>0.70499999999999996</v>
      </c>
      <c r="J5445">
        <v>7.2999999999999995E-2</v>
      </c>
      <c r="K5445">
        <v>0.97899999999999998</v>
      </c>
      <c r="L5445">
        <v>0.98</v>
      </c>
      <c r="M5445">
        <v>1.39</v>
      </c>
      <c r="N5445">
        <v>7.1999999999999995E-2</v>
      </c>
    </row>
    <row r="5446" spans="1:14" x14ac:dyDescent="0.25">
      <c r="A5446" t="s">
        <v>9828</v>
      </c>
      <c r="B5446" t="s">
        <v>7642</v>
      </c>
      <c r="C5446" s="1" t="str">
        <f>HYPERLINK("http://www.genecards.org/cgi-bin/carddisp.pl?gene=PLEKHG3","GeneCards")</f>
        <v>GeneCards</v>
      </c>
      <c r="D5446" s="1" t="str">
        <f>HYPERLINK("http://genome-euro.ucsc.edu/cgi-bin/hgTracks?position=217044_s_at","UCSC")</f>
        <v>UCSC</v>
      </c>
      <c r="E5446" s="1" t="str">
        <f>HYPERLINK("http://www.ncbi.nlm.nih.gov/gene/?term=PLEKHG3","NCBI")</f>
        <v>NCBI</v>
      </c>
      <c r="F5446">
        <v>5.2999999999999999E-2</v>
      </c>
      <c r="G5446">
        <v>0.17</v>
      </c>
      <c r="H5446" s="1" t="str">
        <f>HYPERLINK("http://www.weizmann.ac.il/complex/compphys/software/geview/data/figures/217044_s_at.png","Figure")</f>
        <v>Figure</v>
      </c>
      <c r="I5446">
        <v>1.23</v>
      </c>
      <c r="J5446">
        <v>9.8000000000000004E-2</v>
      </c>
      <c r="K5446">
        <v>0.98799999999999999</v>
      </c>
      <c r="L5446">
        <v>0.99</v>
      </c>
      <c r="M5446">
        <v>0.80600000000000005</v>
      </c>
      <c r="N5446">
        <v>5.7000000000000002E-2</v>
      </c>
    </row>
    <row r="5447" spans="1:14" x14ac:dyDescent="0.25">
      <c r="A5447" t="s">
        <v>9829</v>
      </c>
      <c r="B5447" t="s">
        <v>9830</v>
      </c>
      <c r="C5447" s="1" t="str">
        <f>HYPERLINK("http://www.genecards.org/cgi-bin/carddisp.pl?gene=FARSA","GeneCards")</f>
        <v>GeneCards</v>
      </c>
      <c r="D5447" s="1" t="str">
        <f>HYPERLINK("http://genome-euro.ucsc.edu/cgi-bin/hgTracks?position=202159_at","UCSC")</f>
        <v>UCSC</v>
      </c>
      <c r="E5447" s="1" t="str">
        <f>HYPERLINK("http://www.ncbi.nlm.nih.gov/gene/?term=FARSA","NCBI")</f>
        <v>NCBI</v>
      </c>
      <c r="F5447">
        <v>5.2999999999999999E-2</v>
      </c>
      <c r="G5447">
        <v>0.17</v>
      </c>
      <c r="H5447" s="1" t="str">
        <f>HYPERLINK("http://www.weizmann.ac.il/complex/compphys/software/geview/data/figures/202159_at.png","Figure")</f>
        <v>Figure</v>
      </c>
      <c r="I5447">
        <v>0.95199999999999996</v>
      </c>
      <c r="J5447">
        <v>0.9</v>
      </c>
      <c r="K5447">
        <v>1.23</v>
      </c>
      <c r="L5447">
        <v>0.13</v>
      </c>
      <c r="M5447">
        <v>1.29</v>
      </c>
      <c r="N5447">
        <v>7.3999999999999996E-2</v>
      </c>
    </row>
    <row r="5448" spans="1:14" x14ac:dyDescent="0.25">
      <c r="A5448" t="s">
        <v>9831</v>
      </c>
      <c r="B5448" t="s">
        <v>7857</v>
      </c>
      <c r="C5448" s="1" t="str">
        <f>HYPERLINK("http://www.genecards.org/cgi-bin/carddisp.pl?gene=TBX2","GeneCards")</f>
        <v>GeneCards</v>
      </c>
      <c r="D5448" s="1" t="str">
        <f>HYPERLINK("http://genome-euro.ucsc.edu/cgi-bin/hgTracks?position=40560_at","UCSC")</f>
        <v>UCSC</v>
      </c>
      <c r="E5448" s="1" t="str">
        <f>HYPERLINK("http://www.ncbi.nlm.nih.gov/gene/?term=TBX2","NCBI")</f>
        <v>NCBI</v>
      </c>
      <c r="F5448">
        <v>5.2999999999999999E-2</v>
      </c>
      <c r="G5448">
        <v>0.17</v>
      </c>
      <c r="H5448" s="1" t="str">
        <f>HYPERLINK("http://www.weizmann.ac.il/complex/compphys/software/geview/data/figures/40560_at.png","Figure")</f>
        <v>Figure</v>
      </c>
      <c r="I5448">
        <v>1.17</v>
      </c>
      <c r="J5448">
        <v>4.2999999999999997E-2</v>
      </c>
      <c r="K5448">
        <v>1.07</v>
      </c>
      <c r="L5448">
        <v>0.36</v>
      </c>
      <c r="M5448">
        <v>0.91700000000000004</v>
      </c>
      <c r="N5448">
        <v>0.28000000000000003</v>
      </c>
    </row>
    <row r="5449" spans="1:14" x14ac:dyDescent="0.25">
      <c r="A5449" t="s">
        <v>9832</v>
      </c>
      <c r="B5449" t="s">
        <v>9833</v>
      </c>
      <c r="C5449" s="1" t="str">
        <f>HYPERLINK("http://www.genecards.org/cgi-bin/carddisp.pl?gene=GFOD1","GeneCards")</f>
        <v>GeneCards</v>
      </c>
      <c r="D5449" s="1" t="str">
        <f>HYPERLINK("http://genome-euro.ucsc.edu/cgi-bin/hgTracks?position=219821_s_at","UCSC")</f>
        <v>UCSC</v>
      </c>
      <c r="E5449" s="1" t="str">
        <f>HYPERLINK("http://www.ncbi.nlm.nih.gov/gene/?term=GFOD1","NCBI")</f>
        <v>NCBI</v>
      </c>
      <c r="F5449">
        <v>5.2999999999999999E-2</v>
      </c>
      <c r="G5449">
        <v>0.17</v>
      </c>
      <c r="H5449" s="1" t="str">
        <f>HYPERLINK("http://www.weizmann.ac.il/complex/compphys/software/geview/data/figures/219821_s_at.png","Figure")</f>
        <v>Figure</v>
      </c>
      <c r="I5449">
        <v>0.751</v>
      </c>
      <c r="J5449">
        <v>0.3</v>
      </c>
      <c r="K5449">
        <v>0.64700000000000002</v>
      </c>
      <c r="L5449">
        <v>4.3999999999999997E-2</v>
      </c>
      <c r="M5449">
        <v>0.86199999999999999</v>
      </c>
      <c r="N5449">
        <v>0.67</v>
      </c>
    </row>
    <row r="5450" spans="1:14" x14ac:dyDescent="0.25">
      <c r="A5450" t="s">
        <v>9834</v>
      </c>
      <c r="B5450" t="s">
        <v>9835</v>
      </c>
      <c r="C5450" s="1" t="str">
        <f>HYPERLINK("http://www.genecards.org/cgi-bin/carddisp.pl?gene=ZFX","GeneCards")</f>
        <v>GeneCards</v>
      </c>
      <c r="D5450" s="1" t="str">
        <f>HYPERLINK("http://genome-euro.ucsc.edu/cgi-bin/hgTracks?position=207920_x_at","UCSC")</f>
        <v>UCSC</v>
      </c>
      <c r="E5450" s="1" t="str">
        <f>HYPERLINK("http://www.ncbi.nlm.nih.gov/gene/?term=ZFX","NCBI")</f>
        <v>NCBI</v>
      </c>
      <c r="F5450">
        <v>5.2999999999999999E-2</v>
      </c>
      <c r="G5450">
        <v>0.17</v>
      </c>
      <c r="H5450" s="1" t="str">
        <f>HYPERLINK("http://www.weizmann.ac.il/complex/compphys/software/geview/data/figures/207920_x_at.png","Figure")</f>
        <v>Figure</v>
      </c>
      <c r="I5450">
        <v>0.68899999999999995</v>
      </c>
      <c r="J5450">
        <v>7.9000000000000001E-2</v>
      </c>
      <c r="K5450">
        <v>0.72699999999999998</v>
      </c>
      <c r="L5450">
        <v>8.5000000000000006E-2</v>
      </c>
      <c r="M5450">
        <v>1.05</v>
      </c>
      <c r="N5450">
        <v>0.93</v>
      </c>
    </row>
    <row r="5451" spans="1:14" x14ac:dyDescent="0.25">
      <c r="A5451" t="s">
        <v>9836</v>
      </c>
      <c r="B5451" t="s">
        <v>2978</v>
      </c>
      <c r="C5451" s="1" t="str">
        <f>HYPERLINK("http://www.genecards.org/cgi-bin/carddisp.pl?gene=CD40","GeneCards")</f>
        <v>GeneCards</v>
      </c>
      <c r="D5451" s="1" t="str">
        <f>HYPERLINK("http://genome-euro.ucsc.edu/cgi-bin/hgTracks?position=35150_at","UCSC")</f>
        <v>UCSC</v>
      </c>
      <c r="E5451" s="1" t="str">
        <f>HYPERLINK("http://www.ncbi.nlm.nih.gov/gene/?term=CD40","NCBI")</f>
        <v>NCBI</v>
      </c>
      <c r="F5451">
        <v>5.2999999999999999E-2</v>
      </c>
      <c r="G5451">
        <v>0.17</v>
      </c>
      <c r="H5451" s="1" t="str">
        <f>HYPERLINK("http://www.weizmann.ac.il/complex/compphys/software/geview/data/figures/35150_at.png","Figure")</f>
        <v>Figure</v>
      </c>
      <c r="I5451">
        <v>1.42</v>
      </c>
      <c r="J5451">
        <v>4.7E-2</v>
      </c>
      <c r="K5451">
        <v>1.1100000000000001</v>
      </c>
      <c r="L5451">
        <v>0.64</v>
      </c>
      <c r="M5451">
        <v>0.78100000000000003</v>
      </c>
      <c r="N5451">
        <v>0.15</v>
      </c>
    </row>
    <row r="5452" spans="1:14" x14ac:dyDescent="0.25">
      <c r="A5452" t="s">
        <v>9837</v>
      </c>
      <c r="B5452" t="s">
        <v>9838</v>
      </c>
      <c r="C5452" s="1" t="str">
        <f>HYPERLINK("http://www.genecards.org/cgi-bin/carddisp.pl?gene=AIMP1","GeneCards")</f>
        <v>GeneCards</v>
      </c>
      <c r="D5452" s="1" t="str">
        <f>HYPERLINK("http://genome-euro.ucsc.edu/cgi-bin/hgTracks?position=202541_at","UCSC")</f>
        <v>UCSC</v>
      </c>
      <c r="E5452" s="1" t="str">
        <f>HYPERLINK("http://www.ncbi.nlm.nih.gov/gene/?term=AIMP1","NCBI")</f>
        <v>NCBI</v>
      </c>
      <c r="F5452">
        <v>5.2999999999999999E-2</v>
      </c>
      <c r="G5452">
        <v>0.17</v>
      </c>
      <c r="H5452" s="1" t="str">
        <f>HYPERLINK("http://www.weizmann.ac.il/complex/compphys/software/geview/data/figures/202541_at.png","Figure")</f>
        <v>Figure</v>
      </c>
      <c r="I5452">
        <v>0.53900000000000003</v>
      </c>
      <c r="J5452">
        <v>4.2999999999999997E-2</v>
      </c>
      <c r="K5452">
        <v>0.77500000000000002</v>
      </c>
      <c r="L5452">
        <v>0.43</v>
      </c>
      <c r="M5452">
        <v>1.44</v>
      </c>
      <c r="N5452">
        <v>0.24</v>
      </c>
    </row>
    <row r="5453" spans="1:14" x14ac:dyDescent="0.25">
      <c r="A5453" t="s">
        <v>9839</v>
      </c>
      <c r="B5453" t="s">
        <v>9840</v>
      </c>
      <c r="C5453" s="1" t="str">
        <f>HYPERLINK("http://www.genecards.org/cgi-bin/carddisp.pl?gene=RAGE","GeneCards")</f>
        <v>GeneCards</v>
      </c>
      <c r="D5453" s="1" t="str">
        <f>HYPERLINK("http://genome-euro.ucsc.edu/cgi-bin/hgTracks?position=205130_at","UCSC")</f>
        <v>UCSC</v>
      </c>
      <c r="E5453" s="1" t="str">
        <f>HYPERLINK("http://www.ncbi.nlm.nih.gov/gene/?term=RAGE","NCBI")</f>
        <v>NCBI</v>
      </c>
      <c r="F5453">
        <v>5.2999999999999999E-2</v>
      </c>
      <c r="G5453">
        <v>0.17</v>
      </c>
      <c r="H5453" s="1" t="str">
        <f>HYPERLINK("http://www.weizmann.ac.il/complex/compphys/software/geview/data/figures/205130_at.png","Figure")</f>
        <v>Figure</v>
      </c>
      <c r="I5453">
        <v>1.55</v>
      </c>
      <c r="J5453">
        <v>4.7E-2</v>
      </c>
      <c r="K5453">
        <v>1.29</v>
      </c>
      <c r="L5453">
        <v>0.21</v>
      </c>
      <c r="M5453">
        <v>0.83599999999999997</v>
      </c>
      <c r="N5453">
        <v>0.49</v>
      </c>
    </row>
    <row r="5454" spans="1:14" x14ac:dyDescent="0.25">
      <c r="A5454" t="s">
        <v>9841</v>
      </c>
      <c r="B5454" t="s">
        <v>9842</v>
      </c>
      <c r="C5454" s="1" t="str">
        <f>HYPERLINK("http://www.genecards.org/cgi-bin/carddisp.pl?gene=HIST1H4A","GeneCards")</f>
        <v>GeneCards</v>
      </c>
      <c r="D5454" s="1" t="str">
        <f>HYPERLINK("http://genome-euro.ucsc.edu/cgi-bin/hgTracks?position=208046_at","UCSC")</f>
        <v>UCSC</v>
      </c>
      <c r="E5454" s="1" t="str">
        <f>HYPERLINK("http://www.ncbi.nlm.nih.gov/gene/?term=HIST1H4A","NCBI")</f>
        <v>NCBI</v>
      </c>
      <c r="F5454">
        <v>5.2999999999999999E-2</v>
      </c>
      <c r="G5454">
        <v>0.17</v>
      </c>
      <c r="H5454" s="1" t="str">
        <f>HYPERLINK("http://www.weizmann.ac.il/complex/compphys/software/geview/data/figures/208046_at.png","Figure")</f>
        <v>Figure</v>
      </c>
      <c r="I5454">
        <v>1.43</v>
      </c>
      <c r="J5454">
        <v>0.16</v>
      </c>
      <c r="K5454">
        <v>1.53</v>
      </c>
      <c r="L5454">
        <v>5.0999999999999997E-2</v>
      </c>
      <c r="M5454">
        <v>1.07</v>
      </c>
      <c r="N5454">
        <v>0.93</v>
      </c>
    </row>
    <row r="5455" spans="1:14" x14ac:dyDescent="0.25">
      <c r="A5455" t="s">
        <v>9843</v>
      </c>
      <c r="B5455" t="s">
        <v>9844</v>
      </c>
      <c r="C5455" s="1" t="str">
        <f>HYPERLINK("http://www.genecards.org/cgi-bin/carddisp.pl?gene=C5orf23","GeneCards")</f>
        <v>GeneCards</v>
      </c>
      <c r="D5455" s="1" t="str">
        <f>HYPERLINK("http://genome-euro.ucsc.edu/cgi-bin/hgTracks?position=219054_at","UCSC")</f>
        <v>UCSC</v>
      </c>
      <c r="E5455" s="1" t="str">
        <f>HYPERLINK("http://www.ncbi.nlm.nih.gov/gene/?term=C5orf23","NCBI")</f>
        <v>NCBI</v>
      </c>
      <c r="F5455">
        <v>5.2999999999999999E-2</v>
      </c>
      <c r="G5455">
        <v>0.17</v>
      </c>
      <c r="H5455" s="1" t="str">
        <f>HYPERLINK("http://www.weizmann.ac.il/complex/compphys/software/geview/data/figures/219054_at.png","Figure")</f>
        <v>Figure</v>
      </c>
      <c r="I5455">
        <v>1.0900000000000001</v>
      </c>
      <c r="J5455">
        <v>0.56999999999999995</v>
      </c>
      <c r="K5455">
        <v>0.89400000000000002</v>
      </c>
      <c r="L5455">
        <v>0.27</v>
      </c>
      <c r="M5455">
        <v>0.82399999999999995</v>
      </c>
      <c r="N5455">
        <v>0.05</v>
      </c>
    </row>
    <row r="5456" spans="1:14" x14ac:dyDescent="0.25">
      <c r="A5456" t="s">
        <v>9845</v>
      </c>
      <c r="B5456" t="s">
        <v>9846</v>
      </c>
      <c r="C5456" s="1" t="str">
        <f>HYPERLINK("http://www.genecards.org/cgi-bin/carddisp.pl?gene=IKBKAP","GeneCards")</f>
        <v>GeneCards</v>
      </c>
      <c r="D5456" s="1" t="str">
        <f>HYPERLINK("http://genome-euro.ucsc.edu/cgi-bin/hgTracks?position=202491_s_at","UCSC")</f>
        <v>UCSC</v>
      </c>
      <c r="E5456" s="1" t="str">
        <f>HYPERLINK("http://www.ncbi.nlm.nih.gov/gene/?term=IKBKAP","NCBI")</f>
        <v>NCBI</v>
      </c>
      <c r="F5456">
        <v>5.2999999999999999E-2</v>
      </c>
      <c r="G5456">
        <v>0.17</v>
      </c>
      <c r="H5456" s="1" t="str">
        <f>HYPERLINK("http://www.weizmann.ac.il/complex/compphys/software/geview/data/figures/202491_s_at.png","Figure")</f>
        <v>Figure</v>
      </c>
      <c r="I5456">
        <v>0.96099999999999997</v>
      </c>
      <c r="J5456">
        <v>0.99</v>
      </c>
      <c r="K5456">
        <v>1.76</v>
      </c>
      <c r="L5456">
        <v>9.6000000000000002E-2</v>
      </c>
      <c r="M5456">
        <v>1.83</v>
      </c>
      <c r="N5456">
        <v>9.7000000000000003E-2</v>
      </c>
    </row>
    <row r="5457" spans="1:14" x14ac:dyDescent="0.25">
      <c r="A5457" t="s">
        <v>9847</v>
      </c>
      <c r="B5457" t="s">
        <v>9848</v>
      </c>
      <c r="C5457" s="1" t="str">
        <f>HYPERLINK("http://www.genecards.org/cgi-bin/carddisp.pl?gene=SELP","GeneCards")</f>
        <v>GeneCards</v>
      </c>
      <c r="D5457" s="1" t="str">
        <f>HYPERLINK("http://genome-euro.ucsc.edu/cgi-bin/hgTracks?position=206049_at","UCSC")</f>
        <v>UCSC</v>
      </c>
      <c r="E5457" s="1" t="str">
        <f>HYPERLINK("http://www.ncbi.nlm.nih.gov/gene/?term=SELP","NCBI")</f>
        <v>NCBI</v>
      </c>
      <c r="F5457">
        <v>5.2999999999999999E-2</v>
      </c>
      <c r="G5457">
        <v>0.17</v>
      </c>
      <c r="H5457" s="1" t="str">
        <f>HYPERLINK("http://www.weizmann.ac.il/complex/compphys/software/geview/data/figures/206049_at.png","Figure")</f>
        <v>Figure</v>
      </c>
      <c r="I5457">
        <v>1.1200000000000001</v>
      </c>
      <c r="J5457">
        <v>0.23</v>
      </c>
      <c r="K5457">
        <v>0.95</v>
      </c>
      <c r="L5457">
        <v>0.65</v>
      </c>
      <c r="M5457">
        <v>0.84799999999999998</v>
      </c>
      <c r="N5457">
        <v>4.2999999999999997E-2</v>
      </c>
    </row>
    <row r="5458" spans="1:14" x14ac:dyDescent="0.25">
      <c r="A5458" t="s">
        <v>9849</v>
      </c>
      <c r="B5458" t="s">
        <v>9850</v>
      </c>
      <c r="C5458" s="1" t="str">
        <f>HYPERLINK("http://www.genecards.org/cgi-bin/carddisp.pl?gene=PDK3","GeneCards")</f>
        <v>GeneCards</v>
      </c>
      <c r="D5458" s="1" t="str">
        <f>HYPERLINK("http://genome-euro.ucsc.edu/cgi-bin/hgTracks?position=206348_s_at","UCSC")</f>
        <v>UCSC</v>
      </c>
      <c r="E5458" s="1" t="str">
        <f>HYPERLINK("http://www.ncbi.nlm.nih.gov/gene/?term=PDK3","NCBI")</f>
        <v>NCBI</v>
      </c>
      <c r="F5458">
        <v>5.2999999999999999E-2</v>
      </c>
      <c r="G5458">
        <v>0.17</v>
      </c>
      <c r="H5458" s="1" t="str">
        <f>HYPERLINK("http://www.weizmann.ac.il/complex/compphys/software/geview/data/figures/206348_s_at.png","Figure")</f>
        <v>Figure</v>
      </c>
      <c r="I5458">
        <v>0.88100000000000001</v>
      </c>
      <c r="J5458">
        <v>8.5000000000000006E-2</v>
      </c>
      <c r="K5458">
        <v>1</v>
      </c>
      <c r="L5458">
        <v>1</v>
      </c>
      <c r="M5458">
        <v>1.1299999999999999</v>
      </c>
      <c r="N5458">
        <v>6.3E-2</v>
      </c>
    </row>
    <row r="5459" spans="1:14" x14ac:dyDescent="0.25">
      <c r="A5459" t="s">
        <v>9851</v>
      </c>
      <c r="B5459" t="s">
        <v>9852</v>
      </c>
      <c r="C5459" s="1" t="str">
        <f>HYPERLINK("http://www.genecards.org/cgi-bin/carddisp.pl?gene=CXCR3","GeneCards")</f>
        <v>GeneCards</v>
      </c>
      <c r="D5459" s="1" t="str">
        <f>HYPERLINK("http://genome-euro.ucsc.edu/cgi-bin/hgTracks?position=207681_at","UCSC")</f>
        <v>UCSC</v>
      </c>
      <c r="E5459" s="1" t="str">
        <f>HYPERLINK("http://www.ncbi.nlm.nih.gov/gene/?term=CXCR3","NCBI")</f>
        <v>NCBI</v>
      </c>
      <c r="F5459">
        <v>5.2999999999999999E-2</v>
      </c>
      <c r="G5459">
        <v>0.17</v>
      </c>
      <c r="H5459" s="1" t="str">
        <f>HYPERLINK("http://www.weizmann.ac.il/complex/compphys/software/geview/data/figures/207681_at.png","Figure")</f>
        <v>Figure</v>
      </c>
      <c r="I5459">
        <v>1.2</v>
      </c>
      <c r="J5459">
        <v>9.7000000000000003E-2</v>
      </c>
      <c r="K5459">
        <v>0.99</v>
      </c>
      <c r="L5459">
        <v>0.99</v>
      </c>
      <c r="M5459">
        <v>0.82199999999999995</v>
      </c>
      <c r="N5459">
        <v>5.8000000000000003E-2</v>
      </c>
    </row>
    <row r="5460" spans="1:14" x14ac:dyDescent="0.25">
      <c r="A5460" t="s">
        <v>9853</v>
      </c>
      <c r="B5460" t="s">
        <v>2646</v>
      </c>
      <c r="C5460" s="1" t="str">
        <f>HYPERLINK("http://www.genecards.org/cgi-bin/carddisp.pl?gene=TCF3","GeneCards")</f>
        <v>GeneCards</v>
      </c>
      <c r="D5460" s="1" t="str">
        <f>HYPERLINK("http://genome-euro.ucsc.edu/cgi-bin/hgTracks?position=210776_x_at","UCSC")</f>
        <v>UCSC</v>
      </c>
      <c r="E5460" s="1" t="str">
        <f>HYPERLINK("http://www.ncbi.nlm.nih.gov/gene/?term=TCF3","NCBI")</f>
        <v>NCBI</v>
      </c>
      <c r="F5460">
        <v>5.2999999999999999E-2</v>
      </c>
      <c r="G5460">
        <v>0.17</v>
      </c>
      <c r="H5460" s="1" t="str">
        <f>HYPERLINK("http://www.weizmann.ac.il/complex/compphys/software/geview/data/figures/210776_x_at.png","Figure")</f>
        <v>Figure</v>
      </c>
      <c r="I5460">
        <v>1.43</v>
      </c>
      <c r="J5460">
        <v>4.3999999999999997E-2</v>
      </c>
      <c r="K5460">
        <v>1.1499999999999999</v>
      </c>
      <c r="L5460">
        <v>0.48</v>
      </c>
      <c r="M5460">
        <v>0.80200000000000005</v>
      </c>
      <c r="N5460">
        <v>0.21</v>
      </c>
    </row>
    <row r="5461" spans="1:14" x14ac:dyDescent="0.25">
      <c r="A5461" t="s">
        <v>9854</v>
      </c>
      <c r="B5461" t="s">
        <v>9855</v>
      </c>
      <c r="C5461" s="1" t="str">
        <f>HYPERLINK("http://www.genecards.org/cgi-bin/carddisp.pl?gene=PEX7","GeneCards")</f>
        <v>GeneCards</v>
      </c>
      <c r="D5461" s="1" t="str">
        <f>HYPERLINK("http://genome-euro.ucsc.edu/cgi-bin/hgTracks?position=211033_s_at","UCSC")</f>
        <v>UCSC</v>
      </c>
      <c r="E5461" s="1" t="str">
        <f>HYPERLINK("http://www.ncbi.nlm.nih.gov/gene/?term=PEX7","NCBI")</f>
        <v>NCBI</v>
      </c>
      <c r="F5461">
        <v>5.2999999999999999E-2</v>
      </c>
      <c r="G5461">
        <v>0.17</v>
      </c>
      <c r="H5461" s="1" t="str">
        <f>HYPERLINK("http://www.weizmann.ac.il/complex/compphys/software/geview/data/figures/211033_s_at.png","Figure")</f>
        <v>Figure</v>
      </c>
      <c r="I5461">
        <v>0.81799999999999995</v>
      </c>
      <c r="J5461">
        <v>4.8000000000000001E-2</v>
      </c>
      <c r="K5461">
        <v>0.94499999999999995</v>
      </c>
      <c r="L5461">
        <v>0.68</v>
      </c>
      <c r="M5461">
        <v>1.1599999999999999</v>
      </c>
      <c r="N5461">
        <v>0.14000000000000001</v>
      </c>
    </row>
    <row r="5462" spans="1:14" x14ac:dyDescent="0.25">
      <c r="A5462" t="s">
        <v>9856</v>
      </c>
      <c r="B5462" t="s">
        <v>9857</v>
      </c>
      <c r="C5462" s="1" t="str">
        <f>HYPERLINK("http://www.genecards.org/cgi-bin/carddisp.pl?gene=MYD88","GeneCards")</f>
        <v>GeneCards</v>
      </c>
      <c r="D5462" s="1" t="str">
        <f>HYPERLINK("http://genome-euro.ucsc.edu/cgi-bin/hgTracks?position=209124_at","UCSC")</f>
        <v>UCSC</v>
      </c>
      <c r="E5462" s="1" t="str">
        <f>HYPERLINK("http://www.ncbi.nlm.nih.gov/gene/?term=MYD88","NCBI")</f>
        <v>NCBI</v>
      </c>
      <c r="F5462">
        <v>5.2999999999999999E-2</v>
      </c>
      <c r="G5462">
        <v>0.17</v>
      </c>
      <c r="H5462" s="1" t="str">
        <f>HYPERLINK("http://www.weizmann.ac.il/complex/compphys/software/geview/data/figures/209124_at.png","Figure")</f>
        <v>Figure</v>
      </c>
      <c r="I5462">
        <v>1.04</v>
      </c>
      <c r="J5462">
        <v>0.95</v>
      </c>
      <c r="K5462">
        <v>1.33</v>
      </c>
      <c r="L5462">
        <v>6.6000000000000003E-2</v>
      </c>
      <c r="M5462">
        <v>1.28</v>
      </c>
      <c r="N5462">
        <v>0.15</v>
      </c>
    </row>
    <row r="5463" spans="1:14" x14ac:dyDescent="0.25">
      <c r="A5463" t="s">
        <v>9858</v>
      </c>
      <c r="B5463" t="s">
        <v>9859</v>
      </c>
      <c r="C5463" s="1" t="str">
        <f>HYPERLINK("http://www.genecards.org/cgi-bin/carddisp.pl?gene=RNF24","GeneCards")</f>
        <v>GeneCards</v>
      </c>
      <c r="D5463" s="1" t="str">
        <f>HYPERLINK("http://genome-euro.ucsc.edu/cgi-bin/hgTracks?position=204669_s_at","UCSC")</f>
        <v>UCSC</v>
      </c>
      <c r="E5463" s="1" t="str">
        <f>HYPERLINK("http://www.ncbi.nlm.nih.gov/gene/?term=RNF24","NCBI")</f>
        <v>NCBI</v>
      </c>
      <c r="F5463">
        <v>5.2999999999999999E-2</v>
      </c>
      <c r="G5463">
        <v>0.17</v>
      </c>
      <c r="H5463" s="1" t="str">
        <f>HYPERLINK("http://www.weizmann.ac.il/complex/compphys/software/geview/data/figures/204669_s_at.png","Figure")</f>
        <v>Figure</v>
      </c>
      <c r="I5463">
        <v>1.02</v>
      </c>
      <c r="J5463">
        <v>0.99</v>
      </c>
      <c r="K5463">
        <v>1.34</v>
      </c>
      <c r="L5463">
        <v>7.5999999999999998E-2</v>
      </c>
      <c r="M5463">
        <v>1.31</v>
      </c>
      <c r="N5463">
        <v>0.13</v>
      </c>
    </row>
    <row r="5464" spans="1:14" x14ac:dyDescent="0.25">
      <c r="A5464" t="s">
        <v>9860</v>
      </c>
      <c r="B5464" t="s">
        <v>9861</v>
      </c>
      <c r="C5464" s="1" t="str">
        <f>HYPERLINK("http://www.genecards.org/cgi-bin/carddisp.pl?gene=GABPA","GeneCards")</f>
        <v>GeneCards</v>
      </c>
      <c r="D5464" s="1" t="str">
        <f>HYPERLINK("http://genome-euro.ucsc.edu/cgi-bin/hgTracks?position=210188_at","UCSC")</f>
        <v>UCSC</v>
      </c>
      <c r="E5464" s="1" t="str">
        <f>HYPERLINK("http://www.ncbi.nlm.nih.gov/gene/?term=GABPA","NCBI")</f>
        <v>NCBI</v>
      </c>
      <c r="F5464">
        <v>5.2999999999999999E-2</v>
      </c>
      <c r="G5464">
        <v>0.17</v>
      </c>
      <c r="H5464" s="1" t="str">
        <f>HYPERLINK("http://www.weizmann.ac.il/complex/compphys/software/geview/data/figures/210188_at.png","Figure")</f>
        <v>Figure</v>
      </c>
      <c r="I5464">
        <v>0.81499999999999995</v>
      </c>
      <c r="J5464">
        <v>0.64</v>
      </c>
      <c r="K5464">
        <v>0.59199999999999997</v>
      </c>
      <c r="L5464">
        <v>4.7E-2</v>
      </c>
      <c r="M5464">
        <v>0.72599999999999998</v>
      </c>
      <c r="N5464">
        <v>0.31</v>
      </c>
    </row>
    <row r="5465" spans="1:14" x14ac:dyDescent="0.25">
      <c r="A5465" t="s">
        <v>9862</v>
      </c>
      <c r="B5465" t="s">
        <v>9863</v>
      </c>
      <c r="C5465" s="1" t="str">
        <f>HYPERLINK("http://www.genecards.org/cgi-bin/carddisp.pl?gene=LYVE1","GeneCards")</f>
        <v>GeneCards</v>
      </c>
      <c r="D5465" s="1" t="str">
        <f>HYPERLINK("http://genome-euro.ucsc.edu/cgi-bin/hgTracks?position=219059_s_at","UCSC")</f>
        <v>UCSC</v>
      </c>
      <c r="E5465" s="1" t="str">
        <f>HYPERLINK("http://www.ncbi.nlm.nih.gov/gene/?term=LYVE1","NCBI")</f>
        <v>NCBI</v>
      </c>
      <c r="F5465">
        <v>5.2999999999999999E-2</v>
      </c>
      <c r="G5465">
        <v>0.17</v>
      </c>
      <c r="H5465" s="1" t="str">
        <f>HYPERLINK("http://www.weizmann.ac.il/complex/compphys/software/geview/data/figures/219059_s_at.png","Figure")</f>
        <v>Figure</v>
      </c>
      <c r="I5465">
        <v>1.1599999999999999</v>
      </c>
      <c r="J5465">
        <v>0.2</v>
      </c>
      <c r="K5465">
        <v>0.94699999999999995</v>
      </c>
      <c r="L5465">
        <v>0.72</v>
      </c>
      <c r="M5465">
        <v>0.82</v>
      </c>
      <c r="N5465">
        <v>4.3999999999999997E-2</v>
      </c>
    </row>
    <row r="5466" spans="1:14" x14ac:dyDescent="0.25">
      <c r="A5466" t="s">
        <v>9864</v>
      </c>
      <c r="B5466" t="s">
        <v>2789</v>
      </c>
      <c r="C5466" s="1" t="str">
        <f>HYPERLINK("http://www.genecards.org/cgi-bin/carddisp.pl?gene=NEBL","GeneCards")</f>
        <v>GeneCards</v>
      </c>
      <c r="D5466" s="1" t="str">
        <f>HYPERLINK("http://genome-euro.ucsc.edu/cgi-bin/hgTracks?position=207279_s_at","UCSC")</f>
        <v>UCSC</v>
      </c>
      <c r="E5466" s="1" t="str">
        <f>HYPERLINK("http://www.ncbi.nlm.nih.gov/gene/?term=NEBL","NCBI")</f>
        <v>NCBI</v>
      </c>
      <c r="F5466">
        <v>5.2999999999999999E-2</v>
      </c>
      <c r="G5466">
        <v>0.17</v>
      </c>
      <c r="H5466" s="1" t="str">
        <f>HYPERLINK("http://www.weizmann.ac.il/complex/compphys/software/geview/data/figures/207279_s_at.png","Figure")</f>
        <v>Figure</v>
      </c>
      <c r="I5466">
        <v>1.1399999999999999</v>
      </c>
      <c r="J5466">
        <v>4.9000000000000002E-2</v>
      </c>
      <c r="K5466">
        <v>1.04</v>
      </c>
      <c r="L5466">
        <v>0.69</v>
      </c>
      <c r="M5466">
        <v>0.91</v>
      </c>
      <c r="N5466">
        <v>0.14000000000000001</v>
      </c>
    </row>
    <row r="5467" spans="1:14" x14ac:dyDescent="0.25">
      <c r="A5467" t="s">
        <v>9865</v>
      </c>
      <c r="B5467" t="s">
        <v>9866</v>
      </c>
      <c r="C5467" s="1" t="str">
        <f>HYPERLINK("http://www.genecards.org/cgi-bin/carddisp.pl?gene=MDK","GeneCards")</f>
        <v>GeneCards</v>
      </c>
      <c r="D5467" s="1" t="str">
        <f>HYPERLINK("http://genome-euro.ucsc.edu/cgi-bin/hgTracks?position=209035_at","UCSC")</f>
        <v>UCSC</v>
      </c>
      <c r="E5467" s="1" t="str">
        <f>HYPERLINK("http://www.ncbi.nlm.nih.gov/gene/?term=MDK","NCBI")</f>
        <v>NCBI</v>
      </c>
      <c r="F5467">
        <v>5.2999999999999999E-2</v>
      </c>
      <c r="G5467">
        <v>0.17</v>
      </c>
      <c r="H5467" s="1" t="str">
        <f>HYPERLINK("http://www.weizmann.ac.il/complex/compphys/software/geview/data/figures/209035_at.png","Figure")</f>
        <v>Figure</v>
      </c>
      <c r="I5467">
        <v>1.61</v>
      </c>
      <c r="J5467">
        <v>0.15</v>
      </c>
      <c r="K5467">
        <v>0.88800000000000001</v>
      </c>
      <c r="L5467">
        <v>0.84</v>
      </c>
      <c r="M5467">
        <v>0.55000000000000004</v>
      </c>
      <c r="N5467">
        <v>4.7E-2</v>
      </c>
    </row>
    <row r="5468" spans="1:14" x14ac:dyDescent="0.25">
      <c r="A5468" t="s">
        <v>9867</v>
      </c>
      <c r="B5468" t="s">
        <v>9868</v>
      </c>
      <c r="C5468" s="1" t="str">
        <f>HYPERLINK("http://www.genecards.org/cgi-bin/carddisp.pl?gene=ZYX","GeneCards")</f>
        <v>GeneCards</v>
      </c>
      <c r="D5468" s="1" t="str">
        <f>HYPERLINK("http://genome-euro.ucsc.edu/cgi-bin/hgTracks?position=200808_s_at","UCSC")</f>
        <v>UCSC</v>
      </c>
      <c r="E5468" s="1" t="str">
        <f>HYPERLINK("http://www.ncbi.nlm.nih.gov/gene/?term=ZYX","NCBI")</f>
        <v>NCBI</v>
      </c>
      <c r="F5468">
        <v>5.3999999999999999E-2</v>
      </c>
      <c r="G5468">
        <v>0.17</v>
      </c>
      <c r="H5468" s="1" t="str">
        <f>HYPERLINK("http://www.weizmann.ac.il/complex/compphys/software/geview/data/figures/200808_s_at.png","Figure")</f>
        <v>Figure</v>
      </c>
      <c r="I5468">
        <v>0.71299999999999997</v>
      </c>
      <c r="J5468">
        <v>0.12</v>
      </c>
      <c r="K5468">
        <v>1.05</v>
      </c>
      <c r="L5468">
        <v>0.92</v>
      </c>
      <c r="M5468">
        <v>1.48</v>
      </c>
      <c r="N5468">
        <v>5.0999999999999997E-2</v>
      </c>
    </row>
    <row r="5469" spans="1:14" x14ac:dyDescent="0.25">
      <c r="A5469" t="s">
        <v>9869</v>
      </c>
      <c r="B5469" t="s">
        <v>7551</v>
      </c>
      <c r="C5469" s="1" t="str">
        <f>HYPERLINK("http://www.genecards.org/cgi-bin/carddisp.pl?gene=DNAJC16","GeneCards")</f>
        <v>GeneCards</v>
      </c>
      <c r="D5469" s="1" t="str">
        <f>HYPERLINK("http://genome-euro.ucsc.edu/cgi-bin/hgTracks?position=217358_at","UCSC")</f>
        <v>UCSC</v>
      </c>
      <c r="E5469" s="1" t="str">
        <f>HYPERLINK("http://www.ncbi.nlm.nih.gov/gene/?term=DNAJC16","NCBI")</f>
        <v>NCBI</v>
      </c>
      <c r="F5469">
        <v>5.3999999999999999E-2</v>
      </c>
      <c r="G5469">
        <v>0.17</v>
      </c>
      <c r="H5469" s="1" t="str">
        <f>HYPERLINK("http://www.weizmann.ac.il/complex/compphys/software/geview/data/figures/217358_at.png","Figure")</f>
        <v>Figure</v>
      </c>
      <c r="I5469">
        <v>1.3</v>
      </c>
      <c r="J5469">
        <v>4.3999999999999997E-2</v>
      </c>
      <c r="K5469">
        <v>1.1299999999999999</v>
      </c>
      <c r="L5469">
        <v>0.32</v>
      </c>
      <c r="M5469">
        <v>0.874</v>
      </c>
      <c r="N5469">
        <v>0.32</v>
      </c>
    </row>
    <row r="5470" spans="1:14" x14ac:dyDescent="0.25">
      <c r="A5470" t="s">
        <v>9870</v>
      </c>
      <c r="B5470" t="s">
        <v>9871</v>
      </c>
      <c r="C5470" s="1" t="str">
        <f>HYPERLINK("http://www.genecards.org/cgi-bin/carddisp.pl?gene=ADAMTS1","GeneCards")</f>
        <v>GeneCards</v>
      </c>
      <c r="D5470" s="1" t="str">
        <f>HYPERLINK("http://genome-euro.ucsc.edu/cgi-bin/hgTracks?position=222162_s_at","UCSC")</f>
        <v>UCSC</v>
      </c>
      <c r="E5470" s="1" t="str">
        <f>HYPERLINK("http://www.ncbi.nlm.nih.gov/gene/?term=ADAMTS1","NCBI")</f>
        <v>NCBI</v>
      </c>
      <c r="F5470">
        <v>5.3999999999999999E-2</v>
      </c>
      <c r="G5470">
        <v>0.17</v>
      </c>
      <c r="H5470" s="1" t="str">
        <f>HYPERLINK("http://www.weizmann.ac.il/complex/compphys/software/geview/data/figures/222162_s_at.png","Figure")</f>
        <v>Figure</v>
      </c>
      <c r="I5470">
        <v>1.3</v>
      </c>
      <c r="J5470">
        <v>4.3999999999999997E-2</v>
      </c>
      <c r="K5470">
        <v>1.1100000000000001</v>
      </c>
      <c r="L5470">
        <v>0.46</v>
      </c>
      <c r="M5470">
        <v>0.85199999999999998</v>
      </c>
      <c r="N5470">
        <v>0.22</v>
      </c>
    </row>
    <row r="5471" spans="1:14" x14ac:dyDescent="0.25">
      <c r="A5471" t="s">
        <v>9872</v>
      </c>
      <c r="B5471" t="s">
        <v>9873</v>
      </c>
      <c r="C5471" s="1" t="str">
        <f>HYPERLINK("http://www.genecards.org/cgi-bin/carddisp.pl?gene=CTRB2","GeneCards")</f>
        <v>GeneCards</v>
      </c>
      <c r="D5471" s="1" t="str">
        <f>HYPERLINK("http://genome-euro.ucsc.edu/cgi-bin/hgTracks?position=214411_x_at","UCSC")</f>
        <v>UCSC</v>
      </c>
      <c r="E5471" s="1" t="str">
        <f>HYPERLINK("http://www.ncbi.nlm.nih.gov/gene/?term=CTRB2","NCBI")</f>
        <v>NCBI</v>
      </c>
      <c r="F5471">
        <v>5.3999999999999999E-2</v>
      </c>
      <c r="G5471">
        <v>0.17</v>
      </c>
      <c r="H5471" s="1" t="str">
        <f>HYPERLINK("http://www.weizmann.ac.il/complex/compphys/software/geview/data/figures/214411_x_at.png","Figure")</f>
        <v>Figure</v>
      </c>
      <c r="I5471">
        <v>1.18</v>
      </c>
      <c r="J5471">
        <v>4.9000000000000002E-2</v>
      </c>
      <c r="K5471">
        <v>1.05</v>
      </c>
      <c r="L5471">
        <v>0.68</v>
      </c>
      <c r="M5471">
        <v>0.88600000000000001</v>
      </c>
      <c r="N5471">
        <v>0.14000000000000001</v>
      </c>
    </row>
    <row r="5472" spans="1:14" x14ac:dyDescent="0.25">
      <c r="A5472" t="s">
        <v>9874</v>
      </c>
      <c r="B5472" t="s">
        <v>9875</v>
      </c>
      <c r="C5472" s="1" t="str">
        <f>HYPERLINK("http://www.genecards.org/cgi-bin/carddisp.pl?gene=IKBKG","GeneCards")</f>
        <v>GeneCards</v>
      </c>
      <c r="D5472" s="1" t="str">
        <f>HYPERLINK("http://genome-euro.ucsc.edu/cgi-bin/hgTracks?position=36004_at","UCSC")</f>
        <v>UCSC</v>
      </c>
      <c r="E5472" s="1" t="str">
        <f>HYPERLINK("http://www.ncbi.nlm.nih.gov/gene/?term=IKBKG","NCBI")</f>
        <v>NCBI</v>
      </c>
      <c r="F5472">
        <v>5.3999999999999999E-2</v>
      </c>
      <c r="G5472">
        <v>0.17</v>
      </c>
      <c r="H5472" s="1" t="str">
        <f>HYPERLINK("http://www.weizmann.ac.il/complex/compphys/software/geview/data/figures/36004_at.png","Figure")</f>
        <v>Figure</v>
      </c>
      <c r="I5472">
        <v>1.28</v>
      </c>
      <c r="J5472">
        <v>4.3999999999999997E-2</v>
      </c>
      <c r="K5472">
        <v>1.1299999999999999</v>
      </c>
      <c r="L5472">
        <v>0.31</v>
      </c>
      <c r="M5472">
        <v>0.88100000000000001</v>
      </c>
      <c r="N5472">
        <v>0.33</v>
      </c>
    </row>
    <row r="5473" spans="1:14" x14ac:dyDescent="0.25">
      <c r="A5473" t="s">
        <v>9876</v>
      </c>
      <c r="B5473" t="s">
        <v>9877</v>
      </c>
      <c r="C5473" s="1" t="str">
        <f>HYPERLINK("http://www.genecards.org/cgi-bin/carddisp.pl?gene=ZNF671","GeneCards")</f>
        <v>GeneCards</v>
      </c>
      <c r="D5473" s="1" t="str">
        <f>HYPERLINK("http://genome-euro.ucsc.edu/cgi-bin/hgTracks?position=219849_at","UCSC")</f>
        <v>UCSC</v>
      </c>
      <c r="E5473" s="1" t="str">
        <f>HYPERLINK("http://www.ncbi.nlm.nih.gov/gene/?term=ZNF671","NCBI")</f>
        <v>NCBI</v>
      </c>
      <c r="F5473">
        <v>5.3999999999999999E-2</v>
      </c>
      <c r="G5473">
        <v>0.17</v>
      </c>
      <c r="H5473" s="1" t="str">
        <f>HYPERLINK("http://www.weizmann.ac.il/complex/compphys/software/geview/data/figures/219849_at.png","Figure")</f>
        <v>Figure</v>
      </c>
      <c r="I5473">
        <v>1.17</v>
      </c>
      <c r="J5473">
        <v>0.28999999999999998</v>
      </c>
      <c r="K5473">
        <v>0.90600000000000003</v>
      </c>
      <c r="L5473">
        <v>0.52</v>
      </c>
      <c r="M5473">
        <v>0.77400000000000002</v>
      </c>
      <c r="N5473">
        <v>4.2999999999999997E-2</v>
      </c>
    </row>
    <row r="5474" spans="1:14" x14ac:dyDescent="0.25">
      <c r="A5474" t="s">
        <v>9878</v>
      </c>
      <c r="B5474" t="s">
        <v>9879</v>
      </c>
      <c r="C5474" s="1" t="str">
        <f>HYPERLINK("http://www.genecards.org/cgi-bin/carddisp.pl?gene=GNG10","GeneCards")</f>
        <v>GeneCards</v>
      </c>
      <c r="D5474" s="1" t="str">
        <f>HYPERLINK("http://genome-euro.ucsc.edu/cgi-bin/hgTracks?position=201921_at","UCSC")</f>
        <v>UCSC</v>
      </c>
      <c r="E5474" s="1" t="str">
        <f>HYPERLINK("http://www.ncbi.nlm.nih.gov/gene/?term=GNG10","NCBI")</f>
        <v>NCBI</v>
      </c>
      <c r="F5474">
        <v>5.3999999999999999E-2</v>
      </c>
      <c r="G5474">
        <v>0.17</v>
      </c>
      <c r="H5474" s="1" t="str">
        <f>HYPERLINK("http://www.weizmann.ac.il/complex/compphys/software/geview/data/figures/201921_at.png","Figure")</f>
        <v>Figure</v>
      </c>
      <c r="I5474">
        <v>0.47499999999999998</v>
      </c>
      <c r="J5474">
        <v>5.0999999999999997E-2</v>
      </c>
      <c r="K5474">
        <v>0.83399999999999996</v>
      </c>
      <c r="L5474">
        <v>0.75</v>
      </c>
      <c r="M5474">
        <v>1.75</v>
      </c>
      <c r="N5474">
        <v>0.12</v>
      </c>
    </row>
    <row r="5475" spans="1:14" x14ac:dyDescent="0.25">
      <c r="A5475" t="s">
        <v>9880</v>
      </c>
      <c r="B5475" t="s">
        <v>2244</v>
      </c>
      <c r="C5475" s="1" t="str">
        <f>HYPERLINK("http://www.genecards.org/cgi-bin/carddisp.pl?gene=COX5B","GeneCards")</f>
        <v>GeneCards</v>
      </c>
      <c r="D5475" s="1" t="str">
        <f>HYPERLINK("http://genome-euro.ucsc.edu/cgi-bin/hgTracks?position=202343_x_at","UCSC")</f>
        <v>UCSC</v>
      </c>
      <c r="E5475" s="1" t="str">
        <f>HYPERLINK("http://www.ncbi.nlm.nih.gov/gene/?term=COX5B","NCBI")</f>
        <v>NCBI</v>
      </c>
      <c r="F5475">
        <v>5.3999999999999999E-2</v>
      </c>
      <c r="G5475">
        <v>0.17</v>
      </c>
      <c r="H5475" s="1" t="str">
        <f>HYPERLINK("http://www.weizmann.ac.il/complex/compphys/software/geview/data/figures/202343_x_at.png","Figure")</f>
        <v>Figure</v>
      </c>
      <c r="I5475">
        <v>1.43</v>
      </c>
      <c r="J5475">
        <v>0.16</v>
      </c>
      <c r="K5475">
        <v>1.52</v>
      </c>
      <c r="L5475">
        <v>5.1999999999999998E-2</v>
      </c>
      <c r="M5475">
        <v>1.06</v>
      </c>
      <c r="N5475">
        <v>0.93</v>
      </c>
    </row>
    <row r="5476" spans="1:14" x14ac:dyDescent="0.25">
      <c r="A5476" t="s">
        <v>9881</v>
      </c>
      <c r="B5476" t="s">
        <v>9882</v>
      </c>
      <c r="C5476" s="1" t="str">
        <f>HYPERLINK("http://www.genecards.org/cgi-bin/carddisp.pl?gene=ADRBK1","GeneCards")</f>
        <v>GeneCards</v>
      </c>
      <c r="D5476" s="1" t="str">
        <f>HYPERLINK("http://genome-euro.ucsc.edu/cgi-bin/hgTracks?position=38447_at","UCSC")</f>
        <v>UCSC</v>
      </c>
      <c r="E5476" s="1" t="str">
        <f>HYPERLINK("http://www.ncbi.nlm.nih.gov/gene/?term=ADRBK1","NCBI")</f>
        <v>NCBI</v>
      </c>
      <c r="F5476">
        <v>5.3999999999999999E-2</v>
      </c>
      <c r="G5476">
        <v>0.17</v>
      </c>
      <c r="H5476" s="1" t="str">
        <f>HYPERLINK("http://www.weizmann.ac.il/complex/compphys/software/geview/data/figures/38447_at.png","Figure")</f>
        <v>Figure</v>
      </c>
      <c r="I5476">
        <v>1.41</v>
      </c>
      <c r="J5476">
        <v>4.3999999999999997E-2</v>
      </c>
      <c r="K5476">
        <v>1.1499999999999999</v>
      </c>
      <c r="L5476">
        <v>0.42</v>
      </c>
      <c r="M5476">
        <v>0.81699999999999995</v>
      </c>
      <c r="N5476">
        <v>0.24</v>
      </c>
    </row>
    <row r="5477" spans="1:14" x14ac:dyDescent="0.25">
      <c r="A5477" t="s">
        <v>9883</v>
      </c>
      <c r="B5477" t="s">
        <v>9884</v>
      </c>
      <c r="C5477" s="1" t="str">
        <f>HYPERLINK("http://www.genecards.org/cgi-bin/carddisp.pl?gene=PKP4","GeneCards")</f>
        <v>GeneCards</v>
      </c>
      <c r="D5477" s="1" t="str">
        <f>HYPERLINK("http://genome-euro.ucsc.edu/cgi-bin/hgTracks?position=201929_s_at","UCSC")</f>
        <v>UCSC</v>
      </c>
      <c r="E5477" s="1" t="str">
        <f>HYPERLINK("http://www.ncbi.nlm.nih.gov/gene/?term=PKP4","NCBI")</f>
        <v>NCBI</v>
      </c>
      <c r="F5477">
        <v>5.3999999999999999E-2</v>
      </c>
      <c r="G5477">
        <v>0.17</v>
      </c>
      <c r="H5477" s="1" t="str">
        <f>HYPERLINK("http://www.weizmann.ac.il/complex/compphys/software/geview/data/figures/201929_s_at.png","Figure")</f>
        <v>Figure</v>
      </c>
      <c r="I5477">
        <v>0.98299999999999998</v>
      </c>
      <c r="J5477">
        <v>8.5000000000000006E-2</v>
      </c>
      <c r="K5477">
        <v>1</v>
      </c>
      <c r="L5477">
        <v>1</v>
      </c>
      <c r="M5477">
        <v>1.02</v>
      </c>
      <c r="N5477">
        <v>6.4000000000000001E-2</v>
      </c>
    </row>
    <row r="5478" spans="1:14" x14ac:dyDescent="0.25">
      <c r="A5478" t="s">
        <v>9885</v>
      </c>
      <c r="B5478" t="s">
        <v>9886</v>
      </c>
      <c r="C5478" s="1" t="str">
        <f>HYPERLINK("http://www.genecards.org/cgi-bin/carddisp.pl?gene=SLC5A7","GeneCards")</f>
        <v>GeneCards</v>
      </c>
      <c r="D5478" s="1" t="str">
        <f>HYPERLINK("http://genome-euro.ucsc.edu/cgi-bin/hgTracks?position=220722_s_at","UCSC")</f>
        <v>UCSC</v>
      </c>
      <c r="E5478" s="1" t="str">
        <f>HYPERLINK("http://www.ncbi.nlm.nih.gov/gene/?term=SLC5A7","NCBI")</f>
        <v>NCBI</v>
      </c>
      <c r="F5478">
        <v>5.3999999999999999E-2</v>
      </c>
      <c r="G5478">
        <v>0.17</v>
      </c>
      <c r="H5478" s="1" t="str">
        <f>HYPERLINK("http://www.weizmann.ac.il/complex/compphys/software/geview/data/figures/220722_s_at.png","Figure")</f>
        <v>Figure</v>
      </c>
      <c r="I5478">
        <v>1.03</v>
      </c>
      <c r="J5478">
        <v>0.73</v>
      </c>
      <c r="K5478">
        <v>0.93799999999999994</v>
      </c>
      <c r="L5478">
        <v>0.19</v>
      </c>
      <c r="M5478">
        <v>0.91100000000000003</v>
      </c>
      <c r="N5478">
        <v>5.8999999999999997E-2</v>
      </c>
    </row>
    <row r="5479" spans="1:14" x14ac:dyDescent="0.25">
      <c r="A5479" t="s">
        <v>9887</v>
      </c>
      <c r="B5479" t="s">
        <v>6638</v>
      </c>
      <c r="C5479" s="1" t="str">
        <f>HYPERLINK("http://www.genecards.org/cgi-bin/carddisp.pl?gene=MUC1","GeneCards")</f>
        <v>GeneCards</v>
      </c>
      <c r="D5479" s="1" t="str">
        <f>HYPERLINK("http://genome-euro.ucsc.edu/cgi-bin/hgTracks?position=207847_s_at","UCSC")</f>
        <v>UCSC</v>
      </c>
      <c r="E5479" s="1" t="str">
        <f>HYPERLINK("http://www.ncbi.nlm.nih.gov/gene/?term=MUC1","NCBI")</f>
        <v>NCBI</v>
      </c>
      <c r="F5479">
        <v>5.3999999999999999E-2</v>
      </c>
      <c r="G5479">
        <v>0.17</v>
      </c>
      <c r="H5479" s="1" t="str">
        <f>HYPERLINK("http://www.weizmann.ac.il/complex/compphys/software/geview/data/figures/207847_s_at.png","Figure")</f>
        <v>Figure</v>
      </c>
      <c r="I5479">
        <v>1.1299999999999999</v>
      </c>
      <c r="J5479">
        <v>0.37</v>
      </c>
      <c r="K5479">
        <v>0.90700000000000003</v>
      </c>
      <c r="L5479">
        <v>0.42</v>
      </c>
      <c r="M5479">
        <v>0.80400000000000005</v>
      </c>
      <c r="N5479">
        <v>4.4999999999999998E-2</v>
      </c>
    </row>
    <row r="5480" spans="1:14" x14ac:dyDescent="0.25">
      <c r="A5480" t="s">
        <v>9888</v>
      </c>
      <c r="B5480" t="s">
        <v>9889</v>
      </c>
      <c r="C5480" s="1" t="str">
        <f>HYPERLINK("http://www.genecards.org/cgi-bin/carddisp.pl?gene=KRT2","GeneCards")</f>
        <v>GeneCards</v>
      </c>
      <c r="D5480" s="1" t="str">
        <f>HYPERLINK("http://genome-euro.ucsc.edu/cgi-bin/hgTracks?position=207908_at","UCSC")</f>
        <v>UCSC</v>
      </c>
      <c r="E5480" s="1" t="str">
        <f>HYPERLINK("http://www.ncbi.nlm.nih.gov/gene/?term=KRT2","NCBI")</f>
        <v>NCBI</v>
      </c>
      <c r="F5480">
        <v>5.3999999999999999E-2</v>
      </c>
      <c r="G5480">
        <v>0.17</v>
      </c>
      <c r="H5480" s="1" t="str">
        <f>HYPERLINK("http://www.weizmann.ac.il/complex/compphys/software/geview/data/figures/207908_at.png","Figure")</f>
        <v>Figure</v>
      </c>
      <c r="I5480">
        <v>1.0900000000000001</v>
      </c>
      <c r="J5480">
        <v>0.55000000000000004</v>
      </c>
      <c r="K5480">
        <v>0.89400000000000002</v>
      </c>
      <c r="L5480">
        <v>0.28000000000000003</v>
      </c>
      <c r="M5480">
        <v>0.82099999999999995</v>
      </c>
      <c r="N5480">
        <v>0.05</v>
      </c>
    </row>
    <row r="5481" spans="1:14" x14ac:dyDescent="0.25">
      <c r="A5481" t="s">
        <v>9890</v>
      </c>
      <c r="B5481" t="s">
        <v>9891</v>
      </c>
      <c r="C5481" s="1" t="str">
        <f>HYPERLINK("http://www.genecards.org/cgi-bin/carddisp.pl?gene=TBC1D30","GeneCards")</f>
        <v>GeneCards</v>
      </c>
      <c r="D5481" s="1" t="str">
        <f>HYPERLINK("http://genome-euro.ucsc.edu/cgi-bin/hgTracks?position=213912_at","UCSC")</f>
        <v>UCSC</v>
      </c>
      <c r="E5481" s="1" t="str">
        <f>HYPERLINK("http://www.ncbi.nlm.nih.gov/gene/?term=TBC1D30","NCBI")</f>
        <v>NCBI</v>
      </c>
      <c r="F5481">
        <v>5.3999999999999999E-2</v>
      </c>
      <c r="G5481">
        <v>0.17</v>
      </c>
      <c r="H5481" s="1" t="str">
        <f>HYPERLINK("http://www.weizmann.ac.il/complex/compphys/software/geview/data/figures/213912_at.png","Figure")</f>
        <v>Figure</v>
      </c>
      <c r="I5481">
        <v>1.1000000000000001</v>
      </c>
      <c r="J5481">
        <v>4.5999999999999999E-2</v>
      </c>
      <c r="K5481">
        <v>1.05</v>
      </c>
      <c r="L5481">
        <v>0.23</v>
      </c>
      <c r="M5481">
        <v>0.96099999999999997</v>
      </c>
      <c r="N5481">
        <v>0.45</v>
      </c>
    </row>
    <row r="5482" spans="1:14" x14ac:dyDescent="0.25">
      <c r="A5482" t="s">
        <v>9892</v>
      </c>
      <c r="B5482" t="s">
        <v>5525</v>
      </c>
      <c r="C5482" s="1" t="str">
        <f>HYPERLINK("http://www.genecards.org/cgi-bin/carddisp.pl?gene=MTO1","GeneCards")</f>
        <v>GeneCards</v>
      </c>
      <c r="D5482" s="1" t="str">
        <f>HYPERLINK("http://genome-euro.ucsc.edu/cgi-bin/hgTracks?position=218716_x_at","UCSC")</f>
        <v>UCSC</v>
      </c>
      <c r="E5482" s="1" t="str">
        <f>HYPERLINK("http://www.ncbi.nlm.nih.gov/gene/?term=MTO1","NCBI")</f>
        <v>NCBI</v>
      </c>
      <c r="F5482">
        <v>5.3999999999999999E-2</v>
      </c>
      <c r="G5482">
        <v>0.17</v>
      </c>
      <c r="H5482" s="1" t="str">
        <f>HYPERLINK("http://www.weizmann.ac.il/complex/compphys/software/geview/data/figures/218716_x_at.png","Figure")</f>
        <v>Figure</v>
      </c>
      <c r="I5482">
        <v>0.67</v>
      </c>
      <c r="J5482">
        <v>0.21</v>
      </c>
      <c r="K5482">
        <v>1.18</v>
      </c>
      <c r="L5482">
        <v>0.69</v>
      </c>
      <c r="M5482">
        <v>1.75</v>
      </c>
      <c r="N5482">
        <v>4.3999999999999997E-2</v>
      </c>
    </row>
    <row r="5483" spans="1:14" x14ac:dyDescent="0.25">
      <c r="A5483" t="s">
        <v>9893</v>
      </c>
      <c r="B5483" t="s">
        <v>9894</v>
      </c>
      <c r="C5483" s="1" t="str">
        <f>HYPERLINK("http://www.genecards.org/cgi-bin/carddisp.pl?gene=MED13","GeneCards")</f>
        <v>GeneCards</v>
      </c>
      <c r="D5483" s="1" t="str">
        <f>HYPERLINK("http://genome-euro.ucsc.edu/cgi-bin/hgTracks?position=201987_at","UCSC")</f>
        <v>UCSC</v>
      </c>
      <c r="E5483" s="1" t="str">
        <f>HYPERLINK("http://www.ncbi.nlm.nih.gov/gene/?term=MED13","NCBI")</f>
        <v>NCBI</v>
      </c>
      <c r="F5483">
        <v>5.3999999999999999E-2</v>
      </c>
      <c r="G5483">
        <v>0.17</v>
      </c>
      <c r="H5483" s="1" t="str">
        <f>HYPERLINK("http://www.weizmann.ac.il/complex/compphys/software/geview/data/figures/201987_at.png","Figure")</f>
        <v>Figure</v>
      </c>
      <c r="I5483">
        <v>0.58299999999999996</v>
      </c>
      <c r="J5483">
        <v>0.17</v>
      </c>
      <c r="K5483">
        <v>1.17</v>
      </c>
      <c r="L5483">
        <v>0.8</v>
      </c>
      <c r="M5483">
        <v>2</v>
      </c>
      <c r="N5483">
        <v>4.7E-2</v>
      </c>
    </row>
    <row r="5484" spans="1:14" x14ac:dyDescent="0.25">
      <c r="A5484" t="s">
        <v>9895</v>
      </c>
      <c r="B5484" t="s">
        <v>9896</v>
      </c>
      <c r="C5484" s="1" t="str">
        <f>HYPERLINK("http://www.genecards.org/cgi-bin/carddisp.pl?gene=TOR1AIP1","GeneCards")</f>
        <v>GeneCards</v>
      </c>
      <c r="D5484" s="1" t="str">
        <f>HYPERLINK("http://genome-euro.ucsc.edu/cgi-bin/hgTracks?position=212408_at","UCSC")</f>
        <v>UCSC</v>
      </c>
      <c r="E5484" s="1" t="str">
        <f>HYPERLINK("http://www.ncbi.nlm.nih.gov/gene/?term=TOR1AIP1","NCBI")</f>
        <v>NCBI</v>
      </c>
      <c r="F5484">
        <v>5.3999999999999999E-2</v>
      </c>
      <c r="G5484">
        <v>0.17</v>
      </c>
      <c r="H5484" s="1" t="str">
        <f>HYPERLINK("http://www.weizmann.ac.il/complex/compphys/software/geview/data/figures/212408_at.png","Figure")</f>
        <v>Figure</v>
      </c>
      <c r="I5484">
        <v>0.68600000000000005</v>
      </c>
      <c r="J5484">
        <v>5.7000000000000002E-2</v>
      </c>
      <c r="K5484">
        <v>0.93200000000000005</v>
      </c>
      <c r="L5484">
        <v>0.85</v>
      </c>
      <c r="M5484">
        <v>1.36</v>
      </c>
      <c r="N5484">
        <v>0.1</v>
      </c>
    </row>
    <row r="5485" spans="1:14" x14ac:dyDescent="0.25">
      <c r="A5485" t="s">
        <v>9897</v>
      </c>
      <c r="B5485" t="s">
        <v>9898</v>
      </c>
      <c r="C5485" s="1" t="str">
        <f>HYPERLINK("http://www.genecards.org/cgi-bin/carddisp.pl?gene=FAM179B","GeneCards")</f>
        <v>GeneCards</v>
      </c>
      <c r="D5485" s="1" t="str">
        <f>HYPERLINK("http://genome-euro.ucsc.edu/cgi-bin/hgTracks?position=213304_at","UCSC")</f>
        <v>UCSC</v>
      </c>
      <c r="E5485" s="1" t="str">
        <f>HYPERLINK("http://www.ncbi.nlm.nih.gov/gene/?term=FAM179B","NCBI")</f>
        <v>NCBI</v>
      </c>
      <c r="F5485">
        <v>5.3999999999999999E-2</v>
      </c>
      <c r="G5485">
        <v>0.17</v>
      </c>
      <c r="H5485" s="1" t="str">
        <f>HYPERLINK("http://www.weizmann.ac.il/complex/compphys/software/geview/data/figures/213304_at.png","Figure")</f>
        <v>Figure</v>
      </c>
      <c r="I5485">
        <v>0.45900000000000002</v>
      </c>
      <c r="J5485">
        <v>4.4999999999999998E-2</v>
      </c>
      <c r="K5485">
        <v>0.753</v>
      </c>
      <c r="L5485">
        <v>0.52</v>
      </c>
      <c r="M5485">
        <v>1.64</v>
      </c>
      <c r="N5485">
        <v>0.2</v>
      </c>
    </row>
    <row r="5486" spans="1:14" x14ac:dyDescent="0.25">
      <c r="A5486" t="s">
        <v>9899</v>
      </c>
      <c r="B5486" t="s">
        <v>4797</v>
      </c>
      <c r="C5486" s="1" t="str">
        <f>HYPERLINK("http://www.genecards.org/cgi-bin/carddisp.pl?gene=STOM","GeneCards")</f>
        <v>GeneCards</v>
      </c>
      <c r="D5486" s="1" t="str">
        <f>HYPERLINK("http://genome-euro.ucsc.edu/cgi-bin/hgTracks?position=201060_x_at","UCSC")</f>
        <v>UCSC</v>
      </c>
      <c r="E5486" s="1" t="str">
        <f>HYPERLINK("http://www.ncbi.nlm.nih.gov/gene/?term=STOM","NCBI")</f>
        <v>NCBI</v>
      </c>
      <c r="F5486">
        <v>5.3999999999999999E-2</v>
      </c>
      <c r="G5486">
        <v>0.17</v>
      </c>
      <c r="H5486" s="1" t="str">
        <f>HYPERLINK("http://www.weizmann.ac.il/complex/compphys/software/geview/data/figures/201060_x_at.png","Figure")</f>
        <v>Figure</v>
      </c>
      <c r="I5486">
        <v>1.1000000000000001</v>
      </c>
      <c r="J5486">
        <v>0.76</v>
      </c>
      <c r="K5486">
        <v>0.80700000000000005</v>
      </c>
      <c r="L5486">
        <v>0.18</v>
      </c>
      <c r="M5486">
        <v>0.73599999999999999</v>
      </c>
      <c r="N5486">
        <v>6.0999999999999999E-2</v>
      </c>
    </row>
    <row r="5487" spans="1:14" x14ac:dyDescent="0.25">
      <c r="A5487" t="s">
        <v>9900</v>
      </c>
      <c r="B5487" t="s">
        <v>9901</v>
      </c>
      <c r="C5487" s="1" t="str">
        <f>HYPERLINK("http://www.genecards.org/cgi-bin/carddisp.pl?gene=COX7A2","GeneCards")</f>
        <v>GeneCards</v>
      </c>
      <c r="D5487" s="1" t="str">
        <f>HYPERLINK("http://genome-euro.ucsc.edu/cgi-bin/hgTracks?position=201597_at","UCSC")</f>
        <v>UCSC</v>
      </c>
      <c r="E5487" s="1" t="str">
        <f>HYPERLINK("http://www.ncbi.nlm.nih.gov/gene/?term=COX7A2","NCBI")</f>
        <v>NCBI</v>
      </c>
      <c r="F5487">
        <v>5.3999999999999999E-2</v>
      </c>
      <c r="G5487">
        <v>0.17</v>
      </c>
      <c r="H5487" s="1" t="str">
        <f>HYPERLINK("http://www.weizmann.ac.il/complex/compphys/software/geview/data/figures/201597_at.png","Figure")</f>
        <v>Figure</v>
      </c>
      <c r="I5487">
        <v>0.70899999999999996</v>
      </c>
      <c r="J5487">
        <v>0.18</v>
      </c>
      <c r="K5487">
        <v>1.1200000000000001</v>
      </c>
      <c r="L5487">
        <v>0.76</v>
      </c>
      <c r="M5487">
        <v>1.58</v>
      </c>
      <c r="N5487">
        <v>4.5999999999999999E-2</v>
      </c>
    </row>
    <row r="5488" spans="1:14" x14ac:dyDescent="0.25">
      <c r="A5488" t="s">
        <v>9902</v>
      </c>
      <c r="B5488" t="s">
        <v>9903</v>
      </c>
      <c r="C5488" s="1" t="str">
        <f>HYPERLINK("http://www.genecards.org/cgi-bin/carddisp.pl?gene=ST5","GeneCards")</f>
        <v>GeneCards</v>
      </c>
      <c r="D5488" s="1" t="str">
        <f>HYPERLINK("http://genome-euro.ucsc.edu/cgi-bin/hgTracks?position=202440_s_at","UCSC")</f>
        <v>UCSC</v>
      </c>
      <c r="E5488" s="1" t="str">
        <f>HYPERLINK("http://www.ncbi.nlm.nih.gov/gene/?term=ST5","NCBI")</f>
        <v>NCBI</v>
      </c>
      <c r="F5488">
        <v>5.3999999999999999E-2</v>
      </c>
      <c r="G5488">
        <v>0.17</v>
      </c>
      <c r="H5488" s="1" t="str">
        <f>HYPERLINK("http://www.weizmann.ac.il/complex/compphys/software/geview/data/figures/202440_s_at.png","Figure")</f>
        <v>Figure</v>
      </c>
      <c r="I5488">
        <v>1.1299999999999999</v>
      </c>
      <c r="J5488">
        <v>4.5999999999999999E-2</v>
      </c>
      <c r="K5488">
        <v>1.04</v>
      </c>
      <c r="L5488">
        <v>0.57999999999999996</v>
      </c>
      <c r="M5488">
        <v>0.91900000000000004</v>
      </c>
      <c r="N5488">
        <v>0.17</v>
      </c>
    </row>
    <row r="5489" spans="1:14" x14ac:dyDescent="0.25">
      <c r="A5489" t="s">
        <v>9904</v>
      </c>
      <c r="B5489" t="s">
        <v>9905</v>
      </c>
      <c r="C5489" s="1" t="str">
        <f>HYPERLINK("http://www.genecards.org/cgi-bin/carddisp.pl?gene=CDX2","GeneCards")</f>
        <v>GeneCards</v>
      </c>
      <c r="D5489" s="1" t="str">
        <f>HYPERLINK("http://genome-euro.ucsc.edu/cgi-bin/hgTracks?position=206387_at","UCSC")</f>
        <v>UCSC</v>
      </c>
      <c r="E5489" s="1" t="str">
        <f>HYPERLINK("http://www.ncbi.nlm.nih.gov/gene/?term=CDX2","NCBI")</f>
        <v>NCBI</v>
      </c>
      <c r="F5489">
        <v>5.3999999999999999E-2</v>
      </c>
      <c r="G5489">
        <v>0.17</v>
      </c>
      <c r="H5489" s="1" t="str">
        <f>HYPERLINK("http://www.weizmann.ac.il/complex/compphys/software/geview/data/figures/206387_at.png","Figure")</f>
        <v>Figure</v>
      </c>
      <c r="I5489">
        <v>1.29</v>
      </c>
      <c r="J5489">
        <v>4.5999999999999999E-2</v>
      </c>
      <c r="K5489">
        <v>1.1499999999999999</v>
      </c>
      <c r="L5489">
        <v>0.25</v>
      </c>
      <c r="M5489">
        <v>0.89</v>
      </c>
      <c r="N5489">
        <v>0.42</v>
      </c>
    </row>
    <row r="5490" spans="1:14" x14ac:dyDescent="0.25">
      <c r="A5490" t="s">
        <v>9906</v>
      </c>
      <c r="B5490" t="s">
        <v>3964</v>
      </c>
      <c r="C5490" s="1" t="str">
        <f>HYPERLINK("http://www.genecards.org/cgi-bin/carddisp.pl?gene=TRIO","GeneCards")</f>
        <v>GeneCards</v>
      </c>
      <c r="D5490" s="1" t="str">
        <f>HYPERLINK("http://genome-euro.ucsc.edu/cgi-bin/hgTracks?position=209012_at","UCSC")</f>
        <v>UCSC</v>
      </c>
      <c r="E5490" s="1" t="str">
        <f>HYPERLINK("http://www.ncbi.nlm.nih.gov/gene/?term=TRIO","NCBI")</f>
        <v>NCBI</v>
      </c>
      <c r="F5490">
        <v>5.3999999999999999E-2</v>
      </c>
      <c r="G5490">
        <v>0.17</v>
      </c>
      <c r="H5490" s="1" t="str">
        <f>HYPERLINK("http://www.weizmann.ac.il/complex/compphys/software/geview/data/figures/209012_at.png","Figure")</f>
        <v>Figure</v>
      </c>
      <c r="I5490">
        <v>1.03</v>
      </c>
      <c r="J5490">
        <v>0.99</v>
      </c>
      <c r="K5490">
        <v>0.61899999999999999</v>
      </c>
      <c r="L5490">
        <v>9.5000000000000001E-2</v>
      </c>
      <c r="M5490">
        <v>0.60299999999999998</v>
      </c>
      <c r="N5490">
        <v>0.1</v>
      </c>
    </row>
    <row r="5491" spans="1:14" x14ac:dyDescent="0.25">
      <c r="A5491" t="s">
        <v>9907</v>
      </c>
      <c r="B5491" t="s">
        <v>9908</v>
      </c>
      <c r="C5491" s="1" t="str">
        <f>HYPERLINK("http://www.genecards.org/cgi-bin/carddisp.pl?gene=NF1","GeneCards")</f>
        <v>GeneCards</v>
      </c>
      <c r="D5491" s="1" t="str">
        <f>HYPERLINK("http://genome-euro.ucsc.edu/cgi-bin/hgTracks?position=211094_s_at","UCSC")</f>
        <v>UCSC</v>
      </c>
      <c r="E5491" s="1" t="str">
        <f>HYPERLINK("http://www.ncbi.nlm.nih.gov/gene/?term=NF1","NCBI")</f>
        <v>NCBI</v>
      </c>
      <c r="F5491">
        <v>5.3999999999999999E-2</v>
      </c>
      <c r="G5491">
        <v>0.17</v>
      </c>
      <c r="H5491" s="1" t="str">
        <f>HYPERLINK("http://www.weizmann.ac.il/complex/compphys/software/geview/data/figures/211094_s_at.png","Figure")</f>
        <v>Figure</v>
      </c>
      <c r="I5491">
        <v>0.94199999999999995</v>
      </c>
      <c r="J5491">
        <v>0.18</v>
      </c>
      <c r="K5491">
        <v>1.02</v>
      </c>
      <c r="L5491">
        <v>0.76</v>
      </c>
      <c r="M5491">
        <v>1.08</v>
      </c>
      <c r="N5491">
        <v>4.5999999999999999E-2</v>
      </c>
    </row>
    <row r="5492" spans="1:14" x14ac:dyDescent="0.25">
      <c r="A5492" t="s">
        <v>9909</v>
      </c>
      <c r="B5492" t="s">
        <v>9910</v>
      </c>
      <c r="C5492" s="1" t="str">
        <f>HYPERLINK("http://www.genecards.org/cgi-bin/carddisp.pl?gene=RBM25","GeneCards")</f>
        <v>GeneCards</v>
      </c>
      <c r="D5492" s="1" t="str">
        <f>HYPERLINK("http://genome-euro.ucsc.edu/cgi-bin/hgTracks?position=212031_at","UCSC")</f>
        <v>UCSC</v>
      </c>
      <c r="E5492" s="1" t="str">
        <f>HYPERLINK("http://www.ncbi.nlm.nih.gov/gene/?term=RBM25","NCBI")</f>
        <v>NCBI</v>
      </c>
      <c r="F5492">
        <v>5.3999999999999999E-2</v>
      </c>
      <c r="G5492">
        <v>0.17</v>
      </c>
      <c r="H5492" s="1" t="str">
        <f>HYPERLINK("http://www.weizmann.ac.il/complex/compphys/software/geview/data/figures/212031_at.png","Figure")</f>
        <v>Figure</v>
      </c>
      <c r="I5492">
        <v>0.751</v>
      </c>
      <c r="J5492">
        <v>0.49</v>
      </c>
      <c r="K5492">
        <v>0.56299999999999994</v>
      </c>
      <c r="L5492">
        <v>4.4999999999999998E-2</v>
      </c>
      <c r="M5492">
        <v>0.749</v>
      </c>
      <c r="N5492">
        <v>0.44</v>
      </c>
    </row>
    <row r="5493" spans="1:14" x14ac:dyDescent="0.25">
      <c r="A5493" t="s">
        <v>9911</v>
      </c>
      <c r="B5493" t="s">
        <v>9912</v>
      </c>
      <c r="C5493" s="1" t="str">
        <f>HYPERLINK("http://www.genecards.org/cgi-bin/carddisp.pl?gene=PRMT3","GeneCards")</f>
        <v>GeneCards</v>
      </c>
      <c r="D5493" s="1" t="str">
        <f>HYPERLINK("http://genome-euro.ucsc.edu/cgi-bin/hgTracks?position=213320_at","UCSC")</f>
        <v>UCSC</v>
      </c>
      <c r="E5493" s="1" t="str">
        <f>HYPERLINK("http://www.ncbi.nlm.nih.gov/gene/?term=PRMT3","NCBI")</f>
        <v>NCBI</v>
      </c>
      <c r="F5493">
        <v>5.3999999999999999E-2</v>
      </c>
      <c r="G5493">
        <v>0.17</v>
      </c>
      <c r="H5493" s="1" t="str">
        <f>HYPERLINK("http://www.weizmann.ac.il/complex/compphys/software/geview/data/figures/213320_at.png","Figure")</f>
        <v>Figure</v>
      </c>
      <c r="I5493">
        <v>0.77600000000000002</v>
      </c>
      <c r="J5493">
        <v>0.25</v>
      </c>
      <c r="K5493">
        <v>1.1399999999999999</v>
      </c>
      <c r="L5493">
        <v>0.6</v>
      </c>
      <c r="M5493">
        <v>1.47</v>
      </c>
      <c r="N5493">
        <v>4.3999999999999997E-2</v>
      </c>
    </row>
    <row r="5494" spans="1:14" x14ac:dyDescent="0.25">
      <c r="A5494" t="s">
        <v>9913</v>
      </c>
      <c r="B5494" t="s">
        <v>9914</v>
      </c>
      <c r="C5494" s="1" t="str">
        <f>HYPERLINK("http://www.genecards.org/cgi-bin/carddisp.pl?gene=EPS15","GeneCards")</f>
        <v>GeneCards</v>
      </c>
      <c r="D5494" s="1" t="str">
        <f>HYPERLINK("http://genome-euro.ucsc.edu/cgi-bin/hgTracks?position=217887_s_at","UCSC")</f>
        <v>UCSC</v>
      </c>
      <c r="E5494" s="1" t="str">
        <f>HYPERLINK("http://www.ncbi.nlm.nih.gov/gene/?term=EPS15","NCBI")</f>
        <v>NCBI</v>
      </c>
      <c r="F5494">
        <v>5.3999999999999999E-2</v>
      </c>
      <c r="G5494">
        <v>0.17</v>
      </c>
      <c r="H5494" s="1" t="str">
        <f>HYPERLINK("http://www.weizmann.ac.il/complex/compphys/software/geview/data/figures/217887_s_at.png","Figure")</f>
        <v>Figure</v>
      </c>
      <c r="I5494">
        <v>0.64300000000000002</v>
      </c>
      <c r="J5494">
        <v>4.4999999999999998E-2</v>
      </c>
      <c r="K5494">
        <v>0.85199999999999998</v>
      </c>
      <c r="L5494">
        <v>0.52</v>
      </c>
      <c r="M5494">
        <v>1.32</v>
      </c>
      <c r="N5494">
        <v>0.2</v>
      </c>
    </row>
    <row r="5495" spans="1:14" x14ac:dyDescent="0.25">
      <c r="A5495" t="s">
        <v>9915</v>
      </c>
      <c r="B5495" t="s">
        <v>9916</v>
      </c>
      <c r="C5495" s="1" t="str">
        <f>HYPERLINK("http://www.genecards.org/cgi-bin/carddisp.pl?gene=ZMAT3","GeneCards")</f>
        <v>GeneCards</v>
      </c>
      <c r="D5495" s="1" t="str">
        <f>HYPERLINK("http://genome-euro.ucsc.edu/cgi-bin/hgTracks?position=219628_at","UCSC")</f>
        <v>UCSC</v>
      </c>
      <c r="E5495" s="1" t="str">
        <f>HYPERLINK("http://www.ncbi.nlm.nih.gov/gene/?term=ZMAT3","NCBI")</f>
        <v>NCBI</v>
      </c>
      <c r="F5495">
        <v>5.3999999999999999E-2</v>
      </c>
      <c r="G5495">
        <v>0.17</v>
      </c>
      <c r="H5495" s="1" t="str">
        <f>HYPERLINK("http://www.weizmann.ac.il/complex/compphys/software/geview/data/figures/219628_at.png","Figure")</f>
        <v>Figure</v>
      </c>
      <c r="I5495">
        <v>1.3</v>
      </c>
      <c r="J5495">
        <v>0.23</v>
      </c>
      <c r="K5495">
        <v>1.43</v>
      </c>
      <c r="L5495">
        <v>4.5999999999999999E-2</v>
      </c>
      <c r="M5495">
        <v>1.1000000000000001</v>
      </c>
      <c r="N5495">
        <v>0.79</v>
      </c>
    </row>
    <row r="5496" spans="1:14" x14ac:dyDescent="0.25">
      <c r="A5496" t="s">
        <v>9917</v>
      </c>
      <c r="B5496" t="s">
        <v>6622</v>
      </c>
      <c r="C5496" s="1" t="str">
        <f>HYPERLINK("http://www.genecards.org/cgi-bin/carddisp.pl?gene=DRD2","GeneCards")</f>
        <v>GeneCards</v>
      </c>
      <c r="D5496" s="1" t="str">
        <f>HYPERLINK("http://genome-euro.ucsc.edu/cgi-bin/hgTracks?position=211624_s_at","UCSC")</f>
        <v>UCSC</v>
      </c>
      <c r="E5496" s="1" t="str">
        <f>HYPERLINK("http://www.ncbi.nlm.nih.gov/gene/?term=DRD2","NCBI")</f>
        <v>NCBI</v>
      </c>
      <c r="F5496">
        <v>5.3999999999999999E-2</v>
      </c>
      <c r="G5496">
        <v>0.17</v>
      </c>
      <c r="H5496" s="1" t="str">
        <f>HYPERLINK("http://www.weizmann.ac.il/complex/compphys/software/geview/data/figures/211624_s_at.png","Figure")</f>
        <v>Figure</v>
      </c>
      <c r="I5496">
        <v>1.06</v>
      </c>
      <c r="J5496">
        <v>0.64</v>
      </c>
      <c r="K5496">
        <v>0.91</v>
      </c>
      <c r="L5496">
        <v>0.23</v>
      </c>
      <c r="M5496">
        <v>0.85899999999999999</v>
      </c>
      <c r="N5496">
        <v>5.3999999999999999E-2</v>
      </c>
    </row>
    <row r="5497" spans="1:14" x14ac:dyDescent="0.25">
      <c r="A5497" t="s">
        <v>9918</v>
      </c>
      <c r="B5497" t="s">
        <v>9919</v>
      </c>
      <c r="C5497" s="1" t="str">
        <f>HYPERLINK("http://www.genecards.org/cgi-bin/carddisp.pl?gene=SLC6A7","GeneCards")</f>
        <v>GeneCards</v>
      </c>
      <c r="D5497" s="1" t="str">
        <f>HYPERLINK("http://genome-euro.ucsc.edu/cgi-bin/hgTracks?position=208494_at","UCSC")</f>
        <v>UCSC</v>
      </c>
      <c r="E5497" s="1" t="str">
        <f>HYPERLINK("http://www.ncbi.nlm.nih.gov/gene/?term=SLC6A7","NCBI")</f>
        <v>NCBI</v>
      </c>
      <c r="F5497">
        <v>5.3999999999999999E-2</v>
      </c>
      <c r="G5497">
        <v>0.17</v>
      </c>
      <c r="H5497" s="1" t="str">
        <f>HYPERLINK("http://www.weizmann.ac.il/complex/compphys/software/geview/data/figures/208494_at.png","Figure")</f>
        <v>Figure</v>
      </c>
      <c r="I5497">
        <v>1.22</v>
      </c>
      <c r="J5497">
        <v>4.5999999999999999E-2</v>
      </c>
      <c r="K5497">
        <v>1.07</v>
      </c>
      <c r="L5497">
        <v>0.56000000000000005</v>
      </c>
      <c r="M5497">
        <v>0.875</v>
      </c>
      <c r="N5497">
        <v>0.18</v>
      </c>
    </row>
    <row r="5498" spans="1:14" x14ac:dyDescent="0.25">
      <c r="A5498" t="s">
        <v>9920</v>
      </c>
      <c r="B5498" t="s">
        <v>9921</v>
      </c>
      <c r="C5498" s="1" t="str">
        <f>HYPERLINK("http://www.genecards.org/cgi-bin/carddisp.pl?gene=RAB3A","GeneCards")</f>
        <v>GeneCards</v>
      </c>
      <c r="D5498" s="1" t="str">
        <f>HYPERLINK("http://genome-euro.ucsc.edu/cgi-bin/hgTracks?position=204974_at","UCSC")</f>
        <v>UCSC</v>
      </c>
      <c r="E5498" s="1" t="str">
        <f>HYPERLINK("http://www.ncbi.nlm.nih.gov/gene/?term=RAB3A","NCBI")</f>
        <v>NCBI</v>
      </c>
      <c r="F5498">
        <v>5.3999999999999999E-2</v>
      </c>
      <c r="G5498">
        <v>0.17</v>
      </c>
      <c r="H5498" s="1" t="str">
        <f>HYPERLINK("http://www.weizmann.ac.il/complex/compphys/software/geview/data/figures/204974_at.png","Figure")</f>
        <v>Figure</v>
      </c>
      <c r="I5498">
        <v>1.22</v>
      </c>
      <c r="J5498">
        <v>4.5999999999999999E-2</v>
      </c>
      <c r="K5498">
        <v>1.07</v>
      </c>
      <c r="L5498">
        <v>0.56000000000000005</v>
      </c>
      <c r="M5498">
        <v>0.879</v>
      </c>
      <c r="N5498">
        <v>0.18</v>
      </c>
    </row>
    <row r="5499" spans="1:14" x14ac:dyDescent="0.25">
      <c r="A5499" t="s">
        <v>9922</v>
      </c>
      <c r="B5499" t="s">
        <v>9923</v>
      </c>
      <c r="C5499" s="1" t="str">
        <f>HYPERLINK("http://www.genecards.org/cgi-bin/carddisp.pl?gene=PMVK","GeneCards")</f>
        <v>GeneCards</v>
      </c>
      <c r="D5499" s="1" t="str">
        <f>HYPERLINK("http://genome-euro.ucsc.edu/cgi-bin/hgTracks?position=203515_s_at","UCSC")</f>
        <v>UCSC</v>
      </c>
      <c r="E5499" s="1" t="str">
        <f>HYPERLINK("http://www.ncbi.nlm.nih.gov/gene/?term=PMVK","NCBI")</f>
        <v>NCBI</v>
      </c>
      <c r="F5499">
        <v>5.3999999999999999E-2</v>
      </c>
      <c r="G5499">
        <v>0.17</v>
      </c>
      <c r="H5499" s="1" t="str">
        <f>HYPERLINK("http://www.weizmann.ac.il/complex/compphys/software/geview/data/figures/203515_s_at.png","Figure")</f>
        <v>Figure</v>
      </c>
      <c r="I5499">
        <v>1.2</v>
      </c>
      <c r="J5499">
        <v>0.13</v>
      </c>
      <c r="K5499">
        <v>1.21</v>
      </c>
      <c r="L5499">
        <v>0.06</v>
      </c>
      <c r="M5499">
        <v>1.01</v>
      </c>
      <c r="N5499">
        <v>0.99</v>
      </c>
    </row>
    <row r="5500" spans="1:14" x14ac:dyDescent="0.25">
      <c r="A5500" t="s">
        <v>9924</v>
      </c>
      <c r="B5500" t="s">
        <v>9925</v>
      </c>
      <c r="C5500" s="1" t="str">
        <f>HYPERLINK("http://www.genecards.org/cgi-bin/carddisp.pl?gene=BTD","GeneCards")</f>
        <v>GeneCards</v>
      </c>
      <c r="D5500" s="1" t="str">
        <f>HYPERLINK("http://genome-euro.ucsc.edu/cgi-bin/hgTracks?position=204167_at","UCSC")</f>
        <v>UCSC</v>
      </c>
      <c r="E5500" s="1" t="str">
        <f>HYPERLINK("http://www.ncbi.nlm.nih.gov/gene/?term=BTD","NCBI")</f>
        <v>NCBI</v>
      </c>
      <c r="F5500">
        <v>5.3999999999999999E-2</v>
      </c>
      <c r="G5500">
        <v>0.17</v>
      </c>
      <c r="H5500" s="1" t="str">
        <f>HYPERLINK("http://www.weizmann.ac.il/complex/compphys/software/geview/data/figures/204167_at.png","Figure")</f>
        <v>Figure</v>
      </c>
      <c r="I5500">
        <v>0.90400000000000003</v>
      </c>
      <c r="J5500">
        <v>0.62</v>
      </c>
      <c r="K5500">
        <v>1.17</v>
      </c>
      <c r="L5500">
        <v>0.24</v>
      </c>
      <c r="M5500">
        <v>1.3</v>
      </c>
      <c r="N5500">
        <v>5.2999999999999999E-2</v>
      </c>
    </row>
    <row r="5501" spans="1:14" x14ac:dyDescent="0.25">
      <c r="A5501" t="s">
        <v>9926</v>
      </c>
      <c r="B5501" t="s">
        <v>9927</v>
      </c>
      <c r="C5501" s="1" t="str">
        <f>HYPERLINK("http://www.genecards.org/cgi-bin/carddisp.pl?gene=CD180","GeneCards")</f>
        <v>GeneCards</v>
      </c>
      <c r="D5501" s="1" t="str">
        <f>HYPERLINK("http://genome-euro.ucsc.edu/cgi-bin/hgTracks?position=206206_at","UCSC")</f>
        <v>UCSC</v>
      </c>
      <c r="E5501" s="1" t="str">
        <f>HYPERLINK("http://www.ncbi.nlm.nih.gov/gene/?term=CD180","NCBI")</f>
        <v>NCBI</v>
      </c>
      <c r="F5501">
        <v>5.3999999999999999E-2</v>
      </c>
      <c r="G5501">
        <v>0.17</v>
      </c>
      <c r="H5501" s="1" t="str">
        <f>HYPERLINK("http://www.weizmann.ac.il/complex/compphys/software/geview/data/figures/206206_at.png","Figure")</f>
        <v>Figure</v>
      </c>
      <c r="I5501">
        <v>0.96299999999999997</v>
      </c>
      <c r="J5501">
        <v>0.84</v>
      </c>
      <c r="K5501">
        <v>1.1200000000000001</v>
      </c>
      <c r="L5501">
        <v>0.15</v>
      </c>
      <c r="M5501">
        <v>1.1599999999999999</v>
      </c>
      <c r="N5501">
        <v>6.7000000000000004E-2</v>
      </c>
    </row>
    <row r="5502" spans="1:14" x14ac:dyDescent="0.25">
      <c r="A5502" t="s">
        <v>9928</v>
      </c>
      <c r="B5502" t="s">
        <v>9929</v>
      </c>
      <c r="C5502" s="1" t="str">
        <f>HYPERLINK("http://www.genecards.org/cgi-bin/carddisp.pl?gene=IFI16","GeneCards")</f>
        <v>GeneCards</v>
      </c>
      <c r="D5502" s="1" t="str">
        <f>HYPERLINK("http://genome-euro.ucsc.edu/cgi-bin/hgTracks?position=206332_s_at","UCSC")</f>
        <v>UCSC</v>
      </c>
      <c r="E5502" s="1" t="str">
        <f>HYPERLINK("http://www.ncbi.nlm.nih.gov/gene/?term=IFI16","NCBI")</f>
        <v>NCBI</v>
      </c>
      <c r="F5502">
        <v>5.3999999999999999E-2</v>
      </c>
      <c r="G5502">
        <v>0.17</v>
      </c>
      <c r="H5502" s="1" t="str">
        <f>HYPERLINK("http://www.weizmann.ac.il/complex/compphys/software/geview/data/figures/206332_s_at.png","Figure")</f>
        <v>Figure</v>
      </c>
      <c r="I5502">
        <v>0.54500000000000004</v>
      </c>
      <c r="J5502">
        <v>0.06</v>
      </c>
      <c r="K5502">
        <v>0.64400000000000002</v>
      </c>
      <c r="L5502">
        <v>0.13</v>
      </c>
      <c r="M5502">
        <v>1.18</v>
      </c>
      <c r="N5502">
        <v>0.74</v>
      </c>
    </row>
    <row r="5503" spans="1:14" x14ac:dyDescent="0.25">
      <c r="A5503" t="s">
        <v>9930</v>
      </c>
      <c r="B5503" t="s">
        <v>9931</v>
      </c>
      <c r="C5503" s="1" t="str">
        <f>HYPERLINK("http://www.genecards.org/cgi-bin/carddisp.pl?gene=MUTYH","GeneCards")</f>
        <v>GeneCards</v>
      </c>
      <c r="D5503" s="1" t="str">
        <f>HYPERLINK("http://genome-euro.ucsc.edu/cgi-bin/hgTracks?position=207727_s_at","UCSC")</f>
        <v>UCSC</v>
      </c>
      <c r="E5503" s="1" t="str">
        <f>HYPERLINK("http://www.ncbi.nlm.nih.gov/gene/?term=MUTYH","NCBI")</f>
        <v>NCBI</v>
      </c>
      <c r="F5503">
        <v>5.3999999999999999E-2</v>
      </c>
      <c r="G5503">
        <v>0.17</v>
      </c>
      <c r="H5503" s="1" t="str">
        <f>HYPERLINK("http://www.weizmann.ac.il/complex/compphys/software/geview/data/figures/207727_s_at.png","Figure")</f>
        <v>Figure</v>
      </c>
      <c r="I5503">
        <v>1.18</v>
      </c>
      <c r="J5503">
        <v>9.6000000000000002E-2</v>
      </c>
      <c r="K5503">
        <v>1.17</v>
      </c>
      <c r="L5503">
        <v>7.1999999999999995E-2</v>
      </c>
      <c r="M5503">
        <v>0.98899999999999999</v>
      </c>
      <c r="N5503">
        <v>0.99</v>
      </c>
    </row>
    <row r="5504" spans="1:14" x14ac:dyDescent="0.25">
      <c r="A5504" t="s">
        <v>9932</v>
      </c>
      <c r="B5504" t="s">
        <v>9933</v>
      </c>
      <c r="C5504" s="1" t="str">
        <f>HYPERLINK("http://www.genecards.org/cgi-bin/carddisp.pl?gene=FBXL4","GeneCards")</f>
        <v>GeneCards</v>
      </c>
      <c r="D5504" s="1" t="str">
        <f>HYPERLINK("http://genome-euro.ucsc.edu/cgi-bin/hgTracks?position=209943_at","UCSC")</f>
        <v>UCSC</v>
      </c>
      <c r="E5504" s="1" t="str">
        <f>HYPERLINK("http://www.ncbi.nlm.nih.gov/gene/?term=FBXL4","NCBI")</f>
        <v>NCBI</v>
      </c>
      <c r="F5504">
        <v>5.3999999999999999E-2</v>
      </c>
      <c r="G5504">
        <v>0.17</v>
      </c>
      <c r="H5504" s="1" t="str">
        <f>HYPERLINK("http://www.weizmann.ac.il/complex/compphys/software/geview/data/figures/209943_at.png","Figure")</f>
        <v>Figure</v>
      </c>
      <c r="I5504">
        <v>0.91400000000000003</v>
      </c>
      <c r="J5504">
        <v>7.8E-2</v>
      </c>
      <c r="K5504">
        <v>0.996</v>
      </c>
      <c r="L5504">
        <v>0.99</v>
      </c>
      <c r="M5504">
        <v>1.0900000000000001</v>
      </c>
      <c r="N5504">
        <v>7.0000000000000007E-2</v>
      </c>
    </row>
    <row r="5505" spans="1:14" x14ac:dyDescent="0.25">
      <c r="A5505" t="s">
        <v>9934</v>
      </c>
      <c r="B5505" t="s">
        <v>9935</v>
      </c>
      <c r="C5505" s="1" t="str">
        <f>HYPERLINK("http://www.genecards.org/cgi-bin/carddisp.pl?gene=GLB1L2","GeneCards")</f>
        <v>GeneCards</v>
      </c>
      <c r="D5505" s="1" t="str">
        <f>HYPERLINK("http://genome-euro.ucsc.edu/cgi-bin/hgTracks?position=213713_s_at","UCSC")</f>
        <v>UCSC</v>
      </c>
      <c r="E5505" s="1" t="str">
        <f>HYPERLINK("http://www.ncbi.nlm.nih.gov/gene/?term=GLB1L2","NCBI")</f>
        <v>NCBI</v>
      </c>
      <c r="F5505">
        <v>5.3999999999999999E-2</v>
      </c>
      <c r="G5505">
        <v>0.17</v>
      </c>
      <c r="H5505" s="1" t="str">
        <f>HYPERLINK("http://www.weizmann.ac.il/complex/compphys/software/geview/data/figures/213713_s_at.png","Figure")</f>
        <v>Figure</v>
      </c>
      <c r="I5505">
        <v>1.36</v>
      </c>
      <c r="J5505">
        <v>5.0999999999999997E-2</v>
      </c>
      <c r="K5505">
        <v>1.08</v>
      </c>
      <c r="L5505">
        <v>0.72</v>
      </c>
      <c r="M5505">
        <v>0.79500000000000004</v>
      </c>
      <c r="N5505">
        <v>0.13</v>
      </c>
    </row>
    <row r="5506" spans="1:14" x14ac:dyDescent="0.25">
      <c r="A5506" t="s">
        <v>9936</v>
      </c>
      <c r="B5506" t="s">
        <v>9937</v>
      </c>
      <c r="C5506" s="1" t="str">
        <f>HYPERLINK("http://www.genecards.org/cgi-bin/carddisp.pl?gene=PRKCA","GeneCards")</f>
        <v>GeneCards</v>
      </c>
      <c r="D5506" s="1" t="str">
        <f>HYPERLINK("http://genome-euro.ucsc.edu/cgi-bin/hgTracks?position=215194_at","UCSC")</f>
        <v>UCSC</v>
      </c>
      <c r="E5506" s="1" t="str">
        <f>HYPERLINK("http://www.ncbi.nlm.nih.gov/gene/?term=PRKCA","NCBI")</f>
        <v>NCBI</v>
      </c>
      <c r="F5506">
        <v>5.3999999999999999E-2</v>
      </c>
      <c r="G5506">
        <v>0.17</v>
      </c>
      <c r="H5506" s="1" t="str">
        <f>HYPERLINK("http://www.weizmann.ac.il/complex/compphys/software/geview/data/figures/215194_at.png","Figure")</f>
        <v>Figure</v>
      </c>
      <c r="I5506">
        <v>1.24</v>
      </c>
      <c r="J5506">
        <v>5.1999999999999998E-2</v>
      </c>
      <c r="K5506">
        <v>1.1499999999999999</v>
      </c>
      <c r="L5506">
        <v>0.17</v>
      </c>
      <c r="M5506">
        <v>0.92700000000000005</v>
      </c>
      <c r="N5506">
        <v>0.59</v>
      </c>
    </row>
    <row r="5507" spans="1:14" x14ac:dyDescent="0.25">
      <c r="A5507" t="s">
        <v>9938</v>
      </c>
      <c r="B5507" t="s">
        <v>856</v>
      </c>
      <c r="C5507" s="1" t="str">
        <f>HYPERLINK("http://www.genecards.org/cgi-bin/carddisp.pl?gene=CTBP2","GeneCards")</f>
        <v>GeneCards</v>
      </c>
      <c r="D5507" s="1" t="str">
        <f>HYPERLINK("http://genome-euro.ucsc.edu/cgi-bin/hgTracks?position=215377_at","UCSC")</f>
        <v>UCSC</v>
      </c>
      <c r="E5507" s="1" t="str">
        <f>HYPERLINK("http://www.ncbi.nlm.nih.gov/gene/?term=CTBP2","NCBI")</f>
        <v>NCBI</v>
      </c>
      <c r="F5507">
        <v>5.3999999999999999E-2</v>
      </c>
      <c r="G5507">
        <v>0.17</v>
      </c>
      <c r="H5507" s="1" t="str">
        <f>HYPERLINK("http://www.weizmann.ac.il/complex/compphys/software/geview/data/figures/215377_at.png","Figure")</f>
        <v>Figure</v>
      </c>
      <c r="I5507">
        <v>1.22</v>
      </c>
      <c r="J5507">
        <v>4.3999999999999997E-2</v>
      </c>
      <c r="K5507">
        <v>1.08</v>
      </c>
      <c r="L5507">
        <v>0.45</v>
      </c>
      <c r="M5507">
        <v>0.88700000000000001</v>
      </c>
      <c r="N5507">
        <v>0.23</v>
      </c>
    </row>
    <row r="5508" spans="1:14" x14ac:dyDescent="0.25">
      <c r="A5508" t="s">
        <v>9939</v>
      </c>
      <c r="B5508" t="s">
        <v>9940</v>
      </c>
      <c r="C5508" s="1" t="str">
        <f>HYPERLINK("http://www.genecards.org/cgi-bin/carddisp.pl?gene=PGM5","GeneCards")</f>
        <v>GeneCards</v>
      </c>
      <c r="D5508" s="1" t="str">
        <f>HYPERLINK("http://genome-euro.ucsc.edu/cgi-bin/hgTracks?position=208491_s_at","UCSC")</f>
        <v>UCSC</v>
      </c>
      <c r="E5508" s="1" t="str">
        <f>HYPERLINK("http://www.ncbi.nlm.nih.gov/gene/?term=PGM5","NCBI")</f>
        <v>NCBI</v>
      </c>
      <c r="F5508">
        <v>5.3999999999999999E-2</v>
      </c>
      <c r="G5508">
        <v>0.17</v>
      </c>
      <c r="H5508" s="1" t="str">
        <f>HYPERLINK("http://www.weizmann.ac.il/complex/compphys/software/geview/data/figures/208491_s_at.png","Figure")</f>
        <v>Figure</v>
      </c>
      <c r="I5508">
        <v>1.1599999999999999</v>
      </c>
      <c r="J5508">
        <v>0.1</v>
      </c>
      <c r="K5508">
        <v>1.1499999999999999</v>
      </c>
      <c r="L5508">
        <v>6.9000000000000006E-2</v>
      </c>
      <c r="M5508">
        <v>0.99399999999999999</v>
      </c>
      <c r="N5508">
        <v>0.99</v>
      </c>
    </row>
    <row r="5509" spans="1:14" x14ac:dyDescent="0.25">
      <c r="A5509" t="s">
        <v>9941</v>
      </c>
      <c r="B5509" t="s">
        <v>9942</v>
      </c>
      <c r="C5509" s="1" t="str">
        <f>HYPERLINK("http://www.genecards.org/cgi-bin/carddisp.pl?gene=NECAB2","GeneCards")</f>
        <v>GeneCards</v>
      </c>
      <c r="D5509" s="1" t="str">
        <f>HYPERLINK("http://genome-euro.ucsc.edu/cgi-bin/hgTracks?position=215005_at","UCSC")</f>
        <v>UCSC</v>
      </c>
      <c r="E5509" s="1" t="str">
        <f>HYPERLINK("http://www.ncbi.nlm.nih.gov/gene/?term=NECAB2","NCBI")</f>
        <v>NCBI</v>
      </c>
      <c r="F5509">
        <v>5.3999999999999999E-2</v>
      </c>
      <c r="G5509">
        <v>0.17</v>
      </c>
      <c r="H5509" s="1" t="str">
        <f>HYPERLINK("http://www.weizmann.ac.il/complex/compphys/software/geview/data/figures/215005_at.png","Figure")</f>
        <v>Figure</v>
      </c>
      <c r="I5509">
        <v>1.31</v>
      </c>
      <c r="J5509">
        <v>4.7E-2</v>
      </c>
      <c r="K5509">
        <v>1.0900000000000001</v>
      </c>
      <c r="L5509">
        <v>0.61</v>
      </c>
      <c r="M5509">
        <v>0.83199999999999996</v>
      </c>
      <c r="N5509">
        <v>0.16</v>
      </c>
    </row>
    <row r="5510" spans="1:14" x14ac:dyDescent="0.25">
      <c r="A5510" t="s">
        <v>9943</v>
      </c>
      <c r="B5510" t="s">
        <v>9944</v>
      </c>
      <c r="C5510" s="1" t="str">
        <f>HYPERLINK("http://www.genecards.org/cgi-bin/carddisp.pl?gene=KCNJ12","GeneCards")</f>
        <v>GeneCards</v>
      </c>
      <c r="D5510" s="1" t="str">
        <f>HYPERLINK("http://genome-euro.ucsc.edu/cgi-bin/hgTracks?position=207110_at","UCSC")</f>
        <v>UCSC</v>
      </c>
      <c r="E5510" s="1" t="str">
        <f>HYPERLINK("http://www.ncbi.nlm.nih.gov/gene/?term=KCNJ12","NCBI")</f>
        <v>NCBI</v>
      </c>
      <c r="F5510">
        <v>5.3999999999999999E-2</v>
      </c>
      <c r="G5510">
        <v>0.17</v>
      </c>
      <c r="H5510" s="1" t="str">
        <f>HYPERLINK("http://www.weizmann.ac.il/complex/compphys/software/geview/data/figures/207110_at.png","Figure")</f>
        <v>Figure</v>
      </c>
      <c r="I5510">
        <v>1.67</v>
      </c>
      <c r="J5510">
        <v>0.11</v>
      </c>
      <c r="K5510">
        <v>1.67</v>
      </c>
      <c r="L5510">
        <v>6.5000000000000002E-2</v>
      </c>
      <c r="M5510">
        <v>1</v>
      </c>
      <c r="N5510">
        <v>1</v>
      </c>
    </row>
    <row r="5511" spans="1:14" x14ac:dyDescent="0.25">
      <c r="A5511" t="s">
        <v>9945</v>
      </c>
      <c r="B5511" t="s">
        <v>9946</v>
      </c>
      <c r="C5511" s="1" t="str">
        <f>HYPERLINK("http://www.genecards.org/cgi-bin/carddisp.pl?gene=ADAM17","GeneCards")</f>
        <v>GeneCards</v>
      </c>
      <c r="D5511" s="1" t="str">
        <f>HYPERLINK("http://genome-euro.ucsc.edu/cgi-bin/hgTracks?position=213532_at","UCSC")</f>
        <v>UCSC</v>
      </c>
      <c r="E5511" s="1" t="str">
        <f>HYPERLINK("http://www.ncbi.nlm.nih.gov/gene/?term=ADAM17","NCBI")</f>
        <v>NCBI</v>
      </c>
      <c r="F5511">
        <v>5.3999999999999999E-2</v>
      </c>
      <c r="G5511">
        <v>0.17</v>
      </c>
      <c r="H5511" s="1" t="str">
        <f>HYPERLINK("http://www.weizmann.ac.il/complex/compphys/software/geview/data/figures/213532_at.png","Figure")</f>
        <v>Figure</v>
      </c>
      <c r="I5511">
        <v>1.33</v>
      </c>
      <c r="J5511">
        <v>0.37</v>
      </c>
      <c r="K5511">
        <v>0.79500000000000004</v>
      </c>
      <c r="L5511">
        <v>0.43</v>
      </c>
      <c r="M5511">
        <v>0.59599999999999997</v>
      </c>
      <c r="N5511">
        <v>4.4999999999999998E-2</v>
      </c>
    </row>
    <row r="5512" spans="1:14" x14ac:dyDescent="0.25">
      <c r="A5512" t="s">
        <v>9947</v>
      </c>
      <c r="B5512" t="s">
        <v>2922</v>
      </c>
      <c r="C5512" s="1" t="str">
        <f>HYPERLINK("http://www.genecards.org/cgi-bin/carddisp.pl?gene=SRCAP","GeneCards")</f>
        <v>GeneCards</v>
      </c>
      <c r="D5512" s="1" t="str">
        <f>HYPERLINK("http://genome-euro.ucsc.edu/cgi-bin/hgTracks?position=213667_at","UCSC")</f>
        <v>UCSC</v>
      </c>
      <c r="E5512" s="1" t="str">
        <f>HYPERLINK("http://www.ncbi.nlm.nih.gov/gene/?term=SRCAP","NCBI")</f>
        <v>NCBI</v>
      </c>
      <c r="F5512">
        <v>5.3999999999999999E-2</v>
      </c>
      <c r="G5512">
        <v>0.17</v>
      </c>
      <c r="H5512" s="1" t="str">
        <f>HYPERLINK("http://www.weizmann.ac.il/complex/compphys/software/geview/data/figures/213667_at.png","Figure")</f>
        <v>Figure</v>
      </c>
      <c r="I5512">
        <v>1.17</v>
      </c>
      <c r="J5512">
        <v>5.5E-2</v>
      </c>
      <c r="K5512">
        <v>1.1100000000000001</v>
      </c>
      <c r="L5512">
        <v>0.15</v>
      </c>
      <c r="M5512">
        <v>0.95</v>
      </c>
      <c r="N5512">
        <v>0.65</v>
      </c>
    </row>
    <row r="5513" spans="1:14" x14ac:dyDescent="0.25">
      <c r="A5513" t="s">
        <v>9948</v>
      </c>
      <c r="B5513" t="s">
        <v>9949</v>
      </c>
      <c r="C5513" s="1" t="str">
        <f>HYPERLINK("http://www.genecards.org/cgi-bin/carddisp.pl?gene=CCNL2","GeneCards")</f>
        <v>GeneCards</v>
      </c>
      <c r="D5513" s="1" t="str">
        <f>HYPERLINK("http://genome-euro.ucsc.edu/cgi-bin/hgTracks?position=221427_s_at","UCSC")</f>
        <v>UCSC</v>
      </c>
      <c r="E5513" s="1" t="str">
        <f>HYPERLINK("http://www.ncbi.nlm.nih.gov/gene/?term=CCNL2","NCBI")</f>
        <v>NCBI</v>
      </c>
      <c r="F5513">
        <v>5.3999999999999999E-2</v>
      </c>
      <c r="G5513">
        <v>0.17</v>
      </c>
      <c r="H5513" s="1" t="str">
        <f>HYPERLINK("http://www.weizmann.ac.il/complex/compphys/software/geview/data/figures/221427_s_at.png","Figure")</f>
        <v>Figure</v>
      </c>
      <c r="I5513">
        <v>1.02</v>
      </c>
      <c r="J5513">
        <v>0.99</v>
      </c>
      <c r="K5513">
        <v>0.74399999999999999</v>
      </c>
      <c r="L5513">
        <v>9.6000000000000002E-2</v>
      </c>
      <c r="M5513">
        <v>0.73199999999999998</v>
      </c>
      <c r="N5513">
        <v>0.1</v>
      </c>
    </row>
    <row r="5514" spans="1:14" x14ac:dyDescent="0.25">
      <c r="A5514" t="s">
        <v>9950</v>
      </c>
      <c r="B5514" t="s">
        <v>4913</v>
      </c>
      <c r="C5514" s="1" t="str">
        <f>HYPERLINK("http://www.genecards.org/cgi-bin/carddisp.pl?gene=MAP4","GeneCards")</f>
        <v>GeneCards</v>
      </c>
      <c r="D5514" s="1" t="str">
        <f>HYPERLINK("http://genome-euro.ucsc.edu/cgi-bin/hgTracks?position=33850_at","UCSC")</f>
        <v>UCSC</v>
      </c>
      <c r="E5514" s="1" t="str">
        <f>HYPERLINK("http://www.ncbi.nlm.nih.gov/gene/?term=MAP4","NCBI")</f>
        <v>NCBI</v>
      </c>
      <c r="F5514">
        <v>5.3999999999999999E-2</v>
      </c>
      <c r="G5514">
        <v>0.17</v>
      </c>
      <c r="H5514" s="1" t="str">
        <f>HYPERLINK("http://www.weizmann.ac.il/complex/compphys/software/geview/data/figures/33850_at.png","Figure")</f>
        <v>Figure</v>
      </c>
      <c r="I5514">
        <v>1.29</v>
      </c>
      <c r="J5514">
        <v>0.08</v>
      </c>
      <c r="K5514">
        <v>1.25</v>
      </c>
      <c r="L5514">
        <v>8.6999999999999994E-2</v>
      </c>
      <c r="M5514">
        <v>0.96299999999999997</v>
      </c>
      <c r="N5514">
        <v>0.93</v>
      </c>
    </row>
    <row r="5515" spans="1:14" x14ac:dyDescent="0.25">
      <c r="A5515" t="s">
        <v>9951</v>
      </c>
      <c r="B5515" t="s">
        <v>8695</v>
      </c>
      <c r="C5515" s="1" t="str">
        <f>HYPERLINK("http://www.genecards.org/cgi-bin/carddisp.pl?gene=HNRNPL","GeneCards")</f>
        <v>GeneCards</v>
      </c>
      <c r="D5515" s="1" t="str">
        <f>HYPERLINK("http://genome-euro.ucsc.edu/cgi-bin/hgTracks?position=35201_at","UCSC")</f>
        <v>UCSC</v>
      </c>
      <c r="E5515" s="1" t="str">
        <f>HYPERLINK("http://www.ncbi.nlm.nih.gov/gene/?term=HNRNPL","NCBI")</f>
        <v>NCBI</v>
      </c>
      <c r="F5515">
        <v>5.3999999999999999E-2</v>
      </c>
      <c r="G5515">
        <v>0.17</v>
      </c>
      <c r="H5515" s="1" t="str">
        <f>HYPERLINK("http://www.weizmann.ac.il/complex/compphys/software/geview/data/figures/35201_at.png","Figure")</f>
        <v>Figure</v>
      </c>
      <c r="I5515">
        <v>1.36</v>
      </c>
      <c r="J5515">
        <v>0.05</v>
      </c>
      <c r="K5515">
        <v>1.0900000000000001</v>
      </c>
      <c r="L5515">
        <v>0.7</v>
      </c>
      <c r="M5515">
        <v>0.8</v>
      </c>
      <c r="N5515">
        <v>0.14000000000000001</v>
      </c>
    </row>
    <row r="5516" spans="1:14" x14ac:dyDescent="0.25">
      <c r="A5516" t="s">
        <v>9952</v>
      </c>
      <c r="B5516" t="s">
        <v>9953</v>
      </c>
      <c r="C5516" s="1" t="str">
        <f>HYPERLINK("http://www.genecards.org/cgi-bin/carddisp.pl?gene=GTF2I /// GTF2IP1 /// LOC100093631","GeneCards")</f>
        <v>GeneCards</v>
      </c>
      <c r="D5516" s="1" t="str">
        <f>HYPERLINK("http://genome-euro.ucsc.edu/cgi-bin/hgTracks?position=201065_s_at","UCSC")</f>
        <v>UCSC</v>
      </c>
      <c r="E5516" s="1" t="str">
        <f>HYPERLINK("http://www.ncbi.nlm.nih.gov/gene/?term=GTF2I /// GTF2IP1 /// LOC100093631","NCBI")</f>
        <v>NCBI</v>
      </c>
      <c r="F5516">
        <v>5.3999999999999999E-2</v>
      </c>
      <c r="G5516">
        <v>0.17</v>
      </c>
      <c r="H5516" s="1" t="str">
        <f>HYPERLINK("http://www.weizmann.ac.il/complex/compphys/software/geview/data/figures/201065_s_at.png","Figure")</f>
        <v>Figure</v>
      </c>
      <c r="I5516">
        <v>1.31</v>
      </c>
      <c r="J5516">
        <v>0.37</v>
      </c>
      <c r="K5516">
        <v>0.80400000000000005</v>
      </c>
      <c r="L5516">
        <v>0.43</v>
      </c>
      <c r="M5516">
        <v>0.61099999999999999</v>
      </c>
      <c r="N5516">
        <v>4.4999999999999998E-2</v>
      </c>
    </row>
    <row r="5517" spans="1:14" x14ac:dyDescent="0.25">
      <c r="A5517" t="s">
        <v>9954</v>
      </c>
      <c r="B5517" t="s">
        <v>1451</v>
      </c>
      <c r="C5517" s="1" t="str">
        <f>HYPERLINK("http://www.genecards.org/cgi-bin/carddisp.pl?gene=ACTB","GeneCards")</f>
        <v>GeneCards</v>
      </c>
      <c r="D5517" s="1" t="str">
        <f>HYPERLINK("http://genome-euro.ucsc.edu/cgi-bin/hgTracks?position=213867_x_at","UCSC")</f>
        <v>UCSC</v>
      </c>
      <c r="E5517" s="1" t="str">
        <f>HYPERLINK("http://www.ncbi.nlm.nih.gov/gene/?term=ACTB","NCBI")</f>
        <v>NCBI</v>
      </c>
      <c r="F5517">
        <v>5.3999999999999999E-2</v>
      </c>
      <c r="G5517">
        <v>0.17</v>
      </c>
      <c r="H5517" s="1" t="str">
        <f>HYPERLINK("http://www.weizmann.ac.il/complex/compphys/software/geview/data/figures/213867_x_at.png","Figure")</f>
        <v>Figure</v>
      </c>
      <c r="I5517">
        <v>1.22</v>
      </c>
      <c r="J5517">
        <v>0.61</v>
      </c>
      <c r="K5517">
        <v>1.62</v>
      </c>
      <c r="L5517">
        <v>4.7E-2</v>
      </c>
      <c r="M5517">
        <v>1.33</v>
      </c>
      <c r="N5517">
        <v>0.34</v>
      </c>
    </row>
    <row r="5518" spans="1:14" x14ac:dyDescent="0.25">
      <c r="A5518" t="s">
        <v>9955</v>
      </c>
      <c r="B5518" t="s">
        <v>9956</v>
      </c>
      <c r="C5518" s="1" t="str">
        <f>HYPERLINK("http://www.genecards.org/cgi-bin/carddisp.pl?gene=_x001A__x001A__x001A_-05","GeneCards")</f>
        <v>GeneCards</v>
      </c>
      <c r="D5518" s="1" t="str">
        <f>HYPERLINK("http://genome-euro.ucsc.edu/cgi-bin/hgTracks?position=218582_at","UCSC")</f>
        <v>UCSC</v>
      </c>
      <c r="E5518" s="1" t="str">
        <f>HYPERLINK("http://www.ncbi.nlm.nih.gov/gene/?term=_x001A__x001A__x001A_-05","NCBI")</f>
        <v>NCBI</v>
      </c>
      <c r="F5518">
        <v>5.3999999999999999E-2</v>
      </c>
      <c r="G5518">
        <v>0.17</v>
      </c>
      <c r="H5518" s="1" t="str">
        <f>HYPERLINK("http://www.weizmann.ac.il/complex/compphys/software/geview/data/figures/218582_at.png","Figure")</f>
        <v>Figure</v>
      </c>
      <c r="I5518">
        <v>0.79500000000000004</v>
      </c>
      <c r="J5518">
        <v>0.33</v>
      </c>
      <c r="K5518">
        <v>0.69399999999999995</v>
      </c>
      <c r="L5518">
        <v>4.3999999999999997E-2</v>
      </c>
      <c r="M5518">
        <v>0.873</v>
      </c>
      <c r="N5518">
        <v>0.62</v>
      </c>
    </row>
    <row r="5519" spans="1:14" x14ac:dyDescent="0.25">
      <c r="A5519" t="s">
        <v>9957</v>
      </c>
      <c r="B5519" t="s">
        <v>8899</v>
      </c>
      <c r="C5519" s="1" t="str">
        <f>HYPERLINK("http://www.genecards.org/cgi-bin/carddisp.pl?gene=RHOT2","GeneCards")</f>
        <v>GeneCards</v>
      </c>
      <c r="D5519" s="1" t="str">
        <f>HYPERLINK("http://genome-euro.ucsc.edu/cgi-bin/hgTracks?position=221789_x_at","UCSC")</f>
        <v>UCSC</v>
      </c>
      <c r="E5519" s="1" t="str">
        <f>HYPERLINK("http://www.ncbi.nlm.nih.gov/gene/?term=RHOT2","NCBI")</f>
        <v>NCBI</v>
      </c>
      <c r="F5519">
        <v>5.3999999999999999E-2</v>
      </c>
      <c r="G5519">
        <v>0.17</v>
      </c>
      <c r="H5519" s="1" t="str">
        <f>HYPERLINK("http://www.weizmann.ac.il/complex/compphys/software/geview/data/figures/221789_x_at.png","Figure")</f>
        <v>Figure</v>
      </c>
      <c r="I5519">
        <v>1.38</v>
      </c>
      <c r="J5519">
        <v>4.5999999999999999E-2</v>
      </c>
      <c r="K5519">
        <v>1.1200000000000001</v>
      </c>
      <c r="L5519">
        <v>0.55000000000000004</v>
      </c>
      <c r="M5519">
        <v>0.80900000000000005</v>
      </c>
      <c r="N5519">
        <v>0.18</v>
      </c>
    </row>
    <row r="5520" spans="1:14" x14ac:dyDescent="0.25">
      <c r="A5520" t="s">
        <v>9958</v>
      </c>
      <c r="B5520" t="s">
        <v>9959</v>
      </c>
      <c r="C5520" s="1" t="str">
        <f>HYPERLINK("http://www.genecards.org/cgi-bin/carddisp.pl?gene=DISC1","GeneCards")</f>
        <v>GeneCards</v>
      </c>
      <c r="D5520" s="1" t="str">
        <f>HYPERLINK("http://genome-euro.ucsc.edu/cgi-bin/hgTracks?position=206090_s_at","UCSC")</f>
        <v>UCSC</v>
      </c>
      <c r="E5520" s="1" t="str">
        <f>HYPERLINK("http://www.ncbi.nlm.nih.gov/gene/?term=DISC1","NCBI")</f>
        <v>NCBI</v>
      </c>
      <c r="F5520">
        <v>5.3999999999999999E-2</v>
      </c>
      <c r="G5520">
        <v>0.17</v>
      </c>
      <c r="H5520" s="1" t="str">
        <f>HYPERLINK("http://www.weizmann.ac.il/complex/compphys/software/geview/data/figures/206090_s_at.png","Figure")</f>
        <v>Figure</v>
      </c>
      <c r="I5520">
        <v>0.88</v>
      </c>
      <c r="J5520">
        <v>6.7000000000000004E-2</v>
      </c>
      <c r="K5520">
        <v>0.98599999999999999</v>
      </c>
      <c r="L5520">
        <v>0.95</v>
      </c>
      <c r="M5520">
        <v>1.1200000000000001</v>
      </c>
      <c r="N5520">
        <v>8.2000000000000003E-2</v>
      </c>
    </row>
    <row r="5521" spans="1:14" x14ac:dyDescent="0.25">
      <c r="A5521" t="s">
        <v>9960</v>
      </c>
      <c r="B5521" t="s">
        <v>9961</v>
      </c>
      <c r="C5521" s="1" t="str">
        <f>HYPERLINK("http://www.genecards.org/cgi-bin/carddisp.pl?gene=LEFTY2","GeneCards")</f>
        <v>GeneCards</v>
      </c>
      <c r="D5521" s="1" t="str">
        <f>HYPERLINK("http://genome-euro.ucsc.edu/cgi-bin/hgTracks?position=206012_at","UCSC")</f>
        <v>UCSC</v>
      </c>
      <c r="E5521" s="1" t="str">
        <f>HYPERLINK("http://www.ncbi.nlm.nih.gov/gene/?term=LEFTY2","NCBI")</f>
        <v>NCBI</v>
      </c>
      <c r="F5521">
        <v>5.3999999999999999E-2</v>
      </c>
      <c r="G5521">
        <v>0.17</v>
      </c>
      <c r="H5521" s="1" t="str">
        <f>HYPERLINK("http://www.weizmann.ac.il/complex/compphys/software/geview/data/figures/206012_at.png","Figure")</f>
        <v>Figure</v>
      </c>
      <c r="I5521">
        <v>1.1200000000000001</v>
      </c>
      <c r="J5521">
        <v>0.12</v>
      </c>
      <c r="K5521">
        <v>0.98599999999999999</v>
      </c>
      <c r="L5521">
        <v>0.95</v>
      </c>
      <c r="M5521">
        <v>0.879</v>
      </c>
      <c r="N5521">
        <v>5.3999999999999999E-2</v>
      </c>
    </row>
    <row r="5522" spans="1:14" x14ac:dyDescent="0.25">
      <c r="A5522" t="s">
        <v>9962</v>
      </c>
      <c r="B5522" t="s">
        <v>7489</v>
      </c>
      <c r="C5522" s="1" t="str">
        <f>HYPERLINK("http://www.genecards.org/cgi-bin/carddisp.pl?gene=TELO2","GeneCards")</f>
        <v>GeneCards</v>
      </c>
      <c r="D5522" s="1" t="str">
        <f>HYPERLINK("http://genome-euro.ucsc.edu/cgi-bin/hgTracks?position=209528_s_at","UCSC")</f>
        <v>UCSC</v>
      </c>
      <c r="E5522" s="1" t="str">
        <f>HYPERLINK("http://www.ncbi.nlm.nih.gov/gene/?term=TELO2","NCBI")</f>
        <v>NCBI</v>
      </c>
      <c r="F5522">
        <v>5.3999999999999999E-2</v>
      </c>
      <c r="G5522">
        <v>0.17</v>
      </c>
      <c r="H5522" s="1" t="str">
        <f>HYPERLINK("http://www.weizmann.ac.il/complex/compphys/software/geview/data/figures/209528_s_at.png","Figure")</f>
        <v>Figure</v>
      </c>
      <c r="I5522">
        <v>0.77200000000000002</v>
      </c>
      <c r="J5522">
        <v>8.1000000000000003E-2</v>
      </c>
      <c r="K5522">
        <v>0.99299999999999999</v>
      </c>
      <c r="L5522">
        <v>1</v>
      </c>
      <c r="M5522">
        <v>1.29</v>
      </c>
      <c r="N5522">
        <v>6.8000000000000005E-2</v>
      </c>
    </row>
    <row r="5523" spans="1:14" x14ac:dyDescent="0.25">
      <c r="A5523" t="s">
        <v>9963</v>
      </c>
      <c r="B5523" t="s">
        <v>9964</v>
      </c>
      <c r="C5523" s="1" t="str">
        <f>HYPERLINK("http://www.genecards.org/cgi-bin/carddisp.pl?gene=BST1","GeneCards")</f>
        <v>GeneCards</v>
      </c>
      <c r="D5523" s="1" t="str">
        <f>HYPERLINK("http://genome-euro.ucsc.edu/cgi-bin/hgTracks?position=205715_at","UCSC")</f>
        <v>UCSC</v>
      </c>
      <c r="E5523" s="1" t="str">
        <f>HYPERLINK("http://www.ncbi.nlm.nih.gov/gene/?term=BST1","NCBI")</f>
        <v>NCBI</v>
      </c>
      <c r="F5523">
        <v>5.3999999999999999E-2</v>
      </c>
      <c r="G5523">
        <v>0.17</v>
      </c>
      <c r="H5523" s="1" t="str">
        <f>HYPERLINK("http://www.weizmann.ac.il/complex/compphys/software/geview/data/figures/205715_at.png","Figure")</f>
        <v>Figure</v>
      </c>
      <c r="I5523">
        <v>0.72499999999999998</v>
      </c>
      <c r="J5523">
        <v>0.05</v>
      </c>
      <c r="K5523">
        <v>0.91700000000000004</v>
      </c>
      <c r="L5523">
        <v>0.7</v>
      </c>
      <c r="M5523">
        <v>1.27</v>
      </c>
      <c r="N5523">
        <v>0.14000000000000001</v>
      </c>
    </row>
    <row r="5524" spans="1:14" x14ac:dyDescent="0.25">
      <c r="A5524" t="s">
        <v>9965</v>
      </c>
      <c r="B5524" t="s">
        <v>9966</v>
      </c>
      <c r="C5524" s="1" t="str">
        <f>HYPERLINK("http://www.genecards.org/cgi-bin/carddisp.pl?gene=MET","GeneCards")</f>
        <v>GeneCards</v>
      </c>
      <c r="D5524" s="1" t="str">
        <f>HYPERLINK("http://genome-euro.ucsc.edu/cgi-bin/hgTracks?position=211599_x_at","UCSC")</f>
        <v>UCSC</v>
      </c>
      <c r="E5524" s="1" t="str">
        <f>HYPERLINK("http://www.ncbi.nlm.nih.gov/gene/?term=MET","NCBI")</f>
        <v>NCBI</v>
      </c>
      <c r="F5524">
        <v>5.3999999999999999E-2</v>
      </c>
      <c r="G5524">
        <v>0.17</v>
      </c>
      <c r="H5524" s="1" t="str">
        <f>HYPERLINK("http://www.weizmann.ac.il/complex/compphys/software/geview/data/figures/211599_x_at.png","Figure")</f>
        <v>Figure</v>
      </c>
      <c r="I5524">
        <v>1.18</v>
      </c>
      <c r="J5524">
        <v>6.4000000000000001E-2</v>
      </c>
      <c r="K5524">
        <v>1.02</v>
      </c>
      <c r="L5524">
        <v>0.93</v>
      </c>
      <c r="M5524">
        <v>0.86499999999999999</v>
      </c>
      <c r="N5524">
        <v>8.6999999999999994E-2</v>
      </c>
    </row>
    <row r="5525" spans="1:14" x14ac:dyDescent="0.25">
      <c r="A5525" t="s">
        <v>9967</v>
      </c>
      <c r="B5525" t="s">
        <v>9968</v>
      </c>
      <c r="C5525" s="1" t="str">
        <f>HYPERLINK("http://www.genecards.org/cgi-bin/carddisp.pl?gene=ZC3HAV1","GeneCards")</f>
        <v>GeneCards</v>
      </c>
      <c r="D5525" s="1" t="str">
        <f>HYPERLINK("http://genome-euro.ucsc.edu/cgi-bin/hgTracks?position=220104_at","UCSC")</f>
        <v>UCSC</v>
      </c>
      <c r="E5525" s="1" t="str">
        <f>HYPERLINK("http://www.ncbi.nlm.nih.gov/gene/?term=ZC3HAV1","NCBI")</f>
        <v>NCBI</v>
      </c>
      <c r="F5525">
        <v>5.3999999999999999E-2</v>
      </c>
      <c r="G5525">
        <v>0.17</v>
      </c>
      <c r="H5525" s="1" t="str">
        <f>HYPERLINK("http://www.weizmann.ac.il/complex/compphys/software/geview/data/figures/220104_at.png","Figure")</f>
        <v>Figure</v>
      </c>
      <c r="I5525">
        <v>0.75700000000000001</v>
      </c>
      <c r="J5525">
        <v>0.6</v>
      </c>
      <c r="K5525">
        <v>0.51800000000000002</v>
      </c>
      <c r="L5525">
        <v>4.7E-2</v>
      </c>
      <c r="M5525">
        <v>0.68400000000000005</v>
      </c>
      <c r="N5525">
        <v>0.35</v>
      </c>
    </row>
    <row r="5526" spans="1:14" x14ac:dyDescent="0.25">
      <c r="A5526" t="s">
        <v>9969</v>
      </c>
      <c r="B5526" t="s">
        <v>9970</v>
      </c>
      <c r="C5526" s="1" t="str">
        <f>HYPERLINK("http://www.genecards.org/cgi-bin/carddisp.pl?gene=TYR","GeneCards")</f>
        <v>GeneCards</v>
      </c>
      <c r="D5526" s="1" t="str">
        <f>HYPERLINK("http://genome-euro.ucsc.edu/cgi-bin/hgTracks?position=206630_at","UCSC")</f>
        <v>UCSC</v>
      </c>
      <c r="E5526" s="1" t="str">
        <f>HYPERLINK("http://www.ncbi.nlm.nih.gov/gene/?term=TYR","NCBI")</f>
        <v>NCBI</v>
      </c>
      <c r="F5526">
        <v>5.3999999999999999E-2</v>
      </c>
      <c r="G5526">
        <v>0.17</v>
      </c>
      <c r="H5526" s="1" t="str">
        <f>HYPERLINK("http://www.weizmann.ac.il/complex/compphys/software/geview/data/figures/206630_at.png","Figure")</f>
        <v>Figure</v>
      </c>
      <c r="I5526">
        <v>1.21</v>
      </c>
      <c r="J5526">
        <v>6.4000000000000001E-2</v>
      </c>
      <c r="K5526">
        <v>1.03</v>
      </c>
      <c r="L5526">
        <v>0.93</v>
      </c>
      <c r="M5526">
        <v>0.84699999999999998</v>
      </c>
      <c r="N5526">
        <v>8.6999999999999994E-2</v>
      </c>
    </row>
    <row r="5527" spans="1:14" x14ac:dyDescent="0.25">
      <c r="A5527" t="s">
        <v>9971</v>
      </c>
      <c r="B5527" t="s">
        <v>9972</v>
      </c>
      <c r="C5527" s="1" t="str">
        <f>HYPERLINK("http://www.genecards.org/cgi-bin/carddisp.pl?gene=KIF20A","GeneCards")</f>
        <v>GeneCards</v>
      </c>
      <c r="D5527" s="1" t="str">
        <f>HYPERLINK("http://genome-euro.ucsc.edu/cgi-bin/hgTracks?position=218755_at","UCSC")</f>
        <v>UCSC</v>
      </c>
      <c r="E5527" s="1" t="str">
        <f>HYPERLINK("http://www.ncbi.nlm.nih.gov/gene/?term=KIF20A","NCBI")</f>
        <v>NCBI</v>
      </c>
      <c r="F5527">
        <v>5.3999999999999999E-2</v>
      </c>
      <c r="G5527">
        <v>0.17</v>
      </c>
      <c r="H5527" s="1" t="str">
        <f>HYPERLINK("http://www.weizmann.ac.il/complex/compphys/software/geview/data/figures/218755_at.png","Figure")</f>
        <v>Figure</v>
      </c>
      <c r="I5527">
        <v>1.27</v>
      </c>
      <c r="J5527">
        <v>0.28000000000000003</v>
      </c>
      <c r="K5527">
        <v>1.42</v>
      </c>
      <c r="L5527">
        <v>4.4999999999999998E-2</v>
      </c>
      <c r="M5527">
        <v>1.1200000000000001</v>
      </c>
      <c r="N5527">
        <v>0.71</v>
      </c>
    </row>
    <row r="5528" spans="1:14" x14ac:dyDescent="0.25">
      <c r="A5528" t="s">
        <v>9973</v>
      </c>
      <c r="B5528" t="s">
        <v>9974</v>
      </c>
      <c r="C5528" s="1" t="str">
        <f>HYPERLINK("http://www.genecards.org/cgi-bin/carddisp.pl?gene=TRIP12","GeneCards")</f>
        <v>GeneCards</v>
      </c>
      <c r="D5528" s="1" t="str">
        <f>HYPERLINK("http://genome-euro.ucsc.edu/cgi-bin/hgTracks?position=201546_at","UCSC")</f>
        <v>UCSC</v>
      </c>
      <c r="E5528" s="1" t="str">
        <f>HYPERLINK("http://www.ncbi.nlm.nih.gov/gene/?term=TRIP12","NCBI")</f>
        <v>NCBI</v>
      </c>
      <c r="F5528">
        <v>5.5E-2</v>
      </c>
      <c r="G5528">
        <v>0.17</v>
      </c>
      <c r="H5528" s="1" t="str">
        <f>HYPERLINK("http://www.weizmann.ac.il/complex/compphys/software/geview/data/figures/201546_at.png","Figure")</f>
        <v>Figure</v>
      </c>
      <c r="I5528">
        <v>1.4</v>
      </c>
      <c r="J5528">
        <v>0.14000000000000001</v>
      </c>
      <c r="K5528">
        <v>0.92800000000000005</v>
      </c>
      <c r="L5528">
        <v>0.87</v>
      </c>
      <c r="M5528">
        <v>0.66100000000000003</v>
      </c>
      <c r="N5528">
        <v>4.9000000000000002E-2</v>
      </c>
    </row>
    <row r="5529" spans="1:14" x14ac:dyDescent="0.25">
      <c r="A5529" t="s">
        <v>9975</v>
      </c>
      <c r="B5529" t="s">
        <v>9976</v>
      </c>
      <c r="C5529" s="1" t="str">
        <f>HYPERLINK("http://www.genecards.org/cgi-bin/carddisp.pl?gene=C22orf29","GeneCards")</f>
        <v>GeneCards</v>
      </c>
      <c r="D5529" s="1" t="str">
        <f>HYPERLINK("http://genome-euro.ucsc.edu/cgi-bin/hgTracks?position=219560_at","UCSC")</f>
        <v>UCSC</v>
      </c>
      <c r="E5529" s="1" t="str">
        <f>HYPERLINK("http://www.ncbi.nlm.nih.gov/gene/?term=C22orf29","NCBI")</f>
        <v>NCBI</v>
      </c>
      <c r="F5529">
        <v>5.5E-2</v>
      </c>
      <c r="G5529">
        <v>0.17</v>
      </c>
      <c r="H5529" s="1" t="str">
        <f>HYPERLINK("http://www.weizmann.ac.il/complex/compphys/software/geview/data/figures/219560_at.png","Figure")</f>
        <v>Figure</v>
      </c>
      <c r="I5529">
        <v>1.1399999999999999</v>
      </c>
      <c r="J5529">
        <v>4.3999999999999997E-2</v>
      </c>
      <c r="K5529">
        <v>1.06</v>
      </c>
      <c r="L5529">
        <v>0.43</v>
      </c>
      <c r="M5529">
        <v>0.92500000000000004</v>
      </c>
      <c r="N5529">
        <v>0.24</v>
      </c>
    </row>
    <row r="5530" spans="1:14" x14ac:dyDescent="0.25">
      <c r="A5530" t="s">
        <v>9977</v>
      </c>
      <c r="B5530" t="s">
        <v>9978</v>
      </c>
      <c r="C5530" s="1" t="str">
        <f>HYPERLINK("http://www.genecards.org/cgi-bin/carddisp.pl?gene=MANF","GeneCards")</f>
        <v>GeneCards</v>
      </c>
      <c r="D5530" s="1" t="str">
        <f>HYPERLINK("http://genome-euro.ucsc.edu/cgi-bin/hgTracks?position=202655_at","UCSC")</f>
        <v>UCSC</v>
      </c>
      <c r="E5530" s="1" t="str">
        <f>HYPERLINK("http://www.ncbi.nlm.nih.gov/gene/?term=MANF","NCBI")</f>
        <v>NCBI</v>
      </c>
      <c r="F5530">
        <v>5.5E-2</v>
      </c>
      <c r="G5530">
        <v>0.17</v>
      </c>
      <c r="H5530" s="1" t="str">
        <f>HYPERLINK("http://www.weizmann.ac.il/complex/compphys/software/geview/data/figures/202655_at.png","Figure")</f>
        <v>Figure</v>
      </c>
      <c r="I5530">
        <v>1.06</v>
      </c>
      <c r="J5530">
        <v>0.91</v>
      </c>
      <c r="K5530">
        <v>1.36</v>
      </c>
      <c r="L5530">
        <v>6.2E-2</v>
      </c>
      <c r="M5530">
        <v>1.28</v>
      </c>
      <c r="N5530">
        <v>0.18</v>
      </c>
    </row>
    <row r="5531" spans="1:14" x14ac:dyDescent="0.25">
      <c r="A5531" t="s">
        <v>9979</v>
      </c>
      <c r="B5531" t="s">
        <v>9980</v>
      </c>
      <c r="C5531" s="1" t="str">
        <f>HYPERLINK("http://www.genecards.org/cgi-bin/carddisp.pl?gene=SEPX1","GeneCards")</f>
        <v>GeneCards</v>
      </c>
      <c r="D5531" s="1" t="str">
        <f>HYPERLINK("http://genome-euro.ucsc.edu/cgi-bin/hgTracks?position=217977_at","UCSC")</f>
        <v>UCSC</v>
      </c>
      <c r="E5531" s="1" t="str">
        <f>HYPERLINK("http://www.ncbi.nlm.nih.gov/gene/?term=SEPX1","NCBI")</f>
        <v>NCBI</v>
      </c>
      <c r="F5531">
        <v>5.5E-2</v>
      </c>
      <c r="G5531">
        <v>0.17</v>
      </c>
      <c r="H5531" s="1" t="str">
        <f>HYPERLINK("http://www.weizmann.ac.il/complex/compphys/software/geview/data/figures/217977_at.png","Figure")</f>
        <v>Figure</v>
      </c>
      <c r="I5531">
        <v>1.1499999999999999</v>
      </c>
      <c r="J5531">
        <v>0.06</v>
      </c>
      <c r="K5531">
        <v>1.1100000000000001</v>
      </c>
      <c r="L5531">
        <v>0.13</v>
      </c>
      <c r="M5531">
        <v>0.96199999999999997</v>
      </c>
      <c r="N5531">
        <v>0.74</v>
      </c>
    </row>
    <row r="5532" spans="1:14" x14ac:dyDescent="0.25">
      <c r="A5532" t="s">
        <v>9981</v>
      </c>
      <c r="B5532" t="s">
        <v>6951</v>
      </c>
      <c r="C5532" s="1" t="str">
        <f>HYPERLINK("http://www.genecards.org/cgi-bin/carddisp.pl?gene=GRSF1","GeneCards")</f>
        <v>GeneCards</v>
      </c>
      <c r="D5532" s="1" t="str">
        <f>HYPERLINK("http://genome-euro.ucsc.edu/cgi-bin/hgTracks?position=215030_at","UCSC")</f>
        <v>UCSC</v>
      </c>
      <c r="E5532" s="1" t="str">
        <f>HYPERLINK("http://www.ncbi.nlm.nih.gov/gene/?term=GRSF1","NCBI")</f>
        <v>NCBI</v>
      </c>
      <c r="F5532">
        <v>5.5E-2</v>
      </c>
      <c r="G5532">
        <v>0.17</v>
      </c>
      <c r="H5532" s="1" t="str">
        <f>HYPERLINK("http://www.weizmann.ac.il/complex/compphys/software/geview/data/figures/215030_at.png","Figure")</f>
        <v>Figure</v>
      </c>
      <c r="I5532">
        <v>0.70499999999999996</v>
      </c>
      <c r="J5532">
        <v>8.6999999999999994E-2</v>
      </c>
      <c r="K5532">
        <v>1</v>
      </c>
      <c r="L5532">
        <v>1</v>
      </c>
      <c r="M5532">
        <v>1.42</v>
      </c>
      <c r="N5532">
        <v>6.5000000000000002E-2</v>
      </c>
    </row>
    <row r="5533" spans="1:14" x14ac:dyDescent="0.25">
      <c r="A5533" t="s">
        <v>9982</v>
      </c>
      <c r="B5533" t="s">
        <v>7225</v>
      </c>
      <c r="C5533" s="1" t="str">
        <f>HYPERLINK("http://www.genecards.org/cgi-bin/carddisp.pl?gene=UBE2A","GeneCards")</f>
        <v>GeneCards</v>
      </c>
      <c r="D5533" s="1" t="str">
        <f>HYPERLINK("http://genome-euro.ucsc.edu/cgi-bin/hgTracks?position=201898_s_at","UCSC")</f>
        <v>UCSC</v>
      </c>
      <c r="E5533" s="1" t="str">
        <f>HYPERLINK("http://www.ncbi.nlm.nih.gov/gene/?term=UBE2A","NCBI")</f>
        <v>NCBI</v>
      </c>
      <c r="F5533">
        <v>5.5E-2</v>
      </c>
      <c r="G5533">
        <v>0.17</v>
      </c>
      <c r="H5533" s="1" t="str">
        <f>HYPERLINK("http://www.weizmann.ac.il/complex/compphys/software/geview/data/figures/201898_s_at.png","Figure")</f>
        <v>Figure</v>
      </c>
      <c r="I5533">
        <v>0.70499999999999996</v>
      </c>
      <c r="J5533">
        <v>0.35</v>
      </c>
      <c r="K5533">
        <v>0.56499999999999995</v>
      </c>
      <c r="L5533">
        <v>4.3999999999999997E-2</v>
      </c>
      <c r="M5533">
        <v>0.80200000000000005</v>
      </c>
      <c r="N5533">
        <v>0.6</v>
      </c>
    </row>
    <row r="5534" spans="1:14" x14ac:dyDescent="0.25">
      <c r="A5534" t="s">
        <v>9983</v>
      </c>
      <c r="B5534" t="s">
        <v>9984</v>
      </c>
      <c r="C5534" s="1" t="str">
        <f>HYPERLINK("http://www.genecards.org/cgi-bin/carddisp.pl?gene=DNAH6","GeneCards")</f>
        <v>GeneCards</v>
      </c>
      <c r="D5534" s="1" t="str">
        <f>HYPERLINK("http://genome-euro.ucsc.edu/cgi-bin/hgTracks?position=215341_at","UCSC")</f>
        <v>UCSC</v>
      </c>
      <c r="E5534" s="1" t="str">
        <f>HYPERLINK("http://www.ncbi.nlm.nih.gov/gene/?term=DNAH6","NCBI")</f>
        <v>NCBI</v>
      </c>
      <c r="F5534">
        <v>5.5E-2</v>
      </c>
      <c r="G5534">
        <v>0.17</v>
      </c>
      <c r="H5534" s="1" t="str">
        <f>HYPERLINK("http://www.weizmann.ac.il/complex/compphys/software/geview/data/figures/215341_at.png","Figure")</f>
        <v>Figure</v>
      </c>
      <c r="I5534">
        <v>1.24</v>
      </c>
      <c r="J5534">
        <v>4.8000000000000001E-2</v>
      </c>
      <c r="K5534">
        <v>1.07</v>
      </c>
      <c r="L5534">
        <v>0.64</v>
      </c>
      <c r="M5534">
        <v>0.86199999999999999</v>
      </c>
      <c r="N5534">
        <v>0.15</v>
      </c>
    </row>
    <row r="5535" spans="1:14" x14ac:dyDescent="0.25">
      <c r="A5535" t="s">
        <v>9985</v>
      </c>
      <c r="B5535" t="s">
        <v>9986</v>
      </c>
      <c r="C5535" s="1" t="str">
        <f>HYPERLINK("http://www.genecards.org/cgi-bin/carddisp.pl?gene=SERINC3","GeneCards")</f>
        <v>GeneCards</v>
      </c>
      <c r="D5535" s="1" t="str">
        <f>HYPERLINK("http://genome-euro.ucsc.edu/cgi-bin/hgTracks?position=221472_at","UCSC")</f>
        <v>UCSC</v>
      </c>
      <c r="E5535" s="1" t="str">
        <f>HYPERLINK("http://www.ncbi.nlm.nih.gov/gene/?term=SERINC3","NCBI")</f>
        <v>NCBI</v>
      </c>
      <c r="F5535">
        <v>5.5E-2</v>
      </c>
      <c r="G5535">
        <v>0.17</v>
      </c>
      <c r="H5535" s="1" t="str">
        <f>HYPERLINK("http://www.weizmann.ac.il/complex/compphys/software/geview/data/figures/221472_at.png","Figure")</f>
        <v>Figure</v>
      </c>
      <c r="I5535">
        <v>0.92300000000000004</v>
      </c>
      <c r="J5535">
        <v>0.7</v>
      </c>
      <c r="K5535">
        <v>0.8</v>
      </c>
      <c r="L5535">
        <v>0.05</v>
      </c>
      <c r="M5535">
        <v>0.86699999999999999</v>
      </c>
      <c r="N5535">
        <v>0.28999999999999998</v>
      </c>
    </row>
    <row r="5536" spans="1:14" x14ac:dyDescent="0.25">
      <c r="A5536" t="s">
        <v>9987</v>
      </c>
      <c r="B5536" t="s">
        <v>9988</v>
      </c>
      <c r="C5536" s="1" t="str">
        <f>HYPERLINK("http://www.genecards.org/cgi-bin/carddisp.pl?gene=SAMSN1","GeneCards")</f>
        <v>GeneCards</v>
      </c>
      <c r="D5536" s="1" t="str">
        <f>HYPERLINK("http://genome-euro.ucsc.edu/cgi-bin/hgTracks?position=220330_s_at","UCSC")</f>
        <v>UCSC</v>
      </c>
      <c r="E5536" s="1" t="str">
        <f>HYPERLINK("http://www.ncbi.nlm.nih.gov/gene/?term=SAMSN1","NCBI")</f>
        <v>NCBI</v>
      </c>
      <c r="F5536">
        <v>5.5E-2</v>
      </c>
      <c r="G5536">
        <v>0.17</v>
      </c>
      <c r="H5536" s="1" t="str">
        <f>HYPERLINK("http://www.weizmann.ac.il/complex/compphys/software/geview/data/figures/220330_s_at.png","Figure")</f>
        <v>Figure</v>
      </c>
      <c r="I5536">
        <v>1</v>
      </c>
      <c r="J5536">
        <v>1</v>
      </c>
      <c r="K5536">
        <v>0.74399999999999999</v>
      </c>
      <c r="L5536">
        <v>8.6999999999999994E-2</v>
      </c>
      <c r="M5536">
        <v>0.74399999999999999</v>
      </c>
      <c r="N5536">
        <v>0.11</v>
      </c>
    </row>
    <row r="5537" spans="1:14" x14ac:dyDescent="0.25">
      <c r="A5537" t="s">
        <v>9989</v>
      </c>
      <c r="B5537" t="s">
        <v>7464</v>
      </c>
      <c r="C5537" s="1" t="str">
        <f>HYPERLINK("http://www.genecards.org/cgi-bin/carddisp.pl?gene=NR1H3","GeneCards")</f>
        <v>GeneCards</v>
      </c>
      <c r="D5537" s="1" t="str">
        <f>HYPERLINK("http://genome-euro.ucsc.edu/cgi-bin/hgTracks?position=203920_at","UCSC")</f>
        <v>UCSC</v>
      </c>
      <c r="E5537" s="1" t="str">
        <f>HYPERLINK("http://www.ncbi.nlm.nih.gov/gene/?term=NR1H3","NCBI")</f>
        <v>NCBI</v>
      </c>
      <c r="F5537">
        <v>5.5E-2</v>
      </c>
      <c r="G5537">
        <v>0.17</v>
      </c>
      <c r="H5537" s="1" t="str">
        <f>HYPERLINK("http://www.weizmann.ac.il/complex/compphys/software/geview/data/figures/203920_at.png","Figure")</f>
        <v>Figure</v>
      </c>
      <c r="I5537">
        <v>0.96499999999999997</v>
      </c>
      <c r="J5537">
        <v>0.57999999999999996</v>
      </c>
      <c r="K5537">
        <v>1.05</v>
      </c>
      <c r="L5537">
        <v>0.26</v>
      </c>
      <c r="M5537">
        <v>1.0900000000000001</v>
      </c>
      <c r="N5537">
        <v>5.1999999999999998E-2</v>
      </c>
    </row>
    <row r="5538" spans="1:14" x14ac:dyDescent="0.25">
      <c r="A5538" t="s">
        <v>9990</v>
      </c>
      <c r="B5538" t="s">
        <v>2226</v>
      </c>
      <c r="C5538" s="1" t="str">
        <f>HYPERLINK("http://www.genecards.org/cgi-bin/carddisp.pl?gene=PURA","GeneCards")</f>
        <v>GeneCards</v>
      </c>
      <c r="D5538" s="1" t="str">
        <f>HYPERLINK("http://genome-euro.ucsc.edu/cgi-bin/hgTracks?position=204021_s_at","UCSC")</f>
        <v>UCSC</v>
      </c>
      <c r="E5538" s="1" t="str">
        <f>HYPERLINK("http://www.ncbi.nlm.nih.gov/gene/?term=PURA","NCBI")</f>
        <v>NCBI</v>
      </c>
      <c r="F5538">
        <v>5.5E-2</v>
      </c>
      <c r="G5538">
        <v>0.17</v>
      </c>
      <c r="H5538" s="1" t="str">
        <f>HYPERLINK("http://www.weizmann.ac.il/complex/compphys/software/geview/data/figures/204021_s_at.png","Figure")</f>
        <v>Figure</v>
      </c>
      <c r="I5538">
        <v>0.68100000000000005</v>
      </c>
      <c r="J5538">
        <v>0.26</v>
      </c>
      <c r="K5538">
        <v>1.23</v>
      </c>
      <c r="L5538">
        <v>0.57999999999999996</v>
      </c>
      <c r="M5538">
        <v>1.81</v>
      </c>
      <c r="N5538">
        <v>4.3999999999999997E-2</v>
      </c>
    </row>
    <row r="5539" spans="1:14" x14ac:dyDescent="0.25">
      <c r="A5539" t="s">
        <v>9991</v>
      </c>
      <c r="B5539" t="s">
        <v>9992</v>
      </c>
      <c r="C5539" s="1" t="str">
        <f>HYPERLINK("http://www.genecards.org/cgi-bin/carddisp.pl?gene=KCNS3","GeneCards")</f>
        <v>GeneCards</v>
      </c>
      <c r="D5539" s="1" t="str">
        <f>HYPERLINK("http://genome-euro.ucsc.edu/cgi-bin/hgTracks?position=205968_at","UCSC")</f>
        <v>UCSC</v>
      </c>
      <c r="E5539" s="1" t="str">
        <f>HYPERLINK("http://www.ncbi.nlm.nih.gov/gene/?term=KCNS3","NCBI")</f>
        <v>NCBI</v>
      </c>
      <c r="F5539">
        <v>5.5E-2</v>
      </c>
      <c r="G5539">
        <v>0.17</v>
      </c>
      <c r="H5539" s="1" t="str">
        <f>HYPERLINK("http://www.weizmann.ac.il/complex/compphys/software/geview/data/figures/205968_at.png","Figure")</f>
        <v>Figure</v>
      </c>
      <c r="I5539">
        <v>1.18</v>
      </c>
      <c r="J5539">
        <v>0.25</v>
      </c>
      <c r="K5539">
        <v>0.92</v>
      </c>
      <c r="L5539">
        <v>0.61</v>
      </c>
      <c r="M5539">
        <v>0.77900000000000003</v>
      </c>
      <c r="N5539">
        <v>4.4999999999999998E-2</v>
      </c>
    </row>
    <row r="5540" spans="1:14" x14ac:dyDescent="0.25">
      <c r="A5540" t="s">
        <v>9993</v>
      </c>
      <c r="B5540" t="s">
        <v>9994</v>
      </c>
      <c r="C5540" s="1" t="str">
        <f>HYPERLINK("http://www.genecards.org/cgi-bin/carddisp.pl?gene=CRTC3","GeneCards")</f>
        <v>GeneCards</v>
      </c>
      <c r="D5540" s="1" t="str">
        <f>HYPERLINK("http://genome-euro.ucsc.edu/cgi-bin/hgTracks?position=218648_at","UCSC")</f>
        <v>UCSC</v>
      </c>
      <c r="E5540" s="1" t="str">
        <f>HYPERLINK("http://www.ncbi.nlm.nih.gov/gene/?term=CRTC3","NCBI")</f>
        <v>NCBI</v>
      </c>
      <c r="F5540">
        <v>5.5E-2</v>
      </c>
      <c r="G5540">
        <v>0.17</v>
      </c>
      <c r="H5540" s="1" t="str">
        <f>HYPERLINK("http://www.weizmann.ac.il/complex/compphys/software/geview/data/figures/218648_at.png","Figure")</f>
        <v>Figure</v>
      </c>
      <c r="I5540">
        <v>0.8</v>
      </c>
      <c r="J5540">
        <v>0.31</v>
      </c>
      <c r="K5540">
        <v>0.70799999999999996</v>
      </c>
      <c r="L5540">
        <v>4.4999999999999998E-2</v>
      </c>
      <c r="M5540">
        <v>0.88500000000000001</v>
      </c>
      <c r="N5540">
        <v>0.66</v>
      </c>
    </row>
    <row r="5541" spans="1:14" x14ac:dyDescent="0.25">
      <c r="A5541" t="s">
        <v>9995</v>
      </c>
      <c r="B5541" t="s">
        <v>6148</v>
      </c>
      <c r="C5541" s="1" t="str">
        <f>HYPERLINK("http://www.genecards.org/cgi-bin/carddisp.pl?gene=GTPBP1","GeneCards")</f>
        <v>GeneCards</v>
      </c>
      <c r="D5541" s="1" t="str">
        <f>HYPERLINK("http://genome-euro.ucsc.edu/cgi-bin/hgTracks?position=205275_at","UCSC")</f>
        <v>UCSC</v>
      </c>
      <c r="E5541" s="1" t="str">
        <f>HYPERLINK("http://www.ncbi.nlm.nih.gov/gene/?term=GTPBP1","NCBI")</f>
        <v>NCBI</v>
      </c>
      <c r="F5541">
        <v>5.5E-2</v>
      </c>
      <c r="G5541">
        <v>0.17</v>
      </c>
      <c r="H5541" s="1" t="str">
        <f>HYPERLINK("http://www.weizmann.ac.il/complex/compphys/software/geview/data/figures/205275_at.png","Figure")</f>
        <v>Figure</v>
      </c>
      <c r="I5541">
        <v>1.18</v>
      </c>
      <c r="J5541">
        <v>0.05</v>
      </c>
      <c r="K5541">
        <v>1.05</v>
      </c>
      <c r="L5541">
        <v>0.69</v>
      </c>
      <c r="M5541">
        <v>0.88400000000000001</v>
      </c>
      <c r="N5541">
        <v>0.14000000000000001</v>
      </c>
    </row>
    <row r="5542" spans="1:14" x14ac:dyDescent="0.25">
      <c r="A5542" t="s">
        <v>9996</v>
      </c>
      <c r="B5542" t="s">
        <v>9997</v>
      </c>
      <c r="C5542" s="1" t="str">
        <f>HYPERLINK("http://www.genecards.org/cgi-bin/carddisp.pl?gene=UGT1A1 /// UGT1A10 /// UGT1A3 /// UGT1A4 /// UGT1A5 /// UGT1A6 /// UGT1A7 /// UGT1A8 /// UGT1A9","GeneCards")</f>
        <v>GeneCards</v>
      </c>
      <c r="D5542" s="1" t="str">
        <f>HYPERLINK("http://genome-euro.ucsc.edu/cgi-bin/hgTracks?position=206094_x_at","UCSC")</f>
        <v>UCSC</v>
      </c>
      <c r="E5542" s="1" t="str">
        <f>HYPERLINK("http://www.ncbi.nlm.nih.gov/gene/?term=UGT1A1 /// UGT1A10 /// UGT1A3 /// UGT1A4 /// UGT1A5 /// UGT1A6 /// UGT1A7 /// UGT1A8 /// UGT1A9","NCBI")</f>
        <v>NCBI</v>
      </c>
      <c r="F5542">
        <v>5.5E-2</v>
      </c>
      <c r="G5542">
        <v>0.17</v>
      </c>
      <c r="H5542" s="1" t="str">
        <f>HYPERLINK("http://www.weizmann.ac.il/complex/compphys/software/geview/data/figures/206094_x_at.png","Figure")</f>
        <v>Figure</v>
      </c>
      <c r="I5542">
        <v>1.23</v>
      </c>
      <c r="J5542">
        <v>5.7000000000000002E-2</v>
      </c>
      <c r="K5542">
        <v>1.04</v>
      </c>
      <c r="L5542">
        <v>0.83</v>
      </c>
      <c r="M5542">
        <v>0.84599999999999997</v>
      </c>
      <c r="N5542">
        <v>0.11</v>
      </c>
    </row>
    <row r="5543" spans="1:14" x14ac:dyDescent="0.25">
      <c r="A5543" t="s">
        <v>9998</v>
      </c>
      <c r="B5543" t="s">
        <v>9999</v>
      </c>
      <c r="C5543" s="1" t="str">
        <f>HYPERLINK("http://www.genecards.org/cgi-bin/carddisp.pl?gene=MAN2A2","GeneCards")</f>
        <v>GeneCards</v>
      </c>
      <c r="D5543" s="1" t="str">
        <f>HYPERLINK("http://genome-euro.ucsc.edu/cgi-bin/hgTracks?position=202032_s_at","UCSC")</f>
        <v>UCSC</v>
      </c>
      <c r="E5543" s="1" t="str">
        <f>HYPERLINK("http://www.ncbi.nlm.nih.gov/gene/?term=MAN2A2","NCBI")</f>
        <v>NCBI</v>
      </c>
      <c r="F5543">
        <v>5.5E-2</v>
      </c>
      <c r="G5543">
        <v>0.17</v>
      </c>
      <c r="H5543" s="1" t="str">
        <f>HYPERLINK("http://www.weizmann.ac.il/complex/compphys/software/geview/data/figures/202032_s_at.png","Figure")</f>
        <v>Figure</v>
      </c>
      <c r="I5543">
        <v>1.34</v>
      </c>
      <c r="J5543">
        <v>5.2999999999999999E-2</v>
      </c>
      <c r="K5543">
        <v>1.07</v>
      </c>
      <c r="L5543">
        <v>0.76</v>
      </c>
      <c r="M5543">
        <v>0.79800000000000004</v>
      </c>
      <c r="N5543">
        <v>0.12</v>
      </c>
    </row>
    <row r="5544" spans="1:14" x14ac:dyDescent="0.25">
      <c r="A5544" t="s">
        <v>10000</v>
      </c>
      <c r="B5544" t="s">
        <v>6510</v>
      </c>
      <c r="C5544" s="1" t="str">
        <f>HYPERLINK("http://www.genecards.org/cgi-bin/carddisp.pl?gene=SPN","GeneCards")</f>
        <v>GeneCards</v>
      </c>
      <c r="D5544" s="1" t="str">
        <f>HYPERLINK("http://genome-euro.ucsc.edu/cgi-bin/hgTracks?position=216980_s_at","UCSC")</f>
        <v>UCSC</v>
      </c>
      <c r="E5544" s="1" t="str">
        <f>HYPERLINK("http://www.ncbi.nlm.nih.gov/gene/?term=SPN","NCBI")</f>
        <v>NCBI</v>
      </c>
      <c r="F5544">
        <v>5.5E-2</v>
      </c>
      <c r="G5544">
        <v>0.17</v>
      </c>
      <c r="H5544" s="1" t="str">
        <f>HYPERLINK("http://www.weizmann.ac.il/complex/compphys/software/geview/data/figures/216980_s_at.png","Figure")</f>
        <v>Figure</v>
      </c>
      <c r="I5544">
        <v>1.33</v>
      </c>
      <c r="J5544">
        <v>5.5E-2</v>
      </c>
      <c r="K5544">
        <v>1.21</v>
      </c>
      <c r="L5544">
        <v>0.15</v>
      </c>
      <c r="M5544">
        <v>0.91300000000000003</v>
      </c>
      <c r="N5544">
        <v>0.66</v>
      </c>
    </row>
    <row r="5545" spans="1:14" x14ac:dyDescent="0.25">
      <c r="A5545" t="s">
        <v>10001</v>
      </c>
      <c r="B5545" t="s">
        <v>10002</v>
      </c>
      <c r="C5545" s="1" t="str">
        <f>HYPERLINK("http://www.genecards.org/cgi-bin/carddisp.pl?gene=CRNKL1","GeneCards")</f>
        <v>GeneCards</v>
      </c>
      <c r="D5545" s="1" t="str">
        <f>HYPERLINK("http://genome-euro.ucsc.edu/cgi-bin/hgTracks?position=219913_s_at","UCSC")</f>
        <v>UCSC</v>
      </c>
      <c r="E5545" s="1" t="str">
        <f>HYPERLINK("http://www.ncbi.nlm.nih.gov/gene/?term=CRNKL1","NCBI")</f>
        <v>NCBI</v>
      </c>
      <c r="F5545">
        <v>5.5E-2</v>
      </c>
      <c r="G5545">
        <v>0.17</v>
      </c>
      <c r="H5545" s="1" t="str">
        <f>HYPERLINK("http://www.weizmann.ac.il/complex/compphys/software/geview/data/figures/219913_s_at.png","Figure")</f>
        <v>Figure</v>
      </c>
      <c r="I5545">
        <v>0.93100000000000005</v>
      </c>
      <c r="J5545">
        <v>0.83</v>
      </c>
      <c r="K5545">
        <v>1.23</v>
      </c>
      <c r="L5545">
        <v>0.16</v>
      </c>
      <c r="M5545">
        <v>1.33</v>
      </c>
      <c r="N5545">
        <v>6.8000000000000005E-2</v>
      </c>
    </row>
    <row r="5546" spans="1:14" x14ac:dyDescent="0.25">
      <c r="A5546" t="s">
        <v>10003</v>
      </c>
      <c r="B5546" t="s">
        <v>10004</v>
      </c>
      <c r="C5546" s="1" t="str">
        <f>HYPERLINK("http://www.genecards.org/cgi-bin/carddisp.pl?gene=CDK2AP1","GeneCards")</f>
        <v>GeneCards</v>
      </c>
      <c r="D5546" s="1" t="str">
        <f>HYPERLINK("http://genome-euro.ucsc.edu/cgi-bin/hgTracks?position=201938_at","UCSC")</f>
        <v>UCSC</v>
      </c>
      <c r="E5546" s="1" t="str">
        <f>HYPERLINK("http://www.ncbi.nlm.nih.gov/gene/?term=CDK2AP1","NCBI")</f>
        <v>NCBI</v>
      </c>
      <c r="F5546">
        <v>5.5E-2</v>
      </c>
      <c r="G5546">
        <v>0.17</v>
      </c>
      <c r="H5546" s="1" t="str">
        <f>HYPERLINK("http://www.weizmann.ac.il/complex/compphys/software/geview/data/figures/201938_at.png","Figure")</f>
        <v>Figure</v>
      </c>
      <c r="I5546">
        <v>1.2</v>
      </c>
      <c r="J5546">
        <v>0.45</v>
      </c>
      <c r="K5546">
        <v>1.4</v>
      </c>
      <c r="L5546">
        <v>4.4999999999999998E-2</v>
      </c>
      <c r="M5546">
        <v>1.17</v>
      </c>
      <c r="N5546">
        <v>0.48</v>
      </c>
    </row>
    <row r="5547" spans="1:14" x14ac:dyDescent="0.25">
      <c r="A5547" t="s">
        <v>10005</v>
      </c>
      <c r="B5547" t="s">
        <v>10006</v>
      </c>
      <c r="C5547" s="1" t="str">
        <f>HYPERLINK("http://www.genecards.org/cgi-bin/carddisp.pl?gene=CNNM2","GeneCards")</f>
        <v>GeneCards</v>
      </c>
      <c r="D5547" s="1" t="str">
        <f>HYPERLINK("http://genome-euro.ucsc.edu/cgi-bin/hgTracks?position=209874_x_at","UCSC")</f>
        <v>UCSC</v>
      </c>
      <c r="E5547" s="1" t="str">
        <f>HYPERLINK("http://www.ncbi.nlm.nih.gov/gene/?term=CNNM2","NCBI")</f>
        <v>NCBI</v>
      </c>
      <c r="F5547">
        <v>5.5E-2</v>
      </c>
      <c r="G5547">
        <v>0.17</v>
      </c>
      <c r="H5547" s="1" t="str">
        <f>HYPERLINK("http://www.weizmann.ac.il/complex/compphys/software/geview/data/figures/209874_x_at.png","Figure")</f>
        <v>Figure</v>
      </c>
      <c r="I5547">
        <v>1.27</v>
      </c>
      <c r="J5547">
        <v>4.4999999999999998E-2</v>
      </c>
      <c r="K5547">
        <v>1.1000000000000001</v>
      </c>
      <c r="L5547">
        <v>0.48</v>
      </c>
      <c r="M5547">
        <v>0.86399999999999999</v>
      </c>
      <c r="N5547">
        <v>0.22</v>
      </c>
    </row>
    <row r="5548" spans="1:14" x14ac:dyDescent="0.25">
      <c r="A5548" t="s">
        <v>10007</v>
      </c>
      <c r="B5548" t="s">
        <v>10008</v>
      </c>
      <c r="C5548" s="1" t="str">
        <f>HYPERLINK("http://www.genecards.org/cgi-bin/carddisp.pl?gene=MATN1","GeneCards")</f>
        <v>GeneCards</v>
      </c>
      <c r="D5548" s="1" t="str">
        <f>HYPERLINK("http://genome-euro.ucsc.edu/cgi-bin/hgTracks?position=206905_s_at","UCSC")</f>
        <v>UCSC</v>
      </c>
      <c r="E5548" s="1" t="str">
        <f>HYPERLINK("http://www.ncbi.nlm.nih.gov/gene/?term=MATN1","NCBI")</f>
        <v>NCBI</v>
      </c>
      <c r="F5548">
        <v>5.5E-2</v>
      </c>
      <c r="G5548">
        <v>0.17</v>
      </c>
      <c r="H5548" s="1" t="str">
        <f>HYPERLINK("http://www.weizmann.ac.il/complex/compphys/software/geview/data/figures/206905_s_at.png","Figure")</f>
        <v>Figure</v>
      </c>
      <c r="I5548">
        <v>0.99299999999999999</v>
      </c>
      <c r="J5548">
        <v>0.99</v>
      </c>
      <c r="K5548">
        <v>0.88700000000000001</v>
      </c>
      <c r="L5548">
        <v>7.9000000000000001E-2</v>
      </c>
      <c r="M5548">
        <v>0.89300000000000002</v>
      </c>
      <c r="N5548">
        <v>0.13</v>
      </c>
    </row>
    <row r="5549" spans="1:14" x14ac:dyDescent="0.25">
      <c r="A5549" t="s">
        <v>10009</v>
      </c>
      <c r="B5549" t="s">
        <v>10010</v>
      </c>
      <c r="C5549" s="1" t="str">
        <f>HYPERLINK("http://www.genecards.org/cgi-bin/carddisp.pl?gene=ALG9","GeneCards")</f>
        <v>GeneCards</v>
      </c>
      <c r="D5549" s="1" t="str">
        <f>HYPERLINK("http://genome-euro.ucsc.edu/cgi-bin/hgTracks?position=219374_s_at","UCSC")</f>
        <v>UCSC</v>
      </c>
      <c r="E5549" s="1" t="str">
        <f>HYPERLINK("http://www.ncbi.nlm.nih.gov/gene/?term=ALG9","NCBI")</f>
        <v>NCBI</v>
      </c>
      <c r="F5549">
        <v>5.5E-2</v>
      </c>
      <c r="G5549">
        <v>0.17</v>
      </c>
      <c r="H5549" s="1" t="str">
        <f>HYPERLINK("http://www.weizmann.ac.il/complex/compphys/software/geview/data/figures/219374_s_at.png","Figure")</f>
        <v>Figure</v>
      </c>
      <c r="I5549">
        <v>0.754</v>
      </c>
      <c r="J5549">
        <v>0.43</v>
      </c>
      <c r="K5549">
        <v>0.59599999999999997</v>
      </c>
      <c r="L5549">
        <v>4.4999999999999998E-2</v>
      </c>
      <c r="M5549">
        <v>0.79100000000000004</v>
      </c>
      <c r="N5549">
        <v>0.5</v>
      </c>
    </row>
    <row r="5550" spans="1:14" x14ac:dyDescent="0.25">
      <c r="A5550" t="s">
        <v>10011</v>
      </c>
      <c r="B5550" t="s">
        <v>10012</v>
      </c>
      <c r="C5550" s="1" t="str">
        <f>HYPERLINK("http://www.genecards.org/cgi-bin/carddisp.pl?gene=TSHZ2","GeneCards")</f>
        <v>GeneCards</v>
      </c>
      <c r="D5550" s="1" t="str">
        <f>HYPERLINK("http://genome-euro.ucsc.edu/cgi-bin/hgTracks?position=220213_at","UCSC")</f>
        <v>UCSC</v>
      </c>
      <c r="E5550" s="1" t="str">
        <f>HYPERLINK("http://www.ncbi.nlm.nih.gov/gene/?term=TSHZ2","NCBI")</f>
        <v>NCBI</v>
      </c>
      <c r="F5550">
        <v>5.5E-2</v>
      </c>
      <c r="G5550">
        <v>0.17</v>
      </c>
      <c r="H5550" s="1" t="str">
        <f>HYPERLINK("http://www.weizmann.ac.il/complex/compphys/software/geview/data/figures/220213_at.png","Figure")</f>
        <v>Figure</v>
      </c>
      <c r="I5550">
        <v>1.38</v>
      </c>
      <c r="J5550">
        <v>4.4999999999999998E-2</v>
      </c>
      <c r="K5550">
        <v>1.1299999999999999</v>
      </c>
      <c r="L5550">
        <v>0.47</v>
      </c>
      <c r="M5550">
        <v>0.82099999999999995</v>
      </c>
      <c r="N5550">
        <v>0.22</v>
      </c>
    </row>
    <row r="5551" spans="1:14" x14ac:dyDescent="0.25">
      <c r="A5551" t="s">
        <v>10013</v>
      </c>
      <c r="B5551" t="s">
        <v>10014</v>
      </c>
      <c r="C5551" s="1" t="str">
        <f>HYPERLINK("http://www.genecards.org/cgi-bin/carddisp.pl?gene=PRKD2","GeneCards")</f>
        <v>GeneCards</v>
      </c>
      <c r="D5551" s="1" t="str">
        <f>HYPERLINK("http://genome-euro.ucsc.edu/cgi-bin/hgTracks?position=209282_at","UCSC")</f>
        <v>UCSC</v>
      </c>
      <c r="E5551" s="1" t="str">
        <f>HYPERLINK("http://www.ncbi.nlm.nih.gov/gene/?term=PRKD2","NCBI")</f>
        <v>NCBI</v>
      </c>
      <c r="F5551">
        <v>5.5E-2</v>
      </c>
      <c r="G5551">
        <v>0.17</v>
      </c>
      <c r="H5551" s="1" t="str">
        <f>HYPERLINK("http://www.weizmann.ac.il/complex/compphys/software/geview/data/figures/209282_at.png","Figure")</f>
        <v>Figure</v>
      </c>
      <c r="I5551">
        <v>0.60799999999999998</v>
      </c>
      <c r="J5551">
        <v>0.26</v>
      </c>
      <c r="K5551">
        <v>1.3</v>
      </c>
      <c r="L5551">
        <v>0.59</v>
      </c>
      <c r="M5551">
        <v>2.14</v>
      </c>
      <c r="N5551">
        <v>4.4999999999999998E-2</v>
      </c>
    </row>
    <row r="5552" spans="1:14" x14ac:dyDescent="0.25">
      <c r="A5552" t="s">
        <v>10015</v>
      </c>
      <c r="B5552" t="s">
        <v>3037</v>
      </c>
      <c r="C5552" s="1" t="str">
        <f>HYPERLINK("http://www.genecards.org/cgi-bin/carddisp.pl?gene=CLCN3","GeneCards")</f>
        <v>GeneCards</v>
      </c>
      <c r="D5552" s="1" t="str">
        <f>HYPERLINK("http://genome-euro.ucsc.edu/cgi-bin/hgTracks?position=201732_s_at","UCSC")</f>
        <v>UCSC</v>
      </c>
      <c r="E5552" s="1" t="str">
        <f>HYPERLINK("http://www.ncbi.nlm.nih.gov/gene/?term=CLCN3","NCBI")</f>
        <v>NCBI</v>
      </c>
      <c r="F5552">
        <v>5.5E-2</v>
      </c>
      <c r="G5552">
        <v>0.17</v>
      </c>
      <c r="H5552" s="1" t="str">
        <f>HYPERLINK("http://www.weizmann.ac.il/complex/compphys/software/geview/data/figures/201732_s_at.png","Figure")</f>
        <v>Figure</v>
      </c>
      <c r="I5552">
        <v>0.81699999999999995</v>
      </c>
      <c r="J5552">
        <v>0.15</v>
      </c>
      <c r="K5552">
        <v>1.05</v>
      </c>
      <c r="L5552">
        <v>0.86</v>
      </c>
      <c r="M5552">
        <v>1.28</v>
      </c>
      <c r="N5552">
        <v>4.9000000000000002E-2</v>
      </c>
    </row>
    <row r="5553" spans="1:14" x14ac:dyDescent="0.25">
      <c r="A5553" t="s">
        <v>10016</v>
      </c>
      <c r="B5553" t="s">
        <v>7046</v>
      </c>
      <c r="C5553" s="1" t="str">
        <f>HYPERLINK("http://www.genecards.org/cgi-bin/carddisp.pl?gene=GTSE1","GeneCards")</f>
        <v>GeneCards</v>
      </c>
      <c r="D5553" s="1" t="str">
        <f>HYPERLINK("http://genome-euro.ucsc.edu/cgi-bin/hgTracks?position=215942_s_at","UCSC")</f>
        <v>UCSC</v>
      </c>
      <c r="E5553" s="1" t="str">
        <f>HYPERLINK("http://www.ncbi.nlm.nih.gov/gene/?term=GTSE1","NCBI")</f>
        <v>NCBI</v>
      </c>
      <c r="F5553">
        <v>5.5E-2</v>
      </c>
      <c r="G5553">
        <v>0.17</v>
      </c>
      <c r="H5553" s="1" t="str">
        <f>HYPERLINK("http://www.weizmann.ac.il/complex/compphys/software/geview/data/figures/215942_s_at.png","Figure")</f>
        <v>Figure</v>
      </c>
      <c r="I5553">
        <v>0.93</v>
      </c>
      <c r="J5553">
        <v>0.8</v>
      </c>
      <c r="K5553">
        <v>1.21</v>
      </c>
      <c r="L5553">
        <v>0.17</v>
      </c>
      <c r="M5553">
        <v>1.3</v>
      </c>
      <c r="N5553">
        <v>6.5000000000000002E-2</v>
      </c>
    </row>
    <row r="5554" spans="1:14" x14ac:dyDescent="0.25">
      <c r="A5554" t="s">
        <v>10017</v>
      </c>
      <c r="B5554" t="s">
        <v>7384</v>
      </c>
      <c r="C5554" s="1" t="str">
        <f>HYPERLINK("http://www.genecards.org/cgi-bin/carddisp.pl?gene=MMP14","GeneCards")</f>
        <v>GeneCards</v>
      </c>
      <c r="D5554" s="1" t="str">
        <f>HYPERLINK("http://genome-euro.ucsc.edu/cgi-bin/hgTracks?position=217279_x_at","UCSC")</f>
        <v>UCSC</v>
      </c>
      <c r="E5554" s="1" t="str">
        <f>HYPERLINK("http://www.ncbi.nlm.nih.gov/gene/?term=MMP14","NCBI")</f>
        <v>NCBI</v>
      </c>
      <c r="F5554">
        <v>5.5E-2</v>
      </c>
      <c r="G5554">
        <v>0.17</v>
      </c>
      <c r="H5554" s="1" t="str">
        <f>HYPERLINK("http://www.weizmann.ac.il/complex/compphys/software/geview/data/figures/217279_x_at.png","Figure")</f>
        <v>Figure</v>
      </c>
      <c r="I5554">
        <v>1.21</v>
      </c>
      <c r="J5554">
        <v>4.4999999999999998E-2</v>
      </c>
      <c r="K5554">
        <v>1.1000000000000001</v>
      </c>
      <c r="L5554">
        <v>0.3</v>
      </c>
      <c r="M5554">
        <v>0.90800000000000003</v>
      </c>
      <c r="N5554">
        <v>0.35</v>
      </c>
    </row>
    <row r="5555" spans="1:14" x14ac:dyDescent="0.25">
      <c r="A5555" t="s">
        <v>10018</v>
      </c>
      <c r="B5555" t="s">
        <v>10019</v>
      </c>
      <c r="C5555" s="1" t="str">
        <f>HYPERLINK("http://www.genecards.org/cgi-bin/carddisp.pl?gene=MAP2K2","GeneCards")</f>
        <v>GeneCards</v>
      </c>
      <c r="D5555" s="1" t="str">
        <f>HYPERLINK("http://genome-euro.ucsc.edu/cgi-bin/hgTracks?position=213487_at","UCSC")</f>
        <v>UCSC</v>
      </c>
      <c r="E5555" s="1" t="str">
        <f>HYPERLINK("http://www.ncbi.nlm.nih.gov/gene/?term=MAP2K2","NCBI")</f>
        <v>NCBI</v>
      </c>
      <c r="F5555">
        <v>5.5E-2</v>
      </c>
      <c r="G5555">
        <v>0.17</v>
      </c>
      <c r="H5555" s="1" t="str">
        <f>HYPERLINK("http://www.weizmann.ac.il/complex/compphys/software/geview/data/figures/213487_at.png","Figure")</f>
        <v>Figure</v>
      </c>
      <c r="I5555">
        <v>1.1299999999999999</v>
      </c>
      <c r="J5555">
        <v>0.1</v>
      </c>
      <c r="K5555">
        <v>0.99099999999999999</v>
      </c>
      <c r="L5555">
        <v>0.98</v>
      </c>
      <c r="M5555">
        <v>0.88100000000000001</v>
      </c>
      <c r="N5555">
        <v>5.8000000000000003E-2</v>
      </c>
    </row>
    <row r="5556" spans="1:14" x14ac:dyDescent="0.25">
      <c r="A5556" t="s">
        <v>10020</v>
      </c>
      <c r="B5556" t="s">
        <v>10021</v>
      </c>
      <c r="C5556" s="1" t="str">
        <f>HYPERLINK("http://www.genecards.org/cgi-bin/carddisp.pl?gene=CCDC57","GeneCards")</f>
        <v>GeneCards</v>
      </c>
      <c r="D5556" s="1" t="str">
        <f>HYPERLINK("http://genome-euro.ucsc.edu/cgi-bin/hgTracks?position=214818_at","UCSC")</f>
        <v>UCSC</v>
      </c>
      <c r="E5556" s="1" t="str">
        <f>HYPERLINK("http://www.ncbi.nlm.nih.gov/gene/?term=CCDC57","NCBI")</f>
        <v>NCBI</v>
      </c>
      <c r="F5556">
        <v>5.5E-2</v>
      </c>
      <c r="G5556">
        <v>0.17</v>
      </c>
      <c r="H5556" s="1" t="str">
        <f>HYPERLINK("http://www.weizmann.ac.il/complex/compphys/software/geview/data/figures/214818_at.png","Figure")</f>
        <v>Figure</v>
      </c>
      <c r="I5556">
        <v>1.2</v>
      </c>
      <c r="J5556">
        <v>4.4999999999999998E-2</v>
      </c>
      <c r="K5556">
        <v>1.0900000000000001</v>
      </c>
      <c r="L5556">
        <v>0.36</v>
      </c>
      <c r="M5556">
        <v>0.90700000000000003</v>
      </c>
      <c r="N5556">
        <v>0.28999999999999998</v>
      </c>
    </row>
    <row r="5557" spans="1:14" x14ac:dyDescent="0.25">
      <c r="A5557" t="s">
        <v>10022</v>
      </c>
      <c r="B5557" t="s">
        <v>10023</v>
      </c>
      <c r="C5557" s="1" t="str">
        <f>HYPERLINK("http://www.genecards.org/cgi-bin/carddisp.pl?gene=KCNK7","GeneCards")</f>
        <v>GeneCards</v>
      </c>
      <c r="D5557" s="1" t="str">
        <f>HYPERLINK("http://genome-euro.ucsc.edu/cgi-bin/hgTracks?position=220412_x_at","UCSC")</f>
        <v>UCSC</v>
      </c>
      <c r="E5557" s="1" t="str">
        <f>HYPERLINK("http://www.ncbi.nlm.nih.gov/gene/?term=KCNK7","NCBI")</f>
        <v>NCBI</v>
      </c>
      <c r="F5557">
        <v>5.5E-2</v>
      </c>
      <c r="G5557">
        <v>0.17</v>
      </c>
      <c r="H5557" s="1" t="str">
        <f>HYPERLINK("http://www.weizmann.ac.il/complex/compphys/software/geview/data/figures/220412_x_at.png","Figure")</f>
        <v>Figure</v>
      </c>
      <c r="I5557">
        <v>1.21</v>
      </c>
      <c r="J5557">
        <v>5.5E-2</v>
      </c>
      <c r="K5557">
        <v>1.04</v>
      </c>
      <c r="L5557">
        <v>0.8</v>
      </c>
      <c r="M5557">
        <v>0.86299999999999999</v>
      </c>
      <c r="N5557">
        <v>0.11</v>
      </c>
    </row>
    <row r="5558" spans="1:14" x14ac:dyDescent="0.25">
      <c r="A5558" t="s">
        <v>10024</v>
      </c>
      <c r="B5558" t="s">
        <v>10025</v>
      </c>
      <c r="C5558" s="1" t="str">
        <f>HYPERLINK("http://www.genecards.org/cgi-bin/carddisp.pl?gene=PLA2G6","GeneCards")</f>
        <v>GeneCards</v>
      </c>
      <c r="D5558" s="1" t="str">
        <f>HYPERLINK("http://genome-euro.ucsc.edu/cgi-bin/hgTracks?position=204691_x_at","UCSC")</f>
        <v>UCSC</v>
      </c>
      <c r="E5558" s="1" t="str">
        <f>HYPERLINK("http://www.ncbi.nlm.nih.gov/gene/?term=PLA2G6","NCBI")</f>
        <v>NCBI</v>
      </c>
      <c r="F5558">
        <v>5.5E-2</v>
      </c>
      <c r="G5558">
        <v>0.17</v>
      </c>
      <c r="H5558" s="1" t="str">
        <f>HYPERLINK("http://www.weizmann.ac.il/complex/compphys/software/geview/data/figures/204691_x_at.png","Figure")</f>
        <v>Figure</v>
      </c>
      <c r="I5558">
        <v>1.32</v>
      </c>
      <c r="J5558">
        <v>6.2E-2</v>
      </c>
      <c r="K5558">
        <v>1.23</v>
      </c>
      <c r="L5558">
        <v>0.12</v>
      </c>
      <c r="M5558">
        <v>0.93</v>
      </c>
      <c r="N5558">
        <v>0.76</v>
      </c>
    </row>
    <row r="5559" spans="1:14" x14ac:dyDescent="0.25">
      <c r="A5559" t="s">
        <v>10026</v>
      </c>
      <c r="B5559" t="s">
        <v>2974</v>
      </c>
      <c r="C5559" s="1" t="str">
        <f>HYPERLINK("http://www.genecards.org/cgi-bin/carddisp.pl?gene=GRK6","GeneCards")</f>
        <v>GeneCards</v>
      </c>
      <c r="D5559" s="1" t="str">
        <f>HYPERLINK("http://genome-euro.ucsc.edu/cgi-bin/hgTracks?position=211543_s_at","UCSC")</f>
        <v>UCSC</v>
      </c>
      <c r="E5559" s="1" t="str">
        <f>HYPERLINK("http://www.ncbi.nlm.nih.gov/gene/?term=GRK6","NCBI")</f>
        <v>NCBI</v>
      </c>
      <c r="F5559">
        <v>5.5E-2</v>
      </c>
      <c r="G5559">
        <v>0.17</v>
      </c>
      <c r="H5559" s="1" t="str">
        <f>HYPERLINK("http://www.weizmann.ac.il/complex/compphys/software/geview/data/figures/211543_s_at.png","Figure")</f>
        <v>Figure</v>
      </c>
      <c r="I5559">
        <v>0.96199999999999997</v>
      </c>
      <c r="J5559">
        <v>0.84</v>
      </c>
      <c r="K5559">
        <v>1.1200000000000001</v>
      </c>
      <c r="L5559">
        <v>0.16</v>
      </c>
      <c r="M5559">
        <v>1.17</v>
      </c>
      <c r="N5559">
        <v>6.9000000000000006E-2</v>
      </c>
    </row>
    <row r="5560" spans="1:14" x14ac:dyDescent="0.25">
      <c r="A5560" t="s">
        <v>10027</v>
      </c>
      <c r="B5560" t="s">
        <v>10028</v>
      </c>
      <c r="C5560" s="1" t="str">
        <f>HYPERLINK("http://www.genecards.org/cgi-bin/carddisp.pl?gene=DCAF7","GeneCards")</f>
        <v>GeneCards</v>
      </c>
      <c r="D5560" s="1" t="str">
        <f>HYPERLINK("http://genome-euro.ucsc.edu/cgi-bin/hgTracks?position=221745_at","UCSC")</f>
        <v>UCSC</v>
      </c>
      <c r="E5560" s="1" t="str">
        <f>HYPERLINK("http://www.ncbi.nlm.nih.gov/gene/?term=DCAF7","NCBI")</f>
        <v>NCBI</v>
      </c>
      <c r="F5560">
        <v>5.5E-2</v>
      </c>
      <c r="G5560">
        <v>0.17</v>
      </c>
      <c r="H5560" s="1" t="str">
        <f>HYPERLINK("http://www.weizmann.ac.il/complex/compphys/software/geview/data/figures/221745_at.png","Figure")</f>
        <v>Figure</v>
      </c>
      <c r="I5560">
        <v>0.78500000000000003</v>
      </c>
      <c r="J5560">
        <v>0.39</v>
      </c>
      <c r="K5560">
        <v>1.23</v>
      </c>
      <c r="L5560">
        <v>0.41</v>
      </c>
      <c r="M5560">
        <v>1.57</v>
      </c>
      <c r="N5560">
        <v>4.5999999999999999E-2</v>
      </c>
    </row>
    <row r="5561" spans="1:14" x14ac:dyDescent="0.25">
      <c r="A5561" t="s">
        <v>10029</v>
      </c>
      <c r="B5561" t="s">
        <v>10030</v>
      </c>
      <c r="C5561" s="1" t="str">
        <f>HYPERLINK("http://www.genecards.org/cgi-bin/carddisp.pl?gene=IFFO1","GeneCards")</f>
        <v>GeneCards</v>
      </c>
      <c r="D5561" s="1" t="str">
        <f>HYPERLINK("http://genome-euro.ucsc.edu/cgi-bin/hgTracks?position=209721_s_at","UCSC")</f>
        <v>UCSC</v>
      </c>
      <c r="E5561" s="1" t="str">
        <f>HYPERLINK("http://www.ncbi.nlm.nih.gov/gene/?term=IFFO1","NCBI")</f>
        <v>NCBI</v>
      </c>
      <c r="F5561">
        <v>5.5E-2</v>
      </c>
      <c r="G5561">
        <v>0.17</v>
      </c>
      <c r="H5561" s="1" t="str">
        <f>HYPERLINK("http://www.weizmann.ac.il/complex/compphys/software/geview/data/figures/209721_s_at.png","Figure")</f>
        <v>Figure</v>
      </c>
      <c r="I5561">
        <v>1.18</v>
      </c>
      <c r="J5561">
        <v>0.36</v>
      </c>
      <c r="K5561">
        <v>1.33</v>
      </c>
      <c r="L5561">
        <v>4.4999999999999998E-2</v>
      </c>
      <c r="M5561">
        <v>1.1200000000000001</v>
      </c>
      <c r="N5561">
        <v>0.57999999999999996</v>
      </c>
    </row>
    <row r="5562" spans="1:14" x14ac:dyDescent="0.25">
      <c r="A5562" t="s">
        <v>10031</v>
      </c>
      <c r="B5562" t="s">
        <v>10032</v>
      </c>
      <c r="C5562" s="1" t="str">
        <f>HYPERLINK("http://www.genecards.org/cgi-bin/carddisp.pl?gene=RACGAP1","GeneCards")</f>
        <v>GeneCards</v>
      </c>
      <c r="D5562" s="1" t="str">
        <f>HYPERLINK("http://genome-euro.ucsc.edu/cgi-bin/hgTracks?position=222077_s_at","UCSC")</f>
        <v>UCSC</v>
      </c>
      <c r="E5562" s="1" t="str">
        <f>HYPERLINK("http://www.ncbi.nlm.nih.gov/gene/?term=RACGAP1","NCBI")</f>
        <v>NCBI</v>
      </c>
      <c r="F5562">
        <v>5.5E-2</v>
      </c>
      <c r="G5562">
        <v>0.17</v>
      </c>
      <c r="H5562" s="1" t="str">
        <f>HYPERLINK("http://www.weizmann.ac.il/complex/compphys/software/geview/data/figures/222077_s_at.png","Figure")</f>
        <v>Figure</v>
      </c>
      <c r="I5562">
        <v>1.08</v>
      </c>
      <c r="J5562">
        <v>0.97</v>
      </c>
      <c r="K5562">
        <v>2</v>
      </c>
      <c r="L5562">
        <v>7.0999999999999994E-2</v>
      </c>
      <c r="M5562">
        <v>1.84</v>
      </c>
      <c r="N5562">
        <v>0.15</v>
      </c>
    </row>
    <row r="5563" spans="1:14" x14ac:dyDescent="0.25">
      <c r="A5563" t="s">
        <v>10033</v>
      </c>
      <c r="B5563" t="s">
        <v>10034</v>
      </c>
      <c r="C5563" s="1" t="str">
        <f>HYPERLINK("http://www.genecards.org/cgi-bin/carddisp.pl?gene=ACLY","GeneCards")</f>
        <v>GeneCards</v>
      </c>
      <c r="D5563" s="1" t="str">
        <f>HYPERLINK("http://genome-euro.ucsc.edu/cgi-bin/hgTracks?position=201127_s_at","UCSC")</f>
        <v>UCSC</v>
      </c>
      <c r="E5563" s="1" t="str">
        <f>HYPERLINK("http://www.ncbi.nlm.nih.gov/gene/?term=ACLY","NCBI")</f>
        <v>NCBI</v>
      </c>
      <c r="F5563">
        <v>5.5E-2</v>
      </c>
      <c r="G5563">
        <v>0.17</v>
      </c>
      <c r="H5563" s="1" t="str">
        <f>HYPERLINK("http://www.weizmann.ac.il/complex/compphys/software/geview/data/figures/201127_s_at.png","Figure")</f>
        <v>Figure</v>
      </c>
      <c r="I5563">
        <v>1.2</v>
      </c>
      <c r="J5563">
        <v>0.31</v>
      </c>
      <c r="K5563">
        <v>1.33</v>
      </c>
      <c r="L5563">
        <v>4.4999999999999998E-2</v>
      </c>
      <c r="M5563">
        <v>1.1100000000000001</v>
      </c>
      <c r="N5563">
        <v>0.66</v>
      </c>
    </row>
    <row r="5564" spans="1:14" x14ac:dyDescent="0.25">
      <c r="A5564" t="s">
        <v>10035</v>
      </c>
      <c r="B5564" t="s">
        <v>9303</v>
      </c>
      <c r="C5564" s="1" t="str">
        <f>HYPERLINK("http://www.genecards.org/cgi-bin/carddisp.pl?gene=GOLGA4","GeneCards")</f>
        <v>GeneCards</v>
      </c>
      <c r="D5564" s="1" t="str">
        <f>HYPERLINK("http://genome-euro.ucsc.edu/cgi-bin/hgTracks?position=201567_s_at","UCSC")</f>
        <v>UCSC</v>
      </c>
      <c r="E5564" s="1" t="str">
        <f>HYPERLINK("http://www.ncbi.nlm.nih.gov/gene/?term=GOLGA4","NCBI")</f>
        <v>NCBI</v>
      </c>
      <c r="F5564">
        <v>5.5E-2</v>
      </c>
      <c r="G5564">
        <v>0.17</v>
      </c>
      <c r="H5564" s="1" t="str">
        <f>HYPERLINK("http://www.weizmann.ac.il/complex/compphys/software/geview/data/figures/201567_s_at.png","Figure")</f>
        <v>Figure</v>
      </c>
      <c r="I5564">
        <v>0.82199999999999995</v>
      </c>
      <c r="J5564">
        <v>0.73</v>
      </c>
      <c r="K5564">
        <v>0.55600000000000005</v>
      </c>
      <c r="L5564">
        <v>5.1999999999999998E-2</v>
      </c>
      <c r="M5564">
        <v>0.67600000000000005</v>
      </c>
      <c r="N5564">
        <v>0.27</v>
      </c>
    </row>
    <row r="5565" spans="1:14" x14ac:dyDescent="0.25">
      <c r="A5565" t="s">
        <v>10036</v>
      </c>
      <c r="B5565" t="s">
        <v>3623</v>
      </c>
      <c r="C5565" s="1" t="str">
        <f>HYPERLINK("http://www.genecards.org/cgi-bin/carddisp.pl?gene=C14orf2","GeneCards")</f>
        <v>GeneCards</v>
      </c>
      <c r="D5565" s="1" t="str">
        <f>HYPERLINK("http://genome-euro.ucsc.edu/cgi-bin/hgTracks?position=210532_s_at","UCSC")</f>
        <v>UCSC</v>
      </c>
      <c r="E5565" s="1" t="str">
        <f>HYPERLINK("http://www.ncbi.nlm.nih.gov/gene/?term=C14orf2","NCBI")</f>
        <v>NCBI</v>
      </c>
      <c r="F5565">
        <v>5.5E-2</v>
      </c>
      <c r="G5565">
        <v>0.17</v>
      </c>
      <c r="H5565" s="1" t="str">
        <f>HYPERLINK("http://www.weizmann.ac.il/complex/compphys/software/geview/data/figures/210532_s_at.png","Figure")</f>
        <v>Figure</v>
      </c>
      <c r="I5565">
        <v>0.71299999999999997</v>
      </c>
      <c r="J5565">
        <v>0.16</v>
      </c>
      <c r="K5565">
        <v>1.0900000000000001</v>
      </c>
      <c r="L5565">
        <v>0.83</v>
      </c>
      <c r="M5565">
        <v>1.53</v>
      </c>
      <c r="N5565">
        <v>4.9000000000000002E-2</v>
      </c>
    </row>
    <row r="5566" spans="1:14" x14ac:dyDescent="0.25">
      <c r="A5566" t="s">
        <v>10037</v>
      </c>
      <c r="B5566" t="s">
        <v>4501</v>
      </c>
      <c r="C5566" s="1" t="str">
        <f>HYPERLINK("http://www.genecards.org/cgi-bin/carddisp.pl?gene=CIB2","GeneCards")</f>
        <v>GeneCards</v>
      </c>
      <c r="D5566" s="1" t="str">
        <f>HYPERLINK("http://genome-euro.ucsc.edu/cgi-bin/hgTracks?position=205007_s_at","UCSC")</f>
        <v>UCSC</v>
      </c>
      <c r="E5566" s="1" t="str">
        <f>HYPERLINK("http://www.ncbi.nlm.nih.gov/gene/?term=CIB2","NCBI")</f>
        <v>NCBI</v>
      </c>
      <c r="F5566">
        <v>5.5E-2</v>
      </c>
      <c r="G5566">
        <v>0.17</v>
      </c>
      <c r="H5566" s="1" t="str">
        <f>HYPERLINK("http://www.weizmann.ac.il/complex/compphys/software/geview/data/figures/205007_s_at.png","Figure")</f>
        <v>Figure</v>
      </c>
      <c r="I5566">
        <v>1.2</v>
      </c>
      <c r="J5566">
        <v>4.5999999999999999E-2</v>
      </c>
      <c r="K5566">
        <v>1.07</v>
      </c>
      <c r="L5566">
        <v>0.51</v>
      </c>
      <c r="M5566">
        <v>0.89400000000000002</v>
      </c>
      <c r="N5566">
        <v>0.21</v>
      </c>
    </row>
    <row r="5567" spans="1:14" x14ac:dyDescent="0.25">
      <c r="A5567" t="s">
        <v>10038</v>
      </c>
      <c r="B5567" t="s">
        <v>10039</v>
      </c>
      <c r="C5567" s="1" t="str">
        <f>HYPERLINK("http://www.genecards.org/cgi-bin/carddisp.pl?gene=TAPBP","GeneCards")</f>
        <v>GeneCards</v>
      </c>
      <c r="D5567" s="1" t="str">
        <f>HYPERLINK("http://genome-euro.ucsc.edu/cgi-bin/hgTracks?position=208829_at","UCSC")</f>
        <v>UCSC</v>
      </c>
      <c r="E5567" s="1" t="str">
        <f>HYPERLINK("http://www.ncbi.nlm.nih.gov/gene/?term=TAPBP","NCBI")</f>
        <v>NCBI</v>
      </c>
      <c r="F5567">
        <v>5.5E-2</v>
      </c>
      <c r="G5567">
        <v>0.17</v>
      </c>
      <c r="H5567" s="1" t="str">
        <f>HYPERLINK("http://www.weizmann.ac.il/complex/compphys/software/geview/data/figures/208829_at.png","Figure")</f>
        <v>Figure</v>
      </c>
      <c r="I5567">
        <v>0.746</v>
      </c>
      <c r="J5567">
        <v>7.4999999999999997E-2</v>
      </c>
      <c r="K5567">
        <v>0.78600000000000003</v>
      </c>
      <c r="L5567">
        <v>9.6000000000000002E-2</v>
      </c>
      <c r="M5567">
        <v>1.05</v>
      </c>
      <c r="N5567">
        <v>0.89</v>
      </c>
    </row>
    <row r="5568" spans="1:14" x14ac:dyDescent="0.25">
      <c r="A5568" t="s">
        <v>10040</v>
      </c>
      <c r="B5568" t="s">
        <v>6996</v>
      </c>
      <c r="C5568" s="1" t="str">
        <f>HYPERLINK("http://www.genecards.org/cgi-bin/carddisp.pl?gene=IL13RA1","GeneCards")</f>
        <v>GeneCards</v>
      </c>
      <c r="D5568" s="1" t="str">
        <f>HYPERLINK("http://genome-euro.ucsc.edu/cgi-bin/hgTracks?position=211612_s_at","UCSC")</f>
        <v>UCSC</v>
      </c>
      <c r="E5568" s="1" t="str">
        <f>HYPERLINK("http://www.ncbi.nlm.nih.gov/gene/?term=IL13RA1","NCBI")</f>
        <v>NCBI</v>
      </c>
      <c r="F5568">
        <v>5.5E-2</v>
      </c>
      <c r="G5568">
        <v>0.17</v>
      </c>
      <c r="H5568" s="1" t="str">
        <f>HYPERLINK("http://www.weizmann.ac.il/complex/compphys/software/geview/data/figures/211612_s_at.png","Figure")</f>
        <v>Figure</v>
      </c>
      <c r="I5568">
        <v>0.79800000000000004</v>
      </c>
      <c r="J5568">
        <v>7.5999999999999998E-2</v>
      </c>
      <c r="K5568">
        <v>0.98599999999999999</v>
      </c>
      <c r="L5568">
        <v>0.98</v>
      </c>
      <c r="M5568">
        <v>1.24</v>
      </c>
      <c r="N5568">
        <v>7.4999999999999997E-2</v>
      </c>
    </row>
    <row r="5569" spans="1:14" x14ac:dyDescent="0.25">
      <c r="A5569" t="s">
        <v>10041</v>
      </c>
      <c r="B5569" t="s">
        <v>6510</v>
      </c>
      <c r="C5569" s="1" t="str">
        <f>HYPERLINK("http://www.genecards.org/cgi-bin/carddisp.pl?gene=SPN","GeneCards")</f>
        <v>GeneCards</v>
      </c>
      <c r="D5569" s="1" t="str">
        <f>HYPERLINK("http://genome-euro.ucsc.edu/cgi-bin/hgTracks?position=216981_x_at","UCSC")</f>
        <v>UCSC</v>
      </c>
      <c r="E5569" s="1" t="str">
        <f>HYPERLINK("http://www.ncbi.nlm.nih.gov/gene/?term=SPN","NCBI")</f>
        <v>NCBI</v>
      </c>
      <c r="F5569">
        <v>5.5E-2</v>
      </c>
      <c r="G5569">
        <v>0.17</v>
      </c>
      <c r="H5569" s="1" t="str">
        <f>HYPERLINK("http://www.weizmann.ac.il/complex/compphys/software/geview/data/figures/216981_x_at.png","Figure")</f>
        <v>Figure</v>
      </c>
      <c r="I5569">
        <v>1.25</v>
      </c>
      <c r="J5569">
        <v>7.3999999999999996E-2</v>
      </c>
      <c r="K5569">
        <v>1.2</v>
      </c>
      <c r="L5569">
        <v>9.8000000000000004E-2</v>
      </c>
      <c r="M5569">
        <v>0.96</v>
      </c>
      <c r="N5569">
        <v>0.88</v>
      </c>
    </row>
    <row r="5570" spans="1:14" x14ac:dyDescent="0.25">
      <c r="A5570" t="s">
        <v>10042</v>
      </c>
      <c r="B5570" t="s">
        <v>10043</v>
      </c>
      <c r="C5570" s="1" t="str">
        <f>HYPERLINK("http://www.genecards.org/cgi-bin/carddisp.pl?gene=MMP11","GeneCards")</f>
        <v>GeneCards</v>
      </c>
      <c r="D5570" s="1" t="str">
        <f>HYPERLINK("http://genome-euro.ucsc.edu/cgi-bin/hgTracks?position=203876_s_at","UCSC")</f>
        <v>UCSC</v>
      </c>
      <c r="E5570" s="1" t="str">
        <f>HYPERLINK("http://www.ncbi.nlm.nih.gov/gene/?term=MMP11","NCBI")</f>
        <v>NCBI</v>
      </c>
      <c r="F5570">
        <v>5.5E-2</v>
      </c>
      <c r="G5570">
        <v>0.17</v>
      </c>
      <c r="H5570" s="1" t="str">
        <f>HYPERLINK("http://www.weizmann.ac.il/complex/compphys/software/geview/data/figures/203876_s_at.png","Figure")</f>
        <v>Figure</v>
      </c>
      <c r="I5570">
        <v>1.21</v>
      </c>
      <c r="J5570">
        <v>7.3999999999999996E-2</v>
      </c>
      <c r="K5570">
        <v>1.01</v>
      </c>
      <c r="L5570">
        <v>0.98</v>
      </c>
      <c r="M5570">
        <v>0.83699999999999997</v>
      </c>
      <c r="N5570">
        <v>7.5999999999999998E-2</v>
      </c>
    </row>
    <row r="5571" spans="1:14" x14ac:dyDescent="0.25">
      <c r="A5571" t="s">
        <v>10044</v>
      </c>
      <c r="B5571" t="s">
        <v>10045</v>
      </c>
      <c r="C5571" s="1" t="str">
        <f>HYPERLINK("http://www.genecards.org/cgi-bin/carddisp.pl?gene=STAT5B","GeneCards")</f>
        <v>GeneCards</v>
      </c>
      <c r="D5571" s="1" t="str">
        <f>HYPERLINK("http://genome-euro.ucsc.edu/cgi-bin/hgTracks?position=205026_at","UCSC")</f>
        <v>UCSC</v>
      </c>
      <c r="E5571" s="1" t="str">
        <f>HYPERLINK("http://www.ncbi.nlm.nih.gov/gene/?term=STAT5B","NCBI")</f>
        <v>NCBI</v>
      </c>
      <c r="F5571">
        <v>5.5E-2</v>
      </c>
      <c r="G5571">
        <v>0.17</v>
      </c>
      <c r="H5571" s="1" t="str">
        <f>HYPERLINK("http://www.weizmann.ac.il/complex/compphys/software/geview/data/figures/205026_at.png","Figure")</f>
        <v>Figure</v>
      </c>
      <c r="I5571">
        <v>1.19</v>
      </c>
      <c r="J5571">
        <v>9.2999999999999999E-2</v>
      </c>
      <c r="K5571">
        <v>1.17</v>
      </c>
      <c r="L5571">
        <v>7.8E-2</v>
      </c>
      <c r="M5571">
        <v>0.98499999999999999</v>
      </c>
      <c r="N5571">
        <v>0.97</v>
      </c>
    </row>
    <row r="5572" spans="1:14" x14ac:dyDescent="0.25">
      <c r="A5572" t="s">
        <v>10046</v>
      </c>
      <c r="B5572" t="s">
        <v>9180</v>
      </c>
      <c r="C5572" s="1" t="str">
        <f>HYPERLINK("http://www.genecards.org/cgi-bin/carddisp.pl?gene=RHOD","GeneCards")</f>
        <v>GeneCards</v>
      </c>
      <c r="D5572" s="1" t="str">
        <f>HYPERLINK("http://genome-euro.ucsc.edu/cgi-bin/hgTracks?position=209885_at","UCSC")</f>
        <v>UCSC</v>
      </c>
      <c r="E5572" s="1" t="str">
        <f>HYPERLINK("http://www.ncbi.nlm.nih.gov/gene/?term=RHOD","NCBI")</f>
        <v>NCBI</v>
      </c>
      <c r="F5572">
        <v>5.5E-2</v>
      </c>
      <c r="G5572">
        <v>0.17</v>
      </c>
      <c r="H5572" s="1" t="str">
        <f>HYPERLINK("http://www.weizmann.ac.il/complex/compphys/software/geview/data/figures/209885_at.png","Figure")</f>
        <v>Figure</v>
      </c>
      <c r="I5572">
        <v>1.3</v>
      </c>
      <c r="J5572">
        <v>0.05</v>
      </c>
      <c r="K5572">
        <v>1.17</v>
      </c>
      <c r="L5572">
        <v>0.2</v>
      </c>
      <c r="M5572">
        <v>0.90200000000000002</v>
      </c>
      <c r="N5572">
        <v>0.53</v>
      </c>
    </row>
    <row r="5573" spans="1:14" x14ac:dyDescent="0.25">
      <c r="A5573" t="s">
        <v>10047</v>
      </c>
      <c r="B5573" t="s">
        <v>10048</v>
      </c>
      <c r="C5573" s="1" t="str">
        <f>HYPERLINK("http://www.genecards.org/cgi-bin/carddisp.pl?gene=ADCY2","GeneCards")</f>
        <v>GeneCards</v>
      </c>
      <c r="D5573" s="1" t="str">
        <f>HYPERLINK("http://genome-euro.ucsc.edu/cgi-bin/hgTracks?position=213217_at","UCSC")</f>
        <v>UCSC</v>
      </c>
      <c r="E5573" s="1" t="str">
        <f>HYPERLINK("http://www.ncbi.nlm.nih.gov/gene/?term=ADCY2","NCBI")</f>
        <v>NCBI</v>
      </c>
      <c r="F5573">
        <v>5.5E-2</v>
      </c>
      <c r="G5573">
        <v>0.17</v>
      </c>
      <c r="H5573" s="1" t="str">
        <f>HYPERLINK("http://www.weizmann.ac.il/complex/compphys/software/geview/data/figures/213217_at.png","Figure")</f>
        <v>Figure</v>
      </c>
      <c r="I5573">
        <v>1.1299999999999999</v>
      </c>
      <c r="J5573">
        <v>0.27</v>
      </c>
      <c r="K5573">
        <v>0.93600000000000005</v>
      </c>
      <c r="L5573">
        <v>0.57999999999999996</v>
      </c>
      <c r="M5573">
        <v>0.83099999999999996</v>
      </c>
      <c r="N5573">
        <v>4.4999999999999998E-2</v>
      </c>
    </row>
    <row r="5574" spans="1:14" x14ac:dyDescent="0.25">
      <c r="A5574" t="s">
        <v>10049</v>
      </c>
      <c r="B5574" t="s">
        <v>10050</v>
      </c>
      <c r="C5574" s="1" t="str">
        <f>HYPERLINK("http://www.genecards.org/cgi-bin/carddisp.pl?gene=LOC552889","GeneCards")</f>
        <v>GeneCards</v>
      </c>
      <c r="D5574" s="1" t="str">
        <f>HYPERLINK("http://genome-euro.ucsc.edu/cgi-bin/hgTracks?position=212113_at","UCSC")</f>
        <v>UCSC</v>
      </c>
      <c r="E5574" s="1" t="str">
        <f>HYPERLINK("http://www.ncbi.nlm.nih.gov/gene/?term=LOC552889","NCBI")</f>
        <v>NCBI</v>
      </c>
      <c r="F5574">
        <v>5.6000000000000001E-2</v>
      </c>
      <c r="G5574">
        <v>0.17</v>
      </c>
      <c r="H5574" s="1" t="str">
        <f>HYPERLINK("http://www.weizmann.ac.il/complex/compphys/software/geview/data/figures/212113_at.png","Figure")</f>
        <v>Figure</v>
      </c>
      <c r="I5574">
        <v>1.17</v>
      </c>
      <c r="J5574">
        <v>0.69</v>
      </c>
      <c r="K5574">
        <v>0.74299999999999999</v>
      </c>
      <c r="L5574">
        <v>0.21</v>
      </c>
      <c r="M5574">
        <v>0.63400000000000001</v>
      </c>
      <c r="N5574">
        <v>5.8000000000000003E-2</v>
      </c>
    </row>
    <row r="5575" spans="1:14" x14ac:dyDescent="0.25">
      <c r="A5575" t="s">
        <v>10051</v>
      </c>
      <c r="B5575" t="s">
        <v>10052</v>
      </c>
      <c r="C5575" s="1" t="str">
        <f>HYPERLINK("http://www.genecards.org/cgi-bin/carddisp.pl?gene=AVEN","GeneCards")</f>
        <v>GeneCards</v>
      </c>
      <c r="D5575" s="1" t="str">
        <f>HYPERLINK("http://genome-euro.ucsc.edu/cgi-bin/hgTracks?position=219366_at","UCSC")</f>
        <v>UCSC</v>
      </c>
      <c r="E5575" s="1" t="str">
        <f>HYPERLINK("http://www.ncbi.nlm.nih.gov/gene/?term=AVEN","NCBI")</f>
        <v>NCBI</v>
      </c>
      <c r="F5575">
        <v>5.5E-2</v>
      </c>
      <c r="G5575">
        <v>0.17</v>
      </c>
      <c r="H5575" s="1" t="str">
        <f>HYPERLINK("http://www.weizmann.ac.il/complex/compphys/software/geview/data/figures/219366_at.png","Figure")</f>
        <v>Figure</v>
      </c>
      <c r="I5575">
        <v>1.02</v>
      </c>
      <c r="J5575">
        <v>0.98</v>
      </c>
      <c r="K5575">
        <v>1.29</v>
      </c>
      <c r="L5575">
        <v>7.5999999999999998E-2</v>
      </c>
      <c r="M5575">
        <v>1.26</v>
      </c>
      <c r="N5575">
        <v>0.14000000000000001</v>
      </c>
    </row>
    <row r="5576" spans="1:14" x14ac:dyDescent="0.25">
      <c r="A5576" t="s">
        <v>10053</v>
      </c>
      <c r="B5576" t="s">
        <v>10054</v>
      </c>
      <c r="C5576" s="1" t="str">
        <f>HYPERLINK("http://www.genecards.org/cgi-bin/carddisp.pl?gene=NFKBIA","GeneCards")</f>
        <v>GeneCards</v>
      </c>
      <c r="D5576" s="1" t="str">
        <f>HYPERLINK("http://genome-euro.ucsc.edu/cgi-bin/hgTracks?position=201502_s_at","UCSC")</f>
        <v>UCSC</v>
      </c>
      <c r="E5576" s="1" t="str">
        <f>HYPERLINK("http://www.ncbi.nlm.nih.gov/gene/?term=NFKBIA","NCBI")</f>
        <v>NCBI</v>
      </c>
      <c r="F5576">
        <v>5.6000000000000001E-2</v>
      </c>
      <c r="G5576">
        <v>0.17</v>
      </c>
      <c r="H5576" s="1" t="str">
        <f>HYPERLINK("http://www.weizmann.ac.il/complex/compphys/software/geview/data/figures/201502_s_at.png","Figure")</f>
        <v>Figure</v>
      </c>
      <c r="I5576">
        <v>0.46500000000000002</v>
      </c>
      <c r="J5576">
        <v>0.12</v>
      </c>
      <c r="K5576">
        <v>0.45600000000000002</v>
      </c>
      <c r="L5576">
        <v>6.3E-2</v>
      </c>
      <c r="M5576">
        <v>0.98099999999999998</v>
      </c>
      <c r="N5576">
        <v>1</v>
      </c>
    </row>
    <row r="5577" spans="1:14" x14ac:dyDescent="0.25">
      <c r="A5577" t="s">
        <v>10055</v>
      </c>
      <c r="B5577" t="s">
        <v>10056</v>
      </c>
      <c r="C5577" s="1" t="str">
        <f>HYPERLINK("http://www.genecards.org/cgi-bin/carddisp.pl?gene=CLDN7","GeneCards")</f>
        <v>GeneCards</v>
      </c>
      <c r="D5577" s="1" t="str">
        <f>HYPERLINK("http://genome-euro.ucsc.edu/cgi-bin/hgTracks?position=202790_at","UCSC")</f>
        <v>UCSC</v>
      </c>
      <c r="E5577" s="1" t="str">
        <f>HYPERLINK("http://www.ncbi.nlm.nih.gov/gene/?term=CLDN7","NCBI")</f>
        <v>NCBI</v>
      </c>
      <c r="F5577">
        <v>5.6000000000000001E-2</v>
      </c>
      <c r="G5577">
        <v>0.17</v>
      </c>
      <c r="H5577" s="1" t="str">
        <f>HYPERLINK("http://www.weizmann.ac.il/complex/compphys/software/geview/data/figures/202790_at.png","Figure")</f>
        <v>Figure</v>
      </c>
      <c r="I5577">
        <v>1.21</v>
      </c>
      <c r="J5577">
        <v>5.1999999999999998E-2</v>
      </c>
      <c r="K5577">
        <v>1.1299999999999999</v>
      </c>
      <c r="L5577">
        <v>0.18</v>
      </c>
      <c r="M5577">
        <v>0.93100000000000005</v>
      </c>
      <c r="N5577">
        <v>0.56999999999999995</v>
      </c>
    </row>
    <row r="5578" spans="1:14" x14ac:dyDescent="0.25">
      <c r="A5578" t="s">
        <v>10057</v>
      </c>
      <c r="B5578" t="s">
        <v>10058</v>
      </c>
      <c r="C5578" s="1" t="str">
        <f>HYPERLINK("http://www.genecards.org/cgi-bin/carddisp.pl?gene=COX5A","GeneCards")</f>
        <v>GeneCards</v>
      </c>
      <c r="D5578" s="1" t="str">
        <f>HYPERLINK("http://genome-euro.ucsc.edu/cgi-bin/hgTracks?position=203663_s_at","UCSC")</f>
        <v>UCSC</v>
      </c>
      <c r="E5578" s="1" t="str">
        <f>HYPERLINK("http://www.ncbi.nlm.nih.gov/gene/?term=COX5A","NCBI")</f>
        <v>NCBI</v>
      </c>
      <c r="F5578">
        <v>5.6000000000000001E-2</v>
      </c>
      <c r="G5578">
        <v>0.17</v>
      </c>
      <c r="H5578" s="1" t="str">
        <f>HYPERLINK("http://www.weizmann.ac.il/complex/compphys/software/geview/data/figures/203663_s_at.png","Figure")</f>
        <v>Figure</v>
      </c>
      <c r="I5578">
        <v>1</v>
      </c>
      <c r="J5578">
        <v>1</v>
      </c>
      <c r="K5578">
        <v>1.55</v>
      </c>
      <c r="L5578">
        <v>8.6999999999999994E-2</v>
      </c>
      <c r="M5578">
        <v>1.54</v>
      </c>
      <c r="N5578">
        <v>0.12</v>
      </c>
    </row>
    <row r="5579" spans="1:14" x14ac:dyDescent="0.25">
      <c r="A5579" t="s">
        <v>10059</v>
      </c>
      <c r="B5579" t="s">
        <v>10060</v>
      </c>
      <c r="C5579" s="1" t="str">
        <f>HYPERLINK("http://www.genecards.org/cgi-bin/carddisp.pl?gene=AQR","GeneCards")</f>
        <v>GeneCards</v>
      </c>
      <c r="D5579" s="1" t="str">
        <f>HYPERLINK("http://genome-euro.ucsc.edu/cgi-bin/hgTracks?position=212583_at","UCSC")</f>
        <v>UCSC</v>
      </c>
      <c r="E5579" s="1" t="str">
        <f>HYPERLINK("http://www.ncbi.nlm.nih.gov/gene/?term=AQR","NCBI")</f>
        <v>NCBI</v>
      </c>
      <c r="F5579">
        <v>5.6000000000000001E-2</v>
      </c>
      <c r="G5579">
        <v>0.17</v>
      </c>
      <c r="H5579" s="1" t="str">
        <f>HYPERLINK("http://www.weizmann.ac.il/complex/compphys/software/geview/data/figures/212583_at.png","Figure")</f>
        <v>Figure</v>
      </c>
      <c r="I5579">
        <v>0.94099999999999995</v>
      </c>
      <c r="J5579">
        <v>0.8</v>
      </c>
      <c r="K5579">
        <v>1.17</v>
      </c>
      <c r="L5579">
        <v>0.17</v>
      </c>
      <c r="M5579">
        <v>1.25</v>
      </c>
      <c r="N5579">
        <v>6.6000000000000003E-2</v>
      </c>
    </row>
    <row r="5580" spans="1:14" x14ac:dyDescent="0.25">
      <c r="A5580" t="s">
        <v>10061</v>
      </c>
      <c r="B5580" t="s">
        <v>10062</v>
      </c>
      <c r="C5580" s="1" t="str">
        <f>HYPERLINK("http://www.genecards.org/cgi-bin/carddisp.pl?gene=MED20","GeneCards")</f>
        <v>GeneCards</v>
      </c>
      <c r="D5580" s="1" t="str">
        <f>HYPERLINK("http://genome-euro.ucsc.edu/cgi-bin/hgTracks?position=212872_s_at","UCSC")</f>
        <v>UCSC</v>
      </c>
      <c r="E5580" s="1" t="str">
        <f>HYPERLINK("http://www.ncbi.nlm.nih.gov/gene/?term=MED20","NCBI")</f>
        <v>NCBI</v>
      </c>
      <c r="F5580">
        <v>5.6000000000000001E-2</v>
      </c>
      <c r="G5580">
        <v>0.17</v>
      </c>
      <c r="H5580" s="1" t="str">
        <f>HYPERLINK("http://www.weizmann.ac.il/complex/compphys/software/geview/data/figures/212872_s_at.png","Figure")</f>
        <v>Figure</v>
      </c>
      <c r="I5580">
        <v>0.96199999999999997</v>
      </c>
      <c r="J5580">
        <v>0.97</v>
      </c>
      <c r="K5580">
        <v>1.36</v>
      </c>
      <c r="L5580">
        <v>0.11</v>
      </c>
      <c r="M5580">
        <v>1.41</v>
      </c>
      <c r="N5580">
        <v>9.0999999999999998E-2</v>
      </c>
    </row>
    <row r="5581" spans="1:14" x14ac:dyDescent="0.25">
      <c r="A5581" t="s">
        <v>10063</v>
      </c>
      <c r="B5581" t="s">
        <v>10064</v>
      </c>
      <c r="C5581" s="1" t="str">
        <f>HYPERLINK("http://www.genecards.org/cgi-bin/carddisp.pl?gene=SHPK /// TRPV1","GeneCards")</f>
        <v>GeneCards</v>
      </c>
      <c r="D5581" s="1" t="str">
        <f>HYPERLINK("http://genome-euro.ucsc.edu/cgi-bin/hgTracks?position=219712_s_at","UCSC")</f>
        <v>UCSC</v>
      </c>
      <c r="E5581" s="1" t="str">
        <f>HYPERLINK("http://www.ncbi.nlm.nih.gov/gene/?term=SHPK /// TRPV1","NCBI")</f>
        <v>NCBI</v>
      </c>
      <c r="F5581">
        <v>5.6000000000000001E-2</v>
      </c>
      <c r="G5581">
        <v>0.17</v>
      </c>
      <c r="H5581" s="1" t="str">
        <f>HYPERLINK("http://www.weizmann.ac.il/complex/compphys/software/geview/data/figures/219712_s_at.png","Figure")</f>
        <v>Figure</v>
      </c>
      <c r="I5581">
        <v>1.07</v>
      </c>
      <c r="J5581">
        <v>0.42</v>
      </c>
      <c r="K5581">
        <v>0.93700000000000006</v>
      </c>
      <c r="L5581">
        <v>0.38</v>
      </c>
      <c r="M5581">
        <v>0.874</v>
      </c>
      <c r="N5581">
        <v>4.7E-2</v>
      </c>
    </row>
    <row r="5582" spans="1:14" x14ac:dyDescent="0.25">
      <c r="A5582" t="s">
        <v>10065</v>
      </c>
      <c r="B5582" t="s">
        <v>10066</v>
      </c>
      <c r="C5582" s="1" t="str">
        <f>HYPERLINK("http://www.genecards.org/cgi-bin/carddisp.pl?gene=C1orf95","GeneCards")</f>
        <v>GeneCards</v>
      </c>
      <c r="D5582" s="1" t="str">
        <f>HYPERLINK("http://genome-euro.ucsc.edu/cgi-bin/hgTracks?position=213925_at","UCSC")</f>
        <v>UCSC</v>
      </c>
      <c r="E5582" s="1" t="str">
        <f>HYPERLINK("http://www.ncbi.nlm.nih.gov/gene/?term=C1orf95","NCBI")</f>
        <v>NCBI</v>
      </c>
      <c r="F5582">
        <v>5.6000000000000001E-2</v>
      </c>
      <c r="G5582">
        <v>0.17</v>
      </c>
      <c r="H5582" s="1" t="str">
        <f>HYPERLINK("http://www.weizmann.ac.il/complex/compphys/software/geview/data/figures/213925_at.png","Figure")</f>
        <v>Figure</v>
      </c>
      <c r="I5582">
        <v>1.21</v>
      </c>
      <c r="J5582">
        <v>4.7E-2</v>
      </c>
      <c r="K5582">
        <v>1.07</v>
      </c>
      <c r="L5582">
        <v>0.54</v>
      </c>
      <c r="M5582">
        <v>0.88400000000000001</v>
      </c>
      <c r="N5582">
        <v>0.19</v>
      </c>
    </row>
    <row r="5583" spans="1:14" x14ac:dyDescent="0.25">
      <c r="A5583" t="s">
        <v>10067</v>
      </c>
      <c r="B5583" t="s">
        <v>3070</v>
      </c>
      <c r="C5583" s="1" t="str">
        <f>HYPERLINK("http://www.genecards.org/cgi-bin/carddisp.pl?gene=GNAS","GeneCards")</f>
        <v>GeneCards</v>
      </c>
      <c r="D5583" s="1" t="str">
        <f>HYPERLINK("http://genome-euro.ucsc.edu/cgi-bin/hgTracks?position=200981_x_at","UCSC")</f>
        <v>UCSC</v>
      </c>
      <c r="E5583" s="1" t="str">
        <f>HYPERLINK("http://www.ncbi.nlm.nih.gov/gene/?term=GNAS","NCBI")</f>
        <v>NCBI</v>
      </c>
      <c r="F5583">
        <v>5.6000000000000001E-2</v>
      </c>
      <c r="G5583">
        <v>0.17</v>
      </c>
      <c r="H5583" s="1" t="str">
        <f>HYPERLINK("http://www.weizmann.ac.il/complex/compphys/software/geview/data/figures/200981_x_at.png","Figure")</f>
        <v>Figure</v>
      </c>
      <c r="I5583">
        <v>1.23</v>
      </c>
      <c r="J5583">
        <v>0.2</v>
      </c>
      <c r="K5583">
        <v>0.92800000000000005</v>
      </c>
      <c r="L5583">
        <v>0.73</v>
      </c>
      <c r="M5583">
        <v>0.75600000000000001</v>
      </c>
      <c r="N5583">
        <v>4.5999999999999999E-2</v>
      </c>
    </row>
    <row r="5584" spans="1:14" x14ac:dyDescent="0.25">
      <c r="A5584" t="s">
        <v>10068</v>
      </c>
      <c r="B5584" t="s">
        <v>10069</v>
      </c>
      <c r="C5584" s="1" t="str">
        <f>HYPERLINK("http://www.genecards.org/cgi-bin/carddisp.pl?gene=TMSB15A","GeneCards")</f>
        <v>GeneCards</v>
      </c>
      <c r="D5584" s="1" t="str">
        <f>HYPERLINK("http://genome-euro.ucsc.edu/cgi-bin/hgTracks?position=205347_s_at","UCSC")</f>
        <v>UCSC</v>
      </c>
      <c r="E5584" s="1" t="str">
        <f>HYPERLINK("http://www.ncbi.nlm.nih.gov/gene/?term=TMSB15A","NCBI")</f>
        <v>NCBI</v>
      </c>
      <c r="F5584">
        <v>5.6000000000000001E-2</v>
      </c>
      <c r="G5584">
        <v>0.17</v>
      </c>
      <c r="H5584" s="1" t="str">
        <f>HYPERLINK("http://www.weizmann.ac.il/complex/compphys/software/geview/data/figures/205347_s_at.png","Figure")</f>
        <v>Figure</v>
      </c>
      <c r="I5584">
        <v>1.48</v>
      </c>
      <c r="J5584">
        <v>0.84</v>
      </c>
      <c r="K5584">
        <v>4.58</v>
      </c>
      <c r="L5584">
        <v>5.8000000000000003E-2</v>
      </c>
      <c r="M5584">
        <v>3.1</v>
      </c>
      <c r="N5584">
        <v>0.22</v>
      </c>
    </row>
    <row r="5585" spans="1:14" x14ac:dyDescent="0.25">
      <c r="A5585" t="s">
        <v>10070</v>
      </c>
      <c r="B5585" t="s">
        <v>10071</v>
      </c>
      <c r="C5585" s="1" t="str">
        <f>HYPERLINK("http://www.genecards.org/cgi-bin/carddisp.pl?gene=CALU","GeneCards")</f>
        <v>GeneCards</v>
      </c>
      <c r="D5585" s="1" t="str">
        <f>HYPERLINK("http://genome-euro.ucsc.edu/cgi-bin/hgTracks?position=200755_s_at","UCSC")</f>
        <v>UCSC</v>
      </c>
      <c r="E5585" s="1" t="str">
        <f>HYPERLINK("http://www.ncbi.nlm.nih.gov/gene/?term=CALU","NCBI")</f>
        <v>NCBI</v>
      </c>
      <c r="F5585">
        <v>5.6000000000000001E-2</v>
      </c>
      <c r="G5585">
        <v>0.17</v>
      </c>
      <c r="H5585" s="1" t="str">
        <f>HYPERLINK("http://www.weizmann.ac.il/complex/compphys/software/geview/data/figures/200755_s_at.png","Figure")</f>
        <v>Figure</v>
      </c>
      <c r="I5585">
        <v>1.22</v>
      </c>
      <c r="J5585">
        <v>0.18</v>
      </c>
      <c r="K5585">
        <v>0.94299999999999995</v>
      </c>
      <c r="L5585">
        <v>0.79</v>
      </c>
      <c r="M5585">
        <v>0.77600000000000002</v>
      </c>
      <c r="N5585">
        <v>4.8000000000000001E-2</v>
      </c>
    </row>
    <row r="5586" spans="1:14" x14ac:dyDescent="0.25">
      <c r="A5586" t="s">
        <v>10072</v>
      </c>
      <c r="B5586" t="s">
        <v>6570</v>
      </c>
      <c r="C5586" s="1" t="str">
        <f>HYPERLINK("http://www.genecards.org/cgi-bin/carddisp.pl?gene=DDX11","GeneCards")</f>
        <v>GeneCards</v>
      </c>
      <c r="D5586" s="1" t="str">
        <f>HYPERLINK("http://genome-euro.ucsc.edu/cgi-bin/hgTracks?position=208149_x_at","UCSC")</f>
        <v>UCSC</v>
      </c>
      <c r="E5586" s="1" t="str">
        <f>HYPERLINK("http://www.ncbi.nlm.nih.gov/gene/?term=DDX11","NCBI")</f>
        <v>NCBI</v>
      </c>
      <c r="F5586">
        <v>5.6000000000000001E-2</v>
      </c>
      <c r="G5586">
        <v>0.17</v>
      </c>
      <c r="H5586" s="1" t="str">
        <f>HYPERLINK("http://www.weizmann.ac.il/complex/compphys/software/geview/data/figures/208149_x_at.png","Figure")</f>
        <v>Figure</v>
      </c>
      <c r="I5586">
        <v>1.43</v>
      </c>
      <c r="J5586">
        <v>6.6000000000000003E-2</v>
      </c>
      <c r="K5586">
        <v>1.05</v>
      </c>
      <c r="L5586">
        <v>0.93</v>
      </c>
      <c r="M5586">
        <v>0.73</v>
      </c>
      <c r="N5586">
        <v>8.7999999999999995E-2</v>
      </c>
    </row>
    <row r="5587" spans="1:14" x14ac:dyDescent="0.25">
      <c r="A5587" t="s">
        <v>10073</v>
      </c>
      <c r="B5587" t="s">
        <v>10074</v>
      </c>
      <c r="C5587" s="1" t="str">
        <f>HYPERLINK("http://www.genecards.org/cgi-bin/carddisp.pl?gene=HEXA","GeneCards")</f>
        <v>GeneCards</v>
      </c>
      <c r="D5587" s="1" t="str">
        <f>HYPERLINK("http://genome-euro.ucsc.edu/cgi-bin/hgTracks?position=215155_at","UCSC")</f>
        <v>UCSC</v>
      </c>
      <c r="E5587" s="1" t="str">
        <f>HYPERLINK("http://www.ncbi.nlm.nih.gov/gene/?term=HEXA","NCBI")</f>
        <v>NCBI</v>
      </c>
      <c r="F5587">
        <v>5.6000000000000001E-2</v>
      </c>
      <c r="G5587">
        <v>0.17</v>
      </c>
      <c r="H5587" s="1" t="str">
        <f>HYPERLINK("http://www.weizmann.ac.il/complex/compphys/software/geview/data/figures/215155_at.png","Figure")</f>
        <v>Figure</v>
      </c>
      <c r="I5587">
        <v>0.873</v>
      </c>
      <c r="J5587">
        <v>0.74</v>
      </c>
      <c r="K5587">
        <v>0.65900000000000003</v>
      </c>
      <c r="L5587">
        <v>5.2999999999999999E-2</v>
      </c>
      <c r="M5587">
        <v>0.755</v>
      </c>
      <c r="N5587">
        <v>0.26</v>
      </c>
    </row>
    <row r="5588" spans="1:14" x14ac:dyDescent="0.25">
      <c r="A5588" t="s">
        <v>10075</v>
      </c>
      <c r="B5588" t="s">
        <v>10076</v>
      </c>
      <c r="C5588" s="1" t="str">
        <f>HYPERLINK("http://www.genecards.org/cgi-bin/carddisp.pl?gene=PMS2L3","GeneCards")</f>
        <v>GeneCards</v>
      </c>
      <c r="D5588" s="1" t="str">
        <f>HYPERLINK("http://genome-euro.ucsc.edu/cgi-bin/hgTracks?position=216111_x_at","UCSC")</f>
        <v>UCSC</v>
      </c>
      <c r="E5588" s="1" t="str">
        <f>HYPERLINK("http://www.ncbi.nlm.nih.gov/gene/?term=PMS2L3","NCBI")</f>
        <v>NCBI</v>
      </c>
      <c r="F5588">
        <v>5.6000000000000001E-2</v>
      </c>
      <c r="G5588">
        <v>0.17</v>
      </c>
      <c r="H5588" s="1" t="str">
        <f>HYPERLINK("http://www.weizmann.ac.il/complex/compphys/software/geview/data/figures/216111_x_at.png","Figure")</f>
        <v>Figure</v>
      </c>
      <c r="I5588">
        <v>1.27</v>
      </c>
      <c r="J5588">
        <v>0.12</v>
      </c>
      <c r="K5588">
        <v>0.97199999999999998</v>
      </c>
      <c r="L5588">
        <v>0.95</v>
      </c>
      <c r="M5588">
        <v>0.76600000000000001</v>
      </c>
      <c r="N5588">
        <v>5.5E-2</v>
      </c>
    </row>
    <row r="5589" spans="1:14" x14ac:dyDescent="0.25">
      <c r="A5589" t="s">
        <v>10077</v>
      </c>
      <c r="B5589" t="s">
        <v>10078</v>
      </c>
      <c r="C5589" s="1" t="str">
        <f>HYPERLINK("http://www.genecards.org/cgi-bin/carddisp.pl?gene=MRPS18A","GeneCards")</f>
        <v>GeneCards</v>
      </c>
      <c r="D5589" s="1" t="str">
        <f>HYPERLINK("http://genome-euro.ucsc.edu/cgi-bin/hgTracks?position=221693_s_at","UCSC")</f>
        <v>UCSC</v>
      </c>
      <c r="E5589" s="1" t="str">
        <f>HYPERLINK("http://www.ncbi.nlm.nih.gov/gene/?term=MRPS18A","NCBI")</f>
        <v>NCBI</v>
      </c>
      <c r="F5589">
        <v>5.6000000000000001E-2</v>
      </c>
      <c r="G5589">
        <v>0.17</v>
      </c>
      <c r="H5589" s="1" t="str">
        <f>HYPERLINK("http://www.weizmann.ac.il/complex/compphys/software/geview/data/figures/221693_s_at.png","Figure")</f>
        <v>Figure</v>
      </c>
      <c r="I5589">
        <v>0.90200000000000002</v>
      </c>
      <c r="J5589">
        <v>0.57999999999999996</v>
      </c>
      <c r="K5589">
        <v>1.1599999999999999</v>
      </c>
      <c r="L5589">
        <v>0.27</v>
      </c>
      <c r="M5589">
        <v>1.28</v>
      </c>
      <c r="N5589">
        <v>5.2999999999999999E-2</v>
      </c>
    </row>
    <row r="5590" spans="1:14" x14ac:dyDescent="0.25">
      <c r="A5590" t="s">
        <v>10079</v>
      </c>
      <c r="B5590" t="s">
        <v>10080</v>
      </c>
      <c r="C5590" s="1" t="str">
        <f>HYPERLINK("http://www.genecards.org/cgi-bin/carddisp.pl?gene=PHB","GeneCards")</f>
        <v>GeneCards</v>
      </c>
      <c r="D5590" s="1" t="str">
        <f>HYPERLINK("http://genome-euro.ucsc.edu/cgi-bin/hgTracks?position=200659_s_at","UCSC")</f>
        <v>UCSC</v>
      </c>
      <c r="E5590" s="1" t="str">
        <f>HYPERLINK("http://www.ncbi.nlm.nih.gov/gene/?term=PHB","NCBI")</f>
        <v>NCBI</v>
      </c>
      <c r="F5590">
        <v>5.6000000000000001E-2</v>
      </c>
      <c r="G5590">
        <v>0.17</v>
      </c>
      <c r="H5590" s="1" t="str">
        <f>HYPERLINK("http://www.weizmann.ac.il/complex/compphys/software/geview/data/figures/200659_s_at.png","Figure")</f>
        <v>Figure</v>
      </c>
      <c r="I5590">
        <v>0.52100000000000002</v>
      </c>
      <c r="J5590">
        <v>6.3E-2</v>
      </c>
      <c r="K5590">
        <v>0.61799999999999999</v>
      </c>
      <c r="L5590">
        <v>0.12</v>
      </c>
      <c r="M5590">
        <v>1.19</v>
      </c>
      <c r="N5590">
        <v>0.77</v>
      </c>
    </row>
    <row r="5591" spans="1:14" x14ac:dyDescent="0.25">
      <c r="A5591" t="s">
        <v>10081</v>
      </c>
      <c r="B5591" t="s">
        <v>10082</v>
      </c>
      <c r="C5591" s="1" t="str">
        <f>HYPERLINK("http://www.genecards.org/cgi-bin/carddisp.pl?gene=LPAR1","GeneCards")</f>
        <v>GeneCards</v>
      </c>
      <c r="D5591" s="1" t="str">
        <f>HYPERLINK("http://genome-euro.ucsc.edu/cgi-bin/hgTracks?position=204038_s_at","UCSC")</f>
        <v>UCSC</v>
      </c>
      <c r="E5591" s="1" t="str">
        <f>HYPERLINK("http://www.ncbi.nlm.nih.gov/gene/?term=LPAR1","NCBI")</f>
        <v>NCBI</v>
      </c>
      <c r="F5591">
        <v>5.6000000000000001E-2</v>
      </c>
      <c r="G5591">
        <v>0.17</v>
      </c>
      <c r="H5591" s="1" t="str">
        <f>HYPERLINK("http://www.weizmann.ac.il/complex/compphys/software/geview/data/figures/204038_s_at.png","Figure")</f>
        <v>Figure</v>
      </c>
      <c r="I5591">
        <v>1.29</v>
      </c>
      <c r="J5591">
        <v>0.12</v>
      </c>
      <c r="K5591">
        <v>0.96899999999999997</v>
      </c>
      <c r="L5591">
        <v>0.95</v>
      </c>
      <c r="M5591">
        <v>0.751</v>
      </c>
      <c r="N5591">
        <v>5.5E-2</v>
      </c>
    </row>
    <row r="5592" spans="1:14" x14ac:dyDescent="0.25">
      <c r="A5592" t="s">
        <v>10083</v>
      </c>
      <c r="B5592" t="s">
        <v>10084</v>
      </c>
      <c r="C5592" s="1" t="str">
        <f>HYPERLINK("http://www.genecards.org/cgi-bin/carddisp.pl?gene=PCDHB11","GeneCards")</f>
        <v>GeneCards</v>
      </c>
      <c r="D5592" s="1" t="str">
        <f>HYPERLINK("http://genome-euro.ucsc.edu/cgi-bin/hgTracks?position=208504_x_at","UCSC")</f>
        <v>UCSC</v>
      </c>
      <c r="E5592" s="1" t="str">
        <f>HYPERLINK("http://www.ncbi.nlm.nih.gov/gene/?term=PCDHB11","NCBI")</f>
        <v>NCBI</v>
      </c>
      <c r="F5592">
        <v>5.6000000000000001E-2</v>
      </c>
      <c r="G5592">
        <v>0.17</v>
      </c>
      <c r="H5592" s="1" t="str">
        <f>HYPERLINK("http://www.weizmann.ac.il/complex/compphys/software/geview/data/figures/208504_x_at.png","Figure")</f>
        <v>Figure</v>
      </c>
      <c r="I5592">
        <v>1.1299999999999999</v>
      </c>
      <c r="J5592">
        <v>0.44</v>
      </c>
      <c r="K5592">
        <v>0.88700000000000001</v>
      </c>
      <c r="L5592">
        <v>0.37</v>
      </c>
      <c r="M5592">
        <v>0.78500000000000003</v>
      </c>
      <c r="N5592">
        <v>4.8000000000000001E-2</v>
      </c>
    </row>
    <row r="5593" spans="1:14" x14ac:dyDescent="0.25">
      <c r="A5593" t="s">
        <v>10085</v>
      </c>
      <c r="B5593" t="s">
        <v>10086</v>
      </c>
      <c r="C5593" s="1" t="str">
        <f>HYPERLINK("http://www.genecards.org/cgi-bin/carddisp.pl?gene=CASP2","GeneCards")</f>
        <v>GeneCards</v>
      </c>
      <c r="D5593" s="1" t="str">
        <f>HYPERLINK("http://genome-euro.ucsc.edu/cgi-bin/hgTracks?position=211140_s_at","UCSC")</f>
        <v>UCSC</v>
      </c>
      <c r="E5593" s="1" t="str">
        <f>HYPERLINK("http://www.ncbi.nlm.nih.gov/gene/?term=CASP2","NCBI")</f>
        <v>NCBI</v>
      </c>
      <c r="F5593">
        <v>5.6000000000000001E-2</v>
      </c>
      <c r="G5593">
        <v>0.17</v>
      </c>
      <c r="H5593" s="1" t="str">
        <f>HYPERLINK("http://www.weizmann.ac.il/complex/compphys/software/geview/data/figures/211140_s_at.png","Figure")</f>
        <v>Figure</v>
      </c>
      <c r="I5593">
        <v>1.1599999999999999</v>
      </c>
      <c r="J5593">
        <v>4.7E-2</v>
      </c>
      <c r="K5593">
        <v>1.0900000000000001</v>
      </c>
      <c r="L5593">
        <v>0.26</v>
      </c>
      <c r="M5593">
        <v>0.93300000000000005</v>
      </c>
      <c r="N5593">
        <v>0.41</v>
      </c>
    </row>
    <row r="5594" spans="1:14" x14ac:dyDescent="0.25">
      <c r="A5594" t="s">
        <v>10087</v>
      </c>
      <c r="B5594" t="s">
        <v>10088</v>
      </c>
      <c r="C5594" s="1" t="str">
        <f>HYPERLINK("http://www.genecards.org/cgi-bin/carddisp.pl?gene=CAMK2A","GeneCards")</f>
        <v>GeneCards</v>
      </c>
      <c r="D5594" s="1" t="str">
        <f>HYPERLINK("http://genome-euro.ucsc.edu/cgi-bin/hgTracks?position=213108_at","UCSC")</f>
        <v>UCSC</v>
      </c>
      <c r="E5594" s="1" t="str">
        <f>HYPERLINK("http://www.ncbi.nlm.nih.gov/gene/?term=CAMK2A","NCBI")</f>
        <v>NCBI</v>
      </c>
      <c r="F5594">
        <v>5.6000000000000001E-2</v>
      </c>
      <c r="G5594">
        <v>0.17</v>
      </c>
      <c r="H5594" s="1" t="str">
        <f>HYPERLINK("http://www.weizmann.ac.il/complex/compphys/software/geview/data/figures/213108_at.png","Figure")</f>
        <v>Figure</v>
      </c>
      <c r="I5594">
        <v>1.29</v>
      </c>
      <c r="J5594">
        <v>4.7E-2</v>
      </c>
      <c r="K5594">
        <v>1.0900000000000001</v>
      </c>
      <c r="L5594">
        <v>0.54</v>
      </c>
      <c r="M5594">
        <v>0.84699999999999998</v>
      </c>
      <c r="N5594">
        <v>0.19</v>
      </c>
    </row>
    <row r="5595" spans="1:14" x14ac:dyDescent="0.25">
      <c r="A5595" t="s">
        <v>10089</v>
      </c>
      <c r="B5595" t="s">
        <v>10090</v>
      </c>
      <c r="C5595" s="1" t="str">
        <f>HYPERLINK("http://www.genecards.org/cgi-bin/carddisp.pl?gene=LOC90586","GeneCards")</f>
        <v>GeneCards</v>
      </c>
      <c r="D5595" s="1" t="str">
        <f>HYPERLINK("http://genome-euro.ucsc.edu/cgi-bin/hgTracks?position=216601_at","UCSC")</f>
        <v>UCSC</v>
      </c>
      <c r="E5595" s="1" t="str">
        <f>HYPERLINK("http://www.ncbi.nlm.nih.gov/gene/?term=LOC90586","NCBI")</f>
        <v>NCBI</v>
      </c>
      <c r="F5595">
        <v>5.6000000000000001E-2</v>
      </c>
      <c r="G5595">
        <v>0.17</v>
      </c>
      <c r="H5595" s="1" t="str">
        <f>HYPERLINK("http://www.weizmann.ac.il/complex/compphys/software/geview/data/figures/216601_at.png","Figure")</f>
        <v>Figure</v>
      </c>
      <c r="I5595">
        <v>1.18</v>
      </c>
      <c r="J5595">
        <v>5.6000000000000001E-2</v>
      </c>
      <c r="K5595">
        <v>1.04</v>
      </c>
      <c r="L5595">
        <v>0.8</v>
      </c>
      <c r="M5595">
        <v>0.88100000000000001</v>
      </c>
      <c r="N5595">
        <v>0.12</v>
      </c>
    </row>
    <row r="5596" spans="1:14" x14ac:dyDescent="0.25">
      <c r="A5596" t="s">
        <v>10091</v>
      </c>
      <c r="B5596" t="s">
        <v>10092</v>
      </c>
      <c r="C5596" s="1" t="str">
        <f>HYPERLINK("http://www.genecards.org/cgi-bin/carddisp.pl?gene=IKZF5","GeneCards")</f>
        <v>GeneCards</v>
      </c>
      <c r="D5596" s="1" t="str">
        <f>HYPERLINK("http://genome-euro.ucsc.edu/cgi-bin/hgTracks?position=220086_at","UCSC")</f>
        <v>UCSC</v>
      </c>
      <c r="E5596" s="1" t="str">
        <f>HYPERLINK("http://www.ncbi.nlm.nih.gov/gene/?term=IKZF5","NCBI")</f>
        <v>NCBI</v>
      </c>
      <c r="F5596">
        <v>5.6000000000000001E-2</v>
      </c>
      <c r="G5596">
        <v>0.17</v>
      </c>
      <c r="H5596" s="1" t="str">
        <f>HYPERLINK("http://www.weizmann.ac.il/complex/compphys/software/geview/data/figures/220086_at.png","Figure")</f>
        <v>Figure</v>
      </c>
      <c r="I5596">
        <v>0.66800000000000004</v>
      </c>
      <c r="J5596">
        <v>0.25</v>
      </c>
      <c r="K5596">
        <v>0.56999999999999995</v>
      </c>
      <c r="L5596">
        <v>4.7E-2</v>
      </c>
      <c r="M5596">
        <v>0.85299999999999998</v>
      </c>
      <c r="N5596">
        <v>0.77</v>
      </c>
    </row>
    <row r="5597" spans="1:14" x14ac:dyDescent="0.25">
      <c r="A5597" t="s">
        <v>10093</v>
      </c>
      <c r="B5597" t="s">
        <v>3368</v>
      </c>
      <c r="C5597" s="1" t="str">
        <f>HYPERLINK("http://www.genecards.org/cgi-bin/carddisp.pl?gene=KAZALD1","GeneCards")</f>
        <v>GeneCards</v>
      </c>
      <c r="D5597" s="1" t="str">
        <f>HYPERLINK("http://genome-euro.ucsc.edu/cgi-bin/hgTracks?position=221000_s_at","UCSC")</f>
        <v>UCSC</v>
      </c>
      <c r="E5597" s="1" t="str">
        <f>HYPERLINK("http://www.ncbi.nlm.nih.gov/gene/?term=KAZALD1","NCBI")</f>
        <v>NCBI</v>
      </c>
      <c r="F5597">
        <v>5.6000000000000001E-2</v>
      </c>
      <c r="G5597">
        <v>0.17</v>
      </c>
      <c r="H5597" s="1" t="str">
        <f>HYPERLINK("http://www.weizmann.ac.il/complex/compphys/software/geview/data/figures/221000_s_at.png","Figure")</f>
        <v>Figure</v>
      </c>
      <c r="I5597">
        <v>0.89200000000000002</v>
      </c>
      <c r="J5597">
        <v>0.42</v>
      </c>
      <c r="K5597">
        <v>1.1100000000000001</v>
      </c>
      <c r="L5597">
        <v>0.38</v>
      </c>
      <c r="M5597">
        <v>1.25</v>
      </c>
      <c r="N5597">
        <v>4.7E-2</v>
      </c>
    </row>
    <row r="5598" spans="1:14" x14ac:dyDescent="0.25">
      <c r="A5598" t="s">
        <v>10094</v>
      </c>
      <c r="B5598" t="s">
        <v>10095</v>
      </c>
      <c r="C5598" s="1" t="str">
        <f>HYPERLINK("http://www.genecards.org/cgi-bin/carddisp.pl?gene=ZNF589","GeneCards")</f>
        <v>GeneCards</v>
      </c>
      <c r="D5598" s="1" t="str">
        <f>HYPERLINK("http://genome-euro.ucsc.edu/cgi-bin/hgTracks?position=219968_at","UCSC")</f>
        <v>UCSC</v>
      </c>
      <c r="E5598" s="1" t="str">
        <f>HYPERLINK("http://www.ncbi.nlm.nih.gov/gene/?term=ZNF589","NCBI")</f>
        <v>NCBI</v>
      </c>
      <c r="F5598">
        <v>5.6000000000000001E-2</v>
      </c>
      <c r="G5598">
        <v>0.17</v>
      </c>
      <c r="H5598" s="1" t="str">
        <f>HYPERLINK("http://www.weizmann.ac.il/complex/compphys/software/geview/data/figures/219968_at.png","Figure")</f>
        <v>Figure</v>
      </c>
      <c r="I5598">
        <v>1.08</v>
      </c>
      <c r="J5598">
        <v>0.68</v>
      </c>
      <c r="K5598">
        <v>1.23</v>
      </c>
      <c r="L5598">
        <v>5.0999999999999997E-2</v>
      </c>
      <c r="M5598">
        <v>1.1399999999999999</v>
      </c>
      <c r="N5598">
        <v>0.3</v>
      </c>
    </row>
    <row r="5599" spans="1:14" x14ac:dyDescent="0.25">
      <c r="A5599" t="s">
        <v>10096</v>
      </c>
      <c r="B5599" t="s">
        <v>3302</v>
      </c>
      <c r="C5599" s="1" t="str">
        <f>HYPERLINK("http://www.genecards.org/cgi-bin/carddisp.pl?gene=PEX16","GeneCards")</f>
        <v>GeneCards</v>
      </c>
      <c r="D5599" s="1" t="str">
        <f>HYPERLINK("http://genome-euro.ucsc.edu/cgi-bin/hgTracks?position=221603_at","UCSC")</f>
        <v>UCSC</v>
      </c>
      <c r="E5599" s="1" t="str">
        <f>HYPERLINK("http://www.ncbi.nlm.nih.gov/gene/?term=PEX16","NCBI")</f>
        <v>NCBI</v>
      </c>
      <c r="F5599">
        <v>5.6000000000000001E-2</v>
      </c>
      <c r="G5599">
        <v>0.17</v>
      </c>
      <c r="H5599" s="1" t="str">
        <f>HYPERLINK("http://www.weizmann.ac.il/complex/compphys/software/geview/data/figures/221603_at.png","Figure")</f>
        <v>Figure</v>
      </c>
      <c r="I5599">
        <v>1.05</v>
      </c>
      <c r="J5599">
        <v>0.78</v>
      </c>
      <c r="K5599">
        <v>0.88700000000000001</v>
      </c>
      <c r="L5599">
        <v>0.18</v>
      </c>
      <c r="M5599">
        <v>0.84399999999999997</v>
      </c>
      <c r="N5599">
        <v>6.4000000000000001E-2</v>
      </c>
    </row>
    <row r="5600" spans="1:14" x14ac:dyDescent="0.25">
      <c r="A5600" t="s">
        <v>10097</v>
      </c>
      <c r="B5600" t="s">
        <v>8494</v>
      </c>
      <c r="C5600" s="1" t="str">
        <f>HYPERLINK("http://www.genecards.org/cgi-bin/carddisp.pl?gene=SNX1","GeneCards")</f>
        <v>GeneCards</v>
      </c>
      <c r="D5600" s="1" t="str">
        <f>HYPERLINK("http://genome-euro.ucsc.edu/cgi-bin/hgTracks?position=213364_s_at","UCSC")</f>
        <v>UCSC</v>
      </c>
      <c r="E5600" s="1" t="str">
        <f>HYPERLINK("http://www.ncbi.nlm.nih.gov/gene/?term=SNX1","NCBI")</f>
        <v>NCBI</v>
      </c>
      <c r="F5600">
        <v>5.6000000000000001E-2</v>
      </c>
      <c r="G5600">
        <v>0.17</v>
      </c>
      <c r="H5600" s="1" t="str">
        <f>HYPERLINK("http://www.weizmann.ac.il/complex/compphys/software/geview/data/figures/213364_s_at.png","Figure")</f>
        <v>Figure</v>
      </c>
      <c r="I5600">
        <v>0.56599999999999995</v>
      </c>
      <c r="J5600">
        <v>7.6999999999999999E-2</v>
      </c>
      <c r="K5600">
        <v>0.625</v>
      </c>
      <c r="L5600">
        <v>9.6000000000000002E-2</v>
      </c>
      <c r="M5600">
        <v>1.1000000000000001</v>
      </c>
      <c r="N5600">
        <v>0.9</v>
      </c>
    </row>
    <row r="5601" spans="1:14" x14ac:dyDescent="0.25">
      <c r="A5601" t="s">
        <v>10098</v>
      </c>
      <c r="B5601" t="s">
        <v>10099</v>
      </c>
      <c r="C5601" s="1" t="str">
        <f>HYPERLINK("http://www.genecards.org/cgi-bin/carddisp.pl?gene=FERMT1","GeneCards")</f>
        <v>GeneCards</v>
      </c>
      <c r="D5601" s="1" t="str">
        <f>HYPERLINK("http://genome-euro.ucsc.edu/cgi-bin/hgTracks?position=218796_at","UCSC")</f>
        <v>UCSC</v>
      </c>
      <c r="E5601" s="1" t="str">
        <f>HYPERLINK("http://www.ncbi.nlm.nih.gov/gene/?term=FERMT1","NCBI")</f>
        <v>NCBI</v>
      </c>
      <c r="F5601">
        <v>5.6000000000000001E-2</v>
      </c>
      <c r="G5601">
        <v>0.17</v>
      </c>
      <c r="H5601" s="1" t="str">
        <f>HYPERLINK("http://www.weizmann.ac.il/complex/compphys/software/geview/data/figures/218796_at.png","Figure")</f>
        <v>Figure</v>
      </c>
      <c r="I5601">
        <v>1.35</v>
      </c>
      <c r="J5601">
        <v>4.5999999999999999E-2</v>
      </c>
      <c r="K5601">
        <v>1.17</v>
      </c>
      <c r="L5601">
        <v>0.3</v>
      </c>
      <c r="M5601">
        <v>0.86199999999999999</v>
      </c>
      <c r="N5601">
        <v>0.36</v>
      </c>
    </row>
    <row r="5602" spans="1:14" x14ac:dyDescent="0.25">
      <c r="A5602" t="s">
        <v>10100</v>
      </c>
      <c r="B5602" t="s">
        <v>10101</v>
      </c>
      <c r="C5602" s="1" t="str">
        <f>HYPERLINK("http://www.genecards.org/cgi-bin/carddisp.pl?gene=SRGAP3","GeneCards")</f>
        <v>GeneCards</v>
      </c>
      <c r="D5602" s="1" t="str">
        <f>HYPERLINK("http://genome-euro.ucsc.edu/cgi-bin/hgTracks?position=209794_at","UCSC")</f>
        <v>UCSC</v>
      </c>
      <c r="E5602" s="1" t="str">
        <f>HYPERLINK("http://www.ncbi.nlm.nih.gov/gene/?term=SRGAP3","NCBI")</f>
        <v>NCBI</v>
      </c>
      <c r="F5602">
        <v>5.6000000000000001E-2</v>
      </c>
      <c r="G5602">
        <v>0.17</v>
      </c>
      <c r="H5602" s="1" t="str">
        <f>HYPERLINK("http://www.weizmann.ac.il/complex/compphys/software/geview/data/figures/209794_at.png","Figure")</f>
        <v>Figure</v>
      </c>
      <c r="I5602">
        <v>1.18</v>
      </c>
      <c r="J5602">
        <v>0.25</v>
      </c>
      <c r="K5602">
        <v>0.92100000000000004</v>
      </c>
      <c r="L5602">
        <v>0.61</v>
      </c>
      <c r="M5602">
        <v>0.78100000000000003</v>
      </c>
      <c r="N5602">
        <v>4.5999999999999999E-2</v>
      </c>
    </row>
    <row r="5603" spans="1:14" x14ac:dyDescent="0.25">
      <c r="A5603" t="s">
        <v>10102</v>
      </c>
      <c r="B5603" t="s">
        <v>2980</v>
      </c>
      <c r="C5603" s="1" t="str">
        <f>HYPERLINK("http://www.genecards.org/cgi-bin/carddisp.pl?gene=CHKA","GeneCards")</f>
        <v>GeneCards</v>
      </c>
      <c r="D5603" s="1" t="str">
        <f>HYPERLINK("http://genome-euro.ucsc.edu/cgi-bin/hgTracks?position=204266_s_at","UCSC")</f>
        <v>UCSC</v>
      </c>
      <c r="E5603" s="1" t="str">
        <f>HYPERLINK("http://www.ncbi.nlm.nih.gov/gene/?term=CHKA","NCBI")</f>
        <v>NCBI</v>
      </c>
      <c r="F5603">
        <v>5.6000000000000001E-2</v>
      </c>
      <c r="G5603">
        <v>0.17</v>
      </c>
      <c r="H5603" s="1" t="str">
        <f>HYPERLINK("http://www.weizmann.ac.il/complex/compphys/software/geview/data/figures/204266_s_at.png","Figure")</f>
        <v>Figure</v>
      </c>
      <c r="I5603">
        <v>1.36</v>
      </c>
      <c r="J5603">
        <v>6.6000000000000003E-2</v>
      </c>
      <c r="K5603">
        <v>1.26</v>
      </c>
      <c r="L5603">
        <v>0.12</v>
      </c>
      <c r="M5603">
        <v>0.92700000000000005</v>
      </c>
      <c r="N5603">
        <v>0.79</v>
      </c>
    </row>
    <row r="5604" spans="1:14" x14ac:dyDescent="0.25">
      <c r="A5604" t="s">
        <v>10103</v>
      </c>
      <c r="B5604" t="s">
        <v>10104</v>
      </c>
      <c r="C5604" s="1" t="str">
        <f>HYPERLINK("http://www.genecards.org/cgi-bin/carddisp.pl?gene=THNSL2","GeneCards")</f>
        <v>GeneCards</v>
      </c>
      <c r="D5604" s="1" t="str">
        <f>HYPERLINK("http://genome-euro.ucsc.edu/cgi-bin/hgTracks?position=219044_at","UCSC")</f>
        <v>UCSC</v>
      </c>
      <c r="E5604" s="1" t="str">
        <f>HYPERLINK("http://www.ncbi.nlm.nih.gov/gene/?term=THNSL2","NCBI")</f>
        <v>NCBI</v>
      </c>
      <c r="F5604">
        <v>5.6000000000000001E-2</v>
      </c>
      <c r="G5604">
        <v>0.17</v>
      </c>
      <c r="H5604" s="1" t="str">
        <f>HYPERLINK("http://www.weizmann.ac.il/complex/compphys/software/geview/data/figures/219044_at.png","Figure")</f>
        <v>Figure</v>
      </c>
      <c r="I5604">
        <v>1.1599999999999999</v>
      </c>
      <c r="J5604">
        <v>6.3E-2</v>
      </c>
      <c r="K5604">
        <v>1.1200000000000001</v>
      </c>
      <c r="L5604">
        <v>0.13</v>
      </c>
      <c r="M5604">
        <v>0.96</v>
      </c>
      <c r="N5604">
        <v>0.75</v>
      </c>
    </row>
    <row r="5605" spans="1:14" x14ac:dyDescent="0.25">
      <c r="A5605" t="s">
        <v>10105</v>
      </c>
      <c r="B5605" t="s">
        <v>10106</v>
      </c>
      <c r="C5605" s="1" t="str">
        <f>HYPERLINK("http://www.genecards.org/cgi-bin/carddisp.pl?gene=SPTBN2","GeneCards")</f>
        <v>GeneCards</v>
      </c>
      <c r="D5605" s="1" t="str">
        <f>HYPERLINK("http://genome-euro.ucsc.edu/cgi-bin/hgTracks?position=205155_s_at","UCSC")</f>
        <v>UCSC</v>
      </c>
      <c r="E5605" s="1" t="str">
        <f>HYPERLINK("http://www.ncbi.nlm.nih.gov/gene/?term=SPTBN2","NCBI")</f>
        <v>NCBI</v>
      </c>
      <c r="F5605">
        <v>5.6000000000000001E-2</v>
      </c>
      <c r="G5605">
        <v>0.17</v>
      </c>
      <c r="H5605" s="1" t="str">
        <f>HYPERLINK("http://www.weizmann.ac.il/complex/compphys/software/geview/data/figures/205155_s_at.png","Figure")</f>
        <v>Figure</v>
      </c>
      <c r="I5605">
        <v>1.1100000000000001</v>
      </c>
      <c r="J5605">
        <v>0.33</v>
      </c>
      <c r="K5605">
        <v>1.17</v>
      </c>
      <c r="L5605">
        <v>4.5999999999999999E-2</v>
      </c>
      <c r="M5605">
        <v>1.06</v>
      </c>
      <c r="N5605">
        <v>0.63</v>
      </c>
    </row>
    <row r="5606" spans="1:14" x14ac:dyDescent="0.25">
      <c r="A5606" t="s">
        <v>10107</v>
      </c>
      <c r="B5606" t="s">
        <v>10108</v>
      </c>
      <c r="C5606" s="1" t="str">
        <f>HYPERLINK("http://www.genecards.org/cgi-bin/carddisp.pl?gene=IFNAR2","GeneCards")</f>
        <v>GeneCards</v>
      </c>
      <c r="D5606" s="1" t="str">
        <f>HYPERLINK("http://genome-euro.ucsc.edu/cgi-bin/hgTracks?position=204786_s_at","UCSC")</f>
        <v>UCSC</v>
      </c>
      <c r="E5606" s="1" t="str">
        <f>HYPERLINK("http://www.ncbi.nlm.nih.gov/gene/?term=IFNAR2","NCBI")</f>
        <v>NCBI</v>
      </c>
      <c r="F5606">
        <v>5.6000000000000001E-2</v>
      </c>
      <c r="G5606">
        <v>0.17</v>
      </c>
      <c r="H5606" s="1" t="str">
        <f>HYPERLINK("http://www.weizmann.ac.il/complex/compphys/software/geview/data/figures/204786_s_at.png","Figure")</f>
        <v>Figure</v>
      </c>
      <c r="I5606">
        <v>0.90900000000000003</v>
      </c>
      <c r="J5606">
        <v>0.64</v>
      </c>
      <c r="K5606">
        <v>1.17</v>
      </c>
      <c r="L5606">
        <v>0.24</v>
      </c>
      <c r="M5606">
        <v>1.29</v>
      </c>
      <c r="N5606">
        <v>5.6000000000000001E-2</v>
      </c>
    </row>
    <row r="5607" spans="1:14" x14ac:dyDescent="0.25">
      <c r="A5607" t="s">
        <v>10109</v>
      </c>
      <c r="B5607" t="s">
        <v>10110</v>
      </c>
      <c r="C5607" s="1" t="str">
        <f>HYPERLINK("http://www.genecards.org/cgi-bin/carddisp.pl?gene=CCR2","GeneCards")</f>
        <v>GeneCards</v>
      </c>
      <c r="D5607" s="1" t="str">
        <f>HYPERLINK("http://genome-euro.ucsc.edu/cgi-bin/hgTracks?position=206978_at","UCSC")</f>
        <v>UCSC</v>
      </c>
      <c r="E5607" s="1" t="str">
        <f>HYPERLINK("http://www.ncbi.nlm.nih.gov/gene/?term=CCR2","NCBI")</f>
        <v>NCBI</v>
      </c>
      <c r="F5607">
        <v>5.6000000000000001E-2</v>
      </c>
      <c r="G5607">
        <v>0.17</v>
      </c>
      <c r="H5607" s="1" t="str">
        <f>HYPERLINK("http://www.weizmann.ac.il/complex/compphys/software/geview/data/figures/206978_at.png","Figure")</f>
        <v>Figure</v>
      </c>
      <c r="I5607">
        <v>0.95899999999999996</v>
      </c>
      <c r="J5607">
        <v>8.8999999999999996E-2</v>
      </c>
      <c r="K5607">
        <v>1</v>
      </c>
      <c r="L5607">
        <v>1</v>
      </c>
      <c r="M5607">
        <v>1.04</v>
      </c>
      <c r="N5607">
        <v>6.7000000000000004E-2</v>
      </c>
    </row>
    <row r="5608" spans="1:14" x14ac:dyDescent="0.25">
      <c r="A5608" t="s">
        <v>10111</v>
      </c>
      <c r="B5608" t="s">
        <v>10112</v>
      </c>
      <c r="C5608" s="1" t="str">
        <f>HYPERLINK("http://www.genecards.org/cgi-bin/carddisp.pl?gene=OR7A5","GeneCards")</f>
        <v>GeneCards</v>
      </c>
      <c r="D5608" s="1" t="str">
        <f>HYPERLINK("http://genome-euro.ucsc.edu/cgi-bin/hgTracks?position=208285_at","UCSC")</f>
        <v>UCSC</v>
      </c>
      <c r="E5608" s="1" t="str">
        <f>HYPERLINK("http://www.ncbi.nlm.nih.gov/gene/?term=OR7A5","NCBI")</f>
        <v>NCBI</v>
      </c>
      <c r="F5608">
        <v>5.6000000000000001E-2</v>
      </c>
      <c r="G5608">
        <v>0.17</v>
      </c>
      <c r="H5608" s="1" t="str">
        <f>HYPERLINK("http://www.weizmann.ac.il/complex/compphys/software/geview/data/figures/208285_at.png","Figure")</f>
        <v>Figure</v>
      </c>
      <c r="I5608">
        <v>1.1499999999999999</v>
      </c>
      <c r="J5608">
        <v>0.48</v>
      </c>
      <c r="K5608">
        <v>0.85699999999999998</v>
      </c>
      <c r="L5608">
        <v>0.33</v>
      </c>
      <c r="M5608">
        <v>0.74399999999999999</v>
      </c>
      <c r="N5608">
        <v>0.05</v>
      </c>
    </row>
    <row r="5609" spans="1:14" x14ac:dyDescent="0.25">
      <c r="A5609" t="s">
        <v>10113</v>
      </c>
      <c r="B5609" t="s">
        <v>10114</v>
      </c>
      <c r="C5609" s="1" t="str">
        <f>HYPERLINK("http://www.genecards.org/cgi-bin/carddisp.pl?gene=EGLN1","GeneCards")</f>
        <v>GeneCards</v>
      </c>
      <c r="D5609" s="1" t="str">
        <f>HYPERLINK("http://genome-euro.ucsc.edu/cgi-bin/hgTracks?position=221497_x_at","UCSC")</f>
        <v>UCSC</v>
      </c>
      <c r="E5609" s="1" t="str">
        <f>HYPERLINK("http://www.ncbi.nlm.nih.gov/gene/?term=EGLN1","NCBI")</f>
        <v>NCBI</v>
      </c>
      <c r="F5609">
        <v>5.6000000000000001E-2</v>
      </c>
      <c r="G5609">
        <v>0.17</v>
      </c>
      <c r="H5609" s="1" t="str">
        <f>HYPERLINK("http://www.weizmann.ac.il/complex/compphys/software/geview/data/figures/221497_x_at.png","Figure")</f>
        <v>Figure</v>
      </c>
      <c r="I5609">
        <v>0.7</v>
      </c>
      <c r="J5609">
        <v>0.11</v>
      </c>
      <c r="K5609">
        <v>0.70899999999999996</v>
      </c>
      <c r="L5609">
        <v>7.0999999999999994E-2</v>
      </c>
      <c r="M5609">
        <v>1.01</v>
      </c>
      <c r="N5609">
        <v>1</v>
      </c>
    </row>
    <row r="5610" spans="1:14" x14ac:dyDescent="0.25">
      <c r="A5610" t="s">
        <v>10115</v>
      </c>
      <c r="B5610" t="s">
        <v>10116</v>
      </c>
      <c r="C5610" s="1" t="str">
        <f>HYPERLINK("http://www.genecards.org/cgi-bin/carddisp.pl?gene=C1orf159","GeneCards")</f>
        <v>GeneCards</v>
      </c>
      <c r="D5610" s="1" t="str">
        <f>HYPERLINK("http://genome-euro.ucsc.edu/cgi-bin/hgTracks?position=219337_at","UCSC")</f>
        <v>UCSC</v>
      </c>
      <c r="E5610" s="1" t="str">
        <f>HYPERLINK("http://www.ncbi.nlm.nih.gov/gene/?term=C1orf159","NCBI")</f>
        <v>NCBI</v>
      </c>
      <c r="F5610">
        <v>5.6000000000000001E-2</v>
      </c>
      <c r="G5610">
        <v>0.17</v>
      </c>
      <c r="H5610" s="1" t="str">
        <f>HYPERLINK("http://www.weizmann.ac.il/complex/compphys/software/geview/data/figures/219337_at.png","Figure")</f>
        <v>Figure</v>
      </c>
      <c r="I5610">
        <v>1.05</v>
      </c>
      <c r="J5610">
        <v>0.69</v>
      </c>
      <c r="K5610">
        <v>0.90600000000000003</v>
      </c>
      <c r="L5610">
        <v>0.22</v>
      </c>
      <c r="M5610">
        <v>0.86</v>
      </c>
      <c r="N5610">
        <v>5.8999999999999997E-2</v>
      </c>
    </row>
    <row r="5611" spans="1:14" x14ac:dyDescent="0.25">
      <c r="A5611" t="s">
        <v>10117</v>
      </c>
      <c r="B5611" t="s">
        <v>2065</v>
      </c>
      <c r="C5611" s="1" t="str">
        <f>HYPERLINK("http://www.genecards.org/cgi-bin/carddisp.pl?gene=E2F4","GeneCards")</f>
        <v>GeneCards</v>
      </c>
      <c r="D5611" s="1" t="str">
        <f>HYPERLINK("http://genome-euro.ucsc.edu/cgi-bin/hgTracks?position=38707_r_at","UCSC")</f>
        <v>UCSC</v>
      </c>
      <c r="E5611" s="1" t="str">
        <f>HYPERLINK("http://www.ncbi.nlm.nih.gov/gene/?term=E2F4","NCBI")</f>
        <v>NCBI</v>
      </c>
      <c r="F5611">
        <v>5.7000000000000002E-2</v>
      </c>
      <c r="G5611">
        <v>0.17</v>
      </c>
      <c r="H5611" s="1" t="str">
        <f>HYPERLINK("http://www.weizmann.ac.il/complex/compphys/software/geview/data/figures/38707_r_at.png","Figure")</f>
        <v>Figure</v>
      </c>
      <c r="I5611">
        <v>1.41</v>
      </c>
      <c r="J5611">
        <v>6.0999999999999999E-2</v>
      </c>
      <c r="K5611">
        <v>1.28</v>
      </c>
      <c r="L5611">
        <v>0.14000000000000001</v>
      </c>
      <c r="M5611">
        <v>0.90700000000000003</v>
      </c>
      <c r="N5611">
        <v>0.72</v>
      </c>
    </row>
    <row r="5612" spans="1:14" x14ac:dyDescent="0.25">
      <c r="A5612" t="s">
        <v>10118</v>
      </c>
      <c r="B5612" t="s">
        <v>10119</v>
      </c>
      <c r="C5612" s="1" t="str">
        <f>HYPERLINK("http://www.genecards.org/cgi-bin/carddisp.pl?gene=CPE","GeneCards")</f>
        <v>GeneCards</v>
      </c>
      <c r="D5612" s="1" t="str">
        <f>HYPERLINK("http://genome-euro.ucsc.edu/cgi-bin/hgTracks?position=201116_s_at","UCSC")</f>
        <v>UCSC</v>
      </c>
      <c r="E5612" s="1" t="str">
        <f>HYPERLINK("http://www.ncbi.nlm.nih.gov/gene/?term=CPE","NCBI")</f>
        <v>NCBI</v>
      </c>
      <c r="F5612">
        <v>5.7000000000000002E-2</v>
      </c>
      <c r="G5612">
        <v>0.17</v>
      </c>
      <c r="H5612" s="1" t="str">
        <f>HYPERLINK("http://www.weizmann.ac.il/complex/compphys/software/geview/data/figures/201116_s_at.png","Figure")</f>
        <v>Figure</v>
      </c>
      <c r="I5612">
        <v>1.1599999999999999</v>
      </c>
      <c r="J5612">
        <v>4.5999999999999999E-2</v>
      </c>
      <c r="K5612">
        <v>1.07</v>
      </c>
      <c r="L5612">
        <v>0.32</v>
      </c>
      <c r="M5612">
        <v>0.92900000000000005</v>
      </c>
      <c r="N5612">
        <v>0.34</v>
      </c>
    </row>
    <row r="5613" spans="1:14" x14ac:dyDescent="0.25">
      <c r="A5613" t="s">
        <v>10120</v>
      </c>
      <c r="B5613" t="s">
        <v>10121</v>
      </c>
      <c r="C5613" s="1" t="str">
        <f>HYPERLINK("http://www.genecards.org/cgi-bin/carddisp.pl?gene=CNIH","GeneCards")</f>
        <v>GeneCards</v>
      </c>
      <c r="D5613" s="1" t="str">
        <f>HYPERLINK("http://genome-euro.ucsc.edu/cgi-bin/hgTracks?position=201653_at","UCSC")</f>
        <v>UCSC</v>
      </c>
      <c r="E5613" s="1" t="str">
        <f>HYPERLINK("http://www.ncbi.nlm.nih.gov/gene/?term=CNIH","NCBI")</f>
        <v>NCBI</v>
      </c>
      <c r="F5613">
        <v>5.7000000000000002E-2</v>
      </c>
      <c r="G5613">
        <v>0.17</v>
      </c>
      <c r="H5613" s="1" t="str">
        <f>HYPERLINK("http://www.weizmann.ac.il/complex/compphys/software/geview/data/figures/201653_at.png","Figure")</f>
        <v>Figure</v>
      </c>
      <c r="I5613">
        <v>0.56100000000000005</v>
      </c>
      <c r="J5613">
        <v>7.3999999999999996E-2</v>
      </c>
      <c r="K5613">
        <v>0.95499999999999996</v>
      </c>
      <c r="L5613">
        <v>0.97</v>
      </c>
      <c r="M5613">
        <v>1.7</v>
      </c>
      <c r="N5613">
        <v>7.9000000000000001E-2</v>
      </c>
    </row>
    <row r="5614" spans="1:14" x14ac:dyDescent="0.25">
      <c r="A5614" t="s">
        <v>10122</v>
      </c>
      <c r="B5614" t="s">
        <v>10123</v>
      </c>
      <c r="C5614" s="1" t="str">
        <f>HYPERLINK("http://www.genecards.org/cgi-bin/carddisp.pl?gene=RGS10","GeneCards")</f>
        <v>GeneCards</v>
      </c>
      <c r="D5614" s="1" t="str">
        <f>HYPERLINK("http://genome-euro.ucsc.edu/cgi-bin/hgTracks?position=204319_s_at","UCSC")</f>
        <v>UCSC</v>
      </c>
      <c r="E5614" s="1" t="str">
        <f>HYPERLINK("http://www.ncbi.nlm.nih.gov/gene/?term=RGS10","NCBI")</f>
        <v>NCBI</v>
      </c>
      <c r="F5614">
        <v>5.6000000000000001E-2</v>
      </c>
      <c r="G5614">
        <v>0.17</v>
      </c>
      <c r="H5614" s="1" t="str">
        <f>HYPERLINK("http://www.weizmann.ac.il/complex/compphys/software/geview/data/figures/204319_s_at.png","Figure")</f>
        <v>Figure</v>
      </c>
      <c r="I5614">
        <v>1.07</v>
      </c>
      <c r="J5614">
        <v>0.84</v>
      </c>
      <c r="K5614">
        <v>0.82</v>
      </c>
      <c r="L5614">
        <v>0.16</v>
      </c>
      <c r="M5614">
        <v>0.76700000000000002</v>
      </c>
      <c r="N5614">
        <v>7.0000000000000007E-2</v>
      </c>
    </row>
    <row r="5615" spans="1:14" x14ac:dyDescent="0.25">
      <c r="A5615" t="s">
        <v>10124</v>
      </c>
      <c r="B5615" t="s">
        <v>10125</v>
      </c>
      <c r="C5615" s="1" t="str">
        <f>HYPERLINK("http://www.genecards.org/cgi-bin/carddisp.pl?gene=CDC7","GeneCards")</f>
        <v>GeneCards</v>
      </c>
      <c r="D5615" s="1" t="str">
        <f>HYPERLINK("http://genome-euro.ucsc.edu/cgi-bin/hgTracks?position=204510_at","UCSC")</f>
        <v>UCSC</v>
      </c>
      <c r="E5615" s="1" t="str">
        <f>HYPERLINK("http://www.ncbi.nlm.nih.gov/gene/?term=CDC7","NCBI")</f>
        <v>NCBI</v>
      </c>
      <c r="F5615">
        <v>5.7000000000000002E-2</v>
      </c>
      <c r="G5615">
        <v>0.17</v>
      </c>
      <c r="H5615" s="1" t="str">
        <f>HYPERLINK("http://www.weizmann.ac.il/complex/compphys/software/geview/data/figures/204510_at.png","Figure")</f>
        <v>Figure</v>
      </c>
      <c r="I5615">
        <v>0.628</v>
      </c>
      <c r="J5615">
        <v>0.3</v>
      </c>
      <c r="K5615">
        <v>1.33</v>
      </c>
      <c r="L5615">
        <v>0.53</v>
      </c>
      <c r="M5615">
        <v>2.12</v>
      </c>
      <c r="N5615">
        <v>4.5999999999999999E-2</v>
      </c>
    </row>
    <row r="5616" spans="1:14" x14ac:dyDescent="0.25">
      <c r="A5616" t="s">
        <v>10126</v>
      </c>
      <c r="B5616" t="s">
        <v>10127</v>
      </c>
      <c r="C5616" s="1" t="str">
        <f>HYPERLINK("http://www.genecards.org/cgi-bin/carddisp.pl?gene=ZNF85","GeneCards")</f>
        <v>GeneCards</v>
      </c>
      <c r="D5616" s="1" t="str">
        <f>HYPERLINK("http://genome-euro.ucsc.edu/cgi-bin/hgTracks?position=206572_x_at","UCSC")</f>
        <v>UCSC</v>
      </c>
      <c r="E5616" s="1" t="str">
        <f>HYPERLINK("http://www.ncbi.nlm.nih.gov/gene/?term=ZNF85","NCBI")</f>
        <v>NCBI</v>
      </c>
      <c r="F5616">
        <v>5.7000000000000002E-2</v>
      </c>
      <c r="G5616">
        <v>0.17</v>
      </c>
      <c r="H5616" s="1" t="str">
        <f>HYPERLINK("http://www.weizmann.ac.il/complex/compphys/software/geview/data/figures/206572_x_at.png","Figure")</f>
        <v>Figure</v>
      </c>
      <c r="I5616">
        <v>1.28</v>
      </c>
      <c r="J5616">
        <v>4.7E-2</v>
      </c>
      <c r="K5616">
        <v>1.0900000000000001</v>
      </c>
      <c r="L5616">
        <v>0.53</v>
      </c>
      <c r="M5616">
        <v>0.85499999999999998</v>
      </c>
      <c r="N5616">
        <v>0.2</v>
      </c>
    </row>
    <row r="5617" spans="1:14" x14ac:dyDescent="0.25">
      <c r="A5617" t="s">
        <v>10128</v>
      </c>
      <c r="B5617" t="s">
        <v>9908</v>
      </c>
      <c r="C5617" s="1" t="str">
        <f>HYPERLINK("http://www.genecards.org/cgi-bin/carddisp.pl?gene=NF1","GeneCards")</f>
        <v>GeneCards</v>
      </c>
      <c r="D5617" s="1" t="str">
        <f>HYPERLINK("http://genome-euro.ucsc.edu/cgi-bin/hgTracks?position=212678_at","UCSC")</f>
        <v>UCSC</v>
      </c>
      <c r="E5617" s="1" t="str">
        <f>HYPERLINK("http://www.ncbi.nlm.nih.gov/gene/?term=NF1","NCBI")</f>
        <v>NCBI</v>
      </c>
      <c r="F5617">
        <v>5.6000000000000001E-2</v>
      </c>
      <c r="G5617">
        <v>0.17</v>
      </c>
      <c r="H5617" s="1" t="str">
        <f>HYPERLINK("http://www.weizmann.ac.il/complex/compphys/software/geview/data/figures/212678_at.png","Figure")</f>
        <v>Figure</v>
      </c>
      <c r="I5617">
        <v>0.84499999999999997</v>
      </c>
      <c r="J5617">
        <v>0.32</v>
      </c>
      <c r="K5617">
        <v>1.1200000000000001</v>
      </c>
      <c r="L5617">
        <v>0.5</v>
      </c>
      <c r="M5617">
        <v>1.33</v>
      </c>
      <c r="N5617">
        <v>4.5999999999999999E-2</v>
      </c>
    </row>
    <row r="5618" spans="1:14" x14ac:dyDescent="0.25">
      <c r="A5618" t="s">
        <v>10129</v>
      </c>
      <c r="B5618" t="s">
        <v>10130</v>
      </c>
      <c r="C5618" s="1" t="str">
        <f>HYPERLINK("http://www.genecards.org/cgi-bin/carddisp.pl?gene=CREBZF","GeneCards")</f>
        <v>GeneCards</v>
      </c>
      <c r="D5618" s="1" t="str">
        <f>HYPERLINK("http://genome-euro.ucsc.edu/cgi-bin/hgTracks?position=213584_s_at","UCSC")</f>
        <v>UCSC</v>
      </c>
      <c r="E5618" s="1" t="str">
        <f>HYPERLINK("http://www.ncbi.nlm.nih.gov/gene/?term=CREBZF","NCBI")</f>
        <v>NCBI</v>
      </c>
      <c r="F5618">
        <v>5.7000000000000002E-2</v>
      </c>
      <c r="G5618">
        <v>0.17</v>
      </c>
      <c r="H5618" s="1" t="str">
        <f>HYPERLINK("http://www.weizmann.ac.il/complex/compphys/software/geview/data/figures/213584_s_at.png","Figure")</f>
        <v>Figure</v>
      </c>
      <c r="I5618">
        <v>1.24</v>
      </c>
      <c r="J5618">
        <v>0.16</v>
      </c>
      <c r="K5618">
        <v>0.94299999999999995</v>
      </c>
      <c r="L5618">
        <v>0.82</v>
      </c>
      <c r="M5618">
        <v>0.76</v>
      </c>
      <c r="N5618">
        <v>4.9000000000000002E-2</v>
      </c>
    </row>
    <row r="5619" spans="1:14" x14ac:dyDescent="0.25">
      <c r="A5619" t="s">
        <v>10131</v>
      </c>
      <c r="B5619" t="s">
        <v>10132</v>
      </c>
      <c r="C5619" s="1" t="str">
        <f>HYPERLINK("http://www.genecards.org/cgi-bin/carddisp.pl?gene=C15orf29","GeneCards")</f>
        <v>GeneCards</v>
      </c>
      <c r="D5619" s="1" t="str">
        <f>HYPERLINK("http://genome-euro.ucsc.edu/cgi-bin/hgTracks?position=218791_s_at","UCSC")</f>
        <v>UCSC</v>
      </c>
      <c r="E5619" s="1" t="str">
        <f>HYPERLINK("http://www.ncbi.nlm.nih.gov/gene/?term=C15orf29","NCBI")</f>
        <v>NCBI</v>
      </c>
      <c r="F5619">
        <v>5.7000000000000002E-2</v>
      </c>
      <c r="G5619">
        <v>0.17</v>
      </c>
      <c r="H5619" s="1" t="str">
        <f>HYPERLINK("http://www.weizmann.ac.il/complex/compphys/software/geview/data/figures/218791_s_at.png","Figure")</f>
        <v>Figure</v>
      </c>
      <c r="I5619">
        <v>0.90900000000000003</v>
      </c>
      <c r="J5619">
        <v>8.8999999999999996E-2</v>
      </c>
      <c r="K5619">
        <v>1</v>
      </c>
      <c r="L5619">
        <v>1</v>
      </c>
      <c r="M5619">
        <v>1.1000000000000001</v>
      </c>
      <c r="N5619">
        <v>6.7000000000000004E-2</v>
      </c>
    </row>
    <row r="5620" spans="1:14" x14ac:dyDescent="0.25">
      <c r="A5620" t="s">
        <v>10133</v>
      </c>
      <c r="B5620" t="s">
        <v>10134</v>
      </c>
      <c r="C5620" s="1" t="str">
        <f>HYPERLINK("http://www.genecards.org/cgi-bin/carddisp.pl?gene=THG1L","GeneCards")</f>
        <v>GeneCards</v>
      </c>
      <c r="D5620" s="1" t="str">
        <f>HYPERLINK("http://genome-euro.ucsc.edu/cgi-bin/hgTracks?position=219122_s_at","UCSC")</f>
        <v>UCSC</v>
      </c>
      <c r="E5620" s="1" t="str">
        <f>HYPERLINK("http://www.ncbi.nlm.nih.gov/gene/?term=THG1L","NCBI")</f>
        <v>NCBI</v>
      </c>
      <c r="F5620">
        <v>5.7000000000000002E-2</v>
      </c>
      <c r="G5620">
        <v>0.17</v>
      </c>
      <c r="H5620" s="1" t="str">
        <f>HYPERLINK("http://www.weizmann.ac.il/complex/compphys/software/geview/data/figures/219122_s_at.png","Figure")</f>
        <v>Figure</v>
      </c>
      <c r="I5620">
        <v>1.22</v>
      </c>
      <c r="J5620">
        <v>5.1999999999999998E-2</v>
      </c>
      <c r="K5620">
        <v>1.1299999999999999</v>
      </c>
      <c r="L5620">
        <v>0.19</v>
      </c>
      <c r="M5620">
        <v>0.92900000000000005</v>
      </c>
      <c r="N5620">
        <v>0.55000000000000004</v>
      </c>
    </row>
    <row r="5621" spans="1:14" x14ac:dyDescent="0.25">
      <c r="A5621" t="s">
        <v>10135</v>
      </c>
      <c r="B5621" t="s">
        <v>10136</v>
      </c>
      <c r="C5621" s="1" t="str">
        <f>HYPERLINK("http://www.genecards.org/cgi-bin/carddisp.pl?gene=MAP7D3","GeneCards")</f>
        <v>GeneCards</v>
      </c>
      <c r="D5621" s="1" t="str">
        <f>HYPERLINK("http://genome-euro.ucsc.edu/cgi-bin/hgTracks?position=219576_at","UCSC")</f>
        <v>UCSC</v>
      </c>
      <c r="E5621" s="1" t="str">
        <f>HYPERLINK("http://www.ncbi.nlm.nih.gov/gene/?term=MAP7D3","NCBI")</f>
        <v>NCBI</v>
      </c>
      <c r="F5621">
        <v>5.7000000000000002E-2</v>
      </c>
      <c r="G5621">
        <v>0.17</v>
      </c>
      <c r="H5621" s="1" t="str">
        <f>HYPERLINK("http://www.weizmann.ac.il/complex/compphys/software/geview/data/figures/219576_at.png","Figure")</f>
        <v>Figure</v>
      </c>
      <c r="I5621">
        <v>0.77500000000000002</v>
      </c>
      <c r="J5621">
        <v>0.12</v>
      </c>
      <c r="K5621">
        <v>1.03</v>
      </c>
      <c r="L5621">
        <v>0.95</v>
      </c>
      <c r="M5621">
        <v>1.33</v>
      </c>
      <c r="N5621">
        <v>5.6000000000000001E-2</v>
      </c>
    </row>
    <row r="5622" spans="1:14" x14ac:dyDescent="0.25">
      <c r="A5622" t="s">
        <v>10137</v>
      </c>
      <c r="B5622" t="s">
        <v>10138</v>
      </c>
      <c r="C5622" s="1" t="str">
        <f>HYPERLINK("http://www.genecards.org/cgi-bin/carddisp.pl?gene=TEX13B","GeneCards")</f>
        <v>GeneCards</v>
      </c>
      <c r="D5622" s="1" t="str">
        <f>HYPERLINK("http://genome-euro.ucsc.edu/cgi-bin/hgTracks?position=221034_s_at","UCSC")</f>
        <v>UCSC</v>
      </c>
      <c r="E5622" s="1" t="str">
        <f>HYPERLINK("http://www.ncbi.nlm.nih.gov/gene/?term=TEX13B","NCBI")</f>
        <v>NCBI</v>
      </c>
      <c r="F5622">
        <v>5.7000000000000002E-2</v>
      </c>
      <c r="G5622">
        <v>0.17</v>
      </c>
      <c r="H5622" s="1" t="str">
        <f>HYPERLINK("http://www.weizmann.ac.il/complex/compphys/software/geview/data/figures/221034_s_at.png","Figure")</f>
        <v>Figure</v>
      </c>
      <c r="I5622">
        <v>1.25</v>
      </c>
      <c r="J5622">
        <v>4.5999999999999999E-2</v>
      </c>
      <c r="K5622">
        <v>1.1000000000000001</v>
      </c>
      <c r="L5622">
        <v>0.41</v>
      </c>
      <c r="M5622">
        <v>0.878</v>
      </c>
      <c r="N5622">
        <v>0.26</v>
      </c>
    </row>
    <row r="5623" spans="1:14" x14ac:dyDescent="0.25">
      <c r="A5623" t="s">
        <v>10139</v>
      </c>
      <c r="B5623" t="s">
        <v>10140</v>
      </c>
      <c r="C5623" s="1" t="str">
        <f>HYPERLINK("http://www.genecards.org/cgi-bin/carddisp.pl?gene=CELSR3","GeneCards")</f>
        <v>GeneCards</v>
      </c>
      <c r="D5623" s="1" t="str">
        <f>HYPERLINK("http://genome-euro.ucsc.edu/cgi-bin/hgTracks?position=40020_at","UCSC")</f>
        <v>UCSC</v>
      </c>
      <c r="E5623" s="1" t="str">
        <f>HYPERLINK("http://www.ncbi.nlm.nih.gov/gene/?term=CELSR3","NCBI")</f>
        <v>NCBI</v>
      </c>
      <c r="F5623">
        <v>5.7000000000000002E-2</v>
      </c>
      <c r="G5623">
        <v>0.17</v>
      </c>
      <c r="H5623" s="1" t="str">
        <f>HYPERLINK("http://www.weizmann.ac.il/complex/compphys/software/geview/data/figures/40020_at.png","Figure")</f>
        <v>Figure</v>
      </c>
      <c r="I5623">
        <v>1.2</v>
      </c>
      <c r="J5623">
        <v>4.5999999999999999E-2</v>
      </c>
      <c r="K5623">
        <v>1.0900000000000001</v>
      </c>
      <c r="L5623">
        <v>0.38</v>
      </c>
      <c r="M5623">
        <v>0.90300000000000002</v>
      </c>
      <c r="N5623">
        <v>0.28999999999999998</v>
      </c>
    </row>
    <row r="5624" spans="1:14" x14ac:dyDescent="0.25">
      <c r="A5624" t="s">
        <v>10141</v>
      </c>
      <c r="B5624" t="s">
        <v>10142</v>
      </c>
      <c r="C5624" s="1" t="str">
        <f>HYPERLINK("http://www.genecards.org/cgi-bin/carddisp.pl?gene=ZNF93","GeneCards")</f>
        <v>GeneCards</v>
      </c>
      <c r="D5624" s="1" t="str">
        <f>HYPERLINK("http://genome-euro.ucsc.edu/cgi-bin/hgTracks?position=215758_x_at","UCSC")</f>
        <v>UCSC</v>
      </c>
      <c r="E5624" s="1" t="str">
        <f>HYPERLINK("http://www.ncbi.nlm.nih.gov/gene/?term=ZNF93","NCBI")</f>
        <v>NCBI</v>
      </c>
      <c r="F5624">
        <v>5.7000000000000002E-2</v>
      </c>
      <c r="G5624">
        <v>0.17</v>
      </c>
      <c r="H5624" s="1" t="str">
        <f>HYPERLINK("http://www.weizmann.ac.il/complex/compphys/software/geview/data/figures/215758_x_at.png","Figure")</f>
        <v>Figure</v>
      </c>
      <c r="I5624">
        <v>1.39</v>
      </c>
      <c r="J5624">
        <v>4.5999999999999999E-2</v>
      </c>
      <c r="K5624">
        <v>1.1399999999999999</v>
      </c>
      <c r="L5624">
        <v>0.46</v>
      </c>
      <c r="M5624">
        <v>0.82</v>
      </c>
      <c r="N5624">
        <v>0.23</v>
      </c>
    </row>
    <row r="5625" spans="1:14" x14ac:dyDescent="0.25">
      <c r="A5625" t="s">
        <v>10143</v>
      </c>
      <c r="B5625" t="s">
        <v>362</v>
      </c>
      <c r="C5625" s="1" t="str">
        <f>HYPERLINK("http://www.genecards.org/cgi-bin/carddisp.pl?gene=PTGER4","GeneCards")</f>
        <v>GeneCards</v>
      </c>
      <c r="D5625" s="1" t="str">
        <f>HYPERLINK("http://genome-euro.ucsc.edu/cgi-bin/hgTracks?position=204897_at","UCSC")</f>
        <v>UCSC</v>
      </c>
      <c r="E5625" s="1" t="str">
        <f>HYPERLINK("http://www.ncbi.nlm.nih.gov/gene/?term=PTGER4","NCBI")</f>
        <v>NCBI</v>
      </c>
      <c r="F5625">
        <v>5.7000000000000002E-2</v>
      </c>
      <c r="G5625">
        <v>0.17</v>
      </c>
      <c r="H5625" s="1" t="str">
        <f>HYPERLINK("http://www.weizmann.ac.il/complex/compphys/software/geview/data/figures/204897_at.png","Figure")</f>
        <v>Figure</v>
      </c>
      <c r="I5625">
        <v>1.35</v>
      </c>
      <c r="J5625">
        <v>0.78</v>
      </c>
      <c r="K5625">
        <v>2.72</v>
      </c>
      <c r="L5625">
        <v>5.6000000000000001E-2</v>
      </c>
      <c r="M5625">
        <v>2.02</v>
      </c>
      <c r="N5625">
        <v>0.25</v>
      </c>
    </row>
    <row r="5626" spans="1:14" x14ac:dyDescent="0.25">
      <c r="A5626" t="s">
        <v>10144</v>
      </c>
      <c r="B5626" t="s">
        <v>10145</v>
      </c>
      <c r="C5626" s="1" t="str">
        <f>HYPERLINK("http://www.genecards.org/cgi-bin/carddisp.pl?gene=GCLM","GeneCards")</f>
        <v>GeneCards</v>
      </c>
      <c r="D5626" s="1" t="str">
        <f>HYPERLINK("http://genome-euro.ucsc.edu/cgi-bin/hgTracks?position=203925_at","UCSC")</f>
        <v>UCSC</v>
      </c>
      <c r="E5626" s="1" t="str">
        <f>HYPERLINK("http://www.ncbi.nlm.nih.gov/gene/?term=GCLM","NCBI")</f>
        <v>NCBI</v>
      </c>
      <c r="F5626">
        <v>5.7000000000000002E-2</v>
      </c>
      <c r="G5626">
        <v>0.17</v>
      </c>
      <c r="H5626" s="1" t="str">
        <f>HYPERLINK("http://www.weizmann.ac.il/complex/compphys/software/geview/data/figures/203925_at.png","Figure")</f>
        <v>Figure</v>
      </c>
      <c r="I5626">
        <v>0.92500000000000004</v>
      </c>
      <c r="J5626">
        <v>0.93</v>
      </c>
      <c r="K5626">
        <v>0.63200000000000001</v>
      </c>
      <c r="L5626">
        <v>6.7000000000000004E-2</v>
      </c>
      <c r="M5626">
        <v>0.68400000000000005</v>
      </c>
      <c r="N5626">
        <v>0.17</v>
      </c>
    </row>
    <row r="5627" spans="1:14" x14ac:dyDescent="0.25">
      <c r="A5627" t="s">
        <v>10146</v>
      </c>
      <c r="B5627" t="s">
        <v>10147</v>
      </c>
      <c r="C5627" s="1" t="str">
        <f>HYPERLINK("http://www.genecards.org/cgi-bin/carddisp.pl?gene=TLK2","GeneCards")</f>
        <v>GeneCards</v>
      </c>
      <c r="D5627" s="1" t="str">
        <f>HYPERLINK("http://genome-euro.ucsc.edu/cgi-bin/hgTracks?position=212986_s_at","UCSC")</f>
        <v>UCSC</v>
      </c>
      <c r="E5627" s="1" t="str">
        <f>HYPERLINK("http://www.ncbi.nlm.nih.gov/gene/?term=TLK2","NCBI")</f>
        <v>NCBI</v>
      </c>
      <c r="F5627">
        <v>5.7000000000000002E-2</v>
      </c>
      <c r="G5627">
        <v>0.17</v>
      </c>
      <c r="H5627" s="1" t="str">
        <f>HYPERLINK("http://www.weizmann.ac.il/complex/compphys/software/geview/data/figures/212986_s_at.png","Figure")</f>
        <v>Figure</v>
      </c>
      <c r="I5627">
        <v>1.24</v>
      </c>
      <c r="J5627">
        <v>0.13</v>
      </c>
      <c r="K5627">
        <v>0.96699999999999997</v>
      </c>
      <c r="L5627">
        <v>0.93</v>
      </c>
      <c r="M5627">
        <v>0.77700000000000002</v>
      </c>
      <c r="N5627">
        <v>5.3999999999999999E-2</v>
      </c>
    </row>
    <row r="5628" spans="1:14" x14ac:dyDescent="0.25">
      <c r="A5628" t="s">
        <v>10148</v>
      </c>
      <c r="B5628" t="s">
        <v>10149</v>
      </c>
      <c r="C5628" s="1" t="str">
        <f>HYPERLINK("http://www.genecards.org/cgi-bin/carddisp.pl?gene=HLA-DRB1 /// HLA-DRB3 /// HLA-DRB4 /// HLA-DRB5 /// LOC100133661 /// LOC100294036","GeneCards")</f>
        <v>GeneCards</v>
      </c>
      <c r="D5628" s="1" t="str">
        <f>HYPERLINK("http://genome-euro.ucsc.edu/cgi-bin/hgTracks?position=221491_x_at","UCSC")</f>
        <v>UCSC</v>
      </c>
      <c r="E5628" s="1" t="str">
        <f>HYPERLINK("http://www.ncbi.nlm.nih.gov/gene/?term=HLA-DRB1 /// HLA-DRB3 /// HLA-DRB4 /// HLA-DRB5 /// LOC100133661 /// LOC100294036","NCBI")</f>
        <v>NCBI</v>
      </c>
      <c r="F5628">
        <v>5.7000000000000002E-2</v>
      </c>
      <c r="G5628">
        <v>0.17</v>
      </c>
      <c r="H5628" s="1" t="str">
        <f>HYPERLINK("http://www.weizmann.ac.il/complex/compphys/software/geview/data/figures/221491_x_at.png","Figure")</f>
        <v>Figure</v>
      </c>
      <c r="I5628">
        <v>0.67600000000000005</v>
      </c>
      <c r="J5628">
        <v>0.57999999999999996</v>
      </c>
      <c r="K5628">
        <v>0.40799999999999997</v>
      </c>
      <c r="L5628">
        <v>4.9000000000000002E-2</v>
      </c>
      <c r="M5628">
        <v>0.60299999999999998</v>
      </c>
      <c r="N5628">
        <v>0.37</v>
      </c>
    </row>
    <row r="5629" spans="1:14" x14ac:dyDescent="0.25">
      <c r="A5629" t="s">
        <v>10150</v>
      </c>
      <c r="B5629" t="s">
        <v>10151</v>
      </c>
      <c r="C5629" s="1" t="str">
        <f>HYPERLINK("http://www.genecards.org/cgi-bin/carddisp.pl?gene=JAK2","GeneCards")</f>
        <v>GeneCards</v>
      </c>
      <c r="D5629" s="1" t="str">
        <f>HYPERLINK("http://genome-euro.ucsc.edu/cgi-bin/hgTracks?position=205842_s_at","UCSC")</f>
        <v>UCSC</v>
      </c>
      <c r="E5629" s="1" t="str">
        <f>HYPERLINK("http://www.ncbi.nlm.nih.gov/gene/?term=JAK2","NCBI")</f>
        <v>NCBI</v>
      </c>
      <c r="F5629">
        <v>5.7000000000000002E-2</v>
      </c>
      <c r="G5629">
        <v>0.17</v>
      </c>
      <c r="H5629" s="1" t="str">
        <f>HYPERLINK("http://www.weizmann.ac.il/complex/compphys/software/geview/data/figures/205842_s_at.png","Figure")</f>
        <v>Figure</v>
      </c>
      <c r="I5629">
        <v>0.72399999999999998</v>
      </c>
      <c r="J5629">
        <v>7.0000000000000007E-2</v>
      </c>
      <c r="K5629">
        <v>0.96499999999999997</v>
      </c>
      <c r="L5629">
        <v>0.95</v>
      </c>
      <c r="M5629">
        <v>1.33</v>
      </c>
      <c r="N5629">
        <v>8.5999999999999993E-2</v>
      </c>
    </row>
    <row r="5630" spans="1:14" x14ac:dyDescent="0.25">
      <c r="A5630" t="s">
        <v>10152</v>
      </c>
      <c r="B5630" t="s">
        <v>10153</v>
      </c>
      <c r="C5630" s="1" t="str">
        <f>HYPERLINK("http://www.genecards.org/cgi-bin/carddisp.pl?gene=P4HA1","GeneCards")</f>
        <v>GeneCards</v>
      </c>
      <c r="D5630" s="1" t="str">
        <f>HYPERLINK("http://genome-euro.ucsc.edu/cgi-bin/hgTracks?position=207543_s_at","UCSC")</f>
        <v>UCSC</v>
      </c>
      <c r="E5630" s="1" t="str">
        <f>HYPERLINK("http://www.ncbi.nlm.nih.gov/gene/?term=P4HA1","NCBI")</f>
        <v>NCBI</v>
      </c>
      <c r="F5630">
        <v>5.7000000000000002E-2</v>
      </c>
      <c r="G5630">
        <v>0.17</v>
      </c>
      <c r="H5630" s="1" t="str">
        <f>HYPERLINK("http://www.weizmann.ac.il/complex/compphys/software/geview/data/figures/207543_s_at.png","Figure")</f>
        <v>Figure</v>
      </c>
      <c r="I5630">
        <v>0.7</v>
      </c>
      <c r="J5630">
        <v>9.5000000000000001E-2</v>
      </c>
      <c r="K5630">
        <v>1.01</v>
      </c>
      <c r="L5630">
        <v>1</v>
      </c>
      <c r="M5630">
        <v>1.44</v>
      </c>
      <c r="N5630">
        <v>6.5000000000000002E-2</v>
      </c>
    </row>
    <row r="5631" spans="1:14" x14ac:dyDescent="0.25">
      <c r="A5631" t="s">
        <v>10154</v>
      </c>
      <c r="B5631" t="s">
        <v>10155</v>
      </c>
      <c r="C5631" s="1" t="str">
        <f>HYPERLINK("http://www.genecards.org/cgi-bin/carddisp.pl?gene=ATP2C2","GeneCards")</f>
        <v>GeneCards</v>
      </c>
      <c r="D5631" s="1" t="str">
        <f>HYPERLINK("http://genome-euro.ucsc.edu/cgi-bin/hgTracks?position=214798_at","UCSC")</f>
        <v>UCSC</v>
      </c>
      <c r="E5631" s="1" t="str">
        <f>HYPERLINK("http://www.ncbi.nlm.nih.gov/gene/?term=ATP2C2","NCBI")</f>
        <v>NCBI</v>
      </c>
      <c r="F5631">
        <v>5.7000000000000002E-2</v>
      </c>
      <c r="G5631">
        <v>0.17</v>
      </c>
      <c r="H5631" s="1" t="str">
        <f>HYPERLINK("http://www.weizmann.ac.il/complex/compphys/software/geview/data/figures/214798_at.png","Figure")</f>
        <v>Figure</v>
      </c>
      <c r="I5631">
        <v>1.24</v>
      </c>
      <c r="J5631">
        <v>4.5999999999999999E-2</v>
      </c>
      <c r="K5631">
        <v>1.0900000000000001</v>
      </c>
      <c r="L5631">
        <v>0.44</v>
      </c>
      <c r="M5631">
        <v>0.88100000000000001</v>
      </c>
      <c r="N5631">
        <v>0.24</v>
      </c>
    </row>
    <row r="5632" spans="1:14" x14ac:dyDescent="0.25">
      <c r="A5632" t="s">
        <v>10156</v>
      </c>
      <c r="B5632" t="s">
        <v>10157</v>
      </c>
      <c r="C5632" s="1" t="str">
        <f>HYPERLINK("http://www.genecards.org/cgi-bin/carddisp.pl?gene=ST3GAL4","GeneCards")</f>
        <v>GeneCards</v>
      </c>
      <c r="D5632" s="1" t="str">
        <f>HYPERLINK("http://genome-euro.ucsc.edu/cgi-bin/hgTracks?position=203759_at","UCSC")</f>
        <v>UCSC</v>
      </c>
      <c r="E5632" s="1" t="str">
        <f>HYPERLINK("http://www.ncbi.nlm.nih.gov/gene/?term=ST3GAL4","NCBI")</f>
        <v>NCBI</v>
      </c>
      <c r="F5632">
        <v>5.7000000000000002E-2</v>
      </c>
      <c r="G5632">
        <v>0.17</v>
      </c>
      <c r="H5632" s="1" t="str">
        <f>HYPERLINK("http://www.weizmann.ac.il/complex/compphys/software/geview/data/figures/203759_at.png","Figure")</f>
        <v>Figure</v>
      </c>
      <c r="I5632">
        <v>1.43</v>
      </c>
      <c r="J5632">
        <v>0.05</v>
      </c>
      <c r="K5632">
        <v>1.23</v>
      </c>
      <c r="L5632">
        <v>0.23</v>
      </c>
      <c r="M5632">
        <v>0.86</v>
      </c>
      <c r="N5632">
        <v>0.47</v>
      </c>
    </row>
    <row r="5633" spans="1:14" x14ac:dyDescent="0.25">
      <c r="A5633" t="s">
        <v>10158</v>
      </c>
      <c r="B5633" t="s">
        <v>10159</v>
      </c>
      <c r="C5633" s="1" t="str">
        <f>HYPERLINK("http://www.genecards.org/cgi-bin/carddisp.pl?gene=RANBP2","GeneCards")</f>
        <v>GeneCards</v>
      </c>
      <c r="D5633" s="1" t="str">
        <f>HYPERLINK("http://genome-euro.ucsc.edu/cgi-bin/hgTracks?position=201713_s_at","UCSC")</f>
        <v>UCSC</v>
      </c>
      <c r="E5633" s="1" t="str">
        <f>HYPERLINK("http://www.ncbi.nlm.nih.gov/gene/?term=RANBP2","NCBI")</f>
        <v>NCBI</v>
      </c>
      <c r="F5633">
        <v>5.7000000000000002E-2</v>
      </c>
      <c r="G5633">
        <v>0.17</v>
      </c>
      <c r="H5633" s="1" t="str">
        <f>HYPERLINK("http://www.weizmann.ac.il/complex/compphys/software/geview/data/figures/201713_s_at.png","Figure")</f>
        <v>Figure</v>
      </c>
      <c r="I5633">
        <v>0.66300000000000003</v>
      </c>
      <c r="J5633">
        <v>0.35</v>
      </c>
      <c r="K5633">
        <v>0.51400000000000001</v>
      </c>
      <c r="L5633">
        <v>4.5999999999999999E-2</v>
      </c>
      <c r="M5633">
        <v>0.77600000000000002</v>
      </c>
      <c r="N5633">
        <v>0.62</v>
      </c>
    </row>
    <row r="5634" spans="1:14" x14ac:dyDescent="0.25">
      <c r="A5634" t="s">
        <v>10160</v>
      </c>
      <c r="B5634" t="s">
        <v>10161</v>
      </c>
      <c r="C5634" s="1" t="str">
        <f>HYPERLINK("http://www.genecards.org/cgi-bin/carddisp.pl?gene=GPRC5A","GeneCards")</f>
        <v>GeneCards</v>
      </c>
      <c r="D5634" s="1" t="str">
        <f>HYPERLINK("http://genome-euro.ucsc.edu/cgi-bin/hgTracks?position=203108_at","UCSC")</f>
        <v>UCSC</v>
      </c>
      <c r="E5634" s="1" t="str">
        <f>HYPERLINK("http://www.ncbi.nlm.nih.gov/gene/?term=GPRC5A","NCBI")</f>
        <v>NCBI</v>
      </c>
      <c r="F5634">
        <v>5.7000000000000002E-2</v>
      </c>
      <c r="G5634">
        <v>0.17</v>
      </c>
      <c r="H5634" s="1" t="str">
        <f>HYPERLINK("http://www.weizmann.ac.il/complex/compphys/software/geview/data/figures/203108_at.png","Figure")</f>
        <v>Figure</v>
      </c>
      <c r="I5634">
        <v>1.2</v>
      </c>
      <c r="J5634">
        <v>8.1000000000000003E-2</v>
      </c>
      <c r="K5634">
        <v>1.17</v>
      </c>
      <c r="L5634">
        <v>9.2999999999999999E-2</v>
      </c>
      <c r="M5634">
        <v>0.97199999999999998</v>
      </c>
      <c r="N5634">
        <v>0.92</v>
      </c>
    </row>
    <row r="5635" spans="1:14" x14ac:dyDescent="0.25">
      <c r="A5635" t="s">
        <v>10162</v>
      </c>
      <c r="B5635" t="s">
        <v>3249</v>
      </c>
      <c r="C5635" s="1" t="str">
        <f>HYPERLINK("http://www.genecards.org/cgi-bin/carddisp.pl?gene=PDE4D","GeneCards")</f>
        <v>GeneCards</v>
      </c>
      <c r="D5635" s="1" t="str">
        <f>HYPERLINK("http://genome-euro.ucsc.edu/cgi-bin/hgTracks?position=211840_s_at","UCSC")</f>
        <v>UCSC</v>
      </c>
      <c r="E5635" s="1" t="str">
        <f>HYPERLINK("http://www.ncbi.nlm.nih.gov/gene/?term=PDE4D","NCBI")</f>
        <v>NCBI</v>
      </c>
      <c r="F5635">
        <v>5.7000000000000002E-2</v>
      </c>
      <c r="G5635">
        <v>0.17</v>
      </c>
      <c r="H5635" s="1" t="str">
        <f>HYPERLINK("http://www.weizmann.ac.il/complex/compphys/software/geview/data/figures/211840_s_at.png","Figure")</f>
        <v>Figure</v>
      </c>
      <c r="I5635">
        <v>1.1499999999999999</v>
      </c>
      <c r="J5635">
        <v>0.36</v>
      </c>
      <c r="K5635">
        <v>0.90300000000000002</v>
      </c>
      <c r="L5635">
        <v>0.46</v>
      </c>
      <c r="M5635">
        <v>0.78700000000000003</v>
      </c>
      <c r="N5635">
        <v>4.7E-2</v>
      </c>
    </row>
    <row r="5636" spans="1:14" x14ac:dyDescent="0.25">
      <c r="A5636" t="s">
        <v>10163</v>
      </c>
      <c r="B5636" t="s">
        <v>3551</v>
      </c>
      <c r="C5636" s="1" t="str">
        <f>HYPERLINK("http://www.genecards.org/cgi-bin/carddisp.pl?gene=DLG3","GeneCards")</f>
        <v>GeneCards</v>
      </c>
      <c r="D5636" s="1" t="str">
        <f>HYPERLINK("http://genome-euro.ucsc.edu/cgi-bin/hgTracks?position=207732_s_at","UCSC")</f>
        <v>UCSC</v>
      </c>
      <c r="E5636" s="1" t="str">
        <f>HYPERLINK("http://www.ncbi.nlm.nih.gov/gene/?term=DLG3","NCBI")</f>
        <v>NCBI</v>
      </c>
      <c r="F5636">
        <v>5.7000000000000002E-2</v>
      </c>
      <c r="G5636">
        <v>0.17</v>
      </c>
      <c r="H5636" s="1" t="str">
        <f>HYPERLINK("http://www.weizmann.ac.il/complex/compphys/software/geview/data/figures/207732_s_at.png","Figure")</f>
        <v>Figure</v>
      </c>
      <c r="I5636">
        <v>1.18</v>
      </c>
      <c r="J5636">
        <v>5.6000000000000001E-2</v>
      </c>
      <c r="K5636">
        <v>1.04</v>
      </c>
      <c r="L5636">
        <v>0.78</v>
      </c>
      <c r="M5636">
        <v>0.878</v>
      </c>
      <c r="N5636">
        <v>0.12</v>
      </c>
    </row>
    <row r="5637" spans="1:14" x14ac:dyDescent="0.25">
      <c r="A5637" t="s">
        <v>10164</v>
      </c>
      <c r="B5637" t="s">
        <v>10165</v>
      </c>
      <c r="C5637" s="1" t="str">
        <f>HYPERLINK("http://www.genecards.org/cgi-bin/carddisp.pl?gene=KCNQ1","GeneCards")</f>
        <v>GeneCards</v>
      </c>
      <c r="D5637" s="1" t="str">
        <f>HYPERLINK("http://genome-euro.ucsc.edu/cgi-bin/hgTracks?position=211217_s_at","UCSC")</f>
        <v>UCSC</v>
      </c>
      <c r="E5637" s="1" t="str">
        <f>HYPERLINK("http://www.ncbi.nlm.nih.gov/gene/?term=KCNQ1","NCBI")</f>
        <v>NCBI</v>
      </c>
      <c r="F5637">
        <v>5.7000000000000002E-2</v>
      </c>
      <c r="G5637">
        <v>0.17</v>
      </c>
      <c r="H5637" s="1" t="str">
        <f>HYPERLINK("http://www.weizmann.ac.il/complex/compphys/software/geview/data/figures/211217_s_at.png","Figure")</f>
        <v>Figure</v>
      </c>
      <c r="I5637">
        <v>1.3</v>
      </c>
      <c r="J5637">
        <v>0.05</v>
      </c>
      <c r="K5637">
        <v>1.17</v>
      </c>
      <c r="L5637">
        <v>0.22</v>
      </c>
      <c r="M5637">
        <v>0.89600000000000002</v>
      </c>
      <c r="N5637">
        <v>0.49</v>
      </c>
    </row>
    <row r="5638" spans="1:14" x14ac:dyDescent="0.25">
      <c r="A5638" t="s">
        <v>10166</v>
      </c>
      <c r="B5638" t="s">
        <v>10167</v>
      </c>
      <c r="C5638" s="1" t="str">
        <f>HYPERLINK("http://www.genecards.org/cgi-bin/carddisp.pl?gene=BCL2L1","GeneCards")</f>
        <v>GeneCards</v>
      </c>
      <c r="D5638" s="1" t="str">
        <f>HYPERLINK("http://genome-euro.ucsc.edu/cgi-bin/hgTracks?position=215037_s_at","UCSC")</f>
        <v>UCSC</v>
      </c>
      <c r="E5638" s="1" t="str">
        <f>HYPERLINK("http://www.ncbi.nlm.nih.gov/gene/?term=BCL2L1","NCBI")</f>
        <v>NCBI</v>
      </c>
      <c r="F5638">
        <v>5.7000000000000002E-2</v>
      </c>
      <c r="G5638">
        <v>0.17</v>
      </c>
      <c r="H5638" s="1" t="str">
        <f>HYPERLINK("http://www.weizmann.ac.il/complex/compphys/software/geview/data/figures/215037_s_at.png","Figure")</f>
        <v>Figure</v>
      </c>
      <c r="I5638">
        <v>1.08</v>
      </c>
      <c r="J5638">
        <v>8.3000000000000004E-2</v>
      </c>
      <c r="K5638">
        <v>1.07</v>
      </c>
      <c r="L5638">
        <v>0.09</v>
      </c>
      <c r="M5638">
        <v>0.98899999999999999</v>
      </c>
      <c r="N5638">
        <v>0.93</v>
      </c>
    </row>
    <row r="5639" spans="1:14" x14ac:dyDescent="0.25">
      <c r="A5639" t="s">
        <v>10168</v>
      </c>
      <c r="B5639" t="s">
        <v>10169</v>
      </c>
      <c r="C5639" s="1" t="str">
        <f>HYPERLINK("http://www.genecards.org/cgi-bin/carddisp.pl?gene=PAOX","GeneCards")</f>
        <v>GeneCards</v>
      </c>
      <c r="D5639" s="1" t="str">
        <f>HYPERLINK("http://genome-euro.ucsc.edu/cgi-bin/hgTracks?position=221941_at","UCSC")</f>
        <v>UCSC</v>
      </c>
      <c r="E5639" s="1" t="str">
        <f>HYPERLINK("http://www.ncbi.nlm.nih.gov/gene/?term=PAOX","NCBI")</f>
        <v>NCBI</v>
      </c>
      <c r="F5639">
        <v>5.7000000000000002E-2</v>
      </c>
      <c r="G5639">
        <v>0.17</v>
      </c>
      <c r="H5639" s="1" t="str">
        <f>HYPERLINK("http://www.weizmann.ac.il/complex/compphys/software/geview/data/figures/221941_at.png","Figure")</f>
        <v>Figure</v>
      </c>
      <c r="I5639">
        <v>1.33</v>
      </c>
      <c r="J5639">
        <v>0.08</v>
      </c>
      <c r="K5639">
        <v>1.27</v>
      </c>
      <c r="L5639">
        <v>9.5000000000000001E-2</v>
      </c>
      <c r="M5639">
        <v>0.95399999999999996</v>
      </c>
      <c r="N5639">
        <v>0.91</v>
      </c>
    </row>
    <row r="5640" spans="1:14" x14ac:dyDescent="0.25">
      <c r="A5640" t="s">
        <v>10170</v>
      </c>
      <c r="B5640" t="s">
        <v>10171</v>
      </c>
      <c r="C5640" s="1" t="str">
        <f>HYPERLINK("http://www.genecards.org/cgi-bin/carddisp.pl?gene=EMR2","GeneCards")</f>
        <v>GeneCards</v>
      </c>
      <c r="D5640" s="1" t="str">
        <f>HYPERLINK("http://genome-euro.ucsc.edu/cgi-bin/hgTracks?position=207610_s_at","UCSC")</f>
        <v>UCSC</v>
      </c>
      <c r="E5640" s="1" t="str">
        <f>HYPERLINK("http://www.ncbi.nlm.nih.gov/gene/?term=EMR2","NCBI")</f>
        <v>NCBI</v>
      </c>
      <c r="F5640">
        <v>5.7000000000000002E-2</v>
      </c>
      <c r="G5640">
        <v>0.17</v>
      </c>
      <c r="H5640" s="1" t="str">
        <f>HYPERLINK("http://www.weizmann.ac.il/complex/compphys/software/geview/data/figures/207610_s_at.png","Figure")</f>
        <v>Figure</v>
      </c>
      <c r="I5640">
        <v>0.78600000000000003</v>
      </c>
      <c r="J5640">
        <v>0.09</v>
      </c>
      <c r="K5640">
        <v>1</v>
      </c>
      <c r="L5640">
        <v>1</v>
      </c>
      <c r="M5640">
        <v>1.27</v>
      </c>
      <c r="N5640">
        <v>6.8000000000000005E-2</v>
      </c>
    </row>
    <row r="5641" spans="1:14" x14ac:dyDescent="0.25">
      <c r="A5641" t="s">
        <v>10172</v>
      </c>
      <c r="B5641" t="s">
        <v>10173</v>
      </c>
      <c r="C5641" s="1" t="str">
        <f>HYPERLINK("http://www.genecards.org/cgi-bin/carddisp.pl?gene=CASKIN2","GeneCards")</f>
        <v>GeneCards</v>
      </c>
      <c r="D5641" s="1" t="str">
        <f>HYPERLINK("http://genome-euro.ucsc.edu/cgi-bin/hgTracks?position=61297_at","UCSC")</f>
        <v>UCSC</v>
      </c>
      <c r="E5641" s="1" t="str">
        <f>HYPERLINK("http://www.ncbi.nlm.nih.gov/gene/?term=CASKIN2","NCBI")</f>
        <v>NCBI</v>
      </c>
      <c r="F5641">
        <v>5.7000000000000002E-2</v>
      </c>
      <c r="G5641">
        <v>0.17</v>
      </c>
      <c r="H5641" s="1" t="str">
        <f>HYPERLINK("http://www.weizmann.ac.il/complex/compphys/software/geview/data/figures/61297_at.png","Figure")</f>
        <v>Figure</v>
      </c>
      <c r="I5641">
        <v>1.1599999999999999</v>
      </c>
      <c r="J5641">
        <v>6.4000000000000001E-2</v>
      </c>
      <c r="K5641">
        <v>1.1100000000000001</v>
      </c>
      <c r="L5641">
        <v>0.13</v>
      </c>
      <c r="M5641">
        <v>0.96199999999999997</v>
      </c>
      <c r="N5641">
        <v>0.76</v>
      </c>
    </row>
    <row r="5642" spans="1:14" x14ac:dyDescent="0.25">
      <c r="A5642" t="s">
        <v>10174</v>
      </c>
      <c r="B5642" t="s">
        <v>10175</v>
      </c>
      <c r="C5642" s="1" t="str">
        <f>HYPERLINK("http://www.genecards.org/cgi-bin/carddisp.pl?gene=SURF2","GeneCards")</f>
        <v>GeneCards</v>
      </c>
      <c r="D5642" s="1" t="str">
        <f>HYPERLINK("http://genome-euro.ucsc.edu/cgi-bin/hgTracks?position=205224_at","UCSC")</f>
        <v>UCSC</v>
      </c>
      <c r="E5642" s="1" t="str">
        <f>HYPERLINK("http://www.ncbi.nlm.nih.gov/gene/?term=SURF2","NCBI")</f>
        <v>NCBI</v>
      </c>
      <c r="F5642">
        <v>5.7000000000000002E-2</v>
      </c>
      <c r="G5642">
        <v>0.17</v>
      </c>
      <c r="H5642" s="1" t="str">
        <f>HYPERLINK("http://www.weizmann.ac.il/complex/compphys/software/geview/data/figures/205224_at.png","Figure")</f>
        <v>Figure</v>
      </c>
      <c r="I5642">
        <v>1.07</v>
      </c>
      <c r="J5642">
        <v>0.51</v>
      </c>
      <c r="K5642">
        <v>1.1499999999999999</v>
      </c>
      <c r="L5642">
        <v>4.7E-2</v>
      </c>
      <c r="M5642">
        <v>1.07</v>
      </c>
      <c r="N5642">
        <v>0.43</v>
      </c>
    </row>
    <row r="5643" spans="1:14" x14ac:dyDescent="0.25">
      <c r="A5643" t="s">
        <v>10176</v>
      </c>
      <c r="B5643" t="s">
        <v>10177</v>
      </c>
      <c r="C5643" s="1" t="str">
        <f>HYPERLINK("http://www.genecards.org/cgi-bin/carddisp.pl?gene=CCL13","GeneCards")</f>
        <v>GeneCards</v>
      </c>
      <c r="D5643" s="1" t="str">
        <f>HYPERLINK("http://genome-euro.ucsc.edu/cgi-bin/hgTracks?position=216714_at","UCSC")</f>
        <v>UCSC</v>
      </c>
      <c r="E5643" s="1" t="str">
        <f>HYPERLINK("http://www.ncbi.nlm.nih.gov/gene/?term=CCL13","NCBI")</f>
        <v>NCBI</v>
      </c>
      <c r="F5643">
        <v>5.7000000000000002E-2</v>
      </c>
      <c r="G5643">
        <v>0.17</v>
      </c>
      <c r="H5643" s="1" t="str">
        <f>HYPERLINK("http://www.weizmann.ac.il/complex/compphys/software/geview/data/figures/216714_at.png","Figure")</f>
        <v>Figure</v>
      </c>
      <c r="I5643">
        <v>1.18</v>
      </c>
      <c r="J5643">
        <v>0.09</v>
      </c>
      <c r="K5643">
        <v>1</v>
      </c>
      <c r="L5643">
        <v>1</v>
      </c>
      <c r="M5643">
        <v>0.84899999999999998</v>
      </c>
      <c r="N5643">
        <v>6.8000000000000005E-2</v>
      </c>
    </row>
    <row r="5644" spans="1:14" x14ac:dyDescent="0.25">
      <c r="A5644" t="s">
        <v>10178</v>
      </c>
      <c r="B5644" t="s">
        <v>10179</v>
      </c>
      <c r="C5644" s="1" t="str">
        <f>HYPERLINK("http://www.genecards.org/cgi-bin/carddisp.pl?gene=STRA6","GeneCards")</f>
        <v>GeneCards</v>
      </c>
      <c r="D5644" s="1" t="str">
        <f>HYPERLINK("http://genome-euro.ucsc.edu/cgi-bin/hgTracks?position=221701_s_at","UCSC")</f>
        <v>UCSC</v>
      </c>
      <c r="E5644" s="1" t="str">
        <f>HYPERLINK("http://www.ncbi.nlm.nih.gov/gene/?term=STRA6","NCBI")</f>
        <v>NCBI</v>
      </c>
      <c r="F5644">
        <v>5.7000000000000002E-2</v>
      </c>
      <c r="G5644">
        <v>0.17</v>
      </c>
      <c r="H5644" s="1" t="str">
        <f>HYPERLINK("http://www.weizmann.ac.il/complex/compphys/software/geview/data/figures/221701_s_at.png","Figure")</f>
        <v>Figure</v>
      </c>
      <c r="I5644">
        <v>1.19</v>
      </c>
      <c r="J5644">
        <v>4.8000000000000001E-2</v>
      </c>
      <c r="K5644">
        <v>1.07</v>
      </c>
      <c r="L5644">
        <v>0.53</v>
      </c>
      <c r="M5644">
        <v>0.89300000000000002</v>
      </c>
      <c r="N5644">
        <v>0.2</v>
      </c>
    </row>
    <row r="5645" spans="1:14" x14ac:dyDescent="0.25">
      <c r="A5645" t="s">
        <v>10180</v>
      </c>
      <c r="B5645" t="s">
        <v>10181</v>
      </c>
      <c r="C5645" s="1" t="str">
        <f>HYPERLINK("http://www.genecards.org/cgi-bin/carddisp.pl?gene=CAPN11","GeneCards")</f>
        <v>GeneCards</v>
      </c>
      <c r="D5645" s="1" t="str">
        <f>HYPERLINK("http://genome-euro.ucsc.edu/cgi-bin/hgTracks?position=207962_at","UCSC")</f>
        <v>UCSC</v>
      </c>
      <c r="E5645" s="1" t="str">
        <f>HYPERLINK("http://www.ncbi.nlm.nih.gov/gene/?term=CAPN11","NCBI")</f>
        <v>NCBI</v>
      </c>
      <c r="F5645">
        <v>5.7000000000000002E-2</v>
      </c>
      <c r="G5645">
        <v>0.17</v>
      </c>
      <c r="H5645" s="1" t="str">
        <f>HYPERLINK("http://www.weizmann.ac.il/complex/compphys/software/geview/data/figures/207962_at.png","Figure")</f>
        <v>Figure</v>
      </c>
      <c r="I5645">
        <v>0.86599999999999999</v>
      </c>
      <c r="J5645">
        <v>0.09</v>
      </c>
      <c r="K5645">
        <v>1</v>
      </c>
      <c r="L5645">
        <v>1</v>
      </c>
      <c r="M5645">
        <v>1.1499999999999999</v>
      </c>
      <c r="N5645">
        <v>6.8000000000000005E-2</v>
      </c>
    </row>
    <row r="5646" spans="1:14" x14ac:dyDescent="0.25">
      <c r="A5646" t="s">
        <v>10182</v>
      </c>
      <c r="B5646" t="s">
        <v>10183</v>
      </c>
      <c r="C5646" s="1" t="str">
        <f>HYPERLINK("http://www.genecards.org/cgi-bin/carddisp.pl?gene=FURIN","GeneCards")</f>
        <v>GeneCards</v>
      </c>
      <c r="D5646" s="1" t="str">
        <f>HYPERLINK("http://genome-euro.ucsc.edu/cgi-bin/hgTracks?position=201945_at","UCSC")</f>
        <v>UCSC</v>
      </c>
      <c r="E5646" s="1" t="str">
        <f>HYPERLINK("http://www.ncbi.nlm.nih.gov/gene/?term=FURIN","NCBI")</f>
        <v>NCBI</v>
      </c>
      <c r="F5646">
        <v>5.7000000000000002E-2</v>
      </c>
      <c r="G5646">
        <v>0.17</v>
      </c>
      <c r="H5646" s="1" t="str">
        <f>HYPERLINK("http://www.weizmann.ac.il/complex/compphys/software/geview/data/figures/201945_at.png","Figure")</f>
        <v>Figure</v>
      </c>
      <c r="I5646">
        <v>1.44</v>
      </c>
      <c r="J5646">
        <v>4.5999999999999999E-2</v>
      </c>
      <c r="K5646">
        <v>1.17</v>
      </c>
      <c r="L5646">
        <v>0.4</v>
      </c>
      <c r="M5646">
        <v>0.81499999999999995</v>
      </c>
      <c r="N5646">
        <v>0.28000000000000003</v>
      </c>
    </row>
    <row r="5647" spans="1:14" x14ac:dyDescent="0.25">
      <c r="A5647" t="s">
        <v>10184</v>
      </c>
      <c r="B5647" t="s">
        <v>10185</v>
      </c>
      <c r="C5647" s="1" t="str">
        <f>HYPERLINK("http://www.genecards.org/cgi-bin/carddisp.pl?gene=KIAA0101","GeneCards")</f>
        <v>GeneCards</v>
      </c>
      <c r="D5647" s="1" t="str">
        <f>HYPERLINK("http://genome-euro.ucsc.edu/cgi-bin/hgTracks?position=211713_x_at","UCSC")</f>
        <v>UCSC</v>
      </c>
      <c r="E5647" s="1" t="str">
        <f>HYPERLINK("http://www.ncbi.nlm.nih.gov/gene/?term=KIAA0101","NCBI")</f>
        <v>NCBI</v>
      </c>
      <c r="F5647">
        <v>5.7000000000000002E-2</v>
      </c>
      <c r="G5647">
        <v>0.17</v>
      </c>
      <c r="H5647" s="1" t="str">
        <f>HYPERLINK("http://www.weizmann.ac.il/complex/compphys/software/geview/data/figures/211713_x_at.png","Figure")</f>
        <v>Figure</v>
      </c>
      <c r="I5647">
        <v>1.19</v>
      </c>
      <c r="J5647">
        <v>0.43</v>
      </c>
      <c r="K5647">
        <v>0.84899999999999998</v>
      </c>
      <c r="L5647">
        <v>0.38</v>
      </c>
      <c r="M5647">
        <v>0.71299999999999997</v>
      </c>
      <c r="N5647">
        <v>4.9000000000000002E-2</v>
      </c>
    </row>
    <row r="5648" spans="1:14" x14ac:dyDescent="0.25">
      <c r="A5648" t="s">
        <v>10186</v>
      </c>
      <c r="B5648" t="s">
        <v>10187</v>
      </c>
      <c r="C5648" s="1" t="str">
        <f>HYPERLINK("http://www.genecards.org/cgi-bin/carddisp.pl?gene=TRMT61A","GeneCards")</f>
        <v>GeneCards</v>
      </c>
      <c r="D5648" s="1" t="str">
        <f>HYPERLINK("http://genome-euro.ucsc.edu/cgi-bin/hgTracks?position=52741_at","UCSC")</f>
        <v>UCSC</v>
      </c>
      <c r="E5648" s="1" t="str">
        <f>HYPERLINK("http://www.ncbi.nlm.nih.gov/gene/?term=TRMT61A","NCBI")</f>
        <v>NCBI</v>
      </c>
      <c r="F5648">
        <v>5.7000000000000002E-2</v>
      </c>
      <c r="G5648">
        <v>0.17</v>
      </c>
      <c r="H5648" s="1" t="str">
        <f>HYPERLINK("http://www.weizmann.ac.il/complex/compphys/software/geview/data/figures/52741_at.png","Figure")</f>
        <v>Figure</v>
      </c>
      <c r="I5648">
        <v>1.3</v>
      </c>
      <c r="J5648">
        <v>5.7000000000000002E-2</v>
      </c>
      <c r="K5648">
        <v>1.19</v>
      </c>
      <c r="L5648">
        <v>0.16</v>
      </c>
      <c r="M5648">
        <v>0.91500000000000004</v>
      </c>
      <c r="N5648">
        <v>0.64</v>
      </c>
    </row>
    <row r="5649" spans="1:14" x14ac:dyDescent="0.25">
      <c r="A5649" t="s">
        <v>10188</v>
      </c>
      <c r="B5649" t="s">
        <v>10189</v>
      </c>
      <c r="C5649" s="1" t="str">
        <f>HYPERLINK("http://www.genecards.org/cgi-bin/carddisp.pl?gene=RBBP7","GeneCards")</f>
        <v>GeneCards</v>
      </c>
      <c r="D5649" s="1" t="str">
        <f>HYPERLINK("http://genome-euro.ucsc.edu/cgi-bin/hgTracks?position=201092_at","UCSC")</f>
        <v>UCSC</v>
      </c>
      <c r="E5649" s="1" t="str">
        <f>HYPERLINK("http://www.ncbi.nlm.nih.gov/gene/?term=RBBP7","NCBI")</f>
        <v>NCBI</v>
      </c>
      <c r="F5649">
        <v>5.7000000000000002E-2</v>
      </c>
      <c r="G5649">
        <v>0.17</v>
      </c>
      <c r="H5649" s="1" t="str">
        <f>HYPERLINK("http://www.weizmann.ac.il/complex/compphys/software/geview/data/figures/201092_at.png","Figure")</f>
        <v>Figure</v>
      </c>
      <c r="I5649">
        <v>0.64300000000000002</v>
      </c>
      <c r="J5649">
        <v>5.8000000000000003E-2</v>
      </c>
      <c r="K5649">
        <v>0.91100000000000003</v>
      </c>
      <c r="L5649">
        <v>0.81</v>
      </c>
      <c r="M5649">
        <v>1.42</v>
      </c>
      <c r="N5649">
        <v>0.12</v>
      </c>
    </row>
    <row r="5650" spans="1:14" x14ac:dyDescent="0.25">
      <c r="A5650" t="s">
        <v>10190</v>
      </c>
      <c r="B5650" t="s">
        <v>10191</v>
      </c>
      <c r="C5650" s="1" t="str">
        <f>HYPERLINK("http://www.genecards.org/cgi-bin/carddisp.pl?gene=TMEM186","GeneCards")</f>
        <v>GeneCards</v>
      </c>
      <c r="D5650" s="1" t="str">
        <f>HYPERLINK("http://genome-euro.ucsc.edu/cgi-bin/hgTracks?position=204676_at","UCSC")</f>
        <v>UCSC</v>
      </c>
      <c r="E5650" s="1" t="str">
        <f>HYPERLINK("http://www.ncbi.nlm.nih.gov/gene/?term=TMEM186","NCBI")</f>
        <v>NCBI</v>
      </c>
      <c r="F5650">
        <v>5.7000000000000002E-2</v>
      </c>
      <c r="G5650">
        <v>0.17</v>
      </c>
      <c r="H5650" s="1" t="str">
        <f>HYPERLINK("http://www.weizmann.ac.il/complex/compphys/software/geview/data/figures/204676_at.png","Figure")</f>
        <v>Figure</v>
      </c>
      <c r="I5650">
        <v>1.18</v>
      </c>
      <c r="J5650">
        <v>5.5E-2</v>
      </c>
      <c r="K5650">
        <v>1.1100000000000001</v>
      </c>
      <c r="L5650">
        <v>0.17</v>
      </c>
      <c r="M5650">
        <v>0.94399999999999995</v>
      </c>
      <c r="N5650">
        <v>0.61</v>
      </c>
    </row>
    <row r="5651" spans="1:14" x14ac:dyDescent="0.25">
      <c r="A5651" t="s">
        <v>10192</v>
      </c>
      <c r="B5651" t="s">
        <v>10193</v>
      </c>
      <c r="C5651" s="1" t="str">
        <f>HYPERLINK("http://www.genecards.org/cgi-bin/carddisp.pl?gene=SNRPG","GeneCards")</f>
        <v>GeneCards</v>
      </c>
      <c r="D5651" s="1" t="str">
        <f>HYPERLINK("http://genome-euro.ucsc.edu/cgi-bin/hgTracks?position=205644_s_at","UCSC")</f>
        <v>UCSC</v>
      </c>
      <c r="E5651" s="1" t="str">
        <f>HYPERLINK("http://www.ncbi.nlm.nih.gov/gene/?term=SNRPG","NCBI")</f>
        <v>NCBI</v>
      </c>
      <c r="F5651">
        <v>5.7000000000000002E-2</v>
      </c>
      <c r="G5651">
        <v>0.17</v>
      </c>
      <c r="H5651" s="1" t="str">
        <f>HYPERLINK("http://www.weizmann.ac.il/complex/compphys/software/geview/data/figures/205644_s_at.png","Figure")</f>
        <v>Figure</v>
      </c>
      <c r="I5651">
        <v>1.48</v>
      </c>
      <c r="J5651">
        <v>8.5000000000000006E-2</v>
      </c>
      <c r="K5651">
        <v>1.4</v>
      </c>
      <c r="L5651">
        <v>8.8999999999999996E-2</v>
      </c>
      <c r="M5651">
        <v>0.94799999999999995</v>
      </c>
      <c r="N5651">
        <v>0.94</v>
      </c>
    </row>
    <row r="5652" spans="1:14" x14ac:dyDescent="0.25">
      <c r="A5652" t="s">
        <v>10194</v>
      </c>
      <c r="B5652" t="s">
        <v>10195</v>
      </c>
      <c r="C5652" s="1" t="str">
        <f>HYPERLINK("http://www.genecards.org/cgi-bin/carddisp.pl?gene=NTSR2","GeneCards")</f>
        <v>GeneCards</v>
      </c>
      <c r="D5652" s="1" t="str">
        <f>HYPERLINK("http://genome-euro.ucsc.edu/cgi-bin/hgTracks?position=206899_at","UCSC")</f>
        <v>UCSC</v>
      </c>
      <c r="E5652" s="1" t="str">
        <f>HYPERLINK("http://www.ncbi.nlm.nih.gov/gene/?term=NTSR2","NCBI")</f>
        <v>NCBI</v>
      </c>
      <c r="F5652">
        <v>5.7000000000000002E-2</v>
      </c>
      <c r="G5652">
        <v>0.17</v>
      </c>
      <c r="H5652" s="1" t="str">
        <f>HYPERLINK("http://www.weizmann.ac.il/complex/compphys/software/geview/data/figures/206899_at.png","Figure")</f>
        <v>Figure</v>
      </c>
      <c r="I5652">
        <v>1.1599999999999999</v>
      </c>
      <c r="J5652">
        <v>4.8000000000000001E-2</v>
      </c>
      <c r="K5652">
        <v>1.08</v>
      </c>
      <c r="L5652">
        <v>0.28000000000000003</v>
      </c>
      <c r="M5652">
        <v>0.93100000000000005</v>
      </c>
      <c r="N5652">
        <v>0.39</v>
      </c>
    </row>
    <row r="5653" spans="1:14" x14ac:dyDescent="0.25">
      <c r="A5653" t="s">
        <v>10196</v>
      </c>
      <c r="B5653" t="s">
        <v>10197</v>
      </c>
      <c r="C5653" s="1" t="str">
        <f>HYPERLINK("http://www.genecards.org/cgi-bin/carddisp.pl?gene=ART4","GeneCards")</f>
        <v>GeneCards</v>
      </c>
      <c r="D5653" s="1" t="str">
        <f>HYPERLINK("http://genome-euro.ucsc.edu/cgi-bin/hgTracks?position=207220_at","UCSC")</f>
        <v>UCSC</v>
      </c>
      <c r="E5653" s="1" t="str">
        <f>HYPERLINK("http://www.ncbi.nlm.nih.gov/gene/?term=ART4","NCBI")</f>
        <v>NCBI</v>
      </c>
      <c r="F5653">
        <v>5.7000000000000002E-2</v>
      </c>
      <c r="G5653">
        <v>0.17</v>
      </c>
      <c r="H5653" s="1" t="str">
        <f>HYPERLINK("http://www.weizmann.ac.il/complex/compphys/software/geview/data/figures/207220_at.png","Figure")</f>
        <v>Figure</v>
      </c>
      <c r="I5653">
        <v>1.01</v>
      </c>
      <c r="J5653">
        <v>0.92</v>
      </c>
      <c r="K5653">
        <v>0.95699999999999996</v>
      </c>
      <c r="L5653">
        <v>0.13</v>
      </c>
      <c r="M5653">
        <v>0.94799999999999995</v>
      </c>
      <c r="N5653">
        <v>8.1000000000000003E-2</v>
      </c>
    </row>
    <row r="5654" spans="1:14" x14ac:dyDescent="0.25">
      <c r="A5654" t="s">
        <v>10198</v>
      </c>
      <c r="B5654" t="s">
        <v>10199</v>
      </c>
      <c r="C5654" s="1" t="str">
        <f>HYPERLINK("http://www.genecards.org/cgi-bin/carddisp.pl?gene=ARHGEF16","GeneCards")</f>
        <v>GeneCards</v>
      </c>
      <c r="D5654" s="1" t="str">
        <f>HYPERLINK("http://genome-euro.ucsc.edu/cgi-bin/hgTracks?position=208009_s_at","UCSC")</f>
        <v>UCSC</v>
      </c>
      <c r="E5654" s="1" t="str">
        <f>HYPERLINK("http://www.ncbi.nlm.nih.gov/gene/?term=ARHGEF16","NCBI")</f>
        <v>NCBI</v>
      </c>
      <c r="F5654">
        <v>5.7000000000000002E-2</v>
      </c>
      <c r="G5654">
        <v>0.17</v>
      </c>
      <c r="H5654" s="1" t="str">
        <f>HYPERLINK("http://www.weizmann.ac.il/complex/compphys/software/geview/data/figures/208009_s_at.png","Figure")</f>
        <v>Figure</v>
      </c>
      <c r="I5654">
        <v>1.32</v>
      </c>
      <c r="J5654">
        <v>4.8000000000000001E-2</v>
      </c>
      <c r="K5654">
        <v>1.1599999999999999</v>
      </c>
      <c r="L5654">
        <v>0.27</v>
      </c>
      <c r="M5654">
        <v>0.88</v>
      </c>
      <c r="N5654">
        <v>0.41</v>
      </c>
    </row>
    <row r="5655" spans="1:14" x14ac:dyDescent="0.25">
      <c r="A5655" t="s">
        <v>10200</v>
      </c>
      <c r="B5655" t="s">
        <v>10201</v>
      </c>
      <c r="C5655" s="1" t="str">
        <f>HYPERLINK("http://www.genecards.org/cgi-bin/carddisp.pl?gene=SULT1A3 /// SULT1A4","GeneCards")</f>
        <v>GeneCards</v>
      </c>
      <c r="D5655" s="1" t="str">
        <f>HYPERLINK("http://genome-euro.ucsc.edu/cgi-bin/hgTracks?position=209607_x_at","UCSC")</f>
        <v>UCSC</v>
      </c>
      <c r="E5655" s="1" t="str">
        <f>HYPERLINK("http://www.ncbi.nlm.nih.gov/gene/?term=SULT1A3 /// SULT1A4","NCBI")</f>
        <v>NCBI</v>
      </c>
      <c r="F5655">
        <v>5.7000000000000002E-2</v>
      </c>
      <c r="G5655">
        <v>0.17</v>
      </c>
      <c r="H5655" s="1" t="str">
        <f>HYPERLINK("http://www.weizmann.ac.il/complex/compphys/software/geview/data/figures/209607_x_at.png","Figure")</f>
        <v>Figure</v>
      </c>
      <c r="I5655">
        <v>1.39</v>
      </c>
      <c r="J5655">
        <v>7.2999999999999995E-2</v>
      </c>
      <c r="K5655">
        <v>1.3</v>
      </c>
      <c r="L5655">
        <v>0.11</v>
      </c>
      <c r="M5655">
        <v>0.93400000000000005</v>
      </c>
      <c r="N5655">
        <v>0.85</v>
      </c>
    </row>
    <row r="5656" spans="1:14" x14ac:dyDescent="0.25">
      <c r="A5656" t="s">
        <v>10202</v>
      </c>
      <c r="B5656" t="s">
        <v>10203</v>
      </c>
      <c r="C5656" s="1" t="str">
        <f>HYPERLINK("http://www.genecards.org/cgi-bin/carddisp.pl?gene=PREPL","GeneCards")</f>
        <v>GeneCards</v>
      </c>
      <c r="D5656" s="1" t="str">
        <f>HYPERLINK("http://genome-euro.ucsc.edu/cgi-bin/hgTracks?position=212215_at","UCSC")</f>
        <v>UCSC</v>
      </c>
      <c r="E5656" s="1" t="str">
        <f>HYPERLINK("http://www.ncbi.nlm.nih.gov/gene/?term=PREPL","NCBI")</f>
        <v>NCBI</v>
      </c>
      <c r="F5656">
        <v>5.7000000000000002E-2</v>
      </c>
      <c r="G5656">
        <v>0.17</v>
      </c>
      <c r="H5656" s="1" t="str">
        <f>HYPERLINK("http://www.weizmann.ac.il/complex/compphys/software/geview/data/figures/212215_at.png","Figure")</f>
        <v>Figure</v>
      </c>
      <c r="I5656">
        <v>0.82199999999999995</v>
      </c>
      <c r="J5656">
        <v>0.66</v>
      </c>
      <c r="K5656">
        <v>1.4</v>
      </c>
      <c r="L5656">
        <v>0.23</v>
      </c>
      <c r="M5656">
        <v>1.7</v>
      </c>
      <c r="N5656">
        <v>5.8000000000000003E-2</v>
      </c>
    </row>
    <row r="5657" spans="1:14" x14ac:dyDescent="0.25">
      <c r="A5657" t="s">
        <v>10204</v>
      </c>
      <c r="B5657" t="s">
        <v>10205</v>
      </c>
      <c r="C5657" s="1" t="str">
        <f>HYPERLINK("http://www.genecards.org/cgi-bin/carddisp.pl?gene=DUSP7","GeneCards")</f>
        <v>GeneCards</v>
      </c>
      <c r="D5657" s="1" t="str">
        <f>HYPERLINK("http://genome-euro.ucsc.edu/cgi-bin/hgTracks?position=213848_at","UCSC")</f>
        <v>UCSC</v>
      </c>
      <c r="E5657" s="1" t="str">
        <f>HYPERLINK("http://www.ncbi.nlm.nih.gov/gene/?term=DUSP7","NCBI")</f>
        <v>NCBI</v>
      </c>
      <c r="F5657">
        <v>5.7000000000000002E-2</v>
      </c>
      <c r="G5657">
        <v>0.17</v>
      </c>
      <c r="H5657" s="1" t="str">
        <f>HYPERLINK("http://www.weizmann.ac.il/complex/compphys/software/geview/data/figures/213848_at.png","Figure")</f>
        <v>Figure</v>
      </c>
      <c r="I5657">
        <v>0.78200000000000003</v>
      </c>
      <c r="J5657">
        <v>0.09</v>
      </c>
      <c r="K5657">
        <v>1</v>
      </c>
      <c r="L5657">
        <v>1</v>
      </c>
      <c r="M5657">
        <v>1.28</v>
      </c>
      <c r="N5657">
        <v>6.8000000000000005E-2</v>
      </c>
    </row>
    <row r="5658" spans="1:14" x14ac:dyDescent="0.25">
      <c r="A5658" t="s">
        <v>10206</v>
      </c>
      <c r="B5658" t="s">
        <v>10207</v>
      </c>
      <c r="C5658" s="1" t="str">
        <f>HYPERLINK("http://www.genecards.org/cgi-bin/carddisp.pl?gene=CACNG2","GeneCards")</f>
        <v>GeneCards</v>
      </c>
      <c r="D5658" s="1" t="str">
        <f>HYPERLINK("http://genome-euro.ucsc.edu/cgi-bin/hgTracks?position=214495_at","UCSC")</f>
        <v>UCSC</v>
      </c>
      <c r="E5658" s="1" t="str">
        <f>HYPERLINK("http://www.ncbi.nlm.nih.gov/gene/?term=CACNG2","NCBI")</f>
        <v>NCBI</v>
      </c>
      <c r="F5658">
        <v>5.7000000000000002E-2</v>
      </c>
      <c r="G5658">
        <v>0.17</v>
      </c>
      <c r="H5658" s="1" t="str">
        <f>HYPERLINK("http://www.weizmann.ac.il/complex/compphys/software/geview/data/figures/214495_at.png","Figure")</f>
        <v>Figure</v>
      </c>
      <c r="I5658">
        <v>1.24</v>
      </c>
      <c r="J5658">
        <v>5.1999999999999998E-2</v>
      </c>
      <c r="K5658">
        <v>1.06</v>
      </c>
      <c r="L5658">
        <v>0.67</v>
      </c>
      <c r="M5658">
        <v>0.85599999999999998</v>
      </c>
      <c r="N5658">
        <v>0.15</v>
      </c>
    </row>
    <row r="5659" spans="1:14" x14ac:dyDescent="0.25">
      <c r="A5659" t="s">
        <v>10208</v>
      </c>
      <c r="B5659" t="s">
        <v>9294</v>
      </c>
      <c r="C5659" s="1" t="str">
        <f>HYPERLINK("http://www.genecards.org/cgi-bin/carddisp.pl?gene=HNRNPM","GeneCards")</f>
        <v>GeneCards</v>
      </c>
      <c r="D5659" s="1" t="str">
        <f>HYPERLINK("http://genome-euro.ucsc.edu/cgi-bin/hgTracks?position=214918_at","UCSC")</f>
        <v>UCSC</v>
      </c>
      <c r="E5659" s="1" t="str">
        <f>HYPERLINK("http://www.ncbi.nlm.nih.gov/gene/?term=HNRNPM","NCBI")</f>
        <v>NCBI</v>
      </c>
      <c r="F5659">
        <v>5.7000000000000002E-2</v>
      </c>
      <c r="G5659">
        <v>0.17</v>
      </c>
      <c r="H5659" s="1" t="str">
        <f>HYPERLINK("http://www.weizmann.ac.il/complex/compphys/software/geview/data/figures/214918_at.png","Figure")</f>
        <v>Figure</v>
      </c>
      <c r="I5659">
        <v>0.88100000000000001</v>
      </c>
      <c r="J5659">
        <v>0.81</v>
      </c>
      <c r="K5659">
        <v>0.63300000000000001</v>
      </c>
      <c r="L5659">
        <v>5.8000000000000003E-2</v>
      </c>
      <c r="M5659">
        <v>0.71799999999999997</v>
      </c>
      <c r="N5659">
        <v>0.23</v>
      </c>
    </row>
    <row r="5660" spans="1:14" x14ac:dyDescent="0.25">
      <c r="A5660" t="s">
        <v>10209</v>
      </c>
      <c r="B5660" t="s">
        <v>10210</v>
      </c>
      <c r="C5660" s="1" t="str">
        <f>HYPERLINK("http://www.genecards.org/cgi-bin/carddisp.pl?gene=PGF","GeneCards")</f>
        <v>GeneCards</v>
      </c>
      <c r="D5660" s="1" t="str">
        <f>HYPERLINK("http://genome-euro.ucsc.edu/cgi-bin/hgTracks?position=215179_x_at","UCSC")</f>
        <v>UCSC</v>
      </c>
      <c r="E5660" s="1" t="str">
        <f>HYPERLINK("http://www.ncbi.nlm.nih.gov/gene/?term=PGF","NCBI")</f>
        <v>NCBI</v>
      </c>
      <c r="F5660">
        <v>5.7000000000000002E-2</v>
      </c>
      <c r="G5660">
        <v>0.17</v>
      </c>
      <c r="H5660" s="1" t="str">
        <f>HYPERLINK("http://www.weizmann.ac.il/complex/compphys/software/geview/data/figures/215179_x_at.png","Figure")</f>
        <v>Figure</v>
      </c>
      <c r="I5660">
        <v>1.64</v>
      </c>
      <c r="J5660">
        <v>0.12</v>
      </c>
      <c r="K5660">
        <v>0.93700000000000006</v>
      </c>
      <c r="L5660">
        <v>0.95</v>
      </c>
      <c r="M5660">
        <v>0.56999999999999995</v>
      </c>
      <c r="N5660">
        <v>5.6000000000000001E-2</v>
      </c>
    </row>
    <row r="5661" spans="1:14" x14ac:dyDescent="0.25">
      <c r="A5661" t="s">
        <v>10211</v>
      </c>
      <c r="B5661" t="s">
        <v>3397</v>
      </c>
      <c r="C5661" s="1" t="str">
        <f>HYPERLINK("http://www.genecards.org/cgi-bin/carddisp.pl?gene=TCF7L2","GeneCards")</f>
        <v>GeneCards</v>
      </c>
      <c r="D5661" s="1" t="str">
        <f>HYPERLINK("http://genome-euro.ucsc.edu/cgi-bin/hgTracks?position=216037_x_at","UCSC")</f>
        <v>UCSC</v>
      </c>
      <c r="E5661" s="1" t="str">
        <f>HYPERLINK("http://www.ncbi.nlm.nih.gov/gene/?term=TCF7L2","NCBI")</f>
        <v>NCBI</v>
      </c>
      <c r="F5661">
        <v>5.7000000000000002E-2</v>
      </c>
      <c r="G5661">
        <v>0.17</v>
      </c>
      <c r="H5661" s="1" t="str">
        <f>HYPERLINK("http://www.weizmann.ac.il/complex/compphys/software/geview/data/figures/216037_x_at.png","Figure")</f>
        <v>Figure</v>
      </c>
      <c r="I5661">
        <v>0.72</v>
      </c>
      <c r="J5661">
        <v>0.48</v>
      </c>
      <c r="K5661">
        <v>0.52700000000000002</v>
      </c>
      <c r="L5661">
        <v>4.7E-2</v>
      </c>
      <c r="M5661">
        <v>0.73199999999999998</v>
      </c>
      <c r="N5661">
        <v>0.47</v>
      </c>
    </row>
    <row r="5662" spans="1:14" x14ac:dyDescent="0.25">
      <c r="A5662" t="s">
        <v>10212</v>
      </c>
      <c r="B5662" t="s">
        <v>10213</v>
      </c>
      <c r="C5662" s="1" t="str">
        <f>HYPERLINK("http://www.genecards.org/cgi-bin/carddisp.pl?gene=FASTKD3","GeneCards")</f>
        <v>GeneCards</v>
      </c>
      <c r="D5662" s="1" t="str">
        <f>HYPERLINK("http://genome-euro.ucsc.edu/cgi-bin/hgTracks?position=219200_at","UCSC")</f>
        <v>UCSC</v>
      </c>
      <c r="E5662" s="1" t="str">
        <f>HYPERLINK("http://www.ncbi.nlm.nih.gov/gene/?term=FASTKD3","NCBI")</f>
        <v>NCBI</v>
      </c>
      <c r="F5662">
        <v>5.7000000000000002E-2</v>
      </c>
      <c r="G5662">
        <v>0.17</v>
      </c>
      <c r="H5662" s="1" t="str">
        <f>HYPERLINK("http://www.weizmann.ac.il/complex/compphys/software/geview/data/figures/219200_at.png","Figure")</f>
        <v>Figure</v>
      </c>
      <c r="I5662">
        <v>0.49199999999999999</v>
      </c>
      <c r="J5662">
        <v>0.05</v>
      </c>
      <c r="K5662">
        <v>0.66300000000000003</v>
      </c>
      <c r="L5662">
        <v>0.22</v>
      </c>
      <c r="M5662">
        <v>1.35</v>
      </c>
      <c r="N5662">
        <v>0.48</v>
      </c>
    </row>
    <row r="5663" spans="1:14" x14ac:dyDescent="0.25">
      <c r="A5663" t="s">
        <v>10214</v>
      </c>
      <c r="B5663" t="s">
        <v>7415</v>
      </c>
      <c r="C5663" s="1" t="str">
        <f>HYPERLINK("http://www.genecards.org/cgi-bin/carddisp.pl?gene=HIF3A","GeneCards")</f>
        <v>GeneCards</v>
      </c>
      <c r="D5663" s="1" t="str">
        <f>HYPERLINK("http://genome-euro.ucsc.edu/cgi-bin/hgTracks?position=222123_s_at","UCSC")</f>
        <v>UCSC</v>
      </c>
      <c r="E5663" s="1" t="str">
        <f>HYPERLINK("http://www.ncbi.nlm.nih.gov/gene/?term=HIF3A","NCBI")</f>
        <v>NCBI</v>
      </c>
      <c r="F5663">
        <v>5.7000000000000002E-2</v>
      </c>
      <c r="G5663">
        <v>0.17</v>
      </c>
      <c r="H5663" s="1" t="str">
        <f>HYPERLINK("http://www.weizmann.ac.il/complex/compphys/software/geview/data/figures/222123_s_at.png","Figure")</f>
        <v>Figure</v>
      </c>
      <c r="I5663">
        <v>1.34</v>
      </c>
      <c r="J5663">
        <v>4.8000000000000001E-2</v>
      </c>
      <c r="K5663">
        <v>1.1599999999999999</v>
      </c>
      <c r="L5663">
        <v>0.28999999999999998</v>
      </c>
      <c r="M5663">
        <v>0.86899999999999999</v>
      </c>
      <c r="N5663">
        <v>0.38</v>
      </c>
    </row>
    <row r="5664" spans="1:14" x14ac:dyDescent="0.25">
      <c r="A5664" t="s">
        <v>10215</v>
      </c>
      <c r="B5664" t="s">
        <v>10216</v>
      </c>
      <c r="C5664" s="1" t="str">
        <f>HYPERLINK("http://www.genecards.org/cgi-bin/carddisp.pl?gene=TOB2","GeneCards")</f>
        <v>GeneCards</v>
      </c>
      <c r="D5664" s="1" t="str">
        <f>HYPERLINK("http://genome-euro.ucsc.edu/cgi-bin/hgTracks?position=222243_s_at","UCSC")</f>
        <v>UCSC</v>
      </c>
      <c r="E5664" s="1" t="str">
        <f>HYPERLINK("http://www.ncbi.nlm.nih.gov/gene/?term=TOB2","NCBI")</f>
        <v>NCBI</v>
      </c>
      <c r="F5664">
        <v>5.7000000000000002E-2</v>
      </c>
      <c r="G5664">
        <v>0.17</v>
      </c>
      <c r="H5664" s="1" t="str">
        <f>HYPERLINK("http://www.weizmann.ac.il/complex/compphys/software/geview/data/figures/222243_s_at.png","Figure")</f>
        <v>Figure</v>
      </c>
      <c r="I5664">
        <v>0.69099999999999995</v>
      </c>
      <c r="J5664">
        <v>0.12</v>
      </c>
      <c r="K5664">
        <v>0.68700000000000006</v>
      </c>
      <c r="L5664">
        <v>6.6000000000000003E-2</v>
      </c>
      <c r="M5664">
        <v>0.99399999999999999</v>
      </c>
      <c r="N5664">
        <v>1</v>
      </c>
    </row>
    <row r="5665" spans="1:14" x14ac:dyDescent="0.25">
      <c r="A5665" t="s">
        <v>10217</v>
      </c>
      <c r="B5665" t="s">
        <v>10218</v>
      </c>
      <c r="C5665" s="1" t="str">
        <f>HYPERLINK("http://www.genecards.org/cgi-bin/carddisp.pl?gene=FGF4","GeneCards")</f>
        <v>GeneCards</v>
      </c>
      <c r="D5665" s="1" t="str">
        <f>HYPERLINK("http://genome-euro.ucsc.edu/cgi-bin/hgTracks?position=206783_at","UCSC")</f>
        <v>UCSC</v>
      </c>
      <c r="E5665" s="1" t="str">
        <f>HYPERLINK("http://www.ncbi.nlm.nih.gov/gene/?term=FGF4","NCBI")</f>
        <v>NCBI</v>
      </c>
      <c r="F5665">
        <v>5.7000000000000002E-2</v>
      </c>
      <c r="G5665">
        <v>0.17</v>
      </c>
      <c r="H5665" s="1" t="str">
        <f>HYPERLINK("http://www.weizmann.ac.il/complex/compphys/software/geview/data/figures/206783_at.png","Figure")</f>
        <v>Figure</v>
      </c>
      <c r="I5665">
        <v>1.28</v>
      </c>
      <c r="J5665">
        <v>8.5999999999999993E-2</v>
      </c>
      <c r="K5665">
        <v>1.01</v>
      </c>
      <c r="L5665">
        <v>1</v>
      </c>
      <c r="M5665">
        <v>0.78300000000000003</v>
      </c>
      <c r="N5665">
        <v>7.0999999999999994E-2</v>
      </c>
    </row>
    <row r="5666" spans="1:14" x14ac:dyDescent="0.25">
      <c r="A5666" t="s">
        <v>10219</v>
      </c>
      <c r="B5666" t="s">
        <v>4509</v>
      </c>
      <c r="C5666" s="1" t="str">
        <f>HYPERLINK("http://www.genecards.org/cgi-bin/carddisp.pl?gene=ASXL1","GeneCards")</f>
        <v>GeneCards</v>
      </c>
      <c r="D5666" s="1" t="str">
        <f>HYPERLINK("http://genome-euro.ucsc.edu/cgi-bin/hgTracks?position=212237_at","UCSC")</f>
        <v>UCSC</v>
      </c>
      <c r="E5666" s="1" t="str">
        <f>HYPERLINK("http://www.ncbi.nlm.nih.gov/gene/?term=ASXL1","NCBI")</f>
        <v>NCBI</v>
      </c>
      <c r="F5666">
        <v>5.7000000000000002E-2</v>
      </c>
      <c r="G5666">
        <v>0.17</v>
      </c>
      <c r="H5666" s="1" t="str">
        <f>HYPERLINK("http://www.weizmann.ac.il/complex/compphys/software/geview/data/figures/212237_at.png","Figure")</f>
        <v>Figure</v>
      </c>
      <c r="I5666">
        <v>1.56</v>
      </c>
      <c r="J5666">
        <v>0.06</v>
      </c>
      <c r="K5666">
        <v>1.0900000000000001</v>
      </c>
      <c r="L5666">
        <v>0.84</v>
      </c>
      <c r="M5666">
        <v>0.69799999999999995</v>
      </c>
      <c r="N5666">
        <v>0.11</v>
      </c>
    </row>
    <row r="5667" spans="1:14" x14ac:dyDescent="0.25">
      <c r="A5667" t="s">
        <v>10220</v>
      </c>
      <c r="B5667" t="s">
        <v>10221</v>
      </c>
      <c r="C5667" s="1" t="str">
        <f>HYPERLINK("http://www.genecards.org/cgi-bin/carddisp.pl?gene=GAS8","GeneCards")</f>
        <v>GeneCards</v>
      </c>
      <c r="D5667" s="1" t="str">
        <f>HYPERLINK("http://genome-euro.ucsc.edu/cgi-bin/hgTracks?position=204921_at","UCSC")</f>
        <v>UCSC</v>
      </c>
      <c r="E5667" s="1" t="str">
        <f>HYPERLINK("http://www.ncbi.nlm.nih.gov/gene/?term=GAS8","NCBI")</f>
        <v>NCBI</v>
      </c>
      <c r="F5667">
        <v>5.8000000000000003E-2</v>
      </c>
      <c r="G5667">
        <v>0.17</v>
      </c>
      <c r="H5667" s="1" t="str">
        <f>HYPERLINK("http://www.weizmann.ac.il/complex/compphys/software/geview/data/figures/204921_at.png","Figure")</f>
        <v>Figure</v>
      </c>
      <c r="I5667">
        <v>1.32</v>
      </c>
      <c r="J5667">
        <v>0.05</v>
      </c>
      <c r="K5667">
        <v>1.17</v>
      </c>
      <c r="L5667">
        <v>0.22</v>
      </c>
      <c r="M5667">
        <v>0.89</v>
      </c>
      <c r="N5667">
        <v>0.48</v>
      </c>
    </row>
    <row r="5668" spans="1:14" x14ac:dyDescent="0.25">
      <c r="A5668" t="s">
        <v>10222</v>
      </c>
      <c r="B5668" t="s">
        <v>10223</v>
      </c>
      <c r="C5668" s="1" t="str">
        <f>HYPERLINK("http://www.genecards.org/cgi-bin/carddisp.pl?gene=SAR1A","GeneCards")</f>
        <v>GeneCards</v>
      </c>
      <c r="D5668" s="1" t="str">
        <f>HYPERLINK("http://genome-euro.ucsc.edu/cgi-bin/hgTracks?position=201543_s_at","UCSC")</f>
        <v>UCSC</v>
      </c>
      <c r="E5668" s="1" t="str">
        <f>HYPERLINK("http://www.ncbi.nlm.nih.gov/gene/?term=SAR1A","NCBI")</f>
        <v>NCBI</v>
      </c>
      <c r="F5668">
        <v>5.8000000000000003E-2</v>
      </c>
      <c r="G5668">
        <v>0.17</v>
      </c>
      <c r="H5668" s="1" t="str">
        <f>HYPERLINK("http://www.weizmann.ac.il/complex/compphys/software/geview/data/figures/201543_s_at.png","Figure")</f>
        <v>Figure</v>
      </c>
      <c r="I5668">
        <v>1.01</v>
      </c>
      <c r="J5668">
        <v>1</v>
      </c>
      <c r="K5668">
        <v>0.52500000000000002</v>
      </c>
      <c r="L5668">
        <v>9.2999999999999999E-2</v>
      </c>
      <c r="M5668">
        <v>0.52100000000000002</v>
      </c>
      <c r="N5668">
        <v>0.11</v>
      </c>
    </row>
    <row r="5669" spans="1:14" x14ac:dyDescent="0.25">
      <c r="A5669" t="s">
        <v>10224</v>
      </c>
      <c r="B5669" t="s">
        <v>10225</v>
      </c>
      <c r="C5669" s="1" t="str">
        <f>HYPERLINK("http://www.genecards.org/cgi-bin/carddisp.pl?gene=ZNF193","GeneCards")</f>
        <v>GeneCards</v>
      </c>
      <c r="D5669" s="1" t="str">
        <f>HYPERLINK("http://genome-euro.ucsc.edu/cgi-bin/hgTracks?position=205181_at","UCSC")</f>
        <v>UCSC</v>
      </c>
      <c r="E5669" s="1" t="str">
        <f>HYPERLINK("http://www.ncbi.nlm.nih.gov/gene/?term=ZNF193","NCBI")</f>
        <v>NCBI</v>
      </c>
      <c r="F5669">
        <v>5.8000000000000003E-2</v>
      </c>
      <c r="G5669">
        <v>0.17</v>
      </c>
      <c r="H5669" s="1" t="str">
        <f>HYPERLINK("http://www.weizmann.ac.il/complex/compphys/software/geview/data/figures/205181_at.png","Figure")</f>
        <v>Figure</v>
      </c>
      <c r="I5669">
        <v>0.69699999999999995</v>
      </c>
      <c r="J5669">
        <v>8.4000000000000005E-2</v>
      </c>
      <c r="K5669">
        <v>0.98699999999999999</v>
      </c>
      <c r="L5669">
        <v>1</v>
      </c>
      <c r="M5669">
        <v>1.42</v>
      </c>
      <c r="N5669">
        <v>7.2999999999999995E-2</v>
      </c>
    </row>
    <row r="5670" spans="1:14" x14ac:dyDescent="0.25">
      <c r="A5670" t="s">
        <v>10226</v>
      </c>
      <c r="B5670" t="s">
        <v>3484</v>
      </c>
      <c r="C5670" s="1" t="str">
        <f>HYPERLINK("http://www.genecards.org/cgi-bin/carddisp.pl?gene=ATRX","GeneCards")</f>
        <v>GeneCards</v>
      </c>
      <c r="D5670" s="1" t="str">
        <f>HYPERLINK("http://genome-euro.ucsc.edu/cgi-bin/hgTracks?position=208859_s_at","UCSC")</f>
        <v>UCSC</v>
      </c>
      <c r="E5670" s="1" t="str">
        <f>HYPERLINK("http://www.ncbi.nlm.nih.gov/gene/?term=ATRX","NCBI")</f>
        <v>NCBI</v>
      </c>
      <c r="F5670">
        <v>5.8000000000000003E-2</v>
      </c>
      <c r="G5670">
        <v>0.17</v>
      </c>
      <c r="H5670" s="1" t="str">
        <f>HYPERLINK("http://www.weizmann.ac.il/complex/compphys/software/geview/data/figures/208859_s_at.png","Figure")</f>
        <v>Figure</v>
      </c>
      <c r="I5670">
        <v>0.49399999999999999</v>
      </c>
      <c r="J5670">
        <v>7.4999999999999997E-2</v>
      </c>
      <c r="K5670">
        <v>0.94399999999999995</v>
      </c>
      <c r="L5670">
        <v>0.97</v>
      </c>
      <c r="M5670">
        <v>1.91</v>
      </c>
      <c r="N5670">
        <v>8.1000000000000003E-2</v>
      </c>
    </row>
    <row r="5671" spans="1:14" x14ac:dyDescent="0.25">
      <c r="A5671" t="s">
        <v>10227</v>
      </c>
      <c r="B5671" t="s">
        <v>10228</v>
      </c>
      <c r="C5671" s="1" t="str">
        <f>HYPERLINK("http://www.genecards.org/cgi-bin/carddisp.pl?gene=PTS","GeneCards")</f>
        <v>GeneCards</v>
      </c>
      <c r="D5671" s="1" t="str">
        <f>HYPERLINK("http://genome-euro.ucsc.edu/cgi-bin/hgTracks?position=209694_at","UCSC")</f>
        <v>UCSC</v>
      </c>
      <c r="E5671" s="1" t="str">
        <f>HYPERLINK("http://www.ncbi.nlm.nih.gov/gene/?term=PTS","NCBI")</f>
        <v>NCBI</v>
      </c>
      <c r="F5671">
        <v>5.8000000000000003E-2</v>
      </c>
      <c r="G5671">
        <v>0.17</v>
      </c>
      <c r="H5671" s="1" t="str">
        <f>HYPERLINK("http://www.weizmann.ac.il/complex/compphys/software/geview/data/figures/209694_at.png","Figure")</f>
        <v>Figure</v>
      </c>
      <c r="I5671">
        <v>1.2</v>
      </c>
      <c r="J5671">
        <v>0.65</v>
      </c>
      <c r="K5671">
        <v>0.73199999999999998</v>
      </c>
      <c r="L5671">
        <v>0.24</v>
      </c>
      <c r="M5671">
        <v>0.60799999999999998</v>
      </c>
      <c r="N5671">
        <v>5.8000000000000003E-2</v>
      </c>
    </row>
    <row r="5672" spans="1:14" x14ac:dyDescent="0.25">
      <c r="A5672" t="s">
        <v>10229</v>
      </c>
      <c r="B5672" t="s">
        <v>10230</v>
      </c>
      <c r="C5672" s="1" t="str">
        <f>HYPERLINK("http://www.genecards.org/cgi-bin/carddisp.pl?gene=MFAP3","GeneCards")</f>
        <v>GeneCards</v>
      </c>
      <c r="D5672" s="1" t="str">
        <f>HYPERLINK("http://genome-euro.ucsc.edu/cgi-bin/hgTracks?position=213123_at","UCSC")</f>
        <v>UCSC</v>
      </c>
      <c r="E5672" s="1" t="str">
        <f>HYPERLINK("http://www.ncbi.nlm.nih.gov/gene/?term=MFAP3","NCBI")</f>
        <v>NCBI</v>
      </c>
      <c r="F5672">
        <v>5.8000000000000003E-2</v>
      </c>
      <c r="G5672">
        <v>0.17</v>
      </c>
      <c r="H5672" s="1" t="str">
        <f>HYPERLINK("http://www.weizmann.ac.il/complex/compphys/software/geview/data/figures/213123_at.png","Figure")</f>
        <v>Figure</v>
      </c>
      <c r="I5672">
        <v>0.67600000000000005</v>
      </c>
      <c r="J5672">
        <v>6.5000000000000002E-2</v>
      </c>
      <c r="K5672">
        <v>0.94299999999999995</v>
      </c>
      <c r="L5672">
        <v>0.91</v>
      </c>
      <c r="M5672">
        <v>1.39</v>
      </c>
      <c r="N5672">
        <v>9.6000000000000002E-2</v>
      </c>
    </row>
    <row r="5673" spans="1:14" x14ac:dyDescent="0.25">
      <c r="A5673" t="s">
        <v>10231</v>
      </c>
      <c r="B5673" t="s">
        <v>10232</v>
      </c>
      <c r="C5673" s="1" t="str">
        <f>HYPERLINK("http://www.genecards.org/cgi-bin/carddisp.pl?gene=CYP11B2","GeneCards")</f>
        <v>GeneCards</v>
      </c>
      <c r="D5673" s="1" t="str">
        <f>HYPERLINK("http://genome-euro.ucsc.edu/cgi-bin/hgTracks?position=214630_at","UCSC")</f>
        <v>UCSC</v>
      </c>
      <c r="E5673" s="1" t="str">
        <f>HYPERLINK("http://www.ncbi.nlm.nih.gov/gene/?term=CYP11B2","NCBI")</f>
        <v>NCBI</v>
      </c>
      <c r="F5673">
        <v>5.8000000000000003E-2</v>
      </c>
      <c r="G5673">
        <v>0.17</v>
      </c>
      <c r="H5673" s="1" t="str">
        <f>HYPERLINK("http://www.weizmann.ac.il/complex/compphys/software/geview/data/figures/214630_at.png","Figure")</f>
        <v>Figure</v>
      </c>
      <c r="I5673">
        <v>1.49</v>
      </c>
      <c r="J5673">
        <v>5.1999999999999998E-2</v>
      </c>
      <c r="K5673">
        <v>1.27</v>
      </c>
      <c r="L5673">
        <v>0.2</v>
      </c>
      <c r="M5673">
        <v>0.85599999999999998</v>
      </c>
      <c r="N5673">
        <v>0.54</v>
      </c>
    </row>
    <row r="5674" spans="1:14" x14ac:dyDescent="0.25">
      <c r="A5674" t="s">
        <v>10233</v>
      </c>
      <c r="B5674" t="s">
        <v>10234</v>
      </c>
      <c r="C5674" s="1" t="str">
        <f>HYPERLINK("http://www.genecards.org/cgi-bin/carddisp.pl?gene=TAF1","GeneCards")</f>
        <v>GeneCards</v>
      </c>
      <c r="D5674" s="1" t="str">
        <f>HYPERLINK("http://genome-euro.ucsc.edu/cgi-bin/hgTracks?position=216955_at","UCSC")</f>
        <v>UCSC</v>
      </c>
      <c r="E5674" s="1" t="str">
        <f>HYPERLINK("http://www.ncbi.nlm.nih.gov/gene/?term=TAF1","NCBI")</f>
        <v>NCBI</v>
      </c>
      <c r="F5674">
        <v>5.8000000000000003E-2</v>
      </c>
      <c r="G5674">
        <v>0.17</v>
      </c>
      <c r="H5674" s="1" t="str">
        <f>HYPERLINK("http://www.weizmann.ac.il/complex/compphys/software/geview/data/figures/216955_at.png","Figure")</f>
        <v>Figure</v>
      </c>
      <c r="I5674">
        <v>1.1499999999999999</v>
      </c>
      <c r="J5674">
        <v>0.08</v>
      </c>
      <c r="K5674">
        <v>1.01</v>
      </c>
      <c r="L5674">
        <v>0.99</v>
      </c>
      <c r="M5674">
        <v>0.874</v>
      </c>
      <c r="N5674">
        <v>7.6999999999999999E-2</v>
      </c>
    </row>
    <row r="5675" spans="1:14" x14ac:dyDescent="0.25">
      <c r="A5675" t="s">
        <v>10235</v>
      </c>
      <c r="B5675" t="s">
        <v>10236</v>
      </c>
      <c r="C5675" s="1" t="str">
        <f>HYPERLINK("http://www.genecards.org/cgi-bin/carddisp.pl?gene=GMCL1","GeneCards")</f>
        <v>GeneCards</v>
      </c>
      <c r="D5675" s="1" t="str">
        <f>HYPERLINK("http://genome-euro.ucsc.edu/cgi-bin/hgTracks?position=218458_at","UCSC")</f>
        <v>UCSC</v>
      </c>
      <c r="E5675" s="1" t="str">
        <f>HYPERLINK("http://www.ncbi.nlm.nih.gov/gene/?term=GMCL1","NCBI")</f>
        <v>NCBI</v>
      </c>
      <c r="F5675">
        <v>5.8000000000000003E-2</v>
      </c>
      <c r="G5675">
        <v>0.17</v>
      </c>
      <c r="H5675" s="1" t="str">
        <f>HYPERLINK("http://www.weizmann.ac.il/complex/compphys/software/geview/data/figures/218458_at.png","Figure")</f>
        <v>Figure</v>
      </c>
      <c r="I5675">
        <v>0.73399999999999999</v>
      </c>
      <c r="J5675">
        <v>5.0999999999999997E-2</v>
      </c>
      <c r="K5675">
        <v>0.83199999999999996</v>
      </c>
      <c r="L5675">
        <v>0.21</v>
      </c>
      <c r="M5675">
        <v>1.1299999999999999</v>
      </c>
      <c r="N5675">
        <v>0.51</v>
      </c>
    </row>
    <row r="5676" spans="1:14" x14ac:dyDescent="0.25">
      <c r="A5676" t="s">
        <v>10237</v>
      </c>
      <c r="B5676" t="s">
        <v>10238</v>
      </c>
      <c r="C5676" s="1" t="str">
        <f>HYPERLINK("http://www.genecards.org/cgi-bin/carddisp.pl?gene=NCOR1","GeneCards")</f>
        <v>GeneCards</v>
      </c>
      <c r="D5676" s="1" t="str">
        <f>HYPERLINK("http://genome-euro.ucsc.edu/cgi-bin/hgTracks?position=200857_s_at","UCSC")</f>
        <v>UCSC</v>
      </c>
      <c r="E5676" s="1" t="str">
        <f>HYPERLINK("http://www.ncbi.nlm.nih.gov/gene/?term=NCOR1","NCBI")</f>
        <v>NCBI</v>
      </c>
      <c r="F5676">
        <v>5.8000000000000003E-2</v>
      </c>
      <c r="G5676">
        <v>0.17</v>
      </c>
      <c r="H5676" s="1" t="str">
        <f>HYPERLINK("http://www.weizmann.ac.il/complex/compphys/software/geview/data/figures/200857_s_at.png","Figure")</f>
        <v>Figure</v>
      </c>
      <c r="I5676">
        <v>1.64</v>
      </c>
      <c r="J5676">
        <v>6.9000000000000006E-2</v>
      </c>
      <c r="K5676">
        <v>1.06</v>
      </c>
      <c r="L5676">
        <v>0.94</v>
      </c>
      <c r="M5676">
        <v>0.65</v>
      </c>
      <c r="N5676">
        <v>0.09</v>
      </c>
    </row>
    <row r="5677" spans="1:14" x14ac:dyDescent="0.25">
      <c r="A5677" t="s">
        <v>10239</v>
      </c>
      <c r="B5677" t="s">
        <v>10240</v>
      </c>
      <c r="C5677" s="1" t="str">
        <f>HYPERLINK("http://www.genecards.org/cgi-bin/carddisp.pl?gene=TUFM","GeneCards")</f>
        <v>GeneCards</v>
      </c>
      <c r="D5677" s="1" t="str">
        <f>HYPERLINK("http://genome-euro.ucsc.edu/cgi-bin/hgTracks?position=201113_at","UCSC")</f>
        <v>UCSC</v>
      </c>
      <c r="E5677" s="1" t="str">
        <f>HYPERLINK("http://www.ncbi.nlm.nih.gov/gene/?term=TUFM","NCBI")</f>
        <v>NCBI</v>
      </c>
      <c r="F5677">
        <v>5.8000000000000003E-2</v>
      </c>
      <c r="G5677">
        <v>0.17</v>
      </c>
      <c r="H5677" s="1" t="str">
        <f>HYPERLINK("http://www.weizmann.ac.il/complex/compphys/software/geview/data/figures/201113_at.png","Figure")</f>
        <v>Figure</v>
      </c>
      <c r="I5677">
        <v>1.31</v>
      </c>
      <c r="J5677">
        <v>0.09</v>
      </c>
      <c r="K5677">
        <v>1.27</v>
      </c>
      <c r="L5677">
        <v>8.5000000000000006E-2</v>
      </c>
      <c r="M5677">
        <v>0.96899999999999997</v>
      </c>
      <c r="N5677">
        <v>0.96</v>
      </c>
    </row>
    <row r="5678" spans="1:14" x14ac:dyDescent="0.25">
      <c r="A5678" t="s">
        <v>10241</v>
      </c>
      <c r="B5678" t="s">
        <v>10242</v>
      </c>
      <c r="C5678" s="1" t="str">
        <f>HYPERLINK("http://www.genecards.org/cgi-bin/carddisp.pl?gene=CLK3","GeneCards")</f>
        <v>GeneCards</v>
      </c>
      <c r="D5678" s="1" t="str">
        <f>HYPERLINK("http://genome-euro.ucsc.edu/cgi-bin/hgTracks?position=202140_s_at","UCSC")</f>
        <v>UCSC</v>
      </c>
      <c r="E5678" s="1" t="str">
        <f>HYPERLINK("http://www.ncbi.nlm.nih.gov/gene/?term=CLK3","NCBI")</f>
        <v>NCBI</v>
      </c>
      <c r="F5678">
        <v>5.8000000000000003E-2</v>
      </c>
      <c r="G5678">
        <v>0.17</v>
      </c>
      <c r="H5678" s="1" t="str">
        <f>HYPERLINK("http://www.weizmann.ac.il/complex/compphys/software/geview/data/figures/202140_s_at.png","Figure")</f>
        <v>Figure</v>
      </c>
      <c r="I5678">
        <v>1.17</v>
      </c>
      <c r="J5678">
        <v>0.2</v>
      </c>
      <c r="K5678">
        <v>0.94299999999999995</v>
      </c>
      <c r="L5678">
        <v>0.73</v>
      </c>
      <c r="M5678">
        <v>0.80300000000000005</v>
      </c>
      <c r="N5678">
        <v>4.8000000000000001E-2</v>
      </c>
    </row>
    <row r="5679" spans="1:14" x14ac:dyDescent="0.25">
      <c r="A5679" t="s">
        <v>10243</v>
      </c>
      <c r="B5679" t="s">
        <v>10244</v>
      </c>
      <c r="C5679" s="1" t="str">
        <f>HYPERLINK("http://www.genecards.org/cgi-bin/carddisp.pl?gene=HPGD","GeneCards")</f>
        <v>GeneCards</v>
      </c>
      <c r="D5679" s="1" t="str">
        <f>HYPERLINK("http://genome-euro.ucsc.edu/cgi-bin/hgTracks?position=203914_x_at","UCSC")</f>
        <v>UCSC</v>
      </c>
      <c r="E5679" s="1" t="str">
        <f>HYPERLINK("http://www.ncbi.nlm.nih.gov/gene/?term=HPGD","NCBI")</f>
        <v>NCBI</v>
      </c>
      <c r="F5679">
        <v>5.8000000000000003E-2</v>
      </c>
      <c r="G5679">
        <v>0.17</v>
      </c>
      <c r="H5679" s="1" t="str">
        <f>HYPERLINK("http://www.weizmann.ac.il/complex/compphys/software/geview/data/figures/203914_x_at.png","Figure")</f>
        <v>Figure</v>
      </c>
      <c r="I5679">
        <v>0.97099999999999997</v>
      </c>
      <c r="J5679">
        <v>0.99</v>
      </c>
      <c r="K5679">
        <v>0.63</v>
      </c>
      <c r="L5679">
        <v>8.1000000000000003E-2</v>
      </c>
      <c r="M5679">
        <v>0.64900000000000002</v>
      </c>
      <c r="N5679">
        <v>0.13</v>
      </c>
    </row>
    <row r="5680" spans="1:14" x14ac:dyDescent="0.25">
      <c r="A5680" t="s">
        <v>10245</v>
      </c>
      <c r="B5680" t="s">
        <v>5994</v>
      </c>
      <c r="C5680" s="1" t="str">
        <f>HYPERLINK("http://www.genecards.org/cgi-bin/carddisp.pl?gene=MRPS12","GeneCards")</f>
        <v>GeneCards</v>
      </c>
      <c r="D5680" s="1" t="str">
        <f>HYPERLINK("http://genome-euro.ucsc.edu/cgi-bin/hgTracks?position=204330_s_at","UCSC")</f>
        <v>UCSC</v>
      </c>
      <c r="E5680" s="1" t="str">
        <f>HYPERLINK("http://www.ncbi.nlm.nih.gov/gene/?term=MRPS12","NCBI")</f>
        <v>NCBI</v>
      </c>
      <c r="F5680">
        <v>5.8000000000000003E-2</v>
      </c>
      <c r="G5680">
        <v>0.17</v>
      </c>
      <c r="H5680" s="1" t="str">
        <f>HYPERLINK("http://www.weizmann.ac.il/complex/compphys/software/geview/data/figures/204330_s_at.png","Figure")</f>
        <v>Figure</v>
      </c>
      <c r="I5680">
        <v>1.17</v>
      </c>
      <c r="J5680">
        <v>5.6000000000000001E-2</v>
      </c>
      <c r="K5680">
        <v>1.1100000000000001</v>
      </c>
      <c r="L5680">
        <v>0.17</v>
      </c>
      <c r="M5680">
        <v>0.94799999999999995</v>
      </c>
      <c r="N5680">
        <v>0.62</v>
      </c>
    </row>
    <row r="5681" spans="1:14" x14ac:dyDescent="0.25">
      <c r="A5681" t="s">
        <v>10246</v>
      </c>
      <c r="B5681" t="s">
        <v>10247</v>
      </c>
      <c r="C5681" s="1" t="str">
        <f>HYPERLINK("http://www.genecards.org/cgi-bin/carddisp.pl?gene=DNAH9","GeneCards")</f>
        <v>GeneCards</v>
      </c>
      <c r="D5681" s="1" t="str">
        <f>HYPERLINK("http://genome-euro.ucsc.edu/cgi-bin/hgTracks?position=210345_s_at","UCSC")</f>
        <v>UCSC</v>
      </c>
      <c r="E5681" s="1" t="str">
        <f>HYPERLINK("http://www.ncbi.nlm.nih.gov/gene/?term=DNAH9","NCBI")</f>
        <v>NCBI</v>
      </c>
      <c r="F5681">
        <v>5.8000000000000003E-2</v>
      </c>
      <c r="G5681">
        <v>0.17</v>
      </c>
      <c r="H5681" s="1" t="str">
        <f>HYPERLINK("http://www.weizmann.ac.il/complex/compphys/software/geview/data/figures/210345_s_at.png","Figure")</f>
        <v>Figure</v>
      </c>
      <c r="I5681">
        <v>1.17</v>
      </c>
      <c r="J5681">
        <v>6.6000000000000003E-2</v>
      </c>
      <c r="K5681">
        <v>1.02</v>
      </c>
      <c r="L5681">
        <v>0.91</v>
      </c>
      <c r="M5681">
        <v>0.877</v>
      </c>
      <c r="N5681">
        <v>9.6000000000000002E-2</v>
      </c>
    </row>
    <row r="5682" spans="1:14" x14ac:dyDescent="0.25">
      <c r="A5682" t="s">
        <v>10248</v>
      </c>
      <c r="B5682" t="s">
        <v>10249</v>
      </c>
      <c r="C5682" s="1" t="str">
        <f>HYPERLINK("http://www.genecards.org/cgi-bin/carddisp.pl?gene=SFMBT1","GeneCards")</f>
        <v>GeneCards</v>
      </c>
      <c r="D5682" s="1" t="str">
        <f>HYPERLINK("http://genome-euro.ucsc.edu/cgi-bin/hgTracks?position=213370_s_at","UCSC")</f>
        <v>UCSC</v>
      </c>
      <c r="E5682" s="1" t="str">
        <f>HYPERLINK("http://www.ncbi.nlm.nih.gov/gene/?term=SFMBT1","NCBI")</f>
        <v>NCBI</v>
      </c>
      <c r="F5682">
        <v>5.8000000000000003E-2</v>
      </c>
      <c r="G5682">
        <v>0.17</v>
      </c>
      <c r="H5682" s="1" t="str">
        <f>HYPERLINK("http://www.weizmann.ac.il/complex/compphys/software/geview/data/figures/213370_s_at.png","Figure")</f>
        <v>Figure</v>
      </c>
      <c r="I5682">
        <v>1.23</v>
      </c>
      <c r="J5682">
        <v>0.56000000000000005</v>
      </c>
      <c r="K5682">
        <v>0.76600000000000001</v>
      </c>
      <c r="L5682">
        <v>0.28999999999999998</v>
      </c>
      <c r="M5682">
        <v>0.624</v>
      </c>
      <c r="N5682">
        <v>5.2999999999999999E-2</v>
      </c>
    </row>
    <row r="5683" spans="1:14" x14ac:dyDescent="0.25">
      <c r="A5683" t="s">
        <v>10250</v>
      </c>
      <c r="B5683" t="s">
        <v>9830</v>
      </c>
      <c r="C5683" s="1" t="str">
        <f>HYPERLINK("http://www.genecards.org/cgi-bin/carddisp.pl?gene=FARSA","GeneCards")</f>
        <v>GeneCards</v>
      </c>
      <c r="D5683" s="1" t="str">
        <f>HYPERLINK("http://genome-euro.ucsc.edu/cgi-bin/hgTracks?position=216602_s_at","UCSC")</f>
        <v>UCSC</v>
      </c>
      <c r="E5683" s="1" t="str">
        <f>HYPERLINK("http://www.ncbi.nlm.nih.gov/gene/?term=FARSA","NCBI")</f>
        <v>NCBI</v>
      </c>
      <c r="F5683">
        <v>5.8000000000000003E-2</v>
      </c>
      <c r="G5683">
        <v>0.17</v>
      </c>
      <c r="H5683" s="1" t="str">
        <f>HYPERLINK("http://www.weizmann.ac.il/complex/compphys/software/geview/data/figures/216602_s_at.png","Figure")</f>
        <v>Figure</v>
      </c>
      <c r="I5683">
        <v>1.1299999999999999</v>
      </c>
      <c r="J5683">
        <v>0.41</v>
      </c>
      <c r="K5683">
        <v>1.24</v>
      </c>
      <c r="L5683">
        <v>4.7E-2</v>
      </c>
      <c r="M5683">
        <v>1.1000000000000001</v>
      </c>
      <c r="N5683">
        <v>0.54</v>
      </c>
    </row>
    <row r="5684" spans="1:14" x14ac:dyDescent="0.25">
      <c r="A5684" t="s">
        <v>10251</v>
      </c>
      <c r="B5684" t="s">
        <v>10252</v>
      </c>
      <c r="C5684" s="1" t="str">
        <f>HYPERLINK("http://www.genecards.org/cgi-bin/carddisp.pl?gene=DLGAP2","GeneCards")</f>
        <v>GeneCards</v>
      </c>
      <c r="D5684" s="1" t="str">
        <f>HYPERLINK("http://genome-euro.ucsc.edu/cgi-bin/hgTracks?position=216916_s_at","UCSC")</f>
        <v>UCSC</v>
      </c>
      <c r="E5684" s="1" t="str">
        <f>HYPERLINK("http://www.ncbi.nlm.nih.gov/gene/?term=DLGAP2","NCBI")</f>
        <v>NCBI</v>
      </c>
      <c r="F5684">
        <v>5.8000000000000003E-2</v>
      </c>
      <c r="G5684">
        <v>0.17</v>
      </c>
      <c r="H5684" s="1" t="str">
        <f>HYPERLINK("http://www.weizmann.ac.il/complex/compphys/software/geview/data/figures/216916_s_at.png","Figure")</f>
        <v>Figure</v>
      </c>
      <c r="I5684">
        <v>1.1299999999999999</v>
      </c>
      <c r="J5684">
        <v>8.5000000000000006E-2</v>
      </c>
      <c r="K5684">
        <v>1</v>
      </c>
      <c r="L5684">
        <v>1</v>
      </c>
      <c r="M5684">
        <v>0.88800000000000001</v>
      </c>
      <c r="N5684">
        <v>7.1999999999999995E-2</v>
      </c>
    </row>
    <row r="5685" spans="1:14" x14ac:dyDescent="0.25">
      <c r="A5685" t="s">
        <v>10253</v>
      </c>
      <c r="B5685" t="s">
        <v>6803</v>
      </c>
      <c r="C5685" s="1" t="str">
        <f>HYPERLINK("http://www.genecards.org/cgi-bin/carddisp.pl?gene=HLA-C","GeneCards")</f>
        <v>GeneCards</v>
      </c>
      <c r="D5685" s="1" t="str">
        <f>HYPERLINK("http://genome-euro.ucsc.edu/cgi-bin/hgTracks?position=208812_x_at","UCSC")</f>
        <v>UCSC</v>
      </c>
      <c r="E5685" s="1" t="str">
        <f>HYPERLINK("http://www.ncbi.nlm.nih.gov/gene/?term=HLA-C","NCBI")</f>
        <v>NCBI</v>
      </c>
      <c r="F5685">
        <v>5.8000000000000003E-2</v>
      </c>
      <c r="G5685">
        <v>0.17</v>
      </c>
      <c r="H5685" s="1" t="str">
        <f>HYPERLINK("http://www.weizmann.ac.il/complex/compphys/software/geview/data/figures/208812_x_at.png","Figure")</f>
        <v>Figure</v>
      </c>
      <c r="I5685">
        <v>0.80400000000000005</v>
      </c>
      <c r="J5685">
        <v>0.17</v>
      </c>
      <c r="K5685">
        <v>0.77500000000000002</v>
      </c>
      <c r="L5685">
        <v>5.6000000000000001E-2</v>
      </c>
      <c r="M5685">
        <v>0.96399999999999997</v>
      </c>
      <c r="N5685">
        <v>0.93</v>
      </c>
    </row>
    <row r="5686" spans="1:14" x14ac:dyDescent="0.25">
      <c r="A5686" t="s">
        <v>10254</v>
      </c>
      <c r="B5686" t="s">
        <v>201</v>
      </c>
      <c r="C5686" s="1" t="str">
        <f>HYPERLINK("http://www.genecards.org/cgi-bin/carddisp.pl?gene=TMED10","GeneCards")</f>
        <v>GeneCards</v>
      </c>
      <c r="D5686" s="1" t="str">
        <f>HYPERLINK("http://genome-euro.ucsc.edu/cgi-bin/hgTracks?position=200929_at","UCSC")</f>
        <v>UCSC</v>
      </c>
      <c r="E5686" s="1" t="str">
        <f>HYPERLINK("http://www.ncbi.nlm.nih.gov/gene/?term=TMED10","NCBI")</f>
        <v>NCBI</v>
      </c>
      <c r="F5686">
        <v>5.8000000000000003E-2</v>
      </c>
      <c r="G5686">
        <v>0.17</v>
      </c>
      <c r="H5686" s="1" t="str">
        <f>HYPERLINK("http://www.weizmann.ac.il/complex/compphys/software/geview/data/figures/200929_at.png","Figure")</f>
        <v>Figure</v>
      </c>
      <c r="I5686">
        <v>0.62</v>
      </c>
      <c r="J5686">
        <v>8.3000000000000004E-2</v>
      </c>
      <c r="K5686">
        <v>0.66700000000000004</v>
      </c>
      <c r="L5686">
        <v>9.2999999999999999E-2</v>
      </c>
      <c r="M5686">
        <v>1.08</v>
      </c>
      <c r="N5686">
        <v>0.92</v>
      </c>
    </row>
    <row r="5687" spans="1:14" x14ac:dyDescent="0.25">
      <c r="A5687" t="s">
        <v>10255</v>
      </c>
      <c r="B5687" t="s">
        <v>10256</v>
      </c>
      <c r="C5687" s="1" t="str">
        <f>HYPERLINK("http://www.genecards.org/cgi-bin/carddisp.pl?gene=SWAP70","GeneCards")</f>
        <v>GeneCards</v>
      </c>
      <c r="D5687" s="1" t="str">
        <f>HYPERLINK("http://genome-euro.ucsc.edu/cgi-bin/hgTracks?position=209306_s_at","UCSC")</f>
        <v>UCSC</v>
      </c>
      <c r="E5687" s="1" t="str">
        <f>HYPERLINK("http://www.ncbi.nlm.nih.gov/gene/?term=SWAP70","NCBI")</f>
        <v>NCBI</v>
      </c>
      <c r="F5687">
        <v>5.8000000000000003E-2</v>
      </c>
      <c r="G5687">
        <v>0.17</v>
      </c>
      <c r="H5687" s="1" t="str">
        <f>HYPERLINK("http://www.weizmann.ac.il/complex/compphys/software/geview/data/figures/209306_s_at.png","Figure")</f>
        <v>Figure</v>
      </c>
      <c r="I5687">
        <v>0.7</v>
      </c>
      <c r="J5687">
        <v>0.56000000000000005</v>
      </c>
      <c r="K5687">
        <v>0.45200000000000001</v>
      </c>
      <c r="L5687">
        <v>4.9000000000000002E-2</v>
      </c>
      <c r="M5687">
        <v>0.64600000000000002</v>
      </c>
      <c r="N5687">
        <v>0.39</v>
      </c>
    </row>
    <row r="5688" spans="1:14" x14ac:dyDescent="0.25">
      <c r="A5688" t="s">
        <v>10257</v>
      </c>
      <c r="B5688" t="s">
        <v>1658</v>
      </c>
      <c r="C5688" s="1" t="str">
        <f>HYPERLINK("http://www.genecards.org/cgi-bin/carddisp.pl?gene=GAS7","GeneCards")</f>
        <v>GeneCards</v>
      </c>
      <c r="D5688" s="1" t="str">
        <f>HYPERLINK("http://genome-euro.ucsc.edu/cgi-bin/hgTracks?position=207704_s_at","UCSC")</f>
        <v>UCSC</v>
      </c>
      <c r="E5688" s="1" t="str">
        <f>HYPERLINK("http://www.ncbi.nlm.nih.gov/gene/?term=GAS7","NCBI")</f>
        <v>NCBI</v>
      </c>
      <c r="F5688">
        <v>5.8000000000000003E-2</v>
      </c>
      <c r="G5688">
        <v>0.17</v>
      </c>
      <c r="H5688" s="1" t="str">
        <f>HYPERLINK("http://www.weizmann.ac.il/complex/compphys/software/geview/data/figures/207704_s_at.png","Figure")</f>
        <v>Figure</v>
      </c>
      <c r="I5688">
        <v>0.79900000000000004</v>
      </c>
      <c r="J5688">
        <v>0.06</v>
      </c>
      <c r="K5688">
        <v>0.95799999999999996</v>
      </c>
      <c r="L5688">
        <v>0.84</v>
      </c>
      <c r="M5688">
        <v>1.2</v>
      </c>
      <c r="N5688">
        <v>0.11</v>
      </c>
    </row>
    <row r="5689" spans="1:14" x14ac:dyDescent="0.25">
      <c r="A5689" t="s">
        <v>10258</v>
      </c>
      <c r="B5689" t="s">
        <v>10259</v>
      </c>
      <c r="C5689" s="1" t="str">
        <f>HYPERLINK("http://www.genecards.org/cgi-bin/carddisp.pl?gene=TMEM168","GeneCards")</f>
        <v>GeneCards</v>
      </c>
      <c r="D5689" s="1" t="str">
        <f>HYPERLINK("http://genome-euro.ucsc.edu/cgi-bin/hgTracks?position=218962_s_at","UCSC")</f>
        <v>UCSC</v>
      </c>
      <c r="E5689" s="1" t="str">
        <f>HYPERLINK("http://www.ncbi.nlm.nih.gov/gene/?term=TMEM168","NCBI")</f>
        <v>NCBI</v>
      </c>
      <c r="F5689">
        <v>5.8000000000000003E-2</v>
      </c>
      <c r="G5689">
        <v>0.17</v>
      </c>
      <c r="H5689" s="1" t="str">
        <f>HYPERLINK("http://www.weizmann.ac.il/complex/compphys/software/geview/data/figures/218962_s_at.png","Figure")</f>
        <v>Figure</v>
      </c>
      <c r="I5689">
        <v>0.63900000000000001</v>
      </c>
      <c r="J5689">
        <v>4.8000000000000001E-2</v>
      </c>
      <c r="K5689">
        <v>0.79500000000000004</v>
      </c>
      <c r="L5689">
        <v>0.28999999999999998</v>
      </c>
      <c r="M5689">
        <v>1.24</v>
      </c>
      <c r="N5689">
        <v>0.38</v>
      </c>
    </row>
    <row r="5690" spans="1:14" x14ac:dyDescent="0.25">
      <c r="A5690" t="s">
        <v>10260</v>
      </c>
      <c r="B5690" t="s">
        <v>8295</v>
      </c>
      <c r="C5690" s="1" t="str">
        <f>HYPERLINK("http://www.genecards.org/cgi-bin/carddisp.pl?gene=LPAR2","GeneCards")</f>
        <v>GeneCards</v>
      </c>
      <c r="D5690" s="1" t="str">
        <f>HYPERLINK("http://genome-euro.ucsc.edu/cgi-bin/hgTracks?position=206723_s_at","UCSC")</f>
        <v>UCSC</v>
      </c>
      <c r="E5690" s="1" t="str">
        <f>HYPERLINK("http://www.ncbi.nlm.nih.gov/gene/?term=LPAR2","NCBI")</f>
        <v>NCBI</v>
      </c>
      <c r="F5690">
        <v>5.8000000000000003E-2</v>
      </c>
      <c r="G5690">
        <v>0.17</v>
      </c>
      <c r="H5690" s="1" t="str">
        <f>HYPERLINK("http://www.weizmann.ac.il/complex/compphys/software/geview/data/figures/206723_s_at.png","Figure")</f>
        <v>Figure</v>
      </c>
      <c r="I5690">
        <v>1.49</v>
      </c>
      <c r="J5690">
        <v>0.1</v>
      </c>
      <c r="K5690">
        <v>0.98199999999999998</v>
      </c>
      <c r="L5690">
        <v>0.99</v>
      </c>
      <c r="M5690">
        <v>0.65700000000000003</v>
      </c>
      <c r="N5690">
        <v>6.4000000000000001E-2</v>
      </c>
    </row>
    <row r="5691" spans="1:14" x14ac:dyDescent="0.25">
      <c r="A5691" t="s">
        <v>10261</v>
      </c>
      <c r="B5691" t="s">
        <v>299</v>
      </c>
      <c r="C5691" s="1" t="str">
        <f>HYPERLINK("http://www.genecards.org/cgi-bin/carddisp.pl?gene=SMAD1","GeneCards")</f>
        <v>GeneCards</v>
      </c>
      <c r="D5691" s="1" t="str">
        <f>HYPERLINK("http://genome-euro.ucsc.edu/cgi-bin/hgTracks?position=208015_at","UCSC")</f>
        <v>UCSC</v>
      </c>
      <c r="E5691" s="1" t="str">
        <f>HYPERLINK("http://www.ncbi.nlm.nih.gov/gene/?term=SMAD1","NCBI")</f>
        <v>NCBI</v>
      </c>
      <c r="F5691">
        <v>5.8000000000000003E-2</v>
      </c>
      <c r="G5691">
        <v>0.17</v>
      </c>
      <c r="H5691" s="1" t="str">
        <f>HYPERLINK("http://www.weizmann.ac.il/complex/compphys/software/geview/data/figures/208015_at.png","Figure")</f>
        <v>Figure</v>
      </c>
      <c r="I5691">
        <v>0.621</v>
      </c>
      <c r="J5691">
        <v>0.47</v>
      </c>
      <c r="K5691">
        <v>0.39700000000000002</v>
      </c>
      <c r="L5691">
        <v>4.8000000000000001E-2</v>
      </c>
      <c r="M5691">
        <v>0.63900000000000001</v>
      </c>
      <c r="N5691">
        <v>0.47</v>
      </c>
    </row>
    <row r="5692" spans="1:14" x14ac:dyDescent="0.25">
      <c r="A5692" t="s">
        <v>10262</v>
      </c>
      <c r="B5692" t="s">
        <v>2685</v>
      </c>
      <c r="C5692" s="1" t="str">
        <f>HYPERLINK("http://www.genecards.org/cgi-bin/carddisp.pl?gene=KSR1","GeneCards")</f>
        <v>GeneCards</v>
      </c>
      <c r="D5692" s="1" t="str">
        <f>HYPERLINK("http://genome-euro.ucsc.edu/cgi-bin/hgTracks?position=213770_at","UCSC")</f>
        <v>UCSC</v>
      </c>
      <c r="E5692" s="1" t="str">
        <f>HYPERLINK("http://www.ncbi.nlm.nih.gov/gene/?term=KSR1","NCBI")</f>
        <v>NCBI</v>
      </c>
      <c r="F5692">
        <v>5.8000000000000003E-2</v>
      </c>
      <c r="G5692">
        <v>0.17</v>
      </c>
      <c r="H5692" s="1" t="str">
        <f>HYPERLINK("http://www.weizmann.ac.il/complex/compphys/software/geview/data/figures/213770_at.png","Figure")</f>
        <v>Figure</v>
      </c>
      <c r="I5692">
        <v>1.47</v>
      </c>
      <c r="J5692">
        <v>4.7E-2</v>
      </c>
      <c r="K5692">
        <v>1.17</v>
      </c>
      <c r="L5692">
        <v>0.44</v>
      </c>
      <c r="M5692">
        <v>0.79900000000000004</v>
      </c>
      <c r="N5692">
        <v>0.25</v>
      </c>
    </row>
    <row r="5693" spans="1:14" x14ac:dyDescent="0.25">
      <c r="A5693" t="s">
        <v>10263</v>
      </c>
      <c r="B5693" t="s">
        <v>10264</v>
      </c>
      <c r="C5693" s="1" t="str">
        <f>HYPERLINK("http://www.genecards.org/cgi-bin/carddisp.pl?gene=POMT1","GeneCards")</f>
        <v>GeneCards</v>
      </c>
      <c r="D5693" s="1" t="str">
        <f>HYPERLINK("http://genome-euro.ucsc.edu/cgi-bin/hgTracks?position=218476_at","UCSC")</f>
        <v>UCSC</v>
      </c>
      <c r="E5693" s="1" t="str">
        <f>HYPERLINK("http://www.ncbi.nlm.nih.gov/gene/?term=POMT1","NCBI")</f>
        <v>NCBI</v>
      </c>
      <c r="F5693">
        <v>5.8000000000000003E-2</v>
      </c>
      <c r="G5693">
        <v>0.17</v>
      </c>
      <c r="H5693" s="1" t="str">
        <f>HYPERLINK("http://www.weizmann.ac.il/complex/compphys/software/geview/data/figures/218476_at.png","Figure")</f>
        <v>Figure</v>
      </c>
      <c r="I5693">
        <v>1.06</v>
      </c>
      <c r="J5693">
        <v>0.87</v>
      </c>
      <c r="K5693">
        <v>0.80600000000000005</v>
      </c>
      <c r="L5693">
        <v>0.15</v>
      </c>
      <c r="M5693">
        <v>0.75800000000000001</v>
      </c>
      <c r="N5693">
        <v>7.5999999999999998E-2</v>
      </c>
    </row>
    <row r="5694" spans="1:14" x14ac:dyDescent="0.25">
      <c r="A5694" t="s">
        <v>10265</v>
      </c>
      <c r="B5694" t="s">
        <v>10266</v>
      </c>
      <c r="C5694" s="1" t="str">
        <f>HYPERLINK("http://www.genecards.org/cgi-bin/carddisp.pl?gene=PC","GeneCards")</f>
        <v>GeneCards</v>
      </c>
      <c r="D5694" s="1" t="str">
        <f>HYPERLINK("http://genome-euro.ucsc.edu/cgi-bin/hgTracks?position=204476_s_at","UCSC")</f>
        <v>UCSC</v>
      </c>
      <c r="E5694" s="1" t="str">
        <f>HYPERLINK("http://www.ncbi.nlm.nih.gov/gene/?term=PC","NCBI")</f>
        <v>NCBI</v>
      </c>
      <c r="F5694">
        <v>5.8000000000000003E-2</v>
      </c>
      <c r="G5694">
        <v>0.17</v>
      </c>
      <c r="H5694" s="1" t="str">
        <f>HYPERLINK("http://www.weizmann.ac.il/complex/compphys/software/geview/data/figures/204476_s_at.png","Figure")</f>
        <v>Figure</v>
      </c>
      <c r="I5694">
        <v>1.2</v>
      </c>
      <c r="J5694">
        <v>4.7E-2</v>
      </c>
      <c r="K5694">
        <v>1.08</v>
      </c>
      <c r="L5694">
        <v>0.41</v>
      </c>
      <c r="M5694">
        <v>0.90100000000000002</v>
      </c>
      <c r="N5694">
        <v>0.27</v>
      </c>
    </row>
    <row r="5695" spans="1:14" x14ac:dyDescent="0.25">
      <c r="A5695" t="s">
        <v>10267</v>
      </c>
      <c r="B5695" t="s">
        <v>427</v>
      </c>
      <c r="C5695" s="1" t="str">
        <f>HYPERLINK("http://www.genecards.org/cgi-bin/carddisp.pl?gene=ARL3","GeneCards")</f>
        <v>GeneCards</v>
      </c>
      <c r="D5695" s="1" t="str">
        <f>HYPERLINK("http://genome-euro.ucsc.edu/cgi-bin/hgTracks?position=213433_at","UCSC")</f>
        <v>UCSC</v>
      </c>
      <c r="E5695" s="1" t="str">
        <f>HYPERLINK("http://www.ncbi.nlm.nih.gov/gene/?term=ARL3","NCBI")</f>
        <v>NCBI</v>
      </c>
      <c r="F5695">
        <v>5.8000000000000003E-2</v>
      </c>
      <c r="G5695">
        <v>0.17</v>
      </c>
      <c r="H5695" s="1" t="str">
        <f>HYPERLINK("http://www.weizmann.ac.il/complex/compphys/software/geview/data/figures/213433_at.png","Figure")</f>
        <v>Figure</v>
      </c>
      <c r="I5695">
        <v>1.17</v>
      </c>
      <c r="J5695">
        <v>4.9000000000000002E-2</v>
      </c>
      <c r="K5695">
        <v>1.0900000000000001</v>
      </c>
      <c r="L5695">
        <v>0.26</v>
      </c>
      <c r="M5695">
        <v>0.93</v>
      </c>
      <c r="N5695">
        <v>0.42</v>
      </c>
    </row>
    <row r="5696" spans="1:14" x14ac:dyDescent="0.25">
      <c r="A5696" t="s">
        <v>10268</v>
      </c>
      <c r="B5696" t="s">
        <v>10269</v>
      </c>
      <c r="C5696" s="1" t="str">
        <f>HYPERLINK("http://www.genecards.org/cgi-bin/carddisp.pl?gene=CRYZ","GeneCards")</f>
        <v>GeneCards</v>
      </c>
      <c r="D5696" s="1" t="str">
        <f>HYPERLINK("http://genome-euro.ucsc.edu/cgi-bin/hgTracks?position=202950_at","UCSC")</f>
        <v>UCSC</v>
      </c>
      <c r="E5696" s="1" t="str">
        <f>HYPERLINK("http://www.ncbi.nlm.nih.gov/gene/?term=CRYZ","NCBI")</f>
        <v>NCBI</v>
      </c>
      <c r="F5696">
        <v>5.8000000000000003E-2</v>
      </c>
      <c r="G5696">
        <v>0.17</v>
      </c>
      <c r="H5696" s="1" t="str">
        <f>HYPERLINK("http://www.weizmann.ac.il/complex/compphys/software/geview/data/figures/202950_at.png","Figure")</f>
        <v>Figure</v>
      </c>
      <c r="I5696">
        <v>0.68700000000000006</v>
      </c>
      <c r="J5696">
        <v>0.39</v>
      </c>
      <c r="K5696">
        <v>1.37</v>
      </c>
      <c r="L5696">
        <v>0.42</v>
      </c>
      <c r="M5696">
        <v>1.99</v>
      </c>
      <c r="N5696">
        <v>4.9000000000000002E-2</v>
      </c>
    </row>
    <row r="5697" spans="1:14" x14ac:dyDescent="0.25">
      <c r="A5697" t="s">
        <v>10270</v>
      </c>
      <c r="B5697" t="s">
        <v>10271</v>
      </c>
      <c r="C5697" s="1" t="str">
        <f>HYPERLINK("http://www.genecards.org/cgi-bin/carddisp.pl?gene=POLR3K","GeneCards")</f>
        <v>GeneCards</v>
      </c>
      <c r="D5697" s="1" t="str">
        <f>HYPERLINK("http://genome-euro.ucsc.edu/cgi-bin/hgTracks?position=218866_s_at","UCSC")</f>
        <v>UCSC</v>
      </c>
      <c r="E5697" s="1" t="str">
        <f>HYPERLINK("http://www.ncbi.nlm.nih.gov/gene/?term=POLR3K","NCBI")</f>
        <v>NCBI</v>
      </c>
      <c r="F5697">
        <v>5.8000000000000003E-2</v>
      </c>
      <c r="G5697">
        <v>0.17</v>
      </c>
      <c r="H5697" s="1" t="str">
        <f>HYPERLINK("http://www.weizmann.ac.il/complex/compphys/software/geview/data/figures/218866_s_at.png","Figure")</f>
        <v>Figure</v>
      </c>
      <c r="I5697">
        <v>1.1299999999999999</v>
      </c>
      <c r="J5697">
        <v>0.81</v>
      </c>
      <c r="K5697">
        <v>1.53</v>
      </c>
      <c r="L5697">
        <v>5.8000000000000003E-2</v>
      </c>
      <c r="M5697">
        <v>1.36</v>
      </c>
      <c r="N5697">
        <v>0.24</v>
      </c>
    </row>
    <row r="5698" spans="1:14" x14ac:dyDescent="0.25">
      <c r="A5698" t="s">
        <v>10272</v>
      </c>
      <c r="B5698" t="s">
        <v>4345</v>
      </c>
      <c r="C5698" s="1" t="str">
        <f>HYPERLINK("http://www.genecards.org/cgi-bin/carddisp.pl?gene=SP100","GeneCards")</f>
        <v>GeneCards</v>
      </c>
      <c r="D5698" s="1" t="str">
        <f>HYPERLINK("http://genome-euro.ucsc.edu/cgi-bin/hgTracks?position=202864_s_at","UCSC")</f>
        <v>UCSC</v>
      </c>
      <c r="E5698" s="1" t="str">
        <f>HYPERLINK("http://www.ncbi.nlm.nih.gov/gene/?term=SP100","NCBI")</f>
        <v>NCBI</v>
      </c>
      <c r="F5698">
        <v>5.8000000000000003E-2</v>
      </c>
      <c r="G5698">
        <v>0.17</v>
      </c>
      <c r="H5698" s="1" t="str">
        <f>HYPERLINK("http://www.weizmann.ac.il/complex/compphys/software/geview/data/figures/202864_s_at.png","Figure")</f>
        <v>Figure</v>
      </c>
      <c r="I5698">
        <v>1.25</v>
      </c>
      <c r="J5698">
        <v>0.56999999999999995</v>
      </c>
      <c r="K5698">
        <v>0.74099999999999999</v>
      </c>
      <c r="L5698">
        <v>0.28000000000000003</v>
      </c>
      <c r="M5698">
        <v>0.59399999999999997</v>
      </c>
      <c r="N5698">
        <v>5.3999999999999999E-2</v>
      </c>
    </row>
    <row r="5699" spans="1:14" x14ac:dyDescent="0.25">
      <c r="A5699" t="s">
        <v>10273</v>
      </c>
      <c r="B5699" t="s">
        <v>4432</v>
      </c>
      <c r="C5699" s="1" t="str">
        <f>HYPERLINK("http://www.genecards.org/cgi-bin/carddisp.pl?gene=SMC4","GeneCards")</f>
        <v>GeneCards</v>
      </c>
      <c r="D5699" s="1" t="str">
        <f>HYPERLINK("http://genome-euro.ucsc.edu/cgi-bin/hgTracks?position=201663_s_at","UCSC")</f>
        <v>UCSC</v>
      </c>
      <c r="E5699" s="1" t="str">
        <f>HYPERLINK("http://www.ncbi.nlm.nih.gov/gene/?term=SMC4","NCBI")</f>
        <v>NCBI</v>
      </c>
      <c r="F5699">
        <v>5.8000000000000003E-2</v>
      </c>
      <c r="G5699">
        <v>0.17</v>
      </c>
      <c r="H5699" s="1" t="str">
        <f>HYPERLINK("http://www.weizmann.ac.il/complex/compphys/software/geview/data/figures/201663_s_at.png","Figure")</f>
        <v>Figure</v>
      </c>
      <c r="I5699">
        <v>1.28</v>
      </c>
      <c r="J5699">
        <v>0.25</v>
      </c>
      <c r="K5699">
        <v>0.88500000000000001</v>
      </c>
      <c r="L5699">
        <v>0.63</v>
      </c>
      <c r="M5699">
        <v>0.68899999999999995</v>
      </c>
      <c r="N5699">
        <v>4.7E-2</v>
      </c>
    </row>
    <row r="5700" spans="1:14" x14ac:dyDescent="0.25">
      <c r="A5700" t="s">
        <v>10274</v>
      </c>
      <c r="B5700" t="s">
        <v>7612</v>
      </c>
      <c r="C5700" s="1" t="str">
        <f>HYPERLINK("http://www.genecards.org/cgi-bin/carddisp.pl?gene=CAMK2B","GeneCards")</f>
        <v>GeneCards</v>
      </c>
      <c r="D5700" s="1" t="str">
        <f>HYPERLINK("http://genome-euro.ucsc.edu/cgi-bin/hgTracks?position=213276_at","UCSC")</f>
        <v>UCSC</v>
      </c>
      <c r="E5700" s="1" t="str">
        <f>HYPERLINK("http://www.ncbi.nlm.nih.gov/gene/?term=CAMK2B","NCBI")</f>
        <v>NCBI</v>
      </c>
      <c r="F5700">
        <v>5.8000000000000003E-2</v>
      </c>
      <c r="G5700">
        <v>0.17</v>
      </c>
      <c r="H5700" s="1" t="str">
        <f>HYPERLINK("http://www.weizmann.ac.il/complex/compphys/software/geview/data/figures/213276_at.png","Figure")</f>
        <v>Figure</v>
      </c>
      <c r="I5700">
        <v>1.32</v>
      </c>
      <c r="J5700">
        <v>4.8000000000000001E-2</v>
      </c>
      <c r="K5700">
        <v>1.1200000000000001</v>
      </c>
      <c r="L5700">
        <v>0.47</v>
      </c>
      <c r="M5700">
        <v>0.84499999999999997</v>
      </c>
      <c r="N5700">
        <v>0.23</v>
      </c>
    </row>
    <row r="5701" spans="1:14" x14ac:dyDescent="0.25">
      <c r="A5701" t="s">
        <v>10275</v>
      </c>
      <c r="B5701" t="s">
        <v>6097</v>
      </c>
      <c r="C5701" s="1" t="str">
        <f>HYPERLINK("http://www.genecards.org/cgi-bin/carddisp.pl?gene=YWHAB","GeneCards")</f>
        <v>GeneCards</v>
      </c>
      <c r="D5701" s="1" t="str">
        <f>HYPERLINK("http://genome-euro.ucsc.edu/cgi-bin/hgTracks?position=217718_s_at","UCSC")</f>
        <v>UCSC</v>
      </c>
      <c r="E5701" s="1" t="str">
        <f>HYPERLINK("http://www.ncbi.nlm.nih.gov/gene/?term=YWHAB","NCBI")</f>
        <v>NCBI</v>
      </c>
      <c r="F5701">
        <v>5.8000000000000003E-2</v>
      </c>
      <c r="G5701">
        <v>0.17</v>
      </c>
      <c r="H5701" s="1" t="str">
        <f>HYPERLINK("http://www.weizmann.ac.il/complex/compphys/software/geview/data/figures/217718_s_at.png","Figure")</f>
        <v>Figure</v>
      </c>
      <c r="I5701">
        <v>0.85399999999999998</v>
      </c>
      <c r="J5701">
        <v>0.82</v>
      </c>
      <c r="K5701">
        <v>1.55</v>
      </c>
      <c r="L5701">
        <v>0.17</v>
      </c>
      <c r="M5701">
        <v>1.81</v>
      </c>
      <c r="N5701">
        <v>7.0000000000000007E-2</v>
      </c>
    </row>
    <row r="5702" spans="1:14" x14ac:dyDescent="0.25">
      <c r="A5702" t="s">
        <v>10276</v>
      </c>
      <c r="B5702" t="s">
        <v>10277</v>
      </c>
      <c r="C5702" s="1" t="str">
        <f>HYPERLINK("http://www.genecards.org/cgi-bin/carddisp.pl?gene=TLR7","GeneCards")</f>
        <v>GeneCards</v>
      </c>
      <c r="D5702" s="1" t="str">
        <f>HYPERLINK("http://genome-euro.ucsc.edu/cgi-bin/hgTracks?position=220146_at","UCSC")</f>
        <v>UCSC</v>
      </c>
      <c r="E5702" s="1" t="str">
        <f>HYPERLINK("http://www.ncbi.nlm.nih.gov/gene/?term=TLR7","NCBI")</f>
        <v>NCBI</v>
      </c>
      <c r="F5702">
        <v>5.8000000000000003E-2</v>
      </c>
      <c r="G5702">
        <v>0.17</v>
      </c>
      <c r="H5702" s="1" t="str">
        <f>HYPERLINK("http://www.weizmann.ac.il/complex/compphys/software/geview/data/figures/220146_at.png","Figure")</f>
        <v>Figure</v>
      </c>
      <c r="I5702">
        <v>0.98799999999999999</v>
      </c>
      <c r="J5702">
        <v>9.1999999999999998E-2</v>
      </c>
      <c r="K5702">
        <v>1</v>
      </c>
      <c r="L5702">
        <v>1</v>
      </c>
      <c r="M5702">
        <v>1.01</v>
      </c>
      <c r="N5702">
        <v>6.9000000000000006E-2</v>
      </c>
    </row>
    <row r="5703" spans="1:14" x14ac:dyDescent="0.25">
      <c r="A5703" t="s">
        <v>10278</v>
      </c>
      <c r="B5703" t="s">
        <v>10279</v>
      </c>
      <c r="C5703" s="1" t="str">
        <f>HYPERLINK("http://www.genecards.org/cgi-bin/carddisp.pl?gene=C11orf75","GeneCards")</f>
        <v>GeneCards</v>
      </c>
      <c r="D5703" s="1" t="str">
        <f>HYPERLINK("http://genome-euro.ucsc.edu/cgi-bin/hgTracks?position=219806_s_at","UCSC")</f>
        <v>UCSC</v>
      </c>
      <c r="E5703" s="1" t="str">
        <f>HYPERLINK("http://www.ncbi.nlm.nih.gov/gene/?term=C11orf75","NCBI")</f>
        <v>NCBI</v>
      </c>
      <c r="F5703">
        <v>5.8000000000000003E-2</v>
      </c>
      <c r="G5703">
        <v>0.17</v>
      </c>
      <c r="H5703" s="1" t="str">
        <f>HYPERLINK("http://www.weizmann.ac.il/complex/compphys/software/geview/data/figures/219806_s_at.png","Figure")</f>
        <v>Figure</v>
      </c>
      <c r="I5703">
        <v>0.55200000000000005</v>
      </c>
      <c r="J5703">
        <v>5.3999999999999999E-2</v>
      </c>
      <c r="K5703">
        <v>0.85199999999999998</v>
      </c>
      <c r="L5703">
        <v>0.71</v>
      </c>
      <c r="M5703">
        <v>1.54</v>
      </c>
      <c r="N5703">
        <v>0.14000000000000001</v>
      </c>
    </row>
    <row r="5704" spans="1:14" x14ac:dyDescent="0.25">
      <c r="A5704" t="s">
        <v>10280</v>
      </c>
      <c r="B5704" t="s">
        <v>10281</v>
      </c>
      <c r="C5704" s="1" t="str">
        <f>HYPERLINK("http://www.genecards.org/cgi-bin/carddisp.pl?gene=S100P","GeneCards")</f>
        <v>GeneCards</v>
      </c>
      <c r="D5704" s="1" t="str">
        <f>HYPERLINK("http://genome-euro.ucsc.edu/cgi-bin/hgTracks?position=204351_at","UCSC")</f>
        <v>UCSC</v>
      </c>
      <c r="E5704" s="1" t="str">
        <f>HYPERLINK("http://www.ncbi.nlm.nih.gov/gene/?term=S100P","NCBI")</f>
        <v>NCBI</v>
      </c>
      <c r="F5704">
        <v>5.8000000000000003E-2</v>
      </c>
      <c r="G5704">
        <v>0.17</v>
      </c>
      <c r="H5704" s="1" t="str">
        <f>HYPERLINK("http://www.weizmann.ac.il/complex/compphys/software/geview/data/figures/204351_at.png","Figure")</f>
        <v>Figure</v>
      </c>
      <c r="I5704">
        <v>1.04</v>
      </c>
      <c r="J5704">
        <v>0.89</v>
      </c>
      <c r="K5704">
        <v>0.85499999999999998</v>
      </c>
      <c r="L5704">
        <v>0.15</v>
      </c>
      <c r="M5704">
        <v>0.82</v>
      </c>
      <c r="N5704">
        <v>7.8E-2</v>
      </c>
    </row>
    <row r="5705" spans="1:14" x14ac:dyDescent="0.25">
      <c r="A5705" t="s">
        <v>10282</v>
      </c>
      <c r="B5705" t="s">
        <v>10283</v>
      </c>
      <c r="C5705" s="1" t="str">
        <f>HYPERLINK("http://www.genecards.org/cgi-bin/carddisp.pl?gene=GNB5","GeneCards")</f>
        <v>GeneCards</v>
      </c>
      <c r="D5705" s="1" t="str">
        <f>HYPERLINK("http://genome-euro.ucsc.edu/cgi-bin/hgTracks?position=211871_x_at","UCSC")</f>
        <v>UCSC</v>
      </c>
      <c r="E5705" s="1" t="str">
        <f>HYPERLINK("http://www.ncbi.nlm.nih.gov/gene/?term=GNB5","NCBI")</f>
        <v>NCBI</v>
      </c>
      <c r="F5705">
        <v>5.8000000000000003E-2</v>
      </c>
      <c r="G5705">
        <v>0.17</v>
      </c>
      <c r="H5705" s="1" t="str">
        <f>HYPERLINK("http://www.weizmann.ac.il/complex/compphys/software/geview/data/figures/211871_x_at.png","Figure")</f>
        <v>Figure</v>
      </c>
      <c r="I5705">
        <v>1.1599999999999999</v>
      </c>
      <c r="J5705">
        <v>8.5000000000000006E-2</v>
      </c>
      <c r="K5705">
        <v>1.1299999999999999</v>
      </c>
      <c r="L5705">
        <v>9.1999999999999998E-2</v>
      </c>
      <c r="M5705">
        <v>0.97899999999999998</v>
      </c>
      <c r="N5705">
        <v>0.93</v>
      </c>
    </row>
    <row r="5706" spans="1:14" x14ac:dyDescent="0.25">
      <c r="A5706" t="s">
        <v>10284</v>
      </c>
      <c r="B5706" t="s">
        <v>7658</v>
      </c>
      <c r="C5706" s="1" t="str">
        <f>HYPERLINK("http://www.genecards.org/cgi-bin/carddisp.pl?gene=LRCH4","GeneCards")</f>
        <v>GeneCards</v>
      </c>
      <c r="D5706" s="1" t="str">
        <f>HYPERLINK("http://genome-euro.ucsc.edu/cgi-bin/hgTracks?position=221956_at","UCSC")</f>
        <v>UCSC</v>
      </c>
      <c r="E5706" s="1" t="str">
        <f>HYPERLINK("http://www.ncbi.nlm.nih.gov/gene/?term=LRCH4","NCBI")</f>
        <v>NCBI</v>
      </c>
      <c r="F5706">
        <v>5.8000000000000003E-2</v>
      </c>
      <c r="G5706">
        <v>0.17</v>
      </c>
      <c r="H5706" s="1" t="str">
        <f>HYPERLINK("http://www.weizmann.ac.il/complex/compphys/software/geview/data/figures/221956_at.png","Figure")</f>
        <v>Figure</v>
      </c>
      <c r="I5706">
        <v>1.5</v>
      </c>
      <c r="J5706">
        <v>4.8000000000000001E-2</v>
      </c>
      <c r="K5706">
        <v>1.18</v>
      </c>
      <c r="L5706">
        <v>0.44</v>
      </c>
      <c r="M5706">
        <v>0.78900000000000003</v>
      </c>
      <c r="N5706">
        <v>0.25</v>
      </c>
    </row>
    <row r="5707" spans="1:14" x14ac:dyDescent="0.25">
      <c r="A5707" t="s">
        <v>10285</v>
      </c>
      <c r="B5707" t="s">
        <v>10286</v>
      </c>
      <c r="C5707" s="1" t="str">
        <f>HYPERLINK("http://www.genecards.org/cgi-bin/carddisp.pl?gene=PUS1","GeneCards")</f>
        <v>GeneCards</v>
      </c>
      <c r="D5707" s="1" t="str">
        <f>HYPERLINK("http://genome-euro.ucsc.edu/cgi-bin/hgTracks?position=218670_at","UCSC")</f>
        <v>UCSC</v>
      </c>
      <c r="E5707" s="1" t="str">
        <f>HYPERLINK("http://www.ncbi.nlm.nih.gov/gene/?term=PUS1","NCBI")</f>
        <v>NCBI</v>
      </c>
      <c r="F5707">
        <v>5.8000000000000003E-2</v>
      </c>
      <c r="G5707">
        <v>0.17</v>
      </c>
      <c r="H5707" s="1" t="str">
        <f>HYPERLINK("http://www.weizmann.ac.il/complex/compphys/software/geview/data/figures/218670_at.png","Figure")</f>
        <v>Figure</v>
      </c>
      <c r="I5707">
        <v>0.91600000000000004</v>
      </c>
      <c r="J5707">
        <v>0.92</v>
      </c>
      <c r="K5707">
        <v>1.5</v>
      </c>
      <c r="L5707">
        <v>0.13</v>
      </c>
      <c r="M5707">
        <v>1.63</v>
      </c>
      <c r="N5707">
        <v>8.3000000000000004E-2</v>
      </c>
    </row>
    <row r="5708" spans="1:14" x14ac:dyDescent="0.25">
      <c r="A5708" t="s">
        <v>10287</v>
      </c>
      <c r="B5708" t="s">
        <v>10288</v>
      </c>
      <c r="C5708" s="1" t="str">
        <f>HYPERLINK("http://www.genecards.org/cgi-bin/carddisp.pl?gene=PADI3","GeneCards")</f>
        <v>GeneCards</v>
      </c>
      <c r="D5708" s="1" t="str">
        <f>HYPERLINK("http://genome-euro.ucsc.edu/cgi-bin/hgTracks?position=220779_at","UCSC")</f>
        <v>UCSC</v>
      </c>
      <c r="E5708" s="1" t="str">
        <f>HYPERLINK("http://www.ncbi.nlm.nih.gov/gene/?term=PADI3","NCBI")</f>
        <v>NCBI</v>
      </c>
      <c r="F5708">
        <v>5.8000000000000003E-2</v>
      </c>
      <c r="G5708">
        <v>0.17</v>
      </c>
      <c r="H5708" s="1" t="str">
        <f>HYPERLINK("http://www.weizmann.ac.il/complex/compphys/software/geview/data/figures/220779_at.png","Figure")</f>
        <v>Figure</v>
      </c>
      <c r="I5708">
        <v>1.29</v>
      </c>
      <c r="J5708">
        <v>4.9000000000000002E-2</v>
      </c>
      <c r="K5708">
        <v>1.0900000000000001</v>
      </c>
      <c r="L5708">
        <v>0.54</v>
      </c>
      <c r="M5708">
        <v>0.85</v>
      </c>
      <c r="N5708">
        <v>0.2</v>
      </c>
    </row>
    <row r="5709" spans="1:14" x14ac:dyDescent="0.25">
      <c r="A5709" t="s">
        <v>10289</v>
      </c>
      <c r="B5709" t="s">
        <v>10290</v>
      </c>
      <c r="C5709" s="1" t="str">
        <f>HYPERLINK("http://www.genecards.org/cgi-bin/carddisp.pl?gene=OSBPL8","GeneCards")</f>
        <v>GeneCards</v>
      </c>
      <c r="D5709" s="1" t="str">
        <f>HYPERLINK("http://genome-euro.ucsc.edu/cgi-bin/hgTracks?position=212585_at","UCSC")</f>
        <v>UCSC</v>
      </c>
      <c r="E5709" s="1" t="str">
        <f>HYPERLINK("http://www.ncbi.nlm.nih.gov/gene/?term=OSBPL8","NCBI")</f>
        <v>NCBI</v>
      </c>
      <c r="F5709">
        <v>5.8000000000000003E-2</v>
      </c>
      <c r="G5709">
        <v>0.17</v>
      </c>
      <c r="H5709" s="1" t="str">
        <f>HYPERLINK("http://www.weizmann.ac.il/complex/compphys/software/geview/data/figures/212585_at.png","Figure")</f>
        <v>Figure</v>
      </c>
      <c r="I5709">
        <v>0.34499999999999997</v>
      </c>
      <c r="J5709">
        <v>6.3E-2</v>
      </c>
      <c r="K5709">
        <v>0.46800000000000003</v>
      </c>
      <c r="L5709">
        <v>0.14000000000000001</v>
      </c>
      <c r="M5709">
        <v>1.36</v>
      </c>
      <c r="N5709">
        <v>0.73</v>
      </c>
    </row>
    <row r="5710" spans="1:14" x14ac:dyDescent="0.25">
      <c r="A5710" t="s">
        <v>10291</v>
      </c>
      <c r="B5710" t="s">
        <v>10292</v>
      </c>
      <c r="C5710" s="1" t="str">
        <f>HYPERLINK("http://www.genecards.org/cgi-bin/carddisp.pl?gene=ETF1","GeneCards")</f>
        <v>GeneCards</v>
      </c>
      <c r="D5710" s="1" t="str">
        <f>HYPERLINK("http://genome-euro.ucsc.edu/cgi-bin/hgTracks?position=201573_s_at","UCSC")</f>
        <v>UCSC</v>
      </c>
      <c r="E5710" s="1" t="str">
        <f>HYPERLINK("http://www.ncbi.nlm.nih.gov/gene/?term=ETF1","NCBI")</f>
        <v>NCBI</v>
      </c>
      <c r="F5710">
        <v>5.8000000000000003E-2</v>
      </c>
      <c r="G5710">
        <v>0.17</v>
      </c>
      <c r="H5710" s="1" t="str">
        <f>HYPERLINK("http://www.weizmann.ac.il/complex/compphys/software/geview/data/figures/201573_s_at.png","Figure")</f>
        <v>Figure</v>
      </c>
      <c r="I5710">
        <v>0.60599999999999998</v>
      </c>
      <c r="J5710">
        <v>0.42</v>
      </c>
      <c r="K5710">
        <v>0.40600000000000003</v>
      </c>
      <c r="L5710">
        <v>4.8000000000000001E-2</v>
      </c>
      <c r="M5710">
        <v>0.67</v>
      </c>
      <c r="N5710">
        <v>0.53</v>
      </c>
    </row>
    <row r="5711" spans="1:14" x14ac:dyDescent="0.25">
      <c r="A5711" t="s">
        <v>10293</v>
      </c>
      <c r="B5711" t="s">
        <v>10294</v>
      </c>
      <c r="C5711" s="1" t="str">
        <f>HYPERLINK("http://www.genecards.org/cgi-bin/carddisp.pl?gene=NUCB2","GeneCards")</f>
        <v>GeneCards</v>
      </c>
      <c r="D5711" s="1" t="str">
        <f>HYPERLINK("http://genome-euro.ucsc.edu/cgi-bin/hgTracks?position=203675_at","UCSC")</f>
        <v>UCSC</v>
      </c>
      <c r="E5711" s="1" t="str">
        <f>HYPERLINK("http://www.ncbi.nlm.nih.gov/gene/?term=NUCB2","NCBI")</f>
        <v>NCBI</v>
      </c>
      <c r="F5711">
        <v>5.8999999999999997E-2</v>
      </c>
      <c r="G5711">
        <v>0.17</v>
      </c>
      <c r="H5711" s="1" t="str">
        <f>HYPERLINK("http://www.weizmann.ac.il/complex/compphys/software/geview/data/figures/203675_at.png","Figure")</f>
        <v>Figure</v>
      </c>
      <c r="I5711">
        <v>1.57</v>
      </c>
      <c r="J5711">
        <v>0.15</v>
      </c>
      <c r="K5711">
        <v>1.64</v>
      </c>
      <c r="L5711">
        <v>6.0999999999999999E-2</v>
      </c>
      <c r="M5711">
        <v>1.04</v>
      </c>
      <c r="N5711">
        <v>0.98</v>
      </c>
    </row>
    <row r="5712" spans="1:14" x14ac:dyDescent="0.25">
      <c r="A5712" t="s">
        <v>10295</v>
      </c>
      <c r="B5712" t="s">
        <v>9372</v>
      </c>
      <c r="C5712" s="1" t="str">
        <f>HYPERLINK("http://www.genecards.org/cgi-bin/carddisp.pl?gene=NRXN2","GeneCards")</f>
        <v>GeneCards</v>
      </c>
      <c r="D5712" s="1" t="str">
        <f>HYPERLINK("http://genome-euro.ucsc.edu/cgi-bin/hgTracks?position=209983_s_at","UCSC")</f>
        <v>UCSC</v>
      </c>
      <c r="E5712" s="1" t="str">
        <f>HYPERLINK("http://www.ncbi.nlm.nih.gov/gene/?term=NRXN2","NCBI")</f>
        <v>NCBI</v>
      </c>
      <c r="F5712">
        <v>5.8999999999999997E-2</v>
      </c>
      <c r="G5712">
        <v>0.17</v>
      </c>
      <c r="H5712" s="1" t="str">
        <f>HYPERLINK("http://www.weizmann.ac.il/complex/compphys/software/geview/data/figures/209983_s_at.png","Figure")</f>
        <v>Figure</v>
      </c>
      <c r="I5712">
        <v>0.85399999999999998</v>
      </c>
      <c r="J5712">
        <v>0.11</v>
      </c>
      <c r="K5712">
        <v>1.01</v>
      </c>
      <c r="L5712">
        <v>0.98</v>
      </c>
      <c r="M5712">
        <v>1.18</v>
      </c>
      <c r="N5712">
        <v>6.2E-2</v>
      </c>
    </row>
    <row r="5713" spans="1:14" x14ac:dyDescent="0.25">
      <c r="A5713" t="s">
        <v>10296</v>
      </c>
      <c r="B5713" t="s">
        <v>10297</v>
      </c>
      <c r="C5713" s="1" t="str">
        <f>HYPERLINK("http://www.genecards.org/cgi-bin/carddisp.pl?gene=CANX","GeneCards")</f>
        <v>GeneCards</v>
      </c>
      <c r="D5713" s="1" t="str">
        <f>HYPERLINK("http://genome-euro.ucsc.edu/cgi-bin/hgTracks?position=200068_s_at","UCSC")</f>
        <v>UCSC</v>
      </c>
      <c r="E5713" s="1" t="str">
        <f>HYPERLINK("http://www.ncbi.nlm.nih.gov/gene/?term=CANX","NCBI")</f>
        <v>NCBI</v>
      </c>
      <c r="F5713">
        <v>5.8999999999999997E-2</v>
      </c>
      <c r="G5713">
        <v>0.17</v>
      </c>
      <c r="H5713" s="1" t="str">
        <f>HYPERLINK("http://www.weizmann.ac.il/complex/compphys/software/geview/data/figures/200068_s_at.png","Figure")</f>
        <v>Figure</v>
      </c>
      <c r="I5713">
        <v>0.77</v>
      </c>
      <c r="J5713">
        <v>0.49</v>
      </c>
      <c r="K5713">
        <v>1.34</v>
      </c>
      <c r="L5713">
        <v>0.33</v>
      </c>
      <c r="M5713">
        <v>1.74</v>
      </c>
      <c r="N5713">
        <v>5.1999999999999998E-2</v>
      </c>
    </row>
    <row r="5714" spans="1:14" x14ac:dyDescent="0.25">
      <c r="A5714" t="s">
        <v>10298</v>
      </c>
      <c r="B5714" t="s">
        <v>10299</v>
      </c>
      <c r="C5714" s="1" t="str">
        <f>HYPERLINK("http://www.genecards.org/cgi-bin/carddisp.pl?gene=CRYBB1","GeneCards")</f>
        <v>GeneCards</v>
      </c>
      <c r="D5714" s="1" t="str">
        <f>HYPERLINK("http://genome-euro.ucsc.edu/cgi-bin/hgTracks?position=206185_at","UCSC")</f>
        <v>UCSC</v>
      </c>
      <c r="E5714" s="1" t="str">
        <f>HYPERLINK("http://www.ncbi.nlm.nih.gov/gene/?term=CRYBB1","NCBI")</f>
        <v>NCBI</v>
      </c>
      <c r="F5714">
        <v>5.8999999999999997E-2</v>
      </c>
      <c r="G5714">
        <v>0.17</v>
      </c>
      <c r="H5714" s="1" t="str">
        <f>HYPERLINK("http://www.weizmann.ac.il/complex/compphys/software/geview/data/figures/206185_at.png","Figure")</f>
        <v>Figure</v>
      </c>
      <c r="I5714">
        <v>1.22</v>
      </c>
      <c r="J5714">
        <v>5.1999999999999998E-2</v>
      </c>
      <c r="K5714">
        <v>1.1299999999999999</v>
      </c>
      <c r="L5714">
        <v>0.22</v>
      </c>
      <c r="M5714">
        <v>0.92</v>
      </c>
      <c r="N5714">
        <v>0.5</v>
      </c>
    </row>
    <row r="5715" spans="1:14" x14ac:dyDescent="0.25">
      <c r="A5715" t="s">
        <v>10300</v>
      </c>
      <c r="B5715" t="s">
        <v>10301</v>
      </c>
      <c r="C5715" s="1" t="str">
        <f>HYPERLINK("http://www.genecards.org/cgi-bin/carddisp.pl?gene=UBR4","GeneCards")</f>
        <v>GeneCards</v>
      </c>
      <c r="D5715" s="1" t="str">
        <f>HYPERLINK("http://genome-euro.ucsc.edu/cgi-bin/hgTracks?position=211950_at","UCSC")</f>
        <v>UCSC</v>
      </c>
      <c r="E5715" s="1" t="str">
        <f>HYPERLINK("http://www.ncbi.nlm.nih.gov/gene/?term=UBR4","NCBI")</f>
        <v>NCBI</v>
      </c>
      <c r="F5715">
        <v>5.8999999999999997E-2</v>
      </c>
      <c r="G5715">
        <v>0.17</v>
      </c>
      <c r="H5715" s="1" t="str">
        <f>HYPERLINK("http://www.weizmann.ac.il/complex/compphys/software/geview/data/figures/211950_at.png","Figure")</f>
        <v>Figure</v>
      </c>
      <c r="I5715">
        <v>1</v>
      </c>
      <c r="J5715">
        <v>1</v>
      </c>
      <c r="K5715">
        <v>0.70199999999999996</v>
      </c>
      <c r="L5715">
        <v>9.4E-2</v>
      </c>
      <c r="M5715">
        <v>0.7</v>
      </c>
      <c r="N5715">
        <v>0.12</v>
      </c>
    </row>
    <row r="5716" spans="1:14" x14ac:dyDescent="0.25">
      <c r="A5716" t="s">
        <v>10302</v>
      </c>
      <c r="B5716" t="s">
        <v>4832</v>
      </c>
      <c r="C5716" s="1" t="str">
        <f>HYPERLINK("http://www.genecards.org/cgi-bin/carddisp.pl?gene=TMPO","GeneCards")</f>
        <v>GeneCards</v>
      </c>
      <c r="D5716" s="1" t="str">
        <f>HYPERLINK("http://genome-euro.ucsc.edu/cgi-bin/hgTracks?position=209753_s_at","UCSC")</f>
        <v>UCSC</v>
      </c>
      <c r="E5716" s="1" t="str">
        <f>HYPERLINK("http://www.ncbi.nlm.nih.gov/gene/?term=TMPO","NCBI")</f>
        <v>NCBI</v>
      </c>
      <c r="F5716">
        <v>5.8999999999999997E-2</v>
      </c>
      <c r="G5716">
        <v>0.17</v>
      </c>
      <c r="H5716" s="1" t="str">
        <f>HYPERLINK("http://www.weizmann.ac.il/complex/compphys/software/geview/data/figures/209753_s_at.png","Figure")</f>
        <v>Figure</v>
      </c>
      <c r="I5716">
        <v>1.32</v>
      </c>
      <c r="J5716">
        <v>6.0999999999999999E-2</v>
      </c>
      <c r="K5716">
        <v>1.21</v>
      </c>
      <c r="L5716">
        <v>0.15</v>
      </c>
      <c r="M5716">
        <v>0.91800000000000004</v>
      </c>
      <c r="N5716">
        <v>0.69</v>
      </c>
    </row>
    <row r="5717" spans="1:14" x14ac:dyDescent="0.25">
      <c r="A5717" t="s">
        <v>10303</v>
      </c>
      <c r="B5717" t="s">
        <v>9852</v>
      </c>
      <c r="C5717" s="1" t="str">
        <f>HYPERLINK("http://www.genecards.org/cgi-bin/carddisp.pl?gene=CXCR3","GeneCards")</f>
        <v>GeneCards</v>
      </c>
      <c r="D5717" s="1" t="str">
        <f>HYPERLINK("http://genome-euro.ucsc.edu/cgi-bin/hgTracks?position=217119_s_at","UCSC")</f>
        <v>UCSC</v>
      </c>
      <c r="E5717" s="1" t="str">
        <f>HYPERLINK("http://www.ncbi.nlm.nih.gov/gene/?term=CXCR3","NCBI")</f>
        <v>NCBI</v>
      </c>
      <c r="F5717">
        <v>5.8999999999999997E-2</v>
      </c>
      <c r="G5717">
        <v>0.17</v>
      </c>
      <c r="H5717" s="1" t="str">
        <f>HYPERLINK("http://www.weizmann.ac.il/complex/compphys/software/geview/data/figures/217119_s_at.png","Figure")</f>
        <v>Figure</v>
      </c>
      <c r="I5717">
        <v>1.1499999999999999</v>
      </c>
      <c r="J5717">
        <v>0.16</v>
      </c>
      <c r="K5717">
        <v>1.17</v>
      </c>
      <c r="L5717">
        <v>5.8000000000000003E-2</v>
      </c>
      <c r="M5717">
        <v>1.02</v>
      </c>
      <c r="N5717">
        <v>0.95</v>
      </c>
    </row>
    <row r="5718" spans="1:14" x14ac:dyDescent="0.25">
      <c r="A5718" t="s">
        <v>10304</v>
      </c>
      <c r="B5718" t="s">
        <v>2009</v>
      </c>
      <c r="C5718" s="1" t="str">
        <f>HYPERLINK("http://www.genecards.org/cgi-bin/carddisp.pl?gene=SPATA2","GeneCards")</f>
        <v>GeneCards</v>
      </c>
      <c r="D5718" s="1" t="str">
        <f>HYPERLINK("http://genome-euro.ucsc.edu/cgi-bin/hgTracks?position=204433_s_at","UCSC")</f>
        <v>UCSC</v>
      </c>
      <c r="E5718" s="1" t="str">
        <f>HYPERLINK("http://www.ncbi.nlm.nih.gov/gene/?term=SPATA2","NCBI")</f>
        <v>NCBI</v>
      </c>
      <c r="F5718">
        <v>5.8999999999999997E-2</v>
      </c>
      <c r="G5718">
        <v>0.17</v>
      </c>
      <c r="H5718" s="1" t="str">
        <f>HYPERLINK("http://www.weizmann.ac.il/complex/compphys/software/geview/data/figures/204433_s_at.png","Figure")</f>
        <v>Figure</v>
      </c>
      <c r="I5718">
        <v>0.91300000000000003</v>
      </c>
      <c r="J5718">
        <v>0.78</v>
      </c>
      <c r="K5718">
        <v>0.73799999999999999</v>
      </c>
      <c r="L5718">
        <v>5.7000000000000002E-2</v>
      </c>
      <c r="M5718">
        <v>0.80800000000000005</v>
      </c>
      <c r="N5718">
        <v>0.25</v>
      </c>
    </row>
    <row r="5719" spans="1:14" x14ac:dyDescent="0.25">
      <c r="A5719" t="s">
        <v>10305</v>
      </c>
      <c r="B5719" t="s">
        <v>8301</v>
      </c>
      <c r="C5719" s="1" t="str">
        <f>HYPERLINK("http://www.genecards.org/cgi-bin/carddisp.pl?gene=OAZ2","GeneCards")</f>
        <v>GeneCards</v>
      </c>
      <c r="D5719" s="1" t="str">
        <f>HYPERLINK("http://genome-euro.ucsc.edu/cgi-bin/hgTracks?position=201364_s_at","UCSC")</f>
        <v>UCSC</v>
      </c>
      <c r="E5719" s="1" t="str">
        <f>HYPERLINK("http://www.ncbi.nlm.nih.gov/gene/?term=OAZ2","NCBI")</f>
        <v>NCBI</v>
      </c>
      <c r="F5719">
        <v>5.8999999999999997E-2</v>
      </c>
      <c r="G5719">
        <v>0.17</v>
      </c>
      <c r="H5719" s="1" t="str">
        <f>HYPERLINK("http://www.weizmann.ac.il/complex/compphys/software/geview/data/figures/201364_s_at.png","Figure")</f>
        <v>Figure</v>
      </c>
      <c r="I5719">
        <v>1.19</v>
      </c>
      <c r="J5719">
        <v>0.15</v>
      </c>
      <c r="K5719">
        <v>0.96599999999999997</v>
      </c>
      <c r="L5719">
        <v>0.89</v>
      </c>
      <c r="M5719">
        <v>0.81100000000000005</v>
      </c>
      <c r="N5719">
        <v>5.3999999999999999E-2</v>
      </c>
    </row>
    <row r="5720" spans="1:14" x14ac:dyDescent="0.25">
      <c r="A5720" t="s">
        <v>10306</v>
      </c>
      <c r="B5720" t="s">
        <v>7504</v>
      </c>
      <c r="C5720" s="1" t="str">
        <f>HYPERLINK("http://www.genecards.org/cgi-bin/carddisp.pl?gene=RRM1","GeneCards")</f>
        <v>GeneCards</v>
      </c>
      <c r="D5720" s="1" t="str">
        <f>HYPERLINK("http://genome-euro.ucsc.edu/cgi-bin/hgTracks?position=201477_s_at","UCSC")</f>
        <v>UCSC</v>
      </c>
      <c r="E5720" s="1" t="str">
        <f>HYPERLINK("http://www.ncbi.nlm.nih.gov/gene/?term=RRM1","NCBI")</f>
        <v>NCBI</v>
      </c>
      <c r="F5720">
        <v>5.8999999999999997E-2</v>
      </c>
      <c r="G5720">
        <v>0.17</v>
      </c>
      <c r="H5720" s="1" t="str">
        <f>HYPERLINK("http://www.weizmann.ac.il/complex/compphys/software/geview/data/figures/201477_s_at.png","Figure")</f>
        <v>Figure</v>
      </c>
      <c r="I5720">
        <v>1.21</v>
      </c>
      <c r="J5720">
        <v>0.49</v>
      </c>
      <c r="K5720">
        <v>1.47</v>
      </c>
      <c r="L5720">
        <v>4.8000000000000001E-2</v>
      </c>
      <c r="M5720">
        <v>1.21</v>
      </c>
      <c r="N5720">
        <v>0.46</v>
      </c>
    </row>
    <row r="5721" spans="1:14" x14ac:dyDescent="0.25">
      <c r="A5721" t="s">
        <v>10307</v>
      </c>
      <c r="B5721" t="s">
        <v>10308</v>
      </c>
      <c r="C5721" s="1" t="str">
        <f>HYPERLINK("http://www.genecards.org/cgi-bin/carddisp.pl?gene=ERF","GeneCards")</f>
        <v>GeneCards</v>
      </c>
      <c r="D5721" s="1" t="str">
        <f>HYPERLINK("http://genome-euro.ucsc.edu/cgi-bin/hgTracks?position=203643_at","UCSC")</f>
        <v>UCSC</v>
      </c>
      <c r="E5721" s="1" t="str">
        <f>HYPERLINK("http://www.ncbi.nlm.nih.gov/gene/?term=ERF","NCBI")</f>
        <v>NCBI</v>
      </c>
      <c r="F5721">
        <v>5.8999999999999997E-2</v>
      </c>
      <c r="G5721">
        <v>0.17</v>
      </c>
      <c r="H5721" s="1" t="str">
        <f>HYPERLINK("http://www.weizmann.ac.il/complex/compphys/software/geview/data/figures/203643_at.png","Figure")</f>
        <v>Figure</v>
      </c>
      <c r="I5721">
        <v>1.28</v>
      </c>
      <c r="J5721">
        <v>5.2999999999999999E-2</v>
      </c>
      <c r="K5721">
        <v>1.08</v>
      </c>
      <c r="L5721">
        <v>0.67</v>
      </c>
      <c r="M5721">
        <v>0.83899999999999997</v>
      </c>
      <c r="N5721">
        <v>0.16</v>
      </c>
    </row>
    <row r="5722" spans="1:14" x14ac:dyDescent="0.25">
      <c r="A5722" t="s">
        <v>10309</v>
      </c>
      <c r="B5722" t="s">
        <v>2839</v>
      </c>
      <c r="C5722" s="1" t="str">
        <f>HYPERLINK("http://www.genecards.org/cgi-bin/carddisp.pl?gene=CASP8","GeneCards")</f>
        <v>GeneCards</v>
      </c>
      <c r="D5722" s="1" t="str">
        <f>HYPERLINK("http://genome-euro.ucsc.edu/cgi-bin/hgTracks?position=207686_s_at","UCSC")</f>
        <v>UCSC</v>
      </c>
      <c r="E5722" s="1" t="str">
        <f>HYPERLINK("http://www.ncbi.nlm.nih.gov/gene/?term=CASP8","NCBI")</f>
        <v>NCBI</v>
      </c>
      <c r="F5722">
        <v>5.8999999999999997E-2</v>
      </c>
      <c r="G5722">
        <v>0.17</v>
      </c>
      <c r="H5722" s="1" t="str">
        <f>HYPERLINK("http://www.weizmann.ac.il/complex/compphys/software/geview/data/figures/207686_s_at.png","Figure")</f>
        <v>Figure</v>
      </c>
      <c r="I5722">
        <v>0.86399999999999999</v>
      </c>
      <c r="J5722">
        <v>0.77</v>
      </c>
      <c r="K5722">
        <v>0.625</v>
      </c>
      <c r="L5722">
        <v>5.7000000000000002E-2</v>
      </c>
      <c r="M5722">
        <v>0.72399999999999998</v>
      </c>
      <c r="N5722">
        <v>0.26</v>
      </c>
    </row>
    <row r="5723" spans="1:14" x14ac:dyDescent="0.25">
      <c r="A5723" t="s">
        <v>10310</v>
      </c>
      <c r="B5723" t="s">
        <v>3223</v>
      </c>
      <c r="C5723" s="1" t="str">
        <f>HYPERLINK("http://www.genecards.org/cgi-bin/carddisp.pl?gene=AGRN","GeneCards")</f>
        <v>GeneCards</v>
      </c>
      <c r="D5723" s="1" t="str">
        <f>HYPERLINK("http://genome-euro.ucsc.edu/cgi-bin/hgTracks?position=212285_s_at","UCSC")</f>
        <v>UCSC</v>
      </c>
      <c r="E5723" s="1" t="str">
        <f>HYPERLINK("http://www.ncbi.nlm.nih.gov/gene/?term=AGRN","NCBI")</f>
        <v>NCBI</v>
      </c>
      <c r="F5723">
        <v>5.8999999999999997E-2</v>
      </c>
      <c r="G5723">
        <v>0.17</v>
      </c>
      <c r="H5723" s="1" t="str">
        <f>HYPERLINK("http://www.weizmann.ac.il/complex/compphys/software/geview/data/figures/212285_s_at.png","Figure")</f>
        <v>Figure</v>
      </c>
      <c r="I5723">
        <v>1.26</v>
      </c>
      <c r="J5723">
        <v>7.6999999999999999E-2</v>
      </c>
      <c r="K5723">
        <v>1.02</v>
      </c>
      <c r="L5723">
        <v>0.97</v>
      </c>
      <c r="M5723">
        <v>0.80500000000000005</v>
      </c>
      <c r="N5723">
        <v>8.2000000000000003E-2</v>
      </c>
    </row>
    <row r="5724" spans="1:14" x14ac:dyDescent="0.25">
      <c r="A5724" t="s">
        <v>10311</v>
      </c>
      <c r="B5724" t="s">
        <v>10312</v>
      </c>
      <c r="C5724" s="1" t="str">
        <f>HYPERLINK("http://www.genecards.org/cgi-bin/carddisp.pl?gene=NAGLU","GeneCards")</f>
        <v>GeneCards</v>
      </c>
      <c r="D5724" s="1" t="str">
        <f>HYPERLINK("http://genome-euro.ucsc.edu/cgi-bin/hgTracks?position=215880_at","UCSC")</f>
        <v>UCSC</v>
      </c>
      <c r="E5724" s="1" t="str">
        <f>HYPERLINK("http://www.ncbi.nlm.nih.gov/gene/?term=NAGLU","NCBI")</f>
        <v>NCBI</v>
      </c>
      <c r="F5724">
        <v>5.8999999999999997E-2</v>
      </c>
      <c r="G5724">
        <v>0.17</v>
      </c>
      <c r="H5724" s="1" t="str">
        <f>HYPERLINK("http://www.weizmann.ac.il/complex/compphys/software/geview/data/figures/215880_at.png","Figure")</f>
        <v>Figure</v>
      </c>
      <c r="I5724">
        <v>1.19</v>
      </c>
      <c r="J5724">
        <v>4.8000000000000001E-2</v>
      </c>
      <c r="K5724">
        <v>1.08</v>
      </c>
      <c r="L5724">
        <v>0.37</v>
      </c>
      <c r="M5724">
        <v>0.90900000000000003</v>
      </c>
      <c r="N5724">
        <v>0.3</v>
      </c>
    </row>
    <row r="5725" spans="1:14" x14ac:dyDescent="0.25">
      <c r="A5725" t="s">
        <v>10313</v>
      </c>
      <c r="B5725" t="s">
        <v>10314</v>
      </c>
      <c r="C5725" s="1" t="str">
        <f>HYPERLINK("http://www.genecards.org/cgi-bin/carddisp.pl?gene=KLHL9","GeneCards")</f>
        <v>GeneCards</v>
      </c>
      <c r="D5725" s="1" t="str">
        <f>HYPERLINK("http://genome-euro.ucsc.edu/cgi-bin/hgTracks?position=213233_s_at","UCSC")</f>
        <v>UCSC</v>
      </c>
      <c r="E5725" s="1" t="str">
        <f>HYPERLINK("http://www.ncbi.nlm.nih.gov/gene/?term=KLHL9","NCBI")</f>
        <v>NCBI</v>
      </c>
      <c r="F5725">
        <v>5.8999999999999997E-2</v>
      </c>
      <c r="G5725">
        <v>0.17</v>
      </c>
      <c r="H5725" s="1" t="str">
        <f>HYPERLINK("http://www.weizmann.ac.il/complex/compphys/software/geview/data/figures/213233_s_at.png","Figure")</f>
        <v>Figure</v>
      </c>
      <c r="I5725">
        <v>0.65400000000000003</v>
      </c>
      <c r="J5725">
        <v>0.17</v>
      </c>
      <c r="K5725">
        <v>0.60799999999999998</v>
      </c>
      <c r="L5725">
        <v>5.7000000000000002E-2</v>
      </c>
      <c r="M5725">
        <v>0.92900000000000005</v>
      </c>
      <c r="N5725">
        <v>0.93</v>
      </c>
    </row>
    <row r="5726" spans="1:14" x14ac:dyDescent="0.25">
      <c r="A5726" t="s">
        <v>10315</v>
      </c>
      <c r="B5726" t="s">
        <v>1539</v>
      </c>
      <c r="C5726" s="1" t="str">
        <f>HYPERLINK("http://www.genecards.org/cgi-bin/carddisp.pl?gene=CEP250","GeneCards")</f>
        <v>GeneCards</v>
      </c>
      <c r="D5726" s="1" t="str">
        <f>HYPERLINK("http://genome-euro.ucsc.edu/cgi-bin/hgTracks?position=210894_s_at","UCSC")</f>
        <v>UCSC</v>
      </c>
      <c r="E5726" s="1" t="str">
        <f>HYPERLINK("http://www.ncbi.nlm.nih.gov/gene/?term=CEP250","NCBI")</f>
        <v>NCBI</v>
      </c>
      <c r="F5726">
        <v>5.8999999999999997E-2</v>
      </c>
      <c r="G5726">
        <v>0.17</v>
      </c>
      <c r="H5726" s="1" t="str">
        <f>HYPERLINK("http://www.weizmann.ac.il/complex/compphys/software/geview/data/figures/210894_s_at.png","Figure")</f>
        <v>Figure</v>
      </c>
      <c r="I5726">
        <v>1.23</v>
      </c>
      <c r="J5726">
        <v>4.8000000000000001E-2</v>
      </c>
      <c r="K5726">
        <v>1.1000000000000001</v>
      </c>
      <c r="L5726">
        <v>0.38</v>
      </c>
      <c r="M5726">
        <v>0.89200000000000002</v>
      </c>
      <c r="N5726">
        <v>0.3</v>
      </c>
    </row>
    <row r="5727" spans="1:14" x14ac:dyDescent="0.25">
      <c r="A5727" t="s">
        <v>10316</v>
      </c>
      <c r="B5727" t="s">
        <v>10317</v>
      </c>
      <c r="C5727" s="1" t="str">
        <f>HYPERLINK("http://www.genecards.org/cgi-bin/carddisp.pl?gene=C8orf55","GeneCards")</f>
        <v>GeneCards</v>
      </c>
      <c r="D5727" s="1" t="str">
        <f>HYPERLINK("http://genome-euro.ucsc.edu/cgi-bin/hgTracks?position=218500_at","UCSC")</f>
        <v>UCSC</v>
      </c>
      <c r="E5727" s="1" t="str">
        <f>HYPERLINK("http://www.ncbi.nlm.nih.gov/gene/?term=C8orf55","NCBI")</f>
        <v>NCBI</v>
      </c>
      <c r="F5727">
        <v>5.8999999999999997E-2</v>
      </c>
      <c r="G5727">
        <v>0.17</v>
      </c>
      <c r="H5727" s="1" t="str">
        <f>HYPERLINK("http://www.weizmann.ac.il/complex/compphys/software/geview/data/figures/218500_at.png","Figure")</f>
        <v>Figure</v>
      </c>
      <c r="I5727">
        <v>1.17</v>
      </c>
      <c r="J5727">
        <v>7.1999999999999995E-2</v>
      </c>
      <c r="K5727">
        <v>1.1299999999999999</v>
      </c>
      <c r="L5727">
        <v>0.11</v>
      </c>
      <c r="M5727">
        <v>0.96499999999999997</v>
      </c>
      <c r="N5727">
        <v>0.83</v>
      </c>
    </row>
    <row r="5728" spans="1:14" x14ac:dyDescent="0.25">
      <c r="A5728" t="s">
        <v>10318</v>
      </c>
      <c r="B5728" t="s">
        <v>10319</v>
      </c>
      <c r="C5728" s="1" t="str">
        <f>HYPERLINK("http://www.genecards.org/cgi-bin/carddisp.pl?gene=EPS15L1","GeneCards")</f>
        <v>GeneCards</v>
      </c>
      <c r="D5728" s="1" t="str">
        <f>HYPERLINK("http://genome-euro.ucsc.edu/cgi-bin/hgTracks?position=221056_x_at","UCSC")</f>
        <v>UCSC</v>
      </c>
      <c r="E5728" s="1" t="str">
        <f>HYPERLINK("http://www.ncbi.nlm.nih.gov/gene/?term=EPS15L1","NCBI")</f>
        <v>NCBI</v>
      </c>
      <c r="F5728">
        <v>5.8999999999999997E-2</v>
      </c>
      <c r="G5728">
        <v>0.17</v>
      </c>
      <c r="H5728" s="1" t="str">
        <f>HYPERLINK("http://www.weizmann.ac.il/complex/compphys/software/geview/data/figures/221056_x_at.png","Figure")</f>
        <v>Figure</v>
      </c>
      <c r="I5728">
        <v>1.41</v>
      </c>
      <c r="J5728">
        <v>5.0999999999999997E-2</v>
      </c>
      <c r="K5728">
        <v>1.21</v>
      </c>
      <c r="L5728">
        <v>0.25</v>
      </c>
      <c r="M5728">
        <v>0.85799999999999998</v>
      </c>
      <c r="N5728">
        <v>0.45</v>
      </c>
    </row>
    <row r="5729" spans="1:14" x14ac:dyDescent="0.25">
      <c r="A5729" t="s">
        <v>10320</v>
      </c>
      <c r="B5729" t="s">
        <v>10321</v>
      </c>
      <c r="C5729" s="1" t="str">
        <f>HYPERLINK("http://www.genecards.org/cgi-bin/carddisp.pl?gene=CTLA4","GeneCards")</f>
        <v>GeneCards</v>
      </c>
      <c r="D5729" s="1" t="str">
        <f>HYPERLINK("http://genome-euro.ucsc.edu/cgi-bin/hgTracks?position=221331_x_at","UCSC")</f>
        <v>UCSC</v>
      </c>
      <c r="E5729" s="1" t="str">
        <f>HYPERLINK("http://www.ncbi.nlm.nih.gov/gene/?term=CTLA4","NCBI")</f>
        <v>NCBI</v>
      </c>
      <c r="F5729">
        <v>5.8999999999999997E-2</v>
      </c>
      <c r="G5729">
        <v>0.17</v>
      </c>
      <c r="H5729" s="1" t="str">
        <f>HYPERLINK("http://www.weizmann.ac.il/complex/compphys/software/geview/data/figures/221331_x_at.png","Figure")</f>
        <v>Figure</v>
      </c>
      <c r="I5729">
        <v>1.04</v>
      </c>
      <c r="J5729">
        <v>0.8</v>
      </c>
      <c r="K5729">
        <v>0.89400000000000002</v>
      </c>
      <c r="L5729">
        <v>0.18</v>
      </c>
      <c r="M5729">
        <v>0.85599999999999998</v>
      </c>
      <c r="N5729">
        <v>6.9000000000000006E-2</v>
      </c>
    </row>
    <row r="5730" spans="1:14" x14ac:dyDescent="0.25">
      <c r="A5730" t="s">
        <v>10322</v>
      </c>
      <c r="B5730" t="s">
        <v>10323</v>
      </c>
      <c r="C5730" s="1" t="str">
        <f>HYPERLINK("http://www.genecards.org/cgi-bin/carddisp.pl?gene=RNF40","GeneCards")</f>
        <v>GeneCards</v>
      </c>
      <c r="D5730" s="1" t="str">
        <f>HYPERLINK("http://genome-euro.ucsc.edu/cgi-bin/hgTracks?position=217642_at","UCSC")</f>
        <v>UCSC</v>
      </c>
      <c r="E5730" s="1" t="str">
        <f>HYPERLINK("http://www.ncbi.nlm.nih.gov/gene/?term=RNF40","NCBI")</f>
        <v>NCBI</v>
      </c>
      <c r="F5730">
        <v>5.8999999999999997E-2</v>
      </c>
      <c r="G5730">
        <v>0.17</v>
      </c>
      <c r="H5730" s="1" t="str">
        <f>HYPERLINK("http://www.weizmann.ac.il/complex/compphys/software/geview/data/figures/217642_at.png","Figure")</f>
        <v>Figure</v>
      </c>
      <c r="I5730">
        <v>1.1100000000000001</v>
      </c>
      <c r="J5730">
        <v>0.24</v>
      </c>
      <c r="K5730">
        <v>0.95299999999999996</v>
      </c>
      <c r="L5730">
        <v>0.66</v>
      </c>
      <c r="M5730">
        <v>0.85599999999999998</v>
      </c>
      <c r="N5730">
        <v>4.8000000000000001E-2</v>
      </c>
    </row>
    <row r="5731" spans="1:14" x14ac:dyDescent="0.25">
      <c r="A5731" t="s">
        <v>10324</v>
      </c>
      <c r="B5731" t="s">
        <v>10325</v>
      </c>
      <c r="C5731" s="1" t="str">
        <f>HYPERLINK("http://www.genecards.org/cgi-bin/carddisp.pl?gene=UQCRC1","GeneCards")</f>
        <v>GeneCards</v>
      </c>
      <c r="D5731" s="1" t="str">
        <f>HYPERLINK("http://genome-euro.ucsc.edu/cgi-bin/hgTracks?position=201903_at","UCSC")</f>
        <v>UCSC</v>
      </c>
      <c r="E5731" s="1" t="str">
        <f>HYPERLINK("http://www.ncbi.nlm.nih.gov/gene/?term=UQCRC1","NCBI")</f>
        <v>NCBI</v>
      </c>
      <c r="F5731">
        <v>5.8999999999999997E-2</v>
      </c>
      <c r="G5731">
        <v>0.17</v>
      </c>
      <c r="H5731" s="1" t="str">
        <f>HYPERLINK("http://www.weizmann.ac.il/complex/compphys/software/geview/data/figures/201903_at.png","Figure")</f>
        <v>Figure</v>
      </c>
      <c r="I5731">
        <v>1.29</v>
      </c>
      <c r="J5731">
        <v>0.51</v>
      </c>
      <c r="K5731">
        <v>1.68</v>
      </c>
      <c r="L5731">
        <v>4.9000000000000002E-2</v>
      </c>
      <c r="M5731">
        <v>1.3</v>
      </c>
      <c r="N5731">
        <v>0.44</v>
      </c>
    </row>
    <row r="5732" spans="1:14" x14ac:dyDescent="0.25">
      <c r="A5732" t="s">
        <v>10326</v>
      </c>
      <c r="B5732" t="s">
        <v>10327</v>
      </c>
      <c r="C5732" s="1" t="str">
        <f>HYPERLINK("http://www.genecards.org/cgi-bin/carddisp.pl?gene=HTR4","GeneCards")</f>
        <v>GeneCards</v>
      </c>
      <c r="D5732" s="1" t="str">
        <f>HYPERLINK("http://genome-euro.ucsc.edu/cgi-bin/hgTracks?position=207578_s_at","UCSC")</f>
        <v>UCSC</v>
      </c>
      <c r="E5732" s="1" t="str">
        <f>HYPERLINK("http://www.ncbi.nlm.nih.gov/gene/?term=HTR4","NCBI")</f>
        <v>NCBI</v>
      </c>
      <c r="F5732">
        <v>5.8999999999999997E-2</v>
      </c>
      <c r="G5732">
        <v>0.17</v>
      </c>
      <c r="H5732" s="1" t="str">
        <f>HYPERLINK("http://www.weizmann.ac.il/complex/compphys/software/geview/data/figures/207578_s_at.png","Figure")</f>
        <v>Figure</v>
      </c>
      <c r="I5732">
        <v>1.32</v>
      </c>
      <c r="J5732">
        <v>5.3999999999999999E-2</v>
      </c>
      <c r="K5732">
        <v>1.08</v>
      </c>
      <c r="L5732">
        <v>0.7</v>
      </c>
      <c r="M5732">
        <v>0.81599999999999995</v>
      </c>
      <c r="N5732">
        <v>0.15</v>
      </c>
    </row>
    <row r="5733" spans="1:14" x14ac:dyDescent="0.25">
      <c r="A5733" t="s">
        <v>10328</v>
      </c>
      <c r="B5733" t="s">
        <v>10329</v>
      </c>
      <c r="C5733" s="1" t="str">
        <f>HYPERLINK("http://www.genecards.org/cgi-bin/carddisp.pl?gene=LILRA2","GeneCards")</f>
        <v>GeneCards</v>
      </c>
      <c r="D5733" s="1" t="str">
        <f>HYPERLINK("http://genome-euro.ucsc.edu/cgi-bin/hgTracks?position=207857_at","UCSC")</f>
        <v>UCSC</v>
      </c>
      <c r="E5733" s="1" t="str">
        <f>HYPERLINK("http://www.ncbi.nlm.nih.gov/gene/?term=LILRA2","NCBI")</f>
        <v>NCBI</v>
      </c>
      <c r="F5733">
        <v>5.8999999999999997E-2</v>
      </c>
      <c r="G5733">
        <v>0.17</v>
      </c>
      <c r="H5733" s="1" t="str">
        <f>HYPERLINK("http://www.weizmann.ac.il/complex/compphys/software/geview/data/figures/207857_at.png","Figure")</f>
        <v>Figure</v>
      </c>
      <c r="I5733">
        <v>0.502</v>
      </c>
      <c r="J5733">
        <v>0.11</v>
      </c>
      <c r="K5733">
        <v>0.51600000000000001</v>
      </c>
      <c r="L5733">
        <v>7.4999999999999997E-2</v>
      </c>
      <c r="M5733">
        <v>1.03</v>
      </c>
      <c r="N5733">
        <v>1</v>
      </c>
    </row>
    <row r="5734" spans="1:14" x14ac:dyDescent="0.25">
      <c r="A5734" t="s">
        <v>10330</v>
      </c>
      <c r="B5734" t="s">
        <v>10331</v>
      </c>
      <c r="C5734" s="1" t="str">
        <f>HYPERLINK("http://www.genecards.org/cgi-bin/carddisp.pl?gene=SRPR","GeneCards")</f>
        <v>GeneCards</v>
      </c>
      <c r="D5734" s="1" t="str">
        <f>HYPERLINK("http://genome-euro.ucsc.edu/cgi-bin/hgTracks?position=200918_s_at","UCSC")</f>
        <v>UCSC</v>
      </c>
      <c r="E5734" s="1" t="str">
        <f>HYPERLINK("http://www.ncbi.nlm.nih.gov/gene/?term=SRPR","NCBI")</f>
        <v>NCBI</v>
      </c>
      <c r="F5734">
        <v>5.8999999999999997E-2</v>
      </c>
      <c r="G5734">
        <v>0.17</v>
      </c>
      <c r="H5734" s="1" t="str">
        <f>HYPERLINK("http://www.weizmann.ac.il/complex/compphys/software/geview/data/figures/200918_s_at.png","Figure")</f>
        <v>Figure</v>
      </c>
      <c r="I5734">
        <v>1.1499999999999999</v>
      </c>
      <c r="J5734">
        <v>0.65</v>
      </c>
      <c r="K5734">
        <v>0.79300000000000004</v>
      </c>
      <c r="L5734">
        <v>0.24</v>
      </c>
      <c r="M5734">
        <v>0.68899999999999995</v>
      </c>
      <c r="N5734">
        <v>5.8999999999999997E-2</v>
      </c>
    </row>
    <row r="5735" spans="1:14" x14ac:dyDescent="0.25">
      <c r="A5735" t="s">
        <v>10332</v>
      </c>
      <c r="B5735" t="s">
        <v>10333</v>
      </c>
      <c r="C5735" s="1" t="str">
        <f>HYPERLINK("http://www.genecards.org/cgi-bin/carddisp.pl?gene=ZNF536","GeneCards")</f>
        <v>GeneCards</v>
      </c>
      <c r="D5735" s="1" t="str">
        <f>HYPERLINK("http://genome-euro.ucsc.edu/cgi-bin/hgTracks?position=206403_at","UCSC")</f>
        <v>UCSC</v>
      </c>
      <c r="E5735" s="1" t="str">
        <f>HYPERLINK("http://www.ncbi.nlm.nih.gov/gene/?term=ZNF536","NCBI")</f>
        <v>NCBI</v>
      </c>
      <c r="F5735">
        <v>5.8999999999999997E-2</v>
      </c>
      <c r="G5735">
        <v>0.18</v>
      </c>
      <c r="H5735" s="1" t="str">
        <f>HYPERLINK("http://www.weizmann.ac.il/complex/compphys/software/geview/data/figures/206403_at.png","Figure")</f>
        <v>Figure</v>
      </c>
      <c r="I5735">
        <v>1.03</v>
      </c>
      <c r="J5735">
        <v>0.87</v>
      </c>
      <c r="K5735">
        <v>0.89500000000000002</v>
      </c>
      <c r="L5735">
        <v>0.15</v>
      </c>
      <c r="M5735">
        <v>0.86599999999999999</v>
      </c>
      <c r="N5735">
        <v>7.5999999999999998E-2</v>
      </c>
    </row>
    <row r="5736" spans="1:14" x14ac:dyDescent="0.25">
      <c r="A5736" t="s">
        <v>10334</v>
      </c>
      <c r="B5736" t="s">
        <v>4542</v>
      </c>
      <c r="C5736" s="1" t="str">
        <f>HYPERLINK("http://www.genecards.org/cgi-bin/carddisp.pl?gene=HUWE1","GeneCards")</f>
        <v>GeneCards</v>
      </c>
      <c r="D5736" s="1" t="str">
        <f>HYPERLINK("http://genome-euro.ucsc.edu/cgi-bin/hgTracks?position=207783_x_at","UCSC")</f>
        <v>UCSC</v>
      </c>
      <c r="E5736" s="1" t="str">
        <f>HYPERLINK("http://www.ncbi.nlm.nih.gov/gene/?term=HUWE1","NCBI")</f>
        <v>NCBI</v>
      </c>
      <c r="F5736">
        <v>5.8999999999999997E-2</v>
      </c>
      <c r="G5736">
        <v>0.18</v>
      </c>
      <c r="H5736" s="1" t="str">
        <f>HYPERLINK("http://www.weizmann.ac.il/complex/compphys/software/geview/data/figures/207783_x_at.png","Figure")</f>
        <v>Figure</v>
      </c>
      <c r="I5736">
        <v>0.94299999999999995</v>
      </c>
      <c r="J5736">
        <v>0.81</v>
      </c>
      <c r="K5736">
        <v>0.81100000000000005</v>
      </c>
      <c r="L5736">
        <v>5.8999999999999997E-2</v>
      </c>
      <c r="M5736">
        <v>0.86</v>
      </c>
      <c r="N5736">
        <v>0.24</v>
      </c>
    </row>
    <row r="5737" spans="1:14" x14ac:dyDescent="0.25">
      <c r="A5737" t="s">
        <v>10335</v>
      </c>
      <c r="B5737" t="s">
        <v>10336</v>
      </c>
      <c r="C5737" s="1" t="str">
        <f>HYPERLINK("http://www.genecards.org/cgi-bin/carddisp.pl?gene=SLC9A5","GeneCards")</f>
        <v>GeneCards</v>
      </c>
      <c r="D5737" s="1" t="str">
        <f>HYPERLINK("http://genome-euro.ucsc.edu/cgi-bin/hgTracks?position=220650_s_at","UCSC")</f>
        <v>UCSC</v>
      </c>
      <c r="E5737" s="1" t="str">
        <f>HYPERLINK("http://www.ncbi.nlm.nih.gov/gene/?term=SLC9A5","NCBI")</f>
        <v>NCBI</v>
      </c>
      <c r="F5737">
        <v>5.8999999999999997E-2</v>
      </c>
      <c r="G5737">
        <v>0.18</v>
      </c>
      <c r="H5737" s="1" t="str">
        <f>HYPERLINK("http://www.weizmann.ac.il/complex/compphys/software/geview/data/figures/220650_s_at.png","Figure")</f>
        <v>Figure</v>
      </c>
      <c r="I5737">
        <v>1.24</v>
      </c>
      <c r="J5737">
        <v>4.9000000000000002E-2</v>
      </c>
      <c r="K5737">
        <v>1.0900000000000001</v>
      </c>
      <c r="L5737">
        <v>0.5</v>
      </c>
      <c r="M5737">
        <v>0.874</v>
      </c>
      <c r="N5737">
        <v>0.22</v>
      </c>
    </row>
    <row r="5738" spans="1:14" x14ac:dyDescent="0.25">
      <c r="A5738" t="s">
        <v>10337</v>
      </c>
      <c r="B5738" t="s">
        <v>3827</v>
      </c>
      <c r="C5738" s="1" t="str">
        <f>HYPERLINK("http://www.genecards.org/cgi-bin/carddisp.pl?gene=LOC100293713","GeneCards")</f>
        <v>GeneCards</v>
      </c>
      <c r="D5738" s="1" t="str">
        <f>HYPERLINK("http://genome-euro.ucsc.edu/cgi-bin/hgTracks?position=216301_at","UCSC")</f>
        <v>UCSC</v>
      </c>
      <c r="E5738" s="1" t="str">
        <f>HYPERLINK("http://www.ncbi.nlm.nih.gov/gene/?term=LOC100293713","NCBI")</f>
        <v>NCBI</v>
      </c>
      <c r="F5738">
        <v>5.8999999999999997E-2</v>
      </c>
      <c r="G5738">
        <v>0.18</v>
      </c>
      <c r="H5738" s="1" t="str">
        <f>HYPERLINK("http://www.weizmann.ac.il/complex/compphys/software/geview/data/figures/216301_at.png","Figure")</f>
        <v>Figure</v>
      </c>
      <c r="I5738">
        <v>1.21</v>
      </c>
      <c r="J5738">
        <v>6.9000000000000006E-2</v>
      </c>
      <c r="K5738">
        <v>1.03</v>
      </c>
      <c r="L5738">
        <v>0.92</v>
      </c>
      <c r="M5738">
        <v>0.84799999999999998</v>
      </c>
      <c r="N5738">
        <v>9.5000000000000001E-2</v>
      </c>
    </row>
    <row r="5739" spans="1:14" x14ac:dyDescent="0.25">
      <c r="A5739" t="s">
        <v>10338</v>
      </c>
      <c r="B5739" t="s">
        <v>1090</v>
      </c>
      <c r="C5739" s="1" t="str">
        <f>HYPERLINK("http://www.genecards.org/cgi-bin/carddisp.pl?gene=MED13L","GeneCards")</f>
        <v>GeneCards</v>
      </c>
      <c r="D5739" s="1" t="str">
        <f>HYPERLINK("http://genome-euro.ucsc.edu/cgi-bin/hgTracks?position=216109_at","UCSC")</f>
        <v>UCSC</v>
      </c>
      <c r="E5739" s="1" t="str">
        <f>HYPERLINK("http://www.ncbi.nlm.nih.gov/gene/?term=MED13L","NCBI")</f>
        <v>NCBI</v>
      </c>
      <c r="F5739">
        <v>5.8999999999999997E-2</v>
      </c>
      <c r="G5739">
        <v>0.18</v>
      </c>
      <c r="H5739" s="1" t="str">
        <f>HYPERLINK("http://www.weizmann.ac.il/complex/compphys/software/geview/data/figures/216109_at.png","Figure")</f>
        <v>Figure</v>
      </c>
      <c r="I5739">
        <v>0.85199999999999998</v>
      </c>
      <c r="J5739">
        <v>0.54</v>
      </c>
      <c r="K5739">
        <v>0.71</v>
      </c>
      <c r="L5739">
        <v>0.05</v>
      </c>
      <c r="M5739">
        <v>0.83299999999999996</v>
      </c>
      <c r="N5739">
        <v>0.41</v>
      </c>
    </row>
    <row r="5740" spans="1:14" x14ac:dyDescent="0.25">
      <c r="A5740" t="s">
        <v>10339</v>
      </c>
      <c r="B5740" t="s">
        <v>124</v>
      </c>
      <c r="C5740" s="1" t="str">
        <f>HYPERLINK("http://www.genecards.org/cgi-bin/carddisp.pl?gene=ALOX5","GeneCards")</f>
        <v>GeneCards</v>
      </c>
      <c r="D5740" s="1" t="str">
        <f>HYPERLINK("http://genome-euro.ucsc.edu/cgi-bin/hgTracks?position=204445_s_at","UCSC")</f>
        <v>UCSC</v>
      </c>
      <c r="E5740" s="1" t="str">
        <f>HYPERLINK("http://www.ncbi.nlm.nih.gov/gene/?term=ALOX5","NCBI")</f>
        <v>NCBI</v>
      </c>
      <c r="F5740">
        <v>5.8999999999999997E-2</v>
      </c>
      <c r="G5740">
        <v>0.18</v>
      </c>
      <c r="H5740" s="1" t="str">
        <f>HYPERLINK("http://www.weizmann.ac.il/complex/compphys/software/geview/data/figures/204445_s_at.png","Figure")</f>
        <v>Figure</v>
      </c>
      <c r="I5740">
        <v>0.66400000000000003</v>
      </c>
      <c r="J5740">
        <v>5.5E-2</v>
      </c>
      <c r="K5740">
        <v>0.77200000000000002</v>
      </c>
      <c r="L5740">
        <v>0.19</v>
      </c>
      <c r="M5740">
        <v>1.1599999999999999</v>
      </c>
      <c r="N5740">
        <v>0.57999999999999996</v>
      </c>
    </row>
    <row r="5741" spans="1:14" x14ac:dyDescent="0.25">
      <c r="A5741" t="s">
        <v>10340</v>
      </c>
      <c r="B5741" t="s">
        <v>1298</v>
      </c>
      <c r="C5741" s="1" t="str">
        <f>HYPERLINK("http://www.genecards.org/cgi-bin/carddisp.pl?gene=L3MBTL","GeneCards")</f>
        <v>GeneCards</v>
      </c>
      <c r="D5741" s="1" t="str">
        <f>HYPERLINK("http://genome-euro.ucsc.edu/cgi-bin/hgTracks?position=216076_at","UCSC")</f>
        <v>UCSC</v>
      </c>
      <c r="E5741" s="1" t="str">
        <f>HYPERLINK("http://www.ncbi.nlm.nih.gov/gene/?term=L3MBTL","NCBI")</f>
        <v>NCBI</v>
      </c>
      <c r="F5741">
        <v>5.8999999999999997E-2</v>
      </c>
      <c r="G5741">
        <v>0.18</v>
      </c>
      <c r="H5741" s="1" t="str">
        <f>HYPERLINK("http://www.weizmann.ac.il/complex/compphys/software/geview/data/figures/216076_at.png","Figure")</f>
        <v>Figure</v>
      </c>
      <c r="I5741">
        <v>1.46</v>
      </c>
      <c r="J5741">
        <v>6.8000000000000005E-2</v>
      </c>
      <c r="K5741">
        <v>1.32</v>
      </c>
      <c r="L5741">
        <v>0.13</v>
      </c>
      <c r="M5741">
        <v>0.90800000000000003</v>
      </c>
      <c r="N5741">
        <v>0.78</v>
      </c>
    </row>
    <row r="5742" spans="1:14" x14ac:dyDescent="0.25">
      <c r="A5742" t="s">
        <v>10341</v>
      </c>
      <c r="B5742" t="s">
        <v>10342</v>
      </c>
      <c r="C5742" s="1" t="str">
        <f>HYPERLINK("http://www.genecards.org/cgi-bin/carddisp.pl?gene=TRA@ /// TRAC /// TRAJ17 /// TRAV20","GeneCards")</f>
        <v>GeneCards</v>
      </c>
      <c r="D5742" s="1" t="str">
        <f>HYPERLINK("http://genome-euro.ucsc.edu/cgi-bin/hgTracks?position=210972_x_at","UCSC")</f>
        <v>UCSC</v>
      </c>
      <c r="E5742" s="1" t="str">
        <f>HYPERLINK("http://www.ncbi.nlm.nih.gov/gene/?term=TRA@ /// TRAC /// TRAJ17 /// TRAV20","NCBI")</f>
        <v>NCBI</v>
      </c>
      <c r="F5742">
        <v>5.8999999999999997E-2</v>
      </c>
      <c r="G5742">
        <v>0.18</v>
      </c>
      <c r="H5742" s="1" t="str">
        <f>HYPERLINK("http://www.weizmann.ac.il/complex/compphys/software/geview/data/figures/210972_x_at.png","Figure")</f>
        <v>Figure</v>
      </c>
      <c r="I5742">
        <v>1.18</v>
      </c>
      <c r="J5742">
        <v>0.2</v>
      </c>
      <c r="K5742">
        <v>1.23</v>
      </c>
      <c r="L5742">
        <v>5.3999999999999999E-2</v>
      </c>
      <c r="M5742">
        <v>1.04</v>
      </c>
      <c r="N5742">
        <v>0.89</v>
      </c>
    </row>
    <row r="5743" spans="1:14" x14ac:dyDescent="0.25">
      <c r="A5743" t="s">
        <v>10343</v>
      </c>
      <c r="B5743" t="s">
        <v>10344</v>
      </c>
      <c r="C5743" s="1" t="str">
        <f>HYPERLINK("http://www.genecards.org/cgi-bin/carddisp.pl?gene=PKNOX1","GeneCards")</f>
        <v>GeneCards</v>
      </c>
      <c r="D5743" s="1" t="str">
        <f>HYPERLINK("http://genome-euro.ucsc.edu/cgi-bin/hgTracks?position=204195_s_at","UCSC")</f>
        <v>UCSC</v>
      </c>
      <c r="E5743" s="1" t="str">
        <f>HYPERLINK("http://www.ncbi.nlm.nih.gov/gene/?term=PKNOX1","NCBI")</f>
        <v>NCBI</v>
      </c>
      <c r="F5743">
        <v>5.8999999999999997E-2</v>
      </c>
      <c r="G5743">
        <v>0.18</v>
      </c>
      <c r="H5743" s="1" t="str">
        <f>HYPERLINK("http://www.weizmann.ac.il/complex/compphys/software/geview/data/figures/204195_s_at.png","Figure")</f>
        <v>Figure</v>
      </c>
      <c r="I5743">
        <v>0.95199999999999996</v>
      </c>
      <c r="J5743">
        <v>0.77</v>
      </c>
      <c r="K5743">
        <v>1.1200000000000001</v>
      </c>
      <c r="L5743">
        <v>0.19</v>
      </c>
      <c r="M5743">
        <v>1.17</v>
      </c>
      <c r="N5743">
        <v>6.6000000000000003E-2</v>
      </c>
    </row>
    <row r="5744" spans="1:14" x14ac:dyDescent="0.25">
      <c r="A5744" t="s">
        <v>10345</v>
      </c>
      <c r="B5744" t="s">
        <v>10346</v>
      </c>
      <c r="C5744" s="1" t="str">
        <f>HYPERLINK("http://www.genecards.org/cgi-bin/carddisp.pl?gene=ZNF10","GeneCards")</f>
        <v>GeneCards</v>
      </c>
      <c r="D5744" s="1" t="str">
        <f>HYPERLINK("http://genome-euro.ucsc.edu/cgi-bin/hgTracks?position=216350_s_at","UCSC")</f>
        <v>UCSC</v>
      </c>
      <c r="E5744" s="1" t="str">
        <f>HYPERLINK("http://www.ncbi.nlm.nih.gov/gene/?term=ZNF10","NCBI")</f>
        <v>NCBI</v>
      </c>
      <c r="F5744">
        <v>5.8999999999999997E-2</v>
      </c>
      <c r="G5744">
        <v>0.18</v>
      </c>
      <c r="H5744" s="1" t="str">
        <f>HYPERLINK("http://www.weizmann.ac.il/complex/compphys/software/geview/data/figures/216350_s_at.png","Figure")</f>
        <v>Figure</v>
      </c>
      <c r="I5744">
        <v>1.05</v>
      </c>
      <c r="J5744">
        <v>0.97</v>
      </c>
      <c r="K5744">
        <v>0.65400000000000003</v>
      </c>
      <c r="L5744">
        <v>0.12</v>
      </c>
      <c r="M5744">
        <v>0.621</v>
      </c>
      <c r="N5744">
        <v>9.6000000000000002E-2</v>
      </c>
    </row>
    <row r="5745" spans="1:14" x14ac:dyDescent="0.25">
      <c r="A5745" t="s">
        <v>10347</v>
      </c>
      <c r="B5745" t="s">
        <v>3137</v>
      </c>
      <c r="C5745" s="1" t="str">
        <f>HYPERLINK("http://www.genecards.org/cgi-bin/carddisp.pl?gene=HSPA4","GeneCards")</f>
        <v>GeneCards</v>
      </c>
      <c r="D5745" s="1" t="str">
        <f>HYPERLINK("http://genome-euro.ucsc.edu/cgi-bin/hgTracks?position=208814_at","UCSC")</f>
        <v>UCSC</v>
      </c>
      <c r="E5745" s="1" t="str">
        <f>HYPERLINK("http://www.ncbi.nlm.nih.gov/gene/?term=HSPA4","NCBI")</f>
        <v>NCBI</v>
      </c>
      <c r="F5745">
        <v>5.8999999999999997E-2</v>
      </c>
      <c r="G5745">
        <v>0.18</v>
      </c>
      <c r="H5745" s="1" t="str">
        <f>HYPERLINK("http://www.weizmann.ac.il/complex/compphys/software/geview/data/figures/208814_at.png","Figure")</f>
        <v>Figure</v>
      </c>
      <c r="I5745">
        <v>0.82</v>
      </c>
      <c r="J5745">
        <v>0.38</v>
      </c>
      <c r="K5745">
        <v>1.17</v>
      </c>
      <c r="L5745">
        <v>0.45</v>
      </c>
      <c r="M5745">
        <v>1.42</v>
      </c>
      <c r="N5745">
        <v>4.9000000000000002E-2</v>
      </c>
    </row>
    <row r="5746" spans="1:14" x14ac:dyDescent="0.25">
      <c r="A5746" t="s">
        <v>10348</v>
      </c>
      <c r="B5746" t="s">
        <v>10349</v>
      </c>
      <c r="C5746" s="1" t="str">
        <f>HYPERLINK("http://www.genecards.org/cgi-bin/carddisp.pl?gene=SERPINB9","GeneCards")</f>
        <v>GeneCards</v>
      </c>
      <c r="D5746" s="1" t="str">
        <f>HYPERLINK("http://genome-euro.ucsc.edu/cgi-bin/hgTracks?position=209723_at","UCSC")</f>
        <v>UCSC</v>
      </c>
      <c r="E5746" s="1" t="str">
        <f>HYPERLINK("http://www.ncbi.nlm.nih.gov/gene/?term=SERPINB9","NCBI")</f>
        <v>NCBI</v>
      </c>
      <c r="F5746">
        <v>5.8999999999999997E-2</v>
      </c>
      <c r="G5746">
        <v>0.18</v>
      </c>
      <c r="H5746" s="1" t="str">
        <f>HYPERLINK("http://www.weizmann.ac.il/complex/compphys/software/geview/data/figures/209723_at.png","Figure")</f>
        <v>Figure</v>
      </c>
      <c r="I5746">
        <v>0.40400000000000003</v>
      </c>
      <c r="J5746">
        <v>7.9000000000000001E-2</v>
      </c>
      <c r="K5746">
        <v>0.47799999999999998</v>
      </c>
      <c r="L5746">
        <v>0.1</v>
      </c>
      <c r="M5746">
        <v>1.18</v>
      </c>
      <c r="N5746">
        <v>0.89</v>
      </c>
    </row>
    <row r="5747" spans="1:14" x14ac:dyDescent="0.25">
      <c r="A5747" t="s">
        <v>10350</v>
      </c>
      <c r="B5747" t="s">
        <v>10351</v>
      </c>
      <c r="C5747" s="1" t="str">
        <f>HYPERLINK("http://www.genecards.org/cgi-bin/carddisp.pl?gene=LOC80054","GeneCards")</f>
        <v>GeneCards</v>
      </c>
      <c r="D5747" s="1" t="str">
        <f>HYPERLINK("http://genome-euro.ucsc.edu/cgi-bin/hgTracks?position=220465_at","UCSC")</f>
        <v>UCSC</v>
      </c>
      <c r="E5747" s="1" t="str">
        <f>HYPERLINK("http://www.ncbi.nlm.nih.gov/gene/?term=LOC80054","NCBI")</f>
        <v>NCBI</v>
      </c>
      <c r="F5747">
        <v>5.8999999999999997E-2</v>
      </c>
      <c r="G5747">
        <v>0.18</v>
      </c>
      <c r="H5747" s="1" t="str">
        <f>HYPERLINK("http://www.weizmann.ac.il/complex/compphys/software/geview/data/figures/220465_at.png","Figure")</f>
        <v>Figure</v>
      </c>
      <c r="I5747">
        <v>1.36</v>
      </c>
      <c r="J5747">
        <v>5.8000000000000003E-2</v>
      </c>
      <c r="K5747">
        <v>1.07</v>
      </c>
      <c r="L5747">
        <v>0.78</v>
      </c>
      <c r="M5747">
        <v>0.78800000000000003</v>
      </c>
      <c r="N5747">
        <v>0.13</v>
      </c>
    </row>
    <row r="5748" spans="1:14" x14ac:dyDescent="0.25">
      <c r="A5748" t="s">
        <v>10352</v>
      </c>
      <c r="B5748" t="s">
        <v>10353</v>
      </c>
      <c r="C5748" s="1" t="str">
        <f>HYPERLINK("http://www.genecards.org/cgi-bin/carddisp.pl?gene=SEC62","GeneCards")</f>
        <v>GeneCards</v>
      </c>
      <c r="D5748" s="1" t="str">
        <f>HYPERLINK("http://genome-euro.ucsc.edu/cgi-bin/hgTracks?position=208942_s_at","UCSC")</f>
        <v>UCSC</v>
      </c>
      <c r="E5748" s="1" t="str">
        <f>HYPERLINK("http://www.ncbi.nlm.nih.gov/gene/?term=SEC62","NCBI")</f>
        <v>NCBI</v>
      </c>
      <c r="F5748">
        <v>5.8999999999999997E-2</v>
      </c>
      <c r="G5748">
        <v>0.18</v>
      </c>
      <c r="H5748" s="1" t="str">
        <f>HYPERLINK("http://www.weizmann.ac.il/complex/compphys/software/geview/data/figures/208942_s_at.png","Figure")</f>
        <v>Figure</v>
      </c>
      <c r="I5748">
        <v>0.754</v>
      </c>
      <c r="J5748">
        <v>0.24</v>
      </c>
      <c r="K5748">
        <v>0.68300000000000005</v>
      </c>
      <c r="L5748">
        <v>5.0999999999999997E-2</v>
      </c>
      <c r="M5748">
        <v>0.90700000000000003</v>
      </c>
      <c r="N5748">
        <v>0.81</v>
      </c>
    </row>
    <row r="5749" spans="1:14" x14ac:dyDescent="0.25">
      <c r="A5749" t="s">
        <v>10354</v>
      </c>
      <c r="B5749" t="s">
        <v>10355</v>
      </c>
      <c r="C5749" s="1" t="str">
        <f>HYPERLINK("http://www.genecards.org/cgi-bin/carddisp.pl?gene=NRAS","GeneCards")</f>
        <v>GeneCards</v>
      </c>
      <c r="D5749" s="1" t="str">
        <f>HYPERLINK("http://genome-euro.ucsc.edu/cgi-bin/hgTracks?position=202647_s_at","UCSC")</f>
        <v>UCSC</v>
      </c>
      <c r="E5749" s="1" t="str">
        <f>HYPERLINK("http://www.ncbi.nlm.nih.gov/gene/?term=NRAS","NCBI")</f>
        <v>NCBI</v>
      </c>
      <c r="F5749">
        <v>5.8999999999999997E-2</v>
      </c>
      <c r="G5749">
        <v>0.18</v>
      </c>
      <c r="H5749" s="1" t="str">
        <f>HYPERLINK("http://www.weizmann.ac.il/complex/compphys/software/geview/data/figures/202647_s_at.png","Figure")</f>
        <v>Figure</v>
      </c>
      <c r="I5749">
        <v>1.04</v>
      </c>
      <c r="J5749">
        <v>0.99</v>
      </c>
      <c r="K5749">
        <v>0.56499999999999995</v>
      </c>
      <c r="L5749">
        <v>0.1</v>
      </c>
      <c r="M5749">
        <v>0.54400000000000004</v>
      </c>
      <c r="N5749">
        <v>0.11</v>
      </c>
    </row>
    <row r="5750" spans="1:14" x14ac:dyDescent="0.25">
      <c r="A5750" t="s">
        <v>10356</v>
      </c>
      <c r="B5750" t="s">
        <v>10357</v>
      </c>
      <c r="C5750" s="1" t="str">
        <f>HYPERLINK("http://www.genecards.org/cgi-bin/carddisp.pl?gene=PADI2","GeneCards")</f>
        <v>GeneCards</v>
      </c>
      <c r="D5750" s="1" t="str">
        <f>HYPERLINK("http://genome-euro.ucsc.edu/cgi-bin/hgTracks?position=209791_at","UCSC")</f>
        <v>UCSC</v>
      </c>
      <c r="E5750" s="1" t="str">
        <f>HYPERLINK("http://www.ncbi.nlm.nih.gov/gene/?term=PADI2","NCBI")</f>
        <v>NCBI</v>
      </c>
      <c r="F5750">
        <v>5.8999999999999997E-2</v>
      </c>
      <c r="G5750">
        <v>0.18</v>
      </c>
      <c r="H5750" s="1" t="str">
        <f>HYPERLINK("http://www.weizmann.ac.il/complex/compphys/software/geview/data/figures/209791_at.png","Figure")</f>
        <v>Figure</v>
      </c>
      <c r="I5750">
        <v>1.23</v>
      </c>
      <c r="J5750">
        <v>4.8000000000000001E-2</v>
      </c>
      <c r="K5750">
        <v>1.1000000000000001</v>
      </c>
      <c r="L5750">
        <v>0.38</v>
      </c>
      <c r="M5750">
        <v>0.89100000000000001</v>
      </c>
      <c r="N5750">
        <v>0.3</v>
      </c>
    </row>
    <row r="5751" spans="1:14" x14ac:dyDescent="0.25">
      <c r="A5751" t="s">
        <v>10358</v>
      </c>
      <c r="B5751" t="s">
        <v>10359</v>
      </c>
      <c r="C5751" s="1" t="str">
        <f>HYPERLINK("http://www.genecards.org/cgi-bin/carddisp.pl?gene=ERCC4","GeneCards")</f>
        <v>GeneCards</v>
      </c>
      <c r="D5751" s="1" t="str">
        <f>HYPERLINK("http://genome-euro.ucsc.edu/cgi-bin/hgTracks?position=210158_at","UCSC")</f>
        <v>UCSC</v>
      </c>
      <c r="E5751" s="1" t="str">
        <f>HYPERLINK("http://www.ncbi.nlm.nih.gov/gene/?term=ERCC4","NCBI")</f>
        <v>NCBI</v>
      </c>
      <c r="F5751">
        <v>5.8999999999999997E-2</v>
      </c>
      <c r="G5751">
        <v>0.18</v>
      </c>
      <c r="H5751" s="1" t="str">
        <f>HYPERLINK("http://www.weizmann.ac.il/complex/compphys/software/geview/data/figures/210158_at.png","Figure")</f>
        <v>Figure</v>
      </c>
      <c r="I5751">
        <v>1.07</v>
      </c>
      <c r="J5751">
        <v>0.56000000000000005</v>
      </c>
      <c r="K5751">
        <v>0.92100000000000004</v>
      </c>
      <c r="L5751">
        <v>0.28999999999999998</v>
      </c>
      <c r="M5751">
        <v>0.86399999999999999</v>
      </c>
      <c r="N5751">
        <v>5.5E-2</v>
      </c>
    </row>
    <row r="5752" spans="1:14" x14ac:dyDescent="0.25">
      <c r="A5752" t="s">
        <v>10360</v>
      </c>
      <c r="B5752" t="s">
        <v>1485</v>
      </c>
      <c r="C5752" s="1" t="str">
        <f>HYPERLINK("http://www.genecards.org/cgi-bin/carddisp.pl?gene=CUL4B","GeneCards")</f>
        <v>GeneCards</v>
      </c>
      <c r="D5752" s="1" t="str">
        <f>HYPERLINK("http://genome-euro.ucsc.edu/cgi-bin/hgTracks?position=210257_x_at","UCSC")</f>
        <v>UCSC</v>
      </c>
      <c r="E5752" s="1" t="str">
        <f>HYPERLINK("http://www.ncbi.nlm.nih.gov/gene/?term=CUL4B","NCBI")</f>
        <v>NCBI</v>
      </c>
      <c r="F5752">
        <v>5.8999999999999997E-2</v>
      </c>
      <c r="G5752">
        <v>0.18</v>
      </c>
      <c r="H5752" s="1" t="str">
        <f>HYPERLINK("http://www.weizmann.ac.il/complex/compphys/software/geview/data/figures/210257_x_at.png","Figure")</f>
        <v>Figure</v>
      </c>
      <c r="I5752">
        <v>0.55100000000000005</v>
      </c>
      <c r="J5752">
        <v>9.0999999999999998E-2</v>
      </c>
      <c r="K5752">
        <v>0.59299999999999997</v>
      </c>
      <c r="L5752">
        <v>8.8999999999999996E-2</v>
      </c>
      <c r="M5752">
        <v>1.08</v>
      </c>
      <c r="N5752">
        <v>0.95</v>
      </c>
    </row>
    <row r="5753" spans="1:14" x14ac:dyDescent="0.25">
      <c r="A5753" t="s">
        <v>10361</v>
      </c>
      <c r="B5753" t="s">
        <v>10362</v>
      </c>
      <c r="C5753" s="1" t="str">
        <f>HYPERLINK("http://www.genecards.org/cgi-bin/carddisp.pl?gene=DCUN1D1","GeneCards")</f>
        <v>GeneCards</v>
      </c>
      <c r="D5753" s="1" t="str">
        <f>HYPERLINK("http://genome-euro.ucsc.edu/cgi-bin/hgTracks?position=218583_s_at","UCSC")</f>
        <v>UCSC</v>
      </c>
      <c r="E5753" s="1" t="str">
        <f>HYPERLINK("http://www.ncbi.nlm.nih.gov/gene/?term=DCUN1D1","NCBI")</f>
        <v>NCBI</v>
      </c>
      <c r="F5753">
        <v>5.8999999999999997E-2</v>
      </c>
      <c r="G5753">
        <v>0.18</v>
      </c>
      <c r="H5753" s="1" t="str">
        <f>HYPERLINK("http://www.weizmann.ac.il/complex/compphys/software/geview/data/figures/218583_s_at.png","Figure")</f>
        <v>Figure</v>
      </c>
      <c r="I5753">
        <v>0.80800000000000005</v>
      </c>
      <c r="J5753">
        <v>5.3999999999999999E-2</v>
      </c>
      <c r="K5753">
        <v>0.94199999999999995</v>
      </c>
      <c r="L5753">
        <v>0.69</v>
      </c>
      <c r="M5753">
        <v>1.17</v>
      </c>
      <c r="N5753">
        <v>0.15</v>
      </c>
    </row>
    <row r="5754" spans="1:14" x14ac:dyDescent="0.25">
      <c r="A5754" t="s">
        <v>10363</v>
      </c>
      <c r="B5754" t="s">
        <v>9801</v>
      </c>
      <c r="C5754" s="1" t="str">
        <f>HYPERLINK("http://www.genecards.org/cgi-bin/carddisp.pl?gene=MED16","GeneCards")</f>
        <v>GeneCards</v>
      </c>
      <c r="D5754" s="1" t="str">
        <f>HYPERLINK("http://genome-euro.ucsc.edu/cgi-bin/hgTracks?position=221544_s_at","UCSC")</f>
        <v>UCSC</v>
      </c>
      <c r="E5754" s="1" t="str">
        <f>HYPERLINK("http://www.ncbi.nlm.nih.gov/gene/?term=MED16","NCBI")</f>
        <v>NCBI</v>
      </c>
      <c r="F5754">
        <v>5.8999999999999997E-2</v>
      </c>
      <c r="G5754">
        <v>0.18</v>
      </c>
      <c r="H5754" s="1" t="str">
        <f>HYPERLINK("http://www.weizmann.ac.il/complex/compphys/software/geview/data/figures/221544_s_at.png","Figure")</f>
        <v>Figure</v>
      </c>
      <c r="I5754">
        <v>1.23</v>
      </c>
      <c r="J5754">
        <v>5.7000000000000002E-2</v>
      </c>
      <c r="K5754">
        <v>1.05</v>
      </c>
      <c r="L5754">
        <v>0.75</v>
      </c>
      <c r="M5754">
        <v>0.85499999999999998</v>
      </c>
      <c r="N5754">
        <v>0.13</v>
      </c>
    </row>
    <row r="5755" spans="1:14" x14ac:dyDescent="0.25">
      <c r="A5755" t="s">
        <v>10364</v>
      </c>
      <c r="B5755" t="s">
        <v>3838</v>
      </c>
      <c r="C5755" s="1" t="str">
        <f>HYPERLINK("http://www.genecards.org/cgi-bin/carddisp.pl?gene=TGOLN2","GeneCards")</f>
        <v>GeneCards</v>
      </c>
      <c r="D5755" s="1" t="str">
        <f>HYPERLINK("http://genome-euro.ucsc.edu/cgi-bin/hgTracks?position=212043_at","UCSC")</f>
        <v>UCSC</v>
      </c>
      <c r="E5755" s="1" t="str">
        <f>HYPERLINK("http://www.ncbi.nlm.nih.gov/gene/?term=TGOLN2","NCBI")</f>
        <v>NCBI</v>
      </c>
      <c r="F5755">
        <v>5.8999999999999997E-2</v>
      </c>
      <c r="G5755">
        <v>0.18</v>
      </c>
      <c r="H5755" s="1" t="str">
        <f>HYPERLINK("http://www.weizmann.ac.il/complex/compphys/software/geview/data/figures/212043_at.png","Figure")</f>
        <v>Figure</v>
      </c>
      <c r="I5755">
        <v>0.94199999999999995</v>
      </c>
      <c r="J5755">
        <v>0.77</v>
      </c>
      <c r="K5755">
        <v>0.82799999999999996</v>
      </c>
      <c r="L5755">
        <v>5.7000000000000002E-2</v>
      </c>
      <c r="M5755">
        <v>0.879</v>
      </c>
      <c r="N5755">
        <v>0.26</v>
      </c>
    </row>
    <row r="5756" spans="1:14" x14ac:dyDescent="0.25">
      <c r="A5756" t="s">
        <v>10365</v>
      </c>
      <c r="B5756" t="s">
        <v>10366</v>
      </c>
      <c r="C5756" s="1" t="str">
        <f>HYPERLINK("http://www.genecards.org/cgi-bin/carddisp.pl?gene=ARHGAP24","GeneCards")</f>
        <v>GeneCards</v>
      </c>
      <c r="D5756" s="1" t="str">
        <f>HYPERLINK("http://genome-euro.ucsc.edu/cgi-bin/hgTracks?position=221030_s_at","UCSC")</f>
        <v>UCSC</v>
      </c>
      <c r="E5756" s="1" t="str">
        <f>HYPERLINK("http://www.ncbi.nlm.nih.gov/gene/?term=ARHGAP24","NCBI")</f>
        <v>NCBI</v>
      </c>
      <c r="F5756">
        <v>5.8999999999999997E-2</v>
      </c>
      <c r="G5756">
        <v>0.18</v>
      </c>
      <c r="H5756" s="1" t="str">
        <f>HYPERLINK("http://www.weizmann.ac.il/complex/compphys/software/geview/data/figures/221030_s_at.png","Figure")</f>
        <v>Figure</v>
      </c>
      <c r="I5756">
        <v>1</v>
      </c>
      <c r="J5756">
        <v>1</v>
      </c>
      <c r="K5756">
        <v>0.8</v>
      </c>
      <c r="L5756">
        <v>9.2999999999999999E-2</v>
      </c>
      <c r="M5756">
        <v>0.8</v>
      </c>
      <c r="N5756">
        <v>0.12</v>
      </c>
    </row>
    <row r="5757" spans="1:14" x14ac:dyDescent="0.25">
      <c r="A5757" t="s">
        <v>10367</v>
      </c>
      <c r="B5757" t="s">
        <v>5566</v>
      </c>
      <c r="C5757" s="1" t="str">
        <f>HYPERLINK("http://www.genecards.org/cgi-bin/carddisp.pl?gene=HNRNPA1","GeneCards")</f>
        <v>GeneCards</v>
      </c>
      <c r="D5757" s="1" t="str">
        <f>HYPERLINK("http://genome-euro.ucsc.edu/cgi-bin/hgTracks?position=221919_at","UCSC")</f>
        <v>UCSC</v>
      </c>
      <c r="E5757" s="1" t="str">
        <f>HYPERLINK("http://www.ncbi.nlm.nih.gov/gene/?term=HNRNPA1","NCBI")</f>
        <v>NCBI</v>
      </c>
      <c r="F5757">
        <v>5.8999999999999997E-2</v>
      </c>
      <c r="G5757">
        <v>0.18</v>
      </c>
      <c r="H5757" s="1" t="str">
        <f>HYPERLINK("http://www.weizmann.ac.il/complex/compphys/software/geview/data/figures/221919_at.png","Figure")</f>
        <v>Figure</v>
      </c>
      <c r="I5757">
        <v>0.81</v>
      </c>
      <c r="J5757">
        <v>0.4</v>
      </c>
      <c r="K5757">
        <v>0.69499999999999995</v>
      </c>
      <c r="L5757">
        <v>4.8000000000000001E-2</v>
      </c>
      <c r="M5757">
        <v>0.85899999999999999</v>
      </c>
      <c r="N5757">
        <v>0.56000000000000005</v>
      </c>
    </row>
    <row r="5758" spans="1:14" x14ac:dyDescent="0.25">
      <c r="A5758" t="s">
        <v>10368</v>
      </c>
      <c r="B5758" t="s">
        <v>10369</v>
      </c>
      <c r="C5758" s="1" t="str">
        <f>HYPERLINK("http://www.genecards.org/cgi-bin/carddisp.pl?gene=SLC4A1AP","GeneCards")</f>
        <v>GeneCards</v>
      </c>
      <c r="D5758" s="1" t="str">
        <f>HYPERLINK("http://genome-euro.ucsc.edu/cgi-bin/hgTracks?position=218682_s_at","UCSC")</f>
        <v>UCSC</v>
      </c>
      <c r="E5758" s="1" t="str">
        <f>HYPERLINK("http://www.ncbi.nlm.nih.gov/gene/?term=SLC4A1AP","NCBI")</f>
        <v>NCBI</v>
      </c>
      <c r="F5758">
        <v>5.8999999999999997E-2</v>
      </c>
      <c r="G5758">
        <v>0.18</v>
      </c>
      <c r="H5758" s="1" t="str">
        <f>HYPERLINK("http://www.weizmann.ac.il/complex/compphys/software/geview/data/figures/218682_s_at.png","Figure")</f>
        <v>Figure</v>
      </c>
      <c r="I5758">
        <v>0.76800000000000002</v>
      </c>
      <c r="J5758">
        <v>0.2</v>
      </c>
      <c r="K5758">
        <v>1.0900000000000001</v>
      </c>
      <c r="L5758">
        <v>0.76</v>
      </c>
      <c r="M5758">
        <v>1.43</v>
      </c>
      <c r="N5758">
        <v>0.05</v>
      </c>
    </row>
    <row r="5759" spans="1:14" x14ac:dyDescent="0.25">
      <c r="A5759" t="s">
        <v>10370</v>
      </c>
      <c r="B5759" t="s">
        <v>10371</v>
      </c>
      <c r="C5759" s="1" t="str">
        <f>HYPERLINK("http://www.genecards.org/cgi-bin/carddisp.pl?gene=EEF1B2","GeneCards")</f>
        <v>GeneCards</v>
      </c>
      <c r="D5759" s="1" t="str">
        <f>HYPERLINK("http://genome-euro.ucsc.edu/cgi-bin/hgTracks?position=200705_s_at","UCSC")</f>
        <v>UCSC</v>
      </c>
      <c r="E5759" s="1" t="str">
        <f>HYPERLINK("http://www.ncbi.nlm.nih.gov/gene/?term=EEF1B2","NCBI")</f>
        <v>NCBI</v>
      </c>
      <c r="F5759">
        <v>5.8999999999999997E-2</v>
      </c>
      <c r="G5759">
        <v>0.18</v>
      </c>
      <c r="H5759" s="1" t="str">
        <f>HYPERLINK("http://www.weizmann.ac.il/complex/compphys/software/geview/data/figures/200705_s_at.png","Figure")</f>
        <v>Figure</v>
      </c>
      <c r="I5759">
        <v>1.08</v>
      </c>
      <c r="J5759">
        <v>0.91</v>
      </c>
      <c r="K5759">
        <v>1.47</v>
      </c>
      <c r="L5759">
        <v>6.8000000000000005E-2</v>
      </c>
      <c r="M5759">
        <v>1.36</v>
      </c>
      <c r="N5759">
        <v>0.19</v>
      </c>
    </row>
    <row r="5760" spans="1:14" x14ac:dyDescent="0.25">
      <c r="A5760" t="s">
        <v>10372</v>
      </c>
      <c r="B5760" t="s">
        <v>10373</v>
      </c>
      <c r="C5760" s="1" t="str">
        <f>HYPERLINK("http://www.genecards.org/cgi-bin/carddisp.pl?gene=ST3GAL1","GeneCards")</f>
        <v>GeneCards</v>
      </c>
      <c r="D5760" s="1" t="str">
        <f>HYPERLINK("http://genome-euro.ucsc.edu/cgi-bin/hgTracks?position=208322_s_at","UCSC")</f>
        <v>UCSC</v>
      </c>
      <c r="E5760" s="1" t="str">
        <f>HYPERLINK("http://www.ncbi.nlm.nih.gov/gene/?term=ST3GAL1","NCBI")</f>
        <v>NCBI</v>
      </c>
      <c r="F5760">
        <v>0.06</v>
      </c>
      <c r="G5760">
        <v>0.18</v>
      </c>
      <c r="H5760" s="1" t="str">
        <f>HYPERLINK("http://www.weizmann.ac.il/complex/compphys/software/geview/data/figures/208322_s_at.png","Figure")</f>
        <v>Figure</v>
      </c>
      <c r="I5760">
        <v>0.67</v>
      </c>
      <c r="J5760">
        <v>6.5000000000000002E-2</v>
      </c>
      <c r="K5760">
        <v>0.749</v>
      </c>
      <c r="L5760">
        <v>0.14000000000000001</v>
      </c>
      <c r="M5760">
        <v>1.1200000000000001</v>
      </c>
      <c r="N5760">
        <v>0.74</v>
      </c>
    </row>
    <row r="5761" spans="1:14" x14ac:dyDescent="0.25">
      <c r="A5761" t="s">
        <v>10374</v>
      </c>
      <c r="B5761" t="s">
        <v>10375</v>
      </c>
      <c r="C5761" s="1" t="str">
        <f>HYPERLINK("http://www.genecards.org/cgi-bin/carddisp.pl?gene=FLJ00049","GeneCards")</f>
        <v>GeneCards</v>
      </c>
      <c r="D5761" s="1" t="str">
        <f>HYPERLINK("http://genome-euro.ucsc.edu/cgi-bin/hgTracks?position=216455_at","UCSC")</f>
        <v>UCSC</v>
      </c>
      <c r="E5761" s="1" t="str">
        <f>HYPERLINK("http://www.ncbi.nlm.nih.gov/gene/?term=FLJ00049","NCBI")</f>
        <v>NCBI</v>
      </c>
      <c r="F5761">
        <v>5.8999999999999997E-2</v>
      </c>
      <c r="G5761">
        <v>0.18</v>
      </c>
      <c r="H5761" s="1" t="str">
        <f>HYPERLINK("http://www.weizmann.ac.il/complex/compphys/software/geview/data/figures/216455_at.png","Figure")</f>
        <v>Figure</v>
      </c>
      <c r="I5761">
        <v>1.21</v>
      </c>
      <c r="J5761">
        <v>5.2999999999999999E-2</v>
      </c>
      <c r="K5761">
        <v>1.06</v>
      </c>
      <c r="L5761">
        <v>0.65</v>
      </c>
      <c r="M5761">
        <v>0.874</v>
      </c>
      <c r="N5761">
        <v>0.16</v>
      </c>
    </row>
    <row r="5762" spans="1:14" x14ac:dyDescent="0.25">
      <c r="A5762" t="s">
        <v>10376</v>
      </c>
      <c r="B5762" t="s">
        <v>7096</v>
      </c>
      <c r="C5762" s="1" t="str">
        <f>HYPERLINK("http://www.genecards.org/cgi-bin/carddisp.pl?gene=FZR1","GeneCards")</f>
        <v>GeneCards</v>
      </c>
      <c r="D5762" s="1" t="str">
        <f>HYPERLINK("http://genome-euro.ucsc.edu/cgi-bin/hgTracks?position=209415_at","UCSC")</f>
        <v>UCSC</v>
      </c>
      <c r="E5762" s="1" t="str">
        <f>HYPERLINK("http://www.ncbi.nlm.nih.gov/gene/?term=FZR1","NCBI")</f>
        <v>NCBI</v>
      </c>
      <c r="F5762">
        <v>0.06</v>
      </c>
      <c r="G5762">
        <v>0.18</v>
      </c>
      <c r="H5762" s="1" t="str">
        <f>HYPERLINK("http://www.weizmann.ac.il/complex/compphys/software/geview/data/figures/209415_at.png","Figure")</f>
        <v>Figure</v>
      </c>
      <c r="I5762">
        <v>1.2</v>
      </c>
      <c r="J5762">
        <v>8.2000000000000003E-2</v>
      </c>
      <c r="K5762">
        <v>1.1599999999999999</v>
      </c>
      <c r="L5762">
        <v>9.9000000000000005E-2</v>
      </c>
      <c r="M5762">
        <v>0.97</v>
      </c>
      <c r="N5762">
        <v>0.91</v>
      </c>
    </row>
    <row r="5763" spans="1:14" x14ac:dyDescent="0.25">
      <c r="A5763" t="s">
        <v>10377</v>
      </c>
      <c r="B5763" t="s">
        <v>10378</v>
      </c>
      <c r="C5763" s="1" t="str">
        <f>HYPERLINK("http://www.genecards.org/cgi-bin/carddisp.pl?gene=EIF6","GeneCards")</f>
        <v>GeneCards</v>
      </c>
      <c r="D5763" s="1" t="str">
        <f>HYPERLINK("http://genome-euro.ucsc.edu/cgi-bin/hgTracks?position=210213_s_at","UCSC")</f>
        <v>UCSC</v>
      </c>
      <c r="E5763" s="1" t="str">
        <f>HYPERLINK("http://www.ncbi.nlm.nih.gov/gene/?term=EIF6","NCBI")</f>
        <v>NCBI</v>
      </c>
      <c r="F5763">
        <v>0.06</v>
      </c>
      <c r="G5763">
        <v>0.18</v>
      </c>
      <c r="H5763" s="1" t="str">
        <f>HYPERLINK("http://www.weizmann.ac.il/complex/compphys/software/geview/data/figures/210213_s_at.png","Figure")</f>
        <v>Figure</v>
      </c>
      <c r="I5763">
        <v>1.28</v>
      </c>
      <c r="J5763">
        <v>8.4000000000000005E-2</v>
      </c>
      <c r="K5763">
        <v>1.23</v>
      </c>
      <c r="L5763">
        <v>9.6000000000000002E-2</v>
      </c>
      <c r="M5763">
        <v>0.96199999999999997</v>
      </c>
      <c r="N5763">
        <v>0.92</v>
      </c>
    </row>
    <row r="5764" spans="1:14" x14ac:dyDescent="0.25">
      <c r="A5764" t="s">
        <v>10379</v>
      </c>
      <c r="B5764" t="s">
        <v>10380</v>
      </c>
      <c r="C5764" s="1" t="str">
        <f>HYPERLINK("http://www.genecards.org/cgi-bin/carddisp.pl?gene=C10orf26","GeneCards")</f>
        <v>GeneCards</v>
      </c>
      <c r="D5764" s="1" t="str">
        <f>HYPERLINK("http://genome-euro.ucsc.edu/cgi-bin/hgTracks?position=202808_at","UCSC")</f>
        <v>UCSC</v>
      </c>
      <c r="E5764" s="1" t="str">
        <f>HYPERLINK("http://www.ncbi.nlm.nih.gov/gene/?term=C10orf26","NCBI")</f>
        <v>NCBI</v>
      </c>
      <c r="F5764">
        <v>0.06</v>
      </c>
      <c r="G5764">
        <v>0.18</v>
      </c>
      <c r="H5764" s="1" t="str">
        <f>HYPERLINK("http://www.weizmann.ac.il/complex/compphys/software/geview/data/figures/202808_at.png","Figure")</f>
        <v>Figure</v>
      </c>
      <c r="I5764">
        <v>0.71299999999999997</v>
      </c>
      <c r="J5764">
        <v>0.17</v>
      </c>
      <c r="K5764">
        <v>0.67300000000000004</v>
      </c>
      <c r="L5764">
        <v>5.8000000000000003E-2</v>
      </c>
      <c r="M5764">
        <v>0.94499999999999995</v>
      </c>
      <c r="N5764">
        <v>0.94</v>
      </c>
    </row>
    <row r="5765" spans="1:14" x14ac:dyDescent="0.25">
      <c r="A5765" t="s">
        <v>10381</v>
      </c>
      <c r="B5765" t="s">
        <v>10382</v>
      </c>
      <c r="C5765" s="1" t="str">
        <f>HYPERLINK("http://www.genecards.org/cgi-bin/carddisp.pl?gene=UPF3B","GeneCards")</f>
        <v>GeneCards</v>
      </c>
      <c r="D5765" s="1" t="str">
        <f>HYPERLINK("http://genome-euro.ucsc.edu/cgi-bin/hgTracks?position=218757_s_at","UCSC")</f>
        <v>UCSC</v>
      </c>
      <c r="E5765" s="1" t="str">
        <f>HYPERLINK("http://www.ncbi.nlm.nih.gov/gene/?term=UPF3B","NCBI")</f>
        <v>NCBI</v>
      </c>
      <c r="F5765">
        <v>0.06</v>
      </c>
      <c r="G5765">
        <v>0.18</v>
      </c>
      <c r="H5765" s="1" t="str">
        <f>HYPERLINK("http://www.weizmann.ac.il/complex/compphys/software/geview/data/figures/218757_s_at.png","Figure")</f>
        <v>Figure</v>
      </c>
      <c r="I5765">
        <v>0.42699999999999999</v>
      </c>
      <c r="J5765">
        <v>6.6000000000000003E-2</v>
      </c>
      <c r="K5765">
        <v>0.871</v>
      </c>
      <c r="L5765">
        <v>0.89</v>
      </c>
      <c r="M5765">
        <v>2.04</v>
      </c>
      <c r="N5765">
        <v>0.1</v>
      </c>
    </row>
    <row r="5766" spans="1:14" x14ac:dyDescent="0.25">
      <c r="A5766" t="s">
        <v>10383</v>
      </c>
      <c r="B5766" t="s">
        <v>10384</v>
      </c>
      <c r="C5766" s="1" t="str">
        <f>HYPERLINK("http://www.genecards.org/cgi-bin/carddisp.pl?gene=SFRS2","GeneCards")</f>
        <v>GeneCards</v>
      </c>
      <c r="D5766" s="1" t="str">
        <f>HYPERLINK("http://genome-euro.ucsc.edu/cgi-bin/hgTracks?position=214882_s_at","UCSC")</f>
        <v>UCSC</v>
      </c>
      <c r="E5766" s="1" t="str">
        <f>HYPERLINK("http://www.ncbi.nlm.nih.gov/gene/?term=SFRS2","NCBI")</f>
        <v>NCBI</v>
      </c>
      <c r="F5766">
        <v>0.06</v>
      </c>
      <c r="G5766">
        <v>0.18</v>
      </c>
      <c r="H5766" s="1" t="str">
        <f>HYPERLINK("http://www.weizmann.ac.il/complex/compphys/software/geview/data/figures/214882_s_at.png","Figure")</f>
        <v>Figure</v>
      </c>
      <c r="I5766">
        <v>0.96599999999999997</v>
      </c>
      <c r="J5766">
        <v>0.94</v>
      </c>
      <c r="K5766">
        <v>1.2</v>
      </c>
      <c r="L5766">
        <v>0.13</v>
      </c>
      <c r="M5766">
        <v>1.24</v>
      </c>
      <c r="N5766">
        <v>8.7999999999999995E-2</v>
      </c>
    </row>
    <row r="5767" spans="1:14" x14ac:dyDescent="0.25">
      <c r="A5767" t="s">
        <v>10385</v>
      </c>
      <c r="B5767" t="s">
        <v>10386</v>
      </c>
      <c r="C5767" s="1" t="str">
        <f>HYPERLINK("http://www.genecards.org/cgi-bin/carddisp.pl?gene=C17orf60","GeneCards")</f>
        <v>GeneCards</v>
      </c>
      <c r="D5767" s="1" t="str">
        <f>HYPERLINK("http://genome-euro.ucsc.edu/cgi-bin/hgTracks?position=217513_at","UCSC")</f>
        <v>UCSC</v>
      </c>
      <c r="E5767" s="1" t="str">
        <f>HYPERLINK("http://www.ncbi.nlm.nih.gov/gene/?term=C17orf60","NCBI")</f>
        <v>NCBI</v>
      </c>
      <c r="F5767">
        <v>0.06</v>
      </c>
      <c r="G5767">
        <v>0.18</v>
      </c>
      <c r="H5767" s="1" t="str">
        <f>HYPERLINK("http://www.weizmann.ac.il/complex/compphys/software/geview/data/figures/217513_at.png","Figure")</f>
        <v>Figure</v>
      </c>
      <c r="I5767">
        <v>0.53400000000000003</v>
      </c>
      <c r="J5767">
        <v>5.7000000000000002E-2</v>
      </c>
      <c r="K5767">
        <v>0.86</v>
      </c>
      <c r="L5767">
        <v>0.76</v>
      </c>
      <c r="M5767">
        <v>1.61</v>
      </c>
      <c r="N5767">
        <v>0.13</v>
      </c>
    </row>
    <row r="5768" spans="1:14" x14ac:dyDescent="0.25">
      <c r="A5768" t="s">
        <v>10387</v>
      </c>
      <c r="B5768" t="s">
        <v>10388</v>
      </c>
      <c r="C5768" s="1" t="str">
        <f>HYPERLINK("http://www.genecards.org/cgi-bin/carddisp.pl?gene=IGF2BP2","GeneCards")</f>
        <v>GeneCards</v>
      </c>
      <c r="D5768" s="1" t="str">
        <f>HYPERLINK("http://genome-euro.ucsc.edu/cgi-bin/hgTracks?position=218847_at","UCSC")</f>
        <v>UCSC</v>
      </c>
      <c r="E5768" s="1" t="str">
        <f>HYPERLINK("http://www.ncbi.nlm.nih.gov/gene/?term=IGF2BP2","NCBI")</f>
        <v>NCBI</v>
      </c>
      <c r="F5768">
        <v>0.06</v>
      </c>
      <c r="G5768">
        <v>0.18</v>
      </c>
      <c r="H5768" s="1" t="str">
        <f>HYPERLINK("http://www.weizmann.ac.il/complex/compphys/software/geview/data/figures/218847_at.png","Figure")</f>
        <v>Figure</v>
      </c>
      <c r="I5768">
        <v>0.55500000000000005</v>
      </c>
      <c r="J5768">
        <v>5.3999999999999999E-2</v>
      </c>
      <c r="K5768">
        <v>0.7</v>
      </c>
      <c r="L5768">
        <v>0.21</v>
      </c>
      <c r="M5768">
        <v>1.26</v>
      </c>
      <c r="N5768">
        <v>0.54</v>
      </c>
    </row>
    <row r="5769" spans="1:14" x14ac:dyDescent="0.25">
      <c r="A5769" t="s">
        <v>10389</v>
      </c>
      <c r="B5769" t="s">
        <v>10390</v>
      </c>
      <c r="C5769" s="1" t="str">
        <f>HYPERLINK("http://www.genecards.org/cgi-bin/carddisp.pl?gene=NQO1","GeneCards")</f>
        <v>GeneCards</v>
      </c>
      <c r="D5769" s="1" t="str">
        <f>HYPERLINK("http://genome-euro.ucsc.edu/cgi-bin/hgTracks?position=210519_s_at","UCSC")</f>
        <v>UCSC</v>
      </c>
      <c r="E5769" s="1" t="str">
        <f>HYPERLINK("http://www.ncbi.nlm.nih.gov/gene/?term=NQO1","NCBI")</f>
        <v>NCBI</v>
      </c>
      <c r="F5769">
        <v>0.06</v>
      </c>
      <c r="G5769">
        <v>0.18</v>
      </c>
      <c r="H5769" s="1" t="str">
        <f>HYPERLINK("http://www.weizmann.ac.il/complex/compphys/software/geview/data/figures/210519_s_at.png","Figure")</f>
        <v>Figure</v>
      </c>
      <c r="I5769">
        <v>1.1200000000000001</v>
      </c>
      <c r="J5769">
        <v>4.9000000000000002E-2</v>
      </c>
      <c r="K5769">
        <v>1.05</v>
      </c>
      <c r="L5769">
        <v>0.44</v>
      </c>
      <c r="M5769">
        <v>0.93400000000000005</v>
      </c>
      <c r="N5769">
        <v>0.26</v>
      </c>
    </row>
    <row r="5770" spans="1:14" x14ac:dyDescent="0.25">
      <c r="A5770" t="s">
        <v>10391</v>
      </c>
      <c r="B5770" t="s">
        <v>10392</v>
      </c>
      <c r="C5770" s="1" t="str">
        <f>HYPERLINK("http://www.genecards.org/cgi-bin/carddisp.pl?gene=P4HB","GeneCards")</f>
        <v>GeneCards</v>
      </c>
      <c r="D5770" s="1" t="str">
        <f>HYPERLINK("http://genome-euro.ucsc.edu/cgi-bin/hgTracks?position=200656_s_at","UCSC")</f>
        <v>UCSC</v>
      </c>
      <c r="E5770" s="1" t="str">
        <f>HYPERLINK("http://www.ncbi.nlm.nih.gov/gene/?term=P4HB","NCBI")</f>
        <v>NCBI</v>
      </c>
      <c r="F5770">
        <v>0.06</v>
      </c>
      <c r="G5770">
        <v>0.18</v>
      </c>
      <c r="H5770" s="1" t="str">
        <f>HYPERLINK("http://www.weizmann.ac.il/complex/compphys/software/geview/data/figures/200656_s_at.png","Figure")</f>
        <v>Figure</v>
      </c>
      <c r="I5770">
        <v>0.70899999999999996</v>
      </c>
      <c r="J5770">
        <v>4.9000000000000002E-2</v>
      </c>
      <c r="K5770">
        <v>0.86699999999999999</v>
      </c>
      <c r="L5770">
        <v>0.44</v>
      </c>
      <c r="M5770">
        <v>1.22</v>
      </c>
      <c r="N5770">
        <v>0.26</v>
      </c>
    </row>
    <row r="5771" spans="1:14" x14ac:dyDescent="0.25">
      <c r="A5771" t="s">
        <v>10393</v>
      </c>
      <c r="B5771" t="s">
        <v>10394</v>
      </c>
      <c r="C5771" s="1" t="str">
        <f>HYPERLINK("http://www.genecards.org/cgi-bin/carddisp.pl?gene=NBN","GeneCards")</f>
        <v>GeneCards</v>
      </c>
      <c r="D5771" s="1" t="str">
        <f>HYPERLINK("http://genome-euro.ucsc.edu/cgi-bin/hgTracks?position=202907_s_at","UCSC")</f>
        <v>UCSC</v>
      </c>
      <c r="E5771" s="1" t="str">
        <f>HYPERLINK("http://www.ncbi.nlm.nih.gov/gene/?term=NBN","NCBI")</f>
        <v>NCBI</v>
      </c>
      <c r="F5771">
        <v>0.06</v>
      </c>
      <c r="G5771">
        <v>0.18</v>
      </c>
      <c r="H5771" s="1" t="str">
        <f>HYPERLINK("http://www.weizmann.ac.il/complex/compphys/software/geview/data/figures/202907_s_at.png","Figure")</f>
        <v>Figure</v>
      </c>
      <c r="I5771">
        <v>0.58699999999999997</v>
      </c>
      <c r="J5771">
        <v>0.06</v>
      </c>
      <c r="K5771">
        <v>0.89300000000000002</v>
      </c>
      <c r="L5771">
        <v>0.81</v>
      </c>
      <c r="M5771">
        <v>1.52</v>
      </c>
      <c r="N5771">
        <v>0.12</v>
      </c>
    </row>
    <row r="5772" spans="1:14" x14ac:dyDescent="0.25">
      <c r="A5772" t="s">
        <v>10395</v>
      </c>
      <c r="B5772" t="s">
        <v>10396</v>
      </c>
      <c r="C5772" s="1" t="str">
        <f>HYPERLINK("http://www.genecards.org/cgi-bin/carddisp.pl?gene=OBSL1","GeneCards")</f>
        <v>GeneCards</v>
      </c>
      <c r="D5772" s="1" t="str">
        <f>HYPERLINK("http://genome-euro.ucsc.edu/cgi-bin/hgTracks?position=212776_s_at","UCSC")</f>
        <v>UCSC</v>
      </c>
      <c r="E5772" s="1" t="str">
        <f>HYPERLINK("http://www.ncbi.nlm.nih.gov/gene/?term=OBSL1","NCBI")</f>
        <v>NCBI</v>
      </c>
      <c r="F5772">
        <v>0.06</v>
      </c>
      <c r="G5772">
        <v>0.18</v>
      </c>
      <c r="H5772" s="1" t="str">
        <f>HYPERLINK("http://www.weizmann.ac.il/complex/compphys/software/geview/data/figures/212776_s_at.png","Figure")</f>
        <v>Figure</v>
      </c>
      <c r="I5772">
        <v>1.23</v>
      </c>
      <c r="J5772">
        <v>9.2999999999999999E-2</v>
      </c>
      <c r="K5772">
        <v>1</v>
      </c>
      <c r="L5772">
        <v>1</v>
      </c>
      <c r="M5772">
        <v>0.81100000000000005</v>
      </c>
      <c r="N5772">
        <v>7.0999999999999994E-2</v>
      </c>
    </row>
    <row r="5773" spans="1:14" x14ac:dyDescent="0.25">
      <c r="A5773" t="s">
        <v>10397</v>
      </c>
      <c r="B5773" t="s">
        <v>10398</v>
      </c>
      <c r="C5773" s="1" t="str">
        <f>HYPERLINK("http://www.genecards.org/cgi-bin/carddisp.pl?gene=DIS3","GeneCards")</f>
        <v>GeneCards</v>
      </c>
      <c r="D5773" s="1" t="str">
        <f>HYPERLINK("http://genome-euro.ucsc.edu/cgi-bin/hgTracks?position=218362_s_at","UCSC")</f>
        <v>UCSC</v>
      </c>
      <c r="E5773" s="1" t="str">
        <f>HYPERLINK("http://www.ncbi.nlm.nih.gov/gene/?term=DIS3","NCBI")</f>
        <v>NCBI</v>
      </c>
      <c r="F5773">
        <v>0.06</v>
      </c>
      <c r="G5773">
        <v>0.18</v>
      </c>
      <c r="H5773" s="1" t="str">
        <f>HYPERLINK("http://www.weizmann.ac.il/complex/compphys/software/geview/data/figures/218362_s_at.png","Figure")</f>
        <v>Figure</v>
      </c>
      <c r="I5773">
        <v>0.96599999999999997</v>
      </c>
      <c r="J5773">
        <v>7.6999999999999999E-2</v>
      </c>
      <c r="K5773">
        <v>0.997</v>
      </c>
      <c r="L5773">
        <v>0.97</v>
      </c>
      <c r="M5773">
        <v>1.03</v>
      </c>
      <c r="N5773">
        <v>8.4000000000000005E-2</v>
      </c>
    </row>
    <row r="5774" spans="1:14" x14ac:dyDescent="0.25">
      <c r="A5774" t="s">
        <v>10399</v>
      </c>
      <c r="B5774" t="s">
        <v>10400</v>
      </c>
      <c r="C5774" s="1" t="str">
        <f>HYPERLINK("http://www.genecards.org/cgi-bin/carddisp.pl?gene=CSF2RA","GeneCards")</f>
        <v>GeneCards</v>
      </c>
      <c r="D5774" s="1" t="str">
        <f>HYPERLINK("http://genome-euro.ucsc.edu/cgi-bin/hgTracks?position=211287_x_at","UCSC")</f>
        <v>UCSC</v>
      </c>
      <c r="E5774" s="1" t="str">
        <f>HYPERLINK("http://www.ncbi.nlm.nih.gov/gene/?term=CSF2RA","NCBI")</f>
        <v>NCBI</v>
      </c>
      <c r="F5774">
        <v>0.06</v>
      </c>
      <c r="G5774">
        <v>0.18</v>
      </c>
      <c r="H5774" s="1" t="str">
        <f>HYPERLINK("http://www.weizmann.ac.il/complex/compphys/software/geview/data/figures/211287_x_at.png","Figure")</f>
        <v>Figure</v>
      </c>
      <c r="I5774">
        <v>1.1599999999999999</v>
      </c>
      <c r="J5774">
        <v>0.11</v>
      </c>
      <c r="K5774">
        <v>1.1599999999999999</v>
      </c>
      <c r="L5774">
        <v>7.3999999999999996E-2</v>
      </c>
      <c r="M5774">
        <v>0.996</v>
      </c>
      <c r="N5774">
        <v>1</v>
      </c>
    </row>
    <row r="5775" spans="1:14" x14ac:dyDescent="0.25">
      <c r="A5775" t="s">
        <v>10401</v>
      </c>
      <c r="B5775" t="s">
        <v>10402</v>
      </c>
      <c r="C5775" s="1" t="str">
        <f>HYPERLINK("http://www.genecards.org/cgi-bin/carddisp.pl?gene=MATR3","GeneCards")</f>
        <v>GeneCards</v>
      </c>
      <c r="D5775" s="1" t="str">
        <f>HYPERLINK("http://genome-euro.ucsc.edu/cgi-bin/hgTracks?position=200626_s_at","UCSC")</f>
        <v>UCSC</v>
      </c>
      <c r="E5775" s="1" t="str">
        <f>HYPERLINK("http://www.ncbi.nlm.nih.gov/gene/?term=MATR3","NCBI")</f>
        <v>NCBI</v>
      </c>
      <c r="F5775">
        <v>0.06</v>
      </c>
      <c r="G5775">
        <v>0.18</v>
      </c>
      <c r="H5775" s="1" t="str">
        <f>HYPERLINK("http://www.weizmann.ac.il/complex/compphys/software/geview/data/figures/200626_s_at.png","Figure")</f>
        <v>Figure</v>
      </c>
      <c r="I5775">
        <v>0.98599999999999999</v>
      </c>
      <c r="J5775">
        <v>0.99</v>
      </c>
      <c r="K5775">
        <v>0.80100000000000005</v>
      </c>
      <c r="L5775">
        <v>8.4000000000000005E-2</v>
      </c>
      <c r="M5775">
        <v>0.81200000000000006</v>
      </c>
      <c r="N5775">
        <v>0.14000000000000001</v>
      </c>
    </row>
    <row r="5776" spans="1:14" x14ac:dyDescent="0.25">
      <c r="A5776" t="s">
        <v>10403</v>
      </c>
      <c r="B5776" t="s">
        <v>1359</v>
      </c>
      <c r="C5776" s="1" t="str">
        <f>HYPERLINK("http://www.genecards.org/cgi-bin/carddisp.pl?gene=ENOSF1","GeneCards")</f>
        <v>GeneCards</v>
      </c>
      <c r="D5776" s="1" t="str">
        <f>HYPERLINK("http://genome-euro.ucsc.edu/cgi-bin/hgTracks?position=204142_at","UCSC")</f>
        <v>UCSC</v>
      </c>
      <c r="E5776" s="1" t="str">
        <f>HYPERLINK("http://www.ncbi.nlm.nih.gov/gene/?term=ENOSF1","NCBI")</f>
        <v>NCBI</v>
      </c>
      <c r="F5776">
        <v>0.06</v>
      </c>
      <c r="G5776">
        <v>0.18</v>
      </c>
      <c r="H5776" s="1" t="str">
        <f>HYPERLINK("http://www.weizmann.ac.il/complex/compphys/software/geview/data/figures/204142_at.png","Figure")</f>
        <v>Figure</v>
      </c>
      <c r="I5776">
        <v>0.48099999999999998</v>
      </c>
      <c r="J5776">
        <v>7.3999999999999996E-2</v>
      </c>
      <c r="K5776">
        <v>0.56499999999999995</v>
      </c>
      <c r="L5776">
        <v>0.11</v>
      </c>
      <c r="M5776">
        <v>1.17</v>
      </c>
      <c r="N5776">
        <v>0.84</v>
      </c>
    </row>
    <row r="5777" spans="1:14" x14ac:dyDescent="0.25">
      <c r="A5777" t="s">
        <v>10404</v>
      </c>
      <c r="B5777" t="s">
        <v>10405</v>
      </c>
      <c r="C5777" s="1" t="str">
        <f>HYPERLINK("http://www.genecards.org/cgi-bin/carddisp.pl?gene=PDIA6","GeneCards")</f>
        <v>GeneCards</v>
      </c>
      <c r="D5777" s="1" t="str">
        <f>HYPERLINK("http://genome-euro.ucsc.edu/cgi-bin/hgTracks?position=207668_x_at","UCSC")</f>
        <v>UCSC</v>
      </c>
      <c r="E5777" s="1" t="str">
        <f>HYPERLINK("http://www.ncbi.nlm.nih.gov/gene/?term=PDIA6","NCBI")</f>
        <v>NCBI</v>
      </c>
      <c r="F5777">
        <v>0.06</v>
      </c>
      <c r="G5777">
        <v>0.18</v>
      </c>
      <c r="H5777" s="1" t="str">
        <f>HYPERLINK("http://www.weizmann.ac.il/complex/compphys/software/geview/data/figures/207668_x_at.png","Figure")</f>
        <v>Figure</v>
      </c>
      <c r="I5777">
        <v>1.08</v>
      </c>
      <c r="J5777">
        <v>0.91</v>
      </c>
      <c r="K5777">
        <v>1.49</v>
      </c>
      <c r="L5777">
        <v>6.8000000000000005E-2</v>
      </c>
      <c r="M5777">
        <v>1.38</v>
      </c>
      <c r="N5777">
        <v>0.19</v>
      </c>
    </row>
    <row r="5778" spans="1:14" x14ac:dyDescent="0.25">
      <c r="A5778" t="s">
        <v>10406</v>
      </c>
      <c r="B5778" t="s">
        <v>10407</v>
      </c>
      <c r="C5778" s="1" t="str">
        <f>HYPERLINK("http://www.genecards.org/cgi-bin/carddisp.pl?gene=DOK4","GeneCards")</f>
        <v>GeneCards</v>
      </c>
      <c r="D5778" s="1" t="str">
        <f>HYPERLINK("http://genome-euro.ucsc.edu/cgi-bin/hgTracks?position=207747_s_at","UCSC")</f>
        <v>UCSC</v>
      </c>
      <c r="E5778" s="1" t="str">
        <f>HYPERLINK("http://www.ncbi.nlm.nih.gov/gene/?term=DOK4","NCBI")</f>
        <v>NCBI</v>
      </c>
      <c r="F5778">
        <v>0.06</v>
      </c>
      <c r="G5778">
        <v>0.18</v>
      </c>
      <c r="H5778" s="1" t="str">
        <f>HYPERLINK("http://www.weizmann.ac.il/complex/compphys/software/geview/data/figures/207747_s_at.png","Figure")</f>
        <v>Figure</v>
      </c>
      <c r="I5778">
        <v>1.26</v>
      </c>
      <c r="J5778">
        <v>5.1999999999999998E-2</v>
      </c>
      <c r="K5778">
        <v>1.1399999999999999</v>
      </c>
      <c r="L5778">
        <v>0.25</v>
      </c>
      <c r="M5778">
        <v>0.90500000000000003</v>
      </c>
      <c r="N5778">
        <v>0.46</v>
      </c>
    </row>
    <row r="5779" spans="1:14" x14ac:dyDescent="0.25">
      <c r="A5779" t="s">
        <v>10408</v>
      </c>
      <c r="B5779" t="s">
        <v>10409</v>
      </c>
      <c r="C5779" s="1" t="str">
        <f>HYPERLINK("http://www.genecards.org/cgi-bin/carddisp.pl?gene=ABCG2","GeneCards")</f>
        <v>GeneCards</v>
      </c>
      <c r="D5779" s="1" t="str">
        <f>HYPERLINK("http://genome-euro.ucsc.edu/cgi-bin/hgTracks?position=209735_at","UCSC")</f>
        <v>UCSC</v>
      </c>
      <c r="E5779" s="1" t="str">
        <f>HYPERLINK("http://www.ncbi.nlm.nih.gov/gene/?term=ABCG2","NCBI")</f>
        <v>NCBI</v>
      </c>
      <c r="F5779">
        <v>0.06</v>
      </c>
      <c r="G5779">
        <v>0.18</v>
      </c>
      <c r="H5779" s="1" t="str">
        <f>HYPERLINK("http://www.weizmann.ac.il/complex/compphys/software/geview/data/figures/209735_at.png","Figure")</f>
        <v>Figure</v>
      </c>
      <c r="I5779">
        <v>1.18</v>
      </c>
      <c r="J5779">
        <v>0.39</v>
      </c>
      <c r="K5779">
        <v>0.875</v>
      </c>
      <c r="L5779">
        <v>0.43</v>
      </c>
      <c r="M5779">
        <v>0.74399999999999999</v>
      </c>
      <c r="N5779">
        <v>0.05</v>
      </c>
    </row>
    <row r="5780" spans="1:14" x14ac:dyDescent="0.25">
      <c r="A5780" t="s">
        <v>10410</v>
      </c>
      <c r="B5780" t="s">
        <v>10411</v>
      </c>
      <c r="C5780" s="1" t="str">
        <f>HYPERLINK("http://www.genecards.org/cgi-bin/carddisp.pl?gene=AKAP7","GeneCards")</f>
        <v>GeneCards</v>
      </c>
      <c r="D5780" s="1" t="str">
        <f>HYPERLINK("http://genome-euro.ucsc.edu/cgi-bin/hgTracks?position=211172_x_at","UCSC")</f>
        <v>UCSC</v>
      </c>
      <c r="E5780" s="1" t="str">
        <f>HYPERLINK("http://www.ncbi.nlm.nih.gov/gene/?term=AKAP7","NCBI")</f>
        <v>NCBI</v>
      </c>
      <c r="F5780">
        <v>0.06</v>
      </c>
      <c r="G5780">
        <v>0.18</v>
      </c>
      <c r="H5780" s="1" t="str">
        <f>HYPERLINK("http://www.weizmann.ac.il/complex/compphys/software/geview/data/figures/211172_x_at.png","Figure")</f>
        <v>Figure</v>
      </c>
      <c r="I5780">
        <v>1.29</v>
      </c>
      <c r="J5780">
        <v>5.8000000000000003E-2</v>
      </c>
      <c r="K5780">
        <v>1.18</v>
      </c>
      <c r="L5780">
        <v>0.18</v>
      </c>
      <c r="M5780">
        <v>0.91500000000000004</v>
      </c>
      <c r="N5780">
        <v>0.61</v>
      </c>
    </row>
    <row r="5781" spans="1:14" x14ac:dyDescent="0.25">
      <c r="A5781" t="s">
        <v>10412</v>
      </c>
      <c r="B5781" t="s">
        <v>10413</v>
      </c>
      <c r="C5781" s="1" t="str">
        <f>HYPERLINK("http://www.genecards.org/cgi-bin/carddisp.pl?gene=FAM118A","GeneCards")</f>
        <v>GeneCards</v>
      </c>
      <c r="D5781" s="1" t="str">
        <f>HYPERLINK("http://genome-euro.ucsc.edu/cgi-bin/hgTracks?position=219629_at","UCSC")</f>
        <v>UCSC</v>
      </c>
      <c r="E5781" s="1" t="str">
        <f>HYPERLINK("http://www.ncbi.nlm.nih.gov/gene/?term=FAM118A","NCBI")</f>
        <v>NCBI</v>
      </c>
      <c r="F5781">
        <v>0.06</v>
      </c>
      <c r="G5781">
        <v>0.18</v>
      </c>
      <c r="H5781" s="1" t="str">
        <f>HYPERLINK("http://www.weizmann.ac.il/complex/compphys/software/geview/data/figures/219629_at.png","Figure")</f>
        <v>Figure</v>
      </c>
      <c r="I5781">
        <v>1.1100000000000001</v>
      </c>
      <c r="J5781">
        <v>0.24</v>
      </c>
      <c r="K5781">
        <v>1.1499999999999999</v>
      </c>
      <c r="L5781">
        <v>5.1999999999999998E-2</v>
      </c>
      <c r="M5781">
        <v>1.03</v>
      </c>
      <c r="N5781">
        <v>0.82</v>
      </c>
    </row>
    <row r="5782" spans="1:14" x14ac:dyDescent="0.25">
      <c r="A5782" t="s">
        <v>10414</v>
      </c>
      <c r="B5782" t="s">
        <v>10415</v>
      </c>
      <c r="C5782" s="1" t="str">
        <f>HYPERLINK("http://www.genecards.org/cgi-bin/carddisp.pl?gene=HR","GeneCards")</f>
        <v>GeneCards</v>
      </c>
      <c r="D5782" s="1" t="str">
        <f>HYPERLINK("http://genome-euro.ucsc.edu/cgi-bin/hgTracks?position=220163_s_at","UCSC")</f>
        <v>UCSC</v>
      </c>
      <c r="E5782" s="1" t="str">
        <f>HYPERLINK("http://www.ncbi.nlm.nih.gov/gene/?term=HR","NCBI")</f>
        <v>NCBI</v>
      </c>
      <c r="F5782">
        <v>0.06</v>
      </c>
      <c r="G5782">
        <v>0.18</v>
      </c>
      <c r="H5782" s="1" t="str">
        <f>HYPERLINK("http://www.weizmann.ac.il/complex/compphys/software/geview/data/figures/220163_s_at.png","Figure")</f>
        <v>Figure</v>
      </c>
      <c r="I5782">
        <v>1.31</v>
      </c>
      <c r="J5782">
        <v>4.9000000000000002E-2</v>
      </c>
      <c r="K5782">
        <v>1.1399999999999999</v>
      </c>
      <c r="L5782">
        <v>0.34</v>
      </c>
      <c r="M5782">
        <v>0.87</v>
      </c>
      <c r="N5782">
        <v>0.33</v>
      </c>
    </row>
    <row r="5783" spans="1:14" x14ac:dyDescent="0.25">
      <c r="A5783" t="s">
        <v>10416</v>
      </c>
      <c r="B5783" t="s">
        <v>10417</v>
      </c>
      <c r="C5783" s="1" t="str">
        <f>HYPERLINK("http://www.genecards.org/cgi-bin/carddisp.pl?gene=MFSD7","GeneCards")</f>
        <v>GeneCards</v>
      </c>
      <c r="D5783" s="1" t="str">
        <f>HYPERLINK("http://genome-euro.ucsc.edu/cgi-bin/hgTracks?position=205144_at","UCSC")</f>
        <v>UCSC</v>
      </c>
      <c r="E5783" s="1" t="str">
        <f>HYPERLINK("http://www.ncbi.nlm.nih.gov/gene/?term=MFSD7","NCBI")</f>
        <v>NCBI</v>
      </c>
      <c r="F5783">
        <v>0.06</v>
      </c>
      <c r="G5783">
        <v>0.18</v>
      </c>
      <c r="H5783" s="1" t="str">
        <f>HYPERLINK("http://www.weizmann.ac.il/complex/compphys/software/geview/data/figures/205144_at.png","Figure")</f>
        <v>Figure</v>
      </c>
      <c r="I5783">
        <v>1.28</v>
      </c>
      <c r="J5783">
        <v>4.9000000000000002E-2</v>
      </c>
      <c r="K5783">
        <v>1.1000000000000001</v>
      </c>
      <c r="L5783">
        <v>0.48</v>
      </c>
      <c r="M5783">
        <v>0.85899999999999999</v>
      </c>
      <c r="N5783">
        <v>0.23</v>
      </c>
    </row>
    <row r="5784" spans="1:14" x14ac:dyDescent="0.25">
      <c r="A5784" t="s">
        <v>10418</v>
      </c>
      <c r="B5784" t="s">
        <v>10419</v>
      </c>
      <c r="C5784" s="1" t="str">
        <f>HYPERLINK("http://www.genecards.org/cgi-bin/carddisp.pl?gene=KIAA0319L","GeneCards")</f>
        <v>GeneCards</v>
      </c>
      <c r="D5784" s="1" t="str">
        <f>HYPERLINK("http://genome-euro.ucsc.edu/cgi-bin/hgTracks?position=217929_s_at","UCSC")</f>
        <v>UCSC</v>
      </c>
      <c r="E5784" s="1" t="str">
        <f>HYPERLINK("http://www.ncbi.nlm.nih.gov/gene/?term=KIAA0319L","NCBI")</f>
        <v>NCBI</v>
      </c>
      <c r="F5784">
        <v>0.06</v>
      </c>
      <c r="G5784">
        <v>0.18</v>
      </c>
      <c r="H5784" s="1" t="str">
        <f>HYPERLINK("http://www.weizmann.ac.il/complex/compphys/software/geview/data/figures/217929_s_at.png","Figure")</f>
        <v>Figure</v>
      </c>
      <c r="I5784">
        <v>1.22</v>
      </c>
      <c r="J5784">
        <v>0.11</v>
      </c>
      <c r="K5784">
        <v>0.99</v>
      </c>
      <c r="L5784">
        <v>0.99</v>
      </c>
      <c r="M5784">
        <v>0.81299999999999994</v>
      </c>
      <c r="N5784">
        <v>6.5000000000000002E-2</v>
      </c>
    </row>
    <row r="5785" spans="1:14" x14ac:dyDescent="0.25">
      <c r="A5785" t="s">
        <v>10420</v>
      </c>
      <c r="B5785" t="s">
        <v>10421</v>
      </c>
      <c r="C5785" s="1" t="str">
        <f>HYPERLINK("http://www.genecards.org/cgi-bin/carddisp.pl?gene=KRTAP5-9","GeneCards")</f>
        <v>GeneCards</v>
      </c>
      <c r="D5785" s="1" t="str">
        <f>HYPERLINK("http://genome-euro.ucsc.edu/cgi-bin/hgTracks?position=214517_at","UCSC")</f>
        <v>UCSC</v>
      </c>
      <c r="E5785" s="1" t="str">
        <f>HYPERLINK("http://www.ncbi.nlm.nih.gov/gene/?term=KRTAP5-9","NCBI")</f>
        <v>NCBI</v>
      </c>
      <c r="F5785">
        <v>0.06</v>
      </c>
      <c r="G5785">
        <v>0.18</v>
      </c>
      <c r="H5785" s="1" t="str">
        <f>HYPERLINK("http://www.weizmann.ac.il/complex/compphys/software/geview/data/figures/214517_at.png","Figure")</f>
        <v>Figure</v>
      </c>
      <c r="I5785">
        <v>1.18</v>
      </c>
      <c r="J5785">
        <v>0.05</v>
      </c>
      <c r="K5785">
        <v>1.0900000000000001</v>
      </c>
      <c r="L5785">
        <v>0.28999999999999998</v>
      </c>
      <c r="M5785">
        <v>0.92200000000000004</v>
      </c>
      <c r="N5785">
        <v>0.39</v>
      </c>
    </row>
    <row r="5786" spans="1:14" x14ac:dyDescent="0.25">
      <c r="A5786" t="s">
        <v>10422</v>
      </c>
      <c r="B5786" t="s">
        <v>10423</v>
      </c>
      <c r="C5786" s="1" t="str">
        <f>HYPERLINK("http://www.genecards.org/cgi-bin/carddisp.pl?gene=FCGBP","GeneCards")</f>
        <v>GeneCards</v>
      </c>
      <c r="D5786" s="1" t="str">
        <f>HYPERLINK("http://genome-euro.ucsc.edu/cgi-bin/hgTracks?position=203240_at","UCSC")</f>
        <v>UCSC</v>
      </c>
      <c r="E5786" s="1" t="str">
        <f>HYPERLINK("http://www.ncbi.nlm.nih.gov/gene/?term=FCGBP","NCBI")</f>
        <v>NCBI</v>
      </c>
      <c r="F5786">
        <v>0.06</v>
      </c>
      <c r="G5786">
        <v>0.18</v>
      </c>
      <c r="H5786" s="1" t="str">
        <f>HYPERLINK("http://www.weizmann.ac.il/complex/compphys/software/geview/data/figures/203240_at.png","Figure")</f>
        <v>Figure</v>
      </c>
      <c r="I5786">
        <v>0.96399999999999997</v>
      </c>
      <c r="J5786">
        <v>0.96</v>
      </c>
      <c r="K5786">
        <v>0.75600000000000001</v>
      </c>
      <c r="L5786">
        <v>7.4999999999999997E-2</v>
      </c>
      <c r="M5786">
        <v>0.78400000000000003</v>
      </c>
      <c r="N5786">
        <v>0.16</v>
      </c>
    </row>
    <row r="5787" spans="1:14" x14ac:dyDescent="0.25">
      <c r="A5787" t="s">
        <v>10424</v>
      </c>
      <c r="B5787" t="s">
        <v>10425</v>
      </c>
      <c r="C5787" s="1" t="str">
        <f>HYPERLINK("http://www.genecards.org/cgi-bin/carddisp.pl?gene=GPR161","GeneCards")</f>
        <v>GeneCards</v>
      </c>
      <c r="D5787" s="1" t="str">
        <f>HYPERLINK("http://genome-euro.ucsc.edu/cgi-bin/hgTracks?position=206971_at","UCSC")</f>
        <v>UCSC</v>
      </c>
      <c r="E5787" s="1" t="str">
        <f>HYPERLINK("http://www.ncbi.nlm.nih.gov/gene/?term=GPR161","NCBI")</f>
        <v>NCBI</v>
      </c>
      <c r="F5787">
        <v>0.06</v>
      </c>
      <c r="G5787">
        <v>0.18</v>
      </c>
      <c r="H5787" s="1" t="str">
        <f>HYPERLINK("http://www.weizmann.ac.il/complex/compphys/software/geview/data/figures/206971_at.png","Figure")</f>
        <v>Figure</v>
      </c>
      <c r="I5787">
        <v>1.1599999999999999</v>
      </c>
      <c r="J5787">
        <v>4.9000000000000002E-2</v>
      </c>
      <c r="K5787">
        <v>1.06</v>
      </c>
      <c r="L5787">
        <v>0.43</v>
      </c>
      <c r="M5787">
        <v>0.91700000000000004</v>
      </c>
      <c r="N5787">
        <v>0.26</v>
      </c>
    </row>
    <row r="5788" spans="1:14" x14ac:dyDescent="0.25">
      <c r="A5788" t="s">
        <v>10426</v>
      </c>
      <c r="B5788" t="s">
        <v>5413</v>
      </c>
      <c r="C5788" s="1" t="str">
        <f>HYPERLINK("http://www.genecards.org/cgi-bin/carddisp.pl?gene=HMGB1","GeneCards")</f>
        <v>GeneCards</v>
      </c>
      <c r="D5788" s="1" t="str">
        <f>HYPERLINK("http://genome-euro.ucsc.edu/cgi-bin/hgTracks?position=200679_x_at","UCSC")</f>
        <v>UCSC</v>
      </c>
      <c r="E5788" s="1" t="str">
        <f>HYPERLINK("http://www.ncbi.nlm.nih.gov/gene/?term=HMGB1","NCBI")</f>
        <v>NCBI</v>
      </c>
      <c r="F5788">
        <v>0.06</v>
      </c>
      <c r="G5788">
        <v>0.18</v>
      </c>
      <c r="H5788" s="1" t="str">
        <f>HYPERLINK("http://www.weizmann.ac.il/complex/compphys/software/geview/data/figures/200679_x_at.png","Figure")</f>
        <v>Figure</v>
      </c>
      <c r="I5788">
        <v>1.62</v>
      </c>
      <c r="J5788">
        <v>9.6000000000000002E-2</v>
      </c>
      <c r="K5788">
        <v>1.54</v>
      </c>
      <c r="L5788">
        <v>8.5999999999999993E-2</v>
      </c>
      <c r="M5788">
        <v>0.95099999999999996</v>
      </c>
      <c r="N5788">
        <v>0.96</v>
      </c>
    </row>
    <row r="5789" spans="1:14" x14ac:dyDescent="0.25">
      <c r="A5789" t="s">
        <v>10427</v>
      </c>
      <c r="B5789" t="s">
        <v>4886</v>
      </c>
      <c r="C5789" s="1" t="str">
        <f>HYPERLINK("http://www.genecards.org/cgi-bin/carddisp.pl?gene=RPL10","GeneCards")</f>
        <v>GeneCards</v>
      </c>
      <c r="D5789" s="1" t="str">
        <f>HYPERLINK("http://genome-euro.ucsc.edu/cgi-bin/hgTracks?position=200725_x_at","UCSC")</f>
        <v>UCSC</v>
      </c>
      <c r="E5789" s="1" t="str">
        <f>HYPERLINK("http://www.ncbi.nlm.nih.gov/gene/?term=RPL10","NCBI")</f>
        <v>NCBI</v>
      </c>
      <c r="F5789">
        <v>0.06</v>
      </c>
      <c r="G5789">
        <v>0.18</v>
      </c>
      <c r="H5789" s="1" t="str">
        <f>HYPERLINK("http://www.weizmann.ac.il/complex/compphys/software/geview/data/figures/200725_x_at.png","Figure")</f>
        <v>Figure</v>
      </c>
      <c r="I5789">
        <v>0.71199999999999997</v>
      </c>
      <c r="J5789">
        <v>8.8999999999999996E-2</v>
      </c>
      <c r="K5789">
        <v>0.99199999999999999</v>
      </c>
      <c r="L5789">
        <v>1</v>
      </c>
      <c r="M5789">
        <v>1.39</v>
      </c>
      <c r="N5789">
        <v>7.3999999999999996E-2</v>
      </c>
    </row>
    <row r="5790" spans="1:14" x14ac:dyDescent="0.25">
      <c r="A5790" t="s">
        <v>10428</v>
      </c>
      <c r="B5790" t="s">
        <v>3546</v>
      </c>
      <c r="C5790" s="1" t="str">
        <f>HYPERLINK("http://www.genecards.org/cgi-bin/carddisp.pl?gene=PPIG","GeneCards")</f>
        <v>GeneCards</v>
      </c>
      <c r="D5790" s="1" t="str">
        <f>HYPERLINK("http://genome-euro.ucsc.edu/cgi-bin/hgTracks?position=208995_s_at","UCSC")</f>
        <v>UCSC</v>
      </c>
      <c r="E5790" s="1" t="str">
        <f>HYPERLINK("http://www.ncbi.nlm.nih.gov/gene/?term=PPIG","NCBI")</f>
        <v>NCBI</v>
      </c>
      <c r="F5790">
        <v>0.06</v>
      </c>
      <c r="G5790">
        <v>0.18</v>
      </c>
      <c r="H5790" s="1" t="str">
        <f>HYPERLINK("http://www.weizmann.ac.il/complex/compphys/software/geview/data/figures/208995_s_at.png","Figure")</f>
        <v>Figure</v>
      </c>
      <c r="I5790">
        <v>0.88800000000000001</v>
      </c>
      <c r="J5790">
        <v>0.88</v>
      </c>
      <c r="K5790">
        <v>0.57899999999999996</v>
      </c>
      <c r="L5790">
        <v>6.6000000000000003E-2</v>
      </c>
      <c r="M5790">
        <v>0.65300000000000002</v>
      </c>
      <c r="N5790">
        <v>0.2</v>
      </c>
    </row>
    <row r="5791" spans="1:14" x14ac:dyDescent="0.25">
      <c r="A5791" t="s">
        <v>10429</v>
      </c>
      <c r="B5791" t="s">
        <v>10430</v>
      </c>
      <c r="C5791" s="1" t="str">
        <f>HYPERLINK("http://www.genecards.org/cgi-bin/carddisp.pl?gene=TNFRSF25","GeneCards")</f>
        <v>GeneCards</v>
      </c>
      <c r="D5791" s="1" t="str">
        <f>HYPERLINK("http://genome-euro.ucsc.edu/cgi-bin/hgTracks?position=216042_at","UCSC")</f>
        <v>UCSC</v>
      </c>
      <c r="E5791" s="1" t="str">
        <f>HYPERLINK("http://www.ncbi.nlm.nih.gov/gene/?term=TNFRSF25","NCBI")</f>
        <v>NCBI</v>
      </c>
      <c r="F5791">
        <v>0.06</v>
      </c>
      <c r="G5791">
        <v>0.18</v>
      </c>
      <c r="H5791" s="1" t="str">
        <f>HYPERLINK("http://www.weizmann.ac.il/complex/compphys/software/geview/data/figures/216042_at.png","Figure")</f>
        <v>Figure</v>
      </c>
      <c r="I5791">
        <v>1.2</v>
      </c>
      <c r="J5791">
        <v>7.0999999999999994E-2</v>
      </c>
      <c r="K5791">
        <v>1.02</v>
      </c>
      <c r="L5791">
        <v>0.93</v>
      </c>
      <c r="M5791">
        <v>0.85199999999999998</v>
      </c>
      <c r="N5791">
        <v>9.5000000000000001E-2</v>
      </c>
    </row>
    <row r="5792" spans="1:14" x14ac:dyDescent="0.25">
      <c r="A5792" t="s">
        <v>10431</v>
      </c>
      <c r="B5792" t="s">
        <v>10432</v>
      </c>
      <c r="C5792" s="1" t="str">
        <f>HYPERLINK("http://www.genecards.org/cgi-bin/carddisp.pl?gene=SLC39A8","GeneCards")</f>
        <v>GeneCards</v>
      </c>
      <c r="D5792" s="1" t="str">
        <f>HYPERLINK("http://genome-euro.ucsc.edu/cgi-bin/hgTracks?position=219869_s_at","UCSC")</f>
        <v>UCSC</v>
      </c>
      <c r="E5792" s="1" t="str">
        <f>HYPERLINK("http://www.ncbi.nlm.nih.gov/gene/?term=SLC39A8","NCBI")</f>
        <v>NCBI</v>
      </c>
      <c r="F5792">
        <v>0.06</v>
      </c>
      <c r="G5792">
        <v>0.18</v>
      </c>
      <c r="H5792" s="1" t="str">
        <f>HYPERLINK("http://www.weizmann.ac.il/complex/compphys/software/geview/data/figures/219869_s_at.png","Figure")</f>
        <v>Figure</v>
      </c>
      <c r="I5792">
        <v>0.78700000000000003</v>
      </c>
      <c r="J5792">
        <v>0.33</v>
      </c>
      <c r="K5792">
        <v>1.18</v>
      </c>
      <c r="L5792">
        <v>0.5</v>
      </c>
      <c r="M5792">
        <v>1.49</v>
      </c>
      <c r="N5792">
        <v>4.9000000000000002E-2</v>
      </c>
    </row>
    <row r="5793" spans="1:14" x14ac:dyDescent="0.25">
      <c r="A5793" t="s">
        <v>10433</v>
      </c>
      <c r="B5793" t="s">
        <v>10434</v>
      </c>
      <c r="C5793" s="1" t="str">
        <f>HYPERLINK("http://www.genecards.org/cgi-bin/carddisp.pl?gene=LOC442381 /// LOC650293 /// OR7E125P /// OR7E87P","GeneCards")</f>
        <v>GeneCards</v>
      </c>
      <c r="D5793" s="1" t="str">
        <f>HYPERLINK("http://genome-euro.ucsc.edu/cgi-bin/hgTracks?position=216476_at","UCSC")</f>
        <v>UCSC</v>
      </c>
      <c r="E5793" s="1" t="str">
        <f>HYPERLINK("http://www.ncbi.nlm.nih.gov/gene/?term=LOC442381 /// LOC650293 /// OR7E125P /// OR7E87P","NCBI")</f>
        <v>NCBI</v>
      </c>
      <c r="F5793">
        <v>0.06</v>
      </c>
      <c r="G5793">
        <v>0.18</v>
      </c>
      <c r="H5793" s="1" t="str">
        <f>HYPERLINK("http://www.weizmann.ac.il/complex/compphys/software/geview/data/figures/216476_at.png","Figure")</f>
        <v>Figure</v>
      </c>
      <c r="I5793">
        <v>1.18</v>
      </c>
      <c r="J5793">
        <v>0.12</v>
      </c>
      <c r="K5793">
        <v>0.98299999999999998</v>
      </c>
      <c r="L5793">
        <v>0.96</v>
      </c>
      <c r="M5793">
        <v>0.83299999999999996</v>
      </c>
      <c r="N5793">
        <v>6.0999999999999999E-2</v>
      </c>
    </row>
    <row r="5794" spans="1:14" x14ac:dyDescent="0.25">
      <c r="A5794" t="s">
        <v>10435</v>
      </c>
      <c r="B5794" t="s">
        <v>3007</v>
      </c>
      <c r="C5794" s="1" t="str">
        <f>HYPERLINK("http://www.genecards.org/cgi-bin/carddisp.pl?gene=OGFR","GeneCards")</f>
        <v>GeneCards</v>
      </c>
      <c r="D5794" s="1" t="str">
        <f>HYPERLINK("http://genome-euro.ucsc.edu/cgi-bin/hgTracks?position=202841_x_at","UCSC")</f>
        <v>UCSC</v>
      </c>
      <c r="E5794" s="1" t="str">
        <f>HYPERLINK("http://www.ncbi.nlm.nih.gov/gene/?term=OGFR","NCBI")</f>
        <v>NCBI</v>
      </c>
      <c r="F5794">
        <v>0.06</v>
      </c>
      <c r="G5794">
        <v>0.18</v>
      </c>
      <c r="H5794" s="1" t="str">
        <f>HYPERLINK("http://www.weizmann.ac.il/complex/compphys/software/geview/data/figures/202841_x_at.png","Figure")</f>
        <v>Figure</v>
      </c>
      <c r="I5794">
        <v>1.34</v>
      </c>
      <c r="J5794">
        <v>0.09</v>
      </c>
      <c r="K5794">
        <v>1.29</v>
      </c>
      <c r="L5794">
        <v>9.1999999999999998E-2</v>
      </c>
      <c r="M5794">
        <v>0.96199999999999997</v>
      </c>
      <c r="N5794">
        <v>0.94</v>
      </c>
    </row>
    <row r="5795" spans="1:14" x14ac:dyDescent="0.25">
      <c r="A5795" t="s">
        <v>10436</v>
      </c>
      <c r="B5795" t="s">
        <v>5872</v>
      </c>
      <c r="C5795" s="1" t="str">
        <f>HYPERLINK("http://www.genecards.org/cgi-bin/carddisp.pl?gene=SET","GeneCards")</f>
        <v>GeneCards</v>
      </c>
      <c r="D5795" s="1" t="str">
        <f>HYPERLINK("http://genome-euro.ucsc.edu/cgi-bin/hgTracks?position=200630_x_at","UCSC")</f>
        <v>UCSC</v>
      </c>
      <c r="E5795" s="1" t="str">
        <f>HYPERLINK("http://www.ncbi.nlm.nih.gov/gene/?term=SET","NCBI")</f>
        <v>NCBI</v>
      </c>
      <c r="F5795">
        <v>0.06</v>
      </c>
      <c r="G5795">
        <v>0.18</v>
      </c>
      <c r="H5795" s="1" t="str">
        <f>HYPERLINK("http://www.weizmann.ac.il/complex/compphys/software/geview/data/figures/200630_x_at.png","Figure")</f>
        <v>Figure</v>
      </c>
      <c r="I5795">
        <v>1.42</v>
      </c>
      <c r="J5795">
        <v>5.1999999999999998E-2</v>
      </c>
      <c r="K5795">
        <v>1.22</v>
      </c>
      <c r="L5795">
        <v>0.24</v>
      </c>
      <c r="M5795">
        <v>0.86099999999999999</v>
      </c>
      <c r="N5795">
        <v>0.47</v>
      </c>
    </row>
    <row r="5796" spans="1:14" x14ac:dyDescent="0.25">
      <c r="A5796" t="s">
        <v>10437</v>
      </c>
      <c r="B5796" t="s">
        <v>10438</v>
      </c>
      <c r="C5796" s="1" t="str">
        <f>HYPERLINK("http://www.genecards.org/cgi-bin/carddisp.pl?gene=CORO1A","GeneCards")</f>
        <v>GeneCards</v>
      </c>
      <c r="D5796" s="1" t="str">
        <f>HYPERLINK("http://genome-euro.ucsc.edu/cgi-bin/hgTracks?position=209083_at","UCSC")</f>
        <v>UCSC</v>
      </c>
      <c r="E5796" s="1" t="str">
        <f>HYPERLINK("http://www.ncbi.nlm.nih.gov/gene/?term=CORO1A","NCBI")</f>
        <v>NCBI</v>
      </c>
      <c r="F5796">
        <v>0.06</v>
      </c>
      <c r="G5796">
        <v>0.18</v>
      </c>
      <c r="H5796" s="1" t="str">
        <f>HYPERLINK("http://www.weizmann.ac.il/complex/compphys/software/geview/data/figures/209083_at.png","Figure")</f>
        <v>Figure</v>
      </c>
      <c r="I5796">
        <v>0.83899999999999997</v>
      </c>
      <c r="J5796">
        <v>0.84</v>
      </c>
      <c r="K5796">
        <v>1.67</v>
      </c>
      <c r="L5796">
        <v>0.17</v>
      </c>
      <c r="M5796">
        <v>2</v>
      </c>
      <c r="N5796">
        <v>7.3999999999999996E-2</v>
      </c>
    </row>
    <row r="5797" spans="1:14" x14ac:dyDescent="0.25">
      <c r="A5797" t="s">
        <v>10439</v>
      </c>
      <c r="B5797" t="s">
        <v>1185</v>
      </c>
      <c r="C5797" s="1" t="str">
        <f>HYPERLINK("http://www.genecards.org/cgi-bin/carddisp.pl?gene=RAD17","GeneCards")</f>
        <v>GeneCards</v>
      </c>
      <c r="D5797" s="1" t="str">
        <f>HYPERLINK("http://genome-euro.ucsc.edu/cgi-bin/hgTracks?position=211228_s_at","UCSC")</f>
        <v>UCSC</v>
      </c>
      <c r="E5797" s="1" t="str">
        <f>HYPERLINK("http://www.ncbi.nlm.nih.gov/gene/?term=RAD17","NCBI")</f>
        <v>NCBI</v>
      </c>
      <c r="F5797">
        <v>0.06</v>
      </c>
      <c r="G5797">
        <v>0.18</v>
      </c>
      <c r="H5797" s="1" t="str">
        <f>HYPERLINK("http://www.weizmann.ac.il/complex/compphys/software/geview/data/figures/211228_s_at.png","Figure")</f>
        <v>Figure</v>
      </c>
      <c r="I5797">
        <v>0.86099999999999999</v>
      </c>
      <c r="J5797">
        <v>6.4000000000000001E-2</v>
      </c>
      <c r="K5797">
        <v>0.89900000000000002</v>
      </c>
      <c r="L5797">
        <v>0.14000000000000001</v>
      </c>
      <c r="M5797">
        <v>1.04</v>
      </c>
      <c r="N5797">
        <v>0.72</v>
      </c>
    </row>
    <row r="5798" spans="1:14" x14ac:dyDescent="0.25">
      <c r="A5798" t="s">
        <v>10440</v>
      </c>
      <c r="B5798" t="s">
        <v>9908</v>
      </c>
      <c r="C5798" s="1" t="str">
        <f>HYPERLINK("http://www.genecards.org/cgi-bin/carddisp.pl?gene=NF1","GeneCards")</f>
        <v>GeneCards</v>
      </c>
      <c r="D5798" s="1" t="str">
        <f>HYPERLINK("http://genome-euro.ucsc.edu/cgi-bin/hgTracks?position=212676_at","UCSC")</f>
        <v>UCSC</v>
      </c>
      <c r="E5798" s="1" t="str">
        <f>HYPERLINK("http://www.ncbi.nlm.nih.gov/gene/?term=NF1","NCBI")</f>
        <v>NCBI</v>
      </c>
      <c r="F5798">
        <v>0.06</v>
      </c>
      <c r="G5798">
        <v>0.18</v>
      </c>
      <c r="H5798" s="1" t="str">
        <f>HYPERLINK("http://www.weizmann.ac.il/complex/compphys/software/geview/data/figures/212676_at.png","Figure")</f>
        <v>Figure</v>
      </c>
      <c r="I5798">
        <v>0.54600000000000004</v>
      </c>
      <c r="J5798">
        <v>4.9000000000000002E-2</v>
      </c>
      <c r="K5798">
        <v>0.76100000000000001</v>
      </c>
      <c r="L5798">
        <v>0.38</v>
      </c>
      <c r="M5798">
        <v>1.39</v>
      </c>
      <c r="N5798">
        <v>0.3</v>
      </c>
    </row>
    <row r="5799" spans="1:14" x14ac:dyDescent="0.25">
      <c r="A5799" t="s">
        <v>10441</v>
      </c>
      <c r="B5799" t="s">
        <v>10442</v>
      </c>
      <c r="C5799" s="1" t="str">
        <f>HYPERLINK("http://www.genecards.org/cgi-bin/carddisp.pl?gene=EMILIN2","GeneCards")</f>
        <v>GeneCards</v>
      </c>
      <c r="D5799" s="1" t="str">
        <f>HYPERLINK("http://genome-euro.ucsc.edu/cgi-bin/hgTracks?position=221980_at","UCSC")</f>
        <v>UCSC</v>
      </c>
      <c r="E5799" s="1" t="str">
        <f>HYPERLINK("http://www.ncbi.nlm.nih.gov/gene/?term=EMILIN2","NCBI")</f>
        <v>NCBI</v>
      </c>
      <c r="F5799">
        <v>0.06</v>
      </c>
      <c r="G5799">
        <v>0.18</v>
      </c>
      <c r="H5799" s="1" t="str">
        <f>HYPERLINK("http://www.weizmann.ac.il/complex/compphys/software/geview/data/figures/221980_at.png","Figure")</f>
        <v>Figure</v>
      </c>
      <c r="I5799">
        <v>1.07</v>
      </c>
      <c r="J5799">
        <v>8.6999999999999994E-2</v>
      </c>
      <c r="K5799">
        <v>1.06</v>
      </c>
      <c r="L5799">
        <v>9.5000000000000001E-2</v>
      </c>
      <c r="M5799">
        <v>0.99</v>
      </c>
      <c r="N5799">
        <v>0.93</v>
      </c>
    </row>
    <row r="5800" spans="1:14" x14ac:dyDescent="0.25">
      <c r="A5800" t="s">
        <v>10443</v>
      </c>
      <c r="B5800" t="s">
        <v>8883</v>
      </c>
      <c r="C5800" s="1" t="str">
        <f>HYPERLINK("http://www.genecards.org/cgi-bin/carddisp.pl?gene=PKNOX2","GeneCards")</f>
        <v>GeneCards</v>
      </c>
      <c r="D5800" s="1" t="str">
        <f>HYPERLINK("http://genome-euro.ucsc.edu/cgi-bin/hgTracks?position=63305_at","UCSC")</f>
        <v>UCSC</v>
      </c>
      <c r="E5800" s="1" t="str">
        <f>HYPERLINK("http://www.ncbi.nlm.nih.gov/gene/?term=PKNOX2","NCBI")</f>
        <v>NCBI</v>
      </c>
      <c r="F5800">
        <v>0.06</v>
      </c>
      <c r="G5800">
        <v>0.18</v>
      </c>
      <c r="H5800" s="1" t="str">
        <f>HYPERLINK("http://www.weizmann.ac.il/complex/compphys/software/geview/data/figures/63305_at.png","Figure")</f>
        <v>Figure</v>
      </c>
      <c r="I5800">
        <v>1.1299999999999999</v>
      </c>
      <c r="J5800">
        <v>5.3999999999999999E-2</v>
      </c>
      <c r="K5800">
        <v>1.04</v>
      </c>
      <c r="L5800">
        <v>0.68</v>
      </c>
      <c r="M5800">
        <v>0.91400000000000003</v>
      </c>
      <c r="N5800">
        <v>0.16</v>
      </c>
    </row>
    <row r="5801" spans="1:14" x14ac:dyDescent="0.25">
      <c r="A5801" t="s">
        <v>10444</v>
      </c>
      <c r="B5801" t="s">
        <v>10445</v>
      </c>
      <c r="C5801" s="1" t="str">
        <f>HYPERLINK("http://www.genecards.org/cgi-bin/carddisp.pl?gene=C17orf70","GeneCards")</f>
        <v>GeneCards</v>
      </c>
      <c r="D5801" s="1" t="str">
        <f>HYPERLINK("http://genome-euro.ucsc.edu/cgi-bin/hgTracks?position=221800_s_at","UCSC")</f>
        <v>UCSC</v>
      </c>
      <c r="E5801" s="1" t="str">
        <f>HYPERLINK("http://www.ncbi.nlm.nih.gov/gene/?term=C17orf70","NCBI")</f>
        <v>NCBI</v>
      </c>
      <c r="F5801">
        <v>0.06</v>
      </c>
      <c r="G5801">
        <v>0.18</v>
      </c>
      <c r="H5801" s="1" t="str">
        <f>HYPERLINK("http://www.weizmann.ac.il/complex/compphys/software/geview/data/figures/221800_s_at.png","Figure")</f>
        <v>Figure</v>
      </c>
      <c r="I5801">
        <v>1.0900000000000001</v>
      </c>
      <c r="J5801">
        <v>0.78</v>
      </c>
      <c r="K5801">
        <v>1.33</v>
      </c>
      <c r="L5801">
        <v>5.8999999999999997E-2</v>
      </c>
      <c r="M5801">
        <v>1.22</v>
      </c>
      <c r="N5801">
        <v>0.26</v>
      </c>
    </row>
    <row r="5802" spans="1:14" x14ac:dyDescent="0.25">
      <c r="A5802" t="s">
        <v>10446</v>
      </c>
      <c r="B5802" t="s">
        <v>10447</v>
      </c>
      <c r="C5802" s="1" t="str">
        <f>HYPERLINK("http://www.genecards.org/cgi-bin/carddisp.pl?gene=SYP","GeneCards")</f>
        <v>GeneCards</v>
      </c>
      <c r="D5802" s="1" t="str">
        <f>HYPERLINK("http://genome-euro.ucsc.edu/cgi-bin/hgTracks?position=213200_at","UCSC")</f>
        <v>UCSC</v>
      </c>
      <c r="E5802" s="1" t="str">
        <f>HYPERLINK("http://www.ncbi.nlm.nih.gov/gene/?term=SYP","NCBI")</f>
        <v>NCBI</v>
      </c>
      <c r="F5802">
        <v>0.06</v>
      </c>
      <c r="G5802">
        <v>0.18</v>
      </c>
      <c r="H5802" s="1" t="str">
        <f>HYPERLINK("http://www.weizmann.ac.il/complex/compphys/software/geview/data/figures/213200_at.png","Figure")</f>
        <v>Figure</v>
      </c>
      <c r="I5802">
        <v>1.26</v>
      </c>
      <c r="J5802">
        <v>5.2999999999999999E-2</v>
      </c>
      <c r="K5802">
        <v>1.07</v>
      </c>
      <c r="L5802">
        <v>0.63</v>
      </c>
      <c r="M5802">
        <v>0.85199999999999998</v>
      </c>
      <c r="N5802">
        <v>0.17</v>
      </c>
    </row>
    <row r="5803" spans="1:14" x14ac:dyDescent="0.25">
      <c r="A5803" t="s">
        <v>10448</v>
      </c>
      <c r="B5803" t="s">
        <v>10449</v>
      </c>
      <c r="C5803" s="1" t="str">
        <f>HYPERLINK("http://www.genecards.org/cgi-bin/carddisp.pl?gene=EMG1","GeneCards")</f>
        <v>GeneCards</v>
      </c>
      <c r="D5803" s="1" t="str">
        <f>HYPERLINK("http://genome-euro.ucsc.edu/cgi-bin/hgTracks?position=209233_at","UCSC")</f>
        <v>UCSC</v>
      </c>
      <c r="E5803" s="1" t="str">
        <f>HYPERLINK("http://www.ncbi.nlm.nih.gov/gene/?term=EMG1","NCBI")</f>
        <v>NCBI</v>
      </c>
      <c r="F5803">
        <v>0.06</v>
      </c>
      <c r="G5803">
        <v>0.18</v>
      </c>
      <c r="H5803" s="1" t="str">
        <f>HYPERLINK("http://www.weizmann.ac.il/complex/compphys/software/geview/data/figures/209233_at.png","Figure")</f>
        <v>Figure</v>
      </c>
      <c r="I5803">
        <v>1.38</v>
      </c>
      <c r="J5803">
        <v>0.24</v>
      </c>
      <c r="K5803">
        <v>1.54</v>
      </c>
      <c r="L5803">
        <v>5.1999999999999998E-2</v>
      </c>
      <c r="M5803">
        <v>1.1200000000000001</v>
      </c>
      <c r="N5803">
        <v>0.81</v>
      </c>
    </row>
    <row r="5804" spans="1:14" x14ac:dyDescent="0.25">
      <c r="A5804" t="s">
        <v>10450</v>
      </c>
      <c r="B5804" t="s">
        <v>10451</v>
      </c>
      <c r="C5804" s="1" t="str">
        <f>HYPERLINK("http://www.genecards.org/cgi-bin/carddisp.pl?gene=ZFP161","GeneCards")</f>
        <v>GeneCards</v>
      </c>
      <c r="D5804" s="1" t="str">
        <f>HYPERLINK("http://genome-euro.ucsc.edu/cgi-bin/hgTracks?position=209724_s_at","UCSC")</f>
        <v>UCSC</v>
      </c>
      <c r="E5804" s="1" t="str">
        <f>HYPERLINK("http://www.ncbi.nlm.nih.gov/gene/?term=ZFP161","NCBI")</f>
        <v>NCBI</v>
      </c>
      <c r="F5804">
        <v>0.06</v>
      </c>
      <c r="G5804">
        <v>0.18</v>
      </c>
      <c r="H5804" s="1" t="str">
        <f>HYPERLINK("http://www.weizmann.ac.il/complex/compphys/software/geview/data/figures/209724_s_at.png","Figure")</f>
        <v>Figure</v>
      </c>
      <c r="I5804">
        <v>0.71599999999999997</v>
      </c>
      <c r="J5804">
        <v>5.0999999999999997E-2</v>
      </c>
      <c r="K5804">
        <v>0.83399999999999996</v>
      </c>
      <c r="L5804">
        <v>0.27</v>
      </c>
      <c r="M5804">
        <v>1.1599999999999999</v>
      </c>
      <c r="N5804">
        <v>0.43</v>
      </c>
    </row>
    <row r="5805" spans="1:14" x14ac:dyDescent="0.25">
      <c r="A5805" t="s">
        <v>10452</v>
      </c>
      <c r="B5805" t="s">
        <v>4305</v>
      </c>
      <c r="C5805" s="1" t="str">
        <f>HYPERLINK("http://www.genecards.org/cgi-bin/carddisp.pl?gene=CCNT2","GeneCards")</f>
        <v>GeneCards</v>
      </c>
      <c r="D5805" s="1" t="str">
        <f>HYPERLINK("http://genome-euro.ucsc.edu/cgi-bin/hgTracks?position=213743_at","UCSC")</f>
        <v>UCSC</v>
      </c>
      <c r="E5805" s="1" t="str">
        <f>HYPERLINK("http://www.ncbi.nlm.nih.gov/gene/?term=CCNT2","NCBI")</f>
        <v>NCBI</v>
      </c>
      <c r="F5805">
        <v>0.06</v>
      </c>
      <c r="G5805">
        <v>0.18</v>
      </c>
      <c r="H5805" s="1" t="str">
        <f>HYPERLINK("http://www.weizmann.ac.il/complex/compphys/software/geview/data/figures/213743_at.png","Figure")</f>
        <v>Figure</v>
      </c>
      <c r="I5805">
        <v>0.47799999999999998</v>
      </c>
      <c r="J5805">
        <v>0.11</v>
      </c>
      <c r="K5805">
        <v>0.49199999999999999</v>
      </c>
      <c r="L5805">
        <v>7.5999999999999998E-2</v>
      </c>
      <c r="M5805">
        <v>1.03</v>
      </c>
      <c r="N5805">
        <v>1</v>
      </c>
    </row>
    <row r="5806" spans="1:14" x14ac:dyDescent="0.25">
      <c r="A5806" t="s">
        <v>10453</v>
      </c>
      <c r="B5806" t="s">
        <v>10454</v>
      </c>
      <c r="C5806" s="1" t="str">
        <f>HYPERLINK("http://www.genecards.org/cgi-bin/carddisp.pl?gene=RPL18A /// RPL18AP3","GeneCards")</f>
        <v>GeneCards</v>
      </c>
      <c r="D5806" s="1" t="str">
        <f>HYPERLINK("http://genome-euro.ucsc.edu/cgi-bin/hgTracks?position=216383_at","UCSC")</f>
        <v>UCSC</v>
      </c>
      <c r="E5806" s="1" t="str">
        <f>HYPERLINK("http://www.ncbi.nlm.nih.gov/gene/?term=RPL18A /// RPL18AP3","NCBI")</f>
        <v>NCBI</v>
      </c>
      <c r="F5806">
        <v>0.06</v>
      </c>
      <c r="G5806">
        <v>0.18</v>
      </c>
      <c r="H5806" s="1" t="str">
        <f>HYPERLINK("http://www.weizmann.ac.il/complex/compphys/software/geview/data/figures/216383_at.png","Figure")</f>
        <v>Figure</v>
      </c>
      <c r="I5806">
        <v>1.44</v>
      </c>
      <c r="J5806">
        <v>0.05</v>
      </c>
      <c r="K5806">
        <v>1.2</v>
      </c>
      <c r="L5806">
        <v>0.32</v>
      </c>
      <c r="M5806">
        <v>0.83299999999999996</v>
      </c>
      <c r="N5806">
        <v>0.36</v>
      </c>
    </row>
    <row r="5807" spans="1:14" x14ac:dyDescent="0.25">
      <c r="A5807" t="s">
        <v>10455</v>
      </c>
      <c r="B5807" t="s">
        <v>10456</v>
      </c>
      <c r="C5807" s="1" t="str">
        <f>HYPERLINK("http://www.genecards.org/cgi-bin/carddisp.pl?gene=MCM3","GeneCards")</f>
        <v>GeneCards</v>
      </c>
      <c r="D5807" s="1" t="str">
        <f>HYPERLINK("http://genome-euro.ucsc.edu/cgi-bin/hgTracks?position=201555_at","UCSC")</f>
        <v>UCSC</v>
      </c>
      <c r="E5807" s="1" t="str">
        <f>HYPERLINK("http://www.ncbi.nlm.nih.gov/gene/?term=MCM3","NCBI")</f>
        <v>NCBI</v>
      </c>
      <c r="F5807">
        <v>6.0999999999999999E-2</v>
      </c>
      <c r="G5807">
        <v>0.18</v>
      </c>
      <c r="H5807" s="1" t="str">
        <f>HYPERLINK("http://www.weizmann.ac.il/complex/compphys/software/geview/data/figures/201555_at.png","Figure")</f>
        <v>Figure</v>
      </c>
      <c r="I5807">
        <v>0.96399999999999997</v>
      </c>
      <c r="J5807">
        <v>0.98</v>
      </c>
      <c r="K5807">
        <v>1.51</v>
      </c>
      <c r="L5807">
        <v>0.11</v>
      </c>
      <c r="M5807">
        <v>1.56</v>
      </c>
      <c r="N5807">
        <v>0.1</v>
      </c>
    </row>
    <row r="5808" spans="1:14" x14ac:dyDescent="0.25">
      <c r="A5808" t="s">
        <v>10457</v>
      </c>
      <c r="B5808" t="s">
        <v>10458</v>
      </c>
      <c r="C5808" s="1" t="str">
        <f>HYPERLINK("http://www.genecards.org/cgi-bin/carddisp.pl?gene=DPYSL4","GeneCards")</f>
        <v>GeneCards</v>
      </c>
      <c r="D5808" s="1" t="str">
        <f>HYPERLINK("http://genome-euro.ucsc.edu/cgi-bin/hgTracks?position=205492_s_at","UCSC")</f>
        <v>UCSC</v>
      </c>
      <c r="E5808" s="1" t="str">
        <f>HYPERLINK("http://www.ncbi.nlm.nih.gov/gene/?term=DPYSL4","NCBI")</f>
        <v>NCBI</v>
      </c>
      <c r="F5808">
        <v>6.0999999999999999E-2</v>
      </c>
      <c r="G5808">
        <v>0.18</v>
      </c>
      <c r="H5808" s="1" t="str">
        <f>HYPERLINK("http://www.weizmann.ac.il/complex/compphys/software/geview/data/figures/205492_s_at.png","Figure")</f>
        <v>Figure</v>
      </c>
      <c r="I5808">
        <v>1.1299999999999999</v>
      </c>
      <c r="J5808">
        <v>0.05</v>
      </c>
      <c r="K5808">
        <v>1.06</v>
      </c>
      <c r="L5808">
        <v>0.35</v>
      </c>
      <c r="M5808">
        <v>0.94</v>
      </c>
      <c r="N5808">
        <v>0.33</v>
      </c>
    </row>
    <row r="5809" spans="1:14" x14ac:dyDescent="0.25">
      <c r="A5809" t="s">
        <v>10459</v>
      </c>
      <c r="B5809" t="s">
        <v>3274</v>
      </c>
      <c r="C5809" s="1" t="str">
        <f>HYPERLINK("http://www.genecards.org/cgi-bin/carddisp.pl?gene=SMARCA4","GeneCards")</f>
        <v>GeneCards</v>
      </c>
      <c r="D5809" s="1" t="str">
        <f>HYPERLINK("http://genome-euro.ucsc.edu/cgi-bin/hgTracks?position=212520_s_at","UCSC")</f>
        <v>UCSC</v>
      </c>
      <c r="E5809" s="1" t="str">
        <f>HYPERLINK("http://www.ncbi.nlm.nih.gov/gene/?term=SMARCA4","NCBI")</f>
        <v>NCBI</v>
      </c>
      <c r="F5809">
        <v>6.0999999999999999E-2</v>
      </c>
      <c r="G5809">
        <v>0.18</v>
      </c>
      <c r="H5809" s="1" t="str">
        <f>HYPERLINK("http://www.weizmann.ac.il/complex/compphys/software/geview/data/figures/212520_s_at.png","Figure")</f>
        <v>Figure</v>
      </c>
      <c r="I5809">
        <v>1.91</v>
      </c>
      <c r="J5809">
        <v>8.1000000000000003E-2</v>
      </c>
      <c r="K5809">
        <v>1.04</v>
      </c>
      <c r="L5809">
        <v>0.98</v>
      </c>
      <c r="M5809">
        <v>0.54800000000000004</v>
      </c>
      <c r="N5809">
        <v>8.2000000000000003E-2</v>
      </c>
    </row>
    <row r="5810" spans="1:14" x14ac:dyDescent="0.25">
      <c r="A5810" t="s">
        <v>10460</v>
      </c>
      <c r="B5810" t="s">
        <v>10461</v>
      </c>
      <c r="C5810" s="1" t="str">
        <f>HYPERLINK("http://www.genecards.org/cgi-bin/carddisp.pl?gene=FBXO5","GeneCards")</f>
        <v>GeneCards</v>
      </c>
      <c r="D5810" s="1" t="str">
        <f>HYPERLINK("http://genome-euro.ucsc.edu/cgi-bin/hgTracks?position=218875_s_at","UCSC")</f>
        <v>UCSC</v>
      </c>
      <c r="E5810" s="1" t="str">
        <f>HYPERLINK("http://www.ncbi.nlm.nih.gov/gene/?term=FBXO5","NCBI")</f>
        <v>NCBI</v>
      </c>
      <c r="F5810">
        <v>6.0999999999999999E-2</v>
      </c>
      <c r="G5810">
        <v>0.18</v>
      </c>
      <c r="H5810" s="1" t="str">
        <f>HYPERLINK("http://www.weizmann.ac.il/complex/compphys/software/geview/data/figures/218875_s_at.png","Figure")</f>
        <v>Figure</v>
      </c>
      <c r="I5810">
        <v>0.746</v>
      </c>
      <c r="J5810">
        <v>7.3999999999999996E-2</v>
      </c>
      <c r="K5810">
        <v>0.96799999999999997</v>
      </c>
      <c r="L5810">
        <v>0.95</v>
      </c>
      <c r="M5810">
        <v>1.3</v>
      </c>
      <c r="N5810">
        <v>9.0999999999999998E-2</v>
      </c>
    </row>
    <row r="5811" spans="1:14" x14ac:dyDescent="0.25">
      <c r="A5811" t="s">
        <v>10462</v>
      </c>
      <c r="B5811" t="s">
        <v>10463</v>
      </c>
      <c r="C5811" s="1" t="str">
        <f>HYPERLINK("http://www.genecards.org/cgi-bin/carddisp.pl?gene=ZMYM3","GeneCards")</f>
        <v>GeneCards</v>
      </c>
      <c r="D5811" s="1" t="str">
        <f>HYPERLINK("http://genome-euro.ucsc.edu/cgi-bin/hgTracks?position=207559_s_at","UCSC")</f>
        <v>UCSC</v>
      </c>
      <c r="E5811" s="1" t="str">
        <f>HYPERLINK("http://www.ncbi.nlm.nih.gov/gene/?term=ZMYM3","NCBI")</f>
        <v>NCBI</v>
      </c>
      <c r="F5811">
        <v>6.0999999999999999E-2</v>
      </c>
      <c r="G5811">
        <v>0.18</v>
      </c>
      <c r="H5811" s="1" t="str">
        <f>HYPERLINK("http://www.weizmann.ac.il/complex/compphys/software/geview/data/figures/207559_s_at.png","Figure")</f>
        <v>Figure</v>
      </c>
      <c r="I5811">
        <v>0.75900000000000001</v>
      </c>
      <c r="J5811">
        <v>9.9000000000000005E-2</v>
      </c>
      <c r="K5811">
        <v>1</v>
      </c>
      <c r="L5811">
        <v>1</v>
      </c>
      <c r="M5811">
        <v>1.32</v>
      </c>
      <c r="N5811">
        <v>7.0000000000000007E-2</v>
      </c>
    </row>
    <row r="5812" spans="1:14" x14ac:dyDescent="0.25">
      <c r="A5812" t="s">
        <v>10464</v>
      </c>
      <c r="B5812" t="s">
        <v>10465</v>
      </c>
      <c r="C5812" s="1" t="str">
        <f>HYPERLINK("http://www.genecards.org/cgi-bin/carddisp.pl?gene=PTP4A2","GeneCards")</f>
        <v>GeneCards</v>
      </c>
      <c r="D5812" s="1" t="str">
        <f>HYPERLINK("http://genome-euro.ucsc.edu/cgi-bin/hgTracks?position=208617_s_at","UCSC")</f>
        <v>UCSC</v>
      </c>
      <c r="E5812" s="1" t="str">
        <f>HYPERLINK("http://www.ncbi.nlm.nih.gov/gene/?term=PTP4A2","NCBI")</f>
        <v>NCBI</v>
      </c>
      <c r="F5812">
        <v>6.0999999999999999E-2</v>
      </c>
      <c r="G5812">
        <v>0.18</v>
      </c>
      <c r="H5812" s="1" t="str">
        <f>HYPERLINK("http://www.weizmann.ac.il/complex/compphys/software/geview/data/figures/208617_s_at.png","Figure")</f>
        <v>Figure</v>
      </c>
      <c r="I5812">
        <v>0.97299999999999998</v>
      </c>
      <c r="J5812">
        <v>0.98</v>
      </c>
      <c r="K5812">
        <v>0.75800000000000001</v>
      </c>
      <c r="L5812">
        <v>0.08</v>
      </c>
      <c r="M5812">
        <v>0.77900000000000003</v>
      </c>
      <c r="N5812">
        <v>0.15</v>
      </c>
    </row>
    <row r="5813" spans="1:14" x14ac:dyDescent="0.25">
      <c r="A5813" t="s">
        <v>10466</v>
      </c>
      <c r="B5813" t="s">
        <v>1447</v>
      </c>
      <c r="C5813" s="1" t="str">
        <f>HYPERLINK("http://www.genecards.org/cgi-bin/carddisp.pl?gene=PAPPA2","GeneCards")</f>
        <v>GeneCards</v>
      </c>
      <c r="D5813" s="1" t="str">
        <f>HYPERLINK("http://genome-euro.ucsc.edu/cgi-bin/hgTracks?position=211918_x_at","UCSC")</f>
        <v>UCSC</v>
      </c>
      <c r="E5813" s="1" t="str">
        <f>HYPERLINK("http://www.ncbi.nlm.nih.gov/gene/?term=PAPPA2","NCBI")</f>
        <v>NCBI</v>
      </c>
      <c r="F5813">
        <v>6.0999999999999999E-2</v>
      </c>
      <c r="G5813">
        <v>0.18</v>
      </c>
      <c r="H5813" s="1" t="str">
        <f>HYPERLINK("http://www.weizmann.ac.il/complex/compphys/software/geview/data/figures/211918_x_at.png","Figure")</f>
        <v>Figure</v>
      </c>
      <c r="I5813">
        <v>1.28</v>
      </c>
      <c r="J5813">
        <v>8.8999999999999996E-2</v>
      </c>
      <c r="K5813">
        <v>1.01</v>
      </c>
      <c r="L5813">
        <v>1</v>
      </c>
      <c r="M5813">
        <v>0.78700000000000003</v>
      </c>
      <c r="N5813">
        <v>7.4999999999999997E-2</v>
      </c>
    </row>
    <row r="5814" spans="1:14" x14ac:dyDescent="0.25">
      <c r="A5814" t="s">
        <v>10467</v>
      </c>
      <c r="B5814" t="s">
        <v>1469</v>
      </c>
      <c r="C5814" s="1" t="str">
        <f>HYPERLINK("http://www.genecards.org/cgi-bin/carddisp.pl?gene=GPR56","GeneCards")</f>
        <v>GeneCards</v>
      </c>
      <c r="D5814" s="1" t="str">
        <f>HYPERLINK("http://genome-euro.ucsc.edu/cgi-bin/hgTracks?position=206582_s_at","UCSC")</f>
        <v>UCSC</v>
      </c>
      <c r="E5814" s="1" t="str">
        <f>HYPERLINK("http://www.ncbi.nlm.nih.gov/gene/?term=GPR56","NCBI")</f>
        <v>NCBI</v>
      </c>
      <c r="F5814">
        <v>6.0999999999999999E-2</v>
      </c>
      <c r="G5814">
        <v>0.18</v>
      </c>
      <c r="H5814" s="1" t="str">
        <f>HYPERLINK("http://www.weizmann.ac.il/complex/compphys/software/geview/data/figures/206582_s_at.png","Figure")</f>
        <v>Figure</v>
      </c>
      <c r="I5814">
        <v>0.96899999999999997</v>
      </c>
      <c r="J5814">
        <v>0.89</v>
      </c>
      <c r="K5814">
        <v>1.1299999999999999</v>
      </c>
      <c r="L5814">
        <v>0.15</v>
      </c>
      <c r="M5814">
        <v>1.17</v>
      </c>
      <c r="N5814">
        <v>8.1000000000000003E-2</v>
      </c>
    </row>
    <row r="5815" spans="1:14" x14ac:dyDescent="0.25">
      <c r="A5815" t="s">
        <v>10468</v>
      </c>
      <c r="B5815" t="s">
        <v>10469</v>
      </c>
      <c r="C5815" s="1" t="str">
        <f>HYPERLINK("http://www.genecards.org/cgi-bin/carddisp.pl?gene=MUT","GeneCards")</f>
        <v>GeneCards</v>
      </c>
      <c r="D5815" s="1" t="str">
        <f>HYPERLINK("http://genome-euro.ucsc.edu/cgi-bin/hgTracks?position=202959_at","UCSC")</f>
        <v>UCSC</v>
      </c>
      <c r="E5815" s="1" t="str">
        <f>HYPERLINK("http://www.ncbi.nlm.nih.gov/gene/?term=MUT","NCBI")</f>
        <v>NCBI</v>
      </c>
      <c r="F5815">
        <v>6.0999999999999999E-2</v>
      </c>
      <c r="G5815">
        <v>0.18</v>
      </c>
      <c r="H5815" s="1" t="str">
        <f>HYPERLINK("http://www.weizmann.ac.il/complex/compphys/software/geview/data/figures/202959_at.png","Figure")</f>
        <v>Figure</v>
      </c>
      <c r="I5815">
        <v>0.67100000000000004</v>
      </c>
      <c r="J5815">
        <v>0.2</v>
      </c>
      <c r="K5815">
        <v>0.61199999999999999</v>
      </c>
      <c r="L5815">
        <v>5.6000000000000001E-2</v>
      </c>
      <c r="M5815">
        <v>0.91300000000000003</v>
      </c>
      <c r="N5815">
        <v>0.9</v>
      </c>
    </row>
    <row r="5816" spans="1:14" x14ac:dyDescent="0.25">
      <c r="A5816" t="s">
        <v>10470</v>
      </c>
      <c r="B5816" t="s">
        <v>10471</v>
      </c>
      <c r="C5816" s="1" t="str">
        <f>HYPERLINK("http://www.genecards.org/cgi-bin/carddisp.pl?gene=PSMB1","GeneCards")</f>
        <v>GeneCards</v>
      </c>
      <c r="D5816" s="1" t="str">
        <f>HYPERLINK("http://genome-euro.ucsc.edu/cgi-bin/hgTracks?position=214289_at","UCSC")</f>
        <v>UCSC</v>
      </c>
      <c r="E5816" s="1" t="str">
        <f>HYPERLINK("http://www.ncbi.nlm.nih.gov/gene/?term=PSMB1","NCBI")</f>
        <v>NCBI</v>
      </c>
      <c r="F5816">
        <v>6.0999999999999999E-2</v>
      </c>
      <c r="G5816">
        <v>0.18</v>
      </c>
      <c r="H5816" s="1" t="str">
        <f>HYPERLINK("http://www.weizmann.ac.il/complex/compphys/software/geview/data/figures/214289_at.png","Figure")</f>
        <v>Figure</v>
      </c>
      <c r="I5816">
        <v>0.76400000000000001</v>
      </c>
      <c r="J5816">
        <v>0.12</v>
      </c>
      <c r="K5816">
        <v>0.76300000000000001</v>
      </c>
      <c r="L5816">
        <v>7.0999999999999994E-2</v>
      </c>
      <c r="M5816">
        <v>0.999</v>
      </c>
      <c r="N5816">
        <v>1</v>
      </c>
    </row>
    <row r="5817" spans="1:14" x14ac:dyDescent="0.25">
      <c r="A5817" t="s">
        <v>10472</v>
      </c>
      <c r="B5817" t="s">
        <v>10473</v>
      </c>
      <c r="C5817" s="1" t="str">
        <f>HYPERLINK("http://www.genecards.org/cgi-bin/carddisp.pl?gene=GPR107","GeneCards")</f>
        <v>GeneCards</v>
      </c>
      <c r="D5817" s="1" t="str">
        <f>HYPERLINK("http://genome-euro.ucsc.edu/cgi-bin/hgTracks?position=220264_s_at","UCSC")</f>
        <v>UCSC</v>
      </c>
      <c r="E5817" s="1" t="str">
        <f>HYPERLINK("http://www.ncbi.nlm.nih.gov/gene/?term=GPR107","NCBI")</f>
        <v>NCBI</v>
      </c>
      <c r="F5817">
        <v>6.0999999999999999E-2</v>
      </c>
      <c r="G5817">
        <v>0.18</v>
      </c>
      <c r="H5817" s="1" t="str">
        <f>HYPERLINK("http://www.weizmann.ac.il/complex/compphys/software/geview/data/figures/220264_s_at.png","Figure")</f>
        <v>Figure</v>
      </c>
      <c r="I5817">
        <v>1.21</v>
      </c>
      <c r="J5817">
        <v>0.12</v>
      </c>
      <c r="K5817">
        <v>0.97899999999999998</v>
      </c>
      <c r="L5817">
        <v>0.96</v>
      </c>
      <c r="M5817">
        <v>0.81100000000000005</v>
      </c>
      <c r="N5817">
        <v>6.0999999999999999E-2</v>
      </c>
    </row>
    <row r="5818" spans="1:14" x14ac:dyDescent="0.25">
      <c r="A5818" t="s">
        <v>10474</v>
      </c>
      <c r="B5818" t="s">
        <v>10475</v>
      </c>
      <c r="C5818" s="1" t="str">
        <f>HYPERLINK("http://www.genecards.org/cgi-bin/carddisp.pl?gene=ATXN2L","GeneCards")</f>
        <v>GeneCards</v>
      </c>
      <c r="D5818" s="1" t="str">
        <f>HYPERLINK("http://genome-euro.ucsc.edu/cgi-bin/hgTracks?position=201806_s_at","UCSC")</f>
        <v>UCSC</v>
      </c>
      <c r="E5818" s="1" t="str">
        <f>HYPERLINK("http://www.ncbi.nlm.nih.gov/gene/?term=ATXN2L","NCBI")</f>
        <v>NCBI</v>
      </c>
      <c r="F5818">
        <v>6.0999999999999999E-2</v>
      </c>
      <c r="G5818">
        <v>0.18</v>
      </c>
      <c r="H5818" s="1" t="str">
        <f>HYPERLINK("http://www.weizmann.ac.il/complex/compphys/software/geview/data/figures/201806_s_at.png","Figure")</f>
        <v>Figure</v>
      </c>
      <c r="I5818">
        <v>1.34</v>
      </c>
      <c r="J5818">
        <v>0.15</v>
      </c>
      <c r="K5818">
        <v>1.37</v>
      </c>
      <c r="L5818">
        <v>6.3E-2</v>
      </c>
      <c r="M5818">
        <v>1.03</v>
      </c>
      <c r="N5818">
        <v>0.98</v>
      </c>
    </row>
    <row r="5819" spans="1:14" x14ac:dyDescent="0.25">
      <c r="A5819" t="s">
        <v>10476</v>
      </c>
      <c r="B5819" t="s">
        <v>10477</v>
      </c>
      <c r="C5819" s="1" t="str">
        <f>HYPERLINK("http://www.genecards.org/cgi-bin/carddisp.pl?gene=LOC442421 /// LOC728297","GeneCards")</f>
        <v>GeneCards</v>
      </c>
      <c r="D5819" s="1" t="str">
        <f>HYPERLINK("http://genome-euro.ucsc.edu/cgi-bin/hgTracks?position=217158_at","UCSC")</f>
        <v>UCSC</v>
      </c>
      <c r="E5819" s="1" t="str">
        <f>HYPERLINK("http://www.ncbi.nlm.nih.gov/gene/?term=LOC442421 /// LOC728297","NCBI")</f>
        <v>NCBI</v>
      </c>
      <c r="F5819">
        <v>6.0999999999999999E-2</v>
      </c>
      <c r="G5819">
        <v>0.18</v>
      </c>
      <c r="H5819" s="1" t="str">
        <f>HYPERLINK("http://www.weizmann.ac.il/complex/compphys/software/geview/data/figures/217158_at.png","Figure")</f>
        <v>Figure</v>
      </c>
      <c r="I5819">
        <v>1.2</v>
      </c>
      <c r="J5819">
        <v>5.0999999999999997E-2</v>
      </c>
      <c r="K5819">
        <v>1.07</v>
      </c>
      <c r="L5819">
        <v>0.52</v>
      </c>
      <c r="M5819">
        <v>0.89100000000000001</v>
      </c>
      <c r="N5819">
        <v>0.22</v>
      </c>
    </row>
    <row r="5820" spans="1:14" x14ac:dyDescent="0.25">
      <c r="A5820" t="s">
        <v>10478</v>
      </c>
      <c r="B5820" t="s">
        <v>10479</v>
      </c>
      <c r="C5820" s="1" t="str">
        <f>HYPERLINK("http://www.genecards.org/cgi-bin/carddisp.pl?gene=PRODH","GeneCards")</f>
        <v>GeneCards</v>
      </c>
      <c r="D5820" s="1" t="str">
        <f>HYPERLINK("http://genome-euro.ucsc.edu/cgi-bin/hgTracks?position=214203_s_at","UCSC")</f>
        <v>UCSC</v>
      </c>
      <c r="E5820" s="1" t="str">
        <f>HYPERLINK("http://www.ncbi.nlm.nih.gov/gene/?term=PRODH","NCBI")</f>
        <v>NCBI</v>
      </c>
      <c r="F5820">
        <v>6.0999999999999999E-2</v>
      </c>
      <c r="G5820">
        <v>0.18</v>
      </c>
      <c r="H5820" s="1" t="str">
        <f>HYPERLINK("http://www.weizmann.ac.il/complex/compphys/software/geview/data/figures/214203_s_at.png","Figure")</f>
        <v>Figure</v>
      </c>
      <c r="I5820">
        <v>1.17</v>
      </c>
      <c r="J5820">
        <v>0.05</v>
      </c>
      <c r="K5820">
        <v>1.06</v>
      </c>
      <c r="L5820">
        <v>0.5</v>
      </c>
      <c r="M5820">
        <v>0.90600000000000003</v>
      </c>
      <c r="N5820">
        <v>0.23</v>
      </c>
    </row>
    <row r="5821" spans="1:14" x14ac:dyDescent="0.25">
      <c r="A5821" t="s">
        <v>10480</v>
      </c>
      <c r="B5821" t="s">
        <v>10481</v>
      </c>
      <c r="C5821" s="1" t="str">
        <f>HYPERLINK("http://www.genecards.org/cgi-bin/carddisp.pl?gene=HIST1H3G","GeneCards")</f>
        <v>GeneCards</v>
      </c>
      <c r="D5821" s="1" t="str">
        <f>HYPERLINK("http://genome-euro.ucsc.edu/cgi-bin/hgTracks?position=208496_x_at","UCSC")</f>
        <v>UCSC</v>
      </c>
      <c r="E5821" s="1" t="str">
        <f>HYPERLINK("http://www.ncbi.nlm.nih.gov/gene/?term=HIST1H3G","NCBI")</f>
        <v>NCBI</v>
      </c>
      <c r="F5821">
        <v>6.0999999999999999E-2</v>
      </c>
      <c r="G5821">
        <v>0.18</v>
      </c>
      <c r="H5821" s="1" t="str">
        <f>HYPERLINK("http://www.weizmann.ac.il/complex/compphys/software/geview/data/figures/208496_x_at.png","Figure")</f>
        <v>Figure</v>
      </c>
      <c r="I5821">
        <v>1.35</v>
      </c>
      <c r="J5821">
        <v>0.11</v>
      </c>
      <c r="K5821">
        <v>1.33</v>
      </c>
      <c r="L5821">
        <v>0.08</v>
      </c>
      <c r="M5821">
        <v>0.98199999999999998</v>
      </c>
      <c r="N5821">
        <v>0.99</v>
      </c>
    </row>
    <row r="5822" spans="1:14" x14ac:dyDescent="0.25">
      <c r="A5822" t="s">
        <v>10482</v>
      </c>
      <c r="B5822" t="s">
        <v>10483</v>
      </c>
      <c r="C5822" s="1" t="str">
        <f>HYPERLINK("http://www.genecards.org/cgi-bin/carddisp.pl?gene=DOM3Z","GeneCards")</f>
        <v>GeneCards</v>
      </c>
      <c r="D5822" s="1" t="str">
        <f>HYPERLINK("http://genome-euro.ucsc.edu/cgi-bin/hgTracks?position=204522_at","UCSC")</f>
        <v>UCSC</v>
      </c>
      <c r="E5822" s="1" t="str">
        <f>HYPERLINK("http://www.ncbi.nlm.nih.gov/gene/?term=DOM3Z","NCBI")</f>
        <v>NCBI</v>
      </c>
      <c r="F5822">
        <v>6.0999999999999999E-2</v>
      </c>
      <c r="G5822">
        <v>0.18</v>
      </c>
      <c r="H5822" s="1" t="str">
        <f>HYPERLINK("http://www.weizmann.ac.il/complex/compphys/software/geview/data/figures/204522_at.png","Figure")</f>
        <v>Figure</v>
      </c>
      <c r="I5822">
        <v>1.17</v>
      </c>
      <c r="J5822">
        <v>0.11</v>
      </c>
      <c r="K5822">
        <v>1.1599999999999999</v>
      </c>
      <c r="L5822">
        <v>7.9000000000000001E-2</v>
      </c>
      <c r="M5822">
        <v>0.99099999999999999</v>
      </c>
      <c r="N5822">
        <v>0.99</v>
      </c>
    </row>
    <row r="5823" spans="1:14" x14ac:dyDescent="0.25">
      <c r="A5823" t="s">
        <v>10484</v>
      </c>
      <c r="B5823" t="s">
        <v>10485</v>
      </c>
      <c r="C5823" s="1" t="str">
        <f>HYPERLINK("http://www.genecards.org/cgi-bin/carddisp.pl?gene=SAG","GeneCards")</f>
        <v>GeneCards</v>
      </c>
      <c r="D5823" s="1" t="str">
        <f>HYPERLINK("http://genome-euro.ucsc.edu/cgi-bin/hgTracks?position=206671_at","UCSC")</f>
        <v>UCSC</v>
      </c>
      <c r="E5823" s="1" t="str">
        <f>HYPERLINK("http://www.ncbi.nlm.nih.gov/gene/?term=SAG","NCBI")</f>
        <v>NCBI</v>
      </c>
      <c r="F5823">
        <v>6.0999999999999999E-2</v>
      </c>
      <c r="G5823">
        <v>0.18</v>
      </c>
      <c r="H5823" s="1" t="str">
        <f>HYPERLINK("http://www.weizmann.ac.il/complex/compphys/software/geview/data/figures/206671_at.png","Figure")</f>
        <v>Figure</v>
      </c>
      <c r="I5823">
        <v>1.33</v>
      </c>
      <c r="J5823">
        <v>5.1999999999999998E-2</v>
      </c>
      <c r="K5823">
        <v>1.1000000000000001</v>
      </c>
      <c r="L5823">
        <v>0.59</v>
      </c>
      <c r="M5823">
        <v>0.82699999999999996</v>
      </c>
      <c r="N5823">
        <v>0.19</v>
      </c>
    </row>
    <row r="5824" spans="1:14" x14ac:dyDescent="0.25">
      <c r="A5824" t="s">
        <v>10486</v>
      </c>
      <c r="B5824" t="s">
        <v>10487</v>
      </c>
      <c r="C5824" s="1" t="str">
        <f>HYPERLINK("http://www.genecards.org/cgi-bin/carddisp.pl?gene=MAPKSP1","GeneCards")</f>
        <v>GeneCards</v>
      </c>
      <c r="D5824" s="1" t="str">
        <f>HYPERLINK("http://genome-euro.ucsc.edu/cgi-bin/hgTracks?position=217971_at","UCSC")</f>
        <v>UCSC</v>
      </c>
      <c r="E5824" s="1" t="str">
        <f>HYPERLINK("http://www.ncbi.nlm.nih.gov/gene/?term=MAPKSP1","NCBI")</f>
        <v>NCBI</v>
      </c>
      <c r="F5824">
        <v>6.0999999999999999E-2</v>
      </c>
      <c r="G5824">
        <v>0.18</v>
      </c>
      <c r="H5824" s="1" t="str">
        <f>HYPERLINK("http://www.weizmann.ac.il/complex/compphys/software/geview/data/figures/217971_at.png","Figure")</f>
        <v>Figure</v>
      </c>
      <c r="I5824">
        <v>0.64700000000000002</v>
      </c>
      <c r="J5824">
        <v>0.1</v>
      </c>
      <c r="K5824">
        <v>0.66800000000000004</v>
      </c>
      <c r="L5824">
        <v>8.2000000000000003E-2</v>
      </c>
      <c r="M5824">
        <v>1.03</v>
      </c>
      <c r="N5824">
        <v>0.98</v>
      </c>
    </row>
    <row r="5825" spans="1:14" x14ac:dyDescent="0.25">
      <c r="A5825" t="s">
        <v>10488</v>
      </c>
      <c r="B5825" t="s">
        <v>10489</v>
      </c>
      <c r="C5825" s="1" t="str">
        <f>HYPERLINK("http://www.genecards.org/cgi-bin/carddisp.pl?gene=SPAG9","GeneCards")</f>
        <v>GeneCards</v>
      </c>
      <c r="D5825" s="1" t="str">
        <f>HYPERLINK("http://genome-euro.ucsc.edu/cgi-bin/hgTracks?position=206748_s_at","UCSC")</f>
        <v>UCSC</v>
      </c>
      <c r="E5825" s="1" t="str">
        <f>HYPERLINK("http://www.ncbi.nlm.nih.gov/gene/?term=SPAG9","NCBI")</f>
        <v>NCBI</v>
      </c>
      <c r="F5825">
        <v>6.0999999999999999E-2</v>
      </c>
      <c r="G5825">
        <v>0.18</v>
      </c>
      <c r="H5825" s="1" t="str">
        <f>HYPERLINK("http://www.weizmann.ac.il/complex/compphys/software/geview/data/figures/206748_s_at.png","Figure")</f>
        <v>Figure</v>
      </c>
      <c r="I5825">
        <v>1.02</v>
      </c>
      <c r="J5825">
        <v>0.98</v>
      </c>
      <c r="K5825">
        <v>0.79600000000000004</v>
      </c>
      <c r="L5825">
        <v>0.11</v>
      </c>
      <c r="M5825">
        <v>0.77900000000000003</v>
      </c>
      <c r="N5825">
        <v>0.1</v>
      </c>
    </row>
    <row r="5826" spans="1:14" x14ac:dyDescent="0.25">
      <c r="A5826" t="s">
        <v>10490</v>
      </c>
      <c r="B5826" t="s">
        <v>10491</v>
      </c>
      <c r="C5826" s="1" t="str">
        <f>HYPERLINK("http://www.genecards.org/cgi-bin/carddisp.pl?gene=ODC1","GeneCards")</f>
        <v>GeneCards</v>
      </c>
      <c r="D5826" s="1" t="str">
        <f>HYPERLINK("http://genome-euro.ucsc.edu/cgi-bin/hgTracks?position=200790_at","UCSC")</f>
        <v>UCSC</v>
      </c>
      <c r="E5826" s="1" t="str">
        <f>HYPERLINK("http://www.ncbi.nlm.nih.gov/gene/?term=ODC1","NCBI")</f>
        <v>NCBI</v>
      </c>
      <c r="F5826">
        <v>6.0999999999999999E-2</v>
      </c>
      <c r="G5826">
        <v>0.18</v>
      </c>
      <c r="H5826" s="1" t="str">
        <f>HYPERLINK("http://www.weizmann.ac.il/complex/compphys/software/geview/data/figures/200790_at.png","Figure")</f>
        <v>Figure</v>
      </c>
      <c r="I5826">
        <v>2.54</v>
      </c>
      <c r="J5826">
        <v>0.1</v>
      </c>
      <c r="K5826">
        <v>2.36</v>
      </c>
      <c r="L5826">
        <v>8.2000000000000003E-2</v>
      </c>
      <c r="M5826">
        <v>0.93200000000000005</v>
      </c>
      <c r="N5826">
        <v>0.98</v>
      </c>
    </row>
    <row r="5827" spans="1:14" x14ac:dyDescent="0.25">
      <c r="A5827" t="s">
        <v>10492</v>
      </c>
      <c r="B5827" t="s">
        <v>5300</v>
      </c>
      <c r="C5827" s="1" t="str">
        <f>HYPERLINK("http://www.genecards.org/cgi-bin/carddisp.pl?gene=PHF20","GeneCards")</f>
        <v>GeneCards</v>
      </c>
      <c r="D5827" s="1" t="str">
        <f>HYPERLINK("http://genome-euro.ucsc.edu/cgi-bin/hgTracks?position=206567_s_at","UCSC")</f>
        <v>UCSC</v>
      </c>
      <c r="E5827" s="1" t="str">
        <f>HYPERLINK("http://www.ncbi.nlm.nih.gov/gene/?term=PHF20","NCBI")</f>
        <v>NCBI</v>
      </c>
      <c r="F5827">
        <v>6.0999999999999999E-2</v>
      </c>
      <c r="G5827">
        <v>0.18</v>
      </c>
      <c r="H5827" s="1" t="str">
        <f>HYPERLINK("http://www.weizmann.ac.il/complex/compphys/software/geview/data/figures/206567_s_at.png","Figure")</f>
        <v>Figure</v>
      </c>
      <c r="I5827">
        <v>1.19</v>
      </c>
      <c r="J5827">
        <v>0.38</v>
      </c>
      <c r="K5827">
        <v>0.873</v>
      </c>
      <c r="L5827">
        <v>0.45</v>
      </c>
      <c r="M5827">
        <v>0.73299999999999998</v>
      </c>
      <c r="N5827">
        <v>5.0999999999999997E-2</v>
      </c>
    </row>
    <row r="5828" spans="1:14" x14ac:dyDescent="0.25">
      <c r="A5828" t="s">
        <v>10493</v>
      </c>
      <c r="B5828" t="s">
        <v>10494</v>
      </c>
      <c r="C5828" s="1" t="str">
        <f>HYPERLINK("http://www.genecards.org/cgi-bin/carddisp.pl?gene=TNFRSF13B","GeneCards")</f>
        <v>GeneCards</v>
      </c>
      <c r="D5828" s="1" t="str">
        <f>HYPERLINK("http://genome-euro.ucsc.edu/cgi-bin/hgTracks?position=207641_at","UCSC")</f>
        <v>UCSC</v>
      </c>
      <c r="E5828" s="1" t="str">
        <f>HYPERLINK("http://www.ncbi.nlm.nih.gov/gene/?term=TNFRSF13B","NCBI")</f>
        <v>NCBI</v>
      </c>
      <c r="F5828">
        <v>6.0999999999999999E-2</v>
      </c>
      <c r="G5828">
        <v>0.18</v>
      </c>
      <c r="H5828" s="1" t="str">
        <f>HYPERLINK("http://www.weizmann.ac.il/complex/compphys/software/geview/data/figures/207641_at.png","Figure")</f>
        <v>Figure</v>
      </c>
      <c r="I5828">
        <v>1.47</v>
      </c>
      <c r="J5828">
        <v>0.05</v>
      </c>
      <c r="K5828">
        <v>1.21</v>
      </c>
      <c r="L5828">
        <v>0.33</v>
      </c>
      <c r="M5828">
        <v>0.82</v>
      </c>
      <c r="N5828">
        <v>0.35</v>
      </c>
    </row>
    <row r="5829" spans="1:14" x14ac:dyDescent="0.25">
      <c r="A5829" t="s">
        <v>10495</v>
      </c>
      <c r="B5829" t="s">
        <v>10496</v>
      </c>
      <c r="C5829" s="1" t="str">
        <f>HYPERLINK("http://www.genecards.org/cgi-bin/carddisp.pl?gene=EIF2S2","GeneCards")</f>
        <v>GeneCards</v>
      </c>
      <c r="D5829" s="1" t="str">
        <f>HYPERLINK("http://genome-euro.ucsc.edu/cgi-bin/hgTracks?position=208725_at","UCSC")</f>
        <v>UCSC</v>
      </c>
      <c r="E5829" s="1" t="str">
        <f>HYPERLINK("http://www.ncbi.nlm.nih.gov/gene/?term=EIF2S2","NCBI")</f>
        <v>NCBI</v>
      </c>
      <c r="F5829">
        <v>6.0999999999999999E-2</v>
      </c>
      <c r="G5829">
        <v>0.18</v>
      </c>
      <c r="H5829" s="1" t="str">
        <f>HYPERLINK("http://www.weizmann.ac.il/complex/compphys/software/geview/data/figures/208725_at.png","Figure")</f>
        <v>Figure</v>
      </c>
      <c r="I5829">
        <v>0.86199999999999999</v>
      </c>
      <c r="J5829">
        <v>0.22</v>
      </c>
      <c r="K5829">
        <v>1.06</v>
      </c>
      <c r="L5829">
        <v>0.71</v>
      </c>
      <c r="M5829">
        <v>1.23</v>
      </c>
      <c r="N5829">
        <v>5.0999999999999997E-2</v>
      </c>
    </row>
    <row r="5830" spans="1:14" x14ac:dyDescent="0.25">
      <c r="A5830" t="s">
        <v>10497</v>
      </c>
      <c r="B5830" t="s">
        <v>10498</v>
      </c>
      <c r="C5830" s="1" t="str">
        <f>HYPERLINK("http://www.genecards.org/cgi-bin/carddisp.pl?gene=FNBP4","GeneCards")</f>
        <v>GeneCards</v>
      </c>
      <c r="D5830" s="1" t="str">
        <f>HYPERLINK("http://genome-euro.ucsc.edu/cgi-bin/hgTracks?position=212232_at","UCSC")</f>
        <v>UCSC</v>
      </c>
      <c r="E5830" s="1" t="str">
        <f>HYPERLINK("http://www.ncbi.nlm.nih.gov/gene/?term=FNBP4","NCBI")</f>
        <v>NCBI</v>
      </c>
      <c r="F5830">
        <v>6.0999999999999999E-2</v>
      </c>
      <c r="G5830">
        <v>0.18</v>
      </c>
      <c r="H5830" s="1" t="str">
        <f>HYPERLINK("http://www.weizmann.ac.il/complex/compphys/software/geview/data/figures/212232_at.png","Figure")</f>
        <v>Figure</v>
      </c>
      <c r="I5830">
        <v>1.1599999999999999</v>
      </c>
      <c r="J5830">
        <v>0.7</v>
      </c>
      <c r="K5830">
        <v>0.76100000000000001</v>
      </c>
      <c r="L5830">
        <v>0.22</v>
      </c>
      <c r="M5830">
        <v>0.65900000000000003</v>
      </c>
      <c r="N5830">
        <v>6.4000000000000001E-2</v>
      </c>
    </row>
    <row r="5831" spans="1:14" x14ac:dyDescent="0.25">
      <c r="A5831" t="s">
        <v>10499</v>
      </c>
      <c r="B5831" t="s">
        <v>1641</v>
      </c>
      <c r="C5831" s="1" t="str">
        <f>HYPERLINK("http://www.genecards.org/cgi-bin/carddisp.pl?gene=SYNJ2","GeneCards")</f>
        <v>GeneCards</v>
      </c>
      <c r="D5831" s="1" t="str">
        <f>HYPERLINK("http://genome-euro.ucsc.edu/cgi-bin/hgTracks?position=216180_s_at","UCSC")</f>
        <v>UCSC</v>
      </c>
      <c r="E5831" s="1" t="str">
        <f>HYPERLINK("http://www.ncbi.nlm.nih.gov/gene/?term=SYNJ2","NCBI")</f>
        <v>NCBI</v>
      </c>
      <c r="F5831">
        <v>6.0999999999999999E-2</v>
      </c>
      <c r="G5831">
        <v>0.18</v>
      </c>
      <c r="H5831" s="1" t="str">
        <f>HYPERLINK("http://www.weizmann.ac.il/complex/compphys/software/geview/data/figures/216180_s_at.png","Figure")</f>
        <v>Figure</v>
      </c>
      <c r="I5831">
        <v>1.56</v>
      </c>
      <c r="J5831">
        <v>0.05</v>
      </c>
      <c r="K5831">
        <v>1.22</v>
      </c>
      <c r="L5831">
        <v>0.4</v>
      </c>
      <c r="M5831">
        <v>0.77900000000000003</v>
      </c>
      <c r="N5831">
        <v>0.28999999999999998</v>
      </c>
    </row>
    <row r="5832" spans="1:14" x14ac:dyDescent="0.25">
      <c r="A5832" t="s">
        <v>10500</v>
      </c>
      <c r="B5832" t="s">
        <v>8079</v>
      </c>
      <c r="C5832" s="1" t="str">
        <f>HYPERLINK("http://www.genecards.org/cgi-bin/carddisp.pl?gene=UBE2N","GeneCards")</f>
        <v>GeneCards</v>
      </c>
      <c r="D5832" s="1" t="str">
        <f>HYPERLINK("http://genome-euro.ucsc.edu/cgi-bin/hgTracks?position=201523_x_at","UCSC")</f>
        <v>UCSC</v>
      </c>
      <c r="E5832" s="1" t="str">
        <f>HYPERLINK("http://www.ncbi.nlm.nih.gov/gene/?term=UBE2N","NCBI")</f>
        <v>NCBI</v>
      </c>
      <c r="F5832">
        <v>6.0999999999999999E-2</v>
      </c>
      <c r="G5832">
        <v>0.18</v>
      </c>
      <c r="H5832" s="1" t="str">
        <f>HYPERLINK("http://www.weizmann.ac.il/complex/compphys/software/geview/data/figures/201523_x_at.png","Figure")</f>
        <v>Figure</v>
      </c>
      <c r="I5832">
        <v>1.33</v>
      </c>
      <c r="J5832">
        <v>0.13</v>
      </c>
      <c r="K5832">
        <v>1.33</v>
      </c>
      <c r="L5832">
        <v>7.0999999999999994E-2</v>
      </c>
      <c r="M5832">
        <v>1</v>
      </c>
      <c r="N5832">
        <v>1</v>
      </c>
    </row>
    <row r="5833" spans="1:14" x14ac:dyDescent="0.25">
      <c r="A5833" t="s">
        <v>10501</v>
      </c>
      <c r="B5833" t="s">
        <v>9374</v>
      </c>
      <c r="C5833" s="1" t="str">
        <f>HYPERLINK("http://www.genecards.org/cgi-bin/carddisp.pl?gene=SSX4 /// SSX4B","GeneCards")</f>
        <v>GeneCards</v>
      </c>
      <c r="D5833" s="1" t="str">
        <f>HYPERLINK("http://genome-euro.ucsc.edu/cgi-bin/hgTracks?position=211425_x_at","UCSC")</f>
        <v>UCSC</v>
      </c>
      <c r="E5833" s="1" t="str">
        <f>HYPERLINK("http://www.ncbi.nlm.nih.gov/gene/?term=SSX4 /// SSX4B","NCBI")</f>
        <v>NCBI</v>
      </c>
      <c r="F5833">
        <v>6.0999999999999999E-2</v>
      </c>
      <c r="G5833">
        <v>0.18</v>
      </c>
      <c r="H5833" s="1" t="str">
        <f>HYPERLINK("http://www.weizmann.ac.il/complex/compphys/software/geview/data/figures/211425_x_at.png","Figure")</f>
        <v>Figure</v>
      </c>
      <c r="I5833">
        <v>1.03</v>
      </c>
      <c r="J5833">
        <v>0.95</v>
      </c>
      <c r="K5833">
        <v>0.81599999999999995</v>
      </c>
      <c r="L5833">
        <v>0.13</v>
      </c>
      <c r="M5833">
        <v>0.79</v>
      </c>
      <c r="N5833">
        <v>9.2999999999999999E-2</v>
      </c>
    </row>
    <row r="5834" spans="1:14" x14ac:dyDescent="0.25">
      <c r="A5834" t="s">
        <v>10502</v>
      </c>
      <c r="B5834" t="s">
        <v>10503</v>
      </c>
      <c r="C5834" s="1" t="str">
        <f>HYPERLINK("http://www.genecards.org/cgi-bin/carddisp.pl?gene=KARS","GeneCards")</f>
        <v>GeneCards</v>
      </c>
      <c r="D5834" s="1" t="str">
        <f>HYPERLINK("http://genome-euro.ucsc.edu/cgi-bin/hgTracks?position=200840_at","UCSC")</f>
        <v>UCSC</v>
      </c>
      <c r="E5834" s="1" t="str">
        <f>HYPERLINK("http://www.ncbi.nlm.nih.gov/gene/?term=KARS","NCBI")</f>
        <v>NCBI</v>
      </c>
      <c r="F5834">
        <v>6.0999999999999999E-2</v>
      </c>
      <c r="G5834">
        <v>0.18</v>
      </c>
      <c r="H5834" s="1" t="str">
        <f>HYPERLINK("http://www.weizmann.ac.il/complex/compphys/software/geview/data/figures/200840_at.png","Figure")</f>
        <v>Figure</v>
      </c>
      <c r="I5834">
        <v>1.19</v>
      </c>
      <c r="J5834">
        <v>0.42</v>
      </c>
      <c r="K5834">
        <v>1.37</v>
      </c>
      <c r="L5834">
        <v>0.05</v>
      </c>
      <c r="M5834">
        <v>1.1499999999999999</v>
      </c>
      <c r="N5834">
        <v>0.54</v>
      </c>
    </row>
    <row r="5835" spans="1:14" x14ac:dyDescent="0.25">
      <c r="A5835" t="s">
        <v>10504</v>
      </c>
      <c r="B5835" t="s">
        <v>10505</v>
      </c>
      <c r="C5835" s="1" t="str">
        <f>HYPERLINK("http://www.genecards.org/cgi-bin/carddisp.pl?gene=FBXO11","GeneCards")</f>
        <v>GeneCards</v>
      </c>
      <c r="D5835" s="1" t="str">
        <f>HYPERLINK("http://genome-euro.ucsc.edu/cgi-bin/hgTracks?position=222119_s_at","UCSC")</f>
        <v>UCSC</v>
      </c>
      <c r="E5835" s="1" t="str">
        <f>HYPERLINK("http://www.ncbi.nlm.nih.gov/gene/?term=FBXO11","NCBI")</f>
        <v>NCBI</v>
      </c>
      <c r="F5835">
        <v>6.0999999999999999E-2</v>
      </c>
      <c r="G5835">
        <v>0.18</v>
      </c>
      <c r="H5835" s="1" t="str">
        <f>HYPERLINK("http://www.weizmann.ac.il/complex/compphys/software/geview/data/figures/222119_s_at.png","Figure")</f>
        <v>Figure</v>
      </c>
      <c r="I5835">
        <v>0.55500000000000005</v>
      </c>
      <c r="J5835">
        <v>0.12</v>
      </c>
      <c r="K5835">
        <v>0.55600000000000005</v>
      </c>
      <c r="L5835">
        <v>7.2999999999999995E-2</v>
      </c>
      <c r="M5835">
        <v>1</v>
      </c>
      <c r="N5835">
        <v>1</v>
      </c>
    </row>
    <row r="5836" spans="1:14" x14ac:dyDescent="0.25">
      <c r="A5836" t="s">
        <v>10506</v>
      </c>
      <c r="B5836" t="s">
        <v>10507</v>
      </c>
      <c r="C5836" s="1" t="str">
        <f>HYPERLINK("http://www.genecards.org/cgi-bin/carddisp.pl?gene=MRPS2","GeneCards")</f>
        <v>GeneCards</v>
      </c>
      <c r="D5836" s="1" t="str">
        <f>HYPERLINK("http://genome-euro.ucsc.edu/cgi-bin/hgTracks?position=218001_at","UCSC")</f>
        <v>UCSC</v>
      </c>
      <c r="E5836" s="1" t="str">
        <f>HYPERLINK("http://www.ncbi.nlm.nih.gov/gene/?term=MRPS2","NCBI")</f>
        <v>NCBI</v>
      </c>
      <c r="F5836">
        <v>6.0999999999999999E-2</v>
      </c>
      <c r="G5836">
        <v>0.18</v>
      </c>
      <c r="H5836" s="1" t="str">
        <f>HYPERLINK("http://www.weizmann.ac.il/complex/compphys/software/geview/data/figures/218001_at.png","Figure")</f>
        <v>Figure</v>
      </c>
      <c r="I5836">
        <v>0.78700000000000003</v>
      </c>
      <c r="J5836">
        <v>0.35</v>
      </c>
      <c r="K5836">
        <v>1.18</v>
      </c>
      <c r="L5836">
        <v>0.49</v>
      </c>
      <c r="M5836">
        <v>1.5</v>
      </c>
      <c r="N5836">
        <v>0.05</v>
      </c>
    </row>
    <row r="5837" spans="1:14" x14ac:dyDescent="0.25">
      <c r="A5837" t="s">
        <v>10508</v>
      </c>
      <c r="B5837" t="s">
        <v>10509</v>
      </c>
      <c r="C5837" s="1" t="str">
        <f>HYPERLINK("http://www.genecards.org/cgi-bin/carddisp.pl?gene=DCTN2","GeneCards")</f>
        <v>GeneCards</v>
      </c>
      <c r="D5837" s="1" t="str">
        <f>HYPERLINK("http://genome-euro.ucsc.edu/cgi-bin/hgTracks?position=214384_s_at","UCSC")</f>
        <v>UCSC</v>
      </c>
      <c r="E5837" s="1" t="str">
        <f>HYPERLINK("http://www.ncbi.nlm.nih.gov/gene/?term=DCTN2","NCBI")</f>
        <v>NCBI</v>
      </c>
      <c r="F5837">
        <v>6.0999999999999999E-2</v>
      </c>
      <c r="G5837">
        <v>0.18</v>
      </c>
      <c r="H5837" s="1" t="str">
        <f>HYPERLINK("http://www.weizmann.ac.il/complex/compphys/software/geview/data/figures/214384_s_at.png","Figure")</f>
        <v>Figure</v>
      </c>
      <c r="I5837">
        <v>1.22</v>
      </c>
      <c r="J5837">
        <v>5.5E-2</v>
      </c>
      <c r="K5837">
        <v>1.06</v>
      </c>
      <c r="L5837">
        <v>0.68</v>
      </c>
      <c r="M5837">
        <v>0.87</v>
      </c>
      <c r="N5837">
        <v>0.16</v>
      </c>
    </row>
    <row r="5838" spans="1:14" x14ac:dyDescent="0.25">
      <c r="A5838" t="s">
        <v>10510</v>
      </c>
      <c r="B5838" t="s">
        <v>10511</v>
      </c>
      <c r="C5838" s="1" t="str">
        <f>HYPERLINK("http://www.genecards.org/cgi-bin/carddisp.pl?gene=PSMD2","GeneCards")</f>
        <v>GeneCards</v>
      </c>
      <c r="D5838" s="1" t="str">
        <f>HYPERLINK("http://genome-euro.ucsc.edu/cgi-bin/hgTracks?position=200830_at","UCSC")</f>
        <v>UCSC</v>
      </c>
      <c r="E5838" s="1" t="str">
        <f>HYPERLINK("http://www.ncbi.nlm.nih.gov/gene/?term=PSMD2","NCBI")</f>
        <v>NCBI</v>
      </c>
      <c r="F5838">
        <v>6.0999999999999999E-2</v>
      </c>
      <c r="G5838">
        <v>0.18</v>
      </c>
      <c r="H5838" s="1" t="str">
        <f>HYPERLINK("http://www.weizmann.ac.il/complex/compphys/software/geview/data/figures/200830_at.png","Figure")</f>
        <v>Figure</v>
      </c>
      <c r="I5838">
        <v>1.21</v>
      </c>
      <c r="J5838">
        <v>0.15</v>
      </c>
      <c r="K5838">
        <v>0.96299999999999997</v>
      </c>
      <c r="L5838">
        <v>0.89</v>
      </c>
      <c r="M5838">
        <v>0.79500000000000004</v>
      </c>
      <c r="N5838">
        <v>5.6000000000000001E-2</v>
      </c>
    </row>
    <row r="5839" spans="1:14" x14ac:dyDescent="0.25">
      <c r="A5839" t="s">
        <v>10512</v>
      </c>
      <c r="B5839" t="s">
        <v>10513</v>
      </c>
      <c r="C5839" s="1" t="str">
        <f>HYPERLINK("http://www.genecards.org/cgi-bin/carddisp.pl?gene=PPP1CB","GeneCards")</f>
        <v>GeneCards</v>
      </c>
      <c r="D5839" s="1" t="str">
        <f>HYPERLINK("http://genome-euro.ucsc.edu/cgi-bin/hgTracks?position=201407_s_at","UCSC")</f>
        <v>UCSC</v>
      </c>
      <c r="E5839" s="1" t="str">
        <f>HYPERLINK("http://www.ncbi.nlm.nih.gov/gene/?term=PPP1CB","NCBI")</f>
        <v>NCBI</v>
      </c>
      <c r="F5839">
        <v>6.0999999999999999E-2</v>
      </c>
      <c r="G5839">
        <v>0.18</v>
      </c>
      <c r="H5839" s="1" t="str">
        <f>HYPERLINK("http://www.weizmann.ac.il/complex/compphys/software/geview/data/figures/201407_s_at.png","Figure")</f>
        <v>Figure</v>
      </c>
      <c r="I5839">
        <v>0.79100000000000004</v>
      </c>
      <c r="J5839">
        <v>0.05</v>
      </c>
      <c r="K5839">
        <v>0.90100000000000002</v>
      </c>
      <c r="L5839">
        <v>0.4</v>
      </c>
      <c r="M5839">
        <v>1.1399999999999999</v>
      </c>
      <c r="N5839">
        <v>0.28999999999999998</v>
      </c>
    </row>
    <row r="5840" spans="1:14" x14ac:dyDescent="0.25">
      <c r="A5840" t="s">
        <v>10514</v>
      </c>
      <c r="B5840" t="s">
        <v>10515</v>
      </c>
      <c r="C5840" s="1" t="str">
        <f>HYPERLINK("http://www.genecards.org/cgi-bin/carddisp.pl?gene=DYNLT1","GeneCards")</f>
        <v>GeneCards</v>
      </c>
      <c r="D5840" s="1" t="str">
        <f>HYPERLINK("http://genome-euro.ucsc.edu/cgi-bin/hgTracks?position=201999_s_at","UCSC")</f>
        <v>UCSC</v>
      </c>
      <c r="E5840" s="1" t="str">
        <f>HYPERLINK("http://www.ncbi.nlm.nih.gov/gene/?term=DYNLT1","NCBI")</f>
        <v>NCBI</v>
      </c>
      <c r="F5840">
        <v>6.0999999999999999E-2</v>
      </c>
      <c r="G5840">
        <v>0.18</v>
      </c>
      <c r="H5840" s="1" t="str">
        <f>HYPERLINK("http://www.weizmann.ac.il/complex/compphys/software/geview/data/figures/201999_s_at.png","Figure")</f>
        <v>Figure</v>
      </c>
      <c r="I5840">
        <v>0.505</v>
      </c>
      <c r="J5840">
        <v>0.05</v>
      </c>
      <c r="K5840">
        <v>0.73699999999999999</v>
      </c>
      <c r="L5840">
        <v>0.39</v>
      </c>
      <c r="M5840">
        <v>1.46</v>
      </c>
      <c r="N5840">
        <v>0.3</v>
      </c>
    </row>
    <row r="5841" spans="1:14" x14ac:dyDescent="0.25">
      <c r="A5841" t="s">
        <v>10516</v>
      </c>
      <c r="B5841" t="s">
        <v>10517</v>
      </c>
      <c r="C5841" s="1" t="str">
        <f>HYPERLINK("http://www.genecards.org/cgi-bin/carddisp.pl?gene=NELL2","GeneCards")</f>
        <v>GeneCards</v>
      </c>
      <c r="D5841" s="1" t="str">
        <f>HYPERLINK("http://genome-euro.ucsc.edu/cgi-bin/hgTracks?position=203413_at","UCSC")</f>
        <v>UCSC</v>
      </c>
      <c r="E5841" s="1" t="str">
        <f>HYPERLINK("http://www.ncbi.nlm.nih.gov/gene/?term=NELL2","NCBI")</f>
        <v>NCBI</v>
      </c>
      <c r="F5841">
        <v>6.0999999999999999E-2</v>
      </c>
      <c r="G5841">
        <v>0.18</v>
      </c>
      <c r="H5841" s="1" t="str">
        <f>HYPERLINK("http://www.weizmann.ac.il/complex/compphys/software/geview/data/figures/203413_at.png","Figure")</f>
        <v>Figure</v>
      </c>
      <c r="I5841">
        <v>1.01</v>
      </c>
      <c r="J5841">
        <v>1</v>
      </c>
      <c r="K5841">
        <v>0.66600000000000004</v>
      </c>
      <c r="L5841">
        <v>9.9000000000000005E-2</v>
      </c>
      <c r="M5841">
        <v>0.66100000000000003</v>
      </c>
      <c r="N5841">
        <v>0.12</v>
      </c>
    </row>
    <row r="5842" spans="1:14" x14ac:dyDescent="0.25">
      <c r="A5842" t="s">
        <v>10518</v>
      </c>
      <c r="B5842" t="s">
        <v>10519</v>
      </c>
      <c r="C5842" s="1" t="str">
        <f>HYPERLINK("http://www.genecards.org/cgi-bin/carddisp.pl?gene=ICT1","GeneCards")</f>
        <v>GeneCards</v>
      </c>
      <c r="D5842" s="1" t="str">
        <f>HYPERLINK("http://genome-euro.ucsc.edu/cgi-bin/hgTracks?position=204868_at","UCSC")</f>
        <v>UCSC</v>
      </c>
      <c r="E5842" s="1" t="str">
        <f>HYPERLINK("http://www.ncbi.nlm.nih.gov/gene/?term=ICT1","NCBI")</f>
        <v>NCBI</v>
      </c>
      <c r="F5842">
        <v>6.0999999999999999E-2</v>
      </c>
      <c r="G5842">
        <v>0.18</v>
      </c>
      <c r="H5842" s="1" t="str">
        <f>HYPERLINK("http://www.weizmann.ac.il/complex/compphys/software/geview/data/figures/204868_at.png","Figure")</f>
        <v>Figure</v>
      </c>
      <c r="I5842">
        <v>0.84499999999999997</v>
      </c>
      <c r="J5842">
        <v>0.77</v>
      </c>
      <c r="K5842">
        <v>1.47</v>
      </c>
      <c r="L5842">
        <v>0.2</v>
      </c>
      <c r="M5842">
        <v>1.74</v>
      </c>
      <c r="N5842">
        <v>6.9000000000000006E-2</v>
      </c>
    </row>
    <row r="5843" spans="1:14" x14ac:dyDescent="0.25">
      <c r="A5843" t="s">
        <v>10520</v>
      </c>
      <c r="B5843" t="s">
        <v>7010</v>
      </c>
      <c r="C5843" s="1" t="str">
        <f>HYPERLINK("http://www.genecards.org/cgi-bin/carddisp.pl?gene=CSH1","GeneCards")</f>
        <v>GeneCards</v>
      </c>
      <c r="D5843" s="1" t="str">
        <f>HYPERLINK("http://genome-euro.ucsc.edu/cgi-bin/hgTracks?position=206475_x_at","UCSC")</f>
        <v>UCSC</v>
      </c>
      <c r="E5843" s="1" t="str">
        <f>HYPERLINK("http://www.ncbi.nlm.nih.gov/gene/?term=CSH1","NCBI")</f>
        <v>NCBI</v>
      </c>
      <c r="F5843">
        <v>6.0999999999999999E-2</v>
      </c>
      <c r="G5843">
        <v>0.18</v>
      </c>
      <c r="H5843" s="1" t="str">
        <f>HYPERLINK("http://www.weizmann.ac.il/complex/compphys/software/geview/data/figures/206475_x_at.png","Figure")</f>
        <v>Figure</v>
      </c>
      <c r="I5843">
        <v>1.1499999999999999</v>
      </c>
      <c r="J5843">
        <v>0.05</v>
      </c>
      <c r="K5843">
        <v>1.07</v>
      </c>
      <c r="L5843">
        <v>0.33</v>
      </c>
      <c r="M5843">
        <v>0.93300000000000005</v>
      </c>
      <c r="N5843">
        <v>0.35</v>
      </c>
    </row>
    <row r="5844" spans="1:14" x14ac:dyDescent="0.25">
      <c r="A5844" t="s">
        <v>10521</v>
      </c>
      <c r="B5844" t="s">
        <v>10522</v>
      </c>
      <c r="C5844" s="1" t="str">
        <f>HYPERLINK("http://www.genecards.org/cgi-bin/carddisp.pl?gene=MUC13","GeneCards")</f>
        <v>GeneCards</v>
      </c>
      <c r="D5844" s="1" t="str">
        <f>HYPERLINK("http://genome-euro.ucsc.edu/cgi-bin/hgTracks?position=218687_s_at","UCSC")</f>
        <v>UCSC</v>
      </c>
      <c r="E5844" s="1" t="str">
        <f>HYPERLINK("http://www.ncbi.nlm.nih.gov/gene/?term=MUC13","NCBI")</f>
        <v>NCBI</v>
      </c>
      <c r="F5844">
        <v>6.0999999999999999E-2</v>
      </c>
      <c r="G5844">
        <v>0.18</v>
      </c>
      <c r="H5844" s="1" t="str">
        <f>HYPERLINK("http://www.weizmann.ac.il/complex/compphys/software/geview/data/figures/218687_s_at.png","Figure")</f>
        <v>Figure</v>
      </c>
      <c r="I5844">
        <v>1.19</v>
      </c>
      <c r="J5844">
        <v>5.1999999999999998E-2</v>
      </c>
      <c r="K5844">
        <v>1.06</v>
      </c>
      <c r="L5844">
        <v>0.55000000000000004</v>
      </c>
      <c r="M5844">
        <v>0.89600000000000002</v>
      </c>
      <c r="N5844">
        <v>0.21</v>
      </c>
    </row>
    <row r="5845" spans="1:14" x14ac:dyDescent="0.25">
      <c r="A5845" t="s">
        <v>10523</v>
      </c>
      <c r="B5845" t="s">
        <v>10524</v>
      </c>
      <c r="C5845" s="1" t="str">
        <f>HYPERLINK("http://www.genecards.org/cgi-bin/carddisp.pl?gene=POLD2","GeneCards")</f>
        <v>GeneCards</v>
      </c>
      <c r="D5845" s="1" t="str">
        <f>HYPERLINK("http://genome-euro.ucsc.edu/cgi-bin/hgTracks?position=201115_at","UCSC")</f>
        <v>UCSC</v>
      </c>
      <c r="E5845" s="1" t="str">
        <f>HYPERLINK("http://www.ncbi.nlm.nih.gov/gene/?term=POLD2","NCBI")</f>
        <v>NCBI</v>
      </c>
      <c r="F5845">
        <v>6.0999999999999999E-2</v>
      </c>
      <c r="G5845">
        <v>0.18</v>
      </c>
      <c r="H5845" s="1" t="str">
        <f>HYPERLINK("http://www.weizmann.ac.il/complex/compphys/software/geview/data/figures/201115_at.png","Figure")</f>
        <v>Figure</v>
      </c>
      <c r="I5845">
        <v>1.02</v>
      </c>
      <c r="J5845">
        <v>0.99</v>
      </c>
      <c r="K5845">
        <v>1.33</v>
      </c>
      <c r="L5845">
        <v>8.5999999999999993E-2</v>
      </c>
      <c r="M5845">
        <v>1.31</v>
      </c>
      <c r="N5845">
        <v>0.14000000000000001</v>
      </c>
    </row>
    <row r="5846" spans="1:14" x14ac:dyDescent="0.25">
      <c r="A5846" t="s">
        <v>10525</v>
      </c>
      <c r="B5846" t="s">
        <v>10526</v>
      </c>
      <c r="C5846" s="1" t="str">
        <f>HYPERLINK("http://www.genecards.org/cgi-bin/carddisp.pl?gene=COX8A","GeneCards")</f>
        <v>GeneCards</v>
      </c>
      <c r="D5846" s="1" t="str">
        <f>HYPERLINK("http://genome-euro.ucsc.edu/cgi-bin/hgTracks?position=201119_s_at","UCSC")</f>
        <v>UCSC</v>
      </c>
      <c r="E5846" s="1" t="str">
        <f>HYPERLINK("http://www.ncbi.nlm.nih.gov/gene/?term=COX8A","NCBI")</f>
        <v>NCBI</v>
      </c>
      <c r="F5846">
        <v>6.0999999999999999E-2</v>
      </c>
      <c r="G5846">
        <v>0.18</v>
      </c>
      <c r="H5846" s="1" t="str">
        <f>HYPERLINK("http://www.weizmann.ac.il/complex/compphys/software/geview/data/figures/201119_s_at.png","Figure")</f>
        <v>Figure</v>
      </c>
      <c r="I5846">
        <v>1.35</v>
      </c>
      <c r="J5846">
        <v>0.2</v>
      </c>
      <c r="K5846">
        <v>1.45</v>
      </c>
      <c r="L5846">
        <v>5.7000000000000002E-2</v>
      </c>
      <c r="M5846">
        <v>1.07</v>
      </c>
      <c r="N5846">
        <v>0.89</v>
      </c>
    </row>
    <row r="5847" spans="1:14" x14ac:dyDescent="0.25">
      <c r="A5847" t="s">
        <v>10527</v>
      </c>
      <c r="B5847" t="s">
        <v>9512</v>
      </c>
      <c r="C5847" s="1" t="str">
        <f>HYPERLINK("http://www.genecards.org/cgi-bin/carddisp.pl?gene=CAMKK2","GeneCards")</f>
        <v>GeneCards</v>
      </c>
      <c r="D5847" s="1" t="str">
        <f>HYPERLINK("http://genome-euro.ucsc.edu/cgi-bin/hgTracks?position=207359_at","UCSC")</f>
        <v>UCSC</v>
      </c>
      <c r="E5847" s="1" t="str">
        <f>HYPERLINK("http://www.ncbi.nlm.nih.gov/gene/?term=CAMKK2","NCBI")</f>
        <v>NCBI</v>
      </c>
      <c r="F5847">
        <v>6.0999999999999999E-2</v>
      </c>
      <c r="G5847">
        <v>0.18</v>
      </c>
      <c r="H5847" s="1" t="str">
        <f>HYPERLINK("http://www.weizmann.ac.il/complex/compphys/software/geview/data/figures/207359_at.png","Figure")</f>
        <v>Figure</v>
      </c>
      <c r="I5847">
        <v>1.05</v>
      </c>
      <c r="J5847">
        <v>7.5999999999999998E-2</v>
      </c>
      <c r="K5847">
        <v>1.04</v>
      </c>
      <c r="L5847">
        <v>0.12</v>
      </c>
      <c r="M5847">
        <v>0.98899999999999999</v>
      </c>
      <c r="N5847">
        <v>0.85</v>
      </c>
    </row>
    <row r="5848" spans="1:14" x14ac:dyDescent="0.25">
      <c r="A5848" t="s">
        <v>10528</v>
      </c>
      <c r="B5848" t="s">
        <v>4661</v>
      </c>
      <c r="C5848" s="1" t="str">
        <f>HYPERLINK("http://www.genecards.org/cgi-bin/carddisp.pl?gene=CASK","GeneCards")</f>
        <v>GeneCards</v>
      </c>
      <c r="D5848" s="1" t="str">
        <f>HYPERLINK("http://genome-euro.ucsc.edu/cgi-bin/hgTracks?position=207620_s_at","UCSC")</f>
        <v>UCSC</v>
      </c>
      <c r="E5848" s="1" t="str">
        <f>HYPERLINK("http://www.ncbi.nlm.nih.gov/gene/?term=CASK","NCBI")</f>
        <v>NCBI</v>
      </c>
      <c r="F5848">
        <v>6.0999999999999999E-2</v>
      </c>
      <c r="G5848">
        <v>0.18</v>
      </c>
      <c r="H5848" s="1" t="str">
        <f>HYPERLINK("http://www.weizmann.ac.il/complex/compphys/software/geview/data/figures/207620_s_at.png","Figure")</f>
        <v>Figure</v>
      </c>
      <c r="I5848">
        <v>0.91900000000000004</v>
      </c>
      <c r="J5848">
        <v>8.4000000000000005E-2</v>
      </c>
      <c r="K5848">
        <v>0.995</v>
      </c>
      <c r="L5848">
        <v>0.99</v>
      </c>
      <c r="M5848">
        <v>1.08</v>
      </c>
      <c r="N5848">
        <v>8.1000000000000003E-2</v>
      </c>
    </row>
    <row r="5849" spans="1:14" x14ac:dyDescent="0.25">
      <c r="A5849" t="s">
        <v>10529</v>
      </c>
      <c r="B5849" t="s">
        <v>10530</v>
      </c>
      <c r="C5849" s="1" t="str">
        <f>HYPERLINK("http://www.genecards.org/cgi-bin/carddisp.pl?gene=DENND5A","GeneCards")</f>
        <v>GeneCards</v>
      </c>
      <c r="D5849" s="1" t="str">
        <f>HYPERLINK("http://genome-euro.ucsc.edu/cgi-bin/hgTracks?position=212561_at","UCSC")</f>
        <v>UCSC</v>
      </c>
      <c r="E5849" s="1" t="str">
        <f>HYPERLINK("http://www.ncbi.nlm.nih.gov/gene/?term=DENND5A","NCBI")</f>
        <v>NCBI</v>
      </c>
      <c r="F5849">
        <v>6.0999999999999999E-2</v>
      </c>
      <c r="G5849">
        <v>0.18</v>
      </c>
      <c r="H5849" s="1" t="str">
        <f>HYPERLINK("http://www.weizmann.ac.il/complex/compphys/software/geview/data/figures/212561_at.png","Figure")</f>
        <v>Figure</v>
      </c>
      <c r="I5849">
        <v>0.64500000000000002</v>
      </c>
      <c r="J5849">
        <v>5.5E-2</v>
      </c>
      <c r="K5849">
        <v>0.88200000000000001</v>
      </c>
      <c r="L5849">
        <v>0.68</v>
      </c>
      <c r="M5849">
        <v>1.37</v>
      </c>
      <c r="N5849">
        <v>0.16</v>
      </c>
    </row>
    <row r="5850" spans="1:14" x14ac:dyDescent="0.25">
      <c r="A5850" t="s">
        <v>10531</v>
      </c>
      <c r="B5850" t="s">
        <v>6517</v>
      </c>
      <c r="C5850" s="1" t="str">
        <f>HYPERLINK("http://www.genecards.org/cgi-bin/carddisp.pl?gene=NADK","GeneCards")</f>
        <v>GeneCards</v>
      </c>
      <c r="D5850" s="1" t="str">
        <f>HYPERLINK("http://genome-euro.ucsc.edu/cgi-bin/hgTracks?position=213607_x_at","UCSC")</f>
        <v>UCSC</v>
      </c>
      <c r="E5850" s="1" t="str">
        <f>HYPERLINK("http://www.ncbi.nlm.nih.gov/gene/?term=NADK","NCBI")</f>
        <v>NCBI</v>
      </c>
      <c r="F5850">
        <v>6.0999999999999999E-2</v>
      </c>
      <c r="G5850">
        <v>0.18</v>
      </c>
      <c r="H5850" s="1" t="str">
        <f>HYPERLINK("http://www.weizmann.ac.il/complex/compphys/software/geview/data/figures/213607_x_at.png","Figure")</f>
        <v>Figure</v>
      </c>
      <c r="I5850">
        <v>1.23</v>
      </c>
      <c r="J5850">
        <v>0.05</v>
      </c>
      <c r="K5850">
        <v>1.1000000000000001</v>
      </c>
      <c r="L5850">
        <v>0.38</v>
      </c>
      <c r="M5850">
        <v>0.89300000000000002</v>
      </c>
      <c r="N5850">
        <v>0.31</v>
      </c>
    </row>
    <row r="5851" spans="1:14" x14ac:dyDescent="0.25">
      <c r="A5851" t="s">
        <v>10532</v>
      </c>
      <c r="B5851" t="s">
        <v>10458</v>
      </c>
      <c r="C5851" s="1" t="str">
        <f>HYPERLINK("http://www.genecards.org/cgi-bin/carddisp.pl?gene=DPYSL4","GeneCards")</f>
        <v>GeneCards</v>
      </c>
      <c r="D5851" s="1" t="str">
        <f>HYPERLINK("http://genome-euro.ucsc.edu/cgi-bin/hgTracks?position=214301_s_at","UCSC")</f>
        <v>UCSC</v>
      </c>
      <c r="E5851" s="1" t="str">
        <f>HYPERLINK("http://www.ncbi.nlm.nih.gov/gene/?term=DPYSL4","NCBI")</f>
        <v>NCBI</v>
      </c>
      <c r="F5851">
        <v>6.0999999999999999E-2</v>
      </c>
      <c r="G5851">
        <v>0.18</v>
      </c>
      <c r="H5851" s="1" t="str">
        <f>HYPERLINK("http://www.weizmann.ac.il/complex/compphys/software/geview/data/figures/214301_s_at.png","Figure")</f>
        <v>Figure</v>
      </c>
      <c r="I5851">
        <v>1.2</v>
      </c>
      <c r="J5851">
        <v>0.05</v>
      </c>
      <c r="K5851">
        <v>1.08</v>
      </c>
      <c r="L5851">
        <v>0.44</v>
      </c>
      <c r="M5851">
        <v>0.89800000000000002</v>
      </c>
      <c r="N5851">
        <v>0.26</v>
      </c>
    </row>
    <row r="5852" spans="1:14" x14ac:dyDescent="0.25">
      <c r="A5852" t="s">
        <v>10533</v>
      </c>
      <c r="B5852" t="s">
        <v>10534</v>
      </c>
      <c r="C5852" s="1" t="str">
        <f>HYPERLINK("http://www.genecards.org/cgi-bin/carddisp.pl?gene=RAB3IL1","GeneCards")</f>
        <v>GeneCards</v>
      </c>
      <c r="D5852" s="1" t="str">
        <f>HYPERLINK("http://genome-euro.ucsc.edu/cgi-bin/hgTracks?position=219579_at","UCSC")</f>
        <v>UCSC</v>
      </c>
      <c r="E5852" s="1" t="str">
        <f>HYPERLINK("http://www.ncbi.nlm.nih.gov/gene/?term=RAB3IL1","NCBI")</f>
        <v>NCBI</v>
      </c>
      <c r="F5852">
        <v>6.0999999999999999E-2</v>
      </c>
      <c r="G5852">
        <v>0.18</v>
      </c>
      <c r="H5852" s="1" t="str">
        <f>HYPERLINK("http://www.weizmann.ac.il/complex/compphys/software/geview/data/figures/219579_at.png","Figure")</f>
        <v>Figure</v>
      </c>
      <c r="I5852">
        <v>1.45</v>
      </c>
      <c r="J5852">
        <v>6.2E-2</v>
      </c>
      <c r="K5852">
        <v>1.08</v>
      </c>
      <c r="L5852">
        <v>0.81</v>
      </c>
      <c r="M5852">
        <v>0.746</v>
      </c>
      <c r="N5852">
        <v>0.12</v>
      </c>
    </row>
    <row r="5853" spans="1:14" x14ac:dyDescent="0.25">
      <c r="A5853" t="s">
        <v>10535</v>
      </c>
      <c r="B5853" t="s">
        <v>10536</v>
      </c>
      <c r="C5853" s="1" t="str">
        <f>HYPERLINK("http://www.genecards.org/cgi-bin/carddisp.pl?gene=PQLC2","GeneCards")</f>
        <v>GeneCards</v>
      </c>
      <c r="D5853" s="1" t="str">
        <f>HYPERLINK("http://genome-euro.ucsc.edu/cgi-bin/hgTracks?position=220453_at","UCSC")</f>
        <v>UCSC</v>
      </c>
      <c r="E5853" s="1" t="str">
        <f>HYPERLINK("http://www.ncbi.nlm.nih.gov/gene/?term=PQLC2","NCBI")</f>
        <v>NCBI</v>
      </c>
      <c r="F5853">
        <v>6.0999999999999999E-2</v>
      </c>
      <c r="G5853">
        <v>0.18</v>
      </c>
      <c r="H5853" s="1" t="str">
        <f>HYPERLINK("http://www.weizmann.ac.il/complex/compphys/software/geview/data/figures/220453_at.png","Figure")</f>
        <v>Figure</v>
      </c>
      <c r="I5853">
        <v>1.18</v>
      </c>
      <c r="J5853">
        <v>7.8E-2</v>
      </c>
      <c r="K5853">
        <v>1.02</v>
      </c>
      <c r="L5853">
        <v>0.97</v>
      </c>
      <c r="M5853">
        <v>0.85699999999999998</v>
      </c>
      <c r="N5853">
        <v>8.6999999999999994E-2</v>
      </c>
    </row>
    <row r="5854" spans="1:14" x14ac:dyDescent="0.25">
      <c r="A5854" t="s">
        <v>10537</v>
      </c>
      <c r="B5854" t="s">
        <v>10538</v>
      </c>
      <c r="C5854" s="1" t="str">
        <f>HYPERLINK("http://www.genecards.org/cgi-bin/carddisp.pl?gene=SNRPA1","GeneCards")</f>
        <v>GeneCards</v>
      </c>
      <c r="D5854" s="1" t="str">
        <f>HYPERLINK("http://genome-euro.ucsc.edu/cgi-bin/hgTracks?position=206055_s_at","UCSC")</f>
        <v>UCSC</v>
      </c>
      <c r="E5854" s="1" t="str">
        <f>HYPERLINK("http://www.ncbi.nlm.nih.gov/gene/?term=SNRPA1","NCBI")</f>
        <v>NCBI</v>
      </c>
      <c r="F5854">
        <v>6.0999999999999999E-2</v>
      </c>
      <c r="G5854">
        <v>0.18</v>
      </c>
      <c r="H5854" s="1" t="str">
        <f>HYPERLINK("http://www.weizmann.ac.il/complex/compphys/software/geview/data/figures/206055_s_at.png","Figure")</f>
        <v>Figure</v>
      </c>
      <c r="I5854">
        <v>1.1299999999999999</v>
      </c>
      <c r="J5854">
        <v>0.74</v>
      </c>
      <c r="K5854">
        <v>0.77</v>
      </c>
      <c r="L5854">
        <v>0.21</v>
      </c>
      <c r="M5854">
        <v>0.68</v>
      </c>
      <c r="N5854">
        <v>6.7000000000000004E-2</v>
      </c>
    </row>
    <row r="5855" spans="1:14" x14ac:dyDescent="0.25">
      <c r="A5855" t="s">
        <v>10539</v>
      </c>
      <c r="B5855" t="s">
        <v>8736</v>
      </c>
      <c r="C5855" s="1" t="str">
        <f>HYPERLINK("http://www.genecards.org/cgi-bin/carddisp.pl?gene=EZR","GeneCards")</f>
        <v>GeneCards</v>
      </c>
      <c r="D5855" s="1" t="str">
        <f>HYPERLINK("http://genome-euro.ucsc.edu/cgi-bin/hgTracks?position=217234_s_at","UCSC")</f>
        <v>UCSC</v>
      </c>
      <c r="E5855" s="1" t="str">
        <f>HYPERLINK("http://www.ncbi.nlm.nih.gov/gene/?term=EZR","NCBI")</f>
        <v>NCBI</v>
      </c>
      <c r="F5855">
        <v>6.0999999999999999E-2</v>
      </c>
      <c r="G5855">
        <v>0.18</v>
      </c>
      <c r="H5855" s="1" t="str">
        <f>HYPERLINK("http://www.weizmann.ac.il/complex/compphys/software/geview/data/figures/217234_s_at.png","Figure")</f>
        <v>Figure</v>
      </c>
      <c r="I5855">
        <v>2.69</v>
      </c>
      <c r="J5855">
        <v>5.3999999999999999E-2</v>
      </c>
      <c r="K5855">
        <v>1.76</v>
      </c>
      <c r="L5855">
        <v>0.24</v>
      </c>
      <c r="M5855">
        <v>0.65500000000000003</v>
      </c>
      <c r="N5855">
        <v>0.48</v>
      </c>
    </row>
    <row r="5856" spans="1:14" x14ac:dyDescent="0.25">
      <c r="A5856" t="s">
        <v>10540</v>
      </c>
      <c r="B5856" t="s">
        <v>6532</v>
      </c>
      <c r="C5856" s="1" t="str">
        <f>HYPERLINK("http://www.genecards.org/cgi-bin/carddisp.pl?gene=SOS2","GeneCards")</f>
        <v>GeneCards</v>
      </c>
      <c r="D5856" s="1" t="str">
        <f>HYPERLINK("http://genome-euro.ucsc.edu/cgi-bin/hgTracks?position=217576_x_at","UCSC")</f>
        <v>UCSC</v>
      </c>
      <c r="E5856" s="1" t="str">
        <f>HYPERLINK("http://www.ncbi.nlm.nih.gov/gene/?term=SOS2","NCBI")</f>
        <v>NCBI</v>
      </c>
      <c r="F5856">
        <v>6.0999999999999999E-2</v>
      </c>
      <c r="G5856">
        <v>0.18</v>
      </c>
      <c r="H5856" s="1" t="str">
        <f>HYPERLINK("http://www.weizmann.ac.il/complex/compphys/software/geview/data/figures/217576_x_at.png","Figure")</f>
        <v>Figure</v>
      </c>
      <c r="I5856">
        <v>0.86099999999999999</v>
      </c>
      <c r="J5856">
        <v>0.55000000000000004</v>
      </c>
      <c r="K5856">
        <v>0.72599999999999998</v>
      </c>
      <c r="L5856">
        <v>5.1999999999999998E-2</v>
      </c>
      <c r="M5856">
        <v>0.84299999999999997</v>
      </c>
      <c r="N5856">
        <v>0.42</v>
      </c>
    </row>
    <row r="5857" spans="1:14" x14ac:dyDescent="0.25">
      <c r="A5857" t="s">
        <v>10541</v>
      </c>
      <c r="B5857" t="s">
        <v>10542</v>
      </c>
      <c r="C5857" s="1" t="str">
        <f>HYPERLINK("http://www.genecards.org/cgi-bin/carddisp.pl?gene=CCR5","GeneCards")</f>
        <v>GeneCards</v>
      </c>
      <c r="D5857" s="1" t="str">
        <f>HYPERLINK("http://genome-euro.ucsc.edu/cgi-bin/hgTracks?position=206991_s_at","UCSC")</f>
        <v>UCSC</v>
      </c>
      <c r="E5857" s="1" t="str">
        <f>HYPERLINK("http://www.ncbi.nlm.nih.gov/gene/?term=CCR5","NCBI")</f>
        <v>NCBI</v>
      </c>
      <c r="F5857">
        <v>6.0999999999999999E-2</v>
      </c>
      <c r="G5857">
        <v>0.18</v>
      </c>
      <c r="H5857" s="1" t="str">
        <f>HYPERLINK("http://www.weizmann.ac.il/complex/compphys/software/geview/data/figures/206991_s_at.png","Figure")</f>
        <v>Figure</v>
      </c>
      <c r="I5857">
        <v>1.26</v>
      </c>
      <c r="J5857">
        <v>7.9000000000000001E-2</v>
      </c>
      <c r="K5857">
        <v>1.02</v>
      </c>
      <c r="L5857">
        <v>0.97</v>
      </c>
      <c r="M5857">
        <v>0.80900000000000005</v>
      </c>
      <c r="N5857">
        <v>8.6999999999999994E-2</v>
      </c>
    </row>
    <row r="5858" spans="1:14" x14ac:dyDescent="0.25">
      <c r="A5858" t="s">
        <v>10543</v>
      </c>
      <c r="B5858" t="s">
        <v>10544</v>
      </c>
      <c r="C5858" s="1" t="str">
        <f>HYPERLINK("http://www.genecards.org/cgi-bin/carddisp.pl?gene=KLHL18","GeneCards")</f>
        <v>GeneCards</v>
      </c>
      <c r="D5858" s="1" t="str">
        <f>HYPERLINK("http://genome-euro.ucsc.edu/cgi-bin/hgTracks?position=207976_at","UCSC")</f>
        <v>UCSC</v>
      </c>
      <c r="E5858" s="1" t="str">
        <f>HYPERLINK("http://www.ncbi.nlm.nih.gov/gene/?term=KLHL18","NCBI")</f>
        <v>NCBI</v>
      </c>
      <c r="F5858">
        <v>6.2E-2</v>
      </c>
      <c r="G5858">
        <v>0.18</v>
      </c>
      <c r="H5858" s="1" t="str">
        <f>HYPERLINK("http://www.weizmann.ac.il/complex/compphys/software/geview/data/figures/207976_at.png","Figure")</f>
        <v>Figure</v>
      </c>
      <c r="I5858">
        <v>1.29</v>
      </c>
      <c r="J5858">
        <v>6.0999999999999999E-2</v>
      </c>
      <c r="K5858">
        <v>1.06</v>
      </c>
      <c r="L5858">
        <v>0.79</v>
      </c>
      <c r="M5858">
        <v>0.82199999999999995</v>
      </c>
      <c r="N5858">
        <v>0.13</v>
      </c>
    </row>
    <row r="5859" spans="1:14" x14ac:dyDescent="0.25">
      <c r="A5859" t="s">
        <v>10545</v>
      </c>
      <c r="B5859" t="s">
        <v>10546</v>
      </c>
      <c r="C5859" s="1" t="str">
        <f>HYPERLINK("http://www.genecards.org/cgi-bin/carddisp.pl?gene=CRP","GeneCards")</f>
        <v>GeneCards</v>
      </c>
      <c r="D5859" s="1" t="str">
        <f>HYPERLINK("http://genome-euro.ucsc.edu/cgi-bin/hgTracks?position=205753_at","UCSC")</f>
        <v>UCSC</v>
      </c>
      <c r="E5859" s="1" t="str">
        <f>HYPERLINK("http://www.ncbi.nlm.nih.gov/gene/?term=CRP","NCBI")</f>
        <v>NCBI</v>
      </c>
      <c r="F5859">
        <v>6.2E-2</v>
      </c>
      <c r="G5859">
        <v>0.18</v>
      </c>
      <c r="H5859" s="1" t="str">
        <f>HYPERLINK("http://www.weizmann.ac.il/complex/compphys/software/geview/data/figures/205753_at.png","Figure")</f>
        <v>Figure</v>
      </c>
      <c r="I5859">
        <v>0.98899999999999999</v>
      </c>
      <c r="J5859">
        <v>0.97</v>
      </c>
      <c r="K5859">
        <v>0.89900000000000002</v>
      </c>
      <c r="L5859">
        <v>0.08</v>
      </c>
      <c r="M5859">
        <v>0.90900000000000003</v>
      </c>
      <c r="N5859">
        <v>0.16</v>
      </c>
    </row>
    <row r="5860" spans="1:14" x14ac:dyDescent="0.25">
      <c r="A5860" t="s">
        <v>10547</v>
      </c>
      <c r="B5860" t="s">
        <v>10548</v>
      </c>
      <c r="C5860" s="1" t="str">
        <f>HYPERLINK("http://www.genecards.org/cgi-bin/carddisp.pl?gene=CYP2B7P1","GeneCards")</f>
        <v>GeneCards</v>
      </c>
      <c r="D5860" s="1" t="str">
        <f>HYPERLINK("http://genome-euro.ucsc.edu/cgi-bin/hgTracks?position=210272_at","UCSC")</f>
        <v>UCSC</v>
      </c>
      <c r="E5860" s="1" t="str">
        <f>HYPERLINK("http://www.ncbi.nlm.nih.gov/gene/?term=CYP2B7P1","NCBI")</f>
        <v>NCBI</v>
      </c>
      <c r="F5860">
        <v>6.2E-2</v>
      </c>
      <c r="G5860">
        <v>0.18</v>
      </c>
      <c r="H5860" s="1" t="str">
        <f>HYPERLINK("http://www.weizmann.ac.il/complex/compphys/software/geview/data/figures/210272_at.png","Figure")</f>
        <v>Figure</v>
      </c>
      <c r="I5860">
        <v>1.21</v>
      </c>
      <c r="J5860">
        <v>8.4000000000000005E-2</v>
      </c>
      <c r="K5860">
        <v>1.01</v>
      </c>
      <c r="L5860">
        <v>0.99</v>
      </c>
      <c r="M5860">
        <v>0.83899999999999997</v>
      </c>
      <c r="N5860">
        <v>8.2000000000000003E-2</v>
      </c>
    </row>
    <row r="5861" spans="1:14" x14ac:dyDescent="0.25">
      <c r="A5861" t="s">
        <v>10549</v>
      </c>
      <c r="B5861" t="s">
        <v>10550</v>
      </c>
      <c r="C5861" s="1" t="str">
        <f>HYPERLINK("http://www.genecards.org/cgi-bin/carddisp.pl?gene=ACACA","GeneCards")</f>
        <v>GeneCards</v>
      </c>
      <c r="D5861" s="1" t="str">
        <f>HYPERLINK("http://genome-euro.ucsc.edu/cgi-bin/hgTracks?position=212186_at","UCSC")</f>
        <v>UCSC</v>
      </c>
      <c r="E5861" s="1" t="str">
        <f>HYPERLINK("http://www.ncbi.nlm.nih.gov/gene/?term=ACACA","NCBI")</f>
        <v>NCBI</v>
      </c>
      <c r="F5861">
        <v>6.2E-2</v>
      </c>
      <c r="G5861">
        <v>0.18</v>
      </c>
      <c r="H5861" s="1" t="str">
        <f>HYPERLINK("http://www.weizmann.ac.il/complex/compphys/software/geview/data/figures/212186_at.png","Figure")</f>
        <v>Figure</v>
      </c>
      <c r="I5861">
        <v>0.78600000000000003</v>
      </c>
      <c r="J5861">
        <v>9.0999999999999998E-2</v>
      </c>
      <c r="K5861">
        <v>0.995</v>
      </c>
      <c r="L5861">
        <v>1</v>
      </c>
      <c r="M5861">
        <v>1.27</v>
      </c>
      <c r="N5861">
        <v>7.5999999999999998E-2</v>
      </c>
    </row>
    <row r="5862" spans="1:14" x14ac:dyDescent="0.25">
      <c r="A5862" t="s">
        <v>10551</v>
      </c>
      <c r="B5862" t="s">
        <v>10552</v>
      </c>
      <c r="C5862" s="1" t="str">
        <f>HYPERLINK("http://www.genecards.org/cgi-bin/carddisp.pl?gene=TMEM5","GeneCards")</f>
        <v>GeneCards</v>
      </c>
      <c r="D5862" s="1" t="str">
        <f>HYPERLINK("http://genome-euro.ucsc.edu/cgi-bin/hgTracks?position=204808_s_at","UCSC")</f>
        <v>UCSC</v>
      </c>
      <c r="E5862" s="1" t="str">
        <f>HYPERLINK("http://www.ncbi.nlm.nih.gov/gene/?term=TMEM5","NCBI")</f>
        <v>NCBI</v>
      </c>
      <c r="F5862">
        <v>6.2E-2</v>
      </c>
      <c r="G5862">
        <v>0.18</v>
      </c>
      <c r="H5862" s="1" t="str">
        <f>HYPERLINK("http://www.weizmann.ac.il/complex/compphys/software/geview/data/figures/204808_s_at.png","Figure")</f>
        <v>Figure</v>
      </c>
      <c r="I5862">
        <v>0.76</v>
      </c>
      <c r="J5862">
        <v>0.22</v>
      </c>
      <c r="K5862">
        <v>1.1100000000000001</v>
      </c>
      <c r="L5862">
        <v>0.72</v>
      </c>
      <c r="M5862">
        <v>1.46</v>
      </c>
      <c r="N5862">
        <v>5.0999999999999997E-2</v>
      </c>
    </row>
    <row r="5863" spans="1:14" x14ac:dyDescent="0.25">
      <c r="A5863" t="s">
        <v>10553</v>
      </c>
      <c r="B5863" t="s">
        <v>10554</v>
      </c>
      <c r="C5863" s="1" t="str">
        <f>HYPERLINK("http://www.genecards.org/cgi-bin/carddisp.pl?gene=DDX51","GeneCards")</f>
        <v>GeneCards</v>
      </c>
      <c r="D5863" s="1" t="str">
        <f>HYPERLINK("http://genome-euro.ucsc.edu/cgi-bin/hgTracks?position=214968_at","UCSC")</f>
        <v>UCSC</v>
      </c>
      <c r="E5863" s="1" t="str">
        <f>HYPERLINK("http://www.ncbi.nlm.nih.gov/gene/?term=DDX51","NCBI")</f>
        <v>NCBI</v>
      </c>
      <c r="F5863">
        <v>6.2E-2</v>
      </c>
      <c r="G5863">
        <v>0.18</v>
      </c>
      <c r="H5863" s="1" t="str">
        <f>HYPERLINK("http://www.weizmann.ac.il/complex/compphys/software/geview/data/figures/214968_at.png","Figure")</f>
        <v>Figure</v>
      </c>
      <c r="I5863">
        <v>1.1499999999999999</v>
      </c>
      <c r="J5863">
        <v>0.12</v>
      </c>
      <c r="K5863">
        <v>0.98499999999999999</v>
      </c>
      <c r="L5863">
        <v>0.96</v>
      </c>
      <c r="M5863">
        <v>0.86</v>
      </c>
      <c r="N5863">
        <v>6.2E-2</v>
      </c>
    </row>
    <row r="5864" spans="1:14" x14ac:dyDescent="0.25">
      <c r="A5864" t="s">
        <v>10555</v>
      </c>
      <c r="B5864" t="s">
        <v>10556</v>
      </c>
      <c r="C5864" s="1" t="str">
        <f>HYPERLINK("http://www.genecards.org/cgi-bin/carddisp.pl?gene=SOCS6","GeneCards")</f>
        <v>GeneCards</v>
      </c>
      <c r="D5864" s="1" t="str">
        <f>HYPERLINK("http://genome-euro.ucsc.edu/cgi-bin/hgTracks?position=206020_at","UCSC")</f>
        <v>UCSC</v>
      </c>
      <c r="E5864" s="1" t="str">
        <f>HYPERLINK("http://www.ncbi.nlm.nih.gov/gene/?term=SOCS6","NCBI")</f>
        <v>NCBI</v>
      </c>
      <c r="F5864">
        <v>6.2E-2</v>
      </c>
      <c r="G5864">
        <v>0.18</v>
      </c>
      <c r="H5864" s="1" t="str">
        <f>HYPERLINK("http://www.weizmann.ac.il/complex/compphys/software/geview/data/figures/206020_at.png","Figure")</f>
        <v>Figure</v>
      </c>
      <c r="I5864">
        <v>0.82399999999999995</v>
      </c>
      <c r="J5864">
        <v>8.3000000000000004E-2</v>
      </c>
      <c r="K5864">
        <v>0.98699999999999999</v>
      </c>
      <c r="L5864">
        <v>0.98</v>
      </c>
      <c r="M5864">
        <v>1.2</v>
      </c>
      <c r="N5864">
        <v>8.3000000000000004E-2</v>
      </c>
    </row>
    <row r="5865" spans="1:14" x14ac:dyDescent="0.25">
      <c r="A5865" t="s">
        <v>10557</v>
      </c>
      <c r="B5865" t="s">
        <v>10558</v>
      </c>
      <c r="C5865" s="1" t="str">
        <f>HYPERLINK("http://www.genecards.org/cgi-bin/carddisp.pl?gene=MTF1","GeneCards")</f>
        <v>GeneCards</v>
      </c>
      <c r="D5865" s="1" t="str">
        <f>HYPERLINK("http://genome-euro.ucsc.edu/cgi-bin/hgTracks?position=205322_s_at","UCSC")</f>
        <v>UCSC</v>
      </c>
      <c r="E5865" s="1" t="str">
        <f>HYPERLINK("http://www.ncbi.nlm.nih.gov/gene/?term=MTF1","NCBI")</f>
        <v>NCBI</v>
      </c>
      <c r="F5865">
        <v>6.2E-2</v>
      </c>
      <c r="G5865">
        <v>0.18</v>
      </c>
      <c r="H5865" s="1" t="str">
        <f>HYPERLINK("http://www.weizmann.ac.il/complex/compphys/software/geview/data/figures/205322_s_at.png","Figure")</f>
        <v>Figure</v>
      </c>
      <c r="I5865">
        <v>0.872</v>
      </c>
      <c r="J5865">
        <v>0.44</v>
      </c>
      <c r="K5865">
        <v>0.78</v>
      </c>
      <c r="L5865">
        <v>0.05</v>
      </c>
      <c r="M5865">
        <v>0.89500000000000002</v>
      </c>
      <c r="N5865">
        <v>0.53</v>
      </c>
    </row>
    <row r="5866" spans="1:14" x14ac:dyDescent="0.25">
      <c r="A5866" t="s">
        <v>10559</v>
      </c>
      <c r="B5866" t="s">
        <v>10560</v>
      </c>
      <c r="C5866" s="1" t="str">
        <f>HYPERLINK("http://www.genecards.org/cgi-bin/carddisp.pl?gene=GPC1","GeneCards")</f>
        <v>GeneCards</v>
      </c>
      <c r="D5866" s="1" t="str">
        <f>HYPERLINK("http://genome-euro.ucsc.edu/cgi-bin/hgTracks?position=202756_s_at","UCSC")</f>
        <v>UCSC</v>
      </c>
      <c r="E5866" s="1" t="str">
        <f>HYPERLINK("http://www.ncbi.nlm.nih.gov/gene/?term=GPC1","NCBI")</f>
        <v>NCBI</v>
      </c>
      <c r="F5866">
        <v>6.2E-2</v>
      </c>
      <c r="G5866">
        <v>0.18</v>
      </c>
      <c r="H5866" s="1" t="str">
        <f>HYPERLINK("http://www.weizmann.ac.il/complex/compphys/software/geview/data/figures/202756_s_at.png","Figure")</f>
        <v>Figure</v>
      </c>
      <c r="I5866">
        <v>1.2</v>
      </c>
      <c r="J5866">
        <v>0.11</v>
      </c>
      <c r="K5866">
        <v>1.19</v>
      </c>
      <c r="L5866">
        <v>7.9000000000000001E-2</v>
      </c>
      <c r="M5866">
        <v>0.99099999999999999</v>
      </c>
      <c r="N5866">
        <v>0.99</v>
      </c>
    </row>
    <row r="5867" spans="1:14" x14ac:dyDescent="0.25">
      <c r="A5867" t="s">
        <v>10561</v>
      </c>
      <c r="B5867" t="s">
        <v>10323</v>
      </c>
      <c r="C5867" s="1" t="str">
        <f>HYPERLINK("http://www.genecards.org/cgi-bin/carddisp.pl?gene=RNF40","GeneCards")</f>
        <v>GeneCards</v>
      </c>
      <c r="D5867" s="1" t="str">
        <f>HYPERLINK("http://genome-euro.ucsc.edu/cgi-bin/hgTracks?position=206845_s_at","UCSC")</f>
        <v>UCSC</v>
      </c>
      <c r="E5867" s="1" t="str">
        <f>HYPERLINK("http://www.ncbi.nlm.nih.gov/gene/?term=RNF40","NCBI")</f>
        <v>NCBI</v>
      </c>
      <c r="F5867">
        <v>6.2E-2</v>
      </c>
      <c r="G5867">
        <v>0.18</v>
      </c>
      <c r="H5867" s="1" t="str">
        <f>HYPERLINK("http://www.weizmann.ac.il/complex/compphys/software/geview/data/figures/206845_s_at.png","Figure")</f>
        <v>Figure</v>
      </c>
      <c r="I5867">
        <v>1.4</v>
      </c>
      <c r="J5867">
        <v>7.1999999999999995E-2</v>
      </c>
      <c r="K5867">
        <v>1.05</v>
      </c>
      <c r="L5867">
        <v>0.93</v>
      </c>
      <c r="M5867">
        <v>0.749</v>
      </c>
      <c r="N5867">
        <v>9.8000000000000004E-2</v>
      </c>
    </row>
    <row r="5868" spans="1:14" x14ac:dyDescent="0.25">
      <c r="A5868" t="s">
        <v>10562</v>
      </c>
      <c r="B5868" t="s">
        <v>10563</v>
      </c>
      <c r="C5868" s="1" t="str">
        <f>HYPERLINK("http://www.genecards.org/cgi-bin/carddisp.pl?gene=LILRA6 /// LILRB3","GeneCards")</f>
        <v>GeneCards</v>
      </c>
      <c r="D5868" s="1" t="str">
        <f>HYPERLINK("http://genome-euro.ucsc.edu/cgi-bin/hgTracks?position=211133_x_at","UCSC")</f>
        <v>UCSC</v>
      </c>
      <c r="E5868" s="1" t="str">
        <f>HYPERLINK("http://www.ncbi.nlm.nih.gov/gene/?term=LILRA6 /// LILRB3","NCBI")</f>
        <v>NCBI</v>
      </c>
      <c r="F5868">
        <v>6.2E-2</v>
      </c>
      <c r="G5868">
        <v>0.18</v>
      </c>
      <c r="H5868" s="1" t="str">
        <f>HYPERLINK("http://www.weizmann.ac.il/complex/compphys/software/geview/data/figures/211133_x_at.png","Figure")</f>
        <v>Figure</v>
      </c>
      <c r="I5868">
        <v>1.3</v>
      </c>
      <c r="J5868">
        <v>0.13</v>
      </c>
      <c r="K5868">
        <v>1.31</v>
      </c>
      <c r="L5868">
        <v>7.0000000000000007E-2</v>
      </c>
      <c r="M5868">
        <v>1.01</v>
      </c>
      <c r="N5868">
        <v>1</v>
      </c>
    </row>
    <row r="5869" spans="1:14" x14ac:dyDescent="0.25">
      <c r="A5869" t="s">
        <v>10564</v>
      </c>
      <c r="B5869" t="s">
        <v>10565</v>
      </c>
      <c r="C5869" s="1" t="str">
        <f>HYPERLINK("http://www.genecards.org/cgi-bin/carddisp.pl?gene=MC1R","GeneCards")</f>
        <v>GeneCards</v>
      </c>
      <c r="D5869" s="1" t="str">
        <f>HYPERLINK("http://genome-euro.ucsc.edu/cgi-bin/hgTracks?position=205458_at","UCSC")</f>
        <v>UCSC</v>
      </c>
      <c r="E5869" s="1" t="str">
        <f>HYPERLINK("http://www.ncbi.nlm.nih.gov/gene/?term=MC1R","NCBI")</f>
        <v>NCBI</v>
      </c>
      <c r="F5869">
        <v>6.2E-2</v>
      </c>
      <c r="G5869">
        <v>0.18</v>
      </c>
      <c r="H5869" s="1" t="str">
        <f>HYPERLINK("http://www.weizmann.ac.il/complex/compphys/software/geview/data/figures/205458_at.png","Figure")</f>
        <v>Figure</v>
      </c>
      <c r="I5869">
        <v>1.28</v>
      </c>
      <c r="J5869">
        <v>5.2999999999999999E-2</v>
      </c>
      <c r="K5869">
        <v>1.0900000000000001</v>
      </c>
      <c r="L5869">
        <v>0.56999999999999995</v>
      </c>
      <c r="M5869">
        <v>0.85099999999999998</v>
      </c>
      <c r="N5869">
        <v>0.2</v>
      </c>
    </row>
    <row r="5870" spans="1:14" x14ac:dyDescent="0.25">
      <c r="A5870" t="s">
        <v>10566</v>
      </c>
      <c r="B5870" t="s">
        <v>10567</v>
      </c>
      <c r="C5870" s="1" t="str">
        <f>HYPERLINK("http://www.genecards.org/cgi-bin/carddisp.pl?gene=RIMS3","GeneCards")</f>
        <v>GeneCards</v>
      </c>
      <c r="D5870" s="1" t="str">
        <f>HYPERLINK("http://genome-euro.ucsc.edu/cgi-bin/hgTracks?position=204730_at","UCSC")</f>
        <v>UCSC</v>
      </c>
      <c r="E5870" s="1" t="str">
        <f>HYPERLINK("http://www.ncbi.nlm.nih.gov/gene/?term=RIMS3","NCBI")</f>
        <v>NCBI</v>
      </c>
      <c r="F5870">
        <v>6.2E-2</v>
      </c>
      <c r="G5870">
        <v>0.18</v>
      </c>
      <c r="H5870" s="1" t="str">
        <f>HYPERLINK("http://www.weizmann.ac.il/complex/compphys/software/geview/data/figures/204730_at.png","Figure")</f>
        <v>Figure</v>
      </c>
      <c r="I5870">
        <v>1.35</v>
      </c>
      <c r="J5870">
        <v>0.71</v>
      </c>
      <c r="K5870">
        <v>2.34</v>
      </c>
      <c r="L5870">
        <v>5.7000000000000002E-2</v>
      </c>
      <c r="M5870">
        <v>1.73</v>
      </c>
      <c r="N5870">
        <v>0.3</v>
      </c>
    </row>
    <row r="5871" spans="1:14" x14ac:dyDescent="0.25">
      <c r="A5871" t="s">
        <v>10568</v>
      </c>
      <c r="B5871" t="s">
        <v>10569</v>
      </c>
      <c r="C5871" s="1" t="str">
        <f>HYPERLINK("http://www.genecards.org/cgi-bin/carddisp.pl?gene=NDUFAF3","GeneCards")</f>
        <v>GeneCards</v>
      </c>
      <c r="D5871" s="1" t="str">
        <f>HYPERLINK("http://genome-euro.ucsc.edu/cgi-bin/hgTracks?position=209177_at","UCSC")</f>
        <v>UCSC</v>
      </c>
      <c r="E5871" s="1" t="str">
        <f>HYPERLINK("http://www.ncbi.nlm.nih.gov/gene/?term=NDUFAF3","NCBI")</f>
        <v>NCBI</v>
      </c>
      <c r="F5871">
        <v>6.2E-2</v>
      </c>
      <c r="G5871">
        <v>0.18</v>
      </c>
      <c r="H5871" s="1" t="str">
        <f>HYPERLINK("http://www.weizmann.ac.il/complex/compphys/software/geview/data/figures/209177_at.png","Figure")</f>
        <v>Figure</v>
      </c>
      <c r="I5871">
        <v>1.1100000000000001</v>
      </c>
      <c r="J5871">
        <v>0.92</v>
      </c>
      <c r="K5871">
        <v>1.77</v>
      </c>
      <c r="L5871">
        <v>7.0999999999999994E-2</v>
      </c>
      <c r="M5871">
        <v>1.6</v>
      </c>
      <c r="N5871">
        <v>0.19</v>
      </c>
    </row>
    <row r="5872" spans="1:14" x14ac:dyDescent="0.25">
      <c r="A5872" t="s">
        <v>10570</v>
      </c>
      <c r="B5872" t="s">
        <v>10571</v>
      </c>
      <c r="C5872" s="1" t="str">
        <f>HYPERLINK("http://www.genecards.org/cgi-bin/carddisp.pl?gene=VPS13D","GeneCards")</f>
        <v>GeneCards</v>
      </c>
      <c r="D5872" s="1" t="str">
        <f>HYPERLINK("http://genome-euro.ucsc.edu/cgi-bin/hgTracks?position=212326_at","UCSC")</f>
        <v>UCSC</v>
      </c>
      <c r="E5872" s="1" t="str">
        <f>HYPERLINK("http://www.ncbi.nlm.nih.gov/gene/?term=VPS13D","NCBI")</f>
        <v>NCBI</v>
      </c>
      <c r="F5872">
        <v>6.2E-2</v>
      </c>
      <c r="G5872">
        <v>0.18</v>
      </c>
      <c r="H5872" s="1" t="str">
        <f>HYPERLINK("http://www.weizmann.ac.il/complex/compphys/software/geview/data/figures/212326_at.png","Figure")</f>
        <v>Figure</v>
      </c>
      <c r="I5872">
        <v>0.69199999999999995</v>
      </c>
      <c r="J5872">
        <v>5.8000000000000003E-2</v>
      </c>
      <c r="K5872">
        <v>0.91100000000000003</v>
      </c>
      <c r="L5872">
        <v>0.74</v>
      </c>
      <c r="M5872">
        <v>1.32</v>
      </c>
      <c r="N5872">
        <v>0.14000000000000001</v>
      </c>
    </row>
    <row r="5873" spans="1:14" x14ac:dyDescent="0.25">
      <c r="A5873" t="s">
        <v>10572</v>
      </c>
      <c r="B5873" t="s">
        <v>10573</v>
      </c>
      <c r="C5873" s="1" t="str">
        <f>HYPERLINK("http://www.genecards.org/cgi-bin/carddisp.pl?gene=RDX","GeneCards")</f>
        <v>GeneCards</v>
      </c>
      <c r="D5873" s="1" t="str">
        <f>HYPERLINK("http://genome-euro.ucsc.edu/cgi-bin/hgTracks?position=212397_at","UCSC")</f>
        <v>UCSC</v>
      </c>
      <c r="E5873" s="1" t="str">
        <f>HYPERLINK("http://www.ncbi.nlm.nih.gov/gene/?term=RDX","NCBI")</f>
        <v>NCBI</v>
      </c>
      <c r="F5873">
        <v>6.2E-2</v>
      </c>
      <c r="G5873">
        <v>0.18</v>
      </c>
      <c r="H5873" s="1" t="str">
        <f>HYPERLINK("http://www.weizmann.ac.il/complex/compphys/software/geview/data/figures/212397_at.png","Figure")</f>
        <v>Figure</v>
      </c>
      <c r="I5873">
        <v>0.57799999999999996</v>
      </c>
      <c r="J5873">
        <v>0.16</v>
      </c>
      <c r="K5873">
        <v>0.54200000000000004</v>
      </c>
      <c r="L5873">
        <v>6.3E-2</v>
      </c>
      <c r="M5873">
        <v>0.93799999999999994</v>
      </c>
      <c r="N5873">
        <v>0.97</v>
      </c>
    </row>
    <row r="5874" spans="1:14" x14ac:dyDescent="0.25">
      <c r="A5874" t="s">
        <v>10574</v>
      </c>
      <c r="B5874" t="s">
        <v>10575</v>
      </c>
      <c r="C5874" s="1" t="str">
        <f>HYPERLINK("http://www.genecards.org/cgi-bin/carddisp.pl?gene=BNIP3","GeneCards")</f>
        <v>GeneCards</v>
      </c>
      <c r="D5874" s="1" t="str">
        <f>HYPERLINK("http://genome-euro.ucsc.edu/cgi-bin/hgTracks?position=201849_at","UCSC")</f>
        <v>UCSC</v>
      </c>
      <c r="E5874" s="1" t="str">
        <f>HYPERLINK("http://www.ncbi.nlm.nih.gov/gene/?term=BNIP3","NCBI")</f>
        <v>NCBI</v>
      </c>
      <c r="F5874">
        <v>6.2E-2</v>
      </c>
      <c r="G5874">
        <v>0.18</v>
      </c>
      <c r="H5874" s="1" t="str">
        <f>HYPERLINK("http://www.weizmann.ac.il/complex/compphys/software/geview/data/figures/201849_at.png","Figure")</f>
        <v>Figure</v>
      </c>
      <c r="I5874">
        <v>1.22</v>
      </c>
      <c r="J5874">
        <v>0.87</v>
      </c>
      <c r="K5874">
        <v>0.52</v>
      </c>
      <c r="L5874">
        <v>0.16</v>
      </c>
      <c r="M5874">
        <v>0.42699999999999999</v>
      </c>
      <c r="N5874">
        <v>7.9000000000000001E-2</v>
      </c>
    </row>
    <row r="5875" spans="1:14" x14ac:dyDescent="0.25">
      <c r="A5875" t="s">
        <v>10576</v>
      </c>
      <c r="B5875" t="s">
        <v>10577</v>
      </c>
      <c r="C5875" s="1" t="str">
        <f>HYPERLINK("http://www.genecards.org/cgi-bin/carddisp.pl?gene=CSNK2A1","GeneCards")</f>
        <v>GeneCards</v>
      </c>
      <c r="D5875" s="1" t="str">
        <f>HYPERLINK("http://genome-euro.ucsc.edu/cgi-bin/hgTracks?position=206075_s_at","UCSC")</f>
        <v>UCSC</v>
      </c>
      <c r="E5875" s="1" t="str">
        <f>HYPERLINK("http://www.ncbi.nlm.nih.gov/gene/?term=CSNK2A1","NCBI")</f>
        <v>NCBI</v>
      </c>
      <c r="F5875">
        <v>6.2E-2</v>
      </c>
      <c r="G5875">
        <v>0.18</v>
      </c>
      <c r="H5875" s="1" t="str">
        <f>HYPERLINK("http://www.weizmann.ac.il/complex/compphys/software/geview/data/figures/206075_s_at.png","Figure")</f>
        <v>Figure</v>
      </c>
      <c r="I5875">
        <v>1.26</v>
      </c>
      <c r="J5875">
        <v>6.2E-2</v>
      </c>
      <c r="K5875">
        <v>1.05</v>
      </c>
      <c r="L5875">
        <v>0.81</v>
      </c>
      <c r="M5875">
        <v>0.83199999999999996</v>
      </c>
      <c r="N5875">
        <v>0.12</v>
      </c>
    </row>
    <row r="5876" spans="1:14" x14ac:dyDescent="0.25">
      <c r="A5876" t="s">
        <v>10578</v>
      </c>
      <c r="B5876" t="s">
        <v>5176</v>
      </c>
      <c r="C5876" s="1" t="str">
        <f>HYPERLINK("http://www.genecards.org/cgi-bin/carddisp.pl?gene=KDM4A","GeneCards")</f>
        <v>GeneCards</v>
      </c>
      <c r="D5876" s="1" t="str">
        <f>HYPERLINK("http://genome-euro.ucsc.edu/cgi-bin/hgTracks?position=203204_s_at","UCSC")</f>
        <v>UCSC</v>
      </c>
      <c r="E5876" s="1" t="str">
        <f>HYPERLINK("http://www.ncbi.nlm.nih.gov/gene/?term=KDM4A","NCBI")</f>
        <v>NCBI</v>
      </c>
      <c r="F5876">
        <v>6.2E-2</v>
      </c>
      <c r="G5876">
        <v>0.18</v>
      </c>
      <c r="H5876" s="1" t="str">
        <f>HYPERLINK("http://www.weizmann.ac.il/complex/compphys/software/geview/data/figures/203204_s_at.png","Figure")</f>
        <v>Figure</v>
      </c>
      <c r="I5876">
        <v>1.22</v>
      </c>
      <c r="J5876">
        <v>6.3E-2</v>
      </c>
      <c r="K5876">
        <v>1.1399999999999999</v>
      </c>
      <c r="L5876">
        <v>0.16</v>
      </c>
      <c r="M5876">
        <v>0.94</v>
      </c>
      <c r="N5876">
        <v>0.68</v>
      </c>
    </row>
    <row r="5877" spans="1:14" x14ac:dyDescent="0.25">
      <c r="A5877" t="s">
        <v>10579</v>
      </c>
      <c r="B5877" t="s">
        <v>10580</v>
      </c>
      <c r="C5877" s="1" t="str">
        <f>HYPERLINK("http://www.genecards.org/cgi-bin/carddisp.pl?gene=BMPR2","GeneCards")</f>
        <v>GeneCards</v>
      </c>
      <c r="D5877" s="1" t="str">
        <f>HYPERLINK("http://genome-euro.ucsc.edu/cgi-bin/hgTracks?position=210214_s_at","UCSC")</f>
        <v>UCSC</v>
      </c>
      <c r="E5877" s="1" t="str">
        <f>HYPERLINK("http://www.ncbi.nlm.nih.gov/gene/?term=BMPR2","NCBI")</f>
        <v>NCBI</v>
      </c>
      <c r="F5877">
        <v>6.2E-2</v>
      </c>
      <c r="G5877">
        <v>0.18</v>
      </c>
      <c r="H5877" s="1" t="str">
        <f>HYPERLINK("http://www.weizmann.ac.il/complex/compphys/software/geview/data/figures/210214_s_at.png","Figure")</f>
        <v>Figure</v>
      </c>
      <c r="I5877">
        <v>1.25</v>
      </c>
      <c r="J5877">
        <v>0.11</v>
      </c>
      <c r="K5877">
        <v>1.23</v>
      </c>
      <c r="L5877">
        <v>7.9000000000000001E-2</v>
      </c>
      <c r="M5877">
        <v>0.99</v>
      </c>
      <c r="N5877">
        <v>0.99</v>
      </c>
    </row>
    <row r="5878" spans="1:14" x14ac:dyDescent="0.25">
      <c r="A5878" t="s">
        <v>10581</v>
      </c>
      <c r="B5878" t="s">
        <v>10582</v>
      </c>
      <c r="C5878" s="1" t="str">
        <f>HYPERLINK("http://www.genecards.org/cgi-bin/carddisp.pl?gene=PNPO","GeneCards")</f>
        <v>GeneCards</v>
      </c>
      <c r="D5878" s="1" t="str">
        <f>HYPERLINK("http://genome-euro.ucsc.edu/cgi-bin/hgTracks?position=218511_s_at","UCSC")</f>
        <v>UCSC</v>
      </c>
      <c r="E5878" s="1" t="str">
        <f>HYPERLINK("http://www.ncbi.nlm.nih.gov/gene/?term=PNPO","NCBI")</f>
        <v>NCBI</v>
      </c>
      <c r="F5878">
        <v>6.2E-2</v>
      </c>
      <c r="G5878">
        <v>0.18</v>
      </c>
      <c r="H5878" s="1" t="str">
        <f>HYPERLINK("http://www.weizmann.ac.il/complex/compphys/software/geview/data/figures/218511_s_at.png","Figure")</f>
        <v>Figure</v>
      </c>
      <c r="I5878">
        <v>0.88200000000000001</v>
      </c>
      <c r="J5878">
        <v>0.44</v>
      </c>
      <c r="K5878">
        <v>1.1299999999999999</v>
      </c>
      <c r="L5878">
        <v>0.39</v>
      </c>
      <c r="M5878">
        <v>1.28</v>
      </c>
      <c r="N5878">
        <v>5.2999999999999999E-2</v>
      </c>
    </row>
    <row r="5879" spans="1:14" x14ac:dyDescent="0.25">
      <c r="A5879" t="s">
        <v>10583</v>
      </c>
      <c r="B5879" t="s">
        <v>10584</v>
      </c>
      <c r="C5879" s="1" t="str">
        <f>HYPERLINK("http://www.genecards.org/cgi-bin/carddisp.pl?gene=ZNF692","GeneCards")</f>
        <v>GeneCards</v>
      </c>
      <c r="D5879" s="1" t="str">
        <f>HYPERLINK("http://genome-euro.ucsc.edu/cgi-bin/hgTracks?position=220661_s_at","UCSC")</f>
        <v>UCSC</v>
      </c>
      <c r="E5879" s="1" t="str">
        <f>HYPERLINK("http://www.ncbi.nlm.nih.gov/gene/?term=ZNF692","NCBI")</f>
        <v>NCBI</v>
      </c>
      <c r="F5879">
        <v>6.2E-2</v>
      </c>
      <c r="G5879">
        <v>0.18</v>
      </c>
      <c r="H5879" s="1" t="str">
        <f>HYPERLINK("http://www.weizmann.ac.il/complex/compphys/software/geview/data/figures/220661_s_at.png","Figure")</f>
        <v>Figure</v>
      </c>
      <c r="I5879">
        <v>1.17</v>
      </c>
      <c r="J5879">
        <v>0.53</v>
      </c>
      <c r="K5879">
        <v>1.39</v>
      </c>
      <c r="L5879">
        <v>5.1999999999999998E-2</v>
      </c>
      <c r="M5879">
        <v>1.19</v>
      </c>
      <c r="N5879">
        <v>0.44</v>
      </c>
    </row>
    <row r="5880" spans="1:14" x14ac:dyDescent="0.25">
      <c r="A5880" t="s">
        <v>10585</v>
      </c>
      <c r="B5880" t="s">
        <v>10586</v>
      </c>
      <c r="C5880" s="1" t="str">
        <f>HYPERLINK("http://www.genecards.org/cgi-bin/carddisp.pl?gene=MAPRE3","GeneCards")</f>
        <v>GeneCards</v>
      </c>
      <c r="D5880" s="1" t="str">
        <f>HYPERLINK("http://genome-euro.ucsc.edu/cgi-bin/hgTracks?position=203842_s_at","UCSC")</f>
        <v>UCSC</v>
      </c>
      <c r="E5880" s="1" t="str">
        <f>HYPERLINK("http://www.ncbi.nlm.nih.gov/gene/?term=MAPRE3","NCBI")</f>
        <v>NCBI</v>
      </c>
      <c r="F5880">
        <v>6.2E-2</v>
      </c>
      <c r="G5880">
        <v>0.18</v>
      </c>
      <c r="H5880" s="1" t="str">
        <f>HYPERLINK("http://www.weizmann.ac.il/complex/compphys/software/geview/data/figures/203842_s_at.png","Figure")</f>
        <v>Figure</v>
      </c>
      <c r="I5880">
        <v>1.59</v>
      </c>
      <c r="J5880">
        <v>5.1999999999999998E-2</v>
      </c>
      <c r="K5880">
        <v>1.27</v>
      </c>
      <c r="L5880">
        <v>0.3</v>
      </c>
      <c r="M5880">
        <v>0.8</v>
      </c>
      <c r="N5880">
        <v>0.39</v>
      </c>
    </row>
    <row r="5881" spans="1:14" x14ac:dyDescent="0.25">
      <c r="A5881" t="s">
        <v>10587</v>
      </c>
      <c r="B5881" t="s">
        <v>10588</v>
      </c>
      <c r="C5881" s="1" t="str">
        <f>HYPERLINK("http://www.genecards.org/cgi-bin/carddisp.pl?gene=NOMO1 /// NOMO2 /// NOMO3","GeneCards")</f>
        <v>GeneCards</v>
      </c>
      <c r="D5881" s="1" t="str">
        <f>HYPERLINK("http://genome-euro.ucsc.edu/cgi-bin/hgTracks?position=221853_s_at","UCSC")</f>
        <v>UCSC</v>
      </c>
      <c r="E5881" s="1" t="str">
        <f>HYPERLINK("http://www.ncbi.nlm.nih.gov/gene/?term=NOMO1 /// NOMO2 /// NOMO3","NCBI")</f>
        <v>NCBI</v>
      </c>
      <c r="F5881">
        <v>6.2E-2</v>
      </c>
      <c r="G5881">
        <v>0.18</v>
      </c>
      <c r="H5881" s="1" t="str">
        <f>HYPERLINK("http://www.weizmann.ac.il/complex/compphys/software/geview/data/figures/221853_s_at.png","Figure")</f>
        <v>Figure</v>
      </c>
      <c r="I5881">
        <v>0.876</v>
      </c>
      <c r="J5881">
        <v>0.35</v>
      </c>
      <c r="K5881">
        <v>1.1000000000000001</v>
      </c>
      <c r="L5881">
        <v>0.5</v>
      </c>
      <c r="M5881">
        <v>1.25</v>
      </c>
      <c r="N5881">
        <v>5.0999999999999997E-2</v>
      </c>
    </row>
    <row r="5882" spans="1:14" x14ac:dyDescent="0.25">
      <c r="A5882" t="s">
        <v>10589</v>
      </c>
      <c r="B5882" t="s">
        <v>10590</v>
      </c>
      <c r="C5882" s="1" t="str">
        <f>HYPERLINK("http://www.genecards.org/cgi-bin/carddisp.pl?gene=SYF2","GeneCards")</f>
        <v>GeneCards</v>
      </c>
      <c r="D5882" s="1" t="str">
        <f>HYPERLINK("http://genome-euro.ucsc.edu/cgi-bin/hgTracks?position=202553_s_at","UCSC")</f>
        <v>UCSC</v>
      </c>
      <c r="E5882" s="1" t="str">
        <f>HYPERLINK("http://www.ncbi.nlm.nih.gov/gene/?term=SYF2","NCBI")</f>
        <v>NCBI</v>
      </c>
      <c r="F5882">
        <v>6.2E-2</v>
      </c>
      <c r="G5882">
        <v>0.18</v>
      </c>
      <c r="H5882" s="1" t="str">
        <f>HYPERLINK("http://www.weizmann.ac.il/complex/compphys/software/geview/data/figures/202553_s_at.png","Figure")</f>
        <v>Figure</v>
      </c>
      <c r="I5882">
        <v>1.54</v>
      </c>
      <c r="J5882">
        <v>6.4000000000000001E-2</v>
      </c>
      <c r="K5882">
        <v>1.0900000000000001</v>
      </c>
      <c r="L5882">
        <v>0.84</v>
      </c>
      <c r="M5882">
        <v>0.70799999999999996</v>
      </c>
      <c r="N5882">
        <v>0.12</v>
      </c>
    </row>
    <row r="5883" spans="1:14" x14ac:dyDescent="0.25">
      <c r="A5883" t="s">
        <v>10591</v>
      </c>
      <c r="B5883" t="s">
        <v>10592</v>
      </c>
      <c r="C5883" s="1" t="str">
        <f>HYPERLINK("http://www.genecards.org/cgi-bin/carddisp.pl?gene=MDFI","GeneCards")</f>
        <v>GeneCards</v>
      </c>
      <c r="D5883" s="1" t="str">
        <f>HYPERLINK("http://genome-euro.ucsc.edu/cgi-bin/hgTracks?position=205375_at","UCSC")</f>
        <v>UCSC</v>
      </c>
      <c r="E5883" s="1" t="str">
        <f>HYPERLINK("http://www.ncbi.nlm.nih.gov/gene/?term=MDFI","NCBI")</f>
        <v>NCBI</v>
      </c>
      <c r="F5883">
        <v>6.2E-2</v>
      </c>
      <c r="G5883">
        <v>0.18</v>
      </c>
      <c r="H5883" s="1" t="str">
        <f>HYPERLINK("http://www.weizmann.ac.il/complex/compphys/software/geview/data/figures/205375_at.png","Figure")</f>
        <v>Figure</v>
      </c>
      <c r="I5883">
        <v>1.26</v>
      </c>
      <c r="J5883">
        <v>8.4000000000000005E-2</v>
      </c>
      <c r="K5883">
        <v>1.21</v>
      </c>
      <c r="L5883">
        <v>0.1</v>
      </c>
      <c r="M5883">
        <v>0.96099999999999997</v>
      </c>
      <c r="N5883">
        <v>0.9</v>
      </c>
    </row>
    <row r="5884" spans="1:14" x14ac:dyDescent="0.25">
      <c r="A5884" t="s">
        <v>10593</v>
      </c>
      <c r="B5884" t="s">
        <v>6422</v>
      </c>
      <c r="C5884" s="1" t="str">
        <f>HYPERLINK("http://www.genecards.org/cgi-bin/carddisp.pl?gene=MBNL1","GeneCards")</f>
        <v>GeneCards</v>
      </c>
      <c r="D5884" s="1" t="str">
        <f>HYPERLINK("http://genome-euro.ucsc.edu/cgi-bin/hgTracks?position=201153_s_at","UCSC")</f>
        <v>UCSC</v>
      </c>
      <c r="E5884" s="1" t="str">
        <f>HYPERLINK("http://www.ncbi.nlm.nih.gov/gene/?term=MBNL1","NCBI")</f>
        <v>NCBI</v>
      </c>
      <c r="F5884">
        <v>6.2E-2</v>
      </c>
      <c r="G5884">
        <v>0.18</v>
      </c>
      <c r="H5884" s="1" t="str">
        <f>HYPERLINK("http://www.weizmann.ac.il/complex/compphys/software/geview/data/figures/201153_s_at.png","Figure")</f>
        <v>Figure</v>
      </c>
      <c r="I5884">
        <v>1.35</v>
      </c>
      <c r="J5884">
        <v>0.39</v>
      </c>
      <c r="K5884">
        <v>1.66</v>
      </c>
      <c r="L5884">
        <v>5.0999999999999997E-2</v>
      </c>
      <c r="M5884">
        <v>1.23</v>
      </c>
      <c r="N5884">
        <v>0.59</v>
      </c>
    </row>
    <row r="5885" spans="1:14" x14ac:dyDescent="0.25">
      <c r="A5885" t="s">
        <v>10594</v>
      </c>
      <c r="B5885" t="s">
        <v>4540</v>
      </c>
      <c r="C5885" s="1" t="str">
        <f>HYPERLINK("http://www.genecards.org/cgi-bin/carddisp.pl?gene=KLHL24","GeneCards")</f>
        <v>GeneCards</v>
      </c>
      <c r="D5885" s="1" t="str">
        <f>HYPERLINK("http://genome-euro.ucsc.edu/cgi-bin/hgTracks?position=206551_x_at","UCSC")</f>
        <v>UCSC</v>
      </c>
      <c r="E5885" s="1" t="str">
        <f>HYPERLINK("http://www.ncbi.nlm.nih.gov/gene/?term=KLHL24","NCBI")</f>
        <v>NCBI</v>
      </c>
      <c r="F5885">
        <v>6.2E-2</v>
      </c>
      <c r="G5885">
        <v>0.18</v>
      </c>
      <c r="H5885" s="1" t="str">
        <f>HYPERLINK("http://www.weizmann.ac.il/complex/compphys/software/geview/data/figures/206551_x_at.png","Figure")</f>
        <v>Figure</v>
      </c>
      <c r="I5885">
        <v>1.49</v>
      </c>
      <c r="J5885">
        <v>0.35</v>
      </c>
      <c r="K5885">
        <v>0.755</v>
      </c>
      <c r="L5885">
        <v>0.49</v>
      </c>
      <c r="M5885">
        <v>0.50800000000000001</v>
      </c>
      <c r="N5885">
        <v>5.0999999999999997E-2</v>
      </c>
    </row>
    <row r="5886" spans="1:14" x14ac:dyDescent="0.25">
      <c r="A5886" t="s">
        <v>10595</v>
      </c>
      <c r="B5886" t="s">
        <v>10596</v>
      </c>
      <c r="C5886" s="1" t="str">
        <f>HYPERLINK("http://www.genecards.org/cgi-bin/carddisp.pl?gene=PMPCA","GeneCards")</f>
        <v>GeneCards</v>
      </c>
      <c r="D5886" s="1" t="str">
        <f>HYPERLINK("http://genome-euro.ucsc.edu/cgi-bin/hgTracks?position=212088_at","UCSC")</f>
        <v>UCSC</v>
      </c>
      <c r="E5886" s="1" t="str">
        <f>HYPERLINK("http://www.ncbi.nlm.nih.gov/gene/?term=PMPCA","NCBI")</f>
        <v>NCBI</v>
      </c>
      <c r="F5886">
        <v>6.2E-2</v>
      </c>
      <c r="G5886">
        <v>0.18</v>
      </c>
      <c r="H5886" s="1" t="str">
        <f>HYPERLINK("http://www.weizmann.ac.il/complex/compphys/software/geview/data/figures/212088_at.png","Figure")</f>
        <v>Figure</v>
      </c>
      <c r="I5886">
        <v>1.23</v>
      </c>
      <c r="J5886">
        <v>9.2999999999999999E-2</v>
      </c>
      <c r="K5886">
        <v>1</v>
      </c>
      <c r="L5886">
        <v>1</v>
      </c>
      <c r="M5886">
        <v>0.81899999999999995</v>
      </c>
      <c r="N5886">
        <v>7.5999999999999998E-2</v>
      </c>
    </row>
    <row r="5887" spans="1:14" x14ac:dyDescent="0.25">
      <c r="A5887" t="s">
        <v>10597</v>
      </c>
      <c r="B5887" t="s">
        <v>10598</v>
      </c>
      <c r="C5887" s="1" t="str">
        <f>HYPERLINK("http://www.genecards.org/cgi-bin/carddisp.pl?gene=BCAT1","GeneCards")</f>
        <v>GeneCards</v>
      </c>
      <c r="D5887" s="1" t="str">
        <f>HYPERLINK("http://genome-euro.ucsc.edu/cgi-bin/hgTracks?position=214390_s_at","UCSC")</f>
        <v>UCSC</v>
      </c>
      <c r="E5887" s="1" t="str">
        <f>HYPERLINK("http://www.ncbi.nlm.nih.gov/gene/?term=BCAT1","NCBI")</f>
        <v>NCBI</v>
      </c>
      <c r="F5887">
        <v>6.2E-2</v>
      </c>
      <c r="G5887">
        <v>0.18</v>
      </c>
      <c r="H5887" s="1" t="str">
        <f>HYPERLINK("http://www.weizmann.ac.il/complex/compphys/software/geview/data/figures/214390_s_at.png","Figure")</f>
        <v>Figure</v>
      </c>
      <c r="I5887">
        <v>1.19</v>
      </c>
      <c r="J5887">
        <v>5.3999999999999999E-2</v>
      </c>
      <c r="K5887">
        <v>1.06</v>
      </c>
      <c r="L5887">
        <v>0.62</v>
      </c>
      <c r="M5887">
        <v>0.89100000000000001</v>
      </c>
      <c r="N5887">
        <v>0.18</v>
      </c>
    </row>
    <row r="5888" spans="1:14" x14ac:dyDescent="0.25">
      <c r="A5888" t="s">
        <v>10599</v>
      </c>
      <c r="B5888" t="s">
        <v>10600</v>
      </c>
      <c r="C5888" s="1" t="str">
        <f>HYPERLINK("http://www.genecards.org/cgi-bin/carddisp.pl?gene=RAMP3","GeneCards")</f>
        <v>GeneCards</v>
      </c>
      <c r="D5888" s="1" t="str">
        <f>HYPERLINK("http://genome-euro.ucsc.edu/cgi-bin/hgTracks?position=205326_at","UCSC")</f>
        <v>UCSC</v>
      </c>
      <c r="E5888" s="1" t="str">
        <f>HYPERLINK("http://www.ncbi.nlm.nih.gov/gene/?term=RAMP3","NCBI")</f>
        <v>NCBI</v>
      </c>
      <c r="F5888">
        <v>6.2E-2</v>
      </c>
      <c r="G5888">
        <v>0.18</v>
      </c>
      <c r="H5888" s="1" t="str">
        <f>HYPERLINK("http://www.weizmann.ac.il/complex/compphys/software/geview/data/figures/205326_at.png","Figure")</f>
        <v>Figure</v>
      </c>
      <c r="I5888">
        <v>1.06</v>
      </c>
      <c r="J5888">
        <v>0.47</v>
      </c>
      <c r="K5888">
        <v>0.93799999999999994</v>
      </c>
      <c r="L5888">
        <v>0.37</v>
      </c>
      <c r="M5888">
        <v>0.88100000000000001</v>
      </c>
      <c r="N5888">
        <v>5.3999999999999999E-2</v>
      </c>
    </row>
    <row r="5889" spans="1:14" x14ac:dyDescent="0.25">
      <c r="A5889" t="s">
        <v>10601</v>
      </c>
      <c r="B5889" t="s">
        <v>10602</v>
      </c>
      <c r="C5889" s="1" t="str">
        <f>HYPERLINK("http://www.genecards.org/cgi-bin/carddisp.pl?gene=CELSR1","GeneCards")</f>
        <v>GeneCards</v>
      </c>
      <c r="D5889" s="1" t="str">
        <f>HYPERLINK("http://genome-euro.ucsc.edu/cgi-bin/hgTracks?position=41660_at","UCSC")</f>
        <v>UCSC</v>
      </c>
      <c r="E5889" s="1" t="str">
        <f>HYPERLINK("http://www.ncbi.nlm.nih.gov/gene/?term=CELSR1","NCBI")</f>
        <v>NCBI</v>
      </c>
      <c r="F5889">
        <v>6.2E-2</v>
      </c>
      <c r="G5889">
        <v>0.18</v>
      </c>
      <c r="H5889" s="1" t="str">
        <f>HYPERLINK("http://www.weizmann.ac.il/complex/compphys/software/geview/data/figures/41660_at.png","Figure")</f>
        <v>Figure</v>
      </c>
      <c r="I5889">
        <v>0.89800000000000002</v>
      </c>
      <c r="J5889">
        <v>9.7000000000000003E-2</v>
      </c>
      <c r="K5889">
        <v>1</v>
      </c>
      <c r="L5889">
        <v>1</v>
      </c>
      <c r="M5889">
        <v>1.1100000000000001</v>
      </c>
      <c r="N5889">
        <v>7.3999999999999996E-2</v>
      </c>
    </row>
    <row r="5890" spans="1:14" x14ac:dyDescent="0.25">
      <c r="A5890" t="s">
        <v>10603</v>
      </c>
      <c r="B5890" t="s">
        <v>6474</v>
      </c>
      <c r="C5890" s="1" t="str">
        <f>HYPERLINK("http://www.genecards.org/cgi-bin/carddisp.pl?gene=ACP1","GeneCards")</f>
        <v>GeneCards</v>
      </c>
      <c r="D5890" s="1" t="str">
        <f>HYPERLINK("http://genome-euro.ucsc.edu/cgi-bin/hgTracks?position=215227_x_at","UCSC")</f>
        <v>UCSC</v>
      </c>
      <c r="E5890" s="1" t="str">
        <f>HYPERLINK("http://www.ncbi.nlm.nih.gov/gene/?term=ACP1","NCBI")</f>
        <v>NCBI</v>
      </c>
      <c r="F5890">
        <v>6.2E-2</v>
      </c>
      <c r="G5890">
        <v>0.18</v>
      </c>
      <c r="H5890" s="1" t="str">
        <f>HYPERLINK("http://www.weizmann.ac.il/complex/compphys/software/geview/data/figures/215227_x_at.png","Figure")</f>
        <v>Figure</v>
      </c>
      <c r="I5890">
        <v>1.52</v>
      </c>
      <c r="J5890">
        <v>7.0999999999999994E-2</v>
      </c>
      <c r="K5890">
        <v>1.37</v>
      </c>
      <c r="L5890">
        <v>0.13</v>
      </c>
      <c r="M5890">
        <v>0.89800000000000002</v>
      </c>
      <c r="N5890">
        <v>0.79</v>
      </c>
    </row>
    <row r="5891" spans="1:14" x14ac:dyDescent="0.25">
      <c r="A5891" t="s">
        <v>10604</v>
      </c>
      <c r="B5891" t="s">
        <v>6484</v>
      </c>
      <c r="C5891" s="1" t="str">
        <f>HYPERLINK("http://www.genecards.org/cgi-bin/carddisp.pl?gene=PCGF2","GeneCards")</f>
        <v>GeneCards</v>
      </c>
      <c r="D5891" s="1" t="str">
        <f>HYPERLINK("http://genome-euro.ucsc.edu/cgi-bin/hgTracks?position=214239_x_at","UCSC")</f>
        <v>UCSC</v>
      </c>
      <c r="E5891" s="1" t="str">
        <f>HYPERLINK("http://www.ncbi.nlm.nih.gov/gene/?term=PCGF2","NCBI")</f>
        <v>NCBI</v>
      </c>
      <c r="F5891">
        <v>6.2E-2</v>
      </c>
      <c r="G5891">
        <v>0.18</v>
      </c>
      <c r="H5891" s="1" t="str">
        <f>HYPERLINK("http://www.weizmann.ac.il/complex/compphys/software/geview/data/figures/214239_x_at.png","Figure")</f>
        <v>Figure</v>
      </c>
      <c r="I5891">
        <v>1.19</v>
      </c>
      <c r="J5891">
        <v>7.9000000000000001E-2</v>
      </c>
      <c r="K5891">
        <v>1.02</v>
      </c>
      <c r="L5891">
        <v>0.97</v>
      </c>
      <c r="M5891">
        <v>0.85399999999999998</v>
      </c>
      <c r="N5891">
        <v>8.8999999999999996E-2</v>
      </c>
    </row>
    <row r="5892" spans="1:14" x14ac:dyDescent="0.25">
      <c r="A5892" t="s">
        <v>10605</v>
      </c>
      <c r="B5892" t="s">
        <v>3086</v>
      </c>
      <c r="C5892" s="1" t="str">
        <f>HYPERLINK("http://www.genecards.org/cgi-bin/carddisp.pl?gene=DNPEP","GeneCards")</f>
        <v>GeneCards</v>
      </c>
      <c r="D5892" s="1" t="str">
        <f>HYPERLINK("http://genome-euro.ucsc.edu/cgi-bin/hgTracks?position=201937_s_at","UCSC")</f>
        <v>UCSC</v>
      </c>
      <c r="E5892" s="1" t="str">
        <f>HYPERLINK("http://www.ncbi.nlm.nih.gov/gene/?term=DNPEP","NCBI")</f>
        <v>NCBI</v>
      </c>
      <c r="F5892">
        <v>6.2E-2</v>
      </c>
      <c r="G5892">
        <v>0.18</v>
      </c>
      <c r="H5892" s="1" t="str">
        <f>HYPERLINK("http://www.weizmann.ac.il/complex/compphys/software/geview/data/figures/201937_s_at.png","Figure")</f>
        <v>Figure</v>
      </c>
      <c r="I5892">
        <v>1.04</v>
      </c>
      <c r="J5892">
        <v>0.87</v>
      </c>
      <c r="K5892">
        <v>0.86799999999999999</v>
      </c>
      <c r="L5892">
        <v>0.16</v>
      </c>
      <c r="M5892">
        <v>0.83299999999999996</v>
      </c>
      <c r="N5892">
        <v>0.08</v>
      </c>
    </row>
    <row r="5893" spans="1:14" x14ac:dyDescent="0.25">
      <c r="A5893" t="s">
        <v>10606</v>
      </c>
      <c r="B5893" t="s">
        <v>10607</v>
      </c>
      <c r="C5893" s="1" t="str">
        <f>HYPERLINK("http://www.genecards.org/cgi-bin/carddisp.pl?gene=RET","GeneCards")</f>
        <v>GeneCards</v>
      </c>
      <c r="D5893" s="1" t="str">
        <f>HYPERLINK("http://genome-euro.ucsc.edu/cgi-bin/hgTracks?position=205879_x_at","UCSC")</f>
        <v>UCSC</v>
      </c>
      <c r="E5893" s="1" t="str">
        <f>HYPERLINK("http://www.ncbi.nlm.nih.gov/gene/?term=RET","NCBI")</f>
        <v>NCBI</v>
      </c>
      <c r="F5893">
        <v>6.2E-2</v>
      </c>
      <c r="G5893">
        <v>0.18</v>
      </c>
      <c r="H5893" s="1" t="str">
        <f>HYPERLINK("http://www.weizmann.ac.il/complex/compphys/software/geview/data/figures/205879_x_at.png","Figure")</f>
        <v>Figure</v>
      </c>
      <c r="I5893">
        <v>1.33</v>
      </c>
      <c r="J5893">
        <v>5.8000000000000003E-2</v>
      </c>
      <c r="K5893">
        <v>1.08</v>
      </c>
      <c r="L5893">
        <v>0.74</v>
      </c>
      <c r="M5893">
        <v>0.80800000000000005</v>
      </c>
      <c r="N5893">
        <v>0.14000000000000001</v>
      </c>
    </row>
    <row r="5894" spans="1:14" x14ac:dyDescent="0.25">
      <c r="A5894" t="s">
        <v>10608</v>
      </c>
      <c r="B5894" t="s">
        <v>10609</v>
      </c>
      <c r="C5894" s="1" t="str">
        <f>HYPERLINK("http://www.genecards.org/cgi-bin/carddisp.pl?gene=REPIN1","GeneCards")</f>
        <v>GeneCards</v>
      </c>
      <c r="D5894" s="1" t="str">
        <f>HYPERLINK("http://genome-euro.ucsc.edu/cgi-bin/hgTracks?position=219041_s_at","UCSC")</f>
        <v>UCSC</v>
      </c>
      <c r="E5894" s="1" t="str">
        <f>HYPERLINK("http://www.ncbi.nlm.nih.gov/gene/?term=REPIN1","NCBI")</f>
        <v>NCBI</v>
      </c>
      <c r="F5894">
        <v>6.2E-2</v>
      </c>
      <c r="G5894">
        <v>0.18</v>
      </c>
      <c r="H5894" s="1" t="str">
        <f>HYPERLINK("http://www.weizmann.ac.il/complex/compphys/software/geview/data/figures/219041_s_at.png","Figure")</f>
        <v>Figure</v>
      </c>
      <c r="I5894">
        <v>1.36</v>
      </c>
      <c r="J5894">
        <v>6.6000000000000003E-2</v>
      </c>
      <c r="K5894">
        <v>1.06</v>
      </c>
      <c r="L5894">
        <v>0.87</v>
      </c>
      <c r="M5894">
        <v>0.77900000000000003</v>
      </c>
      <c r="N5894">
        <v>0.11</v>
      </c>
    </row>
    <row r="5895" spans="1:14" x14ac:dyDescent="0.25">
      <c r="A5895" t="s">
        <v>10610</v>
      </c>
      <c r="B5895" t="s">
        <v>10611</v>
      </c>
      <c r="C5895" s="1" t="str">
        <f>HYPERLINK("http://www.genecards.org/cgi-bin/carddisp.pl?gene=CX3CR1","GeneCards")</f>
        <v>GeneCards</v>
      </c>
      <c r="D5895" s="1" t="str">
        <f>HYPERLINK("http://genome-euro.ucsc.edu/cgi-bin/hgTracks?position=205898_at","UCSC")</f>
        <v>UCSC</v>
      </c>
      <c r="E5895" s="1" t="str">
        <f>HYPERLINK("http://www.ncbi.nlm.nih.gov/gene/?term=CX3CR1","NCBI")</f>
        <v>NCBI</v>
      </c>
      <c r="F5895">
        <v>6.2E-2</v>
      </c>
      <c r="G5895">
        <v>0.18</v>
      </c>
      <c r="H5895" s="1" t="str">
        <f>HYPERLINK("http://www.weizmann.ac.il/complex/compphys/software/geview/data/figures/205898_at.png","Figure")</f>
        <v>Figure</v>
      </c>
      <c r="I5895">
        <v>0.59499999999999997</v>
      </c>
      <c r="J5895">
        <v>0.38</v>
      </c>
      <c r="K5895">
        <v>1.49</v>
      </c>
      <c r="L5895">
        <v>0.46</v>
      </c>
      <c r="M5895">
        <v>2.5</v>
      </c>
      <c r="N5895">
        <v>5.1999999999999998E-2</v>
      </c>
    </row>
    <row r="5896" spans="1:14" x14ac:dyDescent="0.25">
      <c r="A5896" t="s">
        <v>10612</v>
      </c>
      <c r="B5896" t="s">
        <v>9277</v>
      </c>
      <c r="C5896" s="1" t="str">
        <f>HYPERLINK("http://www.genecards.org/cgi-bin/carddisp.pl?gene=MINA","GeneCards")</f>
        <v>GeneCards</v>
      </c>
      <c r="D5896" s="1" t="str">
        <f>HYPERLINK("http://genome-euro.ucsc.edu/cgi-bin/hgTracks?position=213189_at","UCSC")</f>
        <v>UCSC</v>
      </c>
      <c r="E5896" s="1" t="str">
        <f>HYPERLINK("http://www.ncbi.nlm.nih.gov/gene/?term=MINA","NCBI")</f>
        <v>NCBI</v>
      </c>
      <c r="F5896">
        <v>6.2E-2</v>
      </c>
      <c r="G5896">
        <v>0.18</v>
      </c>
      <c r="H5896" s="1" t="str">
        <f>HYPERLINK("http://www.weizmann.ac.il/complex/compphys/software/geview/data/figures/213189_at.png","Figure")</f>
        <v>Figure</v>
      </c>
      <c r="I5896">
        <v>0.91900000000000004</v>
      </c>
      <c r="J5896">
        <v>0.16</v>
      </c>
      <c r="K5896">
        <v>1.02</v>
      </c>
      <c r="L5896">
        <v>0.88</v>
      </c>
      <c r="M5896">
        <v>1.1100000000000001</v>
      </c>
      <c r="N5896">
        <v>5.7000000000000002E-2</v>
      </c>
    </row>
    <row r="5897" spans="1:14" x14ac:dyDescent="0.25">
      <c r="A5897" t="s">
        <v>10613</v>
      </c>
      <c r="B5897" t="s">
        <v>10614</v>
      </c>
      <c r="C5897" s="1" t="str">
        <f>HYPERLINK("http://www.genecards.org/cgi-bin/carddisp.pl?gene=MLL","GeneCards")</f>
        <v>GeneCards</v>
      </c>
      <c r="D5897" s="1" t="str">
        <f>HYPERLINK("http://genome-euro.ucsc.edu/cgi-bin/hgTracks?position=216624_s_at","UCSC")</f>
        <v>UCSC</v>
      </c>
      <c r="E5897" s="1" t="str">
        <f>HYPERLINK("http://www.ncbi.nlm.nih.gov/gene/?term=MLL","NCBI")</f>
        <v>NCBI</v>
      </c>
      <c r="F5897">
        <v>6.2E-2</v>
      </c>
      <c r="G5897">
        <v>0.18</v>
      </c>
      <c r="H5897" s="1" t="str">
        <f>HYPERLINK("http://www.weizmann.ac.il/complex/compphys/software/geview/data/figures/216624_s_at.png","Figure")</f>
        <v>Figure</v>
      </c>
      <c r="I5897">
        <v>1.06</v>
      </c>
      <c r="J5897">
        <v>8.3000000000000004E-2</v>
      </c>
      <c r="K5897">
        <v>1.05</v>
      </c>
      <c r="L5897">
        <v>0.11</v>
      </c>
      <c r="M5897">
        <v>0.98899999999999999</v>
      </c>
      <c r="N5897">
        <v>0.89</v>
      </c>
    </row>
    <row r="5898" spans="1:14" x14ac:dyDescent="0.25">
      <c r="A5898" t="s">
        <v>10615</v>
      </c>
      <c r="B5898" t="s">
        <v>10616</v>
      </c>
      <c r="C5898" s="1" t="str">
        <f>HYPERLINK("http://www.genecards.org/cgi-bin/carddisp.pl?gene=TNFSF8","GeneCards")</f>
        <v>GeneCards</v>
      </c>
      <c r="D5898" s="1" t="str">
        <f>HYPERLINK("http://genome-euro.ucsc.edu/cgi-bin/hgTracks?position=207216_at","UCSC")</f>
        <v>UCSC</v>
      </c>
      <c r="E5898" s="1" t="str">
        <f>HYPERLINK("http://www.ncbi.nlm.nih.gov/gene/?term=TNFSF8","NCBI")</f>
        <v>NCBI</v>
      </c>
      <c r="F5898">
        <v>6.2E-2</v>
      </c>
      <c r="G5898">
        <v>0.18</v>
      </c>
      <c r="H5898" s="1" t="str">
        <f>HYPERLINK("http://www.weizmann.ac.il/complex/compphys/software/geview/data/figures/207216_at.png","Figure")</f>
        <v>Figure</v>
      </c>
      <c r="I5898">
        <v>1.28</v>
      </c>
      <c r="J5898">
        <v>5.0999999999999997E-2</v>
      </c>
      <c r="K5898">
        <v>1.1200000000000001</v>
      </c>
      <c r="L5898">
        <v>0.41</v>
      </c>
      <c r="M5898">
        <v>0.87</v>
      </c>
      <c r="N5898">
        <v>0.28999999999999998</v>
      </c>
    </row>
    <row r="5899" spans="1:14" x14ac:dyDescent="0.25">
      <c r="A5899" t="s">
        <v>10617</v>
      </c>
      <c r="B5899" t="s">
        <v>6647</v>
      </c>
      <c r="C5899" s="1" t="str">
        <f>HYPERLINK("http://www.genecards.org/cgi-bin/carddisp.pl?gene=RHAG","GeneCards")</f>
        <v>GeneCards</v>
      </c>
      <c r="D5899" s="1" t="str">
        <f>HYPERLINK("http://genome-euro.ucsc.edu/cgi-bin/hgTracks?position=211254_x_at","UCSC")</f>
        <v>UCSC</v>
      </c>
      <c r="E5899" s="1" t="str">
        <f>HYPERLINK("http://www.ncbi.nlm.nih.gov/gene/?term=RHAG","NCBI")</f>
        <v>NCBI</v>
      </c>
      <c r="F5899">
        <v>6.2E-2</v>
      </c>
      <c r="G5899">
        <v>0.18</v>
      </c>
      <c r="H5899" s="1" t="str">
        <f>HYPERLINK("http://www.weizmann.ac.il/complex/compphys/software/geview/data/figures/211254_x_at.png","Figure")</f>
        <v>Figure</v>
      </c>
      <c r="I5899">
        <v>1.32</v>
      </c>
      <c r="J5899">
        <v>0.13</v>
      </c>
      <c r="K5899">
        <v>0.96699999999999997</v>
      </c>
      <c r="L5899">
        <v>0.95</v>
      </c>
      <c r="M5899">
        <v>0.73499999999999999</v>
      </c>
      <c r="N5899">
        <v>6.2E-2</v>
      </c>
    </row>
    <row r="5900" spans="1:14" x14ac:dyDescent="0.25">
      <c r="A5900" t="s">
        <v>10618</v>
      </c>
      <c r="B5900" t="s">
        <v>10619</v>
      </c>
      <c r="C5900" s="1" t="str">
        <f>HYPERLINK("http://www.genecards.org/cgi-bin/carddisp.pl?gene=IGFBP6","GeneCards")</f>
        <v>GeneCards</v>
      </c>
      <c r="D5900" s="1" t="str">
        <f>HYPERLINK("http://genome-euro.ucsc.edu/cgi-bin/hgTracks?position=203851_at","UCSC")</f>
        <v>UCSC</v>
      </c>
      <c r="E5900" s="1" t="str">
        <f>HYPERLINK("http://www.ncbi.nlm.nih.gov/gene/?term=IGFBP6","NCBI")</f>
        <v>NCBI</v>
      </c>
      <c r="F5900">
        <v>6.3E-2</v>
      </c>
      <c r="G5900">
        <v>0.18</v>
      </c>
      <c r="H5900" s="1" t="str">
        <f>HYPERLINK("http://www.weizmann.ac.il/complex/compphys/software/geview/data/figures/203851_at.png","Figure")</f>
        <v>Figure</v>
      </c>
      <c r="I5900">
        <v>1.23</v>
      </c>
      <c r="J5900">
        <v>6.7000000000000004E-2</v>
      </c>
      <c r="K5900">
        <v>1.04</v>
      </c>
      <c r="L5900">
        <v>0.88</v>
      </c>
      <c r="M5900">
        <v>0.84499999999999997</v>
      </c>
      <c r="N5900">
        <v>0.11</v>
      </c>
    </row>
    <row r="5901" spans="1:14" x14ac:dyDescent="0.25">
      <c r="A5901" t="s">
        <v>10620</v>
      </c>
      <c r="B5901" t="s">
        <v>10621</v>
      </c>
      <c r="C5901" s="1" t="str">
        <f>HYPERLINK("http://www.genecards.org/cgi-bin/carddisp.pl?gene=COL10A1","GeneCards")</f>
        <v>GeneCards</v>
      </c>
      <c r="D5901" s="1" t="str">
        <f>HYPERLINK("http://genome-euro.ucsc.edu/cgi-bin/hgTracks?position=205941_s_at","UCSC")</f>
        <v>UCSC</v>
      </c>
      <c r="E5901" s="1" t="str">
        <f>HYPERLINK("http://www.ncbi.nlm.nih.gov/gene/?term=COL10A1","NCBI")</f>
        <v>NCBI</v>
      </c>
      <c r="F5901">
        <v>6.3E-2</v>
      </c>
      <c r="G5901">
        <v>0.18</v>
      </c>
      <c r="H5901" s="1" t="str">
        <f>HYPERLINK("http://www.weizmann.ac.il/complex/compphys/software/geview/data/figures/205941_s_at.png","Figure")</f>
        <v>Figure</v>
      </c>
      <c r="I5901">
        <v>1.27</v>
      </c>
      <c r="J5901">
        <v>5.0999999999999997E-2</v>
      </c>
      <c r="K5901">
        <v>1.1000000000000001</v>
      </c>
      <c r="L5901">
        <v>0.46</v>
      </c>
      <c r="M5901">
        <v>0.86799999999999999</v>
      </c>
      <c r="N5901">
        <v>0.26</v>
      </c>
    </row>
    <row r="5902" spans="1:14" x14ac:dyDescent="0.25">
      <c r="A5902" t="s">
        <v>10622</v>
      </c>
      <c r="B5902" t="s">
        <v>10623</v>
      </c>
      <c r="C5902" s="1" t="str">
        <f>HYPERLINK("http://www.genecards.org/cgi-bin/carddisp.pl?gene=PI4K2A","GeneCards")</f>
        <v>GeneCards</v>
      </c>
      <c r="D5902" s="1" t="str">
        <f>HYPERLINK("http://genome-euro.ucsc.edu/cgi-bin/hgTracks?position=209346_s_at","UCSC")</f>
        <v>UCSC</v>
      </c>
      <c r="E5902" s="1" t="str">
        <f>HYPERLINK("http://www.ncbi.nlm.nih.gov/gene/?term=PI4K2A","NCBI")</f>
        <v>NCBI</v>
      </c>
      <c r="F5902">
        <v>6.3E-2</v>
      </c>
      <c r="G5902">
        <v>0.18</v>
      </c>
      <c r="H5902" s="1" t="str">
        <f>HYPERLINK("http://www.weizmann.ac.il/complex/compphys/software/geview/data/figures/209346_s_at.png","Figure")</f>
        <v>Figure</v>
      </c>
      <c r="I5902">
        <v>1.26</v>
      </c>
      <c r="J5902">
        <v>5.8999999999999997E-2</v>
      </c>
      <c r="K5902">
        <v>1.06</v>
      </c>
      <c r="L5902">
        <v>0.74</v>
      </c>
      <c r="M5902">
        <v>0.84099999999999997</v>
      </c>
      <c r="N5902">
        <v>0.14000000000000001</v>
      </c>
    </row>
    <row r="5903" spans="1:14" x14ac:dyDescent="0.25">
      <c r="A5903" t="s">
        <v>10624</v>
      </c>
      <c r="B5903" t="s">
        <v>10473</v>
      </c>
      <c r="C5903" s="1" t="str">
        <f>HYPERLINK("http://www.genecards.org/cgi-bin/carddisp.pl?gene=GPR107","GeneCards")</f>
        <v>GeneCards</v>
      </c>
      <c r="D5903" s="1" t="str">
        <f>HYPERLINK("http://genome-euro.ucsc.edu/cgi-bin/hgTracks?position=211977_at","UCSC")</f>
        <v>UCSC</v>
      </c>
      <c r="E5903" s="1" t="str">
        <f>HYPERLINK("http://www.ncbi.nlm.nih.gov/gene/?term=GPR107","NCBI")</f>
        <v>NCBI</v>
      </c>
      <c r="F5903">
        <v>6.3E-2</v>
      </c>
      <c r="G5903">
        <v>0.18</v>
      </c>
      <c r="H5903" s="1" t="str">
        <f>HYPERLINK("http://www.weizmann.ac.il/complex/compphys/software/geview/data/figures/211977_at.png","Figure")</f>
        <v>Figure</v>
      </c>
      <c r="I5903">
        <v>1.04</v>
      </c>
      <c r="J5903">
        <v>0.94</v>
      </c>
      <c r="K5903">
        <v>0.82899999999999996</v>
      </c>
      <c r="L5903">
        <v>0.13</v>
      </c>
      <c r="M5903">
        <v>0.8</v>
      </c>
      <c r="N5903">
        <v>9.1999999999999998E-2</v>
      </c>
    </row>
    <row r="5904" spans="1:14" x14ac:dyDescent="0.25">
      <c r="A5904" t="s">
        <v>10625</v>
      </c>
      <c r="B5904" t="s">
        <v>643</v>
      </c>
      <c r="C5904" s="1" t="str">
        <f>HYPERLINK("http://www.genecards.org/cgi-bin/carddisp.pl?gene=EIF1","GeneCards")</f>
        <v>GeneCards</v>
      </c>
      <c r="D5904" s="1" t="str">
        <f>HYPERLINK("http://genome-euro.ucsc.edu/cgi-bin/hgTracks?position=212225_at","UCSC")</f>
        <v>UCSC</v>
      </c>
      <c r="E5904" s="1" t="str">
        <f>HYPERLINK("http://www.ncbi.nlm.nih.gov/gene/?term=EIF1","NCBI")</f>
        <v>NCBI</v>
      </c>
      <c r="F5904">
        <v>6.3E-2</v>
      </c>
      <c r="G5904">
        <v>0.18</v>
      </c>
      <c r="H5904" s="1" t="str">
        <f>HYPERLINK("http://www.weizmann.ac.il/complex/compphys/software/geview/data/figures/212225_at.png","Figure")</f>
        <v>Figure</v>
      </c>
      <c r="I5904">
        <v>0.53200000000000003</v>
      </c>
      <c r="J5904">
        <v>0.14000000000000001</v>
      </c>
      <c r="K5904">
        <v>0.51400000000000001</v>
      </c>
      <c r="L5904">
        <v>6.8000000000000005E-2</v>
      </c>
      <c r="M5904">
        <v>0.96599999999999997</v>
      </c>
      <c r="N5904">
        <v>0.99</v>
      </c>
    </row>
    <row r="5905" spans="1:14" x14ac:dyDescent="0.25">
      <c r="A5905" t="s">
        <v>10626</v>
      </c>
      <c r="B5905" t="s">
        <v>4016</v>
      </c>
      <c r="C5905" s="1" t="str">
        <f>HYPERLINK("http://www.genecards.org/cgi-bin/carddisp.pl?gene=CYLD","GeneCards")</f>
        <v>GeneCards</v>
      </c>
      <c r="D5905" s="1" t="str">
        <f>HYPERLINK("http://genome-euro.ucsc.edu/cgi-bin/hgTracks?position=214272_at","UCSC")</f>
        <v>UCSC</v>
      </c>
      <c r="E5905" s="1" t="str">
        <f>HYPERLINK("http://www.ncbi.nlm.nih.gov/gene/?term=CYLD","NCBI")</f>
        <v>NCBI</v>
      </c>
      <c r="F5905">
        <v>6.3E-2</v>
      </c>
      <c r="G5905">
        <v>0.18</v>
      </c>
      <c r="H5905" s="1" t="str">
        <f>HYPERLINK("http://www.weizmann.ac.il/complex/compphys/software/geview/data/figures/214272_at.png","Figure")</f>
        <v>Figure</v>
      </c>
      <c r="I5905">
        <v>1.08</v>
      </c>
      <c r="J5905">
        <v>0.19</v>
      </c>
      <c r="K5905">
        <v>0.97499999999999998</v>
      </c>
      <c r="L5905">
        <v>0.79</v>
      </c>
      <c r="M5905">
        <v>0.89900000000000002</v>
      </c>
      <c r="N5905">
        <v>5.3999999999999999E-2</v>
      </c>
    </row>
    <row r="5906" spans="1:14" x14ac:dyDescent="0.25">
      <c r="A5906" t="s">
        <v>10627</v>
      </c>
      <c r="B5906" t="s">
        <v>10628</v>
      </c>
      <c r="C5906" s="1" t="str">
        <f>HYPERLINK("http://www.genecards.org/cgi-bin/carddisp.pl?gene=ZBTB25","GeneCards")</f>
        <v>GeneCards</v>
      </c>
      <c r="D5906" s="1" t="str">
        <f>HYPERLINK("http://genome-euro.ucsc.edu/cgi-bin/hgTracks?position=214482_at","UCSC")</f>
        <v>UCSC</v>
      </c>
      <c r="E5906" s="1" t="str">
        <f>HYPERLINK("http://www.ncbi.nlm.nih.gov/gene/?term=ZBTB25","NCBI")</f>
        <v>NCBI</v>
      </c>
      <c r="F5906">
        <v>6.3E-2</v>
      </c>
      <c r="G5906">
        <v>0.18</v>
      </c>
      <c r="H5906" s="1" t="str">
        <f>HYPERLINK("http://www.weizmann.ac.il/complex/compphys/software/geview/data/figures/214482_at.png","Figure")</f>
        <v>Figure</v>
      </c>
      <c r="I5906">
        <v>0.78500000000000003</v>
      </c>
      <c r="J5906">
        <v>7.6999999999999999E-2</v>
      </c>
      <c r="K5906">
        <v>0.82799999999999996</v>
      </c>
      <c r="L5906">
        <v>0.12</v>
      </c>
      <c r="M5906">
        <v>1.05</v>
      </c>
      <c r="N5906">
        <v>0.85</v>
      </c>
    </row>
    <row r="5907" spans="1:14" x14ac:dyDescent="0.25">
      <c r="A5907" t="s">
        <v>10629</v>
      </c>
      <c r="B5907" t="s">
        <v>10630</v>
      </c>
      <c r="C5907" s="1" t="str">
        <f>HYPERLINK("http://www.genecards.org/cgi-bin/carddisp.pl?gene=LOC100288142 /// NBPF1 /// NBPF10","GeneCards")</f>
        <v>GeneCards</v>
      </c>
      <c r="D5907" s="1" t="str">
        <f>HYPERLINK("http://genome-euro.ucsc.edu/cgi-bin/hgTracks?position=215434_x_at","UCSC")</f>
        <v>UCSC</v>
      </c>
      <c r="E5907" s="1" t="str">
        <f>HYPERLINK("http://www.ncbi.nlm.nih.gov/gene/?term=LOC100288142 /// NBPF1 /// NBPF10","NCBI")</f>
        <v>NCBI</v>
      </c>
      <c r="F5907">
        <v>6.3E-2</v>
      </c>
      <c r="G5907">
        <v>0.18</v>
      </c>
      <c r="H5907" s="1" t="str">
        <f>HYPERLINK("http://www.weizmann.ac.il/complex/compphys/software/geview/data/figures/215434_x_at.png","Figure")</f>
        <v>Figure</v>
      </c>
      <c r="I5907">
        <v>1.46</v>
      </c>
      <c r="J5907">
        <v>6.6000000000000003E-2</v>
      </c>
      <c r="K5907">
        <v>1.07</v>
      </c>
      <c r="L5907">
        <v>0.85</v>
      </c>
      <c r="M5907">
        <v>0.73399999999999999</v>
      </c>
      <c r="N5907">
        <v>0.12</v>
      </c>
    </row>
    <row r="5908" spans="1:14" x14ac:dyDescent="0.25">
      <c r="A5908" t="s">
        <v>10631</v>
      </c>
      <c r="B5908" t="s">
        <v>10503</v>
      </c>
      <c r="C5908" s="1" t="str">
        <f>HYPERLINK("http://www.genecards.org/cgi-bin/carddisp.pl?gene=KARS","GeneCards")</f>
        <v>GeneCards</v>
      </c>
      <c r="D5908" s="1" t="str">
        <f>HYPERLINK("http://genome-euro.ucsc.edu/cgi-bin/hgTracks?position=200079_s_at","UCSC")</f>
        <v>UCSC</v>
      </c>
      <c r="E5908" s="1" t="str">
        <f>HYPERLINK("http://www.ncbi.nlm.nih.gov/gene/?term=KARS","NCBI")</f>
        <v>NCBI</v>
      </c>
      <c r="F5908">
        <v>6.3E-2</v>
      </c>
      <c r="G5908">
        <v>0.18</v>
      </c>
      <c r="H5908" s="1" t="str">
        <f>HYPERLINK("http://www.weizmann.ac.il/complex/compphys/software/geview/data/figures/200079_s_at.png","Figure")</f>
        <v>Figure</v>
      </c>
      <c r="I5908">
        <v>1.27</v>
      </c>
      <c r="J5908">
        <v>0.28999999999999998</v>
      </c>
      <c r="K5908">
        <v>1.41</v>
      </c>
      <c r="L5908">
        <v>5.1999999999999998E-2</v>
      </c>
      <c r="M5908">
        <v>1.1100000000000001</v>
      </c>
      <c r="N5908">
        <v>0.73</v>
      </c>
    </row>
    <row r="5909" spans="1:14" x14ac:dyDescent="0.25">
      <c r="A5909" t="s">
        <v>10632</v>
      </c>
      <c r="B5909" t="s">
        <v>10633</v>
      </c>
      <c r="C5909" s="1" t="str">
        <f>HYPERLINK("http://www.genecards.org/cgi-bin/carddisp.pl?gene=ZBTB40","GeneCards")</f>
        <v>GeneCards</v>
      </c>
      <c r="D5909" s="1" t="str">
        <f>HYPERLINK("http://genome-euro.ucsc.edu/cgi-bin/hgTracks?position=203959_s_at","UCSC")</f>
        <v>UCSC</v>
      </c>
      <c r="E5909" s="1" t="str">
        <f>HYPERLINK("http://www.ncbi.nlm.nih.gov/gene/?term=ZBTB40","NCBI")</f>
        <v>NCBI</v>
      </c>
      <c r="F5909">
        <v>6.3E-2</v>
      </c>
      <c r="G5909">
        <v>0.18</v>
      </c>
      <c r="H5909" s="1" t="str">
        <f>HYPERLINK("http://www.weizmann.ac.il/complex/compphys/software/geview/data/figures/203959_s_at.png","Figure")</f>
        <v>Figure</v>
      </c>
      <c r="I5909">
        <v>1.37</v>
      </c>
      <c r="J5909">
        <v>0.13</v>
      </c>
      <c r="K5909">
        <v>0.95799999999999996</v>
      </c>
      <c r="L5909">
        <v>0.95</v>
      </c>
      <c r="M5909">
        <v>0.69799999999999995</v>
      </c>
      <c r="N5909">
        <v>6.0999999999999999E-2</v>
      </c>
    </row>
    <row r="5910" spans="1:14" x14ac:dyDescent="0.25">
      <c r="A5910" t="s">
        <v>10634</v>
      </c>
      <c r="B5910" t="s">
        <v>10635</v>
      </c>
      <c r="C5910" s="1" t="str">
        <f>HYPERLINK("http://www.genecards.org/cgi-bin/carddisp.pl?gene=ATG4A","GeneCards")</f>
        <v>GeneCards</v>
      </c>
      <c r="D5910" s="1" t="str">
        <f>HYPERLINK("http://genome-euro.ucsc.edu/cgi-bin/hgTracks?position=213115_at","UCSC")</f>
        <v>UCSC</v>
      </c>
      <c r="E5910" s="1" t="str">
        <f>HYPERLINK("http://www.ncbi.nlm.nih.gov/gene/?term=ATG4A","NCBI")</f>
        <v>NCBI</v>
      </c>
      <c r="F5910">
        <v>6.3E-2</v>
      </c>
      <c r="G5910">
        <v>0.18</v>
      </c>
      <c r="H5910" s="1" t="str">
        <f>HYPERLINK("http://www.weizmann.ac.il/complex/compphys/software/geview/data/figures/213115_at.png","Figure")</f>
        <v>Figure</v>
      </c>
      <c r="I5910">
        <v>0.85199999999999998</v>
      </c>
      <c r="J5910">
        <v>0.11</v>
      </c>
      <c r="K5910">
        <v>1.01</v>
      </c>
      <c r="L5910">
        <v>0.99</v>
      </c>
      <c r="M5910">
        <v>1.18</v>
      </c>
      <c r="N5910">
        <v>6.8000000000000005E-2</v>
      </c>
    </row>
    <row r="5911" spans="1:14" x14ac:dyDescent="0.25">
      <c r="A5911" t="s">
        <v>10636</v>
      </c>
      <c r="B5911" t="s">
        <v>10637</v>
      </c>
      <c r="C5911" s="1" t="str">
        <f>HYPERLINK("http://www.genecards.org/cgi-bin/carddisp.pl?gene=LOC222070","GeneCards")</f>
        <v>GeneCards</v>
      </c>
      <c r="D5911" s="1" t="str">
        <f>HYPERLINK("http://genome-euro.ucsc.edu/cgi-bin/hgTracks?position=58900_at","UCSC")</f>
        <v>UCSC</v>
      </c>
      <c r="E5911" s="1" t="str">
        <f>HYPERLINK("http://www.ncbi.nlm.nih.gov/gene/?term=LOC222070","NCBI")</f>
        <v>NCBI</v>
      </c>
      <c r="F5911">
        <v>6.3E-2</v>
      </c>
      <c r="G5911">
        <v>0.18</v>
      </c>
      <c r="H5911" s="1" t="str">
        <f>HYPERLINK("http://www.weizmann.ac.il/complex/compphys/software/geview/data/figures/58900_at.png","Figure")</f>
        <v>Figure</v>
      </c>
      <c r="I5911">
        <v>1.4</v>
      </c>
      <c r="J5911">
        <v>5.2999999999999999E-2</v>
      </c>
      <c r="K5911">
        <v>1.2</v>
      </c>
      <c r="L5911">
        <v>0.28000000000000003</v>
      </c>
      <c r="M5911">
        <v>0.85399999999999998</v>
      </c>
      <c r="N5911">
        <v>0.42</v>
      </c>
    </row>
    <row r="5912" spans="1:14" x14ac:dyDescent="0.25">
      <c r="A5912" t="s">
        <v>10638</v>
      </c>
      <c r="B5912" t="s">
        <v>492</v>
      </c>
      <c r="C5912" s="1" t="str">
        <f>HYPERLINK("http://www.genecards.org/cgi-bin/carddisp.pl?gene=FADS1","GeneCards")</f>
        <v>GeneCards</v>
      </c>
      <c r="D5912" s="1" t="str">
        <f>HYPERLINK("http://genome-euro.ucsc.edu/cgi-bin/hgTracks?position=208963_x_at","UCSC")</f>
        <v>UCSC</v>
      </c>
      <c r="E5912" s="1" t="str">
        <f>HYPERLINK("http://www.ncbi.nlm.nih.gov/gene/?term=FADS1","NCBI")</f>
        <v>NCBI</v>
      </c>
      <c r="F5912">
        <v>6.3E-2</v>
      </c>
      <c r="G5912">
        <v>0.18</v>
      </c>
      <c r="H5912" s="1" t="str">
        <f>HYPERLINK("http://www.weizmann.ac.il/complex/compphys/software/geview/data/figures/208963_x_at.png","Figure")</f>
        <v>Figure</v>
      </c>
      <c r="I5912">
        <v>1.44</v>
      </c>
      <c r="J5912">
        <v>5.3999999999999999E-2</v>
      </c>
      <c r="K5912">
        <v>1.22</v>
      </c>
      <c r="L5912">
        <v>0.26</v>
      </c>
      <c r="M5912">
        <v>0.85099999999999998</v>
      </c>
      <c r="N5912">
        <v>0.45</v>
      </c>
    </row>
    <row r="5913" spans="1:14" x14ac:dyDescent="0.25">
      <c r="A5913" t="s">
        <v>10639</v>
      </c>
      <c r="B5913" t="s">
        <v>10640</v>
      </c>
      <c r="C5913" s="1" t="str">
        <f>HYPERLINK("http://www.genecards.org/cgi-bin/carddisp.pl?gene=ING4","GeneCards")</f>
        <v>GeneCards</v>
      </c>
      <c r="D5913" s="1" t="str">
        <f>HYPERLINK("http://genome-euro.ucsc.edu/cgi-bin/hgTracks?position=218234_at","UCSC")</f>
        <v>UCSC</v>
      </c>
      <c r="E5913" s="1" t="str">
        <f>HYPERLINK("http://www.ncbi.nlm.nih.gov/gene/?term=ING4","NCBI")</f>
        <v>NCBI</v>
      </c>
      <c r="F5913">
        <v>6.3E-2</v>
      </c>
      <c r="G5913">
        <v>0.18</v>
      </c>
      <c r="H5913" s="1" t="str">
        <f>HYPERLINK("http://www.weizmann.ac.il/complex/compphys/software/geview/data/figures/218234_at.png","Figure")</f>
        <v>Figure</v>
      </c>
      <c r="I5913">
        <v>1.34</v>
      </c>
      <c r="J5913">
        <v>7.1999999999999995E-2</v>
      </c>
      <c r="K5913">
        <v>1.24</v>
      </c>
      <c r="L5913">
        <v>0.13</v>
      </c>
      <c r="M5913">
        <v>0.92800000000000005</v>
      </c>
      <c r="N5913">
        <v>0.79</v>
      </c>
    </row>
    <row r="5914" spans="1:14" x14ac:dyDescent="0.25">
      <c r="A5914" t="s">
        <v>10641</v>
      </c>
      <c r="B5914" t="s">
        <v>10642</v>
      </c>
      <c r="C5914" s="1" t="str">
        <f>HYPERLINK("http://www.genecards.org/cgi-bin/carddisp.pl?gene=IGH@ /// IGHA1 /// IGHA2 /// IGHG1 /// IGHG3 /// IGHM /// IGHV3-23 /// IGHV4-31 /// LOC100132941 ///","GeneCards")</f>
        <v>GeneCards</v>
      </c>
      <c r="D5914" s="1" t="str">
        <f>HYPERLINK("http://genome-euro.ucsc.edu/cgi-bin/hgTracks?position=214916_x_at","UCSC")</f>
        <v>UCSC</v>
      </c>
      <c r="E5914" s="1" t="str">
        <f>HYPERLINK("http://www.ncbi.nlm.nih.gov/gene/?term=IGH@ /// IGHA1 /// IGHA2 /// IGHG1 /// IGHG3 /// IGHM /// IGHV3-23 /// IGHV4-31 /// LOC100132941 ///","NCBI")</f>
        <v>NCBI</v>
      </c>
      <c r="F5914">
        <v>6.3E-2</v>
      </c>
      <c r="G5914">
        <v>0.18</v>
      </c>
      <c r="H5914" s="1" t="str">
        <f>HYPERLINK("http://www.weizmann.ac.il/complex/compphys/software/geview/data/figures/214916_x_at.png","Figure")</f>
        <v>Figure</v>
      </c>
      <c r="I5914">
        <v>1.5</v>
      </c>
      <c r="J5914">
        <v>5.1999999999999998E-2</v>
      </c>
      <c r="K5914">
        <v>1.17</v>
      </c>
      <c r="L5914">
        <v>0.5</v>
      </c>
      <c r="M5914">
        <v>0.77800000000000002</v>
      </c>
      <c r="N5914">
        <v>0.23</v>
      </c>
    </row>
    <row r="5915" spans="1:14" x14ac:dyDescent="0.25">
      <c r="A5915" t="s">
        <v>10643</v>
      </c>
      <c r="B5915" t="s">
        <v>4241</v>
      </c>
      <c r="C5915" s="1" t="str">
        <f>HYPERLINK("http://www.genecards.org/cgi-bin/carddisp.pl?gene=TM9SF1","GeneCards")</f>
        <v>GeneCards</v>
      </c>
      <c r="D5915" s="1" t="str">
        <f>HYPERLINK("http://genome-euro.ucsc.edu/cgi-bin/hgTracks?position=209149_s_at","UCSC")</f>
        <v>UCSC</v>
      </c>
      <c r="E5915" s="1" t="str">
        <f>HYPERLINK("http://www.ncbi.nlm.nih.gov/gene/?term=TM9SF1","NCBI")</f>
        <v>NCBI</v>
      </c>
      <c r="F5915">
        <v>6.3E-2</v>
      </c>
      <c r="G5915">
        <v>0.18</v>
      </c>
      <c r="H5915" s="1" t="str">
        <f>HYPERLINK("http://www.weizmann.ac.il/complex/compphys/software/geview/data/figures/209149_s_at.png","Figure")</f>
        <v>Figure</v>
      </c>
      <c r="I5915">
        <v>0.79100000000000004</v>
      </c>
      <c r="J5915">
        <v>5.8999999999999997E-2</v>
      </c>
      <c r="K5915">
        <v>0.86299999999999999</v>
      </c>
      <c r="L5915">
        <v>0.19</v>
      </c>
      <c r="M5915">
        <v>1.0900000000000001</v>
      </c>
      <c r="N5915">
        <v>0.59</v>
      </c>
    </row>
    <row r="5916" spans="1:14" x14ac:dyDescent="0.25">
      <c r="A5916" t="s">
        <v>10644</v>
      </c>
      <c r="B5916" t="s">
        <v>10645</v>
      </c>
      <c r="C5916" s="1" t="str">
        <f>HYPERLINK("http://www.genecards.org/cgi-bin/carddisp.pl?gene=MEF2C","GeneCards")</f>
        <v>GeneCards</v>
      </c>
      <c r="D5916" s="1" t="str">
        <f>HYPERLINK("http://genome-euro.ucsc.edu/cgi-bin/hgTracks?position=207968_s_at","UCSC")</f>
        <v>UCSC</v>
      </c>
      <c r="E5916" s="1" t="str">
        <f>HYPERLINK("http://www.ncbi.nlm.nih.gov/gene/?term=MEF2C","NCBI")</f>
        <v>NCBI</v>
      </c>
      <c r="F5916">
        <v>6.3E-2</v>
      </c>
      <c r="G5916">
        <v>0.18</v>
      </c>
      <c r="H5916" s="1" t="str">
        <f>HYPERLINK("http://www.weizmann.ac.il/complex/compphys/software/geview/data/figures/207968_s_at.png","Figure")</f>
        <v>Figure</v>
      </c>
      <c r="I5916">
        <v>0.86299999999999999</v>
      </c>
      <c r="J5916">
        <v>0.21</v>
      </c>
      <c r="K5916">
        <v>0.83299999999999996</v>
      </c>
      <c r="L5916">
        <v>5.7000000000000002E-2</v>
      </c>
      <c r="M5916">
        <v>0.96499999999999997</v>
      </c>
      <c r="N5916">
        <v>0.89</v>
      </c>
    </row>
    <row r="5917" spans="1:14" x14ac:dyDescent="0.25">
      <c r="A5917" t="s">
        <v>10646</v>
      </c>
      <c r="B5917" t="s">
        <v>10647</v>
      </c>
      <c r="C5917" s="1" t="str">
        <f>HYPERLINK("http://www.genecards.org/cgi-bin/carddisp.pl?gene=UBE2Z","GeneCards")</f>
        <v>GeneCards</v>
      </c>
      <c r="D5917" s="1" t="str">
        <f>HYPERLINK("http://genome-euro.ucsc.edu/cgi-bin/hgTracks?position=217750_s_at","UCSC")</f>
        <v>UCSC</v>
      </c>
      <c r="E5917" s="1" t="str">
        <f>HYPERLINK("http://www.ncbi.nlm.nih.gov/gene/?term=UBE2Z","NCBI")</f>
        <v>NCBI</v>
      </c>
      <c r="F5917">
        <v>6.3E-2</v>
      </c>
      <c r="G5917">
        <v>0.18</v>
      </c>
      <c r="H5917" s="1" t="str">
        <f>HYPERLINK("http://www.weizmann.ac.il/complex/compphys/software/geview/data/figures/217750_s_at.png","Figure")</f>
        <v>Figure</v>
      </c>
      <c r="I5917">
        <v>0.81799999999999995</v>
      </c>
      <c r="J5917">
        <v>6.6000000000000003E-2</v>
      </c>
      <c r="K5917">
        <v>0.86899999999999999</v>
      </c>
      <c r="L5917">
        <v>0.15</v>
      </c>
      <c r="M5917">
        <v>1.06</v>
      </c>
      <c r="N5917">
        <v>0.71</v>
      </c>
    </row>
    <row r="5918" spans="1:14" x14ac:dyDescent="0.25">
      <c r="A5918" t="s">
        <v>10648</v>
      </c>
      <c r="B5918" t="s">
        <v>10649</v>
      </c>
      <c r="C5918" s="1" t="str">
        <f>HYPERLINK("http://www.genecards.org/cgi-bin/carddisp.pl?gene=GLTSCR2","GeneCards")</f>
        <v>GeneCards</v>
      </c>
      <c r="D5918" s="1" t="str">
        <f>HYPERLINK("http://genome-euro.ucsc.edu/cgi-bin/hgTracks?position=217807_s_at","UCSC")</f>
        <v>UCSC</v>
      </c>
      <c r="E5918" s="1" t="str">
        <f>HYPERLINK("http://www.ncbi.nlm.nih.gov/gene/?term=GLTSCR2","NCBI")</f>
        <v>NCBI</v>
      </c>
      <c r="F5918">
        <v>6.3E-2</v>
      </c>
      <c r="G5918">
        <v>0.18</v>
      </c>
      <c r="H5918" s="1" t="str">
        <f>HYPERLINK("http://www.weizmann.ac.il/complex/compphys/software/geview/data/figures/217807_s_at.png","Figure")</f>
        <v>Figure</v>
      </c>
      <c r="I5918">
        <v>0.95599999999999996</v>
      </c>
      <c r="J5918">
        <v>0.87</v>
      </c>
      <c r="K5918">
        <v>0.82199999999999995</v>
      </c>
      <c r="L5918">
        <v>6.8000000000000005E-2</v>
      </c>
      <c r="M5918">
        <v>0.86</v>
      </c>
      <c r="N5918">
        <v>0.22</v>
      </c>
    </row>
    <row r="5919" spans="1:14" x14ac:dyDescent="0.25">
      <c r="A5919" t="s">
        <v>10650</v>
      </c>
      <c r="B5919" t="s">
        <v>10651</v>
      </c>
      <c r="C5919" s="1" t="str">
        <f>HYPERLINK("http://www.genecards.org/cgi-bin/carddisp.pl?gene=PSMC2","GeneCards")</f>
        <v>GeneCards</v>
      </c>
      <c r="D5919" s="1" t="str">
        <f>HYPERLINK("http://genome-euro.ucsc.edu/cgi-bin/hgTracks?position=201067_at","UCSC")</f>
        <v>UCSC</v>
      </c>
      <c r="E5919" s="1" t="str">
        <f>HYPERLINK("http://www.ncbi.nlm.nih.gov/gene/?term=PSMC2","NCBI")</f>
        <v>NCBI</v>
      </c>
      <c r="F5919">
        <v>6.3E-2</v>
      </c>
      <c r="G5919">
        <v>0.18</v>
      </c>
      <c r="H5919" s="1" t="str">
        <f>HYPERLINK("http://www.weizmann.ac.il/complex/compphys/software/geview/data/figures/201067_at.png","Figure")</f>
        <v>Figure</v>
      </c>
      <c r="I5919">
        <v>0.71899999999999997</v>
      </c>
      <c r="J5919">
        <v>6.3E-2</v>
      </c>
      <c r="K5919">
        <v>0.80300000000000005</v>
      </c>
      <c r="L5919">
        <v>0.17</v>
      </c>
      <c r="M5919">
        <v>1.1200000000000001</v>
      </c>
      <c r="N5919">
        <v>0.65</v>
      </c>
    </row>
    <row r="5920" spans="1:14" x14ac:dyDescent="0.25">
      <c r="A5920" t="s">
        <v>10652</v>
      </c>
      <c r="B5920" t="s">
        <v>9783</v>
      </c>
      <c r="C5920" s="1" t="str">
        <f>HYPERLINK("http://www.genecards.org/cgi-bin/carddisp.pl?gene=CSDE1","GeneCards")</f>
        <v>GeneCards</v>
      </c>
      <c r="D5920" s="1" t="str">
        <f>HYPERLINK("http://genome-euro.ucsc.edu/cgi-bin/hgTracks?position=202646_s_at","UCSC")</f>
        <v>UCSC</v>
      </c>
      <c r="E5920" s="1" t="str">
        <f>HYPERLINK("http://www.ncbi.nlm.nih.gov/gene/?term=CSDE1","NCBI")</f>
        <v>NCBI</v>
      </c>
      <c r="F5920">
        <v>6.3E-2</v>
      </c>
      <c r="G5920">
        <v>0.18</v>
      </c>
      <c r="H5920" s="1" t="str">
        <f>HYPERLINK("http://www.weizmann.ac.il/complex/compphys/software/geview/data/figures/202646_s_at.png","Figure")</f>
        <v>Figure</v>
      </c>
      <c r="I5920">
        <v>1.1000000000000001</v>
      </c>
      <c r="J5920">
        <v>0.45</v>
      </c>
      <c r="K5920">
        <v>0.91200000000000003</v>
      </c>
      <c r="L5920">
        <v>0.4</v>
      </c>
      <c r="M5920">
        <v>0.82699999999999996</v>
      </c>
      <c r="N5920">
        <v>5.3999999999999999E-2</v>
      </c>
    </row>
    <row r="5921" spans="1:14" x14ac:dyDescent="0.25">
      <c r="A5921" t="s">
        <v>10653</v>
      </c>
      <c r="B5921" t="s">
        <v>3490</v>
      </c>
      <c r="C5921" s="1" t="str">
        <f>HYPERLINK("http://www.genecards.org/cgi-bin/carddisp.pl?gene=RFK","GeneCards")</f>
        <v>GeneCards</v>
      </c>
      <c r="D5921" s="1" t="str">
        <f>HYPERLINK("http://genome-euro.ucsc.edu/cgi-bin/hgTracks?position=203224_at","UCSC")</f>
        <v>UCSC</v>
      </c>
      <c r="E5921" s="1" t="str">
        <f>HYPERLINK("http://www.ncbi.nlm.nih.gov/gene/?term=RFK","NCBI")</f>
        <v>NCBI</v>
      </c>
      <c r="F5921">
        <v>6.3E-2</v>
      </c>
      <c r="G5921">
        <v>0.18</v>
      </c>
      <c r="H5921" s="1" t="str">
        <f>HYPERLINK("http://www.weizmann.ac.il/complex/compphys/software/geview/data/figures/203224_at.png","Figure")</f>
        <v>Figure</v>
      </c>
      <c r="I5921">
        <v>0.68500000000000005</v>
      </c>
      <c r="J5921">
        <v>0.15</v>
      </c>
      <c r="K5921">
        <v>1.07</v>
      </c>
      <c r="L5921">
        <v>0.9</v>
      </c>
      <c r="M5921">
        <v>1.57</v>
      </c>
      <c r="N5921">
        <v>5.8999999999999997E-2</v>
      </c>
    </row>
    <row r="5922" spans="1:14" x14ac:dyDescent="0.25">
      <c r="A5922" t="s">
        <v>10654</v>
      </c>
      <c r="B5922" t="s">
        <v>10655</v>
      </c>
      <c r="C5922" s="1" t="str">
        <f>HYPERLINK("http://www.genecards.org/cgi-bin/carddisp.pl?gene=GPR162","GeneCards")</f>
        <v>GeneCards</v>
      </c>
      <c r="D5922" s="1" t="str">
        <f>HYPERLINK("http://genome-euro.ucsc.edu/cgi-bin/hgTracks?position=205056_s_at","UCSC")</f>
        <v>UCSC</v>
      </c>
      <c r="E5922" s="1" t="str">
        <f>HYPERLINK("http://www.ncbi.nlm.nih.gov/gene/?term=GPR162","NCBI")</f>
        <v>NCBI</v>
      </c>
      <c r="F5922">
        <v>6.3E-2</v>
      </c>
      <c r="G5922">
        <v>0.18</v>
      </c>
      <c r="H5922" s="1" t="str">
        <f>HYPERLINK("http://www.weizmann.ac.il/complex/compphys/software/geview/data/figures/205056_s_at.png","Figure")</f>
        <v>Figure</v>
      </c>
      <c r="I5922">
        <v>1.33</v>
      </c>
      <c r="J5922">
        <v>5.6000000000000001E-2</v>
      </c>
      <c r="K5922">
        <v>1.18</v>
      </c>
      <c r="L5922">
        <v>0.23</v>
      </c>
      <c r="M5922">
        <v>0.88800000000000001</v>
      </c>
      <c r="N5922">
        <v>0.5</v>
      </c>
    </row>
    <row r="5923" spans="1:14" x14ac:dyDescent="0.25">
      <c r="A5923" t="s">
        <v>10656</v>
      </c>
      <c r="B5923" t="s">
        <v>10657</v>
      </c>
      <c r="C5923" s="1" t="str">
        <f>HYPERLINK("http://www.genecards.org/cgi-bin/carddisp.pl?gene=SOD3","GeneCards")</f>
        <v>GeneCards</v>
      </c>
      <c r="D5923" s="1" t="str">
        <f>HYPERLINK("http://genome-euro.ucsc.edu/cgi-bin/hgTracks?position=205236_x_at","UCSC")</f>
        <v>UCSC</v>
      </c>
      <c r="E5923" s="1" t="str">
        <f>HYPERLINK("http://www.ncbi.nlm.nih.gov/gene/?term=SOD3","NCBI")</f>
        <v>NCBI</v>
      </c>
      <c r="F5923">
        <v>6.3E-2</v>
      </c>
      <c r="G5923">
        <v>0.18</v>
      </c>
      <c r="H5923" s="1" t="str">
        <f>HYPERLINK("http://www.weizmann.ac.il/complex/compphys/software/geview/data/figures/205236_x_at.png","Figure")</f>
        <v>Figure</v>
      </c>
      <c r="I5923">
        <v>1.38</v>
      </c>
      <c r="J5923">
        <v>5.1999999999999998E-2</v>
      </c>
      <c r="K5923">
        <v>1.1399999999999999</v>
      </c>
      <c r="L5923">
        <v>0.46</v>
      </c>
      <c r="M5923">
        <v>0.82599999999999996</v>
      </c>
      <c r="N5923">
        <v>0.26</v>
      </c>
    </row>
    <row r="5924" spans="1:14" x14ac:dyDescent="0.25">
      <c r="A5924" t="s">
        <v>10658</v>
      </c>
      <c r="B5924" t="s">
        <v>6589</v>
      </c>
      <c r="C5924" s="1" t="str">
        <f>HYPERLINK("http://www.genecards.org/cgi-bin/carddisp.pl?gene=HSPA8","GeneCards")</f>
        <v>GeneCards</v>
      </c>
      <c r="D5924" s="1" t="str">
        <f>HYPERLINK("http://genome-euro.ucsc.edu/cgi-bin/hgTracks?position=210338_s_at","UCSC")</f>
        <v>UCSC</v>
      </c>
      <c r="E5924" s="1" t="str">
        <f>HYPERLINK("http://www.ncbi.nlm.nih.gov/gene/?term=HSPA8","NCBI")</f>
        <v>NCBI</v>
      </c>
      <c r="F5924">
        <v>6.3E-2</v>
      </c>
      <c r="G5924">
        <v>0.18</v>
      </c>
      <c r="H5924" s="1" t="str">
        <f>HYPERLINK("http://www.weizmann.ac.il/complex/compphys/software/geview/data/figures/210338_s_at.png","Figure")</f>
        <v>Figure</v>
      </c>
      <c r="I5924">
        <v>1.07</v>
      </c>
      <c r="J5924">
        <v>0.98</v>
      </c>
      <c r="K5924">
        <v>2.2599999999999998</v>
      </c>
      <c r="L5924">
        <v>8.5000000000000006E-2</v>
      </c>
      <c r="M5924">
        <v>2.11</v>
      </c>
      <c r="N5924">
        <v>0.15</v>
      </c>
    </row>
    <row r="5925" spans="1:14" x14ac:dyDescent="0.25">
      <c r="A5925" t="s">
        <v>10659</v>
      </c>
      <c r="B5925" t="s">
        <v>9591</v>
      </c>
      <c r="C5925" s="1" t="str">
        <f>HYPERLINK("http://www.genecards.org/cgi-bin/carddisp.pl?gene=NOL12 /// TRIOBP","GeneCards")</f>
        <v>GeneCards</v>
      </c>
      <c r="D5925" s="1" t="str">
        <f>HYPERLINK("http://genome-euro.ucsc.edu/cgi-bin/hgTracks?position=219324_at","UCSC")</f>
        <v>UCSC</v>
      </c>
      <c r="E5925" s="1" t="str">
        <f>HYPERLINK("http://www.ncbi.nlm.nih.gov/gene/?term=NOL12 /// TRIOBP","NCBI")</f>
        <v>NCBI</v>
      </c>
      <c r="F5925">
        <v>6.3E-2</v>
      </c>
      <c r="G5925">
        <v>0.18</v>
      </c>
      <c r="H5925" s="1" t="str">
        <f>HYPERLINK("http://www.weizmann.ac.il/complex/compphys/software/geview/data/figures/219324_at.png","Figure")</f>
        <v>Figure</v>
      </c>
      <c r="I5925">
        <v>0.76500000000000001</v>
      </c>
      <c r="J5925">
        <v>0.39</v>
      </c>
      <c r="K5925">
        <v>1.24</v>
      </c>
      <c r="L5925">
        <v>0.45</v>
      </c>
      <c r="M5925">
        <v>1.62</v>
      </c>
      <c r="N5925">
        <v>5.2999999999999999E-2</v>
      </c>
    </row>
    <row r="5926" spans="1:14" x14ac:dyDescent="0.25">
      <c r="A5926" t="s">
        <v>10660</v>
      </c>
      <c r="B5926" t="s">
        <v>10661</v>
      </c>
      <c r="C5926" s="1" t="str">
        <f>HYPERLINK("http://www.genecards.org/cgi-bin/carddisp.pl?gene=SLC8A1","GeneCards")</f>
        <v>GeneCards</v>
      </c>
      <c r="D5926" s="1" t="str">
        <f>HYPERLINK("http://genome-euro.ucsc.edu/cgi-bin/hgTracks?position=211805_s_at","UCSC")</f>
        <v>UCSC</v>
      </c>
      <c r="E5926" s="1" t="str">
        <f>HYPERLINK("http://www.ncbi.nlm.nih.gov/gene/?term=SLC8A1","NCBI")</f>
        <v>NCBI</v>
      </c>
      <c r="F5926">
        <v>6.3E-2</v>
      </c>
      <c r="G5926">
        <v>0.18</v>
      </c>
      <c r="H5926" s="1" t="str">
        <f>HYPERLINK("http://www.weizmann.ac.il/complex/compphys/software/geview/data/figures/211805_s_at.png","Figure")</f>
        <v>Figure</v>
      </c>
      <c r="I5926">
        <v>1.1399999999999999</v>
      </c>
      <c r="J5926">
        <v>0.26</v>
      </c>
      <c r="K5926">
        <v>0.94099999999999995</v>
      </c>
      <c r="L5926">
        <v>0.64</v>
      </c>
      <c r="M5926">
        <v>0.82899999999999996</v>
      </c>
      <c r="N5926">
        <v>5.1999999999999998E-2</v>
      </c>
    </row>
    <row r="5927" spans="1:14" x14ac:dyDescent="0.25">
      <c r="A5927" t="s">
        <v>10662</v>
      </c>
      <c r="B5927" t="s">
        <v>10663</v>
      </c>
      <c r="C5927" s="1" t="str">
        <f>HYPERLINK("http://www.genecards.org/cgi-bin/carddisp.pl?gene=TUBGCP4","GeneCards")</f>
        <v>GeneCards</v>
      </c>
      <c r="D5927" s="1" t="str">
        <f>HYPERLINK("http://genome-euro.ucsc.edu/cgi-bin/hgTracks?position=213266_at","UCSC")</f>
        <v>UCSC</v>
      </c>
      <c r="E5927" s="1" t="str">
        <f>HYPERLINK("http://www.ncbi.nlm.nih.gov/gene/?term=TUBGCP4","NCBI")</f>
        <v>NCBI</v>
      </c>
      <c r="F5927">
        <v>6.3E-2</v>
      </c>
      <c r="G5927">
        <v>0.18</v>
      </c>
      <c r="H5927" s="1" t="str">
        <f>HYPERLINK("http://www.weizmann.ac.il/complex/compphys/software/geview/data/figures/213266_at.png","Figure")</f>
        <v>Figure</v>
      </c>
      <c r="I5927">
        <v>1.31</v>
      </c>
      <c r="J5927">
        <v>5.1999999999999998E-2</v>
      </c>
      <c r="K5927">
        <v>1.1100000000000001</v>
      </c>
      <c r="L5927">
        <v>0.51</v>
      </c>
      <c r="M5927">
        <v>0.84599999999999997</v>
      </c>
      <c r="N5927">
        <v>0.23</v>
      </c>
    </row>
    <row r="5928" spans="1:14" x14ac:dyDescent="0.25">
      <c r="A5928" t="s">
        <v>10664</v>
      </c>
      <c r="B5928" t="s">
        <v>8946</v>
      </c>
      <c r="C5928" s="1" t="str">
        <f>HYPERLINK("http://www.genecards.org/cgi-bin/carddisp.pl?gene=TRA2A","GeneCards")</f>
        <v>GeneCards</v>
      </c>
      <c r="D5928" s="1" t="str">
        <f>HYPERLINK("http://genome-euro.ucsc.edu/cgi-bin/hgTracks?position=204658_at","UCSC")</f>
        <v>UCSC</v>
      </c>
      <c r="E5928" s="1" t="str">
        <f>HYPERLINK("http://www.ncbi.nlm.nih.gov/gene/?term=TRA2A","NCBI")</f>
        <v>NCBI</v>
      </c>
      <c r="F5928">
        <v>6.3E-2</v>
      </c>
      <c r="G5928">
        <v>0.18</v>
      </c>
      <c r="H5928" s="1" t="str">
        <f>HYPERLINK("http://www.weizmann.ac.il/complex/compphys/software/geview/data/figures/204658_at.png","Figure")</f>
        <v>Figure</v>
      </c>
      <c r="I5928">
        <v>1.22</v>
      </c>
      <c r="J5928">
        <v>0.49</v>
      </c>
      <c r="K5928">
        <v>0.81100000000000005</v>
      </c>
      <c r="L5928">
        <v>0.36</v>
      </c>
      <c r="M5928">
        <v>0.66500000000000004</v>
      </c>
      <c r="N5928">
        <v>5.5E-2</v>
      </c>
    </row>
    <row r="5929" spans="1:14" x14ac:dyDescent="0.25">
      <c r="A5929" t="s">
        <v>10665</v>
      </c>
      <c r="B5929" t="s">
        <v>10666</v>
      </c>
      <c r="C5929" s="1" t="str">
        <f>HYPERLINK("http://www.genecards.org/cgi-bin/carddisp.pl?gene=HCFC1","GeneCards")</f>
        <v>GeneCards</v>
      </c>
      <c r="D5929" s="1" t="str">
        <f>HYPERLINK("http://genome-euro.ucsc.edu/cgi-bin/hgTracks?position=202473_x_at","UCSC")</f>
        <v>UCSC</v>
      </c>
      <c r="E5929" s="1" t="str">
        <f>HYPERLINK("http://www.ncbi.nlm.nih.gov/gene/?term=HCFC1","NCBI")</f>
        <v>NCBI</v>
      </c>
      <c r="F5929">
        <v>6.3E-2</v>
      </c>
      <c r="G5929">
        <v>0.18</v>
      </c>
      <c r="H5929" s="1" t="str">
        <f>HYPERLINK("http://www.weizmann.ac.il/complex/compphys/software/geview/data/figures/202473_x_at.png","Figure")</f>
        <v>Figure</v>
      </c>
      <c r="I5929">
        <v>1.23</v>
      </c>
      <c r="J5929">
        <v>7.9000000000000001E-2</v>
      </c>
      <c r="K5929">
        <v>1.02</v>
      </c>
      <c r="L5929">
        <v>0.96</v>
      </c>
      <c r="M5929">
        <v>0.83099999999999996</v>
      </c>
      <c r="N5929">
        <v>9.1999999999999998E-2</v>
      </c>
    </row>
    <row r="5930" spans="1:14" x14ac:dyDescent="0.25">
      <c r="A5930" t="s">
        <v>10667</v>
      </c>
      <c r="B5930" t="s">
        <v>10668</v>
      </c>
      <c r="C5930" s="1" t="str">
        <f>HYPERLINK("http://www.genecards.org/cgi-bin/carddisp.pl?gene=TMPRSS4","GeneCards")</f>
        <v>GeneCards</v>
      </c>
      <c r="D5930" s="1" t="str">
        <f>HYPERLINK("http://genome-euro.ucsc.edu/cgi-bin/hgTracks?position=218960_at","UCSC")</f>
        <v>UCSC</v>
      </c>
      <c r="E5930" s="1" t="str">
        <f>HYPERLINK("http://www.ncbi.nlm.nih.gov/gene/?term=TMPRSS4","NCBI")</f>
        <v>NCBI</v>
      </c>
      <c r="F5930">
        <v>6.3E-2</v>
      </c>
      <c r="G5930">
        <v>0.18</v>
      </c>
      <c r="H5930" s="1" t="str">
        <f>HYPERLINK("http://www.weizmann.ac.il/complex/compphys/software/geview/data/figures/218960_at.png","Figure")</f>
        <v>Figure</v>
      </c>
      <c r="I5930">
        <v>1.23</v>
      </c>
      <c r="J5930">
        <v>5.2999999999999999E-2</v>
      </c>
      <c r="K5930">
        <v>1.1100000000000001</v>
      </c>
      <c r="L5930">
        <v>0.3</v>
      </c>
      <c r="M5930">
        <v>0.90700000000000003</v>
      </c>
      <c r="N5930">
        <v>0.4</v>
      </c>
    </row>
    <row r="5931" spans="1:14" x14ac:dyDescent="0.25">
      <c r="A5931" t="s">
        <v>10669</v>
      </c>
      <c r="B5931" t="s">
        <v>10670</v>
      </c>
      <c r="C5931" s="1" t="str">
        <f>HYPERLINK("http://www.genecards.org/cgi-bin/carddisp.pl?gene=LOC100293124 /// PNPLA2","GeneCards")</f>
        <v>GeneCards</v>
      </c>
      <c r="D5931" s="1" t="str">
        <f>HYPERLINK("http://genome-euro.ucsc.edu/cgi-bin/hgTracks?position=39854_r_at","UCSC")</f>
        <v>UCSC</v>
      </c>
      <c r="E5931" s="1" t="str">
        <f>HYPERLINK("http://www.ncbi.nlm.nih.gov/gene/?term=LOC100293124 /// PNPLA2","NCBI")</f>
        <v>NCBI</v>
      </c>
      <c r="F5931">
        <v>6.3E-2</v>
      </c>
      <c r="G5931">
        <v>0.18</v>
      </c>
      <c r="H5931" s="1" t="str">
        <f>HYPERLINK("http://www.weizmann.ac.il/complex/compphys/software/geview/data/figures/39854_r_at.png","Figure")</f>
        <v>Figure</v>
      </c>
      <c r="I5931">
        <v>1.45</v>
      </c>
      <c r="J5931">
        <v>5.1999999999999998E-2</v>
      </c>
      <c r="K5931">
        <v>1.18</v>
      </c>
      <c r="L5931">
        <v>0.4</v>
      </c>
      <c r="M5931">
        <v>0.81299999999999994</v>
      </c>
      <c r="N5931">
        <v>0.3</v>
      </c>
    </row>
    <row r="5932" spans="1:14" x14ac:dyDescent="0.25">
      <c r="A5932" t="s">
        <v>10671</v>
      </c>
      <c r="B5932" t="s">
        <v>8756</v>
      </c>
      <c r="C5932" s="1" t="str">
        <f>HYPERLINK("http://www.genecards.org/cgi-bin/carddisp.pl?gene=PDHB","GeneCards")</f>
        <v>GeneCards</v>
      </c>
      <c r="D5932" s="1" t="str">
        <f>HYPERLINK("http://genome-euro.ucsc.edu/cgi-bin/hgTracks?position=211023_at","UCSC")</f>
        <v>UCSC</v>
      </c>
      <c r="E5932" s="1" t="str">
        <f>HYPERLINK("http://www.ncbi.nlm.nih.gov/gene/?term=PDHB","NCBI")</f>
        <v>NCBI</v>
      </c>
      <c r="F5932">
        <v>6.4000000000000001E-2</v>
      </c>
      <c r="G5932">
        <v>0.18</v>
      </c>
      <c r="H5932" s="1" t="str">
        <f>HYPERLINK("http://www.weizmann.ac.il/complex/compphys/software/geview/data/figures/211023_at.png","Figure")</f>
        <v>Figure</v>
      </c>
      <c r="I5932">
        <v>1.04</v>
      </c>
      <c r="J5932">
        <v>0.98</v>
      </c>
      <c r="K5932">
        <v>1.48</v>
      </c>
      <c r="L5932">
        <v>8.3000000000000004E-2</v>
      </c>
      <c r="M5932">
        <v>1.42</v>
      </c>
      <c r="N5932">
        <v>0.16</v>
      </c>
    </row>
    <row r="5933" spans="1:14" x14ac:dyDescent="0.25">
      <c r="A5933" t="s">
        <v>10672</v>
      </c>
      <c r="B5933" t="s">
        <v>10673</v>
      </c>
      <c r="C5933" s="1" t="str">
        <f>HYPERLINK("http://www.genecards.org/cgi-bin/carddisp.pl?gene=MAPK9","GeneCards")</f>
        <v>GeneCards</v>
      </c>
      <c r="D5933" s="1" t="str">
        <f>HYPERLINK("http://genome-euro.ucsc.edu/cgi-bin/hgTracks?position=203218_at","UCSC")</f>
        <v>UCSC</v>
      </c>
      <c r="E5933" s="1" t="str">
        <f>HYPERLINK("http://www.ncbi.nlm.nih.gov/gene/?term=MAPK9","NCBI")</f>
        <v>NCBI</v>
      </c>
      <c r="F5933">
        <v>6.4000000000000001E-2</v>
      </c>
      <c r="G5933">
        <v>0.18</v>
      </c>
      <c r="H5933" s="1" t="str">
        <f>HYPERLINK("http://www.weizmann.ac.il/complex/compphys/software/geview/data/figures/203218_at.png","Figure")</f>
        <v>Figure</v>
      </c>
      <c r="I5933">
        <v>0.68700000000000006</v>
      </c>
      <c r="J5933">
        <v>0.23</v>
      </c>
      <c r="K5933">
        <v>1.17</v>
      </c>
      <c r="L5933">
        <v>0.7</v>
      </c>
      <c r="M5933">
        <v>1.7</v>
      </c>
      <c r="N5933">
        <v>5.2999999999999999E-2</v>
      </c>
    </row>
    <row r="5934" spans="1:14" x14ac:dyDescent="0.25">
      <c r="A5934" t="s">
        <v>10674</v>
      </c>
      <c r="B5934" t="s">
        <v>10675</v>
      </c>
      <c r="C5934" s="1" t="str">
        <f>HYPERLINK("http://www.genecards.org/cgi-bin/carddisp.pl?gene=NMB","GeneCards")</f>
        <v>GeneCards</v>
      </c>
      <c r="D5934" s="1" t="str">
        <f>HYPERLINK("http://genome-euro.ucsc.edu/cgi-bin/hgTracks?position=205204_at","UCSC")</f>
        <v>UCSC</v>
      </c>
      <c r="E5934" s="1" t="str">
        <f>HYPERLINK("http://www.ncbi.nlm.nih.gov/gene/?term=NMB","NCBI")</f>
        <v>NCBI</v>
      </c>
      <c r="F5934">
        <v>6.4000000000000001E-2</v>
      </c>
      <c r="G5934">
        <v>0.18</v>
      </c>
      <c r="H5934" s="1" t="str">
        <f>HYPERLINK("http://www.weizmann.ac.il/complex/compphys/software/geview/data/figures/205204_at.png","Figure")</f>
        <v>Figure</v>
      </c>
      <c r="I5934">
        <v>1.27</v>
      </c>
      <c r="J5934">
        <v>9.8000000000000004E-2</v>
      </c>
      <c r="K5934">
        <v>1.24</v>
      </c>
      <c r="L5934">
        <v>9.1999999999999998E-2</v>
      </c>
      <c r="M5934">
        <v>0.97299999999999998</v>
      </c>
      <c r="N5934">
        <v>0.96</v>
      </c>
    </row>
    <row r="5935" spans="1:14" x14ac:dyDescent="0.25">
      <c r="A5935" t="s">
        <v>10676</v>
      </c>
      <c r="B5935" t="s">
        <v>10677</v>
      </c>
      <c r="C5935" s="1" t="str">
        <f>HYPERLINK("http://www.genecards.org/cgi-bin/carddisp.pl?gene=KMO","GeneCards")</f>
        <v>GeneCards</v>
      </c>
      <c r="D5935" s="1" t="str">
        <f>HYPERLINK("http://genome-euro.ucsc.edu/cgi-bin/hgTracks?position=205306_x_at","UCSC")</f>
        <v>UCSC</v>
      </c>
      <c r="E5935" s="1" t="str">
        <f>HYPERLINK("http://www.ncbi.nlm.nih.gov/gene/?term=KMO","NCBI")</f>
        <v>NCBI</v>
      </c>
      <c r="F5935">
        <v>6.4000000000000001E-2</v>
      </c>
      <c r="G5935">
        <v>0.18</v>
      </c>
      <c r="H5935" s="1" t="str">
        <f>HYPERLINK("http://www.weizmann.ac.il/complex/compphys/software/geview/data/figures/205306_x_at.png","Figure")</f>
        <v>Figure</v>
      </c>
      <c r="I5935">
        <v>1.19</v>
      </c>
      <c r="J5935">
        <v>0.41</v>
      </c>
      <c r="K5935">
        <v>1.36</v>
      </c>
      <c r="L5935">
        <v>5.1999999999999998E-2</v>
      </c>
      <c r="M5935">
        <v>1.1399999999999999</v>
      </c>
      <c r="N5935">
        <v>0.56999999999999995</v>
      </c>
    </row>
    <row r="5936" spans="1:14" x14ac:dyDescent="0.25">
      <c r="A5936" t="s">
        <v>10678</v>
      </c>
      <c r="B5936" t="s">
        <v>4529</v>
      </c>
      <c r="C5936" s="1" t="str">
        <f>HYPERLINK("http://www.genecards.org/cgi-bin/carddisp.pl?gene=GPM6B","GeneCards")</f>
        <v>GeneCards</v>
      </c>
      <c r="D5936" s="1" t="str">
        <f>HYPERLINK("http://genome-euro.ucsc.edu/cgi-bin/hgTracks?position=209167_at","UCSC")</f>
        <v>UCSC</v>
      </c>
      <c r="E5936" s="1" t="str">
        <f>HYPERLINK("http://www.ncbi.nlm.nih.gov/gene/?term=GPM6B","NCBI")</f>
        <v>NCBI</v>
      </c>
      <c r="F5936">
        <v>6.4000000000000001E-2</v>
      </c>
      <c r="G5936">
        <v>0.18</v>
      </c>
      <c r="H5936" s="1" t="str">
        <f>HYPERLINK("http://www.weizmann.ac.il/complex/compphys/software/geview/data/figures/209167_at.png","Figure")</f>
        <v>Figure</v>
      </c>
      <c r="I5936">
        <v>0.73099999999999998</v>
      </c>
      <c r="J5936">
        <v>0.77</v>
      </c>
      <c r="K5936">
        <v>2.0499999999999998</v>
      </c>
      <c r="L5936">
        <v>0.2</v>
      </c>
      <c r="M5936">
        <v>2.8</v>
      </c>
      <c r="N5936">
        <v>7.0999999999999994E-2</v>
      </c>
    </row>
    <row r="5937" spans="1:14" x14ac:dyDescent="0.25">
      <c r="A5937" t="s">
        <v>10679</v>
      </c>
      <c r="B5937" t="s">
        <v>10680</v>
      </c>
      <c r="C5937" s="1" t="str">
        <f>HYPERLINK("http://www.genecards.org/cgi-bin/carddisp.pl?gene=AARSD1","GeneCards")</f>
        <v>GeneCards</v>
      </c>
      <c r="D5937" s="1" t="str">
        <f>HYPERLINK("http://genome-euro.ucsc.edu/cgi-bin/hgTracks?position=222064_s_at","UCSC")</f>
        <v>UCSC</v>
      </c>
      <c r="E5937" s="1" t="str">
        <f>HYPERLINK("http://www.ncbi.nlm.nih.gov/gene/?term=AARSD1","NCBI")</f>
        <v>NCBI</v>
      </c>
      <c r="F5937">
        <v>6.4000000000000001E-2</v>
      </c>
      <c r="G5937">
        <v>0.18</v>
      </c>
      <c r="H5937" s="1" t="str">
        <f>HYPERLINK("http://www.weizmann.ac.il/complex/compphys/software/geview/data/figures/222064_s_at.png","Figure")</f>
        <v>Figure</v>
      </c>
      <c r="I5937">
        <v>0.95299999999999996</v>
      </c>
      <c r="J5937">
        <v>0.89</v>
      </c>
      <c r="K5937">
        <v>1.19</v>
      </c>
      <c r="L5937">
        <v>0.16</v>
      </c>
      <c r="M5937">
        <v>1.25</v>
      </c>
      <c r="N5937">
        <v>8.4000000000000005E-2</v>
      </c>
    </row>
    <row r="5938" spans="1:14" x14ac:dyDescent="0.25">
      <c r="A5938" t="s">
        <v>10681</v>
      </c>
      <c r="B5938" t="s">
        <v>10682</v>
      </c>
      <c r="C5938" s="1" t="str">
        <f>HYPERLINK("http://www.genecards.org/cgi-bin/carddisp.pl?gene=PTBP1","GeneCards")</f>
        <v>GeneCards</v>
      </c>
      <c r="D5938" s="1" t="str">
        <f>HYPERLINK("http://genome-euro.ucsc.edu/cgi-bin/hgTracks?position=212016_s_at","UCSC")</f>
        <v>UCSC</v>
      </c>
      <c r="E5938" s="1" t="str">
        <f>HYPERLINK("http://www.ncbi.nlm.nih.gov/gene/?term=PTBP1","NCBI")</f>
        <v>NCBI</v>
      </c>
      <c r="F5938">
        <v>6.4000000000000001E-2</v>
      </c>
      <c r="G5938">
        <v>0.18</v>
      </c>
      <c r="H5938" s="1" t="str">
        <f>HYPERLINK("http://www.weizmann.ac.il/complex/compphys/software/geview/data/figures/212016_s_at.png","Figure")</f>
        <v>Figure</v>
      </c>
      <c r="I5938">
        <v>1.2</v>
      </c>
      <c r="J5938">
        <v>0.69</v>
      </c>
      <c r="K5938">
        <v>0.71599999999999997</v>
      </c>
      <c r="L5938">
        <v>0.24</v>
      </c>
      <c r="M5938">
        <v>0.59599999999999997</v>
      </c>
      <c r="N5938">
        <v>6.6000000000000003E-2</v>
      </c>
    </row>
    <row r="5939" spans="1:14" x14ac:dyDescent="0.25">
      <c r="A5939" t="s">
        <v>10683</v>
      </c>
      <c r="B5939" t="s">
        <v>8443</v>
      </c>
      <c r="C5939" s="1" t="str">
        <f>HYPERLINK("http://www.genecards.org/cgi-bin/carddisp.pl?gene=STC1","GeneCards")</f>
        <v>GeneCards</v>
      </c>
      <c r="D5939" s="1" t="str">
        <f>HYPERLINK("http://genome-euro.ucsc.edu/cgi-bin/hgTracks?position=204596_s_at","UCSC")</f>
        <v>UCSC</v>
      </c>
      <c r="E5939" s="1" t="str">
        <f>HYPERLINK("http://www.ncbi.nlm.nih.gov/gene/?term=STC1","NCBI")</f>
        <v>NCBI</v>
      </c>
      <c r="F5939">
        <v>6.4000000000000001E-2</v>
      </c>
      <c r="G5939">
        <v>0.18</v>
      </c>
      <c r="H5939" s="1" t="str">
        <f>HYPERLINK("http://www.weizmann.ac.il/complex/compphys/software/geview/data/figures/204596_s_at.png","Figure")</f>
        <v>Figure</v>
      </c>
      <c r="I5939">
        <v>1.17</v>
      </c>
      <c r="J5939">
        <v>9.4E-2</v>
      </c>
      <c r="K5939">
        <v>1.1399999999999999</v>
      </c>
      <c r="L5939">
        <v>9.7000000000000003E-2</v>
      </c>
      <c r="M5939">
        <v>0.98</v>
      </c>
      <c r="N5939">
        <v>0.94</v>
      </c>
    </row>
    <row r="5940" spans="1:14" x14ac:dyDescent="0.25">
      <c r="A5940" t="s">
        <v>10684</v>
      </c>
      <c r="B5940" t="s">
        <v>10685</v>
      </c>
      <c r="C5940" s="1" t="str">
        <f>HYPERLINK("http://www.genecards.org/cgi-bin/carddisp.pl?gene=CCKAR","GeneCards")</f>
        <v>GeneCards</v>
      </c>
      <c r="D5940" s="1" t="str">
        <f>HYPERLINK("http://genome-euro.ucsc.edu/cgi-bin/hgTracks?position=211173_at","UCSC")</f>
        <v>UCSC</v>
      </c>
      <c r="E5940" s="1" t="str">
        <f>HYPERLINK("http://www.ncbi.nlm.nih.gov/gene/?term=CCKAR","NCBI")</f>
        <v>NCBI</v>
      </c>
      <c r="F5940">
        <v>6.4000000000000001E-2</v>
      </c>
      <c r="G5940">
        <v>0.18</v>
      </c>
      <c r="H5940" s="1" t="str">
        <f>HYPERLINK("http://www.weizmann.ac.il/complex/compphys/software/geview/data/figures/211173_at.png","Figure")</f>
        <v>Figure</v>
      </c>
      <c r="I5940">
        <v>1.35</v>
      </c>
      <c r="J5940">
        <v>5.1999999999999998E-2</v>
      </c>
      <c r="K5940">
        <v>1.1299999999999999</v>
      </c>
      <c r="L5940">
        <v>0.46</v>
      </c>
      <c r="M5940">
        <v>0.83799999999999997</v>
      </c>
      <c r="N5940">
        <v>0.26</v>
      </c>
    </row>
    <row r="5941" spans="1:14" x14ac:dyDescent="0.25">
      <c r="A5941" t="s">
        <v>10686</v>
      </c>
      <c r="B5941" t="s">
        <v>10687</v>
      </c>
      <c r="C5941" s="1" t="str">
        <f>HYPERLINK("http://www.genecards.org/cgi-bin/carddisp.pl?gene=GALNT8","GeneCards")</f>
        <v>GeneCards</v>
      </c>
      <c r="D5941" s="1" t="str">
        <f>HYPERLINK("http://genome-euro.ucsc.edu/cgi-bin/hgTracks?position=220929_at","UCSC")</f>
        <v>UCSC</v>
      </c>
      <c r="E5941" s="1" t="str">
        <f>HYPERLINK("http://www.ncbi.nlm.nih.gov/gene/?term=GALNT8","NCBI")</f>
        <v>NCBI</v>
      </c>
      <c r="F5941">
        <v>6.4000000000000001E-2</v>
      </c>
      <c r="G5941">
        <v>0.18</v>
      </c>
      <c r="H5941" s="1" t="str">
        <f>HYPERLINK("http://www.weizmann.ac.il/complex/compphys/software/geview/data/figures/220929_at.png","Figure")</f>
        <v>Figure</v>
      </c>
      <c r="I5941">
        <v>1.18</v>
      </c>
      <c r="J5941">
        <v>5.5E-2</v>
      </c>
      <c r="K5941">
        <v>1.06</v>
      </c>
      <c r="L5941">
        <v>0.61</v>
      </c>
      <c r="M5941">
        <v>0.89300000000000002</v>
      </c>
      <c r="N5941">
        <v>0.19</v>
      </c>
    </row>
    <row r="5942" spans="1:14" x14ac:dyDescent="0.25">
      <c r="A5942" t="s">
        <v>10688</v>
      </c>
      <c r="B5942" t="s">
        <v>3191</v>
      </c>
      <c r="C5942" s="1" t="str">
        <f>HYPERLINK("http://www.genecards.org/cgi-bin/carddisp.pl?gene=NOTCH2","GeneCards")</f>
        <v>GeneCards</v>
      </c>
      <c r="D5942" s="1" t="str">
        <f>HYPERLINK("http://genome-euro.ucsc.edu/cgi-bin/hgTracks?position=202443_x_at","UCSC")</f>
        <v>UCSC</v>
      </c>
      <c r="E5942" s="1" t="str">
        <f>HYPERLINK("http://www.ncbi.nlm.nih.gov/gene/?term=NOTCH2","NCBI")</f>
        <v>NCBI</v>
      </c>
      <c r="F5942">
        <v>6.4000000000000001E-2</v>
      </c>
      <c r="G5942">
        <v>0.18</v>
      </c>
      <c r="H5942" s="1" t="str">
        <f>HYPERLINK("http://www.weizmann.ac.il/complex/compphys/software/geview/data/figures/202443_x_at.png","Figure")</f>
        <v>Figure</v>
      </c>
      <c r="I5942">
        <v>1.85</v>
      </c>
      <c r="J5942">
        <v>8.1000000000000003E-2</v>
      </c>
      <c r="K5942">
        <v>1.06</v>
      </c>
      <c r="L5942">
        <v>0.97</v>
      </c>
      <c r="M5942">
        <v>0.57299999999999995</v>
      </c>
      <c r="N5942">
        <v>9.0999999999999998E-2</v>
      </c>
    </row>
    <row r="5943" spans="1:14" x14ac:dyDescent="0.25">
      <c r="A5943" t="s">
        <v>10689</v>
      </c>
      <c r="B5943" t="s">
        <v>10690</v>
      </c>
      <c r="C5943" s="1" t="str">
        <f>HYPERLINK("http://www.genecards.org/cgi-bin/carddisp.pl?gene=LAT /// SPNS1","GeneCards")</f>
        <v>GeneCards</v>
      </c>
      <c r="D5943" s="1" t="str">
        <f>HYPERLINK("http://genome-euro.ucsc.edu/cgi-bin/hgTracks?position=209881_s_at","UCSC")</f>
        <v>UCSC</v>
      </c>
      <c r="E5943" s="1" t="str">
        <f>HYPERLINK("http://www.ncbi.nlm.nih.gov/gene/?term=LAT /// SPNS1","NCBI")</f>
        <v>NCBI</v>
      </c>
      <c r="F5943">
        <v>6.4000000000000001E-2</v>
      </c>
      <c r="G5943">
        <v>0.18</v>
      </c>
      <c r="H5943" s="1" t="str">
        <f>HYPERLINK("http://www.weizmann.ac.il/complex/compphys/software/geview/data/figures/209881_s_at.png","Figure")</f>
        <v>Figure</v>
      </c>
      <c r="I5943">
        <v>1.25</v>
      </c>
      <c r="J5943">
        <v>6.7000000000000004E-2</v>
      </c>
      <c r="K5943">
        <v>1.04</v>
      </c>
      <c r="L5943">
        <v>0.85</v>
      </c>
      <c r="M5943">
        <v>0.83199999999999996</v>
      </c>
      <c r="N5943">
        <v>0.12</v>
      </c>
    </row>
    <row r="5944" spans="1:14" x14ac:dyDescent="0.25">
      <c r="A5944" t="s">
        <v>10691</v>
      </c>
      <c r="B5944" t="s">
        <v>2449</v>
      </c>
      <c r="C5944" s="1" t="str">
        <f>HYPERLINK("http://www.genecards.org/cgi-bin/carddisp.pl?gene=SH3BP2","GeneCards")</f>
        <v>GeneCards</v>
      </c>
      <c r="D5944" s="1" t="str">
        <f>HYPERLINK("http://genome-euro.ucsc.edu/cgi-bin/hgTracks?position=211250_s_at","UCSC")</f>
        <v>UCSC</v>
      </c>
      <c r="E5944" s="1" t="str">
        <f>HYPERLINK("http://www.ncbi.nlm.nih.gov/gene/?term=SH3BP2","NCBI")</f>
        <v>NCBI</v>
      </c>
      <c r="F5944">
        <v>6.4000000000000001E-2</v>
      </c>
      <c r="G5944">
        <v>0.18</v>
      </c>
      <c r="H5944" s="1" t="str">
        <f>HYPERLINK("http://www.weizmann.ac.il/complex/compphys/software/geview/data/figures/211250_s_at.png","Figure")</f>
        <v>Figure</v>
      </c>
      <c r="I5944">
        <v>0.82399999999999995</v>
      </c>
      <c r="J5944">
        <v>0.37</v>
      </c>
      <c r="K5944">
        <v>1.1499999999999999</v>
      </c>
      <c r="L5944">
        <v>0.48</v>
      </c>
      <c r="M5944">
        <v>1.4</v>
      </c>
      <c r="N5944">
        <v>5.2999999999999999E-2</v>
      </c>
    </row>
    <row r="5945" spans="1:14" x14ac:dyDescent="0.25">
      <c r="A5945" t="s">
        <v>10692</v>
      </c>
      <c r="B5945" t="s">
        <v>10623</v>
      </c>
      <c r="C5945" s="1" t="str">
        <f>HYPERLINK("http://www.genecards.org/cgi-bin/carddisp.pl?gene=PI4K2A","GeneCards")</f>
        <v>GeneCards</v>
      </c>
      <c r="D5945" s="1" t="str">
        <f>HYPERLINK("http://genome-euro.ucsc.edu/cgi-bin/hgTracks?position=215134_at","UCSC")</f>
        <v>UCSC</v>
      </c>
      <c r="E5945" s="1" t="str">
        <f>HYPERLINK("http://www.ncbi.nlm.nih.gov/gene/?term=PI4K2A","NCBI")</f>
        <v>NCBI</v>
      </c>
      <c r="F5945">
        <v>6.4000000000000001E-2</v>
      </c>
      <c r="G5945">
        <v>0.18</v>
      </c>
      <c r="H5945" s="1" t="str">
        <f>HYPERLINK("http://www.weizmann.ac.il/complex/compphys/software/geview/data/figures/215134_at.png","Figure")</f>
        <v>Figure</v>
      </c>
      <c r="I5945">
        <v>0.90200000000000002</v>
      </c>
      <c r="J5945">
        <v>0.45</v>
      </c>
      <c r="K5945">
        <v>0.82699999999999996</v>
      </c>
      <c r="L5945">
        <v>5.1999999999999998E-2</v>
      </c>
      <c r="M5945">
        <v>0.91600000000000004</v>
      </c>
      <c r="N5945">
        <v>0.52</v>
      </c>
    </row>
    <row r="5946" spans="1:14" x14ac:dyDescent="0.25">
      <c r="A5946" t="s">
        <v>10693</v>
      </c>
      <c r="B5946" t="s">
        <v>10694</v>
      </c>
      <c r="C5946" s="1" t="str">
        <f>HYPERLINK("http://www.genecards.org/cgi-bin/carddisp.pl?gene=CLDN18","GeneCards")</f>
        <v>GeneCards</v>
      </c>
      <c r="D5946" s="1" t="str">
        <f>HYPERLINK("http://genome-euro.ucsc.edu/cgi-bin/hgTracks?position=214135_at","UCSC")</f>
        <v>UCSC</v>
      </c>
      <c r="E5946" s="1" t="str">
        <f>HYPERLINK("http://www.ncbi.nlm.nih.gov/gene/?term=CLDN18","NCBI")</f>
        <v>NCBI</v>
      </c>
      <c r="F5946">
        <v>6.4000000000000001E-2</v>
      </c>
      <c r="G5946">
        <v>0.18</v>
      </c>
      <c r="H5946" s="1" t="str">
        <f>HYPERLINK("http://www.weizmann.ac.il/complex/compphys/software/geview/data/figures/214135_at.png","Figure")</f>
        <v>Figure</v>
      </c>
      <c r="I5946">
        <v>0.93700000000000006</v>
      </c>
      <c r="J5946">
        <v>0.66</v>
      </c>
      <c r="K5946">
        <v>0.84899999999999998</v>
      </c>
      <c r="L5946">
        <v>5.7000000000000002E-2</v>
      </c>
      <c r="M5946">
        <v>0.90600000000000003</v>
      </c>
      <c r="N5946">
        <v>0.35</v>
      </c>
    </row>
    <row r="5947" spans="1:14" x14ac:dyDescent="0.25">
      <c r="A5947" t="s">
        <v>10695</v>
      </c>
      <c r="B5947" t="s">
        <v>2351</v>
      </c>
      <c r="C5947" s="1" t="str">
        <f>HYPERLINK("http://www.genecards.org/cgi-bin/carddisp.pl?gene=N4BP2L1","GeneCards")</f>
        <v>GeneCards</v>
      </c>
      <c r="D5947" s="1" t="str">
        <f>HYPERLINK("http://genome-euro.ucsc.edu/cgi-bin/hgTracks?position=214906_x_at","UCSC")</f>
        <v>UCSC</v>
      </c>
      <c r="E5947" s="1" t="str">
        <f>HYPERLINK("http://www.ncbi.nlm.nih.gov/gene/?term=N4BP2L1","NCBI")</f>
        <v>NCBI</v>
      </c>
      <c r="F5947">
        <v>6.4000000000000001E-2</v>
      </c>
      <c r="G5947">
        <v>0.18</v>
      </c>
      <c r="H5947" s="1" t="str">
        <f>HYPERLINK("http://www.weizmann.ac.il/complex/compphys/software/geview/data/figures/214906_x_at.png","Figure")</f>
        <v>Figure</v>
      </c>
      <c r="I5947">
        <v>1.29</v>
      </c>
      <c r="J5947">
        <v>5.2999999999999999E-2</v>
      </c>
      <c r="K5947">
        <v>1.1000000000000001</v>
      </c>
      <c r="L5947">
        <v>0.51</v>
      </c>
      <c r="M5947">
        <v>0.85399999999999998</v>
      </c>
      <c r="N5947">
        <v>0.23</v>
      </c>
    </row>
    <row r="5948" spans="1:14" x14ac:dyDescent="0.25">
      <c r="A5948" t="s">
        <v>10696</v>
      </c>
      <c r="B5948" t="s">
        <v>10697</v>
      </c>
      <c r="C5948" s="1" t="str">
        <f>HYPERLINK("http://www.genecards.org/cgi-bin/carddisp.pl?gene=RARA","GeneCards")</f>
        <v>GeneCards</v>
      </c>
      <c r="D5948" s="1" t="str">
        <f>HYPERLINK("http://genome-euro.ucsc.edu/cgi-bin/hgTracks?position=203749_s_at","UCSC")</f>
        <v>UCSC</v>
      </c>
      <c r="E5948" s="1" t="str">
        <f>HYPERLINK("http://www.ncbi.nlm.nih.gov/gene/?term=RARA","NCBI")</f>
        <v>NCBI</v>
      </c>
      <c r="F5948">
        <v>6.4000000000000001E-2</v>
      </c>
      <c r="G5948">
        <v>0.18</v>
      </c>
      <c r="H5948" s="1" t="str">
        <f>HYPERLINK("http://www.weizmann.ac.il/complex/compphys/software/geview/data/figures/203749_s_at.png","Figure")</f>
        <v>Figure</v>
      </c>
      <c r="I5948">
        <v>1.44</v>
      </c>
      <c r="J5948">
        <v>0.15</v>
      </c>
      <c r="K5948">
        <v>1.48</v>
      </c>
      <c r="L5948">
        <v>6.9000000000000006E-2</v>
      </c>
      <c r="M5948">
        <v>1.02</v>
      </c>
      <c r="N5948">
        <v>0.99</v>
      </c>
    </row>
    <row r="5949" spans="1:14" x14ac:dyDescent="0.25">
      <c r="A5949" t="s">
        <v>10698</v>
      </c>
      <c r="B5949" t="s">
        <v>4703</v>
      </c>
      <c r="C5949" s="1" t="str">
        <f>HYPERLINK("http://www.genecards.org/cgi-bin/carddisp.pl?gene=EPHB3","GeneCards")</f>
        <v>GeneCards</v>
      </c>
      <c r="D5949" s="1" t="str">
        <f>HYPERLINK("http://genome-euro.ucsc.edu/cgi-bin/hgTracks?position=1438_at","UCSC")</f>
        <v>UCSC</v>
      </c>
      <c r="E5949" s="1" t="str">
        <f>HYPERLINK("http://www.ncbi.nlm.nih.gov/gene/?term=EPHB3","NCBI")</f>
        <v>NCBI</v>
      </c>
      <c r="F5949">
        <v>6.4000000000000001E-2</v>
      </c>
      <c r="G5949">
        <v>0.18</v>
      </c>
      <c r="H5949" s="1" t="str">
        <f>HYPERLINK("http://www.weizmann.ac.il/complex/compphys/software/geview/data/figures/1438_at.png","Figure")</f>
        <v>Figure</v>
      </c>
      <c r="I5949">
        <v>1.23</v>
      </c>
      <c r="J5949">
        <v>5.5E-2</v>
      </c>
      <c r="K5949">
        <v>1.1200000000000001</v>
      </c>
      <c r="L5949">
        <v>0.26</v>
      </c>
      <c r="M5949">
        <v>0.91200000000000003</v>
      </c>
      <c r="N5949">
        <v>0.46</v>
      </c>
    </row>
    <row r="5950" spans="1:14" x14ac:dyDescent="0.25">
      <c r="A5950" t="s">
        <v>10699</v>
      </c>
      <c r="B5950" t="s">
        <v>10700</v>
      </c>
      <c r="C5950" s="1" t="str">
        <f>HYPERLINK("http://www.genecards.org/cgi-bin/carddisp.pl?gene=CINP","GeneCards")</f>
        <v>GeneCards</v>
      </c>
      <c r="D5950" s="1" t="str">
        <f>HYPERLINK("http://genome-euro.ucsc.edu/cgi-bin/hgTracks?position=218267_at","UCSC")</f>
        <v>UCSC</v>
      </c>
      <c r="E5950" s="1" t="str">
        <f>HYPERLINK("http://www.ncbi.nlm.nih.gov/gene/?term=CINP","NCBI")</f>
        <v>NCBI</v>
      </c>
      <c r="F5950">
        <v>6.4000000000000001E-2</v>
      </c>
      <c r="G5950">
        <v>0.18</v>
      </c>
      <c r="H5950" s="1" t="str">
        <f>HYPERLINK("http://www.weizmann.ac.il/complex/compphys/software/geview/data/figures/218267_at.png","Figure")</f>
        <v>Figure</v>
      </c>
      <c r="I5950">
        <v>0.996</v>
      </c>
      <c r="J5950">
        <v>0.99</v>
      </c>
      <c r="K5950">
        <v>1.06</v>
      </c>
      <c r="L5950">
        <v>0.11</v>
      </c>
      <c r="M5950">
        <v>1.06</v>
      </c>
      <c r="N5950">
        <v>0.11</v>
      </c>
    </row>
    <row r="5951" spans="1:14" x14ac:dyDescent="0.25">
      <c r="A5951" t="s">
        <v>10701</v>
      </c>
      <c r="B5951" t="s">
        <v>10702</v>
      </c>
      <c r="C5951" s="1" t="str">
        <f>HYPERLINK("http://www.genecards.org/cgi-bin/carddisp.pl?gene=ARID1A","GeneCards")</f>
        <v>GeneCards</v>
      </c>
      <c r="D5951" s="1" t="str">
        <f>HYPERLINK("http://genome-euro.ucsc.edu/cgi-bin/hgTracks?position=218917_s_at","UCSC")</f>
        <v>UCSC</v>
      </c>
      <c r="E5951" s="1" t="str">
        <f>HYPERLINK("http://www.ncbi.nlm.nih.gov/gene/?term=ARID1A","NCBI")</f>
        <v>NCBI</v>
      </c>
      <c r="F5951">
        <v>6.4000000000000001E-2</v>
      </c>
      <c r="G5951">
        <v>0.18</v>
      </c>
      <c r="H5951" s="1" t="str">
        <f>HYPERLINK("http://www.weizmann.ac.il/complex/compphys/software/geview/data/figures/218917_s_at.png","Figure")</f>
        <v>Figure</v>
      </c>
      <c r="I5951">
        <v>1.31</v>
      </c>
      <c r="J5951">
        <v>0.21</v>
      </c>
      <c r="K5951">
        <v>0.91100000000000003</v>
      </c>
      <c r="L5951">
        <v>0.76</v>
      </c>
      <c r="M5951">
        <v>0.69699999999999995</v>
      </c>
      <c r="N5951">
        <v>5.3999999999999999E-2</v>
      </c>
    </row>
    <row r="5952" spans="1:14" x14ac:dyDescent="0.25">
      <c r="A5952" t="s">
        <v>10703</v>
      </c>
      <c r="B5952" t="s">
        <v>7332</v>
      </c>
      <c r="C5952" s="1" t="str">
        <f>HYPERLINK("http://www.genecards.org/cgi-bin/carddisp.pl?gene=PDS5A","GeneCards")</f>
        <v>GeneCards</v>
      </c>
      <c r="D5952" s="1" t="str">
        <f>HYPERLINK("http://genome-euro.ucsc.edu/cgi-bin/hgTracks?position=212138_at","UCSC")</f>
        <v>UCSC</v>
      </c>
      <c r="E5952" s="1" t="str">
        <f>HYPERLINK("http://www.ncbi.nlm.nih.gov/gene/?term=PDS5A","NCBI")</f>
        <v>NCBI</v>
      </c>
      <c r="F5952">
        <v>6.4000000000000001E-2</v>
      </c>
      <c r="G5952">
        <v>0.18</v>
      </c>
      <c r="H5952" s="1" t="str">
        <f>HYPERLINK("http://www.weizmann.ac.il/complex/compphys/software/geview/data/figures/212138_at.png","Figure")</f>
        <v>Figure</v>
      </c>
      <c r="I5952">
        <v>0.55600000000000005</v>
      </c>
      <c r="J5952">
        <v>6.5000000000000002E-2</v>
      </c>
      <c r="K5952">
        <v>0.88800000000000001</v>
      </c>
      <c r="L5952">
        <v>0.83</v>
      </c>
      <c r="M5952">
        <v>1.6</v>
      </c>
      <c r="N5952">
        <v>0.12</v>
      </c>
    </row>
    <row r="5953" spans="1:14" x14ac:dyDescent="0.25">
      <c r="A5953" t="s">
        <v>10704</v>
      </c>
      <c r="B5953" t="s">
        <v>10705</v>
      </c>
      <c r="C5953" s="1" t="str">
        <f>HYPERLINK("http://www.genecards.org/cgi-bin/carddisp.pl?gene=SURF1 /// VPS37A","GeneCards")</f>
        <v>GeneCards</v>
      </c>
      <c r="D5953" s="1" t="str">
        <f>HYPERLINK("http://genome-euro.ucsc.edu/cgi-bin/hgTracks?position=204295_at","UCSC")</f>
        <v>UCSC</v>
      </c>
      <c r="E5953" s="1" t="str">
        <f>HYPERLINK("http://www.ncbi.nlm.nih.gov/gene/?term=SURF1 /// VPS37A","NCBI")</f>
        <v>NCBI</v>
      </c>
      <c r="F5953">
        <v>6.4000000000000001E-2</v>
      </c>
      <c r="G5953">
        <v>0.18</v>
      </c>
      <c r="H5953" s="1" t="str">
        <f>HYPERLINK("http://www.weizmann.ac.il/complex/compphys/software/geview/data/figures/204295_at.png","Figure")</f>
        <v>Figure</v>
      </c>
      <c r="I5953">
        <v>1.06</v>
      </c>
      <c r="J5953">
        <v>0.93</v>
      </c>
      <c r="K5953">
        <v>1.4</v>
      </c>
      <c r="L5953">
        <v>7.4999999999999997E-2</v>
      </c>
      <c r="M5953">
        <v>1.32</v>
      </c>
      <c r="N5953">
        <v>0.19</v>
      </c>
    </row>
    <row r="5954" spans="1:14" x14ac:dyDescent="0.25">
      <c r="A5954" t="s">
        <v>10706</v>
      </c>
      <c r="B5954" t="s">
        <v>10707</v>
      </c>
      <c r="C5954" s="1" t="str">
        <f>HYPERLINK("http://www.genecards.org/cgi-bin/carddisp.pl?gene=NOLC1","GeneCards")</f>
        <v>GeneCards</v>
      </c>
      <c r="D5954" s="1" t="str">
        <f>HYPERLINK("http://genome-euro.ucsc.edu/cgi-bin/hgTracks?position=205895_s_at","UCSC")</f>
        <v>UCSC</v>
      </c>
      <c r="E5954" s="1" t="str">
        <f>HYPERLINK("http://www.ncbi.nlm.nih.gov/gene/?term=NOLC1","NCBI")</f>
        <v>NCBI</v>
      </c>
      <c r="F5954">
        <v>6.4000000000000001E-2</v>
      </c>
      <c r="G5954">
        <v>0.18</v>
      </c>
      <c r="H5954" s="1" t="str">
        <f>HYPERLINK("http://www.weizmann.ac.il/complex/compphys/software/geview/data/figures/205895_s_at.png","Figure")</f>
        <v>Figure</v>
      </c>
      <c r="I5954">
        <v>1.33</v>
      </c>
      <c r="J5954">
        <v>7.3999999999999996E-2</v>
      </c>
      <c r="K5954">
        <v>1.24</v>
      </c>
      <c r="L5954">
        <v>0.13</v>
      </c>
      <c r="M5954">
        <v>0.93100000000000005</v>
      </c>
      <c r="N5954">
        <v>0.8</v>
      </c>
    </row>
    <row r="5955" spans="1:14" x14ac:dyDescent="0.25">
      <c r="A5955" t="s">
        <v>10708</v>
      </c>
      <c r="B5955" t="s">
        <v>10709</v>
      </c>
      <c r="C5955" s="1" t="str">
        <f>HYPERLINK("http://www.genecards.org/cgi-bin/carddisp.pl?gene=SLC22A6","GeneCards")</f>
        <v>GeneCards</v>
      </c>
      <c r="D5955" s="1" t="str">
        <f>HYPERLINK("http://genome-euro.ucsc.edu/cgi-bin/hgTracks?position=210343_s_at","UCSC")</f>
        <v>UCSC</v>
      </c>
      <c r="E5955" s="1" t="str">
        <f>HYPERLINK("http://www.ncbi.nlm.nih.gov/gene/?term=SLC22A6","NCBI")</f>
        <v>NCBI</v>
      </c>
      <c r="F5955">
        <v>6.4000000000000001E-2</v>
      </c>
      <c r="G5955">
        <v>0.18</v>
      </c>
      <c r="H5955" s="1" t="str">
        <f>HYPERLINK("http://www.weizmann.ac.il/complex/compphys/software/geview/data/figures/210343_s_at.png","Figure")</f>
        <v>Figure</v>
      </c>
      <c r="I5955">
        <v>1.04</v>
      </c>
      <c r="J5955">
        <v>0.11</v>
      </c>
      <c r="K5955">
        <v>1.04</v>
      </c>
      <c r="L5955">
        <v>8.5999999999999993E-2</v>
      </c>
      <c r="M5955">
        <v>0.997</v>
      </c>
      <c r="N5955">
        <v>0.98</v>
      </c>
    </row>
    <row r="5956" spans="1:14" x14ac:dyDescent="0.25">
      <c r="A5956" t="s">
        <v>10710</v>
      </c>
      <c r="B5956" t="s">
        <v>2706</v>
      </c>
      <c r="C5956" s="1" t="str">
        <f>HYPERLINK("http://www.genecards.org/cgi-bin/carddisp.pl?gene=CYHR1","GeneCards")</f>
        <v>GeneCards</v>
      </c>
      <c r="D5956" s="1" t="str">
        <f>HYPERLINK("http://genome-euro.ucsc.edu/cgi-bin/hgTracks?position=213072_at","UCSC")</f>
        <v>UCSC</v>
      </c>
      <c r="E5956" s="1" t="str">
        <f>HYPERLINK("http://www.ncbi.nlm.nih.gov/gene/?term=CYHR1","NCBI")</f>
        <v>NCBI</v>
      </c>
      <c r="F5956">
        <v>6.4000000000000001E-2</v>
      </c>
      <c r="G5956">
        <v>0.18</v>
      </c>
      <c r="H5956" s="1" t="str">
        <f>HYPERLINK("http://www.weizmann.ac.il/complex/compphys/software/geview/data/figures/213072_at.png","Figure")</f>
        <v>Figure</v>
      </c>
      <c r="I5956">
        <v>0.94499999999999995</v>
      </c>
      <c r="J5956">
        <v>0.28999999999999998</v>
      </c>
      <c r="K5956">
        <v>1.03</v>
      </c>
      <c r="L5956">
        <v>0.59</v>
      </c>
      <c r="M5956">
        <v>1.0900000000000001</v>
      </c>
      <c r="N5956">
        <v>5.1999999999999998E-2</v>
      </c>
    </row>
    <row r="5957" spans="1:14" x14ac:dyDescent="0.25">
      <c r="A5957" t="s">
        <v>10711</v>
      </c>
      <c r="B5957" s="3">
        <v>42619</v>
      </c>
      <c r="C5957" s="1" t="str">
        <f>HYPERLINK("http://www.genecards.org/cgi-bin/carddisp.pl?gene=6-Sep","GeneCards")</f>
        <v>GeneCards</v>
      </c>
      <c r="D5957" s="1" t="str">
        <f>HYPERLINK("http://genome-euro.ucsc.edu/cgi-bin/hgTracks?position=214298_x_at","UCSC")</f>
        <v>UCSC</v>
      </c>
      <c r="E5957" s="1" t="str">
        <f>HYPERLINK("http://www.ncbi.nlm.nih.gov/gene/?term=6-Sep","NCBI")</f>
        <v>NCBI</v>
      </c>
      <c r="F5957">
        <v>6.4000000000000001E-2</v>
      </c>
      <c r="G5957">
        <v>0.18</v>
      </c>
      <c r="H5957" s="1" t="str">
        <f>HYPERLINK("http://www.weizmann.ac.il/complex/compphys/software/geview/data/figures/214298_x_at.png","Figure")</f>
        <v>Figure</v>
      </c>
      <c r="I5957">
        <v>0.79900000000000004</v>
      </c>
      <c r="J5957">
        <v>0.54</v>
      </c>
      <c r="K5957">
        <v>1.31</v>
      </c>
      <c r="L5957">
        <v>0.32</v>
      </c>
      <c r="M5957">
        <v>1.64</v>
      </c>
      <c r="N5957">
        <v>5.8000000000000003E-2</v>
      </c>
    </row>
    <row r="5958" spans="1:14" x14ac:dyDescent="0.25">
      <c r="A5958" t="s">
        <v>10712</v>
      </c>
      <c r="B5958" t="s">
        <v>10713</v>
      </c>
      <c r="C5958" s="1" t="str">
        <f>HYPERLINK("http://www.genecards.org/cgi-bin/carddisp.pl?gene=TMEM50B","GeneCards")</f>
        <v>GeneCards</v>
      </c>
      <c r="D5958" s="1" t="str">
        <f>HYPERLINK("http://genome-euro.ucsc.edu/cgi-bin/hgTracks?position=219600_s_at","UCSC")</f>
        <v>UCSC</v>
      </c>
      <c r="E5958" s="1" t="str">
        <f>HYPERLINK("http://www.ncbi.nlm.nih.gov/gene/?term=TMEM50B","NCBI")</f>
        <v>NCBI</v>
      </c>
      <c r="F5958">
        <v>6.4000000000000001E-2</v>
      </c>
      <c r="G5958">
        <v>0.18</v>
      </c>
      <c r="H5958" s="1" t="str">
        <f>HYPERLINK("http://www.weizmann.ac.il/complex/compphys/software/geview/data/figures/219600_s_at.png","Figure")</f>
        <v>Figure</v>
      </c>
      <c r="I5958">
        <v>0.68300000000000005</v>
      </c>
      <c r="J5958">
        <v>0.12</v>
      </c>
      <c r="K5958">
        <v>1.03</v>
      </c>
      <c r="L5958">
        <v>0.98</v>
      </c>
      <c r="M5958">
        <v>1.51</v>
      </c>
      <c r="N5958">
        <v>6.8000000000000005E-2</v>
      </c>
    </row>
    <row r="5959" spans="1:14" x14ac:dyDescent="0.25">
      <c r="A5959" t="s">
        <v>10714</v>
      </c>
      <c r="B5959" t="s">
        <v>10715</v>
      </c>
      <c r="C5959" s="1" t="str">
        <f>HYPERLINK("http://www.genecards.org/cgi-bin/carddisp.pl?gene=CXCR7","GeneCards")</f>
        <v>GeneCards</v>
      </c>
      <c r="D5959" s="1" t="str">
        <f>HYPERLINK("http://genome-euro.ucsc.edu/cgi-bin/hgTracks?position=212977_at","UCSC")</f>
        <v>UCSC</v>
      </c>
      <c r="E5959" s="1" t="str">
        <f>HYPERLINK("http://www.ncbi.nlm.nih.gov/gene/?term=CXCR7","NCBI")</f>
        <v>NCBI</v>
      </c>
      <c r="F5959">
        <v>6.4000000000000001E-2</v>
      </c>
      <c r="G5959">
        <v>0.18</v>
      </c>
      <c r="H5959" s="1" t="str">
        <f>HYPERLINK("http://www.weizmann.ac.il/complex/compphys/software/geview/data/figures/212977_at.png","Figure")</f>
        <v>Figure</v>
      </c>
      <c r="I5959">
        <v>0.41799999999999998</v>
      </c>
      <c r="J5959">
        <v>0.23</v>
      </c>
      <c r="K5959">
        <v>0.32100000000000001</v>
      </c>
      <c r="L5959">
        <v>5.7000000000000002E-2</v>
      </c>
      <c r="M5959">
        <v>0.76900000000000002</v>
      </c>
      <c r="N5959">
        <v>0.85</v>
      </c>
    </row>
    <row r="5960" spans="1:14" x14ac:dyDescent="0.25">
      <c r="A5960" t="s">
        <v>10716</v>
      </c>
      <c r="B5960" t="s">
        <v>6991</v>
      </c>
      <c r="C5960" s="1" t="str">
        <f>HYPERLINK("http://www.genecards.org/cgi-bin/carddisp.pl?gene=RASGRP2","GeneCards")</f>
        <v>GeneCards</v>
      </c>
      <c r="D5960" s="1" t="str">
        <f>HYPERLINK("http://genome-euro.ucsc.edu/cgi-bin/hgTracks?position=214367_at","UCSC")</f>
        <v>UCSC</v>
      </c>
      <c r="E5960" s="1" t="str">
        <f>HYPERLINK("http://www.ncbi.nlm.nih.gov/gene/?term=RASGRP2","NCBI")</f>
        <v>NCBI</v>
      </c>
      <c r="F5960">
        <v>6.4000000000000001E-2</v>
      </c>
      <c r="G5960">
        <v>0.18</v>
      </c>
      <c r="H5960" s="1" t="str">
        <f>HYPERLINK("http://www.weizmann.ac.il/complex/compphys/software/geview/data/figures/214367_at.png","Figure")</f>
        <v>Figure</v>
      </c>
      <c r="I5960">
        <v>1.26</v>
      </c>
      <c r="J5960">
        <v>5.3999999999999999E-2</v>
      </c>
      <c r="K5960">
        <v>1.0900000000000001</v>
      </c>
      <c r="L5960">
        <v>0.53</v>
      </c>
      <c r="M5960">
        <v>0.86399999999999999</v>
      </c>
      <c r="N5960">
        <v>0.22</v>
      </c>
    </row>
    <row r="5961" spans="1:14" x14ac:dyDescent="0.25">
      <c r="A5961" t="s">
        <v>10717</v>
      </c>
      <c r="B5961" t="s">
        <v>9310</v>
      </c>
      <c r="C5961" s="1" t="str">
        <f>HYPERLINK("http://www.genecards.org/cgi-bin/carddisp.pl?gene=MAZ","GeneCards")</f>
        <v>GeneCards</v>
      </c>
      <c r="D5961" s="1" t="str">
        <f>HYPERLINK("http://genome-euro.ucsc.edu/cgi-bin/hgTracks?position=207824_s_at","UCSC")</f>
        <v>UCSC</v>
      </c>
      <c r="E5961" s="1" t="str">
        <f>HYPERLINK("http://www.ncbi.nlm.nih.gov/gene/?term=MAZ","NCBI")</f>
        <v>NCBI</v>
      </c>
      <c r="F5961">
        <v>6.4000000000000001E-2</v>
      </c>
      <c r="G5961">
        <v>0.18</v>
      </c>
      <c r="H5961" s="1" t="str">
        <f>HYPERLINK("http://www.weizmann.ac.il/complex/compphys/software/geview/data/figures/207824_s_at.png","Figure")</f>
        <v>Figure</v>
      </c>
      <c r="I5961">
        <v>1.1200000000000001</v>
      </c>
      <c r="J5961">
        <v>6.8000000000000005E-2</v>
      </c>
      <c r="K5961">
        <v>1.0900000000000001</v>
      </c>
      <c r="L5961">
        <v>0.15</v>
      </c>
      <c r="M5961">
        <v>0.96599999999999997</v>
      </c>
      <c r="N5961">
        <v>0.73</v>
      </c>
    </row>
    <row r="5962" spans="1:14" x14ac:dyDescent="0.25">
      <c r="A5962" t="s">
        <v>10718</v>
      </c>
      <c r="B5962" t="s">
        <v>10719</v>
      </c>
      <c r="C5962" s="1" t="str">
        <f>HYPERLINK("http://www.genecards.org/cgi-bin/carddisp.pl?gene=S100A10","GeneCards")</f>
        <v>GeneCards</v>
      </c>
      <c r="D5962" s="1" t="str">
        <f>HYPERLINK("http://genome-euro.ucsc.edu/cgi-bin/hgTracks?position=200872_at","UCSC")</f>
        <v>UCSC</v>
      </c>
      <c r="E5962" s="1" t="str">
        <f>HYPERLINK("http://www.ncbi.nlm.nih.gov/gene/?term=S100A10","NCBI")</f>
        <v>NCBI</v>
      </c>
      <c r="F5962">
        <v>6.4000000000000001E-2</v>
      </c>
      <c r="G5962">
        <v>0.18</v>
      </c>
      <c r="H5962" s="1" t="str">
        <f>HYPERLINK("http://www.weizmann.ac.il/complex/compphys/software/geview/data/figures/200872_at.png","Figure")</f>
        <v>Figure</v>
      </c>
      <c r="I5962">
        <v>1.63</v>
      </c>
      <c r="J5962">
        <v>5.5E-2</v>
      </c>
      <c r="K5962">
        <v>1.31</v>
      </c>
      <c r="L5962">
        <v>0.27</v>
      </c>
      <c r="M5962">
        <v>0.80200000000000005</v>
      </c>
      <c r="N5962">
        <v>0.45</v>
      </c>
    </row>
    <row r="5963" spans="1:14" x14ac:dyDescent="0.25">
      <c r="A5963" t="s">
        <v>10720</v>
      </c>
      <c r="B5963" t="s">
        <v>5064</v>
      </c>
      <c r="C5963" s="1" t="str">
        <f>HYPERLINK("http://www.genecards.org/cgi-bin/carddisp.pl?gene=NNT","GeneCards")</f>
        <v>GeneCards</v>
      </c>
      <c r="D5963" s="1" t="str">
        <f>HYPERLINK("http://genome-euro.ucsc.edu/cgi-bin/hgTracks?position=202784_s_at","UCSC")</f>
        <v>UCSC</v>
      </c>
      <c r="E5963" s="1" t="str">
        <f>HYPERLINK("http://www.ncbi.nlm.nih.gov/gene/?term=NNT","NCBI")</f>
        <v>NCBI</v>
      </c>
      <c r="F5963">
        <v>6.4000000000000001E-2</v>
      </c>
      <c r="G5963">
        <v>0.18</v>
      </c>
      <c r="H5963" s="1" t="str">
        <f>HYPERLINK("http://www.weizmann.ac.il/complex/compphys/software/geview/data/figures/202784_s_at.png","Figure")</f>
        <v>Figure</v>
      </c>
      <c r="I5963">
        <v>1.02</v>
      </c>
      <c r="J5963">
        <v>1</v>
      </c>
      <c r="K5963">
        <v>1.61</v>
      </c>
      <c r="L5963">
        <v>9.4E-2</v>
      </c>
      <c r="M5963">
        <v>1.59</v>
      </c>
      <c r="N5963">
        <v>0.14000000000000001</v>
      </c>
    </row>
    <row r="5964" spans="1:14" x14ac:dyDescent="0.25">
      <c r="A5964" t="s">
        <v>10721</v>
      </c>
      <c r="B5964" t="s">
        <v>10722</v>
      </c>
      <c r="C5964" s="1" t="str">
        <f>HYPERLINK("http://www.genecards.org/cgi-bin/carddisp.pl?gene=CHRNG","GeneCards")</f>
        <v>GeneCards</v>
      </c>
      <c r="D5964" s="1" t="str">
        <f>HYPERLINK("http://genome-euro.ucsc.edu/cgi-bin/hgTracks?position=221355_at","UCSC")</f>
        <v>UCSC</v>
      </c>
      <c r="E5964" s="1" t="str">
        <f>HYPERLINK("http://www.ncbi.nlm.nih.gov/gene/?term=CHRNG","NCBI")</f>
        <v>NCBI</v>
      </c>
      <c r="F5964">
        <v>6.4000000000000001E-2</v>
      </c>
      <c r="G5964">
        <v>0.18</v>
      </c>
      <c r="H5964" s="1" t="str">
        <f>HYPERLINK("http://www.weizmann.ac.il/complex/compphys/software/geview/data/figures/221355_at.png","Figure")</f>
        <v>Figure</v>
      </c>
      <c r="I5964">
        <v>1.23</v>
      </c>
      <c r="J5964">
        <v>5.3999999999999999E-2</v>
      </c>
      <c r="K5964">
        <v>1.07</v>
      </c>
      <c r="L5964">
        <v>0.56999999999999995</v>
      </c>
      <c r="M5964">
        <v>0.875</v>
      </c>
      <c r="N5964">
        <v>0.21</v>
      </c>
    </row>
    <row r="5965" spans="1:14" x14ac:dyDescent="0.25">
      <c r="A5965" t="s">
        <v>10723</v>
      </c>
      <c r="B5965" t="s">
        <v>6351</v>
      </c>
      <c r="C5965" s="1" t="str">
        <f>HYPERLINK("http://www.genecards.org/cgi-bin/carddisp.pl?gene=ITCH","GeneCards")</f>
        <v>GeneCards</v>
      </c>
      <c r="D5965" s="1" t="str">
        <f>HYPERLINK("http://genome-euro.ucsc.edu/cgi-bin/hgTracks?position=209744_x_at","UCSC")</f>
        <v>UCSC</v>
      </c>
      <c r="E5965" s="1" t="str">
        <f>HYPERLINK("http://www.ncbi.nlm.nih.gov/gene/?term=ITCH","NCBI")</f>
        <v>NCBI</v>
      </c>
      <c r="F5965">
        <v>6.4000000000000001E-2</v>
      </c>
      <c r="G5965">
        <v>0.18</v>
      </c>
      <c r="H5965" s="1" t="str">
        <f>HYPERLINK("http://www.weizmann.ac.il/complex/compphys/software/geview/data/figures/209744_x_at.png","Figure")</f>
        <v>Figure</v>
      </c>
      <c r="I5965">
        <v>1.1399999999999999</v>
      </c>
      <c r="J5965">
        <v>0.5</v>
      </c>
      <c r="K5965">
        <v>0.872</v>
      </c>
      <c r="L5965">
        <v>0.36</v>
      </c>
      <c r="M5965">
        <v>0.76700000000000002</v>
      </c>
      <c r="N5965">
        <v>5.7000000000000002E-2</v>
      </c>
    </row>
    <row r="5966" spans="1:14" x14ac:dyDescent="0.25">
      <c r="A5966" t="s">
        <v>10724</v>
      </c>
      <c r="B5966" t="s">
        <v>10725</v>
      </c>
      <c r="C5966" s="1" t="str">
        <f>HYPERLINK("http://www.genecards.org/cgi-bin/carddisp.pl?gene=CUTA","GeneCards")</f>
        <v>GeneCards</v>
      </c>
      <c r="D5966" s="1" t="str">
        <f>HYPERLINK("http://genome-euro.ucsc.edu/cgi-bin/hgTracks?position=221488_s_at","UCSC")</f>
        <v>UCSC</v>
      </c>
      <c r="E5966" s="1" t="str">
        <f>HYPERLINK("http://www.ncbi.nlm.nih.gov/gene/?term=CUTA","NCBI")</f>
        <v>NCBI</v>
      </c>
      <c r="F5966">
        <v>6.4000000000000001E-2</v>
      </c>
      <c r="G5966">
        <v>0.18</v>
      </c>
      <c r="H5966" s="1" t="str">
        <f>HYPERLINK("http://www.weizmann.ac.il/complex/compphys/software/geview/data/figures/221488_s_at.png","Figure")</f>
        <v>Figure</v>
      </c>
      <c r="I5966">
        <v>1</v>
      </c>
      <c r="J5966">
        <v>1</v>
      </c>
      <c r="K5966">
        <v>1.36</v>
      </c>
      <c r="L5966">
        <v>9.7000000000000003E-2</v>
      </c>
      <c r="M5966">
        <v>1.36</v>
      </c>
      <c r="N5966">
        <v>0.13</v>
      </c>
    </row>
    <row r="5967" spans="1:14" x14ac:dyDescent="0.25">
      <c r="A5967" t="s">
        <v>10726</v>
      </c>
      <c r="B5967" t="s">
        <v>10727</v>
      </c>
      <c r="C5967" s="1" t="str">
        <f>HYPERLINK("http://www.genecards.org/cgi-bin/carddisp.pl?gene=LAMC1","GeneCards")</f>
        <v>GeneCards</v>
      </c>
      <c r="D5967" s="1" t="str">
        <f>HYPERLINK("http://genome-euro.ucsc.edu/cgi-bin/hgTracks?position=200771_at","UCSC")</f>
        <v>UCSC</v>
      </c>
      <c r="E5967" s="1" t="str">
        <f>HYPERLINK("http://www.ncbi.nlm.nih.gov/gene/?term=LAMC1","NCBI")</f>
        <v>NCBI</v>
      </c>
      <c r="F5967">
        <v>6.4000000000000001E-2</v>
      </c>
      <c r="G5967">
        <v>0.18</v>
      </c>
      <c r="H5967" s="1" t="str">
        <f>HYPERLINK("http://www.weizmann.ac.il/complex/compphys/software/geview/data/figures/200771_at.png","Figure")</f>
        <v>Figure</v>
      </c>
      <c r="I5967">
        <v>0.629</v>
      </c>
      <c r="J5967">
        <v>0.27</v>
      </c>
      <c r="K5967">
        <v>1.26</v>
      </c>
      <c r="L5967">
        <v>0.64</v>
      </c>
      <c r="M5967">
        <v>2</v>
      </c>
      <c r="N5967">
        <v>5.2999999999999999E-2</v>
      </c>
    </row>
    <row r="5968" spans="1:14" x14ac:dyDescent="0.25">
      <c r="A5968" t="s">
        <v>10728</v>
      </c>
      <c r="B5968" t="s">
        <v>7619</v>
      </c>
      <c r="C5968" s="1" t="str">
        <f>HYPERLINK("http://www.genecards.org/cgi-bin/carddisp.pl?gene=EFNB3","GeneCards")</f>
        <v>GeneCards</v>
      </c>
      <c r="D5968" s="1" t="str">
        <f>HYPERLINK("http://genome-euro.ucsc.edu/cgi-bin/hgTracks?position=205031_at","UCSC")</f>
        <v>UCSC</v>
      </c>
      <c r="E5968" s="1" t="str">
        <f>HYPERLINK("http://www.ncbi.nlm.nih.gov/gene/?term=EFNB3","NCBI")</f>
        <v>NCBI</v>
      </c>
      <c r="F5968">
        <v>6.4000000000000001E-2</v>
      </c>
      <c r="G5968">
        <v>0.18</v>
      </c>
      <c r="H5968" s="1" t="str">
        <f>HYPERLINK("http://www.weizmann.ac.il/complex/compphys/software/geview/data/figures/205031_at.png","Figure")</f>
        <v>Figure</v>
      </c>
      <c r="I5968">
        <v>1.1499999999999999</v>
      </c>
      <c r="J5968">
        <v>0.26</v>
      </c>
      <c r="K5968">
        <v>0.93700000000000006</v>
      </c>
      <c r="L5968">
        <v>0.66</v>
      </c>
      <c r="M5968">
        <v>0.81499999999999995</v>
      </c>
      <c r="N5968">
        <v>5.2999999999999999E-2</v>
      </c>
    </row>
    <row r="5969" spans="1:14" x14ac:dyDescent="0.25">
      <c r="A5969" t="s">
        <v>10729</v>
      </c>
      <c r="B5969" t="s">
        <v>6884</v>
      </c>
      <c r="C5969" s="1" t="str">
        <f>HYPERLINK("http://www.genecards.org/cgi-bin/carddisp.pl?gene=KIAA0586","GeneCards")</f>
        <v>GeneCards</v>
      </c>
      <c r="D5969" s="1" t="str">
        <f>HYPERLINK("http://genome-euro.ucsc.edu/cgi-bin/hgTracks?position=205631_at","UCSC")</f>
        <v>UCSC</v>
      </c>
      <c r="E5969" s="1" t="str">
        <f>HYPERLINK("http://www.ncbi.nlm.nih.gov/gene/?term=KIAA0586","NCBI")</f>
        <v>NCBI</v>
      </c>
      <c r="F5969">
        <v>6.4000000000000001E-2</v>
      </c>
      <c r="G5969">
        <v>0.18</v>
      </c>
      <c r="H5969" s="1" t="str">
        <f>HYPERLINK("http://www.weizmann.ac.il/complex/compphys/software/geview/data/figures/205631_at.png","Figure")</f>
        <v>Figure</v>
      </c>
      <c r="I5969">
        <v>1.06</v>
      </c>
      <c r="J5969">
        <v>0.73</v>
      </c>
      <c r="K5969">
        <v>1.17</v>
      </c>
      <c r="L5969">
        <v>0.06</v>
      </c>
      <c r="M5969">
        <v>1.1100000000000001</v>
      </c>
      <c r="N5969">
        <v>0.3</v>
      </c>
    </row>
    <row r="5970" spans="1:14" x14ac:dyDescent="0.25">
      <c r="A5970" t="s">
        <v>10730</v>
      </c>
      <c r="B5970" t="s">
        <v>3228</v>
      </c>
      <c r="C5970" s="1" t="str">
        <f>HYPERLINK("http://www.genecards.org/cgi-bin/carddisp.pl?gene=METTL3","GeneCards")</f>
        <v>GeneCards</v>
      </c>
      <c r="D5970" s="1" t="str">
        <f>HYPERLINK("http://genome-euro.ucsc.edu/cgi-bin/hgTracks?position=209265_s_at","UCSC")</f>
        <v>UCSC</v>
      </c>
      <c r="E5970" s="1" t="str">
        <f>HYPERLINK("http://www.ncbi.nlm.nih.gov/gene/?term=METTL3","NCBI")</f>
        <v>NCBI</v>
      </c>
      <c r="F5970">
        <v>6.4000000000000001E-2</v>
      </c>
      <c r="G5970">
        <v>0.18</v>
      </c>
      <c r="H5970" s="1" t="str">
        <f>HYPERLINK("http://www.weizmann.ac.il/complex/compphys/software/geview/data/figures/209265_s_at.png","Figure")</f>
        <v>Figure</v>
      </c>
      <c r="I5970">
        <v>0.57199999999999995</v>
      </c>
      <c r="J5970">
        <v>0.43</v>
      </c>
      <c r="K5970">
        <v>1.65</v>
      </c>
      <c r="L5970">
        <v>0.41</v>
      </c>
      <c r="M5970">
        <v>2.88</v>
      </c>
      <c r="N5970">
        <v>5.5E-2</v>
      </c>
    </row>
    <row r="5971" spans="1:14" x14ac:dyDescent="0.25">
      <c r="A5971" t="s">
        <v>10731</v>
      </c>
      <c r="B5971" t="s">
        <v>10732</v>
      </c>
      <c r="C5971" s="1" t="str">
        <f>HYPERLINK("http://www.genecards.org/cgi-bin/carddisp.pl?gene=NCDN","GeneCards")</f>
        <v>GeneCards</v>
      </c>
      <c r="D5971" s="1" t="str">
        <f>HYPERLINK("http://genome-euro.ucsc.edu/cgi-bin/hgTracks?position=209556_at","UCSC")</f>
        <v>UCSC</v>
      </c>
      <c r="E5971" s="1" t="str">
        <f>HYPERLINK("http://www.ncbi.nlm.nih.gov/gene/?term=NCDN","NCBI")</f>
        <v>NCBI</v>
      </c>
      <c r="F5971">
        <v>6.4000000000000001E-2</v>
      </c>
      <c r="G5971">
        <v>0.18</v>
      </c>
      <c r="H5971" s="1" t="str">
        <f>HYPERLINK("http://www.weizmann.ac.il/complex/compphys/software/geview/data/figures/209556_at.png","Figure")</f>
        <v>Figure</v>
      </c>
      <c r="I5971">
        <v>0.98</v>
      </c>
      <c r="J5971">
        <v>0.96</v>
      </c>
      <c r="K5971">
        <v>1.1299999999999999</v>
      </c>
      <c r="L5971">
        <v>0.13</v>
      </c>
      <c r="M5971">
        <v>1.1599999999999999</v>
      </c>
      <c r="N5971">
        <v>9.8000000000000004E-2</v>
      </c>
    </row>
    <row r="5972" spans="1:14" x14ac:dyDescent="0.25">
      <c r="A5972" t="s">
        <v>10733</v>
      </c>
      <c r="B5972" t="s">
        <v>10734</v>
      </c>
      <c r="C5972" s="1" t="str">
        <f>HYPERLINK("http://www.genecards.org/cgi-bin/carddisp.pl?gene=BARX2","GeneCards")</f>
        <v>GeneCards</v>
      </c>
      <c r="D5972" s="1" t="str">
        <f>HYPERLINK("http://genome-euro.ucsc.edu/cgi-bin/hgTracks?position=210419_at","UCSC")</f>
        <v>UCSC</v>
      </c>
      <c r="E5972" s="1" t="str">
        <f>HYPERLINK("http://www.ncbi.nlm.nih.gov/gene/?term=BARX2","NCBI")</f>
        <v>NCBI</v>
      </c>
      <c r="F5972">
        <v>6.4000000000000001E-2</v>
      </c>
      <c r="G5972">
        <v>0.18</v>
      </c>
      <c r="H5972" s="1" t="str">
        <f>HYPERLINK("http://www.weizmann.ac.il/complex/compphys/software/geview/data/figures/210419_at.png","Figure")</f>
        <v>Figure</v>
      </c>
      <c r="I5972">
        <v>1.02</v>
      </c>
      <c r="J5972">
        <v>0.92</v>
      </c>
      <c r="K5972">
        <v>0.89500000000000002</v>
      </c>
      <c r="L5972">
        <v>0.14000000000000001</v>
      </c>
      <c r="M5972">
        <v>0.874</v>
      </c>
      <c r="N5972">
        <v>9.0999999999999998E-2</v>
      </c>
    </row>
    <row r="5973" spans="1:14" x14ac:dyDescent="0.25">
      <c r="A5973" t="s">
        <v>10735</v>
      </c>
      <c r="B5973" t="s">
        <v>10736</v>
      </c>
      <c r="C5973" s="1" t="str">
        <f>HYPERLINK("http://www.genecards.org/cgi-bin/carddisp.pl?gene=MXRA8","GeneCards")</f>
        <v>GeneCards</v>
      </c>
      <c r="D5973" s="1" t="str">
        <f>HYPERLINK("http://genome-euro.ucsc.edu/cgi-bin/hgTracks?position=213422_s_at","UCSC")</f>
        <v>UCSC</v>
      </c>
      <c r="E5973" s="1" t="str">
        <f>HYPERLINK("http://www.ncbi.nlm.nih.gov/gene/?term=MXRA8","NCBI")</f>
        <v>NCBI</v>
      </c>
      <c r="F5973">
        <v>6.4000000000000001E-2</v>
      </c>
      <c r="G5973">
        <v>0.18</v>
      </c>
      <c r="H5973" s="1" t="str">
        <f>HYPERLINK("http://www.weizmann.ac.il/complex/compphys/software/geview/data/figures/213422_s_at.png","Figure")</f>
        <v>Figure</v>
      </c>
      <c r="I5973">
        <v>1.31</v>
      </c>
      <c r="J5973">
        <v>6.3E-2</v>
      </c>
      <c r="K5973">
        <v>1.06</v>
      </c>
      <c r="L5973">
        <v>0.79</v>
      </c>
      <c r="M5973">
        <v>0.81399999999999995</v>
      </c>
      <c r="N5973">
        <v>0.13</v>
      </c>
    </row>
    <row r="5974" spans="1:14" x14ac:dyDescent="0.25">
      <c r="A5974" t="s">
        <v>10737</v>
      </c>
      <c r="B5974" t="s">
        <v>10738</v>
      </c>
      <c r="C5974" s="1" t="str">
        <f>HYPERLINK("http://www.genecards.org/cgi-bin/carddisp.pl?gene=HSPB7","GeneCards")</f>
        <v>GeneCards</v>
      </c>
      <c r="D5974" s="1" t="str">
        <f>HYPERLINK("http://genome-euro.ucsc.edu/cgi-bin/hgTracks?position=218934_s_at","UCSC")</f>
        <v>UCSC</v>
      </c>
      <c r="E5974" s="1" t="str">
        <f>HYPERLINK("http://www.ncbi.nlm.nih.gov/gene/?term=HSPB7","NCBI")</f>
        <v>NCBI</v>
      </c>
      <c r="F5974">
        <v>6.4000000000000001E-2</v>
      </c>
      <c r="G5974">
        <v>0.18</v>
      </c>
      <c r="H5974" s="1" t="str">
        <f>HYPERLINK("http://www.weizmann.ac.il/complex/compphys/software/geview/data/figures/218934_s_at.png","Figure")</f>
        <v>Figure</v>
      </c>
      <c r="I5974">
        <v>1.26</v>
      </c>
      <c r="J5974">
        <v>6.0999999999999999E-2</v>
      </c>
      <c r="K5974">
        <v>1.06</v>
      </c>
      <c r="L5974">
        <v>0.76</v>
      </c>
      <c r="M5974">
        <v>0.84199999999999997</v>
      </c>
      <c r="N5974">
        <v>0.14000000000000001</v>
      </c>
    </row>
    <row r="5975" spans="1:14" x14ac:dyDescent="0.25">
      <c r="A5975" t="s">
        <v>10739</v>
      </c>
      <c r="B5975" t="s">
        <v>8002</v>
      </c>
      <c r="C5975" s="1" t="str">
        <f>HYPERLINK("http://www.genecards.org/cgi-bin/carddisp.pl?gene=GLUD1","GeneCards")</f>
        <v>GeneCards</v>
      </c>
      <c r="D5975" s="1" t="str">
        <f>HYPERLINK("http://genome-euro.ucsc.edu/cgi-bin/hgTracks?position=200946_x_at","UCSC")</f>
        <v>UCSC</v>
      </c>
      <c r="E5975" s="1" t="str">
        <f>HYPERLINK("http://www.ncbi.nlm.nih.gov/gene/?term=GLUD1","NCBI")</f>
        <v>NCBI</v>
      </c>
      <c r="F5975">
        <v>6.5000000000000002E-2</v>
      </c>
      <c r="G5975">
        <v>0.18</v>
      </c>
      <c r="H5975" s="1" t="str">
        <f>HYPERLINK("http://www.weizmann.ac.il/complex/compphys/software/geview/data/figures/200946_x_at.png","Figure")</f>
        <v>Figure</v>
      </c>
      <c r="I5975">
        <v>0.67</v>
      </c>
      <c r="J5975">
        <v>0.11</v>
      </c>
      <c r="K5975">
        <v>0.68400000000000005</v>
      </c>
      <c r="L5975">
        <v>8.3000000000000004E-2</v>
      </c>
      <c r="M5975">
        <v>1.02</v>
      </c>
      <c r="N5975">
        <v>0.99</v>
      </c>
    </row>
    <row r="5976" spans="1:14" x14ac:dyDescent="0.25">
      <c r="A5976" t="s">
        <v>10740</v>
      </c>
      <c r="B5976" t="s">
        <v>2043</v>
      </c>
      <c r="C5976" s="1" t="str">
        <f>HYPERLINK("http://www.genecards.org/cgi-bin/carddisp.pl?gene=CCT6A","GeneCards")</f>
        <v>GeneCards</v>
      </c>
      <c r="D5976" s="1" t="str">
        <f>HYPERLINK("http://genome-euro.ucsc.edu/cgi-bin/hgTracks?position=201327_s_at","UCSC")</f>
        <v>UCSC</v>
      </c>
      <c r="E5976" s="1" t="str">
        <f>HYPERLINK("http://www.ncbi.nlm.nih.gov/gene/?term=CCT6A","NCBI")</f>
        <v>NCBI</v>
      </c>
      <c r="F5976">
        <v>6.5000000000000002E-2</v>
      </c>
      <c r="G5976">
        <v>0.18</v>
      </c>
      <c r="H5976" s="1" t="str">
        <f>HYPERLINK("http://www.weizmann.ac.il/complex/compphys/software/geview/data/figures/201327_s_at.png","Figure")</f>
        <v>Figure</v>
      </c>
      <c r="I5976">
        <v>0.99199999999999999</v>
      </c>
      <c r="J5976">
        <v>1</v>
      </c>
      <c r="K5976">
        <v>1.41</v>
      </c>
      <c r="L5976">
        <v>0.1</v>
      </c>
      <c r="M5976">
        <v>1.42</v>
      </c>
      <c r="N5976">
        <v>0.12</v>
      </c>
    </row>
    <row r="5977" spans="1:14" x14ac:dyDescent="0.25">
      <c r="A5977" t="s">
        <v>10741</v>
      </c>
      <c r="B5977" t="s">
        <v>10742</v>
      </c>
      <c r="C5977" s="1" t="str">
        <f>HYPERLINK("http://www.genecards.org/cgi-bin/carddisp.pl?gene=LYPD3","GeneCards")</f>
        <v>GeneCards</v>
      </c>
      <c r="D5977" s="1" t="str">
        <f>HYPERLINK("http://genome-euro.ucsc.edu/cgi-bin/hgTracks?position=204952_at","UCSC")</f>
        <v>UCSC</v>
      </c>
      <c r="E5977" s="1" t="str">
        <f>HYPERLINK("http://www.ncbi.nlm.nih.gov/gene/?term=LYPD3","NCBI")</f>
        <v>NCBI</v>
      </c>
      <c r="F5977">
        <v>6.5000000000000002E-2</v>
      </c>
      <c r="G5977">
        <v>0.18</v>
      </c>
      <c r="H5977" s="1" t="str">
        <f>HYPERLINK("http://www.weizmann.ac.il/complex/compphys/software/geview/data/figures/204952_at.png","Figure")</f>
        <v>Figure</v>
      </c>
      <c r="I5977">
        <v>1.29</v>
      </c>
      <c r="J5977">
        <v>8.1000000000000003E-2</v>
      </c>
      <c r="K5977">
        <v>1.03</v>
      </c>
      <c r="L5977">
        <v>0.96</v>
      </c>
      <c r="M5977">
        <v>0.79500000000000004</v>
      </c>
      <c r="N5977">
        <v>9.2999999999999999E-2</v>
      </c>
    </row>
    <row r="5978" spans="1:14" x14ac:dyDescent="0.25">
      <c r="A5978" t="s">
        <v>10743</v>
      </c>
      <c r="B5978" t="s">
        <v>7828</v>
      </c>
      <c r="C5978" s="1" t="str">
        <f>HYPERLINK("http://www.genecards.org/cgi-bin/carddisp.pl?gene=PRDM2","GeneCards")</f>
        <v>GeneCards</v>
      </c>
      <c r="D5978" s="1" t="str">
        <f>HYPERLINK("http://genome-euro.ucsc.edu/cgi-bin/hgTracks?position=205277_at","UCSC")</f>
        <v>UCSC</v>
      </c>
      <c r="E5978" s="1" t="str">
        <f>HYPERLINK("http://www.ncbi.nlm.nih.gov/gene/?term=PRDM2","NCBI")</f>
        <v>NCBI</v>
      </c>
      <c r="F5978">
        <v>6.5000000000000002E-2</v>
      </c>
      <c r="G5978">
        <v>0.18</v>
      </c>
      <c r="H5978" s="1" t="str">
        <f>HYPERLINK("http://www.weizmann.ac.il/complex/compphys/software/geview/data/figures/205277_at.png","Figure")</f>
        <v>Figure</v>
      </c>
      <c r="I5978">
        <v>1.23</v>
      </c>
      <c r="J5978">
        <v>0.18</v>
      </c>
      <c r="K5978">
        <v>0.94599999999999995</v>
      </c>
      <c r="L5978">
        <v>0.83</v>
      </c>
      <c r="M5978">
        <v>0.77</v>
      </c>
      <c r="N5978">
        <v>5.7000000000000002E-2</v>
      </c>
    </row>
    <row r="5979" spans="1:14" x14ac:dyDescent="0.25">
      <c r="A5979" t="s">
        <v>10744</v>
      </c>
      <c r="B5979" t="s">
        <v>465</v>
      </c>
      <c r="C5979" s="1" t="str">
        <f>HYPERLINK("http://www.genecards.org/cgi-bin/carddisp.pl?gene=GLG1","GeneCards")</f>
        <v>GeneCards</v>
      </c>
      <c r="D5979" s="1" t="str">
        <f>HYPERLINK("http://genome-euro.ucsc.edu/cgi-bin/hgTracks?position=214730_s_at","UCSC")</f>
        <v>UCSC</v>
      </c>
      <c r="E5979" s="1" t="str">
        <f>HYPERLINK("http://www.ncbi.nlm.nih.gov/gene/?term=GLG1","NCBI")</f>
        <v>NCBI</v>
      </c>
      <c r="F5979">
        <v>6.5000000000000002E-2</v>
      </c>
      <c r="G5979">
        <v>0.18</v>
      </c>
      <c r="H5979" s="1" t="str">
        <f>HYPERLINK("http://www.weizmann.ac.il/complex/compphys/software/geview/data/figures/214730_s_at.png","Figure")</f>
        <v>Figure</v>
      </c>
      <c r="I5979">
        <v>1.26</v>
      </c>
      <c r="J5979">
        <v>0.56000000000000005</v>
      </c>
      <c r="K5979">
        <v>0.745</v>
      </c>
      <c r="L5979">
        <v>0.31</v>
      </c>
      <c r="M5979">
        <v>0.59099999999999997</v>
      </c>
      <c r="N5979">
        <v>5.8999999999999997E-2</v>
      </c>
    </row>
    <row r="5980" spans="1:14" x14ac:dyDescent="0.25">
      <c r="A5980" t="s">
        <v>10745</v>
      </c>
      <c r="B5980" t="s">
        <v>10746</v>
      </c>
      <c r="C5980" s="1" t="str">
        <f>HYPERLINK("http://www.genecards.org/cgi-bin/carddisp.pl?gene=MRC2","GeneCards")</f>
        <v>GeneCards</v>
      </c>
      <c r="D5980" s="1" t="str">
        <f>HYPERLINK("http://genome-euro.ucsc.edu/cgi-bin/hgTracks?position=209280_at","UCSC")</f>
        <v>UCSC</v>
      </c>
      <c r="E5980" s="1" t="str">
        <f>HYPERLINK("http://www.ncbi.nlm.nih.gov/gene/?term=MRC2","NCBI")</f>
        <v>NCBI</v>
      </c>
      <c r="F5980">
        <v>6.5000000000000002E-2</v>
      </c>
      <c r="G5980">
        <v>0.18</v>
      </c>
      <c r="H5980" s="1" t="str">
        <f>HYPERLINK("http://www.weizmann.ac.il/complex/compphys/software/geview/data/figures/209280_at.png","Figure")</f>
        <v>Figure</v>
      </c>
      <c r="I5980">
        <v>1.5</v>
      </c>
      <c r="J5980">
        <v>5.2999999999999999E-2</v>
      </c>
      <c r="K5980">
        <v>1.18</v>
      </c>
      <c r="L5980">
        <v>0.48</v>
      </c>
      <c r="M5980">
        <v>0.78200000000000003</v>
      </c>
      <c r="N5980">
        <v>0.25</v>
      </c>
    </row>
    <row r="5981" spans="1:14" x14ac:dyDescent="0.25">
      <c r="A5981" t="s">
        <v>10747</v>
      </c>
      <c r="B5981" t="s">
        <v>10748</v>
      </c>
      <c r="C5981" s="1" t="str">
        <f>HYPERLINK("http://www.genecards.org/cgi-bin/carddisp.pl?gene=CD97","GeneCards")</f>
        <v>GeneCards</v>
      </c>
      <c r="D5981" s="1" t="str">
        <f>HYPERLINK("http://genome-euro.ucsc.edu/cgi-bin/hgTracks?position=202910_s_at","UCSC")</f>
        <v>UCSC</v>
      </c>
      <c r="E5981" s="1" t="str">
        <f>HYPERLINK("http://www.ncbi.nlm.nih.gov/gene/?term=CD97","NCBI")</f>
        <v>NCBI</v>
      </c>
      <c r="F5981">
        <v>6.5000000000000002E-2</v>
      </c>
      <c r="G5981">
        <v>0.18</v>
      </c>
      <c r="H5981" s="1" t="str">
        <f>HYPERLINK("http://www.weizmann.ac.il/complex/compphys/software/geview/data/figures/202910_s_at.png","Figure")</f>
        <v>Figure</v>
      </c>
      <c r="I5981">
        <v>0.88500000000000001</v>
      </c>
      <c r="J5981">
        <v>0.81</v>
      </c>
      <c r="K5981">
        <v>0.65</v>
      </c>
      <c r="L5981">
        <v>6.5000000000000002E-2</v>
      </c>
      <c r="M5981">
        <v>0.73399999999999999</v>
      </c>
      <c r="N5981">
        <v>0.25</v>
      </c>
    </row>
    <row r="5982" spans="1:14" x14ac:dyDescent="0.25">
      <c r="A5982" t="s">
        <v>10749</v>
      </c>
      <c r="B5982" t="s">
        <v>10750</v>
      </c>
      <c r="C5982" s="1" t="str">
        <f>HYPERLINK("http://www.genecards.org/cgi-bin/carddisp.pl?gene=STAR","GeneCards")</f>
        <v>GeneCards</v>
      </c>
      <c r="D5982" s="1" t="str">
        <f>HYPERLINK("http://genome-euro.ucsc.edu/cgi-bin/hgTracks?position=204548_at","UCSC")</f>
        <v>UCSC</v>
      </c>
      <c r="E5982" s="1" t="str">
        <f>HYPERLINK("http://www.ncbi.nlm.nih.gov/gene/?term=STAR","NCBI")</f>
        <v>NCBI</v>
      </c>
      <c r="F5982">
        <v>6.5000000000000002E-2</v>
      </c>
      <c r="G5982">
        <v>0.18</v>
      </c>
      <c r="H5982" s="1" t="str">
        <f>HYPERLINK("http://www.weizmann.ac.il/complex/compphys/software/geview/data/figures/204548_at.png","Figure")</f>
        <v>Figure</v>
      </c>
      <c r="I5982">
        <v>1.1499999999999999</v>
      </c>
      <c r="J5982">
        <v>5.8000000000000003E-2</v>
      </c>
      <c r="K5982">
        <v>1.08</v>
      </c>
      <c r="L5982">
        <v>0.23</v>
      </c>
      <c r="M5982">
        <v>0.94499999999999995</v>
      </c>
      <c r="N5982">
        <v>0.52</v>
      </c>
    </row>
    <row r="5983" spans="1:14" x14ac:dyDescent="0.25">
      <c r="A5983" t="s">
        <v>10751</v>
      </c>
      <c r="B5983" t="s">
        <v>10752</v>
      </c>
      <c r="C5983" s="1" t="str">
        <f>HYPERLINK("http://www.genecards.org/cgi-bin/carddisp.pl?gene=HIST2H4A /// HIST2H4B","GeneCards")</f>
        <v>GeneCards</v>
      </c>
      <c r="D5983" s="1" t="str">
        <f>HYPERLINK("http://genome-euro.ucsc.edu/cgi-bin/hgTracks?position=207046_at","UCSC")</f>
        <v>UCSC</v>
      </c>
      <c r="E5983" s="1" t="str">
        <f>HYPERLINK("http://www.ncbi.nlm.nih.gov/gene/?term=HIST2H4A /// HIST2H4B","NCBI")</f>
        <v>NCBI</v>
      </c>
      <c r="F5983">
        <v>6.5000000000000002E-2</v>
      </c>
      <c r="G5983">
        <v>0.18</v>
      </c>
      <c r="H5983" s="1" t="str">
        <f>HYPERLINK("http://www.weizmann.ac.il/complex/compphys/software/geview/data/figures/207046_at.png","Figure")</f>
        <v>Figure</v>
      </c>
      <c r="I5983">
        <v>1.1299999999999999</v>
      </c>
      <c r="J5983">
        <v>0.11</v>
      </c>
      <c r="K5983">
        <v>1.1200000000000001</v>
      </c>
      <c r="L5983">
        <v>8.5999999999999993E-2</v>
      </c>
      <c r="M5983">
        <v>0.99099999999999999</v>
      </c>
      <c r="N5983">
        <v>0.98</v>
      </c>
    </row>
    <row r="5984" spans="1:14" x14ac:dyDescent="0.25">
      <c r="A5984" t="s">
        <v>10753</v>
      </c>
      <c r="B5984" t="s">
        <v>10754</v>
      </c>
      <c r="C5984" s="1" t="str">
        <f>HYPERLINK("http://www.genecards.org/cgi-bin/carddisp.pl?gene=ZWINT","GeneCards")</f>
        <v>GeneCards</v>
      </c>
      <c r="D5984" s="1" t="str">
        <f>HYPERLINK("http://genome-euro.ucsc.edu/cgi-bin/hgTracks?position=204026_s_at","UCSC")</f>
        <v>UCSC</v>
      </c>
      <c r="E5984" s="1" t="str">
        <f>HYPERLINK("http://www.ncbi.nlm.nih.gov/gene/?term=ZWINT","NCBI")</f>
        <v>NCBI</v>
      </c>
      <c r="F5984">
        <v>6.5000000000000002E-2</v>
      </c>
      <c r="G5984">
        <v>0.18</v>
      </c>
      <c r="H5984" s="1" t="str">
        <f>HYPERLINK("http://www.weizmann.ac.il/complex/compphys/software/geview/data/figures/204026_s_at.png","Figure")</f>
        <v>Figure</v>
      </c>
      <c r="I5984">
        <v>0.94</v>
      </c>
      <c r="J5984">
        <v>0.93</v>
      </c>
      <c r="K5984">
        <v>1.37</v>
      </c>
      <c r="L5984">
        <v>0.14000000000000001</v>
      </c>
      <c r="M5984">
        <v>1.45</v>
      </c>
      <c r="N5984">
        <v>9.2999999999999999E-2</v>
      </c>
    </row>
    <row r="5985" spans="1:14" x14ac:dyDescent="0.25">
      <c r="A5985" t="s">
        <v>10755</v>
      </c>
      <c r="B5985" t="s">
        <v>10756</v>
      </c>
      <c r="C5985" s="1" t="str">
        <f>HYPERLINK("http://www.genecards.org/cgi-bin/carddisp.pl?gene=GEMIN4","GeneCards")</f>
        <v>GeneCards</v>
      </c>
      <c r="D5985" s="1" t="str">
        <f>HYPERLINK("http://genome-euro.ucsc.edu/cgi-bin/hgTracks?position=217099_s_at","UCSC")</f>
        <v>UCSC</v>
      </c>
      <c r="E5985" s="1" t="str">
        <f>HYPERLINK("http://www.ncbi.nlm.nih.gov/gene/?term=GEMIN4","NCBI")</f>
        <v>NCBI</v>
      </c>
      <c r="F5985">
        <v>6.5000000000000002E-2</v>
      </c>
      <c r="G5985">
        <v>0.18</v>
      </c>
      <c r="H5985" s="1" t="str">
        <f>HYPERLINK("http://www.weizmann.ac.il/complex/compphys/software/geview/data/figures/217099_s_at.png","Figure")</f>
        <v>Figure</v>
      </c>
      <c r="I5985">
        <v>1.07</v>
      </c>
      <c r="J5985">
        <v>0.52</v>
      </c>
      <c r="K5985">
        <v>1.1499999999999999</v>
      </c>
      <c r="L5985">
        <v>5.3999999999999999E-2</v>
      </c>
      <c r="M5985">
        <v>1.07</v>
      </c>
      <c r="N5985">
        <v>0.46</v>
      </c>
    </row>
    <row r="5986" spans="1:14" x14ac:dyDescent="0.25">
      <c r="A5986" t="s">
        <v>10757</v>
      </c>
      <c r="B5986" t="s">
        <v>10758</v>
      </c>
      <c r="C5986" s="1" t="str">
        <f>HYPERLINK("http://www.genecards.org/cgi-bin/carddisp.pl?gene=SFRS1","GeneCards")</f>
        <v>GeneCards</v>
      </c>
      <c r="D5986" s="1" t="str">
        <f>HYPERLINK("http://genome-euro.ucsc.edu/cgi-bin/hgTracks?position=211784_s_at","UCSC")</f>
        <v>UCSC</v>
      </c>
      <c r="E5986" s="1" t="str">
        <f>HYPERLINK("http://www.ncbi.nlm.nih.gov/gene/?term=SFRS1","NCBI")</f>
        <v>NCBI</v>
      </c>
      <c r="F5986">
        <v>6.5000000000000002E-2</v>
      </c>
      <c r="G5986">
        <v>0.18</v>
      </c>
      <c r="H5986" s="1" t="str">
        <f>HYPERLINK("http://www.weizmann.ac.il/complex/compphys/software/geview/data/figures/211784_s_at.png","Figure")</f>
        <v>Figure</v>
      </c>
      <c r="I5986">
        <v>1.01</v>
      </c>
      <c r="J5986">
        <v>1</v>
      </c>
      <c r="K5986">
        <v>1.8</v>
      </c>
      <c r="L5986">
        <v>9.7000000000000003E-2</v>
      </c>
      <c r="M5986">
        <v>1.77</v>
      </c>
      <c r="N5986">
        <v>0.13</v>
      </c>
    </row>
    <row r="5987" spans="1:14" x14ac:dyDescent="0.25">
      <c r="A5987" t="s">
        <v>10759</v>
      </c>
      <c r="B5987" t="s">
        <v>10760</v>
      </c>
      <c r="C5987" s="1" t="str">
        <f>HYPERLINK("http://www.genecards.org/cgi-bin/carddisp.pl?gene=KLC1","GeneCards")</f>
        <v>GeneCards</v>
      </c>
      <c r="D5987" s="1" t="str">
        <f>HYPERLINK("http://genome-euro.ucsc.edu/cgi-bin/hgTracks?position=213656_s_at","UCSC")</f>
        <v>UCSC</v>
      </c>
      <c r="E5987" s="1" t="str">
        <f>HYPERLINK("http://www.ncbi.nlm.nih.gov/gene/?term=KLC1","NCBI")</f>
        <v>NCBI</v>
      </c>
      <c r="F5987">
        <v>6.5000000000000002E-2</v>
      </c>
      <c r="G5987">
        <v>0.18</v>
      </c>
      <c r="H5987" s="1" t="str">
        <f>HYPERLINK("http://www.weizmann.ac.il/complex/compphys/software/geview/data/figures/213656_s_at.png","Figure")</f>
        <v>Figure</v>
      </c>
      <c r="I5987">
        <v>0.626</v>
      </c>
      <c r="J5987">
        <v>7.0999999999999994E-2</v>
      </c>
      <c r="K5987">
        <v>0.92500000000000004</v>
      </c>
      <c r="L5987">
        <v>0.89</v>
      </c>
      <c r="M5987">
        <v>1.48</v>
      </c>
      <c r="N5987">
        <v>0.11</v>
      </c>
    </row>
    <row r="5988" spans="1:14" x14ac:dyDescent="0.25">
      <c r="A5988" t="s">
        <v>10761</v>
      </c>
      <c r="B5988" t="s">
        <v>10762</v>
      </c>
      <c r="C5988" s="1" t="str">
        <f>HYPERLINK("http://www.genecards.org/cgi-bin/carddisp.pl?gene=DES /// FAM48A","GeneCards")</f>
        <v>GeneCards</v>
      </c>
      <c r="D5988" s="1" t="str">
        <f>HYPERLINK("http://genome-euro.ucsc.edu/cgi-bin/hgTracks?position=214027_x_at","UCSC")</f>
        <v>UCSC</v>
      </c>
      <c r="E5988" s="1" t="str">
        <f>HYPERLINK("http://www.ncbi.nlm.nih.gov/gene/?term=DES /// FAM48A","NCBI")</f>
        <v>NCBI</v>
      </c>
      <c r="F5988">
        <v>6.5000000000000002E-2</v>
      </c>
      <c r="G5988">
        <v>0.18</v>
      </c>
      <c r="H5988" s="1" t="str">
        <f>HYPERLINK("http://www.weizmann.ac.il/complex/compphys/software/geview/data/figures/214027_x_at.png","Figure")</f>
        <v>Figure</v>
      </c>
      <c r="I5988">
        <v>1.38</v>
      </c>
      <c r="J5988">
        <v>7.0000000000000007E-2</v>
      </c>
      <c r="K5988">
        <v>1.26</v>
      </c>
      <c r="L5988">
        <v>0.15</v>
      </c>
      <c r="M5988">
        <v>0.91300000000000003</v>
      </c>
      <c r="N5988">
        <v>0.74</v>
      </c>
    </row>
    <row r="5989" spans="1:14" x14ac:dyDescent="0.25">
      <c r="A5989" t="s">
        <v>10763</v>
      </c>
      <c r="B5989" t="s">
        <v>10764</v>
      </c>
      <c r="C5989" s="1" t="str">
        <f>HYPERLINK("http://www.genecards.org/cgi-bin/carddisp.pl?gene=GGT5","GeneCards")</f>
        <v>GeneCards</v>
      </c>
      <c r="D5989" s="1" t="str">
        <f>HYPERLINK("http://genome-euro.ucsc.edu/cgi-bin/hgTracks?position=205582_s_at","UCSC")</f>
        <v>UCSC</v>
      </c>
      <c r="E5989" s="1" t="str">
        <f>HYPERLINK("http://www.ncbi.nlm.nih.gov/gene/?term=GGT5","NCBI")</f>
        <v>NCBI</v>
      </c>
      <c r="F5989">
        <v>6.5000000000000002E-2</v>
      </c>
      <c r="G5989">
        <v>0.18</v>
      </c>
      <c r="H5989" s="1" t="str">
        <f>HYPERLINK("http://www.weizmann.ac.il/complex/compphys/software/geview/data/figures/205582_s_at.png","Figure")</f>
        <v>Figure</v>
      </c>
      <c r="I5989">
        <v>1.23</v>
      </c>
      <c r="J5989">
        <v>8.5999999999999993E-2</v>
      </c>
      <c r="K5989">
        <v>1.19</v>
      </c>
      <c r="L5989">
        <v>0.11</v>
      </c>
      <c r="M5989">
        <v>0.96199999999999997</v>
      </c>
      <c r="N5989">
        <v>0.89</v>
      </c>
    </row>
    <row r="5990" spans="1:14" x14ac:dyDescent="0.25">
      <c r="A5990" t="s">
        <v>10765</v>
      </c>
      <c r="B5990" t="s">
        <v>4817</v>
      </c>
      <c r="C5990" s="1" t="str">
        <f>HYPERLINK("http://www.genecards.org/cgi-bin/carddisp.pl?gene=GPATCH4","GeneCards")</f>
        <v>GeneCards</v>
      </c>
      <c r="D5990" s="1" t="str">
        <f>HYPERLINK("http://genome-euro.ucsc.edu/cgi-bin/hgTracks?position=220596_at","UCSC")</f>
        <v>UCSC</v>
      </c>
      <c r="E5990" s="1" t="str">
        <f>HYPERLINK("http://www.ncbi.nlm.nih.gov/gene/?term=GPATCH4","NCBI")</f>
        <v>NCBI</v>
      </c>
      <c r="F5990">
        <v>6.5000000000000002E-2</v>
      </c>
      <c r="G5990">
        <v>0.18</v>
      </c>
      <c r="H5990" s="1" t="str">
        <f>HYPERLINK("http://www.weizmann.ac.il/complex/compphys/software/geview/data/figures/220596_at.png","Figure")</f>
        <v>Figure</v>
      </c>
      <c r="I5990">
        <v>1.24</v>
      </c>
      <c r="J5990">
        <v>5.2999999999999999E-2</v>
      </c>
      <c r="K5990">
        <v>1.0900000000000001</v>
      </c>
      <c r="L5990">
        <v>0.47</v>
      </c>
      <c r="M5990">
        <v>0.88</v>
      </c>
      <c r="N5990">
        <v>0.26</v>
      </c>
    </row>
    <row r="5991" spans="1:14" x14ac:dyDescent="0.25">
      <c r="A5991" t="s">
        <v>10766</v>
      </c>
      <c r="B5991" t="s">
        <v>10767</v>
      </c>
      <c r="C5991" s="1" t="str">
        <f>HYPERLINK("http://www.genecards.org/cgi-bin/carddisp.pl?gene=RAB3GAP2","GeneCards")</f>
        <v>GeneCards</v>
      </c>
      <c r="D5991" s="1" t="str">
        <f>HYPERLINK("http://genome-euro.ucsc.edu/cgi-bin/hgTracks?position=202373_s_at","UCSC")</f>
        <v>UCSC</v>
      </c>
      <c r="E5991" s="1" t="str">
        <f>HYPERLINK("http://www.ncbi.nlm.nih.gov/gene/?term=RAB3GAP2","NCBI")</f>
        <v>NCBI</v>
      </c>
      <c r="F5991">
        <v>6.5000000000000002E-2</v>
      </c>
      <c r="G5991">
        <v>0.18</v>
      </c>
      <c r="H5991" s="1" t="str">
        <f>HYPERLINK("http://www.weizmann.ac.il/complex/compphys/software/geview/data/figures/202373_s_at.png","Figure")</f>
        <v>Figure</v>
      </c>
      <c r="I5991">
        <v>1.38</v>
      </c>
      <c r="J5991">
        <v>5.5E-2</v>
      </c>
      <c r="K5991">
        <v>1.19</v>
      </c>
      <c r="L5991">
        <v>0.27</v>
      </c>
      <c r="M5991">
        <v>0.86499999999999999</v>
      </c>
      <c r="N5991">
        <v>0.45</v>
      </c>
    </row>
    <row r="5992" spans="1:14" x14ac:dyDescent="0.25">
      <c r="A5992" t="s">
        <v>10768</v>
      </c>
      <c r="B5992" t="s">
        <v>1838</v>
      </c>
      <c r="C5992" s="1" t="str">
        <f>HYPERLINK("http://www.genecards.org/cgi-bin/carddisp.pl?gene=TFIP11","GeneCards")</f>
        <v>GeneCards</v>
      </c>
      <c r="D5992" s="1" t="str">
        <f>HYPERLINK("http://genome-euro.ucsc.edu/cgi-bin/hgTracks?position=202751_at","UCSC")</f>
        <v>UCSC</v>
      </c>
      <c r="E5992" s="1" t="str">
        <f>HYPERLINK("http://www.ncbi.nlm.nih.gov/gene/?term=TFIP11","NCBI")</f>
        <v>NCBI</v>
      </c>
      <c r="F5992">
        <v>6.5000000000000002E-2</v>
      </c>
      <c r="G5992">
        <v>0.18</v>
      </c>
      <c r="H5992" s="1" t="str">
        <f>HYPERLINK("http://www.weizmann.ac.il/complex/compphys/software/geview/data/figures/202751_at.png","Figure")</f>
        <v>Figure</v>
      </c>
      <c r="I5992">
        <v>1.1299999999999999</v>
      </c>
      <c r="J5992">
        <v>0.36</v>
      </c>
      <c r="K5992">
        <v>0.91700000000000004</v>
      </c>
      <c r="L5992">
        <v>0.5</v>
      </c>
      <c r="M5992">
        <v>0.81200000000000006</v>
      </c>
      <c r="N5992">
        <v>5.2999999999999999E-2</v>
      </c>
    </row>
    <row r="5993" spans="1:14" x14ac:dyDescent="0.25">
      <c r="A5993" t="s">
        <v>10769</v>
      </c>
      <c r="B5993" t="s">
        <v>7150</v>
      </c>
      <c r="C5993" s="1" t="str">
        <f>HYPERLINK("http://www.genecards.org/cgi-bin/carddisp.pl?gene=FAM13A","GeneCards")</f>
        <v>GeneCards</v>
      </c>
      <c r="D5993" s="1" t="str">
        <f>HYPERLINK("http://genome-euro.ucsc.edu/cgi-bin/hgTracks?position=202972_s_at","UCSC")</f>
        <v>UCSC</v>
      </c>
      <c r="E5993" s="1" t="str">
        <f>HYPERLINK("http://www.ncbi.nlm.nih.gov/gene/?term=FAM13A","NCBI")</f>
        <v>NCBI</v>
      </c>
      <c r="F5993">
        <v>6.5000000000000002E-2</v>
      </c>
      <c r="G5993">
        <v>0.18</v>
      </c>
      <c r="H5993" s="1" t="str">
        <f>HYPERLINK("http://www.weizmann.ac.il/complex/compphys/software/geview/data/figures/202972_s_at.png","Figure")</f>
        <v>Figure</v>
      </c>
      <c r="I5993">
        <v>1.2</v>
      </c>
      <c r="J5993">
        <v>6.7000000000000004E-2</v>
      </c>
      <c r="K5993">
        <v>1.04</v>
      </c>
      <c r="L5993">
        <v>0.85</v>
      </c>
      <c r="M5993">
        <v>0.86399999999999999</v>
      </c>
      <c r="N5993">
        <v>0.12</v>
      </c>
    </row>
    <row r="5994" spans="1:14" x14ac:dyDescent="0.25">
      <c r="A5994" t="s">
        <v>10770</v>
      </c>
      <c r="B5994" t="s">
        <v>10771</v>
      </c>
      <c r="C5994" s="1" t="str">
        <f>HYPERLINK("http://www.genecards.org/cgi-bin/carddisp.pl?gene=KCMF1","GeneCards")</f>
        <v>GeneCards</v>
      </c>
      <c r="D5994" s="1" t="str">
        <f>HYPERLINK("http://genome-euro.ucsc.edu/cgi-bin/hgTracks?position=217938_s_at","UCSC")</f>
        <v>UCSC</v>
      </c>
      <c r="E5994" s="1" t="str">
        <f>HYPERLINK("http://www.ncbi.nlm.nih.gov/gene/?term=KCMF1","NCBI")</f>
        <v>NCBI</v>
      </c>
      <c r="F5994">
        <v>6.5000000000000002E-2</v>
      </c>
      <c r="G5994">
        <v>0.18</v>
      </c>
      <c r="H5994" s="1" t="str">
        <f>HYPERLINK("http://www.weizmann.ac.il/complex/compphys/software/geview/data/figures/217938_s_at.png","Figure")</f>
        <v>Figure</v>
      </c>
      <c r="I5994">
        <v>1.1100000000000001</v>
      </c>
      <c r="J5994">
        <v>0.85</v>
      </c>
      <c r="K5994">
        <v>0.73199999999999998</v>
      </c>
      <c r="L5994">
        <v>0.17</v>
      </c>
      <c r="M5994">
        <v>0.66100000000000003</v>
      </c>
      <c r="N5994">
        <v>0.08</v>
      </c>
    </row>
    <row r="5995" spans="1:14" x14ac:dyDescent="0.25">
      <c r="A5995" t="s">
        <v>10772</v>
      </c>
      <c r="B5995" t="s">
        <v>10773</v>
      </c>
      <c r="C5995" s="1" t="str">
        <f>HYPERLINK("http://www.genecards.org/cgi-bin/carddisp.pl?gene=WDR55","GeneCards")</f>
        <v>GeneCards</v>
      </c>
      <c r="D5995" s="1" t="str">
        <f>HYPERLINK("http://genome-euro.ucsc.edu/cgi-bin/hgTracks?position=219809_at","UCSC")</f>
        <v>UCSC</v>
      </c>
      <c r="E5995" s="1" t="str">
        <f>HYPERLINK("http://www.ncbi.nlm.nih.gov/gene/?term=WDR55","NCBI")</f>
        <v>NCBI</v>
      </c>
      <c r="F5995">
        <v>6.5000000000000002E-2</v>
      </c>
      <c r="G5995">
        <v>0.18</v>
      </c>
      <c r="H5995" s="1" t="str">
        <f>HYPERLINK("http://www.weizmann.ac.il/complex/compphys/software/geview/data/figures/219809_at.png","Figure")</f>
        <v>Figure</v>
      </c>
      <c r="I5995">
        <v>1.08</v>
      </c>
      <c r="J5995">
        <v>0.73</v>
      </c>
      <c r="K5995">
        <v>0.85099999999999998</v>
      </c>
      <c r="L5995">
        <v>0.22</v>
      </c>
      <c r="M5995">
        <v>0.78500000000000003</v>
      </c>
      <c r="N5995">
        <v>6.9000000000000006E-2</v>
      </c>
    </row>
    <row r="5996" spans="1:14" x14ac:dyDescent="0.25">
      <c r="A5996" t="s">
        <v>10774</v>
      </c>
      <c r="B5996" t="s">
        <v>1913</v>
      </c>
      <c r="C5996" s="1" t="str">
        <f>HYPERLINK("http://www.genecards.org/cgi-bin/carddisp.pl?gene=ST6GALNAC4","GeneCards")</f>
        <v>GeneCards</v>
      </c>
      <c r="D5996" s="1" t="str">
        <f>HYPERLINK("http://genome-euro.ucsc.edu/cgi-bin/hgTracks?position=220937_s_at","UCSC")</f>
        <v>UCSC</v>
      </c>
      <c r="E5996" s="1" t="str">
        <f>HYPERLINK("http://www.ncbi.nlm.nih.gov/gene/?term=ST6GALNAC4","NCBI")</f>
        <v>NCBI</v>
      </c>
      <c r="F5996">
        <v>6.5000000000000002E-2</v>
      </c>
      <c r="G5996">
        <v>0.18</v>
      </c>
      <c r="H5996" s="1" t="str">
        <f>HYPERLINK("http://www.weizmann.ac.il/complex/compphys/software/geview/data/figures/220937_s_at.png","Figure")</f>
        <v>Figure</v>
      </c>
      <c r="I5996">
        <v>1.1499999999999999</v>
      </c>
      <c r="J5996">
        <v>0.1</v>
      </c>
      <c r="K5996">
        <v>1.1299999999999999</v>
      </c>
      <c r="L5996">
        <v>9.4E-2</v>
      </c>
      <c r="M5996">
        <v>0.98499999999999999</v>
      </c>
      <c r="N5996">
        <v>0.96</v>
      </c>
    </row>
    <row r="5997" spans="1:14" x14ac:dyDescent="0.25">
      <c r="A5997" t="s">
        <v>10775</v>
      </c>
      <c r="B5997" t="s">
        <v>10776</v>
      </c>
      <c r="C5997" s="1" t="str">
        <f>HYPERLINK("http://www.genecards.org/cgi-bin/carddisp.pl?gene=EPB41L5","GeneCards")</f>
        <v>GeneCards</v>
      </c>
      <c r="D5997" s="1" t="str">
        <f>HYPERLINK("http://genome-euro.ucsc.edu/cgi-bin/hgTracks?position=220977_x_at","UCSC")</f>
        <v>UCSC</v>
      </c>
      <c r="E5997" s="1" t="str">
        <f>HYPERLINK("http://www.ncbi.nlm.nih.gov/gene/?term=EPB41L5","NCBI")</f>
        <v>NCBI</v>
      </c>
      <c r="F5997">
        <v>6.5000000000000002E-2</v>
      </c>
      <c r="G5997">
        <v>0.18</v>
      </c>
      <c r="H5997" s="1" t="str">
        <f>HYPERLINK("http://www.weizmann.ac.il/complex/compphys/software/geview/data/figures/220977_x_at.png","Figure")</f>
        <v>Figure</v>
      </c>
      <c r="I5997">
        <v>1.19</v>
      </c>
      <c r="J5997">
        <v>7.8E-2</v>
      </c>
      <c r="K5997">
        <v>1.1399999999999999</v>
      </c>
      <c r="L5997">
        <v>0.13</v>
      </c>
      <c r="M5997">
        <v>0.96099999999999997</v>
      </c>
      <c r="N5997">
        <v>0.83</v>
      </c>
    </row>
    <row r="5998" spans="1:14" x14ac:dyDescent="0.25">
      <c r="A5998" t="s">
        <v>10777</v>
      </c>
      <c r="B5998" t="s">
        <v>10778</v>
      </c>
      <c r="C5998" s="1" t="str">
        <f>HYPERLINK("http://www.genecards.org/cgi-bin/carddisp.pl?gene=PTPRC","GeneCards")</f>
        <v>GeneCards</v>
      </c>
      <c r="D5998" s="1" t="str">
        <f>HYPERLINK("http://genome-euro.ucsc.edu/cgi-bin/hgTracks?position=207238_s_at","UCSC")</f>
        <v>UCSC</v>
      </c>
      <c r="E5998" s="1" t="str">
        <f>HYPERLINK("http://www.ncbi.nlm.nih.gov/gene/?term=PTPRC","NCBI")</f>
        <v>NCBI</v>
      </c>
      <c r="F5998">
        <v>6.5000000000000002E-2</v>
      </c>
      <c r="G5998">
        <v>0.18</v>
      </c>
      <c r="H5998" s="1" t="str">
        <f>HYPERLINK("http://www.weizmann.ac.il/complex/compphys/software/geview/data/figures/207238_s_at.png","Figure")</f>
        <v>Figure</v>
      </c>
      <c r="I5998">
        <v>2.16</v>
      </c>
      <c r="J5998">
        <v>5.5E-2</v>
      </c>
      <c r="K5998">
        <v>1.32</v>
      </c>
      <c r="L5998">
        <v>0.55000000000000004</v>
      </c>
      <c r="M5998">
        <v>0.61199999999999999</v>
      </c>
      <c r="N5998">
        <v>0.22</v>
      </c>
    </row>
    <row r="5999" spans="1:14" x14ac:dyDescent="0.25">
      <c r="A5999" t="s">
        <v>10779</v>
      </c>
      <c r="B5999" t="s">
        <v>10780</v>
      </c>
      <c r="C5999" s="1" t="str">
        <f>HYPERLINK("http://www.genecards.org/cgi-bin/carddisp.pl?gene=NFIC","GeneCards")</f>
        <v>GeneCards</v>
      </c>
      <c r="D5999" s="1" t="str">
        <f>HYPERLINK("http://genome-euro.ucsc.edu/cgi-bin/hgTracks?position=213298_at","UCSC")</f>
        <v>UCSC</v>
      </c>
      <c r="E5999" s="1" t="str">
        <f>HYPERLINK("http://www.ncbi.nlm.nih.gov/gene/?term=NFIC","NCBI")</f>
        <v>NCBI</v>
      </c>
      <c r="F5999">
        <v>6.5000000000000002E-2</v>
      </c>
      <c r="G5999">
        <v>0.18</v>
      </c>
      <c r="H5999" s="1" t="str">
        <f>HYPERLINK("http://www.weizmann.ac.il/complex/compphys/software/geview/data/figures/213298_at.png","Figure")</f>
        <v>Figure</v>
      </c>
      <c r="I5999">
        <v>0.83799999999999997</v>
      </c>
      <c r="J5999">
        <v>0.12</v>
      </c>
      <c r="K5999">
        <v>1.01</v>
      </c>
      <c r="L5999">
        <v>0.98</v>
      </c>
      <c r="M5999">
        <v>1.21</v>
      </c>
      <c r="N5999">
        <v>6.9000000000000006E-2</v>
      </c>
    </row>
    <row r="6000" spans="1:14" x14ac:dyDescent="0.25">
      <c r="A6000" t="s">
        <v>10781</v>
      </c>
      <c r="B6000" t="s">
        <v>10782</v>
      </c>
      <c r="C6000" s="1" t="str">
        <f>HYPERLINK("http://www.genecards.org/cgi-bin/carddisp.pl?gene=TPPP","GeneCards")</f>
        <v>GeneCards</v>
      </c>
      <c r="D6000" s="1" t="str">
        <f>HYPERLINK("http://genome-euro.ucsc.edu/cgi-bin/hgTracks?position=206179_s_at","UCSC")</f>
        <v>UCSC</v>
      </c>
      <c r="E6000" s="1" t="str">
        <f>HYPERLINK("http://www.ncbi.nlm.nih.gov/gene/?term=TPPP","NCBI")</f>
        <v>NCBI</v>
      </c>
      <c r="F6000">
        <v>6.5000000000000002E-2</v>
      </c>
      <c r="G6000">
        <v>0.18</v>
      </c>
      <c r="H6000" s="1" t="str">
        <f>HYPERLINK("http://www.weizmann.ac.il/complex/compphys/software/geview/data/figures/206179_s_at.png","Figure")</f>
        <v>Figure</v>
      </c>
      <c r="I6000">
        <v>1.26</v>
      </c>
      <c r="J6000">
        <v>5.5E-2</v>
      </c>
      <c r="K6000">
        <v>1.08</v>
      </c>
      <c r="L6000">
        <v>0.56999999999999995</v>
      </c>
      <c r="M6000">
        <v>0.86199999999999999</v>
      </c>
      <c r="N6000">
        <v>0.21</v>
      </c>
    </row>
    <row r="6001" spans="1:14" x14ac:dyDescent="0.25">
      <c r="A6001" t="s">
        <v>10783</v>
      </c>
      <c r="B6001" t="s">
        <v>8063</v>
      </c>
      <c r="C6001" s="1" t="str">
        <f>HYPERLINK("http://www.genecards.org/cgi-bin/carddisp.pl?gene=TTC28","GeneCards")</f>
        <v>GeneCards</v>
      </c>
      <c r="D6001" s="1" t="str">
        <f>HYPERLINK("http://genome-euro.ucsc.edu/cgi-bin/hgTracks?position=215146_s_at","UCSC")</f>
        <v>UCSC</v>
      </c>
      <c r="E6001" s="1" t="str">
        <f>HYPERLINK("http://www.ncbi.nlm.nih.gov/gene/?term=TTC28","NCBI")</f>
        <v>NCBI</v>
      </c>
      <c r="F6001">
        <v>6.5000000000000002E-2</v>
      </c>
      <c r="G6001">
        <v>0.18</v>
      </c>
      <c r="H6001" s="1" t="str">
        <f>HYPERLINK("http://www.weizmann.ac.il/complex/compphys/software/geview/data/figures/215146_s_at.png","Figure")</f>
        <v>Figure</v>
      </c>
      <c r="I6001">
        <v>0.626</v>
      </c>
      <c r="J6001">
        <v>0.31</v>
      </c>
      <c r="K6001">
        <v>0.502</v>
      </c>
      <c r="L6001">
        <v>5.3999999999999999E-2</v>
      </c>
      <c r="M6001">
        <v>0.80200000000000005</v>
      </c>
      <c r="N6001">
        <v>0.72</v>
      </c>
    </row>
    <row r="6002" spans="1:14" x14ac:dyDescent="0.25">
      <c r="A6002" t="s">
        <v>10784</v>
      </c>
      <c r="B6002" t="s">
        <v>10785</v>
      </c>
      <c r="C6002" s="1" t="str">
        <f>HYPERLINK("http://www.genecards.org/cgi-bin/carddisp.pl?gene=ZFYVE26","GeneCards")</f>
        <v>GeneCards</v>
      </c>
      <c r="D6002" s="1" t="str">
        <f>HYPERLINK("http://genome-euro.ucsc.edu/cgi-bin/hgTracks?position=37943_at","UCSC")</f>
        <v>UCSC</v>
      </c>
      <c r="E6002" s="1" t="str">
        <f>HYPERLINK("http://www.ncbi.nlm.nih.gov/gene/?term=ZFYVE26","NCBI")</f>
        <v>NCBI</v>
      </c>
      <c r="F6002">
        <v>6.5000000000000002E-2</v>
      </c>
      <c r="G6002">
        <v>0.18</v>
      </c>
      <c r="H6002" s="1" t="str">
        <f>HYPERLINK("http://www.weizmann.ac.il/complex/compphys/software/geview/data/figures/37943_at.png","Figure")</f>
        <v>Figure</v>
      </c>
      <c r="I6002">
        <v>0.97399999999999998</v>
      </c>
      <c r="J6002">
        <v>0.1</v>
      </c>
      <c r="K6002">
        <v>1</v>
      </c>
      <c r="L6002">
        <v>1</v>
      </c>
      <c r="M6002">
        <v>1.03</v>
      </c>
      <c r="N6002">
        <v>7.6999999999999999E-2</v>
      </c>
    </row>
    <row r="6003" spans="1:14" x14ac:dyDescent="0.25">
      <c r="A6003" t="s">
        <v>10786</v>
      </c>
      <c r="B6003" t="s">
        <v>10787</v>
      </c>
      <c r="C6003" s="1" t="str">
        <f>HYPERLINK("http://www.genecards.org/cgi-bin/carddisp.pl?gene=VAMP1","GeneCards")</f>
        <v>GeneCards</v>
      </c>
      <c r="D6003" s="1" t="str">
        <f>HYPERLINK("http://genome-euro.ucsc.edu/cgi-bin/hgTracks?position=213326_at","UCSC")</f>
        <v>UCSC</v>
      </c>
      <c r="E6003" s="1" t="str">
        <f>HYPERLINK("http://www.ncbi.nlm.nih.gov/gene/?term=VAMP1","NCBI")</f>
        <v>NCBI</v>
      </c>
      <c r="F6003">
        <v>6.5000000000000002E-2</v>
      </c>
      <c r="G6003">
        <v>0.18</v>
      </c>
      <c r="H6003" s="1" t="str">
        <f>HYPERLINK("http://www.weizmann.ac.il/complex/compphys/software/geview/data/figures/213326_at.png","Figure")</f>
        <v>Figure</v>
      </c>
      <c r="I6003">
        <v>0.51</v>
      </c>
      <c r="J6003">
        <v>7.1999999999999995E-2</v>
      </c>
      <c r="K6003">
        <v>0.61299999999999999</v>
      </c>
      <c r="L6003">
        <v>0.14000000000000001</v>
      </c>
      <c r="M6003">
        <v>1.2</v>
      </c>
      <c r="N6003">
        <v>0.76</v>
      </c>
    </row>
    <row r="6004" spans="1:14" x14ac:dyDescent="0.25">
      <c r="A6004" t="s">
        <v>10788</v>
      </c>
      <c r="B6004" t="s">
        <v>10789</v>
      </c>
      <c r="C6004" s="1" t="str">
        <f>HYPERLINK("http://www.genecards.org/cgi-bin/carddisp.pl?gene=GEM","GeneCards")</f>
        <v>GeneCards</v>
      </c>
      <c r="D6004" s="1" t="str">
        <f>HYPERLINK("http://genome-euro.ucsc.edu/cgi-bin/hgTracks?position=204472_at","UCSC")</f>
        <v>UCSC</v>
      </c>
      <c r="E6004" s="1" t="str">
        <f>HYPERLINK("http://www.ncbi.nlm.nih.gov/gene/?term=GEM","NCBI")</f>
        <v>NCBI</v>
      </c>
      <c r="F6004">
        <v>6.5000000000000002E-2</v>
      </c>
      <c r="G6004">
        <v>0.18</v>
      </c>
      <c r="H6004" s="1" t="str">
        <f>HYPERLINK("http://www.weizmann.ac.il/complex/compphys/software/geview/data/figures/204472_at.png","Figure")</f>
        <v>Figure</v>
      </c>
      <c r="I6004">
        <v>1.01</v>
      </c>
      <c r="J6004">
        <v>0.97</v>
      </c>
      <c r="K6004">
        <v>0.90100000000000002</v>
      </c>
      <c r="L6004">
        <v>0.12</v>
      </c>
      <c r="M6004">
        <v>0.89</v>
      </c>
      <c r="N6004">
        <v>0.11</v>
      </c>
    </row>
    <row r="6005" spans="1:14" x14ac:dyDescent="0.25">
      <c r="A6005" t="s">
        <v>10790</v>
      </c>
      <c r="B6005" t="s">
        <v>10791</v>
      </c>
      <c r="C6005" s="1" t="str">
        <f>HYPERLINK("http://www.genecards.org/cgi-bin/carddisp.pl?gene=TAOK1","GeneCards")</f>
        <v>GeneCards</v>
      </c>
      <c r="D6005" s="1" t="str">
        <f>HYPERLINK("http://genome-euro.ucsc.edu/cgi-bin/hgTracks?position=216310_at","UCSC")</f>
        <v>UCSC</v>
      </c>
      <c r="E6005" s="1" t="str">
        <f>HYPERLINK("http://www.ncbi.nlm.nih.gov/gene/?term=TAOK1","NCBI")</f>
        <v>NCBI</v>
      </c>
      <c r="F6005">
        <v>6.5000000000000002E-2</v>
      </c>
      <c r="G6005">
        <v>0.18</v>
      </c>
      <c r="H6005" s="1" t="str">
        <f>HYPERLINK("http://www.weizmann.ac.il/complex/compphys/software/geview/data/figures/216310_at.png","Figure")</f>
        <v>Figure</v>
      </c>
      <c r="I6005">
        <v>1.53</v>
      </c>
      <c r="J6005">
        <v>0.12</v>
      </c>
      <c r="K6005">
        <v>0.97399999999999998</v>
      </c>
      <c r="L6005">
        <v>0.99</v>
      </c>
      <c r="M6005">
        <v>0.63800000000000001</v>
      </c>
      <c r="N6005">
        <v>7.0000000000000007E-2</v>
      </c>
    </row>
    <row r="6006" spans="1:14" x14ac:dyDescent="0.25">
      <c r="A6006" t="s">
        <v>10792</v>
      </c>
      <c r="B6006" t="s">
        <v>10793</v>
      </c>
      <c r="C6006" s="1" t="str">
        <f>HYPERLINK("http://www.genecards.org/cgi-bin/carddisp.pl?gene=ALDOB","GeneCards")</f>
        <v>GeneCards</v>
      </c>
      <c r="D6006" s="1" t="str">
        <f>HYPERLINK("http://genome-euro.ucsc.edu/cgi-bin/hgTracks?position=214423_x_at","UCSC")</f>
        <v>UCSC</v>
      </c>
      <c r="E6006" s="1" t="str">
        <f>HYPERLINK("http://www.ncbi.nlm.nih.gov/gene/?term=ALDOB","NCBI")</f>
        <v>NCBI</v>
      </c>
      <c r="F6006">
        <v>6.5000000000000002E-2</v>
      </c>
      <c r="G6006">
        <v>0.18</v>
      </c>
      <c r="H6006" s="1" t="str">
        <f>HYPERLINK("http://www.weizmann.ac.il/complex/compphys/software/geview/data/figures/214423_x_at.png","Figure")</f>
        <v>Figure</v>
      </c>
      <c r="I6006">
        <v>1.19</v>
      </c>
      <c r="J6006">
        <v>6.3E-2</v>
      </c>
      <c r="K6006">
        <v>1.04</v>
      </c>
      <c r="L6006">
        <v>0.78</v>
      </c>
      <c r="M6006">
        <v>0.873</v>
      </c>
      <c r="N6006">
        <v>0.14000000000000001</v>
      </c>
    </row>
    <row r="6007" spans="1:14" x14ac:dyDescent="0.25">
      <c r="A6007" t="s">
        <v>10794</v>
      </c>
      <c r="B6007" t="s">
        <v>10795</v>
      </c>
      <c r="C6007" s="1" t="str">
        <f>HYPERLINK("http://www.genecards.org/cgi-bin/carddisp.pl?gene=NFX1","GeneCards")</f>
        <v>GeneCards</v>
      </c>
      <c r="D6007" s="1" t="str">
        <f>HYPERLINK("http://genome-euro.ucsc.edu/cgi-bin/hgTracks?position=202585_s_at","UCSC")</f>
        <v>UCSC</v>
      </c>
      <c r="E6007" s="1" t="str">
        <f>HYPERLINK("http://www.ncbi.nlm.nih.gov/gene/?term=NFX1","NCBI")</f>
        <v>NCBI</v>
      </c>
      <c r="F6007">
        <v>6.5000000000000002E-2</v>
      </c>
      <c r="G6007">
        <v>0.18</v>
      </c>
      <c r="H6007" s="1" t="str">
        <f>HYPERLINK("http://www.weizmann.ac.il/complex/compphys/software/geview/data/figures/202585_s_at.png","Figure")</f>
        <v>Figure</v>
      </c>
      <c r="I6007">
        <v>1.05</v>
      </c>
      <c r="J6007">
        <v>0.64</v>
      </c>
      <c r="K6007">
        <v>0.92400000000000004</v>
      </c>
      <c r="L6007">
        <v>0.27</v>
      </c>
      <c r="M6007">
        <v>0.879</v>
      </c>
      <c r="N6007">
        <v>6.4000000000000001E-2</v>
      </c>
    </row>
    <row r="6008" spans="1:14" x14ac:dyDescent="0.25">
      <c r="A6008" t="s">
        <v>10796</v>
      </c>
      <c r="B6008" t="s">
        <v>10797</v>
      </c>
      <c r="C6008" s="1" t="str">
        <f>HYPERLINK("http://www.genecards.org/cgi-bin/carddisp.pl?gene=HNF1B","GeneCards")</f>
        <v>GeneCards</v>
      </c>
      <c r="D6008" s="1" t="str">
        <f>HYPERLINK("http://genome-euro.ucsc.edu/cgi-bin/hgTracks?position=208135_at","UCSC")</f>
        <v>UCSC</v>
      </c>
      <c r="E6008" s="1" t="str">
        <f>HYPERLINK("http://www.ncbi.nlm.nih.gov/gene/?term=HNF1B","NCBI")</f>
        <v>NCBI</v>
      </c>
      <c r="F6008">
        <v>6.5000000000000002E-2</v>
      </c>
      <c r="G6008">
        <v>0.18</v>
      </c>
      <c r="H6008" s="1" t="str">
        <f>HYPERLINK("http://www.weizmann.ac.il/complex/compphys/software/geview/data/figures/208135_at.png","Figure")</f>
        <v>Figure</v>
      </c>
      <c r="I6008">
        <v>1.1299999999999999</v>
      </c>
      <c r="J6008">
        <v>7.0999999999999994E-2</v>
      </c>
      <c r="K6008">
        <v>1.02</v>
      </c>
      <c r="L6008">
        <v>0.89</v>
      </c>
      <c r="M6008">
        <v>0.90200000000000002</v>
      </c>
      <c r="N6008">
        <v>0.11</v>
      </c>
    </row>
    <row r="6009" spans="1:14" x14ac:dyDescent="0.25">
      <c r="A6009" t="s">
        <v>10798</v>
      </c>
      <c r="B6009" t="s">
        <v>9762</v>
      </c>
      <c r="C6009" s="1" t="str">
        <f>HYPERLINK("http://www.genecards.org/cgi-bin/carddisp.pl?gene=ALDH7A1","GeneCards")</f>
        <v>GeneCards</v>
      </c>
      <c r="D6009" s="1" t="str">
        <f>HYPERLINK("http://genome-euro.ucsc.edu/cgi-bin/hgTracks?position=208951_at","UCSC")</f>
        <v>UCSC</v>
      </c>
      <c r="E6009" s="1" t="str">
        <f>HYPERLINK("http://www.ncbi.nlm.nih.gov/gene/?term=ALDH7A1","NCBI")</f>
        <v>NCBI</v>
      </c>
      <c r="F6009">
        <v>6.5000000000000002E-2</v>
      </c>
      <c r="G6009">
        <v>0.18</v>
      </c>
      <c r="H6009" s="1" t="str">
        <f>HYPERLINK("http://www.weizmann.ac.il/complex/compphys/software/geview/data/figures/208951_at.png","Figure")</f>
        <v>Figure</v>
      </c>
      <c r="I6009">
        <v>0.79400000000000004</v>
      </c>
      <c r="J6009">
        <v>0.22</v>
      </c>
      <c r="K6009">
        <v>1.0900000000000001</v>
      </c>
      <c r="L6009">
        <v>0.75</v>
      </c>
      <c r="M6009">
        <v>1.37</v>
      </c>
      <c r="N6009">
        <v>5.5E-2</v>
      </c>
    </row>
    <row r="6010" spans="1:14" x14ac:dyDescent="0.25">
      <c r="A6010" t="s">
        <v>10799</v>
      </c>
      <c r="B6010" t="s">
        <v>10800</v>
      </c>
      <c r="C6010" s="1" t="str">
        <f>HYPERLINK("http://www.genecards.org/cgi-bin/carddisp.pl?gene=NFIB","GeneCards")</f>
        <v>GeneCards</v>
      </c>
      <c r="D6010" s="1" t="str">
        <f>HYPERLINK("http://genome-euro.ucsc.edu/cgi-bin/hgTracks?position=211467_s_at","UCSC")</f>
        <v>UCSC</v>
      </c>
      <c r="E6010" s="1" t="str">
        <f>HYPERLINK("http://www.ncbi.nlm.nih.gov/gene/?term=NFIB","NCBI")</f>
        <v>NCBI</v>
      </c>
      <c r="F6010">
        <v>6.5000000000000002E-2</v>
      </c>
      <c r="G6010">
        <v>0.18</v>
      </c>
      <c r="H6010" s="1" t="str">
        <f>HYPERLINK("http://www.weizmann.ac.il/complex/compphys/software/geview/data/figures/211467_s_at.png","Figure")</f>
        <v>Figure</v>
      </c>
      <c r="I6010">
        <v>1.1299999999999999</v>
      </c>
      <c r="J6010">
        <v>0.13</v>
      </c>
      <c r="K6010">
        <v>0.98499999999999999</v>
      </c>
      <c r="L6010">
        <v>0.96</v>
      </c>
      <c r="M6010">
        <v>0.871</v>
      </c>
      <c r="N6010">
        <v>6.5000000000000002E-2</v>
      </c>
    </row>
    <row r="6011" spans="1:14" x14ac:dyDescent="0.25">
      <c r="A6011" t="s">
        <v>10801</v>
      </c>
      <c r="B6011" t="s">
        <v>2432</v>
      </c>
      <c r="C6011" s="1" t="str">
        <f>HYPERLINK("http://www.genecards.org/cgi-bin/carddisp.pl?gene=MGEA5","GeneCards")</f>
        <v>GeneCards</v>
      </c>
      <c r="D6011" s="1" t="str">
        <f>HYPERLINK("http://genome-euro.ucsc.edu/cgi-bin/hgTracks?position=214972_at","UCSC")</f>
        <v>UCSC</v>
      </c>
      <c r="E6011" s="1" t="str">
        <f>HYPERLINK("http://www.ncbi.nlm.nih.gov/gene/?term=MGEA5","NCBI")</f>
        <v>NCBI</v>
      </c>
      <c r="F6011">
        <v>6.5000000000000002E-2</v>
      </c>
      <c r="G6011">
        <v>0.18</v>
      </c>
      <c r="H6011" s="1" t="str">
        <f>HYPERLINK("http://www.weizmann.ac.il/complex/compphys/software/geview/data/figures/214972_at.png","Figure")</f>
        <v>Figure</v>
      </c>
      <c r="I6011">
        <v>1.04</v>
      </c>
      <c r="J6011">
        <v>0.97</v>
      </c>
      <c r="K6011">
        <v>0.69</v>
      </c>
      <c r="L6011">
        <v>0.12</v>
      </c>
      <c r="M6011">
        <v>0.66</v>
      </c>
      <c r="N6011">
        <v>0.11</v>
      </c>
    </row>
    <row r="6012" spans="1:14" x14ac:dyDescent="0.25">
      <c r="A6012" t="s">
        <v>10802</v>
      </c>
      <c r="B6012" t="s">
        <v>1312</v>
      </c>
      <c r="C6012" s="1" t="str">
        <f>HYPERLINK("http://www.genecards.org/cgi-bin/carddisp.pl?gene=SEPHS1","GeneCards")</f>
        <v>GeneCards</v>
      </c>
      <c r="D6012" s="1" t="str">
        <f>HYPERLINK("http://genome-euro.ucsc.edu/cgi-bin/hgTracks?position=208941_s_at","UCSC")</f>
        <v>UCSC</v>
      </c>
      <c r="E6012" s="1" t="str">
        <f>HYPERLINK("http://www.ncbi.nlm.nih.gov/gene/?term=SEPHS1","NCBI")</f>
        <v>NCBI</v>
      </c>
      <c r="F6012">
        <v>6.5000000000000002E-2</v>
      </c>
      <c r="G6012">
        <v>0.18</v>
      </c>
      <c r="H6012" s="1" t="str">
        <f>HYPERLINK("http://www.weizmann.ac.il/complex/compphys/software/geview/data/figures/208941_s_at.png","Figure")</f>
        <v>Figure</v>
      </c>
      <c r="I6012">
        <v>0.97299999999999998</v>
      </c>
      <c r="J6012">
        <v>0.98</v>
      </c>
      <c r="K6012">
        <v>0.753</v>
      </c>
      <c r="L6012">
        <v>8.5999999999999993E-2</v>
      </c>
      <c r="M6012">
        <v>0.77400000000000002</v>
      </c>
      <c r="N6012">
        <v>0.16</v>
      </c>
    </row>
    <row r="6013" spans="1:14" x14ac:dyDescent="0.25">
      <c r="A6013" t="s">
        <v>10803</v>
      </c>
      <c r="B6013" t="s">
        <v>10804</v>
      </c>
      <c r="C6013" s="1" t="str">
        <f>HYPERLINK("http://www.genecards.org/cgi-bin/carddisp.pl?gene=C1orf222","GeneCards")</f>
        <v>GeneCards</v>
      </c>
      <c r="D6013" s="1" t="str">
        <f>HYPERLINK("http://genome-euro.ucsc.edu/cgi-bin/hgTracks?position=215788_at","UCSC")</f>
        <v>UCSC</v>
      </c>
      <c r="E6013" s="1" t="str">
        <f>HYPERLINK("http://www.ncbi.nlm.nih.gov/gene/?term=C1orf222","NCBI")</f>
        <v>NCBI</v>
      </c>
      <c r="F6013">
        <v>6.5000000000000002E-2</v>
      </c>
      <c r="G6013">
        <v>0.18</v>
      </c>
      <c r="H6013" s="1" t="str">
        <f>HYPERLINK("http://www.weizmann.ac.il/complex/compphys/software/geview/data/figures/215788_at.png","Figure")</f>
        <v>Figure</v>
      </c>
      <c r="I6013">
        <v>1.37</v>
      </c>
      <c r="J6013">
        <v>6.5000000000000002E-2</v>
      </c>
      <c r="K6013">
        <v>1.07</v>
      </c>
      <c r="L6013">
        <v>0.8</v>
      </c>
      <c r="M6013">
        <v>0.78400000000000003</v>
      </c>
      <c r="N6013">
        <v>0.13</v>
      </c>
    </row>
    <row r="6014" spans="1:14" x14ac:dyDescent="0.25">
      <c r="A6014" t="s">
        <v>10805</v>
      </c>
      <c r="B6014" t="s">
        <v>10806</v>
      </c>
      <c r="C6014" s="1" t="str">
        <f>HYPERLINK("http://www.genecards.org/cgi-bin/carddisp.pl?gene=STOML1","GeneCards")</f>
        <v>GeneCards</v>
      </c>
      <c r="D6014" s="1" t="str">
        <f>HYPERLINK("http://genome-euro.ucsc.edu/cgi-bin/hgTracks?position=33736_at","UCSC")</f>
        <v>UCSC</v>
      </c>
      <c r="E6014" s="1" t="str">
        <f>HYPERLINK("http://www.ncbi.nlm.nih.gov/gene/?term=STOML1","NCBI")</f>
        <v>NCBI</v>
      </c>
      <c r="F6014">
        <v>6.5000000000000002E-2</v>
      </c>
      <c r="G6014">
        <v>0.18</v>
      </c>
      <c r="H6014" s="1" t="str">
        <f>HYPERLINK("http://www.weizmann.ac.il/complex/compphys/software/geview/data/figures/33736_at.png","Figure")</f>
        <v>Figure</v>
      </c>
      <c r="I6014">
        <v>0.91300000000000003</v>
      </c>
      <c r="J6014">
        <v>0.25</v>
      </c>
      <c r="K6014">
        <v>1.04</v>
      </c>
      <c r="L6014">
        <v>0.67</v>
      </c>
      <c r="M6014">
        <v>1.1399999999999999</v>
      </c>
      <c r="N6014">
        <v>5.3999999999999999E-2</v>
      </c>
    </row>
    <row r="6015" spans="1:14" x14ac:dyDescent="0.25">
      <c r="A6015" t="s">
        <v>10807</v>
      </c>
      <c r="B6015" t="s">
        <v>10808</v>
      </c>
      <c r="C6015" s="1" t="str">
        <f>HYPERLINK("http://www.genecards.org/cgi-bin/carddisp.pl?gene=GIT1","GeneCards")</f>
        <v>GeneCards</v>
      </c>
      <c r="D6015" s="1" t="str">
        <f>HYPERLINK("http://genome-euro.ucsc.edu/cgi-bin/hgTracks?position=218030_at","UCSC")</f>
        <v>UCSC</v>
      </c>
      <c r="E6015" s="1" t="str">
        <f>HYPERLINK("http://www.ncbi.nlm.nih.gov/gene/?term=GIT1","NCBI")</f>
        <v>NCBI</v>
      </c>
      <c r="F6015">
        <v>6.5000000000000002E-2</v>
      </c>
      <c r="G6015">
        <v>0.18</v>
      </c>
      <c r="H6015" s="1" t="str">
        <f>HYPERLINK("http://www.weizmann.ac.il/complex/compphys/software/geview/data/figures/218030_at.png","Figure")</f>
        <v>Figure</v>
      </c>
      <c r="I6015">
        <v>1.5</v>
      </c>
      <c r="J6015">
        <v>5.5E-2</v>
      </c>
      <c r="K6015">
        <v>1.1499999999999999</v>
      </c>
      <c r="L6015">
        <v>0.56999999999999995</v>
      </c>
      <c r="M6015">
        <v>0.76700000000000002</v>
      </c>
      <c r="N6015">
        <v>0.21</v>
      </c>
    </row>
    <row r="6016" spans="1:14" x14ac:dyDescent="0.25">
      <c r="A6016" t="s">
        <v>10809</v>
      </c>
      <c r="B6016" t="s">
        <v>10810</v>
      </c>
      <c r="C6016" s="1" t="str">
        <f>HYPERLINK("http://www.genecards.org/cgi-bin/carddisp.pl?gene=LYPLA2P1","GeneCards")</f>
        <v>GeneCards</v>
      </c>
      <c r="D6016" s="1" t="str">
        <f>HYPERLINK("http://genome-euro.ucsc.edu/cgi-bin/hgTracks?position=216606_x_at","UCSC")</f>
        <v>UCSC</v>
      </c>
      <c r="E6016" s="1" t="str">
        <f>HYPERLINK("http://www.ncbi.nlm.nih.gov/gene/?term=LYPLA2P1","NCBI")</f>
        <v>NCBI</v>
      </c>
      <c r="F6016">
        <v>6.5000000000000002E-2</v>
      </c>
      <c r="G6016">
        <v>0.18</v>
      </c>
      <c r="H6016" s="1" t="str">
        <f>HYPERLINK("http://www.weizmann.ac.il/complex/compphys/software/geview/data/figures/216606_x_at.png","Figure")</f>
        <v>Figure</v>
      </c>
      <c r="I6016">
        <v>1.3</v>
      </c>
      <c r="J6016">
        <v>0.06</v>
      </c>
      <c r="K6016">
        <v>1.17</v>
      </c>
      <c r="L6016">
        <v>0.21</v>
      </c>
      <c r="M6016">
        <v>0.90400000000000003</v>
      </c>
      <c r="N6016">
        <v>0.56000000000000005</v>
      </c>
    </row>
    <row r="6017" spans="1:14" x14ac:dyDescent="0.25">
      <c r="A6017" t="s">
        <v>10811</v>
      </c>
      <c r="B6017" t="s">
        <v>10812</v>
      </c>
      <c r="C6017" s="1" t="str">
        <f>HYPERLINK("http://www.genecards.org/cgi-bin/carddisp.pl?gene=PRKG2","GeneCards")</f>
        <v>GeneCards</v>
      </c>
      <c r="D6017" s="1" t="str">
        <f>HYPERLINK("http://genome-euro.ucsc.edu/cgi-bin/hgTracks?position=207505_at","UCSC")</f>
        <v>UCSC</v>
      </c>
      <c r="E6017" s="1" t="str">
        <f>HYPERLINK("http://www.ncbi.nlm.nih.gov/gene/?term=PRKG2","NCBI")</f>
        <v>NCBI</v>
      </c>
      <c r="F6017">
        <v>6.5000000000000002E-2</v>
      </c>
      <c r="G6017">
        <v>0.18</v>
      </c>
      <c r="H6017" s="1" t="str">
        <f>HYPERLINK("http://www.weizmann.ac.il/complex/compphys/software/geview/data/figures/207505_at.png","Figure")</f>
        <v>Figure</v>
      </c>
      <c r="I6017">
        <v>1.25</v>
      </c>
      <c r="J6017">
        <v>9.8000000000000004E-2</v>
      </c>
      <c r="K6017">
        <v>1</v>
      </c>
      <c r="L6017">
        <v>1</v>
      </c>
      <c r="M6017">
        <v>0.80500000000000005</v>
      </c>
      <c r="N6017">
        <v>7.9000000000000001E-2</v>
      </c>
    </row>
    <row r="6018" spans="1:14" x14ac:dyDescent="0.25">
      <c r="A6018" t="s">
        <v>10813</v>
      </c>
      <c r="B6018" t="s">
        <v>7953</v>
      </c>
      <c r="C6018" s="1" t="str">
        <f>HYPERLINK("http://www.genecards.org/cgi-bin/carddisp.pl?gene=COMT","GeneCards")</f>
        <v>GeneCards</v>
      </c>
      <c r="D6018" s="1" t="str">
        <f>HYPERLINK("http://genome-euro.ucsc.edu/cgi-bin/hgTracks?position=213981_at","UCSC")</f>
        <v>UCSC</v>
      </c>
      <c r="E6018" s="1" t="str">
        <f>HYPERLINK("http://www.ncbi.nlm.nih.gov/gene/?term=COMT","NCBI")</f>
        <v>NCBI</v>
      </c>
      <c r="F6018">
        <v>6.5000000000000002E-2</v>
      </c>
      <c r="G6018">
        <v>0.18</v>
      </c>
      <c r="H6018" s="1" t="str">
        <f>HYPERLINK("http://www.weizmann.ac.il/complex/compphys/software/geview/data/figures/213981_at.png","Figure")</f>
        <v>Figure</v>
      </c>
      <c r="I6018">
        <v>1.18</v>
      </c>
      <c r="J6018">
        <v>0.11</v>
      </c>
      <c r="K6018">
        <v>1.1599999999999999</v>
      </c>
      <c r="L6018">
        <v>9.0999999999999998E-2</v>
      </c>
      <c r="M6018">
        <v>0.98499999999999999</v>
      </c>
      <c r="N6018">
        <v>0.97</v>
      </c>
    </row>
    <row r="6019" spans="1:14" x14ac:dyDescent="0.25">
      <c r="A6019" t="s">
        <v>10814</v>
      </c>
      <c r="B6019" t="s">
        <v>10815</v>
      </c>
      <c r="C6019" s="1" t="str">
        <f>HYPERLINK("http://www.genecards.org/cgi-bin/carddisp.pl?gene=CTAGE5","GeneCards")</f>
        <v>GeneCards</v>
      </c>
      <c r="D6019" s="1" t="str">
        <f>HYPERLINK("http://genome-euro.ucsc.edu/cgi-bin/hgTracks?position=215930_s_at","UCSC")</f>
        <v>UCSC</v>
      </c>
      <c r="E6019" s="1" t="str">
        <f>HYPERLINK("http://www.ncbi.nlm.nih.gov/gene/?term=CTAGE5","NCBI")</f>
        <v>NCBI</v>
      </c>
      <c r="F6019">
        <v>6.5000000000000002E-2</v>
      </c>
      <c r="G6019">
        <v>0.18</v>
      </c>
      <c r="H6019" s="1" t="str">
        <f>HYPERLINK("http://www.weizmann.ac.il/complex/compphys/software/geview/data/figures/215930_s_at.png","Figure")</f>
        <v>Figure</v>
      </c>
      <c r="I6019">
        <v>0.83299999999999996</v>
      </c>
      <c r="J6019">
        <v>6.7000000000000004E-2</v>
      </c>
      <c r="K6019">
        <v>0.96299999999999997</v>
      </c>
      <c r="L6019">
        <v>0.83</v>
      </c>
      <c r="M6019">
        <v>1.1599999999999999</v>
      </c>
      <c r="N6019">
        <v>0.13</v>
      </c>
    </row>
    <row r="6020" spans="1:14" x14ac:dyDescent="0.25">
      <c r="A6020" t="s">
        <v>10816</v>
      </c>
      <c r="B6020" t="s">
        <v>10817</v>
      </c>
      <c r="C6020" s="1" t="str">
        <f>HYPERLINK("http://www.genecards.org/cgi-bin/carddisp.pl?gene=TTLL12","GeneCards")</f>
        <v>GeneCards</v>
      </c>
      <c r="D6020" s="1" t="str">
        <f>HYPERLINK("http://genome-euro.ucsc.edu/cgi-bin/hgTracks?position=216251_s_at","UCSC")</f>
        <v>UCSC</v>
      </c>
      <c r="E6020" s="1" t="str">
        <f>HYPERLINK("http://www.ncbi.nlm.nih.gov/gene/?term=TTLL12","NCBI")</f>
        <v>NCBI</v>
      </c>
      <c r="F6020">
        <v>6.5000000000000002E-2</v>
      </c>
      <c r="G6020">
        <v>0.18</v>
      </c>
      <c r="H6020" s="1" t="str">
        <f>HYPERLINK("http://www.weizmann.ac.il/complex/compphys/software/geview/data/figures/216251_s_at.png","Figure")</f>
        <v>Figure</v>
      </c>
      <c r="I6020">
        <v>1.1599999999999999</v>
      </c>
      <c r="J6020">
        <v>0.44</v>
      </c>
      <c r="K6020">
        <v>1.31</v>
      </c>
      <c r="L6020">
        <v>5.3999999999999999E-2</v>
      </c>
      <c r="M6020">
        <v>1.1299999999999999</v>
      </c>
      <c r="N6020">
        <v>0.54</v>
      </c>
    </row>
    <row r="6021" spans="1:14" x14ac:dyDescent="0.25">
      <c r="A6021" t="s">
        <v>10818</v>
      </c>
      <c r="B6021" t="s">
        <v>10819</v>
      </c>
      <c r="C6021" s="1" t="str">
        <f>HYPERLINK("http://www.genecards.org/cgi-bin/carddisp.pl?gene=PRB4","GeneCards")</f>
        <v>GeneCards</v>
      </c>
      <c r="D6021" s="1" t="str">
        <f>HYPERLINK("http://genome-euro.ucsc.edu/cgi-bin/hgTracks?position=216881_x_at","UCSC")</f>
        <v>UCSC</v>
      </c>
      <c r="E6021" s="1" t="str">
        <f>HYPERLINK("http://www.ncbi.nlm.nih.gov/gene/?term=PRB4","NCBI")</f>
        <v>NCBI</v>
      </c>
      <c r="F6021">
        <v>6.5000000000000002E-2</v>
      </c>
      <c r="G6021">
        <v>0.18</v>
      </c>
      <c r="H6021" s="1" t="str">
        <f>HYPERLINK("http://www.weizmann.ac.il/complex/compphys/software/geview/data/figures/216881_x_at.png","Figure")</f>
        <v>Figure</v>
      </c>
      <c r="I6021">
        <v>1.27</v>
      </c>
      <c r="J6021">
        <v>5.5E-2</v>
      </c>
      <c r="K6021">
        <v>1.0900000000000001</v>
      </c>
      <c r="L6021">
        <v>0.55000000000000004</v>
      </c>
      <c r="M6021">
        <v>0.85799999999999998</v>
      </c>
      <c r="N6021">
        <v>0.22</v>
      </c>
    </row>
    <row r="6022" spans="1:14" x14ac:dyDescent="0.25">
      <c r="A6022" t="s">
        <v>10820</v>
      </c>
      <c r="B6022" t="s">
        <v>10821</v>
      </c>
      <c r="C6022" s="1" t="str">
        <f>HYPERLINK("http://www.genecards.org/cgi-bin/carddisp.pl?gene=UBQLN4","GeneCards")</f>
        <v>GeneCards</v>
      </c>
      <c r="D6022" s="1" t="str">
        <f>HYPERLINK("http://genome-euro.ucsc.edu/cgi-bin/hgTracks?position=222252_x_at","UCSC")</f>
        <v>UCSC</v>
      </c>
      <c r="E6022" s="1" t="str">
        <f>HYPERLINK("http://www.ncbi.nlm.nih.gov/gene/?term=UBQLN4","NCBI")</f>
        <v>NCBI</v>
      </c>
      <c r="F6022">
        <v>6.5000000000000002E-2</v>
      </c>
      <c r="G6022">
        <v>0.18</v>
      </c>
      <c r="H6022" s="1" t="str">
        <f>HYPERLINK("http://www.weizmann.ac.il/complex/compphys/software/geview/data/figures/222252_x_at.png","Figure")</f>
        <v>Figure</v>
      </c>
      <c r="I6022">
        <v>1.1299999999999999</v>
      </c>
      <c r="J6022">
        <v>0.8</v>
      </c>
      <c r="K6022">
        <v>0.74</v>
      </c>
      <c r="L6022">
        <v>0.19</v>
      </c>
      <c r="M6022">
        <v>0.65700000000000003</v>
      </c>
      <c r="N6022">
        <v>7.5999999999999998E-2</v>
      </c>
    </row>
    <row r="6023" spans="1:14" x14ac:dyDescent="0.25">
      <c r="A6023" t="s">
        <v>10822</v>
      </c>
      <c r="B6023" t="s">
        <v>10823</v>
      </c>
      <c r="C6023" s="1" t="str">
        <f>HYPERLINK("http://www.genecards.org/cgi-bin/carddisp.pl?gene=TFB1M","GeneCards")</f>
        <v>GeneCards</v>
      </c>
      <c r="D6023" s="1" t="str">
        <f>HYPERLINK("http://genome-euro.ucsc.edu/cgi-bin/hgTracks?position=219169_s_at","UCSC")</f>
        <v>UCSC</v>
      </c>
      <c r="E6023" s="1" t="str">
        <f>HYPERLINK("http://www.ncbi.nlm.nih.gov/gene/?term=TFB1M","NCBI")</f>
        <v>NCBI</v>
      </c>
      <c r="F6023">
        <v>6.5000000000000002E-2</v>
      </c>
      <c r="G6023">
        <v>0.18</v>
      </c>
      <c r="H6023" s="1" t="str">
        <f>HYPERLINK("http://www.weizmann.ac.il/complex/compphys/software/geview/data/figures/219169_s_at.png","Figure")</f>
        <v>Figure</v>
      </c>
      <c r="I6023">
        <v>0.91</v>
      </c>
      <c r="J6023">
        <v>0.69</v>
      </c>
      <c r="K6023">
        <v>1.18</v>
      </c>
      <c r="L6023">
        <v>0.24</v>
      </c>
      <c r="M6023">
        <v>1.3</v>
      </c>
      <c r="N6023">
        <v>6.7000000000000004E-2</v>
      </c>
    </row>
    <row r="6024" spans="1:14" x14ac:dyDescent="0.25">
      <c r="A6024" t="s">
        <v>10824</v>
      </c>
      <c r="B6024" t="s">
        <v>10825</v>
      </c>
      <c r="C6024" s="1" t="str">
        <f>HYPERLINK("http://www.genecards.org/cgi-bin/carddisp.pl?gene=CLGN","GeneCards")</f>
        <v>GeneCards</v>
      </c>
      <c r="D6024" s="1" t="str">
        <f>HYPERLINK("http://genome-euro.ucsc.edu/cgi-bin/hgTracks?position=205830_at","UCSC")</f>
        <v>UCSC</v>
      </c>
      <c r="E6024" s="1" t="str">
        <f>HYPERLINK("http://www.ncbi.nlm.nih.gov/gene/?term=CLGN","NCBI")</f>
        <v>NCBI</v>
      </c>
      <c r="F6024">
        <v>6.6000000000000003E-2</v>
      </c>
      <c r="G6024">
        <v>0.19</v>
      </c>
      <c r="H6024" s="1" t="str">
        <f>HYPERLINK("http://www.weizmann.ac.il/complex/compphys/software/geview/data/figures/205830_at.png","Figure")</f>
        <v>Figure</v>
      </c>
      <c r="I6024">
        <v>0.84399999999999997</v>
      </c>
      <c r="J6024">
        <v>0.1</v>
      </c>
      <c r="K6024">
        <v>1</v>
      </c>
      <c r="L6024">
        <v>1</v>
      </c>
      <c r="M6024">
        <v>1.19</v>
      </c>
      <c r="N6024">
        <v>7.6999999999999999E-2</v>
      </c>
    </row>
    <row r="6025" spans="1:14" x14ac:dyDescent="0.25">
      <c r="A6025" t="s">
        <v>10826</v>
      </c>
      <c r="B6025" t="s">
        <v>10827</v>
      </c>
      <c r="C6025" s="1" t="str">
        <f>HYPERLINK("http://www.genecards.org/cgi-bin/carddisp.pl?gene=STX3","GeneCards")</f>
        <v>GeneCards</v>
      </c>
      <c r="D6025" s="1" t="str">
        <f>HYPERLINK("http://genome-euro.ucsc.edu/cgi-bin/hgTracks?position=209238_at","UCSC")</f>
        <v>UCSC</v>
      </c>
      <c r="E6025" s="1" t="str">
        <f>HYPERLINK("http://www.ncbi.nlm.nih.gov/gene/?term=STX3","NCBI")</f>
        <v>NCBI</v>
      </c>
      <c r="F6025">
        <v>6.6000000000000003E-2</v>
      </c>
      <c r="G6025">
        <v>0.19</v>
      </c>
      <c r="H6025" s="1" t="str">
        <f>HYPERLINK("http://www.weizmann.ac.il/complex/compphys/software/geview/data/figures/209238_at.png","Figure")</f>
        <v>Figure</v>
      </c>
      <c r="I6025">
        <v>0.69</v>
      </c>
      <c r="J6025">
        <v>5.7000000000000002E-2</v>
      </c>
      <c r="K6025">
        <v>0.81100000000000005</v>
      </c>
      <c r="L6025">
        <v>0.25</v>
      </c>
      <c r="M6025">
        <v>1.17</v>
      </c>
      <c r="N6025">
        <v>0.48</v>
      </c>
    </row>
    <row r="6026" spans="1:14" x14ac:dyDescent="0.25">
      <c r="A6026" t="s">
        <v>10828</v>
      </c>
      <c r="B6026" t="s">
        <v>10829</v>
      </c>
      <c r="C6026" s="1" t="str">
        <f>HYPERLINK("http://www.genecards.org/cgi-bin/carddisp.pl?gene=RBM9","GeneCards")</f>
        <v>GeneCards</v>
      </c>
      <c r="D6026" s="1" t="str">
        <f>HYPERLINK("http://genome-euro.ucsc.edu/cgi-bin/hgTracks?position=212104_s_at","UCSC")</f>
        <v>UCSC</v>
      </c>
      <c r="E6026" s="1" t="str">
        <f>HYPERLINK("http://www.ncbi.nlm.nih.gov/gene/?term=RBM9","NCBI")</f>
        <v>NCBI</v>
      </c>
      <c r="F6026">
        <v>6.6000000000000003E-2</v>
      </c>
      <c r="G6026">
        <v>0.19</v>
      </c>
      <c r="H6026" s="1" t="str">
        <f>HYPERLINK("http://www.weizmann.ac.il/complex/compphys/software/geview/data/figures/212104_s_at.png","Figure")</f>
        <v>Figure</v>
      </c>
      <c r="I6026">
        <v>0.86599999999999999</v>
      </c>
      <c r="J6026">
        <v>0.28999999999999998</v>
      </c>
      <c r="K6026">
        <v>1.08</v>
      </c>
      <c r="L6026">
        <v>0.6</v>
      </c>
      <c r="M6026">
        <v>1.25</v>
      </c>
      <c r="N6026">
        <v>5.3999999999999999E-2</v>
      </c>
    </row>
    <row r="6027" spans="1:14" x14ac:dyDescent="0.25">
      <c r="A6027" t="s">
        <v>10830</v>
      </c>
      <c r="B6027" t="s">
        <v>10831</v>
      </c>
      <c r="C6027" s="1" t="str">
        <f>HYPERLINK("http://www.genecards.org/cgi-bin/carddisp.pl?gene=RINT1","GeneCards")</f>
        <v>GeneCards</v>
      </c>
      <c r="D6027" s="1" t="str">
        <f>HYPERLINK("http://genome-euro.ucsc.edu/cgi-bin/hgTracks?position=218598_at","UCSC")</f>
        <v>UCSC</v>
      </c>
      <c r="E6027" s="1" t="str">
        <f>HYPERLINK("http://www.ncbi.nlm.nih.gov/gene/?term=RINT1","NCBI")</f>
        <v>NCBI</v>
      </c>
      <c r="F6027">
        <v>6.6000000000000003E-2</v>
      </c>
      <c r="G6027">
        <v>0.19</v>
      </c>
      <c r="H6027" s="1" t="str">
        <f>HYPERLINK("http://www.weizmann.ac.il/complex/compphys/software/geview/data/figures/218598_at.png","Figure")</f>
        <v>Figure</v>
      </c>
      <c r="I6027">
        <v>0.96899999999999997</v>
      </c>
      <c r="J6027">
        <v>0.99</v>
      </c>
      <c r="K6027">
        <v>0.623</v>
      </c>
      <c r="L6027">
        <v>9.0999999999999998E-2</v>
      </c>
      <c r="M6027">
        <v>0.64300000000000002</v>
      </c>
      <c r="N6027">
        <v>0.15</v>
      </c>
    </row>
    <row r="6028" spans="1:14" x14ac:dyDescent="0.25">
      <c r="A6028" t="s">
        <v>10832</v>
      </c>
      <c r="B6028" t="s">
        <v>10833</v>
      </c>
      <c r="C6028" s="1" t="str">
        <f>HYPERLINK("http://www.genecards.org/cgi-bin/carddisp.pl?gene=CLEC1A","GeneCards")</f>
        <v>GeneCards</v>
      </c>
      <c r="D6028" s="1" t="str">
        <f>HYPERLINK("http://genome-euro.ucsc.edu/cgi-bin/hgTracks?position=219761_at","UCSC")</f>
        <v>UCSC</v>
      </c>
      <c r="E6028" s="1" t="str">
        <f>HYPERLINK("http://www.ncbi.nlm.nih.gov/gene/?term=CLEC1A","NCBI")</f>
        <v>NCBI</v>
      </c>
      <c r="F6028">
        <v>6.6000000000000003E-2</v>
      </c>
      <c r="G6028">
        <v>0.19</v>
      </c>
      <c r="H6028" s="1" t="str">
        <f>HYPERLINK("http://www.weizmann.ac.il/complex/compphys/software/geview/data/figures/219761_at.png","Figure")</f>
        <v>Figure</v>
      </c>
      <c r="I6028">
        <v>1.07</v>
      </c>
      <c r="J6028">
        <v>0.78</v>
      </c>
      <c r="K6028">
        <v>0.85099999999999998</v>
      </c>
      <c r="L6028">
        <v>0.2</v>
      </c>
      <c r="M6028">
        <v>0.79500000000000004</v>
      </c>
      <c r="N6028">
        <v>7.3999999999999996E-2</v>
      </c>
    </row>
    <row r="6029" spans="1:14" x14ac:dyDescent="0.25">
      <c r="A6029" t="s">
        <v>10834</v>
      </c>
      <c r="B6029" t="s">
        <v>10835</v>
      </c>
      <c r="C6029" s="1" t="str">
        <f>HYPERLINK("http://www.genecards.org/cgi-bin/carddisp.pl?gene=C2orf43","GeneCards")</f>
        <v>GeneCards</v>
      </c>
      <c r="D6029" s="1" t="str">
        <f>HYPERLINK("http://genome-euro.ucsc.edu/cgi-bin/hgTracks?position=222192_s_at","UCSC")</f>
        <v>UCSC</v>
      </c>
      <c r="E6029" s="1" t="str">
        <f>HYPERLINK("http://www.ncbi.nlm.nih.gov/gene/?term=C2orf43","NCBI")</f>
        <v>NCBI</v>
      </c>
      <c r="F6029">
        <v>6.6000000000000003E-2</v>
      </c>
      <c r="G6029">
        <v>0.19</v>
      </c>
      <c r="H6029" s="1" t="str">
        <f>HYPERLINK("http://www.weizmann.ac.il/complex/compphys/software/geview/data/figures/222192_s_at.png","Figure")</f>
        <v>Figure</v>
      </c>
      <c r="I6029">
        <v>0.88300000000000001</v>
      </c>
      <c r="J6029">
        <v>0.66</v>
      </c>
      <c r="K6029">
        <v>1.22</v>
      </c>
      <c r="L6029">
        <v>0.26</v>
      </c>
      <c r="M6029">
        <v>1.39</v>
      </c>
      <c r="N6029">
        <v>6.5000000000000002E-2</v>
      </c>
    </row>
    <row r="6030" spans="1:14" x14ac:dyDescent="0.25">
      <c r="A6030" t="s">
        <v>10836</v>
      </c>
      <c r="B6030" t="s">
        <v>10837</v>
      </c>
      <c r="C6030" s="1" t="str">
        <f>HYPERLINK("http://www.genecards.org/cgi-bin/carddisp.pl?gene=CAD","GeneCards")</f>
        <v>GeneCards</v>
      </c>
      <c r="D6030" s="1" t="str">
        <f>HYPERLINK("http://genome-euro.ucsc.edu/cgi-bin/hgTracks?position=202715_at","UCSC")</f>
        <v>UCSC</v>
      </c>
      <c r="E6030" s="1" t="str">
        <f>HYPERLINK("http://www.ncbi.nlm.nih.gov/gene/?term=CAD","NCBI")</f>
        <v>NCBI</v>
      </c>
      <c r="F6030">
        <v>6.6000000000000003E-2</v>
      </c>
      <c r="G6030">
        <v>0.19</v>
      </c>
      <c r="H6030" s="1" t="str">
        <f>HYPERLINK("http://www.weizmann.ac.il/complex/compphys/software/geview/data/figures/202715_at.png","Figure")</f>
        <v>Figure</v>
      </c>
      <c r="I6030">
        <v>0.96599999999999997</v>
      </c>
      <c r="J6030">
        <v>0.98</v>
      </c>
      <c r="K6030">
        <v>1.45</v>
      </c>
      <c r="L6030">
        <v>0.12</v>
      </c>
      <c r="M6030">
        <v>1.5</v>
      </c>
      <c r="N6030">
        <v>0.11</v>
      </c>
    </row>
    <row r="6031" spans="1:14" x14ac:dyDescent="0.25">
      <c r="A6031" t="s">
        <v>10838</v>
      </c>
      <c r="B6031" t="s">
        <v>10839</v>
      </c>
      <c r="C6031" s="1" t="str">
        <f>HYPERLINK("http://www.genecards.org/cgi-bin/carddisp.pl?gene=CCNL1","GeneCards")</f>
        <v>GeneCards</v>
      </c>
      <c r="D6031" s="1" t="str">
        <f>HYPERLINK("http://genome-euro.ucsc.edu/cgi-bin/hgTracks?position=220046_s_at","UCSC")</f>
        <v>UCSC</v>
      </c>
      <c r="E6031" s="1" t="str">
        <f>HYPERLINK("http://www.ncbi.nlm.nih.gov/gene/?term=CCNL1","NCBI")</f>
        <v>NCBI</v>
      </c>
      <c r="F6031">
        <v>6.6000000000000003E-2</v>
      </c>
      <c r="G6031">
        <v>0.19</v>
      </c>
      <c r="H6031" s="1" t="str">
        <f>HYPERLINK("http://www.weizmann.ac.il/complex/compphys/software/geview/data/figures/220046_s_at.png","Figure")</f>
        <v>Figure</v>
      </c>
      <c r="I6031">
        <v>0.68899999999999995</v>
      </c>
      <c r="J6031">
        <v>0.36</v>
      </c>
      <c r="K6031">
        <v>0.55000000000000004</v>
      </c>
      <c r="L6031">
        <v>5.3999999999999999E-2</v>
      </c>
      <c r="M6031">
        <v>0.79800000000000004</v>
      </c>
      <c r="N6031">
        <v>0.64</v>
      </c>
    </row>
    <row r="6032" spans="1:14" x14ac:dyDescent="0.25">
      <c r="A6032" t="s">
        <v>10840</v>
      </c>
      <c r="B6032" t="s">
        <v>10841</v>
      </c>
      <c r="C6032" s="1" t="str">
        <f>HYPERLINK("http://www.genecards.org/cgi-bin/carddisp.pl?gene=MDFIC","GeneCards")</f>
        <v>GeneCards</v>
      </c>
      <c r="D6032" s="1" t="str">
        <f>HYPERLINK("http://genome-euro.ucsc.edu/cgi-bin/hgTracks?position=211675_s_at","UCSC")</f>
        <v>UCSC</v>
      </c>
      <c r="E6032" s="1" t="str">
        <f>HYPERLINK("http://www.ncbi.nlm.nih.gov/gene/?term=MDFIC","NCBI")</f>
        <v>NCBI</v>
      </c>
      <c r="F6032">
        <v>6.6000000000000003E-2</v>
      </c>
      <c r="G6032">
        <v>0.19</v>
      </c>
      <c r="H6032" s="1" t="str">
        <f>HYPERLINK("http://www.weizmann.ac.il/complex/compphys/software/geview/data/figures/211675_s_at.png","Figure")</f>
        <v>Figure</v>
      </c>
      <c r="I6032">
        <v>0.76300000000000001</v>
      </c>
      <c r="J6032">
        <v>0.53</v>
      </c>
      <c r="K6032">
        <v>0.57299999999999995</v>
      </c>
      <c r="L6032">
        <v>5.5E-2</v>
      </c>
      <c r="M6032">
        <v>0.751</v>
      </c>
      <c r="N6032">
        <v>0.45</v>
      </c>
    </row>
    <row r="6033" spans="1:14" x14ac:dyDescent="0.25">
      <c r="A6033" t="s">
        <v>10842</v>
      </c>
      <c r="B6033" t="s">
        <v>10843</v>
      </c>
      <c r="C6033" s="1" t="str">
        <f>HYPERLINK("http://www.genecards.org/cgi-bin/carddisp.pl?gene=KIFAP3","GeneCards")</f>
        <v>GeneCards</v>
      </c>
      <c r="D6033" s="1" t="str">
        <f>HYPERLINK("http://genome-euro.ucsc.edu/cgi-bin/hgTracks?position=203333_at","UCSC")</f>
        <v>UCSC</v>
      </c>
      <c r="E6033" s="1" t="str">
        <f>HYPERLINK("http://www.ncbi.nlm.nih.gov/gene/?term=KIFAP3","NCBI")</f>
        <v>NCBI</v>
      </c>
      <c r="F6033">
        <v>6.6000000000000003E-2</v>
      </c>
      <c r="G6033">
        <v>0.19</v>
      </c>
      <c r="H6033" s="1" t="str">
        <f>HYPERLINK("http://www.weizmann.ac.il/complex/compphys/software/geview/data/figures/203333_at.png","Figure")</f>
        <v>Figure</v>
      </c>
      <c r="I6033">
        <v>0.92800000000000005</v>
      </c>
      <c r="J6033">
        <v>0.79</v>
      </c>
      <c r="K6033">
        <v>1.2</v>
      </c>
      <c r="L6033">
        <v>0.2</v>
      </c>
      <c r="M6033">
        <v>1.29</v>
      </c>
      <c r="N6033">
        <v>7.4999999999999997E-2</v>
      </c>
    </row>
    <row r="6034" spans="1:14" x14ac:dyDescent="0.25">
      <c r="A6034" t="s">
        <v>10844</v>
      </c>
      <c r="B6034" t="s">
        <v>10845</v>
      </c>
      <c r="C6034" s="1" t="str">
        <f>HYPERLINK("http://www.genecards.org/cgi-bin/carddisp.pl?gene=SERPINB7","GeneCards")</f>
        <v>GeneCards</v>
      </c>
      <c r="D6034" s="1" t="str">
        <f>HYPERLINK("http://genome-euro.ucsc.edu/cgi-bin/hgTracks?position=206421_s_at","UCSC")</f>
        <v>UCSC</v>
      </c>
      <c r="E6034" s="1" t="str">
        <f>HYPERLINK("http://www.ncbi.nlm.nih.gov/gene/?term=SERPINB7","NCBI")</f>
        <v>NCBI</v>
      </c>
      <c r="F6034">
        <v>6.6000000000000003E-2</v>
      </c>
      <c r="G6034">
        <v>0.19</v>
      </c>
      <c r="H6034" s="1" t="str">
        <f>HYPERLINK("http://www.weizmann.ac.il/complex/compphys/software/geview/data/figures/206421_s_at.png","Figure")</f>
        <v>Figure</v>
      </c>
      <c r="I6034">
        <v>1.1100000000000001</v>
      </c>
      <c r="J6034">
        <v>0.06</v>
      </c>
      <c r="K6034">
        <v>1.03</v>
      </c>
      <c r="L6034">
        <v>0.69</v>
      </c>
      <c r="M6034">
        <v>0.92600000000000005</v>
      </c>
      <c r="N6034">
        <v>0.17</v>
      </c>
    </row>
    <row r="6035" spans="1:14" x14ac:dyDescent="0.25">
      <c r="A6035" t="s">
        <v>10846</v>
      </c>
      <c r="B6035" t="s">
        <v>10847</v>
      </c>
      <c r="C6035" s="1" t="str">
        <f>HYPERLINK("http://www.genecards.org/cgi-bin/carddisp.pl?gene=DOC2B","GeneCards")</f>
        <v>GeneCards</v>
      </c>
      <c r="D6035" s="1" t="str">
        <f>HYPERLINK("http://genome-euro.ucsc.edu/cgi-bin/hgTracks?position=207311_at","UCSC")</f>
        <v>UCSC</v>
      </c>
      <c r="E6035" s="1" t="str">
        <f>HYPERLINK("http://www.ncbi.nlm.nih.gov/gene/?term=DOC2B","NCBI")</f>
        <v>NCBI</v>
      </c>
      <c r="F6035">
        <v>6.6000000000000003E-2</v>
      </c>
      <c r="G6035">
        <v>0.19</v>
      </c>
      <c r="H6035" s="1" t="str">
        <f>HYPERLINK("http://www.weizmann.ac.il/complex/compphys/software/geview/data/figures/207311_at.png","Figure")</f>
        <v>Figure</v>
      </c>
      <c r="I6035">
        <v>1.33</v>
      </c>
      <c r="J6035">
        <v>7.6999999999999999E-2</v>
      </c>
      <c r="K6035">
        <v>1.24</v>
      </c>
      <c r="L6035">
        <v>0.13</v>
      </c>
      <c r="M6035">
        <v>0.93400000000000005</v>
      </c>
      <c r="N6035">
        <v>0.82</v>
      </c>
    </row>
    <row r="6036" spans="1:14" x14ac:dyDescent="0.25">
      <c r="A6036" t="s">
        <v>10848</v>
      </c>
      <c r="B6036" t="s">
        <v>1760</v>
      </c>
      <c r="C6036" s="1" t="str">
        <f>HYPERLINK("http://www.genecards.org/cgi-bin/carddisp.pl?gene=PIK3R3","GeneCards")</f>
        <v>GeneCards</v>
      </c>
      <c r="D6036" s="1" t="str">
        <f>HYPERLINK("http://genome-euro.ucsc.edu/cgi-bin/hgTracks?position=211580_s_at","UCSC")</f>
        <v>UCSC</v>
      </c>
      <c r="E6036" s="1" t="str">
        <f>HYPERLINK("http://www.ncbi.nlm.nih.gov/gene/?term=PIK3R3","NCBI")</f>
        <v>NCBI</v>
      </c>
      <c r="F6036">
        <v>6.6000000000000003E-2</v>
      </c>
      <c r="G6036">
        <v>0.19</v>
      </c>
      <c r="H6036" s="1" t="str">
        <f>HYPERLINK("http://www.weizmann.ac.il/complex/compphys/software/geview/data/figures/211580_s_at.png","Figure")</f>
        <v>Figure</v>
      </c>
      <c r="I6036">
        <v>1.05</v>
      </c>
      <c r="J6036">
        <v>0.13</v>
      </c>
      <c r="K6036">
        <v>1.05</v>
      </c>
      <c r="L6036">
        <v>7.8E-2</v>
      </c>
      <c r="M6036">
        <v>1</v>
      </c>
      <c r="N6036">
        <v>1</v>
      </c>
    </row>
    <row r="6037" spans="1:14" x14ac:dyDescent="0.25">
      <c r="A6037" t="s">
        <v>10849</v>
      </c>
      <c r="B6037" t="s">
        <v>10850</v>
      </c>
      <c r="C6037" s="1" t="str">
        <f>HYPERLINK("http://www.genecards.org/cgi-bin/carddisp.pl?gene=LOC100287204","GeneCards")</f>
        <v>GeneCards</v>
      </c>
      <c r="D6037" s="1" t="str">
        <f>HYPERLINK("http://genome-euro.ucsc.edu/cgi-bin/hgTracks?position=217062_at","UCSC")</f>
        <v>UCSC</v>
      </c>
      <c r="E6037" s="1" t="str">
        <f>HYPERLINK("http://www.ncbi.nlm.nih.gov/gene/?term=LOC100287204","NCBI")</f>
        <v>NCBI</v>
      </c>
      <c r="F6037">
        <v>6.6000000000000003E-2</v>
      </c>
      <c r="G6037">
        <v>0.19</v>
      </c>
      <c r="H6037" s="1" t="str">
        <f>HYPERLINK("http://www.weizmann.ac.il/complex/compphys/software/geview/data/figures/217062_at.png","Figure")</f>
        <v>Figure</v>
      </c>
      <c r="I6037">
        <v>1.0900000000000001</v>
      </c>
      <c r="J6037">
        <v>0.41</v>
      </c>
      <c r="K6037">
        <v>1.17</v>
      </c>
      <c r="L6037">
        <v>5.3999999999999999E-2</v>
      </c>
      <c r="M6037">
        <v>1.07</v>
      </c>
      <c r="N6037">
        <v>0.57999999999999996</v>
      </c>
    </row>
    <row r="6038" spans="1:14" x14ac:dyDescent="0.25">
      <c r="A6038" t="s">
        <v>10851</v>
      </c>
      <c r="B6038" t="s">
        <v>10852</v>
      </c>
      <c r="C6038" s="1" t="str">
        <f>HYPERLINK("http://www.genecards.org/cgi-bin/carddisp.pl?gene=HAND2","GeneCards")</f>
        <v>GeneCards</v>
      </c>
      <c r="D6038" s="1" t="str">
        <f>HYPERLINK("http://genome-euro.ucsc.edu/cgi-bin/hgTracks?position=220480_at","UCSC")</f>
        <v>UCSC</v>
      </c>
      <c r="E6038" s="1" t="str">
        <f>HYPERLINK("http://www.ncbi.nlm.nih.gov/gene/?term=HAND2","NCBI")</f>
        <v>NCBI</v>
      </c>
      <c r="F6038">
        <v>6.6000000000000003E-2</v>
      </c>
      <c r="G6038">
        <v>0.19</v>
      </c>
      <c r="H6038" s="1" t="str">
        <f>HYPERLINK("http://www.weizmann.ac.il/complex/compphys/software/geview/data/figures/220480_at.png","Figure")</f>
        <v>Figure</v>
      </c>
      <c r="I6038">
        <v>1.1200000000000001</v>
      </c>
      <c r="J6038">
        <v>0.13</v>
      </c>
      <c r="K6038">
        <v>1.1200000000000001</v>
      </c>
      <c r="L6038">
        <v>7.8E-2</v>
      </c>
      <c r="M6038">
        <v>1</v>
      </c>
      <c r="N6038">
        <v>1</v>
      </c>
    </row>
    <row r="6039" spans="1:14" x14ac:dyDescent="0.25">
      <c r="A6039" t="s">
        <v>10853</v>
      </c>
      <c r="B6039" t="s">
        <v>10854</v>
      </c>
      <c r="C6039" s="1" t="str">
        <f>HYPERLINK("http://www.genecards.org/cgi-bin/carddisp.pl?gene=KPNA3","GeneCards")</f>
        <v>GeneCards</v>
      </c>
      <c r="D6039" s="1" t="str">
        <f>HYPERLINK("http://genome-euro.ucsc.edu/cgi-bin/hgTracks?position=221502_at","UCSC")</f>
        <v>UCSC</v>
      </c>
      <c r="E6039" s="1" t="str">
        <f>HYPERLINK("http://www.ncbi.nlm.nih.gov/gene/?term=KPNA3","NCBI")</f>
        <v>NCBI</v>
      </c>
      <c r="F6039">
        <v>6.6000000000000003E-2</v>
      </c>
      <c r="G6039">
        <v>0.19</v>
      </c>
      <c r="H6039" s="1" t="str">
        <f>HYPERLINK("http://www.weizmann.ac.il/complex/compphys/software/geview/data/figures/221502_at.png","Figure")</f>
        <v>Figure</v>
      </c>
      <c r="I6039">
        <v>1.03</v>
      </c>
      <c r="J6039">
        <v>0.97</v>
      </c>
      <c r="K6039">
        <v>0.80600000000000005</v>
      </c>
      <c r="L6039">
        <v>0.13</v>
      </c>
      <c r="M6039">
        <v>0.78400000000000003</v>
      </c>
      <c r="N6039">
        <v>0.11</v>
      </c>
    </row>
    <row r="6040" spans="1:14" x14ac:dyDescent="0.25">
      <c r="A6040" t="s">
        <v>10855</v>
      </c>
      <c r="B6040" t="s">
        <v>10856</v>
      </c>
      <c r="C6040" s="1" t="str">
        <f>HYPERLINK("http://www.genecards.org/cgi-bin/carddisp.pl?gene=TUSC4","GeneCards")</f>
        <v>GeneCards</v>
      </c>
      <c r="D6040" s="1" t="str">
        <f>HYPERLINK("http://genome-euro.ucsc.edu/cgi-bin/hgTracks?position=210373_at","UCSC")</f>
        <v>UCSC</v>
      </c>
      <c r="E6040" s="1" t="str">
        <f>HYPERLINK("http://www.ncbi.nlm.nih.gov/gene/?term=TUSC4","NCBI")</f>
        <v>NCBI</v>
      </c>
      <c r="F6040">
        <v>6.6000000000000003E-2</v>
      </c>
      <c r="G6040">
        <v>0.19</v>
      </c>
      <c r="H6040" s="1" t="str">
        <f>HYPERLINK("http://www.weizmann.ac.il/complex/compphys/software/geview/data/figures/210373_at.png","Figure")</f>
        <v>Figure</v>
      </c>
      <c r="I6040">
        <v>1.18</v>
      </c>
      <c r="J6040">
        <v>5.8999999999999997E-2</v>
      </c>
      <c r="K6040">
        <v>1.05</v>
      </c>
      <c r="L6040">
        <v>0.67</v>
      </c>
      <c r="M6040">
        <v>0.89100000000000001</v>
      </c>
      <c r="N6040">
        <v>0.17</v>
      </c>
    </row>
    <row r="6041" spans="1:14" x14ac:dyDescent="0.25">
      <c r="A6041" t="s">
        <v>10857</v>
      </c>
      <c r="B6041" t="s">
        <v>10858</v>
      </c>
      <c r="C6041" s="1" t="str">
        <f>HYPERLINK("http://www.genecards.org/cgi-bin/carddisp.pl?gene=FXYD3","GeneCards")</f>
        <v>GeneCards</v>
      </c>
      <c r="D6041" s="1" t="str">
        <f>HYPERLINK("http://genome-euro.ucsc.edu/cgi-bin/hgTracks?position=202489_s_at","UCSC")</f>
        <v>UCSC</v>
      </c>
      <c r="E6041" s="1" t="str">
        <f>HYPERLINK("http://www.ncbi.nlm.nih.gov/gene/?term=FXYD3","NCBI")</f>
        <v>NCBI</v>
      </c>
      <c r="F6041">
        <v>6.6000000000000003E-2</v>
      </c>
      <c r="G6041">
        <v>0.19</v>
      </c>
      <c r="H6041" s="1" t="str">
        <f>HYPERLINK("http://www.weizmann.ac.il/complex/compphys/software/geview/data/figures/202489_s_at.png","Figure")</f>
        <v>Figure</v>
      </c>
      <c r="I6041">
        <v>1.24</v>
      </c>
      <c r="J6041">
        <v>5.6000000000000001E-2</v>
      </c>
      <c r="K6041">
        <v>1.08</v>
      </c>
      <c r="L6041">
        <v>0.55000000000000004</v>
      </c>
      <c r="M6041">
        <v>0.87</v>
      </c>
      <c r="N6041">
        <v>0.22</v>
      </c>
    </row>
    <row r="6042" spans="1:14" x14ac:dyDescent="0.25">
      <c r="A6042" t="s">
        <v>10859</v>
      </c>
      <c r="B6042" t="s">
        <v>10860</v>
      </c>
      <c r="C6042" s="1" t="str">
        <f>HYPERLINK("http://www.genecards.org/cgi-bin/carddisp.pl?gene=TSPAN5","GeneCards")</f>
        <v>GeneCards</v>
      </c>
      <c r="D6042" s="1" t="str">
        <f>HYPERLINK("http://genome-euro.ucsc.edu/cgi-bin/hgTracks?position=209890_at","UCSC")</f>
        <v>UCSC</v>
      </c>
      <c r="E6042" s="1" t="str">
        <f>HYPERLINK("http://www.ncbi.nlm.nih.gov/gene/?term=TSPAN5","NCBI")</f>
        <v>NCBI</v>
      </c>
      <c r="F6042">
        <v>6.6000000000000003E-2</v>
      </c>
      <c r="G6042">
        <v>0.19</v>
      </c>
      <c r="H6042" s="1" t="str">
        <f>HYPERLINK("http://www.weizmann.ac.il/complex/compphys/software/geview/data/figures/209890_at.png","Figure")</f>
        <v>Figure</v>
      </c>
      <c r="I6042">
        <v>0.60899999999999999</v>
      </c>
      <c r="J6042">
        <v>5.3999999999999999E-2</v>
      </c>
      <c r="K6042">
        <v>0.80300000000000005</v>
      </c>
      <c r="L6042">
        <v>0.41</v>
      </c>
      <c r="M6042">
        <v>1.32</v>
      </c>
      <c r="N6042">
        <v>0.3</v>
      </c>
    </row>
    <row r="6043" spans="1:14" x14ac:dyDescent="0.25">
      <c r="A6043" t="s">
        <v>10861</v>
      </c>
      <c r="B6043" t="s">
        <v>10862</v>
      </c>
      <c r="C6043" s="1" t="str">
        <f>HYPERLINK("http://www.genecards.org/cgi-bin/carddisp.pl?gene=NCR1","GeneCards")</f>
        <v>GeneCards</v>
      </c>
      <c r="D6043" s="1" t="str">
        <f>HYPERLINK("http://genome-euro.ucsc.edu/cgi-bin/hgTracks?position=217095_x_at","UCSC")</f>
        <v>UCSC</v>
      </c>
      <c r="E6043" s="1" t="str">
        <f>HYPERLINK("http://www.ncbi.nlm.nih.gov/gene/?term=NCR1","NCBI")</f>
        <v>NCBI</v>
      </c>
      <c r="F6043">
        <v>6.6000000000000003E-2</v>
      </c>
      <c r="G6043">
        <v>0.19</v>
      </c>
      <c r="H6043" s="1" t="str">
        <f>HYPERLINK("http://www.weizmann.ac.il/complex/compphys/software/geview/data/figures/217095_x_at.png","Figure")</f>
        <v>Figure</v>
      </c>
      <c r="I6043">
        <v>1.1200000000000001</v>
      </c>
      <c r="J6043">
        <v>0.28999999999999998</v>
      </c>
      <c r="K6043">
        <v>0.93899999999999995</v>
      </c>
      <c r="L6043">
        <v>0.6</v>
      </c>
      <c r="M6043">
        <v>0.83699999999999997</v>
      </c>
      <c r="N6043">
        <v>5.3999999999999999E-2</v>
      </c>
    </row>
    <row r="6044" spans="1:14" x14ac:dyDescent="0.25">
      <c r="A6044" t="s">
        <v>10863</v>
      </c>
      <c r="B6044" t="s">
        <v>10864</v>
      </c>
      <c r="C6044" s="1" t="str">
        <f>HYPERLINK("http://www.genecards.org/cgi-bin/carddisp.pl?gene=UBE2D3","GeneCards")</f>
        <v>GeneCards</v>
      </c>
      <c r="D6044" s="1" t="str">
        <f>HYPERLINK("http://genome-euro.ucsc.edu/cgi-bin/hgTracks?position=200669_s_at","UCSC")</f>
        <v>UCSC</v>
      </c>
      <c r="E6044" s="1" t="str">
        <f>HYPERLINK("http://www.ncbi.nlm.nih.gov/gene/?term=UBE2D3","NCBI")</f>
        <v>NCBI</v>
      </c>
      <c r="F6044">
        <v>6.6000000000000003E-2</v>
      </c>
      <c r="G6044">
        <v>0.19</v>
      </c>
      <c r="H6044" s="1" t="str">
        <f>HYPERLINK("http://www.weizmann.ac.il/complex/compphys/software/geview/data/figures/200669_s_at.png","Figure")</f>
        <v>Figure</v>
      </c>
      <c r="I6044">
        <v>0.99099999999999999</v>
      </c>
      <c r="J6044">
        <v>1</v>
      </c>
      <c r="K6044">
        <v>0.67400000000000004</v>
      </c>
      <c r="L6044">
        <v>9.8000000000000004E-2</v>
      </c>
      <c r="M6044">
        <v>0.68</v>
      </c>
      <c r="N6044">
        <v>0.14000000000000001</v>
      </c>
    </row>
    <row r="6045" spans="1:14" x14ac:dyDescent="0.25">
      <c r="A6045" t="s">
        <v>10865</v>
      </c>
      <c r="B6045" t="s">
        <v>10866</v>
      </c>
      <c r="C6045" s="1" t="str">
        <f>HYPERLINK("http://www.genecards.org/cgi-bin/carddisp.pl?gene=RARRES3","GeneCards")</f>
        <v>GeneCards</v>
      </c>
      <c r="D6045" s="1" t="str">
        <f>HYPERLINK("http://genome-euro.ucsc.edu/cgi-bin/hgTracks?position=204070_at","UCSC")</f>
        <v>UCSC</v>
      </c>
      <c r="E6045" s="1" t="str">
        <f>HYPERLINK("http://www.ncbi.nlm.nih.gov/gene/?term=RARRES3","NCBI")</f>
        <v>NCBI</v>
      </c>
      <c r="F6045">
        <v>6.6000000000000003E-2</v>
      </c>
      <c r="G6045">
        <v>0.19</v>
      </c>
      <c r="H6045" s="1" t="str">
        <f>HYPERLINK("http://www.weizmann.ac.il/complex/compphys/software/geview/data/figures/204070_at.png","Figure")</f>
        <v>Figure</v>
      </c>
      <c r="I6045">
        <v>1.56</v>
      </c>
      <c r="J6045">
        <v>5.6000000000000001E-2</v>
      </c>
      <c r="K6045">
        <v>1.27</v>
      </c>
      <c r="L6045">
        <v>0.28999999999999998</v>
      </c>
      <c r="M6045">
        <v>0.81100000000000005</v>
      </c>
      <c r="N6045">
        <v>0.42</v>
      </c>
    </row>
    <row r="6046" spans="1:14" x14ac:dyDescent="0.25">
      <c r="A6046" t="s">
        <v>10867</v>
      </c>
      <c r="B6046" t="s">
        <v>10868</v>
      </c>
      <c r="C6046" s="1" t="str">
        <f>HYPERLINK("http://www.genecards.org/cgi-bin/carddisp.pl?gene=VOPP1","GeneCards")</f>
        <v>GeneCards</v>
      </c>
      <c r="D6046" s="1" t="str">
        <f>HYPERLINK("http://genome-euro.ucsc.edu/cgi-bin/hgTracks?position=208091_s_at","UCSC")</f>
        <v>UCSC</v>
      </c>
      <c r="E6046" s="1" t="str">
        <f>HYPERLINK("http://www.ncbi.nlm.nih.gov/gene/?term=VOPP1","NCBI")</f>
        <v>NCBI</v>
      </c>
      <c r="F6046">
        <v>6.6000000000000003E-2</v>
      </c>
      <c r="G6046">
        <v>0.19</v>
      </c>
      <c r="H6046" s="1" t="str">
        <f>HYPERLINK("http://www.weizmann.ac.il/complex/compphys/software/geview/data/figures/208091_s_at.png","Figure")</f>
        <v>Figure</v>
      </c>
      <c r="I6046">
        <v>1.1499999999999999</v>
      </c>
      <c r="J6046">
        <v>0.82</v>
      </c>
      <c r="K6046">
        <v>1.63</v>
      </c>
      <c r="L6046">
        <v>6.6000000000000003E-2</v>
      </c>
      <c r="M6046">
        <v>1.42</v>
      </c>
      <c r="N6046">
        <v>0.25</v>
      </c>
    </row>
    <row r="6047" spans="1:14" x14ac:dyDescent="0.25">
      <c r="A6047" t="s">
        <v>10869</v>
      </c>
      <c r="B6047" t="s">
        <v>10870</v>
      </c>
      <c r="C6047" s="1" t="str">
        <f>HYPERLINK("http://www.genecards.org/cgi-bin/carddisp.pl?gene=NIPBL","GeneCards")</f>
        <v>GeneCards</v>
      </c>
      <c r="D6047" s="1" t="str">
        <f>HYPERLINK("http://genome-euro.ucsc.edu/cgi-bin/hgTracks?position=212469_at","UCSC")</f>
        <v>UCSC</v>
      </c>
      <c r="E6047" s="1" t="str">
        <f>HYPERLINK("http://www.ncbi.nlm.nih.gov/gene/?term=NIPBL","NCBI")</f>
        <v>NCBI</v>
      </c>
      <c r="F6047">
        <v>6.6000000000000003E-2</v>
      </c>
      <c r="G6047">
        <v>0.19</v>
      </c>
      <c r="H6047" s="1" t="str">
        <f>HYPERLINK("http://www.weizmann.ac.il/complex/compphys/software/geview/data/figures/212469_at.png","Figure")</f>
        <v>Figure</v>
      </c>
      <c r="I6047">
        <v>1.35</v>
      </c>
      <c r="J6047">
        <v>9.6000000000000002E-2</v>
      </c>
      <c r="K6047">
        <v>1.01</v>
      </c>
      <c r="L6047">
        <v>1</v>
      </c>
      <c r="M6047">
        <v>0.747</v>
      </c>
      <c r="N6047">
        <v>8.2000000000000003E-2</v>
      </c>
    </row>
    <row r="6048" spans="1:14" x14ac:dyDescent="0.25">
      <c r="A6048" t="s">
        <v>10871</v>
      </c>
      <c r="B6048" t="s">
        <v>10872</v>
      </c>
      <c r="C6048" s="1" t="str">
        <f>HYPERLINK("http://www.genecards.org/cgi-bin/carddisp.pl?gene=DNAJB1","GeneCards")</f>
        <v>GeneCards</v>
      </c>
      <c r="D6048" s="1" t="str">
        <f>HYPERLINK("http://genome-euro.ucsc.edu/cgi-bin/hgTracks?position=200664_s_at","UCSC")</f>
        <v>UCSC</v>
      </c>
      <c r="E6048" s="1" t="str">
        <f>HYPERLINK("http://www.ncbi.nlm.nih.gov/gene/?term=DNAJB1","NCBI")</f>
        <v>NCBI</v>
      </c>
      <c r="F6048">
        <v>6.6000000000000003E-2</v>
      </c>
      <c r="G6048">
        <v>0.19</v>
      </c>
      <c r="H6048" s="1" t="str">
        <f>HYPERLINK("http://www.weizmann.ac.il/complex/compphys/software/geview/data/figures/200664_s_at.png","Figure")</f>
        <v>Figure</v>
      </c>
      <c r="I6048">
        <v>0.83699999999999997</v>
      </c>
      <c r="J6048">
        <v>0.67</v>
      </c>
      <c r="K6048">
        <v>0.63400000000000001</v>
      </c>
      <c r="L6048">
        <v>5.8999999999999997E-2</v>
      </c>
      <c r="M6048">
        <v>0.75800000000000001</v>
      </c>
      <c r="N6048">
        <v>0.35</v>
      </c>
    </row>
    <row r="6049" spans="1:14" x14ac:dyDescent="0.25">
      <c r="A6049" t="s">
        <v>10873</v>
      </c>
      <c r="B6049" t="s">
        <v>10874</v>
      </c>
      <c r="C6049" s="1" t="str">
        <f>HYPERLINK("http://www.genecards.org/cgi-bin/carddisp.pl?gene=C1orf50","GeneCards")</f>
        <v>GeneCards</v>
      </c>
      <c r="D6049" s="1" t="str">
        <f>HYPERLINK("http://genome-euro.ucsc.edu/cgi-bin/hgTracks?position=62212_at","UCSC")</f>
        <v>UCSC</v>
      </c>
      <c r="E6049" s="1" t="str">
        <f>HYPERLINK("http://www.ncbi.nlm.nih.gov/gene/?term=C1orf50","NCBI")</f>
        <v>NCBI</v>
      </c>
      <c r="F6049">
        <v>6.6000000000000003E-2</v>
      </c>
      <c r="G6049">
        <v>0.19</v>
      </c>
      <c r="H6049" s="1" t="str">
        <f>HYPERLINK("http://www.weizmann.ac.il/complex/compphys/software/geview/data/figures/62212_at.png","Figure")</f>
        <v>Figure</v>
      </c>
      <c r="I6049">
        <v>0.79300000000000004</v>
      </c>
      <c r="J6049">
        <v>0.11</v>
      </c>
      <c r="K6049">
        <v>0.80600000000000005</v>
      </c>
      <c r="L6049">
        <v>8.7999999999999995E-2</v>
      </c>
      <c r="M6049">
        <v>1.02</v>
      </c>
      <c r="N6049">
        <v>0.99</v>
      </c>
    </row>
    <row r="6050" spans="1:14" x14ac:dyDescent="0.25">
      <c r="A6050" t="s">
        <v>10875</v>
      </c>
      <c r="B6050" t="s">
        <v>10876</v>
      </c>
      <c r="C6050" s="1" t="str">
        <f>HYPERLINK("http://www.genecards.org/cgi-bin/carddisp.pl?gene=KPNA1","GeneCards")</f>
        <v>GeneCards</v>
      </c>
      <c r="D6050" s="1" t="str">
        <f>HYPERLINK("http://genome-euro.ucsc.edu/cgi-bin/hgTracks?position=202055_at","UCSC")</f>
        <v>UCSC</v>
      </c>
      <c r="E6050" s="1" t="str">
        <f>HYPERLINK("http://www.ncbi.nlm.nih.gov/gene/?term=KPNA1","NCBI")</f>
        <v>NCBI</v>
      </c>
      <c r="F6050">
        <v>6.6000000000000003E-2</v>
      </c>
      <c r="G6050">
        <v>0.19</v>
      </c>
      <c r="H6050" s="1" t="str">
        <f>HYPERLINK("http://www.weizmann.ac.il/complex/compphys/software/geview/data/figures/202055_at.png","Figure")</f>
        <v>Figure</v>
      </c>
      <c r="I6050">
        <v>1.46</v>
      </c>
      <c r="J6050">
        <v>8.3000000000000004E-2</v>
      </c>
      <c r="K6050">
        <v>1.04</v>
      </c>
      <c r="L6050">
        <v>0.96</v>
      </c>
      <c r="M6050">
        <v>0.71099999999999997</v>
      </c>
      <c r="N6050">
        <v>9.5000000000000001E-2</v>
      </c>
    </row>
    <row r="6051" spans="1:14" x14ac:dyDescent="0.25">
      <c r="A6051" t="s">
        <v>10877</v>
      </c>
      <c r="B6051" t="s">
        <v>10878</v>
      </c>
      <c r="C6051" s="1" t="str">
        <f>HYPERLINK("http://www.genecards.org/cgi-bin/carddisp.pl?gene=AGAP2","GeneCards")</f>
        <v>GeneCards</v>
      </c>
      <c r="D6051" s="1" t="str">
        <f>HYPERLINK("http://genome-euro.ucsc.edu/cgi-bin/hgTracks?position=206152_at","UCSC")</f>
        <v>UCSC</v>
      </c>
      <c r="E6051" s="1" t="str">
        <f>HYPERLINK("http://www.ncbi.nlm.nih.gov/gene/?term=AGAP2","NCBI")</f>
        <v>NCBI</v>
      </c>
      <c r="F6051">
        <v>6.6000000000000003E-2</v>
      </c>
      <c r="G6051">
        <v>0.19</v>
      </c>
      <c r="H6051" s="1" t="str">
        <f>HYPERLINK("http://www.weizmann.ac.il/complex/compphys/software/geview/data/figures/206152_at.png","Figure")</f>
        <v>Figure</v>
      </c>
      <c r="I6051">
        <v>1.24</v>
      </c>
      <c r="J6051">
        <v>5.3999999999999999E-2</v>
      </c>
      <c r="K6051">
        <v>1.1000000000000001</v>
      </c>
      <c r="L6051">
        <v>0.41</v>
      </c>
      <c r="M6051">
        <v>0.88700000000000001</v>
      </c>
      <c r="N6051">
        <v>0.3</v>
      </c>
    </row>
    <row r="6052" spans="1:14" x14ac:dyDescent="0.25">
      <c r="A6052" t="s">
        <v>10879</v>
      </c>
      <c r="B6052" t="s">
        <v>1726</v>
      </c>
      <c r="C6052" s="1" t="str">
        <f>HYPERLINK("http://www.genecards.org/cgi-bin/carddisp.pl?gene=AIMP2","GeneCards")</f>
        <v>GeneCards</v>
      </c>
      <c r="D6052" s="1" t="str">
        <f>HYPERLINK("http://genome-euro.ucsc.edu/cgi-bin/hgTracks?position=209972_s_at","UCSC")</f>
        <v>UCSC</v>
      </c>
      <c r="E6052" s="1" t="str">
        <f>HYPERLINK("http://www.ncbi.nlm.nih.gov/gene/?term=AIMP2","NCBI")</f>
        <v>NCBI</v>
      </c>
      <c r="F6052">
        <v>6.6000000000000003E-2</v>
      </c>
      <c r="G6052">
        <v>0.19</v>
      </c>
      <c r="H6052" s="1" t="str">
        <f>HYPERLINK("http://www.weizmann.ac.il/complex/compphys/software/geview/data/figures/209972_s_at.png","Figure")</f>
        <v>Figure</v>
      </c>
      <c r="I6052">
        <v>1.21</v>
      </c>
      <c r="J6052">
        <v>0.17</v>
      </c>
      <c r="K6052">
        <v>1.24</v>
      </c>
      <c r="L6052">
        <v>6.8000000000000005E-2</v>
      </c>
      <c r="M6052">
        <v>1.02</v>
      </c>
      <c r="N6052">
        <v>0.97</v>
      </c>
    </row>
    <row r="6053" spans="1:14" x14ac:dyDescent="0.25">
      <c r="A6053" t="s">
        <v>10880</v>
      </c>
      <c r="B6053" t="s">
        <v>10881</v>
      </c>
      <c r="C6053" s="1" t="str">
        <f>HYPERLINK("http://www.genecards.org/cgi-bin/carddisp.pl?gene=MYO15A","GeneCards")</f>
        <v>GeneCards</v>
      </c>
      <c r="D6053" s="1" t="str">
        <f>HYPERLINK("http://genome-euro.ucsc.edu/cgi-bin/hgTracks?position=220288_at","UCSC")</f>
        <v>UCSC</v>
      </c>
      <c r="E6053" s="1" t="str">
        <f>HYPERLINK("http://www.ncbi.nlm.nih.gov/gene/?term=MYO15A","NCBI")</f>
        <v>NCBI</v>
      </c>
      <c r="F6053">
        <v>6.6000000000000003E-2</v>
      </c>
      <c r="G6053">
        <v>0.19</v>
      </c>
      <c r="H6053" s="1" t="str">
        <f>HYPERLINK("http://www.weizmann.ac.il/complex/compphys/software/geview/data/figures/220288_at.png","Figure")</f>
        <v>Figure</v>
      </c>
      <c r="I6053">
        <v>1.19</v>
      </c>
      <c r="J6053">
        <v>0.06</v>
      </c>
      <c r="K6053">
        <v>1.05</v>
      </c>
      <c r="L6053">
        <v>0.7</v>
      </c>
      <c r="M6053">
        <v>0.88100000000000001</v>
      </c>
      <c r="N6053">
        <v>0.16</v>
      </c>
    </row>
    <row r="6054" spans="1:14" x14ac:dyDescent="0.25">
      <c r="A6054" t="s">
        <v>10882</v>
      </c>
      <c r="B6054" t="s">
        <v>10883</v>
      </c>
      <c r="C6054" s="1" t="str">
        <f>HYPERLINK("http://www.genecards.org/cgi-bin/carddisp.pl?gene=GNG3","GeneCards")</f>
        <v>GeneCards</v>
      </c>
      <c r="D6054" s="1" t="str">
        <f>HYPERLINK("http://genome-euro.ucsc.edu/cgi-bin/hgTracks?position=222005_s_at","UCSC")</f>
        <v>UCSC</v>
      </c>
      <c r="E6054" s="1" t="str">
        <f>HYPERLINK("http://www.ncbi.nlm.nih.gov/gene/?term=GNG3","NCBI")</f>
        <v>NCBI</v>
      </c>
      <c r="F6054">
        <v>6.6000000000000003E-2</v>
      </c>
      <c r="G6054">
        <v>0.19</v>
      </c>
      <c r="H6054" s="1" t="str">
        <f>HYPERLINK("http://www.weizmann.ac.il/complex/compphys/software/geview/data/figures/222005_s_at.png","Figure")</f>
        <v>Figure</v>
      </c>
      <c r="I6054">
        <v>1.3</v>
      </c>
      <c r="J6054">
        <v>5.5E-2</v>
      </c>
      <c r="K6054">
        <v>1.1399999999999999</v>
      </c>
      <c r="L6054">
        <v>0.33</v>
      </c>
      <c r="M6054">
        <v>0.876</v>
      </c>
      <c r="N6054">
        <v>0.38</v>
      </c>
    </row>
    <row r="6055" spans="1:14" x14ac:dyDescent="0.25">
      <c r="A6055" t="s">
        <v>10884</v>
      </c>
      <c r="B6055" t="s">
        <v>6832</v>
      </c>
      <c r="C6055" s="1" t="str">
        <f>HYPERLINK("http://www.genecards.org/cgi-bin/carddisp.pl?gene=MYO9B","GeneCards")</f>
        <v>GeneCards</v>
      </c>
      <c r="D6055" s="1" t="str">
        <f>HYPERLINK("http://genome-euro.ucsc.edu/cgi-bin/hgTracks?position=208452_x_at","UCSC")</f>
        <v>UCSC</v>
      </c>
      <c r="E6055" s="1" t="str">
        <f>HYPERLINK("http://www.ncbi.nlm.nih.gov/gene/?term=MYO9B","NCBI")</f>
        <v>NCBI</v>
      </c>
      <c r="F6055">
        <v>6.6000000000000003E-2</v>
      </c>
      <c r="G6055">
        <v>0.19</v>
      </c>
      <c r="H6055" s="1" t="str">
        <f>HYPERLINK("http://www.weizmann.ac.il/complex/compphys/software/geview/data/figures/208452_x_at.png","Figure")</f>
        <v>Figure</v>
      </c>
      <c r="I6055">
        <v>1.2</v>
      </c>
      <c r="J6055">
        <v>0.11</v>
      </c>
      <c r="K6055">
        <v>0.99199999999999999</v>
      </c>
      <c r="L6055">
        <v>0.99</v>
      </c>
      <c r="M6055">
        <v>0.82499999999999996</v>
      </c>
      <c r="N6055">
        <v>7.2999999999999995E-2</v>
      </c>
    </row>
    <row r="6056" spans="1:14" x14ac:dyDescent="0.25">
      <c r="A6056" t="s">
        <v>10885</v>
      </c>
      <c r="B6056" t="s">
        <v>10886</v>
      </c>
      <c r="C6056" s="1" t="str">
        <f>HYPERLINK("http://www.genecards.org/cgi-bin/carddisp.pl?gene=BAT2D1","GeneCards")</f>
        <v>GeneCards</v>
      </c>
      <c r="D6056" s="1" t="str">
        <f>HYPERLINK("http://genome-euro.ucsc.edu/cgi-bin/hgTracks?position=211944_at","UCSC")</f>
        <v>UCSC</v>
      </c>
      <c r="E6056" s="1" t="str">
        <f>HYPERLINK("http://www.ncbi.nlm.nih.gov/gene/?term=BAT2D1","NCBI")</f>
        <v>NCBI</v>
      </c>
      <c r="F6056">
        <v>6.6000000000000003E-2</v>
      </c>
      <c r="G6056">
        <v>0.19</v>
      </c>
      <c r="H6056" s="1" t="str">
        <f>HYPERLINK("http://www.weizmann.ac.il/complex/compphys/software/geview/data/figures/211944_at.png","Figure")</f>
        <v>Figure</v>
      </c>
      <c r="I6056">
        <v>1.57</v>
      </c>
      <c r="J6056">
        <v>0.11</v>
      </c>
      <c r="K6056">
        <v>0.99299999999999999</v>
      </c>
      <c r="L6056">
        <v>1</v>
      </c>
      <c r="M6056">
        <v>0.63300000000000001</v>
      </c>
      <c r="N6056">
        <v>7.5999999999999998E-2</v>
      </c>
    </row>
    <row r="6057" spans="1:14" x14ac:dyDescent="0.25">
      <c r="A6057" t="s">
        <v>10887</v>
      </c>
      <c r="B6057" t="s">
        <v>10888</v>
      </c>
      <c r="C6057" s="1" t="str">
        <f>HYPERLINK("http://www.genecards.org/cgi-bin/carddisp.pl?gene=SLC5A2","GeneCards")</f>
        <v>GeneCards</v>
      </c>
      <c r="D6057" s="1" t="str">
        <f>HYPERLINK("http://genome-euro.ucsc.edu/cgi-bin/hgTracks?position=207771_at","UCSC")</f>
        <v>UCSC</v>
      </c>
      <c r="E6057" s="1" t="str">
        <f>HYPERLINK("http://www.ncbi.nlm.nih.gov/gene/?term=SLC5A2","NCBI")</f>
        <v>NCBI</v>
      </c>
      <c r="F6057">
        <v>6.6000000000000003E-2</v>
      </c>
      <c r="G6057">
        <v>0.19</v>
      </c>
      <c r="H6057" s="1" t="str">
        <f>HYPERLINK("http://www.weizmann.ac.il/complex/compphys/software/geview/data/figures/207771_at.png","Figure")</f>
        <v>Figure</v>
      </c>
      <c r="I6057">
        <v>1.23</v>
      </c>
      <c r="J6057">
        <v>7.0999999999999994E-2</v>
      </c>
      <c r="K6057">
        <v>1.1599999999999999</v>
      </c>
      <c r="L6057">
        <v>0.15</v>
      </c>
      <c r="M6057">
        <v>0.94199999999999995</v>
      </c>
      <c r="N6057">
        <v>0.74</v>
      </c>
    </row>
    <row r="6058" spans="1:14" x14ac:dyDescent="0.25">
      <c r="A6058" t="s">
        <v>10889</v>
      </c>
      <c r="B6058" t="s">
        <v>10890</v>
      </c>
      <c r="C6058" s="1" t="str">
        <f>HYPERLINK("http://www.genecards.org/cgi-bin/carddisp.pl?gene=NONO","GeneCards")</f>
        <v>GeneCards</v>
      </c>
      <c r="D6058" s="1" t="str">
        <f>HYPERLINK("http://genome-euro.ucsc.edu/cgi-bin/hgTracks?position=200057_s_at","UCSC")</f>
        <v>UCSC</v>
      </c>
      <c r="E6058" s="1" t="str">
        <f>HYPERLINK("http://www.ncbi.nlm.nih.gov/gene/?term=NONO","NCBI")</f>
        <v>NCBI</v>
      </c>
      <c r="F6058">
        <v>6.6000000000000003E-2</v>
      </c>
      <c r="G6058">
        <v>0.19</v>
      </c>
      <c r="H6058" s="1" t="str">
        <f>HYPERLINK("http://www.weizmann.ac.il/complex/compphys/software/geview/data/figures/200057_s_at.png","Figure")</f>
        <v>Figure</v>
      </c>
      <c r="I6058">
        <v>0.78500000000000003</v>
      </c>
      <c r="J6058">
        <v>5.7000000000000002E-2</v>
      </c>
      <c r="K6058">
        <v>0.92400000000000004</v>
      </c>
      <c r="L6058">
        <v>0.61</v>
      </c>
      <c r="M6058">
        <v>1.18</v>
      </c>
      <c r="N6058">
        <v>0.19</v>
      </c>
    </row>
    <row r="6059" spans="1:14" x14ac:dyDescent="0.25">
      <c r="A6059" t="s">
        <v>10891</v>
      </c>
      <c r="B6059" t="s">
        <v>2346</v>
      </c>
      <c r="C6059" s="1" t="str">
        <f>HYPERLINK("http://www.genecards.org/cgi-bin/carddisp.pl?gene=VDR","GeneCards")</f>
        <v>GeneCards</v>
      </c>
      <c r="D6059" s="1" t="str">
        <f>HYPERLINK("http://genome-euro.ucsc.edu/cgi-bin/hgTracks?position=213692_s_at","UCSC")</f>
        <v>UCSC</v>
      </c>
      <c r="E6059" s="1" t="str">
        <f>HYPERLINK("http://www.ncbi.nlm.nih.gov/gene/?term=VDR","NCBI")</f>
        <v>NCBI</v>
      </c>
      <c r="F6059">
        <v>6.6000000000000003E-2</v>
      </c>
      <c r="G6059">
        <v>0.19</v>
      </c>
      <c r="H6059" s="1" t="str">
        <f>HYPERLINK("http://www.weizmann.ac.il/complex/compphys/software/geview/data/figures/213692_s_at.png","Figure")</f>
        <v>Figure</v>
      </c>
      <c r="I6059">
        <v>1.35</v>
      </c>
      <c r="J6059">
        <v>7.0000000000000007E-2</v>
      </c>
      <c r="K6059">
        <v>1.06</v>
      </c>
      <c r="L6059">
        <v>0.86</v>
      </c>
      <c r="M6059">
        <v>0.78200000000000003</v>
      </c>
      <c r="N6059">
        <v>0.12</v>
      </c>
    </row>
    <row r="6060" spans="1:14" x14ac:dyDescent="0.25">
      <c r="A6060" t="s">
        <v>10892</v>
      </c>
      <c r="B6060" t="s">
        <v>10893</v>
      </c>
      <c r="C6060" s="1" t="str">
        <f>HYPERLINK("http://www.genecards.org/cgi-bin/carddisp.pl?gene=FAM119B","GeneCards")</f>
        <v>GeneCards</v>
      </c>
      <c r="D6060" s="1" t="str">
        <f>HYPERLINK("http://genome-euro.ucsc.edu/cgi-bin/hgTracks?position=213861_s_at","UCSC")</f>
        <v>UCSC</v>
      </c>
      <c r="E6060" s="1" t="str">
        <f>HYPERLINK("http://www.ncbi.nlm.nih.gov/gene/?term=FAM119B","NCBI")</f>
        <v>NCBI</v>
      </c>
      <c r="F6060">
        <v>6.6000000000000003E-2</v>
      </c>
      <c r="G6060">
        <v>0.19</v>
      </c>
      <c r="H6060" s="1" t="str">
        <f>HYPERLINK("http://www.weizmann.ac.il/complex/compphys/software/geview/data/figures/213861_s_at.png","Figure")</f>
        <v>Figure</v>
      </c>
      <c r="I6060">
        <v>0.87</v>
      </c>
      <c r="J6060">
        <v>8.7999999999999995E-2</v>
      </c>
      <c r="K6060">
        <v>0.99</v>
      </c>
      <c r="L6060">
        <v>0.98</v>
      </c>
      <c r="M6060">
        <v>1.1399999999999999</v>
      </c>
      <c r="N6060">
        <v>8.8999999999999996E-2</v>
      </c>
    </row>
    <row r="6061" spans="1:14" x14ac:dyDescent="0.25">
      <c r="A6061" t="s">
        <v>10894</v>
      </c>
      <c r="B6061" t="s">
        <v>4422</v>
      </c>
      <c r="C6061" s="1" t="str">
        <f>HYPERLINK("http://www.genecards.org/cgi-bin/carddisp.pl?gene=IGHM","GeneCards")</f>
        <v>GeneCards</v>
      </c>
      <c r="D6061" s="1" t="str">
        <f>HYPERLINK("http://genome-euro.ucsc.edu/cgi-bin/hgTracks?position=209374_s_at","UCSC")</f>
        <v>UCSC</v>
      </c>
      <c r="E6061" s="1" t="str">
        <f>HYPERLINK("http://www.ncbi.nlm.nih.gov/gene/?term=IGHM","NCBI")</f>
        <v>NCBI</v>
      </c>
      <c r="F6061">
        <v>6.6000000000000003E-2</v>
      </c>
      <c r="G6061">
        <v>0.19</v>
      </c>
      <c r="H6061" s="1" t="str">
        <f>HYPERLINK("http://www.weizmann.ac.il/complex/compphys/software/geview/data/figures/209374_s_at.png","Figure")</f>
        <v>Figure</v>
      </c>
      <c r="I6061">
        <v>1.77</v>
      </c>
      <c r="J6061">
        <v>9.6000000000000002E-2</v>
      </c>
      <c r="K6061">
        <v>1.63</v>
      </c>
      <c r="L6061">
        <v>0.1</v>
      </c>
      <c r="M6061">
        <v>0.92200000000000004</v>
      </c>
      <c r="N6061">
        <v>0.94</v>
      </c>
    </row>
    <row r="6062" spans="1:14" x14ac:dyDescent="0.25">
      <c r="A6062" t="s">
        <v>10895</v>
      </c>
      <c r="B6062" t="s">
        <v>10896</v>
      </c>
      <c r="C6062" s="1" t="str">
        <f>HYPERLINK("http://www.genecards.org/cgi-bin/carddisp.pl?gene=KHSRP","GeneCards")</f>
        <v>GeneCards</v>
      </c>
      <c r="D6062" s="1" t="str">
        <f>HYPERLINK("http://genome-euro.ucsc.edu/cgi-bin/hgTracks?position=204371_s_at","UCSC")</f>
        <v>UCSC</v>
      </c>
      <c r="E6062" s="1" t="str">
        <f>HYPERLINK("http://www.ncbi.nlm.nih.gov/gene/?term=KHSRP","NCBI")</f>
        <v>NCBI</v>
      </c>
      <c r="F6062">
        <v>6.6000000000000003E-2</v>
      </c>
      <c r="G6062">
        <v>0.19</v>
      </c>
      <c r="H6062" s="1" t="str">
        <f>HYPERLINK("http://www.weizmann.ac.il/complex/compphys/software/geview/data/figures/204371_s_at.png","Figure")</f>
        <v>Figure</v>
      </c>
      <c r="I6062">
        <v>1.29</v>
      </c>
      <c r="J6062">
        <v>6.4000000000000001E-2</v>
      </c>
      <c r="K6062">
        <v>1.06</v>
      </c>
      <c r="L6062">
        <v>0.78</v>
      </c>
      <c r="M6062">
        <v>0.82499999999999996</v>
      </c>
      <c r="N6062">
        <v>0.14000000000000001</v>
      </c>
    </row>
    <row r="6063" spans="1:14" x14ac:dyDescent="0.25">
      <c r="A6063" t="s">
        <v>10897</v>
      </c>
      <c r="B6063" t="s">
        <v>10898</v>
      </c>
      <c r="C6063" s="1" t="str">
        <f>HYPERLINK("http://www.genecards.org/cgi-bin/carddisp.pl?gene=SR140","GeneCards")</f>
        <v>GeneCards</v>
      </c>
      <c r="D6063" s="1" t="str">
        <f>HYPERLINK("http://genome-euro.ucsc.edu/cgi-bin/hgTracks?position=212058_at","UCSC")</f>
        <v>UCSC</v>
      </c>
      <c r="E6063" s="1" t="str">
        <f>HYPERLINK("http://www.ncbi.nlm.nih.gov/gene/?term=SR140","NCBI")</f>
        <v>NCBI</v>
      </c>
      <c r="F6063">
        <v>6.6000000000000003E-2</v>
      </c>
      <c r="G6063">
        <v>0.19</v>
      </c>
      <c r="H6063" s="1" t="str">
        <f>HYPERLINK("http://www.weizmann.ac.il/complex/compphys/software/geview/data/figures/212058_at.png","Figure")</f>
        <v>Figure</v>
      </c>
      <c r="I6063">
        <v>1.1499999999999999</v>
      </c>
      <c r="J6063">
        <v>0.52</v>
      </c>
      <c r="K6063">
        <v>0.85599999999999998</v>
      </c>
      <c r="L6063">
        <v>0.35</v>
      </c>
      <c r="M6063">
        <v>0.74399999999999999</v>
      </c>
      <c r="N6063">
        <v>5.8999999999999997E-2</v>
      </c>
    </row>
    <row r="6064" spans="1:14" x14ac:dyDescent="0.25">
      <c r="A6064" t="s">
        <v>10899</v>
      </c>
      <c r="B6064" t="s">
        <v>10900</v>
      </c>
      <c r="C6064" s="1" t="str">
        <f>HYPERLINK("http://www.genecards.org/cgi-bin/carddisp.pl?gene=ZNF614","GeneCards")</f>
        <v>GeneCards</v>
      </c>
      <c r="D6064" s="1" t="str">
        <f>HYPERLINK("http://genome-euro.ucsc.edu/cgi-bin/hgTracks?position=220721_at","UCSC")</f>
        <v>UCSC</v>
      </c>
      <c r="E6064" s="1" t="str">
        <f>HYPERLINK("http://www.ncbi.nlm.nih.gov/gene/?term=ZNF614","NCBI")</f>
        <v>NCBI</v>
      </c>
      <c r="F6064">
        <v>6.6000000000000003E-2</v>
      </c>
      <c r="G6064">
        <v>0.19</v>
      </c>
      <c r="H6064" s="1" t="str">
        <f>HYPERLINK("http://www.weizmann.ac.il/complex/compphys/software/geview/data/figures/220721_at.png","Figure")</f>
        <v>Figure</v>
      </c>
      <c r="I6064">
        <v>0.92200000000000004</v>
      </c>
      <c r="J6064">
        <v>0.59</v>
      </c>
      <c r="K6064">
        <v>0.83299999999999996</v>
      </c>
      <c r="L6064">
        <v>5.7000000000000002E-2</v>
      </c>
      <c r="M6064">
        <v>0.90400000000000003</v>
      </c>
      <c r="N6064">
        <v>0.41</v>
      </c>
    </row>
    <row r="6065" spans="1:14" x14ac:dyDescent="0.25">
      <c r="A6065" t="s">
        <v>10901</v>
      </c>
      <c r="B6065" t="s">
        <v>10902</v>
      </c>
      <c r="C6065" s="1" t="str">
        <f>HYPERLINK("http://www.genecards.org/cgi-bin/carddisp.pl?gene=LDB1","GeneCards")</f>
        <v>GeneCards</v>
      </c>
      <c r="D6065" s="1" t="str">
        <f>HYPERLINK("http://genome-euro.ucsc.edu/cgi-bin/hgTracks?position=35160_at","UCSC")</f>
        <v>UCSC</v>
      </c>
      <c r="E6065" s="1" t="str">
        <f>HYPERLINK("http://www.ncbi.nlm.nih.gov/gene/?term=LDB1","NCBI")</f>
        <v>NCBI</v>
      </c>
      <c r="F6065">
        <v>6.7000000000000004E-2</v>
      </c>
      <c r="G6065">
        <v>0.19</v>
      </c>
      <c r="H6065" s="1" t="str">
        <f>HYPERLINK("http://www.weizmann.ac.il/complex/compphys/software/geview/data/figures/35160_at.png","Figure")</f>
        <v>Figure</v>
      </c>
      <c r="I6065">
        <v>1.1399999999999999</v>
      </c>
      <c r="J6065">
        <v>0.36</v>
      </c>
      <c r="K6065">
        <v>0.90800000000000003</v>
      </c>
      <c r="L6065">
        <v>0.5</v>
      </c>
      <c r="M6065">
        <v>0.79400000000000004</v>
      </c>
      <c r="N6065">
        <v>5.5E-2</v>
      </c>
    </row>
    <row r="6066" spans="1:14" x14ac:dyDescent="0.25">
      <c r="A6066" t="s">
        <v>10903</v>
      </c>
      <c r="B6066" t="s">
        <v>10904</v>
      </c>
      <c r="C6066" s="1" t="str">
        <f>HYPERLINK("http://www.genecards.org/cgi-bin/carddisp.pl?gene=PHYHIP","GeneCards")</f>
        <v>GeneCards</v>
      </c>
      <c r="D6066" s="1" t="str">
        <f>HYPERLINK("http://genome-euro.ucsc.edu/cgi-bin/hgTracks?position=205325_at","UCSC")</f>
        <v>UCSC</v>
      </c>
      <c r="E6066" s="1" t="str">
        <f>HYPERLINK("http://www.ncbi.nlm.nih.gov/gene/?term=PHYHIP","NCBI")</f>
        <v>NCBI</v>
      </c>
      <c r="F6066">
        <v>6.7000000000000004E-2</v>
      </c>
      <c r="G6066">
        <v>0.19</v>
      </c>
      <c r="H6066" s="1" t="str">
        <f>HYPERLINK("http://www.weizmann.ac.il/complex/compphys/software/geview/data/figures/205325_at.png","Figure")</f>
        <v>Figure</v>
      </c>
      <c r="I6066">
        <v>1.18</v>
      </c>
      <c r="J6066">
        <v>8.2000000000000003E-2</v>
      </c>
      <c r="K6066">
        <v>1.1399999999999999</v>
      </c>
      <c r="L6066">
        <v>0.12</v>
      </c>
      <c r="M6066">
        <v>0.96599999999999997</v>
      </c>
      <c r="N6066">
        <v>0.85</v>
      </c>
    </row>
    <row r="6067" spans="1:14" x14ac:dyDescent="0.25">
      <c r="A6067" t="s">
        <v>10905</v>
      </c>
      <c r="B6067" t="s">
        <v>10906</v>
      </c>
      <c r="C6067" s="1" t="str">
        <f>HYPERLINK("http://www.genecards.org/cgi-bin/carddisp.pl?gene=REL","GeneCards")</f>
        <v>GeneCards</v>
      </c>
      <c r="D6067" s="1" t="str">
        <f>HYPERLINK("http://genome-euro.ucsc.edu/cgi-bin/hgTracks?position=206035_at","UCSC")</f>
        <v>UCSC</v>
      </c>
      <c r="E6067" s="1" t="str">
        <f>HYPERLINK("http://www.ncbi.nlm.nih.gov/gene/?term=REL","NCBI")</f>
        <v>NCBI</v>
      </c>
      <c r="F6067">
        <v>6.7000000000000004E-2</v>
      </c>
      <c r="G6067">
        <v>0.19</v>
      </c>
      <c r="H6067" s="1" t="str">
        <f>HYPERLINK("http://www.weizmann.ac.il/complex/compphys/software/geview/data/figures/206035_at.png","Figure")</f>
        <v>Figure</v>
      </c>
      <c r="I6067">
        <v>0.90100000000000002</v>
      </c>
      <c r="J6067">
        <v>0.13</v>
      </c>
      <c r="K6067">
        <v>0.90200000000000002</v>
      </c>
      <c r="L6067">
        <v>7.9000000000000001E-2</v>
      </c>
      <c r="M6067">
        <v>1</v>
      </c>
      <c r="N6067">
        <v>1</v>
      </c>
    </row>
    <row r="6068" spans="1:14" x14ac:dyDescent="0.25">
      <c r="A6068" t="s">
        <v>10907</v>
      </c>
      <c r="B6068" t="s">
        <v>10908</v>
      </c>
      <c r="C6068" s="1" t="str">
        <f>HYPERLINK("http://www.genecards.org/cgi-bin/carddisp.pl?gene=GANAB","GeneCards")</f>
        <v>GeneCards</v>
      </c>
      <c r="D6068" s="1" t="str">
        <f>HYPERLINK("http://genome-euro.ucsc.edu/cgi-bin/hgTracks?position=214626_s_at","UCSC")</f>
        <v>UCSC</v>
      </c>
      <c r="E6068" s="1" t="str">
        <f>HYPERLINK("http://www.ncbi.nlm.nih.gov/gene/?term=GANAB","NCBI")</f>
        <v>NCBI</v>
      </c>
      <c r="F6068">
        <v>6.6000000000000003E-2</v>
      </c>
      <c r="G6068">
        <v>0.19</v>
      </c>
      <c r="H6068" s="1" t="str">
        <f>HYPERLINK("http://www.weizmann.ac.il/complex/compphys/software/geview/data/figures/214626_s_at.png","Figure")</f>
        <v>Figure</v>
      </c>
      <c r="I6068">
        <v>1.38</v>
      </c>
      <c r="J6068">
        <v>7.5999999999999998E-2</v>
      </c>
      <c r="K6068">
        <v>1.28</v>
      </c>
      <c r="L6068">
        <v>0.14000000000000001</v>
      </c>
      <c r="M6068">
        <v>0.92200000000000004</v>
      </c>
      <c r="N6068">
        <v>0.8</v>
      </c>
    </row>
    <row r="6069" spans="1:14" x14ac:dyDescent="0.25">
      <c r="A6069" t="s">
        <v>10909</v>
      </c>
      <c r="B6069" t="s">
        <v>10910</v>
      </c>
      <c r="C6069" s="1" t="str">
        <f>HYPERLINK("http://www.genecards.org/cgi-bin/carddisp.pl?gene=CDKL3","GeneCards")</f>
        <v>GeneCards</v>
      </c>
      <c r="D6069" s="1" t="str">
        <f>HYPERLINK("http://genome-euro.ucsc.edu/cgi-bin/hgTracks?position=219831_at","UCSC")</f>
        <v>UCSC</v>
      </c>
      <c r="E6069" s="1" t="str">
        <f>HYPERLINK("http://www.ncbi.nlm.nih.gov/gene/?term=CDKL3","NCBI")</f>
        <v>NCBI</v>
      </c>
      <c r="F6069">
        <v>6.7000000000000004E-2</v>
      </c>
      <c r="G6069">
        <v>0.19</v>
      </c>
      <c r="H6069" s="1" t="str">
        <f>HYPERLINK("http://www.weizmann.ac.il/complex/compphys/software/geview/data/figures/219831_at.png","Figure")</f>
        <v>Figure</v>
      </c>
      <c r="I6069">
        <v>0.92</v>
      </c>
      <c r="J6069">
        <v>0.14000000000000001</v>
      </c>
      <c r="K6069">
        <v>1.01</v>
      </c>
      <c r="L6069">
        <v>0.95</v>
      </c>
      <c r="M6069">
        <v>1.1000000000000001</v>
      </c>
      <c r="N6069">
        <v>6.5000000000000002E-2</v>
      </c>
    </row>
    <row r="6070" spans="1:14" x14ac:dyDescent="0.25">
      <c r="A6070" t="s">
        <v>10911</v>
      </c>
      <c r="B6070" t="s">
        <v>10912</v>
      </c>
      <c r="C6070" s="1" t="str">
        <f>HYPERLINK("http://www.genecards.org/cgi-bin/carddisp.pl?gene=TEP1","GeneCards")</f>
        <v>GeneCards</v>
      </c>
      <c r="D6070" s="1" t="str">
        <f>HYPERLINK("http://genome-euro.ucsc.edu/cgi-bin/hgTracks?position=205727_at","UCSC")</f>
        <v>UCSC</v>
      </c>
      <c r="E6070" s="1" t="str">
        <f>HYPERLINK("http://www.ncbi.nlm.nih.gov/gene/?term=TEP1","NCBI")</f>
        <v>NCBI</v>
      </c>
      <c r="F6070">
        <v>6.7000000000000004E-2</v>
      </c>
      <c r="G6070">
        <v>0.19</v>
      </c>
      <c r="H6070" s="1" t="str">
        <f>HYPERLINK("http://www.weizmann.ac.il/complex/compphys/software/geview/data/figures/205727_at.png","Figure")</f>
        <v>Figure</v>
      </c>
      <c r="I6070">
        <v>0.91600000000000004</v>
      </c>
      <c r="J6070">
        <v>0.18</v>
      </c>
      <c r="K6070">
        <v>1.02</v>
      </c>
      <c r="L6070">
        <v>0.85</v>
      </c>
      <c r="M6070">
        <v>1.1200000000000001</v>
      </c>
      <c r="N6070">
        <v>5.8999999999999997E-2</v>
      </c>
    </row>
    <row r="6071" spans="1:14" x14ac:dyDescent="0.25">
      <c r="A6071" t="s">
        <v>10913</v>
      </c>
      <c r="B6071" t="s">
        <v>9499</v>
      </c>
      <c r="C6071" s="1" t="str">
        <f>HYPERLINK("http://www.genecards.org/cgi-bin/carddisp.pl?gene=PDIA4","GeneCards")</f>
        <v>GeneCards</v>
      </c>
      <c r="D6071" s="1" t="str">
        <f>HYPERLINK("http://genome-euro.ucsc.edu/cgi-bin/hgTracks?position=208658_at","UCSC")</f>
        <v>UCSC</v>
      </c>
      <c r="E6071" s="1" t="str">
        <f>HYPERLINK("http://www.ncbi.nlm.nih.gov/gene/?term=PDIA4","NCBI")</f>
        <v>NCBI</v>
      </c>
      <c r="F6071">
        <v>6.7000000000000004E-2</v>
      </c>
      <c r="G6071">
        <v>0.19</v>
      </c>
      <c r="H6071" s="1" t="str">
        <f>HYPERLINK("http://www.weizmann.ac.il/complex/compphys/software/geview/data/figures/208658_at.png","Figure")</f>
        <v>Figure</v>
      </c>
      <c r="I6071">
        <v>0.78900000000000003</v>
      </c>
      <c r="J6071">
        <v>0.3</v>
      </c>
      <c r="K6071">
        <v>1.1399999999999999</v>
      </c>
      <c r="L6071">
        <v>0.6</v>
      </c>
      <c r="M6071">
        <v>1.44</v>
      </c>
      <c r="N6071">
        <v>5.5E-2</v>
      </c>
    </row>
    <row r="6072" spans="1:14" x14ac:dyDescent="0.25">
      <c r="A6072" t="s">
        <v>10914</v>
      </c>
      <c r="B6072" t="s">
        <v>10915</v>
      </c>
      <c r="C6072" s="1" t="str">
        <f>HYPERLINK("http://www.genecards.org/cgi-bin/carddisp.pl?gene=DDX19A /// DDX19B","GeneCards")</f>
        <v>GeneCards</v>
      </c>
      <c r="D6072" s="1" t="str">
        <f>HYPERLINK("http://genome-euro.ucsc.edu/cgi-bin/hgTracks?position=202576_s_at","UCSC")</f>
        <v>UCSC</v>
      </c>
      <c r="E6072" s="1" t="str">
        <f>HYPERLINK("http://www.ncbi.nlm.nih.gov/gene/?term=DDX19A /// DDX19B","NCBI")</f>
        <v>NCBI</v>
      </c>
      <c r="F6072">
        <v>6.7000000000000004E-2</v>
      </c>
      <c r="G6072">
        <v>0.19</v>
      </c>
      <c r="H6072" s="1" t="str">
        <f>HYPERLINK("http://www.weizmann.ac.il/complex/compphys/software/geview/data/figures/202576_s_at.png","Figure")</f>
        <v>Figure</v>
      </c>
      <c r="I6072">
        <v>1.22</v>
      </c>
      <c r="J6072">
        <v>8.2000000000000003E-2</v>
      </c>
      <c r="K6072">
        <v>1.02</v>
      </c>
      <c r="L6072">
        <v>0.96</v>
      </c>
      <c r="M6072">
        <v>0.83799999999999997</v>
      </c>
      <c r="N6072">
        <v>9.7000000000000003E-2</v>
      </c>
    </row>
    <row r="6073" spans="1:14" x14ac:dyDescent="0.25">
      <c r="A6073" t="s">
        <v>10916</v>
      </c>
      <c r="B6073" t="s">
        <v>10917</v>
      </c>
      <c r="C6073" s="1" t="str">
        <f>HYPERLINK("http://www.genecards.org/cgi-bin/carddisp.pl?gene=RBM16","GeneCards")</f>
        <v>GeneCards</v>
      </c>
      <c r="D6073" s="1" t="str">
        <f>HYPERLINK("http://genome-euro.ucsc.edu/cgi-bin/hgTracks?position=203250_at","UCSC")</f>
        <v>UCSC</v>
      </c>
      <c r="E6073" s="1" t="str">
        <f>HYPERLINK("http://www.ncbi.nlm.nih.gov/gene/?term=RBM16","NCBI")</f>
        <v>NCBI</v>
      </c>
      <c r="F6073">
        <v>6.7000000000000004E-2</v>
      </c>
      <c r="G6073">
        <v>0.19</v>
      </c>
      <c r="H6073" s="1" t="str">
        <f>HYPERLINK("http://www.weizmann.ac.il/complex/compphys/software/geview/data/figures/203250_at.png","Figure")</f>
        <v>Figure</v>
      </c>
      <c r="I6073">
        <v>0.90700000000000003</v>
      </c>
      <c r="J6073">
        <v>0.9</v>
      </c>
      <c r="K6073">
        <v>0.63200000000000001</v>
      </c>
      <c r="L6073">
        <v>7.2999999999999995E-2</v>
      </c>
      <c r="M6073">
        <v>0.69599999999999995</v>
      </c>
      <c r="N6073">
        <v>0.21</v>
      </c>
    </row>
    <row r="6074" spans="1:14" x14ac:dyDescent="0.25">
      <c r="A6074" t="s">
        <v>10918</v>
      </c>
      <c r="B6074" t="s">
        <v>10919</v>
      </c>
      <c r="C6074" s="1" t="str">
        <f>HYPERLINK("http://www.genecards.org/cgi-bin/carddisp.pl?gene=SRPK3","GeneCards")</f>
        <v>GeneCards</v>
      </c>
      <c r="D6074" s="1" t="str">
        <f>HYPERLINK("http://genome-euro.ucsc.edu/cgi-bin/hgTracks?position=206216_at","UCSC")</f>
        <v>UCSC</v>
      </c>
      <c r="E6074" s="1" t="str">
        <f>HYPERLINK("http://www.ncbi.nlm.nih.gov/gene/?term=SRPK3","NCBI")</f>
        <v>NCBI</v>
      </c>
      <c r="F6074">
        <v>6.7000000000000004E-2</v>
      </c>
      <c r="G6074">
        <v>0.19</v>
      </c>
      <c r="H6074" s="1" t="str">
        <f>HYPERLINK("http://www.weizmann.ac.il/complex/compphys/software/geview/data/figures/206216_at.png","Figure")</f>
        <v>Figure</v>
      </c>
      <c r="I6074">
        <v>1.18</v>
      </c>
      <c r="J6074">
        <v>0.15</v>
      </c>
      <c r="K6074">
        <v>1.2</v>
      </c>
      <c r="L6074">
        <v>7.0999999999999994E-2</v>
      </c>
      <c r="M6074">
        <v>1.01</v>
      </c>
      <c r="N6074">
        <v>0.99</v>
      </c>
    </row>
    <row r="6075" spans="1:14" x14ac:dyDescent="0.25">
      <c r="A6075" t="s">
        <v>10920</v>
      </c>
      <c r="B6075" t="s">
        <v>7487</v>
      </c>
      <c r="C6075" s="1" t="str">
        <f>HYPERLINK("http://www.genecards.org/cgi-bin/carddisp.pl?gene=APBA2","GeneCards")</f>
        <v>GeneCards</v>
      </c>
      <c r="D6075" s="1" t="str">
        <f>HYPERLINK("http://genome-euro.ucsc.edu/cgi-bin/hgTracks?position=209871_s_at","UCSC")</f>
        <v>UCSC</v>
      </c>
      <c r="E6075" s="1" t="str">
        <f>HYPERLINK("http://www.ncbi.nlm.nih.gov/gene/?term=APBA2","NCBI")</f>
        <v>NCBI</v>
      </c>
      <c r="F6075">
        <v>6.7000000000000004E-2</v>
      </c>
      <c r="G6075">
        <v>0.19</v>
      </c>
      <c r="H6075" s="1" t="str">
        <f>HYPERLINK("http://www.weizmann.ac.il/complex/compphys/software/geview/data/figures/209871_s_at.png","Figure")</f>
        <v>Figure</v>
      </c>
      <c r="I6075">
        <v>0.996</v>
      </c>
      <c r="J6075">
        <v>1</v>
      </c>
      <c r="K6075">
        <v>0.73</v>
      </c>
      <c r="L6075">
        <v>0.1</v>
      </c>
      <c r="M6075">
        <v>0.73299999999999998</v>
      </c>
      <c r="N6075">
        <v>0.14000000000000001</v>
      </c>
    </row>
    <row r="6076" spans="1:14" x14ac:dyDescent="0.25">
      <c r="A6076" t="s">
        <v>10921</v>
      </c>
      <c r="B6076" t="s">
        <v>10922</v>
      </c>
      <c r="C6076" s="1" t="str">
        <f>HYPERLINK("http://www.genecards.org/cgi-bin/carddisp.pl?gene=DNAJB12","GeneCards")</f>
        <v>GeneCards</v>
      </c>
      <c r="D6076" s="1" t="str">
        <f>HYPERLINK("http://genome-euro.ucsc.edu/cgi-bin/hgTracks?position=214338_at","UCSC")</f>
        <v>UCSC</v>
      </c>
      <c r="E6076" s="1" t="str">
        <f>HYPERLINK("http://www.ncbi.nlm.nih.gov/gene/?term=DNAJB12","NCBI")</f>
        <v>NCBI</v>
      </c>
      <c r="F6076">
        <v>6.7000000000000004E-2</v>
      </c>
      <c r="G6076">
        <v>0.19</v>
      </c>
      <c r="H6076" s="1" t="str">
        <f>HYPERLINK("http://www.weizmann.ac.il/complex/compphys/software/geview/data/figures/214338_at.png","Figure")</f>
        <v>Figure</v>
      </c>
      <c r="I6076">
        <v>1.32</v>
      </c>
      <c r="J6076">
        <v>5.6000000000000001E-2</v>
      </c>
      <c r="K6076">
        <v>1.1599999999999999</v>
      </c>
      <c r="L6076">
        <v>0.3</v>
      </c>
      <c r="M6076">
        <v>0.876</v>
      </c>
      <c r="N6076">
        <v>0.41</v>
      </c>
    </row>
    <row r="6077" spans="1:14" x14ac:dyDescent="0.25">
      <c r="A6077" t="s">
        <v>10923</v>
      </c>
      <c r="B6077" t="s">
        <v>10924</v>
      </c>
      <c r="C6077" s="1" t="str">
        <f>HYPERLINK("http://www.genecards.org/cgi-bin/carddisp.pl?gene=USP36","GeneCards")</f>
        <v>GeneCards</v>
      </c>
      <c r="D6077" s="1" t="str">
        <f>HYPERLINK("http://genome-euro.ucsc.edu/cgi-bin/hgTracks?position=220370_s_at","UCSC")</f>
        <v>UCSC</v>
      </c>
      <c r="E6077" s="1" t="str">
        <f>HYPERLINK("http://www.ncbi.nlm.nih.gov/gene/?term=USP36","NCBI")</f>
        <v>NCBI</v>
      </c>
      <c r="F6077">
        <v>6.7000000000000004E-2</v>
      </c>
      <c r="G6077">
        <v>0.19</v>
      </c>
      <c r="H6077" s="1" t="str">
        <f>HYPERLINK("http://www.weizmann.ac.il/complex/compphys/software/geview/data/figures/220370_s_at.png","Figure")</f>
        <v>Figure</v>
      </c>
      <c r="I6077">
        <v>0.43099999999999999</v>
      </c>
      <c r="J6077">
        <v>0.13</v>
      </c>
      <c r="K6077">
        <v>0.432</v>
      </c>
      <c r="L6077">
        <v>7.9000000000000001E-2</v>
      </c>
      <c r="M6077">
        <v>1</v>
      </c>
      <c r="N6077">
        <v>1</v>
      </c>
    </row>
    <row r="6078" spans="1:14" x14ac:dyDescent="0.25">
      <c r="A6078" t="s">
        <v>10925</v>
      </c>
      <c r="B6078" t="s">
        <v>10926</v>
      </c>
      <c r="C6078" s="1" t="str">
        <f>HYPERLINK("http://www.genecards.org/cgi-bin/carddisp.pl?gene=C1S","GeneCards")</f>
        <v>GeneCards</v>
      </c>
      <c r="D6078" s="1" t="str">
        <f>HYPERLINK("http://genome-euro.ucsc.edu/cgi-bin/hgTracks?position=208747_s_at","UCSC")</f>
        <v>UCSC</v>
      </c>
      <c r="E6078" s="1" t="str">
        <f>HYPERLINK("http://www.ncbi.nlm.nih.gov/gene/?term=C1S","NCBI")</f>
        <v>NCBI</v>
      </c>
      <c r="F6078">
        <v>6.7000000000000004E-2</v>
      </c>
      <c r="G6078">
        <v>0.19</v>
      </c>
      <c r="H6078" s="1" t="str">
        <f>HYPERLINK("http://www.weizmann.ac.il/complex/compphys/software/geview/data/figures/208747_s_at.png","Figure")</f>
        <v>Figure</v>
      </c>
      <c r="I6078">
        <v>0.97799999999999998</v>
      </c>
      <c r="J6078">
        <v>0.96</v>
      </c>
      <c r="K6078">
        <v>0.83799999999999997</v>
      </c>
      <c r="L6078">
        <v>8.4000000000000005E-2</v>
      </c>
      <c r="M6078">
        <v>0.85699999999999998</v>
      </c>
      <c r="N6078">
        <v>0.17</v>
      </c>
    </row>
    <row r="6079" spans="1:14" x14ac:dyDescent="0.25">
      <c r="A6079" t="s">
        <v>10927</v>
      </c>
      <c r="B6079" t="s">
        <v>10928</v>
      </c>
      <c r="C6079" s="1" t="str">
        <f>HYPERLINK("http://www.genecards.org/cgi-bin/carddisp.pl?gene=SNRNP200","GeneCards")</f>
        <v>GeneCards</v>
      </c>
      <c r="D6079" s="1" t="str">
        <f>HYPERLINK("http://genome-euro.ucsc.edu/cgi-bin/hgTracks?position=200058_s_at","UCSC")</f>
        <v>UCSC</v>
      </c>
      <c r="E6079" s="1" t="str">
        <f>HYPERLINK("http://www.ncbi.nlm.nih.gov/gene/?term=SNRNP200","NCBI")</f>
        <v>NCBI</v>
      </c>
      <c r="F6079">
        <v>6.7000000000000004E-2</v>
      </c>
      <c r="G6079">
        <v>0.19</v>
      </c>
      <c r="H6079" s="1" t="str">
        <f>HYPERLINK("http://www.weizmann.ac.il/complex/compphys/software/geview/data/figures/200058_s_at.png","Figure")</f>
        <v>Figure</v>
      </c>
      <c r="I6079">
        <v>0.95199999999999996</v>
      </c>
      <c r="J6079">
        <v>0.97</v>
      </c>
      <c r="K6079">
        <v>0.66400000000000003</v>
      </c>
      <c r="L6079">
        <v>8.5000000000000006E-2</v>
      </c>
      <c r="M6079">
        <v>0.69699999999999995</v>
      </c>
      <c r="N6079">
        <v>0.17</v>
      </c>
    </row>
    <row r="6080" spans="1:14" x14ac:dyDescent="0.25">
      <c r="A6080" t="s">
        <v>10929</v>
      </c>
      <c r="B6080" t="s">
        <v>10930</v>
      </c>
      <c r="C6080" s="1" t="str">
        <f>HYPERLINK("http://www.genecards.org/cgi-bin/carddisp.pl?gene=IGF2R","GeneCards")</f>
        <v>GeneCards</v>
      </c>
      <c r="D6080" s="1" t="str">
        <f>HYPERLINK("http://genome-euro.ucsc.edu/cgi-bin/hgTracks?position=201392_s_at","UCSC")</f>
        <v>UCSC</v>
      </c>
      <c r="E6080" s="1" t="str">
        <f>HYPERLINK("http://www.ncbi.nlm.nih.gov/gene/?term=IGF2R","NCBI")</f>
        <v>NCBI</v>
      </c>
      <c r="F6080">
        <v>6.7000000000000004E-2</v>
      </c>
      <c r="G6080">
        <v>0.19</v>
      </c>
      <c r="H6080" s="1" t="str">
        <f>HYPERLINK("http://www.weizmann.ac.il/complex/compphys/software/geview/data/figures/201392_s_at.png","Figure")</f>
        <v>Figure</v>
      </c>
      <c r="I6080">
        <v>1.53</v>
      </c>
      <c r="J6080">
        <v>8.7999999999999995E-2</v>
      </c>
      <c r="K6080">
        <v>1.03</v>
      </c>
      <c r="L6080">
        <v>0.98</v>
      </c>
      <c r="M6080">
        <v>0.67200000000000004</v>
      </c>
      <c r="N6080">
        <v>0.09</v>
      </c>
    </row>
    <row r="6081" spans="1:14" x14ac:dyDescent="0.25">
      <c r="A6081" t="s">
        <v>10931</v>
      </c>
      <c r="B6081" t="s">
        <v>7008</v>
      </c>
      <c r="C6081" s="1" t="str">
        <f>HYPERLINK("http://www.genecards.org/cgi-bin/carddisp.pl?gene=CCDC22","GeneCards")</f>
        <v>GeneCards</v>
      </c>
      <c r="D6081" s="1" t="str">
        <f>HYPERLINK("http://genome-euro.ucsc.edu/cgi-bin/hgTracks?position=214037_s_at","UCSC")</f>
        <v>UCSC</v>
      </c>
      <c r="E6081" s="1" t="str">
        <f>HYPERLINK("http://www.ncbi.nlm.nih.gov/gene/?term=CCDC22","NCBI")</f>
        <v>NCBI</v>
      </c>
      <c r="F6081">
        <v>6.7000000000000004E-2</v>
      </c>
      <c r="G6081">
        <v>0.19</v>
      </c>
      <c r="H6081" s="1" t="str">
        <f>HYPERLINK("http://www.weizmann.ac.il/complex/compphys/software/geview/data/figures/214037_s_at.png","Figure")</f>
        <v>Figure</v>
      </c>
      <c r="I6081">
        <v>0.99199999999999999</v>
      </c>
      <c r="J6081">
        <v>0.99</v>
      </c>
      <c r="K6081">
        <v>1.1499999999999999</v>
      </c>
      <c r="L6081">
        <v>0.11</v>
      </c>
      <c r="M6081">
        <v>1.1599999999999999</v>
      </c>
      <c r="N6081">
        <v>0.12</v>
      </c>
    </row>
    <row r="6082" spans="1:14" x14ac:dyDescent="0.25">
      <c r="A6082" t="s">
        <v>10932</v>
      </c>
      <c r="B6082" t="s">
        <v>10933</v>
      </c>
      <c r="C6082" s="1" t="str">
        <f>HYPERLINK("http://www.genecards.org/cgi-bin/carddisp.pl?gene=IHH","GeneCards")</f>
        <v>GeneCards</v>
      </c>
      <c r="D6082" s="1" t="str">
        <f>HYPERLINK("http://genome-euro.ucsc.edu/cgi-bin/hgTracks?position=215420_at","UCSC")</f>
        <v>UCSC</v>
      </c>
      <c r="E6082" s="1" t="str">
        <f>HYPERLINK("http://www.ncbi.nlm.nih.gov/gene/?term=IHH","NCBI")</f>
        <v>NCBI</v>
      </c>
      <c r="F6082">
        <v>6.7000000000000004E-2</v>
      </c>
      <c r="G6082">
        <v>0.19</v>
      </c>
      <c r="H6082" s="1" t="str">
        <f>HYPERLINK("http://www.weizmann.ac.il/complex/compphys/software/geview/data/figures/215420_at.png","Figure")</f>
        <v>Figure</v>
      </c>
      <c r="I6082">
        <v>1.19</v>
      </c>
      <c r="J6082">
        <v>6.6000000000000003E-2</v>
      </c>
      <c r="K6082">
        <v>1.04</v>
      </c>
      <c r="L6082">
        <v>0.8</v>
      </c>
      <c r="M6082">
        <v>0.872</v>
      </c>
      <c r="N6082">
        <v>0.14000000000000001</v>
      </c>
    </row>
    <row r="6083" spans="1:14" x14ac:dyDescent="0.25">
      <c r="A6083" t="s">
        <v>10934</v>
      </c>
      <c r="B6083" t="s">
        <v>10935</v>
      </c>
      <c r="C6083" s="1" t="str">
        <f>HYPERLINK("http://www.genecards.org/cgi-bin/carddisp.pl?gene=COL14A1","GeneCards")</f>
        <v>GeneCards</v>
      </c>
      <c r="D6083" s="1" t="str">
        <f>HYPERLINK("http://genome-euro.ucsc.edu/cgi-bin/hgTracks?position=216866_s_at","UCSC")</f>
        <v>UCSC</v>
      </c>
      <c r="E6083" s="1" t="str">
        <f>HYPERLINK("http://www.ncbi.nlm.nih.gov/gene/?term=COL14A1","NCBI")</f>
        <v>NCBI</v>
      </c>
      <c r="F6083">
        <v>6.7000000000000004E-2</v>
      </c>
      <c r="G6083">
        <v>0.19</v>
      </c>
      <c r="H6083" s="1" t="str">
        <f>HYPERLINK("http://www.weizmann.ac.il/complex/compphys/software/geview/data/figures/216866_s_at.png","Figure")</f>
        <v>Figure</v>
      </c>
      <c r="I6083">
        <v>1.18</v>
      </c>
      <c r="J6083">
        <v>7.5999999999999998E-2</v>
      </c>
      <c r="K6083">
        <v>1.02</v>
      </c>
      <c r="L6083">
        <v>0.92</v>
      </c>
      <c r="M6083">
        <v>0.86499999999999999</v>
      </c>
      <c r="N6083">
        <v>0.11</v>
      </c>
    </row>
    <row r="6084" spans="1:14" x14ac:dyDescent="0.25">
      <c r="A6084" t="s">
        <v>10936</v>
      </c>
      <c r="B6084" t="s">
        <v>10937</v>
      </c>
      <c r="C6084" s="1" t="str">
        <f>HYPERLINK("http://www.genecards.org/cgi-bin/carddisp.pl?gene=PXN","GeneCards")</f>
        <v>GeneCards</v>
      </c>
      <c r="D6084" s="1" t="str">
        <f>HYPERLINK("http://genome-euro.ucsc.edu/cgi-bin/hgTracks?position=201087_at","UCSC")</f>
        <v>UCSC</v>
      </c>
      <c r="E6084" s="1" t="str">
        <f>HYPERLINK("http://www.ncbi.nlm.nih.gov/gene/?term=PXN","NCBI")</f>
        <v>NCBI</v>
      </c>
      <c r="F6084">
        <v>6.7000000000000004E-2</v>
      </c>
      <c r="G6084">
        <v>0.19</v>
      </c>
      <c r="H6084" s="1" t="str">
        <f>HYPERLINK("http://www.weizmann.ac.il/complex/compphys/software/geview/data/figures/201087_at.png","Figure")</f>
        <v>Figure</v>
      </c>
      <c r="I6084">
        <v>0.97699999999999998</v>
      </c>
      <c r="J6084">
        <v>0.98</v>
      </c>
      <c r="K6084">
        <v>0.77700000000000002</v>
      </c>
      <c r="L6084">
        <v>8.8999999999999996E-2</v>
      </c>
      <c r="M6084">
        <v>0.79500000000000004</v>
      </c>
      <c r="N6084">
        <v>0.16</v>
      </c>
    </row>
    <row r="6085" spans="1:14" x14ac:dyDescent="0.25">
      <c r="A6085" t="s">
        <v>10938</v>
      </c>
      <c r="B6085" t="s">
        <v>10939</v>
      </c>
      <c r="C6085" s="1" t="str">
        <f>HYPERLINK("http://www.genecards.org/cgi-bin/carddisp.pl?gene=ITGB1BP2","GeneCards")</f>
        <v>GeneCards</v>
      </c>
      <c r="D6085" s="1" t="str">
        <f>HYPERLINK("http://genome-euro.ucsc.edu/cgi-bin/hgTracks?position=219829_at","UCSC")</f>
        <v>UCSC</v>
      </c>
      <c r="E6085" s="1" t="str">
        <f>HYPERLINK("http://www.ncbi.nlm.nih.gov/gene/?term=ITGB1BP2","NCBI")</f>
        <v>NCBI</v>
      </c>
      <c r="F6085">
        <v>6.7000000000000004E-2</v>
      </c>
      <c r="G6085">
        <v>0.19</v>
      </c>
      <c r="H6085" s="1" t="str">
        <f>HYPERLINK("http://www.weizmann.ac.il/complex/compphys/software/geview/data/figures/219829_at.png","Figure")</f>
        <v>Figure</v>
      </c>
      <c r="I6085">
        <v>0.83899999999999997</v>
      </c>
      <c r="J6085">
        <v>9.6000000000000002E-2</v>
      </c>
      <c r="K6085">
        <v>0.99399999999999999</v>
      </c>
      <c r="L6085">
        <v>1</v>
      </c>
      <c r="M6085">
        <v>1.18</v>
      </c>
      <c r="N6085">
        <v>8.4000000000000005E-2</v>
      </c>
    </row>
    <row r="6086" spans="1:14" x14ac:dyDescent="0.25">
      <c r="A6086" t="s">
        <v>10940</v>
      </c>
      <c r="B6086" t="s">
        <v>10941</v>
      </c>
      <c r="C6086" s="1" t="str">
        <f>HYPERLINK("http://www.genecards.org/cgi-bin/carddisp.pl?gene=PGA3 /// PGA4 /// PGA5","GeneCards")</f>
        <v>GeneCards</v>
      </c>
      <c r="D6086" s="1" t="str">
        <f>HYPERLINK("http://genome-euro.ucsc.edu/cgi-bin/hgTracks?position=213265_at","UCSC")</f>
        <v>UCSC</v>
      </c>
      <c r="E6086" s="1" t="str">
        <f>HYPERLINK("http://www.ncbi.nlm.nih.gov/gene/?term=PGA3 /// PGA4 /// PGA5","NCBI")</f>
        <v>NCBI</v>
      </c>
      <c r="F6086">
        <v>6.7000000000000004E-2</v>
      </c>
      <c r="G6086">
        <v>0.19</v>
      </c>
      <c r="H6086" s="1" t="str">
        <f>HYPERLINK("http://www.weizmann.ac.il/complex/compphys/software/geview/data/figures/213265_at.png","Figure")</f>
        <v>Figure</v>
      </c>
      <c r="I6086">
        <v>1.28</v>
      </c>
      <c r="J6086">
        <v>5.7000000000000002E-2</v>
      </c>
      <c r="K6086">
        <v>1.0900000000000001</v>
      </c>
      <c r="L6086">
        <v>0.59</v>
      </c>
      <c r="M6086">
        <v>0.84799999999999998</v>
      </c>
      <c r="N6086">
        <v>0.2</v>
      </c>
    </row>
    <row r="6087" spans="1:14" x14ac:dyDescent="0.25">
      <c r="A6087" t="s">
        <v>10942</v>
      </c>
      <c r="B6087" t="s">
        <v>10943</v>
      </c>
      <c r="C6087" s="1" t="str">
        <f>HYPERLINK("http://www.genecards.org/cgi-bin/carddisp.pl?gene=CHGB","GeneCards")</f>
        <v>GeneCards</v>
      </c>
      <c r="D6087" s="1" t="str">
        <f>HYPERLINK("http://genome-euro.ucsc.edu/cgi-bin/hgTracks?position=204260_at","UCSC")</f>
        <v>UCSC</v>
      </c>
      <c r="E6087" s="1" t="str">
        <f>HYPERLINK("http://www.ncbi.nlm.nih.gov/gene/?term=CHGB","NCBI")</f>
        <v>NCBI</v>
      </c>
      <c r="F6087">
        <v>6.7000000000000004E-2</v>
      </c>
      <c r="G6087">
        <v>0.19</v>
      </c>
      <c r="H6087" s="1" t="str">
        <f>HYPERLINK("http://www.weizmann.ac.il/complex/compphys/software/geview/data/figures/204260_at.png","Figure")</f>
        <v>Figure</v>
      </c>
      <c r="I6087">
        <v>1.1299999999999999</v>
      </c>
      <c r="J6087">
        <v>0.18</v>
      </c>
      <c r="K6087">
        <v>1.1499999999999999</v>
      </c>
      <c r="L6087">
        <v>6.7000000000000004E-2</v>
      </c>
      <c r="M6087">
        <v>1.02</v>
      </c>
      <c r="N6087">
        <v>0.96</v>
      </c>
    </row>
    <row r="6088" spans="1:14" x14ac:dyDescent="0.25">
      <c r="A6088" t="s">
        <v>10944</v>
      </c>
      <c r="B6088" t="s">
        <v>10945</v>
      </c>
      <c r="C6088" s="1" t="str">
        <f>HYPERLINK("http://www.genecards.org/cgi-bin/carddisp.pl?gene=ZBTB39","GeneCards")</f>
        <v>GeneCards</v>
      </c>
      <c r="D6088" s="1" t="str">
        <f>HYPERLINK("http://genome-euro.ucsc.edu/cgi-bin/hgTracks?position=205256_at","UCSC")</f>
        <v>UCSC</v>
      </c>
      <c r="E6088" s="1" t="str">
        <f>HYPERLINK("http://www.ncbi.nlm.nih.gov/gene/?term=ZBTB39","NCBI")</f>
        <v>NCBI</v>
      </c>
      <c r="F6088">
        <v>6.7000000000000004E-2</v>
      </c>
      <c r="G6088">
        <v>0.19</v>
      </c>
      <c r="H6088" s="1" t="str">
        <f>HYPERLINK("http://www.weizmann.ac.il/complex/compphys/software/geview/data/figures/205256_at.png","Figure")</f>
        <v>Figure</v>
      </c>
      <c r="I6088">
        <v>0.94299999999999995</v>
      </c>
      <c r="J6088">
        <v>0.72</v>
      </c>
      <c r="K6088">
        <v>0.84899999999999998</v>
      </c>
      <c r="L6088">
        <v>6.2E-2</v>
      </c>
      <c r="M6088">
        <v>0.9</v>
      </c>
      <c r="N6088">
        <v>0.32</v>
      </c>
    </row>
    <row r="6089" spans="1:14" x14ac:dyDescent="0.25">
      <c r="A6089" t="s">
        <v>10946</v>
      </c>
      <c r="B6089" t="s">
        <v>7034</v>
      </c>
      <c r="C6089" s="1" t="str">
        <f>HYPERLINK("http://www.genecards.org/cgi-bin/carddisp.pl?gene=SMEK1","GeneCards")</f>
        <v>GeneCards</v>
      </c>
      <c r="D6089" s="1" t="str">
        <f>HYPERLINK("http://genome-euro.ucsc.edu/cgi-bin/hgTracks?position=220368_s_at","UCSC")</f>
        <v>UCSC</v>
      </c>
      <c r="E6089" s="1" t="str">
        <f>HYPERLINK("http://www.ncbi.nlm.nih.gov/gene/?term=SMEK1","NCBI")</f>
        <v>NCBI</v>
      </c>
      <c r="F6089">
        <v>6.7000000000000004E-2</v>
      </c>
      <c r="G6089">
        <v>0.19</v>
      </c>
      <c r="H6089" s="1" t="str">
        <f>HYPERLINK("http://www.weizmann.ac.il/complex/compphys/software/geview/data/figures/220368_s_at.png","Figure")</f>
        <v>Figure</v>
      </c>
      <c r="I6089">
        <v>0.99199999999999999</v>
      </c>
      <c r="J6089">
        <v>1</v>
      </c>
      <c r="K6089">
        <v>0.77600000000000002</v>
      </c>
      <c r="L6089">
        <v>9.8000000000000004E-2</v>
      </c>
      <c r="M6089">
        <v>0.78200000000000003</v>
      </c>
      <c r="N6089">
        <v>0.14000000000000001</v>
      </c>
    </row>
    <row r="6090" spans="1:14" x14ac:dyDescent="0.25">
      <c r="A6090" t="s">
        <v>10947</v>
      </c>
      <c r="B6090" t="s">
        <v>10948</v>
      </c>
      <c r="C6090" s="1" t="str">
        <f>HYPERLINK("http://www.genecards.org/cgi-bin/carddisp.pl?gene=EDA2R","GeneCards")</f>
        <v>GeneCards</v>
      </c>
      <c r="D6090" s="1" t="str">
        <f>HYPERLINK("http://genome-euro.ucsc.edu/cgi-bin/hgTracks?position=221399_at","UCSC")</f>
        <v>UCSC</v>
      </c>
      <c r="E6090" s="1" t="str">
        <f>HYPERLINK("http://www.ncbi.nlm.nih.gov/gene/?term=EDA2R","NCBI")</f>
        <v>NCBI</v>
      </c>
      <c r="F6090">
        <v>6.7000000000000004E-2</v>
      </c>
      <c r="G6090">
        <v>0.19</v>
      </c>
      <c r="H6090" s="1" t="str">
        <f>HYPERLINK("http://www.weizmann.ac.il/complex/compphys/software/geview/data/figures/221399_at.png","Figure")</f>
        <v>Figure</v>
      </c>
      <c r="I6090">
        <v>1.1000000000000001</v>
      </c>
      <c r="J6090">
        <v>0.15</v>
      </c>
      <c r="K6090">
        <v>1.1100000000000001</v>
      </c>
      <c r="L6090">
        <v>7.1999999999999995E-2</v>
      </c>
      <c r="M6090">
        <v>1.01</v>
      </c>
      <c r="N6090">
        <v>0.99</v>
      </c>
    </row>
    <row r="6091" spans="1:14" x14ac:dyDescent="0.25">
      <c r="A6091" t="s">
        <v>10949</v>
      </c>
      <c r="B6091" t="s">
        <v>10950</v>
      </c>
      <c r="C6091" s="1" t="str">
        <f>HYPERLINK("http://www.genecards.org/cgi-bin/carddisp.pl?gene=HYI","GeneCards")</f>
        <v>GeneCards</v>
      </c>
      <c r="D6091" s="1" t="str">
        <f>HYPERLINK("http://genome-euro.ucsc.edu/cgi-bin/hgTracks?position=221435_x_at","UCSC")</f>
        <v>UCSC</v>
      </c>
      <c r="E6091" s="1" t="str">
        <f>HYPERLINK("http://www.ncbi.nlm.nih.gov/gene/?term=HYI","NCBI")</f>
        <v>NCBI</v>
      </c>
      <c r="F6091">
        <v>6.7000000000000004E-2</v>
      </c>
      <c r="G6091">
        <v>0.19</v>
      </c>
      <c r="H6091" s="1" t="str">
        <f>HYPERLINK("http://www.weizmann.ac.il/complex/compphys/software/geview/data/figures/221435_x_at.png","Figure")</f>
        <v>Figure</v>
      </c>
      <c r="I6091">
        <v>1.22</v>
      </c>
      <c r="J6091">
        <v>0.28999999999999998</v>
      </c>
      <c r="K6091">
        <v>0.90200000000000002</v>
      </c>
      <c r="L6091">
        <v>0.62</v>
      </c>
      <c r="M6091">
        <v>0.74099999999999999</v>
      </c>
      <c r="N6091">
        <v>5.5E-2</v>
      </c>
    </row>
    <row r="6092" spans="1:14" x14ac:dyDescent="0.25">
      <c r="A6092" t="s">
        <v>10951</v>
      </c>
      <c r="B6092" t="s">
        <v>10952</v>
      </c>
      <c r="C6092" s="1" t="str">
        <f>HYPERLINK("http://www.genecards.org/cgi-bin/carddisp.pl?gene=PDE3B","GeneCards")</f>
        <v>GeneCards</v>
      </c>
      <c r="D6092" s="1" t="str">
        <f>HYPERLINK("http://genome-euro.ucsc.edu/cgi-bin/hgTracks?position=208591_s_at","UCSC")</f>
        <v>UCSC</v>
      </c>
      <c r="E6092" s="1" t="str">
        <f>HYPERLINK("http://www.ncbi.nlm.nih.gov/gene/?term=PDE3B","NCBI")</f>
        <v>NCBI</v>
      </c>
      <c r="F6092">
        <v>6.7000000000000004E-2</v>
      </c>
      <c r="G6092">
        <v>0.19</v>
      </c>
      <c r="H6092" s="1" t="str">
        <f>HYPERLINK("http://www.weizmann.ac.il/complex/compphys/software/geview/data/figures/208591_s_at.png","Figure")</f>
        <v>Figure</v>
      </c>
      <c r="I6092">
        <v>0.93500000000000005</v>
      </c>
      <c r="J6092">
        <v>0.85</v>
      </c>
      <c r="K6092">
        <v>0.77200000000000002</v>
      </c>
      <c r="L6092">
        <v>6.9000000000000006E-2</v>
      </c>
      <c r="M6092">
        <v>0.82599999999999996</v>
      </c>
      <c r="N6092">
        <v>0.24</v>
      </c>
    </row>
    <row r="6093" spans="1:14" x14ac:dyDescent="0.25">
      <c r="A6093" t="s">
        <v>10953</v>
      </c>
      <c r="B6093" t="s">
        <v>4873</v>
      </c>
      <c r="C6093" s="1" t="str">
        <f>HYPERLINK("http://www.genecards.org/cgi-bin/carddisp.pl?gene=EHD1","GeneCards")</f>
        <v>GeneCards</v>
      </c>
      <c r="D6093" s="1" t="str">
        <f>HYPERLINK("http://genome-euro.ucsc.edu/cgi-bin/hgTracks?position=209039_x_at","UCSC")</f>
        <v>UCSC</v>
      </c>
      <c r="E6093" s="1" t="str">
        <f>HYPERLINK("http://www.ncbi.nlm.nih.gov/gene/?term=EHD1","NCBI")</f>
        <v>NCBI</v>
      </c>
      <c r="F6093">
        <v>6.7000000000000004E-2</v>
      </c>
      <c r="G6093">
        <v>0.19</v>
      </c>
      <c r="H6093" s="1" t="str">
        <f>HYPERLINK("http://www.weizmann.ac.il/complex/compphys/software/geview/data/figures/209039_x_at.png","Figure")</f>
        <v>Figure</v>
      </c>
      <c r="I6093">
        <v>1.3</v>
      </c>
      <c r="J6093">
        <v>9.6000000000000002E-2</v>
      </c>
      <c r="K6093">
        <v>1.25</v>
      </c>
      <c r="L6093">
        <v>0.1</v>
      </c>
      <c r="M6093">
        <v>0.96299999999999997</v>
      </c>
      <c r="N6093">
        <v>0.94</v>
      </c>
    </row>
    <row r="6094" spans="1:14" x14ac:dyDescent="0.25">
      <c r="A6094" t="s">
        <v>10954</v>
      </c>
      <c r="B6094" t="s">
        <v>10955</v>
      </c>
      <c r="C6094" s="1" t="str">
        <f>HYPERLINK("http://www.genecards.org/cgi-bin/carddisp.pl?gene=PIAS4","GeneCards")</f>
        <v>GeneCards</v>
      </c>
      <c r="D6094" s="1" t="str">
        <f>HYPERLINK("http://genome-euro.ucsc.edu/cgi-bin/hgTracks?position=212881_at","UCSC")</f>
        <v>UCSC</v>
      </c>
      <c r="E6094" s="1" t="str">
        <f>HYPERLINK("http://www.ncbi.nlm.nih.gov/gene/?term=PIAS4","NCBI")</f>
        <v>NCBI</v>
      </c>
      <c r="F6094">
        <v>6.7000000000000004E-2</v>
      </c>
      <c r="G6094">
        <v>0.19</v>
      </c>
      <c r="H6094" s="1" t="str">
        <f>HYPERLINK("http://www.weizmann.ac.il/complex/compphys/software/geview/data/figures/212881_at.png","Figure")</f>
        <v>Figure</v>
      </c>
      <c r="I6094">
        <v>0.93899999999999995</v>
      </c>
      <c r="J6094">
        <v>0.14000000000000001</v>
      </c>
      <c r="K6094">
        <v>1.01</v>
      </c>
      <c r="L6094">
        <v>0.95</v>
      </c>
      <c r="M6094">
        <v>1.07</v>
      </c>
      <c r="N6094">
        <v>6.6000000000000003E-2</v>
      </c>
    </row>
    <row r="6095" spans="1:14" x14ac:dyDescent="0.25">
      <c r="A6095" t="s">
        <v>10956</v>
      </c>
      <c r="B6095" t="s">
        <v>10957</v>
      </c>
      <c r="C6095" s="1" t="str">
        <f>HYPERLINK("http://www.genecards.org/cgi-bin/carddisp.pl?gene=RPL31","GeneCards")</f>
        <v>GeneCards</v>
      </c>
      <c r="D6095" s="1" t="str">
        <f>HYPERLINK("http://genome-euro.ucsc.edu/cgi-bin/hgTracks?position=221593_s_at","UCSC")</f>
        <v>UCSC</v>
      </c>
      <c r="E6095" s="1" t="str">
        <f>HYPERLINK("http://www.ncbi.nlm.nih.gov/gene/?term=RPL31","NCBI")</f>
        <v>NCBI</v>
      </c>
      <c r="F6095">
        <v>6.7000000000000004E-2</v>
      </c>
      <c r="G6095">
        <v>0.19</v>
      </c>
      <c r="H6095" s="1" t="str">
        <f>HYPERLINK("http://www.weizmann.ac.il/complex/compphys/software/geview/data/figures/221593_s_at.png","Figure")</f>
        <v>Figure</v>
      </c>
      <c r="I6095">
        <v>0.63600000000000001</v>
      </c>
      <c r="J6095">
        <v>7.0000000000000007E-2</v>
      </c>
      <c r="K6095">
        <v>0.91600000000000004</v>
      </c>
      <c r="L6095">
        <v>0.85</v>
      </c>
      <c r="M6095">
        <v>1.44</v>
      </c>
      <c r="N6095">
        <v>0.12</v>
      </c>
    </row>
    <row r="6096" spans="1:14" x14ac:dyDescent="0.25">
      <c r="A6096" t="s">
        <v>10958</v>
      </c>
      <c r="B6096" t="s">
        <v>10959</v>
      </c>
      <c r="C6096" s="1" t="str">
        <f>HYPERLINK("http://www.genecards.org/cgi-bin/carddisp.pl?gene=TRAPPC2L","GeneCards")</f>
        <v>GeneCards</v>
      </c>
      <c r="D6096" s="1" t="str">
        <f>HYPERLINK("http://genome-euro.ucsc.edu/cgi-bin/hgTracks?position=218354_at","UCSC")</f>
        <v>UCSC</v>
      </c>
      <c r="E6096" s="1" t="str">
        <f>HYPERLINK("http://www.ncbi.nlm.nih.gov/gene/?term=TRAPPC2L","NCBI")</f>
        <v>NCBI</v>
      </c>
      <c r="F6096">
        <v>6.7000000000000004E-2</v>
      </c>
      <c r="G6096">
        <v>0.19</v>
      </c>
      <c r="H6096" s="1" t="str">
        <f>HYPERLINK("http://www.weizmann.ac.il/complex/compphys/software/geview/data/figures/218354_at.png","Figure")</f>
        <v>Figure</v>
      </c>
      <c r="I6096">
        <v>0.91800000000000004</v>
      </c>
      <c r="J6096">
        <v>0.91</v>
      </c>
      <c r="K6096">
        <v>1.43</v>
      </c>
      <c r="L6096">
        <v>0.15</v>
      </c>
      <c r="M6096">
        <v>1.55</v>
      </c>
      <c r="N6096">
        <v>9.0999999999999998E-2</v>
      </c>
    </row>
    <row r="6097" spans="1:14" x14ac:dyDescent="0.25">
      <c r="A6097" t="s">
        <v>10960</v>
      </c>
      <c r="B6097" t="s">
        <v>5779</v>
      </c>
      <c r="C6097" s="1" t="str">
        <f>HYPERLINK("http://www.genecards.org/cgi-bin/carddisp.pl?gene=PSME3","GeneCards")</f>
        <v>GeneCards</v>
      </c>
      <c r="D6097" s="1" t="str">
        <f>HYPERLINK("http://genome-euro.ucsc.edu/cgi-bin/hgTracks?position=200987_x_at","UCSC")</f>
        <v>UCSC</v>
      </c>
      <c r="E6097" s="1" t="str">
        <f>HYPERLINK("http://www.ncbi.nlm.nih.gov/gene/?term=PSME3","NCBI")</f>
        <v>NCBI</v>
      </c>
      <c r="F6097">
        <v>6.7000000000000004E-2</v>
      </c>
      <c r="G6097">
        <v>0.19</v>
      </c>
      <c r="H6097" s="1" t="str">
        <f>HYPERLINK("http://www.weizmann.ac.il/complex/compphys/software/geview/data/figures/200987_x_at.png","Figure")</f>
        <v>Figure</v>
      </c>
      <c r="I6097">
        <v>0.93200000000000005</v>
      </c>
      <c r="J6097">
        <v>0.83</v>
      </c>
      <c r="K6097">
        <v>1.22</v>
      </c>
      <c r="L6097">
        <v>0.19</v>
      </c>
      <c r="M6097">
        <v>1.31</v>
      </c>
      <c r="N6097">
        <v>0.08</v>
      </c>
    </row>
    <row r="6098" spans="1:14" x14ac:dyDescent="0.25">
      <c r="A6098" t="s">
        <v>10961</v>
      </c>
      <c r="B6098" t="s">
        <v>10962</v>
      </c>
      <c r="C6098" s="1" t="str">
        <f>HYPERLINK("http://www.genecards.org/cgi-bin/carddisp.pl?gene=TAF6L","GeneCards")</f>
        <v>GeneCards</v>
      </c>
      <c r="D6098" s="1" t="str">
        <f>HYPERLINK("http://genome-euro.ucsc.edu/cgi-bin/hgTracks?position=222053_at","UCSC")</f>
        <v>UCSC</v>
      </c>
      <c r="E6098" s="1" t="str">
        <f>HYPERLINK("http://www.ncbi.nlm.nih.gov/gene/?term=TAF6L","NCBI")</f>
        <v>NCBI</v>
      </c>
      <c r="F6098">
        <v>6.7000000000000004E-2</v>
      </c>
      <c r="G6098">
        <v>0.19</v>
      </c>
      <c r="H6098" s="1" t="str">
        <f>HYPERLINK("http://www.weizmann.ac.il/complex/compphys/software/geview/data/figures/222053_at.png","Figure")</f>
        <v>Figure</v>
      </c>
      <c r="I6098">
        <v>1.06</v>
      </c>
      <c r="J6098">
        <v>0.68</v>
      </c>
      <c r="K6098">
        <v>0.90800000000000003</v>
      </c>
      <c r="L6098">
        <v>0.26</v>
      </c>
      <c r="M6098">
        <v>0.85699999999999998</v>
      </c>
      <c r="N6098">
        <v>6.8000000000000005E-2</v>
      </c>
    </row>
    <row r="6099" spans="1:14" x14ac:dyDescent="0.25">
      <c r="A6099" t="s">
        <v>10963</v>
      </c>
      <c r="B6099" t="s">
        <v>10964</v>
      </c>
      <c r="C6099" s="1" t="str">
        <f>HYPERLINK("http://www.genecards.org/cgi-bin/carddisp.pl?gene=CTDSPL","GeneCards")</f>
        <v>GeneCards</v>
      </c>
      <c r="D6099" s="1" t="str">
        <f>HYPERLINK("http://genome-euro.ucsc.edu/cgi-bin/hgTracks?position=201906_s_at","UCSC")</f>
        <v>UCSC</v>
      </c>
      <c r="E6099" s="1" t="str">
        <f>HYPERLINK("http://www.ncbi.nlm.nih.gov/gene/?term=CTDSPL","NCBI")</f>
        <v>NCBI</v>
      </c>
      <c r="F6099">
        <v>6.7000000000000004E-2</v>
      </c>
      <c r="G6099">
        <v>0.19</v>
      </c>
      <c r="H6099" s="1" t="str">
        <f>HYPERLINK("http://www.weizmann.ac.il/complex/compphys/software/geview/data/figures/201906_s_at.png","Figure")</f>
        <v>Figure</v>
      </c>
      <c r="I6099">
        <v>0.84299999999999997</v>
      </c>
      <c r="J6099">
        <v>0.27</v>
      </c>
      <c r="K6099">
        <v>1.0900000000000001</v>
      </c>
      <c r="L6099">
        <v>0.65</v>
      </c>
      <c r="M6099">
        <v>1.29</v>
      </c>
      <c r="N6099">
        <v>5.5E-2</v>
      </c>
    </row>
    <row r="6100" spans="1:14" x14ac:dyDescent="0.25">
      <c r="A6100" t="s">
        <v>10965</v>
      </c>
      <c r="B6100" t="s">
        <v>10966</v>
      </c>
      <c r="C6100" s="1" t="str">
        <f>HYPERLINK("http://www.genecards.org/cgi-bin/carddisp.pl?gene=KCNMB4","GeneCards")</f>
        <v>GeneCards</v>
      </c>
      <c r="D6100" s="1" t="str">
        <f>HYPERLINK("http://genome-euro.ucsc.edu/cgi-bin/hgTracks?position=219287_at","UCSC")</f>
        <v>UCSC</v>
      </c>
      <c r="E6100" s="1" t="str">
        <f>HYPERLINK("http://www.ncbi.nlm.nih.gov/gene/?term=KCNMB4","NCBI")</f>
        <v>NCBI</v>
      </c>
      <c r="F6100">
        <v>6.7000000000000004E-2</v>
      </c>
      <c r="G6100">
        <v>0.19</v>
      </c>
      <c r="H6100" s="1" t="str">
        <f>HYPERLINK("http://www.weizmann.ac.il/complex/compphys/software/geview/data/figures/219287_at.png","Figure")</f>
        <v>Figure</v>
      </c>
      <c r="I6100">
        <v>0.94599999999999995</v>
      </c>
      <c r="J6100">
        <v>0.79</v>
      </c>
      <c r="K6100">
        <v>0.83399999999999996</v>
      </c>
      <c r="L6100">
        <v>6.5000000000000002E-2</v>
      </c>
      <c r="M6100">
        <v>0.88200000000000001</v>
      </c>
      <c r="N6100">
        <v>0.28000000000000003</v>
      </c>
    </row>
    <row r="6101" spans="1:14" x14ac:dyDescent="0.25">
      <c r="A6101" t="s">
        <v>10967</v>
      </c>
      <c r="B6101" t="s">
        <v>7822</v>
      </c>
      <c r="C6101" s="1" t="str">
        <f>HYPERLINK("http://www.genecards.org/cgi-bin/carddisp.pl?gene=OSBP","GeneCards")</f>
        <v>GeneCards</v>
      </c>
      <c r="D6101" s="1" t="str">
        <f>HYPERLINK("http://genome-euro.ucsc.edu/cgi-bin/hgTracks?position=201800_s_at","UCSC")</f>
        <v>UCSC</v>
      </c>
      <c r="E6101" s="1" t="str">
        <f>HYPERLINK("http://www.ncbi.nlm.nih.gov/gene/?term=OSBP","NCBI")</f>
        <v>NCBI</v>
      </c>
      <c r="F6101">
        <v>6.7000000000000004E-2</v>
      </c>
      <c r="G6101">
        <v>0.19</v>
      </c>
      <c r="H6101" s="1" t="str">
        <f>HYPERLINK("http://www.weizmann.ac.il/complex/compphys/software/geview/data/figures/201800_s_at.png","Figure")</f>
        <v>Figure</v>
      </c>
      <c r="I6101">
        <v>0.93100000000000005</v>
      </c>
      <c r="J6101">
        <v>0.9</v>
      </c>
      <c r="K6101">
        <v>0.71399999999999997</v>
      </c>
      <c r="L6101">
        <v>7.3999999999999996E-2</v>
      </c>
      <c r="M6101">
        <v>0.76700000000000002</v>
      </c>
      <c r="N6101">
        <v>0.21</v>
      </c>
    </row>
    <row r="6102" spans="1:14" x14ac:dyDescent="0.25">
      <c r="A6102" t="s">
        <v>10968</v>
      </c>
      <c r="B6102" t="s">
        <v>10969</v>
      </c>
      <c r="C6102" s="1" t="str">
        <f>HYPERLINK("http://www.genecards.org/cgi-bin/carddisp.pl?gene=CCDC91","GeneCards")</f>
        <v>GeneCards</v>
      </c>
      <c r="D6102" s="1" t="str">
        <f>HYPERLINK("http://genome-euro.ucsc.edu/cgi-bin/hgTracks?position=218545_at","UCSC")</f>
        <v>UCSC</v>
      </c>
      <c r="E6102" s="1" t="str">
        <f>HYPERLINK("http://www.ncbi.nlm.nih.gov/gene/?term=CCDC91","NCBI")</f>
        <v>NCBI</v>
      </c>
      <c r="F6102">
        <v>6.7000000000000004E-2</v>
      </c>
      <c r="G6102">
        <v>0.19</v>
      </c>
      <c r="H6102" s="1" t="str">
        <f>HYPERLINK("http://www.weizmann.ac.il/complex/compphys/software/geview/data/figures/218545_at.png","Figure")</f>
        <v>Figure</v>
      </c>
      <c r="I6102">
        <v>0.66800000000000004</v>
      </c>
      <c r="J6102">
        <v>0.13</v>
      </c>
      <c r="K6102">
        <v>1.05</v>
      </c>
      <c r="L6102">
        <v>0.96</v>
      </c>
      <c r="M6102">
        <v>1.57</v>
      </c>
      <c r="N6102">
        <v>6.7000000000000004E-2</v>
      </c>
    </row>
    <row r="6103" spans="1:14" x14ac:dyDescent="0.25">
      <c r="A6103" t="s">
        <v>10970</v>
      </c>
      <c r="B6103" t="s">
        <v>3869</v>
      </c>
      <c r="C6103" s="1" t="str">
        <f>HYPERLINK("http://www.genecards.org/cgi-bin/carddisp.pl?gene=SYNCRIP","GeneCards")</f>
        <v>GeneCards</v>
      </c>
      <c r="D6103" s="1" t="str">
        <f>HYPERLINK("http://genome-euro.ucsc.edu/cgi-bin/hgTracks?position=209024_s_at","UCSC")</f>
        <v>UCSC</v>
      </c>
      <c r="E6103" s="1" t="str">
        <f>HYPERLINK("http://www.ncbi.nlm.nih.gov/gene/?term=SYNCRIP","NCBI")</f>
        <v>NCBI</v>
      </c>
      <c r="F6103">
        <v>6.7000000000000004E-2</v>
      </c>
      <c r="G6103">
        <v>0.19</v>
      </c>
      <c r="H6103" s="1" t="str">
        <f>HYPERLINK("http://www.weizmann.ac.il/complex/compphys/software/geview/data/figures/209024_s_at.png","Figure")</f>
        <v>Figure</v>
      </c>
      <c r="I6103">
        <v>0.93799999999999994</v>
      </c>
      <c r="J6103">
        <v>0.89</v>
      </c>
      <c r="K6103">
        <v>1.26</v>
      </c>
      <c r="L6103">
        <v>0.16</v>
      </c>
      <c r="M6103">
        <v>1.35</v>
      </c>
      <c r="N6103">
        <v>8.7999999999999995E-2</v>
      </c>
    </row>
    <row r="6104" spans="1:14" x14ac:dyDescent="0.25">
      <c r="A6104" t="s">
        <v>10971</v>
      </c>
      <c r="B6104" t="s">
        <v>10972</v>
      </c>
      <c r="C6104" s="1" t="str">
        <f>HYPERLINK("http://www.genecards.org/cgi-bin/carddisp.pl?gene=SH3GL3","GeneCards")</f>
        <v>GeneCards</v>
      </c>
      <c r="D6104" s="1" t="str">
        <f>HYPERLINK("http://genome-euro.ucsc.edu/cgi-bin/hgTracks?position=205637_s_at","UCSC")</f>
        <v>UCSC</v>
      </c>
      <c r="E6104" s="1" t="str">
        <f>HYPERLINK("http://www.ncbi.nlm.nih.gov/gene/?term=SH3GL3","NCBI")</f>
        <v>NCBI</v>
      </c>
      <c r="F6104">
        <v>6.7000000000000004E-2</v>
      </c>
      <c r="G6104">
        <v>0.19</v>
      </c>
      <c r="H6104" s="1" t="str">
        <f>HYPERLINK("http://www.weizmann.ac.il/complex/compphys/software/geview/data/figures/205637_s_at.png","Figure")</f>
        <v>Figure</v>
      </c>
      <c r="I6104">
        <v>1.17</v>
      </c>
      <c r="J6104">
        <v>0.16</v>
      </c>
      <c r="K6104">
        <v>0.96799999999999997</v>
      </c>
      <c r="L6104">
        <v>0.89</v>
      </c>
      <c r="M6104">
        <v>0.82399999999999995</v>
      </c>
      <c r="N6104">
        <v>6.2E-2</v>
      </c>
    </row>
    <row r="6105" spans="1:14" x14ac:dyDescent="0.25">
      <c r="A6105" t="s">
        <v>10973</v>
      </c>
      <c r="B6105" t="s">
        <v>10974</v>
      </c>
      <c r="C6105" s="1" t="str">
        <f>HYPERLINK("http://www.genecards.org/cgi-bin/carddisp.pl?gene=CD70","GeneCards")</f>
        <v>GeneCards</v>
      </c>
      <c r="D6105" s="1" t="str">
        <f>HYPERLINK("http://genome-euro.ucsc.edu/cgi-bin/hgTracks?position=206508_at","UCSC")</f>
        <v>UCSC</v>
      </c>
      <c r="E6105" s="1" t="str">
        <f>HYPERLINK("http://www.ncbi.nlm.nih.gov/gene/?term=CD70","NCBI")</f>
        <v>NCBI</v>
      </c>
      <c r="F6105">
        <v>6.7000000000000004E-2</v>
      </c>
      <c r="G6105">
        <v>0.19</v>
      </c>
      <c r="H6105" s="1" t="str">
        <f>HYPERLINK("http://www.weizmann.ac.il/complex/compphys/software/geview/data/figures/206508_at.png","Figure")</f>
        <v>Figure</v>
      </c>
      <c r="I6105">
        <v>1.32</v>
      </c>
      <c r="J6105">
        <v>6.4000000000000001E-2</v>
      </c>
      <c r="K6105">
        <v>1.07</v>
      </c>
      <c r="L6105">
        <v>0.76</v>
      </c>
      <c r="M6105">
        <v>0.81399999999999995</v>
      </c>
      <c r="N6105">
        <v>0.15</v>
      </c>
    </row>
    <row r="6106" spans="1:14" x14ac:dyDescent="0.25">
      <c r="A6106" t="s">
        <v>10975</v>
      </c>
      <c r="B6106" t="s">
        <v>10976</v>
      </c>
      <c r="C6106" s="1" t="str">
        <f>HYPERLINK("http://www.genecards.org/cgi-bin/carddisp.pl?gene=YWHAE","GeneCards")</f>
        <v>GeneCards</v>
      </c>
      <c r="D6106" s="1" t="str">
        <f>HYPERLINK("http://genome-euro.ucsc.edu/cgi-bin/hgTracks?position=210996_s_at","UCSC")</f>
        <v>UCSC</v>
      </c>
      <c r="E6106" s="1" t="str">
        <f>HYPERLINK("http://www.ncbi.nlm.nih.gov/gene/?term=YWHAE","NCBI")</f>
        <v>NCBI</v>
      </c>
      <c r="F6106">
        <v>6.7000000000000004E-2</v>
      </c>
      <c r="G6106">
        <v>0.19</v>
      </c>
      <c r="H6106" s="1" t="str">
        <f>HYPERLINK("http://www.weizmann.ac.il/complex/compphys/software/geview/data/figures/210996_s_at.png","Figure")</f>
        <v>Figure</v>
      </c>
      <c r="I6106">
        <v>1.06</v>
      </c>
      <c r="J6106">
        <v>0.98</v>
      </c>
      <c r="K6106">
        <v>1.85</v>
      </c>
      <c r="L6106">
        <v>8.7999999999999995E-2</v>
      </c>
      <c r="M6106">
        <v>1.74</v>
      </c>
      <c r="N6106">
        <v>0.16</v>
      </c>
    </row>
    <row r="6107" spans="1:14" x14ac:dyDescent="0.25">
      <c r="A6107" t="s">
        <v>10977</v>
      </c>
      <c r="B6107" t="s">
        <v>10978</v>
      </c>
      <c r="C6107" s="1" t="str">
        <f>HYPERLINK("http://www.genecards.org/cgi-bin/carddisp.pl?gene=FEN1","GeneCards")</f>
        <v>GeneCards</v>
      </c>
      <c r="D6107" s="1" t="str">
        <f>HYPERLINK("http://genome-euro.ucsc.edu/cgi-bin/hgTracks?position=204768_s_at","UCSC")</f>
        <v>UCSC</v>
      </c>
      <c r="E6107" s="1" t="str">
        <f>HYPERLINK("http://www.ncbi.nlm.nih.gov/gene/?term=FEN1","NCBI")</f>
        <v>NCBI</v>
      </c>
      <c r="F6107">
        <v>6.7000000000000004E-2</v>
      </c>
      <c r="G6107">
        <v>0.19</v>
      </c>
      <c r="H6107" s="1" t="str">
        <f>HYPERLINK("http://www.weizmann.ac.il/complex/compphys/software/geview/data/figures/204768_s_at.png","Figure")</f>
        <v>Figure</v>
      </c>
      <c r="I6107">
        <v>1.41</v>
      </c>
      <c r="J6107">
        <v>0.17</v>
      </c>
      <c r="K6107">
        <v>1.46</v>
      </c>
      <c r="L6107">
        <v>6.9000000000000006E-2</v>
      </c>
      <c r="M6107">
        <v>1.04</v>
      </c>
      <c r="N6107">
        <v>0.97</v>
      </c>
    </row>
    <row r="6108" spans="1:14" x14ac:dyDescent="0.25">
      <c r="A6108" t="s">
        <v>10979</v>
      </c>
      <c r="B6108" t="s">
        <v>10980</v>
      </c>
      <c r="C6108" s="1" t="str">
        <f>HYPERLINK("http://www.genecards.org/cgi-bin/carddisp.pl?gene=ADAM15","GeneCards")</f>
        <v>GeneCards</v>
      </c>
      <c r="D6108" s="1" t="str">
        <f>HYPERLINK("http://genome-euro.ucsc.edu/cgi-bin/hgTracks?position=217007_s_at","UCSC")</f>
        <v>UCSC</v>
      </c>
      <c r="E6108" s="1" t="str">
        <f>HYPERLINK("http://www.ncbi.nlm.nih.gov/gene/?term=ADAM15","NCBI")</f>
        <v>NCBI</v>
      </c>
      <c r="F6108">
        <v>6.8000000000000005E-2</v>
      </c>
      <c r="G6108">
        <v>0.19</v>
      </c>
      <c r="H6108" s="1" t="str">
        <f>HYPERLINK("http://www.weizmann.ac.il/complex/compphys/software/geview/data/figures/217007_s_at.png","Figure")</f>
        <v>Figure</v>
      </c>
      <c r="I6108">
        <v>1.2</v>
      </c>
      <c r="J6108">
        <v>5.7000000000000002E-2</v>
      </c>
      <c r="K6108">
        <v>1.07</v>
      </c>
      <c r="L6108">
        <v>0.57999999999999996</v>
      </c>
      <c r="M6108">
        <v>0.88800000000000001</v>
      </c>
      <c r="N6108">
        <v>0.21</v>
      </c>
    </row>
    <row r="6109" spans="1:14" x14ac:dyDescent="0.25">
      <c r="A6109" t="s">
        <v>10981</v>
      </c>
      <c r="B6109" t="s">
        <v>10982</v>
      </c>
      <c r="C6109" s="1" t="str">
        <f>HYPERLINK("http://www.genecards.org/cgi-bin/carddisp.pl?gene=NIPSNAP3B","GeneCards")</f>
        <v>GeneCards</v>
      </c>
      <c r="D6109" s="1" t="str">
        <f>HYPERLINK("http://genome-euro.ucsc.edu/cgi-bin/hgTracks?position=221104_s_at","UCSC")</f>
        <v>UCSC</v>
      </c>
      <c r="E6109" s="1" t="str">
        <f>HYPERLINK("http://www.ncbi.nlm.nih.gov/gene/?term=NIPSNAP3B","NCBI")</f>
        <v>NCBI</v>
      </c>
      <c r="F6109">
        <v>6.8000000000000005E-2</v>
      </c>
      <c r="G6109">
        <v>0.19</v>
      </c>
      <c r="H6109" s="1" t="str">
        <f>HYPERLINK("http://www.weizmann.ac.il/complex/compphys/software/geview/data/figures/221104_s_at.png","Figure")</f>
        <v>Figure</v>
      </c>
      <c r="I6109">
        <v>1.1499999999999999</v>
      </c>
      <c r="J6109">
        <v>0.16</v>
      </c>
      <c r="K6109">
        <v>1.1599999999999999</v>
      </c>
      <c r="L6109">
        <v>7.1999999999999995E-2</v>
      </c>
      <c r="M6109">
        <v>1.01</v>
      </c>
      <c r="N6109">
        <v>0.99</v>
      </c>
    </row>
    <row r="6110" spans="1:14" x14ac:dyDescent="0.25">
      <c r="A6110" t="s">
        <v>10983</v>
      </c>
      <c r="B6110" t="s">
        <v>10984</v>
      </c>
      <c r="C6110" s="1" t="str">
        <f>HYPERLINK("http://www.genecards.org/cgi-bin/carddisp.pl?gene=AHI1","GeneCards")</f>
        <v>GeneCards</v>
      </c>
      <c r="D6110" s="1" t="str">
        <f>HYPERLINK("http://genome-euro.ucsc.edu/cgi-bin/hgTracks?position=221569_at","UCSC")</f>
        <v>UCSC</v>
      </c>
      <c r="E6110" s="1" t="str">
        <f>HYPERLINK("http://www.ncbi.nlm.nih.gov/gene/?term=AHI1","NCBI")</f>
        <v>NCBI</v>
      </c>
      <c r="F6110">
        <v>6.8000000000000005E-2</v>
      </c>
      <c r="G6110">
        <v>0.19</v>
      </c>
      <c r="H6110" s="1" t="str">
        <f>HYPERLINK("http://www.weizmann.ac.il/complex/compphys/software/geview/data/figures/221569_at.png","Figure")</f>
        <v>Figure</v>
      </c>
      <c r="I6110">
        <v>0.80200000000000005</v>
      </c>
      <c r="J6110">
        <v>0.44</v>
      </c>
      <c r="K6110">
        <v>1.22</v>
      </c>
      <c r="L6110">
        <v>0.42</v>
      </c>
      <c r="M6110">
        <v>1.52</v>
      </c>
      <c r="N6110">
        <v>5.7000000000000002E-2</v>
      </c>
    </row>
    <row r="6111" spans="1:14" x14ac:dyDescent="0.25">
      <c r="A6111" t="s">
        <v>10985</v>
      </c>
      <c r="B6111" t="s">
        <v>10986</v>
      </c>
      <c r="C6111" s="1" t="str">
        <f>HYPERLINK("http://www.genecards.org/cgi-bin/carddisp.pl?gene=CDH2","GeneCards")</f>
        <v>GeneCards</v>
      </c>
      <c r="D6111" s="1" t="str">
        <f>HYPERLINK("http://genome-euro.ucsc.edu/cgi-bin/hgTracks?position=203441_s_at","UCSC")</f>
        <v>UCSC</v>
      </c>
      <c r="E6111" s="1" t="str">
        <f>HYPERLINK("http://www.ncbi.nlm.nih.gov/gene/?term=CDH2","NCBI")</f>
        <v>NCBI</v>
      </c>
      <c r="F6111">
        <v>6.8000000000000005E-2</v>
      </c>
      <c r="G6111">
        <v>0.19</v>
      </c>
      <c r="H6111" s="1" t="str">
        <f>HYPERLINK("http://www.weizmann.ac.il/complex/compphys/software/geview/data/figures/203441_s_at.png","Figure")</f>
        <v>Figure</v>
      </c>
      <c r="I6111">
        <v>1.22</v>
      </c>
      <c r="J6111">
        <v>7.0999999999999994E-2</v>
      </c>
      <c r="K6111">
        <v>1.1499999999999999</v>
      </c>
      <c r="L6111">
        <v>0.16</v>
      </c>
      <c r="M6111">
        <v>0.94299999999999995</v>
      </c>
      <c r="N6111">
        <v>0.71</v>
      </c>
    </row>
    <row r="6112" spans="1:14" x14ac:dyDescent="0.25">
      <c r="A6112" t="s">
        <v>10987</v>
      </c>
      <c r="B6112" t="s">
        <v>10988</v>
      </c>
      <c r="C6112" s="1" t="str">
        <f>HYPERLINK("http://www.genecards.org/cgi-bin/carddisp.pl?gene=RPL14","GeneCards")</f>
        <v>GeneCards</v>
      </c>
      <c r="D6112" s="1" t="str">
        <f>HYPERLINK("http://genome-euro.ucsc.edu/cgi-bin/hgTracks?position=219138_at","UCSC")</f>
        <v>UCSC</v>
      </c>
      <c r="E6112" s="1" t="str">
        <f>HYPERLINK("http://www.ncbi.nlm.nih.gov/gene/?term=RPL14","NCBI")</f>
        <v>NCBI</v>
      </c>
      <c r="F6112">
        <v>6.8000000000000005E-2</v>
      </c>
      <c r="G6112">
        <v>0.19</v>
      </c>
      <c r="H6112" s="1" t="str">
        <f>HYPERLINK("http://www.weizmann.ac.il/complex/compphys/software/geview/data/figures/219138_at.png","Figure")</f>
        <v>Figure</v>
      </c>
      <c r="I6112">
        <v>1.98</v>
      </c>
      <c r="J6112">
        <v>8.5999999999999993E-2</v>
      </c>
      <c r="K6112">
        <v>1.73</v>
      </c>
      <c r="L6112">
        <v>0.12</v>
      </c>
      <c r="M6112">
        <v>0.872</v>
      </c>
      <c r="N6112">
        <v>0.87</v>
      </c>
    </row>
    <row r="6113" spans="1:14" x14ac:dyDescent="0.25">
      <c r="A6113" t="s">
        <v>10989</v>
      </c>
      <c r="B6113" t="s">
        <v>4026</v>
      </c>
      <c r="C6113" s="1" t="str">
        <f>HYPERLINK("http://www.genecards.org/cgi-bin/carddisp.pl?gene=IGFBP3","GeneCards")</f>
        <v>GeneCards</v>
      </c>
      <c r="D6113" s="1" t="str">
        <f>HYPERLINK("http://genome-euro.ucsc.edu/cgi-bin/hgTracks?position=212143_s_at","UCSC")</f>
        <v>UCSC</v>
      </c>
      <c r="E6113" s="1" t="str">
        <f>HYPERLINK("http://www.ncbi.nlm.nih.gov/gene/?term=IGFBP3","NCBI")</f>
        <v>NCBI</v>
      </c>
      <c r="F6113">
        <v>6.8000000000000005E-2</v>
      </c>
      <c r="G6113">
        <v>0.19</v>
      </c>
      <c r="H6113" s="1" t="str">
        <f>HYPERLINK("http://www.weizmann.ac.il/complex/compphys/software/geview/data/figures/212143_s_at.png","Figure")</f>
        <v>Figure</v>
      </c>
      <c r="I6113">
        <v>1.1499999999999999</v>
      </c>
      <c r="J6113">
        <v>0.12</v>
      </c>
      <c r="K6113">
        <v>0.99199999999999999</v>
      </c>
      <c r="L6113">
        <v>0.99</v>
      </c>
      <c r="M6113">
        <v>0.86</v>
      </c>
      <c r="N6113">
        <v>7.1999999999999995E-2</v>
      </c>
    </row>
    <row r="6114" spans="1:14" x14ac:dyDescent="0.25">
      <c r="A6114" t="s">
        <v>10990</v>
      </c>
      <c r="B6114" t="s">
        <v>10991</v>
      </c>
      <c r="C6114" s="1" t="str">
        <f>HYPERLINK("http://www.genecards.org/cgi-bin/carddisp.pl?gene=MPO","GeneCards")</f>
        <v>GeneCards</v>
      </c>
      <c r="D6114" s="1" t="str">
        <f>HYPERLINK("http://genome-euro.ucsc.edu/cgi-bin/hgTracks?position=203948_s_at","UCSC")</f>
        <v>UCSC</v>
      </c>
      <c r="E6114" s="1" t="str">
        <f>HYPERLINK("http://www.ncbi.nlm.nih.gov/gene/?term=MPO","NCBI")</f>
        <v>NCBI</v>
      </c>
      <c r="F6114">
        <v>6.8000000000000005E-2</v>
      </c>
      <c r="G6114">
        <v>0.19</v>
      </c>
      <c r="H6114" s="1" t="str">
        <f>HYPERLINK("http://www.weizmann.ac.il/complex/compphys/software/geview/data/figures/203948_s_at.png","Figure")</f>
        <v>Figure</v>
      </c>
      <c r="I6114">
        <v>0.58399999999999996</v>
      </c>
      <c r="J6114">
        <v>0.12</v>
      </c>
      <c r="K6114">
        <v>1.03</v>
      </c>
      <c r="L6114">
        <v>0.99</v>
      </c>
      <c r="M6114">
        <v>1.76</v>
      </c>
      <c r="N6114">
        <v>7.2999999999999995E-2</v>
      </c>
    </row>
    <row r="6115" spans="1:14" x14ac:dyDescent="0.25">
      <c r="A6115" t="s">
        <v>10992</v>
      </c>
      <c r="B6115" t="s">
        <v>6542</v>
      </c>
      <c r="C6115" s="1" t="str">
        <f>HYPERLINK("http://www.genecards.org/cgi-bin/carddisp.pl?gene=CDC42BPA","GeneCards")</f>
        <v>GeneCards</v>
      </c>
      <c r="D6115" s="1" t="str">
        <f>HYPERLINK("http://genome-euro.ucsc.edu/cgi-bin/hgTracks?position=215296_at","UCSC")</f>
        <v>UCSC</v>
      </c>
      <c r="E6115" s="1" t="str">
        <f>HYPERLINK("http://www.ncbi.nlm.nih.gov/gene/?term=CDC42BPA","NCBI")</f>
        <v>NCBI</v>
      </c>
      <c r="F6115">
        <v>6.8000000000000005E-2</v>
      </c>
      <c r="G6115">
        <v>0.19</v>
      </c>
      <c r="H6115" s="1" t="str">
        <f>HYPERLINK("http://www.weizmann.ac.il/complex/compphys/software/geview/data/figures/215296_at.png","Figure")</f>
        <v>Figure</v>
      </c>
      <c r="I6115">
        <v>1.2</v>
      </c>
      <c r="J6115">
        <v>7.0000000000000007E-2</v>
      </c>
      <c r="K6115">
        <v>1.1399999999999999</v>
      </c>
      <c r="L6115">
        <v>0.16</v>
      </c>
      <c r="M6115">
        <v>0.94499999999999995</v>
      </c>
      <c r="N6115">
        <v>0.71</v>
      </c>
    </row>
    <row r="6116" spans="1:14" x14ac:dyDescent="0.25">
      <c r="A6116" t="s">
        <v>10993</v>
      </c>
      <c r="B6116" t="s">
        <v>5998</v>
      </c>
      <c r="C6116" s="1" t="str">
        <f>HYPERLINK("http://www.genecards.org/cgi-bin/carddisp.pl?gene=NAP1L1","GeneCards")</f>
        <v>GeneCards</v>
      </c>
      <c r="D6116" s="1" t="str">
        <f>HYPERLINK("http://genome-euro.ucsc.edu/cgi-bin/hgTracks?position=208752_x_at","UCSC")</f>
        <v>UCSC</v>
      </c>
      <c r="E6116" s="1" t="str">
        <f>HYPERLINK("http://www.ncbi.nlm.nih.gov/gene/?term=NAP1L1","NCBI")</f>
        <v>NCBI</v>
      </c>
      <c r="F6116">
        <v>6.8000000000000005E-2</v>
      </c>
      <c r="G6116">
        <v>0.19</v>
      </c>
      <c r="H6116" s="1" t="str">
        <f>HYPERLINK("http://www.weizmann.ac.il/complex/compphys/software/geview/data/figures/208752_x_at.png","Figure")</f>
        <v>Figure</v>
      </c>
      <c r="I6116">
        <v>1.29</v>
      </c>
      <c r="J6116">
        <v>0.34</v>
      </c>
      <c r="K6116">
        <v>1.48</v>
      </c>
      <c r="L6116">
        <v>5.6000000000000001E-2</v>
      </c>
      <c r="M6116">
        <v>1.1499999999999999</v>
      </c>
      <c r="N6116">
        <v>0.68</v>
      </c>
    </row>
    <row r="6117" spans="1:14" x14ac:dyDescent="0.25">
      <c r="A6117" t="s">
        <v>10994</v>
      </c>
      <c r="B6117" t="s">
        <v>10995</v>
      </c>
      <c r="C6117" s="1" t="str">
        <f>HYPERLINK("http://www.genecards.org/cgi-bin/carddisp.pl?gene=GOLPH3L","GeneCards")</f>
        <v>GeneCards</v>
      </c>
      <c r="D6117" s="1" t="str">
        <f>HYPERLINK("http://genome-euro.ucsc.edu/cgi-bin/hgTracks?position=218361_at","UCSC")</f>
        <v>UCSC</v>
      </c>
      <c r="E6117" s="1" t="str">
        <f>HYPERLINK("http://www.ncbi.nlm.nih.gov/gene/?term=GOLPH3L","NCBI")</f>
        <v>NCBI</v>
      </c>
      <c r="F6117">
        <v>6.8000000000000005E-2</v>
      </c>
      <c r="G6117">
        <v>0.19</v>
      </c>
      <c r="H6117" s="1" t="str">
        <f>HYPERLINK("http://www.weizmann.ac.il/complex/compphys/software/geview/data/figures/218361_at.png","Figure")</f>
        <v>Figure</v>
      </c>
      <c r="I6117">
        <v>0.83499999999999996</v>
      </c>
      <c r="J6117">
        <v>0.6</v>
      </c>
      <c r="K6117">
        <v>1.28</v>
      </c>
      <c r="L6117">
        <v>0.3</v>
      </c>
      <c r="M6117">
        <v>1.54</v>
      </c>
      <c r="N6117">
        <v>6.4000000000000001E-2</v>
      </c>
    </row>
    <row r="6118" spans="1:14" x14ac:dyDescent="0.25">
      <c r="A6118" t="s">
        <v>10996</v>
      </c>
      <c r="B6118" t="s">
        <v>247</v>
      </c>
      <c r="C6118" s="1" t="str">
        <f>HYPERLINK("http://www.genecards.org/cgi-bin/carddisp.pl?gene=NUP210","GeneCards")</f>
        <v>GeneCards</v>
      </c>
      <c r="D6118" s="1" t="str">
        <f>HYPERLINK("http://genome-euro.ucsc.edu/cgi-bin/hgTracks?position=220035_at","UCSC")</f>
        <v>UCSC</v>
      </c>
      <c r="E6118" s="1" t="str">
        <f>HYPERLINK("http://www.ncbi.nlm.nih.gov/gene/?term=NUP210","NCBI")</f>
        <v>NCBI</v>
      </c>
      <c r="F6118">
        <v>6.8000000000000005E-2</v>
      </c>
      <c r="G6118">
        <v>0.19</v>
      </c>
      <c r="H6118" s="1" t="str">
        <f>HYPERLINK("http://www.weizmann.ac.il/complex/compphys/software/geview/data/figures/220035_at.png","Figure")</f>
        <v>Figure</v>
      </c>
      <c r="I6118">
        <v>1.1399999999999999</v>
      </c>
      <c r="J6118">
        <v>0.78</v>
      </c>
      <c r="K6118">
        <v>1.53</v>
      </c>
      <c r="L6118">
        <v>6.5000000000000002E-2</v>
      </c>
      <c r="M6118">
        <v>1.34</v>
      </c>
      <c r="N6118">
        <v>0.28000000000000003</v>
      </c>
    </row>
    <row r="6119" spans="1:14" x14ac:dyDescent="0.25">
      <c r="A6119" t="s">
        <v>10997</v>
      </c>
      <c r="B6119" t="s">
        <v>10998</v>
      </c>
      <c r="C6119" s="1" t="str">
        <f>HYPERLINK("http://www.genecards.org/cgi-bin/carddisp.pl?gene=DSC3","GeneCards")</f>
        <v>GeneCards</v>
      </c>
      <c r="D6119" s="1" t="str">
        <f>HYPERLINK("http://genome-euro.ucsc.edu/cgi-bin/hgTracks?position=206032_at","UCSC")</f>
        <v>UCSC</v>
      </c>
      <c r="E6119" s="1" t="str">
        <f>HYPERLINK("http://www.ncbi.nlm.nih.gov/gene/?term=DSC3","NCBI")</f>
        <v>NCBI</v>
      </c>
      <c r="F6119">
        <v>6.8000000000000005E-2</v>
      </c>
      <c r="G6119">
        <v>0.19</v>
      </c>
      <c r="H6119" s="1" t="str">
        <f>HYPERLINK("http://www.weizmann.ac.il/complex/compphys/software/geview/data/figures/206032_at.png","Figure")</f>
        <v>Figure</v>
      </c>
      <c r="I6119">
        <v>1</v>
      </c>
      <c r="J6119">
        <v>1</v>
      </c>
      <c r="K6119">
        <v>0.61099999999999999</v>
      </c>
      <c r="L6119">
        <v>0.1</v>
      </c>
      <c r="M6119">
        <v>0.61099999999999999</v>
      </c>
      <c r="N6119">
        <v>0.13</v>
      </c>
    </row>
    <row r="6120" spans="1:14" x14ac:dyDescent="0.25">
      <c r="A6120" t="s">
        <v>10999</v>
      </c>
      <c r="B6120" t="s">
        <v>11000</v>
      </c>
      <c r="C6120" s="1" t="str">
        <f>HYPERLINK("http://www.genecards.org/cgi-bin/carddisp.pl?gene=LSM2","GeneCards")</f>
        <v>GeneCards</v>
      </c>
      <c r="D6120" s="1" t="str">
        <f>HYPERLINK("http://genome-euro.ucsc.edu/cgi-bin/hgTracks?position=209449_at","UCSC")</f>
        <v>UCSC</v>
      </c>
      <c r="E6120" s="1" t="str">
        <f>HYPERLINK("http://www.ncbi.nlm.nih.gov/gene/?term=LSM2","NCBI")</f>
        <v>NCBI</v>
      </c>
      <c r="F6120">
        <v>6.8000000000000005E-2</v>
      </c>
      <c r="G6120">
        <v>0.19</v>
      </c>
      <c r="H6120" s="1" t="str">
        <f>HYPERLINK("http://www.weizmann.ac.il/complex/compphys/software/geview/data/figures/209449_at.png","Figure")</f>
        <v>Figure</v>
      </c>
      <c r="I6120">
        <v>0.82899999999999996</v>
      </c>
      <c r="J6120">
        <v>0.43</v>
      </c>
      <c r="K6120">
        <v>1.18</v>
      </c>
      <c r="L6120">
        <v>0.43</v>
      </c>
      <c r="M6120">
        <v>1.42</v>
      </c>
      <c r="N6120">
        <v>5.8000000000000003E-2</v>
      </c>
    </row>
    <row r="6121" spans="1:14" x14ac:dyDescent="0.25">
      <c r="A6121" t="s">
        <v>11001</v>
      </c>
      <c r="B6121" t="s">
        <v>1129</v>
      </c>
      <c r="C6121" s="1" t="str">
        <f>HYPERLINK("http://www.genecards.org/cgi-bin/carddisp.pl?gene=TFDP1","GeneCards")</f>
        <v>GeneCards</v>
      </c>
      <c r="D6121" s="1" t="str">
        <f>HYPERLINK("http://genome-euro.ucsc.edu/cgi-bin/hgTracks?position=212330_at","UCSC")</f>
        <v>UCSC</v>
      </c>
      <c r="E6121" s="1" t="str">
        <f>HYPERLINK("http://www.ncbi.nlm.nih.gov/gene/?term=TFDP1","NCBI")</f>
        <v>NCBI</v>
      </c>
      <c r="F6121">
        <v>6.8000000000000005E-2</v>
      </c>
      <c r="G6121">
        <v>0.19</v>
      </c>
      <c r="H6121" s="1" t="str">
        <f>HYPERLINK("http://www.weizmann.ac.il/complex/compphys/software/geview/data/figures/212330_at.png","Figure")</f>
        <v>Figure</v>
      </c>
      <c r="I6121">
        <v>1.68</v>
      </c>
      <c r="J6121">
        <v>0.37</v>
      </c>
      <c r="K6121">
        <v>2.2999999999999998</v>
      </c>
      <c r="L6121">
        <v>5.6000000000000001E-2</v>
      </c>
      <c r="M6121">
        <v>1.37</v>
      </c>
      <c r="N6121">
        <v>0.65</v>
      </c>
    </row>
    <row r="6122" spans="1:14" x14ac:dyDescent="0.25">
      <c r="A6122" t="s">
        <v>11002</v>
      </c>
      <c r="B6122" t="s">
        <v>11003</v>
      </c>
      <c r="C6122" s="1" t="str">
        <f>HYPERLINK("http://www.genecards.org/cgi-bin/carddisp.pl?gene=RPAP1","GeneCards")</f>
        <v>GeneCards</v>
      </c>
      <c r="D6122" s="1" t="str">
        <f>HYPERLINK("http://genome-euro.ucsc.edu/cgi-bin/hgTracks?position=218441_s_at","UCSC")</f>
        <v>UCSC</v>
      </c>
      <c r="E6122" s="1" t="str">
        <f>HYPERLINK("http://www.ncbi.nlm.nih.gov/gene/?term=RPAP1","NCBI")</f>
        <v>NCBI</v>
      </c>
      <c r="F6122">
        <v>6.8000000000000005E-2</v>
      </c>
      <c r="G6122">
        <v>0.19</v>
      </c>
      <c r="H6122" s="1" t="str">
        <f>HYPERLINK("http://www.weizmann.ac.il/complex/compphys/software/geview/data/figures/218441_s_at.png","Figure")</f>
        <v>Figure</v>
      </c>
      <c r="I6122">
        <v>1.1599999999999999</v>
      </c>
      <c r="J6122">
        <v>5.8000000000000003E-2</v>
      </c>
      <c r="K6122">
        <v>1.08</v>
      </c>
      <c r="L6122">
        <v>0.28999999999999998</v>
      </c>
      <c r="M6122">
        <v>0.93400000000000005</v>
      </c>
      <c r="N6122">
        <v>0.44</v>
      </c>
    </row>
    <row r="6123" spans="1:14" x14ac:dyDescent="0.25">
      <c r="A6123" t="s">
        <v>11004</v>
      </c>
      <c r="B6123" t="s">
        <v>10732</v>
      </c>
      <c r="C6123" s="1" t="str">
        <f>HYPERLINK("http://www.genecards.org/cgi-bin/carddisp.pl?gene=NCDN","GeneCards")</f>
        <v>GeneCards</v>
      </c>
      <c r="D6123" s="1" t="str">
        <f>HYPERLINK("http://genome-euro.ucsc.edu/cgi-bin/hgTracks?position=209557_s_at","UCSC")</f>
        <v>UCSC</v>
      </c>
      <c r="E6123" s="1" t="str">
        <f>HYPERLINK("http://www.ncbi.nlm.nih.gov/gene/?term=NCDN","NCBI")</f>
        <v>NCBI</v>
      </c>
      <c r="F6123">
        <v>6.8000000000000005E-2</v>
      </c>
      <c r="G6123">
        <v>0.19</v>
      </c>
      <c r="H6123" s="1" t="str">
        <f>HYPERLINK("http://www.weizmann.ac.il/complex/compphys/software/geview/data/figures/209557_s_at.png","Figure")</f>
        <v>Figure</v>
      </c>
      <c r="I6123">
        <v>1.25</v>
      </c>
      <c r="J6123">
        <v>5.8999999999999997E-2</v>
      </c>
      <c r="K6123">
        <v>1.1399999999999999</v>
      </c>
      <c r="L6123">
        <v>0.26</v>
      </c>
      <c r="M6123">
        <v>0.90700000000000003</v>
      </c>
      <c r="N6123">
        <v>0.49</v>
      </c>
    </row>
    <row r="6124" spans="1:14" x14ac:dyDescent="0.25">
      <c r="A6124" t="s">
        <v>11005</v>
      </c>
      <c r="B6124" t="s">
        <v>11006</v>
      </c>
      <c r="C6124" s="1" t="str">
        <f>HYPERLINK("http://www.genecards.org/cgi-bin/carddisp.pl?gene=RPL13P5","GeneCards")</f>
        <v>GeneCards</v>
      </c>
      <c r="D6124" s="1" t="str">
        <f>HYPERLINK("http://genome-euro.ucsc.edu/cgi-bin/hgTracks?position=210822_at","UCSC")</f>
        <v>UCSC</v>
      </c>
      <c r="E6124" s="1" t="str">
        <f>HYPERLINK("http://www.ncbi.nlm.nih.gov/gene/?term=RPL13P5","NCBI")</f>
        <v>NCBI</v>
      </c>
      <c r="F6124">
        <v>6.8000000000000005E-2</v>
      </c>
      <c r="G6124">
        <v>0.19</v>
      </c>
      <c r="H6124" s="1" t="str">
        <f>HYPERLINK("http://www.weizmann.ac.il/complex/compphys/software/geview/data/figures/210822_at.png","Figure")</f>
        <v>Figure</v>
      </c>
      <c r="I6124">
        <v>1.18</v>
      </c>
      <c r="J6124">
        <v>0.31</v>
      </c>
      <c r="K6124">
        <v>1.28</v>
      </c>
      <c r="L6124">
        <v>5.7000000000000002E-2</v>
      </c>
      <c r="M6124">
        <v>1.08</v>
      </c>
      <c r="N6124">
        <v>0.73</v>
      </c>
    </row>
    <row r="6125" spans="1:14" x14ac:dyDescent="0.25">
      <c r="A6125" t="s">
        <v>11007</v>
      </c>
      <c r="B6125" t="s">
        <v>11008</v>
      </c>
      <c r="C6125" s="1" t="str">
        <f>HYPERLINK("http://www.genecards.org/cgi-bin/carddisp.pl?gene=IGF2AS","GeneCards")</f>
        <v>GeneCards</v>
      </c>
      <c r="D6125" s="1" t="str">
        <f>HYPERLINK("http://genome-euro.ucsc.edu/cgi-bin/hgTracks?position=220561_at","UCSC")</f>
        <v>UCSC</v>
      </c>
      <c r="E6125" s="1" t="str">
        <f>HYPERLINK("http://www.ncbi.nlm.nih.gov/gene/?term=IGF2AS","NCBI")</f>
        <v>NCBI</v>
      </c>
      <c r="F6125">
        <v>6.8000000000000005E-2</v>
      </c>
      <c r="G6125">
        <v>0.19</v>
      </c>
      <c r="H6125" s="1" t="str">
        <f>HYPERLINK("http://www.weizmann.ac.il/complex/compphys/software/geview/data/figures/220561_at.png","Figure")</f>
        <v>Figure</v>
      </c>
      <c r="I6125">
        <v>1.21</v>
      </c>
      <c r="J6125">
        <v>5.6000000000000001E-2</v>
      </c>
      <c r="K6125">
        <v>1.08</v>
      </c>
      <c r="L6125">
        <v>0.47</v>
      </c>
      <c r="M6125">
        <v>0.89300000000000002</v>
      </c>
      <c r="N6125">
        <v>0.27</v>
      </c>
    </row>
    <row r="6126" spans="1:14" x14ac:dyDescent="0.25">
      <c r="A6126" t="s">
        <v>11009</v>
      </c>
      <c r="B6126" t="s">
        <v>11010</v>
      </c>
      <c r="C6126" s="1" t="str">
        <f>HYPERLINK("http://www.genecards.org/cgi-bin/carddisp.pl?gene=SMN1 /// SMN2","GeneCards")</f>
        <v>GeneCards</v>
      </c>
      <c r="D6126" s="1" t="str">
        <f>HYPERLINK("http://genome-euro.ucsc.edu/cgi-bin/hgTracks?position=203852_s_at","UCSC")</f>
        <v>UCSC</v>
      </c>
      <c r="E6126" s="1" t="str">
        <f>HYPERLINK("http://www.ncbi.nlm.nih.gov/gene/?term=SMN1 /// SMN2","NCBI")</f>
        <v>NCBI</v>
      </c>
      <c r="F6126">
        <v>6.8000000000000005E-2</v>
      </c>
      <c r="G6126">
        <v>0.19</v>
      </c>
      <c r="H6126" s="1" t="str">
        <f>HYPERLINK("http://www.weizmann.ac.il/complex/compphys/software/geview/data/figures/203852_s_at.png","Figure")</f>
        <v>Figure</v>
      </c>
      <c r="I6126">
        <v>0.625</v>
      </c>
      <c r="J6126">
        <v>6.3E-2</v>
      </c>
      <c r="K6126">
        <v>0.88300000000000001</v>
      </c>
      <c r="L6126">
        <v>0.73</v>
      </c>
      <c r="M6126">
        <v>1.41</v>
      </c>
      <c r="N6126">
        <v>0.16</v>
      </c>
    </row>
    <row r="6127" spans="1:14" x14ac:dyDescent="0.25">
      <c r="A6127" t="s">
        <v>11011</v>
      </c>
      <c r="B6127" t="s">
        <v>11012</v>
      </c>
      <c r="C6127" s="1" t="str">
        <f>HYPERLINK("http://www.genecards.org/cgi-bin/carddisp.pl?gene=LCP2","GeneCards")</f>
        <v>GeneCards</v>
      </c>
      <c r="D6127" s="1" t="str">
        <f>HYPERLINK("http://genome-euro.ucsc.edu/cgi-bin/hgTracks?position=205270_s_at","UCSC")</f>
        <v>UCSC</v>
      </c>
      <c r="E6127" s="1" t="str">
        <f>HYPERLINK("http://www.ncbi.nlm.nih.gov/gene/?term=LCP2","NCBI")</f>
        <v>NCBI</v>
      </c>
      <c r="F6127">
        <v>6.8000000000000005E-2</v>
      </c>
      <c r="G6127">
        <v>0.19</v>
      </c>
      <c r="H6127" s="1" t="str">
        <f>HYPERLINK("http://www.weizmann.ac.il/complex/compphys/software/geview/data/figures/205270_s_at.png","Figure")</f>
        <v>Figure</v>
      </c>
      <c r="I6127">
        <v>0.81599999999999995</v>
      </c>
      <c r="J6127">
        <v>0.23</v>
      </c>
      <c r="K6127">
        <v>1.08</v>
      </c>
      <c r="L6127">
        <v>0.74</v>
      </c>
      <c r="M6127">
        <v>1.32</v>
      </c>
      <c r="N6127">
        <v>5.7000000000000002E-2</v>
      </c>
    </row>
    <row r="6128" spans="1:14" x14ac:dyDescent="0.25">
      <c r="A6128" t="s">
        <v>11013</v>
      </c>
      <c r="B6128" t="s">
        <v>11014</v>
      </c>
      <c r="C6128" s="1" t="str">
        <f>HYPERLINK("http://www.genecards.org/cgi-bin/carddisp.pl?gene=TMBIM6","GeneCards")</f>
        <v>GeneCards</v>
      </c>
      <c r="D6128" s="1" t="str">
        <f>HYPERLINK("http://genome-euro.ucsc.edu/cgi-bin/hgTracks?position=200803_s_at","UCSC")</f>
        <v>UCSC</v>
      </c>
      <c r="E6128" s="1" t="str">
        <f>HYPERLINK("http://www.ncbi.nlm.nih.gov/gene/?term=TMBIM6","NCBI")</f>
        <v>NCBI</v>
      </c>
      <c r="F6128">
        <v>6.8000000000000005E-2</v>
      </c>
      <c r="G6128">
        <v>0.19</v>
      </c>
      <c r="H6128" s="1" t="str">
        <f>HYPERLINK("http://www.weizmann.ac.il/complex/compphys/software/geview/data/figures/200803_s_at.png","Figure")</f>
        <v>Figure</v>
      </c>
      <c r="I6128">
        <v>1.32</v>
      </c>
      <c r="J6128">
        <v>0.25</v>
      </c>
      <c r="K6128">
        <v>1.44</v>
      </c>
      <c r="L6128">
        <v>0.06</v>
      </c>
      <c r="M6128">
        <v>1.0900000000000001</v>
      </c>
      <c r="N6128">
        <v>0.83</v>
      </c>
    </row>
    <row r="6129" spans="1:14" x14ac:dyDescent="0.25">
      <c r="A6129" t="s">
        <v>11015</v>
      </c>
      <c r="B6129" t="s">
        <v>11016</v>
      </c>
      <c r="C6129" s="1" t="str">
        <f>HYPERLINK("http://www.genecards.org/cgi-bin/carddisp.pl?gene=PITX3","GeneCards")</f>
        <v>GeneCards</v>
      </c>
      <c r="D6129" s="1" t="str">
        <f>HYPERLINK("http://genome-euro.ucsc.edu/cgi-bin/hgTracks?position=208277_at","UCSC")</f>
        <v>UCSC</v>
      </c>
      <c r="E6129" s="1" t="str">
        <f>HYPERLINK("http://www.ncbi.nlm.nih.gov/gene/?term=PITX3","NCBI")</f>
        <v>NCBI</v>
      </c>
      <c r="F6129">
        <v>6.8000000000000005E-2</v>
      </c>
      <c r="G6129">
        <v>0.19</v>
      </c>
      <c r="H6129" s="1" t="str">
        <f>HYPERLINK("http://www.weizmann.ac.il/complex/compphys/software/geview/data/figures/208277_at.png","Figure")</f>
        <v>Figure</v>
      </c>
      <c r="I6129">
        <v>1.3</v>
      </c>
      <c r="J6129">
        <v>5.6000000000000001E-2</v>
      </c>
      <c r="K6129">
        <v>1.1299999999999999</v>
      </c>
      <c r="L6129">
        <v>0.39</v>
      </c>
      <c r="M6129">
        <v>0.86799999999999999</v>
      </c>
      <c r="N6129">
        <v>0.32</v>
      </c>
    </row>
    <row r="6130" spans="1:14" x14ac:dyDescent="0.25">
      <c r="A6130" t="s">
        <v>11017</v>
      </c>
      <c r="B6130" t="s">
        <v>11018</v>
      </c>
      <c r="C6130" s="1" t="str">
        <f>HYPERLINK("http://www.genecards.org/cgi-bin/carddisp.pl?gene=HOPX","GeneCards")</f>
        <v>GeneCards</v>
      </c>
      <c r="D6130" s="1" t="str">
        <f>HYPERLINK("http://genome-euro.ucsc.edu/cgi-bin/hgTracks?position=211597_s_at","UCSC")</f>
        <v>UCSC</v>
      </c>
      <c r="E6130" s="1" t="str">
        <f>HYPERLINK("http://www.ncbi.nlm.nih.gov/gene/?term=HOPX","NCBI")</f>
        <v>NCBI</v>
      </c>
      <c r="F6130">
        <v>6.8000000000000005E-2</v>
      </c>
      <c r="G6130">
        <v>0.19</v>
      </c>
      <c r="H6130" s="1" t="str">
        <f>HYPERLINK("http://www.weizmann.ac.il/complex/compphys/software/geview/data/figures/211597_s_at.png","Figure")</f>
        <v>Figure</v>
      </c>
      <c r="I6130">
        <v>0.71499999999999997</v>
      </c>
      <c r="J6130">
        <v>0.43</v>
      </c>
      <c r="K6130">
        <v>1.33</v>
      </c>
      <c r="L6130">
        <v>0.44</v>
      </c>
      <c r="M6130">
        <v>1.86</v>
      </c>
      <c r="N6130">
        <v>5.8000000000000003E-2</v>
      </c>
    </row>
    <row r="6131" spans="1:14" x14ac:dyDescent="0.25">
      <c r="A6131" t="s">
        <v>11019</v>
      </c>
      <c r="B6131" t="s">
        <v>11020</v>
      </c>
      <c r="C6131" s="1" t="str">
        <f>HYPERLINK("http://www.genecards.org/cgi-bin/carddisp.pl?gene=DKFZP586I1420","GeneCards")</f>
        <v>GeneCards</v>
      </c>
      <c r="D6131" s="1" t="str">
        <f>HYPERLINK("http://genome-euro.ucsc.edu/cgi-bin/hgTracks?position=213546_at","UCSC")</f>
        <v>UCSC</v>
      </c>
      <c r="E6131" s="1" t="str">
        <f>HYPERLINK("http://www.ncbi.nlm.nih.gov/gene/?term=DKFZP586I1420","NCBI")</f>
        <v>NCBI</v>
      </c>
      <c r="F6131">
        <v>6.8000000000000005E-2</v>
      </c>
      <c r="G6131">
        <v>0.19</v>
      </c>
      <c r="H6131" s="1" t="str">
        <f>HYPERLINK("http://www.weizmann.ac.il/complex/compphys/software/geview/data/figures/213546_at.png","Figure")</f>
        <v>Figure</v>
      </c>
      <c r="I6131">
        <v>1.64</v>
      </c>
      <c r="J6131">
        <v>7.4999999999999997E-2</v>
      </c>
      <c r="K6131">
        <v>1.08</v>
      </c>
      <c r="L6131">
        <v>0.9</v>
      </c>
      <c r="M6131">
        <v>0.66200000000000003</v>
      </c>
      <c r="N6131">
        <v>0.12</v>
      </c>
    </row>
    <row r="6132" spans="1:14" x14ac:dyDescent="0.25">
      <c r="A6132" t="s">
        <v>11021</v>
      </c>
      <c r="B6132" t="s">
        <v>8946</v>
      </c>
      <c r="C6132" s="1" t="str">
        <f>HYPERLINK("http://www.genecards.org/cgi-bin/carddisp.pl?gene=TRA2A","GeneCards")</f>
        <v>GeneCards</v>
      </c>
      <c r="D6132" s="1" t="str">
        <f>HYPERLINK("http://genome-euro.ucsc.edu/cgi-bin/hgTracks?position=213575_at","UCSC")</f>
        <v>UCSC</v>
      </c>
      <c r="E6132" s="1" t="str">
        <f>HYPERLINK("http://www.ncbi.nlm.nih.gov/gene/?term=TRA2A","NCBI")</f>
        <v>NCBI</v>
      </c>
      <c r="F6132">
        <v>6.8000000000000005E-2</v>
      </c>
      <c r="G6132">
        <v>0.19</v>
      </c>
      <c r="H6132" s="1" t="str">
        <f>HYPERLINK("http://www.weizmann.ac.il/complex/compphys/software/geview/data/figures/213575_at.png","Figure")</f>
        <v>Figure</v>
      </c>
      <c r="I6132">
        <v>1.55</v>
      </c>
      <c r="J6132">
        <v>0.25</v>
      </c>
      <c r="K6132">
        <v>0.82899999999999996</v>
      </c>
      <c r="L6132">
        <v>0.69</v>
      </c>
      <c r="M6132">
        <v>0.53600000000000003</v>
      </c>
      <c r="N6132">
        <v>5.7000000000000002E-2</v>
      </c>
    </row>
    <row r="6133" spans="1:14" x14ac:dyDescent="0.25">
      <c r="A6133" t="s">
        <v>11022</v>
      </c>
      <c r="B6133" t="s">
        <v>11023</v>
      </c>
      <c r="C6133" s="1" t="str">
        <f>HYPERLINK("http://www.genecards.org/cgi-bin/carddisp.pl?gene=SLC22A17","GeneCards")</f>
        <v>GeneCards</v>
      </c>
      <c r="D6133" s="1" t="str">
        <f>HYPERLINK("http://genome-euro.ucsc.edu/cgi-bin/hgTracks?position=218675_at","UCSC")</f>
        <v>UCSC</v>
      </c>
      <c r="E6133" s="1" t="str">
        <f>HYPERLINK("http://www.ncbi.nlm.nih.gov/gene/?term=SLC22A17","NCBI")</f>
        <v>NCBI</v>
      </c>
      <c r="F6133">
        <v>6.8000000000000005E-2</v>
      </c>
      <c r="G6133">
        <v>0.19</v>
      </c>
      <c r="H6133" s="1" t="str">
        <f>HYPERLINK("http://www.weizmann.ac.il/complex/compphys/software/geview/data/figures/218675_at.png","Figure")</f>
        <v>Figure</v>
      </c>
      <c r="I6133">
        <v>1.05</v>
      </c>
      <c r="J6133">
        <v>0.6</v>
      </c>
      <c r="K6133">
        <v>1.1200000000000001</v>
      </c>
      <c r="L6133">
        <v>5.8000000000000003E-2</v>
      </c>
      <c r="M6133">
        <v>1.07</v>
      </c>
      <c r="N6133">
        <v>0.41</v>
      </c>
    </row>
    <row r="6134" spans="1:14" x14ac:dyDescent="0.25">
      <c r="A6134" t="s">
        <v>11024</v>
      </c>
      <c r="B6134" t="s">
        <v>11025</v>
      </c>
      <c r="C6134" s="1" t="str">
        <f>HYPERLINK("http://www.genecards.org/cgi-bin/carddisp.pl?gene=FCAR","GeneCards")</f>
        <v>GeneCards</v>
      </c>
      <c r="D6134" s="1" t="str">
        <f>HYPERLINK("http://genome-euro.ucsc.edu/cgi-bin/hgTracks?position=211816_x_at","UCSC")</f>
        <v>UCSC</v>
      </c>
      <c r="E6134" s="1" t="str">
        <f>HYPERLINK("http://www.ncbi.nlm.nih.gov/gene/?term=FCAR","NCBI")</f>
        <v>NCBI</v>
      </c>
      <c r="F6134">
        <v>6.8000000000000005E-2</v>
      </c>
      <c r="G6134">
        <v>0.19</v>
      </c>
      <c r="H6134" s="1" t="str">
        <f>HYPERLINK("http://www.weizmann.ac.il/complex/compphys/software/geview/data/figures/211816_x_at.png","Figure")</f>
        <v>Figure</v>
      </c>
      <c r="I6134">
        <v>1.19</v>
      </c>
      <c r="J6134">
        <v>6.0999999999999999E-2</v>
      </c>
      <c r="K6134">
        <v>1.05</v>
      </c>
      <c r="L6134">
        <v>0.67</v>
      </c>
      <c r="M6134">
        <v>0.88400000000000001</v>
      </c>
      <c r="N6134">
        <v>0.18</v>
      </c>
    </row>
    <row r="6135" spans="1:14" x14ac:dyDescent="0.25">
      <c r="A6135" t="s">
        <v>11026</v>
      </c>
      <c r="B6135" t="s">
        <v>11027</v>
      </c>
      <c r="C6135" s="1" t="str">
        <f>HYPERLINK("http://www.genecards.org/cgi-bin/carddisp.pl?gene=CX3CL1","GeneCards")</f>
        <v>GeneCards</v>
      </c>
      <c r="D6135" s="1" t="str">
        <f>HYPERLINK("http://genome-euro.ucsc.edu/cgi-bin/hgTracks?position=203687_at","UCSC")</f>
        <v>UCSC</v>
      </c>
      <c r="E6135" s="1" t="str">
        <f>HYPERLINK("http://www.ncbi.nlm.nih.gov/gene/?term=CX3CL1","NCBI")</f>
        <v>NCBI</v>
      </c>
      <c r="F6135">
        <v>6.8000000000000005E-2</v>
      </c>
      <c r="G6135">
        <v>0.19</v>
      </c>
      <c r="H6135" s="1" t="str">
        <f>HYPERLINK("http://www.weizmann.ac.il/complex/compphys/software/geview/data/figures/203687_at.png","Figure")</f>
        <v>Figure</v>
      </c>
      <c r="I6135">
        <v>1.27</v>
      </c>
      <c r="J6135">
        <v>5.8000000000000003E-2</v>
      </c>
      <c r="K6135">
        <v>1.1399999999999999</v>
      </c>
      <c r="L6135">
        <v>0.28000000000000003</v>
      </c>
      <c r="M6135">
        <v>0.89800000000000002</v>
      </c>
      <c r="N6135">
        <v>0.45</v>
      </c>
    </row>
    <row r="6136" spans="1:14" x14ac:dyDescent="0.25">
      <c r="A6136" t="s">
        <v>11028</v>
      </c>
      <c r="B6136" t="s">
        <v>11029</v>
      </c>
      <c r="C6136" s="1" t="str">
        <f>HYPERLINK("http://www.genecards.org/cgi-bin/carddisp.pl?gene=HOXB2","GeneCards")</f>
        <v>GeneCards</v>
      </c>
      <c r="D6136" s="1" t="str">
        <f>HYPERLINK("http://genome-euro.ucsc.edu/cgi-bin/hgTracks?position=205453_at","UCSC")</f>
        <v>UCSC</v>
      </c>
      <c r="E6136" s="1" t="str">
        <f>HYPERLINK("http://www.ncbi.nlm.nih.gov/gene/?term=HOXB2","NCBI")</f>
        <v>NCBI</v>
      </c>
      <c r="F6136">
        <v>6.8000000000000005E-2</v>
      </c>
      <c r="G6136">
        <v>0.19</v>
      </c>
      <c r="H6136" s="1" t="str">
        <f>HYPERLINK("http://www.weizmann.ac.il/complex/compphys/software/geview/data/figures/205453_at.png","Figure")</f>
        <v>Figure</v>
      </c>
      <c r="I6136">
        <v>1.17</v>
      </c>
      <c r="J6136">
        <v>0.28999999999999998</v>
      </c>
      <c r="K6136">
        <v>0.91900000000000004</v>
      </c>
      <c r="L6136">
        <v>0.61</v>
      </c>
      <c r="M6136">
        <v>0.78400000000000003</v>
      </c>
      <c r="N6136">
        <v>5.6000000000000001E-2</v>
      </c>
    </row>
    <row r="6137" spans="1:14" x14ac:dyDescent="0.25">
      <c r="A6137" t="s">
        <v>11030</v>
      </c>
      <c r="B6137" t="s">
        <v>2966</v>
      </c>
      <c r="C6137" s="1" t="str">
        <f>HYPERLINK("http://www.genecards.org/cgi-bin/carddisp.pl?gene=USP4","GeneCards")</f>
        <v>GeneCards</v>
      </c>
      <c r="D6137" s="1" t="str">
        <f>HYPERLINK("http://genome-euro.ucsc.edu/cgi-bin/hgTracks?position=202681_at","UCSC")</f>
        <v>UCSC</v>
      </c>
      <c r="E6137" s="1" t="str">
        <f>HYPERLINK("http://www.ncbi.nlm.nih.gov/gene/?term=USP4","NCBI")</f>
        <v>NCBI</v>
      </c>
      <c r="F6137">
        <v>6.8000000000000005E-2</v>
      </c>
      <c r="G6137">
        <v>0.19</v>
      </c>
      <c r="H6137" s="1" t="str">
        <f>HYPERLINK("http://www.weizmann.ac.il/complex/compphys/software/geview/data/figures/202681_at.png","Figure")</f>
        <v>Figure</v>
      </c>
      <c r="I6137">
        <v>1.23</v>
      </c>
      <c r="J6137">
        <v>0.12</v>
      </c>
      <c r="K6137">
        <v>1.21</v>
      </c>
      <c r="L6137">
        <v>8.7999999999999995E-2</v>
      </c>
      <c r="M6137">
        <v>0.98799999999999999</v>
      </c>
      <c r="N6137">
        <v>0.99</v>
      </c>
    </row>
    <row r="6138" spans="1:14" x14ac:dyDescent="0.25">
      <c r="A6138" t="s">
        <v>11031</v>
      </c>
      <c r="B6138" t="s">
        <v>1232</v>
      </c>
      <c r="C6138" s="1" t="str">
        <f>HYPERLINK("http://www.genecards.org/cgi-bin/carddisp.pl?gene=EHBP1","GeneCards")</f>
        <v>GeneCards</v>
      </c>
      <c r="D6138" s="1" t="str">
        <f>HYPERLINK("http://genome-euro.ucsc.edu/cgi-bin/hgTracks?position=212650_at","UCSC")</f>
        <v>UCSC</v>
      </c>
      <c r="E6138" s="1" t="str">
        <f>HYPERLINK("http://www.ncbi.nlm.nih.gov/gene/?term=EHBP1","NCBI")</f>
        <v>NCBI</v>
      </c>
      <c r="F6138">
        <v>6.8000000000000005E-2</v>
      </c>
      <c r="G6138">
        <v>0.19</v>
      </c>
      <c r="H6138" s="1" t="str">
        <f>HYPERLINK("http://www.weizmann.ac.il/complex/compphys/software/geview/data/figures/212650_at.png","Figure")</f>
        <v>Figure</v>
      </c>
      <c r="I6138">
        <v>0.72299999999999998</v>
      </c>
      <c r="J6138">
        <v>6.3E-2</v>
      </c>
      <c r="K6138">
        <v>0.91600000000000004</v>
      </c>
      <c r="L6138">
        <v>0.72</v>
      </c>
      <c r="M6138">
        <v>1.27</v>
      </c>
      <c r="N6138">
        <v>0.16</v>
      </c>
    </row>
    <row r="6139" spans="1:14" x14ac:dyDescent="0.25">
      <c r="A6139" t="s">
        <v>11032</v>
      </c>
      <c r="B6139" t="s">
        <v>11033</v>
      </c>
      <c r="C6139" s="1" t="str">
        <f>HYPERLINK("http://www.genecards.org/cgi-bin/carddisp.pl?gene=BLNK","GeneCards")</f>
        <v>GeneCards</v>
      </c>
      <c r="D6139" s="1" t="str">
        <f>HYPERLINK("http://genome-euro.ucsc.edu/cgi-bin/hgTracks?position=207655_s_at","UCSC")</f>
        <v>UCSC</v>
      </c>
      <c r="E6139" s="1" t="str">
        <f>HYPERLINK("http://www.ncbi.nlm.nih.gov/gene/?term=BLNK","NCBI")</f>
        <v>NCBI</v>
      </c>
      <c r="F6139">
        <v>6.8000000000000005E-2</v>
      </c>
      <c r="G6139">
        <v>0.19</v>
      </c>
      <c r="H6139" s="1" t="str">
        <f>HYPERLINK("http://www.weizmann.ac.il/complex/compphys/software/geview/data/figures/207655_s_at.png","Figure")</f>
        <v>Figure</v>
      </c>
      <c r="I6139">
        <v>0.63200000000000001</v>
      </c>
      <c r="J6139">
        <v>0.69</v>
      </c>
      <c r="K6139">
        <v>2.2599999999999998</v>
      </c>
      <c r="L6139">
        <v>0.25</v>
      </c>
      <c r="M6139">
        <v>3.58</v>
      </c>
      <c r="N6139">
        <v>7.0000000000000007E-2</v>
      </c>
    </row>
    <row r="6140" spans="1:14" x14ac:dyDescent="0.25">
      <c r="A6140" t="s">
        <v>11034</v>
      </c>
      <c r="B6140" t="s">
        <v>11035</v>
      </c>
      <c r="C6140" s="1" t="str">
        <f>HYPERLINK("http://www.genecards.org/cgi-bin/carddisp.pl?gene=SDF4","GeneCards")</f>
        <v>GeneCards</v>
      </c>
      <c r="D6140" s="1" t="str">
        <f>HYPERLINK("http://genome-euro.ucsc.edu/cgi-bin/hgTracks?position=217855_x_at","UCSC")</f>
        <v>UCSC</v>
      </c>
      <c r="E6140" s="1" t="str">
        <f>HYPERLINK("http://www.ncbi.nlm.nih.gov/gene/?term=SDF4","NCBI")</f>
        <v>NCBI</v>
      </c>
      <c r="F6140">
        <v>6.8000000000000005E-2</v>
      </c>
      <c r="G6140">
        <v>0.19</v>
      </c>
      <c r="H6140" s="1" t="str">
        <f>HYPERLINK("http://www.weizmann.ac.il/complex/compphys/software/geview/data/figures/217855_x_at.png","Figure")</f>
        <v>Figure</v>
      </c>
      <c r="I6140">
        <v>1.27</v>
      </c>
      <c r="J6140">
        <v>0.06</v>
      </c>
      <c r="K6140">
        <v>1.1499999999999999</v>
      </c>
      <c r="L6140">
        <v>0.25</v>
      </c>
      <c r="M6140">
        <v>0.90500000000000003</v>
      </c>
      <c r="N6140">
        <v>0.51</v>
      </c>
    </row>
    <row r="6141" spans="1:14" x14ac:dyDescent="0.25">
      <c r="A6141" t="s">
        <v>11036</v>
      </c>
      <c r="B6141" t="s">
        <v>11037</v>
      </c>
      <c r="C6141" s="1" t="str">
        <f>HYPERLINK("http://www.genecards.org/cgi-bin/carddisp.pl?gene=ISOC2","GeneCards")</f>
        <v>GeneCards</v>
      </c>
      <c r="D6141" s="1" t="str">
        <f>HYPERLINK("http://genome-euro.ucsc.edu/cgi-bin/hgTracks?position=218893_at","UCSC")</f>
        <v>UCSC</v>
      </c>
      <c r="E6141" s="1" t="str">
        <f>HYPERLINK("http://www.ncbi.nlm.nih.gov/gene/?term=ISOC2","NCBI")</f>
        <v>NCBI</v>
      </c>
      <c r="F6141">
        <v>6.8000000000000005E-2</v>
      </c>
      <c r="G6141">
        <v>0.19</v>
      </c>
      <c r="H6141" s="1" t="str">
        <f>HYPERLINK("http://www.weizmann.ac.il/complex/compphys/software/geview/data/figures/218893_at.png","Figure")</f>
        <v>Figure</v>
      </c>
      <c r="I6141">
        <v>1.08</v>
      </c>
      <c r="J6141">
        <v>0.54</v>
      </c>
      <c r="K6141">
        <v>1.17</v>
      </c>
      <c r="L6141">
        <v>5.7000000000000002E-2</v>
      </c>
      <c r="M6141">
        <v>1.08</v>
      </c>
      <c r="N6141">
        <v>0.45</v>
      </c>
    </row>
    <row r="6142" spans="1:14" x14ac:dyDescent="0.25">
      <c r="A6142" t="s">
        <v>11038</v>
      </c>
      <c r="B6142" t="s">
        <v>11039</v>
      </c>
      <c r="C6142" s="1" t="str">
        <f>HYPERLINK("http://www.genecards.org/cgi-bin/carddisp.pl?gene=PDZD7","GeneCards")</f>
        <v>GeneCards</v>
      </c>
      <c r="D6142" s="1" t="str">
        <f>HYPERLINK("http://genome-euro.ucsc.edu/cgi-bin/hgTracks?position=220555_s_at","UCSC")</f>
        <v>UCSC</v>
      </c>
      <c r="E6142" s="1" t="str">
        <f>HYPERLINK("http://www.ncbi.nlm.nih.gov/gene/?term=PDZD7","NCBI")</f>
        <v>NCBI</v>
      </c>
      <c r="F6142">
        <v>6.8000000000000005E-2</v>
      </c>
      <c r="G6142">
        <v>0.19</v>
      </c>
      <c r="H6142" s="1" t="str">
        <f>HYPERLINK("http://www.weizmann.ac.il/complex/compphys/software/geview/data/figures/220555_s_at.png","Figure")</f>
        <v>Figure</v>
      </c>
      <c r="I6142">
        <v>1.22</v>
      </c>
      <c r="J6142">
        <v>5.6000000000000001E-2</v>
      </c>
      <c r="K6142">
        <v>1.1000000000000001</v>
      </c>
      <c r="L6142">
        <v>0.36</v>
      </c>
      <c r="M6142">
        <v>0.90400000000000003</v>
      </c>
      <c r="N6142">
        <v>0.36</v>
      </c>
    </row>
    <row r="6143" spans="1:14" x14ac:dyDescent="0.25">
      <c r="A6143" t="s">
        <v>11040</v>
      </c>
      <c r="B6143" t="s">
        <v>11041</v>
      </c>
      <c r="C6143" s="1" t="str">
        <f>HYPERLINK("http://www.genecards.org/cgi-bin/carddisp.pl?gene=PLA2G3","GeneCards")</f>
        <v>GeneCards</v>
      </c>
      <c r="D6143" s="1" t="str">
        <f>HYPERLINK("http://genome-euro.ucsc.edu/cgi-bin/hgTracks?position=220780_at","UCSC")</f>
        <v>UCSC</v>
      </c>
      <c r="E6143" s="1" t="str">
        <f>HYPERLINK("http://www.ncbi.nlm.nih.gov/gene/?term=PLA2G3","NCBI")</f>
        <v>NCBI</v>
      </c>
      <c r="F6143">
        <v>6.8000000000000005E-2</v>
      </c>
      <c r="G6143">
        <v>0.19</v>
      </c>
      <c r="H6143" s="1" t="str">
        <f>HYPERLINK("http://www.weizmann.ac.il/complex/compphys/software/geview/data/figures/220780_at.png","Figure")</f>
        <v>Figure</v>
      </c>
      <c r="I6143">
        <v>1.1499999999999999</v>
      </c>
      <c r="J6143">
        <v>0.23</v>
      </c>
      <c r="K6143">
        <v>0.94799999999999995</v>
      </c>
      <c r="L6143">
        <v>0.73</v>
      </c>
      <c r="M6143">
        <v>0.82599999999999996</v>
      </c>
      <c r="N6143">
        <v>5.7000000000000002E-2</v>
      </c>
    </row>
    <row r="6144" spans="1:14" x14ac:dyDescent="0.25">
      <c r="A6144" t="s">
        <v>11042</v>
      </c>
      <c r="B6144" t="s">
        <v>11043</v>
      </c>
      <c r="C6144" s="1" t="str">
        <f>HYPERLINK("http://www.genecards.org/cgi-bin/carddisp.pl?gene=ASAP3","GeneCards")</f>
        <v>GeneCards</v>
      </c>
      <c r="D6144" s="1" t="str">
        <f>HYPERLINK("http://genome-euro.ucsc.edu/cgi-bin/hgTracks?position=222236_s_at","UCSC")</f>
        <v>UCSC</v>
      </c>
      <c r="E6144" s="1" t="str">
        <f>HYPERLINK("http://www.ncbi.nlm.nih.gov/gene/?term=ASAP3","NCBI")</f>
        <v>NCBI</v>
      </c>
      <c r="F6144">
        <v>6.8000000000000005E-2</v>
      </c>
      <c r="G6144">
        <v>0.19</v>
      </c>
      <c r="H6144" s="1" t="str">
        <f>HYPERLINK("http://www.weizmann.ac.il/complex/compphys/software/geview/data/figures/222236_s_at.png","Figure")</f>
        <v>Figure</v>
      </c>
      <c r="I6144">
        <v>0.89300000000000002</v>
      </c>
      <c r="J6144">
        <v>0.13</v>
      </c>
      <c r="K6144">
        <v>1.01</v>
      </c>
      <c r="L6144">
        <v>0.98</v>
      </c>
      <c r="M6144">
        <v>1.1299999999999999</v>
      </c>
      <c r="N6144">
        <v>7.0999999999999994E-2</v>
      </c>
    </row>
    <row r="6145" spans="1:14" x14ac:dyDescent="0.25">
      <c r="A6145" t="s">
        <v>11044</v>
      </c>
      <c r="B6145" t="s">
        <v>11045</v>
      </c>
      <c r="C6145" s="1" t="str">
        <f>HYPERLINK("http://www.genecards.org/cgi-bin/carddisp.pl?gene=PDZD3","GeneCards")</f>
        <v>GeneCards</v>
      </c>
      <c r="D6145" s="1" t="str">
        <f>HYPERLINK("http://genome-euro.ucsc.edu/cgi-bin/hgTracks?position=220303_at","UCSC")</f>
        <v>UCSC</v>
      </c>
      <c r="E6145" s="1" t="str">
        <f>HYPERLINK("http://www.ncbi.nlm.nih.gov/gene/?term=PDZD3","NCBI")</f>
        <v>NCBI</v>
      </c>
      <c r="F6145">
        <v>6.8000000000000005E-2</v>
      </c>
      <c r="G6145">
        <v>0.19</v>
      </c>
      <c r="H6145" s="1" t="str">
        <f>HYPERLINK("http://www.weizmann.ac.il/complex/compphys/software/geview/data/figures/220303_at.png","Figure")</f>
        <v>Figure</v>
      </c>
      <c r="I6145">
        <v>1.24</v>
      </c>
      <c r="J6145">
        <v>5.6000000000000001E-2</v>
      </c>
      <c r="K6145">
        <v>1.1100000000000001</v>
      </c>
      <c r="L6145">
        <v>0.36</v>
      </c>
      <c r="M6145">
        <v>0.89600000000000002</v>
      </c>
      <c r="N6145">
        <v>0.36</v>
      </c>
    </row>
    <row r="6146" spans="1:14" x14ac:dyDescent="0.25">
      <c r="A6146" t="s">
        <v>11046</v>
      </c>
      <c r="B6146" t="s">
        <v>11047</v>
      </c>
      <c r="C6146" s="1" t="str">
        <f>HYPERLINK("http://www.genecards.org/cgi-bin/carddisp.pl?gene=TACC3","GeneCards")</f>
        <v>GeneCards</v>
      </c>
      <c r="D6146" s="1" t="str">
        <f>HYPERLINK("http://genome-euro.ucsc.edu/cgi-bin/hgTracks?position=218308_at","UCSC")</f>
        <v>UCSC</v>
      </c>
      <c r="E6146" s="1" t="str">
        <f>HYPERLINK("http://www.ncbi.nlm.nih.gov/gene/?term=TACC3","NCBI")</f>
        <v>NCBI</v>
      </c>
      <c r="F6146">
        <v>6.8000000000000005E-2</v>
      </c>
      <c r="G6146">
        <v>0.19</v>
      </c>
      <c r="H6146" s="1" t="str">
        <f>HYPERLINK("http://www.weizmann.ac.il/complex/compphys/software/geview/data/figures/218308_at.png","Figure")</f>
        <v>Figure</v>
      </c>
      <c r="I6146">
        <v>0.66300000000000003</v>
      </c>
      <c r="J6146">
        <v>0.19</v>
      </c>
      <c r="K6146">
        <v>1.1200000000000001</v>
      </c>
      <c r="L6146">
        <v>0.83</v>
      </c>
      <c r="M6146">
        <v>1.69</v>
      </c>
      <c r="N6146">
        <v>0.06</v>
      </c>
    </row>
    <row r="6147" spans="1:14" x14ac:dyDescent="0.25">
      <c r="A6147" t="s">
        <v>11048</v>
      </c>
      <c r="B6147" t="s">
        <v>11049</v>
      </c>
      <c r="C6147" s="1" t="str">
        <f>HYPERLINK("http://www.genecards.org/cgi-bin/carddisp.pl?gene=RNF141","GeneCards")</f>
        <v>GeneCards</v>
      </c>
      <c r="D6147" s="1" t="str">
        <f>HYPERLINK("http://genome-euro.ucsc.edu/cgi-bin/hgTracks?position=219104_at","UCSC")</f>
        <v>UCSC</v>
      </c>
      <c r="E6147" s="1" t="str">
        <f>HYPERLINK("http://www.ncbi.nlm.nih.gov/gene/?term=RNF141","NCBI")</f>
        <v>NCBI</v>
      </c>
      <c r="F6147">
        <v>6.8000000000000005E-2</v>
      </c>
      <c r="G6147">
        <v>0.19</v>
      </c>
      <c r="H6147" s="1" t="str">
        <f>HYPERLINK("http://www.weizmann.ac.il/complex/compphys/software/geview/data/figures/219104_at.png","Figure")</f>
        <v>Figure</v>
      </c>
      <c r="I6147">
        <v>0.85199999999999998</v>
      </c>
      <c r="J6147">
        <v>0.36</v>
      </c>
      <c r="K6147">
        <v>0.77700000000000002</v>
      </c>
      <c r="L6147">
        <v>5.7000000000000002E-2</v>
      </c>
      <c r="M6147">
        <v>0.91200000000000003</v>
      </c>
      <c r="N6147">
        <v>0.67</v>
      </c>
    </row>
    <row r="6148" spans="1:14" x14ac:dyDescent="0.25">
      <c r="A6148" t="s">
        <v>11050</v>
      </c>
      <c r="B6148" t="s">
        <v>3043</v>
      </c>
      <c r="C6148" s="1" t="str">
        <f>HYPERLINK("http://www.genecards.org/cgi-bin/carddisp.pl?gene=IDE","GeneCards")</f>
        <v>GeneCards</v>
      </c>
      <c r="D6148" s="1" t="str">
        <f>HYPERLINK("http://genome-euro.ucsc.edu/cgi-bin/hgTracks?position=217496_s_at","UCSC")</f>
        <v>UCSC</v>
      </c>
      <c r="E6148" s="1" t="str">
        <f>HYPERLINK("http://www.ncbi.nlm.nih.gov/gene/?term=IDE","NCBI")</f>
        <v>NCBI</v>
      </c>
      <c r="F6148">
        <v>6.9000000000000006E-2</v>
      </c>
      <c r="G6148">
        <v>0.19</v>
      </c>
      <c r="H6148" s="1" t="str">
        <f>HYPERLINK("http://www.weizmann.ac.il/complex/compphys/software/geview/data/figures/217496_s_at.png","Figure")</f>
        <v>Figure</v>
      </c>
      <c r="I6148">
        <v>1.1000000000000001</v>
      </c>
      <c r="J6148">
        <v>0.41</v>
      </c>
      <c r="K6148">
        <v>1.18</v>
      </c>
      <c r="L6148">
        <v>5.6000000000000001E-2</v>
      </c>
      <c r="M6148">
        <v>1.07</v>
      </c>
      <c r="N6148">
        <v>0.6</v>
      </c>
    </row>
    <row r="6149" spans="1:14" x14ac:dyDescent="0.25">
      <c r="A6149" t="s">
        <v>11051</v>
      </c>
      <c r="B6149" t="s">
        <v>11052</v>
      </c>
      <c r="C6149" s="1" t="str">
        <f>HYPERLINK("http://www.genecards.org/cgi-bin/carddisp.pl?gene=PCDH7","GeneCards")</f>
        <v>GeneCards</v>
      </c>
      <c r="D6149" s="1" t="str">
        <f>HYPERLINK("http://genome-euro.ucsc.edu/cgi-bin/hgTracks?position=210273_at","UCSC")</f>
        <v>UCSC</v>
      </c>
      <c r="E6149" s="1" t="str">
        <f>HYPERLINK("http://www.ncbi.nlm.nih.gov/gene/?term=PCDH7","NCBI")</f>
        <v>NCBI</v>
      </c>
      <c r="F6149">
        <v>6.9000000000000006E-2</v>
      </c>
      <c r="G6149">
        <v>0.19</v>
      </c>
      <c r="H6149" s="1" t="str">
        <f>HYPERLINK("http://www.weizmann.ac.il/complex/compphys/software/geview/data/figures/210273_at.png","Figure")</f>
        <v>Figure</v>
      </c>
      <c r="I6149">
        <v>1.2</v>
      </c>
      <c r="J6149">
        <v>0.13</v>
      </c>
      <c r="K6149">
        <v>0.98199999999999998</v>
      </c>
      <c r="L6149">
        <v>0.97</v>
      </c>
      <c r="M6149">
        <v>0.82099999999999995</v>
      </c>
      <c r="N6149">
        <v>7.0000000000000007E-2</v>
      </c>
    </row>
    <row r="6150" spans="1:14" x14ac:dyDescent="0.25">
      <c r="A6150" t="s">
        <v>11053</v>
      </c>
      <c r="B6150" t="s">
        <v>11054</v>
      </c>
      <c r="C6150" s="1" t="str">
        <f>HYPERLINK("http://www.genecards.org/cgi-bin/carddisp.pl?gene=TEX261","GeneCards")</f>
        <v>GeneCards</v>
      </c>
      <c r="D6150" s="1" t="str">
        <f>HYPERLINK("http://genome-euro.ucsc.edu/cgi-bin/hgTracks?position=212083_at","UCSC")</f>
        <v>UCSC</v>
      </c>
      <c r="E6150" s="1" t="str">
        <f>HYPERLINK("http://www.ncbi.nlm.nih.gov/gene/?term=TEX261","NCBI")</f>
        <v>NCBI</v>
      </c>
      <c r="F6150">
        <v>6.9000000000000006E-2</v>
      </c>
      <c r="G6150">
        <v>0.19</v>
      </c>
      <c r="H6150" s="1" t="str">
        <f>HYPERLINK("http://www.weizmann.ac.il/complex/compphys/software/geview/data/figures/212083_at.png","Figure")</f>
        <v>Figure</v>
      </c>
      <c r="I6150">
        <v>0.96199999999999997</v>
      </c>
      <c r="J6150">
        <v>0.88</v>
      </c>
      <c r="K6150">
        <v>1.1499999999999999</v>
      </c>
      <c r="L6150">
        <v>0.17</v>
      </c>
      <c r="M6150">
        <v>1.19</v>
      </c>
      <c r="N6150">
        <v>8.7999999999999995E-2</v>
      </c>
    </row>
    <row r="6151" spans="1:14" x14ac:dyDescent="0.25">
      <c r="A6151" t="s">
        <v>11055</v>
      </c>
      <c r="B6151" t="s">
        <v>11056</v>
      </c>
      <c r="C6151" s="1" t="str">
        <f>HYPERLINK("http://www.genecards.org/cgi-bin/carddisp.pl?gene=XPOT","GeneCards")</f>
        <v>GeneCards</v>
      </c>
      <c r="D6151" s="1" t="str">
        <f>HYPERLINK("http://genome-euro.ucsc.edu/cgi-bin/hgTracks?position=212160_at","UCSC")</f>
        <v>UCSC</v>
      </c>
      <c r="E6151" s="1" t="str">
        <f>HYPERLINK("http://www.ncbi.nlm.nih.gov/gene/?term=XPOT","NCBI")</f>
        <v>NCBI</v>
      </c>
      <c r="F6151">
        <v>6.9000000000000006E-2</v>
      </c>
      <c r="G6151">
        <v>0.19</v>
      </c>
      <c r="H6151" s="1" t="str">
        <f>HYPERLINK("http://www.weizmann.ac.il/complex/compphys/software/geview/data/figures/212160_at.png","Figure")</f>
        <v>Figure</v>
      </c>
      <c r="I6151">
        <v>0.55900000000000005</v>
      </c>
      <c r="J6151">
        <v>7.6999999999999999E-2</v>
      </c>
      <c r="K6151">
        <v>0.91500000000000004</v>
      </c>
      <c r="L6151">
        <v>0.91</v>
      </c>
      <c r="M6151">
        <v>1.64</v>
      </c>
      <c r="N6151">
        <v>0.11</v>
      </c>
    </row>
    <row r="6152" spans="1:14" x14ac:dyDescent="0.25">
      <c r="A6152" t="s">
        <v>11057</v>
      </c>
      <c r="B6152" t="s">
        <v>7743</v>
      </c>
      <c r="C6152" s="1" t="str">
        <f>HYPERLINK("http://www.genecards.org/cgi-bin/carddisp.pl?gene=PDCD4","GeneCards")</f>
        <v>GeneCards</v>
      </c>
      <c r="D6152" s="1" t="str">
        <f>HYPERLINK("http://genome-euro.ucsc.edu/cgi-bin/hgTracks?position=212593_s_at","UCSC")</f>
        <v>UCSC</v>
      </c>
      <c r="E6152" s="1" t="str">
        <f>HYPERLINK("http://www.ncbi.nlm.nih.gov/gene/?term=PDCD4","NCBI")</f>
        <v>NCBI</v>
      </c>
      <c r="F6152">
        <v>6.9000000000000006E-2</v>
      </c>
      <c r="G6152">
        <v>0.19</v>
      </c>
      <c r="H6152" s="1" t="str">
        <f>HYPERLINK("http://www.weizmann.ac.il/complex/compphys/software/geview/data/figures/212593_s_at.png","Figure")</f>
        <v>Figure</v>
      </c>
      <c r="I6152">
        <v>0.81</v>
      </c>
      <c r="J6152">
        <v>0.56000000000000005</v>
      </c>
      <c r="K6152">
        <v>0.63800000000000001</v>
      </c>
      <c r="L6152">
        <v>5.8000000000000003E-2</v>
      </c>
      <c r="M6152">
        <v>0.78800000000000003</v>
      </c>
      <c r="N6152">
        <v>0.44</v>
      </c>
    </row>
    <row r="6153" spans="1:14" x14ac:dyDescent="0.25">
      <c r="A6153" t="s">
        <v>11058</v>
      </c>
      <c r="B6153" t="s">
        <v>11059</v>
      </c>
      <c r="C6153" s="1" t="str">
        <f>HYPERLINK("http://www.genecards.org/cgi-bin/carddisp.pl?gene=MINK1","GeneCards")</f>
        <v>GeneCards</v>
      </c>
      <c r="D6153" s="1" t="str">
        <f>HYPERLINK("http://genome-euro.ucsc.edu/cgi-bin/hgTracks?position=215909_x_at","UCSC")</f>
        <v>UCSC</v>
      </c>
      <c r="E6153" s="1" t="str">
        <f>HYPERLINK("http://www.ncbi.nlm.nih.gov/gene/?term=MINK1","NCBI")</f>
        <v>NCBI</v>
      </c>
      <c r="F6153">
        <v>6.9000000000000006E-2</v>
      </c>
      <c r="G6153">
        <v>0.19</v>
      </c>
      <c r="H6153" s="1" t="str">
        <f>HYPERLINK("http://www.weizmann.ac.il/complex/compphys/software/geview/data/figures/215909_x_at.png","Figure")</f>
        <v>Figure</v>
      </c>
      <c r="I6153">
        <v>1.3</v>
      </c>
      <c r="J6153">
        <v>6.4000000000000001E-2</v>
      </c>
      <c r="K6153">
        <v>1.07</v>
      </c>
      <c r="L6153">
        <v>0.74</v>
      </c>
      <c r="M6153">
        <v>0.82099999999999995</v>
      </c>
      <c r="N6153">
        <v>0.16</v>
      </c>
    </row>
    <row r="6154" spans="1:14" x14ac:dyDescent="0.25">
      <c r="A6154" t="s">
        <v>11060</v>
      </c>
      <c r="B6154" t="s">
        <v>11061</v>
      </c>
      <c r="C6154" s="1" t="str">
        <f>HYPERLINK("http://www.genecards.org/cgi-bin/carddisp.pl?gene=GRM8","GeneCards")</f>
        <v>GeneCards</v>
      </c>
      <c r="D6154" s="1" t="str">
        <f>HYPERLINK("http://genome-euro.ucsc.edu/cgi-bin/hgTracks?position=216256_at","UCSC")</f>
        <v>UCSC</v>
      </c>
      <c r="E6154" s="1" t="str">
        <f>HYPERLINK("http://www.ncbi.nlm.nih.gov/gene/?term=GRM8","NCBI")</f>
        <v>NCBI</v>
      </c>
      <c r="F6154">
        <v>6.9000000000000006E-2</v>
      </c>
      <c r="G6154">
        <v>0.19</v>
      </c>
      <c r="H6154" s="1" t="str">
        <f>HYPERLINK("http://www.weizmann.ac.il/complex/compphys/software/geview/data/figures/216256_at.png","Figure")</f>
        <v>Figure</v>
      </c>
      <c r="I6154">
        <v>1.22</v>
      </c>
      <c r="J6154">
        <v>5.7000000000000002E-2</v>
      </c>
      <c r="K6154">
        <v>1.08</v>
      </c>
      <c r="L6154">
        <v>0.51</v>
      </c>
      <c r="M6154">
        <v>0.88400000000000001</v>
      </c>
      <c r="N6154">
        <v>0.25</v>
      </c>
    </row>
    <row r="6155" spans="1:14" x14ac:dyDescent="0.25">
      <c r="A6155" t="s">
        <v>11062</v>
      </c>
      <c r="B6155" t="s">
        <v>11063</v>
      </c>
      <c r="C6155" s="1" t="str">
        <f>HYPERLINK("http://www.genecards.org/cgi-bin/carddisp.pl?gene=SATB1","GeneCards")</f>
        <v>GeneCards</v>
      </c>
      <c r="D6155" s="1" t="str">
        <f>HYPERLINK("http://genome-euro.ucsc.edu/cgi-bin/hgTracks?position=203408_s_at","UCSC")</f>
        <v>UCSC</v>
      </c>
      <c r="E6155" s="1" t="str">
        <f>HYPERLINK("http://www.ncbi.nlm.nih.gov/gene/?term=SATB1","NCBI")</f>
        <v>NCBI</v>
      </c>
      <c r="F6155">
        <v>6.9000000000000006E-2</v>
      </c>
      <c r="G6155">
        <v>0.19</v>
      </c>
      <c r="H6155" s="1" t="str">
        <f>HYPERLINK("http://www.weizmann.ac.il/complex/compphys/software/geview/data/figures/203408_s_at.png","Figure")</f>
        <v>Figure</v>
      </c>
      <c r="I6155">
        <v>0.66300000000000003</v>
      </c>
      <c r="J6155">
        <v>0.18</v>
      </c>
      <c r="K6155">
        <v>0.624</v>
      </c>
      <c r="L6155">
        <v>6.8000000000000005E-2</v>
      </c>
      <c r="M6155">
        <v>0.94199999999999995</v>
      </c>
      <c r="N6155">
        <v>0.95</v>
      </c>
    </row>
    <row r="6156" spans="1:14" x14ac:dyDescent="0.25">
      <c r="A6156" t="s">
        <v>11064</v>
      </c>
      <c r="B6156" t="s">
        <v>11065</v>
      </c>
      <c r="C6156" s="1" t="str">
        <f>HYPERLINK("http://www.genecards.org/cgi-bin/carddisp.pl?gene=STX18","GeneCards")</f>
        <v>GeneCards</v>
      </c>
      <c r="D6156" s="1" t="str">
        <f>HYPERLINK("http://genome-euro.ucsc.edu/cgi-bin/hgTracks?position=218763_at","UCSC")</f>
        <v>UCSC</v>
      </c>
      <c r="E6156" s="1" t="str">
        <f>HYPERLINK("http://www.ncbi.nlm.nih.gov/gene/?term=STX18","NCBI")</f>
        <v>NCBI</v>
      </c>
      <c r="F6156">
        <v>6.9000000000000006E-2</v>
      </c>
      <c r="G6156">
        <v>0.19</v>
      </c>
      <c r="H6156" s="1" t="str">
        <f>HYPERLINK("http://www.weizmann.ac.il/complex/compphys/software/geview/data/figures/218763_at.png","Figure")</f>
        <v>Figure</v>
      </c>
      <c r="I6156">
        <v>1.08</v>
      </c>
      <c r="J6156">
        <v>0.53</v>
      </c>
      <c r="K6156">
        <v>1.18</v>
      </c>
      <c r="L6156">
        <v>5.7000000000000002E-2</v>
      </c>
      <c r="M6156">
        <v>1.0900000000000001</v>
      </c>
      <c r="N6156">
        <v>0.47</v>
      </c>
    </row>
    <row r="6157" spans="1:14" x14ac:dyDescent="0.25">
      <c r="A6157" t="s">
        <v>11066</v>
      </c>
      <c r="B6157" t="s">
        <v>11067</v>
      </c>
      <c r="C6157" s="1" t="str">
        <f>HYPERLINK("http://www.genecards.org/cgi-bin/carddisp.pl?gene=SLC25A5","GeneCards")</f>
        <v>GeneCards</v>
      </c>
      <c r="D6157" s="1" t="str">
        <f>HYPERLINK("http://genome-euro.ucsc.edu/cgi-bin/hgTracks?position=200657_at","UCSC")</f>
        <v>UCSC</v>
      </c>
      <c r="E6157" s="1" t="str">
        <f>HYPERLINK("http://www.ncbi.nlm.nih.gov/gene/?term=SLC25A5","NCBI")</f>
        <v>NCBI</v>
      </c>
      <c r="F6157">
        <v>6.9000000000000006E-2</v>
      </c>
      <c r="G6157">
        <v>0.19</v>
      </c>
      <c r="H6157" s="1" t="str">
        <f>HYPERLINK("http://www.weizmann.ac.il/complex/compphys/software/geview/data/figures/200657_at.png","Figure")</f>
        <v>Figure</v>
      </c>
      <c r="I6157">
        <v>0.79</v>
      </c>
      <c r="J6157">
        <v>0.59</v>
      </c>
      <c r="K6157">
        <v>1.38</v>
      </c>
      <c r="L6157">
        <v>0.31</v>
      </c>
      <c r="M6157">
        <v>1.74</v>
      </c>
      <c r="N6157">
        <v>6.4000000000000001E-2</v>
      </c>
    </row>
    <row r="6158" spans="1:14" x14ac:dyDescent="0.25">
      <c r="A6158" t="s">
        <v>11068</v>
      </c>
      <c r="B6158" t="s">
        <v>1430</v>
      </c>
      <c r="C6158" s="1" t="str">
        <f>HYPERLINK("http://www.genecards.org/cgi-bin/carddisp.pl?gene=CDC2L1 /// CDC2L2","GeneCards")</f>
        <v>GeneCards</v>
      </c>
      <c r="D6158" s="1" t="str">
        <f>HYPERLINK("http://genome-euro.ucsc.edu/cgi-bin/hgTracks?position=210474_s_at","UCSC")</f>
        <v>UCSC</v>
      </c>
      <c r="E6158" s="1" t="str">
        <f>HYPERLINK("http://www.ncbi.nlm.nih.gov/gene/?term=CDC2L1 /// CDC2L2","NCBI")</f>
        <v>NCBI</v>
      </c>
      <c r="F6158">
        <v>6.9000000000000006E-2</v>
      </c>
      <c r="G6158">
        <v>0.19</v>
      </c>
      <c r="H6158" s="1" t="str">
        <f>HYPERLINK("http://www.weizmann.ac.il/complex/compphys/software/geview/data/figures/210474_s_at.png","Figure")</f>
        <v>Figure</v>
      </c>
      <c r="I6158">
        <v>1.01</v>
      </c>
      <c r="J6158">
        <v>0.99</v>
      </c>
      <c r="K6158">
        <v>0.81799999999999995</v>
      </c>
      <c r="L6158">
        <v>0.12</v>
      </c>
      <c r="M6158">
        <v>0.80800000000000005</v>
      </c>
      <c r="N6158">
        <v>0.12</v>
      </c>
    </row>
    <row r="6159" spans="1:14" x14ac:dyDescent="0.25">
      <c r="A6159" t="s">
        <v>11069</v>
      </c>
      <c r="B6159" t="s">
        <v>11070</v>
      </c>
      <c r="C6159" s="1" t="str">
        <f>HYPERLINK("http://www.genecards.org/cgi-bin/carddisp.pl?gene=SMC5","GeneCards")</f>
        <v>GeneCards</v>
      </c>
      <c r="D6159" s="1" t="str">
        <f>HYPERLINK("http://genome-euro.ucsc.edu/cgi-bin/hgTracks?position=212926_at","UCSC")</f>
        <v>UCSC</v>
      </c>
      <c r="E6159" s="1" t="str">
        <f>HYPERLINK("http://www.ncbi.nlm.nih.gov/gene/?term=SMC5","NCBI")</f>
        <v>NCBI</v>
      </c>
      <c r="F6159">
        <v>6.9000000000000006E-2</v>
      </c>
      <c r="G6159">
        <v>0.19</v>
      </c>
      <c r="H6159" s="1" t="str">
        <f>HYPERLINK("http://www.weizmann.ac.il/complex/compphys/software/geview/data/figures/212926_at.png","Figure")</f>
        <v>Figure</v>
      </c>
      <c r="I6159">
        <v>0.69699999999999995</v>
      </c>
      <c r="J6159">
        <v>0.31</v>
      </c>
      <c r="K6159">
        <v>1.23</v>
      </c>
      <c r="L6159">
        <v>0.59</v>
      </c>
      <c r="M6159">
        <v>1.76</v>
      </c>
      <c r="N6159">
        <v>5.7000000000000002E-2</v>
      </c>
    </row>
    <row r="6160" spans="1:14" x14ac:dyDescent="0.25">
      <c r="A6160" t="s">
        <v>11071</v>
      </c>
      <c r="B6160" t="s">
        <v>11072</v>
      </c>
      <c r="C6160" s="1" t="str">
        <f>HYPERLINK("http://www.genecards.org/cgi-bin/carddisp.pl?gene=GTF3C4","GeneCards")</f>
        <v>GeneCards</v>
      </c>
      <c r="D6160" s="1" t="str">
        <f>HYPERLINK("http://genome-euro.ucsc.edu/cgi-bin/hgTracks?position=219198_at","UCSC")</f>
        <v>UCSC</v>
      </c>
      <c r="E6160" s="1" t="str">
        <f>HYPERLINK("http://www.ncbi.nlm.nih.gov/gene/?term=GTF3C4","NCBI")</f>
        <v>NCBI</v>
      </c>
      <c r="F6160">
        <v>6.9000000000000006E-2</v>
      </c>
      <c r="G6160">
        <v>0.19</v>
      </c>
      <c r="H6160" s="1" t="str">
        <f>HYPERLINK("http://www.weizmann.ac.il/complex/compphys/software/geview/data/figures/219198_at.png","Figure")</f>
        <v>Figure</v>
      </c>
      <c r="I6160">
        <v>0.96</v>
      </c>
      <c r="J6160">
        <v>0.91</v>
      </c>
      <c r="K6160">
        <v>0.81399999999999995</v>
      </c>
      <c r="L6160">
        <v>7.6999999999999999E-2</v>
      </c>
      <c r="M6160">
        <v>0.84899999999999998</v>
      </c>
      <c r="N6160">
        <v>0.21</v>
      </c>
    </row>
    <row r="6161" spans="1:14" x14ac:dyDescent="0.25">
      <c r="A6161" t="s">
        <v>11073</v>
      </c>
      <c r="B6161" t="s">
        <v>11074</v>
      </c>
      <c r="C6161" s="1" t="str">
        <f>HYPERLINK("http://www.genecards.org/cgi-bin/carddisp.pl?gene=FAM48A","GeneCards")</f>
        <v>GeneCards</v>
      </c>
      <c r="D6161" s="1" t="str">
        <f>HYPERLINK("http://genome-euro.ucsc.edu/cgi-bin/hgTracks?position=221774_x_at","UCSC")</f>
        <v>UCSC</v>
      </c>
      <c r="E6161" s="1" t="str">
        <f>HYPERLINK("http://www.ncbi.nlm.nih.gov/gene/?term=FAM48A","NCBI")</f>
        <v>NCBI</v>
      </c>
      <c r="F6161">
        <v>6.9000000000000006E-2</v>
      </c>
      <c r="G6161">
        <v>0.19</v>
      </c>
      <c r="H6161" s="1" t="str">
        <f>HYPERLINK("http://www.weizmann.ac.il/complex/compphys/software/geview/data/figures/221774_x_at.png","Figure")</f>
        <v>Figure</v>
      </c>
      <c r="I6161">
        <v>1.04</v>
      </c>
      <c r="J6161">
        <v>0.95</v>
      </c>
      <c r="K6161">
        <v>1.3</v>
      </c>
      <c r="L6161">
        <v>8.3000000000000004E-2</v>
      </c>
      <c r="M6161">
        <v>1.25</v>
      </c>
      <c r="N6161">
        <v>0.19</v>
      </c>
    </row>
    <row r="6162" spans="1:14" x14ac:dyDescent="0.25">
      <c r="A6162" t="s">
        <v>11075</v>
      </c>
      <c r="B6162" t="s">
        <v>10886</v>
      </c>
      <c r="C6162" s="1" t="str">
        <f>HYPERLINK("http://www.genecards.org/cgi-bin/carddisp.pl?gene=BAT2D1","GeneCards")</f>
        <v>GeneCards</v>
      </c>
      <c r="D6162" s="1" t="str">
        <f>HYPERLINK("http://genome-euro.ucsc.edu/cgi-bin/hgTracks?position=214055_x_at","UCSC")</f>
        <v>UCSC</v>
      </c>
      <c r="E6162" s="1" t="str">
        <f>HYPERLINK("http://www.ncbi.nlm.nih.gov/gene/?term=BAT2D1","NCBI")</f>
        <v>NCBI</v>
      </c>
      <c r="F6162">
        <v>6.9000000000000006E-2</v>
      </c>
      <c r="G6162">
        <v>0.19</v>
      </c>
      <c r="H6162" s="1" t="str">
        <f>HYPERLINK("http://www.weizmann.ac.il/complex/compphys/software/geview/data/figures/214055_x_at.png","Figure")</f>
        <v>Figure</v>
      </c>
      <c r="I6162">
        <v>1.66</v>
      </c>
      <c r="J6162">
        <v>9.2999999999999999E-2</v>
      </c>
      <c r="K6162">
        <v>1.03</v>
      </c>
      <c r="L6162">
        <v>0.99</v>
      </c>
      <c r="M6162">
        <v>0.623</v>
      </c>
      <c r="N6162">
        <v>9.0999999999999998E-2</v>
      </c>
    </row>
    <row r="6163" spans="1:14" x14ac:dyDescent="0.25">
      <c r="A6163" t="s">
        <v>11076</v>
      </c>
      <c r="B6163" t="s">
        <v>6755</v>
      </c>
      <c r="C6163" s="1" t="str">
        <f>HYPERLINK("http://www.genecards.org/cgi-bin/carddisp.pl?gene=POFUT2","GeneCards")</f>
        <v>GeneCards</v>
      </c>
      <c r="D6163" s="1" t="str">
        <f>HYPERLINK("http://genome-euro.ucsc.edu/cgi-bin/hgTracks?position=209578_s_at","UCSC")</f>
        <v>UCSC</v>
      </c>
      <c r="E6163" s="1" t="str">
        <f>HYPERLINK("http://www.ncbi.nlm.nih.gov/gene/?term=POFUT2","NCBI")</f>
        <v>NCBI</v>
      </c>
      <c r="F6163">
        <v>6.9000000000000006E-2</v>
      </c>
      <c r="G6163">
        <v>0.19</v>
      </c>
      <c r="H6163" s="1" t="str">
        <f>HYPERLINK("http://www.weizmann.ac.il/complex/compphys/software/geview/data/figures/209578_s_at.png","Figure")</f>
        <v>Figure</v>
      </c>
      <c r="I6163">
        <v>0.70899999999999996</v>
      </c>
      <c r="J6163">
        <v>5.7000000000000002E-2</v>
      </c>
      <c r="K6163">
        <v>0.85899999999999999</v>
      </c>
      <c r="L6163">
        <v>0.42</v>
      </c>
      <c r="M6163">
        <v>1.21</v>
      </c>
      <c r="N6163">
        <v>0.31</v>
      </c>
    </row>
    <row r="6164" spans="1:14" x14ac:dyDescent="0.25">
      <c r="A6164" t="s">
        <v>11077</v>
      </c>
      <c r="B6164" t="s">
        <v>3563</v>
      </c>
      <c r="C6164" s="1" t="str">
        <f>HYPERLINK("http://www.genecards.org/cgi-bin/carddisp.pl?gene=SOCS1","GeneCards")</f>
        <v>GeneCards</v>
      </c>
      <c r="D6164" s="1" t="str">
        <f>HYPERLINK("http://genome-euro.ucsc.edu/cgi-bin/hgTracks?position=213337_s_at","UCSC")</f>
        <v>UCSC</v>
      </c>
      <c r="E6164" s="1" t="str">
        <f>HYPERLINK("http://www.ncbi.nlm.nih.gov/gene/?term=SOCS1","NCBI")</f>
        <v>NCBI</v>
      </c>
      <c r="F6164">
        <v>6.9000000000000006E-2</v>
      </c>
      <c r="G6164">
        <v>0.19</v>
      </c>
      <c r="H6164" s="1" t="str">
        <f>HYPERLINK("http://www.weizmann.ac.il/complex/compphys/software/geview/data/figures/213337_s_at.png","Figure")</f>
        <v>Figure</v>
      </c>
      <c r="I6164">
        <v>1.2</v>
      </c>
      <c r="J6164">
        <v>0.11</v>
      </c>
      <c r="K6164">
        <v>1.18</v>
      </c>
      <c r="L6164">
        <v>9.5000000000000001E-2</v>
      </c>
      <c r="M6164">
        <v>0.98299999999999998</v>
      </c>
      <c r="N6164">
        <v>0.97</v>
      </c>
    </row>
    <row r="6165" spans="1:14" x14ac:dyDescent="0.25">
      <c r="A6165" t="s">
        <v>11078</v>
      </c>
      <c r="B6165" t="s">
        <v>11079</v>
      </c>
      <c r="C6165" s="1" t="str">
        <f>HYPERLINK("http://www.genecards.org/cgi-bin/carddisp.pl?gene=NEIL3","GeneCards")</f>
        <v>GeneCards</v>
      </c>
      <c r="D6165" s="1" t="str">
        <f>HYPERLINK("http://genome-euro.ucsc.edu/cgi-bin/hgTracks?position=219502_at","UCSC")</f>
        <v>UCSC</v>
      </c>
      <c r="E6165" s="1" t="str">
        <f>HYPERLINK("http://www.ncbi.nlm.nih.gov/gene/?term=NEIL3","NCBI")</f>
        <v>NCBI</v>
      </c>
      <c r="F6165">
        <v>6.9000000000000006E-2</v>
      </c>
      <c r="G6165">
        <v>0.19</v>
      </c>
      <c r="H6165" s="1" t="str">
        <f>HYPERLINK("http://www.weizmann.ac.il/complex/compphys/software/geview/data/figures/219502_at.png","Figure")</f>
        <v>Figure</v>
      </c>
      <c r="I6165">
        <v>0.91500000000000004</v>
      </c>
      <c r="J6165">
        <v>0.4</v>
      </c>
      <c r="K6165">
        <v>1.07</v>
      </c>
      <c r="L6165">
        <v>0.47</v>
      </c>
      <c r="M6165">
        <v>1.17</v>
      </c>
      <c r="N6165">
        <v>5.8000000000000003E-2</v>
      </c>
    </row>
    <row r="6166" spans="1:14" x14ac:dyDescent="0.25">
      <c r="A6166" t="s">
        <v>11080</v>
      </c>
      <c r="B6166" t="s">
        <v>11081</v>
      </c>
      <c r="C6166" s="1" t="str">
        <f>HYPERLINK("http://www.genecards.org/cgi-bin/carddisp.pl?gene=KCNQ1DN","GeneCards")</f>
        <v>GeneCards</v>
      </c>
      <c r="D6166" s="1" t="str">
        <f>HYPERLINK("http://genome-euro.ucsc.edu/cgi-bin/hgTracks?position=220629_at","UCSC")</f>
        <v>UCSC</v>
      </c>
      <c r="E6166" s="1" t="str">
        <f>HYPERLINK("http://www.ncbi.nlm.nih.gov/gene/?term=KCNQ1DN","NCBI")</f>
        <v>NCBI</v>
      </c>
      <c r="F6166">
        <v>6.9000000000000006E-2</v>
      </c>
      <c r="G6166">
        <v>0.19</v>
      </c>
      <c r="H6166" s="1" t="str">
        <f>HYPERLINK("http://www.weizmann.ac.il/complex/compphys/software/geview/data/figures/220629_at.png","Figure")</f>
        <v>Figure</v>
      </c>
      <c r="I6166">
        <v>1.3</v>
      </c>
      <c r="J6166">
        <v>5.7000000000000002E-2</v>
      </c>
      <c r="K6166">
        <v>1.1100000000000001</v>
      </c>
      <c r="L6166">
        <v>0.48</v>
      </c>
      <c r="M6166">
        <v>0.85499999999999998</v>
      </c>
      <c r="N6166">
        <v>0.26</v>
      </c>
    </row>
    <row r="6167" spans="1:14" x14ac:dyDescent="0.25">
      <c r="A6167" t="s">
        <v>11082</v>
      </c>
      <c r="B6167" t="s">
        <v>10886</v>
      </c>
      <c r="C6167" s="1" t="str">
        <f>HYPERLINK("http://www.genecards.org/cgi-bin/carddisp.pl?gene=BAT2D1","GeneCards")</f>
        <v>GeneCards</v>
      </c>
      <c r="D6167" s="1" t="str">
        <f>HYPERLINK("http://genome-euro.ucsc.edu/cgi-bin/hgTracks?position=214052_x_at","UCSC")</f>
        <v>UCSC</v>
      </c>
      <c r="E6167" s="1" t="str">
        <f>HYPERLINK("http://www.ncbi.nlm.nih.gov/gene/?term=BAT2D1","NCBI")</f>
        <v>NCBI</v>
      </c>
      <c r="F6167">
        <v>6.9000000000000006E-2</v>
      </c>
      <c r="G6167">
        <v>0.19</v>
      </c>
      <c r="H6167" s="1" t="str">
        <f>HYPERLINK("http://www.weizmann.ac.il/complex/compphys/software/geview/data/figures/214052_x_at.png","Figure")</f>
        <v>Figure</v>
      </c>
      <c r="I6167">
        <v>1.4</v>
      </c>
      <c r="J6167">
        <v>0.18</v>
      </c>
      <c r="K6167">
        <v>0.92100000000000004</v>
      </c>
      <c r="L6167">
        <v>0.86</v>
      </c>
      <c r="M6167">
        <v>0.66</v>
      </c>
      <c r="N6167">
        <v>6.2E-2</v>
      </c>
    </row>
    <row r="6168" spans="1:14" x14ac:dyDescent="0.25">
      <c r="A6168" t="s">
        <v>11083</v>
      </c>
      <c r="B6168" t="s">
        <v>11084</v>
      </c>
      <c r="C6168" s="1" t="str">
        <f>HYPERLINK("http://www.genecards.org/cgi-bin/carddisp.pl?gene=TPP1","GeneCards")</f>
        <v>GeneCards</v>
      </c>
      <c r="D6168" s="1" t="str">
        <f>HYPERLINK("http://genome-euro.ucsc.edu/cgi-bin/hgTracks?position=200742_s_at","UCSC")</f>
        <v>UCSC</v>
      </c>
      <c r="E6168" s="1" t="str">
        <f>HYPERLINK("http://www.ncbi.nlm.nih.gov/gene/?term=TPP1","NCBI")</f>
        <v>NCBI</v>
      </c>
      <c r="F6168">
        <v>6.9000000000000006E-2</v>
      </c>
      <c r="G6168">
        <v>0.19</v>
      </c>
      <c r="H6168" s="1" t="str">
        <f>HYPERLINK("http://www.weizmann.ac.il/complex/compphys/software/geview/data/figures/200742_s_at.png","Figure")</f>
        <v>Figure</v>
      </c>
      <c r="I6168">
        <v>0.60299999999999998</v>
      </c>
      <c r="J6168">
        <v>0.1</v>
      </c>
      <c r="K6168">
        <v>0.64300000000000002</v>
      </c>
      <c r="L6168">
        <v>0.1</v>
      </c>
      <c r="M6168">
        <v>1.07</v>
      </c>
      <c r="N6168">
        <v>0.95</v>
      </c>
    </row>
    <row r="6169" spans="1:14" x14ac:dyDescent="0.25">
      <c r="A6169" t="s">
        <v>11085</v>
      </c>
      <c r="B6169" t="s">
        <v>11086</v>
      </c>
      <c r="C6169" s="1" t="str">
        <f>HYPERLINK("http://www.genecards.org/cgi-bin/carddisp.pl?gene=HELZ","GeneCards")</f>
        <v>GeneCards</v>
      </c>
      <c r="D6169" s="1" t="str">
        <f>HYPERLINK("http://genome-euro.ucsc.edu/cgi-bin/hgTracks?position=203674_at","UCSC")</f>
        <v>UCSC</v>
      </c>
      <c r="E6169" s="1" t="str">
        <f>HYPERLINK("http://www.ncbi.nlm.nih.gov/gene/?term=HELZ","NCBI")</f>
        <v>NCBI</v>
      </c>
      <c r="F6169">
        <v>6.9000000000000006E-2</v>
      </c>
      <c r="G6169">
        <v>0.19</v>
      </c>
      <c r="H6169" s="1" t="str">
        <f>HYPERLINK("http://www.weizmann.ac.il/complex/compphys/software/geview/data/figures/203674_at.png","Figure")</f>
        <v>Figure</v>
      </c>
      <c r="I6169">
        <v>0.66800000000000004</v>
      </c>
      <c r="J6169">
        <v>7.4999999999999997E-2</v>
      </c>
      <c r="K6169">
        <v>0.93300000000000005</v>
      </c>
      <c r="L6169">
        <v>0.88</v>
      </c>
      <c r="M6169">
        <v>1.4</v>
      </c>
      <c r="N6169">
        <v>0.12</v>
      </c>
    </row>
    <row r="6170" spans="1:14" x14ac:dyDescent="0.25">
      <c r="A6170" t="s">
        <v>11087</v>
      </c>
      <c r="B6170" t="s">
        <v>11088</v>
      </c>
      <c r="C6170" s="1" t="str">
        <f>HYPERLINK("http://www.genecards.org/cgi-bin/carddisp.pl?gene=CST4","GeneCards")</f>
        <v>GeneCards</v>
      </c>
      <c r="D6170" s="1" t="str">
        <f>HYPERLINK("http://genome-euro.ucsc.edu/cgi-bin/hgTracks?position=206994_at","UCSC")</f>
        <v>UCSC</v>
      </c>
      <c r="E6170" s="1" t="str">
        <f>HYPERLINK("http://www.ncbi.nlm.nih.gov/gene/?term=CST4","NCBI")</f>
        <v>NCBI</v>
      </c>
      <c r="F6170">
        <v>6.9000000000000006E-2</v>
      </c>
      <c r="G6170">
        <v>0.19</v>
      </c>
      <c r="H6170" s="1" t="str">
        <f>HYPERLINK("http://www.weizmann.ac.il/complex/compphys/software/geview/data/figures/206994_at.png","Figure")</f>
        <v>Figure</v>
      </c>
      <c r="I6170">
        <v>1.1200000000000001</v>
      </c>
      <c r="J6170">
        <v>8.5000000000000006E-2</v>
      </c>
      <c r="K6170">
        <v>1.1000000000000001</v>
      </c>
      <c r="L6170">
        <v>0.13</v>
      </c>
      <c r="M6170">
        <v>0.97499999999999998</v>
      </c>
      <c r="N6170">
        <v>0.85</v>
      </c>
    </row>
    <row r="6171" spans="1:14" x14ac:dyDescent="0.25">
      <c r="A6171" t="s">
        <v>11089</v>
      </c>
      <c r="B6171" t="s">
        <v>11090</v>
      </c>
      <c r="C6171" s="1" t="str">
        <f>HYPERLINK("http://www.genecards.org/cgi-bin/carddisp.pl?gene=COPS2","GeneCards")</f>
        <v>GeneCards</v>
      </c>
      <c r="D6171" s="1" t="str">
        <f>HYPERLINK("http://genome-euro.ucsc.edu/cgi-bin/hgTracks?position=202467_s_at","UCSC")</f>
        <v>UCSC</v>
      </c>
      <c r="E6171" s="1" t="str">
        <f>HYPERLINK("http://www.ncbi.nlm.nih.gov/gene/?term=COPS2","NCBI")</f>
        <v>NCBI</v>
      </c>
      <c r="F6171">
        <v>6.9000000000000006E-2</v>
      </c>
      <c r="G6171">
        <v>0.19</v>
      </c>
      <c r="H6171" s="1" t="str">
        <f>HYPERLINK("http://www.weizmann.ac.il/complex/compphys/software/geview/data/figures/202467_s_at.png","Figure")</f>
        <v>Figure</v>
      </c>
      <c r="I6171">
        <v>0.86399999999999999</v>
      </c>
      <c r="J6171">
        <v>0.76</v>
      </c>
      <c r="K6171">
        <v>0.63800000000000001</v>
      </c>
      <c r="L6171">
        <v>6.6000000000000003E-2</v>
      </c>
      <c r="M6171">
        <v>0.73799999999999999</v>
      </c>
      <c r="N6171">
        <v>0.28999999999999998</v>
      </c>
    </row>
    <row r="6172" spans="1:14" x14ac:dyDescent="0.25">
      <c r="A6172" t="s">
        <v>11091</v>
      </c>
      <c r="B6172" t="s">
        <v>11092</v>
      </c>
      <c r="C6172" s="1" t="str">
        <f>HYPERLINK("http://www.genecards.org/cgi-bin/carddisp.pl?gene=ARHGEF1","GeneCards")</f>
        <v>GeneCards</v>
      </c>
      <c r="D6172" s="1" t="str">
        <f>HYPERLINK("http://genome-euro.ucsc.edu/cgi-bin/hgTracks?position=203055_s_at","UCSC")</f>
        <v>UCSC</v>
      </c>
      <c r="E6172" s="1" t="str">
        <f>HYPERLINK("http://www.ncbi.nlm.nih.gov/gene/?term=ARHGEF1","NCBI")</f>
        <v>NCBI</v>
      </c>
      <c r="F6172">
        <v>6.9000000000000006E-2</v>
      </c>
      <c r="G6172">
        <v>0.19</v>
      </c>
      <c r="H6172" s="1" t="str">
        <f>HYPERLINK("http://www.weizmann.ac.il/complex/compphys/software/geview/data/figures/203055_s_at.png","Figure")</f>
        <v>Figure</v>
      </c>
      <c r="I6172">
        <v>1.48</v>
      </c>
      <c r="J6172">
        <v>6.2E-2</v>
      </c>
      <c r="K6172">
        <v>1.26</v>
      </c>
      <c r="L6172">
        <v>0.24</v>
      </c>
      <c r="M6172">
        <v>0.85299999999999998</v>
      </c>
      <c r="N6172">
        <v>0.53</v>
      </c>
    </row>
    <row r="6173" spans="1:14" x14ac:dyDescent="0.25">
      <c r="A6173" t="s">
        <v>11093</v>
      </c>
      <c r="B6173" t="s">
        <v>11094</v>
      </c>
      <c r="C6173" s="1" t="str">
        <f>HYPERLINK("http://www.genecards.org/cgi-bin/carddisp.pl?gene=POU2F1","GeneCards")</f>
        <v>GeneCards</v>
      </c>
      <c r="D6173" s="1" t="str">
        <f>HYPERLINK("http://genome-euro.ucsc.edu/cgi-bin/hgTracks?position=206789_s_at","UCSC")</f>
        <v>UCSC</v>
      </c>
      <c r="E6173" s="1" t="str">
        <f>HYPERLINK("http://www.ncbi.nlm.nih.gov/gene/?term=POU2F1","NCBI")</f>
        <v>NCBI</v>
      </c>
      <c r="F6173">
        <v>6.9000000000000006E-2</v>
      </c>
      <c r="G6173">
        <v>0.19</v>
      </c>
      <c r="H6173" s="1" t="str">
        <f>HYPERLINK("http://www.weizmann.ac.il/complex/compphys/software/geview/data/figures/206789_s_at.png","Figure")</f>
        <v>Figure</v>
      </c>
      <c r="I6173">
        <v>1.69</v>
      </c>
      <c r="J6173">
        <v>6.9000000000000006E-2</v>
      </c>
      <c r="K6173">
        <v>1.1200000000000001</v>
      </c>
      <c r="L6173">
        <v>0.82</v>
      </c>
      <c r="M6173">
        <v>0.66300000000000003</v>
      </c>
      <c r="N6173">
        <v>0.14000000000000001</v>
      </c>
    </row>
    <row r="6174" spans="1:14" x14ac:dyDescent="0.25">
      <c r="A6174" t="s">
        <v>11095</v>
      </c>
      <c r="B6174" t="s">
        <v>10432</v>
      </c>
      <c r="C6174" s="1" t="str">
        <f>HYPERLINK("http://www.genecards.org/cgi-bin/carddisp.pl?gene=SLC39A8","GeneCards")</f>
        <v>GeneCards</v>
      </c>
      <c r="D6174" s="1" t="str">
        <f>HYPERLINK("http://genome-euro.ucsc.edu/cgi-bin/hgTracks?position=209267_s_at","UCSC")</f>
        <v>UCSC</v>
      </c>
      <c r="E6174" s="1" t="str">
        <f>HYPERLINK("http://www.ncbi.nlm.nih.gov/gene/?term=SLC39A8","NCBI")</f>
        <v>NCBI</v>
      </c>
      <c r="F6174">
        <v>6.9000000000000006E-2</v>
      </c>
      <c r="G6174">
        <v>0.19</v>
      </c>
      <c r="H6174" s="1" t="str">
        <f>HYPERLINK("http://www.weizmann.ac.il/complex/compphys/software/geview/data/figures/209267_s_at.png","Figure")</f>
        <v>Figure</v>
      </c>
      <c r="I6174">
        <v>0.54900000000000004</v>
      </c>
      <c r="J6174">
        <v>0.23</v>
      </c>
      <c r="K6174">
        <v>1.25</v>
      </c>
      <c r="L6174">
        <v>0.75</v>
      </c>
      <c r="M6174">
        <v>2.27</v>
      </c>
      <c r="N6174">
        <v>5.8000000000000003E-2</v>
      </c>
    </row>
    <row r="6175" spans="1:14" x14ac:dyDescent="0.25">
      <c r="A6175" t="s">
        <v>11096</v>
      </c>
      <c r="B6175" t="s">
        <v>9745</v>
      </c>
      <c r="C6175" s="1" t="str">
        <f>HYPERLINK("http://www.genecards.org/cgi-bin/carddisp.pl?gene=MR1","GeneCards")</f>
        <v>GeneCards</v>
      </c>
      <c r="D6175" s="1" t="str">
        <f>HYPERLINK("http://genome-euro.ucsc.edu/cgi-bin/hgTracks?position=210223_s_at","UCSC")</f>
        <v>UCSC</v>
      </c>
      <c r="E6175" s="1" t="str">
        <f>HYPERLINK("http://www.ncbi.nlm.nih.gov/gene/?term=MR1","NCBI")</f>
        <v>NCBI</v>
      </c>
      <c r="F6175">
        <v>6.9000000000000006E-2</v>
      </c>
      <c r="G6175">
        <v>0.19</v>
      </c>
      <c r="H6175" s="1" t="str">
        <f>HYPERLINK("http://www.weizmann.ac.il/complex/compphys/software/geview/data/figures/210223_s_at.png","Figure")</f>
        <v>Figure</v>
      </c>
      <c r="I6175">
        <v>1.24</v>
      </c>
      <c r="J6175">
        <v>5.8000000000000003E-2</v>
      </c>
      <c r="K6175">
        <v>1.1200000000000001</v>
      </c>
      <c r="L6175">
        <v>0.31</v>
      </c>
      <c r="M6175">
        <v>0.90100000000000002</v>
      </c>
      <c r="N6175">
        <v>0.41</v>
      </c>
    </row>
    <row r="6176" spans="1:14" x14ac:dyDescent="0.25">
      <c r="A6176" t="s">
        <v>11097</v>
      </c>
      <c r="B6176" t="s">
        <v>11098</v>
      </c>
      <c r="C6176" s="1" t="str">
        <f>HYPERLINK("http://www.genecards.org/cgi-bin/carddisp.pl?gene=DIMT1L","GeneCards")</f>
        <v>GeneCards</v>
      </c>
      <c r="D6176" s="1" t="str">
        <f>HYPERLINK("http://genome-euro.ucsc.edu/cgi-bin/hgTracks?position=210802_s_at","UCSC")</f>
        <v>UCSC</v>
      </c>
      <c r="E6176" s="1" t="str">
        <f>HYPERLINK("http://www.ncbi.nlm.nih.gov/gene/?term=DIMT1L","NCBI")</f>
        <v>NCBI</v>
      </c>
      <c r="F6176">
        <v>6.9000000000000006E-2</v>
      </c>
      <c r="G6176">
        <v>0.19</v>
      </c>
      <c r="H6176" s="1" t="str">
        <f>HYPERLINK("http://www.weizmann.ac.il/complex/compphys/software/geview/data/figures/210802_s_at.png","Figure")</f>
        <v>Figure</v>
      </c>
      <c r="I6176">
        <v>0.74399999999999999</v>
      </c>
      <c r="J6176">
        <v>0.15</v>
      </c>
      <c r="K6176">
        <v>1.05</v>
      </c>
      <c r="L6176">
        <v>0.93</v>
      </c>
      <c r="M6176">
        <v>1.41</v>
      </c>
      <c r="N6176">
        <v>6.6000000000000003E-2</v>
      </c>
    </row>
    <row r="6177" spans="1:14" x14ac:dyDescent="0.25">
      <c r="A6177" t="s">
        <v>11099</v>
      </c>
      <c r="B6177" t="s">
        <v>11100</v>
      </c>
      <c r="C6177" s="1" t="str">
        <f>HYPERLINK("http://www.genecards.org/cgi-bin/carddisp.pl?gene=ZC3H13","GeneCards")</f>
        <v>GeneCards</v>
      </c>
      <c r="D6177" s="1" t="str">
        <f>HYPERLINK("http://genome-euro.ucsc.edu/cgi-bin/hgTracks?position=212402_at","UCSC")</f>
        <v>UCSC</v>
      </c>
      <c r="E6177" s="1" t="str">
        <f>HYPERLINK("http://www.ncbi.nlm.nih.gov/gene/?term=ZC3H13","NCBI")</f>
        <v>NCBI</v>
      </c>
      <c r="F6177">
        <v>6.9000000000000006E-2</v>
      </c>
      <c r="G6177">
        <v>0.19</v>
      </c>
      <c r="H6177" s="1" t="str">
        <f>HYPERLINK("http://www.weizmann.ac.il/complex/compphys/software/geview/data/figures/212402_at.png","Figure")</f>
        <v>Figure</v>
      </c>
      <c r="I6177">
        <v>0.67500000000000004</v>
      </c>
      <c r="J6177">
        <v>0.27</v>
      </c>
      <c r="K6177">
        <v>1.2</v>
      </c>
      <c r="L6177">
        <v>0.66</v>
      </c>
      <c r="M6177">
        <v>1.78</v>
      </c>
      <c r="N6177">
        <v>5.7000000000000002E-2</v>
      </c>
    </row>
    <row r="6178" spans="1:14" x14ac:dyDescent="0.25">
      <c r="A6178" t="s">
        <v>11101</v>
      </c>
      <c r="B6178" t="s">
        <v>11102</v>
      </c>
      <c r="C6178" s="1" t="str">
        <f>HYPERLINK("http://www.genecards.org/cgi-bin/carddisp.pl?gene=C11orf60","GeneCards")</f>
        <v>GeneCards</v>
      </c>
      <c r="D6178" s="1" t="str">
        <f>HYPERLINK("http://genome-euro.ucsc.edu/cgi-bin/hgTracks?position=218483_s_at","UCSC")</f>
        <v>UCSC</v>
      </c>
      <c r="E6178" s="1" t="str">
        <f>HYPERLINK("http://www.ncbi.nlm.nih.gov/gene/?term=C11orf60","NCBI")</f>
        <v>NCBI</v>
      </c>
      <c r="F6178">
        <v>6.9000000000000006E-2</v>
      </c>
      <c r="G6178">
        <v>0.19</v>
      </c>
      <c r="H6178" s="1" t="str">
        <f>HYPERLINK("http://www.weizmann.ac.il/complex/compphys/software/geview/data/figures/218483_s_at.png","Figure")</f>
        <v>Figure</v>
      </c>
      <c r="I6178">
        <v>1.18</v>
      </c>
      <c r="J6178">
        <v>0.12</v>
      </c>
      <c r="K6178">
        <v>1.17</v>
      </c>
      <c r="L6178">
        <v>8.8999999999999996E-2</v>
      </c>
      <c r="M6178">
        <v>0.99099999999999999</v>
      </c>
      <c r="N6178">
        <v>0.99</v>
      </c>
    </row>
    <row r="6179" spans="1:14" x14ac:dyDescent="0.25">
      <c r="A6179" t="s">
        <v>11103</v>
      </c>
      <c r="B6179" t="s">
        <v>11104</v>
      </c>
      <c r="C6179" s="1" t="str">
        <f>HYPERLINK("http://www.genecards.org/cgi-bin/carddisp.pl?gene=MEAF6","GeneCards")</f>
        <v>GeneCards</v>
      </c>
      <c r="D6179" s="1" t="str">
        <f>HYPERLINK("http://genome-euro.ucsc.edu/cgi-bin/hgTracks?position=218165_at","UCSC")</f>
        <v>UCSC</v>
      </c>
      <c r="E6179" s="1" t="str">
        <f>HYPERLINK("http://www.ncbi.nlm.nih.gov/gene/?term=MEAF6","NCBI")</f>
        <v>NCBI</v>
      </c>
      <c r="F6179">
        <v>6.9000000000000006E-2</v>
      </c>
      <c r="G6179">
        <v>0.19</v>
      </c>
      <c r="H6179" s="1" t="str">
        <f>HYPERLINK("http://www.weizmann.ac.il/complex/compphys/software/geview/data/figures/218165_at.png","Figure")</f>
        <v>Figure</v>
      </c>
      <c r="I6179">
        <v>1.07</v>
      </c>
      <c r="J6179">
        <v>0.83</v>
      </c>
      <c r="K6179">
        <v>1.29</v>
      </c>
      <c r="L6179">
        <v>7.0000000000000007E-2</v>
      </c>
      <c r="M6179">
        <v>1.21</v>
      </c>
      <c r="N6179">
        <v>0.25</v>
      </c>
    </row>
    <row r="6180" spans="1:14" x14ac:dyDescent="0.25">
      <c r="A6180" t="s">
        <v>11105</v>
      </c>
      <c r="B6180" t="s">
        <v>11106</v>
      </c>
      <c r="C6180" s="1" t="str">
        <f>HYPERLINK("http://www.genecards.org/cgi-bin/carddisp.pl?gene=MMP23A /// MMP23B","GeneCards")</f>
        <v>GeneCards</v>
      </c>
      <c r="D6180" s="1" t="str">
        <f>HYPERLINK("http://genome-euro.ucsc.edu/cgi-bin/hgTracks?position=207118_s_at","UCSC")</f>
        <v>UCSC</v>
      </c>
      <c r="E6180" s="1" t="str">
        <f>HYPERLINK("http://www.ncbi.nlm.nih.gov/gene/?term=MMP23A /// MMP23B","NCBI")</f>
        <v>NCBI</v>
      </c>
      <c r="F6180">
        <v>6.9000000000000006E-2</v>
      </c>
      <c r="G6180">
        <v>0.19</v>
      </c>
      <c r="H6180" s="1" t="str">
        <f>HYPERLINK("http://www.weizmann.ac.il/complex/compphys/software/geview/data/figures/207118_s_at.png","Figure")</f>
        <v>Figure</v>
      </c>
      <c r="I6180">
        <v>1.05</v>
      </c>
      <c r="J6180">
        <v>0.14000000000000001</v>
      </c>
      <c r="K6180">
        <v>1.05</v>
      </c>
      <c r="L6180">
        <v>7.9000000000000001E-2</v>
      </c>
      <c r="M6180">
        <v>1</v>
      </c>
      <c r="N6180">
        <v>1</v>
      </c>
    </row>
    <row r="6181" spans="1:14" x14ac:dyDescent="0.25">
      <c r="A6181" t="s">
        <v>11107</v>
      </c>
      <c r="B6181" t="s">
        <v>11108</v>
      </c>
      <c r="C6181" s="1" t="str">
        <f>HYPERLINK("http://www.genecards.org/cgi-bin/carddisp.pl?gene=THOC6","GeneCards")</f>
        <v>GeneCards</v>
      </c>
      <c r="D6181" s="1" t="str">
        <f>HYPERLINK("http://genome-euro.ucsc.edu/cgi-bin/hgTracks?position=218848_at","UCSC")</f>
        <v>UCSC</v>
      </c>
      <c r="E6181" s="1" t="str">
        <f>HYPERLINK("http://www.ncbi.nlm.nih.gov/gene/?term=THOC6","NCBI")</f>
        <v>NCBI</v>
      </c>
      <c r="F6181">
        <v>6.9000000000000006E-2</v>
      </c>
      <c r="G6181">
        <v>0.19</v>
      </c>
      <c r="H6181" s="1" t="str">
        <f>HYPERLINK("http://www.weizmann.ac.il/complex/compphys/software/geview/data/figures/218848_at.png","Figure")</f>
        <v>Figure</v>
      </c>
      <c r="I6181">
        <v>0.86099999999999999</v>
      </c>
      <c r="J6181">
        <v>0.28000000000000003</v>
      </c>
      <c r="K6181">
        <v>1.08</v>
      </c>
      <c r="L6181">
        <v>0.64</v>
      </c>
      <c r="M6181">
        <v>1.25</v>
      </c>
      <c r="N6181">
        <v>5.7000000000000002E-2</v>
      </c>
    </row>
    <row r="6182" spans="1:14" x14ac:dyDescent="0.25">
      <c r="A6182" t="s">
        <v>11109</v>
      </c>
      <c r="B6182" t="s">
        <v>11110</v>
      </c>
      <c r="C6182" s="1" t="str">
        <f>HYPERLINK("http://www.genecards.org/cgi-bin/carddisp.pl?gene=MCL1","GeneCards")</f>
        <v>GeneCards</v>
      </c>
      <c r="D6182" s="1" t="str">
        <f>HYPERLINK("http://genome-euro.ucsc.edu/cgi-bin/hgTracks?position=200797_s_at","UCSC")</f>
        <v>UCSC</v>
      </c>
      <c r="E6182" s="1" t="str">
        <f>HYPERLINK("http://www.ncbi.nlm.nih.gov/gene/?term=MCL1","NCBI")</f>
        <v>NCBI</v>
      </c>
      <c r="F6182">
        <v>6.9000000000000006E-2</v>
      </c>
      <c r="G6182">
        <v>0.19</v>
      </c>
      <c r="H6182" s="1" t="str">
        <f>HYPERLINK("http://www.weizmann.ac.il/complex/compphys/software/geview/data/figures/200797_s_at.png","Figure")</f>
        <v>Figure</v>
      </c>
      <c r="I6182">
        <v>0.58599999999999997</v>
      </c>
      <c r="J6182">
        <v>0.14000000000000001</v>
      </c>
      <c r="K6182">
        <v>0.58499999999999996</v>
      </c>
      <c r="L6182">
        <v>8.1000000000000003E-2</v>
      </c>
      <c r="M6182">
        <v>0.998</v>
      </c>
      <c r="N6182">
        <v>1</v>
      </c>
    </row>
    <row r="6183" spans="1:14" x14ac:dyDescent="0.25">
      <c r="A6183" t="s">
        <v>11111</v>
      </c>
      <c r="B6183" t="s">
        <v>11112</v>
      </c>
      <c r="C6183" s="1" t="str">
        <f>HYPERLINK("http://www.genecards.org/cgi-bin/carddisp.pl?gene=MICALL1","GeneCards")</f>
        <v>GeneCards</v>
      </c>
      <c r="D6183" s="1" t="str">
        <f>HYPERLINK("http://genome-euro.ucsc.edu/cgi-bin/hgTracks?position=55081_at","UCSC")</f>
        <v>UCSC</v>
      </c>
      <c r="E6183" s="1" t="str">
        <f>HYPERLINK("http://www.ncbi.nlm.nih.gov/gene/?term=MICALL1","NCBI")</f>
        <v>NCBI</v>
      </c>
      <c r="F6183">
        <v>6.9000000000000006E-2</v>
      </c>
      <c r="G6183">
        <v>0.19</v>
      </c>
      <c r="H6183" s="1" t="str">
        <f>HYPERLINK("http://www.weizmann.ac.il/complex/compphys/software/geview/data/figures/55081_at.png","Figure")</f>
        <v>Figure</v>
      </c>
      <c r="I6183">
        <v>0.76600000000000001</v>
      </c>
      <c r="J6183">
        <v>0.12</v>
      </c>
      <c r="K6183">
        <v>1.01</v>
      </c>
      <c r="L6183">
        <v>0.99</v>
      </c>
      <c r="M6183">
        <v>1.32</v>
      </c>
      <c r="N6183">
        <v>7.5999999999999998E-2</v>
      </c>
    </row>
    <row r="6184" spans="1:14" x14ac:dyDescent="0.25">
      <c r="A6184" t="s">
        <v>11113</v>
      </c>
      <c r="B6184" t="s">
        <v>11114</v>
      </c>
      <c r="C6184" s="1" t="str">
        <f>HYPERLINK("http://www.genecards.org/cgi-bin/carddisp.pl?gene=POLRMT","GeneCards")</f>
        <v>GeneCards</v>
      </c>
      <c r="D6184" s="1" t="str">
        <f>HYPERLINK("http://genome-euro.ucsc.edu/cgi-bin/hgTracks?position=203783_x_at","UCSC")</f>
        <v>UCSC</v>
      </c>
      <c r="E6184" s="1" t="str">
        <f>HYPERLINK("http://www.ncbi.nlm.nih.gov/gene/?term=POLRMT","NCBI")</f>
        <v>NCBI</v>
      </c>
      <c r="F6184">
        <v>6.9000000000000006E-2</v>
      </c>
      <c r="G6184">
        <v>0.19</v>
      </c>
      <c r="H6184" s="1" t="str">
        <f>HYPERLINK("http://www.weizmann.ac.il/complex/compphys/software/geview/data/figures/203783_x_at.png","Figure")</f>
        <v>Figure</v>
      </c>
      <c r="I6184">
        <v>1.07</v>
      </c>
      <c r="J6184">
        <v>0.12</v>
      </c>
      <c r="K6184">
        <v>1.06</v>
      </c>
      <c r="L6184">
        <v>9.1999999999999998E-2</v>
      </c>
      <c r="M6184">
        <v>0.995</v>
      </c>
      <c r="N6184">
        <v>0.99</v>
      </c>
    </row>
    <row r="6185" spans="1:14" x14ac:dyDescent="0.25">
      <c r="A6185" t="s">
        <v>11115</v>
      </c>
      <c r="B6185" t="s">
        <v>11116</v>
      </c>
      <c r="C6185" s="1" t="str">
        <f>HYPERLINK("http://www.genecards.org/cgi-bin/carddisp.pl?gene=IKBKB","GeneCards")</f>
        <v>GeneCards</v>
      </c>
      <c r="D6185" s="1" t="str">
        <f>HYPERLINK("http://genome-euro.ucsc.edu/cgi-bin/hgTracks?position=209342_s_at","UCSC")</f>
        <v>UCSC</v>
      </c>
      <c r="E6185" s="1" t="str">
        <f>HYPERLINK("http://www.ncbi.nlm.nih.gov/gene/?term=IKBKB","NCBI")</f>
        <v>NCBI</v>
      </c>
      <c r="F6185">
        <v>6.9000000000000006E-2</v>
      </c>
      <c r="G6185">
        <v>0.19</v>
      </c>
      <c r="H6185" s="1" t="str">
        <f>HYPERLINK("http://www.weizmann.ac.il/complex/compphys/software/geview/data/figures/209342_s_at.png","Figure")</f>
        <v>Figure</v>
      </c>
      <c r="I6185">
        <v>1.02</v>
      </c>
      <c r="J6185">
        <v>0.98</v>
      </c>
      <c r="K6185">
        <v>1.17</v>
      </c>
      <c r="L6185">
        <v>0.09</v>
      </c>
      <c r="M6185">
        <v>1.1499999999999999</v>
      </c>
      <c r="N6185">
        <v>0.17</v>
      </c>
    </row>
    <row r="6186" spans="1:14" x14ac:dyDescent="0.25">
      <c r="A6186" t="s">
        <v>11117</v>
      </c>
      <c r="B6186" t="s">
        <v>11118</v>
      </c>
      <c r="C6186" s="1" t="str">
        <f>HYPERLINK("http://www.genecards.org/cgi-bin/carddisp.pl?gene=SLC12A4","GeneCards")</f>
        <v>GeneCards</v>
      </c>
      <c r="D6186" s="1" t="str">
        <f>HYPERLINK("http://genome-euro.ucsc.edu/cgi-bin/hgTracks?position=209402_s_at","UCSC")</f>
        <v>UCSC</v>
      </c>
      <c r="E6186" s="1" t="str">
        <f>HYPERLINK("http://www.ncbi.nlm.nih.gov/gene/?term=SLC12A4","NCBI")</f>
        <v>NCBI</v>
      </c>
      <c r="F6186">
        <v>6.9000000000000006E-2</v>
      </c>
      <c r="G6186">
        <v>0.19</v>
      </c>
      <c r="H6186" s="1" t="str">
        <f>HYPERLINK("http://www.weizmann.ac.il/complex/compphys/software/geview/data/figures/209402_s_at.png","Figure")</f>
        <v>Figure</v>
      </c>
      <c r="I6186">
        <v>1.31</v>
      </c>
      <c r="J6186">
        <v>5.7000000000000002E-2</v>
      </c>
      <c r="K6186">
        <v>1.1299999999999999</v>
      </c>
      <c r="L6186">
        <v>0.4</v>
      </c>
      <c r="M6186">
        <v>0.86299999999999999</v>
      </c>
      <c r="N6186">
        <v>0.33</v>
      </c>
    </row>
    <row r="6187" spans="1:14" x14ac:dyDescent="0.25">
      <c r="A6187" t="s">
        <v>11119</v>
      </c>
      <c r="B6187" t="s">
        <v>11120</v>
      </c>
      <c r="C6187" s="1" t="str">
        <f>HYPERLINK("http://www.genecards.org/cgi-bin/carddisp.pl?gene=SOX10","GeneCards")</f>
        <v>GeneCards</v>
      </c>
      <c r="D6187" s="1" t="str">
        <f>HYPERLINK("http://genome-euro.ucsc.edu/cgi-bin/hgTracks?position=209843_s_at","UCSC")</f>
        <v>UCSC</v>
      </c>
      <c r="E6187" s="1" t="str">
        <f>HYPERLINK("http://www.ncbi.nlm.nih.gov/gene/?term=SOX10","NCBI")</f>
        <v>NCBI</v>
      </c>
      <c r="F6187">
        <v>6.9000000000000006E-2</v>
      </c>
      <c r="G6187">
        <v>0.19</v>
      </c>
      <c r="H6187" s="1" t="str">
        <f>HYPERLINK("http://www.weizmann.ac.il/complex/compphys/software/geview/data/figures/209843_s_at.png","Figure")</f>
        <v>Figure</v>
      </c>
      <c r="I6187">
        <v>1.42</v>
      </c>
      <c r="J6187">
        <v>6.0999999999999999E-2</v>
      </c>
      <c r="K6187">
        <v>1.22</v>
      </c>
      <c r="L6187">
        <v>0.25</v>
      </c>
      <c r="M6187">
        <v>0.86299999999999999</v>
      </c>
      <c r="N6187">
        <v>0.51</v>
      </c>
    </row>
    <row r="6188" spans="1:14" x14ac:dyDescent="0.25">
      <c r="A6188" t="s">
        <v>11121</v>
      </c>
      <c r="B6188" t="s">
        <v>11122</v>
      </c>
      <c r="C6188" s="1" t="str">
        <f>HYPERLINK("http://www.genecards.org/cgi-bin/carddisp.pl?gene=GJC2","GeneCards")</f>
        <v>GeneCards</v>
      </c>
      <c r="D6188" s="1" t="str">
        <f>HYPERLINK("http://genome-euro.ucsc.edu/cgi-bin/hgTracks?position=214302_x_at","UCSC")</f>
        <v>UCSC</v>
      </c>
      <c r="E6188" s="1" t="str">
        <f>HYPERLINK("http://www.ncbi.nlm.nih.gov/gene/?term=GJC2","NCBI")</f>
        <v>NCBI</v>
      </c>
      <c r="F6188">
        <v>6.9000000000000006E-2</v>
      </c>
      <c r="G6188">
        <v>0.19</v>
      </c>
      <c r="H6188" s="1" t="str">
        <f>HYPERLINK("http://www.weizmann.ac.il/complex/compphys/software/geview/data/figures/214302_x_at.png","Figure")</f>
        <v>Figure</v>
      </c>
      <c r="I6188">
        <v>1.21</v>
      </c>
      <c r="J6188">
        <v>7.3999999999999996E-2</v>
      </c>
      <c r="K6188">
        <v>1.1499999999999999</v>
      </c>
      <c r="L6188">
        <v>0.16</v>
      </c>
      <c r="M6188">
        <v>0.94599999999999995</v>
      </c>
      <c r="N6188">
        <v>0.74</v>
      </c>
    </row>
    <row r="6189" spans="1:14" x14ac:dyDescent="0.25">
      <c r="A6189" t="s">
        <v>11123</v>
      </c>
      <c r="B6189" t="s">
        <v>11124</v>
      </c>
      <c r="C6189" s="1" t="str">
        <f>HYPERLINK("http://www.genecards.org/cgi-bin/carddisp.pl?gene=TAX1BP3","GeneCards")</f>
        <v>GeneCards</v>
      </c>
      <c r="D6189" s="1" t="str">
        <f>HYPERLINK("http://genome-euro.ucsc.edu/cgi-bin/hgTracks?position=215464_s_at","UCSC")</f>
        <v>UCSC</v>
      </c>
      <c r="E6189" s="1" t="str">
        <f>HYPERLINK("http://www.ncbi.nlm.nih.gov/gene/?term=TAX1BP3","NCBI")</f>
        <v>NCBI</v>
      </c>
      <c r="F6189">
        <v>6.9000000000000006E-2</v>
      </c>
      <c r="G6189">
        <v>0.19</v>
      </c>
      <c r="H6189" s="1" t="str">
        <f>HYPERLINK("http://www.weizmann.ac.il/complex/compphys/software/geview/data/figures/215464_s_at.png","Figure")</f>
        <v>Figure</v>
      </c>
      <c r="I6189">
        <v>1.04</v>
      </c>
      <c r="J6189">
        <v>0.95</v>
      </c>
      <c r="K6189">
        <v>1.32</v>
      </c>
      <c r="L6189">
        <v>8.4000000000000005E-2</v>
      </c>
      <c r="M6189">
        <v>1.26</v>
      </c>
      <c r="N6189">
        <v>0.19</v>
      </c>
    </row>
    <row r="6190" spans="1:14" x14ac:dyDescent="0.25">
      <c r="A6190" t="s">
        <v>11125</v>
      </c>
      <c r="B6190" t="s">
        <v>11126</v>
      </c>
      <c r="C6190" s="1" t="str">
        <f>HYPERLINK("http://www.genecards.org/cgi-bin/carddisp.pl?gene=YTHDF2","GeneCards")</f>
        <v>GeneCards</v>
      </c>
      <c r="D6190" s="1" t="str">
        <f>HYPERLINK("http://genome-euro.ucsc.edu/cgi-bin/hgTracks?position=217812_at","UCSC")</f>
        <v>UCSC</v>
      </c>
      <c r="E6190" s="1" t="str">
        <f>HYPERLINK("http://www.ncbi.nlm.nih.gov/gene/?term=YTHDF2","NCBI")</f>
        <v>NCBI</v>
      </c>
      <c r="F6190">
        <v>6.9000000000000006E-2</v>
      </c>
      <c r="G6190">
        <v>0.19</v>
      </c>
      <c r="H6190" s="1" t="str">
        <f>HYPERLINK("http://www.weizmann.ac.il/complex/compphys/software/geview/data/figures/217812_at.png","Figure")</f>
        <v>Figure</v>
      </c>
      <c r="I6190">
        <v>0.67100000000000004</v>
      </c>
      <c r="J6190">
        <v>0.22</v>
      </c>
      <c r="K6190">
        <v>0.61</v>
      </c>
      <c r="L6190">
        <v>6.4000000000000001E-2</v>
      </c>
      <c r="M6190">
        <v>0.91</v>
      </c>
      <c r="N6190">
        <v>0.9</v>
      </c>
    </row>
    <row r="6191" spans="1:14" x14ac:dyDescent="0.25">
      <c r="A6191" t="s">
        <v>11127</v>
      </c>
      <c r="B6191" t="s">
        <v>11128</v>
      </c>
      <c r="C6191" s="1" t="str">
        <f>HYPERLINK("http://www.genecards.org/cgi-bin/carddisp.pl?gene=TRPM6","GeneCards")</f>
        <v>GeneCards</v>
      </c>
      <c r="D6191" s="1" t="str">
        <f>HYPERLINK("http://genome-euro.ucsc.edu/cgi-bin/hgTracks?position=221102_s_at","UCSC")</f>
        <v>UCSC</v>
      </c>
      <c r="E6191" s="1" t="str">
        <f>HYPERLINK("http://www.ncbi.nlm.nih.gov/gene/?term=TRPM6","NCBI")</f>
        <v>NCBI</v>
      </c>
      <c r="F6191">
        <v>6.9000000000000006E-2</v>
      </c>
      <c r="G6191">
        <v>0.19</v>
      </c>
      <c r="H6191" s="1" t="str">
        <f>HYPERLINK("http://www.weizmann.ac.il/complex/compphys/software/geview/data/figures/221102_s_at.png","Figure")</f>
        <v>Figure</v>
      </c>
      <c r="I6191">
        <v>1.1000000000000001</v>
      </c>
      <c r="J6191">
        <v>0.47</v>
      </c>
      <c r="K6191">
        <v>0.90800000000000003</v>
      </c>
      <c r="L6191">
        <v>0.4</v>
      </c>
      <c r="M6191">
        <v>0.82199999999999995</v>
      </c>
      <c r="N6191">
        <v>0.06</v>
      </c>
    </row>
    <row r="6192" spans="1:14" x14ac:dyDescent="0.25">
      <c r="A6192" t="s">
        <v>11129</v>
      </c>
      <c r="B6192" t="s">
        <v>11130</v>
      </c>
      <c r="C6192" s="1" t="str">
        <f>HYPERLINK("http://www.genecards.org/cgi-bin/carddisp.pl?gene=TIMM17A","GeneCards")</f>
        <v>GeneCards</v>
      </c>
      <c r="D6192" s="1" t="str">
        <f>HYPERLINK("http://genome-euro.ucsc.edu/cgi-bin/hgTracks?position=215171_s_at","UCSC")</f>
        <v>UCSC</v>
      </c>
      <c r="E6192" s="1" t="str">
        <f>HYPERLINK("http://www.ncbi.nlm.nih.gov/gene/?term=TIMM17A","NCBI")</f>
        <v>NCBI</v>
      </c>
      <c r="F6192">
        <v>6.9000000000000006E-2</v>
      </c>
      <c r="G6192">
        <v>0.19</v>
      </c>
      <c r="H6192" s="1" t="str">
        <f>HYPERLINK("http://www.weizmann.ac.il/complex/compphys/software/geview/data/figures/215171_s_at.png","Figure")</f>
        <v>Figure</v>
      </c>
      <c r="I6192">
        <v>1.62</v>
      </c>
      <c r="J6192">
        <v>9.9000000000000005E-2</v>
      </c>
      <c r="K6192">
        <v>1.02</v>
      </c>
      <c r="L6192">
        <v>1</v>
      </c>
      <c r="M6192">
        <v>0.627</v>
      </c>
      <c r="N6192">
        <v>8.6999999999999994E-2</v>
      </c>
    </row>
    <row r="6193" spans="1:14" x14ac:dyDescent="0.25">
      <c r="A6193" t="s">
        <v>11131</v>
      </c>
      <c r="B6193" t="s">
        <v>11132</v>
      </c>
      <c r="C6193" s="1" t="str">
        <f>HYPERLINK("http://www.genecards.org/cgi-bin/carddisp.pl?gene=LMF1","GeneCards")</f>
        <v>GeneCards</v>
      </c>
      <c r="D6193" s="1" t="str">
        <f>HYPERLINK("http://genome-euro.ucsc.edu/cgi-bin/hgTracks?position=219136_s_at","UCSC")</f>
        <v>UCSC</v>
      </c>
      <c r="E6193" s="1" t="str">
        <f>HYPERLINK("http://www.ncbi.nlm.nih.gov/gene/?term=LMF1","NCBI")</f>
        <v>NCBI</v>
      </c>
      <c r="F6193">
        <v>6.9000000000000006E-2</v>
      </c>
      <c r="G6193">
        <v>0.19</v>
      </c>
      <c r="H6193" s="1" t="str">
        <f>HYPERLINK("http://www.weizmann.ac.il/complex/compphys/software/geview/data/figures/219136_s_at.png","Figure")</f>
        <v>Figure</v>
      </c>
      <c r="I6193">
        <v>1.52</v>
      </c>
      <c r="J6193">
        <v>8.6999999999999994E-2</v>
      </c>
      <c r="K6193">
        <v>1.39</v>
      </c>
      <c r="L6193">
        <v>0.12</v>
      </c>
      <c r="M6193">
        <v>0.91800000000000004</v>
      </c>
      <c r="N6193">
        <v>0.87</v>
      </c>
    </row>
    <row r="6194" spans="1:14" x14ac:dyDescent="0.25">
      <c r="A6194" t="s">
        <v>11133</v>
      </c>
      <c r="B6194" t="s">
        <v>11134</v>
      </c>
      <c r="C6194" s="1" t="str">
        <f>HYPERLINK("http://www.genecards.org/cgi-bin/carddisp.pl?gene=KNTC1","GeneCards")</f>
        <v>GeneCards</v>
      </c>
      <c r="D6194" s="1" t="str">
        <f>HYPERLINK("http://genome-euro.ucsc.edu/cgi-bin/hgTracks?position=206316_s_at","UCSC")</f>
        <v>UCSC</v>
      </c>
      <c r="E6194" s="1" t="str">
        <f>HYPERLINK("http://www.ncbi.nlm.nih.gov/gene/?term=KNTC1","NCBI")</f>
        <v>NCBI</v>
      </c>
      <c r="F6194">
        <v>7.0000000000000007E-2</v>
      </c>
      <c r="G6194">
        <v>0.19</v>
      </c>
      <c r="H6194" s="1" t="str">
        <f>HYPERLINK("http://www.weizmann.ac.il/complex/compphys/software/geview/data/figures/206316_s_at.png","Figure")</f>
        <v>Figure</v>
      </c>
      <c r="I6194">
        <v>1.1100000000000001</v>
      </c>
      <c r="J6194">
        <v>0.9</v>
      </c>
      <c r="K6194">
        <v>0.66200000000000003</v>
      </c>
      <c r="L6194">
        <v>0.16</v>
      </c>
      <c r="M6194">
        <v>0.59499999999999997</v>
      </c>
      <c r="N6194">
        <v>9.1999999999999998E-2</v>
      </c>
    </row>
    <row r="6195" spans="1:14" x14ac:dyDescent="0.25">
      <c r="A6195" t="s">
        <v>11135</v>
      </c>
      <c r="B6195" t="s">
        <v>4601</v>
      </c>
      <c r="C6195" s="1" t="str">
        <f>HYPERLINK("http://www.genecards.org/cgi-bin/carddisp.pl?gene=MED12","GeneCards")</f>
        <v>GeneCards</v>
      </c>
      <c r="D6195" s="1" t="str">
        <f>HYPERLINK("http://genome-euro.ucsc.edu/cgi-bin/hgTracks?position=214275_at","UCSC")</f>
        <v>UCSC</v>
      </c>
      <c r="E6195" s="1" t="str">
        <f>HYPERLINK("http://www.ncbi.nlm.nih.gov/gene/?term=MED12","NCBI")</f>
        <v>NCBI</v>
      </c>
      <c r="F6195">
        <v>7.0000000000000007E-2</v>
      </c>
      <c r="G6195">
        <v>0.19</v>
      </c>
      <c r="H6195" s="1" t="str">
        <f>HYPERLINK("http://www.weizmann.ac.il/complex/compphys/software/geview/data/figures/214275_at.png","Figure")</f>
        <v>Figure</v>
      </c>
      <c r="I6195">
        <v>1.1100000000000001</v>
      </c>
      <c r="J6195">
        <v>0.11</v>
      </c>
      <c r="K6195">
        <v>0.998</v>
      </c>
      <c r="L6195">
        <v>1</v>
      </c>
      <c r="M6195">
        <v>0.89600000000000002</v>
      </c>
      <c r="N6195">
        <v>7.9000000000000001E-2</v>
      </c>
    </row>
    <row r="6196" spans="1:14" x14ac:dyDescent="0.25">
      <c r="A6196" t="s">
        <v>11136</v>
      </c>
      <c r="B6196" t="s">
        <v>11137</v>
      </c>
      <c r="C6196" s="1" t="str">
        <f>HYPERLINK("http://www.genecards.org/cgi-bin/carddisp.pl?gene=MRTO4","GeneCards")</f>
        <v>GeneCards</v>
      </c>
      <c r="D6196" s="1" t="str">
        <f>HYPERLINK("http://genome-euro.ucsc.edu/cgi-bin/hgTracks?position=220688_s_at","UCSC")</f>
        <v>UCSC</v>
      </c>
      <c r="E6196" s="1" t="str">
        <f>HYPERLINK("http://www.ncbi.nlm.nih.gov/gene/?term=MRTO4","NCBI")</f>
        <v>NCBI</v>
      </c>
      <c r="F6196">
        <v>7.0000000000000007E-2</v>
      </c>
      <c r="G6196">
        <v>0.19</v>
      </c>
      <c r="H6196" s="1" t="str">
        <f>HYPERLINK("http://www.weizmann.ac.il/complex/compphys/software/geview/data/figures/220688_s_at.png","Figure")</f>
        <v>Figure</v>
      </c>
      <c r="I6196">
        <v>1.07</v>
      </c>
      <c r="J6196">
        <v>0.9</v>
      </c>
      <c r="K6196">
        <v>1.41</v>
      </c>
      <c r="L6196">
        <v>7.6999999999999999E-2</v>
      </c>
      <c r="M6196">
        <v>1.31</v>
      </c>
      <c r="N6196">
        <v>0.22</v>
      </c>
    </row>
    <row r="6197" spans="1:14" x14ac:dyDescent="0.25">
      <c r="A6197" t="s">
        <v>11138</v>
      </c>
      <c r="B6197" t="s">
        <v>11139</v>
      </c>
      <c r="C6197" s="1" t="str">
        <f>HYPERLINK("http://www.genecards.org/cgi-bin/carddisp.pl?gene=PHF8","GeneCards")</f>
        <v>GeneCards</v>
      </c>
      <c r="D6197" s="1" t="str">
        <f>HYPERLINK("http://genome-euro.ucsc.edu/cgi-bin/hgTracks?position=215065_at","UCSC")</f>
        <v>UCSC</v>
      </c>
      <c r="E6197" s="1" t="str">
        <f>HYPERLINK("http://www.ncbi.nlm.nih.gov/gene/?term=PHF8","NCBI")</f>
        <v>NCBI</v>
      </c>
      <c r="F6197">
        <v>7.0000000000000007E-2</v>
      </c>
      <c r="G6197">
        <v>0.19</v>
      </c>
      <c r="H6197" s="1" t="str">
        <f>HYPERLINK("http://www.weizmann.ac.il/complex/compphys/software/geview/data/figures/215065_at.png","Figure")</f>
        <v>Figure</v>
      </c>
      <c r="I6197">
        <v>1.02</v>
      </c>
      <c r="J6197">
        <v>0.89</v>
      </c>
      <c r="K6197">
        <v>0.91700000000000004</v>
      </c>
      <c r="L6197">
        <v>0.17</v>
      </c>
      <c r="M6197">
        <v>0.89600000000000002</v>
      </c>
      <c r="N6197">
        <v>9.0999999999999998E-2</v>
      </c>
    </row>
    <row r="6198" spans="1:14" x14ac:dyDescent="0.25">
      <c r="A6198" t="s">
        <v>11140</v>
      </c>
      <c r="B6198" t="s">
        <v>11141</v>
      </c>
      <c r="C6198" s="1" t="str">
        <f>HYPERLINK("http://www.genecards.org/cgi-bin/carddisp.pl?gene=SGK269","GeneCards")</f>
        <v>GeneCards</v>
      </c>
      <c r="D6198" s="1" t="str">
        <f>HYPERLINK("http://genome-euro.ucsc.edu/cgi-bin/hgTracks?position=220008_at","UCSC")</f>
        <v>UCSC</v>
      </c>
      <c r="E6198" s="1" t="str">
        <f>HYPERLINK("http://www.ncbi.nlm.nih.gov/gene/?term=SGK269","NCBI")</f>
        <v>NCBI</v>
      </c>
      <c r="F6198">
        <v>7.0000000000000007E-2</v>
      </c>
      <c r="G6198">
        <v>0.19</v>
      </c>
      <c r="H6198" s="1" t="str">
        <f>HYPERLINK("http://www.weizmann.ac.il/complex/compphys/software/geview/data/figures/220008_at.png","Figure")</f>
        <v>Figure</v>
      </c>
      <c r="I6198">
        <v>1.24</v>
      </c>
      <c r="J6198">
        <v>8.4000000000000005E-2</v>
      </c>
      <c r="K6198">
        <v>1.02</v>
      </c>
      <c r="L6198">
        <v>0.95</v>
      </c>
      <c r="M6198">
        <v>0.82499999999999996</v>
      </c>
      <c r="N6198">
        <v>0.1</v>
      </c>
    </row>
    <row r="6199" spans="1:14" x14ac:dyDescent="0.25">
      <c r="A6199" t="s">
        <v>11142</v>
      </c>
      <c r="B6199" t="s">
        <v>11143</v>
      </c>
      <c r="C6199" s="1" t="str">
        <f>HYPERLINK("http://www.genecards.org/cgi-bin/carddisp.pl?gene=PBX2","GeneCards")</f>
        <v>GeneCards</v>
      </c>
      <c r="D6199" s="1" t="str">
        <f>HYPERLINK("http://genome-euro.ucsc.edu/cgi-bin/hgTracks?position=211096_at","UCSC")</f>
        <v>UCSC</v>
      </c>
      <c r="E6199" s="1" t="str">
        <f>HYPERLINK("http://www.ncbi.nlm.nih.gov/gene/?term=PBX2","NCBI")</f>
        <v>NCBI</v>
      </c>
      <c r="F6199">
        <v>7.0000000000000007E-2</v>
      </c>
      <c r="G6199">
        <v>0.19</v>
      </c>
      <c r="H6199" s="1" t="str">
        <f>HYPERLINK("http://www.weizmann.ac.il/complex/compphys/software/geview/data/figures/211096_at.png","Figure")</f>
        <v>Figure</v>
      </c>
      <c r="I6199">
        <v>1.26</v>
      </c>
      <c r="J6199">
        <v>5.8000000000000003E-2</v>
      </c>
      <c r="K6199">
        <v>1.0900000000000001</v>
      </c>
      <c r="L6199">
        <v>0.54</v>
      </c>
      <c r="M6199">
        <v>0.86299999999999999</v>
      </c>
      <c r="N6199">
        <v>0.23</v>
      </c>
    </row>
    <row r="6200" spans="1:14" x14ac:dyDescent="0.25">
      <c r="A6200" t="s">
        <v>11144</v>
      </c>
      <c r="B6200" t="s">
        <v>10898</v>
      </c>
      <c r="C6200" s="1" t="str">
        <f>HYPERLINK("http://www.genecards.org/cgi-bin/carddisp.pl?gene=SR140","GeneCards")</f>
        <v>GeneCards</v>
      </c>
      <c r="D6200" s="1" t="str">
        <f>HYPERLINK("http://genome-euro.ucsc.edu/cgi-bin/hgTracks?position=212060_at","UCSC")</f>
        <v>UCSC</v>
      </c>
      <c r="E6200" s="1" t="str">
        <f>HYPERLINK("http://www.ncbi.nlm.nih.gov/gene/?term=SR140","NCBI")</f>
        <v>NCBI</v>
      </c>
      <c r="F6200">
        <v>7.0000000000000007E-2</v>
      </c>
      <c r="G6200">
        <v>0.19</v>
      </c>
      <c r="H6200" s="1" t="str">
        <f>HYPERLINK("http://www.weizmann.ac.il/complex/compphys/software/geview/data/figures/212060_at.png","Figure")</f>
        <v>Figure</v>
      </c>
      <c r="I6200">
        <v>0.72399999999999998</v>
      </c>
      <c r="J6200">
        <v>0.4</v>
      </c>
      <c r="K6200">
        <v>0.58199999999999996</v>
      </c>
      <c r="L6200">
        <v>5.7000000000000002E-2</v>
      </c>
      <c r="M6200">
        <v>0.80400000000000005</v>
      </c>
      <c r="N6200">
        <v>0.61</v>
      </c>
    </row>
    <row r="6201" spans="1:14" x14ac:dyDescent="0.25">
      <c r="A6201" t="s">
        <v>11145</v>
      </c>
      <c r="B6201" t="s">
        <v>11146</v>
      </c>
      <c r="C6201" s="1" t="str">
        <f>HYPERLINK("http://www.genecards.org/cgi-bin/carddisp.pl?gene=FCF1","GeneCards")</f>
        <v>GeneCards</v>
      </c>
      <c r="D6201" s="1" t="str">
        <f>HYPERLINK("http://genome-euro.ucsc.edu/cgi-bin/hgTracks?position=215567_at","UCSC")</f>
        <v>UCSC</v>
      </c>
      <c r="E6201" s="1" t="str">
        <f>HYPERLINK("http://www.ncbi.nlm.nih.gov/gene/?term=FCF1","NCBI")</f>
        <v>NCBI</v>
      </c>
      <c r="F6201">
        <v>7.0000000000000007E-2</v>
      </c>
      <c r="G6201">
        <v>0.19</v>
      </c>
      <c r="H6201" s="1" t="str">
        <f>HYPERLINK("http://www.weizmann.ac.il/complex/compphys/software/geview/data/figures/215567_at.png","Figure")</f>
        <v>Figure</v>
      </c>
      <c r="I6201">
        <v>0.59</v>
      </c>
      <c r="J6201">
        <v>0.31</v>
      </c>
      <c r="K6201">
        <v>0.46200000000000002</v>
      </c>
      <c r="L6201">
        <v>5.8000000000000003E-2</v>
      </c>
      <c r="M6201">
        <v>0.78300000000000003</v>
      </c>
      <c r="N6201">
        <v>0.73</v>
      </c>
    </row>
    <row r="6202" spans="1:14" x14ac:dyDescent="0.25">
      <c r="A6202" t="s">
        <v>11147</v>
      </c>
      <c r="B6202" t="s">
        <v>11148</v>
      </c>
      <c r="C6202" s="1" t="str">
        <f>HYPERLINK("http://www.genecards.org/cgi-bin/carddisp.pl?gene=RRAGC","GeneCards")</f>
        <v>GeneCards</v>
      </c>
      <c r="D6202" s="1" t="str">
        <f>HYPERLINK("http://genome-euro.ucsc.edu/cgi-bin/hgTracks?position=218088_s_at","UCSC")</f>
        <v>UCSC</v>
      </c>
      <c r="E6202" s="1" t="str">
        <f>HYPERLINK("http://www.ncbi.nlm.nih.gov/gene/?term=RRAGC","NCBI")</f>
        <v>NCBI</v>
      </c>
      <c r="F6202">
        <v>7.0000000000000007E-2</v>
      </c>
      <c r="G6202">
        <v>0.19</v>
      </c>
      <c r="H6202" s="1" t="str">
        <f>HYPERLINK("http://www.weizmann.ac.il/complex/compphys/software/geview/data/figures/218088_s_at.png","Figure")</f>
        <v>Figure</v>
      </c>
      <c r="I6202">
        <v>1.1399999999999999</v>
      </c>
      <c r="J6202">
        <v>0.79</v>
      </c>
      <c r="K6202">
        <v>0.73399999999999999</v>
      </c>
      <c r="L6202">
        <v>0.21</v>
      </c>
      <c r="M6202">
        <v>0.64600000000000002</v>
      </c>
      <c r="N6202">
        <v>7.9000000000000001E-2</v>
      </c>
    </row>
    <row r="6203" spans="1:14" x14ac:dyDescent="0.25">
      <c r="A6203" t="s">
        <v>11149</v>
      </c>
      <c r="B6203" t="s">
        <v>11150</v>
      </c>
      <c r="C6203" s="1" t="str">
        <f>HYPERLINK("http://www.genecards.org/cgi-bin/carddisp.pl?gene=LUC7L","GeneCards")</f>
        <v>GeneCards</v>
      </c>
      <c r="D6203" s="1" t="str">
        <f>HYPERLINK("http://genome-euro.ucsc.edu/cgi-bin/hgTracks?position=220143_x_at","UCSC")</f>
        <v>UCSC</v>
      </c>
      <c r="E6203" s="1" t="str">
        <f>HYPERLINK("http://www.ncbi.nlm.nih.gov/gene/?term=LUC7L","NCBI")</f>
        <v>NCBI</v>
      </c>
      <c r="F6203">
        <v>7.0000000000000007E-2</v>
      </c>
      <c r="G6203">
        <v>0.19</v>
      </c>
      <c r="H6203" s="1" t="str">
        <f>HYPERLINK("http://www.weizmann.ac.il/complex/compphys/software/geview/data/figures/220143_x_at.png","Figure")</f>
        <v>Figure</v>
      </c>
      <c r="I6203">
        <v>1.19</v>
      </c>
      <c r="J6203">
        <v>0.28999999999999998</v>
      </c>
      <c r="K6203">
        <v>0.91300000000000003</v>
      </c>
      <c r="L6203">
        <v>0.63</v>
      </c>
      <c r="M6203">
        <v>0.76600000000000001</v>
      </c>
      <c r="N6203">
        <v>5.7000000000000002E-2</v>
      </c>
    </row>
    <row r="6204" spans="1:14" x14ac:dyDescent="0.25">
      <c r="A6204" t="s">
        <v>11151</v>
      </c>
      <c r="B6204" t="s">
        <v>6051</v>
      </c>
      <c r="C6204" s="1" t="str">
        <f>HYPERLINK("http://www.genecards.org/cgi-bin/carddisp.pl?gene=PPP3CB","GeneCards")</f>
        <v>GeneCards</v>
      </c>
      <c r="D6204" s="1" t="str">
        <f>HYPERLINK("http://genome-euro.ucsc.edu/cgi-bin/hgTracks?position=202432_at","UCSC")</f>
        <v>UCSC</v>
      </c>
      <c r="E6204" s="1" t="str">
        <f>HYPERLINK("http://www.ncbi.nlm.nih.gov/gene/?term=PPP3CB","NCBI")</f>
        <v>NCBI</v>
      </c>
      <c r="F6204">
        <v>7.0000000000000007E-2</v>
      </c>
      <c r="G6204">
        <v>0.19</v>
      </c>
      <c r="H6204" s="1" t="str">
        <f>HYPERLINK("http://www.weizmann.ac.il/complex/compphys/software/geview/data/figures/202432_at.png","Figure")</f>
        <v>Figure</v>
      </c>
      <c r="I6204">
        <v>0.75600000000000001</v>
      </c>
      <c r="J6204">
        <v>0.54</v>
      </c>
      <c r="K6204">
        <v>1.39</v>
      </c>
      <c r="L6204">
        <v>0.34</v>
      </c>
      <c r="M6204">
        <v>1.84</v>
      </c>
      <c r="N6204">
        <v>6.3E-2</v>
      </c>
    </row>
    <row r="6205" spans="1:14" x14ac:dyDescent="0.25">
      <c r="A6205" t="s">
        <v>11152</v>
      </c>
      <c r="B6205" t="s">
        <v>11153</v>
      </c>
      <c r="C6205" s="1" t="str">
        <f>HYPERLINK("http://www.genecards.org/cgi-bin/carddisp.pl?gene=SETBP1","GeneCards")</f>
        <v>GeneCards</v>
      </c>
      <c r="D6205" s="1" t="str">
        <f>HYPERLINK("http://genome-euro.ucsc.edu/cgi-bin/hgTracks?position=205933_at","UCSC")</f>
        <v>UCSC</v>
      </c>
      <c r="E6205" s="1" t="str">
        <f>HYPERLINK("http://www.ncbi.nlm.nih.gov/gene/?term=SETBP1","NCBI")</f>
        <v>NCBI</v>
      </c>
      <c r="F6205">
        <v>7.0000000000000007E-2</v>
      </c>
      <c r="G6205">
        <v>0.19</v>
      </c>
      <c r="H6205" s="1" t="str">
        <f>HYPERLINK("http://www.weizmann.ac.il/complex/compphys/software/geview/data/figures/205933_at.png","Figure")</f>
        <v>Figure</v>
      </c>
      <c r="I6205">
        <v>0.35</v>
      </c>
      <c r="J6205">
        <v>8.4000000000000005E-2</v>
      </c>
      <c r="K6205">
        <v>0.88600000000000001</v>
      </c>
      <c r="L6205">
        <v>0.95</v>
      </c>
      <c r="M6205">
        <v>2.5299999999999998</v>
      </c>
      <c r="N6205">
        <v>0.1</v>
      </c>
    </row>
    <row r="6206" spans="1:14" x14ac:dyDescent="0.25">
      <c r="A6206" t="s">
        <v>11154</v>
      </c>
      <c r="B6206" t="s">
        <v>11155</v>
      </c>
      <c r="C6206" s="1" t="str">
        <f>HYPERLINK("http://www.genecards.org/cgi-bin/carddisp.pl?gene=GPR44","GeneCards")</f>
        <v>GeneCards</v>
      </c>
      <c r="D6206" s="1" t="str">
        <f>HYPERLINK("http://genome-euro.ucsc.edu/cgi-bin/hgTracks?position=206361_at","UCSC")</f>
        <v>UCSC</v>
      </c>
      <c r="E6206" s="1" t="str">
        <f>HYPERLINK("http://www.ncbi.nlm.nih.gov/gene/?term=GPR44","NCBI")</f>
        <v>NCBI</v>
      </c>
      <c r="F6206">
        <v>7.0000000000000007E-2</v>
      </c>
      <c r="G6206">
        <v>0.19</v>
      </c>
      <c r="H6206" s="1" t="str">
        <f>HYPERLINK("http://www.weizmann.ac.il/complex/compphys/software/geview/data/figures/206361_at.png","Figure")</f>
        <v>Figure</v>
      </c>
      <c r="I6206">
        <v>1.1000000000000001</v>
      </c>
      <c r="J6206">
        <v>0.26</v>
      </c>
      <c r="K6206">
        <v>0.95699999999999996</v>
      </c>
      <c r="L6206">
        <v>0.67</v>
      </c>
      <c r="M6206">
        <v>0.87</v>
      </c>
      <c r="N6206">
        <v>5.8000000000000003E-2</v>
      </c>
    </row>
    <row r="6207" spans="1:14" x14ac:dyDescent="0.25">
      <c r="A6207" t="s">
        <v>11156</v>
      </c>
      <c r="B6207" t="s">
        <v>11157</v>
      </c>
      <c r="C6207" s="1" t="str">
        <f>HYPERLINK("http://www.genecards.org/cgi-bin/carddisp.pl?gene=ABI1","GeneCards")</f>
        <v>GeneCards</v>
      </c>
      <c r="D6207" s="1" t="str">
        <f>HYPERLINK("http://genome-euro.ucsc.edu/cgi-bin/hgTracks?position=209028_s_at","UCSC")</f>
        <v>UCSC</v>
      </c>
      <c r="E6207" s="1" t="str">
        <f>HYPERLINK("http://www.ncbi.nlm.nih.gov/gene/?term=ABI1","NCBI")</f>
        <v>NCBI</v>
      </c>
      <c r="F6207">
        <v>7.0000000000000007E-2</v>
      </c>
      <c r="G6207">
        <v>0.19</v>
      </c>
      <c r="H6207" s="1" t="str">
        <f>HYPERLINK("http://www.weizmann.ac.il/complex/compphys/software/geview/data/figures/209028_s_at.png","Figure")</f>
        <v>Figure</v>
      </c>
      <c r="I6207">
        <v>0.63600000000000001</v>
      </c>
      <c r="J6207">
        <v>0.21</v>
      </c>
      <c r="K6207">
        <v>0.57899999999999996</v>
      </c>
      <c r="L6207">
        <v>6.5000000000000002E-2</v>
      </c>
      <c r="M6207">
        <v>0.90900000000000003</v>
      </c>
      <c r="N6207">
        <v>0.91</v>
      </c>
    </row>
    <row r="6208" spans="1:14" x14ac:dyDescent="0.25">
      <c r="A6208" t="s">
        <v>11158</v>
      </c>
      <c r="B6208" t="s">
        <v>11159</v>
      </c>
      <c r="C6208" s="1" t="str">
        <f>HYPERLINK("http://www.genecards.org/cgi-bin/carddisp.pl?gene=SDCCAG3","GeneCards")</f>
        <v>GeneCards</v>
      </c>
      <c r="D6208" s="1" t="str">
        <f>HYPERLINK("http://genome-euro.ucsc.edu/cgi-bin/hgTracks?position=218427_at","UCSC")</f>
        <v>UCSC</v>
      </c>
      <c r="E6208" s="1" t="str">
        <f>HYPERLINK("http://www.ncbi.nlm.nih.gov/gene/?term=SDCCAG3","NCBI")</f>
        <v>NCBI</v>
      </c>
      <c r="F6208">
        <v>7.0000000000000007E-2</v>
      </c>
      <c r="G6208">
        <v>0.19</v>
      </c>
      <c r="H6208" s="1" t="str">
        <f>HYPERLINK("http://www.weizmann.ac.il/complex/compphys/software/geview/data/figures/218427_at.png","Figure")</f>
        <v>Figure</v>
      </c>
      <c r="I6208">
        <v>0.82499999999999996</v>
      </c>
      <c r="J6208">
        <v>0.38</v>
      </c>
      <c r="K6208">
        <v>1.1499999999999999</v>
      </c>
      <c r="L6208">
        <v>0.49</v>
      </c>
      <c r="M6208">
        <v>1.4</v>
      </c>
      <c r="N6208">
        <v>5.8000000000000003E-2</v>
      </c>
    </row>
    <row r="6209" spans="1:14" x14ac:dyDescent="0.25">
      <c r="A6209" t="s">
        <v>11160</v>
      </c>
      <c r="B6209" t="s">
        <v>4531</v>
      </c>
      <c r="C6209" s="1" t="str">
        <f>HYPERLINK("http://www.genecards.org/cgi-bin/carddisp.pl?gene=HBE1","GeneCards")</f>
        <v>GeneCards</v>
      </c>
      <c r="D6209" s="1" t="str">
        <f>HYPERLINK("http://genome-euro.ucsc.edu/cgi-bin/hgTracks?position=205919_at","UCSC")</f>
        <v>UCSC</v>
      </c>
      <c r="E6209" s="1" t="str">
        <f>HYPERLINK("http://www.ncbi.nlm.nih.gov/gene/?term=HBE1","NCBI")</f>
        <v>NCBI</v>
      </c>
      <c r="F6209">
        <v>7.0000000000000007E-2</v>
      </c>
      <c r="G6209">
        <v>0.19</v>
      </c>
      <c r="H6209" s="1" t="str">
        <f>HYPERLINK("http://www.weizmann.ac.il/complex/compphys/software/geview/data/figures/205919_at.png","Figure")</f>
        <v>Figure</v>
      </c>
      <c r="I6209">
        <v>1.3</v>
      </c>
      <c r="J6209">
        <v>0.06</v>
      </c>
      <c r="K6209">
        <v>1.0900000000000001</v>
      </c>
      <c r="L6209">
        <v>0.59</v>
      </c>
      <c r="M6209">
        <v>0.84099999999999997</v>
      </c>
      <c r="N6209">
        <v>0.21</v>
      </c>
    </row>
    <row r="6210" spans="1:14" x14ac:dyDescent="0.25">
      <c r="A6210" t="s">
        <v>11161</v>
      </c>
      <c r="B6210" t="s">
        <v>4895</v>
      </c>
      <c r="C6210" s="1" t="str">
        <f>HYPERLINK("http://www.genecards.org/cgi-bin/carddisp.pl?gene=DGCR14","GeneCards")</f>
        <v>GeneCards</v>
      </c>
      <c r="D6210" s="1" t="str">
        <f>HYPERLINK("http://genome-euro.ucsc.edu/cgi-bin/hgTracks?position=216285_at","UCSC")</f>
        <v>UCSC</v>
      </c>
      <c r="E6210" s="1" t="str">
        <f>HYPERLINK("http://www.ncbi.nlm.nih.gov/gene/?term=DGCR14","NCBI")</f>
        <v>NCBI</v>
      </c>
      <c r="F6210">
        <v>7.0000000000000007E-2</v>
      </c>
      <c r="G6210">
        <v>0.19</v>
      </c>
      <c r="H6210" s="1" t="str">
        <f>HYPERLINK("http://www.weizmann.ac.il/complex/compphys/software/geview/data/figures/216285_at.png","Figure")</f>
        <v>Figure</v>
      </c>
      <c r="I6210">
        <v>1.21</v>
      </c>
      <c r="J6210">
        <v>7.3999999999999996E-2</v>
      </c>
      <c r="K6210">
        <v>1.04</v>
      </c>
      <c r="L6210">
        <v>0.87</v>
      </c>
      <c r="M6210">
        <v>0.85399999999999998</v>
      </c>
      <c r="N6210">
        <v>0.12</v>
      </c>
    </row>
    <row r="6211" spans="1:14" x14ac:dyDescent="0.25">
      <c r="A6211" t="s">
        <v>11162</v>
      </c>
      <c r="B6211" t="s">
        <v>11163</v>
      </c>
      <c r="C6211" s="1" t="str">
        <f>HYPERLINK("http://www.genecards.org/cgi-bin/carddisp.pl?gene=SDCCAG1","GeneCards")</f>
        <v>GeneCards</v>
      </c>
      <c r="D6211" s="1" t="str">
        <f>HYPERLINK("http://genome-euro.ucsc.edu/cgi-bin/hgTracks?position=218649_x_at","UCSC")</f>
        <v>UCSC</v>
      </c>
      <c r="E6211" s="1" t="str">
        <f>HYPERLINK("http://www.ncbi.nlm.nih.gov/gene/?term=SDCCAG1","NCBI")</f>
        <v>NCBI</v>
      </c>
      <c r="F6211">
        <v>7.0000000000000007E-2</v>
      </c>
      <c r="G6211">
        <v>0.19</v>
      </c>
      <c r="H6211" s="1" t="str">
        <f>HYPERLINK("http://www.weizmann.ac.il/complex/compphys/software/geview/data/figures/218649_x_at.png","Figure")</f>
        <v>Figure</v>
      </c>
      <c r="I6211">
        <v>0.65900000000000003</v>
      </c>
      <c r="J6211">
        <v>0.22</v>
      </c>
      <c r="K6211">
        <v>0.59899999999999998</v>
      </c>
      <c r="L6211">
        <v>6.5000000000000002E-2</v>
      </c>
      <c r="M6211">
        <v>0.91</v>
      </c>
      <c r="N6211">
        <v>0.9</v>
      </c>
    </row>
    <row r="6212" spans="1:14" x14ac:dyDescent="0.25">
      <c r="A6212" t="s">
        <v>11164</v>
      </c>
      <c r="B6212" t="s">
        <v>11165</v>
      </c>
      <c r="C6212" s="1" t="str">
        <f>HYPERLINK("http://www.genecards.org/cgi-bin/carddisp.pl?gene=LAPTM4A","GeneCards")</f>
        <v>GeneCards</v>
      </c>
      <c r="D6212" s="1" t="str">
        <f>HYPERLINK("http://genome-euro.ucsc.edu/cgi-bin/hgTracks?position=200673_at","UCSC")</f>
        <v>UCSC</v>
      </c>
      <c r="E6212" s="1" t="str">
        <f>HYPERLINK("http://www.ncbi.nlm.nih.gov/gene/?term=LAPTM4A","NCBI")</f>
        <v>NCBI</v>
      </c>
      <c r="F6212">
        <v>7.0000000000000007E-2</v>
      </c>
      <c r="G6212">
        <v>0.19</v>
      </c>
      <c r="H6212" s="1" t="str">
        <f>HYPERLINK("http://www.weizmann.ac.il/complex/compphys/software/geview/data/figures/200673_at.png","Figure")</f>
        <v>Figure</v>
      </c>
      <c r="I6212">
        <v>0.76600000000000001</v>
      </c>
      <c r="J6212">
        <v>0.41</v>
      </c>
      <c r="K6212">
        <v>0.63700000000000001</v>
      </c>
      <c r="L6212">
        <v>5.7000000000000002E-2</v>
      </c>
      <c r="M6212">
        <v>0.83199999999999996</v>
      </c>
      <c r="N6212">
        <v>0.6</v>
      </c>
    </row>
    <row r="6213" spans="1:14" x14ac:dyDescent="0.25">
      <c r="A6213" t="s">
        <v>11166</v>
      </c>
      <c r="B6213" t="s">
        <v>11167</v>
      </c>
      <c r="C6213" s="1" t="str">
        <f>HYPERLINK("http://www.genecards.org/cgi-bin/carddisp.pl?gene=ZNF747","GeneCards")</f>
        <v>GeneCards</v>
      </c>
      <c r="D6213" s="1" t="str">
        <f>HYPERLINK("http://genome-euro.ucsc.edu/cgi-bin/hgTracks?position=206180_x_at","UCSC")</f>
        <v>UCSC</v>
      </c>
      <c r="E6213" s="1" t="str">
        <f>HYPERLINK("http://www.ncbi.nlm.nih.gov/gene/?term=ZNF747","NCBI")</f>
        <v>NCBI</v>
      </c>
      <c r="F6213">
        <v>7.0000000000000007E-2</v>
      </c>
      <c r="G6213">
        <v>0.19</v>
      </c>
      <c r="H6213" s="1" t="str">
        <f>HYPERLINK("http://www.weizmann.ac.il/complex/compphys/software/geview/data/figures/206180_x_at.png","Figure")</f>
        <v>Figure</v>
      </c>
      <c r="I6213">
        <v>1.35</v>
      </c>
      <c r="J6213">
        <v>6.5000000000000002E-2</v>
      </c>
      <c r="K6213">
        <v>1.21</v>
      </c>
      <c r="L6213">
        <v>0.21</v>
      </c>
      <c r="M6213">
        <v>0.89200000000000002</v>
      </c>
      <c r="N6213">
        <v>0.59</v>
      </c>
    </row>
    <row r="6214" spans="1:14" x14ac:dyDescent="0.25">
      <c r="A6214" t="s">
        <v>11168</v>
      </c>
      <c r="B6214" t="s">
        <v>11169</v>
      </c>
      <c r="C6214" s="1" t="str">
        <f>HYPERLINK("http://www.genecards.org/cgi-bin/carddisp.pl?gene=MMP25","GeneCards")</f>
        <v>GeneCards</v>
      </c>
      <c r="D6214" s="1" t="str">
        <f>HYPERLINK("http://genome-euro.ucsc.edu/cgi-bin/hgTracks?position=207890_s_at","UCSC")</f>
        <v>UCSC</v>
      </c>
      <c r="E6214" s="1" t="str">
        <f>HYPERLINK("http://www.ncbi.nlm.nih.gov/gene/?term=MMP25","NCBI")</f>
        <v>NCBI</v>
      </c>
      <c r="F6214">
        <v>7.0000000000000007E-2</v>
      </c>
      <c r="G6214">
        <v>0.19</v>
      </c>
      <c r="H6214" s="1" t="str">
        <f>HYPERLINK("http://www.weizmann.ac.il/complex/compphys/software/geview/data/figures/207890_s_at.png","Figure")</f>
        <v>Figure</v>
      </c>
      <c r="I6214">
        <v>1.31</v>
      </c>
      <c r="J6214">
        <v>6.7000000000000004E-2</v>
      </c>
      <c r="K6214">
        <v>1.07</v>
      </c>
      <c r="L6214">
        <v>0.77</v>
      </c>
      <c r="M6214">
        <v>0.81499999999999995</v>
      </c>
      <c r="N6214">
        <v>0.15</v>
      </c>
    </row>
    <row r="6215" spans="1:14" x14ac:dyDescent="0.25">
      <c r="A6215" t="s">
        <v>11170</v>
      </c>
      <c r="B6215" t="s">
        <v>11171</v>
      </c>
      <c r="C6215" s="1" t="str">
        <f>HYPERLINK("http://www.genecards.org/cgi-bin/carddisp.pl?gene=GAS6","GeneCards")</f>
        <v>GeneCards</v>
      </c>
      <c r="D6215" s="1" t="str">
        <f>HYPERLINK("http://genome-euro.ucsc.edu/cgi-bin/hgTracks?position=1598_g_at","UCSC")</f>
        <v>UCSC</v>
      </c>
      <c r="E6215" s="1" t="str">
        <f>HYPERLINK("http://www.ncbi.nlm.nih.gov/gene/?term=GAS6","NCBI")</f>
        <v>NCBI</v>
      </c>
      <c r="F6215">
        <v>7.0000000000000007E-2</v>
      </c>
      <c r="G6215">
        <v>0.19</v>
      </c>
      <c r="H6215" s="1" t="str">
        <f>HYPERLINK("http://www.weizmann.ac.il/complex/compphys/software/geview/data/figures/1598_g_at.png","Figure")</f>
        <v>Figure</v>
      </c>
      <c r="I6215">
        <v>1.43</v>
      </c>
      <c r="J6215">
        <v>5.8000000000000003E-2</v>
      </c>
      <c r="K6215">
        <v>1.1499999999999999</v>
      </c>
      <c r="L6215">
        <v>0.49</v>
      </c>
      <c r="M6215">
        <v>0.80700000000000005</v>
      </c>
      <c r="N6215">
        <v>0.26</v>
      </c>
    </row>
    <row r="6216" spans="1:14" x14ac:dyDescent="0.25">
      <c r="A6216" t="s">
        <v>11172</v>
      </c>
      <c r="B6216" t="s">
        <v>11173</v>
      </c>
      <c r="C6216" s="1" t="str">
        <f>HYPERLINK("http://www.genecards.org/cgi-bin/carddisp.pl?gene=SMCP","GeneCards")</f>
        <v>GeneCards</v>
      </c>
      <c r="D6216" s="1" t="str">
        <f>HYPERLINK("http://genome-euro.ucsc.edu/cgi-bin/hgTracks?position=206406_at","UCSC")</f>
        <v>UCSC</v>
      </c>
      <c r="E6216" s="1" t="str">
        <f>HYPERLINK("http://www.ncbi.nlm.nih.gov/gene/?term=SMCP","NCBI")</f>
        <v>NCBI</v>
      </c>
      <c r="F6216">
        <v>7.0000000000000007E-2</v>
      </c>
      <c r="G6216">
        <v>0.19</v>
      </c>
      <c r="H6216" s="1" t="str">
        <f>HYPERLINK("http://www.weizmann.ac.il/complex/compphys/software/geview/data/figures/206406_at.png","Figure")</f>
        <v>Figure</v>
      </c>
      <c r="I6216">
        <v>1.36</v>
      </c>
      <c r="J6216">
        <v>6.8000000000000005E-2</v>
      </c>
      <c r="K6216">
        <v>1.22</v>
      </c>
      <c r="L6216">
        <v>0.19</v>
      </c>
      <c r="M6216">
        <v>0.89900000000000002</v>
      </c>
      <c r="N6216">
        <v>0.64</v>
      </c>
    </row>
    <row r="6217" spans="1:14" x14ac:dyDescent="0.25">
      <c r="A6217" t="s">
        <v>11174</v>
      </c>
      <c r="B6217" t="s">
        <v>11175</v>
      </c>
      <c r="C6217" s="1" t="str">
        <f>HYPERLINK("http://www.genecards.org/cgi-bin/carddisp.pl?gene=HYAL1","GeneCards")</f>
        <v>GeneCards</v>
      </c>
      <c r="D6217" s="1" t="str">
        <f>HYPERLINK("http://genome-euro.ucsc.edu/cgi-bin/hgTracks?position=210619_s_at","UCSC")</f>
        <v>UCSC</v>
      </c>
      <c r="E6217" s="1" t="str">
        <f>HYPERLINK("http://www.ncbi.nlm.nih.gov/gene/?term=HYAL1","NCBI")</f>
        <v>NCBI</v>
      </c>
      <c r="F6217">
        <v>7.0000000000000007E-2</v>
      </c>
      <c r="G6217">
        <v>0.19</v>
      </c>
      <c r="H6217" s="1" t="str">
        <f>HYPERLINK("http://www.weizmann.ac.il/complex/compphys/software/geview/data/figures/210619_s_at.png","Figure")</f>
        <v>Figure</v>
      </c>
      <c r="I6217">
        <v>1.19</v>
      </c>
      <c r="J6217">
        <v>0.06</v>
      </c>
      <c r="K6217">
        <v>1.06</v>
      </c>
      <c r="L6217">
        <v>0.59</v>
      </c>
      <c r="M6217">
        <v>0.89</v>
      </c>
      <c r="N6217">
        <v>0.21</v>
      </c>
    </row>
    <row r="6218" spans="1:14" x14ac:dyDescent="0.25">
      <c r="A6218" t="s">
        <v>11176</v>
      </c>
      <c r="B6218" t="s">
        <v>11177</v>
      </c>
      <c r="C6218" s="1" t="str">
        <f>HYPERLINK("http://www.genecards.org/cgi-bin/carddisp.pl?gene=TRO","GeneCards")</f>
        <v>GeneCards</v>
      </c>
      <c r="D6218" s="1" t="str">
        <f>HYPERLINK("http://genome-euro.ucsc.edu/cgi-bin/hgTracks?position=211700_s_at","UCSC")</f>
        <v>UCSC</v>
      </c>
      <c r="E6218" s="1" t="str">
        <f>HYPERLINK("http://www.ncbi.nlm.nih.gov/gene/?term=TRO","NCBI")</f>
        <v>NCBI</v>
      </c>
      <c r="F6218">
        <v>7.0000000000000007E-2</v>
      </c>
      <c r="G6218">
        <v>0.19</v>
      </c>
      <c r="H6218" s="1" t="str">
        <f>HYPERLINK("http://www.weizmann.ac.il/complex/compphys/software/geview/data/figures/211700_s_at.png","Figure")</f>
        <v>Figure</v>
      </c>
      <c r="I6218">
        <v>0.49399999999999999</v>
      </c>
      <c r="J6218">
        <v>7.5999999999999998E-2</v>
      </c>
      <c r="K6218">
        <v>0.88900000000000001</v>
      </c>
      <c r="L6218">
        <v>0.89</v>
      </c>
      <c r="M6218">
        <v>1.8</v>
      </c>
      <c r="N6218">
        <v>0.12</v>
      </c>
    </row>
    <row r="6219" spans="1:14" x14ac:dyDescent="0.25">
      <c r="A6219" t="s">
        <v>11178</v>
      </c>
      <c r="B6219" t="s">
        <v>11179</v>
      </c>
      <c r="C6219" s="1" t="str">
        <f>HYPERLINK("http://www.genecards.org/cgi-bin/carddisp.pl?gene=SLC16A8","GeneCards")</f>
        <v>GeneCards</v>
      </c>
      <c r="D6219" s="1" t="str">
        <f>HYPERLINK("http://genome-euro.ucsc.edu/cgi-bin/hgTracks?position=220455_at","UCSC")</f>
        <v>UCSC</v>
      </c>
      <c r="E6219" s="1" t="str">
        <f>HYPERLINK("http://www.ncbi.nlm.nih.gov/gene/?term=SLC16A8","NCBI")</f>
        <v>NCBI</v>
      </c>
      <c r="F6219">
        <v>7.0000000000000007E-2</v>
      </c>
      <c r="G6219">
        <v>0.19</v>
      </c>
      <c r="H6219" s="1" t="str">
        <f>HYPERLINK("http://www.weizmann.ac.il/complex/compphys/software/geview/data/figures/220455_at.png","Figure")</f>
        <v>Figure</v>
      </c>
      <c r="I6219">
        <v>1.1000000000000001</v>
      </c>
      <c r="J6219">
        <v>0.22</v>
      </c>
      <c r="K6219">
        <v>0.96499999999999997</v>
      </c>
      <c r="L6219">
        <v>0.76</v>
      </c>
      <c r="M6219">
        <v>0.874</v>
      </c>
      <c r="N6219">
        <v>5.8999999999999997E-2</v>
      </c>
    </row>
    <row r="6220" spans="1:14" x14ac:dyDescent="0.25">
      <c r="A6220" t="s">
        <v>11180</v>
      </c>
      <c r="B6220" t="s">
        <v>11181</v>
      </c>
      <c r="C6220" s="1" t="str">
        <f>HYPERLINK("http://www.genecards.org/cgi-bin/carddisp.pl?gene=SCLY","GeneCards")</f>
        <v>GeneCards</v>
      </c>
      <c r="D6220" s="1" t="str">
        <f>HYPERLINK("http://genome-euro.ucsc.edu/cgi-bin/hgTracks?position=221575_at","UCSC")</f>
        <v>UCSC</v>
      </c>
      <c r="E6220" s="1" t="str">
        <f>HYPERLINK("http://www.ncbi.nlm.nih.gov/gene/?term=SCLY","NCBI")</f>
        <v>NCBI</v>
      </c>
      <c r="F6220">
        <v>7.0000000000000007E-2</v>
      </c>
      <c r="G6220">
        <v>0.19</v>
      </c>
      <c r="H6220" s="1" t="str">
        <f>HYPERLINK("http://www.weizmann.ac.il/complex/compphys/software/geview/data/figures/221575_at.png","Figure")</f>
        <v>Figure</v>
      </c>
      <c r="I6220">
        <v>0.85699999999999998</v>
      </c>
      <c r="J6220">
        <v>0.44</v>
      </c>
      <c r="K6220">
        <v>1.1499999999999999</v>
      </c>
      <c r="L6220">
        <v>0.43</v>
      </c>
      <c r="M6220">
        <v>1.34</v>
      </c>
      <c r="N6220">
        <v>5.8999999999999997E-2</v>
      </c>
    </row>
    <row r="6221" spans="1:14" x14ac:dyDescent="0.25">
      <c r="A6221" t="s">
        <v>11182</v>
      </c>
      <c r="B6221" t="s">
        <v>11183</v>
      </c>
      <c r="C6221" s="1" t="str">
        <f>HYPERLINK("http://www.genecards.org/cgi-bin/carddisp.pl?gene=IRAK4","GeneCards")</f>
        <v>GeneCards</v>
      </c>
      <c r="D6221" s="1" t="str">
        <f>HYPERLINK("http://genome-euro.ucsc.edu/cgi-bin/hgTracks?position=219618_at","UCSC")</f>
        <v>UCSC</v>
      </c>
      <c r="E6221" s="1" t="str">
        <f>HYPERLINK("http://www.ncbi.nlm.nih.gov/gene/?term=IRAK4","NCBI")</f>
        <v>NCBI</v>
      </c>
      <c r="F6221">
        <v>7.0000000000000007E-2</v>
      </c>
      <c r="G6221">
        <v>0.19</v>
      </c>
      <c r="H6221" s="1" t="str">
        <f>HYPERLINK("http://www.weizmann.ac.il/complex/compphys/software/geview/data/figures/219618_at.png","Figure")</f>
        <v>Figure</v>
      </c>
      <c r="I6221">
        <v>1.1100000000000001</v>
      </c>
      <c r="J6221">
        <v>0.57999999999999996</v>
      </c>
      <c r="K6221">
        <v>0.878</v>
      </c>
      <c r="L6221">
        <v>0.32</v>
      </c>
      <c r="M6221">
        <v>0.79300000000000004</v>
      </c>
      <c r="N6221">
        <v>6.4000000000000001E-2</v>
      </c>
    </row>
    <row r="6222" spans="1:14" x14ac:dyDescent="0.25">
      <c r="A6222" t="s">
        <v>11184</v>
      </c>
      <c r="B6222" t="s">
        <v>11185</v>
      </c>
      <c r="C6222" s="1" t="str">
        <f>HYPERLINK("http://www.genecards.org/cgi-bin/carddisp.pl?gene=BAG4","GeneCards")</f>
        <v>GeneCards</v>
      </c>
      <c r="D6222" s="1" t="str">
        <f>HYPERLINK("http://genome-euro.ucsc.edu/cgi-bin/hgTracks?position=219624_at","UCSC")</f>
        <v>UCSC</v>
      </c>
      <c r="E6222" s="1" t="str">
        <f>HYPERLINK("http://www.ncbi.nlm.nih.gov/gene/?term=BAG4","NCBI")</f>
        <v>NCBI</v>
      </c>
      <c r="F6222">
        <v>7.0000000000000007E-2</v>
      </c>
      <c r="G6222">
        <v>0.19</v>
      </c>
      <c r="H6222" s="1" t="str">
        <f>HYPERLINK("http://www.weizmann.ac.il/complex/compphys/software/geview/data/figures/219624_at.png","Figure")</f>
        <v>Figure</v>
      </c>
      <c r="I6222">
        <v>0.998</v>
      </c>
      <c r="J6222">
        <v>1</v>
      </c>
      <c r="K6222">
        <v>0.89300000000000002</v>
      </c>
      <c r="L6222">
        <v>0.1</v>
      </c>
      <c r="M6222">
        <v>0.89500000000000002</v>
      </c>
      <c r="N6222">
        <v>0.14000000000000001</v>
      </c>
    </row>
    <row r="6223" spans="1:14" x14ac:dyDescent="0.25">
      <c r="A6223" t="s">
        <v>11186</v>
      </c>
      <c r="B6223" t="s">
        <v>11187</v>
      </c>
      <c r="C6223" s="1" t="str">
        <f>HYPERLINK("http://www.genecards.org/cgi-bin/carddisp.pl?gene=MRE11A","GeneCards")</f>
        <v>GeneCards</v>
      </c>
      <c r="D6223" s="1" t="str">
        <f>HYPERLINK("http://genome-euro.ucsc.edu/cgi-bin/hgTracks?position=205395_s_at","UCSC")</f>
        <v>UCSC</v>
      </c>
      <c r="E6223" s="1" t="str">
        <f>HYPERLINK("http://www.ncbi.nlm.nih.gov/gene/?term=MRE11A","NCBI")</f>
        <v>NCBI</v>
      </c>
      <c r="F6223">
        <v>7.0000000000000007E-2</v>
      </c>
      <c r="G6223">
        <v>0.19</v>
      </c>
      <c r="H6223" s="1" t="str">
        <f>HYPERLINK("http://www.weizmann.ac.il/complex/compphys/software/geview/data/figures/205395_s_at.png","Figure")</f>
        <v>Figure</v>
      </c>
      <c r="I6223">
        <v>0.67800000000000005</v>
      </c>
      <c r="J6223">
        <v>0.27</v>
      </c>
      <c r="K6223">
        <v>1.2</v>
      </c>
      <c r="L6223">
        <v>0.67</v>
      </c>
      <c r="M6223">
        <v>1.77</v>
      </c>
      <c r="N6223">
        <v>5.8000000000000003E-2</v>
      </c>
    </row>
    <row r="6224" spans="1:14" x14ac:dyDescent="0.25">
      <c r="A6224" t="s">
        <v>11188</v>
      </c>
      <c r="B6224" t="s">
        <v>11189</v>
      </c>
      <c r="C6224" s="1" t="str">
        <f>HYPERLINK("http://www.genecards.org/cgi-bin/carddisp.pl?gene=NRXN3","GeneCards")</f>
        <v>GeneCards</v>
      </c>
      <c r="D6224" s="1" t="str">
        <f>HYPERLINK("http://genome-euro.ucsc.edu/cgi-bin/hgTracks?position=215020_at","UCSC")</f>
        <v>UCSC</v>
      </c>
      <c r="E6224" s="1" t="str">
        <f>HYPERLINK("http://www.ncbi.nlm.nih.gov/gene/?term=NRXN3","NCBI")</f>
        <v>NCBI</v>
      </c>
      <c r="F6224">
        <v>7.0000000000000007E-2</v>
      </c>
      <c r="G6224">
        <v>0.19</v>
      </c>
      <c r="H6224" s="1" t="str">
        <f>HYPERLINK("http://www.weizmann.ac.il/complex/compphys/software/geview/data/figures/215020_at.png","Figure")</f>
        <v>Figure</v>
      </c>
      <c r="I6224">
        <v>0.85799999999999998</v>
      </c>
      <c r="J6224">
        <v>0.31</v>
      </c>
      <c r="K6224">
        <v>0.80100000000000005</v>
      </c>
      <c r="L6224">
        <v>5.8999999999999997E-2</v>
      </c>
      <c r="M6224">
        <v>0.93400000000000005</v>
      </c>
      <c r="N6224">
        <v>0.75</v>
      </c>
    </row>
    <row r="6225" spans="1:14" x14ac:dyDescent="0.25">
      <c r="A6225" t="s">
        <v>11190</v>
      </c>
      <c r="B6225" t="s">
        <v>11191</v>
      </c>
      <c r="C6225" s="1" t="str">
        <f>HYPERLINK("http://www.genecards.org/cgi-bin/carddisp.pl?gene=LOC100131532","GeneCards")</f>
        <v>GeneCards</v>
      </c>
      <c r="D6225" s="1" t="str">
        <f>HYPERLINK("http://genome-euro.ucsc.edu/cgi-bin/hgTracks?position=221186_at","UCSC")</f>
        <v>UCSC</v>
      </c>
      <c r="E6225" s="1" t="str">
        <f>HYPERLINK("http://www.ncbi.nlm.nih.gov/gene/?term=LOC100131532","NCBI")</f>
        <v>NCBI</v>
      </c>
      <c r="F6225">
        <v>7.0000000000000007E-2</v>
      </c>
      <c r="G6225">
        <v>0.19</v>
      </c>
      <c r="H6225" s="1" t="str">
        <f>HYPERLINK("http://www.weizmann.ac.il/complex/compphys/software/geview/data/figures/221186_at.png","Figure")</f>
        <v>Figure</v>
      </c>
      <c r="I6225">
        <v>1.1200000000000001</v>
      </c>
      <c r="J6225">
        <v>0.18</v>
      </c>
      <c r="K6225">
        <v>1.1299999999999999</v>
      </c>
      <c r="L6225">
        <v>7.0999999999999994E-2</v>
      </c>
      <c r="M6225">
        <v>1.01</v>
      </c>
      <c r="N6225">
        <v>0.97</v>
      </c>
    </row>
    <row r="6226" spans="1:14" x14ac:dyDescent="0.25">
      <c r="A6226" t="s">
        <v>11192</v>
      </c>
      <c r="B6226" t="s">
        <v>11193</v>
      </c>
      <c r="C6226" s="1" t="str">
        <f>HYPERLINK("http://www.genecards.org/cgi-bin/carddisp.pl?gene=SIM2","GeneCards")</f>
        <v>GeneCards</v>
      </c>
      <c r="D6226" s="1" t="str">
        <f>HYPERLINK("http://genome-euro.ucsc.edu/cgi-bin/hgTracks?position=206558_at","UCSC")</f>
        <v>UCSC</v>
      </c>
      <c r="E6226" s="1" t="str">
        <f>HYPERLINK("http://www.ncbi.nlm.nih.gov/gene/?term=SIM2","NCBI")</f>
        <v>NCBI</v>
      </c>
      <c r="F6226">
        <v>7.0000000000000007E-2</v>
      </c>
      <c r="G6226">
        <v>0.19</v>
      </c>
      <c r="H6226" s="1" t="str">
        <f>HYPERLINK("http://www.weizmann.ac.il/complex/compphys/software/geview/data/figures/206558_at.png","Figure")</f>
        <v>Figure</v>
      </c>
      <c r="I6226">
        <v>1.1499999999999999</v>
      </c>
      <c r="J6226">
        <v>6.8000000000000005E-2</v>
      </c>
      <c r="K6226">
        <v>1.03</v>
      </c>
      <c r="L6226">
        <v>0.78</v>
      </c>
      <c r="M6226">
        <v>0.90100000000000002</v>
      </c>
      <c r="N6226">
        <v>0.15</v>
      </c>
    </row>
    <row r="6227" spans="1:14" x14ac:dyDescent="0.25">
      <c r="A6227" t="s">
        <v>11194</v>
      </c>
      <c r="B6227" t="s">
        <v>7027</v>
      </c>
      <c r="C6227" s="1" t="str">
        <f>HYPERLINK("http://www.genecards.org/cgi-bin/carddisp.pl?gene=PPP5C","GeneCards")</f>
        <v>GeneCards</v>
      </c>
      <c r="D6227" s="1" t="str">
        <f>HYPERLINK("http://genome-euro.ucsc.edu/cgi-bin/hgTracks?position=201979_s_at","UCSC")</f>
        <v>UCSC</v>
      </c>
      <c r="E6227" s="1" t="str">
        <f>HYPERLINK("http://www.ncbi.nlm.nih.gov/gene/?term=PPP5C","NCBI")</f>
        <v>NCBI</v>
      </c>
      <c r="F6227">
        <v>7.0000000000000007E-2</v>
      </c>
      <c r="G6227">
        <v>0.19</v>
      </c>
      <c r="H6227" s="1" t="str">
        <f>HYPERLINK("http://www.weizmann.ac.il/complex/compphys/software/geview/data/figures/201979_s_at.png","Figure")</f>
        <v>Figure</v>
      </c>
      <c r="I6227">
        <v>1.2</v>
      </c>
      <c r="J6227">
        <v>8.2000000000000003E-2</v>
      </c>
      <c r="K6227">
        <v>1.1499999999999999</v>
      </c>
      <c r="L6227">
        <v>0.14000000000000001</v>
      </c>
      <c r="M6227">
        <v>0.95799999999999996</v>
      </c>
      <c r="N6227">
        <v>0.82</v>
      </c>
    </row>
    <row r="6228" spans="1:14" x14ac:dyDescent="0.25">
      <c r="A6228" t="s">
        <v>11195</v>
      </c>
      <c r="B6228" t="s">
        <v>11196</v>
      </c>
      <c r="C6228" s="1" t="str">
        <f>HYPERLINK("http://www.genecards.org/cgi-bin/carddisp.pl?gene=RAB5C","GeneCards")</f>
        <v>GeneCards</v>
      </c>
      <c r="D6228" s="1" t="str">
        <f>HYPERLINK("http://genome-euro.ucsc.edu/cgi-bin/hgTracks?position=201140_s_at","UCSC")</f>
        <v>UCSC</v>
      </c>
      <c r="E6228" s="1" t="str">
        <f>HYPERLINK("http://www.ncbi.nlm.nih.gov/gene/?term=RAB5C","NCBI")</f>
        <v>NCBI</v>
      </c>
      <c r="F6228">
        <v>7.0000000000000007E-2</v>
      </c>
      <c r="G6228">
        <v>0.19</v>
      </c>
      <c r="H6228" s="1" t="str">
        <f>HYPERLINK("http://www.weizmann.ac.il/complex/compphys/software/geview/data/figures/201140_s_at.png","Figure")</f>
        <v>Figure</v>
      </c>
      <c r="I6228">
        <v>0.74399999999999999</v>
      </c>
      <c r="J6228">
        <v>5.8999999999999997E-2</v>
      </c>
      <c r="K6228">
        <v>0.89900000000000002</v>
      </c>
      <c r="L6228">
        <v>0.56000000000000005</v>
      </c>
      <c r="M6228">
        <v>1.21</v>
      </c>
      <c r="N6228">
        <v>0.23</v>
      </c>
    </row>
    <row r="6229" spans="1:14" x14ac:dyDescent="0.25">
      <c r="A6229" t="s">
        <v>11197</v>
      </c>
      <c r="B6229" t="s">
        <v>1355</v>
      </c>
      <c r="C6229" s="1" t="str">
        <f>HYPERLINK("http://www.genecards.org/cgi-bin/carddisp.pl?gene=PSMA7","GeneCards")</f>
        <v>GeneCards</v>
      </c>
      <c r="D6229" s="1" t="str">
        <f>HYPERLINK("http://genome-euro.ucsc.edu/cgi-bin/hgTracks?position=216088_s_at","UCSC")</f>
        <v>UCSC</v>
      </c>
      <c r="E6229" s="1" t="str">
        <f>HYPERLINK("http://www.ncbi.nlm.nih.gov/gene/?term=PSMA7","NCBI")</f>
        <v>NCBI</v>
      </c>
      <c r="F6229">
        <v>7.0000000000000007E-2</v>
      </c>
      <c r="G6229">
        <v>0.19</v>
      </c>
      <c r="H6229" s="1" t="str">
        <f>HYPERLINK("http://www.weizmann.ac.il/complex/compphys/software/geview/data/figures/216088_s_at.png","Figure")</f>
        <v>Figure</v>
      </c>
      <c r="I6229">
        <v>1.03</v>
      </c>
      <c r="J6229">
        <v>0.93</v>
      </c>
      <c r="K6229">
        <v>1.21</v>
      </c>
      <c r="L6229">
        <v>8.1000000000000003E-2</v>
      </c>
      <c r="M6229">
        <v>1.17</v>
      </c>
      <c r="N6229">
        <v>0.2</v>
      </c>
    </row>
    <row r="6230" spans="1:14" x14ac:dyDescent="0.25">
      <c r="A6230" t="s">
        <v>11198</v>
      </c>
      <c r="B6230" t="s">
        <v>11199</v>
      </c>
      <c r="C6230" s="1" t="str">
        <f>HYPERLINK("http://www.genecards.org/cgi-bin/carddisp.pl?gene=PRDX6","GeneCards")</f>
        <v>GeneCards</v>
      </c>
      <c r="D6230" s="1" t="str">
        <f>HYPERLINK("http://genome-euro.ucsc.edu/cgi-bin/hgTracks?position=200845_s_at","UCSC")</f>
        <v>UCSC</v>
      </c>
      <c r="E6230" s="1" t="str">
        <f>HYPERLINK("http://www.ncbi.nlm.nih.gov/gene/?term=PRDX6","NCBI")</f>
        <v>NCBI</v>
      </c>
      <c r="F6230">
        <v>7.0000000000000007E-2</v>
      </c>
      <c r="G6230">
        <v>0.19</v>
      </c>
      <c r="H6230" s="1" t="str">
        <f>HYPERLINK("http://www.weizmann.ac.il/complex/compphys/software/geview/data/figures/200845_s_at.png","Figure")</f>
        <v>Figure</v>
      </c>
      <c r="I6230">
        <v>1.1299999999999999</v>
      </c>
      <c r="J6230">
        <v>0.87</v>
      </c>
      <c r="K6230">
        <v>1.66</v>
      </c>
      <c r="L6230">
        <v>7.3999999999999996E-2</v>
      </c>
      <c r="M6230">
        <v>1.47</v>
      </c>
      <c r="N6230">
        <v>0.23</v>
      </c>
    </row>
    <row r="6231" spans="1:14" x14ac:dyDescent="0.25">
      <c r="A6231" t="s">
        <v>11200</v>
      </c>
      <c r="B6231" t="s">
        <v>11201</v>
      </c>
      <c r="C6231" s="1" t="str">
        <f>HYPERLINK("http://www.genecards.org/cgi-bin/carddisp.pl?gene=MCFD2","GeneCards")</f>
        <v>GeneCards</v>
      </c>
      <c r="D6231" s="1" t="str">
        <f>HYPERLINK("http://genome-euro.ucsc.edu/cgi-bin/hgTracks?position=212246_at","UCSC")</f>
        <v>UCSC</v>
      </c>
      <c r="E6231" s="1" t="str">
        <f>HYPERLINK("http://www.ncbi.nlm.nih.gov/gene/?term=MCFD2","NCBI")</f>
        <v>NCBI</v>
      </c>
      <c r="F6231">
        <v>7.0000000000000007E-2</v>
      </c>
      <c r="G6231">
        <v>0.19</v>
      </c>
      <c r="H6231" s="1" t="str">
        <f>HYPERLINK("http://www.weizmann.ac.il/complex/compphys/software/geview/data/figures/212246_at.png","Figure")</f>
        <v>Figure</v>
      </c>
      <c r="I6231">
        <v>1.05</v>
      </c>
      <c r="J6231">
        <v>0.9</v>
      </c>
      <c r="K6231">
        <v>0.83299999999999996</v>
      </c>
      <c r="L6231">
        <v>0.17</v>
      </c>
      <c r="M6231">
        <v>0.79300000000000004</v>
      </c>
      <c r="N6231">
        <v>9.1999999999999998E-2</v>
      </c>
    </row>
    <row r="6232" spans="1:14" x14ac:dyDescent="0.25">
      <c r="A6232" t="s">
        <v>11202</v>
      </c>
      <c r="B6232" t="s">
        <v>7352</v>
      </c>
      <c r="C6232" s="1" t="str">
        <f>HYPERLINK("http://www.genecards.org/cgi-bin/carddisp.pl?gene=DDX18","GeneCards")</f>
        <v>GeneCards</v>
      </c>
      <c r="D6232" s="1" t="str">
        <f>HYPERLINK("http://genome-euro.ucsc.edu/cgi-bin/hgTracks?position=205763_s_at","UCSC")</f>
        <v>UCSC</v>
      </c>
      <c r="E6232" s="1" t="str">
        <f>HYPERLINK("http://www.ncbi.nlm.nih.gov/gene/?term=DDX18","NCBI")</f>
        <v>NCBI</v>
      </c>
      <c r="F6232">
        <v>7.0000000000000007E-2</v>
      </c>
      <c r="G6232">
        <v>0.19</v>
      </c>
      <c r="H6232" s="1" t="str">
        <f>HYPERLINK("http://www.weizmann.ac.il/complex/compphys/software/geview/data/figures/205763_s_at.png","Figure")</f>
        <v>Figure</v>
      </c>
      <c r="I6232">
        <v>0.76800000000000002</v>
      </c>
      <c r="J6232">
        <v>8.1000000000000003E-2</v>
      </c>
      <c r="K6232">
        <v>0.96399999999999997</v>
      </c>
      <c r="L6232">
        <v>0.93</v>
      </c>
      <c r="M6232">
        <v>1.26</v>
      </c>
      <c r="N6232">
        <v>0.11</v>
      </c>
    </row>
    <row r="6233" spans="1:14" x14ac:dyDescent="0.25">
      <c r="A6233" t="s">
        <v>11203</v>
      </c>
      <c r="B6233" t="s">
        <v>11204</v>
      </c>
      <c r="C6233" s="1" t="str">
        <f>HYPERLINK("http://www.genecards.org/cgi-bin/carddisp.pl?gene=SFRP1","GeneCards")</f>
        <v>GeneCards</v>
      </c>
      <c r="D6233" s="1" t="str">
        <f>HYPERLINK("http://genome-euro.ucsc.edu/cgi-bin/hgTracks?position=202037_s_at","UCSC")</f>
        <v>UCSC</v>
      </c>
      <c r="E6233" s="1" t="str">
        <f>HYPERLINK("http://www.ncbi.nlm.nih.gov/gene/?term=SFRP1","NCBI")</f>
        <v>NCBI</v>
      </c>
      <c r="F6233">
        <v>7.0000000000000007E-2</v>
      </c>
      <c r="G6233">
        <v>0.19</v>
      </c>
      <c r="H6233" s="1" t="str">
        <f>HYPERLINK("http://www.weizmann.ac.il/complex/compphys/software/geview/data/figures/202037_s_at.png","Figure")</f>
        <v>Figure</v>
      </c>
      <c r="I6233">
        <v>1.0900000000000001</v>
      </c>
      <c r="J6233">
        <v>0.28000000000000003</v>
      </c>
      <c r="K6233">
        <v>0.95799999999999996</v>
      </c>
      <c r="L6233">
        <v>0.64</v>
      </c>
      <c r="M6233">
        <v>0.879</v>
      </c>
      <c r="N6233">
        <v>5.8000000000000003E-2</v>
      </c>
    </row>
    <row r="6234" spans="1:14" x14ac:dyDescent="0.25">
      <c r="A6234" t="s">
        <v>11205</v>
      </c>
      <c r="B6234" t="s">
        <v>11206</v>
      </c>
      <c r="C6234" s="1" t="str">
        <f>HYPERLINK("http://www.genecards.org/cgi-bin/carddisp.pl?gene=UTP14C","GeneCards")</f>
        <v>GeneCards</v>
      </c>
      <c r="D6234" s="1" t="str">
        <f>HYPERLINK("http://genome-euro.ucsc.edu/cgi-bin/hgTracks?position=203614_at","UCSC")</f>
        <v>UCSC</v>
      </c>
      <c r="E6234" s="1" t="str">
        <f>HYPERLINK("http://www.ncbi.nlm.nih.gov/gene/?term=UTP14C","NCBI")</f>
        <v>NCBI</v>
      </c>
      <c r="F6234">
        <v>7.0000000000000007E-2</v>
      </c>
      <c r="G6234">
        <v>0.19</v>
      </c>
      <c r="H6234" s="1" t="str">
        <f>HYPERLINK("http://www.weizmann.ac.il/complex/compphys/software/geview/data/figures/203614_at.png","Figure")</f>
        <v>Figure</v>
      </c>
      <c r="I6234">
        <v>0.63</v>
      </c>
      <c r="J6234">
        <v>0.11</v>
      </c>
      <c r="K6234">
        <v>0.999</v>
      </c>
      <c r="L6234">
        <v>1</v>
      </c>
      <c r="M6234">
        <v>1.59</v>
      </c>
      <c r="N6234">
        <v>8.3000000000000004E-2</v>
      </c>
    </row>
    <row r="6235" spans="1:14" x14ac:dyDescent="0.25">
      <c r="A6235" t="s">
        <v>11207</v>
      </c>
      <c r="B6235" t="s">
        <v>11208</v>
      </c>
      <c r="C6235" s="1" t="str">
        <f>HYPERLINK("http://www.genecards.org/cgi-bin/carddisp.pl?gene=KDM6A","GeneCards")</f>
        <v>GeneCards</v>
      </c>
      <c r="D6235" s="1" t="str">
        <f>HYPERLINK("http://genome-euro.ucsc.edu/cgi-bin/hgTracks?position=203992_s_at","UCSC")</f>
        <v>UCSC</v>
      </c>
      <c r="E6235" s="1" t="str">
        <f>HYPERLINK("http://www.ncbi.nlm.nih.gov/gene/?term=KDM6A","NCBI")</f>
        <v>NCBI</v>
      </c>
      <c r="F6235">
        <v>7.0000000000000007E-2</v>
      </c>
      <c r="G6235">
        <v>0.19</v>
      </c>
      <c r="H6235" s="1" t="str">
        <f>HYPERLINK("http://www.weizmann.ac.il/complex/compphys/software/geview/data/figures/203992_s_at.png","Figure")</f>
        <v>Figure</v>
      </c>
      <c r="I6235">
        <v>0.53500000000000003</v>
      </c>
      <c r="J6235">
        <v>6.0999999999999999E-2</v>
      </c>
      <c r="K6235">
        <v>0.70499999999999996</v>
      </c>
      <c r="L6235">
        <v>0.27</v>
      </c>
      <c r="M6235">
        <v>1.32</v>
      </c>
      <c r="N6235">
        <v>0.47</v>
      </c>
    </row>
    <row r="6236" spans="1:14" x14ac:dyDescent="0.25">
      <c r="A6236" t="s">
        <v>11209</v>
      </c>
      <c r="B6236" t="s">
        <v>10998</v>
      </c>
      <c r="C6236" s="1" t="str">
        <f>HYPERLINK("http://www.genecards.org/cgi-bin/carddisp.pl?gene=DSC3","GeneCards")</f>
        <v>GeneCards</v>
      </c>
      <c r="D6236" s="1" t="str">
        <f>HYPERLINK("http://genome-euro.ucsc.edu/cgi-bin/hgTracks?position=206033_s_at","UCSC")</f>
        <v>UCSC</v>
      </c>
      <c r="E6236" s="1" t="str">
        <f>HYPERLINK("http://www.ncbi.nlm.nih.gov/gene/?term=DSC3","NCBI")</f>
        <v>NCBI</v>
      </c>
      <c r="F6236">
        <v>7.0000000000000007E-2</v>
      </c>
      <c r="G6236">
        <v>0.19</v>
      </c>
      <c r="H6236" s="1" t="str">
        <f>HYPERLINK("http://www.weizmann.ac.il/complex/compphys/software/geview/data/figures/206033_s_at.png","Figure")</f>
        <v>Figure</v>
      </c>
      <c r="I6236">
        <v>1</v>
      </c>
      <c r="J6236">
        <v>1</v>
      </c>
      <c r="K6236">
        <v>0.70899999999999996</v>
      </c>
      <c r="L6236">
        <v>0.11</v>
      </c>
      <c r="M6236">
        <v>0.70899999999999996</v>
      </c>
      <c r="N6236">
        <v>0.14000000000000001</v>
      </c>
    </row>
    <row r="6237" spans="1:14" x14ac:dyDescent="0.25">
      <c r="A6237" t="s">
        <v>11210</v>
      </c>
      <c r="B6237" t="s">
        <v>1796</v>
      </c>
      <c r="C6237" s="1" t="str">
        <f>HYPERLINK("http://www.genecards.org/cgi-bin/carddisp.pl?gene=IFI44","GeneCards")</f>
        <v>GeneCards</v>
      </c>
      <c r="D6237" s="1" t="str">
        <f>HYPERLINK("http://genome-euro.ucsc.edu/cgi-bin/hgTracks?position=214059_at","UCSC")</f>
        <v>UCSC</v>
      </c>
      <c r="E6237" s="1" t="str">
        <f>HYPERLINK("http://www.ncbi.nlm.nih.gov/gene/?term=IFI44","NCBI")</f>
        <v>NCBI</v>
      </c>
      <c r="F6237">
        <v>7.0000000000000007E-2</v>
      </c>
      <c r="G6237">
        <v>0.19</v>
      </c>
      <c r="H6237" s="1" t="str">
        <f>HYPERLINK("http://www.weizmann.ac.il/complex/compphys/software/geview/data/figures/214059_at.png","Figure")</f>
        <v>Figure</v>
      </c>
      <c r="I6237">
        <v>0.72699999999999998</v>
      </c>
      <c r="J6237">
        <v>0.56000000000000005</v>
      </c>
      <c r="K6237">
        <v>0.50800000000000001</v>
      </c>
      <c r="L6237">
        <v>5.8999999999999997E-2</v>
      </c>
      <c r="M6237">
        <v>0.69799999999999995</v>
      </c>
      <c r="N6237">
        <v>0.44</v>
      </c>
    </row>
    <row r="6238" spans="1:14" x14ac:dyDescent="0.25">
      <c r="A6238" t="s">
        <v>11211</v>
      </c>
      <c r="B6238" t="s">
        <v>6231</v>
      </c>
      <c r="C6238" s="1" t="str">
        <f>HYPERLINK("http://www.genecards.org/cgi-bin/carddisp.pl?gene=SFTPC","GeneCards")</f>
        <v>GeneCards</v>
      </c>
      <c r="D6238" s="1" t="str">
        <f>HYPERLINK("http://genome-euro.ucsc.edu/cgi-bin/hgTracks?position=215454_x_at","UCSC")</f>
        <v>UCSC</v>
      </c>
      <c r="E6238" s="1" t="str">
        <f>HYPERLINK("http://www.ncbi.nlm.nih.gov/gene/?term=SFTPC","NCBI")</f>
        <v>NCBI</v>
      </c>
      <c r="F6238">
        <v>7.0000000000000007E-2</v>
      </c>
      <c r="G6238">
        <v>0.19</v>
      </c>
      <c r="H6238" s="1" t="str">
        <f>HYPERLINK("http://www.weizmann.ac.il/complex/compphys/software/geview/data/figures/215454_x_at.png","Figure")</f>
        <v>Figure</v>
      </c>
      <c r="I6238">
        <v>1.51</v>
      </c>
      <c r="J6238">
        <v>6.4000000000000001E-2</v>
      </c>
      <c r="K6238">
        <v>1.29</v>
      </c>
      <c r="L6238">
        <v>0.23</v>
      </c>
      <c r="M6238">
        <v>0.85099999999999998</v>
      </c>
      <c r="N6238">
        <v>0.56000000000000005</v>
      </c>
    </row>
    <row r="6239" spans="1:14" x14ac:dyDescent="0.25">
      <c r="A6239" t="s">
        <v>11212</v>
      </c>
      <c r="B6239" t="s">
        <v>11213</v>
      </c>
      <c r="C6239" s="1" t="str">
        <f>HYPERLINK("http://www.genecards.org/cgi-bin/carddisp.pl?gene=FANCA","GeneCards")</f>
        <v>GeneCards</v>
      </c>
      <c r="D6239" s="1" t="str">
        <f>HYPERLINK("http://genome-euro.ucsc.edu/cgi-bin/hgTracks?position=215530_at","UCSC")</f>
        <v>UCSC</v>
      </c>
      <c r="E6239" s="1" t="str">
        <f>HYPERLINK("http://www.ncbi.nlm.nih.gov/gene/?term=FANCA","NCBI")</f>
        <v>NCBI</v>
      </c>
      <c r="F6239">
        <v>7.0000000000000007E-2</v>
      </c>
      <c r="G6239">
        <v>0.19</v>
      </c>
      <c r="H6239" s="1" t="str">
        <f>HYPERLINK("http://www.weizmann.ac.il/complex/compphys/software/geview/data/figures/215530_at.png","Figure")</f>
        <v>Figure</v>
      </c>
      <c r="I6239">
        <v>1.25</v>
      </c>
      <c r="J6239">
        <v>7.5999999999999998E-2</v>
      </c>
      <c r="K6239">
        <v>1.04</v>
      </c>
      <c r="L6239">
        <v>0.89</v>
      </c>
      <c r="M6239">
        <v>0.83299999999999996</v>
      </c>
      <c r="N6239">
        <v>0.12</v>
      </c>
    </row>
    <row r="6240" spans="1:14" x14ac:dyDescent="0.25">
      <c r="A6240" t="s">
        <v>11214</v>
      </c>
      <c r="B6240" t="s">
        <v>8856</v>
      </c>
      <c r="C6240" s="1" t="str">
        <f>HYPERLINK("http://www.genecards.org/cgi-bin/carddisp.pl?gene=SOX15","GeneCards")</f>
        <v>GeneCards</v>
      </c>
      <c r="D6240" s="1" t="str">
        <f>HYPERLINK("http://genome-euro.ucsc.edu/cgi-bin/hgTracks?position=217040_x_at","UCSC")</f>
        <v>UCSC</v>
      </c>
      <c r="E6240" s="1" t="str">
        <f>HYPERLINK("http://www.ncbi.nlm.nih.gov/gene/?term=SOX15","NCBI")</f>
        <v>NCBI</v>
      </c>
      <c r="F6240">
        <v>7.0000000000000007E-2</v>
      </c>
      <c r="G6240">
        <v>0.19</v>
      </c>
      <c r="H6240" s="1" t="str">
        <f>HYPERLINK("http://www.weizmann.ac.il/complex/compphys/software/geview/data/figures/217040_x_at.png","Figure")</f>
        <v>Figure</v>
      </c>
      <c r="I6240">
        <v>1.75</v>
      </c>
      <c r="J6240">
        <v>6.4000000000000001E-2</v>
      </c>
      <c r="K6240">
        <v>1.4</v>
      </c>
      <c r="L6240">
        <v>0.23</v>
      </c>
      <c r="M6240">
        <v>0.80200000000000005</v>
      </c>
      <c r="N6240">
        <v>0.56000000000000005</v>
      </c>
    </row>
    <row r="6241" spans="1:14" x14ac:dyDescent="0.25">
      <c r="A6241" t="s">
        <v>11215</v>
      </c>
      <c r="B6241" t="s">
        <v>11216</v>
      </c>
      <c r="C6241" s="1" t="str">
        <f>HYPERLINK("http://www.genecards.org/cgi-bin/carddisp.pl?gene=MRPL52","GeneCards")</f>
        <v>GeneCards</v>
      </c>
      <c r="D6241" s="1" t="str">
        <f>HYPERLINK("http://genome-euro.ucsc.edu/cgi-bin/hgTracks?position=221997_s_at","UCSC")</f>
        <v>UCSC</v>
      </c>
      <c r="E6241" s="1" t="str">
        <f>HYPERLINK("http://www.ncbi.nlm.nih.gov/gene/?term=MRPL52","NCBI")</f>
        <v>NCBI</v>
      </c>
      <c r="F6241">
        <v>7.0000000000000007E-2</v>
      </c>
      <c r="G6241">
        <v>0.19</v>
      </c>
      <c r="H6241" s="1" t="str">
        <f>HYPERLINK("http://www.weizmann.ac.il/complex/compphys/software/geview/data/figures/221997_s_at.png","Figure")</f>
        <v>Figure</v>
      </c>
      <c r="I6241">
        <v>1.1299999999999999</v>
      </c>
      <c r="J6241">
        <v>0.5</v>
      </c>
      <c r="K6241">
        <v>0.879</v>
      </c>
      <c r="L6241">
        <v>0.38</v>
      </c>
      <c r="M6241">
        <v>0.77800000000000002</v>
      </c>
      <c r="N6241">
        <v>6.2E-2</v>
      </c>
    </row>
    <row r="6242" spans="1:14" x14ac:dyDescent="0.25">
      <c r="A6242" t="s">
        <v>11217</v>
      </c>
      <c r="B6242" t="s">
        <v>6146</v>
      </c>
      <c r="C6242" s="1" t="str">
        <f>HYPERLINK("http://www.genecards.org/cgi-bin/carddisp.pl?gene=FUT6","GeneCards")</f>
        <v>GeneCards</v>
      </c>
      <c r="D6242" s="1" t="str">
        <f>HYPERLINK("http://genome-euro.ucsc.edu/cgi-bin/hgTracks?position=210399_x_at","UCSC")</f>
        <v>UCSC</v>
      </c>
      <c r="E6242" s="1" t="str">
        <f>HYPERLINK("http://www.ncbi.nlm.nih.gov/gene/?term=FUT6","NCBI")</f>
        <v>NCBI</v>
      </c>
      <c r="F6242">
        <v>7.0000000000000007E-2</v>
      </c>
      <c r="G6242">
        <v>0.19</v>
      </c>
      <c r="H6242" s="1" t="str">
        <f>HYPERLINK("http://www.weizmann.ac.il/complex/compphys/software/geview/data/figures/210399_x_at.png","Figure")</f>
        <v>Figure</v>
      </c>
      <c r="I6242">
        <v>1.31</v>
      </c>
      <c r="J6242">
        <v>8.5000000000000006E-2</v>
      </c>
      <c r="K6242">
        <v>1.03</v>
      </c>
      <c r="L6242">
        <v>0.95</v>
      </c>
      <c r="M6242">
        <v>0.78800000000000003</v>
      </c>
      <c r="N6242">
        <v>0.1</v>
      </c>
    </row>
    <row r="6243" spans="1:14" x14ac:dyDescent="0.25">
      <c r="A6243" t="s">
        <v>11218</v>
      </c>
      <c r="B6243" t="s">
        <v>11219</v>
      </c>
      <c r="C6243" s="1" t="str">
        <f>HYPERLINK("http://www.genecards.org/cgi-bin/carddisp.pl?gene=OTOR","GeneCards")</f>
        <v>GeneCards</v>
      </c>
      <c r="D6243" s="1" t="str">
        <f>HYPERLINK("http://genome-euro.ucsc.edu/cgi-bin/hgTracks?position=221209_s_at","UCSC")</f>
        <v>UCSC</v>
      </c>
      <c r="E6243" s="1" t="str">
        <f>HYPERLINK("http://www.ncbi.nlm.nih.gov/gene/?term=OTOR","NCBI")</f>
        <v>NCBI</v>
      </c>
      <c r="F6243">
        <v>7.0000000000000007E-2</v>
      </c>
      <c r="G6243">
        <v>0.19</v>
      </c>
      <c r="H6243" s="1" t="str">
        <f>HYPERLINK("http://www.weizmann.ac.il/complex/compphys/software/geview/data/figures/221209_s_at.png","Figure")</f>
        <v>Figure</v>
      </c>
      <c r="I6243">
        <v>1.18</v>
      </c>
      <c r="J6243">
        <v>5.8000000000000003E-2</v>
      </c>
      <c r="K6243">
        <v>1.08</v>
      </c>
      <c r="L6243">
        <v>0.37</v>
      </c>
      <c r="M6243">
        <v>0.91800000000000004</v>
      </c>
      <c r="N6243">
        <v>0.36</v>
      </c>
    </row>
    <row r="6244" spans="1:14" x14ac:dyDescent="0.25">
      <c r="A6244" t="s">
        <v>11220</v>
      </c>
      <c r="B6244" t="s">
        <v>11221</v>
      </c>
      <c r="C6244" s="1" t="str">
        <f>HYPERLINK("http://www.genecards.org/cgi-bin/carddisp.pl?gene=REC8","GeneCards")</f>
        <v>GeneCards</v>
      </c>
      <c r="D6244" s="1" t="str">
        <f>HYPERLINK("http://genome-euro.ucsc.edu/cgi-bin/hgTracks?position=218599_at","UCSC")</f>
        <v>UCSC</v>
      </c>
      <c r="E6244" s="1" t="str">
        <f>HYPERLINK("http://www.ncbi.nlm.nih.gov/gene/?term=REC8","NCBI")</f>
        <v>NCBI</v>
      </c>
      <c r="F6244">
        <v>7.0999999999999994E-2</v>
      </c>
      <c r="G6244">
        <v>0.19</v>
      </c>
      <c r="H6244" s="1" t="str">
        <f>HYPERLINK("http://www.weizmann.ac.il/complex/compphys/software/geview/data/figures/218599_at.png","Figure")</f>
        <v>Figure</v>
      </c>
      <c r="I6244">
        <v>1.31</v>
      </c>
      <c r="J6244">
        <v>7.3999999999999996E-2</v>
      </c>
      <c r="K6244">
        <v>1.21</v>
      </c>
      <c r="L6244">
        <v>0.17</v>
      </c>
      <c r="M6244">
        <v>0.92200000000000004</v>
      </c>
      <c r="N6244">
        <v>0.72</v>
      </c>
    </row>
    <row r="6245" spans="1:14" x14ac:dyDescent="0.25">
      <c r="A6245" t="s">
        <v>11222</v>
      </c>
      <c r="B6245" t="s">
        <v>1646</v>
      </c>
      <c r="C6245" s="1" t="str">
        <f>HYPERLINK("http://www.genecards.org/cgi-bin/carddisp.pl?gene=AAK1","GeneCards")</f>
        <v>GeneCards</v>
      </c>
      <c r="D6245" s="1" t="str">
        <f>HYPERLINK("http://genome-euro.ucsc.edu/cgi-bin/hgTracks?position=211186_s_at","UCSC")</f>
        <v>UCSC</v>
      </c>
      <c r="E6245" s="1" t="str">
        <f>HYPERLINK("http://www.ncbi.nlm.nih.gov/gene/?term=AAK1","NCBI")</f>
        <v>NCBI</v>
      </c>
      <c r="F6245">
        <v>7.0999999999999994E-2</v>
      </c>
      <c r="G6245">
        <v>0.19</v>
      </c>
      <c r="H6245" s="1" t="str">
        <f>HYPERLINK("http://www.weizmann.ac.il/complex/compphys/software/geview/data/figures/211186_s_at.png","Figure")</f>
        <v>Figure</v>
      </c>
      <c r="I6245">
        <v>1.18</v>
      </c>
      <c r="J6245">
        <v>5.8999999999999997E-2</v>
      </c>
      <c r="K6245">
        <v>1.06</v>
      </c>
      <c r="L6245">
        <v>0.52</v>
      </c>
      <c r="M6245">
        <v>0.90300000000000002</v>
      </c>
      <c r="N6245">
        <v>0.25</v>
      </c>
    </row>
    <row r="6246" spans="1:14" x14ac:dyDescent="0.25">
      <c r="A6246" t="s">
        <v>11223</v>
      </c>
      <c r="B6246" t="s">
        <v>11224</v>
      </c>
      <c r="C6246" s="1" t="str">
        <f>HYPERLINK("http://www.genecards.org/cgi-bin/carddisp.pl?gene=DPYSL2","GeneCards")</f>
        <v>GeneCards</v>
      </c>
      <c r="D6246" s="1" t="str">
        <f>HYPERLINK("http://genome-euro.ucsc.edu/cgi-bin/hgTracks?position=200762_at","UCSC")</f>
        <v>UCSC</v>
      </c>
      <c r="E6246" s="1" t="str">
        <f>HYPERLINK("http://www.ncbi.nlm.nih.gov/gene/?term=DPYSL2","NCBI")</f>
        <v>NCBI</v>
      </c>
      <c r="F6246">
        <v>7.0999999999999994E-2</v>
      </c>
      <c r="G6246">
        <v>0.19</v>
      </c>
      <c r="H6246" s="1" t="str">
        <f>HYPERLINK("http://www.weizmann.ac.il/complex/compphys/software/geview/data/figures/200762_at.png","Figure")</f>
        <v>Figure</v>
      </c>
      <c r="I6246">
        <v>0.50800000000000001</v>
      </c>
      <c r="J6246">
        <v>5.8000000000000003E-2</v>
      </c>
      <c r="K6246">
        <v>0.72599999999999998</v>
      </c>
      <c r="L6246">
        <v>0.38</v>
      </c>
      <c r="M6246">
        <v>1.43</v>
      </c>
      <c r="N6246">
        <v>0.35</v>
      </c>
    </row>
    <row r="6247" spans="1:14" x14ac:dyDescent="0.25">
      <c r="A6247" t="s">
        <v>11225</v>
      </c>
      <c r="B6247" t="s">
        <v>3525</v>
      </c>
      <c r="C6247" s="1" t="str">
        <f>HYPERLINK("http://www.genecards.org/cgi-bin/carddisp.pl?gene=SMC1A","GeneCards")</f>
        <v>GeneCards</v>
      </c>
      <c r="D6247" s="1" t="str">
        <f>HYPERLINK("http://genome-euro.ucsc.edu/cgi-bin/hgTracks?position=217555_at","UCSC")</f>
        <v>UCSC</v>
      </c>
      <c r="E6247" s="1" t="str">
        <f>HYPERLINK("http://www.ncbi.nlm.nih.gov/gene/?term=SMC1A","NCBI")</f>
        <v>NCBI</v>
      </c>
      <c r="F6247">
        <v>7.0999999999999994E-2</v>
      </c>
      <c r="G6247">
        <v>0.19</v>
      </c>
      <c r="H6247" s="1" t="str">
        <f>HYPERLINK("http://www.weizmann.ac.il/complex/compphys/software/geview/data/figures/217555_at.png","Figure")</f>
        <v>Figure</v>
      </c>
      <c r="I6247">
        <v>0.80200000000000005</v>
      </c>
      <c r="J6247">
        <v>9.9000000000000005E-2</v>
      </c>
      <c r="K6247">
        <v>0.99099999999999999</v>
      </c>
      <c r="L6247">
        <v>0.99</v>
      </c>
      <c r="M6247">
        <v>1.24</v>
      </c>
      <c r="N6247">
        <v>8.8999999999999996E-2</v>
      </c>
    </row>
    <row r="6248" spans="1:14" x14ac:dyDescent="0.25">
      <c r="A6248" t="s">
        <v>11226</v>
      </c>
      <c r="B6248" t="s">
        <v>11227</v>
      </c>
      <c r="C6248" s="1" t="str">
        <f>HYPERLINK("http://www.genecards.org/cgi-bin/carddisp.pl?gene=ARL1","GeneCards")</f>
        <v>GeneCards</v>
      </c>
      <c r="D6248" s="1" t="str">
        <f>HYPERLINK("http://genome-euro.ucsc.edu/cgi-bin/hgTracks?position=201658_at","UCSC")</f>
        <v>UCSC</v>
      </c>
      <c r="E6248" s="1" t="str">
        <f>HYPERLINK("http://www.ncbi.nlm.nih.gov/gene/?term=ARL1","NCBI")</f>
        <v>NCBI</v>
      </c>
      <c r="F6248">
        <v>7.0999999999999994E-2</v>
      </c>
      <c r="G6248">
        <v>0.19</v>
      </c>
      <c r="H6248" s="1" t="str">
        <f>HYPERLINK("http://www.weizmann.ac.il/complex/compphys/software/geview/data/figures/201658_at.png","Figure")</f>
        <v>Figure</v>
      </c>
      <c r="I6248">
        <v>0.68700000000000006</v>
      </c>
      <c r="J6248">
        <v>0.2</v>
      </c>
      <c r="K6248">
        <v>0.64400000000000002</v>
      </c>
      <c r="L6248">
        <v>6.8000000000000005E-2</v>
      </c>
      <c r="M6248">
        <v>0.93700000000000006</v>
      </c>
      <c r="N6248">
        <v>0.94</v>
      </c>
    </row>
    <row r="6249" spans="1:14" x14ac:dyDescent="0.25">
      <c r="A6249" t="s">
        <v>11228</v>
      </c>
      <c r="B6249" t="s">
        <v>3647</v>
      </c>
      <c r="C6249" s="1" t="str">
        <f>HYPERLINK("http://www.genecards.org/cgi-bin/carddisp.pl?gene=FYB","GeneCards")</f>
        <v>GeneCards</v>
      </c>
      <c r="D6249" s="1" t="str">
        <f>HYPERLINK("http://genome-euro.ucsc.edu/cgi-bin/hgTracks?position=211794_at","UCSC")</f>
        <v>UCSC</v>
      </c>
      <c r="E6249" s="1" t="str">
        <f>HYPERLINK("http://www.ncbi.nlm.nih.gov/gene/?term=FYB","NCBI")</f>
        <v>NCBI</v>
      </c>
      <c r="F6249">
        <v>7.0999999999999994E-2</v>
      </c>
      <c r="G6249">
        <v>0.19</v>
      </c>
      <c r="H6249" s="1" t="str">
        <f>HYPERLINK("http://www.weizmann.ac.il/complex/compphys/software/geview/data/figures/211794_at.png","Figure")</f>
        <v>Figure</v>
      </c>
      <c r="I6249">
        <v>1.36</v>
      </c>
      <c r="J6249">
        <v>0.23</v>
      </c>
      <c r="K6249">
        <v>0.89</v>
      </c>
      <c r="L6249">
        <v>0.74</v>
      </c>
      <c r="M6249">
        <v>0.65500000000000003</v>
      </c>
      <c r="N6249">
        <v>5.8999999999999997E-2</v>
      </c>
    </row>
    <row r="6250" spans="1:14" x14ac:dyDescent="0.25">
      <c r="A6250" t="s">
        <v>11229</v>
      </c>
      <c r="B6250" t="s">
        <v>11230</v>
      </c>
      <c r="C6250" s="1" t="str">
        <f>HYPERLINK("http://www.genecards.org/cgi-bin/carddisp.pl?gene=TRIM33","GeneCards")</f>
        <v>GeneCards</v>
      </c>
      <c r="D6250" s="1" t="str">
        <f>HYPERLINK("http://genome-euro.ucsc.edu/cgi-bin/hgTracks?position=212436_at","UCSC")</f>
        <v>UCSC</v>
      </c>
      <c r="E6250" s="1" t="str">
        <f>HYPERLINK("http://www.ncbi.nlm.nih.gov/gene/?term=TRIM33","NCBI")</f>
        <v>NCBI</v>
      </c>
      <c r="F6250">
        <v>7.0999999999999994E-2</v>
      </c>
      <c r="G6250">
        <v>0.19</v>
      </c>
      <c r="H6250" s="1" t="str">
        <f>HYPERLINK("http://www.weizmann.ac.il/complex/compphys/software/geview/data/figures/212436_at.png","Figure")</f>
        <v>Figure</v>
      </c>
      <c r="I6250">
        <v>1.32</v>
      </c>
      <c r="J6250">
        <v>0.37</v>
      </c>
      <c r="K6250">
        <v>0.82099999999999995</v>
      </c>
      <c r="L6250">
        <v>0.52</v>
      </c>
      <c r="M6250">
        <v>0.621</v>
      </c>
      <c r="N6250">
        <v>5.8000000000000003E-2</v>
      </c>
    </row>
    <row r="6251" spans="1:14" x14ac:dyDescent="0.25">
      <c r="A6251" t="s">
        <v>11231</v>
      </c>
      <c r="B6251" t="s">
        <v>4449</v>
      </c>
      <c r="C6251" s="1" t="str">
        <f>HYPERLINK("http://www.genecards.org/cgi-bin/carddisp.pl?gene=EBP","GeneCards")</f>
        <v>GeneCards</v>
      </c>
      <c r="D6251" s="1" t="str">
        <f>HYPERLINK("http://genome-euro.ucsc.edu/cgi-bin/hgTracks?position=213787_s_at","UCSC")</f>
        <v>UCSC</v>
      </c>
      <c r="E6251" s="1" t="str">
        <f>HYPERLINK("http://www.ncbi.nlm.nih.gov/gene/?term=EBP","NCBI")</f>
        <v>NCBI</v>
      </c>
      <c r="F6251">
        <v>7.0999999999999994E-2</v>
      </c>
      <c r="G6251">
        <v>0.19</v>
      </c>
      <c r="H6251" s="1" t="str">
        <f>HYPERLINK("http://www.weizmann.ac.il/complex/compphys/software/geview/data/figures/213787_s_at.png","Figure")</f>
        <v>Figure</v>
      </c>
      <c r="I6251">
        <v>0.627</v>
      </c>
      <c r="J6251">
        <v>0.06</v>
      </c>
      <c r="K6251">
        <v>0.84899999999999998</v>
      </c>
      <c r="L6251">
        <v>0.57999999999999996</v>
      </c>
      <c r="M6251">
        <v>1.35</v>
      </c>
      <c r="N6251">
        <v>0.22</v>
      </c>
    </row>
    <row r="6252" spans="1:14" x14ac:dyDescent="0.25">
      <c r="A6252" t="s">
        <v>11232</v>
      </c>
      <c r="B6252" t="s">
        <v>3968</v>
      </c>
      <c r="C6252" s="1" t="str">
        <f>HYPERLINK("http://www.genecards.org/cgi-bin/carddisp.pl?gene=CRAT","GeneCards")</f>
        <v>GeneCards</v>
      </c>
      <c r="D6252" s="1" t="str">
        <f>HYPERLINK("http://genome-euro.ucsc.edu/cgi-bin/hgTracks?position=209522_s_at","UCSC")</f>
        <v>UCSC</v>
      </c>
      <c r="E6252" s="1" t="str">
        <f>HYPERLINK("http://www.ncbi.nlm.nih.gov/gene/?term=CRAT","NCBI")</f>
        <v>NCBI</v>
      </c>
      <c r="F6252">
        <v>7.0999999999999994E-2</v>
      </c>
      <c r="G6252">
        <v>0.19</v>
      </c>
      <c r="H6252" s="1" t="str">
        <f>HYPERLINK("http://www.weizmann.ac.il/complex/compphys/software/geview/data/figures/209522_s_at.png","Figure")</f>
        <v>Figure</v>
      </c>
      <c r="I6252">
        <v>0.98</v>
      </c>
      <c r="J6252">
        <v>0.98</v>
      </c>
      <c r="K6252">
        <v>1.21</v>
      </c>
      <c r="L6252">
        <v>0.13</v>
      </c>
      <c r="M6252">
        <v>1.23</v>
      </c>
      <c r="N6252">
        <v>0.12</v>
      </c>
    </row>
    <row r="6253" spans="1:14" x14ac:dyDescent="0.25">
      <c r="A6253" t="s">
        <v>11233</v>
      </c>
      <c r="B6253" t="s">
        <v>11234</v>
      </c>
      <c r="C6253" s="1" t="str">
        <f>HYPERLINK("http://www.genecards.org/cgi-bin/carddisp.pl?gene=NBR1","GeneCards")</f>
        <v>GeneCards</v>
      </c>
      <c r="D6253" s="1" t="str">
        <f>HYPERLINK("http://genome-euro.ucsc.edu/cgi-bin/hgTracks?position=201383_s_at","UCSC")</f>
        <v>UCSC</v>
      </c>
      <c r="E6253" s="1" t="str">
        <f>HYPERLINK("http://www.ncbi.nlm.nih.gov/gene/?term=NBR1","NCBI")</f>
        <v>NCBI</v>
      </c>
      <c r="F6253">
        <v>7.0999999999999994E-2</v>
      </c>
      <c r="G6253">
        <v>0.19</v>
      </c>
      <c r="H6253" s="1" t="str">
        <f>HYPERLINK("http://www.weizmann.ac.il/complex/compphys/software/geview/data/figures/201383_s_at.png","Figure")</f>
        <v>Figure</v>
      </c>
      <c r="I6253">
        <v>1.1499999999999999</v>
      </c>
      <c r="J6253">
        <v>7.2999999999999995E-2</v>
      </c>
      <c r="K6253">
        <v>1.1000000000000001</v>
      </c>
      <c r="L6253">
        <v>0.17</v>
      </c>
      <c r="M6253">
        <v>0.95699999999999996</v>
      </c>
      <c r="N6253">
        <v>0.71</v>
      </c>
    </row>
    <row r="6254" spans="1:14" x14ac:dyDescent="0.25">
      <c r="A6254" t="s">
        <v>11235</v>
      </c>
      <c r="B6254" t="s">
        <v>2868</v>
      </c>
      <c r="C6254" s="1" t="str">
        <f>HYPERLINK("http://www.genecards.org/cgi-bin/carddisp.pl?gene=KDM2A","GeneCards")</f>
        <v>GeneCards</v>
      </c>
      <c r="D6254" s="1" t="str">
        <f>HYPERLINK("http://genome-euro.ucsc.edu/cgi-bin/hgTracks?position=208988_at","UCSC")</f>
        <v>UCSC</v>
      </c>
      <c r="E6254" s="1" t="str">
        <f>HYPERLINK("http://www.ncbi.nlm.nih.gov/gene/?term=KDM2A","NCBI")</f>
        <v>NCBI</v>
      </c>
      <c r="F6254">
        <v>7.0999999999999994E-2</v>
      </c>
      <c r="G6254">
        <v>0.19</v>
      </c>
      <c r="H6254" s="1" t="str">
        <f>HYPERLINK("http://www.weizmann.ac.il/complex/compphys/software/geview/data/figures/208988_at.png","Figure")</f>
        <v>Figure</v>
      </c>
      <c r="I6254">
        <v>0.745</v>
      </c>
      <c r="J6254">
        <v>0.32</v>
      </c>
      <c r="K6254">
        <v>0.64700000000000002</v>
      </c>
      <c r="L6254">
        <v>5.8999999999999997E-2</v>
      </c>
      <c r="M6254">
        <v>0.86899999999999999</v>
      </c>
      <c r="N6254">
        <v>0.73</v>
      </c>
    </row>
    <row r="6255" spans="1:14" x14ac:dyDescent="0.25">
      <c r="A6255" t="s">
        <v>11236</v>
      </c>
      <c r="B6255" t="s">
        <v>11237</v>
      </c>
      <c r="C6255" s="1" t="str">
        <f>HYPERLINK("http://www.genecards.org/cgi-bin/carddisp.pl?gene=WRN","GeneCards")</f>
        <v>GeneCards</v>
      </c>
      <c r="D6255" s="1" t="str">
        <f>HYPERLINK("http://genome-euro.ucsc.edu/cgi-bin/hgTracks?position=205667_at","UCSC")</f>
        <v>UCSC</v>
      </c>
      <c r="E6255" s="1" t="str">
        <f>HYPERLINK("http://www.ncbi.nlm.nih.gov/gene/?term=WRN","NCBI")</f>
        <v>NCBI</v>
      </c>
      <c r="F6255">
        <v>7.0999999999999994E-2</v>
      </c>
      <c r="G6255">
        <v>0.19</v>
      </c>
      <c r="H6255" s="1" t="str">
        <f>HYPERLINK("http://www.weizmann.ac.il/complex/compphys/software/geview/data/figures/205667_at.png","Figure")</f>
        <v>Figure</v>
      </c>
      <c r="I6255">
        <v>0.60399999999999998</v>
      </c>
      <c r="J6255">
        <v>0.21</v>
      </c>
      <c r="K6255">
        <v>0.54500000000000004</v>
      </c>
      <c r="L6255">
        <v>6.7000000000000004E-2</v>
      </c>
      <c r="M6255">
        <v>0.90300000000000002</v>
      </c>
      <c r="N6255">
        <v>0.92</v>
      </c>
    </row>
    <row r="6256" spans="1:14" x14ac:dyDescent="0.25">
      <c r="A6256" t="s">
        <v>11238</v>
      </c>
      <c r="B6256" t="s">
        <v>11239</v>
      </c>
      <c r="C6256" s="1" t="str">
        <f>HYPERLINK("http://www.genecards.org/cgi-bin/carddisp.pl?gene=PDE1C","GeneCards")</f>
        <v>GeneCards</v>
      </c>
      <c r="D6256" s="1" t="str">
        <f>HYPERLINK("http://genome-euro.ucsc.edu/cgi-bin/hgTracks?position=216869_at","UCSC")</f>
        <v>UCSC</v>
      </c>
      <c r="E6256" s="1" t="str">
        <f>HYPERLINK("http://www.ncbi.nlm.nih.gov/gene/?term=PDE1C","NCBI")</f>
        <v>NCBI</v>
      </c>
      <c r="F6256">
        <v>7.0999999999999994E-2</v>
      </c>
      <c r="G6256">
        <v>0.19</v>
      </c>
      <c r="H6256" s="1" t="str">
        <f>HYPERLINK("http://www.weizmann.ac.il/complex/compphys/software/geview/data/figures/216869_at.png","Figure")</f>
        <v>Figure</v>
      </c>
      <c r="I6256">
        <v>1.23</v>
      </c>
      <c r="J6256">
        <v>5.8000000000000003E-2</v>
      </c>
      <c r="K6256">
        <v>1.1100000000000001</v>
      </c>
      <c r="L6256">
        <v>0.36</v>
      </c>
      <c r="M6256">
        <v>0.89700000000000002</v>
      </c>
      <c r="N6256">
        <v>0.36</v>
      </c>
    </row>
    <row r="6257" spans="1:14" x14ac:dyDescent="0.25">
      <c r="A6257" t="s">
        <v>11240</v>
      </c>
      <c r="B6257" t="s">
        <v>10513</v>
      </c>
      <c r="C6257" s="1" t="str">
        <f>HYPERLINK("http://www.genecards.org/cgi-bin/carddisp.pl?gene=PPP1CB","GeneCards")</f>
        <v>GeneCards</v>
      </c>
      <c r="D6257" s="1" t="str">
        <f>HYPERLINK("http://genome-euro.ucsc.edu/cgi-bin/hgTracks?position=201409_s_at","UCSC")</f>
        <v>UCSC</v>
      </c>
      <c r="E6257" s="1" t="str">
        <f>HYPERLINK("http://www.ncbi.nlm.nih.gov/gene/?term=PPP1CB","NCBI")</f>
        <v>NCBI</v>
      </c>
      <c r="F6257">
        <v>7.0999999999999994E-2</v>
      </c>
      <c r="G6257">
        <v>0.19</v>
      </c>
      <c r="H6257" s="1" t="str">
        <f>HYPERLINK("http://www.weizmann.ac.il/complex/compphys/software/geview/data/figures/201409_s_at.png","Figure")</f>
        <v>Figure</v>
      </c>
      <c r="I6257">
        <v>0.61</v>
      </c>
      <c r="J6257">
        <v>7.3999999999999996E-2</v>
      </c>
      <c r="K6257">
        <v>0.70799999999999996</v>
      </c>
      <c r="L6257">
        <v>0.17</v>
      </c>
      <c r="M6257">
        <v>1.1599999999999999</v>
      </c>
      <c r="N6257">
        <v>0.72</v>
      </c>
    </row>
    <row r="6258" spans="1:14" x14ac:dyDescent="0.25">
      <c r="A6258" t="s">
        <v>11241</v>
      </c>
      <c r="B6258" t="s">
        <v>11242</v>
      </c>
      <c r="C6258" s="1" t="str">
        <f>HYPERLINK("http://www.genecards.org/cgi-bin/carddisp.pl?gene=NELL1","GeneCards")</f>
        <v>GeneCards</v>
      </c>
      <c r="D6258" s="1" t="str">
        <f>HYPERLINK("http://genome-euro.ucsc.edu/cgi-bin/hgTracks?position=206089_at","UCSC")</f>
        <v>UCSC</v>
      </c>
      <c r="E6258" s="1" t="str">
        <f>HYPERLINK("http://www.ncbi.nlm.nih.gov/gene/?term=NELL1","NCBI")</f>
        <v>NCBI</v>
      </c>
      <c r="F6258">
        <v>7.0999999999999994E-2</v>
      </c>
      <c r="G6258">
        <v>0.19</v>
      </c>
      <c r="H6258" s="1" t="str">
        <f>HYPERLINK("http://www.weizmann.ac.il/complex/compphys/software/geview/data/figures/206089_at.png","Figure")</f>
        <v>Figure</v>
      </c>
      <c r="I6258">
        <v>1.1299999999999999</v>
      </c>
      <c r="J6258">
        <v>0.16</v>
      </c>
      <c r="K6258">
        <v>1.1499999999999999</v>
      </c>
      <c r="L6258">
        <v>7.4999999999999997E-2</v>
      </c>
      <c r="M6258">
        <v>1.01</v>
      </c>
      <c r="N6258">
        <v>0.99</v>
      </c>
    </row>
    <row r="6259" spans="1:14" x14ac:dyDescent="0.25">
      <c r="A6259" t="s">
        <v>11243</v>
      </c>
      <c r="B6259" t="s">
        <v>11244</v>
      </c>
      <c r="C6259" s="1" t="str">
        <f>HYPERLINK("http://www.genecards.org/cgi-bin/carddisp.pl?gene=C15orf63 /// SERF2","GeneCards")</f>
        <v>GeneCards</v>
      </c>
      <c r="D6259" s="1" t="str">
        <f>HYPERLINK("http://genome-euro.ucsc.edu/cgi-bin/hgTracks?position=218680_x_at","UCSC")</f>
        <v>UCSC</v>
      </c>
      <c r="E6259" s="1" t="str">
        <f>HYPERLINK("http://www.ncbi.nlm.nih.gov/gene/?term=C15orf63 /// SERF2","NCBI")</f>
        <v>NCBI</v>
      </c>
      <c r="F6259">
        <v>7.0999999999999994E-2</v>
      </c>
      <c r="G6259">
        <v>0.19</v>
      </c>
      <c r="H6259" s="1" t="str">
        <f>HYPERLINK("http://www.weizmann.ac.il/complex/compphys/software/geview/data/figures/218680_x_at.png","Figure")</f>
        <v>Figure</v>
      </c>
      <c r="I6259">
        <v>1</v>
      </c>
      <c r="J6259">
        <v>1</v>
      </c>
      <c r="K6259">
        <v>1.24</v>
      </c>
      <c r="L6259">
        <v>0.1</v>
      </c>
      <c r="M6259">
        <v>1.24</v>
      </c>
      <c r="N6259">
        <v>0.14000000000000001</v>
      </c>
    </row>
    <row r="6260" spans="1:14" x14ac:dyDescent="0.25">
      <c r="A6260" t="s">
        <v>11245</v>
      </c>
      <c r="B6260" t="s">
        <v>11246</v>
      </c>
      <c r="C6260" s="1" t="str">
        <f>HYPERLINK("http://www.genecards.org/cgi-bin/carddisp.pl?gene=UIMC1","GeneCards")</f>
        <v>GeneCards</v>
      </c>
      <c r="D6260" s="1" t="str">
        <f>HYPERLINK("http://genome-euro.ucsc.edu/cgi-bin/hgTracks?position=220746_s_at","UCSC")</f>
        <v>UCSC</v>
      </c>
      <c r="E6260" s="1" t="str">
        <f>HYPERLINK("http://www.ncbi.nlm.nih.gov/gene/?term=UIMC1","NCBI")</f>
        <v>NCBI</v>
      </c>
      <c r="F6260">
        <v>7.0999999999999994E-2</v>
      </c>
      <c r="G6260">
        <v>0.19</v>
      </c>
      <c r="H6260" s="1" t="str">
        <f>HYPERLINK("http://www.weizmann.ac.il/complex/compphys/software/geview/data/figures/220746_s_at.png","Figure")</f>
        <v>Figure</v>
      </c>
      <c r="I6260">
        <v>1.3</v>
      </c>
      <c r="J6260">
        <v>0.18</v>
      </c>
      <c r="K6260">
        <v>0.93600000000000005</v>
      </c>
      <c r="L6260">
        <v>0.85</v>
      </c>
      <c r="M6260">
        <v>0.71899999999999997</v>
      </c>
      <c r="N6260">
        <v>6.3E-2</v>
      </c>
    </row>
    <row r="6261" spans="1:14" x14ac:dyDescent="0.25">
      <c r="A6261" t="s">
        <v>11247</v>
      </c>
      <c r="B6261" t="s">
        <v>3486</v>
      </c>
      <c r="C6261" s="1" t="str">
        <f>HYPERLINK("http://www.genecards.org/cgi-bin/carddisp.pl?gene=CLCN7","GeneCards")</f>
        <v>GeneCards</v>
      </c>
      <c r="D6261" s="1" t="str">
        <f>HYPERLINK("http://genome-euro.ucsc.edu/cgi-bin/hgTracks?position=221961_at","UCSC")</f>
        <v>UCSC</v>
      </c>
      <c r="E6261" s="1" t="str">
        <f>HYPERLINK("http://www.ncbi.nlm.nih.gov/gene/?term=CLCN7","NCBI")</f>
        <v>NCBI</v>
      </c>
      <c r="F6261">
        <v>7.0999999999999994E-2</v>
      </c>
      <c r="G6261">
        <v>0.19</v>
      </c>
      <c r="H6261" s="1" t="str">
        <f>HYPERLINK("http://www.weizmann.ac.il/complex/compphys/software/geview/data/figures/221961_at.png","Figure")</f>
        <v>Figure</v>
      </c>
      <c r="I6261">
        <v>1.1399999999999999</v>
      </c>
      <c r="J6261">
        <v>0.46</v>
      </c>
      <c r="K6261">
        <v>0.88900000000000001</v>
      </c>
      <c r="L6261">
        <v>0.42</v>
      </c>
      <c r="M6261">
        <v>0.78300000000000003</v>
      </c>
      <c r="N6261">
        <v>6.0999999999999999E-2</v>
      </c>
    </row>
    <row r="6262" spans="1:14" x14ac:dyDescent="0.25">
      <c r="A6262" t="s">
        <v>11248</v>
      </c>
      <c r="B6262" t="s">
        <v>11249</v>
      </c>
      <c r="C6262" s="1" t="str">
        <f>HYPERLINK("http://www.genecards.org/cgi-bin/carddisp.pl?gene=PRPF18","GeneCards")</f>
        <v>GeneCards</v>
      </c>
      <c r="D6262" s="1" t="str">
        <f>HYPERLINK("http://genome-euro.ucsc.edu/cgi-bin/hgTracks?position=221547_at","UCSC")</f>
        <v>UCSC</v>
      </c>
      <c r="E6262" s="1" t="str">
        <f>HYPERLINK("http://www.ncbi.nlm.nih.gov/gene/?term=PRPF18","NCBI")</f>
        <v>NCBI</v>
      </c>
      <c r="F6262">
        <v>7.0999999999999994E-2</v>
      </c>
      <c r="G6262">
        <v>0.19</v>
      </c>
      <c r="H6262" s="1" t="str">
        <f>HYPERLINK("http://www.weizmann.ac.il/complex/compphys/software/geview/data/figures/221547_at.png","Figure")</f>
        <v>Figure</v>
      </c>
      <c r="I6262">
        <v>0.58399999999999996</v>
      </c>
      <c r="J6262">
        <v>5.8000000000000003E-2</v>
      </c>
      <c r="K6262">
        <v>0.78100000000000003</v>
      </c>
      <c r="L6262">
        <v>0.39</v>
      </c>
      <c r="M6262">
        <v>1.34</v>
      </c>
      <c r="N6262">
        <v>0.33</v>
      </c>
    </row>
    <row r="6263" spans="1:14" x14ac:dyDescent="0.25">
      <c r="A6263" t="s">
        <v>11250</v>
      </c>
      <c r="B6263" t="s">
        <v>2048</v>
      </c>
      <c r="C6263" s="1" t="str">
        <f>HYPERLINK("http://www.genecards.org/cgi-bin/carddisp.pl?gene=APPBP2","GeneCards")</f>
        <v>GeneCards</v>
      </c>
      <c r="D6263" s="1" t="str">
        <f>HYPERLINK("http://genome-euro.ucsc.edu/cgi-bin/hgTracks?position=202629_at","UCSC")</f>
        <v>UCSC</v>
      </c>
      <c r="E6263" s="1" t="str">
        <f>HYPERLINK("http://www.ncbi.nlm.nih.gov/gene/?term=APPBP2","NCBI")</f>
        <v>NCBI</v>
      </c>
      <c r="F6263">
        <v>7.0999999999999994E-2</v>
      </c>
      <c r="G6263">
        <v>0.19</v>
      </c>
      <c r="H6263" s="1" t="str">
        <f>HYPERLINK("http://www.weizmann.ac.il/complex/compphys/software/geview/data/figures/202629_at.png","Figure")</f>
        <v>Figure</v>
      </c>
      <c r="I6263">
        <v>0.65900000000000003</v>
      </c>
      <c r="J6263">
        <v>6.4000000000000001E-2</v>
      </c>
      <c r="K6263">
        <v>0.77800000000000002</v>
      </c>
      <c r="L6263">
        <v>0.23</v>
      </c>
      <c r="M6263">
        <v>1.18</v>
      </c>
      <c r="N6263">
        <v>0.55000000000000004</v>
      </c>
    </row>
    <row r="6264" spans="1:14" x14ac:dyDescent="0.25">
      <c r="A6264" t="s">
        <v>11251</v>
      </c>
      <c r="B6264" t="s">
        <v>11252</v>
      </c>
      <c r="C6264" s="1" t="str">
        <f>HYPERLINK("http://www.genecards.org/cgi-bin/carddisp.pl?gene=LAX1","GeneCards")</f>
        <v>GeneCards</v>
      </c>
      <c r="D6264" s="1" t="str">
        <f>HYPERLINK("http://genome-euro.ucsc.edu/cgi-bin/hgTracks?position=207734_at","UCSC")</f>
        <v>UCSC</v>
      </c>
      <c r="E6264" s="1" t="str">
        <f>HYPERLINK("http://www.ncbi.nlm.nih.gov/gene/?term=LAX1","NCBI")</f>
        <v>NCBI</v>
      </c>
      <c r="F6264">
        <v>7.0999999999999994E-2</v>
      </c>
      <c r="G6264">
        <v>0.19</v>
      </c>
      <c r="H6264" s="1" t="str">
        <f>HYPERLINK("http://www.weizmann.ac.il/complex/compphys/software/geview/data/figures/207734_at.png","Figure")</f>
        <v>Figure</v>
      </c>
      <c r="I6264">
        <v>0.83699999999999997</v>
      </c>
      <c r="J6264">
        <v>0.34</v>
      </c>
      <c r="K6264">
        <v>0.76400000000000001</v>
      </c>
      <c r="L6264">
        <v>5.8999999999999997E-2</v>
      </c>
      <c r="M6264">
        <v>0.91300000000000003</v>
      </c>
      <c r="N6264">
        <v>0.71</v>
      </c>
    </row>
    <row r="6265" spans="1:14" x14ac:dyDescent="0.25">
      <c r="A6265" t="s">
        <v>11253</v>
      </c>
      <c r="B6265" t="s">
        <v>11254</v>
      </c>
      <c r="C6265" s="1" t="str">
        <f>HYPERLINK("http://www.genecards.org/cgi-bin/carddisp.pl?gene=PCM1","GeneCards")</f>
        <v>GeneCards</v>
      </c>
      <c r="D6265" s="1" t="str">
        <f>HYPERLINK("http://genome-euro.ucsc.edu/cgi-bin/hgTracks?position=209997_x_at","UCSC")</f>
        <v>UCSC</v>
      </c>
      <c r="E6265" s="1" t="str">
        <f>HYPERLINK("http://www.ncbi.nlm.nih.gov/gene/?term=PCM1","NCBI")</f>
        <v>NCBI</v>
      </c>
      <c r="F6265">
        <v>7.0999999999999994E-2</v>
      </c>
      <c r="G6265">
        <v>0.19</v>
      </c>
      <c r="H6265" s="1" t="str">
        <f>HYPERLINK("http://www.weizmann.ac.il/complex/compphys/software/geview/data/figures/209997_x_at.png","Figure")</f>
        <v>Figure</v>
      </c>
      <c r="I6265">
        <v>1.23</v>
      </c>
      <c r="J6265">
        <v>0.37</v>
      </c>
      <c r="K6265">
        <v>0.86599999999999999</v>
      </c>
      <c r="L6265">
        <v>0.52</v>
      </c>
      <c r="M6265">
        <v>0.70499999999999996</v>
      </c>
      <c r="N6265">
        <v>5.8999999999999997E-2</v>
      </c>
    </row>
    <row r="6266" spans="1:14" x14ac:dyDescent="0.25">
      <c r="A6266" t="s">
        <v>11255</v>
      </c>
      <c r="B6266" t="s">
        <v>8481</v>
      </c>
      <c r="C6266" s="1" t="str">
        <f>HYPERLINK("http://www.genecards.org/cgi-bin/carddisp.pl?gene=MTM1","GeneCards")</f>
        <v>GeneCards</v>
      </c>
      <c r="D6266" s="1" t="str">
        <f>HYPERLINK("http://genome-euro.ucsc.edu/cgi-bin/hgTracks?position=204101_at","UCSC")</f>
        <v>UCSC</v>
      </c>
      <c r="E6266" s="1" t="str">
        <f>HYPERLINK("http://www.ncbi.nlm.nih.gov/gene/?term=MTM1","NCBI")</f>
        <v>NCBI</v>
      </c>
      <c r="F6266">
        <v>7.0999999999999994E-2</v>
      </c>
      <c r="G6266">
        <v>0.19</v>
      </c>
      <c r="H6266" s="1" t="str">
        <f>HYPERLINK("http://www.weizmann.ac.il/complex/compphys/software/geview/data/figures/204101_at.png","Figure")</f>
        <v>Figure</v>
      </c>
      <c r="I6266">
        <v>0.66</v>
      </c>
      <c r="J6266">
        <v>5.8999999999999997E-2</v>
      </c>
      <c r="K6266">
        <v>0.84299999999999997</v>
      </c>
      <c r="L6266">
        <v>0.48</v>
      </c>
      <c r="M6266">
        <v>1.28</v>
      </c>
      <c r="N6266">
        <v>0.28000000000000003</v>
      </c>
    </row>
    <row r="6267" spans="1:14" x14ac:dyDescent="0.25">
      <c r="A6267" t="s">
        <v>11256</v>
      </c>
      <c r="B6267" t="s">
        <v>11257</v>
      </c>
      <c r="C6267" s="1" t="str">
        <f>HYPERLINK("http://www.genecards.org/cgi-bin/carddisp.pl?gene=IBSP","GeneCards")</f>
        <v>GeneCards</v>
      </c>
      <c r="D6267" s="1" t="str">
        <f>HYPERLINK("http://genome-euro.ucsc.edu/cgi-bin/hgTracks?position=207370_at","UCSC")</f>
        <v>UCSC</v>
      </c>
      <c r="E6267" s="1" t="str">
        <f>HYPERLINK("http://www.ncbi.nlm.nih.gov/gene/?term=IBSP","NCBI")</f>
        <v>NCBI</v>
      </c>
      <c r="F6267">
        <v>7.0999999999999994E-2</v>
      </c>
      <c r="G6267">
        <v>0.19</v>
      </c>
      <c r="H6267" s="1" t="str">
        <f>HYPERLINK("http://www.weizmann.ac.il/complex/compphys/software/geview/data/figures/207370_at.png","Figure")</f>
        <v>Figure</v>
      </c>
      <c r="I6267">
        <v>1.06</v>
      </c>
      <c r="J6267">
        <v>0.14000000000000001</v>
      </c>
      <c r="K6267">
        <v>1.06</v>
      </c>
      <c r="L6267">
        <v>8.3000000000000004E-2</v>
      </c>
      <c r="M6267">
        <v>1</v>
      </c>
      <c r="N6267">
        <v>1</v>
      </c>
    </row>
    <row r="6268" spans="1:14" x14ac:dyDescent="0.25">
      <c r="A6268" t="s">
        <v>11258</v>
      </c>
      <c r="B6268" t="s">
        <v>11259</v>
      </c>
      <c r="C6268" s="1" t="str">
        <f>HYPERLINK("http://www.genecards.org/cgi-bin/carddisp.pl?gene=DNAJC15","GeneCards")</f>
        <v>GeneCards</v>
      </c>
      <c r="D6268" s="1" t="str">
        <f>HYPERLINK("http://genome-euro.ucsc.edu/cgi-bin/hgTracks?position=218435_at","UCSC")</f>
        <v>UCSC</v>
      </c>
      <c r="E6268" s="1" t="str">
        <f>HYPERLINK("http://www.ncbi.nlm.nih.gov/gene/?term=DNAJC15","NCBI")</f>
        <v>NCBI</v>
      </c>
      <c r="F6268">
        <v>7.0999999999999994E-2</v>
      </c>
      <c r="G6268">
        <v>0.19</v>
      </c>
      <c r="H6268" s="1" t="str">
        <f>HYPERLINK("http://www.weizmann.ac.il/complex/compphys/software/geview/data/figures/218435_at.png","Figure")</f>
        <v>Figure</v>
      </c>
      <c r="I6268">
        <v>0.81499999999999995</v>
      </c>
      <c r="J6268">
        <v>0.78</v>
      </c>
      <c r="K6268">
        <v>0.52400000000000002</v>
      </c>
      <c r="L6268">
        <v>6.8000000000000005E-2</v>
      </c>
      <c r="M6268">
        <v>0.64300000000000002</v>
      </c>
      <c r="N6268">
        <v>0.28999999999999998</v>
      </c>
    </row>
    <row r="6269" spans="1:14" x14ac:dyDescent="0.25">
      <c r="A6269" t="s">
        <v>11260</v>
      </c>
      <c r="B6269" t="s">
        <v>719</v>
      </c>
      <c r="C6269" s="1" t="str">
        <f>HYPERLINK("http://www.genecards.org/cgi-bin/carddisp.pl?gene=TMEM70","GeneCards")</f>
        <v>GeneCards</v>
      </c>
      <c r="D6269" s="1" t="str">
        <f>HYPERLINK("http://genome-euro.ucsc.edu/cgi-bin/hgTracks?position=219449_s_at","UCSC")</f>
        <v>UCSC</v>
      </c>
      <c r="E6269" s="1" t="str">
        <f>HYPERLINK("http://www.ncbi.nlm.nih.gov/gene/?term=TMEM70","NCBI")</f>
        <v>NCBI</v>
      </c>
      <c r="F6269">
        <v>7.0999999999999994E-2</v>
      </c>
      <c r="G6269">
        <v>0.19</v>
      </c>
      <c r="H6269" s="1" t="str">
        <f>HYPERLINK("http://www.weizmann.ac.il/complex/compphys/software/geview/data/figures/219449_s_at.png","Figure")</f>
        <v>Figure</v>
      </c>
      <c r="I6269">
        <v>0.67</v>
      </c>
      <c r="J6269">
        <v>9.4E-2</v>
      </c>
      <c r="K6269">
        <v>0.72</v>
      </c>
      <c r="L6269">
        <v>0.12</v>
      </c>
      <c r="M6269">
        <v>1.07</v>
      </c>
      <c r="N6269">
        <v>0.9</v>
      </c>
    </row>
    <row r="6270" spans="1:14" x14ac:dyDescent="0.25">
      <c r="A6270" t="s">
        <v>11261</v>
      </c>
      <c r="B6270" t="s">
        <v>11262</v>
      </c>
      <c r="C6270" s="1" t="str">
        <f>HYPERLINK("http://www.genecards.org/cgi-bin/carddisp.pl?gene=CSPG5","GeneCards")</f>
        <v>GeneCards</v>
      </c>
      <c r="D6270" s="1" t="str">
        <f>HYPERLINK("http://genome-euro.ucsc.edu/cgi-bin/hgTracks?position=205344_at","UCSC")</f>
        <v>UCSC</v>
      </c>
      <c r="E6270" s="1" t="str">
        <f>HYPERLINK("http://www.ncbi.nlm.nih.gov/gene/?term=CSPG5","NCBI")</f>
        <v>NCBI</v>
      </c>
      <c r="F6270">
        <v>7.0999999999999994E-2</v>
      </c>
      <c r="G6270">
        <v>0.19</v>
      </c>
      <c r="H6270" s="1" t="str">
        <f>HYPERLINK("http://www.weizmann.ac.il/complex/compphys/software/geview/data/figures/205344_at.png","Figure")</f>
        <v>Figure</v>
      </c>
      <c r="I6270">
        <v>1.18</v>
      </c>
      <c r="J6270">
        <v>5.8999999999999997E-2</v>
      </c>
      <c r="K6270">
        <v>1.08</v>
      </c>
      <c r="L6270">
        <v>0.35</v>
      </c>
      <c r="M6270">
        <v>0.92</v>
      </c>
      <c r="N6270">
        <v>0.38</v>
      </c>
    </row>
    <row r="6271" spans="1:14" x14ac:dyDescent="0.25">
      <c r="A6271" t="s">
        <v>11263</v>
      </c>
      <c r="B6271" t="s">
        <v>461</v>
      </c>
      <c r="C6271" s="1" t="str">
        <f>HYPERLINK("http://www.genecards.org/cgi-bin/carddisp.pl?gene=KDELR2","GeneCards")</f>
        <v>GeneCards</v>
      </c>
      <c r="D6271" s="1" t="str">
        <f>HYPERLINK("http://genome-euro.ucsc.edu/cgi-bin/hgTracks?position=200700_s_at","UCSC")</f>
        <v>UCSC</v>
      </c>
      <c r="E6271" s="1" t="str">
        <f>HYPERLINK("http://www.ncbi.nlm.nih.gov/gene/?term=KDELR2","NCBI")</f>
        <v>NCBI</v>
      </c>
      <c r="F6271">
        <v>7.0999999999999994E-2</v>
      </c>
      <c r="G6271">
        <v>0.19</v>
      </c>
      <c r="H6271" s="1" t="str">
        <f>HYPERLINK("http://www.weizmann.ac.il/complex/compphys/software/geview/data/figures/200700_s_at.png","Figure")</f>
        <v>Figure</v>
      </c>
      <c r="I6271">
        <v>0.84899999999999998</v>
      </c>
      <c r="J6271">
        <v>0.68</v>
      </c>
      <c r="K6271">
        <v>1.32</v>
      </c>
      <c r="L6271">
        <v>0.26</v>
      </c>
      <c r="M6271">
        <v>1.55</v>
      </c>
      <c r="N6271">
        <v>7.0999999999999994E-2</v>
      </c>
    </row>
    <row r="6272" spans="1:14" x14ac:dyDescent="0.25">
      <c r="A6272" t="s">
        <v>11264</v>
      </c>
      <c r="B6272" t="s">
        <v>11265</v>
      </c>
      <c r="C6272" s="1" t="str">
        <f>HYPERLINK("http://www.genecards.org/cgi-bin/carddisp.pl?gene=TNRC4","GeneCards")</f>
        <v>GeneCards</v>
      </c>
      <c r="D6272" s="1" t="str">
        <f>HYPERLINK("http://genome-euro.ucsc.edu/cgi-bin/hgTracks?position=206817_x_at","UCSC")</f>
        <v>UCSC</v>
      </c>
      <c r="E6272" s="1" t="str">
        <f>HYPERLINK("http://www.ncbi.nlm.nih.gov/gene/?term=TNRC4","NCBI")</f>
        <v>NCBI</v>
      </c>
      <c r="F6272">
        <v>7.0999999999999994E-2</v>
      </c>
      <c r="G6272">
        <v>0.19</v>
      </c>
      <c r="H6272" s="1" t="str">
        <f>HYPERLINK("http://www.weizmann.ac.il/complex/compphys/software/geview/data/figures/206817_x_at.png","Figure")</f>
        <v>Figure</v>
      </c>
      <c r="I6272">
        <v>1.47</v>
      </c>
      <c r="J6272">
        <v>7.0000000000000007E-2</v>
      </c>
      <c r="K6272">
        <v>1.29</v>
      </c>
      <c r="L6272">
        <v>0.19</v>
      </c>
      <c r="M6272">
        <v>0.876</v>
      </c>
      <c r="N6272">
        <v>0.65</v>
      </c>
    </row>
    <row r="6273" spans="1:14" x14ac:dyDescent="0.25">
      <c r="A6273" t="s">
        <v>11266</v>
      </c>
      <c r="B6273" t="s">
        <v>11267</v>
      </c>
      <c r="C6273" s="1" t="str">
        <f>HYPERLINK("http://www.genecards.org/cgi-bin/carddisp.pl?gene=HIST1H2AC","GeneCards")</f>
        <v>GeneCards</v>
      </c>
      <c r="D6273" s="1" t="str">
        <f>HYPERLINK("http://genome-euro.ucsc.edu/cgi-bin/hgTracks?position=215071_s_at","UCSC")</f>
        <v>UCSC</v>
      </c>
      <c r="E6273" s="1" t="str">
        <f>HYPERLINK("http://www.ncbi.nlm.nih.gov/gene/?term=HIST1H2AC","NCBI")</f>
        <v>NCBI</v>
      </c>
      <c r="F6273">
        <v>7.0999999999999994E-2</v>
      </c>
      <c r="G6273">
        <v>0.19</v>
      </c>
      <c r="H6273" s="1" t="str">
        <f>HYPERLINK("http://www.weizmann.ac.il/complex/compphys/software/geview/data/figures/215071_s_at.png","Figure")</f>
        <v>Figure</v>
      </c>
      <c r="I6273">
        <v>0.40699999999999997</v>
      </c>
      <c r="J6273">
        <v>6.7000000000000004E-2</v>
      </c>
      <c r="K6273">
        <v>0.56899999999999995</v>
      </c>
      <c r="L6273">
        <v>0.21</v>
      </c>
      <c r="M6273">
        <v>1.4</v>
      </c>
      <c r="N6273">
        <v>0.6</v>
      </c>
    </row>
    <row r="6274" spans="1:14" x14ac:dyDescent="0.25">
      <c r="A6274" t="s">
        <v>11268</v>
      </c>
      <c r="B6274" t="s">
        <v>11269</v>
      </c>
      <c r="C6274" s="1" t="str">
        <f>HYPERLINK("http://www.genecards.org/cgi-bin/carddisp.pl?gene=DLG1","GeneCards")</f>
        <v>GeneCards</v>
      </c>
      <c r="D6274" s="1" t="str">
        <f>HYPERLINK("http://genome-euro.ucsc.edu/cgi-bin/hgTracks?position=202514_at","UCSC")</f>
        <v>UCSC</v>
      </c>
      <c r="E6274" s="1" t="str">
        <f>HYPERLINK("http://www.ncbi.nlm.nih.gov/gene/?term=DLG1","NCBI")</f>
        <v>NCBI</v>
      </c>
      <c r="F6274">
        <v>7.0999999999999994E-2</v>
      </c>
      <c r="G6274">
        <v>0.19</v>
      </c>
      <c r="H6274" s="1" t="str">
        <f>HYPERLINK("http://www.weizmann.ac.il/complex/compphys/software/geview/data/figures/202514_at.png","Figure")</f>
        <v>Figure</v>
      </c>
      <c r="I6274">
        <v>0.79400000000000004</v>
      </c>
      <c r="J6274">
        <v>0.23</v>
      </c>
      <c r="K6274">
        <v>1.0900000000000001</v>
      </c>
      <c r="L6274">
        <v>0.76</v>
      </c>
      <c r="M6274">
        <v>1.37</v>
      </c>
      <c r="N6274">
        <v>0.06</v>
      </c>
    </row>
    <row r="6275" spans="1:14" x14ac:dyDescent="0.25">
      <c r="A6275" t="s">
        <v>11270</v>
      </c>
      <c r="B6275" t="s">
        <v>11271</v>
      </c>
      <c r="C6275" s="1" t="str">
        <f>HYPERLINK("http://www.genecards.org/cgi-bin/carddisp.pl?gene=TPM2","GeneCards")</f>
        <v>GeneCards</v>
      </c>
      <c r="D6275" s="1" t="str">
        <f>HYPERLINK("http://genome-euro.ucsc.edu/cgi-bin/hgTracks?position=204083_s_at","UCSC")</f>
        <v>UCSC</v>
      </c>
      <c r="E6275" s="1" t="str">
        <f>HYPERLINK("http://www.ncbi.nlm.nih.gov/gene/?term=TPM2","NCBI")</f>
        <v>NCBI</v>
      </c>
      <c r="F6275">
        <v>7.0999999999999994E-2</v>
      </c>
      <c r="G6275">
        <v>0.19</v>
      </c>
      <c r="H6275" s="1" t="str">
        <f>HYPERLINK("http://www.weizmann.ac.il/complex/compphys/software/geview/data/figures/204083_s_at.png","Figure")</f>
        <v>Figure</v>
      </c>
      <c r="I6275">
        <v>0.70799999999999996</v>
      </c>
      <c r="J6275">
        <v>0.53</v>
      </c>
      <c r="K6275">
        <v>0.499</v>
      </c>
      <c r="L6275">
        <v>0.06</v>
      </c>
      <c r="M6275">
        <v>0.70599999999999996</v>
      </c>
      <c r="N6275">
        <v>0.48</v>
      </c>
    </row>
    <row r="6276" spans="1:14" x14ac:dyDescent="0.25">
      <c r="A6276" t="s">
        <v>11272</v>
      </c>
      <c r="B6276" t="s">
        <v>11273</v>
      </c>
      <c r="C6276" s="1" t="str">
        <f>HYPERLINK("http://www.genecards.org/cgi-bin/carddisp.pl?gene=LOC100289791","GeneCards")</f>
        <v>GeneCards</v>
      </c>
      <c r="D6276" s="1" t="str">
        <f>HYPERLINK("http://genome-euro.ucsc.edu/cgi-bin/hgTracks?position=216571_at","UCSC")</f>
        <v>UCSC</v>
      </c>
      <c r="E6276" s="1" t="str">
        <f>HYPERLINK("http://www.ncbi.nlm.nih.gov/gene/?term=LOC100289791","NCBI")</f>
        <v>NCBI</v>
      </c>
      <c r="F6276">
        <v>7.0999999999999994E-2</v>
      </c>
      <c r="G6276">
        <v>0.19</v>
      </c>
      <c r="H6276" s="1" t="str">
        <f>HYPERLINK("http://www.weizmann.ac.il/complex/compphys/software/geview/data/figures/216571_at.png","Figure")</f>
        <v>Figure</v>
      </c>
      <c r="I6276">
        <v>1.18</v>
      </c>
      <c r="J6276">
        <v>8.8999999999999996E-2</v>
      </c>
      <c r="K6276">
        <v>1.1399999999999999</v>
      </c>
      <c r="L6276">
        <v>0.13</v>
      </c>
      <c r="M6276">
        <v>0.96699999999999997</v>
      </c>
      <c r="N6276">
        <v>0.87</v>
      </c>
    </row>
    <row r="6277" spans="1:14" x14ac:dyDescent="0.25">
      <c r="A6277" t="s">
        <v>11274</v>
      </c>
      <c r="B6277" t="s">
        <v>11275</v>
      </c>
      <c r="C6277" s="1" t="str">
        <f>HYPERLINK("http://www.genecards.org/cgi-bin/carddisp.pl?gene=SNX19","GeneCards")</f>
        <v>GeneCards</v>
      </c>
      <c r="D6277" s="1" t="str">
        <f>HYPERLINK("http://genome-euro.ucsc.edu/cgi-bin/hgTracks?position=202358_s_at","UCSC")</f>
        <v>UCSC</v>
      </c>
      <c r="E6277" s="1" t="str">
        <f>HYPERLINK("http://www.ncbi.nlm.nih.gov/gene/?term=SNX19","NCBI")</f>
        <v>NCBI</v>
      </c>
      <c r="F6277">
        <v>7.0999999999999994E-2</v>
      </c>
      <c r="G6277">
        <v>0.19</v>
      </c>
      <c r="H6277" s="1" t="str">
        <f>HYPERLINK("http://www.weizmann.ac.il/complex/compphys/software/geview/data/figures/202358_s_at.png","Figure")</f>
        <v>Figure</v>
      </c>
      <c r="I6277">
        <v>1.21</v>
      </c>
      <c r="J6277">
        <v>6.2E-2</v>
      </c>
      <c r="K6277">
        <v>1.06</v>
      </c>
      <c r="L6277">
        <v>0.64</v>
      </c>
      <c r="M6277">
        <v>0.878</v>
      </c>
      <c r="N6277">
        <v>0.2</v>
      </c>
    </row>
    <row r="6278" spans="1:14" x14ac:dyDescent="0.25">
      <c r="A6278" t="s">
        <v>11276</v>
      </c>
      <c r="B6278" t="s">
        <v>11277</v>
      </c>
      <c r="C6278" s="1" t="str">
        <f>HYPERLINK("http://www.genecards.org/cgi-bin/carddisp.pl?gene=LRRC3","GeneCards")</f>
        <v>GeneCards</v>
      </c>
      <c r="D6278" s="1" t="str">
        <f>HYPERLINK("http://genome-euro.ucsc.edu/cgi-bin/hgTracks?position=221017_s_at","UCSC")</f>
        <v>UCSC</v>
      </c>
      <c r="E6278" s="1" t="str">
        <f>HYPERLINK("http://www.ncbi.nlm.nih.gov/gene/?term=LRRC3","NCBI")</f>
        <v>NCBI</v>
      </c>
      <c r="F6278">
        <v>7.0999999999999994E-2</v>
      </c>
      <c r="G6278">
        <v>0.19</v>
      </c>
      <c r="H6278" s="1" t="str">
        <f>HYPERLINK("http://www.weizmann.ac.il/complex/compphys/software/geview/data/figures/221017_s_at.png","Figure")</f>
        <v>Figure</v>
      </c>
      <c r="I6278">
        <v>1.04</v>
      </c>
      <c r="J6278">
        <v>0.68</v>
      </c>
      <c r="K6278">
        <v>0.93300000000000005</v>
      </c>
      <c r="L6278">
        <v>0.27</v>
      </c>
      <c r="M6278">
        <v>0.89500000000000002</v>
      </c>
      <c r="N6278">
        <v>7.0999999999999994E-2</v>
      </c>
    </row>
    <row r="6279" spans="1:14" x14ac:dyDescent="0.25">
      <c r="A6279" t="s">
        <v>11278</v>
      </c>
      <c r="B6279" t="s">
        <v>11279</v>
      </c>
      <c r="C6279" s="1" t="str">
        <f>HYPERLINK("http://www.genecards.org/cgi-bin/carddisp.pl?gene=ATP2A3","GeneCards")</f>
        <v>GeneCards</v>
      </c>
      <c r="D6279" s="1" t="str">
        <f>HYPERLINK("http://genome-euro.ucsc.edu/cgi-bin/hgTracks?position=207521_s_at","UCSC")</f>
        <v>UCSC</v>
      </c>
      <c r="E6279" s="1" t="str">
        <f>HYPERLINK("http://www.ncbi.nlm.nih.gov/gene/?term=ATP2A3","NCBI")</f>
        <v>NCBI</v>
      </c>
      <c r="F6279">
        <v>7.0999999999999994E-2</v>
      </c>
      <c r="G6279">
        <v>0.19</v>
      </c>
      <c r="H6279" s="1" t="str">
        <f>HYPERLINK("http://www.weizmann.ac.il/complex/compphys/software/geview/data/figures/207521_s_at.png","Figure")</f>
        <v>Figure</v>
      </c>
      <c r="I6279">
        <v>1.17</v>
      </c>
      <c r="J6279">
        <v>5.8999999999999997E-2</v>
      </c>
      <c r="K6279">
        <v>1.07</v>
      </c>
      <c r="L6279">
        <v>0.44</v>
      </c>
      <c r="M6279">
        <v>0.91500000000000004</v>
      </c>
      <c r="N6279">
        <v>0.3</v>
      </c>
    </row>
    <row r="6280" spans="1:14" x14ac:dyDescent="0.25">
      <c r="A6280" t="s">
        <v>11280</v>
      </c>
      <c r="B6280" t="s">
        <v>11281</v>
      </c>
      <c r="C6280" s="1" t="str">
        <f>HYPERLINK("http://www.genecards.org/cgi-bin/carddisp.pl?gene=EXOSC10","GeneCards")</f>
        <v>GeneCards</v>
      </c>
      <c r="D6280" s="1" t="str">
        <f>HYPERLINK("http://genome-euro.ucsc.edu/cgi-bin/hgTracks?position=207541_s_at","UCSC")</f>
        <v>UCSC</v>
      </c>
      <c r="E6280" s="1" t="str">
        <f>HYPERLINK("http://www.ncbi.nlm.nih.gov/gene/?term=EXOSC10","NCBI")</f>
        <v>NCBI</v>
      </c>
      <c r="F6280">
        <v>7.0999999999999994E-2</v>
      </c>
      <c r="G6280">
        <v>0.19</v>
      </c>
      <c r="H6280" s="1" t="str">
        <f>HYPERLINK("http://www.weizmann.ac.il/complex/compphys/software/geview/data/figures/207541_s_at.png","Figure")</f>
        <v>Figure</v>
      </c>
      <c r="I6280">
        <v>1.1000000000000001</v>
      </c>
      <c r="J6280">
        <v>0.79</v>
      </c>
      <c r="K6280">
        <v>0.80500000000000005</v>
      </c>
      <c r="L6280">
        <v>0.21</v>
      </c>
      <c r="M6280">
        <v>0.73399999999999999</v>
      </c>
      <c r="N6280">
        <v>0.08</v>
      </c>
    </row>
    <row r="6281" spans="1:14" x14ac:dyDescent="0.25">
      <c r="A6281" t="s">
        <v>11282</v>
      </c>
      <c r="B6281" t="s">
        <v>11283</v>
      </c>
      <c r="C6281" s="1" t="str">
        <f>HYPERLINK("http://www.genecards.org/cgi-bin/carddisp.pl?gene=PABPC1","GeneCards")</f>
        <v>GeneCards</v>
      </c>
      <c r="D6281" s="1" t="str">
        <f>HYPERLINK("http://genome-euro.ucsc.edu/cgi-bin/hgTracks?position=215157_x_at","UCSC")</f>
        <v>UCSC</v>
      </c>
      <c r="E6281" s="1" t="str">
        <f>HYPERLINK("http://www.ncbi.nlm.nih.gov/gene/?term=PABPC1","NCBI")</f>
        <v>NCBI</v>
      </c>
      <c r="F6281">
        <v>7.0999999999999994E-2</v>
      </c>
      <c r="G6281">
        <v>0.19</v>
      </c>
      <c r="H6281" s="1" t="str">
        <f>HYPERLINK("http://www.weizmann.ac.il/complex/compphys/software/geview/data/figures/215157_x_at.png","Figure")</f>
        <v>Figure</v>
      </c>
      <c r="I6281">
        <v>0.77900000000000003</v>
      </c>
      <c r="J6281">
        <v>6.2E-2</v>
      </c>
      <c r="K6281">
        <v>0.86899999999999999</v>
      </c>
      <c r="L6281">
        <v>0.27</v>
      </c>
      <c r="M6281">
        <v>1.1200000000000001</v>
      </c>
      <c r="N6281">
        <v>0.49</v>
      </c>
    </row>
    <row r="6282" spans="1:14" x14ac:dyDescent="0.25">
      <c r="A6282" t="s">
        <v>11284</v>
      </c>
      <c r="B6282" t="s">
        <v>11285</v>
      </c>
      <c r="C6282" s="1" t="str">
        <f>HYPERLINK("http://www.genecards.org/cgi-bin/carddisp.pl?gene=PRDM8","GeneCards")</f>
        <v>GeneCards</v>
      </c>
      <c r="D6282" s="1" t="str">
        <f>HYPERLINK("http://genome-euro.ucsc.edu/cgi-bin/hgTracks?position=219835_at","UCSC")</f>
        <v>UCSC</v>
      </c>
      <c r="E6282" s="1" t="str">
        <f>HYPERLINK("http://www.ncbi.nlm.nih.gov/gene/?term=PRDM8","NCBI")</f>
        <v>NCBI</v>
      </c>
      <c r="F6282">
        <v>7.0999999999999994E-2</v>
      </c>
      <c r="G6282">
        <v>0.19</v>
      </c>
      <c r="H6282" s="1" t="str">
        <f>HYPERLINK("http://www.weizmann.ac.il/complex/compphys/software/geview/data/figures/219835_at.png","Figure")</f>
        <v>Figure</v>
      </c>
      <c r="I6282">
        <v>1.25</v>
      </c>
      <c r="J6282">
        <v>7.3999999999999996E-2</v>
      </c>
      <c r="K6282">
        <v>1.1599999999999999</v>
      </c>
      <c r="L6282">
        <v>0.17</v>
      </c>
      <c r="M6282">
        <v>0.93400000000000005</v>
      </c>
      <c r="N6282">
        <v>0.71</v>
      </c>
    </row>
    <row r="6283" spans="1:14" x14ac:dyDescent="0.25">
      <c r="A6283" t="s">
        <v>11286</v>
      </c>
      <c r="B6283" t="s">
        <v>11287</v>
      </c>
      <c r="C6283" s="1" t="str">
        <f>HYPERLINK("http://www.genecards.org/cgi-bin/carddisp.pl?gene=MAPRE2","GeneCards")</f>
        <v>GeneCards</v>
      </c>
      <c r="D6283" s="1" t="str">
        <f>HYPERLINK("http://genome-euro.ucsc.edu/cgi-bin/hgTracks?position=213489_at","UCSC")</f>
        <v>UCSC</v>
      </c>
      <c r="E6283" s="1" t="str">
        <f>HYPERLINK("http://www.ncbi.nlm.nih.gov/gene/?term=MAPRE2","NCBI")</f>
        <v>NCBI</v>
      </c>
      <c r="F6283">
        <v>7.0999999999999994E-2</v>
      </c>
      <c r="G6283">
        <v>0.19</v>
      </c>
      <c r="H6283" s="1" t="str">
        <f>HYPERLINK("http://www.weizmann.ac.il/complex/compphys/software/geview/data/figures/213489_at.png","Figure")</f>
        <v>Figure</v>
      </c>
      <c r="I6283">
        <v>0.80600000000000005</v>
      </c>
      <c r="J6283">
        <v>9.9000000000000005E-2</v>
      </c>
      <c r="K6283">
        <v>0.99</v>
      </c>
      <c r="L6283">
        <v>0.99</v>
      </c>
      <c r="M6283">
        <v>1.23</v>
      </c>
      <c r="N6283">
        <v>9.0999999999999998E-2</v>
      </c>
    </row>
    <row r="6284" spans="1:14" x14ac:dyDescent="0.25">
      <c r="A6284" t="s">
        <v>11288</v>
      </c>
      <c r="B6284" t="s">
        <v>11289</v>
      </c>
      <c r="C6284" s="1" t="str">
        <f>HYPERLINK("http://www.genecards.org/cgi-bin/carddisp.pl?gene=SLC25A14","GeneCards")</f>
        <v>GeneCards</v>
      </c>
      <c r="D6284" s="1" t="str">
        <f>HYPERLINK("http://genome-euro.ucsc.edu/cgi-bin/hgTracks?position=204587_at","UCSC")</f>
        <v>UCSC</v>
      </c>
      <c r="E6284" s="1" t="str">
        <f>HYPERLINK("http://www.ncbi.nlm.nih.gov/gene/?term=SLC25A14","NCBI")</f>
        <v>NCBI</v>
      </c>
      <c r="F6284">
        <v>7.0999999999999994E-2</v>
      </c>
      <c r="G6284">
        <v>0.19</v>
      </c>
      <c r="H6284" s="1" t="str">
        <f>HYPERLINK("http://www.weizmann.ac.il/complex/compphys/software/geview/data/figures/204587_at.png","Figure")</f>
        <v>Figure</v>
      </c>
      <c r="I6284">
        <v>0.73299999999999998</v>
      </c>
      <c r="J6284">
        <v>0.34</v>
      </c>
      <c r="K6284">
        <v>0.624</v>
      </c>
      <c r="L6284">
        <v>5.8999999999999997E-2</v>
      </c>
      <c r="M6284">
        <v>0.85199999999999998</v>
      </c>
      <c r="N6284">
        <v>0.7</v>
      </c>
    </row>
    <row r="6285" spans="1:14" x14ac:dyDescent="0.25">
      <c r="A6285" t="s">
        <v>11290</v>
      </c>
      <c r="B6285" t="s">
        <v>11291</v>
      </c>
      <c r="C6285" s="1" t="str">
        <f>HYPERLINK("http://www.genecards.org/cgi-bin/carddisp.pl?gene=PNPLA4","GeneCards")</f>
        <v>GeneCards</v>
      </c>
      <c r="D6285" s="1" t="str">
        <f>HYPERLINK("http://genome-euro.ucsc.edu/cgi-bin/hgTracks?position=209740_s_at","UCSC")</f>
        <v>UCSC</v>
      </c>
      <c r="E6285" s="1" t="str">
        <f>HYPERLINK("http://www.ncbi.nlm.nih.gov/gene/?term=PNPLA4","NCBI")</f>
        <v>NCBI</v>
      </c>
      <c r="F6285">
        <v>7.0999999999999994E-2</v>
      </c>
      <c r="G6285">
        <v>0.19</v>
      </c>
      <c r="H6285" s="1" t="str">
        <f>HYPERLINK("http://www.weizmann.ac.il/complex/compphys/software/geview/data/figures/209740_s_at.png","Figure")</f>
        <v>Figure</v>
      </c>
      <c r="I6285">
        <v>0.84099999999999997</v>
      </c>
      <c r="J6285">
        <v>0.11</v>
      </c>
      <c r="K6285">
        <v>1</v>
      </c>
      <c r="L6285">
        <v>1</v>
      </c>
      <c r="M6285">
        <v>1.19</v>
      </c>
      <c r="N6285">
        <v>8.3000000000000004E-2</v>
      </c>
    </row>
    <row r="6286" spans="1:14" x14ac:dyDescent="0.25">
      <c r="A6286" t="s">
        <v>11292</v>
      </c>
      <c r="B6286" t="s">
        <v>5044</v>
      </c>
      <c r="C6286" s="1" t="str">
        <f>HYPERLINK("http://www.genecards.org/cgi-bin/carddisp.pl?gene=N4BP1","GeneCards")</f>
        <v>GeneCards</v>
      </c>
      <c r="D6286" s="1" t="str">
        <f>HYPERLINK("http://genome-euro.ucsc.edu/cgi-bin/hgTracks?position=204601_at","UCSC")</f>
        <v>UCSC</v>
      </c>
      <c r="E6286" s="1" t="str">
        <f>HYPERLINK("http://www.ncbi.nlm.nih.gov/gene/?term=N4BP1","NCBI")</f>
        <v>NCBI</v>
      </c>
      <c r="F6286">
        <v>7.0999999999999994E-2</v>
      </c>
      <c r="G6286">
        <v>0.19</v>
      </c>
      <c r="H6286" s="1" t="str">
        <f>HYPERLINK("http://www.weizmann.ac.il/complex/compphys/software/geview/data/figures/204601_at.png","Figure")</f>
        <v>Figure</v>
      </c>
      <c r="I6286">
        <v>0.88100000000000001</v>
      </c>
      <c r="J6286">
        <v>0.81</v>
      </c>
      <c r="K6286">
        <v>0.65100000000000002</v>
      </c>
      <c r="L6286">
        <v>7.0000000000000007E-2</v>
      </c>
      <c r="M6286">
        <v>0.73899999999999999</v>
      </c>
      <c r="N6286">
        <v>0.28000000000000003</v>
      </c>
    </row>
    <row r="6287" spans="1:14" x14ac:dyDescent="0.25">
      <c r="A6287" t="s">
        <v>11293</v>
      </c>
      <c r="B6287" t="s">
        <v>11294</v>
      </c>
      <c r="C6287" s="1" t="str">
        <f>HYPERLINK("http://www.genecards.org/cgi-bin/carddisp.pl?gene=CGA","GeneCards")</f>
        <v>GeneCards</v>
      </c>
      <c r="D6287" s="1" t="str">
        <f>HYPERLINK("http://genome-euro.ucsc.edu/cgi-bin/hgTracks?position=204637_at","UCSC")</f>
        <v>UCSC</v>
      </c>
      <c r="E6287" s="1" t="str">
        <f>HYPERLINK("http://www.ncbi.nlm.nih.gov/gene/?term=CGA","NCBI")</f>
        <v>NCBI</v>
      </c>
      <c r="F6287">
        <v>7.0999999999999994E-2</v>
      </c>
      <c r="G6287">
        <v>0.19</v>
      </c>
      <c r="H6287" s="1" t="str">
        <f>HYPERLINK("http://www.weizmann.ac.il/complex/compphys/software/geview/data/figures/204637_at.png","Figure")</f>
        <v>Figure</v>
      </c>
      <c r="I6287">
        <v>1.25</v>
      </c>
      <c r="J6287">
        <v>7.4999999999999997E-2</v>
      </c>
      <c r="K6287">
        <v>1.04</v>
      </c>
      <c r="L6287">
        <v>0.86</v>
      </c>
      <c r="M6287">
        <v>0.83599999999999997</v>
      </c>
      <c r="N6287">
        <v>0.13</v>
      </c>
    </row>
    <row r="6288" spans="1:14" x14ac:dyDescent="0.25">
      <c r="A6288" t="s">
        <v>11295</v>
      </c>
      <c r="B6288" t="s">
        <v>11296</v>
      </c>
      <c r="C6288" s="1" t="str">
        <f>HYPERLINK("http://www.genecards.org/cgi-bin/carddisp.pl?gene=CMTM6","GeneCards")</f>
        <v>GeneCards</v>
      </c>
      <c r="D6288" s="1" t="str">
        <f>HYPERLINK("http://genome-euro.ucsc.edu/cgi-bin/hgTracks?position=217947_at","UCSC")</f>
        <v>UCSC</v>
      </c>
      <c r="E6288" s="1" t="str">
        <f>HYPERLINK("http://www.ncbi.nlm.nih.gov/gene/?term=CMTM6","NCBI")</f>
        <v>NCBI</v>
      </c>
      <c r="F6288">
        <v>7.0999999999999994E-2</v>
      </c>
      <c r="G6288">
        <v>0.19</v>
      </c>
      <c r="H6288" s="1" t="str">
        <f>HYPERLINK("http://www.weizmann.ac.il/complex/compphys/software/geview/data/figures/217947_at.png","Figure")</f>
        <v>Figure</v>
      </c>
      <c r="I6288">
        <v>0.9</v>
      </c>
      <c r="J6288">
        <v>0.89</v>
      </c>
      <c r="K6288">
        <v>0.61799999999999999</v>
      </c>
      <c r="L6288">
        <v>7.8E-2</v>
      </c>
      <c r="M6288">
        <v>0.68700000000000006</v>
      </c>
      <c r="N6288">
        <v>0.23</v>
      </c>
    </row>
    <row r="6289" spans="1:14" x14ac:dyDescent="0.25">
      <c r="A6289" t="s">
        <v>11297</v>
      </c>
      <c r="B6289" t="s">
        <v>11298</v>
      </c>
      <c r="C6289" s="1" t="str">
        <f>HYPERLINK("http://www.genecards.org/cgi-bin/carddisp.pl?gene=FAM188A","GeneCards")</f>
        <v>GeneCards</v>
      </c>
      <c r="D6289" s="1" t="str">
        <f>HYPERLINK("http://genome-euro.ucsc.edu/cgi-bin/hgTracks?position=218297_at","UCSC")</f>
        <v>UCSC</v>
      </c>
      <c r="E6289" s="1" t="str">
        <f>HYPERLINK("http://www.ncbi.nlm.nih.gov/gene/?term=FAM188A","NCBI")</f>
        <v>NCBI</v>
      </c>
      <c r="F6289">
        <v>7.0999999999999994E-2</v>
      </c>
      <c r="G6289">
        <v>0.19</v>
      </c>
      <c r="H6289" s="1" t="str">
        <f>HYPERLINK("http://www.weizmann.ac.il/complex/compphys/software/geview/data/figures/218297_at.png","Figure")</f>
        <v>Figure</v>
      </c>
      <c r="I6289">
        <v>0.61599999999999999</v>
      </c>
      <c r="J6289">
        <v>8.4000000000000005E-2</v>
      </c>
      <c r="K6289">
        <v>0.69199999999999995</v>
      </c>
      <c r="L6289">
        <v>0.14000000000000001</v>
      </c>
      <c r="M6289">
        <v>1.1200000000000001</v>
      </c>
      <c r="N6289">
        <v>0.82</v>
      </c>
    </row>
    <row r="6290" spans="1:14" x14ac:dyDescent="0.25">
      <c r="A6290" t="s">
        <v>11299</v>
      </c>
      <c r="B6290" t="s">
        <v>11300</v>
      </c>
      <c r="C6290" s="1" t="str">
        <f>HYPERLINK("http://www.genecards.org/cgi-bin/carddisp.pl?gene=ZNF768","GeneCards")</f>
        <v>GeneCards</v>
      </c>
      <c r="D6290" s="1" t="str">
        <f>HYPERLINK("http://genome-euro.ucsc.edu/cgi-bin/hgTracks?position=218916_at","UCSC")</f>
        <v>UCSC</v>
      </c>
      <c r="E6290" s="1" t="str">
        <f>HYPERLINK("http://www.ncbi.nlm.nih.gov/gene/?term=ZNF768","NCBI")</f>
        <v>NCBI</v>
      </c>
      <c r="F6290">
        <v>7.0999999999999994E-2</v>
      </c>
      <c r="G6290">
        <v>0.19</v>
      </c>
      <c r="H6290" s="1" t="str">
        <f>HYPERLINK("http://www.weizmann.ac.il/complex/compphys/software/geview/data/figures/218916_at.png","Figure")</f>
        <v>Figure</v>
      </c>
      <c r="I6290">
        <v>1.23</v>
      </c>
      <c r="J6290">
        <v>5.8999999999999997E-2</v>
      </c>
      <c r="K6290">
        <v>1.08</v>
      </c>
      <c r="L6290">
        <v>0.51</v>
      </c>
      <c r="M6290">
        <v>0.88300000000000001</v>
      </c>
      <c r="N6290">
        <v>0.25</v>
      </c>
    </row>
    <row r="6291" spans="1:14" x14ac:dyDescent="0.25">
      <c r="A6291" t="s">
        <v>11301</v>
      </c>
      <c r="B6291" t="s">
        <v>7098</v>
      </c>
      <c r="C6291" s="1" t="str">
        <f>HYPERLINK("http://www.genecards.org/cgi-bin/carddisp.pl?gene=GDI2","GeneCards")</f>
        <v>GeneCards</v>
      </c>
      <c r="D6291" s="1" t="str">
        <f>HYPERLINK("http://genome-euro.ucsc.edu/cgi-bin/hgTracks?position=200008_s_at","UCSC")</f>
        <v>UCSC</v>
      </c>
      <c r="E6291" s="1" t="str">
        <f>HYPERLINK("http://www.ncbi.nlm.nih.gov/gene/?term=GDI2","NCBI")</f>
        <v>NCBI</v>
      </c>
      <c r="F6291">
        <v>7.1999999999999995E-2</v>
      </c>
      <c r="G6291">
        <v>0.19</v>
      </c>
      <c r="H6291" s="1" t="str">
        <f>HYPERLINK("http://www.weizmann.ac.il/complex/compphys/software/geview/data/figures/200008_s_at.png","Figure")</f>
        <v>Figure</v>
      </c>
      <c r="I6291">
        <v>0.77200000000000002</v>
      </c>
      <c r="J6291">
        <v>0.53</v>
      </c>
      <c r="K6291">
        <v>1.33</v>
      </c>
      <c r="L6291">
        <v>0.36</v>
      </c>
      <c r="M6291">
        <v>1.73</v>
      </c>
      <c r="N6291">
        <v>6.4000000000000001E-2</v>
      </c>
    </row>
    <row r="6292" spans="1:14" x14ac:dyDescent="0.25">
      <c r="A6292" t="s">
        <v>11302</v>
      </c>
      <c r="B6292" t="s">
        <v>11303</v>
      </c>
      <c r="C6292" s="1" t="str">
        <f>HYPERLINK("http://www.genecards.org/cgi-bin/carddisp.pl?gene=SAC3D1","GeneCards")</f>
        <v>GeneCards</v>
      </c>
      <c r="D6292" s="1" t="str">
        <f>HYPERLINK("http://genome-euro.ucsc.edu/cgi-bin/hgTracks?position=205449_at","UCSC")</f>
        <v>UCSC</v>
      </c>
      <c r="E6292" s="1" t="str">
        <f>HYPERLINK("http://www.ncbi.nlm.nih.gov/gene/?term=SAC3D1","NCBI")</f>
        <v>NCBI</v>
      </c>
      <c r="F6292">
        <v>7.1999999999999995E-2</v>
      </c>
      <c r="G6292">
        <v>0.19</v>
      </c>
      <c r="H6292" s="1" t="str">
        <f>HYPERLINK("http://www.weizmann.ac.il/complex/compphys/software/geview/data/figures/205449_at.png","Figure")</f>
        <v>Figure</v>
      </c>
      <c r="I6292">
        <v>0.91500000000000004</v>
      </c>
      <c r="J6292">
        <v>0.92</v>
      </c>
      <c r="K6292">
        <v>1.47</v>
      </c>
      <c r="L6292">
        <v>0.16</v>
      </c>
      <c r="M6292">
        <v>1.6</v>
      </c>
      <c r="N6292">
        <v>9.7000000000000003E-2</v>
      </c>
    </row>
    <row r="6293" spans="1:14" x14ac:dyDescent="0.25">
      <c r="A6293" t="s">
        <v>11304</v>
      </c>
      <c r="B6293" t="s">
        <v>9112</v>
      </c>
      <c r="C6293" s="1" t="str">
        <f>HYPERLINK("http://www.genecards.org/cgi-bin/carddisp.pl?gene=SLC25A11","GeneCards")</f>
        <v>GeneCards</v>
      </c>
      <c r="D6293" s="1" t="str">
        <f>HYPERLINK("http://genome-euro.ucsc.edu/cgi-bin/hgTracks?position=207088_s_at","UCSC")</f>
        <v>UCSC</v>
      </c>
      <c r="E6293" s="1" t="str">
        <f>HYPERLINK("http://www.ncbi.nlm.nih.gov/gene/?term=SLC25A11","NCBI")</f>
        <v>NCBI</v>
      </c>
      <c r="F6293">
        <v>7.1999999999999995E-2</v>
      </c>
      <c r="G6293">
        <v>0.19</v>
      </c>
      <c r="H6293" s="1" t="str">
        <f>HYPERLINK("http://www.weizmann.ac.il/complex/compphys/software/geview/data/figures/207088_s_at.png","Figure")</f>
        <v>Figure</v>
      </c>
      <c r="I6293">
        <v>0.72099999999999997</v>
      </c>
      <c r="J6293">
        <v>0.27</v>
      </c>
      <c r="K6293">
        <v>1.1599999999999999</v>
      </c>
      <c r="L6293">
        <v>0.67</v>
      </c>
      <c r="M6293">
        <v>1.62</v>
      </c>
      <c r="N6293">
        <v>5.8999999999999997E-2</v>
      </c>
    </row>
    <row r="6294" spans="1:14" x14ac:dyDescent="0.25">
      <c r="A6294" t="s">
        <v>11305</v>
      </c>
      <c r="B6294" t="s">
        <v>11306</v>
      </c>
      <c r="C6294" s="1" t="str">
        <f>HYPERLINK("http://www.genecards.org/cgi-bin/carddisp.pl?gene=SH3PXD2A","GeneCards")</f>
        <v>GeneCards</v>
      </c>
      <c r="D6294" s="1" t="str">
        <f>HYPERLINK("http://genome-euro.ucsc.edu/cgi-bin/hgTracks?position=213252_at","UCSC")</f>
        <v>UCSC</v>
      </c>
      <c r="E6294" s="1" t="str">
        <f>HYPERLINK("http://www.ncbi.nlm.nih.gov/gene/?term=SH3PXD2A","NCBI")</f>
        <v>NCBI</v>
      </c>
      <c r="F6294">
        <v>7.1999999999999995E-2</v>
      </c>
      <c r="G6294">
        <v>0.19</v>
      </c>
      <c r="H6294" s="1" t="str">
        <f>HYPERLINK("http://www.weizmann.ac.il/complex/compphys/software/geview/data/figures/213252_at.png","Figure")</f>
        <v>Figure</v>
      </c>
      <c r="I6294">
        <v>1.31</v>
      </c>
      <c r="J6294">
        <v>0.22</v>
      </c>
      <c r="K6294">
        <v>1.39</v>
      </c>
      <c r="L6294">
        <v>6.6000000000000003E-2</v>
      </c>
      <c r="M6294">
        <v>1.07</v>
      </c>
      <c r="N6294">
        <v>0.9</v>
      </c>
    </row>
    <row r="6295" spans="1:14" x14ac:dyDescent="0.25">
      <c r="A6295" t="s">
        <v>11307</v>
      </c>
      <c r="B6295" t="s">
        <v>11308</v>
      </c>
      <c r="C6295" s="1" t="str">
        <f>HYPERLINK("http://www.genecards.org/cgi-bin/carddisp.pl?gene=OR2C1","GeneCards")</f>
        <v>GeneCards</v>
      </c>
      <c r="D6295" s="1" t="str">
        <f>HYPERLINK("http://genome-euro.ucsc.edu/cgi-bin/hgTracks?position=221460_at","UCSC")</f>
        <v>UCSC</v>
      </c>
      <c r="E6295" s="1" t="str">
        <f>HYPERLINK("http://www.ncbi.nlm.nih.gov/gene/?term=OR2C1","NCBI")</f>
        <v>NCBI</v>
      </c>
      <c r="F6295">
        <v>7.1999999999999995E-2</v>
      </c>
      <c r="G6295">
        <v>0.19</v>
      </c>
      <c r="H6295" s="1" t="str">
        <f>HYPERLINK("http://www.weizmann.ac.il/complex/compphys/software/geview/data/figures/221460_at.png","Figure")</f>
        <v>Figure</v>
      </c>
      <c r="I6295">
        <v>1.18</v>
      </c>
      <c r="J6295">
        <v>0.25</v>
      </c>
      <c r="K6295">
        <v>0.93500000000000005</v>
      </c>
      <c r="L6295">
        <v>0.72</v>
      </c>
      <c r="M6295">
        <v>0.79100000000000004</v>
      </c>
      <c r="N6295">
        <v>0.06</v>
      </c>
    </row>
    <row r="6296" spans="1:14" x14ac:dyDescent="0.25">
      <c r="A6296" t="s">
        <v>11309</v>
      </c>
      <c r="B6296" t="s">
        <v>11310</v>
      </c>
      <c r="C6296" s="1" t="str">
        <f>HYPERLINK("http://www.genecards.org/cgi-bin/carddisp.pl?gene=HCFC1R1","GeneCards")</f>
        <v>GeneCards</v>
      </c>
      <c r="D6296" s="1" t="str">
        <f>HYPERLINK("http://genome-euro.ucsc.edu/cgi-bin/hgTracks?position=45714_at","UCSC")</f>
        <v>UCSC</v>
      </c>
      <c r="E6296" s="1" t="str">
        <f>HYPERLINK("http://www.ncbi.nlm.nih.gov/gene/?term=HCFC1R1","NCBI")</f>
        <v>NCBI</v>
      </c>
      <c r="F6296">
        <v>7.1999999999999995E-2</v>
      </c>
      <c r="G6296">
        <v>0.19</v>
      </c>
      <c r="H6296" s="1" t="str">
        <f>HYPERLINK("http://www.weizmann.ac.il/complex/compphys/software/geview/data/figures/45714_at.png","Figure")</f>
        <v>Figure</v>
      </c>
      <c r="I6296">
        <v>0.93700000000000006</v>
      </c>
      <c r="J6296">
        <v>0.6</v>
      </c>
      <c r="K6296">
        <v>1.0900000000000001</v>
      </c>
      <c r="L6296">
        <v>0.31</v>
      </c>
      <c r="M6296">
        <v>1.1599999999999999</v>
      </c>
      <c r="N6296">
        <v>6.7000000000000004E-2</v>
      </c>
    </row>
    <row r="6297" spans="1:14" x14ac:dyDescent="0.25">
      <c r="A6297" t="s">
        <v>11311</v>
      </c>
      <c r="B6297" t="s">
        <v>11312</v>
      </c>
      <c r="C6297" s="1" t="str">
        <f>HYPERLINK("http://www.genecards.org/cgi-bin/carddisp.pl?gene=ADD3","GeneCards")</f>
        <v>GeneCards</v>
      </c>
      <c r="D6297" s="1" t="str">
        <f>HYPERLINK("http://genome-euro.ucsc.edu/cgi-bin/hgTracks?position=201753_s_at","UCSC")</f>
        <v>UCSC</v>
      </c>
      <c r="E6297" s="1" t="str">
        <f>HYPERLINK("http://www.ncbi.nlm.nih.gov/gene/?term=ADD3","NCBI")</f>
        <v>NCBI</v>
      </c>
      <c r="F6297">
        <v>7.1999999999999995E-2</v>
      </c>
      <c r="G6297">
        <v>0.19</v>
      </c>
      <c r="H6297" s="1" t="str">
        <f>HYPERLINK("http://www.weizmann.ac.il/complex/compphys/software/geview/data/figures/201753_s_at.png","Figure")</f>
        <v>Figure</v>
      </c>
      <c r="I6297">
        <v>0.497</v>
      </c>
      <c r="J6297">
        <v>0.1</v>
      </c>
      <c r="K6297">
        <v>0.54500000000000004</v>
      </c>
      <c r="L6297">
        <v>0.11</v>
      </c>
      <c r="M6297">
        <v>1.1000000000000001</v>
      </c>
      <c r="N6297">
        <v>0.95</v>
      </c>
    </row>
    <row r="6298" spans="1:14" x14ac:dyDescent="0.25">
      <c r="A6298" t="s">
        <v>11313</v>
      </c>
      <c r="B6298" t="s">
        <v>11314</v>
      </c>
      <c r="C6298" s="1" t="str">
        <f>HYPERLINK("http://www.genecards.org/cgi-bin/carddisp.pl?gene=C15orf39","GeneCards")</f>
        <v>GeneCards</v>
      </c>
      <c r="D6298" s="1" t="str">
        <f>HYPERLINK("http://genome-euro.ucsc.edu/cgi-bin/hgTracks?position=215087_at","UCSC")</f>
        <v>UCSC</v>
      </c>
      <c r="E6298" s="1" t="str">
        <f>HYPERLINK("http://www.ncbi.nlm.nih.gov/gene/?term=C15orf39","NCBI")</f>
        <v>NCBI</v>
      </c>
      <c r="F6298">
        <v>7.1999999999999995E-2</v>
      </c>
      <c r="G6298">
        <v>0.19</v>
      </c>
      <c r="H6298" s="1" t="str">
        <f>HYPERLINK("http://www.weizmann.ac.il/complex/compphys/software/geview/data/figures/215087_at.png","Figure")</f>
        <v>Figure</v>
      </c>
      <c r="I6298">
        <v>0.73599999999999999</v>
      </c>
      <c r="J6298">
        <v>0.28999999999999998</v>
      </c>
      <c r="K6298">
        <v>1.17</v>
      </c>
      <c r="L6298">
        <v>0.64</v>
      </c>
      <c r="M6298">
        <v>1.59</v>
      </c>
      <c r="N6298">
        <v>5.8999999999999997E-2</v>
      </c>
    </row>
    <row r="6299" spans="1:14" x14ac:dyDescent="0.25">
      <c r="A6299" t="s">
        <v>11315</v>
      </c>
      <c r="B6299" t="s">
        <v>11316</v>
      </c>
      <c r="C6299" s="1" t="str">
        <f>HYPERLINK("http://www.genecards.org/cgi-bin/carddisp.pl?gene=PPP2R5D","GeneCards")</f>
        <v>GeneCards</v>
      </c>
      <c r="D6299" s="1" t="str">
        <f>HYPERLINK("http://genome-euro.ucsc.edu/cgi-bin/hgTracks?position=211159_s_at","UCSC")</f>
        <v>UCSC</v>
      </c>
      <c r="E6299" s="1" t="str">
        <f>HYPERLINK("http://www.ncbi.nlm.nih.gov/gene/?term=PPP2R5D","NCBI")</f>
        <v>NCBI</v>
      </c>
      <c r="F6299">
        <v>7.1999999999999995E-2</v>
      </c>
      <c r="G6299">
        <v>0.19</v>
      </c>
      <c r="H6299" s="1" t="str">
        <f>HYPERLINK("http://www.weizmann.ac.il/complex/compphys/software/geview/data/figures/211159_s_at.png","Figure")</f>
        <v>Figure</v>
      </c>
      <c r="I6299">
        <v>0.98</v>
      </c>
      <c r="J6299">
        <v>0.15</v>
      </c>
      <c r="K6299">
        <v>1</v>
      </c>
      <c r="L6299">
        <v>0.94</v>
      </c>
      <c r="M6299">
        <v>1.02</v>
      </c>
      <c r="N6299">
        <v>7.0000000000000007E-2</v>
      </c>
    </row>
    <row r="6300" spans="1:14" x14ac:dyDescent="0.25">
      <c r="A6300" t="s">
        <v>11317</v>
      </c>
      <c r="B6300" t="s">
        <v>6519</v>
      </c>
      <c r="C6300" s="1" t="str">
        <f>HYPERLINK("http://www.genecards.org/cgi-bin/carddisp.pl?gene=CACNB2","GeneCards")</f>
        <v>GeneCards</v>
      </c>
      <c r="D6300" s="1" t="str">
        <f>HYPERLINK("http://genome-euro.ucsc.edu/cgi-bin/hgTracks?position=213714_at","UCSC")</f>
        <v>UCSC</v>
      </c>
      <c r="E6300" s="1" t="str">
        <f>HYPERLINK("http://www.ncbi.nlm.nih.gov/gene/?term=CACNB2","NCBI")</f>
        <v>NCBI</v>
      </c>
      <c r="F6300">
        <v>7.1999999999999995E-2</v>
      </c>
      <c r="G6300">
        <v>0.19</v>
      </c>
      <c r="H6300" s="1" t="str">
        <f>HYPERLINK("http://www.weizmann.ac.il/complex/compphys/software/geview/data/figures/213714_at.png","Figure")</f>
        <v>Figure</v>
      </c>
      <c r="I6300">
        <v>1</v>
      </c>
      <c r="J6300">
        <v>1</v>
      </c>
      <c r="K6300">
        <v>0.67</v>
      </c>
      <c r="L6300">
        <v>0.11</v>
      </c>
      <c r="M6300">
        <v>0.67</v>
      </c>
      <c r="N6300">
        <v>0.14000000000000001</v>
      </c>
    </row>
    <row r="6301" spans="1:14" x14ac:dyDescent="0.25">
      <c r="A6301" t="s">
        <v>11318</v>
      </c>
      <c r="B6301" t="s">
        <v>11319</v>
      </c>
      <c r="C6301" s="1" t="str">
        <f>HYPERLINK("http://www.genecards.org/cgi-bin/carddisp.pl?gene=LOC100290144","GeneCards")</f>
        <v>GeneCards</v>
      </c>
      <c r="D6301" s="1" t="str">
        <f>HYPERLINK("http://genome-euro.ucsc.edu/cgi-bin/hgTracks?position=217494_s_at","UCSC")</f>
        <v>UCSC</v>
      </c>
      <c r="E6301" s="1" t="str">
        <f>HYPERLINK("http://www.ncbi.nlm.nih.gov/gene/?term=LOC100290144","NCBI")</f>
        <v>NCBI</v>
      </c>
      <c r="F6301">
        <v>7.1999999999999995E-2</v>
      </c>
      <c r="G6301">
        <v>0.19</v>
      </c>
      <c r="H6301" s="1" t="str">
        <f>HYPERLINK("http://www.weizmann.ac.il/complex/compphys/software/geview/data/figures/217494_s_at.png","Figure")</f>
        <v>Figure</v>
      </c>
      <c r="I6301">
        <v>0.97899999999999998</v>
      </c>
      <c r="J6301">
        <v>0.11</v>
      </c>
      <c r="K6301">
        <v>1</v>
      </c>
      <c r="L6301">
        <v>1</v>
      </c>
      <c r="M6301">
        <v>1.02</v>
      </c>
      <c r="N6301">
        <v>8.4000000000000005E-2</v>
      </c>
    </row>
    <row r="6302" spans="1:14" x14ac:dyDescent="0.25">
      <c r="A6302" t="s">
        <v>11320</v>
      </c>
      <c r="B6302" t="s">
        <v>10223</v>
      </c>
      <c r="C6302" s="1" t="str">
        <f>HYPERLINK("http://www.genecards.org/cgi-bin/carddisp.pl?gene=SAR1A","GeneCards")</f>
        <v>GeneCards</v>
      </c>
      <c r="D6302" s="1" t="str">
        <f>HYPERLINK("http://genome-euro.ucsc.edu/cgi-bin/hgTracks?position=201542_at","UCSC")</f>
        <v>UCSC</v>
      </c>
      <c r="E6302" s="1" t="str">
        <f>HYPERLINK("http://www.ncbi.nlm.nih.gov/gene/?term=SAR1A","NCBI")</f>
        <v>NCBI</v>
      </c>
      <c r="F6302">
        <v>7.1999999999999995E-2</v>
      </c>
      <c r="G6302">
        <v>0.19</v>
      </c>
      <c r="H6302" s="1" t="str">
        <f>HYPERLINK("http://www.weizmann.ac.il/complex/compphys/software/geview/data/figures/201542_at.png","Figure")</f>
        <v>Figure</v>
      </c>
      <c r="I6302">
        <v>0.70299999999999996</v>
      </c>
      <c r="J6302">
        <v>0.35</v>
      </c>
      <c r="K6302">
        <v>0.57899999999999996</v>
      </c>
      <c r="L6302">
        <v>5.8999999999999997E-2</v>
      </c>
      <c r="M6302">
        <v>0.82399999999999995</v>
      </c>
      <c r="N6302">
        <v>0.68</v>
      </c>
    </row>
    <row r="6303" spans="1:14" x14ac:dyDescent="0.25">
      <c r="A6303" t="s">
        <v>11321</v>
      </c>
      <c r="B6303" t="s">
        <v>11322</v>
      </c>
      <c r="C6303" s="1" t="str">
        <f>HYPERLINK("http://www.genecards.org/cgi-bin/carddisp.pl?gene=COL1A1","GeneCards")</f>
        <v>GeneCards</v>
      </c>
      <c r="D6303" s="1" t="str">
        <f>HYPERLINK("http://genome-euro.ucsc.edu/cgi-bin/hgTracks?position=202312_s_at","UCSC")</f>
        <v>UCSC</v>
      </c>
      <c r="E6303" s="1" t="str">
        <f>HYPERLINK("http://www.ncbi.nlm.nih.gov/gene/?term=COL1A1","NCBI")</f>
        <v>NCBI</v>
      </c>
      <c r="F6303">
        <v>7.1999999999999995E-2</v>
      </c>
      <c r="G6303">
        <v>0.19</v>
      </c>
      <c r="H6303" s="1" t="str">
        <f>HYPERLINK("http://www.weizmann.ac.il/complex/compphys/software/geview/data/figures/202312_s_at.png","Figure")</f>
        <v>Figure</v>
      </c>
      <c r="I6303">
        <v>1.29</v>
      </c>
      <c r="J6303">
        <v>5.8999999999999997E-2</v>
      </c>
      <c r="K6303">
        <v>1.1100000000000001</v>
      </c>
      <c r="L6303">
        <v>0.46</v>
      </c>
      <c r="M6303">
        <v>0.86299999999999999</v>
      </c>
      <c r="N6303">
        <v>0.28999999999999998</v>
      </c>
    </row>
    <row r="6304" spans="1:14" x14ac:dyDescent="0.25">
      <c r="A6304" t="s">
        <v>11323</v>
      </c>
      <c r="B6304" t="s">
        <v>11324</v>
      </c>
      <c r="C6304" s="1" t="str">
        <f>HYPERLINK("http://www.genecards.org/cgi-bin/carddisp.pl?gene=SSTR3","GeneCards")</f>
        <v>GeneCards</v>
      </c>
      <c r="D6304" s="1" t="str">
        <f>HYPERLINK("http://genome-euro.ucsc.edu/cgi-bin/hgTracks?position=214491_at","UCSC")</f>
        <v>UCSC</v>
      </c>
      <c r="E6304" s="1" t="str">
        <f>HYPERLINK("http://www.ncbi.nlm.nih.gov/gene/?term=SSTR3","NCBI")</f>
        <v>NCBI</v>
      </c>
      <c r="F6304">
        <v>7.1999999999999995E-2</v>
      </c>
      <c r="G6304">
        <v>0.19</v>
      </c>
      <c r="H6304" s="1" t="str">
        <f>HYPERLINK("http://www.weizmann.ac.il/complex/compphys/software/geview/data/figures/214491_at.png","Figure")</f>
        <v>Figure</v>
      </c>
      <c r="I6304">
        <v>1.34</v>
      </c>
      <c r="J6304">
        <v>6.8000000000000005E-2</v>
      </c>
      <c r="K6304">
        <v>1.08</v>
      </c>
      <c r="L6304">
        <v>0.76</v>
      </c>
      <c r="M6304">
        <v>0.80100000000000005</v>
      </c>
      <c r="N6304">
        <v>0.16</v>
      </c>
    </row>
    <row r="6305" spans="1:14" x14ac:dyDescent="0.25">
      <c r="A6305" t="s">
        <v>11325</v>
      </c>
      <c r="B6305" t="s">
        <v>11326</v>
      </c>
      <c r="C6305" s="1" t="str">
        <f>HYPERLINK("http://www.genecards.org/cgi-bin/carddisp.pl?gene=RIN3","GeneCards")</f>
        <v>GeneCards</v>
      </c>
      <c r="D6305" s="1" t="str">
        <f>HYPERLINK("http://genome-euro.ucsc.edu/cgi-bin/hgTracks?position=219457_s_at","UCSC")</f>
        <v>UCSC</v>
      </c>
      <c r="E6305" s="1" t="str">
        <f>HYPERLINK("http://www.ncbi.nlm.nih.gov/gene/?term=RIN3","NCBI")</f>
        <v>NCBI</v>
      </c>
      <c r="F6305">
        <v>7.1999999999999995E-2</v>
      </c>
      <c r="G6305">
        <v>0.19</v>
      </c>
      <c r="H6305" s="1" t="str">
        <f>HYPERLINK("http://www.weizmann.ac.il/complex/compphys/software/geview/data/figures/219457_s_at.png","Figure")</f>
        <v>Figure</v>
      </c>
      <c r="I6305">
        <v>0.94099999999999995</v>
      </c>
      <c r="J6305">
        <v>0.25</v>
      </c>
      <c r="K6305">
        <v>1.03</v>
      </c>
      <c r="L6305">
        <v>0.71</v>
      </c>
      <c r="M6305">
        <v>1.0900000000000001</v>
      </c>
      <c r="N6305">
        <v>0.06</v>
      </c>
    </row>
    <row r="6306" spans="1:14" x14ac:dyDescent="0.25">
      <c r="A6306" t="s">
        <v>11327</v>
      </c>
      <c r="B6306" t="s">
        <v>1111</v>
      </c>
      <c r="C6306" s="1" t="str">
        <f>HYPERLINK("http://www.genecards.org/cgi-bin/carddisp.pl?gene=SEMA3B","GeneCards")</f>
        <v>GeneCards</v>
      </c>
      <c r="D6306" s="1" t="str">
        <f>HYPERLINK("http://genome-euro.ucsc.edu/cgi-bin/hgTracks?position=203071_at","UCSC")</f>
        <v>UCSC</v>
      </c>
      <c r="E6306" s="1" t="str">
        <f>HYPERLINK("http://www.ncbi.nlm.nih.gov/gene/?term=SEMA3B","NCBI")</f>
        <v>NCBI</v>
      </c>
      <c r="F6306">
        <v>7.1999999999999995E-2</v>
      </c>
      <c r="G6306">
        <v>0.19</v>
      </c>
      <c r="H6306" s="1" t="str">
        <f>HYPERLINK("http://www.weizmann.ac.il/complex/compphys/software/geview/data/figures/203071_at.png","Figure")</f>
        <v>Figure</v>
      </c>
      <c r="I6306">
        <v>1.21</v>
      </c>
      <c r="J6306">
        <v>0.08</v>
      </c>
      <c r="K6306">
        <v>1.03</v>
      </c>
      <c r="L6306">
        <v>0.9</v>
      </c>
      <c r="M6306">
        <v>0.85299999999999998</v>
      </c>
      <c r="N6306">
        <v>0.12</v>
      </c>
    </row>
    <row r="6307" spans="1:14" x14ac:dyDescent="0.25">
      <c r="A6307" t="s">
        <v>11328</v>
      </c>
      <c r="B6307" t="s">
        <v>6946</v>
      </c>
      <c r="C6307" s="1" t="str">
        <f>HYPERLINK("http://www.genecards.org/cgi-bin/carddisp.pl?gene=HPX","GeneCards")</f>
        <v>GeneCards</v>
      </c>
      <c r="D6307" s="1" t="str">
        <f>HYPERLINK("http://genome-euro.ucsc.edu/cgi-bin/hgTracks?position=210013_at","UCSC")</f>
        <v>UCSC</v>
      </c>
      <c r="E6307" s="1" t="str">
        <f>HYPERLINK("http://www.ncbi.nlm.nih.gov/gene/?term=HPX","NCBI")</f>
        <v>NCBI</v>
      </c>
      <c r="F6307">
        <v>7.1999999999999995E-2</v>
      </c>
      <c r="G6307">
        <v>0.19</v>
      </c>
      <c r="H6307" s="1" t="str">
        <f>HYPERLINK("http://www.weizmann.ac.il/complex/compphys/software/geview/data/figures/210013_at.png","Figure")</f>
        <v>Figure</v>
      </c>
      <c r="I6307">
        <v>1.31</v>
      </c>
      <c r="J6307">
        <v>0.06</v>
      </c>
      <c r="K6307">
        <v>1.1499999999999999</v>
      </c>
      <c r="L6307">
        <v>0.34</v>
      </c>
      <c r="M6307">
        <v>0.873</v>
      </c>
      <c r="N6307">
        <v>0.39</v>
      </c>
    </row>
    <row r="6308" spans="1:14" x14ac:dyDescent="0.25">
      <c r="A6308" t="s">
        <v>11329</v>
      </c>
      <c r="B6308" t="s">
        <v>11330</v>
      </c>
      <c r="C6308" s="1" t="str">
        <f>HYPERLINK("http://www.genecards.org/cgi-bin/carddisp.pl?gene=HSF2BP","GeneCards")</f>
        <v>GeneCards</v>
      </c>
      <c r="D6308" s="1" t="str">
        <f>HYPERLINK("http://genome-euro.ucsc.edu/cgi-bin/hgTracks?position=207020_at","UCSC")</f>
        <v>UCSC</v>
      </c>
      <c r="E6308" s="1" t="str">
        <f>HYPERLINK("http://www.ncbi.nlm.nih.gov/gene/?term=HSF2BP","NCBI")</f>
        <v>NCBI</v>
      </c>
      <c r="F6308">
        <v>7.1999999999999995E-2</v>
      </c>
      <c r="G6308">
        <v>0.19</v>
      </c>
      <c r="H6308" s="1" t="str">
        <f>HYPERLINK("http://www.weizmann.ac.il/complex/compphys/software/geview/data/figures/207020_at.png","Figure")</f>
        <v>Figure</v>
      </c>
      <c r="I6308">
        <v>1.18</v>
      </c>
      <c r="J6308">
        <v>0.26</v>
      </c>
      <c r="K6308">
        <v>0.92900000000000005</v>
      </c>
      <c r="L6308">
        <v>0.7</v>
      </c>
      <c r="M6308">
        <v>0.78500000000000003</v>
      </c>
      <c r="N6308">
        <v>0.06</v>
      </c>
    </row>
    <row r="6309" spans="1:14" x14ac:dyDescent="0.25">
      <c r="A6309" t="s">
        <v>11331</v>
      </c>
      <c r="B6309" t="s">
        <v>11332</v>
      </c>
      <c r="C6309" s="1" t="str">
        <f>HYPERLINK("http://www.genecards.org/cgi-bin/carddisp.pl?gene=ABCA2","GeneCards")</f>
        <v>GeneCards</v>
      </c>
      <c r="D6309" s="1" t="str">
        <f>HYPERLINK("http://genome-euro.ucsc.edu/cgi-bin/hgTracks?position=212772_s_at","UCSC")</f>
        <v>UCSC</v>
      </c>
      <c r="E6309" s="1" t="str">
        <f>HYPERLINK("http://www.ncbi.nlm.nih.gov/gene/?term=ABCA2","NCBI")</f>
        <v>NCBI</v>
      </c>
      <c r="F6309">
        <v>7.1999999999999995E-2</v>
      </c>
      <c r="G6309">
        <v>0.19</v>
      </c>
      <c r="H6309" s="1" t="str">
        <f>HYPERLINK("http://www.weizmann.ac.il/complex/compphys/software/geview/data/figures/212772_s_at.png","Figure")</f>
        <v>Figure</v>
      </c>
      <c r="I6309">
        <v>0.70799999999999996</v>
      </c>
      <c r="J6309">
        <v>0.11</v>
      </c>
      <c r="K6309">
        <v>0.99399999999999999</v>
      </c>
      <c r="L6309">
        <v>1</v>
      </c>
      <c r="M6309">
        <v>1.4</v>
      </c>
      <c r="N6309">
        <v>8.6999999999999994E-2</v>
      </c>
    </row>
    <row r="6310" spans="1:14" x14ac:dyDescent="0.25">
      <c r="A6310" t="s">
        <v>11333</v>
      </c>
      <c r="B6310" t="s">
        <v>11334</v>
      </c>
      <c r="C6310" s="1" t="str">
        <f>HYPERLINK("http://www.genecards.org/cgi-bin/carddisp.pl?gene=ZNF787","GeneCards")</f>
        <v>GeneCards</v>
      </c>
      <c r="D6310" s="1" t="str">
        <f>HYPERLINK("http://genome-euro.ucsc.edu/cgi-bin/hgTracks?position=213402_at","UCSC")</f>
        <v>UCSC</v>
      </c>
      <c r="E6310" s="1" t="str">
        <f>HYPERLINK("http://www.ncbi.nlm.nih.gov/gene/?term=ZNF787","NCBI")</f>
        <v>NCBI</v>
      </c>
      <c r="F6310">
        <v>7.1999999999999995E-2</v>
      </c>
      <c r="G6310">
        <v>0.19</v>
      </c>
      <c r="H6310" s="1" t="str">
        <f>HYPERLINK("http://www.weizmann.ac.il/complex/compphys/software/geview/data/figures/213402_at.png","Figure")</f>
        <v>Figure</v>
      </c>
      <c r="I6310">
        <v>1.2</v>
      </c>
      <c r="J6310">
        <v>0.15</v>
      </c>
      <c r="K6310">
        <v>1.21</v>
      </c>
      <c r="L6310">
        <v>7.9000000000000001E-2</v>
      </c>
      <c r="M6310">
        <v>1.01</v>
      </c>
      <c r="N6310">
        <v>0.99</v>
      </c>
    </row>
    <row r="6311" spans="1:14" x14ac:dyDescent="0.25">
      <c r="A6311" t="s">
        <v>11335</v>
      </c>
      <c r="B6311" t="s">
        <v>11336</v>
      </c>
      <c r="C6311" s="1" t="str">
        <f>HYPERLINK("http://www.genecards.org/cgi-bin/carddisp.pl?gene=MAP6D1","GeneCards")</f>
        <v>GeneCards</v>
      </c>
      <c r="D6311" s="1" t="str">
        <f>HYPERLINK("http://genome-euro.ucsc.edu/cgi-bin/hgTracks?position=221713_s_at","UCSC")</f>
        <v>UCSC</v>
      </c>
      <c r="E6311" s="1" t="str">
        <f>HYPERLINK("http://www.ncbi.nlm.nih.gov/gene/?term=MAP6D1","NCBI")</f>
        <v>NCBI</v>
      </c>
      <c r="F6311">
        <v>7.1999999999999995E-2</v>
      </c>
      <c r="G6311">
        <v>0.19</v>
      </c>
      <c r="H6311" s="1" t="str">
        <f>HYPERLINK("http://www.weizmann.ac.il/complex/compphys/software/geview/data/figures/221713_s_at.png","Figure")</f>
        <v>Figure</v>
      </c>
      <c r="I6311">
        <v>1.22</v>
      </c>
      <c r="J6311">
        <v>8.1000000000000003E-2</v>
      </c>
      <c r="K6311">
        <v>1.1599999999999999</v>
      </c>
      <c r="L6311">
        <v>0.15</v>
      </c>
      <c r="M6311">
        <v>0.95</v>
      </c>
      <c r="N6311">
        <v>0.79</v>
      </c>
    </row>
    <row r="6312" spans="1:14" x14ac:dyDescent="0.25">
      <c r="A6312" t="s">
        <v>11337</v>
      </c>
      <c r="B6312" t="s">
        <v>11338</v>
      </c>
      <c r="C6312" s="1" t="str">
        <f>HYPERLINK("http://www.genecards.org/cgi-bin/carddisp.pl?gene=KCTD9","GeneCards")</f>
        <v>GeneCards</v>
      </c>
      <c r="D6312" s="1" t="str">
        <f>HYPERLINK("http://genome-euro.ucsc.edu/cgi-bin/hgTracks?position=218823_s_at","UCSC")</f>
        <v>UCSC</v>
      </c>
      <c r="E6312" s="1" t="str">
        <f>HYPERLINK("http://www.ncbi.nlm.nih.gov/gene/?term=KCTD9","NCBI")</f>
        <v>NCBI</v>
      </c>
      <c r="F6312">
        <v>7.1999999999999995E-2</v>
      </c>
      <c r="G6312">
        <v>0.19</v>
      </c>
      <c r="H6312" s="1" t="str">
        <f>HYPERLINK("http://www.weizmann.ac.il/complex/compphys/software/geview/data/figures/218823_s_at.png","Figure")</f>
        <v>Figure</v>
      </c>
      <c r="I6312">
        <v>0.75900000000000001</v>
      </c>
      <c r="J6312">
        <v>0.14000000000000001</v>
      </c>
      <c r="K6312">
        <v>0.75600000000000001</v>
      </c>
      <c r="L6312">
        <v>8.3000000000000004E-2</v>
      </c>
      <c r="M6312">
        <v>0.996</v>
      </c>
      <c r="N6312">
        <v>1</v>
      </c>
    </row>
    <row r="6313" spans="1:14" x14ac:dyDescent="0.25">
      <c r="A6313" t="s">
        <v>11339</v>
      </c>
      <c r="B6313" t="s">
        <v>2024</v>
      </c>
      <c r="C6313" s="1" t="str">
        <f>HYPERLINK("http://www.genecards.org/cgi-bin/carddisp.pl?gene=CASP1","GeneCards")</f>
        <v>GeneCards</v>
      </c>
      <c r="D6313" s="1" t="str">
        <f>HYPERLINK("http://genome-euro.ucsc.edu/cgi-bin/hgTracks?position=211366_x_at","UCSC")</f>
        <v>UCSC</v>
      </c>
      <c r="E6313" s="1" t="str">
        <f>HYPERLINK("http://www.ncbi.nlm.nih.gov/gene/?term=CASP1","NCBI")</f>
        <v>NCBI</v>
      </c>
      <c r="F6313">
        <v>7.1999999999999995E-2</v>
      </c>
      <c r="G6313">
        <v>0.19</v>
      </c>
      <c r="H6313" s="1" t="str">
        <f>HYPERLINK("http://www.weizmann.ac.il/complex/compphys/software/geview/data/figures/211366_x_at.png","Figure")</f>
        <v>Figure</v>
      </c>
      <c r="I6313">
        <v>1.17</v>
      </c>
      <c r="J6313">
        <v>0.68</v>
      </c>
      <c r="K6313">
        <v>1.49</v>
      </c>
      <c r="L6313">
        <v>6.5000000000000002E-2</v>
      </c>
      <c r="M6313">
        <v>1.28</v>
      </c>
      <c r="N6313">
        <v>0.36</v>
      </c>
    </row>
    <row r="6314" spans="1:14" x14ac:dyDescent="0.25">
      <c r="A6314" t="s">
        <v>11340</v>
      </c>
      <c r="B6314" t="s">
        <v>11110</v>
      </c>
      <c r="C6314" s="1" t="str">
        <f>HYPERLINK("http://www.genecards.org/cgi-bin/carddisp.pl?gene=MCL1","GeneCards")</f>
        <v>GeneCards</v>
      </c>
      <c r="D6314" s="1" t="str">
        <f>HYPERLINK("http://genome-euro.ucsc.edu/cgi-bin/hgTracks?position=200798_x_at","UCSC")</f>
        <v>UCSC</v>
      </c>
      <c r="E6314" s="1" t="str">
        <f>HYPERLINK("http://www.ncbi.nlm.nih.gov/gene/?term=MCL1","NCBI")</f>
        <v>NCBI</v>
      </c>
      <c r="F6314">
        <v>7.1999999999999995E-2</v>
      </c>
      <c r="G6314">
        <v>0.19</v>
      </c>
      <c r="H6314" s="1" t="str">
        <f>HYPERLINK("http://www.weizmann.ac.il/complex/compphys/software/geview/data/figures/200798_x_at.png","Figure")</f>
        <v>Figure</v>
      </c>
      <c r="I6314">
        <v>0.438</v>
      </c>
      <c r="J6314">
        <v>6.9000000000000006E-2</v>
      </c>
      <c r="K6314">
        <v>0.58499999999999996</v>
      </c>
      <c r="L6314">
        <v>0.2</v>
      </c>
      <c r="M6314">
        <v>1.34</v>
      </c>
      <c r="N6314">
        <v>0.63</v>
      </c>
    </row>
    <row r="6315" spans="1:14" x14ac:dyDescent="0.25">
      <c r="A6315" t="s">
        <v>11341</v>
      </c>
      <c r="B6315" t="s">
        <v>11342</v>
      </c>
      <c r="C6315" s="1" t="str">
        <f>HYPERLINK("http://www.genecards.org/cgi-bin/carddisp.pl?gene=RAE1","GeneCards")</f>
        <v>GeneCards</v>
      </c>
      <c r="D6315" s="1" t="str">
        <f>HYPERLINK("http://genome-euro.ucsc.edu/cgi-bin/hgTracks?position=201558_at","UCSC")</f>
        <v>UCSC</v>
      </c>
      <c r="E6315" s="1" t="str">
        <f>HYPERLINK("http://www.ncbi.nlm.nih.gov/gene/?term=RAE1","NCBI")</f>
        <v>NCBI</v>
      </c>
      <c r="F6315">
        <v>7.1999999999999995E-2</v>
      </c>
      <c r="G6315">
        <v>0.19</v>
      </c>
      <c r="H6315" s="1" t="str">
        <f>HYPERLINK("http://www.weizmann.ac.il/complex/compphys/software/geview/data/figures/201558_at.png","Figure")</f>
        <v>Figure</v>
      </c>
      <c r="I6315">
        <v>0.90800000000000003</v>
      </c>
      <c r="J6315">
        <v>0.92</v>
      </c>
      <c r="K6315">
        <v>0.59599999999999997</v>
      </c>
      <c r="L6315">
        <v>8.2000000000000003E-2</v>
      </c>
      <c r="M6315">
        <v>0.65600000000000003</v>
      </c>
      <c r="N6315">
        <v>0.21</v>
      </c>
    </row>
    <row r="6316" spans="1:14" x14ac:dyDescent="0.25">
      <c r="A6316" t="s">
        <v>11343</v>
      </c>
      <c r="B6316" t="s">
        <v>11344</v>
      </c>
      <c r="C6316" s="1" t="str">
        <f>HYPERLINK("http://www.genecards.org/cgi-bin/carddisp.pl?gene=DCBLD2","GeneCards")</f>
        <v>GeneCards</v>
      </c>
      <c r="D6316" s="1" t="str">
        <f>HYPERLINK("http://genome-euro.ucsc.edu/cgi-bin/hgTracks?position=213873_at","UCSC")</f>
        <v>UCSC</v>
      </c>
      <c r="E6316" s="1" t="str">
        <f>HYPERLINK("http://www.ncbi.nlm.nih.gov/gene/?term=DCBLD2","NCBI")</f>
        <v>NCBI</v>
      </c>
      <c r="F6316">
        <v>7.1999999999999995E-2</v>
      </c>
      <c r="G6316">
        <v>0.19</v>
      </c>
      <c r="H6316" s="1" t="str">
        <f>HYPERLINK("http://www.weizmann.ac.il/complex/compphys/software/geview/data/figures/213873_at.png","Figure")</f>
        <v>Figure</v>
      </c>
      <c r="I6316">
        <v>1.06</v>
      </c>
      <c r="J6316">
        <v>0.81</v>
      </c>
      <c r="K6316">
        <v>0.87</v>
      </c>
      <c r="L6316">
        <v>0.2</v>
      </c>
      <c r="M6316">
        <v>0.82399999999999995</v>
      </c>
      <c r="N6316">
        <v>8.3000000000000004E-2</v>
      </c>
    </row>
    <row r="6317" spans="1:14" x14ac:dyDescent="0.25">
      <c r="A6317" t="s">
        <v>11345</v>
      </c>
      <c r="B6317" t="s">
        <v>11346</v>
      </c>
      <c r="C6317" s="1" t="str">
        <f>HYPERLINK("http://www.genecards.org/cgi-bin/carddisp.pl?gene=KCNG1","GeneCards")</f>
        <v>GeneCards</v>
      </c>
      <c r="D6317" s="1" t="str">
        <f>HYPERLINK("http://genome-euro.ucsc.edu/cgi-bin/hgTracks?position=214595_at","UCSC")</f>
        <v>UCSC</v>
      </c>
      <c r="E6317" s="1" t="str">
        <f>HYPERLINK("http://www.ncbi.nlm.nih.gov/gene/?term=KCNG1","NCBI")</f>
        <v>NCBI</v>
      </c>
      <c r="F6317">
        <v>7.1999999999999995E-2</v>
      </c>
      <c r="G6317">
        <v>0.19</v>
      </c>
      <c r="H6317" s="1" t="str">
        <f>HYPERLINK("http://www.weizmann.ac.il/complex/compphys/software/geview/data/figures/214595_at.png","Figure")</f>
        <v>Figure</v>
      </c>
      <c r="I6317">
        <v>1.03</v>
      </c>
      <c r="J6317">
        <v>0.22</v>
      </c>
      <c r="K6317">
        <v>0.98899999999999999</v>
      </c>
      <c r="L6317">
        <v>0.78</v>
      </c>
      <c r="M6317">
        <v>0.95599999999999996</v>
      </c>
      <c r="N6317">
        <v>6.2E-2</v>
      </c>
    </row>
    <row r="6318" spans="1:14" x14ac:dyDescent="0.25">
      <c r="A6318" t="s">
        <v>11347</v>
      </c>
      <c r="B6318" t="s">
        <v>11348</v>
      </c>
      <c r="C6318" s="1" t="str">
        <f>HYPERLINK("http://www.genecards.org/cgi-bin/carddisp.pl?gene=RASIP1","GeneCards")</f>
        <v>GeneCards</v>
      </c>
      <c r="D6318" s="1" t="str">
        <f>HYPERLINK("http://genome-euro.ucsc.edu/cgi-bin/hgTracks?position=220027_s_at","UCSC")</f>
        <v>UCSC</v>
      </c>
      <c r="E6318" s="1" t="str">
        <f>HYPERLINK("http://www.ncbi.nlm.nih.gov/gene/?term=RASIP1","NCBI")</f>
        <v>NCBI</v>
      </c>
      <c r="F6318">
        <v>7.1999999999999995E-2</v>
      </c>
      <c r="G6318">
        <v>0.19</v>
      </c>
      <c r="H6318" s="1" t="str">
        <f>HYPERLINK("http://www.weizmann.ac.il/complex/compphys/software/geview/data/figures/220027_s_at.png","Figure")</f>
        <v>Figure</v>
      </c>
      <c r="I6318">
        <v>1.1000000000000001</v>
      </c>
      <c r="J6318">
        <v>6.3E-2</v>
      </c>
      <c r="K6318">
        <v>1.03</v>
      </c>
      <c r="L6318">
        <v>0.64</v>
      </c>
      <c r="M6318">
        <v>0.94</v>
      </c>
      <c r="N6318">
        <v>0.2</v>
      </c>
    </row>
    <row r="6319" spans="1:14" x14ac:dyDescent="0.25">
      <c r="A6319" t="s">
        <v>11349</v>
      </c>
      <c r="B6319" t="s">
        <v>4331</v>
      </c>
      <c r="C6319" s="1" t="str">
        <f>HYPERLINK("http://www.genecards.org/cgi-bin/carddisp.pl?gene=HSP90AB1","GeneCards")</f>
        <v>GeneCards</v>
      </c>
      <c r="D6319" s="1" t="str">
        <f>HYPERLINK("http://genome-euro.ucsc.edu/cgi-bin/hgTracks?position=214359_s_at","UCSC")</f>
        <v>UCSC</v>
      </c>
      <c r="E6319" s="1" t="str">
        <f>HYPERLINK("http://www.ncbi.nlm.nih.gov/gene/?term=HSP90AB1","NCBI")</f>
        <v>NCBI</v>
      </c>
      <c r="F6319">
        <v>7.1999999999999995E-2</v>
      </c>
      <c r="G6319">
        <v>0.19</v>
      </c>
      <c r="H6319" s="1" t="str">
        <f>HYPERLINK("http://www.weizmann.ac.il/complex/compphys/software/geview/data/figures/214359_s_at.png","Figure")</f>
        <v>Figure</v>
      </c>
      <c r="I6319">
        <v>0.84399999999999997</v>
      </c>
      <c r="J6319">
        <v>0.75</v>
      </c>
      <c r="K6319">
        <v>1.42</v>
      </c>
      <c r="L6319">
        <v>0.23</v>
      </c>
      <c r="M6319">
        <v>1.69</v>
      </c>
      <c r="N6319">
        <v>7.8E-2</v>
      </c>
    </row>
    <row r="6320" spans="1:14" x14ac:dyDescent="0.25">
      <c r="A6320" t="s">
        <v>11350</v>
      </c>
      <c r="B6320" t="s">
        <v>11351</v>
      </c>
      <c r="C6320" s="1" t="str">
        <f>HYPERLINK("http://www.genecards.org/cgi-bin/carddisp.pl?gene=RPS28","GeneCards")</f>
        <v>GeneCards</v>
      </c>
      <c r="D6320" s="1" t="str">
        <f>HYPERLINK("http://genome-euro.ucsc.edu/cgi-bin/hgTracks?position=208902_s_at","UCSC")</f>
        <v>UCSC</v>
      </c>
      <c r="E6320" s="1" t="str">
        <f>HYPERLINK("http://www.ncbi.nlm.nih.gov/gene/?term=RPS28","NCBI")</f>
        <v>NCBI</v>
      </c>
      <c r="F6320">
        <v>7.1999999999999995E-2</v>
      </c>
      <c r="G6320">
        <v>0.19</v>
      </c>
      <c r="H6320" s="1" t="str">
        <f>HYPERLINK("http://www.weizmann.ac.il/complex/compphys/software/geview/data/figures/208902_s_at.png","Figure")</f>
        <v>Figure</v>
      </c>
      <c r="I6320">
        <v>1.18</v>
      </c>
      <c r="J6320">
        <v>0.06</v>
      </c>
      <c r="K6320">
        <v>1.07</v>
      </c>
      <c r="L6320">
        <v>0.52</v>
      </c>
      <c r="M6320">
        <v>0.90300000000000002</v>
      </c>
      <c r="N6320">
        <v>0.25</v>
      </c>
    </row>
    <row r="6321" spans="1:14" x14ac:dyDescent="0.25">
      <c r="A6321" t="s">
        <v>11352</v>
      </c>
      <c r="B6321" t="s">
        <v>11353</v>
      </c>
      <c r="C6321" s="1" t="str">
        <f>HYPERLINK("http://www.genecards.org/cgi-bin/carddisp.pl?gene=LMF2","GeneCards")</f>
        <v>GeneCards</v>
      </c>
      <c r="D6321" s="1" t="str">
        <f>HYPERLINK("http://genome-euro.ucsc.edu/cgi-bin/hgTracks?position=212682_s_at","UCSC")</f>
        <v>UCSC</v>
      </c>
      <c r="E6321" s="1" t="str">
        <f>HYPERLINK("http://www.ncbi.nlm.nih.gov/gene/?term=LMF2","NCBI")</f>
        <v>NCBI</v>
      </c>
      <c r="F6321">
        <v>7.1999999999999995E-2</v>
      </c>
      <c r="G6321">
        <v>0.19</v>
      </c>
      <c r="H6321" s="1" t="str">
        <f>HYPERLINK("http://www.weizmann.ac.il/complex/compphys/software/geview/data/figures/212682_s_at.png","Figure")</f>
        <v>Figure</v>
      </c>
      <c r="I6321">
        <v>1.34</v>
      </c>
      <c r="J6321">
        <v>7.8E-2</v>
      </c>
      <c r="K6321">
        <v>1.23</v>
      </c>
      <c r="L6321">
        <v>0.16</v>
      </c>
      <c r="M6321">
        <v>0.92100000000000004</v>
      </c>
      <c r="N6321">
        <v>0.75</v>
      </c>
    </row>
    <row r="6322" spans="1:14" x14ac:dyDescent="0.25">
      <c r="A6322" t="s">
        <v>11354</v>
      </c>
      <c r="B6322" t="s">
        <v>11355</v>
      </c>
      <c r="C6322" s="1" t="str">
        <f>HYPERLINK("http://www.genecards.org/cgi-bin/carddisp.pl?gene=WDR59","GeneCards")</f>
        <v>GeneCards</v>
      </c>
      <c r="D6322" s="1" t="str">
        <f>HYPERLINK("http://genome-euro.ucsc.edu/cgi-bin/hgTracks?position=221981_s_at","UCSC")</f>
        <v>UCSC</v>
      </c>
      <c r="E6322" s="1" t="str">
        <f>HYPERLINK("http://www.ncbi.nlm.nih.gov/gene/?term=WDR59","NCBI")</f>
        <v>NCBI</v>
      </c>
      <c r="F6322">
        <v>7.1999999999999995E-2</v>
      </c>
      <c r="G6322">
        <v>0.19</v>
      </c>
      <c r="H6322" s="1" t="str">
        <f>HYPERLINK("http://www.weizmann.ac.il/complex/compphys/software/geview/data/figures/221981_s_at.png","Figure")</f>
        <v>Figure</v>
      </c>
      <c r="I6322">
        <v>1.28</v>
      </c>
      <c r="J6322">
        <v>0.14000000000000001</v>
      </c>
      <c r="K6322">
        <v>0.97199999999999998</v>
      </c>
      <c r="L6322">
        <v>0.96</v>
      </c>
      <c r="M6322">
        <v>0.76200000000000001</v>
      </c>
      <c r="N6322">
        <v>7.1999999999999995E-2</v>
      </c>
    </row>
    <row r="6323" spans="1:14" x14ac:dyDescent="0.25">
      <c r="A6323" t="s">
        <v>11356</v>
      </c>
      <c r="B6323" t="s">
        <v>11357</v>
      </c>
      <c r="C6323" s="1" t="str">
        <f>HYPERLINK("http://www.genecards.org/cgi-bin/carddisp.pl?gene=NGFR","GeneCards")</f>
        <v>GeneCards</v>
      </c>
      <c r="D6323" s="1" t="str">
        <f>HYPERLINK("http://genome-euro.ucsc.edu/cgi-bin/hgTracks?position=205858_at","UCSC")</f>
        <v>UCSC</v>
      </c>
      <c r="E6323" s="1" t="str">
        <f>HYPERLINK("http://www.ncbi.nlm.nih.gov/gene/?term=NGFR","NCBI")</f>
        <v>NCBI</v>
      </c>
      <c r="F6323">
        <v>7.1999999999999995E-2</v>
      </c>
      <c r="G6323">
        <v>0.19</v>
      </c>
      <c r="H6323" s="1" t="str">
        <f>HYPERLINK("http://www.weizmann.ac.il/complex/compphys/software/geview/data/figures/205858_at.png","Figure")</f>
        <v>Figure</v>
      </c>
      <c r="I6323">
        <v>0.89100000000000001</v>
      </c>
      <c r="J6323">
        <v>0.28000000000000003</v>
      </c>
      <c r="K6323">
        <v>1.06</v>
      </c>
      <c r="L6323">
        <v>0.66</v>
      </c>
      <c r="M6323">
        <v>1.19</v>
      </c>
      <c r="N6323">
        <v>0.06</v>
      </c>
    </row>
    <row r="6324" spans="1:14" x14ac:dyDescent="0.25">
      <c r="A6324" t="s">
        <v>11358</v>
      </c>
      <c r="B6324" t="s">
        <v>11359</v>
      </c>
      <c r="C6324" s="1" t="str">
        <f>HYPERLINK("http://www.genecards.org/cgi-bin/carddisp.pl?gene=WDR37","GeneCards")</f>
        <v>GeneCards</v>
      </c>
      <c r="D6324" s="1" t="str">
        <f>HYPERLINK("http://genome-euro.ucsc.edu/cgi-bin/hgTracks?position=211383_s_at","UCSC")</f>
        <v>UCSC</v>
      </c>
      <c r="E6324" s="1" t="str">
        <f>HYPERLINK("http://www.ncbi.nlm.nih.gov/gene/?term=WDR37","NCBI")</f>
        <v>NCBI</v>
      </c>
      <c r="F6324">
        <v>7.1999999999999995E-2</v>
      </c>
      <c r="G6324">
        <v>0.19</v>
      </c>
      <c r="H6324" s="1" t="str">
        <f>HYPERLINK("http://www.weizmann.ac.il/complex/compphys/software/geview/data/figures/211383_s_at.png","Figure")</f>
        <v>Figure</v>
      </c>
      <c r="I6324">
        <v>0.74199999999999999</v>
      </c>
      <c r="J6324">
        <v>0.17</v>
      </c>
      <c r="K6324">
        <v>0.72299999999999998</v>
      </c>
      <c r="L6324">
        <v>7.5999999999999998E-2</v>
      </c>
      <c r="M6324">
        <v>0.97499999999999998</v>
      </c>
      <c r="N6324">
        <v>0.98</v>
      </c>
    </row>
    <row r="6325" spans="1:14" x14ac:dyDescent="0.25">
      <c r="A6325" t="s">
        <v>11360</v>
      </c>
      <c r="B6325" t="s">
        <v>11361</v>
      </c>
      <c r="C6325" s="1" t="str">
        <f>HYPERLINK("http://www.genecards.org/cgi-bin/carddisp.pl?gene=FTHP1","GeneCards")</f>
        <v>GeneCards</v>
      </c>
      <c r="D6325" s="1" t="str">
        <f>HYPERLINK("http://genome-euro.ucsc.edu/cgi-bin/hgTracks?position=211628_x_at","UCSC")</f>
        <v>UCSC</v>
      </c>
      <c r="E6325" s="1" t="str">
        <f>HYPERLINK("http://www.ncbi.nlm.nih.gov/gene/?term=FTHP1","NCBI")</f>
        <v>NCBI</v>
      </c>
      <c r="F6325">
        <v>7.1999999999999995E-2</v>
      </c>
      <c r="G6325">
        <v>0.19</v>
      </c>
      <c r="H6325" s="1" t="str">
        <f>HYPERLINK("http://www.weizmann.ac.il/complex/compphys/software/geview/data/figures/211628_x_at.png","Figure")</f>
        <v>Figure</v>
      </c>
      <c r="I6325">
        <v>0.89100000000000001</v>
      </c>
      <c r="J6325">
        <v>0.8</v>
      </c>
      <c r="K6325">
        <v>0.68100000000000005</v>
      </c>
      <c r="L6325">
        <v>7.0999999999999994E-2</v>
      </c>
      <c r="M6325">
        <v>0.76400000000000001</v>
      </c>
      <c r="N6325">
        <v>0.28000000000000003</v>
      </c>
    </row>
    <row r="6326" spans="1:14" x14ac:dyDescent="0.25">
      <c r="A6326" t="s">
        <v>11362</v>
      </c>
      <c r="B6326" t="s">
        <v>11363</v>
      </c>
      <c r="C6326" s="1" t="str">
        <f>HYPERLINK("http://www.genecards.org/cgi-bin/carddisp.pl?gene=FKBP2","GeneCards")</f>
        <v>GeneCards</v>
      </c>
      <c r="D6326" s="1" t="str">
        <f>HYPERLINK("http://genome-euro.ucsc.edu/cgi-bin/hgTracks?position=203391_at","UCSC")</f>
        <v>UCSC</v>
      </c>
      <c r="E6326" s="1" t="str">
        <f>HYPERLINK("http://www.ncbi.nlm.nih.gov/gene/?term=FKBP2","NCBI")</f>
        <v>NCBI</v>
      </c>
      <c r="F6326">
        <v>7.1999999999999995E-2</v>
      </c>
      <c r="G6326">
        <v>0.19</v>
      </c>
      <c r="H6326" s="1" t="str">
        <f>HYPERLINK("http://www.weizmann.ac.il/complex/compphys/software/geview/data/figures/203391_at.png","Figure")</f>
        <v>Figure</v>
      </c>
      <c r="I6326">
        <v>1</v>
      </c>
      <c r="J6326">
        <v>1</v>
      </c>
      <c r="K6326">
        <v>1.28</v>
      </c>
      <c r="L6326">
        <v>0.11</v>
      </c>
      <c r="M6326">
        <v>1.28</v>
      </c>
      <c r="N6326">
        <v>0.14000000000000001</v>
      </c>
    </row>
    <row r="6327" spans="1:14" x14ac:dyDescent="0.25">
      <c r="A6327" t="s">
        <v>11364</v>
      </c>
      <c r="B6327" t="s">
        <v>11365</v>
      </c>
      <c r="C6327" s="1" t="str">
        <f>HYPERLINK("http://www.genecards.org/cgi-bin/carddisp.pl?gene=FAM63A","GeneCards")</f>
        <v>GeneCards</v>
      </c>
      <c r="D6327" s="1" t="str">
        <f>HYPERLINK("http://genome-euro.ucsc.edu/cgi-bin/hgTracks?position=221856_s_at","UCSC")</f>
        <v>UCSC</v>
      </c>
      <c r="E6327" s="1" t="str">
        <f>HYPERLINK("http://www.ncbi.nlm.nih.gov/gene/?term=FAM63A","NCBI")</f>
        <v>NCBI</v>
      </c>
      <c r="F6327">
        <v>7.1999999999999995E-2</v>
      </c>
      <c r="G6327">
        <v>0.19</v>
      </c>
      <c r="H6327" s="1" t="str">
        <f>HYPERLINK("http://www.weizmann.ac.il/complex/compphys/software/geview/data/figures/221856_s_at.png","Figure")</f>
        <v>Figure</v>
      </c>
      <c r="I6327">
        <v>1.25</v>
      </c>
      <c r="J6327">
        <v>8.7999999999999995E-2</v>
      </c>
      <c r="K6327">
        <v>1.02</v>
      </c>
      <c r="L6327">
        <v>0.96</v>
      </c>
      <c r="M6327">
        <v>0.82</v>
      </c>
      <c r="N6327">
        <v>0.11</v>
      </c>
    </row>
    <row r="6328" spans="1:14" x14ac:dyDescent="0.25">
      <c r="A6328" t="s">
        <v>11366</v>
      </c>
      <c r="B6328" t="s">
        <v>11367</v>
      </c>
      <c r="C6328" s="1" t="str">
        <f>HYPERLINK("http://www.genecards.org/cgi-bin/carddisp.pl?gene=PGD","GeneCards")</f>
        <v>GeneCards</v>
      </c>
      <c r="D6328" s="1" t="str">
        <f>HYPERLINK("http://genome-euro.ucsc.edu/cgi-bin/hgTracks?position=201118_at","UCSC")</f>
        <v>UCSC</v>
      </c>
      <c r="E6328" s="1" t="str">
        <f>HYPERLINK("http://www.ncbi.nlm.nih.gov/gene/?term=PGD","NCBI")</f>
        <v>NCBI</v>
      </c>
      <c r="F6328">
        <v>7.1999999999999995E-2</v>
      </c>
      <c r="G6328">
        <v>0.19</v>
      </c>
      <c r="H6328" s="1" t="str">
        <f>HYPERLINK("http://www.weizmann.ac.il/complex/compphys/software/geview/data/figures/201118_at.png","Figure")</f>
        <v>Figure</v>
      </c>
      <c r="I6328">
        <v>0.83699999999999997</v>
      </c>
      <c r="J6328">
        <v>0.56999999999999995</v>
      </c>
      <c r="K6328">
        <v>1.24</v>
      </c>
      <c r="L6328">
        <v>0.34</v>
      </c>
      <c r="M6328">
        <v>1.49</v>
      </c>
      <c r="N6328">
        <v>6.6000000000000003E-2</v>
      </c>
    </row>
    <row r="6329" spans="1:14" x14ac:dyDescent="0.25">
      <c r="A6329" t="s">
        <v>11368</v>
      </c>
      <c r="B6329" t="s">
        <v>9627</v>
      </c>
      <c r="C6329" s="1" t="str">
        <f>HYPERLINK("http://www.genecards.org/cgi-bin/carddisp.pl?gene=GTF3A","GeneCards")</f>
        <v>GeneCards</v>
      </c>
      <c r="D6329" s="1" t="str">
        <f>HYPERLINK("http://genome-euro.ucsc.edu/cgi-bin/hgTracks?position=215091_s_at","UCSC")</f>
        <v>UCSC</v>
      </c>
      <c r="E6329" s="1" t="str">
        <f>HYPERLINK("http://www.ncbi.nlm.nih.gov/gene/?term=GTF3A","NCBI")</f>
        <v>NCBI</v>
      </c>
      <c r="F6329">
        <v>7.1999999999999995E-2</v>
      </c>
      <c r="G6329">
        <v>0.19</v>
      </c>
      <c r="H6329" s="1" t="str">
        <f>HYPERLINK("http://www.weizmann.ac.il/complex/compphys/software/geview/data/figures/215091_s_at.png","Figure")</f>
        <v>Figure</v>
      </c>
      <c r="I6329">
        <v>0.70699999999999996</v>
      </c>
      <c r="J6329">
        <v>0.17</v>
      </c>
      <c r="K6329">
        <v>1.07</v>
      </c>
      <c r="L6329">
        <v>0.9</v>
      </c>
      <c r="M6329">
        <v>1.52</v>
      </c>
      <c r="N6329">
        <v>6.7000000000000004E-2</v>
      </c>
    </row>
    <row r="6330" spans="1:14" x14ac:dyDescent="0.25">
      <c r="A6330" t="s">
        <v>11369</v>
      </c>
      <c r="B6330" t="s">
        <v>11370</v>
      </c>
      <c r="C6330" s="1" t="str">
        <f>HYPERLINK("http://www.genecards.org/cgi-bin/carddisp.pl?gene=RAB4B","GeneCards")</f>
        <v>GeneCards</v>
      </c>
      <c r="D6330" s="1" t="str">
        <f>HYPERLINK("http://genome-euro.ucsc.edu/cgi-bin/hgTracks?position=219807_x_at","UCSC")</f>
        <v>UCSC</v>
      </c>
      <c r="E6330" s="1" t="str">
        <f>HYPERLINK("http://www.ncbi.nlm.nih.gov/gene/?term=RAB4B","NCBI")</f>
        <v>NCBI</v>
      </c>
      <c r="F6330">
        <v>7.1999999999999995E-2</v>
      </c>
      <c r="G6330">
        <v>0.19</v>
      </c>
      <c r="H6330" s="1" t="str">
        <f>HYPERLINK("http://www.weizmann.ac.il/complex/compphys/software/geview/data/figures/219807_x_at.png","Figure")</f>
        <v>Figure</v>
      </c>
      <c r="I6330">
        <v>1.39</v>
      </c>
      <c r="J6330">
        <v>8.7999999999999995E-2</v>
      </c>
      <c r="K6330">
        <v>1.29</v>
      </c>
      <c r="L6330">
        <v>0.13</v>
      </c>
      <c r="M6330">
        <v>0.92900000000000005</v>
      </c>
      <c r="N6330">
        <v>0.85</v>
      </c>
    </row>
    <row r="6331" spans="1:14" x14ac:dyDescent="0.25">
      <c r="A6331" t="s">
        <v>11371</v>
      </c>
      <c r="B6331" t="s">
        <v>3052</v>
      </c>
      <c r="C6331" s="1" t="str">
        <f>HYPERLINK("http://www.genecards.org/cgi-bin/carddisp.pl?gene=IGHD","GeneCards")</f>
        <v>GeneCards</v>
      </c>
      <c r="D6331" s="1" t="str">
        <f>HYPERLINK("http://genome-euro.ucsc.edu/cgi-bin/hgTracks?position=215621_s_at","UCSC")</f>
        <v>UCSC</v>
      </c>
      <c r="E6331" s="1" t="str">
        <f>HYPERLINK("http://www.ncbi.nlm.nih.gov/gene/?term=IGHD","NCBI")</f>
        <v>NCBI</v>
      </c>
      <c r="F6331">
        <v>7.2999999999999995E-2</v>
      </c>
      <c r="G6331">
        <v>0.19</v>
      </c>
      <c r="H6331" s="1" t="str">
        <f>HYPERLINK("http://www.weizmann.ac.il/complex/compphys/software/geview/data/figures/215621_s_at.png","Figure")</f>
        <v>Figure</v>
      </c>
      <c r="I6331">
        <v>1.3</v>
      </c>
      <c r="J6331">
        <v>0.13</v>
      </c>
      <c r="K6331">
        <v>1.29</v>
      </c>
      <c r="L6331">
        <v>9.1999999999999998E-2</v>
      </c>
      <c r="M6331">
        <v>0.98599999999999999</v>
      </c>
      <c r="N6331">
        <v>0.99</v>
      </c>
    </row>
    <row r="6332" spans="1:14" x14ac:dyDescent="0.25">
      <c r="A6332" t="s">
        <v>11372</v>
      </c>
      <c r="B6332" t="s">
        <v>11373</v>
      </c>
      <c r="C6332" s="1" t="str">
        <f>HYPERLINK("http://www.genecards.org/cgi-bin/carddisp.pl?gene=KPTN","GeneCards")</f>
        <v>GeneCards</v>
      </c>
      <c r="D6332" s="1" t="str">
        <f>HYPERLINK("http://genome-euro.ucsc.edu/cgi-bin/hgTracks?position=220160_s_at","UCSC")</f>
        <v>UCSC</v>
      </c>
      <c r="E6332" s="1" t="str">
        <f>HYPERLINK("http://www.ncbi.nlm.nih.gov/gene/?term=KPTN","NCBI")</f>
        <v>NCBI</v>
      </c>
      <c r="F6332">
        <v>7.2999999999999995E-2</v>
      </c>
      <c r="G6332">
        <v>0.19</v>
      </c>
      <c r="H6332" s="1" t="str">
        <f>HYPERLINK("http://www.weizmann.ac.il/complex/compphys/software/geview/data/figures/220160_s_at.png","Figure")</f>
        <v>Figure</v>
      </c>
      <c r="I6332">
        <v>0.72099999999999997</v>
      </c>
      <c r="J6332">
        <v>7.3999999999999996E-2</v>
      </c>
      <c r="K6332">
        <v>0.79900000000000004</v>
      </c>
      <c r="L6332">
        <v>0.18</v>
      </c>
      <c r="M6332">
        <v>1.1100000000000001</v>
      </c>
      <c r="N6332">
        <v>0.7</v>
      </c>
    </row>
    <row r="6333" spans="1:14" x14ac:dyDescent="0.25">
      <c r="A6333" t="s">
        <v>11374</v>
      </c>
      <c r="B6333" t="s">
        <v>11375</v>
      </c>
      <c r="C6333" s="1" t="str">
        <f>HYPERLINK("http://www.genecards.org/cgi-bin/carddisp.pl?gene=PCDHA10","GeneCards")</f>
        <v>GeneCards</v>
      </c>
      <c r="D6333" s="1" t="str">
        <f>HYPERLINK("http://genome-euro.ucsc.edu/cgi-bin/hgTracks?position=211867_s_at","UCSC")</f>
        <v>UCSC</v>
      </c>
      <c r="E6333" s="1" t="str">
        <f>HYPERLINK("http://www.ncbi.nlm.nih.gov/gene/?term=PCDHA10","NCBI")</f>
        <v>NCBI</v>
      </c>
      <c r="F6333">
        <v>7.2999999999999995E-2</v>
      </c>
      <c r="G6333">
        <v>0.19</v>
      </c>
      <c r="H6333" s="1" t="str">
        <f>HYPERLINK("http://www.weizmann.ac.il/complex/compphys/software/geview/data/figures/211867_s_at.png","Figure")</f>
        <v>Figure</v>
      </c>
      <c r="I6333">
        <v>1.1299999999999999</v>
      </c>
      <c r="J6333">
        <v>9.4E-2</v>
      </c>
      <c r="K6333">
        <v>1.1000000000000001</v>
      </c>
      <c r="L6333">
        <v>0.12</v>
      </c>
      <c r="M6333">
        <v>0.97699999999999998</v>
      </c>
      <c r="N6333">
        <v>0.89</v>
      </c>
    </row>
    <row r="6334" spans="1:14" x14ac:dyDescent="0.25">
      <c r="A6334" t="s">
        <v>11376</v>
      </c>
      <c r="B6334" t="s">
        <v>11377</v>
      </c>
      <c r="C6334" s="1" t="str">
        <f>HYPERLINK("http://www.genecards.org/cgi-bin/carddisp.pl?gene=AQP9","GeneCards")</f>
        <v>GeneCards</v>
      </c>
      <c r="D6334" s="1" t="str">
        <f>HYPERLINK("http://genome-euro.ucsc.edu/cgi-bin/hgTracks?position=205568_at","UCSC")</f>
        <v>UCSC</v>
      </c>
      <c r="E6334" s="1" t="str">
        <f>HYPERLINK("http://www.ncbi.nlm.nih.gov/gene/?term=AQP9","NCBI")</f>
        <v>NCBI</v>
      </c>
      <c r="F6334">
        <v>7.2999999999999995E-2</v>
      </c>
      <c r="G6334">
        <v>0.19</v>
      </c>
      <c r="H6334" s="1" t="str">
        <f>HYPERLINK("http://www.weizmann.ac.il/complex/compphys/software/geview/data/figures/205568_at.png","Figure")</f>
        <v>Figure</v>
      </c>
      <c r="I6334">
        <v>1.28</v>
      </c>
      <c r="J6334">
        <v>0.16</v>
      </c>
      <c r="K6334">
        <v>0.95699999999999996</v>
      </c>
      <c r="L6334">
        <v>0.92</v>
      </c>
      <c r="M6334">
        <v>0.75</v>
      </c>
      <c r="N6334">
        <v>6.8000000000000005E-2</v>
      </c>
    </row>
    <row r="6335" spans="1:14" x14ac:dyDescent="0.25">
      <c r="A6335" t="s">
        <v>11378</v>
      </c>
      <c r="B6335" t="s">
        <v>6412</v>
      </c>
      <c r="C6335" s="1" t="str">
        <f>HYPERLINK("http://www.genecards.org/cgi-bin/carddisp.pl?gene=TNPO2","GeneCards")</f>
        <v>GeneCards</v>
      </c>
      <c r="D6335" s="1" t="str">
        <f>HYPERLINK("http://genome-euro.ucsc.edu/cgi-bin/hgTracks?position=221506_s_at","UCSC")</f>
        <v>UCSC</v>
      </c>
      <c r="E6335" s="1" t="str">
        <f>HYPERLINK("http://www.ncbi.nlm.nih.gov/gene/?term=TNPO2","NCBI")</f>
        <v>NCBI</v>
      </c>
      <c r="F6335">
        <v>7.2999999999999995E-2</v>
      </c>
      <c r="G6335">
        <v>0.19</v>
      </c>
      <c r="H6335" s="1" t="str">
        <f>HYPERLINK("http://www.weizmann.ac.il/complex/compphys/software/geview/data/figures/221506_s_at.png","Figure")</f>
        <v>Figure</v>
      </c>
      <c r="I6335">
        <v>1.39</v>
      </c>
      <c r="J6335">
        <v>6.3E-2</v>
      </c>
      <c r="K6335">
        <v>1.2</v>
      </c>
      <c r="L6335">
        <v>0.28000000000000003</v>
      </c>
      <c r="M6335">
        <v>0.86299999999999999</v>
      </c>
      <c r="N6335">
        <v>0.48</v>
      </c>
    </row>
    <row r="6336" spans="1:14" x14ac:dyDescent="0.25">
      <c r="A6336" t="s">
        <v>11379</v>
      </c>
      <c r="B6336" t="s">
        <v>1702</v>
      </c>
      <c r="C6336" s="1" t="str">
        <f>HYPERLINK("http://www.genecards.org/cgi-bin/carddisp.pl?gene=GART","GeneCards")</f>
        <v>GeneCards</v>
      </c>
      <c r="D6336" s="1" t="str">
        <f>HYPERLINK("http://genome-euro.ucsc.edu/cgi-bin/hgTracks?position=212379_at","UCSC")</f>
        <v>UCSC</v>
      </c>
      <c r="E6336" s="1" t="str">
        <f>HYPERLINK("http://www.ncbi.nlm.nih.gov/gene/?term=GART","NCBI")</f>
        <v>NCBI</v>
      </c>
      <c r="F6336">
        <v>7.2999999999999995E-2</v>
      </c>
      <c r="G6336">
        <v>0.2</v>
      </c>
      <c r="H6336" s="1" t="str">
        <f>HYPERLINK("http://www.weizmann.ac.il/complex/compphys/software/geview/data/figures/212379_at.png","Figure")</f>
        <v>Figure</v>
      </c>
      <c r="I6336">
        <v>1.23</v>
      </c>
      <c r="J6336">
        <v>0.21</v>
      </c>
      <c r="K6336">
        <v>1.29</v>
      </c>
      <c r="L6336">
        <v>6.9000000000000006E-2</v>
      </c>
      <c r="M6336">
        <v>1.04</v>
      </c>
      <c r="N6336">
        <v>0.92</v>
      </c>
    </row>
    <row r="6337" spans="1:14" x14ac:dyDescent="0.25">
      <c r="A6337" t="s">
        <v>11380</v>
      </c>
      <c r="B6337" t="s">
        <v>11381</v>
      </c>
      <c r="C6337" s="1" t="str">
        <f>HYPERLINK("http://www.genecards.org/cgi-bin/carddisp.pl?gene=FABP7","GeneCards")</f>
        <v>GeneCards</v>
      </c>
      <c r="D6337" s="1" t="str">
        <f>HYPERLINK("http://genome-euro.ucsc.edu/cgi-bin/hgTracks?position=216192_at","UCSC")</f>
        <v>UCSC</v>
      </c>
      <c r="E6337" s="1" t="str">
        <f>HYPERLINK("http://www.ncbi.nlm.nih.gov/gene/?term=FABP7","NCBI")</f>
        <v>NCBI</v>
      </c>
      <c r="F6337">
        <v>7.2999999999999995E-2</v>
      </c>
      <c r="G6337">
        <v>0.2</v>
      </c>
      <c r="H6337" s="1" t="str">
        <f>HYPERLINK("http://www.weizmann.ac.il/complex/compphys/software/geview/data/figures/216192_at.png","Figure")</f>
        <v>Figure</v>
      </c>
      <c r="I6337">
        <v>1.03</v>
      </c>
      <c r="J6337">
        <v>0.78</v>
      </c>
      <c r="K6337">
        <v>0.93300000000000005</v>
      </c>
      <c r="L6337">
        <v>0.22</v>
      </c>
      <c r="M6337">
        <v>0.90500000000000003</v>
      </c>
      <c r="N6337">
        <v>8.1000000000000003E-2</v>
      </c>
    </row>
    <row r="6338" spans="1:14" x14ac:dyDescent="0.25">
      <c r="A6338" t="s">
        <v>11382</v>
      </c>
      <c r="B6338" t="s">
        <v>8125</v>
      </c>
      <c r="C6338" s="1" t="str">
        <f>HYPERLINK("http://www.genecards.org/cgi-bin/carddisp.pl?gene=PPID","GeneCards")</f>
        <v>GeneCards</v>
      </c>
      <c r="D6338" s="1" t="str">
        <f>HYPERLINK("http://genome-euro.ucsc.edu/cgi-bin/hgTracks?position=204186_s_at","UCSC")</f>
        <v>UCSC</v>
      </c>
      <c r="E6338" s="1" t="str">
        <f>HYPERLINK("http://www.ncbi.nlm.nih.gov/gene/?term=PPID","NCBI")</f>
        <v>NCBI</v>
      </c>
      <c r="F6338">
        <v>7.2999999999999995E-2</v>
      </c>
      <c r="G6338">
        <v>0.2</v>
      </c>
      <c r="H6338" s="1" t="str">
        <f>HYPERLINK("http://www.weizmann.ac.il/complex/compphys/software/geview/data/figures/204186_s_at.png","Figure")</f>
        <v>Figure</v>
      </c>
      <c r="I6338">
        <v>0.64800000000000002</v>
      </c>
      <c r="J6338">
        <v>0.15</v>
      </c>
      <c r="K6338">
        <v>1.06</v>
      </c>
      <c r="L6338">
        <v>0.95</v>
      </c>
      <c r="M6338">
        <v>1.63</v>
      </c>
      <c r="N6338">
        <v>7.1999999999999995E-2</v>
      </c>
    </row>
    <row r="6339" spans="1:14" x14ac:dyDescent="0.25">
      <c r="A6339" t="s">
        <v>11383</v>
      </c>
      <c r="B6339" t="s">
        <v>11384</v>
      </c>
      <c r="C6339" s="1" t="str">
        <f>HYPERLINK("http://www.genecards.org/cgi-bin/carddisp.pl?gene=HEXB","GeneCards")</f>
        <v>GeneCards</v>
      </c>
      <c r="D6339" s="1" t="str">
        <f>HYPERLINK("http://genome-euro.ucsc.edu/cgi-bin/hgTracks?position=201944_at","UCSC")</f>
        <v>UCSC</v>
      </c>
      <c r="E6339" s="1" t="str">
        <f>HYPERLINK("http://www.ncbi.nlm.nih.gov/gene/?term=HEXB","NCBI")</f>
        <v>NCBI</v>
      </c>
      <c r="F6339">
        <v>7.2999999999999995E-2</v>
      </c>
      <c r="G6339">
        <v>0.2</v>
      </c>
      <c r="H6339" s="1" t="str">
        <f>HYPERLINK("http://www.weizmann.ac.il/complex/compphys/software/geview/data/figures/201944_at.png","Figure")</f>
        <v>Figure</v>
      </c>
      <c r="I6339">
        <v>0.71799999999999997</v>
      </c>
      <c r="J6339">
        <v>0.28000000000000003</v>
      </c>
      <c r="K6339">
        <v>1.17</v>
      </c>
      <c r="L6339">
        <v>0.66</v>
      </c>
      <c r="M6339">
        <v>1.63</v>
      </c>
      <c r="N6339">
        <v>0.06</v>
      </c>
    </row>
    <row r="6340" spans="1:14" x14ac:dyDescent="0.25">
      <c r="A6340" t="s">
        <v>11385</v>
      </c>
      <c r="B6340" t="s">
        <v>4376</v>
      </c>
      <c r="C6340" s="1" t="str">
        <f>HYPERLINK("http://www.genecards.org/cgi-bin/carddisp.pl?gene=MFNG","GeneCards")</f>
        <v>GeneCards</v>
      </c>
      <c r="D6340" s="1" t="str">
        <f>HYPERLINK("http://genome-euro.ucsc.edu/cgi-bin/hgTracks?position=204153_s_at","UCSC")</f>
        <v>UCSC</v>
      </c>
      <c r="E6340" s="1" t="str">
        <f>HYPERLINK("http://www.ncbi.nlm.nih.gov/gene/?term=MFNG","NCBI")</f>
        <v>NCBI</v>
      </c>
      <c r="F6340">
        <v>7.2999999999999995E-2</v>
      </c>
      <c r="G6340">
        <v>0.2</v>
      </c>
      <c r="H6340" s="1" t="str">
        <f>HYPERLINK("http://www.weizmann.ac.il/complex/compphys/software/geview/data/figures/204153_s_at.png","Figure")</f>
        <v>Figure</v>
      </c>
      <c r="I6340">
        <v>1.1100000000000001</v>
      </c>
      <c r="J6340">
        <v>0.74</v>
      </c>
      <c r="K6340">
        <v>1.37</v>
      </c>
      <c r="L6340">
        <v>6.8000000000000005E-2</v>
      </c>
      <c r="M6340">
        <v>1.23</v>
      </c>
      <c r="N6340">
        <v>0.32</v>
      </c>
    </row>
    <row r="6341" spans="1:14" x14ac:dyDescent="0.25">
      <c r="A6341" t="s">
        <v>11386</v>
      </c>
      <c r="B6341" t="s">
        <v>11387</v>
      </c>
      <c r="C6341" s="1" t="str">
        <f>HYPERLINK("http://www.genecards.org/cgi-bin/carddisp.pl?gene=NFKB2","GeneCards")</f>
        <v>GeneCards</v>
      </c>
      <c r="D6341" s="1" t="str">
        <f>HYPERLINK("http://genome-euro.ucsc.edu/cgi-bin/hgTracks?position=207535_s_at","UCSC")</f>
        <v>UCSC</v>
      </c>
      <c r="E6341" s="1" t="str">
        <f>HYPERLINK("http://www.ncbi.nlm.nih.gov/gene/?term=NFKB2","NCBI")</f>
        <v>NCBI</v>
      </c>
      <c r="F6341">
        <v>7.2999999999999995E-2</v>
      </c>
      <c r="G6341">
        <v>0.2</v>
      </c>
      <c r="H6341" s="1" t="str">
        <f>HYPERLINK("http://www.weizmann.ac.il/complex/compphys/software/geview/data/figures/207535_s_at.png","Figure")</f>
        <v>Figure</v>
      </c>
      <c r="I6341">
        <v>1.0900000000000001</v>
      </c>
      <c r="J6341">
        <v>0.56000000000000005</v>
      </c>
      <c r="K6341">
        <v>0.9</v>
      </c>
      <c r="L6341">
        <v>0.34</v>
      </c>
      <c r="M6341">
        <v>0.82499999999999996</v>
      </c>
      <c r="N6341">
        <v>6.6000000000000003E-2</v>
      </c>
    </row>
    <row r="6342" spans="1:14" x14ac:dyDescent="0.25">
      <c r="A6342" t="s">
        <v>11388</v>
      </c>
      <c r="B6342" t="s">
        <v>11389</v>
      </c>
      <c r="C6342" s="1" t="str">
        <f>HYPERLINK("http://www.genecards.org/cgi-bin/carddisp.pl?gene=PXMP3","GeneCards")</f>
        <v>GeneCards</v>
      </c>
      <c r="D6342" s="1" t="str">
        <f>HYPERLINK("http://genome-euro.ucsc.edu/cgi-bin/hgTracks?position=210296_s_at","UCSC")</f>
        <v>UCSC</v>
      </c>
      <c r="E6342" s="1" t="str">
        <f>HYPERLINK("http://www.ncbi.nlm.nih.gov/gene/?term=PXMP3","NCBI")</f>
        <v>NCBI</v>
      </c>
      <c r="F6342">
        <v>7.2999999999999995E-2</v>
      </c>
      <c r="G6342">
        <v>0.2</v>
      </c>
      <c r="H6342" s="1" t="str">
        <f>HYPERLINK("http://www.weizmann.ac.il/complex/compphys/software/geview/data/figures/210296_s_at.png","Figure")</f>
        <v>Figure</v>
      </c>
      <c r="I6342">
        <v>0.76600000000000001</v>
      </c>
      <c r="J6342">
        <v>0.34</v>
      </c>
      <c r="K6342">
        <v>1.18</v>
      </c>
      <c r="L6342">
        <v>0.56000000000000005</v>
      </c>
      <c r="M6342">
        <v>1.55</v>
      </c>
      <c r="N6342">
        <v>0.06</v>
      </c>
    </row>
    <row r="6343" spans="1:14" x14ac:dyDescent="0.25">
      <c r="A6343" t="s">
        <v>11390</v>
      </c>
      <c r="B6343" t="s">
        <v>11391</v>
      </c>
      <c r="C6343" s="1" t="str">
        <f>HYPERLINK("http://www.genecards.org/cgi-bin/carddisp.pl?gene=DDN","GeneCards")</f>
        <v>GeneCards</v>
      </c>
      <c r="D6343" s="1" t="str">
        <f>HYPERLINK("http://genome-euro.ucsc.edu/cgi-bin/hgTracks?position=214788_x_at","UCSC")</f>
        <v>UCSC</v>
      </c>
      <c r="E6343" s="1" t="str">
        <f>HYPERLINK("http://www.ncbi.nlm.nih.gov/gene/?term=DDN","NCBI")</f>
        <v>NCBI</v>
      </c>
      <c r="F6343">
        <v>7.2999999999999995E-2</v>
      </c>
      <c r="G6343">
        <v>0.2</v>
      </c>
      <c r="H6343" s="1" t="str">
        <f>HYPERLINK("http://www.weizmann.ac.il/complex/compphys/software/geview/data/figures/214788_x_at.png","Figure")</f>
        <v>Figure</v>
      </c>
      <c r="I6343">
        <v>1.31</v>
      </c>
      <c r="J6343">
        <v>7.0000000000000007E-2</v>
      </c>
      <c r="K6343">
        <v>1.19</v>
      </c>
      <c r="L6343">
        <v>0.2</v>
      </c>
      <c r="M6343">
        <v>0.90900000000000003</v>
      </c>
      <c r="N6343">
        <v>0.63</v>
      </c>
    </row>
    <row r="6344" spans="1:14" x14ac:dyDescent="0.25">
      <c r="A6344" t="s">
        <v>11392</v>
      </c>
      <c r="B6344" t="s">
        <v>2816</v>
      </c>
      <c r="C6344" s="1" t="str">
        <f>HYPERLINK("http://www.genecards.org/cgi-bin/carddisp.pl?gene=BRF1","GeneCards")</f>
        <v>GeneCards</v>
      </c>
      <c r="D6344" s="1" t="str">
        <f>HYPERLINK("http://genome-euro.ucsc.edu/cgi-bin/hgTracks?position=215677_s_at","UCSC")</f>
        <v>UCSC</v>
      </c>
      <c r="E6344" s="1" t="str">
        <f>HYPERLINK("http://www.ncbi.nlm.nih.gov/gene/?term=BRF1","NCBI")</f>
        <v>NCBI</v>
      </c>
      <c r="F6344">
        <v>7.2999999999999995E-2</v>
      </c>
      <c r="G6344">
        <v>0.2</v>
      </c>
      <c r="H6344" s="1" t="str">
        <f>HYPERLINK("http://www.weizmann.ac.il/complex/compphys/software/geview/data/figures/215677_s_at.png","Figure")</f>
        <v>Figure</v>
      </c>
      <c r="I6344">
        <v>1.1200000000000001</v>
      </c>
      <c r="J6344">
        <v>8.7999999999999995E-2</v>
      </c>
      <c r="K6344">
        <v>1.0900000000000001</v>
      </c>
      <c r="L6344">
        <v>0.13</v>
      </c>
      <c r="M6344">
        <v>0.97499999999999998</v>
      </c>
      <c r="N6344">
        <v>0.85</v>
      </c>
    </row>
    <row r="6345" spans="1:14" x14ac:dyDescent="0.25">
      <c r="A6345" t="s">
        <v>11393</v>
      </c>
      <c r="B6345" t="s">
        <v>11394</v>
      </c>
      <c r="C6345" s="1" t="str">
        <f>HYPERLINK("http://www.genecards.org/cgi-bin/carddisp.pl?gene=RNASEH2B","GeneCards")</f>
        <v>GeneCards</v>
      </c>
      <c r="D6345" s="1" t="str">
        <f>HYPERLINK("http://genome-euro.ucsc.edu/cgi-bin/hgTracks?position=219056_at","UCSC")</f>
        <v>UCSC</v>
      </c>
      <c r="E6345" s="1" t="str">
        <f>HYPERLINK("http://www.ncbi.nlm.nih.gov/gene/?term=RNASEH2B","NCBI")</f>
        <v>NCBI</v>
      </c>
      <c r="F6345">
        <v>7.2999999999999995E-2</v>
      </c>
      <c r="G6345">
        <v>0.2</v>
      </c>
      <c r="H6345" s="1" t="str">
        <f>HYPERLINK("http://www.weizmann.ac.il/complex/compphys/software/geview/data/figures/219056_at.png","Figure")</f>
        <v>Figure</v>
      </c>
      <c r="I6345">
        <v>0.55800000000000005</v>
      </c>
      <c r="J6345">
        <v>7.0000000000000007E-2</v>
      </c>
      <c r="K6345">
        <v>0.86599999999999999</v>
      </c>
      <c r="L6345">
        <v>0.77</v>
      </c>
      <c r="M6345">
        <v>1.55</v>
      </c>
      <c r="N6345">
        <v>0.16</v>
      </c>
    </row>
    <row r="6346" spans="1:14" x14ac:dyDescent="0.25">
      <c r="A6346" t="s">
        <v>11395</v>
      </c>
      <c r="B6346" t="s">
        <v>11396</v>
      </c>
      <c r="C6346" s="1" t="str">
        <f>HYPERLINK("http://www.genecards.org/cgi-bin/carddisp.pl?gene=PIP4K2A","GeneCards")</f>
        <v>GeneCards</v>
      </c>
      <c r="D6346" s="1" t="str">
        <f>HYPERLINK("http://genome-euro.ucsc.edu/cgi-bin/hgTracks?position=212829_at","UCSC")</f>
        <v>UCSC</v>
      </c>
      <c r="E6346" s="1" t="str">
        <f>HYPERLINK("http://www.ncbi.nlm.nih.gov/gene/?term=PIP4K2A","NCBI")</f>
        <v>NCBI</v>
      </c>
      <c r="F6346">
        <v>7.2999999999999995E-2</v>
      </c>
      <c r="G6346">
        <v>0.2</v>
      </c>
      <c r="H6346" s="1" t="str">
        <f>HYPERLINK("http://www.weizmann.ac.il/complex/compphys/software/geview/data/figures/212829_at.png","Figure")</f>
        <v>Figure</v>
      </c>
      <c r="I6346">
        <v>0.61199999999999999</v>
      </c>
      <c r="J6346">
        <v>0.1</v>
      </c>
      <c r="K6346">
        <v>0.98399999999999999</v>
      </c>
      <c r="L6346">
        <v>1</v>
      </c>
      <c r="M6346">
        <v>1.61</v>
      </c>
      <c r="N6346">
        <v>9.0999999999999998E-2</v>
      </c>
    </row>
    <row r="6347" spans="1:14" x14ac:dyDescent="0.25">
      <c r="A6347" t="s">
        <v>11397</v>
      </c>
      <c r="B6347" t="s">
        <v>11398</v>
      </c>
      <c r="C6347" s="1" t="str">
        <f>HYPERLINK("http://www.genecards.org/cgi-bin/carddisp.pl?gene=SERPINB6","GeneCards")</f>
        <v>GeneCards</v>
      </c>
      <c r="D6347" s="1" t="str">
        <f>HYPERLINK("http://genome-euro.ucsc.edu/cgi-bin/hgTracks?position=211474_s_at","UCSC")</f>
        <v>UCSC</v>
      </c>
      <c r="E6347" s="1" t="str">
        <f>HYPERLINK("http://www.ncbi.nlm.nih.gov/gene/?term=SERPINB6","NCBI")</f>
        <v>NCBI</v>
      </c>
      <c r="F6347">
        <v>7.2999999999999995E-2</v>
      </c>
      <c r="G6347">
        <v>0.2</v>
      </c>
      <c r="H6347" s="1" t="str">
        <f>HYPERLINK("http://www.weizmann.ac.il/complex/compphys/software/geview/data/figures/211474_s_at.png","Figure")</f>
        <v>Figure</v>
      </c>
      <c r="I6347">
        <v>0.48499999999999999</v>
      </c>
      <c r="J6347">
        <v>8.2000000000000003E-2</v>
      </c>
      <c r="K6347">
        <v>0.89900000000000002</v>
      </c>
      <c r="L6347">
        <v>0.92</v>
      </c>
      <c r="M6347">
        <v>1.85</v>
      </c>
      <c r="N6347">
        <v>0.12</v>
      </c>
    </row>
    <row r="6348" spans="1:14" x14ac:dyDescent="0.25">
      <c r="A6348" t="s">
        <v>11399</v>
      </c>
      <c r="B6348" t="s">
        <v>11400</v>
      </c>
      <c r="C6348" s="1" t="str">
        <f>HYPERLINK("http://www.genecards.org/cgi-bin/carddisp.pl?gene=CYP2D6","GeneCards")</f>
        <v>GeneCards</v>
      </c>
      <c r="D6348" s="1" t="str">
        <f>HYPERLINK("http://genome-euro.ucsc.edu/cgi-bin/hgTracks?position=215809_at","UCSC")</f>
        <v>UCSC</v>
      </c>
      <c r="E6348" s="1" t="str">
        <f>HYPERLINK("http://www.ncbi.nlm.nih.gov/gene/?term=CYP2D6","NCBI")</f>
        <v>NCBI</v>
      </c>
      <c r="F6348">
        <v>7.2999999999999995E-2</v>
      </c>
      <c r="G6348">
        <v>0.2</v>
      </c>
      <c r="H6348" s="1" t="str">
        <f>HYPERLINK("http://www.weizmann.ac.il/complex/compphys/software/geview/data/figures/215809_at.png","Figure")</f>
        <v>Figure</v>
      </c>
      <c r="I6348">
        <v>1.23</v>
      </c>
      <c r="J6348">
        <v>8.7999999999999995E-2</v>
      </c>
      <c r="K6348">
        <v>1.02</v>
      </c>
      <c r="L6348">
        <v>0.96</v>
      </c>
      <c r="M6348">
        <v>0.83099999999999996</v>
      </c>
      <c r="N6348">
        <v>0.11</v>
      </c>
    </row>
    <row r="6349" spans="1:14" x14ac:dyDescent="0.25">
      <c r="A6349" t="s">
        <v>11401</v>
      </c>
      <c r="B6349" t="s">
        <v>1489</v>
      </c>
      <c r="C6349" s="1" t="str">
        <f>HYPERLINK("http://www.genecards.org/cgi-bin/carddisp.pl?gene=ABO","GeneCards")</f>
        <v>GeneCards</v>
      </c>
      <c r="D6349" s="1" t="str">
        <f>HYPERLINK("http://genome-euro.ucsc.edu/cgi-bin/hgTracks?position=214504_at","UCSC")</f>
        <v>UCSC</v>
      </c>
      <c r="E6349" s="1" t="str">
        <f>HYPERLINK("http://www.ncbi.nlm.nih.gov/gene/?term=ABO","NCBI")</f>
        <v>NCBI</v>
      </c>
      <c r="F6349">
        <v>7.2999999999999995E-2</v>
      </c>
      <c r="G6349">
        <v>0.2</v>
      </c>
      <c r="H6349" s="1" t="str">
        <f>HYPERLINK("http://www.weizmann.ac.il/complex/compphys/software/geview/data/figures/214504_at.png","Figure")</f>
        <v>Figure</v>
      </c>
      <c r="I6349">
        <v>1.27</v>
      </c>
      <c r="J6349">
        <v>0.06</v>
      </c>
      <c r="K6349">
        <v>1.1200000000000001</v>
      </c>
      <c r="L6349">
        <v>0.38</v>
      </c>
      <c r="M6349">
        <v>0.88300000000000001</v>
      </c>
      <c r="N6349">
        <v>0.36</v>
      </c>
    </row>
    <row r="6350" spans="1:14" x14ac:dyDescent="0.25">
      <c r="A6350" t="s">
        <v>11402</v>
      </c>
      <c r="B6350" t="s">
        <v>9178</v>
      </c>
      <c r="C6350" s="1" t="str">
        <f>HYPERLINK("http://www.genecards.org/cgi-bin/carddisp.pl?gene=DNAJC10","GeneCards")</f>
        <v>GeneCards</v>
      </c>
      <c r="D6350" s="1" t="str">
        <f>HYPERLINK("http://genome-euro.ucsc.edu/cgi-bin/hgTracks?position=221781_s_at","UCSC")</f>
        <v>UCSC</v>
      </c>
      <c r="E6350" s="1" t="str">
        <f>HYPERLINK("http://www.ncbi.nlm.nih.gov/gene/?term=DNAJC10","NCBI")</f>
        <v>NCBI</v>
      </c>
      <c r="F6350">
        <v>7.2999999999999995E-2</v>
      </c>
      <c r="G6350">
        <v>0.2</v>
      </c>
      <c r="H6350" s="1" t="str">
        <f>HYPERLINK("http://www.weizmann.ac.il/complex/compphys/software/geview/data/figures/221781_s_at.png","Figure")</f>
        <v>Figure</v>
      </c>
      <c r="I6350">
        <v>0.80300000000000005</v>
      </c>
      <c r="J6350">
        <v>0.46</v>
      </c>
      <c r="K6350">
        <v>0.67200000000000004</v>
      </c>
      <c r="L6350">
        <v>0.06</v>
      </c>
      <c r="M6350">
        <v>0.83699999999999997</v>
      </c>
      <c r="N6350">
        <v>0.55000000000000004</v>
      </c>
    </row>
    <row r="6351" spans="1:14" x14ac:dyDescent="0.25">
      <c r="A6351" t="s">
        <v>11403</v>
      </c>
      <c r="B6351" t="s">
        <v>11404</v>
      </c>
      <c r="C6351" s="1" t="str">
        <f>HYPERLINK("http://www.genecards.org/cgi-bin/carddisp.pl?gene=XRCC5","GeneCards")</f>
        <v>GeneCards</v>
      </c>
      <c r="D6351" s="1" t="str">
        <f>HYPERLINK("http://genome-euro.ucsc.edu/cgi-bin/hgTracks?position=208642_s_at","UCSC")</f>
        <v>UCSC</v>
      </c>
      <c r="E6351" s="1" t="str">
        <f>HYPERLINK("http://www.ncbi.nlm.nih.gov/gene/?term=XRCC5","NCBI")</f>
        <v>NCBI</v>
      </c>
      <c r="F6351">
        <v>7.2999999999999995E-2</v>
      </c>
      <c r="G6351">
        <v>0.2</v>
      </c>
      <c r="H6351" s="1" t="str">
        <f>HYPERLINK("http://www.weizmann.ac.il/complex/compphys/software/geview/data/figures/208642_s_at.png","Figure")</f>
        <v>Figure</v>
      </c>
      <c r="I6351">
        <v>1.18</v>
      </c>
      <c r="J6351">
        <v>0.41</v>
      </c>
      <c r="K6351">
        <v>1.32</v>
      </c>
      <c r="L6351">
        <v>0.06</v>
      </c>
      <c r="M6351">
        <v>1.1200000000000001</v>
      </c>
      <c r="N6351">
        <v>0.62</v>
      </c>
    </row>
    <row r="6352" spans="1:14" x14ac:dyDescent="0.25">
      <c r="A6352" t="s">
        <v>11405</v>
      </c>
      <c r="B6352" t="s">
        <v>11406</v>
      </c>
      <c r="C6352" s="1" t="str">
        <f>HYPERLINK("http://www.genecards.org/cgi-bin/carddisp.pl?gene=ATP13A1","GeneCards")</f>
        <v>GeneCards</v>
      </c>
      <c r="D6352" s="1" t="str">
        <f>HYPERLINK("http://genome-euro.ucsc.edu/cgi-bin/hgTracks?position=218052_s_at","UCSC")</f>
        <v>UCSC</v>
      </c>
      <c r="E6352" s="1" t="str">
        <f>HYPERLINK("http://www.ncbi.nlm.nih.gov/gene/?term=ATP13A1","NCBI")</f>
        <v>NCBI</v>
      </c>
      <c r="F6352">
        <v>7.2999999999999995E-2</v>
      </c>
      <c r="G6352">
        <v>0.2</v>
      </c>
      <c r="H6352" s="1" t="str">
        <f>HYPERLINK("http://www.weizmann.ac.il/complex/compphys/software/geview/data/figures/218052_s_at.png","Figure")</f>
        <v>Figure</v>
      </c>
      <c r="I6352">
        <v>0.76400000000000001</v>
      </c>
      <c r="J6352">
        <v>0.06</v>
      </c>
      <c r="K6352">
        <v>0.88</v>
      </c>
      <c r="L6352">
        <v>0.38</v>
      </c>
      <c r="M6352">
        <v>1.1499999999999999</v>
      </c>
      <c r="N6352">
        <v>0.35</v>
      </c>
    </row>
    <row r="6353" spans="1:14" x14ac:dyDescent="0.25">
      <c r="A6353" t="s">
        <v>11407</v>
      </c>
      <c r="B6353" t="s">
        <v>11408</v>
      </c>
      <c r="C6353" s="1" t="str">
        <f>HYPERLINK("http://www.genecards.org/cgi-bin/carddisp.pl?gene=RNF39","GeneCards")</f>
        <v>GeneCards</v>
      </c>
      <c r="D6353" s="1" t="str">
        <f>HYPERLINK("http://genome-euro.ucsc.edu/cgi-bin/hgTracks?position=219916_s_at","UCSC")</f>
        <v>UCSC</v>
      </c>
      <c r="E6353" s="1" t="str">
        <f>HYPERLINK("http://www.ncbi.nlm.nih.gov/gene/?term=RNF39","NCBI")</f>
        <v>NCBI</v>
      </c>
      <c r="F6353">
        <v>7.2999999999999995E-2</v>
      </c>
      <c r="G6353">
        <v>0.2</v>
      </c>
      <c r="H6353" s="1" t="str">
        <f>HYPERLINK("http://www.weizmann.ac.il/complex/compphys/software/geview/data/figures/219916_s_at.png","Figure")</f>
        <v>Figure</v>
      </c>
      <c r="I6353">
        <v>1.29</v>
      </c>
      <c r="J6353">
        <v>6.0999999999999999E-2</v>
      </c>
      <c r="K6353">
        <v>1.1000000000000001</v>
      </c>
      <c r="L6353">
        <v>0.54</v>
      </c>
      <c r="M6353">
        <v>0.85199999999999998</v>
      </c>
      <c r="N6353">
        <v>0.25</v>
      </c>
    </row>
    <row r="6354" spans="1:14" x14ac:dyDescent="0.25">
      <c r="A6354" t="s">
        <v>11409</v>
      </c>
      <c r="B6354" t="s">
        <v>11410</v>
      </c>
      <c r="C6354" s="1" t="str">
        <f>HYPERLINK("http://www.genecards.org/cgi-bin/carddisp.pl?gene=LOC100290714 /// LOC441453 /// OR7E18P /// OR7E35P /// OR7E37P /// OR7E47P","GeneCards")</f>
        <v>GeneCards</v>
      </c>
      <c r="D6354" s="1" t="str">
        <f>HYPERLINK("http://genome-euro.ucsc.edu/cgi-bin/hgTracks?position=216698_x_at","UCSC")</f>
        <v>UCSC</v>
      </c>
      <c r="E6354" s="1" t="str">
        <f>HYPERLINK("http://www.ncbi.nlm.nih.gov/gene/?term=LOC100290714 /// LOC441453 /// OR7E18P /// OR7E35P /// OR7E37P /// OR7E47P","NCBI")</f>
        <v>NCBI</v>
      </c>
      <c r="F6354">
        <v>7.2999999999999995E-2</v>
      </c>
      <c r="G6354">
        <v>0.2</v>
      </c>
      <c r="H6354" s="1" t="str">
        <f>HYPERLINK("http://www.weizmann.ac.il/complex/compphys/software/geview/data/figures/216698_x_at.png","Figure")</f>
        <v>Figure</v>
      </c>
      <c r="I6354">
        <v>1.25</v>
      </c>
      <c r="J6354">
        <v>7.4999999999999997E-2</v>
      </c>
      <c r="K6354">
        <v>1.05</v>
      </c>
      <c r="L6354">
        <v>0.85</v>
      </c>
      <c r="M6354">
        <v>0.83799999999999997</v>
      </c>
      <c r="N6354">
        <v>0.14000000000000001</v>
      </c>
    </row>
    <row r="6355" spans="1:14" x14ac:dyDescent="0.25">
      <c r="A6355" t="s">
        <v>11411</v>
      </c>
      <c r="B6355" t="s">
        <v>11412</v>
      </c>
      <c r="C6355" s="1" t="str">
        <f>HYPERLINK("http://www.genecards.org/cgi-bin/carddisp.pl?gene=PRAF2","GeneCards")</f>
        <v>GeneCards</v>
      </c>
      <c r="D6355" s="1" t="str">
        <f>HYPERLINK("http://genome-euro.ucsc.edu/cgi-bin/hgTracks?position=203456_at","UCSC")</f>
        <v>UCSC</v>
      </c>
      <c r="E6355" s="1" t="str">
        <f>HYPERLINK("http://www.ncbi.nlm.nih.gov/gene/?term=PRAF2","NCBI")</f>
        <v>NCBI</v>
      </c>
      <c r="F6355">
        <v>7.2999999999999995E-2</v>
      </c>
      <c r="G6355">
        <v>0.2</v>
      </c>
      <c r="H6355" s="1" t="str">
        <f>HYPERLINK("http://www.weizmann.ac.il/complex/compphys/software/geview/data/figures/203456_at.png","Figure")</f>
        <v>Figure</v>
      </c>
      <c r="I6355">
        <v>0.90100000000000002</v>
      </c>
      <c r="J6355">
        <v>0.65</v>
      </c>
      <c r="K6355">
        <v>1.18</v>
      </c>
      <c r="L6355">
        <v>0.28999999999999998</v>
      </c>
      <c r="M6355">
        <v>1.3</v>
      </c>
      <c r="N6355">
        <v>7.0999999999999994E-2</v>
      </c>
    </row>
    <row r="6356" spans="1:14" x14ac:dyDescent="0.25">
      <c r="A6356" t="s">
        <v>11413</v>
      </c>
      <c r="B6356" t="s">
        <v>11414</v>
      </c>
      <c r="C6356" s="1" t="str">
        <f>HYPERLINK("http://www.genecards.org/cgi-bin/carddisp.pl?gene=ZNF232","GeneCards")</f>
        <v>GeneCards</v>
      </c>
      <c r="D6356" s="1" t="str">
        <f>HYPERLINK("http://genome-euro.ucsc.edu/cgi-bin/hgTracks?position=219123_at","UCSC")</f>
        <v>UCSC</v>
      </c>
      <c r="E6356" s="1" t="str">
        <f>HYPERLINK("http://www.ncbi.nlm.nih.gov/gene/?term=ZNF232","NCBI")</f>
        <v>NCBI</v>
      </c>
      <c r="F6356">
        <v>7.2999999999999995E-2</v>
      </c>
      <c r="G6356">
        <v>0.2</v>
      </c>
      <c r="H6356" s="1" t="str">
        <f>HYPERLINK("http://www.weizmann.ac.il/complex/compphys/software/geview/data/figures/219123_at.png","Figure")</f>
        <v>Figure</v>
      </c>
      <c r="I6356">
        <v>1.19</v>
      </c>
      <c r="J6356">
        <v>0.73</v>
      </c>
      <c r="K6356">
        <v>1.63</v>
      </c>
      <c r="L6356">
        <v>6.8000000000000005E-2</v>
      </c>
      <c r="M6356">
        <v>1.37</v>
      </c>
      <c r="N6356">
        <v>0.33</v>
      </c>
    </row>
    <row r="6357" spans="1:14" x14ac:dyDescent="0.25">
      <c r="A6357" t="s">
        <v>11415</v>
      </c>
      <c r="B6357" t="s">
        <v>11416</v>
      </c>
      <c r="C6357" s="1" t="str">
        <f>HYPERLINK("http://www.genecards.org/cgi-bin/carddisp.pl?gene=PNMT","GeneCards")</f>
        <v>GeneCards</v>
      </c>
      <c r="D6357" s="1" t="str">
        <f>HYPERLINK("http://genome-euro.ucsc.edu/cgi-bin/hgTracks?position=206793_at","UCSC")</f>
        <v>UCSC</v>
      </c>
      <c r="E6357" s="1" t="str">
        <f>HYPERLINK("http://www.ncbi.nlm.nih.gov/gene/?term=PNMT","NCBI")</f>
        <v>NCBI</v>
      </c>
      <c r="F6357">
        <v>7.2999999999999995E-2</v>
      </c>
      <c r="G6357">
        <v>0.2</v>
      </c>
      <c r="H6357" s="1" t="str">
        <f>HYPERLINK("http://www.weizmann.ac.il/complex/compphys/software/geview/data/figures/206793_at.png","Figure")</f>
        <v>Figure</v>
      </c>
      <c r="I6357">
        <v>1.17</v>
      </c>
      <c r="J6357">
        <v>6.4000000000000001E-2</v>
      </c>
      <c r="K6357">
        <v>1.05</v>
      </c>
      <c r="L6357">
        <v>0.64</v>
      </c>
      <c r="M6357">
        <v>0.89700000000000002</v>
      </c>
      <c r="N6357">
        <v>0.2</v>
      </c>
    </row>
    <row r="6358" spans="1:14" x14ac:dyDescent="0.25">
      <c r="A6358" t="s">
        <v>11417</v>
      </c>
      <c r="B6358" t="s">
        <v>11418</v>
      </c>
      <c r="C6358" s="1" t="str">
        <f>HYPERLINK("http://www.genecards.org/cgi-bin/carddisp.pl?gene=APOD","GeneCards")</f>
        <v>GeneCards</v>
      </c>
      <c r="D6358" s="1" t="str">
        <f>HYPERLINK("http://genome-euro.ucsc.edu/cgi-bin/hgTracks?position=201525_at","UCSC")</f>
        <v>UCSC</v>
      </c>
      <c r="E6358" s="1" t="str">
        <f>HYPERLINK("http://www.ncbi.nlm.nih.gov/gene/?term=APOD","NCBI")</f>
        <v>NCBI</v>
      </c>
      <c r="F6358">
        <v>7.2999999999999995E-2</v>
      </c>
      <c r="G6358">
        <v>0.2</v>
      </c>
      <c r="H6358" s="1" t="str">
        <f>HYPERLINK("http://www.weizmann.ac.il/complex/compphys/software/geview/data/figures/201525_at.png","Figure")</f>
        <v>Figure</v>
      </c>
      <c r="I6358">
        <v>1.32</v>
      </c>
      <c r="J6358">
        <v>6.2E-2</v>
      </c>
      <c r="K6358">
        <v>1.1599999999999999</v>
      </c>
      <c r="L6358">
        <v>0.32</v>
      </c>
      <c r="M6358">
        <v>0.874</v>
      </c>
      <c r="N6358">
        <v>0.42</v>
      </c>
    </row>
    <row r="6359" spans="1:14" x14ac:dyDescent="0.25">
      <c r="A6359" t="s">
        <v>11419</v>
      </c>
      <c r="B6359" t="s">
        <v>11420</v>
      </c>
      <c r="C6359" s="1" t="str">
        <f>HYPERLINK("http://www.genecards.org/cgi-bin/carddisp.pl?gene=CCNB1","GeneCards")</f>
        <v>GeneCards</v>
      </c>
      <c r="D6359" s="1" t="str">
        <f>HYPERLINK("http://genome-euro.ucsc.edu/cgi-bin/hgTracks?position=214710_s_at","UCSC")</f>
        <v>UCSC</v>
      </c>
      <c r="E6359" s="1" t="str">
        <f>HYPERLINK("http://www.ncbi.nlm.nih.gov/gene/?term=CCNB1","NCBI")</f>
        <v>NCBI</v>
      </c>
      <c r="F6359">
        <v>7.2999999999999995E-2</v>
      </c>
      <c r="G6359">
        <v>0.2</v>
      </c>
      <c r="H6359" s="1" t="str">
        <f>HYPERLINK("http://www.weizmann.ac.il/complex/compphys/software/geview/data/figures/214710_s_at.png","Figure")</f>
        <v>Figure</v>
      </c>
      <c r="I6359">
        <v>0.90500000000000003</v>
      </c>
      <c r="J6359">
        <v>0.89</v>
      </c>
      <c r="K6359">
        <v>1.44</v>
      </c>
      <c r="L6359">
        <v>0.17</v>
      </c>
      <c r="M6359">
        <v>1.59</v>
      </c>
      <c r="N6359">
        <v>9.5000000000000001E-2</v>
      </c>
    </row>
    <row r="6360" spans="1:14" x14ac:dyDescent="0.25">
      <c r="A6360" t="s">
        <v>11421</v>
      </c>
      <c r="B6360" t="s">
        <v>11422</v>
      </c>
      <c r="C6360" s="1" t="str">
        <f>HYPERLINK("http://www.genecards.org/cgi-bin/carddisp.pl?gene=PNO1","GeneCards")</f>
        <v>GeneCards</v>
      </c>
      <c r="D6360" s="1" t="str">
        <f>HYPERLINK("http://genome-euro.ucsc.edu/cgi-bin/hgTracks?position=203622_s_at","UCSC")</f>
        <v>UCSC</v>
      </c>
      <c r="E6360" s="1" t="str">
        <f>HYPERLINK("http://www.ncbi.nlm.nih.gov/gene/?term=PNO1","NCBI")</f>
        <v>NCBI</v>
      </c>
      <c r="F6360">
        <v>7.2999999999999995E-2</v>
      </c>
      <c r="G6360">
        <v>0.2</v>
      </c>
      <c r="H6360" s="1" t="str">
        <f>HYPERLINK("http://www.weizmann.ac.il/complex/compphys/software/geview/data/figures/203622_s_at.png","Figure")</f>
        <v>Figure</v>
      </c>
      <c r="I6360">
        <v>0.94299999999999995</v>
      </c>
      <c r="J6360">
        <v>0.88</v>
      </c>
      <c r="K6360">
        <v>0.77700000000000002</v>
      </c>
      <c r="L6360">
        <v>7.8E-2</v>
      </c>
      <c r="M6360">
        <v>0.82399999999999995</v>
      </c>
      <c r="N6360">
        <v>0.24</v>
      </c>
    </row>
    <row r="6361" spans="1:14" x14ac:dyDescent="0.25">
      <c r="A6361" t="s">
        <v>11423</v>
      </c>
      <c r="B6361" t="s">
        <v>3153</v>
      </c>
      <c r="C6361" s="1" t="str">
        <f>HYPERLINK("http://www.genecards.org/cgi-bin/carddisp.pl?gene=MAP4K5","GeneCards")</f>
        <v>GeneCards</v>
      </c>
      <c r="D6361" s="1" t="str">
        <f>HYPERLINK("http://genome-euro.ucsc.edu/cgi-bin/hgTracks?position=203553_s_at","UCSC")</f>
        <v>UCSC</v>
      </c>
      <c r="E6361" s="1" t="str">
        <f>HYPERLINK("http://www.ncbi.nlm.nih.gov/gene/?term=MAP4K5","NCBI")</f>
        <v>NCBI</v>
      </c>
      <c r="F6361">
        <v>7.2999999999999995E-2</v>
      </c>
      <c r="G6361">
        <v>0.2</v>
      </c>
      <c r="H6361" s="1" t="str">
        <f>HYPERLINK("http://www.weizmann.ac.il/complex/compphys/software/geview/data/figures/203553_s_at.png","Figure")</f>
        <v>Figure</v>
      </c>
      <c r="I6361">
        <v>0.66700000000000004</v>
      </c>
      <c r="J6361">
        <v>0.22</v>
      </c>
      <c r="K6361">
        <v>0.61099999999999999</v>
      </c>
      <c r="L6361">
        <v>6.9000000000000006E-2</v>
      </c>
      <c r="M6361">
        <v>0.91700000000000004</v>
      </c>
      <c r="N6361">
        <v>0.91</v>
      </c>
    </row>
    <row r="6362" spans="1:14" x14ac:dyDescent="0.25">
      <c r="A6362" t="s">
        <v>11424</v>
      </c>
      <c r="B6362" t="s">
        <v>11425</v>
      </c>
      <c r="C6362" s="1" t="str">
        <f>HYPERLINK("http://www.genecards.org/cgi-bin/carddisp.pl?gene=PRKAR2A","GeneCards")</f>
        <v>GeneCards</v>
      </c>
      <c r="D6362" s="1" t="str">
        <f>HYPERLINK("http://genome-euro.ucsc.edu/cgi-bin/hgTracks?position=204842_x_at","UCSC")</f>
        <v>UCSC</v>
      </c>
      <c r="E6362" s="1" t="str">
        <f>HYPERLINK("http://www.ncbi.nlm.nih.gov/gene/?term=PRKAR2A","NCBI")</f>
        <v>NCBI</v>
      </c>
      <c r="F6362">
        <v>7.2999999999999995E-2</v>
      </c>
      <c r="G6362">
        <v>0.2</v>
      </c>
      <c r="H6362" s="1" t="str">
        <f>HYPERLINK("http://www.weizmann.ac.il/complex/compphys/software/geview/data/figures/204842_x_at.png","Figure")</f>
        <v>Figure</v>
      </c>
      <c r="I6362">
        <v>1.38</v>
      </c>
      <c r="J6362">
        <v>0.11</v>
      </c>
      <c r="K6362">
        <v>0.997</v>
      </c>
      <c r="L6362">
        <v>1</v>
      </c>
      <c r="M6362">
        <v>0.72099999999999997</v>
      </c>
      <c r="N6362">
        <v>8.4000000000000005E-2</v>
      </c>
    </row>
    <row r="6363" spans="1:14" x14ac:dyDescent="0.25">
      <c r="A6363" t="s">
        <v>11426</v>
      </c>
      <c r="B6363" t="s">
        <v>11427</v>
      </c>
      <c r="C6363" s="1" t="str">
        <f>HYPERLINK("http://www.genecards.org/cgi-bin/carddisp.pl?gene=SCO2","GeneCards")</f>
        <v>GeneCards</v>
      </c>
      <c r="D6363" s="1" t="str">
        <f>HYPERLINK("http://genome-euro.ucsc.edu/cgi-bin/hgTracks?position=205241_at","UCSC")</f>
        <v>UCSC</v>
      </c>
      <c r="E6363" s="1" t="str">
        <f>HYPERLINK("http://www.ncbi.nlm.nih.gov/gene/?term=SCO2","NCBI")</f>
        <v>NCBI</v>
      </c>
      <c r="F6363">
        <v>7.2999999999999995E-2</v>
      </c>
      <c r="G6363">
        <v>0.2</v>
      </c>
      <c r="H6363" s="1" t="str">
        <f>HYPERLINK("http://www.weizmann.ac.il/complex/compphys/software/geview/data/figures/205241_at.png","Figure")</f>
        <v>Figure</v>
      </c>
      <c r="I6363">
        <v>1.05</v>
      </c>
      <c r="J6363">
        <v>0.8</v>
      </c>
      <c r="K6363">
        <v>1.17</v>
      </c>
      <c r="L6363">
        <v>7.1999999999999995E-2</v>
      </c>
      <c r="M6363">
        <v>1.1200000000000001</v>
      </c>
      <c r="N6363">
        <v>0.28000000000000003</v>
      </c>
    </row>
    <row r="6364" spans="1:14" x14ac:dyDescent="0.25">
      <c r="A6364" t="s">
        <v>11428</v>
      </c>
      <c r="B6364" t="s">
        <v>11429</v>
      </c>
      <c r="C6364" s="1" t="str">
        <f>HYPERLINK("http://www.genecards.org/cgi-bin/carddisp.pl?gene=WNT8B","GeneCards")</f>
        <v>GeneCards</v>
      </c>
      <c r="D6364" s="1" t="str">
        <f>HYPERLINK("http://genome-euro.ucsc.edu/cgi-bin/hgTracks?position=207612_at","UCSC")</f>
        <v>UCSC</v>
      </c>
      <c r="E6364" s="1" t="str">
        <f>HYPERLINK("http://www.ncbi.nlm.nih.gov/gene/?term=WNT8B","NCBI")</f>
        <v>NCBI</v>
      </c>
      <c r="F6364">
        <v>7.2999999999999995E-2</v>
      </c>
      <c r="G6364">
        <v>0.2</v>
      </c>
      <c r="H6364" s="1" t="str">
        <f>HYPERLINK("http://www.weizmann.ac.il/complex/compphys/software/geview/data/figures/207612_at.png","Figure")</f>
        <v>Figure</v>
      </c>
      <c r="I6364">
        <v>1.17</v>
      </c>
      <c r="J6364">
        <v>6.8000000000000005E-2</v>
      </c>
      <c r="K6364">
        <v>1.04</v>
      </c>
      <c r="L6364">
        <v>0.74</v>
      </c>
      <c r="M6364">
        <v>0.88900000000000001</v>
      </c>
      <c r="N6364">
        <v>0.17</v>
      </c>
    </row>
    <row r="6365" spans="1:14" x14ac:dyDescent="0.25">
      <c r="A6365" t="s">
        <v>11430</v>
      </c>
      <c r="B6365" t="s">
        <v>11431</v>
      </c>
      <c r="C6365" s="1" t="str">
        <f>HYPERLINK("http://www.genecards.org/cgi-bin/carddisp.pl?gene=RFPL2","GeneCards")</f>
        <v>GeneCards</v>
      </c>
      <c r="D6365" s="1" t="str">
        <f>HYPERLINK("http://genome-euro.ucsc.edu/cgi-bin/hgTracks?position=207227_x_at","UCSC")</f>
        <v>UCSC</v>
      </c>
      <c r="E6365" s="1" t="str">
        <f>HYPERLINK("http://www.ncbi.nlm.nih.gov/gene/?term=RFPL2","NCBI")</f>
        <v>NCBI</v>
      </c>
      <c r="F6365">
        <v>7.2999999999999995E-2</v>
      </c>
      <c r="G6365">
        <v>0.2</v>
      </c>
      <c r="H6365" s="1" t="str">
        <f>HYPERLINK("http://www.weizmann.ac.il/complex/compphys/software/geview/data/figures/207227_x_at.png","Figure")</f>
        <v>Figure</v>
      </c>
      <c r="I6365">
        <v>1.1299999999999999</v>
      </c>
      <c r="J6365">
        <v>0.21</v>
      </c>
      <c r="K6365">
        <v>0.96499999999999997</v>
      </c>
      <c r="L6365">
        <v>0.81</v>
      </c>
      <c r="M6365">
        <v>0.85799999999999998</v>
      </c>
      <c r="N6365">
        <v>6.4000000000000001E-2</v>
      </c>
    </row>
    <row r="6366" spans="1:14" x14ac:dyDescent="0.25">
      <c r="A6366" t="s">
        <v>11432</v>
      </c>
      <c r="B6366" t="s">
        <v>11433</v>
      </c>
      <c r="C6366" s="1" t="str">
        <f>HYPERLINK("http://www.genecards.org/cgi-bin/carddisp.pl?gene=NGLY1","GeneCards")</f>
        <v>GeneCards</v>
      </c>
      <c r="D6366" s="1" t="str">
        <f>HYPERLINK("http://genome-euro.ucsc.edu/cgi-bin/hgTracks?position=207492_at","UCSC")</f>
        <v>UCSC</v>
      </c>
      <c r="E6366" s="1" t="str">
        <f>HYPERLINK("http://www.ncbi.nlm.nih.gov/gene/?term=NGLY1","NCBI")</f>
        <v>NCBI</v>
      </c>
      <c r="F6366">
        <v>7.2999999999999995E-2</v>
      </c>
      <c r="G6366">
        <v>0.2</v>
      </c>
      <c r="H6366" s="1" t="str">
        <f>HYPERLINK("http://www.weizmann.ac.il/complex/compphys/software/geview/data/figures/207492_at.png","Figure")</f>
        <v>Figure</v>
      </c>
      <c r="I6366">
        <v>1.37</v>
      </c>
      <c r="J6366">
        <v>0.57999999999999996</v>
      </c>
      <c r="K6366">
        <v>0.67</v>
      </c>
      <c r="L6366">
        <v>0.33</v>
      </c>
      <c r="M6366">
        <v>0.48899999999999999</v>
      </c>
      <c r="N6366">
        <v>6.8000000000000005E-2</v>
      </c>
    </row>
    <row r="6367" spans="1:14" x14ac:dyDescent="0.25">
      <c r="A6367" t="s">
        <v>11434</v>
      </c>
      <c r="B6367" t="s">
        <v>11435</v>
      </c>
      <c r="C6367" s="1" t="str">
        <f>HYPERLINK("http://www.genecards.org/cgi-bin/carddisp.pl?gene=C5orf15","GeneCards")</f>
        <v>GeneCards</v>
      </c>
      <c r="D6367" s="1" t="str">
        <f>HYPERLINK("http://genome-euro.ucsc.edu/cgi-bin/hgTracks?position=203024_s_at","UCSC")</f>
        <v>UCSC</v>
      </c>
      <c r="E6367" s="1" t="str">
        <f>HYPERLINK("http://www.ncbi.nlm.nih.gov/gene/?term=C5orf15","NCBI")</f>
        <v>NCBI</v>
      </c>
      <c r="F6367">
        <v>7.3999999999999996E-2</v>
      </c>
      <c r="G6367">
        <v>0.2</v>
      </c>
      <c r="H6367" s="1" t="str">
        <f>HYPERLINK("http://www.weizmann.ac.il/complex/compphys/software/geview/data/figures/203024_s_at.png","Figure")</f>
        <v>Figure</v>
      </c>
      <c r="I6367">
        <v>0.56399999999999995</v>
      </c>
      <c r="J6367">
        <v>0.12</v>
      </c>
      <c r="K6367">
        <v>1.01</v>
      </c>
      <c r="L6367">
        <v>1</v>
      </c>
      <c r="M6367">
        <v>1.8</v>
      </c>
      <c r="N6367">
        <v>8.3000000000000004E-2</v>
      </c>
    </row>
    <row r="6368" spans="1:14" x14ac:dyDescent="0.25">
      <c r="A6368" t="s">
        <v>11436</v>
      </c>
      <c r="B6368" t="s">
        <v>11437</v>
      </c>
      <c r="C6368" s="1" t="str">
        <f>HYPERLINK("http://www.genecards.org/cgi-bin/carddisp.pl?gene=VAT1","GeneCards")</f>
        <v>GeneCards</v>
      </c>
      <c r="D6368" s="1" t="str">
        <f>HYPERLINK("http://genome-euro.ucsc.edu/cgi-bin/hgTracks?position=208626_s_at","UCSC")</f>
        <v>UCSC</v>
      </c>
      <c r="E6368" s="1" t="str">
        <f>HYPERLINK("http://www.ncbi.nlm.nih.gov/gene/?term=VAT1","NCBI")</f>
        <v>NCBI</v>
      </c>
      <c r="F6368">
        <v>7.3999999999999996E-2</v>
      </c>
      <c r="G6368">
        <v>0.2</v>
      </c>
      <c r="H6368" s="1" t="str">
        <f>HYPERLINK("http://www.weizmann.ac.il/complex/compphys/software/geview/data/figures/208626_s_at.png","Figure")</f>
        <v>Figure</v>
      </c>
      <c r="I6368">
        <v>1.0900000000000001</v>
      </c>
      <c r="J6368">
        <v>0.81</v>
      </c>
      <c r="K6368">
        <v>1.32</v>
      </c>
      <c r="L6368">
        <v>7.1999999999999995E-2</v>
      </c>
      <c r="M6368">
        <v>1.22</v>
      </c>
      <c r="N6368">
        <v>0.28000000000000003</v>
      </c>
    </row>
    <row r="6369" spans="1:14" x14ac:dyDescent="0.25">
      <c r="A6369" t="s">
        <v>11438</v>
      </c>
      <c r="B6369" t="s">
        <v>11439</v>
      </c>
      <c r="C6369" s="1" t="str">
        <f>HYPERLINK("http://www.genecards.org/cgi-bin/carddisp.pl?gene=IQCC","GeneCards")</f>
        <v>GeneCards</v>
      </c>
      <c r="D6369" s="1" t="str">
        <f>HYPERLINK("http://genome-euro.ucsc.edu/cgi-bin/hgTracks?position=206650_at","UCSC")</f>
        <v>UCSC</v>
      </c>
      <c r="E6369" s="1" t="str">
        <f>HYPERLINK("http://www.ncbi.nlm.nih.gov/gene/?term=IQCC","NCBI")</f>
        <v>NCBI</v>
      </c>
      <c r="F6369">
        <v>7.3999999999999996E-2</v>
      </c>
      <c r="G6369">
        <v>0.2</v>
      </c>
      <c r="H6369" s="1" t="str">
        <f>HYPERLINK("http://www.weizmann.ac.il/complex/compphys/software/geview/data/figures/206650_at.png","Figure")</f>
        <v>Figure</v>
      </c>
      <c r="I6369">
        <v>1.34</v>
      </c>
      <c r="J6369">
        <v>6.0999999999999999E-2</v>
      </c>
      <c r="K6369">
        <v>1.1399999999999999</v>
      </c>
      <c r="L6369">
        <v>0.42</v>
      </c>
      <c r="M6369">
        <v>0.85199999999999998</v>
      </c>
      <c r="N6369">
        <v>0.32</v>
      </c>
    </row>
    <row r="6370" spans="1:14" x14ac:dyDescent="0.25">
      <c r="A6370" t="s">
        <v>11440</v>
      </c>
      <c r="B6370" t="s">
        <v>11441</v>
      </c>
      <c r="C6370" s="1" t="str">
        <f>HYPERLINK("http://www.genecards.org/cgi-bin/carddisp.pl?gene=CLASP2","GeneCards")</f>
        <v>GeneCards</v>
      </c>
      <c r="D6370" s="1" t="str">
        <f>HYPERLINK("http://genome-euro.ucsc.edu/cgi-bin/hgTracks?position=212306_at","UCSC")</f>
        <v>UCSC</v>
      </c>
      <c r="E6370" s="1" t="str">
        <f>HYPERLINK("http://www.ncbi.nlm.nih.gov/gene/?term=CLASP2","NCBI")</f>
        <v>NCBI</v>
      </c>
      <c r="F6370">
        <v>7.3999999999999996E-2</v>
      </c>
      <c r="G6370">
        <v>0.2</v>
      </c>
      <c r="H6370" s="1" t="str">
        <f>HYPERLINK("http://www.weizmann.ac.il/complex/compphys/software/geview/data/figures/212306_at.png","Figure")</f>
        <v>Figure</v>
      </c>
      <c r="I6370">
        <v>0.89500000000000002</v>
      </c>
      <c r="J6370">
        <v>0.54</v>
      </c>
      <c r="K6370">
        <v>1.1399999999999999</v>
      </c>
      <c r="L6370">
        <v>0.36</v>
      </c>
      <c r="M6370">
        <v>1.27</v>
      </c>
      <c r="N6370">
        <v>6.6000000000000003E-2</v>
      </c>
    </row>
    <row r="6371" spans="1:14" x14ac:dyDescent="0.25">
      <c r="A6371" t="s">
        <v>11442</v>
      </c>
      <c r="B6371" t="s">
        <v>1357</v>
      </c>
      <c r="C6371" s="1" t="str">
        <f>HYPERLINK("http://www.genecards.org/cgi-bin/carddisp.pl?gene=MYO10","GeneCards")</f>
        <v>GeneCards</v>
      </c>
      <c r="D6371" s="1" t="str">
        <f>HYPERLINK("http://genome-euro.ucsc.edu/cgi-bin/hgTracks?position=216222_s_at","UCSC")</f>
        <v>UCSC</v>
      </c>
      <c r="E6371" s="1" t="str">
        <f>HYPERLINK("http://www.ncbi.nlm.nih.gov/gene/?term=MYO10","NCBI")</f>
        <v>NCBI</v>
      </c>
      <c r="F6371">
        <v>7.3999999999999996E-2</v>
      </c>
      <c r="G6371">
        <v>0.2</v>
      </c>
      <c r="H6371" s="1" t="str">
        <f>HYPERLINK("http://www.weizmann.ac.il/complex/compphys/software/geview/data/figures/216222_s_at.png","Figure")</f>
        <v>Figure</v>
      </c>
      <c r="I6371">
        <v>1</v>
      </c>
      <c r="J6371">
        <v>1</v>
      </c>
      <c r="K6371">
        <v>0.73599999999999999</v>
      </c>
      <c r="L6371">
        <v>0.11</v>
      </c>
      <c r="M6371">
        <v>0.73599999999999999</v>
      </c>
      <c r="N6371">
        <v>0.14000000000000001</v>
      </c>
    </row>
    <row r="6372" spans="1:14" x14ac:dyDescent="0.25">
      <c r="A6372" t="s">
        <v>11443</v>
      </c>
      <c r="B6372" t="s">
        <v>11444</v>
      </c>
      <c r="C6372" s="1" t="str">
        <f>HYPERLINK("http://www.genecards.org/cgi-bin/carddisp.pl?gene=CPSF1","GeneCards")</f>
        <v>GeneCards</v>
      </c>
      <c r="D6372" s="1" t="str">
        <f>HYPERLINK("http://genome-euro.ucsc.edu/cgi-bin/hgTracks?position=201638_s_at","UCSC")</f>
        <v>UCSC</v>
      </c>
      <c r="E6372" s="1" t="str">
        <f>HYPERLINK("http://www.ncbi.nlm.nih.gov/gene/?term=CPSF1","NCBI")</f>
        <v>NCBI</v>
      </c>
      <c r="F6372">
        <v>7.3999999999999996E-2</v>
      </c>
      <c r="G6372">
        <v>0.2</v>
      </c>
      <c r="H6372" s="1" t="str">
        <f>HYPERLINK("http://www.weizmann.ac.il/complex/compphys/software/geview/data/figures/201638_s_at.png","Figure")</f>
        <v>Figure</v>
      </c>
      <c r="I6372">
        <v>1.17</v>
      </c>
      <c r="J6372">
        <v>6.2E-2</v>
      </c>
      <c r="K6372">
        <v>1.08</v>
      </c>
      <c r="L6372">
        <v>0.33</v>
      </c>
      <c r="M6372">
        <v>0.92700000000000005</v>
      </c>
      <c r="N6372">
        <v>0.41</v>
      </c>
    </row>
    <row r="6373" spans="1:14" x14ac:dyDescent="0.25">
      <c r="A6373" t="s">
        <v>11445</v>
      </c>
      <c r="B6373" t="s">
        <v>11446</v>
      </c>
      <c r="C6373" s="1" t="str">
        <f>HYPERLINK("http://www.genecards.org/cgi-bin/carddisp.pl?gene=LSS","GeneCards")</f>
        <v>GeneCards</v>
      </c>
      <c r="D6373" s="1" t="str">
        <f>HYPERLINK("http://genome-euro.ucsc.edu/cgi-bin/hgTracks?position=202245_at","UCSC")</f>
        <v>UCSC</v>
      </c>
      <c r="E6373" s="1" t="str">
        <f>HYPERLINK("http://www.ncbi.nlm.nih.gov/gene/?term=LSS","NCBI")</f>
        <v>NCBI</v>
      </c>
      <c r="F6373">
        <v>7.3999999999999996E-2</v>
      </c>
      <c r="G6373">
        <v>0.2</v>
      </c>
      <c r="H6373" s="1" t="str">
        <f>HYPERLINK("http://www.weizmann.ac.il/complex/compphys/software/geview/data/figures/202245_at.png","Figure")</f>
        <v>Figure</v>
      </c>
      <c r="I6373">
        <v>0.73</v>
      </c>
      <c r="J6373">
        <v>7.0999999999999994E-2</v>
      </c>
      <c r="K6373">
        <v>0.92800000000000005</v>
      </c>
      <c r="L6373">
        <v>0.79</v>
      </c>
      <c r="M6373">
        <v>1.27</v>
      </c>
      <c r="N6373">
        <v>0.15</v>
      </c>
    </row>
    <row r="6374" spans="1:14" x14ac:dyDescent="0.25">
      <c r="A6374" t="s">
        <v>11447</v>
      </c>
      <c r="B6374" t="s">
        <v>11448</v>
      </c>
      <c r="C6374" s="1" t="str">
        <f>HYPERLINK("http://www.genecards.org/cgi-bin/carddisp.pl?gene=TFAP2C","GeneCards")</f>
        <v>GeneCards</v>
      </c>
      <c r="D6374" s="1" t="str">
        <f>HYPERLINK("http://genome-euro.ucsc.edu/cgi-bin/hgTracks?position=205287_s_at","UCSC")</f>
        <v>UCSC</v>
      </c>
      <c r="E6374" s="1" t="str">
        <f>HYPERLINK("http://www.ncbi.nlm.nih.gov/gene/?term=TFAP2C","NCBI")</f>
        <v>NCBI</v>
      </c>
      <c r="F6374">
        <v>7.3999999999999996E-2</v>
      </c>
      <c r="G6374">
        <v>0.2</v>
      </c>
      <c r="H6374" s="1" t="str">
        <f>HYPERLINK("http://www.weizmann.ac.il/complex/compphys/software/geview/data/figures/205287_s_at.png","Figure")</f>
        <v>Figure</v>
      </c>
      <c r="I6374">
        <v>1.1200000000000001</v>
      </c>
      <c r="J6374">
        <v>0.11</v>
      </c>
      <c r="K6374">
        <v>1.1000000000000001</v>
      </c>
      <c r="L6374">
        <v>0.11</v>
      </c>
      <c r="M6374">
        <v>0.98599999999999999</v>
      </c>
      <c r="N6374">
        <v>0.96</v>
      </c>
    </row>
    <row r="6375" spans="1:14" x14ac:dyDescent="0.25">
      <c r="A6375" t="s">
        <v>11449</v>
      </c>
      <c r="B6375" t="s">
        <v>11450</v>
      </c>
      <c r="C6375" s="1" t="str">
        <f>HYPERLINK("http://www.genecards.org/cgi-bin/carddisp.pl?gene=ANP32C","GeneCards")</f>
        <v>GeneCards</v>
      </c>
      <c r="D6375" s="1" t="str">
        <f>HYPERLINK("http://genome-euro.ucsc.edu/cgi-bin/hgTracks?position=208538_at","UCSC")</f>
        <v>UCSC</v>
      </c>
      <c r="E6375" s="1" t="str">
        <f>HYPERLINK("http://www.ncbi.nlm.nih.gov/gene/?term=ANP32C","NCBI")</f>
        <v>NCBI</v>
      </c>
      <c r="F6375">
        <v>7.3999999999999996E-2</v>
      </c>
      <c r="G6375">
        <v>0.2</v>
      </c>
      <c r="H6375" s="1" t="str">
        <f>HYPERLINK("http://www.weizmann.ac.il/complex/compphys/software/geview/data/figures/208538_at.png","Figure")</f>
        <v>Figure</v>
      </c>
      <c r="I6375">
        <v>1.1200000000000001</v>
      </c>
      <c r="J6375">
        <v>9.1999999999999998E-2</v>
      </c>
      <c r="K6375">
        <v>1.0900000000000001</v>
      </c>
      <c r="L6375">
        <v>0.13</v>
      </c>
      <c r="M6375">
        <v>0.97699999999999998</v>
      </c>
      <c r="N6375">
        <v>0.87</v>
      </c>
    </row>
    <row r="6376" spans="1:14" x14ac:dyDescent="0.25">
      <c r="A6376" t="s">
        <v>11451</v>
      </c>
      <c r="B6376" t="s">
        <v>11452</v>
      </c>
      <c r="C6376" s="1" t="str">
        <f>HYPERLINK("http://www.genecards.org/cgi-bin/carddisp.pl?gene=ACTR10","GeneCards")</f>
        <v>GeneCards</v>
      </c>
      <c r="D6376" s="1" t="str">
        <f>HYPERLINK("http://genome-euro.ucsc.edu/cgi-bin/hgTracks?position=222230_s_at","UCSC")</f>
        <v>UCSC</v>
      </c>
      <c r="E6376" s="1" t="str">
        <f>HYPERLINK("http://www.ncbi.nlm.nih.gov/gene/?term=ACTR10","NCBI")</f>
        <v>NCBI</v>
      </c>
      <c r="F6376">
        <v>7.3999999999999996E-2</v>
      </c>
      <c r="G6376">
        <v>0.2</v>
      </c>
      <c r="H6376" s="1" t="str">
        <f>HYPERLINK("http://www.weizmann.ac.il/complex/compphys/software/geview/data/figures/222230_s_at.png","Figure")</f>
        <v>Figure</v>
      </c>
      <c r="I6376">
        <v>0.72599999999999998</v>
      </c>
      <c r="J6376">
        <v>6.5000000000000002E-2</v>
      </c>
      <c r="K6376">
        <v>0.90400000000000003</v>
      </c>
      <c r="L6376">
        <v>0.65</v>
      </c>
      <c r="M6376">
        <v>1.24</v>
      </c>
      <c r="N6376">
        <v>0.2</v>
      </c>
    </row>
    <row r="6377" spans="1:14" x14ac:dyDescent="0.25">
      <c r="A6377" t="s">
        <v>11453</v>
      </c>
      <c r="B6377" t="s">
        <v>11454</v>
      </c>
      <c r="C6377" s="1" t="str">
        <f>HYPERLINK("http://www.genecards.org/cgi-bin/carddisp.pl?gene=OR10H1","GeneCards")</f>
        <v>GeneCards</v>
      </c>
      <c r="D6377" s="1" t="str">
        <f>HYPERLINK("http://genome-euro.ucsc.edu/cgi-bin/hgTracks?position=208558_at","UCSC")</f>
        <v>UCSC</v>
      </c>
      <c r="E6377" s="1" t="str">
        <f>HYPERLINK("http://www.ncbi.nlm.nih.gov/gene/?term=OR10H1","NCBI")</f>
        <v>NCBI</v>
      </c>
      <c r="F6377">
        <v>7.3999999999999996E-2</v>
      </c>
      <c r="G6377">
        <v>0.2</v>
      </c>
      <c r="H6377" s="1" t="str">
        <f>HYPERLINK("http://www.weizmann.ac.il/complex/compphys/software/geview/data/figures/208558_at.png","Figure")</f>
        <v>Figure</v>
      </c>
      <c r="I6377">
        <v>1.1499999999999999</v>
      </c>
      <c r="J6377">
        <v>0.4</v>
      </c>
      <c r="K6377">
        <v>0.89800000000000002</v>
      </c>
      <c r="L6377">
        <v>0.49</v>
      </c>
      <c r="M6377">
        <v>0.77800000000000002</v>
      </c>
      <c r="N6377">
        <v>6.0999999999999999E-2</v>
      </c>
    </row>
    <row r="6378" spans="1:14" x14ac:dyDescent="0.25">
      <c r="A6378" t="s">
        <v>11455</v>
      </c>
      <c r="B6378" t="s">
        <v>11456</v>
      </c>
      <c r="C6378" s="1" t="str">
        <f>HYPERLINK("http://www.genecards.org/cgi-bin/carddisp.pl?gene=RAD51L3","GeneCards")</f>
        <v>GeneCards</v>
      </c>
      <c r="D6378" s="1" t="str">
        <f>HYPERLINK("http://genome-euro.ucsc.edu/cgi-bin/hgTracks?position=209965_s_at","UCSC")</f>
        <v>UCSC</v>
      </c>
      <c r="E6378" s="1" t="str">
        <f>HYPERLINK("http://www.ncbi.nlm.nih.gov/gene/?term=RAD51L3","NCBI")</f>
        <v>NCBI</v>
      </c>
      <c r="F6378">
        <v>7.3999999999999996E-2</v>
      </c>
      <c r="G6378">
        <v>0.2</v>
      </c>
      <c r="H6378" s="1" t="str">
        <f>HYPERLINK("http://www.weizmann.ac.il/complex/compphys/software/geview/data/figures/209965_s_at.png","Figure")</f>
        <v>Figure</v>
      </c>
      <c r="I6378">
        <v>0.95699999999999996</v>
      </c>
      <c r="J6378">
        <v>0.71</v>
      </c>
      <c r="K6378">
        <v>1.08</v>
      </c>
      <c r="L6378">
        <v>0.25</v>
      </c>
      <c r="M6378">
        <v>1.1299999999999999</v>
      </c>
      <c r="N6378">
        <v>7.5999999999999998E-2</v>
      </c>
    </row>
    <row r="6379" spans="1:14" x14ac:dyDescent="0.25">
      <c r="A6379" t="s">
        <v>11457</v>
      </c>
      <c r="B6379" t="s">
        <v>11458</v>
      </c>
      <c r="C6379" s="1" t="str">
        <f>HYPERLINK("http://www.genecards.org/cgi-bin/carddisp.pl?gene=MYCN","GeneCards")</f>
        <v>GeneCards</v>
      </c>
      <c r="D6379" s="1" t="str">
        <f>HYPERLINK("http://genome-euro.ucsc.edu/cgi-bin/hgTracks?position=211377_x_at","UCSC")</f>
        <v>UCSC</v>
      </c>
      <c r="E6379" s="1" t="str">
        <f>HYPERLINK("http://www.ncbi.nlm.nih.gov/gene/?term=MYCN","NCBI")</f>
        <v>NCBI</v>
      </c>
      <c r="F6379">
        <v>7.3999999999999996E-2</v>
      </c>
      <c r="G6379">
        <v>0.2</v>
      </c>
      <c r="H6379" s="1" t="str">
        <f>HYPERLINK("http://www.weizmann.ac.il/complex/compphys/software/geview/data/figures/211377_x_at.png","Figure")</f>
        <v>Figure</v>
      </c>
      <c r="I6379">
        <v>1.18</v>
      </c>
      <c r="J6379">
        <v>8.7999999999999995E-2</v>
      </c>
      <c r="K6379">
        <v>1.02</v>
      </c>
      <c r="L6379">
        <v>0.95</v>
      </c>
      <c r="M6379">
        <v>0.86499999999999999</v>
      </c>
      <c r="N6379">
        <v>0.11</v>
      </c>
    </row>
    <row r="6380" spans="1:14" x14ac:dyDescent="0.25">
      <c r="A6380" t="s">
        <v>11459</v>
      </c>
      <c r="B6380" t="s">
        <v>1906</v>
      </c>
      <c r="C6380" s="1" t="str">
        <f>HYPERLINK("http://www.genecards.org/cgi-bin/carddisp.pl?gene=PTMA","GeneCards")</f>
        <v>GeneCards</v>
      </c>
      <c r="D6380" s="1" t="str">
        <f>HYPERLINK("http://genome-euro.ucsc.edu/cgi-bin/hgTracks?position=200773_x_at","UCSC")</f>
        <v>UCSC</v>
      </c>
      <c r="E6380" s="1" t="str">
        <f>HYPERLINK("http://www.ncbi.nlm.nih.gov/gene/?term=PTMA","NCBI")</f>
        <v>NCBI</v>
      </c>
      <c r="F6380">
        <v>7.3999999999999996E-2</v>
      </c>
      <c r="G6380">
        <v>0.2</v>
      </c>
      <c r="H6380" s="1" t="str">
        <f>HYPERLINK("http://www.weizmann.ac.il/complex/compphys/software/geview/data/figures/200773_x_at.png","Figure")</f>
        <v>Figure</v>
      </c>
      <c r="I6380">
        <v>1.1200000000000001</v>
      </c>
      <c r="J6380">
        <v>0.28000000000000003</v>
      </c>
      <c r="K6380">
        <v>1.17</v>
      </c>
      <c r="L6380">
        <v>6.4000000000000001E-2</v>
      </c>
      <c r="M6380">
        <v>1.04</v>
      </c>
      <c r="N6380">
        <v>0.81</v>
      </c>
    </row>
    <row r="6381" spans="1:14" x14ac:dyDescent="0.25">
      <c r="A6381" t="s">
        <v>11460</v>
      </c>
      <c r="B6381" t="s">
        <v>3555</v>
      </c>
      <c r="C6381" s="1" t="str">
        <f>HYPERLINK("http://www.genecards.org/cgi-bin/carddisp.pl?gene=RAB11FIP2","GeneCards")</f>
        <v>GeneCards</v>
      </c>
      <c r="D6381" s="1" t="str">
        <f>HYPERLINK("http://genome-euro.ucsc.edu/cgi-bin/hgTracks?position=203883_s_at","UCSC")</f>
        <v>UCSC</v>
      </c>
      <c r="E6381" s="1" t="str">
        <f>HYPERLINK("http://www.ncbi.nlm.nih.gov/gene/?term=RAB11FIP2","NCBI")</f>
        <v>NCBI</v>
      </c>
      <c r="F6381">
        <v>7.3999999999999996E-2</v>
      </c>
      <c r="G6381">
        <v>0.2</v>
      </c>
      <c r="H6381" s="1" t="str">
        <f>HYPERLINK("http://www.weizmann.ac.il/complex/compphys/software/geview/data/figures/203883_s_at.png","Figure")</f>
        <v>Figure</v>
      </c>
      <c r="I6381">
        <v>0.68400000000000005</v>
      </c>
      <c r="J6381">
        <v>6.0999999999999999E-2</v>
      </c>
      <c r="K6381">
        <v>0.82699999999999996</v>
      </c>
      <c r="L6381">
        <v>0.35</v>
      </c>
      <c r="M6381">
        <v>1.21</v>
      </c>
      <c r="N6381">
        <v>0.39</v>
      </c>
    </row>
    <row r="6382" spans="1:14" x14ac:dyDescent="0.25">
      <c r="A6382" t="s">
        <v>11461</v>
      </c>
      <c r="B6382" t="s">
        <v>11462</v>
      </c>
      <c r="C6382" s="1" t="str">
        <f>HYPERLINK("http://www.genecards.org/cgi-bin/carddisp.pl?gene=SUZ12P","GeneCards")</f>
        <v>GeneCards</v>
      </c>
      <c r="D6382" s="1" t="str">
        <f>HYPERLINK("http://genome-euro.ucsc.edu/cgi-bin/hgTracks?position=217704_x_at","UCSC")</f>
        <v>UCSC</v>
      </c>
      <c r="E6382" s="1" t="str">
        <f>HYPERLINK("http://www.ncbi.nlm.nih.gov/gene/?term=SUZ12P","NCBI")</f>
        <v>NCBI</v>
      </c>
      <c r="F6382">
        <v>7.3999999999999996E-2</v>
      </c>
      <c r="G6382">
        <v>0.2</v>
      </c>
      <c r="H6382" s="1" t="str">
        <f>HYPERLINK("http://www.weizmann.ac.il/complex/compphys/software/geview/data/figures/217704_x_at.png","Figure")</f>
        <v>Figure</v>
      </c>
      <c r="I6382">
        <v>1</v>
      </c>
      <c r="J6382">
        <v>1</v>
      </c>
      <c r="K6382">
        <v>0.77900000000000003</v>
      </c>
      <c r="L6382">
        <v>0.11</v>
      </c>
      <c r="M6382">
        <v>0.77900000000000003</v>
      </c>
      <c r="N6382">
        <v>0.14000000000000001</v>
      </c>
    </row>
    <row r="6383" spans="1:14" x14ac:dyDescent="0.25">
      <c r="A6383" t="s">
        <v>11463</v>
      </c>
      <c r="B6383" t="s">
        <v>11464</v>
      </c>
      <c r="C6383" s="1" t="str">
        <f>HYPERLINK("http://www.genecards.org/cgi-bin/carddisp.pl?gene=NOTCH2NL","GeneCards")</f>
        <v>GeneCards</v>
      </c>
      <c r="D6383" s="1" t="str">
        <f>HYPERLINK("http://genome-euro.ucsc.edu/cgi-bin/hgTracks?position=214722_at","UCSC")</f>
        <v>UCSC</v>
      </c>
      <c r="E6383" s="1" t="str">
        <f>HYPERLINK("http://www.ncbi.nlm.nih.gov/gene/?term=NOTCH2NL","NCBI")</f>
        <v>NCBI</v>
      </c>
      <c r="F6383">
        <v>7.3999999999999996E-2</v>
      </c>
      <c r="G6383">
        <v>0.2</v>
      </c>
      <c r="H6383" s="1" t="str">
        <f>HYPERLINK("http://www.weizmann.ac.il/complex/compphys/software/geview/data/figures/214722_at.png","Figure")</f>
        <v>Figure</v>
      </c>
      <c r="I6383">
        <v>1.94</v>
      </c>
      <c r="J6383">
        <v>6.5000000000000002E-2</v>
      </c>
      <c r="K6383">
        <v>1.47</v>
      </c>
      <c r="L6383">
        <v>0.26</v>
      </c>
      <c r="M6383">
        <v>0.75600000000000001</v>
      </c>
      <c r="N6383">
        <v>0.51</v>
      </c>
    </row>
    <row r="6384" spans="1:14" x14ac:dyDescent="0.25">
      <c r="A6384" t="s">
        <v>11465</v>
      </c>
      <c r="B6384" t="s">
        <v>4711</v>
      </c>
      <c r="C6384" s="1" t="str">
        <f>HYPERLINK("http://www.genecards.org/cgi-bin/carddisp.pl?gene=KRAS","GeneCards")</f>
        <v>GeneCards</v>
      </c>
      <c r="D6384" s="1" t="str">
        <f>HYPERLINK("http://genome-euro.ucsc.edu/cgi-bin/hgTracks?position=204009_s_at","UCSC")</f>
        <v>UCSC</v>
      </c>
      <c r="E6384" s="1" t="str">
        <f>HYPERLINK("http://www.ncbi.nlm.nih.gov/gene/?term=KRAS","NCBI")</f>
        <v>NCBI</v>
      </c>
      <c r="F6384">
        <v>7.3999999999999996E-2</v>
      </c>
      <c r="G6384">
        <v>0.2</v>
      </c>
      <c r="H6384" s="1" t="str">
        <f>HYPERLINK("http://www.weizmann.ac.il/complex/compphys/software/geview/data/figures/204009_s_at.png","Figure")</f>
        <v>Figure</v>
      </c>
      <c r="I6384">
        <v>1.88</v>
      </c>
      <c r="J6384">
        <v>7.0999999999999994E-2</v>
      </c>
      <c r="K6384">
        <v>1.51</v>
      </c>
      <c r="L6384">
        <v>0.2</v>
      </c>
      <c r="M6384">
        <v>0.80100000000000005</v>
      </c>
      <c r="N6384">
        <v>0.64</v>
      </c>
    </row>
    <row r="6385" spans="1:14" x14ac:dyDescent="0.25">
      <c r="A6385" t="s">
        <v>11466</v>
      </c>
      <c r="B6385" t="s">
        <v>11467</v>
      </c>
      <c r="C6385" s="1" t="str">
        <f>HYPERLINK("http://www.genecards.org/cgi-bin/carddisp.pl?gene=IL15RA","GeneCards")</f>
        <v>GeneCards</v>
      </c>
      <c r="D6385" s="1" t="str">
        <f>HYPERLINK("http://genome-euro.ucsc.edu/cgi-bin/hgTracks?position=207375_s_at","UCSC")</f>
        <v>UCSC</v>
      </c>
      <c r="E6385" s="1" t="str">
        <f>HYPERLINK("http://www.ncbi.nlm.nih.gov/gene/?term=IL15RA","NCBI")</f>
        <v>NCBI</v>
      </c>
      <c r="F6385">
        <v>7.3999999999999996E-2</v>
      </c>
      <c r="G6385">
        <v>0.2</v>
      </c>
      <c r="H6385" s="1" t="str">
        <f>HYPERLINK("http://www.weizmann.ac.il/complex/compphys/software/geview/data/figures/207375_s_at.png","Figure")</f>
        <v>Figure</v>
      </c>
      <c r="I6385">
        <v>1.1000000000000001</v>
      </c>
      <c r="J6385">
        <v>0.63</v>
      </c>
      <c r="K6385">
        <v>0.872</v>
      </c>
      <c r="L6385">
        <v>0.3</v>
      </c>
      <c r="M6385">
        <v>0.79400000000000004</v>
      </c>
      <c r="N6385">
        <v>7.0999999999999994E-2</v>
      </c>
    </row>
    <row r="6386" spans="1:14" x14ac:dyDescent="0.25">
      <c r="A6386" t="s">
        <v>11468</v>
      </c>
      <c r="B6386" t="s">
        <v>11469</v>
      </c>
      <c r="C6386" s="1" t="str">
        <f>HYPERLINK("http://www.genecards.org/cgi-bin/carddisp.pl?gene=EIF4EBP1","GeneCards")</f>
        <v>GeneCards</v>
      </c>
      <c r="D6386" s="1" t="str">
        <f>HYPERLINK("http://genome-euro.ucsc.edu/cgi-bin/hgTracks?position=221539_at","UCSC")</f>
        <v>UCSC</v>
      </c>
      <c r="E6386" s="1" t="str">
        <f>HYPERLINK("http://www.ncbi.nlm.nih.gov/gene/?term=EIF4EBP1","NCBI")</f>
        <v>NCBI</v>
      </c>
      <c r="F6386">
        <v>7.3999999999999996E-2</v>
      </c>
      <c r="G6386">
        <v>0.2</v>
      </c>
      <c r="H6386" s="1" t="str">
        <f>HYPERLINK("http://www.weizmann.ac.il/complex/compphys/software/geview/data/figures/221539_at.png","Figure")</f>
        <v>Figure</v>
      </c>
      <c r="I6386">
        <v>0.82</v>
      </c>
      <c r="J6386">
        <v>0.37</v>
      </c>
      <c r="K6386">
        <v>1.1499999999999999</v>
      </c>
      <c r="L6386">
        <v>0.53</v>
      </c>
      <c r="M6386">
        <v>1.4</v>
      </c>
      <c r="N6386">
        <v>6.0999999999999999E-2</v>
      </c>
    </row>
    <row r="6387" spans="1:14" x14ac:dyDescent="0.25">
      <c r="A6387" t="s">
        <v>11470</v>
      </c>
      <c r="B6387" t="s">
        <v>4485</v>
      </c>
      <c r="C6387" s="1" t="str">
        <f>HYPERLINK("http://www.genecards.org/cgi-bin/carddisp.pl?gene=UBE2H","GeneCards")</f>
        <v>GeneCards</v>
      </c>
      <c r="D6387" s="1" t="str">
        <f>HYPERLINK("http://genome-euro.ucsc.edu/cgi-bin/hgTracks?position=217799_x_at","UCSC")</f>
        <v>UCSC</v>
      </c>
      <c r="E6387" s="1" t="str">
        <f>HYPERLINK("http://www.ncbi.nlm.nih.gov/gene/?term=UBE2H","NCBI")</f>
        <v>NCBI</v>
      </c>
      <c r="F6387">
        <v>7.3999999999999996E-2</v>
      </c>
      <c r="G6387">
        <v>0.2</v>
      </c>
      <c r="H6387" s="1" t="str">
        <f>HYPERLINK("http://www.weizmann.ac.il/complex/compphys/software/geview/data/figures/217799_x_at.png","Figure")</f>
        <v>Figure</v>
      </c>
      <c r="I6387">
        <v>1.18</v>
      </c>
      <c r="J6387">
        <v>0.17</v>
      </c>
      <c r="K6387">
        <v>0.96699999999999997</v>
      </c>
      <c r="L6387">
        <v>0.9</v>
      </c>
      <c r="M6387">
        <v>0.81799999999999995</v>
      </c>
      <c r="N6387">
        <v>6.8000000000000005E-2</v>
      </c>
    </row>
    <row r="6388" spans="1:14" x14ac:dyDescent="0.25">
      <c r="A6388" t="s">
        <v>11471</v>
      </c>
      <c r="B6388" t="s">
        <v>11472</v>
      </c>
      <c r="C6388" s="1" t="str">
        <f>HYPERLINK("http://www.genecards.org/cgi-bin/carddisp.pl?gene=PLXNA2","GeneCards")</f>
        <v>GeneCards</v>
      </c>
      <c r="D6388" s="1" t="str">
        <f>HYPERLINK("http://genome-euro.ucsc.edu/cgi-bin/hgTracks?position=213030_s_at","UCSC")</f>
        <v>UCSC</v>
      </c>
      <c r="E6388" s="1" t="str">
        <f>HYPERLINK("http://www.ncbi.nlm.nih.gov/gene/?term=PLXNA2","NCBI")</f>
        <v>NCBI</v>
      </c>
      <c r="F6388">
        <v>7.3999999999999996E-2</v>
      </c>
      <c r="G6388">
        <v>0.2</v>
      </c>
      <c r="H6388" s="1" t="str">
        <f>HYPERLINK("http://www.weizmann.ac.il/complex/compphys/software/geview/data/figures/213030_s_at.png","Figure")</f>
        <v>Figure</v>
      </c>
      <c r="I6388">
        <v>1.08</v>
      </c>
      <c r="J6388">
        <v>8.5999999999999993E-2</v>
      </c>
      <c r="K6388">
        <v>1.06</v>
      </c>
      <c r="L6388">
        <v>0.14000000000000001</v>
      </c>
      <c r="M6388">
        <v>0.98199999999999998</v>
      </c>
      <c r="N6388">
        <v>0.82</v>
      </c>
    </row>
    <row r="6389" spans="1:14" x14ac:dyDescent="0.25">
      <c r="A6389" t="s">
        <v>11473</v>
      </c>
      <c r="B6389" t="s">
        <v>11474</v>
      </c>
      <c r="C6389" s="1" t="str">
        <f>HYPERLINK("http://www.genecards.org/cgi-bin/carddisp.pl?gene=PRPF31","GeneCards")</f>
        <v>GeneCards</v>
      </c>
      <c r="D6389" s="1" t="str">
        <f>HYPERLINK("http://genome-euro.ucsc.edu/cgi-bin/hgTracks?position=214380_at","UCSC")</f>
        <v>UCSC</v>
      </c>
      <c r="E6389" s="1" t="str">
        <f>HYPERLINK("http://www.ncbi.nlm.nih.gov/gene/?term=PRPF31","NCBI")</f>
        <v>NCBI</v>
      </c>
      <c r="F6389">
        <v>7.3999999999999996E-2</v>
      </c>
      <c r="G6389">
        <v>0.2</v>
      </c>
      <c r="H6389" s="1" t="str">
        <f>HYPERLINK("http://www.weizmann.ac.il/complex/compphys/software/geview/data/figures/214380_at.png","Figure")</f>
        <v>Figure</v>
      </c>
      <c r="I6389">
        <v>1.27</v>
      </c>
      <c r="J6389">
        <v>6.2E-2</v>
      </c>
      <c r="K6389">
        <v>1.1000000000000001</v>
      </c>
      <c r="L6389">
        <v>0.52</v>
      </c>
      <c r="M6389">
        <v>0.86199999999999999</v>
      </c>
      <c r="N6389">
        <v>0.26</v>
      </c>
    </row>
    <row r="6390" spans="1:14" x14ac:dyDescent="0.25">
      <c r="A6390" t="s">
        <v>11475</v>
      </c>
      <c r="B6390" t="s">
        <v>8436</v>
      </c>
      <c r="C6390" s="1" t="str">
        <f>HYPERLINK("http://www.genecards.org/cgi-bin/carddisp.pl?gene=SMARCA2","GeneCards")</f>
        <v>GeneCards</v>
      </c>
      <c r="D6390" s="1" t="str">
        <f>HYPERLINK("http://genome-euro.ucsc.edu/cgi-bin/hgTracks?position=217707_x_at","UCSC")</f>
        <v>UCSC</v>
      </c>
      <c r="E6390" s="1" t="str">
        <f>HYPERLINK("http://www.ncbi.nlm.nih.gov/gene/?term=SMARCA2","NCBI")</f>
        <v>NCBI</v>
      </c>
      <c r="F6390">
        <v>7.3999999999999996E-2</v>
      </c>
      <c r="G6390">
        <v>0.2</v>
      </c>
      <c r="H6390" s="1" t="str">
        <f>HYPERLINK("http://www.weizmann.ac.il/complex/compphys/software/geview/data/figures/217707_x_at.png","Figure")</f>
        <v>Figure</v>
      </c>
      <c r="I6390">
        <v>0.51900000000000002</v>
      </c>
      <c r="J6390">
        <v>6.5000000000000002E-2</v>
      </c>
      <c r="K6390">
        <v>0.68799999999999994</v>
      </c>
      <c r="L6390">
        <v>0.27</v>
      </c>
      <c r="M6390">
        <v>1.32</v>
      </c>
      <c r="N6390">
        <v>0.51</v>
      </c>
    </row>
    <row r="6391" spans="1:14" x14ac:dyDescent="0.25">
      <c r="A6391" t="s">
        <v>11476</v>
      </c>
      <c r="B6391" t="s">
        <v>11477</v>
      </c>
      <c r="C6391" s="1" t="str">
        <f>HYPERLINK("http://www.genecards.org/cgi-bin/carddisp.pl?gene=TEX11","GeneCards")</f>
        <v>GeneCards</v>
      </c>
      <c r="D6391" s="1" t="str">
        <f>HYPERLINK("http://genome-euro.ucsc.edu/cgi-bin/hgTracks?position=221259_s_at","UCSC")</f>
        <v>UCSC</v>
      </c>
      <c r="E6391" s="1" t="str">
        <f>HYPERLINK("http://www.ncbi.nlm.nih.gov/gene/?term=TEX11","NCBI")</f>
        <v>NCBI</v>
      </c>
      <c r="F6391">
        <v>7.3999999999999996E-2</v>
      </c>
      <c r="G6391">
        <v>0.2</v>
      </c>
      <c r="H6391" s="1" t="str">
        <f>HYPERLINK("http://www.weizmann.ac.il/complex/compphys/software/geview/data/figures/221259_s_at.png","Figure")</f>
        <v>Figure</v>
      </c>
      <c r="I6391">
        <v>1.1399999999999999</v>
      </c>
      <c r="J6391">
        <v>0.14000000000000001</v>
      </c>
      <c r="K6391">
        <v>1.1399999999999999</v>
      </c>
      <c r="L6391">
        <v>8.5999999999999993E-2</v>
      </c>
      <c r="M6391">
        <v>1</v>
      </c>
      <c r="N6391">
        <v>1</v>
      </c>
    </row>
    <row r="6392" spans="1:14" x14ac:dyDescent="0.25">
      <c r="A6392" t="s">
        <v>11478</v>
      </c>
      <c r="B6392" t="s">
        <v>11479</v>
      </c>
      <c r="C6392" s="1" t="str">
        <f>HYPERLINK("http://www.genecards.org/cgi-bin/carddisp.pl?gene=CSF3","GeneCards")</f>
        <v>GeneCards</v>
      </c>
      <c r="D6392" s="1" t="str">
        <f>HYPERLINK("http://genome-euro.ucsc.edu/cgi-bin/hgTracks?position=207442_at","UCSC")</f>
        <v>UCSC</v>
      </c>
      <c r="E6392" s="1" t="str">
        <f>HYPERLINK("http://www.ncbi.nlm.nih.gov/gene/?term=CSF3","NCBI")</f>
        <v>NCBI</v>
      </c>
      <c r="F6392">
        <v>7.3999999999999996E-2</v>
      </c>
      <c r="G6392">
        <v>0.2</v>
      </c>
      <c r="H6392" s="1" t="str">
        <f>HYPERLINK("http://www.weizmann.ac.il/complex/compphys/software/geview/data/figures/207442_at.png","Figure")</f>
        <v>Figure</v>
      </c>
      <c r="I6392">
        <v>1.25</v>
      </c>
      <c r="J6392">
        <v>6.2E-2</v>
      </c>
      <c r="K6392">
        <v>1.1200000000000001</v>
      </c>
      <c r="L6392">
        <v>0.36</v>
      </c>
      <c r="M6392">
        <v>0.89100000000000001</v>
      </c>
      <c r="N6392">
        <v>0.38</v>
      </c>
    </row>
    <row r="6393" spans="1:14" x14ac:dyDescent="0.25">
      <c r="A6393" t="s">
        <v>11480</v>
      </c>
      <c r="B6393" t="s">
        <v>3933</v>
      </c>
      <c r="C6393" s="1" t="str">
        <f>HYPERLINK("http://www.genecards.org/cgi-bin/carddisp.pl?gene=ZFAND6","GeneCards")</f>
        <v>GeneCards</v>
      </c>
      <c r="D6393" s="1" t="str">
        <f>HYPERLINK("http://genome-euro.ucsc.edu/cgi-bin/hgTracks?position=222186_at","UCSC")</f>
        <v>UCSC</v>
      </c>
      <c r="E6393" s="1" t="str">
        <f>HYPERLINK("http://www.ncbi.nlm.nih.gov/gene/?term=ZFAND6","NCBI")</f>
        <v>NCBI</v>
      </c>
      <c r="F6393">
        <v>7.3999999999999996E-2</v>
      </c>
      <c r="G6393">
        <v>0.2</v>
      </c>
      <c r="H6393" s="1" t="str">
        <f>HYPERLINK("http://www.weizmann.ac.il/complex/compphys/software/geview/data/figures/222186_at.png","Figure")</f>
        <v>Figure</v>
      </c>
      <c r="I6393">
        <v>0.66200000000000003</v>
      </c>
      <c r="J6393">
        <v>0.5</v>
      </c>
      <c r="K6393">
        <v>0.45500000000000002</v>
      </c>
      <c r="L6393">
        <v>6.2E-2</v>
      </c>
      <c r="M6393">
        <v>0.68799999999999994</v>
      </c>
      <c r="N6393">
        <v>0.52</v>
      </c>
    </row>
    <row r="6394" spans="1:14" x14ac:dyDescent="0.25">
      <c r="A6394" t="s">
        <v>11481</v>
      </c>
      <c r="B6394" t="s">
        <v>11482</v>
      </c>
      <c r="C6394" s="1" t="str">
        <f>HYPERLINK("http://www.genecards.org/cgi-bin/carddisp.pl?gene=ATP6V1A","GeneCards")</f>
        <v>GeneCards</v>
      </c>
      <c r="D6394" s="1" t="str">
        <f>HYPERLINK("http://genome-euro.ucsc.edu/cgi-bin/hgTracks?position=201972_at","UCSC")</f>
        <v>UCSC</v>
      </c>
      <c r="E6394" s="1" t="str">
        <f>HYPERLINK("http://www.ncbi.nlm.nih.gov/gene/?term=ATP6V1A","NCBI")</f>
        <v>NCBI</v>
      </c>
      <c r="F6394">
        <v>7.3999999999999996E-2</v>
      </c>
      <c r="G6394">
        <v>0.2</v>
      </c>
      <c r="H6394" s="1" t="str">
        <f>HYPERLINK("http://www.weizmann.ac.il/complex/compphys/software/geview/data/figures/201972_at.png","Figure")</f>
        <v>Figure</v>
      </c>
      <c r="I6394">
        <v>0.86899999999999999</v>
      </c>
      <c r="J6394">
        <v>0.55000000000000004</v>
      </c>
      <c r="K6394">
        <v>0.748</v>
      </c>
      <c r="L6394">
        <v>6.2E-2</v>
      </c>
      <c r="M6394">
        <v>0.86199999999999999</v>
      </c>
      <c r="N6394">
        <v>0.47</v>
      </c>
    </row>
    <row r="6395" spans="1:14" x14ac:dyDescent="0.25">
      <c r="A6395" t="s">
        <v>11483</v>
      </c>
      <c r="B6395" t="s">
        <v>11484</v>
      </c>
      <c r="C6395" s="1" t="str">
        <f>HYPERLINK("http://www.genecards.org/cgi-bin/carddisp.pl?gene=GLS","GeneCards")</f>
        <v>GeneCards</v>
      </c>
      <c r="D6395" s="1" t="str">
        <f>HYPERLINK("http://genome-euro.ucsc.edu/cgi-bin/hgTracks?position=203159_at","UCSC")</f>
        <v>UCSC</v>
      </c>
      <c r="E6395" s="1" t="str">
        <f>HYPERLINK("http://www.ncbi.nlm.nih.gov/gene/?term=GLS","NCBI")</f>
        <v>NCBI</v>
      </c>
      <c r="F6395">
        <v>7.3999999999999996E-2</v>
      </c>
      <c r="G6395">
        <v>0.2</v>
      </c>
      <c r="H6395" s="1" t="str">
        <f>HYPERLINK("http://www.weizmann.ac.il/complex/compphys/software/geview/data/figures/203159_at.png","Figure")</f>
        <v>Figure</v>
      </c>
      <c r="I6395">
        <v>1.18</v>
      </c>
      <c r="J6395">
        <v>0.71</v>
      </c>
      <c r="K6395">
        <v>1.57</v>
      </c>
      <c r="L6395">
        <v>6.8000000000000005E-2</v>
      </c>
      <c r="M6395">
        <v>1.33</v>
      </c>
      <c r="N6395">
        <v>0.35</v>
      </c>
    </row>
    <row r="6396" spans="1:14" x14ac:dyDescent="0.25">
      <c r="A6396" t="s">
        <v>11485</v>
      </c>
      <c r="B6396" t="s">
        <v>6438</v>
      </c>
      <c r="C6396" s="1" t="str">
        <f>HYPERLINK("http://www.genecards.org/cgi-bin/carddisp.pl?gene=CDKN2C","GeneCards")</f>
        <v>GeneCards</v>
      </c>
      <c r="D6396" s="1" t="str">
        <f>HYPERLINK("http://genome-euro.ucsc.edu/cgi-bin/hgTracks?position=204159_at","UCSC")</f>
        <v>UCSC</v>
      </c>
      <c r="E6396" s="1" t="str">
        <f>HYPERLINK("http://www.ncbi.nlm.nih.gov/gene/?term=CDKN2C","NCBI")</f>
        <v>NCBI</v>
      </c>
      <c r="F6396">
        <v>7.3999999999999996E-2</v>
      </c>
      <c r="G6396">
        <v>0.2</v>
      </c>
      <c r="H6396" s="1" t="str">
        <f>HYPERLINK("http://www.weizmann.ac.il/complex/compphys/software/geview/data/figures/204159_at.png","Figure")</f>
        <v>Figure</v>
      </c>
      <c r="I6396">
        <v>0.91900000000000004</v>
      </c>
      <c r="J6396">
        <v>0.7</v>
      </c>
      <c r="K6396">
        <v>1.1599999999999999</v>
      </c>
      <c r="L6396">
        <v>0.27</v>
      </c>
      <c r="M6396">
        <v>1.26</v>
      </c>
      <c r="N6396">
        <v>7.4999999999999997E-2</v>
      </c>
    </row>
    <row r="6397" spans="1:14" x14ac:dyDescent="0.25">
      <c r="A6397" t="s">
        <v>11486</v>
      </c>
      <c r="B6397" t="s">
        <v>11120</v>
      </c>
      <c r="C6397" s="1" t="str">
        <f>HYPERLINK("http://www.genecards.org/cgi-bin/carddisp.pl?gene=SOX10","GeneCards")</f>
        <v>GeneCards</v>
      </c>
      <c r="D6397" s="1" t="str">
        <f>HYPERLINK("http://genome-euro.ucsc.edu/cgi-bin/hgTracks?position=209842_at","UCSC")</f>
        <v>UCSC</v>
      </c>
      <c r="E6397" s="1" t="str">
        <f>HYPERLINK("http://www.ncbi.nlm.nih.gov/gene/?term=SOX10","NCBI")</f>
        <v>NCBI</v>
      </c>
      <c r="F6397">
        <v>7.3999999999999996E-2</v>
      </c>
      <c r="G6397">
        <v>0.2</v>
      </c>
      <c r="H6397" s="1" t="str">
        <f>HYPERLINK("http://www.weizmann.ac.il/complex/compphys/software/geview/data/figures/209842_at.png","Figure")</f>
        <v>Figure</v>
      </c>
      <c r="I6397">
        <v>1.1200000000000001</v>
      </c>
      <c r="J6397">
        <v>0.15</v>
      </c>
      <c r="K6397">
        <v>0.98399999999999999</v>
      </c>
      <c r="L6397">
        <v>0.94</v>
      </c>
      <c r="M6397">
        <v>0.876</v>
      </c>
      <c r="N6397">
        <v>7.1999999999999995E-2</v>
      </c>
    </row>
    <row r="6398" spans="1:14" x14ac:dyDescent="0.25">
      <c r="A6398" t="s">
        <v>11487</v>
      </c>
      <c r="B6398" t="s">
        <v>11488</v>
      </c>
      <c r="C6398" s="1" t="str">
        <f>HYPERLINK("http://www.genecards.org/cgi-bin/carddisp.pl?gene=URB1","GeneCards")</f>
        <v>GeneCards</v>
      </c>
      <c r="D6398" s="1" t="str">
        <f>HYPERLINK("http://genome-euro.ucsc.edu/cgi-bin/hgTracks?position=212996_s_at","UCSC")</f>
        <v>UCSC</v>
      </c>
      <c r="E6398" s="1" t="str">
        <f>HYPERLINK("http://www.ncbi.nlm.nih.gov/gene/?term=URB1","NCBI")</f>
        <v>NCBI</v>
      </c>
      <c r="F6398">
        <v>7.3999999999999996E-2</v>
      </c>
      <c r="G6398">
        <v>0.2</v>
      </c>
      <c r="H6398" s="1" t="str">
        <f>HYPERLINK("http://www.weizmann.ac.il/complex/compphys/software/geview/data/figures/212996_s_at.png","Figure")</f>
        <v>Figure</v>
      </c>
      <c r="I6398">
        <v>0.63500000000000001</v>
      </c>
      <c r="J6398">
        <v>6.8000000000000005E-2</v>
      </c>
      <c r="K6398">
        <v>0.88300000000000001</v>
      </c>
      <c r="L6398">
        <v>0.73</v>
      </c>
      <c r="M6398">
        <v>1.39</v>
      </c>
      <c r="N6398">
        <v>0.17</v>
      </c>
    </row>
    <row r="6399" spans="1:14" x14ac:dyDescent="0.25">
      <c r="A6399" t="s">
        <v>11489</v>
      </c>
      <c r="B6399" t="s">
        <v>1688</v>
      </c>
      <c r="C6399" s="1" t="str">
        <f>HYPERLINK("http://www.genecards.org/cgi-bin/carddisp.pl?gene=CD22","GeneCards")</f>
        <v>GeneCards</v>
      </c>
      <c r="D6399" s="1" t="str">
        <f>HYPERLINK("http://genome-euro.ucsc.edu/cgi-bin/hgTracks?position=204581_at","UCSC")</f>
        <v>UCSC</v>
      </c>
      <c r="E6399" s="1" t="str">
        <f>HYPERLINK("http://www.ncbi.nlm.nih.gov/gene/?term=CD22","NCBI")</f>
        <v>NCBI</v>
      </c>
      <c r="F6399">
        <v>7.3999999999999996E-2</v>
      </c>
      <c r="G6399">
        <v>0.2</v>
      </c>
      <c r="H6399" s="1" t="str">
        <f>HYPERLINK("http://www.weizmann.ac.il/complex/compphys/software/geview/data/figures/204581_at.png","Figure")</f>
        <v>Figure</v>
      </c>
      <c r="I6399">
        <v>1.49</v>
      </c>
      <c r="J6399">
        <v>0.1</v>
      </c>
      <c r="K6399">
        <v>1.39</v>
      </c>
      <c r="L6399">
        <v>0.12</v>
      </c>
      <c r="M6399">
        <v>0.93500000000000005</v>
      </c>
      <c r="N6399">
        <v>0.91</v>
      </c>
    </row>
    <row r="6400" spans="1:14" x14ac:dyDescent="0.25">
      <c r="A6400" t="s">
        <v>11490</v>
      </c>
      <c r="B6400" t="s">
        <v>11491</v>
      </c>
      <c r="C6400" s="1" t="str">
        <f>HYPERLINK("http://www.genecards.org/cgi-bin/carddisp.pl?gene=ZNF512B","GeneCards")</f>
        <v>GeneCards</v>
      </c>
      <c r="D6400" s="1" t="str">
        <f>HYPERLINK("http://genome-euro.ucsc.edu/cgi-bin/hgTracks?position=55872_at","UCSC")</f>
        <v>UCSC</v>
      </c>
      <c r="E6400" s="1" t="str">
        <f>HYPERLINK("http://www.ncbi.nlm.nih.gov/gene/?term=ZNF512B","NCBI")</f>
        <v>NCBI</v>
      </c>
      <c r="F6400">
        <v>7.3999999999999996E-2</v>
      </c>
      <c r="G6400">
        <v>0.2</v>
      </c>
      <c r="H6400" s="1" t="str">
        <f>HYPERLINK("http://www.weizmann.ac.il/complex/compphys/software/geview/data/figures/55872_at.png","Figure")</f>
        <v>Figure</v>
      </c>
      <c r="I6400">
        <v>0.70599999999999996</v>
      </c>
      <c r="J6400">
        <v>0.3</v>
      </c>
      <c r="K6400">
        <v>0.61099999999999999</v>
      </c>
      <c r="L6400">
        <v>6.3E-2</v>
      </c>
      <c r="M6400">
        <v>0.86499999999999999</v>
      </c>
      <c r="N6400">
        <v>0.77</v>
      </c>
    </row>
    <row r="6401" spans="1:14" x14ac:dyDescent="0.25">
      <c r="A6401" t="s">
        <v>11492</v>
      </c>
      <c r="B6401" t="s">
        <v>11493</v>
      </c>
      <c r="C6401" s="1" t="str">
        <f>HYPERLINK("http://www.genecards.org/cgi-bin/carddisp.pl?gene=EPM2A","GeneCards")</f>
        <v>GeneCards</v>
      </c>
      <c r="D6401" s="1" t="str">
        <f>HYPERLINK("http://genome-euro.ucsc.edu/cgi-bin/hgTracks?position=205231_s_at","UCSC")</f>
        <v>UCSC</v>
      </c>
      <c r="E6401" s="1" t="str">
        <f>HYPERLINK("http://www.ncbi.nlm.nih.gov/gene/?term=EPM2A","NCBI")</f>
        <v>NCBI</v>
      </c>
      <c r="F6401">
        <v>7.3999999999999996E-2</v>
      </c>
      <c r="G6401">
        <v>0.2</v>
      </c>
      <c r="H6401" s="1" t="str">
        <f>HYPERLINK("http://www.weizmann.ac.il/complex/compphys/software/geview/data/figures/205231_s_at.png","Figure")</f>
        <v>Figure</v>
      </c>
      <c r="I6401">
        <v>0.61499999999999999</v>
      </c>
      <c r="J6401">
        <v>0.11</v>
      </c>
      <c r="K6401">
        <v>0.99299999999999999</v>
      </c>
      <c r="L6401">
        <v>1</v>
      </c>
      <c r="M6401">
        <v>1.61</v>
      </c>
      <c r="N6401">
        <v>8.8999999999999996E-2</v>
      </c>
    </row>
    <row r="6402" spans="1:14" x14ac:dyDescent="0.25">
      <c r="A6402" t="s">
        <v>11494</v>
      </c>
      <c r="B6402" t="s">
        <v>11495</v>
      </c>
      <c r="C6402" s="1" t="str">
        <f>HYPERLINK("http://www.genecards.org/cgi-bin/carddisp.pl?gene=MSTP9","GeneCards")</f>
        <v>GeneCards</v>
      </c>
      <c r="D6402" s="1" t="str">
        <f>HYPERLINK("http://genome-euro.ucsc.edu/cgi-bin/hgTracks?position=213380_x_at","UCSC")</f>
        <v>UCSC</v>
      </c>
      <c r="E6402" s="1" t="str">
        <f>HYPERLINK("http://www.ncbi.nlm.nih.gov/gene/?term=MSTP9","NCBI")</f>
        <v>NCBI</v>
      </c>
      <c r="F6402">
        <v>7.3999999999999996E-2</v>
      </c>
      <c r="G6402">
        <v>0.2</v>
      </c>
      <c r="H6402" s="1" t="str">
        <f>HYPERLINK("http://www.weizmann.ac.il/complex/compphys/software/geview/data/figures/213380_x_at.png","Figure")</f>
        <v>Figure</v>
      </c>
      <c r="I6402">
        <v>1.1499999999999999</v>
      </c>
      <c r="J6402">
        <v>0.13</v>
      </c>
      <c r="K6402">
        <v>0.99</v>
      </c>
      <c r="L6402">
        <v>0.98</v>
      </c>
      <c r="M6402">
        <v>0.86299999999999999</v>
      </c>
      <c r="N6402">
        <v>7.8E-2</v>
      </c>
    </row>
    <row r="6403" spans="1:14" x14ac:dyDescent="0.25">
      <c r="A6403" t="s">
        <v>11496</v>
      </c>
      <c r="B6403" t="s">
        <v>11497</v>
      </c>
      <c r="C6403" s="1" t="str">
        <f>HYPERLINK("http://www.genecards.org/cgi-bin/carddisp.pl?gene=ELF4","GeneCards")</f>
        <v>GeneCards</v>
      </c>
      <c r="D6403" s="1" t="str">
        <f>HYPERLINK("http://genome-euro.ucsc.edu/cgi-bin/hgTracks?position=31845_at","UCSC")</f>
        <v>UCSC</v>
      </c>
      <c r="E6403" s="1" t="str">
        <f>HYPERLINK("http://www.ncbi.nlm.nih.gov/gene/?term=ELF4","NCBI")</f>
        <v>NCBI</v>
      </c>
      <c r="F6403">
        <v>7.3999999999999996E-2</v>
      </c>
      <c r="G6403">
        <v>0.2</v>
      </c>
      <c r="H6403" s="1" t="str">
        <f>HYPERLINK("http://www.weizmann.ac.il/complex/compphys/software/geview/data/figures/31845_at.png","Figure")</f>
        <v>Figure</v>
      </c>
      <c r="I6403">
        <v>0.57899999999999996</v>
      </c>
      <c r="J6403">
        <v>8.7999999999999995E-2</v>
      </c>
      <c r="K6403">
        <v>0.93500000000000005</v>
      </c>
      <c r="L6403">
        <v>0.94</v>
      </c>
      <c r="M6403">
        <v>1.62</v>
      </c>
      <c r="N6403">
        <v>0.11</v>
      </c>
    </row>
    <row r="6404" spans="1:14" x14ac:dyDescent="0.25">
      <c r="A6404" t="s">
        <v>11498</v>
      </c>
      <c r="B6404" t="s">
        <v>5641</v>
      </c>
      <c r="C6404" s="1" t="str">
        <f>HYPERLINK("http://www.genecards.org/cgi-bin/carddisp.pl?gene=RPS19","GeneCards")</f>
        <v>GeneCards</v>
      </c>
      <c r="D6404" s="1" t="str">
        <f>HYPERLINK("http://genome-euro.ucsc.edu/cgi-bin/hgTracks?position=213414_s_at","UCSC")</f>
        <v>UCSC</v>
      </c>
      <c r="E6404" s="1" t="str">
        <f>HYPERLINK("http://www.ncbi.nlm.nih.gov/gene/?term=RPS19","NCBI")</f>
        <v>NCBI</v>
      </c>
      <c r="F6404">
        <v>7.3999999999999996E-2</v>
      </c>
      <c r="G6404">
        <v>0.2</v>
      </c>
      <c r="H6404" s="1" t="str">
        <f>HYPERLINK("http://www.weizmann.ac.il/complex/compphys/software/geview/data/figures/213414_s_at.png","Figure")</f>
        <v>Figure</v>
      </c>
      <c r="I6404">
        <v>0.7</v>
      </c>
      <c r="J6404">
        <v>6.8000000000000005E-2</v>
      </c>
      <c r="K6404">
        <v>0.80600000000000005</v>
      </c>
      <c r="L6404">
        <v>0.24</v>
      </c>
      <c r="M6404">
        <v>1.1499999999999999</v>
      </c>
      <c r="N6404">
        <v>0.56000000000000005</v>
      </c>
    </row>
    <row r="6405" spans="1:14" x14ac:dyDescent="0.25">
      <c r="A6405" t="s">
        <v>11499</v>
      </c>
      <c r="B6405" t="s">
        <v>11500</v>
      </c>
      <c r="C6405" s="1" t="str">
        <f>HYPERLINK("http://www.genecards.org/cgi-bin/carddisp.pl?gene=TCEB2","GeneCards")</f>
        <v>GeneCards</v>
      </c>
      <c r="D6405" s="1" t="str">
        <f>HYPERLINK("http://genome-euro.ucsc.edu/cgi-bin/hgTracks?position=213877_x_at","UCSC")</f>
        <v>UCSC</v>
      </c>
      <c r="E6405" s="1" t="str">
        <f>HYPERLINK("http://www.ncbi.nlm.nih.gov/gene/?term=TCEB2","NCBI")</f>
        <v>NCBI</v>
      </c>
      <c r="F6405">
        <v>7.3999999999999996E-2</v>
      </c>
      <c r="G6405">
        <v>0.2</v>
      </c>
      <c r="H6405" s="1" t="str">
        <f>HYPERLINK("http://www.weizmann.ac.il/complex/compphys/software/geview/data/figures/213877_x_at.png","Figure")</f>
        <v>Figure</v>
      </c>
      <c r="I6405">
        <v>1.32</v>
      </c>
      <c r="J6405">
        <v>6.2E-2</v>
      </c>
      <c r="K6405">
        <v>1.1499999999999999</v>
      </c>
      <c r="L6405">
        <v>0.34</v>
      </c>
      <c r="M6405">
        <v>0.873</v>
      </c>
      <c r="N6405">
        <v>0.41</v>
      </c>
    </row>
    <row r="6406" spans="1:14" x14ac:dyDescent="0.25">
      <c r="A6406" t="s">
        <v>11501</v>
      </c>
      <c r="B6406" t="s">
        <v>3060</v>
      </c>
      <c r="C6406" s="1" t="str">
        <f>HYPERLINK("http://www.genecards.org/cgi-bin/carddisp.pl?gene=ITFG2","GeneCards")</f>
        <v>GeneCards</v>
      </c>
      <c r="D6406" s="1" t="str">
        <f>HYPERLINK("http://genome-euro.ucsc.edu/cgi-bin/hgTracks?position=220590_at","UCSC")</f>
        <v>UCSC</v>
      </c>
      <c r="E6406" s="1" t="str">
        <f>HYPERLINK("http://www.ncbi.nlm.nih.gov/gene/?term=ITFG2","NCBI")</f>
        <v>NCBI</v>
      </c>
      <c r="F6406">
        <v>7.3999999999999996E-2</v>
      </c>
      <c r="G6406">
        <v>0.2</v>
      </c>
      <c r="H6406" s="1" t="str">
        <f>HYPERLINK("http://www.weizmann.ac.il/complex/compphys/software/geview/data/figures/220590_at.png","Figure")</f>
        <v>Figure</v>
      </c>
      <c r="I6406">
        <v>1.1599999999999999</v>
      </c>
      <c r="J6406">
        <v>0.16</v>
      </c>
      <c r="K6406">
        <v>1.17</v>
      </c>
      <c r="L6406">
        <v>8.2000000000000003E-2</v>
      </c>
      <c r="M6406">
        <v>1.01</v>
      </c>
      <c r="N6406">
        <v>0.99</v>
      </c>
    </row>
    <row r="6407" spans="1:14" x14ac:dyDescent="0.25">
      <c r="A6407" t="s">
        <v>11502</v>
      </c>
      <c r="B6407" t="s">
        <v>11503</v>
      </c>
      <c r="C6407" s="1" t="str">
        <f>HYPERLINK("http://www.genecards.org/cgi-bin/carddisp.pl?gene=MXD4","GeneCards")</f>
        <v>GeneCards</v>
      </c>
      <c r="D6407" s="1" t="str">
        <f>HYPERLINK("http://genome-euro.ucsc.edu/cgi-bin/hgTracks?position=212346_s_at","UCSC")</f>
        <v>UCSC</v>
      </c>
      <c r="E6407" s="1" t="str">
        <f>HYPERLINK("http://www.ncbi.nlm.nih.gov/gene/?term=MXD4","NCBI")</f>
        <v>NCBI</v>
      </c>
      <c r="F6407">
        <v>7.3999999999999996E-2</v>
      </c>
      <c r="G6407">
        <v>0.2</v>
      </c>
      <c r="H6407" s="1" t="str">
        <f>HYPERLINK("http://www.weizmann.ac.il/complex/compphys/software/geview/data/figures/212346_s_at.png","Figure")</f>
        <v>Figure</v>
      </c>
      <c r="I6407">
        <v>1.19</v>
      </c>
      <c r="J6407">
        <v>0.16</v>
      </c>
      <c r="K6407">
        <v>0.97099999999999997</v>
      </c>
      <c r="L6407">
        <v>0.93</v>
      </c>
      <c r="M6407">
        <v>0.81399999999999995</v>
      </c>
      <c r="N6407">
        <v>7.0999999999999994E-2</v>
      </c>
    </row>
    <row r="6408" spans="1:14" x14ac:dyDescent="0.25">
      <c r="A6408" t="s">
        <v>11504</v>
      </c>
      <c r="B6408" t="s">
        <v>11505</v>
      </c>
      <c r="C6408" s="1" t="str">
        <f>HYPERLINK("http://www.genecards.org/cgi-bin/carddisp.pl?gene=ARHGDIB","GeneCards")</f>
        <v>GeneCards</v>
      </c>
      <c r="D6408" s="1" t="str">
        <f>HYPERLINK("http://genome-euro.ucsc.edu/cgi-bin/hgTracks?position=201288_at","UCSC")</f>
        <v>UCSC</v>
      </c>
      <c r="E6408" s="1" t="str">
        <f>HYPERLINK("http://www.ncbi.nlm.nih.gov/gene/?term=ARHGDIB","NCBI")</f>
        <v>NCBI</v>
      </c>
      <c r="F6408">
        <v>7.3999999999999996E-2</v>
      </c>
      <c r="G6408">
        <v>0.2</v>
      </c>
      <c r="H6408" s="1" t="str">
        <f>HYPERLINK("http://www.weizmann.ac.il/complex/compphys/software/geview/data/figures/201288_at.png","Figure")</f>
        <v>Figure</v>
      </c>
      <c r="I6408">
        <v>1.06</v>
      </c>
      <c r="J6408">
        <v>0.95</v>
      </c>
      <c r="K6408">
        <v>1.42</v>
      </c>
      <c r="L6408">
        <v>8.7999999999999995E-2</v>
      </c>
      <c r="M6408">
        <v>1.35</v>
      </c>
      <c r="N6408">
        <v>0.2</v>
      </c>
    </row>
    <row r="6409" spans="1:14" x14ac:dyDescent="0.25">
      <c r="A6409" t="s">
        <v>11506</v>
      </c>
      <c r="B6409" t="s">
        <v>11507</v>
      </c>
      <c r="C6409" s="1" t="str">
        <f>HYPERLINK("http://www.genecards.org/cgi-bin/carddisp.pl?gene=RNF5","GeneCards")</f>
        <v>GeneCards</v>
      </c>
      <c r="D6409" s="1" t="str">
        <f>HYPERLINK("http://genome-euro.ucsc.edu/cgi-bin/hgTracks?position=209111_at","UCSC")</f>
        <v>UCSC</v>
      </c>
      <c r="E6409" s="1" t="str">
        <f>HYPERLINK("http://www.ncbi.nlm.nih.gov/gene/?term=RNF5","NCBI")</f>
        <v>NCBI</v>
      </c>
      <c r="F6409">
        <v>7.3999999999999996E-2</v>
      </c>
      <c r="G6409">
        <v>0.2</v>
      </c>
      <c r="H6409" s="1" t="str">
        <f>HYPERLINK("http://www.weizmann.ac.il/complex/compphys/software/geview/data/figures/209111_at.png","Figure")</f>
        <v>Figure</v>
      </c>
      <c r="I6409">
        <v>0.69</v>
      </c>
      <c r="J6409">
        <v>0.12</v>
      </c>
      <c r="K6409">
        <v>1.01</v>
      </c>
      <c r="L6409">
        <v>1</v>
      </c>
      <c r="M6409">
        <v>1.47</v>
      </c>
      <c r="N6409">
        <v>8.3000000000000004E-2</v>
      </c>
    </row>
    <row r="6410" spans="1:14" x14ac:dyDescent="0.25">
      <c r="A6410" t="s">
        <v>11508</v>
      </c>
      <c r="B6410" t="s">
        <v>11509</v>
      </c>
      <c r="C6410" s="1" t="str">
        <f>HYPERLINK("http://www.genecards.org/cgi-bin/carddisp.pl?gene=SPINK5","GeneCards")</f>
        <v>GeneCards</v>
      </c>
      <c r="D6410" s="1" t="str">
        <f>HYPERLINK("http://genome-euro.ucsc.edu/cgi-bin/hgTracks?position=205185_at","UCSC")</f>
        <v>UCSC</v>
      </c>
      <c r="E6410" s="1" t="str">
        <f>HYPERLINK("http://www.ncbi.nlm.nih.gov/gene/?term=SPINK5","NCBI")</f>
        <v>NCBI</v>
      </c>
      <c r="F6410">
        <v>7.4999999999999997E-2</v>
      </c>
      <c r="G6410">
        <v>0.2</v>
      </c>
      <c r="H6410" s="1" t="str">
        <f>HYPERLINK("http://www.weizmann.ac.il/complex/compphys/software/geview/data/figures/205185_at.png","Figure")</f>
        <v>Figure</v>
      </c>
      <c r="I6410">
        <v>1.2</v>
      </c>
      <c r="J6410">
        <v>7.0999999999999994E-2</v>
      </c>
      <c r="K6410">
        <v>1.1299999999999999</v>
      </c>
      <c r="L6410">
        <v>0.21</v>
      </c>
      <c r="M6410">
        <v>0.93600000000000005</v>
      </c>
      <c r="N6410">
        <v>0.63</v>
      </c>
    </row>
    <row r="6411" spans="1:14" x14ac:dyDescent="0.25">
      <c r="A6411" t="s">
        <v>11510</v>
      </c>
      <c r="B6411" t="s">
        <v>6998</v>
      </c>
      <c r="C6411" s="1" t="str">
        <f>HYPERLINK("http://www.genecards.org/cgi-bin/carddisp.pl?gene=SLC6A2","GeneCards")</f>
        <v>GeneCards</v>
      </c>
      <c r="D6411" s="1" t="str">
        <f>HYPERLINK("http://genome-euro.ucsc.edu/cgi-bin/hgTracks?position=215715_at","UCSC")</f>
        <v>UCSC</v>
      </c>
      <c r="E6411" s="1" t="str">
        <f>HYPERLINK("http://www.ncbi.nlm.nih.gov/gene/?term=SLC6A2","NCBI")</f>
        <v>NCBI</v>
      </c>
      <c r="F6411">
        <v>7.4999999999999997E-2</v>
      </c>
      <c r="G6411">
        <v>0.2</v>
      </c>
      <c r="H6411" s="1" t="str">
        <f>HYPERLINK("http://www.weizmann.ac.il/complex/compphys/software/geview/data/figures/215715_at.png","Figure")</f>
        <v>Figure</v>
      </c>
      <c r="I6411">
        <v>1.1399999999999999</v>
      </c>
      <c r="J6411">
        <v>0.26</v>
      </c>
      <c r="K6411">
        <v>0.94299999999999995</v>
      </c>
      <c r="L6411">
        <v>0.7</v>
      </c>
      <c r="M6411">
        <v>0.82399999999999995</v>
      </c>
      <c r="N6411">
        <v>6.2E-2</v>
      </c>
    </row>
    <row r="6412" spans="1:14" x14ac:dyDescent="0.25">
      <c r="A6412" t="s">
        <v>11511</v>
      </c>
      <c r="B6412" t="s">
        <v>3546</v>
      </c>
      <c r="C6412" s="1" t="str">
        <f>HYPERLINK("http://www.genecards.org/cgi-bin/carddisp.pl?gene=PPIG","GeneCards")</f>
        <v>GeneCards</v>
      </c>
      <c r="D6412" s="1" t="str">
        <f>HYPERLINK("http://genome-euro.ucsc.edu/cgi-bin/hgTracks?position=208994_s_at","UCSC")</f>
        <v>UCSC</v>
      </c>
      <c r="E6412" s="1" t="str">
        <f>HYPERLINK("http://www.ncbi.nlm.nih.gov/gene/?term=PPIG","NCBI")</f>
        <v>NCBI</v>
      </c>
      <c r="F6412">
        <v>7.4999999999999997E-2</v>
      </c>
      <c r="G6412">
        <v>0.2</v>
      </c>
      <c r="H6412" s="1" t="str">
        <f>HYPERLINK("http://www.weizmann.ac.il/complex/compphys/software/geview/data/figures/208994_s_at.png","Figure")</f>
        <v>Figure</v>
      </c>
      <c r="I6412">
        <v>1.41</v>
      </c>
      <c r="J6412">
        <v>0.1</v>
      </c>
      <c r="K6412">
        <v>1.01</v>
      </c>
      <c r="L6412">
        <v>0.99</v>
      </c>
      <c r="M6412">
        <v>0.71899999999999997</v>
      </c>
      <c r="N6412">
        <v>9.4E-2</v>
      </c>
    </row>
    <row r="6413" spans="1:14" x14ac:dyDescent="0.25">
      <c r="A6413" t="s">
        <v>11512</v>
      </c>
      <c r="B6413" t="s">
        <v>11513</v>
      </c>
      <c r="C6413" s="1" t="str">
        <f>HYPERLINK("http://www.genecards.org/cgi-bin/carddisp.pl?gene=LOC100129502","GeneCards")</f>
        <v>GeneCards</v>
      </c>
      <c r="D6413" s="1" t="str">
        <f>HYPERLINK("http://genome-euro.ucsc.edu/cgi-bin/hgTracks?position=217548_at","UCSC")</f>
        <v>UCSC</v>
      </c>
      <c r="E6413" s="1" t="str">
        <f>HYPERLINK("http://www.ncbi.nlm.nih.gov/gene/?term=LOC100129502","NCBI")</f>
        <v>NCBI</v>
      </c>
      <c r="F6413">
        <v>7.4999999999999997E-2</v>
      </c>
      <c r="G6413">
        <v>0.2</v>
      </c>
      <c r="H6413" s="1" t="str">
        <f>HYPERLINK("http://www.weizmann.ac.il/complex/compphys/software/geview/data/figures/217548_at.png","Figure")</f>
        <v>Figure</v>
      </c>
      <c r="I6413">
        <v>1.27</v>
      </c>
      <c r="J6413">
        <v>6.2E-2</v>
      </c>
      <c r="K6413">
        <v>1.1299999999999999</v>
      </c>
      <c r="L6413">
        <v>0.34</v>
      </c>
      <c r="M6413">
        <v>0.89</v>
      </c>
      <c r="N6413">
        <v>0.41</v>
      </c>
    </row>
    <row r="6414" spans="1:14" x14ac:dyDescent="0.25">
      <c r="A6414" t="s">
        <v>11514</v>
      </c>
      <c r="B6414" t="s">
        <v>11515</v>
      </c>
      <c r="C6414" s="1" t="str">
        <f>HYPERLINK("http://www.genecards.org/cgi-bin/carddisp.pl?gene=ATF1","GeneCards")</f>
        <v>GeneCards</v>
      </c>
      <c r="D6414" s="1" t="str">
        <f>HYPERLINK("http://genome-euro.ucsc.edu/cgi-bin/hgTracks?position=222103_at","UCSC")</f>
        <v>UCSC</v>
      </c>
      <c r="E6414" s="1" t="str">
        <f>HYPERLINK("http://www.ncbi.nlm.nih.gov/gene/?term=ATF1","NCBI")</f>
        <v>NCBI</v>
      </c>
      <c r="F6414">
        <v>7.4999999999999997E-2</v>
      </c>
      <c r="G6414">
        <v>0.2</v>
      </c>
      <c r="H6414" s="1" t="str">
        <f>HYPERLINK("http://www.weizmann.ac.il/complex/compphys/software/geview/data/figures/222103_at.png","Figure")</f>
        <v>Figure</v>
      </c>
      <c r="I6414">
        <v>0.65300000000000002</v>
      </c>
      <c r="J6414">
        <v>0.28999999999999998</v>
      </c>
      <c r="K6414">
        <v>1.24</v>
      </c>
      <c r="L6414">
        <v>0.65</v>
      </c>
      <c r="M6414">
        <v>1.89</v>
      </c>
      <c r="N6414">
        <v>6.2E-2</v>
      </c>
    </row>
    <row r="6415" spans="1:14" x14ac:dyDescent="0.25">
      <c r="A6415" t="s">
        <v>11516</v>
      </c>
      <c r="B6415" t="s">
        <v>5880</v>
      </c>
      <c r="C6415" s="1" t="str">
        <f>HYPERLINK("http://www.genecards.org/cgi-bin/carddisp.pl?gene=R3HDM1","GeneCards")</f>
        <v>GeneCards</v>
      </c>
      <c r="D6415" s="1" t="str">
        <f>HYPERLINK("http://genome-euro.ucsc.edu/cgi-bin/hgTracks?position=202754_at","UCSC")</f>
        <v>UCSC</v>
      </c>
      <c r="E6415" s="1" t="str">
        <f>HYPERLINK("http://www.ncbi.nlm.nih.gov/gene/?term=R3HDM1","NCBI")</f>
        <v>NCBI</v>
      </c>
      <c r="F6415">
        <v>7.4999999999999997E-2</v>
      </c>
      <c r="G6415">
        <v>0.2</v>
      </c>
      <c r="H6415" s="1" t="str">
        <f>HYPERLINK("http://www.weizmann.ac.il/complex/compphys/software/geview/data/figures/202754_at.png","Figure")</f>
        <v>Figure</v>
      </c>
      <c r="I6415">
        <v>1.24</v>
      </c>
      <c r="J6415">
        <v>0.47</v>
      </c>
      <c r="K6415">
        <v>1.49</v>
      </c>
      <c r="L6415">
        <v>6.2E-2</v>
      </c>
      <c r="M6415">
        <v>1.2</v>
      </c>
      <c r="N6415">
        <v>0.55000000000000004</v>
      </c>
    </row>
    <row r="6416" spans="1:14" x14ac:dyDescent="0.25">
      <c r="A6416" t="s">
        <v>11517</v>
      </c>
      <c r="B6416" t="s">
        <v>11518</v>
      </c>
      <c r="C6416" s="1" t="str">
        <f>HYPERLINK("http://www.genecards.org/cgi-bin/carddisp.pl?gene=CNDP2","GeneCards")</f>
        <v>GeneCards</v>
      </c>
      <c r="D6416" s="1" t="str">
        <f>HYPERLINK("http://genome-euro.ucsc.edu/cgi-bin/hgTracks?position=217752_s_at","UCSC")</f>
        <v>UCSC</v>
      </c>
      <c r="E6416" s="1" t="str">
        <f>HYPERLINK("http://www.ncbi.nlm.nih.gov/gene/?term=CNDP2","NCBI")</f>
        <v>NCBI</v>
      </c>
      <c r="F6416">
        <v>7.4999999999999997E-2</v>
      </c>
      <c r="G6416">
        <v>0.2</v>
      </c>
      <c r="H6416" s="1" t="str">
        <f>HYPERLINK("http://www.weizmann.ac.il/complex/compphys/software/geview/data/figures/217752_s_at.png","Figure")</f>
        <v>Figure</v>
      </c>
      <c r="I6416">
        <v>0.61099999999999999</v>
      </c>
      <c r="J6416">
        <v>6.3E-2</v>
      </c>
      <c r="K6416">
        <v>0.77200000000000002</v>
      </c>
      <c r="L6416">
        <v>0.32</v>
      </c>
      <c r="M6416">
        <v>1.26</v>
      </c>
      <c r="N6416">
        <v>0.43</v>
      </c>
    </row>
    <row r="6417" spans="1:14" x14ac:dyDescent="0.25">
      <c r="A6417" t="s">
        <v>11519</v>
      </c>
      <c r="B6417" t="s">
        <v>3881</v>
      </c>
      <c r="C6417" s="1" t="str">
        <f>HYPERLINK("http://www.genecards.org/cgi-bin/carddisp.pl?gene=ARHGAP19","GeneCards")</f>
        <v>GeneCards</v>
      </c>
      <c r="D6417" s="1" t="str">
        <f>HYPERLINK("http://genome-euro.ucsc.edu/cgi-bin/hgTracks?position=212738_at","UCSC")</f>
        <v>UCSC</v>
      </c>
      <c r="E6417" s="1" t="str">
        <f>HYPERLINK("http://www.ncbi.nlm.nih.gov/gene/?term=ARHGAP19","NCBI")</f>
        <v>NCBI</v>
      </c>
      <c r="F6417">
        <v>7.4999999999999997E-2</v>
      </c>
      <c r="G6417">
        <v>0.2</v>
      </c>
      <c r="H6417" s="1" t="str">
        <f>HYPERLINK("http://www.weizmann.ac.il/complex/compphys/software/geview/data/figures/212738_at.png","Figure")</f>
        <v>Figure</v>
      </c>
      <c r="I6417">
        <v>0.74299999999999999</v>
      </c>
      <c r="J6417">
        <v>0.12</v>
      </c>
      <c r="K6417">
        <v>1.01</v>
      </c>
      <c r="L6417">
        <v>1</v>
      </c>
      <c r="M6417">
        <v>1.35</v>
      </c>
      <c r="N6417">
        <v>8.4000000000000005E-2</v>
      </c>
    </row>
    <row r="6418" spans="1:14" x14ac:dyDescent="0.25">
      <c r="A6418" t="s">
        <v>11520</v>
      </c>
      <c r="B6418" t="s">
        <v>9910</v>
      </c>
      <c r="C6418" s="1" t="str">
        <f>HYPERLINK("http://www.genecards.org/cgi-bin/carddisp.pl?gene=RBM25","GeneCards")</f>
        <v>GeneCards</v>
      </c>
      <c r="D6418" s="1" t="str">
        <f>HYPERLINK("http://genome-euro.ucsc.edu/cgi-bin/hgTracks?position=212027_at","UCSC")</f>
        <v>UCSC</v>
      </c>
      <c r="E6418" s="1" t="str">
        <f>HYPERLINK("http://www.ncbi.nlm.nih.gov/gene/?term=RBM25","NCBI")</f>
        <v>NCBI</v>
      </c>
      <c r="F6418">
        <v>7.4999999999999997E-2</v>
      </c>
      <c r="G6418">
        <v>0.2</v>
      </c>
      <c r="H6418" s="1" t="str">
        <f>HYPERLINK("http://www.weizmann.ac.il/complex/compphys/software/geview/data/figures/212027_at.png","Figure")</f>
        <v>Figure</v>
      </c>
      <c r="I6418">
        <v>0.95199999999999996</v>
      </c>
      <c r="J6418">
        <v>0.98</v>
      </c>
      <c r="K6418">
        <v>0.62</v>
      </c>
      <c r="L6418">
        <v>9.6000000000000002E-2</v>
      </c>
      <c r="M6418">
        <v>0.65100000000000002</v>
      </c>
      <c r="N6418">
        <v>0.18</v>
      </c>
    </row>
    <row r="6419" spans="1:14" x14ac:dyDescent="0.25">
      <c r="A6419" t="s">
        <v>11521</v>
      </c>
      <c r="B6419" t="s">
        <v>6781</v>
      </c>
      <c r="C6419" s="1" t="str">
        <f>HYPERLINK("http://www.genecards.org/cgi-bin/carddisp.pl?gene=SENP6","GeneCards")</f>
        <v>GeneCards</v>
      </c>
      <c r="D6419" s="1" t="str">
        <f>HYPERLINK("http://genome-euro.ucsc.edu/cgi-bin/hgTracks?position=202318_s_at","UCSC")</f>
        <v>UCSC</v>
      </c>
      <c r="E6419" s="1" t="str">
        <f>HYPERLINK("http://www.ncbi.nlm.nih.gov/gene/?term=SENP6","NCBI")</f>
        <v>NCBI</v>
      </c>
      <c r="F6419">
        <v>7.4999999999999997E-2</v>
      </c>
      <c r="G6419">
        <v>0.2</v>
      </c>
      <c r="H6419" s="1" t="str">
        <f>HYPERLINK("http://www.weizmann.ac.il/complex/compphys/software/geview/data/figures/202318_s_at.png","Figure")</f>
        <v>Figure</v>
      </c>
      <c r="I6419">
        <v>0.55800000000000005</v>
      </c>
      <c r="J6419">
        <v>6.2E-2</v>
      </c>
      <c r="K6419">
        <v>0.79500000000000004</v>
      </c>
      <c r="L6419">
        <v>0.51</v>
      </c>
      <c r="M6419">
        <v>1.42</v>
      </c>
      <c r="N6419">
        <v>0.27</v>
      </c>
    </row>
    <row r="6420" spans="1:14" x14ac:dyDescent="0.25">
      <c r="A6420" t="s">
        <v>11522</v>
      </c>
      <c r="B6420" t="s">
        <v>6297</v>
      </c>
      <c r="C6420" s="1" t="str">
        <f>HYPERLINK("http://www.genecards.org/cgi-bin/carddisp.pl?gene=TBC1D9B","GeneCards")</f>
        <v>GeneCards</v>
      </c>
      <c r="D6420" s="1" t="str">
        <f>HYPERLINK("http://genome-euro.ucsc.edu/cgi-bin/hgTracks?position=206431_x_at","UCSC")</f>
        <v>UCSC</v>
      </c>
      <c r="E6420" s="1" t="str">
        <f>HYPERLINK("http://www.ncbi.nlm.nih.gov/gene/?term=TBC1D9B","NCBI")</f>
        <v>NCBI</v>
      </c>
      <c r="F6420">
        <v>7.4999999999999997E-2</v>
      </c>
      <c r="G6420">
        <v>0.2</v>
      </c>
      <c r="H6420" s="1" t="str">
        <f>HYPERLINK("http://www.weizmann.ac.il/complex/compphys/software/geview/data/figures/206431_x_at.png","Figure")</f>
        <v>Figure</v>
      </c>
      <c r="I6420">
        <v>1.33</v>
      </c>
      <c r="J6420">
        <v>7.9000000000000001E-2</v>
      </c>
      <c r="K6420">
        <v>1.22</v>
      </c>
      <c r="L6420">
        <v>0.17</v>
      </c>
      <c r="M6420">
        <v>0.91800000000000004</v>
      </c>
      <c r="N6420">
        <v>0.73</v>
      </c>
    </row>
    <row r="6421" spans="1:14" x14ac:dyDescent="0.25">
      <c r="A6421" t="s">
        <v>11523</v>
      </c>
      <c r="B6421" t="s">
        <v>11524</v>
      </c>
      <c r="C6421" s="1" t="str">
        <f>HYPERLINK("http://www.genecards.org/cgi-bin/carddisp.pl?gene=ALMS1","GeneCards")</f>
        <v>GeneCards</v>
      </c>
      <c r="D6421" s="1" t="str">
        <f>HYPERLINK("http://genome-euro.ucsc.edu/cgi-bin/hgTracks?position=214707_x_at","UCSC")</f>
        <v>UCSC</v>
      </c>
      <c r="E6421" s="1" t="str">
        <f>HYPERLINK("http://www.ncbi.nlm.nih.gov/gene/?term=ALMS1","NCBI")</f>
        <v>NCBI</v>
      </c>
      <c r="F6421">
        <v>7.4999999999999997E-2</v>
      </c>
      <c r="G6421">
        <v>0.2</v>
      </c>
      <c r="H6421" s="1" t="str">
        <f>HYPERLINK("http://www.weizmann.ac.il/complex/compphys/software/geview/data/figures/214707_x_at.png","Figure")</f>
        <v>Figure</v>
      </c>
      <c r="I6421">
        <v>1.41</v>
      </c>
      <c r="J6421">
        <v>0.15</v>
      </c>
      <c r="K6421">
        <v>0.95599999999999996</v>
      </c>
      <c r="L6421">
        <v>0.95</v>
      </c>
      <c r="M6421">
        <v>0.67700000000000005</v>
      </c>
      <c r="N6421">
        <v>7.3999999999999996E-2</v>
      </c>
    </row>
    <row r="6422" spans="1:14" x14ac:dyDescent="0.25">
      <c r="A6422" t="s">
        <v>11525</v>
      </c>
      <c r="B6422" t="s">
        <v>11526</v>
      </c>
      <c r="C6422" s="1" t="str">
        <f>HYPERLINK("http://www.genecards.org/cgi-bin/carddisp.pl?gene=ZBTB5","GeneCards")</f>
        <v>GeneCards</v>
      </c>
      <c r="D6422" s="1" t="str">
        <f>HYPERLINK("http://genome-euro.ucsc.edu/cgi-bin/hgTracks?position=203026_at","UCSC")</f>
        <v>UCSC</v>
      </c>
      <c r="E6422" s="1" t="str">
        <f>HYPERLINK("http://www.ncbi.nlm.nih.gov/gene/?term=ZBTB5","NCBI")</f>
        <v>NCBI</v>
      </c>
      <c r="F6422">
        <v>7.4999999999999997E-2</v>
      </c>
      <c r="G6422">
        <v>0.2</v>
      </c>
      <c r="H6422" s="1" t="str">
        <f>HYPERLINK("http://www.weizmann.ac.il/complex/compphys/software/geview/data/figures/203026_at.png","Figure")</f>
        <v>Figure</v>
      </c>
      <c r="I6422">
        <v>0.78400000000000003</v>
      </c>
      <c r="J6422">
        <v>0.32</v>
      </c>
      <c r="K6422">
        <v>0.70299999999999996</v>
      </c>
      <c r="L6422">
        <v>6.3E-2</v>
      </c>
      <c r="M6422">
        <v>0.89700000000000002</v>
      </c>
      <c r="N6422">
        <v>0.75</v>
      </c>
    </row>
    <row r="6423" spans="1:14" x14ac:dyDescent="0.25">
      <c r="A6423" t="s">
        <v>11527</v>
      </c>
      <c r="B6423" t="s">
        <v>9116</v>
      </c>
      <c r="C6423" s="1" t="str">
        <f>HYPERLINK("http://www.genecards.org/cgi-bin/carddisp.pl?gene=PTAFR","GeneCards")</f>
        <v>GeneCards</v>
      </c>
      <c r="D6423" s="1" t="str">
        <f>HYPERLINK("http://genome-euro.ucsc.edu/cgi-bin/hgTracks?position=211661_x_at","UCSC")</f>
        <v>UCSC</v>
      </c>
      <c r="E6423" s="1" t="str">
        <f>HYPERLINK("http://www.ncbi.nlm.nih.gov/gene/?term=PTAFR","NCBI")</f>
        <v>NCBI</v>
      </c>
      <c r="F6423">
        <v>7.4999999999999997E-2</v>
      </c>
      <c r="G6423">
        <v>0.2</v>
      </c>
      <c r="H6423" s="1" t="str">
        <f>HYPERLINK("http://www.weizmann.ac.il/complex/compphys/software/geview/data/figures/211661_x_at.png","Figure")</f>
        <v>Figure</v>
      </c>
      <c r="I6423">
        <v>1.17</v>
      </c>
      <c r="J6423">
        <v>0.25</v>
      </c>
      <c r="K6423">
        <v>0.94</v>
      </c>
      <c r="L6423">
        <v>0.73</v>
      </c>
      <c r="M6423">
        <v>0.80300000000000005</v>
      </c>
      <c r="N6423">
        <v>6.3E-2</v>
      </c>
    </row>
    <row r="6424" spans="1:14" x14ac:dyDescent="0.25">
      <c r="A6424" t="s">
        <v>11528</v>
      </c>
      <c r="B6424" t="s">
        <v>11529</v>
      </c>
      <c r="C6424" s="1" t="str">
        <f>HYPERLINK("http://www.genecards.org/cgi-bin/carddisp.pl?gene=TMEM92","GeneCards")</f>
        <v>GeneCards</v>
      </c>
      <c r="D6424" s="1" t="str">
        <f>HYPERLINK("http://genome-euro.ucsc.edu/cgi-bin/hgTracks?position=216791_at","UCSC")</f>
        <v>UCSC</v>
      </c>
      <c r="E6424" s="1" t="str">
        <f>HYPERLINK("http://www.ncbi.nlm.nih.gov/gene/?term=TMEM92","NCBI")</f>
        <v>NCBI</v>
      </c>
      <c r="F6424">
        <v>7.4999999999999997E-2</v>
      </c>
      <c r="G6424">
        <v>0.2</v>
      </c>
      <c r="H6424" s="1" t="str">
        <f>HYPERLINK("http://www.weizmann.ac.il/complex/compphys/software/geview/data/figures/216791_at.png","Figure")</f>
        <v>Figure</v>
      </c>
      <c r="I6424">
        <v>1.43</v>
      </c>
      <c r="J6424">
        <v>6.2E-2</v>
      </c>
      <c r="K6424">
        <v>1.19</v>
      </c>
      <c r="L6424">
        <v>0.37</v>
      </c>
      <c r="M6424">
        <v>0.83099999999999996</v>
      </c>
      <c r="N6424">
        <v>0.38</v>
      </c>
    </row>
    <row r="6425" spans="1:14" x14ac:dyDescent="0.25">
      <c r="A6425" t="s">
        <v>11530</v>
      </c>
      <c r="B6425" t="s">
        <v>10185</v>
      </c>
      <c r="C6425" s="1" t="str">
        <f>HYPERLINK("http://www.genecards.org/cgi-bin/carddisp.pl?gene=KIAA0101","GeneCards")</f>
        <v>GeneCards</v>
      </c>
      <c r="D6425" s="1" t="str">
        <f>HYPERLINK("http://genome-euro.ucsc.edu/cgi-bin/hgTracks?position=202503_s_at","UCSC")</f>
        <v>UCSC</v>
      </c>
      <c r="E6425" s="1" t="str">
        <f>HYPERLINK("http://www.ncbi.nlm.nih.gov/gene/?term=KIAA0101","NCBI")</f>
        <v>NCBI</v>
      </c>
      <c r="F6425">
        <v>7.4999999999999997E-2</v>
      </c>
      <c r="G6425">
        <v>0.2</v>
      </c>
      <c r="H6425" s="1" t="str">
        <f>HYPERLINK("http://www.weizmann.ac.il/complex/compphys/software/geview/data/figures/202503_s_at.png","Figure")</f>
        <v>Figure</v>
      </c>
      <c r="I6425">
        <v>1.01</v>
      </c>
      <c r="J6425">
        <v>1</v>
      </c>
      <c r="K6425">
        <v>1.46</v>
      </c>
      <c r="L6425">
        <v>0.11</v>
      </c>
      <c r="M6425">
        <v>1.44</v>
      </c>
      <c r="N6425">
        <v>0.15</v>
      </c>
    </row>
    <row r="6426" spans="1:14" x14ac:dyDescent="0.25">
      <c r="A6426" t="s">
        <v>11531</v>
      </c>
      <c r="B6426" t="s">
        <v>11532</v>
      </c>
      <c r="C6426" s="1" t="str">
        <f>HYPERLINK("http://www.genecards.org/cgi-bin/carddisp.pl?gene=HAAO","GeneCards")</f>
        <v>GeneCards</v>
      </c>
      <c r="D6426" s="1" t="str">
        <f>HYPERLINK("http://genome-euro.ucsc.edu/cgi-bin/hgTracks?position=205657_at","UCSC")</f>
        <v>UCSC</v>
      </c>
      <c r="E6426" s="1" t="str">
        <f>HYPERLINK("http://www.ncbi.nlm.nih.gov/gene/?term=HAAO","NCBI")</f>
        <v>NCBI</v>
      </c>
      <c r="F6426">
        <v>7.4999999999999997E-2</v>
      </c>
      <c r="G6426">
        <v>0.2</v>
      </c>
      <c r="H6426" s="1" t="str">
        <f>HYPERLINK("http://www.weizmann.ac.il/complex/compphys/software/geview/data/figures/205657_at.png","Figure")</f>
        <v>Figure</v>
      </c>
      <c r="I6426">
        <v>1.21</v>
      </c>
      <c r="J6426">
        <v>6.4000000000000001E-2</v>
      </c>
      <c r="K6426">
        <v>1.1100000000000001</v>
      </c>
      <c r="L6426">
        <v>0.31</v>
      </c>
      <c r="M6426">
        <v>0.91400000000000003</v>
      </c>
      <c r="N6426">
        <v>0.44</v>
      </c>
    </row>
    <row r="6427" spans="1:14" x14ac:dyDescent="0.25">
      <c r="A6427" t="s">
        <v>11533</v>
      </c>
      <c r="B6427" t="s">
        <v>1977</v>
      </c>
      <c r="C6427" s="1" t="str">
        <f>HYPERLINK("http://www.genecards.org/cgi-bin/carddisp.pl?gene=SPTLC2","GeneCards")</f>
        <v>GeneCards</v>
      </c>
      <c r="D6427" s="1" t="str">
        <f>HYPERLINK("http://genome-euro.ucsc.edu/cgi-bin/hgTracks?position=216202_s_at","UCSC")</f>
        <v>UCSC</v>
      </c>
      <c r="E6427" s="1" t="str">
        <f>HYPERLINK("http://www.ncbi.nlm.nih.gov/gene/?term=SPTLC2","NCBI")</f>
        <v>NCBI</v>
      </c>
      <c r="F6427">
        <v>7.4999999999999997E-2</v>
      </c>
      <c r="G6427">
        <v>0.2</v>
      </c>
      <c r="H6427" s="1" t="str">
        <f>HYPERLINK("http://www.weizmann.ac.il/complex/compphys/software/geview/data/figures/216202_s_at.png","Figure")</f>
        <v>Figure</v>
      </c>
      <c r="I6427">
        <v>0.55300000000000005</v>
      </c>
      <c r="J6427">
        <v>7.2999999999999995E-2</v>
      </c>
      <c r="K6427">
        <v>0.86799999999999999</v>
      </c>
      <c r="L6427">
        <v>0.79</v>
      </c>
      <c r="M6427">
        <v>1.57</v>
      </c>
      <c r="N6427">
        <v>0.16</v>
      </c>
    </row>
    <row r="6428" spans="1:14" x14ac:dyDescent="0.25">
      <c r="A6428" t="s">
        <v>11534</v>
      </c>
      <c r="B6428" t="s">
        <v>11535</v>
      </c>
      <c r="C6428" s="1" t="str">
        <f>HYPERLINK("http://www.genecards.org/cgi-bin/carddisp.pl?gene=C14orf133","GeneCards")</f>
        <v>GeneCards</v>
      </c>
      <c r="D6428" s="1" t="str">
        <f>HYPERLINK("http://genome-euro.ucsc.edu/cgi-bin/hgTracks?position=218431_at","UCSC")</f>
        <v>UCSC</v>
      </c>
      <c r="E6428" s="1" t="str">
        <f>HYPERLINK("http://www.ncbi.nlm.nih.gov/gene/?term=C14orf133","NCBI")</f>
        <v>NCBI</v>
      </c>
      <c r="F6428">
        <v>7.4999999999999997E-2</v>
      </c>
      <c r="G6428">
        <v>0.2</v>
      </c>
      <c r="H6428" s="1" t="str">
        <f>HYPERLINK("http://www.weizmann.ac.il/complex/compphys/software/geview/data/figures/218431_at.png","Figure")</f>
        <v>Figure</v>
      </c>
      <c r="I6428">
        <v>0.69399999999999995</v>
      </c>
      <c r="J6428">
        <v>0.13</v>
      </c>
      <c r="K6428">
        <v>1.02</v>
      </c>
      <c r="L6428">
        <v>0.99</v>
      </c>
      <c r="M6428">
        <v>1.46</v>
      </c>
      <c r="N6428">
        <v>8.2000000000000003E-2</v>
      </c>
    </row>
    <row r="6429" spans="1:14" x14ac:dyDescent="0.25">
      <c r="A6429" t="s">
        <v>11536</v>
      </c>
      <c r="B6429" t="s">
        <v>11537</v>
      </c>
      <c r="C6429" s="1" t="str">
        <f>HYPERLINK("http://www.genecards.org/cgi-bin/carddisp.pl?gene=FKTN","GeneCards")</f>
        <v>GeneCards</v>
      </c>
      <c r="D6429" s="1" t="str">
        <f>HYPERLINK("http://genome-euro.ucsc.edu/cgi-bin/hgTracks?position=205283_at","UCSC")</f>
        <v>UCSC</v>
      </c>
      <c r="E6429" s="1" t="str">
        <f>HYPERLINK("http://www.ncbi.nlm.nih.gov/gene/?term=FKTN","NCBI")</f>
        <v>NCBI</v>
      </c>
      <c r="F6429">
        <v>7.4999999999999997E-2</v>
      </c>
      <c r="G6429">
        <v>0.2</v>
      </c>
      <c r="H6429" s="1" t="str">
        <f>HYPERLINK("http://www.weizmann.ac.il/complex/compphys/software/geview/data/figures/205283_at.png","Figure")</f>
        <v>Figure</v>
      </c>
      <c r="I6429">
        <v>0.71399999999999997</v>
      </c>
      <c r="J6429">
        <v>0.16</v>
      </c>
      <c r="K6429">
        <v>1.06</v>
      </c>
      <c r="L6429">
        <v>0.93</v>
      </c>
      <c r="M6429">
        <v>1.48</v>
      </c>
      <c r="N6429">
        <v>7.1999999999999995E-2</v>
      </c>
    </row>
    <row r="6430" spans="1:14" x14ac:dyDescent="0.25">
      <c r="A6430" t="s">
        <v>11538</v>
      </c>
      <c r="B6430" t="s">
        <v>11539</v>
      </c>
      <c r="C6430" s="1" t="str">
        <f>HYPERLINK("http://www.genecards.org/cgi-bin/carddisp.pl?gene=ECEL1","GeneCards")</f>
        <v>GeneCards</v>
      </c>
      <c r="D6430" s="1" t="str">
        <f>HYPERLINK("http://genome-euro.ucsc.edu/cgi-bin/hgTracks?position=219914_at","UCSC")</f>
        <v>UCSC</v>
      </c>
      <c r="E6430" s="1" t="str">
        <f>HYPERLINK("http://www.ncbi.nlm.nih.gov/gene/?term=ECEL1","NCBI")</f>
        <v>NCBI</v>
      </c>
      <c r="F6430">
        <v>7.4999999999999997E-2</v>
      </c>
      <c r="G6430">
        <v>0.2</v>
      </c>
      <c r="H6430" s="1" t="str">
        <f>HYPERLINK("http://www.weizmann.ac.il/complex/compphys/software/geview/data/figures/219914_at.png","Figure")</f>
        <v>Figure</v>
      </c>
      <c r="I6430">
        <v>1.28</v>
      </c>
      <c r="J6430">
        <v>6.4000000000000001E-2</v>
      </c>
      <c r="K6430">
        <v>1.0900000000000001</v>
      </c>
      <c r="L6430">
        <v>0.59</v>
      </c>
      <c r="M6430">
        <v>0.85199999999999998</v>
      </c>
      <c r="N6430">
        <v>0.23</v>
      </c>
    </row>
    <row r="6431" spans="1:14" x14ac:dyDescent="0.25">
      <c r="A6431" t="s">
        <v>11540</v>
      </c>
      <c r="B6431" t="s">
        <v>4849</v>
      </c>
      <c r="C6431" s="1" t="str">
        <f>HYPERLINK("http://www.genecards.org/cgi-bin/carddisp.pl?gene=SLC30A5","GeneCards")</f>
        <v>GeneCards</v>
      </c>
      <c r="D6431" s="1" t="str">
        <f>HYPERLINK("http://genome-euro.ucsc.edu/cgi-bin/hgTracks?position=220181_x_at","UCSC")</f>
        <v>UCSC</v>
      </c>
      <c r="E6431" s="1" t="str">
        <f>HYPERLINK("http://www.ncbi.nlm.nih.gov/gene/?term=SLC30A5","NCBI")</f>
        <v>NCBI</v>
      </c>
      <c r="F6431">
        <v>7.4999999999999997E-2</v>
      </c>
      <c r="G6431">
        <v>0.2</v>
      </c>
      <c r="H6431" s="1" t="str">
        <f>HYPERLINK("http://www.weizmann.ac.il/complex/compphys/software/geview/data/figures/220181_x_at.png","Figure")</f>
        <v>Figure</v>
      </c>
      <c r="I6431">
        <v>1.27</v>
      </c>
      <c r="J6431">
        <v>6.2E-2</v>
      </c>
      <c r="K6431">
        <v>1.1000000000000001</v>
      </c>
      <c r="L6431">
        <v>0.47</v>
      </c>
      <c r="M6431">
        <v>0.871</v>
      </c>
      <c r="N6431">
        <v>0.28999999999999998</v>
      </c>
    </row>
    <row r="6432" spans="1:14" x14ac:dyDescent="0.25">
      <c r="A6432" t="s">
        <v>11541</v>
      </c>
      <c r="B6432" t="s">
        <v>11542</v>
      </c>
      <c r="C6432" s="1" t="str">
        <f>HYPERLINK("http://www.genecards.org/cgi-bin/carddisp.pl?gene=MXD3","GeneCards")</f>
        <v>GeneCards</v>
      </c>
      <c r="D6432" s="1" t="str">
        <f>HYPERLINK("http://genome-euro.ucsc.edu/cgi-bin/hgTracks?position=221250_s_at","UCSC")</f>
        <v>UCSC</v>
      </c>
      <c r="E6432" s="1" t="str">
        <f>HYPERLINK("http://www.ncbi.nlm.nih.gov/gene/?term=MXD3","NCBI")</f>
        <v>NCBI</v>
      </c>
      <c r="F6432">
        <v>7.4999999999999997E-2</v>
      </c>
      <c r="G6432">
        <v>0.2</v>
      </c>
      <c r="H6432" s="1" t="str">
        <f>HYPERLINK("http://www.weizmann.ac.il/complex/compphys/software/geview/data/figures/221250_s_at.png","Figure")</f>
        <v>Figure</v>
      </c>
      <c r="I6432">
        <v>1.1599999999999999</v>
      </c>
      <c r="J6432">
        <v>0.63</v>
      </c>
      <c r="K6432">
        <v>1.41</v>
      </c>
      <c r="L6432">
        <v>6.5000000000000002E-2</v>
      </c>
      <c r="M6432">
        <v>1.22</v>
      </c>
      <c r="N6432">
        <v>0.4</v>
      </c>
    </row>
    <row r="6433" spans="1:14" x14ac:dyDescent="0.25">
      <c r="A6433" t="s">
        <v>11543</v>
      </c>
      <c r="B6433" t="s">
        <v>11544</v>
      </c>
      <c r="C6433" s="1" t="str">
        <f>HYPERLINK("http://www.genecards.org/cgi-bin/carddisp.pl?gene=MYL10","GeneCards")</f>
        <v>GeneCards</v>
      </c>
      <c r="D6433" s="1" t="str">
        <f>HYPERLINK("http://genome-euro.ucsc.edu/cgi-bin/hgTracks?position=221660_at","UCSC")</f>
        <v>UCSC</v>
      </c>
      <c r="E6433" s="1" t="str">
        <f>HYPERLINK("http://www.ncbi.nlm.nih.gov/gene/?term=MYL10","NCBI")</f>
        <v>NCBI</v>
      </c>
      <c r="F6433">
        <v>7.4999999999999997E-2</v>
      </c>
      <c r="G6433">
        <v>0.2</v>
      </c>
      <c r="H6433" s="1" t="str">
        <f>HYPERLINK("http://www.weizmann.ac.il/complex/compphys/software/geview/data/figures/221660_at.png","Figure")</f>
        <v>Figure</v>
      </c>
      <c r="I6433">
        <v>1.52</v>
      </c>
      <c r="J6433">
        <v>6.6000000000000003E-2</v>
      </c>
      <c r="K6433">
        <v>1.27</v>
      </c>
      <c r="L6433">
        <v>0.27</v>
      </c>
      <c r="M6433">
        <v>0.83399999999999996</v>
      </c>
      <c r="N6433">
        <v>0.5</v>
      </c>
    </row>
    <row r="6434" spans="1:14" x14ac:dyDescent="0.25">
      <c r="A6434" t="s">
        <v>11545</v>
      </c>
      <c r="B6434" t="s">
        <v>11546</v>
      </c>
      <c r="C6434" s="1" t="str">
        <f>HYPERLINK("http://www.genecards.org/cgi-bin/carddisp.pl?gene=KIF18B","GeneCards")</f>
        <v>GeneCards</v>
      </c>
      <c r="D6434" s="1" t="str">
        <f>HYPERLINK("http://genome-euro.ucsc.edu/cgi-bin/hgTracks?position=222039_at","UCSC")</f>
        <v>UCSC</v>
      </c>
      <c r="E6434" s="1" t="str">
        <f>HYPERLINK("http://www.ncbi.nlm.nih.gov/gene/?term=KIF18B","NCBI")</f>
        <v>NCBI</v>
      </c>
      <c r="F6434">
        <v>7.4999999999999997E-2</v>
      </c>
      <c r="G6434">
        <v>0.2</v>
      </c>
      <c r="H6434" s="1" t="str">
        <f>HYPERLINK("http://www.weizmann.ac.il/complex/compphys/software/geview/data/figures/222039_at.png","Figure")</f>
        <v>Figure</v>
      </c>
      <c r="I6434">
        <v>1.01</v>
      </c>
      <c r="J6434">
        <v>1</v>
      </c>
      <c r="K6434">
        <v>1.37</v>
      </c>
      <c r="L6434">
        <v>0.11</v>
      </c>
      <c r="M6434">
        <v>1.36</v>
      </c>
      <c r="N6434">
        <v>0.15</v>
      </c>
    </row>
    <row r="6435" spans="1:14" x14ac:dyDescent="0.25">
      <c r="A6435" t="s">
        <v>11547</v>
      </c>
      <c r="B6435" t="s">
        <v>11548</v>
      </c>
      <c r="C6435" s="1" t="str">
        <f>HYPERLINK("http://www.genecards.org/cgi-bin/carddisp.pl?gene=SCNN1A","GeneCards")</f>
        <v>GeneCards</v>
      </c>
      <c r="D6435" s="1" t="str">
        <f>HYPERLINK("http://genome-euro.ucsc.edu/cgi-bin/hgTracks?position=217264_s_at","UCSC")</f>
        <v>UCSC</v>
      </c>
      <c r="E6435" s="1" t="str">
        <f>HYPERLINK("http://www.ncbi.nlm.nih.gov/gene/?term=SCNN1A","NCBI")</f>
        <v>NCBI</v>
      </c>
      <c r="F6435">
        <v>7.4999999999999997E-2</v>
      </c>
      <c r="G6435">
        <v>0.2</v>
      </c>
      <c r="H6435" s="1" t="str">
        <f>HYPERLINK("http://www.weizmann.ac.il/complex/compphys/software/geview/data/figures/217264_s_at.png","Figure")</f>
        <v>Figure</v>
      </c>
      <c r="I6435">
        <v>1.28</v>
      </c>
      <c r="J6435">
        <v>6.2E-2</v>
      </c>
      <c r="K6435">
        <v>1.1200000000000001</v>
      </c>
      <c r="L6435">
        <v>0.43</v>
      </c>
      <c r="M6435">
        <v>0.872</v>
      </c>
      <c r="N6435">
        <v>0.33</v>
      </c>
    </row>
    <row r="6436" spans="1:14" x14ac:dyDescent="0.25">
      <c r="A6436" t="s">
        <v>11549</v>
      </c>
      <c r="B6436" t="s">
        <v>11550</v>
      </c>
      <c r="C6436" s="1" t="str">
        <f>HYPERLINK("http://www.genecards.org/cgi-bin/carddisp.pl?gene=AGK","GeneCards")</f>
        <v>GeneCards</v>
      </c>
      <c r="D6436" s="1" t="str">
        <f>HYPERLINK("http://genome-euro.ucsc.edu/cgi-bin/hgTracks?position=218568_at","UCSC")</f>
        <v>UCSC</v>
      </c>
      <c r="E6436" s="1" t="str">
        <f>HYPERLINK("http://www.ncbi.nlm.nih.gov/gene/?term=AGK","NCBI")</f>
        <v>NCBI</v>
      </c>
      <c r="F6436">
        <v>7.4999999999999997E-2</v>
      </c>
      <c r="G6436">
        <v>0.2</v>
      </c>
      <c r="H6436" s="1" t="str">
        <f>HYPERLINK("http://www.weizmann.ac.il/complex/compphys/software/geview/data/figures/218568_at.png","Figure")</f>
        <v>Figure</v>
      </c>
      <c r="I6436">
        <v>0.66800000000000004</v>
      </c>
      <c r="J6436">
        <v>0.1</v>
      </c>
      <c r="K6436">
        <v>0.98099999999999998</v>
      </c>
      <c r="L6436">
        <v>0.99</v>
      </c>
      <c r="M6436">
        <v>1.47</v>
      </c>
      <c r="N6436">
        <v>9.6000000000000002E-2</v>
      </c>
    </row>
    <row r="6437" spans="1:14" x14ac:dyDescent="0.25">
      <c r="A6437" t="s">
        <v>11551</v>
      </c>
      <c r="B6437" t="s">
        <v>11552</v>
      </c>
      <c r="C6437" s="1" t="str">
        <f>HYPERLINK("http://www.genecards.org/cgi-bin/carddisp.pl?gene=DYRK3","GeneCards")</f>
        <v>GeneCards</v>
      </c>
      <c r="D6437" s="1" t="str">
        <f>HYPERLINK("http://genome-euro.ucsc.edu/cgi-bin/hgTracks?position=210151_s_at","UCSC")</f>
        <v>UCSC</v>
      </c>
      <c r="E6437" s="1" t="str">
        <f>HYPERLINK("http://www.ncbi.nlm.nih.gov/gene/?term=DYRK3","NCBI")</f>
        <v>NCBI</v>
      </c>
      <c r="F6437">
        <v>7.4999999999999997E-2</v>
      </c>
      <c r="G6437">
        <v>0.2</v>
      </c>
      <c r="H6437" s="1" t="str">
        <f>HYPERLINK("http://www.weizmann.ac.il/complex/compphys/software/geview/data/figures/210151_s_at.png","Figure")</f>
        <v>Figure</v>
      </c>
      <c r="I6437">
        <v>1.18</v>
      </c>
      <c r="J6437">
        <v>0.51</v>
      </c>
      <c r="K6437">
        <v>0.84199999999999997</v>
      </c>
      <c r="L6437">
        <v>0.39</v>
      </c>
      <c r="M6437">
        <v>0.71499999999999997</v>
      </c>
      <c r="N6437">
        <v>6.6000000000000003E-2</v>
      </c>
    </row>
    <row r="6438" spans="1:14" x14ac:dyDescent="0.25">
      <c r="A6438" t="s">
        <v>11553</v>
      </c>
      <c r="B6438" t="s">
        <v>8868</v>
      </c>
      <c r="C6438" s="1" t="str">
        <f>HYPERLINK("http://www.genecards.org/cgi-bin/carddisp.pl?gene=SMCHD1","GeneCards")</f>
        <v>GeneCards</v>
      </c>
      <c r="D6438" s="1" t="str">
        <f>HYPERLINK("http://genome-euro.ucsc.edu/cgi-bin/hgTracks?position=212569_at","UCSC")</f>
        <v>UCSC</v>
      </c>
      <c r="E6438" s="1" t="str">
        <f>HYPERLINK("http://www.ncbi.nlm.nih.gov/gene/?term=SMCHD1","NCBI")</f>
        <v>NCBI</v>
      </c>
      <c r="F6438">
        <v>7.4999999999999997E-2</v>
      </c>
      <c r="G6438">
        <v>0.2</v>
      </c>
      <c r="H6438" s="1" t="str">
        <f>HYPERLINK("http://www.weizmann.ac.il/complex/compphys/software/geview/data/figures/212569_at.png","Figure")</f>
        <v>Figure</v>
      </c>
      <c r="I6438">
        <v>0.55300000000000005</v>
      </c>
      <c r="J6438">
        <v>0.17</v>
      </c>
      <c r="K6438">
        <v>0.53300000000000003</v>
      </c>
      <c r="L6438">
        <v>8.1000000000000003E-2</v>
      </c>
      <c r="M6438">
        <v>0.96399999999999997</v>
      </c>
      <c r="N6438">
        <v>0.99</v>
      </c>
    </row>
    <row r="6439" spans="1:14" x14ac:dyDescent="0.25">
      <c r="A6439" t="s">
        <v>11554</v>
      </c>
      <c r="B6439" t="s">
        <v>11555</v>
      </c>
      <c r="C6439" s="1" t="str">
        <f>HYPERLINK("http://www.genecards.org/cgi-bin/carddisp.pl?gene=BGN","GeneCards")</f>
        <v>GeneCards</v>
      </c>
      <c r="D6439" s="1" t="str">
        <f>HYPERLINK("http://genome-euro.ucsc.edu/cgi-bin/hgTracks?position=213905_x_at","UCSC")</f>
        <v>UCSC</v>
      </c>
      <c r="E6439" s="1" t="str">
        <f>HYPERLINK("http://www.ncbi.nlm.nih.gov/gene/?term=BGN","NCBI")</f>
        <v>NCBI</v>
      </c>
      <c r="F6439">
        <v>7.4999999999999997E-2</v>
      </c>
      <c r="G6439">
        <v>0.2</v>
      </c>
      <c r="H6439" s="1" t="str">
        <f>HYPERLINK("http://www.weizmann.ac.il/complex/compphys/software/geview/data/figures/213905_x_at.png","Figure")</f>
        <v>Figure</v>
      </c>
      <c r="I6439">
        <v>1.18</v>
      </c>
      <c r="J6439">
        <v>8.5999999999999993E-2</v>
      </c>
      <c r="K6439">
        <v>1.02</v>
      </c>
      <c r="L6439">
        <v>0.92</v>
      </c>
      <c r="M6439">
        <v>0.86599999999999999</v>
      </c>
      <c r="N6439">
        <v>0.12</v>
      </c>
    </row>
    <row r="6440" spans="1:14" x14ac:dyDescent="0.25">
      <c r="A6440" t="s">
        <v>11556</v>
      </c>
      <c r="B6440" t="s">
        <v>8677</v>
      </c>
      <c r="C6440" s="1" t="str">
        <f>HYPERLINK("http://www.genecards.org/cgi-bin/carddisp.pl?gene=ZNF419","GeneCards")</f>
        <v>GeneCards</v>
      </c>
      <c r="D6440" s="1" t="str">
        <f>HYPERLINK("http://genome-euro.ucsc.edu/cgi-bin/hgTracks?position=219826_at","UCSC")</f>
        <v>UCSC</v>
      </c>
      <c r="E6440" s="1" t="str">
        <f>HYPERLINK("http://www.ncbi.nlm.nih.gov/gene/?term=ZNF419","NCBI")</f>
        <v>NCBI</v>
      </c>
      <c r="F6440">
        <v>7.4999999999999997E-2</v>
      </c>
      <c r="G6440">
        <v>0.2</v>
      </c>
      <c r="H6440" s="1" t="str">
        <f>HYPERLINK("http://www.weizmann.ac.il/complex/compphys/software/geview/data/figures/219826_at.png","Figure")</f>
        <v>Figure</v>
      </c>
      <c r="I6440">
        <v>0.75900000000000001</v>
      </c>
      <c r="J6440">
        <v>0.28000000000000003</v>
      </c>
      <c r="K6440">
        <v>0.68700000000000006</v>
      </c>
      <c r="L6440">
        <v>6.5000000000000002E-2</v>
      </c>
      <c r="M6440">
        <v>0.90400000000000003</v>
      </c>
      <c r="N6440">
        <v>0.81</v>
      </c>
    </row>
    <row r="6441" spans="1:14" x14ac:dyDescent="0.25">
      <c r="A6441" t="s">
        <v>11557</v>
      </c>
      <c r="B6441" t="s">
        <v>11558</v>
      </c>
      <c r="C6441" s="1" t="str">
        <f>HYPERLINK("http://www.genecards.org/cgi-bin/carddisp.pl?gene=FPR1","GeneCards")</f>
        <v>GeneCards</v>
      </c>
      <c r="D6441" s="1" t="str">
        <f>HYPERLINK("http://genome-euro.ucsc.edu/cgi-bin/hgTracks?position=205119_s_at","UCSC")</f>
        <v>UCSC</v>
      </c>
      <c r="E6441" s="1" t="str">
        <f>HYPERLINK("http://www.ncbi.nlm.nih.gov/gene/?term=FPR1","NCBI")</f>
        <v>NCBI</v>
      </c>
      <c r="F6441">
        <v>7.4999999999999997E-2</v>
      </c>
      <c r="G6441">
        <v>0.2</v>
      </c>
      <c r="H6441" s="1" t="str">
        <f>HYPERLINK("http://www.weizmann.ac.il/complex/compphys/software/geview/data/figures/205119_s_at.png","Figure")</f>
        <v>Figure</v>
      </c>
      <c r="I6441">
        <v>1.23</v>
      </c>
      <c r="J6441">
        <v>0.16</v>
      </c>
      <c r="K6441">
        <v>0.96599999999999997</v>
      </c>
      <c r="L6441">
        <v>0.92</v>
      </c>
      <c r="M6441">
        <v>0.78700000000000003</v>
      </c>
      <c r="N6441">
        <v>7.0999999999999994E-2</v>
      </c>
    </row>
    <row r="6442" spans="1:14" x14ac:dyDescent="0.25">
      <c r="A6442" t="s">
        <v>11559</v>
      </c>
      <c r="B6442" t="s">
        <v>1479</v>
      </c>
      <c r="C6442" s="1" t="str">
        <f>HYPERLINK("http://www.genecards.org/cgi-bin/carddisp.pl?gene=MED6","GeneCards")</f>
        <v>GeneCards</v>
      </c>
      <c r="D6442" s="1" t="str">
        <f>HYPERLINK("http://genome-euro.ucsc.edu/cgi-bin/hgTracks?position=210104_at","UCSC")</f>
        <v>UCSC</v>
      </c>
      <c r="E6442" s="1" t="str">
        <f>HYPERLINK("http://www.ncbi.nlm.nih.gov/gene/?term=MED6","NCBI")</f>
        <v>NCBI</v>
      </c>
      <c r="F6442">
        <v>7.4999999999999997E-2</v>
      </c>
      <c r="G6442">
        <v>0.2</v>
      </c>
      <c r="H6442" s="1" t="str">
        <f>HYPERLINK("http://www.weizmann.ac.il/complex/compphys/software/geview/data/figures/210104_at.png","Figure")</f>
        <v>Figure</v>
      </c>
      <c r="I6442">
        <v>0.85599999999999998</v>
      </c>
      <c r="J6442">
        <v>0.69</v>
      </c>
      <c r="K6442">
        <v>0.67</v>
      </c>
      <c r="L6442">
        <v>6.8000000000000005E-2</v>
      </c>
      <c r="M6442">
        <v>0.78300000000000003</v>
      </c>
      <c r="N6442">
        <v>0.36</v>
      </c>
    </row>
    <row r="6443" spans="1:14" x14ac:dyDescent="0.25">
      <c r="A6443" t="s">
        <v>11560</v>
      </c>
      <c r="B6443" t="s">
        <v>11561</v>
      </c>
      <c r="C6443" s="1" t="str">
        <f>HYPERLINK("http://www.genecards.org/cgi-bin/carddisp.pl?gene=ADORA3","GeneCards")</f>
        <v>GeneCards</v>
      </c>
      <c r="D6443" s="1" t="str">
        <f>HYPERLINK("http://genome-euro.ucsc.edu/cgi-bin/hgTracks?position=206171_at","UCSC")</f>
        <v>UCSC</v>
      </c>
      <c r="E6443" s="1" t="str">
        <f>HYPERLINK("http://www.ncbi.nlm.nih.gov/gene/?term=ADORA3","NCBI")</f>
        <v>NCBI</v>
      </c>
      <c r="F6443">
        <v>7.4999999999999997E-2</v>
      </c>
      <c r="G6443">
        <v>0.2</v>
      </c>
      <c r="H6443" s="1" t="str">
        <f>HYPERLINK("http://www.weizmann.ac.il/complex/compphys/software/geview/data/figures/206171_at.png","Figure")</f>
        <v>Figure</v>
      </c>
      <c r="I6443">
        <v>1.1299999999999999</v>
      </c>
      <c r="J6443">
        <v>0.39</v>
      </c>
      <c r="K6443">
        <v>0.91700000000000004</v>
      </c>
      <c r="L6443">
        <v>0.51</v>
      </c>
      <c r="M6443">
        <v>0.81499999999999995</v>
      </c>
      <c r="N6443">
        <v>6.3E-2</v>
      </c>
    </row>
    <row r="6444" spans="1:14" x14ac:dyDescent="0.25">
      <c r="A6444" t="s">
        <v>11562</v>
      </c>
      <c r="B6444" t="s">
        <v>1409</v>
      </c>
      <c r="C6444" s="1" t="str">
        <f>HYPERLINK("http://www.genecards.org/cgi-bin/carddisp.pl?gene=MLH3","GeneCards")</f>
        <v>GeneCards</v>
      </c>
      <c r="D6444" s="1" t="str">
        <f>HYPERLINK("http://genome-euro.ucsc.edu/cgi-bin/hgTracks?position=204838_s_at","UCSC")</f>
        <v>UCSC</v>
      </c>
      <c r="E6444" s="1" t="str">
        <f>HYPERLINK("http://www.ncbi.nlm.nih.gov/gene/?term=MLH3","NCBI")</f>
        <v>NCBI</v>
      </c>
      <c r="F6444">
        <v>7.4999999999999997E-2</v>
      </c>
      <c r="G6444">
        <v>0.2</v>
      </c>
      <c r="H6444" s="1" t="str">
        <f>HYPERLINK("http://www.weizmann.ac.il/complex/compphys/software/geview/data/figures/204838_s_at.png","Figure")</f>
        <v>Figure</v>
      </c>
      <c r="I6444">
        <v>0.85099999999999998</v>
      </c>
      <c r="J6444">
        <v>0.3</v>
      </c>
      <c r="K6444">
        <v>1.0900000000000001</v>
      </c>
      <c r="L6444">
        <v>0.64</v>
      </c>
      <c r="M6444">
        <v>1.27</v>
      </c>
      <c r="N6444">
        <v>6.2E-2</v>
      </c>
    </row>
    <row r="6445" spans="1:14" x14ac:dyDescent="0.25">
      <c r="A6445" t="s">
        <v>11563</v>
      </c>
      <c r="B6445" t="s">
        <v>9823</v>
      </c>
      <c r="C6445" s="1" t="str">
        <f>HYPERLINK("http://www.genecards.org/cgi-bin/carddisp.pl?gene=DBI","GeneCards")</f>
        <v>GeneCards</v>
      </c>
      <c r="D6445" s="1" t="str">
        <f>HYPERLINK("http://genome-euro.ucsc.edu/cgi-bin/hgTracks?position=211070_x_at","UCSC")</f>
        <v>UCSC</v>
      </c>
      <c r="E6445" s="1" t="str">
        <f>HYPERLINK("http://www.ncbi.nlm.nih.gov/gene/?term=DBI","NCBI")</f>
        <v>NCBI</v>
      </c>
      <c r="F6445">
        <v>7.4999999999999997E-2</v>
      </c>
      <c r="G6445">
        <v>0.2</v>
      </c>
      <c r="H6445" s="1" t="str">
        <f>HYPERLINK("http://www.weizmann.ac.il/complex/compphys/software/geview/data/figures/211070_x_at.png","Figure")</f>
        <v>Figure</v>
      </c>
      <c r="I6445">
        <v>1.38</v>
      </c>
      <c r="J6445">
        <v>0.37</v>
      </c>
      <c r="K6445">
        <v>1.67</v>
      </c>
      <c r="L6445">
        <v>6.3E-2</v>
      </c>
      <c r="M6445">
        <v>1.2</v>
      </c>
      <c r="N6445">
        <v>0.68</v>
      </c>
    </row>
    <row r="6446" spans="1:14" x14ac:dyDescent="0.25">
      <c r="A6446" t="s">
        <v>11564</v>
      </c>
      <c r="B6446" t="s">
        <v>11565</v>
      </c>
      <c r="C6446" s="1" t="str">
        <f>HYPERLINK("http://www.genecards.org/cgi-bin/carddisp.pl?gene=MCHR1","GeneCards")</f>
        <v>GeneCards</v>
      </c>
      <c r="D6446" s="1" t="str">
        <f>HYPERLINK("http://genome-euro.ucsc.edu/cgi-bin/hgTracks?position=221354_s_at","UCSC")</f>
        <v>UCSC</v>
      </c>
      <c r="E6446" s="1" t="str">
        <f>HYPERLINK("http://www.ncbi.nlm.nih.gov/gene/?term=MCHR1","NCBI")</f>
        <v>NCBI</v>
      </c>
      <c r="F6446">
        <v>7.4999999999999997E-2</v>
      </c>
      <c r="G6446">
        <v>0.2</v>
      </c>
      <c r="H6446" s="1" t="str">
        <f>HYPERLINK("http://www.weizmann.ac.il/complex/compphys/software/geview/data/figures/221354_s_at.png","Figure")</f>
        <v>Figure</v>
      </c>
      <c r="I6446">
        <v>1.1100000000000001</v>
      </c>
      <c r="J6446">
        <v>0.15</v>
      </c>
      <c r="K6446">
        <v>0.98699999999999999</v>
      </c>
      <c r="L6446">
        <v>0.96</v>
      </c>
      <c r="M6446">
        <v>0.88600000000000001</v>
      </c>
      <c r="N6446">
        <v>7.4999999999999997E-2</v>
      </c>
    </row>
    <row r="6447" spans="1:14" x14ac:dyDescent="0.25">
      <c r="A6447" t="s">
        <v>11566</v>
      </c>
      <c r="B6447" t="s">
        <v>11567</v>
      </c>
      <c r="C6447" s="1" t="str">
        <f>HYPERLINK("http://www.genecards.org/cgi-bin/carddisp.pl?gene=GDF11","GeneCards")</f>
        <v>GeneCards</v>
      </c>
      <c r="D6447" s="1" t="str">
        <f>HYPERLINK("http://genome-euro.ucsc.edu/cgi-bin/hgTracks?position=216854_at","UCSC")</f>
        <v>UCSC</v>
      </c>
      <c r="E6447" s="1" t="str">
        <f>HYPERLINK("http://www.ncbi.nlm.nih.gov/gene/?term=GDF11","NCBI")</f>
        <v>NCBI</v>
      </c>
      <c r="F6447">
        <v>7.4999999999999997E-2</v>
      </c>
      <c r="G6447">
        <v>0.2</v>
      </c>
      <c r="H6447" s="1" t="str">
        <f>HYPERLINK("http://www.weizmann.ac.il/complex/compphys/software/geview/data/figures/216854_at.png","Figure")</f>
        <v>Figure</v>
      </c>
      <c r="I6447">
        <v>1.21</v>
      </c>
      <c r="J6447">
        <v>6.7000000000000004E-2</v>
      </c>
      <c r="K6447">
        <v>1.06</v>
      </c>
      <c r="L6447">
        <v>0.68</v>
      </c>
      <c r="M6447">
        <v>0.876</v>
      </c>
      <c r="N6447">
        <v>0.19</v>
      </c>
    </row>
    <row r="6448" spans="1:14" x14ac:dyDescent="0.25">
      <c r="A6448" t="s">
        <v>11568</v>
      </c>
      <c r="B6448" t="s">
        <v>11569</v>
      </c>
      <c r="C6448" s="1" t="str">
        <f>HYPERLINK("http://www.genecards.org/cgi-bin/carddisp.pl?gene=TMEM63A","GeneCards")</f>
        <v>GeneCards</v>
      </c>
      <c r="D6448" s="1" t="str">
        <f>HYPERLINK("http://genome-euro.ucsc.edu/cgi-bin/hgTracks?position=202700_s_at","UCSC")</f>
        <v>UCSC</v>
      </c>
      <c r="E6448" s="1" t="str">
        <f>HYPERLINK("http://www.ncbi.nlm.nih.gov/gene/?term=TMEM63A","NCBI")</f>
        <v>NCBI</v>
      </c>
      <c r="F6448">
        <v>7.5999999999999998E-2</v>
      </c>
      <c r="G6448">
        <v>0.2</v>
      </c>
      <c r="H6448" s="1" t="str">
        <f>HYPERLINK("http://www.weizmann.ac.il/complex/compphys/software/geview/data/figures/202700_s_at.png","Figure")</f>
        <v>Figure</v>
      </c>
      <c r="I6448">
        <v>1.49</v>
      </c>
      <c r="J6448">
        <v>6.6000000000000003E-2</v>
      </c>
      <c r="K6448">
        <v>1.25</v>
      </c>
      <c r="L6448">
        <v>0.27</v>
      </c>
      <c r="M6448">
        <v>0.84199999999999997</v>
      </c>
      <c r="N6448">
        <v>0.5</v>
      </c>
    </row>
    <row r="6449" spans="1:14" x14ac:dyDescent="0.25">
      <c r="A6449" t="s">
        <v>11570</v>
      </c>
      <c r="B6449" t="s">
        <v>11571</v>
      </c>
      <c r="C6449" s="1" t="str">
        <f>HYPERLINK("http://www.genecards.org/cgi-bin/carddisp.pl?gene=FGF18","GeneCards")</f>
        <v>GeneCards</v>
      </c>
      <c r="D6449" s="1" t="str">
        <f>HYPERLINK("http://genome-euro.ucsc.edu/cgi-bin/hgTracks?position=214284_s_at","UCSC")</f>
        <v>UCSC</v>
      </c>
      <c r="E6449" s="1" t="str">
        <f>HYPERLINK("http://www.ncbi.nlm.nih.gov/gene/?term=FGF18","NCBI")</f>
        <v>NCBI</v>
      </c>
      <c r="F6449">
        <v>7.5999999999999998E-2</v>
      </c>
      <c r="G6449">
        <v>0.2</v>
      </c>
      <c r="H6449" s="1" t="str">
        <f>HYPERLINK("http://www.weizmann.ac.il/complex/compphys/software/geview/data/figures/214284_s_at.png","Figure")</f>
        <v>Figure</v>
      </c>
      <c r="I6449">
        <v>1.2</v>
      </c>
      <c r="J6449">
        <v>6.3E-2</v>
      </c>
      <c r="K6449">
        <v>1.07</v>
      </c>
      <c r="L6449">
        <v>0.52</v>
      </c>
      <c r="M6449">
        <v>0.89700000000000002</v>
      </c>
      <c r="N6449">
        <v>0.26</v>
      </c>
    </row>
    <row r="6450" spans="1:14" x14ac:dyDescent="0.25">
      <c r="A6450" t="s">
        <v>11572</v>
      </c>
      <c r="B6450" t="s">
        <v>11573</v>
      </c>
      <c r="C6450" s="1" t="str">
        <f>HYPERLINK("http://www.genecards.org/cgi-bin/carddisp.pl?gene=SNRNP70","GeneCards")</f>
        <v>GeneCards</v>
      </c>
      <c r="D6450" s="1" t="str">
        <f>HYPERLINK("http://genome-euro.ucsc.edu/cgi-bin/hgTracks?position=201221_s_at","UCSC")</f>
        <v>UCSC</v>
      </c>
      <c r="E6450" s="1" t="str">
        <f>HYPERLINK("http://www.ncbi.nlm.nih.gov/gene/?term=SNRNP70","NCBI")</f>
        <v>NCBI</v>
      </c>
      <c r="F6450">
        <v>7.5999999999999998E-2</v>
      </c>
      <c r="G6450">
        <v>0.2</v>
      </c>
      <c r="H6450" s="1" t="str">
        <f>HYPERLINK("http://www.weizmann.ac.il/complex/compphys/software/geview/data/figures/201221_s_at.png","Figure")</f>
        <v>Figure</v>
      </c>
      <c r="I6450">
        <v>1.42</v>
      </c>
      <c r="J6450">
        <v>0.36</v>
      </c>
      <c r="K6450">
        <v>0.79600000000000004</v>
      </c>
      <c r="L6450">
        <v>0.55000000000000004</v>
      </c>
      <c r="M6450">
        <v>0.56000000000000005</v>
      </c>
      <c r="N6450">
        <v>6.2E-2</v>
      </c>
    </row>
    <row r="6451" spans="1:14" x14ac:dyDescent="0.25">
      <c r="A6451" t="s">
        <v>11574</v>
      </c>
      <c r="B6451" t="s">
        <v>10045</v>
      </c>
      <c r="C6451" s="1" t="str">
        <f>HYPERLINK("http://www.genecards.org/cgi-bin/carddisp.pl?gene=STAT5B","GeneCards")</f>
        <v>GeneCards</v>
      </c>
      <c r="D6451" s="1" t="str">
        <f>HYPERLINK("http://genome-euro.ucsc.edu/cgi-bin/hgTracks?position=212549_at","UCSC")</f>
        <v>UCSC</v>
      </c>
      <c r="E6451" s="1" t="str">
        <f>HYPERLINK("http://www.ncbi.nlm.nih.gov/gene/?term=STAT5B","NCBI")</f>
        <v>NCBI</v>
      </c>
      <c r="F6451">
        <v>7.5999999999999998E-2</v>
      </c>
      <c r="G6451">
        <v>0.2</v>
      </c>
      <c r="H6451" s="1" t="str">
        <f>HYPERLINK("http://www.weizmann.ac.il/complex/compphys/software/geview/data/figures/212549_at.png","Figure")</f>
        <v>Figure</v>
      </c>
      <c r="I6451">
        <v>0.56999999999999995</v>
      </c>
      <c r="J6451">
        <v>6.5000000000000002E-2</v>
      </c>
      <c r="K6451">
        <v>0.73899999999999999</v>
      </c>
      <c r="L6451">
        <v>0.3</v>
      </c>
      <c r="M6451">
        <v>1.29</v>
      </c>
      <c r="N6451">
        <v>0.46</v>
      </c>
    </row>
    <row r="6452" spans="1:14" x14ac:dyDescent="0.25">
      <c r="A6452" t="s">
        <v>11575</v>
      </c>
      <c r="B6452" t="s">
        <v>11576</v>
      </c>
      <c r="C6452" s="1" t="str">
        <f>HYPERLINK("http://www.genecards.org/cgi-bin/carddisp.pl?gene=ANP32E","GeneCards")</f>
        <v>GeneCards</v>
      </c>
      <c r="D6452" s="1" t="str">
        <f>HYPERLINK("http://genome-euro.ucsc.edu/cgi-bin/hgTracks?position=221505_at","UCSC")</f>
        <v>UCSC</v>
      </c>
      <c r="E6452" s="1" t="str">
        <f>HYPERLINK("http://www.ncbi.nlm.nih.gov/gene/?term=ANP32E","NCBI")</f>
        <v>NCBI</v>
      </c>
      <c r="F6452">
        <v>7.5999999999999998E-2</v>
      </c>
      <c r="G6452">
        <v>0.2</v>
      </c>
      <c r="H6452" s="1" t="str">
        <f>HYPERLINK("http://www.weizmann.ac.il/complex/compphys/software/geview/data/figures/221505_at.png","Figure")</f>
        <v>Figure</v>
      </c>
      <c r="I6452">
        <v>1.07</v>
      </c>
      <c r="J6452">
        <v>0.92</v>
      </c>
      <c r="K6452">
        <v>1.43</v>
      </c>
      <c r="L6452">
        <v>8.5000000000000006E-2</v>
      </c>
      <c r="M6452">
        <v>1.34</v>
      </c>
      <c r="N6452">
        <v>0.22</v>
      </c>
    </row>
    <row r="6453" spans="1:14" x14ac:dyDescent="0.25">
      <c r="A6453" t="s">
        <v>11577</v>
      </c>
      <c r="B6453" t="s">
        <v>11578</v>
      </c>
      <c r="C6453" s="1" t="str">
        <f>HYPERLINK("http://www.genecards.org/cgi-bin/carddisp.pl?gene=ST3GAL5","GeneCards")</f>
        <v>GeneCards</v>
      </c>
      <c r="D6453" s="1" t="str">
        <f>HYPERLINK("http://genome-euro.ucsc.edu/cgi-bin/hgTracks?position=203217_s_at","UCSC")</f>
        <v>UCSC</v>
      </c>
      <c r="E6453" s="1" t="str">
        <f>HYPERLINK("http://www.ncbi.nlm.nih.gov/gene/?term=ST3GAL5","NCBI")</f>
        <v>NCBI</v>
      </c>
      <c r="F6453">
        <v>7.5999999999999998E-2</v>
      </c>
      <c r="G6453">
        <v>0.2</v>
      </c>
      <c r="H6453" s="1" t="str">
        <f>HYPERLINK("http://www.weizmann.ac.il/complex/compphys/software/geview/data/figures/203217_s_at.png","Figure")</f>
        <v>Figure</v>
      </c>
      <c r="I6453">
        <v>0.66800000000000004</v>
      </c>
      <c r="J6453">
        <v>9.2999999999999999E-2</v>
      </c>
      <c r="K6453">
        <v>0.72699999999999998</v>
      </c>
      <c r="L6453">
        <v>0.14000000000000001</v>
      </c>
      <c r="M6453">
        <v>1.0900000000000001</v>
      </c>
      <c r="N6453">
        <v>0.86</v>
      </c>
    </row>
    <row r="6454" spans="1:14" x14ac:dyDescent="0.25">
      <c r="A6454" t="s">
        <v>11579</v>
      </c>
      <c r="B6454" t="s">
        <v>11580</v>
      </c>
      <c r="C6454" s="1" t="str">
        <f>HYPERLINK("http://www.genecards.org/cgi-bin/carddisp.pl?gene=EEF1E1","GeneCards")</f>
        <v>GeneCards</v>
      </c>
      <c r="D6454" s="1" t="str">
        <f>HYPERLINK("http://genome-euro.ucsc.edu/cgi-bin/hgTracks?position=204905_s_at","UCSC")</f>
        <v>UCSC</v>
      </c>
      <c r="E6454" s="1" t="str">
        <f>HYPERLINK("http://www.ncbi.nlm.nih.gov/gene/?term=EEF1E1","NCBI")</f>
        <v>NCBI</v>
      </c>
      <c r="F6454">
        <v>7.5999999999999998E-2</v>
      </c>
      <c r="G6454">
        <v>0.2</v>
      </c>
      <c r="H6454" s="1" t="str">
        <f>HYPERLINK("http://www.weizmann.ac.il/complex/compphys/software/geview/data/figures/204905_s_at.png","Figure")</f>
        <v>Figure</v>
      </c>
      <c r="I6454">
        <v>0.624</v>
      </c>
      <c r="J6454">
        <v>0.19</v>
      </c>
      <c r="K6454">
        <v>1.1200000000000001</v>
      </c>
      <c r="L6454">
        <v>0.86</v>
      </c>
      <c r="M6454">
        <v>1.8</v>
      </c>
      <c r="N6454">
        <v>6.8000000000000005E-2</v>
      </c>
    </row>
    <row r="6455" spans="1:14" x14ac:dyDescent="0.25">
      <c r="A6455" t="s">
        <v>11581</v>
      </c>
      <c r="B6455" t="s">
        <v>11582</v>
      </c>
      <c r="C6455" s="1" t="str">
        <f>HYPERLINK("http://www.genecards.org/cgi-bin/carddisp.pl?gene=PRLR","GeneCards")</f>
        <v>GeneCards</v>
      </c>
      <c r="D6455" s="1" t="str">
        <f>HYPERLINK("http://genome-euro.ucsc.edu/cgi-bin/hgTracks?position=210476_s_at","UCSC")</f>
        <v>UCSC</v>
      </c>
      <c r="E6455" s="1" t="str">
        <f>HYPERLINK("http://www.ncbi.nlm.nih.gov/gene/?term=PRLR","NCBI")</f>
        <v>NCBI</v>
      </c>
      <c r="F6455">
        <v>7.5999999999999998E-2</v>
      </c>
      <c r="G6455">
        <v>0.2</v>
      </c>
      <c r="H6455" s="1" t="str">
        <f>HYPERLINK("http://www.weizmann.ac.il/complex/compphys/software/geview/data/figures/210476_s_at.png","Figure")</f>
        <v>Figure</v>
      </c>
      <c r="I6455">
        <v>1.1599999999999999</v>
      </c>
      <c r="J6455">
        <v>6.8000000000000005E-2</v>
      </c>
      <c r="K6455">
        <v>1.0900000000000001</v>
      </c>
      <c r="L6455">
        <v>0.25</v>
      </c>
      <c r="M6455">
        <v>0.94</v>
      </c>
      <c r="N6455">
        <v>0.55000000000000004</v>
      </c>
    </row>
    <row r="6456" spans="1:14" x14ac:dyDescent="0.25">
      <c r="A6456" t="s">
        <v>11583</v>
      </c>
      <c r="B6456" t="s">
        <v>11584</v>
      </c>
      <c r="C6456" s="1" t="str">
        <f>HYPERLINK("http://www.genecards.org/cgi-bin/carddisp.pl?gene=NCR3","GeneCards")</f>
        <v>GeneCards</v>
      </c>
      <c r="D6456" s="1" t="str">
        <f>HYPERLINK("http://genome-euro.ucsc.edu/cgi-bin/hgTracks?position=211010_s_at","UCSC")</f>
        <v>UCSC</v>
      </c>
      <c r="E6456" s="1" t="str">
        <f>HYPERLINK("http://www.ncbi.nlm.nih.gov/gene/?term=NCR3","NCBI")</f>
        <v>NCBI</v>
      </c>
      <c r="F6456">
        <v>7.5999999999999998E-2</v>
      </c>
      <c r="G6456">
        <v>0.2</v>
      </c>
      <c r="H6456" s="1" t="str">
        <f>HYPERLINK("http://www.weizmann.ac.il/complex/compphys/software/geview/data/figures/211010_s_at.png","Figure")</f>
        <v>Figure</v>
      </c>
      <c r="I6456">
        <v>1.19</v>
      </c>
      <c r="J6456">
        <v>0.16</v>
      </c>
      <c r="K6456">
        <v>1.2</v>
      </c>
      <c r="L6456">
        <v>8.2000000000000003E-2</v>
      </c>
      <c r="M6456">
        <v>1.01</v>
      </c>
      <c r="N6456">
        <v>0.99</v>
      </c>
    </row>
    <row r="6457" spans="1:14" x14ac:dyDescent="0.25">
      <c r="A6457" t="s">
        <v>11585</v>
      </c>
      <c r="B6457" t="s">
        <v>11586</v>
      </c>
      <c r="C6457" s="1" t="str">
        <f>HYPERLINK("http://www.genecards.org/cgi-bin/carddisp.pl?gene=MAPK1IP1L","GeneCards")</f>
        <v>GeneCards</v>
      </c>
      <c r="D6457" s="1" t="str">
        <f>HYPERLINK("http://genome-euro.ucsc.edu/cgi-bin/hgTracks?position=212644_s_at","UCSC")</f>
        <v>UCSC</v>
      </c>
      <c r="E6457" s="1" t="str">
        <f>HYPERLINK("http://www.ncbi.nlm.nih.gov/gene/?term=MAPK1IP1L","NCBI")</f>
        <v>NCBI</v>
      </c>
      <c r="F6457">
        <v>7.5999999999999998E-2</v>
      </c>
      <c r="G6457">
        <v>0.2</v>
      </c>
      <c r="H6457" s="1" t="str">
        <f>HYPERLINK("http://www.weizmann.ac.il/complex/compphys/software/geview/data/figures/212644_s_at.png","Figure")</f>
        <v>Figure</v>
      </c>
      <c r="I6457">
        <v>0.66500000000000004</v>
      </c>
      <c r="J6457">
        <v>6.6000000000000003E-2</v>
      </c>
      <c r="K6457">
        <v>0.79600000000000004</v>
      </c>
      <c r="L6457">
        <v>0.28000000000000003</v>
      </c>
      <c r="M6457">
        <v>1.2</v>
      </c>
      <c r="N6457">
        <v>0.49</v>
      </c>
    </row>
    <row r="6458" spans="1:14" x14ac:dyDescent="0.25">
      <c r="A6458" t="s">
        <v>11587</v>
      </c>
      <c r="B6458" t="s">
        <v>11588</v>
      </c>
      <c r="C6458" s="1" t="str">
        <f>HYPERLINK("http://www.genecards.org/cgi-bin/carddisp.pl?gene=ACTR3","GeneCards")</f>
        <v>GeneCards</v>
      </c>
      <c r="D6458" s="1" t="str">
        <f>HYPERLINK("http://genome-euro.ucsc.edu/cgi-bin/hgTracks?position=213102_at","UCSC")</f>
        <v>UCSC</v>
      </c>
      <c r="E6458" s="1" t="str">
        <f>HYPERLINK("http://www.ncbi.nlm.nih.gov/gene/?term=ACTR3","NCBI")</f>
        <v>NCBI</v>
      </c>
      <c r="F6458">
        <v>7.5999999999999998E-2</v>
      </c>
      <c r="G6458">
        <v>0.2</v>
      </c>
      <c r="H6458" s="1" t="str">
        <f>HYPERLINK("http://www.weizmann.ac.il/complex/compphys/software/geview/data/figures/213102_at.png","Figure")</f>
        <v>Figure</v>
      </c>
      <c r="I6458">
        <v>0.78200000000000003</v>
      </c>
      <c r="J6458">
        <v>0.57999999999999996</v>
      </c>
      <c r="K6458">
        <v>1.36</v>
      </c>
      <c r="L6458">
        <v>0.34</v>
      </c>
      <c r="M6458">
        <v>1.74</v>
      </c>
      <c r="N6458">
        <v>7.0000000000000007E-2</v>
      </c>
    </row>
    <row r="6459" spans="1:14" x14ac:dyDescent="0.25">
      <c r="A6459" t="s">
        <v>11589</v>
      </c>
      <c r="B6459" t="s">
        <v>11590</v>
      </c>
      <c r="C6459" s="1" t="str">
        <f>HYPERLINK("http://www.genecards.org/cgi-bin/carddisp.pl?gene=PDGFRA","GeneCards")</f>
        <v>GeneCards</v>
      </c>
      <c r="D6459" s="1" t="str">
        <f>HYPERLINK("http://genome-euro.ucsc.edu/cgi-bin/hgTracks?position=215305_at","UCSC")</f>
        <v>UCSC</v>
      </c>
      <c r="E6459" s="1" t="str">
        <f>HYPERLINK("http://www.ncbi.nlm.nih.gov/gene/?term=PDGFRA","NCBI")</f>
        <v>NCBI</v>
      </c>
      <c r="F6459">
        <v>7.5999999999999998E-2</v>
      </c>
      <c r="G6459">
        <v>0.2</v>
      </c>
      <c r="H6459" s="1" t="str">
        <f>HYPERLINK("http://www.weizmann.ac.il/complex/compphys/software/geview/data/figures/215305_at.png","Figure")</f>
        <v>Figure</v>
      </c>
      <c r="I6459">
        <v>1.1299999999999999</v>
      </c>
      <c r="J6459">
        <v>0.15</v>
      </c>
      <c r="K6459">
        <v>0.98499999999999999</v>
      </c>
      <c r="L6459">
        <v>0.95</v>
      </c>
      <c r="M6459">
        <v>0.875</v>
      </c>
      <c r="N6459">
        <v>7.4999999999999997E-2</v>
      </c>
    </row>
    <row r="6460" spans="1:14" x14ac:dyDescent="0.25">
      <c r="A6460" t="s">
        <v>11591</v>
      </c>
      <c r="B6460" t="s">
        <v>6889</v>
      </c>
      <c r="C6460" s="1" t="str">
        <f>HYPERLINK("http://www.genecards.org/cgi-bin/carddisp.pl?gene=TBC1D2B","GeneCards")</f>
        <v>GeneCards</v>
      </c>
      <c r="D6460" s="1" t="str">
        <f>HYPERLINK("http://genome-euro.ucsc.edu/cgi-bin/hgTracks?position=215951_at","UCSC")</f>
        <v>UCSC</v>
      </c>
      <c r="E6460" s="1" t="str">
        <f>HYPERLINK("http://www.ncbi.nlm.nih.gov/gene/?term=TBC1D2B","NCBI")</f>
        <v>NCBI</v>
      </c>
      <c r="F6460">
        <v>7.5999999999999998E-2</v>
      </c>
      <c r="G6460">
        <v>0.2</v>
      </c>
      <c r="H6460" s="1" t="str">
        <f>HYPERLINK("http://www.weizmann.ac.il/complex/compphys/software/geview/data/figures/215951_at.png","Figure")</f>
        <v>Figure</v>
      </c>
      <c r="I6460">
        <v>1.2</v>
      </c>
      <c r="J6460">
        <v>6.9000000000000006E-2</v>
      </c>
      <c r="K6460">
        <v>1.1200000000000001</v>
      </c>
      <c r="L6460">
        <v>0.24</v>
      </c>
      <c r="M6460">
        <v>0.92900000000000005</v>
      </c>
      <c r="N6460">
        <v>0.56000000000000005</v>
      </c>
    </row>
    <row r="6461" spans="1:14" x14ac:dyDescent="0.25">
      <c r="A6461" t="s">
        <v>11592</v>
      </c>
      <c r="B6461" t="s">
        <v>11593</v>
      </c>
      <c r="C6461" s="1" t="str">
        <f>HYPERLINK("http://www.genecards.org/cgi-bin/carddisp.pl?gene=MRPS34","GeneCards")</f>
        <v>GeneCards</v>
      </c>
      <c r="D6461" s="1" t="str">
        <f>HYPERLINK("http://genome-euro.ucsc.edu/cgi-bin/hgTracks?position=218112_at","UCSC")</f>
        <v>UCSC</v>
      </c>
      <c r="E6461" s="1" t="str">
        <f>HYPERLINK("http://www.ncbi.nlm.nih.gov/gene/?term=MRPS34","NCBI")</f>
        <v>NCBI</v>
      </c>
      <c r="F6461">
        <v>7.5999999999999998E-2</v>
      </c>
      <c r="G6461">
        <v>0.2</v>
      </c>
      <c r="H6461" s="1" t="str">
        <f>HYPERLINK("http://www.weizmann.ac.il/complex/compphys/software/geview/data/figures/218112_at.png","Figure")</f>
        <v>Figure</v>
      </c>
      <c r="I6461">
        <v>1.21</v>
      </c>
      <c r="J6461">
        <v>0.45</v>
      </c>
      <c r="K6461">
        <v>1.41</v>
      </c>
      <c r="L6461">
        <v>6.2E-2</v>
      </c>
      <c r="M6461">
        <v>1.1599999999999999</v>
      </c>
      <c r="N6461">
        <v>0.56999999999999995</v>
      </c>
    </row>
    <row r="6462" spans="1:14" x14ac:dyDescent="0.25">
      <c r="A6462" t="s">
        <v>11594</v>
      </c>
      <c r="B6462" t="s">
        <v>11595</v>
      </c>
      <c r="C6462" s="1" t="str">
        <f>HYPERLINK("http://www.genecards.org/cgi-bin/carddisp.pl?gene=CLEC4M","GeneCards")</f>
        <v>GeneCards</v>
      </c>
      <c r="D6462" s="1" t="str">
        <f>HYPERLINK("http://genome-euro.ucsc.edu/cgi-bin/hgTracks?position=207995_s_at","UCSC")</f>
        <v>UCSC</v>
      </c>
      <c r="E6462" s="1" t="str">
        <f>HYPERLINK("http://www.ncbi.nlm.nih.gov/gene/?term=CLEC4M","NCBI")</f>
        <v>NCBI</v>
      </c>
      <c r="F6462">
        <v>7.5999999999999998E-2</v>
      </c>
      <c r="G6462">
        <v>0.2</v>
      </c>
      <c r="H6462" s="1" t="str">
        <f>HYPERLINK("http://www.weizmann.ac.il/complex/compphys/software/geview/data/figures/207995_s_at.png","Figure")</f>
        <v>Figure</v>
      </c>
      <c r="I6462">
        <v>1.1100000000000001</v>
      </c>
      <c r="J6462">
        <v>0.33</v>
      </c>
      <c r="K6462">
        <v>0.94</v>
      </c>
      <c r="L6462">
        <v>0.59</v>
      </c>
      <c r="M6462">
        <v>0.84499999999999997</v>
      </c>
      <c r="N6462">
        <v>6.2E-2</v>
      </c>
    </row>
    <row r="6463" spans="1:14" x14ac:dyDescent="0.25">
      <c r="A6463" t="s">
        <v>11596</v>
      </c>
      <c r="B6463" t="s">
        <v>11597</v>
      </c>
      <c r="C6463" s="1" t="str">
        <f>HYPERLINK("http://www.genecards.org/cgi-bin/carddisp.pl?gene=SLC5A5","GeneCards")</f>
        <v>GeneCards</v>
      </c>
      <c r="D6463" s="1" t="str">
        <f>HYPERLINK("http://genome-euro.ucsc.edu/cgi-bin/hgTracks?position=211123_at","UCSC")</f>
        <v>UCSC</v>
      </c>
      <c r="E6463" s="1" t="str">
        <f>HYPERLINK("http://www.ncbi.nlm.nih.gov/gene/?term=SLC5A5","NCBI")</f>
        <v>NCBI</v>
      </c>
      <c r="F6463">
        <v>7.5999999999999998E-2</v>
      </c>
      <c r="G6463">
        <v>0.2</v>
      </c>
      <c r="H6463" s="1" t="str">
        <f>HYPERLINK("http://www.weizmann.ac.il/complex/compphys/software/geview/data/figures/211123_at.png","Figure")</f>
        <v>Figure</v>
      </c>
      <c r="I6463">
        <v>1.28</v>
      </c>
      <c r="J6463">
        <v>6.9000000000000006E-2</v>
      </c>
      <c r="K6463">
        <v>1.07</v>
      </c>
      <c r="L6463">
        <v>0.71</v>
      </c>
      <c r="M6463">
        <v>0.83799999999999997</v>
      </c>
      <c r="N6463">
        <v>0.18</v>
      </c>
    </row>
    <row r="6464" spans="1:14" x14ac:dyDescent="0.25">
      <c r="A6464" t="s">
        <v>11598</v>
      </c>
      <c r="B6464" t="s">
        <v>11599</v>
      </c>
      <c r="C6464" s="1" t="str">
        <f>HYPERLINK("http://www.genecards.org/cgi-bin/carddisp.pl?gene=ZNF816A","GeneCards")</f>
        <v>GeneCards</v>
      </c>
      <c r="D6464" s="1" t="str">
        <f>HYPERLINK("http://genome-euro.ucsc.edu/cgi-bin/hgTracks?position=217541_x_at","UCSC")</f>
        <v>UCSC</v>
      </c>
      <c r="E6464" s="1" t="str">
        <f>HYPERLINK("http://www.ncbi.nlm.nih.gov/gene/?term=ZNF816A","NCBI")</f>
        <v>NCBI</v>
      </c>
      <c r="F6464">
        <v>7.5999999999999998E-2</v>
      </c>
      <c r="G6464">
        <v>0.2</v>
      </c>
      <c r="H6464" s="1" t="str">
        <f>HYPERLINK("http://www.weizmann.ac.il/complex/compphys/software/geview/data/figures/217541_x_at.png","Figure")</f>
        <v>Figure</v>
      </c>
      <c r="I6464">
        <v>1.1200000000000001</v>
      </c>
      <c r="J6464">
        <v>0.26</v>
      </c>
      <c r="K6464">
        <v>0.95499999999999996</v>
      </c>
      <c r="L6464">
        <v>0.71</v>
      </c>
      <c r="M6464">
        <v>0.85599999999999998</v>
      </c>
      <c r="N6464">
        <v>6.3E-2</v>
      </c>
    </row>
    <row r="6465" spans="1:14" x14ac:dyDescent="0.25">
      <c r="A6465" t="s">
        <v>11600</v>
      </c>
      <c r="B6465" t="s">
        <v>11601</v>
      </c>
      <c r="C6465" s="1" t="str">
        <f>HYPERLINK("http://www.genecards.org/cgi-bin/carddisp.pl?gene=SCAND2","GeneCards")</f>
        <v>GeneCards</v>
      </c>
      <c r="D6465" s="1" t="str">
        <f>HYPERLINK("http://genome-euro.ucsc.edu/cgi-bin/hgTracks?position=222211_x_at","UCSC")</f>
        <v>UCSC</v>
      </c>
      <c r="E6465" s="1" t="str">
        <f>HYPERLINK("http://www.ncbi.nlm.nih.gov/gene/?term=SCAND2","NCBI")</f>
        <v>NCBI</v>
      </c>
      <c r="F6465">
        <v>7.5999999999999998E-2</v>
      </c>
      <c r="G6465">
        <v>0.2</v>
      </c>
      <c r="H6465" s="1" t="str">
        <f>HYPERLINK("http://www.weizmann.ac.il/complex/compphys/software/geview/data/figures/222211_x_at.png","Figure")</f>
        <v>Figure</v>
      </c>
      <c r="I6465">
        <v>1.1499999999999999</v>
      </c>
      <c r="J6465">
        <v>0.13</v>
      </c>
      <c r="K6465">
        <v>1.1499999999999999</v>
      </c>
      <c r="L6465">
        <v>9.4E-2</v>
      </c>
      <c r="M6465">
        <v>0.995</v>
      </c>
      <c r="N6465">
        <v>1</v>
      </c>
    </row>
    <row r="6466" spans="1:14" x14ac:dyDescent="0.25">
      <c r="A6466" t="s">
        <v>11602</v>
      </c>
      <c r="B6466" t="s">
        <v>11603</v>
      </c>
      <c r="C6466" s="1" t="str">
        <f>HYPERLINK("http://www.genecards.org/cgi-bin/carddisp.pl?gene=KIAA0040","GeneCards")</f>
        <v>GeneCards</v>
      </c>
      <c r="D6466" s="1" t="str">
        <f>HYPERLINK("http://genome-euro.ucsc.edu/cgi-bin/hgTracks?position=203144_s_at","UCSC")</f>
        <v>UCSC</v>
      </c>
      <c r="E6466" s="1" t="str">
        <f>HYPERLINK("http://www.ncbi.nlm.nih.gov/gene/?term=KIAA0040","NCBI")</f>
        <v>NCBI</v>
      </c>
      <c r="F6466">
        <v>7.5999999999999998E-2</v>
      </c>
      <c r="G6466">
        <v>0.2</v>
      </c>
      <c r="H6466" s="1" t="str">
        <f>HYPERLINK("http://www.weizmann.ac.il/complex/compphys/software/geview/data/figures/203144_s_at.png","Figure")</f>
        <v>Figure</v>
      </c>
      <c r="I6466">
        <v>1.17</v>
      </c>
      <c r="J6466">
        <v>6.5000000000000002E-2</v>
      </c>
      <c r="K6466">
        <v>1.06</v>
      </c>
      <c r="L6466">
        <v>0.6</v>
      </c>
      <c r="M6466">
        <v>0.90200000000000002</v>
      </c>
      <c r="N6466">
        <v>0.22</v>
      </c>
    </row>
    <row r="6467" spans="1:14" x14ac:dyDescent="0.25">
      <c r="A6467" t="s">
        <v>11604</v>
      </c>
      <c r="B6467" t="s">
        <v>11605</v>
      </c>
      <c r="C6467" s="1" t="str">
        <f>HYPERLINK("http://www.genecards.org/cgi-bin/carddisp.pl?gene=SUCLG2","GeneCards")</f>
        <v>GeneCards</v>
      </c>
      <c r="D6467" s="1" t="str">
        <f>HYPERLINK("http://genome-euro.ucsc.edu/cgi-bin/hgTracks?position=212459_x_at","UCSC")</f>
        <v>UCSC</v>
      </c>
      <c r="E6467" s="1" t="str">
        <f>HYPERLINK("http://www.ncbi.nlm.nih.gov/gene/?term=SUCLG2","NCBI")</f>
        <v>NCBI</v>
      </c>
      <c r="F6467">
        <v>7.5999999999999998E-2</v>
      </c>
      <c r="G6467">
        <v>0.2</v>
      </c>
      <c r="H6467" s="1" t="str">
        <f>HYPERLINK("http://www.weizmann.ac.il/complex/compphys/software/geview/data/figures/212459_x_at.png","Figure")</f>
        <v>Figure</v>
      </c>
      <c r="I6467">
        <v>0.56899999999999995</v>
      </c>
      <c r="J6467">
        <v>0.12</v>
      </c>
      <c r="K6467">
        <v>1.02</v>
      </c>
      <c r="L6467">
        <v>1</v>
      </c>
      <c r="M6467">
        <v>1.79</v>
      </c>
      <c r="N6467">
        <v>8.4000000000000005E-2</v>
      </c>
    </row>
    <row r="6468" spans="1:14" x14ac:dyDescent="0.25">
      <c r="A6468" t="s">
        <v>11606</v>
      </c>
      <c r="B6468" t="s">
        <v>11607</v>
      </c>
      <c r="C6468" s="1" t="str">
        <f>HYPERLINK("http://www.genecards.org/cgi-bin/carddisp.pl?gene=GSDMB","GeneCards")</f>
        <v>GeneCards</v>
      </c>
      <c r="D6468" s="1" t="str">
        <f>HYPERLINK("http://genome-euro.ucsc.edu/cgi-bin/hgTracks?position=219233_s_at","UCSC")</f>
        <v>UCSC</v>
      </c>
      <c r="E6468" s="1" t="str">
        <f>HYPERLINK("http://www.ncbi.nlm.nih.gov/gene/?term=GSDMB","NCBI")</f>
        <v>NCBI</v>
      </c>
      <c r="F6468">
        <v>7.5999999999999998E-2</v>
      </c>
      <c r="G6468">
        <v>0.2</v>
      </c>
      <c r="H6468" s="1" t="str">
        <f>HYPERLINK("http://www.weizmann.ac.il/complex/compphys/software/geview/data/figures/219233_s_at.png","Figure")</f>
        <v>Figure</v>
      </c>
      <c r="I6468">
        <v>1.91</v>
      </c>
      <c r="J6468">
        <v>0.23</v>
      </c>
      <c r="K6468">
        <v>2.21</v>
      </c>
      <c r="L6468">
        <v>7.0000000000000007E-2</v>
      </c>
      <c r="M6468">
        <v>1.1599999999999999</v>
      </c>
      <c r="N6468">
        <v>0.91</v>
      </c>
    </row>
    <row r="6469" spans="1:14" x14ac:dyDescent="0.25">
      <c r="A6469" t="s">
        <v>11608</v>
      </c>
      <c r="B6469" t="s">
        <v>11609</v>
      </c>
      <c r="C6469" s="1" t="str">
        <f>HYPERLINK("http://www.genecards.org/cgi-bin/carddisp.pl?gene=ATP5SL","GeneCards")</f>
        <v>GeneCards</v>
      </c>
      <c r="D6469" s="1" t="str">
        <f>HYPERLINK("http://genome-euro.ucsc.edu/cgi-bin/hgTracks?position=218038_at","UCSC")</f>
        <v>UCSC</v>
      </c>
      <c r="E6469" s="1" t="str">
        <f>HYPERLINK("http://www.ncbi.nlm.nih.gov/gene/?term=ATP5SL","NCBI")</f>
        <v>NCBI</v>
      </c>
      <c r="F6469">
        <v>7.5999999999999998E-2</v>
      </c>
      <c r="G6469">
        <v>0.2</v>
      </c>
      <c r="H6469" s="1" t="str">
        <f>HYPERLINK("http://www.weizmann.ac.il/complex/compphys/software/geview/data/figures/218038_at.png","Figure")</f>
        <v>Figure</v>
      </c>
      <c r="I6469">
        <v>1.19</v>
      </c>
      <c r="J6469">
        <v>0.11</v>
      </c>
      <c r="K6469">
        <v>1.1599999999999999</v>
      </c>
      <c r="L6469">
        <v>0.12</v>
      </c>
      <c r="M6469">
        <v>0.97499999999999998</v>
      </c>
      <c r="N6469">
        <v>0.94</v>
      </c>
    </row>
    <row r="6470" spans="1:14" x14ac:dyDescent="0.25">
      <c r="A6470" t="s">
        <v>11610</v>
      </c>
      <c r="B6470" t="s">
        <v>11611</v>
      </c>
      <c r="C6470" s="1" t="str">
        <f>HYPERLINK("http://www.genecards.org/cgi-bin/carddisp.pl?gene=CUL7","GeneCards")</f>
        <v>GeneCards</v>
      </c>
      <c r="D6470" s="1" t="str">
        <f>HYPERLINK("http://genome-euro.ucsc.edu/cgi-bin/hgTracks?position=36084_at","UCSC")</f>
        <v>UCSC</v>
      </c>
      <c r="E6470" s="1" t="str">
        <f>HYPERLINK("http://www.ncbi.nlm.nih.gov/gene/?term=CUL7","NCBI")</f>
        <v>NCBI</v>
      </c>
      <c r="F6470">
        <v>7.5999999999999998E-2</v>
      </c>
      <c r="G6470">
        <v>0.2</v>
      </c>
      <c r="H6470" s="1" t="str">
        <f>HYPERLINK("http://www.weizmann.ac.il/complex/compphys/software/geview/data/figures/36084_at.png","Figure")</f>
        <v>Figure</v>
      </c>
      <c r="I6470">
        <v>1.2</v>
      </c>
      <c r="J6470">
        <v>6.3E-2</v>
      </c>
      <c r="K6470">
        <v>1.0900000000000001</v>
      </c>
      <c r="L6470">
        <v>0.41</v>
      </c>
      <c r="M6470">
        <v>0.90500000000000003</v>
      </c>
      <c r="N6470">
        <v>0.34</v>
      </c>
    </row>
    <row r="6471" spans="1:14" x14ac:dyDescent="0.25">
      <c r="A6471" t="s">
        <v>11612</v>
      </c>
      <c r="B6471" t="s">
        <v>8097</v>
      </c>
      <c r="C6471" s="1" t="str">
        <f>HYPERLINK("http://www.genecards.org/cgi-bin/carddisp.pl?gene=IVNS1ABP","GeneCards")</f>
        <v>GeneCards</v>
      </c>
      <c r="D6471" s="1" t="str">
        <f>HYPERLINK("http://genome-euro.ucsc.edu/cgi-bin/hgTracks?position=201363_s_at","UCSC")</f>
        <v>UCSC</v>
      </c>
      <c r="E6471" s="1" t="str">
        <f>HYPERLINK("http://www.ncbi.nlm.nih.gov/gene/?term=IVNS1ABP","NCBI")</f>
        <v>NCBI</v>
      </c>
      <c r="F6471">
        <v>7.5999999999999998E-2</v>
      </c>
      <c r="G6471">
        <v>0.2</v>
      </c>
      <c r="H6471" s="1" t="str">
        <f>HYPERLINK("http://www.weizmann.ac.il/complex/compphys/software/geview/data/figures/201363_s_at.png","Figure")</f>
        <v>Figure</v>
      </c>
      <c r="I6471">
        <v>0.71499999999999997</v>
      </c>
      <c r="J6471">
        <v>6.3E-2</v>
      </c>
      <c r="K6471">
        <v>0.877</v>
      </c>
      <c r="L6471">
        <v>0.52</v>
      </c>
      <c r="M6471">
        <v>1.23</v>
      </c>
      <c r="N6471">
        <v>0.27</v>
      </c>
    </row>
    <row r="6472" spans="1:14" x14ac:dyDescent="0.25">
      <c r="A6472" t="s">
        <v>11613</v>
      </c>
      <c r="B6472" t="s">
        <v>11614</v>
      </c>
      <c r="C6472" s="1" t="str">
        <f>HYPERLINK("http://www.genecards.org/cgi-bin/carddisp.pl?gene=SCARB2","GeneCards")</f>
        <v>GeneCards</v>
      </c>
      <c r="D6472" s="1" t="str">
        <f>HYPERLINK("http://genome-euro.ucsc.edu/cgi-bin/hgTracks?position=201646_at","UCSC")</f>
        <v>UCSC</v>
      </c>
      <c r="E6472" s="1" t="str">
        <f>HYPERLINK("http://www.ncbi.nlm.nih.gov/gene/?term=SCARB2","NCBI")</f>
        <v>NCBI</v>
      </c>
      <c r="F6472">
        <v>7.5999999999999998E-2</v>
      </c>
      <c r="G6472">
        <v>0.2</v>
      </c>
      <c r="H6472" s="1" t="str">
        <f>HYPERLINK("http://www.weizmann.ac.il/complex/compphys/software/geview/data/figures/201646_at.png","Figure")</f>
        <v>Figure</v>
      </c>
      <c r="I6472">
        <v>0.754</v>
      </c>
      <c r="J6472">
        <v>0.3</v>
      </c>
      <c r="K6472">
        <v>0.67100000000000004</v>
      </c>
      <c r="L6472">
        <v>6.5000000000000002E-2</v>
      </c>
      <c r="M6472">
        <v>0.89</v>
      </c>
      <c r="N6472">
        <v>0.78</v>
      </c>
    </row>
    <row r="6473" spans="1:14" x14ac:dyDescent="0.25">
      <c r="A6473" t="s">
        <v>11615</v>
      </c>
      <c r="B6473" t="s">
        <v>11446</v>
      </c>
      <c r="C6473" s="1" t="str">
        <f>HYPERLINK("http://www.genecards.org/cgi-bin/carddisp.pl?gene=LSS","GeneCards")</f>
        <v>GeneCards</v>
      </c>
      <c r="D6473" s="1" t="str">
        <f>HYPERLINK("http://genome-euro.ucsc.edu/cgi-bin/hgTracks?position=211019_s_at","UCSC")</f>
        <v>UCSC</v>
      </c>
      <c r="E6473" s="1" t="str">
        <f>HYPERLINK("http://www.ncbi.nlm.nih.gov/gene/?term=LSS","NCBI")</f>
        <v>NCBI</v>
      </c>
      <c r="F6473">
        <v>7.5999999999999998E-2</v>
      </c>
      <c r="G6473">
        <v>0.2</v>
      </c>
      <c r="H6473" s="1" t="str">
        <f>HYPERLINK("http://www.weizmann.ac.il/complex/compphys/software/geview/data/figures/211019_s_at.png","Figure")</f>
        <v>Figure</v>
      </c>
      <c r="I6473">
        <v>1.1299999999999999</v>
      </c>
      <c r="J6473">
        <v>7.3999999999999996E-2</v>
      </c>
      <c r="K6473">
        <v>1.08</v>
      </c>
      <c r="L6473">
        <v>0.2</v>
      </c>
      <c r="M6473">
        <v>0.95799999999999996</v>
      </c>
      <c r="N6473">
        <v>0.65</v>
      </c>
    </row>
    <row r="6474" spans="1:14" x14ac:dyDescent="0.25">
      <c r="A6474" t="s">
        <v>11616</v>
      </c>
      <c r="B6474" t="s">
        <v>11617</v>
      </c>
      <c r="C6474" s="1" t="str">
        <f>HYPERLINK("http://www.genecards.org/cgi-bin/carddisp.pl?gene=C2orf72","GeneCards")</f>
        <v>GeneCards</v>
      </c>
      <c r="D6474" s="1" t="str">
        <f>HYPERLINK("http://genome-euro.ucsc.edu/cgi-bin/hgTracks?position=213143_at","UCSC")</f>
        <v>UCSC</v>
      </c>
      <c r="E6474" s="1" t="str">
        <f>HYPERLINK("http://www.ncbi.nlm.nih.gov/gene/?term=C2orf72","NCBI")</f>
        <v>NCBI</v>
      </c>
      <c r="F6474">
        <v>7.5999999999999998E-2</v>
      </c>
      <c r="G6474">
        <v>0.2</v>
      </c>
      <c r="H6474" s="1" t="str">
        <f>HYPERLINK("http://www.weizmann.ac.il/complex/compphys/software/geview/data/figures/213143_at.png","Figure")</f>
        <v>Figure</v>
      </c>
      <c r="I6474">
        <v>1.25</v>
      </c>
      <c r="J6474">
        <v>7.6999999999999999E-2</v>
      </c>
      <c r="K6474">
        <v>1.05</v>
      </c>
      <c r="L6474">
        <v>0.83</v>
      </c>
      <c r="M6474">
        <v>0.83899999999999997</v>
      </c>
      <c r="N6474">
        <v>0.14000000000000001</v>
      </c>
    </row>
    <row r="6475" spans="1:14" x14ac:dyDescent="0.25">
      <c r="A6475" t="s">
        <v>11618</v>
      </c>
      <c r="B6475" t="s">
        <v>11619</v>
      </c>
      <c r="C6475" s="1" t="str">
        <f>HYPERLINK("http://www.genecards.org/cgi-bin/carddisp.pl?gene=C14orf56","GeneCards")</f>
        <v>GeneCards</v>
      </c>
      <c r="D6475" s="1" t="str">
        <f>HYPERLINK("http://genome-euro.ucsc.edu/cgi-bin/hgTracks?position=215877_at","UCSC")</f>
        <v>UCSC</v>
      </c>
      <c r="E6475" s="1" t="str">
        <f>HYPERLINK("http://www.ncbi.nlm.nih.gov/gene/?term=C14orf56","NCBI")</f>
        <v>NCBI</v>
      </c>
      <c r="F6475">
        <v>7.5999999999999998E-2</v>
      </c>
      <c r="G6475">
        <v>0.2</v>
      </c>
      <c r="H6475" s="1" t="str">
        <f>HYPERLINK("http://www.weizmann.ac.il/complex/compphys/software/geview/data/figures/215877_at.png","Figure")</f>
        <v>Figure</v>
      </c>
      <c r="I6475">
        <v>1.17</v>
      </c>
      <c r="J6475">
        <v>0.08</v>
      </c>
      <c r="K6475">
        <v>1.1200000000000001</v>
      </c>
      <c r="L6475">
        <v>0.17</v>
      </c>
      <c r="M6475">
        <v>0.95399999999999996</v>
      </c>
      <c r="N6475">
        <v>0.73</v>
      </c>
    </row>
    <row r="6476" spans="1:14" x14ac:dyDescent="0.25">
      <c r="A6476" t="s">
        <v>11620</v>
      </c>
      <c r="B6476" t="s">
        <v>11621</v>
      </c>
      <c r="C6476" s="1" t="str">
        <f>HYPERLINK("http://www.genecards.org/cgi-bin/carddisp.pl?gene=TIMM50","GeneCards")</f>
        <v>GeneCards</v>
      </c>
      <c r="D6476" s="1" t="str">
        <f>HYPERLINK("http://genome-euro.ucsc.edu/cgi-bin/hgTracks?position=217612_at","UCSC")</f>
        <v>UCSC</v>
      </c>
      <c r="E6476" s="1" t="str">
        <f>HYPERLINK("http://www.ncbi.nlm.nih.gov/gene/?term=TIMM50","NCBI")</f>
        <v>NCBI</v>
      </c>
      <c r="F6476">
        <v>7.5999999999999998E-2</v>
      </c>
      <c r="G6476">
        <v>0.2</v>
      </c>
      <c r="H6476" s="1" t="str">
        <f>HYPERLINK("http://www.weizmann.ac.il/complex/compphys/software/geview/data/figures/217612_at.png","Figure")</f>
        <v>Figure</v>
      </c>
      <c r="I6476">
        <v>1.1399999999999999</v>
      </c>
      <c r="J6476">
        <v>7.0000000000000007E-2</v>
      </c>
      <c r="K6476">
        <v>1.04</v>
      </c>
      <c r="L6476">
        <v>0.72</v>
      </c>
      <c r="M6476">
        <v>0.90700000000000003</v>
      </c>
      <c r="N6476">
        <v>0.18</v>
      </c>
    </row>
    <row r="6477" spans="1:14" x14ac:dyDescent="0.25">
      <c r="A6477" t="s">
        <v>11622</v>
      </c>
      <c r="B6477" t="s">
        <v>7433</v>
      </c>
      <c r="C6477" s="1" t="str">
        <f>HYPERLINK("http://www.genecards.org/cgi-bin/carddisp.pl?gene=GPD1","GeneCards")</f>
        <v>GeneCards</v>
      </c>
      <c r="D6477" s="1" t="str">
        <f>HYPERLINK("http://genome-euro.ucsc.edu/cgi-bin/hgTracks?position=213706_at","UCSC")</f>
        <v>UCSC</v>
      </c>
      <c r="E6477" s="1" t="str">
        <f>HYPERLINK("http://www.ncbi.nlm.nih.gov/gene/?term=GPD1","NCBI")</f>
        <v>NCBI</v>
      </c>
      <c r="F6477">
        <v>7.5999999999999998E-2</v>
      </c>
      <c r="G6477">
        <v>0.2</v>
      </c>
      <c r="H6477" s="1" t="str">
        <f>HYPERLINK("http://www.weizmann.ac.il/complex/compphys/software/geview/data/figures/213706_at.png","Figure")</f>
        <v>Figure</v>
      </c>
      <c r="I6477">
        <v>1.1000000000000001</v>
      </c>
      <c r="J6477">
        <v>9.8000000000000004E-2</v>
      </c>
      <c r="K6477">
        <v>1.08</v>
      </c>
      <c r="L6477">
        <v>0.13</v>
      </c>
      <c r="M6477">
        <v>0.98199999999999998</v>
      </c>
      <c r="N6477">
        <v>0.89</v>
      </c>
    </row>
    <row r="6478" spans="1:14" x14ac:dyDescent="0.25">
      <c r="A6478" t="s">
        <v>11623</v>
      </c>
      <c r="B6478" t="s">
        <v>7553</v>
      </c>
      <c r="C6478" s="1" t="str">
        <f>HYPERLINK("http://www.genecards.org/cgi-bin/carddisp.pl?gene=ADAMTS7","GeneCards")</f>
        <v>GeneCards</v>
      </c>
      <c r="D6478" s="1" t="str">
        <f>HYPERLINK("http://genome-euro.ucsc.edu/cgi-bin/hgTracks?position=220705_s_at","UCSC")</f>
        <v>UCSC</v>
      </c>
      <c r="E6478" s="1" t="str">
        <f>HYPERLINK("http://www.ncbi.nlm.nih.gov/gene/?term=ADAMTS7","NCBI")</f>
        <v>NCBI</v>
      </c>
      <c r="F6478">
        <v>7.5999999999999998E-2</v>
      </c>
      <c r="G6478">
        <v>0.2</v>
      </c>
      <c r="H6478" s="1" t="str">
        <f>HYPERLINK("http://www.weizmann.ac.il/complex/compphys/software/geview/data/figures/220705_s_at.png","Figure")</f>
        <v>Figure</v>
      </c>
      <c r="I6478">
        <v>1.2</v>
      </c>
      <c r="J6478">
        <v>0.16</v>
      </c>
      <c r="K6478">
        <v>1.21</v>
      </c>
      <c r="L6478">
        <v>8.3000000000000004E-2</v>
      </c>
      <c r="M6478">
        <v>1.01</v>
      </c>
      <c r="N6478">
        <v>0.99</v>
      </c>
    </row>
    <row r="6479" spans="1:14" x14ac:dyDescent="0.25">
      <c r="A6479" t="s">
        <v>11624</v>
      </c>
      <c r="B6479" t="s">
        <v>11625</v>
      </c>
      <c r="C6479" s="1" t="str">
        <f>HYPERLINK("http://www.genecards.org/cgi-bin/carddisp.pl?gene=MZF1","GeneCards")</f>
        <v>GeneCards</v>
      </c>
      <c r="D6479" s="1" t="str">
        <f>HYPERLINK("http://genome-euro.ucsc.edu/cgi-bin/hgTracks?position=210336_x_at","UCSC")</f>
        <v>UCSC</v>
      </c>
      <c r="E6479" s="1" t="str">
        <f>HYPERLINK("http://www.ncbi.nlm.nih.gov/gene/?term=MZF1","NCBI")</f>
        <v>NCBI</v>
      </c>
      <c r="F6479">
        <v>7.5999999999999998E-2</v>
      </c>
      <c r="G6479">
        <v>0.2</v>
      </c>
      <c r="H6479" s="1" t="str">
        <f>HYPERLINK("http://www.weizmann.ac.il/complex/compphys/software/geview/data/figures/210336_x_at.png","Figure")</f>
        <v>Figure</v>
      </c>
      <c r="I6479">
        <v>1.28</v>
      </c>
      <c r="J6479">
        <v>0.31</v>
      </c>
      <c r="K6479">
        <v>1.43</v>
      </c>
      <c r="L6479">
        <v>6.5000000000000002E-2</v>
      </c>
      <c r="M6479">
        <v>1.1100000000000001</v>
      </c>
      <c r="N6479">
        <v>0.77</v>
      </c>
    </row>
    <row r="6480" spans="1:14" x14ac:dyDescent="0.25">
      <c r="A6480" t="s">
        <v>11626</v>
      </c>
      <c r="B6480" t="s">
        <v>11627</v>
      </c>
      <c r="C6480" s="1" t="str">
        <f>HYPERLINK("http://www.genecards.org/cgi-bin/carddisp.pl?gene=OBSCN","GeneCards")</f>
        <v>GeneCards</v>
      </c>
      <c r="D6480" s="1" t="str">
        <f>HYPERLINK("http://genome-euro.ucsc.edu/cgi-bin/hgTracks?position=220427_at","UCSC")</f>
        <v>UCSC</v>
      </c>
      <c r="E6480" s="1" t="str">
        <f>HYPERLINK("http://www.ncbi.nlm.nih.gov/gene/?term=OBSCN","NCBI")</f>
        <v>NCBI</v>
      </c>
      <c r="F6480">
        <v>7.5999999999999998E-2</v>
      </c>
      <c r="G6480">
        <v>0.2</v>
      </c>
      <c r="H6480" s="1" t="str">
        <f>HYPERLINK("http://www.weizmann.ac.il/complex/compphys/software/geview/data/figures/220427_at.png","Figure")</f>
        <v>Figure</v>
      </c>
      <c r="I6480">
        <v>1.19</v>
      </c>
      <c r="J6480">
        <v>8.8999999999999996E-2</v>
      </c>
      <c r="K6480">
        <v>1.1399999999999999</v>
      </c>
      <c r="L6480">
        <v>0.15</v>
      </c>
      <c r="M6480">
        <v>0.95899999999999996</v>
      </c>
      <c r="N6480">
        <v>0.83</v>
      </c>
    </row>
    <row r="6481" spans="1:14" x14ac:dyDescent="0.25">
      <c r="A6481" t="s">
        <v>11628</v>
      </c>
      <c r="B6481" t="s">
        <v>11629</v>
      </c>
      <c r="C6481" s="1" t="str">
        <f>HYPERLINK("http://www.genecards.org/cgi-bin/carddisp.pl?gene=CDY1 /// CDY1B /// CDY2A /// CDY2B","GeneCards")</f>
        <v>GeneCards</v>
      </c>
      <c r="D6481" s="1" t="str">
        <f>HYPERLINK("http://genome-euro.ucsc.edu/cgi-bin/hgTracks?position=207646_s_at","UCSC")</f>
        <v>UCSC</v>
      </c>
      <c r="E6481" s="1" t="str">
        <f>HYPERLINK("http://www.ncbi.nlm.nih.gov/gene/?term=CDY1 /// CDY1B /// CDY2A /// CDY2B","NCBI")</f>
        <v>NCBI</v>
      </c>
      <c r="F6481">
        <v>7.5999999999999998E-2</v>
      </c>
      <c r="G6481">
        <v>0.2</v>
      </c>
      <c r="H6481" s="1" t="str">
        <f>HYPERLINK("http://www.weizmann.ac.il/complex/compphys/software/geview/data/figures/207646_s_at.png","Figure")</f>
        <v>Figure</v>
      </c>
      <c r="I6481">
        <v>1.07</v>
      </c>
      <c r="J6481">
        <v>0.11</v>
      </c>
      <c r="K6481">
        <v>1.06</v>
      </c>
      <c r="L6481">
        <v>0.11</v>
      </c>
      <c r="M6481">
        <v>0.99099999999999999</v>
      </c>
      <c r="N6481">
        <v>0.95</v>
      </c>
    </row>
    <row r="6482" spans="1:14" x14ac:dyDescent="0.25">
      <c r="A6482" t="s">
        <v>11630</v>
      </c>
      <c r="B6482" t="s">
        <v>11631</v>
      </c>
      <c r="C6482" s="1" t="str">
        <f>HYPERLINK("http://www.genecards.org/cgi-bin/carddisp.pl?gene=C4orf29","GeneCards")</f>
        <v>GeneCards</v>
      </c>
      <c r="D6482" s="1" t="str">
        <f>HYPERLINK("http://genome-euro.ucsc.edu/cgi-bin/hgTracks?position=219980_at","UCSC")</f>
        <v>UCSC</v>
      </c>
      <c r="E6482" s="1" t="str">
        <f>HYPERLINK("http://www.ncbi.nlm.nih.gov/gene/?term=C4orf29","NCBI")</f>
        <v>NCBI</v>
      </c>
      <c r="F6482">
        <v>7.5999999999999998E-2</v>
      </c>
      <c r="G6482">
        <v>0.2</v>
      </c>
      <c r="H6482" s="1" t="str">
        <f>HYPERLINK("http://www.weizmann.ac.il/complex/compphys/software/geview/data/figures/219980_at.png","Figure")</f>
        <v>Figure</v>
      </c>
      <c r="I6482">
        <v>0.71799999999999997</v>
      </c>
      <c r="J6482">
        <v>7.4999999999999997E-2</v>
      </c>
      <c r="K6482">
        <v>0.92700000000000005</v>
      </c>
      <c r="L6482">
        <v>0.8</v>
      </c>
      <c r="M6482">
        <v>1.29</v>
      </c>
      <c r="N6482">
        <v>0.15</v>
      </c>
    </row>
    <row r="6483" spans="1:14" x14ac:dyDescent="0.25">
      <c r="A6483" t="s">
        <v>11632</v>
      </c>
      <c r="B6483" t="s">
        <v>10787</v>
      </c>
      <c r="C6483" s="1" t="str">
        <f>HYPERLINK("http://www.genecards.org/cgi-bin/carddisp.pl?gene=VAMP1","GeneCards")</f>
        <v>GeneCards</v>
      </c>
      <c r="D6483" s="1" t="str">
        <f>HYPERLINK("http://genome-euro.ucsc.edu/cgi-bin/hgTracks?position=207100_s_at","UCSC")</f>
        <v>UCSC</v>
      </c>
      <c r="E6483" s="1" t="str">
        <f>HYPERLINK("http://www.ncbi.nlm.nih.gov/gene/?term=VAMP1","NCBI")</f>
        <v>NCBI</v>
      </c>
      <c r="F6483">
        <v>7.5999999999999998E-2</v>
      </c>
      <c r="G6483">
        <v>0.2</v>
      </c>
      <c r="H6483" s="1" t="str">
        <f>HYPERLINK("http://www.weizmann.ac.il/complex/compphys/software/geview/data/figures/207100_s_at.png","Figure")</f>
        <v>Figure</v>
      </c>
      <c r="I6483">
        <v>0.66900000000000004</v>
      </c>
      <c r="J6483">
        <v>6.5000000000000002E-2</v>
      </c>
      <c r="K6483">
        <v>0.81</v>
      </c>
      <c r="L6483">
        <v>0.33</v>
      </c>
      <c r="M6483">
        <v>1.21</v>
      </c>
      <c r="N6483">
        <v>0.43</v>
      </c>
    </row>
    <row r="6484" spans="1:14" x14ac:dyDescent="0.25">
      <c r="A6484" t="s">
        <v>11633</v>
      </c>
      <c r="B6484" t="s">
        <v>11634</v>
      </c>
      <c r="C6484" s="1" t="str">
        <f>HYPERLINK("http://www.genecards.org/cgi-bin/carddisp.pl?gene=C22orf24","GeneCards")</f>
        <v>GeneCards</v>
      </c>
      <c r="D6484" s="1" t="str">
        <f>HYPERLINK("http://genome-euro.ucsc.edu/cgi-bin/hgTracks?position=207701_at","UCSC")</f>
        <v>UCSC</v>
      </c>
      <c r="E6484" s="1" t="str">
        <f>HYPERLINK("http://www.ncbi.nlm.nih.gov/gene/?term=C22orf24","NCBI")</f>
        <v>NCBI</v>
      </c>
      <c r="F6484">
        <v>7.5999999999999998E-2</v>
      </c>
      <c r="G6484">
        <v>0.2</v>
      </c>
      <c r="H6484" s="1" t="str">
        <f>HYPERLINK("http://www.weizmann.ac.il/complex/compphys/software/geview/data/figures/207701_at.png","Figure")</f>
        <v>Figure</v>
      </c>
      <c r="I6484">
        <v>1.1399999999999999</v>
      </c>
      <c r="J6484">
        <v>6.5000000000000002E-2</v>
      </c>
      <c r="K6484">
        <v>1.05</v>
      </c>
      <c r="L6484">
        <v>0.56000000000000005</v>
      </c>
      <c r="M6484">
        <v>0.92</v>
      </c>
      <c r="N6484">
        <v>0.24</v>
      </c>
    </row>
    <row r="6485" spans="1:14" x14ac:dyDescent="0.25">
      <c r="A6485" t="s">
        <v>11635</v>
      </c>
      <c r="B6485" t="s">
        <v>11636</v>
      </c>
      <c r="C6485" s="1" t="str">
        <f>HYPERLINK("http://www.genecards.org/cgi-bin/carddisp.pl?gene=ACSM2A /// ACSM2B /// LOC100291873","GeneCards")</f>
        <v>GeneCards</v>
      </c>
      <c r="D6485" s="1" t="str">
        <f>HYPERLINK("http://genome-euro.ucsc.edu/cgi-bin/hgTracks?position=214069_at","UCSC")</f>
        <v>UCSC</v>
      </c>
      <c r="E6485" s="1" t="str">
        <f>HYPERLINK("http://www.ncbi.nlm.nih.gov/gene/?term=ACSM2A /// ACSM2B /// LOC100291873","NCBI")</f>
        <v>NCBI</v>
      </c>
      <c r="F6485">
        <v>7.5999999999999998E-2</v>
      </c>
      <c r="G6485">
        <v>0.2</v>
      </c>
      <c r="H6485" s="1" t="str">
        <f>HYPERLINK("http://www.weizmann.ac.il/complex/compphys/software/geview/data/figures/214069_at.png","Figure")</f>
        <v>Figure</v>
      </c>
      <c r="I6485">
        <v>1.08</v>
      </c>
      <c r="J6485">
        <v>0.17</v>
      </c>
      <c r="K6485">
        <v>1.0900000000000001</v>
      </c>
      <c r="L6485">
        <v>0.08</v>
      </c>
      <c r="M6485">
        <v>1.01</v>
      </c>
      <c r="N6485">
        <v>0.98</v>
      </c>
    </row>
    <row r="6486" spans="1:14" x14ac:dyDescent="0.25">
      <c r="A6486" t="s">
        <v>11637</v>
      </c>
      <c r="B6486" t="s">
        <v>11638</v>
      </c>
      <c r="C6486" s="1" t="str">
        <f>HYPERLINK("http://www.genecards.org/cgi-bin/carddisp.pl?gene=RPAP2","GeneCards")</f>
        <v>GeneCards</v>
      </c>
      <c r="D6486" s="1" t="str">
        <f>HYPERLINK("http://genome-euro.ucsc.edu/cgi-bin/hgTracks?position=219504_s_at","UCSC")</f>
        <v>UCSC</v>
      </c>
      <c r="E6486" s="1" t="str">
        <f>HYPERLINK("http://www.ncbi.nlm.nih.gov/gene/?term=RPAP2","NCBI")</f>
        <v>NCBI</v>
      </c>
      <c r="F6486">
        <v>7.5999999999999998E-2</v>
      </c>
      <c r="G6486">
        <v>0.2</v>
      </c>
      <c r="H6486" s="1" t="str">
        <f>HYPERLINK("http://www.weizmann.ac.il/complex/compphys/software/geview/data/figures/219504_s_at.png","Figure")</f>
        <v>Figure</v>
      </c>
      <c r="I6486">
        <v>1.0900000000000001</v>
      </c>
      <c r="J6486">
        <v>0.63</v>
      </c>
      <c r="K6486">
        <v>1.21</v>
      </c>
      <c r="L6486">
        <v>6.6000000000000003E-2</v>
      </c>
      <c r="M6486">
        <v>1.1200000000000001</v>
      </c>
      <c r="N6486">
        <v>0.41</v>
      </c>
    </row>
    <row r="6487" spans="1:14" x14ac:dyDescent="0.25">
      <c r="A6487" t="s">
        <v>11639</v>
      </c>
      <c r="B6487" t="s">
        <v>11640</v>
      </c>
      <c r="C6487" s="1" t="str">
        <f>HYPERLINK("http://www.genecards.org/cgi-bin/carddisp.pl?gene=HOXA3","GeneCards")</f>
        <v>GeneCards</v>
      </c>
      <c r="D6487" s="1" t="str">
        <f>HYPERLINK("http://genome-euro.ucsc.edu/cgi-bin/hgTracks?position=208604_s_at","UCSC")</f>
        <v>UCSC</v>
      </c>
      <c r="E6487" s="1" t="str">
        <f>HYPERLINK("http://www.ncbi.nlm.nih.gov/gene/?term=HOXA3","NCBI")</f>
        <v>NCBI</v>
      </c>
      <c r="F6487">
        <v>7.6999999999999999E-2</v>
      </c>
      <c r="G6487">
        <v>0.2</v>
      </c>
      <c r="H6487" s="1" t="str">
        <f>HYPERLINK("http://www.weizmann.ac.il/complex/compphys/software/geview/data/figures/208604_s_at.png","Figure")</f>
        <v>Figure</v>
      </c>
      <c r="I6487">
        <v>1.24</v>
      </c>
      <c r="J6487">
        <v>6.4000000000000001E-2</v>
      </c>
      <c r="K6487">
        <v>1.0900000000000001</v>
      </c>
      <c r="L6487">
        <v>0.53</v>
      </c>
      <c r="M6487">
        <v>0.875</v>
      </c>
      <c r="N6487">
        <v>0.26</v>
      </c>
    </row>
    <row r="6488" spans="1:14" x14ac:dyDescent="0.25">
      <c r="A6488" t="s">
        <v>11641</v>
      </c>
      <c r="B6488" t="s">
        <v>6091</v>
      </c>
      <c r="C6488" s="1" t="str">
        <f>HYPERLINK("http://www.genecards.org/cgi-bin/carddisp.pl?gene=ZNF287","GeneCards")</f>
        <v>GeneCards</v>
      </c>
      <c r="D6488" s="1" t="str">
        <f>HYPERLINK("http://genome-euro.ucsc.edu/cgi-bin/hgTracks?position=216453_at","UCSC")</f>
        <v>UCSC</v>
      </c>
      <c r="E6488" s="1" t="str">
        <f>HYPERLINK("http://www.ncbi.nlm.nih.gov/gene/?term=ZNF287","NCBI")</f>
        <v>NCBI</v>
      </c>
      <c r="F6488">
        <v>7.6999999999999999E-2</v>
      </c>
      <c r="G6488">
        <v>0.2</v>
      </c>
      <c r="H6488" s="1" t="str">
        <f>HYPERLINK("http://www.weizmann.ac.il/complex/compphys/software/geview/data/figures/216453_at.png","Figure")</f>
        <v>Figure</v>
      </c>
      <c r="I6488">
        <v>1.21</v>
      </c>
      <c r="J6488">
        <v>6.8000000000000005E-2</v>
      </c>
      <c r="K6488">
        <v>1.06</v>
      </c>
      <c r="L6488">
        <v>0.68</v>
      </c>
      <c r="M6488">
        <v>0.875</v>
      </c>
      <c r="N6488">
        <v>0.19</v>
      </c>
    </row>
    <row r="6489" spans="1:14" x14ac:dyDescent="0.25">
      <c r="A6489" t="s">
        <v>11642</v>
      </c>
      <c r="B6489" t="s">
        <v>6345</v>
      </c>
      <c r="C6489" s="1" t="str">
        <f>HYPERLINK("http://www.genecards.org/cgi-bin/carddisp.pl?gene=CPD","GeneCards")</f>
        <v>GeneCards</v>
      </c>
      <c r="D6489" s="1" t="str">
        <f>HYPERLINK("http://genome-euro.ucsc.edu/cgi-bin/hgTracks?position=201943_s_at","UCSC")</f>
        <v>UCSC</v>
      </c>
      <c r="E6489" s="1" t="str">
        <f>HYPERLINK("http://www.ncbi.nlm.nih.gov/gene/?term=CPD","NCBI")</f>
        <v>NCBI</v>
      </c>
      <c r="F6489">
        <v>7.6999999999999999E-2</v>
      </c>
      <c r="G6489">
        <v>0.2</v>
      </c>
      <c r="H6489" s="1" t="str">
        <f>HYPERLINK("http://www.weizmann.ac.il/complex/compphys/software/geview/data/figures/201943_s_at.png","Figure")</f>
        <v>Figure</v>
      </c>
      <c r="I6489">
        <v>0.79400000000000004</v>
      </c>
      <c r="J6489">
        <v>6.9000000000000006E-2</v>
      </c>
      <c r="K6489">
        <v>0.93500000000000005</v>
      </c>
      <c r="L6489">
        <v>0.7</v>
      </c>
      <c r="M6489">
        <v>1.18</v>
      </c>
      <c r="N6489">
        <v>0.19</v>
      </c>
    </row>
    <row r="6490" spans="1:14" x14ac:dyDescent="0.25">
      <c r="A6490" t="s">
        <v>11643</v>
      </c>
      <c r="B6490" t="s">
        <v>10489</v>
      </c>
      <c r="C6490" s="1" t="str">
        <f>HYPERLINK("http://www.genecards.org/cgi-bin/carddisp.pl?gene=SPAG9","GeneCards")</f>
        <v>GeneCards</v>
      </c>
      <c r="D6490" s="1" t="str">
        <f>HYPERLINK("http://genome-euro.ucsc.edu/cgi-bin/hgTracks?position=212468_at","UCSC")</f>
        <v>UCSC</v>
      </c>
      <c r="E6490" s="1" t="str">
        <f>HYPERLINK("http://www.ncbi.nlm.nih.gov/gene/?term=SPAG9","NCBI")</f>
        <v>NCBI</v>
      </c>
      <c r="F6490">
        <v>7.6999999999999999E-2</v>
      </c>
      <c r="G6490">
        <v>0.2</v>
      </c>
      <c r="H6490" s="1" t="str">
        <f>HYPERLINK("http://www.weizmann.ac.il/complex/compphys/software/geview/data/figures/212468_at.png","Figure")</f>
        <v>Figure</v>
      </c>
      <c r="I6490">
        <v>0.621</v>
      </c>
      <c r="J6490">
        <v>7.1999999999999995E-2</v>
      </c>
      <c r="K6490">
        <v>0.88600000000000001</v>
      </c>
      <c r="L6490">
        <v>0.76</v>
      </c>
      <c r="M6490">
        <v>1.43</v>
      </c>
      <c r="N6490">
        <v>0.17</v>
      </c>
    </row>
    <row r="6491" spans="1:14" x14ac:dyDescent="0.25">
      <c r="A6491" t="s">
        <v>11644</v>
      </c>
      <c r="B6491" t="s">
        <v>10513</v>
      </c>
      <c r="C6491" s="1" t="str">
        <f>HYPERLINK("http://www.genecards.org/cgi-bin/carddisp.pl?gene=PPP1CB","GeneCards")</f>
        <v>GeneCards</v>
      </c>
      <c r="D6491" s="1" t="str">
        <f>HYPERLINK("http://genome-euro.ucsc.edu/cgi-bin/hgTracks?position=201408_at","UCSC")</f>
        <v>UCSC</v>
      </c>
      <c r="E6491" s="1" t="str">
        <f>HYPERLINK("http://www.ncbi.nlm.nih.gov/gene/?term=PPP1CB","NCBI")</f>
        <v>NCBI</v>
      </c>
      <c r="F6491">
        <v>7.6999999999999999E-2</v>
      </c>
      <c r="G6491">
        <v>0.2</v>
      </c>
      <c r="H6491" s="1" t="str">
        <f>HYPERLINK("http://www.weizmann.ac.il/complex/compphys/software/geview/data/figures/201408_at.png","Figure")</f>
        <v>Figure</v>
      </c>
      <c r="I6491">
        <v>0.6</v>
      </c>
      <c r="J6491">
        <v>0.1</v>
      </c>
      <c r="K6491">
        <v>0.65800000000000003</v>
      </c>
      <c r="L6491">
        <v>0.13</v>
      </c>
      <c r="M6491">
        <v>1.1000000000000001</v>
      </c>
      <c r="N6491">
        <v>0.9</v>
      </c>
    </row>
    <row r="6492" spans="1:14" x14ac:dyDescent="0.25">
      <c r="A6492" t="s">
        <v>11645</v>
      </c>
      <c r="B6492" t="s">
        <v>11646</v>
      </c>
      <c r="C6492" s="1" t="str">
        <f>HYPERLINK("http://www.genecards.org/cgi-bin/carddisp.pl?gene=PDAP1","GeneCards")</f>
        <v>GeneCards</v>
      </c>
      <c r="D6492" s="1" t="str">
        <f>HYPERLINK("http://genome-euro.ucsc.edu/cgi-bin/hgTracks?position=202290_at","UCSC")</f>
        <v>UCSC</v>
      </c>
      <c r="E6492" s="1" t="str">
        <f>HYPERLINK("http://www.ncbi.nlm.nih.gov/gene/?term=PDAP1","NCBI")</f>
        <v>NCBI</v>
      </c>
      <c r="F6492">
        <v>7.6999999999999999E-2</v>
      </c>
      <c r="G6492">
        <v>0.2</v>
      </c>
      <c r="H6492" s="1" t="str">
        <f>HYPERLINK("http://www.weizmann.ac.il/complex/compphys/software/geview/data/figures/202290_at.png","Figure")</f>
        <v>Figure</v>
      </c>
      <c r="I6492">
        <v>1.1299999999999999</v>
      </c>
      <c r="J6492">
        <v>0.35</v>
      </c>
      <c r="K6492">
        <v>1.2</v>
      </c>
      <c r="L6492">
        <v>6.4000000000000001E-2</v>
      </c>
      <c r="M6492">
        <v>1.06</v>
      </c>
      <c r="N6492">
        <v>0.71</v>
      </c>
    </row>
    <row r="6493" spans="1:14" x14ac:dyDescent="0.25">
      <c r="A6493" t="s">
        <v>11647</v>
      </c>
      <c r="B6493" t="s">
        <v>11648</v>
      </c>
      <c r="C6493" s="1" t="str">
        <f>HYPERLINK("http://www.genecards.org/cgi-bin/carddisp.pl?gene=GUSB","GeneCards")</f>
        <v>GeneCards</v>
      </c>
      <c r="D6493" s="1" t="str">
        <f>HYPERLINK("http://genome-euro.ucsc.edu/cgi-bin/hgTracks?position=202605_at","UCSC")</f>
        <v>UCSC</v>
      </c>
      <c r="E6493" s="1" t="str">
        <f>HYPERLINK("http://www.ncbi.nlm.nih.gov/gene/?term=GUSB","NCBI")</f>
        <v>NCBI</v>
      </c>
      <c r="F6493">
        <v>7.6999999999999999E-2</v>
      </c>
      <c r="G6493">
        <v>0.2</v>
      </c>
      <c r="H6493" s="1" t="str">
        <f>HYPERLINK("http://www.weizmann.ac.il/complex/compphys/software/geview/data/figures/202605_at.png","Figure")</f>
        <v>Figure</v>
      </c>
      <c r="I6493">
        <v>0.88100000000000001</v>
      </c>
      <c r="J6493">
        <v>0.56000000000000005</v>
      </c>
      <c r="K6493">
        <v>0.76900000000000002</v>
      </c>
      <c r="L6493">
        <v>6.5000000000000002E-2</v>
      </c>
      <c r="M6493">
        <v>0.873</v>
      </c>
      <c r="N6493">
        <v>0.47</v>
      </c>
    </row>
    <row r="6494" spans="1:14" x14ac:dyDescent="0.25">
      <c r="A6494" t="s">
        <v>11649</v>
      </c>
      <c r="B6494" t="s">
        <v>11650</v>
      </c>
      <c r="C6494" s="1" t="str">
        <f>HYPERLINK("http://www.genecards.org/cgi-bin/carddisp.pl?gene=HNRNPA3","GeneCards")</f>
        <v>GeneCards</v>
      </c>
      <c r="D6494" s="1" t="str">
        <f>HYPERLINK("http://genome-euro.ucsc.edu/cgi-bin/hgTracks?position=211932_at","UCSC")</f>
        <v>UCSC</v>
      </c>
      <c r="E6494" s="1" t="str">
        <f>HYPERLINK("http://www.ncbi.nlm.nih.gov/gene/?term=HNRNPA3","NCBI")</f>
        <v>NCBI</v>
      </c>
      <c r="F6494">
        <v>7.6999999999999999E-2</v>
      </c>
      <c r="G6494">
        <v>0.2</v>
      </c>
      <c r="H6494" s="1" t="str">
        <f>HYPERLINK("http://www.weizmann.ac.il/complex/compphys/software/geview/data/figures/211932_at.png","Figure")</f>
        <v>Figure</v>
      </c>
      <c r="I6494">
        <v>0.76300000000000001</v>
      </c>
      <c r="J6494">
        <v>0.39</v>
      </c>
      <c r="K6494">
        <v>1.22</v>
      </c>
      <c r="L6494">
        <v>0.51</v>
      </c>
      <c r="M6494">
        <v>1.6</v>
      </c>
      <c r="N6494">
        <v>6.4000000000000001E-2</v>
      </c>
    </row>
    <row r="6495" spans="1:14" x14ac:dyDescent="0.25">
      <c r="A6495" t="s">
        <v>11651</v>
      </c>
      <c r="B6495" t="s">
        <v>8016</v>
      </c>
      <c r="C6495" s="1" t="str">
        <f>HYPERLINK("http://www.genecards.org/cgi-bin/carddisp.pl?gene=SLC6A8","GeneCards")</f>
        <v>GeneCards</v>
      </c>
      <c r="D6495" s="1" t="str">
        <f>HYPERLINK("http://genome-euro.ucsc.edu/cgi-bin/hgTracks?position=213843_x_at","UCSC")</f>
        <v>UCSC</v>
      </c>
      <c r="E6495" s="1" t="str">
        <f>HYPERLINK("http://www.ncbi.nlm.nih.gov/gene/?term=SLC6A8","NCBI")</f>
        <v>NCBI</v>
      </c>
      <c r="F6495">
        <v>7.6999999999999999E-2</v>
      </c>
      <c r="G6495">
        <v>0.2</v>
      </c>
      <c r="H6495" s="1" t="str">
        <f>HYPERLINK("http://www.weizmann.ac.il/complex/compphys/software/geview/data/figures/213843_x_at.png","Figure")</f>
        <v>Figure</v>
      </c>
      <c r="I6495">
        <v>1.22</v>
      </c>
      <c r="J6495">
        <v>7.2999999999999995E-2</v>
      </c>
      <c r="K6495">
        <v>1.05</v>
      </c>
      <c r="L6495">
        <v>0.77</v>
      </c>
      <c r="M6495">
        <v>0.86</v>
      </c>
      <c r="N6495">
        <v>0.16</v>
      </c>
    </row>
    <row r="6496" spans="1:14" x14ac:dyDescent="0.25">
      <c r="A6496" t="s">
        <v>11652</v>
      </c>
      <c r="B6496" t="s">
        <v>11653</v>
      </c>
      <c r="C6496" s="1" t="str">
        <f>HYPERLINK("http://www.genecards.org/cgi-bin/carddisp.pl?gene=FZD2","GeneCards")</f>
        <v>GeneCards</v>
      </c>
      <c r="D6496" s="1" t="str">
        <f>HYPERLINK("http://genome-euro.ucsc.edu/cgi-bin/hgTracks?position=210220_at","UCSC")</f>
        <v>UCSC</v>
      </c>
      <c r="E6496" s="1" t="str">
        <f>HYPERLINK("http://www.ncbi.nlm.nih.gov/gene/?term=FZD2","NCBI")</f>
        <v>NCBI</v>
      </c>
      <c r="F6496">
        <v>7.6999999999999999E-2</v>
      </c>
      <c r="G6496">
        <v>0.2</v>
      </c>
      <c r="H6496" s="1" t="str">
        <f>HYPERLINK("http://www.weizmann.ac.il/complex/compphys/software/geview/data/figures/210220_at.png","Figure")</f>
        <v>Figure</v>
      </c>
      <c r="I6496">
        <v>0.70599999999999996</v>
      </c>
      <c r="J6496">
        <v>8.5999999999999993E-2</v>
      </c>
      <c r="K6496">
        <v>0.94899999999999995</v>
      </c>
      <c r="L6496">
        <v>0.91</v>
      </c>
      <c r="M6496">
        <v>1.34</v>
      </c>
      <c r="N6496">
        <v>0.12</v>
      </c>
    </row>
    <row r="6497" spans="1:14" x14ac:dyDescent="0.25">
      <c r="A6497" t="s">
        <v>11654</v>
      </c>
      <c r="B6497" t="s">
        <v>2633</v>
      </c>
      <c r="C6497" s="1" t="str">
        <f>HYPERLINK("http://www.genecards.org/cgi-bin/carddisp.pl?gene=FAM115A","GeneCards")</f>
        <v>GeneCards</v>
      </c>
      <c r="D6497" s="1" t="str">
        <f>HYPERLINK("http://genome-euro.ucsc.edu/cgi-bin/hgTracks?position=210529_s_at","UCSC")</f>
        <v>UCSC</v>
      </c>
      <c r="E6497" s="1" t="str">
        <f>HYPERLINK("http://www.ncbi.nlm.nih.gov/gene/?term=FAM115A","NCBI")</f>
        <v>NCBI</v>
      </c>
      <c r="F6497">
        <v>7.6999999999999999E-2</v>
      </c>
      <c r="G6497">
        <v>0.2</v>
      </c>
      <c r="H6497" s="1" t="str">
        <f>HYPERLINK("http://www.weizmann.ac.il/complex/compphys/software/geview/data/figures/210529_s_at.png","Figure")</f>
        <v>Figure</v>
      </c>
      <c r="I6497">
        <v>1.1399999999999999</v>
      </c>
      <c r="J6497">
        <v>0.19</v>
      </c>
      <c r="K6497">
        <v>0.96799999999999997</v>
      </c>
      <c r="L6497">
        <v>0.86</v>
      </c>
      <c r="M6497">
        <v>0.84899999999999998</v>
      </c>
      <c r="N6497">
        <v>6.8000000000000005E-2</v>
      </c>
    </row>
    <row r="6498" spans="1:14" x14ac:dyDescent="0.25">
      <c r="A6498" t="s">
        <v>11655</v>
      </c>
      <c r="B6498" t="s">
        <v>11314</v>
      </c>
      <c r="C6498" s="1" t="str">
        <f>HYPERLINK("http://www.genecards.org/cgi-bin/carddisp.pl?gene=C15orf39","GeneCards")</f>
        <v>GeneCards</v>
      </c>
      <c r="D6498" s="1" t="str">
        <f>HYPERLINK("http://genome-euro.ucsc.edu/cgi-bin/hgTracks?position=204494_s_at","UCSC")</f>
        <v>UCSC</v>
      </c>
      <c r="E6498" s="1" t="str">
        <f>HYPERLINK("http://www.ncbi.nlm.nih.gov/gene/?term=C15orf39","NCBI")</f>
        <v>NCBI</v>
      </c>
      <c r="F6498">
        <v>7.6999999999999999E-2</v>
      </c>
      <c r="G6498">
        <v>0.2</v>
      </c>
      <c r="H6498" s="1" t="str">
        <f>HYPERLINK("http://www.weizmann.ac.il/complex/compphys/software/geview/data/figures/204494_s_at.png","Figure")</f>
        <v>Figure</v>
      </c>
      <c r="I6498">
        <v>0.92500000000000004</v>
      </c>
      <c r="J6498">
        <v>0.83</v>
      </c>
      <c r="K6498">
        <v>1.23</v>
      </c>
      <c r="L6498">
        <v>0.21</v>
      </c>
      <c r="M6498">
        <v>1.33</v>
      </c>
      <c r="N6498">
        <v>0.09</v>
      </c>
    </row>
    <row r="6499" spans="1:14" x14ac:dyDescent="0.25">
      <c r="A6499" t="s">
        <v>11656</v>
      </c>
      <c r="B6499" t="s">
        <v>11657</v>
      </c>
      <c r="C6499" s="1" t="str">
        <f>HYPERLINK("http://www.genecards.org/cgi-bin/carddisp.pl?gene=FCHSD2","GeneCards")</f>
        <v>GeneCards</v>
      </c>
      <c r="D6499" s="1" t="str">
        <f>HYPERLINK("http://genome-euro.ucsc.edu/cgi-bin/hgTracks?position=203620_s_at","UCSC")</f>
        <v>UCSC</v>
      </c>
      <c r="E6499" s="1" t="str">
        <f>HYPERLINK("http://www.ncbi.nlm.nih.gov/gene/?term=FCHSD2","NCBI")</f>
        <v>NCBI</v>
      </c>
      <c r="F6499">
        <v>7.6999999999999999E-2</v>
      </c>
      <c r="G6499">
        <v>0.2</v>
      </c>
      <c r="H6499" s="1" t="str">
        <f>HYPERLINK("http://www.weizmann.ac.il/complex/compphys/software/geview/data/figures/203620_s_at.png","Figure")</f>
        <v>Figure</v>
      </c>
      <c r="I6499">
        <v>0.98099999999999998</v>
      </c>
      <c r="J6499">
        <v>1</v>
      </c>
      <c r="K6499">
        <v>0.51700000000000002</v>
      </c>
      <c r="L6499">
        <v>0.11</v>
      </c>
      <c r="M6499">
        <v>0.52700000000000002</v>
      </c>
      <c r="N6499">
        <v>0.16</v>
      </c>
    </row>
    <row r="6500" spans="1:14" x14ac:dyDescent="0.25">
      <c r="A6500" t="s">
        <v>11658</v>
      </c>
      <c r="B6500" t="s">
        <v>8612</v>
      </c>
      <c r="C6500" s="1" t="str">
        <f>HYPERLINK("http://www.genecards.org/cgi-bin/carddisp.pl?gene=FAM120A","GeneCards")</f>
        <v>GeneCards</v>
      </c>
      <c r="D6500" s="1" t="str">
        <f>HYPERLINK("http://genome-euro.ucsc.edu/cgi-bin/hgTracks?position=200774_at","UCSC")</f>
        <v>UCSC</v>
      </c>
      <c r="E6500" s="1" t="str">
        <f>HYPERLINK("http://www.ncbi.nlm.nih.gov/gene/?term=FAM120A","NCBI")</f>
        <v>NCBI</v>
      </c>
      <c r="F6500">
        <v>7.6999999999999999E-2</v>
      </c>
      <c r="G6500">
        <v>0.2</v>
      </c>
      <c r="H6500" s="1" t="str">
        <f>HYPERLINK("http://www.weizmann.ac.il/complex/compphys/software/geview/data/figures/200774_at.png","Figure")</f>
        <v>Figure</v>
      </c>
      <c r="I6500">
        <v>1.1399999999999999</v>
      </c>
      <c r="J6500">
        <v>0.89</v>
      </c>
      <c r="K6500">
        <v>1.77</v>
      </c>
      <c r="L6500">
        <v>8.2000000000000003E-2</v>
      </c>
      <c r="M6500">
        <v>1.55</v>
      </c>
      <c r="N6500">
        <v>0.24</v>
      </c>
    </row>
    <row r="6501" spans="1:14" x14ac:dyDescent="0.25">
      <c r="A6501" t="s">
        <v>11659</v>
      </c>
      <c r="B6501" t="s">
        <v>11660</v>
      </c>
      <c r="C6501" s="1" t="str">
        <f>HYPERLINK("http://www.genecards.org/cgi-bin/carddisp.pl?gene=LAMP1","GeneCards")</f>
        <v>GeneCards</v>
      </c>
      <c r="D6501" s="1" t="str">
        <f>HYPERLINK("http://genome-euro.ucsc.edu/cgi-bin/hgTracks?position=201552_at","UCSC")</f>
        <v>UCSC</v>
      </c>
      <c r="E6501" s="1" t="str">
        <f>HYPERLINK("http://www.ncbi.nlm.nih.gov/gene/?term=LAMP1","NCBI")</f>
        <v>NCBI</v>
      </c>
      <c r="F6501">
        <v>7.6999999999999999E-2</v>
      </c>
      <c r="G6501">
        <v>0.2</v>
      </c>
      <c r="H6501" s="1" t="str">
        <f>HYPERLINK("http://www.weizmann.ac.il/complex/compphys/software/geview/data/figures/201552_at.png","Figure")</f>
        <v>Figure</v>
      </c>
      <c r="I6501">
        <v>0.71299999999999997</v>
      </c>
      <c r="J6501">
        <v>0.3</v>
      </c>
      <c r="K6501">
        <v>0.625</v>
      </c>
      <c r="L6501">
        <v>6.6000000000000003E-2</v>
      </c>
      <c r="M6501">
        <v>0.877</v>
      </c>
      <c r="N6501">
        <v>0.8</v>
      </c>
    </row>
    <row r="6502" spans="1:14" x14ac:dyDescent="0.25">
      <c r="A6502" t="s">
        <v>11661</v>
      </c>
      <c r="B6502" t="s">
        <v>11662</v>
      </c>
      <c r="C6502" s="1" t="str">
        <f>HYPERLINK("http://www.genecards.org/cgi-bin/carddisp.pl?gene=CLSTN1","GeneCards")</f>
        <v>GeneCards</v>
      </c>
      <c r="D6502" s="1" t="str">
        <f>HYPERLINK("http://genome-euro.ucsc.edu/cgi-bin/hgTracks?position=201561_s_at","UCSC")</f>
        <v>UCSC</v>
      </c>
      <c r="E6502" s="1" t="str">
        <f>HYPERLINK("http://www.ncbi.nlm.nih.gov/gene/?term=CLSTN1","NCBI")</f>
        <v>NCBI</v>
      </c>
      <c r="F6502">
        <v>7.6999999999999999E-2</v>
      </c>
      <c r="G6502">
        <v>0.2</v>
      </c>
      <c r="H6502" s="1" t="str">
        <f>HYPERLINK("http://www.weizmann.ac.il/complex/compphys/software/geview/data/figures/201561_s_at.png","Figure")</f>
        <v>Figure</v>
      </c>
      <c r="I6502">
        <v>1.01</v>
      </c>
      <c r="J6502">
        <v>0.99</v>
      </c>
      <c r="K6502">
        <v>0.78300000000000003</v>
      </c>
      <c r="L6502">
        <v>0.13</v>
      </c>
      <c r="M6502">
        <v>0.77200000000000002</v>
      </c>
      <c r="N6502">
        <v>0.13</v>
      </c>
    </row>
    <row r="6503" spans="1:14" x14ac:dyDescent="0.25">
      <c r="A6503" t="s">
        <v>11663</v>
      </c>
      <c r="B6503" t="s">
        <v>11664</v>
      </c>
      <c r="C6503" s="1" t="str">
        <f>HYPERLINK("http://www.genecards.org/cgi-bin/carddisp.pl?gene=MMP8","GeneCards")</f>
        <v>GeneCards</v>
      </c>
      <c r="D6503" s="1" t="str">
        <f>HYPERLINK("http://genome-euro.ucsc.edu/cgi-bin/hgTracks?position=207329_at","UCSC")</f>
        <v>UCSC</v>
      </c>
      <c r="E6503" s="1" t="str">
        <f>HYPERLINK("http://www.ncbi.nlm.nih.gov/gene/?term=MMP8","NCBI")</f>
        <v>NCBI</v>
      </c>
      <c r="F6503">
        <v>7.6999999999999999E-2</v>
      </c>
      <c r="G6503">
        <v>0.2</v>
      </c>
      <c r="H6503" s="1" t="str">
        <f>HYPERLINK("http://www.weizmann.ac.il/complex/compphys/software/geview/data/figures/207329_at.png","Figure")</f>
        <v>Figure</v>
      </c>
      <c r="I6503">
        <v>1.1399999999999999</v>
      </c>
      <c r="J6503">
        <v>8.5999999999999993E-2</v>
      </c>
      <c r="K6503">
        <v>1.1000000000000001</v>
      </c>
      <c r="L6503">
        <v>0.16</v>
      </c>
      <c r="M6503">
        <v>0.96699999999999997</v>
      </c>
      <c r="N6503">
        <v>0.79</v>
      </c>
    </row>
    <row r="6504" spans="1:14" x14ac:dyDescent="0.25">
      <c r="A6504" t="s">
        <v>11665</v>
      </c>
      <c r="B6504" t="s">
        <v>11666</v>
      </c>
      <c r="C6504" s="1" t="str">
        <f>HYPERLINK("http://www.genecards.org/cgi-bin/carddisp.pl?gene=GOT1","GeneCards")</f>
        <v>GeneCards</v>
      </c>
      <c r="D6504" s="1" t="str">
        <f>HYPERLINK("http://genome-euro.ucsc.edu/cgi-bin/hgTracks?position=208813_at","UCSC")</f>
        <v>UCSC</v>
      </c>
      <c r="E6504" s="1" t="str">
        <f>HYPERLINK("http://www.ncbi.nlm.nih.gov/gene/?term=GOT1","NCBI")</f>
        <v>NCBI</v>
      </c>
      <c r="F6504">
        <v>7.6999999999999999E-2</v>
      </c>
      <c r="G6504">
        <v>0.2</v>
      </c>
      <c r="H6504" s="1" t="str">
        <f>HYPERLINK("http://www.weizmann.ac.il/complex/compphys/software/geview/data/figures/208813_at.png","Figure")</f>
        <v>Figure</v>
      </c>
      <c r="I6504">
        <v>0.77</v>
      </c>
      <c r="J6504">
        <v>0.1</v>
      </c>
      <c r="K6504">
        <v>0.98199999999999998</v>
      </c>
      <c r="L6504">
        <v>0.98</v>
      </c>
      <c r="M6504">
        <v>1.28</v>
      </c>
      <c r="N6504">
        <v>0.1</v>
      </c>
    </row>
    <row r="6505" spans="1:14" x14ac:dyDescent="0.25">
      <c r="A6505" t="s">
        <v>11667</v>
      </c>
      <c r="B6505" t="s">
        <v>11668</v>
      </c>
      <c r="C6505" s="1" t="str">
        <f>HYPERLINK("http://www.genecards.org/cgi-bin/carddisp.pl?gene=RFC1","GeneCards")</f>
        <v>GeneCards</v>
      </c>
      <c r="D6505" s="1" t="str">
        <f>HYPERLINK("http://genome-euro.ucsc.edu/cgi-bin/hgTracks?position=209085_x_at","UCSC")</f>
        <v>UCSC</v>
      </c>
      <c r="E6505" s="1" t="str">
        <f>HYPERLINK("http://www.ncbi.nlm.nih.gov/gene/?term=RFC1","NCBI")</f>
        <v>NCBI</v>
      </c>
      <c r="F6505">
        <v>7.6999999999999999E-2</v>
      </c>
      <c r="G6505">
        <v>0.2</v>
      </c>
      <c r="H6505" s="1" t="str">
        <f>HYPERLINK("http://www.weizmann.ac.il/complex/compphys/software/geview/data/figures/209085_x_at.png","Figure")</f>
        <v>Figure</v>
      </c>
      <c r="I6505">
        <v>0.78500000000000003</v>
      </c>
      <c r="J6505">
        <v>0.11</v>
      </c>
      <c r="K6505">
        <v>0.81299999999999994</v>
      </c>
      <c r="L6505">
        <v>0.12</v>
      </c>
      <c r="M6505">
        <v>1.04</v>
      </c>
      <c r="N6505">
        <v>0.94</v>
      </c>
    </row>
    <row r="6506" spans="1:14" x14ac:dyDescent="0.25">
      <c r="A6506" t="s">
        <v>11669</v>
      </c>
      <c r="B6506" t="s">
        <v>11670</v>
      </c>
      <c r="C6506" s="1" t="str">
        <f>HYPERLINK("http://www.genecards.org/cgi-bin/carddisp.pl?gene=TGFB3","GeneCards")</f>
        <v>GeneCards</v>
      </c>
      <c r="D6506" s="1" t="str">
        <f>HYPERLINK("http://genome-euro.ucsc.edu/cgi-bin/hgTracks?position=209747_at","UCSC")</f>
        <v>UCSC</v>
      </c>
      <c r="E6506" s="1" t="str">
        <f>HYPERLINK("http://www.ncbi.nlm.nih.gov/gene/?term=TGFB3","NCBI")</f>
        <v>NCBI</v>
      </c>
      <c r="F6506">
        <v>7.6999999999999999E-2</v>
      </c>
      <c r="G6506">
        <v>0.2</v>
      </c>
      <c r="H6506" s="1" t="str">
        <f>HYPERLINK("http://www.weizmann.ac.il/complex/compphys/software/geview/data/figures/209747_at.png","Figure")</f>
        <v>Figure</v>
      </c>
      <c r="I6506">
        <v>1.2</v>
      </c>
      <c r="J6506">
        <v>7.1999999999999995E-2</v>
      </c>
      <c r="K6506">
        <v>1.05</v>
      </c>
      <c r="L6506">
        <v>0.76</v>
      </c>
      <c r="M6506">
        <v>0.874</v>
      </c>
      <c r="N6506">
        <v>0.17</v>
      </c>
    </row>
    <row r="6507" spans="1:14" x14ac:dyDescent="0.25">
      <c r="A6507" t="s">
        <v>11671</v>
      </c>
      <c r="B6507" t="s">
        <v>9305</v>
      </c>
      <c r="C6507" s="1" t="str">
        <f>HYPERLINK("http://www.genecards.org/cgi-bin/carddisp.pl?gene=PMS2L11","GeneCards")</f>
        <v>GeneCards</v>
      </c>
      <c r="D6507" s="1" t="str">
        <f>HYPERLINK("http://genome-euro.ucsc.edu/cgi-bin/hgTracks?position=210707_x_at","UCSC")</f>
        <v>UCSC</v>
      </c>
      <c r="E6507" s="1" t="str">
        <f>HYPERLINK("http://www.ncbi.nlm.nih.gov/gene/?term=PMS2L11","NCBI")</f>
        <v>NCBI</v>
      </c>
      <c r="F6507">
        <v>7.6999999999999999E-2</v>
      </c>
      <c r="G6507">
        <v>0.2</v>
      </c>
      <c r="H6507" s="1" t="str">
        <f>HYPERLINK("http://www.weizmann.ac.il/complex/compphys/software/geview/data/figures/210707_x_at.png","Figure")</f>
        <v>Figure</v>
      </c>
      <c r="I6507">
        <v>1.34</v>
      </c>
      <c r="J6507">
        <v>9.4E-2</v>
      </c>
      <c r="K6507">
        <v>1.03</v>
      </c>
      <c r="L6507">
        <v>0.96</v>
      </c>
      <c r="M6507">
        <v>0.76700000000000002</v>
      </c>
      <c r="N6507">
        <v>0.11</v>
      </c>
    </row>
    <row r="6508" spans="1:14" x14ac:dyDescent="0.25">
      <c r="A6508" t="s">
        <v>11672</v>
      </c>
      <c r="B6508" t="s">
        <v>4371</v>
      </c>
      <c r="C6508" s="1" t="str">
        <f>HYPERLINK("http://www.genecards.org/cgi-bin/carddisp.pl?gene=RPL23A","GeneCards")</f>
        <v>GeneCards</v>
      </c>
      <c r="D6508" s="1" t="str">
        <f>HYPERLINK("http://genome-euro.ucsc.edu/cgi-bin/hgTracks?position=213084_x_at","UCSC")</f>
        <v>UCSC</v>
      </c>
      <c r="E6508" s="1" t="str">
        <f>HYPERLINK("http://www.ncbi.nlm.nih.gov/gene/?term=RPL23A","NCBI")</f>
        <v>NCBI</v>
      </c>
      <c r="F6508">
        <v>7.6999999999999999E-2</v>
      </c>
      <c r="G6508">
        <v>0.2</v>
      </c>
      <c r="H6508" s="1" t="str">
        <f>HYPERLINK("http://www.weizmann.ac.il/complex/compphys/software/geview/data/figures/213084_x_at.png","Figure")</f>
        <v>Figure</v>
      </c>
      <c r="I6508">
        <v>0.91100000000000003</v>
      </c>
      <c r="J6508">
        <v>0.69</v>
      </c>
      <c r="K6508">
        <v>1.17</v>
      </c>
      <c r="L6508">
        <v>0.28000000000000003</v>
      </c>
      <c r="M6508">
        <v>1.28</v>
      </c>
      <c r="N6508">
        <v>7.6999999999999999E-2</v>
      </c>
    </row>
    <row r="6509" spans="1:14" x14ac:dyDescent="0.25">
      <c r="A6509" t="s">
        <v>11673</v>
      </c>
      <c r="B6509" t="s">
        <v>11674</v>
      </c>
      <c r="C6509" s="1" t="str">
        <f>HYPERLINK("http://www.genecards.org/cgi-bin/carddisp.pl?gene=WDR12","GeneCards")</f>
        <v>GeneCards</v>
      </c>
      <c r="D6509" s="1" t="str">
        <f>HYPERLINK("http://genome-euro.ucsc.edu/cgi-bin/hgTracks?position=218512_at","UCSC")</f>
        <v>UCSC</v>
      </c>
      <c r="E6509" s="1" t="str">
        <f>HYPERLINK("http://www.ncbi.nlm.nih.gov/gene/?term=WDR12","NCBI")</f>
        <v>NCBI</v>
      </c>
      <c r="F6509">
        <v>7.6999999999999999E-2</v>
      </c>
      <c r="G6509">
        <v>0.2</v>
      </c>
      <c r="H6509" s="1" t="str">
        <f>HYPERLINK("http://www.weizmann.ac.il/complex/compphys/software/geview/data/figures/218512_at.png","Figure")</f>
        <v>Figure</v>
      </c>
      <c r="I6509">
        <v>1.1299999999999999</v>
      </c>
      <c r="J6509">
        <v>0.75</v>
      </c>
      <c r="K6509">
        <v>1.43</v>
      </c>
      <c r="L6509">
        <v>7.1999999999999995E-2</v>
      </c>
      <c r="M6509">
        <v>1.26</v>
      </c>
      <c r="N6509">
        <v>0.32</v>
      </c>
    </row>
    <row r="6510" spans="1:14" x14ac:dyDescent="0.25">
      <c r="A6510" t="s">
        <v>11675</v>
      </c>
      <c r="B6510" t="s">
        <v>10835</v>
      </c>
      <c r="C6510" s="1" t="str">
        <f>HYPERLINK("http://www.genecards.org/cgi-bin/carddisp.pl?gene=C2orf43","GeneCards")</f>
        <v>GeneCards</v>
      </c>
      <c r="D6510" s="1" t="str">
        <f>HYPERLINK("http://genome-euro.ucsc.edu/cgi-bin/hgTracks?position=219008_at","UCSC")</f>
        <v>UCSC</v>
      </c>
      <c r="E6510" s="1" t="str">
        <f>HYPERLINK("http://www.ncbi.nlm.nih.gov/gene/?term=C2orf43","NCBI")</f>
        <v>NCBI</v>
      </c>
      <c r="F6510">
        <v>7.6999999999999999E-2</v>
      </c>
      <c r="G6510">
        <v>0.2</v>
      </c>
      <c r="H6510" s="1" t="str">
        <f>HYPERLINK("http://www.weizmann.ac.il/complex/compphys/software/geview/data/figures/219008_at.png","Figure")</f>
        <v>Figure</v>
      </c>
      <c r="I6510">
        <v>0.84599999999999997</v>
      </c>
      <c r="J6510">
        <v>0.22</v>
      </c>
      <c r="K6510">
        <v>1.06</v>
      </c>
      <c r="L6510">
        <v>0.8</v>
      </c>
      <c r="M6510">
        <v>1.25</v>
      </c>
      <c r="N6510">
        <v>6.6000000000000003E-2</v>
      </c>
    </row>
    <row r="6511" spans="1:14" x14ac:dyDescent="0.25">
      <c r="A6511" t="s">
        <v>11676</v>
      </c>
      <c r="B6511" t="s">
        <v>11677</v>
      </c>
      <c r="C6511" s="1" t="str">
        <f>HYPERLINK("http://www.genecards.org/cgi-bin/carddisp.pl?gene=PARP8","GeneCards")</f>
        <v>GeneCards</v>
      </c>
      <c r="D6511" s="1" t="str">
        <f>HYPERLINK("http://genome-euro.ucsc.edu/cgi-bin/hgTracks?position=219033_at","UCSC")</f>
        <v>UCSC</v>
      </c>
      <c r="E6511" s="1" t="str">
        <f>HYPERLINK("http://www.ncbi.nlm.nih.gov/gene/?term=PARP8","NCBI")</f>
        <v>NCBI</v>
      </c>
      <c r="F6511">
        <v>7.6999999999999999E-2</v>
      </c>
      <c r="G6511">
        <v>0.2</v>
      </c>
      <c r="H6511" s="1" t="str">
        <f>HYPERLINK("http://www.weizmann.ac.il/complex/compphys/software/geview/data/figures/219033_at.png","Figure")</f>
        <v>Figure</v>
      </c>
      <c r="I6511">
        <v>0.86799999999999999</v>
      </c>
      <c r="J6511">
        <v>0.66</v>
      </c>
      <c r="K6511">
        <v>0.70799999999999996</v>
      </c>
      <c r="L6511">
        <v>6.8000000000000005E-2</v>
      </c>
      <c r="M6511">
        <v>0.81599999999999995</v>
      </c>
      <c r="N6511">
        <v>0.39</v>
      </c>
    </row>
    <row r="6512" spans="1:14" x14ac:dyDescent="0.25">
      <c r="A6512" t="s">
        <v>11678</v>
      </c>
      <c r="B6512" t="s">
        <v>11679</v>
      </c>
      <c r="C6512" s="1" t="str">
        <f>HYPERLINK("http://www.genecards.org/cgi-bin/carddisp.pl?gene=RPL22","GeneCards")</f>
        <v>GeneCards</v>
      </c>
      <c r="D6512" s="1" t="str">
        <f>HYPERLINK("http://genome-euro.ucsc.edu/cgi-bin/hgTracks?position=221726_at","UCSC")</f>
        <v>UCSC</v>
      </c>
      <c r="E6512" s="1" t="str">
        <f>HYPERLINK("http://www.ncbi.nlm.nih.gov/gene/?term=RPL22","NCBI")</f>
        <v>NCBI</v>
      </c>
      <c r="F6512">
        <v>7.6999999999999999E-2</v>
      </c>
      <c r="G6512">
        <v>0.2</v>
      </c>
      <c r="H6512" s="1" t="str">
        <f>HYPERLINK("http://www.weizmann.ac.il/complex/compphys/software/geview/data/figures/221726_at.png","Figure")</f>
        <v>Figure</v>
      </c>
      <c r="I6512">
        <v>0.82399999999999995</v>
      </c>
      <c r="J6512">
        <v>0.52</v>
      </c>
      <c r="K6512">
        <v>1.23</v>
      </c>
      <c r="L6512">
        <v>0.39</v>
      </c>
      <c r="M6512">
        <v>1.49</v>
      </c>
      <c r="N6512">
        <v>6.8000000000000005E-2</v>
      </c>
    </row>
    <row r="6513" spans="1:14" x14ac:dyDescent="0.25">
      <c r="A6513" t="s">
        <v>11680</v>
      </c>
      <c r="B6513" t="s">
        <v>11681</v>
      </c>
      <c r="C6513" s="1" t="str">
        <f>HYPERLINK("http://www.genecards.org/cgi-bin/carddisp.pl?gene=YTHDF1","GeneCards")</f>
        <v>GeneCards</v>
      </c>
      <c r="D6513" s="1" t="str">
        <f>HYPERLINK("http://genome-euro.ucsc.edu/cgi-bin/hgTracks?position=221741_s_at","UCSC")</f>
        <v>UCSC</v>
      </c>
      <c r="E6513" s="1" t="str">
        <f>HYPERLINK("http://www.ncbi.nlm.nih.gov/gene/?term=YTHDF1","NCBI")</f>
        <v>NCBI</v>
      </c>
      <c r="F6513">
        <v>7.6999999999999999E-2</v>
      </c>
      <c r="G6513">
        <v>0.2</v>
      </c>
      <c r="H6513" s="1" t="str">
        <f>HYPERLINK("http://www.weizmann.ac.il/complex/compphys/software/geview/data/figures/221741_s_at.png","Figure")</f>
        <v>Figure</v>
      </c>
      <c r="I6513">
        <v>1.19</v>
      </c>
      <c r="J6513">
        <v>0.63</v>
      </c>
      <c r="K6513">
        <v>0.77600000000000002</v>
      </c>
      <c r="L6513">
        <v>0.31</v>
      </c>
      <c r="M6513">
        <v>0.65100000000000002</v>
      </c>
      <c r="N6513">
        <v>7.3999999999999996E-2</v>
      </c>
    </row>
    <row r="6514" spans="1:14" x14ac:dyDescent="0.25">
      <c r="A6514" t="s">
        <v>11682</v>
      </c>
      <c r="B6514" t="s">
        <v>2826</v>
      </c>
      <c r="C6514" s="1" t="str">
        <f>HYPERLINK("http://www.genecards.org/cgi-bin/carddisp.pl?gene=LOC100291670","GeneCards")</f>
        <v>GeneCards</v>
      </c>
      <c r="D6514" s="1" t="str">
        <f>HYPERLINK("http://genome-euro.ucsc.edu/cgi-bin/hgTracks?position=218406_x_at","UCSC")</f>
        <v>UCSC</v>
      </c>
      <c r="E6514" s="1" t="str">
        <f>HYPERLINK("http://www.ncbi.nlm.nih.gov/gene/?term=LOC100291670","NCBI")</f>
        <v>NCBI</v>
      </c>
      <c r="F6514">
        <v>7.6999999999999999E-2</v>
      </c>
      <c r="G6514">
        <v>0.2</v>
      </c>
      <c r="H6514" s="1" t="str">
        <f>HYPERLINK("http://www.weizmann.ac.il/complex/compphys/software/geview/data/figures/218406_x_at.png","Figure")</f>
        <v>Figure</v>
      </c>
      <c r="I6514">
        <v>1.25</v>
      </c>
      <c r="J6514">
        <v>6.9000000000000006E-2</v>
      </c>
      <c r="K6514">
        <v>1.07</v>
      </c>
      <c r="L6514">
        <v>0.69</v>
      </c>
      <c r="M6514">
        <v>0.85699999999999998</v>
      </c>
      <c r="N6514">
        <v>0.19</v>
      </c>
    </row>
    <row r="6515" spans="1:14" x14ac:dyDescent="0.25">
      <c r="A6515" t="s">
        <v>11683</v>
      </c>
      <c r="B6515" t="s">
        <v>11684</v>
      </c>
      <c r="C6515" s="1" t="str">
        <f>HYPERLINK("http://www.genecards.org/cgi-bin/carddisp.pl?gene=ZNF430","GeneCards")</f>
        <v>GeneCards</v>
      </c>
      <c r="D6515" s="1" t="str">
        <f>HYPERLINK("http://genome-euro.ucsc.edu/cgi-bin/hgTracks?position=206829_x_at","UCSC")</f>
        <v>UCSC</v>
      </c>
      <c r="E6515" s="1" t="str">
        <f>HYPERLINK("http://www.ncbi.nlm.nih.gov/gene/?term=ZNF430","NCBI")</f>
        <v>NCBI</v>
      </c>
      <c r="F6515">
        <v>7.6999999999999999E-2</v>
      </c>
      <c r="G6515">
        <v>0.2</v>
      </c>
      <c r="H6515" s="1" t="str">
        <f>HYPERLINK("http://www.weizmann.ac.il/complex/compphys/software/geview/data/figures/206829_x_at.png","Figure")</f>
        <v>Figure</v>
      </c>
      <c r="I6515">
        <v>0.97</v>
      </c>
      <c r="J6515">
        <v>0.98</v>
      </c>
      <c r="K6515">
        <v>0.71499999999999997</v>
      </c>
      <c r="L6515">
        <v>0.1</v>
      </c>
      <c r="M6515">
        <v>0.73799999999999999</v>
      </c>
      <c r="N6515">
        <v>0.18</v>
      </c>
    </row>
    <row r="6516" spans="1:14" x14ac:dyDescent="0.25">
      <c r="A6516" t="s">
        <v>11685</v>
      </c>
      <c r="B6516" t="s">
        <v>11686</v>
      </c>
      <c r="C6516" s="1" t="str">
        <f>HYPERLINK("http://www.genecards.org/cgi-bin/carddisp.pl?gene=PPP1R11","GeneCards")</f>
        <v>GeneCards</v>
      </c>
      <c r="D6516" s="1" t="str">
        <f>HYPERLINK("http://genome-euro.ucsc.edu/cgi-bin/hgTracks?position=201500_s_at","UCSC")</f>
        <v>UCSC</v>
      </c>
      <c r="E6516" s="1" t="str">
        <f>HYPERLINK("http://www.ncbi.nlm.nih.gov/gene/?term=PPP1R11","NCBI")</f>
        <v>NCBI</v>
      </c>
      <c r="F6516">
        <v>7.6999999999999999E-2</v>
      </c>
      <c r="G6516">
        <v>0.2</v>
      </c>
      <c r="H6516" s="1" t="str">
        <f>HYPERLINK("http://www.weizmann.ac.il/complex/compphys/software/geview/data/figures/201500_s_at.png","Figure")</f>
        <v>Figure</v>
      </c>
      <c r="I6516">
        <v>0.86699999999999999</v>
      </c>
      <c r="J6516">
        <v>0.61</v>
      </c>
      <c r="K6516">
        <v>1.22</v>
      </c>
      <c r="L6516">
        <v>0.32</v>
      </c>
      <c r="M6516">
        <v>1.4</v>
      </c>
      <c r="N6516">
        <v>7.2999999999999995E-2</v>
      </c>
    </row>
    <row r="6517" spans="1:14" x14ac:dyDescent="0.25">
      <c r="A6517" t="s">
        <v>11687</v>
      </c>
      <c r="B6517" t="s">
        <v>11688</v>
      </c>
      <c r="C6517" s="1" t="str">
        <f>HYPERLINK("http://www.genecards.org/cgi-bin/carddisp.pl?gene=EFHC1","GeneCards")</f>
        <v>GeneCards</v>
      </c>
      <c r="D6517" s="1" t="str">
        <f>HYPERLINK("http://genome-euro.ucsc.edu/cgi-bin/hgTracks?position=219833_s_at","UCSC")</f>
        <v>UCSC</v>
      </c>
      <c r="E6517" s="1" t="str">
        <f>HYPERLINK("http://www.ncbi.nlm.nih.gov/gene/?term=EFHC1","NCBI")</f>
        <v>NCBI</v>
      </c>
      <c r="F6517">
        <v>7.6999999999999999E-2</v>
      </c>
      <c r="G6517">
        <v>0.2</v>
      </c>
      <c r="H6517" s="1" t="str">
        <f>HYPERLINK("http://www.weizmann.ac.il/complex/compphys/software/geview/data/figures/219833_s_at.png","Figure")</f>
        <v>Figure</v>
      </c>
      <c r="I6517">
        <v>1.49</v>
      </c>
      <c r="J6517">
        <v>0.42</v>
      </c>
      <c r="K6517">
        <v>1.97</v>
      </c>
      <c r="L6517">
        <v>6.4000000000000001E-2</v>
      </c>
      <c r="M6517">
        <v>1.32</v>
      </c>
      <c r="N6517">
        <v>0.62</v>
      </c>
    </row>
    <row r="6518" spans="1:14" x14ac:dyDescent="0.25">
      <c r="A6518" t="s">
        <v>11689</v>
      </c>
      <c r="B6518" t="s">
        <v>11690</v>
      </c>
      <c r="C6518" s="1" t="str">
        <f>HYPERLINK("http://www.genecards.org/cgi-bin/carddisp.pl?gene=CACNA1I","GeneCards")</f>
        <v>GeneCards</v>
      </c>
      <c r="D6518" s="1" t="str">
        <f>HYPERLINK("http://genome-euro.ucsc.edu/cgi-bin/hgTracks?position=221631_at","UCSC")</f>
        <v>UCSC</v>
      </c>
      <c r="E6518" s="1" t="str">
        <f>HYPERLINK("http://www.ncbi.nlm.nih.gov/gene/?term=CACNA1I","NCBI")</f>
        <v>NCBI</v>
      </c>
      <c r="F6518">
        <v>7.6999999999999999E-2</v>
      </c>
      <c r="G6518">
        <v>0.2</v>
      </c>
      <c r="H6518" s="1" t="str">
        <f>HYPERLINK("http://www.weizmann.ac.il/complex/compphys/software/geview/data/figures/221631_at.png","Figure")</f>
        <v>Figure</v>
      </c>
      <c r="I6518">
        <v>1.1399999999999999</v>
      </c>
      <c r="J6518">
        <v>0.22</v>
      </c>
      <c r="K6518">
        <v>0.95799999999999996</v>
      </c>
      <c r="L6518">
        <v>0.8</v>
      </c>
      <c r="M6518">
        <v>0.83699999999999997</v>
      </c>
      <c r="N6518">
        <v>6.6000000000000003E-2</v>
      </c>
    </row>
    <row r="6519" spans="1:14" x14ac:dyDescent="0.25">
      <c r="A6519" t="s">
        <v>11691</v>
      </c>
      <c r="B6519" t="s">
        <v>11692</v>
      </c>
      <c r="C6519" s="1" t="str">
        <f>HYPERLINK("http://www.genecards.org/cgi-bin/carddisp.pl?gene=SLC25A13","GeneCards")</f>
        <v>GeneCards</v>
      </c>
      <c r="D6519" s="1" t="str">
        <f>HYPERLINK("http://genome-euro.ucsc.edu/cgi-bin/hgTracks?position=203775_at","UCSC")</f>
        <v>UCSC</v>
      </c>
      <c r="E6519" s="1" t="str">
        <f>HYPERLINK("http://www.ncbi.nlm.nih.gov/gene/?term=SLC25A13","NCBI")</f>
        <v>NCBI</v>
      </c>
      <c r="F6519">
        <v>7.6999999999999999E-2</v>
      </c>
      <c r="G6519">
        <v>0.2</v>
      </c>
      <c r="H6519" s="1" t="str">
        <f>HYPERLINK("http://www.weizmann.ac.il/complex/compphys/software/geview/data/figures/203775_at.png","Figure")</f>
        <v>Figure</v>
      </c>
      <c r="I6519">
        <v>0.78600000000000003</v>
      </c>
      <c r="J6519">
        <v>0.12</v>
      </c>
      <c r="K6519">
        <v>1</v>
      </c>
      <c r="L6519">
        <v>1</v>
      </c>
      <c r="M6519">
        <v>1.27</v>
      </c>
      <c r="N6519">
        <v>0.09</v>
      </c>
    </row>
    <row r="6520" spans="1:14" x14ac:dyDescent="0.25">
      <c r="A6520" t="s">
        <v>11693</v>
      </c>
      <c r="B6520" t="s">
        <v>7456</v>
      </c>
      <c r="C6520" s="1" t="str">
        <f>HYPERLINK("http://www.genecards.org/cgi-bin/carddisp.pl?gene=DDR1","GeneCards")</f>
        <v>GeneCards</v>
      </c>
      <c r="D6520" s="1" t="str">
        <f>HYPERLINK("http://genome-euro.ucsc.edu/cgi-bin/hgTracks?position=210749_x_at","UCSC")</f>
        <v>UCSC</v>
      </c>
      <c r="E6520" s="1" t="str">
        <f>HYPERLINK("http://www.ncbi.nlm.nih.gov/gene/?term=DDR1","NCBI")</f>
        <v>NCBI</v>
      </c>
      <c r="F6520">
        <v>7.6999999999999999E-2</v>
      </c>
      <c r="G6520">
        <v>0.2</v>
      </c>
      <c r="H6520" s="1" t="str">
        <f>HYPERLINK("http://www.weizmann.ac.il/complex/compphys/software/geview/data/figures/210749_x_at.png","Figure")</f>
        <v>Figure</v>
      </c>
      <c r="I6520">
        <v>1.43</v>
      </c>
      <c r="J6520">
        <v>6.4000000000000001E-2</v>
      </c>
      <c r="K6520">
        <v>1.2</v>
      </c>
      <c r="L6520">
        <v>0.35</v>
      </c>
      <c r="M6520">
        <v>0.83699999999999997</v>
      </c>
      <c r="N6520">
        <v>0.4</v>
      </c>
    </row>
    <row r="6521" spans="1:14" x14ac:dyDescent="0.25">
      <c r="A6521" t="s">
        <v>11694</v>
      </c>
      <c r="B6521" t="s">
        <v>7884</v>
      </c>
      <c r="C6521" s="1" t="str">
        <f>HYPERLINK("http://www.genecards.org/cgi-bin/carddisp.pl?gene=USP9X","GeneCards")</f>
        <v>GeneCards</v>
      </c>
      <c r="D6521" s="1" t="str">
        <f>HYPERLINK("http://genome-euro.ucsc.edu/cgi-bin/hgTracks?position=201099_at","UCSC")</f>
        <v>UCSC</v>
      </c>
      <c r="E6521" s="1" t="str">
        <f>HYPERLINK("http://www.ncbi.nlm.nih.gov/gene/?term=USP9X","NCBI")</f>
        <v>NCBI</v>
      </c>
      <c r="F6521">
        <v>7.6999999999999999E-2</v>
      </c>
      <c r="G6521">
        <v>0.2</v>
      </c>
      <c r="H6521" s="1" t="str">
        <f>HYPERLINK("http://www.weizmann.ac.il/complex/compphys/software/geview/data/figures/201099_at.png","Figure")</f>
        <v>Figure</v>
      </c>
      <c r="I6521">
        <v>0.64</v>
      </c>
      <c r="J6521">
        <v>9.9000000000000005E-2</v>
      </c>
      <c r="K6521">
        <v>0.96499999999999997</v>
      </c>
      <c r="L6521">
        <v>0.98</v>
      </c>
      <c r="M6521">
        <v>1.51</v>
      </c>
      <c r="N6521">
        <v>0.11</v>
      </c>
    </row>
    <row r="6522" spans="1:14" x14ac:dyDescent="0.25">
      <c r="A6522" t="s">
        <v>11695</v>
      </c>
      <c r="B6522" t="s">
        <v>11696</v>
      </c>
      <c r="C6522" s="1" t="str">
        <f>HYPERLINK("http://www.genecards.org/cgi-bin/carddisp.pl?gene=PHLPP1","GeneCards")</f>
        <v>GeneCards</v>
      </c>
      <c r="D6522" s="1" t="str">
        <f>HYPERLINK("http://genome-euro.ucsc.edu/cgi-bin/hgTracks?position=212719_at","UCSC")</f>
        <v>UCSC</v>
      </c>
      <c r="E6522" s="1" t="str">
        <f>HYPERLINK("http://www.ncbi.nlm.nih.gov/gene/?term=PHLPP1","NCBI")</f>
        <v>NCBI</v>
      </c>
      <c r="F6522">
        <v>7.6999999999999999E-2</v>
      </c>
      <c r="G6522">
        <v>0.2</v>
      </c>
      <c r="H6522" s="1" t="str">
        <f>HYPERLINK("http://www.weizmann.ac.il/complex/compphys/software/geview/data/figures/212719_at.png","Figure")</f>
        <v>Figure</v>
      </c>
      <c r="I6522">
        <v>0.58099999999999996</v>
      </c>
      <c r="J6522">
        <v>6.4000000000000001E-2</v>
      </c>
      <c r="K6522">
        <v>0.78900000000000003</v>
      </c>
      <c r="L6522">
        <v>0.44</v>
      </c>
      <c r="M6522">
        <v>1.36</v>
      </c>
      <c r="N6522">
        <v>0.32</v>
      </c>
    </row>
    <row r="6523" spans="1:14" x14ac:dyDescent="0.25">
      <c r="A6523" t="s">
        <v>11697</v>
      </c>
      <c r="B6523" t="s">
        <v>1800</v>
      </c>
      <c r="C6523" s="1" t="str">
        <f>HYPERLINK("http://www.genecards.org/cgi-bin/carddisp.pl?gene=ANXA4","GeneCards")</f>
        <v>GeneCards</v>
      </c>
      <c r="D6523" s="1" t="str">
        <f>HYPERLINK("http://genome-euro.ucsc.edu/cgi-bin/hgTracks?position=201301_s_at","UCSC")</f>
        <v>UCSC</v>
      </c>
      <c r="E6523" s="1" t="str">
        <f>HYPERLINK("http://www.ncbi.nlm.nih.gov/gene/?term=ANXA4","NCBI")</f>
        <v>NCBI</v>
      </c>
      <c r="F6523">
        <v>7.6999999999999999E-2</v>
      </c>
      <c r="G6523">
        <v>0.2</v>
      </c>
      <c r="H6523" s="1" t="str">
        <f>HYPERLINK("http://www.weizmann.ac.il/complex/compphys/software/geview/data/figures/201301_s_at.png","Figure")</f>
        <v>Figure</v>
      </c>
      <c r="I6523">
        <v>0.79500000000000004</v>
      </c>
      <c r="J6523">
        <v>0.73</v>
      </c>
      <c r="K6523">
        <v>1.55</v>
      </c>
      <c r="L6523">
        <v>0.26</v>
      </c>
      <c r="M6523">
        <v>1.95</v>
      </c>
      <c r="N6523">
        <v>8.1000000000000003E-2</v>
      </c>
    </row>
    <row r="6524" spans="1:14" x14ac:dyDescent="0.25">
      <c r="A6524" t="s">
        <v>11698</v>
      </c>
      <c r="B6524" t="s">
        <v>11699</v>
      </c>
      <c r="C6524" s="1" t="str">
        <f>HYPERLINK("http://www.genecards.org/cgi-bin/carddisp.pl?gene=TRIM14","GeneCards")</f>
        <v>GeneCards</v>
      </c>
      <c r="D6524" s="1" t="str">
        <f>HYPERLINK("http://genome-euro.ucsc.edu/cgi-bin/hgTracks?position=203148_s_at","UCSC")</f>
        <v>UCSC</v>
      </c>
      <c r="E6524" s="1" t="str">
        <f>HYPERLINK("http://www.ncbi.nlm.nih.gov/gene/?term=TRIM14","NCBI")</f>
        <v>NCBI</v>
      </c>
      <c r="F6524">
        <v>7.6999999999999999E-2</v>
      </c>
      <c r="G6524">
        <v>0.2</v>
      </c>
      <c r="H6524" s="1" t="str">
        <f>HYPERLINK("http://www.weizmann.ac.il/complex/compphys/software/geview/data/figures/203148_s_at.png","Figure")</f>
        <v>Figure</v>
      </c>
      <c r="I6524">
        <v>0.61199999999999999</v>
      </c>
      <c r="J6524">
        <v>0.22</v>
      </c>
      <c r="K6524">
        <v>1.1599999999999999</v>
      </c>
      <c r="L6524">
        <v>0.81</v>
      </c>
      <c r="M6524">
        <v>1.9</v>
      </c>
      <c r="N6524">
        <v>6.7000000000000004E-2</v>
      </c>
    </row>
    <row r="6525" spans="1:14" x14ac:dyDescent="0.25">
      <c r="A6525" t="s">
        <v>11700</v>
      </c>
      <c r="B6525" t="s">
        <v>11701</v>
      </c>
      <c r="C6525" s="1" t="str">
        <f>HYPERLINK("http://www.genecards.org/cgi-bin/carddisp.pl?gene=CLSTN3","GeneCards")</f>
        <v>GeneCards</v>
      </c>
      <c r="D6525" s="1" t="str">
        <f>HYPERLINK("http://genome-euro.ucsc.edu/cgi-bin/hgTracks?position=204375_at","UCSC")</f>
        <v>UCSC</v>
      </c>
      <c r="E6525" s="1" t="str">
        <f>HYPERLINK("http://www.ncbi.nlm.nih.gov/gene/?term=CLSTN3","NCBI")</f>
        <v>NCBI</v>
      </c>
      <c r="F6525">
        <v>7.6999999999999999E-2</v>
      </c>
      <c r="G6525">
        <v>0.2</v>
      </c>
      <c r="H6525" s="1" t="str">
        <f>HYPERLINK("http://www.weizmann.ac.il/complex/compphys/software/geview/data/figures/204375_at.png","Figure")</f>
        <v>Figure</v>
      </c>
      <c r="I6525">
        <v>1.34</v>
      </c>
      <c r="J6525">
        <v>6.4000000000000001E-2</v>
      </c>
      <c r="K6525">
        <v>1.1299999999999999</v>
      </c>
      <c r="L6525">
        <v>0.48</v>
      </c>
      <c r="M6525">
        <v>0.84399999999999997</v>
      </c>
      <c r="N6525">
        <v>0.3</v>
      </c>
    </row>
    <row r="6526" spans="1:14" x14ac:dyDescent="0.25">
      <c r="A6526" t="s">
        <v>11702</v>
      </c>
      <c r="B6526" t="s">
        <v>11703</v>
      </c>
      <c r="C6526" s="1" t="str">
        <f>HYPERLINK("http://www.genecards.org/cgi-bin/carddisp.pl?gene=MYBPC3","GeneCards")</f>
        <v>GeneCards</v>
      </c>
      <c r="D6526" s="1" t="str">
        <f>HYPERLINK("http://genome-euro.ucsc.edu/cgi-bin/hgTracks?position=208040_s_at","UCSC")</f>
        <v>UCSC</v>
      </c>
      <c r="E6526" s="1" t="str">
        <f>HYPERLINK("http://www.ncbi.nlm.nih.gov/gene/?term=MYBPC3","NCBI")</f>
        <v>NCBI</v>
      </c>
      <c r="F6526">
        <v>7.6999999999999999E-2</v>
      </c>
      <c r="G6526">
        <v>0.2</v>
      </c>
      <c r="H6526" s="1" t="str">
        <f>HYPERLINK("http://www.weizmann.ac.il/complex/compphys/software/geview/data/figures/208040_s_at.png","Figure")</f>
        <v>Figure</v>
      </c>
      <c r="I6526">
        <v>1.24</v>
      </c>
      <c r="J6526">
        <v>6.5000000000000002E-2</v>
      </c>
      <c r="K6526">
        <v>1.08</v>
      </c>
      <c r="L6526">
        <v>0.54</v>
      </c>
      <c r="M6526">
        <v>0.876</v>
      </c>
      <c r="N6526">
        <v>0.26</v>
      </c>
    </row>
    <row r="6527" spans="1:14" x14ac:dyDescent="0.25">
      <c r="A6527" t="s">
        <v>11704</v>
      </c>
      <c r="B6527" t="s">
        <v>11705</v>
      </c>
      <c r="C6527" s="1" t="str">
        <f>HYPERLINK("http://www.genecards.org/cgi-bin/carddisp.pl?gene=SLC12A5","GeneCards")</f>
        <v>GeneCards</v>
      </c>
      <c r="D6527" s="1" t="str">
        <f>HYPERLINK("http://genome-euro.ucsc.edu/cgi-bin/hgTracks?position=210040_at","UCSC")</f>
        <v>UCSC</v>
      </c>
      <c r="E6527" s="1" t="str">
        <f>HYPERLINK("http://www.ncbi.nlm.nih.gov/gene/?term=SLC12A5","NCBI")</f>
        <v>NCBI</v>
      </c>
      <c r="F6527">
        <v>7.6999999999999999E-2</v>
      </c>
      <c r="G6527">
        <v>0.2</v>
      </c>
      <c r="H6527" s="1" t="str">
        <f>HYPERLINK("http://www.weizmann.ac.il/complex/compphys/software/geview/data/figures/210040_at.png","Figure")</f>
        <v>Figure</v>
      </c>
      <c r="I6527">
        <v>0.98799999999999999</v>
      </c>
      <c r="J6527">
        <v>0.99</v>
      </c>
      <c r="K6527">
        <v>0.84199999999999997</v>
      </c>
      <c r="L6527">
        <v>0.1</v>
      </c>
      <c r="M6527">
        <v>0.85199999999999998</v>
      </c>
      <c r="N6527">
        <v>0.17</v>
      </c>
    </row>
    <row r="6528" spans="1:14" x14ac:dyDescent="0.25">
      <c r="A6528" t="s">
        <v>11706</v>
      </c>
      <c r="B6528" t="s">
        <v>11707</v>
      </c>
      <c r="C6528" s="1" t="str">
        <f>HYPERLINK("http://www.genecards.org/cgi-bin/carddisp.pl?gene=TLN2","GeneCards")</f>
        <v>GeneCards</v>
      </c>
      <c r="D6528" s="1" t="str">
        <f>HYPERLINK("http://genome-euro.ucsc.edu/cgi-bin/hgTracks?position=212703_at","UCSC")</f>
        <v>UCSC</v>
      </c>
      <c r="E6528" s="1" t="str">
        <f>HYPERLINK("http://www.ncbi.nlm.nih.gov/gene/?term=TLN2","NCBI")</f>
        <v>NCBI</v>
      </c>
      <c r="F6528">
        <v>7.6999999999999999E-2</v>
      </c>
      <c r="G6528">
        <v>0.2</v>
      </c>
      <c r="H6528" s="1" t="str">
        <f>HYPERLINK("http://www.weizmann.ac.il/complex/compphys/software/geview/data/figures/212703_at.png","Figure")</f>
        <v>Figure</v>
      </c>
      <c r="I6528">
        <v>1.38</v>
      </c>
      <c r="J6528">
        <v>7.0000000000000007E-2</v>
      </c>
      <c r="K6528">
        <v>1.1000000000000001</v>
      </c>
      <c r="L6528">
        <v>0.71</v>
      </c>
      <c r="M6528">
        <v>0.79300000000000004</v>
      </c>
      <c r="N6528">
        <v>0.18</v>
      </c>
    </row>
    <row r="6529" spans="1:14" x14ac:dyDescent="0.25">
      <c r="A6529" t="s">
        <v>11708</v>
      </c>
      <c r="B6529" t="s">
        <v>1885</v>
      </c>
      <c r="C6529" s="1" t="str">
        <f>HYPERLINK("http://www.genecards.org/cgi-bin/carddisp.pl?gene=GNA11","GeneCards")</f>
        <v>GeneCards</v>
      </c>
      <c r="D6529" s="1" t="str">
        <f>HYPERLINK("http://genome-euro.ucsc.edu/cgi-bin/hgTracks?position=213944_x_at","UCSC")</f>
        <v>UCSC</v>
      </c>
      <c r="E6529" s="1" t="str">
        <f>HYPERLINK("http://www.ncbi.nlm.nih.gov/gene/?term=GNA11","NCBI")</f>
        <v>NCBI</v>
      </c>
      <c r="F6529">
        <v>7.6999999999999999E-2</v>
      </c>
      <c r="G6529">
        <v>0.2</v>
      </c>
      <c r="H6529" s="1" t="str">
        <f>HYPERLINK("http://www.weizmann.ac.il/complex/compphys/software/geview/data/figures/213944_x_at.png","Figure")</f>
        <v>Figure</v>
      </c>
      <c r="I6529">
        <v>1.01</v>
      </c>
      <c r="J6529">
        <v>1</v>
      </c>
      <c r="K6529">
        <v>1.23</v>
      </c>
      <c r="L6529">
        <v>0.11</v>
      </c>
      <c r="M6529">
        <v>1.22</v>
      </c>
      <c r="N6529">
        <v>0.16</v>
      </c>
    </row>
    <row r="6530" spans="1:14" x14ac:dyDescent="0.25">
      <c r="A6530" t="s">
        <v>11709</v>
      </c>
      <c r="B6530" t="s">
        <v>11710</v>
      </c>
      <c r="C6530" s="1" t="str">
        <f>HYPERLINK("http://www.genecards.org/cgi-bin/carddisp.pl?gene=WHSC1L1","GeneCards")</f>
        <v>GeneCards</v>
      </c>
      <c r="D6530" s="1" t="str">
        <f>HYPERLINK("http://genome-euro.ucsc.edu/cgi-bin/hgTracks?position=218173_s_at","UCSC")</f>
        <v>UCSC</v>
      </c>
      <c r="E6530" s="1" t="str">
        <f>HYPERLINK("http://www.ncbi.nlm.nih.gov/gene/?term=WHSC1L1","NCBI")</f>
        <v>NCBI</v>
      </c>
      <c r="F6530">
        <v>7.6999999999999999E-2</v>
      </c>
      <c r="G6530">
        <v>0.2</v>
      </c>
      <c r="H6530" s="1" t="str">
        <f>HYPERLINK("http://www.weizmann.ac.il/complex/compphys/software/geview/data/figures/218173_s_at.png","Figure")</f>
        <v>Figure</v>
      </c>
      <c r="I6530">
        <v>0.82499999999999996</v>
      </c>
      <c r="J6530">
        <v>0.13</v>
      </c>
      <c r="K6530">
        <v>1.01</v>
      </c>
      <c r="L6530">
        <v>1</v>
      </c>
      <c r="M6530">
        <v>1.22</v>
      </c>
      <c r="N6530">
        <v>8.5000000000000006E-2</v>
      </c>
    </row>
    <row r="6531" spans="1:14" x14ac:dyDescent="0.25">
      <c r="A6531" t="s">
        <v>11711</v>
      </c>
      <c r="B6531" t="s">
        <v>11712</v>
      </c>
      <c r="C6531" s="1" t="str">
        <f>HYPERLINK("http://www.genecards.org/cgi-bin/carddisp.pl?gene=C17orf71","GeneCards")</f>
        <v>GeneCards</v>
      </c>
      <c r="D6531" s="1" t="str">
        <f>HYPERLINK("http://genome-euro.ucsc.edu/cgi-bin/hgTracks?position=218514_at","UCSC")</f>
        <v>UCSC</v>
      </c>
      <c r="E6531" s="1" t="str">
        <f>HYPERLINK("http://www.ncbi.nlm.nih.gov/gene/?term=C17orf71","NCBI")</f>
        <v>NCBI</v>
      </c>
      <c r="F6531">
        <v>7.6999999999999999E-2</v>
      </c>
      <c r="G6531">
        <v>0.2</v>
      </c>
      <c r="H6531" s="1" t="str">
        <f>HYPERLINK("http://www.weizmann.ac.il/complex/compphys/software/geview/data/figures/218514_at.png","Figure")</f>
        <v>Figure</v>
      </c>
      <c r="I6531">
        <v>0.83299999999999996</v>
      </c>
      <c r="J6531">
        <v>0.41</v>
      </c>
      <c r="K6531">
        <v>0.74</v>
      </c>
      <c r="L6531">
        <v>6.4000000000000001E-2</v>
      </c>
      <c r="M6531">
        <v>0.88800000000000001</v>
      </c>
      <c r="N6531">
        <v>0.64</v>
      </c>
    </row>
    <row r="6532" spans="1:14" x14ac:dyDescent="0.25">
      <c r="A6532" t="s">
        <v>11713</v>
      </c>
      <c r="B6532" t="s">
        <v>11714</v>
      </c>
      <c r="C6532" s="1" t="str">
        <f>HYPERLINK("http://www.genecards.org/cgi-bin/carddisp.pl?gene=CHMP7","GeneCards")</f>
        <v>GeneCards</v>
      </c>
      <c r="D6532" s="1" t="str">
        <f>HYPERLINK("http://genome-euro.ucsc.edu/cgi-bin/hgTracks?position=212313_at","UCSC")</f>
        <v>UCSC</v>
      </c>
      <c r="E6532" s="1" t="str">
        <f>HYPERLINK("http://www.ncbi.nlm.nih.gov/gene/?term=CHMP7","NCBI")</f>
        <v>NCBI</v>
      </c>
      <c r="F6532">
        <v>7.6999999999999999E-2</v>
      </c>
      <c r="G6532">
        <v>0.2</v>
      </c>
      <c r="H6532" s="1" t="str">
        <f>HYPERLINK("http://www.weizmann.ac.il/complex/compphys/software/geview/data/figures/212313_at.png","Figure")</f>
        <v>Figure</v>
      </c>
      <c r="I6532">
        <v>0.70599999999999996</v>
      </c>
      <c r="J6532">
        <v>0.17</v>
      </c>
      <c r="K6532">
        <v>0.69</v>
      </c>
      <c r="L6532">
        <v>8.3000000000000004E-2</v>
      </c>
      <c r="M6532">
        <v>0.97799999999999998</v>
      </c>
      <c r="N6532">
        <v>0.99</v>
      </c>
    </row>
    <row r="6533" spans="1:14" x14ac:dyDescent="0.25">
      <c r="A6533" t="s">
        <v>11715</v>
      </c>
      <c r="B6533" t="s">
        <v>11716</v>
      </c>
      <c r="C6533" s="1" t="str">
        <f>HYPERLINK("http://www.genecards.org/cgi-bin/carddisp.pl?gene=MEGF9","GeneCards")</f>
        <v>GeneCards</v>
      </c>
      <c r="D6533" s="1" t="str">
        <f>HYPERLINK("http://genome-euro.ucsc.edu/cgi-bin/hgTracks?position=212830_at","UCSC")</f>
        <v>UCSC</v>
      </c>
      <c r="E6533" s="1" t="str">
        <f>HYPERLINK("http://www.ncbi.nlm.nih.gov/gene/?term=MEGF9","NCBI")</f>
        <v>NCBI</v>
      </c>
      <c r="F6533">
        <v>7.6999999999999999E-2</v>
      </c>
      <c r="G6533">
        <v>0.2</v>
      </c>
      <c r="H6533" s="1" t="str">
        <f>HYPERLINK("http://www.weizmann.ac.il/complex/compphys/software/geview/data/figures/212830_at.png","Figure")</f>
        <v>Figure</v>
      </c>
      <c r="I6533">
        <v>0.65300000000000002</v>
      </c>
      <c r="J6533">
        <v>0.14000000000000001</v>
      </c>
      <c r="K6533">
        <v>1.03</v>
      </c>
      <c r="L6533">
        <v>0.98</v>
      </c>
      <c r="M6533">
        <v>1.58</v>
      </c>
      <c r="N6533">
        <v>0.08</v>
      </c>
    </row>
    <row r="6534" spans="1:14" x14ac:dyDescent="0.25">
      <c r="A6534" t="s">
        <v>11717</v>
      </c>
      <c r="B6534" t="s">
        <v>11718</v>
      </c>
      <c r="C6534" s="1" t="str">
        <f>HYPERLINK("http://www.genecards.org/cgi-bin/carddisp.pl?gene=ATP8B1","GeneCards")</f>
        <v>GeneCards</v>
      </c>
      <c r="D6534" s="1" t="str">
        <f>HYPERLINK("http://genome-euro.ucsc.edu/cgi-bin/hgTracks?position=214594_x_at","UCSC")</f>
        <v>UCSC</v>
      </c>
      <c r="E6534" s="1" t="str">
        <f>HYPERLINK("http://www.ncbi.nlm.nih.gov/gene/?term=ATP8B1","NCBI")</f>
        <v>NCBI</v>
      </c>
      <c r="F6534">
        <v>7.6999999999999999E-2</v>
      </c>
      <c r="G6534">
        <v>0.2</v>
      </c>
      <c r="H6534" s="1" t="str">
        <f>HYPERLINK("http://www.weizmann.ac.il/complex/compphys/software/geview/data/figures/214594_x_at.png","Figure")</f>
        <v>Figure</v>
      </c>
      <c r="I6534">
        <v>0.92400000000000004</v>
      </c>
      <c r="J6534">
        <v>0.96</v>
      </c>
      <c r="K6534">
        <v>0.54500000000000004</v>
      </c>
      <c r="L6534">
        <v>9.5000000000000001E-2</v>
      </c>
      <c r="M6534">
        <v>0.58899999999999997</v>
      </c>
      <c r="N6534">
        <v>0.19</v>
      </c>
    </row>
    <row r="6535" spans="1:14" x14ac:dyDescent="0.25">
      <c r="A6535" t="s">
        <v>11719</v>
      </c>
      <c r="B6535" t="s">
        <v>11720</v>
      </c>
      <c r="C6535" s="1" t="str">
        <f>HYPERLINK("http://www.genecards.org/cgi-bin/carddisp.pl?gene=LSM5","GeneCards")</f>
        <v>GeneCards</v>
      </c>
      <c r="D6535" s="1" t="str">
        <f>HYPERLINK("http://genome-euro.ucsc.edu/cgi-bin/hgTracks?position=211747_s_at","UCSC")</f>
        <v>UCSC</v>
      </c>
      <c r="E6535" s="1" t="str">
        <f>HYPERLINK("http://www.ncbi.nlm.nih.gov/gene/?term=LSM5","NCBI")</f>
        <v>NCBI</v>
      </c>
      <c r="F6535">
        <v>7.6999999999999999E-2</v>
      </c>
      <c r="G6535">
        <v>0.2</v>
      </c>
      <c r="H6535" s="1" t="str">
        <f>HYPERLINK("http://www.weizmann.ac.il/complex/compphys/software/geview/data/figures/211747_s_at.png","Figure")</f>
        <v>Figure</v>
      </c>
      <c r="I6535">
        <v>0.79200000000000004</v>
      </c>
      <c r="J6535">
        <v>0.56000000000000005</v>
      </c>
      <c r="K6535">
        <v>1.32</v>
      </c>
      <c r="L6535">
        <v>0.36</v>
      </c>
      <c r="M6535">
        <v>1.67</v>
      </c>
      <c r="N6535">
        <v>7.0000000000000007E-2</v>
      </c>
    </row>
    <row r="6536" spans="1:14" x14ac:dyDescent="0.25">
      <c r="A6536" t="s">
        <v>11721</v>
      </c>
      <c r="B6536" t="s">
        <v>11722</v>
      </c>
      <c r="C6536" s="1" t="str">
        <f>HYPERLINK("http://www.genecards.org/cgi-bin/carddisp.pl?gene=GRN","GeneCards")</f>
        <v>GeneCards</v>
      </c>
      <c r="D6536" s="1" t="str">
        <f>HYPERLINK("http://genome-euro.ucsc.edu/cgi-bin/hgTracks?position=216041_x_at","UCSC")</f>
        <v>UCSC</v>
      </c>
      <c r="E6536" s="1" t="str">
        <f>HYPERLINK("http://www.ncbi.nlm.nih.gov/gene/?term=GRN","NCBI")</f>
        <v>NCBI</v>
      </c>
      <c r="F6536">
        <v>7.6999999999999999E-2</v>
      </c>
      <c r="G6536">
        <v>0.2</v>
      </c>
      <c r="H6536" s="1" t="str">
        <f>HYPERLINK("http://www.weizmann.ac.il/complex/compphys/software/geview/data/figures/216041_x_at.png","Figure")</f>
        <v>Figure</v>
      </c>
      <c r="I6536">
        <v>0.94399999999999995</v>
      </c>
      <c r="J6536">
        <v>0.95</v>
      </c>
      <c r="K6536">
        <v>1.37</v>
      </c>
      <c r="L6536">
        <v>0.16</v>
      </c>
      <c r="M6536">
        <v>1.45</v>
      </c>
      <c r="N6536">
        <v>0.11</v>
      </c>
    </row>
    <row r="6537" spans="1:14" x14ac:dyDescent="0.25">
      <c r="A6537" t="s">
        <v>11723</v>
      </c>
      <c r="B6537" t="s">
        <v>465</v>
      </c>
      <c r="C6537" s="1" t="str">
        <f>HYPERLINK("http://www.genecards.org/cgi-bin/carddisp.pl?gene=GLG1","GeneCards")</f>
        <v>GeneCards</v>
      </c>
      <c r="D6537" s="1" t="str">
        <f>HYPERLINK("http://genome-euro.ucsc.edu/cgi-bin/hgTracks?position=207966_s_at","UCSC")</f>
        <v>UCSC</v>
      </c>
      <c r="E6537" s="1" t="str">
        <f>HYPERLINK("http://www.ncbi.nlm.nih.gov/gene/?term=GLG1","NCBI")</f>
        <v>NCBI</v>
      </c>
      <c r="F6537">
        <v>7.6999999999999999E-2</v>
      </c>
      <c r="G6537">
        <v>0.2</v>
      </c>
      <c r="H6537" s="1" t="str">
        <f>HYPERLINK("http://www.weizmann.ac.il/complex/compphys/software/geview/data/figures/207966_s_at.png","Figure")</f>
        <v>Figure</v>
      </c>
      <c r="I6537">
        <v>1.4</v>
      </c>
      <c r="J6537">
        <v>0.28000000000000003</v>
      </c>
      <c r="K6537">
        <v>0.85699999999999998</v>
      </c>
      <c r="L6537">
        <v>0.68</v>
      </c>
      <c r="M6537">
        <v>0.61299999999999999</v>
      </c>
      <c r="N6537">
        <v>6.4000000000000001E-2</v>
      </c>
    </row>
    <row r="6538" spans="1:14" x14ac:dyDescent="0.25">
      <c r="A6538" t="s">
        <v>11724</v>
      </c>
      <c r="B6538" t="s">
        <v>6164</v>
      </c>
      <c r="C6538" s="1" t="str">
        <f>HYPERLINK("http://www.genecards.org/cgi-bin/carddisp.pl?gene=PAK2","GeneCards")</f>
        <v>GeneCards</v>
      </c>
      <c r="D6538" s="1" t="str">
        <f>HYPERLINK("http://genome-euro.ucsc.edu/cgi-bin/hgTracks?position=208877_at","UCSC")</f>
        <v>UCSC</v>
      </c>
      <c r="E6538" s="1" t="str">
        <f>HYPERLINK("http://www.ncbi.nlm.nih.gov/gene/?term=PAK2","NCBI")</f>
        <v>NCBI</v>
      </c>
      <c r="F6538">
        <v>7.6999999999999999E-2</v>
      </c>
      <c r="G6538">
        <v>0.2</v>
      </c>
      <c r="H6538" s="1" t="str">
        <f>HYPERLINK("http://www.weizmann.ac.il/complex/compphys/software/geview/data/figures/208877_at.png","Figure")</f>
        <v>Figure</v>
      </c>
      <c r="I6538">
        <v>0.63700000000000001</v>
      </c>
      <c r="J6538">
        <v>0.17</v>
      </c>
      <c r="K6538">
        <v>1.08</v>
      </c>
      <c r="L6538">
        <v>0.93</v>
      </c>
      <c r="M6538">
        <v>1.69</v>
      </c>
      <c r="N6538">
        <v>7.2999999999999995E-2</v>
      </c>
    </row>
    <row r="6539" spans="1:14" x14ac:dyDescent="0.25">
      <c r="A6539" t="s">
        <v>11725</v>
      </c>
      <c r="B6539" t="s">
        <v>11726</v>
      </c>
      <c r="C6539" s="1" t="str">
        <f>HYPERLINK("http://www.genecards.org/cgi-bin/carddisp.pl?gene=C6orf162","GeneCards")</f>
        <v>GeneCards</v>
      </c>
      <c r="D6539" s="1" t="str">
        <f>HYPERLINK("http://genome-euro.ucsc.edu/cgi-bin/hgTracks?position=213312_at","UCSC")</f>
        <v>UCSC</v>
      </c>
      <c r="E6539" s="1" t="str">
        <f>HYPERLINK("http://www.ncbi.nlm.nih.gov/gene/?term=C6orf162","NCBI")</f>
        <v>NCBI</v>
      </c>
      <c r="F6539">
        <v>7.6999999999999999E-2</v>
      </c>
      <c r="G6539">
        <v>0.2</v>
      </c>
      <c r="H6539" s="1" t="str">
        <f>HYPERLINK("http://www.weizmann.ac.il/complex/compphys/software/geview/data/figures/213312_at.png","Figure")</f>
        <v>Figure</v>
      </c>
      <c r="I6539">
        <v>0.746</v>
      </c>
      <c r="J6539">
        <v>0.26</v>
      </c>
      <c r="K6539">
        <v>1.1200000000000001</v>
      </c>
      <c r="L6539">
        <v>0.73</v>
      </c>
      <c r="M6539">
        <v>1.51</v>
      </c>
      <c r="N6539">
        <v>6.5000000000000002E-2</v>
      </c>
    </row>
    <row r="6540" spans="1:14" x14ac:dyDescent="0.25">
      <c r="A6540" t="s">
        <v>11727</v>
      </c>
      <c r="B6540" t="s">
        <v>11728</v>
      </c>
      <c r="C6540" s="1" t="str">
        <f>HYPERLINK("http://www.genecards.org/cgi-bin/carddisp.pl?gene=CHMP1B","GeneCards")</f>
        <v>GeneCards</v>
      </c>
      <c r="D6540" s="1" t="str">
        <f>HYPERLINK("http://genome-euro.ucsc.edu/cgi-bin/hgTracks?position=218177_at","UCSC")</f>
        <v>UCSC</v>
      </c>
      <c r="E6540" s="1" t="str">
        <f>HYPERLINK("http://www.ncbi.nlm.nih.gov/gene/?term=CHMP1B","NCBI")</f>
        <v>NCBI</v>
      </c>
      <c r="F6540">
        <v>7.6999999999999999E-2</v>
      </c>
      <c r="G6540">
        <v>0.2</v>
      </c>
      <c r="H6540" s="1" t="str">
        <f>HYPERLINK("http://www.weizmann.ac.il/complex/compphys/software/geview/data/figures/218177_at.png","Figure")</f>
        <v>Figure</v>
      </c>
      <c r="I6540">
        <v>0.85499999999999998</v>
      </c>
      <c r="J6540">
        <v>6.9000000000000006E-2</v>
      </c>
      <c r="K6540">
        <v>0.91200000000000003</v>
      </c>
      <c r="L6540">
        <v>0.26</v>
      </c>
      <c r="M6540">
        <v>1.07</v>
      </c>
      <c r="N6540">
        <v>0.54</v>
      </c>
    </row>
    <row r="6541" spans="1:14" x14ac:dyDescent="0.25">
      <c r="A6541" t="s">
        <v>11729</v>
      </c>
      <c r="B6541" t="s">
        <v>11730</v>
      </c>
      <c r="C6541" s="1" t="str">
        <f>HYPERLINK("http://www.genecards.org/cgi-bin/carddisp.pl?gene=ENGASE","GeneCards")</f>
        <v>GeneCards</v>
      </c>
      <c r="D6541" s="1" t="str">
        <f>HYPERLINK("http://genome-euro.ucsc.edu/cgi-bin/hgTracks?position=220349_s_at","UCSC")</f>
        <v>UCSC</v>
      </c>
      <c r="E6541" s="1" t="str">
        <f>HYPERLINK("http://www.ncbi.nlm.nih.gov/gene/?term=ENGASE","NCBI")</f>
        <v>NCBI</v>
      </c>
      <c r="F6541">
        <v>7.6999999999999999E-2</v>
      </c>
      <c r="G6541">
        <v>0.2</v>
      </c>
      <c r="H6541" s="1" t="str">
        <f>HYPERLINK("http://www.weizmann.ac.il/complex/compphys/software/geview/data/figures/220349_s_at.png","Figure")</f>
        <v>Figure</v>
      </c>
      <c r="I6541">
        <v>0.48099999999999998</v>
      </c>
      <c r="J6541">
        <v>7.2999999999999995E-2</v>
      </c>
      <c r="K6541">
        <v>0.83</v>
      </c>
      <c r="L6541">
        <v>0.76</v>
      </c>
      <c r="M6541">
        <v>1.73</v>
      </c>
      <c r="N6541">
        <v>0.17</v>
      </c>
    </row>
    <row r="6542" spans="1:14" x14ac:dyDescent="0.25">
      <c r="A6542" t="s">
        <v>11731</v>
      </c>
      <c r="B6542" t="s">
        <v>11732</v>
      </c>
      <c r="C6542" s="1" t="str">
        <f>HYPERLINK("http://www.genecards.org/cgi-bin/carddisp.pl?gene=C6orf27","GeneCards")</f>
        <v>GeneCards</v>
      </c>
      <c r="D6542" s="1" t="str">
        <f>HYPERLINK("http://genome-euro.ucsc.edu/cgi-bin/hgTracks?position=221301_at","UCSC")</f>
        <v>UCSC</v>
      </c>
      <c r="E6542" s="1" t="str">
        <f>HYPERLINK("http://www.ncbi.nlm.nih.gov/gene/?term=C6orf27","NCBI")</f>
        <v>NCBI</v>
      </c>
      <c r="F6542">
        <v>7.6999999999999999E-2</v>
      </c>
      <c r="G6542">
        <v>0.2</v>
      </c>
      <c r="H6542" s="1" t="str">
        <f>HYPERLINK("http://www.weizmann.ac.il/complex/compphys/software/geview/data/figures/221301_at.png","Figure")</f>
        <v>Figure</v>
      </c>
      <c r="I6542">
        <v>1.25</v>
      </c>
      <c r="J6542">
        <v>7.2999999999999995E-2</v>
      </c>
      <c r="K6542">
        <v>1.1599999999999999</v>
      </c>
      <c r="L6542">
        <v>0.22</v>
      </c>
      <c r="M6542">
        <v>0.92100000000000004</v>
      </c>
      <c r="N6542">
        <v>0.62</v>
      </c>
    </row>
    <row r="6543" spans="1:14" x14ac:dyDescent="0.25">
      <c r="A6543" t="s">
        <v>11733</v>
      </c>
      <c r="B6543" t="s">
        <v>6349</v>
      </c>
      <c r="C6543" s="1" t="str">
        <f>HYPERLINK("http://www.genecards.org/cgi-bin/carddisp.pl?gene=RBCK1","GeneCards")</f>
        <v>GeneCards</v>
      </c>
      <c r="D6543" s="1" t="str">
        <f>HYPERLINK("http://genome-euro.ucsc.edu/cgi-bin/hgTracks?position=221827_at","UCSC")</f>
        <v>UCSC</v>
      </c>
      <c r="E6543" s="1" t="str">
        <f>HYPERLINK("http://www.ncbi.nlm.nih.gov/gene/?term=RBCK1","NCBI")</f>
        <v>NCBI</v>
      </c>
      <c r="F6543">
        <v>7.6999999999999999E-2</v>
      </c>
      <c r="G6543">
        <v>0.2</v>
      </c>
      <c r="H6543" s="1" t="str">
        <f>HYPERLINK("http://www.weizmann.ac.il/complex/compphys/software/geview/data/figures/221827_at.png","Figure")</f>
        <v>Figure</v>
      </c>
      <c r="I6543">
        <v>0.749</v>
      </c>
      <c r="J6543">
        <v>8.6999999999999994E-2</v>
      </c>
      <c r="K6543">
        <v>0.80800000000000005</v>
      </c>
      <c r="L6543">
        <v>0.16</v>
      </c>
      <c r="M6543">
        <v>1.08</v>
      </c>
      <c r="N6543">
        <v>0.8</v>
      </c>
    </row>
    <row r="6544" spans="1:14" x14ac:dyDescent="0.25">
      <c r="A6544" t="s">
        <v>11734</v>
      </c>
      <c r="B6544" t="s">
        <v>11735</v>
      </c>
      <c r="C6544" s="1" t="str">
        <f>HYPERLINK("http://www.genecards.org/cgi-bin/carddisp.pl?gene=ZNF646","GeneCards")</f>
        <v>GeneCards</v>
      </c>
      <c r="D6544" s="1" t="str">
        <f>HYPERLINK("http://genome-euro.ucsc.edu/cgi-bin/hgTracks?position=204876_at","UCSC")</f>
        <v>UCSC</v>
      </c>
      <c r="E6544" s="1" t="str">
        <f>HYPERLINK("http://www.ncbi.nlm.nih.gov/gene/?term=ZNF646","NCBI")</f>
        <v>NCBI</v>
      </c>
      <c r="F6544">
        <v>7.8E-2</v>
      </c>
      <c r="G6544">
        <v>0.2</v>
      </c>
      <c r="H6544" s="1" t="str">
        <f>HYPERLINK("http://www.weizmann.ac.il/complex/compphys/software/geview/data/figures/204876_at.png","Figure")</f>
        <v>Figure</v>
      </c>
      <c r="I6544">
        <v>1.36</v>
      </c>
      <c r="J6544">
        <v>6.5000000000000002E-2</v>
      </c>
      <c r="K6544">
        <v>1.1599999999999999</v>
      </c>
      <c r="L6544">
        <v>0.37</v>
      </c>
      <c r="M6544">
        <v>0.85399999999999998</v>
      </c>
      <c r="N6544">
        <v>0.39</v>
      </c>
    </row>
    <row r="6545" spans="1:14" x14ac:dyDescent="0.25">
      <c r="A6545" t="s">
        <v>11736</v>
      </c>
      <c r="B6545" t="s">
        <v>11737</v>
      </c>
      <c r="C6545" s="1" t="str">
        <f>HYPERLINK("http://www.genecards.org/cgi-bin/carddisp.pl?gene=BEGAIN","GeneCards")</f>
        <v>GeneCards</v>
      </c>
      <c r="D6545" s="1" t="str">
        <f>HYPERLINK("http://genome-euro.ucsc.edu/cgi-bin/hgTracks?position=220795_s_at","UCSC")</f>
        <v>UCSC</v>
      </c>
      <c r="E6545" s="1" t="str">
        <f>HYPERLINK("http://www.ncbi.nlm.nih.gov/gene/?term=BEGAIN","NCBI")</f>
        <v>NCBI</v>
      </c>
      <c r="F6545">
        <v>7.8E-2</v>
      </c>
      <c r="G6545">
        <v>0.2</v>
      </c>
      <c r="H6545" s="1" t="str">
        <f>HYPERLINK("http://www.weizmann.ac.il/complex/compphys/software/geview/data/figures/220795_s_at.png","Figure")</f>
        <v>Figure</v>
      </c>
      <c r="I6545">
        <v>1.26</v>
      </c>
      <c r="J6545">
        <v>6.6000000000000003E-2</v>
      </c>
      <c r="K6545">
        <v>1.08</v>
      </c>
      <c r="L6545">
        <v>0.6</v>
      </c>
      <c r="M6545">
        <v>0.86099999999999999</v>
      </c>
      <c r="N6545">
        <v>0.23</v>
      </c>
    </row>
    <row r="6546" spans="1:14" x14ac:dyDescent="0.25">
      <c r="A6546" t="s">
        <v>11738</v>
      </c>
      <c r="B6546" t="s">
        <v>11739</v>
      </c>
      <c r="C6546" s="1" t="str">
        <f>HYPERLINK("http://www.genecards.org/cgi-bin/carddisp.pl?gene=RBM8A","GeneCards")</f>
        <v>GeneCards</v>
      </c>
      <c r="D6546" s="1" t="str">
        <f>HYPERLINK("http://genome-euro.ucsc.edu/cgi-bin/hgTracks?position=213852_at","UCSC")</f>
        <v>UCSC</v>
      </c>
      <c r="E6546" s="1" t="str">
        <f>HYPERLINK("http://www.ncbi.nlm.nih.gov/gene/?term=RBM8A","NCBI")</f>
        <v>NCBI</v>
      </c>
      <c r="F6546">
        <v>7.8E-2</v>
      </c>
      <c r="G6546">
        <v>0.2</v>
      </c>
      <c r="H6546" s="1" t="str">
        <f>HYPERLINK("http://www.weizmann.ac.il/complex/compphys/software/geview/data/figures/213852_at.png","Figure")</f>
        <v>Figure</v>
      </c>
      <c r="I6546">
        <v>0.79800000000000004</v>
      </c>
      <c r="J6546">
        <v>0.48</v>
      </c>
      <c r="K6546">
        <v>1.24</v>
      </c>
      <c r="L6546">
        <v>0.42</v>
      </c>
      <c r="M6546">
        <v>1.56</v>
      </c>
      <c r="N6546">
        <v>6.7000000000000004E-2</v>
      </c>
    </row>
    <row r="6547" spans="1:14" x14ac:dyDescent="0.25">
      <c r="A6547" t="s">
        <v>11740</v>
      </c>
      <c r="B6547" t="s">
        <v>11741</v>
      </c>
      <c r="C6547" s="1" t="str">
        <f>HYPERLINK("http://www.genecards.org/cgi-bin/carddisp.pl?gene=CENPJ","GeneCards")</f>
        <v>GeneCards</v>
      </c>
      <c r="D6547" s="1" t="str">
        <f>HYPERLINK("http://genome-euro.ucsc.edu/cgi-bin/hgTracks?position=220885_s_at","UCSC")</f>
        <v>UCSC</v>
      </c>
      <c r="E6547" s="1" t="str">
        <f>HYPERLINK("http://www.ncbi.nlm.nih.gov/gene/?term=CENPJ","NCBI")</f>
        <v>NCBI</v>
      </c>
      <c r="F6547">
        <v>7.8E-2</v>
      </c>
      <c r="G6547">
        <v>0.2</v>
      </c>
      <c r="H6547" s="1" t="str">
        <f>HYPERLINK("http://www.weizmann.ac.il/complex/compphys/software/geview/data/figures/220885_s_at.png","Figure")</f>
        <v>Figure</v>
      </c>
      <c r="I6547">
        <v>1.08</v>
      </c>
      <c r="J6547">
        <v>0.33</v>
      </c>
      <c r="K6547">
        <v>1.1100000000000001</v>
      </c>
      <c r="L6547">
        <v>6.5000000000000002E-2</v>
      </c>
      <c r="M6547">
        <v>1.04</v>
      </c>
      <c r="N6547">
        <v>0.74</v>
      </c>
    </row>
    <row r="6548" spans="1:14" x14ac:dyDescent="0.25">
      <c r="A6548" t="s">
        <v>11742</v>
      </c>
      <c r="B6548" t="s">
        <v>6484</v>
      </c>
      <c r="C6548" s="1" t="str">
        <f>HYPERLINK("http://www.genecards.org/cgi-bin/carddisp.pl?gene=PCGF2","GeneCards")</f>
        <v>GeneCards</v>
      </c>
      <c r="D6548" s="1" t="str">
        <f>HYPERLINK("http://genome-euro.ucsc.edu/cgi-bin/hgTracks?position=203792_x_at","UCSC")</f>
        <v>UCSC</v>
      </c>
      <c r="E6548" s="1" t="str">
        <f>HYPERLINK("http://www.ncbi.nlm.nih.gov/gene/?term=PCGF2","NCBI")</f>
        <v>NCBI</v>
      </c>
      <c r="F6548">
        <v>7.8E-2</v>
      </c>
      <c r="G6548">
        <v>0.2</v>
      </c>
      <c r="H6548" s="1" t="str">
        <f>HYPERLINK("http://www.weizmann.ac.il/complex/compphys/software/geview/data/figures/203792_x_at.png","Figure")</f>
        <v>Figure</v>
      </c>
      <c r="I6548">
        <v>1.32</v>
      </c>
      <c r="J6548">
        <v>6.5000000000000002E-2</v>
      </c>
      <c r="K6548">
        <v>1.1200000000000001</v>
      </c>
      <c r="L6548">
        <v>0.51</v>
      </c>
      <c r="M6548">
        <v>0.84799999999999998</v>
      </c>
      <c r="N6548">
        <v>0.28000000000000003</v>
      </c>
    </row>
    <row r="6549" spans="1:14" x14ac:dyDescent="0.25">
      <c r="A6549" t="s">
        <v>11743</v>
      </c>
      <c r="B6549" t="s">
        <v>11744</v>
      </c>
      <c r="C6549" s="1" t="str">
        <f>HYPERLINK("http://www.genecards.org/cgi-bin/carddisp.pl?gene=PRKAB2","GeneCards")</f>
        <v>GeneCards</v>
      </c>
      <c r="D6549" s="1" t="str">
        <f>HYPERLINK("http://genome-euro.ucsc.edu/cgi-bin/hgTracks?position=214474_at","UCSC")</f>
        <v>UCSC</v>
      </c>
      <c r="E6549" s="1" t="str">
        <f>HYPERLINK("http://www.ncbi.nlm.nih.gov/gene/?term=PRKAB2","NCBI")</f>
        <v>NCBI</v>
      </c>
      <c r="F6549">
        <v>7.8E-2</v>
      </c>
      <c r="G6549">
        <v>0.2</v>
      </c>
      <c r="H6549" s="1" t="str">
        <f>HYPERLINK("http://www.weizmann.ac.il/complex/compphys/software/geview/data/figures/214474_at.png","Figure")</f>
        <v>Figure</v>
      </c>
      <c r="I6549">
        <v>1.19</v>
      </c>
      <c r="J6549">
        <v>6.4000000000000001E-2</v>
      </c>
      <c r="K6549">
        <v>1.07</v>
      </c>
      <c r="L6549">
        <v>0.49</v>
      </c>
      <c r="M6549">
        <v>0.90300000000000002</v>
      </c>
      <c r="N6549">
        <v>0.28999999999999998</v>
      </c>
    </row>
    <row r="6550" spans="1:14" x14ac:dyDescent="0.25">
      <c r="A6550" t="s">
        <v>11745</v>
      </c>
      <c r="B6550" t="s">
        <v>11746</v>
      </c>
      <c r="C6550" s="1" t="str">
        <f>HYPERLINK("http://www.genecards.org/cgi-bin/carddisp.pl?gene=IL9R","GeneCards")</f>
        <v>GeneCards</v>
      </c>
      <c r="D6550" s="1" t="str">
        <f>HYPERLINK("http://genome-euro.ucsc.edu/cgi-bin/hgTracks?position=214950_at","UCSC")</f>
        <v>UCSC</v>
      </c>
      <c r="E6550" s="1" t="str">
        <f>HYPERLINK("http://www.ncbi.nlm.nih.gov/gene/?term=IL9R","NCBI")</f>
        <v>NCBI</v>
      </c>
      <c r="F6550">
        <v>7.8E-2</v>
      </c>
      <c r="G6550">
        <v>0.2</v>
      </c>
      <c r="H6550" s="1" t="str">
        <f>HYPERLINK("http://www.weizmann.ac.il/complex/compphys/software/geview/data/figures/214950_at.png","Figure")</f>
        <v>Figure</v>
      </c>
      <c r="I6550">
        <v>1.24</v>
      </c>
      <c r="J6550">
        <v>7.1999999999999995E-2</v>
      </c>
      <c r="K6550">
        <v>1.1399999999999999</v>
      </c>
      <c r="L6550">
        <v>0.23</v>
      </c>
      <c r="M6550">
        <v>0.92300000000000004</v>
      </c>
      <c r="N6550">
        <v>0.6</v>
      </c>
    </row>
    <row r="6551" spans="1:14" x14ac:dyDescent="0.25">
      <c r="A6551" t="s">
        <v>11747</v>
      </c>
      <c r="B6551" t="s">
        <v>11748</v>
      </c>
      <c r="C6551" s="1" t="str">
        <f>HYPERLINK("http://www.genecards.org/cgi-bin/carddisp.pl?gene=MUC3A","GeneCards")</f>
        <v>GeneCards</v>
      </c>
      <c r="D6551" s="1" t="str">
        <f>HYPERLINK("http://genome-euro.ucsc.edu/cgi-bin/hgTracks?position=217117_x_at","UCSC")</f>
        <v>UCSC</v>
      </c>
      <c r="E6551" s="1" t="str">
        <f>HYPERLINK("http://www.ncbi.nlm.nih.gov/gene/?term=MUC3A","NCBI")</f>
        <v>NCBI</v>
      </c>
      <c r="F6551">
        <v>7.8E-2</v>
      </c>
      <c r="G6551">
        <v>0.2</v>
      </c>
      <c r="H6551" s="1" t="str">
        <f>HYPERLINK("http://www.weizmann.ac.il/complex/compphys/software/geview/data/figures/217117_x_at.png","Figure")</f>
        <v>Figure</v>
      </c>
      <c r="I6551">
        <v>1.27</v>
      </c>
      <c r="J6551">
        <v>6.5000000000000002E-2</v>
      </c>
      <c r="K6551">
        <v>1.1299999999999999</v>
      </c>
      <c r="L6551">
        <v>0.33</v>
      </c>
      <c r="M6551">
        <v>0.89</v>
      </c>
      <c r="N6551">
        <v>0.43</v>
      </c>
    </row>
    <row r="6552" spans="1:14" x14ac:dyDescent="0.25">
      <c r="A6552" t="s">
        <v>11749</v>
      </c>
      <c r="B6552" t="s">
        <v>11750</v>
      </c>
      <c r="C6552" s="1" t="str">
        <f>HYPERLINK("http://www.genecards.org/cgi-bin/carddisp.pl?gene=KCNMA1","GeneCards")</f>
        <v>GeneCards</v>
      </c>
      <c r="D6552" s="1" t="str">
        <f>HYPERLINK("http://genome-euro.ucsc.edu/cgi-bin/hgTracks?position=221584_s_at","UCSC")</f>
        <v>UCSC</v>
      </c>
      <c r="E6552" s="1" t="str">
        <f>HYPERLINK("http://www.ncbi.nlm.nih.gov/gene/?term=KCNMA1","NCBI")</f>
        <v>NCBI</v>
      </c>
      <c r="F6552">
        <v>7.8E-2</v>
      </c>
      <c r="G6552">
        <v>0.2</v>
      </c>
      <c r="H6552" s="1" t="str">
        <f>HYPERLINK("http://www.weizmann.ac.il/complex/compphys/software/geview/data/figures/221584_s_at.png","Figure")</f>
        <v>Figure</v>
      </c>
      <c r="I6552">
        <v>1.24</v>
      </c>
      <c r="J6552">
        <v>6.9000000000000006E-2</v>
      </c>
      <c r="K6552">
        <v>1.1299999999999999</v>
      </c>
      <c r="L6552">
        <v>0.26</v>
      </c>
      <c r="M6552">
        <v>0.91500000000000004</v>
      </c>
      <c r="N6552">
        <v>0.54</v>
      </c>
    </row>
    <row r="6553" spans="1:14" x14ac:dyDescent="0.25">
      <c r="A6553" t="s">
        <v>11751</v>
      </c>
      <c r="B6553" t="s">
        <v>11752</v>
      </c>
      <c r="C6553" s="1" t="str">
        <f>HYPERLINK("http://www.genecards.org/cgi-bin/carddisp.pl?gene=PBRM1","GeneCards")</f>
        <v>GeneCards</v>
      </c>
      <c r="D6553" s="1" t="str">
        <f>HYPERLINK("http://genome-euro.ucsc.edu/cgi-bin/hgTracks?position=220355_s_at","UCSC")</f>
        <v>UCSC</v>
      </c>
      <c r="E6553" s="1" t="str">
        <f>HYPERLINK("http://www.ncbi.nlm.nih.gov/gene/?term=PBRM1","NCBI")</f>
        <v>NCBI</v>
      </c>
      <c r="F6553">
        <v>7.8E-2</v>
      </c>
      <c r="G6553">
        <v>0.2</v>
      </c>
      <c r="H6553" s="1" t="str">
        <f>HYPERLINK("http://www.weizmann.ac.il/complex/compphys/software/geview/data/figures/220355_s_at.png","Figure")</f>
        <v>Figure</v>
      </c>
      <c r="I6553">
        <v>1.39</v>
      </c>
      <c r="J6553">
        <v>9.4E-2</v>
      </c>
      <c r="K6553">
        <v>1.29</v>
      </c>
      <c r="L6553">
        <v>0.14000000000000001</v>
      </c>
      <c r="M6553">
        <v>0.92900000000000005</v>
      </c>
      <c r="N6553">
        <v>0.85</v>
      </c>
    </row>
    <row r="6554" spans="1:14" x14ac:dyDescent="0.25">
      <c r="A6554" t="s">
        <v>11753</v>
      </c>
      <c r="B6554" t="s">
        <v>11754</v>
      </c>
      <c r="C6554" s="1" t="str">
        <f>HYPERLINK("http://www.genecards.org/cgi-bin/carddisp.pl?gene=GLYR1 /// SEPT6","GeneCards")</f>
        <v>GeneCards</v>
      </c>
      <c r="D6554" s="1" t="str">
        <f>HYPERLINK("http://genome-euro.ucsc.edu/cgi-bin/hgTracks?position=212414_s_at","UCSC")</f>
        <v>UCSC</v>
      </c>
      <c r="E6554" s="1" t="str">
        <f>HYPERLINK("http://www.ncbi.nlm.nih.gov/gene/?term=GLYR1 /// SEPT6","NCBI")</f>
        <v>NCBI</v>
      </c>
      <c r="F6554">
        <v>7.8E-2</v>
      </c>
      <c r="G6554">
        <v>0.2</v>
      </c>
      <c r="H6554" s="1" t="str">
        <f>HYPERLINK("http://www.weizmann.ac.il/complex/compphys/software/geview/data/figures/212414_s_at.png","Figure")</f>
        <v>Figure</v>
      </c>
      <c r="I6554">
        <v>0.624</v>
      </c>
      <c r="J6554">
        <v>0.18</v>
      </c>
      <c r="K6554">
        <v>1.1000000000000001</v>
      </c>
      <c r="L6554">
        <v>0.9</v>
      </c>
      <c r="M6554">
        <v>1.76</v>
      </c>
      <c r="N6554">
        <v>7.1999999999999995E-2</v>
      </c>
    </row>
    <row r="6555" spans="1:14" x14ac:dyDescent="0.25">
      <c r="A6555" t="s">
        <v>11755</v>
      </c>
      <c r="B6555" t="s">
        <v>8190</v>
      </c>
      <c r="C6555" s="1" t="str">
        <f>HYPERLINK("http://www.genecards.org/cgi-bin/carddisp.pl?gene=CREB1","GeneCards")</f>
        <v>GeneCards</v>
      </c>
      <c r="D6555" s="1" t="str">
        <f>HYPERLINK("http://genome-euro.ucsc.edu/cgi-bin/hgTracks?position=204314_s_at","UCSC")</f>
        <v>UCSC</v>
      </c>
      <c r="E6555" s="1" t="str">
        <f>HYPERLINK("http://www.ncbi.nlm.nih.gov/gene/?term=CREB1","NCBI")</f>
        <v>NCBI</v>
      </c>
      <c r="F6555">
        <v>7.8E-2</v>
      </c>
      <c r="G6555">
        <v>0.2</v>
      </c>
      <c r="H6555" s="1" t="str">
        <f>HYPERLINK("http://www.weizmann.ac.il/complex/compphys/software/geview/data/figures/204314_s_at.png","Figure")</f>
        <v>Figure</v>
      </c>
      <c r="I6555">
        <v>0.59</v>
      </c>
      <c r="J6555">
        <v>9.5000000000000001E-2</v>
      </c>
      <c r="K6555">
        <v>0.94699999999999995</v>
      </c>
      <c r="L6555">
        <v>0.96</v>
      </c>
      <c r="M6555">
        <v>1.6</v>
      </c>
      <c r="N6555">
        <v>0.11</v>
      </c>
    </row>
    <row r="6556" spans="1:14" x14ac:dyDescent="0.25">
      <c r="A6556" t="s">
        <v>11756</v>
      </c>
      <c r="B6556" t="s">
        <v>11757</v>
      </c>
      <c r="C6556" s="1" t="str">
        <f>HYPERLINK("http://www.genecards.org/cgi-bin/carddisp.pl?gene=DLD","GeneCards")</f>
        <v>GeneCards</v>
      </c>
      <c r="D6556" s="1" t="str">
        <f>HYPERLINK("http://genome-euro.ucsc.edu/cgi-bin/hgTracks?position=209095_at","UCSC")</f>
        <v>UCSC</v>
      </c>
      <c r="E6556" s="1" t="str">
        <f>HYPERLINK("http://www.ncbi.nlm.nih.gov/gene/?term=DLD","NCBI")</f>
        <v>NCBI</v>
      </c>
      <c r="F6556">
        <v>7.8E-2</v>
      </c>
      <c r="G6556">
        <v>0.2</v>
      </c>
      <c r="H6556" s="1" t="str">
        <f>HYPERLINK("http://www.weizmann.ac.il/complex/compphys/software/geview/data/figures/209095_at.png","Figure")</f>
        <v>Figure</v>
      </c>
      <c r="I6556">
        <v>0.86</v>
      </c>
      <c r="J6556">
        <v>0.77</v>
      </c>
      <c r="K6556">
        <v>0.63200000000000001</v>
      </c>
      <c r="L6556">
        <v>7.3999999999999996E-2</v>
      </c>
      <c r="M6556">
        <v>0.73399999999999999</v>
      </c>
      <c r="N6556">
        <v>0.31</v>
      </c>
    </row>
    <row r="6557" spans="1:14" x14ac:dyDescent="0.25">
      <c r="A6557" t="s">
        <v>11758</v>
      </c>
      <c r="B6557" t="s">
        <v>9416</v>
      </c>
      <c r="C6557" s="1" t="str">
        <f>HYPERLINK("http://www.genecards.org/cgi-bin/carddisp.pl?gene=LOC26102","GeneCards")</f>
        <v>GeneCards</v>
      </c>
      <c r="D6557" s="1" t="str">
        <f>HYPERLINK("http://genome-euro.ucsc.edu/cgi-bin/hgTracks?position=216608_at","UCSC")</f>
        <v>UCSC</v>
      </c>
      <c r="E6557" s="1" t="str">
        <f>HYPERLINK("http://www.ncbi.nlm.nih.gov/gene/?term=LOC26102","NCBI")</f>
        <v>NCBI</v>
      </c>
      <c r="F6557">
        <v>7.8E-2</v>
      </c>
      <c r="G6557">
        <v>0.2</v>
      </c>
      <c r="H6557" s="1" t="str">
        <f>HYPERLINK("http://www.weizmann.ac.il/complex/compphys/software/geview/data/figures/216608_at.png","Figure")</f>
        <v>Figure</v>
      </c>
      <c r="I6557">
        <v>1.23</v>
      </c>
      <c r="J6557">
        <v>0.11</v>
      </c>
      <c r="K6557">
        <v>1.2</v>
      </c>
      <c r="L6557">
        <v>0.12</v>
      </c>
      <c r="M6557">
        <v>0.97199999999999998</v>
      </c>
      <c r="N6557">
        <v>0.95</v>
      </c>
    </row>
    <row r="6558" spans="1:14" x14ac:dyDescent="0.25">
      <c r="A6558" t="s">
        <v>11759</v>
      </c>
      <c r="B6558" t="s">
        <v>11760</v>
      </c>
      <c r="C6558" s="1" t="str">
        <f>HYPERLINK("http://www.genecards.org/cgi-bin/carddisp.pl?gene=PPP1R12A","GeneCards")</f>
        <v>GeneCards</v>
      </c>
      <c r="D6558" s="1" t="str">
        <f>HYPERLINK("http://genome-euro.ucsc.edu/cgi-bin/hgTracks?position=201604_s_at","UCSC")</f>
        <v>UCSC</v>
      </c>
      <c r="E6558" s="1" t="str">
        <f>HYPERLINK("http://www.ncbi.nlm.nih.gov/gene/?term=PPP1R12A","NCBI")</f>
        <v>NCBI</v>
      </c>
      <c r="F6558">
        <v>7.8E-2</v>
      </c>
      <c r="G6558">
        <v>0.2</v>
      </c>
      <c r="H6558" s="1" t="str">
        <f>HYPERLINK("http://www.weizmann.ac.il/complex/compphys/software/geview/data/figures/201604_s_at.png","Figure")</f>
        <v>Figure</v>
      </c>
      <c r="I6558">
        <v>1.38</v>
      </c>
      <c r="J6558">
        <v>0.13</v>
      </c>
      <c r="K6558">
        <v>0.98099999999999998</v>
      </c>
      <c r="L6558">
        <v>0.99</v>
      </c>
      <c r="M6558">
        <v>0.71199999999999997</v>
      </c>
      <c r="N6558">
        <v>8.3000000000000004E-2</v>
      </c>
    </row>
    <row r="6559" spans="1:14" x14ac:dyDescent="0.25">
      <c r="A6559" t="s">
        <v>11761</v>
      </c>
      <c r="B6559" t="s">
        <v>11762</v>
      </c>
      <c r="C6559" s="1" t="str">
        <f>HYPERLINK("http://www.genecards.org/cgi-bin/carddisp.pl?gene=MPV17","GeneCards")</f>
        <v>GeneCards</v>
      </c>
      <c r="D6559" s="1" t="str">
        <f>HYPERLINK("http://genome-euro.ucsc.edu/cgi-bin/hgTracks?position=203466_at","UCSC")</f>
        <v>UCSC</v>
      </c>
      <c r="E6559" s="1" t="str">
        <f>HYPERLINK("http://www.ncbi.nlm.nih.gov/gene/?term=MPV17","NCBI")</f>
        <v>NCBI</v>
      </c>
      <c r="F6559">
        <v>7.8E-2</v>
      </c>
      <c r="G6559">
        <v>0.2</v>
      </c>
      <c r="H6559" s="1" t="str">
        <f>HYPERLINK("http://www.weizmann.ac.il/complex/compphys/software/geview/data/figures/203466_at.png","Figure")</f>
        <v>Figure</v>
      </c>
      <c r="I6559">
        <v>1.08</v>
      </c>
      <c r="J6559">
        <v>0.91</v>
      </c>
      <c r="K6559">
        <v>1.43</v>
      </c>
      <c r="L6559">
        <v>8.5999999999999993E-2</v>
      </c>
      <c r="M6559">
        <v>1.33</v>
      </c>
      <c r="N6559">
        <v>0.23</v>
      </c>
    </row>
    <row r="6560" spans="1:14" x14ac:dyDescent="0.25">
      <c r="A6560" t="s">
        <v>11763</v>
      </c>
      <c r="B6560" t="s">
        <v>4220</v>
      </c>
      <c r="C6560" s="1" t="str">
        <f>HYPERLINK("http://www.genecards.org/cgi-bin/carddisp.pl?gene=HOXB7","GeneCards")</f>
        <v>GeneCards</v>
      </c>
      <c r="D6560" s="1" t="str">
        <f>HYPERLINK("http://genome-euro.ucsc.edu/cgi-bin/hgTracks?position=204779_s_at","UCSC")</f>
        <v>UCSC</v>
      </c>
      <c r="E6560" s="1" t="str">
        <f>HYPERLINK("http://www.ncbi.nlm.nih.gov/gene/?term=HOXB7","NCBI")</f>
        <v>NCBI</v>
      </c>
      <c r="F6560">
        <v>7.8E-2</v>
      </c>
      <c r="G6560">
        <v>0.2</v>
      </c>
      <c r="H6560" s="1" t="str">
        <f>HYPERLINK("http://www.weizmann.ac.il/complex/compphys/software/geview/data/figures/204779_s_at.png","Figure")</f>
        <v>Figure</v>
      </c>
      <c r="I6560">
        <v>1.1399999999999999</v>
      </c>
      <c r="J6560">
        <v>0.48</v>
      </c>
      <c r="K6560">
        <v>0.88700000000000001</v>
      </c>
      <c r="L6560">
        <v>0.43</v>
      </c>
      <c r="M6560">
        <v>0.78100000000000003</v>
      </c>
      <c r="N6560">
        <v>6.7000000000000004E-2</v>
      </c>
    </row>
    <row r="6561" spans="1:14" x14ac:dyDescent="0.25">
      <c r="A6561" t="s">
        <v>11764</v>
      </c>
      <c r="B6561" t="s">
        <v>11765</v>
      </c>
      <c r="C6561" s="1" t="str">
        <f>HYPERLINK("http://www.genecards.org/cgi-bin/carddisp.pl?gene=MATK","GeneCards")</f>
        <v>GeneCards</v>
      </c>
      <c r="D6561" s="1" t="str">
        <f>HYPERLINK("http://genome-euro.ucsc.edu/cgi-bin/hgTracks?position=206267_s_at","UCSC")</f>
        <v>UCSC</v>
      </c>
      <c r="E6561" s="1" t="str">
        <f>HYPERLINK("http://www.ncbi.nlm.nih.gov/gene/?term=MATK","NCBI")</f>
        <v>NCBI</v>
      </c>
      <c r="F6561">
        <v>7.8E-2</v>
      </c>
      <c r="G6561">
        <v>0.2</v>
      </c>
      <c r="H6561" s="1" t="str">
        <f>HYPERLINK("http://www.weizmann.ac.il/complex/compphys/software/geview/data/figures/206267_s_at.png","Figure")</f>
        <v>Figure</v>
      </c>
      <c r="I6561">
        <v>1.2</v>
      </c>
      <c r="J6561">
        <v>0.14000000000000001</v>
      </c>
      <c r="K6561">
        <v>1.2</v>
      </c>
      <c r="L6561">
        <v>9.6000000000000002E-2</v>
      </c>
      <c r="M6561">
        <v>0.99299999999999999</v>
      </c>
      <c r="N6561">
        <v>1</v>
      </c>
    </row>
    <row r="6562" spans="1:14" x14ac:dyDescent="0.25">
      <c r="A6562" t="s">
        <v>11766</v>
      </c>
      <c r="B6562" t="s">
        <v>11767</v>
      </c>
      <c r="C6562" s="1" t="str">
        <f>HYPERLINK("http://www.genecards.org/cgi-bin/carddisp.pl?gene=CRISP1","GeneCards")</f>
        <v>GeneCards</v>
      </c>
      <c r="D6562" s="1" t="str">
        <f>HYPERLINK("http://genome-euro.ucsc.edu/cgi-bin/hgTracks?position=207032_s_at","UCSC")</f>
        <v>UCSC</v>
      </c>
      <c r="E6562" s="1" t="str">
        <f>HYPERLINK("http://www.ncbi.nlm.nih.gov/gene/?term=CRISP1","NCBI")</f>
        <v>NCBI</v>
      </c>
      <c r="F6562">
        <v>7.8E-2</v>
      </c>
      <c r="G6562">
        <v>0.2</v>
      </c>
      <c r="H6562" s="1" t="str">
        <f>HYPERLINK("http://www.weizmann.ac.il/complex/compphys/software/geview/data/figures/207032_s_at.png","Figure")</f>
        <v>Figure</v>
      </c>
      <c r="I6562">
        <v>1.17</v>
      </c>
      <c r="J6562">
        <v>9.7000000000000003E-2</v>
      </c>
      <c r="K6562">
        <v>1.01</v>
      </c>
      <c r="L6562">
        <v>0.97</v>
      </c>
      <c r="M6562">
        <v>0.86599999999999999</v>
      </c>
      <c r="N6562">
        <v>0.11</v>
      </c>
    </row>
    <row r="6563" spans="1:14" x14ac:dyDescent="0.25">
      <c r="A6563" t="s">
        <v>11768</v>
      </c>
      <c r="B6563" t="s">
        <v>11769</v>
      </c>
      <c r="C6563" s="1" t="str">
        <f>HYPERLINK("http://www.genecards.org/cgi-bin/carddisp.pl?gene=OPRM1","GeneCards")</f>
        <v>GeneCards</v>
      </c>
      <c r="D6563" s="1" t="str">
        <f>HYPERLINK("http://genome-euro.ucsc.edu/cgi-bin/hgTracks?position=211359_s_at","UCSC")</f>
        <v>UCSC</v>
      </c>
      <c r="E6563" s="1" t="str">
        <f>HYPERLINK("http://www.ncbi.nlm.nih.gov/gene/?term=OPRM1","NCBI")</f>
        <v>NCBI</v>
      </c>
      <c r="F6563">
        <v>7.8E-2</v>
      </c>
      <c r="G6563">
        <v>0.2</v>
      </c>
      <c r="H6563" s="1" t="str">
        <f>HYPERLINK("http://www.weizmann.ac.il/complex/compphys/software/geview/data/figures/211359_s_at.png","Figure")</f>
        <v>Figure</v>
      </c>
      <c r="I6563">
        <v>0.99</v>
      </c>
      <c r="J6563">
        <v>0.99</v>
      </c>
      <c r="K6563">
        <v>0.83899999999999997</v>
      </c>
      <c r="L6563">
        <v>0.11</v>
      </c>
      <c r="M6563">
        <v>0.84699999999999998</v>
      </c>
      <c r="N6563">
        <v>0.17</v>
      </c>
    </row>
    <row r="6564" spans="1:14" x14ac:dyDescent="0.25">
      <c r="A6564" t="s">
        <v>11770</v>
      </c>
      <c r="B6564" t="s">
        <v>1499</v>
      </c>
      <c r="C6564" s="1" t="str">
        <f>HYPERLINK("http://www.genecards.org/cgi-bin/carddisp.pl?gene=QKI","GeneCards")</f>
        <v>GeneCards</v>
      </c>
      <c r="D6564" s="1" t="str">
        <f>HYPERLINK("http://genome-euro.ucsc.edu/cgi-bin/hgTracks?position=212636_at","UCSC")</f>
        <v>UCSC</v>
      </c>
      <c r="E6564" s="1" t="str">
        <f>HYPERLINK("http://www.ncbi.nlm.nih.gov/gene/?term=QKI","NCBI")</f>
        <v>NCBI</v>
      </c>
      <c r="F6564">
        <v>7.8E-2</v>
      </c>
      <c r="G6564">
        <v>0.2</v>
      </c>
      <c r="H6564" s="1" t="str">
        <f>HYPERLINK("http://www.weizmann.ac.il/complex/compphys/software/geview/data/figures/212636_at.png","Figure")</f>
        <v>Figure</v>
      </c>
      <c r="I6564">
        <v>0.76200000000000001</v>
      </c>
      <c r="J6564">
        <v>0.12</v>
      </c>
      <c r="K6564">
        <v>1</v>
      </c>
      <c r="L6564">
        <v>1</v>
      </c>
      <c r="M6564">
        <v>1.31</v>
      </c>
      <c r="N6564">
        <v>9.0999999999999998E-2</v>
      </c>
    </row>
    <row r="6565" spans="1:14" x14ac:dyDescent="0.25">
      <c r="A6565" t="s">
        <v>11771</v>
      </c>
      <c r="B6565" t="s">
        <v>11772</v>
      </c>
      <c r="C6565" s="1" t="str">
        <f>HYPERLINK("http://www.genecards.org/cgi-bin/carddisp.pl?gene=ASB1","GeneCards")</f>
        <v>GeneCards</v>
      </c>
      <c r="D6565" s="1" t="str">
        <f>HYPERLINK("http://genome-euro.ucsc.edu/cgi-bin/hgTracks?position=212818_s_at","UCSC")</f>
        <v>UCSC</v>
      </c>
      <c r="E6565" s="1" t="str">
        <f>HYPERLINK("http://www.ncbi.nlm.nih.gov/gene/?term=ASB1","NCBI")</f>
        <v>NCBI</v>
      </c>
      <c r="F6565">
        <v>7.8E-2</v>
      </c>
      <c r="G6565">
        <v>0.2</v>
      </c>
      <c r="H6565" s="1" t="str">
        <f>HYPERLINK("http://www.weizmann.ac.il/complex/compphys/software/geview/data/figures/212818_s_at.png","Figure")</f>
        <v>Figure</v>
      </c>
      <c r="I6565">
        <v>1.26</v>
      </c>
      <c r="J6565">
        <v>0.1</v>
      </c>
      <c r="K6565">
        <v>1.02</v>
      </c>
      <c r="L6565">
        <v>0.98</v>
      </c>
      <c r="M6565">
        <v>0.80700000000000005</v>
      </c>
      <c r="N6565">
        <v>0.1</v>
      </c>
    </row>
    <row r="6566" spans="1:14" x14ac:dyDescent="0.25">
      <c r="A6566" t="s">
        <v>11773</v>
      </c>
      <c r="B6566" t="s">
        <v>11774</v>
      </c>
      <c r="C6566" s="1" t="str">
        <f>HYPERLINK("http://www.genecards.org/cgi-bin/carddisp.pl?gene=DTX2","GeneCards")</f>
        <v>GeneCards</v>
      </c>
      <c r="D6566" s="1" t="str">
        <f>HYPERLINK("http://genome-euro.ucsc.edu/cgi-bin/hgTracks?position=215732_s_at","UCSC")</f>
        <v>UCSC</v>
      </c>
      <c r="E6566" s="1" t="str">
        <f>HYPERLINK("http://www.ncbi.nlm.nih.gov/gene/?term=DTX2","NCBI")</f>
        <v>NCBI</v>
      </c>
      <c r="F6566">
        <v>7.8E-2</v>
      </c>
      <c r="G6566">
        <v>0.2</v>
      </c>
      <c r="H6566" s="1" t="str">
        <f>HYPERLINK("http://www.weizmann.ac.il/complex/compphys/software/geview/data/figures/215732_s_at.png","Figure")</f>
        <v>Figure</v>
      </c>
      <c r="I6566">
        <v>1.1299999999999999</v>
      </c>
      <c r="J6566">
        <v>0.26</v>
      </c>
      <c r="K6566">
        <v>1.17</v>
      </c>
      <c r="L6566">
        <v>7.0000000000000007E-2</v>
      </c>
      <c r="M6566">
        <v>1.04</v>
      </c>
      <c r="N6566">
        <v>0.86</v>
      </c>
    </row>
    <row r="6567" spans="1:14" x14ac:dyDescent="0.25">
      <c r="A6567" t="s">
        <v>11775</v>
      </c>
      <c r="B6567" t="s">
        <v>11776</v>
      </c>
      <c r="C6567" s="1" t="str">
        <f>HYPERLINK("http://www.genecards.org/cgi-bin/carddisp.pl?gene=PACSIN3","GeneCards")</f>
        <v>GeneCards</v>
      </c>
      <c r="D6567" s="1" t="str">
        <f>HYPERLINK("http://genome-euro.ucsc.edu/cgi-bin/hgTracks?position=218744_s_at","UCSC")</f>
        <v>UCSC</v>
      </c>
      <c r="E6567" s="1" t="str">
        <f>HYPERLINK("http://www.ncbi.nlm.nih.gov/gene/?term=PACSIN3","NCBI")</f>
        <v>NCBI</v>
      </c>
      <c r="F6567">
        <v>7.8E-2</v>
      </c>
      <c r="G6567">
        <v>0.2</v>
      </c>
      <c r="H6567" s="1" t="str">
        <f>HYPERLINK("http://www.weizmann.ac.il/complex/compphys/software/geview/data/figures/218744_s_at.png","Figure")</f>
        <v>Figure</v>
      </c>
      <c r="I6567">
        <v>1.1499999999999999</v>
      </c>
      <c r="J6567">
        <v>0.17</v>
      </c>
      <c r="K6567">
        <v>1.1599999999999999</v>
      </c>
      <c r="L6567">
        <v>8.5000000000000006E-2</v>
      </c>
      <c r="M6567">
        <v>1.01</v>
      </c>
      <c r="N6567">
        <v>0.99</v>
      </c>
    </row>
    <row r="6568" spans="1:14" x14ac:dyDescent="0.25">
      <c r="A6568" t="s">
        <v>11777</v>
      </c>
      <c r="B6568" t="s">
        <v>11778</v>
      </c>
      <c r="C6568" s="1" t="str">
        <f>HYPERLINK("http://www.genecards.org/cgi-bin/carddisp.pl?gene=RPN2","GeneCards")</f>
        <v>GeneCards</v>
      </c>
      <c r="D6568" s="1" t="str">
        <f>HYPERLINK("http://genome-euro.ucsc.edu/cgi-bin/hgTracks?position=213491_x_at","UCSC")</f>
        <v>UCSC</v>
      </c>
      <c r="E6568" s="1" t="str">
        <f>HYPERLINK("http://www.ncbi.nlm.nih.gov/gene/?term=RPN2","NCBI")</f>
        <v>NCBI</v>
      </c>
      <c r="F6568">
        <v>7.8E-2</v>
      </c>
      <c r="G6568">
        <v>0.2</v>
      </c>
      <c r="H6568" s="1" t="str">
        <f>HYPERLINK("http://www.weizmann.ac.il/complex/compphys/software/geview/data/figures/213491_x_at.png","Figure")</f>
        <v>Figure</v>
      </c>
      <c r="I6568">
        <v>0.72099999999999997</v>
      </c>
      <c r="J6568">
        <v>0.14000000000000001</v>
      </c>
      <c r="K6568">
        <v>1.03</v>
      </c>
      <c r="L6568">
        <v>0.98</v>
      </c>
      <c r="M6568">
        <v>1.43</v>
      </c>
      <c r="N6568">
        <v>0.08</v>
      </c>
    </row>
    <row r="6569" spans="1:14" x14ac:dyDescent="0.25">
      <c r="A6569" t="s">
        <v>11779</v>
      </c>
      <c r="B6569" t="s">
        <v>11780</v>
      </c>
      <c r="C6569" s="1" t="str">
        <f>HYPERLINK("http://www.genecards.org/cgi-bin/carddisp.pl?gene=TTC27","GeneCards")</f>
        <v>GeneCards</v>
      </c>
      <c r="D6569" s="1" t="str">
        <f>HYPERLINK("http://genome-euro.ucsc.edu/cgi-bin/hgTracks?position=218710_at","UCSC")</f>
        <v>UCSC</v>
      </c>
      <c r="E6569" s="1" t="str">
        <f>HYPERLINK("http://www.ncbi.nlm.nih.gov/gene/?term=TTC27","NCBI")</f>
        <v>NCBI</v>
      </c>
      <c r="F6569">
        <v>7.8E-2</v>
      </c>
      <c r="G6569">
        <v>0.2</v>
      </c>
      <c r="H6569" s="1" t="str">
        <f>HYPERLINK("http://www.weizmann.ac.il/complex/compphys/software/geview/data/figures/218710_at.png","Figure")</f>
        <v>Figure</v>
      </c>
      <c r="I6569">
        <v>0.97599999999999998</v>
      </c>
      <c r="J6569">
        <v>0.99</v>
      </c>
      <c r="K6569">
        <v>1.35</v>
      </c>
      <c r="L6569">
        <v>0.13</v>
      </c>
      <c r="M6569">
        <v>1.38</v>
      </c>
      <c r="N6569">
        <v>0.13</v>
      </c>
    </row>
    <row r="6570" spans="1:14" x14ac:dyDescent="0.25">
      <c r="A6570" t="s">
        <v>11781</v>
      </c>
      <c r="B6570" t="s">
        <v>7547</v>
      </c>
      <c r="C6570" s="1" t="str">
        <f>HYPERLINK("http://www.genecards.org/cgi-bin/carddisp.pl?gene=MAST2","GeneCards")</f>
        <v>GeneCards</v>
      </c>
      <c r="D6570" s="1" t="str">
        <f>HYPERLINK("http://genome-euro.ucsc.edu/cgi-bin/hgTracks?position=215661_at","UCSC")</f>
        <v>UCSC</v>
      </c>
      <c r="E6570" s="1" t="str">
        <f>HYPERLINK("http://www.ncbi.nlm.nih.gov/gene/?term=MAST2","NCBI")</f>
        <v>NCBI</v>
      </c>
      <c r="F6570">
        <v>7.8E-2</v>
      </c>
      <c r="G6570">
        <v>0.2</v>
      </c>
      <c r="H6570" s="1" t="str">
        <f>HYPERLINK("http://www.weizmann.ac.il/complex/compphys/software/geview/data/figures/215661_at.png","Figure")</f>
        <v>Figure</v>
      </c>
      <c r="I6570">
        <v>1.24</v>
      </c>
      <c r="J6570">
        <v>6.6000000000000003E-2</v>
      </c>
      <c r="K6570">
        <v>1.08</v>
      </c>
      <c r="L6570">
        <v>0.56000000000000005</v>
      </c>
      <c r="M6570">
        <v>0.872</v>
      </c>
      <c r="N6570">
        <v>0.25</v>
      </c>
    </row>
    <row r="6571" spans="1:14" x14ac:dyDescent="0.25">
      <c r="A6571" t="s">
        <v>11782</v>
      </c>
      <c r="B6571" t="s">
        <v>11783</v>
      </c>
      <c r="C6571" s="1" t="str">
        <f>HYPERLINK("http://www.genecards.org/cgi-bin/carddisp.pl?gene=LCN2","GeneCards")</f>
        <v>GeneCards</v>
      </c>
      <c r="D6571" s="1" t="str">
        <f>HYPERLINK("http://genome-euro.ucsc.edu/cgi-bin/hgTracks?position=212531_at","UCSC")</f>
        <v>UCSC</v>
      </c>
      <c r="E6571" s="1" t="str">
        <f>HYPERLINK("http://www.ncbi.nlm.nih.gov/gene/?term=LCN2","NCBI")</f>
        <v>NCBI</v>
      </c>
      <c r="F6571">
        <v>7.8E-2</v>
      </c>
      <c r="G6571">
        <v>0.2</v>
      </c>
      <c r="H6571" s="1" t="str">
        <f>HYPERLINK("http://www.weizmann.ac.il/complex/compphys/software/geview/data/figures/212531_at.png","Figure")</f>
        <v>Figure</v>
      </c>
      <c r="I6571">
        <v>0.999</v>
      </c>
      <c r="J6571">
        <v>1</v>
      </c>
      <c r="K6571">
        <v>0.85099999999999998</v>
      </c>
      <c r="L6571">
        <v>0.12</v>
      </c>
      <c r="M6571">
        <v>0.85199999999999998</v>
      </c>
      <c r="N6571">
        <v>0.15</v>
      </c>
    </row>
    <row r="6572" spans="1:14" x14ac:dyDescent="0.25">
      <c r="A6572" t="s">
        <v>11784</v>
      </c>
      <c r="B6572" t="s">
        <v>11785</v>
      </c>
      <c r="C6572" s="1" t="str">
        <f>HYPERLINK("http://www.genecards.org/cgi-bin/carddisp.pl?gene=NOS1","GeneCards")</f>
        <v>GeneCards</v>
      </c>
      <c r="D6572" s="1" t="str">
        <f>HYPERLINK("http://genome-euro.ucsc.edu/cgi-bin/hgTracks?position=207309_at","UCSC")</f>
        <v>UCSC</v>
      </c>
      <c r="E6572" s="1" t="str">
        <f>HYPERLINK("http://www.ncbi.nlm.nih.gov/gene/?term=NOS1","NCBI")</f>
        <v>NCBI</v>
      </c>
      <c r="F6572">
        <v>7.8E-2</v>
      </c>
      <c r="G6572">
        <v>0.2</v>
      </c>
      <c r="H6572" s="1" t="str">
        <f>HYPERLINK("http://www.weizmann.ac.il/complex/compphys/software/geview/data/figures/207309_at.png","Figure")</f>
        <v>Figure</v>
      </c>
      <c r="I6572">
        <v>1.3</v>
      </c>
      <c r="J6572">
        <v>6.7000000000000004E-2</v>
      </c>
      <c r="K6572">
        <v>1.1499999999999999</v>
      </c>
      <c r="L6572">
        <v>0.31</v>
      </c>
      <c r="M6572">
        <v>0.88700000000000001</v>
      </c>
      <c r="N6572">
        <v>0.46</v>
      </c>
    </row>
    <row r="6573" spans="1:14" x14ac:dyDescent="0.25">
      <c r="A6573" t="s">
        <v>11786</v>
      </c>
      <c r="B6573" t="s">
        <v>11787</v>
      </c>
      <c r="C6573" s="1" t="str">
        <f>HYPERLINK("http://www.genecards.org/cgi-bin/carddisp.pl?gene=KCNJ15","GeneCards")</f>
        <v>GeneCards</v>
      </c>
      <c r="D6573" s="1" t="str">
        <f>HYPERLINK("http://genome-euro.ucsc.edu/cgi-bin/hgTracks?position=211806_s_at","UCSC")</f>
        <v>UCSC</v>
      </c>
      <c r="E6573" s="1" t="str">
        <f>HYPERLINK("http://www.ncbi.nlm.nih.gov/gene/?term=KCNJ15","NCBI")</f>
        <v>NCBI</v>
      </c>
      <c r="F6573">
        <v>7.8E-2</v>
      </c>
      <c r="G6573">
        <v>0.2</v>
      </c>
      <c r="H6573" s="1" t="str">
        <f>HYPERLINK("http://www.weizmann.ac.il/complex/compphys/software/geview/data/figures/211806_s_at.png","Figure")</f>
        <v>Figure</v>
      </c>
      <c r="I6573">
        <v>1.33</v>
      </c>
      <c r="J6573">
        <v>6.6000000000000003E-2</v>
      </c>
      <c r="K6573">
        <v>1.1599999999999999</v>
      </c>
      <c r="L6573">
        <v>0.33</v>
      </c>
      <c r="M6573">
        <v>0.873</v>
      </c>
      <c r="N6573">
        <v>0.44</v>
      </c>
    </row>
    <row r="6574" spans="1:14" x14ac:dyDescent="0.25">
      <c r="A6574" t="s">
        <v>11788</v>
      </c>
      <c r="B6574" t="s">
        <v>11789</v>
      </c>
      <c r="C6574" s="1" t="str">
        <f>HYPERLINK("http://www.genecards.org/cgi-bin/carddisp.pl?gene=BIRC5","GeneCards")</f>
        <v>GeneCards</v>
      </c>
      <c r="D6574" s="1" t="str">
        <f>HYPERLINK("http://genome-euro.ucsc.edu/cgi-bin/hgTracks?position=202094_at","UCSC")</f>
        <v>UCSC</v>
      </c>
      <c r="E6574" s="1" t="str">
        <f>HYPERLINK("http://www.ncbi.nlm.nih.gov/gene/?term=BIRC5","NCBI")</f>
        <v>NCBI</v>
      </c>
      <c r="F6574">
        <v>7.8E-2</v>
      </c>
      <c r="G6574">
        <v>0.2</v>
      </c>
      <c r="H6574" s="1" t="str">
        <f>HYPERLINK("http://www.weizmann.ac.il/complex/compphys/software/geview/data/figures/202094_at.png","Figure")</f>
        <v>Figure</v>
      </c>
      <c r="I6574">
        <v>0.90900000000000003</v>
      </c>
      <c r="J6574">
        <v>0.55000000000000004</v>
      </c>
      <c r="K6574">
        <v>1.1100000000000001</v>
      </c>
      <c r="L6574">
        <v>0.37</v>
      </c>
      <c r="M6574">
        <v>1.23</v>
      </c>
      <c r="N6574">
        <v>7.0000000000000007E-2</v>
      </c>
    </row>
    <row r="6575" spans="1:14" x14ac:dyDescent="0.25">
      <c r="A6575" t="s">
        <v>11790</v>
      </c>
      <c r="B6575" t="s">
        <v>6032</v>
      </c>
      <c r="C6575" s="1" t="str">
        <f>HYPERLINK("http://www.genecards.org/cgi-bin/carddisp.pl?gene=HMGN4","GeneCards")</f>
        <v>GeneCards</v>
      </c>
      <c r="D6575" s="1" t="str">
        <f>HYPERLINK("http://genome-euro.ucsc.edu/cgi-bin/hgTracks?position=202579_x_at","UCSC")</f>
        <v>UCSC</v>
      </c>
      <c r="E6575" s="1" t="str">
        <f>HYPERLINK("http://www.ncbi.nlm.nih.gov/gene/?term=HMGN4","NCBI")</f>
        <v>NCBI</v>
      </c>
      <c r="F6575">
        <v>7.8E-2</v>
      </c>
      <c r="G6575">
        <v>0.2</v>
      </c>
      <c r="H6575" s="1" t="str">
        <f>HYPERLINK("http://www.weizmann.ac.il/complex/compphys/software/geview/data/figures/202579_x_at.png","Figure")</f>
        <v>Figure</v>
      </c>
      <c r="I6575">
        <v>0.879</v>
      </c>
      <c r="J6575">
        <v>0.63</v>
      </c>
      <c r="K6575">
        <v>1.2</v>
      </c>
      <c r="L6575">
        <v>0.31</v>
      </c>
      <c r="M6575">
        <v>1.37</v>
      </c>
      <c r="N6575">
        <v>7.3999999999999996E-2</v>
      </c>
    </row>
    <row r="6576" spans="1:14" x14ac:dyDescent="0.25">
      <c r="A6576" t="s">
        <v>11791</v>
      </c>
      <c r="B6576" t="s">
        <v>11792</v>
      </c>
      <c r="C6576" s="1" t="str">
        <f>HYPERLINK("http://www.genecards.org/cgi-bin/carddisp.pl?gene=CLTCL1","GeneCards")</f>
        <v>GeneCards</v>
      </c>
      <c r="D6576" s="1" t="str">
        <f>HYPERLINK("http://genome-euro.ucsc.edu/cgi-bin/hgTracks?position=205944_s_at","UCSC")</f>
        <v>UCSC</v>
      </c>
      <c r="E6576" s="1" t="str">
        <f>HYPERLINK("http://www.ncbi.nlm.nih.gov/gene/?term=CLTCL1","NCBI")</f>
        <v>NCBI</v>
      </c>
      <c r="F6576">
        <v>7.8E-2</v>
      </c>
      <c r="G6576">
        <v>0.2</v>
      </c>
      <c r="H6576" s="1" t="str">
        <f>HYPERLINK("http://www.weizmann.ac.il/complex/compphys/software/geview/data/figures/205944_s_at.png","Figure")</f>
        <v>Figure</v>
      </c>
      <c r="I6576">
        <v>1.25</v>
      </c>
      <c r="J6576">
        <v>6.5000000000000002E-2</v>
      </c>
      <c r="K6576">
        <v>1.1200000000000001</v>
      </c>
      <c r="L6576">
        <v>0.37</v>
      </c>
      <c r="M6576">
        <v>0.89300000000000002</v>
      </c>
      <c r="N6576">
        <v>0.39</v>
      </c>
    </row>
    <row r="6577" spans="1:14" x14ac:dyDescent="0.25">
      <c r="A6577" t="s">
        <v>11793</v>
      </c>
      <c r="B6577" t="s">
        <v>9028</v>
      </c>
      <c r="C6577" s="1" t="str">
        <f>HYPERLINK("http://www.genecards.org/cgi-bin/carddisp.pl?gene=PTCRA","GeneCards")</f>
        <v>GeneCards</v>
      </c>
      <c r="D6577" s="1" t="str">
        <f>HYPERLINK("http://genome-euro.ucsc.edu/cgi-bin/hgTracks?position=215492_x_at","UCSC")</f>
        <v>UCSC</v>
      </c>
      <c r="E6577" s="1" t="str">
        <f>HYPERLINK("http://www.ncbi.nlm.nih.gov/gene/?term=PTCRA","NCBI")</f>
        <v>NCBI</v>
      </c>
      <c r="F6577">
        <v>7.8E-2</v>
      </c>
      <c r="G6577">
        <v>0.2</v>
      </c>
      <c r="H6577" s="1" t="str">
        <f>HYPERLINK("http://www.weizmann.ac.il/complex/compphys/software/geview/data/figures/215492_x_at.png","Figure")</f>
        <v>Figure</v>
      </c>
      <c r="I6577">
        <v>1.32</v>
      </c>
      <c r="J6577">
        <v>7.1999999999999995E-2</v>
      </c>
      <c r="K6577">
        <v>1.08</v>
      </c>
      <c r="L6577">
        <v>0.74</v>
      </c>
      <c r="M6577">
        <v>0.81599999999999995</v>
      </c>
      <c r="N6577">
        <v>0.18</v>
      </c>
    </row>
    <row r="6578" spans="1:14" x14ac:dyDescent="0.25">
      <c r="A6578" t="s">
        <v>11794</v>
      </c>
      <c r="B6578" t="s">
        <v>11795</v>
      </c>
      <c r="C6578" s="1" t="str">
        <f>HYPERLINK("http://www.genecards.org/cgi-bin/carddisp.pl?gene=LOC643332 /// RNASE2","GeneCards")</f>
        <v>GeneCards</v>
      </c>
      <c r="D6578" s="1" t="str">
        <f>HYPERLINK("http://genome-euro.ucsc.edu/cgi-bin/hgTracks?position=216667_at","UCSC")</f>
        <v>UCSC</v>
      </c>
      <c r="E6578" s="1" t="str">
        <f>HYPERLINK("http://www.ncbi.nlm.nih.gov/gene/?term=LOC643332 /// RNASE2","NCBI")</f>
        <v>NCBI</v>
      </c>
      <c r="F6578">
        <v>7.8E-2</v>
      </c>
      <c r="G6578">
        <v>0.2</v>
      </c>
      <c r="H6578" s="1" t="str">
        <f>HYPERLINK("http://www.weizmann.ac.il/complex/compphys/software/geview/data/figures/216667_at.png","Figure")</f>
        <v>Figure</v>
      </c>
      <c r="I6578">
        <v>1.1599999999999999</v>
      </c>
      <c r="J6578">
        <v>7.9000000000000001E-2</v>
      </c>
      <c r="K6578">
        <v>1.03</v>
      </c>
      <c r="L6578">
        <v>0.84</v>
      </c>
      <c r="M6578">
        <v>0.89200000000000002</v>
      </c>
      <c r="N6578">
        <v>0.15</v>
      </c>
    </row>
    <row r="6579" spans="1:14" x14ac:dyDescent="0.25">
      <c r="A6579" t="s">
        <v>11796</v>
      </c>
      <c r="B6579" t="s">
        <v>11797</v>
      </c>
      <c r="C6579" s="1" t="str">
        <f>HYPERLINK("http://www.genecards.org/cgi-bin/carddisp.pl?gene=CHMP6","GeneCards")</f>
        <v>GeneCards</v>
      </c>
      <c r="D6579" s="1" t="str">
        <f>HYPERLINK("http://genome-euro.ucsc.edu/cgi-bin/hgTracks?position=218743_at","UCSC")</f>
        <v>UCSC</v>
      </c>
      <c r="E6579" s="1" t="str">
        <f>HYPERLINK("http://www.ncbi.nlm.nih.gov/gene/?term=CHMP6","NCBI")</f>
        <v>NCBI</v>
      </c>
      <c r="F6579">
        <v>7.8E-2</v>
      </c>
      <c r="G6579">
        <v>0.2</v>
      </c>
      <c r="H6579" s="1" t="str">
        <f>HYPERLINK("http://www.weizmann.ac.il/complex/compphys/software/geview/data/figures/218743_at.png","Figure")</f>
        <v>Figure</v>
      </c>
      <c r="I6579">
        <v>0.89300000000000002</v>
      </c>
      <c r="J6579">
        <v>0.71</v>
      </c>
      <c r="K6579">
        <v>1.23</v>
      </c>
      <c r="L6579">
        <v>0.27</v>
      </c>
      <c r="M6579">
        <v>1.38</v>
      </c>
      <c r="N6579">
        <v>0.08</v>
      </c>
    </row>
    <row r="6580" spans="1:14" x14ac:dyDescent="0.25">
      <c r="A6580" t="s">
        <v>11798</v>
      </c>
      <c r="B6580" t="s">
        <v>11799</v>
      </c>
      <c r="C6580" s="1" t="str">
        <f>HYPERLINK("http://www.genecards.org/cgi-bin/carddisp.pl?gene=NPFFR1","GeneCards")</f>
        <v>GeneCards</v>
      </c>
      <c r="D6580" s="1" t="str">
        <f>HYPERLINK("http://genome-euro.ucsc.edu/cgi-bin/hgTracks?position=221387_at","UCSC")</f>
        <v>UCSC</v>
      </c>
      <c r="E6580" s="1" t="str">
        <f>HYPERLINK("http://www.ncbi.nlm.nih.gov/gene/?term=NPFFR1","NCBI")</f>
        <v>NCBI</v>
      </c>
      <c r="F6580">
        <v>7.8E-2</v>
      </c>
      <c r="G6580">
        <v>0.2</v>
      </c>
      <c r="H6580" s="1" t="str">
        <f>HYPERLINK("http://www.weizmann.ac.il/complex/compphys/software/geview/data/figures/221387_at.png","Figure")</f>
        <v>Figure</v>
      </c>
      <c r="I6580">
        <v>1.36</v>
      </c>
      <c r="J6580">
        <v>9.0999999999999998E-2</v>
      </c>
      <c r="K6580">
        <v>1.04</v>
      </c>
      <c r="L6580">
        <v>0.94</v>
      </c>
      <c r="M6580">
        <v>0.76700000000000002</v>
      </c>
      <c r="N6580">
        <v>0.12</v>
      </c>
    </row>
    <row r="6581" spans="1:14" x14ac:dyDescent="0.25">
      <c r="A6581" t="s">
        <v>11800</v>
      </c>
      <c r="B6581" t="s">
        <v>5921</v>
      </c>
      <c r="C6581" s="1" t="str">
        <f>HYPERLINK("http://www.genecards.org/cgi-bin/carddisp.pl?gene=RANBP3","GeneCards")</f>
        <v>GeneCards</v>
      </c>
      <c r="D6581" s="1" t="str">
        <f>HYPERLINK("http://genome-euro.ucsc.edu/cgi-bin/hgTracks?position=202639_s_at","UCSC")</f>
        <v>UCSC</v>
      </c>
      <c r="E6581" s="1" t="str">
        <f>HYPERLINK("http://www.ncbi.nlm.nih.gov/gene/?term=RANBP3","NCBI")</f>
        <v>NCBI</v>
      </c>
      <c r="F6581">
        <v>7.8E-2</v>
      </c>
      <c r="G6581">
        <v>0.2</v>
      </c>
      <c r="H6581" s="1" t="str">
        <f>HYPERLINK("http://www.weizmann.ac.il/complex/compphys/software/geview/data/figures/202639_s_at.png","Figure")</f>
        <v>Figure</v>
      </c>
      <c r="I6581">
        <v>1.19</v>
      </c>
      <c r="J6581">
        <v>0.11</v>
      </c>
      <c r="K6581">
        <v>1.01</v>
      </c>
      <c r="L6581">
        <v>0.99</v>
      </c>
      <c r="M6581">
        <v>0.84499999999999997</v>
      </c>
      <c r="N6581">
        <v>9.8000000000000004E-2</v>
      </c>
    </row>
    <row r="6582" spans="1:14" x14ac:dyDescent="0.25">
      <c r="A6582" t="s">
        <v>11801</v>
      </c>
      <c r="B6582" t="s">
        <v>11802</v>
      </c>
      <c r="C6582" s="1" t="str">
        <f>HYPERLINK("http://www.genecards.org/cgi-bin/carddisp.pl?gene=CSTF2","GeneCards")</f>
        <v>GeneCards</v>
      </c>
      <c r="D6582" s="1" t="str">
        <f>HYPERLINK("http://genome-euro.ucsc.edu/cgi-bin/hgTracks?position=204459_at","UCSC")</f>
        <v>UCSC</v>
      </c>
      <c r="E6582" s="1" t="str">
        <f>HYPERLINK("http://www.ncbi.nlm.nih.gov/gene/?term=CSTF2","NCBI")</f>
        <v>NCBI</v>
      </c>
      <c r="F6582">
        <v>7.8E-2</v>
      </c>
      <c r="G6582">
        <v>0.2</v>
      </c>
      <c r="H6582" s="1" t="str">
        <f>HYPERLINK("http://www.weizmann.ac.il/complex/compphys/software/geview/data/figures/204459_at.png","Figure")</f>
        <v>Figure</v>
      </c>
      <c r="I6582">
        <v>1.02</v>
      </c>
      <c r="J6582">
        <v>0.95</v>
      </c>
      <c r="K6582">
        <v>1.1200000000000001</v>
      </c>
      <c r="L6582">
        <v>9.1999999999999998E-2</v>
      </c>
      <c r="M6582">
        <v>1.1000000000000001</v>
      </c>
      <c r="N6582">
        <v>0.21</v>
      </c>
    </row>
    <row r="6583" spans="1:14" x14ac:dyDescent="0.25">
      <c r="A6583" t="s">
        <v>11803</v>
      </c>
      <c r="B6583" t="s">
        <v>10384</v>
      </c>
      <c r="C6583" s="1" t="str">
        <f>HYPERLINK("http://www.genecards.org/cgi-bin/carddisp.pl?gene=SFRS2","GeneCards")</f>
        <v>GeneCards</v>
      </c>
      <c r="D6583" s="1" t="str">
        <f>HYPERLINK("http://genome-euro.ucsc.edu/cgi-bin/hgTracks?position=200754_x_at","UCSC")</f>
        <v>UCSC</v>
      </c>
      <c r="E6583" s="1" t="str">
        <f>HYPERLINK("http://www.ncbi.nlm.nih.gov/gene/?term=SFRS2","NCBI")</f>
        <v>NCBI</v>
      </c>
      <c r="F6583">
        <v>7.8E-2</v>
      </c>
      <c r="G6583">
        <v>0.2</v>
      </c>
      <c r="H6583" s="1" t="str">
        <f>HYPERLINK("http://www.weizmann.ac.il/complex/compphys/software/geview/data/figures/200754_x_at.png","Figure")</f>
        <v>Figure</v>
      </c>
      <c r="I6583">
        <v>0.77600000000000002</v>
      </c>
      <c r="J6583">
        <v>9.4E-2</v>
      </c>
      <c r="K6583">
        <v>0.97299999999999998</v>
      </c>
      <c r="L6583">
        <v>0.96</v>
      </c>
      <c r="M6583">
        <v>1.25</v>
      </c>
      <c r="N6583">
        <v>0.11</v>
      </c>
    </row>
    <row r="6584" spans="1:14" x14ac:dyDescent="0.25">
      <c r="A6584" t="s">
        <v>11804</v>
      </c>
      <c r="B6584" t="s">
        <v>11805</v>
      </c>
      <c r="C6584" s="1" t="str">
        <f>HYPERLINK("http://www.genecards.org/cgi-bin/carddisp.pl?gene=OSTF1","GeneCards")</f>
        <v>GeneCards</v>
      </c>
      <c r="D6584" s="1" t="str">
        <f>HYPERLINK("http://genome-euro.ucsc.edu/cgi-bin/hgTracks?position=204479_at","UCSC")</f>
        <v>UCSC</v>
      </c>
      <c r="E6584" s="1" t="str">
        <f>HYPERLINK("http://www.ncbi.nlm.nih.gov/gene/?term=OSTF1","NCBI")</f>
        <v>NCBI</v>
      </c>
      <c r="F6584">
        <v>7.8E-2</v>
      </c>
      <c r="G6584">
        <v>0.2</v>
      </c>
      <c r="H6584" s="1" t="str">
        <f>HYPERLINK("http://www.weizmann.ac.il/complex/compphys/software/geview/data/figures/204479_at.png","Figure")</f>
        <v>Figure</v>
      </c>
      <c r="I6584">
        <v>0.94899999999999995</v>
      </c>
      <c r="J6584">
        <v>0.97</v>
      </c>
      <c r="K6584">
        <v>1.52</v>
      </c>
      <c r="L6584">
        <v>0.14000000000000001</v>
      </c>
      <c r="M6584">
        <v>1.6</v>
      </c>
      <c r="N6584">
        <v>0.12</v>
      </c>
    </row>
    <row r="6585" spans="1:14" x14ac:dyDescent="0.25">
      <c r="A6585" t="s">
        <v>11806</v>
      </c>
      <c r="B6585" t="s">
        <v>11807</v>
      </c>
      <c r="C6585" s="1" t="str">
        <f>HYPERLINK("http://www.genecards.org/cgi-bin/carddisp.pl?gene=GAD2","GeneCards")</f>
        <v>GeneCards</v>
      </c>
      <c r="D6585" s="1" t="str">
        <f>HYPERLINK("http://genome-euro.ucsc.edu/cgi-bin/hgTracks?position=206780_at","UCSC")</f>
        <v>UCSC</v>
      </c>
      <c r="E6585" s="1" t="str">
        <f>HYPERLINK("http://www.ncbi.nlm.nih.gov/gene/?term=GAD2","NCBI")</f>
        <v>NCBI</v>
      </c>
      <c r="F6585">
        <v>7.8E-2</v>
      </c>
      <c r="G6585">
        <v>0.2</v>
      </c>
      <c r="H6585" s="1" t="str">
        <f>HYPERLINK("http://www.weizmann.ac.il/complex/compphys/software/geview/data/figures/206780_at.png","Figure")</f>
        <v>Figure</v>
      </c>
      <c r="I6585">
        <v>1.1100000000000001</v>
      </c>
      <c r="J6585">
        <v>0.59</v>
      </c>
      <c r="K6585">
        <v>0.873</v>
      </c>
      <c r="L6585">
        <v>0.34</v>
      </c>
      <c r="M6585">
        <v>0.78500000000000003</v>
      </c>
      <c r="N6585">
        <v>7.1999999999999995E-2</v>
      </c>
    </row>
    <row r="6586" spans="1:14" x14ac:dyDescent="0.25">
      <c r="A6586" t="s">
        <v>11808</v>
      </c>
      <c r="B6586" t="s">
        <v>6231</v>
      </c>
      <c r="C6586" s="1" t="str">
        <f>HYPERLINK("http://www.genecards.org/cgi-bin/carddisp.pl?gene=SFTPC","GeneCards")</f>
        <v>GeneCards</v>
      </c>
      <c r="D6586" s="1" t="str">
        <f>HYPERLINK("http://genome-euro.ucsc.edu/cgi-bin/hgTracks?position=214387_x_at","UCSC")</f>
        <v>UCSC</v>
      </c>
      <c r="E6586" s="1" t="str">
        <f>HYPERLINK("http://www.ncbi.nlm.nih.gov/gene/?term=SFTPC","NCBI")</f>
        <v>NCBI</v>
      </c>
      <c r="F6586">
        <v>7.8E-2</v>
      </c>
      <c r="G6586">
        <v>0.2</v>
      </c>
      <c r="H6586" s="1" t="str">
        <f>HYPERLINK("http://www.weizmann.ac.il/complex/compphys/software/geview/data/figures/214387_x_at.png","Figure")</f>
        <v>Figure</v>
      </c>
      <c r="I6586">
        <v>1.1499999999999999</v>
      </c>
      <c r="J6586">
        <v>7.6999999999999999E-2</v>
      </c>
      <c r="K6586">
        <v>1.1000000000000001</v>
      </c>
      <c r="L6586">
        <v>0.2</v>
      </c>
      <c r="M6586">
        <v>0.95299999999999996</v>
      </c>
      <c r="N6586">
        <v>0.66</v>
      </c>
    </row>
    <row r="6587" spans="1:14" x14ac:dyDescent="0.25">
      <c r="A6587" t="s">
        <v>11809</v>
      </c>
      <c r="B6587" t="s">
        <v>11810</v>
      </c>
      <c r="C6587" s="1" t="str">
        <f>HYPERLINK("http://www.genecards.org/cgi-bin/carddisp.pl?gene=MYT1L","GeneCards")</f>
        <v>GeneCards</v>
      </c>
      <c r="D6587" s="1" t="str">
        <f>HYPERLINK("http://genome-euro.ucsc.edu/cgi-bin/hgTracks?position=210016_at","UCSC")</f>
        <v>UCSC</v>
      </c>
      <c r="E6587" s="1" t="str">
        <f>HYPERLINK("http://www.ncbi.nlm.nih.gov/gene/?term=MYT1L","NCBI")</f>
        <v>NCBI</v>
      </c>
      <c r="F6587">
        <v>7.8E-2</v>
      </c>
      <c r="G6587">
        <v>0.2</v>
      </c>
      <c r="H6587" s="1" t="str">
        <f>HYPERLINK("http://www.weizmann.ac.il/complex/compphys/software/geview/data/figures/210016_at.png","Figure")</f>
        <v>Figure</v>
      </c>
      <c r="I6587">
        <v>0.93600000000000005</v>
      </c>
      <c r="J6587">
        <v>0.99</v>
      </c>
      <c r="K6587">
        <v>2.2999999999999998</v>
      </c>
      <c r="L6587">
        <v>0.13</v>
      </c>
      <c r="M6587">
        <v>2.46</v>
      </c>
      <c r="N6587">
        <v>0.13</v>
      </c>
    </row>
    <row r="6588" spans="1:14" x14ac:dyDescent="0.25">
      <c r="A6588" t="s">
        <v>11811</v>
      </c>
      <c r="B6588" t="s">
        <v>4363</v>
      </c>
      <c r="C6588" s="1" t="str">
        <f>HYPERLINK("http://www.genecards.org/cgi-bin/carddisp.pl?gene=AMPD3","GeneCards")</f>
        <v>GeneCards</v>
      </c>
      <c r="D6588" s="1" t="str">
        <f>HYPERLINK("http://genome-euro.ucsc.edu/cgi-bin/hgTracks?position=207992_s_at","UCSC")</f>
        <v>UCSC</v>
      </c>
      <c r="E6588" s="1" t="str">
        <f>HYPERLINK("http://www.ncbi.nlm.nih.gov/gene/?term=AMPD3","NCBI")</f>
        <v>NCBI</v>
      </c>
      <c r="F6588">
        <v>7.8E-2</v>
      </c>
      <c r="G6588">
        <v>0.2</v>
      </c>
      <c r="H6588" s="1" t="str">
        <f>HYPERLINK("http://www.weizmann.ac.il/complex/compphys/software/geview/data/figures/207992_s_at.png","Figure")</f>
        <v>Figure</v>
      </c>
      <c r="I6588">
        <v>0.92</v>
      </c>
      <c r="J6588">
        <v>0.88</v>
      </c>
      <c r="K6588">
        <v>1.32</v>
      </c>
      <c r="L6588">
        <v>0.19</v>
      </c>
      <c r="M6588">
        <v>1.43</v>
      </c>
      <c r="N6588">
        <v>9.8000000000000004E-2</v>
      </c>
    </row>
    <row r="6589" spans="1:14" x14ac:dyDescent="0.25">
      <c r="A6589" t="s">
        <v>11812</v>
      </c>
      <c r="B6589" t="s">
        <v>11813</v>
      </c>
      <c r="C6589" s="1" t="str">
        <f>HYPERLINK("http://www.genecards.org/cgi-bin/carddisp.pl?gene=TSGA14","GeneCards")</f>
        <v>GeneCards</v>
      </c>
      <c r="D6589" s="1" t="str">
        <f>HYPERLINK("http://genome-euro.ucsc.edu/cgi-bin/hgTracks?position=215637_at","UCSC")</f>
        <v>UCSC</v>
      </c>
      <c r="E6589" s="1" t="str">
        <f>HYPERLINK("http://www.ncbi.nlm.nih.gov/gene/?term=TSGA14","NCBI")</f>
        <v>NCBI</v>
      </c>
      <c r="F6589">
        <v>7.8E-2</v>
      </c>
      <c r="G6589">
        <v>0.2</v>
      </c>
      <c r="H6589" s="1" t="str">
        <f>HYPERLINK("http://www.weizmann.ac.il/complex/compphys/software/geview/data/figures/215637_at.png","Figure")</f>
        <v>Figure</v>
      </c>
      <c r="I6589">
        <v>1.1399999999999999</v>
      </c>
      <c r="J6589">
        <v>0.14000000000000001</v>
      </c>
      <c r="K6589">
        <v>0.98899999999999999</v>
      </c>
      <c r="L6589">
        <v>0.98</v>
      </c>
      <c r="M6589">
        <v>0.871</v>
      </c>
      <c r="N6589">
        <v>8.1000000000000003E-2</v>
      </c>
    </row>
    <row r="6590" spans="1:14" x14ac:dyDescent="0.25">
      <c r="A6590" t="s">
        <v>11814</v>
      </c>
      <c r="B6590" t="s">
        <v>11507</v>
      </c>
      <c r="C6590" s="1" t="str">
        <f>HYPERLINK("http://www.genecards.org/cgi-bin/carddisp.pl?gene=RNF5","GeneCards")</f>
        <v>GeneCards</v>
      </c>
      <c r="D6590" s="1" t="str">
        <f>HYPERLINK("http://genome-euro.ucsc.edu/cgi-bin/hgTracks?position=216018_at","UCSC")</f>
        <v>UCSC</v>
      </c>
      <c r="E6590" s="1" t="str">
        <f>HYPERLINK("http://www.ncbi.nlm.nih.gov/gene/?term=RNF5","NCBI")</f>
        <v>NCBI</v>
      </c>
      <c r="F6590">
        <v>7.8E-2</v>
      </c>
      <c r="G6590">
        <v>0.2</v>
      </c>
      <c r="H6590" s="1" t="str">
        <f>HYPERLINK("http://www.weizmann.ac.il/complex/compphys/software/geview/data/figures/216018_at.png","Figure")</f>
        <v>Figure</v>
      </c>
      <c r="I6590">
        <v>1.0900000000000001</v>
      </c>
      <c r="J6590">
        <v>0.49</v>
      </c>
      <c r="K6590">
        <v>0.92400000000000004</v>
      </c>
      <c r="L6590">
        <v>0.42</v>
      </c>
      <c r="M6590">
        <v>0.85099999999999998</v>
      </c>
      <c r="N6590">
        <v>6.8000000000000005E-2</v>
      </c>
    </row>
    <row r="6591" spans="1:14" x14ac:dyDescent="0.25">
      <c r="A6591" t="s">
        <v>11815</v>
      </c>
      <c r="B6591" t="s">
        <v>6347</v>
      </c>
      <c r="C6591" s="1" t="str">
        <f>HYPERLINK("http://www.genecards.org/cgi-bin/carddisp.pl?gene=ANXA7","GeneCards")</f>
        <v>GeneCards</v>
      </c>
      <c r="D6591" s="1" t="str">
        <f>HYPERLINK("http://genome-euro.ucsc.edu/cgi-bin/hgTracks?position=209860_s_at","UCSC")</f>
        <v>UCSC</v>
      </c>
      <c r="E6591" s="1" t="str">
        <f>HYPERLINK("http://www.ncbi.nlm.nih.gov/gene/?term=ANXA7","NCBI")</f>
        <v>NCBI</v>
      </c>
      <c r="F6591">
        <v>7.9000000000000001E-2</v>
      </c>
      <c r="G6591">
        <v>0.2</v>
      </c>
      <c r="H6591" s="1" t="str">
        <f>HYPERLINK("http://www.weizmann.ac.il/complex/compphys/software/geview/data/figures/209860_s_at.png","Figure")</f>
        <v>Figure</v>
      </c>
      <c r="I6591">
        <v>0.59199999999999997</v>
      </c>
      <c r="J6591">
        <v>6.6000000000000003E-2</v>
      </c>
      <c r="K6591">
        <v>0.76</v>
      </c>
      <c r="L6591">
        <v>0.33</v>
      </c>
      <c r="M6591">
        <v>1.28</v>
      </c>
      <c r="N6591">
        <v>0.44</v>
      </c>
    </row>
    <row r="6592" spans="1:14" x14ac:dyDescent="0.25">
      <c r="A6592" t="s">
        <v>11816</v>
      </c>
      <c r="B6592" t="s">
        <v>11817</v>
      </c>
      <c r="C6592" s="1" t="str">
        <f>HYPERLINK("http://www.genecards.org/cgi-bin/carddisp.pl?gene=ZBTB43","GeneCards")</f>
        <v>GeneCards</v>
      </c>
      <c r="D6592" s="1" t="str">
        <f>HYPERLINK("http://genome-euro.ucsc.edu/cgi-bin/hgTracks?position=204182_s_at","UCSC")</f>
        <v>UCSC</v>
      </c>
      <c r="E6592" s="1" t="str">
        <f>HYPERLINK("http://www.ncbi.nlm.nih.gov/gene/?term=ZBTB43","NCBI")</f>
        <v>NCBI</v>
      </c>
      <c r="F6592">
        <v>7.9000000000000001E-2</v>
      </c>
      <c r="G6592">
        <v>0.2</v>
      </c>
      <c r="H6592" s="1" t="str">
        <f>HYPERLINK("http://www.weizmann.ac.il/complex/compphys/software/geview/data/figures/204182_s_at.png","Figure")</f>
        <v>Figure</v>
      </c>
      <c r="I6592">
        <v>0.73599999999999999</v>
      </c>
      <c r="J6592">
        <v>0.56000000000000005</v>
      </c>
      <c r="K6592">
        <v>0.52900000000000003</v>
      </c>
      <c r="L6592">
        <v>6.6000000000000003E-2</v>
      </c>
      <c r="M6592">
        <v>0.71899999999999997</v>
      </c>
      <c r="N6592">
        <v>0.47</v>
      </c>
    </row>
    <row r="6593" spans="1:14" x14ac:dyDescent="0.25">
      <c r="A6593" t="s">
        <v>11818</v>
      </c>
      <c r="B6593" t="s">
        <v>11819</v>
      </c>
      <c r="C6593" s="1" t="str">
        <f>HYPERLINK("http://www.genecards.org/cgi-bin/carddisp.pl?gene=MPHOSPH6","GeneCards")</f>
        <v>GeneCards</v>
      </c>
      <c r="D6593" s="1" t="str">
        <f>HYPERLINK("http://genome-euro.ucsc.edu/cgi-bin/hgTracks?position=203740_at","UCSC")</f>
        <v>UCSC</v>
      </c>
      <c r="E6593" s="1" t="str">
        <f>HYPERLINK("http://www.ncbi.nlm.nih.gov/gene/?term=MPHOSPH6","NCBI")</f>
        <v>NCBI</v>
      </c>
      <c r="F6593">
        <v>7.9000000000000001E-2</v>
      </c>
      <c r="G6593">
        <v>0.2</v>
      </c>
      <c r="H6593" s="1" t="str">
        <f>HYPERLINK("http://www.weizmann.ac.il/complex/compphys/software/geview/data/figures/203740_at.png","Figure")</f>
        <v>Figure</v>
      </c>
      <c r="I6593">
        <v>1.1299999999999999</v>
      </c>
      <c r="J6593">
        <v>0.56000000000000005</v>
      </c>
      <c r="K6593">
        <v>1.29</v>
      </c>
      <c r="L6593">
        <v>6.6000000000000003E-2</v>
      </c>
      <c r="M6593">
        <v>1.1399999999999999</v>
      </c>
      <c r="N6593">
        <v>0.48</v>
      </c>
    </row>
    <row r="6594" spans="1:14" x14ac:dyDescent="0.25">
      <c r="A6594" t="s">
        <v>11820</v>
      </c>
      <c r="B6594" t="s">
        <v>11821</v>
      </c>
      <c r="C6594" s="1" t="str">
        <f>HYPERLINK("http://www.genecards.org/cgi-bin/carddisp.pl?gene=BACE1","GeneCards")</f>
        <v>GeneCards</v>
      </c>
      <c r="D6594" s="1" t="str">
        <f>HYPERLINK("http://genome-euro.ucsc.edu/cgi-bin/hgTracks?position=217904_s_at","UCSC")</f>
        <v>UCSC</v>
      </c>
      <c r="E6594" s="1" t="str">
        <f>HYPERLINK("http://www.ncbi.nlm.nih.gov/gene/?term=BACE1","NCBI")</f>
        <v>NCBI</v>
      </c>
      <c r="F6594">
        <v>7.9000000000000001E-2</v>
      </c>
      <c r="G6594">
        <v>0.2</v>
      </c>
      <c r="H6594" s="1" t="str">
        <f>HYPERLINK("http://www.weizmann.ac.il/complex/compphys/software/geview/data/figures/217904_s_at.png","Figure")</f>
        <v>Figure</v>
      </c>
      <c r="I6594">
        <v>0.88400000000000001</v>
      </c>
      <c r="J6594">
        <v>0.3</v>
      </c>
      <c r="K6594">
        <v>1.06</v>
      </c>
      <c r="L6594">
        <v>0.66</v>
      </c>
      <c r="M6594">
        <v>1.2</v>
      </c>
      <c r="N6594">
        <v>6.5000000000000002E-2</v>
      </c>
    </row>
    <row r="6595" spans="1:14" x14ac:dyDescent="0.25">
      <c r="A6595" t="s">
        <v>11822</v>
      </c>
      <c r="B6595" t="s">
        <v>11823</v>
      </c>
      <c r="C6595" s="1" t="str">
        <f>HYPERLINK("http://www.genecards.org/cgi-bin/carddisp.pl?gene=HDDC2","GeneCards")</f>
        <v>GeneCards</v>
      </c>
      <c r="D6595" s="1" t="str">
        <f>HYPERLINK("http://genome-euro.ucsc.edu/cgi-bin/hgTracks?position=203259_s_at","UCSC")</f>
        <v>UCSC</v>
      </c>
      <c r="E6595" s="1" t="str">
        <f>HYPERLINK("http://www.ncbi.nlm.nih.gov/gene/?term=HDDC2","NCBI")</f>
        <v>NCBI</v>
      </c>
      <c r="F6595">
        <v>7.9000000000000001E-2</v>
      </c>
      <c r="G6595">
        <v>0.2</v>
      </c>
      <c r="H6595" s="1" t="str">
        <f>HYPERLINK("http://www.weizmann.ac.il/complex/compphys/software/geview/data/figures/203259_s_at.png","Figure")</f>
        <v>Figure</v>
      </c>
      <c r="I6595">
        <v>0.94</v>
      </c>
      <c r="J6595">
        <v>0.97</v>
      </c>
      <c r="K6595">
        <v>1.58</v>
      </c>
      <c r="L6595">
        <v>0.15</v>
      </c>
      <c r="M6595">
        <v>1.69</v>
      </c>
      <c r="N6595">
        <v>0.12</v>
      </c>
    </row>
    <row r="6596" spans="1:14" x14ac:dyDescent="0.25">
      <c r="A6596" t="s">
        <v>11824</v>
      </c>
      <c r="B6596" t="s">
        <v>11825</v>
      </c>
      <c r="C6596" s="1" t="str">
        <f>HYPERLINK("http://www.genecards.org/cgi-bin/carddisp.pl?gene=ZMYND8","GeneCards")</f>
        <v>GeneCards</v>
      </c>
      <c r="D6596" s="1" t="str">
        <f>HYPERLINK("http://genome-euro.ucsc.edu/cgi-bin/hgTracks?position=209048_s_at","UCSC")</f>
        <v>UCSC</v>
      </c>
      <c r="E6596" s="1" t="str">
        <f>HYPERLINK("http://www.ncbi.nlm.nih.gov/gene/?term=ZMYND8","NCBI")</f>
        <v>NCBI</v>
      </c>
      <c r="F6596">
        <v>7.9000000000000001E-2</v>
      </c>
      <c r="G6596">
        <v>0.2</v>
      </c>
      <c r="H6596" s="1" t="str">
        <f>HYPERLINK("http://www.weizmann.ac.il/complex/compphys/software/geview/data/figures/209048_s_at.png","Figure")</f>
        <v>Figure</v>
      </c>
      <c r="I6596">
        <v>1.88</v>
      </c>
      <c r="J6596">
        <v>6.6000000000000003E-2</v>
      </c>
      <c r="K6596">
        <v>1.29</v>
      </c>
      <c r="L6596">
        <v>0.51</v>
      </c>
      <c r="M6596">
        <v>0.68200000000000005</v>
      </c>
      <c r="N6596">
        <v>0.28000000000000003</v>
      </c>
    </row>
    <row r="6597" spans="1:14" x14ac:dyDescent="0.25">
      <c r="A6597" t="s">
        <v>11826</v>
      </c>
      <c r="B6597" t="s">
        <v>11827</v>
      </c>
      <c r="C6597" s="1" t="str">
        <f>HYPERLINK("http://www.genecards.org/cgi-bin/carddisp.pl?gene=XPO4","GeneCards")</f>
        <v>GeneCards</v>
      </c>
      <c r="D6597" s="1" t="str">
        <f>HYPERLINK("http://genome-euro.ucsc.edu/cgi-bin/hgTracks?position=218479_s_at","UCSC")</f>
        <v>UCSC</v>
      </c>
      <c r="E6597" s="1" t="str">
        <f>HYPERLINK("http://www.ncbi.nlm.nih.gov/gene/?term=XPO4","NCBI")</f>
        <v>NCBI</v>
      </c>
      <c r="F6597">
        <v>7.9000000000000001E-2</v>
      </c>
      <c r="G6597">
        <v>0.2</v>
      </c>
      <c r="H6597" s="1" t="str">
        <f>HYPERLINK("http://www.weizmann.ac.il/complex/compphys/software/geview/data/figures/218479_s_at.png","Figure")</f>
        <v>Figure</v>
      </c>
      <c r="I6597">
        <v>1.01</v>
      </c>
      <c r="J6597">
        <v>1</v>
      </c>
      <c r="K6597">
        <v>0.77600000000000002</v>
      </c>
      <c r="L6597">
        <v>0.13</v>
      </c>
      <c r="M6597">
        <v>0.77</v>
      </c>
      <c r="N6597">
        <v>0.14000000000000001</v>
      </c>
    </row>
    <row r="6598" spans="1:14" x14ac:dyDescent="0.25">
      <c r="A6598" t="s">
        <v>11828</v>
      </c>
      <c r="B6598" t="s">
        <v>11829</v>
      </c>
      <c r="C6598" s="1" t="str">
        <f>HYPERLINK("http://www.genecards.org/cgi-bin/carddisp.pl?gene=SSX5","GeneCards")</f>
        <v>GeneCards</v>
      </c>
      <c r="D6598" s="1" t="str">
        <f>HYPERLINK("http://genome-euro.ucsc.edu/cgi-bin/hgTracks?position=208528_x_at","UCSC")</f>
        <v>UCSC</v>
      </c>
      <c r="E6598" s="1" t="str">
        <f>HYPERLINK("http://www.ncbi.nlm.nih.gov/gene/?term=SSX5","NCBI")</f>
        <v>NCBI</v>
      </c>
      <c r="F6598">
        <v>7.9000000000000001E-2</v>
      </c>
      <c r="G6598">
        <v>0.2</v>
      </c>
      <c r="H6598" s="1" t="str">
        <f>HYPERLINK("http://www.weizmann.ac.il/complex/compphys/software/geview/data/figures/208528_x_at.png","Figure")</f>
        <v>Figure</v>
      </c>
      <c r="I6598">
        <v>1.0900000000000001</v>
      </c>
      <c r="J6598">
        <v>0.38</v>
      </c>
      <c r="K6598">
        <v>0.94199999999999995</v>
      </c>
      <c r="L6598">
        <v>0.54</v>
      </c>
      <c r="M6598">
        <v>0.86499999999999999</v>
      </c>
      <c r="N6598">
        <v>6.5000000000000002E-2</v>
      </c>
    </row>
    <row r="6599" spans="1:14" x14ac:dyDescent="0.25">
      <c r="A6599" t="s">
        <v>11830</v>
      </c>
      <c r="B6599" t="s">
        <v>11831</v>
      </c>
      <c r="C6599" s="1" t="str">
        <f>HYPERLINK("http://www.genecards.org/cgi-bin/carddisp.pl?gene=TMEM222","GeneCards")</f>
        <v>GeneCards</v>
      </c>
      <c r="D6599" s="1" t="str">
        <f>HYPERLINK("http://genome-euro.ucsc.edu/cgi-bin/hgTracks?position=52078_at","UCSC")</f>
        <v>UCSC</v>
      </c>
      <c r="E6599" s="1" t="str">
        <f>HYPERLINK("http://www.ncbi.nlm.nih.gov/gene/?term=TMEM222","NCBI")</f>
        <v>NCBI</v>
      </c>
      <c r="F6599">
        <v>7.9000000000000001E-2</v>
      </c>
      <c r="G6599">
        <v>0.2</v>
      </c>
      <c r="H6599" s="1" t="str">
        <f>HYPERLINK("http://www.weizmann.ac.il/complex/compphys/software/geview/data/figures/52078_at.png","Figure")</f>
        <v>Figure</v>
      </c>
      <c r="I6599">
        <v>1.28</v>
      </c>
      <c r="J6599">
        <v>7.3999999999999996E-2</v>
      </c>
      <c r="K6599">
        <v>1.07</v>
      </c>
      <c r="L6599">
        <v>0.75</v>
      </c>
      <c r="M6599">
        <v>0.83199999999999996</v>
      </c>
      <c r="N6599">
        <v>0.17</v>
      </c>
    </row>
    <row r="6600" spans="1:14" x14ac:dyDescent="0.25">
      <c r="A6600" t="s">
        <v>11832</v>
      </c>
      <c r="B6600" t="s">
        <v>11833</v>
      </c>
      <c r="C6600" s="1" t="str">
        <f>HYPERLINK("http://www.genecards.org/cgi-bin/carddisp.pl?gene=APBA1","GeneCards")</f>
        <v>GeneCards</v>
      </c>
      <c r="D6600" s="1" t="str">
        <f>HYPERLINK("http://genome-euro.ucsc.edu/cgi-bin/hgTracks?position=206679_at","UCSC")</f>
        <v>UCSC</v>
      </c>
      <c r="E6600" s="1" t="str">
        <f>HYPERLINK("http://www.ncbi.nlm.nih.gov/gene/?term=APBA1","NCBI")</f>
        <v>NCBI</v>
      </c>
      <c r="F6600">
        <v>7.9000000000000001E-2</v>
      </c>
      <c r="G6600">
        <v>0.2</v>
      </c>
      <c r="H6600" s="1" t="str">
        <f>HYPERLINK("http://www.weizmann.ac.il/complex/compphys/software/geview/data/figures/206679_at.png","Figure")</f>
        <v>Figure</v>
      </c>
      <c r="I6600">
        <v>1.18</v>
      </c>
      <c r="J6600">
        <v>6.6000000000000003E-2</v>
      </c>
      <c r="K6600">
        <v>1.0900000000000001</v>
      </c>
      <c r="L6600">
        <v>0.33</v>
      </c>
      <c r="M6600">
        <v>0.92300000000000004</v>
      </c>
      <c r="N6600">
        <v>0.43</v>
      </c>
    </row>
    <row r="6601" spans="1:14" x14ac:dyDescent="0.25">
      <c r="A6601" t="s">
        <v>11834</v>
      </c>
      <c r="B6601" t="s">
        <v>11835</v>
      </c>
      <c r="C6601" s="1" t="str">
        <f>HYPERLINK("http://www.genecards.org/cgi-bin/carddisp.pl?gene=PLCB1","GeneCards")</f>
        <v>GeneCards</v>
      </c>
      <c r="D6601" s="1" t="str">
        <f>HYPERLINK("http://genome-euro.ucsc.edu/cgi-bin/hgTracks?position=213222_at","UCSC")</f>
        <v>UCSC</v>
      </c>
      <c r="E6601" s="1" t="str">
        <f>HYPERLINK("http://www.ncbi.nlm.nih.gov/gene/?term=PLCB1","NCBI")</f>
        <v>NCBI</v>
      </c>
      <c r="F6601">
        <v>7.9000000000000001E-2</v>
      </c>
      <c r="G6601">
        <v>0.2</v>
      </c>
      <c r="H6601" s="1" t="str">
        <f>HYPERLINK("http://www.weizmann.ac.il/complex/compphys/software/geview/data/figures/213222_at.png","Figure")</f>
        <v>Figure</v>
      </c>
      <c r="I6601">
        <v>1.4</v>
      </c>
      <c r="J6601">
        <v>8.7999999999999995E-2</v>
      </c>
      <c r="K6601">
        <v>1.28</v>
      </c>
      <c r="L6601">
        <v>0.16</v>
      </c>
      <c r="M6601">
        <v>0.91600000000000004</v>
      </c>
      <c r="N6601">
        <v>0.79</v>
      </c>
    </row>
    <row r="6602" spans="1:14" x14ac:dyDescent="0.25">
      <c r="A6602" t="s">
        <v>11836</v>
      </c>
      <c r="B6602" t="s">
        <v>7397</v>
      </c>
      <c r="C6602" s="1" t="str">
        <f>HYPERLINK("http://www.genecards.org/cgi-bin/carddisp.pl?gene=AP2S1","GeneCards")</f>
        <v>GeneCards</v>
      </c>
      <c r="D6602" s="1" t="str">
        <f>HYPERLINK("http://genome-euro.ucsc.edu/cgi-bin/hgTracks?position=211047_x_at","UCSC")</f>
        <v>UCSC</v>
      </c>
      <c r="E6602" s="1" t="str">
        <f>HYPERLINK("http://www.ncbi.nlm.nih.gov/gene/?term=AP2S1","NCBI")</f>
        <v>NCBI</v>
      </c>
      <c r="F6602">
        <v>7.9000000000000001E-2</v>
      </c>
      <c r="G6602">
        <v>0.2</v>
      </c>
      <c r="H6602" s="1" t="str">
        <f>HYPERLINK("http://www.weizmann.ac.il/complex/compphys/software/geview/data/figures/211047_x_at.png","Figure")</f>
        <v>Figure</v>
      </c>
      <c r="I6602">
        <v>1.2</v>
      </c>
      <c r="J6602">
        <v>0.6</v>
      </c>
      <c r="K6602">
        <v>1.5</v>
      </c>
      <c r="L6602">
        <v>6.8000000000000005E-2</v>
      </c>
      <c r="M6602">
        <v>1.25</v>
      </c>
      <c r="N6602">
        <v>0.44</v>
      </c>
    </row>
    <row r="6603" spans="1:14" x14ac:dyDescent="0.25">
      <c r="A6603" t="s">
        <v>11837</v>
      </c>
      <c r="B6603" t="s">
        <v>11227</v>
      </c>
      <c r="C6603" s="1" t="str">
        <f>HYPERLINK("http://www.genecards.org/cgi-bin/carddisp.pl?gene=ARL1","GeneCards")</f>
        <v>GeneCards</v>
      </c>
      <c r="D6603" s="1" t="str">
        <f>HYPERLINK("http://genome-euro.ucsc.edu/cgi-bin/hgTracks?position=201659_s_at","UCSC")</f>
        <v>UCSC</v>
      </c>
      <c r="E6603" s="1" t="str">
        <f>HYPERLINK("http://www.ncbi.nlm.nih.gov/gene/?term=ARL1","NCBI")</f>
        <v>NCBI</v>
      </c>
      <c r="F6603">
        <v>7.9000000000000001E-2</v>
      </c>
      <c r="G6603">
        <v>0.2</v>
      </c>
      <c r="H6603" s="1" t="str">
        <f>HYPERLINK("http://www.weizmann.ac.il/complex/compphys/software/geview/data/figures/201659_s_at.png","Figure")</f>
        <v>Figure</v>
      </c>
      <c r="I6603">
        <v>0.61499999999999999</v>
      </c>
      <c r="J6603">
        <v>6.6000000000000003E-2</v>
      </c>
      <c r="K6603">
        <v>0.77900000000000003</v>
      </c>
      <c r="L6603">
        <v>0.34</v>
      </c>
      <c r="M6603">
        <v>1.27</v>
      </c>
      <c r="N6603">
        <v>0.42</v>
      </c>
    </row>
    <row r="6604" spans="1:14" x14ac:dyDescent="0.25">
      <c r="A6604" t="s">
        <v>11838</v>
      </c>
      <c r="B6604" t="s">
        <v>5215</v>
      </c>
      <c r="C6604" s="1" t="str">
        <f>HYPERLINK("http://www.genecards.org/cgi-bin/carddisp.pl?gene=ECE1","GeneCards")</f>
        <v>GeneCards</v>
      </c>
      <c r="D6604" s="1" t="str">
        <f>HYPERLINK("http://genome-euro.ucsc.edu/cgi-bin/hgTracks?position=201749_at","UCSC")</f>
        <v>UCSC</v>
      </c>
      <c r="E6604" s="1" t="str">
        <f>HYPERLINK("http://www.ncbi.nlm.nih.gov/gene/?term=ECE1","NCBI")</f>
        <v>NCBI</v>
      </c>
      <c r="F6604">
        <v>7.9000000000000001E-2</v>
      </c>
      <c r="G6604">
        <v>0.2</v>
      </c>
      <c r="H6604" s="1" t="str">
        <f>HYPERLINK("http://www.weizmann.ac.il/complex/compphys/software/geview/data/figures/201749_at.png","Figure")</f>
        <v>Figure</v>
      </c>
      <c r="I6604">
        <v>1.29</v>
      </c>
      <c r="J6604">
        <v>7.9000000000000001E-2</v>
      </c>
      <c r="K6604">
        <v>1.06</v>
      </c>
      <c r="L6604">
        <v>0.83</v>
      </c>
      <c r="M6604">
        <v>0.82</v>
      </c>
      <c r="N6604">
        <v>0.15</v>
      </c>
    </row>
    <row r="6605" spans="1:14" x14ac:dyDescent="0.25">
      <c r="A6605" t="s">
        <v>11839</v>
      </c>
      <c r="B6605" t="s">
        <v>11840</v>
      </c>
      <c r="C6605" s="1" t="str">
        <f>HYPERLINK("http://www.genecards.org/cgi-bin/carddisp.pl?gene=IGH@ /// IGHA1 /// IGHA2 /// IGHG1 /// IGHG4 /// IGHM /// IGHV4-31 /// LOC100289944 /// LOC100293559","GeneCards")</f>
        <v>GeneCards</v>
      </c>
      <c r="D6605" s="1" t="str">
        <f>HYPERLINK("http://genome-euro.ucsc.edu/cgi-bin/hgTracks?position=217217_at","UCSC")</f>
        <v>UCSC</v>
      </c>
      <c r="E6605" s="1" t="str">
        <f>HYPERLINK("http://www.ncbi.nlm.nih.gov/gene/?term=IGH@ /// IGHA1 /// IGHA2 /// IGHG1 /// IGHG4 /// IGHM /// IGHV4-31 /// LOC100289944 /// LOC100293559","NCBI")</f>
        <v>NCBI</v>
      </c>
      <c r="F6605">
        <v>7.9000000000000001E-2</v>
      </c>
      <c r="G6605">
        <v>0.2</v>
      </c>
      <c r="H6605" s="1" t="str">
        <f>HYPERLINK("http://www.weizmann.ac.il/complex/compphys/software/geview/data/figures/217217_at.png","Figure")</f>
        <v>Figure</v>
      </c>
      <c r="I6605">
        <v>1.02</v>
      </c>
      <c r="J6605">
        <v>0.15</v>
      </c>
      <c r="K6605">
        <v>1.02</v>
      </c>
      <c r="L6605">
        <v>9.1999999999999998E-2</v>
      </c>
      <c r="M6605">
        <v>1</v>
      </c>
      <c r="N6605">
        <v>1</v>
      </c>
    </row>
    <row r="6606" spans="1:14" x14ac:dyDescent="0.25">
      <c r="A6606" t="s">
        <v>11841</v>
      </c>
      <c r="B6606" t="s">
        <v>11842</v>
      </c>
      <c r="C6606" s="1" t="str">
        <f>HYPERLINK("http://www.genecards.org/cgi-bin/carddisp.pl?gene=ISOC1","GeneCards")</f>
        <v>GeneCards</v>
      </c>
      <c r="D6606" s="1" t="str">
        <f>HYPERLINK("http://genome-euro.ucsc.edu/cgi-bin/hgTracks?position=218170_at","UCSC")</f>
        <v>UCSC</v>
      </c>
      <c r="E6606" s="1" t="str">
        <f>HYPERLINK("http://www.ncbi.nlm.nih.gov/gene/?term=ISOC1","NCBI")</f>
        <v>NCBI</v>
      </c>
      <c r="F6606">
        <v>7.9000000000000001E-2</v>
      </c>
      <c r="G6606">
        <v>0.2</v>
      </c>
      <c r="H6606" s="1" t="str">
        <f>HYPERLINK("http://www.weizmann.ac.il/complex/compphys/software/geview/data/figures/218170_at.png","Figure")</f>
        <v>Figure</v>
      </c>
      <c r="I6606">
        <v>0.53200000000000003</v>
      </c>
      <c r="J6606">
        <v>0.11</v>
      </c>
      <c r="K6606">
        <v>0.97099999999999997</v>
      </c>
      <c r="L6606">
        <v>0.99</v>
      </c>
      <c r="M6606">
        <v>1.82</v>
      </c>
      <c r="N6606">
        <v>0.1</v>
      </c>
    </row>
    <row r="6607" spans="1:14" x14ac:dyDescent="0.25">
      <c r="A6607" t="s">
        <v>11843</v>
      </c>
      <c r="B6607" t="s">
        <v>11844</v>
      </c>
      <c r="C6607" s="1" t="str">
        <f>HYPERLINK("http://www.genecards.org/cgi-bin/carddisp.pl?gene=CEBPE","GeneCards")</f>
        <v>GeneCards</v>
      </c>
      <c r="D6607" s="1" t="str">
        <f>HYPERLINK("http://genome-euro.ucsc.edu/cgi-bin/hgTracks?position=214523_at","UCSC")</f>
        <v>UCSC</v>
      </c>
      <c r="E6607" s="1" t="str">
        <f>HYPERLINK("http://www.ncbi.nlm.nih.gov/gene/?term=CEBPE","NCBI")</f>
        <v>NCBI</v>
      </c>
      <c r="F6607">
        <v>7.9000000000000001E-2</v>
      </c>
      <c r="G6607">
        <v>0.2</v>
      </c>
      <c r="H6607" s="1" t="str">
        <f>HYPERLINK("http://www.weizmann.ac.il/complex/compphys/software/geview/data/figures/214523_at.png","Figure")</f>
        <v>Figure</v>
      </c>
      <c r="I6607">
        <v>0.85799999999999998</v>
      </c>
      <c r="J6607">
        <v>0.18</v>
      </c>
      <c r="K6607">
        <v>1.03</v>
      </c>
      <c r="L6607">
        <v>0.9</v>
      </c>
      <c r="M6607">
        <v>1.2</v>
      </c>
      <c r="N6607">
        <v>7.2999999999999995E-2</v>
      </c>
    </row>
    <row r="6608" spans="1:14" x14ac:dyDescent="0.25">
      <c r="A6608" t="s">
        <v>11845</v>
      </c>
      <c r="B6608" t="s">
        <v>11846</v>
      </c>
      <c r="C6608" s="1" t="str">
        <f>HYPERLINK("http://www.genecards.org/cgi-bin/carddisp.pl?gene=TRAFD1","GeneCards")</f>
        <v>GeneCards</v>
      </c>
      <c r="D6608" s="1" t="str">
        <f>HYPERLINK("http://genome-euro.ucsc.edu/cgi-bin/hgTracks?position=35254_at","UCSC")</f>
        <v>UCSC</v>
      </c>
      <c r="E6608" s="1" t="str">
        <f>HYPERLINK("http://www.ncbi.nlm.nih.gov/gene/?term=TRAFD1","NCBI")</f>
        <v>NCBI</v>
      </c>
      <c r="F6608">
        <v>7.9000000000000001E-2</v>
      </c>
      <c r="G6608">
        <v>0.2</v>
      </c>
      <c r="H6608" s="1" t="str">
        <f>HYPERLINK("http://www.weizmann.ac.il/complex/compphys/software/geview/data/figures/35254_at.png","Figure")</f>
        <v>Figure</v>
      </c>
      <c r="I6608">
        <v>1.25</v>
      </c>
      <c r="J6608">
        <v>7.2999999999999995E-2</v>
      </c>
      <c r="K6608">
        <v>1.06</v>
      </c>
      <c r="L6608">
        <v>0.73</v>
      </c>
      <c r="M6608">
        <v>0.85</v>
      </c>
      <c r="N6608">
        <v>0.18</v>
      </c>
    </row>
    <row r="6609" spans="1:14" x14ac:dyDescent="0.25">
      <c r="A6609" t="s">
        <v>11847</v>
      </c>
      <c r="B6609" t="s">
        <v>11848</v>
      </c>
      <c r="C6609" s="1" t="str">
        <f>HYPERLINK("http://www.genecards.org/cgi-bin/carddisp.pl?gene=ANK3","GeneCards")</f>
        <v>GeneCards</v>
      </c>
      <c r="D6609" s="1" t="str">
        <f>HYPERLINK("http://genome-euro.ucsc.edu/cgi-bin/hgTracks?position=207950_s_at","UCSC")</f>
        <v>UCSC</v>
      </c>
      <c r="E6609" s="1" t="str">
        <f>HYPERLINK("http://www.ncbi.nlm.nih.gov/gene/?term=ANK3","NCBI")</f>
        <v>NCBI</v>
      </c>
      <c r="F6609">
        <v>7.9000000000000001E-2</v>
      </c>
      <c r="G6609">
        <v>0.2</v>
      </c>
      <c r="H6609" s="1" t="str">
        <f>HYPERLINK("http://www.weizmann.ac.il/complex/compphys/software/geview/data/figures/207950_s_at.png","Figure")</f>
        <v>Figure</v>
      </c>
      <c r="I6609">
        <v>0.92900000000000005</v>
      </c>
      <c r="J6609">
        <v>0.39</v>
      </c>
      <c r="K6609">
        <v>0.89</v>
      </c>
      <c r="L6609">
        <v>6.6000000000000003E-2</v>
      </c>
      <c r="M6609">
        <v>0.95799999999999996</v>
      </c>
      <c r="N6609">
        <v>0.67</v>
      </c>
    </row>
    <row r="6610" spans="1:14" x14ac:dyDescent="0.25">
      <c r="A6610" t="s">
        <v>11849</v>
      </c>
      <c r="B6610" t="s">
        <v>11850</v>
      </c>
      <c r="C6610" s="1" t="str">
        <f>HYPERLINK("http://www.genecards.org/cgi-bin/carddisp.pl?gene=SCUBE2","GeneCards")</f>
        <v>GeneCards</v>
      </c>
      <c r="D6610" s="1" t="str">
        <f>HYPERLINK("http://genome-euro.ucsc.edu/cgi-bin/hgTracks?position=219197_s_at","UCSC")</f>
        <v>UCSC</v>
      </c>
      <c r="E6610" s="1" t="str">
        <f>HYPERLINK("http://www.ncbi.nlm.nih.gov/gene/?term=SCUBE2","NCBI")</f>
        <v>NCBI</v>
      </c>
      <c r="F6610">
        <v>7.9000000000000001E-2</v>
      </c>
      <c r="G6610">
        <v>0.2</v>
      </c>
      <c r="H6610" s="1" t="str">
        <f>HYPERLINK("http://www.weizmann.ac.il/complex/compphys/software/geview/data/figures/219197_s_at.png","Figure")</f>
        <v>Figure</v>
      </c>
      <c r="I6610">
        <v>1.1000000000000001</v>
      </c>
      <c r="J6610">
        <v>0.36</v>
      </c>
      <c r="K6610">
        <v>0.94099999999999995</v>
      </c>
      <c r="L6610">
        <v>0.56999999999999995</v>
      </c>
      <c r="M6610">
        <v>0.85499999999999998</v>
      </c>
      <c r="N6610">
        <v>6.5000000000000002E-2</v>
      </c>
    </row>
    <row r="6611" spans="1:14" x14ac:dyDescent="0.25">
      <c r="A6611" t="s">
        <v>11851</v>
      </c>
      <c r="B6611" t="s">
        <v>11852</v>
      </c>
      <c r="C6611" s="1" t="str">
        <f>HYPERLINK("http://www.genecards.org/cgi-bin/carddisp.pl?gene=HNF4A","GeneCards")</f>
        <v>GeneCards</v>
      </c>
      <c r="D6611" s="1" t="str">
        <f>HYPERLINK("http://genome-euro.ucsc.edu/cgi-bin/hgTracks?position=216889_s_at","UCSC")</f>
        <v>UCSC</v>
      </c>
      <c r="E6611" s="1" t="str">
        <f>HYPERLINK("http://www.ncbi.nlm.nih.gov/gene/?term=HNF4A","NCBI")</f>
        <v>NCBI</v>
      </c>
      <c r="F6611">
        <v>7.9000000000000001E-2</v>
      </c>
      <c r="G6611">
        <v>0.2</v>
      </c>
      <c r="H6611" s="1" t="str">
        <f>HYPERLINK("http://www.weizmann.ac.il/complex/compphys/software/geview/data/figures/216889_s_at.png","Figure")</f>
        <v>Figure</v>
      </c>
      <c r="I6611">
        <v>1.22</v>
      </c>
      <c r="J6611">
        <v>6.6000000000000003E-2</v>
      </c>
      <c r="K6611">
        <v>1.08</v>
      </c>
      <c r="L6611">
        <v>0.54</v>
      </c>
      <c r="M6611">
        <v>0.88600000000000001</v>
      </c>
      <c r="N6611">
        <v>0.26</v>
      </c>
    </row>
    <row r="6612" spans="1:14" x14ac:dyDescent="0.25">
      <c r="A6612" t="s">
        <v>11853</v>
      </c>
      <c r="B6612" t="s">
        <v>11854</v>
      </c>
      <c r="C6612" s="1" t="str">
        <f>HYPERLINK("http://www.genecards.org/cgi-bin/carddisp.pl?gene=C11orf9","GeneCards")</f>
        <v>GeneCards</v>
      </c>
      <c r="D6612" s="1" t="str">
        <f>HYPERLINK("http://genome-euro.ucsc.edu/cgi-bin/hgTracks?position=204073_s_at","UCSC")</f>
        <v>UCSC</v>
      </c>
      <c r="E6612" s="1" t="str">
        <f>HYPERLINK("http://www.ncbi.nlm.nih.gov/gene/?term=C11orf9","NCBI")</f>
        <v>NCBI</v>
      </c>
      <c r="F6612">
        <v>7.9000000000000001E-2</v>
      </c>
      <c r="G6612">
        <v>0.2</v>
      </c>
      <c r="H6612" s="1" t="str">
        <f>HYPERLINK("http://www.weizmann.ac.il/complex/compphys/software/geview/data/figures/204073_s_at.png","Figure")</f>
        <v>Figure</v>
      </c>
      <c r="I6612">
        <v>1.1599999999999999</v>
      </c>
      <c r="J6612">
        <v>6.6000000000000003E-2</v>
      </c>
      <c r="K6612">
        <v>1.07</v>
      </c>
      <c r="L6612">
        <v>0.4</v>
      </c>
      <c r="M6612">
        <v>0.92200000000000004</v>
      </c>
      <c r="N6612">
        <v>0.36</v>
      </c>
    </row>
    <row r="6613" spans="1:14" x14ac:dyDescent="0.25">
      <c r="A6613" t="s">
        <v>11855</v>
      </c>
      <c r="B6613" t="s">
        <v>8575</v>
      </c>
      <c r="C6613" s="1" t="str">
        <f>HYPERLINK("http://www.genecards.org/cgi-bin/carddisp.pl?gene=RTEL1","GeneCards")</f>
        <v>GeneCards</v>
      </c>
      <c r="D6613" s="1" t="str">
        <f>HYPERLINK("http://genome-euro.ucsc.edu/cgi-bin/hgTracks?position=206092_x_at","UCSC")</f>
        <v>UCSC</v>
      </c>
      <c r="E6613" s="1" t="str">
        <f>HYPERLINK("http://www.ncbi.nlm.nih.gov/gene/?term=RTEL1","NCBI")</f>
        <v>NCBI</v>
      </c>
      <c r="F6613">
        <v>7.9000000000000001E-2</v>
      </c>
      <c r="G6613">
        <v>0.2</v>
      </c>
      <c r="H6613" s="1" t="str">
        <f>HYPERLINK("http://www.weizmann.ac.il/complex/compphys/software/geview/data/figures/206092_x_at.png","Figure")</f>
        <v>Figure</v>
      </c>
      <c r="I6613">
        <v>1.1599999999999999</v>
      </c>
      <c r="J6613">
        <v>6.9000000000000006E-2</v>
      </c>
      <c r="K6613">
        <v>1.05</v>
      </c>
      <c r="L6613">
        <v>0.64</v>
      </c>
      <c r="M6613">
        <v>0.90400000000000003</v>
      </c>
      <c r="N6613">
        <v>0.22</v>
      </c>
    </row>
    <row r="6614" spans="1:14" x14ac:dyDescent="0.25">
      <c r="A6614" t="s">
        <v>11856</v>
      </c>
      <c r="B6614" t="s">
        <v>2631</v>
      </c>
      <c r="C6614" s="1" t="str">
        <f>HYPERLINK("http://www.genecards.org/cgi-bin/carddisp.pl?gene=GGA2","GeneCards")</f>
        <v>GeneCards</v>
      </c>
      <c r="D6614" s="1" t="str">
        <f>HYPERLINK("http://genome-euro.ucsc.edu/cgi-bin/hgTracks?position=208915_s_at","UCSC")</f>
        <v>UCSC</v>
      </c>
      <c r="E6614" s="1" t="str">
        <f>HYPERLINK("http://www.ncbi.nlm.nih.gov/gene/?term=GGA2","NCBI")</f>
        <v>NCBI</v>
      </c>
      <c r="F6614">
        <v>7.9000000000000001E-2</v>
      </c>
      <c r="G6614">
        <v>0.2</v>
      </c>
      <c r="H6614" s="1" t="str">
        <f>HYPERLINK("http://www.weizmann.ac.il/complex/compphys/software/geview/data/figures/208915_s_at.png","Figure")</f>
        <v>Figure</v>
      </c>
      <c r="I6614">
        <v>1.3</v>
      </c>
      <c r="J6614">
        <v>6.8000000000000005E-2</v>
      </c>
      <c r="K6614">
        <v>1.0900000000000001</v>
      </c>
      <c r="L6614">
        <v>0.61</v>
      </c>
      <c r="M6614">
        <v>0.84199999999999997</v>
      </c>
      <c r="N6614">
        <v>0.23</v>
      </c>
    </row>
    <row r="6615" spans="1:14" x14ac:dyDescent="0.25">
      <c r="A6615" t="s">
        <v>11857</v>
      </c>
      <c r="B6615" t="s">
        <v>4350</v>
      </c>
      <c r="C6615" s="1" t="str">
        <f>HYPERLINK("http://www.genecards.org/cgi-bin/carddisp.pl?gene=CUGBP1","GeneCards")</f>
        <v>GeneCards</v>
      </c>
      <c r="D6615" s="1" t="str">
        <f>HYPERLINK("http://genome-euro.ucsc.edu/cgi-bin/hgTracks?position=209489_at","UCSC")</f>
        <v>UCSC</v>
      </c>
      <c r="E6615" s="1" t="str">
        <f>HYPERLINK("http://www.ncbi.nlm.nih.gov/gene/?term=CUGBP1","NCBI")</f>
        <v>NCBI</v>
      </c>
      <c r="F6615">
        <v>7.9000000000000001E-2</v>
      </c>
      <c r="G6615">
        <v>0.2</v>
      </c>
      <c r="H6615" s="1" t="str">
        <f>HYPERLINK("http://www.weizmann.ac.il/complex/compphys/software/geview/data/figures/209489_at.png","Figure")</f>
        <v>Figure</v>
      </c>
      <c r="I6615">
        <v>1.27</v>
      </c>
      <c r="J6615">
        <v>0.26</v>
      </c>
      <c r="K6615">
        <v>0.90500000000000003</v>
      </c>
      <c r="L6615">
        <v>0.72</v>
      </c>
      <c r="M6615">
        <v>0.71299999999999997</v>
      </c>
      <c r="N6615">
        <v>6.6000000000000003E-2</v>
      </c>
    </row>
    <row r="6616" spans="1:14" x14ac:dyDescent="0.25">
      <c r="A6616" t="s">
        <v>11858</v>
      </c>
      <c r="B6616" t="s">
        <v>11859</v>
      </c>
      <c r="C6616" s="1" t="str">
        <f>HYPERLINK("http://www.genecards.org/cgi-bin/carddisp.pl?gene=C22orf43","GeneCards")</f>
        <v>GeneCards</v>
      </c>
      <c r="D6616" s="1" t="str">
        <f>HYPERLINK("http://genome-euro.ucsc.edu/cgi-bin/hgTracks?position=221108_at","UCSC")</f>
        <v>UCSC</v>
      </c>
      <c r="E6616" s="1" t="str">
        <f>HYPERLINK("http://www.ncbi.nlm.nih.gov/gene/?term=C22orf43","NCBI")</f>
        <v>NCBI</v>
      </c>
      <c r="F6616">
        <v>7.9000000000000001E-2</v>
      </c>
      <c r="G6616">
        <v>0.2</v>
      </c>
      <c r="H6616" s="1" t="str">
        <f>HYPERLINK("http://www.weizmann.ac.il/complex/compphys/software/geview/data/figures/221108_at.png","Figure")</f>
        <v>Figure</v>
      </c>
      <c r="I6616">
        <v>1.1599999999999999</v>
      </c>
      <c r="J6616">
        <v>0.16</v>
      </c>
      <c r="K6616">
        <v>0.98</v>
      </c>
      <c r="L6616">
        <v>0.95</v>
      </c>
      <c r="M6616">
        <v>0.84199999999999997</v>
      </c>
      <c r="N6616">
        <v>7.8E-2</v>
      </c>
    </row>
    <row r="6617" spans="1:14" x14ac:dyDescent="0.25">
      <c r="A6617" t="s">
        <v>11860</v>
      </c>
      <c r="B6617" t="s">
        <v>11861</v>
      </c>
      <c r="C6617" s="1" t="str">
        <f>HYPERLINK("http://www.genecards.org/cgi-bin/carddisp.pl?gene=UBE2D2","GeneCards")</f>
        <v>GeneCards</v>
      </c>
      <c r="D6617" s="1" t="str">
        <f>HYPERLINK("http://genome-euro.ucsc.edu/cgi-bin/hgTracks?position=201344_at","UCSC")</f>
        <v>UCSC</v>
      </c>
      <c r="E6617" s="1" t="str">
        <f>HYPERLINK("http://www.ncbi.nlm.nih.gov/gene/?term=UBE2D2","NCBI")</f>
        <v>NCBI</v>
      </c>
      <c r="F6617">
        <v>7.9000000000000001E-2</v>
      </c>
      <c r="G6617">
        <v>0.2</v>
      </c>
      <c r="H6617" s="1" t="str">
        <f>HYPERLINK("http://www.weizmann.ac.il/complex/compphys/software/geview/data/figures/201344_at.png","Figure")</f>
        <v>Figure</v>
      </c>
      <c r="I6617">
        <v>0.83899999999999997</v>
      </c>
      <c r="J6617">
        <v>0.3</v>
      </c>
      <c r="K6617">
        <v>1.0900000000000001</v>
      </c>
      <c r="L6617">
        <v>0.65</v>
      </c>
      <c r="M6617">
        <v>1.3</v>
      </c>
      <c r="N6617">
        <v>6.6000000000000003E-2</v>
      </c>
    </row>
    <row r="6618" spans="1:14" x14ac:dyDescent="0.25">
      <c r="A6618" t="s">
        <v>11862</v>
      </c>
      <c r="B6618" t="s">
        <v>11863</v>
      </c>
      <c r="C6618" s="1" t="str">
        <f>HYPERLINK("http://www.genecards.org/cgi-bin/carddisp.pl?gene=PDHX","GeneCards")</f>
        <v>GeneCards</v>
      </c>
      <c r="D6618" s="1" t="str">
        <f>HYPERLINK("http://genome-euro.ucsc.edu/cgi-bin/hgTracks?position=203067_at","UCSC")</f>
        <v>UCSC</v>
      </c>
      <c r="E6618" s="1" t="str">
        <f>HYPERLINK("http://www.ncbi.nlm.nih.gov/gene/?term=PDHX","NCBI")</f>
        <v>NCBI</v>
      </c>
      <c r="F6618">
        <v>7.9000000000000001E-2</v>
      </c>
      <c r="G6618">
        <v>0.2</v>
      </c>
      <c r="H6618" s="1" t="str">
        <f>HYPERLINK("http://www.weizmann.ac.il/complex/compphys/software/geview/data/figures/203067_at.png","Figure")</f>
        <v>Figure</v>
      </c>
      <c r="I6618">
        <v>0.77900000000000003</v>
      </c>
      <c r="J6618">
        <v>0.54</v>
      </c>
      <c r="K6618">
        <v>1.31</v>
      </c>
      <c r="L6618">
        <v>0.38</v>
      </c>
      <c r="M6618">
        <v>1.69</v>
      </c>
      <c r="N6618">
        <v>7.0999999999999994E-2</v>
      </c>
    </row>
    <row r="6619" spans="1:14" x14ac:dyDescent="0.25">
      <c r="A6619" t="s">
        <v>11864</v>
      </c>
      <c r="B6619" t="s">
        <v>762</v>
      </c>
      <c r="C6619" s="1" t="str">
        <f>HYPERLINK("http://www.genecards.org/cgi-bin/carddisp.pl?gene=FAM125B","GeneCards")</f>
        <v>GeneCards</v>
      </c>
      <c r="D6619" s="1" t="str">
        <f>HYPERLINK("http://genome-euro.ucsc.edu/cgi-bin/hgTracks?position=221687_s_at","UCSC")</f>
        <v>UCSC</v>
      </c>
      <c r="E6619" s="1" t="str">
        <f>HYPERLINK("http://www.ncbi.nlm.nih.gov/gene/?term=FAM125B","NCBI")</f>
        <v>NCBI</v>
      </c>
      <c r="F6619">
        <v>7.9000000000000001E-2</v>
      </c>
      <c r="G6619">
        <v>0.2</v>
      </c>
      <c r="H6619" s="1" t="str">
        <f>HYPERLINK("http://www.weizmann.ac.il/complex/compphys/software/geview/data/figures/221687_s_at.png","Figure")</f>
        <v>Figure</v>
      </c>
      <c r="I6619">
        <v>1.26</v>
      </c>
      <c r="J6619">
        <v>7.6999999999999999E-2</v>
      </c>
      <c r="K6619">
        <v>1.1599999999999999</v>
      </c>
      <c r="L6619">
        <v>0.21</v>
      </c>
      <c r="M6619">
        <v>0.92300000000000004</v>
      </c>
      <c r="N6619">
        <v>0.66</v>
      </c>
    </row>
    <row r="6620" spans="1:14" x14ac:dyDescent="0.25">
      <c r="A6620" t="s">
        <v>11865</v>
      </c>
      <c r="B6620" t="s">
        <v>6759</v>
      </c>
      <c r="C6620" s="1" t="str">
        <f>HYPERLINK("http://www.genecards.org/cgi-bin/carddisp.pl?gene=H2AFX","GeneCards")</f>
        <v>GeneCards</v>
      </c>
      <c r="D6620" s="1" t="str">
        <f>HYPERLINK("http://genome-euro.ucsc.edu/cgi-bin/hgTracks?position=205436_s_at","UCSC")</f>
        <v>UCSC</v>
      </c>
      <c r="E6620" s="1" t="str">
        <f>HYPERLINK("http://www.ncbi.nlm.nih.gov/gene/?term=H2AFX","NCBI")</f>
        <v>NCBI</v>
      </c>
      <c r="F6620">
        <v>7.9000000000000001E-2</v>
      </c>
      <c r="G6620">
        <v>0.2</v>
      </c>
      <c r="H6620" s="1" t="str">
        <f>HYPERLINK("http://www.weizmann.ac.il/complex/compphys/software/geview/data/figures/205436_s_at.png","Figure")</f>
        <v>Figure</v>
      </c>
      <c r="I6620">
        <v>1.33</v>
      </c>
      <c r="J6620">
        <v>0.65</v>
      </c>
      <c r="K6620">
        <v>1.98</v>
      </c>
      <c r="L6620">
        <v>7.0000000000000007E-2</v>
      </c>
      <c r="M6620">
        <v>1.49</v>
      </c>
      <c r="N6620">
        <v>0.4</v>
      </c>
    </row>
    <row r="6621" spans="1:14" x14ac:dyDescent="0.25">
      <c r="A6621" t="s">
        <v>11866</v>
      </c>
      <c r="B6621" t="s">
        <v>11867</v>
      </c>
      <c r="C6621" s="1" t="str">
        <f>HYPERLINK("http://www.genecards.org/cgi-bin/carddisp.pl?gene=HS6ST1","GeneCards")</f>
        <v>GeneCards</v>
      </c>
      <c r="D6621" s="1" t="str">
        <f>HYPERLINK("http://genome-euro.ucsc.edu/cgi-bin/hgTracks?position=206997_s_at","UCSC")</f>
        <v>UCSC</v>
      </c>
      <c r="E6621" s="1" t="str">
        <f>HYPERLINK("http://www.ncbi.nlm.nih.gov/gene/?term=HS6ST1","NCBI")</f>
        <v>NCBI</v>
      </c>
      <c r="F6621">
        <v>7.9000000000000001E-2</v>
      </c>
      <c r="G6621">
        <v>0.2</v>
      </c>
      <c r="H6621" s="1" t="str">
        <f>HYPERLINK("http://www.weizmann.ac.il/complex/compphys/software/geview/data/figures/206997_s_at.png","Figure")</f>
        <v>Figure</v>
      </c>
      <c r="I6621">
        <v>1.07</v>
      </c>
      <c r="J6621">
        <v>0.46</v>
      </c>
      <c r="K6621">
        <v>0.94499999999999995</v>
      </c>
      <c r="L6621">
        <v>0.45</v>
      </c>
      <c r="M6621">
        <v>0.88600000000000001</v>
      </c>
      <c r="N6621">
        <v>6.8000000000000005E-2</v>
      </c>
    </row>
    <row r="6622" spans="1:14" x14ac:dyDescent="0.25">
      <c r="A6622" t="s">
        <v>11868</v>
      </c>
      <c r="B6622" t="s">
        <v>11869</v>
      </c>
      <c r="C6622" s="1" t="str">
        <f>HYPERLINK("http://www.genecards.org/cgi-bin/carddisp.pl?gene=CEBPB","GeneCards")</f>
        <v>GeneCards</v>
      </c>
      <c r="D6622" s="1" t="str">
        <f>HYPERLINK("http://genome-euro.ucsc.edu/cgi-bin/hgTracks?position=212501_at","UCSC")</f>
        <v>UCSC</v>
      </c>
      <c r="E6622" s="1" t="str">
        <f>HYPERLINK("http://www.ncbi.nlm.nih.gov/gene/?term=CEBPB","NCBI")</f>
        <v>NCBI</v>
      </c>
      <c r="F6622">
        <v>7.9000000000000001E-2</v>
      </c>
      <c r="G6622">
        <v>0.2</v>
      </c>
      <c r="H6622" s="1" t="str">
        <f>HYPERLINK("http://www.weizmann.ac.il/complex/compphys/software/geview/data/figures/212501_at.png","Figure")</f>
        <v>Figure</v>
      </c>
      <c r="I6622">
        <v>0.49099999999999999</v>
      </c>
      <c r="J6622">
        <v>8.6999999999999994E-2</v>
      </c>
      <c r="K6622">
        <v>0.59599999999999997</v>
      </c>
      <c r="L6622">
        <v>0.17</v>
      </c>
      <c r="M6622">
        <v>1.22</v>
      </c>
      <c r="N6622">
        <v>0.78</v>
      </c>
    </row>
    <row r="6623" spans="1:14" x14ac:dyDescent="0.25">
      <c r="A6623" t="s">
        <v>11870</v>
      </c>
      <c r="B6623" t="s">
        <v>8736</v>
      </c>
      <c r="C6623" s="1" t="str">
        <f>HYPERLINK("http://www.genecards.org/cgi-bin/carddisp.pl?gene=EZR","GeneCards")</f>
        <v>GeneCards</v>
      </c>
      <c r="D6623" s="1" t="str">
        <f>HYPERLINK("http://genome-euro.ucsc.edu/cgi-bin/hgTracks?position=217230_at","UCSC")</f>
        <v>UCSC</v>
      </c>
      <c r="E6623" s="1" t="str">
        <f>HYPERLINK("http://www.ncbi.nlm.nih.gov/gene/?term=EZR","NCBI")</f>
        <v>NCBI</v>
      </c>
      <c r="F6623">
        <v>7.9000000000000001E-2</v>
      </c>
      <c r="G6623">
        <v>0.2</v>
      </c>
      <c r="H6623" s="1" t="str">
        <f>HYPERLINK("http://www.weizmann.ac.il/complex/compphys/software/geview/data/figures/217230_at.png","Figure")</f>
        <v>Figure</v>
      </c>
      <c r="I6623">
        <v>2.02</v>
      </c>
      <c r="J6623">
        <v>7.1999999999999995E-2</v>
      </c>
      <c r="K6623">
        <v>1.53</v>
      </c>
      <c r="L6623">
        <v>0.25</v>
      </c>
      <c r="M6623">
        <v>0.755</v>
      </c>
      <c r="N6623">
        <v>0.56999999999999995</v>
      </c>
    </row>
    <row r="6624" spans="1:14" x14ac:dyDescent="0.25">
      <c r="A6624" t="s">
        <v>11871</v>
      </c>
      <c r="B6624" t="s">
        <v>11872</v>
      </c>
      <c r="C6624" s="1" t="str">
        <f>HYPERLINK("http://www.genecards.org/cgi-bin/carddisp.pl?gene=RNASET2","GeneCards")</f>
        <v>GeneCards</v>
      </c>
      <c r="D6624" s="1" t="str">
        <f>HYPERLINK("http://genome-euro.ucsc.edu/cgi-bin/hgTracks?position=217984_at","UCSC")</f>
        <v>UCSC</v>
      </c>
      <c r="E6624" s="1" t="str">
        <f>HYPERLINK("http://www.ncbi.nlm.nih.gov/gene/?term=RNASET2","NCBI")</f>
        <v>NCBI</v>
      </c>
      <c r="F6624">
        <v>7.9000000000000001E-2</v>
      </c>
      <c r="G6624">
        <v>0.2</v>
      </c>
      <c r="H6624" s="1" t="str">
        <f>HYPERLINK("http://www.weizmann.ac.il/complex/compphys/software/geview/data/figures/217984_at.png","Figure")</f>
        <v>Figure</v>
      </c>
      <c r="I6624">
        <v>0.44400000000000001</v>
      </c>
      <c r="J6624">
        <v>0.15</v>
      </c>
      <c r="K6624">
        <v>0.44500000000000001</v>
      </c>
      <c r="L6624">
        <v>9.2999999999999999E-2</v>
      </c>
      <c r="M6624">
        <v>1</v>
      </c>
      <c r="N6624">
        <v>1</v>
      </c>
    </row>
    <row r="6625" spans="1:14" x14ac:dyDescent="0.25">
      <c r="A6625" t="s">
        <v>11873</v>
      </c>
      <c r="B6625" t="s">
        <v>11874</v>
      </c>
      <c r="C6625" s="1" t="str">
        <f>HYPERLINK("http://www.genecards.org/cgi-bin/carddisp.pl?gene=UBA1","GeneCards")</f>
        <v>GeneCards</v>
      </c>
      <c r="D6625" s="1" t="str">
        <f>HYPERLINK("http://genome-euro.ucsc.edu/cgi-bin/hgTracks?position=200964_at","UCSC")</f>
        <v>UCSC</v>
      </c>
      <c r="E6625" s="1" t="str">
        <f>HYPERLINK("http://www.ncbi.nlm.nih.gov/gene/?term=UBA1","NCBI")</f>
        <v>NCBI</v>
      </c>
      <c r="F6625">
        <v>7.9000000000000001E-2</v>
      </c>
      <c r="G6625">
        <v>0.2</v>
      </c>
      <c r="H6625" s="1" t="str">
        <f>HYPERLINK("http://www.weizmann.ac.il/complex/compphys/software/geview/data/figures/200964_at.png","Figure")</f>
        <v>Figure</v>
      </c>
      <c r="I6625">
        <v>0.52500000000000002</v>
      </c>
      <c r="J6625">
        <v>0.26</v>
      </c>
      <c r="K6625">
        <v>1.29</v>
      </c>
      <c r="L6625">
        <v>0.73</v>
      </c>
      <c r="M6625">
        <v>2.46</v>
      </c>
      <c r="N6625">
        <v>6.7000000000000004E-2</v>
      </c>
    </row>
    <row r="6626" spans="1:14" x14ac:dyDescent="0.25">
      <c r="A6626" t="s">
        <v>11875</v>
      </c>
      <c r="B6626" t="s">
        <v>1618</v>
      </c>
      <c r="C6626" s="1" t="str">
        <f>HYPERLINK("http://www.genecards.org/cgi-bin/carddisp.pl?gene=ATP10A","GeneCards")</f>
        <v>GeneCards</v>
      </c>
      <c r="D6626" s="1" t="str">
        <f>HYPERLINK("http://genome-euro.ucsc.edu/cgi-bin/hgTracks?position=214256_at","UCSC")</f>
        <v>UCSC</v>
      </c>
      <c r="E6626" s="1" t="str">
        <f>HYPERLINK("http://www.ncbi.nlm.nih.gov/gene/?term=ATP10A","NCBI")</f>
        <v>NCBI</v>
      </c>
      <c r="F6626">
        <v>0.08</v>
      </c>
      <c r="G6626">
        <v>0.2</v>
      </c>
      <c r="H6626" s="1" t="str">
        <f>HYPERLINK("http://www.weizmann.ac.il/complex/compphys/software/geview/data/figures/214256_at.png","Figure")</f>
        <v>Figure</v>
      </c>
      <c r="I6626">
        <v>1.2</v>
      </c>
      <c r="J6626">
        <v>6.6000000000000003E-2</v>
      </c>
      <c r="K6626">
        <v>1.08</v>
      </c>
      <c r="L6626">
        <v>0.46</v>
      </c>
      <c r="M6626">
        <v>0.90200000000000002</v>
      </c>
      <c r="N6626">
        <v>0.31</v>
      </c>
    </row>
    <row r="6627" spans="1:14" x14ac:dyDescent="0.25">
      <c r="A6627" t="s">
        <v>11876</v>
      </c>
      <c r="B6627" t="s">
        <v>11877</v>
      </c>
      <c r="C6627" s="1" t="str">
        <f>HYPERLINK("http://www.genecards.org/cgi-bin/carddisp.pl?gene=GPR143","GeneCards")</f>
        <v>GeneCards</v>
      </c>
      <c r="D6627" s="1" t="str">
        <f>HYPERLINK("http://genome-euro.ucsc.edu/cgi-bin/hgTracks?position=206696_at","UCSC")</f>
        <v>UCSC</v>
      </c>
      <c r="E6627" s="1" t="str">
        <f>HYPERLINK("http://www.ncbi.nlm.nih.gov/gene/?term=GPR143","NCBI")</f>
        <v>NCBI</v>
      </c>
      <c r="F6627">
        <v>0.08</v>
      </c>
      <c r="G6627">
        <v>0.2</v>
      </c>
      <c r="H6627" s="1" t="str">
        <f>HYPERLINK("http://www.weizmann.ac.il/complex/compphys/software/geview/data/figures/206696_at.png","Figure")</f>
        <v>Figure</v>
      </c>
      <c r="I6627">
        <v>0.95699999999999996</v>
      </c>
      <c r="J6627">
        <v>0.42</v>
      </c>
      <c r="K6627">
        <v>0.93</v>
      </c>
      <c r="L6627">
        <v>6.6000000000000003E-2</v>
      </c>
      <c r="M6627">
        <v>0.97099999999999997</v>
      </c>
      <c r="N6627">
        <v>0.63</v>
      </c>
    </row>
    <row r="6628" spans="1:14" x14ac:dyDescent="0.25">
      <c r="A6628" t="s">
        <v>11878</v>
      </c>
      <c r="B6628" t="s">
        <v>11879</v>
      </c>
      <c r="C6628" s="1" t="str">
        <f>HYPERLINK("http://www.genecards.org/cgi-bin/carddisp.pl?gene=UBE3C","GeneCards")</f>
        <v>GeneCards</v>
      </c>
      <c r="D6628" s="1" t="str">
        <f>HYPERLINK("http://genome-euro.ucsc.edu/cgi-bin/hgTracks?position=201817_at","UCSC")</f>
        <v>UCSC</v>
      </c>
      <c r="E6628" s="1" t="str">
        <f>HYPERLINK("http://www.ncbi.nlm.nih.gov/gene/?term=UBE3C","NCBI")</f>
        <v>NCBI</v>
      </c>
      <c r="F6628">
        <v>0.08</v>
      </c>
      <c r="G6628">
        <v>0.2</v>
      </c>
      <c r="H6628" s="1" t="str">
        <f>HYPERLINK("http://www.weizmann.ac.il/complex/compphys/software/geview/data/figures/201817_at.png","Figure")</f>
        <v>Figure</v>
      </c>
      <c r="I6628">
        <v>0.72799999999999998</v>
      </c>
      <c r="J6628">
        <v>0.23</v>
      </c>
      <c r="K6628">
        <v>1.1100000000000001</v>
      </c>
      <c r="L6628">
        <v>0.79</v>
      </c>
      <c r="M6628">
        <v>1.53</v>
      </c>
      <c r="N6628">
        <v>6.8000000000000005E-2</v>
      </c>
    </row>
    <row r="6629" spans="1:14" x14ac:dyDescent="0.25">
      <c r="A6629" t="s">
        <v>11880</v>
      </c>
      <c r="B6629" t="s">
        <v>11881</v>
      </c>
      <c r="C6629" s="1" t="str">
        <f>HYPERLINK("http://www.genecards.org/cgi-bin/carddisp.pl?gene=ABCD4","GeneCards")</f>
        <v>GeneCards</v>
      </c>
      <c r="D6629" s="1" t="str">
        <f>HYPERLINK("http://genome-euro.ucsc.edu/cgi-bin/hgTracks?position=203981_s_at","UCSC")</f>
        <v>UCSC</v>
      </c>
      <c r="E6629" s="1" t="str">
        <f>HYPERLINK("http://www.ncbi.nlm.nih.gov/gene/?term=ABCD4","NCBI")</f>
        <v>NCBI</v>
      </c>
      <c r="F6629">
        <v>0.08</v>
      </c>
      <c r="G6629">
        <v>0.2</v>
      </c>
      <c r="H6629" s="1" t="str">
        <f>HYPERLINK("http://www.weizmann.ac.il/complex/compphys/software/geview/data/figures/203981_s_at.png","Figure")</f>
        <v>Figure</v>
      </c>
      <c r="I6629">
        <v>0.54300000000000004</v>
      </c>
      <c r="J6629">
        <v>6.6000000000000003E-2</v>
      </c>
      <c r="K6629">
        <v>0.76300000000000001</v>
      </c>
      <c r="L6629">
        <v>0.44</v>
      </c>
      <c r="M6629">
        <v>1.41</v>
      </c>
      <c r="N6629">
        <v>0.33</v>
      </c>
    </row>
    <row r="6630" spans="1:14" x14ac:dyDescent="0.25">
      <c r="A6630" t="s">
        <v>11882</v>
      </c>
      <c r="B6630" t="s">
        <v>11883</v>
      </c>
      <c r="C6630" s="1" t="str">
        <f>HYPERLINK("http://www.genecards.org/cgi-bin/carddisp.pl?gene=HNF1A","GeneCards")</f>
        <v>GeneCards</v>
      </c>
      <c r="D6630" s="1" t="str">
        <f>HYPERLINK("http://genome-euro.ucsc.edu/cgi-bin/hgTracks?position=210515_at","UCSC")</f>
        <v>UCSC</v>
      </c>
      <c r="E6630" s="1" t="str">
        <f>HYPERLINK("http://www.ncbi.nlm.nih.gov/gene/?term=HNF1A","NCBI")</f>
        <v>NCBI</v>
      </c>
      <c r="F6630">
        <v>0.08</v>
      </c>
      <c r="G6630">
        <v>0.2</v>
      </c>
      <c r="H6630" s="1" t="str">
        <f>HYPERLINK("http://www.weizmann.ac.il/complex/compphys/software/geview/data/figures/210515_at.png","Figure")</f>
        <v>Figure</v>
      </c>
      <c r="I6630">
        <v>1.1399999999999999</v>
      </c>
      <c r="J6630">
        <v>9.6000000000000002E-2</v>
      </c>
      <c r="K6630">
        <v>1.1100000000000001</v>
      </c>
      <c r="L6630">
        <v>0.15</v>
      </c>
      <c r="M6630">
        <v>0.97199999999999998</v>
      </c>
      <c r="N6630">
        <v>0.85</v>
      </c>
    </row>
    <row r="6631" spans="1:14" x14ac:dyDescent="0.25">
      <c r="A6631" t="s">
        <v>11884</v>
      </c>
      <c r="B6631" t="s">
        <v>7246</v>
      </c>
      <c r="C6631" s="1" t="str">
        <f>HYPERLINK("http://www.genecards.org/cgi-bin/carddisp.pl?gene=PRELP","GeneCards")</f>
        <v>GeneCards</v>
      </c>
      <c r="D6631" s="1" t="str">
        <f>HYPERLINK("http://genome-euro.ucsc.edu/cgi-bin/hgTracks?position=204223_at","UCSC")</f>
        <v>UCSC</v>
      </c>
      <c r="E6631" s="1" t="str">
        <f>HYPERLINK("http://www.ncbi.nlm.nih.gov/gene/?term=PRELP","NCBI")</f>
        <v>NCBI</v>
      </c>
      <c r="F6631">
        <v>0.08</v>
      </c>
      <c r="G6631">
        <v>0.2</v>
      </c>
      <c r="H6631" s="1" t="str">
        <f>HYPERLINK("http://www.weizmann.ac.il/complex/compphys/software/geview/data/figures/204223_at.png","Figure")</f>
        <v>Figure</v>
      </c>
      <c r="I6631">
        <v>1.28</v>
      </c>
      <c r="J6631">
        <v>7.0999999999999994E-2</v>
      </c>
      <c r="K6631">
        <v>1.1599999999999999</v>
      </c>
      <c r="L6631">
        <v>0.27</v>
      </c>
      <c r="M6631">
        <v>0.90100000000000002</v>
      </c>
      <c r="N6631">
        <v>0.53</v>
      </c>
    </row>
    <row r="6632" spans="1:14" x14ac:dyDescent="0.25">
      <c r="A6632" t="s">
        <v>11885</v>
      </c>
      <c r="B6632" t="s">
        <v>11886</v>
      </c>
      <c r="C6632" s="1" t="str">
        <f>HYPERLINK("http://www.genecards.org/cgi-bin/carddisp.pl?gene=LOC79999","GeneCards")</f>
        <v>GeneCards</v>
      </c>
      <c r="D6632" s="1" t="str">
        <f>HYPERLINK("http://genome-euro.ucsc.edu/cgi-bin/hgTracks?position=220849_at","UCSC")</f>
        <v>UCSC</v>
      </c>
      <c r="E6632" s="1" t="str">
        <f>HYPERLINK("http://www.ncbi.nlm.nih.gov/gene/?term=LOC79999","NCBI")</f>
        <v>NCBI</v>
      </c>
      <c r="F6632">
        <v>0.08</v>
      </c>
      <c r="G6632">
        <v>0.2</v>
      </c>
      <c r="H6632" s="1" t="str">
        <f>HYPERLINK("http://www.weizmann.ac.il/complex/compphys/software/geview/data/figures/220849_at.png","Figure")</f>
        <v>Figure</v>
      </c>
      <c r="I6632">
        <v>1.26</v>
      </c>
      <c r="J6632">
        <v>7.9000000000000001E-2</v>
      </c>
      <c r="K6632">
        <v>1.05</v>
      </c>
      <c r="L6632">
        <v>0.82</v>
      </c>
      <c r="M6632">
        <v>0.83399999999999996</v>
      </c>
      <c r="N6632">
        <v>0.15</v>
      </c>
    </row>
    <row r="6633" spans="1:14" x14ac:dyDescent="0.25">
      <c r="A6633" t="s">
        <v>11887</v>
      </c>
      <c r="B6633" t="s">
        <v>11888</v>
      </c>
      <c r="C6633" s="1" t="str">
        <f>HYPERLINK("http://www.genecards.org/cgi-bin/carddisp.pl?gene=HLTF","GeneCards")</f>
        <v>GeneCards</v>
      </c>
      <c r="D6633" s="1" t="str">
        <f>HYPERLINK("http://genome-euro.ucsc.edu/cgi-bin/hgTracks?position=202983_at","UCSC")</f>
        <v>UCSC</v>
      </c>
      <c r="E6633" s="1" t="str">
        <f>HYPERLINK("http://www.ncbi.nlm.nih.gov/gene/?term=HLTF","NCBI")</f>
        <v>NCBI</v>
      </c>
      <c r="F6633">
        <v>0.08</v>
      </c>
      <c r="G6633">
        <v>0.2</v>
      </c>
      <c r="H6633" s="1" t="str">
        <f>HYPERLINK("http://www.weizmann.ac.il/complex/compphys/software/geview/data/figures/202983_at.png","Figure")</f>
        <v>Figure</v>
      </c>
      <c r="I6633">
        <v>0.85099999999999998</v>
      </c>
      <c r="J6633">
        <v>0.76</v>
      </c>
      <c r="K6633">
        <v>1.39</v>
      </c>
      <c r="L6633">
        <v>0.25</v>
      </c>
      <c r="M6633">
        <v>1.64</v>
      </c>
      <c r="N6633">
        <v>8.5000000000000006E-2</v>
      </c>
    </row>
    <row r="6634" spans="1:14" x14ac:dyDescent="0.25">
      <c r="A6634" t="s">
        <v>11889</v>
      </c>
      <c r="B6634" t="s">
        <v>4129</v>
      </c>
      <c r="C6634" s="1" t="str">
        <f>HYPERLINK("http://www.genecards.org/cgi-bin/carddisp.pl?gene=SH3GLB1","GeneCards")</f>
        <v>GeneCards</v>
      </c>
      <c r="D6634" s="1" t="str">
        <f>HYPERLINK("http://genome-euro.ucsc.edu/cgi-bin/hgTracks?position=209090_s_at","UCSC")</f>
        <v>UCSC</v>
      </c>
      <c r="E6634" s="1" t="str">
        <f>HYPERLINK("http://www.ncbi.nlm.nih.gov/gene/?term=SH3GLB1","NCBI")</f>
        <v>NCBI</v>
      </c>
      <c r="F6634">
        <v>0.08</v>
      </c>
      <c r="G6634">
        <v>0.2</v>
      </c>
      <c r="H6634" s="1" t="str">
        <f>HYPERLINK("http://www.weizmann.ac.il/complex/compphys/software/geview/data/figures/209090_s_at.png","Figure")</f>
        <v>Figure</v>
      </c>
      <c r="I6634">
        <v>0.59299999999999997</v>
      </c>
      <c r="J6634">
        <v>6.6000000000000003E-2</v>
      </c>
      <c r="K6634">
        <v>0.78</v>
      </c>
      <c r="L6634">
        <v>0.39</v>
      </c>
      <c r="M6634">
        <v>1.32</v>
      </c>
      <c r="N6634">
        <v>0.37</v>
      </c>
    </row>
    <row r="6635" spans="1:14" x14ac:dyDescent="0.25">
      <c r="A6635" t="s">
        <v>11890</v>
      </c>
      <c r="B6635" t="s">
        <v>11891</v>
      </c>
      <c r="C6635" s="1" t="str">
        <f>HYPERLINK("http://www.genecards.org/cgi-bin/carddisp.pl?gene=PIK3CG","GeneCards")</f>
        <v>GeneCards</v>
      </c>
      <c r="D6635" s="1" t="str">
        <f>HYPERLINK("http://genome-euro.ucsc.edu/cgi-bin/hgTracks?position=206369_s_at","UCSC")</f>
        <v>UCSC</v>
      </c>
      <c r="E6635" s="1" t="str">
        <f>HYPERLINK("http://www.ncbi.nlm.nih.gov/gene/?term=PIK3CG","NCBI")</f>
        <v>NCBI</v>
      </c>
      <c r="F6635">
        <v>0.08</v>
      </c>
      <c r="G6635">
        <v>0.2</v>
      </c>
      <c r="H6635" s="1" t="str">
        <f>HYPERLINK("http://www.weizmann.ac.il/complex/compphys/software/geview/data/figures/206369_s_at.png","Figure")</f>
        <v>Figure</v>
      </c>
      <c r="I6635">
        <v>0.98499999999999999</v>
      </c>
      <c r="J6635">
        <v>0.99</v>
      </c>
      <c r="K6635">
        <v>0.83399999999999996</v>
      </c>
      <c r="L6635">
        <v>0.11</v>
      </c>
      <c r="M6635">
        <v>0.84599999999999997</v>
      </c>
      <c r="N6635">
        <v>0.18</v>
      </c>
    </row>
    <row r="6636" spans="1:14" x14ac:dyDescent="0.25">
      <c r="A6636" t="s">
        <v>11892</v>
      </c>
      <c r="B6636" t="s">
        <v>9663</v>
      </c>
      <c r="C6636" s="1" t="str">
        <f>HYPERLINK("http://www.genecards.org/cgi-bin/carddisp.pl?gene=HRK","GeneCards")</f>
        <v>GeneCards</v>
      </c>
      <c r="D6636" s="1" t="str">
        <f>HYPERLINK("http://genome-euro.ucsc.edu/cgi-bin/hgTracks?position=206865_at","UCSC")</f>
        <v>UCSC</v>
      </c>
      <c r="E6636" s="1" t="str">
        <f>HYPERLINK("http://www.ncbi.nlm.nih.gov/gene/?term=HRK","NCBI")</f>
        <v>NCBI</v>
      </c>
      <c r="F6636">
        <v>0.08</v>
      </c>
      <c r="G6636">
        <v>0.2</v>
      </c>
      <c r="H6636" s="1" t="str">
        <f>HYPERLINK("http://www.weizmann.ac.il/complex/compphys/software/geview/data/figures/206865_at.png","Figure")</f>
        <v>Figure</v>
      </c>
      <c r="I6636">
        <v>0.95899999999999996</v>
      </c>
      <c r="J6636">
        <v>0.82</v>
      </c>
      <c r="K6636">
        <v>0.86399999999999999</v>
      </c>
      <c r="L6636">
        <v>7.9000000000000001E-2</v>
      </c>
      <c r="M6636">
        <v>0.90100000000000002</v>
      </c>
      <c r="N6636">
        <v>0.28999999999999998</v>
      </c>
    </row>
    <row r="6637" spans="1:14" x14ac:dyDescent="0.25">
      <c r="A6637" t="s">
        <v>11893</v>
      </c>
      <c r="B6637" t="s">
        <v>11894</v>
      </c>
      <c r="C6637" s="1" t="str">
        <f>HYPERLINK("http://www.genecards.org/cgi-bin/carddisp.pl?gene=MFGE8","GeneCards")</f>
        <v>GeneCards</v>
      </c>
      <c r="D6637" s="1" t="str">
        <f>HYPERLINK("http://genome-euro.ucsc.edu/cgi-bin/hgTracks?position=210605_s_at","UCSC")</f>
        <v>UCSC</v>
      </c>
      <c r="E6637" s="1" t="str">
        <f>HYPERLINK("http://www.ncbi.nlm.nih.gov/gene/?term=MFGE8","NCBI")</f>
        <v>NCBI</v>
      </c>
      <c r="F6637">
        <v>0.08</v>
      </c>
      <c r="G6637">
        <v>0.2</v>
      </c>
      <c r="H6637" s="1" t="str">
        <f>HYPERLINK("http://www.weizmann.ac.il/complex/compphys/software/geview/data/figures/210605_s_at.png","Figure")</f>
        <v>Figure</v>
      </c>
      <c r="I6637">
        <v>1.24</v>
      </c>
      <c r="J6637">
        <v>6.9000000000000006E-2</v>
      </c>
      <c r="K6637">
        <v>1.07</v>
      </c>
      <c r="L6637">
        <v>0.63</v>
      </c>
      <c r="M6637">
        <v>0.86599999999999999</v>
      </c>
      <c r="N6637">
        <v>0.22</v>
      </c>
    </row>
    <row r="6638" spans="1:14" x14ac:dyDescent="0.25">
      <c r="A6638" t="s">
        <v>11895</v>
      </c>
      <c r="B6638" t="s">
        <v>11896</v>
      </c>
      <c r="C6638" s="1" t="str">
        <f>HYPERLINK("http://www.genecards.org/cgi-bin/carddisp.pl?gene=SLC5A6","GeneCards")</f>
        <v>GeneCards</v>
      </c>
      <c r="D6638" s="1" t="str">
        <f>HYPERLINK("http://genome-euro.ucsc.edu/cgi-bin/hgTracks?position=204087_s_at","UCSC")</f>
        <v>UCSC</v>
      </c>
      <c r="E6638" s="1" t="str">
        <f>HYPERLINK("http://www.ncbi.nlm.nih.gov/gene/?term=SLC5A6","NCBI")</f>
        <v>NCBI</v>
      </c>
      <c r="F6638">
        <v>0.08</v>
      </c>
      <c r="G6638">
        <v>0.2</v>
      </c>
      <c r="H6638" s="1" t="str">
        <f>HYPERLINK("http://www.weizmann.ac.il/complex/compphys/software/geview/data/figures/204087_s_at.png","Figure")</f>
        <v>Figure</v>
      </c>
      <c r="I6638">
        <v>1.22</v>
      </c>
      <c r="J6638">
        <v>0.18</v>
      </c>
      <c r="K6638">
        <v>0.96399999999999997</v>
      </c>
      <c r="L6638">
        <v>0.92</v>
      </c>
      <c r="M6638">
        <v>0.79100000000000004</v>
      </c>
      <c r="N6638">
        <v>7.4999999999999997E-2</v>
      </c>
    </row>
    <row r="6639" spans="1:14" x14ac:dyDescent="0.25">
      <c r="A6639" t="s">
        <v>11897</v>
      </c>
      <c r="B6639" t="s">
        <v>11898</v>
      </c>
      <c r="C6639" s="1" t="str">
        <f>HYPERLINK("http://www.genecards.org/cgi-bin/carddisp.pl?gene=IGHD /// LOC100290059 /// LOC100292999","GeneCards")</f>
        <v>GeneCards</v>
      </c>
      <c r="D6639" s="1" t="str">
        <f>HYPERLINK("http://genome-euro.ucsc.edu/cgi-bin/hgTracks?position=214973_x_at","UCSC")</f>
        <v>UCSC</v>
      </c>
      <c r="E6639" s="1" t="str">
        <f>HYPERLINK("http://www.ncbi.nlm.nih.gov/gene/?term=IGHD /// LOC100290059 /// LOC100292999","NCBI")</f>
        <v>NCBI</v>
      </c>
      <c r="F6639">
        <v>0.08</v>
      </c>
      <c r="G6639">
        <v>0.2</v>
      </c>
      <c r="H6639" s="1" t="str">
        <f>HYPERLINK("http://www.weizmann.ac.il/complex/compphys/software/geview/data/figures/214973_x_at.png","Figure")</f>
        <v>Figure</v>
      </c>
      <c r="I6639">
        <v>1.24</v>
      </c>
      <c r="J6639">
        <v>9.8000000000000004E-2</v>
      </c>
      <c r="K6639">
        <v>1.02</v>
      </c>
      <c r="L6639">
        <v>0.96</v>
      </c>
      <c r="M6639">
        <v>0.82599999999999996</v>
      </c>
      <c r="N6639">
        <v>0.11</v>
      </c>
    </row>
    <row r="6640" spans="1:14" x14ac:dyDescent="0.25">
      <c r="A6640" t="s">
        <v>11899</v>
      </c>
      <c r="B6640" t="s">
        <v>11900</v>
      </c>
      <c r="C6640" s="1" t="str">
        <f>HYPERLINK("http://www.genecards.org/cgi-bin/carddisp.pl?gene=NCF1 /// NCF1B /// NCF1C","GeneCards")</f>
        <v>GeneCards</v>
      </c>
      <c r="D6640" s="1" t="str">
        <f>HYPERLINK("http://genome-euro.ucsc.edu/cgi-bin/hgTracks?position=204961_s_at","UCSC")</f>
        <v>UCSC</v>
      </c>
      <c r="E6640" s="1" t="str">
        <f>HYPERLINK("http://www.ncbi.nlm.nih.gov/gene/?term=NCF1 /// NCF1B /// NCF1C","NCBI")</f>
        <v>NCBI</v>
      </c>
      <c r="F6640">
        <v>0.08</v>
      </c>
      <c r="G6640">
        <v>0.2</v>
      </c>
      <c r="H6640" s="1" t="str">
        <f>HYPERLINK("http://www.weizmann.ac.il/complex/compphys/software/geview/data/figures/204961_s_at.png","Figure")</f>
        <v>Figure</v>
      </c>
      <c r="I6640">
        <v>0.90400000000000003</v>
      </c>
      <c r="J6640">
        <v>0.95</v>
      </c>
      <c r="K6640">
        <v>1.75</v>
      </c>
      <c r="L6640">
        <v>0.16</v>
      </c>
      <c r="M6640">
        <v>1.94</v>
      </c>
      <c r="N6640">
        <v>0.11</v>
      </c>
    </row>
    <row r="6641" spans="1:14" x14ac:dyDescent="0.25">
      <c r="A6641" t="s">
        <v>11901</v>
      </c>
      <c r="B6641" t="s">
        <v>11346</v>
      </c>
      <c r="C6641" s="1" t="str">
        <f>HYPERLINK("http://www.genecards.org/cgi-bin/carddisp.pl?gene=KCNG1","GeneCards")</f>
        <v>GeneCards</v>
      </c>
      <c r="D6641" s="1" t="str">
        <f>HYPERLINK("http://genome-euro.ucsc.edu/cgi-bin/hgTracks?position=211053_at","UCSC")</f>
        <v>UCSC</v>
      </c>
      <c r="E6641" s="1" t="str">
        <f>HYPERLINK("http://www.ncbi.nlm.nih.gov/gene/?term=KCNG1","NCBI")</f>
        <v>NCBI</v>
      </c>
      <c r="F6641">
        <v>0.08</v>
      </c>
      <c r="G6641">
        <v>0.2</v>
      </c>
      <c r="H6641" s="1" t="str">
        <f>HYPERLINK("http://www.weizmann.ac.il/complex/compphys/software/geview/data/figures/211053_at.png","Figure")</f>
        <v>Figure</v>
      </c>
      <c r="I6641">
        <v>1.24</v>
      </c>
      <c r="J6641">
        <v>0.12</v>
      </c>
      <c r="K6641">
        <v>0.998</v>
      </c>
      <c r="L6641">
        <v>1</v>
      </c>
      <c r="M6641">
        <v>0.80600000000000005</v>
      </c>
      <c r="N6641">
        <v>9.1999999999999998E-2</v>
      </c>
    </row>
    <row r="6642" spans="1:14" x14ac:dyDescent="0.25">
      <c r="A6642" t="s">
        <v>11902</v>
      </c>
      <c r="B6642" t="s">
        <v>1955</v>
      </c>
      <c r="C6642" s="1" t="str">
        <f>HYPERLINK("http://www.genecards.org/cgi-bin/carddisp.pl?gene=FBLN1","GeneCards")</f>
        <v>GeneCards</v>
      </c>
      <c r="D6642" s="1" t="str">
        <f>HYPERLINK("http://genome-euro.ucsc.edu/cgi-bin/hgTracks?position=207834_at","UCSC")</f>
        <v>UCSC</v>
      </c>
      <c r="E6642" s="1" t="str">
        <f>HYPERLINK("http://www.ncbi.nlm.nih.gov/gene/?term=FBLN1","NCBI")</f>
        <v>NCBI</v>
      </c>
      <c r="F6642">
        <v>0.08</v>
      </c>
      <c r="G6642">
        <v>0.2</v>
      </c>
      <c r="H6642" s="1" t="str">
        <f>HYPERLINK("http://www.weizmann.ac.il/complex/compphys/software/geview/data/figures/207834_at.png","Figure")</f>
        <v>Figure</v>
      </c>
      <c r="I6642">
        <v>1.22</v>
      </c>
      <c r="J6642">
        <v>8.1000000000000003E-2</v>
      </c>
      <c r="K6642">
        <v>1.04</v>
      </c>
      <c r="L6642">
        <v>0.84</v>
      </c>
      <c r="M6642">
        <v>0.85299999999999998</v>
      </c>
      <c r="N6642">
        <v>0.15</v>
      </c>
    </row>
    <row r="6643" spans="1:14" x14ac:dyDescent="0.25">
      <c r="A6643" t="s">
        <v>11903</v>
      </c>
      <c r="B6643" t="s">
        <v>8868</v>
      </c>
      <c r="C6643" s="1" t="str">
        <f>HYPERLINK("http://www.genecards.org/cgi-bin/carddisp.pl?gene=SMCHD1","GeneCards")</f>
        <v>GeneCards</v>
      </c>
      <c r="D6643" s="1" t="str">
        <f>HYPERLINK("http://genome-euro.ucsc.edu/cgi-bin/hgTracks?position=212579_at","UCSC")</f>
        <v>UCSC</v>
      </c>
      <c r="E6643" s="1" t="str">
        <f>HYPERLINK("http://www.ncbi.nlm.nih.gov/gene/?term=SMCHD1","NCBI")</f>
        <v>NCBI</v>
      </c>
      <c r="F6643">
        <v>0.08</v>
      </c>
      <c r="G6643">
        <v>0.2</v>
      </c>
      <c r="H6643" s="1" t="str">
        <f>HYPERLINK("http://www.weizmann.ac.il/complex/compphys/software/geview/data/figures/212579_at.png","Figure")</f>
        <v>Figure</v>
      </c>
      <c r="I6643">
        <v>0.57499999999999996</v>
      </c>
      <c r="J6643">
        <v>0.13</v>
      </c>
      <c r="K6643">
        <v>0.59799999999999998</v>
      </c>
      <c r="L6643">
        <v>0.1</v>
      </c>
      <c r="M6643">
        <v>1.04</v>
      </c>
      <c r="N6643">
        <v>0.99</v>
      </c>
    </row>
    <row r="6644" spans="1:14" x14ac:dyDescent="0.25">
      <c r="A6644" t="s">
        <v>11904</v>
      </c>
      <c r="B6644" t="s">
        <v>11905</v>
      </c>
      <c r="C6644" s="1" t="str">
        <f>HYPERLINK("http://www.genecards.org/cgi-bin/carddisp.pl?gene=RIMS1","GeneCards")</f>
        <v>GeneCards</v>
      </c>
      <c r="D6644" s="1" t="str">
        <f>HYPERLINK("http://genome-euro.ucsc.edu/cgi-bin/hgTracks?position=216184_s_at","UCSC")</f>
        <v>UCSC</v>
      </c>
      <c r="E6644" s="1" t="str">
        <f>HYPERLINK("http://www.ncbi.nlm.nih.gov/gene/?term=RIMS1","NCBI")</f>
        <v>NCBI</v>
      </c>
      <c r="F6644">
        <v>0.08</v>
      </c>
      <c r="G6644">
        <v>0.21</v>
      </c>
      <c r="H6644" s="1" t="str">
        <f>HYPERLINK("http://www.weizmann.ac.il/complex/compphys/software/geview/data/figures/216184_s_at.png","Figure")</f>
        <v>Figure</v>
      </c>
      <c r="I6644">
        <v>1.1399999999999999</v>
      </c>
      <c r="J6644">
        <v>6.7000000000000004E-2</v>
      </c>
      <c r="K6644">
        <v>1.07</v>
      </c>
      <c r="L6644">
        <v>0.37</v>
      </c>
      <c r="M6644">
        <v>0.93400000000000005</v>
      </c>
      <c r="N6644">
        <v>0.4</v>
      </c>
    </row>
    <row r="6645" spans="1:14" x14ac:dyDescent="0.25">
      <c r="A6645" t="s">
        <v>11906</v>
      </c>
      <c r="B6645" t="s">
        <v>11907</v>
      </c>
      <c r="C6645" s="1" t="str">
        <f>HYPERLINK("http://www.genecards.org/cgi-bin/carddisp.pl?gene=CEP192","GeneCards")</f>
        <v>GeneCards</v>
      </c>
      <c r="D6645" s="1" t="str">
        <f>HYPERLINK("http://genome-euro.ucsc.edu/cgi-bin/hgTracks?position=218827_s_at","UCSC")</f>
        <v>UCSC</v>
      </c>
      <c r="E6645" s="1" t="str">
        <f>HYPERLINK("http://www.ncbi.nlm.nih.gov/gene/?term=CEP192","NCBI")</f>
        <v>NCBI</v>
      </c>
      <c r="F6645">
        <v>0.08</v>
      </c>
      <c r="G6645">
        <v>0.21</v>
      </c>
      <c r="H6645" s="1" t="str">
        <f>HYPERLINK("http://www.weizmann.ac.il/complex/compphys/software/geview/data/figures/218827_s_at.png","Figure")</f>
        <v>Figure</v>
      </c>
      <c r="I6645">
        <v>0.61799999999999999</v>
      </c>
      <c r="J6645">
        <v>8.3000000000000004E-2</v>
      </c>
      <c r="K6645">
        <v>0.91200000000000003</v>
      </c>
      <c r="L6645">
        <v>0.86</v>
      </c>
      <c r="M6645">
        <v>1.47</v>
      </c>
      <c r="N6645">
        <v>0.14000000000000001</v>
      </c>
    </row>
    <row r="6646" spans="1:14" x14ac:dyDescent="0.25">
      <c r="A6646" t="s">
        <v>11908</v>
      </c>
      <c r="B6646" t="s">
        <v>11909</v>
      </c>
      <c r="C6646" s="1" t="str">
        <f>HYPERLINK("http://www.genecards.org/cgi-bin/carddisp.pl?gene=YME1L1","GeneCards")</f>
        <v>GeneCards</v>
      </c>
      <c r="D6646" s="1" t="str">
        <f>HYPERLINK("http://genome-euro.ucsc.edu/cgi-bin/hgTracks?position=201352_at","UCSC")</f>
        <v>UCSC</v>
      </c>
      <c r="E6646" s="1" t="str">
        <f>HYPERLINK("http://www.ncbi.nlm.nih.gov/gene/?term=YME1L1","NCBI")</f>
        <v>NCBI</v>
      </c>
      <c r="F6646">
        <v>0.08</v>
      </c>
      <c r="G6646">
        <v>0.21</v>
      </c>
      <c r="H6646" s="1" t="str">
        <f>HYPERLINK("http://www.weizmann.ac.il/complex/compphys/software/geview/data/figures/201352_at.png","Figure")</f>
        <v>Figure</v>
      </c>
      <c r="I6646">
        <v>0.68100000000000005</v>
      </c>
      <c r="J6646">
        <v>0.12</v>
      </c>
      <c r="K6646">
        <v>0.71499999999999997</v>
      </c>
      <c r="L6646">
        <v>0.12</v>
      </c>
      <c r="M6646">
        <v>1.05</v>
      </c>
      <c r="N6646">
        <v>0.95</v>
      </c>
    </row>
    <row r="6647" spans="1:14" x14ac:dyDescent="0.25">
      <c r="A6647" t="s">
        <v>11910</v>
      </c>
      <c r="B6647" t="s">
        <v>11911</v>
      </c>
      <c r="C6647" s="1" t="str">
        <f>HYPERLINK("http://www.genecards.org/cgi-bin/carddisp.pl?gene=HSPBP1","GeneCards")</f>
        <v>GeneCards</v>
      </c>
      <c r="D6647" s="1" t="str">
        <f>HYPERLINK("http://genome-euro.ucsc.edu/cgi-bin/hgTracks?position=202415_s_at","UCSC")</f>
        <v>UCSC</v>
      </c>
      <c r="E6647" s="1" t="str">
        <f>HYPERLINK("http://www.ncbi.nlm.nih.gov/gene/?term=HSPBP1","NCBI")</f>
        <v>NCBI</v>
      </c>
      <c r="F6647">
        <v>0.08</v>
      </c>
      <c r="G6647">
        <v>0.21</v>
      </c>
      <c r="H6647" s="1" t="str">
        <f>HYPERLINK("http://www.weizmann.ac.il/complex/compphys/software/geview/data/figures/202415_s_at.png","Figure")</f>
        <v>Figure</v>
      </c>
      <c r="I6647">
        <v>1.3</v>
      </c>
      <c r="J6647">
        <v>6.6000000000000003E-2</v>
      </c>
      <c r="K6647">
        <v>1.1200000000000001</v>
      </c>
      <c r="L6647">
        <v>0.46</v>
      </c>
      <c r="M6647">
        <v>0.86299999999999999</v>
      </c>
      <c r="N6647">
        <v>0.32</v>
      </c>
    </row>
    <row r="6648" spans="1:14" x14ac:dyDescent="0.25">
      <c r="A6648" t="s">
        <v>11912</v>
      </c>
      <c r="B6648" t="s">
        <v>11913</v>
      </c>
      <c r="C6648" s="1" t="str">
        <f>HYPERLINK("http://www.genecards.org/cgi-bin/carddisp.pl?gene=CTRC","GeneCards")</f>
        <v>GeneCards</v>
      </c>
      <c r="D6648" s="1" t="str">
        <f>HYPERLINK("http://genome-euro.ucsc.edu/cgi-bin/hgTracks?position=206297_at","UCSC")</f>
        <v>UCSC</v>
      </c>
      <c r="E6648" s="1" t="str">
        <f>HYPERLINK("http://www.ncbi.nlm.nih.gov/gene/?term=CTRC","NCBI")</f>
        <v>NCBI</v>
      </c>
      <c r="F6648">
        <v>0.08</v>
      </c>
      <c r="G6648">
        <v>0.21</v>
      </c>
      <c r="H6648" s="1" t="str">
        <f>HYPERLINK("http://www.weizmann.ac.il/complex/compphys/software/geview/data/figures/206297_at.png","Figure")</f>
        <v>Figure</v>
      </c>
      <c r="I6648">
        <v>1.1499999999999999</v>
      </c>
      <c r="J6648">
        <v>0.17</v>
      </c>
      <c r="K6648">
        <v>0.97699999999999998</v>
      </c>
      <c r="L6648">
        <v>0.93</v>
      </c>
      <c r="M6648">
        <v>0.84699999999999998</v>
      </c>
      <c r="N6648">
        <v>7.5999999999999998E-2</v>
      </c>
    </row>
    <row r="6649" spans="1:14" x14ac:dyDescent="0.25">
      <c r="A6649" t="s">
        <v>11914</v>
      </c>
      <c r="B6649" t="s">
        <v>11915</v>
      </c>
      <c r="C6649" s="1" t="str">
        <f>HYPERLINK("http://www.genecards.org/cgi-bin/carddisp.pl?gene=FKBP8","GeneCards")</f>
        <v>GeneCards</v>
      </c>
      <c r="D6649" s="1" t="str">
        <f>HYPERLINK("http://genome-euro.ucsc.edu/cgi-bin/hgTracks?position=208255_s_at","UCSC")</f>
        <v>UCSC</v>
      </c>
      <c r="E6649" s="1" t="str">
        <f>HYPERLINK("http://www.ncbi.nlm.nih.gov/gene/?term=FKBP8","NCBI")</f>
        <v>NCBI</v>
      </c>
      <c r="F6649">
        <v>0.08</v>
      </c>
      <c r="G6649">
        <v>0.21</v>
      </c>
      <c r="H6649" s="1" t="str">
        <f>HYPERLINK("http://www.weizmann.ac.il/complex/compphys/software/geview/data/figures/208255_s_at.png","Figure")</f>
        <v>Figure</v>
      </c>
      <c r="I6649">
        <v>1.32</v>
      </c>
      <c r="J6649">
        <v>0.16</v>
      </c>
      <c r="K6649">
        <v>1.33</v>
      </c>
      <c r="L6649">
        <v>8.8999999999999996E-2</v>
      </c>
      <c r="M6649">
        <v>1.01</v>
      </c>
      <c r="N6649">
        <v>1</v>
      </c>
    </row>
    <row r="6650" spans="1:14" x14ac:dyDescent="0.25">
      <c r="A6650" t="s">
        <v>11916</v>
      </c>
      <c r="B6650" t="s">
        <v>3137</v>
      </c>
      <c r="C6650" s="1" t="str">
        <f>HYPERLINK("http://www.genecards.org/cgi-bin/carddisp.pl?gene=HSPA4","GeneCards")</f>
        <v>GeneCards</v>
      </c>
      <c r="D6650" s="1" t="str">
        <f>HYPERLINK("http://genome-euro.ucsc.edu/cgi-bin/hgTracks?position=211016_x_at","UCSC")</f>
        <v>UCSC</v>
      </c>
      <c r="E6650" s="1" t="str">
        <f>HYPERLINK("http://www.ncbi.nlm.nih.gov/gene/?term=HSPA4","NCBI")</f>
        <v>NCBI</v>
      </c>
      <c r="F6650">
        <v>0.08</v>
      </c>
      <c r="G6650">
        <v>0.21</v>
      </c>
      <c r="H6650" s="1" t="str">
        <f>HYPERLINK("http://www.weizmann.ac.il/complex/compphys/software/geview/data/figures/211016_x_at.png","Figure")</f>
        <v>Figure</v>
      </c>
      <c r="I6650">
        <v>0.997</v>
      </c>
      <c r="J6650">
        <v>1</v>
      </c>
      <c r="K6650">
        <v>0.8</v>
      </c>
      <c r="L6650">
        <v>0.12</v>
      </c>
      <c r="M6650">
        <v>0.80300000000000005</v>
      </c>
      <c r="N6650">
        <v>0.16</v>
      </c>
    </row>
    <row r="6651" spans="1:14" x14ac:dyDescent="0.25">
      <c r="A6651" t="s">
        <v>11917</v>
      </c>
      <c r="B6651" t="s">
        <v>11722</v>
      </c>
      <c r="C6651" s="1" t="str">
        <f>HYPERLINK("http://www.genecards.org/cgi-bin/carddisp.pl?gene=GRN","GeneCards")</f>
        <v>GeneCards</v>
      </c>
      <c r="D6651" s="1" t="str">
        <f>HYPERLINK("http://genome-euro.ucsc.edu/cgi-bin/hgTracks?position=211284_s_at","UCSC")</f>
        <v>UCSC</v>
      </c>
      <c r="E6651" s="1" t="str">
        <f>HYPERLINK("http://www.ncbi.nlm.nih.gov/gene/?term=GRN","NCBI")</f>
        <v>NCBI</v>
      </c>
      <c r="F6651">
        <v>0.08</v>
      </c>
      <c r="G6651">
        <v>0.21</v>
      </c>
      <c r="H6651" s="1" t="str">
        <f>HYPERLINK("http://www.weizmann.ac.il/complex/compphys/software/geview/data/figures/211284_s_at.png","Figure")</f>
        <v>Figure</v>
      </c>
      <c r="I6651">
        <v>0.878</v>
      </c>
      <c r="J6651">
        <v>0.71</v>
      </c>
      <c r="K6651">
        <v>1.25</v>
      </c>
      <c r="L6651">
        <v>0.28000000000000003</v>
      </c>
      <c r="M6651">
        <v>1.43</v>
      </c>
      <c r="N6651">
        <v>8.1000000000000003E-2</v>
      </c>
    </row>
    <row r="6652" spans="1:14" x14ac:dyDescent="0.25">
      <c r="A6652" t="s">
        <v>11918</v>
      </c>
      <c r="B6652" t="s">
        <v>11919</v>
      </c>
      <c r="C6652" s="1" t="str">
        <f>HYPERLINK("http://www.genecards.org/cgi-bin/carddisp.pl?gene=KIAA0892","GeneCards")</f>
        <v>GeneCards</v>
      </c>
      <c r="D6652" s="1" t="str">
        <f>HYPERLINK("http://genome-euro.ucsc.edu/cgi-bin/hgTracks?position=212505_s_at","UCSC")</f>
        <v>UCSC</v>
      </c>
      <c r="E6652" s="1" t="str">
        <f>HYPERLINK("http://www.ncbi.nlm.nih.gov/gene/?term=KIAA0892","NCBI")</f>
        <v>NCBI</v>
      </c>
      <c r="F6652">
        <v>0.08</v>
      </c>
      <c r="G6652">
        <v>0.21</v>
      </c>
      <c r="H6652" s="1" t="str">
        <f>HYPERLINK("http://www.weizmann.ac.il/complex/compphys/software/geview/data/figures/212505_s_at.png","Figure")</f>
        <v>Figure</v>
      </c>
      <c r="I6652">
        <v>1.1000000000000001</v>
      </c>
      <c r="J6652">
        <v>0.64</v>
      </c>
      <c r="K6652">
        <v>0.86899999999999999</v>
      </c>
      <c r="L6652">
        <v>0.32</v>
      </c>
      <c r="M6652">
        <v>0.78900000000000003</v>
      </c>
      <c r="N6652">
        <v>7.6999999999999999E-2</v>
      </c>
    </row>
    <row r="6653" spans="1:14" x14ac:dyDescent="0.25">
      <c r="A6653" t="s">
        <v>11920</v>
      </c>
      <c r="B6653" t="s">
        <v>11921</v>
      </c>
      <c r="C6653" s="1" t="str">
        <f>HYPERLINK("http://www.genecards.org/cgi-bin/carddisp.pl?gene=FRMD1","GeneCards")</f>
        <v>GeneCards</v>
      </c>
      <c r="D6653" s="1" t="str">
        <f>HYPERLINK("http://genome-euro.ucsc.edu/cgi-bin/hgTracks?position=220819_at","UCSC")</f>
        <v>UCSC</v>
      </c>
      <c r="E6653" s="1" t="str">
        <f>HYPERLINK("http://www.ncbi.nlm.nih.gov/gene/?term=FRMD1","NCBI")</f>
        <v>NCBI</v>
      </c>
      <c r="F6653">
        <v>0.08</v>
      </c>
      <c r="G6653">
        <v>0.21</v>
      </c>
      <c r="H6653" s="1" t="str">
        <f>HYPERLINK("http://www.weizmann.ac.il/complex/compphys/software/geview/data/figures/220819_at.png","Figure")</f>
        <v>Figure</v>
      </c>
      <c r="I6653">
        <v>1.31</v>
      </c>
      <c r="J6653">
        <v>6.9000000000000006E-2</v>
      </c>
      <c r="K6653">
        <v>1.0900000000000001</v>
      </c>
      <c r="L6653">
        <v>0.63</v>
      </c>
      <c r="M6653">
        <v>0.83499999999999996</v>
      </c>
      <c r="N6653">
        <v>0.22</v>
      </c>
    </row>
    <row r="6654" spans="1:14" x14ac:dyDescent="0.25">
      <c r="A6654" t="s">
        <v>11922</v>
      </c>
      <c r="B6654" t="s">
        <v>11923</v>
      </c>
      <c r="C6654" s="1" t="str">
        <f>HYPERLINK("http://www.genecards.org/cgi-bin/carddisp.pl?gene=COPS5","GeneCards")</f>
        <v>GeneCards</v>
      </c>
      <c r="D6654" s="1" t="str">
        <f>HYPERLINK("http://genome-euro.ucsc.edu/cgi-bin/hgTracks?position=201652_at","UCSC")</f>
        <v>UCSC</v>
      </c>
      <c r="E6654" s="1" t="str">
        <f>HYPERLINK("http://www.ncbi.nlm.nih.gov/gene/?term=COPS5","NCBI")</f>
        <v>NCBI</v>
      </c>
      <c r="F6654">
        <v>0.08</v>
      </c>
      <c r="G6654">
        <v>0.21</v>
      </c>
      <c r="H6654" s="1" t="str">
        <f>HYPERLINK("http://www.weizmann.ac.il/complex/compphys/software/geview/data/figures/201652_at.png","Figure")</f>
        <v>Figure</v>
      </c>
      <c r="I6654">
        <v>0.872</v>
      </c>
      <c r="J6654">
        <v>0.62</v>
      </c>
      <c r="K6654">
        <v>1.21</v>
      </c>
      <c r="L6654">
        <v>0.33</v>
      </c>
      <c r="M6654">
        <v>1.38</v>
      </c>
      <c r="N6654">
        <v>7.5999999999999998E-2</v>
      </c>
    </row>
    <row r="6655" spans="1:14" x14ac:dyDescent="0.25">
      <c r="A6655" t="s">
        <v>11924</v>
      </c>
      <c r="B6655" t="s">
        <v>1273</v>
      </c>
      <c r="C6655" s="1" t="str">
        <f>HYPERLINK("http://www.genecards.org/cgi-bin/carddisp.pl?gene=ACTG1","GeneCards")</f>
        <v>GeneCards</v>
      </c>
      <c r="D6655" s="1" t="str">
        <f>HYPERLINK("http://genome-euro.ucsc.edu/cgi-bin/hgTracks?position=213214_x_at","UCSC")</f>
        <v>UCSC</v>
      </c>
      <c r="E6655" s="1" t="str">
        <f>HYPERLINK("http://www.ncbi.nlm.nih.gov/gene/?term=ACTG1","NCBI")</f>
        <v>NCBI</v>
      </c>
      <c r="F6655">
        <v>0.08</v>
      </c>
      <c r="G6655">
        <v>0.21</v>
      </c>
      <c r="H6655" s="1" t="str">
        <f>HYPERLINK("http://www.weizmann.ac.il/complex/compphys/software/geview/data/figures/213214_x_at.png","Figure")</f>
        <v>Figure</v>
      </c>
      <c r="I6655">
        <v>1.1499999999999999</v>
      </c>
      <c r="J6655">
        <v>0.35</v>
      </c>
      <c r="K6655">
        <v>1.24</v>
      </c>
      <c r="L6655">
        <v>6.7000000000000004E-2</v>
      </c>
      <c r="M6655">
        <v>1.07</v>
      </c>
      <c r="N6655">
        <v>0.72</v>
      </c>
    </row>
    <row r="6656" spans="1:14" x14ac:dyDescent="0.25">
      <c r="A6656" t="s">
        <v>11925</v>
      </c>
      <c r="B6656" t="s">
        <v>11926</v>
      </c>
      <c r="C6656" s="1" t="str">
        <f>HYPERLINK("http://www.genecards.org/cgi-bin/carddisp.pl?gene=TBPL1","GeneCards")</f>
        <v>GeneCards</v>
      </c>
      <c r="D6656" s="1" t="str">
        <f>HYPERLINK("http://genome-euro.ucsc.edu/cgi-bin/hgTracks?position=208398_s_at","UCSC")</f>
        <v>UCSC</v>
      </c>
      <c r="E6656" s="1" t="str">
        <f>HYPERLINK("http://www.ncbi.nlm.nih.gov/gene/?term=TBPL1","NCBI")</f>
        <v>NCBI</v>
      </c>
      <c r="F6656">
        <v>0.08</v>
      </c>
      <c r="G6656">
        <v>0.21</v>
      </c>
      <c r="H6656" s="1" t="str">
        <f>HYPERLINK("http://www.weizmann.ac.il/complex/compphys/software/geview/data/figures/208398_s_at.png","Figure")</f>
        <v>Figure</v>
      </c>
      <c r="I6656">
        <v>0.58399999999999996</v>
      </c>
      <c r="J6656">
        <v>7.2999999999999995E-2</v>
      </c>
      <c r="K6656">
        <v>0.72299999999999998</v>
      </c>
      <c r="L6656">
        <v>0.25</v>
      </c>
      <c r="M6656">
        <v>1.24</v>
      </c>
      <c r="N6656">
        <v>0.56999999999999995</v>
      </c>
    </row>
    <row r="6657" spans="1:14" x14ac:dyDescent="0.25">
      <c r="A6657" t="s">
        <v>11927</v>
      </c>
      <c r="B6657" t="s">
        <v>11928</v>
      </c>
      <c r="C6657" s="1" t="str">
        <f>HYPERLINK("http://www.genecards.org/cgi-bin/carddisp.pl?gene=FKSG49 /// tcag7.1056","GeneCards")</f>
        <v>GeneCards</v>
      </c>
      <c r="D6657" s="1" t="str">
        <f>HYPERLINK("http://genome-euro.ucsc.edu/cgi-bin/hgTracks?position=208120_x_at","UCSC")</f>
        <v>UCSC</v>
      </c>
      <c r="E6657" s="1" t="str">
        <f>HYPERLINK("http://www.ncbi.nlm.nih.gov/gene/?term=FKSG49 /// tcag7.1056","NCBI")</f>
        <v>NCBI</v>
      </c>
      <c r="F6657">
        <v>0.08</v>
      </c>
      <c r="G6657">
        <v>0.21</v>
      </c>
      <c r="H6657" s="1" t="str">
        <f>HYPERLINK("http://www.weizmann.ac.il/complex/compphys/software/geview/data/figures/208120_x_at.png","Figure")</f>
        <v>Figure</v>
      </c>
      <c r="I6657">
        <v>1.72</v>
      </c>
      <c r="J6657">
        <v>7.0999999999999994E-2</v>
      </c>
      <c r="K6657">
        <v>1.18</v>
      </c>
      <c r="L6657">
        <v>0.67</v>
      </c>
      <c r="M6657">
        <v>0.68899999999999995</v>
      </c>
      <c r="N6657">
        <v>0.21</v>
      </c>
    </row>
    <row r="6658" spans="1:14" x14ac:dyDescent="0.25">
      <c r="A6658" t="s">
        <v>11929</v>
      </c>
      <c r="B6658" t="s">
        <v>11930</v>
      </c>
      <c r="C6658" s="1" t="str">
        <f>HYPERLINK("http://www.genecards.org/cgi-bin/carddisp.pl?gene=GTF3C3","GeneCards")</f>
        <v>GeneCards</v>
      </c>
      <c r="D6658" s="1" t="str">
        <f>HYPERLINK("http://genome-euro.ucsc.edu/cgi-bin/hgTracks?position=218343_s_at","UCSC")</f>
        <v>UCSC</v>
      </c>
      <c r="E6658" s="1" t="str">
        <f>HYPERLINK("http://www.ncbi.nlm.nih.gov/gene/?term=GTF3C3","NCBI")</f>
        <v>NCBI</v>
      </c>
      <c r="F6658">
        <v>0.08</v>
      </c>
      <c r="G6658">
        <v>0.21</v>
      </c>
      <c r="H6658" s="1" t="str">
        <f>HYPERLINK("http://www.weizmann.ac.il/complex/compphys/software/geview/data/figures/218343_s_at.png","Figure")</f>
        <v>Figure</v>
      </c>
      <c r="I6658">
        <v>0.94799999999999995</v>
      </c>
      <c r="J6658">
        <v>0.97</v>
      </c>
      <c r="K6658">
        <v>0.63400000000000001</v>
      </c>
      <c r="L6658">
        <v>0.1</v>
      </c>
      <c r="M6658">
        <v>0.66800000000000004</v>
      </c>
      <c r="N6658">
        <v>0.19</v>
      </c>
    </row>
    <row r="6659" spans="1:14" x14ac:dyDescent="0.25">
      <c r="A6659" t="s">
        <v>11931</v>
      </c>
      <c r="B6659" t="s">
        <v>11932</v>
      </c>
      <c r="C6659" s="1" t="str">
        <f>HYPERLINK("http://www.genecards.org/cgi-bin/carddisp.pl?gene=EHD3","GeneCards")</f>
        <v>GeneCards</v>
      </c>
      <c r="D6659" s="1" t="str">
        <f>HYPERLINK("http://genome-euro.ucsc.edu/cgi-bin/hgTracks?position=218935_at","UCSC")</f>
        <v>UCSC</v>
      </c>
      <c r="E6659" s="1" t="str">
        <f>HYPERLINK("http://www.ncbi.nlm.nih.gov/gene/?term=EHD3","NCBI")</f>
        <v>NCBI</v>
      </c>
      <c r="F6659">
        <v>0.08</v>
      </c>
      <c r="G6659">
        <v>0.21</v>
      </c>
      <c r="H6659" s="1" t="str">
        <f>HYPERLINK("http://www.weizmann.ac.il/complex/compphys/software/geview/data/figures/218935_at.png","Figure")</f>
        <v>Figure</v>
      </c>
      <c r="I6659">
        <v>1.28</v>
      </c>
      <c r="J6659">
        <v>0.72</v>
      </c>
      <c r="K6659">
        <v>1.95</v>
      </c>
      <c r="L6659">
        <v>7.2999999999999995E-2</v>
      </c>
      <c r="M6659">
        <v>1.53</v>
      </c>
      <c r="N6659">
        <v>0.35</v>
      </c>
    </row>
    <row r="6660" spans="1:14" x14ac:dyDescent="0.25">
      <c r="A6660" t="s">
        <v>11933</v>
      </c>
      <c r="B6660" t="s">
        <v>11934</v>
      </c>
      <c r="C6660" s="1" t="str">
        <f>HYPERLINK("http://www.genecards.org/cgi-bin/carddisp.pl?gene=YBX1 /// YBX1P2","GeneCards")</f>
        <v>GeneCards</v>
      </c>
      <c r="D6660" s="1" t="str">
        <f>HYPERLINK("http://genome-euro.ucsc.edu/cgi-bin/hgTracks?position=216940_x_at","UCSC")</f>
        <v>UCSC</v>
      </c>
      <c r="E6660" s="1" t="str">
        <f>HYPERLINK("http://www.ncbi.nlm.nih.gov/gene/?term=YBX1 /// YBX1P2","NCBI")</f>
        <v>NCBI</v>
      </c>
      <c r="F6660">
        <v>0.08</v>
      </c>
      <c r="G6660">
        <v>0.21</v>
      </c>
      <c r="H6660" s="1" t="str">
        <f>HYPERLINK("http://www.weizmann.ac.il/complex/compphys/software/geview/data/figures/216940_x_at.png","Figure")</f>
        <v>Figure</v>
      </c>
      <c r="I6660">
        <v>1.07</v>
      </c>
      <c r="J6660">
        <v>0.11</v>
      </c>
      <c r="K6660">
        <v>1.06</v>
      </c>
      <c r="L6660">
        <v>0.12</v>
      </c>
      <c r="M6660">
        <v>0.99</v>
      </c>
      <c r="N6660">
        <v>0.94</v>
      </c>
    </row>
    <row r="6661" spans="1:14" x14ac:dyDescent="0.25">
      <c r="A6661" t="s">
        <v>11935</v>
      </c>
      <c r="B6661" t="s">
        <v>10169</v>
      </c>
      <c r="C6661" s="1" t="str">
        <f>HYPERLINK("http://www.genecards.org/cgi-bin/carddisp.pl?gene=PAOX","GeneCards")</f>
        <v>GeneCards</v>
      </c>
      <c r="D6661" s="1" t="str">
        <f>HYPERLINK("http://genome-euro.ucsc.edu/cgi-bin/hgTracks?position=50400_at","UCSC")</f>
        <v>UCSC</v>
      </c>
      <c r="E6661" s="1" t="str">
        <f>HYPERLINK("http://www.ncbi.nlm.nih.gov/gene/?term=PAOX","NCBI")</f>
        <v>NCBI</v>
      </c>
      <c r="F6661">
        <v>0.08</v>
      </c>
      <c r="G6661">
        <v>0.21</v>
      </c>
      <c r="H6661" s="1" t="str">
        <f>HYPERLINK("http://www.weizmann.ac.il/complex/compphys/software/geview/data/figures/50400_at.png","Figure")</f>
        <v>Figure</v>
      </c>
      <c r="I6661">
        <v>1.06</v>
      </c>
      <c r="J6661">
        <v>0.88</v>
      </c>
      <c r="K6661">
        <v>1.26</v>
      </c>
      <c r="L6661">
        <v>8.5000000000000006E-2</v>
      </c>
      <c r="M6661">
        <v>1.19</v>
      </c>
      <c r="N6661">
        <v>0.26</v>
      </c>
    </row>
    <row r="6662" spans="1:14" x14ac:dyDescent="0.25">
      <c r="A6662" t="s">
        <v>11936</v>
      </c>
      <c r="B6662" t="s">
        <v>10147</v>
      </c>
      <c r="C6662" s="1" t="str">
        <f>HYPERLINK("http://www.genecards.org/cgi-bin/carddisp.pl?gene=TLK2","GeneCards")</f>
        <v>GeneCards</v>
      </c>
      <c r="D6662" s="1" t="str">
        <f>HYPERLINK("http://genome-euro.ucsc.edu/cgi-bin/hgTracks?position=212997_s_at","UCSC")</f>
        <v>UCSC</v>
      </c>
      <c r="E6662" s="1" t="str">
        <f>HYPERLINK("http://www.ncbi.nlm.nih.gov/gene/?term=TLK2","NCBI")</f>
        <v>NCBI</v>
      </c>
      <c r="F6662">
        <v>0.08</v>
      </c>
      <c r="G6662">
        <v>0.21</v>
      </c>
      <c r="H6662" s="1" t="str">
        <f>HYPERLINK("http://www.weizmann.ac.il/complex/compphys/software/geview/data/figures/212997_s_at.png","Figure")</f>
        <v>Figure</v>
      </c>
      <c r="I6662">
        <v>1.18</v>
      </c>
      <c r="J6662">
        <v>0.56000000000000005</v>
      </c>
      <c r="K6662">
        <v>0.82799999999999996</v>
      </c>
      <c r="L6662">
        <v>0.37</v>
      </c>
      <c r="M6662">
        <v>0.70299999999999996</v>
      </c>
      <c r="N6662">
        <v>7.1999999999999995E-2</v>
      </c>
    </row>
    <row r="6663" spans="1:14" x14ac:dyDescent="0.25">
      <c r="A6663" t="s">
        <v>11937</v>
      </c>
      <c r="B6663" t="s">
        <v>11938</v>
      </c>
      <c r="C6663" s="1" t="str">
        <f>HYPERLINK("http://www.genecards.org/cgi-bin/carddisp.pl?gene=GUCY1A3","GeneCards")</f>
        <v>GeneCards</v>
      </c>
      <c r="D6663" s="1" t="str">
        <f>HYPERLINK("http://genome-euro.ucsc.edu/cgi-bin/hgTracks?position=221942_s_at","UCSC")</f>
        <v>UCSC</v>
      </c>
      <c r="E6663" s="1" t="str">
        <f>HYPERLINK("http://www.ncbi.nlm.nih.gov/gene/?term=GUCY1A3","NCBI")</f>
        <v>NCBI</v>
      </c>
      <c r="F6663">
        <v>0.08</v>
      </c>
      <c r="G6663">
        <v>0.21</v>
      </c>
      <c r="H6663" s="1" t="str">
        <f>HYPERLINK("http://www.weizmann.ac.il/complex/compphys/software/geview/data/figures/221942_s_at.png","Figure")</f>
        <v>Figure</v>
      </c>
      <c r="I6663">
        <v>0.82099999999999995</v>
      </c>
      <c r="J6663">
        <v>0.59</v>
      </c>
      <c r="K6663">
        <v>0.65300000000000002</v>
      </c>
      <c r="L6663">
        <v>6.9000000000000006E-2</v>
      </c>
      <c r="M6663">
        <v>0.79600000000000004</v>
      </c>
      <c r="N6663">
        <v>0.45</v>
      </c>
    </row>
    <row r="6664" spans="1:14" x14ac:dyDescent="0.25">
      <c r="A6664" t="s">
        <v>11939</v>
      </c>
      <c r="B6664" t="s">
        <v>11940</v>
      </c>
      <c r="C6664" s="1" t="str">
        <f>HYPERLINK("http://www.genecards.org/cgi-bin/carddisp.pl?gene=JUP","GeneCards")</f>
        <v>GeneCards</v>
      </c>
      <c r="D6664" s="1" t="str">
        <f>HYPERLINK("http://genome-euro.ucsc.edu/cgi-bin/hgTracks?position=201015_s_at","UCSC")</f>
        <v>UCSC</v>
      </c>
      <c r="E6664" s="1" t="str">
        <f>HYPERLINK("http://www.ncbi.nlm.nih.gov/gene/?term=JUP","NCBI")</f>
        <v>NCBI</v>
      </c>
      <c r="F6664">
        <v>0.08</v>
      </c>
      <c r="G6664">
        <v>0.21</v>
      </c>
      <c r="H6664" s="1" t="str">
        <f>HYPERLINK("http://www.weizmann.ac.il/complex/compphys/software/geview/data/figures/201015_s_at.png","Figure")</f>
        <v>Figure</v>
      </c>
      <c r="I6664">
        <v>0.66300000000000003</v>
      </c>
      <c r="J6664">
        <v>0.14000000000000001</v>
      </c>
      <c r="K6664">
        <v>0.67200000000000004</v>
      </c>
      <c r="L6664">
        <v>9.9000000000000005E-2</v>
      </c>
      <c r="M6664">
        <v>1.01</v>
      </c>
      <c r="N6664">
        <v>1</v>
      </c>
    </row>
    <row r="6665" spans="1:14" x14ac:dyDescent="0.25">
      <c r="A6665" t="s">
        <v>11941</v>
      </c>
      <c r="B6665" t="s">
        <v>11942</v>
      </c>
      <c r="C6665" s="1" t="str">
        <f>HYPERLINK("http://www.genecards.org/cgi-bin/carddisp.pl?gene=LLGL1","GeneCards")</f>
        <v>GeneCards</v>
      </c>
      <c r="D6665" s="1" t="str">
        <f>HYPERLINK("http://genome-euro.ucsc.edu/cgi-bin/hgTracks?position=206124_s_at","UCSC")</f>
        <v>UCSC</v>
      </c>
      <c r="E6665" s="1" t="str">
        <f>HYPERLINK("http://www.ncbi.nlm.nih.gov/gene/?term=LLGL1","NCBI")</f>
        <v>NCBI</v>
      </c>
      <c r="F6665">
        <v>8.1000000000000003E-2</v>
      </c>
      <c r="G6665">
        <v>0.21</v>
      </c>
      <c r="H6665" s="1" t="str">
        <f>HYPERLINK("http://www.weizmann.ac.il/complex/compphys/software/geview/data/figures/206124_s_at.png","Figure")</f>
        <v>Figure</v>
      </c>
      <c r="I6665">
        <v>1.1399999999999999</v>
      </c>
      <c r="J6665">
        <v>0.13</v>
      </c>
      <c r="K6665">
        <v>1.1299999999999999</v>
      </c>
      <c r="L6665">
        <v>0.11</v>
      </c>
      <c r="M6665">
        <v>0.99</v>
      </c>
      <c r="N6665">
        <v>0.98</v>
      </c>
    </row>
    <row r="6666" spans="1:14" x14ac:dyDescent="0.25">
      <c r="A6666" t="s">
        <v>11943</v>
      </c>
      <c r="B6666" t="s">
        <v>8826</v>
      </c>
      <c r="C6666" s="1" t="str">
        <f>HYPERLINK("http://www.genecards.org/cgi-bin/carddisp.pl?gene=ANKLE2","GeneCards")</f>
        <v>GeneCards</v>
      </c>
      <c r="D6666" s="1" t="str">
        <f>HYPERLINK("http://genome-euro.ucsc.edu/cgi-bin/hgTracks?position=212201_at","UCSC")</f>
        <v>UCSC</v>
      </c>
      <c r="E6666" s="1" t="str">
        <f>HYPERLINK("http://www.ncbi.nlm.nih.gov/gene/?term=ANKLE2","NCBI")</f>
        <v>NCBI</v>
      </c>
      <c r="F6666">
        <v>8.1000000000000003E-2</v>
      </c>
      <c r="G6666">
        <v>0.21</v>
      </c>
      <c r="H6666" s="1" t="str">
        <f>HYPERLINK("http://www.weizmann.ac.il/complex/compphys/software/geview/data/figures/212201_at.png","Figure")</f>
        <v>Figure</v>
      </c>
      <c r="I6666">
        <v>1.1299999999999999</v>
      </c>
      <c r="J6666">
        <v>0.65</v>
      </c>
      <c r="K6666">
        <v>0.83399999999999996</v>
      </c>
      <c r="L6666">
        <v>0.31</v>
      </c>
      <c r="M6666">
        <v>0.73699999999999999</v>
      </c>
      <c r="N6666">
        <v>7.8E-2</v>
      </c>
    </row>
    <row r="6667" spans="1:14" x14ac:dyDescent="0.25">
      <c r="A6667" t="s">
        <v>11944</v>
      </c>
      <c r="B6667" t="s">
        <v>11945</v>
      </c>
      <c r="C6667" s="1" t="str">
        <f>HYPERLINK("http://www.genecards.org/cgi-bin/carddisp.pl?gene=ESRP1","GeneCards")</f>
        <v>GeneCards</v>
      </c>
      <c r="D6667" s="1" t="str">
        <f>HYPERLINK("http://genome-euro.ucsc.edu/cgi-bin/hgTracks?position=219121_s_at","UCSC")</f>
        <v>UCSC</v>
      </c>
      <c r="E6667" s="1" t="str">
        <f>HYPERLINK("http://www.ncbi.nlm.nih.gov/gene/?term=ESRP1","NCBI")</f>
        <v>NCBI</v>
      </c>
      <c r="F6667">
        <v>8.1000000000000003E-2</v>
      </c>
      <c r="G6667">
        <v>0.21</v>
      </c>
      <c r="H6667" s="1" t="str">
        <f>HYPERLINK("http://www.weizmann.ac.il/complex/compphys/software/geview/data/figures/219121_s_at.png","Figure")</f>
        <v>Figure</v>
      </c>
      <c r="I6667">
        <v>0.82</v>
      </c>
      <c r="J6667">
        <v>7.0999999999999994E-2</v>
      </c>
      <c r="K6667">
        <v>0.89200000000000002</v>
      </c>
      <c r="L6667">
        <v>0.27</v>
      </c>
      <c r="M6667">
        <v>1.0900000000000001</v>
      </c>
      <c r="N6667">
        <v>0.53</v>
      </c>
    </row>
    <row r="6668" spans="1:14" x14ac:dyDescent="0.25">
      <c r="A6668" t="s">
        <v>11946</v>
      </c>
      <c r="B6668" t="s">
        <v>5424</v>
      </c>
      <c r="C6668" s="1" t="str">
        <f>HYPERLINK("http://www.genecards.org/cgi-bin/carddisp.pl?gene=NSMCE4A","GeneCards")</f>
        <v>GeneCards</v>
      </c>
      <c r="D6668" s="1" t="str">
        <f>HYPERLINK("http://genome-euro.ucsc.edu/cgi-bin/hgTracks?position=211376_s_at","UCSC")</f>
        <v>UCSC</v>
      </c>
      <c r="E6668" s="1" t="str">
        <f>HYPERLINK("http://www.ncbi.nlm.nih.gov/gene/?term=NSMCE4A","NCBI")</f>
        <v>NCBI</v>
      </c>
      <c r="F6668">
        <v>8.1000000000000003E-2</v>
      </c>
      <c r="G6668">
        <v>0.21</v>
      </c>
      <c r="H6668" s="1" t="str">
        <f>HYPERLINK("http://www.weizmann.ac.il/complex/compphys/software/geview/data/figures/211376_s_at.png","Figure")</f>
        <v>Figure</v>
      </c>
      <c r="I6668">
        <v>0.78500000000000003</v>
      </c>
      <c r="J6668">
        <v>0.14000000000000001</v>
      </c>
      <c r="K6668">
        <v>1.02</v>
      </c>
      <c r="L6668">
        <v>0.98</v>
      </c>
      <c r="M6668">
        <v>1.3</v>
      </c>
      <c r="N6668">
        <v>8.5000000000000006E-2</v>
      </c>
    </row>
    <row r="6669" spans="1:14" x14ac:dyDescent="0.25">
      <c r="A6669" t="s">
        <v>11947</v>
      </c>
      <c r="B6669" t="s">
        <v>11948</v>
      </c>
      <c r="C6669" s="1" t="str">
        <f>HYPERLINK("http://www.genecards.org/cgi-bin/carddisp.pl?gene=CHRNA6","GeneCards")</f>
        <v>GeneCards</v>
      </c>
      <c r="D6669" s="1" t="str">
        <f>HYPERLINK("http://genome-euro.ucsc.edu/cgi-bin/hgTracks?position=207568_at","UCSC")</f>
        <v>UCSC</v>
      </c>
      <c r="E6669" s="1" t="str">
        <f>HYPERLINK("http://www.ncbi.nlm.nih.gov/gene/?term=CHRNA6","NCBI")</f>
        <v>NCBI</v>
      </c>
      <c r="F6669">
        <v>8.1000000000000003E-2</v>
      </c>
      <c r="G6669">
        <v>0.21</v>
      </c>
      <c r="H6669" s="1" t="str">
        <f>HYPERLINK("http://www.weizmann.ac.il/complex/compphys/software/geview/data/figures/207568_at.png","Figure")</f>
        <v>Figure</v>
      </c>
      <c r="I6669">
        <v>1.1599999999999999</v>
      </c>
      <c r="J6669">
        <v>6.8000000000000005E-2</v>
      </c>
      <c r="K6669">
        <v>1.08</v>
      </c>
      <c r="L6669">
        <v>0.36</v>
      </c>
      <c r="M6669">
        <v>0.93</v>
      </c>
      <c r="N6669">
        <v>0.41</v>
      </c>
    </row>
    <row r="6670" spans="1:14" x14ac:dyDescent="0.25">
      <c r="A6670" t="s">
        <v>11949</v>
      </c>
      <c r="B6670" t="s">
        <v>11950</v>
      </c>
      <c r="C6670" s="1" t="str">
        <f>HYPERLINK("http://www.genecards.org/cgi-bin/carddisp.pl?gene=COPS6","GeneCards")</f>
        <v>GeneCards</v>
      </c>
      <c r="D6670" s="1" t="str">
        <f>HYPERLINK("http://genome-euro.ucsc.edu/cgi-bin/hgTracks?position=213504_at","UCSC")</f>
        <v>UCSC</v>
      </c>
      <c r="E6670" s="1" t="str">
        <f>HYPERLINK("http://www.ncbi.nlm.nih.gov/gene/?term=COPS6","NCBI")</f>
        <v>NCBI</v>
      </c>
      <c r="F6670">
        <v>8.1000000000000003E-2</v>
      </c>
      <c r="G6670">
        <v>0.21</v>
      </c>
      <c r="H6670" s="1" t="str">
        <f>HYPERLINK("http://www.weizmann.ac.il/complex/compphys/software/geview/data/figures/213504_at.png","Figure")</f>
        <v>Figure</v>
      </c>
      <c r="I6670">
        <v>1.1499999999999999</v>
      </c>
      <c r="J6670">
        <v>0.24</v>
      </c>
      <c r="K6670">
        <v>1.19</v>
      </c>
      <c r="L6670">
        <v>7.4999999999999997E-2</v>
      </c>
      <c r="M6670">
        <v>1.03</v>
      </c>
      <c r="N6670">
        <v>0.91</v>
      </c>
    </row>
    <row r="6671" spans="1:14" x14ac:dyDescent="0.25">
      <c r="A6671" t="s">
        <v>11951</v>
      </c>
      <c r="B6671" t="s">
        <v>11952</v>
      </c>
      <c r="C6671" s="1" t="str">
        <f>HYPERLINK("http://www.genecards.org/cgi-bin/carddisp.pl?gene=OSBPL10","GeneCards")</f>
        <v>GeneCards</v>
      </c>
      <c r="D6671" s="1" t="str">
        <f>HYPERLINK("http://genome-euro.ucsc.edu/cgi-bin/hgTracks?position=216755_at","UCSC")</f>
        <v>UCSC</v>
      </c>
      <c r="E6671" s="1" t="str">
        <f>HYPERLINK("http://www.ncbi.nlm.nih.gov/gene/?term=OSBPL10","NCBI")</f>
        <v>NCBI</v>
      </c>
      <c r="F6671">
        <v>8.1000000000000003E-2</v>
      </c>
      <c r="G6671">
        <v>0.21</v>
      </c>
      <c r="H6671" s="1" t="str">
        <f>HYPERLINK("http://www.weizmann.ac.il/complex/compphys/software/geview/data/figures/216755_at.png","Figure")</f>
        <v>Figure</v>
      </c>
      <c r="I6671">
        <v>1.1200000000000001</v>
      </c>
      <c r="J6671">
        <v>0.52</v>
      </c>
      <c r="K6671">
        <v>0.88800000000000001</v>
      </c>
      <c r="L6671">
        <v>0.4</v>
      </c>
      <c r="M6671">
        <v>0.79300000000000004</v>
      </c>
      <c r="N6671">
        <v>7.0999999999999994E-2</v>
      </c>
    </row>
    <row r="6672" spans="1:14" x14ac:dyDescent="0.25">
      <c r="A6672" t="s">
        <v>11953</v>
      </c>
      <c r="B6672" t="s">
        <v>11954</v>
      </c>
      <c r="C6672" s="1" t="str">
        <f>HYPERLINK("http://www.genecards.org/cgi-bin/carddisp.pl?gene=DCTN6","GeneCards")</f>
        <v>GeneCards</v>
      </c>
      <c r="D6672" s="1" t="str">
        <f>HYPERLINK("http://genome-euro.ucsc.edu/cgi-bin/hgTracks?position=203261_at","UCSC")</f>
        <v>UCSC</v>
      </c>
      <c r="E6672" s="1" t="str">
        <f>HYPERLINK("http://www.ncbi.nlm.nih.gov/gene/?term=DCTN6","NCBI")</f>
        <v>NCBI</v>
      </c>
      <c r="F6672">
        <v>8.1000000000000003E-2</v>
      </c>
      <c r="G6672">
        <v>0.21</v>
      </c>
      <c r="H6672" s="1" t="str">
        <f>HYPERLINK("http://www.weizmann.ac.il/complex/compphys/software/geview/data/figures/203261_at.png","Figure")</f>
        <v>Figure</v>
      </c>
      <c r="I6672">
        <v>1</v>
      </c>
      <c r="J6672">
        <v>1</v>
      </c>
      <c r="K6672">
        <v>0.65800000000000003</v>
      </c>
      <c r="L6672">
        <v>0.12</v>
      </c>
      <c r="M6672">
        <v>0.65700000000000003</v>
      </c>
      <c r="N6672">
        <v>0.15</v>
      </c>
    </row>
    <row r="6673" spans="1:14" x14ac:dyDescent="0.25">
      <c r="A6673" t="s">
        <v>11955</v>
      </c>
      <c r="B6673" t="s">
        <v>11956</v>
      </c>
      <c r="C6673" s="1" t="str">
        <f>HYPERLINK("http://www.genecards.org/cgi-bin/carddisp.pl?gene=PDGFB","GeneCards")</f>
        <v>GeneCards</v>
      </c>
      <c r="D6673" s="1" t="str">
        <f>HYPERLINK("http://genome-euro.ucsc.edu/cgi-bin/hgTracks?position=204200_s_at","UCSC")</f>
        <v>UCSC</v>
      </c>
      <c r="E6673" s="1" t="str">
        <f>HYPERLINK("http://www.ncbi.nlm.nih.gov/gene/?term=PDGFB","NCBI")</f>
        <v>NCBI</v>
      </c>
      <c r="F6673">
        <v>8.1000000000000003E-2</v>
      </c>
      <c r="G6673">
        <v>0.21</v>
      </c>
      <c r="H6673" s="1" t="str">
        <f>HYPERLINK("http://www.weizmann.ac.il/complex/compphys/software/geview/data/figures/204200_s_at.png","Figure")</f>
        <v>Figure</v>
      </c>
      <c r="I6673">
        <v>1.21</v>
      </c>
      <c r="J6673">
        <v>8.4000000000000005E-2</v>
      </c>
      <c r="K6673">
        <v>1.04</v>
      </c>
      <c r="L6673">
        <v>0.86</v>
      </c>
      <c r="M6673">
        <v>0.85699999999999998</v>
      </c>
      <c r="N6673">
        <v>0.14000000000000001</v>
      </c>
    </row>
    <row r="6674" spans="1:14" x14ac:dyDescent="0.25">
      <c r="A6674" t="s">
        <v>11957</v>
      </c>
      <c r="B6674" t="s">
        <v>11958</v>
      </c>
      <c r="C6674" s="1" t="str">
        <f>HYPERLINK("http://www.genecards.org/cgi-bin/carddisp.pl?gene=ADAP1","GeneCards")</f>
        <v>GeneCards</v>
      </c>
      <c r="D6674" s="1" t="str">
        <f>HYPERLINK("http://genome-euro.ucsc.edu/cgi-bin/hgTracks?position=90265_at","UCSC")</f>
        <v>UCSC</v>
      </c>
      <c r="E6674" s="1" t="str">
        <f>HYPERLINK("http://www.ncbi.nlm.nih.gov/gene/?term=ADAP1","NCBI")</f>
        <v>NCBI</v>
      </c>
      <c r="F6674">
        <v>8.1000000000000003E-2</v>
      </c>
      <c r="G6674">
        <v>0.21</v>
      </c>
      <c r="H6674" s="1" t="str">
        <f>HYPERLINK("http://www.weizmann.ac.il/complex/compphys/software/geview/data/figures/90265_at.png","Figure")</f>
        <v>Figure</v>
      </c>
      <c r="I6674">
        <v>1.38</v>
      </c>
      <c r="J6674">
        <v>6.7000000000000004E-2</v>
      </c>
      <c r="K6674">
        <v>1.1599999999999999</v>
      </c>
      <c r="L6674">
        <v>0.42</v>
      </c>
      <c r="M6674">
        <v>0.84</v>
      </c>
      <c r="N6674">
        <v>0.35</v>
      </c>
    </row>
    <row r="6675" spans="1:14" x14ac:dyDescent="0.25">
      <c r="A6675" t="s">
        <v>11959</v>
      </c>
      <c r="B6675" t="s">
        <v>11960</v>
      </c>
      <c r="C6675" s="1" t="str">
        <f>HYPERLINK("http://www.genecards.org/cgi-bin/carddisp.pl?gene=NEK9","GeneCards")</f>
        <v>GeneCards</v>
      </c>
      <c r="D6675" s="1" t="str">
        <f>HYPERLINK("http://genome-euro.ucsc.edu/cgi-bin/hgTracks?position=212299_at","UCSC")</f>
        <v>UCSC</v>
      </c>
      <c r="E6675" s="1" t="str">
        <f>HYPERLINK("http://www.ncbi.nlm.nih.gov/gene/?term=NEK9","NCBI")</f>
        <v>NCBI</v>
      </c>
      <c r="F6675">
        <v>8.1000000000000003E-2</v>
      </c>
      <c r="G6675">
        <v>0.21</v>
      </c>
      <c r="H6675" s="1" t="str">
        <f>HYPERLINK("http://www.weizmann.ac.il/complex/compphys/software/geview/data/figures/212299_at.png","Figure")</f>
        <v>Figure</v>
      </c>
      <c r="I6675">
        <v>0.60499999999999998</v>
      </c>
      <c r="J6675">
        <v>0.25</v>
      </c>
      <c r="K6675">
        <v>1.21</v>
      </c>
      <c r="L6675">
        <v>0.75</v>
      </c>
      <c r="M6675">
        <v>2</v>
      </c>
      <c r="N6675">
        <v>6.8000000000000005E-2</v>
      </c>
    </row>
    <row r="6676" spans="1:14" x14ac:dyDescent="0.25">
      <c r="A6676" t="s">
        <v>11961</v>
      </c>
      <c r="B6676" t="s">
        <v>11962</v>
      </c>
      <c r="C6676" s="1" t="str">
        <f>HYPERLINK("http://www.genecards.org/cgi-bin/carddisp.pl?gene=PRSS2","GeneCards")</f>
        <v>GeneCards</v>
      </c>
      <c r="D6676" s="1" t="str">
        <f>HYPERLINK("http://genome-euro.ucsc.edu/cgi-bin/hgTracks?position=205402_x_at","UCSC")</f>
        <v>UCSC</v>
      </c>
      <c r="E6676" s="1" t="str">
        <f>HYPERLINK("http://www.ncbi.nlm.nih.gov/gene/?term=PRSS2","NCBI")</f>
        <v>NCBI</v>
      </c>
      <c r="F6676">
        <v>8.1000000000000003E-2</v>
      </c>
      <c r="G6676">
        <v>0.21</v>
      </c>
      <c r="H6676" s="1" t="str">
        <f>HYPERLINK("http://www.weizmann.ac.il/complex/compphys/software/geview/data/figures/205402_x_at.png","Figure")</f>
        <v>Figure</v>
      </c>
      <c r="I6676">
        <v>1.25</v>
      </c>
      <c r="J6676">
        <v>0.82</v>
      </c>
      <c r="K6676">
        <v>0.57199999999999995</v>
      </c>
      <c r="L6676">
        <v>0.22</v>
      </c>
      <c r="M6676">
        <v>0.45800000000000002</v>
      </c>
      <c r="N6676">
        <v>9.2999999999999999E-2</v>
      </c>
    </row>
    <row r="6677" spans="1:14" x14ac:dyDescent="0.25">
      <c r="A6677" t="s">
        <v>11963</v>
      </c>
      <c r="B6677" t="s">
        <v>11964</v>
      </c>
      <c r="C6677" s="1" t="str">
        <f>HYPERLINK("http://www.genecards.org/cgi-bin/carddisp.pl?gene=HSPB3","GeneCards")</f>
        <v>GeneCards</v>
      </c>
      <c r="D6677" s="1" t="str">
        <f>HYPERLINK("http://genome-euro.ucsc.edu/cgi-bin/hgTracks?position=206375_s_at","UCSC")</f>
        <v>UCSC</v>
      </c>
      <c r="E6677" s="1" t="str">
        <f>HYPERLINK("http://www.ncbi.nlm.nih.gov/gene/?term=HSPB3","NCBI")</f>
        <v>NCBI</v>
      </c>
      <c r="F6677">
        <v>8.1000000000000003E-2</v>
      </c>
      <c r="G6677">
        <v>0.21</v>
      </c>
      <c r="H6677" s="1" t="str">
        <f>HYPERLINK("http://www.weizmann.ac.il/complex/compphys/software/geview/data/figures/206375_s_at.png","Figure")</f>
        <v>Figure</v>
      </c>
      <c r="I6677">
        <v>1.1100000000000001</v>
      </c>
      <c r="J6677">
        <v>8.5999999999999993E-2</v>
      </c>
      <c r="K6677">
        <v>1.02</v>
      </c>
      <c r="L6677">
        <v>0.89</v>
      </c>
      <c r="M6677">
        <v>0.91400000000000003</v>
      </c>
      <c r="N6677">
        <v>0.14000000000000001</v>
      </c>
    </row>
    <row r="6678" spans="1:14" x14ac:dyDescent="0.25">
      <c r="A6678" t="s">
        <v>11965</v>
      </c>
      <c r="B6678" t="s">
        <v>8569</v>
      </c>
      <c r="C6678" s="1" t="str">
        <f>HYPERLINK("http://www.genecards.org/cgi-bin/carddisp.pl?gene=PEG10","GeneCards")</f>
        <v>GeneCards</v>
      </c>
      <c r="D6678" s="1" t="str">
        <f>HYPERLINK("http://genome-euro.ucsc.edu/cgi-bin/hgTracks?position=212092_at","UCSC")</f>
        <v>UCSC</v>
      </c>
      <c r="E6678" s="1" t="str">
        <f>HYPERLINK("http://www.ncbi.nlm.nih.gov/gene/?term=PEG10","NCBI")</f>
        <v>NCBI</v>
      </c>
      <c r="F6678">
        <v>8.1000000000000003E-2</v>
      </c>
      <c r="G6678">
        <v>0.21</v>
      </c>
      <c r="H6678" s="1" t="str">
        <f>HYPERLINK("http://www.weizmann.ac.il/complex/compphys/software/geview/data/figures/212092_at.png","Figure")</f>
        <v>Figure</v>
      </c>
      <c r="I6678">
        <v>0.89700000000000002</v>
      </c>
      <c r="J6678">
        <v>0.88</v>
      </c>
      <c r="K6678">
        <v>0.629</v>
      </c>
      <c r="L6678">
        <v>8.5999999999999993E-2</v>
      </c>
      <c r="M6678">
        <v>0.70099999999999996</v>
      </c>
      <c r="N6678">
        <v>0.25</v>
      </c>
    </row>
    <row r="6679" spans="1:14" x14ac:dyDescent="0.25">
      <c r="A6679" t="s">
        <v>11966</v>
      </c>
      <c r="B6679" t="s">
        <v>11967</v>
      </c>
      <c r="C6679" s="1" t="str">
        <f>HYPERLINK("http://www.genecards.org/cgi-bin/carddisp.pl?gene=TRA@","GeneCards")</f>
        <v>GeneCards</v>
      </c>
      <c r="D6679" s="1" t="str">
        <f>HYPERLINK("http://genome-euro.ucsc.edu/cgi-bin/hgTracks?position=211902_x_at","UCSC")</f>
        <v>UCSC</v>
      </c>
      <c r="E6679" s="1" t="str">
        <f>HYPERLINK("http://www.ncbi.nlm.nih.gov/gene/?term=TRA@","NCBI")</f>
        <v>NCBI</v>
      </c>
      <c r="F6679">
        <v>8.1000000000000003E-2</v>
      </c>
      <c r="G6679">
        <v>0.21</v>
      </c>
      <c r="H6679" s="1" t="str">
        <f>HYPERLINK("http://www.weizmann.ac.il/complex/compphys/software/geview/data/figures/211902_x_at.png","Figure")</f>
        <v>Figure</v>
      </c>
      <c r="I6679">
        <v>1.21</v>
      </c>
      <c r="J6679">
        <v>0.1</v>
      </c>
      <c r="K6679">
        <v>1.02</v>
      </c>
      <c r="L6679">
        <v>0.97</v>
      </c>
      <c r="M6679">
        <v>0.83899999999999997</v>
      </c>
      <c r="N6679">
        <v>0.11</v>
      </c>
    </row>
    <row r="6680" spans="1:14" x14ac:dyDescent="0.25">
      <c r="A6680" t="s">
        <v>11968</v>
      </c>
      <c r="B6680" t="s">
        <v>11969</v>
      </c>
      <c r="C6680" s="1" t="str">
        <f>HYPERLINK("http://www.genecards.org/cgi-bin/carddisp.pl?gene=GFRA2","GeneCards")</f>
        <v>GeneCards</v>
      </c>
      <c r="D6680" s="1" t="str">
        <f>HYPERLINK("http://genome-euro.ucsc.edu/cgi-bin/hgTracks?position=205721_at","UCSC")</f>
        <v>UCSC</v>
      </c>
      <c r="E6680" s="1" t="str">
        <f>HYPERLINK("http://www.ncbi.nlm.nih.gov/gene/?term=GFRA2","NCBI")</f>
        <v>NCBI</v>
      </c>
      <c r="F6680">
        <v>8.1000000000000003E-2</v>
      </c>
      <c r="G6680">
        <v>0.21</v>
      </c>
      <c r="H6680" s="1" t="str">
        <f>HYPERLINK("http://www.weizmann.ac.il/complex/compphys/software/geview/data/figures/205721_at.png","Figure")</f>
        <v>Figure</v>
      </c>
      <c r="I6680">
        <v>1.19</v>
      </c>
      <c r="J6680">
        <v>6.9000000000000006E-2</v>
      </c>
      <c r="K6680">
        <v>1.07</v>
      </c>
      <c r="L6680">
        <v>0.56999999999999995</v>
      </c>
      <c r="M6680">
        <v>0.89400000000000002</v>
      </c>
      <c r="N6680">
        <v>0.25</v>
      </c>
    </row>
    <row r="6681" spans="1:14" x14ac:dyDescent="0.25">
      <c r="A6681" t="s">
        <v>11970</v>
      </c>
      <c r="B6681" t="s">
        <v>11971</v>
      </c>
      <c r="C6681" s="1" t="str">
        <f>HYPERLINK("http://www.genecards.org/cgi-bin/carddisp.pl?gene=KRT17","GeneCards")</f>
        <v>GeneCards</v>
      </c>
      <c r="D6681" s="1" t="str">
        <f>HYPERLINK("http://genome-euro.ucsc.edu/cgi-bin/hgTracks?position=212236_x_at","UCSC")</f>
        <v>UCSC</v>
      </c>
      <c r="E6681" s="1" t="str">
        <f>HYPERLINK("http://www.ncbi.nlm.nih.gov/gene/?term=KRT17","NCBI")</f>
        <v>NCBI</v>
      </c>
      <c r="F6681">
        <v>8.1000000000000003E-2</v>
      </c>
      <c r="G6681">
        <v>0.21</v>
      </c>
      <c r="H6681" s="1" t="str">
        <f>HYPERLINK("http://www.weizmann.ac.il/complex/compphys/software/geview/data/figures/212236_x_at.png","Figure")</f>
        <v>Figure</v>
      </c>
      <c r="I6681">
        <v>1.29</v>
      </c>
      <c r="J6681">
        <v>7.1999999999999995E-2</v>
      </c>
      <c r="K6681">
        <v>1.1599999999999999</v>
      </c>
      <c r="L6681">
        <v>0.26</v>
      </c>
      <c r="M6681">
        <v>0.90100000000000002</v>
      </c>
      <c r="N6681">
        <v>0.55000000000000004</v>
      </c>
    </row>
    <row r="6682" spans="1:14" x14ac:dyDescent="0.25">
      <c r="A6682" t="s">
        <v>11972</v>
      </c>
      <c r="B6682" t="s">
        <v>9107</v>
      </c>
      <c r="C6682" s="1" t="str">
        <f>HYPERLINK("http://www.genecards.org/cgi-bin/carddisp.pl?gene=BCAN","GeneCards")</f>
        <v>GeneCards</v>
      </c>
      <c r="D6682" s="1" t="str">
        <f>HYPERLINK("http://genome-euro.ucsc.edu/cgi-bin/hgTracks?position=91920_at","UCSC")</f>
        <v>UCSC</v>
      </c>
      <c r="E6682" s="1" t="str">
        <f>HYPERLINK("http://www.ncbi.nlm.nih.gov/gene/?term=BCAN","NCBI")</f>
        <v>NCBI</v>
      </c>
      <c r="F6682">
        <v>8.1000000000000003E-2</v>
      </c>
      <c r="G6682">
        <v>0.21</v>
      </c>
      <c r="H6682" s="1" t="str">
        <f>HYPERLINK("http://www.weizmann.ac.il/complex/compphys/software/geview/data/figures/91920_at.png","Figure")</f>
        <v>Figure</v>
      </c>
      <c r="I6682">
        <v>1.32</v>
      </c>
      <c r="J6682">
        <v>7.0000000000000007E-2</v>
      </c>
      <c r="K6682">
        <v>1.1000000000000001</v>
      </c>
      <c r="L6682">
        <v>0.62</v>
      </c>
      <c r="M6682">
        <v>0.83199999999999996</v>
      </c>
      <c r="N6682">
        <v>0.23</v>
      </c>
    </row>
    <row r="6683" spans="1:14" x14ac:dyDescent="0.25">
      <c r="A6683" t="s">
        <v>11973</v>
      </c>
      <c r="B6683" t="s">
        <v>2727</v>
      </c>
      <c r="C6683" s="1" t="str">
        <f>HYPERLINK("http://www.genecards.org/cgi-bin/carddisp.pl?gene=PSMD12","GeneCards")</f>
        <v>GeneCards</v>
      </c>
      <c r="D6683" s="1" t="str">
        <f>HYPERLINK("http://genome-euro.ucsc.edu/cgi-bin/hgTracks?position=202352_s_at","UCSC")</f>
        <v>UCSC</v>
      </c>
      <c r="E6683" s="1" t="str">
        <f>HYPERLINK("http://www.ncbi.nlm.nih.gov/gene/?term=PSMD12","NCBI")</f>
        <v>NCBI</v>
      </c>
      <c r="F6683">
        <v>8.1000000000000003E-2</v>
      </c>
      <c r="G6683">
        <v>0.21</v>
      </c>
      <c r="H6683" s="1" t="str">
        <f>HYPERLINK("http://www.weizmann.ac.il/complex/compphys/software/geview/data/figures/202352_s_at.png","Figure")</f>
        <v>Figure</v>
      </c>
      <c r="I6683">
        <v>0.86899999999999999</v>
      </c>
      <c r="J6683">
        <v>0.88</v>
      </c>
      <c r="K6683">
        <v>0.54800000000000004</v>
      </c>
      <c r="L6683">
        <v>8.5999999999999993E-2</v>
      </c>
      <c r="M6683">
        <v>0.63</v>
      </c>
      <c r="N6683">
        <v>0.25</v>
      </c>
    </row>
    <row r="6684" spans="1:14" x14ac:dyDescent="0.25">
      <c r="A6684" t="s">
        <v>11974</v>
      </c>
      <c r="B6684" t="s">
        <v>9176</v>
      </c>
      <c r="C6684" s="1" t="str">
        <f>HYPERLINK("http://www.genecards.org/cgi-bin/carddisp.pl?gene=MAP2K3","GeneCards")</f>
        <v>GeneCards</v>
      </c>
      <c r="D6684" s="1" t="str">
        <f>HYPERLINK("http://genome-euro.ucsc.edu/cgi-bin/hgTracks?position=207667_s_at","UCSC")</f>
        <v>UCSC</v>
      </c>
      <c r="E6684" s="1" t="str">
        <f>HYPERLINK("http://www.ncbi.nlm.nih.gov/gene/?term=MAP2K3","NCBI")</f>
        <v>NCBI</v>
      </c>
      <c r="F6684">
        <v>8.1000000000000003E-2</v>
      </c>
      <c r="G6684">
        <v>0.21</v>
      </c>
      <c r="H6684" s="1" t="str">
        <f>HYPERLINK("http://www.weizmann.ac.il/complex/compphys/software/geview/data/figures/207667_s_at.png","Figure")</f>
        <v>Figure</v>
      </c>
      <c r="I6684">
        <v>1.35</v>
      </c>
      <c r="J6684">
        <v>0.2</v>
      </c>
      <c r="K6684">
        <v>1.41</v>
      </c>
      <c r="L6684">
        <v>0.08</v>
      </c>
      <c r="M6684">
        <v>1.04</v>
      </c>
      <c r="N6684">
        <v>0.96</v>
      </c>
    </row>
    <row r="6685" spans="1:14" x14ac:dyDescent="0.25">
      <c r="A6685" t="s">
        <v>11975</v>
      </c>
      <c r="B6685" t="s">
        <v>11976</v>
      </c>
      <c r="C6685" s="1" t="str">
        <f>HYPERLINK("http://www.genecards.org/cgi-bin/carddisp.pl?gene=DDEF1IT1","GeneCards")</f>
        <v>GeneCards</v>
      </c>
      <c r="D6685" s="1" t="str">
        <f>HYPERLINK("http://genome-euro.ucsc.edu/cgi-bin/hgTracks?position=220694_at","UCSC")</f>
        <v>UCSC</v>
      </c>
      <c r="E6685" s="1" t="str">
        <f>HYPERLINK("http://www.ncbi.nlm.nih.gov/gene/?term=DDEF1IT1","NCBI")</f>
        <v>NCBI</v>
      </c>
      <c r="F6685">
        <v>8.1000000000000003E-2</v>
      </c>
      <c r="G6685">
        <v>0.21</v>
      </c>
      <c r="H6685" s="1" t="str">
        <f>HYPERLINK("http://www.weizmann.ac.il/complex/compphys/software/geview/data/figures/220694_at.png","Figure")</f>
        <v>Figure</v>
      </c>
      <c r="I6685">
        <v>0.70799999999999996</v>
      </c>
      <c r="J6685">
        <v>0.14000000000000001</v>
      </c>
      <c r="K6685">
        <v>1.02</v>
      </c>
      <c r="L6685">
        <v>0.99</v>
      </c>
      <c r="M6685">
        <v>1.44</v>
      </c>
      <c r="N6685">
        <v>8.5999999999999993E-2</v>
      </c>
    </row>
    <row r="6686" spans="1:14" x14ac:dyDescent="0.25">
      <c r="A6686" t="s">
        <v>11977</v>
      </c>
      <c r="B6686" t="s">
        <v>11978</v>
      </c>
      <c r="C6686" s="1" t="str">
        <f>HYPERLINK("http://www.genecards.org/cgi-bin/carddisp.pl?gene=IL12A","GeneCards")</f>
        <v>GeneCards</v>
      </c>
      <c r="D6686" s="1" t="str">
        <f>HYPERLINK("http://genome-euro.ucsc.edu/cgi-bin/hgTracks?position=207160_at","UCSC")</f>
        <v>UCSC</v>
      </c>
      <c r="E6686" s="1" t="str">
        <f>HYPERLINK("http://www.ncbi.nlm.nih.gov/gene/?term=IL12A","NCBI")</f>
        <v>NCBI</v>
      </c>
      <c r="F6686">
        <v>8.1000000000000003E-2</v>
      </c>
      <c r="G6686">
        <v>0.21</v>
      </c>
      <c r="H6686" s="1" t="str">
        <f>HYPERLINK("http://www.weizmann.ac.il/complex/compphys/software/geview/data/figures/207160_at.png","Figure")</f>
        <v>Figure</v>
      </c>
      <c r="I6686">
        <v>0.79600000000000004</v>
      </c>
      <c r="J6686">
        <v>6.9000000000000006E-2</v>
      </c>
      <c r="K6686">
        <v>0.88500000000000001</v>
      </c>
      <c r="L6686">
        <v>0.32</v>
      </c>
      <c r="M6686">
        <v>1.1100000000000001</v>
      </c>
      <c r="N6686">
        <v>0.46</v>
      </c>
    </row>
    <row r="6687" spans="1:14" x14ac:dyDescent="0.25">
      <c r="A6687" t="s">
        <v>11979</v>
      </c>
      <c r="B6687" t="s">
        <v>7559</v>
      </c>
      <c r="C6687" s="1" t="str">
        <f>HYPERLINK("http://www.genecards.org/cgi-bin/carddisp.pl?gene=PLXNA1","GeneCards")</f>
        <v>GeneCards</v>
      </c>
      <c r="D6687" s="1" t="str">
        <f>HYPERLINK("http://genome-euro.ucsc.edu/cgi-bin/hgTracks?position=221538_s_at","UCSC")</f>
        <v>UCSC</v>
      </c>
      <c r="E6687" s="1" t="str">
        <f>HYPERLINK("http://www.ncbi.nlm.nih.gov/gene/?term=PLXNA1","NCBI")</f>
        <v>NCBI</v>
      </c>
      <c r="F6687">
        <v>8.1000000000000003E-2</v>
      </c>
      <c r="G6687">
        <v>0.21</v>
      </c>
      <c r="H6687" s="1" t="str">
        <f>HYPERLINK("http://www.weizmann.ac.il/complex/compphys/software/geview/data/figures/221538_s_at.png","Figure")</f>
        <v>Figure</v>
      </c>
      <c r="I6687">
        <v>0.68400000000000005</v>
      </c>
      <c r="J6687">
        <v>0.3</v>
      </c>
      <c r="K6687">
        <v>0.59499999999999997</v>
      </c>
      <c r="L6687">
        <v>7.0000000000000007E-2</v>
      </c>
      <c r="M6687">
        <v>0.86899999999999999</v>
      </c>
      <c r="N6687">
        <v>0.81</v>
      </c>
    </row>
    <row r="6688" spans="1:14" x14ac:dyDescent="0.25">
      <c r="A6688" t="s">
        <v>11980</v>
      </c>
      <c r="B6688" t="s">
        <v>7399</v>
      </c>
      <c r="C6688" s="1" t="str">
        <f>HYPERLINK("http://www.genecards.org/cgi-bin/carddisp.pl?gene=UGT1A1 /// UGT1A10 /// UGT1A4 /// UGT1A6 /// UGT1A8 /// UGT1A9","GeneCards")</f>
        <v>GeneCards</v>
      </c>
      <c r="D6688" s="1" t="str">
        <f>HYPERLINK("http://genome-euro.ucsc.edu/cgi-bin/hgTracks?position=207126_x_at","UCSC")</f>
        <v>UCSC</v>
      </c>
      <c r="E6688" s="1" t="str">
        <f>HYPERLINK("http://www.ncbi.nlm.nih.gov/gene/?term=UGT1A1 /// UGT1A10 /// UGT1A4 /// UGT1A6 /// UGT1A8 /// UGT1A9","NCBI")</f>
        <v>NCBI</v>
      </c>
      <c r="F6688">
        <v>8.1000000000000003E-2</v>
      </c>
      <c r="G6688">
        <v>0.21</v>
      </c>
      <c r="H6688" s="1" t="str">
        <f>HYPERLINK("http://www.weizmann.ac.il/complex/compphys/software/geview/data/figures/207126_x_at.png","Figure")</f>
        <v>Figure</v>
      </c>
      <c r="I6688">
        <v>1.17</v>
      </c>
      <c r="J6688">
        <v>0.11</v>
      </c>
      <c r="K6688">
        <v>1</v>
      </c>
      <c r="L6688">
        <v>1</v>
      </c>
      <c r="M6688">
        <v>0.85799999999999998</v>
      </c>
      <c r="N6688">
        <v>0.1</v>
      </c>
    </row>
    <row r="6689" spans="1:14" x14ac:dyDescent="0.25">
      <c r="A6689" t="s">
        <v>11981</v>
      </c>
      <c r="B6689" t="s">
        <v>11982</v>
      </c>
      <c r="C6689" s="1" t="str">
        <f>HYPERLINK("http://www.genecards.org/cgi-bin/carddisp.pl?gene=MN1","GeneCards")</f>
        <v>GeneCards</v>
      </c>
      <c r="D6689" s="1" t="str">
        <f>HYPERLINK("http://genome-euro.ucsc.edu/cgi-bin/hgTracks?position=205330_at","UCSC")</f>
        <v>UCSC</v>
      </c>
      <c r="E6689" s="1" t="str">
        <f>HYPERLINK("http://www.ncbi.nlm.nih.gov/gene/?term=MN1","NCBI")</f>
        <v>NCBI</v>
      </c>
      <c r="F6689">
        <v>8.1000000000000003E-2</v>
      </c>
      <c r="G6689">
        <v>0.21</v>
      </c>
      <c r="H6689" s="1" t="str">
        <f>HYPERLINK("http://www.weizmann.ac.il/complex/compphys/software/geview/data/figures/205330_at.png","Figure")</f>
        <v>Figure</v>
      </c>
      <c r="I6689">
        <v>0.34899999999999998</v>
      </c>
      <c r="J6689">
        <v>8.3000000000000004E-2</v>
      </c>
      <c r="K6689">
        <v>0.48399999999999999</v>
      </c>
      <c r="L6689">
        <v>0.19</v>
      </c>
      <c r="M6689">
        <v>1.39</v>
      </c>
      <c r="N6689">
        <v>0.72</v>
      </c>
    </row>
    <row r="6690" spans="1:14" x14ac:dyDescent="0.25">
      <c r="A6690" t="s">
        <v>11983</v>
      </c>
      <c r="B6690" t="s">
        <v>8095</v>
      </c>
      <c r="C6690" s="1" t="str">
        <f>HYPERLINK("http://www.genecards.org/cgi-bin/carddisp.pl?gene=ZFP36L2","GeneCards")</f>
        <v>GeneCards</v>
      </c>
      <c r="D6690" s="1" t="str">
        <f>HYPERLINK("http://genome-euro.ucsc.edu/cgi-bin/hgTracks?position=201369_s_at","UCSC")</f>
        <v>UCSC</v>
      </c>
      <c r="E6690" s="1" t="str">
        <f>HYPERLINK("http://www.ncbi.nlm.nih.gov/gene/?term=ZFP36L2","NCBI")</f>
        <v>NCBI</v>
      </c>
      <c r="F6690">
        <v>8.1000000000000003E-2</v>
      </c>
      <c r="G6690">
        <v>0.21</v>
      </c>
      <c r="H6690" s="1" t="str">
        <f>HYPERLINK("http://www.weizmann.ac.il/complex/compphys/software/geview/data/figures/201369_s_at.png","Figure")</f>
        <v>Figure</v>
      </c>
      <c r="I6690">
        <v>0.753</v>
      </c>
      <c r="J6690">
        <v>0.55000000000000004</v>
      </c>
      <c r="K6690">
        <v>0.56100000000000005</v>
      </c>
      <c r="L6690">
        <v>6.8000000000000005E-2</v>
      </c>
      <c r="M6690">
        <v>0.746</v>
      </c>
      <c r="N6690">
        <v>0.49</v>
      </c>
    </row>
    <row r="6691" spans="1:14" x14ac:dyDescent="0.25">
      <c r="A6691" t="s">
        <v>11984</v>
      </c>
      <c r="B6691" t="s">
        <v>11985</v>
      </c>
      <c r="C6691" s="1" t="str">
        <f>HYPERLINK("http://www.genecards.org/cgi-bin/carddisp.pl?gene=FNDC3B","GeneCards")</f>
        <v>GeneCards</v>
      </c>
      <c r="D6691" s="1" t="str">
        <f>HYPERLINK("http://genome-euro.ucsc.edu/cgi-bin/hgTracks?position=218618_s_at","UCSC")</f>
        <v>UCSC</v>
      </c>
      <c r="E6691" s="1" t="str">
        <f>HYPERLINK("http://www.ncbi.nlm.nih.gov/gene/?term=FNDC3B","NCBI")</f>
        <v>NCBI</v>
      </c>
      <c r="F6691">
        <v>8.1000000000000003E-2</v>
      </c>
      <c r="G6691">
        <v>0.21</v>
      </c>
      <c r="H6691" s="1" t="str">
        <f>HYPERLINK("http://www.weizmann.ac.il/complex/compphys/software/geview/data/figures/218618_s_at.png","Figure")</f>
        <v>Figure</v>
      </c>
      <c r="I6691">
        <v>2.25</v>
      </c>
      <c r="J6691">
        <v>9.5000000000000001E-2</v>
      </c>
      <c r="K6691">
        <v>1.86</v>
      </c>
      <c r="L6691">
        <v>0.15</v>
      </c>
      <c r="M6691">
        <v>0.82499999999999996</v>
      </c>
      <c r="N6691">
        <v>0.83</v>
      </c>
    </row>
    <row r="6692" spans="1:14" x14ac:dyDescent="0.25">
      <c r="A6692" t="s">
        <v>11986</v>
      </c>
      <c r="B6692" t="s">
        <v>2579</v>
      </c>
      <c r="C6692" s="1" t="str">
        <f>HYPERLINK("http://www.genecards.org/cgi-bin/carddisp.pl?gene=SMAD3","GeneCards")</f>
        <v>GeneCards</v>
      </c>
      <c r="D6692" s="1" t="str">
        <f>HYPERLINK("http://genome-euro.ucsc.edu/cgi-bin/hgTracks?position=205396_at","UCSC")</f>
        <v>UCSC</v>
      </c>
      <c r="E6692" s="1" t="str">
        <f>HYPERLINK("http://www.ncbi.nlm.nih.gov/gene/?term=SMAD3","NCBI")</f>
        <v>NCBI</v>
      </c>
      <c r="F6692">
        <v>8.1000000000000003E-2</v>
      </c>
      <c r="G6692">
        <v>0.21</v>
      </c>
      <c r="H6692" s="1" t="str">
        <f>HYPERLINK("http://www.weizmann.ac.il/complex/compphys/software/geview/data/figures/205396_at.png","Figure")</f>
        <v>Figure</v>
      </c>
      <c r="I6692">
        <v>1.1299999999999999</v>
      </c>
      <c r="J6692">
        <v>0.11</v>
      </c>
      <c r="K6692">
        <v>1.01</v>
      </c>
      <c r="L6692">
        <v>0.99</v>
      </c>
      <c r="M6692">
        <v>0.89500000000000002</v>
      </c>
      <c r="N6692">
        <v>0.11</v>
      </c>
    </row>
    <row r="6693" spans="1:14" x14ac:dyDescent="0.25">
      <c r="A6693" t="s">
        <v>11987</v>
      </c>
      <c r="B6693" t="s">
        <v>11988</v>
      </c>
      <c r="C6693" s="1" t="str">
        <f>HYPERLINK("http://www.genecards.org/cgi-bin/carddisp.pl?gene=UNC45A","GeneCards")</f>
        <v>GeneCards</v>
      </c>
      <c r="D6693" s="1" t="str">
        <f>HYPERLINK("http://genome-euro.ucsc.edu/cgi-bin/hgTracks?position=207499_x_at","UCSC")</f>
        <v>UCSC</v>
      </c>
      <c r="E6693" s="1" t="str">
        <f>HYPERLINK("http://www.ncbi.nlm.nih.gov/gene/?term=UNC45A","NCBI")</f>
        <v>NCBI</v>
      </c>
      <c r="F6693">
        <v>8.1000000000000003E-2</v>
      </c>
      <c r="G6693">
        <v>0.21</v>
      </c>
      <c r="H6693" s="1" t="str">
        <f>HYPERLINK("http://www.weizmann.ac.il/complex/compphys/software/geview/data/figures/207499_x_at.png","Figure")</f>
        <v>Figure</v>
      </c>
      <c r="I6693">
        <v>1.05</v>
      </c>
      <c r="J6693">
        <v>0.92</v>
      </c>
      <c r="K6693">
        <v>0.82</v>
      </c>
      <c r="L6693">
        <v>0.18</v>
      </c>
      <c r="M6693">
        <v>0.78300000000000003</v>
      </c>
      <c r="N6693">
        <v>0.11</v>
      </c>
    </row>
    <row r="6694" spans="1:14" x14ac:dyDescent="0.25">
      <c r="A6694" t="s">
        <v>11989</v>
      </c>
      <c r="B6694" t="s">
        <v>1218</v>
      </c>
      <c r="C6694" s="1" t="str">
        <f>HYPERLINK("http://www.genecards.org/cgi-bin/carddisp.pl?gene=OPTN","GeneCards")</f>
        <v>GeneCards</v>
      </c>
      <c r="D6694" s="1" t="str">
        <f>HYPERLINK("http://genome-euro.ucsc.edu/cgi-bin/hgTracks?position=202074_s_at","UCSC")</f>
        <v>UCSC</v>
      </c>
      <c r="E6694" s="1" t="str">
        <f>HYPERLINK("http://www.ncbi.nlm.nih.gov/gene/?term=OPTN","NCBI")</f>
        <v>NCBI</v>
      </c>
      <c r="F6694">
        <v>8.1000000000000003E-2</v>
      </c>
      <c r="G6694">
        <v>0.21</v>
      </c>
      <c r="H6694" s="1" t="str">
        <f>HYPERLINK("http://www.weizmann.ac.il/complex/compphys/software/geview/data/figures/202074_s_at.png","Figure")</f>
        <v>Figure</v>
      </c>
      <c r="I6694">
        <v>0.74399999999999999</v>
      </c>
      <c r="J6694">
        <v>0.32</v>
      </c>
      <c r="K6694">
        <v>0.65500000000000003</v>
      </c>
      <c r="L6694">
        <v>6.9000000000000006E-2</v>
      </c>
      <c r="M6694">
        <v>0.88</v>
      </c>
      <c r="N6694">
        <v>0.77</v>
      </c>
    </row>
    <row r="6695" spans="1:14" x14ac:dyDescent="0.25">
      <c r="A6695" t="s">
        <v>11990</v>
      </c>
      <c r="B6695" t="s">
        <v>11991</v>
      </c>
      <c r="C6695" s="1" t="str">
        <f>HYPERLINK("http://www.genecards.org/cgi-bin/carddisp.pl?gene=RAB11FIP1","GeneCards")</f>
        <v>GeneCards</v>
      </c>
      <c r="D6695" s="1" t="str">
        <f>HYPERLINK("http://genome-euro.ucsc.edu/cgi-bin/hgTracks?position=219681_s_at","UCSC")</f>
        <v>UCSC</v>
      </c>
      <c r="E6695" s="1" t="str">
        <f>HYPERLINK("http://www.ncbi.nlm.nih.gov/gene/?term=RAB11FIP1","NCBI")</f>
        <v>NCBI</v>
      </c>
      <c r="F6695">
        <v>8.1000000000000003E-2</v>
      </c>
      <c r="G6695">
        <v>0.21</v>
      </c>
      <c r="H6695" s="1" t="str">
        <f>HYPERLINK("http://www.weizmann.ac.il/complex/compphys/software/geview/data/figures/219681_s_at.png","Figure")</f>
        <v>Figure</v>
      </c>
      <c r="I6695">
        <v>0.75800000000000001</v>
      </c>
      <c r="J6695">
        <v>0.72</v>
      </c>
      <c r="K6695">
        <v>0.47499999999999998</v>
      </c>
      <c r="L6695">
        <v>7.3999999999999996E-2</v>
      </c>
      <c r="M6695">
        <v>0.627</v>
      </c>
      <c r="N6695">
        <v>0.36</v>
      </c>
    </row>
    <row r="6696" spans="1:14" x14ac:dyDescent="0.25">
      <c r="A6696" t="s">
        <v>11992</v>
      </c>
      <c r="B6696" t="s">
        <v>9737</v>
      </c>
      <c r="C6696" s="1" t="str">
        <f>HYPERLINK("http://www.genecards.org/cgi-bin/carddisp.pl?gene=SBF1","GeneCards")</f>
        <v>GeneCards</v>
      </c>
      <c r="D6696" s="1" t="str">
        <f>HYPERLINK("http://genome-euro.ucsc.edu/cgi-bin/hgTracks?position=39835_at","UCSC")</f>
        <v>UCSC</v>
      </c>
      <c r="E6696" s="1" t="str">
        <f>HYPERLINK("http://www.ncbi.nlm.nih.gov/gene/?term=SBF1","NCBI")</f>
        <v>NCBI</v>
      </c>
      <c r="F6696">
        <v>8.1000000000000003E-2</v>
      </c>
      <c r="G6696">
        <v>0.21</v>
      </c>
      <c r="H6696" s="1" t="str">
        <f>HYPERLINK("http://www.weizmann.ac.il/complex/compphys/software/geview/data/figures/39835_at.png","Figure")</f>
        <v>Figure</v>
      </c>
      <c r="I6696">
        <v>0.97199999999999998</v>
      </c>
      <c r="J6696">
        <v>0.98</v>
      </c>
      <c r="K6696">
        <v>1.33</v>
      </c>
      <c r="L6696">
        <v>0.14000000000000001</v>
      </c>
      <c r="M6696">
        <v>1.37</v>
      </c>
      <c r="N6696">
        <v>0.13</v>
      </c>
    </row>
    <row r="6697" spans="1:14" x14ac:dyDescent="0.25">
      <c r="A6697" t="s">
        <v>11993</v>
      </c>
      <c r="B6697" t="s">
        <v>8752</v>
      </c>
      <c r="C6697" s="1" t="str">
        <f>HYPERLINK("http://www.genecards.org/cgi-bin/carddisp.pl?gene=RBM39","GeneCards")</f>
        <v>GeneCards</v>
      </c>
      <c r="D6697" s="1" t="str">
        <f>HYPERLINK("http://genome-euro.ucsc.edu/cgi-bin/hgTracks?position=207941_s_at","UCSC")</f>
        <v>UCSC</v>
      </c>
      <c r="E6697" s="1" t="str">
        <f>HYPERLINK("http://www.ncbi.nlm.nih.gov/gene/?term=RBM39","NCBI")</f>
        <v>NCBI</v>
      </c>
      <c r="F6697">
        <v>8.1000000000000003E-2</v>
      </c>
      <c r="G6697">
        <v>0.21</v>
      </c>
      <c r="H6697" s="1" t="str">
        <f>HYPERLINK("http://www.weizmann.ac.il/complex/compphys/software/geview/data/figures/207941_s_at.png","Figure")</f>
        <v>Figure</v>
      </c>
      <c r="I6697">
        <v>1.1499999999999999</v>
      </c>
      <c r="J6697">
        <v>0.81</v>
      </c>
      <c r="K6697">
        <v>0.71699999999999997</v>
      </c>
      <c r="L6697">
        <v>0.23</v>
      </c>
      <c r="M6697">
        <v>0.624</v>
      </c>
      <c r="N6697">
        <v>9.1999999999999998E-2</v>
      </c>
    </row>
    <row r="6698" spans="1:14" x14ac:dyDescent="0.25">
      <c r="A6698" t="s">
        <v>11994</v>
      </c>
      <c r="B6698" t="s">
        <v>11995</v>
      </c>
      <c r="C6698" s="1" t="str">
        <f>HYPERLINK("http://www.genecards.org/cgi-bin/carddisp.pl?gene=TMEM126B","GeneCards")</f>
        <v>GeneCards</v>
      </c>
      <c r="D6698" s="1" t="str">
        <f>HYPERLINK("http://genome-euro.ucsc.edu/cgi-bin/hgTracks?position=221622_s_at","UCSC")</f>
        <v>UCSC</v>
      </c>
      <c r="E6698" s="1" t="str">
        <f>HYPERLINK("http://www.ncbi.nlm.nih.gov/gene/?term=TMEM126B","NCBI")</f>
        <v>NCBI</v>
      </c>
      <c r="F6698">
        <v>8.2000000000000003E-2</v>
      </c>
      <c r="G6698">
        <v>0.21</v>
      </c>
      <c r="H6698" s="1" t="str">
        <f>HYPERLINK("http://www.weizmann.ac.il/complex/compphys/software/geview/data/figures/221622_s_at.png","Figure")</f>
        <v>Figure</v>
      </c>
      <c r="I6698">
        <v>0.94899999999999995</v>
      </c>
      <c r="J6698">
        <v>0.95</v>
      </c>
      <c r="K6698">
        <v>1.33</v>
      </c>
      <c r="L6698">
        <v>0.16</v>
      </c>
      <c r="M6698">
        <v>1.4</v>
      </c>
      <c r="N6698">
        <v>0.12</v>
      </c>
    </row>
    <row r="6699" spans="1:14" x14ac:dyDescent="0.25">
      <c r="A6699" t="s">
        <v>11996</v>
      </c>
      <c r="B6699" t="s">
        <v>11997</v>
      </c>
      <c r="C6699" s="1" t="str">
        <f>HYPERLINK("http://www.genecards.org/cgi-bin/carddisp.pl?gene=ENAH","GeneCards")</f>
        <v>GeneCards</v>
      </c>
      <c r="D6699" s="1" t="str">
        <f>HYPERLINK("http://genome-euro.ucsc.edu/cgi-bin/hgTracks?position=217820_s_at","UCSC")</f>
        <v>UCSC</v>
      </c>
      <c r="E6699" s="1" t="str">
        <f>HYPERLINK("http://www.ncbi.nlm.nih.gov/gene/?term=ENAH","NCBI")</f>
        <v>NCBI</v>
      </c>
      <c r="F6699">
        <v>8.2000000000000003E-2</v>
      </c>
      <c r="G6699">
        <v>0.21</v>
      </c>
      <c r="H6699" s="1" t="str">
        <f>HYPERLINK("http://www.weizmann.ac.il/complex/compphys/software/geview/data/figures/217820_s_at.png","Figure")</f>
        <v>Figure</v>
      </c>
      <c r="I6699">
        <v>0.79900000000000004</v>
      </c>
      <c r="J6699">
        <v>0.38</v>
      </c>
      <c r="K6699">
        <v>1.1599999999999999</v>
      </c>
      <c r="L6699">
        <v>0.56000000000000005</v>
      </c>
      <c r="M6699">
        <v>1.45</v>
      </c>
      <c r="N6699">
        <v>6.8000000000000005E-2</v>
      </c>
    </row>
    <row r="6700" spans="1:14" x14ac:dyDescent="0.25">
      <c r="A6700" t="s">
        <v>11998</v>
      </c>
      <c r="B6700" t="s">
        <v>11999</v>
      </c>
      <c r="C6700" s="1" t="str">
        <f>HYPERLINK("http://www.genecards.org/cgi-bin/carddisp.pl?gene=KIAA0196","GeneCards")</f>
        <v>GeneCards</v>
      </c>
      <c r="D6700" s="1" t="str">
        <f>HYPERLINK("http://genome-euro.ucsc.edu/cgi-bin/hgTracks?position=201985_at","UCSC")</f>
        <v>UCSC</v>
      </c>
      <c r="E6700" s="1" t="str">
        <f>HYPERLINK("http://www.ncbi.nlm.nih.gov/gene/?term=KIAA0196","NCBI")</f>
        <v>NCBI</v>
      </c>
      <c r="F6700">
        <v>8.2000000000000003E-2</v>
      </c>
      <c r="G6700">
        <v>0.21</v>
      </c>
      <c r="H6700" s="1" t="str">
        <f>HYPERLINK("http://www.weizmann.ac.il/complex/compphys/software/geview/data/figures/201985_at.png","Figure")</f>
        <v>Figure</v>
      </c>
      <c r="I6700">
        <v>0.74</v>
      </c>
      <c r="J6700">
        <v>8.5000000000000006E-2</v>
      </c>
      <c r="K6700">
        <v>0.94399999999999995</v>
      </c>
      <c r="L6700">
        <v>0.87</v>
      </c>
      <c r="M6700">
        <v>1.28</v>
      </c>
      <c r="N6700">
        <v>0.15</v>
      </c>
    </row>
    <row r="6701" spans="1:14" x14ac:dyDescent="0.25">
      <c r="A6701" t="s">
        <v>12000</v>
      </c>
      <c r="B6701" t="s">
        <v>12001</v>
      </c>
      <c r="C6701" s="1" t="str">
        <f>HYPERLINK("http://www.genecards.org/cgi-bin/carddisp.pl?gene=EPB41","GeneCards")</f>
        <v>GeneCards</v>
      </c>
      <c r="D6701" s="1" t="str">
        <f>HYPERLINK("http://genome-euro.ucsc.edu/cgi-bin/hgTracks?position=214530_x_at","UCSC")</f>
        <v>UCSC</v>
      </c>
      <c r="E6701" s="1" t="str">
        <f>HYPERLINK("http://www.ncbi.nlm.nih.gov/gene/?term=EPB41","NCBI")</f>
        <v>NCBI</v>
      </c>
      <c r="F6701">
        <v>8.2000000000000003E-2</v>
      </c>
      <c r="G6701">
        <v>0.21</v>
      </c>
      <c r="H6701" s="1" t="str">
        <f>HYPERLINK("http://www.weizmann.ac.il/complex/compphys/software/geview/data/figures/214530_x_at.png","Figure")</f>
        <v>Figure</v>
      </c>
      <c r="I6701">
        <v>1.1100000000000001</v>
      </c>
      <c r="J6701">
        <v>0.2</v>
      </c>
      <c r="K6701">
        <v>1.1299999999999999</v>
      </c>
      <c r="L6701">
        <v>8.2000000000000003E-2</v>
      </c>
      <c r="M6701">
        <v>1.01</v>
      </c>
      <c r="N6701">
        <v>0.97</v>
      </c>
    </row>
    <row r="6702" spans="1:14" x14ac:dyDescent="0.25">
      <c r="A6702" t="s">
        <v>12002</v>
      </c>
      <c r="B6702" t="s">
        <v>12003</v>
      </c>
      <c r="C6702" s="1" t="str">
        <f>HYPERLINK("http://www.genecards.org/cgi-bin/carddisp.pl?gene=AGPAT5","GeneCards")</f>
        <v>GeneCards</v>
      </c>
      <c r="D6702" s="1" t="str">
        <f>HYPERLINK("http://genome-euro.ucsc.edu/cgi-bin/hgTracks?position=218096_at","UCSC")</f>
        <v>UCSC</v>
      </c>
      <c r="E6702" s="1" t="str">
        <f>HYPERLINK("http://www.ncbi.nlm.nih.gov/gene/?term=AGPAT5","NCBI")</f>
        <v>NCBI</v>
      </c>
      <c r="F6702">
        <v>8.2000000000000003E-2</v>
      </c>
      <c r="G6702">
        <v>0.21</v>
      </c>
      <c r="H6702" s="1" t="str">
        <f>HYPERLINK("http://www.weizmann.ac.il/complex/compphys/software/geview/data/figures/218096_at.png","Figure")</f>
        <v>Figure</v>
      </c>
      <c r="I6702">
        <v>0.56699999999999995</v>
      </c>
      <c r="J6702">
        <v>0.22</v>
      </c>
      <c r="K6702">
        <v>0.51200000000000001</v>
      </c>
      <c r="L6702">
        <v>7.8E-2</v>
      </c>
      <c r="M6702">
        <v>0.90200000000000002</v>
      </c>
      <c r="N6702">
        <v>0.94</v>
      </c>
    </row>
    <row r="6703" spans="1:14" x14ac:dyDescent="0.25">
      <c r="A6703" t="s">
        <v>12004</v>
      </c>
      <c r="B6703" t="s">
        <v>12005</v>
      </c>
      <c r="C6703" s="1" t="str">
        <f>HYPERLINK("http://www.genecards.org/cgi-bin/carddisp.pl?gene=CUL3","GeneCards")</f>
        <v>GeneCards</v>
      </c>
      <c r="D6703" s="1" t="str">
        <f>HYPERLINK("http://genome-euro.ucsc.edu/cgi-bin/hgTracks?position=201371_s_at","UCSC")</f>
        <v>UCSC</v>
      </c>
      <c r="E6703" s="1" t="str">
        <f>HYPERLINK("http://www.ncbi.nlm.nih.gov/gene/?term=CUL3","NCBI")</f>
        <v>NCBI</v>
      </c>
      <c r="F6703">
        <v>8.2000000000000003E-2</v>
      </c>
      <c r="G6703">
        <v>0.21</v>
      </c>
      <c r="H6703" s="1" t="str">
        <f>HYPERLINK("http://www.weizmann.ac.il/complex/compphys/software/geview/data/figures/201371_s_at.png","Figure")</f>
        <v>Figure</v>
      </c>
      <c r="I6703">
        <v>1.19</v>
      </c>
      <c r="J6703">
        <v>0.72</v>
      </c>
      <c r="K6703">
        <v>0.72399999999999998</v>
      </c>
      <c r="L6703">
        <v>0.27</v>
      </c>
      <c r="M6703">
        <v>0.60599999999999998</v>
      </c>
      <c r="N6703">
        <v>8.4000000000000005E-2</v>
      </c>
    </row>
    <row r="6704" spans="1:14" x14ac:dyDescent="0.25">
      <c r="A6704" t="s">
        <v>12006</v>
      </c>
      <c r="B6704" t="s">
        <v>12007</v>
      </c>
      <c r="C6704" s="1" t="str">
        <f>HYPERLINK("http://www.genecards.org/cgi-bin/carddisp.pl?gene=PGAP2","GeneCards")</f>
        <v>GeneCards</v>
      </c>
      <c r="D6704" s="1" t="str">
        <f>HYPERLINK("http://genome-euro.ucsc.edu/cgi-bin/hgTracks?position=41858_at","UCSC")</f>
        <v>UCSC</v>
      </c>
      <c r="E6704" s="1" t="str">
        <f>HYPERLINK("http://www.ncbi.nlm.nih.gov/gene/?term=PGAP2","NCBI")</f>
        <v>NCBI</v>
      </c>
      <c r="F6704">
        <v>8.2000000000000003E-2</v>
      </c>
      <c r="G6704">
        <v>0.21</v>
      </c>
      <c r="H6704" s="1" t="str">
        <f>HYPERLINK("http://www.weizmann.ac.il/complex/compphys/software/geview/data/figures/41858_at.png","Figure")</f>
        <v>Figure</v>
      </c>
      <c r="I6704">
        <v>0.876</v>
      </c>
      <c r="J6704">
        <v>0.1</v>
      </c>
      <c r="K6704">
        <v>0.98899999999999999</v>
      </c>
      <c r="L6704">
        <v>0.98</v>
      </c>
      <c r="M6704">
        <v>1.1299999999999999</v>
      </c>
      <c r="N6704">
        <v>0.11</v>
      </c>
    </row>
    <row r="6705" spans="1:14" x14ac:dyDescent="0.25">
      <c r="A6705" t="s">
        <v>12008</v>
      </c>
      <c r="B6705" t="s">
        <v>12009</v>
      </c>
      <c r="C6705" s="1" t="str">
        <f>HYPERLINK("http://www.genecards.org/cgi-bin/carddisp.pl?gene=RNF19A","GeneCards")</f>
        <v>GeneCards</v>
      </c>
      <c r="D6705" s="1" t="str">
        <f>HYPERLINK("http://genome-euro.ucsc.edu/cgi-bin/hgTracks?position=220483_s_at","UCSC")</f>
        <v>UCSC</v>
      </c>
      <c r="E6705" s="1" t="str">
        <f>HYPERLINK("http://www.ncbi.nlm.nih.gov/gene/?term=RNF19A","NCBI")</f>
        <v>NCBI</v>
      </c>
      <c r="F6705">
        <v>8.2000000000000003E-2</v>
      </c>
      <c r="G6705">
        <v>0.21</v>
      </c>
      <c r="H6705" s="1" t="str">
        <f>HYPERLINK("http://www.weizmann.ac.il/complex/compphys/software/geview/data/figures/220483_s_at.png","Figure")</f>
        <v>Figure</v>
      </c>
      <c r="I6705">
        <v>0.95</v>
      </c>
      <c r="J6705">
        <v>0.97</v>
      </c>
      <c r="K6705">
        <v>0.67200000000000004</v>
      </c>
      <c r="L6705">
        <v>0.1</v>
      </c>
      <c r="M6705">
        <v>0.70699999999999996</v>
      </c>
      <c r="N6705">
        <v>0.2</v>
      </c>
    </row>
    <row r="6706" spans="1:14" x14ac:dyDescent="0.25">
      <c r="A6706" t="s">
        <v>12010</v>
      </c>
      <c r="B6706" t="s">
        <v>10402</v>
      </c>
      <c r="C6706" s="1" t="str">
        <f>HYPERLINK("http://www.genecards.org/cgi-bin/carddisp.pl?gene=MATR3","GeneCards")</f>
        <v>GeneCards</v>
      </c>
      <c r="D6706" s="1" t="str">
        <f>HYPERLINK("http://genome-euro.ucsc.edu/cgi-bin/hgTracks?position=200624_s_at","UCSC")</f>
        <v>UCSC</v>
      </c>
      <c r="E6706" s="1" t="str">
        <f>HYPERLINK("http://www.ncbi.nlm.nih.gov/gene/?term=MATR3","NCBI")</f>
        <v>NCBI</v>
      </c>
      <c r="F6706">
        <v>8.2000000000000003E-2</v>
      </c>
      <c r="G6706">
        <v>0.21</v>
      </c>
      <c r="H6706" s="1" t="str">
        <f>HYPERLINK("http://www.weizmann.ac.il/complex/compphys/software/geview/data/figures/200624_s_at.png","Figure")</f>
        <v>Figure</v>
      </c>
      <c r="I6706">
        <v>1.06</v>
      </c>
      <c r="J6706">
        <v>0.93</v>
      </c>
      <c r="K6706">
        <v>0.77500000000000002</v>
      </c>
      <c r="L6706">
        <v>0.17</v>
      </c>
      <c r="M6706">
        <v>0.73299999999999998</v>
      </c>
      <c r="N6706">
        <v>0.11</v>
      </c>
    </row>
    <row r="6707" spans="1:14" x14ac:dyDescent="0.25">
      <c r="A6707" t="s">
        <v>12011</v>
      </c>
      <c r="B6707" t="s">
        <v>12012</v>
      </c>
      <c r="C6707" s="1" t="str">
        <f>HYPERLINK("http://www.genecards.org/cgi-bin/carddisp.pl?gene=HMP19","GeneCards")</f>
        <v>GeneCards</v>
      </c>
      <c r="D6707" s="1" t="str">
        <f>HYPERLINK("http://genome-euro.ucsc.edu/cgi-bin/hgTracks?position=218623_at","UCSC")</f>
        <v>UCSC</v>
      </c>
      <c r="E6707" s="1" t="str">
        <f>HYPERLINK("http://www.ncbi.nlm.nih.gov/gene/?term=HMP19","NCBI")</f>
        <v>NCBI</v>
      </c>
      <c r="F6707">
        <v>8.2000000000000003E-2</v>
      </c>
      <c r="G6707">
        <v>0.21</v>
      </c>
      <c r="H6707" s="1" t="str">
        <f>HYPERLINK("http://www.weizmann.ac.il/complex/compphys/software/geview/data/figures/218623_at.png","Figure")</f>
        <v>Figure</v>
      </c>
      <c r="I6707">
        <v>1.28</v>
      </c>
      <c r="J6707">
        <v>6.9000000000000006E-2</v>
      </c>
      <c r="K6707">
        <v>1.1000000000000001</v>
      </c>
      <c r="L6707">
        <v>0.56000000000000005</v>
      </c>
      <c r="M6707">
        <v>0.85599999999999998</v>
      </c>
      <c r="N6707">
        <v>0.26</v>
      </c>
    </row>
    <row r="6708" spans="1:14" x14ac:dyDescent="0.25">
      <c r="A6708" t="s">
        <v>12013</v>
      </c>
      <c r="B6708" t="s">
        <v>1578</v>
      </c>
      <c r="C6708" s="1" t="str">
        <f>HYPERLINK("http://www.genecards.org/cgi-bin/carddisp.pl?gene=AMBP","GeneCards")</f>
        <v>GeneCards</v>
      </c>
      <c r="D6708" s="1" t="str">
        <f>HYPERLINK("http://genome-euro.ucsc.edu/cgi-bin/hgTracks?position=214425_at","UCSC")</f>
        <v>UCSC</v>
      </c>
      <c r="E6708" s="1" t="str">
        <f>HYPERLINK("http://www.ncbi.nlm.nih.gov/gene/?term=AMBP","NCBI")</f>
        <v>NCBI</v>
      </c>
      <c r="F6708">
        <v>8.2000000000000003E-2</v>
      </c>
      <c r="G6708">
        <v>0.21</v>
      </c>
      <c r="H6708" s="1" t="str">
        <f>HYPERLINK("http://www.weizmann.ac.il/complex/compphys/software/geview/data/figures/214425_at.png","Figure")</f>
        <v>Figure</v>
      </c>
      <c r="I6708">
        <v>1.1200000000000001</v>
      </c>
      <c r="J6708">
        <v>9.6000000000000002E-2</v>
      </c>
      <c r="K6708">
        <v>1.01</v>
      </c>
      <c r="L6708">
        <v>0.95</v>
      </c>
      <c r="M6708">
        <v>0.90400000000000003</v>
      </c>
      <c r="N6708">
        <v>0.12</v>
      </c>
    </row>
    <row r="6709" spans="1:14" x14ac:dyDescent="0.25">
      <c r="A6709" t="s">
        <v>12014</v>
      </c>
      <c r="B6709" t="s">
        <v>12015</v>
      </c>
      <c r="C6709" s="1" t="str">
        <f>HYPERLINK("http://www.genecards.org/cgi-bin/carddisp.pl?gene=SUPV3L1","GeneCards")</f>
        <v>GeneCards</v>
      </c>
      <c r="D6709" s="1" t="str">
        <f>HYPERLINK("http://genome-euro.ucsc.edu/cgi-bin/hgTracks?position=212894_at","UCSC")</f>
        <v>UCSC</v>
      </c>
      <c r="E6709" s="1" t="str">
        <f>HYPERLINK("http://www.ncbi.nlm.nih.gov/gene/?term=SUPV3L1","NCBI")</f>
        <v>NCBI</v>
      </c>
      <c r="F6709">
        <v>8.2000000000000003E-2</v>
      </c>
      <c r="G6709">
        <v>0.21</v>
      </c>
      <c r="H6709" s="1" t="str">
        <f>HYPERLINK("http://www.weizmann.ac.il/complex/compphys/software/geview/data/figures/212894_at.png","Figure")</f>
        <v>Figure</v>
      </c>
      <c r="I6709">
        <v>1.07</v>
      </c>
      <c r="J6709">
        <v>0.96</v>
      </c>
      <c r="K6709">
        <v>0.67</v>
      </c>
      <c r="L6709">
        <v>0.16</v>
      </c>
      <c r="M6709">
        <v>0.627</v>
      </c>
      <c r="N6709">
        <v>0.12</v>
      </c>
    </row>
    <row r="6710" spans="1:14" x14ac:dyDescent="0.25">
      <c r="A6710" t="s">
        <v>12016</v>
      </c>
      <c r="B6710" t="s">
        <v>12017</v>
      </c>
      <c r="C6710" s="1" t="str">
        <f>HYPERLINK("http://www.genecards.org/cgi-bin/carddisp.pl?gene=PDCL","GeneCards")</f>
        <v>GeneCards</v>
      </c>
      <c r="D6710" s="1" t="str">
        <f>HYPERLINK("http://genome-euro.ucsc.edu/cgi-bin/hgTracks?position=204448_s_at","UCSC")</f>
        <v>UCSC</v>
      </c>
      <c r="E6710" s="1" t="str">
        <f>HYPERLINK("http://www.ncbi.nlm.nih.gov/gene/?term=PDCL","NCBI")</f>
        <v>NCBI</v>
      </c>
      <c r="F6710">
        <v>8.2000000000000003E-2</v>
      </c>
      <c r="G6710">
        <v>0.21</v>
      </c>
      <c r="H6710" s="1" t="str">
        <f>HYPERLINK("http://www.weizmann.ac.il/complex/compphys/software/geview/data/figures/204448_s_at.png","Figure")</f>
        <v>Figure</v>
      </c>
      <c r="I6710">
        <v>1.32</v>
      </c>
      <c r="J6710">
        <v>0.14000000000000001</v>
      </c>
      <c r="K6710">
        <v>0.98499999999999999</v>
      </c>
      <c r="L6710">
        <v>0.99</v>
      </c>
      <c r="M6710">
        <v>0.746</v>
      </c>
      <c r="N6710">
        <v>8.7999999999999995E-2</v>
      </c>
    </row>
    <row r="6711" spans="1:14" x14ac:dyDescent="0.25">
      <c r="A6711" t="s">
        <v>12018</v>
      </c>
      <c r="B6711" t="s">
        <v>12019</v>
      </c>
      <c r="C6711" s="1" t="str">
        <f>HYPERLINK("http://www.genecards.org/cgi-bin/carddisp.pl?gene=KLF7","GeneCards")</f>
        <v>GeneCards</v>
      </c>
      <c r="D6711" s="1" t="str">
        <f>HYPERLINK("http://genome-euro.ucsc.edu/cgi-bin/hgTracks?position=204334_at","UCSC")</f>
        <v>UCSC</v>
      </c>
      <c r="E6711" s="1" t="str">
        <f>HYPERLINK("http://www.ncbi.nlm.nih.gov/gene/?term=KLF7","NCBI")</f>
        <v>NCBI</v>
      </c>
      <c r="F6711">
        <v>8.2000000000000003E-2</v>
      </c>
      <c r="G6711">
        <v>0.21</v>
      </c>
      <c r="H6711" s="1" t="str">
        <f>HYPERLINK("http://www.weizmann.ac.il/complex/compphys/software/geview/data/figures/204334_at.png","Figure")</f>
        <v>Figure</v>
      </c>
      <c r="I6711">
        <v>0.61</v>
      </c>
      <c r="J6711">
        <v>0.21</v>
      </c>
      <c r="K6711">
        <v>0.56299999999999994</v>
      </c>
      <c r="L6711">
        <v>0.08</v>
      </c>
      <c r="M6711">
        <v>0.92200000000000004</v>
      </c>
      <c r="N6711">
        <v>0.95</v>
      </c>
    </row>
    <row r="6712" spans="1:14" x14ac:dyDescent="0.25">
      <c r="A6712" t="s">
        <v>12020</v>
      </c>
      <c r="B6712" t="s">
        <v>8927</v>
      </c>
      <c r="C6712" s="1" t="str">
        <f>HYPERLINK("http://www.genecards.org/cgi-bin/carddisp.pl?gene=GTF3C1","GeneCards")</f>
        <v>GeneCards</v>
      </c>
      <c r="D6712" s="1" t="str">
        <f>HYPERLINK("http://genome-euro.ucsc.edu/cgi-bin/hgTracks?position=202320_at","UCSC")</f>
        <v>UCSC</v>
      </c>
      <c r="E6712" s="1" t="str">
        <f>HYPERLINK("http://www.ncbi.nlm.nih.gov/gene/?term=GTF3C1","NCBI")</f>
        <v>NCBI</v>
      </c>
      <c r="F6712">
        <v>8.2000000000000003E-2</v>
      </c>
      <c r="G6712">
        <v>0.21</v>
      </c>
      <c r="H6712" s="1" t="str">
        <f>HYPERLINK("http://www.weizmann.ac.il/complex/compphys/software/geview/data/figures/202320_at.png","Figure")</f>
        <v>Figure</v>
      </c>
      <c r="I6712">
        <v>1.18</v>
      </c>
      <c r="J6712">
        <v>6.8000000000000005E-2</v>
      </c>
      <c r="K6712">
        <v>1.08</v>
      </c>
      <c r="L6712">
        <v>0.44</v>
      </c>
      <c r="M6712">
        <v>0.91300000000000003</v>
      </c>
      <c r="N6712">
        <v>0.34</v>
      </c>
    </row>
    <row r="6713" spans="1:14" x14ac:dyDescent="0.25">
      <c r="A6713" t="s">
        <v>12021</v>
      </c>
      <c r="B6713" t="s">
        <v>12022</v>
      </c>
      <c r="C6713" s="1" t="str">
        <f>HYPERLINK("http://www.genecards.org/cgi-bin/carddisp.pl?gene=ZNF423","GeneCards")</f>
        <v>GeneCards</v>
      </c>
      <c r="D6713" s="1" t="str">
        <f>HYPERLINK("http://genome-euro.ucsc.edu/cgi-bin/hgTracks?position=214761_at","UCSC")</f>
        <v>UCSC</v>
      </c>
      <c r="E6713" s="1" t="str">
        <f>HYPERLINK("http://www.ncbi.nlm.nih.gov/gene/?term=ZNF423","NCBI")</f>
        <v>NCBI</v>
      </c>
      <c r="F6713">
        <v>8.2000000000000003E-2</v>
      </c>
      <c r="G6713">
        <v>0.21</v>
      </c>
      <c r="H6713" s="1" t="str">
        <f>HYPERLINK("http://www.weizmann.ac.il/complex/compphys/software/geview/data/figures/214761_at.png","Figure")</f>
        <v>Figure</v>
      </c>
      <c r="I6713">
        <v>0.82699999999999996</v>
      </c>
      <c r="J6713">
        <v>0.76</v>
      </c>
      <c r="K6713">
        <v>0.56899999999999995</v>
      </c>
      <c r="L6713">
        <v>7.6999999999999999E-2</v>
      </c>
      <c r="M6713">
        <v>0.68799999999999994</v>
      </c>
      <c r="N6713">
        <v>0.33</v>
      </c>
    </row>
    <row r="6714" spans="1:14" x14ac:dyDescent="0.25">
      <c r="A6714" t="s">
        <v>12023</v>
      </c>
      <c r="B6714" t="s">
        <v>936</v>
      </c>
      <c r="C6714" s="1" t="str">
        <f>HYPERLINK("http://www.genecards.org/cgi-bin/carddisp.pl?gene=OTUD4","GeneCards")</f>
        <v>GeneCards</v>
      </c>
      <c r="D6714" s="1" t="str">
        <f>HYPERLINK("http://genome-euro.ucsc.edu/cgi-bin/hgTracks?position=203479_s_at","UCSC")</f>
        <v>UCSC</v>
      </c>
      <c r="E6714" s="1" t="str">
        <f>HYPERLINK("http://www.ncbi.nlm.nih.gov/gene/?term=OTUD4","NCBI")</f>
        <v>NCBI</v>
      </c>
      <c r="F6714">
        <v>8.2000000000000003E-2</v>
      </c>
      <c r="G6714">
        <v>0.21</v>
      </c>
      <c r="H6714" s="1" t="str">
        <f>HYPERLINK("http://www.weizmann.ac.il/complex/compphys/software/geview/data/figures/203479_s_at.png","Figure")</f>
        <v>Figure</v>
      </c>
      <c r="I6714">
        <v>0.83099999999999996</v>
      </c>
      <c r="J6714">
        <v>0.65</v>
      </c>
      <c r="K6714">
        <v>0.64600000000000002</v>
      </c>
      <c r="L6714">
        <v>7.1999999999999995E-2</v>
      </c>
      <c r="M6714">
        <v>0.77700000000000002</v>
      </c>
      <c r="N6714">
        <v>0.41</v>
      </c>
    </row>
    <row r="6715" spans="1:14" x14ac:dyDescent="0.25">
      <c r="A6715" t="s">
        <v>12024</v>
      </c>
      <c r="B6715" t="s">
        <v>12025</v>
      </c>
      <c r="C6715" s="1" t="str">
        <f>HYPERLINK("http://www.genecards.org/cgi-bin/carddisp.pl?gene=KRT5","GeneCards")</f>
        <v>GeneCards</v>
      </c>
      <c r="D6715" s="1" t="str">
        <f>HYPERLINK("http://genome-euro.ucsc.edu/cgi-bin/hgTracks?position=201820_at","UCSC")</f>
        <v>UCSC</v>
      </c>
      <c r="E6715" s="1" t="str">
        <f>HYPERLINK("http://www.ncbi.nlm.nih.gov/gene/?term=KRT5","NCBI")</f>
        <v>NCBI</v>
      </c>
      <c r="F6715">
        <v>8.2000000000000003E-2</v>
      </c>
      <c r="G6715">
        <v>0.21</v>
      </c>
      <c r="H6715" s="1" t="str">
        <f>HYPERLINK("http://www.weizmann.ac.il/complex/compphys/software/geview/data/figures/201820_at.png","Figure")</f>
        <v>Figure</v>
      </c>
      <c r="I6715">
        <v>1.08</v>
      </c>
      <c r="J6715">
        <v>0.72</v>
      </c>
      <c r="K6715">
        <v>0.86899999999999999</v>
      </c>
      <c r="L6715">
        <v>0.28000000000000003</v>
      </c>
      <c r="M6715">
        <v>0.80300000000000005</v>
      </c>
      <c r="N6715">
        <v>8.4000000000000005E-2</v>
      </c>
    </row>
    <row r="6716" spans="1:14" x14ac:dyDescent="0.25">
      <c r="A6716" t="s">
        <v>12026</v>
      </c>
      <c r="B6716" t="s">
        <v>12027</v>
      </c>
      <c r="C6716" s="1" t="str">
        <f>HYPERLINK("http://www.genecards.org/cgi-bin/carddisp.pl?gene=CHRNA3","GeneCards")</f>
        <v>GeneCards</v>
      </c>
      <c r="D6716" s="1" t="str">
        <f>HYPERLINK("http://genome-euro.ucsc.edu/cgi-bin/hgTracks?position=211587_x_at","UCSC")</f>
        <v>UCSC</v>
      </c>
      <c r="E6716" s="1" t="str">
        <f>HYPERLINK("http://www.ncbi.nlm.nih.gov/gene/?term=CHRNA3","NCBI")</f>
        <v>NCBI</v>
      </c>
      <c r="F6716">
        <v>8.2000000000000003E-2</v>
      </c>
      <c r="G6716">
        <v>0.21</v>
      </c>
      <c r="H6716" s="1" t="str">
        <f>HYPERLINK("http://www.weizmann.ac.il/complex/compphys/software/geview/data/figures/211587_x_at.png","Figure")</f>
        <v>Figure</v>
      </c>
      <c r="I6716">
        <v>1.28</v>
      </c>
      <c r="J6716">
        <v>7.3999999999999996E-2</v>
      </c>
      <c r="K6716">
        <v>1.08</v>
      </c>
      <c r="L6716">
        <v>0.69</v>
      </c>
      <c r="M6716">
        <v>0.84299999999999997</v>
      </c>
      <c r="N6716">
        <v>0.2</v>
      </c>
    </row>
    <row r="6717" spans="1:14" x14ac:dyDescent="0.25">
      <c r="A6717" t="s">
        <v>12028</v>
      </c>
      <c r="B6717" t="s">
        <v>10793</v>
      </c>
      <c r="C6717" s="1" t="str">
        <f>HYPERLINK("http://www.genecards.org/cgi-bin/carddisp.pl?gene=ALDOB","GeneCards")</f>
        <v>GeneCards</v>
      </c>
      <c r="D6717" s="1" t="str">
        <f>HYPERLINK("http://genome-euro.ucsc.edu/cgi-bin/hgTracks?position=204705_x_at","UCSC")</f>
        <v>UCSC</v>
      </c>
      <c r="E6717" s="1" t="str">
        <f>HYPERLINK("http://www.ncbi.nlm.nih.gov/gene/?term=ALDOB","NCBI")</f>
        <v>NCBI</v>
      </c>
      <c r="F6717">
        <v>8.2000000000000003E-2</v>
      </c>
      <c r="G6717">
        <v>0.21</v>
      </c>
      <c r="H6717" s="1" t="str">
        <f>HYPERLINK("http://www.weizmann.ac.il/complex/compphys/software/geview/data/figures/204705_x_at.png","Figure")</f>
        <v>Figure</v>
      </c>
      <c r="I6717">
        <v>1.1599999999999999</v>
      </c>
      <c r="J6717">
        <v>6.8000000000000005E-2</v>
      </c>
      <c r="K6717">
        <v>1.06</v>
      </c>
      <c r="L6717">
        <v>0.5</v>
      </c>
      <c r="M6717">
        <v>0.91500000000000004</v>
      </c>
      <c r="N6717">
        <v>0.3</v>
      </c>
    </row>
    <row r="6718" spans="1:14" x14ac:dyDescent="0.25">
      <c r="A6718" t="s">
        <v>12029</v>
      </c>
      <c r="B6718" t="s">
        <v>12030</v>
      </c>
      <c r="C6718" s="1" t="str">
        <f>HYPERLINK("http://www.genecards.org/cgi-bin/carddisp.pl?gene=ARTN","GeneCards")</f>
        <v>GeneCards</v>
      </c>
      <c r="D6718" s="1" t="str">
        <f>HYPERLINK("http://genome-euro.ucsc.edu/cgi-bin/hgTracks?position=210237_at","UCSC")</f>
        <v>UCSC</v>
      </c>
      <c r="E6718" s="1" t="str">
        <f>HYPERLINK("http://www.ncbi.nlm.nih.gov/gene/?term=ARTN","NCBI")</f>
        <v>NCBI</v>
      </c>
      <c r="F6718">
        <v>8.2000000000000003E-2</v>
      </c>
      <c r="G6718">
        <v>0.21</v>
      </c>
      <c r="H6718" s="1" t="str">
        <f>HYPERLINK("http://www.weizmann.ac.il/complex/compphys/software/geview/data/figures/210237_at.png","Figure")</f>
        <v>Figure</v>
      </c>
      <c r="I6718">
        <v>1.35</v>
      </c>
      <c r="J6718">
        <v>7.4999999999999997E-2</v>
      </c>
      <c r="K6718">
        <v>1.2</v>
      </c>
      <c r="L6718">
        <v>0.26</v>
      </c>
      <c r="M6718">
        <v>0.88700000000000001</v>
      </c>
      <c r="N6718">
        <v>0.56999999999999995</v>
      </c>
    </row>
    <row r="6719" spans="1:14" x14ac:dyDescent="0.25">
      <c r="A6719" t="s">
        <v>12031</v>
      </c>
      <c r="B6719" t="s">
        <v>12032</v>
      </c>
      <c r="C6719" s="1" t="str">
        <f>HYPERLINK("http://www.genecards.org/cgi-bin/carddisp.pl?gene=MYL7","GeneCards")</f>
        <v>GeneCards</v>
      </c>
      <c r="D6719" s="1" t="str">
        <f>HYPERLINK("http://genome-euro.ucsc.edu/cgi-bin/hgTracks?position=219942_at","UCSC")</f>
        <v>UCSC</v>
      </c>
      <c r="E6719" s="1" t="str">
        <f>HYPERLINK("http://www.ncbi.nlm.nih.gov/gene/?term=MYL7","NCBI")</f>
        <v>NCBI</v>
      </c>
      <c r="F6719">
        <v>8.2000000000000003E-2</v>
      </c>
      <c r="G6719">
        <v>0.21</v>
      </c>
      <c r="H6719" s="1" t="str">
        <f>HYPERLINK("http://www.weizmann.ac.il/complex/compphys/software/geview/data/figures/219942_at.png","Figure")</f>
        <v>Figure</v>
      </c>
      <c r="I6719">
        <v>1.32</v>
      </c>
      <c r="J6719">
        <v>8.3000000000000004E-2</v>
      </c>
      <c r="K6719">
        <v>1.21</v>
      </c>
      <c r="L6719">
        <v>0.2</v>
      </c>
      <c r="M6719">
        <v>0.91400000000000003</v>
      </c>
      <c r="N6719">
        <v>0.7</v>
      </c>
    </row>
    <row r="6720" spans="1:14" x14ac:dyDescent="0.25">
      <c r="A6720" t="s">
        <v>12033</v>
      </c>
      <c r="B6720" t="s">
        <v>12034</v>
      </c>
      <c r="C6720" s="1" t="str">
        <f>HYPERLINK("http://www.genecards.org/cgi-bin/carddisp.pl?gene=ILK","GeneCards")</f>
        <v>GeneCards</v>
      </c>
      <c r="D6720" s="1" t="str">
        <f>HYPERLINK("http://genome-euro.ucsc.edu/cgi-bin/hgTracks?position=201234_at","UCSC")</f>
        <v>UCSC</v>
      </c>
      <c r="E6720" s="1" t="str">
        <f>HYPERLINK("http://www.ncbi.nlm.nih.gov/gene/?term=ILK","NCBI")</f>
        <v>NCBI</v>
      </c>
      <c r="F6720">
        <v>8.2000000000000003E-2</v>
      </c>
      <c r="G6720">
        <v>0.21</v>
      </c>
      <c r="H6720" s="1" t="str">
        <f>HYPERLINK("http://www.weizmann.ac.il/complex/compphys/software/geview/data/figures/201234_at.png","Figure")</f>
        <v>Figure</v>
      </c>
      <c r="I6720">
        <v>1.17</v>
      </c>
      <c r="J6720">
        <v>0.54</v>
      </c>
      <c r="K6720">
        <v>1.36</v>
      </c>
      <c r="L6720">
        <v>6.9000000000000006E-2</v>
      </c>
      <c r="M6720">
        <v>1.1599999999999999</v>
      </c>
      <c r="N6720">
        <v>0.51</v>
      </c>
    </row>
    <row r="6721" spans="1:14" x14ac:dyDescent="0.25">
      <c r="A6721" t="s">
        <v>12035</v>
      </c>
      <c r="B6721" t="s">
        <v>6774</v>
      </c>
      <c r="C6721" s="1" t="str">
        <f>HYPERLINK("http://www.genecards.org/cgi-bin/carddisp.pl?gene=IGFBP5","GeneCards")</f>
        <v>GeneCards</v>
      </c>
      <c r="D6721" s="1" t="str">
        <f>HYPERLINK("http://genome-euro.ucsc.edu/cgi-bin/hgTracks?position=203424_s_at","UCSC")</f>
        <v>UCSC</v>
      </c>
      <c r="E6721" s="1" t="str">
        <f>HYPERLINK("http://www.ncbi.nlm.nih.gov/gene/?term=IGFBP5","NCBI")</f>
        <v>NCBI</v>
      </c>
      <c r="F6721">
        <v>8.3000000000000004E-2</v>
      </c>
      <c r="G6721">
        <v>0.21</v>
      </c>
      <c r="H6721" s="1" t="str">
        <f>HYPERLINK("http://www.weizmann.ac.il/complex/compphys/software/geview/data/figures/203424_s_at.png","Figure")</f>
        <v>Figure</v>
      </c>
      <c r="I6721">
        <v>1.1000000000000001</v>
      </c>
      <c r="J6721">
        <v>9.7000000000000003E-2</v>
      </c>
      <c r="K6721">
        <v>1.08</v>
      </c>
      <c r="L6721">
        <v>0.15</v>
      </c>
      <c r="M6721">
        <v>0.97699999999999998</v>
      </c>
      <c r="N6721">
        <v>0.84</v>
      </c>
    </row>
    <row r="6722" spans="1:14" x14ac:dyDescent="0.25">
      <c r="A6722" t="s">
        <v>12036</v>
      </c>
      <c r="B6722" t="s">
        <v>12037</v>
      </c>
      <c r="C6722" s="1" t="str">
        <f>HYPERLINK("http://www.genecards.org/cgi-bin/carddisp.pl?gene=PSG9","GeneCards")</f>
        <v>GeneCards</v>
      </c>
      <c r="D6722" s="1" t="str">
        <f>HYPERLINK("http://genome-euro.ucsc.edu/cgi-bin/hgTracks?position=209594_x_at","UCSC")</f>
        <v>UCSC</v>
      </c>
      <c r="E6722" s="1" t="str">
        <f>HYPERLINK("http://www.ncbi.nlm.nih.gov/gene/?term=PSG9","NCBI")</f>
        <v>NCBI</v>
      </c>
      <c r="F6722">
        <v>8.3000000000000004E-2</v>
      </c>
      <c r="G6722">
        <v>0.21</v>
      </c>
      <c r="H6722" s="1" t="str">
        <f>HYPERLINK("http://www.weizmann.ac.il/complex/compphys/software/geview/data/figures/209594_x_at.png","Figure")</f>
        <v>Figure</v>
      </c>
      <c r="I6722">
        <v>1.2</v>
      </c>
      <c r="J6722">
        <v>0.15</v>
      </c>
      <c r="K6722">
        <v>0.98299999999999998</v>
      </c>
      <c r="L6722">
        <v>0.97</v>
      </c>
      <c r="M6722">
        <v>0.82</v>
      </c>
      <c r="N6722">
        <v>8.4000000000000005E-2</v>
      </c>
    </row>
    <row r="6723" spans="1:14" x14ac:dyDescent="0.25">
      <c r="A6723" t="s">
        <v>12038</v>
      </c>
      <c r="B6723" t="s">
        <v>12039</v>
      </c>
      <c r="C6723" s="1" t="str">
        <f>HYPERLINK("http://www.genecards.org/cgi-bin/carddisp.pl?gene=LPIN1","GeneCards")</f>
        <v>GeneCards</v>
      </c>
      <c r="D6723" s="1" t="str">
        <f>HYPERLINK("http://genome-euro.ucsc.edu/cgi-bin/hgTracks?position=212272_at","UCSC")</f>
        <v>UCSC</v>
      </c>
      <c r="E6723" s="1" t="str">
        <f>HYPERLINK("http://www.ncbi.nlm.nih.gov/gene/?term=LPIN1","NCBI")</f>
        <v>NCBI</v>
      </c>
      <c r="F6723">
        <v>8.3000000000000004E-2</v>
      </c>
      <c r="G6723">
        <v>0.21</v>
      </c>
      <c r="H6723" s="1" t="str">
        <f>HYPERLINK("http://www.weizmann.ac.il/complex/compphys/software/geview/data/figures/212272_at.png","Figure")</f>
        <v>Figure</v>
      </c>
      <c r="I6723">
        <v>1.05</v>
      </c>
      <c r="J6723">
        <v>0.66</v>
      </c>
      <c r="K6723">
        <v>0.92500000000000004</v>
      </c>
      <c r="L6723">
        <v>0.31</v>
      </c>
      <c r="M6723">
        <v>0.879</v>
      </c>
      <c r="N6723">
        <v>0.08</v>
      </c>
    </row>
    <row r="6724" spans="1:14" x14ac:dyDescent="0.25">
      <c r="A6724" t="s">
        <v>12040</v>
      </c>
      <c r="B6724" t="s">
        <v>12041</v>
      </c>
      <c r="C6724" s="1" t="str">
        <f>HYPERLINK("http://www.genecards.org/cgi-bin/carddisp.pl?gene=ZNF83","GeneCards")</f>
        <v>GeneCards</v>
      </c>
      <c r="D6724" s="1" t="str">
        <f>HYPERLINK("http://genome-euro.ucsc.edu/cgi-bin/hgTracks?position=221645_s_at","UCSC")</f>
        <v>UCSC</v>
      </c>
      <c r="E6724" s="1" t="str">
        <f>HYPERLINK("http://www.ncbi.nlm.nih.gov/gene/?term=ZNF83","NCBI")</f>
        <v>NCBI</v>
      </c>
      <c r="F6724">
        <v>8.3000000000000004E-2</v>
      </c>
      <c r="G6724">
        <v>0.21</v>
      </c>
      <c r="H6724" s="1" t="str">
        <f>HYPERLINK("http://www.weizmann.ac.il/complex/compphys/software/geview/data/figures/221645_s_at.png","Figure")</f>
        <v>Figure</v>
      </c>
      <c r="I6724">
        <v>0.51100000000000001</v>
      </c>
      <c r="J6724">
        <v>7.3999999999999996E-2</v>
      </c>
      <c r="K6724">
        <v>0.67500000000000004</v>
      </c>
      <c r="L6724">
        <v>0.27</v>
      </c>
      <c r="M6724">
        <v>1.32</v>
      </c>
      <c r="N6724">
        <v>0.55000000000000004</v>
      </c>
    </row>
    <row r="6725" spans="1:14" x14ac:dyDescent="0.25">
      <c r="A6725" t="s">
        <v>12042</v>
      </c>
      <c r="B6725" t="s">
        <v>5363</v>
      </c>
      <c r="C6725" s="1" t="str">
        <f>HYPERLINK("http://www.genecards.org/cgi-bin/carddisp.pl?gene=ANP32A","GeneCards")</f>
        <v>GeneCards</v>
      </c>
      <c r="D6725" s="1" t="str">
        <f>HYPERLINK("http://genome-euro.ucsc.edu/cgi-bin/hgTracks?position=201043_s_at","UCSC")</f>
        <v>UCSC</v>
      </c>
      <c r="E6725" s="1" t="str">
        <f>HYPERLINK("http://www.ncbi.nlm.nih.gov/gene/?term=ANP32A","NCBI")</f>
        <v>NCBI</v>
      </c>
      <c r="F6725">
        <v>8.3000000000000004E-2</v>
      </c>
      <c r="G6725">
        <v>0.21</v>
      </c>
      <c r="H6725" s="1" t="str">
        <f>HYPERLINK("http://www.weizmann.ac.il/complex/compphys/software/geview/data/figures/201043_s_at.png","Figure")</f>
        <v>Figure</v>
      </c>
      <c r="I6725">
        <v>1.03</v>
      </c>
      <c r="J6725">
        <v>0.5</v>
      </c>
      <c r="K6725">
        <v>1.05</v>
      </c>
      <c r="L6725">
        <v>6.9000000000000006E-2</v>
      </c>
      <c r="M6725">
        <v>1.02</v>
      </c>
      <c r="N6725">
        <v>0.55000000000000004</v>
      </c>
    </row>
    <row r="6726" spans="1:14" x14ac:dyDescent="0.25">
      <c r="A6726" t="s">
        <v>12043</v>
      </c>
      <c r="B6726" t="s">
        <v>12044</v>
      </c>
      <c r="C6726" s="1" t="str">
        <f>HYPERLINK("http://www.genecards.org/cgi-bin/carddisp.pl?gene=SAA3P","GeneCards")</f>
        <v>GeneCards</v>
      </c>
      <c r="D6726" s="1" t="str">
        <f>HYPERLINK("http://genome-euro.ucsc.edu/cgi-bin/hgTracks?position=222226_at","UCSC")</f>
        <v>UCSC</v>
      </c>
      <c r="E6726" s="1" t="str">
        <f>HYPERLINK("http://www.ncbi.nlm.nih.gov/gene/?term=SAA3P","NCBI")</f>
        <v>NCBI</v>
      </c>
      <c r="F6726">
        <v>8.3000000000000004E-2</v>
      </c>
      <c r="G6726">
        <v>0.21</v>
      </c>
      <c r="H6726" s="1" t="str">
        <f>HYPERLINK("http://www.weizmann.ac.il/complex/compphys/software/geview/data/figures/222226_at.png","Figure")</f>
        <v>Figure</v>
      </c>
      <c r="I6726">
        <v>1.07</v>
      </c>
      <c r="J6726">
        <v>7.0999999999999994E-2</v>
      </c>
      <c r="K6726">
        <v>1.03</v>
      </c>
      <c r="L6726">
        <v>0.32</v>
      </c>
      <c r="M6726">
        <v>0.97099999999999997</v>
      </c>
      <c r="N6726">
        <v>0.46</v>
      </c>
    </row>
    <row r="6727" spans="1:14" x14ac:dyDescent="0.25">
      <c r="A6727" t="s">
        <v>12045</v>
      </c>
      <c r="B6727" t="s">
        <v>12046</v>
      </c>
      <c r="C6727" s="1" t="str">
        <f>HYPERLINK("http://www.genecards.org/cgi-bin/carddisp.pl?gene=CCDC25","GeneCards")</f>
        <v>GeneCards</v>
      </c>
      <c r="D6727" s="1" t="str">
        <f>HYPERLINK("http://genome-euro.ucsc.edu/cgi-bin/hgTracks?position=218125_s_at","UCSC")</f>
        <v>UCSC</v>
      </c>
      <c r="E6727" s="1" t="str">
        <f>HYPERLINK("http://www.ncbi.nlm.nih.gov/gene/?term=CCDC25","NCBI")</f>
        <v>NCBI</v>
      </c>
      <c r="F6727">
        <v>8.3000000000000004E-2</v>
      </c>
      <c r="G6727">
        <v>0.21</v>
      </c>
      <c r="H6727" s="1" t="str">
        <f>HYPERLINK("http://www.weizmann.ac.il/complex/compphys/software/geview/data/figures/218125_s_at.png","Figure")</f>
        <v>Figure</v>
      </c>
      <c r="I6727">
        <v>0.88200000000000001</v>
      </c>
      <c r="J6727">
        <v>0.23</v>
      </c>
      <c r="K6727">
        <v>1.04</v>
      </c>
      <c r="L6727">
        <v>0.82</v>
      </c>
      <c r="M6727">
        <v>1.18</v>
      </c>
      <c r="N6727">
        <v>7.1999999999999995E-2</v>
      </c>
    </row>
    <row r="6728" spans="1:14" x14ac:dyDescent="0.25">
      <c r="A6728" t="s">
        <v>12047</v>
      </c>
      <c r="B6728" t="s">
        <v>12048</v>
      </c>
      <c r="C6728" s="1" t="str">
        <f>HYPERLINK("http://www.genecards.org/cgi-bin/carddisp.pl?gene=CENPA","GeneCards")</f>
        <v>GeneCards</v>
      </c>
      <c r="D6728" s="1" t="str">
        <f>HYPERLINK("http://genome-euro.ucsc.edu/cgi-bin/hgTracks?position=204962_s_at","UCSC")</f>
        <v>UCSC</v>
      </c>
      <c r="E6728" s="1" t="str">
        <f>HYPERLINK("http://www.ncbi.nlm.nih.gov/gene/?term=CENPA","NCBI")</f>
        <v>NCBI</v>
      </c>
      <c r="F6728">
        <v>8.3000000000000004E-2</v>
      </c>
      <c r="G6728">
        <v>0.21</v>
      </c>
      <c r="H6728" s="1" t="str">
        <f>HYPERLINK("http://www.weizmann.ac.il/complex/compphys/software/geview/data/figures/204962_s_at.png","Figure")</f>
        <v>Figure</v>
      </c>
      <c r="I6728">
        <v>0.63400000000000001</v>
      </c>
      <c r="J6728">
        <v>0.16</v>
      </c>
      <c r="K6728">
        <v>1.06</v>
      </c>
      <c r="L6728">
        <v>0.95</v>
      </c>
      <c r="M6728">
        <v>1.67</v>
      </c>
      <c r="N6728">
        <v>8.1000000000000003E-2</v>
      </c>
    </row>
    <row r="6729" spans="1:14" x14ac:dyDescent="0.25">
      <c r="A6729" t="s">
        <v>12049</v>
      </c>
      <c r="B6729" t="s">
        <v>12050</v>
      </c>
      <c r="C6729" s="1" t="str">
        <f>HYPERLINK("http://www.genecards.org/cgi-bin/carddisp.pl?gene=TIPARP","GeneCards")</f>
        <v>GeneCards</v>
      </c>
      <c r="D6729" s="1" t="str">
        <f>HYPERLINK("http://genome-euro.ucsc.edu/cgi-bin/hgTracks?position=212665_at","UCSC")</f>
        <v>UCSC</v>
      </c>
      <c r="E6729" s="1" t="str">
        <f>HYPERLINK("http://www.ncbi.nlm.nih.gov/gene/?term=TIPARP","NCBI")</f>
        <v>NCBI</v>
      </c>
      <c r="F6729">
        <v>8.3000000000000004E-2</v>
      </c>
      <c r="G6729">
        <v>0.21</v>
      </c>
      <c r="H6729" s="1" t="str">
        <f>HYPERLINK("http://www.weizmann.ac.il/complex/compphys/software/geview/data/figures/212665_at.png","Figure")</f>
        <v>Figure</v>
      </c>
      <c r="I6729">
        <v>0.70899999999999996</v>
      </c>
      <c r="J6729">
        <v>0.56999999999999995</v>
      </c>
      <c r="K6729">
        <v>0.48799999999999999</v>
      </c>
      <c r="L6729">
        <v>7.0000000000000007E-2</v>
      </c>
      <c r="M6729">
        <v>0.68799999999999994</v>
      </c>
      <c r="N6729">
        <v>0.48</v>
      </c>
    </row>
    <row r="6730" spans="1:14" x14ac:dyDescent="0.25">
      <c r="A6730" t="s">
        <v>12051</v>
      </c>
      <c r="B6730" t="s">
        <v>12052</v>
      </c>
      <c r="C6730" s="1" t="str">
        <f>HYPERLINK("http://www.genecards.org/cgi-bin/carddisp.pl?gene=VAPB","GeneCards")</f>
        <v>GeneCards</v>
      </c>
      <c r="D6730" s="1" t="str">
        <f>HYPERLINK("http://genome-euro.ucsc.edu/cgi-bin/hgTracks?position=202550_s_at","UCSC")</f>
        <v>UCSC</v>
      </c>
      <c r="E6730" s="1" t="str">
        <f>HYPERLINK("http://www.ncbi.nlm.nih.gov/gene/?term=VAPB","NCBI")</f>
        <v>NCBI</v>
      </c>
      <c r="F6730">
        <v>8.3000000000000004E-2</v>
      </c>
      <c r="G6730">
        <v>0.21</v>
      </c>
      <c r="H6730" s="1" t="str">
        <f>HYPERLINK("http://www.weizmann.ac.il/complex/compphys/software/geview/data/figures/202550_s_at.png","Figure")</f>
        <v>Figure</v>
      </c>
      <c r="I6730">
        <v>0.78800000000000003</v>
      </c>
      <c r="J6730">
        <v>0.39</v>
      </c>
      <c r="K6730">
        <v>0.68500000000000005</v>
      </c>
      <c r="L6730">
        <v>6.9000000000000006E-2</v>
      </c>
      <c r="M6730">
        <v>0.86899999999999999</v>
      </c>
      <c r="N6730">
        <v>0.68</v>
      </c>
    </row>
    <row r="6731" spans="1:14" x14ac:dyDescent="0.25">
      <c r="A6731" t="s">
        <v>12053</v>
      </c>
      <c r="B6731" t="s">
        <v>12054</v>
      </c>
      <c r="C6731" s="1" t="str">
        <f>HYPERLINK("http://www.genecards.org/cgi-bin/carddisp.pl?gene=AQP8","GeneCards")</f>
        <v>GeneCards</v>
      </c>
      <c r="D6731" s="1" t="str">
        <f>HYPERLINK("http://genome-euro.ucsc.edu/cgi-bin/hgTracks?position=206784_at","UCSC")</f>
        <v>UCSC</v>
      </c>
      <c r="E6731" s="1" t="str">
        <f>HYPERLINK("http://www.ncbi.nlm.nih.gov/gene/?term=AQP8","NCBI")</f>
        <v>NCBI</v>
      </c>
      <c r="F6731">
        <v>8.3000000000000004E-2</v>
      </c>
      <c r="G6731">
        <v>0.21</v>
      </c>
      <c r="H6731" s="1" t="str">
        <f>HYPERLINK("http://www.weizmann.ac.il/complex/compphys/software/geview/data/figures/206784_at.png","Figure")</f>
        <v>Figure</v>
      </c>
      <c r="I6731">
        <v>1.19</v>
      </c>
      <c r="J6731">
        <v>0.1</v>
      </c>
      <c r="K6731">
        <v>1.02</v>
      </c>
      <c r="L6731">
        <v>0.97</v>
      </c>
      <c r="M6731">
        <v>0.85199999999999998</v>
      </c>
      <c r="N6731">
        <v>0.12</v>
      </c>
    </row>
    <row r="6732" spans="1:14" x14ac:dyDescent="0.25">
      <c r="A6732" t="s">
        <v>12055</v>
      </c>
      <c r="B6732" t="s">
        <v>12056</v>
      </c>
      <c r="C6732" s="1" t="str">
        <f>HYPERLINK("http://www.genecards.org/cgi-bin/carddisp.pl?gene=KIR2DL5A","GeneCards")</f>
        <v>GeneCards</v>
      </c>
      <c r="D6732" s="1" t="str">
        <f>HYPERLINK("http://genome-euro.ucsc.edu/cgi-bin/hgTracks?position=211410_x_at","UCSC")</f>
        <v>UCSC</v>
      </c>
      <c r="E6732" s="1" t="str">
        <f>HYPERLINK("http://www.ncbi.nlm.nih.gov/gene/?term=KIR2DL5A","NCBI")</f>
        <v>NCBI</v>
      </c>
      <c r="F6732">
        <v>8.3000000000000004E-2</v>
      </c>
      <c r="G6732">
        <v>0.21</v>
      </c>
      <c r="H6732" s="1" t="str">
        <f>HYPERLINK("http://www.weizmann.ac.il/complex/compphys/software/geview/data/figures/211410_x_at.png","Figure")</f>
        <v>Figure</v>
      </c>
      <c r="I6732">
        <v>1.31</v>
      </c>
      <c r="J6732">
        <v>0.16</v>
      </c>
      <c r="K6732">
        <v>0.96799999999999997</v>
      </c>
      <c r="L6732">
        <v>0.96</v>
      </c>
      <c r="M6732">
        <v>0.73899999999999999</v>
      </c>
      <c r="N6732">
        <v>8.2000000000000003E-2</v>
      </c>
    </row>
    <row r="6733" spans="1:14" x14ac:dyDescent="0.25">
      <c r="A6733" t="s">
        <v>12057</v>
      </c>
      <c r="B6733" t="s">
        <v>10123</v>
      </c>
      <c r="C6733" s="1" t="str">
        <f>HYPERLINK("http://www.genecards.org/cgi-bin/carddisp.pl?gene=RGS10","GeneCards")</f>
        <v>GeneCards</v>
      </c>
      <c r="D6733" s="1" t="str">
        <f>HYPERLINK("http://genome-euro.ucsc.edu/cgi-bin/hgTracks?position=204316_at","UCSC")</f>
        <v>UCSC</v>
      </c>
      <c r="E6733" s="1" t="str">
        <f>HYPERLINK("http://www.ncbi.nlm.nih.gov/gene/?term=RGS10","NCBI")</f>
        <v>NCBI</v>
      </c>
      <c r="F6733">
        <v>8.3000000000000004E-2</v>
      </c>
      <c r="G6733">
        <v>0.21</v>
      </c>
      <c r="H6733" s="1" t="str">
        <f>HYPERLINK("http://www.weizmann.ac.il/complex/compphys/software/geview/data/figures/204316_at.png","Figure")</f>
        <v>Figure</v>
      </c>
      <c r="I6733">
        <v>1.1299999999999999</v>
      </c>
      <c r="J6733">
        <v>0.18</v>
      </c>
      <c r="K6733">
        <v>0.97899999999999998</v>
      </c>
      <c r="L6733">
        <v>0.92</v>
      </c>
      <c r="M6733">
        <v>0.871</v>
      </c>
      <c r="N6733">
        <v>7.8E-2</v>
      </c>
    </row>
    <row r="6734" spans="1:14" x14ac:dyDescent="0.25">
      <c r="A6734" t="s">
        <v>12058</v>
      </c>
      <c r="B6734" t="s">
        <v>12059</v>
      </c>
      <c r="C6734" s="1" t="str">
        <f>HYPERLINK("http://www.genecards.org/cgi-bin/carddisp.pl?gene=GLRX","GeneCards")</f>
        <v>GeneCards</v>
      </c>
      <c r="D6734" s="1" t="str">
        <f>HYPERLINK("http://genome-euro.ucsc.edu/cgi-bin/hgTracks?position=209276_s_at","UCSC")</f>
        <v>UCSC</v>
      </c>
      <c r="E6734" s="1" t="str">
        <f>HYPERLINK("http://www.ncbi.nlm.nih.gov/gene/?term=GLRX","NCBI")</f>
        <v>NCBI</v>
      </c>
      <c r="F6734">
        <v>8.3000000000000004E-2</v>
      </c>
      <c r="G6734">
        <v>0.21</v>
      </c>
      <c r="H6734" s="1" t="str">
        <f>HYPERLINK("http://www.weizmann.ac.il/complex/compphys/software/geview/data/figures/209276_s_at.png","Figure")</f>
        <v>Figure</v>
      </c>
      <c r="I6734">
        <v>0.92800000000000005</v>
      </c>
      <c r="J6734">
        <v>0.96</v>
      </c>
      <c r="K6734">
        <v>1.62</v>
      </c>
      <c r="L6734">
        <v>0.16</v>
      </c>
      <c r="M6734">
        <v>1.75</v>
      </c>
      <c r="N6734">
        <v>0.12</v>
      </c>
    </row>
    <row r="6735" spans="1:14" x14ac:dyDescent="0.25">
      <c r="A6735" t="s">
        <v>12060</v>
      </c>
      <c r="B6735" t="s">
        <v>12061</v>
      </c>
      <c r="C6735" s="1" t="str">
        <f>HYPERLINK("http://www.genecards.org/cgi-bin/carddisp.pl?gene=ZNF79","GeneCards")</f>
        <v>GeneCards</v>
      </c>
      <c r="D6735" s="1" t="str">
        <f>HYPERLINK("http://genome-euro.ucsc.edu/cgi-bin/hgTracks?position=216486_x_at","UCSC")</f>
        <v>UCSC</v>
      </c>
      <c r="E6735" s="1" t="str">
        <f>HYPERLINK("http://www.ncbi.nlm.nih.gov/gene/?term=ZNF79","NCBI")</f>
        <v>NCBI</v>
      </c>
      <c r="F6735">
        <v>8.3000000000000004E-2</v>
      </c>
      <c r="G6735">
        <v>0.21</v>
      </c>
      <c r="H6735" s="1" t="str">
        <f>HYPERLINK("http://www.weizmann.ac.il/complex/compphys/software/geview/data/figures/216486_x_at.png","Figure")</f>
        <v>Figure</v>
      </c>
      <c r="I6735">
        <v>1.2</v>
      </c>
      <c r="J6735">
        <v>0.16</v>
      </c>
      <c r="K6735">
        <v>1.2</v>
      </c>
      <c r="L6735">
        <v>9.6000000000000002E-2</v>
      </c>
      <c r="M6735">
        <v>1</v>
      </c>
      <c r="N6735">
        <v>1</v>
      </c>
    </row>
    <row r="6736" spans="1:14" x14ac:dyDescent="0.25">
      <c r="A6736" t="s">
        <v>12062</v>
      </c>
      <c r="B6736" t="s">
        <v>12063</v>
      </c>
      <c r="C6736" s="1" t="str">
        <f>HYPERLINK("http://www.genecards.org/cgi-bin/carddisp.pl?gene=C11orf10","GeneCards")</f>
        <v>GeneCards</v>
      </c>
      <c r="D6736" s="1" t="str">
        <f>HYPERLINK("http://genome-euro.ucsc.edu/cgi-bin/hgTracks?position=218213_s_at","UCSC")</f>
        <v>UCSC</v>
      </c>
      <c r="E6736" s="1" t="str">
        <f>HYPERLINK("http://www.ncbi.nlm.nih.gov/gene/?term=C11orf10","NCBI")</f>
        <v>NCBI</v>
      </c>
      <c r="F6736">
        <v>8.3000000000000004E-2</v>
      </c>
      <c r="G6736">
        <v>0.21</v>
      </c>
      <c r="H6736" s="1" t="str">
        <f>HYPERLINK("http://www.weizmann.ac.il/complex/compphys/software/geview/data/figures/218213_s_at.png","Figure")</f>
        <v>Figure</v>
      </c>
      <c r="I6736">
        <v>0.98799999999999999</v>
      </c>
      <c r="J6736">
        <v>1</v>
      </c>
      <c r="K6736">
        <v>1.47</v>
      </c>
      <c r="L6736">
        <v>0.13</v>
      </c>
      <c r="M6736">
        <v>1.49</v>
      </c>
      <c r="N6736">
        <v>0.15</v>
      </c>
    </row>
    <row r="6737" spans="1:14" x14ac:dyDescent="0.25">
      <c r="A6737" t="s">
        <v>12064</v>
      </c>
      <c r="B6737" t="s">
        <v>12065</v>
      </c>
      <c r="C6737" s="1" t="str">
        <f>HYPERLINK("http://www.genecards.org/cgi-bin/carddisp.pl?gene=PSMD1","GeneCards")</f>
        <v>GeneCards</v>
      </c>
      <c r="D6737" s="1" t="str">
        <f>HYPERLINK("http://genome-euro.ucsc.edu/cgi-bin/hgTracks?position=201199_s_at","UCSC")</f>
        <v>UCSC</v>
      </c>
      <c r="E6737" s="1" t="str">
        <f>HYPERLINK("http://www.ncbi.nlm.nih.gov/gene/?term=PSMD1","NCBI")</f>
        <v>NCBI</v>
      </c>
      <c r="F6737">
        <v>8.3000000000000004E-2</v>
      </c>
      <c r="G6737">
        <v>0.21</v>
      </c>
      <c r="H6737" s="1" t="str">
        <f>HYPERLINK("http://www.weizmann.ac.il/complex/compphys/software/geview/data/figures/201199_s_at.png","Figure")</f>
        <v>Figure</v>
      </c>
      <c r="I6737">
        <v>1.19</v>
      </c>
      <c r="J6737">
        <v>0.3</v>
      </c>
      <c r="K6737">
        <v>1.27</v>
      </c>
      <c r="L6737">
        <v>7.1999999999999995E-2</v>
      </c>
      <c r="M6737">
        <v>1.07</v>
      </c>
      <c r="N6737">
        <v>0.82</v>
      </c>
    </row>
    <row r="6738" spans="1:14" x14ac:dyDescent="0.25">
      <c r="A6738" t="s">
        <v>12066</v>
      </c>
      <c r="B6738" t="s">
        <v>12067</v>
      </c>
      <c r="C6738" s="1" t="str">
        <f>HYPERLINK("http://www.genecards.org/cgi-bin/carddisp.pl?gene=IL11RA","GeneCards")</f>
        <v>GeneCards</v>
      </c>
      <c r="D6738" s="1" t="str">
        <f>HYPERLINK("http://genome-euro.ucsc.edu/cgi-bin/hgTracks?position=204773_at","UCSC")</f>
        <v>UCSC</v>
      </c>
      <c r="E6738" s="1" t="str">
        <f>HYPERLINK("http://www.ncbi.nlm.nih.gov/gene/?term=IL11RA","NCBI")</f>
        <v>NCBI</v>
      </c>
      <c r="F6738">
        <v>8.3000000000000004E-2</v>
      </c>
      <c r="G6738">
        <v>0.21</v>
      </c>
      <c r="H6738" s="1" t="str">
        <f>HYPERLINK("http://www.weizmann.ac.il/complex/compphys/software/geview/data/figures/204773_at.png","Figure")</f>
        <v>Figure</v>
      </c>
      <c r="I6738">
        <v>0.76700000000000002</v>
      </c>
      <c r="J6738">
        <v>0.12</v>
      </c>
      <c r="K6738">
        <v>0.99299999999999999</v>
      </c>
      <c r="L6738">
        <v>1</v>
      </c>
      <c r="M6738">
        <v>1.29</v>
      </c>
      <c r="N6738">
        <v>0.1</v>
      </c>
    </row>
    <row r="6739" spans="1:14" x14ac:dyDescent="0.25">
      <c r="A6739" t="s">
        <v>12068</v>
      </c>
      <c r="B6739" t="s">
        <v>12069</v>
      </c>
      <c r="C6739" s="1" t="str">
        <f>HYPERLINK("http://www.genecards.org/cgi-bin/carddisp.pl?gene=GPX5","GeneCards")</f>
        <v>GeneCards</v>
      </c>
      <c r="D6739" s="1" t="str">
        <f>HYPERLINK("http://genome-euro.ucsc.edu/cgi-bin/hgTracks?position=208028_s_at","UCSC")</f>
        <v>UCSC</v>
      </c>
      <c r="E6739" s="1" t="str">
        <f>HYPERLINK("http://www.ncbi.nlm.nih.gov/gene/?term=GPX5","NCBI")</f>
        <v>NCBI</v>
      </c>
      <c r="F6739">
        <v>8.3000000000000004E-2</v>
      </c>
      <c r="G6739">
        <v>0.21</v>
      </c>
      <c r="H6739" s="1" t="str">
        <f>HYPERLINK("http://www.weizmann.ac.il/complex/compphys/software/geview/data/figures/208028_s_at.png","Figure")</f>
        <v>Figure</v>
      </c>
      <c r="I6739">
        <v>1.1200000000000001</v>
      </c>
      <c r="J6739">
        <v>0.14000000000000001</v>
      </c>
      <c r="K6739">
        <v>0.995</v>
      </c>
      <c r="L6739">
        <v>0.99</v>
      </c>
      <c r="M6739">
        <v>0.88600000000000001</v>
      </c>
      <c r="N6739">
        <v>9.0999999999999998E-2</v>
      </c>
    </row>
    <row r="6740" spans="1:14" x14ac:dyDescent="0.25">
      <c r="A6740" t="s">
        <v>12070</v>
      </c>
      <c r="B6740" t="s">
        <v>12071</v>
      </c>
      <c r="C6740" s="1" t="str">
        <f>HYPERLINK("http://www.genecards.org/cgi-bin/carddisp.pl?gene=CTBP1","GeneCards")</f>
        <v>GeneCards</v>
      </c>
      <c r="D6740" s="1" t="str">
        <f>HYPERLINK("http://genome-euro.ucsc.edu/cgi-bin/hgTracks?position=203392_s_at","UCSC")</f>
        <v>UCSC</v>
      </c>
      <c r="E6740" s="1" t="str">
        <f>HYPERLINK("http://www.ncbi.nlm.nih.gov/gene/?term=CTBP1","NCBI")</f>
        <v>NCBI</v>
      </c>
      <c r="F6740">
        <v>8.3000000000000004E-2</v>
      </c>
      <c r="G6740">
        <v>0.21</v>
      </c>
      <c r="H6740" s="1" t="str">
        <f>HYPERLINK("http://www.weizmann.ac.il/complex/compphys/software/geview/data/figures/203392_s_at.png","Figure")</f>
        <v>Figure</v>
      </c>
      <c r="I6740">
        <v>0.58899999999999997</v>
      </c>
      <c r="J6740">
        <v>0.23</v>
      </c>
      <c r="K6740">
        <v>1.18</v>
      </c>
      <c r="L6740">
        <v>0.81</v>
      </c>
      <c r="M6740">
        <v>2.0099999999999998</v>
      </c>
      <c r="N6740">
        <v>7.1999999999999995E-2</v>
      </c>
    </row>
    <row r="6741" spans="1:14" x14ac:dyDescent="0.25">
      <c r="A6741" t="s">
        <v>12072</v>
      </c>
      <c r="B6741" t="s">
        <v>12073</v>
      </c>
      <c r="C6741" s="1" t="str">
        <f>HYPERLINK("http://www.genecards.org/cgi-bin/carddisp.pl?gene=UBTF","GeneCards")</f>
        <v>GeneCards</v>
      </c>
      <c r="D6741" s="1" t="str">
        <f>HYPERLINK("http://genome-euro.ucsc.edu/cgi-bin/hgTracks?position=202692_s_at","UCSC")</f>
        <v>UCSC</v>
      </c>
      <c r="E6741" s="1" t="str">
        <f>HYPERLINK("http://www.ncbi.nlm.nih.gov/gene/?term=UBTF","NCBI")</f>
        <v>NCBI</v>
      </c>
      <c r="F6741">
        <v>8.3000000000000004E-2</v>
      </c>
      <c r="G6741">
        <v>0.21</v>
      </c>
      <c r="H6741" s="1" t="str">
        <f>HYPERLINK("http://www.weizmann.ac.il/complex/compphys/software/geview/data/figures/202692_s_at.png","Figure")</f>
        <v>Figure</v>
      </c>
      <c r="I6741">
        <v>1.1399999999999999</v>
      </c>
      <c r="J6741">
        <v>0.55000000000000004</v>
      </c>
      <c r="K6741">
        <v>1.29</v>
      </c>
      <c r="L6741">
        <v>7.0000000000000007E-2</v>
      </c>
      <c r="M6741">
        <v>1.1399999999999999</v>
      </c>
      <c r="N6741">
        <v>0.5</v>
      </c>
    </row>
    <row r="6742" spans="1:14" x14ac:dyDescent="0.25">
      <c r="A6742" t="s">
        <v>12074</v>
      </c>
      <c r="B6742" t="s">
        <v>12075</v>
      </c>
      <c r="C6742" s="1" t="str">
        <f>HYPERLINK("http://www.genecards.org/cgi-bin/carddisp.pl?gene=GCA","GeneCards")</f>
        <v>GeneCards</v>
      </c>
      <c r="D6742" s="1" t="str">
        <f>HYPERLINK("http://genome-euro.ucsc.edu/cgi-bin/hgTracks?position=203765_at","UCSC")</f>
        <v>UCSC</v>
      </c>
      <c r="E6742" s="1" t="str">
        <f>HYPERLINK("http://www.ncbi.nlm.nih.gov/gene/?term=GCA","NCBI")</f>
        <v>NCBI</v>
      </c>
      <c r="F6742">
        <v>8.3000000000000004E-2</v>
      </c>
      <c r="G6742">
        <v>0.21</v>
      </c>
      <c r="H6742" s="1" t="str">
        <f>HYPERLINK("http://www.weizmann.ac.il/complex/compphys/software/geview/data/figures/203765_at.png","Figure")</f>
        <v>Figure</v>
      </c>
      <c r="I6742">
        <v>0.72299999999999998</v>
      </c>
      <c r="J6742">
        <v>0.48</v>
      </c>
      <c r="K6742">
        <v>0.55600000000000005</v>
      </c>
      <c r="L6742">
        <v>6.9000000000000006E-2</v>
      </c>
      <c r="M6742">
        <v>0.76900000000000002</v>
      </c>
      <c r="N6742">
        <v>0.56999999999999995</v>
      </c>
    </row>
    <row r="6743" spans="1:14" x14ac:dyDescent="0.25">
      <c r="A6743" t="s">
        <v>12076</v>
      </c>
      <c r="B6743" t="s">
        <v>12077</v>
      </c>
      <c r="C6743" s="1" t="str">
        <f>HYPERLINK("http://www.genecards.org/cgi-bin/carddisp.pl?gene=BCAM","GeneCards")</f>
        <v>GeneCards</v>
      </c>
      <c r="D6743" s="1" t="str">
        <f>HYPERLINK("http://genome-euro.ucsc.edu/cgi-bin/hgTracks?position=40093_at","UCSC")</f>
        <v>UCSC</v>
      </c>
      <c r="E6743" s="1" t="str">
        <f>HYPERLINK("http://www.ncbi.nlm.nih.gov/gene/?term=BCAM","NCBI")</f>
        <v>NCBI</v>
      </c>
      <c r="F6743">
        <v>8.3000000000000004E-2</v>
      </c>
      <c r="G6743">
        <v>0.21</v>
      </c>
      <c r="H6743" s="1" t="str">
        <f>HYPERLINK("http://www.weizmann.ac.il/complex/compphys/software/geview/data/figures/40093_at.png","Figure")</f>
        <v>Figure</v>
      </c>
      <c r="I6743">
        <v>1.25</v>
      </c>
      <c r="J6743">
        <v>7.3999999999999996E-2</v>
      </c>
      <c r="K6743">
        <v>1.07</v>
      </c>
      <c r="L6743">
        <v>0.66</v>
      </c>
      <c r="M6743">
        <v>0.86</v>
      </c>
      <c r="N6743">
        <v>0.22</v>
      </c>
    </row>
    <row r="6744" spans="1:14" x14ac:dyDescent="0.25">
      <c r="A6744" t="s">
        <v>12078</v>
      </c>
      <c r="B6744" t="s">
        <v>12079</v>
      </c>
      <c r="C6744" s="1" t="str">
        <f>HYPERLINK("http://www.genecards.org/cgi-bin/carddisp.pl?gene=LHX1","GeneCards")</f>
        <v>GeneCards</v>
      </c>
      <c r="D6744" s="1" t="str">
        <f>HYPERLINK("http://genome-euro.ucsc.edu/cgi-bin/hgTracks?position=206230_at","UCSC")</f>
        <v>UCSC</v>
      </c>
      <c r="E6744" s="1" t="str">
        <f>HYPERLINK("http://www.ncbi.nlm.nih.gov/gene/?term=LHX1","NCBI")</f>
        <v>NCBI</v>
      </c>
      <c r="F6744">
        <v>8.3000000000000004E-2</v>
      </c>
      <c r="G6744">
        <v>0.21</v>
      </c>
      <c r="H6744" s="1" t="str">
        <f>HYPERLINK("http://www.weizmann.ac.il/complex/compphys/software/geview/data/figures/206230_at.png","Figure")</f>
        <v>Figure</v>
      </c>
      <c r="I6744">
        <v>1.21</v>
      </c>
      <c r="J6744">
        <v>7.6999999999999999E-2</v>
      </c>
      <c r="K6744">
        <v>1.05</v>
      </c>
      <c r="L6744">
        <v>0.74</v>
      </c>
      <c r="M6744">
        <v>0.872</v>
      </c>
      <c r="N6744">
        <v>0.19</v>
      </c>
    </row>
    <row r="6745" spans="1:14" x14ac:dyDescent="0.25">
      <c r="A6745" t="s">
        <v>12080</v>
      </c>
      <c r="B6745" t="s">
        <v>12081</v>
      </c>
      <c r="C6745" s="1" t="str">
        <f>HYPERLINK("http://www.genecards.org/cgi-bin/carddisp.pl?gene=TYRO3","GeneCards")</f>
        <v>GeneCards</v>
      </c>
      <c r="D6745" s="1" t="str">
        <f>HYPERLINK("http://genome-euro.ucsc.edu/cgi-bin/hgTracks?position=211432_s_at","UCSC")</f>
        <v>UCSC</v>
      </c>
      <c r="E6745" s="1" t="str">
        <f>HYPERLINK("http://www.ncbi.nlm.nih.gov/gene/?term=TYRO3","NCBI")</f>
        <v>NCBI</v>
      </c>
      <c r="F6745">
        <v>8.3000000000000004E-2</v>
      </c>
      <c r="G6745">
        <v>0.21</v>
      </c>
      <c r="H6745" s="1" t="str">
        <f>HYPERLINK("http://www.weizmann.ac.il/complex/compphys/software/geview/data/figures/211432_s_at.png","Figure")</f>
        <v>Figure</v>
      </c>
      <c r="I6745">
        <v>1.31</v>
      </c>
      <c r="J6745">
        <v>8.5000000000000006E-2</v>
      </c>
      <c r="K6745">
        <v>1.06</v>
      </c>
      <c r="L6745">
        <v>0.85</v>
      </c>
      <c r="M6745">
        <v>0.80700000000000005</v>
      </c>
      <c r="N6745">
        <v>0.15</v>
      </c>
    </row>
    <row r="6746" spans="1:14" x14ac:dyDescent="0.25">
      <c r="A6746" t="s">
        <v>12082</v>
      </c>
      <c r="B6746" t="s">
        <v>11609</v>
      </c>
      <c r="C6746" s="1" t="str">
        <f>HYPERLINK("http://www.genecards.org/cgi-bin/carddisp.pl?gene=ATP5SL","GeneCards")</f>
        <v>GeneCards</v>
      </c>
      <c r="D6746" s="1" t="str">
        <f>HYPERLINK("http://genome-euro.ucsc.edu/cgi-bin/hgTracks?position=45828_at","UCSC")</f>
        <v>UCSC</v>
      </c>
      <c r="E6746" s="1" t="str">
        <f>HYPERLINK("http://www.ncbi.nlm.nih.gov/gene/?term=ATP5SL","NCBI")</f>
        <v>NCBI</v>
      </c>
      <c r="F6746">
        <v>8.3000000000000004E-2</v>
      </c>
      <c r="G6746">
        <v>0.21</v>
      </c>
      <c r="H6746" s="1" t="str">
        <f>HYPERLINK("http://www.weizmann.ac.il/complex/compphys/software/geview/data/figures/45828_at.png","Figure")</f>
        <v>Figure</v>
      </c>
      <c r="I6746">
        <v>0.88200000000000001</v>
      </c>
      <c r="J6746">
        <v>0.66</v>
      </c>
      <c r="K6746">
        <v>1.21</v>
      </c>
      <c r="L6746">
        <v>0.31</v>
      </c>
      <c r="M6746">
        <v>1.37</v>
      </c>
      <c r="N6746">
        <v>8.1000000000000003E-2</v>
      </c>
    </row>
    <row r="6747" spans="1:14" x14ac:dyDescent="0.25">
      <c r="A6747" t="s">
        <v>12083</v>
      </c>
      <c r="B6747" t="s">
        <v>12084</v>
      </c>
      <c r="C6747" s="1" t="str">
        <f>HYPERLINK("http://www.genecards.org/cgi-bin/carddisp.pl?gene=MT1G","GeneCards")</f>
        <v>GeneCards</v>
      </c>
      <c r="D6747" s="1" t="str">
        <f>HYPERLINK("http://genome-euro.ucsc.edu/cgi-bin/hgTracks?position=204745_x_at","UCSC")</f>
        <v>UCSC</v>
      </c>
      <c r="E6747" s="1" t="str">
        <f>HYPERLINK("http://www.ncbi.nlm.nih.gov/gene/?term=MT1G","NCBI")</f>
        <v>NCBI</v>
      </c>
      <c r="F6747">
        <v>8.3000000000000004E-2</v>
      </c>
      <c r="G6747">
        <v>0.21</v>
      </c>
      <c r="H6747" s="1" t="str">
        <f>HYPERLINK("http://www.weizmann.ac.il/complex/compphys/software/geview/data/figures/204745_x_at.png","Figure")</f>
        <v>Figure</v>
      </c>
      <c r="I6747">
        <v>1.58</v>
      </c>
      <c r="J6747">
        <v>0.12</v>
      </c>
      <c r="K6747">
        <v>1.48</v>
      </c>
      <c r="L6747">
        <v>0.12</v>
      </c>
      <c r="M6747">
        <v>0.94</v>
      </c>
      <c r="N6747">
        <v>0.95</v>
      </c>
    </row>
    <row r="6748" spans="1:14" x14ac:dyDescent="0.25">
      <c r="A6748" t="s">
        <v>12085</v>
      </c>
      <c r="B6748" t="s">
        <v>11571</v>
      </c>
      <c r="C6748" s="1" t="str">
        <f>HYPERLINK("http://www.genecards.org/cgi-bin/carddisp.pl?gene=FGF18","GeneCards")</f>
        <v>GeneCards</v>
      </c>
      <c r="D6748" s="1" t="str">
        <f>HYPERLINK("http://genome-euro.ucsc.edu/cgi-bin/hgTracks?position=206986_at","UCSC")</f>
        <v>UCSC</v>
      </c>
      <c r="E6748" s="1" t="str">
        <f>HYPERLINK("http://www.ncbi.nlm.nih.gov/gene/?term=FGF18","NCBI")</f>
        <v>NCBI</v>
      </c>
      <c r="F6748">
        <v>8.3000000000000004E-2</v>
      </c>
      <c r="G6748">
        <v>0.21</v>
      </c>
      <c r="H6748" s="1" t="str">
        <f>HYPERLINK("http://www.weizmann.ac.il/complex/compphys/software/geview/data/figures/206986_at.png","Figure")</f>
        <v>Figure</v>
      </c>
      <c r="I6748">
        <v>1.17</v>
      </c>
      <c r="J6748">
        <v>9.6000000000000002E-2</v>
      </c>
      <c r="K6748">
        <v>1.1299999999999999</v>
      </c>
      <c r="L6748">
        <v>0.16</v>
      </c>
      <c r="M6748">
        <v>0.96199999999999997</v>
      </c>
      <c r="N6748">
        <v>0.83</v>
      </c>
    </row>
    <row r="6749" spans="1:14" x14ac:dyDescent="0.25">
      <c r="A6749" t="s">
        <v>12086</v>
      </c>
      <c r="B6749" t="s">
        <v>12087</v>
      </c>
      <c r="C6749" s="1" t="str">
        <f>HYPERLINK("http://www.genecards.org/cgi-bin/carddisp.pl?gene=GNAT1","GeneCards")</f>
        <v>GeneCards</v>
      </c>
      <c r="D6749" s="1" t="str">
        <f>HYPERLINK("http://genome-euro.ucsc.edu/cgi-bin/hgTracks?position=214286_at","UCSC")</f>
        <v>UCSC</v>
      </c>
      <c r="E6749" s="1" t="str">
        <f>HYPERLINK("http://www.ncbi.nlm.nih.gov/gene/?term=GNAT1","NCBI")</f>
        <v>NCBI</v>
      </c>
      <c r="F6749">
        <v>8.3000000000000004E-2</v>
      </c>
      <c r="G6749">
        <v>0.21</v>
      </c>
      <c r="H6749" s="1" t="str">
        <f>HYPERLINK("http://www.weizmann.ac.il/complex/compphys/software/geview/data/figures/214286_at.png","Figure")</f>
        <v>Figure</v>
      </c>
      <c r="I6749">
        <v>1.1599999999999999</v>
      </c>
      <c r="J6749">
        <v>7.9000000000000001E-2</v>
      </c>
      <c r="K6749">
        <v>1.04</v>
      </c>
      <c r="L6749">
        <v>0.77</v>
      </c>
      <c r="M6749">
        <v>0.89300000000000002</v>
      </c>
      <c r="N6749">
        <v>0.18</v>
      </c>
    </row>
    <row r="6750" spans="1:14" x14ac:dyDescent="0.25">
      <c r="A6750" t="s">
        <v>12088</v>
      </c>
      <c r="B6750" t="s">
        <v>12089</v>
      </c>
      <c r="C6750" s="1" t="str">
        <f>HYPERLINK("http://www.genecards.org/cgi-bin/carddisp.pl?gene=RECK","GeneCards")</f>
        <v>GeneCards</v>
      </c>
      <c r="D6750" s="1" t="str">
        <f>HYPERLINK("http://genome-euro.ucsc.edu/cgi-bin/hgTracks?position=216153_x_at","UCSC")</f>
        <v>UCSC</v>
      </c>
      <c r="E6750" s="1" t="str">
        <f>HYPERLINK("http://www.ncbi.nlm.nih.gov/gene/?term=RECK","NCBI")</f>
        <v>NCBI</v>
      </c>
      <c r="F6750">
        <v>8.3000000000000004E-2</v>
      </c>
      <c r="G6750">
        <v>0.21</v>
      </c>
      <c r="H6750" s="1" t="str">
        <f>HYPERLINK("http://www.weizmann.ac.il/complex/compphys/software/geview/data/figures/216153_x_at.png","Figure")</f>
        <v>Figure</v>
      </c>
      <c r="I6750">
        <v>1.51</v>
      </c>
      <c r="J6750">
        <v>7.4999999999999997E-2</v>
      </c>
      <c r="K6750">
        <v>1.1299999999999999</v>
      </c>
      <c r="L6750">
        <v>0.7</v>
      </c>
      <c r="M6750">
        <v>0.747</v>
      </c>
      <c r="N6750">
        <v>0.2</v>
      </c>
    </row>
    <row r="6751" spans="1:14" x14ac:dyDescent="0.25">
      <c r="A6751" t="s">
        <v>12090</v>
      </c>
      <c r="B6751" t="s">
        <v>12091</v>
      </c>
      <c r="C6751" s="1" t="str">
        <f>HYPERLINK("http://www.genecards.org/cgi-bin/carddisp.pl?gene=CHD5","GeneCards")</f>
        <v>GeneCards</v>
      </c>
      <c r="D6751" s="1" t="str">
        <f>HYPERLINK("http://genome-euro.ucsc.edu/cgi-bin/hgTracks?position=213965_s_at","UCSC")</f>
        <v>UCSC</v>
      </c>
      <c r="E6751" s="1" t="str">
        <f>HYPERLINK("http://www.ncbi.nlm.nih.gov/gene/?term=CHD5","NCBI")</f>
        <v>NCBI</v>
      </c>
      <c r="F6751">
        <v>8.4000000000000005E-2</v>
      </c>
      <c r="G6751">
        <v>0.21</v>
      </c>
      <c r="H6751" s="1" t="str">
        <f>HYPERLINK("http://www.weizmann.ac.il/complex/compphys/software/geview/data/figures/213965_s_at.png","Figure")</f>
        <v>Figure</v>
      </c>
      <c r="I6751">
        <v>1.0900000000000001</v>
      </c>
      <c r="J6751">
        <v>7.4999999999999997E-2</v>
      </c>
      <c r="K6751">
        <v>1.05</v>
      </c>
      <c r="L6751">
        <v>0.26</v>
      </c>
      <c r="M6751">
        <v>0.96399999999999997</v>
      </c>
      <c r="N6751">
        <v>0.56000000000000005</v>
      </c>
    </row>
    <row r="6752" spans="1:14" x14ac:dyDescent="0.25">
      <c r="A6752" t="s">
        <v>12092</v>
      </c>
      <c r="B6752" t="s">
        <v>10471</v>
      </c>
      <c r="C6752" s="1" t="str">
        <f>HYPERLINK("http://www.genecards.org/cgi-bin/carddisp.pl?gene=PSMB1","GeneCards")</f>
        <v>GeneCards</v>
      </c>
      <c r="D6752" s="1" t="str">
        <f>HYPERLINK("http://genome-euro.ucsc.edu/cgi-bin/hgTracks?position=200876_s_at","UCSC")</f>
        <v>UCSC</v>
      </c>
      <c r="E6752" s="1" t="str">
        <f>HYPERLINK("http://www.ncbi.nlm.nih.gov/gene/?term=PSMB1","NCBI")</f>
        <v>NCBI</v>
      </c>
      <c r="F6752">
        <v>8.4000000000000005E-2</v>
      </c>
      <c r="G6752">
        <v>0.21</v>
      </c>
      <c r="H6752" s="1" t="str">
        <f>HYPERLINK("http://www.weizmann.ac.il/complex/compphys/software/geview/data/figures/200876_s_at.png","Figure")</f>
        <v>Figure</v>
      </c>
      <c r="I6752">
        <v>0.72599999999999998</v>
      </c>
      <c r="J6752">
        <v>0.16</v>
      </c>
      <c r="K6752">
        <v>1.03</v>
      </c>
      <c r="L6752">
        <v>0.97</v>
      </c>
      <c r="M6752">
        <v>1.42</v>
      </c>
      <c r="N6752">
        <v>8.4000000000000005E-2</v>
      </c>
    </row>
    <row r="6753" spans="1:14" x14ac:dyDescent="0.25">
      <c r="A6753" t="s">
        <v>12093</v>
      </c>
      <c r="B6753" t="s">
        <v>10086</v>
      </c>
      <c r="C6753" s="1" t="str">
        <f>HYPERLINK("http://www.genecards.org/cgi-bin/carddisp.pl?gene=CASP2","GeneCards")</f>
        <v>GeneCards</v>
      </c>
      <c r="D6753" s="1" t="str">
        <f>HYPERLINK("http://genome-euro.ucsc.edu/cgi-bin/hgTracks?position=209811_at","UCSC")</f>
        <v>UCSC</v>
      </c>
      <c r="E6753" s="1" t="str">
        <f>HYPERLINK("http://www.ncbi.nlm.nih.gov/gene/?term=CASP2","NCBI")</f>
        <v>NCBI</v>
      </c>
      <c r="F6753">
        <v>8.4000000000000005E-2</v>
      </c>
      <c r="G6753">
        <v>0.21</v>
      </c>
      <c r="H6753" s="1" t="str">
        <f>HYPERLINK("http://www.weizmann.ac.il/complex/compphys/software/geview/data/figures/209811_at.png","Figure")</f>
        <v>Figure</v>
      </c>
      <c r="I6753">
        <v>0.83399999999999996</v>
      </c>
      <c r="J6753">
        <v>0.08</v>
      </c>
      <c r="K6753">
        <v>0.89</v>
      </c>
      <c r="L6753">
        <v>0.22</v>
      </c>
      <c r="M6753">
        <v>1.07</v>
      </c>
      <c r="N6753">
        <v>0.65</v>
      </c>
    </row>
    <row r="6754" spans="1:14" x14ac:dyDescent="0.25">
      <c r="A6754" t="s">
        <v>12094</v>
      </c>
      <c r="B6754" t="s">
        <v>5779</v>
      </c>
      <c r="C6754" s="1" t="str">
        <f>HYPERLINK("http://www.genecards.org/cgi-bin/carddisp.pl?gene=PSME3","GeneCards")</f>
        <v>GeneCards</v>
      </c>
      <c r="D6754" s="1" t="str">
        <f>HYPERLINK("http://genome-euro.ucsc.edu/cgi-bin/hgTracks?position=209853_s_at","UCSC")</f>
        <v>UCSC</v>
      </c>
      <c r="E6754" s="1" t="str">
        <f>HYPERLINK("http://www.ncbi.nlm.nih.gov/gene/?term=PSME3","NCBI")</f>
        <v>NCBI</v>
      </c>
      <c r="F6754">
        <v>8.4000000000000005E-2</v>
      </c>
      <c r="G6754">
        <v>0.21</v>
      </c>
      <c r="H6754" s="1" t="str">
        <f>HYPERLINK("http://www.weizmann.ac.il/complex/compphys/software/geview/data/figures/209853_s_at.png","Figure")</f>
        <v>Figure</v>
      </c>
      <c r="I6754">
        <v>1.06</v>
      </c>
      <c r="J6754">
        <v>0.88</v>
      </c>
      <c r="K6754">
        <v>1.3</v>
      </c>
      <c r="L6754">
        <v>8.7999999999999995E-2</v>
      </c>
      <c r="M6754">
        <v>1.22</v>
      </c>
      <c r="N6754">
        <v>0.26</v>
      </c>
    </row>
    <row r="6755" spans="1:14" x14ac:dyDescent="0.25">
      <c r="A6755" t="s">
        <v>12095</v>
      </c>
      <c r="B6755" t="s">
        <v>12096</v>
      </c>
      <c r="C6755" s="1" t="str">
        <f>HYPERLINK("http://www.genecards.org/cgi-bin/carddisp.pl?gene=RCOR1","GeneCards")</f>
        <v>GeneCards</v>
      </c>
      <c r="D6755" s="1" t="str">
        <f>HYPERLINK("http://genome-euro.ucsc.edu/cgi-bin/hgTracks?position=212612_at","UCSC")</f>
        <v>UCSC</v>
      </c>
      <c r="E6755" s="1" t="str">
        <f>HYPERLINK("http://www.ncbi.nlm.nih.gov/gene/?term=RCOR1","NCBI")</f>
        <v>NCBI</v>
      </c>
      <c r="F6755">
        <v>8.4000000000000005E-2</v>
      </c>
      <c r="G6755">
        <v>0.21</v>
      </c>
      <c r="H6755" s="1" t="str">
        <f>HYPERLINK("http://www.weizmann.ac.il/complex/compphys/software/geview/data/figures/212612_at.png","Figure")</f>
        <v>Figure</v>
      </c>
      <c r="I6755">
        <v>0.72599999999999998</v>
      </c>
      <c r="J6755">
        <v>0.26</v>
      </c>
      <c r="K6755">
        <v>1.1299999999999999</v>
      </c>
      <c r="L6755">
        <v>0.75</v>
      </c>
      <c r="M6755">
        <v>1.56</v>
      </c>
      <c r="N6755">
        <v>7.0999999999999994E-2</v>
      </c>
    </row>
    <row r="6756" spans="1:14" x14ac:dyDescent="0.25">
      <c r="A6756" t="s">
        <v>12097</v>
      </c>
      <c r="B6756" t="s">
        <v>12098</v>
      </c>
      <c r="C6756" s="1" t="str">
        <f>HYPERLINK("http://www.genecards.org/cgi-bin/carddisp.pl?gene=SUV39H1","GeneCards")</f>
        <v>GeneCards</v>
      </c>
      <c r="D6756" s="1" t="str">
        <f>HYPERLINK("http://genome-euro.ucsc.edu/cgi-bin/hgTracks?position=218619_s_at","UCSC")</f>
        <v>UCSC</v>
      </c>
      <c r="E6756" s="1" t="str">
        <f>HYPERLINK("http://www.ncbi.nlm.nih.gov/gene/?term=SUV39H1","NCBI")</f>
        <v>NCBI</v>
      </c>
      <c r="F6756">
        <v>8.4000000000000005E-2</v>
      </c>
      <c r="G6756">
        <v>0.21</v>
      </c>
      <c r="H6756" s="1" t="str">
        <f>HYPERLINK("http://www.weizmann.ac.il/complex/compphys/software/geview/data/figures/218619_s_at.png","Figure")</f>
        <v>Figure</v>
      </c>
      <c r="I6756">
        <v>1.08</v>
      </c>
      <c r="J6756">
        <v>0.62</v>
      </c>
      <c r="K6756">
        <v>1.19</v>
      </c>
      <c r="L6756">
        <v>7.1999999999999995E-2</v>
      </c>
      <c r="M6756">
        <v>1.1000000000000001</v>
      </c>
      <c r="N6756">
        <v>0.44</v>
      </c>
    </row>
    <row r="6757" spans="1:14" x14ac:dyDescent="0.25">
      <c r="A6757" t="s">
        <v>12099</v>
      </c>
      <c r="B6757" t="s">
        <v>12100</v>
      </c>
      <c r="C6757" s="1" t="str">
        <f>HYPERLINK("http://www.genecards.org/cgi-bin/carddisp.pl?gene=AJAP1","GeneCards")</f>
        <v>GeneCards</v>
      </c>
      <c r="D6757" s="1" t="str">
        <f>HYPERLINK("http://genome-euro.ucsc.edu/cgi-bin/hgTracks?position=206460_at","UCSC")</f>
        <v>UCSC</v>
      </c>
      <c r="E6757" s="1" t="str">
        <f>HYPERLINK("http://www.ncbi.nlm.nih.gov/gene/?term=AJAP1","NCBI")</f>
        <v>NCBI</v>
      </c>
      <c r="F6757">
        <v>8.4000000000000005E-2</v>
      </c>
      <c r="G6757">
        <v>0.21</v>
      </c>
      <c r="H6757" s="1" t="str">
        <f>HYPERLINK("http://www.weizmann.ac.il/complex/compphys/software/geview/data/figures/206460_at.png","Figure")</f>
        <v>Figure</v>
      </c>
      <c r="I6757">
        <v>1.01</v>
      </c>
      <c r="J6757">
        <v>0.99</v>
      </c>
      <c r="K6757">
        <v>0.90400000000000003</v>
      </c>
      <c r="L6757">
        <v>0.15</v>
      </c>
      <c r="M6757">
        <v>0.89600000000000002</v>
      </c>
      <c r="N6757">
        <v>0.14000000000000001</v>
      </c>
    </row>
    <row r="6758" spans="1:14" x14ac:dyDescent="0.25">
      <c r="A6758" t="s">
        <v>12101</v>
      </c>
      <c r="B6758" t="s">
        <v>5536</v>
      </c>
      <c r="C6758" s="1" t="str">
        <f>HYPERLINK("http://www.genecards.org/cgi-bin/carddisp.pl?gene=MAX","GeneCards")</f>
        <v>GeneCards</v>
      </c>
      <c r="D6758" s="1" t="str">
        <f>HYPERLINK("http://genome-euro.ucsc.edu/cgi-bin/hgTracks?position=209331_s_at","UCSC")</f>
        <v>UCSC</v>
      </c>
      <c r="E6758" s="1" t="str">
        <f>HYPERLINK("http://www.ncbi.nlm.nih.gov/gene/?term=MAX","NCBI")</f>
        <v>NCBI</v>
      </c>
      <c r="F6758">
        <v>8.4000000000000005E-2</v>
      </c>
      <c r="G6758">
        <v>0.21</v>
      </c>
      <c r="H6758" s="1" t="str">
        <f>HYPERLINK("http://www.weizmann.ac.il/complex/compphys/software/geview/data/figures/209331_s_at.png","Figure")</f>
        <v>Figure</v>
      </c>
      <c r="I6758">
        <v>0.67400000000000004</v>
      </c>
      <c r="J6758">
        <v>7.1999999999999995E-2</v>
      </c>
      <c r="K6758">
        <v>0.80600000000000005</v>
      </c>
      <c r="L6758">
        <v>0.31</v>
      </c>
      <c r="M6758">
        <v>1.2</v>
      </c>
      <c r="N6758">
        <v>0.48</v>
      </c>
    </row>
    <row r="6759" spans="1:14" x14ac:dyDescent="0.25">
      <c r="A6759" t="s">
        <v>12102</v>
      </c>
      <c r="B6759" t="s">
        <v>8942</v>
      </c>
      <c r="C6759" s="1" t="str">
        <f>HYPERLINK("http://www.genecards.org/cgi-bin/carddisp.pl?gene=SIGLEC7","GeneCards")</f>
        <v>GeneCards</v>
      </c>
      <c r="D6759" s="1" t="str">
        <f>HYPERLINK("http://genome-euro.ucsc.edu/cgi-bin/hgTracks?position=217159_x_at","UCSC")</f>
        <v>UCSC</v>
      </c>
      <c r="E6759" s="1" t="str">
        <f>HYPERLINK("http://www.ncbi.nlm.nih.gov/gene/?term=SIGLEC7","NCBI")</f>
        <v>NCBI</v>
      </c>
      <c r="F6759">
        <v>8.4000000000000005E-2</v>
      </c>
      <c r="G6759">
        <v>0.21</v>
      </c>
      <c r="H6759" s="1" t="str">
        <f>HYPERLINK("http://www.weizmann.ac.il/complex/compphys/software/geview/data/figures/217159_x_at.png","Figure")</f>
        <v>Figure</v>
      </c>
      <c r="I6759">
        <v>1.22</v>
      </c>
      <c r="J6759">
        <v>7.4999999999999997E-2</v>
      </c>
      <c r="K6759">
        <v>1.06</v>
      </c>
      <c r="L6759">
        <v>0.7</v>
      </c>
      <c r="M6759">
        <v>0.86899999999999999</v>
      </c>
      <c r="N6759">
        <v>0.2</v>
      </c>
    </row>
    <row r="6760" spans="1:14" x14ac:dyDescent="0.25">
      <c r="A6760" t="s">
        <v>12103</v>
      </c>
      <c r="B6760" t="s">
        <v>12104</v>
      </c>
      <c r="C6760" s="1" t="str">
        <f>HYPERLINK("http://www.genecards.org/cgi-bin/carddisp.pl?gene=Magmas","GeneCards")</f>
        <v>GeneCards</v>
      </c>
      <c r="D6760" s="1" t="str">
        <f>HYPERLINK("http://genome-euro.ucsc.edu/cgi-bin/hgTracks?position=218969_at","UCSC")</f>
        <v>UCSC</v>
      </c>
      <c r="E6760" s="1" t="str">
        <f>HYPERLINK("http://www.ncbi.nlm.nih.gov/gene/?term=Magmas","NCBI")</f>
        <v>NCBI</v>
      </c>
      <c r="F6760">
        <v>8.4000000000000005E-2</v>
      </c>
      <c r="G6760">
        <v>0.21</v>
      </c>
      <c r="H6760" s="1" t="str">
        <f>HYPERLINK("http://www.weizmann.ac.il/complex/compphys/software/geview/data/figures/218969_at.png","Figure")</f>
        <v>Figure</v>
      </c>
      <c r="I6760">
        <v>1.24</v>
      </c>
      <c r="J6760">
        <v>0.11</v>
      </c>
      <c r="K6760">
        <v>1.01</v>
      </c>
      <c r="L6760">
        <v>0.99</v>
      </c>
      <c r="M6760">
        <v>0.81499999999999995</v>
      </c>
      <c r="N6760">
        <v>0.11</v>
      </c>
    </row>
    <row r="6761" spans="1:14" x14ac:dyDescent="0.25">
      <c r="A6761" t="s">
        <v>12105</v>
      </c>
      <c r="B6761" t="s">
        <v>12106</v>
      </c>
      <c r="C6761" s="1" t="str">
        <f>HYPERLINK("http://www.genecards.org/cgi-bin/carddisp.pl?gene=DZIP3","GeneCards")</f>
        <v>GeneCards</v>
      </c>
      <c r="D6761" s="1" t="str">
        <f>HYPERLINK("http://genome-euro.ucsc.edu/cgi-bin/hgTracks?position=207232_s_at","UCSC")</f>
        <v>UCSC</v>
      </c>
      <c r="E6761" s="1" t="str">
        <f>HYPERLINK("http://www.ncbi.nlm.nih.gov/gene/?term=DZIP3","NCBI")</f>
        <v>NCBI</v>
      </c>
      <c r="F6761">
        <v>8.4000000000000005E-2</v>
      </c>
      <c r="G6761">
        <v>0.21</v>
      </c>
      <c r="H6761" s="1" t="str">
        <f>HYPERLINK("http://www.weizmann.ac.il/complex/compphys/software/geview/data/figures/207232_s_at.png","Figure")</f>
        <v>Figure</v>
      </c>
      <c r="I6761">
        <v>1.1000000000000001</v>
      </c>
      <c r="J6761">
        <v>0.36</v>
      </c>
      <c r="K6761">
        <v>1.1499999999999999</v>
      </c>
      <c r="L6761">
        <v>7.0999999999999994E-2</v>
      </c>
      <c r="M6761">
        <v>1.05</v>
      </c>
      <c r="N6761">
        <v>0.72</v>
      </c>
    </row>
    <row r="6762" spans="1:14" x14ac:dyDescent="0.25">
      <c r="A6762" t="s">
        <v>12107</v>
      </c>
      <c r="B6762" t="s">
        <v>12108</v>
      </c>
      <c r="C6762" s="1" t="str">
        <f>HYPERLINK("http://www.genecards.org/cgi-bin/carddisp.pl?gene=RAB3D","GeneCards")</f>
        <v>GeneCards</v>
      </c>
      <c r="D6762" s="1" t="str">
        <f>HYPERLINK("http://genome-euro.ucsc.edu/cgi-bin/hgTracks?position=208466_at","UCSC")</f>
        <v>UCSC</v>
      </c>
      <c r="E6762" s="1" t="str">
        <f>HYPERLINK("http://www.ncbi.nlm.nih.gov/gene/?term=RAB3D","NCBI")</f>
        <v>NCBI</v>
      </c>
      <c r="F6762">
        <v>8.4000000000000005E-2</v>
      </c>
      <c r="G6762">
        <v>0.21</v>
      </c>
      <c r="H6762" s="1" t="str">
        <f>HYPERLINK("http://www.weizmann.ac.il/complex/compphys/software/geview/data/figures/208466_at.png","Figure")</f>
        <v>Figure</v>
      </c>
      <c r="I6762">
        <v>1.29</v>
      </c>
      <c r="J6762">
        <v>7.1999999999999995E-2</v>
      </c>
      <c r="K6762">
        <v>1.0900000000000001</v>
      </c>
      <c r="L6762">
        <v>0.61</v>
      </c>
      <c r="M6762">
        <v>0.84799999999999998</v>
      </c>
      <c r="N6762">
        <v>0.24</v>
      </c>
    </row>
    <row r="6763" spans="1:14" x14ac:dyDescent="0.25">
      <c r="A6763" t="s">
        <v>12109</v>
      </c>
      <c r="B6763" t="s">
        <v>11555</v>
      </c>
      <c r="C6763" s="1" t="str">
        <f>HYPERLINK("http://www.genecards.org/cgi-bin/carddisp.pl?gene=BGN","GeneCards")</f>
        <v>GeneCards</v>
      </c>
      <c r="D6763" s="1" t="str">
        <f>HYPERLINK("http://genome-euro.ucsc.edu/cgi-bin/hgTracks?position=201262_s_at","UCSC")</f>
        <v>UCSC</v>
      </c>
      <c r="E6763" s="1" t="str">
        <f>HYPERLINK("http://www.ncbi.nlm.nih.gov/gene/?term=BGN","NCBI")</f>
        <v>NCBI</v>
      </c>
      <c r="F6763">
        <v>8.4000000000000005E-2</v>
      </c>
      <c r="G6763">
        <v>0.21</v>
      </c>
      <c r="H6763" s="1" t="str">
        <f>HYPERLINK("http://www.weizmann.ac.il/complex/compphys/software/geview/data/figures/201262_s_at.png","Figure")</f>
        <v>Figure</v>
      </c>
      <c r="I6763">
        <v>1.1299999999999999</v>
      </c>
      <c r="J6763">
        <v>0.11</v>
      </c>
      <c r="K6763">
        <v>1.1000000000000001</v>
      </c>
      <c r="L6763">
        <v>0.14000000000000001</v>
      </c>
      <c r="M6763">
        <v>0.97699999999999998</v>
      </c>
      <c r="N6763">
        <v>0.89</v>
      </c>
    </row>
    <row r="6764" spans="1:14" x14ac:dyDescent="0.25">
      <c r="A6764" t="s">
        <v>12110</v>
      </c>
      <c r="B6764" t="s">
        <v>12111</v>
      </c>
      <c r="C6764" s="1" t="str">
        <f>HYPERLINK("http://www.genecards.org/cgi-bin/carddisp.pl?gene=ALX3","GeneCards")</f>
        <v>GeneCards</v>
      </c>
      <c r="D6764" s="1" t="str">
        <f>HYPERLINK("http://genome-euro.ucsc.edu/cgi-bin/hgTracks?position=207690_at","UCSC")</f>
        <v>UCSC</v>
      </c>
      <c r="E6764" s="1" t="str">
        <f>HYPERLINK("http://www.ncbi.nlm.nih.gov/gene/?term=ALX3","NCBI")</f>
        <v>NCBI</v>
      </c>
      <c r="F6764">
        <v>8.4000000000000005E-2</v>
      </c>
      <c r="G6764">
        <v>0.21</v>
      </c>
      <c r="H6764" s="1" t="str">
        <f>HYPERLINK("http://www.weizmann.ac.il/complex/compphys/software/geview/data/figures/207690_at.png","Figure")</f>
        <v>Figure</v>
      </c>
      <c r="I6764">
        <v>1.1100000000000001</v>
      </c>
      <c r="J6764">
        <v>7.9000000000000001E-2</v>
      </c>
      <c r="K6764">
        <v>1.03</v>
      </c>
      <c r="L6764">
        <v>0.77</v>
      </c>
      <c r="M6764">
        <v>0.92500000000000004</v>
      </c>
      <c r="N6764">
        <v>0.18</v>
      </c>
    </row>
    <row r="6765" spans="1:14" x14ac:dyDescent="0.25">
      <c r="A6765" t="s">
        <v>12112</v>
      </c>
      <c r="B6765" t="s">
        <v>12113</v>
      </c>
      <c r="C6765" s="1" t="str">
        <f>HYPERLINK("http://www.genecards.org/cgi-bin/carddisp.pl?gene=ZNF500","GeneCards")</f>
        <v>GeneCards</v>
      </c>
      <c r="D6765" s="1" t="str">
        <f>HYPERLINK("http://genome-euro.ucsc.edu/cgi-bin/hgTracks?position=213641_at","UCSC")</f>
        <v>UCSC</v>
      </c>
      <c r="E6765" s="1" t="str">
        <f>HYPERLINK("http://www.ncbi.nlm.nih.gov/gene/?term=ZNF500","NCBI")</f>
        <v>NCBI</v>
      </c>
      <c r="F6765">
        <v>8.4000000000000005E-2</v>
      </c>
      <c r="G6765">
        <v>0.21</v>
      </c>
      <c r="H6765" s="1" t="str">
        <f>HYPERLINK("http://www.weizmann.ac.il/complex/compphys/software/geview/data/figures/213641_at.png","Figure")</f>
        <v>Figure</v>
      </c>
      <c r="I6765">
        <v>1.18</v>
      </c>
      <c r="J6765">
        <v>0.11</v>
      </c>
      <c r="K6765">
        <v>1.01</v>
      </c>
      <c r="L6765">
        <v>0.99</v>
      </c>
      <c r="M6765">
        <v>0.85399999999999998</v>
      </c>
      <c r="N6765">
        <v>0.11</v>
      </c>
    </row>
    <row r="6766" spans="1:14" x14ac:dyDescent="0.25">
      <c r="A6766" t="s">
        <v>12114</v>
      </c>
      <c r="B6766" t="s">
        <v>12115</v>
      </c>
      <c r="C6766" s="1" t="str">
        <f>HYPERLINK("http://www.genecards.org/cgi-bin/carddisp.pl?gene=GRB2","GeneCards")</f>
        <v>GeneCards</v>
      </c>
      <c r="D6766" s="1" t="str">
        <f>HYPERLINK("http://genome-euro.ucsc.edu/cgi-bin/hgTracks?position=215075_s_at","UCSC")</f>
        <v>UCSC</v>
      </c>
      <c r="E6766" s="1" t="str">
        <f>HYPERLINK("http://www.ncbi.nlm.nih.gov/gene/?term=GRB2","NCBI")</f>
        <v>NCBI</v>
      </c>
      <c r="F6766">
        <v>8.4000000000000005E-2</v>
      </c>
      <c r="G6766">
        <v>0.21</v>
      </c>
      <c r="H6766" s="1" t="str">
        <f>HYPERLINK("http://www.weizmann.ac.il/complex/compphys/software/geview/data/figures/215075_s_at.png","Figure")</f>
        <v>Figure</v>
      </c>
      <c r="I6766">
        <v>1.1599999999999999</v>
      </c>
      <c r="J6766">
        <v>0.56000000000000005</v>
      </c>
      <c r="K6766">
        <v>1.36</v>
      </c>
      <c r="L6766">
        <v>7.0999999999999994E-2</v>
      </c>
      <c r="M6766">
        <v>1.17</v>
      </c>
      <c r="N6766">
        <v>0.5</v>
      </c>
    </row>
    <row r="6767" spans="1:14" x14ac:dyDescent="0.25">
      <c r="A6767" t="s">
        <v>12116</v>
      </c>
      <c r="B6767" t="s">
        <v>12117</v>
      </c>
      <c r="C6767" s="1" t="str">
        <f>HYPERLINK("http://www.genecards.org/cgi-bin/carddisp.pl?gene=ZNF434","GeneCards")</f>
        <v>GeneCards</v>
      </c>
      <c r="D6767" s="1" t="str">
        <f>HYPERLINK("http://genome-euro.ucsc.edu/cgi-bin/hgTracks?position=220292_at","UCSC")</f>
        <v>UCSC</v>
      </c>
      <c r="E6767" s="1" t="str">
        <f>HYPERLINK("http://www.ncbi.nlm.nih.gov/gene/?term=ZNF434","NCBI")</f>
        <v>NCBI</v>
      </c>
      <c r="F6767">
        <v>8.4000000000000005E-2</v>
      </c>
      <c r="G6767">
        <v>0.21</v>
      </c>
      <c r="H6767" s="1" t="str">
        <f>HYPERLINK("http://www.weizmann.ac.il/complex/compphys/software/geview/data/figures/220292_at.png","Figure")</f>
        <v>Figure</v>
      </c>
      <c r="I6767">
        <v>1.1499999999999999</v>
      </c>
      <c r="J6767">
        <v>0.13</v>
      </c>
      <c r="K6767">
        <v>1.1399999999999999</v>
      </c>
      <c r="L6767">
        <v>0.11</v>
      </c>
      <c r="M6767">
        <v>0.98799999999999999</v>
      </c>
      <c r="N6767">
        <v>0.98</v>
      </c>
    </row>
    <row r="6768" spans="1:14" x14ac:dyDescent="0.25">
      <c r="A6768" t="s">
        <v>12118</v>
      </c>
      <c r="B6768" t="s">
        <v>2960</v>
      </c>
      <c r="C6768" s="1" t="str">
        <f>HYPERLINK("http://www.genecards.org/cgi-bin/carddisp.pl?gene=DDX27","GeneCards")</f>
        <v>GeneCards</v>
      </c>
      <c r="D6768" s="1" t="str">
        <f>HYPERLINK("http://genome-euro.ucsc.edu/cgi-bin/hgTracks?position=221780_s_at","UCSC")</f>
        <v>UCSC</v>
      </c>
      <c r="E6768" s="1" t="str">
        <f>HYPERLINK("http://www.ncbi.nlm.nih.gov/gene/?term=DDX27","NCBI")</f>
        <v>NCBI</v>
      </c>
      <c r="F6768">
        <v>8.4000000000000005E-2</v>
      </c>
      <c r="G6768">
        <v>0.21</v>
      </c>
      <c r="H6768" s="1" t="str">
        <f>HYPERLINK("http://www.weizmann.ac.il/complex/compphys/software/geview/data/figures/221780_s_at.png","Figure")</f>
        <v>Figure</v>
      </c>
      <c r="I6768">
        <v>1.27</v>
      </c>
      <c r="J6768">
        <v>0.31</v>
      </c>
      <c r="K6768">
        <v>0.88600000000000001</v>
      </c>
      <c r="L6768">
        <v>0.66</v>
      </c>
      <c r="M6768">
        <v>0.69499999999999995</v>
      </c>
      <c r="N6768">
        <v>7.0000000000000007E-2</v>
      </c>
    </row>
    <row r="6769" spans="1:14" x14ac:dyDescent="0.25">
      <c r="A6769" t="s">
        <v>12119</v>
      </c>
      <c r="B6769" t="s">
        <v>12120</v>
      </c>
      <c r="C6769" s="1" t="str">
        <f>HYPERLINK("http://www.genecards.org/cgi-bin/carddisp.pl?gene=DBN1","GeneCards")</f>
        <v>GeneCards</v>
      </c>
      <c r="D6769" s="1" t="str">
        <f>HYPERLINK("http://genome-euro.ucsc.edu/cgi-bin/hgTracks?position=202806_at","UCSC")</f>
        <v>UCSC</v>
      </c>
      <c r="E6769" s="1" t="str">
        <f>HYPERLINK("http://www.ncbi.nlm.nih.gov/gene/?term=DBN1","NCBI")</f>
        <v>NCBI</v>
      </c>
      <c r="F6769">
        <v>8.4000000000000005E-2</v>
      </c>
      <c r="G6769">
        <v>0.21</v>
      </c>
      <c r="H6769" s="1" t="str">
        <f>HYPERLINK("http://www.weizmann.ac.il/complex/compphys/software/geview/data/figures/202806_at.png","Figure")</f>
        <v>Figure</v>
      </c>
      <c r="I6769">
        <v>1.34</v>
      </c>
      <c r="J6769">
        <v>7.0999999999999994E-2</v>
      </c>
      <c r="K6769">
        <v>1.1599999999999999</v>
      </c>
      <c r="L6769">
        <v>0.37</v>
      </c>
      <c r="M6769">
        <v>0.86499999999999999</v>
      </c>
      <c r="N6769">
        <v>0.42</v>
      </c>
    </row>
    <row r="6770" spans="1:14" x14ac:dyDescent="0.25">
      <c r="A6770" t="s">
        <v>12121</v>
      </c>
      <c r="B6770" t="s">
        <v>12122</v>
      </c>
      <c r="C6770" s="1" t="str">
        <f>HYPERLINK("http://www.genecards.org/cgi-bin/carddisp.pl?gene=RCAN1","GeneCards")</f>
        <v>GeneCards</v>
      </c>
      <c r="D6770" s="1" t="str">
        <f>HYPERLINK("http://genome-euro.ucsc.edu/cgi-bin/hgTracks?position=208370_s_at","UCSC")</f>
        <v>UCSC</v>
      </c>
      <c r="E6770" s="1" t="str">
        <f>HYPERLINK("http://www.ncbi.nlm.nih.gov/gene/?term=RCAN1","NCBI")</f>
        <v>NCBI</v>
      </c>
      <c r="F6770">
        <v>8.4000000000000005E-2</v>
      </c>
      <c r="G6770">
        <v>0.21</v>
      </c>
      <c r="H6770" s="1" t="str">
        <f>HYPERLINK("http://www.weizmann.ac.il/complex/compphys/software/geview/data/figures/208370_s_at.png","Figure")</f>
        <v>Figure</v>
      </c>
      <c r="I6770">
        <v>0.61399999999999999</v>
      </c>
      <c r="J6770">
        <v>0.39</v>
      </c>
      <c r="K6770">
        <v>1.4</v>
      </c>
      <c r="L6770">
        <v>0.55000000000000004</v>
      </c>
      <c r="M6770">
        <v>2.2799999999999998</v>
      </c>
      <c r="N6770">
        <v>7.0000000000000007E-2</v>
      </c>
    </row>
    <row r="6771" spans="1:14" x14ac:dyDescent="0.25">
      <c r="A6771" t="s">
        <v>12123</v>
      </c>
      <c r="B6771" t="s">
        <v>12124</v>
      </c>
      <c r="C6771" s="1" t="str">
        <f>HYPERLINK("http://www.genecards.org/cgi-bin/carddisp.pl?gene=POLS","GeneCards")</f>
        <v>GeneCards</v>
      </c>
      <c r="D6771" s="1" t="str">
        <f>HYPERLINK("http://genome-euro.ucsc.edu/cgi-bin/hgTracks?position=202466_at","UCSC")</f>
        <v>UCSC</v>
      </c>
      <c r="E6771" s="1" t="str">
        <f>HYPERLINK("http://www.ncbi.nlm.nih.gov/gene/?term=POLS","NCBI")</f>
        <v>NCBI</v>
      </c>
      <c r="F6771">
        <v>8.4000000000000005E-2</v>
      </c>
      <c r="G6771">
        <v>0.21</v>
      </c>
      <c r="H6771" s="1" t="str">
        <f>HYPERLINK("http://www.weizmann.ac.il/complex/compphys/software/geview/data/figures/202466_at.png","Figure")</f>
        <v>Figure</v>
      </c>
      <c r="I6771">
        <v>0.77300000000000002</v>
      </c>
      <c r="J6771">
        <v>0.54</v>
      </c>
      <c r="K6771">
        <v>0.60099999999999998</v>
      </c>
      <c r="L6771">
        <v>7.0999999999999994E-2</v>
      </c>
      <c r="M6771">
        <v>0.77800000000000002</v>
      </c>
      <c r="N6771">
        <v>0.51</v>
      </c>
    </row>
    <row r="6772" spans="1:14" x14ac:dyDescent="0.25">
      <c r="A6772" t="s">
        <v>12125</v>
      </c>
      <c r="B6772" t="s">
        <v>12126</v>
      </c>
      <c r="C6772" s="1" t="str">
        <f>HYPERLINK("http://www.genecards.org/cgi-bin/carddisp.pl?gene=XPO6","GeneCards")</f>
        <v>GeneCards</v>
      </c>
      <c r="D6772" s="1" t="str">
        <f>HYPERLINK("http://genome-euro.ucsc.edu/cgi-bin/hgTracks?position=214784_x_at","UCSC")</f>
        <v>UCSC</v>
      </c>
      <c r="E6772" s="1" t="str">
        <f>HYPERLINK("http://www.ncbi.nlm.nih.gov/gene/?term=XPO6","NCBI")</f>
        <v>NCBI</v>
      </c>
      <c r="F6772">
        <v>8.4000000000000005E-2</v>
      </c>
      <c r="G6772">
        <v>0.21</v>
      </c>
      <c r="H6772" s="1" t="str">
        <f>HYPERLINK("http://www.weizmann.ac.il/complex/compphys/software/geview/data/figures/214784_x_at.png","Figure")</f>
        <v>Figure</v>
      </c>
      <c r="I6772">
        <v>1.29</v>
      </c>
      <c r="J6772">
        <v>8.5999999999999993E-2</v>
      </c>
      <c r="K6772">
        <v>1.05</v>
      </c>
      <c r="L6772">
        <v>0.85</v>
      </c>
      <c r="M6772">
        <v>0.81499999999999995</v>
      </c>
      <c r="N6772">
        <v>0.15</v>
      </c>
    </row>
    <row r="6773" spans="1:14" x14ac:dyDescent="0.25">
      <c r="A6773" t="s">
        <v>12127</v>
      </c>
      <c r="B6773" t="s">
        <v>12128</v>
      </c>
      <c r="C6773" s="1" t="str">
        <f>HYPERLINK("http://www.genecards.org/cgi-bin/carddisp.pl?gene=RHOB","GeneCards")</f>
        <v>GeneCards</v>
      </c>
      <c r="D6773" s="1" t="str">
        <f>HYPERLINK("http://genome-euro.ucsc.edu/cgi-bin/hgTracks?position=212099_at","UCSC")</f>
        <v>UCSC</v>
      </c>
      <c r="E6773" s="1" t="str">
        <f>HYPERLINK("http://www.ncbi.nlm.nih.gov/gene/?term=RHOB","NCBI")</f>
        <v>NCBI</v>
      </c>
      <c r="F6773">
        <v>8.4000000000000005E-2</v>
      </c>
      <c r="G6773">
        <v>0.21</v>
      </c>
      <c r="H6773" s="1" t="str">
        <f>HYPERLINK("http://www.weizmann.ac.il/complex/compphys/software/geview/data/figures/212099_at.png","Figure")</f>
        <v>Figure</v>
      </c>
      <c r="I6773">
        <v>1.35</v>
      </c>
      <c r="J6773">
        <v>0.76</v>
      </c>
      <c r="K6773">
        <v>2.39</v>
      </c>
      <c r="L6773">
        <v>7.9000000000000001E-2</v>
      </c>
      <c r="M6773">
        <v>1.77</v>
      </c>
      <c r="N6773">
        <v>0.34</v>
      </c>
    </row>
    <row r="6774" spans="1:14" x14ac:dyDescent="0.25">
      <c r="A6774" t="s">
        <v>12129</v>
      </c>
      <c r="B6774" t="s">
        <v>12130</v>
      </c>
      <c r="C6774" s="1" t="str">
        <f>HYPERLINK("http://www.genecards.org/cgi-bin/carddisp.pl?gene=CTTN","GeneCards")</f>
        <v>GeneCards</v>
      </c>
      <c r="D6774" s="1" t="str">
        <f>HYPERLINK("http://genome-euro.ucsc.edu/cgi-bin/hgTracks?position=214074_s_at","UCSC")</f>
        <v>UCSC</v>
      </c>
      <c r="E6774" s="1" t="str">
        <f>HYPERLINK("http://www.ncbi.nlm.nih.gov/gene/?term=CTTN","NCBI")</f>
        <v>NCBI</v>
      </c>
      <c r="F6774">
        <v>8.4000000000000005E-2</v>
      </c>
      <c r="G6774">
        <v>0.21</v>
      </c>
      <c r="H6774" s="1" t="str">
        <f>HYPERLINK("http://www.weizmann.ac.il/complex/compphys/software/geview/data/figures/214074_s_at.png","Figure")</f>
        <v>Figure</v>
      </c>
      <c r="I6774">
        <v>1.1100000000000001</v>
      </c>
      <c r="J6774">
        <v>7.4999999999999997E-2</v>
      </c>
      <c r="K6774">
        <v>1.03</v>
      </c>
      <c r="L6774">
        <v>0.68</v>
      </c>
      <c r="M6774">
        <v>0.92900000000000005</v>
      </c>
      <c r="N6774">
        <v>0.21</v>
      </c>
    </row>
    <row r="6775" spans="1:14" x14ac:dyDescent="0.25">
      <c r="A6775" t="s">
        <v>12131</v>
      </c>
      <c r="B6775" t="s">
        <v>12132</v>
      </c>
      <c r="C6775" s="1" t="str">
        <f>HYPERLINK("http://www.genecards.org/cgi-bin/carddisp.pl?gene=GNB2L1","GeneCards")</f>
        <v>GeneCards</v>
      </c>
      <c r="D6775" s="1" t="str">
        <f>HYPERLINK("http://genome-euro.ucsc.edu/cgi-bin/hgTracks?position=222034_at","UCSC")</f>
        <v>UCSC</v>
      </c>
      <c r="E6775" s="1" t="str">
        <f>HYPERLINK("http://www.ncbi.nlm.nih.gov/gene/?term=GNB2L1","NCBI")</f>
        <v>NCBI</v>
      </c>
      <c r="F6775">
        <v>8.4000000000000005E-2</v>
      </c>
      <c r="G6775">
        <v>0.21</v>
      </c>
      <c r="H6775" s="1" t="str">
        <f>HYPERLINK("http://www.weizmann.ac.il/complex/compphys/software/geview/data/figures/222034_at.png","Figure")</f>
        <v>Figure</v>
      </c>
      <c r="I6775">
        <v>1.07</v>
      </c>
      <c r="J6775">
        <v>0.88</v>
      </c>
      <c r="K6775">
        <v>0.81200000000000006</v>
      </c>
      <c r="L6775">
        <v>0.2</v>
      </c>
      <c r="M6775">
        <v>0.76200000000000001</v>
      </c>
      <c r="N6775">
        <v>0.1</v>
      </c>
    </row>
    <row r="6776" spans="1:14" x14ac:dyDescent="0.25">
      <c r="A6776" t="s">
        <v>12133</v>
      </c>
      <c r="B6776" t="s">
        <v>12134</v>
      </c>
      <c r="C6776" s="1" t="str">
        <f>HYPERLINK("http://www.genecards.org/cgi-bin/carddisp.pl?gene=EIF4A2","GeneCards")</f>
        <v>GeneCards</v>
      </c>
      <c r="D6776" s="1" t="str">
        <f>HYPERLINK("http://genome-euro.ucsc.edu/cgi-bin/hgTracks?position=200912_s_at","UCSC")</f>
        <v>UCSC</v>
      </c>
      <c r="E6776" s="1" t="str">
        <f>HYPERLINK("http://www.ncbi.nlm.nih.gov/gene/?term=EIF4A2","NCBI")</f>
        <v>NCBI</v>
      </c>
      <c r="F6776">
        <v>8.4000000000000005E-2</v>
      </c>
      <c r="G6776">
        <v>0.21</v>
      </c>
      <c r="H6776" s="1" t="str">
        <f>HYPERLINK("http://www.weizmann.ac.il/complex/compphys/software/geview/data/figures/200912_s_at.png","Figure")</f>
        <v>Figure</v>
      </c>
      <c r="I6776">
        <v>0.82099999999999995</v>
      </c>
      <c r="J6776">
        <v>0.3</v>
      </c>
      <c r="K6776">
        <v>0.76400000000000001</v>
      </c>
      <c r="L6776">
        <v>7.3999999999999996E-2</v>
      </c>
      <c r="M6776">
        <v>0.93100000000000005</v>
      </c>
      <c r="N6776">
        <v>0.82</v>
      </c>
    </row>
    <row r="6777" spans="1:14" x14ac:dyDescent="0.25">
      <c r="A6777" t="s">
        <v>12135</v>
      </c>
      <c r="B6777" t="s">
        <v>12136</v>
      </c>
      <c r="C6777" s="1" t="str">
        <f>HYPERLINK("http://www.genecards.org/cgi-bin/carddisp.pl?gene=ECE2","GeneCards")</f>
        <v>GeneCards</v>
      </c>
      <c r="D6777" s="1" t="str">
        <f>HYPERLINK("http://genome-euro.ucsc.edu/cgi-bin/hgTracks?position=206728_at","UCSC")</f>
        <v>UCSC</v>
      </c>
      <c r="E6777" s="1" t="str">
        <f>HYPERLINK("http://www.ncbi.nlm.nih.gov/gene/?term=ECE2","NCBI")</f>
        <v>NCBI</v>
      </c>
      <c r="F6777">
        <v>8.4000000000000005E-2</v>
      </c>
      <c r="G6777">
        <v>0.21</v>
      </c>
      <c r="H6777" s="1" t="str">
        <f>HYPERLINK("http://www.weizmann.ac.il/complex/compphys/software/geview/data/figures/206728_at.png","Figure")</f>
        <v>Figure</v>
      </c>
      <c r="I6777">
        <v>1.29</v>
      </c>
      <c r="J6777">
        <v>7.5999999999999998E-2</v>
      </c>
      <c r="K6777">
        <v>1.08</v>
      </c>
      <c r="L6777">
        <v>0.69</v>
      </c>
      <c r="M6777">
        <v>0.83599999999999997</v>
      </c>
      <c r="N6777">
        <v>0.21</v>
      </c>
    </row>
    <row r="6778" spans="1:14" x14ac:dyDescent="0.25">
      <c r="A6778" t="s">
        <v>12137</v>
      </c>
      <c r="B6778" t="s">
        <v>12138</v>
      </c>
      <c r="C6778" s="1" t="str">
        <f>HYPERLINK("http://www.genecards.org/cgi-bin/carddisp.pl?gene=RTN4","GeneCards")</f>
        <v>GeneCards</v>
      </c>
      <c r="D6778" s="1" t="str">
        <f>HYPERLINK("http://genome-euro.ucsc.edu/cgi-bin/hgTracks?position=211509_s_at","UCSC")</f>
        <v>UCSC</v>
      </c>
      <c r="E6778" s="1" t="str">
        <f>HYPERLINK("http://www.ncbi.nlm.nih.gov/gene/?term=RTN4","NCBI")</f>
        <v>NCBI</v>
      </c>
      <c r="F6778">
        <v>8.4000000000000005E-2</v>
      </c>
      <c r="G6778">
        <v>0.21</v>
      </c>
      <c r="H6778" s="1" t="str">
        <f>HYPERLINK("http://www.weizmann.ac.il/complex/compphys/software/geview/data/figures/211509_s_at.png","Figure")</f>
        <v>Figure</v>
      </c>
      <c r="I6778">
        <v>0.73799999999999999</v>
      </c>
      <c r="J6778">
        <v>7.4999999999999997E-2</v>
      </c>
      <c r="K6778">
        <v>0.91</v>
      </c>
      <c r="L6778">
        <v>0.67</v>
      </c>
      <c r="M6778">
        <v>1.23</v>
      </c>
      <c r="N6778">
        <v>0.21</v>
      </c>
    </row>
    <row r="6779" spans="1:14" x14ac:dyDescent="0.25">
      <c r="A6779" t="s">
        <v>12139</v>
      </c>
      <c r="B6779" t="s">
        <v>12140</v>
      </c>
      <c r="C6779" s="1" t="str">
        <f>HYPERLINK("http://www.genecards.org/cgi-bin/carddisp.pl?gene=TBC1D1","GeneCards")</f>
        <v>GeneCards</v>
      </c>
      <c r="D6779" s="1" t="str">
        <f>HYPERLINK("http://genome-euro.ucsc.edu/cgi-bin/hgTracks?position=212350_at","UCSC")</f>
        <v>UCSC</v>
      </c>
      <c r="E6779" s="1" t="str">
        <f>HYPERLINK("http://www.ncbi.nlm.nih.gov/gene/?term=TBC1D1","NCBI")</f>
        <v>NCBI</v>
      </c>
      <c r="F6779">
        <v>8.4000000000000005E-2</v>
      </c>
      <c r="G6779">
        <v>0.21</v>
      </c>
      <c r="H6779" s="1" t="str">
        <f>HYPERLINK("http://www.weizmann.ac.il/complex/compphys/software/geview/data/figures/212350_at.png","Figure")</f>
        <v>Figure</v>
      </c>
      <c r="I6779">
        <v>0.94399999999999995</v>
      </c>
      <c r="J6779">
        <v>0.95</v>
      </c>
      <c r="K6779">
        <v>1.38</v>
      </c>
      <c r="L6779">
        <v>0.17</v>
      </c>
      <c r="M6779">
        <v>1.46</v>
      </c>
      <c r="N6779">
        <v>0.12</v>
      </c>
    </row>
    <row r="6780" spans="1:14" x14ac:dyDescent="0.25">
      <c r="A6780" t="s">
        <v>12141</v>
      </c>
      <c r="B6780" t="s">
        <v>6926</v>
      </c>
      <c r="C6780" s="1" t="str">
        <f>HYPERLINK("http://www.genecards.org/cgi-bin/carddisp.pl?gene=NDRG2","GeneCards")</f>
        <v>GeneCards</v>
      </c>
      <c r="D6780" s="1" t="str">
        <f>HYPERLINK("http://genome-euro.ucsc.edu/cgi-bin/hgTracks?position=214278_s_at","UCSC")</f>
        <v>UCSC</v>
      </c>
      <c r="E6780" s="1" t="str">
        <f>HYPERLINK("http://www.ncbi.nlm.nih.gov/gene/?term=NDRG2","NCBI")</f>
        <v>NCBI</v>
      </c>
      <c r="F6780">
        <v>8.4000000000000005E-2</v>
      </c>
      <c r="G6780">
        <v>0.21</v>
      </c>
      <c r="H6780" s="1" t="str">
        <f>HYPERLINK("http://www.weizmann.ac.il/complex/compphys/software/geview/data/figures/214278_s_at.png","Figure")</f>
        <v>Figure</v>
      </c>
      <c r="I6780">
        <v>1.07</v>
      </c>
      <c r="J6780">
        <v>9.1999999999999998E-2</v>
      </c>
      <c r="K6780">
        <v>1.05</v>
      </c>
      <c r="L6780">
        <v>0.17</v>
      </c>
      <c r="M6780">
        <v>0.98099999999999998</v>
      </c>
      <c r="N6780">
        <v>0.79</v>
      </c>
    </row>
    <row r="6781" spans="1:14" x14ac:dyDescent="0.25">
      <c r="A6781" t="s">
        <v>12142</v>
      </c>
      <c r="B6781" t="s">
        <v>12143</v>
      </c>
      <c r="C6781" s="1" t="str">
        <f>HYPERLINK("http://www.genecards.org/cgi-bin/carddisp.pl?gene=CEP70","GeneCards")</f>
        <v>GeneCards</v>
      </c>
      <c r="D6781" s="1" t="str">
        <f>HYPERLINK("http://genome-euro.ucsc.edu/cgi-bin/hgTracks?position=219036_at","UCSC")</f>
        <v>UCSC</v>
      </c>
      <c r="E6781" s="1" t="str">
        <f>HYPERLINK("http://www.ncbi.nlm.nih.gov/gene/?term=CEP70","NCBI")</f>
        <v>NCBI</v>
      </c>
      <c r="F6781">
        <v>8.5000000000000006E-2</v>
      </c>
      <c r="G6781">
        <v>0.21</v>
      </c>
      <c r="H6781" s="1" t="str">
        <f>HYPERLINK("http://www.weizmann.ac.il/complex/compphys/software/geview/data/figures/219036_at.png","Figure")</f>
        <v>Figure</v>
      </c>
      <c r="I6781">
        <v>0.84499999999999997</v>
      </c>
      <c r="J6781">
        <v>0.17</v>
      </c>
      <c r="K6781">
        <v>0.84</v>
      </c>
      <c r="L6781">
        <v>9.2999999999999999E-2</v>
      </c>
      <c r="M6781">
        <v>0.99399999999999999</v>
      </c>
      <c r="N6781">
        <v>1</v>
      </c>
    </row>
    <row r="6782" spans="1:14" x14ac:dyDescent="0.25">
      <c r="A6782" t="s">
        <v>12144</v>
      </c>
      <c r="B6782" t="s">
        <v>12145</v>
      </c>
      <c r="C6782" s="1" t="str">
        <f>HYPERLINK("http://www.genecards.org/cgi-bin/carddisp.pl?gene=SLC48A1","GeneCards")</f>
        <v>GeneCards</v>
      </c>
      <c r="D6782" s="1" t="str">
        <f>HYPERLINK("http://genome-euro.ucsc.edu/cgi-bin/hgTracks?position=48106_at","UCSC")</f>
        <v>UCSC</v>
      </c>
      <c r="E6782" s="1" t="str">
        <f>HYPERLINK("http://www.ncbi.nlm.nih.gov/gene/?term=SLC48A1","NCBI")</f>
        <v>NCBI</v>
      </c>
      <c r="F6782">
        <v>8.5000000000000006E-2</v>
      </c>
      <c r="G6782">
        <v>0.21</v>
      </c>
      <c r="H6782" s="1" t="str">
        <f>HYPERLINK("http://www.weizmann.ac.il/complex/compphys/software/geview/data/figures/48106_at.png","Figure")</f>
        <v>Figure</v>
      </c>
      <c r="I6782">
        <v>0.93200000000000005</v>
      </c>
      <c r="J6782">
        <v>0.74</v>
      </c>
      <c r="K6782">
        <v>1.1399999999999999</v>
      </c>
      <c r="L6782">
        <v>0.27</v>
      </c>
      <c r="M6782">
        <v>1.22</v>
      </c>
      <c r="N6782">
        <v>8.7999999999999995E-2</v>
      </c>
    </row>
    <row r="6783" spans="1:14" x14ac:dyDescent="0.25">
      <c r="A6783" t="s">
        <v>12146</v>
      </c>
      <c r="B6783" t="s">
        <v>12147</v>
      </c>
      <c r="C6783" s="1" t="str">
        <f>HYPERLINK("http://www.genecards.org/cgi-bin/carddisp.pl?gene=ARHGAP26","GeneCards")</f>
        <v>GeneCards</v>
      </c>
      <c r="D6783" s="1" t="str">
        <f>HYPERLINK("http://genome-euro.ucsc.edu/cgi-bin/hgTracks?position=205068_s_at","UCSC")</f>
        <v>UCSC</v>
      </c>
      <c r="E6783" s="1" t="str">
        <f>HYPERLINK("http://www.ncbi.nlm.nih.gov/gene/?term=ARHGAP26","NCBI")</f>
        <v>NCBI</v>
      </c>
      <c r="F6783">
        <v>8.5000000000000006E-2</v>
      </c>
      <c r="G6783">
        <v>0.21</v>
      </c>
      <c r="H6783" s="1" t="str">
        <f>HYPERLINK("http://www.weizmann.ac.il/complex/compphys/software/geview/data/figures/205068_s_at.png","Figure")</f>
        <v>Figure</v>
      </c>
      <c r="I6783">
        <v>1.18</v>
      </c>
      <c r="J6783">
        <v>0.31</v>
      </c>
      <c r="K6783">
        <v>0.92200000000000004</v>
      </c>
      <c r="L6783">
        <v>0.67</v>
      </c>
      <c r="M6783">
        <v>0.78200000000000003</v>
      </c>
      <c r="N6783">
        <v>7.0000000000000007E-2</v>
      </c>
    </row>
    <row r="6784" spans="1:14" x14ac:dyDescent="0.25">
      <c r="A6784" t="s">
        <v>12148</v>
      </c>
      <c r="B6784" t="s">
        <v>12149</v>
      </c>
      <c r="C6784" s="1" t="str">
        <f>HYPERLINK("http://www.genecards.org/cgi-bin/carddisp.pl?gene=TCF4","GeneCards")</f>
        <v>GeneCards</v>
      </c>
      <c r="D6784" s="1" t="str">
        <f>HYPERLINK("http://genome-euro.ucsc.edu/cgi-bin/hgTracks?position=212382_at","UCSC")</f>
        <v>UCSC</v>
      </c>
      <c r="E6784" s="1" t="str">
        <f>HYPERLINK("http://www.ncbi.nlm.nih.gov/gene/?term=TCF4","NCBI")</f>
        <v>NCBI</v>
      </c>
      <c r="F6784">
        <v>8.5000000000000006E-2</v>
      </c>
      <c r="G6784">
        <v>0.21</v>
      </c>
      <c r="H6784" s="1" t="str">
        <f>HYPERLINK("http://www.weizmann.ac.il/complex/compphys/software/geview/data/figures/212382_at.png","Figure")</f>
        <v>Figure</v>
      </c>
      <c r="I6784">
        <v>1.66</v>
      </c>
      <c r="J6784">
        <v>0.08</v>
      </c>
      <c r="K6784">
        <v>1.38</v>
      </c>
      <c r="L6784">
        <v>0.23</v>
      </c>
      <c r="M6784">
        <v>0.83299999999999996</v>
      </c>
      <c r="N6784">
        <v>0.64</v>
      </c>
    </row>
    <row r="6785" spans="1:14" x14ac:dyDescent="0.25">
      <c r="A6785" t="s">
        <v>12150</v>
      </c>
      <c r="B6785" t="s">
        <v>487</v>
      </c>
      <c r="C6785" s="1" t="str">
        <f>HYPERLINK("http://www.genecards.org/cgi-bin/carddisp.pl?gene=LILRB2","GeneCards")</f>
        <v>GeneCards</v>
      </c>
      <c r="D6785" s="1" t="str">
        <f>HYPERLINK("http://genome-euro.ucsc.edu/cgi-bin/hgTracks?position=207697_x_at","UCSC")</f>
        <v>UCSC</v>
      </c>
      <c r="E6785" s="1" t="str">
        <f>HYPERLINK("http://www.ncbi.nlm.nih.gov/gene/?term=LILRB2","NCBI")</f>
        <v>NCBI</v>
      </c>
      <c r="F6785">
        <v>8.5000000000000006E-2</v>
      </c>
      <c r="G6785">
        <v>0.21</v>
      </c>
      <c r="H6785" s="1" t="str">
        <f>HYPERLINK("http://www.weizmann.ac.il/complex/compphys/software/geview/data/figures/207697_x_at.png","Figure")</f>
        <v>Figure</v>
      </c>
      <c r="I6785">
        <v>0.78300000000000003</v>
      </c>
      <c r="J6785">
        <v>0.23</v>
      </c>
      <c r="K6785">
        <v>1.08</v>
      </c>
      <c r="L6785">
        <v>0.82</v>
      </c>
      <c r="M6785">
        <v>1.38</v>
      </c>
      <c r="N6785">
        <v>7.3999999999999996E-2</v>
      </c>
    </row>
    <row r="6786" spans="1:14" x14ac:dyDescent="0.25">
      <c r="A6786" t="s">
        <v>12151</v>
      </c>
      <c r="B6786" t="s">
        <v>12152</v>
      </c>
      <c r="C6786" s="1" t="str">
        <f>HYPERLINK("http://www.genecards.org/cgi-bin/carddisp.pl?gene=SCYL3","GeneCards")</f>
        <v>GeneCards</v>
      </c>
      <c r="D6786" s="1" t="str">
        <f>HYPERLINK("http://genome-euro.ucsc.edu/cgi-bin/hgTracks?position=41329_at","UCSC")</f>
        <v>UCSC</v>
      </c>
      <c r="E6786" s="1" t="str">
        <f>HYPERLINK("http://www.ncbi.nlm.nih.gov/gene/?term=SCYL3","NCBI")</f>
        <v>NCBI</v>
      </c>
      <c r="F6786">
        <v>8.5000000000000006E-2</v>
      </c>
      <c r="G6786">
        <v>0.21</v>
      </c>
      <c r="H6786" s="1" t="str">
        <f>HYPERLINK("http://www.weizmann.ac.il/complex/compphys/software/geview/data/figures/41329_at.png","Figure")</f>
        <v>Figure</v>
      </c>
      <c r="I6786">
        <v>0.875</v>
      </c>
      <c r="J6786">
        <v>0.52</v>
      </c>
      <c r="K6786">
        <v>1.1499999999999999</v>
      </c>
      <c r="L6786">
        <v>0.41</v>
      </c>
      <c r="M6786">
        <v>1.31</v>
      </c>
      <c r="N6786">
        <v>7.3999999999999996E-2</v>
      </c>
    </row>
    <row r="6787" spans="1:14" x14ac:dyDescent="0.25">
      <c r="A6787" t="s">
        <v>12153</v>
      </c>
      <c r="B6787" t="s">
        <v>11722</v>
      </c>
      <c r="C6787" s="1" t="str">
        <f>HYPERLINK("http://www.genecards.org/cgi-bin/carddisp.pl?gene=GRN","GeneCards")</f>
        <v>GeneCards</v>
      </c>
      <c r="D6787" s="1" t="str">
        <f>HYPERLINK("http://genome-euro.ucsc.edu/cgi-bin/hgTracks?position=200678_x_at","UCSC")</f>
        <v>UCSC</v>
      </c>
      <c r="E6787" s="1" t="str">
        <f>HYPERLINK("http://www.ncbi.nlm.nih.gov/gene/?term=GRN","NCBI")</f>
        <v>NCBI</v>
      </c>
      <c r="F6787">
        <v>8.5000000000000006E-2</v>
      </c>
      <c r="G6787">
        <v>0.21</v>
      </c>
      <c r="H6787" s="1" t="str">
        <f>HYPERLINK("http://www.weizmann.ac.il/complex/compphys/software/geview/data/figures/200678_x_at.png","Figure")</f>
        <v>Figure</v>
      </c>
      <c r="I6787">
        <v>0.89600000000000002</v>
      </c>
      <c r="J6787">
        <v>0.83</v>
      </c>
      <c r="K6787">
        <v>1.34</v>
      </c>
      <c r="L6787">
        <v>0.22</v>
      </c>
      <c r="M6787">
        <v>1.49</v>
      </c>
      <c r="N6787">
        <v>9.8000000000000004E-2</v>
      </c>
    </row>
    <row r="6788" spans="1:14" x14ac:dyDescent="0.25">
      <c r="A6788" t="s">
        <v>12154</v>
      </c>
      <c r="B6788" t="s">
        <v>12155</v>
      </c>
      <c r="C6788" s="1" t="str">
        <f>HYPERLINK("http://www.genecards.org/cgi-bin/carddisp.pl?gene=IMPA1","GeneCards")</f>
        <v>GeneCards</v>
      </c>
      <c r="D6788" s="1" t="str">
        <f>HYPERLINK("http://genome-euro.ucsc.edu/cgi-bin/hgTracks?position=203011_at","UCSC")</f>
        <v>UCSC</v>
      </c>
      <c r="E6788" s="1" t="str">
        <f>HYPERLINK("http://www.ncbi.nlm.nih.gov/gene/?term=IMPA1","NCBI")</f>
        <v>NCBI</v>
      </c>
      <c r="F6788">
        <v>8.5000000000000006E-2</v>
      </c>
      <c r="G6788">
        <v>0.21</v>
      </c>
      <c r="H6788" s="1" t="str">
        <f>HYPERLINK("http://www.weizmann.ac.il/complex/compphys/software/geview/data/figures/203011_at.png","Figure")</f>
        <v>Figure</v>
      </c>
      <c r="I6788">
        <v>0.745</v>
      </c>
      <c r="J6788">
        <v>0.13</v>
      </c>
      <c r="K6788">
        <v>0.76700000000000002</v>
      </c>
      <c r="L6788">
        <v>0.12</v>
      </c>
      <c r="M6788">
        <v>1.03</v>
      </c>
      <c r="N6788">
        <v>0.97</v>
      </c>
    </row>
    <row r="6789" spans="1:14" x14ac:dyDescent="0.25">
      <c r="A6789" t="s">
        <v>12156</v>
      </c>
      <c r="B6789" t="s">
        <v>9476</v>
      </c>
      <c r="C6789" s="1" t="str">
        <f>HYPERLINK("http://www.genecards.org/cgi-bin/carddisp.pl?gene=FLI1","GeneCards")</f>
        <v>GeneCards</v>
      </c>
      <c r="D6789" s="1" t="str">
        <f>HYPERLINK("http://genome-euro.ucsc.edu/cgi-bin/hgTracks?position=204236_at","UCSC")</f>
        <v>UCSC</v>
      </c>
      <c r="E6789" s="1" t="str">
        <f>HYPERLINK("http://www.ncbi.nlm.nih.gov/gene/?term=FLI1","NCBI")</f>
        <v>NCBI</v>
      </c>
      <c r="F6789">
        <v>8.5000000000000006E-2</v>
      </c>
      <c r="G6789">
        <v>0.21</v>
      </c>
      <c r="H6789" s="1" t="str">
        <f>HYPERLINK("http://www.weizmann.ac.il/complex/compphys/software/geview/data/figures/204236_at.png","Figure")</f>
        <v>Figure</v>
      </c>
      <c r="I6789">
        <v>1.57</v>
      </c>
      <c r="J6789">
        <v>0.45</v>
      </c>
      <c r="K6789">
        <v>2.17</v>
      </c>
      <c r="L6789">
        <v>7.0000000000000007E-2</v>
      </c>
      <c r="M6789">
        <v>1.39</v>
      </c>
      <c r="N6789">
        <v>0.61</v>
      </c>
    </row>
    <row r="6790" spans="1:14" x14ac:dyDescent="0.25">
      <c r="A6790" t="s">
        <v>12157</v>
      </c>
      <c r="B6790" t="s">
        <v>12158</v>
      </c>
      <c r="C6790" s="1" t="str">
        <f>HYPERLINK("http://www.genecards.org/cgi-bin/carddisp.pl?gene=CD27","GeneCards")</f>
        <v>GeneCards</v>
      </c>
      <c r="D6790" s="1" t="str">
        <f>HYPERLINK("http://genome-euro.ucsc.edu/cgi-bin/hgTracks?position=206150_at","UCSC")</f>
        <v>UCSC</v>
      </c>
      <c r="E6790" s="1" t="str">
        <f>HYPERLINK("http://www.ncbi.nlm.nih.gov/gene/?term=CD27","NCBI")</f>
        <v>NCBI</v>
      </c>
      <c r="F6790">
        <v>8.5000000000000006E-2</v>
      </c>
      <c r="G6790">
        <v>0.21</v>
      </c>
      <c r="H6790" s="1" t="str">
        <f>HYPERLINK("http://www.weizmann.ac.il/complex/compphys/software/geview/data/figures/206150_at.png","Figure")</f>
        <v>Figure</v>
      </c>
      <c r="I6790">
        <v>0.74299999999999999</v>
      </c>
      <c r="J6790">
        <v>0.57999999999999996</v>
      </c>
      <c r="K6790">
        <v>0.53700000000000003</v>
      </c>
      <c r="L6790">
        <v>7.1999999999999995E-2</v>
      </c>
      <c r="M6790">
        <v>0.72199999999999998</v>
      </c>
      <c r="N6790">
        <v>0.48</v>
      </c>
    </row>
    <row r="6791" spans="1:14" x14ac:dyDescent="0.25">
      <c r="A6791" t="s">
        <v>12159</v>
      </c>
      <c r="B6791" t="s">
        <v>4329</v>
      </c>
      <c r="C6791" s="1" t="str">
        <f>HYPERLINK("http://www.genecards.org/cgi-bin/carddisp.pl?gene=CTSB","GeneCards")</f>
        <v>GeneCards</v>
      </c>
      <c r="D6791" s="1" t="str">
        <f>HYPERLINK("http://genome-euro.ucsc.edu/cgi-bin/hgTracks?position=213275_x_at","UCSC")</f>
        <v>UCSC</v>
      </c>
      <c r="E6791" s="1" t="str">
        <f>HYPERLINK("http://www.ncbi.nlm.nih.gov/gene/?term=CTSB","NCBI")</f>
        <v>NCBI</v>
      </c>
      <c r="F6791">
        <v>8.5000000000000006E-2</v>
      </c>
      <c r="G6791">
        <v>0.21</v>
      </c>
      <c r="H6791" s="1" t="str">
        <f>HYPERLINK("http://www.weizmann.ac.il/complex/compphys/software/geview/data/figures/213275_x_at.png","Figure")</f>
        <v>Figure</v>
      </c>
      <c r="I6791">
        <v>0.61399999999999999</v>
      </c>
      <c r="J6791">
        <v>8.5000000000000006E-2</v>
      </c>
      <c r="K6791">
        <v>0.90300000000000002</v>
      </c>
      <c r="L6791">
        <v>0.84</v>
      </c>
      <c r="M6791">
        <v>1.47</v>
      </c>
      <c r="N6791">
        <v>0.16</v>
      </c>
    </row>
    <row r="6792" spans="1:14" x14ac:dyDescent="0.25">
      <c r="A6792" t="s">
        <v>12160</v>
      </c>
      <c r="B6792" t="s">
        <v>12161</v>
      </c>
      <c r="C6792" s="1" t="str">
        <f>HYPERLINK("http://www.genecards.org/cgi-bin/carddisp.pl?gene=PRSS3","GeneCards")</f>
        <v>GeneCards</v>
      </c>
      <c r="D6792" s="1" t="str">
        <f>HYPERLINK("http://genome-euro.ucsc.edu/cgi-bin/hgTracks?position=213421_x_at","UCSC")</f>
        <v>UCSC</v>
      </c>
      <c r="E6792" s="1" t="str">
        <f>HYPERLINK("http://www.ncbi.nlm.nih.gov/gene/?term=PRSS3","NCBI")</f>
        <v>NCBI</v>
      </c>
      <c r="F6792">
        <v>8.5000000000000006E-2</v>
      </c>
      <c r="G6792">
        <v>0.21</v>
      </c>
      <c r="H6792" s="1" t="str">
        <f>HYPERLINK("http://www.weizmann.ac.il/complex/compphys/software/geview/data/figures/213421_x_at.png","Figure")</f>
        <v>Figure</v>
      </c>
      <c r="I6792">
        <v>1.0900000000000001</v>
      </c>
      <c r="J6792">
        <v>0.61</v>
      </c>
      <c r="K6792">
        <v>0.89200000000000002</v>
      </c>
      <c r="L6792">
        <v>0.35</v>
      </c>
      <c r="M6792">
        <v>0.81699999999999995</v>
      </c>
      <c r="N6792">
        <v>7.9000000000000001E-2</v>
      </c>
    </row>
    <row r="6793" spans="1:14" x14ac:dyDescent="0.25">
      <c r="A6793" t="s">
        <v>12162</v>
      </c>
      <c r="B6793" t="s">
        <v>12163</v>
      </c>
      <c r="C6793" s="1" t="str">
        <f>HYPERLINK("http://www.genecards.org/cgi-bin/carddisp.pl?gene=GJB4","GeneCards")</f>
        <v>GeneCards</v>
      </c>
      <c r="D6793" s="1" t="str">
        <f>HYPERLINK("http://genome-euro.ucsc.edu/cgi-bin/hgTracks?position=216579_at","UCSC")</f>
        <v>UCSC</v>
      </c>
      <c r="E6793" s="1" t="str">
        <f>HYPERLINK("http://www.ncbi.nlm.nih.gov/gene/?term=GJB4","NCBI")</f>
        <v>NCBI</v>
      </c>
      <c r="F6793">
        <v>8.5000000000000006E-2</v>
      </c>
      <c r="G6793">
        <v>0.21</v>
      </c>
      <c r="H6793" s="1" t="str">
        <f>HYPERLINK("http://www.weizmann.ac.il/complex/compphys/software/geview/data/figures/216579_at.png","Figure")</f>
        <v>Figure</v>
      </c>
      <c r="I6793">
        <v>1.27</v>
      </c>
      <c r="J6793">
        <v>0.1</v>
      </c>
      <c r="K6793">
        <v>1.03</v>
      </c>
      <c r="L6793">
        <v>0.96</v>
      </c>
      <c r="M6793">
        <v>0.80900000000000005</v>
      </c>
      <c r="N6793">
        <v>0.12</v>
      </c>
    </row>
    <row r="6794" spans="1:14" x14ac:dyDescent="0.25">
      <c r="A6794" t="s">
        <v>12164</v>
      </c>
      <c r="B6794" t="s">
        <v>5413</v>
      </c>
      <c r="C6794" s="1" t="str">
        <f>HYPERLINK("http://www.genecards.org/cgi-bin/carddisp.pl?gene=HMGB1","GeneCards")</f>
        <v>GeneCards</v>
      </c>
      <c r="D6794" s="1" t="str">
        <f>HYPERLINK("http://genome-euro.ucsc.edu/cgi-bin/hgTracks?position=214938_x_at","UCSC")</f>
        <v>UCSC</v>
      </c>
      <c r="E6794" s="1" t="str">
        <f>HYPERLINK("http://www.ncbi.nlm.nih.gov/gene/?term=HMGB1","NCBI")</f>
        <v>NCBI</v>
      </c>
      <c r="F6794">
        <v>8.5000000000000006E-2</v>
      </c>
      <c r="G6794">
        <v>0.21</v>
      </c>
      <c r="H6794" s="1" t="str">
        <f>HYPERLINK("http://www.weizmann.ac.il/complex/compphys/software/geview/data/figures/214938_x_at.png","Figure")</f>
        <v>Figure</v>
      </c>
      <c r="I6794">
        <v>1.35</v>
      </c>
      <c r="J6794">
        <v>0.11</v>
      </c>
      <c r="K6794">
        <v>1.02</v>
      </c>
      <c r="L6794">
        <v>0.98</v>
      </c>
      <c r="M6794">
        <v>0.75600000000000001</v>
      </c>
      <c r="N6794">
        <v>0.11</v>
      </c>
    </row>
    <row r="6795" spans="1:14" x14ac:dyDescent="0.25">
      <c r="A6795" t="s">
        <v>12165</v>
      </c>
      <c r="B6795" t="s">
        <v>12166</v>
      </c>
      <c r="C6795" s="1" t="str">
        <f>HYPERLINK("http://www.genecards.org/cgi-bin/carddisp.pl?gene=ITGA5","GeneCards")</f>
        <v>GeneCards</v>
      </c>
      <c r="D6795" s="1" t="str">
        <f>HYPERLINK("http://genome-euro.ucsc.edu/cgi-bin/hgTracks?position=201389_at","UCSC")</f>
        <v>UCSC</v>
      </c>
      <c r="E6795" s="1" t="str">
        <f>HYPERLINK("http://www.ncbi.nlm.nih.gov/gene/?term=ITGA5","NCBI")</f>
        <v>NCBI</v>
      </c>
      <c r="F6795">
        <v>8.5000000000000006E-2</v>
      </c>
      <c r="G6795">
        <v>0.21</v>
      </c>
      <c r="H6795" s="1" t="str">
        <f>HYPERLINK("http://www.weizmann.ac.il/complex/compphys/software/geview/data/figures/201389_at.png","Figure")</f>
        <v>Figure</v>
      </c>
      <c r="I6795">
        <v>1.36</v>
      </c>
      <c r="J6795">
        <v>7.0000000000000007E-2</v>
      </c>
      <c r="K6795">
        <v>1.1499999999999999</v>
      </c>
      <c r="L6795">
        <v>0.45</v>
      </c>
      <c r="M6795">
        <v>0.84199999999999997</v>
      </c>
      <c r="N6795">
        <v>0.34</v>
      </c>
    </row>
    <row r="6796" spans="1:14" x14ac:dyDescent="0.25">
      <c r="A6796" t="s">
        <v>12167</v>
      </c>
      <c r="B6796" t="s">
        <v>12168</v>
      </c>
      <c r="C6796" s="1" t="str">
        <f>HYPERLINK("http://www.genecards.org/cgi-bin/carddisp.pl?gene=UBXN8","GeneCards")</f>
        <v>GeneCards</v>
      </c>
      <c r="D6796" s="1" t="str">
        <f>HYPERLINK("http://genome-euro.ucsc.edu/cgi-bin/hgTracks?position=215983_s_at","UCSC")</f>
        <v>UCSC</v>
      </c>
      <c r="E6796" s="1" t="str">
        <f>HYPERLINK("http://www.ncbi.nlm.nih.gov/gene/?term=UBXN8","NCBI")</f>
        <v>NCBI</v>
      </c>
      <c r="F6796">
        <v>8.5000000000000006E-2</v>
      </c>
      <c r="G6796">
        <v>0.21</v>
      </c>
      <c r="H6796" s="1" t="str">
        <f>HYPERLINK("http://www.weizmann.ac.il/complex/compphys/software/geview/data/figures/215983_s_at.png","Figure")</f>
        <v>Figure</v>
      </c>
      <c r="I6796">
        <v>0.76200000000000001</v>
      </c>
      <c r="J6796">
        <v>0.15</v>
      </c>
      <c r="K6796">
        <v>1.03</v>
      </c>
      <c r="L6796">
        <v>0.97</v>
      </c>
      <c r="M6796">
        <v>1.35</v>
      </c>
      <c r="N6796">
        <v>8.5999999999999993E-2</v>
      </c>
    </row>
    <row r="6797" spans="1:14" x14ac:dyDescent="0.25">
      <c r="A6797" t="s">
        <v>12169</v>
      </c>
      <c r="B6797" t="s">
        <v>12170</v>
      </c>
      <c r="C6797" s="1" t="str">
        <f>HYPERLINK("http://www.genecards.org/cgi-bin/carddisp.pl?gene=NNAT","GeneCards")</f>
        <v>GeneCards</v>
      </c>
      <c r="D6797" s="1" t="str">
        <f>HYPERLINK("http://genome-euro.ucsc.edu/cgi-bin/hgTracks?position=204239_s_at","UCSC")</f>
        <v>UCSC</v>
      </c>
      <c r="E6797" s="1" t="str">
        <f>HYPERLINK("http://www.ncbi.nlm.nih.gov/gene/?term=NNAT","NCBI")</f>
        <v>NCBI</v>
      </c>
      <c r="F6797">
        <v>8.5000000000000006E-2</v>
      </c>
      <c r="G6797">
        <v>0.21</v>
      </c>
      <c r="H6797" s="1" t="str">
        <f>HYPERLINK("http://www.weizmann.ac.il/complex/compphys/software/geview/data/figures/204239_s_at.png","Figure")</f>
        <v>Figure</v>
      </c>
      <c r="I6797">
        <v>1.3</v>
      </c>
      <c r="J6797">
        <v>7.3999999999999996E-2</v>
      </c>
      <c r="K6797">
        <v>1.0900000000000001</v>
      </c>
      <c r="L6797">
        <v>0.63</v>
      </c>
      <c r="M6797">
        <v>0.84</v>
      </c>
      <c r="N6797">
        <v>0.23</v>
      </c>
    </row>
    <row r="6798" spans="1:14" x14ac:dyDescent="0.25">
      <c r="A6798" t="s">
        <v>12171</v>
      </c>
      <c r="B6798" t="s">
        <v>6194</v>
      </c>
      <c r="C6798" s="1" t="str">
        <f>HYPERLINK("http://www.genecards.org/cgi-bin/carddisp.pl?gene=MPPE1","GeneCards")</f>
        <v>GeneCards</v>
      </c>
      <c r="D6798" s="1" t="str">
        <f>HYPERLINK("http://genome-euro.ucsc.edu/cgi-bin/hgTracks?position=213727_x_at","UCSC")</f>
        <v>UCSC</v>
      </c>
      <c r="E6798" s="1" t="str">
        <f>HYPERLINK("http://www.ncbi.nlm.nih.gov/gene/?term=MPPE1","NCBI")</f>
        <v>NCBI</v>
      </c>
      <c r="F6798">
        <v>8.5000000000000006E-2</v>
      </c>
      <c r="G6798">
        <v>0.21</v>
      </c>
      <c r="H6798" s="1" t="str">
        <f>HYPERLINK("http://www.weizmann.ac.il/complex/compphys/software/geview/data/figures/213727_x_at.png","Figure")</f>
        <v>Figure</v>
      </c>
      <c r="I6798">
        <v>1.26</v>
      </c>
      <c r="J6798">
        <v>0.2</v>
      </c>
      <c r="K6798">
        <v>0.94699999999999995</v>
      </c>
      <c r="L6798">
        <v>0.88</v>
      </c>
      <c r="M6798">
        <v>0.751</v>
      </c>
      <c r="N6798">
        <v>7.6999999999999999E-2</v>
      </c>
    </row>
    <row r="6799" spans="1:14" x14ac:dyDescent="0.25">
      <c r="A6799" t="s">
        <v>12172</v>
      </c>
      <c r="B6799" t="s">
        <v>12173</v>
      </c>
      <c r="C6799" s="1" t="str">
        <f>HYPERLINK("http://www.genecards.org/cgi-bin/carddisp.pl?gene=LOC645139 /// PAIP1","GeneCards")</f>
        <v>GeneCards</v>
      </c>
      <c r="D6799" s="1" t="str">
        <f>HYPERLINK("http://genome-euro.ucsc.edu/cgi-bin/hgTracks?position=213754_s_at","UCSC")</f>
        <v>UCSC</v>
      </c>
      <c r="E6799" s="1" t="str">
        <f>HYPERLINK("http://www.ncbi.nlm.nih.gov/gene/?term=LOC645139 /// PAIP1","NCBI")</f>
        <v>NCBI</v>
      </c>
      <c r="F6799">
        <v>8.5000000000000006E-2</v>
      </c>
      <c r="G6799">
        <v>0.21</v>
      </c>
      <c r="H6799" s="1" t="str">
        <f>HYPERLINK("http://www.weizmann.ac.il/complex/compphys/software/geview/data/figures/213754_s_at.png","Figure")</f>
        <v>Figure</v>
      </c>
      <c r="I6799">
        <v>0.66700000000000004</v>
      </c>
      <c r="J6799">
        <v>0.17</v>
      </c>
      <c r="K6799">
        <v>0.65700000000000003</v>
      </c>
      <c r="L6799">
        <v>9.4E-2</v>
      </c>
      <c r="M6799">
        <v>0.98499999999999999</v>
      </c>
      <c r="N6799">
        <v>1</v>
      </c>
    </row>
    <row r="6800" spans="1:14" x14ac:dyDescent="0.25">
      <c r="A6800" t="s">
        <v>12174</v>
      </c>
      <c r="B6800" t="s">
        <v>5960</v>
      </c>
      <c r="C6800" s="1" t="str">
        <f>HYPERLINK("http://www.genecards.org/cgi-bin/carddisp.pl?gene=LOC440434","GeneCards")</f>
        <v>GeneCards</v>
      </c>
      <c r="D6800" s="1" t="str">
        <f>HYPERLINK("http://genome-euro.ucsc.edu/cgi-bin/hgTracks?position=215090_x_at","UCSC")</f>
        <v>UCSC</v>
      </c>
      <c r="E6800" s="1" t="str">
        <f>HYPERLINK("http://www.ncbi.nlm.nih.gov/gene/?term=LOC440434","NCBI")</f>
        <v>NCBI</v>
      </c>
      <c r="F6800">
        <v>8.5000000000000006E-2</v>
      </c>
      <c r="G6800">
        <v>0.21</v>
      </c>
      <c r="H6800" s="1" t="str">
        <f>HYPERLINK("http://www.weizmann.ac.il/complex/compphys/software/geview/data/figures/215090_x_at.png","Figure")</f>
        <v>Figure</v>
      </c>
      <c r="I6800">
        <v>1.04</v>
      </c>
      <c r="J6800">
        <v>0.94</v>
      </c>
      <c r="K6800">
        <v>0.81</v>
      </c>
      <c r="L6800">
        <v>0.17</v>
      </c>
      <c r="M6800">
        <v>0.77600000000000002</v>
      </c>
      <c r="N6800">
        <v>0.12</v>
      </c>
    </row>
    <row r="6801" spans="1:14" x14ac:dyDescent="0.25">
      <c r="A6801" t="s">
        <v>12175</v>
      </c>
      <c r="B6801" t="s">
        <v>12176</v>
      </c>
      <c r="C6801" s="1" t="str">
        <f>HYPERLINK("http://www.genecards.org/cgi-bin/carddisp.pl?gene=TTC39A","GeneCards")</f>
        <v>GeneCards</v>
      </c>
      <c r="D6801" s="1" t="str">
        <f>HYPERLINK("http://genome-euro.ucsc.edu/cgi-bin/hgTracks?position=215562_at","UCSC")</f>
        <v>UCSC</v>
      </c>
      <c r="E6801" s="1" t="str">
        <f>HYPERLINK("http://www.ncbi.nlm.nih.gov/gene/?term=TTC39A","NCBI")</f>
        <v>NCBI</v>
      </c>
      <c r="F6801">
        <v>8.5000000000000006E-2</v>
      </c>
      <c r="G6801">
        <v>0.21</v>
      </c>
      <c r="H6801" s="1" t="str">
        <f>HYPERLINK("http://www.weizmann.ac.il/complex/compphys/software/geview/data/figures/215562_at.png","Figure")</f>
        <v>Figure</v>
      </c>
      <c r="I6801">
        <v>1.1299999999999999</v>
      </c>
      <c r="J6801">
        <v>8.3000000000000004E-2</v>
      </c>
      <c r="K6801">
        <v>1.08</v>
      </c>
      <c r="L6801">
        <v>0.22</v>
      </c>
      <c r="M6801">
        <v>0.95899999999999996</v>
      </c>
      <c r="N6801">
        <v>0.67</v>
      </c>
    </row>
    <row r="6802" spans="1:14" x14ac:dyDescent="0.25">
      <c r="A6802" t="s">
        <v>12177</v>
      </c>
      <c r="B6802" t="s">
        <v>12178</v>
      </c>
      <c r="C6802" s="1" t="str">
        <f>HYPERLINK("http://www.genecards.org/cgi-bin/carddisp.pl?gene=NDUFA5","GeneCards")</f>
        <v>GeneCards</v>
      </c>
      <c r="D6802" s="1" t="str">
        <f>HYPERLINK("http://genome-euro.ucsc.edu/cgi-bin/hgTracks?position=215850_s_at","UCSC")</f>
        <v>UCSC</v>
      </c>
      <c r="E6802" s="1" t="str">
        <f>HYPERLINK("http://www.ncbi.nlm.nih.gov/gene/?term=NDUFA5","NCBI")</f>
        <v>NCBI</v>
      </c>
      <c r="F6802">
        <v>8.5000000000000006E-2</v>
      </c>
      <c r="G6802">
        <v>0.21</v>
      </c>
      <c r="H6802" s="1" t="str">
        <f>HYPERLINK("http://www.weizmann.ac.il/complex/compphys/software/geview/data/figures/215850_s_at.png","Figure")</f>
        <v>Figure</v>
      </c>
      <c r="I6802">
        <v>1</v>
      </c>
      <c r="J6802">
        <v>1</v>
      </c>
      <c r="K6802">
        <v>0.76400000000000001</v>
      </c>
      <c r="L6802">
        <v>0.13</v>
      </c>
      <c r="M6802">
        <v>0.76400000000000001</v>
      </c>
      <c r="N6802">
        <v>0.16</v>
      </c>
    </row>
    <row r="6803" spans="1:14" x14ac:dyDescent="0.25">
      <c r="A6803" t="s">
        <v>12179</v>
      </c>
      <c r="B6803" t="s">
        <v>12180</v>
      </c>
      <c r="C6803" s="1" t="str">
        <f>HYPERLINK("http://www.genecards.org/cgi-bin/carddisp.pl?gene=GNL3","GeneCards")</f>
        <v>GeneCards</v>
      </c>
      <c r="D6803" s="1" t="str">
        <f>HYPERLINK("http://genome-euro.ucsc.edu/cgi-bin/hgTracks?position=217850_at","UCSC")</f>
        <v>UCSC</v>
      </c>
      <c r="E6803" s="1" t="str">
        <f>HYPERLINK("http://www.ncbi.nlm.nih.gov/gene/?term=GNL3","NCBI")</f>
        <v>NCBI</v>
      </c>
      <c r="F6803">
        <v>8.5000000000000006E-2</v>
      </c>
      <c r="G6803">
        <v>0.21</v>
      </c>
      <c r="H6803" s="1" t="str">
        <f>HYPERLINK("http://www.weizmann.ac.il/complex/compphys/software/geview/data/figures/217850_at.png","Figure")</f>
        <v>Figure</v>
      </c>
      <c r="I6803">
        <v>1.18</v>
      </c>
      <c r="J6803">
        <v>0.52</v>
      </c>
      <c r="K6803">
        <v>1.37</v>
      </c>
      <c r="L6803">
        <v>7.0999999999999994E-2</v>
      </c>
      <c r="M6803">
        <v>1.1599999999999999</v>
      </c>
      <c r="N6803">
        <v>0.54</v>
      </c>
    </row>
    <row r="6804" spans="1:14" x14ac:dyDescent="0.25">
      <c r="A6804" t="s">
        <v>12181</v>
      </c>
      <c r="B6804" t="s">
        <v>12182</v>
      </c>
      <c r="C6804" s="1" t="str">
        <f>HYPERLINK("http://www.genecards.org/cgi-bin/carddisp.pl?gene=PAK1IP1","GeneCards")</f>
        <v>GeneCards</v>
      </c>
      <c r="D6804" s="1" t="str">
        <f>HYPERLINK("http://genome-euro.ucsc.edu/cgi-bin/hgTracks?position=218886_at","UCSC")</f>
        <v>UCSC</v>
      </c>
      <c r="E6804" s="1" t="str">
        <f>HYPERLINK("http://www.ncbi.nlm.nih.gov/gene/?term=PAK1IP1","NCBI")</f>
        <v>NCBI</v>
      </c>
      <c r="F6804">
        <v>8.5000000000000006E-2</v>
      </c>
      <c r="G6804">
        <v>0.21</v>
      </c>
      <c r="H6804" s="1" t="str">
        <f>HYPERLINK("http://www.weizmann.ac.il/complex/compphys/software/geview/data/figures/218886_at.png","Figure")</f>
        <v>Figure</v>
      </c>
      <c r="I6804">
        <v>0.65700000000000003</v>
      </c>
      <c r="J6804">
        <v>7.1999999999999995E-2</v>
      </c>
      <c r="K6804">
        <v>0.86</v>
      </c>
      <c r="L6804">
        <v>0.59</v>
      </c>
      <c r="M6804">
        <v>1.31</v>
      </c>
      <c r="N6804">
        <v>0.25</v>
      </c>
    </row>
    <row r="6805" spans="1:14" x14ac:dyDescent="0.25">
      <c r="A6805" t="s">
        <v>12183</v>
      </c>
      <c r="B6805" t="s">
        <v>12184</v>
      </c>
      <c r="C6805" s="1" t="str">
        <f>HYPERLINK("http://www.genecards.org/cgi-bin/carddisp.pl?gene=SLC35C2","GeneCards")</f>
        <v>GeneCards</v>
      </c>
      <c r="D6805" s="1" t="str">
        <f>HYPERLINK("http://genome-euro.ucsc.edu/cgi-bin/hgTracks?position=219447_s_at","UCSC")</f>
        <v>UCSC</v>
      </c>
      <c r="E6805" s="1" t="str">
        <f>HYPERLINK("http://www.ncbi.nlm.nih.gov/gene/?term=SLC35C2","NCBI")</f>
        <v>NCBI</v>
      </c>
      <c r="F6805">
        <v>8.5000000000000006E-2</v>
      </c>
      <c r="G6805">
        <v>0.21</v>
      </c>
      <c r="H6805" s="1" t="str">
        <f>HYPERLINK("http://www.weizmann.ac.il/complex/compphys/software/geview/data/figures/219447_s_at.png","Figure")</f>
        <v>Figure</v>
      </c>
      <c r="I6805">
        <v>1.1000000000000001</v>
      </c>
      <c r="J6805">
        <v>8.5999999999999993E-2</v>
      </c>
      <c r="K6805">
        <v>1.07</v>
      </c>
      <c r="L6805">
        <v>0.2</v>
      </c>
      <c r="M6805">
        <v>0.96899999999999997</v>
      </c>
      <c r="N6805">
        <v>0.71</v>
      </c>
    </row>
    <row r="6806" spans="1:14" x14ac:dyDescent="0.25">
      <c r="A6806" t="s">
        <v>12185</v>
      </c>
      <c r="B6806" t="s">
        <v>12186</v>
      </c>
      <c r="C6806" s="1" t="str">
        <f>HYPERLINK("http://www.genecards.org/cgi-bin/carddisp.pl?gene=RPS3A","GeneCards")</f>
        <v>GeneCards</v>
      </c>
      <c r="D6806" s="1" t="str">
        <f>HYPERLINK("http://genome-euro.ucsc.edu/cgi-bin/hgTracks?position=200099_s_at","UCSC")</f>
        <v>UCSC</v>
      </c>
      <c r="E6806" s="1" t="str">
        <f>HYPERLINK("http://www.ncbi.nlm.nih.gov/gene/?term=RPS3A","NCBI")</f>
        <v>NCBI</v>
      </c>
      <c r="F6806">
        <v>8.5000000000000006E-2</v>
      </c>
      <c r="G6806">
        <v>0.21</v>
      </c>
      <c r="H6806" s="1" t="str">
        <f>HYPERLINK("http://www.weizmann.ac.il/complex/compphys/software/geview/data/figures/200099_s_at.png","Figure")</f>
        <v>Figure</v>
      </c>
      <c r="I6806">
        <v>0.79300000000000004</v>
      </c>
      <c r="J6806">
        <v>8.4000000000000005E-2</v>
      </c>
      <c r="K6806">
        <v>0.95</v>
      </c>
      <c r="L6806">
        <v>0.82</v>
      </c>
      <c r="M6806">
        <v>1.2</v>
      </c>
      <c r="N6806">
        <v>0.16</v>
      </c>
    </row>
    <row r="6807" spans="1:14" x14ac:dyDescent="0.25">
      <c r="A6807" t="s">
        <v>12187</v>
      </c>
      <c r="B6807" t="s">
        <v>12188</v>
      </c>
      <c r="C6807" s="1" t="str">
        <f>HYPERLINK("http://www.genecards.org/cgi-bin/carddisp.pl?gene=KLF6","GeneCards")</f>
        <v>GeneCards</v>
      </c>
      <c r="D6807" s="1" t="str">
        <f>HYPERLINK("http://genome-euro.ucsc.edu/cgi-bin/hgTracks?position=208960_s_at","UCSC")</f>
        <v>UCSC</v>
      </c>
      <c r="E6807" s="1" t="str">
        <f>HYPERLINK("http://www.ncbi.nlm.nih.gov/gene/?term=KLF6","NCBI")</f>
        <v>NCBI</v>
      </c>
      <c r="F6807">
        <v>8.5000000000000006E-2</v>
      </c>
      <c r="G6807">
        <v>0.21</v>
      </c>
      <c r="H6807" s="1" t="str">
        <f>HYPERLINK("http://www.weizmann.ac.il/complex/compphys/software/geview/data/figures/208960_s_at.png","Figure")</f>
        <v>Figure</v>
      </c>
      <c r="I6807">
        <v>0.53700000000000003</v>
      </c>
      <c r="J6807">
        <v>7.4999999999999997E-2</v>
      </c>
      <c r="K6807">
        <v>0.82499999999999996</v>
      </c>
      <c r="L6807">
        <v>0.68</v>
      </c>
      <c r="M6807">
        <v>1.54</v>
      </c>
      <c r="N6807">
        <v>0.21</v>
      </c>
    </row>
    <row r="6808" spans="1:14" x14ac:dyDescent="0.25">
      <c r="A6808" t="s">
        <v>12189</v>
      </c>
      <c r="B6808" t="s">
        <v>12190</v>
      </c>
      <c r="C6808" s="1" t="str">
        <f>HYPERLINK("http://www.genecards.org/cgi-bin/carddisp.pl?gene=UBE2I","GeneCards")</f>
        <v>GeneCards</v>
      </c>
      <c r="D6808" s="1" t="str">
        <f>HYPERLINK("http://genome-euro.ucsc.edu/cgi-bin/hgTracks?position=213535_s_at","UCSC")</f>
        <v>UCSC</v>
      </c>
      <c r="E6808" s="1" t="str">
        <f>HYPERLINK("http://www.ncbi.nlm.nih.gov/gene/?term=UBE2I","NCBI")</f>
        <v>NCBI</v>
      </c>
      <c r="F6808">
        <v>8.5000000000000006E-2</v>
      </c>
      <c r="G6808">
        <v>0.21</v>
      </c>
      <c r="H6808" s="1" t="str">
        <f>HYPERLINK("http://www.weizmann.ac.il/complex/compphys/software/geview/data/figures/213535_s_at.png","Figure")</f>
        <v>Figure</v>
      </c>
      <c r="I6808">
        <v>1.27</v>
      </c>
      <c r="J6808">
        <v>0.13</v>
      </c>
      <c r="K6808">
        <v>0.997</v>
      </c>
      <c r="L6808">
        <v>1</v>
      </c>
      <c r="M6808">
        <v>0.78800000000000003</v>
      </c>
      <c r="N6808">
        <v>9.7000000000000003E-2</v>
      </c>
    </row>
    <row r="6809" spans="1:14" x14ac:dyDescent="0.25">
      <c r="A6809" t="s">
        <v>12191</v>
      </c>
      <c r="B6809" t="s">
        <v>12192</v>
      </c>
      <c r="C6809" s="1" t="str">
        <f>HYPERLINK("http://www.genecards.org/cgi-bin/carddisp.pl?gene=SMARCD1","GeneCards")</f>
        <v>GeneCards</v>
      </c>
      <c r="D6809" s="1" t="str">
        <f>HYPERLINK("http://genome-euro.ucsc.edu/cgi-bin/hgTracks?position=209518_at","UCSC")</f>
        <v>UCSC</v>
      </c>
      <c r="E6809" s="1" t="str">
        <f>HYPERLINK("http://www.ncbi.nlm.nih.gov/gene/?term=SMARCD1","NCBI")</f>
        <v>NCBI</v>
      </c>
      <c r="F6809">
        <v>8.5000000000000006E-2</v>
      </c>
      <c r="G6809">
        <v>0.21</v>
      </c>
      <c r="H6809" s="1" t="str">
        <f>HYPERLINK("http://www.weizmann.ac.il/complex/compphys/software/geview/data/figures/209518_at.png","Figure")</f>
        <v>Figure</v>
      </c>
      <c r="I6809">
        <v>1.33</v>
      </c>
      <c r="J6809">
        <v>7.0999999999999994E-2</v>
      </c>
      <c r="K6809">
        <v>1.1200000000000001</v>
      </c>
      <c r="L6809">
        <v>0.53</v>
      </c>
      <c r="M6809">
        <v>0.84</v>
      </c>
      <c r="N6809">
        <v>0.28999999999999998</v>
      </c>
    </row>
    <row r="6810" spans="1:14" x14ac:dyDescent="0.25">
      <c r="A6810" t="s">
        <v>12193</v>
      </c>
      <c r="B6810" t="s">
        <v>12194</v>
      </c>
      <c r="C6810" s="1" t="str">
        <f>HYPERLINK("http://www.genecards.org/cgi-bin/carddisp.pl?gene=STX6","GeneCards")</f>
        <v>GeneCards</v>
      </c>
      <c r="D6810" s="1" t="str">
        <f>HYPERLINK("http://genome-euro.ucsc.edu/cgi-bin/hgTracks?position=212799_at","UCSC")</f>
        <v>UCSC</v>
      </c>
      <c r="E6810" s="1" t="str">
        <f>HYPERLINK("http://www.ncbi.nlm.nih.gov/gene/?term=STX6","NCBI")</f>
        <v>NCBI</v>
      </c>
      <c r="F6810">
        <v>8.5000000000000006E-2</v>
      </c>
      <c r="G6810">
        <v>0.21</v>
      </c>
      <c r="H6810" s="1" t="str">
        <f>HYPERLINK("http://www.weizmann.ac.il/complex/compphys/software/geview/data/figures/212799_at.png","Figure")</f>
        <v>Figure</v>
      </c>
      <c r="I6810">
        <v>0.91300000000000003</v>
      </c>
      <c r="J6810">
        <v>0.86</v>
      </c>
      <c r="K6810">
        <v>1.32</v>
      </c>
      <c r="L6810">
        <v>0.21</v>
      </c>
      <c r="M6810">
        <v>1.44</v>
      </c>
      <c r="N6810">
        <v>0.1</v>
      </c>
    </row>
    <row r="6811" spans="1:14" x14ac:dyDescent="0.25">
      <c r="A6811" t="s">
        <v>12195</v>
      </c>
      <c r="B6811" t="s">
        <v>12196</v>
      </c>
      <c r="C6811" s="1" t="str">
        <f>HYPERLINK("http://www.genecards.org/cgi-bin/carddisp.pl?gene=COL5A3","GeneCards")</f>
        <v>GeneCards</v>
      </c>
      <c r="D6811" s="1" t="str">
        <f>HYPERLINK("http://genome-euro.ucsc.edu/cgi-bin/hgTracks?position=52255_s_at","UCSC")</f>
        <v>UCSC</v>
      </c>
      <c r="E6811" s="1" t="str">
        <f>HYPERLINK("http://www.ncbi.nlm.nih.gov/gene/?term=COL5A3","NCBI")</f>
        <v>NCBI</v>
      </c>
      <c r="F6811">
        <v>8.5000000000000006E-2</v>
      </c>
      <c r="G6811">
        <v>0.21</v>
      </c>
      <c r="H6811" s="1" t="str">
        <f>HYPERLINK("http://www.weizmann.ac.il/complex/compphys/software/geview/data/figures/52255_s_at.png","Figure")</f>
        <v>Figure</v>
      </c>
      <c r="I6811">
        <v>1.26</v>
      </c>
      <c r="J6811">
        <v>7.0999999999999994E-2</v>
      </c>
      <c r="K6811">
        <v>1.1200000000000001</v>
      </c>
      <c r="L6811">
        <v>0.4</v>
      </c>
      <c r="M6811">
        <v>0.88600000000000001</v>
      </c>
      <c r="N6811">
        <v>0.38</v>
      </c>
    </row>
    <row r="6812" spans="1:14" x14ac:dyDescent="0.25">
      <c r="A6812" t="s">
        <v>12197</v>
      </c>
      <c r="B6812" t="s">
        <v>7169</v>
      </c>
      <c r="C6812" s="1" t="str">
        <f>HYPERLINK("http://www.genecards.org/cgi-bin/carddisp.pl?gene=APOBEC3G","GeneCards")</f>
        <v>GeneCards</v>
      </c>
      <c r="D6812" s="1" t="str">
        <f>HYPERLINK("http://genome-euro.ucsc.edu/cgi-bin/hgTracks?position=215579_at","UCSC")</f>
        <v>UCSC</v>
      </c>
      <c r="E6812" s="1" t="str">
        <f>HYPERLINK("http://www.ncbi.nlm.nih.gov/gene/?term=APOBEC3G","NCBI")</f>
        <v>NCBI</v>
      </c>
      <c r="F6812">
        <v>8.5000000000000006E-2</v>
      </c>
      <c r="G6812">
        <v>0.21</v>
      </c>
      <c r="H6812" s="1" t="str">
        <f>HYPERLINK("http://www.weizmann.ac.il/complex/compphys/software/geview/data/figures/215579_at.png","Figure")</f>
        <v>Figure</v>
      </c>
      <c r="I6812">
        <v>1.46</v>
      </c>
      <c r="J6812">
        <v>7.0999999999999994E-2</v>
      </c>
      <c r="K6812">
        <v>1.19</v>
      </c>
      <c r="L6812">
        <v>0.44</v>
      </c>
      <c r="M6812">
        <v>0.81200000000000006</v>
      </c>
      <c r="N6812">
        <v>0.35</v>
      </c>
    </row>
    <row r="6813" spans="1:14" x14ac:dyDescent="0.25">
      <c r="A6813" t="s">
        <v>12198</v>
      </c>
      <c r="B6813" t="s">
        <v>12199</v>
      </c>
      <c r="C6813" s="1" t="str">
        <f>HYPERLINK("http://www.genecards.org/cgi-bin/carddisp.pl?gene=APOL6","GeneCards")</f>
        <v>GeneCards</v>
      </c>
      <c r="D6813" s="1" t="str">
        <f>HYPERLINK("http://genome-euro.ucsc.edu/cgi-bin/hgTracks?position=219716_at","UCSC")</f>
        <v>UCSC</v>
      </c>
      <c r="E6813" s="1" t="str">
        <f>HYPERLINK("http://www.ncbi.nlm.nih.gov/gene/?term=APOL6","NCBI")</f>
        <v>NCBI</v>
      </c>
      <c r="F6813">
        <v>8.5000000000000006E-2</v>
      </c>
      <c r="G6813">
        <v>0.21</v>
      </c>
      <c r="H6813" s="1" t="str">
        <f>HYPERLINK("http://www.weizmann.ac.il/complex/compphys/software/geview/data/figures/219716_at.png","Figure")</f>
        <v>Figure</v>
      </c>
      <c r="I6813">
        <v>1.06</v>
      </c>
      <c r="J6813">
        <v>0.8</v>
      </c>
      <c r="K6813">
        <v>0.88400000000000001</v>
      </c>
      <c r="L6813">
        <v>0.24</v>
      </c>
      <c r="M6813">
        <v>0.83799999999999997</v>
      </c>
      <c r="N6813">
        <v>9.4E-2</v>
      </c>
    </row>
    <row r="6814" spans="1:14" x14ac:dyDescent="0.25">
      <c r="A6814" t="s">
        <v>12200</v>
      </c>
      <c r="B6814" t="s">
        <v>12201</v>
      </c>
      <c r="C6814" s="1" t="str">
        <f>HYPERLINK("http://www.genecards.org/cgi-bin/carddisp.pl?gene=DHCR24","GeneCards")</f>
        <v>GeneCards</v>
      </c>
      <c r="D6814" s="1" t="str">
        <f>HYPERLINK("http://genome-euro.ucsc.edu/cgi-bin/hgTracks?position=200862_at","UCSC")</f>
        <v>UCSC</v>
      </c>
      <c r="E6814" s="1" t="str">
        <f>HYPERLINK("http://www.ncbi.nlm.nih.gov/gene/?term=DHCR24","NCBI")</f>
        <v>NCBI</v>
      </c>
      <c r="F6814">
        <v>8.5000000000000006E-2</v>
      </c>
      <c r="G6814">
        <v>0.21</v>
      </c>
      <c r="H6814" s="1" t="str">
        <f>HYPERLINK("http://www.weizmann.ac.il/complex/compphys/software/geview/data/figures/200862_at.png","Figure")</f>
        <v>Figure</v>
      </c>
      <c r="I6814">
        <v>1.07</v>
      </c>
      <c r="J6814">
        <v>0.25</v>
      </c>
      <c r="K6814">
        <v>1.0900000000000001</v>
      </c>
      <c r="L6814">
        <v>7.9000000000000001E-2</v>
      </c>
      <c r="M6814">
        <v>1.02</v>
      </c>
      <c r="N6814">
        <v>0.91</v>
      </c>
    </row>
    <row r="6815" spans="1:14" x14ac:dyDescent="0.25">
      <c r="A6815" t="s">
        <v>12202</v>
      </c>
      <c r="B6815" t="s">
        <v>12203</v>
      </c>
      <c r="C6815" s="1" t="str">
        <f>HYPERLINK("http://www.genecards.org/cgi-bin/carddisp.pl?gene=MBNL2","GeneCards")</f>
        <v>GeneCards</v>
      </c>
      <c r="D6815" s="1" t="str">
        <f>HYPERLINK("http://genome-euro.ucsc.edu/cgi-bin/hgTracks?position=203640_at","UCSC")</f>
        <v>UCSC</v>
      </c>
      <c r="E6815" s="1" t="str">
        <f>HYPERLINK("http://www.ncbi.nlm.nih.gov/gene/?term=MBNL2","NCBI")</f>
        <v>NCBI</v>
      </c>
      <c r="F6815">
        <v>8.5000000000000006E-2</v>
      </c>
      <c r="G6815">
        <v>0.21</v>
      </c>
      <c r="H6815" s="1" t="str">
        <f>HYPERLINK("http://www.weizmann.ac.il/complex/compphys/software/geview/data/figures/203640_at.png","Figure")</f>
        <v>Figure</v>
      </c>
      <c r="I6815">
        <v>0.996</v>
      </c>
      <c r="J6815">
        <v>1</v>
      </c>
      <c r="K6815">
        <v>0.72299999999999998</v>
      </c>
      <c r="L6815">
        <v>0.12</v>
      </c>
      <c r="M6815">
        <v>0.72599999999999998</v>
      </c>
      <c r="N6815">
        <v>0.16</v>
      </c>
    </row>
    <row r="6816" spans="1:14" x14ac:dyDescent="0.25">
      <c r="A6816" t="s">
        <v>12204</v>
      </c>
      <c r="B6816" t="s">
        <v>12205</v>
      </c>
      <c r="C6816" s="1" t="str">
        <f>HYPERLINK("http://www.genecards.org/cgi-bin/carddisp.pl?gene=IGKC","GeneCards")</f>
        <v>GeneCards</v>
      </c>
      <c r="D6816" s="1" t="str">
        <f>HYPERLINK("http://genome-euro.ucsc.edu/cgi-bin/hgTracks?position=215217_at","UCSC")</f>
        <v>UCSC</v>
      </c>
      <c r="E6816" s="1" t="str">
        <f>HYPERLINK("http://www.ncbi.nlm.nih.gov/gene/?term=IGKC","NCBI")</f>
        <v>NCBI</v>
      </c>
      <c r="F6816">
        <v>8.5000000000000006E-2</v>
      </c>
      <c r="G6816">
        <v>0.21</v>
      </c>
      <c r="H6816" s="1" t="str">
        <f>HYPERLINK("http://www.weizmann.ac.il/complex/compphys/software/geview/data/figures/215217_at.png","Figure")</f>
        <v>Figure</v>
      </c>
      <c r="I6816">
        <v>1.18</v>
      </c>
      <c r="J6816">
        <v>8.2000000000000003E-2</v>
      </c>
      <c r="K6816">
        <v>1.04</v>
      </c>
      <c r="L6816">
        <v>0.79</v>
      </c>
      <c r="M6816">
        <v>0.88300000000000001</v>
      </c>
      <c r="N6816">
        <v>0.17</v>
      </c>
    </row>
    <row r="6817" spans="1:14" x14ac:dyDescent="0.25">
      <c r="A6817" t="s">
        <v>12206</v>
      </c>
      <c r="B6817" t="s">
        <v>12207</v>
      </c>
      <c r="C6817" s="1" t="str">
        <f>HYPERLINK("http://www.genecards.org/cgi-bin/carddisp.pl?gene=PCNA","GeneCards")</f>
        <v>GeneCards</v>
      </c>
      <c r="D6817" s="1" t="str">
        <f>HYPERLINK("http://genome-euro.ucsc.edu/cgi-bin/hgTracks?position=201202_at","UCSC")</f>
        <v>UCSC</v>
      </c>
      <c r="E6817" s="1" t="str">
        <f>HYPERLINK("http://www.ncbi.nlm.nih.gov/gene/?term=PCNA","NCBI")</f>
        <v>NCBI</v>
      </c>
      <c r="F6817">
        <v>8.5000000000000006E-2</v>
      </c>
      <c r="G6817">
        <v>0.21</v>
      </c>
      <c r="H6817" s="1" t="str">
        <f>HYPERLINK("http://www.weizmann.ac.il/complex/compphys/software/geview/data/figures/201202_at.png","Figure")</f>
        <v>Figure</v>
      </c>
      <c r="I6817">
        <v>1.53</v>
      </c>
      <c r="J6817">
        <v>0.18</v>
      </c>
      <c r="K6817">
        <v>1.57</v>
      </c>
      <c r="L6817">
        <v>9.0999999999999998E-2</v>
      </c>
      <c r="M6817">
        <v>1.03</v>
      </c>
      <c r="N6817">
        <v>0.99</v>
      </c>
    </row>
    <row r="6818" spans="1:14" x14ac:dyDescent="0.25">
      <c r="A6818" t="s">
        <v>12208</v>
      </c>
      <c r="B6818" t="s">
        <v>12209</v>
      </c>
      <c r="C6818" s="1" t="str">
        <f>HYPERLINK("http://www.genecards.org/cgi-bin/carddisp.pl?gene=TOB1","GeneCards")</f>
        <v>GeneCards</v>
      </c>
      <c r="D6818" s="1" t="str">
        <f>HYPERLINK("http://genome-euro.ucsc.edu/cgi-bin/hgTracks?position=202704_at","UCSC")</f>
        <v>UCSC</v>
      </c>
      <c r="E6818" s="1" t="str">
        <f>HYPERLINK("http://www.ncbi.nlm.nih.gov/gene/?term=TOB1","NCBI")</f>
        <v>NCBI</v>
      </c>
      <c r="F6818">
        <v>8.5000000000000006E-2</v>
      </c>
      <c r="G6818">
        <v>0.21</v>
      </c>
      <c r="H6818" s="1" t="str">
        <f>HYPERLINK("http://www.weizmann.ac.il/complex/compphys/software/geview/data/figures/202704_at.png","Figure")</f>
        <v>Figure</v>
      </c>
      <c r="I6818">
        <v>0.32200000000000001</v>
      </c>
      <c r="J6818">
        <v>8.1000000000000003E-2</v>
      </c>
      <c r="K6818">
        <v>0.48799999999999999</v>
      </c>
      <c r="L6818">
        <v>0.23</v>
      </c>
      <c r="M6818">
        <v>1.51</v>
      </c>
      <c r="N6818">
        <v>0.63</v>
      </c>
    </row>
    <row r="6819" spans="1:14" x14ac:dyDescent="0.25">
      <c r="A6819" t="s">
        <v>12210</v>
      </c>
      <c r="B6819" t="s">
        <v>4930</v>
      </c>
      <c r="C6819" s="1" t="str">
        <f>HYPERLINK("http://www.genecards.org/cgi-bin/carddisp.pl?gene=HLA-A","GeneCards")</f>
        <v>GeneCards</v>
      </c>
      <c r="D6819" s="1" t="str">
        <f>HYPERLINK("http://genome-euro.ucsc.edu/cgi-bin/hgTracks?position=213932_x_at","UCSC")</f>
        <v>UCSC</v>
      </c>
      <c r="E6819" s="1" t="str">
        <f>HYPERLINK("http://www.ncbi.nlm.nih.gov/gene/?term=HLA-A","NCBI")</f>
        <v>NCBI</v>
      </c>
      <c r="F6819">
        <v>8.5000000000000006E-2</v>
      </c>
      <c r="G6819">
        <v>0.21</v>
      </c>
      <c r="H6819" s="1" t="str">
        <f>HYPERLINK("http://www.weizmann.ac.il/complex/compphys/software/geview/data/figures/213932_x_at.png","Figure")</f>
        <v>Figure</v>
      </c>
      <c r="I6819">
        <v>0.90400000000000003</v>
      </c>
      <c r="J6819">
        <v>0.64</v>
      </c>
      <c r="K6819">
        <v>0.79300000000000004</v>
      </c>
      <c r="L6819">
        <v>7.3999999999999996E-2</v>
      </c>
      <c r="M6819">
        <v>0.877</v>
      </c>
      <c r="N6819">
        <v>0.43</v>
      </c>
    </row>
    <row r="6820" spans="1:14" x14ac:dyDescent="0.25">
      <c r="A6820" t="s">
        <v>12211</v>
      </c>
      <c r="B6820" t="s">
        <v>12212</v>
      </c>
      <c r="C6820" s="1" t="str">
        <f>HYPERLINK("http://www.genecards.org/cgi-bin/carddisp.pl?gene=CCNE2","GeneCards")</f>
        <v>GeneCards</v>
      </c>
      <c r="D6820" s="1" t="str">
        <f>HYPERLINK("http://genome-euro.ucsc.edu/cgi-bin/hgTracks?position=205034_at","UCSC")</f>
        <v>UCSC</v>
      </c>
      <c r="E6820" s="1" t="str">
        <f>HYPERLINK("http://www.ncbi.nlm.nih.gov/gene/?term=CCNE2","NCBI")</f>
        <v>NCBI</v>
      </c>
      <c r="F6820">
        <v>8.5000000000000006E-2</v>
      </c>
      <c r="G6820">
        <v>0.21</v>
      </c>
      <c r="H6820" s="1" t="str">
        <f>HYPERLINK("http://www.weizmann.ac.il/complex/compphys/software/geview/data/figures/205034_at.png","Figure")</f>
        <v>Figure</v>
      </c>
      <c r="I6820">
        <v>0.58799999999999997</v>
      </c>
      <c r="J6820">
        <v>7.1999999999999995E-2</v>
      </c>
      <c r="K6820">
        <v>0.81899999999999995</v>
      </c>
      <c r="L6820">
        <v>0.56000000000000005</v>
      </c>
      <c r="M6820">
        <v>1.39</v>
      </c>
      <c r="N6820">
        <v>0.27</v>
      </c>
    </row>
    <row r="6821" spans="1:14" x14ac:dyDescent="0.25">
      <c r="A6821" t="s">
        <v>12213</v>
      </c>
      <c r="B6821" t="s">
        <v>12214</v>
      </c>
      <c r="C6821" s="1" t="str">
        <f>HYPERLINK("http://www.genecards.org/cgi-bin/carddisp.pl?gene=ACE","GeneCards")</f>
        <v>GeneCards</v>
      </c>
      <c r="D6821" s="1" t="str">
        <f>HYPERLINK("http://genome-euro.ucsc.edu/cgi-bin/hgTracks?position=209749_s_at","UCSC")</f>
        <v>UCSC</v>
      </c>
      <c r="E6821" s="1" t="str">
        <f>HYPERLINK("http://www.ncbi.nlm.nih.gov/gene/?term=ACE","NCBI")</f>
        <v>NCBI</v>
      </c>
      <c r="F6821">
        <v>8.5000000000000006E-2</v>
      </c>
      <c r="G6821">
        <v>0.21</v>
      </c>
      <c r="H6821" s="1" t="str">
        <f>HYPERLINK("http://www.weizmann.ac.il/complex/compphys/software/geview/data/figures/209749_s_at.png","Figure")</f>
        <v>Figure</v>
      </c>
      <c r="I6821">
        <v>1.05</v>
      </c>
      <c r="J6821">
        <v>0.19</v>
      </c>
      <c r="K6821">
        <v>1.06</v>
      </c>
      <c r="L6821">
        <v>8.8999999999999996E-2</v>
      </c>
      <c r="M6821">
        <v>1</v>
      </c>
      <c r="N6821">
        <v>0.98</v>
      </c>
    </row>
    <row r="6822" spans="1:14" x14ac:dyDescent="0.25">
      <c r="A6822" t="s">
        <v>12215</v>
      </c>
      <c r="B6822" t="s">
        <v>12216</v>
      </c>
      <c r="C6822" s="1" t="str">
        <f>HYPERLINK("http://www.genecards.org/cgi-bin/carddisp.pl?gene=ZFP36L1","GeneCards")</f>
        <v>GeneCards</v>
      </c>
      <c r="D6822" s="1" t="str">
        <f>HYPERLINK("http://genome-euro.ucsc.edu/cgi-bin/hgTracks?position=211965_at","UCSC")</f>
        <v>UCSC</v>
      </c>
      <c r="E6822" s="1" t="str">
        <f>HYPERLINK("http://www.ncbi.nlm.nih.gov/gene/?term=ZFP36L1","NCBI")</f>
        <v>NCBI</v>
      </c>
      <c r="F6822">
        <v>8.5000000000000006E-2</v>
      </c>
      <c r="G6822">
        <v>0.21</v>
      </c>
      <c r="H6822" s="1" t="str">
        <f>HYPERLINK("http://www.weizmann.ac.il/complex/compphys/software/geview/data/figures/211965_at.png","Figure")</f>
        <v>Figure</v>
      </c>
      <c r="I6822">
        <v>1.2</v>
      </c>
      <c r="J6822">
        <v>0.19</v>
      </c>
      <c r="K6822">
        <v>1.22</v>
      </c>
      <c r="L6822">
        <v>8.8999999999999996E-2</v>
      </c>
      <c r="M6822">
        <v>1.02</v>
      </c>
      <c r="N6822">
        <v>0.98</v>
      </c>
    </row>
    <row r="6823" spans="1:14" x14ac:dyDescent="0.25">
      <c r="A6823" t="s">
        <v>12217</v>
      </c>
      <c r="B6823" t="s">
        <v>9610</v>
      </c>
      <c r="C6823" s="1" t="str">
        <f>HYPERLINK("http://www.genecards.org/cgi-bin/carddisp.pl?gene=ZXDA /// ZXDB","GeneCards")</f>
        <v>GeneCards</v>
      </c>
      <c r="D6823" s="1" t="str">
        <f>HYPERLINK("http://genome-euro.ucsc.edu/cgi-bin/hgTracks?position=216014_s_at","UCSC")</f>
        <v>UCSC</v>
      </c>
      <c r="E6823" s="1" t="str">
        <f>HYPERLINK("http://www.ncbi.nlm.nih.gov/gene/?term=ZXDA /// ZXDB","NCBI")</f>
        <v>NCBI</v>
      </c>
      <c r="F6823">
        <v>8.5000000000000006E-2</v>
      </c>
      <c r="G6823">
        <v>0.21</v>
      </c>
      <c r="H6823" s="1" t="str">
        <f>HYPERLINK("http://www.weizmann.ac.il/complex/compphys/software/geview/data/figures/216014_s_at.png","Figure")</f>
        <v>Figure</v>
      </c>
      <c r="I6823">
        <v>0.86599999999999999</v>
      </c>
      <c r="J6823">
        <v>7.3999999999999996E-2</v>
      </c>
      <c r="K6823">
        <v>0.92400000000000004</v>
      </c>
      <c r="L6823">
        <v>0.31</v>
      </c>
      <c r="M6823">
        <v>1.07</v>
      </c>
      <c r="N6823">
        <v>0.49</v>
      </c>
    </row>
    <row r="6824" spans="1:14" x14ac:dyDescent="0.25">
      <c r="A6824" t="s">
        <v>12218</v>
      </c>
      <c r="B6824" t="s">
        <v>12219</v>
      </c>
      <c r="C6824" s="1" t="str">
        <f>HYPERLINK("http://www.genecards.org/cgi-bin/carddisp.pl?gene=CYP2A7P1","GeneCards")</f>
        <v>GeneCards</v>
      </c>
      <c r="D6824" s="1" t="str">
        <f>HYPERLINK("http://genome-euro.ucsc.edu/cgi-bin/hgTracks?position=216340_s_at","UCSC")</f>
        <v>UCSC</v>
      </c>
      <c r="E6824" s="1" t="str">
        <f>HYPERLINK("http://www.ncbi.nlm.nih.gov/gene/?term=CYP2A7P1","NCBI")</f>
        <v>NCBI</v>
      </c>
      <c r="F6824">
        <v>8.5000000000000006E-2</v>
      </c>
      <c r="G6824">
        <v>0.21</v>
      </c>
      <c r="H6824" s="1" t="str">
        <f>HYPERLINK("http://www.weizmann.ac.il/complex/compphys/software/geview/data/figures/216340_s_at.png","Figure")</f>
        <v>Figure</v>
      </c>
      <c r="I6824">
        <v>1.1399999999999999</v>
      </c>
      <c r="J6824">
        <v>7.4999999999999997E-2</v>
      </c>
      <c r="K6824">
        <v>1.04</v>
      </c>
      <c r="L6824">
        <v>0.65</v>
      </c>
      <c r="M6824">
        <v>0.91500000000000004</v>
      </c>
      <c r="N6824">
        <v>0.23</v>
      </c>
    </row>
    <row r="6825" spans="1:14" x14ac:dyDescent="0.25">
      <c r="A6825" t="s">
        <v>12220</v>
      </c>
      <c r="B6825" t="s">
        <v>12221</v>
      </c>
      <c r="C6825" s="1" t="str">
        <f>HYPERLINK("http://www.genecards.org/cgi-bin/carddisp.pl?gene=PIGT","GeneCards")</f>
        <v>GeneCards</v>
      </c>
      <c r="D6825" s="1" t="str">
        <f>HYPERLINK("http://genome-euro.ucsc.edu/cgi-bin/hgTracks?position=217770_at","UCSC")</f>
        <v>UCSC</v>
      </c>
      <c r="E6825" s="1" t="str">
        <f>HYPERLINK("http://www.ncbi.nlm.nih.gov/gene/?term=PIGT","NCBI")</f>
        <v>NCBI</v>
      </c>
      <c r="F6825">
        <v>8.5000000000000006E-2</v>
      </c>
      <c r="G6825">
        <v>0.21</v>
      </c>
      <c r="H6825" s="1" t="str">
        <f>HYPERLINK("http://www.weizmann.ac.il/complex/compphys/software/geview/data/figures/217770_at.png","Figure")</f>
        <v>Figure</v>
      </c>
      <c r="I6825">
        <v>0.96099999999999997</v>
      </c>
      <c r="J6825">
        <v>0.93</v>
      </c>
      <c r="K6825">
        <v>0.80300000000000005</v>
      </c>
      <c r="L6825">
        <v>9.7000000000000003E-2</v>
      </c>
      <c r="M6825">
        <v>0.83599999999999997</v>
      </c>
      <c r="N6825">
        <v>0.23</v>
      </c>
    </row>
    <row r="6826" spans="1:14" x14ac:dyDescent="0.25">
      <c r="A6826" t="s">
        <v>12222</v>
      </c>
      <c r="B6826" t="s">
        <v>12223</v>
      </c>
      <c r="C6826" s="1" t="str">
        <f>HYPERLINK("http://www.genecards.org/cgi-bin/carddisp.pl?gene=NUP54","GeneCards")</f>
        <v>GeneCards</v>
      </c>
      <c r="D6826" s="1" t="str">
        <f>HYPERLINK("http://genome-euro.ucsc.edu/cgi-bin/hgTracks?position=218256_s_at","UCSC")</f>
        <v>UCSC</v>
      </c>
      <c r="E6826" s="1" t="str">
        <f>HYPERLINK("http://www.ncbi.nlm.nih.gov/gene/?term=NUP54","NCBI")</f>
        <v>NCBI</v>
      </c>
      <c r="F6826">
        <v>8.5000000000000006E-2</v>
      </c>
      <c r="G6826">
        <v>0.21</v>
      </c>
      <c r="H6826" s="1" t="str">
        <f>HYPERLINK("http://www.weizmann.ac.il/complex/compphys/software/geview/data/figures/218256_s_at.png","Figure")</f>
        <v>Figure</v>
      </c>
      <c r="I6826">
        <v>0.68500000000000005</v>
      </c>
      <c r="J6826">
        <v>0.23</v>
      </c>
      <c r="K6826">
        <v>0.64</v>
      </c>
      <c r="L6826">
        <v>8.2000000000000003E-2</v>
      </c>
      <c r="M6826">
        <v>0.93400000000000005</v>
      </c>
      <c r="N6826">
        <v>0.94</v>
      </c>
    </row>
    <row r="6827" spans="1:14" x14ac:dyDescent="0.25">
      <c r="A6827" t="s">
        <v>12224</v>
      </c>
      <c r="B6827" t="s">
        <v>12225</v>
      </c>
      <c r="C6827" s="1" t="str">
        <f>HYPERLINK("http://www.genecards.org/cgi-bin/carddisp.pl?gene=CAPRIN2","GeneCards")</f>
        <v>GeneCards</v>
      </c>
      <c r="D6827" s="1" t="str">
        <f>HYPERLINK("http://genome-euro.ucsc.edu/cgi-bin/hgTracks?position=218456_at","UCSC")</f>
        <v>UCSC</v>
      </c>
      <c r="E6827" s="1" t="str">
        <f>HYPERLINK("http://www.ncbi.nlm.nih.gov/gene/?term=CAPRIN2","NCBI")</f>
        <v>NCBI</v>
      </c>
      <c r="F6827">
        <v>8.5000000000000006E-2</v>
      </c>
      <c r="G6827">
        <v>0.21</v>
      </c>
      <c r="H6827" s="1" t="str">
        <f>HYPERLINK("http://www.weizmann.ac.il/complex/compphys/software/geview/data/figures/218456_at.png","Figure")</f>
        <v>Figure</v>
      </c>
      <c r="I6827">
        <v>1.51</v>
      </c>
      <c r="J6827">
        <v>0.38</v>
      </c>
      <c r="K6827">
        <v>1.88</v>
      </c>
      <c r="L6827">
        <v>7.0999999999999994E-2</v>
      </c>
      <c r="M6827">
        <v>1.25</v>
      </c>
      <c r="N6827">
        <v>0.71</v>
      </c>
    </row>
    <row r="6828" spans="1:14" x14ac:dyDescent="0.25">
      <c r="A6828" t="s">
        <v>12226</v>
      </c>
      <c r="B6828" t="s">
        <v>12227</v>
      </c>
      <c r="C6828" s="1" t="str">
        <f>HYPERLINK("http://www.genecards.org/cgi-bin/carddisp.pl?gene=TGIF2","GeneCards")</f>
        <v>GeneCards</v>
      </c>
      <c r="D6828" s="1" t="str">
        <f>HYPERLINK("http://genome-euro.ucsc.edu/cgi-bin/hgTracks?position=218724_s_at","UCSC")</f>
        <v>UCSC</v>
      </c>
      <c r="E6828" s="1" t="str">
        <f>HYPERLINK("http://www.ncbi.nlm.nih.gov/gene/?term=TGIF2","NCBI")</f>
        <v>NCBI</v>
      </c>
      <c r="F6828">
        <v>8.5000000000000006E-2</v>
      </c>
      <c r="G6828">
        <v>0.21</v>
      </c>
      <c r="H6828" s="1" t="str">
        <f>HYPERLINK("http://www.weizmann.ac.il/complex/compphys/software/geview/data/figures/218724_s_at.png","Figure")</f>
        <v>Figure</v>
      </c>
      <c r="I6828">
        <v>0.58399999999999996</v>
      </c>
      <c r="J6828">
        <v>0.22</v>
      </c>
      <c r="K6828">
        <v>0.53700000000000003</v>
      </c>
      <c r="L6828">
        <v>8.4000000000000005E-2</v>
      </c>
      <c r="M6828">
        <v>0.92</v>
      </c>
      <c r="N6828">
        <v>0.95</v>
      </c>
    </row>
    <row r="6829" spans="1:14" x14ac:dyDescent="0.25">
      <c r="A6829" t="s">
        <v>12228</v>
      </c>
      <c r="B6829" t="s">
        <v>12229</v>
      </c>
      <c r="C6829" s="1" t="str">
        <f>HYPERLINK("http://www.genecards.org/cgi-bin/carddisp.pl?gene=JAM2","GeneCards")</f>
        <v>GeneCards</v>
      </c>
      <c r="D6829" s="1" t="str">
        <f>HYPERLINK("http://genome-euro.ucsc.edu/cgi-bin/hgTracks?position=219213_at","UCSC")</f>
        <v>UCSC</v>
      </c>
      <c r="E6829" s="1" t="str">
        <f>HYPERLINK("http://www.ncbi.nlm.nih.gov/gene/?term=JAM2","NCBI")</f>
        <v>NCBI</v>
      </c>
      <c r="F6829">
        <v>8.5000000000000006E-2</v>
      </c>
      <c r="G6829">
        <v>0.21</v>
      </c>
      <c r="H6829" s="1" t="str">
        <f>HYPERLINK("http://www.weizmann.ac.il/complex/compphys/software/geview/data/figures/219213_at.png","Figure")</f>
        <v>Figure</v>
      </c>
      <c r="I6829">
        <v>1.1599999999999999</v>
      </c>
      <c r="J6829">
        <v>0.55000000000000004</v>
      </c>
      <c r="K6829">
        <v>1.35</v>
      </c>
      <c r="L6829">
        <v>7.1999999999999995E-2</v>
      </c>
      <c r="M6829">
        <v>1.1599999999999999</v>
      </c>
      <c r="N6829">
        <v>0.51</v>
      </c>
    </row>
    <row r="6830" spans="1:14" x14ac:dyDescent="0.25">
      <c r="A6830" t="s">
        <v>12230</v>
      </c>
      <c r="B6830" t="s">
        <v>12231</v>
      </c>
      <c r="C6830" s="1" t="str">
        <f>HYPERLINK("http://www.genecards.org/cgi-bin/carddisp.pl?gene=METTL8","GeneCards")</f>
        <v>GeneCards</v>
      </c>
      <c r="D6830" s="1" t="str">
        <f>HYPERLINK("http://genome-euro.ucsc.edu/cgi-bin/hgTracks?position=220007_at","UCSC")</f>
        <v>UCSC</v>
      </c>
      <c r="E6830" s="1" t="str">
        <f>HYPERLINK("http://www.ncbi.nlm.nih.gov/gene/?term=METTL8","NCBI")</f>
        <v>NCBI</v>
      </c>
      <c r="F6830">
        <v>8.5000000000000006E-2</v>
      </c>
      <c r="G6830">
        <v>0.21</v>
      </c>
      <c r="H6830" s="1" t="str">
        <f>HYPERLINK("http://www.weizmann.ac.il/complex/compphys/software/geview/data/figures/220007_at.png","Figure")</f>
        <v>Figure</v>
      </c>
      <c r="I6830">
        <v>0.93100000000000005</v>
      </c>
      <c r="J6830">
        <v>0.13</v>
      </c>
      <c r="K6830">
        <v>1</v>
      </c>
      <c r="L6830">
        <v>1</v>
      </c>
      <c r="M6830">
        <v>1.07</v>
      </c>
      <c r="N6830">
        <v>9.9000000000000005E-2</v>
      </c>
    </row>
    <row r="6831" spans="1:14" x14ac:dyDescent="0.25">
      <c r="A6831" t="s">
        <v>12232</v>
      </c>
      <c r="B6831" t="s">
        <v>12233</v>
      </c>
      <c r="C6831" s="1" t="str">
        <f>HYPERLINK("http://www.genecards.org/cgi-bin/carddisp.pl?gene=ABCG4","GeneCards")</f>
        <v>GeneCards</v>
      </c>
      <c r="D6831" s="1" t="str">
        <f>HYPERLINK("http://genome-euro.ucsc.edu/cgi-bin/hgTracks?position=207593_at","UCSC")</f>
        <v>UCSC</v>
      </c>
      <c r="E6831" s="1" t="str">
        <f>HYPERLINK("http://www.ncbi.nlm.nih.gov/gene/?term=ABCG4","NCBI")</f>
        <v>NCBI</v>
      </c>
      <c r="F6831">
        <v>8.5000000000000006E-2</v>
      </c>
      <c r="G6831">
        <v>0.21</v>
      </c>
      <c r="H6831" s="1" t="str">
        <f>HYPERLINK("http://www.weizmann.ac.il/complex/compphys/software/geview/data/figures/207593_at.png","Figure")</f>
        <v>Figure</v>
      </c>
      <c r="I6831">
        <v>1.1399999999999999</v>
      </c>
      <c r="J6831">
        <v>0.13</v>
      </c>
      <c r="K6831">
        <v>0.998</v>
      </c>
      <c r="L6831">
        <v>1</v>
      </c>
      <c r="M6831">
        <v>0.878</v>
      </c>
      <c r="N6831">
        <v>9.7000000000000003E-2</v>
      </c>
    </row>
    <row r="6832" spans="1:14" x14ac:dyDescent="0.25">
      <c r="A6832" t="s">
        <v>12234</v>
      </c>
      <c r="B6832" t="s">
        <v>12235</v>
      </c>
      <c r="C6832" s="1" t="str">
        <f>HYPERLINK("http://www.genecards.org/cgi-bin/carddisp.pl?gene=PSMB7","GeneCards")</f>
        <v>GeneCards</v>
      </c>
      <c r="D6832" s="1" t="str">
        <f>HYPERLINK("http://genome-euro.ucsc.edu/cgi-bin/hgTracks?position=200786_at","UCSC")</f>
        <v>UCSC</v>
      </c>
      <c r="E6832" s="1" t="str">
        <f>HYPERLINK("http://www.ncbi.nlm.nih.gov/gene/?term=PSMB7","NCBI")</f>
        <v>NCBI</v>
      </c>
      <c r="F6832">
        <v>8.5999999999999993E-2</v>
      </c>
      <c r="G6832">
        <v>0.21</v>
      </c>
      <c r="H6832" s="1" t="str">
        <f>HYPERLINK("http://www.weizmann.ac.il/complex/compphys/software/geview/data/figures/200786_at.png","Figure")</f>
        <v>Figure</v>
      </c>
      <c r="I6832">
        <v>1.51</v>
      </c>
      <c r="J6832">
        <v>0.24</v>
      </c>
      <c r="K6832">
        <v>1.65</v>
      </c>
      <c r="L6832">
        <v>0.08</v>
      </c>
      <c r="M6832">
        <v>1.0900000000000001</v>
      </c>
      <c r="N6832">
        <v>0.92</v>
      </c>
    </row>
    <row r="6833" spans="1:14" x14ac:dyDescent="0.25">
      <c r="A6833" t="s">
        <v>12236</v>
      </c>
      <c r="B6833" t="s">
        <v>12237</v>
      </c>
      <c r="C6833" s="1" t="str">
        <f>HYPERLINK("http://www.genecards.org/cgi-bin/carddisp.pl?gene=EIF3M","GeneCards")</f>
        <v>GeneCards</v>
      </c>
      <c r="D6833" s="1" t="str">
        <f>HYPERLINK("http://genome-euro.ucsc.edu/cgi-bin/hgTracks?position=202231_at","UCSC")</f>
        <v>UCSC</v>
      </c>
      <c r="E6833" s="1" t="str">
        <f>HYPERLINK("http://www.ncbi.nlm.nih.gov/gene/?term=EIF3M","NCBI")</f>
        <v>NCBI</v>
      </c>
      <c r="F6833">
        <v>8.5999999999999993E-2</v>
      </c>
      <c r="G6833">
        <v>0.21</v>
      </c>
      <c r="H6833" s="1" t="str">
        <f>HYPERLINK("http://www.weizmann.ac.il/complex/compphys/software/geview/data/figures/202231_at.png","Figure")</f>
        <v>Figure</v>
      </c>
      <c r="I6833">
        <v>1.01</v>
      </c>
      <c r="J6833">
        <v>1</v>
      </c>
      <c r="K6833">
        <v>1.25</v>
      </c>
      <c r="L6833">
        <v>0.12</v>
      </c>
      <c r="M6833">
        <v>1.23</v>
      </c>
      <c r="N6833">
        <v>0.17</v>
      </c>
    </row>
    <row r="6834" spans="1:14" x14ac:dyDescent="0.25">
      <c r="A6834" t="s">
        <v>12238</v>
      </c>
      <c r="B6834" t="s">
        <v>12239</v>
      </c>
      <c r="C6834" s="1" t="str">
        <f>HYPERLINK("http://www.genecards.org/cgi-bin/carddisp.pl?gene=ANXA8 /// ANXA8L1 /// ANXA8L2","GeneCards")</f>
        <v>GeneCards</v>
      </c>
      <c r="D6834" s="1" t="str">
        <f>HYPERLINK("http://genome-euro.ucsc.edu/cgi-bin/hgTracks?position=203074_at","UCSC")</f>
        <v>UCSC</v>
      </c>
      <c r="E6834" s="1" t="str">
        <f>HYPERLINK("http://www.ncbi.nlm.nih.gov/gene/?term=ANXA8 /// ANXA8L1 /// ANXA8L2","NCBI")</f>
        <v>NCBI</v>
      </c>
      <c r="F6834">
        <v>8.5000000000000006E-2</v>
      </c>
      <c r="G6834">
        <v>0.21</v>
      </c>
      <c r="H6834" s="1" t="str">
        <f>HYPERLINK("http://www.weizmann.ac.il/complex/compphys/software/geview/data/figures/203074_at.png","Figure")</f>
        <v>Figure</v>
      </c>
      <c r="I6834">
        <v>1.1200000000000001</v>
      </c>
      <c r="J6834">
        <v>0.34</v>
      </c>
      <c r="K6834">
        <v>0.93700000000000006</v>
      </c>
      <c r="L6834">
        <v>0.63</v>
      </c>
      <c r="M6834">
        <v>0.83499999999999996</v>
      </c>
      <c r="N6834">
        <v>7.0999999999999994E-2</v>
      </c>
    </row>
    <row r="6835" spans="1:14" x14ac:dyDescent="0.25">
      <c r="A6835" t="s">
        <v>12240</v>
      </c>
      <c r="B6835" t="s">
        <v>12241</v>
      </c>
      <c r="C6835" s="1" t="str">
        <f>HYPERLINK("http://www.genecards.org/cgi-bin/carddisp.pl?gene=KIAA0355","GeneCards")</f>
        <v>GeneCards</v>
      </c>
      <c r="D6835" s="1" t="str">
        <f>HYPERLINK("http://genome-euro.ucsc.edu/cgi-bin/hgTracks?position=203288_at","UCSC")</f>
        <v>UCSC</v>
      </c>
      <c r="E6835" s="1" t="str">
        <f>HYPERLINK("http://www.ncbi.nlm.nih.gov/gene/?term=KIAA0355","NCBI")</f>
        <v>NCBI</v>
      </c>
      <c r="F6835">
        <v>8.5000000000000006E-2</v>
      </c>
      <c r="G6835">
        <v>0.21</v>
      </c>
      <c r="H6835" s="1" t="str">
        <f>HYPERLINK("http://www.weizmann.ac.il/complex/compphys/software/geview/data/figures/203288_at.png","Figure")</f>
        <v>Figure</v>
      </c>
      <c r="I6835">
        <v>0.59699999999999998</v>
      </c>
      <c r="J6835">
        <v>0.2</v>
      </c>
      <c r="K6835">
        <v>0.56299999999999994</v>
      </c>
      <c r="L6835">
        <v>8.6999999999999994E-2</v>
      </c>
      <c r="M6835">
        <v>0.94299999999999995</v>
      </c>
      <c r="N6835">
        <v>0.97</v>
      </c>
    </row>
    <row r="6836" spans="1:14" x14ac:dyDescent="0.25">
      <c r="A6836" t="s">
        <v>12242</v>
      </c>
      <c r="B6836" t="s">
        <v>11012</v>
      </c>
      <c r="C6836" s="1" t="str">
        <f>HYPERLINK("http://www.genecards.org/cgi-bin/carddisp.pl?gene=LCP2","GeneCards")</f>
        <v>GeneCards</v>
      </c>
      <c r="D6836" s="1" t="str">
        <f>HYPERLINK("http://genome-euro.ucsc.edu/cgi-bin/hgTracks?position=205269_at","UCSC")</f>
        <v>UCSC</v>
      </c>
      <c r="E6836" s="1" t="str">
        <f>HYPERLINK("http://www.ncbi.nlm.nih.gov/gene/?term=LCP2","NCBI")</f>
        <v>NCBI</v>
      </c>
      <c r="F6836">
        <v>8.5999999999999993E-2</v>
      </c>
      <c r="G6836">
        <v>0.21</v>
      </c>
      <c r="H6836" s="1" t="str">
        <f>HYPERLINK("http://www.weizmann.ac.il/complex/compphys/software/geview/data/figures/205269_at.png","Figure")</f>
        <v>Figure</v>
      </c>
      <c r="I6836">
        <v>0.872</v>
      </c>
      <c r="J6836">
        <v>0.13</v>
      </c>
      <c r="K6836">
        <v>1</v>
      </c>
      <c r="L6836">
        <v>1</v>
      </c>
      <c r="M6836">
        <v>1.1499999999999999</v>
      </c>
      <c r="N6836">
        <v>9.9000000000000005E-2</v>
      </c>
    </row>
    <row r="6837" spans="1:14" x14ac:dyDescent="0.25">
      <c r="A6837" t="s">
        <v>12243</v>
      </c>
      <c r="B6837" t="s">
        <v>3327</v>
      </c>
      <c r="C6837" s="1" t="str">
        <f>HYPERLINK("http://www.genecards.org/cgi-bin/carddisp.pl?gene=C18orf10","GeneCards")</f>
        <v>GeneCards</v>
      </c>
      <c r="D6837" s="1" t="str">
        <f>HYPERLINK("http://genome-euro.ucsc.edu/cgi-bin/hgTracks?position=212055_at","UCSC")</f>
        <v>UCSC</v>
      </c>
      <c r="E6837" s="1" t="str">
        <f>HYPERLINK("http://www.ncbi.nlm.nih.gov/gene/?term=C18orf10","NCBI")</f>
        <v>NCBI</v>
      </c>
      <c r="F6837">
        <v>8.5999999999999993E-2</v>
      </c>
      <c r="G6837">
        <v>0.21</v>
      </c>
      <c r="H6837" s="1" t="str">
        <f>HYPERLINK("http://www.weizmann.ac.il/complex/compphys/software/geview/data/figures/212055_at.png","Figure")</f>
        <v>Figure</v>
      </c>
      <c r="I6837">
        <v>0.96</v>
      </c>
      <c r="J6837">
        <v>0.98</v>
      </c>
      <c r="K6837">
        <v>1.5</v>
      </c>
      <c r="L6837">
        <v>0.15</v>
      </c>
      <c r="M6837">
        <v>1.57</v>
      </c>
      <c r="N6837">
        <v>0.14000000000000001</v>
      </c>
    </row>
    <row r="6838" spans="1:14" x14ac:dyDescent="0.25">
      <c r="A6838" t="s">
        <v>12244</v>
      </c>
      <c r="B6838" t="s">
        <v>12245</v>
      </c>
      <c r="C6838" s="1" t="str">
        <f>HYPERLINK("http://www.genecards.org/cgi-bin/carddisp.pl?gene=RBM10","GeneCards")</f>
        <v>GeneCards</v>
      </c>
      <c r="D6838" s="1" t="str">
        <f>HYPERLINK("http://genome-euro.ucsc.edu/cgi-bin/hgTracks?position=215089_s_at","UCSC")</f>
        <v>UCSC</v>
      </c>
      <c r="E6838" s="1" t="str">
        <f>HYPERLINK("http://www.ncbi.nlm.nih.gov/gene/?term=RBM10","NCBI")</f>
        <v>NCBI</v>
      </c>
      <c r="F6838">
        <v>8.5999999999999993E-2</v>
      </c>
      <c r="G6838">
        <v>0.21</v>
      </c>
      <c r="H6838" s="1" t="str">
        <f>HYPERLINK("http://www.weizmann.ac.il/complex/compphys/software/geview/data/figures/215089_s_at.png","Figure")</f>
        <v>Figure</v>
      </c>
      <c r="I6838">
        <v>0.93500000000000005</v>
      </c>
      <c r="J6838">
        <v>0.91</v>
      </c>
      <c r="K6838">
        <v>1.31</v>
      </c>
      <c r="L6838">
        <v>0.19</v>
      </c>
      <c r="M6838">
        <v>1.4</v>
      </c>
      <c r="N6838">
        <v>0.11</v>
      </c>
    </row>
    <row r="6839" spans="1:14" x14ac:dyDescent="0.25">
      <c r="A6839" t="s">
        <v>12246</v>
      </c>
      <c r="B6839" t="s">
        <v>7853</v>
      </c>
      <c r="C6839" s="1" t="str">
        <f>HYPERLINK("http://www.genecards.org/cgi-bin/carddisp.pl?gene=TNXB","GeneCards")</f>
        <v>GeneCards</v>
      </c>
      <c r="D6839" s="1" t="str">
        <f>HYPERLINK("http://genome-euro.ucsc.edu/cgi-bin/hgTracks?position=217413_s_at","UCSC")</f>
        <v>UCSC</v>
      </c>
      <c r="E6839" s="1" t="str">
        <f>HYPERLINK("http://www.ncbi.nlm.nih.gov/gene/?term=TNXB","NCBI")</f>
        <v>NCBI</v>
      </c>
      <c r="F6839">
        <v>8.5000000000000006E-2</v>
      </c>
      <c r="G6839">
        <v>0.21</v>
      </c>
      <c r="H6839" s="1" t="str">
        <f>HYPERLINK("http://www.weizmann.ac.il/complex/compphys/software/geview/data/figures/217413_s_at.png","Figure")</f>
        <v>Figure</v>
      </c>
      <c r="I6839">
        <v>1.1200000000000001</v>
      </c>
      <c r="J6839">
        <v>0.12</v>
      </c>
      <c r="K6839">
        <v>1.1000000000000001</v>
      </c>
      <c r="L6839">
        <v>0.13</v>
      </c>
      <c r="M6839">
        <v>0.98299999999999998</v>
      </c>
      <c r="N6839">
        <v>0.93</v>
      </c>
    </row>
    <row r="6840" spans="1:14" x14ac:dyDescent="0.25">
      <c r="A6840" t="s">
        <v>12247</v>
      </c>
      <c r="B6840" t="s">
        <v>11825</v>
      </c>
      <c r="C6840" s="1" t="str">
        <f>HYPERLINK("http://www.genecards.org/cgi-bin/carddisp.pl?gene=ZMYND8","GeneCards")</f>
        <v>GeneCards</v>
      </c>
      <c r="D6840" s="1" t="str">
        <f>HYPERLINK("http://genome-euro.ucsc.edu/cgi-bin/hgTracks?position=214795_at","UCSC")</f>
        <v>UCSC</v>
      </c>
      <c r="E6840" s="1" t="str">
        <f>HYPERLINK("http://www.ncbi.nlm.nih.gov/gene/?term=ZMYND8","NCBI")</f>
        <v>NCBI</v>
      </c>
      <c r="F6840">
        <v>8.5999999999999993E-2</v>
      </c>
      <c r="G6840">
        <v>0.21</v>
      </c>
      <c r="H6840" s="1" t="str">
        <f>HYPERLINK("http://www.weizmann.ac.il/complex/compphys/software/geview/data/figures/214795_at.png","Figure")</f>
        <v>Figure</v>
      </c>
      <c r="I6840">
        <v>1.42</v>
      </c>
      <c r="J6840">
        <v>7.0999999999999994E-2</v>
      </c>
      <c r="K6840">
        <v>1.1599999999999999</v>
      </c>
      <c r="L6840">
        <v>0.49</v>
      </c>
      <c r="M6840">
        <v>0.81499999999999995</v>
      </c>
      <c r="N6840">
        <v>0.31</v>
      </c>
    </row>
    <row r="6841" spans="1:14" x14ac:dyDescent="0.25">
      <c r="A6841" t="s">
        <v>12248</v>
      </c>
      <c r="B6841" t="s">
        <v>12249</v>
      </c>
      <c r="C6841" s="1" t="str">
        <f>HYPERLINK("http://www.genecards.org/cgi-bin/carddisp.pl?gene=RRP8","GeneCards")</f>
        <v>GeneCards</v>
      </c>
      <c r="D6841" s="1" t="str">
        <f>HYPERLINK("http://genome-euro.ucsc.edu/cgi-bin/hgTracks?position=203171_s_at","UCSC")</f>
        <v>UCSC</v>
      </c>
      <c r="E6841" s="1" t="str">
        <f>HYPERLINK("http://www.ncbi.nlm.nih.gov/gene/?term=RRP8","NCBI")</f>
        <v>NCBI</v>
      </c>
      <c r="F6841">
        <v>8.5999999999999993E-2</v>
      </c>
      <c r="G6841">
        <v>0.21</v>
      </c>
      <c r="H6841" s="1" t="str">
        <f>HYPERLINK("http://www.weizmann.ac.il/complex/compphys/software/geview/data/figures/203171_s_at.png","Figure")</f>
        <v>Figure</v>
      </c>
      <c r="I6841">
        <v>1.1100000000000001</v>
      </c>
      <c r="J6841">
        <v>0.51</v>
      </c>
      <c r="K6841">
        <v>0.90300000000000002</v>
      </c>
      <c r="L6841">
        <v>0.42</v>
      </c>
      <c r="M6841">
        <v>0.81499999999999995</v>
      </c>
      <c r="N6841">
        <v>7.4999999999999997E-2</v>
      </c>
    </row>
    <row r="6842" spans="1:14" x14ac:dyDescent="0.25">
      <c r="A6842" t="s">
        <v>12250</v>
      </c>
      <c r="B6842" t="s">
        <v>12251</v>
      </c>
      <c r="C6842" s="1" t="str">
        <f>HYPERLINK("http://www.genecards.org/cgi-bin/carddisp.pl?gene=TXLNA","GeneCards")</f>
        <v>GeneCards</v>
      </c>
      <c r="D6842" s="1" t="str">
        <f>HYPERLINK("http://genome-euro.ucsc.edu/cgi-bin/hgTracks?position=212300_at","UCSC")</f>
        <v>UCSC</v>
      </c>
      <c r="E6842" s="1" t="str">
        <f>HYPERLINK("http://www.ncbi.nlm.nih.gov/gene/?term=TXLNA","NCBI")</f>
        <v>NCBI</v>
      </c>
      <c r="F6842">
        <v>8.5999999999999993E-2</v>
      </c>
      <c r="G6842">
        <v>0.21</v>
      </c>
      <c r="H6842" s="1" t="str">
        <f>HYPERLINK("http://www.weizmann.ac.il/complex/compphys/software/geview/data/figures/212300_at.png","Figure")</f>
        <v>Figure</v>
      </c>
      <c r="I6842">
        <v>0.83199999999999996</v>
      </c>
      <c r="J6842">
        <v>0.09</v>
      </c>
      <c r="K6842">
        <v>0.96699999999999997</v>
      </c>
      <c r="L6842">
        <v>0.88</v>
      </c>
      <c r="M6842">
        <v>1.1599999999999999</v>
      </c>
      <c r="N6842">
        <v>0.15</v>
      </c>
    </row>
    <row r="6843" spans="1:14" x14ac:dyDescent="0.25">
      <c r="A6843" t="s">
        <v>12252</v>
      </c>
      <c r="B6843" t="s">
        <v>12253</v>
      </c>
      <c r="C6843" s="1" t="str">
        <f>HYPERLINK("http://www.genecards.org/cgi-bin/carddisp.pl?gene=MYOM2","GeneCards")</f>
        <v>GeneCards</v>
      </c>
      <c r="D6843" s="1" t="str">
        <f>HYPERLINK("http://genome-euro.ucsc.edu/cgi-bin/hgTracks?position=205826_at","UCSC")</f>
        <v>UCSC</v>
      </c>
      <c r="E6843" s="1" t="str">
        <f>HYPERLINK("http://www.ncbi.nlm.nih.gov/gene/?term=MYOM2","NCBI")</f>
        <v>NCBI</v>
      </c>
      <c r="F6843">
        <v>8.5999999999999993E-2</v>
      </c>
      <c r="G6843">
        <v>0.21</v>
      </c>
      <c r="H6843" s="1" t="str">
        <f>HYPERLINK("http://www.weizmann.ac.il/complex/compphys/software/geview/data/figures/205826_at.png","Figure")</f>
        <v>Figure</v>
      </c>
      <c r="I6843">
        <v>0.69399999999999995</v>
      </c>
      <c r="J6843">
        <v>0.12</v>
      </c>
      <c r="K6843">
        <v>0.995</v>
      </c>
      <c r="L6843">
        <v>1</v>
      </c>
      <c r="M6843">
        <v>1.43</v>
      </c>
      <c r="N6843">
        <v>0.1</v>
      </c>
    </row>
    <row r="6844" spans="1:14" x14ac:dyDescent="0.25">
      <c r="A6844" t="s">
        <v>12254</v>
      </c>
      <c r="B6844" t="s">
        <v>12255</v>
      </c>
      <c r="C6844" s="1" t="str">
        <f>HYPERLINK("http://www.genecards.org/cgi-bin/carddisp.pl?gene=ATM","GeneCards")</f>
        <v>GeneCards</v>
      </c>
      <c r="D6844" s="1" t="str">
        <f>HYPERLINK("http://genome-euro.ucsc.edu/cgi-bin/hgTracks?position=212672_at","UCSC")</f>
        <v>UCSC</v>
      </c>
      <c r="E6844" s="1" t="str">
        <f>HYPERLINK("http://www.ncbi.nlm.nih.gov/gene/?term=ATM","NCBI")</f>
        <v>NCBI</v>
      </c>
      <c r="F6844">
        <v>8.5999999999999993E-2</v>
      </c>
      <c r="G6844">
        <v>0.21</v>
      </c>
      <c r="H6844" s="1" t="str">
        <f>HYPERLINK("http://www.weizmann.ac.il/complex/compphys/software/geview/data/figures/212672_at.png","Figure")</f>
        <v>Figure</v>
      </c>
      <c r="I6844">
        <v>0.72099999999999997</v>
      </c>
      <c r="J6844">
        <v>0.16</v>
      </c>
      <c r="K6844">
        <v>1.04</v>
      </c>
      <c r="L6844">
        <v>0.97</v>
      </c>
      <c r="M6844">
        <v>1.44</v>
      </c>
      <c r="N6844">
        <v>8.5999999999999993E-2</v>
      </c>
    </row>
    <row r="6845" spans="1:14" x14ac:dyDescent="0.25">
      <c r="A6845" t="s">
        <v>12256</v>
      </c>
      <c r="B6845" t="s">
        <v>9801</v>
      </c>
      <c r="C6845" s="1" t="str">
        <f>HYPERLINK("http://www.genecards.org/cgi-bin/carddisp.pl?gene=MED16","GeneCards")</f>
        <v>GeneCards</v>
      </c>
      <c r="D6845" s="1" t="str">
        <f>HYPERLINK("http://genome-euro.ucsc.edu/cgi-bin/hgTracks?position=221545_x_at","UCSC")</f>
        <v>UCSC</v>
      </c>
      <c r="E6845" s="1" t="str">
        <f>HYPERLINK("http://www.ncbi.nlm.nih.gov/gene/?term=MED16","NCBI")</f>
        <v>NCBI</v>
      </c>
      <c r="F6845">
        <v>8.5999999999999993E-2</v>
      </c>
      <c r="G6845">
        <v>0.21</v>
      </c>
      <c r="H6845" s="1" t="str">
        <f>HYPERLINK("http://www.weizmann.ac.il/complex/compphys/software/geview/data/figures/221545_x_at.png","Figure")</f>
        <v>Figure</v>
      </c>
      <c r="I6845">
        <v>0.77900000000000003</v>
      </c>
      <c r="J6845">
        <v>7.8E-2</v>
      </c>
      <c r="K6845">
        <v>0.86</v>
      </c>
      <c r="L6845">
        <v>0.26</v>
      </c>
      <c r="M6845">
        <v>1.1000000000000001</v>
      </c>
      <c r="N6845">
        <v>0.57999999999999996</v>
      </c>
    </row>
    <row r="6846" spans="1:14" x14ac:dyDescent="0.25">
      <c r="A6846" t="s">
        <v>12257</v>
      </c>
      <c r="B6846" t="s">
        <v>1973</v>
      </c>
      <c r="C6846" s="1" t="str">
        <f>HYPERLINK("http://www.genecards.org/cgi-bin/carddisp.pl?gene=SON","GeneCards")</f>
        <v>GeneCards</v>
      </c>
      <c r="D6846" s="1" t="str">
        <f>HYPERLINK("http://genome-euro.ucsc.edu/cgi-bin/hgTracks?position=201085_s_at","UCSC")</f>
        <v>UCSC</v>
      </c>
      <c r="E6846" s="1" t="str">
        <f>HYPERLINK("http://www.ncbi.nlm.nih.gov/gene/?term=SON","NCBI")</f>
        <v>NCBI</v>
      </c>
      <c r="F6846">
        <v>8.5999999999999993E-2</v>
      </c>
      <c r="G6846">
        <v>0.21</v>
      </c>
      <c r="H6846" s="1" t="str">
        <f>HYPERLINK("http://www.weizmann.ac.il/complex/compphys/software/geview/data/figures/201085_s_at.png","Figure")</f>
        <v>Figure</v>
      </c>
      <c r="I6846">
        <v>0.81699999999999995</v>
      </c>
      <c r="J6846">
        <v>0.51</v>
      </c>
      <c r="K6846">
        <v>0.68300000000000005</v>
      </c>
      <c r="L6846">
        <v>7.1999999999999995E-2</v>
      </c>
      <c r="M6846">
        <v>0.83599999999999997</v>
      </c>
      <c r="N6846">
        <v>0.55000000000000004</v>
      </c>
    </row>
    <row r="6847" spans="1:14" x14ac:dyDescent="0.25">
      <c r="A6847" t="s">
        <v>12258</v>
      </c>
      <c r="B6847" t="s">
        <v>12259</v>
      </c>
      <c r="C6847" s="1" t="str">
        <f>HYPERLINK("http://www.genecards.org/cgi-bin/carddisp.pl?gene=CRK","GeneCards")</f>
        <v>GeneCards</v>
      </c>
      <c r="D6847" s="1" t="str">
        <f>HYPERLINK("http://genome-euro.ucsc.edu/cgi-bin/hgTracks?position=202226_s_at","UCSC")</f>
        <v>UCSC</v>
      </c>
      <c r="E6847" s="1" t="str">
        <f>HYPERLINK("http://www.ncbi.nlm.nih.gov/gene/?term=CRK","NCBI")</f>
        <v>NCBI</v>
      </c>
      <c r="F6847">
        <v>8.5999999999999993E-2</v>
      </c>
      <c r="G6847">
        <v>0.21</v>
      </c>
      <c r="H6847" s="1" t="str">
        <f>HYPERLINK("http://www.weizmann.ac.il/complex/compphys/software/geview/data/figures/202226_s_at.png","Figure")</f>
        <v>Figure</v>
      </c>
      <c r="I6847">
        <v>1.17</v>
      </c>
      <c r="J6847">
        <v>0.27</v>
      </c>
      <c r="K6847">
        <v>0.94099999999999995</v>
      </c>
      <c r="L6847">
        <v>0.75</v>
      </c>
      <c r="M6847">
        <v>0.80400000000000005</v>
      </c>
      <c r="N6847">
        <v>7.2999999999999995E-2</v>
      </c>
    </row>
    <row r="6848" spans="1:14" x14ac:dyDescent="0.25">
      <c r="A6848" t="s">
        <v>12260</v>
      </c>
      <c r="B6848" t="s">
        <v>11122</v>
      </c>
      <c r="C6848" s="1" t="str">
        <f>HYPERLINK("http://www.genecards.org/cgi-bin/carddisp.pl?gene=GJC2","GeneCards")</f>
        <v>GeneCards</v>
      </c>
      <c r="D6848" s="1" t="str">
        <f>HYPERLINK("http://genome-euro.ucsc.edu/cgi-bin/hgTracks?position=207025_at","UCSC")</f>
        <v>UCSC</v>
      </c>
      <c r="E6848" s="1" t="str">
        <f>HYPERLINK("http://www.ncbi.nlm.nih.gov/gene/?term=GJC2","NCBI")</f>
        <v>NCBI</v>
      </c>
      <c r="F6848">
        <v>8.5999999999999993E-2</v>
      </c>
      <c r="G6848">
        <v>0.21</v>
      </c>
      <c r="H6848" s="1" t="str">
        <f>HYPERLINK("http://www.weizmann.ac.il/complex/compphys/software/geview/data/figures/207025_at.png","Figure")</f>
        <v>Figure</v>
      </c>
      <c r="I6848">
        <v>1.39</v>
      </c>
      <c r="J6848">
        <v>7.1999999999999995E-2</v>
      </c>
      <c r="K6848">
        <v>1.18</v>
      </c>
      <c r="L6848">
        <v>0.37</v>
      </c>
      <c r="M6848">
        <v>0.84799999999999998</v>
      </c>
      <c r="N6848">
        <v>0.42</v>
      </c>
    </row>
    <row r="6849" spans="1:14" x14ac:dyDescent="0.25">
      <c r="A6849" t="s">
        <v>12261</v>
      </c>
      <c r="B6849" t="s">
        <v>7645</v>
      </c>
      <c r="C6849" s="1" t="str">
        <f>HYPERLINK("http://www.genecards.org/cgi-bin/carddisp.pl?gene=RGS6","GeneCards")</f>
        <v>GeneCards</v>
      </c>
      <c r="D6849" s="1" t="str">
        <f>HYPERLINK("http://genome-euro.ucsc.edu/cgi-bin/hgTracks?position=210270_at","UCSC")</f>
        <v>UCSC</v>
      </c>
      <c r="E6849" s="1" t="str">
        <f>HYPERLINK("http://www.ncbi.nlm.nih.gov/gene/?term=RGS6","NCBI")</f>
        <v>NCBI</v>
      </c>
      <c r="F6849">
        <v>8.5999999999999993E-2</v>
      </c>
      <c r="G6849">
        <v>0.21</v>
      </c>
      <c r="H6849" s="1" t="str">
        <f>HYPERLINK("http://www.weizmann.ac.il/complex/compphys/software/geview/data/figures/210270_at.png","Figure")</f>
        <v>Figure</v>
      </c>
      <c r="I6849">
        <v>1.19</v>
      </c>
      <c r="J6849">
        <v>0.2</v>
      </c>
      <c r="K6849">
        <v>0.96199999999999997</v>
      </c>
      <c r="L6849">
        <v>0.89</v>
      </c>
      <c r="M6849">
        <v>0.80500000000000005</v>
      </c>
      <c r="N6849">
        <v>7.8E-2</v>
      </c>
    </row>
    <row r="6850" spans="1:14" x14ac:dyDescent="0.25">
      <c r="A6850" t="s">
        <v>12262</v>
      </c>
      <c r="B6850" t="s">
        <v>12263</v>
      </c>
      <c r="C6850" s="1" t="str">
        <f>HYPERLINK("http://www.genecards.org/cgi-bin/carddisp.pl?gene=C6orf145","GeneCards")</f>
        <v>GeneCards</v>
      </c>
      <c r="D6850" s="1" t="str">
        <f>HYPERLINK("http://genome-euro.ucsc.edu/cgi-bin/hgTracks?position=212923_s_at","UCSC")</f>
        <v>UCSC</v>
      </c>
      <c r="E6850" s="1" t="str">
        <f>HYPERLINK("http://www.ncbi.nlm.nih.gov/gene/?term=C6orf145","NCBI")</f>
        <v>NCBI</v>
      </c>
      <c r="F6850">
        <v>8.5999999999999993E-2</v>
      </c>
      <c r="G6850">
        <v>0.21</v>
      </c>
      <c r="H6850" s="1" t="str">
        <f>HYPERLINK("http://www.weizmann.ac.il/complex/compphys/software/geview/data/figures/212923_s_at.png","Figure")</f>
        <v>Figure</v>
      </c>
      <c r="I6850">
        <v>1.1200000000000001</v>
      </c>
      <c r="J6850">
        <v>0.48</v>
      </c>
      <c r="K6850">
        <v>0.89900000000000002</v>
      </c>
      <c r="L6850">
        <v>0.46</v>
      </c>
      <c r="M6850">
        <v>0.79900000000000004</v>
      </c>
      <c r="N6850">
        <v>7.3999999999999996E-2</v>
      </c>
    </row>
    <row r="6851" spans="1:14" x14ac:dyDescent="0.25">
      <c r="A6851" t="s">
        <v>12264</v>
      </c>
      <c r="B6851" t="s">
        <v>5296</v>
      </c>
      <c r="C6851" s="1" t="str">
        <f>HYPERLINK("http://www.genecards.org/cgi-bin/carddisp.pl?gene=TACC2","GeneCards")</f>
        <v>GeneCards</v>
      </c>
      <c r="D6851" s="1" t="str">
        <f>HYPERLINK("http://genome-euro.ucsc.edu/cgi-bin/hgTracks?position=211382_s_at","UCSC")</f>
        <v>UCSC</v>
      </c>
      <c r="E6851" s="1" t="str">
        <f>HYPERLINK("http://www.ncbi.nlm.nih.gov/gene/?term=TACC2","NCBI")</f>
        <v>NCBI</v>
      </c>
      <c r="F6851">
        <v>8.5999999999999993E-2</v>
      </c>
      <c r="G6851">
        <v>0.21</v>
      </c>
      <c r="H6851" s="1" t="str">
        <f>HYPERLINK("http://www.weizmann.ac.il/complex/compphys/software/geview/data/figures/211382_s_at.png","Figure")</f>
        <v>Figure</v>
      </c>
      <c r="I6851">
        <v>1.75</v>
      </c>
      <c r="J6851">
        <v>0.16</v>
      </c>
      <c r="K6851">
        <v>1.75</v>
      </c>
      <c r="L6851">
        <v>0.1</v>
      </c>
      <c r="M6851">
        <v>1</v>
      </c>
      <c r="N6851">
        <v>1</v>
      </c>
    </row>
    <row r="6852" spans="1:14" x14ac:dyDescent="0.25">
      <c r="A6852" t="s">
        <v>12265</v>
      </c>
      <c r="B6852" t="s">
        <v>12266</v>
      </c>
      <c r="C6852" s="1" t="str">
        <f>HYPERLINK("http://www.genecards.org/cgi-bin/carddisp.pl?gene=NOVA2","GeneCards")</f>
        <v>GeneCards</v>
      </c>
      <c r="D6852" s="1" t="str">
        <f>HYPERLINK("http://genome-euro.ucsc.edu/cgi-bin/hgTracks?position=206477_s_at","UCSC")</f>
        <v>UCSC</v>
      </c>
      <c r="E6852" s="1" t="str">
        <f>HYPERLINK("http://www.ncbi.nlm.nih.gov/gene/?term=NOVA2","NCBI")</f>
        <v>NCBI</v>
      </c>
      <c r="F6852">
        <v>8.5999999999999993E-2</v>
      </c>
      <c r="G6852">
        <v>0.21</v>
      </c>
      <c r="H6852" s="1" t="str">
        <f>HYPERLINK("http://www.weizmann.ac.il/complex/compphys/software/geview/data/figures/206477_s_at.png","Figure")</f>
        <v>Figure</v>
      </c>
      <c r="I6852">
        <v>1.22</v>
      </c>
      <c r="J6852">
        <v>8.5999999999999993E-2</v>
      </c>
      <c r="K6852">
        <v>1.04</v>
      </c>
      <c r="L6852">
        <v>0.84</v>
      </c>
      <c r="M6852">
        <v>0.85499999999999998</v>
      </c>
      <c r="N6852">
        <v>0.16</v>
      </c>
    </row>
    <row r="6853" spans="1:14" x14ac:dyDescent="0.25">
      <c r="A6853" t="s">
        <v>12267</v>
      </c>
      <c r="B6853" t="s">
        <v>9074</v>
      </c>
      <c r="C6853" s="1" t="str">
        <f>HYPERLINK("http://www.genecards.org/cgi-bin/carddisp.pl?gene=SLC39A6","GeneCards")</f>
        <v>GeneCards</v>
      </c>
      <c r="D6853" s="1" t="str">
        <f>HYPERLINK("http://genome-euro.ucsc.edu/cgi-bin/hgTracks?position=202089_s_at","UCSC")</f>
        <v>UCSC</v>
      </c>
      <c r="E6853" s="1" t="str">
        <f>HYPERLINK("http://www.ncbi.nlm.nih.gov/gene/?term=SLC39A6","NCBI")</f>
        <v>NCBI</v>
      </c>
      <c r="F6853">
        <v>8.5999999999999993E-2</v>
      </c>
      <c r="G6853">
        <v>0.21</v>
      </c>
      <c r="H6853" s="1" t="str">
        <f>HYPERLINK("http://www.weizmann.ac.il/complex/compphys/software/geview/data/figures/202089_s_at.png","Figure")</f>
        <v>Figure</v>
      </c>
      <c r="I6853">
        <v>0.746</v>
      </c>
      <c r="J6853">
        <v>0.37</v>
      </c>
      <c r="K6853">
        <v>1.21</v>
      </c>
      <c r="L6853">
        <v>0.57999999999999996</v>
      </c>
      <c r="M6853">
        <v>1.62</v>
      </c>
      <c r="N6853">
        <v>7.0999999999999994E-2</v>
      </c>
    </row>
    <row r="6854" spans="1:14" x14ac:dyDescent="0.25">
      <c r="A6854" t="s">
        <v>12268</v>
      </c>
      <c r="B6854" t="s">
        <v>7836</v>
      </c>
      <c r="C6854" s="1" t="str">
        <f>HYPERLINK("http://www.genecards.org/cgi-bin/carddisp.pl?gene=CROCC","GeneCards")</f>
        <v>GeneCards</v>
      </c>
      <c r="D6854" s="1" t="str">
        <f>HYPERLINK("http://genome-euro.ucsc.edu/cgi-bin/hgTracks?position=206274_s_at","UCSC")</f>
        <v>UCSC</v>
      </c>
      <c r="E6854" s="1" t="str">
        <f>HYPERLINK("http://www.ncbi.nlm.nih.gov/gene/?term=CROCC","NCBI")</f>
        <v>NCBI</v>
      </c>
      <c r="F6854">
        <v>8.5999999999999993E-2</v>
      </c>
      <c r="G6854">
        <v>0.21</v>
      </c>
      <c r="H6854" s="1" t="str">
        <f>HYPERLINK("http://www.weizmann.ac.il/complex/compphys/software/geview/data/figures/206274_s_at.png","Figure")</f>
        <v>Figure</v>
      </c>
      <c r="I6854">
        <v>0.99299999999999999</v>
      </c>
      <c r="J6854">
        <v>1</v>
      </c>
      <c r="K6854">
        <v>1.1499999999999999</v>
      </c>
      <c r="L6854">
        <v>0.14000000000000001</v>
      </c>
      <c r="M6854">
        <v>1.1599999999999999</v>
      </c>
      <c r="N6854">
        <v>0.15</v>
      </c>
    </row>
    <row r="6855" spans="1:14" x14ac:dyDescent="0.25">
      <c r="A6855" t="s">
        <v>12269</v>
      </c>
      <c r="B6855" t="s">
        <v>12270</v>
      </c>
      <c r="C6855" s="1" t="str">
        <f>HYPERLINK("http://www.genecards.org/cgi-bin/carddisp.pl?gene=TRIM16","GeneCards")</f>
        <v>GeneCards</v>
      </c>
      <c r="D6855" s="1" t="str">
        <f>HYPERLINK("http://genome-euro.ucsc.edu/cgi-bin/hgTracks?position=204341_at","UCSC")</f>
        <v>UCSC</v>
      </c>
      <c r="E6855" s="1" t="str">
        <f>HYPERLINK("http://www.ncbi.nlm.nih.gov/gene/?term=TRIM16","NCBI")</f>
        <v>NCBI</v>
      </c>
      <c r="F6855">
        <v>8.5999999999999993E-2</v>
      </c>
      <c r="G6855">
        <v>0.21</v>
      </c>
      <c r="H6855" s="1" t="str">
        <f>HYPERLINK("http://www.weizmann.ac.il/complex/compphys/software/geview/data/figures/204341_at.png","Figure")</f>
        <v>Figure</v>
      </c>
      <c r="I6855">
        <v>1.1599999999999999</v>
      </c>
      <c r="J6855">
        <v>0.28000000000000003</v>
      </c>
      <c r="K6855">
        <v>1.22</v>
      </c>
      <c r="L6855">
        <v>7.6999999999999999E-2</v>
      </c>
      <c r="M6855">
        <v>1.05</v>
      </c>
      <c r="N6855">
        <v>0.86</v>
      </c>
    </row>
    <row r="6856" spans="1:14" x14ac:dyDescent="0.25">
      <c r="A6856" t="s">
        <v>12271</v>
      </c>
      <c r="B6856" t="s">
        <v>8761</v>
      </c>
      <c r="C6856" s="1" t="str">
        <f>HYPERLINK("http://www.genecards.org/cgi-bin/carddisp.pl?gene=CFLAR","GeneCards")</f>
        <v>GeneCards</v>
      </c>
      <c r="D6856" s="1" t="str">
        <f>HYPERLINK("http://genome-euro.ucsc.edu/cgi-bin/hgTracks?position=210564_x_at","UCSC")</f>
        <v>UCSC</v>
      </c>
      <c r="E6856" s="1" t="str">
        <f>HYPERLINK("http://www.ncbi.nlm.nih.gov/gene/?term=CFLAR","NCBI")</f>
        <v>NCBI</v>
      </c>
      <c r="F6856">
        <v>8.5999999999999993E-2</v>
      </c>
      <c r="G6856">
        <v>0.21</v>
      </c>
      <c r="H6856" s="1" t="str">
        <f>HYPERLINK("http://www.weizmann.ac.il/complex/compphys/software/geview/data/figures/210564_x_at.png","Figure")</f>
        <v>Figure</v>
      </c>
      <c r="I6856">
        <v>1.05</v>
      </c>
      <c r="J6856">
        <v>0.81</v>
      </c>
      <c r="K6856">
        <v>0.88900000000000001</v>
      </c>
      <c r="L6856">
        <v>0.24</v>
      </c>
      <c r="M6856">
        <v>0.84699999999999998</v>
      </c>
      <c r="N6856">
        <v>9.7000000000000003E-2</v>
      </c>
    </row>
    <row r="6857" spans="1:14" x14ac:dyDescent="0.25">
      <c r="A6857" t="s">
        <v>12272</v>
      </c>
      <c r="B6857" t="s">
        <v>5974</v>
      </c>
      <c r="C6857" s="1" t="str">
        <f>HYPERLINK("http://www.genecards.org/cgi-bin/carddisp.pl?gene=NKTR","GeneCards")</f>
        <v>GeneCards</v>
      </c>
      <c r="D6857" s="1" t="str">
        <f>HYPERLINK("http://genome-euro.ucsc.edu/cgi-bin/hgTracks?position=215338_s_at","UCSC")</f>
        <v>UCSC</v>
      </c>
      <c r="E6857" s="1" t="str">
        <f>HYPERLINK("http://www.ncbi.nlm.nih.gov/gene/?term=NKTR","NCBI")</f>
        <v>NCBI</v>
      </c>
      <c r="F6857">
        <v>8.5999999999999993E-2</v>
      </c>
      <c r="G6857">
        <v>0.21</v>
      </c>
      <c r="H6857" s="1" t="str">
        <f>HYPERLINK("http://www.weizmann.ac.il/complex/compphys/software/geview/data/figures/215338_s_at.png","Figure")</f>
        <v>Figure</v>
      </c>
      <c r="I6857">
        <v>1.37</v>
      </c>
      <c r="J6857">
        <v>0.48</v>
      </c>
      <c r="K6857">
        <v>0.75600000000000001</v>
      </c>
      <c r="L6857">
        <v>0.46</v>
      </c>
      <c r="M6857">
        <v>0.55300000000000005</v>
      </c>
      <c r="N6857">
        <v>7.3999999999999996E-2</v>
      </c>
    </row>
    <row r="6858" spans="1:14" x14ac:dyDescent="0.25">
      <c r="A6858" t="s">
        <v>12273</v>
      </c>
      <c r="B6858" t="s">
        <v>12274</v>
      </c>
      <c r="C6858" s="1" t="str">
        <f>HYPERLINK("http://www.genecards.org/cgi-bin/carddisp.pl?gene=AGGF1","GeneCards")</f>
        <v>GeneCards</v>
      </c>
      <c r="D6858" s="1" t="str">
        <f>HYPERLINK("http://genome-euro.ucsc.edu/cgi-bin/hgTracks?position=218534_s_at","UCSC")</f>
        <v>UCSC</v>
      </c>
      <c r="E6858" s="1" t="str">
        <f>HYPERLINK("http://www.ncbi.nlm.nih.gov/gene/?term=AGGF1","NCBI")</f>
        <v>NCBI</v>
      </c>
      <c r="F6858">
        <v>8.5999999999999993E-2</v>
      </c>
      <c r="G6858">
        <v>0.21</v>
      </c>
      <c r="H6858" s="1" t="str">
        <f>HYPERLINK("http://www.weizmann.ac.il/complex/compphys/software/geview/data/figures/218534_s_at.png","Figure")</f>
        <v>Figure</v>
      </c>
      <c r="I6858">
        <v>0.90900000000000003</v>
      </c>
      <c r="J6858">
        <v>0.13</v>
      </c>
      <c r="K6858">
        <v>1</v>
      </c>
      <c r="L6858">
        <v>1</v>
      </c>
      <c r="M6858">
        <v>1.1000000000000001</v>
      </c>
      <c r="N6858">
        <v>0.1</v>
      </c>
    </row>
    <row r="6859" spans="1:14" x14ac:dyDescent="0.25">
      <c r="A6859" t="s">
        <v>12275</v>
      </c>
      <c r="B6859" t="s">
        <v>12276</v>
      </c>
      <c r="C6859" s="1" t="str">
        <f>HYPERLINK("http://www.genecards.org/cgi-bin/carddisp.pl?gene=CTSH","GeneCards")</f>
        <v>GeneCards</v>
      </c>
      <c r="D6859" s="1" t="str">
        <f>HYPERLINK("http://genome-euro.ucsc.edu/cgi-bin/hgTracks?position=202295_s_at","UCSC")</f>
        <v>UCSC</v>
      </c>
      <c r="E6859" s="1" t="str">
        <f>HYPERLINK("http://www.ncbi.nlm.nih.gov/gene/?term=CTSH","NCBI")</f>
        <v>NCBI</v>
      </c>
      <c r="F6859">
        <v>8.5999999999999993E-2</v>
      </c>
      <c r="G6859">
        <v>0.21</v>
      </c>
      <c r="H6859" s="1" t="str">
        <f>HYPERLINK("http://www.weizmann.ac.il/complex/compphys/software/geview/data/figures/202295_s_at.png","Figure")</f>
        <v>Figure</v>
      </c>
      <c r="I6859">
        <v>0.69299999999999995</v>
      </c>
      <c r="J6859">
        <v>0.22</v>
      </c>
      <c r="K6859">
        <v>1.1100000000000001</v>
      </c>
      <c r="L6859">
        <v>0.85</v>
      </c>
      <c r="M6859">
        <v>1.6</v>
      </c>
      <c r="N6859">
        <v>7.5999999999999998E-2</v>
      </c>
    </row>
    <row r="6860" spans="1:14" x14ac:dyDescent="0.25">
      <c r="A6860" t="s">
        <v>12277</v>
      </c>
      <c r="B6860" t="s">
        <v>12278</v>
      </c>
      <c r="C6860" s="1" t="str">
        <f>HYPERLINK("http://www.genecards.org/cgi-bin/carddisp.pl?gene=PPT1","GeneCards")</f>
        <v>GeneCards</v>
      </c>
      <c r="D6860" s="1" t="str">
        <f>HYPERLINK("http://genome-euro.ucsc.edu/cgi-bin/hgTracks?position=200975_at","UCSC")</f>
        <v>UCSC</v>
      </c>
      <c r="E6860" s="1" t="str">
        <f>HYPERLINK("http://www.ncbi.nlm.nih.gov/gene/?term=PPT1","NCBI")</f>
        <v>NCBI</v>
      </c>
      <c r="F6860">
        <v>8.5999999999999993E-2</v>
      </c>
      <c r="G6860">
        <v>0.21</v>
      </c>
      <c r="H6860" s="1" t="str">
        <f>HYPERLINK("http://www.weizmann.ac.il/complex/compphys/software/geview/data/figures/200975_at.png","Figure")</f>
        <v>Figure</v>
      </c>
      <c r="I6860">
        <v>0.84799999999999998</v>
      </c>
      <c r="J6860">
        <v>0.6</v>
      </c>
      <c r="K6860">
        <v>1.23</v>
      </c>
      <c r="L6860">
        <v>0.36</v>
      </c>
      <c r="M6860">
        <v>1.45</v>
      </c>
      <c r="N6860">
        <v>7.9000000000000001E-2</v>
      </c>
    </row>
    <row r="6861" spans="1:14" x14ac:dyDescent="0.25">
      <c r="A6861" t="s">
        <v>12279</v>
      </c>
      <c r="B6861" t="s">
        <v>12280</v>
      </c>
      <c r="C6861" s="1" t="str">
        <f>HYPERLINK("http://www.genecards.org/cgi-bin/carddisp.pl?gene=DUSP4","GeneCards")</f>
        <v>GeneCards</v>
      </c>
      <c r="D6861" s="1" t="str">
        <f>HYPERLINK("http://genome-euro.ucsc.edu/cgi-bin/hgTracks?position=204015_s_at","UCSC")</f>
        <v>UCSC</v>
      </c>
      <c r="E6861" s="1" t="str">
        <f>HYPERLINK("http://www.ncbi.nlm.nih.gov/gene/?term=DUSP4","NCBI")</f>
        <v>NCBI</v>
      </c>
      <c r="F6861">
        <v>8.5999999999999993E-2</v>
      </c>
      <c r="G6861">
        <v>0.21</v>
      </c>
      <c r="H6861" s="1" t="str">
        <f>HYPERLINK("http://www.weizmann.ac.il/complex/compphys/software/geview/data/figures/204015_s_at.png","Figure")</f>
        <v>Figure</v>
      </c>
      <c r="I6861">
        <v>1.03</v>
      </c>
      <c r="J6861">
        <v>0.16</v>
      </c>
      <c r="K6861">
        <v>1.03</v>
      </c>
      <c r="L6861">
        <v>0.1</v>
      </c>
      <c r="M6861">
        <v>1</v>
      </c>
      <c r="N6861">
        <v>1</v>
      </c>
    </row>
    <row r="6862" spans="1:14" x14ac:dyDescent="0.25">
      <c r="A6862" t="s">
        <v>12281</v>
      </c>
      <c r="B6862" t="s">
        <v>12282</v>
      </c>
      <c r="C6862" s="1" t="str">
        <f>HYPERLINK("http://www.genecards.org/cgi-bin/carddisp.pl?gene=S100A11","GeneCards")</f>
        <v>GeneCards</v>
      </c>
      <c r="D6862" s="1" t="str">
        <f>HYPERLINK("http://genome-euro.ucsc.edu/cgi-bin/hgTracks?position=208540_x_at","UCSC")</f>
        <v>UCSC</v>
      </c>
      <c r="E6862" s="1" t="str">
        <f>HYPERLINK("http://www.ncbi.nlm.nih.gov/gene/?term=S100A11","NCBI")</f>
        <v>NCBI</v>
      </c>
      <c r="F6862">
        <v>8.5999999999999993E-2</v>
      </c>
      <c r="G6862">
        <v>0.21</v>
      </c>
      <c r="H6862" s="1" t="str">
        <f>HYPERLINK("http://www.weizmann.ac.il/complex/compphys/software/geview/data/figures/208540_x_at.png","Figure")</f>
        <v>Figure</v>
      </c>
      <c r="I6862">
        <v>1.2</v>
      </c>
      <c r="J6862">
        <v>0.11</v>
      </c>
      <c r="K6862">
        <v>1.02</v>
      </c>
      <c r="L6862">
        <v>0.97</v>
      </c>
      <c r="M6862">
        <v>0.84599999999999997</v>
      </c>
      <c r="N6862">
        <v>0.12</v>
      </c>
    </row>
    <row r="6863" spans="1:14" x14ac:dyDescent="0.25">
      <c r="A6863" t="s">
        <v>12283</v>
      </c>
      <c r="B6863" t="s">
        <v>9333</v>
      </c>
      <c r="C6863" s="1" t="str">
        <f>HYPERLINK("http://www.genecards.org/cgi-bin/carddisp.pl?gene=CDK2","GeneCards")</f>
        <v>GeneCards</v>
      </c>
      <c r="D6863" s="1" t="str">
        <f>HYPERLINK("http://genome-euro.ucsc.edu/cgi-bin/hgTracks?position=211804_s_at","UCSC")</f>
        <v>UCSC</v>
      </c>
      <c r="E6863" s="1" t="str">
        <f>HYPERLINK("http://www.ncbi.nlm.nih.gov/gene/?term=CDK2","NCBI")</f>
        <v>NCBI</v>
      </c>
      <c r="F6863">
        <v>8.5999999999999993E-2</v>
      </c>
      <c r="G6863">
        <v>0.21</v>
      </c>
      <c r="H6863" s="1" t="str">
        <f>HYPERLINK("http://www.weizmann.ac.il/complex/compphys/software/geview/data/figures/211804_s_at.png","Figure")</f>
        <v>Figure</v>
      </c>
      <c r="I6863">
        <v>1.25</v>
      </c>
      <c r="J6863">
        <v>9.2999999999999999E-2</v>
      </c>
      <c r="K6863">
        <v>1.04</v>
      </c>
      <c r="L6863">
        <v>0.9</v>
      </c>
      <c r="M6863">
        <v>0.83199999999999996</v>
      </c>
      <c r="N6863">
        <v>0.14000000000000001</v>
      </c>
    </row>
    <row r="6864" spans="1:14" x14ac:dyDescent="0.25">
      <c r="A6864" t="s">
        <v>12284</v>
      </c>
      <c r="B6864" t="s">
        <v>12285</v>
      </c>
      <c r="C6864" s="1" t="str">
        <f>HYPERLINK("http://www.genecards.org/cgi-bin/carddisp.pl?gene=KRTAP1-1","GeneCards")</f>
        <v>GeneCards</v>
      </c>
      <c r="D6864" s="1" t="str">
        <f>HYPERLINK("http://genome-euro.ucsc.edu/cgi-bin/hgTracks?position=220976_s_at","UCSC")</f>
        <v>UCSC</v>
      </c>
      <c r="E6864" s="1" t="str">
        <f>HYPERLINK("http://www.ncbi.nlm.nih.gov/gene/?term=KRTAP1-1","NCBI")</f>
        <v>NCBI</v>
      </c>
      <c r="F6864">
        <v>8.5999999999999993E-2</v>
      </c>
      <c r="G6864">
        <v>0.21</v>
      </c>
      <c r="H6864" s="1" t="str">
        <f>HYPERLINK("http://www.weizmann.ac.il/complex/compphys/software/geview/data/figures/220976_s_at.png","Figure")</f>
        <v>Figure</v>
      </c>
      <c r="I6864">
        <v>1.01</v>
      </c>
      <c r="J6864">
        <v>0.16</v>
      </c>
      <c r="K6864">
        <v>1.01</v>
      </c>
      <c r="L6864">
        <v>0.1</v>
      </c>
      <c r="M6864">
        <v>1</v>
      </c>
      <c r="N6864">
        <v>1</v>
      </c>
    </row>
    <row r="6865" spans="1:14" x14ac:dyDescent="0.25">
      <c r="A6865" t="s">
        <v>12286</v>
      </c>
      <c r="B6865" t="s">
        <v>12287</v>
      </c>
      <c r="C6865" s="1" t="str">
        <f>HYPERLINK("http://www.genecards.org/cgi-bin/carddisp.pl?gene=SPG21","GeneCards")</f>
        <v>GeneCards</v>
      </c>
      <c r="D6865" s="1" t="str">
        <f>HYPERLINK("http://genome-euro.ucsc.edu/cgi-bin/hgTracks?position=215383_x_at","UCSC")</f>
        <v>UCSC</v>
      </c>
      <c r="E6865" s="1" t="str">
        <f>HYPERLINK("http://www.ncbi.nlm.nih.gov/gene/?term=SPG21","NCBI")</f>
        <v>NCBI</v>
      </c>
      <c r="F6865">
        <v>8.5999999999999993E-2</v>
      </c>
      <c r="G6865">
        <v>0.21</v>
      </c>
      <c r="H6865" s="1" t="str">
        <f>HYPERLINK("http://www.weizmann.ac.il/complex/compphys/software/geview/data/figures/215383_x_at.png","Figure")</f>
        <v>Figure</v>
      </c>
      <c r="I6865">
        <v>1.28</v>
      </c>
      <c r="J6865">
        <v>0.14000000000000001</v>
      </c>
      <c r="K6865">
        <v>0.98499999999999999</v>
      </c>
      <c r="L6865">
        <v>0.99</v>
      </c>
      <c r="M6865">
        <v>0.76800000000000002</v>
      </c>
      <c r="N6865">
        <v>9.1999999999999998E-2</v>
      </c>
    </row>
    <row r="6866" spans="1:14" x14ac:dyDescent="0.25">
      <c r="A6866" t="s">
        <v>12288</v>
      </c>
      <c r="B6866" t="s">
        <v>12289</v>
      </c>
      <c r="C6866" s="1" t="str">
        <f>HYPERLINK("http://www.genecards.org/cgi-bin/carddisp.pl?gene=FERMT2","GeneCards")</f>
        <v>GeneCards</v>
      </c>
      <c r="D6866" s="1" t="str">
        <f>HYPERLINK("http://genome-euro.ucsc.edu/cgi-bin/hgTracks?position=209210_s_at","UCSC")</f>
        <v>UCSC</v>
      </c>
      <c r="E6866" s="1" t="str">
        <f>HYPERLINK("http://www.ncbi.nlm.nih.gov/gene/?term=FERMT2","NCBI")</f>
        <v>NCBI</v>
      </c>
      <c r="F6866">
        <v>8.5999999999999993E-2</v>
      </c>
      <c r="G6866">
        <v>0.21</v>
      </c>
      <c r="H6866" s="1" t="str">
        <f>HYPERLINK("http://www.weizmann.ac.il/complex/compphys/software/geview/data/figures/209210_s_at.png","Figure")</f>
        <v>Figure</v>
      </c>
      <c r="I6866">
        <v>0.84499999999999997</v>
      </c>
      <c r="J6866">
        <v>0.79</v>
      </c>
      <c r="K6866">
        <v>0.59199999999999997</v>
      </c>
      <c r="L6866">
        <v>8.3000000000000004E-2</v>
      </c>
      <c r="M6866">
        <v>0.70099999999999996</v>
      </c>
      <c r="N6866">
        <v>0.32</v>
      </c>
    </row>
    <row r="6867" spans="1:14" x14ac:dyDescent="0.25">
      <c r="A6867" t="s">
        <v>12290</v>
      </c>
      <c r="B6867" t="s">
        <v>11289</v>
      </c>
      <c r="C6867" s="1" t="str">
        <f>HYPERLINK("http://www.genecards.org/cgi-bin/carddisp.pl?gene=SLC25A14","GeneCards")</f>
        <v>GeneCards</v>
      </c>
      <c r="D6867" s="1" t="str">
        <f>HYPERLINK("http://genome-euro.ucsc.edu/cgi-bin/hgTracks?position=211855_s_at","UCSC")</f>
        <v>UCSC</v>
      </c>
      <c r="E6867" s="1" t="str">
        <f>HYPERLINK("http://www.ncbi.nlm.nih.gov/gene/?term=SLC25A14","NCBI")</f>
        <v>NCBI</v>
      </c>
      <c r="F6867">
        <v>8.5999999999999993E-2</v>
      </c>
      <c r="G6867">
        <v>0.21</v>
      </c>
      <c r="H6867" s="1" t="str">
        <f>HYPERLINK("http://www.weizmann.ac.il/complex/compphys/software/geview/data/figures/211855_s_at.png","Figure")</f>
        <v>Figure</v>
      </c>
      <c r="I6867">
        <v>0.73099999999999998</v>
      </c>
      <c r="J6867">
        <v>9.6000000000000002E-2</v>
      </c>
      <c r="K6867">
        <v>0.79300000000000004</v>
      </c>
      <c r="L6867">
        <v>0.17</v>
      </c>
      <c r="M6867">
        <v>1.08</v>
      </c>
      <c r="N6867">
        <v>0.81</v>
      </c>
    </row>
    <row r="6868" spans="1:14" x14ac:dyDescent="0.25">
      <c r="A6868" t="s">
        <v>12291</v>
      </c>
      <c r="B6868" t="s">
        <v>12292</v>
      </c>
      <c r="C6868" s="1" t="str">
        <f>HYPERLINK("http://www.genecards.org/cgi-bin/carddisp.pl?gene=RAB1B","GeneCards")</f>
        <v>GeneCards</v>
      </c>
      <c r="D6868" s="1" t="str">
        <f>HYPERLINK("http://genome-euro.ucsc.edu/cgi-bin/hgTracks?position=220964_s_at","UCSC")</f>
        <v>UCSC</v>
      </c>
      <c r="E6868" s="1" t="str">
        <f>HYPERLINK("http://www.ncbi.nlm.nih.gov/gene/?term=RAB1B","NCBI")</f>
        <v>NCBI</v>
      </c>
      <c r="F6868">
        <v>8.5999999999999993E-2</v>
      </c>
      <c r="G6868">
        <v>0.21</v>
      </c>
      <c r="H6868" s="1" t="str">
        <f>HYPERLINK("http://www.weizmann.ac.il/complex/compphys/software/geview/data/figures/220964_s_at.png","Figure")</f>
        <v>Figure</v>
      </c>
      <c r="I6868">
        <v>1.17</v>
      </c>
      <c r="J6868">
        <v>0.25</v>
      </c>
      <c r="K6868">
        <v>1.22</v>
      </c>
      <c r="L6868">
        <v>0.08</v>
      </c>
      <c r="M6868">
        <v>1.04</v>
      </c>
      <c r="N6868">
        <v>0.91</v>
      </c>
    </row>
    <row r="6869" spans="1:14" x14ac:dyDescent="0.25">
      <c r="A6869" t="s">
        <v>12293</v>
      </c>
      <c r="B6869" t="s">
        <v>9157</v>
      </c>
      <c r="C6869" s="1" t="str">
        <f>HYPERLINK("http://www.genecards.org/cgi-bin/carddisp.pl?gene=GRIN1","GeneCards")</f>
        <v>GeneCards</v>
      </c>
      <c r="D6869" s="1" t="str">
        <f>HYPERLINK("http://genome-euro.ucsc.edu/cgi-bin/hgTracks?position=205914_s_at","UCSC")</f>
        <v>UCSC</v>
      </c>
      <c r="E6869" s="1" t="str">
        <f>HYPERLINK("http://www.ncbi.nlm.nih.gov/gene/?term=GRIN1","NCBI")</f>
        <v>NCBI</v>
      </c>
      <c r="F6869">
        <v>8.5999999999999993E-2</v>
      </c>
      <c r="G6869">
        <v>0.21</v>
      </c>
      <c r="H6869" s="1" t="str">
        <f>HYPERLINK("http://www.weizmann.ac.il/complex/compphys/software/geview/data/figures/205914_s_at.png","Figure")</f>
        <v>Figure</v>
      </c>
      <c r="I6869">
        <v>1.07</v>
      </c>
      <c r="J6869">
        <v>0.56000000000000005</v>
      </c>
      <c r="K6869">
        <v>1.1499999999999999</v>
      </c>
      <c r="L6869">
        <v>7.2999999999999995E-2</v>
      </c>
      <c r="M6869">
        <v>1.07</v>
      </c>
      <c r="N6869">
        <v>0.51</v>
      </c>
    </row>
    <row r="6870" spans="1:14" x14ac:dyDescent="0.25">
      <c r="A6870" t="s">
        <v>12294</v>
      </c>
      <c r="B6870" t="s">
        <v>2631</v>
      </c>
      <c r="C6870" s="1" t="str">
        <f>HYPERLINK("http://www.genecards.org/cgi-bin/carddisp.pl?gene=GGA2","GeneCards")</f>
        <v>GeneCards</v>
      </c>
      <c r="D6870" s="1" t="str">
        <f>HYPERLINK("http://genome-euro.ucsc.edu/cgi-bin/hgTracks?position=210658_s_at","UCSC")</f>
        <v>UCSC</v>
      </c>
      <c r="E6870" s="1" t="str">
        <f>HYPERLINK("http://www.ncbi.nlm.nih.gov/gene/?term=GGA2","NCBI")</f>
        <v>NCBI</v>
      </c>
      <c r="F6870">
        <v>8.5999999999999993E-2</v>
      </c>
      <c r="G6870">
        <v>0.21</v>
      </c>
      <c r="H6870" s="1" t="str">
        <f>HYPERLINK("http://www.weizmann.ac.il/complex/compphys/software/geview/data/figures/210658_s_at.png","Figure")</f>
        <v>Figure</v>
      </c>
      <c r="I6870">
        <v>1.06</v>
      </c>
      <c r="J6870">
        <v>0.9</v>
      </c>
      <c r="K6870">
        <v>0.81599999999999995</v>
      </c>
      <c r="L6870">
        <v>0.19</v>
      </c>
      <c r="M6870">
        <v>0.77300000000000002</v>
      </c>
      <c r="N6870">
        <v>0.11</v>
      </c>
    </row>
    <row r="6871" spans="1:14" x14ac:dyDescent="0.25">
      <c r="A6871" t="s">
        <v>12295</v>
      </c>
      <c r="B6871" t="s">
        <v>8761</v>
      </c>
      <c r="C6871" s="1" t="str">
        <f>HYPERLINK("http://www.genecards.org/cgi-bin/carddisp.pl?gene=CFLAR","GeneCards")</f>
        <v>GeneCards</v>
      </c>
      <c r="D6871" s="1" t="str">
        <f>HYPERLINK("http://genome-euro.ucsc.edu/cgi-bin/hgTracks?position=209939_x_at","UCSC")</f>
        <v>UCSC</v>
      </c>
      <c r="E6871" s="1" t="str">
        <f>HYPERLINK("http://www.ncbi.nlm.nih.gov/gene/?term=CFLAR","NCBI")</f>
        <v>NCBI</v>
      </c>
      <c r="F6871">
        <v>8.5999999999999993E-2</v>
      </c>
      <c r="G6871">
        <v>0.21</v>
      </c>
      <c r="H6871" s="1" t="str">
        <f>HYPERLINK("http://www.weizmann.ac.il/complex/compphys/software/geview/data/figures/209939_x_at.png","Figure")</f>
        <v>Figure</v>
      </c>
      <c r="I6871">
        <v>1.25</v>
      </c>
      <c r="J6871">
        <v>0.45</v>
      </c>
      <c r="K6871">
        <v>0.83299999999999996</v>
      </c>
      <c r="L6871">
        <v>0.49</v>
      </c>
      <c r="M6871">
        <v>0.66900000000000004</v>
      </c>
      <c r="N6871">
        <v>7.2999999999999995E-2</v>
      </c>
    </row>
    <row r="6872" spans="1:14" x14ac:dyDescent="0.25">
      <c r="A6872" t="s">
        <v>12296</v>
      </c>
      <c r="B6872" t="s">
        <v>12297</v>
      </c>
      <c r="C6872" s="1" t="str">
        <f>HYPERLINK("http://www.genecards.org/cgi-bin/carddisp.pl?gene=PIWIL2","GeneCards")</f>
        <v>GeneCards</v>
      </c>
      <c r="D6872" s="1" t="str">
        <f>HYPERLINK("http://genome-euro.ucsc.edu/cgi-bin/hgTracks?position=220686_s_at","UCSC")</f>
        <v>UCSC</v>
      </c>
      <c r="E6872" s="1" t="str">
        <f>HYPERLINK("http://www.ncbi.nlm.nih.gov/gene/?term=PIWIL2","NCBI")</f>
        <v>NCBI</v>
      </c>
      <c r="F6872">
        <v>8.5999999999999993E-2</v>
      </c>
      <c r="G6872">
        <v>0.21</v>
      </c>
      <c r="H6872" s="1" t="str">
        <f>HYPERLINK("http://www.weizmann.ac.il/complex/compphys/software/geview/data/figures/220686_s_at.png","Figure")</f>
        <v>Figure</v>
      </c>
      <c r="I6872">
        <v>1.1299999999999999</v>
      </c>
      <c r="J6872">
        <v>9.9000000000000005E-2</v>
      </c>
      <c r="K6872">
        <v>1.02</v>
      </c>
      <c r="L6872">
        <v>0.94</v>
      </c>
      <c r="M6872">
        <v>0.89800000000000002</v>
      </c>
      <c r="N6872">
        <v>0.13</v>
      </c>
    </row>
    <row r="6873" spans="1:14" x14ac:dyDescent="0.25">
      <c r="A6873" t="s">
        <v>12298</v>
      </c>
      <c r="B6873" t="s">
        <v>12299</v>
      </c>
      <c r="C6873" s="1" t="str">
        <f>HYPERLINK("http://www.genecards.org/cgi-bin/carddisp.pl?gene=PPCDC","GeneCards")</f>
        <v>GeneCards</v>
      </c>
      <c r="D6873" s="1" t="str">
        <f>HYPERLINK("http://genome-euro.ucsc.edu/cgi-bin/hgTracks?position=219066_at","UCSC")</f>
        <v>UCSC</v>
      </c>
      <c r="E6873" s="1" t="str">
        <f>HYPERLINK("http://www.ncbi.nlm.nih.gov/gene/?term=PPCDC","NCBI")</f>
        <v>NCBI</v>
      </c>
      <c r="F6873">
        <v>8.5999999999999993E-2</v>
      </c>
      <c r="G6873">
        <v>0.21</v>
      </c>
      <c r="H6873" s="1" t="str">
        <f>HYPERLINK("http://www.weizmann.ac.il/complex/compphys/software/geview/data/figures/219066_at.png","Figure")</f>
        <v>Figure</v>
      </c>
      <c r="I6873">
        <v>0.96099999999999997</v>
      </c>
      <c r="J6873">
        <v>0.13</v>
      </c>
      <c r="K6873">
        <v>1</v>
      </c>
      <c r="L6873">
        <v>1</v>
      </c>
      <c r="M6873">
        <v>1.04</v>
      </c>
      <c r="N6873">
        <v>0.1</v>
      </c>
    </row>
    <row r="6874" spans="1:14" x14ac:dyDescent="0.25">
      <c r="A6874" t="s">
        <v>12300</v>
      </c>
      <c r="B6874" t="s">
        <v>12301</v>
      </c>
      <c r="C6874" s="1" t="str">
        <f>HYPERLINK("http://www.genecards.org/cgi-bin/carddisp.pl?gene=ARNTL2","GeneCards")</f>
        <v>GeneCards</v>
      </c>
      <c r="D6874" s="1" t="str">
        <f>HYPERLINK("http://genome-euro.ucsc.edu/cgi-bin/hgTracks?position=220658_s_at","UCSC")</f>
        <v>UCSC</v>
      </c>
      <c r="E6874" s="1" t="str">
        <f>HYPERLINK("http://www.ncbi.nlm.nih.gov/gene/?term=ARNTL2","NCBI")</f>
        <v>NCBI</v>
      </c>
      <c r="F6874">
        <v>8.5999999999999993E-2</v>
      </c>
      <c r="G6874">
        <v>0.21</v>
      </c>
      <c r="H6874" s="1" t="str">
        <f>HYPERLINK("http://www.weizmann.ac.il/complex/compphys/software/geview/data/figures/220658_s_at.png","Figure")</f>
        <v>Figure</v>
      </c>
      <c r="I6874">
        <v>1.05</v>
      </c>
      <c r="J6874">
        <v>0.16</v>
      </c>
      <c r="K6874">
        <v>1.05</v>
      </c>
      <c r="L6874">
        <v>0.1</v>
      </c>
      <c r="M6874">
        <v>1</v>
      </c>
      <c r="N6874">
        <v>1</v>
      </c>
    </row>
    <row r="6875" spans="1:14" x14ac:dyDescent="0.25">
      <c r="A6875" t="s">
        <v>12302</v>
      </c>
      <c r="B6875" t="s">
        <v>8534</v>
      </c>
      <c r="C6875" s="1" t="str">
        <f>HYPERLINK("http://www.genecards.org/cgi-bin/carddisp.pl?gene=TPSAB1","GeneCards")</f>
        <v>GeneCards</v>
      </c>
      <c r="D6875" s="1" t="str">
        <f>HYPERLINK("http://genome-euro.ucsc.edu/cgi-bin/hgTracks?position=210084_x_at","UCSC")</f>
        <v>UCSC</v>
      </c>
      <c r="E6875" s="1" t="str">
        <f>HYPERLINK("http://www.ncbi.nlm.nih.gov/gene/?term=TPSAB1","NCBI")</f>
        <v>NCBI</v>
      </c>
      <c r="F6875">
        <v>8.5999999999999993E-2</v>
      </c>
      <c r="G6875">
        <v>0.21</v>
      </c>
      <c r="H6875" s="1" t="str">
        <f>HYPERLINK("http://www.weizmann.ac.il/complex/compphys/software/geview/data/figures/210084_x_at.png","Figure")</f>
        <v>Figure</v>
      </c>
      <c r="I6875">
        <v>1.2</v>
      </c>
      <c r="J6875">
        <v>9.1999999999999998E-2</v>
      </c>
      <c r="K6875">
        <v>1.03</v>
      </c>
      <c r="L6875">
        <v>0.89</v>
      </c>
      <c r="M6875">
        <v>0.86199999999999999</v>
      </c>
      <c r="N6875">
        <v>0.14000000000000001</v>
      </c>
    </row>
    <row r="6876" spans="1:14" x14ac:dyDescent="0.25">
      <c r="A6876" t="s">
        <v>12303</v>
      </c>
      <c r="B6876" t="s">
        <v>11287</v>
      </c>
      <c r="C6876" s="1" t="str">
        <f>HYPERLINK("http://www.genecards.org/cgi-bin/carddisp.pl?gene=MAPRE2","GeneCards")</f>
        <v>GeneCards</v>
      </c>
      <c r="D6876" s="1" t="str">
        <f>HYPERLINK("http://genome-euro.ucsc.edu/cgi-bin/hgTracks?position=202501_at","UCSC")</f>
        <v>UCSC</v>
      </c>
      <c r="E6876" s="1" t="str">
        <f>HYPERLINK("http://www.ncbi.nlm.nih.gov/gene/?term=MAPRE2","NCBI")</f>
        <v>NCBI</v>
      </c>
      <c r="F6876">
        <v>8.5999999999999993E-2</v>
      </c>
      <c r="G6876">
        <v>0.21</v>
      </c>
      <c r="H6876" s="1" t="str">
        <f>HYPERLINK("http://www.weizmann.ac.il/complex/compphys/software/geview/data/figures/202501_at.png","Figure")</f>
        <v>Figure</v>
      </c>
      <c r="I6876">
        <v>0.93</v>
      </c>
      <c r="J6876">
        <v>0.8</v>
      </c>
      <c r="K6876">
        <v>1.18</v>
      </c>
      <c r="L6876">
        <v>0.24</v>
      </c>
      <c r="M6876">
        <v>1.27</v>
      </c>
      <c r="N6876">
        <v>9.5000000000000001E-2</v>
      </c>
    </row>
    <row r="6877" spans="1:14" x14ac:dyDescent="0.25">
      <c r="A6877" t="s">
        <v>12304</v>
      </c>
      <c r="B6877" t="s">
        <v>12305</v>
      </c>
      <c r="C6877" s="1" t="str">
        <f>HYPERLINK("http://www.genecards.org/cgi-bin/carddisp.pl?gene=CSTF2T","GeneCards")</f>
        <v>GeneCards</v>
      </c>
      <c r="D6877" s="1" t="str">
        <f>HYPERLINK("http://genome-euro.ucsc.edu/cgi-bin/hgTracks?position=212901_s_at","UCSC")</f>
        <v>UCSC</v>
      </c>
      <c r="E6877" s="1" t="str">
        <f>HYPERLINK("http://www.ncbi.nlm.nih.gov/gene/?term=CSTF2T","NCBI")</f>
        <v>NCBI</v>
      </c>
      <c r="F6877">
        <v>8.5999999999999993E-2</v>
      </c>
      <c r="G6877">
        <v>0.21</v>
      </c>
      <c r="H6877" s="1" t="str">
        <f>HYPERLINK("http://www.weizmann.ac.il/complex/compphys/software/geview/data/figures/212901_s_at.png","Figure")</f>
        <v>Figure</v>
      </c>
      <c r="I6877">
        <v>0.82299999999999995</v>
      </c>
      <c r="J6877">
        <v>0.22</v>
      </c>
      <c r="K6877">
        <v>0.79800000000000004</v>
      </c>
      <c r="L6877">
        <v>8.4000000000000005E-2</v>
      </c>
      <c r="M6877">
        <v>0.96899999999999997</v>
      </c>
      <c r="N6877">
        <v>0.95</v>
      </c>
    </row>
    <row r="6878" spans="1:14" x14ac:dyDescent="0.25">
      <c r="A6878" t="s">
        <v>12306</v>
      </c>
      <c r="B6878" t="s">
        <v>5739</v>
      </c>
      <c r="C6878" s="1" t="str">
        <f>HYPERLINK("http://www.genecards.org/cgi-bin/carddisp.pl?gene=MYO7A","GeneCards")</f>
        <v>GeneCards</v>
      </c>
      <c r="D6878" s="1" t="str">
        <f>HYPERLINK("http://genome-euro.ucsc.edu/cgi-bin/hgTracks?position=33197_at","UCSC")</f>
        <v>UCSC</v>
      </c>
      <c r="E6878" s="1" t="str">
        <f>HYPERLINK("http://www.ncbi.nlm.nih.gov/gene/?term=MYO7A","NCBI")</f>
        <v>NCBI</v>
      </c>
      <c r="F6878">
        <v>8.5999999999999993E-2</v>
      </c>
      <c r="G6878">
        <v>0.21</v>
      </c>
      <c r="H6878" s="1" t="str">
        <f>HYPERLINK("http://www.weizmann.ac.il/complex/compphys/software/geview/data/figures/33197_at.png","Figure")</f>
        <v>Figure</v>
      </c>
      <c r="I6878">
        <v>1.1100000000000001</v>
      </c>
      <c r="J6878">
        <v>7.1999999999999995E-2</v>
      </c>
      <c r="K6878">
        <v>1.05</v>
      </c>
      <c r="L6878">
        <v>0.42</v>
      </c>
      <c r="M6878">
        <v>0.94299999999999995</v>
      </c>
      <c r="N6878">
        <v>0.37</v>
      </c>
    </row>
    <row r="6879" spans="1:14" x14ac:dyDescent="0.25">
      <c r="A6879" t="s">
        <v>12307</v>
      </c>
      <c r="B6879" t="s">
        <v>11351</v>
      </c>
      <c r="C6879" s="1" t="str">
        <f>HYPERLINK("http://www.genecards.org/cgi-bin/carddisp.pl?gene=RPS28","GeneCards")</f>
        <v>GeneCards</v>
      </c>
      <c r="D6879" s="1" t="str">
        <f>HYPERLINK("http://genome-euro.ucsc.edu/cgi-bin/hgTracks?position=208904_s_at","UCSC")</f>
        <v>UCSC</v>
      </c>
      <c r="E6879" s="1" t="str">
        <f>HYPERLINK("http://www.ncbi.nlm.nih.gov/gene/?term=RPS28","NCBI")</f>
        <v>NCBI</v>
      </c>
      <c r="F6879">
        <v>8.5999999999999993E-2</v>
      </c>
      <c r="G6879">
        <v>0.21</v>
      </c>
      <c r="H6879" s="1" t="str">
        <f>HYPERLINK("http://www.weizmann.ac.il/complex/compphys/software/geview/data/figures/208904_s_at.png","Figure")</f>
        <v>Figure</v>
      </c>
      <c r="I6879">
        <v>0.877</v>
      </c>
      <c r="J6879">
        <v>9.6000000000000002E-2</v>
      </c>
      <c r="K6879">
        <v>0.90800000000000003</v>
      </c>
      <c r="L6879">
        <v>0.17</v>
      </c>
      <c r="M6879">
        <v>1.04</v>
      </c>
      <c r="N6879">
        <v>0.8</v>
      </c>
    </row>
    <row r="6880" spans="1:14" x14ac:dyDescent="0.25">
      <c r="A6880" t="s">
        <v>12308</v>
      </c>
      <c r="B6880" t="s">
        <v>2059</v>
      </c>
      <c r="C6880" s="1" t="str">
        <f>HYPERLINK("http://www.genecards.org/cgi-bin/carddisp.pl?gene=AGFG2","GeneCards")</f>
        <v>GeneCards</v>
      </c>
      <c r="D6880" s="1" t="str">
        <f>HYPERLINK("http://genome-euro.ucsc.edu/cgi-bin/hgTracks?position=206820_at","UCSC")</f>
        <v>UCSC</v>
      </c>
      <c r="E6880" s="1" t="str">
        <f>HYPERLINK("http://www.ncbi.nlm.nih.gov/gene/?term=AGFG2","NCBI")</f>
        <v>NCBI</v>
      </c>
      <c r="F6880">
        <v>8.5999999999999993E-2</v>
      </c>
      <c r="G6880">
        <v>0.21</v>
      </c>
      <c r="H6880" s="1" t="str">
        <f>HYPERLINK("http://www.weizmann.ac.il/complex/compphys/software/geview/data/figures/206820_at.png","Figure")</f>
        <v>Figure</v>
      </c>
      <c r="I6880">
        <v>1.05</v>
      </c>
      <c r="J6880">
        <v>0.12</v>
      </c>
      <c r="K6880">
        <v>1.04</v>
      </c>
      <c r="L6880">
        <v>0.13</v>
      </c>
      <c r="M6880">
        <v>0.99199999999999999</v>
      </c>
      <c r="N6880">
        <v>0.93</v>
      </c>
    </row>
    <row r="6881" spans="1:14" x14ac:dyDescent="0.25">
      <c r="A6881" t="s">
        <v>12309</v>
      </c>
      <c r="B6881" t="s">
        <v>11603</v>
      </c>
      <c r="C6881" s="1" t="str">
        <f>HYPERLINK("http://www.genecards.org/cgi-bin/carddisp.pl?gene=KIAA0040","GeneCards")</f>
        <v>GeneCards</v>
      </c>
      <c r="D6881" s="1" t="str">
        <f>HYPERLINK("http://genome-euro.ucsc.edu/cgi-bin/hgTracks?position=203143_s_at","UCSC")</f>
        <v>UCSC</v>
      </c>
      <c r="E6881" s="1" t="str">
        <f>HYPERLINK("http://www.ncbi.nlm.nih.gov/gene/?term=KIAA0040","NCBI")</f>
        <v>NCBI</v>
      </c>
      <c r="F6881">
        <v>8.6999999999999994E-2</v>
      </c>
      <c r="G6881">
        <v>0.21</v>
      </c>
      <c r="H6881" s="1" t="str">
        <f>HYPERLINK("http://www.weizmann.ac.il/complex/compphys/software/geview/data/figures/203143_s_at.png","Figure")</f>
        <v>Figure</v>
      </c>
      <c r="I6881">
        <v>1.37</v>
      </c>
      <c r="J6881">
        <v>7.3999999999999996E-2</v>
      </c>
      <c r="K6881">
        <v>1.18</v>
      </c>
      <c r="L6881">
        <v>0.34</v>
      </c>
      <c r="M6881">
        <v>0.86</v>
      </c>
      <c r="N6881">
        <v>0.46</v>
      </c>
    </row>
    <row r="6882" spans="1:14" x14ac:dyDescent="0.25">
      <c r="A6882" t="s">
        <v>12310</v>
      </c>
      <c r="B6882" t="s">
        <v>12311</v>
      </c>
      <c r="C6882" s="1" t="str">
        <f>HYPERLINK("http://www.genecards.org/cgi-bin/carddisp.pl?gene=AQP7","GeneCards")</f>
        <v>GeneCards</v>
      </c>
      <c r="D6882" s="1" t="str">
        <f>HYPERLINK("http://genome-euro.ucsc.edu/cgi-bin/hgTracks?position=206955_at","UCSC")</f>
        <v>UCSC</v>
      </c>
      <c r="E6882" s="1" t="str">
        <f>HYPERLINK("http://www.ncbi.nlm.nih.gov/gene/?term=AQP7","NCBI")</f>
        <v>NCBI</v>
      </c>
      <c r="F6882">
        <v>8.6999999999999994E-2</v>
      </c>
      <c r="G6882">
        <v>0.21</v>
      </c>
      <c r="H6882" s="1" t="str">
        <f>HYPERLINK("http://www.weizmann.ac.il/complex/compphys/software/geview/data/figures/206955_at.png","Figure")</f>
        <v>Figure</v>
      </c>
      <c r="I6882">
        <v>1.29</v>
      </c>
      <c r="J6882">
        <v>7.2999999999999995E-2</v>
      </c>
      <c r="K6882">
        <v>1.1399999999999999</v>
      </c>
      <c r="L6882">
        <v>0.35</v>
      </c>
      <c r="M6882">
        <v>0.88500000000000001</v>
      </c>
      <c r="N6882">
        <v>0.45</v>
      </c>
    </row>
    <row r="6883" spans="1:14" x14ac:dyDescent="0.25">
      <c r="A6883" t="s">
        <v>12312</v>
      </c>
      <c r="B6883" t="s">
        <v>2620</v>
      </c>
      <c r="C6883" s="1" t="str">
        <f>HYPERLINK("http://www.genecards.org/cgi-bin/carddisp.pl?gene=DOHH","GeneCards")</f>
        <v>GeneCards</v>
      </c>
      <c r="D6883" s="1" t="str">
        <f>HYPERLINK("http://genome-euro.ucsc.edu/cgi-bin/hgTracks?position=213949_s_at","UCSC")</f>
        <v>UCSC</v>
      </c>
      <c r="E6883" s="1" t="str">
        <f>HYPERLINK("http://www.ncbi.nlm.nih.gov/gene/?term=DOHH","NCBI")</f>
        <v>NCBI</v>
      </c>
      <c r="F6883">
        <v>8.6999999999999994E-2</v>
      </c>
      <c r="G6883">
        <v>0.21</v>
      </c>
      <c r="H6883" s="1" t="str">
        <f>HYPERLINK("http://www.weizmann.ac.il/complex/compphys/software/geview/data/figures/213949_s_at.png","Figure")</f>
        <v>Figure</v>
      </c>
      <c r="I6883">
        <v>1.04</v>
      </c>
      <c r="J6883">
        <v>0.16</v>
      </c>
      <c r="K6883">
        <v>1.04</v>
      </c>
      <c r="L6883">
        <v>0.1</v>
      </c>
      <c r="M6883">
        <v>1</v>
      </c>
      <c r="N6883">
        <v>1</v>
      </c>
    </row>
    <row r="6884" spans="1:14" x14ac:dyDescent="0.25">
      <c r="A6884" t="s">
        <v>12313</v>
      </c>
      <c r="B6884" t="s">
        <v>3276</v>
      </c>
      <c r="C6884" s="1" t="str">
        <f>HYPERLINK("http://www.genecards.org/cgi-bin/carddisp.pl?gene=PAK4","GeneCards")</f>
        <v>GeneCards</v>
      </c>
      <c r="D6884" s="1" t="str">
        <f>HYPERLINK("http://genome-euro.ucsc.edu/cgi-bin/hgTracks?position=203154_s_at","UCSC")</f>
        <v>UCSC</v>
      </c>
      <c r="E6884" s="1" t="str">
        <f>HYPERLINK("http://www.ncbi.nlm.nih.gov/gene/?term=PAK4","NCBI")</f>
        <v>NCBI</v>
      </c>
      <c r="F6884">
        <v>8.6999999999999994E-2</v>
      </c>
      <c r="G6884">
        <v>0.21</v>
      </c>
      <c r="H6884" s="1" t="str">
        <f>HYPERLINK("http://www.weizmann.ac.il/complex/compphys/software/geview/data/figures/203154_s_at.png","Figure")</f>
        <v>Figure</v>
      </c>
      <c r="I6884">
        <v>1.44</v>
      </c>
      <c r="J6884">
        <v>7.1999999999999995E-2</v>
      </c>
      <c r="K6884">
        <v>1.19</v>
      </c>
      <c r="L6884">
        <v>0.4</v>
      </c>
      <c r="M6884">
        <v>0.82699999999999996</v>
      </c>
      <c r="N6884">
        <v>0.39</v>
      </c>
    </row>
    <row r="6885" spans="1:14" x14ac:dyDescent="0.25">
      <c r="A6885" t="s">
        <v>12314</v>
      </c>
      <c r="B6885" t="s">
        <v>4369</v>
      </c>
      <c r="C6885" s="1" t="str">
        <f>HYPERLINK("http://www.genecards.org/cgi-bin/carddisp.pl?gene=DIAPH2","GeneCards")</f>
        <v>GeneCards</v>
      </c>
      <c r="D6885" s="1" t="str">
        <f>HYPERLINK("http://genome-euro.ucsc.edu/cgi-bin/hgTracks?position=205603_s_at","UCSC")</f>
        <v>UCSC</v>
      </c>
      <c r="E6885" s="1" t="str">
        <f>HYPERLINK("http://www.ncbi.nlm.nih.gov/gene/?term=DIAPH2","NCBI")</f>
        <v>NCBI</v>
      </c>
      <c r="F6885">
        <v>8.6999999999999994E-2</v>
      </c>
      <c r="G6885">
        <v>0.21</v>
      </c>
      <c r="H6885" s="1" t="str">
        <f>HYPERLINK("http://www.weizmann.ac.il/complex/compphys/software/geview/data/figures/205603_s_at.png","Figure")</f>
        <v>Figure</v>
      </c>
      <c r="I6885">
        <v>0.77600000000000002</v>
      </c>
      <c r="J6885">
        <v>0.54</v>
      </c>
      <c r="K6885">
        <v>1.31</v>
      </c>
      <c r="L6885">
        <v>0.4</v>
      </c>
      <c r="M6885">
        <v>1.69</v>
      </c>
      <c r="N6885">
        <v>7.6999999999999999E-2</v>
      </c>
    </row>
    <row r="6886" spans="1:14" x14ac:dyDescent="0.25">
      <c r="A6886" t="s">
        <v>12315</v>
      </c>
      <c r="B6886" t="s">
        <v>12087</v>
      </c>
      <c r="C6886" s="1" t="str">
        <f>HYPERLINK("http://www.genecards.org/cgi-bin/carddisp.pl?gene=GNAT1","GeneCards")</f>
        <v>GeneCards</v>
      </c>
      <c r="D6886" s="1" t="str">
        <f>HYPERLINK("http://genome-euro.ucsc.edu/cgi-bin/hgTracks?position=207514_s_at","UCSC")</f>
        <v>UCSC</v>
      </c>
      <c r="E6886" s="1" t="str">
        <f>HYPERLINK("http://www.ncbi.nlm.nih.gov/gene/?term=GNAT1","NCBI")</f>
        <v>NCBI</v>
      </c>
      <c r="F6886">
        <v>8.6999999999999994E-2</v>
      </c>
      <c r="G6886">
        <v>0.21</v>
      </c>
      <c r="H6886" s="1" t="str">
        <f>HYPERLINK("http://www.weizmann.ac.il/complex/compphys/software/geview/data/figures/207514_s_at.png","Figure")</f>
        <v>Figure</v>
      </c>
      <c r="I6886">
        <v>1.03</v>
      </c>
      <c r="J6886">
        <v>0.16</v>
      </c>
      <c r="K6886">
        <v>1.03</v>
      </c>
      <c r="L6886">
        <v>0.1</v>
      </c>
      <c r="M6886">
        <v>1</v>
      </c>
      <c r="N6886">
        <v>1</v>
      </c>
    </row>
    <row r="6887" spans="1:14" x14ac:dyDescent="0.25">
      <c r="A6887" t="s">
        <v>12316</v>
      </c>
      <c r="B6887" t="s">
        <v>12317</v>
      </c>
      <c r="C6887" s="1" t="str">
        <f>HYPERLINK("http://www.genecards.org/cgi-bin/carddisp.pl?gene=IL21","GeneCards")</f>
        <v>GeneCards</v>
      </c>
      <c r="D6887" s="1" t="str">
        <f>HYPERLINK("http://genome-euro.ucsc.edu/cgi-bin/hgTracks?position=221271_at","UCSC")</f>
        <v>UCSC</v>
      </c>
      <c r="E6887" s="1" t="str">
        <f>HYPERLINK("http://www.ncbi.nlm.nih.gov/gene/?term=IL21","NCBI")</f>
        <v>NCBI</v>
      </c>
      <c r="F6887">
        <v>8.6999999999999994E-2</v>
      </c>
      <c r="G6887">
        <v>0.21</v>
      </c>
      <c r="H6887" s="1" t="str">
        <f>HYPERLINK("http://www.weizmann.ac.il/complex/compphys/software/geview/data/figures/221271_at.png","Figure")</f>
        <v>Figure</v>
      </c>
      <c r="I6887">
        <v>1.19</v>
      </c>
      <c r="J6887">
        <v>7.3999999999999996E-2</v>
      </c>
      <c r="K6887">
        <v>1.06</v>
      </c>
      <c r="L6887">
        <v>0.6</v>
      </c>
      <c r="M6887">
        <v>0.89500000000000002</v>
      </c>
      <c r="N6887">
        <v>0.25</v>
      </c>
    </row>
    <row r="6888" spans="1:14" x14ac:dyDescent="0.25">
      <c r="A6888" t="s">
        <v>12318</v>
      </c>
      <c r="B6888" t="s">
        <v>12319</v>
      </c>
      <c r="C6888" s="1" t="str">
        <f>HYPERLINK("http://www.genecards.org/cgi-bin/carddisp.pl?gene=PLTP","GeneCards")</f>
        <v>GeneCards</v>
      </c>
      <c r="D6888" s="1" t="str">
        <f>HYPERLINK("http://genome-euro.ucsc.edu/cgi-bin/hgTracks?position=202075_s_at","UCSC")</f>
        <v>UCSC</v>
      </c>
      <c r="E6888" s="1" t="str">
        <f>HYPERLINK("http://www.ncbi.nlm.nih.gov/gene/?term=PLTP","NCBI")</f>
        <v>NCBI</v>
      </c>
      <c r="F6888">
        <v>8.6999999999999994E-2</v>
      </c>
      <c r="G6888">
        <v>0.21</v>
      </c>
      <c r="H6888" s="1" t="str">
        <f>HYPERLINK("http://www.weizmann.ac.il/complex/compphys/software/geview/data/figures/202075_s_at.png","Figure")</f>
        <v>Figure</v>
      </c>
      <c r="I6888">
        <v>0.98499999999999999</v>
      </c>
      <c r="J6888">
        <v>0.26</v>
      </c>
      <c r="K6888">
        <v>1.01</v>
      </c>
      <c r="L6888">
        <v>0.77</v>
      </c>
      <c r="M6888">
        <v>1.02</v>
      </c>
      <c r="N6888">
        <v>7.3999999999999996E-2</v>
      </c>
    </row>
    <row r="6889" spans="1:14" x14ac:dyDescent="0.25">
      <c r="A6889" t="s">
        <v>12320</v>
      </c>
      <c r="B6889" t="s">
        <v>12321</v>
      </c>
      <c r="C6889" s="1" t="str">
        <f>HYPERLINK("http://www.genecards.org/cgi-bin/carddisp.pl?gene=DHRS9","GeneCards")</f>
        <v>GeneCards</v>
      </c>
      <c r="D6889" s="1" t="str">
        <f>HYPERLINK("http://genome-euro.ucsc.edu/cgi-bin/hgTracks?position=219799_s_at","UCSC")</f>
        <v>UCSC</v>
      </c>
      <c r="E6889" s="1" t="str">
        <f>HYPERLINK("http://www.ncbi.nlm.nih.gov/gene/?term=DHRS9","NCBI")</f>
        <v>NCBI</v>
      </c>
      <c r="F6889">
        <v>8.6999999999999994E-2</v>
      </c>
      <c r="G6889">
        <v>0.21</v>
      </c>
      <c r="H6889" s="1" t="str">
        <f>HYPERLINK("http://www.weizmann.ac.il/complex/compphys/software/geview/data/figures/219799_s_at.png","Figure")</f>
        <v>Figure</v>
      </c>
      <c r="I6889">
        <v>0.82299999999999995</v>
      </c>
      <c r="J6889">
        <v>0.09</v>
      </c>
      <c r="K6889">
        <v>0.96299999999999997</v>
      </c>
      <c r="L6889">
        <v>0.87</v>
      </c>
      <c r="M6889">
        <v>1.17</v>
      </c>
      <c r="N6889">
        <v>0.15</v>
      </c>
    </row>
    <row r="6890" spans="1:14" x14ac:dyDescent="0.25">
      <c r="A6890" t="s">
        <v>12322</v>
      </c>
      <c r="B6890" t="s">
        <v>12323</v>
      </c>
      <c r="C6890" s="1" t="str">
        <f>HYPERLINK("http://www.genecards.org/cgi-bin/carddisp.pl?gene=MAP3K7","GeneCards")</f>
        <v>GeneCards</v>
      </c>
      <c r="D6890" s="1" t="str">
        <f>HYPERLINK("http://genome-euro.ucsc.edu/cgi-bin/hgTracks?position=211536_x_at","UCSC")</f>
        <v>UCSC</v>
      </c>
      <c r="E6890" s="1" t="str">
        <f>HYPERLINK("http://www.ncbi.nlm.nih.gov/gene/?term=MAP3K7","NCBI")</f>
        <v>NCBI</v>
      </c>
      <c r="F6890">
        <v>8.6999999999999994E-2</v>
      </c>
      <c r="G6890">
        <v>0.21</v>
      </c>
      <c r="H6890" s="1" t="str">
        <f>HYPERLINK("http://www.weizmann.ac.il/complex/compphys/software/geview/data/figures/211536_x_at.png","Figure")</f>
        <v>Figure</v>
      </c>
      <c r="I6890">
        <v>0.81599999999999995</v>
      </c>
      <c r="J6890">
        <v>0.18</v>
      </c>
      <c r="K6890">
        <v>1.03</v>
      </c>
      <c r="L6890">
        <v>0.93</v>
      </c>
      <c r="M6890">
        <v>1.27</v>
      </c>
      <c r="N6890">
        <v>8.3000000000000004E-2</v>
      </c>
    </row>
    <row r="6891" spans="1:14" x14ac:dyDescent="0.25">
      <c r="A6891" t="s">
        <v>12324</v>
      </c>
      <c r="B6891" t="s">
        <v>12325</v>
      </c>
      <c r="C6891" s="1" t="str">
        <f>HYPERLINK("http://www.genecards.org/cgi-bin/carddisp.pl?gene=KANK2","GeneCards")</f>
        <v>GeneCards</v>
      </c>
      <c r="D6891" s="1" t="str">
        <f>HYPERLINK("http://genome-euro.ucsc.edu/cgi-bin/hgTracks?position=221068_at","UCSC")</f>
        <v>UCSC</v>
      </c>
      <c r="E6891" s="1" t="str">
        <f>HYPERLINK("http://www.ncbi.nlm.nih.gov/gene/?term=KANK2","NCBI")</f>
        <v>NCBI</v>
      </c>
      <c r="F6891">
        <v>8.6999999999999994E-2</v>
      </c>
      <c r="G6891">
        <v>0.21</v>
      </c>
      <c r="H6891" s="1" t="str">
        <f>HYPERLINK("http://www.weizmann.ac.il/complex/compphys/software/geview/data/figures/221068_at.png","Figure")</f>
        <v>Figure</v>
      </c>
      <c r="I6891">
        <v>1.1299999999999999</v>
      </c>
      <c r="J6891">
        <v>0.18</v>
      </c>
      <c r="K6891">
        <v>0.98099999999999998</v>
      </c>
      <c r="L6891">
        <v>0.94</v>
      </c>
      <c r="M6891">
        <v>0.87</v>
      </c>
      <c r="N6891">
        <v>8.3000000000000004E-2</v>
      </c>
    </row>
    <row r="6892" spans="1:14" x14ac:dyDescent="0.25">
      <c r="A6892" t="s">
        <v>12326</v>
      </c>
      <c r="B6892" t="s">
        <v>11605</v>
      </c>
      <c r="C6892" s="1" t="str">
        <f>HYPERLINK("http://www.genecards.org/cgi-bin/carddisp.pl?gene=SUCLG2","GeneCards")</f>
        <v>GeneCards</v>
      </c>
      <c r="D6892" s="1" t="str">
        <f>HYPERLINK("http://genome-euro.ucsc.edu/cgi-bin/hgTracks?position=215772_x_at","UCSC")</f>
        <v>UCSC</v>
      </c>
      <c r="E6892" s="1" t="str">
        <f>HYPERLINK("http://www.ncbi.nlm.nih.gov/gene/?term=SUCLG2","NCBI")</f>
        <v>NCBI</v>
      </c>
      <c r="F6892">
        <v>8.6999999999999994E-2</v>
      </c>
      <c r="G6892">
        <v>0.21</v>
      </c>
      <c r="H6892" s="1" t="str">
        <f>HYPERLINK("http://www.weizmann.ac.il/complex/compphys/software/geview/data/figures/215772_x_at.png","Figure")</f>
        <v>Figure</v>
      </c>
      <c r="I6892">
        <v>0.59199999999999997</v>
      </c>
      <c r="J6892">
        <v>0.14000000000000001</v>
      </c>
      <c r="K6892">
        <v>1.03</v>
      </c>
      <c r="L6892">
        <v>0.99</v>
      </c>
      <c r="M6892">
        <v>1.74</v>
      </c>
      <c r="N6892">
        <v>9.2999999999999999E-2</v>
      </c>
    </row>
    <row r="6893" spans="1:14" x14ac:dyDescent="0.25">
      <c r="A6893" t="s">
        <v>12327</v>
      </c>
      <c r="B6893" t="s">
        <v>12328</v>
      </c>
      <c r="C6893" s="1" t="str">
        <f>HYPERLINK("http://www.genecards.org/cgi-bin/carddisp.pl?gene=NUPR1","GeneCards")</f>
        <v>GeneCards</v>
      </c>
      <c r="D6893" s="1" t="str">
        <f>HYPERLINK("http://genome-euro.ucsc.edu/cgi-bin/hgTracks?position=209230_s_at","UCSC")</f>
        <v>UCSC</v>
      </c>
      <c r="E6893" s="1" t="str">
        <f>HYPERLINK("http://www.ncbi.nlm.nih.gov/gene/?term=NUPR1","NCBI")</f>
        <v>NCBI</v>
      </c>
      <c r="F6893">
        <v>8.6999999999999994E-2</v>
      </c>
      <c r="G6893">
        <v>0.21</v>
      </c>
      <c r="H6893" s="1" t="str">
        <f>HYPERLINK("http://www.weizmann.ac.il/complex/compphys/software/geview/data/figures/209230_s_at.png","Figure")</f>
        <v>Figure</v>
      </c>
      <c r="I6893">
        <v>1.26</v>
      </c>
      <c r="J6893">
        <v>7.1999999999999995E-2</v>
      </c>
      <c r="K6893">
        <v>1.1100000000000001</v>
      </c>
      <c r="L6893">
        <v>0.43</v>
      </c>
      <c r="M6893">
        <v>0.88</v>
      </c>
      <c r="N6893">
        <v>0.36</v>
      </c>
    </row>
    <row r="6894" spans="1:14" x14ac:dyDescent="0.25">
      <c r="A6894" t="s">
        <v>12329</v>
      </c>
      <c r="B6894" t="s">
        <v>12330</v>
      </c>
      <c r="C6894" s="1" t="str">
        <f>HYPERLINK("http://www.genecards.org/cgi-bin/carddisp.pl?gene=PDK2","GeneCards")</f>
        <v>GeneCards</v>
      </c>
      <c r="D6894" s="1" t="str">
        <f>HYPERLINK("http://genome-euro.ucsc.edu/cgi-bin/hgTracks?position=213724_s_at","UCSC")</f>
        <v>UCSC</v>
      </c>
      <c r="E6894" s="1" t="str">
        <f>HYPERLINK("http://www.ncbi.nlm.nih.gov/gene/?term=PDK2","NCBI")</f>
        <v>NCBI</v>
      </c>
      <c r="F6894">
        <v>8.6999999999999994E-2</v>
      </c>
      <c r="G6894">
        <v>0.21</v>
      </c>
      <c r="H6894" s="1" t="str">
        <f>HYPERLINK("http://www.weizmann.ac.il/complex/compphys/software/geview/data/figures/213724_s_at.png","Figure")</f>
        <v>Figure</v>
      </c>
      <c r="I6894">
        <v>1.22</v>
      </c>
      <c r="J6894">
        <v>7.4999999999999997E-2</v>
      </c>
      <c r="K6894">
        <v>1.1100000000000001</v>
      </c>
      <c r="L6894">
        <v>0.32</v>
      </c>
      <c r="M6894">
        <v>0.91500000000000004</v>
      </c>
      <c r="N6894">
        <v>0.49</v>
      </c>
    </row>
    <row r="6895" spans="1:14" x14ac:dyDescent="0.25">
      <c r="A6895" t="s">
        <v>12331</v>
      </c>
      <c r="B6895" t="s">
        <v>802</v>
      </c>
      <c r="C6895" s="1" t="str">
        <f>HYPERLINK("http://www.genecards.org/cgi-bin/carddisp.pl?gene=PDCD6","GeneCards")</f>
        <v>GeneCards</v>
      </c>
      <c r="D6895" s="1" t="str">
        <f>HYPERLINK("http://genome-euro.ucsc.edu/cgi-bin/hgTracks?position=222152_at","UCSC")</f>
        <v>UCSC</v>
      </c>
      <c r="E6895" s="1" t="str">
        <f>HYPERLINK("http://www.ncbi.nlm.nih.gov/gene/?term=PDCD6","NCBI")</f>
        <v>NCBI</v>
      </c>
      <c r="F6895">
        <v>8.6999999999999994E-2</v>
      </c>
      <c r="G6895">
        <v>0.21</v>
      </c>
      <c r="H6895" s="1" t="str">
        <f>HYPERLINK("http://www.weizmann.ac.il/complex/compphys/software/geview/data/figures/222152_at.png","Figure")</f>
        <v>Figure</v>
      </c>
      <c r="I6895">
        <v>1.3</v>
      </c>
      <c r="J6895">
        <v>0.11</v>
      </c>
      <c r="K6895">
        <v>1.23</v>
      </c>
      <c r="L6895">
        <v>0.14000000000000001</v>
      </c>
      <c r="M6895">
        <v>0.95199999999999996</v>
      </c>
      <c r="N6895">
        <v>0.9</v>
      </c>
    </row>
    <row r="6896" spans="1:14" x14ac:dyDescent="0.25">
      <c r="A6896" t="s">
        <v>12332</v>
      </c>
      <c r="B6896" t="s">
        <v>12333</v>
      </c>
      <c r="C6896" s="1" t="str">
        <f>HYPERLINK("http://www.genecards.org/cgi-bin/carddisp.pl?gene=FSD1","GeneCards")</f>
        <v>GeneCards</v>
      </c>
      <c r="D6896" s="1" t="str">
        <f>HYPERLINK("http://genome-euro.ucsc.edu/cgi-bin/hgTracks?position=219170_at","UCSC")</f>
        <v>UCSC</v>
      </c>
      <c r="E6896" s="1" t="str">
        <f>HYPERLINK("http://www.ncbi.nlm.nih.gov/gene/?term=FSD1","NCBI")</f>
        <v>NCBI</v>
      </c>
      <c r="F6896">
        <v>8.6999999999999994E-2</v>
      </c>
      <c r="G6896">
        <v>0.21</v>
      </c>
      <c r="H6896" s="1" t="str">
        <f>HYPERLINK("http://www.weizmann.ac.il/complex/compphys/software/geview/data/figures/219170_at.png","Figure")</f>
        <v>Figure</v>
      </c>
      <c r="I6896">
        <v>1.06</v>
      </c>
      <c r="J6896">
        <v>0.23</v>
      </c>
      <c r="K6896">
        <v>0.98399999999999999</v>
      </c>
      <c r="L6896">
        <v>0.83</v>
      </c>
      <c r="M6896">
        <v>0.93</v>
      </c>
      <c r="N6896">
        <v>7.5999999999999998E-2</v>
      </c>
    </row>
    <row r="6897" spans="1:14" x14ac:dyDescent="0.25">
      <c r="A6897" t="s">
        <v>12334</v>
      </c>
      <c r="B6897" t="s">
        <v>2239</v>
      </c>
      <c r="C6897" s="1" t="str">
        <f>HYPERLINK("http://www.genecards.org/cgi-bin/carddisp.pl?gene=ACTR5","GeneCards")</f>
        <v>GeneCards</v>
      </c>
      <c r="D6897" s="1" t="str">
        <f>HYPERLINK("http://genome-euro.ucsc.edu/cgi-bin/hgTracks?position=222147_s_at","UCSC")</f>
        <v>UCSC</v>
      </c>
      <c r="E6897" s="1" t="str">
        <f>HYPERLINK("http://www.ncbi.nlm.nih.gov/gene/?term=ACTR5","NCBI")</f>
        <v>NCBI</v>
      </c>
      <c r="F6897">
        <v>8.6999999999999994E-2</v>
      </c>
      <c r="G6897">
        <v>0.21</v>
      </c>
      <c r="H6897" s="1" t="str">
        <f>HYPERLINK("http://www.weizmann.ac.il/complex/compphys/software/geview/data/figures/222147_s_at.png","Figure")</f>
        <v>Figure</v>
      </c>
      <c r="I6897">
        <v>0.86099999999999999</v>
      </c>
      <c r="J6897">
        <v>0.77</v>
      </c>
      <c r="K6897">
        <v>0.63900000000000001</v>
      </c>
      <c r="L6897">
        <v>8.2000000000000003E-2</v>
      </c>
      <c r="M6897">
        <v>0.74299999999999999</v>
      </c>
      <c r="N6897">
        <v>0.34</v>
      </c>
    </row>
    <row r="6898" spans="1:14" x14ac:dyDescent="0.25">
      <c r="A6898" t="s">
        <v>12335</v>
      </c>
      <c r="B6898" t="s">
        <v>12336</v>
      </c>
      <c r="C6898" s="1" t="str">
        <f>HYPERLINK("http://www.genecards.org/cgi-bin/carddisp.pl?gene=CDK5","GeneCards")</f>
        <v>GeneCards</v>
      </c>
      <c r="D6898" s="1" t="str">
        <f>HYPERLINK("http://genome-euro.ucsc.edu/cgi-bin/hgTracks?position=204247_s_at","UCSC")</f>
        <v>UCSC</v>
      </c>
      <c r="E6898" s="1" t="str">
        <f>HYPERLINK("http://www.ncbi.nlm.nih.gov/gene/?term=CDK5","NCBI")</f>
        <v>NCBI</v>
      </c>
      <c r="F6898">
        <v>8.6999999999999994E-2</v>
      </c>
      <c r="G6898">
        <v>0.21</v>
      </c>
      <c r="H6898" s="1" t="str">
        <f>HYPERLINK("http://www.weizmann.ac.il/complex/compphys/software/geview/data/figures/204247_s_at.png","Figure")</f>
        <v>Figure</v>
      </c>
      <c r="I6898">
        <v>1.1100000000000001</v>
      </c>
      <c r="J6898">
        <v>0.65</v>
      </c>
      <c r="K6898">
        <v>1.28</v>
      </c>
      <c r="L6898">
        <v>7.5999999999999998E-2</v>
      </c>
      <c r="M6898">
        <v>1.1499999999999999</v>
      </c>
      <c r="N6898">
        <v>0.43</v>
      </c>
    </row>
    <row r="6899" spans="1:14" x14ac:dyDescent="0.25">
      <c r="A6899" t="s">
        <v>12337</v>
      </c>
      <c r="B6899" t="s">
        <v>10898</v>
      </c>
      <c r="C6899" s="1" t="str">
        <f>HYPERLINK("http://www.genecards.org/cgi-bin/carddisp.pl?gene=SR140","GeneCards")</f>
        <v>GeneCards</v>
      </c>
      <c r="D6899" s="1" t="str">
        <f>HYPERLINK("http://genome-euro.ucsc.edu/cgi-bin/hgTracks?position=212061_at","UCSC")</f>
        <v>UCSC</v>
      </c>
      <c r="E6899" s="1" t="str">
        <f>HYPERLINK("http://www.ncbi.nlm.nih.gov/gene/?term=SR140","NCBI")</f>
        <v>NCBI</v>
      </c>
      <c r="F6899">
        <v>8.6999999999999994E-2</v>
      </c>
      <c r="G6899">
        <v>0.21</v>
      </c>
      <c r="H6899" s="1" t="str">
        <f>HYPERLINK("http://www.weizmann.ac.il/complex/compphys/software/geview/data/figures/212061_at.png","Figure")</f>
        <v>Figure</v>
      </c>
      <c r="I6899">
        <v>0.65700000000000003</v>
      </c>
      <c r="J6899">
        <v>9.9000000000000005E-2</v>
      </c>
      <c r="K6899">
        <v>0.72899999999999998</v>
      </c>
      <c r="L6899">
        <v>0.17</v>
      </c>
      <c r="M6899">
        <v>1.1100000000000001</v>
      </c>
      <c r="N6899">
        <v>0.82</v>
      </c>
    </row>
    <row r="6900" spans="1:14" x14ac:dyDescent="0.25">
      <c r="A6900" t="s">
        <v>12338</v>
      </c>
      <c r="B6900" t="s">
        <v>12339</v>
      </c>
      <c r="C6900" s="1" t="str">
        <f>HYPERLINK("http://www.genecards.org/cgi-bin/carddisp.pl?gene=ELAVL3","GeneCards")</f>
        <v>GeneCards</v>
      </c>
      <c r="D6900" s="1" t="str">
        <f>HYPERLINK("http://genome-euro.ucsc.edu/cgi-bin/hgTracks?position=206338_at","UCSC")</f>
        <v>UCSC</v>
      </c>
      <c r="E6900" s="1" t="str">
        <f>HYPERLINK("http://www.ncbi.nlm.nih.gov/gene/?term=ELAVL3","NCBI")</f>
        <v>NCBI</v>
      </c>
      <c r="F6900">
        <v>8.6999999999999994E-2</v>
      </c>
      <c r="G6900">
        <v>0.21</v>
      </c>
      <c r="H6900" s="1" t="str">
        <f>HYPERLINK("http://www.weizmann.ac.il/complex/compphys/software/geview/data/figures/206338_at.png","Figure")</f>
        <v>Figure</v>
      </c>
      <c r="I6900">
        <v>1.62</v>
      </c>
      <c r="J6900">
        <v>7.3999999999999996E-2</v>
      </c>
      <c r="K6900">
        <v>1.29</v>
      </c>
      <c r="L6900">
        <v>0.35</v>
      </c>
      <c r="M6900">
        <v>0.79500000000000004</v>
      </c>
      <c r="N6900">
        <v>0.45</v>
      </c>
    </row>
    <row r="6901" spans="1:14" x14ac:dyDescent="0.25">
      <c r="A6901" t="s">
        <v>12340</v>
      </c>
      <c r="B6901" t="s">
        <v>9392</v>
      </c>
      <c r="C6901" s="1" t="str">
        <f>HYPERLINK("http://www.genecards.org/cgi-bin/carddisp.pl?gene=NUFIP1","GeneCards")</f>
        <v>GeneCards</v>
      </c>
      <c r="D6901" s="1" t="str">
        <f>HYPERLINK("http://genome-euro.ucsc.edu/cgi-bin/hgTracks?position=205135_s_at","UCSC")</f>
        <v>UCSC</v>
      </c>
      <c r="E6901" s="1" t="str">
        <f>HYPERLINK("http://www.ncbi.nlm.nih.gov/gene/?term=NUFIP1","NCBI")</f>
        <v>NCBI</v>
      </c>
      <c r="F6901">
        <v>8.6999999999999994E-2</v>
      </c>
      <c r="G6901">
        <v>0.21</v>
      </c>
      <c r="H6901" s="1" t="str">
        <f>HYPERLINK("http://www.weizmann.ac.il/complex/compphys/software/geview/data/figures/205135_s_at.png","Figure")</f>
        <v>Figure</v>
      </c>
      <c r="I6901">
        <v>0.69899999999999995</v>
      </c>
      <c r="J6901">
        <v>0.47</v>
      </c>
      <c r="K6901">
        <v>0.53</v>
      </c>
      <c r="L6901">
        <v>7.1999999999999995E-2</v>
      </c>
      <c r="M6901">
        <v>0.75800000000000001</v>
      </c>
      <c r="N6901">
        <v>0.6</v>
      </c>
    </row>
    <row r="6902" spans="1:14" x14ac:dyDescent="0.25">
      <c r="A6902" t="s">
        <v>12341</v>
      </c>
      <c r="B6902" t="s">
        <v>12342</v>
      </c>
      <c r="C6902" s="1" t="str">
        <f>HYPERLINK("http://www.genecards.org/cgi-bin/carddisp.pl?gene=FGF23","GeneCards")</f>
        <v>GeneCards</v>
      </c>
      <c r="D6902" s="1" t="str">
        <f>HYPERLINK("http://genome-euro.ucsc.edu/cgi-bin/hgTracks?position=221166_at","UCSC")</f>
        <v>UCSC</v>
      </c>
      <c r="E6902" s="1" t="str">
        <f>HYPERLINK("http://www.ncbi.nlm.nih.gov/gene/?term=FGF23","NCBI")</f>
        <v>NCBI</v>
      </c>
      <c r="F6902">
        <v>8.6999999999999994E-2</v>
      </c>
      <c r="G6902">
        <v>0.21</v>
      </c>
      <c r="H6902" s="1" t="str">
        <f>HYPERLINK("http://www.weizmann.ac.il/complex/compphys/software/geview/data/figures/221166_at.png","Figure")</f>
        <v>Figure</v>
      </c>
      <c r="I6902">
        <v>1.21</v>
      </c>
      <c r="J6902">
        <v>8.1000000000000003E-2</v>
      </c>
      <c r="K6902">
        <v>1.05</v>
      </c>
      <c r="L6902">
        <v>0.76</v>
      </c>
      <c r="M6902">
        <v>0.86899999999999999</v>
      </c>
      <c r="N6902">
        <v>0.19</v>
      </c>
    </row>
    <row r="6903" spans="1:14" x14ac:dyDescent="0.25">
      <c r="A6903" t="s">
        <v>12343</v>
      </c>
      <c r="B6903" t="s">
        <v>12344</v>
      </c>
      <c r="C6903" s="1" t="str">
        <f>HYPERLINK("http://www.genecards.org/cgi-bin/carddisp.pl?gene=GAB2","GeneCards")</f>
        <v>GeneCards</v>
      </c>
      <c r="D6903" s="1" t="str">
        <f>HYPERLINK("http://genome-euro.ucsc.edu/cgi-bin/hgTracks?position=203853_s_at","UCSC")</f>
        <v>UCSC</v>
      </c>
      <c r="E6903" s="1" t="str">
        <f>HYPERLINK("http://www.ncbi.nlm.nih.gov/gene/?term=GAB2","NCBI")</f>
        <v>NCBI</v>
      </c>
      <c r="F6903">
        <v>8.6999999999999994E-2</v>
      </c>
      <c r="G6903">
        <v>0.21</v>
      </c>
      <c r="H6903" s="1" t="str">
        <f>HYPERLINK("http://www.weizmann.ac.il/complex/compphys/software/geview/data/figures/203853_s_at.png","Figure")</f>
        <v>Figure</v>
      </c>
      <c r="I6903">
        <v>1.48</v>
      </c>
      <c r="J6903">
        <v>0.17</v>
      </c>
      <c r="K6903">
        <v>0.95199999999999996</v>
      </c>
      <c r="L6903">
        <v>0.96</v>
      </c>
      <c r="M6903">
        <v>0.64300000000000002</v>
      </c>
      <c r="N6903">
        <v>8.5999999999999993E-2</v>
      </c>
    </row>
    <row r="6904" spans="1:14" x14ac:dyDescent="0.25">
      <c r="A6904" t="s">
        <v>12345</v>
      </c>
      <c r="B6904" t="s">
        <v>12346</v>
      </c>
      <c r="C6904" s="1" t="str">
        <f>HYPERLINK("http://www.genecards.org/cgi-bin/carddisp.pl?gene=ZNF12","GeneCards")</f>
        <v>GeneCards</v>
      </c>
      <c r="D6904" s="1" t="str">
        <f>HYPERLINK("http://genome-euro.ucsc.edu/cgi-bin/hgTracks?position=219571_s_at","UCSC")</f>
        <v>UCSC</v>
      </c>
      <c r="E6904" s="1" t="str">
        <f>HYPERLINK("http://www.ncbi.nlm.nih.gov/gene/?term=ZNF12","NCBI")</f>
        <v>NCBI</v>
      </c>
      <c r="F6904">
        <v>8.6999999999999994E-2</v>
      </c>
      <c r="G6904">
        <v>0.21</v>
      </c>
      <c r="H6904" s="1" t="str">
        <f>HYPERLINK("http://www.weizmann.ac.il/complex/compphys/software/geview/data/figures/219571_s_at.png","Figure")</f>
        <v>Figure</v>
      </c>
      <c r="I6904">
        <v>0.625</v>
      </c>
      <c r="J6904">
        <v>0.32</v>
      </c>
      <c r="K6904">
        <v>0.52100000000000002</v>
      </c>
      <c r="L6904">
        <v>7.4999999999999997E-2</v>
      </c>
      <c r="M6904">
        <v>0.83299999999999996</v>
      </c>
      <c r="N6904">
        <v>0.81</v>
      </c>
    </row>
    <row r="6905" spans="1:14" x14ac:dyDescent="0.25">
      <c r="A6905" t="s">
        <v>12347</v>
      </c>
      <c r="B6905" t="s">
        <v>2932</v>
      </c>
      <c r="C6905" s="1" t="str">
        <f>HYPERLINK("http://www.genecards.org/cgi-bin/carddisp.pl?gene=SFRS15","GeneCards")</f>
        <v>GeneCards</v>
      </c>
      <c r="D6905" s="1" t="str">
        <f>HYPERLINK("http://genome-euro.ucsc.edu/cgi-bin/hgTracks?position=222311_s_at","UCSC")</f>
        <v>UCSC</v>
      </c>
      <c r="E6905" s="1" t="str">
        <f>HYPERLINK("http://www.ncbi.nlm.nih.gov/gene/?term=SFRS15","NCBI")</f>
        <v>NCBI</v>
      </c>
      <c r="F6905">
        <v>8.6999999999999994E-2</v>
      </c>
      <c r="G6905">
        <v>0.21</v>
      </c>
      <c r="H6905" s="1" t="str">
        <f>HYPERLINK("http://www.weizmann.ac.il/complex/compphys/software/geview/data/figures/222311_s_at.png","Figure")</f>
        <v>Figure</v>
      </c>
      <c r="I6905">
        <v>0.57199999999999995</v>
      </c>
      <c r="J6905">
        <v>0.11</v>
      </c>
      <c r="K6905">
        <v>0.64300000000000002</v>
      </c>
      <c r="L6905">
        <v>0.15</v>
      </c>
      <c r="M6905">
        <v>1.1299999999999999</v>
      </c>
      <c r="N6905">
        <v>0.87</v>
      </c>
    </row>
    <row r="6906" spans="1:14" x14ac:dyDescent="0.25">
      <c r="A6906" t="s">
        <v>12348</v>
      </c>
      <c r="B6906" t="s">
        <v>11084</v>
      </c>
      <c r="C6906" s="1" t="str">
        <f>HYPERLINK("http://www.genecards.org/cgi-bin/carddisp.pl?gene=TPP1","GeneCards")</f>
        <v>GeneCards</v>
      </c>
      <c r="D6906" s="1" t="str">
        <f>HYPERLINK("http://genome-euro.ucsc.edu/cgi-bin/hgTracks?position=214195_at","UCSC")</f>
        <v>UCSC</v>
      </c>
      <c r="E6906" s="1" t="str">
        <f>HYPERLINK("http://www.ncbi.nlm.nih.gov/gene/?term=TPP1","NCBI")</f>
        <v>NCBI</v>
      </c>
      <c r="F6906">
        <v>8.6999999999999994E-2</v>
      </c>
      <c r="G6906">
        <v>0.21</v>
      </c>
      <c r="H6906" s="1" t="str">
        <f>HYPERLINK("http://www.weizmann.ac.il/complex/compphys/software/geview/data/figures/214195_at.png","Figure")</f>
        <v>Figure</v>
      </c>
      <c r="I6906">
        <v>1.18</v>
      </c>
      <c r="J6906">
        <v>0.16</v>
      </c>
      <c r="K6906">
        <v>0.98499999999999999</v>
      </c>
      <c r="L6906">
        <v>0.98</v>
      </c>
      <c r="M6906">
        <v>0.83399999999999996</v>
      </c>
      <c r="N6906">
        <v>0.09</v>
      </c>
    </row>
    <row r="6907" spans="1:14" x14ac:dyDescent="0.25">
      <c r="A6907" t="s">
        <v>12349</v>
      </c>
      <c r="B6907" t="s">
        <v>12350</v>
      </c>
      <c r="C6907" s="1" t="str">
        <f>HYPERLINK("http://www.genecards.org/cgi-bin/carddisp.pl?gene=CRTAC1","GeneCards")</f>
        <v>GeneCards</v>
      </c>
      <c r="D6907" s="1" t="str">
        <f>HYPERLINK("http://genome-euro.ucsc.edu/cgi-bin/hgTracks?position=221204_s_at","UCSC")</f>
        <v>UCSC</v>
      </c>
      <c r="E6907" s="1" t="str">
        <f>HYPERLINK("http://www.ncbi.nlm.nih.gov/gene/?term=CRTAC1","NCBI")</f>
        <v>NCBI</v>
      </c>
      <c r="F6907">
        <v>8.6999999999999994E-2</v>
      </c>
      <c r="G6907">
        <v>0.21</v>
      </c>
      <c r="H6907" s="1" t="str">
        <f>HYPERLINK("http://www.weizmann.ac.il/complex/compphys/software/geview/data/figures/221204_s_at.png","Figure")</f>
        <v>Figure</v>
      </c>
      <c r="I6907">
        <v>1.24</v>
      </c>
      <c r="J6907">
        <v>9.5000000000000001E-2</v>
      </c>
      <c r="K6907">
        <v>1.04</v>
      </c>
      <c r="L6907">
        <v>0.91</v>
      </c>
      <c r="M6907">
        <v>0.83499999999999996</v>
      </c>
      <c r="N6907">
        <v>0.14000000000000001</v>
      </c>
    </row>
    <row r="6908" spans="1:14" x14ac:dyDescent="0.25">
      <c r="A6908" t="s">
        <v>12351</v>
      </c>
      <c r="B6908" t="s">
        <v>12352</v>
      </c>
      <c r="C6908" s="1" t="str">
        <f>HYPERLINK("http://www.genecards.org/cgi-bin/carddisp.pl?gene=CDC20","GeneCards")</f>
        <v>GeneCards</v>
      </c>
      <c r="D6908" s="1" t="str">
        <f>HYPERLINK("http://genome-euro.ucsc.edu/cgi-bin/hgTracks?position=202870_s_at","UCSC")</f>
        <v>UCSC</v>
      </c>
      <c r="E6908" s="1" t="str">
        <f>HYPERLINK("http://www.ncbi.nlm.nih.gov/gene/?term=CDC20","NCBI")</f>
        <v>NCBI</v>
      </c>
      <c r="F6908">
        <v>8.6999999999999994E-2</v>
      </c>
      <c r="G6908">
        <v>0.21</v>
      </c>
      <c r="H6908" s="1" t="str">
        <f>HYPERLINK("http://www.weizmann.ac.il/complex/compphys/software/geview/data/figures/202870_s_at.png","Figure")</f>
        <v>Figure</v>
      </c>
      <c r="I6908">
        <v>1.34</v>
      </c>
      <c r="J6908">
        <v>0.6</v>
      </c>
      <c r="K6908">
        <v>1.87</v>
      </c>
      <c r="L6908">
        <v>7.4999999999999997E-2</v>
      </c>
      <c r="M6908">
        <v>1.39</v>
      </c>
      <c r="N6908">
        <v>0.48</v>
      </c>
    </row>
    <row r="6909" spans="1:14" x14ac:dyDescent="0.25">
      <c r="A6909" t="s">
        <v>12353</v>
      </c>
      <c r="B6909" t="s">
        <v>10028</v>
      </c>
      <c r="C6909" s="1" t="str">
        <f>HYPERLINK("http://www.genecards.org/cgi-bin/carddisp.pl?gene=DCAF7","GeneCards")</f>
        <v>GeneCards</v>
      </c>
      <c r="D6909" s="1" t="str">
        <f>HYPERLINK("http://genome-euro.ucsc.edu/cgi-bin/hgTracks?position=221744_at","UCSC")</f>
        <v>UCSC</v>
      </c>
      <c r="E6909" s="1" t="str">
        <f>HYPERLINK("http://www.ncbi.nlm.nih.gov/gene/?term=DCAF7","NCBI")</f>
        <v>NCBI</v>
      </c>
      <c r="F6909">
        <v>8.6999999999999994E-2</v>
      </c>
      <c r="G6909">
        <v>0.21</v>
      </c>
      <c r="H6909" s="1" t="str">
        <f>HYPERLINK("http://www.weizmann.ac.il/complex/compphys/software/geview/data/figures/221744_at.png","Figure")</f>
        <v>Figure</v>
      </c>
      <c r="I6909">
        <v>0.98199999999999998</v>
      </c>
      <c r="J6909">
        <v>0.99</v>
      </c>
      <c r="K6909">
        <v>1.21</v>
      </c>
      <c r="L6909">
        <v>0.15</v>
      </c>
      <c r="M6909">
        <v>1.23</v>
      </c>
      <c r="N6909">
        <v>0.14000000000000001</v>
      </c>
    </row>
    <row r="6910" spans="1:14" x14ac:dyDescent="0.25">
      <c r="A6910" t="s">
        <v>12354</v>
      </c>
      <c r="B6910" t="s">
        <v>8116</v>
      </c>
      <c r="C6910" s="1" t="str">
        <f>HYPERLINK("http://www.genecards.org/cgi-bin/carddisp.pl?gene=PATZ1","GeneCards")</f>
        <v>GeneCards</v>
      </c>
      <c r="D6910" s="1" t="str">
        <f>HYPERLINK("http://genome-euro.ucsc.edu/cgi-bin/hgTracks?position=209431_s_at","UCSC")</f>
        <v>UCSC</v>
      </c>
      <c r="E6910" s="1" t="str">
        <f>HYPERLINK("http://www.ncbi.nlm.nih.gov/gene/?term=PATZ1","NCBI")</f>
        <v>NCBI</v>
      </c>
      <c r="F6910">
        <v>8.6999999999999994E-2</v>
      </c>
      <c r="G6910">
        <v>0.21</v>
      </c>
      <c r="H6910" s="1" t="str">
        <f>HYPERLINK("http://www.weizmann.ac.il/complex/compphys/software/geview/data/figures/209431_s_at.png","Figure")</f>
        <v>Figure</v>
      </c>
      <c r="I6910">
        <v>0.69399999999999995</v>
      </c>
      <c r="J6910">
        <v>0.11</v>
      </c>
      <c r="K6910">
        <v>0.747</v>
      </c>
      <c r="L6910">
        <v>0.15</v>
      </c>
      <c r="M6910">
        <v>1.07</v>
      </c>
      <c r="N6910">
        <v>0.89</v>
      </c>
    </row>
    <row r="6911" spans="1:14" x14ac:dyDescent="0.25">
      <c r="A6911" t="s">
        <v>12355</v>
      </c>
      <c r="B6911" t="s">
        <v>12356</v>
      </c>
      <c r="C6911" s="1" t="str">
        <f>HYPERLINK("http://www.genecards.org/cgi-bin/carddisp.pl?gene=TFPI","GeneCards")</f>
        <v>GeneCards</v>
      </c>
      <c r="D6911" s="1" t="str">
        <f>HYPERLINK("http://genome-euro.ucsc.edu/cgi-bin/hgTracks?position=210664_s_at","UCSC")</f>
        <v>UCSC</v>
      </c>
      <c r="E6911" s="1" t="str">
        <f>HYPERLINK("http://www.ncbi.nlm.nih.gov/gene/?term=TFPI","NCBI")</f>
        <v>NCBI</v>
      </c>
      <c r="F6911">
        <v>8.6999999999999994E-2</v>
      </c>
      <c r="G6911">
        <v>0.21</v>
      </c>
      <c r="H6911" s="1" t="str">
        <f>HYPERLINK("http://www.weizmann.ac.il/complex/compphys/software/geview/data/figures/210664_s_at.png","Figure")</f>
        <v>Figure</v>
      </c>
      <c r="I6911">
        <v>1</v>
      </c>
      <c r="J6911">
        <v>1</v>
      </c>
      <c r="K6911">
        <v>0.44400000000000001</v>
      </c>
      <c r="L6911">
        <v>0.13</v>
      </c>
      <c r="M6911">
        <v>0.44400000000000001</v>
      </c>
      <c r="N6911">
        <v>0.16</v>
      </c>
    </row>
    <row r="6912" spans="1:14" x14ac:dyDescent="0.25">
      <c r="A6912" t="s">
        <v>12357</v>
      </c>
      <c r="B6912" t="s">
        <v>9188</v>
      </c>
      <c r="C6912" s="1" t="str">
        <f>HYPERLINK("http://www.genecards.org/cgi-bin/carddisp.pl?gene=FLNA","GeneCards")</f>
        <v>GeneCards</v>
      </c>
      <c r="D6912" s="1" t="str">
        <f>HYPERLINK("http://genome-euro.ucsc.edu/cgi-bin/hgTracks?position=213746_s_at","UCSC")</f>
        <v>UCSC</v>
      </c>
      <c r="E6912" s="1" t="str">
        <f>HYPERLINK("http://www.ncbi.nlm.nih.gov/gene/?term=FLNA","NCBI")</f>
        <v>NCBI</v>
      </c>
      <c r="F6912">
        <v>8.6999999999999994E-2</v>
      </c>
      <c r="G6912">
        <v>0.21</v>
      </c>
      <c r="H6912" s="1" t="str">
        <f>HYPERLINK("http://www.weizmann.ac.il/complex/compphys/software/geview/data/figures/213746_s_at.png","Figure")</f>
        <v>Figure</v>
      </c>
      <c r="I6912">
        <v>0.96899999999999997</v>
      </c>
      <c r="J6912">
        <v>0.98</v>
      </c>
      <c r="K6912">
        <v>1.3</v>
      </c>
      <c r="L6912">
        <v>0.16</v>
      </c>
      <c r="M6912">
        <v>1.34</v>
      </c>
      <c r="N6912">
        <v>0.13</v>
      </c>
    </row>
    <row r="6913" spans="1:14" x14ac:dyDescent="0.25">
      <c r="A6913" t="s">
        <v>12358</v>
      </c>
      <c r="B6913" t="s">
        <v>4771</v>
      </c>
      <c r="C6913" s="1" t="str">
        <f>HYPERLINK("http://www.genecards.org/cgi-bin/carddisp.pl?gene=PSME4","GeneCards")</f>
        <v>GeneCards</v>
      </c>
      <c r="D6913" s="1" t="str">
        <f>HYPERLINK("http://genome-euro.ucsc.edu/cgi-bin/hgTracks?position=212222_at","UCSC")</f>
        <v>UCSC</v>
      </c>
      <c r="E6913" s="1" t="str">
        <f>HYPERLINK("http://www.ncbi.nlm.nih.gov/gene/?term=PSME4","NCBI")</f>
        <v>NCBI</v>
      </c>
      <c r="F6913">
        <v>8.6999999999999994E-2</v>
      </c>
      <c r="G6913">
        <v>0.21</v>
      </c>
      <c r="H6913" s="1" t="str">
        <f>HYPERLINK("http://www.weizmann.ac.il/complex/compphys/software/geview/data/figures/212222_at.png","Figure")</f>
        <v>Figure</v>
      </c>
      <c r="I6913">
        <v>0.66100000000000003</v>
      </c>
      <c r="J6913">
        <v>0.41</v>
      </c>
      <c r="K6913">
        <v>0.51500000000000001</v>
      </c>
      <c r="L6913">
        <v>7.2999999999999995E-2</v>
      </c>
      <c r="M6913">
        <v>0.77900000000000003</v>
      </c>
      <c r="N6913">
        <v>0.68</v>
      </c>
    </row>
    <row r="6914" spans="1:14" x14ac:dyDescent="0.25">
      <c r="A6914" t="s">
        <v>12359</v>
      </c>
      <c r="B6914" t="s">
        <v>6366</v>
      </c>
      <c r="C6914" s="1" t="str">
        <f>HYPERLINK("http://www.genecards.org/cgi-bin/carddisp.pl?gene=DCLK2","GeneCards")</f>
        <v>GeneCards</v>
      </c>
      <c r="D6914" s="1" t="str">
        <f>HYPERLINK("http://genome-euro.ucsc.edu/cgi-bin/hgTracks?position=216725_at","UCSC")</f>
        <v>UCSC</v>
      </c>
      <c r="E6914" s="1" t="str">
        <f>HYPERLINK("http://www.ncbi.nlm.nih.gov/gene/?term=DCLK2","NCBI")</f>
        <v>NCBI</v>
      </c>
      <c r="F6914">
        <v>8.6999999999999994E-2</v>
      </c>
      <c r="G6914">
        <v>0.22</v>
      </c>
      <c r="H6914" s="1" t="str">
        <f>HYPERLINK("http://www.weizmann.ac.il/complex/compphys/software/geview/data/figures/216725_at.png","Figure")</f>
        <v>Figure</v>
      </c>
      <c r="I6914">
        <v>1.23</v>
      </c>
      <c r="J6914">
        <v>7.3999999999999996E-2</v>
      </c>
      <c r="K6914">
        <v>1.08</v>
      </c>
      <c r="L6914">
        <v>0.57999999999999996</v>
      </c>
      <c r="M6914">
        <v>0.879</v>
      </c>
      <c r="N6914">
        <v>0.26</v>
      </c>
    </row>
    <row r="6915" spans="1:14" x14ac:dyDescent="0.25">
      <c r="A6915" t="s">
        <v>12360</v>
      </c>
      <c r="B6915" t="s">
        <v>8381</v>
      </c>
      <c r="C6915" s="1" t="str">
        <f>HYPERLINK("http://www.genecards.org/cgi-bin/carddisp.pl?gene=CCDC93","GeneCards")</f>
        <v>GeneCards</v>
      </c>
      <c r="D6915" s="1" t="str">
        <f>HYPERLINK("http://genome-euro.ucsc.edu/cgi-bin/hgTracks?position=219774_at","UCSC")</f>
        <v>UCSC</v>
      </c>
      <c r="E6915" s="1" t="str">
        <f>HYPERLINK("http://www.ncbi.nlm.nih.gov/gene/?term=CCDC93","NCBI")</f>
        <v>NCBI</v>
      </c>
      <c r="F6915">
        <v>8.6999999999999994E-2</v>
      </c>
      <c r="G6915">
        <v>0.22</v>
      </c>
      <c r="H6915" s="1" t="str">
        <f>HYPERLINK("http://www.weizmann.ac.il/complex/compphys/software/geview/data/figures/219774_at.png","Figure")</f>
        <v>Figure</v>
      </c>
      <c r="I6915">
        <v>1.1299999999999999</v>
      </c>
      <c r="J6915">
        <v>0.89</v>
      </c>
      <c r="K6915">
        <v>0.67</v>
      </c>
      <c r="L6915">
        <v>0.2</v>
      </c>
      <c r="M6915">
        <v>0.59499999999999997</v>
      </c>
      <c r="N6915">
        <v>0.11</v>
      </c>
    </row>
    <row r="6916" spans="1:14" x14ac:dyDescent="0.25">
      <c r="A6916" t="s">
        <v>12361</v>
      </c>
      <c r="B6916" t="s">
        <v>1273</v>
      </c>
      <c r="C6916" s="1" t="str">
        <f>HYPERLINK("http://www.genecards.org/cgi-bin/carddisp.pl?gene=ACTG1","GeneCards")</f>
        <v>GeneCards</v>
      </c>
      <c r="D6916" s="1" t="str">
        <f>HYPERLINK("http://genome-euro.ucsc.edu/cgi-bin/hgTracks?position=221607_x_at","UCSC")</f>
        <v>UCSC</v>
      </c>
      <c r="E6916" s="1" t="str">
        <f>HYPERLINK("http://www.ncbi.nlm.nih.gov/gene/?term=ACTG1","NCBI")</f>
        <v>NCBI</v>
      </c>
      <c r="F6916">
        <v>8.6999999999999994E-2</v>
      </c>
      <c r="G6916">
        <v>0.22</v>
      </c>
      <c r="H6916" s="1" t="str">
        <f>HYPERLINK("http://www.weizmann.ac.il/complex/compphys/software/geview/data/figures/221607_x_at.png","Figure")</f>
        <v>Figure</v>
      </c>
      <c r="I6916">
        <v>1.17</v>
      </c>
      <c r="J6916">
        <v>0.24</v>
      </c>
      <c r="K6916">
        <v>1.21</v>
      </c>
      <c r="L6916">
        <v>8.2000000000000003E-2</v>
      </c>
      <c r="M6916">
        <v>1.03</v>
      </c>
      <c r="N6916">
        <v>0.93</v>
      </c>
    </row>
    <row r="6917" spans="1:14" x14ac:dyDescent="0.25">
      <c r="A6917" t="s">
        <v>12362</v>
      </c>
      <c r="B6917" t="s">
        <v>12363</v>
      </c>
      <c r="C6917" s="1" t="str">
        <f>HYPERLINK("http://www.genecards.org/cgi-bin/carddisp.pl?gene=LOC150759","GeneCards")</f>
        <v>GeneCards</v>
      </c>
      <c r="D6917" s="1" t="str">
        <f>HYPERLINK("http://genome-euro.ucsc.edu/cgi-bin/hgTracks?position=213703_at","UCSC")</f>
        <v>UCSC</v>
      </c>
      <c r="E6917" s="1" t="str">
        <f>HYPERLINK("http://www.ncbi.nlm.nih.gov/gene/?term=LOC150759","NCBI")</f>
        <v>NCBI</v>
      </c>
      <c r="F6917">
        <v>8.7999999999999995E-2</v>
      </c>
      <c r="G6917">
        <v>0.22</v>
      </c>
      <c r="H6917" s="1" t="str">
        <f>HYPERLINK("http://www.weizmann.ac.il/complex/compphys/software/geview/data/figures/213703_at.png","Figure")</f>
        <v>Figure</v>
      </c>
      <c r="I6917">
        <v>0.749</v>
      </c>
      <c r="J6917">
        <v>0.23</v>
      </c>
      <c r="K6917">
        <v>1.0900000000000001</v>
      </c>
      <c r="L6917">
        <v>0.83</v>
      </c>
      <c r="M6917">
        <v>1.45</v>
      </c>
      <c r="N6917">
        <v>7.6999999999999999E-2</v>
      </c>
    </row>
    <row r="6918" spans="1:14" x14ac:dyDescent="0.25">
      <c r="A6918" t="s">
        <v>12364</v>
      </c>
      <c r="B6918" t="s">
        <v>12365</v>
      </c>
      <c r="C6918" s="1" t="str">
        <f>HYPERLINK("http://www.genecards.org/cgi-bin/carddisp.pl?gene=UFC1","GeneCards")</f>
        <v>GeneCards</v>
      </c>
      <c r="D6918" s="1" t="str">
        <f>HYPERLINK("http://genome-euro.ucsc.edu/cgi-bin/hgTracks?position=217797_at","UCSC")</f>
        <v>UCSC</v>
      </c>
      <c r="E6918" s="1" t="str">
        <f>HYPERLINK("http://www.ncbi.nlm.nih.gov/gene/?term=UFC1","NCBI")</f>
        <v>NCBI</v>
      </c>
      <c r="F6918">
        <v>8.7999999999999995E-2</v>
      </c>
      <c r="G6918">
        <v>0.22</v>
      </c>
      <c r="H6918" s="1" t="str">
        <f>HYPERLINK("http://www.weizmann.ac.il/complex/compphys/software/geview/data/figures/217797_at.png","Figure")</f>
        <v>Figure</v>
      </c>
      <c r="I6918">
        <v>1.39</v>
      </c>
      <c r="J6918">
        <v>0.16</v>
      </c>
      <c r="K6918">
        <v>1.39</v>
      </c>
      <c r="L6918">
        <v>0.1</v>
      </c>
      <c r="M6918">
        <v>0.999</v>
      </c>
      <c r="N6918">
        <v>1</v>
      </c>
    </row>
    <row r="6919" spans="1:14" x14ac:dyDescent="0.25">
      <c r="A6919" t="s">
        <v>12366</v>
      </c>
      <c r="B6919" t="s">
        <v>12367</v>
      </c>
      <c r="C6919" s="1" t="str">
        <f>HYPERLINK("http://www.genecards.org/cgi-bin/carddisp.pl?gene=C5orf22","GeneCards")</f>
        <v>GeneCards</v>
      </c>
      <c r="D6919" s="1" t="str">
        <f>HYPERLINK("http://genome-euro.ucsc.edu/cgi-bin/hgTracks?position=203738_at","UCSC")</f>
        <v>UCSC</v>
      </c>
      <c r="E6919" s="1" t="str">
        <f>HYPERLINK("http://www.ncbi.nlm.nih.gov/gene/?term=C5orf22","NCBI")</f>
        <v>NCBI</v>
      </c>
      <c r="F6919">
        <v>8.7999999999999995E-2</v>
      </c>
      <c r="G6919">
        <v>0.22</v>
      </c>
      <c r="H6919" s="1" t="str">
        <f>HYPERLINK("http://www.weizmann.ac.il/complex/compphys/software/geview/data/figures/203738_at.png","Figure")</f>
        <v>Figure</v>
      </c>
      <c r="I6919">
        <v>0.66500000000000004</v>
      </c>
      <c r="J6919">
        <v>0.23</v>
      </c>
      <c r="K6919">
        <v>1.1200000000000001</v>
      </c>
      <c r="L6919">
        <v>0.84</v>
      </c>
      <c r="M6919">
        <v>1.69</v>
      </c>
      <c r="N6919">
        <v>7.6999999999999999E-2</v>
      </c>
    </row>
    <row r="6920" spans="1:14" x14ac:dyDescent="0.25">
      <c r="A6920" t="s">
        <v>12368</v>
      </c>
      <c r="B6920" t="s">
        <v>12369</v>
      </c>
      <c r="C6920" s="1" t="str">
        <f>HYPERLINK("http://www.genecards.org/cgi-bin/carddisp.pl?gene=ST6GALNAC2","GeneCards")</f>
        <v>GeneCards</v>
      </c>
      <c r="D6920" s="1" t="str">
        <f>HYPERLINK("http://genome-euro.ucsc.edu/cgi-bin/hgTracks?position=204542_at","UCSC")</f>
        <v>UCSC</v>
      </c>
      <c r="E6920" s="1" t="str">
        <f>HYPERLINK("http://www.ncbi.nlm.nih.gov/gene/?term=ST6GALNAC2","NCBI")</f>
        <v>NCBI</v>
      </c>
      <c r="F6920">
        <v>8.7999999999999995E-2</v>
      </c>
      <c r="G6920">
        <v>0.22</v>
      </c>
      <c r="H6920" s="1" t="str">
        <f>HYPERLINK("http://www.weizmann.ac.il/complex/compphys/software/geview/data/figures/204542_at.png","Figure")</f>
        <v>Figure</v>
      </c>
      <c r="I6920">
        <v>1.19</v>
      </c>
      <c r="J6920">
        <v>0.1</v>
      </c>
      <c r="K6920">
        <v>1.02</v>
      </c>
      <c r="L6920">
        <v>0.94</v>
      </c>
      <c r="M6920">
        <v>0.85699999999999998</v>
      </c>
      <c r="N6920">
        <v>0.13</v>
      </c>
    </row>
    <row r="6921" spans="1:14" x14ac:dyDescent="0.25">
      <c r="A6921" t="s">
        <v>12370</v>
      </c>
      <c r="B6921" t="s">
        <v>12371</v>
      </c>
      <c r="C6921" s="1" t="str">
        <f>HYPERLINK("http://www.genecards.org/cgi-bin/carddisp.pl?gene=ATP9A","GeneCards")</f>
        <v>GeneCards</v>
      </c>
      <c r="D6921" s="1" t="str">
        <f>HYPERLINK("http://genome-euro.ucsc.edu/cgi-bin/hgTracks?position=212062_at","UCSC")</f>
        <v>UCSC</v>
      </c>
      <c r="E6921" s="1" t="str">
        <f>HYPERLINK("http://www.ncbi.nlm.nih.gov/gene/?term=ATP9A","NCBI")</f>
        <v>NCBI</v>
      </c>
      <c r="F6921">
        <v>8.7999999999999995E-2</v>
      </c>
      <c r="G6921">
        <v>0.22</v>
      </c>
      <c r="H6921" s="1" t="str">
        <f>HYPERLINK("http://www.weizmann.ac.il/complex/compphys/software/geview/data/figures/212062_at.png","Figure")</f>
        <v>Figure</v>
      </c>
      <c r="I6921">
        <v>0.998</v>
      </c>
      <c r="J6921">
        <v>1</v>
      </c>
      <c r="K6921">
        <v>0.58599999999999997</v>
      </c>
      <c r="L6921">
        <v>0.13</v>
      </c>
      <c r="M6921">
        <v>0.58699999999999997</v>
      </c>
      <c r="N6921">
        <v>0.16</v>
      </c>
    </row>
    <row r="6922" spans="1:14" x14ac:dyDescent="0.25">
      <c r="A6922" t="s">
        <v>12372</v>
      </c>
      <c r="B6922" t="s">
        <v>12373</v>
      </c>
      <c r="C6922" s="1" t="str">
        <f>HYPERLINK("http://www.genecards.org/cgi-bin/carddisp.pl?gene=EXOC7","GeneCards")</f>
        <v>GeneCards</v>
      </c>
      <c r="D6922" s="1" t="str">
        <f>HYPERLINK("http://genome-euro.ucsc.edu/cgi-bin/hgTracks?position=215413_at","UCSC")</f>
        <v>UCSC</v>
      </c>
      <c r="E6922" s="1" t="str">
        <f>HYPERLINK("http://www.ncbi.nlm.nih.gov/gene/?term=EXOC7","NCBI")</f>
        <v>NCBI</v>
      </c>
      <c r="F6922">
        <v>8.7999999999999995E-2</v>
      </c>
      <c r="G6922">
        <v>0.22</v>
      </c>
      <c r="H6922" s="1" t="str">
        <f>HYPERLINK("http://www.weizmann.ac.il/complex/compphys/software/geview/data/figures/215413_at.png","Figure")</f>
        <v>Figure</v>
      </c>
      <c r="I6922">
        <v>1.1599999999999999</v>
      </c>
      <c r="J6922">
        <v>7.2999999999999995E-2</v>
      </c>
      <c r="K6922">
        <v>1.07</v>
      </c>
      <c r="L6922">
        <v>0.47</v>
      </c>
      <c r="M6922">
        <v>0.92</v>
      </c>
      <c r="N6922">
        <v>0.33</v>
      </c>
    </row>
    <row r="6923" spans="1:14" x14ac:dyDescent="0.25">
      <c r="A6923" t="s">
        <v>12374</v>
      </c>
      <c r="B6923" t="s">
        <v>12375</v>
      </c>
      <c r="C6923" s="1" t="str">
        <f>HYPERLINK("http://www.genecards.org/cgi-bin/carddisp.pl?gene=TAL1","GeneCards")</f>
        <v>GeneCards</v>
      </c>
      <c r="D6923" s="1" t="str">
        <f>HYPERLINK("http://genome-euro.ucsc.edu/cgi-bin/hgTracks?position=216925_s_at","UCSC")</f>
        <v>UCSC</v>
      </c>
      <c r="E6923" s="1" t="str">
        <f>HYPERLINK("http://www.ncbi.nlm.nih.gov/gene/?term=TAL1","NCBI")</f>
        <v>NCBI</v>
      </c>
      <c r="F6923">
        <v>8.7999999999999995E-2</v>
      </c>
      <c r="G6923">
        <v>0.22</v>
      </c>
      <c r="H6923" s="1" t="str">
        <f>HYPERLINK("http://www.weizmann.ac.il/complex/compphys/software/geview/data/figures/216925_s_at.png","Figure")</f>
        <v>Figure</v>
      </c>
      <c r="I6923">
        <v>1.27</v>
      </c>
      <c r="J6923">
        <v>0.16</v>
      </c>
      <c r="K6923">
        <v>0.97799999999999998</v>
      </c>
      <c r="L6923">
        <v>0.98</v>
      </c>
      <c r="M6923">
        <v>0.76800000000000002</v>
      </c>
      <c r="N6923">
        <v>0.09</v>
      </c>
    </row>
    <row r="6924" spans="1:14" x14ac:dyDescent="0.25">
      <c r="A6924" t="s">
        <v>12376</v>
      </c>
      <c r="B6924" t="s">
        <v>2273</v>
      </c>
      <c r="C6924" s="1" t="str">
        <f>HYPERLINK("http://www.genecards.org/cgi-bin/carddisp.pl?gene=WDR74","GeneCards")</f>
        <v>GeneCards</v>
      </c>
      <c r="D6924" s="1" t="str">
        <f>HYPERLINK("http://genome-euro.ucsc.edu/cgi-bin/hgTracks?position=218278_at","UCSC")</f>
        <v>UCSC</v>
      </c>
      <c r="E6924" s="1" t="str">
        <f>HYPERLINK("http://www.ncbi.nlm.nih.gov/gene/?term=WDR74","NCBI")</f>
        <v>NCBI</v>
      </c>
      <c r="F6924">
        <v>8.7999999999999995E-2</v>
      </c>
      <c r="G6924">
        <v>0.22</v>
      </c>
      <c r="H6924" s="1" t="str">
        <f>HYPERLINK("http://www.weizmann.ac.il/complex/compphys/software/geview/data/figures/218278_at.png","Figure")</f>
        <v>Figure</v>
      </c>
      <c r="I6924">
        <v>0.93700000000000006</v>
      </c>
      <c r="J6924">
        <v>0.8</v>
      </c>
      <c r="K6924">
        <v>0.81100000000000005</v>
      </c>
      <c r="L6924">
        <v>8.5000000000000006E-2</v>
      </c>
      <c r="M6924">
        <v>0.86499999999999999</v>
      </c>
      <c r="N6924">
        <v>0.32</v>
      </c>
    </row>
    <row r="6925" spans="1:14" x14ac:dyDescent="0.25">
      <c r="A6925" t="s">
        <v>12377</v>
      </c>
      <c r="B6925" t="s">
        <v>12378</v>
      </c>
      <c r="C6925" s="1" t="str">
        <f>HYPERLINK("http://www.genecards.org/cgi-bin/carddisp.pl?gene=NEU3","GeneCards")</f>
        <v>GeneCards</v>
      </c>
      <c r="D6925" s="1" t="str">
        <f>HYPERLINK("http://genome-euro.ucsc.edu/cgi-bin/hgTracks?position=216083_s_at","UCSC")</f>
        <v>UCSC</v>
      </c>
      <c r="E6925" s="1" t="str">
        <f>HYPERLINK("http://www.ncbi.nlm.nih.gov/gene/?term=NEU3","NCBI")</f>
        <v>NCBI</v>
      </c>
      <c r="F6925">
        <v>8.7999999999999995E-2</v>
      </c>
      <c r="G6925">
        <v>0.22</v>
      </c>
      <c r="H6925" s="1" t="str">
        <f>HYPERLINK("http://www.weizmann.ac.il/complex/compphys/software/geview/data/figures/216083_s_at.png","Figure")</f>
        <v>Figure</v>
      </c>
      <c r="I6925">
        <v>1.21</v>
      </c>
      <c r="J6925">
        <v>0.18</v>
      </c>
      <c r="K6925">
        <v>1.22</v>
      </c>
      <c r="L6925">
        <v>9.4E-2</v>
      </c>
      <c r="M6925">
        <v>1.01</v>
      </c>
      <c r="N6925">
        <v>0.99</v>
      </c>
    </row>
    <row r="6926" spans="1:14" x14ac:dyDescent="0.25">
      <c r="A6926" t="s">
        <v>12379</v>
      </c>
      <c r="B6926" t="s">
        <v>12380</v>
      </c>
      <c r="C6926" s="1" t="str">
        <f>HYPERLINK("http://www.genecards.org/cgi-bin/carddisp.pl?gene=ZNF131","GeneCards")</f>
        <v>GeneCards</v>
      </c>
      <c r="D6926" s="1" t="str">
        <f>HYPERLINK("http://genome-euro.ucsc.edu/cgi-bin/hgTracks?position=214741_at","UCSC")</f>
        <v>UCSC</v>
      </c>
      <c r="E6926" s="1" t="str">
        <f>HYPERLINK("http://www.ncbi.nlm.nih.gov/gene/?term=ZNF131","NCBI")</f>
        <v>NCBI</v>
      </c>
      <c r="F6926">
        <v>8.7999999999999995E-2</v>
      </c>
      <c r="G6926">
        <v>0.22</v>
      </c>
      <c r="H6926" s="1" t="str">
        <f>HYPERLINK("http://www.weizmann.ac.il/complex/compphys/software/geview/data/figures/214741_at.png","Figure")</f>
        <v>Figure</v>
      </c>
      <c r="I6926">
        <v>0.55700000000000005</v>
      </c>
      <c r="J6926">
        <v>8.5999999999999993E-2</v>
      </c>
      <c r="K6926">
        <v>0.68100000000000005</v>
      </c>
      <c r="L6926">
        <v>0.22</v>
      </c>
      <c r="M6926">
        <v>1.22</v>
      </c>
      <c r="N6926">
        <v>0.67</v>
      </c>
    </row>
    <row r="6927" spans="1:14" x14ac:dyDescent="0.25">
      <c r="A6927" t="s">
        <v>12381</v>
      </c>
      <c r="B6927" t="s">
        <v>12382</v>
      </c>
      <c r="C6927" s="1" t="str">
        <f>HYPERLINK("http://www.genecards.org/cgi-bin/carddisp.pl?gene=VPS13B","GeneCards")</f>
        <v>GeneCards</v>
      </c>
      <c r="D6927" s="1" t="str">
        <f>HYPERLINK("http://genome-euro.ucsc.edu/cgi-bin/hgTracks?position=213243_at","UCSC")</f>
        <v>UCSC</v>
      </c>
      <c r="E6927" s="1" t="str">
        <f>HYPERLINK("http://www.ncbi.nlm.nih.gov/gene/?term=VPS13B","NCBI")</f>
        <v>NCBI</v>
      </c>
      <c r="F6927">
        <v>8.7999999999999995E-2</v>
      </c>
      <c r="G6927">
        <v>0.22</v>
      </c>
      <c r="H6927" s="1" t="str">
        <f>HYPERLINK("http://www.weizmann.ac.il/complex/compphys/software/geview/data/figures/213243_at.png","Figure")</f>
        <v>Figure</v>
      </c>
      <c r="I6927">
        <v>0.56899999999999995</v>
      </c>
      <c r="J6927">
        <v>8.7999999999999995E-2</v>
      </c>
      <c r="K6927">
        <v>0.88500000000000001</v>
      </c>
      <c r="L6927">
        <v>0.84</v>
      </c>
      <c r="M6927">
        <v>1.56</v>
      </c>
      <c r="N6927">
        <v>0.16</v>
      </c>
    </row>
    <row r="6928" spans="1:14" x14ac:dyDescent="0.25">
      <c r="A6928" t="s">
        <v>12383</v>
      </c>
      <c r="B6928" t="s">
        <v>3271</v>
      </c>
      <c r="C6928" s="1" t="str">
        <f>HYPERLINK("http://www.genecards.org/cgi-bin/carddisp.pl?gene=LRRC40","GeneCards")</f>
        <v>GeneCards</v>
      </c>
      <c r="D6928" s="1" t="str">
        <f>HYPERLINK("http://genome-euro.ucsc.edu/cgi-bin/hgTracks?position=218577_at","UCSC")</f>
        <v>UCSC</v>
      </c>
      <c r="E6928" s="1" t="str">
        <f>HYPERLINK("http://www.ncbi.nlm.nih.gov/gene/?term=LRRC40","NCBI")</f>
        <v>NCBI</v>
      </c>
      <c r="F6928">
        <v>8.7999999999999995E-2</v>
      </c>
      <c r="G6928">
        <v>0.22</v>
      </c>
      <c r="H6928" s="1" t="str">
        <f>HYPERLINK("http://www.weizmann.ac.il/complex/compphys/software/geview/data/figures/218577_at.png","Figure")</f>
        <v>Figure</v>
      </c>
      <c r="I6928">
        <v>0.56100000000000005</v>
      </c>
      <c r="J6928">
        <v>0.16</v>
      </c>
      <c r="K6928">
        <v>0.56100000000000005</v>
      </c>
      <c r="L6928">
        <v>0.1</v>
      </c>
      <c r="M6928">
        <v>1</v>
      </c>
      <c r="N6928">
        <v>1</v>
      </c>
    </row>
    <row r="6929" spans="1:14" x14ac:dyDescent="0.25">
      <c r="A6929" t="s">
        <v>12384</v>
      </c>
      <c r="B6929" t="s">
        <v>10697</v>
      </c>
      <c r="C6929" s="1" t="str">
        <f>HYPERLINK("http://www.genecards.org/cgi-bin/carddisp.pl?gene=RARA","GeneCards")</f>
        <v>GeneCards</v>
      </c>
      <c r="D6929" s="1" t="str">
        <f>HYPERLINK("http://genome-euro.ucsc.edu/cgi-bin/hgTracks?position=211605_s_at","UCSC")</f>
        <v>UCSC</v>
      </c>
      <c r="E6929" s="1" t="str">
        <f>HYPERLINK("http://www.ncbi.nlm.nih.gov/gene/?term=RARA","NCBI")</f>
        <v>NCBI</v>
      </c>
      <c r="F6929">
        <v>8.7999999999999995E-2</v>
      </c>
      <c r="G6929">
        <v>0.22</v>
      </c>
      <c r="H6929" s="1" t="str">
        <f>HYPERLINK("http://www.weizmann.ac.il/complex/compphys/software/geview/data/figures/211605_s_at.png","Figure")</f>
        <v>Figure</v>
      </c>
      <c r="I6929">
        <v>1.17</v>
      </c>
      <c r="J6929">
        <v>9.0999999999999998E-2</v>
      </c>
      <c r="K6929">
        <v>1.03</v>
      </c>
      <c r="L6929">
        <v>0.87</v>
      </c>
      <c r="M6929">
        <v>0.878</v>
      </c>
      <c r="N6929">
        <v>0.15</v>
      </c>
    </row>
    <row r="6930" spans="1:14" x14ac:dyDescent="0.25">
      <c r="A6930" t="s">
        <v>12385</v>
      </c>
      <c r="B6930" t="s">
        <v>8020</v>
      </c>
      <c r="C6930" s="1" t="str">
        <f>HYPERLINK("http://www.genecards.org/cgi-bin/carddisp.pl?gene=NRG1","GeneCards")</f>
        <v>GeneCards</v>
      </c>
      <c r="D6930" s="1" t="str">
        <f>HYPERLINK("http://genome-euro.ucsc.edu/cgi-bin/hgTracks?position=208232_x_at","UCSC")</f>
        <v>UCSC</v>
      </c>
      <c r="E6930" s="1" t="str">
        <f>HYPERLINK("http://www.ncbi.nlm.nih.gov/gene/?term=NRG1","NCBI")</f>
        <v>NCBI</v>
      </c>
      <c r="F6930">
        <v>8.7999999999999995E-2</v>
      </c>
      <c r="G6930">
        <v>0.22</v>
      </c>
      <c r="H6930" s="1" t="str">
        <f>HYPERLINK("http://www.weizmann.ac.il/complex/compphys/software/geview/data/figures/208232_x_at.png","Figure")</f>
        <v>Figure</v>
      </c>
      <c r="I6930">
        <v>1.34</v>
      </c>
      <c r="J6930">
        <v>0.08</v>
      </c>
      <c r="K6930">
        <v>1.19</v>
      </c>
      <c r="L6930">
        <v>0.27</v>
      </c>
      <c r="M6930">
        <v>0.89</v>
      </c>
      <c r="N6930">
        <v>0.57999999999999996</v>
      </c>
    </row>
    <row r="6931" spans="1:14" x14ac:dyDescent="0.25">
      <c r="A6931" t="s">
        <v>12386</v>
      </c>
      <c r="B6931" t="s">
        <v>6146</v>
      </c>
      <c r="C6931" s="1" t="str">
        <f>HYPERLINK("http://www.genecards.org/cgi-bin/carddisp.pl?gene=FUT6","GeneCards")</f>
        <v>GeneCards</v>
      </c>
      <c r="D6931" s="1" t="str">
        <f>HYPERLINK("http://genome-euro.ucsc.edu/cgi-bin/hgTracks?position=211882_x_at","UCSC")</f>
        <v>UCSC</v>
      </c>
      <c r="E6931" s="1" t="str">
        <f>HYPERLINK("http://www.ncbi.nlm.nih.gov/gene/?term=FUT6","NCBI")</f>
        <v>NCBI</v>
      </c>
      <c r="F6931">
        <v>8.7999999999999995E-2</v>
      </c>
      <c r="G6931">
        <v>0.22</v>
      </c>
      <c r="H6931" s="1" t="str">
        <f>HYPERLINK("http://www.weizmann.ac.il/complex/compphys/software/geview/data/figures/211882_x_at.png","Figure")</f>
        <v>Figure</v>
      </c>
      <c r="I6931">
        <v>1.08</v>
      </c>
      <c r="J6931">
        <v>0.14000000000000001</v>
      </c>
      <c r="K6931">
        <v>1.08</v>
      </c>
      <c r="L6931">
        <v>0.11</v>
      </c>
      <c r="M6931">
        <v>0.995</v>
      </c>
      <c r="N6931">
        <v>0.99</v>
      </c>
    </row>
    <row r="6932" spans="1:14" x14ac:dyDescent="0.25">
      <c r="A6932" t="s">
        <v>12387</v>
      </c>
      <c r="B6932" t="s">
        <v>12388</v>
      </c>
      <c r="C6932" s="1" t="str">
        <f>HYPERLINK("http://www.genecards.org/cgi-bin/carddisp.pl?gene=HIST1H4E","GeneCards")</f>
        <v>GeneCards</v>
      </c>
      <c r="D6932" s="1" t="str">
        <f>HYPERLINK("http://genome-euro.ucsc.edu/cgi-bin/hgTracks?position=206951_at","UCSC")</f>
        <v>UCSC</v>
      </c>
      <c r="E6932" s="1" t="str">
        <f>HYPERLINK("http://www.ncbi.nlm.nih.gov/gene/?term=HIST1H4E","NCBI")</f>
        <v>NCBI</v>
      </c>
      <c r="F6932">
        <v>8.7999999999999995E-2</v>
      </c>
      <c r="G6932">
        <v>0.22</v>
      </c>
      <c r="H6932" s="1" t="str">
        <f>HYPERLINK("http://www.weizmann.ac.il/complex/compphys/software/geview/data/figures/206951_at.png","Figure")</f>
        <v>Figure</v>
      </c>
      <c r="I6932">
        <v>1.87</v>
      </c>
      <c r="J6932">
        <v>0.16</v>
      </c>
      <c r="K6932">
        <v>1.87</v>
      </c>
      <c r="L6932">
        <v>0.1</v>
      </c>
      <c r="M6932">
        <v>1</v>
      </c>
      <c r="N6932">
        <v>1</v>
      </c>
    </row>
    <row r="6933" spans="1:14" x14ac:dyDescent="0.25">
      <c r="A6933" t="s">
        <v>12389</v>
      </c>
      <c r="B6933" t="s">
        <v>12390</v>
      </c>
      <c r="C6933" s="1" t="str">
        <f>HYPERLINK("http://www.genecards.org/cgi-bin/carddisp.pl?gene=TBX6","GeneCards")</f>
        <v>GeneCards</v>
      </c>
      <c r="D6933" s="1" t="str">
        <f>HYPERLINK("http://genome-euro.ucsc.edu/cgi-bin/hgTracks?position=207684_at","UCSC")</f>
        <v>UCSC</v>
      </c>
      <c r="E6933" s="1" t="str">
        <f>HYPERLINK("http://www.ncbi.nlm.nih.gov/gene/?term=TBX6","NCBI")</f>
        <v>NCBI</v>
      </c>
      <c r="F6933">
        <v>8.7999999999999995E-2</v>
      </c>
      <c r="G6933">
        <v>0.22</v>
      </c>
      <c r="H6933" s="1" t="str">
        <f>HYPERLINK("http://www.weizmann.ac.il/complex/compphys/software/geview/data/figures/207684_at.png","Figure")</f>
        <v>Figure</v>
      </c>
      <c r="I6933">
        <v>1.1599999999999999</v>
      </c>
      <c r="J6933">
        <v>0.13</v>
      </c>
      <c r="K6933">
        <v>1.1399999999999999</v>
      </c>
      <c r="L6933">
        <v>0.12</v>
      </c>
      <c r="M6933">
        <v>0.98299999999999998</v>
      </c>
      <c r="N6933">
        <v>0.96</v>
      </c>
    </row>
    <row r="6934" spans="1:14" x14ac:dyDescent="0.25">
      <c r="A6934" t="s">
        <v>12391</v>
      </c>
      <c r="B6934" t="s">
        <v>12392</v>
      </c>
      <c r="C6934" s="1" t="str">
        <f>HYPERLINK("http://www.genecards.org/cgi-bin/carddisp.pl?gene=HOXB1","GeneCards")</f>
        <v>GeneCards</v>
      </c>
      <c r="D6934" s="1" t="str">
        <f>HYPERLINK("http://genome-euro.ucsc.edu/cgi-bin/hgTracks?position=208224_at","UCSC")</f>
        <v>UCSC</v>
      </c>
      <c r="E6934" s="1" t="str">
        <f>HYPERLINK("http://www.ncbi.nlm.nih.gov/gene/?term=HOXB1","NCBI")</f>
        <v>NCBI</v>
      </c>
      <c r="F6934">
        <v>8.7999999999999995E-2</v>
      </c>
      <c r="G6934">
        <v>0.22</v>
      </c>
      <c r="H6934" s="1" t="str">
        <f>HYPERLINK("http://www.weizmann.ac.il/complex/compphys/software/geview/data/figures/208224_at.png","Figure")</f>
        <v>Figure</v>
      </c>
      <c r="I6934">
        <v>1.28</v>
      </c>
      <c r="J6934">
        <v>8.4000000000000005E-2</v>
      </c>
      <c r="K6934">
        <v>1.17</v>
      </c>
      <c r="L6934">
        <v>0.23</v>
      </c>
      <c r="M6934">
        <v>0.91400000000000003</v>
      </c>
      <c r="N6934">
        <v>0.65</v>
      </c>
    </row>
    <row r="6935" spans="1:14" x14ac:dyDescent="0.25">
      <c r="A6935" t="s">
        <v>12393</v>
      </c>
      <c r="B6935" t="s">
        <v>12394</v>
      </c>
      <c r="C6935" s="1" t="str">
        <f>HYPERLINK("http://www.genecards.org/cgi-bin/carddisp.pl?gene=CALCOCO1","GeneCards")</f>
        <v>GeneCards</v>
      </c>
      <c r="D6935" s="1" t="str">
        <f>HYPERLINK("http://genome-euro.ucsc.edu/cgi-bin/hgTracks?position=209002_s_at","UCSC")</f>
        <v>UCSC</v>
      </c>
      <c r="E6935" s="1" t="str">
        <f>HYPERLINK("http://www.ncbi.nlm.nih.gov/gene/?term=CALCOCO1","NCBI")</f>
        <v>NCBI</v>
      </c>
      <c r="F6935">
        <v>8.7999999999999995E-2</v>
      </c>
      <c r="G6935">
        <v>0.22</v>
      </c>
      <c r="H6935" s="1" t="str">
        <f>HYPERLINK("http://www.weizmann.ac.il/complex/compphys/software/geview/data/figures/209002_s_at.png","Figure")</f>
        <v>Figure</v>
      </c>
      <c r="I6935">
        <v>1.3</v>
      </c>
      <c r="J6935">
        <v>0.11</v>
      </c>
      <c r="K6935">
        <v>1.24</v>
      </c>
      <c r="L6935">
        <v>0.15</v>
      </c>
      <c r="M6935">
        <v>0.94899999999999995</v>
      </c>
      <c r="N6935">
        <v>0.89</v>
      </c>
    </row>
    <row r="6936" spans="1:14" x14ac:dyDescent="0.25">
      <c r="A6936" t="s">
        <v>12395</v>
      </c>
      <c r="B6936" t="s">
        <v>9630</v>
      </c>
      <c r="C6936" s="1" t="str">
        <f>HYPERLINK("http://www.genecards.org/cgi-bin/carddisp.pl?gene=DOCK9","GeneCards")</f>
        <v>GeneCards</v>
      </c>
      <c r="D6936" s="1" t="str">
        <f>HYPERLINK("http://genome-euro.ucsc.edu/cgi-bin/hgTracks?position=215237_at","UCSC")</f>
        <v>UCSC</v>
      </c>
      <c r="E6936" s="1" t="str">
        <f>HYPERLINK("http://www.ncbi.nlm.nih.gov/gene/?term=DOCK9","NCBI")</f>
        <v>NCBI</v>
      </c>
      <c r="F6936">
        <v>8.7999999999999995E-2</v>
      </c>
      <c r="G6936">
        <v>0.22</v>
      </c>
      <c r="H6936" s="1" t="str">
        <f>HYPERLINK("http://www.weizmann.ac.il/complex/compphys/software/geview/data/figures/215237_at.png","Figure")</f>
        <v>Figure</v>
      </c>
      <c r="I6936">
        <v>0.96199999999999997</v>
      </c>
      <c r="J6936">
        <v>0.26</v>
      </c>
      <c r="K6936">
        <v>1.01</v>
      </c>
      <c r="L6936">
        <v>0.78</v>
      </c>
      <c r="M6936">
        <v>1.05</v>
      </c>
      <c r="N6936">
        <v>7.4999999999999997E-2</v>
      </c>
    </row>
    <row r="6937" spans="1:14" x14ac:dyDescent="0.25">
      <c r="A6937" t="s">
        <v>12396</v>
      </c>
      <c r="B6937" t="s">
        <v>12397</v>
      </c>
      <c r="C6937" s="1" t="str">
        <f>HYPERLINK("http://www.genecards.org/cgi-bin/carddisp.pl?gene=ATP2B1","GeneCards")</f>
        <v>GeneCards</v>
      </c>
      <c r="D6937" s="1" t="str">
        <f>HYPERLINK("http://genome-euro.ucsc.edu/cgi-bin/hgTracks?position=215716_s_at","UCSC")</f>
        <v>UCSC</v>
      </c>
      <c r="E6937" s="1" t="str">
        <f>HYPERLINK("http://www.ncbi.nlm.nih.gov/gene/?term=ATP2B1","NCBI")</f>
        <v>NCBI</v>
      </c>
      <c r="F6937">
        <v>8.7999999999999995E-2</v>
      </c>
      <c r="G6937">
        <v>0.22</v>
      </c>
      <c r="H6937" s="1" t="str">
        <f>HYPERLINK("http://www.weizmann.ac.il/complex/compphys/software/geview/data/figures/215716_s_at.png","Figure")</f>
        <v>Figure</v>
      </c>
      <c r="I6937">
        <v>0.86799999999999999</v>
      </c>
      <c r="J6937">
        <v>0.82</v>
      </c>
      <c r="K6937">
        <v>0.62</v>
      </c>
      <c r="L6937">
        <v>8.6999999999999994E-2</v>
      </c>
      <c r="M6937">
        <v>0.71499999999999997</v>
      </c>
      <c r="N6937">
        <v>0.31</v>
      </c>
    </row>
    <row r="6938" spans="1:14" x14ac:dyDescent="0.25">
      <c r="A6938" t="s">
        <v>12398</v>
      </c>
      <c r="B6938" t="s">
        <v>12399</v>
      </c>
      <c r="C6938" s="1" t="str">
        <f>HYPERLINK("http://www.genecards.org/cgi-bin/carddisp.pl?gene=SERHL2","GeneCards")</f>
        <v>GeneCards</v>
      </c>
      <c r="D6938" s="1" t="str">
        <f>HYPERLINK("http://genome-euro.ucsc.edu/cgi-bin/hgTracks?position=217284_x_at","UCSC")</f>
        <v>UCSC</v>
      </c>
      <c r="E6938" s="1" t="str">
        <f>HYPERLINK("http://www.ncbi.nlm.nih.gov/gene/?term=SERHL2","NCBI")</f>
        <v>NCBI</v>
      </c>
      <c r="F6938">
        <v>8.7999999999999995E-2</v>
      </c>
      <c r="G6938">
        <v>0.22</v>
      </c>
      <c r="H6938" s="1" t="str">
        <f>HYPERLINK("http://www.weizmann.ac.il/complex/compphys/software/geview/data/figures/217284_x_at.png","Figure")</f>
        <v>Figure</v>
      </c>
      <c r="I6938">
        <v>1.36</v>
      </c>
      <c r="J6938">
        <v>0.1</v>
      </c>
      <c r="K6938">
        <v>1.04</v>
      </c>
      <c r="L6938">
        <v>0.93</v>
      </c>
      <c r="M6938">
        <v>0.76800000000000002</v>
      </c>
      <c r="N6938">
        <v>0.13</v>
      </c>
    </row>
    <row r="6939" spans="1:14" x14ac:dyDescent="0.25">
      <c r="A6939" t="s">
        <v>12400</v>
      </c>
      <c r="B6939" t="s">
        <v>12401</v>
      </c>
      <c r="C6939" s="1" t="str">
        <f>HYPERLINK("http://www.genecards.org/cgi-bin/carddisp.pl?gene=RNF130","GeneCards")</f>
        <v>GeneCards</v>
      </c>
      <c r="D6939" s="1" t="str">
        <f>HYPERLINK("http://genome-euro.ucsc.edu/cgi-bin/hgTracks?position=217865_at","UCSC")</f>
        <v>UCSC</v>
      </c>
      <c r="E6939" s="1" t="str">
        <f>HYPERLINK("http://www.ncbi.nlm.nih.gov/gene/?term=RNF130","NCBI")</f>
        <v>NCBI</v>
      </c>
      <c r="F6939">
        <v>8.7999999999999995E-2</v>
      </c>
      <c r="G6939">
        <v>0.22</v>
      </c>
      <c r="H6939" s="1" t="str">
        <f>HYPERLINK("http://www.weizmann.ac.il/complex/compphys/software/geview/data/figures/217865_at.png","Figure")</f>
        <v>Figure</v>
      </c>
      <c r="I6939">
        <v>0.54100000000000004</v>
      </c>
      <c r="J6939">
        <v>7.4999999999999997E-2</v>
      </c>
      <c r="K6939">
        <v>0.72099999999999997</v>
      </c>
      <c r="L6939">
        <v>0.34</v>
      </c>
      <c r="M6939">
        <v>1.33</v>
      </c>
      <c r="N6939">
        <v>0.47</v>
      </c>
    </row>
    <row r="6940" spans="1:14" x14ac:dyDescent="0.25">
      <c r="A6940" t="s">
        <v>12402</v>
      </c>
      <c r="B6940" t="s">
        <v>6260</v>
      </c>
      <c r="C6940" s="1" t="str">
        <f>HYPERLINK("http://www.genecards.org/cgi-bin/carddisp.pl?gene=HIF1AN","GeneCards")</f>
        <v>GeneCards</v>
      </c>
      <c r="D6940" s="1" t="str">
        <f>HYPERLINK("http://genome-euro.ucsc.edu/cgi-bin/hgTracks?position=59999_at","UCSC")</f>
        <v>UCSC</v>
      </c>
      <c r="E6940" s="1" t="str">
        <f>HYPERLINK("http://www.ncbi.nlm.nih.gov/gene/?term=HIF1AN","NCBI")</f>
        <v>NCBI</v>
      </c>
      <c r="F6940">
        <v>8.7999999999999995E-2</v>
      </c>
      <c r="G6940">
        <v>0.22</v>
      </c>
      <c r="H6940" s="1" t="str">
        <f>HYPERLINK("http://www.weizmann.ac.il/complex/compphys/software/geview/data/figures/59999_at.png","Figure")</f>
        <v>Figure</v>
      </c>
      <c r="I6940">
        <v>1.1499999999999999</v>
      </c>
      <c r="J6940">
        <v>0.12</v>
      </c>
      <c r="K6940">
        <v>1.1299999999999999</v>
      </c>
      <c r="L6940">
        <v>0.13</v>
      </c>
      <c r="M6940">
        <v>0.97799999999999998</v>
      </c>
      <c r="N6940">
        <v>0.93</v>
      </c>
    </row>
    <row r="6941" spans="1:14" x14ac:dyDescent="0.25">
      <c r="A6941" t="s">
        <v>12403</v>
      </c>
      <c r="B6941" t="s">
        <v>12404</v>
      </c>
      <c r="C6941" s="1" t="str">
        <f>HYPERLINK("http://www.genecards.org/cgi-bin/carddisp.pl?gene=KRT6B","GeneCards")</f>
        <v>GeneCards</v>
      </c>
      <c r="D6941" s="1" t="str">
        <f>HYPERLINK("http://genome-euro.ucsc.edu/cgi-bin/hgTracks?position=213680_at","UCSC")</f>
        <v>UCSC</v>
      </c>
      <c r="E6941" s="1" t="str">
        <f>HYPERLINK("http://www.ncbi.nlm.nih.gov/gene/?term=KRT6B","NCBI")</f>
        <v>NCBI</v>
      </c>
      <c r="F6941">
        <v>8.7999999999999995E-2</v>
      </c>
      <c r="G6941">
        <v>0.22</v>
      </c>
      <c r="H6941" s="1" t="str">
        <f>HYPERLINK("http://www.weizmann.ac.il/complex/compphys/software/geview/data/figures/213680_at.png","Figure")</f>
        <v>Figure</v>
      </c>
      <c r="I6941">
        <v>1.0900000000000001</v>
      </c>
      <c r="J6941">
        <v>0.23</v>
      </c>
      <c r="K6941">
        <v>0.97399999999999998</v>
      </c>
      <c r="L6941">
        <v>0.83</v>
      </c>
      <c r="M6941">
        <v>0.89100000000000001</v>
      </c>
      <c r="N6941">
        <v>7.6999999999999999E-2</v>
      </c>
    </row>
    <row r="6942" spans="1:14" x14ac:dyDescent="0.25">
      <c r="A6942" t="s">
        <v>12405</v>
      </c>
      <c r="B6942" t="s">
        <v>12406</v>
      </c>
      <c r="C6942" s="1" t="str">
        <f>HYPERLINK("http://www.genecards.org/cgi-bin/carddisp.pl?gene=DCTN1","GeneCards")</f>
        <v>GeneCards</v>
      </c>
      <c r="D6942" s="1" t="str">
        <f>HYPERLINK("http://genome-euro.ucsc.edu/cgi-bin/hgTracks?position=211780_x_at","UCSC")</f>
        <v>UCSC</v>
      </c>
      <c r="E6942" s="1" t="str">
        <f>HYPERLINK("http://www.ncbi.nlm.nih.gov/gene/?term=DCTN1","NCBI")</f>
        <v>NCBI</v>
      </c>
      <c r="F6942">
        <v>8.7999999999999995E-2</v>
      </c>
      <c r="G6942">
        <v>0.22</v>
      </c>
      <c r="H6942" s="1" t="str">
        <f>HYPERLINK("http://www.weizmann.ac.il/complex/compphys/software/geview/data/figures/211780_x_at.png","Figure")</f>
        <v>Figure</v>
      </c>
      <c r="I6942">
        <v>1.34</v>
      </c>
      <c r="J6942">
        <v>9.2999999999999999E-2</v>
      </c>
      <c r="K6942">
        <v>1.23</v>
      </c>
      <c r="L6942">
        <v>0.19</v>
      </c>
      <c r="M6942">
        <v>0.91800000000000004</v>
      </c>
      <c r="N6942">
        <v>0.76</v>
      </c>
    </row>
    <row r="6943" spans="1:14" x14ac:dyDescent="0.25">
      <c r="A6943" t="s">
        <v>12407</v>
      </c>
      <c r="B6943" t="s">
        <v>12408</v>
      </c>
      <c r="C6943" s="1" t="str">
        <f>HYPERLINK("http://www.genecards.org/cgi-bin/carddisp.pl?gene=RAB8A","GeneCards")</f>
        <v>GeneCards</v>
      </c>
      <c r="D6943" s="1" t="str">
        <f>HYPERLINK("http://genome-euro.ucsc.edu/cgi-bin/hgTracks?position=208819_at","UCSC")</f>
        <v>UCSC</v>
      </c>
      <c r="E6943" s="1" t="str">
        <f>HYPERLINK("http://www.ncbi.nlm.nih.gov/gene/?term=RAB8A","NCBI")</f>
        <v>NCBI</v>
      </c>
      <c r="F6943">
        <v>8.7999999999999995E-2</v>
      </c>
      <c r="G6943">
        <v>0.22</v>
      </c>
      <c r="H6943" s="1" t="str">
        <f>HYPERLINK("http://www.weizmann.ac.il/complex/compphys/software/geview/data/figures/208819_at.png","Figure")</f>
        <v>Figure</v>
      </c>
      <c r="I6943">
        <v>1.1399999999999999</v>
      </c>
      <c r="J6943">
        <v>0.66</v>
      </c>
      <c r="K6943">
        <v>1.37</v>
      </c>
      <c r="L6943">
        <v>7.6999999999999999E-2</v>
      </c>
      <c r="M6943">
        <v>1.2</v>
      </c>
      <c r="N6943">
        <v>0.43</v>
      </c>
    </row>
    <row r="6944" spans="1:14" x14ac:dyDescent="0.25">
      <c r="A6944" t="s">
        <v>12409</v>
      </c>
      <c r="B6944" t="s">
        <v>8306</v>
      </c>
      <c r="C6944" s="1" t="str">
        <f>HYPERLINK("http://www.genecards.org/cgi-bin/carddisp.pl?gene=SRC","GeneCards")</f>
        <v>GeneCards</v>
      </c>
      <c r="D6944" s="1" t="str">
        <f>HYPERLINK("http://genome-euro.ucsc.edu/cgi-bin/hgTracks?position=213324_at","UCSC")</f>
        <v>UCSC</v>
      </c>
      <c r="E6944" s="1" t="str">
        <f>HYPERLINK("http://www.ncbi.nlm.nih.gov/gene/?term=SRC","NCBI")</f>
        <v>NCBI</v>
      </c>
      <c r="F6944">
        <v>8.7999999999999995E-2</v>
      </c>
      <c r="G6944">
        <v>0.22</v>
      </c>
      <c r="H6944" s="1" t="str">
        <f>HYPERLINK("http://www.weizmann.ac.il/complex/compphys/software/geview/data/figures/213324_at.png","Figure")</f>
        <v>Figure</v>
      </c>
      <c r="I6944">
        <v>1.29</v>
      </c>
      <c r="J6944">
        <v>7.3999999999999996E-2</v>
      </c>
      <c r="K6944">
        <v>1.1399999999999999</v>
      </c>
      <c r="L6944">
        <v>0.38</v>
      </c>
      <c r="M6944">
        <v>0.878</v>
      </c>
      <c r="N6944">
        <v>0.42</v>
      </c>
    </row>
    <row r="6945" spans="1:14" x14ac:dyDescent="0.25">
      <c r="A6945" t="s">
        <v>12410</v>
      </c>
      <c r="B6945" t="s">
        <v>10080</v>
      </c>
      <c r="C6945" s="1" t="str">
        <f>HYPERLINK("http://www.genecards.org/cgi-bin/carddisp.pl?gene=PHB","GeneCards")</f>
        <v>GeneCards</v>
      </c>
      <c r="D6945" s="1" t="str">
        <f>HYPERLINK("http://genome-euro.ucsc.edu/cgi-bin/hgTracks?position=200658_s_at","UCSC")</f>
        <v>UCSC</v>
      </c>
      <c r="E6945" s="1" t="str">
        <f>HYPERLINK("http://www.ncbi.nlm.nih.gov/gene/?term=PHB","NCBI")</f>
        <v>NCBI</v>
      </c>
      <c r="F6945">
        <v>8.7999999999999995E-2</v>
      </c>
      <c r="G6945">
        <v>0.22</v>
      </c>
      <c r="H6945" s="1" t="str">
        <f>HYPERLINK("http://www.weizmann.ac.il/complex/compphys/software/geview/data/figures/200658_s_at.png","Figure")</f>
        <v>Figure</v>
      </c>
      <c r="I6945">
        <v>0.64800000000000002</v>
      </c>
      <c r="J6945">
        <v>0.28000000000000003</v>
      </c>
      <c r="K6945">
        <v>1.19</v>
      </c>
      <c r="L6945">
        <v>0.75</v>
      </c>
      <c r="M6945">
        <v>1.83</v>
      </c>
      <c r="N6945">
        <v>7.4999999999999997E-2</v>
      </c>
    </row>
    <row r="6946" spans="1:14" x14ac:dyDescent="0.25">
      <c r="A6946" t="s">
        <v>12411</v>
      </c>
      <c r="B6946" t="s">
        <v>12412</v>
      </c>
      <c r="C6946" s="1" t="str">
        <f>HYPERLINK("http://www.genecards.org/cgi-bin/carddisp.pl?gene=PFKL","GeneCards")</f>
        <v>GeneCards</v>
      </c>
      <c r="D6946" s="1" t="str">
        <f>HYPERLINK("http://genome-euro.ucsc.edu/cgi-bin/hgTracks?position=201102_s_at","UCSC")</f>
        <v>UCSC</v>
      </c>
      <c r="E6946" s="1" t="str">
        <f>HYPERLINK("http://www.ncbi.nlm.nih.gov/gene/?term=PFKL","NCBI")</f>
        <v>NCBI</v>
      </c>
      <c r="F6946">
        <v>8.7999999999999995E-2</v>
      </c>
      <c r="G6946">
        <v>0.22</v>
      </c>
      <c r="H6946" s="1" t="str">
        <f>HYPERLINK("http://www.weizmann.ac.il/complex/compphys/software/geview/data/figures/201102_s_at.png","Figure")</f>
        <v>Figure</v>
      </c>
      <c r="I6946">
        <v>1.32</v>
      </c>
      <c r="J6946">
        <v>0.23</v>
      </c>
      <c r="K6946">
        <v>1.38</v>
      </c>
      <c r="L6946">
        <v>8.5000000000000006E-2</v>
      </c>
      <c r="M6946">
        <v>1.05</v>
      </c>
      <c r="N6946">
        <v>0.95</v>
      </c>
    </row>
    <row r="6947" spans="1:14" x14ac:dyDescent="0.25">
      <c r="A6947" t="s">
        <v>12413</v>
      </c>
      <c r="B6947" t="s">
        <v>12414</v>
      </c>
      <c r="C6947" s="1" t="str">
        <f>HYPERLINK("http://www.genecards.org/cgi-bin/carddisp.pl?gene=RAB6A","GeneCards")</f>
        <v>GeneCards</v>
      </c>
      <c r="D6947" s="1" t="str">
        <f>HYPERLINK("http://genome-euro.ucsc.edu/cgi-bin/hgTracks?position=201045_s_at","UCSC")</f>
        <v>UCSC</v>
      </c>
      <c r="E6947" s="1" t="str">
        <f>HYPERLINK("http://www.ncbi.nlm.nih.gov/gene/?term=RAB6A","NCBI")</f>
        <v>NCBI</v>
      </c>
      <c r="F6947">
        <v>8.7999999999999995E-2</v>
      </c>
      <c r="G6947">
        <v>0.22</v>
      </c>
      <c r="H6947" s="1" t="str">
        <f>HYPERLINK("http://www.weizmann.ac.il/complex/compphys/software/geview/data/figures/201045_s_at.png","Figure")</f>
        <v>Figure</v>
      </c>
      <c r="I6947">
        <v>1.1599999999999999</v>
      </c>
      <c r="J6947">
        <v>7.8E-2</v>
      </c>
      <c r="K6947">
        <v>1.05</v>
      </c>
      <c r="L6947">
        <v>0.67</v>
      </c>
      <c r="M6947">
        <v>0.90600000000000003</v>
      </c>
      <c r="N6947">
        <v>0.23</v>
      </c>
    </row>
    <row r="6948" spans="1:14" x14ac:dyDescent="0.25">
      <c r="A6948" t="s">
        <v>12415</v>
      </c>
      <c r="B6948" t="s">
        <v>2158</v>
      </c>
      <c r="C6948" s="1" t="str">
        <f>HYPERLINK("http://www.genecards.org/cgi-bin/carddisp.pl?gene=SLC28A2","GeneCards")</f>
        <v>GeneCards</v>
      </c>
      <c r="D6948" s="1" t="str">
        <f>HYPERLINK("http://genome-euro.ucsc.edu/cgi-bin/hgTracks?position=207249_s_at","UCSC")</f>
        <v>UCSC</v>
      </c>
      <c r="E6948" s="1" t="str">
        <f>HYPERLINK("http://www.ncbi.nlm.nih.gov/gene/?term=SLC28A2","NCBI")</f>
        <v>NCBI</v>
      </c>
      <c r="F6948">
        <v>8.8999999999999996E-2</v>
      </c>
      <c r="G6948">
        <v>0.22</v>
      </c>
      <c r="H6948" s="1" t="str">
        <f>HYPERLINK("http://www.weizmann.ac.il/complex/compphys/software/geview/data/figures/207249_s_at.png","Figure")</f>
        <v>Figure</v>
      </c>
      <c r="I6948">
        <v>1.05</v>
      </c>
      <c r="J6948">
        <v>0.16</v>
      </c>
      <c r="K6948">
        <v>1.05</v>
      </c>
      <c r="L6948">
        <v>0.1</v>
      </c>
      <c r="M6948">
        <v>1</v>
      </c>
      <c r="N6948">
        <v>1</v>
      </c>
    </row>
    <row r="6949" spans="1:14" x14ac:dyDescent="0.25">
      <c r="A6949" t="s">
        <v>12416</v>
      </c>
      <c r="B6949" t="s">
        <v>12417</v>
      </c>
      <c r="C6949" s="1" t="str">
        <f>HYPERLINK("http://www.genecards.org/cgi-bin/carddisp.pl?gene=RMND5A","GeneCards")</f>
        <v>GeneCards</v>
      </c>
      <c r="D6949" s="1" t="str">
        <f>HYPERLINK("http://genome-euro.ucsc.edu/cgi-bin/hgTracks?position=212478_at","UCSC")</f>
        <v>UCSC</v>
      </c>
      <c r="E6949" s="1" t="str">
        <f>HYPERLINK("http://www.ncbi.nlm.nih.gov/gene/?term=RMND5A","NCBI")</f>
        <v>NCBI</v>
      </c>
      <c r="F6949">
        <v>8.8999999999999996E-2</v>
      </c>
      <c r="G6949">
        <v>0.22</v>
      </c>
      <c r="H6949" s="1" t="str">
        <f>HYPERLINK("http://www.weizmann.ac.il/complex/compphys/software/geview/data/figures/212478_at.png","Figure")</f>
        <v>Figure</v>
      </c>
      <c r="I6949">
        <v>1.1599999999999999</v>
      </c>
      <c r="J6949">
        <v>0.89</v>
      </c>
      <c r="K6949">
        <v>0.60399999999999998</v>
      </c>
      <c r="L6949">
        <v>0.2</v>
      </c>
      <c r="M6949">
        <v>0.52200000000000002</v>
      </c>
      <c r="N6949">
        <v>0.11</v>
      </c>
    </row>
    <row r="6950" spans="1:14" x14ac:dyDescent="0.25">
      <c r="A6950" t="s">
        <v>12418</v>
      </c>
      <c r="B6950" t="s">
        <v>12419</v>
      </c>
      <c r="C6950" s="1" t="str">
        <f>HYPERLINK("http://www.genecards.org/cgi-bin/carddisp.pl?gene=SNX26","GeneCards")</f>
        <v>GeneCards</v>
      </c>
      <c r="D6950" s="1" t="str">
        <f>HYPERLINK("http://genome-euro.ucsc.edu/cgi-bin/hgTracks?position=215256_x_at","UCSC")</f>
        <v>UCSC</v>
      </c>
      <c r="E6950" s="1" t="str">
        <f>HYPERLINK("http://www.ncbi.nlm.nih.gov/gene/?term=SNX26","NCBI")</f>
        <v>NCBI</v>
      </c>
      <c r="F6950">
        <v>8.8999999999999996E-2</v>
      </c>
      <c r="G6950">
        <v>0.22</v>
      </c>
      <c r="H6950" s="1" t="str">
        <f>HYPERLINK("http://www.weizmann.ac.il/complex/compphys/software/geview/data/figures/215256_x_at.png","Figure")</f>
        <v>Figure</v>
      </c>
      <c r="I6950">
        <v>1.41</v>
      </c>
      <c r="J6950">
        <v>8.3000000000000004E-2</v>
      </c>
      <c r="K6950">
        <v>1.24</v>
      </c>
      <c r="L6950">
        <v>0.25</v>
      </c>
      <c r="M6950">
        <v>0.88</v>
      </c>
      <c r="N6950">
        <v>0.62</v>
      </c>
    </row>
    <row r="6951" spans="1:14" x14ac:dyDescent="0.25">
      <c r="A6951" t="s">
        <v>12420</v>
      </c>
      <c r="B6951" t="s">
        <v>12421</v>
      </c>
      <c r="C6951" s="1" t="str">
        <f>HYPERLINK("http://www.genecards.org/cgi-bin/carddisp.pl?gene=GDF3","GeneCards")</f>
        <v>GeneCards</v>
      </c>
      <c r="D6951" s="1" t="str">
        <f>HYPERLINK("http://genome-euro.ucsc.edu/cgi-bin/hgTracks?position=220053_at","UCSC")</f>
        <v>UCSC</v>
      </c>
      <c r="E6951" s="1" t="str">
        <f>HYPERLINK("http://www.ncbi.nlm.nih.gov/gene/?term=GDF3","NCBI")</f>
        <v>NCBI</v>
      </c>
      <c r="F6951">
        <v>8.7999999999999995E-2</v>
      </c>
      <c r="G6951">
        <v>0.22</v>
      </c>
      <c r="H6951" s="1" t="str">
        <f>HYPERLINK("http://www.weizmann.ac.il/complex/compphys/software/geview/data/figures/220053_at.png","Figure")</f>
        <v>Figure</v>
      </c>
      <c r="I6951">
        <v>1.1499999999999999</v>
      </c>
      <c r="J6951">
        <v>0.11</v>
      </c>
      <c r="K6951">
        <v>1.01</v>
      </c>
      <c r="L6951">
        <v>0.97</v>
      </c>
      <c r="M6951">
        <v>0.88400000000000001</v>
      </c>
      <c r="N6951">
        <v>0.12</v>
      </c>
    </row>
    <row r="6952" spans="1:14" x14ac:dyDescent="0.25">
      <c r="A6952" t="s">
        <v>12422</v>
      </c>
      <c r="B6952" t="s">
        <v>12423</v>
      </c>
      <c r="C6952" s="1" t="str">
        <f>HYPERLINK("http://www.genecards.org/cgi-bin/carddisp.pl?gene=LZTS1","GeneCards")</f>
        <v>GeneCards</v>
      </c>
      <c r="D6952" s="1" t="str">
        <f>HYPERLINK("http://genome-euro.ucsc.edu/cgi-bin/hgTracks?position=221719_s_at","UCSC")</f>
        <v>UCSC</v>
      </c>
      <c r="E6952" s="1" t="str">
        <f>HYPERLINK("http://www.ncbi.nlm.nih.gov/gene/?term=LZTS1","NCBI")</f>
        <v>NCBI</v>
      </c>
      <c r="F6952">
        <v>8.8999999999999996E-2</v>
      </c>
      <c r="G6952">
        <v>0.22</v>
      </c>
      <c r="H6952" s="1" t="str">
        <f>HYPERLINK("http://www.weizmann.ac.il/complex/compphys/software/geview/data/figures/221719_s_at.png","Figure")</f>
        <v>Figure</v>
      </c>
      <c r="I6952">
        <v>1.02</v>
      </c>
      <c r="J6952">
        <v>0.16</v>
      </c>
      <c r="K6952">
        <v>1.02</v>
      </c>
      <c r="L6952">
        <v>0.1</v>
      </c>
      <c r="M6952">
        <v>1</v>
      </c>
      <c r="N6952">
        <v>1</v>
      </c>
    </row>
    <row r="6953" spans="1:14" x14ac:dyDescent="0.25">
      <c r="A6953" t="s">
        <v>12424</v>
      </c>
      <c r="B6953" t="s">
        <v>12425</v>
      </c>
      <c r="C6953" s="1" t="str">
        <f>HYPERLINK("http://www.genecards.org/cgi-bin/carddisp.pl?gene=PTRF","GeneCards")</f>
        <v>GeneCards</v>
      </c>
      <c r="D6953" s="1" t="str">
        <f>HYPERLINK("http://genome-euro.ucsc.edu/cgi-bin/hgTracks?position=208789_at","UCSC")</f>
        <v>UCSC</v>
      </c>
      <c r="E6953" s="1" t="str">
        <f>HYPERLINK("http://www.ncbi.nlm.nih.gov/gene/?term=PTRF","NCBI")</f>
        <v>NCBI</v>
      </c>
      <c r="F6953">
        <v>8.8999999999999996E-2</v>
      </c>
      <c r="G6953">
        <v>0.22</v>
      </c>
      <c r="H6953" s="1" t="str">
        <f>HYPERLINK("http://www.weizmann.ac.il/complex/compphys/software/geview/data/figures/208789_at.png","Figure")</f>
        <v>Figure</v>
      </c>
      <c r="I6953">
        <v>1.24</v>
      </c>
      <c r="J6953">
        <v>7.3999999999999996E-2</v>
      </c>
      <c r="K6953">
        <v>1.0900000000000001</v>
      </c>
      <c r="L6953">
        <v>0.54</v>
      </c>
      <c r="M6953">
        <v>0.876</v>
      </c>
      <c r="N6953">
        <v>0.28999999999999998</v>
      </c>
    </row>
    <row r="6954" spans="1:14" x14ac:dyDescent="0.25">
      <c r="A6954" t="s">
        <v>12426</v>
      </c>
      <c r="B6954" t="s">
        <v>12427</v>
      </c>
      <c r="C6954" s="1" t="str">
        <f>HYPERLINK("http://www.genecards.org/cgi-bin/carddisp.pl?gene=ESD","GeneCards")</f>
        <v>GeneCards</v>
      </c>
      <c r="D6954" s="1" t="str">
        <f>HYPERLINK("http://genome-euro.ucsc.edu/cgi-bin/hgTracks?position=209009_at","UCSC")</f>
        <v>UCSC</v>
      </c>
      <c r="E6954" s="1" t="str">
        <f>HYPERLINK("http://www.ncbi.nlm.nih.gov/gene/?term=ESD","NCBI")</f>
        <v>NCBI</v>
      </c>
      <c r="F6954">
        <v>8.8999999999999996E-2</v>
      </c>
      <c r="G6954">
        <v>0.22</v>
      </c>
      <c r="H6954" s="1" t="str">
        <f>HYPERLINK("http://www.weizmann.ac.il/complex/compphys/software/geview/data/figures/209009_at.png","Figure")</f>
        <v>Figure</v>
      </c>
      <c r="I6954">
        <v>1.06</v>
      </c>
      <c r="J6954">
        <v>0.86</v>
      </c>
      <c r="K6954">
        <v>1.26</v>
      </c>
      <c r="L6954">
        <v>9.0999999999999998E-2</v>
      </c>
      <c r="M6954">
        <v>1.18</v>
      </c>
      <c r="N6954">
        <v>0.28999999999999998</v>
      </c>
    </row>
    <row r="6955" spans="1:14" x14ac:dyDescent="0.25">
      <c r="A6955" t="s">
        <v>12428</v>
      </c>
      <c r="B6955" t="s">
        <v>12429</v>
      </c>
      <c r="C6955" s="1" t="str">
        <f>HYPERLINK("http://www.genecards.org/cgi-bin/carddisp.pl?gene=API5","GeneCards")</f>
        <v>GeneCards</v>
      </c>
      <c r="D6955" s="1" t="str">
        <f>HYPERLINK("http://genome-euro.ucsc.edu/cgi-bin/hgTracks?position=214959_s_at","UCSC")</f>
        <v>UCSC</v>
      </c>
      <c r="E6955" s="1" t="str">
        <f>HYPERLINK("http://www.ncbi.nlm.nih.gov/gene/?term=API5","NCBI")</f>
        <v>NCBI</v>
      </c>
      <c r="F6955">
        <v>8.8999999999999996E-2</v>
      </c>
      <c r="G6955">
        <v>0.22</v>
      </c>
      <c r="H6955" s="1" t="str">
        <f>HYPERLINK("http://www.weizmann.ac.il/complex/compphys/software/geview/data/figures/214959_s_at.png","Figure")</f>
        <v>Figure</v>
      </c>
      <c r="I6955">
        <v>1.01</v>
      </c>
      <c r="J6955">
        <v>0.99</v>
      </c>
      <c r="K6955">
        <v>0.88300000000000001</v>
      </c>
      <c r="L6955">
        <v>0.14000000000000001</v>
      </c>
      <c r="M6955">
        <v>0.877</v>
      </c>
      <c r="N6955">
        <v>0.15</v>
      </c>
    </row>
    <row r="6956" spans="1:14" x14ac:dyDescent="0.25">
      <c r="A6956" t="s">
        <v>12430</v>
      </c>
      <c r="B6956" t="s">
        <v>12431</v>
      </c>
      <c r="C6956" s="1" t="str">
        <f>HYPERLINK("http://www.genecards.org/cgi-bin/carddisp.pl?gene=MBNL3","GeneCards")</f>
        <v>GeneCards</v>
      </c>
      <c r="D6956" s="1" t="str">
        <f>HYPERLINK("http://genome-euro.ucsc.edu/cgi-bin/hgTracks?position=219814_at","UCSC")</f>
        <v>UCSC</v>
      </c>
      <c r="E6956" s="1" t="str">
        <f>HYPERLINK("http://www.ncbi.nlm.nih.gov/gene/?term=MBNL3","NCBI")</f>
        <v>NCBI</v>
      </c>
      <c r="F6956">
        <v>8.8999999999999996E-2</v>
      </c>
      <c r="G6956">
        <v>0.22</v>
      </c>
      <c r="H6956" s="1" t="str">
        <f>HYPERLINK("http://www.weizmann.ac.il/complex/compphys/software/geview/data/figures/219814_at.png","Figure")</f>
        <v>Figure</v>
      </c>
      <c r="I6956">
        <v>0.73299999999999998</v>
      </c>
      <c r="J6956">
        <v>8.4000000000000005E-2</v>
      </c>
      <c r="K6956">
        <v>0.92400000000000004</v>
      </c>
      <c r="L6956">
        <v>0.78</v>
      </c>
      <c r="M6956">
        <v>1.26</v>
      </c>
      <c r="N6956">
        <v>0.18</v>
      </c>
    </row>
    <row r="6957" spans="1:14" x14ac:dyDescent="0.25">
      <c r="A6957" t="s">
        <v>12432</v>
      </c>
      <c r="B6957" t="s">
        <v>12433</v>
      </c>
      <c r="C6957" s="1" t="str">
        <f>HYPERLINK("http://www.genecards.org/cgi-bin/carddisp.pl?gene=CNP","GeneCards")</f>
        <v>GeneCards</v>
      </c>
      <c r="D6957" s="1" t="str">
        <f>HYPERLINK("http://genome-euro.ucsc.edu/cgi-bin/hgTracks?position=208912_s_at","UCSC")</f>
        <v>UCSC</v>
      </c>
      <c r="E6957" s="1" t="str">
        <f>HYPERLINK("http://www.ncbi.nlm.nih.gov/gene/?term=CNP","NCBI")</f>
        <v>NCBI</v>
      </c>
      <c r="F6957">
        <v>8.8999999999999996E-2</v>
      </c>
      <c r="G6957">
        <v>0.22</v>
      </c>
      <c r="H6957" s="1" t="str">
        <f>HYPERLINK("http://www.weizmann.ac.il/complex/compphys/software/geview/data/figures/208912_s_at.png","Figure")</f>
        <v>Figure</v>
      </c>
      <c r="I6957">
        <v>0.94399999999999995</v>
      </c>
      <c r="J6957">
        <v>0.93</v>
      </c>
      <c r="K6957">
        <v>1.3</v>
      </c>
      <c r="L6957">
        <v>0.18</v>
      </c>
      <c r="M6957">
        <v>1.37</v>
      </c>
      <c r="N6957">
        <v>0.12</v>
      </c>
    </row>
    <row r="6958" spans="1:14" x14ac:dyDescent="0.25">
      <c r="A6958" t="s">
        <v>12434</v>
      </c>
      <c r="B6958" t="s">
        <v>12435</v>
      </c>
      <c r="C6958" s="1" t="str">
        <f>HYPERLINK("http://www.genecards.org/cgi-bin/carddisp.pl?gene=ZDHHC8P","GeneCards")</f>
        <v>GeneCards</v>
      </c>
      <c r="D6958" s="1" t="str">
        <f>HYPERLINK("http://genome-euro.ucsc.edu/cgi-bin/hgTracks?position=222274_at","UCSC")</f>
        <v>UCSC</v>
      </c>
      <c r="E6958" s="1" t="str">
        <f>HYPERLINK("http://www.ncbi.nlm.nih.gov/gene/?term=ZDHHC8P","NCBI")</f>
        <v>NCBI</v>
      </c>
      <c r="F6958">
        <v>8.8999999999999996E-2</v>
      </c>
      <c r="G6958">
        <v>0.22</v>
      </c>
      <c r="H6958" s="1" t="str">
        <f>HYPERLINK("http://www.weizmann.ac.il/complex/compphys/software/geview/data/figures/222274_at.png","Figure")</f>
        <v>Figure</v>
      </c>
      <c r="I6958">
        <v>1.1000000000000001</v>
      </c>
      <c r="J6958">
        <v>9.4E-2</v>
      </c>
      <c r="K6958">
        <v>1.02</v>
      </c>
      <c r="L6958">
        <v>0.89</v>
      </c>
      <c r="M6958">
        <v>0.92700000000000005</v>
      </c>
      <c r="N6958">
        <v>0.15</v>
      </c>
    </row>
    <row r="6959" spans="1:14" x14ac:dyDescent="0.25">
      <c r="A6959" t="s">
        <v>12436</v>
      </c>
      <c r="B6959" t="s">
        <v>12437</v>
      </c>
      <c r="C6959" s="1" t="str">
        <f>HYPERLINK("http://www.genecards.org/cgi-bin/carddisp.pl?gene=CHAF1B","GeneCards")</f>
        <v>GeneCards</v>
      </c>
      <c r="D6959" s="1" t="str">
        <f>HYPERLINK("http://genome-euro.ucsc.edu/cgi-bin/hgTracks?position=204775_at","UCSC")</f>
        <v>UCSC</v>
      </c>
      <c r="E6959" s="1" t="str">
        <f>HYPERLINK("http://www.ncbi.nlm.nih.gov/gene/?term=CHAF1B","NCBI")</f>
        <v>NCBI</v>
      </c>
      <c r="F6959">
        <v>8.8999999999999996E-2</v>
      </c>
      <c r="G6959">
        <v>0.22</v>
      </c>
      <c r="H6959" s="1" t="str">
        <f>HYPERLINK("http://www.weizmann.ac.il/complex/compphys/software/geview/data/figures/204775_at.png","Figure")</f>
        <v>Figure</v>
      </c>
      <c r="I6959">
        <v>0.72499999999999998</v>
      </c>
      <c r="J6959">
        <v>8.5999999999999993E-2</v>
      </c>
      <c r="K6959">
        <v>0.81100000000000005</v>
      </c>
      <c r="L6959">
        <v>0.23</v>
      </c>
      <c r="M6959">
        <v>1.1200000000000001</v>
      </c>
      <c r="N6959">
        <v>0.66</v>
      </c>
    </row>
    <row r="6960" spans="1:14" x14ac:dyDescent="0.25">
      <c r="A6960" t="s">
        <v>12438</v>
      </c>
      <c r="B6960" t="s">
        <v>1901</v>
      </c>
      <c r="C6960" s="1" t="str">
        <f>HYPERLINK("http://www.genecards.org/cgi-bin/carddisp.pl?gene=RMND5B","GeneCards")</f>
        <v>GeneCards</v>
      </c>
      <c r="D6960" s="1" t="str">
        <f>HYPERLINK("http://genome-euro.ucsc.edu/cgi-bin/hgTracks?position=213297_at","UCSC")</f>
        <v>UCSC</v>
      </c>
      <c r="E6960" s="1" t="str">
        <f>HYPERLINK("http://www.ncbi.nlm.nih.gov/gene/?term=RMND5B","NCBI")</f>
        <v>NCBI</v>
      </c>
      <c r="F6960">
        <v>8.8999999999999996E-2</v>
      </c>
      <c r="G6960">
        <v>0.22</v>
      </c>
      <c r="H6960" s="1" t="str">
        <f>HYPERLINK("http://www.weizmann.ac.il/complex/compphys/software/geview/data/figures/213297_at.png","Figure")</f>
        <v>Figure</v>
      </c>
      <c r="I6960">
        <v>1.48</v>
      </c>
      <c r="J6960">
        <v>7.4999999999999997E-2</v>
      </c>
      <c r="K6960">
        <v>1.1599999999999999</v>
      </c>
      <c r="L6960">
        <v>0.56999999999999995</v>
      </c>
      <c r="M6960">
        <v>0.78300000000000003</v>
      </c>
      <c r="N6960">
        <v>0.27</v>
      </c>
    </row>
    <row r="6961" spans="1:14" x14ac:dyDescent="0.25">
      <c r="A6961" t="s">
        <v>12439</v>
      </c>
      <c r="B6961" t="s">
        <v>2474</v>
      </c>
      <c r="C6961" s="1" t="str">
        <f>HYPERLINK("http://www.genecards.org/cgi-bin/carddisp.pl?gene=FAM65B","GeneCards")</f>
        <v>GeneCards</v>
      </c>
      <c r="D6961" s="1" t="str">
        <f>HYPERLINK("http://genome-euro.ucsc.edu/cgi-bin/hgTracks?position=206707_x_at","UCSC")</f>
        <v>UCSC</v>
      </c>
      <c r="E6961" s="1" t="str">
        <f>HYPERLINK("http://www.ncbi.nlm.nih.gov/gene/?term=FAM65B","NCBI")</f>
        <v>NCBI</v>
      </c>
      <c r="F6961">
        <v>8.8999999999999996E-2</v>
      </c>
      <c r="G6961">
        <v>0.22</v>
      </c>
      <c r="H6961" s="1" t="str">
        <f>HYPERLINK("http://www.weizmann.ac.il/complex/compphys/software/geview/data/figures/206707_x_at.png","Figure")</f>
        <v>Figure</v>
      </c>
      <c r="I6961">
        <v>1.21</v>
      </c>
      <c r="J6961">
        <v>0.36</v>
      </c>
      <c r="K6961">
        <v>0.89600000000000002</v>
      </c>
      <c r="L6961">
        <v>0.62</v>
      </c>
      <c r="M6961">
        <v>0.74299999999999999</v>
      </c>
      <c r="N6961">
        <v>7.3999999999999996E-2</v>
      </c>
    </row>
    <row r="6962" spans="1:14" x14ac:dyDescent="0.25">
      <c r="A6962" t="s">
        <v>12440</v>
      </c>
      <c r="B6962" t="s">
        <v>12441</v>
      </c>
      <c r="C6962" s="1" t="str">
        <f>HYPERLINK("http://www.genecards.org/cgi-bin/carddisp.pl?gene=IDH2","GeneCards")</f>
        <v>GeneCards</v>
      </c>
      <c r="D6962" s="1" t="str">
        <f>HYPERLINK("http://genome-euro.ucsc.edu/cgi-bin/hgTracks?position=210046_s_at","UCSC")</f>
        <v>UCSC</v>
      </c>
      <c r="E6962" s="1" t="str">
        <f>HYPERLINK("http://www.ncbi.nlm.nih.gov/gene/?term=IDH2","NCBI")</f>
        <v>NCBI</v>
      </c>
      <c r="F6962">
        <v>8.8999999999999996E-2</v>
      </c>
      <c r="G6962">
        <v>0.22</v>
      </c>
      <c r="H6962" s="1" t="str">
        <f>HYPERLINK("http://www.weizmann.ac.il/complex/compphys/software/geview/data/figures/210046_s_at.png","Figure")</f>
        <v>Figure</v>
      </c>
      <c r="I6962">
        <v>1.53</v>
      </c>
      <c r="J6962">
        <v>0.27</v>
      </c>
      <c r="K6962">
        <v>1.72</v>
      </c>
      <c r="L6962">
        <v>0.08</v>
      </c>
      <c r="M6962">
        <v>1.1299999999999999</v>
      </c>
      <c r="N6962">
        <v>0.88</v>
      </c>
    </row>
    <row r="6963" spans="1:14" x14ac:dyDescent="0.25">
      <c r="A6963" t="s">
        <v>12442</v>
      </c>
      <c r="B6963" t="s">
        <v>12443</v>
      </c>
      <c r="C6963" s="1" t="str">
        <f>HYPERLINK("http://www.genecards.org/cgi-bin/carddisp.pl?gene=HDAC6","GeneCards")</f>
        <v>GeneCards</v>
      </c>
      <c r="D6963" s="1" t="str">
        <f>HYPERLINK("http://genome-euro.ucsc.edu/cgi-bin/hgTracks?position=216224_s_at","UCSC")</f>
        <v>UCSC</v>
      </c>
      <c r="E6963" s="1" t="str">
        <f>HYPERLINK("http://www.ncbi.nlm.nih.gov/gene/?term=HDAC6","NCBI")</f>
        <v>NCBI</v>
      </c>
      <c r="F6963">
        <v>8.8999999999999996E-2</v>
      </c>
      <c r="G6963">
        <v>0.22</v>
      </c>
      <c r="H6963" s="1" t="str">
        <f>HYPERLINK("http://www.weizmann.ac.il/complex/compphys/software/geview/data/figures/216224_s_at.png","Figure")</f>
        <v>Figure</v>
      </c>
      <c r="I6963">
        <v>1.24</v>
      </c>
      <c r="J6963">
        <v>0.16</v>
      </c>
      <c r="K6963">
        <v>1.23</v>
      </c>
      <c r="L6963">
        <v>0.1</v>
      </c>
      <c r="M6963">
        <v>0.997</v>
      </c>
      <c r="N6963">
        <v>1</v>
      </c>
    </row>
    <row r="6964" spans="1:14" x14ac:dyDescent="0.25">
      <c r="A6964" t="s">
        <v>12444</v>
      </c>
      <c r="B6964" t="s">
        <v>9014</v>
      </c>
      <c r="C6964" s="1" t="str">
        <f>HYPERLINK("http://www.genecards.org/cgi-bin/carddisp.pl?gene=ELL2","GeneCards")</f>
        <v>GeneCards</v>
      </c>
      <c r="D6964" s="1" t="str">
        <f>HYPERLINK("http://genome-euro.ucsc.edu/cgi-bin/hgTracks?position=214446_at","UCSC")</f>
        <v>UCSC</v>
      </c>
      <c r="E6964" s="1" t="str">
        <f>HYPERLINK("http://www.ncbi.nlm.nih.gov/gene/?term=ELL2","NCBI")</f>
        <v>NCBI</v>
      </c>
      <c r="F6964">
        <v>8.8999999999999996E-2</v>
      </c>
      <c r="G6964">
        <v>0.22</v>
      </c>
      <c r="H6964" s="1" t="str">
        <f>HYPERLINK("http://www.weizmann.ac.il/complex/compphys/software/geview/data/figures/214446_at.png","Figure")</f>
        <v>Figure</v>
      </c>
      <c r="I6964">
        <v>0.93</v>
      </c>
      <c r="J6964">
        <v>0.76</v>
      </c>
      <c r="K6964">
        <v>0.81</v>
      </c>
      <c r="L6964">
        <v>8.3000000000000004E-2</v>
      </c>
      <c r="M6964">
        <v>0.871</v>
      </c>
      <c r="N6964">
        <v>0.35</v>
      </c>
    </row>
    <row r="6965" spans="1:14" x14ac:dyDescent="0.25">
      <c r="A6965" t="s">
        <v>12445</v>
      </c>
      <c r="B6965" t="s">
        <v>12446</v>
      </c>
      <c r="C6965" s="1" t="str">
        <f>HYPERLINK("http://www.genecards.org/cgi-bin/carddisp.pl?gene=STS","GeneCards")</f>
        <v>GeneCards</v>
      </c>
      <c r="D6965" s="1" t="str">
        <f>HYPERLINK("http://genome-euro.ucsc.edu/cgi-bin/hgTracks?position=203769_s_at","UCSC")</f>
        <v>UCSC</v>
      </c>
      <c r="E6965" s="1" t="str">
        <f>HYPERLINK("http://www.ncbi.nlm.nih.gov/gene/?term=STS","NCBI")</f>
        <v>NCBI</v>
      </c>
      <c r="F6965">
        <v>8.8999999999999996E-2</v>
      </c>
      <c r="G6965">
        <v>0.22</v>
      </c>
      <c r="H6965" s="1" t="str">
        <f>HYPERLINK("http://www.weizmann.ac.il/complex/compphys/software/geview/data/figures/203769_s_at.png","Figure")</f>
        <v>Figure</v>
      </c>
      <c r="I6965">
        <v>0.74299999999999999</v>
      </c>
      <c r="J6965">
        <v>0.18</v>
      </c>
      <c r="K6965">
        <v>1.05</v>
      </c>
      <c r="L6965">
        <v>0.94</v>
      </c>
      <c r="M6965">
        <v>1.41</v>
      </c>
      <c r="N6965">
        <v>8.5000000000000006E-2</v>
      </c>
    </row>
    <row r="6966" spans="1:14" x14ac:dyDescent="0.25">
      <c r="A6966" t="s">
        <v>12447</v>
      </c>
      <c r="B6966" t="s">
        <v>12448</v>
      </c>
      <c r="C6966" s="1" t="str">
        <f>HYPERLINK("http://www.genecards.org/cgi-bin/carddisp.pl?gene=ARHGAP17","GeneCards")</f>
        <v>GeneCards</v>
      </c>
      <c r="D6966" s="1" t="str">
        <f>HYPERLINK("http://genome-euro.ucsc.edu/cgi-bin/hgTracks?position=218076_s_at","UCSC")</f>
        <v>UCSC</v>
      </c>
      <c r="E6966" s="1" t="str">
        <f>HYPERLINK("http://www.ncbi.nlm.nih.gov/gene/?term=ARHGAP17","NCBI")</f>
        <v>NCBI</v>
      </c>
      <c r="F6966">
        <v>8.8999999999999996E-2</v>
      </c>
      <c r="G6966">
        <v>0.22</v>
      </c>
      <c r="H6966" s="1" t="str">
        <f>HYPERLINK("http://www.weizmann.ac.il/complex/compphys/software/geview/data/figures/218076_s_at.png","Figure")</f>
        <v>Figure</v>
      </c>
      <c r="I6966">
        <v>1.1299999999999999</v>
      </c>
      <c r="J6966">
        <v>0.46</v>
      </c>
      <c r="K6966">
        <v>0.90300000000000002</v>
      </c>
      <c r="L6966">
        <v>0.49</v>
      </c>
      <c r="M6966">
        <v>0.79900000000000004</v>
      </c>
      <c r="N6966">
        <v>7.5999999999999998E-2</v>
      </c>
    </row>
    <row r="6967" spans="1:14" x14ac:dyDescent="0.25">
      <c r="A6967" t="s">
        <v>12449</v>
      </c>
      <c r="B6967" t="s">
        <v>12450</v>
      </c>
      <c r="C6967" s="1" t="str">
        <f>HYPERLINK("http://www.genecards.org/cgi-bin/carddisp.pl?gene=PEX14","GeneCards")</f>
        <v>GeneCards</v>
      </c>
      <c r="D6967" s="1" t="str">
        <f>HYPERLINK("http://genome-euro.ucsc.edu/cgi-bin/hgTracks?position=203503_s_at","UCSC")</f>
        <v>UCSC</v>
      </c>
      <c r="E6967" s="1" t="str">
        <f>HYPERLINK("http://www.ncbi.nlm.nih.gov/gene/?term=PEX14","NCBI")</f>
        <v>NCBI</v>
      </c>
      <c r="F6967">
        <v>8.8999999999999996E-2</v>
      </c>
      <c r="G6967">
        <v>0.22</v>
      </c>
      <c r="H6967" s="1" t="str">
        <f>HYPERLINK("http://www.weizmann.ac.il/complex/compphys/software/geview/data/figures/203503_s_at.png","Figure")</f>
        <v>Figure</v>
      </c>
      <c r="I6967">
        <v>0.88700000000000001</v>
      </c>
      <c r="J6967">
        <v>0.16</v>
      </c>
      <c r="K6967">
        <v>1.01</v>
      </c>
      <c r="L6967">
        <v>0.97</v>
      </c>
      <c r="M6967">
        <v>1.1399999999999999</v>
      </c>
      <c r="N6967">
        <v>0.09</v>
      </c>
    </row>
    <row r="6968" spans="1:14" x14ac:dyDescent="0.25">
      <c r="A6968" t="s">
        <v>12451</v>
      </c>
      <c r="B6968" t="s">
        <v>12452</v>
      </c>
      <c r="C6968" s="1" t="str">
        <f>HYPERLINK("http://www.genecards.org/cgi-bin/carddisp.pl?gene=XPC","GeneCards")</f>
        <v>GeneCards</v>
      </c>
      <c r="D6968" s="1" t="str">
        <f>HYPERLINK("http://genome-euro.ucsc.edu/cgi-bin/hgTracks?position=209375_at","UCSC")</f>
        <v>UCSC</v>
      </c>
      <c r="E6968" s="1" t="str">
        <f>HYPERLINK("http://www.ncbi.nlm.nih.gov/gene/?term=XPC","NCBI")</f>
        <v>NCBI</v>
      </c>
      <c r="F6968">
        <v>8.8999999999999996E-2</v>
      </c>
      <c r="G6968">
        <v>0.22</v>
      </c>
      <c r="H6968" s="1" t="str">
        <f>HYPERLINK("http://www.weizmann.ac.il/complex/compphys/software/geview/data/figures/209375_at.png","Figure")</f>
        <v>Figure</v>
      </c>
      <c r="I6968">
        <v>0.95699999999999996</v>
      </c>
      <c r="J6968">
        <v>0.93</v>
      </c>
      <c r="K6968">
        <v>0.79400000000000004</v>
      </c>
      <c r="L6968">
        <v>0.1</v>
      </c>
      <c r="M6968">
        <v>0.83</v>
      </c>
      <c r="N6968">
        <v>0.24</v>
      </c>
    </row>
    <row r="6969" spans="1:14" x14ac:dyDescent="0.25">
      <c r="A6969" t="s">
        <v>12453</v>
      </c>
      <c r="B6969" t="s">
        <v>12454</v>
      </c>
      <c r="C6969" s="1" t="str">
        <f>HYPERLINK("http://www.genecards.org/cgi-bin/carddisp.pl?gene=REPS1","GeneCards")</f>
        <v>GeneCards</v>
      </c>
      <c r="D6969" s="1" t="str">
        <f>HYPERLINK("http://genome-euro.ucsc.edu/cgi-bin/hgTracks?position=215201_at","UCSC")</f>
        <v>UCSC</v>
      </c>
      <c r="E6969" s="1" t="str">
        <f>HYPERLINK("http://www.ncbi.nlm.nih.gov/gene/?term=REPS1","NCBI")</f>
        <v>NCBI</v>
      </c>
      <c r="F6969">
        <v>8.8999999999999996E-2</v>
      </c>
      <c r="G6969">
        <v>0.22</v>
      </c>
      <c r="H6969" s="1" t="str">
        <f>HYPERLINK("http://www.weizmann.ac.il/complex/compphys/software/geview/data/figures/215201_at.png","Figure")</f>
        <v>Figure</v>
      </c>
      <c r="I6969">
        <v>0.66400000000000003</v>
      </c>
      <c r="J6969">
        <v>0.26</v>
      </c>
      <c r="K6969">
        <v>0.60199999999999998</v>
      </c>
      <c r="L6969">
        <v>8.2000000000000003E-2</v>
      </c>
      <c r="M6969">
        <v>0.90600000000000003</v>
      </c>
      <c r="N6969">
        <v>0.9</v>
      </c>
    </row>
    <row r="6970" spans="1:14" x14ac:dyDescent="0.25">
      <c r="A6970" t="s">
        <v>12455</v>
      </c>
      <c r="B6970" t="s">
        <v>12456</v>
      </c>
      <c r="C6970" s="1" t="str">
        <f>HYPERLINK("http://www.genecards.org/cgi-bin/carddisp.pl?gene=ZMAT5","GeneCards")</f>
        <v>GeneCards</v>
      </c>
      <c r="D6970" s="1" t="str">
        <f>HYPERLINK("http://genome-euro.ucsc.edu/cgi-bin/hgTracks?position=218752_at","UCSC")</f>
        <v>UCSC</v>
      </c>
      <c r="E6970" s="1" t="str">
        <f>HYPERLINK("http://www.ncbi.nlm.nih.gov/gene/?term=ZMAT5","NCBI")</f>
        <v>NCBI</v>
      </c>
      <c r="F6970">
        <v>8.8999999999999996E-2</v>
      </c>
      <c r="G6970">
        <v>0.22</v>
      </c>
      <c r="H6970" s="1" t="str">
        <f>HYPERLINK("http://www.weizmann.ac.il/complex/compphys/software/geview/data/figures/218752_at.png","Figure")</f>
        <v>Figure</v>
      </c>
      <c r="I6970">
        <v>1.1200000000000001</v>
      </c>
      <c r="J6970">
        <v>0.2</v>
      </c>
      <c r="K6970">
        <v>1.1299999999999999</v>
      </c>
      <c r="L6970">
        <v>9.1999999999999998E-2</v>
      </c>
      <c r="M6970">
        <v>1.01</v>
      </c>
      <c r="N6970">
        <v>0.98</v>
      </c>
    </row>
    <row r="6971" spans="1:14" x14ac:dyDescent="0.25">
      <c r="A6971" t="s">
        <v>12457</v>
      </c>
      <c r="B6971" t="s">
        <v>12458</v>
      </c>
      <c r="C6971" s="1" t="str">
        <f>HYPERLINK("http://www.genecards.org/cgi-bin/carddisp.pl?gene=RIC8B","GeneCards")</f>
        <v>GeneCards</v>
      </c>
      <c r="D6971" s="1" t="str">
        <f>HYPERLINK("http://genome-euro.ucsc.edu/cgi-bin/hgTracks?position=219446_at","UCSC")</f>
        <v>UCSC</v>
      </c>
      <c r="E6971" s="1" t="str">
        <f>HYPERLINK("http://www.ncbi.nlm.nih.gov/gene/?term=RIC8B","NCBI")</f>
        <v>NCBI</v>
      </c>
      <c r="F6971">
        <v>8.8999999999999996E-2</v>
      </c>
      <c r="G6971">
        <v>0.22</v>
      </c>
      <c r="H6971" s="1" t="str">
        <f>HYPERLINK("http://www.weizmann.ac.il/complex/compphys/software/geview/data/figures/219446_at.png","Figure")</f>
        <v>Figure</v>
      </c>
      <c r="I6971">
        <v>1.27</v>
      </c>
      <c r="J6971">
        <v>0.46</v>
      </c>
      <c r="K6971">
        <v>1.52</v>
      </c>
      <c r="L6971">
        <v>7.3999999999999996E-2</v>
      </c>
      <c r="M6971">
        <v>1.19</v>
      </c>
      <c r="N6971">
        <v>0.62</v>
      </c>
    </row>
    <row r="6972" spans="1:14" x14ac:dyDescent="0.25">
      <c r="A6972" t="s">
        <v>12459</v>
      </c>
      <c r="B6972" t="s">
        <v>12460</v>
      </c>
      <c r="C6972" s="1" t="str">
        <f>HYPERLINK("http://www.genecards.org/cgi-bin/carddisp.pl?gene=LGALS13","GeneCards")</f>
        <v>GeneCards</v>
      </c>
      <c r="D6972" s="1" t="str">
        <f>HYPERLINK("http://genome-euro.ucsc.edu/cgi-bin/hgTracks?position=220440_at","UCSC")</f>
        <v>UCSC</v>
      </c>
      <c r="E6972" s="1" t="str">
        <f>HYPERLINK("http://www.ncbi.nlm.nih.gov/gene/?term=LGALS13","NCBI")</f>
        <v>NCBI</v>
      </c>
      <c r="F6972">
        <v>8.8999999999999996E-2</v>
      </c>
      <c r="G6972">
        <v>0.22</v>
      </c>
      <c r="H6972" s="1" t="str">
        <f>HYPERLINK("http://www.weizmann.ac.il/complex/compphys/software/geview/data/figures/220440_at.png","Figure")</f>
        <v>Figure</v>
      </c>
      <c r="I6972">
        <v>0.997</v>
      </c>
      <c r="J6972">
        <v>1</v>
      </c>
      <c r="K6972">
        <v>0.93500000000000005</v>
      </c>
      <c r="L6972">
        <v>0.12</v>
      </c>
      <c r="M6972">
        <v>0.93799999999999994</v>
      </c>
      <c r="N6972">
        <v>0.18</v>
      </c>
    </row>
    <row r="6973" spans="1:14" x14ac:dyDescent="0.25">
      <c r="A6973" t="s">
        <v>12461</v>
      </c>
      <c r="B6973" t="s">
        <v>12462</v>
      </c>
      <c r="C6973" s="1" t="str">
        <f>HYPERLINK("http://www.genecards.org/cgi-bin/carddisp.pl?gene=PSMB9","GeneCards")</f>
        <v>GeneCards</v>
      </c>
      <c r="D6973" s="1" t="str">
        <f>HYPERLINK("http://genome-euro.ucsc.edu/cgi-bin/hgTracks?position=204279_at","UCSC")</f>
        <v>UCSC</v>
      </c>
      <c r="E6973" s="1" t="str">
        <f>HYPERLINK("http://www.ncbi.nlm.nih.gov/gene/?term=PSMB9","NCBI")</f>
        <v>NCBI</v>
      </c>
      <c r="F6973">
        <v>8.8999999999999996E-2</v>
      </c>
      <c r="G6973">
        <v>0.22</v>
      </c>
      <c r="H6973" s="1" t="str">
        <f>HYPERLINK("http://www.weizmann.ac.il/complex/compphys/software/geview/data/figures/204279_at.png","Figure")</f>
        <v>Figure</v>
      </c>
      <c r="I6973">
        <v>1.21</v>
      </c>
      <c r="J6973">
        <v>0.83</v>
      </c>
      <c r="K6973">
        <v>1.94</v>
      </c>
      <c r="L6973">
        <v>8.7999999999999995E-2</v>
      </c>
      <c r="M6973">
        <v>1.6</v>
      </c>
      <c r="N6973">
        <v>0.31</v>
      </c>
    </row>
    <row r="6974" spans="1:14" x14ac:dyDescent="0.25">
      <c r="A6974" t="s">
        <v>12463</v>
      </c>
      <c r="B6974" t="s">
        <v>12464</v>
      </c>
      <c r="C6974" s="1" t="str">
        <f>HYPERLINK("http://www.genecards.org/cgi-bin/carddisp.pl?gene=ZNF688","GeneCards")</f>
        <v>GeneCards</v>
      </c>
      <c r="D6974" s="1" t="str">
        <f>HYPERLINK("http://genome-euro.ucsc.edu/cgi-bin/hgTracks?position=213529_at","UCSC")</f>
        <v>UCSC</v>
      </c>
      <c r="E6974" s="1" t="str">
        <f>HYPERLINK("http://www.ncbi.nlm.nih.gov/gene/?term=ZNF688","NCBI")</f>
        <v>NCBI</v>
      </c>
      <c r="F6974">
        <v>8.8999999999999996E-2</v>
      </c>
      <c r="G6974">
        <v>0.22</v>
      </c>
      <c r="H6974" s="1" t="str">
        <f>HYPERLINK("http://www.weizmann.ac.il/complex/compphys/software/geview/data/figures/213529_at.png","Figure")</f>
        <v>Figure</v>
      </c>
      <c r="I6974">
        <v>1.19</v>
      </c>
      <c r="J6974">
        <v>9.4E-2</v>
      </c>
      <c r="K6974">
        <v>1.1299999999999999</v>
      </c>
      <c r="L6974">
        <v>0.19</v>
      </c>
      <c r="M6974">
        <v>0.95</v>
      </c>
      <c r="N6974">
        <v>0.76</v>
      </c>
    </row>
    <row r="6975" spans="1:14" x14ac:dyDescent="0.25">
      <c r="A6975" t="s">
        <v>12465</v>
      </c>
      <c r="B6975" t="s">
        <v>3996</v>
      </c>
      <c r="C6975" s="1" t="str">
        <f>HYPERLINK("http://www.genecards.org/cgi-bin/carddisp.pl?gene=GPR172A","GeneCards")</f>
        <v>GeneCards</v>
      </c>
      <c r="D6975" s="1" t="str">
        <f>HYPERLINK("http://genome-euro.ucsc.edu/cgi-bin/hgTracks?position=222155_s_at","UCSC")</f>
        <v>UCSC</v>
      </c>
      <c r="E6975" s="1" t="str">
        <f>HYPERLINK("http://www.ncbi.nlm.nih.gov/gene/?term=GPR172A","NCBI")</f>
        <v>NCBI</v>
      </c>
      <c r="F6975">
        <v>8.8999999999999996E-2</v>
      </c>
      <c r="G6975">
        <v>0.22</v>
      </c>
      <c r="H6975" s="1" t="str">
        <f>HYPERLINK("http://www.weizmann.ac.il/complex/compphys/software/geview/data/figures/222155_s_at.png","Figure")</f>
        <v>Figure</v>
      </c>
      <c r="I6975">
        <v>0.97499999999999998</v>
      </c>
      <c r="J6975">
        <v>0.98</v>
      </c>
      <c r="K6975">
        <v>1.26</v>
      </c>
      <c r="L6975">
        <v>0.16</v>
      </c>
      <c r="M6975">
        <v>1.29</v>
      </c>
      <c r="N6975">
        <v>0.14000000000000001</v>
      </c>
    </row>
    <row r="6976" spans="1:14" x14ac:dyDescent="0.25">
      <c r="A6976" t="s">
        <v>12466</v>
      </c>
      <c r="B6976" t="s">
        <v>12467</v>
      </c>
      <c r="C6976" s="1" t="str">
        <f>HYPERLINK("http://www.genecards.org/cgi-bin/carddisp.pl?gene=SNW1","GeneCards")</f>
        <v>GeneCards</v>
      </c>
      <c r="D6976" s="1" t="str">
        <f>HYPERLINK("http://genome-euro.ucsc.edu/cgi-bin/hgTracks?position=215424_s_at","UCSC")</f>
        <v>UCSC</v>
      </c>
      <c r="E6976" s="1" t="str">
        <f>HYPERLINK("http://www.ncbi.nlm.nih.gov/gene/?term=SNW1","NCBI")</f>
        <v>NCBI</v>
      </c>
      <c r="F6976">
        <v>8.8999999999999996E-2</v>
      </c>
      <c r="G6976">
        <v>0.22</v>
      </c>
      <c r="H6976" s="1" t="str">
        <f>HYPERLINK("http://www.weizmann.ac.il/complex/compphys/software/geview/data/figures/215424_s_at.png","Figure")</f>
        <v>Figure</v>
      </c>
      <c r="I6976">
        <v>0.80600000000000005</v>
      </c>
      <c r="J6976">
        <v>0.45</v>
      </c>
      <c r="K6976">
        <v>0.69399999999999995</v>
      </c>
      <c r="L6976">
        <v>7.3999999999999996E-2</v>
      </c>
      <c r="M6976">
        <v>0.86199999999999999</v>
      </c>
      <c r="N6976">
        <v>0.64</v>
      </c>
    </row>
    <row r="6977" spans="1:14" x14ac:dyDescent="0.25">
      <c r="A6977" t="s">
        <v>12468</v>
      </c>
      <c r="B6977" t="s">
        <v>12469</v>
      </c>
      <c r="C6977" s="1" t="str">
        <f>HYPERLINK("http://www.genecards.org/cgi-bin/carddisp.pl?gene=SGK1","GeneCards")</f>
        <v>GeneCards</v>
      </c>
      <c r="D6977" s="1" t="str">
        <f>HYPERLINK("http://genome-euro.ucsc.edu/cgi-bin/hgTracks?position=201739_at","UCSC")</f>
        <v>UCSC</v>
      </c>
      <c r="E6977" s="1" t="str">
        <f>HYPERLINK("http://www.ncbi.nlm.nih.gov/gene/?term=SGK1","NCBI")</f>
        <v>NCBI</v>
      </c>
      <c r="F6977">
        <v>8.8999999999999996E-2</v>
      </c>
      <c r="G6977">
        <v>0.22</v>
      </c>
      <c r="H6977" s="1" t="str">
        <f>HYPERLINK("http://www.weizmann.ac.il/complex/compphys/software/geview/data/figures/201739_at.png","Figure")</f>
        <v>Figure</v>
      </c>
      <c r="I6977">
        <v>0.33900000000000002</v>
      </c>
      <c r="J6977">
        <v>8.5000000000000006E-2</v>
      </c>
      <c r="K6977">
        <v>0.76400000000000001</v>
      </c>
      <c r="L6977">
        <v>0.78</v>
      </c>
      <c r="M6977">
        <v>2.25</v>
      </c>
      <c r="N6977">
        <v>0.18</v>
      </c>
    </row>
    <row r="6978" spans="1:14" x14ac:dyDescent="0.25">
      <c r="A6978" t="s">
        <v>12470</v>
      </c>
      <c r="B6978" t="s">
        <v>12471</v>
      </c>
      <c r="C6978" s="1" t="str">
        <f>HYPERLINK("http://www.genecards.org/cgi-bin/carddisp.pl?gene=IFI30","GeneCards")</f>
        <v>GeneCards</v>
      </c>
      <c r="D6978" s="1" t="str">
        <f>HYPERLINK("http://genome-euro.ucsc.edu/cgi-bin/hgTracks?position=201422_at","UCSC")</f>
        <v>UCSC</v>
      </c>
      <c r="E6978" s="1" t="str">
        <f>HYPERLINK("http://www.ncbi.nlm.nih.gov/gene/?term=IFI30","NCBI")</f>
        <v>NCBI</v>
      </c>
      <c r="F6978">
        <v>8.8999999999999996E-2</v>
      </c>
      <c r="G6978">
        <v>0.22</v>
      </c>
      <c r="H6978" s="1" t="str">
        <f>HYPERLINK("http://www.weizmann.ac.il/complex/compphys/software/geview/data/figures/201422_at.png","Figure")</f>
        <v>Figure</v>
      </c>
      <c r="I6978">
        <v>0.71499999999999997</v>
      </c>
      <c r="J6978">
        <v>0.3</v>
      </c>
      <c r="K6978">
        <v>1.17</v>
      </c>
      <c r="L6978">
        <v>0.7</v>
      </c>
      <c r="M6978">
        <v>1.63</v>
      </c>
      <c r="N6978">
        <v>7.4999999999999997E-2</v>
      </c>
    </row>
    <row r="6979" spans="1:14" x14ac:dyDescent="0.25">
      <c r="A6979" t="s">
        <v>12472</v>
      </c>
      <c r="B6979" t="s">
        <v>6872</v>
      </c>
      <c r="C6979" s="1" t="str">
        <f>HYPERLINK("http://www.genecards.org/cgi-bin/carddisp.pl?gene=GFOD2","GeneCards")</f>
        <v>GeneCards</v>
      </c>
      <c r="D6979" s="1" t="str">
        <f>HYPERLINK("http://genome-euro.ucsc.edu/cgi-bin/hgTracks?position=221028_s_at","UCSC")</f>
        <v>UCSC</v>
      </c>
      <c r="E6979" s="1" t="str">
        <f>HYPERLINK("http://www.ncbi.nlm.nih.gov/gene/?term=GFOD2","NCBI")</f>
        <v>NCBI</v>
      </c>
      <c r="F6979">
        <v>8.8999999999999996E-2</v>
      </c>
      <c r="G6979">
        <v>0.22</v>
      </c>
      <c r="H6979" s="1" t="str">
        <f>HYPERLINK("http://www.weizmann.ac.il/complex/compphys/software/geview/data/figures/221028_s_at.png","Figure")</f>
        <v>Figure</v>
      </c>
      <c r="I6979">
        <v>1.17</v>
      </c>
      <c r="J6979">
        <v>8.5000000000000006E-2</v>
      </c>
      <c r="K6979">
        <v>1.1100000000000001</v>
      </c>
      <c r="L6979">
        <v>0.24</v>
      </c>
      <c r="M6979">
        <v>0.94399999999999995</v>
      </c>
      <c r="N6979">
        <v>0.65</v>
      </c>
    </row>
    <row r="6980" spans="1:14" x14ac:dyDescent="0.25">
      <c r="A6980" t="s">
        <v>12473</v>
      </c>
      <c r="B6980" t="s">
        <v>12474</v>
      </c>
      <c r="C6980" s="1" t="str">
        <f>HYPERLINK("http://www.genecards.org/cgi-bin/carddisp.pl?gene=RAX","GeneCards")</f>
        <v>GeneCards</v>
      </c>
      <c r="D6980" s="1" t="str">
        <f>HYPERLINK("http://genome-euro.ucsc.edu/cgi-bin/hgTracks?position=208242_at","UCSC")</f>
        <v>UCSC</v>
      </c>
      <c r="E6980" s="1" t="str">
        <f>HYPERLINK("http://www.ncbi.nlm.nih.gov/gene/?term=RAX","NCBI")</f>
        <v>NCBI</v>
      </c>
      <c r="F6980">
        <v>8.8999999999999996E-2</v>
      </c>
      <c r="G6980">
        <v>0.22</v>
      </c>
      <c r="H6980" s="1" t="str">
        <f>HYPERLINK("http://www.weizmann.ac.il/complex/compphys/software/geview/data/figures/208242_at.png","Figure")</f>
        <v>Figure</v>
      </c>
      <c r="I6980">
        <v>1.31</v>
      </c>
      <c r="J6980">
        <v>0.14000000000000001</v>
      </c>
      <c r="K6980">
        <v>1.27</v>
      </c>
      <c r="L6980">
        <v>0.12</v>
      </c>
      <c r="M6980">
        <v>0.97399999999999998</v>
      </c>
      <c r="N6980">
        <v>0.97</v>
      </c>
    </row>
    <row r="6981" spans="1:14" x14ac:dyDescent="0.25">
      <c r="A6981" t="s">
        <v>12475</v>
      </c>
      <c r="B6981" t="s">
        <v>12476</v>
      </c>
      <c r="C6981" s="1" t="str">
        <f>HYPERLINK("http://www.genecards.org/cgi-bin/carddisp.pl?gene=FABP3","GeneCards")</f>
        <v>GeneCards</v>
      </c>
      <c r="D6981" s="1" t="str">
        <f>HYPERLINK("http://genome-euro.ucsc.edu/cgi-bin/hgTracks?position=205738_s_at","UCSC")</f>
        <v>UCSC</v>
      </c>
      <c r="E6981" s="1" t="str">
        <f>HYPERLINK("http://www.ncbi.nlm.nih.gov/gene/?term=FABP3","NCBI")</f>
        <v>NCBI</v>
      </c>
      <c r="F6981">
        <v>0.09</v>
      </c>
      <c r="G6981">
        <v>0.22</v>
      </c>
      <c r="H6981" s="1" t="str">
        <f>HYPERLINK("http://www.weizmann.ac.il/complex/compphys/software/geview/data/figures/205738_s_at.png","Figure")</f>
        <v>Figure</v>
      </c>
      <c r="I6981">
        <v>1.26</v>
      </c>
      <c r="J6981">
        <v>7.4999999999999997E-2</v>
      </c>
      <c r="K6981">
        <v>1.1200000000000001</v>
      </c>
      <c r="L6981">
        <v>0.4</v>
      </c>
      <c r="M6981">
        <v>0.88900000000000001</v>
      </c>
      <c r="N6981">
        <v>0.4</v>
      </c>
    </row>
    <row r="6982" spans="1:14" x14ac:dyDescent="0.25">
      <c r="A6982" t="s">
        <v>12477</v>
      </c>
      <c r="B6982" t="s">
        <v>2244</v>
      </c>
      <c r="C6982" s="1" t="str">
        <f>HYPERLINK("http://www.genecards.org/cgi-bin/carddisp.pl?gene=COX5B","GeneCards")</f>
        <v>GeneCards</v>
      </c>
      <c r="D6982" s="1" t="str">
        <f>HYPERLINK("http://genome-euro.ucsc.edu/cgi-bin/hgTracks?position=213735_s_at","UCSC")</f>
        <v>UCSC</v>
      </c>
      <c r="E6982" s="1" t="str">
        <f>HYPERLINK("http://www.ncbi.nlm.nih.gov/gene/?term=COX5B","NCBI")</f>
        <v>NCBI</v>
      </c>
      <c r="F6982">
        <v>0.09</v>
      </c>
      <c r="G6982">
        <v>0.22</v>
      </c>
      <c r="H6982" s="1" t="str">
        <f>HYPERLINK("http://www.weizmann.ac.il/complex/compphys/software/geview/data/figures/213735_s_at.png","Figure")</f>
        <v>Figure</v>
      </c>
      <c r="I6982">
        <v>1.27</v>
      </c>
      <c r="J6982">
        <v>0.39</v>
      </c>
      <c r="K6982">
        <v>1.45</v>
      </c>
      <c r="L6982">
        <v>7.4999999999999997E-2</v>
      </c>
      <c r="M6982">
        <v>1.1399999999999999</v>
      </c>
      <c r="N6982">
        <v>0.71</v>
      </c>
    </row>
    <row r="6983" spans="1:14" x14ac:dyDescent="0.25">
      <c r="A6983" t="s">
        <v>12478</v>
      </c>
      <c r="B6983" t="s">
        <v>12479</v>
      </c>
      <c r="C6983" s="1" t="str">
        <f>HYPERLINK("http://www.genecards.org/cgi-bin/carddisp.pl?gene=MDM2","GeneCards")</f>
        <v>GeneCards</v>
      </c>
      <c r="D6983" s="1" t="str">
        <f>HYPERLINK("http://genome-euro.ucsc.edu/cgi-bin/hgTracks?position=217373_x_at","UCSC")</f>
        <v>UCSC</v>
      </c>
      <c r="E6983" s="1" t="str">
        <f>HYPERLINK("http://www.ncbi.nlm.nih.gov/gene/?term=MDM2","NCBI")</f>
        <v>NCBI</v>
      </c>
      <c r="F6983">
        <v>0.09</v>
      </c>
      <c r="G6983">
        <v>0.22</v>
      </c>
      <c r="H6983" s="1" t="str">
        <f>HYPERLINK("http://www.weizmann.ac.il/complex/compphys/software/geview/data/figures/217373_x_at.png","Figure")</f>
        <v>Figure</v>
      </c>
      <c r="I6983">
        <v>1.1200000000000001</v>
      </c>
      <c r="J6983">
        <v>0.77</v>
      </c>
      <c r="K6983">
        <v>0.79600000000000004</v>
      </c>
      <c r="L6983">
        <v>0.27</v>
      </c>
      <c r="M6983">
        <v>0.71199999999999997</v>
      </c>
      <c r="N6983">
        <v>9.5000000000000001E-2</v>
      </c>
    </row>
    <row r="6984" spans="1:14" x14ac:dyDescent="0.25">
      <c r="A6984" t="s">
        <v>12480</v>
      </c>
      <c r="B6984" t="s">
        <v>10637</v>
      </c>
      <c r="C6984" s="1" t="str">
        <f>HYPERLINK("http://www.genecards.org/cgi-bin/carddisp.pl?gene=LOC222070","GeneCards")</f>
        <v>GeneCards</v>
      </c>
      <c r="D6984" s="1" t="str">
        <f>HYPERLINK("http://genome-euro.ucsc.edu/cgi-bin/hgTracks?position=51774_s_at","UCSC")</f>
        <v>UCSC</v>
      </c>
      <c r="E6984" s="1" t="str">
        <f>HYPERLINK("http://www.ncbi.nlm.nih.gov/gene/?term=LOC222070","NCBI")</f>
        <v>NCBI</v>
      </c>
      <c r="F6984">
        <v>0.09</v>
      </c>
      <c r="G6984">
        <v>0.22</v>
      </c>
      <c r="H6984" s="1" t="str">
        <f>HYPERLINK("http://www.weizmann.ac.il/complex/compphys/software/geview/data/figures/51774_s_at.png","Figure")</f>
        <v>Figure</v>
      </c>
      <c r="I6984">
        <v>1.35</v>
      </c>
      <c r="J6984">
        <v>7.4999999999999997E-2</v>
      </c>
      <c r="K6984">
        <v>1.1299999999999999</v>
      </c>
      <c r="L6984">
        <v>0.53</v>
      </c>
      <c r="M6984">
        <v>0.83299999999999996</v>
      </c>
      <c r="N6984">
        <v>0.3</v>
      </c>
    </row>
    <row r="6985" spans="1:14" x14ac:dyDescent="0.25">
      <c r="A6985" t="s">
        <v>12481</v>
      </c>
      <c r="B6985" t="s">
        <v>7524</v>
      </c>
      <c r="C6985" s="1" t="str">
        <f>HYPERLINK("http://www.genecards.org/cgi-bin/carddisp.pl?gene=PRPF40A","GeneCards")</f>
        <v>GeneCards</v>
      </c>
      <c r="D6985" s="1" t="str">
        <f>HYPERLINK("http://genome-euro.ucsc.edu/cgi-bin/hgTracks?position=214941_s_at","UCSC")</f>
        <v>UCSC</v>
      </c>
      <c r="E6985" s="1" t="str">
        <f>HYPERLINK("http://www.ncbi.nlm.nih.gov/gene/?term=PRPF40A","NCBI")</f>
        <v>NCBI</v>
      </c>
      <c r="F6985">
        <v>0.09</v>
      </c>
      <c r="G6985">
        <v>0.22</v>
      </c>
      <c r="H6985" s="1" t="str">
        <f>HYPERLINK("http://www.weizmann.ac.il/complex/compphys/software/geview/data/figures/214941_s_at.png","Figure")</f>
        <v>Figure</v>
      </c>
      <c r="I6985">
        <v>1.43</v>
      </c>
      <c r="J6985">
        <v>7.4999999999999997E-2</v>
      </c>
      <c r="K6985">
        <v>1.19</v>
      </c>
      <c r="L6985">
        <v>0.42</v>
      </c>
      <c r="M6985">
        <v>0.82599999999999996</v>
      </c>
      <c r="N6985">
        <v>0.39</v>
      </c>
    </row>
    <row r="6986" spans="1:14" x14ac:dyDescent="0.25">
      <c r="A6986" t="s">
        <v>12482</v>
      </c>
      <c r="B6986" t="s">
        <v>12483</v>
      </c>
      <c r="C6986" s="1" t="str">
        <f>HYPERLINK("http://www.genecards.org/cgi-bin/carddisp.pl?gene=MICAL1","GeneCards")</f>
        <v>GeneCards</v>
      </c>
      <c r="D6986" s="1" t="str">
        <f>HYPERLINK("http://genome-euro.ucsc.edu/cgi-bin/hgTracks?position=218376_s_at","UCSC")</f>
        <v>UCSC</v>
      </c>
      <c r="E6986" s="1" t="str">
        <f>HYPERLINK("http://www.ncbi.nlm.nih.gov/gene/?term=MICAL1","NCBI")</f>
        <v>NCBI</v>
      </c>
      <c r="F6986">
        <v>0.09</v>
      </c>
      <c r="G6986">
        <v>0.22</v>
      </c>
      <c r="H6986" s="1" t="str">
        <f>HYPERLINK("http://www.weizmann.ac.il/complex/compphys/software/geview/data/figures/218376_s_at.png","Figure")</f>
        <v>Figure</v>
      </c>
      <c r="I6986">
        <v>0.61499999999999999</v>
      </c>
      <c r="J6986">
        <v>0.41</v>
      </c>
      <c r="K6986">
        <v>1.42</v>
      </c>
      <c r="L6986">
        <v>0.54</v>
      </c>
      <c r="M6986">
        <v>2.31</v>
      </c>
      <c r="N6986">
        <v>7.4999999999999997E-2</v>
      </c>
    </row>
    <row r="6987" spans="1:14" x14ac:dyDescent="0.25">
      <c r="A6987" t="s">
        <v>12484</v>
      </c>
      <c r="B6987" t="s">
        <v>12485</v>
      </c>
      <c r="C6987" s="1" t="str">
        <f>HYPERLINK("http://www.genecards.org/cgi-bin/carddisp.pl?gene=ZKSCAN4","GeneCards")</f>
        <v>GeneCards</v>
      </c>
      <c r="D6987" s="1" t="str">
        <f>HYPERLINK("http://genome-euro.ucsc.edu/cgi-bin/hgTracks?position=213625_at","UCSC")</f>
        <v>UCSC</v>
      </c>
      <c r="E6987" s="1" t="str">
        <f>HYPERLINK("http://www.ncbi.nlm.nih.gov/gene/?term=ZKSCAN4","NCBI")</f>
        <v>NCBI</v>
      </c>
      <c r="F6987">
        <v>0.09</v>
      </c>
      <c r="G6987">
        <v>0.22</v>
      </c>
      <c r="H6987" s="1" t="str">
        <f>HYPERLINK("http://www.weizmann.ac.il/complex/compphys/software/geview/data/figures/213625_at.png","Figure")</f>
        <v>Figure</v>
      </c>
      <c r="I6987">
        <v>0.96</v>
      </c>
      <c r="J6987">
        <v>0.79</v>
      </c>
      <c r="K6987">
        <v>0.88</v>
      </c>
      <c r="L6987">
        <v>8.5999999999999993E-2</v>
      </c>
      <c r="M6987">
        <v>0.91700000000000004</v>
      </c>
      <c r="N6987">
        <v>0.33</v>
      </c>
    </row>
    <row r="6988" spans="1:14" x14ac:dyDescent="0.25">
      <c r="A6988" t="s">
        <v>12486</v>
      </c>
      <c r="B6988" t="s">
        <v>12487</v>
      </c>
      <c r="C6988" s="1" t="str">
        <f>HYPERLINK("http://www.genecards.org/cgi-bin/carddisp.pl?gene=MYF6","GeneCards")</f>
        <v>GeneCards</v>
      </c>
      <c r="D6988" s="1" t="str">
        <f>HYPERLINK("http://genome-euro.ucsc.edu/cgi-bin/hgTracks?position=206372_at","UCSC")</f>
        <v>UCSC</v>
      </c>
      <c r="E6988" s="1" t="str">
        <f>HYPERLINK("http://www.ncbi.nlm.nih.gov/gene/?term=MYF6","NCBI")</f>
        <v>NCBI</v>
      </c>
      <c r="F6988">
        <v>0.09</v>
      </c>
      <c r="G6988">
        <v>0.22</v>
      </c>
      <c r="H6988" s="1" t="str">
        <f>HYPERLINK("http://www.weizmann.ac.il/complex/compphys/software/geview/data/figures/206372_at.png","Figure")</f>
        <v>Figure</v>
      </c>
      <c r="I6988">
        <v>1.01</v>
      </c>
      <c r="J6988">
        <v>0.17</v>
      </c>
      <c r="K6988">
        <v>1.01</v>
      </c>
      <c r="L6988">
        <v>0.1</v>
      </c>
      <c r="M6988">
        <v>1</v>
      </c>
      <c r="N6988">
        <v>1</v>
      </c>
    </row>
    <row r="6989" spans="1:14" x14ac:dyDescent="0.25">
      <c r="A6989" t="s">
        <v>12488</v>
      </c>
      <c r="B6989" t="s">
        <v>12489</v>
      </c>
      <c r="C6989" s="1" t="str">
        <f>HYPERLINK("http://www.genecards.org/cgi-bin/carddisp.pl?gene=ARFGAP2","GeneCards")</f>
        <v>GeneCards</v>
      </c>
      <c r="D6989" s="1" t="str">
        <f>HYPERLINK("http://genome-euro.ucsc.edu/cgi-bin/hgTracks?position=211975_at","UCSC")</f>
        <v>UCSC</v>
      </c>
      <c r="E6989" s="1" t="str">
        <f>HYPERLINK("http://www.ncbi.nlm.nih.gov/gene/?term=ARFGAP2","NCBI")</f>
        <v>NCBI</v>
      </c>
      <c r="F6989">
        <v>0.09</v>
      </c>
      <c r="G6989">
        <v>0.22</v>
      </c>
      <c r="H6989" s="1" t="str">
        <f>HYPERLINK("http://www.weizmann.ac.il/complex/compphys/software/geview/data/figures/211975_at.png","Figure")</f>
        <v>Figure</v>
      </c>
      <c r="I6989">
        <v>1.06</v>
      </c>
      <c r="J6989">
        <v>0.92</v>
      </c>
      <c r="K6989">
        <v>0.79200000000000004</v>
      </c>
      <c r="L6989">
        <v>0.19</v>
      </c>
      <c r="M6989">
        <v>0.747</v>
      </c>
      <c r="N6989">
        <v>0.12</v>
      </c>
    </row>
    <row r="6990" spans="1:14" x14ac:dyDescent="0.25">
      <c r="A6990" t="s">
        <v>12490</v>
      </c>
      <c r="B6990" t="s">
        <v>12491</v>
      </c>
      <c r="C6990" s="1" t="str">
        <f>HYPERLINK("http://www.genecards.org/cgi-bin/carddisp.pl?gene=DMBT1","GeneCards")</f>
        <v>GeneCards</v>
      </c>
      <c r="D6990" s="1" t="str">
        <f>HYPERLINK("http://genome-euro.ucsc.edu/cgi-bin/hgTracks?position=208250_s_at","UCSC")</f>
        <v>UCSC</v>
      </c>
      <c r="E6990" s="1" t="str">
        <f>HYPERLINK("http://www.ncbi.nlm.nih.gov/gene/?term=DMBT1","NCBI")</f>
        <v>NCBI</v>
      </c>
      <c r="F6990">
        <v>0.09</v>
      </c>
      <c r="G6990">
        <v>0.22</v>
      </c>
      <c r="H6990" s="1" t="str">
        <f>HYPERLINK("http://www.weizmann.ac.il/complex/compphys/software/geview/data/figures/208250_s_at.png","Figure")</f>
        <v>Figure</v>
      </c>
      <c r="I6990">
        <v>1.17</v>
      </c>
      <c r="J6990">
        <v>8.4000000000000005E-2</v>
      </c>
      <c r="K6990">
        <v>1.04</v>
      </c>
      <c r="L6990">
        <v>0.76</v>
      </c>
      <c r="M6990">
        <v>0.89100000000000001</v>
      </c>
      <c r="N6990">
        <v>0.19</v>
      </c>
    </row>
    <row r="6991" spans="1:14" x14ac:dyDescent="0.25">
      <c r="A6991" t="s">
        <v>12492</v>
      </c>
      <c r="B6991" t="s">
        <v>12493</v>
      </c>
      <c r="C6991" s="1" t="str">
        <f>HYPERLINK("http://www.genecards.org/cgi-bin/carddisp.pl?gene=ARIH1","GeneCards")</f>
        <v>GeneCards</v>
      </c>
      <c r="D6991" s="1" t="str">
        <f>HYPERLINK("http://genome-euro.ucsc.edu/cgi-bin/hgTracks?position=201881_s_at","UCSC")</f>
        <v>UCSC</v>
      </c>
      <c r="E6991" s="1" t="str">
        <f>HYPERLINK("http://www.ncbi.nlm.nih.gov/gene/?term=ARIH1","NCBI")</f>
        <v>NCBI</v>
      </c>
      <c r="F6991">
        <v>0.09</v>
      </c>
      <c r="G6991">
        <v>0.22</v>
      </c>
      <c r="H6991" s="1" t="str">
        <f>HYPERLINK("http://www.weizmann.ac.il/complex/compphys/software/geview/data/figures/201881_s_at.png","Figure")</f>
        <v>Figure</v>
      </c>
      <c r="I6991">
        <v>1.01</v>
      </c>
      <c r="J6991">
        <v>1</v>
      </c>
      <c r="K6991">
        <v>0.65200000000000002</v>
      </c>
      <c r="L6991">
        <v>0.14000000000000001</v>
      </c>
      <c r="M6991">
        <v>0.64300000000000002</v>
      </c>
      <c r="N6991">
        <v>0.16</v>
      </c>
    </row>
    <row r="6992" spans="1:14" x14ac:dyDescent="0.25">
      <c r="A6992" t="s">
        <v>12494</v>
      </c>
      <c r="B6992" t="s">
        <v>9884</v>
      </c>
      <c r="C6992" s="1" t="str">
        <f>HYPERLINK("http://www.genecards.org/cgi-bin/carddisp.pl?gene=PKP4","GeneCards")</f>
        <v>GeneCards</v>
      </c>
      <c r="D6992" s="1" t="str">
        <f>HYPERLINK("http://genome-euro.ucsc.edu/cgi-bin/hgTracks?position=201928_at","UCSC")</f>
        <v>UCSC</v>
      </c>
      <c r="E6992" s="1" t="str">
        <f>HYPERLINK("http://www.ncbi.nlm.nih.gov/gene/?term=PKP4","NCBI")</f>
        <v>NCBI</v>
      </c>
      <c r="F6992">
        <v>0.09</v>
      </c>
      <c r="G6992">
        <v>0.22</v>
      </c>
      <c r="H6992" s="1" t="str">
        <f>HYPERLINK("http://www.weizmann.ac.il/complex/compphys/software/geview/data/figures/201928_at.png","Figure")</f>
        <v>Figure</v>
      </c>
      <c r="I6992">
        <v>0.80900000000000005</v>
      </c>
      <c r="J6992">
        <v>0.12</v>
      </c>
      <c r="K6992">
        <v>0.98499999999999999</v>
      </c>
      <c r="L6992">
        <v>0.98</v>
      </c>
      <c r="M6992">
        <v>1.22</v>
      </c>
      <c r="N6992">
        <v>0.12</v>
      </c>
    </row>
    <row r="6993" spans="1:14" x14ac:dyDescent="0.25">
      <c r="A6993" t="s">
        <v>12495</v>
      </c>
      <c r="B6993" t="s">
        <v>12496</v>
      </c>
      <c r="C6993" s="1" t="str">
        <f>HYPERLINK("http://www.genecards.org/cgi-bin/carddisp.pl?gene=TYMP","GeneCards")</f>
        <v>GeneCards</v>
      </c>
      <c r="D6993" s="1" t="str">
        <f>HYPERLINK("http://genome-euro.ucsc.edu/cgi-bin/hgTracks?position=204858_s_at","UCSC")</f>
        <v>UCSC</v>
      </c>
      <c r="E6993" s="1" t="str">
        <f>HYPERLINK("http://www.ncbi.nlm.nih.gov/gene/?term=TYMP","NCBI")</f>
        <v>NCBI</v>
      </c>
      <c r="F6993">
        <v>0.09</v>
      </c>
      <c r="G6993">
        <v>0.22</v>
      </c>
      <c r="H6993" s="1" t="str">
        <f>HYPERLINK("http://www.weizmann.ac.il/complex/compphys/software/geview/data/figures/204858_s_at.png","Figure")</f>
        <v>Figure</v>
      </c>
      <c r="I6993">
        <v>1.21</v>
      </c>
      <c r="J6993">
        <v>0.14000000000000001</v>
      </c>
      <c r="K6993">
        <v>1.19</v>
      </c>
      <c r="L6993">
        <v>0.12</v>
      </c>
      <c r="M6993">
        <v>0.98199999999999998</v>
      </c>
      <c r="N6993">
        <v>0.98</v>
      </c>
    </row>
    <row r="6994" spans="1:14" x14ac:dyDescent="0.25">
      <c r="A6994" t="s">
        <v>12497</v>
      </c>
      <c r="B6994" t="s">
        <v>12498</v>
      </c>
      <c r="C6994" s="1" t="str">
        <f>HYPERLINK("http://www.genecards.org/cgi-bin/carddisp.pl?gene=ZNF611","GeneCards")</f>
        <v>GeneCards</v>
      </c>
      <c r="D6994" s="1" t="str">
        <f>HYPERLINK("http://genome-euro.ucsc.edu/cgi-bin/hgTracks?position=208137_x_at","UCSC")</f>
        <v>UCSC</v>
      </c>
      <c r="E6994" s="1" t="str">
        <f>HYPERLINK("http://www.ncbi.nlm.nih.gov/gene/?term=ZNF611","NCBI")</f>
        <v>NCBI</v>
      </c>
      <c r="F6994">
        <v>0.09</v>
      </c>
      <c r="G6994">
        <v>0.22</v>
      </c>
      <c r="H6994" s="1" t="str">
        <f>HYPERLINK("http://www.weizmann.ac.il/complex/compphys/software/geview/data/figures/208137_x_at.png","Figure")</f>
        <v>Figure</v>
      </c>
      <c r="I6994">
        <v>1.26</v>
      </c>
      <c r="J6994">
        <v>0.49</v>
      </c>
      <c r="K6994">
        <v>0.81200000000000006</v>
      </c>
      <c r="L6994">
        <v>0.46</v>
      </c>
      <c r="M6994">
        <v>0.64600000000000002</v>
      </c>
      <c r="N6994">
        <v>7.6999999999999999E-2</v>
      </c>
    </row>
    <row r="6995" spans="1:14" x14ac:dyDescent="0.25">
      <c r="A6995" t="s">
        <v>12499</v>
      </c>
      <c r="B6995" t="s">
        <v>12500</v>
      </c>
      <c r="C6995" s="1" t="str">
        <f>HYPERLINK("http://www.genecards.org/cgi-bin/carddisp.pl?gene=PTN","GeneCards")</f>
        <v>GeneCards</v>
      </c>
      <c r="D6995" s="1" t="str">
        <f>HYPERLINK("http://genome-euro.ucsc.edu/cgi-bin/hgTracks?position=208408_at","UCSC")</f>
        <v>UCSC</v>
      </c>
      <c r="E6995" s="1" t="str">
        <f>HYPERLINK("http://www.ncbi.nlm.nih.gov/gene/?term=PTN","NCBI")</f>
        <v>NCBI</v>
      </c>
      <c r="F6995">
        <v>0.09</v>
      </c>
      <c r="G6995">
        <v>0.22</v>
      </c>
      <c r="H6995" s="1" t="str">
        <f>HYPERLINK("http://www.weizmann.ac.il/complex/compphys/software/geview/data/figures/208408_at.png","Figure")</f>
        <v>Figure</v>
      </c>
      <c r="I6995">
        <v>1.2</v>
      </c>
      <c r="J6995">
        <v>0.11</v>
      </c>
      <c r="K6995">
        <v>1.02</v>
      </c>
      <c r="L6995">
        <v>0.95</v>
      </c>
      <c r="M6995">
        <v>0.85199999999999998</v>
      </c>
      <c r="N6995">
        <v>0.13</v>
      </c>
    </row>
    <row r="6996" spans="1:14" x14ac:dyDescent="0.25">
      <c r="A6996" t="s">
        <v>12501</v>
      </c>
      <c r="B6996" t="s">
        <v>9005</v>
      </c>
      <c r="C6996" s="1" t="str">
        <f>HYPERLINK("http://www.genecards.org/cgi-bin/carddisp.pl?gene=TRIM44","GeneCards")</f>
        <v>GeneCards</v>
      </c>
      <c r="D6996" s="1" t="str">
        <f>HYPERLINK("http://genome-euro.ucsc.edu/cgi-bin/hgTracks?position=217760_at","UCSC")</f>
        <v>UCSC</v>
      </c>
      <c r="E6996" s="1" t="str">
        <f>HYPERLINK("http://www.ncbi.nlm.nih.gov/gene/?term=TRIM44","NCBI")</f>
        <v>NCBI</v>
      </c>
      <c r="F6996">
        <v>0.09</v>
      </c>
      <c r="G6996">
        <v>0.22</v>
      </c>
      <c r="H6996" s="1" t="str">
        <f>HYPERLINK("http://www.weizmann.ac.il/complex/compphys/software/geview/data/figures/217760_at.png","Figure")</f>
        <v>Figure</v>
      </c>
      <c r="I6996">
        <v>1.38</v>
      </c>
      <c r="J6996">
        <v>0.16</v>
      </c>
      <c r="K6996">
        <v>1.38</v>
      </c>
      <c r="L6996">
        <v>0.11</v>
      </c>
      <c r="M6996">
        <v>0.997</v>
      </c>
      <c r="N6996">
        <v>1</v>
      </c>
    </row>
    <row r="6997" spans="1:14" x14ac:dyDescent="0.25">
      <c r="A6997" t="s">
        <v>12502</v>
      </c>
      <c r="B6997" t="s">
        <v>12503</v>
      </c>
      <c r="C6997" s="1" t="str">
        <f>HYPERLINK("http://www.genecards.org/cgi-bin/carddisp.pl?gene=HEY1","GeneCards")</f>
        <v>GeneCards</v>
      </c>
      <c r="D6997" s="1" t="str">
        <f>HYPERLINK("http://genome-euro.ucsc.edu/cgi-bin/hgTracks?position=218839_at","UCSC")</f>
        <v>UCSC</v>
      </c>
      <c r="E6997" s="1" t="str">
        <f>HYPERLINK("http://www.ncbi.nlm.nih.gov/gene/?term=HEY1","NCBI")</f>
        <v>NCBI</v>
      </c>
      <c r="F6997">
        <v>0.09</v>
      </c>
      <c r="G6997">
        <v>0.22</v>
      </c>
      <c r="H6997" s="1" t="str">
        <f>HYPERLINK("http://www.weizmann.ac.il/complex/compphys/software/geview/data/figures/218839_at.png","Figure")</f>
        <v>Figure</v>
      </c>
      <c r="I6997">
        <v>1.03</v>
      </c>
      <c r="J6997">
        <v>0.87</v>
      </c>
      <c r="K6997">
        <v>0.91600000000000004</v>
      </c>
      <c r="L6997">
        <v>0.22</v>
      </c>
      <c r="M6997">
        <v>0.89</v>
      </c>
      <c r="N6997">
        <v>0.11</v>
      </c>
    </row>
    <row r="6998" spans="1:14" x14ac:dyDescent="0.25">
      <c r="A6998" t="s">
        <v>12504</v>
      </c>
      <c r="B6998" t="s">
        <v>4769</v>
      </c>
      <c r="C6998" s="1" t="str">
        <f>HYPERLINK("http://www.genecards.org/cgi-bin/carddisp.pl?gene=ATP6V1C1","GeneCards")</f>
        <v>GeneCards</v>
      </c>
      <c r="D6998" s="1" t="str">
        <f>HYPERLINK("http://genome-euro.ucsc.edu/cgi-bin/hgTracks?position=202874_s_at","UCSC")</f>
        <v>UCSC</v>
      </c>
      <c r="E6998" s="1" t="str">
        <f>HYPERLINK("http://www.ncbi.nlm.nih.gov/gene/?term=ATP6V1C1","NCBI")</f>
        <v>NCBI</v>
      </c>
      <c r="F6998">
        <v>0.09</v>
      </c>
      <c r="G6998">
        <v>0.22</v>
      </c>
      <c r="H6998" s="1" t="str">
        <f>HYPERLINK("http://www.weizmann.ac.il/complex/compphys/software/geview/data/figures/202874_s_at.png","Figure")</f>
        <v>Figure</v>
      </c>
      <c r="I6998">
        <v>0.85699999999999998</v>
      </c>
      <c r="J6998">
        <v>0.24</v>
      </c>
      <c r="K6998">
        <v>1.05</v>
      </c>
      <c r="L6998">
        <v>0.83</v>
      </c>
      <c r="M6998">
        <v>1.22</v>
      </c>
      <c r="N6998">
        <v>7.9000000000000001E-2</v>
      </c>
    </row>
    <row r="6999" spans="1:14" x14ac:dyDescent="0.25">
      <c r="A6999" t="s">
        <v>12505</v>
      </c>
      <c r="B6999" t="s">
        <v>12506</v>
      </c>
      <c r="C6999" s="1" t="str">
        <f>HYPERLINK("http://www.genecards.org/cgi-bin/carddisp.pl?gene=AUTS2","GeneCards")</f>
        <v>GeneCards</v>
      </c>
      <c r="D6999" s="1" t="str">
        <f>HYPERLINK("http://genome-euro.ucsc.edu/cgi-bin/hgTracks?position=212599_at","UCSC")</f>
        <v>UCSC</v>
      </c>
      <c r="E6999" s="1" t="str">
        <f>HYPERLINK("http://www.ncbi.nlm.nih.gov/gene/?term=AUTS2","NCBI")</f>
        <v>NCBI</v>
      </c>
      <c r="F6999">
        <v>0.09</v>
      </c>
      <c r="G6999">
        <v>0.22</v>
      </c>
      <c r="H6999" s="1" t="str">
        <f>HYPERLINK("http://www.weizmann.ac.il/complex/compphys/software/geview/data/figures/212599_at.png","Figure")</f>
        <v>Figure</v>
      </c>
      <c r="I6999">
        <v>1.86</v>
      </c>
      <c r="J6999">
        <v>8.5999999999999993E-2</v>
      </c>
      <c r="K6999">
        <v>1.49</v>
      </c>
      <c r="L6999">
        <v>0.24</v>
      </c>
      <c r="M6999">
        <v>0.79900000000000004</v>
      </c>
      <c r="N6999">
        <v>0.65</v>
      </c>
    </row>
    <row r="7000" spans="1:14" x14ac:dyDescent="0.25">
      <c r="A7000" t="s">
        <v>12507</v>
      </c>
      <c r="B7000" t="s">
        <v>12508</v>
      </c>
      <c r="C7000" s="1" t="str">
        <f>HYPERLINK("http://www.genecards.org/cgi-bin/carddisp.pl?gene=TPMT","GeneCards")</f>
        <v>GeneCards</v>
      </c>
      <c r="D7000" s="1" t="str">
        <f>HYPERLINK("http://genome-euro.ucsc.edu/cgi-bin/hgTracks?position=203671_at","UCSC")</f>
        <v>UCSC</v>
      </c>
      <c r="E7000" s="1" t="str">
        <f>HYPERLINK("http://www.ncbi.nlm.nih.gov/gene/?term=TPMT","NCBI")</f>
        <v>NCBI</v>
      </c>
      <c r="F7000">
        <v>0.09</v>
      </c>
      <c r="G7000">
        <v>0.22</v>
      </c>
      <c r="H7000" s="1" t="str">
        <f>HYPERLINK("http://www.weizmann.ac.il/complex/compphys/software/geview/data/figures/203671_at.png","Figure")</f>
        <v>Figure</v>
      </c>
      <c r="I7000">
        <v>1.25</v>
      </c>
      <c r="J7000">
        <v>7.5999999999999998E-2</v>
      </c>
      <c r="K7000">
        <v>1.1200000000000001</v>
      </c>
      <c r="L7000">
        <v>0.36</v>
      </c>
      <c r="M7000">
        <v>0.89600000000000002</v>
      </c>
      <c r="N7000">
        <v>0.44</v>
      </c>
    </row>
    <row r="7001" spans="1:14" x14ac:dyDescent="0.25">
      <c r="A7001" t="s">
        <v>12509</v>
      </c>
      <c r="B7001" t="s">
        <v>12510</v>
      </c>
      <c r="C7001" s="1" t="str">
        <f>HYPERLINK("http://www.genecards.org/cgi-bin/carddisp.pl?gene=NR3C1","GeneCards")</f>
        <v>GeneCards</v>
      </c>
      <c r="D7001" s="1" t="str">
        <f>HYPERLINK("http://genome-euro.ucsc.edu/cgi-bin/hgTracks?position=216321_s_at","UCSC")</f>
        <v>UCSC</v>
      </c>
      <c r="E7001" s="1" t="str">
        <f>HYPERLINK("http://www.ncbi.nlm.nih.gov/gene/?term=NR3C1","NCBI")</f>
        <v>NCBI</v>
      </c>
      <c r="F7001">
        <v>0.09</v>
      </c>
      <c r="G7001">
        <v>0.22</v>
      </c>
      <c r="H7001" s="1" t="str">
        <f>HYPERLINK("http://www.weizmann.ac.il/complex/compphys/software/geview/data/figures/216321_s_at.png","Figure")</f>
        <v>Figure</v>
      </c>
      <c r="I7001">
        <v>0.746</v>
      </c>
      <c r="J7001">
        <v>0.15</v>
      </c>
      <c r="K7001">
        <v>0.75700000000000001</v>
      </c>
      <c r="L7001">
        <v>0.11</v>
      </c>
      <c r="M7001">
        <v>1.02</v>
      </c>
      <c r="N7001">
        <v>0.99</v>
      </c>
    </row>
    <row r="7002" spans="1:14" x14ac:dyDescent="0.25">
      <c r="A7002" t="s">
        <v>12511</v>
      </c>
      <c r="B7002" t="s">
        <v>12512</v>
      </c>
      <c r="C7002" s="1" t="str">
        <f>HYPERLINK("http://www.genecards.org/cgi-bin/carddisp.pl?gene=DAG1","GeneCards")</f>
        <v>GeneCards</v>
      </c>
      <c r="D7002" s="1" t="str">
        <f>HYPERLINK("http://genome-euro.ucsc.edu/cgi-bin/hgTracks?position=212128_s_at","UCSC")</f>
        <v>UCSC</v>
      </c>
      <c r="E7002" s="1" t="str">
        <f>HYPERLINK("http://www.ncbi.nlm.nih.gov/gene/?term=DAG1","NCBI")</f>
        <v>NCBI</v>
      </c>
      <c r="F7002">
        <v>0.09</v>
      </c>
      <c r="G7002">
        <v>0.22</v>
      </c>
      <c r="H7002" s="1" t="str">
        <f>HYPERLINK("http://www.weizmann.ac.il/complex/compphys/software/geview/data/figures/212128_s_at.png","Figure")</f>
        <v>Figure</v>
      </c>
      <c r="I7002">
        <v>1.21</v>
      </c>
      <c r="J7002">
        <v>8.5999999999999993E-2</v>
      </c>
      <c r="K7002">
        <v>1.05</v>
      </c>
      <c r="L7002">
        <v>0.79</v>
      </c>
      <c r="M7002">
        <v>0.86599999999999999</v>
      </c>
      <c r="N7002">
        <v>0.18</v>
      </c>
    </row>
    <row r="7003" spans="1:14" x14ac:dyDescent="0.25">
      <c r="A7003" t="s">
        <v>12513</v>
      </c>
      <c r="B7003" t="s">
        <v>12514</v>
      </c>
      <c r="C7003" s="1" t="str">
        <f>HYPERLINK("http://www.genecards.org/cgi-bin/carddisp.pl?gene=ALDH1L1","GeneCards")</f>
        <v>GeneCards</v>
      </c>
      <c r="D7003" s="1" t="str">
        <f>HYPERLINK("http://genome-euro.ucsc.edu/cgi-bin/hgTracks?position=205208_at","UCSC")</f>
        <v>UCSC</v>
      </c>
      <c r="E7003" s="1" t="str">
        <f>HYPERLINK("http://www.ncbi.nlm.nih.gov/gene/?term=ALDH1L1","NCBI")</f>
        <v>NCBI</v>
      </c>
      <c r="F7003">
        <v>0.09</v>
      </c>
      <c r="G7003">
        <v>0.22</v>
      </c>
      <c r="H7003" s="1" t="str">
        <f>HYPERLINK("http://www.weizmann.ac.il/complex/compphys/software/geview/data/figures/205208_at.png","Figure")</f>
        <v>Figure</v>
      </c>
      <c r="I7003">
        <v>1.2</v>
      </c>
      <c r="J7003">
        <v>8.1000000000000003E-2</v>
      </c>
      <c r="K7003">
        <v>1.06</v>
      </c>
      <c r="L7003">
        <v>0.7</v>
      </c>
      <c r="M7003">
        <v>0.88100000000000001</v>
      </c>
      <c r="N7003">
        <v>0.22</v>
      </c>
    </row>
    <row r="7004" spans="1:14" x14ac:dyDescent="0.25">
      <c r="A7004" t="s">
        <v>12515</v>
      </c>
      <c r="B7004" t="s">
        <v>12516</v>
      </c>
      <c r="C7004" s="1" t="str">
        <f>HYPERLINK("http://www.genecards.org/cgi-bin/carddisp.pl?gene=TBC1D16","GeneCards")</f>
        <v>GeneCards</v>
      </c>
      <c r="D7004" s="1" t="str">
        <f>HYPERLINK("http://genome-euro.ucsc.edu/cgi-bin/hgTracks?position=222116_s_at","UCSC")</f>
        <v>UCSC</v>
      </c>
      <c r="E7004" s="1" t="str">
        <f>HYPERLINK("http://www.ncbi.nlm.nih.gov/gene/?term=TBC1D16","NCBI")</f>
        <v>NCBI</v>
      </c>
      <c r="F7004">
        <v>0.09</v>
      </c>
      <c r="G7004">
        <v>0.22</v>
      </c>
      <c r="H7004" s="1" t="str">
        <f>HYPERLINK("http://www.weizmann.ac.il/complex/compphys/software/geview/data/figures/222116_s_at.png","Figure")</f>
        <v>Figure</v>
      </c>
      <c r="I7004">
        <v>0.58299999999999996</v>
      </c>
      <c r="J7004">
        <v>8.8999999999999996E-2</v>
      </c>
      <c r="K7004">
        <v>0.69899999999999995</v>
      </c>
      <c r="L7004">
        <v>0.22</v>
      </c>
      <c r="M7004">
        <v>1.2</v>
      </c>
      <c r="N7004">
        <v>0.69</v>
      </c>
    </row>
    <row r="7005" spans="1:14" x14ac:dyDescent="0.25">
      <c r="A7005" t="s">
        <v>12517</v>
      </c>
      <c r="B7005" t="s">
        <v>12518</v>
      </c>
      <c r="C7005" s="1" t="str">
        <f>HYPERLINK("http://www.genecards.org/cgi-bin/carddisp.pl?gene=TGFB1","GeneCards")</f>
        <v>GeneCards</v>
      </c>
      <c r="D7005" s="1" t="str">
        <f>HYPERLINK("http://genome-euro.ucsc.edu/cgi-bin/hgTracks?position=203084_at","UCSC")</f>
        <v>UCSC</v>
      </c>
      <c r="E7005" s="1" t="str">
        <f>HYPERLINK("http://www.ncbi.nlm.nih.gov/gene/?term=TGFB1","NCBI")</f>
        <v>NCBI</v>
      </c>
      <c r="F7005">
        <v>0.09</v>
      </c>
      <c r="G7005">
        <v>0.22</v>
      </c>
      <c r="H7005" s="1" t="str">
        <f>HYPERLINK("http://www.weizmann.ac.il/complex/compphys/software/geview/data/figures/203084_at.png","Figure")</f>
        <v>Figure</v>
      </c>
      <c r="I7005">
        <v>1.27</v>
      </c>
      <c r="J7005">
        <v>0.1</v>
      </c>
      <c r="K7005">
        <v>1.19</v>
      </c>
      <c r="L7005">
        <v>0.18</v>
      </c>
      <c r="M7005">
        <v>0.93799999999999994</v>
      </c>
      <c r="N7005">
        <v>0.8</v>
      </c>
    </row>
    <row r="7006" spans="1:14" x14ac:dyDescent="0.25">
      <c r="A7006" t="s">
        <v>12519</v>
      </c>
      <c r="B7006" t="s">
        <v>12520</v>
      </c>
      <c r="C7006" s="1" t="str">
        <f>HYPERLINK("http://www.genecards.org/cgi-bin/carddisp.pl?gene=CGGBP1","GeneCards")</f>
        <v>GeneCards</v>
      </c>
      <c r="D7006" s="1" t="str">
        <f>HYPERLINK("http://genome-euro.ucsc.edu/cgi-bin/hgTracks?position=206861_s_at","UCSC")</f>
        <v>UCSC</v>
      </c>
      <c r="E7006" s="1" t="str">
        <f>HYPERLINK("http://www.ncbi.nlm.nih.gov/gene/?term=CGGBP1","NCBI")</f>
        <v>NCBI</v>
      </c>
      <c r="F7006">
        <v>0.09</v>
      </c>
      <c r="G7006">
        <v>0.22</v>
      </c>
      <c r="H7006" s="1" t="str">
        <f>HYPERLINK("http://www.weizmann.ac.il/complex/compphys/software/geview/data/figures/206861_s_at.png","Figure")</f>
        <v>Figure</v>
      </c>
      <c r="I7006">
        <v>1.29</v>
      </c>
      <c r="J7006">
        <v>0.18</v>
      </c>
      <c r="K7006">
        <v>0.96299999999999997</v>
      </c>
      <c r="L7006">
        <v>0.94</v>
      </c>
      <c r="M7006">
        <v>0.747</v>
      </c>
      <c r="N7006">
        <v>8.6999999999999994E-2</v>
      </c>
    </row>
    <row r="7007" spans="1:14" x14ac:dyDescent="0.25">
      <c r="A7007" t="s">
        <v>12521</v>
      </c>
      <c r="B7007" t="s">
        <v>2085</v>
      </c>
      <c r="C7007" s="1" t="str">
        <f>HYPERLINK("http://www.genecards.org/cgi-bin/carddisp.pl?gene=ZNF3","GeneCards")</f>
        <v>GeneCards</v>
      </c>
      <c r="D7007" s="1" t="str">
        <f>HYPERLINK("http://genome-euro.ucsc.edu/cgi-bin/hgTracks?position=219605_at","UCSC")</f>
        <v>UCSC</v>
      </c>
      <c r="E7007" s="1" t="str">
        <f>HYPERLINK("http://www.ncbi.nlm.nih.gov/gene/?term=ZNF3","NCBI")</f>
        <v>NCBI</v>
      </c>
      <c r="F7007">
        <v>0.09</v>
      </c>
      <c r="G7007">
        <v>0.22</v>
      </c>
      <c r="H7007" s="1" t="str">
        <f>HYPERLINK("http://www.weizmann.ac.il/complex/compphys/software/geview/data/figures/219605_at.png","Figure")</f>
        <v>Figure</v>
      </c>
      <c r="I7007">
        <v>1.18</v>
      </c>
      <c r="J7007">
        <v>9.8000000000000004E-2</v>
      </c>
      <c r="K7007">
        <v>1.03</v>
      </c>
      <c r="L7007">
        <v>0.91</v>
      </c>
      <c r="M7007">
        <v>0.872</v>
      </c>
      <c r="N7007">
        <v>0.15</v>
      </c>
    </row>
    <row r="7008" spans="1:14" x14ac:dyDescent="0.25">
      <c r="A7008" t="s">
        <v>12522</v>
      </c>
      <c r="B7008" t="s">
        <v>12523</v>
      </c>
      <c r="C7008" s="1" t="str">
        <f>HYPERLINK("http://www.genecards.org/cgi-bin/carddisp.pl?gene=CNIH4","GeneCards")</f>
        <v>GeneCards</v>
      </c>
      <c r="D7008" s="1" t="str">
        <f>HYPERLINK("http://genome-euro.ucsc.edu/cgi-bin/hgTracks?position=218728_s_at","UCSC")</f>
        <v>UCSC</v>
      </c>
      <c r="E7008" s="1" t="str">
        <f>HYPERLINK("http://www.ncbi.nlm.nih.gov/gene/?term=CNIH4","NCBI")</f>
        <v>NCBI</v>
      </c>
      <c r="F7008">
        <v>0.09</v>
      </c>
      <c r="G7008">
        <v>0.22</v>
      </c>
      <c r="H7008" s="1" t="str">
        <f>HYPERLINK("http://www.weizmann.ac.il/complex/compphys/software/geview/data/figures/218728_s_at.png","Figure")</f>
        <v>Figure</v>
      </c>
      <c r="I7008">
        <v>0.67900000000000005</v>
      </c>
      <c r="J7008">
        <v>0.45</v>
      </c>
      <c r="K7008">
        <v>0.52</v>
      </c>
      <c r="L7008">
        <v>7.4999999999999997E-2</v>
      </c>
      <c r="M7008">
        <v>0.76500000000000001</v>
      </c>
      <c r="N7008">
        <v>0.64</v>
      </c>
    </row>
    <row r="7009" spans="1:14" x14ac:dyDescent="0.25">
      <c r="A7009" t="s">
        <v>12524</v>
      </c>
      <c r="B7009" t="s">
        <v>12525</v>
      </c>
      <c r="C7009" s="1" t="str">
        <f>HYPERLINK("http://www.genecards.org/cgi-bin/carddisp.pl?gene=GRB10","GeneCards")</f>
        <v>GeneCards</v>
      </c>
      <c r="D7009" s="1" t="str">
        <f>HYPERLINK("http://genome-euro.ucsc.edu/cgi-bin/hgTracks?position=209409_at","UCSC")</f>
        <v>UCSC</v>
      </c>
      <c r="E7009" s="1" t="str">
        <f>HYPERLINK("http://www.ncbi.nlm.nih.gov/gene/?term=GRB10","NCBI")</f>
        <v>NCBI</v>
      </c>
      <c r="F7009">
        <v>0.09</v>
      </c>
      <c r="G7009">
        <v>0.22</v>
      </c>
      <c r="H7009" s="1" t="str">
        <f>HYPERLINK("http://www.weizmann.ac.il/complex/compphys/software/geview/data/figures/209409_at.png","Figure")</f>
        <v>Figure</v>
      </c>
      <c r="I7009">
        <v>0.68700000000000006</v>
      </c>
      <c r="J7009">
        <v>0.61</v>
      </c>
      <c r="K7009">
        <v>1.61</v>
      </c>
      <c r="L7009">
        <v>0.36</v>
      </c>
      <c r="M7009">
        <v>2.35</v>
      </c>
      <c r="N7009">
        <v>8.4000000000000005E-2</v>
      </c>
    </row>
    <row r="7010" spans="1:14" x14ac:dyDescent="0.25">
      <c r="A7010" t="s">
        <v>12526</v>
      </c>
      <c r="B7010" t="s">
        <v>2449</v>
      </c>
      <c r="C7010" s="1" t="str">
        <f>HYPERLINK("http://www.genecards.org/cgi-bin/carddisp.pl?gene=SH3BP2","GeneCards")</f>
        <v>GeneCards</v>
      </c>
      <c r="D7010" s="1" t="str">
        <f>HYPERLINK("http://genome-euro.ucsc.edu/cgi-bin/hgTracks?position=217253_at","UCSC")</f>
        <v>UCSC</v>
      </c>
      <c r="E7010" s="1" t="str">
        <f>HYPERLINK("http://www.ncbi.nlm.nih.gov/gene/?term=SH3BP2","NCBI")</f>
        <v>NCBI</v>
      </c>
      <c r="F7010">
        <v>0.09</v>
      </c>
      <c r="G7010">
        <v>0.22</v>
      </c>
      <c r="H7010" s="1" t="str">
        <f>HYPERLINK("http://www.weizmann.ac.il/complex/compphys/software/geview/data/figures/217253_at.png","Figure")</f>
        <v>Figure</v>
      </c>
      <c r="I7010">
        <v>1.1599999999999999</v>
      </c>
      <c r="J7010">
        <v>0.46</v>
      </c>
      <c r="K7010">
        <v>1.29</v>
      </c>
      <c r="L7010">
        <v>7.4999999999999997E-2</v>
      </c>
      <c r="M7010">
        <v>1.1100000000000001</v>
      </c>
      <c r="N7010">
        <v>0.63</v>
      </c>
    </row>
    <row r="7011" spans="1:14" x14ac:dyDescent="0.25">
      <c r="A7011" t="s">
        <v>12527</v>
      </c>
      <c r="B7011" t="s">
        <v>12528</v>
      </c>
      <c r="C7011" s="1" t="str">
        <f>HYPERLINK("http://www.genecards.org/cgi-bin/carddisp.pl?gene=LDHA","GeneCards")</f>
        <v>GeneCards</v>
      </c>
      <c r="D7011" s="1" t="str">
        <f>HYPERLINK("http://genome-euro.ucsc.edu/cgi-bin/hgTracks?position=200650_s_at","UCSC")</f>
        <v>UCSC</v>
      </c>
      <c r="E7011" s="1" t="str">
        <f>HYPERLINK("http://www.ncbi.nlm.nih.gov/gene/?term=LDHA","NCBI")</f>
        <v>NCBI</v>
      </c>
      <c r="F7011">
        <v>9.0999999999999998E-2</v>
      </c>
      <c r="G7011">
        <v>0.22</v>
      </c>
      <c r="H7011" s="1" t="str">
        <f>HYPERLINK("http://www.weizmann.ac.il/complex/compphys/software/geview/data/figures/200650_s_at.png","Figure")</f>
        <v>Figure</v>
      </c>
      <c r="I7011">
        <v>0.94</v>
      </c>
      <c r="J7011">
        <v>0.97</v>
      </c>
      <c r="K7011">
        <v>1.53</v>
      </c>
      <c r="L7011">
        <v>0.17</v>
      </c>
      <c r="M7011">
        <v>1.63</v>
      </c>
      <c r="N7011">
        <v>0.13</v>
      </c>
    </row>
    <row r="7012" spans="1:14" x14ac:dyDescent="0.25">
      <c r="A7012" t="s">
        <v>12529</v>
      </c>
      <c r="B7012" t="s">
        <v>12530</v>
      </c>
      <c r="C7012" s="1" t="str">
        <f>HYPERLINK("http://www.genecards.org/cgi-bin/carddisp.pl?gene=EDF1","GeneCards")</f>
        <v>GeneCards</v>
      </c>
      <c r="D7012" s="1" t="str">
        <f>HYPERLINK("http://genome-euro.ucsc.edu/cgi-bin/hgTracks?position=209059_s_at","UCSC")</f>
        <v>UCSC</v>
      </c>
      <c r="E7012" s="1" t="str">
        <f>HYPERLINK("http://www.ncbi.nlm.nih.gov/gene/?term=EDF1","NCBI")</f>
        <v>NCBI</v>
      </c>
      <c r="F7012">
        <v>9.0999999999999998E-2</v>
      </c>
      <c r="G7012">
        <v>0.22</v>
      </c>
      <c r="H7012" s="1" t="str">
        <f>HYPERLINK("http://www.weizmann.ac.il/complex/compphys/software/geview/data/figures/209059_s_at.png","Figure")</f>
        <v>Figure</v>
      </c>
      <c r="I7012">
        <v>1.05</v>
      </c>
      <c r="J7012">
        <v>0.98</v>
      </c>
      <c r="K7012">
        <v>1.69</v>
      </c>
      <c r="L7012">
        <v>0.11</v>
      </c>
      <c r="M7012">
        <v>1.6</v>
      </c>
      <c r="N7012">
        <v>0.2</v>
      </c>
    </row>
    <row r="7013" spans="1:14" x14ac:dyDescent="0.25">
      <c r="A7013" t="s">
        <v>12531</v>
      </c>
      <c r="B7013" t="s">
        <v>12532</v>
      </c>
      <c r="C7013" s="1" t="str">
        <f>HYPERLINK("http://www.genecards.org/cgi-bin/carddisp.pl?gene=HFE","GeneCards")</f>
        <v>GeneCards</v>
      </c>
      <c r="D7013" s="1" t="str">
        <f>HYPERLINK("http://genome-euro.ucsc.edu/cgi-bin/hgTracks?position=211863_x_at","UCSC")</f>
        <v>UCSC</v>
      </c>
      <c r="E7013" s="1" t="str">
        <f>HYPERLINK("http://www.ncbi.nlm.nih.gov/gene/?term=HFE","NCBI")</f>
        <v>NCBI</v>
      </c>
      <c r="F7013">
        <v>9.0999999999999998E-2</v>
      </c>
      <c r="G7013">
        <v>0.22</v>
      </c>
      <c r="H7013" s="1" t="str">
        <f>HYPERLINK("http://www.weizmann.ac.il/complex/compphys/software/geview/data/figures/211863_x_at.png","Figure")</f>
        <v>Figure</v>
      </c>
      <c r="I7013">
        <v>1.23</v>
      </c>
      <c r="J7013">
        <v>0.08</v>
      </c>
      <c r="K7013">
        <v>1.07</v>
      </c>
      <c r="L7013">
        <v>0.68</v>
      </c>
      <c r="M7013">
        <v>0.86599999999999999</v>
      </c>
      <c r="N7013">
        <v>0.23</v>
      </c>
    </row>
    <row r="7014" spans="1:14" x14ac:dyDescent="0.25">
      <c r="A7014" t="s">
        <v>12533</v>
      </c>
      <c r="B7014" t="s">
        <v>12534</v>
      </c>
      <c r="C7014" s="1" t="str">
        <f>HYPERLINK("http://www.genecards.org/cgi-bin/carddisp.pl?gene=AGER","GeneCards")</f>
        <v>GeneCards</v>
      </c>
      <c r="D7014" s="1" t="str">
        <f>HYPERLINK("http://genome-euro.ucsc.edu/cgi-bin/hgTracks?position=217046_s_at","UCSC")</f>
        <v>UCSC</v>
      </c>
      <c r="E7014" s="1" t="str">
        <f>HYPERLINK("http://www.ncbi.nlm.nih.gov/gene/?term=AGER","NCBI")</f>
        <v>NCBI</v>
      </c>
      <c r="F7014">
        <v>9.0999999999999998E-2</v>
      </c>
      <c r="G7014">
        <v>0.22</v>
      </c>
      <c r="H7014" s="1" t="str">
        <f>HYPERLINK("http://www.weizmann.ac.il/complex/compphys/software/geview/data/figures/217046_s_at.png","Figure")</f>
        <v>Figure</v>
      </c>
      <c r="I7014">
        <v>1.0900000000000001</v>
      </c>
      <c r="J7014">
        <v>0.3</v>
      </c>
      <c r="K7014">
        <v>1.1200000000000001</v>
      </c>
      <c r="L7014">
        <v>0.08</v>
      </c>
      <c r="M7014">
        <v>1.03</v>
      </c>
      <c r="N7014">
        <v>0.85</v>
      </c>
    </row>
    <row r="7015" spans="1:14" x14ac:dyDescent="0.25">
      <c r="A7015" t="s">
        <v>12535</v>
      </c>
      <c r="B7015" t="s">
        <v>12536</v>
      </c>
      <c r="C7015" s="1" t="str">
        <f>HYPERLINK("http://www.genecards.org/cgi-bin/carddisp.pl?gene=WASF2","GeneCards")</f>
        <v>GeneCards</v>
      </c>
      <c r="D7015" s="1" t="str">
        <f>HYPERLINK("http://genome-euro.ucsc.edu/cgi-bin/hgTracks?position=221725_at","UCSC")</f>
        <v>UCSC</v>
      </c>
      <c r="E7015" s="1" t="str">
        <f>HYPERLINK("http://www.ncbi.nlm.nih.gov/gene/?term=WASF2","NCBI")</f>
        <v>NCBI</v>
      </c>
      <c r="F7015">
        <v>9.0999999999999998E-2</v>
      </c>
      <c r="G7015">
        <v>0.22</v>
      </c>
      <c r="H7015" s="1" t="str">
        <f>HYPERLINK("http://www.weizmann.ac.il/complex/compphys/software/geview/data/figures/221725_at.png","Figure")</f>
        <v>Figure</v>
      </c>
      <c r="I7015">
        <v>0.67700000000000005</v>
      </c>
      <c r="J7015">
        <v>0.21</v>
      </c>
      <c r="K7015">
        <v>0.64900000000000002</v>
      </c>
      <c r="L7015">
        <v>9.2999999999999999E-2</v>
      </c>
      <c r="M7015">
        <v>0.96</v>
      </c>
      <c r="N7015">
        <v>0.98</v>
      </c>
    </row>
    <row r="7016" spans="1:14" x14ac:dyDescent="0.25">
      <c r="A7016" t="s">
        <v>12537</v>
      </c>
      <c r="B7016" t="s">
        <v>12538</v>
      </c>
      <c r="C7016" s="1" t="str">
        <f>HYPERLINK("http://www.genecards.org/cgi-bin/carddisp.pl?gene=RASSF2","GeneCards")</f>
        <v>GeneCards</v>
      </c>
      <c r="D7016" s="1" t="str">
        <f>HYPERLINK("http://genome-euro.ucsc.edu/cgi-bin/hgTracks?position=203185_at","UCSC")</f>
        <v>UCSC</v>
      </c>
      <c r="E7016" s="1" t="str">
        <f>HYPERLINK("http://www.ncbi.nlm.nih.gov/gene/?term=RASSF2","NCBI")</f>
        <v>NCBI</v>
      </c>
      <c r="F7016">
        <v>9.0999999999999998E-2</v>
      </c>
      <c r="G7016">
        <v>0.22</v>
      </c>
      <c r="H7016" s="1" t="str">
        <f>HYPERLINK("http://www.weizmann.ac.il/complex/compphys/software/geview/data/figures/203185_at.png","Figure")</f>
        <v>Figure</v>
      </c>
      <c r="I7016">
        <v>1.38</v>
      </c>
      <c r="J7016">
        <v>0.14000000000000001</v>
      </c>
      <c r="K7016">
        <v>1.34</v>
      </c>
      <c r="L7016">
        <v>0.12</v>
      </c>
      <c r="M7016">
        <v>0.97499999999999998</v>
      </c>
      <c r="N7016">
        <v>0.98</v>
      </c>
    </row>
    <row r="7017" spans="1:14" x14ac:dyDescent="0.25">
      <c r="A7017" t="s">
        <v>12539</v>
      </c>
      <c r="B7017" t="s">
        <v>12540</v>
      </c>
      <c r="C7017" s="1" t="str">
        <f>HYPERLINK("http://www.genecards.org/cgi-bin/carddisp.pl?gene=SHBG","GeneCards")</f>
        <v>GeneCards</v>
      </c>
      <c r="D7017" s="1" t="str">
        <f>HYPERLINK("http://genome-euro.ucsc.edu/cgi-bin/hgTracks?position=215689_s_at","UCSC")</f>
        <v>UCSC</v>
      </c>
      <c r="E7017" s="1" t="str">
        <f>HYPERLINK("http://www.ncbi.nlm.nih.gov/gene/?term=SHBG","NCBI")</f>
        <v>NCBI</v>
      </c>
      <c r="F7017">
        <v>9.0999999999999998E-2</v>
      </c>
      <c r="G7017">
        <v>0.22</v>
      </c>
      <c r="H7017" s="1" t="str">
        <f>HYPERLINK("http://www.weizmann.ac.il/complex/compphys/software/geview/data/figures/215689_s_at.png","Figure")</f>
        <v>Figure</v>
      </c>
      <c r="I7017">
        <v>1.19</v>
      </c>
      <c r="J7017">
        <v>9.1999999999999998E-2</v>
      </c>
      <c r="K7017">
        <v>1.04</v>
      </c>
      <c r="L7017">
        <v>0.85</v>
      </c>
      <c r="M7017">
        <v>0.86899999999999999</v>
      </c>
      <c r="N7017">
        <v>0.16</v>
      </c>
    </row>
    <row r="7018" spans="1:14" x14ac:dyDescent="0.25">
      <c r="A7018" t="s">
        <v>12541</v>
      </c>
      <c r="B7018" t="s">
        <v>12542</v>
      </c>
      <c r="C7018" s="1" t="str">
        <f>HYPERLINK("http://www.genecards.org/cgi-bin/carddisp.pl?gene=SFRS2B","GeneCards")</f>
        <v>GeneCards</v>
      </c>
      <c r="D7018" s="1" t="str">
        <f>HYPERLINK("http://genome-euro.ucsc.edu/cgi-bin/hgTracks?position=214789_x_at","UCSC")</f>
        <v>UCSC</v>
      </c>
      <c r="E7018" s="1" t="str">
        <f>HYPERLINK("http://www.ncbi.nlm.nih.gov/gene/?term=SFRS2B","NCBI")</f>
        <v>NCBI</v>
      </c>
      <c r="F7018">
        <v>9.0999999999999998E-2</v>
      </c>
      <c r="G7018">
        <v>0.22</v>
      </c>
      <c r="H7018" s="1" t="str">
        <f>HYPERLINK("http://www.weizmann.ac.il/complex/compphys/software/geview/data/figures/214789_x_at.png","Figure")</f>
        <v>Figure</v>
      </c>
      <c r="I7018">
        <v>1.1399999999999999</v>
      </c>
      <c r="J7018">
        <v>0.48</v>
      </c>
      <c r="K7018">
        <v>1.27</v>
      </c>
      <c r="L7018">
        <v>7.4999999999999997E-2</v>
      </c>
      <c r="M7018">
        <v>1.1100000000000001</v>
      </c>
      <c r="N7018">
        <v>0.6</v>
      </c>
    </row>
    <row r="7019" spans="1:14" x14ac:dyDescent="0.25">
      <c r="A7019" t="s">
        <v>12543</v>
      </c>
      <c r="B7019" t="s">
        <v>2208</v>
      </c>
      <c r="C7019" s="1" t="str">
        <f>HYPERLINK("http://www.genecards.org/cgi-bin/carddisp.pl?gene=PUM1","GeneCards")</f>
        <v>GeneCards</v>
      </c>
      <c r="D7019" s="1" t="str">
        <f>HYPERLINK("http://genome-euro.ucsc.edu/cgi-bin/hgTracks?position=201165_s_at","UCSC")</f>
        <v>UCSC</v>
      </c>
      <c r="E7019" s="1" t="str">
        <f>HYPERLINK("http://www.ncbi.nlm.nih.gov/gene/?term=PUM1","NCBI")</f>
        <v>NCBI</v>
      </c>
      <c r="F7019">
        <v>9.0999999999999998E-2</v>
      </c>
      <c r="G7019">
        <v>0.22</v>
      </c>
      <c r="H7019" s="1" t="str">
        <f>HYPERLINK("http://www.weizmann.ac.il/complex/compphys/software/geview/data/figures/201165_s_at.png","Figure")</f>
        <v>Figure</v>
      </c>
      <c r="I7019">
        <v>1.31</v>
      </c>
      <c r="J7019">
        <v>0.11</v>
      </c>
      <c r="K7019">
        <v>1.03</v>
      </c>
      <c r="L7019">
        <v>0.97</v>
      </c>
      <c r="M7019">
        <v>0.78600000000000003</v>
      </c>
      <c r="N7019">
        <v>0.13</v>
      </c>
    </row>
    <row r="7020" spans="1:14" x14ac:dyDescent="0.25">
      <c r="A7020" t="s">
        <v>12544</v>
      </c>
      <c r="B7020" t="s">
        <v>12545</v>
      </c>
      <c r="C7020" s="1" t="str">
        <f>HYPERLINK("http://www.genecards.org/cgi-bin/carddisp.pl?gene=TTLL4","GeneCards")</f>
        <v>GeneCards</v>
      </c>
      <c r="D7020" s="1" t="str">
        <f>HYPERLINK("http://genome-euro.ucsc.edu/cgi-bin/hgTracks?position=203703_s_at","UCSC")</f>
        <v>UCSC</v>
      </c>
      <c r="E7020" s="1" t="str">
        <f>HYPERLINK("http://www.ncbi.nlm.nih.gov/gene/?term=TTLL4","NCBI")</f>
        <v>NCBI</v>
      </c>
      <c r="F7020">
        <v>9.0999999999999998E-2</v>
      </c>
      <c r="G7020">
        <v>0.22</v>
      </c>
      <c r="H7020" s="1" t="str">
        <f>HYPERLINK("http://www.weizmann.ac.il/complex/compphys/software/geview/data/figures/203703_s_at.png","Figure")</f>
        <v>Figure</v>
      </c>
      <c r="I7020">
        <v>0.88200000000000001</v>
      </c>
      <c r="J7020">
        <v>7.5999999999999998E-2</v>
      </c>
      <c r="K7020">
        <v>0.94799999999999995</v>
      </c>
      <c r="L7020">
        <v>0.48</v>
      </c>
      <c r="M7020">
        <v>1.07</v>
      </c>
      <c r="N7020">
        <v>0.33</v>
      </c>
    </row>
    <row r="7021" spans="1:14" x14ac:dyDescent="0.25">
      <c r="A7021" t="s">
        <v>12546</v>
      </c>
      <c r="B7021" t="s">
        <v>12547</v>
      </c>
      <c r="C7021" s="1" t="str">
        <f>HYPERLINK("http://www.genecards.org/cgi-bin/carddisp.pl?gene=SPHK2","GeneCards")</f>
        <v>GeneCards</v>
      </c>
      <c r="D7021" s="1" t="str">
        <f>HYPERLINK("http://genome-euro.ucsc.edu/cgi-bin/hgTracks?position=209857_s_at","UCSC")</f>
        <v>UCSC</v>
      </c>
      <c r="E7021" s="1" t="str">
        <f>HYPERLINK("http://www.ncbi.nlm.nih.gov/gene/?term=SPHK2","NCBI")</f>
        <v>NCBI</v>
      </c>
      <c r="F7021">
        <v>9.0999999999999998E-2</v>
      </c>
      <c r="G7021">
        <v>0.22</v>
      </c>
      <c r="H7021" s="1" t="str">
        <f>HYPERLINK("http://www.weizmann.ac.il/complex/compphys/software/geview/data/figures/209857_s_at.png","Figure")</f>
        <v>Figure</v>
      </c>
      <c r="I7021">
        <v>1.2</v>
      </c>
      <c r="J7021">
        <v>7.5999999999999998E-2</v>
      </c>
      <c r="K7021">
        <v>1.08</v>
      </c>
      <c r="L7021">
        <v>0.49</v>
      </c>
      <c r="M7021">
        <v>0.9</v>
      </c>
      <c r="N7021">
        <v>0.33</v>
      </c>
    </row>
    <row r="7022" spans="1:14" x14ac:dyDescent="0.25">
      <c r="A7022" t="s">
        <v>12548</v>
      </c>
      <c r="B7022" t="s">
        <v>12549</v>
      </c>
      <c r="C7022" s="1" t="str">
        <f>HYPERLINK("http://www.genecards.org/cgi-bin/carddisp.pl?gene=ALPK1","GeneCards")</f>
        <v>GeneCards</v>
      </c>
      <c r="D7022" s="1" t="str">
        <f>HYPERLINK("http://genome-euro.ucsc.edu/cgi-bin/hgTracks?position=207133_x_at","UCSC")</f>
        <v>UCSC</v>
      </c>
      <c r="E7022" s="1" t="str">
        <f>HYPERLINK("http://www.ncbi.nlm.nih.gov/gene/?term=ALPK1","NCBI")</f>
        <v>NCBI</v>
      </c>
      <c r="F7022">
        <v>9.0999999999999998E-2</v>
      </c>
      <c r="G7022">
        <v>0.22</v>
      </c>
      <c r="H7022" s="1" t="str">
        <f>HYPERLINK("http://www.weizmann.ac.il/complex/compphys/software/geview/data/figures/207133_x_at.png","Figure")</f>
        <v>Figure</v>
      </c>
      <c r="I7022">
        <v>1.1499999999999999</v>
      </c>
      <c r="J7022">
        <v>0.62</v>
      </c>
      <c r="K7022">
        <v>0.83099999999999996</v>
      </c>
      <c r="L7022">
        <v>0.36</v>
      </c>
      <c r="M7022">
        <v>0.72199999999999998</v>
      </c>
      <c r="N7022">
        <v>8.5000000000000006E-2</v>
      </c>
    </row>
    <row r="7023" spans="1:14" x14ac:dyDescent="0.25">
      <c r="A7023" t="s">
        <v>12550</v>
      </c>
      <c r="B7023" t="s">
        <v>12551</v>
      </c>
      <c r="C7023" s="1" t="str">
        <f>HYPERLINK("http://www.genecards.org/cgi-bin/carddisp.pl?gene=GHRHR","GeneCards")</f>
        <v>GeneCards</v>
      </c>
      <c r="D7023" s="1" t="str">
        <f>HYPERLINK("http://genome-euro.ucsc.edu/cgi-bin/hgTracks?position=207825_s_at","UCSC")</f>
        <v>UCSC</v>
      </c>
      <c r="E7023" s="1" t="str">
        <f>HYPERLINK("http://www.ncbi.nlm.nih.gov/gene/?term=GHRHR","NCBI")</f>
        <v>NCBI</v>
      </c>
      <c r="F7023">
        <v>9.0999999999999998E-2</v>
      </c>
      <c r="G7023">
        <v>0.22</v>
      </c>
      <c r="H7023" s="1" t="str">
        <f>HYPERLINK("http://www.weizmann.ac.il/complex/compphys/software/geview/data/figures/207825_s_at.png","Figure")</f>
        <v>Figure</v>
      </c>
      <c r="I7023">
        <v>1.08</v>
      </c>
      <c r="J7023">
        <v>0.32</v>
      </c>
      <c r="K7023">
        <v>0.96099999999999997</v>
      </c>
      <c r="L7023">
        <v>0.67</v>
      </c>
      <c r="M7023">
        <v>0.88800000000000001</v>
      </c>
      <c r="N7023">
        <v>7.5999999999999998E-2</v>
      </c>
    </row>
    <row r="7024" spans="1:14" x14ac:dyDescent="0.25">
      <c r="A7024" t="s">
        <v>12552</v>
      </c>
      <c r="B7024" t="s">
        <v>12553</v>
      </c>
      <c r="C7024" s="1" t="str">
        <f>HYPERLINK("http://www.genecards.org/cgi-bin/carddisp.pl?gene=EHD2","GeneCards")</f>
        <v>GeneCards</v>
      </c>
      <c r="D7024" s="1" t="str">
        <f>HYPERLINK("http://genome-euro.ucsc.edu/cgi-bin/hgTracks?position=45297_at","UCSC")</f>
        <v>UCSC</v>
      </c>
      <c r="E7024" s="1" t="str">
        <f>HYPERLINK("http://www.ncbi.nlm.nih.gov/gene/?term=EHD2","NCBI")</f>
        <v>NCBI</v>
      </c>
      <c r="F7024">
        <v>9.0999999999999998E-2</v>
      </c>
      <c r="G7024">
        <v>0.22</v>
      </c>
      <c r="H7024" s="1" t="str">
        <f>HYPERLINK("http://www.weizmann.ac.il/complex/compphys/software/geview/data/figures/45297_at.png","Figure")</f>
        <v>Figure</v>
      </c>
      <c r="I7024">
        <v>1.32</v>
      </c>
      <c r="J7024">
        <v>0.13</v>
      </c>
      <c r="K7024">
        <v>1</v>
      </c>
      <c r="L7024">
        <v>1</v>
      </c>
      <c r="M7024">
        <v>0.76400000000000001</v>
      </c>
      <c r="N7024">
        <v>0.11</v>
      </c>
    </row>
    <row r="7025" spans="1:14" x14ac:dyDescent="0.25">
      <c r="A7025" t="s">
        <v>12554</v>
      </c>
      <c r="B7025" t="s">
        <v>9601</v>
      </c>
      <c r="C7025" s="1" t="str">
        <f>HYPERLINK("http://www.genecards.org/cgi-bin/carddisp.pl?gene=HMGN1","GeneCards")</f>
        <v>GeneCards</v>
      </c>
      <c r="D7025" s="1" t="str">
        <f>HYPERLINK("http://genome-euro.ucsc.edu/cgi-bin/hgTracks?position=200943_at","UCSC")</f>
        <v>UCSC</v>
      </c>
      <c r="E7025" s="1" t="str">
        <f>HYPERLINK("http://www.ncbi.nlm.nih.gov/gene/?term=HMGN1","NCBI")</f>
        <v>NCBI</v>
      </c>
      <c r="F7025">
        <v>9.0999999999999998E-2</v>
      </c>
      <c r="G7025">
        <v>0.22</v>
      </c>
      <c r="H7025" s="1" t="str">
        <f>HYPERLINK("http://www.weizmann.ac.il/complex/compphys/software/geview/data/figures/200943_at.png","Figure")</f>
        <v>Figure</v>
      </c>
      <c r="I7025">
        <v>0.65500000000000003</v>
      </c>
      <c r="J7025">
        <v>7.8E-2</v>
      </c>
      <c r="K7025">
        <v>0.86</v>
      </c>
      <c r="L7025">
        <v>0.6</v>
      </c>
      <c r="M7025">
        <v>1.31</v>
      </c>
      <c r="N7025">
        <v>0.26</v>
      </c>
    </row>
    <row r="7026" spans="1:14" x14ac:dyDescent="0.25">
      <c r="A7026" t="s">
        <v>12555</v>
      </c>
      <c r="B7026" t="s">
        <v>11474</v>
      </c>
      <c r="C7026" s="1" t="str">
        <f>HYPERLINK("http://www.genecards.org/cgi-bin/carddisp.pl?gene=PRPF31","GeneCards")</f>
        <v>GeneCards</v>
      </c>
      <c r="D7026" s="1" t="str">
        <f>HYPERLINK("http://genome-euro.ucsc.edu/cgi-bin/hgTracks?position=202408_s_at","UCSC")</f>
        <v>UCSC</v>
      </c>
      <c r="E7026" s="1" t="str">
        <f>HYPERLINK("http://www.ncbi.nlm.nih.gov/gene/?term=PRPF31","NCBI")</f>
        <v>NCBI</v>
      </c>
      <c r="F7026">
        <v>9.0999999999999998E-2</v>
      </c>
      <c r="G7026">
        <v>0.22</v>
      </c>
      <c r="H7026" s="1" t="str">
        <f>HYPERLINK("http://www.weizmann.ac.il/complex/compphys/software/geview/data/figures/202408_s_at.png","Figure")</f>
        <v>Figure</v>
      </c>
      <c r="I7026">
        <v>1.2</v>
      </c>
      <c r="J7026">
        <v>0.22</v>
      </c>
      <c r="K7026">
        <v>0.95499999999999996</v>
      </c>
      <c r="L7026">
        <v>0.87</v>
      </c>
      <c r="M7026">
        <v>0.79700000000000004</v>
      </c>
      <c r="N7026">
        <v>8.1000000000000003E-2</v>
      </c>
    </row>
    <row r="7027" spans="1:14" x14ac:dyDescent="0.25">
      <c r="A7027" t="s">
        <v>12556</v>
      </c>
      <c r="B7027" t="s">
        <v>11605</v>
      </c>
      <c r="C7027" s="1" t="str">
        <f>HYPERLINK("http://www.genecards.org/cgi-bin/carddisp.pl?gene=SUCLG2","GeneCards")</f>
        <v>GeneCards</v>
      </c>
      <c r="D7027" s="1" t="str">
        <f>HYPERLINK("http://genome-euro.ucsc.edu/cgi-bin/hgTracks?position=214835_s_at","UCSC")</f>
        <v>UCSC</v>
      </c>
      <c r="E7027" s="1" t="str">
        <f>HYPERLINK("http://www.ncbi.nlm.nih.gov/gene/?term=SUCLG2","NCBI")</f>
        <v>NCBI</v>
      </c>
      <c r="F7027">
        <v>9.0999999999999998E-2</v>
      </c>
      <c r="G7027">
        <v>0.22</v>
      </c>
      <c r="H7027" s="1" t="str">
        <f>HYPERLINK("http://www.weizmann.ac.il/complex/compphys/software/geview/data/figures/214835_s_at.png","Figure")</f>
        <v>Figure</v>
      </c>
      <c r="I7027">
        <v>0.69899999999999995</v>
      </c>
      <c r="J7027">
        <v>0.11</v>
      </c>
      <c r="K7027">
        <v>0.96</v>
      </c>
      <c r="L7027">
        <v>0.96</v>
      </c>
      <c r="M7027">
        <v>1.37</v>
      </c>
      <c r="N7027">
        <v>0.13</v>
      </c>
    </row>
    <row r="7028" spans="1:14" x14ac:dyDescent="0.25">
      <c r="A7028" t="s">
        <v>12557</v>
      </c>
      <c r="B7028" t="s">
        <v>12558</v>
      </c>
      <c r="C7028" s="1" t="str">
        <f>HYPERLINK("http://www.genecards.org/cgi-bin/carddisp.pl?gene=MB","GeneCards")</f>
        <v>GeneCards</v>
      </c>
      <c r="D7028" s="1" t="str">
        <f>HYPERLINK("http://genome-euro.ucsc.edu/cgi-bin/hgTracks?position=204179_at","UCSC")</f>
        <v>UCSC</v>
      </c>
      <c r="E7028" s="1" t="str">
        <f>HYPERLINK("http://www.ncbi.nlm.nih.gov/gene/?term=MB","NCBI")</f>
        <v>NCBI</v>
      </c>
      <c r="F7028">
        <v>9.0999999999999998E-2</v>
      </c>
      <c r="G7028">
        <v>0.22</v>
      </c>
      <c r="H7028" s="1" t="str">
        <f>HYPERLINK("http://www.weizmann.ac.il/complex/compphys/software/geview/data/figures/204179_at.png","Figure")</f>
        <v>Figure</v>
      </c>
      <c r="I7028">
        <v>1.1499999999999999</v>
      </c>
      <c r="J7028">
        <v>8.2000000000000003E-2</v>
      </c>
      <c r="K7028">
        <v>1.04</v>
      </c>
      <c r="L7028">
        <v>0.7</v>
      </c>
      <c r="M7028">
        <v>0.90700000000000003</v>
      </c>
      <c r="N7028">
        <v>0.22</v>
      </c>
    </row>
    <row r="7029" spans="1:14" x14ac:dyDescent="0.25">
      <c r="A7029" t="s">
        <v>12559</v>
      </c>
      <c r="B7029" t="s">
        <v>12560</v>
      </c>
      <c r="C7029" s="1" t="str">
        <f>HYPERLINK("http://www.genecards.org/cgi-bin/carddisp.pl?gene=TDG","GeneCards")</f>
        <v>GeneCards</v>
      </c>
      <c r="D7029" s="1" t="str">
        <f>HYPERLINK("http://genome-euro.ucsc.edu/cgi-bin/hgTracks?position=203742_s_at","UCSC")</f>
        <v>UCSC</v>
      </c>
      <c r="E7029" s="1" t="str">
        <f>HYPERLINK("http://www.ncbi.nlm.nih.gov/gene/?term=TDG","NCBI")</f>
        <v>NCBI</v>
      </c>
      <c r="F7029">
        <v>9.0999999999999998E-2</v>
      </c>
      <c r="G7029">
        <v>0.22</v>
      </c>
      <c r="H7029" s="1" t="str">
        <f>HYPERLINK("http://www.weizmann.ac.il/complex/compphys/software/geview/data/figures/203742_s_at.png","Figure")</f>
        <v>Figure</v>
      </c>
      <c r="I7029">
        <v>0.85099999999999998</v>
      </c>
      <c r="J7029">
        <v>0.86</v>
      </c>
      <c r="K7029">
        <v>0.54600000000000004</v>
      </c>
      <c r="L7029">
        <v>9.2999999999999999E-2</v>
      </c>
      <c r="M7029">
        <v>0.64300000000000002</v>
      </c>
      <c r="N7029">
        <v>0.28999999999999998</v>
      </c>
    </row>
    <row r="7030" spans="1:14" x14ac:dyDescent="0.25">
      <c r="A7030" t="s">
        <v>12561</v>
      </c>
      <c r="B7030" t="s">
        <v>12562</v>
      </c>
      <c r="C7030" s="1" t="str">
        <f>HYPERLINK("http://www.genecards.org/cgi-bin/carddisp.pl?gene=OTUB1","GeneCards")</f>
        <v>GeneCards</v>
      </c>
      <c r="D7030" s="1" t="str">
        <f>HYPERLINK("http://genome-euro.ucsc.edu/cgi-bin/hgTracks?position=38710_at","UCSC")</f>
        <v>UCSC</v>
      </c>
      <c r="E7030" s="1" t="str">
        <f>HYPERLINK("http://www.ncbi.nlm.nih.gov/gene/?term=OTUB1","NCBI")</f>
        <v>NCBI</v>
      </c>
      <c r="F7030">
        <v>9.0999999999999998E-2</v>
      </c>
      <c r="G7030">
        <v>0.22</v>
      </c>
      <c r="H7030" s="1" t="str">
        <f>HYPERLINK("http://www.weizmann.ac.il/complex/compphys/software/geview/data/figures/38710_at.png","Figure")</f>
        <v>Figure</v>
      </c>
      <c r="I7030">
        <v>1.31</v>
      </c>
      <c r="J7030">
        <v>0.13</v>
      </c>
      <c r="K7030">
        <v>1</v>
      </c>
      <c r="L7030">
        <v>1</v>
      </c>
      <c r="M7030">
        <v>0.76900000000000002</v>
      </c>
      <c r="N7030">
        <v>0.11</v>
      </c>
    </row>
    <row r="7031" spans="1:14" x14ac:dyDescent="0.25">
      <c r="A7031" t="s">
        <v>12563</v>
      </c>
      <c r="B7031" t="s">
        <v>12564</v>
      </c>
      <c r="C7031" s="1" t="str">
        <f>HYPERLINK("http://www.genecards.org/cgi-bin/carddisp.pl?gene=CTAGE4 /// LOC100142659 /// LOC441294","GeneCards")</f>
        <v>GeneCards</v>
      </c>
      <c r="D7031" s="1" t="str">
        <f>HYPERLINK("http://genome-euro.ucsc.edu/cgi-bin/hgTracks?position=214355_x_at","UCSC")</f>
        <v>UCSC</v>
      </c>
      <c r="E7031" s="1" t="str">
        <f>HYPERLINK("http://www.ncbi.nlm.nih.gov/gene/?term=CTAGE4 /// LOC100142659 /// LOC441294","NCBI")</f>
        <v>NCBI</v>
      </c>
      <c r="F7031">
        <v>9.0999999999999998E-2</v>
      </c>
      <c r="G7031">
        <v>0.22</v>
      </c>
      <c r="H7031" s="1" t="str">
        <f>HYPERLINK("http://www.weizmann.ac.il/complex/compphys/software/geview/data/figures/214355_x_at.png","Figure")</f>
        <v>Figure</v>
      </c>
      <c r="I7031">
        <v>1.1100000000000001</v>
      </c>
      <c r="J7031">
        <v>0.62</v>
      </c>
      <c r="K7031">
        <v>1.26</v>
      </c>
      <c r="L7031">
        <v>7.9000000000000001E-2</v>
      </c>
      <c r="M7031">
        <v>1.1299999999999999</v>
      </c>
      <c r="N7031">
        <v>0.46</v>
      </c>
    </row>
    <row r="7032" spans="1:14" x14ac:dyDescent="0.25">
      <c r="A7032" t="s">
        <v>12565</v>
      </c>
      <c r="B7032" t="s">
        <v>12566</v>
      </c>
      <c r="C7032" s="1" t="str">
        <f>HYPERLINK("http://www.genecards.org/cgi-bin/carddisp.pl?gene=C20orf4","GeneCards")</f>
        <v>GeneCards</v>
      </c>
      <c r="D7032" s="1" t="str">
        <f>HYPERLINK("http://genome-euro.ucsc.edu/cgi-bin/hgTracks?position=218089_at","UCSC")</f>
        <v>UCSC</v>
      </c>
      <c r="E7032" s="1" t="str">
        <f>HYPERLINK("http://www.ncbi.nlm.nih.gov/gene/?term=C20orf4","NCBI")</f>
        <v>NCBI</v>
      </c>
      <c r="F7032">
        <v>9.0999999999999998E-2</v>
      </c>
      <c r="G7032">
        <v>0.22</v>
      </c>
      <c r="H7032" s="1" t="str">
        <f>HYPERLINK("http://www.weizmann.ac.il/complex/compphys/software/geview/data/figures/218089_at.png","Figure")</f>
        <v>Figure</v>
      </c>
      <c r="I7032">
        <v>1.26</v>
      </c>
      <c r="J7032">
        <v>0.09</v>
      </c>
      <c r="K7032">
        <v>1.1599999999999999</v>
      </c>
      <c r="L7032">
        <v>0.22</v>
      </c>
      <c r="M7032">
        <v>0.92700000000000005</v>
      </c>
      <c r="N7032">
        <v>0.69</v>
      </c>
    </row>
    <row r="7033" spans="1:14" x14ac:dyDescent="0.25">
      <c r="A7033" t="s">
        <v>12567</v>
      </c>
      <c r="B7033" t="s">
        <v>12568</v>
      </c>
      <c r="C7033" s="1" t="str">
        <f>HYPERLINK("http://www.genecards.org/cgi-bin/carddisp.pl?gene=C1GALT1","GeneCards")</f>
        <v>GeneCards</v>
      </c>
      <c r="D7033" s="1" t="str">
        <f>HYPERLINK("http://genome-euro.ucsc.edu/cgi-bin/hgTracks?position=219439_at","UCSC")</f>
        <v>UCSC</v>
      </c>
      <c r="E7033" s="1" t="str">
        <f>HYPERLINK("http://www.ncbi.nlm.nih.gov/gene/?term=C1GALT1","NCBI")</f>
        <v>NCBI</v>
      </c>
      <c r="F7033">
        <v>9.0999999999999998E-2</v>
      </c>
      <c r="G7033">
        <v>0.22</v>
      </c>
      <c r="H7033" s="1" t="str">
        <f>HYPERLINK("http://www.weizmann.ac.il/complex/compphys/software/geview/data/figures/219439_at.png","Figure")</f>
        <v>Figure</v>
      </c>
      <c r="I7033">
        <v>0.83299999999999996</v>
      </c>
      <c r="J7033">
        <v>9.8000000000000004E-2</v>
      </c>
      <c r="K7033">
        <v>0.877</v>
      </c>
      <c r="L7033">
        <v>0.19</v>
      </c>
      <c r="M7033">
        <v>1.05</v>
      </c>
      <c r="N7033">
        <v>0.78</v>
      </c>
    </row>
    <row r="7034" spans="1:14" x14ac:dyDescent="0.25">
      <c r="A7034" t="s">
        <v>12569</v>
      </c>
      <c r="B7034" t="s">
        <v>12570</v>
      </c>
      <c r="C7034" s="1" t="str">
        <f>HYPERLINK("http://www.genecards.org/cgi-bin/carddisp.pl?gene=FDX1","GeneCards")</f>
        <v>GeneCards</v>
      </c>
      <c r="D7034" s="1" t="str">
        <f>HYPERLINK("http://genome-euro.ucsc.edu/cgi-bin/hgTracks?position=203647_s_at","UCSC")</f>
        <v>UCSC</v>
      </c>
      <c r="E7034" s="1" t="str">
        <f>HYPERLINK("http://www.ncbi.nlm.nih.gov/gene/?term=FDX1","NCBI")</f>
        <v>NCBI</v>
      </c>
      <c r="F7034">
        <v>9.0999999999999998E-2</v>
      </c>
      <c r="G7034">
        <v>0.22</v>
      </c>
      <c r="H7034" s="1" t="str">
        <f>HYPERLINK("http://www.weizmann.ac.il/complex/compphys/software/geview/data/figures/203647_s_at.png","Figure")</f>
        <v>Figure</v>
      </c>
      <c r="I7034">
        <v>1.32</v>
      </c>
      <c r="J7034">
        <v>0.5</v>
      </c>
      <c r="K7034">
        <v>1.65</v>
      </c>
      <c r="L7034">
        <v>7.5999999999999998E-2</v>
      </c>
      <c r="M7034">
        <v>1.25</v>
      </c>
      <c r="N7034">
        <v>0.59</v>
      </c>
    </row>
    <row r="7035" spans="1:14" x14ac:dyDescent="0.25">
      <c r="A7035" t="s">
        <v>12571</v>
      </c>
      <c r="B7035" t="s">
        <v>12572</v>
      </c>
      <c r="C7035" s="1" t="str">
        <f>HYPERLINK("http://www.genecards.org/cgi-bin/carddisp.pl?gene=SPP2","GeneCards")</f>
        <v>GeneCards</v>
      </c>
      <c r="D7035" s="1" t="str">
        <f>HYPERLINK("http://genome-euro.ucsc.edu/cgi-bin/hgTracks?position=214478_at","UCSC")</f>
        <v>UCSC</v>
      </c>
      <c r="E7035" s="1" t="str">
        <f>HYPERLINK("http://www.ncbi.nlm.nih.gov/gene/?term=SPP2","NCBI")</f>
        <v>NCBI</v>
      </c>
      <c r="F7035">
        <v>9.0999999999999998E-2</v>
      </c>
      <c r="G7035">
        <v>0.22</v>
      </c>
      <c r="H7035" s="1" t="str">
        <f>HYPERLINK("http://www.weizmann.ac.il/complex/compphys/software/geview/data/figures/214478_at.png","Figure")</f>
        <v>Figure</v>
      </c>
      <c r="I7035">
        <v>1</v>
      </c>
      <c r="J7035">
        <v>1</v>
      </c>
      <c r="K7035">
        <v>0.88600000000000001</v>
      </c>
      <c r="L7035">
        <v>0.14000000000000001</v>
      </c>
      <c r="M7035">
        <v>0.88200000000000001</v>
      </c>
      <c r="N7035">
        <v>0.16</v>
      </c>
    </row>
    <row r="7036" spans="1:14" x14ac:dyDescent="0.25">
      <c r="A7036" t="s">
        <v>12573</v>
      </c>
      <c r="B7036" t="s">
        <v>2936</v>
      </c>
      <c r="C7036" s="1" t="str">
        <f>HYPERLINK("http://www.genecards.org/cgi-bin/carddisp.pl?gene=MLLT10","GeneCards")</f>
        <v>GeneCards</v>
      </c>
      <c r="D7036" s="1" t="str">
        <f>HYPERLINK("http://genome-euro.ucsc.edu/cgi-bin/hgTracks?position=216506_x_at","UCSC")</f>
        <v>UCSC</v>
      </c>
      <c r="E7036" s="1" t="str">
        <f>HYPERLINK("http://www.ncbi.nlm.nih.gov/gene/?term=MLLT10","NCBI")</f>
        <v>NCBI</v>
      </c>
      <c r="F7036">
        <v>9.0999999999999998E-2</v>
      </c>
      <c r="G7036">
        <v>0.22</v>
      </c>
      <c r="H7036" s="1" t="str">
        <f>HYPERLINK("http://www.weizmann.ac.il/complex/compphys/software/geview/data/figures/216506_x_at.png","Figure")</f>
        <v>Figure</v>
      </c>
      <c r="I7036">
        <v>0.95299999999999996</v>
      </c>
      <c r="J7036">
        <v>0.79</v>
      </c>
      <c r="K7036">
        <v>0.86399999999999999</v>
      </c>
      <c r="L7036">
        <v>8.6999999999999994E-2</v>
      </c>
      <c r="M7036">
        <v>0.90600000000000003</v>
      </c>
      <c r="N7036">
        <v>0.34</v>
      </c>
    </row>
    <row r="7037" spans="1:14" x14ac:dyDescent="0.25">
      <c r="A7037" t="s">
        <v>12574</v>
      </c>
      <c r="B7037" t="s">
        <v>12575</v>
      </c>
      <c r="C7037" s="1" t="str">
        <f>HYPERLINK("http://www.genecards.org/cgi-bin/carddisp.pl?gene=PLK1","GeneCards")</f>
        <v>GeneCards</v>
      </c>
      <c r="D7037" s="1" t="str">
        <f>HYPERLINK("http://genome-euro.ucsc.edu/cgi-bin/hgTracks?position=202240_at","UCSC")</f>
        <v>UCSC</v>
      </c>
      <c r="E7037" s="1" t="str">
        <f>HYPERLINK("http://www.ncbi.nlm.nih.gov/gene/?term=PLK1","NCBI")</f>
        <v>NCBI</v>
      </c>
      <c r="F7037">
        <v>9.0999999999999998E-2</v>
      </c>
      <c r="G7037">
        <v>0.22</v>
      </c>
      <c r="H7037" s="1" t="str">
        <f>HYPERLINK("http://www.weizmann.ac.il/complex/compphys/software/geview/data/figures/202240_at.png","Figure")</f>
        <v>Figure</v>
      </c>
      <c r="I7037">
        <v>0.96899999999999997</v>
      </c>
      <c r="J7037">
        <v>0.84</v>
      </c>
      <c r="K7037">
        <v>1.08</v>
      </c>
      <c r="L7037">
        <v>0.24</v>
      </c>
      <c r="M7037">
        <v>1.1200000000000001</v>
      </c>
      <c r="N7037">
        <v>0.1</v>
      </c>
    </row>
    <row r="7038" spans="1:14" x14ac:dyDescent="0.25">
      <c r="A7038" t="s">
        <v>12576</v>
      </c>
      <c r="B7038" t="s">
        <v>4138</v>
      </c>
      <c r="C7038" s="1" t="str">
        <f>HYPERLINK("http://www.genecards.org/cgi-bin/carddisp.pl?gene=C9orf156","GeneCards")</f>
        <v>GeneCards</v>
      </c>
      <c r="D7038" s="1" t="str">
        <f>HYPERLINK("http://genome-euro.ucsc.edu/cgi-bin/hgTracks?position=222195_s_at","UCSC")</f>
        <v>UCSC</v>
      </c>
      <c r="E7038" s="1" t="str">
        <f>HYPERLINK("http://www.ncbi.nlm.nih.gov/gene/?term=C9orf156","NCBI")</f>
        <v>NCBI</v>
      </c>
      <c r="F7038">
        <v>9.0999999999999998E-2</v>
      </c>
      <c r="G7038">
        <v>0.22</v>
      </c>
      <c r="H7038" s="1" t="str">
        <f>HYPERLINK("http://www.weizmann.ac.il/complex/compphys/software/geview/data/figures/222195_s_at.png","Figure")</f>
        <v>Figure</v>
      </c>
      <c r="I7038">
        <v>1.1399999999999999</v>
      </c>
      <c r="J7038">
        <v>0.53</v>
      </c>
      <c r="K7038">
        <v>0.876</v>
      </c>
      <c r="L7038">
        <v>0.43</v>
      </c>
      <c r="M7038">
        <v>0.77</v>
      </c>
      <c r="N7038">
        <v>0.08</v>
      </c>
    </row>
    <row r="7039" spans="1:14" x14ac:dyDescent="0.25">
      <c r="A7039" t="s">
        <v>12577</v>
      </c>
      <c r="B7039" t="s">
        <v>12578</v>
      </c>
      <c r="C7039" s="1" t="str">
        <f>HYPERLINK("http://www.genecards.org/cgi-bin/carddisp.pl?gene=INTS1","GeneCards")</f>
        <v>GeneCards</v>
      </c>
      <c r="D7039" s="1" t="str">
        <f>HYPERLINK("http://genome-euro.ucsc.edu/cgi-bin/hgTracks?position=212212_s_at","UCSC")</f>
        <v>UCSC</v>
      </c>
      <c r="E7039" s="1" t="str">
        <f>HYPERLINK("http://www.ncbi.nlm.nih.gov/gene/?term=INTS1","NCBI")</f>
        <v>NCBI</v>
      </c>
      <c r="F7039">
        <v>9.0999999999999998E-2</v>
      </c>
      <c r="G7039">
        <v>0.22</v>
      </c>
      <c r="H7039" s="1" t="str">
        <f>HYPERLINK("http://www.weizmann.ac.il/complex/compphys/software/geview/data/figures/212212_s_at.png","Figure")</f>
        <v>Figure</v>
      </c>
      <c r="I7039">
        <v>1.41</v>
      </c>
      <c r="J7039">
        <v>0.16</v>
      </c>
      <c r="K7039">
        <v>1.4</v>
      </c>
      <c r="L7039">
        <v>0.11</v>
      </c>
      <c r="M7039">
        <v>0.98799999999999999</v>
      </c>
      <c r="N7039">
        <v>1</v>
      </c>
    </row>
    <row r="7040" spans="1:14" x14ac:dyDescent="0.25">
      <c r="A7040" t="s">
        <v>12579</v>
      </c>
      <c r="B7040" t="s">
        <v>12580</v>
      </c>
      <c r="C7040" s="1" t="str">
        <f>HYPERLINK("http://www.genecards.org/cgi-bin/carddisp.pl?gene=MLH1","GeneCards")</f>
        <v>GeneCards</v>
      </c>
      <c r="D7040" s="1" t="str">
        <f>HYPERLINK("http://genome-euro.ucsc.edu/cgi-bin/hgTracks?position=202520_s_at","UCSC")</f>
        <v>UCSC</v>
      </c>
      <c r="E7040" s="1" t="str">
        <f>HYPERLINK("http://www.ncbi.nlm.nih.gov/gene/?term=MLH1","NCBI")</f>
        <v>NCBI</v>
      </c>
      <c r="F7040">
        <v>9.0999999999999998E-2</v>
      </c>
      <c r="G7040">
        <v>0.22</v>
      </c>
      <c r="H7040" s="1" t="str">
        <f>HYPERLINK("http://www.weizmann.ac.il/complex/compphys/software/geview/data/figures/202520_s_at.png","Figure")</f>
        <v>Figure</v>
      </c>
      <c r="I7040">
        <v>1.37</v>
      </c>
      <c r="J7040">
        <v>9.9000000000000005E-2</v>
      </c>
      <c r="K7040">
        <v>1.26</v>
      </c>
      <c r="L7040">
        <v>0.19</v>
      </c>
      <c r="M7040">
        <v>0.91800000000000004</v>
      </c>
      <c r="N7040">
        <v>0.79</v>
      </c>
    </row>
    <row r="7041" spans="1:14" x14ac:dyDescent="0.25">
      <c r="A7041" t="s">
        <v>12581</v>
      </c>
      <c r="B7041" t="s">
        <v>1430</v>
      </c>
      <c r="C7041" s="1" t="str">
        <f>HYPERLINK("http://www.genecards.org/cgi-bin/carddisp.pl?gene=CDC2L1 /// CDC2L2","GeneCards")</f>
        <v>GeneCards</v>
      </c>
      <c r="D7041" s="1" t="str">
        <f>HYPERLINK("http://genome-euro.ucsc.edu/cgi-bin/hgTracks?position=215329_s_at","UCSC")</f>
        <v>UCSC</v>
      </c>
      <c r="E7041" s="1" t="str">
        <f>HYPERLINK("http://www.ncbi.nlm.nih.gov/gene/?term=CDC2L1 /// CDC2L2","NCBI")</f>
        <v>NCBI</v>
      </c>
      <c r="F7041">
        <v>9.0999999999999998E-2</v>
      </c>
      <c r="G7041">
        <v>0.22</v>
      </c>
      <c r="H7041" s="1" t="str">
        <f>HYPERLINK("http://www.weizmann.ac.il/complex/compphys/software/geview/data/figures/215329_s_at.png","Figure")</f>
        <v>Figure</v>
      </c>
      <c r="I7041">
        <v>1.17</v>
      </c>
      <c r="J7041">
        <v>0.35</v>
      </c>
      <c r="K7041">
        <v>0.91600000000000004</v>
      </c>
      <c r="L7041">
        <v>0.63</v>
      </c>
      <c r="M7041">
        <v>0.78500000000000003</v>
      </c>
      <c r="N7041">
        <v>7.5999999999999998E-2</v>
      </c>
    </row>
    <row r="7042" spans="1:14" x14ac:dyDescent="0.25">
      <c r="A7042" t="s">
        <v>12582</v>
      </c>
      <c r="B7042" t="s">
        <v>12583</v>
      </c>
      <c r="C7042" s="1" t="str">
        <f>HYPERLINK("http://www.genecards.org/cgi-bin/carddisp.pl?gene=SLC25A30","GeneCards")</f>
        <v>GeneCards</v>
      </c>
      <c r="D7042" s="1" t="str">
        <f>HYPERLINK("http://genome-euro.ucsc.edu/cgi-bin/hgTracks?position=216721_at","UCSC")</f>
        <v>UCSC</v>
      </c>
      <c r="E7042" s="1" t="str">
        <f>HYPERLINK("http://www.ncbi.nlm.nih.gov/gene/?term=SLC25A30","NCBI")</f>
        <v>NCBI</v>
      </c>
      <c r="F7042">
        <v>9.0999999999999998E-2</v>
      </c>
      <c r="G7042">
        <v>0.22</v>
      </c>
      <c r="H7042" s="1" t="str">
        <f>HYPERLINK("http://www.weizmann.ac.il/complex/compphys/software/geview/data/figures/216721_at.png","Figure")</f>
        <v>Figure</v>
      </c>
      <c r="I7042">
        <v>0.97199999999999998</v>
      </c>
      <c r="J7042">
        <v>0.79</v>
      </c>
      <c r="K7042">
        <v>0.91600000000000004</v>
      </c>
      <c r="L7042">
        <v>8.6999999999999994E-2</v>
      </c>
      <c r="M7042">
        <v>0.94299999999999995</v>
      </c>
      <c r="N7042">
        <v>0.34</v>
      </c>
    </row>
    <row r="7043" spans="1:14" x14ac:dyDescent="0.25">
      <c r="A7043" t="s">
        <v>12584</v>
      </c>
      <c r="B7043" t="s">
        <v>12585</v>
      </c>
      <c r="C7043" s="1" t="str">
        <f>HYPERLINK("http://www.genecards.org/cgi-bin/carddisp.pl?gene=MRPL17","GeneCards")</f>
        <v>GeneCards</v>
      </c>
      <c r="D7043" s="1" t="str">
        <f>HYPERLINK("http://genome-euro.ucsc.edu/cgi-bin/hgTracks?position=222216_s_at","UCSC")</f>
        <v>UCSC</v>
      </c>
      <c r="E7043" s="1" t="str">
        <f>HYPERLINK("http://www.ncbi.nlm.nih.gov/gene/?term=MRPL17","NCBI")</f>
        <v>NCBI</v>
      </c>
      <c r="F7043">
        <v>9.0999999999999998E-2</v>
      </c>
      <c r="G7043">
        <v>0.22</v>
      </c>
      <c r="H7043" s="1" t="str">
        <f>HYPERLINK("http://www.weizmann.ac.il/complex/compphys/software/geview/data/figures/222216_s_at.png","Figure")</f>
        <v>Figure</v>
      </c>
      <c r="I7043">
        <v>0.98299999999999998</v>
      </c>
      <c r="J7043">
        <v>0.99</v>
      </c>
      <c r="K7043">
        <v>1.24</v>
      </c>
      <c r="L7043">
        <v>0.15</v>
      </c>
      <c r="M7043">
        <v>1.26</v>
      </c>
      <c r="N7043">
        <v>0.15</v>
      </c>
    </row>
    <row r="7044" spans="1:14" x14ac:dyDescent="0.25">
      <c r="A7044" t="s">
        <v>12586</v>
      </c>
      <c r="B7044" t="s">
        <v>8970</v>
      </c>
      <c r="C7044" s="1" t="str">
        <f>HYPERLINK("http://www.genecards.org/cgi-bin/carddisp.pl?gene=FKBP1A","GeneCards")</f>
        <v>GeneCards</v>
      </c>
      <c r="D7044" s="1" t="str">
        <f>HYPERLINK("http://genome-euro.ucsc.edu/cgi-bin/hgTracks?position=210186_s_at","UCSC")</f>
        <v>UCSC</v>
      </c>
      <c r="E7044" s="1" t="str">
        <f>HYPERLINK("http://www.ncbi.nlm.nih.gov/gene/?term=FKBP1A","NCBI")</f>
        <v>NCBI</v>
      </c>
      <c r="F7044">
        <v>9.0999999999999998E-2</v>
      </c>
      <c r="G7044">
        <v>0.22</v>
      </c>
      <c r="H7044" s="1" t="str">
        <f>HYPERLINK("http://www.weizmann.ac.il/complex/compphys/software/geview/data/figures/210186_s_at.png","Figure")</f>
        <v>Figure</v>
      </c>
      <c r="I7044">
        <v>1.17</v>
      </c>
      <c r="J7044">
        <v>0.47</v>
      </c>
      <c r="K7044">
        <v>0.873</v>
      </c>
      <c r="L7044">
        <v>0.49</v>
      </c>
      <c r="M7044">
        <v>0.74399999999999999</v>
      </c>
      <c r="N7044">
        <v>7.8E-2</v>
      </c>
    </row>
    <row r="7045" spans="1:14" x14ac:dyDescent="0.25">
      <c r="A7045" t="s">
        <v>12587</v>
      </c>
      <c r="B7045" t="s">
        <v>5068</v>
      </c>
      <c r="C7045" s="1" t="str">
        <f>HYPERLINK("http://www.genecards.org/cgi-bin/carddisp.pl?gene=AFF2","GeneCards")</f>
        <v>GeneCards</v>
      </c>
      <c r="D7045" s="1" t="str">
        <f>HYPERLINK("http://genome-euro.ucsc.edu/cgi-bin/hgTracks?position=210957_s_at","UCSC")</f>
        <v>UCSC</v>
      </c>
      <c r="E7045" s="1" t="str">
        <f>HYPERLINK("http://www.ncbi.nlm.nih.gov/gene/?term=AFF2","NCBI")</f>
        <v>NCBI</v>
      </c>
      <c r="F7045">
        <v>9.0999999999999998E-2</v>
      </c>
      <c r="G7045">
        <v>0.22</v>
      </c>
      <c r="H7045" s="1" t="str">
        <f>HYPERLINK("http://www.weizmann.ac.il/complex/compphys/software/geview/data/figures/210957_s_at.png","Figure")</f>
        <v>Figure</v>
      </c>
      <c r="I7045">
        <v>1.18</v>
      </c>
      <c r="J7045">
        <v>8.5000000000000006E-2</v>
      </c>
      <c r="K7045">
        <v>1.04</v>
      </c>
      <c r="L7045">
        <v>0.76</v>
      </c>
      <c r="M7045">
        <v>0.88800000000000001</v>
      </c>
      <c r="N7045">
        <v>0.2</v>
      </c>
    </row>
    <row r="7046" spans="1:14" x14ac:dyDescent="0.25">
      <c r="A7046" t="s">
        <v>12588</v>
      </c>
      <c r="B7046" t="s">
        <v>9197</v>
      </c>
      <c r="C7046" s="1" t="str">
        <f>HYPERLINK("http://www.genecards.org/cgi-bin/carddisp.pl?gene=POLG","GeneCards")</f>
        <v>GeneCards</v>
      </c>
      <c r="D7046" s="1" t="str">
        <f>HYPERLINK("http://genome-euro.ucsc.edu/cgi-bin/hgTracks?position=217636_at","UCSC")</f>
        <v>UCSC</v>
      </c>
      <c r="E7046" s="1" t="str">
        <f>HYPERLINK("http://www.ncbi.nlm.nih.gov/gene/?term=POLG","NCBI")</f>
        <v>NCBI</v>
      </c>
      <c r="F7046">
        <v>9.1999999999999998E-2</v>
      </c>
      <c r="G7046">
        <v>0.22</v>
      </c>
      <c r="H7046" s="1" t="str">
        <f>HYPERLINK("http://www.weizmann.ac.il/complex/compphys/software/geview/data/figures/217636_at.png","Figure")</f>
        <v>Figure</v>
      </c>
      <c r="I7046">
        <v>1.1299999999999999</v>
      </c>
      <c r="J7046">
        <v>0.18</v>
      </c>
      <c r="K7046">
        <v>0.98299999999999998</v>
      </c>
      <c r="L7046">
        <v>0.95</v>
      </c>
      <c r="M7046">
        <v>0.872</v>
      </c>
      <c r="N7046">
        <v>8.8999999999999996E-2</v>
      </c>
    </row>
    <row r="7047" spans="1:14" x14ac:dyDescent="0.25">
      <c r="A7047" t="s">
        <v>12589</v>
      </c>
      <c r="B7047" t="s">
        <v>12590</v>
      </c>
      <c r="C7047" s="1" t="str">
        <f>HYPERLINK("http://www.genecards.org/cgi-bin/carddisp.pl?gene=LALBA","GeneCards")</f>
        <v>GeneCards</v>
      </c>
      <c r="D7047" s="1" t="str">
        <f>HYPERLINK("http://genome-euro.ucsc.edu/cgi-bin/hgTracks?position=207816_at","UCSC")</f>
        <v>UCSC</v>
      </c>
      <c r="E7047" s="1" t="str">
        <f>HYPERLINK("http://www.ncbi.nlm.nih.gov/gene/?term=LALBA","NCBI")</f>
        <v>NCBI</v>
      </c>
      <c r="F7047">
        <v>9.1999999999999998E-2</v>
      </c>
      <c r="G7047">
        <v>0.22</v>
      </c>
      <c r="H7047" s="1" t="str">
        <f>HYPERLINK("http://www.weizmann.ac.il/complex/compphys/software/geview/data/figures/207816_at.png","Figure")</f>
        <v>Figure</v>
      </c>
      <c r="I7047">
        <v>1.0900000000000001</v>
      </c>
      <c r="J7047">
        <v>0.16</v>
      </c>
      <c r="K7047">
        <v>0.99299999999999999</v>
      </c>
      <c r="L7047">
        <v>0.98</v>
      </c>
      <c r="M7047">
        <v>0.91</v>
      </c>
      <c r="N7047">
        <v>9.5000000000000001E-2</v>
      </c>
    </row>
    <row r="7048" spans="1:14" x14ac:dyDescent="0.25">
      <c r="A7048" t="s">
        <v>12591</v>
      </c>
      <c r="B7048" t="s">
        <v>12592</v>
      </c>
      <c r="C7048" s="1" t="str">
        <f>HYPERLINK("http://www.genecards.org/cgi-bin/carddisp.pl?gene=RNF126","GeneCards")</f>
        <v>GeneCards</v>
      </c>
      <c r="D7048" s="1" t="str">
        <f>HYPERLINK("http://genome-euro.ucsc.edu/cgi-bin/hgTracks?position=205748_s_at","UCSC")</f>
        <v>UCSC</v>
      </c>
      <c r="E7048" s="1" t="str">
        <f>HYPERLINK("http://www.ncbi.nlm.nih.gov/gene/?term=RNF126","NCBI")</f>
        <v>NCBI</v>
      </c>
      <c r="F7048">
        <v>9.1999999999999998E-2</v>
      </c>
      <c r="G7048">
        <v>0.22</v>
      </c>
      <c r="H7048" s="1" t="str">
        <f>HYPERLINK("http://www.weizmann.ac.il/complex/compphys/software/geview/data/figures/205748_s_at.png","Figure")</f>
        <v>Figure</v>
      </c>
      <c r="I7048">
        <v>0.85</v>
      </c>
      <c r="J7048">
        <v>0.12</v>
      </c>
      <c r="K7048">
        <v>0.872</v>
      </c>
      <c r="L7048">
        <v>0.14000000000000001</v>
      </c>
      <c r="M7048">
        <v>1.03</v>
      </c>
      <c r="N7048">
        <v>0.93</v>
      </c>
    </row>
    <row r="7049" spans="1:14" x14ac:dyDescent="0.25">
      <c r="A7049" t="s">
        <v>12593</v>
      </c>
      <c r="B7049" t="s">
        <v>10760</v>
      </c>
      <c r="C7049" s="1" t="str">
        <f>HYPERLINK("http://www.genecards.org/cgi-bin/carddisp.pl?gene=KLC1","GeneCards")</f>
        <v>GeneCards</v>
      </c>
      <c r="D7049" s="1" t="str">
        <f>HYPERLINK("http://genome-euro.ucsc.edu/cgi-bin/hgTracks?position=212878_s_at","UCSC")</f>
        <v>UCSC</v>
      </c>
      <c r="E7049" s="1" t="str">
        <f>HYPERLINK("http://www.ncbi.nlm.nih.gov/gene/?term=KLC1","NCBI")</f>
        <v>NCBI</v>
      </c>
      <c r="F7049">
        <v>9.1999999999999998E-2</v>
      </c>
      <c r="G7049">
        <v>0.22</v>
      </c>
      <c r="H7049" s="1" t="str">
        <f>HYPERLINK("http://www.weizmann.ac.il/complex/compphys/software/geview/data/figures/212878_s_at.png","Figure")</f>
        <v>Figure</v>
      </c>
      <c r="I7049">
        <v>0.79100000000000004</v>
      </c>
      <c r="J7049">
        <v>0.48</v>
      </c>
      <c r="K7049">
        <v>1.23</v>
      </c>
      <c r="L7049">
        <v>0.48</v>
      </c>
      <c r="M7049">
        <v>1.55</v>
      </c>
      <c r="N7049">
        <v>7.9000000000000001E-2</v>
      </c>
    </row>
    <row r="7050" spans="1:14" x14ac:dyDescent="0.25">
      <c r="A7050" t="s">
        <v>12594</v>
      </c>
      <c r="B7050" t="s">
        <v>12595</v>
      </c>
      <c r="C7050" s="1" t="str">
        <f>HYPERLINK("http://www.genecards.org/cgi-bin/carddisp.pl?gene=NVL","GeneCards")</f>
        <v>GeneCards</v>
      </c>
      <c r="D7050" s="1" t="str">
        <f>HYPERLINK("http://genome-euro.ucsc.edu/cgi-bin/hgTracks?position=207877_s_at","UCSC")</f>
        <v>UCSC</v>
      </c>
      <c r="E7050" s="1" t="str">
        <f>HYPERLINK("http://www.ncbi.nlm.nih.gov/gene/?term=NVL","NCBI")</f>
        <v>NCBI</v>
      </c>
      <c r="F7050">
        <v>9.1999999999999998E-2</v>
      </c>
      <c r="G7050">
        <v>0.22</v>
      </c>
      <c r="H7050" s="1" t="str">
        <f>HYPERLINK("http://www.weizmann.ac.il/complex/compphys/software/geview/data/figures/207877_s_at.png","Figure")</f>
        <v>Figure</v>
      </c>
      <c r="I7050">
        <v>1.44</v>
      </c>
      <c r="J7050">
        <v>0.24</v>
      </c>
      <c r="K7050">
        <v>1.55</v>
      </c>
      <c r="L7050">
        <v>8.7999999999999995E-2</v>
      </c>
      <c r="M7050">
        <v>1.07</v>
      </c>
      <c r="N7050">
        <v>0.94</v>
      </c>
    </row>
    <row r="7051" spans="1:14" x14ac:dyDescent="0.25">
      <c r="A7051" t="s">
        <v>12596</v>
      </c>
      <c r="B7051" t="s">
        <v>12597</v>
      </c>
      <c r="C7051" s="1" t="str">
        <f>HYPERLINK("http://www.genecards.org/cgi-bin/carddisp.pl?gene=POTEK","GeneCards")</f>
        <v>GeneCards</v>
      </c>
      <c r="D7051" s="1" t="str">
        <f>HYPERLINK("http://genome-euro.ucsc.edu/cgi-bin/hgTracks?position=210926_at","UCSC")</f>
        <v>UCSC</v>
      </c>
      <c r="E7051" s="1" t="str">
        <f>HYPERLINK("http://www.ncbi.nlm.nih.gov/gene/?term=POTEK","NCBI")</f>
        <v>NCBI</v>
      </c>
      <c r="F7051">
        <v>9.1999999999999998E-2</v>
      </c>
      <c r="G7051">
        <v>0.22</v>
      </c>
      <c r="H7051" s="1" t="str">
        <f>HYPERLINK("http://www.weizmann.ac.il/complex/compphys/software/geview/data/figures/210926_at.png","Figure")</f>
        <v>Figure</v>
      </c>
      <c r="I7051">
        <v>1.26</v>
      </c>
      <c r="J7051">
        <v>0.13</v>
      </c>
      <c r="K7051">
        <v>1.22</v>
      </c>
      <c r="L7051">
        <v>0.14000000000000001</v>
      </c>
      <c r="M7051">
        <v>0.96699999999999997</v>
      </c>
      <c r="N7051">
        <v>0.95</v>
      </c>
    </row>
    <row r="7052" spans="1:14" x14ac:dyDescent="0.25">
      <c r="A7052" t="s">
        <v>12598</v>
      </c>
      <c r="B7052" t="s">
        <v>12599</v>
      </c>
      <c r="C7052" s="1" t="str">
        <f>HYPERLINK("http://www.genecards.org/cgi-bin/carddisp.pl?gene=KPNA6","GeneCards")</f>
        <v>GeneCards</v>
      </c>
      <c r="D7052" s="1" t="str">
        <f>HYPERLINK("http://genome-euro.ucsc.edu/cgi-bin/hgTracks?position=212101_at","UCSC")</f>
        <v>UCSC</v>
      </c>
      <c r="E7052" s="1" t="str">
        <f>HYPERLINK("http://www.ncbi.nlm.nih.gov/gene/?term=KPNA6","NCBI")</f>
        <v>NCBI</v>
      </c>
      <c r="F7052">
        <v>9.1999999999999998E-2</v>
      </c>
      <c r="G7052">
        <v>0.22</v>
      </c>
      <c r="H7052" s="1" t="str">
        <f>HYPERLINK("http://www.weizmann.ac.il/complex/compphys/software/geview/data/figures/212101_at.png","Figure")</f>
        <v>Figure</v>
      </c>
      <c r="I7052">
        <v>1.22</v>
      </c>
      <c r="J7052">
        <v>0.15</v>
      </c>
      <c r="K7052">
        <v>0.99</v>
      </c>
      <c r="L7052">
        <v>0.99</v>
      </c>
      <c r="M7052">
        <v>0.81</v>
      </c>
      <c r="N7052">
        <v>9.9000000000000005E-2</v>
      </c>
    </row>
    <row r="7053" spans="1:14" x14ac:dyDescent="0.25">
      <c r="A7053" t="s">
        <v>12600</v>
      </c>
      <c r="B7053" t="s">
        <v>12601</v>
      </c>
      <c r="C7053" s="1" t="str">
        <f>HYPERLINK("http://www.genecards.org/cgi-bin/carddisp.pl?gene=SERP1","GeneCards")</f>
        <v>GeneCards</v>
      </c>
      <c r="D7053" s="1" t="str">
        <f>HYPERLINK("http://genome-euro.ucsc.edu/cgi-bin/hgTracks?position=200971_s_at","UCSC")</f>
        <v>UCSC</v>
      </c>
      <c r="E7053" s="1" t="str">
        <f>HYPERLINK("http://www.ncbi.nlm.nih.gov/gene/?term=SERP1","NCBI")</f>
        <v>NCBI</v>
      </c>
      <c r="F7053">
        <v>9.1999999999999998E-2</v>
      </c>
      <c r="G7053">
        <v>0.22</v>
      </c>
      <c r="H7053" s="1" t="str">
        <f>HYPERLINK("http://www.weizmann.ac.il/complex/compphys/software/geview/data/figures/200971_s_at.png","Figure")</f>
        <v>Figure</v>
      </c>
      <c r="I7053">
        <v>1.1499999999999999</v>
      </c>
      <c r="J7053">
        <v>0.78</v>
      </c>
      <c r="K7053">
        <v>1.52</v>
      </c>
      <c r="L7053">
        <v>8.6999999999999994E-2</v>
      </c>
      <c r="M7053">
        <v>1.32</v>
      </c>
      <c r="N7053">
        <v>0.35</v>
      </c>
    </row>
    <row r="7054" spans="1:14" x14ac:dyDescent="0.25">
      <c r="A7054" t="s">
        <v>12602</v>
      </c>
      <c r="B7054" t="s">
        <v>12603</v>
      </c>
      <c r="C7054" s="1" t="str">
        <f>HYPERLINK("http://www.genecards.org/cgi-bin/carddisp.pl?gene=CYP1A1","GeneCards")</f>
        <v>GeneCards</v>
      </c>
      <c r="D7054" s="1" t="str">
        <f>HYPERLINK("http://genome-euro.ucsc.edu/cgi-bin/hgTracks?position=205749_at","UCSC")</f>
        <v>UCSC</v>
      </c>
      <c r="E7054" s="1" t="str">
        <f>HYPERLINK("http://www.ncbi.nlm.nih.gov/gene/?term=CYP1A1","NCBI")</f>
        <v>NCBI</v>
      </c>
      <c r="F7054">
        <v>9.1999999999999998E-2</v>
      </c>
      <c r="G7054">
        <v>0.22</v>
      </c>
      <c r="H7054" s="1" t="str">
        <f>HYPERLINK("http://www.weizmann.ac.il/complex/compphys/software/geview/data/figures/205749_at.png","Figure")</f>
        <v>Figure</v>
      </c>
      <c r="I7054">
        <v>1.1100000000000001</v>
      </c>
      <c r="J7054">
        <v>9.1999999999999998E-2</v>
      </c>
      <c r="K7054">
        <v>1.02</v>
      </c>
      <c r="L7054">
        <v>0.84</v>
      </c>
      <c r="M7054">
        <v>0.92400000000000004</v>
      </c>
      <c r="N7054">
        <v>0.17</v>
      </c>
    </row>
    <row r="7055" spans="1:14" x14ac:dyDescent="0.25">
      <c r="A7055" t="s">
        <v>12604</v>
      </c>
      <c r="B7055" t="s">
        <v>7036</v>
      </c>
      <c r="C7055" s="1" t="str">
        <f>HYPERLINK("http://www.genecards.org/cgi-bin/carddisp.pl?gene=WIPI2","GeneCards")</f>
        <v>GeneCards</v>
      </c>
      <c r="D7055" s="1" t="str">
        <f>HYPERLINK("http://genome-euro.ucsc.edu/cgi-bin/hgTracks?position=214699_x_at","UCSC")</f>
        <v>UCSC</v>
      </c>
      <c r="E7055" s="1" t="str">
        <f>HYPERLINK("http://www.ncbi.nlm.nih.gov/gene/?term=WIPI2","NCBI")</f>
        <v>NCBI</v>
      </c>
      <c r="F7055">
        <v>9.1999999999999998E-2</v>
      </c>
      <c r="G7055">
        <v>0.22</v>
      </c>
      <c r="H7055" s="1" t="str">
        <f>HYPERLINK("http://www.weizmann.ac.il/complex/compphys/software/geview/data/figures/214699_x_at.png","Figure")</f>
        <v>Figure</v>
      </c>
      <c r="I7055">
        <v>1.25</v>
      </c>
      <c r="J7055">
        <v>0.1</v>
      </c>
      <c r="K7055">
        <v>1.03</v>
      </c>
      <c r="L7055">
        <v>0.92</v>
      </c>
      <c r="M7055">
        <v>0.82799999999999996</v>
      </c>
      <c r="N7055">
        <v>0.14000000000000001</v>
      </c>
    </row>
    <row r="7056" spans="1:14" x14ac:dyDescent="0.25">
      <c r="A7056" t="s">
        <v>12605</v>
      </c>
      <c r="B7056" t="s">
        <v>8789</v>
      </c>
      <c r="C7056" s="1" t="str">
        <f>HYPERLINK("http://www.genecards.org/cgi-bin/carddisp.pl?gene=RASSF7","GeneCards")</f>
        <v>GeneCards</v>
      </c>
      <c r="D7056" s="1" t="str">
        <f>HYPERLINK("http://genome-euro.ucsc.edu/cgi-bin/hgTracks?position=204927_at","UCSC")</f>
        <v>UCSC</v>
      </c>
      <c r="E7056" s="1" t="str">
        <f>HYPERLINK("http://www.ncbi.nlm.nih.gov/gene/?term=RASSF7","NCBI")</f>
        <v>NCBI</v>
      </c>
      <c r="F7056">
        <v>9.1999999999999998E-2</v>
      </c>
      <c r="G7056">
        <v>0.22</v>
      </c>
      <c r="H7056" s="1" t="str">
        <f>HYPERLINK("http://www.weizmann.ac.il/complex/compphys/software/geview/data/figures/204927_at.png","Figure")</f>
        <v>Figure</v>
      </c>
      <c r="I7056">
        <v>1.31</v>
      </c>
      <c r="J7056">
        <v>0.11</v>
      </c>
      <c r="K7056">
        <v>1.24</v>
      </c>
      <c r="L7056">
        <v>0.16</v>
      </c>
      <c r="M7056">
        <v>0.94499999999999995</v>
      </c>
      <c r="N7056">
        <v>0.88</v>
      </c>
    </row>
    <row r="7057" spans="1:14" x14ac:dyDescent="0.25">
      <c r="A7057" t="s">
        <v>12606</v>
      </c>
      <c r="B7057" t="s">
        <v>12607</v>
      </c>
      <c r="C7057" s="1" t="str">
        <f>HYPERLINK("http://www.genecards.org/cgi-bin/carddisp.pl?gene=AHSG /// LOC100131613","GeneCards")</f>
        <v>GeneCards</v>
      </c>
      <c r="D7057" s="1" t="str">
        <f>HYPERLINK("http://genome-euro.ucsc.edu/cgi-bin/hgTracks?position=210929_s_at","UCSC")</f>
        <v>UCSC</v>
      </c>
      <c r="E7057" s="1" t="str">
        <f>HYPERLINK("http://www.ncbi.nlm.nih.gov/gene/?term=AHSG /// LOC100131613","NCBI")</f>
        <v>NCBI</v>
      </c>
      <c r="F7057">
        <v>9.1999999999999998E-2</v>
      </c>
      <c r="G7057">
        <v>0.22</v>
      </c>
      <c r="H7057" s="1" t="str">
        <f>HYPERLINK("http://www.weizmann.ac.il/complex/compphys/software/geview/data/figures/210929_s_at.png","Figure")</f>
        <v>Figure</v>
      </c>
      <c r="I7057">
        <v>1.06</v>
      </c>
      <c r="J7057">
        <v>0.66</v>
      </c>
      <c r="K7057">
        <v>0.92100000000000004</v>
      </c>
      <c r="L7057">
        <v>0.33</v>
      </c>
      <c r="M7057">
        <v>0.871</v>
      </c>
      <c r="N7057">
        <v>8.7999999999999995E-2</v>
      </c>
    </row>
    <row r="7058" spans="1:14" x14ac:dyDescent="0.25">
      <c r="A7058" t="s">
        <v>12608</v>
      </c>
      <c r="B7058" t="s">
        <v>4104</v>
      </c>
      <c r="C7058" s="1" t="str">
        <f>HYPERLINK("http://www.genecards.org/cgi-bin/carddisp.pl?gene=KIAA0494","GeneCards")</f>
        <v>GeneCards</v>
      </c>
      <c r="D7058" s="1" t="str">
        <f>HYPERLINK("http://genome-euro.ucsc.edu/cgi-bin/hgTracks?position=201777_s_at","UCSC")</f>
        <v>UCSC</v>
      </c>
      <c r="E7058" s="1" t="str">
        <f>HYPERLINK("http://www.ncbi.nlm.nih.gov/gene/?term=KIAA0494","NCBI")</f>
        <v>NCBI</v>
      </c>
      <c r="F7058">
        <v>9.1999999999999998E-2</v>
      </c>
      <c r="G7058">
        <v>0.22</v>
      </c>
      <c r="H7058" s="1" t="str">
        <f>HYPERLINK("http://www.weizmann.ac.il/complex/compphys/software/geview/data/figures/201777_s_at.png","Figure")</f>
        <v>Figure</v>
      </c>
      <c r="I7058">
        <v>1.2</v>
      </c>
      <c r="J7058">
        <v>7.6999999999999999E-2</v>
      </c>
      <c r="K7058">
        <v>1.0900000000000001</v>
      </c>
      <c r="L7058">
        <v>0.41</v>
      </c>
      <c r="M7058">
        <v>0.91100000000000003</v>
      </c>
      <c r="N7058">
        <v>0.4</v>
      </c>
    </row>
    <row r="7059" spans="1:14" x14ac:dyDescent="0.25">
      <c r="A7059" t="s">
        <v>12609</v>
      </c>
      <c r="B7059" t="s">
        <v>12610</v>
      </c>
      <c r="C7059" s="1" t="str">
        <f>HYPERLINK("http://www.genecards.org/cgi-bin/carddisp.pl?gene=CKM","GeneCards")</f>
        <v>GeneCards</v>
      </c>
      <c r="D7059" s="1" t="str">
        <f>HYPERLINK("http://genome-euro.ucsc.edu/cgi-bin/hgTracks?position=204810_s_at","UCSC")</f>
        <v>UCSC</v>
      </c>
      <c r="E7059" s="1" t="str">
        <f>HYPERLINK("http://www.ncbi.nlm.nih.gov/gene/?term=CKM","NCBI")</f>
        <v>NCBI</v>
      </c>
      <c r="F7059">
        <v>9.1999999999999998E-2</v>
      </c>
      <c r="G7059">
        <v>0.22</v>
      </c>
      <c r="H7059" s="1" t="str">
        <f>HYPERLINK("http://www.weizmann.ac.il/complex/compphys/software/geview/data/figures/204810_s_at.png","Figure")</f>
        <v>Figure</v>
      </c>
      <c r="I7059">
        <v>1.01</v>
      </c>
      <c r="J7059">
        <v>0.17</v>
      </c>
      <c r="K7059">
        <v>1.01</v>
      </c>
      <c r="L7059">
        <v>0.11</v>
      </c>
      <c r="M7059">
        <v>1</v>
      </c>
      <c r="N7059">
        <v>1</v>
      </c>
    </row>
    <row r="7060" spans="1:14" x14ac:dyDescent="0.25">
      <c r="A7060" t="s">
        <v>12611</v>
      </c>
      <c r="B7060" t="s">
        <v>10411</v>
      </c>
      <c r="C7060" s="1" t="str">
        <f>HYPERLINK("http://www.genecards.org/cgi-bin/carddisp.pl?gene=AKAP7","GeneCards")</f>
        <v>GeneCards</v>
      </c>
      <c r="D7060" s="1" t="str">
        <f>HYPERLINK("http://genome-euro.ucsc.edu/cgi-bin/hgTracks?position=205771_s_at","UCSC")</f>
        <v>UCSC</v>
      </c>
      <c r="E7060" s="1" t="str">
        <f>HYPERLINK("http://www.ncbi.nlm.nih.gov/gene/?term=AKAP7","NCBI")</f>
        <v>NCBI</v>
      </c>
      <c r="F7060">
        <v>9.1999999999999998E-2</v>
      </c>
      <c r="G7060">
        <v>0.22</v>
      </c>
      <c r="H7060" s="1" t="str">
        <f>HYPERLINK("http://www.weizmann.ac.il/complex/compphys/software/geview/data/figures/205771_s_at.png","Figure")</f>
        <v>Figure</v>
      </c>
      <c r="I7060">
        <v>0.7</v>
      </c>
      <c r="J7060">
        <v>0.15</v>
      </c>
      <c r="K7060">
        <v>1.01</v>
      </c>
      <c r="L7060">
        <v>1</v>
      </c>
      <c r="M7060">
        <v>1.45</v>
      </c>
      <c r="N7060">
        <v>0.1</v>
      </c>
    </row>
    <row r="7061" spans="1:14" x14ac:dyDescent="0.25">
      <c r="A7061" t="s">
        <v>12612</v>
      </c>
      <c r="B7061" t="s">
        <v>12613</v>
      </c>
      <c r="C7061" s="1" t="str">
        <f>HYPERLINK("http://www.genecards.org/cgi-bin/carddisp.pl?gene=ESYT1","GeneCards")</f>
        <v>GeneCards</v>
      </c>
      <c r="D7061" s="1" t="str">
        <f>HYPERLINK("http://genome-euro.ucsc.edu/cgi-bin/hgTracks?position=208858_s_at","UCSC")</f>
        <v>UCSC</v>
      </c>
      <c r="E7061" s="1" t="str">
        <f>HYPERLINK("http://www.ncbi.nlm.nih.gov/gene/?term=ESYT1","NCBI")</f>
        <v>NCBI</v>
      </c>
      <c r="F7061">
        <v>9.1999999999999998E-2</v>
      </c>
      <c r="G7061">
        <v>0.22</v>
      </c>
      <c r="H7061" s="1" t="str">
        <f>HYPERLINK("http://www.weizmann.ac.il/complex/compphys/software/geview/data/figures/208858_s_at.png","Figure")</f>
        <v>Figure</v>
      </c>
      <c r="I7061">
        <v>1.19</v>
      </c>
      <c r="J7061">
        <v>0.5</v>
      </c>
      <c r="K7061">
        <v>1.38</v>
      </c>
      <c r="L7061">
        <v>7.6999999999999999E-2</v>
      </c>
      <c r="M7061">
        <v>1.1499999999999999</v>
      </c>
      <c r="N7061">
        <v>0.57999999999999996</v>
      </c>
    </row>
    <row r="7062" spans="1:14" x14ac:dyDescent="0.25">
      <c r="A7062" t="s">
        <v>12614</v>
      </c>
      <c r="B7062" t="s">
        <v>2067</v>
      </c>
      <c r="C7062" s="1" t="str">
        <f>HYPERLINK("http://www.genecards.org/cgi-bin/carddisp.pl?gene=CD84","GeneCards")</f>
        <v>GeneCards</v>
      </c>
      <c r="D7062" s="1" t="str">
        <f>HYPERLINK("http://genome-euro.ucsc.edu/cgi-bin/hgTracks?position=211192_s_at","UCSC")</f>
        <v>UCSC</v>
      </c>
      <c r="E7062" s="1" t="str">
        <f>HYPERLINK("http://www.ncbi.nlm.nih.gov/gene/?term=CD84","NCBI")</f>
        <v>NCBI</v>
      </c>
      <c r="F7062">
        <v>9.1999999999999998E-2</v>
      </c>
      <c r="G7062">
        <v>0.22</v>
      </c>
      <c r="H7062" s="1" t="str">
        <f>HYPERLINK("http://www.weizmann.ac.il/complex/compphys/software/geview/data/figures/211192_s_at.png","Figure")</f>
        <v>Figure</v>
      </c>
      <c r="I7062">
        <v>1.27</v>
      </c>
      <c r="J7062">
        <v>0.17</v>
      </c>
      <c r="K7062">
        <v>1.27</v>
      </c>
      <c r="L7062">
        <v>0.11</v>
      </c>
      <c r="M7062">
        <v>1</v>
      </c>
      <c r="N7062">
        <v>1</v>
      </c>
    </row>
    <row r="7063" spans="1:14" x14ac:dyDescent="0.25">
      <c r="A7063" t="s">
        <v>12615</v>
      </c>
      <c r="B7063" t="s">
        <v>12616</v>
      </c>
      <c r="C7063" s="1" t="str">
        <f>HYPERLINK("http://www.genecards.org/cgi-bin/carddisp.pl?gene=IGHG1 /// IGHM /// LOC100133862","GeneCards")</f>
        <v>GeneCards</v>
      </c>
      <c r="D7063" s="1" t="str">
        <f>HYPERLINK("http://genome-euro.ucsc.edu/cgi-bin/hgTracks?position=211648_at","UCSC")</f>
        <v>UCSC</v>
      </c>
      <c r="E7063" s="1" t="str">
        <f>HYPERLINK("http://www.ncbi.nlm.nih.gov/gene/?term=IGHG1 /// IGHM /// LOC100133862","NCBI")</f>
        <v>NCBI</v>
      </c>
      <c r="F7063">
        <v>9.1999999999999998E-2</v>
      </c>
      <c r="G7063">
        <v>0.22</v>
      </c>
      <c r="H7063" s="1" t="str">
        <f>HYPERLINK("http://www.weizmann.ac.il/complex/compphys/software/geview/data/figures/211648_at.png","Figure")</f>
        <v>Figure</v>
      </c>
      <c r="I7063">
        <v>1.06</v>
      </c>
      <c r="J7063">
        <v>0.1</v>
      </c>
      <c r="K7063">
        <v>1.04</v>
      </c>
      <c r="L7063">
        <v>0.19</v>
      </c>
      <c r="M7063">
        <v>0.98499999999999999</v>
      </c>
      <c r="N7063">
        <v>0.79</v>
      </c>
    </row>
    <row r="7064" spans="1:14" x14ac:dyDescent="0.25">
      <c r="A7064" t="s">
        <v>12617</v>
      </c>
      <c r="B7064" t="s">
        <v>2614</v>
      </c>
      <c r="C7064" s="1" t="str">
        <f>HYPERLINK("http://www.genecards.org/cgi-bin/carddisp.pl?gene=KIAA0776","GeneCards")</f>
        <v>GeneCards</v>
      </c>
      <c r="D7064" s="1" t="str">
        <f>HYPERLINK("http://genome-euro.ucsc.edu/cgi-bin/hgTracks?position=212634_at","UCSC")</f>
        <v>UCSC</v>
      </c>
      <c r="E7064" s="1" t="str">
        <f>HYPERLINK("http://www.ncbi.nlm.nih.gov/gene/?term=KIAA0776","NCBI")</f>
        <v>NCBI</v>
      </c>
      <c r="F7064">
        <v>9.1999999999999998E-2</v>
      </c>
      <c r="G7064">
        <v>0.22</v>
      </c>
      <c r="H7064" s="1" t="str">
        <f>HYPERLINK("http://www.weizmann.ac.il/complex/compphys/software/geview/data/figures/212634_at.png","Figure")</f>
        <v>Figure</v>
      </c>
      <c r="I7064">
        <v>0.67400000000000004</v>
      </c>
      <c r="J7064">
        <v>0.08</v>
      </c>
      <c r="K7064">
        <v>0.80700000000000005</v>
      </c>
      <c r="L7064">
        <v>0.33</v>
      </c>
      <c r="M7064">
        <v>1.2</v>
      </c>
      <c r="N7064">
        <v>0.49</v>
      </c>
    </row>
    <row r="7065" spans="1:14" x14ac:dyDescent="0.25">
      <c r="A7065" t="s">
        <v>12618</v>
      </c>
      <c r="B7065" t="s">
        <v>12619</v>
      </c>
      <c r="C7065" s="1" t="str">
        <f>HYPERLINK("http://www.genecards.org/cgi-bin/carddisp.pl?gene=SIGLEC8","GeneCards")</f>
        <v>GeneCards</v>
      </c>
      <c r="D7065" s="1" t="str">
        <f>HYPERLINK("http://genome-euro.ucsc.edu/cgi-bin/hgTracks?position=216327_s_at","UCSC")</f>
        <v>UCSC</v>
      </c>
      <c r="E7065" s="1" t="str">
        <f>HYPERLINK("http://www.ncbi.nlm.nih.gov/gene/?term=SIGLEC8","NCBI")</f>
        <v>NCBI</v>
      </c>
      <c r="F7065">
        <v>9.1999999999999998E-2</v>
      </c>
      <c r="G7065">
        <v>0.22</v>
      </c>
      <c r="H7065" s="1" t="str">
        <f>HYPERLINK("http://www.weizmann.ac.il/complex/compphys/software/geview/data/figures/216327_s_at.png","Figure")</f>
        <v>Figure</v>
      </c>
      <c r="I7065">
        <v>1.1599999999999999</v>
      </c>
      <c r="J7065">
        <v>0.11</v>
      </c>
      <c r="K7065">
        <v>1.1200000000000001</v>
      </c>
      <c r="L7065">
        <v>0.16</v>
      </c>
      <c r="M7065">
        <v>0.96799999999999997</v>
      </c>
      <c r="N7065">
        <v>0.86</v>
      </c>
    </row>
    <row r="7066" spans="1:14" x14ac:dyDescent="0.25">
      <c r="A7066" t="s">
        <v>12620</v>
      </c>
      <c r="B7066" t="s">
        <v>8000</v>
      </c>
      <c r="C7066" s="1" t="str">
        <f>HYPERLINK("http://www.genecards.org/cgi-bin/carddisp.pl?gene=MRPL9","GeneCards")</f>
        <v>GeneCards</v>
      </c>
      <c r="D7066" s="1" t="str">
        <f>HYPERLINK("http://genome-euro.ucsc.edu/cgi-bin/hgTracks?position=209609_s_at","UCSC")</f>
        <v>UCSC</v>
      </c>
      <c r="E7066" s="1" t="str">
        <f>HYPERLINK("http://www.ncbi.nlm.nih.gov/gene/?term=MRPL9","NCBI")</f>
        <v>NCBI</v>
      </c>
      <c r="F7066">
        <v>9.1999999999999998E-2</v>
      </c>
      <c r="G7066">
        <v>0.22</v>
      </c>
      <c r="H7066" s="1" t="str">
        <f>HYPERLINK("http://www.weizmann.ac.il/complex/compphys/software/geview/data/figures/209609_s_at.png","Figure")</f>
        <v>Figure</v>
      </c>
      <c r="I7066">
        <v>1.43</v>
      </c>
      <c r="J7066">
        <v>0.1</v>
      </c>
      <c r="K7066">
        <v>1.05</v>
      </c>
      <c r="L7066">
        <v>0.93</v>
      </c>
      <c r="M7066">
        <v>0.73399999999999999</v>
      </c>
      <c r="N7066">
        <v>0.14000000000000001</v>
      </c>
    </row>
    <row r="7067" spans="1:14" x14ac:dyDescent="0.25">
      <c r="A7067" t="s">
        <v>12621</v>
      </c>
      <c r="B7067" t="s">
        <v>12622</v>
      </c>
      <c r="C7067" s="1" t="str">
        <f>HYPERLINK("http://www.genecards.org/cgi-bin/carddisp.pl?gene=ACCN2","GeneCards")</f>
        <v>GeneCards</v>
      </c>
      <c r="D7067" s="1" t="str">
        <f>HYPERLINK("http://genome-euro.ucsc.edu/cgi-bin/hgTracks?position=205156_s_at","UCSC")</f>
        <v>UCSC</v>
      </c>
      <c r="E7067" s="1" t="str">
        <f>HYPERLINK("http://www.ncbi.nlm.nih.gov/gene/?term=ACCN2","NCBI")</f>
        <v>NCBI</v>
      </c>
      <c r="F7067">
        <v>9.1999999999999998E-2</v>
      </c>
      <c r="G7067">
        <v>0.22</v>
      </c>
      <c r="H7067" s="1" t="str">
        <f>HYPERLINK("http://www.weizmann.ac.il/complex/compphys/software/geview/data/figures/205156_s_at.png","Figure")</f>
        <v>Figure</v>
      </c>
      <c r="I7067">
        <v>1.28</v>
      </c>
      <c r="J7067">
        <v>8.2000000000000003E-2</v>
      </c>
      <c r="K7067">
        <v>1.08</v>
      </c>
      <c r="L7067">
        <v>0.69</v>
      </c>
      <c r="M7067">
        <v>0.84299999999999997</v>
      </c>
      <c r="N7067">
        <v>0.22</v>
      </c>
    </row>
    <row r="7068" spans="1:14" x14ac:dyDescent="0.25">
      <c r="A7068" t="s">
        <v>12623</v>
      </c>
      <c r="B7068" t="s">
        <v>12624</v>
      </c>
      <c r="C7068" s="1" t="str">
        <f>HYPERLINK("http://www.genecards.org/cgi-bin/carddisp.pl?gene=CCDC48","GeneCards")</f>
        <v>GeneCards</v>
      </c>
      <c r="D7068" s="1" t="str">
        <f>HYPERLINK("http://genome-euro.ucsc.edu/cgi-bin/hgTracks?position=220006_at","UCSC")</f>
        <v>UCSC</v>
      </c>
      <c r="E7068" s="1" t="str">
        <f>HYPERLINK("http://www.ncbi.nlm.nih.gov/gene/?term=CCDC48","NCBI")</f>
        <v>NCBI</v>
      </c>
      <c r="F7068">
        <v>9.1999999999999998E-2</v>
      </c>
      <c r="G7068">
        <v>0.22</v>
      </c>
      <c r="H7068" s="1" t="str">
        <f>HYPERLINK("http://www.weizmann.ac.il/complex/compphys/software/geview/data/figures/220006_at.png","Figure")</f>
        <v>Figure</v>
      </c>
      <c r="I7068">
        <v>1.18</v>
      </c>
      <c r="J7068">
        <v>0.17</v>
      </c>
      <c r="K7068">
        <v>0.98199999999999998</v>
      </c>
      <c r="L7068">
        <v>0.97</v>
      </c>
      <c r="M7068">
        <v>0.83</v>
      </c>
      <c r="N7068">
        <v>9.1999999999999998E-2</v>
      </c>
    </row>
    <row r="7069" spans="1:14" x14ac:dyDescent="0.25">
      <c r="A7069" t="s">
        <v>12625</v>
      </c>
      <c r="B7069" t="s">
        <v>5678</v>
      </c>
      <c r="C7069" s="1" t="str">
        <f>HYPERLINK("http://www.genecards.org/cgi-bin/carddisp.pl?gene=SFRS3","GeneCards")</f>
        <v>GeneCards</v>
      </c>
      <c r="D7069" s="1" t="str">
        <f>HYPERLINK("http://genome-euro.ucsc.edu/cgi-bin/hgTracks?position=208672_s_at","UCSC")</f>
        <v>UCSC</v>
      </c>
      <c r="E7069" s="1" t="str">
        <f>HYPERLINK("http://www.ncbi.nlm.nih.gov/gene/?term=SFRS3","NCBI")</f>
        <v>NCBI</v>
      </c>
      <c r="F7069">
        <v>9.1999999999999998E-2</v>
      </c>
      <c r="G7069">
        <v>0.22</v>
      </c>
      <c r="H7069" s="1" t="str">
        <f>HYPERLINK("http://www.weizmann.ac.il/complex/compphys/software/geview/data/figures/208672_s_at.png","Figure")</f>
        <v>Figure</v>
      </c>
      <c r="I7069">
        <v>1.1200000000000001</v>
      </c>
      <c r="J7069">
        <v>0.77</v>
      </c>
      <c r="K7069">
        <v>1.4</v>
      </c>
      <c r="L7069">
        <v>8.6999999999999994E-2</v>
      </c>
      <c r="M7069">
        <v>1.25</v>
      </c>
      <c r="N7069">
        <v>0.35</v>
      </c>
    </row>
    <row r="7070" spans="1:14" x14ac:dyDescent="0.25">
      <c r="A7070" t="s">
        <v>12626</v>
      </c>
      <c r="B7070" t="s">
        <v>6517</v>
      </c>
      <c r="C7070" s="1" t="str">
        <f>HYPERLINK("http://www.genecards.org/cgi-bin/carddisp.pl?gene=NADK","GeneCards")</f>
        <v>GeneCards</v>
      </c>
      <c r="D7070" s="1" t="str">
        <f>HYPERLINK("http://genome-euro.ucsc.edu/cgi-bin/hgTracks?position=208919_s_at","UCSC")</f>
        <v>UCSC</v>
      </c>
      <c r="E7070" s="1" t="str">
        <f>HYPERLINK("http://www.ncbi.nlm.nih.gov/gene/?term=NADK","NCBI")</f>
        <v>NCBI</v>
      </c>
      <c r="F7070">
        <v>9.1999999999999998E-2</v>
      </c>
      <c r="G7070">
        <v>0.22</v>
      </c>
      <c r="H7070" s="1" t="str">
        <f>HYPERLINK("http://www.weizmann.ac.il/complex/compphys/software/geview/data/figures/208919_s_at.png","Figure")</f>
        <v>Figure</v>
      </c>
      <c r="I7070">
        <v>1.29</v>
      </c>
      <c r="J7070">
        <v>0.17</v>
      </c>
      <c r="K7070">
        <v>1.29</v>
      </c>
      <c r="L7070">
        <v>0.11</v>
      </c>
      <c r="M7070">
        <v>0.998</v>
      </c>
      <c r="N7070">
        <v>1</v>
      </c>
    </row>
    <row r="7071" spans="1:14" x14ac:dyDescent="0.25">
      <c r="A7071" t="s">
        <v>12627</v>
      </c>
      <c r="B7071" t="s">
        <v>5181</v>
      </c>
      <c r="C7071" s="1" t="str">
        <f>HYPERLINK("http://www.genecards.org/cgi-bin/carddisp.pl?gene=RHEB","GeneCards")</f>
        <v>GeneCards</v>
      </c>
      <c r="D7071" s="1" t="str">
        <f>HYPERLINK("http://genome-euro.ucsc.edu/cgi-bin/hgTracks?position=201451_x_at","UCSC")</f>
        <v>UCSC</v>
      </c>
      <c r="E7071" s="1" t="str">
        <f>HYPERLINK("http://www.ncbi.nlm.nih.gov/gene/?term=RHEB","NCBI")</f>
        <v>NCBI</v>
      </c>
      <c r="F7071">
        <v>9.1999999999999998E-2</v>
      </c>
      <c r="G7071">
        <v>0.22</v>
      </c>
      <c r="H7071" s="1" t="str">
        <f>HYPERLINK("http://www.weizmann.ac.il/complex/compphys/software/geview/data/figures/201451_x_at.png","Figure")</f>
        <v>Figure</v>
      </c>
      <c r="I7071">
        <v>1.2</v>
      </c>
      <c r="J7071">
        <v>9.2999999999999999E-2</v>
      </c>
      <c r="K7071">
        <v>1.1299999999999999</v>
      </c>
      <c r="L7071">
        <v>0.22</v>
      </c>
      <c r="M7071">
        <v>0.94299999999999995</v>
      </c>
      <c r="N7071">
        <v>0.71</v>
      </c>
    </row>
    <row r="7072" spans="1:14" x14ac:dyDescent="0.25">
      <c r="A7072" t="s">
        <v>12628</v>
      </c>
      <c r="B7072" t="s">
        <v>12629</v>
      </c>
      <c r="C7072" s="1" t="str">
        <f>HYPERLINK("http://www.genecards.org/cgi-bin/carddisp.pl?gene=PRKRIP1","GeneCards")</f>
        <v>GeneCards</v>
      </c>
      <c r="D7072" s="1" t="str">
        <f>HYPERLINK("http://genome-euro.ucsc.edu/cgi-bin/hgTracks?position=218378_s_at","UCSC")</f>
        <v>UCSC</v>
      </c>
      <c r="E7072" s="1" t="str">
        <f>HYPERLINK("http://www.ncbi.nlm.nih.gov/gene/?term=PRKRIP1","NCBI")</f>
        <v>NCBI</v>
      </c>
      <c r="F7072">
        <v>9.1999999999999998E-2</v>
      </c>
      <c r="G7072">
        <v>0.22</v>
      </c>
      <c r="H7072" s="1" t="str">
        <f>HYPERLINK("http://www.weizmann.ac.il/complex/compphys/software/geview/data/figures/218378_s_at.png","Figure")</f>
        <v>Figure</v>
      </c>
      <c r="I7072">
        <v>1.2</v>
      </c>
      <c r="J7072">
        <v>0.36</v>
      </c>
      <c r="K7072">
        <v>0.89700000000000002</v>
      </c>
      <c r="L7072">
        <v>0.62</v>
      </c>
      <c r="M7072">
        <v>0.746</v>
      </c>
      <c r="N7072">
        <v>7.6999999999999999E-2</v>
      </c>
    </row>
    <row r="7073" spans="1:14" x14ac:dyDescent="0.25">
      <c r="A7073" t="s">
        <v>12630</v>
      </c>
      <c r="B7073" t="s">
        <v>12631</v>
      </c>
      <c r="C7073" s="1" t="str">
        <f>HYPERLINK("http://www.genecards.org/cgi-bin/carddisp.pl?gene=C16orf7","GeneCards")</f>
        <v>GeneCards</v>
      </c>
      <c r="D7073" s="1" t="str">
        <f>HYPERLINK("http://genome-euro.ucsc.edu/cgi-bin/hgTracks?position=205781_at","UCSC")</f>
        <v>UCSC</v>
      </c>
      <c r="E7073" s="1" t="str">
        <f>HYPERLINK("http://www.ncbi.nlm.nih.gov/gene/?term=C16orf7","NCBI")</f>
        <v>NCBI</v>
      </c>
      <c r="F7073">
        <v>9.1999999999999998E-2</v>
      </c>
      <c r="G7073">
        <v>0.22</v>
      </c>
      <c r="H7073" s="1" t="str">
        <f>HYPERLINK("http://www.weizmann.ac.il/complex/compphys/software/geview/data/figures/205781_at.png","Figure")</f>
        <v>Figure</v>
      </c>
      <c r="I7073">
        <v>1.19</v>
      </c>
      <c r="J7073">
        <v>0.26</v>
      </c>
      <c r="K7073">
        <v>0.94099999999999995</v>
      </c>
      <c r="L7073">
        <v>0.79</v>
      </c>
      <c r="M7073">
        <v>0.79</v>
      </c>
      <c r="N7073">
        <v>7.9000000000000001E-2</v>
      </c>
    </row>
    <row r="7074" spans="1:14" x14ac:dyDescent="0.25">
      <c r="A7074" t="s">
        <v>12632</v>
      </c>
      <c r="B7074" t="s">
        <v>12633</v>
      </c>
      <c r="C7074" s="1" t="str">
        <f>HYPERLINK("http://www.genecards.org/cgi-bin/carddisp.pl?gene=SIDT2","GeneCards")</f>
        <v>GeneCards</v>
      </c>
      <c r="D7074" s="1" t="str">
        <f>HYPERLINK("http://genome-euro.ucsc.edu/cgi-bin/hgTracks?position=56256_at","UCSC")</f>
        <v>UCSC</v>
      </c>
      <c r="E7074" s="1" t="str">
        <f>HYPERLINK("http://www.ncbi.nlm.nih.gov/gene/?term=SIDT2","NCBI")</f>
        <v>NCBI</v>
      </c>
      <c r="F7074">
        <v>9.1999999999999998E-2</v>
      </c>
      <c r="G7074">
        <v>0.22</v>
      </c>
      <c r="H7074" s="1" t="str">
        <f>HYPERLINK("http://www.weizmann.ac.il/complex/compphys/software/geview/data/figures/56256_at.png","Figure")</f>
        <v>Figure</v>
      </c>
      <c r="I7074">
        <v>0.73199999999999998</v>
      </c>
      <c r="J7074">
        <v>0.12</v>
      </c>
      <c r="K7074">
        <v>0.98299999999999998</v>
      </c>
      <c r="L7074">
        <v>0.99</v>
      </c>
      <c r="M7074">
        <v>1.34</v>
      </c>
      <c r="N7074">
        <v>0.12</v>
      </c>
    </row>
    <row r="7075" spans="1:14" x14ac:dyDescent="0.25">
      <c r="A7075" t="s">
        <v>12634</v>
      </c>
      <c r="B7075" t="s">
        <v>12635</v>
      </c>
      <c r="C7075" s="1" t="str">
        <f>HYPERLINK("http://www.genecards.org/cgi-bin/carddisp.pl?gene=DUSP10","GeneCards")</f>
        <v>GeneCards</v>
      </c>
      <c r="D7075" s="1" t="str">
        <f>HYPERLINK("http://genome-euro.ucsc.edu/cgi-bin/hgTracks?position=221563_at","UCSC")</f>
        <v>UCSC</v>
      </c>
      <c r="E7075" s="1" t="str">
        <f>HYPERLINK("http://www.ncbi.nlm.nih.gov/gene/?term=DUSP10","NCBI")</f>
        <v>NCBI</v>
      </c>
      <c r="F7075">
        <v>9.1999999999999998E-2</v>
      </c>
      <c r="G7075">
        <v>0.22</v>
      </c>
      <c r="H7075" s="1" t="str">
        <f>HYPERLINK("http://www.weizmann.ac.il/complex/compphys/software/geview/data/figures/221563_at.png","Figure")</f>
        <v>Figure</v>
      </c>
      <c r="I7075">
        <v>0.626</v>
      </c>
      <c r="J7075">
        <v>0.42</v>
      </c>
      <c r="K7075">
        <v>0.47199999999999998</v>
      </c>
      <c r="L7075">
        <v>7.6999999999999999E-2</v>
      </c>
      <c r="M7075">
        <v>0.755</v>
      </c>
      <c r="N7075">
        <v>0.69</v>
      </c>
    </row>
    <row r="7076" spans="1:14" x14ac:dyDescent="0.25">
      <c r="A7076" t="s">
        <v>12636</v>
      </c>
      <c r="B7076" t="s">
        <v>12637</v>
      </c>
      <c r="C7076" s="1" t="str">
        <f>HYPERLINK("http://www.genecards.org/cgi-bin/carddisp.pl?gene=TPD52L2","GeneCards")</f>
        <v>GeneCards</v>
      </c>
      <c r="D7076" s="1" t="str">
        <f>HYPERLINK("http://genome-euro.ucsc.edu/cgi-bin/hgTracks?position=201379_s_at","UCSC")</f>
        <v>UCSC</v>
      </c>
      <c r="E7076" s="1" t="str">
        <f>HYPERLINK("http://www.ncbi.nlm.nih.gov/gene/?term=TPD52L2","NCBI")</f>
        <v>NCBI</v>
      </c>
      <c r="F7076">
        <v>9.1999999999999998E-2</v>
      </c>
      <c r="G7076">
        <v>0.22</v>
      </c>
      <c r="H7076" s="1" t="str">
        <f>HYPERLINK("http://www.weizmann.ac.il/complex/compphys/software/geview/data/figures/201379_s_at.png","Figure")</f>
        <v>Figure</v>
      </c>
      <c r="I7076">
        <v>1.45</v>
      </c>
      <c r="J7076">
        <v>0.22</v>
      </c>
      <c r="K7076">
        <v>1.52</v>
      </c>
      <c r="L7076">
        <v>9.1999999999999998E-2</v>
      </c>
      <c r="M7076">
        <v>1.05</v>
      </c>
      <c r="N7076">
        <v>0.96</v>
      </c>
    </row>
    <row r="7077" spans="1:14" x14ac:dyDescent="0.25">
      <c r="A7077" t="s">
        <v>12638</v>
      </c>
      <c r="B7077" t="s">
        <v>12639</v>
      </c>
      <c r="C7077" s="1" t="str">
        <f>HYPERLINK("http://www.genecards.org/cgi-bin/carddisp.pl?gene=ALG8","GeneCards")</f>
        <v>GeneCards</v>
      </c>
      <c r="D7077" s="1" t="str">
        <f>HYPERLINK("http://genome-euro.ucsc.edu/cgi-bin/hgTracks?position=203545_at","UCSC")</f>
        <v>UCSC</v>
      </c>
      <c r="E7077" s="1" t="str">
        <f>HYPERLINK("http://www.ncbi.nlm.nih.gov/gene/?term=ALG8","NCBI")</f>
        <v>NCBI</v>
      </c>
      <c r="F7077">
        <v>9.1999999999999998E-2</v>
      </c>
      <c r="G7077">
        <v>0.22</v>
      </c>
      <c r="H7077" s="1" t="str">
        <f>HYPERLINK("http://www.weizmann.ac.il/complex/compphys/software/geview/data/figures/203545_at.png","Figure")</f>
        <v>Figure</v>
      </c>
      <c r="I7077">
        <v>0.71399999999999997</v>
      </c>
      <c r="J7077">
        <v>0.17</v>
      </c>
      <c r="K7077">
        <v>1.04</v>
      </c>
      <c r="L7077">
        <v>0.96</v>
      </c>
      <c r="M7077">
        <v>1.46</v>
      </c>
      <c r="N7077">
        <v>9.1999999999999998E-2</v>
      </c>
    </row>
    <row r="7078" spans="1:14" x14ac:dyDescent="0.25">
      <c r="A7078" t="s">
        <v>12640</v>
      </c>
      <c r="B7078" t="s">
        <v>12479</v>
      </c>
      <c r="C7078" s="1" t="str">
        <f>HYPERLINK("http://www.genecards.org/cgi-bin/carddisp.pl?gene=MDM2","GeneCards")</f>
        <v>GeneCards</v>
      </c>
      <c r="D7078" s="1" t="str">
        <f>HYPERLINK("http://genome-euro.ucsc.edu/cgi-bin/hgTracks?position=217542_at","UCSC")</f>
        <v>UCSC</v>
      </c>
      <c r="E7078" s="1" t="str">
        <f>HYPERLINK("http://www.ncbi.nlm.nih.gov/gene/?term=MDM2","NCBI")</f>
        <v>NCBI</v>
      </c>
      <c r="F7078">
        <v>9.1999999999999998E-2</v>
      </c>
      <c r="G7078">
        <v>0.22</v>
      </c>
      <c r="H7078" s="1" t="str">
        <f>HYPERLINK("http://www.weizmann.ac.il/complex/compphys/software/geview/data/figures/217542_at.png","Figure")</f>
        <v>Figure</v>
      </c>
      <c r="I7078">
        <v>0.58199999999999996</v>
      </c>
      <c r="J7078">
        <v>0.14000000000000001</v>
      </c>
      <c r="K7078">
        <v>1</v>
      </c>
      <c r="L7078">
        <v>1</v>
      </c>
      <c r="M7078">
        <v>1.72</v>
      </c>
      <c r="N7078">
        <v>0.11</v>
      </c>
    </row>
    <row r="7079" spans="1:14" x14ac:dyDescent="0.25">
      <c r="A7079" t="s">
        <v>12641</v>
      </c>
      <c r="B7079" t="s">
        <v>12642</v>
      </c>
      <c r="C7079" s="1" t="str">
        <f>HYPERLINK("http://www.genecards.org/cgi-bin/carddisp.pl?gene=MYBL2","GeneCards")</f>
        <v>GeneCards</v>
      </c>
      <c r="D7079" s="1" t="str">
        <f>HYPERLINK("http://genome-euro.ucsc.edu/cgi-bin/hgTracks?position=201710_at","UCSC")</f>
        <v>UCSC</v>
      </c>
      <c r="E7079" s="1" t="str">
        <f>HYPERLINK("http://www.ncbi.nlm.nih.gov/gene/?term=MYBL2","NCBI")</f>
        <v>NCBI</v>
      </c>
      <c r="F7079">
        <v>9.2999999999999999E-2</v>
      </c>
      <c r="G7079">
        <v>0.22</v>
      </c>
      <c r="H7079" s="1" t="str">
        <f>HYPERLINK("http://www.weizmann.ac.il/complex/compphys/software/geview/data/figures/201710_at.png","Figure")</f>
        <v>Figure</v>
      </c>
      <c r="I7079">
        <v>1.74</v>
      </c>
      <c r="J7079">
        <v>8.2000000000000003E-2</v>
      </c>
      <c r="K7079">
        <v>1.37</v>
      </c>
      <c r="L7079">
        <v>0.3</v>
      </c>
      <c r="M7079">
        <v>0.79</v>
      </c>
      <c r="N7079">
        <v>0.54</v>
      </c>
    </row>
    <row r="7080" spans="1:14" x14ac:dyDescent="0.25">
      <c r="A7080" t="s">
        <v>12643</v>
      </c>
      <c r="B7080" t="s">
        <v>12644</v>
      </c>
      <c r="C7080" s="1" t="str">
        <f>HYPERLINK("http://www.genecards.org/cgi-bin/carddisp.pl?gene=ST13","GeneCards")</f>
        <v>GeneCards</v>
      </c>
      <c r="D7080" s="1" t="str">
        <f>HYPERLINK("http://genome-euro.ucsc.edu/cgi-bin/hgTracks?position=208667_s_at","UCSC")</f>
        <v>UCSC</v>
      </c>
      <c r="E7080" s="1" t="str">
        <f>HYPERLINK("http://www.ncbi.nlm.nih.gov/gene/?term=ST13","NCBI")</f>
        <v>NCBI</v>
      </c>
      <c r="F7080">
        <v>9.2999999999999999E-2</v>
      </c>
      <c r="G7080">
        <v>0.22</v>
      </c>
      <c r="H7080" s="1" t="str">
        <f>HYPERLINK("http://www.weizmann.ac.il/complex/compphys/software/geview/data/figures/208667_s_at.png","Figure")</f>
        <v>Figure</v>
      </c>
      <c r="I7080">
        <v>0.60099999999999998</v>
      </c>
      <c r="J7080">
        <v>9.0999999999999998E-2</v>
      </c>
      <c r="K7080">
        <v>0.71199999999999997</v>
      </c>
      <c r="L7080">
        <v>0.22</v>
      </c>
      <c r="M7080">
        <v>1.19</v>
      </c>
      <c r="N7080">
        <v>0.7</v>
      </c>
    </row>
    <row r="7081" spans="1:14" x14ac:dyDescent="0.25">
      <c r="A7081" t="s">
        <v>12645</v>
      </c>
      <c r="B7081" t="s">
        <v>12646</v>
      </c>
      <c r="C7081" s="1" t="str">
        <f>HYPERLINK("http://www.genecards.org/cgi-bin/carddisp.pl?gene=TAF5L","GeneCards")</f>
        <v>GeneCards</v>
      </c>
      <c r="D7081" s="1" t="str">
        <f>HYPERLINK("http://genome-euro.ucsc.edu/cgi-bin/hgTracks?position=213654_at","UCSC")</f>
        <v>UCSC</v>
      </c>
      <c r="E7081" s="1" t="str">
        <f>HYPERLINK("http://www.ncbi.nlm.nih.gov/gene/?term=TAF5L","NCBI")</f>
        <v>NCBI</v>
      </c>
      <c r="F7081">
        <v>9.2999999999999999E-2</v>
      </c>
      <c r="G7081">
        <v>0.22</v>
      </c>
      <c r="H7081" s="1" t="str">
        <f>HYPERLINK("http://www.weizmann.ac.il/complex/compphys/software/geview/data/figures/213654_at.png","Figure")</f>
        <v>Figure</v>
      </c>
      <c r="I7081">
        <v>1.23</v>
      </c>
      <c r="J7081">
        <v>9.2999999999999999E-2</v>
      </c>
      <c r="K7081">
        <v>1.04</v>
      </c>
      <c r="L7081">
        <v>0.85</v>
      </c>
      <c r="M7081">
        <v>0.84899999999999998</v>
      </c>
      <c r="N7081">
        <v>0.17</v>
      </c>
    </row>
    <row r="7082" spans="1:14" x14ac:dyDescent="0.25">
      <c r="A7082" t="s">
        <v>12647</v>
      </c>
      <c r="B7082" t="s">
        <v>2351</v>
      </c>
      <c r="C7082" s="1" t="str">
        <f>HYPERLINK("http://www.genecards.org/cgi-bin/carddisp.pl?gene=N4BP2L1","GeneCards")</f>
        <v>GeneCards</v>
      </c>
      <c r="D7082" s="1" t="str">
        <f>HYPERLINK("http://genome-euro.ucsc.edu/cgi-bin/hgTracks?position=214886_s_at","UCSC")</f>
        <v>UCSC</v>
      </c>
      <c r="E7082" s="1" t="str">
        <f>HYPERLINK("http://www.ncbi.nlm.nih.gov/gene/?term=N4BP2L1","NCBI")</f>
        <v>NCBI</v>
      </c>
      <c r="F7082">
        <v>9.2999999999999999E-2</v>
      </c>
      <c r="G7082">
        <v>0.22</v>
      </c>
      <c r="H7082" s="1" t="str">
        <f>HYPERLINK("http://www.weizmann.ac.il/complex/compphys/software/geview/data/figures/214886_s_at.png","Figure")</f>
        <v>Figure</v>
      </c>
      <c r="I7082">
        <v>1.07</v>
      </c>
      <c r="J7082">
        <v>0.16</v>
      </c>
      <c r="K7082">
        <v>1.07</v>
      </c>
      <c r="L7082">
        <v>0.11</v>
      </c>
      <c r="M7082">
        <v>0.999</v>
      </c>
      <c r="N7082">
        <v>1</v>
      </c>
    </row>
    <row r="7083" spans="1:14" x14ac:dyDescent="0.25">
      <c r="A7083" t="s">
        <v>12648</v>
      </c>
      <c r="B7083" t="s">
        <v>9931</v>
      </c>
      <c r="C7083" s="1" t="str">
        <f>HYPERLINK("http://www.genecards.org/cgi-bin/carddisp.pl?gene=MUTYH","GeneCards")</f>
        <v>GeneCards</v>
      </c>
      <c r="D7083" s="1" t="str">
        <f>HYPERLINK("http://genome-euro.ucsc.edu/cgi-bin/hgTracks?position=216661_x_at","UCSC")</f>
        <v>UCSC</v>
      </c>
      <c r="E7083" s="1" t="str">
        <f>HYPERLINK("http://www.ncbi.nlm.nih.gov/gene/?term=MUTYH","NCBI")</f>
        <v>NCBI</v>
      </c>
      <c r="F7083">
        <v>9.2999999999999999E-2</v>
      </c>
      <c r="G7083">
        <v>0.22</v>
      </c>
      <c r="H7083" s="1" t="str">
        <f>HYPERLINK("http://www.weizmann.ac.il/complex/compphys/software/geview/data/figures/216661_x_at.png","Figure")</f>
        <v>Figure</v>
      </c>
      <c r="I7083">
        <v>1.19</v>
      </c>
      <c r="J7083">
        <v>0.17</v>
      </c>
      <c r="K7083">
        <v>0.97899999999999998</v>
      </c>
      <c r="L7083">
        <v>0.96</v>
      </c>
      <c r="M7083">
        <v>0.82099999999999995</v>
      </c>
      <c r="N7083">
        <v>9.1999999999999998E-2</v>
      </c>
    </row>
    <row r="7084" spans="1:14" x14ac:dyDescent="0.25">
      <c r="A7084" t="s">
        <v>12649</v>
      </c>
      <c r="B7084" t="s">
        <v>12650</v>
      </c>
      <c r="C7084" s="1" t="str">
        <f>HYPERLINK("http://www.genecards.org/cgi-bin/carddisp.pl?gene=TNK1","GeneCards")</f>
        <v>GeneCards</v>
      </c>
      <c r="D7084" s="1" t="str">
        <f>HYPERLINK("http://genome-euro.ucsc.edu/cgi-bin/hgTracks?position=217149_x_at","UCSC")</f>
        <v>UCSC</v>
      </c>
      <c r="E7084" s="1" t="str">
        <f>HYPERLINK("http://www.ncbi.nlm.nih.gov/gene/?term=TNK1","NCBI")</f>
        <v>NCBI</v>
      </c>
      <c r="F7084">
        <v>9.2999999999999999E-2</v>
      </c>
      <c r="G7084">
        <v>0.22</v>
      </c>
      <c r="H7084" s="1" t="str">
        <f>HYPERLINK("http://www.weizmann.ac.il/complex/compphys/software/geview/data/figures/217149_x_at.png","Figure")</f>
        <v>Figure</v>
      </c>
      <c r="I7084">
        <v>1.4</v>
      </c>
      <c r="J7084">
        <v>8.4000000000000005E-2</v>
      </c>
      <c r="K7084">
        <v>1.1000000000000001</v>
      </c>
      <c r="L7084">
        <v>0.73</v>
      </c>
      <c r="M7084">
        <v>0.78700000000000003</v>
      </c>
      <c r="N7084">
        <v>0.21</v>
      </c>
    </row>
    <row r="7085" spans="1:14" x14ac:dyDescent="0.25">
      <c r="A7085" t="s">
        <v>12651</v>
      </c>
      <c r="B7085" t="s">
        <v>12652</v>
      </c>
      <c r="C7085" s="1" t="str">
        <f>HYPERLINK("http://www.genecards.org/cgi-bin/carddisp.pl?gene=GPN2","GeneCards")</f>
        <v>GeneCards</v>
      </c>
      <c r="D7085" s="1" t="str">
        <f>HYPERLINK("http://genome-euro.ucsc.edu/cgi-bin/hgTracks?position=218799_at","UCSC")</f>
        <v>UCSC</v>
      </c>
      <c r="E7085" s="1" t="str">
        <f>HYPERLINK("http://www.ncbi.nlm.nih.gov/gene/?term=GPN2","NCBI")</f>
        <v>NCBI</v>
      </c>
      <c r="F7085">
        <v>9.2999999999999999E-2</v>
      </c>
      <c r="G7085">
        <v>0.22</v>
      </c>
      <c r="H7085" s="1" t="str">
        <f>HYPERLINK("http://www.weizmann.ac.il/complex/compphys/software/geview/data/figures/218799_at.png","Figure")</f>
        <v>Figure</v>
      </c>
      <c r="I7085">
        <v>1.2</v>
      </c>
      <c r="J7085">
        <v>8.7999999999999995E-2</v>
      </c>
      <c r="K7085">
        <v>1.05</v>
      </c>
      <c r="L7085">
        <v>0.79</v>
      </c>
      <c r="M7085">
        <v>0.87</v>
      </c>
      <c r="N7085">
        <v>0.19</v>
      </c>
    </row>
    <row r="7086" spans="1:14" x14ac:dyDescent="0.25">
      <c r="A7086" t="s">
        <v>12653</v>
      </c>
      <c r="B7086" t="s">
        <v>12654</v>
      </c>
      <c r="C7086" s="1" t="str">
        <f>HYPERLINK("http://www.genecards.org/cgi-bin/carddisp.pl?gene=LRRC32","GeneCards")</f>
        <v>GeneCards</v>
      </c>
      <c r="D7086" s="1" t="str">
        <f>HYPERLINK("http://genome-euro.ucsc.edu/cgi-bin/hgTracks?position=203835_at","UCSC")</f>
        <v>UCSC</v>
      </c>
      <c r="E7086" s="1" t="str">
        <f>HYPERLINK("http://www.ncbi.nlm.nih.gov/gene/?term=LRRC32","NCBI")</f>
        <v>NCBI</v>
      </c>
      <c r="F7086">
        <v>9.2999999999999999E-2</v>
      </c>
      <c r="G7086">
        <v>0.22</v>
      </c>
      <c r="H7086" s="1" t="str">
        <f>HYPERLINK("http://www.weizmann.ac.il/complex/compphys/software/geview/data/figures/203835_at.png","Figure")</f>
        <v>Figure</v>
      </c>
      <c r="I7086">
        <v>0.874</v>
      </c>
      <c r="J7086">
        <v>0.75</v>
      </c>
      <c r="K7086">
        <v>0.68400000000000005</v>
      </c>
      <c r="L7086">
        <v>8.5999999999999993E-2</v>
      </c>
      <c r="M7086">
        <v>0.78300000000000003</v>
      </c>
      <c r="N7086">
        <v>0.37</v>
      </c>
    </row>
    <row r="7087" spans="1:14" x14ac:dyDescent="0.25">
      <c r="A7087" t="s">
        <v>12655</v>
      </c>
      <c r="B7087" t="s">
        <v>12656</v>
      </c>
      <c r="C7087" s="1" t="str">
        <f>HYPERLINK("http://www.genecards.org/cgi-bin/carddisp.pl?gene=TRAF3IP3","GeneCards")</f>
        <v>GeneCards</v>
      </c>
      <c r="D7087" s="1" t="str">
        <f>HYPERLINK("http://genome-euro.ucsc.edu/cgi-bin/hgTracks?position=215275_at","UCSC")</f>
        <v>UCSC</v>
      </c>
      <c r="E7087" s="1" t="str">
        <f>HYPERLINK("http://www.ncbi.nlm.nih.gov/gene/?term=TRAF3IP3","NCBI")</f>
        <v>NCBI</v>
      </c>
      <c r="F7087">
        <v>9.2999999999999999E-2</v>
      </c>
      <c r="G7087">
        <v>0.22</v>
      </c>
      <c r="H7087" s="1" t="str">
        <f>HYPERLINK("http://www.weizmann.ac.il/complex/compphys/software/geview/data/figures/215275_at.png","Figure")</f>
        <v>Figure</v>
      </c>
      <c r="I7087">
        <v>0.754</v>
      </c>
      <c r="J7087">
        <v>8.1000000000000003E-2</v>
      </c>
      <c r="K7087">
        <v>0.91200000000000003</v>
      </c>
      <c r="L7087">
        <v>0.66</v>
      </c>
      <c r="M7087">
        <v>1.21</v>
      </c>
      <c r="N7087">
        <v>0.24</v>
      </c>
    </row>
    <row r="7088" spans="1:14" x14ac:dyDescent="0.25">
      <c r="A7088" t="s">
        <v>12657</v>
      </c>
      <c r="B7088" t="s">
        <v>1395</v>
      </c>
      <c r="C7088" s="1" t="str">
        <f>HYPERLINK("http://www.genecards.org/cgi-bin/carddisp.pl?gene=IDH3B","GeneCards")</f>
        <v>GeneCards</v>
      </c>
      <c r="D7088" s="1" t="str">
        <f>HYPERLINK("http://genome-euro.ucsc.edu/cgi-bin/hgTracks?position=210418_s_at","UCSC")</f>
        <v>UCSC</v>
      </c>
      <c r="E7088" s="1" t="str">
        <f>HYPERLINK("http://www.ncbi.nlm.nih.gov/gene/?term=IDH3B","NCBI")</f>
        <v>NCBI</v>
      </c>
      <c r="F7088">
        <v>9.2999999999999999E-2</v>
      </c>
      <c r="G7088">
        <v>0.22</v>
      </c>
      <c r="H7088" s="1" t="str">
        <f>HYPERLINK("http://www.weizmann.ac.il/complex/compphys/software/geview/data/figures/210418_s_at.png","Figure")</f>
        <v>Figure</v>
      </c>
      <c r="I7088">
        <v>1.21</v>
      </c>
      <c r="J7088">
        <v>0.21</v>
      </c>
      <c r="K7088">
        <v>0.95899999999999996</v>
      </c>
      <c r="L7088">
        <v>0.9</v>
      </c>
      <c r="M7088">
        <v>0.79</v>
      </c>
      <c r="N7088">
        <v>8.5000000000000006E-2</v>
      </c>
    </row>
    <row r="7089" spans="1:14" x14ac:dyDescent="0.25">
      <c r="A7089" t="s">
        <v>12658</v>
      </c>
      <c r="B7089" t="s">
        <v>25</v>
      </c>
      <c r="C7089" s="1" t="str">
        <f>HYPERLINK("http://www.genecards.org/cgi-bin/carddisp.pl?gene=APAF1","GeneCards")</f>
        <v>GeneCards</v>
      </c>
      <c r="D7089" s="1" t="str">
        <f>HYPERLINK("http://genome-euro.ucsc.edu/cgi-bin/hgTracks?position=211554_s_at","UCSC")</f>
        <v>UCSC</v>
      </c>
      <c r="E7089" s="1" t="str">
        <f>HYPERLINK("http://www.ncbi.nlm.nih.gov/gene/?term=APAF1","NCBI")</f>
        <v>NCBI</v>
      </c>
      <c r="F7089">
        <v>9.2999999999999999E-2</v>
      </c>
      <c r="G7089">
        <v>0.22</v>
      </c>
      <c r="H7089" s="1" t="str">
        <f>HYPERLINK("http://www.weizmann.ac.il/complex/compphys/software/geview/data/figures/211554_s_at.png","Figure")</f>
        <v>Figure</v>
      </c>
      <c r="I7089">
        <v>1.1000000000000001</v>
      </c>
      <c r="J7089">
        <v>0.33</v>
      </c>
      <c r="K7089">
        <v>1.1499999999999999</v>
      </c>
      <c r="L7089">
        <v>0.08</v>
      </c>
      <c r="M7089">
        <v>1.04</v>
      </c>
      <c r="N7089">
        <v>0.8</v>
      </c>
    </row>
    <row r="7090" spans="1:14" x14ac:dyDescent="0.25">
      <c r="A7090" t="s">
        <v>12659</v>
      </c>
      <c r="B7090" t="s">
        <v>12660</v>
      </c>
      <c r="C7090" s="1" t="str">
        <f>HYPERLINK("http://www.genecards.org/cgi-bin/carddisp.pl?gene=KHDRBS2","GeneCards")</f>
        <v>GeneCards</v>
      </c>
      <c r="D7090" s="1" t="str">
        <f>HYPERLINK("http://genome-euro.ucsc.edu/cgi-bin/hgTracks?position=215527_at","UCSC")</f>
        <v>UCSC</v>
      </c>
      <c r="E7090" s="1" t="str">
        <f>HYPERLINK("http://www.ncbi.nlm.nih.gov/gene/?term=KHDRBS2","NCBI")</f>
        <v>NCBI</v>
      </c>
      <c r="F7090">
        <v>9.2999999999999999E-2</v>
      </c>
      <c r="G7090">
        <v>0.22</v>
      </c>
      <c r="H7090" s="1" t="str">
        <f>HYPERLINK("http://www.weizmann.ac.il/complex/compphys/software/geview/data/figures/215527_at.png","Figure")</f>
        <v>Figure</v>
      </c>
      <c r="I7090">
        <v>1.1200000000000001</v>
      </c>
      <c r="J7090">
        <v>0.26</v>
      </c>
      <c r="K7090">
        <v>0.96099999999999997</v>
      </c>
      <c r="L7090">
        <v>0.79</v>
      </c>
      <c r="M7090">
        <v>0.85899999999999999</v>
      </c>
      <c r="N7090">
        <v>0.08</v>
      </c>
    </row>
    <row r="7091" spans="1:14" x14ac:dyDescent="0.25">
      <c r="A7091" t="s">
        <v>12661</v>
      </c>
      <c r="B7091" t="s">
        <v>12662</v>
      </c>
      <c r="C7091" s="1" t="str">
        <f>HYPERLINK("http://www.genecards.org/cgi-bin/carddisp.pl?gene=FASTKD2","GeneCards")</f>
        <v>GeneCards</v>
      </c>
      <c r="D7091" s="1" t="str">
        <f>HYPERLINK("http://genome-euro.ucsc.edu/cgi-bin/hgTracks?position=216996_s_at","UCSC")</f>
        <v>UCSC</v>
      </c>
      <c r="E7091" s="1" t="str">
        <f>HYPERLINK("http://www.ncbi.nlm.nih.gov/gene/?term=FASTKD2","NCBI")</f>
        <v>NCBI</v>
      </c>
      <c r="F7091">
        <v>9.2999999999999999E-2</v>
      </c>
      <c r="G7091">
        <v>0.22</v>
      </c>
      <c r="H7091" s="1" t="str">
        <f>HYPERLINK("http://www.weizmann.ac.il/complex/compphys/software/geview/data/figures/216996_s_at.png","Figure")</f>
        <v>Figure</v>
      </c>
      <c r="I7091">
        <v>0.90400000000000003</v>
      </c>
      <c r="J7091">
        <v>0.73</v>
      </c>
      <c r="K7091">
        <v>0.76100000000000001</v>
      </c>
      <c r="L7091">
        <v>8.5000000000000006E-2</v>
      </c>
      <c r="M7091">
        <v>0.84299999999999997</v>
      </c>
      <c r="N7091">
        <v>0.38</v>
      </c>
    </row>
    <row r="7092" spans="1:14" x14ac:dyDescent="0.25">
      <c r="A7092" t="s">
        <v>12663</v>
      </c>
      <c r="B7092" t="s">
        <v>5550</v>
      </c>
      <c r="C7092" s="1" t="str">
        <f>HYPERLINK("http://www.genecards.org/cgi-bin/carddisp.pl?gene=FAM129A","GeneCards")</f>
        <v>GeneCards</v>
      </c>
      <c r="D7092" s="1" t="str">
        <f>HYPERLINK("http://genome-euro.ucsc.edu/cgi-bin/hgTracks?position=217966_s_at","UCSC")</f>
        <v>UCSC</v>
      </c>
      <c r="E7092" s="1" t="str">
        <f>HYPERLINK("http://www.ncbi.nlm.nih.gov/gene/?term=FAM129A","NCBI")</f>
        <v>NCBI</v>
      </c>
      <c r="F7092">
        <v>9.2999999999999999E-2</v>
      </c>
      <c r="G7092">
        <v>0.22</v>
      </c>
      <c r="H7092" s="1" t="str">
        <f>HYPERLINK("http://www.weizmann.ac.il/complex/compphys/software/geview/data/figures/217966_s_at.png","Figure")</f>
        <v>Figure</v>
      </c>
      <c r="I7092">
        <v>0.76400000000000001</v>
      </c>
      <c r="J7092">
        <v>0.26</v>
      </c>
      <c r="K7092">
        <v>0.71699999999999997</v>
      </c>
      <c r="L7092">
        <v>8.5999999999999993E-2</v>
      </c>
      <c r="M7092">
        <v>0.93799999999999994</v>
      </c>
      <c r="N7092">
        <v>0.91</v>
      </c>
    </row>
    <row r="7093" spans="1:14" x14ac:dyDescent="0.25">
      <c r="A7093" t="s">
        <v>12664</v>
      </c>
      <c r="B7093" t="s">
        <v>7466</v>
      </c>
      <c r="C7093" s="1" t="str">
        <f>HYPERLINK("http://www.genecards.org/cgi-bin/carddisp.pl?gene=PLAU","GeneCards")</f>
        <v>GeneCards</v>
      </c>
      <c r="D7093" s="1" t="str">
        <f>HYPERLINK("http://genome-euro.ucsc.edu/cgi-bin/hgTracks?position=205479_s_at","UCSC")</f>
        <v>UCSC</v>
      </c>
      <c r="E7093" s="1" t="str">
        <f>HYPERLINK("http://www.ncbi.nlm.nih.gov/gene/?term=PLAU","NCBI")</f>
        <v>NCBI</v>
      </c>
      <c r="F7093">
        <v>9.2999999999999999E-2</v>
      </c>
      <c r="G7093">
        <v>0.22</v>
      </c>
      <c r="H7093" s="1" t="str">
        <f>HYPERLINK("http://www.weizmann.ac.il/complex/compphys/software/geview/data/figures/205479_s_at.png","Figure")</f>
        <v>Figure</v>
      </c>
      <c r="I7093">
        <v>1.24</v>
      </c>
      <c r="J7093">
        <v>0.24</v>
      </c>
      <c r="K7093">
        <v>1.29</v>
      </c>
      <c r="L7093">
        <v>8.8999999999999996E-2</v>
      </c>
      <c r="M7093">
        <v>1.04</v>
      </c>
      <c r="N7093">
        <v>0.94</v>
      </c>
    </row>
    <row r="7094" spans="1:14" x14ac:dyDescent="0.25">
      <c r="A7094" t="s">
        <v>12665</v>
      </c>
      <c r="B7094" t="s">
        <v>12635</v>
      </c>
      <c r="C7094" s="1" t="str">
        <f>HYPERLINK("http://www.genecards.org/cgi-bin/carddisp.pl?gene=DUSP10","GeneCards")</f>
        <v>GeneCards</v>
      </c>
      <c r="D7094" s="1" t="str">
        <f>HYPERLINK("http://genome-euro.ucsc.edu/cgi-bin/hgTracks?position=215501_s_at","UCSC")</f>
        <v>UCSC</v>
      </c>
      <c r="E7094" s="1" t="str">
        <f>HYPERLINK("http://www.ncbi.nlm.nih.gov/gene/?term=DUSP10","NCBI")</f>
        <v>NCBI</v>
      </c>
      <c r="F7094">
        <v>9.2999999999999999E-2</v>
      </c>
      <c r="G7094">
        <v>0.22</v>
      </c>
      <c r="H7094" s="1" t="str">
        <f>HYPERLINK("http://www.weizmann.ac.il/complex/compphys/software/geview/data/figures/215501_s_at.png","Figure")</f>
        <v>Figure</v>
      </c>
      <c r="I7094">
        <v>0.83899999999999997</v>
      </c>
      <c r="J7094">
        <v>0.7</v>
      </c>
      <c r="K7094">
        <v>0.64100000000000001</v>
      </c>
      <c r="L7094">
        <v>8.3000000000000004E-2</v>
      </c>
      <c r="M7094">
        <v>0.76400000000000001</v>
      </c>
      <c r="N7094">
        <v>0.4</v>
      </c>
    </row>
    <row r="7095" spans="1:14" x14ac:dyDescent="0.25">
      <c r="A7095" t="s">
        <v>12666</v>
      </c>
      <c r="B7095" t="s">
        <v>12667</v>
      </c>
      <c r="C7095" s="1" t="str">
        <f>HYPERLINK("http://www.genecards.org/cgi-bin/carddisp.pl?gene=ELP3","GeneCards")</f>
        <v>GeneCards</v>
      </c>
      <c r="D7095" s="1" t="str">
        <f>HYPERLINK("http://genome-euro.ucsc.edu/cgi-bin/hgTracks?position=221094_s_at","UCSC")</f>
        <v>UCSC</v>
      </c>
      <c r="E7095" s="1" t="str">
        <f>HYPERLINK("http://www.ncbi.nlm.nih.gov/gene/?term=ELP3","NCBI")</f>
        <v>NCBI</v>
      </c>
      <c r="F7095">
        <v>9.2999999999999999E-2</v>
      </c>
      <c r="G7095">
        <v>0.22</v>
      </c>
      <c r="H7095" s="1" t="str">
        <f>HYPERLINK("http://www.weizmann.ac.il/complex/compphys/software/geview/data/figures/221094_s_at.png","Figure")</f>
        <v>Figure</v>
      </c>
      <c r="I7095">
        <v>0.97</v>
      </c>
      <c r="J7095">
        <v>0.86</v>
      </c>
      <c r="K7095">
        <v>1.0900000000000001</v>
      </c>
      <c r="L7095">
        <v>0.22</v>
      </c>
      <c r="M7095">
        <v>1.1299999999999999</v>
      </c>
      <c r="N7095">
        <v>0.11</v>
      </c>
    </row>
    <row r="7096" spans="1:14" x14ac:dyDescent="0.25">
      <c r="A7096" t="s">
        <v>12668</v>
      </c>
      <c r="B7096" t="s">
        <v>10402</v>
      </c>
      <c r="C7096" s="1" t="str">
        <f>HYPERLINK("http://www.genecards.org/cgi-bin/carddisp.pl?gene=MATR3","GeneCards")</f>
        <v>GeneCards</v>
      </c>
      <c r="D7096" s="1" t="str">
        <f>HYPERLINK("http://genome-euro.ucsc.edu/cgi-bin/hgTracks?position=214363_s_at","UCSC")</f>
        <v>UCSC</v>
      </c>
      <c r="E7096" s="1" t="str">
        <f>HYPERLINK("http://www.ncbi.nlm.nih.gov/gene/?term=MATR3","NCBI")</f>
        <v>NCBI</v>
      </c>
      <c r="F7096">
        <v>9.2999999999999999E-2</v>
      </c>
      <c r="G7096">
        <v>0.22</v>
      </c>
      <c r="H7096" s="1" t="str">
        <f>HYPERLINK("http://www.weizmann.ac.il/complex/compphys/software/geview/data/figures/214363_s_at.png","Figure")</f>
        <v>Figure</v>
      </c>
      <c r="I7096">
        <v>1.0900000000000001</v>
      </c>
      <c r="J7096">
        <v>0.73</v>
      </c>
      <c r="K7096">
        <v>0.85</v>
      </c>
      <c r="L7096">
        <v>0.28999999999999998</v>
      </c>
      <c r="M7096">
        <v>0.77700000000000002</v>
      </c>
      <c r="N7096">
        <v>9.5000000000000001E-2</v>
      </c>
    </row>
    <row r="7097" spans="1:14" x14ac:dyDescent="0.25">
      <c r="A7097" t="s">
        <v>12669</v>
      </c>
      <c r="B7097" t="s">
        <v>11353</v>
      </c>
      <c r="C7097" s="1" t="str">
        <f>HYPERLINK("http://www.genecards.org/cgi-bin/carddisp.pl?gene=LMF2","GeneCards")</f>
        <v>GeneCards</v>
      </c>
      <c r="D7097" s="1" t="str">
        <f>HYPERLINK("http://genome-euro.ucsc.edu/cgi-bin/hgTracks?position=31837_at","UCSC")</f>
        <v>UCSC</v>
      </c>
      <c r="E7097" s="1" t="str">
        <f>HYPERLINK("http://www.ncbi.nlm.nih.gov/gene/?term=LMF2","NCBI")</f>
        <v>NCBI</v>
      </c>
      <c r="F7097">
        <v>9.2999999999999999E-2</v>
      </c>
      <c r="G7097">
        <v>0.22</v>
      </c>
      <c r="H7097" s="1" t="str">
        <f>HYPERLINK("http://www.weizmann.ac.il/complex/compphys/software/geview/data/figures/31837_at.png","Figure")</f>
        <v>Figure</v>
      </c>
      <c r="I7097">
        <v>1.34</v>
      </c>
      <c r="J7097">
        <v>9.4E-2</v>
      </c>
      <c r="K7097">
        <v>1.22</v>
      </c>
      <c r="L7097">
        <v>0.21</v>
      </c>
      <c r="M7097">
        <v>0.91100000000000003</v>
      </c>
      <c r="N7097">
        <v>0.72</v>
      </c>
    </row>
    <row r="7098" spans="1:14" x14ac:dyDescent="0.25">
      <c r="A7098" t="s">
        <v>12670</v>
      </c>
      <c r="B7098" t="s">
        <v>7710</v>
      </c>
      <c r="C7098" s="1" t="str">
        <f>HYPERLINK("http://www.genecards.org/cgi-bin/carddisp.pl?gene=FAM89B","GeneCards")</f>
        <v>GeneCards</v>
      </c>
      <c r="D7098" s="1" t="str">
        <f>HYPERLINK("http://genome-euro.ucsc.edu/cgi-bin/hgTracks?position=32209_at","UCSC")</f>
        <v>UCSC</v>
      </c>
      <c r="E7098" s="1" t="str">
        <f>HYPERLINK("http://www.ncbi.nlm.nih.gov/gene/?term=FAM89B","NCBI")</f>
        <v>NCBI</v>
      </c>
      <c r="F7098">
        <v>9.2999999999999999E-2</v>
      </c>
      <c r="G7098">
        <v>0.22</v>
      </c>
      <c r="H7098" s="1" t="str">
        <f>HYPERLINK("http://www.weizmann.ac.il/complex/compphys/software/geview/data/figures/32209_at.png","Figure")</f>
        <v>Figure</v>
      </c>
      <c r="I7098">
        <v>1.21</v>
      </c>
      <c r="J7098">
        <v>0.13</v>
      </c>
      <c r="K7098">
        <v>1.18</v>
      </c>
      <c r="L7098">
        <v>0.13</v>
      </c>
      <c r="M7098">
        <v>0.97699999999999998</v>
      </c>
      <c r="N7098">
        <v>0.96</v>
      </c>
    </row>
    <row r="7099" spans="1:14" x14ac:dyDescent="0.25">
      <c r="A7099" t="s">
        <v>12671</v>
      </c>
      <c r="B7099" t="s">
        <v>12512</v>
      </c>
      <c r="C7099" s="1" t="str">
        <f>HYPERLINK("http://www.genecards.org/cgi-bin/carddisp.pl?gene=DAG1","GeneCards")</f>
        <v>GeneCards</v>
      </c>
      <c r="D7099" s="1" t="str">
        <f>HYPERLINK("http://genome-euro.ucsc.edu/cgi-bin/hgTracks?position=205417_s_at","UCSC")</f>
        <v>UCSC</v>
      </c>
      <c r="E7099" s="1" t="str">
        <f>HYPERLINK("http://www.ncbi.nlm.nih.gov/gene/?term=DAG1","NCBI")</f>
        <v>NCBI</v>
      </c>
      <c r="F7099">
        <v>9.2999999999999999E-2</v>
      </c>
      <c r="G7099">
        <v>0.22</v>
      </c>
      <c r="H7099" s="1" t="str">
        <f>HYPERLINK("http://www.weizmann.ac.il/complex/compphys/software/geview/data/figures/205417_s_at.png","Figure")</f>
        <v>Figure</v>
      </c>
      <c r="I7099">
        <v>1.18</v>
      </c>
      <c r="J7099">
        <v>0.34</v>
      </c>
      <c r="K7099">
        <v>1.27</v>
      </c>
      <c r="L7099">
        <v>0.08</v>
      </c>
      <c r="M7099">
        <v>1.07</v>
      </c>
      <c r="N7099">
        <v>0.8</v>
      </c>
    </row>
    <row r="7100" spans="1:14" x14ac:dyDescent="0.25">
      <c r="A7100" t="s">
        <v>12672</v>
      </c>
      <c r="B7100" t="s">
        <v>12673</v>
      </c>
      <c r="C7100" s="1" t="str">
        <f>HYPERLINK("http://www.genecards.org/cgi-bin/carddisp.pl?gene=USP5","GeneCards")</f>
        <v>GeneCards</v>
      </c>
      <c r="D7100" s="1" t="str">
        <f>HYPERLINK("http://genome-euro.ucsc.edu/cgi-bin/hgTracks?position=206031_s_at","UCSC")</f>
        <v>UCSC</v>
      </c>
      <c r="E7100" s="1" t="str">
        <f>HYPERLINK("http://www.ncbi.nlm.nih.gov/gene/?term=USP5","NCBI")</f>
        <v>NCBI</v>
      </c>
      <c r="F7100">
        <v>9.2999999999999999E-2</v>
      </c>
      <c r="G7100">
        <v>0.22</v>
      </c>
      <c r="H7100" s="1" t="str">
        <f>HYPERLINK("http://www.weizmann.ac.il/complex/compphys/software/geview/data/figures/206031_s_at.png","Figure")</f>
        <v>Figure</v>
      </c>
      <c r="I7100">
        <v>1.31</v>
      </c>
      <c r="J7100">
        <v>7.9000000000000001E-2</v>
      </c>
      <c r="K7100">
        <v>1.1499999999999999</v>
      </c>
      <c r="L7100">
        <v>0.36</v>
      </c>
      <c r="M7100">
        <v>0.878</v>
      </c>
      <c r="N7100">
        <v>0.46</v>
      </c>
    </row>
    <row r="7101" spans="1:14" x14ac:dyDescent="0.25">
      <c r="A7101" t="s">
        <v>12674</v>
      </c>
      <c r="B7101" t="s">
        <v>12675</v>
      </c>
      <c r="C7101" s="1" t="str">
        <f>HYPERLINK("http://www.genecards.org/cgi-bin/carddisp.pl?gene=CBX5","GeneCards")</f>
        <v>GeneCards</v>
      </c>
      <c r="D7101" s="1" t="str">
        <f>HYPERLINK("http://genome-euro.ucsc.edu/cgi-bin/hgTracks?position=212126_at","UCSC")</f>
        <v>UCSC</v>
      </c>
      <c r="E7101" s="1" t="str">
        <f>HYPERLINK("http://www.ncbi.nlm.nih.gov/gene/?term=CBX5","NCBI")</f>
        <v>NCBI</v>
      </c>
      <c r="F7101">
        <v>9.2999999999999999E-2</v>
      </c>
      <c r="G7101">
        <v>0.22</v>
      </c>
      <c r="H7101" s="1" t="str">
        <f>HYPERLINK("http://www.weizmann.ac.il/complex/compphys/software/geview/data/figures/212126_at.png","Figure")</f>
        <v>Figure</v>
      </c>
      <c r="I7101">
        <v>1.07</v>
      </c>
      <c r="J7101">
        <v>0.91</v>
      </c>
      <c r="K7101">
        <v>1.39</v>
      </c>
      <c r="L7101">
        <v>0.1</v>
      </c>
      <c r="M7101">
        <v>1.3</v>
      </c>
      <c r="N7101">
        <v>0.26</v>
      </c>
    </row>
    <row r="7102" spans="1:14" x14ac:dyDescent="0.25">
      <c r="A7102" t="s">
        <v>12676</v>
      </c>
      <c r="B7102" t="s">
        <v>12677</v>
      </c>
      <c r="C7102" s="1" t="str">
        <f>HYPERLINK("http://www.genecards.org/cgi-bin/carddisp.pl?gene=LOC100101117 /// TTTY2","GeneCards")</f>
        <v>GeneCards</v>
      </c>
      <c r="D7102" s="1" t="str">
        <f>HYPERLINK("http://genome-euro.ucsc.edu/cgi-bin/hgTracks?position=217261_at","UCSC")</f>
        <v>UCSC</v>
      </c>
      <c r="E7102" s="1" t="str">
        <f>HYPERLINK("http://www.ncbi.nlm.nih.gov/gene/?term=LOC100101117 /// TTTY2","NCBI")</f>
        <v>NCBI</v>
      </c>
      <c r="F7102">
        <v>9.2999999999999999E-2</v>
      </c>
      <c r="G7102">
        <v>0.22</v>
      </c>
      <c r="H7102" s="1" t="str">
        <f>HYPERLINK("http://www.weizmann.ac.il/complex/compphys/software/geview/data/figures/217261_at.png","Figure")</f>
        <v>Figure</v>
      </c>
      <c r="I7102">
        <v>1.18</v>
      </c>
      <c r="J7102">
        <v>0.08</v>
      </c>
      <c r="K7102">
        <v>1.0900000000000001</v>
      </c>
      <c r="L7102">
        <v>0.34</v>
      </c>
      <c r="M7102">
        <v>0.92700000000000005</v>
      </c>
      <c r="N7102">
        <v>0.49</v>
      </c>
    </row>
    <row r="7103" spans="1:14" x14ac:dyDescent="0.25">
      <c r="A7103" t="s">
        <v>12678</v>
      </c>
      <c r="B7103" t="s">
        <v>12679</v>
      </c>
      <c r="C7103" s="1" t="str">
        <f>HYPERLINK("http://www.genecards.org/cgi-bin/carddisp.pl?gene=ACAD8","GeneCards")</f>
        <v>GeneCards</v>
      </c>
      <c r="D7103" s="1" t="str">
        <f>HYPERLINK("http://genome-euro.ucsc.edu/cgi-bin/hgTracks?position=221669_s_at","UCSC")</f>
        <v>UCSC</v>
      </c>
      <c r="E7103" s="1" t="str">
        <f>HYPERLINK("http://www.ncbi.nlm.nih.gov/gene/?term=ACAD8","NCBI")</f>
        <v>NCBI</v>
      </c>
      <c r="F7103">
        <v>9.2999999999999999E-2</v>
      </c>
      <c r="G7103">
        <v>0.22</v>
      </c>
      <c r="H7103" s="1" t="str">
        <f>HYPERLINK("http://www.weizmann.ac.il/complex/compphys/software/geview/data/figures/221669_s_at.png","Figure")</f>
        <v>Figure</v>
      </c>
      <c r="I7103">
        <v>1.95</v>
      </c>
      <c r="J7103">
        <v>0.31</v>
      </c>
      <c r="K7103">
        <v>2.4500000000000002</v>
      </c>
      <c r="L7103">
        <v>8.2000000000000003E-2</v>
      </c>
      <c r="M7103">
        <v>1.26</v>
      </c>
      <c r="N7103">
        <v>0.84</v>
      </c>
    </row>
    <row r="7104" spans="1:14" x14ac:dyDescent="0.25">
      <c r="A7104" t="s">
        <v>12680</v>
      </c>
      <c r="B7104" t="s">
        <v>12681</v>
      </c>
      <c r="C7104" s="1" t="str">
        <f>HYPERLINK("http://www.genecards.org/cgi-bin/carddisp.pl?gene=SEC23B","GeneCards")</f>
        <v>GeneCards</v>
      </c>
      <c r="D7104" s="1" t="str">
        <f>HYPERLINK("http://genome-euro.ucsc.edu/cgi-bin/hgTracks?position=210293_s_at","UCSC")</f>
        <v>UCSC</v>
      </c>
      <c r="E7104" s="1" t="str">
        <f>HYPERLINK("http://www.ncbi.nlm.nih.gov/gene/?term=SEC23B","NCBI")</f>
        <v>NCBI</v>
      </c>
      <c r="F7104">
        <v>9.2999999999999999E-2</v>
      </c>
      <c r="G7104">
        <v>0.22</v>
      </c>
      <c r="H7104" s="1" t="str">
        <f>HYPERLINK("http://www.weizmann.ac.il/complex/compphys/software/geview/data/figures/210293_s_at.png","Figure")</f>
        <v>Figure</v>
      </c>
      <c r="I7104">
        <v>0.68500000000000005</v>
      </c>
      <c r="J7104">
        <v>0.15</v>
      </c>
      <c r="K7104">
        <v>1.01</v>
      </c>
      <c r="L7104">
        <v>1</v>
      </c>
      <c r="M7104">
        <v>1.48</v>
      </c>
      <c r="N7104">
        <v>0.1</v>
      </c>
    </row>
    <row r="7105" spans="1:14" x14ac:dyDescent="0.25">
      <c r="A7105" t="s">
        <v>12682</v>
      </c>
      <c r="B7105" t="s">
        <v>12683</v>
      </c>
      <c r="C7105" s="1" t="str">
        <f>HYPERLINK("http://www.genecards.org/cgi-bin/carddisp.pl?gene=NDUFA9","GeneCards")</f>
        <v>GeneCards</v>
      </c>
      <c r="D7105" s="1" t="str">
        <f>HYPERLINK("http://genome-euro.ucsc.edu/cgi-bin/hgTracks?position=208969_at","UCSC")</f>
        <v>UCSC</v>
      </c>
      <c r="E7105" s="1" t="str">
        <f>HYPERLINK("http://www.ncbi.nlm.nih.gov/gene/?term=NDUFA9","NCBI")</f>
        <v>NCBI</v>
      </c>
      <c r="F7105">
        <v>9.2999999999999999E-2</v>
      </c>
      <c r="G7105">
        <v>0.22</v>
      </c>
      <c r="H7105" s="1" t="str">
        <f>HYPERLINK("http://www.weizmann.ac.il/complex/compphys/software/geview/data/figures/208969_at.png","Figure")</f>
        <v>Figure</v>
      </c>
      <c r="I7105">
        <v>1.43</v>
      </c>
      <c r="J7105">
        <v>0.1</v>
      </c>
      <c r="K7105">
        <v>1.3</v>
      </c>
      <c r="L7105">
        <v>0.18</v>
      </c>
      <c r="M7105">
        <v>0.91200000000000003</v>
      </c>
      <c r="N7105">
        <v>0.81</v>
      </c>
    </row>
    <row r="7106" spans="1:14" x14ac:dyDescent="0.25">
      <c r="A7106" t="s">
        <v>12684</v>
      </c>
      <c r="B7106" t="s">
        <v>12685</v>
      </c>
      <c r="C7106" s="1" t="str">
        <f>HYPERLINK("http://www.genecards.org/cgi-bin/carddisp.pl?gene=SFT2D2","GeneCards")</f>
        <v>GeneCards</v>
      </c>
      <c r="D7106" s="1" t="str">
        <f>HYPERLINK("http://genome-euro.ucsc.edu/cgi-bin/hgTracks?position=214838_at","UCSC")</f>
        <v>UCSC</v>
      </c>
      <c r="E7106" s="1" t="str">
        <f>HYPERLINK("http://www.ncbi.nlm.nih.gov/gene/?term=SFT2D2","NCBI")</f>
        <v>NCBI</v>
      </c>
      <c r="F7106">
        <v>9.2999999999999999E-2</v>
      </c>
      <c r="G7106">
        <v>0.22</v>
      </c>
      <c r="H7106" s="1" t="str">
        <f>HYPERLINK("http://www.weizmann.ac.il/complex/compphys/software/geview/data/figures/214838_at.png","Figure")</f>
        <v>Figure</v>
      </c>
      <c r="I7106">
        <v>1.2</v>
      </c>
      <c r="J7106">
        <v>8.2000000000000003E-2</v>
      </c>
      <c r="K7106">
        <v>1.06</v>
      </c>
      <c r="L7106">
        <v>0.67</v>
      </c>
      <c r="M7106">
        <v>0.88100000000000001</v>
      </c>
      <c r="N7106">
        <v>0.23</v>
      </c>
    </row>
    <row r="7107" spans="1:14" x14ac:dyDescent="0.25">
      <c r="A7107" t="s">
        <v>12686</v>
      </c>
      <c r="B7107" t="s">
        <v>12687</v>
      </c>
      <c r="C7107" s="1" t="str">
        <f>HYPERLINK("http://www.genecards.org/cgi-bin/carddisp.pl?gene=SDHC","GeneCards")</f>
        <v>GeneCards</v>
      </c>
      <c r="D7107" s="1" t="str">
        <f>HYPERLINK("http://genome-euro.ucsc.edu/cgi-bin/hgTracks?position=215088_s_at","UCSC")</f>
        <v>UCSC</v>
      </c>
      <c r="E7107" s="1" t="str">
        <f>HYPERLINK("http://www.ncbi.nlm.nih.gov/gene/?term=SDHC","NCBI")</f>
        <v>NCBI</v>
      </c>
      <c r="F7107">
        <v>9.2999999999999999E-2</v>
      </c>
      <c r="G7107">
        <v>0.22</v>
      </c>
      <c r="H7107" s="1" t="str">
        <f>HYPERLINK("http://www.weizmann.ac.il/complex/compphys/software/geview/data/figures/215088_s_at.png","Figure")</f>
        <v>Figure</v>
      </c>
      <c r="I7107">
        <v>0.77200000000000002</v>
      </c>
      <c r="J7107">
        <v>0.44</v>
      </c>
      <c r="K7107">
        <v>1.22</v>
      </c>
      <c r="L7107">
        <v>0.52</v>
      </c>
      <c r="M7107">
        <v>1.58</v>
      </c>
      <c r="N7107">
        <v>7.9000000000000001E-2</v>
      </c>
    </row>
    <row r="7108" spans="1:14" x14ac:dyDescent="0.25">
      <c r="A7108" t="s">
        <v>12688</v>
      </c>
      <c r="B7108" t="s">
        <v>1641</v>
      </c>
      <c r="C7108" s="1" t="str">
        <f>HYPERLINK("http://www.genecards.org/cgi-bin/carddisp.pl?gene=SYNJ2","GeneCards")</f>
        <v>GeneCards</v>
      </c>
      <c r="D7108" s="1" t="str">
        <f>HYPERLINK("http://genome-euro.ucsc.edu/cgi-bin/hgTracks?position=216182_at","UCSC")</f>
        <v>UCSC</v>
      </c>
      <c r="E7108" s="1" t="str">
        <f>HYPERLINK("http://www.ncbi.nlm.nih.gov/gene/?term=SYNJ2","NCBI")</f>
        <v>NCBI</v>
      </c>
      <c r="F7108">
        <v>9.2999999999999999E-2</v>
      </c>
      <c r="G7108">
        <v>0.22</v>
      </c>
      <c r="H7108" s="1" t="str">
        <f>HYPERLINK("http://www.weizmann.ac.il/complex/compphys/software/geview/data/figures/216182_at.png","Figure")</f>
        <v>Figure</v>
      </c>
      <c r="I7108">
        <v>1.1299999999999999</v>
      </c>
      <c r="J7108">
        <v>0.18</v>
      </c>
      <c r="K7108">
        <v>0.98199999999999998</v>
      </c>
      <c r="L7108">
        <v>0.95</v>
      </c>
      <c r="M7108">
        <v>0.86899999999999999</v>
      </c>
      <c r="N7108">
        <v>0.09</v>
      </c>
    </row>
    <row r="7109" spans="1:14" x14ac:dyDescent="0.25">
      <c r="A7109" t="s">
        <v>12689</v>
      </c>
      <c r="B7109" t="s">
        <v>12690</v>
      </c>
      <c r="C7109" s="1" t="str">
        <f>HYPERLINK("http://www.genecards.org/cgi-bin/carddisp.pl?gene=OVOL1","GeneCards")</f>
        <v>GeneCards</v>
      </c>
      <c r="D7109" s="1" t="str">
        <f>HYPERLINK("http://genome-euro.ucsc.edu/cgi-bin/hgTracks?position=206604_at","UCSC")</f>
        <v>UCSC</v>
      </c>
      <c r="E7109" s="1" t="str">
        <f>HYPERLINK("http://www.ncbi.nlm.nih.gov/gene/?term=OVOL1","NCBI")</f>
        <v>NCBI</v>
      </c>
      <c r="F7109">
        <v>9.2999999999999999E-2</v>
      </c>
      <c r="G7109">
        <v>0.22</v>
      </c>
      <c r="H7109" s="1" t="str">
        <f>HYPERLINK("http://www.weizmann.ac.il/complex/compphys/software/geview/data/figures/206604_at.png","Figure")</f>
        <v>Figure</v>
      </c>
      <c r="I7109">
        <v>1.0900000000000001</v>
      </c>
      <c r="J7109">
        <v>0.19</v>
      </c>
      <c r="K7109">
        <v>0.98699999999999999</v>
      </c>
      <c r="L7109">
        <v>0.94</v>
      </c>
      <c r="M7109">
        <v>0.90700000000000003</v>
      </c>
      <c r="N7109">
        <v>8.8999999999999996E-2</v>
      </c>
    </row>
    <row r="7110" spans="1:14" x14ac:dyDescent="0.25">
      <c r="A7110" t="s">
        <v>12691</v>
      </c>
      <c r="B7110" t="s">
        <v>12692</v>
      </c>
      <c r="C7110" s="1" t="str">
        <f>HYPERLINK("http://www.genecards.org/cgi-bin/carddisp.pl?gene=AMHR2","GeneCards")</f>
        <v>GeneCards</v>
      </c>
      <c r="D7110" s="1" t="str">
        <f>HYPERLINK("http://genome-euro.ucsc.edu/cgi-bin/hgTracks?position=206892_at","UCSC")</f>
        <v>UCSC</v>
      </c>
      <c r="E7110" s="1" t="str">
        <f>HYPERLINK("http://www.ncbi.nlm.nih.gov/gene/?term=AMHR2","NCBI")</f>
        <v>NCBI</v>
      </c>
      <c r="F7110">
        <v>9.2999999999999999E-2</v>
      </c>
      <c r="G7110">
        <v>0.22</v>
      </c>
      <c r="H7110" s="1" t="str">
        <f>HYPERLINK("http://www.weizmann.ac.il/complex/compphys/software/geview/data/figures/206892_at.png","Figure")</f>
        <v>Figure</v>
      </c>
      <c r="I7110">
        <v>1.22</v>
      </c>
      <c r="J7110">
        <v>9.0999999999999998E-2</v>
      </c>
      <c r="K7110">
        <v>1.05</v>
      </c>
      <c r="L7110">
        <v>0.82</v>
      </c>
      <c r="M7110">
        <v>0.85599999999999998</v>
      </c>
      <c r="N7110">
        <v>0.18</v>
      </c>
    </row>
    <row r="7111" spans="1:14" x14ac:dyDescent="0.25">
      <c r="A7111" t="s">
        <v>12693</v>
      </c>
      <c r="B7111" t="s">
        <v>415</v>
      </c>
      <c r="C7111" s="1" t="str">
        <f>HYPERLINK("http://www.genecards.org/cgi-bin/carddisp.pl?gene=IDS","GeneCards")</f>
        <v>GeneCards</v>
      </c>
      <c r="D7111" s="1" t="str">
        <f>HYPERLINK("http://genome-euro.ucsc.edu/cgi-bin/hgTracks?position=202439_s_at","UCSC")</f>
        <v>UCSC</v>
      </c>
      <c r="E7111" s="1" t="str">
        <f>HYPERLINK("http://www.ncbi.nlm.nih.gov/gene/?term=IDS","NCBI")</f>
        <v>NCBI</v>
      </c>
      <c r="F7111">
        <v>9.2999999999999999E-2</v>
      </c>
      <c r="G7111">
        <v>0.22</v>
      </c>
      <c r="H7111" s="1" t="str">
        <f>HYPERLINK("http://www.weizmann.ac.il/complex/compphys/software/geview/data/figures/202439_s_at.png","Figure")</f>
        <v>Figure</v>
      </c>
      <c r="I7111">
        <v>0.67400000000000004</v>
      </c>
      <c r="J7111">
        <v>7.9000000000000001E-2</v>
      </c>
      <c r="K7111">
        <v>0.81899999999999995</v>
      </c>
      <c r="L7111">
        <v>0.38</v>
      </c>
      <c r="M7111">
        <v>1.22</v>
      </c>
      <c r="N7111">
        <v>0.44</v>
      </c>
    </row>
    <row r="7112" spans="1:14" x14ac:dyDescent="0.25">
      <c r="A7112" t="s">
        <v>12694</v>
      </c>
      <c r="B7112" t="s">
        <v>838</v>
      </c>
      <c r="C7112" s="1" t="str">
        <f>HYPERLINK("http://www.genecards.org/cgi-bin/carddisp.pl?gene=XPNPEP1","GeneCards")</f>
        <v>GeneCards</v>
      </c>
      <c r="D7112" s="1" t="str">
        <f>HYPERLINK("http://genome-euro.ucsc.edu/cgi-bin/hgTracks?position=222072_at","UCSC")</f>
        <v>UCSC</v>
      </c>
      <c r="E7112" s="1" t="str">
        <f>HYPERLINK("http://www.ncbi.nlm.nih.gov/gene/?term=XPNPEP1","NCBI")</f>
        <v>NCBI</v>
      </c>
      <c r="F7112">
        <v>9.2999999999999999E-2</v>
      </c>
      <c r="G7112">
        <v>0.22</v>
      </c>
      <c r="H7112" s="1" t="str">
        <f>HYPERLINK("http://www.weizmann.ac.il/complex/compphys/software/geview/data/figures/222072_at.png","Figure")</f>
        <v>Figure</v>
      </c>
      <c r="I7112">
        <v>1.1000000000000001</v>
      </c>
      <c r="J7112">
        <v>0.14000000000000001</v>
      </c>
      <c r="K7112">
        <v>0.999</v>
      </c>
      <c r="L7112">
        <v>1</v>
      </c>
      <c r="M7112">
        <v>0.91200000000000003</v>
      </c>
      <c r="N7112">
        <v>0.11</v>
      </c>
    </row>
    <row r="7113" spans="1:14" x14ac:dyDescent="0.25">
      <c r="A7113" t="s">
        <v>12695</v>
      </c>
      <c r="B7113" t="s">
        <v>12696</v>
      </c>
      <c r="C7113" s="1" t="str">
        <f>HYPERLINK("http://www.genecards.org/cgi-bin/carddisp.pl?gene=ZFHX3","GeneCards")</f>
        <v>GeneCards</v>
      </c>
      <c r="D7113" s="1" t="str">
        <f>HYPERLINK("http://genome-euro.ucsc.edu/cgi-bin/hgTracks?position=208033_s_at","UCSC")</f>
        <v>UCSC</v>
      </c>
      <c r="E7113" s="1" t="str">
        <f>HYPERLINK("http://www.ncbi.nlm.nih.gov/gene/?term=ZFHX3","NCBI")</f>
        <v>NCBI</v>
      </c>
      <c r="F7113">
        <v>9.2999999999999999E-2</v>
      </c>
      <c r="G7113">
        <v>0.22</v>
      </c>
      <c r="H7113" s="1" t="str">
        <f>HYPERLINK("http://www.weizmann.ac.il/complex/compphys/software/geview/data/figures/208033_s_at.png","Figure")</f>
        <v>Figure</v>
      </c>
      <c r="I7113">
        <v>0.93600000000000005</v>
      </c>
      <c r="J7113">
        <v>0.24</v>
      </c>
      <c r="K7113">
        <v>1.02</v>
      </c>
      <c r="L7113">
        <v>0.83</v>
      </c>
      <c r="M7113">
        <v>1.0900000000000001</v>
      </c>
      <c r="N7113">
        <v>8.2000000000000003E-2</v>
      </c>
    </row>
    <row r="7114" spans="1:14" x14ac:dyDescent="0.25">
      <c r="A7114" t="s">
        <v>12697</v>
      </c>
      <c r="B7114" t="s">
        <v>12698</v>
      </c>
      <c r="C7114" s="1" t="str">
        <f>HYPERLINK("http://www.genecards.org/cgi-bin/carddisp.pl?gene=MSH6","GeneCards")</f>
        <v>GeneCards</v>
      </c>
      <c r="D7114" s="1" t="str">
        <f>HYPERLINK("http://genome-euro.ucsc.edu/cgi-bin/hgTracks?position=202911_at","UCSC")</f>
        <v>UCSC</v>
      </c>
      <c r="E7114" s="1" t="str">
        <f>HYPERLINK("http://www.ncbi.nlm.nih.gov/gene/?term=MSH6","NCBI")</f>
        <v>NCBI</v>
      </c>
      <c r="F7114">
        <v>9.2999999999999999E-2</v>
      </c>
      <c r="G7114">
        <v>0.22</v>
      </c>
      <c r="H7114" s="1" t="str">
        <f>HYPERLINK("http://www.weizmann.ac.il/complex/compphys/software/geview/data/figures/202911_at.png","Figure")</f>
        <v>Figure</v>
      </c>
      <c r="I7114">
        <v>1.66</v>
      </c>
      <c r="J7114">
        <v>0.17</v>
      </c>
      <c r="K7114">
        <v>0.95399999999999996</v>
      </c>
      <c r="L7114">
        <v>0.98</v>
      </c>
      <c r="M7114">
        <v>0.57499999999999996</v>
      </c>
      <c r="N7114">
        <v>9.5000000000000001E-2</v>
      </c>
    </row>
    <row r="7115" spans="1:14" x14ac:dyDescent="0.25">
      <c r="A7115" t="s">
        <v>12699</v>
      </c>
      <c r="B7115" t="s">
        <v>11422</v>
      </c>
      <c r="C7115" s="1" t="str">
        <f>HYPERLINK("http://www.genecards.org/cgi-bin/carddisp.pl?gene=PNO1","GeneCards")</f>
        <v>GeneCards</v>
      </c>
      <c r="D7115" s="1" t="str">
        <f>HYPERLINK("http://genome-euro.ucsc.edu/cgi-bin/hgTracks?position=211697_x_at","UCSC")</f>
        <v>UCSC</v>
      </c>
      <c r="E7115" s="1" t="str">
        <f>HYPERLINK("http://www.ncbi.nlm.nih.gov/gene/?term=PNO1","NCBI")</f>
        <v>NCBI</v>
      </c>
      <c r="F7115">
        <v>9.2999999999999999E-2</v>
      </c>
      <c r="G7115">
        <v>0.22</v>
      </c>
      <c r="H7115" s="1" t="str">
        <f>HYPERLINK("http://www.weizmann.ac.il/complex/compphys/software/geview/data/figures/211697_x_at.png","Figure")</f>
        <v>Figure</v>
      </c>
      <c r="I7115">
        <v>1.29</v>
      </c>
      <c r="J7115">
        <v>8.6999999999999994E-2</v>
      </c>
      <c r="K7115">
        <v>1.07</v>
      </c>
      <c r="L7115">
        <v>0.76</v>
      </c>
      <c r="M7115">
        <v>0.83</v>
      </c>
      <c r="N7115">
        <v>0.2</v>
      </c>
    </row>
    <row r="7116" spans="1:14" x14ac:dyDescent="0.25">
      <c r="A7116" t="s">
        <v>12700</v>
      </c>
      <c r="B7116" t="s">
        <v>2648</v>
      </c>
      <c r="C7116" s="1" t="str">
        <f>HYPERLINK("http://www.genecards.org/cgi-bin/carddisp.pl?gene=GLYR1","GeneCards")</f>
        <v>GeneCards</v>
      </c>
      <c r="D7116" s="1" t="str">
        <f>HYPERLINK("http://genome-euro.ucsc.edu/cgi-bin/hgTracks?position=218506_x_at","UCSC")</f>
        <v>UCSC</v>
      </c>
      <c r="E7116" s="1" t="str">
        <f>HYPERLINK("http://www.ncbi.nlm.nih.gov/gene/?term=GLYR1","NCBI")</f>
        <v>NCBI</v>
      </c>
      <c r="F7116">
        <v>9.2999999999999999E-2</v>
      </c>
      <c r="G7116">
        <v>0.22</v>
      </c>
      <c r="H7116" s="1" t="str">
        <f>HYPERLINK("http://www.weizmann.ac.il/complex/compphys/software/geview/data/figures/218506_x_at.png","Figure")</f>
        <v>Figure</v>
      </c>
      <c r="I7116">
        <v>0.96799999999999997</v>
      </c>
      <c r="J7116">
        <v>0.97</v>
      </c>
      <c r="K7116">
        <v>0.754</v>
      </c>
      <c r="L7116">
        <v>0.12</v>
      </c>
      <c r="M7116">
        <v>0.77800000000000002</v>
      </c>
      <c r="N7116">
        <v>0.21</v>
      </c>
    </row>
    <row r="7117" spans="1:14" x14ac:dyDescent="0.25">
      <c r="A7117" t="s">
        <v>12701</v>
      </c>
      <c r="B7117" t="s">
        <v>4350</v>
      </c>
      <c r="C7117" s="1" t="str">
        <f>HYPERLINK("http://www.genecards.org/cgi-bin/carddisp.pl?gene=CUGBP1","GeneCards")</f>
        <v>GeneCards</v>
      </c>
      <c r="D7117" s="1" t="str">
        <f>HYPERLINK("http://genome-euro.ucsc.edu/cgi-bin/hgTracks?position=221743_at","UCSC")</f>
        <v>UCSC</v>
      </c>
      <c r="E7117" s="1" t="str">
        <f>HYPERLINK("http://www.ncbi.nlm.nih.gov/gene/?term=CUGBP1","NCBI")</f>
        <v>NCBI</v>
      </c>
      <c r="F7117">
        <v>9.2999999999999999E-2</v>
      </c>
      <c r="G7117">
        <v>0.22</v>
      </c>
      <c r="H7117" s="1" t="str">
        <f>HYPERLINK("http://www.weizmann.ac.il/complex/compphys/software/geview/data/figures/221743_at.png","Figure")</f>
        <v>Figure</v>
      </c>
      <c r="I7117">
        <v>0.99299999999999999</v>
      </c>
      <c r="J7117">
        <v>1</v>
      </c>
      <c r="K7117">
        <v>0.70399999999999996</v>
      </c>
      <c r="L7117">
        <v>0.13</v>
      </c>
      <c r="M7117">
        <v>0.70899999999999996</v>
      </c>
      <c r="N7117">
        <v>0.18</v>
      </c>
    </row>
    <row r="7118" spans="1:14" x14ac:dyDescent="0.25">
      <c r="A7118" t="s">
        <v>12702</v>
      </c>
      <c r="B7118" t="s">
        <v>12703</v>
      </c>
      <c r="C7118" s="1" t="str">
        <f>HYPERLINK("http://www.genecards.org/cgi-bin/carddisp.pl?gene=C13orf34","GeneCards")</f>
        <v>GeneCards</v>
      </c>
      <c r="D7118" s="1" t="str">
        <f>HYPERLINK("http://genome-euro.ucsc.edu/cgi-bin/hgTracks?position=219544_at","UCSC")</f>
        <v>UCSC</v>
      </c>
      <c r="E7118" s="1" t="str">
        <f>HYPERLINK("http://www.ncbi.nlm.nih.gov/gene/?term=C13orf34","NCBI")</f>
        <v>NCBI</v>
      </c>
      <c r="F7118">
        <v>9.4E-2</v>
      </c>
      <c r="G7118">
        <v>0.22</v>
      </c>
      <c r="H7118" s="1" t="str">
        <f>HYPERLINK("http://www.weizmann.ac.il/complex/compphys/software/geview/data/figures/219544_at.png","Figure")</f>
        <v>Figure</v>
      </c>
      <c r="I7118">
        <v>0.99</v>
      </c>
      <c r="J7118">
        <v>0.99</v>
      </c>
      <c r="K7118">
        <v>0.85</v>
      </c>
      <c r="L7118">
        <v>0.13</v>
      </c>
      <c r="M7118">
        <v>0.85799999999999998</v>
      </c>
      <c r="N7118">
        <v>0.19</v>
      </c>
    </row>
    <row r="7119" spans="1:14" x14ac:dyDescent="0.25">
      <c r="A7119" t="s">
        <v>12704</v>
      </c>
      <c r="B7119" t="s">
        <v>6682</v>
      </c>
      <c r="C7119" s="1" t="str">
        <f>HYPERLINK("http://www.genecards.org/cgi-bin/carddisp.pl?gene=SEZ6L","GeneCards")</f>
        <v>GeneCards</v>
      </c>
      <c r="D7119" s="1" t="str">
        <f>HYPERLINK("http://genome-euro.ucsc.edu/cgi-bin/hgTracks?position=216047_x_at","UCSC")</f>
        <v>UCSC</v>
      </c>
      <c r="E7119" s="1" t="str">
        <f>HYPERLINK("http://www.ncbi.nlm.nih.gov/gene/?term=SEZ6L","NCBI")</f>
        <v>NCBI</v>
      </c>
      <c r="F7119">
        <v>9.4E-2</v>
      </c>
      <c r="G7119">
        <v>0.22</v>
      </c>
      <c r="H7119" s="1" t="str">
        <f>HYPERLINK("http://www.weizmann.ac.il/complex/compphys/software/geview/data/figures/216047_x_at.png","Figure")</f>
        <v>Figure</v>
      </c>
      <c r="I7119">
        <v>1.19</v>
      </c>
      <c r="J7119">
        <v>0.11</v>
      </c>
      <c r="K7119">
        <v>1.1399999999999999</v>
      </c>
      <c r="L7119">
        <v>0.17</v>
      </c>
      <c r="M7119">
        <v>0.96</v>
      </c>
      <c r="N7119">
        <v>0.85</v>
      </c>
    </row>
    <row r="7120" spans="1:14" x14ac:dyDescent="0.25">
      <c r="A7120" t="s">
        <v>12705</v>
      </c>
      <c r="B7120" t="s">
        <v>12706</v>
      </c>
      <c r="C7120" s="1" t="str">
        <f>HYPERLINK("http://www.genecards.org/cgi-bin/carddisp.pl?gene=LOC100287515 /// ZNF26","GeneCards")</f>
        <v>GeneCards</v>
      </c>
      <c r="D7120" s="1" t="str">
        <f>HYPERLINK("http://genome-euro.ucsc.edu/cgi-bin/hgTracks?position=219595_at","UCSC")</f>
        <v>UCSC</v>
      </c>
      <c r="E7120" s="1" t="str">
        <f>HYPERLINK("http://www.ncbi.nlm.nih.gov/gene/?term=LOC100287515 /// ZNF26","NCBI")</f>
        <v>NCBI</v>
      </c>
      <c r="F7120">
        <v>9.4E-2</v>
      </c>
      <c r="G7120">
        <v>0.22</v>
      </c>
      <c r="H7120" s="1" t="str">
        <f>HYPERLINK("http://www.weizmann.ac.il/complex/compphys/software/geview/data/figures/219595_at.png","Figure")</f>
        <v>Figure</v>
      </c>
      <c r="I7120">
        <v>1.1299999999999999</v>
      </c>
      <c r="J7120">
        <v>0.63</v>
      </c>
      <c r="K7120">
        <v>0.85499999999999998</v>
      </c>
      <c r="L7120">
        <v>0.36</v>
      </c>
      <c r="M7120">
        <v>0.76</v>
      </c>
      <c r="N7120">
        <v>8.7999999999999995E-2</v>
      </c>
    </row>
    <row r="7121" spans="1:14" x14ac:dyDescent="0.25">
      <c r="A7121" t="s">
        <v>12707</v>
      </c>
      <c r="B7121" s="3">
        <v>42615</v>
      </c>
      <c r="C7121" s="1" t="str">
        <f>HYPERLINK("http://www.genecards.org/cgi-bin/carddisp.pl?gene=2-Sep","GeneCards")</f>
        <v>GeneCards</v>
      </c>
      <c r="D7121" s="1" t="str">
        <f>HYPERLINK("http://genome-euro.ucsc.edu/cgi-bin/hgTracks?position=200778_s_at","UCSC")</f>
        <v>UCSC</v>
      </c>
      <c r="E7121" s="1" t="str">
        <f>HYPERLINK("http://www.ncbi.nlm.nih.gov/gene/?term=2-Sep","NCBI")</f>
        <v>NCBI</v>
      </c>
      <c r="F7121">
        <v>9.4E-2</v>
      </c>
      <c r="G7121">
        <v>0.22</v>
      </c>
      <c r="H7121" s="1" t="str">
        <f>HYPERLINK("http://www.weizmann.ac.il/complex/compphys/software/geview/data/figures/200778_s_at.png","Figure")</f>
        <v>Figure</v>
      </c>
      <c r="I7121">
        <v>0.97799999999999998</v>
      </c>
      <c r="J7121">
        <v>0.99</v>
      </c>
      <c r="K7121">
        <v>0.751</v>
      </c>
      <c r="L7121">
        <v>0.12</v>
      </c>
      <c r="M7121">
        <v>0.76800000000000002</v>
      </c>
      <c r="N7121">
        <v>0.2</v>
      </c>
    </row>
    <row r="7122" spans="1:14" x14ac:dyDescent="0.25">
      <c r="A7122" t="s">
        <v>12708</v>
      </c>
      <c r="B7122" t="s">
        <v>6030</v>
      </c>
      <c r="C7122" s="1" t="str">
        <f>HYPERLINK("http://www.genecards.org/cgi-bin/carddisp.pl?gene=PIP4K2B","GeneCards")</f>
        <v>GeneCards</v>
      </c>
      <c r="D7122" s="1" t="str">
        <f>HYPERLINK("http://genome-euro.ucsc.edu/cgi-bin/hgTracks?position=201080_at","UCSC")</f>
        <v>UCSC</v>
      </c>
      <c r="E7122" s="1" t="str">
        <f>HYPERLINK("http://www.ncbi.nlm.nih.gov/gene/?term=PIP4K2B","NCBI")</f>
        <v>NCBI</v>
      </c>
      <c r="F7122">
        <v>9.4E-2</v>
      </c>
      <c r="G7122">
        <v>0.22</v>
      </c>
      <c r="H7122" s="1" t="str">
        <f>HYPERLINK("http://www.weizmann.ac.il/complex/compphys/software/geview/data/figures/201080_at.png","Figure")</f>
        <v>Figure</v>
      </c>
      <c r="I7122">
        <v>0.78500000000000003</v>
      </c>
      <c r="J7122">
        <v>0.27</v>
      </c>
      <c r="K7122">
        <v>1.0900000000000001</v>
      </c>
      <c r="L7122">
        <v>0.78</v>
      </c>
      <c r="M7122">
        <v>1.39</v>
      </c>
      <c r="N7122">
        <v>0.08</v>
      </c>
    </row>
    <row r="7123" spans="1:14" x14ac:dyDescent="0.25">
      <c r="A7123" t="s">
        <v>12709</v>
      </c>
      <c r="B7123" t="s">
        <v>2608</v>
      </c>
      <c r="C7123" s="1" t="str">
        <f>HYPERLINK("http://www.genecards.org/cgi-bin/carddisp.pl?gene=ACSL3","GeneCards")</f>
        <v>GeneCards</v>
      </c>
      <c r="D7123" s="1" t="str">
        <f>HYPERLINK("http://genome-euro.ucsc.edu/cgi-bin/hgTracks?position=201660_at","UCSC")</f>
        <v>UCSC</v>
      </c>
      <c r="E7123" s="1" t="str">
        <f>HYPERLINK("http://www.ncbi.nlm.nih.gov/gene/?term=ACSL3","NCBI")</f>
        <v>NCBI</v>
      </c>
      <c r="F7123">
        <v>9.4E-2</v>
      </c>
      <c r="G7123">
        <v>0.22</v>
      </c>
      <c r="H7123" s="1" t="str">
        <f>HYPERLINK("http://www.weizmann.ac.il/complex/compphys/software/geview/data/figures/201660_at.png","Figure")</f>
        <v>Figure</v>
      </c>
      <c r="I7123">
        <v>0.76</v>
      </c>
      <c r="J7123">
        <v>0.12</v>
      </c>
      <c r="K7123">
        <v>0.98199999999999998</v>
      </c>
      <c r="L7123">
        <v>0.99</v>
      </c>
      <c r="M7123">
        <v>1.29</v>
      </c>
      <c r="N7123">
        <v>0.12</v>
      </c>
    </row>
    <row r="7124" spans="1:14" x14ac:dyDescent="0.25">
      <c r="A7124" t="s">
        <v>12710</v>
      </c>
      <c r="B7124" t="s">
        <v>7956</v>
      </c>
      <c r="C7124" s="1" t="str">
        <f>HYPERLINK("http://www.genecards.org/cgi-bin/carddisp.pl?gene=BUB1","GeneCards")</f>
        <v>GeneCards</v>
      </c>
      <c r="D7124" s="1" t="str">
        <f>HYPERLINK("http://genome-euro.ucsc.edu/cgi-bin/hgTracks?position=209642_at","UCSC")</f>
        <v>UCSC</v>
      </c>
      <c r="E7124" s="1" t="str">
        <f>HYPERLINK("http://www.ncbi.nlm.nih.gov/gene/?term=BUB1","NCBI")</f>
        <v>NCBI</v>
      </c>
      <c r="F7124">
        <v>9.4E-2</v>
      </c>
      <c r="G7124">
        <v>0.22</v>
      </c>
      <c r="H7124" s="1" t="str">
        <f>HYPERLINK("http://www.weizmann.ac.il/complex/compphys/software/geview/data/figures/209642_at.png","Figure")</f>
        <v>Figure</v>
      </c>
      <c r="I7124">
        <v>1.04</v>
      </c>
      <c r="J7124">
        <v>0.98</v>
      </c>
      <c r="K7124">
        <v>1.46</v>
      </c>
      <c r="L7124">
        <v>0.12</v>
      </c>
      <c r="M7124">
        <v>1.4</v>
      </c>
      <c r="N7124">
        <v>0.21</v>
      </c>
    </row>
    <row r="7125" spans="1:14" x14ac:dyDescent="0.25">
      <c r="A7125" t="s">
        <v>12711</v>
      </c>
      <c r="B7125" t="s">
        <v>12712</v>
      </c>
      <c r="C7125" s="1" t="str">
        <f>HYPERLINK("http://www.genecards.org/cgi-bin/carddisp.pl?gene=KIFC1","GeneCards")</f>
        <v>GeneCards</v>
      </c>
      <c r="D7125" s="1" t="str">
        <f>HYPERLINK("http://genome-euro.ucsc.edu/cgi-bin/hgTracks?position=209680_s_at","UCSC")</f>
        <v>UCSC</v>
      </c>
      <c r="E7125" s="1" t="str">
        <f>HYPERLINK("http://www.ncbi.nlm.nih.gov/gene/?term=KIFC1","NCBI")</f>
        <v>NCBI</v>
      </c>
      <c r="F7125">
        <v>9.4E-2</v>
      </c>
      <c r="G7125">
        <v>0.22</v>
      </c>
      <c r="H7125" s="1" t="str">
        <f>HYPERLINK("http://www.weizmann.ac.il/complex/compphys/software/geview/data/figures/209680_s_at.png","Figure")</f>
        <v>Figure</v>
      </c>
      <c r="I7125">
        <v>1.28</v>
      </c>
      <c r="J7125">
        <v>7.9000000000000001E-2</v>
      </c>
      <c r="K7125">
        <v>1.1299999999999999</v>
      </c>
      <c r="L7125">
        <v>0.39</v>
      </c>
      <c r="M7125">
        <v>0.88400000000000001</v>
      </c>
      <c r="N7125">
        <v>0.43</v>
      </c>
    </row>
    <row r="7126" spans="1:14" x14ac:dyDescent="0.25">
      <c r="A7126" t="s">
        <v>12713</v>
      </c>
      <c r="B7126" t="s">
        <v>11269</v>
      </c>
      <c r="C7126" s="1" t="str">
        <f>HYPERLINK("http://www.genecards.org/cgi-bin/carddisp.pl?gene=DLG1","GeneCards")</f>
        <v>GeneCards</v>
      </c>
      <c r="D7126" s="1" t="str">
        <f>HYPERLINK("http://genome-euro.ucsc.edu/cgi-bin/hgTracks?position=217208_s_at","UCSC")</f>
        <v>UCSC</v>
      </c>
      <c r="E7126" s="1" t="str">
        <f>HYPERLINK("http://www.ncbi.nlm.nih.gov/gene/?term=DLG1","NCBI")</f>
        <v>NCBI</v>
      </c>
      <c r="F7126">
        <v>9.4E-2</v>
      </c>
      <c r="G7126">
        <v>0.22</v>
      </c>
      <c r="H7126" s="1" t="str">
        <f>HYPERLINK("http://www.weizmann.ac.il/complex/compphys/software/geview/data/figures/217208_s_at.png","Figure")</f>
        <v>Figure</v>
      </c>
      <c r="I7126">
        <v>1.07</v>
      </c>
      <c r="J7126">
        <v>0.9</v>
      </c>
      <c r="K7126">
        <v>0.77700000000000002</v>
      </c>
      <c r="L7126">
        <v>0.21</v>
      </c>
      <c r="M7126">
        <v>0.72499999999999998</v>
      </c>
      <c r="N7126">
        <v>0.12</v>
      </c>
    </row>
    <row r="7127" spans="1:14" x14ac:dyDescent="0.25">
      <c r="A7127" t="s">
        <v>12714</v>
      </c>
      <c r="B7127" t="s">
        <v>12715</v>
      </c>
      <c r="C7127" s="1" t="str">
        <f>HYPERLINK("http://www.genecards.org/cgi-bin/carddisp.pl?gene=CAMP","GeneCards")</f>
        <v>GeneCards</v>
      </c>
      <c r="D7127" s="1" t="str">
        <f>HYPERLINK("http://genome-euro.ucsc.edu/cgi-bin/hgTracks?position=210244_at","UCSC")</f>
        <v>UCSC</v>
      </c>
      <c r="E7127" s="1" t="str">
        <f>HYPERLINK("http://www.ncbi.nlm.nih.gov/gene/?term=CAMP","NCBI")</f>
        <v>NCBI</v>
      </c>
      <c r="F7127">
        <v>9.4E-2</v>
      </c>
      <c r="G7127">
        <v>0.22</v>
      </c>
      <c r="H7127" s="1" t="str">
        <f>HYPERLINK("http://www.weizmann.ac.il/complex/compphys/software/geview/data/figures/210244_at.png","Figure")</f>
        <v>Figure</v>
      </c>
      <c r="I7127">
        <v>1.21</v>
      </c>
      <c r="J7127">
        <v>9.1999999999999998E-2</v>
      </c>
      <c r="K7127">
        <v>1.04</v>
      </c>
      <c r="L7127">
        <v>0.82</v>
      </c>
      <c r="M7127">
        <v>0.86399999999999999</v>
      </c>
      <c r="N7127">
        <v>0.18</v>
      </c>
    </row>
    <row r="7128" spans="1:14" x14ac:dyDescent="0.25">
      <c r="A7128" t="s">
        <v>12716</v>
      </c>
      <c r="B7128" t="s">
        <v>12717</v>
      </c>
      <c r="C7128" s="1" t="str">
        <f>HYPERLINK("http://www.genecards.org/cgi-bin/carddisp.pl?gene=TCEA2","GeneCards")</f>
        <v>GeneCards</v>
      </c>
      <c r="D7128" s="1" t="str">
        <f>HYPERLINK("http://genome-euro.ucsc.edu/cgi-bin/hgTracks?position=203919_at","UCSC")</f>
        <v>UCSC</v>
      </c>
      <c r="E7128" s="1" t="str">
        <f>HYPERLINK("http://www.ncbi.nlm.nih.gov/gene/?term=TCEA2","NCBI")</f>
        <v>NCBI</v>
      </c>
      <c r="F7128">
        <v>9.4E-2</v>
      </c>
      <c r="G7128">
        <v>0.22</v>
      </c>
      <c r="H7128" s="1" t="str">
        <f>HYPERLINK("http://www.weizmann.ac.il/complex/compphys/software/geview/data/figures/203919_at.png","Figure")</f>
        <v>Figure</v>
      </c>
      <c r="I7128">
        <v>0.92800000000000005</v>
      </c>
      <c r="J7128">
        <v>0.87</v>
      </c>
      <c r="K7128">
        <v>1.26</v>
      </c>
      <c r="L7128">
        <v>0.22</v>
      </c>
      <c r="M7128">
        <v>1.36</v>
      </c>
      <c r="N7128">
        <v>0.11</v>
      </c>
    </row>
    <row r="7129" spans="1:14" x14ac:dyDescent="0.25">
      <c r="A7129" t="s">
        <v>12718</v>
      </c>
      <c r="B7129" t="s">
        <v>12719</v>
      </c>
      <c r="C7129" s="1" t="str">
        <f>HYPERLINK("http://www.genecards.org/cgi-bin/carddisp.pl?gene=ABCB8","GeneCards")</f>
        <v>GeneCards</v>
      </c>
      <c r="D7129" s="1" t="str">
        <f>HYPERLINK("http://genome-euro.ucsc.edu/cgi-bin/hgTracks?position=206317_s_at","UCSC")</f>
        <v>UCSC</v>
      </c>
      <c r="E7129" s="1" t="str">
        <f>HYPERLINK("http://www.ncbi.nlm.nih.gov/gene/?term=ABCB8","NCBI")</f>
        <v>NCBI</v>
      </c>
      <c r="F7129">
        <v>9.4E-2</v>
      </c>
      <c r="G7129">
        <v>0.22</v>
      </c>
      <c r="H7129" s="1" t="str">
        <f>HYPERLINK("http://www.weizmann.ac.il/complex/compphys/software/geview/data/figures/206317_s_at.png","Figure")</f>
        <v>Figure</v>
      </c>
      <c r="I7129">
        <v>1.04</v>
      </c>
      <c r="J7129">
        <v>0.17</v>
      </c>
      <c r="K7129">
        <v>1.04</v>
      </c>
      <c r="L7129">
        <v>0.11</v>
      </c>
      <c r="M7129">
        <v>1</v>
      </c>
      <c r="N7129">
        <v>1</v>
      </c>
    </row>
    <row r="7130" spans="1:14" x14ac:dyDescent="0.25">
      <c r="A7130" t="s">
        <v>12720</v>
      </c>
      <c r="B7130" t="s">
        <v>10062</v>
      </c>
      <c r="C7130" s="1" t="str">
        <f>HYPERLINK("http://www.genecards.org/cgi-bin/carddisp.pl?gene=MED20","GeneCards")</f>
        <v>GeneCards</v>
      </c>
      <c r="D7130" s="1" t="str">
        <f>HYPERLINK("http://genome-euro.ucsc.edu/cgi-bin/hgTracks?position=206961_s_at","UCSC")</f>
        <v>UCSC</v>
      </c>
      <c r="E7130" s="1" t="str">
        <f>HYPERLINK("http://www.ncbi.nlm.nih.gov/gene/?term=MED20","NCBI")</f>
        <v>NCBI</v>
      </c>
      <c r="F7130">
        <v>9.4E-2</v>
      </c>
      <c r="G7130">
        <v>0.22</v>
      </c>
      <c r="H7130" s="1" t="str">
        <f>HYPERLINK("http://www.weizmann.ac.il/complex/compphys/software/geview/data/figures/206961_s_at.png","Figure")</f>
        <v>Figure</v>
      </c>
      <c r="I7130">
        <v>1.06</v>
      </c>
      <c r="J7130">
        <v>0.55000000000000004</v>
      </c>
      <c r="K7130">
        <v>1.1299999999999999</v>
      </c>
      <c r="L7130">
        <v>7.9000000000000001E-2</v>
      </c>
      <c r="M7130">
        <v>1.06</v>
      </c>
      <c r="N7130">
        <v>0.54</v>
      </c>
    </row>
    <row r="7131" spans="1:14" x14ac:dyDescent="0.25">
      <c r="A7131" t="s">
        <v>12721</v>
      </c>
      <c r="B7131" t="s">
        <v>9333</v>
      </c>
      <c r="C7131" s="1" t="str">
        <f>HYPERLINK("http://www.genecards.org/cgi-bin/carddisp.pl?gene=CDK2","GeneCards")</f>
        <v>GeneCards</v>
      </c>
      <c r="D7131" s="1" t="str">
        <f>HYPERLINK("http://genome-euro.ucsc.edu/cgi-bin/hgTracks?position=211803_at","UCSC")</f>
        <v>UCSC</v>
      </c>
      <c r="E7131" s="1" t="str">
        <f>HYPERLINK("http://www.ncbi.nlm.nih.gov/gene/?term=CDK2","NCBI")</f>
        <v>NCBI</v>
      </c>
      <c r="F7131">
        <v>9.4E-2</v>
      </c>
      <c r="G7131">
        <v>0.22</v>
      </c>
      <c r="H7131" s="1" t="str">
        <f>HYPERLINK("http://www.weizmann.ac.il/complex/compphys/software/geview/data/figures/211803_at.png","Figure")</f>
        <v>Figure</v>
      </c>
      <c r="I7131">
        <v>1.1000000000000001</v>
      </c>
      <c r="J7131">
        <v>8.4000000000000005E-2</v>
      </c>
      <c r="K7131">
        <v>1.06</v>
      </c>
      <c r="L7131">
        <v>0.28999999999999998</v>
      </c>
      <c r="M7131">
        <v>0.96</v>
      </c>
      <c r="N7131">
        <v>0.56000000000000005</v>
      </c>
    </row>
    <row r="7132" spans="1:14" x14ac:dyDescent="0.25">
      <c r="A7132" t="s">
        <v>12722</v>
      </c>
      <c r="B7132" t="s">
        <v>12723</v>
      </c>
      <c r="C7132" s="1" t="str">
        <f>HYPERLINK("http://www.genecards.org/cgi-bin/carddisp.pl?gene=PNMA3","GeneCards")</f>
        <v>GeneCards</v>
      </c>
      <c r="D7132" s="1" t="str">
        <f>HYPERLINK("http://genome-euro.ucsc.edu/cgi-bin/hgTracks?position=220923_s_at","UCSC")</f>
        <v>UCSC</v>
      </c>
      <c r="E7132" s="1" t="str">
        <f>HYPERLINK("http://www.ncbi.nlm.nih.gov/gene/?term=PNMA3","NCBI")</f>
        <v>NCBI</v>
      </c>
      <c r="F7132">
        <v>9.4E-2</v>
      </c>
      <c r="G7132">
        <v>0.22</v>
      </c>
      <c r="H7132" s="1" t="str">
        <f>HYPERLINK("http://www.weizmann.ac.il/complex/compphys/software/geview/data/figures/220923_s_at.png","Figure")</f>
        <v>Figure</v>
      </c>
      <c r="I7132">
        <v>1.29</v>
      </c>
      <c r="J7132">
        <v>7.9000000000000001E-2</v>
      </c>
      <c r="K7132">
        <v>1.1100000000000001</v>
      </c>
      <c r="L7132">
        <v>0.51</v>
      </c>
      <c r="M7132">
        <v>0.86299999999999999</v>
      </c>
      <c r="N7132">
        <v>0.33</v>
      </c>
    </row>
    <row r="7133" spans="1:14" x14ac:dyDescent="0.25">
      <c r="A7133" t="s">
        <v>12724</v>
      </c>
      <c r="B7133" t="s">
        <v>7397</v>
      </c>
      <c r="C7133" s="1" t="str">
        <f>HYPERLINK("http://www.genecards.org/cgi-bin/carddisp.pl?gene=AP2S1","GeneCards")</f>
        <v>GeneCards</v>
      </c>
      <c r="D7133" s="1" t="str">
        <f>HYPERLINK("http://genome-euro.ucsc.edu/cgi-bin/hgTracks?position=208074_s_at","UCSC")</f>
        <v>UCSC</v>
      </c>
      <c r="E7133" s="1" t="str">
        <f>HYPERLINK("http://www.ncbi.nlm.nih.gov/gene/?term=AP2S1","NCBI")</f>
        <v>NCBI</v>
      </c>
      <c r="F7133">
        <v>9.4E-2</v>
      </c>
      <c r="G7133">
        <v>0.22</v>
      </c>
      <c r="H7133" s="1" t="str">
        <f>HYPERLINK("http://www.weizmann.ac.il/complex/compphys/software/geview/data/figures/208074_s_at.png","Figure")</f>
        <v>Figure</v>
      </c>
      <c r="I7133">
        <v>0.97599999999999998</v>
      </c>
      <c r="J7133">
        <v>0.99</v>
      </c>
      <c r="K7133">
        <v>1.3</v>
      </c>
      <c r="L7133">
        <v>0.16</v>
      </c>
      <c r="M7133">
        <v>1.33</v>
      </c>
      <c r="N7133">
        <v>0.15</v>
      </c>
    </row>
    <row r="7134" spans="1:14" x14ac:dyDescent="0.25">
      <c r="A7134" t="s">
        <v>12725</v>
      </c>
      <c r="B7134" t="s">
        <v>7985</v>
      </c>
      <c r="C7134" s="1" t="str">
        <f>HYPERLINK("http://www.genecards.org/cgi-bin/carddisp.pl?gene=GATAD1","GeneCards")</f>
        <v>GeneCards</v>
      </c>
      <c r="D7134" s="1" t="str">
        <f>HYPERLINK("http://genome-euro.ucsc.edu/cgi-bin/hgTracks?position=208503_s_at","UCSC")</f>
        <v>UCSC</v>
      </c>
      <c r="E7134" s="1" t="str">
        <f>HYPERLINK("http://www.ncbi.nlm.nih.gov/gene/?term=GATAD1","NCBI")</f>
        <v>NCBI</v>
      </c>
      <c r="F7134">
        <v>9.4E-2</v>
      </c>
      <c r="G7134">
        <v>0.22</v>
      </c>
      <c r="H7134" s="1" t="str">
        <f>HYPERLINK("http://www.weizmann.ac.il/complex/compphys/software/geview/data/figures/208503_s_at.png","Figure")</f>
        <v>Figure</v>
      </c>
      <c r="I7134">
        <v>0.95099999999999996</v>
      </c>
      <c r="J7134">
        <v>0.86</v>
      </c>
      <c r="K7134">
        <v>1.1599999999999999</v>
      </c>
      <c r="L7134">
        <v>0.23</v>
      </c>
      <c r="M7134">
        <v>1.22</v>
      </c>
      <c r="N7134">
        <v>0.11</v>
      </c>
    </row>
    <row r="7135" spans="1:14" x14ac:dyDescent="0.25">
      <c r="A7135" t="s">
        <v>12726</v>
      </c>
      <c r="B7135" t="s">
        <v>12727</v>
      </c>
      <c r="C7135" s="1" t="str">
        <f>HYPERLINK("http://www.genecards.org/cgi-bin/carddisp.pl?gene=SEMA6B","GeneCards")</f>
        <v>GeneCards</v>
      </c>
      <c r="D7135" s="1" t="str">
        <f>HYPERLINK("http://genome-euro.ucsc.edu/cgi-bin/hgTracks?position=220778_x_at","UCSC")</f>
        <v>UCSC</v>
      </c>
      <c r="E7135" s="1" t="str">
        <f>HYPERLINK("http://www.ncbi.nlm.nih.gov/gene/?term=SEMA6B","NCBI")</f>
        <v>NCBI</v>
      </c>
      <c r="F7135">
        <v>9.4E-2</v>
      </c>
      <c r="G7135">
        <v>0.22</v>
      </c>
      <c r="H7135" s="1" t="str">
        <f>HYPERLINK("http://www.weizmann.ac.il/complex/compphys/software/geview/data/figures/220778_x_at.png","Figure")</f>
        <v>Figure</v>
      </c>
      <c r="I7135">
        <v>1.24</v>
      </c>
      <c r="J7135">
        <v>9.4E-2</v>
      </c>
      <c r="K7135">
        <v>1.1599999999999999</v>
      </c>
      <c r="L7135">
        <v>0.22</v>
      </c>
      <c r="M7135">
        <v>0.93200000000000005</v>
      </c>
      <c r="N7135">
        <v>0.71</v>
      </c>
    </row>
    <row r="7136" spans="1:14" x14ac:dyDescent="0.25">
      <c r="A7136" t="s">
        <v>12728</v>
      </c>
      <c r="B7136" t="s">
        <v>12729</v>
      </c>
      <c r="C7136" s="1" t="str">
        <f>HYPERLINK("http://www.genecards.org/cgi-bin/carddisp.pl?gene=ASAP2","GeneCards")</f>
        <v>GeneCards</v>
      </c>
      <c r="D7136" s="1" t="str">
        <f>HYPERLINK("http://genome-euro.ucsc.edu/cgi-bin/hgTracks?position=206414_s_at","UCSC")</f>
        <v>UCSC</v>
      </c>
      <c r="E7136" s="1" t="str">
        <f>HYPERLINK("http://www.ncbi.nlm.nih.gov/gene/?term=ASAP2","NCBI")</f>
        <v>NCBI</v>
      </c>
      <c r="F7136">
        <v>9.4E-2</v>
      </c>
      <c r="G7136">
        <v>0.22</v>
      </c>
      <c r="H7136" s="1" t="str">
        <f>HYPERLINK("http://www.weizmann.ac.il/complex/compphys/software/geview/data/figures/206414_s_at.png","Figure")</f>
        <v>Figure</v>
      </c>
      <c r="I7136">
        <v>2.37</v>
      </c>
      <c r="J7136">
        <v>0.08</v>
      </c>
      <c r="K7136">
        <v>1.38</v>
      </c>
      <c r="L7136">
        <v>0.59</v>
      </c>
      <c r="M7136">
        <v>0.57999999999999996</v>
      </c>
      <c r="N7136">
        <v>0.28000000000000003</v>
      </c>
    </row>
    <row r="7137" spans="1:14" x14ac:dyDescent="0.25">
      <c r="A7137" t="s">
        <v>12730</v>
      </c>
      <c r="B7137" t="s">
        <v>12731</v>
      </c>
      <c r="C7137" s="1" t="str">
        <f>HYPERLINK("http://www.genecards.org/cgi-bin/carddisp.pl?gene=ACVRL1","GeneCards")</f>
        <v>GeneCards</v>
      </c>
      <c r="D7137" s="1" t="str">
        <f>HYPERLINK("http://genome-euro.ucsc.edu/cgi-bin/hgTracks?position=210838_s_at","UCSC")</f>
        <v>UCSC</v>
      </c>
      <c r="E7137" s="1" t="str">
        <f>HYPERLINK("http://www.ncbi.nlm.nih.gov/gene/?term=ACVRL1","NCBI")</f>
        <v>NCBI</v>
      </c>
      <c r="F7137">
        <v>9.4E-2</v>
      </c>
      <c r="G7137">
        <v>0.22</v>
      </c>
      <c r="H7137" s="1" t="str">
        <f>HYPERLINK("http://www.weizmann.ac.il/complex/compphys/software/geview/data/figures/210838_s_at.png","Figure")</f>
        <v>Figure</v>
      </c>
      <c r="I7137">
        <v>1.19</v>
      </c>
      <c r="J7137">
        <v>9.8000000000000004E-2</v>
      </c>
      <c r="K7137">
        <v>1.1299999999999999</v>
      </c>
      <c r="L7137">
        <v>0.2</v>
      </c>
      <c r="M7137">
        <v>0.95</v>
      </c>
      <c r="N7137">
        <v>0.75</v>
      </c>
    </row>
    <row r="7138" spans="1:14" x14ac:dyDescent="0.25">
      <c r="A7138" t="s">
        <v>12732</v>
      </c>
      <c r="B7138" t="s">
        <v>12733</v>
      </c>
      <c r="C7138" s="1" t="str">
        <f>HYPERLINK("http://www.genecards.org/cgi-bin/carddisp.pl?gene=NHLH1","GeneCards")</f>
        <v>GeneCards</v>
      </c>
      <c r="D7138" s="1" t="str">
        <f>HYPERLINK("http://genome-euro.ucsc.edu/cgi-bin/hgTracks?position=214628_at","UCSC")</f>
        <v>UCSC</v>
      </c>
      <c r="E7138" s="1" t="str">
        <f>HYPERLINK("http://www.ncbi.nlm.nih.gov/gene/?term=NHLH1","NCBI")</f>
        <v>NCBI</v>
      </c>
      <c r="F7138">
        <v>9.4E-2</v>
      </c>
      <c r="G7138">
        <v>0.22</v>
      </c>
      <c r="H7138" s="1" t="str">
        <f>HYPERLINK("http://www.weizmann.ac.il/complex/compphys/software/geview/data/figures/214628_at.png","Figure")</f>
        <v>Figure</v>
      </c>
      <c r="I7138">
        <v>1.24</v>
      </c>
      <c r="J7138">
        <v>8.2000000000000003E-2</v>
      </c>
      <c r="K7138">
        <v>1.1299999999999999</v>
      </c>
      <c r="L7138">
        <v>0.32</v>
      </c>
      <c r="M7138">
        <v>0.90800000000000003</v>
      </c>
      <c r="N7138">
        <v>0.52</v>
      </c>
    </row>
    <row r="7139" spans="1:14" x14ac:dyDescent="0.25">
      <c r="A7139" t="s">
        <v>12734</v>
      </c>
      <c r="B7139" t="s">
        <v>12735</v>
      </c>
      <c r="C7139" s="1" t="str">
        <f>HYPERLINK("http://www.genecards.org/cgi-bin/carddisp.pl?gene=GTPBP4","GeneCards")</f>
        <v>GeneCards</v>
      </c>
      <c r="D7139" s="1" t="str">
        <f>HYPERLINK("http://genome-euro.ucsc.edu/cgi-bin/hgTracks?position=218239_s_at","UCSC")</f>
        <v>UCSC</v>
      </c>
      <c r="E7139" s="1" t="str">
        <f>HYPERLINK("http://www.ncbi.nlm.nih.gov/gene/?term=GTPBP4","NCBI")</f>
        <v>NCBI</v>
      </c>
      <c r="F7139">
        <v>9.4E-2</v>
      </c>
      <c r="G7139">
        <v>0.22</v>
      </c>
      <c r="H7139" s="1" t="str">
        <f>HYPERLINK("http://www.weizmann.ac.il/complex/compphys/software/geview/data/figures/218239_s_at.png","Figure")</f>
        <v>Figure</v>
      </c>
      <c r="I7139">
        <v>0.79400000000000004</v>
      </c>
      <c r="J7139">
        <v>0.65</v>
      </c>
      <c r="K7139">
        <v>0.59099999999999997</v>
      </c>
      <c r="L7139">
        <v>8.2000000000000003E-2</v>
      </c>
      <c r="M7139">
        <v>0.74399999999999999</v>
      </c>
      <c r="N7139">
        <v>0.45</v>
      </c>
    </row>
    <row r="7140" spans="1:14" x14ac:dyDescent="0.25">
      <c r="A7140" t="s">
        <v>12736</v>
      </c>
      <c r="B7140" t="s">
        <v>12737</v>
      </c>
      <c r="C7140" s="1" t="str">
        <f>HYPERLINK("http://www.genecards.org/cgi-bin/carddisp.pl?gene=ZWILCH","GeneCards")</f>
        <v>GeneCards</v>
      </c>
      <c r="D7140" s="1" t="str">
        <f>HYPERLINK("http://genome-euro.ucsc.edu/cgi-bin/hgTracks?position=218349_s_at","UCSC")</f>
        <v>UCSC</v>
      </c>
      <c r="E7140" s="1" t="str">
        <f>HYPERLINK("http://www.ncbi.nlm.nih.gov/gene/?term=ZWILCH","NCBI")</f>
        <v>NCBI</v>
      </c>
      <c r="F7140">
        <v>9.4E-2</v>
      </c>
      <c r="G7140">
        <v>0.22</v>
      </c>
      <c r="H7140" s="1" t="str">
        <f>HYPERLINK("http://www.weizmann.ac.il/complex/compphys/software/geview/data/figures/218349_s_at.png","Figure")</f>
        <v>Figure</v>
      </c>
      <c r="I7140">
        <v>0.67</v>
      </c>
      <c r="J7140">
        <v>0.19</v>
      </c>
      <c r="K7140">
        <v>1.07</v>
      </c>
      <c r="L7140">
        <v>0.93</v>
      </c>
      <c r="M7140">
        <v>1.6</v>
      </c>
      <c r="N7140">
        <v>8.8999999999999996E-2</v>
      </c>
    </row>
    <row r="7141" spans="1:14" x14ac:dyDescent="0.25">
      <c r="A7141" t="s">
        <v>12738</v>
      </c>
      <c r="B7141" t="s">
        <v>12739</v>
      </c>
      <c r="C7141" s="1" t="str">
        <f>HYPERLINK("http://www.genecards.org/cgi-bin/carddisp.pl?gene=WDR8","GeneCards")</f>
        <v>GeneCards</v>
      </c>
      <c r="D7141" s="1" t="str">
        <f>HYPERLINK("http://genome-euro.ucsc.edu/cgi-bin/hgTracks?position=219322_s_at","UCSC")</f>
        <v>UCSC</v>
      </c>
      <c r="E7141" s="1" t="str">
        <f>HYPERLINK("http://www.ncbi.nlm.nih.gov/gene/?term=WDR8","NCBI")</f>
        <v>NCBI</v>
      </c>
      <c r="F7141">
        <v>9.4E-2</v>
      </c>
      <c r="G7141">
        <v>0.22</v>
      </c>
      <c r="H7141" s="1" t="str">
        <f>HYPERLINK("http://www.weizmann.ac.il/complex/compphys/software/geview/data/figures/219322_s_at.png","Figure")</f>
        <v>Figure</v>
      </c>
      <c r="I7141">
        <v>0.92200000000000004</v>
      </c>
      <c r="J7141">
        <v>0.48</v>
      </c>
      <c r="K7141">
        <v>1.07</v>
      </c>
      <c r="L7141">
        <v>0.48</v>
      </c>
      <c r="M7141">
        <v>1.1599999999999999</v>
      </c>
      <c r="N7141">
        <v>8.1000000000000003E-2</v>
      </c>
    </row>
    <row r="7142" spans="1:14" x14ac:dyDescent="0.25">
      <c r="A7142" t="s">
        <v>12740</v>
      </c>
      <c r="B7142" t="s">
        <v>12741</v>
      </c>
      <c r="C7142" s="1" t="str">
        <f>HYPERLINK("http://www.genecards.org/cgi-bin/carddisp.pl?gene=DBF4","GeneCards")</f>
        <v>GeneCards</v>
      </c>
      <c r="D7142" s="1" t="str">
        <f>HYPERLINK("http://genome-euro.ucsc.edu/cgi-bin/hgTracks?position=204244_s_at","UCSC")</f>
        <v>UCSC</v>
      </c>
      <c r="E7142" s="1" t="str">
        <f>HYPERLINK("http://www.ncbi.nlm.nih.gov/gene/?term=DBF4","NCBI")</f>
        <v>NCBI</v>
      </c>
      <c r="F7142">
        <v>9.4E-2</v>
      </c>
      <c r="G7142">
        <v>0.22</v>
      </c>
      <c r="H7142" s="1" t="str">
        <f>HYPERLINK("http://www.weizmann.ac.il/complex/compphys/software/geview/data/figures/204244_s_at.png","Figure")</f>
        <v>Figure</v>
      </c>
      <c r="I7142">
        <v>0.67600000000000005</v>
      </c>
      <c r="J7142">
        <v>0.44</v>
      </c>
      <c r="K7142">
        <v>0.52600000000000002</v>
      </c>
      <c r="L7142">
        <v>7.9000000000000001E-2</v>
      </c>
      <c r="M7142">
        <v>0.77700000000000002</v>
      </c>
      <c r="N7142">
        <v>0.67</v>
      </c>
    </row>
    <row r="7143" spans="1:14" x14ac:dyDescent="0.25">
      <c r="A7143" t="s">
        <v>12742</v>
      </c>
      <c r="B7143" t="s">
        <v>12743</v>
      </c>
      <c r="C7143" s="1" t="str">
        <f>HYPERLINK("http://www.genecards.org/cgi-bin/carddisp.pl?gene=IFIT5","GeneCards")</f>
        <v>GeneCards</v>
      </c>
      <c r="D7143" s="1" t="str">
        <f>HYPERLINK("http://genome-euro.ucsc.edu/cgi-bin/hgTracks?position=203595_s_at","UCSC")</f>
        <v>UCSC</v>
      </c>
      <c r="E7143" s="1" t="str">
        <f>HYPERLINK("http://www.ncbi.nlm.nih.gov/gene/?term=IFIT5","NCBI")</f>
        <v>NCBI</v>
      </c>
      <c r="F7143">
        <v>9.4E-2</v>
      </c>
      <c r="G7143">
        <v>0.22</v>
      </c>
      <c r="H7143" s="1" t="str">
        <f>HYPERLINK("http://www.weizmann.ac.il/complex/compphys/software/geview/data/figures/203595_s_at.png","Figure")</f>
        <v>Figure</v>
      </c>
      <c r="I7143">
        <v>0.77100000000000002</v>
      </c>
      <c r="J7143">
        <v>0.19</v>
      </c>
      <c r="K7143">
        <v>0.75900000000000001</v>
      </c>
      <c r="L7143">
        <v>0.1</v>
      </c>
      <c r="M7143">
        <v>0.98499999999999999</v>
      </c>
      <c r="N7143">
        <v>0.99</v>
      </c>
    </row>
    <row r="7144" spans="1:14" x14ac:dyDescent="0.25">
      <c r="A7144" t="s">
        <v>12744</v>
      </c>
      <c r="B7144" t="s">
        <v>12745</v>
      </c>
      <c r="C7144" s="1" t="str">
        <f>HYPERLINK("http://www.genecards.org/cgi-bin/carddisp.pl?gene=CEP350","GeneCards")</f>
        <v>GeneCards</v>
      </c>
      <c r="D7144" s="1" t="str">
        <f>HYPERLINK("http://genome-euro.ucsc.edu/cgi-bin/hgTracks?position=213956_at","UCSC")</f>
        <v>UCSC</v>
      </c>
      <c r="E7144" s="1" t="str">
        <f>HYPERLINK("http://www.ncbi.nlm.nih.gov/gene/?term=CEP350","NCBI")</f>
        <v>NCBI</v>
      </c>
      <c r="F7144">
        <v>9.4E-2</v>
      </c>
      <c r="G7144">
        <v>0.22</v>
      </c>
      <c r="H7144" s="1" t="str">
        <f>HYPERLINK("http://www.weizmann.ac.il/complex/compphys/software/geview/data/figures/213956_at.png","Figure")</f>
        <v>Figure</v>
      </c>
      <c r="I7144">
        <v>1.68</v>
      </c>
      <c r="J7144">
        <v>8.4000000000000005E-2</v>
      </c>
      <c r="K7144">
        <v>1.18</v>
      </c>
      <c r="L7144">
        <v>0.68</v>
      </c>
      <c r="M7144">
        <v>0.7</v>
      </c>
      <c r="N7144">
        <v>0.23</v>
      </c>
    </row>
    <row r="7145" spans="1:14" x14ac:dyDescent="0.25">
      <c r="A7145" t="s">
        <v>12746</v>
      </c>
      <c r="B7145" t="s">
        <v>6951</v>
      </c>
      <c r="C7145" s="1" t="str">
        <f>HYPERLINK("http://www.genecards.org/cgi-bin/carddisp.pl?gene=GRSF1","GeneCards")</f>
        <v>GeneCards</v>
      </c>
      <c r="D7145" s="1" t="str">
        <f>HYPERLINK("http://genome-euro.ucsc.edu/cgi-bin/hgTracks?position=221917_s_at","UCSC")</f>
        <v>UCSC</v>
      </c>
      <c r="E7145" s="1" t="str">
        <f>HYPERLINK("http://www.ncbi.nlm.nih.gov/gene/?term=GRSF1","NCBI")</f>
        <v>NCBI</v>
      </c>
      <c r="F7145">
        <v>9.4E-2</v>
      </c>
      <c r="G7145">
        <v>0.22</v>
      </c>
      <c r="H7145" s="1" t="str">
        <f>HYPERLINK("http://www.weizmann.ac.il/complex/compphys/software/geview/data/figures/221917_s_at.png","Figure")</f>
        <v>Figure</v>
      </c>
      <c r="I7145">
        <v>0.997</v>
      </c>
      <c r="J7145">
        <v>1</v>
      </c>
      <c r="K7145">
        <v>0.91300000000000003</v>
      </c>
      <c r="L7145">
        <v>0.13</v>
      </c>
      <c r="M7145">
        <v>0.91600000000000004</v>
      </c>
      <c r="N7145">
        <v>0.18</v>
      </c>
    </row>
    <row r="7146" spans="1:14" x14ac:dyDescent="0.25">
      <c r="A7146" t="s">
        <v>12747</v>
      </c>
      <c r="B7146" t="s">
        <v>12748</v>
      </c>
      <c r="C7146" s="1" t="str">
        <f>HYPERLINK("http://www.genecards.org/cgi-bin/carddisp.pl?gene=CDH11","GeneCards")</f>
        <v>GeneCards</v>
      </c>
      <c r="D7146" s="1" t="str">
        <f>HYPERLINK("http://genome-euro.ucsc.edu/cgi-bin/hgTracks?position=207172_s_at","UCSC")</f>
        <v>UCSC</v>
      </c>
      <c r="E7146" s="1" t="str">
        <f>HYPERLINK("http://www.ncbi.nlm.nih.gov/gene/?term=CDH11","NCBI")</f>
        <v>NCBI</v>
      </c>
      <c r="F7146">
        <v>9.4E-2</v>
      </c>
      <c r="G7146">
        <v>0.22</v>
      </c>
      <c r="H7146" s="1" t="str">
        <f>HYPERLINK("http://www.weizmann.ac.il/complex/compphys/software/geview/data/figures/207172_s_at.png","Figure")</f>
        <v>Figure</v>
      </c>
      <c r="I7146">
        <v>1.19</v>
      </c>
      <c r="J7146">
        <v>8.3000000000000004E-2</v>
      </c>
      <c r="K7146">
        <v>1.06</v>
      </c>
      <c r="L7146">
        <v>0.66</v>
      </c>
      <c r="M7146">
        <v>0.88700000000000001</v>
      </c>
      <c r="N7146">
        <v>0.24</v>
      </c>
    </row>
    <row r="7147" spans="1:14" x14ac:dyDescent="0.25">
      <c r="A7147" t="s">
        <v>12749</v>
      </c>
      <c r="B7147" t="s">
        <v>12750</v>
      </c>
      <c r="C7147" s="1" t="str">
        <f>HYPERLINK("http://www.genecards.org/cgi-bin/carddisp.pl?gene=TSPY1","GeneCards")</f>
        <v>GeneCards</v>
      </c>
      <c r="D7147" s="1" t="str">
        <f>HYPERLINK("http://genome-euro.ucsc.edu/cgi-bin/hgTracks?position=217160_at","UCSC")</f>
        <v>UCSC</v>
      </c>
      <c r="E7147" s="1" t="str">
        <f>HYPERLINK("http://www.ncbi.nlm.nih.gov/gene/?term=TSPY1","NCBI")</f>
        <v>NCBI</v>
      </c>
      <c r="F7147">
        <v>9.4E-2</v>
      </c>
      <c r="G7147">
        <v>0.22</v>
      </c>
      <c r="H7147" s="1" t="str">
        <f>HYPERLINK("http://www.weizmann.ac.il/complex/compphys/software/geview/data/figures/217160_at.png","Figure")</f>
        <v>Figure</v>
      </c>
      <c r="I7147">
        <v>1.1000000000000001</v>
      </c>
      <c r="J7147">
        <v>0.31</v>
      </c>
      <c r="K7147">
        <v>0.95899999999999996</v>
      </c>
      <c r="L7147">
        <v>0.71</v>
      </c>
      <c r="M7147">
        <v>0.874</v>
      </c>
      <c r="N7147">
        <v>7.9000000000000001E-2</v>
      </c>
    </row>
    <row r="7148" spans="1:14" x14ac:dyDescent="0.25">
      <c r="A7148" t="s">
        <v>12751</v>
      </c>
      <c r="B7148" t="s">
        <v>12752</v>
      </c>
      <c r="C7148" s="1" t="str">
        <f>HYPERLINK("http://www.genecards.org/cgi-bin/carddisp.pl?gene=PLEKHF1","GeneCards")</f>
        <v>GeneCards</v>
      </c>
      <c r="D7148" s="1" t="str">
        <f>HYPERLINK("http://genome-euro.ucsc.edu/cgi-bin/hgTracks?position=219566_at","UCSC")</f>
        <v>UCSC</v>
      </c>
      <c r="E7148" s="1" t="str">
        <f>HYPERLINK("http://www.ncbi.nlm.nih.gov/gene/?term=PLEKHF1","NCBI")</f>
        <v>NCBI</v>
      </c>
      <c r="F7148">
        <v>9.5000000000000001E-2</v>
      </c>
      <c r="G7148">
        <v>0.22</v>
      </c>
      <c r="H7148" s="1" t="str">
        <f>HYPERLINK("http://www.weizmann.ac.il/complex/compphys/software/geview/data/figures/219566_at.png","Figure")</f>
        <v>Figure</v>
      </c>
      <c r="I7148">
        <v>1.27</v>
      </c>
      <c r="J7148">
        <v>8.2000000000000003E-2</v>
      </c>
      <c r="K7148">
        <v>1.08</v>
      </c>
      <c r="L7148">
        <v>0.64</v>
      </c>
      <c r="M7148">
        <v>0.85599999999999998</v>
      </c>
      <c r="N7148">
        <v>0.25</v>
      </c>
    </row>
    <row r="7149" spans="1:14" x14ac:dyDescent="0.25">
      <c r="A7149" t="s">
        <v>12753</v>
      </c>
      <c r="B7149" t="s">
        <v>12754</v>
      </c>
      <c r="C7149" s="1" t="str">
        <f>HYPERLINK("http://www.genecards.org/cgi-bin/carddisp.pl?gene=PODNL1","GeneCards")</f>
        <v>GeneCards</v>
      </c>
      <c r="D7149" s="1" t="str">
        <f>HYPERLINK("http://genome-euro.ucsc.edu/cgi-bin/hgTracks?position=220411_x_at","UCSC")</f>
        <v>UCSC</v>
      </c>
      <c r="E7149" s="1" t="str">
        <f>HYPERLINK("http://www.ncbi.nlm.nih.gov/gene/?term=PODNL1","NCBI")</f>
        <v>NCBI</v>
      </c>
      <c r="F7149">
        <v>9.5000000000000001E-2</v>
      </c>
      <c r="G7149">
        <v>0.22</v>
      </c>
      <c r="H7149" s="1" t="str">
        <f>HYPERLINK("http://www.weizmann.ac.il/complex/compphys/software/geview/data/figures/220411_x_at.png","Figure")</f>
        <v>Figure</v>
      </c>
      <c r="I7149">
        <v>1.03</v>
      </c>
      <c r="J7149">
        <v>0.97</v>
      </c>
      <c r="K7149">
        <v>0.83499999999999996</v>
      </c>
      <c r="L7149">
        <v>0.17</v>
      </c>
      <c r="M7149">
        <v>0.81499999999999995</v>
      </c>
      <c r="N7149">
        <v>0.14000000000000001</v>
      </c>
    </row>
    <row r="7150" spans="1:14" x14ac:dyDescent="0.25">
      <c r="A7150" t="s">
        <v>12755</v>
      </c>
      <c r="B7150" t="s">
        <v>4016</v>
      </c>
      <c r="C7150" s="1" t="str">
        <f>HYPERLINK("http://www.genecards.org/cgi-bin/carddisp.pl?gene=CYLD","GeneCards")</f>
        <v>GeneCards</v>
      </c>
      <c r="D7150" s="1" t="str">
        <f>HYPERLINK("http://genome-euro.ucsc.edu/cgi-bin/hgTracks?position=221903_s_at","UCSC")</f>
        <v>UCSC</v>
      </c>
      <c r="E7150" s="1" t="str">
        <f>HYPERLINK("http://www.ncbi.nlm.nih.gov/gene/?term=CYLD","NCBI")</f>
        <v>NCBI</v>
      </c>
      <c r="F7150">
        <v>9.5000000000000001E-2</v>
      </c>
      <c r="G7150">
        <v>0.22</v>
      </c>
      <c r="H7150" s="1" t="str">
        <f>HYPERLINK("http://www.weizmann.ac.il/complex/compphys/software/geview/data/figures/221903_s_at.png","Figure")</f>
        <v>Figure</v>
      </c>
      <c r="I7150">
        <v>0.88200000000000001</v>
      </c>
      <c r="J7150">
        <v>0.92</v>
      </c>
      <c r="K7150">
        <v>0.53400000000000003</v>
      </c>
      <c r="L7150">
        <v>0.1</v>
      </c>
      <c r="M7150">
        <v>0.60499999999999998</v>
      </c>
      <c r="N7150">
        <v>0.26</v>
      </c>
    </row>
    <row r="7151" spans="1:14" x14ac:dyDescent="0.25">
      <c r="A7151" t="s">
        <v>12756</v>
      </c>
      <c r="B7151" t="s">
        <v>8099</v>
      </c>
      <c r="C7151" s="1" t="str">
        <f>HYPERLINK("http://www.genecards.org/cgi-bin/carddisp.pl?gene=BAZ1B","GeneCards")</f>
        <v>GeneCards</v>
      </c>
      <c r="D7151" s="1" t="str">
        <f>HYPERLINK("http://genome-euro.ucsc.edu/cgi-bin/hgTracks?position=213336_at","UCSC")</f>
        <v>UCSC</v>
      </c>
      <c r="E7151" s="1" t="str">
        <f>HYPERLINK("http://www.ncbi.nlm.nih.gov/gene/?term=BAZ1B","NCBI")</f>
        <v>NCBI</v>
      </c>
      <c r="F7151">
        <v>9.5000000000000001E-2</v>
      </c>
      <c r="G7151">
        <v>0.23</v>
      </c>
      <c r="H7151" s="1" t="str">
        <f>HYPERLINK("http://www.weizmann.ac.il/complex/compphys/software/geview/data/figures/213336_at.png","Figure")</f>
        <v>Figure</v>
      </c>
      <c r="I7151">
        <v>1.3</v>
      </c>
      <c r="J7151">
        <v>0.15</v>
      </c>
      <c r="K7151">
        <v>1.27</v>
      </c>
      <c r="L7151">
        <v>0.12</v>
      </c>
      <c r="M7151">
        <v>0.97799999999999998</v>
      </c>
      <c r="N7151">
        <v>0.98</v>
      </c>
    </row>
    <row r="7152" spans="1:14" x14ac:dyDescent="0.25">
      <c r="A7152" t="s">
        <v>12757</v>
      </c>
      <c r="B7152" t="s">
        <v>6949</v>
      </c>
      <c r="C7152" s="1" t="str">
        <f>HYPERLINK("http://www.genecards.org/cgi-bin/carddisp.pl?gene=ENO1","GeneCards")</f>
        <v>GeneCards</v>
      </c>
      <c r="D7152" s="1" t="str">
        <f>HYPERLINK("http://genome-euro.ucsc.edu/cgi-bin/hgTracks?position=217294_s_at","UCSC")</f>
        <v>UCSC</v>
      </c>
      <c r="E7152" s="1" t="str">
        <f>HYPERLINK("http://www.ncbi.nlm.nih.gov/gene/?term=ENO1","NCBI")</f>
        <v>NCBI</v>
      </c>
      <c r="F7152">
        <v>9.5000000000000001E-2</v>
      </c>
      <c r="G7152">
        <v>0.23</v>
      </c>
      <c r="H7152" s="1" t="str">
        <f>HYPERLINK("http://www.weizmann.ac.il/complex/compphys/software/geview/data/figures/217294_s_at.png","Figure")</f>
        <v>Figure</v>
      </c>
      <c r="I7152">
        <v>1.33</v>
      </c>
      <c r="J7152">
        <v>0.14000000000000001</v>
      </c>
      <c r="K7152">
        <v>1.28</v>
      </c>
      <c r="L7152">
        <v>0.13</v>
      </c>
      <c r="M7152">
        <v>0.96499999999999997</v>
      </c>
      <c r="N7152">
        <v>0.96</v>
      </c>
    </row>
    <row r="7153" spans="1:14" x14ac:dyDescent="0.25">
      <c r="A7153" t="s">
        <v>12758</v>
      </c>
      <c r="B7153" t="s">
        <v>12759</v>
      </c>
      <c r="C7153" s="1" t="str">
        <f>HYPERLINK("http://www.genecards.org/cgi-bin/carddisp.pl?gene=C7orf64","GeneCards")</f>
        <v>GeneCards</v>
      </c>
      <c r="D7153" s="1" t="str">
        <f>HYPERLINK("http://genome-euro.ucsc.edu/cgi-bin/hgTracks?position=221596_s_at","UCSC")</f>
        <v>UCSC</v>
      </c>
      <c r="E7153" s="1" t="str">
        <f>HYPERLINK("http://www.ncbi.nlm.nih.gov/gene/?term=C7orf64","NCBI")</f>
        <v>NCBI</v>
      </c>
      <c r="F7153">
        <v>9.5000000000000001E-2</v>
      </c>
      <c r="G7153">
        <v>0.23</v>
      </c>
      <c r="H7153" s="1" t="str">
        <f>HYPERLINK("http://www.weizmann.ac.il/complex/compphys/software/geview/data/figures/221596_s_at.png","Figure")</f>
        <v>Figure</v>
      </c>
      <c r="I7153">
        <v>1.04</v>
      </c>
      <c r="J7153">
        <v>0.99</v>
      </c>
      <c r="K7153">
        <v>0.622</v>
      </c>
      <c r="L7153">
        <v>0.16</v>
      </c>
      <c r="M7153">
        <v>0.59899999999999998</v>
      </c>
      <c r="N7153">
        <v>0.15</v>
      </c>
    </row>
    <row r="7154" spans="1:14" x14ac:dyDescent="0.25">
      <c r="A7154" t="s">
        <v>12760</v>
      </c>
      <c r="B7154" t="s">
        <v>4895</v>
      </c>
      <c r="C7154" s="1" t="str">
        <f>HYPERLINK("http://www.genecards.org/cgi-bin/carddisp.pl?gene=DGCR14","GeneCards")</f>
        <v>GeneCards</v>
      </c>
      <c r="D7154" s="1" t="str">
        <f>HYPERLINK("http://genome-euro.ucsc.edu/cgi-bin/hgTracks?position=204383_at","UCSC")</f>
        <v>UCSC</v>
      </c>
      <c r="E7154" s="1" t="str">
        <f>HYPERLINK("http://www.ncbi.nlm.nih.gov/gene/?term=DGCR14","NCBI")</f>
        <v>NCBI</v>
      </c>
      <c r="F7154">
        <v>9.5000000000000001E-2</v>
      </c>
      <c r="G7154">
        <v>0.23</v>
      </c>
      <c r="H7154" s="1" t="str">
        <f>HYPERLINK("http://www.weizmann.ac.il/complex/compphys/software/geview/data/figures/204383_at.png","Figure")</f>
        <v>Figure</v>
      </c>
      <c r="I7154">
        <v>0.91700000000000004</v>
      </c>
      <c r="J7154">
        <v>0.85</v>
      </c>
      <c r="K7154">
        <v>0.72899999999999998</v>
      </c>
      <c r="L7154">
        <v>9.6000000000000002E-2</v>
      </c>
      <c r="M7154">
        <v>0.79500000000000004</v>
      </c>
      <c r="N7154">
        <v>0.3</v>
      </c>
    </row>
    <row r="7155" spans="1:14" x14ac:dyDescent="0.25">
      <c r="A7155" t="s">
        <v>12761</v>
      </c>
      <c r="B7155" t="s">
        <v>12762</v>
      </c>
      <c r="C7155" s="1" t="str">
        <f>HYPERLINK("http://www.genecards.org/cgi-bin/carddisp.pl?gene=ZNF304","GeneCards")</f>
        <v>GeneCards</v>
      </c>
      <c r="D7155" s="1" t="str">
        <f>HYPERLINK("http://genome-euro.ucsc.edu/cgi-bin/hgTracks?position=207753_at","UCSC")</f>
        <v>UCSC</v>
      </c>
      <c r="E7155" s="1" t="str">
        <f>HYPERLINK("http://www.ncbi.nlm.nih.gov/gene/?term=ZNF304","NCBI")</f>
        <v>NCBI</v>
      </c>
      <c r="F7155">
        <v>9.5000000000000001E-2</v>
      </c>
      <c r="G7155">
        <v>0.23</v>
      </c>
      <c r="H7155" s="1" t="str">
        <f>HYPERLINK("http://www.weizmann.ac.il/complex/compphys/software/geview/data/figures/207753_at.png","Figure")</f>
        <v>Figure</v>
      </c>
      <c r="I7155">
        <v>0.997</v>
      </c>
      <c r="J7155">
        <v>1</v>
      </c>
      <c r="K7155">
        <v>0.72499999999999998</v>
      </c>
      <c r="L7155">
        <v>0.14000000000000001</v>
      </c>
      <c r="M7155">
        <v>0.72699999999999998</v>
      </c>
      <c r="N7155">
        <v>0.18</v>
      </c>
    </row>
    <row r="7156" spans="1:14" x14ac:dyDescent="0.25">
      <c r="A7156" t="s">
        <v>12763</v>
      </c>
      <c r="B7156" t="s">
        <v>12764</v>
      </c>
      <c r="C7156" s="1" t="str">
        <f>HYPERLINK("http://www.genecards.org/cgi-bin/carddisp.pl?gene=DNM1","GeneCards")</f>
        <v>GeneCards</v>
      </c>
      <c r="D7156" s="1" t="str">
        <f>HYPERLINK("http://genome-euro.ucsc.edu/cgi-bin/hgTracks?position=215116_s_at","UCSC")</f>
        <v>UCSC</v>
      </c>
      <c r="E7156" s="1" t="str">
        <f>HYPERLINK("http://www.ncbi.nlm.nih.gov/gene/?term=DNM1","NCBI")</f>
        <v>NCBI</v>
      </c>
      <c r="F7156">
        <v>9.5000000000000001E-2</v>
      </c>
      <c r="G7156">
        <v>0.23</v>
      </c>
      <c r="H7156" s="1" t="str">
        <f>HYPERLINK("http://www.weizmann.ac.il/complex/compphys/software/geview/data/figures/215116_s_at.png","Figure")</f>
        <v>Figure</v>
      </c>
      <c r="I7156">
        <v>1.02</v>
      </c>
      <c r="J7156">
        <v>0.97</v>
      </c>
      <c r="K7156">
        <v>0.84299999999999997</v>
      </c>
      <c r="L7156">
        <v>0.17</v>
      </c>
      <c r="M7156">
        <v>0.82499999999999996</v>
      </c>
      <c r="N7156">
        <v>0.14000000000000001</v>
      </c>
    </row>
    <row r="7157" spans="1:14" x14ac:dyDescent="0.25">
      <c r="A7157" t="s">
        <v>12765</v>
      </c>
      <c r="B7157" t="s">
        <v>10538</v>
      </c>
      <c r="C7157" s="1" t="str">
        <f>HYPERLINK("http://www.genecards.org/cgi-bin/carddisp.pl?gene=SNRPA1","GeneCards")</f>
        <v>GeneCards</v>
      </c>
      <c r="D7157" s="1" t="str">
        <f>HYPERLINK("http://genome-euro.ucsc.edu/cgi-bin/hgTracks?position=215722_s_at","UCSC")</f>
        <v>UCSC</v>
      </c>
      <c r="E7157" s="1" t="str">
        <f>HYPERLINK("http://www.ncbi.nlm.nih.gov/gene/?term=SNRPA1","NCBI")</f>
        <v>NCBI</v>
      </c>
      <c r="F7157">
        <v>9.5000000000000001E-2</v>
      </c>
      <c r="G7157">
        <v>0.23</v>
      </c>
      <c r="H7157" s="1" t="str">
        <f>HYPERLINK("http://www.weizmann.ac.il/complex/compphys/software/geview/data/figures/215722_s_at.png","Figure")</f>
        <v>Figure</v>
      </c>
      <c r="I7157">
        <v>1.37</v>
      </c>
      <c r="J7157">
        <v>0.21</v>
      </c>
      <c r="K7157">
        <v>0.93500000000000005</v>
      </c>
      <c r="L7157">
        <v>0.9</v>
      </c>
      <c r="M7157">
        <v>0.68</v>
      </c>
      <c r="N7157">
        <v>8.6999999999999994E-2</v>
      </c>
    </row>
    <row r="7158" spans="1:14" x14ac:dyDescent="0.25">
      <c r="A7158" t="s">
        <v>12766</v>
      </c>
      <c r="B7158" t="s">
        <v>12767</v>
      </c>
      <c r="C7158" s="1" t="str">
        <f>HYPERLINK("http://www.genecards.org/cgi-bin/carddisp.pl?gene=FGF6","GeneCards")</f>
        <v>GeneCards</v>
      </c>
      <c r="D7158" s="1" t="str">
        <f>HYPERLINK("http://genome-euro.ucsc.edu/cgi-bin/hgTracks?position=208417_at","UCSC")</f>
        <v>UCSC</v>
      </c>
      <c r="E7158" s="1" t="str">
        <f>HYPERLINK("http://www.ncbi.nlm.nih.gov/gene/?term=FGF6","NCBI")</f>
        <v>NCBI</v>
      </c>
      <c r="F7158">
        <v>9.5000000000000001E-2</v>
      </c>
      <c r="G7158">
        <v>0.23</v>
      </c>
      <c r="H7158" s="1" t="str">
        <f>HYPERLINK("http://www.weizmann.ac.il/complex/compphys/software/geview/data/figures/208417_at.png","Figure")</f>
        <v>Figure</v>
      </c>
      <c r="I7158">
        <v>1.25</v>
      </c>
      <c r="J7158">
        <v>9.2999999999999999E-2</v>
      </c>
      <c r="K7158">
        <v>1.1599999999999999</v>
      </c>
      <c r="L7158">
        <v>0.23</v>
      </c>
      <c r="M7158">
        <v>0.92800000000000005</v>
      </c>
      <c r="N7158">
        <v>0.7</v>
      </c>
    </row>
    <row r="7159" spans="1:14" x14ac:dyDescent="0.25">
      <c r="A7159" t="s">
        <v>12768</v>
      </c>
      <c r="B7159" t="s">
        <v>11118</v>
      </c>
      <c r="C7159" s="1" t="str">
        <f>HYPERLINK("http://www.genecards.org/cgi-bin/carddisp.pl?gene=SLC12A4","GeneCards")</f>
        <v>GeneCards</v>
      </c>
      <c r="D7159" s="1" t="str">
        <f>HYPERLINK("http://genome-euro.ucsc.edu/cgi-bin/hgTracks?position=209401_s_at","UCSC")</f>
        <v>UCSC</v>
      </c>
      <c r="E7159" s="1" t="str">
        <f>HYPERLINK("http://www.ncbi.nlm.nih.gov/gene/?term=SLC12A4","NCBI")</f>
        <v>NCBI</v>
      </c>
      <c r="F7159">
        <v>9.5000000000000001E-2</v>
      </c>
      <c r="G7159">
        <v>0.23</v>
      </c>
      <c r="H7159" s="1" t="str">
        <f>HYPERLINK("http://www.weizmann.ac.il/complex/compphys/software/geview/data/figures/209401_s_at.png","Figure")</f>
        <v>Figure</v>
      </c>
      <c r="I7159">
        <v>1.0900000000000001</v>
      </c>
      <c r="J7159">
        <v>0.24</v>
      </c>
      <c r="K7159">
        <v>1.1000000000000001</v>
      </c>
      <c r="L7159">
        <v>9.1999999999999998E-2</v>
      </c>
      <c r="M7159">
        <v>1.01</v>
      </c>
      <c r="N7159">
        <v>0.95</v>
      </c>
    </row>
    <row r="7160" spans="1:14" x14ac:dyDescent="0.25">
      <c r="A7160" t="s">
        <v>12769</v>
      </c>
      <c r="B7160" t="s">
        <v>7645</v>
      </c>
      <c r="C7160" s="1" t="str">
        <f>HYPERLINK("http://www.genecards.org/cgi-bin/carddisp.pl?gene=RGS6","GeneCards")</f>
        <v>GeneCards</v>
      </c>
      <c r="D7160" s="1" t="str">
        <f>HYPERLINK("http://genome-euro.ucsc.edu/cgi-bin/hgTracks?position=211448_s_at","UCSC")</f>
        <v>UCSC</v>
      </c>
      <c r="E7160" s="1" t="str">
        <f>HYPERLINK("http://www.ncbi.nlm.nih.gov/gene/?term=RGS6","NCBI")</f>
        <v>NCBI</v>
      </c>
      <c r="F7160">
        <v>9.5000000000000001E-2</v>
      </c>
      <c r="G7160">
        <v>0.23</v>
      </c>
      <c r="H7160" s="1" t="str">
        <f>HYPERLINK("http://www.weizmann.ac.il/complex/compphys/software/geview/data/figures/211448_s_at.png","Figure")</f>
        <v>Figure</v>
      </c>
      <c r="I7160">
        <v>1.26</v>
      </c>
      <c r="J7160">
        <v>8.4000000000000005E-2</v>
      </c>
      <c r="K7160">
        <v>1.1399999999999999</v>
      </c>
      <c r="L7160">
        <v>0.31</v>
      </c>
      <c r="M7160">
        <v>0.90400000000000003</v>
      </c>
      <c r="N7160">
        <v>0.54</v>
      </c>
    </row>
    <row r="7161" spans="1:14" x14ac:dyDescent="0.25">
      <c r="A7161" t="s">
        <v>12770</v>
      </c>
      <c r="B7161" t="s">
        <v>12771</v>
      </c>
      <c r="C7161" s="1" t="str">
        <f>HYPERLINK("http://www.genecards.org/cgi-bin/carddisp.pl?gene=POLR2I","GeneCards")</f>
        <v>GeneCards</v>
      </c>
      <c r="D7161" s="1" t="str">
        <f>HYPERLINK("http://genome-euro.ucsc.edu/cgi-bin/hgTracks?position=212955_s_at","UCSC")</f>
        <v>UCSC</v>
      </c>
      <c r="E7161" s="1" t="str">
        <f>HYPERLINK("http://www.ncbi.nlm.nih.gov/gene/?term=POLR2I","NCBI")</f>
        <v>NCBI</v>
      </c>
      <c r="F7161">
        <v>9.5000000000000001E-2</v>
      </c>
      <c r="G7161">
        <v>0.23</v>
      </c>
      <c r="H7161" s="1" t="str">
        <f>HYPERLINK("http://www.weizmann.ac.il/complex/compphys/software/geview/data/figures/212955_s_at.png","Figure")</f>
        <v>Figure</v>
      </c>
      <c r="I7161">
        <v>1.07</v>
      </c>
      <c r="J7161">
        <v>0.82</v>
      </c>
      <c r="K7161">
        <v>1.24</v>
      </c>
      <c r="L7161">
        <v>9.2999999999999999E-2</v>
      </c>
      <c r="M7161">
        <v>1.17</v>
      </c>
      <c r="N7161">
        <v>0.32</v>
      </c>
    </row>
    <row r="7162" spans="1:14" x14ac:dyDescent="0.25">
      <c r="A7162" t="s">
        <v>12772</v>
      </c>
      <c r="B7162" t="s">
        <v>12773</v>
      </c>
      <c r="C7162" s="1" t="str">
        <f>HYPERLINK("http://www.genecards.org/cgi-bin/carddisp.pl?gene=RGS12","GeneCards")</f>
        <v>GeneCards</v>
      </c>
      <c r="D7162" s="1" t="str">
        <f>HYPERLINK("http://genome-euro.ucsc.edu/cgi-bin/hgTracks?position=209637_s_at","UCSC")</f>
        <v>UCSC</v>
      </c>
      <c r="E7162" s="1" t="str">
        <f>HYPERLINK("http://www.ncbi.nlm.nih.gov/gene/?term=RGS12","NCBI")</f>
        <v>NCBI</v>
      </c>
      <c r="F7162">
        <v>9.5000000000000001E-2</v>
      </c>
      <c r="G7162">
        <v>0.23</v>
      </c>
      <c r="H7162" s="1" t="str">
        <f>HYPERLINK("http://www.weizmann.ac.il/complex/compphys/software/geview/data/figures/209637_s_at.png","Figure")</f>
        <v>Figure</v>
      </c>
      <c r="I7162">
        <v>1.1200000000000001</v>
      </c>
      <c r="J7162">
        <v>9.1999999999999998E-2</v>
      </c>
      <c r="K7162">
        <v>1.08</v>
      </c>
      <c r="L7162">
        <v>0.24</v>
      </c>
      <c r="M7162">
        <v>0.96</v>
      </c>
      <c r="N7162">
        <v>0.67</v>
      </c>
    </row>
    <row r="7163" spans="1:14" x14ac:dyDescent="0.25">
      <c r="A7163" t="s">
        <v>12774</v>
      </c>
      <c r="B7163" t="s">
        <v>12775</v>
      </c>
      <c r="C7163" s="1" t="str">
        <f>HYPERLINK("http://www.genecards.org/cgi-bin/carddisp.pl?gene=CHMP2B","GeneCards")</f>
        <v>GeneCards</v>
      </c>
      <c r="D7163" s="1" t="str">
        <f>HYPERLINK("http://genome-euro.ucsc.edu/cgi-bin/hgTracks?position=202537_s_at","UCSC")</f>
        <v>UCSC</v>
      </c>
      <c r="E7163" s="1" t="str">
        <f>HYPERLINK("http://www.ncbi.nlm.nih.gov/gene/?term=CHMP2B","NCBI")</f>
        <v>NCBI</v>
      </c>
      <c r="F7163">
        <v>9.5000000000000001E-2</v>
      </c>
      <c r="G7163">
        <v>0.23</v>
      </c>
      <c r="H7163" s="1" t="str">
        <f>HYPERLINK("http://www.weizmann.ac.il/complex/compphys/software/geview/data/figures/202537_s_at.png","Figure")</f>
        <v>Figure</v>
      </c>
      <c r="I7163">
        <v>0.5</v>
      </c>
      <c r="J7163">
        <v>9.6000000000000002E-2</v>
      </c>
      <c r="K7163">
        <v>0.624</v>
      </c>
      <c r="L7163">
        <v>0.22</v>
      </c>
      <c r="M7163">
        <v>1.25</v>
      </c>
      <c r="N7163">
        <v>0.72</v>
      </c>
    </row>
    <row r="7164" spans="1:14" x14ac:dyDescent="0.25">
      <c r="A7164" t="s">
        <v>12776</v>
      </c>
      <c r="B7164" t="s">
        <v>12777</v>
      </c>
      <c r="C7164" s="1" t="str">
        <f>HYPERLINK("http://www.genecards.org/cgi-bin/carddisp.pl?gene=GINS1","GeneCards")</f>
        <v>GeneCards</v>
      </c>
      <c r="D7164" s="1" t="str">
        <f>HYPERLINK("http://genome-euro.ucsc.edu/cgi-bin/hgTracks?position=206102_at","UCSC")</f>
        <v>UCSC</v>
      </c>
      <c r="E7164" s="1" t="str">
        <f>HYPERLINK("http://www.ncbi.nlm.nih.gov/gene/?term=GINS1","NCBI")</f>
        <v>NCBI</v>
      </c>
      <c r="F7164">
        <v>9.5000000000000001E-2</v>
      </c>
      <c r="G7164">
        <v>0.23</v>
      </c>
      <c r="H7164" s="1" t="str">
        <f>HYPERLINK("http://www.weizmann.ac.il/complex/compphys/software/geview/data/figures/206102_at.png","Figure")</f>
        <v>Figure</v>
      </c>
      <c r="I7164">
        <v>0.70499999999999996</v>
      </c>
      <c r="J7164">
        <v>0.64</v>
      </c>
      <c r="K7164">
        <v>1.62</v>
      </c>
      <c r="L7164">
        <v>0.35</v>
      </c>
      <c r="M7164">
        <v>2.29</v>
      </c>
      <c r="N7164">
        <v>0.09</v>
      </c>
    </row>
    <row r="7165" spans="1:14" x14ac:dyDescent="0.25">
      <c r="A7165" t="s">
        <v>12778</v>
      </c>
      <c r="B7165" t="s">
        <v>429</v>
      </c>
      <c r="C7165" s="1" t="str">
        <f>HYPERLINK("http://www.genecards.org/cgi-bin/carddisp.pl?gene=PCMT1","GeneCards")</f>
        <v>GeneCards</v>
      </c>
      <c r="D7165" s="1" t="str">
        <f>HYPERLINK("http://genome-euro.ucsc.edu/cgi-bin/hgTracks?position=210156_s_at","UCSC")</f>
        <v>UCSC</v>
      </c>
      <c r="E7165" s="1" t="str">
        <f>HYPERLINK("http://www.ncbi.nlm.nih.gov/gene/?term=PCMT1","NCBI")</f>
        <v>NCBI</v>
      </c>
      <c r="F7165">
        <v>9.5000000000000001E-2</v>
      </c>
      <c r="G7165">
        <v>0.23</v>
      </c>
      <c r="H7165" s="1" t="str">
        <f>HYPERLINK("http://www.weizmann.ac.il/complex/compphys/software/geview/data/figures/210156_s_at.png","Figure")</f>
        <v>Figure</v>
      </c>
      <c r="I7165">
        <v>0.96</v>
      </c>
      <c r="J7165">
        <v>0.97</v>
      </c>
      <c r="K7165">
        <v>1.32</v>
      </c>
      <c r="L7165">
        <v>0.17</v>
      </c>
      <c r="M7165">
        <v>1.38</v>
      </c>
      <c r="N7165">
        <v>0.14000000000000001</v>
      </c>
    </row>
    <row r="7166" spans="1:14" x14ac:dyDescent="0.25">
      <c r="A7166" t="s">
        <v>12779</v>
      </c>
      <c r="B7166" t="s">
        <v>12780</v>
      </c>
      <c r="C7166" s="1" t="str">
        <f>HYPERLINK("http://www.genecards.org/cgi-bin/carddisp.pl?gene=RPL13","GeneCards")</f>
        <v>GeneCards</v>
      </c>
      <c r="D7166" s="1" t="str">
        <f>HYPERLINK("http://genome-euro.ucsc.edu/cgi-bin/hgTracks?position=214976_at","UCSC")</f>
        <v>UCSC</v>
      </c>
      <c r="E7166" s="1" t="str">
        <f>HYPERLINK("http://www.ncbi.nlm.nih.gov/gene/?term=RPL13","NCBI")</f>
        <v>NCBI</v>
      </c>
      <c r="F7166">
        <v>9.5000000000000001E-2</v>
      </c>
      <c r="G7166">
        <v>0.23</v>
      </c>
      <c r="H7166" s="1" t="str">
        <f>HYPERLINK("http://www.weizmann.ac.il/complex/compphys/software/geview/data/figures/214976_at.png","Figure")</f>
        <v>Figure</v>
      </c>
      <c r="I7166">
        <v>1.1000000000000001</v>
      </c>
      <c r="J7166">
        <v>0.39</v>
      </c>
      <c r="K7166">
        <v>0.93899999999999995</v>
      </c>
      <c r="L7166">
        <v>0.59</v>
      </c>
      <c r="M7166">
        <v>0.85099999999999998</v>
      </c>
      <c r="N7166">
        <v>0.08</v>
      </c>
    </row>
    <row r="7167" spans="1:14" x14ac:dyDescent="0.25">
      <c r="A7167" t="s">
        <v>12781</v>
      </c>
      <c r="B7167" t="s">
        <v>12782</v>
      </c>
      <c r="C7167" s="1" t="str">
        <f>HYPERLINK("http://www.genecards.org/cgi-bin/carddisp.pl?gene=ESR1","GeneCards")</f>
        <v>GeneCards</v>
      </c>
      <c r="D7167" s="1" t="str">
        <f>HYPERLINK("http://genome-euro.ucsc.edu/cgi-bin/hgTracks?position=217190_x_at","UCSC")</f>
        <v>UCSC</v>
      </c>
      <c r="E7167" s="1" t="str">
        <f>HYPERLINK("http://www.ncbi.nlm.nih.gov/gene/?term=ESR1","NCBI")</f>
        <v>NCBI</v>
      </c>
      <c r="F7167">
        <v>9.5000000000000001E-2</v>
      </c>
      <c r="G7167">
        <v>0.23</v>
      </c>
      <c r="H7167" s="1" t="str">
        <f>HYPERLINK("http://www.weizmann.ac.il/complex/compphys/software/geview/data/figures/217190_x_at.png","Figure")</f>
        <v>Figure</v>
      </c>
      <c r="I7167">
        <v>1.07</v>
      </c>
      <c r="J7167">
        <v>8.4000000000000005E-2</v>
      </c>
      <c r="K7167">
        <v>1.04</v>
      </c>
      <c r="L7167">
        <v>0.31</v>
      </c>
      <c r="M7167">
        <v>0.97099999999999997</v>
      </c>
      <c r="N7167">
        <v>0.54</v>
      </c>
    </row>
    <row r="7168" spans="1:14" x14ac:dyDescent="0.25">
      <c r="A7168" t="s">
        <v>12783</v>
      </c>
      <c r="B7168" t="s">
        <v>5777</v>
      </c>
      <c r="C7168" s="1" t="str">
        <f>HYPERLINK("http://www.genecards.org/cgi-bin/carddisp.pl?gene=PTP4A1","GeneCards")</f>
        <v>GeneCards</v>
      </c>
      <c r="D7168" s="1" t="str">
        <f>HYPERLINK("http://genome-euro.ucsc.edu/cgi-bin/hgTracks?position=200732_s_at","UCSC")</f>
        <v>UCSC</v>
      </c>
      <c r="E7168" s="1" t="str">
        <f>HYPERLINK("http://www.ncbi.nlm.nih.gov/gene/?term=PTP4A1","NCBI")</f>
        <v>NCBI</v>
      </c>
      <c r="F7168">
        <v>9.5000000000000001E-2</v>
      </c>
      <c r="G7168">
        <v>0.23</v>
      </c>
      <c r="H7168" s="1" t="str">
        <f>HYPERLINK("http://www.weizmann.ac.il/complex/compphys/software/geview/data/figures/200732_s_at.png","Figure")</f>
        <v>Figure</v>
      </c>
      <c r="I7168">
        <v>0.64100000000000001</v>
      </c>
      <c r="J7168">
        <v>8.2000000000000003E-2</v>
      </c>
      <c r="K7168">
        <v>0.85399999999999998</v>
      </c>
      <c r="L7168">
        <v>0.62</v>
      </c>
      <c r="M7168">
        <v>1.33</v>
      </c>
      <c r="N7168">
        <v>0.27</v>
      </c>
    </row>
    <row r="7169" spans="1:14" x14ac:dyDescent="0.25">
      <c r="A7169" t="s">
        <v>12784</v>
      </c>
      <c r="B7169" t="s">
        <v>12785</v>
      </c>
      <c r="C7169" s="1" t="str">
        <f>HYPERLINK("http://www.genecards.org/cgi-bin/carddisp.pl?gene=PSG4","GeneCards")</f>
        <v>GeneCards</v>
      </c>
      <c r="D7169" s="1" t="str">
        <f>HYPERLINK("http://genome-euro.ucsc.edu/cgi-bin/hgTracks?position=208191_x_at","UCSC")</f>
        <v>UCSC</v>
      </c>
      <c r="E7169" s="1" t="str">
        <f>HYPERLINK("http://www.ncbi.nlm.nih.gov/gene/?term=PSG4","NCBI")</f>
        <v>NCBI</v>
      </c>
      <c r="F7169">
        <v>9.5000000000000001E-2</v>
      </c>
      <c r="G7169">
        <v>0.23</v>
      </c>
      <c r="H7169" s="1" t="str">
        <f>HYPERLINK("http://www.weizmann.ac.il/complex/compphys/software/geview/data/figures/208191_x_at.png","Figure")</f>
        <v>Figure</v>
      </c>
      <c r="I7169">
        <v>1.22</v>
      </c>
      <c r="J7169">
        <v>8.5000000000000006E-2</v>
      </c>
      <c r="K7169">
        <v>1.06</v>
      </c>
      <c r="L7169">
        <v>0.7</v>
      </c>
      <c r="M7169">
        <v>0.871</v>
      </c>
      <c r="N7169">
        <v>0.23</v>
      </c>
    </row>
    <row r="7170" spans="1:14" x14ac:dyDescent="0.25">
      <c r="A7170" t="s">
        <v>12786</v>
      </c>
      <c r="B7170" t="s">
        <v>12787</v>
      </c>
      <c r="C7170" s="1" t="str">
        <f>HYPERLINK("http://www.genecards.org/cgi-bin/carddisp.pl?gene=TRIOBP","GeneCards")</f>
        <v>GeneCards</v>
      </c>
      <c r="D7170" s="1" t="str">
        <f>HYPERLINK("http://genome-euro.ucsc.edu/cgi-bin/hgTracks?position=216210_x_at","UCSC")</f>
        <v>UCSC</v>
      </c>
      <c r="E7170" s="1" t="str">
        <f>HYPERLINK("http://www.ncbi.nlm.nih.gov/gene/?term=TRIOBP","NCBI")</f>
        <v>NCBI</v>
      </c>
      <c r="F7170">
        <v>9.5000000000000001E-2</v>
      </c>
      <c r="G7170">
        <v>0.23</v>
      </c>
      <c r="H7170" s="1" t="str">
        <f>HYPERLINK("http://www.weizmann.ac.il/complex/compphys/software/geview/data/figures/216210_x_at.png","Figure")</f>
        <v>Figure</v>
      </c>
      <c r="I7170">
        <v>1.1399999999999999</v>
      </c>
      <c r="J7170">
        <v>0.35</v>
      </c>
      <c r="K7170">
        <v>1.21</v>
      </c>
      <c r="L7170">
        <v>8.2000000000000003E-2</v>
      </c>
      <c r="M7170">
        <v>1.06</v>
      </c>
      <c r="N7170">
        <v>0.78</v>
      </c>
    </row>
    <row r="7171" spans="1:14" x14ac:dyDescent="0.25">
      <c r="A7171" t="s">
        <v>12788</v>
      </c>
      <c r="B7171" t="s">
        <v>12323</v>
      </c>
      <c r="C7171" s="1" t="str">
        <f>HYPERLINK("http://www.genecards.org/cgi-bin/carddisp.pl?gene=MAP3K7","GeneCards")</f>
        <v>GeneCards</v>
      </c>
      <c r="D7171" s="1" t="str">
        <f>HYPERLINK("http://genome-euro.ucsc.edu/cgi-bin/hgTracks?position=206854_s_at","UCSC")</f>
        <v>UCSC</v>
      </c>
      <c r="E7171" s="1" t="str">
        <f>HYPERLINK("http://www.ncbi.nlm.nih.gov/gene/?term=MAP3K7","NCBI")</f>
        <v>NCBI</v>
      </c>
      <c r="F7171">
        <v>9.5000000000000001E-2</v>
      </c>
      <c r="G7171">
        <v>0.23</v>
      </c>
      <c r="H7171" s="1" t="str">
        <f>HYPERLINK("http://www.weizmann.ac.il/complex/compphys/software/geview/data/figures/206854_s_at.png","Figure")</f>
        <v>Figure</v>
      </c>
      <c r="I7171">
        <v>0.42199999999999999</v>
      </c>
      <c r="J7171">
        <v>9.2999999999999999E-2</v>
      </c>
      <c r="K7171">
        <v>0.81699999999999995</v>
      </c>
      <c r="L7171">
        <v>0.82</v>
      </c>
      <c r="M7171">
        <v>1.94</v>
      </c>
      <c r="N7171">
        <v>0.18</v>
      </c>
    </row>
    <row r="7172" spans="1:14" x14ac:dyDescent="0.25">
      <c r="A7172" t="s">
        <v>12789</v>
      </c>
      <c r="B7172" t="s">
        <v>12790</v>
      </c>
      <c r="C7172" s="1" t="str">
        <f>HYPERLINK("http://www.genecards.org/cgi-bin/carddisp.pl?gene=FBXO28","GeneCards")</f>
        <v>GeneCards</v>
      </c>
      <c r="D7172" s="1" t="str">
        <f>HYPERLINK("http://genome-euro.ucsc.edu/cgi-bin/hgTracks?position=202271_at","UCSC")</f>
        <v>UCSC</v>
      </c>
      <c r="E7172" s="1" t="str">
        <f>HYPERLINK("http://www.ncbi.nlm.nih.gov/gene/?term=FBXO28","NCBI")</f>
        <v>NCBI</v>
      </c>
      <c r="F7172">
        <v>9.5000000000000001E-2</v>
      </c>
      <c r="G7172">
        <v>0.23</v>
      </c>
      <c r="H7172" s="1" t="str">
        <f>HYPERLINK("http://www.weizmann.ac.il/complex/compphys/software/geview/data/figures/202271_at.png","Figure")</f>
        <v>Figure</v>
      </c>
      <c r="I7172">
        <v>0.74199999999999999</v>
      </c>
      <c r="J7172">
        <v>0.48</v>
      </c>
      <c r="K7172">
        <v>1.29</v>
      </c>
      <c r="L7172">
        <v>0.49</v>
      </c>
      <c r="M7172">
        <v>1.74</v>
      </c>
      <c r="N7172">
        <v>8.2000000000000003E-2</v>
      </c>
    </row>
    <row r="7173" spans="1:14" x14ac:dyDescent="0.25">
      <c r="A7173" t="s">
        <v>12791</v>
      </c>
      <c r="B7173" t="s">
        <v>6282</v>
      </c>
      <c r="C7173" s="1" t="str">
        <f>HYPERLINK("http://www.genecards.org/cgi-bin/carddisp.pl?gene=EPS8L1","GeneCards")</f>
        <v>GeneCards</v>
      </c>
      <c r="D7173" s="1" t="str">
        <f>HYPERLINK("http://genome-euro.ucsc.edu/cgi-bin/hgTracks?position=218778_x_at","UCSC")</f>
        <v>UCSC</v>
      </c>
      <c r="E7173" s="1" t="str">
        <f>HYPERLINK("http://www.ncbi.nlm.nih.gov/gene/?term=EPS8L1","NCBI")</f>
        <v>NCBI</v>
      </c>
      <c r="F7173">
        <v>9.5000000000000001E-2</v>
      </c>
      <c r="G7173">
        <v>0.23</v>
      </c>
      <c r="H7173" s="1" t="str">
        <f>HYPERLINK("http://www.weizmann.ac.il/complex/compphys/software/geview/data/figures/218778_x_at.png","Figure")</f>
        <v>Figure</v>
      </c>
      <c r="I7173">
        <v>1.28</v>
      </c>
      <c r="J7173">
        <v>0.1</v>
      </c>
      <c r="K7173">
        <v>1.19</v>
      </c>
      <c r="L7173">
        <v>0.2</v>
      </c>
      <c r="M7173">
        <v>0.93100000000000005</v>
      </c>
      <c r="N7173">
        <v>0.77</v>
      </c>
    </row>
    <row r="7174" spans="1:14" x14ac:dyDescent="0.25">
      <c r="A7174" t="s">
        <v>12792</v>
      </c>
      <c r="B7174" t="s">
        <v>12793</v>
      </c>
      <c r="C7174" s="1" t="str">
        <f>HYPERLINK("http://www.genecards.org/cgi-bin/carddisp.pl?gene=GDF10","GeneCards")</f>
        <v>GeneCards</v>
      </c>
      <c r="D7174" s="1" t="str">
        <f>HYPERLINK("http://genome-euro.ucsc.edu/cgi-bin/hgTracks?position=206159_at","UCSC")</f>
        <v>UCSC</v>
      </c>
      <c r="E7174" s="1" t="str">
        <f>HYPERLINK("http://www.ncbi.nlm.nih.gov/gene/?term=GDF10","NCBI")</f>
        <v>NCBI</v>
      </c>
      <c r="F7174">
        <v>9.6000000000000002E-2</v>
      </c>
      <c r="G7174">
        <v>0.23</v>
      </c>
      <c r="H7174" s="1" t="str">
        <f>HYPERLINK("http://www.weizmann.ac.il/complex/compphys/software/geview/data/figures/206159_at.png","Figure")</f>
        <v>Figure</v>
      </c>
      <c r="I7174">
        <v>1.08</v>
      </c>
      <c r="J7174">
        <v>9.2999999999999999E-2</v>
      </c>
      <c r="K7174">
        <v>1.05</v>
      </c>
      <c r="L7174">
        <v>0.24</v>
      </c>
      <c r="M7174">
        <v>0.97299999999999998</v>
      </c>
      <c r="N7174">
        <v>0.68</v>
      </c>
    </row>
    <row r="7175" spans="1:14" x14ac:dyDescent="0.25">
      <c r="A7175" t="s">
        <v>12794</v>
      </c>
      <c r="B7175" t="s">
        <v>12795</v>
      </c>
      <c r="C7175" s="1" t="str">
        <f>HYPERLINK("http://www.genecards.org/cgi-bin/carddisp.pl?gene=CYP2B6","GeneCards")</f>
        <v>GeneCards</v>
      </c>
      <c r="D7175" s="1" t="str">
        <f>HYPERLINK("http://genome-euro.ucsc.edu/cgi-bin/hgTracks?position=206755_at","UCSC")</f>
        <v>UCSC</v>
      </c>
      <c r="E7175" s="1" t="str">
        <f>HYPERLINK("http://www.ncbi.nlm.nih.gov/gene/?term=CYP2B6","NCBI")</f>
        <v>NCBI</v>
      </c>
      <c r="F7175">
        <v>9.6000000000000002E-2</v>
      </c>
      <c r="G7175">
        <v>0.23</v>
      </c>
      <c r="H7175" s="1" t="str">
        <f>HYPERLINK("http://www.weizmann.ac.il/complex/compphys/software/geview/data/figures/206755_at.png","Figure")</f>
        <v>Figure</v>
      </c>
      <c r="I7175">
        <v>0.98199999999999998</v>
      </c>
      <c r="J7175">
        <v>0.93</v>
      </c>
      <c r="K7175">
        <v>0.91200000000000003</v>
      </c>
      <c r="L7175">
        <v>0.11</v>
      </c>
      <c r="M7175">
        <v>0.92900000000000005</v>
      </c>
      <c r="N7175">
        <v>0.25</v>
      </c>
    </row>
    <row r="7176" spans="1:14" x14ac:dyDescent="0.25">
      <c r="A7176" t="s">
        <v>12796</v>
      </c>
      <c r="B7176" t="s">
        <v>12797</v>
      </c>
      <c r="C7176" s="1" t="str">
        <f>HYPERLINK("http://www.genecards.org/cgi-bin/carddisp.pl?gene=GAR1","GeneCards")</f>
        <v>GeneCards</v>
      </c>
      <c r="D7176" s="1" t="str">
        <f>HYPERLINK("http://genome-euro.ucsc.edu/cgi-bin/hgTracks?position=219110_at","UCSC")</f>
        <v>UCSC</v>
      </c>
      <c r="E7176" s="1" t="str">
        <f>HYPERLINK("http://www.ncbi.nlm.nih.gov/gene/?term=GAR1","NCBI")</f>
        <v>NCBI</v>
      </c>
      <c r="F7176">
        <v>9.6000000000000002E-2</v>
      </c>
      <c r="G7176">
        <v>0.23</v>
      </c>
      <c r="H7176" s="1" t="str">
        <f>HYPERLINK("http://www.weizmann.ac.il/complex/compphys/software/geview/data/figures/219110_at.png","Figure")</f>
        <v>Figure</v>
      </c>
      <c r="I7176">
        <v>0.70799999999999996</v>
      </c>
      <c r="J7176">
        <v>0.15</v>
      </c>
      <c r="K7176">
        <v>0.73</v>
      </c>
      <c r="L7176">
        <v>0.13</v>
      </c>
      <c r="M7176">
        <v>1.03</v>
      </c>
      <c r="N7176">
        <v>0.98</v>
      </c>
    </row>
    <row r="7177" spans="1:14" x14ac:dyDescent="0.25">
      <c r="A7177" t="s">
        <v>12798</v>
      </c>
      <c r="B7177" t="s">
        <v>12799</v>
      </c>
      <c r="C7177" s="1" t="str">
        <f>HYPERLINK("http://www.genecards.org/cgi-bin/carddisp.pl?gene=NFYC","GeneCards")</f>
        <v>GeneCards</v>
      </c>
      <c r="D7177" s="1" t="str">
        <f>HYPERLINK("http://genome-euro.ucsc.edu/cgi-bin/hgTracks?position=202215_s_at","UCSC")</f>
        <v>UCSC</v>
      </c>
      <c r="E7177" s="1" t="str">
        <f>HYPERLINK("http://www.ncbi.nlm.nih.gov/gene/?term=NFYC","NCBI")</f>
        <v>NCBI</v>
      </c>
      <c r="F7177">
        <v>9.6000000000000002E-2</v>
      </c>
      <c r="G7177">
        <v>0.23</v>
      </c>
      <c r="H7177" s="1" t="str">
        <f>HYPERLINK("http://www.weizmann.ac.il/complex/compphys/software/geview/data/figures/202215_s_at.png","Figure")</f>
        <v>Figure</v>
      </c>
      <c r="I7177">
        <v>0.77500000000000002</v>
      </c>
      <c r="J7177">
        <v>0.12</v>
      </c>
      <c r="K7177">
        <v>0.81599999999999995</v>
      </c>
      <c r="L7177">
        <v>0.16</v>
      </c>
      <c r="M7177">
        <v>1.05</v>
      </c>
      <c r="N7177">
        <v>0.89</v>
      </c>
    </row>
    <row r="7178" spans="1:14" x14ac:dyDescent="0.25">
      <c r="A7178" t="s">
        <v>12800</v>
      </c>
      <c r="B7178" t="s">
        <v>12801</v>
      </c>
      <c r="C7178" s="1" t="str">
        <f>HYPERLINK("http://www.genecards.org/cgi-bin/carddisp.pl?gene=LPGAT1","GeneCards")</f>
        <v>GeneCards</v>
      </c>
      <c r="D7178" s="1" t="str">
        <f>HYPERLINK("http://genome-euro.ucsc.edu/cgi-bin/hgTracks?position=202651_at","UCSC")</f>
        <v>UCSC</v>
      </c>
      <c r="E7178" s="1" t="str">
        <f>HYPERLINK("http://www.ncbi.nlm.nih.gov/gene/?term=LPGAT1","NCBI")</f>
        <v>NCBI</v>
      </c>
      <c r="F7178">
        <v>9.6000000000000002E-2</v>
      </c>
      <c r="G7178">
        <v>0.23</v>
      </c>
      <c r="H7178" s="1" t="str">
        <f>HYPERLINK("http://www.weizmann.ac.il/complex/compphys/software/geview/data/figures/202651_at.png","Figure")</f>
        <v>Figure</v>
      </c>
      <c r="I7178">
        <v>0.72199999999999998</v>
      </c>
      <c r="J7178">
        <v>0.56999999999999995</v>
      </c>
      <c r="K7178">
        <v>1.43</v>
      </c>
      <c r="L7178">
        <v>0.41</v>
      </c>
      <c r="M7178">
        <v>1.98</v>
      </c>
      <c r="N7178">
        <v>8.5999999999999993E-2</v>
      </c>
    </row>
    <row r="7179" spans="1:14" x14ac:dyDescent="0.25">
      <c r="A7179" t="s">
        <v>12802</v>
      </c>
      <c r="B7179" t="s">
        <v>12803</v>
      </c>
      <c r="C7179" s="1" t="str">
        <f>HYPERLINK("http://www.genecards.org/cgi-bin/carddisp.pl?gene=MASP1","GeneCards")</f>
        <v>GeneCards</v>
      </c>
      <c r="D7179" s="1" t="str">
        <f>HYPERLINK("http://genome-euro.ucsc.edu/cgi-bin/hgTracks?position=210680_s_at","UCSC")</f>
        <v>UCSC</v>
      </c>
      <c r="E7179" s="1" t="str">
        <f>HYPERLINK("http://www.ncbi.nlm.nih.gov/gene/?term=MASP1","NCBI")</f>
        <v>NCBI</v>
      </c>
      <c r="F7179">
        <v>9.6000000000000002E-2</v>
      </c>
      <c r="G7179">
        <v>0.23</v>
      </c>
      <c r="H7179" s="1" t="str">
        <f>HYPERLINK("http://www.weizmann.ac.il/complex/compphys/software/geview/data/figures/210680_s_at.png","Figure")</f>
        <v>Figure</v>
      </c>
      <c r="I7179">
        <v>1.18</v>
      </c>
      <c r="J7179">
        <v>0.14000000000000001</v>
      </c>
      <c r="K7179">
        <v>0.998</v>
      </c>
      <c r="L7179">
        <v>1</v>
      </c>
      <c r="M7179">
        <v>0.84899999999999998</v>
      </c>
      <c r="N7179">
        <v>0.11</v>
      </c>
    </row>
    <row r="7180" spans="1:14" x14ac:dyDescent="0.25">
      <c r="A7180" t="s">
        <v>12804</v>
      </c>
      <c r="B7180" t="s">
        <v>12805</v>
      </c>
      <c r="C7180" s="1" t="str">
        <f>HYPERLINK("http://www.genecards.org/cgi-bin/carddisp.pl?gene=EHMT1","GeneCards")</f>
        <v>GeneCards</v>
      </c>
      <c r="D7180" s="1" t="str">
        <f>HYPERLINK("http://genome-euro.ucsc.edu/cgi-bin/hgTracks?position=219339_s_at","UCSC")</f>
        <v>UCSC</v>
      </c>
      <c r="E7180" s="1" t="str">
        <f>HYPERLINK("http://www.ncbi.nlm.nih.gov/gene/?term=EHMT1","NCBI")</f>
        <v>NCBI</v>
      </c>
      <c r="F7180">
        <v>9.6000000000000002E-2</v>
      </c>
      <c r="G7180">
        <v>0.23</v>
      </c>
      <c r="H7180" s="1" t="str">
        <f>HYPERLINK("http://www.weizmann.ac.il/complex/compphys/software/geview/data/figures/219339_s_at.png","Figure")</f>
        <v>Figure</v>
      </c>
      <c r="I7180">
        <v>1.1299999999999999</v>
      </c>
      <c r="J7180">
        <v>9.0999999999999998E-2</v>
      </c>
      <c r="K7180">
        <v>1.08</v>
      </c>
      <c r="L7180">
        <v>0.25</v>
      </c>
      <c r="M7180">
        <v>0.95699999999999996</v>
      </c>
      <c r="N7180">
        <v>0.66</v>
      </c>
    </row>
    <row r="7181" spans="1:14" x14ac:dyDescent="0.25">
      <c r="A7181" t="s">
        <v>12806</v>
      </c>
      <c r="B7181" t="s">
        <v>12807</v>
      </c>
      <c r="C7181" s="1" t="str">
        <f>HYPERLINK("http://www.genecards.org/cgi-bin/carddisp.pl?gene=ATRN","GeneCards")</f>
        <v>GeneCards</v>
      </c>
      <c r="D7181" s="1" t="str">
        <f>HYPERLINK("http://genome-euro.ucsc.edu/cgi-bin/hgTracks?position=212517_at","UCSC")</f>
        <v>UCSC</v>
      </c>
      <c r="E7181" s="1" t="str">
        <f>HYPERLINK("http://www.ncbi.nlm.nih.gov/gene/?term=ATRN","NCBI")</f>
        <v>NCBI</v>
      </c>
      <c r="F7181">
        <v>9.6000000000000002E-2</v>
      </c>
      <c r="G7181">
        <v>0.23</v>
      </c>
      <c r="H7181" s="1" t="str">
        <f>HYPERLINK("http://www.weizmann.ac.il/complex/compphys/software/geview/data/figures/212517_at.png","Figure")</f>
        <v>Figure</v>
      </c>
      <c r="I7181">
        <v>1.01</v>
      </c>
      <c r="J7181">
        <v>1</v>
      </c>
      <c r="K7181">
        <v>1.1599999999999999</v>
      </c>
      <c r="L7181">
        <v>0.13</v>
      </c>
      <c r="M7181">
        <v>1.1499999999999999</v>
      </c>
      <c r="N7181">
        <v>0.19</v>
      </c>
    </row>
    <row r="7182" spans="1:14" x14ac:dyDescent="0.25">
      <c r="A7182" t="s">
        <v>12808</v>
      </c>
      <c r="B7182" t="s">
        <v>12809</v>
      </c>
      <c r="C7182" s="1" t="str">
        <f>HYPERLINK("http://www.genecards.org/cgi-bin/carddisp.pl?gene=C7orf26","GeneCards")</f>
        <v>GeneCards</v>
      </c>
      <c r="D7182" s="1" t="str">
        <f>HYPERLINK("http://genome-euro.ucsc.edu/cgi-bin/hgTracks?position=47083_at","UCSC")</f>
        <v>UCSC</v>
      </c>
      <c r="E7182" s="1" t="str">
        <f>HYPERLINK("http://www.ncbi.nlm.nih.gov/gene/?term=C7orf26","NCBI")</f>
        <v>NCBI</v>
      </c>
      <c r="F7182">
        <v>9.6000000000000002E-2</v>
      </c>
      <c r="G7182">
        <v>0.23</v>
      </c>
      <c r="H7182" s="1" t="str">
        <f>HYPERLINK("http://www.weizmann.ac.il/complex/compphys/software/geview/data/figures/47083_at.png","Figure")</f>
        <v>Figure</v>
      </c>
      <c r="I7182">
        <v>1.0900000000000001</v>
      </c>
      <c r="J7182">
        <v>0.52</v>
      </c>
      <c r="K7182">
        <v>1.17</v>
      </c>
      <c r="L7182">
        <v>0.08</v>
      </c>
      <c r="M7182">
        <v>1.08</v>
      </c>
      <c r="N7182">
        <v>0.56999999999999995</v>
      </c>
    </row>
    <row r="7183" spans="1:14" x14ac:dyDescent="0.25">
      <c r="A7183" t="s">
        <v>12810</v>
      </c>
      <c r="B7183" t="s">
        <v>2164</v>
      </c>
      <c r="C7183" s="1" t="str">
        <f>HYPERLINK("http://www.genecards.org/cgi-bin/carddisp.pl?gene=KIAA0427","GeneCards")</f>
        <v>GeneCards</v>
      </c>
      <c r="D7183" s="1" t="str">
        <f>HYPERLINK("http://genome-euro.ucsc.edu/cgi-bin/hgTracks?position=204302_s_at","UCSC")</f>
        <v>UCSC</v>
      </c>
      <c r="E7183" s="1" t="str">
        <f>HYPERLINK("http://www.ncbi.nlm.nih.gov/gene/?term=KIAA0427","NCBI")</f>
        <v>NCBI</v>
      </c>
      <c r="F7183">
        <v>9.6000000000000002E-2</v>
      </c>
      <c r="G7183">
        <v>0.23</v>
      </c>
      <c r="H7183" s="1" t="str">
        <f>HYPERLINK("http://www.weizmann.ac.il/complex/compphys/software/geview/data/figures/204302_s_at.png","Figure")</f>
        <v>Figure</v>
      </c>
      <c r="I7183">
        <v>1.28</v>
      </c>
      <c r="J7183">
        <v>0.1</v>
      </c>
      <c r="K7183">
        <v>1.2</v>
      </c>
      <c r="L7183">
        <v>0.19</v>
      </c>
      <c r="M7183">
        <v>0.93500000000000005</v>
      </c>
      <c r="N7183">
        <v>0.8</v>
      </c>
    </row>
    <row r="7184" spans="1:14" x14ac:dyDescent="0.25">
      <c r="A7184" t="s">
        <v>12811</v>
      </c>
      <c r="B7184" t="s">
        <v>12812</v>
      </c>
      <c r="C7184" s="1" t="str">
        <f>HYPERLINK("http://www.genecards.org/cgi-bin/carddisp.pl?gene=GNB3","GeneCards")</f>
        <v>GeneCards</v>
      </c>
      <c r="D7184" s="1" t="str">
        <f>HYPERLINK("http://genome-euro.ucsc.edu/cgi-bin/hgTracks?position=206047_at","UCSC")</f>
        <v>UCSC</v>
      </c>
      <c r="E7184" s="1" t="str">
        <f>HYPERLINK("http://www.ncbi.nlm.nih.gov/gene/?term=GNB3","NCBI")</f>
        <v>NCBI</v>
      </c>
      <c r="F7184">
        <v>9.6000000000000002E-2</v>
      </c>
      <c r="G7184">
        <v>0.23</v>
      </c>
      <c r="H7184" s="1" t="str">
        <f>HYPERLINK("http://www.weizmann.ac.il/complex/compphys/software/geview/data/figures/206047_at.png","Figure")</f>
        <v>Figure</v>
      </c>
      <c r="I7184">
        <v>1.19</v>
      </c>
      <c r="J7184">
        <v>0.11</v>
      </c>
      <c r="K7184">
        <v>1.1399999999999999</v>
      </c>
      <c r="L7184">
        <v>0.17</v>
      </c>
      <c r="M7184">
        <v>0.96199999999999997</v>
      </c>
      <c r="N7184">
        <v>0.86</v>
      </c>
    </row>
    <row r="7185" spans="1:14" x14ac:dyDescent="0.25">
      <c r="A7185" t="s">
        <v>12813</v>
      </c>
      <c r="B7185" t="s">
        <v>12814</v>
      </c>
      <c r="C7185" s="1" t="str">
        <f>HYPERLINK("http://www.genecards.org/cgi-bin/carddisp.pl?gene=MSI1","GeneCards")</f>
        <v>GeneCards</v>
      </c>
      <c r="D7185" s="1" t="str">
        <f>HYPERLINK("http://genome-euro.ucsc.edu/cgi-bin/hgTracks?position=206333_at","UCSC")</f>
        <v>UCSC</v>
      </c>
      <c r="E7185" s="1" t="str">
        <f>HYPERLINK("http://www.ncbi.nlm.nih.gov/gene/?term=MSI1","NCBI")</f>
        <v>NCBI</v>
      </c>
      <c r="F7185">
        <v>9.6000000000000002E-2</v>
      </c>
      <c r="G7185">
        <v>0.23</v>
      </c>
      <c r="H7185" s="1" t="str">
        <f>HYPERLINK("http://www.weizmann.ac.il/complex/compphys/software/geview/data/figures/206333_at.png","Figure")</f>
        <v>Figure</v>
      </c>
      <c r="I7185">
        <v>1.18</v>
      </c>
      <c r="J7185">
        <v>8.1000000000000003E-2</v>
      </c>
      <c r="K7185">
        <v>1.07</v>
      </c>
      <c r="L7185">
        <v>0.54</v>
      </c>
      <c r="M7185">
        <v>0.90700000000000003</v>
      </c>
      <c r="N7185">
        <v>0.31</v>
      </c>
    </row>
    <row r="7186" spans="1:14" x14ac:dyDescent="0.25">
      <c r="A7186" t="s">
        <v>12815</v>
      </c>
      <c r="B7186" t="s">
        <v>12816</v>
      </c>
      <c r="C7186" s="1" t="str">
        <f>HYPERLINK("http://www.genecards.org/cgi-bin/carddisp.pl?gene=ZDHHC17","GeneCards")</f>
        <v>GeneCards</v>
      </c>
      <c r="D7186" s="1" t="str">
        <f>HYPERLINK("http://genome-euro.ucsc.edu/cgi-bin/hgTracks?position=217486_s_at","UCSC")</f>
        <v>UCSC</v>
      </c>
      <c r="E7186" s="1" t="str">
        <f>HYPERLINK("http://www.ncbi.nlm.nih.gov/gene/?term=ZDHHC17","NCBI")</f>
        <v>NCBI</v>
      </c>
      <c r="F7186">
        <v>9.6000000000000002E-2</v>
      </c>
      <c r="G7186">
        <v>0.23</v>
      </c>
      <c r="H7186" s="1" t="str">
        <f>HYPERLINK("http://www.weizmann.ac.il/complex/compphys/software/geview/data/figures/217486_s_at.png","Figure")</f>
        <v>Figure</v>
      </c>
      <c r="I7186">
        <v>1.02</v>
      </c>
      <c r="J7186">
        <v>0.98</v>
      </c>
      <c r="K7186">
        <v>0.86199999999999999</v>
      </c>
      <c r="L7186">
        <v>0.17</v>
      </c>
      <c r="M7186">
        <v>0.84799999999999998</v>
      </c>
      <c r="N7186">
        <v>0.15</v>
      </c>
    </row>
    <row r="7187" spans="1:14" x14ac:dyDescent="0.25">
      <c r="A7187" t="s">
        <v>12817</v>
      </c>
      <c r="B7187" t="s">
        <v>12818</v>
      </c>
      <c r="C7187" s="1" t="str">
        <f>HYPERLINK("http://www.genecards.org/cgi-bin/carddisp.pl?gene=EPB41L4B","GeneCards")</f>
        <v>GeneCards</v>
      </c>
      <c r="D7187" s="1" t="str">
        <f>HYPERLINK("http://genome-euro.ucsc.edu/cgi-bin/hgTracks?position=220524_at","UCSC")</f>
        <v>UCSC</v>
      </c>
      <c r="E7187" s="1" t="str">
        <f>HYPERLINK("http://www.ncbi.nlm.nih.gov/gene/?term=EPB41L4B","NCBI")</f>
        <v>NCBI</v>
      </c>
      <c r="F7187">
        <v>9.6000000000000002E-2</v>
      </c>
      <c r="G7187">
        <v>0.23</v>
      </c>
      <c r="H7187" s="1" t="str">
        <f>HYPERLINK("http://www.weizmann.ac.il/complex/compphys/software/geview/data/figures/220524_at.png","Figure")</f>
        <v>Figure</v>
      </c>
      <c r="I7187">
        <v>1.1499999999999999</v>
      </c>
      <c r="J7187">
        <v>0.1</v>
      </c>
      <c r="K7187">
        <v>1.03</v>
      </c>
      <c r="L7187">
        <v>0.88</v>
      </c>
      <c r="M7187">
        <v>0.89</v>
      </c>
      <c r="N7187">
        <v>0.16</v>
      </c>
    </row>
    <row r="7188" spans="1:14" x14ac:dyDescent="0.25">
      <c r="A7188" t="s">
        <v>12819</v>
      </c>
      <c r="B7188" t="s">
        <v>8097</v>
      </c>
      <c r="C7188" s="1" t="str">
        <f>HYPERLINK("http://www.genecards.org/cgi-bin/carddisp.pl?gene=IVNS1ABP","GeneCards")</f>
        <v>GeneCards</v>
      </c>
      <c r="D7188" s="1" t="str">
        <f>HYPERLINK("http://genome-euro.ucsc.edu/cgi-bin/hgTracks?position=206245_s_at","UCSC")</f>
        <v>UCSC</v>
      </c>
      <c r="E7188" s="1" t="str">
        <f>HYPERLINK("http://www.ncbi.nlm.nih.gov/gene/?term=IVNS1ABP","NCBI")</f>
        <v>NCBI</v>
      </c>
      <c r="F7188">
        <v>9.6000000000000002E-2</v>
      </c>
      <c r="G7188">
        <v>0.23</v>
      </c>
      <c r="H7188" s="1" t="str">
        <f>HYPERLINK("http://www.weizmann.ac.il/complex/compphys/software/geview/data/figures/206245_s_at.png","Figure")</f>
        <v>Figure</v>
      </c>
      <c r="I7188">
        <v>0.84799999999999998</v>
      </c>
      <c r="J7188">
        <v>0.66</v>
      </c>
      <c r="K7188">
        <v>0.68200000000000005</v>
      </c>
      <c r="L7188">
        <v>8.4000000000000005E-2</v>
      </c>
      <c r="M7188">
        <v>0.80400000000000005</v>
      </c>
      <c r="N7188">
        <v>0.45</v>
      </c>
    </row>
    <row r="7189" spans="1:14" x14ac:dyDescent="0.25">
      <c r="A7189" t="s">
        <v>12820</v>
      </c>
      <c r="B7189" t="s">
        <v>2820</v>
      </c>
      <c r="C7189" s="1" t="str">
        <f>HYPERLINK("http://www.genecards.org/cgi-bin/carddisp.pl?gene=NUDT4","GeneCards")</f>
        <v>GeneCards</v>
      </c>
      <c r="D7189" s="1" t="str">
        <f>HYPERLINK("http://genome-euro.ucsc.edu/cgi-bin/hgTracks?position=206303_s_at","UCSC")</f>
        <v>UCSC</v>
      </c>
      <c r="E7189" s="1" t="str">
        <f>HYPERLINK("http://www.ncbi.nlm.nih.gov/gene/?term=NUDT4","NCBI")</f>
        <v>NCBI</v>
      </c>
      <c r="F7189">
        <v>9.6000000000000002E-2</v>
      </c>
      <c r="G7189">
        <v>0.23</v>
      </c>
      <c r="H7189" s="1" t="str">
        <f>HYPERLINK("http://www.weizmann.ac.il/complex/compphys/software/geview/data/figures/206303_s_at.png","Figure")</f>
        <v>Figure</v>
      </c>
      <c r="I7189">
        <v>1.07</v>
      </c>
      <c r="J7189">
        <v>0.78</v>
      </c>
      <c r="K7189">
        <v>0.874</v>
      </c>
      <c r="L7189">
        <v>0.28000000000000003</v>
      </c>
      <c r="M7189">
        <v>0.81799999999999995</v>
      </c>
      <c r="N7189">
        <v>0.1</v>
      </c>
    </row>
    <row r="7190" spans="1:14" x14ac:dyDescent="0.25">
      <c r="A7190" t="s">
        <v>12821</v>
      </c>
      <c r="B7190" t="s">
        <v>12822</v>
      </c>
      <c r="C7190" s="1" t="str">
        <f>HYPERLINK("http://www.genecards.org/cgi-bin/carddisp.pl?gene=TM9SF4","GeneCards")</f>
        <v>GeneCards</v>
      </c>
      <c r="D7190" s="1" t="str">
        <f>HYPERLINK("http://genome-euro.ucsc.edu/cgi-bin/hgTracks?position=212194_s_at","UCSC")</f>
        <v>UCSC</v>
      </c>
      <c r="E7190" s="1" t="str">
        <f>HYPERLINK("http://www.ncbi.nlm.nih.gov/gene/?term=TM9SF4","NCBI")</f>
        <v>NCBI</v>
      </c>
      <c r="F7190">
        <v>9.6000000000000002E-2</v>
      </c>
      <c r="G7190">
        <v>0.23</v>
      </c>
      <c r="H7190" s="1" t="str">
        <f>HYPERLINK("http://www.weizmann.ac.il/complex/compphys/software/geview/data/figures/212194_s_at.png","Figure")</f>
        <v>Figure</v>
      </c>
      <c r="I7190">
        <v>0.82899999999999996</v>
      </c>
      <c r="J7190">
        <v>0.43</v>
      </c>
      <c r="K7190">
        <v>0.74</v>
      </c>
      <c r="L7190">
        <v>0.08</v>
      </c>
      <c r="M7190">
        <v>0.89200000000000002</v>
      </c>
      <c r="N7190">
        <v>0.69</v>
      </c>
    </row>
    <row r="7191" spans="1:14" x14ac:dyDescent="0.25">
      <c r="A7191" t="s">
        <v>12823</v>
      </c>
      <c r="B7191" t="s">
        <v>12824</v>
      </c>
      <c r="C7191" s="1" t="str">
        <f>HYPERLINK("http://www.genecards.org/cgi-bin/carddisp.pl?gene=GBA /// GBAP","GeneCards")</f>
        <v>GeneCards</v>
      </c>
      <c r="D7191" s="1" t="str">
        <f>HYPERLINK("http://genome-euro.ucsc.edu/cgi-bin/hgTracks?position=216400_at","UCSC")</f>
        <v>UCSC</v>
      </c>
      <c r="E7191" s="1" t="str">
        <f>HYPERLINK("http://www.ncbi.nlm.nih.gov/gene/?term=GBA /// GBAP","NCBI")</f>
        <v>NCBI</v>
      </c>
      <c r="F7191">
        <v>9.6000000000000002E-2</v>
      </c>
      <c r="G7191">
        <v>0.23</v>
      </c>
      <c r="H7191" s="1" t="str">
        <f>HYPERLINK("http://www.weizmann.ac.il/complex/compphys/software/geview/data/figures/216400_at.png","Figure")</f>
        <v>Figure</v>
      </c>
      <c r="I7191">
        <v>1.1299999999999999</v>
      </c>
      <c r="J7191">
        <v>0.08</v>
      </c>
      <c r="K7191">
        <v>1.06</v>
      </c>
      <c r="L7191">
        <v>0.43</v>
      </c>
      <c r="M7191">
        <v>0.93700000000000006</v>
      </c>
      <c r="N7191">
        <v>0.4</v>
      </c>
    </row>
    <row r="7192" spans="1:14" x14ac:dyDescent="0.25">
      <c r="A7192" t="s">
        <v>12825</v>
      </c>
      <c r="B7192" t="s">
        <v>12826</v>
      </c>
      <c r="C7192" s="1" t="str">
        <f>HYPERLINK("http://www.genecards.org/cgi-bin/carddisp.pl?gene=C9orf86","GeneCards")</f>
        <v>GeneCards</v>
      </c>
      <c r="D7192" s="1" t="str">
        <f>HYPERLINK("http://genome-euro.ucsc.edu/cgi-bin/hgTracks?position=219828_at","UCSC")</f>
        <v>UCSC</v>
      </c>
      <c r="E7192" s="1" t="str">
        <f>HYPERLINK("http://www.ncbi.nlm.nih.gov/gene/?term=C9orf86","NCBI")</f>
        <v>NCBI</v>
      </c>
      <c r="F7192">
        <v>9.6000000000000002E-2</v>
      </c>
      <c r="G7192">
        <v>0.23</v>
      </c>
      <c r="H7192" s="1" t="str">
        <f>HYPERLINK("http://www.weizmann.ac.il/complex/compphys/software/geview/data/figures/219828_at.png","Figure")</f>
        <v>Figure</v>
      </c>
      <c r="I7192">
        <v>1.1100000000000001</v>
      </c>
      <c r="J7192">
        <v>0.68</v>
      </c>
      <c r="K7192">
        <v>0.85</v>
      </c>
      <c r="L7192">
        <v>0.33</v>
      </c>
      <c r="M7192">
        <v>0.76400000000000001</v>
      </c>
      <c r="N7192">
        <v>9.2999999999999999E-2</v>
      </c>
    </row>
    <row r="7193" spans="1:14" x14ac:dyDescent="0.25">
      <c r="A7193" t="s">
        <v>12827</v>
      </c>
      <c r="B7193" t="s">
        <v>12828</v>
      </c>
      <c r="C7193" s="1" t="str">
        <f>HYPERLINK("http://www.genecards.org/cgi-bin/carddisp.pl?gene=PRO1768","GeneCards")</f>
        <v>GeneCards</v>
      </c>
      <c r="D7193" s="1" t="str">
        <f>HYPERLINK("http://genome-euro.ucsc.edu/cgi-bin/hgTracks?position=220852_at","UCSC")</f>
        <v>UCSC</v>
      </c>
      <c r="E7193" s="1" t="str">
        <f>HYPERLINK("http://www.ncbi.nlm.nih.gov/gene/?term=PRO1768","NCBI")</f>
        <v>NCBI</v>
      </c>
      <c r="F7193">
        <v>9.6000000000000002E-2</v>
      </c>
      <c r="G7193">
        <v>0.23</v>
      </c>
      <c r="H7193" s="1" t="str">
        <f>HYPERLINK("http://www.weizmann.ac.il/complex/compphys/software/geview/data/figures/220852_at.png","Figure")</f>
        <v>Figure</v>
      </c>
      <c r="I7193">
        <v>1.07</v>
      </c>
      <c r="J7193">
        <v>0.56000000000000005</v>
      </c>
      <c r="K7193">
        <v>0.92900000000000005</v>
      </c>
      <c r="L7193">
        <v>0.42</v>
      </c>
      <c r="M7193">
        <v>0.86799999999999999</v>
      </c>
      <c r="N7193">
        <v>8.5999999999999993E-2</v>
      </c>
    </row>
    <row r="7194" spans="1:14" x14ac:dyDescent="0.25">
      <c r="A7194" t="s">
        <v>12829</v>
      </c>
      <c r="B7194" t="s">
        <v>12830</v>
      </c>
      <c r="C7194" s="1" t="str">
        <f>HYPERLINK("http://www.genecards.org/cgi-bin/carddisp.pl?gene=FLJ10213","GeneCards")</f>
        <v>GeneCards</v>
      </c>
      <c r="D7194" s="1" t="str">
        <f>HYPERLINK("http://genome-euro.ucsc.edu/cgi-bin/hgTracks?position=219906_at","UCSC")</f>
        <v>UCSC</v>
      </c>
      <c r="E7194" s="1" t="str">
        <f>HYPERLINK("http://www.ncbi.nlm.nih.gov/gene/?term=FLJ10213","NCBI")</f>
        <v>NCBI</v>
      </c>
      <c r="F7194">
        <v>9.6000000000000002E-2</v>
      </c>
      <c r="G7194">
        <v>0.23</v>
      </c>
      <c r="H7194" s="1" t="str">
        <f>HYPERLINK("http://www.weizmann.ac.il/complex/compphys/software/geview/data/figures/219906_at.png","Figure")</f>
        <v>Figure</v>
      </c>
      <c r="I7194">
        <v>1.05</v>
      </c>
      <c r="J7194">
        <v>0.98</v>
      </c>
      <c r="K7194">
        <v>0.68899999999999995</v>
      </c>
      <c r="L7194">
        <v>0.17</v>
      </c>
      <c r="M7194">
        <v>0.65900000000000003</v>
      </c>
      <c r="N7194">
        <v>0.15</v>
      </c>
    </row>
    <row r="7195" spans="1:14" x14ac:dyDescent="0.25">
      <c r="A7195" t="s">
        <v>12831</v>
      </c>
      <c r="B7195" t="s">
        <v>12832</v>
      </c>
      <c r="C7195" s="1" t="str">
        <f>HYPERLINK("http://www.genecards.org/cgi-bin/carddisp.pl?gene=KCNK12","GeneCards")</f>
        <v>GeneCards</v>
      </c>
      <c r="D7195" s="1" t="str">
        <f>HYPERLINK("http://genome-euro.ucsc.edu/cgi-bin/hgTracks?position=220448_at","UCSC")</f>
        <v>UCSC</v>
      </c>
      <c r="E7195" s="1" t="str">
        <f>HYPERLINK("http://www.ncbi.nlm.nih.gov/gene/?term=KCNK12","NCBI")</f>
        <v>NCBI</v>
      </c>
      <c r="F7195">
        <v>9.6000000000000002E-2</v>
      </c>
      <c r="G7195">
        <v>0.23</v>
      </c>
      <c r="H7195" s="1" t="str">
        <f>HYPERLINK("http://www.weizmann.ac.il/complex/compphys/software/geview/data/figures/220448_at.png","Figure")</f>
        <v>Figure</v>
      </c>
      <c r="I7195">
        <v>0.46500000000000002</v>
      </c>
      <c r="J7195">
        <v>0.12</v>
      </c>
      <c r="K7195">
        <v>0.54</v>
      </c>
      <c r="L7195">
        <v>0.16</v>
      </c>
      <c r="M7195">
        <v>1.1599999999999999</v>
      </c>
      <c r="N7195">
        <v>0.9</v>
      </c>
    </row>
    <row r="7196" spans="1:14" x14ac:dyDescent="0.25">
      <c r="A7196" t="s">
        <v>12833</v>
      </c>
      <c r="B7196" t="s">
        <v>3048</v>
      </c>
      <c r="C7196" s="1" t="str">
        <f>HYPERLINK("http://www.genecards.org/cgi-bin/carddisp.pl?gene=C9orf16","GeneCards")</f>
        <v>GeneCards</v>
      </c>
      <c r="D7196" s="1" t="str">
        <f>HYPERLINK("http://genome-euro.ucsc.edu/cgi-bin/hgTracks?position=222165_x_at","UCSC")</f>
        <v>UCSC</v>
      </c>
      <c r="E7196" s="1" t="str">
        <f>HYPERLINK("http://www.ncbi.nlm.nih.gov/gene/?term=C9orf16","NCBI")</f>
        <v>NCBI</v>
      </c>
      <c r="F7196">
        <v>9.6000000000000002E-2</v>
      </c>
      <c r="G7196">
        <v>0.23</v>
      </c>
      <c r="H7196" s="1" t="str">
        <f>HYPERLINK("http://www.weizmann.ac.il/complex/compphys/software/geview/data/figures/222165_x_at.png","Figure")</f>
        <v>Figure</v>
      </c>
      <c r="I7196">
        <v>1.2</v>
      </c>
      <c r="J7196">
        <v>0.28000000000000003</v>
      </c>
      <c r="K7196">
        <v>1.26</v>
      </c>
      <c r="L7196">
        <v>8.7999999999999995E-2</v>
      </c>
      <c r="M7196">
        <v>1.05</v>
      </c>
      <c r="N7196">
        <v>0.9</v>
      </c>
    </row>
    <row r="7197" spans="1:14" x14ac:dyDescent="0.25">
      <c r="A7197" t="s">
        <v>12834</v>
      </c>
      <c r="B7197" t="s">
        <v>12835</v>
      </c>
      <c r="C7197" s="1" t="str">
        <f>HYPERLINK("http://www.genecards.org/cgi-bin/carddisp.pl?gene=KCNG2","GeneCards")</f>
        <v>GeneCards</v>
      </c>
      <c r="D7197" s="1" t="str">
        <f>HYPERLINK("http://genome-euro.ucsc.edu/cgi-bin/hgTracks?position=208550_x_at","UCSC")</f>
        <v>UCSC</v>
      </c>
      <c r="E7197" s="1" t="str">
        <f>HYPERLINK("http://www.ncbi.nlm.nih.gov/gene/?term=KCNG2","NCBI")</f>
        <v>NCBI</v>
      </c>
      <c r="F7197">
        <v>9.6000000000000002E-2</v>
      </c>
      <c r="G7197">
        <v>0.23</v>
      </c>
      <c r="H7197" s="1" t="str">
        <f>HYPERLINK("http://www.weizmann.ac.il/complex/compphys/software/geview/data/figures/208550_x_at.png","Figure")</f>
        <v>Figure</v>
      </c>
      <c r="I7197">
        <v>0.89300000000000002</v>
      </c>
      <c r="J7197">
        <v>0.15</v>
      </c>
      <c r="K7197">
        <v>1</v>
      </c>
      <c r="L7197">
        <v>1</v>
      </c>
      <c r="M7197">
        <v>1.1200000000000001</v>
      </c>
      <c r="N7197">
        <v>0.1</v>
      </c>
    </row>
    <row r="7198" spans="1:14" x14ac:dyDescent="0.25">
      <c r="A7198" t="s">
        <v>12836</v>
      </c>
      <c r="B7198" t="s">
        <v>12837</v>
      </c>
      <c r="C7198" s="1" t="str">
        <f>HYPERLINK("http://www.genecards.org/cgi-bin/carddisp.pl?gene=PTDSS2","GeneCards")</f>
        <v>GeneCards</v>
      </c>
      <c r="D7198" s="1" t="str">
        <f>HYPERLINK("http://genome-euro.ucsc.edu/cgi-bin/hgTracks?position=221005_s_at","UCSC")</f>
        <v>UCSC</v>
      </c>
      <c r="E7198" s="1" t="str">
        <f>HYPERLINK("http://www.ncbi.nlm.nih.gov/gene/?term=PTDSS2","NCBI")</f>
        <v>NCBI</v>
      </c>
      <c r="F7198">
        <v>9.6000000000000002E-2</v>
      </c>
      <c r="G7198">
        <v>0.23</v>
      </c>
      <c r="H7198" s="1" t="str">
        <f>HYPERLINK("http://www.weizmann.ac.il/complex/compphys/software/geview/data/figures/221005_s_at.png","Figure")</f>
        <v>Figure</v>
      </c>
      <c r="I7198">
        <v>0.88400000000000001</v>
      </c>
      <c r="J7198">
        <v>0.24</v>
      </c>
      <c r="K7198">
        <v>1.04</v>
      </c>
      <c r="L7198">
        <v>0.85</v>
      </c>
      <c r="M7198">
        <v>1.17</v>
      </c>
      <c r="N7198">
        <v>8.5000000000000006E-2</v>
      </c>
    </row>
    <row r="7199" spans="1:14" x14ac:dyDescent="0.25">
      <c r="A7199" t="s">
        <v>12838</v>
      </c>
      <c r="B7199" t="s">
        <v>12839</v>
      </c>
      <c r="C7199" s="1" t="str">
        <f>HYPERLINK("http://www.genecards.org/cgi-bin/carddisp.pl?gene=VPS13A","GeneCards")</f>
        <v>GeneCards</v>
      </c>
      <c r="D7199" s="1" t="str">
        <f>HYPERLINK("http://genome-euro.ucsc.edu/cgi-bin/hgTracks?position=214785_at","UCSC")</f>
        <v>UCSC</v>
      </c>
      <c r="E7199" s="1" t="str">
        <f>HYPERLINK("http://www.ncbi.nlm.nih.gov/gene/?term=VPS13A","NCBI")</f>
        <v>NCBI</v>
      </c>
      <c r="F7199">
        <v>9.6000000000000002E-2</v>
      </c>
      <c r="G7199">
        <v>0.23</v>
      </c>
      <c r="H7199" s="1" t="str">
        <f>HYPERLINK("http://www.weizmann.ac.il/complex/compphys/software/geview/data/figures/214785_at.png","Figure")</f>
        <v>Figure</v>
      </c>
      <c r="I7199">
        <v>1.01</v>
      </c>
      <c r="J7199">
        <v>1</v>
      </c>
      <c r="K7199">
        <v>1.34</v>
      </c>
      <c r="L7199">
        <v>0.14000000000000001</v>
      </c>
      <c r="M7199">
        <v>1.33</v>
      </c>
      <c r="N7199">
        <v>0.18</v>
      </c>
    </row>
    <row r="7200" spans="1:14" x14ac:dyDescent="0.25">
      <c r="A7200" t="s">
        <v>12840</v>
      </c>
      <c r="B7200" t="s">
        <v>342</v>
      </c>
      <c r="C7200" s="1" t="str">
        <f>HYPERLINK("http://www.genecards.org/cgi-bin/carddisp.pl?gene=SRP72","GeneCards")</f>
        <v>GeneCards</v>
      </c>
      <c r="D7200" s="1" t="str">
        <f>HYPERLINK("http://genome-euro.ucsc.edu/cgi-bin/hgTracks?position=208800_at","UCSC")</f>
        <v>UCSC</v>
      </c>
      <c r="E7200" s="1" t="str">
        <f>HYPERLINK("http://www.ncbi.nlm.nih.gov/gene/?term=SRP72","NCBI")</f>
        <v>NCBI</v>
      </c>
      <c r="F7200">
        <v>9.6000000000000002E-2</v>
      </c>
      <c r="G7200">
        <v>0.23</v>
      </c>
      <c r="H7200" s="1" t="str">
        <f>HYPERLINK("http://www.weizmann.ac.il/complex/compphys/software/geview/data/figures/208800_at.png","Figure")</f>
        <v>Figure</v>
      </c>
      <c r="I7200">
        <v>0.65800000000000003</v>
      </c>
      <c r="J7200">
        <v>0.15</v>
      </c>
      <c r="K7200">
        <v>1.01</v>
      </c>
      <c r="L7200">
        <v>1</v>
      </c>
      <c r="M7200">
        <v>1.53</v>
      </c>
      <c r="N7200">
        <v>0.11</v>
      </c>
    </row>
    <row r="7201" spans="1:14" x14ac:dyDescent="0.25">
      <c r="A7201" t="s">
        <v>12841</v>
      </c>
      <c r="B7201" t="s">
        <v>12842</v>
      </c>
      <c r="C7201" s="1" t="str">
        <f>HYPERLINK("http://www.genecards.org/cgi-bin/carddisp.pl?gene=PSMD6","GeneCards")</f>
        <v>GeneCards</v>
      </c>
      <c r="D7201" s="1" t="str">
        <f>HYPERLINK("http://genome-euro.ucsc.edu/cgi-bin/hgTracks?position=202753_at","UCSC")</f>
        <v>UCSC</v>
      </c>
      <c r="E7201" s="1" t="str">
        <f>HYPERLINK("http://www.ncbi.nlm.nih.gov/gene/?term=PSMD6","NCBI")</f>
        <v>NCBI</v>
      </c>
      <c r="F7201">
        <v>9.6000000000000002E-2</v>
      </c>
      <c r="G7201">
        <v>0.23</v>
      </c>
      <c r="H7201" s="1" t="str">
        <f>HYPERLINK("http://www.weizmann.ac.il/complex/compphys/software/geview/data/figures/202753_at.png","Figure")</f>
        <v>Figure</v>
      </c>
      <c r="I7201">
        <v>0.996</v>
      </c>
      <c r="J7201">
        <v>1</v>
      </c>
      <c r="K7201">
        <v>0.76</v>
      </c>
      <c r="L7201">
        <v>0.14000000000000001</v>
      </c>
      <c r="M7201">
        <v>0.76300000000000001</v>
      </c>
      <c r="N7201">
        <v>0.18</v>
      </c>
    </row>
    <row r="7202" spans="1:14" x14ac:dyDescent="0.25">
      <c r="A7202" t="s">
        <v>12843</v>
      </c>
      <c r="B7202" t="s">
        <v>12844</v>
      </c>
      <c r="C7202" s="1" t="str">
        <f>HYPERLINK("http://www.genecards.org/cgi-bin/carddisp.pl?gene=NEUROD6","GeneCards")</f>
        <v>GeneCards</v>
      </c>
      <c r="D7202" s="1" t="str">
        <f>HYPERLINK("http://genome-euro.ucsc.edu/cgi-bin/hgTracks?position=220045_at","UCSC")</f>
        <v>UCSC</v>
      </c>
      <c r="E7202" s="1" t="str">
        <f>HYPERLINK("http://www.ncbi.nlm.nih.gov/gene/?term=NEUROD6","NCBI")</f>
        <v>NCBI</v>
      </c>
      <c r="F7202">
        <v>9.6000000000000002E-2</v>
      </c>
      <c r="G7202">
        <v>0.23</v>
      </c>
      <c r="H7202" s="1" t="str">
        <f>HYPERLINK("http://www.weizmann.ac.il/complex/compphys/software/geview/data/figures/220045_at.png","Figure")</f>
        <v>Figure</v>
      </c>
      <c r="I7202">
        <v>1.19</v>
      </c>
      <c r="J7202">
        <v>0.11</v>
      </c>
      <c r="K7202">
        <v>1.02</v>
      </c>
      <c r="L7202">
        <v>0.95</v>
      </c>
      <c r="M7202">
        <v>0.86</v>
      </c>
      <c r="N7202">
        <v>0.14000000000000001</v>
      </c>
    </row>
    <row r="7203" spans="1:14" x14ac:dyDescent="0.25">
      <c r="A7203" t="s">
        <v>12845</v>
      </c>
      <c r="B7203" t="s">
        <v>12846</v>
      </c>
      <c r="C7203" s="1" t="str">
        <f>HYPERLINK("http://www.genecards.org/cgi-bin/carddisp.pl?gene=PRKAG2","GeneCards")</f>
        <v>GeneCards</v>
      </c>
      <c r="D7203" s="1" t="str">
        <f>HYPERLINK("http://genome-euro.ucsc.edu/cgi-bin/hgTracks?position=218292_s_at","UCSC")</f>
        <v>UCSC</v>
      </c>
      <c r="E7203" s="1" t="str">
        <f>HYPERLINK("http://www.ncbi.nlm.nih.gov/gene/?term=PRKAG2","NCBI")</f>
        <v>NCBI</v>
      </c>
      <c r="F7203">
        <v>9.6000000000000002E-2</v>
      </c>
      <c r="G7203">
        <v>0.23</v>
      </c>
      <c r="H7203" s="1" t="str">
        <f>HYPERLINK("http://www.weizmann.ac.il/complex/compphys/software/geview/data/figures/218292_s_at.png","Figure")</f>
        <v>Figure</v>
      </c>
      <c r="I7203">
        <v>0.97099999999999997</v>
      </c>
      <c r="J7203">
        <v>0.76</v>
      </c>
      <c r="K7203">
        <v>0.92</v>
      </c>
      <c r="L7203">
        <v>8.8999999999999996E-2</v>
      </c>
      <c r="M7203">
        <v>0.94699999999999995</v>
      </c>
      <c r="N7203">
        <v>0.37</v>
      </c>
    </row>
    <row r="7204" spans="1:14" x14ac:dyDescent="0.25">
      <c r="A7204" t="s">
        <v>12847</v>
      </c>
      <c r="B7204" t="s">
        <v>12848</v>
      </c>
      <c r="C7204" s="1" t="str">
        <f>HYPERLINK("http://www.genecards.org/cgi-bin/carddisp.pl?gene=RPS20","GeneCards")</f>
        <v>GeneCards</v>
      </c>
      <c r="D7204" s="1" t="str">
        <f>HYPERLINK("http://genome-euro.ucsc.edu/cgi-bin/hgTracks?position=214003_x_at","UCSC")</f>
        <v>UCSC</v>
      </c>
      <c r="E7204" s="1" t="str">
        <f>HYPERLINK("http://www.ncbi.nlm.nih.gov/gene/?term=RPS20","NCBI")</f>
        <v>NCBI</v>
      </c>
      <c r="F7204">
        <v>9.6000000000000002E-2</v>
      </c>
      <c r="G7204">
        <v>0.23</v>
      </c>
      <c r="H7204" s="1" t="str">
        <f>HYPERLINK("http://www.weizmann.ac.il/complex/compphys/software/geview/data/figures/214003_x_at.png","Figure")</f>
        <v>Figure</v>
      </c>
      <c r="I7204">
        <v>0.80700000000000005</v>
      </c>
      <c r="J7204">
        <v>8.7999999999999995E-2</v>
      </c>
      <c r="K7204">
        <v>0.877</v>
      </c>
      <c r="L7204">
        <v>0.27</v>
      </c>
      <c r="M7204">
        <v>1.0900000000000001</v>
      </c>
      <c r="N7204">
        <v>0.61</v>
      </c>
    </row>
    <row r="7205" spans="1:14" x14ac:dyDescent="0.25">
      <c r="A7205" t="s">
        <v>12849</v>
      </c>
      <c r="B7205" t="s">
        <v>12850</v>
      </c>
      <c r="C7205" s="1" t="str">
        <f>HYPERLINK("http://www.genecards.org/cgi-bin/carddisp.pl?gene=PDLIM4","GeneCards")</f>
        <v>GeneCards</v>
      </c>
      <c r="D7205" s="1" t="str">
        <f>HYPERLINK("http://genome-euro.ucsc.edu/cgi-bin/hgTracks?position=218690_at","UCSC")</f>
        <v>UCSC</v>
      </c>
      <c r="E7205" s="1" t="str">
        <f>HYPERLINK("http://www.ncbi.nlm.nih.gov/gene/?term=PDLIM4","NCBI")</f>
        <v>NCBI</v>
      </c>
      <c r="F7205">
        <v>9.6000000000000002E-2</v>
      </c>
      <c r="G7205">
        <v>0.23</v>
      </c>
      <c r="H7205" s="1" t="str">
        <f>HYPERLINK("http://www.weizmann.ac.il/complex/compphys/software/geview/data/figures/218690_at.png","Figure")</f>
        <v>Figure</v>
      </c>
      <c r="I7205">
        <v>1.3</v>
      </c>
      <c r="J7205">
        <v>8.2000000000000003E-2</v>
      </c>
      <c r="K7205">
        <v>1.1000000000000001</v>
      </c>
      <c r="L7205">
        <v>0.57999999999999996</v>
      </c>
      <c r="M7205">
        <v>0.84799999999999998</v>
      </c>
      <c r="N7205">
        <v>0.28999999999999998</v>
      </c>
    </row>
    <row r="7206" spans="1:14" x14ac:dyDescent="0.25">
      <c r="A7206" t="s">
        <v>12851</v>
      </c>
      <c r="B7206" t="s">
        <v>4917</v>
      </c>
      <c r="C7206" s="1" t="str">
        <f>HYPERLINK("http://www.genecards.org/cgi-bin/carddisp.pl?gene=EIF3K","GeneCards")</f>
        <v>GeneCards</v>
      </c>
      <c r="D7206" s="1" t="str">
        <f>HYPERLINK("http://genome-euro.ucsc.edu/cgi-bin/hgTracks?position=210501_x_at","UCSC")</f>
        <v>UCSC</v>
      </c>
      <c r="E7206" s="1" t="str">
        <f>HYPERLINK("http://www.ncbi.nlm.nih.gov/gene/?term=EIF3K","NCBI")</f>
        <v>NCBI</v>
      </c>
      <c r="F7206">
        <v>9.6000000000000002E-2</v>
      </c>
      <c r="G7206">
        <v>0.23</v>
      </c>
      <c r="H7206" s="1" t="str">
        <f>HYPERLINK("http://www.weizmann.ac.il/complex/compphys/software/geview/data/figures/210501_x_at.png","Figure")</f>
        <v>Figure</v>
      </c>
      <c r="I7206">
        <v>1.58</v>
      </c>
      <c r="J7206">
        <v>0.15</v>
      </c>
      <c r="K7206">
        <v>1.52</v>
      </c>
      <c r="L7206">
        <v>0.13</v>
      </c>
      <c r="M7206">
        <v>0.96099999999999997</v>
      </c>
      <c r="N7206">
        <v>0.98</v>
      </c>
    </row>
    <row r="7207" spans="1:14" x14ac:dyDescent="0.25">
      <c r="A7207" t="s">
        <v>12852</v>
      </c>
      <c r="B7207" t="s">
        <v>12853</v>
      </c>
      <c r="C7207" s="1" t="str">
        <f>HYPERLINK("http://www.genecards.org/cgi-bin/carddisp.pl?gene=MTA1","GeneCards")</f>
        <v>GeneCards</v>
      </c>
      <c r="D7207" s="1" t="str">
        <f>HYPERLINK("http://genome-euro.ucsc.edu/cgi-bin/hgTracks?position=211783_s_at","UCSC")</f>
        <v>UCSC</v>
      </c>
      <c r="E7207" s="1" t="str">
        <f>HYPERLINK("http://www.ncbi.nlm.nih.gov/gene/?term=MTA1","NCBI")</f>
        <v>NCBI</v>
      </c>
      <c r="F7207">
        <v>9.6000000000000002E-2</v>
      </c>
      <c r="G7207">
        <v>0.23</v>
      </c>
      <c r="H7207" s="1" t="str">
        <f>HYPERLINK("http://www.weizmann.ac.il/complex/compphys/software/geview/data/figures/211783_s_at.png","Figure")</f>
        <v>Figure</v>
      </c>
      <c r="I7207">
        <v>0.49</v>
      </c>
      <c r="J7207">
        <v>0.14000000000000001</v>
      </c>
      <c r="K7207">
        <v>0.98499999999999999</v>
      </c>
      <c r="L7207">
        <v>1</v>
      </c>
      <c r="M7207">
        <v>2.0099999999999998</v>
      </c>
      <c r="N7207">
        <v>0.12</v>
      </c>
    </row>
    <row r="7208" spans="1:14" x14ac:dyDescent="0.25">
      <c r="A7208" t="s">
        <v>12854</v>
      </c>
      <c r="B7208" t="s">
        <v>5940</v>
      </c>
      <c r="C7208" s="1" t="str">
        <f>HYPERLINK("http://www.genecards.org/cgi-bin/carddisp.pl?gene=MYST3","GeneCards")</f>
        <v>GeneCards</v>
      </c>
      <c r="D7208" s="1" t="str">
        <f>HYPERLINK("http://genome-euro.ucsc.edu/cgi-bin/hgTracks?position=216361_s_at","UCSC")</f>
        <v>UCSC</v>
      </c>
      <c r="E7208" s="1" t="str">
        <f>HYPERLINK("http://www.ncbi.nlm.nih.gov/gene/?term=MYST3","NCBI")</f>
        <v>NCBI</v>
      </c>
      <c r="F7208">
        <v>9.6000000000000002E-2</v>
      </c>
      <c r="G7208">
        <v>0.23</v>
      </c>
      <c r="H7208" s="1" t="str">
        <f>HYPERLINK("http://www.weizmann.ac.il/complex/compphys/software/geview/data/figures/216361_s_at.png","Figure")</f>
        <v>Figure</v>
      </c>
      <c r="I7208">
        <v>1.05</v>
      </c>
      <c r="J7208">
        <v>0.97</v>
      </c>
      <c r="K7208">
        <v>0.68200000000000005</v>
      </c>
      <c r="L7208">
        <v>0.17</v>
      </c>
      <c r="M7208">
        <v>0.64800000000000002</v>
      </c>
      <c r="N7208">
        <v>0.14000000000000001</v>
      </c>
    </row>
    <row r="7209" spans="1:14" x14ac:dyDescent="0.25">
      <c r="A7209" t="s">
        <v>12855</v>
      </c>
      <c r="B7209" t="s">
        <v>12856</v>
      </c>
      <c r="C7209" s="1" t="str">
        <f>HYPERLINK("http://www.genecards.org/cgi-bin/carddisp.pl?gene=HIP1","GeneCards")</f>
        <v>GeneCards</v>
      </c>
      <c r="D7209" s="1" t="str">
        <f>HYPERLINK("http://genome-euro.ucsc.edu/cgi-bin/hgTracks?position=205426_s_at","UCSC")</f>
        <v>UCSC</v>
      </c>
      <c r="E7209" s="1" t="str">
        <f>HYPERLINK("http://www.ncbi.nlm.nih.gov/gene/?term=HIP1","NCBI")</f>
        <v>NCBI</v>
      </c>
      <c r="F7209">
        <v>9.7000000000000003E-2</v>
      </c>
      <c r="G7209">
        <v>0.23</v>
      </c>
      <c r="H7209" s="1" t="str">
        <f>HYPERLINK("http://www.weizmann.ac.il/complex/compphys/software/geview/data/figures/205426_s_at.png","Figure")</f>
        <v>Figure</v>
      </c>
      <c r="I7209">
        <v>1.1299999999999999</v>
      </c>
      <c r="J7209">
        <v>0.13</v>
      </c>
      <c r="K7209">
        <v>1</v>
      </c>
      <c r="L7209">
        <v>1</v>
      </c>
      <c r="M7209">
        <v>0.89300000000000002</v>
      </c>
      <c r="N7209">
        <v>0.12</v>
      </c>
    </row>
    <row r="7210" spans="1:14" x14ac:dyDescent="0.25">
      <c r="A7210" t="s">
        <v>12857</v>
      </c>
      <c r="B7210" t="s">
        <v>12503</v>
      </c>
      <c r="C7210" s="1" t="str">
        <f>HYPERLINK("http://www.genecards.org/cgi-bin/carddisp.pl?gene=HEY1","GeneCards")</f>
        <v>GeneCards</v>
      </c>
      <c r="D7210" s="1" t="str">
        <f>HYPERLINK("http://genome-euro.ucsc.edu/cgi-bin/hgTracks?position=44783_s_at","UCSC")</f>
        <v>UCSC</v>
      </c>
      <c r="E7210" s="1" t="str">
        <f>HYPERLINK("http://www.ncbi.nlm.nih.gov/gene/?term=HEY1","NCBI")</f>
        <v>NCBI</v>
      </c>
      <c r="F7210">
        <v>9.7000000000000003E-2</v>
      </c>
      <c r="G7210">
        <v>0.23</v>
      </c>
      <c r="H7210" s="1" t="str">
        <f>HYPERLINK("http://www.weizmann.ac.il/complex/compphys/software/geview/data/figures/44783_s_at.png","Figure")</f>
        <v>Figure</v>
      </c>
      <c r="I7210">
        <v>1.1200000000000001</v>
      </c>
      <c r="J7210">
        <v>0.37</v>
      </c>
      <c r="K7210">
        <v>0.93300000000000005</v>
      </c>
      <c r="L7210">
        <v>0.62</v>
      </c>
      <c r="M7210">
        <v>0.83</v>
      </c>
      <c r="N7210">
        <v>8.1000000000000003E-2</v>
      </c>
    </row>
    <row r="7211" spans="1:14" x14ac:dyDescent="0.25">
      <c r="A7211" t="s">
        <v>12858</v>
      </c>
      <c r="B7211" t="s">
        <v>12859</v>
      </c>
      <c r="C7211" s="1" t="str">
        <f>HYPERLINK("http://www.genecards.org/cgi-bin/carddisp.pl?gene=CCL16","GeneCards")</f>
        <v>GeneCards</v>
      </c>
      <c r="D7211" s="1" t="str">
        <f>HYPERLINK("http://genome-euro.ucsc.edu/cgi-bin/hgTracks?position=207354_at","UCSC")</f>
        <v>UCSC</v>
      </c>
      <c r="E7211" s="1" t="str">
        <f>HYPERLINK("http://www.ncbi.nlm.nih.gov/gene/?term=CCL16","NCBI")</f>
        <v>NCBI</v>
      </c>
      <c r="F7211">
        <v>9.7000000000000003E-2</v>
      </c>
      <c r="G7211">
        <v>0.23</v>
      </c>
      <c r="H7211" s="1" t="str">
        <f>HYPERLINK("http://www.weizmann.ac.il/complex/compphys/software/geview/data/figures/207354_at.png","Figure")</f>
        <v>Figure</v>
      </c>
      <c r="I7211">
        <v>1.2</v>
      </c>
      <c r="J7211">
        <v>0.19</v>
      </c>
      <c r="K7211">
        <v>0.97199999999999998</v>
      </c>
      <c r="L7211">
        <v>0.94</v>
      </c>
      <c r="M7211">
        <v>0.80700000000000005</v>
      </c>
      <c r="N7211">
        <v>9.2999999999999999E-2</v>
      </c>
    </row>
    <row r="7212" spans="1:14" x14ac:dyDescent="0.25">
      <c r="A7212" t="s">
        <v>12860</v>
      </c>
      <c r="B7212" t="s">
        <v>12861</v>
      </c>
      <c r="C7212" s="1" t="str">
        <f>HYPERLINK("http://www.genecards.org/cgi-bin/carddisp.pl?gene=CP","GeneCards")</f>
        <v>GeneCards</v>
      </c>
      <c r="D7212" s="1" t="str">
        <f>HYPERLINK("http://genome-euro.ucsc.edu/cgi-bin/hgTracks?position=204846_at","UCSC")</f>
        <v>UCSC</v>
      </c>
      <c r="E7212" s="1" t="str">
        <f>HYPERLINK("http://www.ncbi.nlm.nih.gov/gene/?term=CP","NCBI")</f>
        <v>NCBI</v>
      </c>
      <c r="F7212">
        <v>9.7000000000000003E-2</v>
      </c>
      <c r="G7212">
        <v>0.23</v>
      </c>
      <c r="H7212" s="1" t="str">
        <f>HYPERLINK("http://www.weizmann.ac.il/complex/compphys/software/geview/data/figures/204846_at.png","Figure")</f>
        <v>Figure</v>
      </c>
      <c r="I7212">
        <v>1.1599999999999999</v>
      </c>
      <c r="J7212">
        <v>0.14000000000000001</v>
      </c>
      <c r="K7212">
        <v>1</v>
      </c>
      <c r="L7212">
        <v>1</v>
      </c>
      <c r="M7212">
        <v>0.86</v>
      </c>
      <c r="N7212">
        <v>0.11</v>
      </c>
    </row>
    <row r="7213" spans="1:14" x14ac:dyDescent="0.25">
      <c r="A7213" t="s">
        <v>12862</v>
      </c>
      <c r="B7213" t="s">
        <v>12863</v>
      </c>
      <c r="C7213" s="1" t="str">
        <f>HYPERLINK("http://www.genecards.org/cgi-bin/carddisp.pl?gene=BHMT","GeneCards")</f>
        <v>GeneCards</v>
      </c>
      <c r="D7213" s="1" t="str">
        <f>HYPERLINK("http://genome-euro.ucsc.edu/cgi-bin/hgTracks?position=206119_at","UCSC")</f>
        <v>UCSC</v>
      </c>
      <c r="E7213" s="1" t="str">
        <f>HYPERLINK("http://www.ncbi.nlm.nih.gov/gene/?term=BHMT","NCBI")</f>
        <v>NCBI</v>
      </c>
      <c r="F7213">
        <v>9.7000000000000003E-2</v>
      </c>
      <c r="G7213">
        <v>0.23</v>
      </c>
      <c r="H7213" s="1" t="str">
        <f>HYPERLINK("http://www.weizmann.ac.il/complex/compphys/software/geview/data/figures/206119_at.png","Figure")</f>
        <v>Figure</v>
      </c>
      <c r="I7213">
        <v>1.03</v>
      </c>
      <c r="J7213">
        <v>0.96</v>
      </c>
      <c r="K7213">
        <v>0.85</v>
      </c>
      <c r="L7213">
        <v>0.18</v>
      </c>
      <c r="M7213">
        <v>0.82799999999999996</v>
      </c>
      <c r="N7213">
        <v>0.14000000000000001</v>
      </c>
    </row>
    <row r="7214" spans="1:14" x14ac:dyDescent="0.25">
      <c r="A7214" t="s">
        <v>12864</v>
      </c>
      <c r="B7214" t="s">
        <v>12865</v>
      </c>
      <c r="C7214" s="1" t="str">
        <f>HYPERLINK("http://www.genecards.org/cgi-bin/carddisp.pl?gene=THADA","GeneCards")</f>
        <v>GeneCards</v>
      </c>
      <c r="D7214" s="1" t="str">
        <f>HYPERLINK("http://genome-euro.ucsc.edu/cgi-bin/hgTracks?position=220212_s_at","UCSC")</f>
        <v>UCSC</v>
      </c>
      <c r="E7214" s="1" t="str">
        <f>HYPERLINK("http://www.ncbi.nlm.nih.gov/gene/?term=THADA","NCBI")</f>
        <v>NCBI</v>
      </c>
      <c r="F7214">
        <v>9.7000000000000003E-2</v>
      </c>
      <c r="G7214">
        <v>0.23</v>
      </c>
      <c r="H7214" s="1" t="str">
        <f>HYPERLINK("http://www.weizmann.ac.il/complex/compphys/software/geview/data/figures/220212_s_at.png","Figure")</f>
        <v>Figure</v>
      </c>
      <c r="I7214">
        <v>1.46</v>
      </c>
      <c r="J7214">
        <v>9.7000000000000003E-2</v>
      </c>
      <c r="K7214">
        <v>1.29</v>
      </c>
      <c r="L7214">
        <v>0.22</v>
      </c>
      <c r="M7214">
        <v>0.88600000000000001</v>
      </c>
      <c r="N7214">
        <v>0.72</v>
      </c>
    </row>
    <row r="7215" spans="1:14" x14ac:dyDescent="0.25">
      <c r="A7215" t="s">
        <v>12866</v>
      </c>
      <c r="B7215" t="s">
        <v>12867</v>
      </c>
      <c r="C7215" s="1" t="str">
        <f>HYPERLINK("http://www.genecards.org/cgi-bin/carddisp.pl?gene=ZNF701","GeneCards")</f>
        <v>GeneCards</v>
      </c>
      <c r="D7215" s="1" t="str">
        <f>HYPERLINK("http://genome-euro.ucsc.edu/cgi-bin/hgTracks?position=220242_x_at","UCSC")</f>
        <v>UCSC</v>
      </c>
      <c r="E7215" s="1" t="str">
        <f>HYPERLINK("http://www.ncbi.nlm.nih.gov/gene/?term=ZNF701","NCBI")</f>
        <v>NCBI</v>
      </c>
      <c r="F7215">
        <v>9.7000000000000003E-2</v>
      </c>
      <c r="G7215">
        <v>0.23</v>
      </c>
      <c r="H7215" s="1" t="str">
        <f>HYPERLINK("http://www.weizmann.ac.il/complex/compphys/software/geview/data/figures/220242_x_at.png","Figure")</f>
        <v>Figure</v>
      </c>
      <c r="I7215">
        <v>1.2</v>
      </c>
      <c r="J7215">
        <v>0.2</v>
      </c>
      <c r="K7215">
        <v>0.96699999999999997</v>
      </c>
      <c r="L7215">
        <v>0.92</v>
      </c>
      <c r="M7215">
        <v>0.80600000000000005</v>
      </c>
      <c r="N7215">
        <v>9.0999999999999998E-2</v>
      </c>
    </row>
    <row r="7216" spans="1:14" x14ac:dyDescent="0.25">
      <c r="A7216" t="s">
        <v>12868</v>
      </c>
      <c r="B7216" t="s">
        <v>7352</v>
      </c>
      <c r="C7216" s="1" t="str">
        <f>HYPERLINK("http://www.genecards.org/cgi-bin/carddisp.pl?gene=DDX18","GeneCards")</f>
        <v>GeneCards</v>
      </c>
      <c r="D7216" s="1" t="str">
        <f>HYPERLINK("http://genome-euro.ucsc.edu/cgi-bin/hgTracks?position=208895_s_at","UCSC")</f>
        <v>UCSC</v>
      </c>
      <c r="E7216" s="1" t="str">
        <f>HYPERLINK("http://www.ncbi.nlm.nih.gov/gene/?term=DDX18","NCBI")</f>
        <v>NCBI</v>
      </c>
      <c r="F7216">
        <v>9.7000000000000003E-2</v>
      </c>
      <c r="G7216">
        <v>0.23</v>
      </c>
      <c r="H7216" s="1" t="str">
        <f>HYPERLINK("http://www.weizmann.ac.il/complex/compphys/software/geview/data/figures/208895_s_at.png","Figure")</f>
        <v>Figure</v>
      </c>
      <c r="I7216">
        <v>1.1200000000000001</v>
      </c>
      <c r="J7216">
        <v>0.69</v>
      </c>
      <c r="K7216">
        <v>0.84099999999999997</v>
      </c>
      <c r="L7216">
        <v>0.33</v>
      </c>
      <c r="M7216">
        <v>0.753</v>
      </c>
      <c r="N7216">
        <v>9.5000000000000001E-2</v>
      </c>
    </row>
    <row r="7217" spans="1:14" x14ac:dyDescent="0.25">
      <c r="A7217" t="s">
        <v>12869</v>
      </c>
      <c r="B7217" t="s">
        <v>12870</v>
      </c>
      <c r="C7217" s="1" t="str">
        <f>HYPERLINK("http://www.genecards.org/cgi-bin/carddisp.pl?gene=KIR2DS4","GeneCards")</f>
        <v>GeneCards</v>
      </c>
      <c r="D7217" s="1" t="str">
        <f>HYPERLINK("http://genome-euro.ucsc.edu/cgi-bin/hgTracks?position=216552_x_at","UCSC")</f>
        <v>UCSC</v>
      </c>
      <c r="E7217" s="1" t="str">
        <f>HYPERLINK("http://www.ncbi.nlm.nih.gov/gene/?term=KIR2DS4","NCBI")</f>
        <v>NCBI</v>
      </c>
      <c r="F7217">
        <v>9.7000000000000003E-2</v>
      </c>
      <c r="G7217">
        <v>0.23</v>
      </c>
      <c r="H7217" s="1" t="str">
        <f>HYPERLINK("http://www.weizmann.ac.il/complex/compphys/software/geview/data/figures/216552_x_at.png","Figure")</f>
        <v>Figure</v>
      </c>
      <c r="I7217">
        <v>1.24</v>
      </c>
      <c r="J7217">
        <v>8.1000000000000003E-2</v>
      </c>
      <c r="K7217">
        <v>1.0900000000000001</v>
      </c>
      <c r="L7217">
        <v>0.52</v>
      </c>
      <c r="M7217">
        <v>0.88100000000000001</v>
      </c>
      <c r="N7217">
        <v>0.33</v>
      </c>
    </row>
    <row r="7218" spans="1:14" x14ac:dyDescent="0.25">
      <c r="A7218" t="s">
        <v>12871</v>
      </c>
      <c r="B7218" t="s">
        <v>12872</v>
      </c>
      <c r="C7218" s="1" t="str">
        <f>HYPERLINK("http://www.genecards.org/cgi-bin/carddisp.pl?gene=PARD3","GeneCards")</f>
        <v>GeneCards</v>
      </c>
      <c r="D7218" s="1" t="str">
        <f>HYPERLINK("http://genome-euro.ucsc.edu/cgi-bin/hgTracks?position=210094_s_at","UCSC")</f>
        <v>UCSC</v>
      </c>
      <c r="E7218" s="1" t="str">
        <f>HYPERLINK("http://www.ncbi.nlm.nih.gov/gene/?term=PARD3","NCBI")</f>
        <v>NCBI</v>
      </c>
      <c r="F7218">
        <v>9.7000000000000003E-2</v>
      </c>
      <c r="G7218">
        <v>0.23</v>
      </c>
      <c r="H7218" s="1" t="str">
        <f>HYPERLINK("http://www.weizmann.ac.il/complex/compphys/software/geview/data/figures/210094_s_at.png","Figure")</f>
        <v>Figure</v>
      </c>
      <c r="I7218">
        <v>1.37</v>
      </c>
      <c r="J7218">
        <v>8.2000000000000003E-2</v>
      </c>
      <c r="K7218">
        <v>1.17</v>
      </c>
      <c r="L7218">
        <v>0.39</v>
      </c>
      <c r="M7218">
        <v>0.85499999999999998</v>
      </c>
      <c r="N7218">
        <v>0.44</v>
      </c>
    </row>
    <row r="7219" spans="1:14" x14ac:dyDescent="0.25">
      <c r="A7219" t="s">
        <v>12873</v>
      </c>
      <c r="B7219" t="s">
        <v>11157</v>
      </c>
      <c r="C7219" s="1" t="str">
        <f>HYPERLINK("http://www.genecards.org/cgi-bin/carddisp.pl?gene=ABI1","GeneCards")</f>
        <v>GeneCards</v>
      </c>
      <c r="D7219" s="1" t="str">
        <f>HYPERLINK("http://genome-euro.ucsc.edu/cgi-bin/hgTracks?position=209027_s_at","UCSC")</f>
        <v>UCSC</v>
      </c>
      <c r="E7219" s="1" t="str">
        <f>HYPERLINK("http://www.ncbi.nlm.nih.gov/gene/?term=ABI1","NCBI")</f>
        <v>NCBI</v>
      </c>
      <c r="F7219">
        <v>9.7000000000000003E-2</v>
      </c>
      <c r="G7219">
        <v>0.23</v>
      </c>
      <c r="H7219" s="1" t="str">
        <f>HYPERLINK("http://www.weizmann.ac.il/complex/compphys/software/geview/data/figures/209027_s_at.png","Figure")</f>
        <v>Figure</v>
      </c>
      <c r="I7219">
        <v>0.73499999999999999</v>
      </c>
      <c r="J7219">
        <v>0.19</v>
      </c>
      <c r="K7219">
        <v>0.72499999999999998</v>
      </c>
      <c r="L7219">
        <v>0.11</v>
      </c>
      <c r="M7219">
        <v>0.98699999999999999</v>
      </c>
      <c r="N7219">
        <v>1</v>
      </c>
    </row>
    <row r="7220" spans="1:14" x14ac:dyDescent="0.25">
      <c r="A7220" t="s">
        <v>12874</v>
      </c>
      <c r="B7220" t="s">
        <v>12875</v>
      </c>
      <c r="C7220" s="1" t="str">
        <f>HYPERLINK("http://www.genecards.org/cgi-bin/carddisp.pl?gene=MYH10","GeneCards")</f>
        <v>GeneCards</v>
      </c>
      <c r="D7220" s="1" t="str">
        <f>HYPERLINK("http://genome-euro.ucsc.edu/cgi-bin/hgTracks?position=212372_at","UCSC")</f>
        <v>UCSC</v>
      </c>
      <c r="E7220" s="1" t="str">
        <f>HYPERLINK("http://www.ncbi.nlm.nih.gov/gene/?term=MYH10","NCBI")</f>
        <v>NCBI</v>
      </c>
      <c r="F7220">
        <v>9.7000000000000003E-2</v>
      </c>
      <c r="G7220">
        <v>0.23</v>
      </c>
      <c r="H7220" s="1" t="str">
        <f>HYPERLINK("http://www.weizmann.ac.il/complex/compphys/software/geview/data/figures/212372_at.png","Figure")</f>
        <v>Figure</v>
      </c>
      <c r="I7220">
        <v>1.64</v>
      </c>
      <c r="J7220">
        <v>0.11</v>
      </c>
      <c r="K7220">
        <v>1.45</v>
      </c>
      <c r="L7220">
        <v>0.18</v>
      </c>
      <c r="M7220">
        <v>0.88400000000000001</v>
      </c>
      <c r="N7220">
        <v>0.83</v>
      </c>
    </row>
    <row r="7221" spans="1:14" x14ac:dyDescent="0.25">
      <c r="A7221" t="s">
        <v>12876</v>
      </c>
      <c r="B7221" t="s">
        <v>12877</v>
      </c>
      <c r="C7221" s="1" t="str">
        <f>HYPERLINK("http://www.genecards.org/cgi-bin/carddisp.pl?gene=ABCC6 /// LOC100292715","GeneCards")</f>
        <v>GeneCards</v>
      </c>
      <c r="D7221" s="1" t="str">
        <f>HYPERLINK("http://genome-euro.ucsc.edu/cgi-bin/hgTracks?position=215559_at","UCSC")</f>
        <v>UCSC</v>
      </c>
      <c r="E7221" s="1" t="str">
        <f>HYPERLINK("http://www.ncbi.nlm.nih.gov/gene/?term=ABCC6 /// LOC100292715","NCBI")</f>
        <v>NCBI</v>
      </c>
      <c r="F7221">
        <v>9.7000000000000003E-2</v>
      </c>
      <c r="G7221">
        <v>0.23</v>
      </c>
      <c r="H7221" s="1" t="str">
        <f>HYPERLINK("http://www.weizmann.ac.il/complex/compphys/software/geview/data/figures/215559_at.png","Figure")</f>
        <v>Figure</v>
      </c>
      <c r="I7221">
        <v>1.18</v>
      </c>
      <c r="J7221">
        <v>8.1000000000000003E-2</v>
      </c>
      <c r="K7221">
        <v>1.08</v>
      </c>
      <c r="L7221">
        <v>0.46</v>
      </c>
      <c r="M7221">
        <v>0.91400000000000003</v>
      </c>
      <c r="N7221">
        <v>0.38</v>
      </c>
    </row>
    <row r="7222" spans="1:14" x14ac:dyDescent="0.25">
      <c r="A7222" t="s">
        <v>12878</v>
      </c>
      <c r="B7222" t="s">
        <v>12879</v>
      </c>
      <c r="C7222" s="1" t="str">
        <f>HYPERLINK("http://www.genecards.org/cgi-bin/carddisp.pl?gene=NCAN","GeneCards")</f>
        <v>GeneCards</v>
      </c>
      <c r="D7222" s="1" t="str">
        <f>HYPERLINK("http://genome-euro.ucsc.edu/cgi-bin/hgTracks?position=205143_at","UCSC")</f>
        <v>UCSC</v>
      </c>
      <c r="E7222" s="1" t="str">
        <f>HYPERLINK("http://www.ncbi.nlm.nih.gov/gene/?term=NCAN","NCBI")</f>
        <v>NCBI</v>
      </c>
      <c r="F7222">
        <v>9.7000000000000003E-2</v>
      </c>
      <c r="G7222">
        <v>0.23</v>
      </c>
      <c r="H7222" s="1" t="str">
        <f>HYPERLINK("http://www.weizmann.ac.il/complex/compphys/software/geview/data/figures/205143_at.png","Figure")</f>
        <v>Figure</v>
      </c>
      <c r="I7222">
        <v>1.08</v>
      </c>
      <c r="J7222">
        <v>0.45</v>
      </c>
      <c r="K7222">
        <v>0.93899999999999995</v>
      </c>
      <c r="L7222">
        <v>0.53</v>
      </c>
      <c r="M7222">
        <v>0.86599999999999999</v>
      </c>
      <c r="N7222">
        <v>8.2000000000000003E-2</v>
      </c>
    </row>
    <row r="7223" spans="1:14" x14ac:dyDescent="0.25">
      <c r="A7223" t="s">
        <v>12880</v>
      </c>
      <c r="B7223" t="s">
        <v>12881</v>
      </c>
      <c r="C7223" s="1" t="str">
        <f>HYPERLINK("http://www.genecards.org/cgi-bin/carddisp.pl?gene=SHC3","GeneCards")</f>
        <v>GeneCards</v>
      </c>
      <c r="D7223" s="1" t="str">
        <f>HYPERLINK("http://genome-euro.ucsc.edu/cgi-bin/hgTracks?position=206330_s_at","UCSC")</f>
        <v>UCSC</v>
      </c>
      <c r="E7223" s="1" t="str">
        <f>HYPERLINK("http://www.ncbi.nlm.nih.gov/gene/?term=SHC3","NCBI")</f>
        <v>NCBI</v>
      </c>
      <c r="F7223">
        <v>9.7000000000000003E-2</v>
      </c>
      <c r="G7223">
        <v>0.23</v>
      </c>
      <c r="H7223" s="1" t="str">
        <f>HYPERLINK("http://www.weizmann.ac.il/complex/compphys/software/geview/data/figures/206330_s_at.png","Figure")</f>
        <v>Figure</v>
      </c>
      <c r="I7223">
        <v>1.1399999999999999</v>
      </c>
      <c r="J7223">
        <v>8.5000000000000006E-2</v>
      </c>
      <c r="K7223">
        <v>1.04</v>
      </c>
      <c r="L7223">
        <v>0.67</v>
      </c>
      <c r="M7223">
        <v>0.91700000000000004</v>
      </c>
      <c r="N7223">
        <v>0.25</v>
      </c>
    </row>
    <row r="7224" spans="1:14" x14ac:dyDescent="0.25">
      <c r="A7224" t="s">
        <v>12882</v>
      </c>
      <c r="B7224" t="s">
        <v>12883</v>
      </c>
      <c r="C7224" s="1" t="str">
        <f>HYPERLINK("http://www.genecards.org/cgi-bin/carddisp.pl?gene=MIA","GeneCards")</f>
        <v>GeneCards</v>
      </c>
      <c r="D7224" s="1" t="str">
        <f>HYPERLINK("http://genome-euro.ucsc.edu/cgi-bin/hgTracks?position=206560_s_at","UCSC")</f>
        <v>UCSC</v>
      </c>
      <c r="E7224" s="1" t="str">
        <f>HYPERLINK("http://www.ncbi.nlm.nih.gov/gene/?term=MIA","NCBI")</f>
        <v>NCBI</v>
      </c>
      <c r="F7224">
        <v>9.7000000000000003E-2</v>
      </c>
      <c r="G7224">
        <v>0.23</v>
      </c>
      <c r="H7224" s="1" t="str">
        <f>HYPERLINK("http://www.weizmann.ac.il/complex/compphys/software/geview/data/figures/206560_s_at.png","Figure")</f>
        <v>Figure</v>
      </c>
      <c r="I7224">
        <v>1.18</v>
      </c>
      <c r="J7224">
        <v>8.7999999999999995E-2</v>
      </c>
      <c r="K7224">
        <v>1.1000000000000001</v>
      </c>
      <c r="L7224">
        <v>0.28000000000000003</v>
      </c>
      <c r="M7224">
        <v>0.93600000000000005</v>
      </c>
      <c r="N7224">
        <v>0.59</v>
      </c>
    </row>
    <row r="7225" spans="1:14" x14ac:dyDescent="0.25">
      <c r="A7225" t="s">
        <v>12884</v>
      </c>
      <c r="B7225" t="s">
        <v>12885</v>
      </c>
      <c r="C7225" s="1" t="str">
        <f>HYPERLINK("http://www.genecards.org/cgi-bin/carddisp.pl?gene=ABCF2","GeneCards")</f>
        <v>GeneCards</v>
      </c>
      <c r="D7225" s="1" t="str">
        <f>HYPERLINK("http://genome-euro.ucsc.edu/cgi-bin/hgTracks?position=209246_at","UCSC")</f>
        <v>UCSC</v>
      </c>
      <c r="E7225" s="1" t="str">
        <f>HYPERLINK("http://www.ncbi.nlm.nih.gov/gene/?term=ABCF2","NCBI")</f>
        <v>NCBI</v>
      </c>
      <c r="F7225">
        <v>9.7000000000000003E-2</v>
      </c>
      <c r="G7225">
        <v>0.23</v>
      </c>
      <c r="H7225" s="1" t="str">
        <f>HYPERLINK("http://www.weizmann.ac.il/complex/compphys/software/geview/data/figures/209246_at.png","Figure")</f>
        <v>Figure</v>
      </c>
      <c r="I7225">
        <v>1</v>
      </c>
      <c r="J7225">
        <v>1</v>
      </c>
      <c r="K7225">
        <v>0.80800000000000005</v>
      </c>
      <c r="L7225">
        <v>0.14000000000000001</v>
      </c>
      <c r="M7225">
        <v>0.80700000000000005</v>
      </c>
      <c r="N7225">
        <v>0.17</v>
      </c>
    </row>
    <row r="7226" spans="1:14" x14ac:dyDescent="0.25">
      <c r="A7226" t="s">
        <v>12886</v>
      </c>
      <c r="B7226" t="s">
        <v>5315</v>
      </c>
      <c r="C7226" s="1" t="str">
        <f>HYPERLINK("http://www.genecards.org/cgi-bin/carddisp.pl?gene=KCND3","GeneCards")</f>
        <v>GeneCards</v>
      </c>
      <c r="D7226" s="1" t="str">
        <f>HYPERLINK("http://genome-euro.ucsc.edu/cgi-bin/hgTracks?position=213832_at","UCSC")</f>
        <v>UCSC</v>
      </c>
      <c r="E7226" s="1" t="str">
        <f>HYPERLINK("http://www.ncbi.nlm.nih.gov/gene/?term=KCND3","NCBI")</f>
        <v>NCBI</v>
      </c>
      <c r="F7226">
        <v>9.7000000000000003E-2</v>
      </c>
      <c r="G7226">
        <v>0.23</v>
      </c>
      <c r="H7226" s="1" t="str">
        <f>HYPERLINK("http://www.weizmann.ac.il/complex/compphys/software/geview/data/figures/213832_at.png","Figure")</f>
        <v>Figure</v>
      </c>
      <c r="I7226">
        <v>1.1499999999999999</v>
      </c>
      <c r="J7226">
        <v>8.5999999999999993E-2</v>
      </c>
      <c r="K7226">
        <v>1.08</v>
      </c>
      <c r="L7226">
        <v>0.31</v>
      </c>
      <c r="M7226">
        <v>0.94199999999999995</v>
      </c>
      <c r="N7226">
        <v>0.55000000000000004</v>
      </c>
    </row>
    <row r="7227" spans="1:14" x14ac:dyDescent="0.25">
      <c r="A7227" t="s">
        <v>12887</v>
      </c>
      <c r="B7227" t="s">
        <v>12888</v>
      </c>
      <c r="C7227" s="1" t="str">
        <f>HYPERLINK("http://www.genecards.org/cgi-bin/carddisp.pl?gene=C6orf15","GeneCards")</f>
        <v>GeneCards</v>
      </c>
      <c r="D7227" s="1" t="str">
        <f>HYPERLINK("http://genome-euro.ucsc.edu/cgi-bin/hgTracks?position=221100_at","UCSC")</f>
        <v>UCSC</v>
      </c>
      <c r="E7227" s="1" t="str">
        <f>HYPERLINK("http://www.ncbi.nlm.nih.gov/gene/?term=C6orf15","NCBI")</f>
        <v>NCBI</v>
      </c>
      <c r="F7227">
        <v>9.7000000000000003E-2</v>
      </c>
      <c r="G7227">
        <v>0.23</v>
      </c>
      <c r="H7227" s="1" t="str">
        <f>HYPERLINK("http://www.weizmann.ac.il/complex/compphys/software/geview/data/figures/221100_at.png","Figure")</f>
        <v>Figure</v>
      </c>
      <c r="I7227">
        <v>1.3</v>
      </c>
      <c r="J7227">
        <v>0.09</v>
      </c>
      <c r="K7227">
        <v>1.08</v>
      </c>
      <c r="L7227">
        <v>0.75</v>
      </c>
      <c r="M7227">
        <v>0.82399999999999995</v>
      </c>
      <c r="N7227">
        <v>0.21</v>
      </c>
    </row>
    <row r="7228" spans="1:14" x14ac:dyDescent="0.25">
      <c r="A7228" t="s">
        <v>12889</v>
      </c>
      <c r="B7228" t="s">
        <v>4392</v>
      </c>
      <c r="C7228" s="1" t="str">
        <f>HYPERLINK("http://www.genecards.org/cgi-bin/carddisp.pl?gene=VRK3","GeneCards")</f>
        <v>GeneCards</v>
      </c>
      <c r="D7228" s="1" t="str">
        <f>HYPERLINK("http://genome-euro.ucsc.edu/cgi-bin/hgTracks?position=221999_at","UCSC")</f>
        <v>UCSC</v>
      </c>
      <c r="E7228" s="1" t="str">
        <f>HYPERLINK("http://www.ncbi.nlm.nih.gov/gene/?term=VRK3","NCBI")</f>
        <v>NCBI</v>
      </c>
      <c r="F7228">
        <v>9.7000000000000003E-2</v>
      </c>
      <c r="G7228">
        <v>0.23</v>
      </c>
      <c r="H7228" s="1" t="str">
        <f>HYPERLINK("http://www.weizmann.ac.il/complex/compphys/software/geview/data/figures/221999_at.png","Figure")</f>
        <v>Figure</v>
      </c>
      <c r="I7228">
        <v>0.94799999999999995</v>
      </c>
      <c r="J7228">
        <v>0.57999999999999996</v>
      </c>
      <c r="K7228">
        <v>0.89800000000000002</v>
      </c>
      <c r="L7228">
        <v>8.3000000000000004E-2</v>
      </c>
      <c r="M7228">
        <v>0.94699999999999995</v>
      </c>
      <c r="N7228">
        <v>0.53</v>
      </c>
    </row>
    <row r="7229" spans="1:14" x14ac:dyDescent="0.25">
      <c r="A7229" t="s">
        <v>12890</v>
      </c>
      <c r="B7229" t="s">
        <v>12891</v>
      </c>
      <c r="C7229" s="1" t="str">
        <f>HYPERLINK("http://www.genecards.org/cgi-bin/carddisp.pl?gene=ANKRD36B","GeneCards")</f>
        <v>GeneCards</v>
      </c>
      <c r="D7229" s="1" t="str">
        <f>HYPERLINK("http://genome-euro.ucsc.edu/cgi-bin/hgTracks?position=220940_at","UCSC")</f>
        <v>UCSC</v>
      </c>
      <c r="E7229" s="1" t="str">
        <f>HYPERLINK("http://www.ncbi.nlm.nih.gov/gene/?term=ANKRD36B","NCBI")</f>
        <v>NCBI</v>
      </c>
      <c r="F7229">
        <v>9.7000000000000003E-2</v>
      </c>
      <c r="G7229">
        <v>0.23</v>
      </c>
      <c r="H7229" s="1" t="str">
        <f>HYPERLINK("http://www.weizmann.ac.il/complex/compphys/software/geview/data/figures/220940_at.png","Figure")</f>
        <v>Figure</v>
      </c>
      <c r="I7229">
        <v>1.0900000000000001</v>
      </c>
      <c r="J7229">
        <v>0.92</v>
      </c>
      <c r="K7229">
        <v>1.53</v>
      </c>
      <c r="L7229">
        <v>0.11</v>
      </c>
      <c r="M7229">
        <v>1.41</v>
      </c>
      <c r="N7229">
        <v>0.26</v>
      </c>
    </row>
    <row r="7230" spans="1:14" x14ac:dyDescent="0.25">
      <c r="A7230" t="s">
        <v>12892</v>
      </c>
      <c r="B7230" t="s">
        <v>12893</v>
      </c>
      <c r="C7230" s="1" t="str">
        <f>HYPERLINK("http://www.genecards.org/cgi-bin/carddisp.pl?gene=C1orf61","GeneCards")</f>
        <v>GeneCards</v>
      </c>
      <c r="D7230" s="1" t="str">
        <f>HYPERLINK("http://genome-euro.ucsc.edu/cgi-bin/hgTracks?position=205103_at","UCSC")</f>
        <v>UCSC</v>
      </c>
      <c r="E7230" s="1" t="str">
        <f>HYPERLINK("http://www.ncbi.nlm.nih.gov/gene/?term=C1orf61","NCBI")</f>
        <v>NCBI</v>
      </c>
      <c r="F7230">
        <v>9.7000000000000003E-2</v>
      </c>
      <c r="G7230">
        <v>0.23</v>
      </c>
      <c r="H7230" s="1" t="str">
        <f>HYPERLINK("http://www.weizmann.ac.il/complex/compphys/software/geview/data/figures/205103_at.png","Figure")</f>
        <v>Figure</v>
      </c>
      <c r="I7230">
        <v>1.26</v>
      </c>
      <c r="J7230">
        <v>0.15</v>
      </c>
      <c r="K7230">
        <v>0.99099999999999999</v>
      </c>
      <c r="L7230">
        <v>1</v>
      </c>
      <c r="M7230">
        <v>0.78700000000000003</v>
      </c>
      <c r="N7230">
        <v>0.11</v>
      </c>
    </row>
    <row r="7231" spans="1:14" x14ac:dyDescent="0.25">
      <c r="A7231" t="s">
        <v>12894</v>
      </c>
      <c r="B7231" t="s">
        <v>12895</v>
      </c>
      <c r="C7231" s="1" t="str">
        <f>HYPERLINK("http://www.genecards.org/cgi-bin/carddisp.pl?gene=PTEN","GeneCards")</f>
        <v>GeneCards</v>
      </c>
      <c r="D7231" s="1" t="str">
        <f>HYPERLINK("http://genome-euro.ucsc.edu/cgi-bin/hgTracks?position=211711_s_at","UCSC")</f>
        <v>UCSC</v>
      </c>
      <c r="E7231" s="1" t="str">
        <f>HYPERLINK("http://www.ncbi.nlm.nih.gov/gene/?term=PTEN","NCBI")</f>
        <v>NCBI</v>
      </c>
      <c r="F7231">
        <v>9.7000000000000003E-2</v>
      </c>
      <c r="G7231">
        <v>0.23</v>
      </c>
      <c r="H7231" s="1" t="str">
        <f>HYPERLINK("http://www.weizmann.ac.il/complex/compphys/software/geview/data/figures/211711_s_at.png","Figure")</f>
        <v>Figure</v>
      </c>
      <c r="I7231">
        <v>0.67100000000000004</v>
      </c>
      <c r="J7231">
        <v>0.15</v>
      </c>
      <c r="K7231">
        <v>1.01</v>
      </c>
      <c r="L7231">
        <v>1</v>
      </c>
      <c r="M7231">
        <v>1.51</v>
      </c>
      <c r="N7231">
        <v>0.11</v>
      </c>
    </row>
    <row r="7232" spans="1:14" x14ac:dyDescent="0.25">
      <c r="A7232" t="s">
        <v>12896</v>
      </c>
      <c r="B7232" t="s">
        <v>7923</v>
      </c>
      <c r="C7232" s="1" t="str">
        <f>HYPERLINK("http://www.genecards.org/cgi-bin/carddisp.pl?gene=RARG","GeneCards")</f>
        <v>GeneCards</v>
      </c>
      <c r="D7232" s="1" t="str">
        <f>HYPERLINK("http://genome-euro.ucsc.edu/cgi-bin/hgTracks?position=204188_s_at","UCSC")</f>
        <v>UCSC</v>
      </c>
      <c r="E7232" s="1" t="str">
        <f>HYPERLINK("http://www.ncbi.nlm.nih.gov/gene/?term=RARG","NCBI")</f>
        <v>NCBI</v>
      </c>
      <c r="F7232">
        <v>9.7000000000000003E-2</v>
      </c>
      <c r="G7232">
        <v>0.23</v>
      </c>
      <c r="H7232" s="1" t="str">
        <f>HYPERLINK("http://www.weizmann.ac.il/complex/compphys/software/geview/data/figures/204188_s_at.png","Figure")</f>
        <v>Figure</v>
      </c>
      <c r="I7232">
        <v>1.17</v>
      </c>
      <c r="J7232">
        <v>8.1000000000000003E-2</v>
      </c>
      <c r="K7232">
        <v>1.07</v>
      </c>
      <c r="L7232">
        <v>0.5</v>
      </c>
      <c r="M7232">
        <v>0.91400000000000003</v>
      </c>
      <c r="N7232">
        <v>0.34</v>
      </c>
    </row>
    <row r="7233" spans="1:14" x14ac:dyDescent="0.25">
      <c r="A7233" t="s">
        <v>12897</v>
      </c>
      <c r="B7233" t="s">
        <v>5643</v>
      </c>
      <c r="C7233" s="1" t="str">
        <f>HYPERLINK("http://www.genecards.org/cgi-bin/carddisp.pl?gene=BTN3A3","GeneCards")</f>
        <v>GeneCards</v>
      </c>
      <c r="D7233" s="1" t="str">
        <f>HYPERLINK("http://genome-euro.ucsc.edu/cgi-bin/hgTracks?position=38241_at","UCSC")</f>
        <v>UCSC</v>
      </c>
      <c r="E7233" s="1" t="str">
        <f>HYPERLINK("http://www.ncbi.nlm.nih.gov/gene/?term=BTN3A3","NCBI")</f>
        <v>NCBI</v>
      </c>
      <c r="F7233">
        <v>9.7000000000000003E-2</v>
      </c>
      <c r="G7233">
        <v>0.23</v>
      </c>
      <c r="H7233" s="1" t="str">
        <f>HYPERLINK("http://www.weizmann.ac.il/complex/compphys/software/geview/data/figures/38241_at.png","Figure")</f>
        <v>Figure</v>
      </c>
      <c r="I7233">
        <v>0.89300000000000002</v>
      </c>
      <c r="J7233">
        <v>0.25</v>
      </c>
      <c r="K7233">
        <v>1.04</v>
      </c>
      <c r="L7233">
        <v>0.83</v>
      </c>
      <c r="M7233">
        <v>1.1599999999999999</v>
      </c>
      <c r="N7233">
        <v>8.5000000000000006E-2</v>
      </c>
    </row>
    <row r="7234" spans="1:14" x14ac:dyDescent="0.25">
      <c r="A7234" t="s">
        <v>12898</v>
      </c>
      <c r="B7234" t="s">
        <v>12899</v>
      </c>
      <c r="C7234" s="1" t="str">
        <f>HYPERLINK("http://www.genecards.org/cgi-bin/carddisp.pl?gene=PACRG","GeneCards")</f>
        <v>GeneCards</v>
      </c>
      <c r="D7234" s="1" t="str">
        <f>HYPERLINK("http://genome-euro.ucsc.edu/cgi-bin/hgTracks?position=215472_at","UCSC")</f>
        <v>UCSC</v>
      </c>
      <c r="E7234" s="1" t="str">
        <f>HYPERLINK("http://www.ncbi.nlm.nih.gov/gene/?term=PACRG","NCBI")</f>
        <v>NCBI</v>
      </c>
      <c r="F7234">
        <v>9.7000000000000003E-2</v>
      </c>
      <c r="G7234">
        <v>0.23</v>
      </c>
      <c r="H7234" s="1" t="str">
        <f>HYPERLINK("http://www.weizmann.ac.il/complex/compphys/software/geview/data/figures/215472_at.png","Figure")</f>
        <v>Figure</v>
      </c>
      <c r="I7234">
        <v>1.2</v>
      </c>
      <c r="J7234">
        <v>0.1</v>
      </c>
      <c r="K7234">
        <v>1.1399999999999999</v>
      </c>
      <c r="L7234">
        <v>0.2</v>
      </c>
      <c r="M7234">
        <v>0.94899999999999995</v>
      </c>
      <c r="N7234">
        <v>0.79</v>
      </c>
    </row>
    <row r="7235" spans="1:14" x14ac:dyDescent="0.25">
      <c r="A7235" t="s">
        <v>12900</v>
      </c>
      <c r="B7235" t="s">
        <v>12901</v>
      </c>
      <c r="C7235" s="1" t="str">
        <f>HYPERLINK("http://www.genecards.org/cgi-bin/carddisp.pl?gene=SPAG11A","GeneCards")</f>
        <v>GeneCards</v>
      </c>
      <c r="D7235" s="1" t="str">
        <f>HYPERLINK("http://genome-euro.ucsc.edu/cgi-bin/hgTracks?position=210884_s_at","UCSC")</f>
        <v>UCSC</v>
      </c>
      <c r="E7235" s="1" t="str">
        <f>HYPERLINK("http://www.ncbi.nlm.nih.gov/gene/?term=SPAG11A","NCBI")</f>
        <v>NCBI</v>
      </c>
      <c r="F7235">
        <v>9.7000000000000003E-2</v>
      </c>
      <c r="G7235">
        <v>0.23</v>
      </c>
      <c r="H7235" s="1" t="str">
        <f>HYPERLINK("http://www.weizmann.ac.il/complex/compphys/software/geview/data/figures/210884_s_at.png","Figure")</f>
        <v>Figure</v>
      </c>
      <c r="I7235">
        <v>1.1000000000000001</v>
      </c>
      <c r="J7235">
        <v>0.33</v>
      </c>
      <c r="K7235">
        <v>0.95499999999999996</v>
      </c>
      <c r="L7235">
        <v>0.69</v>
      </c>
      <c r="M7235">
        <v>0.86899999999999999</v>
      </c>
      <c r="N7235">
        <v>8.2000000000000003E-2</v>
      </c>
    </row>
    <row r="7236" spans="1:14" x14ac:dyDescent="0.25">
      <c r="A7236" t="s">
        <v>12902</v>
      </c>
      <c r="B7236" t="s">
        <v>7036</v>
      </c>
      <c r="C7236" s="1" t="str">
        <f>HYPERLINK("http://www.genecards.org/cgi-bin/carddisp.pl?gene=WIPI2","GeneCards")</f>
        <v>GeneCards</v>
      </c>
      <c r="D7236" s="1" t="str">
        <f>HYPERLINK("http://genome-euro.ucsc.edu/cgi-bin/hgTracks?position=204710_s_at","UCSC")</f>
        <v>UCSC</v>
      </c>
      <c r="E7236" s="1" t="str">
        <f>HYPERLINK("http://www.ncbi.nlm.nih.gov/gene/?term=WIPI2","NCBI")</f>
        <v>NCBI</v>
      </c>
      <c r="F7236">
        <v>9.7000000000000003E-2</v>
      </c>
      <c r="G7236">
        <v>0.23</v>
      </c>
      <c r="H7236" s="1" t="str">
        <f>HYPERLINK("http://www.weizmann.ac.il/complex/compphys/software/geview/data/figures/204710_s_at.png","Figure")</f>
        <v>Figure</v>
      </c>
      <c r="I7236">
        <v>1.33</v>
      </c>
      <c r="J7236">
        <v>0.15</v>
      </c>
      <c r="K7236">
        <v>0.99099999999999999</v>
      </c>
      <c r="L7236">
        <v>1</v>
      </c>
      <c r="M7236">
        <v>0.745</v>
      </c>
      <c r="N7236">
        <v>0.11</v>
      </c>
    </row>
    <row r="7237" spans="1:14" x14ac:dyDescent="0.25">
      <c r="A7237" t="s">
        <v>12903</v>
      </c>
      <c r="B7237" t="s">
        <v>6774</v>
      </c>
      <c r="C7237" s="1" t="str">
        <f>HYPERLINK("http://www.genecards.org/cgi-bin/carddisp.pl?gene=IGFBP5","GeneCards")</f>
        <v>GeneCards</v>
      </c>
      <c r="D7237" s="1" t="str">
        <f>HYPERLINK("http://genome-euro.ucsc.edu/cgi-bin/hgTracks?position=211958_at","UCSC")</f>
        <v>UCSC</v>
      </c>
      <c r="E7237" s="1" t="str">
        <f>HYPERLINK("http://www.ncbi.nlm.nih.gov/gene/?term=IGFBP5","NCBI")</f>
        <v>NCBI</v>
      </c>
      <c r="F7237">
        <v>9.8000000000000004E-2</v>
      </c>
      <c r="G7237">
        <v>0.23</v>
      </c>
      <c r="H7237" s="1" t="str">
        <f>HYPERLINK("http://www.weizmann.ac.il/complex/compphys/software/geview/data/figures/211958_at.png","Figure")</f>
        <v>Figure</v>
      </c>
      <c r="I7237">
        <v>1.06</v>
      </c>
      <c r="J7237">
        <v>0.18</v>
      </c>
      <c r="K7237">
        <v>1.06</v>
      </c>
      <c r="L7237">
        <v>0.11</v>
      </c>
      <c r="M7237">
        <v>1</v>
      </c>
      <c r="N7237">
        <v>1</v>
      </c>
    </row>
    <row r="7238" spans="1:14" x14ac:dyDescent="0.25">
      <c r="A7238" t="s">
        <v>12904</v>
      </c>
      <c r="B7238" t="s">
        <v>12905</v>
      </c>
      <c r="C7238" s="1" t="str">
        <f>HYPERLINK("http://www.genecards.org/cgi-bin/carddisp.pl?gene=AKR7A2","GeneCards")</f>
        <v>GeneCards</v>
      </c>
      <c r="D7238" s="1" t="str">
        <f>HYPERLINK("http://genome-euro.ucsc.edu/cgi-bin/hgTracks?position=214259_s_at","UCSC")</f>
        <v>UCSC</v>
      </c>
      <c r="E7238" s="1" t="str">
        <f>HYPERLINK("http://www.ncbi.nlm.nih.gov/gene/?term=AKR7A2","NCBI")</f>
        <v>NCBI</v>
      </c>
      <c r="F7238">
        <v>9.8000000000000004E-2</v>
      </c>
      <c r="G7238">
        <v>0.23</v>
      </c>
      <c r="H7238" s="1" t="str">
        <f>HYPERLINK("http://www.weizmann.ac.il/complex/compphys/software/geview/data/figures/214259_s_at.png","Figure")</f>
        <v>Figure</v>
      </c>
      <c r="I7238">
        <v>0.85199999999999998</v>
      </c>
      <c r="J7238">
        <v>0.72</v>
      </c>
      <c r="K7238">
        <v>1.32</v>
      </c>
      <c r="L7238">
        <v>0.31</v>
      </c>
      <c r="M7238">
        <v>1.55</v>
      </c>
      <c r="N7238">
        <v>9.8000000000000004E-2</v>
      </c>
    </row>
    <row r="7239" spans="1:14" x14ac:dyDescent="0.25">
      <c r="A7239" t="s">
        <v>12906</v>
      </c>
      <c r="B7239" t="s">
        <v>12907</v>
      </c>
      <c r="C7239" s="1" t="str">
        <f>HYPERLINK("http://www.genecards.org/cgi-bin/carddisp.pl?gene=CLDN3","GeneCards")</f>
        <v>GeneCards</v>
      </c>
      <c r="D7239" s="1" t="str">
        <f>HYPERLINK("http://genome-euro.ucsc.edu/cgi-bin/hgTracks?position=203954_x_at","UCSC")</f>
        <v>UCSC</v>
      </c>
      <c r="E7239" s="1" t="str">
        <f>HYPERLINK("http://www.ncbi.nlm.nih.gov/gene/?term=CLDN3","NCBI")</f>
        <v>NCBI</v>
      </c>
      <c r="F7239">
        <v>9.8000000000000004E-2</v>
      </c>
      <c r="G7239">
        <v>0.23</v>
      </c>
      <c r="H7239" s="1" t="str">
        <f>HYPERLINK("http://www.weizmann.ac.il/complex/compphys/software/geview/data/figures/203954_x_at.png","Figure")</f>
        <v>Figure</v>
      </c>
      <c r="I7239">
        <v>1.1599999999999999</v>
      </c>
      <c r="J7239">
        <v>8.3000000000000004E-2</v>
      </c>
      <c r="K7239">
        <v>1.06</v>
      </c>
      <c r="L7239">
        <v>0.56000000000000005</v>
      </c>
      <c r="M7239">
        <v>0.91200000000000003</v>
      </c>
      <c r="N7239">
        <v>0.3</v>
      </c>
    </row>
    <row r="7240" spans="1:14" x14ac:dyDescent="0.25">
      <c r="A7240" t="s">
        <v>12908</v>
      </c>
      <c r="B7240" t="s">
        <v>11958</v>
      </c>
      <c r="C7240" s="1" t="str">
        <f>HYPERLINK("http://www.genecards.org/cgi-bin/carddisp.pl?gene=ADAP1","GeneCards")</f>
        <v>GeneCards</v>
      </c>
      <c r="D7240" s="1" t="str">
        <f>HYPERLINK("http://genome-euro.ucsc.edu/cgi-bin/hgTracks?position=219150_s_at","UCSC")</f>
        <v>UCSC</v>
      </c>
      <c r="E7240" s="1" t="str">
        <f>HYPERLINK("http://www.ncbi.nlm.nih.gov/gene/?term=ADAP1","NCBI")</f>
        <v>NCBI</v>
      </c>
      <c r="F7240">
        <v>9.8000000000000004E-2</v>
      </c>
      <c r="G7240">
        <v>0.23</v>
      </c>
      <c r="H7240" s="1" t="str">
        <f>HYPERLINK("http://www.weizmann.ac.il/complex/compphys/software/geview/data/figures/219150_s_at.png","Figure")</f>
        <v>Figure</v>
      </c>
      <c r="I7240">
        <v>1.43</v>
      </c>
      <c r="J7240">
        <v>8.3000000000000004E-2</v>
      </c>
      <c r="K7240">
        <v>1.2</v>
      </c>
      <c r="L7240">
        <v>0.39</v>
      </c>
      <c r="M7240">
        <v>0.83699999999999997</v>
      </c>
      <c r="N7240">
        <v>0.44</v>
      </c>
    </row>
    <row r="7241" spans="1:14" x14ac:dyDescent="0.25">
      <c r="A7241" t="s">
        <v>12909</v>
      </c>
      <c r="B7241" t="s">
        <v>7674</v>
      </c>
      <c r="C7241" s="1" t="str">
        <f>HYPERLINK("http://www.genecards.org/cgi-bin/carddisp.pl?gene=EIF5A","GeneCards")</f>
        <v>GeneCards</v>
      </c>
      <c r="D7241" s="1" t="str">
        <f>HYPERLINK("http://genome-euro.ucsc.edu/cgi-bin/hgTracks?position=201122_x_at","UCSC")</f>
        <v>UCSC</v>
      </c>
      <c r="E7241" s="1" t="str">
        <f>HYPERLINK("http://www.ncbi.nlm.nih.gov/gene/?term=EIF5A","NCBI")</f>
        <v>NCBI</v>
      </c>
      <c r="F7241">
        <v>9.8000000000000004E-2</v>
      </c>
      <c r="G7241">
        <v>0.23</v>
      </c>
      <c r="H7241" s="1" t="str">
        <f>HYPERLINK("http://www.weizmann.ac.il/complex/compphys/software/geview/data/figures/201122_x_at.png","Figure")</f>
        <v>Figure</v>
      </c>
      <c r="I7241">
        <v>1.42</v>
      </c>
      <c r="J7241">
        <v>8.5999999999999993E-2</v>
      </c>
      <c r="K7241">
        <v>1.22</v>
      </c>
      <c r="L7241">
        <v>0.32</v>
      </c>
      <c r="M7241">
        <v>0.85799999999999998</v>
      </c>
      <c r="N7241">
        <v>0.54</v>
      </c>
    </row>
    <row r="7242" spans="1:14" x14ac:dyDescent="0.25">
      <c r="A7242" t="s">
        <v>12910</v>
      </c>
      <c r="B7242" t="s">
        <v>12911</v>
      </c>
      <c r="C7242" s="1" t="str">
        <f>HYPERLINK("http://www.genecards.org/cgi-bin/carddisp.pl?gene=LOC100293532","GeneCards")</f>
        <v>GeneCards</v>
      </c>
      <c r="D7242" s="1" t="str">
        <f>HYPERLINK("http://genome-euro.ucsc.edu/cgi-bin/hgTracks?position=217060_at","UCSC")</f>
        <v>UCSC</v>
      </c>
      <c r="E7242" s="1" t="str">
        <f>HYPERLINK("http://www.ncbi.nlm.nih.gov/gene/?term=LOC100293532","NCBI")</f>
        <v>NCBI</v>
      </c>
      <c r="F7242">
        <v>9.8000000000000004E-2</v>
      </c>
      <c r="G7242">
        <v>0.23</v>
      </c>
      <c r="H7242" s="1" t="str">
        <f>HYPERLINK("http://www.weizmann.ac.il/complex/compphys/software/geview/data/figures/217060_at.png","Figure")</f>
        <v>Figure</v>
      </c>
      <c r="I7242">
        <v>1.1200000000000001</v>
      </c>
      <c r="J7242">
        <v>9.9000000000000005E-2</v>
      </c>
      <c r="K7242">
        <v>1.02</v>
      </c>
      <c r="L7242">
        <v>0.86</v>
      </c>
      <c r="M7242">
        <v>0.91400000000000003</v>
      </c>
      <c r="N7242">
        <v>0.17</v>
      </c>
    </row>
    <row r="7243" spans="1:14" x14ac:dyDescent="0.25">
      <c r="A7243" t="s">
        <v>12912</v>
      </c>
      <c r="B7243" t="s">
        <v>12913</v>
      </c>
      <c r="C7243" s="1" t="str">
        <f>HYPERLINK("http://www.genecards.org/cgi-bin/carddisp.pl?gene=MLL2","GeneCards")</f>
        <v>GeneCards</v>
      </c>
      <c r="D7243" s="1" t="str">
        <f>HYPERLINK("http://genome-euro.ucsc.edu/cgi-bin/hgTracks?position=216845_x_at","UCSC")</f>
        <v>UCSC</v>
      </c>
      <c r="E7243" s="1" t="str">
        <f>HYPERLINK("http://www.ncbi.nlm.nih.gov/gene/?term=MLL2","NCBI")</f>
        <v>NCBI</v>
      </c>
      <c r="F7243">
        <v>9.8000000000000004E-2</v>
      </c>
      <c r="G7243">
        <v>0.23</v>
      </c>
      <c r="H7243" s="1" t="str">
        <f>HYPERLINK("http://www.weizmann.ac.il/complex/compphys/software/geview/data/figures/216845_x_at.png","Figure")</f>
        <v>Figure</v>
      </c>
      <c r="I7243">
        <v>1.1200000000000001</v>
      </c>
      <c r="J7243">
        <v>0.28999999999999998</v>
      </c>
      <c r="K7243">
        <v>0.95599999999999996</v>
      </c>
      <c r="L7243">
        <v>0.77</v>
      </c>
      <c r="M7243">
        <v>0.85199999999999998</v>
      </c>
      <c r="N7243">
        <v>8.3000000000000004E-2</v>
      </c>
    </row>
    <row r="7244" spans="1:14" x14ac:dyDescent="0.25">
      <c r="A7244" t="s">
        <v>12914</v>
      </c>
      <c r="B7244" t="s">
        <v>12915</v>
      </c>
      <c r="C7244" s="1" t="str">
        <f>HYPERLINK("http://www.genecards.org/cgi-bin/carddisp.pl?gene=ZMAT4","GeneCards")</f>
        <v>GeneCards</v>
      </c>
      <c r="D7244" s="1" t="str">
        <f>HYPERLINK("http://genome-euro.ucsc.edu/cgi-bin/hgTracks?position=219877_at","UCSC")</f>
        <v>UCSC</v>
      </c>
      <c r="E7244" s="1" t="str">
        <f>HYPERLINK("http://www.ncbi.nlm.nih.gov/gene/?term=ZMAT4","NCBI")</f>
        <v>NCBI</v>
      </c>
      <c r="F7244">
        <v>9.8000000000000004E-2</v>
      </c>
      <c r="G7244">
        <v>0.23</v>
      </c>
      <c r="H7244" s="1" t="str">
        <f>HYPERLINK("http://www.weizmann.ac.il/complex/compphys/software/geview/data/figures/219877_at.png","Figure")</f>
        <v>Figure</v>
      </c>
      <c r="I7244">
        <v>1.17</v>
      </c>
      <c r="J7244">
        <v>0.23</v>
      </c>
      <c r="K7244">
        <v>0.96199999999999997</v>
      </c>
      <c r="L7244">
        <v>0.88</v>
      </c>
      <c r="M7244">
        <v>0.82099999999999995</v>
      </c>
      <c r="N7244">
        <v>8.7999999999999995E-2</v>
      </c>
    </row>
    <row r="7245" spans="1:14" x14ac:dyDescent="0.25">
      <c r="A7245" t="s">
        <v>12916</v>
      </c>
      <c r="B7245" t="s">
        <v>8146</v>
      </c>
      <c r="C7245" s="1" t="str">
        <f>HYPERLINK("http://www.genecards.org/cgi-bin/carddisp.pl?gene=OSBPL3","GeneCards")</f>
        <v>GeneCards</v>
      </c>
      <c r="D7245" s="1" t="str">
        <f>HYPERLINK("http://genome-euro.ucsc.edu/cgi-bin/hgTracks?position=209627_s_at","UCSC")</f>
        <v>UCSC</v>
      </c>
      <c r="E7245" s="1" t="str">
        <f>HYPERLINK("http://www.ncbi.nlm.nih.gov/gene/?term=OSBPL3","NCBI")</f>
        <v>NCBI</v>
      </c>
      <c r="F7245">
        <v>9.8000000000000004E-2</v>
      </c>
      <c r="G7245">
        <v>0.23</v>
      </c>
      <c r="H7245" s="1" t="str">
        <f>HYPERLINK("http://www.weizmann.ac.il/complex/compphys/software/geview/data/figures/209627_s_at.png","Figure")</f>
        <v>Figure</v>
      </c>
      <c r="I7245">
        <v>0.80200000000000005</v>
      </c>
      <c r="J7245">
        <v>0.43</v>
      </c>
      <c r="K7245">
        <v>1.17</v>
      </c>
      <c r="L7245">
        <v>0.56000000000000005</v>
      </c>
      <c r="M7245">
        <v>1.46</v>
      </c>
      <c r="N7245">
        <v>8.2000000000000003E-2</v>
      </c>
    </row>
    <row r="7246" spans="1:14" x14ac:dyDescent="0.25">
      <c r="A7246" t="s">
        <v>12917</v>
      </c>
      <c r="B7246" t="s">
        <v>4639</v>
      </c>
      <c r="C7246" s="1" t="str">
        <f>HYPERLINK("http://www.genecards.org/cgi-bin/carddisp.pl?gene=RGS3","GeneCards")</f>
        <v>GeneCards</v>
      </c>
      <c r="D7246" s="1" t="str">
        <f>HYPERLINK("http://genome-euro.ucsc.edu/cgi-bin/hgTracks?position=220300_at","UCSC")</f>
        <v>UCSC</v>
      </c>
      <c r="E7246" s="1" t="str">
        <f>HYPERLINK("http://www.ncbi.nlm.nih.gov/gene/?term=RGS3","NCBI")</f>
        <v>NCBI</v>
      </c>
      <c r="F7246">
        <v>9.8000000000000004E-2</v>
      </c>
      <c r="G7246">
        <v>0.23</v>
      </c>
      <c r="H7246" s="1" t="str">
        <f>HYPERLINK("http://www.weizmann.ac.il/complex/compphys/software/geview/data/figures/220300_at.png","Figure")</f>
        <v>Figure</v>
      </c>
      <c r="I7246">
        <v>1.03</v>
      </c>
      <c r="J7246">
        <v>0.9</v>
      </c>
      <c r="K7246">
        <v>0.9</v>
      </c>
      <c r="L7246">
        <v>0.22</v>
      </c>
      <c r="M7246">
        <v>0.873</v>
      </c>
      <c r="N7246">
        <v>0.12</v>
      </c>
    </row>
    <row r="7247" spans="1:14" x14ac:dyDescent="0.25">
      <c r="A7247" t="s">
        <v>12918</v>
      </c>
      <c r="B7247" t="s">
        <v>12919</v>
      </c>
      <c r="C7247" s="1" t="str">
        <f>HYPERLINK("http://www.genecards.org/cgi-bin/carddisp.pl?gene=ARIH2","GeneCards")</f>
        <v>GeneCards</v>
      </c>
      <c r="D7247" s="1" t="str">
        <f>HYPERLINK("http://genome-euro.ucsc.edu/cgi-bin/hgTracks?position=216008_s_at","UCSC")</f>
        <v>UCSC</v>
      </c>
      <c r="E7247" s="1" t="str">
        <f>HYPERLINK("http://www.ncbi.nlm.nih.gov/gene/?term=ARIH2","NCBI")</f>
        <v>NCBI</v>
      </c>
      <c r="F7247">
        <v>9.8000000000000004E-2</v>
      </c>
      <c r="G7247">
        <v>0.23</v>
      </c>
      <c r="H7247" s="1" t="str">
        <f>HYPERLINK("http://www.weizmann.ac.il/complex/compphys/software/geview/data/figures/216008_s_at.png","Figure")</f>
        <v>Figure</v>
      </c>
      <c r="I7247">
        <v>1.1399999999999999</v>
      </c>
      <c r="J7247">
        <v>8.8999999999999996E-2</v>
      </c>
      <c r="K7247">
        <v>1.08</v>
      </c>
      <c r="L7247">
        <v>0.28999999999999998</v>
      </c>
      <c r="M7247">
        <v>0.94699999999999995</v>
      </c>
      <c r="N7247">
        <v>0.59</v>
      </c>
    </row>
    <row r="7248" spans="1:14" x14ac:dyDescent="0.25">
      <c r="A7248" t="s">
        <v>12920</v>
      </c>
      <c r="B7248" t="s">
        <v>12921</v>
      </c>
      <c r="C7248" s="1" t="str">
        <f>HYPERLINK("http://www.genecards.org/cgi-bin/carddisp.pl?gene=VCAN","GeneCards")</f>
        <v>GeneCards</v>
      </c>
      <c r="D7248" s="1" t="str">
        <f>HYPERLINK("http://genome-euro.ucsc.edu/cgi-bin/hgTracks?position=204620_s_at","UCSC")</f>
        <v>UCSC</v>
      </c>
      <c r="E7248" s="1" t="str">
        <f>HYPERLINK("http://www.ncbi.nlm.nih.gov/gene/?term=VCAN","NCBI")</f>
        <v>NCBI</v>
      </c>
      <c r="F7248">
        <v>9.8000000000000004E-2</v>
      </c>
      <c r="G7248">
        <v>0.23</v>
      </c>
      <c r="H7248" s="1" t="str">
        <f>HYPERLINK("http://www.weizmann.ac.il/complex/compphys/software/geview/data/figures/204620_s_at.png","Figure")</f>
        <v>Figure</v>
      </c>
      <c r="I7248">
        <v>1.17</v>
      </c>
      <c r="J7248">
        <v>0.16</v>
      </c>
      <c r="K7248">
        <v>0.99</v>
      </c>
      <c r="L7248">
        <v>0.99</v>
      </c>
      <c r="M7248">
        <v>0.84699999999999998</v>
      </c>
      <c r="N7248">
        <v>0.1</v>
      </c>
    </row>
    <row r="7249" spans="1:14" x14ac:dyDescent="0.25">
      <c r="A7249" t="s">
        <v>12922</v>
      </c>
      <c r="B7249" t="s">
        <v>12923</v>
      </c>
      <c r="C7249" s="1" t="str">
        <f>HYPERLINK("http://www.genecards.org/cgi-bin/carddisp.pl?gene=FOXJ1","GeneCards")</f>
        <v>GeneCards</v>
      </c>
      <c r="D7249" s="1" t="str">
        <f>HYPERLINK("http://genome-euro.ucsc.edu/cgi-bin/hgTracks?position=205906_at","UCSC")</f>
        <v>UCSC</v>
      </c>
      <c r="E7249" s="1" t="str">
        <f>HYPERLINK("http://www.ncbi.nlm.nih.gov/gene/?term=FOXJ1","NCBI")</f>
        <v>NCBI</v>
      </c>
      <c r="F7249">
        <v>9.8000000000000004E-2</v>
      </c>
      <c r="G7249">
        <v>0.23</v>
      </c>
      <c r="H7249" s="1" t="str">
        <f>HYPERLINK("http://www.weizmann.ac.il/complex/compphys/software/geview/data/figures/205906_at.png","Figure")</f>
        <v>Figure</v>
      </c>
      <c r="I7249">
        <v>1.27</v>
      </c>
      <c r="J7249">
        <v>8.3000000000000004E-2</v>
      </c>
      <c r="K7249">
        <v>1.1000000000000001</v>
      </c>
      <c r="L7249">
        <v>0.56999999999999995</v>
      </c>
      <c r="M7249">
        <v>0.86199999999999999</v>
      </c>
      <c r="N7249">
        <v>0.3</v>
      </c>
    </row>
    <row r="7250" spans="1:14" x14ac:dyDescent="0.25">
      <c r="A7250" t="s">
        <v>12924</v>
      </c>
      <c r="B7250" t="s">
        <v>12925</v>
      </c>
      <c r="C7250" s="1" t="str">
        <f>HYPERLINK("http://www.genecards.org/cgi-bin/carddisp.pl?gene=NDUFB11","GeneCards")</f>
        <v>GeneCards</v>
      </c>
      <c r="D7250" s="1" t="str">
        <f>HYPERLINK("http://genome-euro.ucsc.edu/cgi-bin/hgTracks?position=218320_s_at","UCSC")</f>
        <v>UCSC</v>
      </c>
      <c r="E7250" s="1" t="str">
        <f>HYPERLINK("http://www.ncbi.nlm.nih.gov/gene/?term=NDUFB11","NCBI")</f>
        <v>NCBI</v>
      </c>
      <c r="F7250">
        <v>9.8000000000000004E-2</v>
      </c>
      <c r="G7250">
        <v>0.23</v>
      </c>
      <c r="H7250" s="1" t="str">
        <f>HYPERLINK("http://www.weizmann.ac.il/complex/compphys/software/geview/data/figures/218320_s_at.png","Figure")</f>
        <v>Figure</v>
      </c>
      <c r="I7250">
        <v>0.83199999999999996</v>
      </c>
      <c r="J7250">
        <v>0.47</v>
      </c>
      <c r="K7250">
        <v>1.1599999999999999</v>
      </c>
      <c r="L7250">
        <v>0.52</v>
      </c>
      <c r="M7250">
        <v>1.39</v>
      </c>
      <c r="N7250">
        <v>8.4000000000000005E-2</v>
      </c>
    </row>
    <row r="7251" spans="1:14" x14ac:dyDescent="0.25">
      <c r="A7251" t="s">
        <v>12926</v>
      </c>
      <c r="B7251" t="s">
        <v>12927</v>
      </c>
      <c r="C7251" s="1" t="str">
        <f>HYPERLINK("http://www.genecards.org/cgi-bin/carddisp.pl?gene=LY9","GeneCards")</f>
        <v>GeneCards</v>
      </c>
      <c r="D7251" s="1" t="str">
        <f>HYPERLINK("http://genome-euro.ucsc.edu/cgi-bin/hgTracks?position=215967_s_at","UCSC")</f>
        <v>UCSC</v>
      </c>
      <c r="E7251" s="1" t="str">
        <f>HYPERLINK("http://www.ncbi.nlm.nih.gov/gene/?term=LY9","NCBI")</f>
        <v>NCBI</v>
      </c>
      <c r="F7251">
        <v>9.8000000000000004E-2</v>
      </c>
      <c r="G7251">
        <v>0.23</v>
      </c>
      <c r="H7251" s="1" t="str">
        <f>HYPERLINK("http://www.weizmann.ac.il/complex/compphys/software/geview/data/figures/215967_s_at.png","Figure")</f>
        <v>Figure</v>
      </c>
      <c r="I7251">
        <v>1.1499999999999999</v>
      </c>
      <c r="J7251">
        <v>0.47</v>
      </c>
      <c r="K7251">
        <v>0.89100000000000001</v>
      </c>
      <c r="L7251">
        <v>0.51</v>
      </c>
      <c r="M7251">
        <v>0.77500000000000002</v>
      </c>
      <c r="N7251">
        <v>8.4000000000000005E-2</v>
      </c>
    </row>
    <row r="7252" spans="1:14" x14ac:dyDescent="0.25">
      <c r="A7252" t="s">
        <v>12928</v>
      </c>
      <c r="B7252" t="s">
        <v>12929</v>
      </c>
      <c r="C7252" s="1" t="str">
        <f>HYPERLINK("http://www.genecards.org/cgi-bin/carddisp.pl?gene=TAOK2","GeneCards")</f>
        <v>GeneCards</v>
      </c>
      <c r="D7252" s="1" t="str">
        <f>HYPERLINK("http://genome-euro.ucsc.edu/cgi-bin/hgTracks?position=204878_s_at","UCSC")</f>
        <v>UCSC</v>
      </c>
      <c r="E7252" s="1" t="str">
        <f>HYPERLINK("http://www.ncbi.nlm.nih.gov/gene/?term=TAOK2","NCBI")</f>
        <v>NCBI</v>
      </c>
      <c r="F7252">
        <v>9.8000000000000004E-2</v>
      </c>
      <c r="G7252">
        <v>0.23</v>
      </c>
      <c r="H7252" s="1" t="str">
        <f>HYPERLINK("http://www.weizmann.ac.il/complex/compphys/software/geview/data/figures/204878_s_at.png","Figure")</f>
        <v>Figure</v>
      </c>
      <c r="I7252">
        <v>1.4</v>
      </c>
      <c r="J7252">
        <v>0.11</v>
      </c>
      <c r="K7252">
        <v>1.28</v>
      </c>
      <c r="L7252">
        <v>0.19</v>
      </c>
      <c r="M7252">
        <v>0.91700000000000004</v>
      </c>
      <c r="N7252">
        <v>0.82</v>
      </c>
    </row>
    <row r="7253" spans="1:14" x14ac:dyDescent="0.25">
      <c r="A7253" t="s">
        <v>12930</v>
      </c>
      <c r="B7253" t="s">
        <v>12065</v>
      </c>
      <c r="C7253" s="1" t="str">
        <f>HYPERLINK("http://www.genecards.org/cgi-bin/carddisp.pl?gene=PSMD1","GeneCards")</f>
        <v>GeneCards</v>
      </c>
      <c r="D7253" s="1" t="str">
        <f>HYPERLINK("http://genome-euro.ucsc.edu/cgi-bin/hgTracks?position=201198_s_at","UCSC")</f>
        <v>UCSC</v>
      </c>
      <c r="E7253" s="1" t="str">
        <f>HYPERLINK("http://www.ncbi.nlm.nih.gov/gene/?term=PSMD1","NCBI")</f>
        <v>NCBI</v>
      </c>
      <c r="F7253">
        <v>9.8000000000000004E-2</v>
      </c>
      <c r="G7253">
        <v>0.23</v>
      </c>
      <c r="H7253" s="1" t="str">
        <f>HYPERLINK("http://www.weizmann.ac.il/complex/compphys/software/geview/data/figures/201198_s_at.png","Figure")</f>
        <v>Figure</v>
      </c>
      <c r="I7253">
        <v>1.1299999999999999</v>
      </c>
      <c r="J7253">
        <v>0.69</v>
      </c>
      <c r="K7253">
        <v>1.34</v>
      </c>
      <c r="L7253">
        <v>8.6999999999999994E-2</v>
      </c>
      <c r="M7253">
        <v>1.19</v>
      </c>
      <c r="N7253">
        <v>0.43</v>
      </c>
    </row>
    <row r="7254" spans="1:14" x14ac:dyDescent="0.25">
      <c r="A7254" t="s">
        <v>12931</v>
      </c>
      <c r="B7254" t="s">
        <v>12932</v>
      </c>
      <c r="C7254" s="1" t="str">
        <f>HYPERLINK("http://www.genecards.org/cgi-bin/carddisp.pl?gene=KIAA0141","GeneCards")</f>
        <v>GeneCards</v>
      </c>
      <c r="D7254" s="1" t="str">
        <f>HYPERLINK("http://genome-euro.ucsc.edu/cgi-bin/hgTracks?position=201978_s_at","UCSC")</f>
        <v>UCSC</v>
      </c>
      <c r="E7254" s="1" t="str">
        <f>HYPERLINK("http://www.ncbi.nlm.nih.gov/gene/?term=KIAA0141","NCBI")</f>
        <v>NCBI</v>
      </c>
      <c r="F7254">
        <v>9.8000000000000004E-2</v>
      </c>
      <c r="G7254">
        <v>0.23</v>
      </c>
      <c r="H7254" s="1" t="str">
        <f>HYPERLINK("http://www.weizmann.ac.il/complex/compphys/software/geview/data/figures/201978_s_at.png","Figure")</f>
        <v>Figure</v>
      </c>
      <c r="I7254">
        <v>1.27</v>
      </c>
      <c r="J7254">
        <v>8.6999999999999994E-2</v>
      </c>
      <c r="K7254">
        <v>1.1499999999999999</v>
      </c>
      <c r="L7254">
        <v>0.31</v>
      </c>
      <c r="M7254">
        <v>0.90200000000000002</v>
      </c>
      <c r="N7254">
        <v>0.55000000000000004</v>
      </c>
    </row>
    <row r="7255" spans="1:14" x14ac:dyDescent="0.25">
      <c r="A7255" t="s">
        <v>12933</v>
      </c>
      <c r="B7255" t="s">
        <v>12934</v>
      </c>
      <c r="C7255" s="1" t="str">
        <f>HYPERLINK("http://www.genecards.org/cgi-bin/carddisp.pl?gene=LY75","GeneCards")</f>
        <v>GeneCards</v>
      </c>
      <c r="D7255" s="1" t="str">
        <f>HYPERLINK("http://genome-euro.ucsc.edu/cgi-bin/hgTracks?position=205668_at","UCSC")</f>
        <v>UCSC</v>
      </c>
      <c r="E7255" s="1" t="str">
        <f>HYPERLINK("http://www.ncbi.nlm.nih.gov/gene/?term=LY75","NCBI")</f>
        <v>NCBI</v>
      </c>
      <c r="F7255">
        <v>9.8000000000000004E-2</v>
      </c>
      <c r="G7255">
        <v>0.23</v>
      </c>
      <c r="H7255" s="1" t="str">
        <f>HYPERLINK("http://www.weizmann.ac.il/complex/compphys/software/geview/data/figures/205668_at.png","Figure")</f>
        <v>Figure</v>
      </c>
      <c r="I7255">
        <v>0.52400000000000002</v>
      </c>
      <c r="J7255">
        <v>0.23</v>
      </c>
      <c r="K7255">
        <v>1.18</v>
      </c>
      <c r="L7255">
        <v>0.87</v>
      </c>
      <c r="M7255">
        <v>2.2599999999999998</v>
      </c>
      <c r="N7255">
        <v>8.7999999999999995E-2</v>
      </c>
    </row>
    <row r="7256" spans="1:14" x14ac:dyDescent="0.25">
      <c r="A7256" t="s">
        <v>12935</v>
      </c>
      <c r="B7256" t="s">
        <v>12936</v>
      </c>
      <c r="C7256" s="1" t="str">
        <f>HYPERLINK("http://www.genecards.org/cgi-bin/carddisp.pl?gene=ERI2","GeneCards")</f>
        <v>GeneCards</v>
      </c>
      <c r="D7256" s="1" t="str">
        <f>HYPERLINK("http://genome-euro.ucsc.edu/cgi-bin/hgTracks?position=213365_at","UCSC")</f>
        <v>UCSC</v>
      </c>
      <c r="E7256" s="1" t="str">
        <f>HYPERLINK("http://www.ncbi.nlm.nih.gov/gene/?term=ERI2","NCBI")</f>
        <v>NCBI</v>
      </c>
      <c r="F7256">
        <v>9.8000000000000004E-2</v>
      </c>
      <c r="G7256">
        <v>0.23</v>
      </c>
      <c r="H7256" s="1" t="str">
        <f>HYPERLINK("http://www.weizmann.ac.il/complex/compphys/software/geview/data/figures/213365_at.png","Figure")</f>
        <v>Figure</v>
      </c>
      <c r="I7256">
        <v>0.84399999999999997</v>
      </c>
      <c r="J7256">
        <v>0.36</v>
      </c>
      <c r="K7256">
        <v>1.1000000000000001</v>
      </c>
      <c r="L7256">
        <v>0.65</v>
      </c>
      <c r="M7256">
        <v>1.3</v>
      </c>
      <c r="N7256">
        <v>8.2000000000000003E-2</v>
      </c>
    </row>
    <row r="7257" spans="1:14" x14ac:dyDescent="0.25">
      <c r="A7257" t="s">
        <v>12937</v>
      </c>
      <c r="B7257" t="s">
        <v>12938</v>
      </c>
      <c r="C7257" s="1" t="str">
        <f>HYPERLINK("http://www.genecards.org/cgi-bin/carddisp.pl?gene=ARHGEF17","GeneCards")</f>
        <v>GeneCards</v>
      </c>
      <c r="D7257" s="1" t="str">
        <f>HYPERLINK("http://genome-euro.ucsc.edu/cgi-bin/hgTracks?position=203756_at","UCSC")</f>
        <v>UCSC</v>
      </c>
      <c r="E7257" s="1" t="str">
        <f>HYPERLINK("http://www.ncbi.nlm.nih.gov/gene/?term=ARHGEF17","NCBI")</f>
        <v>NCBI</v>
      </c>
      <c r="F7257">
        <v>9.8000000000000004E-2</v>
      </c>
      <c r="G7257">
        <v>0.23</v>
      </c>
      <c r="H7257" s="1" t="str">
        <f>HYPERLINK("http://www.weizmann.ac.il/complex/compphys/software/geview/data/figures/203756_at.png","Figure")</f>
        <v>Figure</v>
      </c>
      <c r="I7257">
        <v>1.19</v>
      </c>
      <c r="J7257">
        <v>0.46</v>
      </c>
      <c r="K7257">
        <v>0.87</v>
      </c>
      <c r="L7257">
        <v>0.52</v>
      </c>
      <c r="M7257">
        <v>0.73</v>
      </c>
      <c r="N7257">
        <v>8.4000000000000005E-2</v>
      </c>
    </row>
    <row r="7258" spans="1:14" x14ac:dyDescent="0.25">
      <c r="A7258" t="s">
        <v>12939</v>
      </c>
      <c r="B7258" t="s">
        <v>12412</v>
      </c>
      <c r="C7258" s="1" t="str">
        <f>HYPERLINK("http://www.genecards.org/cgi-bin/carddisp.pl?gene=PFKL","GeneCards")</f>
        <v>GeneCards</v>
      </c>
      <c r="D7258" s="1" t="str">
        <f>HYPERLINK("http://genome-euro.ucsc.edu/cgi-bin/hgTracks?position=211065_x_at","UCSC")</f>
        <v>UCSC</v>
      </c>
      <c r="E7258" s="1" t="str">
        <f>HYPERLINK("http://www.ncbi.nlm.nih.gov/gene/?term=PFKL","NCBI")</f>
        <v>NCBI</v>
      </c>
      <c r="F7258">
        <v>9.8000000000000004E-2</v>
      </c>
      <c r="G7258">
        <v>0.23</v>
      </c>
      <c r="H7258" s="1" t="str">
        <f>HYPERLINK("http://www.weizmann.ac.il/complex/compphys/software/geview/data/figures/211065_x_at.png","Figure")</f>
        <v>Figure</v>
      </c>
      <c r="I7258">
        <v>1.26</v>
      </c>
      <c r="J7258">
        <v>0.27</v>
      </c>
      <c r="K7258">
        <v>1.33</v>
      </c>
      <c r="L7258">
        <v>9.0999999999999998E-2</v>
      </c>
      <c r="M7258">
        <v>1.05</v>
      </c>
      <c r="N7258">
        <v>0.92</v>
      </c>
    </row>
    <row r="7259" spans="1:14" x14ac:dyDescent="0.25">
      <c r="A7259" t="s">
        <v>12940</v>
      </c>
      <c r="B7259" t="s">
        <v>12941</v>
      </c>
      <c r="C7259" s="1" t="str">
        <f>HYPERLINK("http://www.genecards.org/cgi-bin/carddisp.pl?gene=GAK","GeneCards")</f>
        <v>GeneCards</v>
      </c>
      <c r="D7259" s="1" t="str">
        <f>HYPERLINK("http://genome-euro.ucsc.edu/cgi-bin/hgTracks?position=40225_at","UCSC")</f>
        <v>UCSC</v>
      </c>
      <c r="E7259" s="1" t="str">
        <f>HYPERLINK("http://www.ncbi.nlm.nih.gov/gene/?term=GAK","NCBI")</f>
        <v>NCBI</v>
      </c>
      <c r="F7259">
        <v>9.8000000000000004E-2</v>
      </c>
      <c r="G7259">
        <v>0.23</v>
      </c>
      <c r="H7259" s="1" t="str">
        <f>HYPERLINK("http://www.weizmann.ac.il/complex/compphys/software/geview/data/figures/40225_at.png","Figure")</f>
        <v>Figure</v>
      </c>
      <c r="I7259">
        <v>0.86499999999999999</v>
      </c>
      <c r="J7259">
        <v>0.77</v>
      </c>
      <c r="K7259">
        <v>0.66</v>
      </c>
      <c r="L7259">
        <v>9.1999999999999998E-2</v>
      </c>
      <c r="M7259">
        <v>0.76200000000000001</v>
      </c>
      <c r="N7259">
        <v>0.37</v>
      </c>
    </row>
    <row r="7260" spans="1:14" x14ac:dyDescent="0.25">
      <c r="A7260" t="s">
        <v>12942</v>
      </c>
      <c r="B7260" t="s">
        <v>12943</v>
      </c>
      <c r="C7260" s="1" t="str">
        <f>HYPERLINK("http://www.genecards.org/cgi-bin/carddisp.pl?gene=YTHDC2","GeneCards")</f>
        <v>GeneCards</v>
      </c>
      <c r="D7260" s="1" t="str">
        <f>HYPERLINK("http://genome-euro.ucsc.edu/cgi-bin/hgTracks?position=213077_at","UCSC")</f>
        <v>UCSC</v>
      </c>
      <c r="E7260" s="1" t="str">
        <f>HYPERLINK("http://www.ncbi.nlm.nih.gov/gene/?term=YTHDC2","NCBI")</f>
        <v>NCBI</v>
      </c>
      <c r="F7260">
        <v>9.8000000000000004E-2</v>
      </c>
      <c r="G7260">
        <v>0.23</v>
      </c>
      <c r="H7260" s="1" t="str">
        <f>HYPERLINK("http://www.weizmann.ac.il/complex/compphys/software/geview/data/figures/213077_at.png","Figure")</f>
        <v>Figure</v>
      </c>
      <c r="I7260">
        <v>0.70899999999999996</v>
      </c>
      <c r="J7260">
        <v>0.53</v>
      </c>
      <c r="K7260">
        <v>0.52500000000000002</v>
      </c>
      <c r="L7260">
        <v>8.3000000000000004E-2</v>
      </c>
      <c r="M7260">
        <v>0.74</v>
      </c>
      <c r="N7260">
        <v>0.56999999999999995</v>
      </c>
    </row>
    <row r="7261" spans="1:14" x14ac:dyDescent="0.25">
      <c r="A7261" t="s">
        <v>12944</v>
      </c>
      <c r="B7261" t="s">
        <v>10060</v>
      </c>
      <c r="C7261" s="1" t="str">
        <f>HYPERLINK("http://www.genecards.org/cgi-bin/carddisp.pl?gene=AQR","GeneCards")</f>
        <v>GeneCards</v>
      </c>
      <c r="D7261" s="1" t="str">
        <f>HYPERLINK("http://genome-euro.ucsc.edu/cgi-bin/hgTracks?position=212584_at","UCSC")</f>
        <v>UCSC</v>
      </c>
      <c r="E7261" s="1" t="str">
        <f>HYPERLINK("http://www.ncbi.nlm.nih.gov/gene/?term=AQR","NCBI")</f>
        <v>NCBI</v>
      </c>
      <c r="F7261">
        <v>9.8000000000000004E-2</v>
      </c>
      <c r="G7261">
        <v>0.23</v>
      </c>
      <c r="H7261" s="1" t="str">
        <f>HYPERLINK("http://www.weizmann.ac.il/complex/compphys/software/geview/data/figures/212584_at.png","Figure")</f>
        <v>Figure</v>
      </c>
      <c r="I7261">
        <v>1.3</v>
      </c>
      <c r="J7261">
        <v>8.5000000000000006E-2</v>
      </c>
      <c r="K7261">
        <v>1.1000000000000001</v>
      </c>
      <c r="L7261">
        <v>0.61</v>
      </c>
      <c r="M7261">
        <v>0.84299999999999997</v>
      </c>
      <c r="N7261">
        <v>0.27</v>
      </c>
    </row>
    <row r="7262" spans="1:14" x14ac:dyDescent="0.25">
      <c r="A7262" t="s">
        <v>12945</v>
      </c>
      <c r="B7262" t="s">
        <v>12946</v>
      </c>
      <c r="C7262" s="1" t="str">
        <f>HYPERLINK("http://www.genecards.org/cgi-bin/carddisp.pl?gene=TMC6","GeneCards")</f>
        <v>GeneCards</v>
      </c>
      <c r="D7262" s="1" t="str">
        <f>HYPERLINK("http://genome-euro.ucsc.edu/cgi-bin/hgTracks?position=214958_s_at","UCSC")</f>
        <v>UCSC</v>
      </c>
      <c r="E7262" s="1" t="str">
        <f>HYPERLINK("http://www.ncbi.nlm.nih.gov/gene/?term=TMC6","NCBI")</f>
        <v>NCBI</v>
      </c>
      <c r="F7262">
        <v>9.8000000000000004E-2</v>
      </c>
      <c r="G7262">
        <v>0.23</v>
      </c>
      <c r="H7262" s="1" t="str">
        <f>HYPERLINK("http://www.weizmann.ac.il/complex/compphys/software/geview/data/figures/214958_s_at.png","Figure")</f>
        <v>Figure</v>
      </c>
      <c r="I7262">
        <v>0.82499999999999996</v>
      </c>
      <c r="J7262">
        <v>0.31</v>
      </c>
      <c r="K7262">
        <v>0.77500000000000002</v>
      </c>
      <c r="L7262">
        <v>8.6999999999999994E-2</v>
      </c>
      <c r="M7262">
        <v>0.94</v>
      </c>
      <c r="N7262">
        <v>0.86</v>
      </c>
    </row>
    <row r="7263" spans="1:14" x14ac:dyDescent="0.25">
      <c r="A7263" t="s">
        <v>12947</v>
      </c>
      <c r="B7263" t="s">
        <v>12948</v>
      </c>
      <c r="C7263" s="1" t="str">
        <f>HYPERLINK("http://www.genecards.org/cgi-bin/carddisp.pl?gene=PHLPP2","GeneCards")</f>
        <v>GeneCards</v>
      </c>
      <c r="D7263" s="1" t="str">
        <f>HYPERLINK("http://genome-euro.ucsc.edu/cgi-bin/hgTracks?position=214944_at","UCSC")</f>
        <v>UCSC</v>
      </c>
      <c r="E7263" s="1" t="str">
        <f>HYPERLINK("http://www.ncbi.nlm.nih.gov/gene/?term=PHLPP2","NCBI")</f>
        <v>NCBI</v>
      </c>
      <c r="F7263">
        <v>9.8000000000000004E-2</v>
      </c>
      <c r="G7263">
        <v>0.23</v>
      </c>
      <c r="H7263" s="1" t="str">
        <f>HYPERLINK("http://www.weizmann.ac.il/complex/compphys/software/geview/data/figures/214944_at.png","Figure")</f>
        <v>Figure</v>
      </c>
      <c r="I7263">
        <v>1.1599999999999999</v>
      </c>
      <c r="J7263">
        <v>8.2000000000000003E-2</v>
      </c>
      <c r="K7263">
        <v>1.07</v>
      </c>
      <c r="L7263">
        <v>0.47</v>
      </c>
      <c r="M7263">
        <v>0.92100000000000004</v>
      </c>
      <c r="N7263">
        <v>0.37</v>
      </c>
    </row>
    <row r="7264" spans="1:14" x14ac:dyDescent="0.25">
      <c r="A7264" t="s">
        <v>12949</v>
      </c>
      <c r="B7264" t="s">
        <v>5078</v>
      </c>
      <c r="C7264" s="1" t="str">
        <f>HYPERLINK("http://www.genecards.org/cgi-bin/carddisp.pl?gene=EGFR","GeneCards")</f>
        <v>GeneCards</v>
      </c>
      <c r="D7264" s="1" t="str">
        <f>HYPERLINK("http://genome-euro.ucsc.edu/cgi-bin/hgTracks?position=201984_s_at","UCSC")</f>
        <v>UCSC</v>
      </c>
      <c r="E7264" s="1" t="str">
        <f>HYPERLINK("http://www.ncbi.nlm.nih.gov/gene/?term=EGFR","NCBI")</f>
        <v>NCBI</v>
      </c>
      <c r="F7264">
        <v>9.8000000000000004E-2</v>
      </c>
      <c r="G7264">
        <v>0.23</v>
      </c>
      <c r="H7264" s="1" t="str">
        <f>HYPERLINK("http://www.weizmann.ac.il/complex/compphys/software/geview/data/figures/201984_s_at.png","Figure")</f>
        <v>Figure</v>
      </c>
      <c r="I7264">
        <v>1.08</v>
      </c>
      <c r="J7264">
        <v>0.45</v>
      </c>
      <c r="K7264">
        <v>0.94299999999999995</v>
      </c>
      <c r="L7264">
        <v>0.54</v>
      </c>
      <c r="M7264">
        <v>0.872</v>
      </c>
      <c r="N7264">
        <v>8.3000000000000004E-2</v>
      </c>
    </row>
    <row r="7265" spans="1:14" x14ac:dyDescent="0.25">
      <c r="A7265" t="s">
        <v>12950</v>
      </c>
      <c r="B7265" t="s">
        <v>12951</v>
      </c>
      <c r="C7265" s="1" t="str">
        <f>HYPERLINK("http://www.genecards.org/cgi-bin/carddisp.pl?gene=MRPL4","GeneCards")</f>
        <v>GeneCards</v>
      </c>
      <c r="D7265" s="1" t="str">
        <f>HYPERLINK("http://genome-euro.ucsc.edu/cgi-bin/hgTracks?position=218105_s_at","UCSC")</f>
        <v>UCSC</v>
      </c>
      <c r="E7265" s="1" t="str">
        <f>HYPERLINK("http://www.ncbi.nlm.nih.gov/gene/?term=MRPL4","NCBI")</f>
        <v>NCBI</v>
      </c>
      <c r="F7265">
        <v>9.8000000000000004E-2</v>
      </c>
      <c r="G7265">
        <v>0.23</v>
      </c>
      <c r="H7265" s="1" t="str">
        <f>HYPERLINK("http://www.weizmann.ac.il/complex/compphys/software/geview/data/figures/218105_s_at.png","Figure")</f>
        <v>Figure</v>
      </c>
      <c r="I7265">
        <v>1.1200000000000001</v>
      </c>
      <c r="J7265">
        <v>0.34</v>
      </c>
      <c r="K7265">
        <v>1.17</v>
      </c>
      <c r="L7265">
        <v>8.5000000000000006E-2</v>
      </c>
      <c r="M7265">
        <v>1.05</v>
      </c>
      <c r="N7265">
        <v>0.81</v>
      </c>
    </row>
    <row r="7266" spans="1:14" x14ac:dyDescent="0.25">
      <c r="A7266" t="s">
        <v>12952</v>
      </c>
      <c r="B7266" t="s">
        <v>12953</v>
      </c>
      <c r="C7266" s="1" t="str">
        <f>HYPERLINK("http://www.genecards.org/cgi-bin/carddisp.pl?gene=DPH5","GeneCards")</f>
        <v>GeneCards</v>
      </c>
      <c r="D7266" s="1" t="str">
        <f>HYPERLINK("http://genome-euro.ucsc.edu/cgi-bin/hgTracks?position=219590_x_at","UCSC")</f>
        <v>UCSC</v>
      </c>
      <c r="E7266" s="1" t="str">
        <f>HYPERLINK("http://www.ncbi.nlm.nih.gov/gene/?term=DPH5","NCBI")</f>
        <v>NCBI</v>
      </c>
      <c r="F7266">
        <v>9.8000000000000004E-2</v>
      </c>
      <c r="G7266">
        <v>0.23</v>
      </c>
      <c r="H7266" s="1" t="str">
        <f>HYPERLINK("http://www.weizmann.ac.il/complex/compphys/software/geview/data/figures/219590_x_at.png","Figure")</f>
        <v>Figure</v>
      </c>
      <c r="I7266">
        <v>1.19</v>
      </c>
      <c r="J7266">
        <v>0.37</v>
      </c>
      <c r="K7266">
        <v>1.3</v>
      </c>
      <c r="L7266">
        <v>8.4000000000000005E-2</v>
      </c>
      <c r="M7266">
        <v>1.0900000000000001</v>
      </c>
      <c r="N7266">
        <v>0.77</v>
      </c>
    </row>
    <row r="7267" spans="1:14" x14ac:dyDescent="0.25">
      <c r="A7267" t="s">
        <v>12954</v>
      </c>
      <c r="B7267" t="s">
        <v>12955</v>
      </c>
      <c r="C7267" s="1" t="str">
        <f>HYPERLINK("http://www.genecards.org/cgi-bin/carddisp.pl?gene=PHTF1","GeneCards")</f>
        <v>GeneCards</v>
      </c>
      <c r="D7267" s="1" t="str">
        <f>HYPERLINK("http://genome-euro.ucsc.edu/cgi-bin/hgTracks?position=205702_at","UCSC")</f>
        <v>UCSC</v>
      </c>
      <c r="E7267" s="1" t="str">
        <f>HYPERLINK("http://www.ncbi.nlm.nih.gov/gene/?term=PHTF1","NCBI")</f>
        <v>NCBI</v>
      </c>
      <c r="F7267">
        <v>9.8000000000000004E-2</v>
      </c>
      <c r="G7267">
        <v>0.23</v>
      </c>
      <c r="H7267" s="1" t="str">
        <f>HYPERLINK("http://www.weizmann.ac.il/complex/compphys/software/geview/data/figures/205702_at.png","Figure")</f>
        <v>Figure</v>
      </c>
      <c r="I7267">
        <v>0.79600000000000004</v>
      </c>
      <c r="J7267">
        <v>0.25</v>
      </c>
      <c r="K7267">
        <v>1.07</v>
      </c>
      <c r="L7267">
        <v>0.84</v>
      </c>
      <c r="M7267">
        <v>1.34</v>
      </c>
      <c r="N7267">
        <v>8.6999999999999994E-2</v>
      </c>
    </row>
    <row r="7268" spans="1:14" x14ac:dyDescent="0.25">
      <c r="A7268" t="s">
        <v>12956</v>
      </c>
      <c r="B7268" t="s">
        <v>9157</v>
      </c>
      <c r="C7268" s="1" t="str">
        <f>HYPERLINK("http://www.genecards.org/cgi-bin/carddisp.pl?gene=GRIN1","GeneCards")</f>
        <v>GeneCards</v>
      </c>
      <c r="D7268" s="1" t="str">
        <f>HYPERLINK("http://genome-euro.ucsc.edu/cgi-bin/hgTracks?position=210782_x_at","UCSC")</f>
        <v>UCSC</v>
      </c>
      <c r="E7268" s="1" t="str">
        <f>HYPERLINK("http://www.ncbi.nlm.nih.gov/gene/?term=GRIN1","NCBI")</f>
        <v>NCBI</v>
      </c>
      <c r="F7268">
        <v>9.8000000000000004E-2</v>
      </c>
      <c r="G7268">
        <v>0.23</v>
      </c>
      <c r="H7268" s="1" t="str">
        <f>HYPERLINK("http://www.weizmann.ac.il/complex/compphys/software/geview/data/figures/210782_x_at.png","Figure")</f>
        <v>Figure</v>
      </c>
      <c r="I7268">
        <v>1.34</v>
      </c>
      <c r="J7268">
        <v>0.15</v>
      </c>
      <c r="K7268">
        <v>1.31</v>
      </c>
      <c r="L7268">
        <v>0.13</v>
      </c>
      <c r="M7268">
        <v>0.97</v>
      </c>
      <c r="N7268">
        <v>0.97</v>
      </c>
    </row>
    <row r="7269" spans="1:14" x14ac:dyDescent="0.25">
      <c r="A7269" t="s">
        <v>12957</v>
      </c>
      <c r="B7269" t="s">
        <v>5942</v>
      </c>
      <c r="C7269" s="1" t="str">
        <f>HYPERLINK("http://www.genecards.org/cgi-bin/carddisp.pl?gene=USP10","GeneCards")</f>
        <v>GeneCards</v>
      </c>
      <c r="D7269" s="1" t="str">
        <f>HYPERLINK("http://genome-euro.ucsc.edu/cgi-bin/hgTracks?position=209137_s_at","UCSC")</f>
        <v>UCSC</v>
      </c>
      <c r="E7269" s="1" t="str">
        <f>HYPERLINK("http://www.ncbi.nlm.nih.gov/gene/?term=USP10","NCBI")</f>
        <v>NCBI</v>
      </c>
      <c r="F7269">
        <v>9.8000000000000004E-2</v>
      </c>
      <c r="G7269">
        <v>0.23</v>
      </c>
      <c r="H7269" s="1" t="str">
        <f>HYPERLINK("http://www.weizmann.ac.il/complex/compphys/software/geview/data/figures/209137_s_at.png","Figure")</f>
        <v>Figure</v>
      </c>
      <c r="I7269">
        <v>1.21</v>
      </c>
      <c r="J7269">
        <v>0.4</v>
      </c>
      <c r="K7269">
        <v>1.34</v>
      </c>
      <c r="L7269">
        <v>8.3000000000000004E-2</v>
      </c>
      <c r="M7269">
        <v>1.1100000000000001</v>
      </c>
      <c r="N7269">
        <v>0.72</v>
      </c>
    </row>
    <row r="7270" spans="1:14" x14ac:dyDescent="0.25">
      <c r="A7270" t="s">
        <v>12958</v>
      </c>
      <c r="B7270" t="s">
        <v>11316</v>
      </c>
      <c r="C7270" s="1" t="str">
        <f>HYPERLINK("http://www.genecards.org/cgi-bin/carddisp.pl?gene=PPP2R5D","GeneCards")</f>
        <v>GeneCards</v>
      </c>
      <c r="D7270" s="1" t="str">
        <f>HYPERLINK("http://genome-euro.ucsc.edu/cgi-bin/hgTracks?position=202513_s_at","UCSC")</f>
        <v>UCSC</v>
      </c>
      <c r="E7270" s="1" t="str">
        <f>HYPERLINK("http://www.ncbi.nlm.nih.gov/gene/?term=PPP2R5D","NCBI")</f>
        <v>NCBI</v>
      </c>
      <c r="F7270">
        <v>9.9000000000000005E-2</v>
      </c>
      <c r="G7270">
        <v>0.23</v>
      </c>
      <c r="H7270" s="1" t="str">
        <f>HYPERLINK("http://www.weizmann.ac.il/complex/compphys/software/geview/data/figures/202513_s_at.png","Figure")</f>
        <v>Figure</v>
      </c>
      <c r="I7270">
        <v>1.04</v>
      </c>
      <c r="J7270">
        <v>0.95</v>
      </c>
      <c r="K7270">
        <v>1.29</v>
      </c>
      <c r="L7270">
        <v>0.11</v>
      </c>
      <c r="M7270">
        <v>1.23</v>
      </c>
      <c r="N7270">
        <v>0.25</v>
      </c>
    </row>
    <row r="7271" spans="1:14" x14ac:dyDescent="0.25">
      <c r="A7271" t="s">
        <v>12959</v>
      </c>
      <c r="B7271" t="s">
        <v>1728</v>
      </c>
      <c r="C7271" s="1" t="str">
        <f>HYPERLINK("http://www.genecards.org/cgi-bin/carddisp.pl?gene=HCCS","GeneCards")</f>
        <v>GeneCards</v>
      </c>
      <c r="D7271" s="1" t="str">
        <f>HYPERLINK("http://genome-euro.ucsc.edu/cgi-bin/hgTracks?position=203746_s_at","UCSC")</f>
        <v>UCSC</v>
      </c>
      <c r="E7271" s="1" t="str">
        <f>HYPERLINK("http://www.ncbi.nlm.nih.gov/gene/?term=HCCS","NCBI")</f>
        <v>NCBI</v>
      </c>
      <c r="F7271">
        <v>9.9000000000000005E-2</v>
      </c>
      <c r="G7271">
        <v>0.23</v>
      </c>
      <c r="H7271" s="1" t="str">
        <f>HYPERLINK("http://www.weizmann.ac.il/complex/compphys/software/geview/data/figures/203746_s_at.png","Figure")</f>
        <v>Figure</v>
      </c>
      <c r="I7271">
        <v>0.73699999999999999</v>
      </c>
      <c r="J7271">
        <v>9.8000000000000004E-2</v>
      </c>
      <c r="K7271">
        <v>0.81499999999999995</v>
      </c>
      <c r="L7271">
        <v>0.23</v>
      </c>
      <c r="M7271">
        <v>1.1100000000000001</v>
      </c>
      <c r="N7271">
        <v>0.71</v>
      </c>
    </row>
    <row r="7272" spans="1:14" x14ac:dyDescent="0.25">
      <c r="A7272" t="s">
        <v>12960</v>
      </c>
      <c r="B7272" t="s">
        <v>10165</v>
      </c>
      <c r="C7272" s="1" t="str">
        <f>HYPERLINK("http://www.genecards.org/cgi-bin/carddisp.pl?gene=KCNQ1","GeneCards")</f>
        <v>GeneCards</v>
      </c>
      <c r="D7272" s="1" t="str">
        <f>HYPERLINK("http://genome-euro.ucsc.edu/cgi-bin/hgTracks?position=204487_s_at","UCSC")</f>
        <v>UCSC</v>
      </c>
      <c r="E7272" s="1" t="str">
        <f>HYPERLINK("http://www.ncbi.nlm.nih.gov/gene/?term=KCNQ1","NCBI")</f>
        <v>NCBI</v>
      </c>
      <c r="F7272">
        <v>9.9000000000000005E-2</v>
      </c>
      <c r="G7272">
        <v>0.23</v>
      </c>
      <c r="H7272" s="1" t="str">
        <f>HYPERLINK("http://www.weizmann.ac.il/complex/compphys/software/geview/data/figures/204487_s_at.png","Figure")</f>
        <v>Figure</v>
      </c>
      <c r="I7272">
        <v>0.93600000000000005</v>
      </c>
      <c r="J7272">
        <v>0.75</v>
      </c>
      <c r="K7272">
        <v>0.83199999999999996</v>
      </c>
      <c r="L7272">
        <v>9.0999999999999998E-2</v>
      </c>
      <c r="M7272">
        <v>0.89</v>
      </c>
      <c r="N7272">
        <v>0.38</v>
      </c>
    </row>
    <row r="7273" spans="1:14" x14ac:dyDescent="0.25">
      <c r="A7273" t="s">
        <v>12961</v>
      </c>
      <c r="B7273" t="s">
        <v>7978</v>
      </c>
      <c r="C7273" s="1" t="str">
        <f>HYPERLINK("http://www.genecards.org/cgi-bin/carddisp.pl?gene=KLK13","GeneCards")</f>
        <v>GeneCards</v>
      </c>
      <c r="D7273" s="1" t="str">
        <f>HYPERLINK("http://genome-euro.ucsc.edu/cgi-bin/hgTracks?position=205783_at","UCSC")</f>
        <v>UCSC</v>
      </c>
      <c r="E7273" s="1" t="str">
        <f>HYPERLINK("http://www.ncbi.nlm.nih.gov/gene/?term=KLK13","NCBI")</f>
        <v>NCBI</v>
      </c>
      <c r="F7273">
        <v>9.9000000000000005E-2</v>
      </c>
      <c r="G7273">
        <v>0.23</v>
      </c>
      <c r="H7273" s="1" t="str">
        <f>HYPERLINK("http://www.weizmann.ac.il/complex/compphys/software/geview/data/figures/205783_at.png","Figure")</f>
        <v>Figure</v>
      </c>
      <c r="I7273">
        <v>1.1000000000000001</v>
      </c>
      <c r="J7273">
        <v>0.25</v>
      </c>
      <c r="K7273">
        <v>0.97099999999999997</v>
      </c>
      <c r="L7273">
        <v>0.84</v>
      </c>
      <c r="M7273">
        <v>0.879</v>
      </c>
      <c r="N7273">
        <v>8.6999999999999994E-2</v>
      </c>
    </row>
    <row r="7274" spans="1:14" x14ac:dyDescent="0.25">
      <c r="A7274" t="s">
        <v>12962</v>
      </c>
      <c r="B7274" t="s">
        <v>12963</v>
      </c>
      <c r="C7274" s="1" t="str">
        <f>HYPERLINK("http://www.genecards.org/cgi-bin/carddisp.pl?gene=SNAPC2","GeneCards")</f>
        <v>GeneCards</v>
      </c>
      <c r="D7274" s="1" t="str">
        <f>HYPERLINK("http://genome-euro.ucsc.edu/cgi-bin/hgTracks?position=204104_at","UCSC")</f>
        <v>UCSC</v>
      </c>
      <c r="E7274" s="1" t="str">
        <f>HYPERLINK("http://www.ncbi.nlm.nih.gov/gene/?term=SNAPC2","NCBI")</f>
        <v>NCBI</v>
      </c>
      <c r="F7274">
        <v>9.9000000000000005E-2</v>
      </c>
      <c r="G7274">
        <v>0.23</v>
      </c>
      <c r="H7274" s="1" t="str">
        <f>HYPERLINK("http://www.weizmann.ac.il/complex/compphys/software/geview/data/figures/204104_at.png","Figure")</f>
        <v>Figure</v>
      </c>
      <c r="I7274">
        <v>1.47</v>
      </c>
      <c r="J7274">
        <v>8.4000000000000005E-2</v>
      </c>
      <c r="K7274">
        <v>1.1499999999999999</v>
      </c>
      <c r="L7274">
        <v>0.6</v>
      </c>
      <c r="M7274">
        <v>0.78200000000000003</v>
      </c>
      <c r="N7274">
        <v>0.28000000000000003</v>
      </c>
    </row>
    <row r="7275" spans="1:14" x14ac:dyDescent="0.25">
      <c r="A7275" t="s">
        <v>12964</v>
      </c>
      <c r="B7275" t="s">
        <v>12965</v>
      </c>
      <c r="C7275" s="1" t="str">
        <f>HYPERLINK("http://www.genecards.org/cgi-bin/carddisp.pl?gene=KIAA0509","GeneCards")</f>
        <v>GeneCards</v>
      </c>
      <c r="D7275" s="1" t="str">
        <f>HYPERLINK("http://genome-euro.ucsc.edu/cgi-bin/hgTracks?position=215480_at","UCSC")</f>
        <v>UCSC</v>
      </c>
      <c r="E7275" s="1" t="str">
        <f>HYPERLINK("http://www.ncbi.nlm.nih.gov/gene/?term=KIAA0509","NCBI")</f>
        <v>NCBI</v>
      </c>
      <c r="F7275">
        <v>9.9000000000000005E-2</v>
      </c>
      <c r="G7275">
        <v>0.23</v>
      </c>
      <c r="H7275" s="1" t="str">
        <f>HYPERLINK("http://www.weizmann.ac.il/complex/compphys/software/geview/data/figures/215480_at.png","Figure")</f>
        <v>Figure</v>
      </c>
      <c r="I7275">
        <v>1.21</v>
      </c>
      <c r="J7275">
        <v>9.1999999999999998E-2</v>
      </c>
      <c r="K7275">
        <v>1.05</v>
      </c>
      <c r="L7275">
        <v>0.77</v>
      </c>
      <c r="M7275">
        <v>0.871</v>
      </c>
      <c r="N7275">
        <v>0.21</v>
      </c>
    </row>
    <row r="7276" spans="1:14" x14ac:dyDescent="0.25">
      <c r="A7276" t="s">
        <v>12966</v>
      </c>
      <c r="B7276" t="s">
        <v>12967</v>
      </c>
      <c r="C7276" s="1" t="str">
        <f>HYPERLINK("http://www.genecards.org/cgi-bin/carddisp.pl?gene=G6PC2","GeneCards")</f>
        <v>GeneCards</v>
      </c>
      <c r="D7276" s="1" t="str">
        <f>HYPERLINK("http://genome-euro.ucsc.edu/cgi-bin/hgTracks?position=221453_at","UCSC")</f>
        <v>UCSC</v>
      </c>
      <c r="E7276" s="1" t="str">
        <f>HYPERLINK("http://www.ncbi.nlm.nih.gov/gene/?term=G6PC2","NCBI")</f>
        <v>NCBI</v>
      </c>
      <c r="F7276">
        <v>9.9000000000000005E-2</v>
      </c>
      <c r="G7276">
        <v>0.23</v>
      </c>
      <c r="H7276" s="1" t="str">
        <f>HYPERLINK("http://www.weizmann.ac.il/complex/compphys/software/geview/data/figures/221453_at.png","Figure")</f>
        <v>Figure</v>
      </c>
      <c r="I7276">
        <v>1.1499999999999999</v>
      </c>
      <c r="J7276">
        <v>0.2</v>
      </c>
      <c r="K7276">
        <v>0.97799999999999998</v>
      </c>
      <c r="L7276">
        <v>0.94</v>
      </c>
      <c r="M7276">
        <v>0.85299999999999998</v>
      </c>
      <c r="N7276">
        <v>9.4E-2</v>
      </c>
    </row>
    <row r="7277" spans="1:14" x14ac:dyDescent="0.25">
      <c r="A7277" t="s">
        <v>12968</v>
      </c>
      <c r="B7277" t="s">
        <v>12969</v>
      </c>
      <c r="C7277" s="1" t="str">
        <f>HYPERLINK("http://www.genecards.org/cgi-bin/carddisp.pl?gene=SLC6A16","GeneCards")</f>
        <v>GeneCards</v>
      </c>
      <c r="D7277" s="1" t="str">
        <f>HYPERLINK("http://genome-euro.ucsc.edu/cgi-bin/hgTracks?position=219820_at","UCSC")</f>
        <v>UCSC</v>
      </c>
      <c r="E7277" s="1" t="str">
        <f>HYPERLINK("http://www.ncbi.nlm.nih.gov/gene/?term=SLC6A16","NCBI")</f>
        <v>NCBI</v>
      </c>
      <c r="F7277">
        <v>9.9000000000000005E-2</v>
      </c>
      <c r="G7277">
        <v>0.23</v>
      </c>
      <c r="H7277" s="1" t="str">
        <f>HYPERLINK("http://www.weizmann.ac.il/complex/compphys/software/geview/data/figures/219820_at.png","Figure")</f>
        <v>Figure</v>
      </c>
      <c r="I7277">
        <v>0.73699999999999999</v>
      </c>
      <c r="J7277">
        <v>8.8999999999999996E-2</v>
      </c>
      <c r="K7277">
        <v>0.91400000000000003</v>
      </c>
      <c r="L7277">
        <v>0.72</v>
      </c>
      <c r="M7277">
        <v>1.24</v>
      </c>
      <c r="N7277">
        <v>0.23</v>
      </c>
    </row>
    <row r="7278" spans="1:14" x14ac:dyDescent="0.25">
      <c r="A7278" t="s">
        <v>12970</v>
      </c>
      <c r="B7278" t="s">
        <v>12971</v>
      </c>
      <c r="C7278" s="1" t="str">
        <f>HYPERLINK("http://www.genecards.org/cgi-bin/carddisp.pl?gene=PPP2R1B","GeneCards")</f>
        <v>GeneCards</v>
      </c>
      <c r="D7278" s="1" t="str">
        <f>HYPERLINK("http://genome-euro.ucsc.edu/cgi-bin/hgTracks?position=202884_s_at","UCSC")</f>
        <v>UCSC</v>
      </c>
      <c r="E7278" s="1" t="str">
        <f>HYPERLINK("http://www.ncbi.nlm.nih.gov/gene/?term=PPP2R1B","NCBI")</f>
        <v>NCBI</v>
      </c>
      <c r="F7278">
        <v>9.9000000000000005E-2</v>
      </c>
      <c r="G7278">
        <v>0.23</v>
      </c>
      <c r="H7278" s="1" t="str">
        <f>HYPERLINK("http://www.weizmann.ac.il/complex/compphys/software/geview/data/figures/202884_s_at.png","Figure")</f>
        <v>Figure</v>
      </c>
      <c r="I7278">
        <v>1.1200000000000001</v>
      </c>
      <c r="J7278">
        <v>0.26</v>
      </c>
      <c r="K7278">
        <v>0.96499999999999997</v>
      </c>
      <c r="L7278">
        <v>0.82</v>
      </c>
      <c r="M7278">
        <v>0.86299999999999999</v>
      </c>
      <c r="N7278">
        <v>8.5999999999999993E-2</v>
      </c>
    </row>
    <row r="7279" spans="1:14" x14ac:dyDescent="0.25">
      <c r="A7279" t="s">
        <v>12972</v>
      </c>
      <c r="B7279" t="s">
        <v>12973</v>
      </c>
      <c r="C7279" s="1" t="str">
        <f>HYPERLINK("http://www.genecards.org/cgi-bin/carddisp.pl?gene=PTTG3P","GeneCards")</f>
        <v>GeneCards</v>
      </c>
      <c r="D7279" s="1" t="str">
        <f>HYPERLINK("http://genome-euro.ucsc.edu/cgi-bin/hgTracks?position=208511_at","UCSC")</f>
        <v>UCSC</v>
      </c>
      <c r="E7279" s="1" t="str">
        <f>HYPERLINK("http://www.ncbi.nlm.nih.gov/gene/?term=PTTG3P","NCBI")</f>
        <v>NCBI</v>
      </c>
      <c r="F7279">
        <v>9.9000000000000005E-2</v>
      </c>
      <c r="G7279">
        <v>0.23</v>
      </c>
      <c r="H7279" s="1" t="str">
        <f>HYPERLINK("http://www.weizmann.ac.il/complex/compphys/software/geview/data/figures/208511_at.png","Figure")</f>
        <v>Figure</v>
      </c>
      <c r="I7279">
        <v>1.01</v>
      </c>
      <c r="J7279">
        <v>0.99</v>
      </c>
      <c r="K7279">
        <v>1.1000000000000001</v>
      </c>
      <c r="L7279">
        <v>0.13</v>
      </c>
      <c r="M7279">
        <v>1.0900000000000001</v>
      </c>
      <c r="N7279">
        <v>0.21</v>
      </c>
    </row>
    <row r="7280" spans="1:14" x14ac:dyDescent="0.25">
      <c r="A7280" t="s">
        <v>12974</v>
      </c>
      <c r="B7280" t="s">
        <v>12975</v>
      </c>
      <c r="C7280" s="1" t="str">
        <f>HYPERLINK("http://www.genecards.org/cgi-bin/carddisp.pl?gene=HARS2","GeneCards")</f>
        <v>GeneCards</v>
      </c>
      <c r="D7280" s="1" t="str">
        <f>HYPERLINK("http://genome-euro.ucsc.edu/cgi-bin/hgTracks?position=209252_at","UCSC")</f>
        <v>UCSC</v>
      </c>
      <c r="E7280" s="1" t="str">
        <f>HYPERLINK("http://www.ncbi.nlm.nih.gov/gene/?term=HARS2","NCBI")</f>
        <v>NCBI</v>
      </c>
      <c r="F7280">
        <v>9.9000000000000005E-2</v>
      </c>
      <c r="G7280">
        <v>0.23</v>
      </c>
      <c r="H7280" s="1" t="str">
        <f>HYPERLINK("http://www.weizmann.ac.il/complex/compphys/software/geview/data/figures/209252_at.png","Figure")</f>
        <v>Figure</v>
      </c>
      <c r="I7280">
        <v>1.22</v>
      </c>
      <c r="J7280">
        <v>0.65</v>
      </c>
      <c r="K7280">
        <v>0.76600000000000001</v>
      </c>
      <c r="L7280">
        <v>0.36</v>
      </c>
      <c r="M7280">
        <v>0.63100000000000001</v>
      </c>
      <c r="N7280">
        <v>9.2999999999999999E-2</v>
      </c>
    </row>
    <row r="7281" spans="1:14" x14ac:dyDescent="0.25">
      <c r="A7281" t="s">
        <v>12976</v>
      </c>
      <c r="B7281" t="s">
        <v>12977</v>
      </c>
      <c r="C7281" s="1" t="str">
        <f>HYPERLINK("http://www.genecards.org/cgi-bin/carddisp.pl?gene=FN1","GeneCards")</f>
        <v>GeneCards</v>
      </c>
      <c r="D7281" s="1" t="str">
        <f>HYPERLINK("http://genome-euro.ucsc.edu/cgi-bin/hgTracks?position=216442_x_at","UCSC")</f>
        <v>UCSC</v>
      </c>
      <c r="E7281" s="1" t="str">
        <f>HYPERLINK("http://www.ncbi.nlm.nih.gov/gene/?term=FN1","NCBI")</f>
        <v>NCBI</v>
      </c>
      <c r="F7281">
        <v>9.9000000000000005E-2</v>
      </c>
      <c r="G7281">
        <v>0.23</v>
      </c>
      <c r="H7281" s="1" t="str">
        <f>HYPERLINK("http://www.weizmann.ac.il/complex/compphys/software/geview/data/figures/216442_x_at.png","Figure")</f>
        <v>Figure</v>
      </c>
      <c r="I7281">
        <v>1.07</v>
      </c>
      <c r="J7281">
        <v>0.3</v>
      </c>
      <c r="K7281">
        <v>0.97399999999999998</v>
      </c>
      <c r="L7281">
        <v>0.75</v>
      </c>
      <c r="M7281">
        <v>0.91200000000000003</v>
      </c>
      <c r="N7281">
        <v>8.4000000000000005E-2</v>
      </c>
    </row>
    <row r="7282" spans="1:14" x14ac:dyDescent="0.25">
      <c r="A7282" t="s">
        <v>12978</v>
      </c>
      <c r="B7282" t="s">
        <v>12979</v>
      </c>
      <c r="C7282" s="1" t="str">
        <f>HYPERLINK("http://www.genecards.org/cgi-bin/carddisp.pl?gene=ATF5","GeneCards")</f>
        <v>GeneCards</v>
      </c>
      <c r="D7282" s="1" t="str">
        <f>HYPERLINK("http://genome-euro.ucsc.edu/cgi-bin/hgTracks?position=217389_s_at","UCSC")</f>
        <v>UCSC</v>
      </c>
      <c r="E7282" s="1" t="str">
        <f>HYPERLINK("http://www.ncbi.nlm.nih.gov/gene/?term=ATF5","NCBI")</f>
        <v>NCBI</v>
      </c>
      <c r="F7282">
        <v>9.9000000000000005E-2</v>
      </c>
      <c r="G7282">
        <v>0.23</v>
      </c>
      <c r="H7282" s="1" t="str">
        <f>HYPERLINK("http://www.weizmann.ac.il/complex/compphys/software/geview/data/figures/217389_s_at.png","Figure")</f>
        <v>Figure</v>
      </c>
      <c r="I7282">
        <v>1.31</v>
      </c>
      <c r="J7282">
        <v>8.7999999999999995E-2</v>
      </c>
      <c r="K7282">
        <v>1.0900000000000001</v>
      </c>
      <c r="L7282">
        <v>0.7</v>
      </c>
      <c r="M7282">
        <v>0.82699999999999996</v>
      </c>
      <c r="N7282">
        <v>0.23</v>
      </c>
    </row>
    <row r="7283" spans="1:14" x14ac:dyDescent="0.25">
      <c r="A7283" t="s">
        <v>12980</v>
      </c>
      <c r="B7283" t="s">
        <v>12981</v>
      </c>
      <c r="C7283" s="1" t="str">
        <f>HYPERLINK("http://www.genecards.org/cgi-bin/carddisp.pl?gene=MAGEL2","GeneCards")</f>
        <v>GeneCards</v>
      </c>
      <c r="D7283" s="1" t="str">
        <f>HYPERLINK("http://genome-euro.ucsc.edu/cgi-bin/hgTracks?position=219894_at","UCSC")</f>
        <v>UCSC</v>
      </c>
      <c r="E7283" s="1" t="str">
        <f>HYPERLINK("http://www.ncbi.nlm.nih.gov/gene/?term=MAGEL2","NCBI")</f>
        <v>NCBI</v>
      </c>
      <c r="F7283">
        <v>9.9000000000000005E-2</v>
      </c>
      <c r="G7283">
        <v>0.23</v>
      </c>
      <c r="H7283" s="1" t="str">
        <f>HYPERLINK("http://www.weizmann.ac.il/complex/compphys/software/geview/data/figures/219894_at.png","Figure")</f>
        <v>Figure</v>
      </c>
      <c r="I7283">
        <v>1.06</v>
      </c>
      <c r="J7283">
        <v>0.62</v>
      </c>
      <c r="K7283">
        <v>0.92500000000000004</v>
      </c>
      <c r="L7283">
        <v>0.38</v>
      </c>
      <c r="M7283">
        <v>0.871</v>
      </c>
      <c r="N7283">
        <v>9.1999999999999998E-2</v>
      </c>
    </row>
    <row r="7284" spans="1:14" x14ac:dyDescent="0.25">
      <c r="A7284" t="s">
        <v>12982</v>
      </c>
      <c r="B7284" t="s">
        <v>4578</v>
      </c>
      <c r="C7284" s="1" t="str">
        <f>HYPERLINK("http://www.genecards.org/cgi-bin/carddisp.pl?gene=HLA-E","GeneCards")</f>
        <v>GeneCards</v>
      </c>
      <c r="D7284" s="1" t="str">
        <f>HYPERLINK("http://genome-euro.ucsc.edu/cgi-bin/hgTracks?position=200905_x_at","UCSC")</f>
        <v>UCSC</v>
      </c>
      <c r="E7284" s="1" t="str">
        <f>HYPERLINK("http://www.ncbi.nlm.nih.gov/gene/?term=HLA-E","NCBI")</f>
        <v>NCBI</v>
      </c>
      <c r="F7284">
        <v>9.9000000000000005E-2</v>
      </c>
      <c r="G7284">
        <v>0.23</v>
      </c>
      <c r="H7284" s="1" t="str">
        <f>HYPERLINK("http://www.weizmann.ac.il/complex/compphys/software/geview/data/figures/200905_x_at.png","Figure")</f>
        <v>Figure</v>
      </c>
      <c r="I7284">
        <v>0.73699999999999999</v>
      </c>
      <c r="J7284">
        <v>0.14000000000000001</v>
      </c>
      <c r="K7284">
        <v>0.76700000000000002</v>
      </c>
      <c r="L7284">
        <v>0.14000000000000001</v>
      </c>
      <c r="M7284">
        <v>1.04</v>
      </c>
      <c r="N7284">
        <v>0.96</v>
      </c>
    </row>
    <row r="7285" spans="1:14" x14ac:dyDescent="0.25">
      <c r="A7285" t="s">
        <v>12983</v>
      </c>
      <c r="B7285" t="s">
        <v>12984</v>
      </c>
      <c r="C7285" s="1" t="str">
        <f>HYPERLINK("http://www.genecards.org/cgi-bin/carddisp.pl?gene=MYT1","GeneCards")</f>
        <v>GeneCards</v>
      </c>
      <c r="D7285" s="1" t="str">
        <f>HYPERLINK("http://genome-euro.ucsc.edu/cgi-bin/hgTracks?position=215822_x_at","UCSC")</f>
        <v>UCSC</v>
      </c>
      <c r="E7285" s="1" t="str">
        <f>HYPERLINK("http://www.ncbi.nlm.nih.gov/gene/?term=MYT1","NCBI")</f>
        <v>NCBI</v>
      </c>
      <c r="F7285">
        <v>9.9000000000000005E-2</v>
      </c>
      <c r="G7285">
        <v>0.23</v>
      </c>
      <c r="H7285" s="1" t="str">
        <f>HYPERLINK("http://www.weizmann.ac.il/complex/compphys/software/geview/data/figures/215822_x_at.png","Figure")</f>
        <v>Figure</v>
      </c>
      <c r="I7285">
        <v>1.18</v>
      </c>
      <c r="J7285">
        <v>0.18</v>
      </c>
      <c r="K7285">
        <v>0.98099999999999998</v>
      </c>
      <c r="L7285">
        <v>0.97</v>
      </c>
      <c r="M7285">
        <v>0.83099999999999996</v>
      </c>
      <c r="N7285">
        <v>9.8000000000000004E-2</v>
      </c>
    </row>
    <row r="7286" spans="1:14" x14ac:dyDescent="0.25">
      <c r="A7286" t="s">
        <v>12985</v>
      </c>
      <c r="B7286" t="s">
        <v>12986</v>
      </c>
      <c r="C7286" s="1" t="str">
        <f>HYPERLINK("http://www.genecards.org/cgi-bin/carddisp.pl?gene=IKZF1","GeneCards")</f>
        <v>GeneCards</v>
      </c>
      <c r="D7286" s="1" t="str">
        <f>HYPERLINK("http://genome-euro.ucsc.edu/cgi-bin/hgTracks?position=205039_s_at","UCSC")</f>
        <v>UCSC</v>
      </c>
      <c r="E7286" s="1" t="str">
        <f>HYPERLINK("http://www.ncbi.nlm.nih.gov/gene/?term=IKZF1","NCBI")</f>
        <v>NCBI</v>
      </c>
      <c r="F7286">
        <v>9.9000000000000005E-2</v>
      </c>
      <c r="G7286">
        <v>0.23</v>
      </c>
      <c r="H7286" s="1" t="str">
        <f>HYPERLINK("http://www.weizmann.ac.il/complex/compphys/software/geview/data/figures/205039_s_at.png","Figure")</f>
        <v>Figure</v>
      </c>
      <c r="I7286">
        <v>1.52</v>
      </c>
      <c r="J7286">
        <v>0.12</v>
      </c>
      <c r="K7286">
        <v>1.4</v>
      </c>
      <c r="L7286">
        <v>0.16</v>
      </c>
      <c r="M7286">
        <v>0.92</v>
      </c>
      <c r="N7286">
        <v>0.89</v>
      </c>
    </row>
    <row r="7287" spans="1:14" x14ac:dyDescent="0.25">
      <c r="A7287" t="s">
        <v>12987</v>
      </c>
      <c r="B7287" t="s">
        <v>12988</v>
      </c>
      <c r="C7287" s="1" t="str">
        <f>HYPERLINK("http://www.genecards.org/cgi-bin/carddisp.pl?gene=SFN","GeneCards")</f>
        <v>GeneCards</v>
      </c>
      <c r="D7287" s="1" t="str">
        <f>HYPERLINK("http://genome-euro.ucsc.edu/cgi-bin/hgTracks?position=33323_r_at","UCSC")</f>
        <v>UCSC</v>
      </c>
      <c r="E7287" s="1" t="str">
        <f>HYPERLINK("http://www.ncbi.nlm.nih.gov/gene/?term=SFN","NCBI")</f>
        <v>NCBI</v>
      </c>
      <c r="F7287">
        <v>9.9000000000000005E-2</v>
      </c>
      <c r="G7287">
        <v>0.23</v>
      </c>
      <c r="H7287" s="1" t="str">
        <f>HYPERLINK("http://www.weizmann.ac.il/complex/compphys/software/geview/data/figures/33323_r_at.png","Figure")</f>
        <v>Figure</v>
      </c>
      <c r="I7287">
        <v>1.1399999999999999</v>
      </c>
      <c r="J7287">
        <v>0.62</v>
      </c>
      <c r="K7287">
        <v>0.84199999999999997</v>
      </c>
      <c r="L7287">
        <v>0.38</v>
      </c>
      <c r="M7287">
        <v>0.73499999999999999</v>
      </c>
      <c r="N7287">
        <v>9.1999999999999998E-2</v>
      </c>
    </row>
    <row r="7288" spans="1:14" x14ac:dyDescent="0.25">
      <c r="A7288" t="s">
        <v>12989</v>
      </c>
      <c r="B7288" t="s">
        <v>12990</v>
      </c>
      <c r="C7288" s="1" t="str">
        <f>HYPERLINK("http://www.genecards.org/cgi-bin/carddisp.pl?gene=SRPRB","GeneCards")</f>
        <v>GeneCards</v>
      </c>
      <c r="D7288" s="1" t="str">
        <f>HYPERLINK("http://genome-euro.ucsc.edu/cgi-bin/hgTracks?position=218140_x_at","UCSC")</f>
        <v>UCSC</v>
      </c>
      <c r="E7288" s="1" t="str">
        <f>HYPERLINK("http://www.ncbi.nlm.nih.gov/gene/?term=SRPRB","NCBI")</f>
        <v>NCBI</v>
      </c>
      <c r="F7288">
        <v>9.9000000000000005E-2</v>
      </c>
      <c r="G7288">
        <v>0.23</v>
      </c>
      <c r="H7288" s="1" t="str">
        <f>HYPERLINK("http://www.weizmann.ac.il/complex/compphys/software/geview/data/figures/218140_x_at.png","Figure")</f>
        <v>Figure</v>
      </c>
      <c r="I7288">
        <v>1.05</v>
      </c>
      <c r="J7288">
        <v>0.92</v>
      </c>
      <c r="K7288">
        <v>1.3</v>
      </c>
      <c r="L7288">
        <v>0.11</v>
      </c>
      <c r="M7288">
        <v>1.24</v>
      </c>
      <c r="N7288">
        <v>0.26</v>
      </c>
    </row>
    <row r="7289" spans="1:14" x14ac:dyDescent="0.25">
      <c r="A7289" t="s">
        <v>12991</v>
      </c>
      <c r="B7289" t="s">
        <v>12992</v>
      </c>
      <c r="C7289" s="1" t="str">
        <f>HYPERLINK("http://www.genecards.org/cgi-bin/carddisp.pl?gene=PLA2G2E","GeneCards")</f>
        <v>GeneCards</v>
      </c>
      <c r="D7289" s="1" t="str">
        <f>HYPERLINK("http://genome-euro.ucsc.edu/cgi-bin/hgTracks?position=221389_at","UCSC")</f>
        <v>UCSC</v>
      </c>
      <c r="E7289" s="1" t="str">
        <f>HYPERLINK("http://www.ncbi.nlm.nih.gov/gene/?term=PLA2G2E","NCBI")</f>
        <v>NCBI</v>
      </c>
      <c r="F7289">
        <v>9.9000000000000005E-2</v>
      </c>
      <c r="G7289">
        <v>0.23</v>
      </c>
      <c r="H7289" s="1" t="str">
        <f>HYPERLINK("http://www.weizmann.ac.il/complex/compphys/software/geview/data/figures/221389_at.png","Figure")</f>
        <v>Figure</v>
      </c>
      <c r="I7289">
        <v>1.1100000000000001</v>
      </c>
      <c r="J7289">
        <v>8.3000000000000004E-2</v>
      </c>
      <c r="K7289">
        <v>1.05</v>
      </c>
      <c r="L7289">
        <v>0.44</v>
      </c>
      <c r="M7289">
        <v>0.94599999999999995</v>
      </c>
      <c r="N7289">
        <v>0.4</v>
      </c>
    </row>
    <row r="7290" spans="1:14" x14ac:dyDescent="0.25">
      <c r="A7290" t="s">
        <v>12993</v>
      </c>
      <c r="B7290" t="s">
        <v>12994</v>
      </c>
      <c r="C7290" s="1" t="str">
        <f>HYPERLINK("http://www.genecards.org/cgi-bin/carddisp.pl?gene=EFHD1","GeneCards")</f>
        <v>GeneCards</v>
      </c>
      <c r="D7290" s="1" t="str">
        <f>HYPERLINK("http://genome-euro.ucsc.edu/cgi-bin/hgTracks?position=209343_at","UCSC")</f>
        <v>UCSC</v>
      </c>
      <c r="E7290" s="1" t="str">
        <f>HYPERLINK("http://www.ncbi.nlm.nih.gov/gene/?term=EFHD1","NCBI")</f>
        <v>NCBI</v>
      </c>
      <c r="F7290">
        <v>9.9000000000000005E-2</v>
      </c>
      <c r="G7290">
        <v>0.23</v>
      </c>
      <c r="H7290" s="1" t="str">
        <f>HYPERLINK("http://www.weizmann.ac.il/complex/compphys/software/geview/data/figures/209343_at.png","Figure")</f>
        <v>Figure</v>
      </c>
      <c r="I7290">
        <v>1.1000000000000001</v>
      </c>
      <c r="J7290">
        <v>0.51</v>
      </c>
      <c r="K7290">
        <v>0.91900000000000004</v>
      </c>
      <c r="L7290">
        <v>0.48</v>
      </c>
      <c r="M7290">
        <v>0.83699999999999997</v>
      </c>
      <c r="N7290">
        <v>8.5999999999999993E-2</v>
      </c>
    </row>
    <row r="7291" spans="1:14" x14ac:dyDescent="0.25">
      <c r="A7291" t="s">
        <v>12995</v>
      </c>
      <c r="B7291" t="s">
        <v>12996</v>
      </c>
      <c r="C7291" s="1" t="str">
        <f>HYPERLINK("http://www.genecards.org/cgi-bin/carddisp.pl?gene=TFR2","GeneCards")</f>
        <v>GeneCards</v>
      </c>
      <c r="D7291" s="1" t="str">
        <f>HYPERLINK("http://genome-euro.ucsc.edu/cgi-bin/hgTracks?position=210215_at","UCSC")</f>
        <v>UCSC</v>
      </c>
      <c r="E7291" s="1" t="str">
        <f>HYPERLINK("http://www.ncbi.nlm.nih.gov/gene/?term=TFR2","NCBI")</f>
        <v>NCBI</v>
      </c>
      <c r="F7291">
        <v>9.9000000000000005E-2</v>
      </c>
      <c r="G7291">
        <v>0.23</v>
      </c>
      <c r="H7291" s="1" t="str">
        <f>HYPERLINK("http://www.weizmann.ac.il/complex/compphys/software/geview/data/figures/210215_at.png","Figure")</f>
        <v>Figure</v>
      </c>
      <c r="I7291">
        <v>1.1499999999999999</v>
      </c>
      <c r="J7291">
        <v>0.59</v>
      </c>
      <c r="K7291">
        <v>0.85399999999999998</v>
      </c>
      <c r="L7291">
        <v>0.4</v>
      </c>
      <c r="M7291">
        <v>0.745</v>
      </c>
      <c r="N7291">
        <v>0.09</v>
      </c>
    </row>
    <row r="7292" spans="1:14" x14ac:dyDescent="0.25">
      <c r="A7292" t="s">
        <v>12997</v>
      </c>
      <c r="B7292" t="s">
        <v>8197</v>
      </c>
      <c r="C7292" s="1" t="str">
        <f>HYPERLINK("http://www.genecards.org/cgi-bin/carddisp.pl?gene=SFXN3","GeneCards")</f>
        <v>GeneCards</v>
      </c>
      <c r="D7292" s="1" t="str">
        <f>HYPERLINK("http://genome-euro.ucsc.edu/cgi-bin/hgTracks?position=220974_x_at","UCSC")</f>
        <v>UCSC</v>
      </c>
      <c r="E7292" s="1" t="str">
        <f>HYPERLINK("http://www.ncbi.nlm.nih.gov/gene/?term=SFXN3","NCBI")</f>
        <v>NCBI</v>
      </c>
      <c r="F7292">
        <v>9.9000000000000005E-2</v>
      </c>
      <c r="G7292">
        <v>0.23</v>
      </c>
      <c r="H7292" s="1" t="str">
        <f>HYPERLINK("http://www.weizmann.ac.il/complex/compphys/software/geview/data/figures/220974_x_at.png","Figure")</f>
        <v>Figure</v>
      </c>
      <c r="I7292">
        <v>0.82699999999999996</v>
      </c>
      <c r="J7292">
        <v>0.2</v>
      </c>
      <c r="K7292">
        <v>1.03</v>
      </c>
      <c r="L7292">
        <v>0.93</v>
      </c>
      <c r="M7292">
        <v>1.25</v>
      </c>
      <c r="N7292">
        <v>9.4E-2</v>
      </c>
    </row>
    <row r="7293" spans="1:14" x14ac:dyDescent="0.25">
      <c r="A7293" t="s">
        <v>12998</v>
      </c>
      <c r="B7293" t="s">
        <v>12999</v>
      </c>
      <c r="C7293" s="1" t="str">
        <f>HYPERLINK("http://www.genecards.org/cgi-bin/carddisp.pl?gene=TOM1","GeneCards")</f>
        <v>GeneCards</v>
      </c>
      <c r="D7293" s="1" t="str">
        <f>HYPERLINK("http://genome-euro.ucsc.edu/cgi-bin/hgTracks?position=202807_s_at","UCSC")</f>
        <v>UCSC</v>
      </c>
      <c r="E7293" s="1" t="str">
        <f>HYPERLINK("http://www.ncbi.nlm.nih.gov/gene/?term=TOM1","NCBI")</f>
        <v>NCBI</v>
      </c>
      <c r="F7293">
        <v>9.9000000000000005E-2</v>
      </c>
      <c r="G7293">
        <v>0.23</v>
      </c>
      <c r="H7293" s="1" t="str">
        <f>HYPERLINK("http://www.weizmann.ac.il/complex/compphys/software/geview/data/figures/202807_s_at.png","Figure")</f>
        <v>Figure</v>
      </c>
      <c r="I7293">
        <v>1.19</v>
      </c>
      <c r="J7293">
        <v>8.5000000000000006E-2</v>
      </c>
      <c r="K7293">
        <v>1.06</v>
      </c>
      <c r="L7293">
        <v>0.62</v>
      </c>
      <c r="M7293">
        <v>0.89300000000000002</v>
      </c>
      <c r="N7293">
        <v>0.27</v>
      </c>
    </row>
    <row r="7294" spans="1:14" x14ac:dyDescent="0.25">
      <c r="A7294" t="s">
        <v>13000</v>
      </c>
      <c r="B7294" t="s">
        <v>3894</v>
      </c>
      <c r="C7294" s="1" t="str">
        <f>HYPERLINK("http://www.genecards.org/cgi-bin/carddisp.pl?gene=DEGS1","GeneCards")</f>
        <v>GeneCards</v>
      </c>
      <c r="D7294" s="1" t="str">
        <f>HYPERLINK("http://genome-euro.ucsc.edu/cgi-bin/hgTracks?position=207431_s_at","UCSC")</f>
        <v>UCSC</v>
      </c>
      <c r="E7294" s="1" t="str">
        <f>HYPERLINK("http://www.ncbi.nlm.nih.gov/gene/?term=DEGS1","NCBI")</f>
        <v>NCBI</v>
      </c>
      <c r="F7294">
        <v>9.9000000000000005E-2</v>
      </c>
      <c r="G7294">
        <v>0.23</v>
      </c>
      <c r="H7294" s="1" t="str">
        <f>HYPERLINK("http://www.weizmann.ac.il/complex/compphys/software/geview/data/figures/207431_s_at.png","Figure")</f>
        <v>Figure</v>
      </c>
      <c r="I7294">
        <v>0.67100000000000004</v>
      </c>
      <c r="J7294">
        <v>0.15</v>
      </c>
      <c r="K7294">
        <v>0.69399999999999995</v>
      </c>
      <c r="L7294">
        <v>0.13</v>
      </c>
      <c r="M7294">
        <v>1.03</v>
      </c>
      <c r="N7294">
        <v>0.98</v>
      </c>
    </row>
    <row r="7295" spans="1:14" x14ac:dyDescent="0.25">
      <c r="A7295" t="s">
        <v>13001</v>
      </c>
      <c r="B7295" t="s">
        <v>13002</v>
      </c>
      <c r="C7295" s="1" t="str">
        <f>HYPERLINK("http://www.genecards.org/cgi-bin/carddisp.pl?gene=NEUROD2","GeneCards")</f>
        <v>GeneCards</v>
      </c>
      <c r="D7295" s="1" t="str">
        <f>HYPERLINK("http://genome-euro.ucsc.edu/cgi-bin/hgTracks?position=210271_at","UCSC")</f>
        <v>UCSC</v>
      </c>
      <c r="E7295" s="1" t="str">
        <f>HYPERLINK("http://www.ncbi.nlm.nih.gov/gene/?term=NEUROD2","NCBI")</f>
        <v>NCBI</v>
      </c>
      <c r="F7295">
        <v>9.9000000000000005E-2</v>
      </c>
      <c r="G7295">
        <v>0.23</v>
      </c>
      <c r="H7295" s="1" t="str">
        <f>HYPERLINK("http://www.weizmann.ac.il/complex/compphys/software/geview/data/figures/210271_at.png","Figure")</f>
        <v>Figure</v>
      </c>
      <c r="I7295">
        <v>1.08</v>
      </c>
      <c r="J7295">
        <v>0.67</v>
      </c>
      <c r="K7295">
        <v>0.89300000000000002</v>
      </c>
      <c r="L7295">
        <v>0.35</v>
      </c>
      <c r="M7295">
        <v>0.82599999999999996</v>
      </c>
      <c r="N7295">
        <v>9.5000000000000001E-2</v>
      </c>
    </row>
    <row r="7296" spans="1:14" x14ac:dyDescent="0.25">
      <c r="A7296" t="s">
        <v>13003</v>
      </c>
      <c r="B7296" t="s">
        <v>13004</v>
      </c>
      <c r="C7296" s="1" t="str">
        <f>HYPERLINK("http://www.genecards.org/cgi-bin/carddisp.pl?gene=MRPL28","GeneCards")</f>
        <v>GeneCards</v>
      </c>
      <c r="D7296" s="1" t="str">
        <f>HYPERLINK("http://genome-euro.ucsc.edu/cgi-bin/hgTracks?position=204599_s_at","UCSC")</f>
        <v>UCSC</v>
      </c>
      <c r="E7296" s="1" t="str">
        <f>HYPERLINK("http://www.ncbi.nlm.nih.gov/gene/?term=MRPL28","NCBI")</f>
        <v>NCBI</v>
      </c>
      <c r="F7296">
        <v>9.9000000000000005E-2</v>
      </c>
      <c r="G7296">
        <v>0.23</v>
      </c>
      <c r="H7296" s="1" t="str">
        <f>HYPERLINK("http://www.weizmann.ac.il/complex/compphys/software/geview/data/figures/204599_s_at.png","Figure")</f>
        <v>Figure</v>
      </c>
      <c r="I7296">
        <v>1.2</v>
      </c>
      <c r="J7296">
        <v>0.13</v>
      </c>
      <c r="K7296">
        <v>1.01</v>
      </c>
      <c r="L7296">
        <v>0.98</v>
      </c>
      <c r="M7296">
        <v>0.84699999999999998</v>
      </c>
      <c r="N7296">
        <v>0.13</v>
      </c>
    </row>
    <row r="7297" spans="1:14" x14ac:dyDescent="0.25">
      <c r="A7297" t="s">
        <v>13005</v>
      </c>
      <c r="B7297" t="s">
        <v>13006</v>
      </c>
      <c r="C7297" s="1" t="str">
        <f>HYPERLINK("http://www.genecards.org/cgi-bin/carddisp.pl?gene=IGHA1 /// IGHG1 /// IGHG3 /// IGHM /// IGHV4-31 /// LOC100132941 /// LOC100289290 /// LOC100290036 /","GeneCards")</f>
        <v>GeneCards</v>
      </c>
      <c r="D7297" s="1" t="str">
        <f>HYPERLINK("http://genome-euro.ucsc.edu/cgi-bin/hgTracks?position=217360_x_at","UCSC")</f>
        <v>UCSC</v>
      </c>
      <c r="E7297" s="1" t="str">
        <f>HYPERLINK("http://www.ncbi.nlm.nih.gov/gene/?term=IGHA1 /// IGHG1 /// IGHG3 /// IGHM /// IGHV4-31 /// LOC100132941 /// LOC100289290 /// LOC100290036 /","NCBI")</f>
        <v>NCBI</v>
      </c>
      <c r="F7297">
        <v>9.9000000000000005E-2</v>
      </c>
      <c r="G7297">
        <v>0.23</v>
      </c>
      <c r="H7297" s="1" t="str">
        <f>HYPERLINK("http://www.weizmann.ac.il/complex/compphys/software/geview/data/figures/217360_x_at.png","Figure")</f>
        <v>Figure</v>
      </c>
      <c r="I7297">
        <v>1.17</v>
      </c>
      <c r="J7297">
        <v>8.7999999999999995E-2</v>
      </c>
      <c r="K7297">
        <v>1.0900000000000001</v>
      </c>
      <c r="L7297">
        <v>0.31</v>
      </c>
      <c r="M7297">
        <v>0.93500000000000005</v>
      </c>
      <c r="N7297">
        <v>0.55000000000000004</v>
      </c>
    </row>
    <row r="7298" spans="1:14" x14ac:dyDescent="0.25">
      <c r="A7298" t="s">
        <v>13007</v>
      </c>
      <c r="B7298" t="s">
        <v>13008</v>
      </c>
      <c r="C7298" s="1" t="str">
        <f>HYPERLINK("http://www.genecards.org/cgi-bin/carddisp.pl?gene=FZD4","GeneCards")</f>
        <v>GeneCards</v>
      </c>
      <c r="D7298" s="1" t="str">
        <f>HYPERLINK("http://genome-euro.ucsc.edu/cgi-bin/hgTracks?position=218665_at","UCSC")</f>
        <v>UCSC</v>
      </c>
      <c r="E7298" s="1" t="str">
        <f>HYPERLINK("http://www.ncbi.nlm.nih.gov/gene/?term=FZD4","NCBI")</f>
        <v>NCBI</v>
      </c>
      <c r="F7298">
        <v>9.9000000000000005E-2</v>
      </c>
      <c r="G7298">
        <v>0.23</v>
      </c>
      <c r="H7298" s="1" t="str">
        <f>HYPERLINK("http://www.weizmann.ac.il/complex/compphys/software/geview/data/figures/218665_at.png","Figure")</f>
        <v>Figure</v>
      </c>
      <c r="I7298">
        <v>1.22</v>
      </c>
      <c r="J7298">
        <v>0.11</v>
      </c>
      <c r="K7298">
        <v>1.03</v>
      </c>
      <c r="L7298">
        <v>0.9</v>
      </c>
      <c r="M7298">
        <v>0.85</v>
      </c>
      <c r="N7298">
        <v>0.16</v>
      </c>
    </row>
    <row r="7299" spans="1:14" x14ac:dyDescent="0.25">
      <c r="A7299" t="s">
        <v>13009</v>
      </c>
      <c r="B7299" t="s">
        <v>13010</v>
      </c>
      <c r="C7299" s="1" t="str">
        <f>HYPERLINK("http://www.genecards.org/cgi-bin/carddisp.pl?gene=NCOA1","GeneCards")</f>
        <v>GeneCards</v>
      </c>
      <c r="D7299" s="1" t="str">
        <f>HYPERLINK("http://genome-euro.ucsc.edu/cgi-bin/hgTracks?position=209105_at","UCSC")</f>
        <v>UCSC</v>
      </c>
      <c r="E7299" s="1" t="str">
        <f>HYPERLINK("http://www.ncbi.nlm.nih.gov/gene/?term=NCOA1","NCBI")</f>
        <v>NCBI</v>
      </c>
      <c r="F7299">
        <v>9.9000000000000005E-2</v>
      </c>
      <c r="G7299">
        <v>0.23</v>
      </c>
      <c r="H7299" s="1" t="str">
        <f>HYPERLINK("http://www.weizmann.ac.il/complex/compphys/software/geview/data/figures/209105_at.png","Figure")</f>
        <v>Figure</v>
      </c>
      <c r="I7299">
        <v>0.84899999999999998</v>
      </c>
      <c r="J7299">
        <v>0.11</v>
      </c>
      <c r="K7299">
        <v>0.97499999999999998</v>
      </c>
      <c r="L7299">
        <v>0.92</v>
      </c>
      <c r="M7299">
        <v>1.1499999999999999</v>
      </c>
      <c r="N7299">
        <v>0.15</v>
      </c>
    </row>
    <row r="7300" spans="1:14" x14ac:dyDescent="0.25">
      <c r="A7300" t="s">
        <v>13011</v>
      </c>
      <c r="B7300" t="s">
        <v>13012</v>
      </c>
      <c r="C7300" s="1" t="str">
        <f>HYPERLINK("http://www.genecards.org/cgi-bin/carddisp.pl?gene=RXRA","GeneCards")</f>
        <v>GeneCards</v>
      </c>
      <c r="D7300" s="1" t="str">
        <f>HYPERLINK("http://genome-euro.ucsc.edu/cgi-bin/hgTracks?position=202426_s_at","UCSC")</f>
        <v>UCSC</v>
      </c>
      <c r="E7300" s="1" t="str">
        <f>HYPERLINK("http://www.ncbi.nlm.nih.gov/gene/?term=RXRA","NCBI")</f>
        <v>NCBI</v>
      </c>
      <c r="F7300">
        <v>9.9000000000000005E-2</v>
      </c>
      <c r="G7300">
        <v>0.23</v>
      </c>
      <c r="H7300" s="1" t="str">
        <f>HYPERLINK("http://www.weizmann.ac.il/complex/compphys/software/geview/data/figures/202426_s_at.png","Figure")</f>
        <v>Figure</v>
      </c>
      <c r="I7300">
        <v>1.1100000000000001</v>
      </c>
      <c r="J7300">
        <v>0.12</v>
      </c>
      <c r="K7300">
        <v>1.0900000000000001</v>
      </c>
      <c r="L7300">
        <v>0.17</v>
      </c>
      <c r="M7300">
        <v>0.97799999999999998</v>
      </c>
      <c r="N7300">
        <v>0.89</v>
      </c>
    </row>
    <row r="7301" spans="1:14" x14ac:dyDescent="0.25">
      <c r="A7301" t="s">
        <v>13013</v>
      </c>
      <c r="B7301" t="s">
        <v>13014</v>
      </c>
      <c r="C7301" s="1" t="str">
        <f>HYPERLINK("http://www.genecards.org/cgi-bin/carddisp.pl?gene=IGH@ /// IGHG1 /// IGHG2 /// IGHM /// IGHV4-31 /// LOC100294459","GeneCards")</f>
        <v>GeneCards</v>
      </c>
      <c r="D7301" s="1" t="str">
        <f>HYPERLINK("http://genome-euro.ucsc.edu/cgi-bin/hgTracks?position=211430_s_at","UCSC")</f>
        <v>UCSC</v>
      </c>
      <c r="E7301" s="1" t="str">
        <f>HYPERLINK("http://www.ncbi.nlm.nih.gov/gene/?term=IGH@ /// IGHG1 /// IGHG2 /// IGHM /// IGHV4-31 /// LOC100294459","NCBI")</f>
        <v>NCBI</v>
      </c>
      <c r="F7301">
        <v>9.9000000000000005E-2</v>
      </c>
      <c r="G7301">
        <v>0.23</v>
      </c>
      <c r="H7301" s="1" t="str">
        <f>HYPERLINK("http://www.weizmann.ac.il/complex/compphys/software/geview/data/figures/211430_s_at.png","Figure")</f>
        <v>Figure</v>
      </c>
      <c r="I7301">
        <v>0.32500000000000001</v>
      </c>
      <c r="J7301">
        <v>0.11</v>
      </c>
      <c r="K7301">
        <v>0.436</v>
      </c>
      <c r="L7301">
        <v>0.19</v>
      </c>
      <c r="M7301">
        <v>1.34</v>
      </c>
      <c r="N7301">
        <v>0.82</v>
      </c>
    </row>
    <row r="7302" spans="1:14" x14ac:dyDescent="0.25">
      <c r="A7302" t="s">
        <v>13015</v>
      </c>
      <c r="B7302" t="s">
        <v>13016</v>
      </c>
      <c r="C7302" s="1" t="str">
        <f>HYPERLINK("http://www.genecards.org/cgi-bin/carddisp.pl?gene=ARPC2","GeneCards")</f>
        <v>GeneCards</v>
      </c>
      <c r="D7302" s="1" t="str">
        <f>HYPERLINK("http://genome-euro.ucsc.edu/cgi-bin/hgTracks?position=213513_x_at","UCSC")</f>
        <v>UCSC</v>
      </c>
      <c r="E7302" s="1" t="str">
        <f>HYPERLINK("http://www.ncbi.nlm.nih.gov/gene/?term=ARPC2","NCBI")</f>
        <v>NCBI</v>
      </c>
      <c r="F7302">
        <v>9.9000000000000005E-2</v>
      </c>
      <c r="G7302">
        <v>0.23</v>
      </c>
      <c r="H7302" s="1" t="str">
        <f>HYPERLINK("http://www.weizmann.ac.il/complex/compphys/software/geview/data/figures/213513_x_at.png","Figure")</f>
        <v>Figure</v>
      </c>
      <c r="I7302">
        <v>0.70399999999999996</v>
      </c>
      <c r="J7302">
        <v>0.16</v>
      </c>
      <c r="K7302">
        <v>0.71599999999999997</v>
      </c>
      <c r="L7302">
        <v>0.12</v>
      </c>
      <c r="M7302">
        <v>1.02</v>
      </c>
      <c r="N7302">
        <v>0.99</v>
      </c>
    </row>
    <row r="7303" spans="1:14" x14ac:dyDescent="0.25">
      <c r="A7303" t="s">
        <v>13017</v>
      </c>
      <c r="B7303" t="s">
        <v>8227</v>
      </c>
      <c r="C7303" s="1" t="str">
        <f>HYPERLINK("http://www.genecards.org/cgi-bin/carddisp.pl?gene=C6orf120","GeneCards")</f>
        <v>GeneCards</v>
      </c>
      <c r="D7303" s="1" t="str">
        <f>HYPERLINK("http://genome-euro.ucsc.edu/cgi-bin/hgTracks?position=221786_at","UCSC")</f>
        <v>UCSC</v>
      </c>
      <c r="E7303" s="1" t="str">
        <f>HYPERLINK("http://www.ncbi.nlm.nih.gov/gene/?term=C6orf120","NCBI")</f>
        <v>NCBI</v>
      </c>
      <c r="F7303">
        <v>9.9000000000000005E-2</v>
      </c>
      <c r="G7303">
        <v>0.23</v>
      </c>
      <c r="H7303" s="1" t="str">
        <f>HYPERLINK("http://www.weizmann.ac.il/complex/compphys/software/geview/data/figures/221786_at.png","Figure")</f>
        <v>Figure</v>
      </c>
      <c r="I7303">
        <v>0.67100000000000004</v>
      </c>
      <c r="J7303">
        <v>0.1</v>
      </c>
      <c r="K7303">
        <v>0.75800000000000001</v>
      </c>
      <c r="L7303">
        <v>0.21</v>
      </c>
      <c r="M7303">
        <v>1.1299999999999999</v>
      </c>
      <c r="N7303">
        <v>0.75</v>
      </c>
    </row>
    <row r="7304" spans="1:14" x14ac:dyDescent="0.25">
      <c r="A7304" t="s">
        <v>13018</v>
      </c>
      <c r="B7304" t="s">
        <v>13019</v>
      </c>
      <c r="C7304" s="1" t="str">
        <f>HYPERLINK("http://www.genecards.org/cgi-bin/carddisp.pl?gene=MRP63","GeneCards")</f>
        <v>GeneCards</v>
      </c>
      <c r="D7304" s="1" t="str">
        <f>HYPERLINK("http://genome-euro.ucsc.edu/cgi-bin/hgTracks?position=204386_s_at","UCSC")</f>
        <v>UCSC</v>
      </c>
      <c r="E7304" s="1" t="str">
        <f>HYPERLINK("http://www.ncbi.nlm.nih.gov/gene/?term=MRP63","NCBI")</f>
        <v>NCBI</v>
      </c>
      <c r="F7304">
        <v>9.9000000000000005E-2</v>
      </c>
      <c r="G7304">
        <v>0.23</v>
      </c>
      <c r="H7304" s="1" t="str">
        <f>HYPERLINK("http://www.weizmann.ac.il/complex/compphys/software/geview/data/figures/204386_s_at.png","Figure")</f>
        <v>Figure</v>
      </c>
      <c r="I7304">
        <v>0.82599999999999996</v>
      </c>
      <c r="J7304">
        <v>0.72</v>
      </c>
      <c r="K7304">
        <v>1.38</v>
      </c>
      <c r="L7304">
        <v>0.32</v>
      </c>
      <c r="M7304">
        <v>1.67</v>
      </c>
      <c r="N7304">
        <v>9.9000000000000005E-2</v>
      </c>
    </row>
    <row r="7305" spans="1:14" x14ac:dyDescent="0.25">
      <c r="A7305" t="s">
        <v>13020</v>
      </c>
      <c r="B7305" t="s">
        <v>13021</v>
      </c>
      <c r="C7305" s="1" t="str">
        <f>HYPERLINK("http://www.genecards.org/cgi-bin/carddisp.pl?gene=CST7","GeneCards")</f>
        <v>GeneCards</v>
      </c>
      <c r="D7305" s="1" t="str">
        <f>HYPERLINK("http://genome-euro.ucsc.edu/cgi-bin/hgTracks?position=210140_at","UCSC")</f>
        <v>UCSC</v>
      </c>
      <c r="E7305" s="1" t="str">
        <f>HYPERLINK("http://www.ncbi.nlm.nih.gov/gene/?term=CST7","NCBI")</f>
        <v>NCBI</v>
      </c>
      <c r="F7305">
        <v>0.1</v>
      </c>
      <c r="G7305">
        <v>0.23</v>
      </c>
      <c r="H7305" s="1" t="str">
        <f>HYPERLINK("http://www.weizmann.ac.il/complex/compphys/software/geview/data/figures/210140_at.png","Figure")</f>
        <v>Figure</v>
      </c>
      <c r="I7305">
        <v>0.65</v>
      </c>
      <c r="J7305">
        <v>0.24</v>
      </c>
      <c r="K7305">
        <v>1.1299999999999999</v>
      </c>
      <c r="L7305">
        <v>0.85</v>
      </c>
      <c r="M7305">
        <v>1.73</v>
      </c>
      <c r="N7305">
        <v>8.7999999999999995E-2</v>
      </c>
    </row>
    <row r="7306" spans="1:14" x14ac:dyDescent="0.25">
      <c r="A7306" t="s">
        <v>13022</v>
      </c>
      <c r="B7306" t="s">
        <v>13023</v>
      </c>
      <c r="C7306" s="1" t="str">
        <f>HYPERLINK("http://www.genecards.org/cgi-bin/carddisp.pl?gene=TRIM45","GeneCards")</f>
        <v>GeneCards</v>
      </c>
      <c r="D7306" s="1" t="str">
        <f>HYPERLINK("http://genome-euro.ucsc.edu/cgi-bin/hgTracks?position=219923_at","UCSC")</f>
        <v>UCSC</v>
      </c>
      <c r="E7306" s="1" t="str">
        <f>HYPERLINK("http://www.ncbi.nlm.nih.gov/gene/?term=TRIM45","NCBI")</f>
        <v>NCBI</v>
      </c>
      <c r="F7306">
        <v>0.1</v>
      </c>
      <c r="G7306">
        <v>0.23</v>
      </c>
      <c r="H7306" s="1" t="str">
        <f>HYPERLINK("http://www.weizmann.ac.il/complex/compphys/software/geview/data/figures/219923_at.png","Figure")</f>
        <v>Figure</v>
      </c>
      <c r="I7306">
        <v>1.22</v>
      </c>
      <c r="J7306">
        <v>0.16</v>
      </c>
      <c r="K7306">
        <v>0.98799999999999999</v>
      </c>
      <c r="L7306">
        <v>0.99</v>
      </c>
      <c r="M7306">
        <v>0.81</v>
      </c>
      <c r="N7306">
        <v>0.11</v>
      </c>
    </row>
    <row r="7307" spans="1:14" x14ac:dyDescent="0.25">
      <c r="A7307" t="s">
        <v>13024</v>
      </c>
      <c r="B7307" t="s">
        <v>13025</v>
      </c>
      <c r="C7307" s="1" t="str">
        <f>HYPERLINK("http://www.genecards.org/cgi-bin/carddisp.pl?gene=UBP1","GeneCards")</f>
        <v>GeneCards</v>
      </c>
      <c r="D7307" s="1" t="str">
        <f>HYPERLINK("http://genome-euro.ucsc.edu/cgi-bin/hgTracks?position=218082_s_at","UCSC")</f>
        <v>UCSC</v>
      </c>
      <c r="E7307" s="1" t="str">
        <f>HYPERLINK("http://www.ncbi.nlm.nih.gov/gene/?term=UBP1","NCBI")</f>
        <v>NCBI</v>
      </c>
      <c r="F7307">
        <v>0.1</v>
      </c>
      <c r="G7307">
        <v>0.23</v>
      </c>
      <c r="H7307" s="1" t="str">
        <f>HYPERLINK("http://www.weizmann.ac.il/complex/compphys/software/geview/data/figures/218082_s_at.png","Figure")</f>
        <v>Figure</v>
      </c>
      <c r="I7307">
        <v>0.58299999999999996</v>
      </c>
      <c r="J7307">
        <v>8.5999999999999993E-2</v>
      </c>
      <c r="K7307">
        <v>0.745</v>
      </c>
      <c r="L7307">
        <v>0.34</v>
      </c>
      <c r="M7307">
        <v>1.28</v>
      </c>
      <c r="N7307">
        <v>0.51</v>
      </c>
    </row>
    <row r="7308" spans="1:14" x14ac:dyDescent="0.25">
      <c r="A7308" t="s">
        <v>13026</v>
      </c>
      <c r="B7308" t="s">
        <v>2535</v>
      </c>
      <c r="C7308" s="1" t="str">
        <f>HYPERLINK("http://www.genecards.org/cgi-bin/carddisp.pl?gene=CD44","GeneCards")</f>
        <v>GeneCards</v>
      </c>
      <c r="D7308" s="1" t="str">
        <f>HYPERLINK("http://genome-euro.ucsc.edu/cgi-bin/hgTracks?position=217523_at","UCSC")</f>
        <v>UCSC</v>
      </c>
      <c r="E7308" s="1" t="str">
        <f>HYPERLINK("http://www.ncbi.nlm.nih.gov/gene/?term=CD44","NCBI")</f>
        <v>NCBI</v>
      </c>
      <c r="F7308">
        <v>0.1</v>
      </c>
      <c r="G7308">
        <v>0.23</v>
      </c>
      <c r="H7308" s="1" t="str">
        <f>HYPERLINK("http://www.weizmann.ac.il/complex/compphys/software/geview/data/figures/217523_at.png","Figure")</f>
        <v>Figure</v>
      </c>
      <c r="I7308">
        <v>0.68799999999999994</v>
      </c>
      <c r="J7308">
        <v>0.73</v>
      </c>
      <c r="K7308">
        <v>1.9</v>
      </c>
      <c r="L7308">
        <v>0.31</v>
      </c>
      <c r="M7308">
        <v>2.76</v>
      </c>
      <c r="N7308">
        <v>0.1</v>
      </c>
    </row>
    <row r="7309" spans="1:14" x14ac:dyDescent="0.25">
      <c r="A7309" t="s">
        <v>13027</v>
      </c>
      <c r="B7309" t="s">
        <v>13028</v>
      </c>
      <c r="C7309" s="1" t="str">
        <f>HYPERLINK("http://www.genecards.org/cgi-bin/carddisp.pl?gene=ZNF143","GeneCards")</f>
        <v>GeneCards</v>
      </c>
      <c r="D7309" s="1" t="str">
        <f>HYPERLINK("http://genome-euro.ucsc.edu/cgi-bin/hgTracks?position=206428_s_at","UCSC")</f>
        <v>UCSC</v>
      </c>
      <c r="E7309" s="1" t="str">
        <f>HYPERLINK("http://www.ncbi.nlm.nih.gov/gene/?term=ZNF143","NCBI")</f>
        <v>NCBI</v>
      </c>
      <c r="F7309">
        <v>0.1</v>
      </c>
      <c r="G7309">
        <v>0.23</v>
      </c>
      <c r="H7309" s="1" t="str">
        <f>HYPERLINK("http://www.weizmann.ac.il/complex/compphys/software/geview/data/figures/206428_s_at.png","Figure")</f>
        <v>Figure</v>
      </c>
      <c r="I7309">
        <v>1.1599999999999999</v>
      </c>
      <c r="J7309">
        <v>9.1999999999999998E-2</v>
      </c>
      <c r="K7309">
        <v>1.0900000000000001</v>
      </c>
      <c r="L7309">
        <v>0.28000000000000003</v>
      </c>
      <c r="M7309">
        <v>0.94499999999999995</v>
      </c>
      <c r="N7309">
        <v>0.62</v>
      </c>
    </row>
    <row r="7310" spans="1:14" x14ac:dyDescent="0.25">
      <c r="A7310" t="s">
        <v>13029</v>
      </c>
      <c r="B7310" t="s">
        <v>13030</v>
      </c>
      <c r="C7310" s="1" t="str">
        <f>HYPERLINK("http://www.genecards.org/cgi-bin/carddisp.pl?gene=CENPC1","GeneCards")</f>
        <v>GeneCards</v>
      </c>
      <c r="D7310" s="1" t="str">
        <f>HYPERLINK("http://genome-euro.ucsc.edu/cgi-bin/hgTracks?position=204739_at","UCSC")</f>
        <v>UCSC</v>
      </c>
      <c r="E7310" s="1" t="str">
        <f>HYPERLINK("http://www.ncbi.nlm.nih.gov/gene/?term=CENPC1","NCBI")</f>
        <v>NCBI</v>
      </c>
      <c r="F7310">
        <v>0.1</v>
      </c>
      <c r="G7310">
        <v>0.23</v>
      </c>
      <c r="H7310" s="1" t="str">
        <f>HYPERLINK("http://www.weizmann.ac.il/complex/compphys/software/geview/data/figures/204739_at.png","Figure")</f>
        <v>Figure</v>
      </c>
      <c r="I7310">
        <v>0.84099999999999997</v>
      </c>
      <c r="J7310">
        <v>0.45</v>
      </c>
      <c r="K7310">
        <v>0.751</v>
      </c>
      <c r="L7310">
        <v>8.4000000000000005E-2</v>
      </c>
      <c r="M7310">
        <v>0.89200000000000002</v>
      </c>
      <c r="N7310">
        <v>0.66</v>
      </c>
    </row>
    <row r="7311" spans="1:14" x14ac:dyDescent="0.25">
      <c r="A7311" t="s">
        <v>13031</v>
      </c>
      <c r="B7311" t="s">
        <v>13032</v>
      </c>
      <c r="C7311" s="1" t="str">
        <f>HYPERLINK("http://www.genecards.org/cgi-bin/carddisp.pl?gene=PLGLA /// PLGLB1 /// PLGLB2","GeneCards")</f>
        <v>GeneCards</v>
      </c>
      <c r="D7311" s="1" t="str">
        <f>HYPERLINK("http://genome-euro.ucsc.edu/cgi-bin/hgTracks?position=205871_at","UCSC")</f>
        <v>UCSC</v>
      </c>
      <c r="E7311" s="1" t="str">
        <f>HYPERLINK("http://www.ncbi.nlm.nih.gov/gene/?term=PLGLA /// PLGLB1 /// PLGLB2","NCBI")</f>
        <v>NCBI</v>
      </c>
      <c r="F7311">
        <v>0.1</v>
      </c>
      <c r="G7311">
        <v>0.23</v>
      </c>
      <c r="H7311" s="1" t="str">
        <f>HYPERLINK("http://www.weizmann.ac.il/complex/compphys/software/geview/data/figures/205871_at.png","Figure")</f>
        <v>Figure</v>
      </c>
      <c r="I7311">
        <v>1.25</v>
      </c>
      <c r="J7311">
        <v>0.17</v>
      </c>
      <c r="K7311">
        <v>1.24</v>
      </c>
      <c r="L7311">
        <v>0.12</v>
      </c>
      <c r="M7311">
        <v>0.99099999999999999</v>
      </c>
      <c r="N7311">
        <v>1</v>
      </c>
    </row>
    <row r="7312" spans="1:14" x14ac:dyDescent="0.25">
      <c r="A7312" t="s">
        <v>13033</v>
      </c>
      <c r="B7312" t="s">
        <v>9290</v>
      </c>
      <c r="C7312" s="1" t="str">
        <f>HYPERLINK("http://www.genecards.org/cgi-bin/carddisp.pl?gene=UBC","GeneCards")</f>
        <v>GeneCards</v>
      </c>
      <c r="D7312" s="1" t="str">
        <f>HYPERLINK("http://genome-euro.ucsc.edu/cgi-bin/hgTracks?position=208980_s_at","UCSC")</f>
        <v>UCSC</v>
      </c>
      <c r="E7312" s="1" t="str">
        <f>HYPERLINK("http://www.ncbi.nlm.nih.gov/gene/?term=UBC","NCBI")</f>
        <v>NCBI</v>
      </c>
      <c r="F7312">
        <v>0.1</v>
      </c>
      <c r="G7312">
        <v>0.23</v>
      </c>
      <c r="H7312" s="1" t="str">
        <f>HYPERLINK("http://www.weizmann.ac.il/complex/compphys/software/geview/data/figures/208980_s_at.png","Figure")</f>
        <v>Figure</v>
      </c>
      <c r="I7312">
        <v>0.85899999999999999</v>
      </c>
      <c r="J7312">
        <v>0.63</v>
      </c>
      <c r="K7312">
        <v>0.71799999999999997</v>
      </c>
      <c r="L7312">
        <v>8.5999999999999993E-2</v>
      </c>
      <c r="M7312">
        <v>0.83699999999999997</v>
      </c>
      <c r="N7312">
        <v>0.49</v>
      </c>
    </row>
    <row r="7313" spans="1:14" x14ac:dyDescent="0.25">
      <c r="A7313" t="s">
        <v>13034</v>
      </c>
      <c r="B7313" t="s">
        <v>5426</v>
      </c>
      <c r="C7313" s="1" t="str">
        <f>HYPERLINK("http://www.genecards.org/cgi-bin/carddisp.pl?gene=RNF114","GeneCards")</f>
        <v>GeneCards</v>
      </c>
      <c r="D7313" s="1" t="str">
        <f>HYPERLINK("http://genome-euro.ucsc.edu/cgi-bin/hgTracks?position=211678_s_at","UCSC")</f>
        <v>UCSC</v>
      </c>
      <c r="E7313" s="1" t="str">
        <f>HYPERLINK("http://www.ncbi.nlm.nih.gov/gene/?term=RNF114","NCBI")</f>
        <v>NCBI</v>
      </c>
      <c r="F7313">
        <v>0.1</v>
      </c>
      <c r="G7313">
        <v>0.23</v>
      </c>
      <c r="H7313" s="1" t="str">
        <f>HYPERLINK("http://www.weizmann.ac.il/complex/compphys/software/geview/data/figures/211678_s_at.png","Figure")</f>
        <v>Figure</v>
      </c>
      <c r="I7313">
        <v>0.66500000000000004</v>
      </c>
      <c r="J7313">
        <v>0.23</v>
      </c>
      <c r="K7313">
        <v>0.63</v>
      </c>
      <c r="L7313">
        <v>0.1</v>
      </c>
      <c r="M7313">
        <v>0.94699999999999995</v>
      </c>
      <c r="N7313">
        <v>0.97</v>
      </c>
    </row>
    <row r="7314" spans="1:14" x14ac:dyDescent="0.25">
      <c r="A7314" t="s">
        <v>13035</v>
      </c>
      <c r="B7314" t="s">
        <v>13036</v>
      </c>
      <c r="C7314" s="1" t="str">
        <f>HYPERLINK("http://www.genecards.org/cgi-bin/carddisp.pl?gene=IKBKE","GeneCards")</f>
        <v>GeneCards</v>
      </c>
      <c r="D7314" s="1" t="str">
        <f>HYPERLINK("http://genome-euro.ucsc.edu/cgi-bin/hgTracks?position=214398_s_at","UCSC")</f>
        <v>UCSC</v>
      </c>
      <c r="E7314" s="1" t="str">
        <f>HYPERLINK("http://www.ncbi.nlm.nih.gov/gene/?term=IKBKE","NCBI")</f>
        <v>NCBI</v>
      </c>
      <c r="F7314">
        <v>0.1</v>
      </c>
      <c r="G7314">
        <v>0.23</v>
      </c>
      <c r="H7314" s="1" t="str">
        <f>HYPERLINK("http://www.weizmann.ac.il/complex/compphys/software/geview/data/figures/214398_s_at.png","Figure")</f>
        <v>Figure</v>
      </c>
      <c r="I7314">
        <v>1.1200000000000001</v>
      </c>
      <c r="J7314">
        <v>0.11</v>
      </c>
      <c r="K7314">
        <v>1.0900000000000001</v>
      </c>
      <c r="L7314">
        <v>0.21</v>
      </c>
      <c r="M7314">
        <v>0.96799999999999997</v>
      </c>
      <c r="N7314">
        <v>0.78</v>
      </c>
    </row>
    <row r="7315" spans="1:14" x14ac:dyDescent="0.25">
      <c r="A7315" t="s">
        <v>13037</v>
      </c>
      <c r="B7315" t="s">
        <v>6819</v>
      </c>
      <c r="C7315" s="1" t="str">
        <f>HYPERLINK("http://www.genecards.org/cgi-bin/carddisp.pl?gene=ZNF207","GeneCards")</f>
        <v>GeneCards</v>
      </c>
      <c r="D7315" s="1" t="str">
        <f>HYPERLINK("http://genome-euro.ucsc.edu/cgi-bin/hgTracks?position=200828_s_at","UCSC")</f>
        <v>UCSC</v>
      </c>
      <c r="E7315" s="1" t="str">
        <f>HYPERLINK("http://www.ncbi.nlm.nih.gov/gene/?term=ZNF207","NCBI")</f>
        <v>NCBI</v>
      </c>
      <c r="F7315">
        <v>0.1</v>
      </c>
      <c r="G7315">
        <v>0.23</v>
      </c>
      <c r="H7315" s="1" t="str">
        <f>HYPERLINK("http://www.weizmann.ac.il/complex/compphys/software/geview/data/figures/200828_s_at.png","Figure")</f>
        <v>Figure</v>
      </c>
      <c r="I7315">
        <v>1.1599999999999999</v>
      </c>
      <c r="J7315">
        <v>0.69</v>
      </c>
      <c r="K7315">
        <v>0.79800000000000004</v>
      </c>
      <c r="L7315">
        <v>0.34</v>
      </c>
      <c r="M7315">
        <v>0.69</v>
      </c>
      <c r="N7315">
        <v>9.8000000000000004E-2</v>
      </c>
    </row>
    <row r="7316" spans="1:14" x14ac:dyDescent="0.25">
      <c r="A7316" t="s">
        <v>13038</v>
      </c>
      <c r="B7316" t="s">
        <v>13039</v>
      </c>
      <c r="C7316" s="1" t="str">
        <f>HYPERLINK("http://www.genecards.org/cgi-bin/carddisp.pl?gene=KLK8","GeneCards")</f>
        <v>GeneCards</v>
      </c>
      <c r="D7316" s="1" t="str">
        <f>HYPERLINK("http://genome-euro.ucsc.edu/cgi-bin/hgTracks?position=206125_s_at","UCSC")</f>
        <v>UCSC</v>
      </c>
      <c r="E7316" s="1" t="str">
        <f>HYPERLINK("http://www.ncbi.nlm.nih.gov/gene/?term=KLK8","NCBI")</f>
        <v>NCBI</v>
      </c>
      <c r="F7316">
        <v>0.1</v>
      </c>
      <c r="G7316">
        <v>0.23</v>
      </c>
      <c r="H7316" s="1" t="str">
        <f>HYPERLINK("http://www.weizmann.ac.il/complex/compphys/software/geview/data/figures/206125_s_at.png","Figure")</f>
        <v>Figure</v>
      </c>
      <c r="I7316">
        <v>1.1000000000000001</v>
      </c>
      <c r="J7316">
        <v>0.11</v>
      </c>
      <c r="K7316">
        <v>1.08</v>
      </c>
      <c r="L7316">
        <v>0.18</v>
      </c>
      <c r="M7316">
        <v>0.97699999999999998</v>
      </c>
      <c r="N7316">
        <v>0.84</v>
      </c>
    </row>
    <row r="7317" spans="1:14" x14ac:dyDescent="0.25">
      <c r="A7317" t="s">
        <v>13040</v>
      </c>
      <c r="B7317" t="s">
        <v>8695</v>
      </c>
      <c r="C7317" s="1" t="str">
        <f>HYPERLINK("http://www.genecards.org/cgi-bin/carddisp.pl?gene=HNRNPL","GeneCards")</f>
        <v>GeneCards</v>
      </c>
      <c r="D7317" s="1" t="str">
        <f>HYPERLINK("http://genome-euro.ucsc.edu/cgi-bin/hgTracks?position=221860_at","UCSC")</f>
        <v>UCSC</v>
      </c>
      <c r="E7317" s="1" t="str">
        <f>HYPERLINK("http://www.ncbi.nlm.nih.gov/gene/?term=HNRNPL","NCBI")</f>
        <v>NCBI</v>
      </c>
      <c r="F7317">
        <v>0.1</v>
      </c>
      <c r="G7317">
        <v>0.23</v>
      </c>
      <c r="H7317" s="1" t="str">
        <f>HYPERLINK("http://www.weizmann.ac.il/complex/compphys/software/geview/data/figures/221860_at.png","Figure")</f>
        <v>Figure</v>
      </c>
      <c r="I7317">
        <v>1.23</v>
      </c>
      <c r="J7317">
        <v>0.6</v>
      </c>
      <c r="K7317">
        <v>0.78300000000000003</v>
      </c>
      <c r="L7317">
        <v>0.4</v>
      </c>
      <c r="M7317">
        <v>0.63800000000000001</v>
      </c>
      <c r="N7317">
        <v>9.0999999999999998E-2</v>
      </c>
    </row>
    <row r="7318" spans="1:14" x14ac:dyDescent="0.25">
      <c r="A7318" t="s">
        <v>13041</v>
      </c>
      <c r="B7318" t="s">
        <v>8736</v>
      </c>
      <c r="C7318" s="1" t="str">
        <f>HYPERLINK("http://www.genecards.org/cgi-bin/carddisp.pl?gene=EZR","GeneCards")</f>
        <v>GeneCards</v>
      </c>
      <c r="D7318" s="1" t="str">
        <f>HYPERLINK("http://genome-euro.ucsc.edu/cgi-bin/hgTracks?position=208621_s_at","UCSC")</f>
        <v>UCSC</v>
      </c>
      <c r="E7318" s="1" t="str">
        <f>HYPERLINK("http://www.ncbi.nlm.nih.gov/gene/?term=EZR","NCBI")</f>
        <v>NCBI</v>
      </c>
      <c r="F7318">
        <v>0.1</v>
      </c>
      <c r="G7318">
        <v>0.23</v>
      </c>
      <c r="H7318" s="1" t="str">
        <f>HYPERLINK("http://www.weizmann.ac.il/complex/compphys/software/geview/data/figures/208621_s_at.png","Figure")</f>
        <v>Figure</v>
      </c>
      <c r="I7318">
        <v>2.65</v>
      </c>
      <c r="J7318">
        <v>8.4000000000000005E-2</v>
      </c>
      <c r="K7318">
        <v>1.57</v>
      </c>
      <c r="L7318">
        <v>0.45</v>
      </c>
      <c r="M7318">
        <v>0.59399999999999997</v>
      </c>
      <c r="N7318">
        <v>0.4</v>
      </c>
    </row>
    <row r="7319" spans="1:14" x14ac:dyDescent="0.25">
      <c r="A7319" t="s">
        <v>13042</v>
      </c>
      <c r="B7319" t="s">
        <v>13043</v>
      </c>
      <c r="C7319" s="1" t="str">
        <f>HYPERLINK("http://www.genecards.org/cgi-bin/carddisp.pl?gene=GUK1","GeneCards")</f>
        <v>GeneCards</v>
      </c>
      <c r="D7319" s="1" t="str">
        <f>HYPERLINK("http://genome-euro.ucsc.edu/cgi-bin/hgTracks?position=213621_s_at","UCSC")</f>
        <v>UCSC</v>
      </c>
      <c r="E7319" s="1" t="str">
        <f>HYPERLINK("http://www.ncbi.nlm.nih.gov/gene/?term=GUK1","NCBI")</f>
        <v>NCBI</v>
      </c>
      <c r="F7319">
        <v>0.1</v>
      </c>
      <c r="G7319">
        <v>0.23</v>
      </c>
      <c r="H7319" s="1" t="str">
        <f>HYPERLINK("http://www.weizmann.ac.il/complex/compphys/software/geview/data/figures/213621_s_at.png","Figure")</f>
        <v>Figure</v>
      </c>
      <c r="I7319">
        <v>1.03</v>
      </c>
      <c r="J7319">
        <v>0.18</v>
      </c>
      <c r="K7319">
        <v>1.03</v>
      </c>
      <c r="L7319">
        <v>0.12</v>
      </c>
      <c r="M7319">
        <v>1</v>
      </c>
      <c r="N7319">
        <v>1</v>
      </c>
    </row>
    <row r="7320" spans="1:14" x14ac:dyDescent="0.25">
      <c r="A7320" t="s">
        <v>13044</v>
      </c>
      <c r="B7320" t="s">
        <v>13045</v>
      </c>
      <c r="C7320" s="1" t="str">
        <f>HYPERLINK("http://www.genecards.org/cgi-bin/carddisp.pl?gene=SLC36A1","GeneCards")</f>
        <v>GeneCards</v>
      </c>
      <c r="D7320" s="1" t="str">
        <f>HYPERLINK("http://genome-euro.ucsc.edu/cgi-bin/hgTracks?position=213119_at","UCSC")</f>
        <v>UCSC</v>
      </c>
      <c r="E7320" s="1" t="str">
        <f>HYPERLINK("http://www.ncbi.nlm.nih.gov/gene/?term=SLC36A1","NCBI")</f>
        <v>NCBI</v>
      </c>
      <c r="F7320">
        <v>0.1</v>
      </c>
      <c r="G7320">
        <v>0.23</v>
      </c>
      <c r="H7320" s="1" t="str">
        <f>HYPERLINK("http://www.weizmann.ac.il/complex/compphys/software/geview/data/figures/213119_at.png","Figure")</f>
        <v>Figure</v>
      </c>
      <c r="I7320">
        <v>1.24</v>
      </c>
      <c r="J7320">
        <v>0.1</v>
      </c>
      <c r="K7320">
        <v>1.05</v>
      </c>
      <c r="L7320">
        <v>0.85</v>
      </c>
      <c r="M7320">
        <v>0.84499999999999997</v>
      </c>
      <c r="N7320">
        <v>0.18</v>
      </c>
    </row>
    <row r="7321" spans="1:14" x14ac:dyDescent="0.25">
      <c r="A7321" t="s">
        <v>13046</v>
      </c>
      <c r="B7321" t="s">
        <v>13047</v>
      </c>
      <c r="C7321" s="1" t="str">
        <f>HYPERLINK("http://www.genecards.org/cgi-bin/carddisp.pl?gene=SPATA5L1","GeneCards")</f>
        <v>GeneCards</v>
      </c>
      <c r="D7321" s="1" t="str">
        <f>HYPERLINK("http://genome-euro.ucsc.edu/cgi-bin/hgTracks?position=222163_s_at","UCSC")</f>
        <v>UCSC</v>
      </c>
      <c r="E7321" s="1" t="str">
        <f>HYPERLINK("http://www.ncbi.nlm.nih.gov/gene/?term=SPATA5L1","NCBI")</f>
        <v>NCBI</v>
      </c>
      <c r="F7321">
        <v>0.1</v>
      </c>
      <c r="G7321">
        <v>0.23</v>
      </c>
      <c r="H7321" s="1" t="str">
        <f>HYPERLINK("http://www.weizmann.ac.il/complex/compphys/software/geview/data/figures/222163_s_at.png","Figure")</f>
        <v>Figure</v>
      </c>
      <c r="I7321">
        <v>0.81200000000000006</v>
      </c>
      <c r="J7321">
        <v>0.45</v>
      </c>
      <c r="K7321">
        <v>1.17</v>
      </c>
      <c r="L7321">
        <v>0.54</v>
      </c>
      <c r="M7321">
        <v>1.44</v>
      </c>
      <c r="N7321">
        <v>8.5000000000000006E-2</v>
      </c>
    </row>
    <row r="7322" spans="1:14" x14ac:dyDescent="0.25">
      <c r="A7322" t="s">
        <v>13048</v>
      </c>
      <c r="B7322" t="s">
        <v>13049</v>
      </c>
      <c r="C7322" s="1" t="str">
        <f>HYPERLINK("http://www.genecards.org/cgi-bin/carddisp.pl?gene=TADA2L","GeneCards")</f>
        <v>GeneCards</v>
      </c>
      <c r="D7322" s="1" t="str">
        <f>HYPERLINK("http://genome-euro.ucsc.edu/cgi-bin/hgTracks?position=210537_s_at","UCSC")</f>
        <v>UCSC</v>
      </c>
      <c r="E7322" s="1" t="str">
        <f>HYPERLINK("http://www.ncbi.nlm.nih.gov/gene/?term=TADA2L","NCBI")</f>
        <v>NCBI</v>
      </c>
      <c r="F7322">
        <v>0.1</v>
      </c>
      <c r="G7322">
        <v>0.23</v>
      </c>
      <c r="H7322" s="1" t="str">
        <f>HYPERLINK("http://www.weizmann.ac.il/complex/compphys/software/geview/data/figures/210537_s_at.png","Figure")</f>
        <v>Figure</v>
      </c>
      <c r="I7322">
        <v>0.93899999999999995</v>
      </c>
      <c r="J7322">
        <v>0.52</v>
      </c>
      <c r="K7322">
        <v>1.06</v>
      </c>
      <c r="L7322">
        <v>0.47</v>
      </c>
      <c r="M7322">
        <v>1.1299999999999999</v>
      </c>
      <c r="N7322">
        <v>8.6999999999999994E-2</v>
      </c>
    </row>
    <row r="7323" spans="1:14" x14ac:dyDescent="0.25">
      <c r="A7323" t="s">
        <v>13050</v>
      </c>
      <c r="B7323" t="s">
        <v>13051</v>
      </c>
      <c r="C7323" s="1" t="str">
        <f>HYPERLINK("http://www.genecards.org/cgi-bin/carddisp.pl?gene=SERPINE2","GeneCards")</f>
        <v>GeneCards</v>
      </c>
      <c r="D7323" s="1" t="str">
        <f>HYPERLINK("http://genome-euro.ucsc.edu/cgi-bin/hgTracks?position=212190_at","UCSC")</f>
        <v>UCSC</v>
      </c>
      <c r="E7323" s="1" t="str">
        <f>HYPERLINK("http://www.ncbi.nlm.nih.gov/gene/?term=SERPINE2","NCBI")</f>
        <v>NCBI</v>
      </c>
      <c r="F7323">
        <v>0.1</v>
      </c>
      <c r="G7323">
        <v>0.23</v>
      </c>
      <c r="H7323" s="1" t="str">
        <f>HYPERLINK("http://www.weizmann.ac.il/complex/compphys/software/geview/data/figures/212190_at.png","Figure")</f>
        <v>Figure</v>
      </c>
      <c r="I7323">
        <v>0.874</v>
      </c>
      <c r="J7323">
        <v>0.71</v>
      </c>
      <c r="K7323">
        <v>0.71199999999999997</v>
      </c>
      <c r="L7323">
        <v>0.09</v>
      </c>
      <c r="M7323">
        <v>0.81399999999999995</v>
      </c>
      <c r="N7323">
        <v>0.42</v>
      </c>
    </row>
    <row r="7324" spans="1:14" x14ac:dyDescent="0.25">
      <c r="A7324" t="s">
        <v>13052</v>
      </c>
      <c r="B7324" t="s">
        <v>2087</v>
      </c>
      <c r="C7324" s="1" t="str">
        <f>HYPERLINK("http://www.genecards.org/cgi-bin/carddisp.pl?gene=TPT1","GeneCards")</f>
        <v>GeneCards</v>
      </c>
      <c r="D7324" s="1" t="str">
        <f>HYPERLINK("http://genome-euro.ucsc.edu/cgi-bin/hgTracks?position=212284_x_at","UCSC")</f>
        <v>UCSC</v>
      </c>
      <c r="E7324" s="1" t="str">
        <f>HYPERLINK("http://www.ncbi.nlm.nih.gov/gene/?term=TPT1","NCBI")</f>
        <v>NCBI</v>
      </c>
      <c r="F7324">
        <v>0.1</v>
      </c>
      <c r="G7324">
        <v>0.23</v>
      </c>
      <c r="H7324" s="1" t="str">
        <f>HYPERLINK("http://www.weizmann.ac.il/complex/compphys/software/geview/data/figures/212284_x_at.png","Figure")</f>
        <v>Figure</v>
      </c>
      <c r="I7324">
        <v>0.997</v>
      </c>
      <c r="J7324">
        <v>1</v>
      </c>
      <c r="K7324">
        <v>0.82399999999999995</v>
      </c>
      <c r="L7324">
        <v>0.14000000000000001</v>
      </c>
      <c r="M7324">
        <v>0.82599999999999996</v>
      </c>
      <c r="N7324">
        <v>0.19</v>
      </c>
    </row>
    <row r="7325" spans="1:14" x14ac:dyDescent="0.25">
      <c r="A7325" t="s">
        <v>13053</v>
      </c>
      <c r="B7325" t="s">
        <v>9315</v>
      </c>
      <c r="C7325" s="1" t="str">
        <f>HYPERLINK("http://www.genecards.org/cgi-bin/carddisp.pl?gene=LOC440792","GeneCards")</f>
        <v>GeneCards</v>
      </c>
      <c r="D7325" s="1" t="str">
        <f>HYPERLINK("http://genome-euro.ucsc.edu/cgi-bin/hgTracks?position=215682_at","UCSC")</f>
        <v>UCSC</v>
      </c>
      <c r="E7325" s="1" t="str">
        <f>HYPERLINK("http://www.ncbi.nlm.nih.gov/gene/?term=LOC440792","NCBI")</f>
        <v>NCBI</v>
      </c>
      <c r="F7325">
        <v>0.1</v>
      </c>
      <c r="G7325">
        <v>0.23</v>
      </c>
      <c r="H7325" s="1" t="str">
        <f>HYPERLINK("http://www.weizmann.ac.il/complex/compphys/software/geview/data/figures/215682_at.png","Figure")</f>
        <v>Figure</v>
      </c>
      <c r="I7325">
        <v>1.17</v>
      </c>
      <c r="J7325">
        <v>8.7999999999999995E-2</v>
      </c>
      <c r="K7325">
        <v>1.0900000000000001</v>
      </c>
      <c r="L7325">
        <v>0.33</v>
      </c>
      <c r="M7325">
        <v>0.93300000000000005</v>
      </c>
      <c r="N7325">
        <v>0.53</v>
      </c>
    </row>
    <row r="7326" spans="1:14" x14ac:dyDescent="0.25">
      <c r="A7326" t="s">
        <v>13054</v>
      </c>
      <c r="B7326" t="s">
        <v>1020</v>
      </c>
      <c r="C7326" s="1" t="str">
        <f>HYPERLINK("http://www.genecards.org/cgi-bin/carddisp.pl?gene=KDM4B","GeneCards")</f>
        <v>GeneCards</v>
      </c>
      <c r="D7326" s="1" t="str">
        <f>HYPERLINK("http://genome-euro.ucsc.edu/cgi-bin/hgTracks?position=212495_at","UCSC")</f>
        <v>UCSC</v>
      </c>
      <c r="E7326" s="1" t="str">
        <f>HYPERLINK("http://www.ncbi.nlm.nih.gov/gene/?term=KDM4B","NCBI")</f>
        <v>NCBI</v>
      </c>
      <c r="F7326">
        <v>0.1</v>
      </c>
      <c r="G7326">
        <v>0.23</v>
      </c>
      <c r="H7326" s="1" t="str">
        <f>HYPERLINK("http://www.weizmann.ac.il/complex/compphys/software/geview/data/figures/212495_at.png","Figure")</f>
        <v>Figure</v>
      </c>
      <c r="I7326">
        <v>0.99</v>
      </c>
      <c r="J7326">
        <v>0.99</v>
      </c>
      <c r="K7326">
        <v>0.88600000000000001</v>
      </c>
      <c r="L7326">
        <v>0.13</v>
      </c>
      <c r="M7326">
        <v>0.89400000000000002</v>
      </c>
      <c r="N7326">
        <v>0.21</v>
      </c>
    </row>
    <row r="7327" spans="1:14" x14ac:dyDescent="0.25">
      <c r="A7327" t="s">
        <v>13055</v>
      </c>
      <c r="B7327" t="s">
        <v>13056</v>
      </c>
      <c r="C7327" s="1" t="str">
        <f>HYPERLINK("http://www.genecards.org/cgi-bin/carddisp.pl?gene=SLC41A3","GeneCards")</f>
        <v>GeneCards</v>
      </c>
      <c r="D7327" s="1" t="str">
        <f>HYPERLINK("http://genome-euro.ucsc.edu/cgi-bin/hgTracks?position=219175_s_at","UCSC")</f>
        <v>UCSC</v>
      </c>
      <c r="E7327" s="1" t="str">
        <f>HYPERLINK("http://www.ncbi.nlm.nih.gov/gene/?term=SLC41A3","NCBI")</f>
        <v>NCBI</v>
      </c>
      <c r="F7327">
        <v>0.1</v>
      </c>
      <c r="G7327">
        <v>0.23</v>
      </c>
      <c r="H7327" s="1" t="str">
        <f>HYPERLINK("http://www.weizmann.ac.il/complex/compphys/software/geview/data/figures/219175_s_at.png","Figure")</f>
        <v>Figure</v>
      </c>
      <c r="I7327">
        <v>1.1499999999999999</v>
      </c>
      <c r="J7327">
        <v>0.46</v>
      </c>
      <c r="K7327">
        <v>0.89800000000000002</v>
      </c>
      <c r="L7327">
        <v>0.53</v>
      </c>
      <c r="M7327">
        <v>0.78200000000000003</v>
      </c>
      <c r="N7327">
        <v>8.5000000000000006E-2</v>
      </c>
    </row>
    <row r="7328" spans="1:14" x14ac:dyDescent="0.25">
      <c r="A7328" t="s">
        <v>13057</v>
      </c>
      <c r="B7328" t="s">
        <v>13058</v>
      </c>
      <c r="C7328" s="1" t="str">
        <f>HYPERLINK("http://www.genecards.org/cgi-bin/carddisp.pl?gene=PRR13","GeneCards")</f>
        <v>GeneCards</v>
      </c>
      <c r="D7328" s="1" t="str">
        <f>HYPERLINK("http://genome-euro.ucsc.edu/cgi-bin/hgTracks?position=217794_at","UCSC")</f>
        <v>UCSC</v>
      </c>
      <c r="E7328" s="1" t="str">
        <f>HYPERLINK("http://www.ncbi.nlm.nih.gov/gene/?term=PRR13","NCBI")</f>
        <v>NCBI</v>
      </c>
      <c r="F7328">
        <v>0.1</v>
      </c>
      <c r="G7328">
        <v>0.23</v>
      </c>
      <c r="H7328" s="1" t="str">
        <f>HYPERLINK("http://www.weizmann.ac.il/complex/compphys/software/geview/data/figures/217794_at.png","Figure")</f>
        <v>Figure</v>
      </c>
      <c r="I7328">
        <v>1.18</v>
      </c>
      <c r="J7328">
        <v>0.49</v>
      </c>
      <c r="K7328">
        <v>1.34</v>
      </c>
      <c r="L7328">
        <v>8.4000000000000005E-2</v>
      </c>
      <c r="M7328">
        <v>1.1299999999999999</v>
      </c>
      <c r="N7328">
        <v>0.63</v>
      </c>
    </row>
    <row r="7329" spans="1:14" x14ac:dyDescent="0.25">
      <c r="A7329" t="s">
        <v>13059</v>
      </c>
      <c r="B7329" t="s">
        <v>4371</v>
      </c>
      <c r="C7329" s="1" t="str">
        <f>HYPERLINK("http://www.genecards.org/cgi-bin/carddisp.pl?gene=RPL23A","GeneCards")</f>
        <v>GeneCards</v>
      </c>
      <c r="D7329" s="1" t="str">
        <f>HYPERLINK("http://genome-euro.ucsc.edu/cgi-bin/hgTracks?position=208825_x_at","UCSC")</f>
        <v>UCSC</v>
      </c>
      <c r="E7329" s="1" t="str">
        <f>HYPERLINK("http://www.ncbi.nlm.nih.gov/gene/?term=RPL23A","NCBI")</f>
        <v>NCBI</v>
      </c>
      <c r="F7329">
        <v>0.1</v>
      </c>
      <c r="G7329">
        <v>0.23</v>
      </c>
      <c r="H7329" s="1" t="str">
        <f>HYPERLINK("http://www.weizmann.ac.il/complex/compphys/software/geview/data/figures/208825_x_at.png","Figure")</f>
        <v>Figure</v>
      </c>
      <c r="I7329">
        <v>1.02</v>
      </c>
      <c r="J7329">
        <v>0.99</v>
      </c>
      <c r="K7329">
        <v>1.24</v>
      </c>
      <c r="L7329">
        <v>0.13</v>
      </c>
      <c r="M7329">
        <v>1.22</v>
      </c>
      <c r="N7329">
        <v>0.21</v>
      </c>
    </row>
    <row r="7330" spans="1:14" x14ac:dyDescent="0.25">
      <c r="A7330" t="s">
        <v>13060</v>
      </c>
      <c r="B7330" t="s">
        <v>13061</v>
      </c>
      <c r="C7330" s="1" t="str">
        <f>HYPERLINK("http://www.genecards.org/cgi-bin/carddisp.pl?gene=TUBB","GeneCards")</f>
        <v>GeneCards</v>
      </c>
      <c r="D7330" s="1" t="str">
        <f>HYPERLINK("http://genome-euro.ucsc.edu/cgi-bin/hgTracks?position=209026_x_at","UCSC")</f>
        <v>UCSC</v>
      </c>
      <c r="E7330" s="1" t="str">
        <f>HYPERLINK("http://www.ncbi.nlm.nih.gov/gene/?term=TUBB","NCBI")</f>
        <v>NCBI</v>
      </c>
      <c r="F7330">
        <v>0.1</v>
      </c>
      <c r="G7330">
        <v>0.23</v>
      </c>
      <c r="H7330" s="1" t="str">
        <f>HYPERLINK("http://www.weizmann.ac.il/complex/compphys/software/geview/data/figures/209026_x_at.png","Figure")</f>
        <v>Figure</v>
      </c>
      <c r="I7330">
        <v>1.65</v>
      </c>
      <c r="J7330">
        <v>0.32</v>
      </c>
      <c r="K7330">
        <v>1.94</v>
      </c>
      <c r="L7330">
        <v>8.8999999999999996E-2</v>
      </c>
      <c r="M7330">
        <v>1.18</v>
      </c>
      <c r="N7330">
        <v>0.85</v>
      </c>
    </row>
    <row r="7331" spans="1:14" x14ac:dyDescent="0.25">
      <c r="A7331" t="s">
        <v>13062</v>
      </c>
      <c r="B7331" t="s">
        <v>12493</v>
      </c>
      <c r="C7331" s="1" t="str">
        <f>HYPERLINK("http://www.genecards.org/cgi-bin/carddisp.pl?gene=ARIH1","GeneCards")</f>
        <v>GeneCards</v>
      </c>
      <c r="D7331" s="1" t="str">
        <f>HYPERLINK("http://genome-euro.ucsc.edu/cgi-bin/hgTracks?position=201878_at","UCSC")</f>
        <v>UCSC</v>
      </c>
      <c r="E7331" s="1" t="str">
        <f>HYPERLINK("http://www.ncbi.nlm.nih.gov/gene/?term=ARIH1","NCBI")</f>
        <v>NCBI</v>
      </c>
      <c r="F7331">
        <v>0.1</v>
      </c>
      <c r="G7331">
        <v>0.23</v>
      </c>
      <c r="H7331" s="1" t="str">
        <f>HYPERLINK("http://www.weizmann.ac.il/complex/compphys/software/geview/data/figures/201878_at.png","Figure")</f>
        <v>Figure</v>
      </c>
      <c r="I7331">
        <v>0.96199999999999997</v>
      </c>
      <c r="J7331">
        <v>0.99</v>
      </c>
      <c r="K7331">
        <v>0.624</v>
      </c>
      <c r="L7331">
        <v>0.13</v>
      </c>
      <c r="M7331">
        <v>0.64900000000000002</v>
      </c>
      <c r="N7331">
        <v>0.21</v>
      </c>
    </row>
    <row r="7332" spans="1:14" x14ac:dyDescent="0.25">
      <c r="A7332" t="s">
        <v>13063</v>
      </c>
      <c r="B7332" t="s">
        <v>13064</v>
      </c>
      <c r="C7332" s="1" t="str">
        <f>HYPERLINK("http://www.genecards.org/cgi-bin/carddisp.pl?gene=ZC3H12A","GeneCards")</f>
        <v>GeneCards</v>
      </c>
      <c r="D7332" s="1" t="str">
        <f>HYPERLINK("http://genome-euro.ucsc.edu/cgi-bin/hgTracks?position=218810_at","UCSC")</f>
        <v>UCSC</v>
      </c>
      <c r="E7332" s="1" t="str">
        <f>HYPERLINK("http://www.ncbi.nlm.nih.gov/gene/?term=ZC3H12A","NCBI")</f>
        <v>NCBI</v>
      </c>
      <c r="F7332">
        <v>0.1</v>
      </c>
      <c r="G7332">
        <v>0.23</v>
      </c>
      <c r="H7332" s="1" t="str">
        <f>HYPERLINK("http://www.weizmann.ac.il/complex/compphys/software/geview/data/figures/218810_at.png","Figure")</f>
        <v>Figure</v>
      </c>
      <c r="I7332">
        <v>0.97399999999999998</v>
      </c>
      <c r="J7332">
        <v>0.96</v>
      </c>
      <c r="K7332">
        <v>0.83099999999999996</v>
      </c>
      <c r="L7332">
        <v>0.12</v>
      </c>
      <c r="M7332">
        <v>0.85299999999999998</v>
      </c>
      <c r="N7332">
        <v>0.23</v>
      </c>
    </row>
    <row r="7333" spans="1:14" x14ac:dyDescent="0.25">
      <c r="A7333" t="s">
        <v>13065</v>
      </c>
      <c r="B7333" t="s">
        <v>3987</v>
      </c>
      <c r="C7333" s="1" t="str">
        <f>HYPERLINK("http://www.genecards.org/cgi-bin/carddisp.pl?gene=SEC22B","GeneCards")</f>
        <v>GeneCards</v>
      </c>
      <c r="D7333" s="1" t="str">
        <f>HYPERLINK("http://genome-euro.ucsc.edu/cgi-bin/hgTracks?position=209206_at","UCSC")</f>
        <v>UCSC</v>
      </c>
      <c r="E7333" s="1" t="str">
        <f>HYPERLINK("http://www.ncbi.nlm.nih.gov/gene/?term=SEC22B","NCBI")</f>
        <v>NCBI</v>
      </c>
      <c r="F7333">
        <v>0.1</v>
      </c>
      <c r="G7333">
        <v>0.23</v>
      </c>
      <c r="H7333" s="1" t="str">
        <f>HYPERLINK("http://www.weizmann.ac.il/complex/compphys/software/geview/data/figures/209206_at.png","Figure")</f>
        <v>Figure</v>
      </c>
      <c r="I7333">
        <v>0.84799999999999998</v>
      </c>
      <c r="J7333">
        <v>0.12</v>
      </c>
      <c r="K7333">
        <v>0.98199999999999998</v>
      </c>
      <c r="L7333">
        <v>0.96</v>
      </c>
      <c r="M7333">
        <v>1.1599999999999999</v>
      </c>
      <c r="N7333">
        <v>0.14000000000000001</v>
      </c>
    </row>
    <row r="7334" spans="1:14" x14ac:dyDescent="0.25">
      <c r="A7334" t="s">
        <v>13066</v>
      </c>
      <c r="B7334" t="s">
        <v>2377</v>
      </c>
      <c r="C7334" s="1" t="str">
        <f>HYPERLINK("http://www.genecards.org/cgi-bin/carddisp.pl?gene=JMJD6","GeneCards")</f>
        <v>GeneCards</v>
      </c>
      <c r="D7334" s="1" t="str">
        <f>HYPERLINK("http://genome-euro.ucsc.edu/cgi-bin/hgTracks?position=212723_at","UCSC")</f>
        <v>UCSC</v>
      </c>
      <c r="E7334" s="1" t="str">
        <f>HYPERLINK("http://www.ncbi.nlm.nih.gov/gene/?term=JMJD6","NCBI")</f>
        <v>NCBI</v>
      </c>
      <c r="F7334">
        <v>0.1</v>
      </c>
      <c r="G7334">
        <v>0.23</v>
      </c>
      <c r="H7334" s="1" t="str">
        <f>HYPERLINK("http://www.weizmann.ac.il/complex/compphys/software/geview/data/figures/212723_at.png","Figure")</f>
        <v>Figure</v>
      </c>
      <c r="I7334">
        <v>0.55900000000000005</v>
      </c>
      <c r="J7334">
        <v>8.5999999999999993E-2</v>
      </c>
      <c r="K7334">
        <v>0.80600000000000005</v>
      </c>
      <c r="L7334">
        <v>0.59</v>
      </c>
      <c r="M7334">
        <v>1.44</v>
      </c>
      <c r="N7334">
        <v>0.28999999999999998</v>
      </c>
    </row>
    <row r="7335" spans="1:14" x14ac:dyDescent="0.25">
      <c r="A7335" t="s">
        <v>13067</v>
      </c>
      <c r="B7335" t="s">
        <v>4333</v>
      </c>
      <c r="C7335" s="1" t="str">
        <f>HYPERLINK("http://www.genecards.org/cgi-bin/carddisp.pl?gene=LRRN2","GeneCards")</f>
        <v>GeneCards</v>
      </c>
      <c r="D7335" s="1" t="str">
        <f>HYPERLINK("http://genome-euro.ucsc.edu/cgi-bin/hgTracks?position=216164_at","UCSC")</f>
        <v>UCSC</v>
      </c>
      <c r="E7335" s="1" t="str">
        <f>HYPERLINK("http://www.ncbi.nlm.nih.gov/gene/?term=LRRN2","NCBI")</f>
        <v>NCBI</v>
      </c>
      <c r="F7335">
        <v>0.1</v>
      </c>
      <c r="G7335">
        <v>0.23</v>
      </c>
      <c r="H7335" s="1" t="str">
        <f>HYPERLINK("http://www.weizmann.ac.il/complex/compphys/software/geview/data/figures/216164_at.png","Figure")</f>
        <v>Figure</v>
      </c>
      <c r="I7335">
        <v>1.19</v>
      </c>
      <c r="J7335">
        <v>8.8999999999999996E-2</v>
      </c>
      <c r="K7335">
        <v>1.06</v>
      </c>
      <c r="L7335">
        <v>0.68</v>
      </c>
      <c r="M7335">
        <v>0.89100000000000001</v>
      </c>
      <c r="N7335">
        <v>0.25</v>
      </c>
    </row>
    <row r="7336" spans="1:14" x14ac:dyDescent="0.25">
      <c r="A7336" t="s">
        <v>13068</v>
      </c>
      <c r="B7336" t="s">
        <v>13069</v>
      </c>
      <c r="C7336" s="1" t="str">
        <f>HYPERLINK("http://www.genecards.org/cgi-bin/carddisp.pl?gene=PTPRH","GeneCards")</f>
        <v>GeneCards</v>
      </c>
      <c r="D7336" s="1" t="str">
        <f>HYPERLINK("http://genome-euro.ucsc.edu/cgi-bin/hgTracks?position=208300_at","UCSC")</f>
        <v>UCSC</v>
      </c>
      <c r="E7336" s="1" t="str">
        <f>HYPERLINK("http://www.ncbi.nlm.nih.gov/gene/?term=PTPRH","NCBI")</f>
        <v>NCBI</v>
      </c>
      <c r="F7336">
        <v>0.1</v>
      </c>
      <c r="G7336">
        <v>0.23</v>
      </c>
      <c r="H7336" s="1" t="str">
        <f>HYPERLINK("http://www.weizmann.ac.il/complex/compphys/software/geview/data/figures/208300_at.png","Figure")</f>
        <v>Figure</v>
      </c>
      <c r="I7336">
        <v>1.2</v>
      </c>
      <c r="J7336">
        <v>0.11</v>
      </c>
      <c r="K7336">
        <v>1.03</v>
      </c>
      <c r="L7336">
        <v>0.91</v>
      </c>
      <c r="M7336">
        <v>0.85899999999999999</v>
      </c>
      <c r="N7336">
        <v>0.16</v>
      </c>
    </row>
    <row r="7337" spans="1:14" x14ac:dyDescent="0.25">
      <c r="A7337" t="s">
        <v>13070</v>
      </c>
      <c r="B7337" t="s">
        <v>13071</v>
      </c>
      <c r="C7337" s="1" t="str">
        <f>HYPERLINK("http://www.genecards.org/cgi-bin/carddisp.pl?gene=MPP2","GeneCards")</f>
        <v>GeneCards</v>
      </c>
      <c r="D7337" s="1" t="str">
        <f>HYPERLINK("http://genome-euro.ucsc.edu/cgi-bin/hgTracks?position=207984_s_at","UCSC")</f>
        <v>UCSC</v>
      </c>
      <c r="E7337" s="1" t="str">
        <f>HYPERLINK("http://www.ncbi.nlm.nih.gov/gene/?term=MPP2","NCBI")</f>
        <v>NCBI</v>
      </c>
      <c r="F7337">
        <v>0.1</v>
      </c>
      <c r="G7337">
        <v>0.23</v>
      </c>
      <c r="H7337" s="1" t="str">
        <f>HYPERLINK("http://www.weizmann.ac.il/complex/compphys/software/geview/data/figures/207984_s_at.png","Figure")</f>
        <v>Figure</v>
      </c>
      <c r="I7337">
        <v>1.24</v>
      </c>
      <c r="J7337">
        <v>0.09</v>
      </c>
      <c r="K7337">
        <v>1.07</v>
      </c>
      <c r="L7337">
        <v>0.7</v>
      </c>
      <c r="M7337">
        <v>0.86299999999999999</v>
      </c>
      <c r="N7337">
        <v>0.24</v>
      </c>
    </row>
    <row r="7338" spans="1:14" x14ac:dyDescent="0.25">
      <c r="A7338" t="s">
        <v>13072</v>
      </c>
      <c r="B7338" t="s">
        <v>13073</v>
      </c>
      <c r="C7338" s="1" t="str">
        <f>HYPERLINK("http://www.genecards.org/cgi-bin/carddisp.pl?gene=HTRA1","GeneCards")</f>
        <v>GeneCards</v>
      </c>
      <c r="D7338" s="1" t="str">
        <f>HYPERLINK("http://genome-euro.ucsc.edu/cgi-bin/hgTracks?position=201185_at","UCSC")</f>
        <v>UCSC</v>
      </c>
      <c r="E7338" s="1" t="str">
        <f>HYPERLINK("http://www.ncbi.nlm.nih.gov/gene/?term=HTRA1","NCBI")</f>
        <v>NCBI</v>
      </c>
      <c r="F7338">
        <v>0.1</v>
      </c>
      <c r="G7338">
        <v>0.23</v>
      </c>
      <c r="H7338" s="1" t="str">
        <f>HYPERLINK("http://www.weizmann.ac.il/complex/compphys/software/geview/data/figures/201185_at.png","Figure")</f>
        <v>Figure</v>
      </c>
      <c r="I7338">
        <v>1.1200000000000001</v>
      </c>
      <c r="J7338">
        <v>0.22</v>
      </c>
      <c r="K7338">
        <v>0.97699999999999998</v>
      </c>
      <c r="L7338">
        <v>0.9</v>
      </c>
      <c r="M7338">
        <v>0.875</v>
      </c>
      <c r="N7338">
        <v>9.2999999999999999E-2</v>
      </c>
    </row>
    <row r="7339" spans="1:14" x14ac:dyDescent="0.25">
      <c r="A7339" t="s">
        <v>13074</v>
      </c>
      <c r="B7339" t="s">
        <v>1402</v>
      </c>
      <c r="C7339" s="1" t="str">
        <f>HYPERLINK("http://www.genecards.org/cgi-bin/carddisp.pl?gene=MED14","GeneCards")</f>
        <v>GeneCards</v>
      </c>
      <c r="D7339" s="1" t="str">
        <f>HYPERLINK("http://genome-euro.ucsc.edu/cgi-bin/hgTracks?position=202610_s_at","UCSC")</f>
        <v>UCSC</v>
      </c>
      <c r="E7339" s="1" t="str">
        <f>HYPERLINK("http://www.ncbi.nlm.nih.gov/gene/?term=MED14","NCBI")</f>
        <v>NCBI</v>
      </c>
      <c r="F7339">
        <v>0.1</v>
      </c>
      <c r="G7339">
        <v>0.23</v>
      </c>
      <c r="H7339" s="1" t="str">
        <f>HYPERLINK("http://www.weizmann.ac.il/complex/compphys/software/geview/data/figures/202610_s_at.png","Figure")</f>
        <v>Figure</v>
      </c>
      <c r="I7339">
        <v>0.72599999999999998</v>
      </c>
      <c r="J7339">
        <v>9.5000000000000001E-2</v>
      </c>
      <c r="K7339">
        <v>0.92</v>
      </c>
      <c r="L7339">
        <v>0.78</v>
      </c>
      <c r="M7339">
        <v>1.27</v>
      </c>
      <c r="N7339">
        <v>0.21</v>
      </c>
    </row>
    <row r="7340" spans="1:14" x14ac:dyDescent="0.25">
      <c r="A7340" t="s">
        <v>13075</v>
      </c>
      <c r="B7340" t="s">
        <v>9791</v>
      </c>
      <c r="C7340" s="1" t="str">
        <f>HYPERLINK("http://www.genecards.org/cgi-bin/carddisp.pl?gene=TK2","GeneCards")</f>
        <v>GeneCards</v>
      </c>
      <c r="D7340" s="1" t="str">
        <f>HYPERLINK("http://genome-euro.ucsc.edu/cgi-bin/hgTracks?position=204276_at","UCSC")</f>
        <v>UCSC</v>
      </c>
      <c r="E7340" s="1" t="str">
        <f>HYPERLINK("http://www.ncbi.nlm.nih.gov/gene/?term=TK2","NCBI")</f>
        <v>NCBI</v>
      </c>
      <c r="F7340">
        <v>0.1</v>
      </c>
      <c r="G7340">
        <v>0.23</v>
      </c>
      <c r="H7340" s="1" t="str">
        <f>HYPERLINK("http://www.weizmann.ac.il/complex/compphys/software/geview/data/figures/204276_at.png","Figure")</f>
        <v>Figure</v>
      </c>
      <c r="I7340">
        <v>0.84499999999999997</v>
      </c>
      <c r="J7340">
        <v>0.22</v>
      </c>
      <c r="K7340">
        <v>0.83099999999999996</v>
      </c>
      <c r="L7340">
        <v>0.1</v>
      </c>
      <c r="M7340">
        <v>0.98399999999999999</v>
      </c>
      <c r="N7340">
        <v>0.98</v>
      </c>
    </row>
    <row r="7341" spans="1:14" x14ac:dyDescent="0.25">
      <c r="A7341" t="s">
        <v>13076</v>
      </c>
      <c r="B7341" t="s">
        <v>13077</v>
      </c>
      <c r="C7341" s="1" t="str">
        <f>HYPERLINK("http://www.genecards.org/cgi-bin/carddisp.pl?gene=INSL4","GeneCards")</f>
        <v>GeneCards</v>
      </c>
      <c r="D7341" s="1" t="str">
        <f>HYPERLINK("http://genome-euro.ucsc.edu/cgi-bin/hgTracks?position=206549_at","UCSC")</f>
        <v>UCSC</v>
      </c>
      <c r="E7341" s="1" t="str">
        <f>HYPERLINK("http://www.ncbi.nlm.nih.gov/gene/?term=INSL4","NCBI")</f>
        <v>NCBI</v>
      </c>
      <c r="F7341">
        <v>0.1</v>
      </c>
      <c r="G7341">
        <v>0.23</v>
      </c>
      <c r="H7341" s="1" t="str">
        <f>HYPERLINK("http://www.weizmann.ac.il/complex/compphys/software/geview/data/figures/206549_at.png","Figure")</f>
        <v>Figure</v>
      </c>
      <c r="I7341">
        <v>1.1100000000000001</v>
      </c>
      <c r="J7341">
        <v>8.7999999999999995E-2</v>
      </c>
      <c r="K7341">
        <v>1.06</v>
      </c>
      <c r="L7341">
        <v>0.33</v>
      </c>
      <c r="M7341">
        <v>0.95599999999999996</v>
      </c>
      <c r="N7341">
        <v>0.53</v>
      </c>
    </row>
    <row r="7342" spans="1:14" x14ac:dyDescent="0.25">
      <c r="A7342" t="s">
        <v>13078</v>
      </c>
      <c r="B7342" t="s">
        <v>7752</v>
      </c>
      <c r="C7342" s="1" t="str">
        <f>HYPERLINK("http://www.genecards.org/cgi-bin/carddisp.pl?gene=COL6A1","GeneCards")</f>
        <v>GeneCards</v>
      </c>
      <c r="D7342" s="1" t="str">
        <f>HYPERLINK("http://genome-euro.ucsc.edu/cgi-bin/hgTracks?position=212937_s_at","UCSC")</f>
        <v>UCSC</v>
      </c>
      <c r="E7342" s="1" t="str">
        <f>HYPERLINK("http://www.ncbi.nlm.nih.gov/gene/?term=COL6A1","NCBI")</f>
        <v>NCBI</v>
      </c>
      <c r="F7342">
        <v>0.1</v>
      </c>
      <c r="G7342">
        <v>0.23</v>
      </c>
      <c r="H7342" s="1" t="str">
        <f>HYPERLINK("http://www.weizmann.ac.il/complex/compphys/software/geview/data/figures/212937_s_at.png","Figure")</f>
        <v>Figure</v>
      </c>
      <c r="I7342">
        <v>1.23</v>
      </c>
      <c r="J7342">
        <v>9.7000000000000003E-2</v>
      </c>
      <c r="K7342">
        <v>1.1499999999999999</v>
      </c>
      <c r="L7342">
        <v>0.25</v>
      </c>
      <c r="M7342">
        <v>0.92800000000000005</v>
      </c>
      <c r="N7342">
        <v>0.67</v>
      </c>
    </row>
    <row r="7343" spans="1:14" x14ac:dyDescent="0.25">
      <c r="A7343" t="s">
        <v>13079</v>
      </c>
      <c r="B7343" t="s">
        <v>13080</v>
      </c>
      <c r="C7343" s="1" t="str">
        <f>HYPERLINK("http://www.genecards.org/cgi-bin/carddisp.pl?gene=ADAMTS2","GeneCards")</f>
        <v>GeneCards</v>
      </c>
      <c r="D7343" s="1" t="str">
        <f>HYPERLINK("http://genome-euro.ucsc.edu/cgi-bin/hgTracks?position=214535_s_at","UCSC")</f>
        <v>UCSC</v>
      </c>
      <c r="E7343" s="1" t="str">
        <f>HYPERLINK("http://www.ncbi.nlm.nih.gov/gene/?term=ADAMTS2","NCBI")</f>
        <v>NCBI</v>
      </c>
      <c r="F7343">
        <v>0.1</v>
      </c>
      <c r="G7343">
        <v>0.23</v>
      </c>
      <c r="H7343" s="1" t="str">
        <f>HYPERLINK("http://www.weizmann.ac.il/complex/compphys/software/geview/data/figures/214535_s_at.png","Figure")</f>
        <v>Figure</v>
      </c>
      <c r="I7343">
        <v>1.1599999999999999</v>
      </c>
      <c r="J7343">
        <v>8.5999999999999993E-2</v>
      </c>
      <c r="K7343">
        <v>1.06</v>
      </c>
      <c r="L7343">
        <v>0.59</v>
      </c>
      <c r="M7343">
        <v>0.91200000000000003</v>
      </c>
      <c r="N7343">
        <v>0.3</v>
      </c>
    </row>
    <row r="7344" spans="1:14" x14ac:dyDescent="0.25">
      <c r="A7344" t="s">
        <v>13081</v>
      </c>
      <c r="B7344" t="s">
        <v>13082</v>
      </c>
      <c r="C7344" s="1" t="str">
        <f>HYPERLINK("http://www.genecards.org/cgi-bin/carddisp.pl?gene=TMEM134","GeneCards")</f>
        <v>GeneCards</v>
      </c>
      <c r="D7344" s="1" t="str">
        <f>HYPERLINK("http://genome-euro.ucsc.edu/cgi-bin/hgTracks?position=218531_at","UCSC")</f>
        <v>UCSC</v>
      </c>
      <c r="E7344" s="1" t="str">
        <f>HYPERLINK("http://www.ncbi.nlm.nih.gov/gene/?term=TMEM134","NCBI")</f>
        <v>NCBI</v>
      </c>
      <c r="F7344">
        <v>0.1</v>
      </c>
      <c r="G7344">
        <v>0.23</v>
      </c>
      <c r="H7344" s="1" t="str">
        <f>HYPERLINK("http://www.weizmann.ac.il/complex/compphys/software/geview/data/figures/218531_at.png","Figure")</f>
        <v>Figure</v>
      </c>
      <c r="I7344">
        <v>0.80900000000000005</v>
      </c>
      <c r="J7344">
        <v>0.14000000000000001</v>
      </c>
      <c r="K7344">
        <v>0.83599999999999997</v>
      </c>
      <c r="L7344">
        <v>0.15</v>
      </c>
      <c r="M7344">
        <v>1.03</v>
      </c>
      <c r="N7344">
        <v>0.94</v>
      </c>
    </row>
    <row r="7345" spans="1:14" x14ac:dyDescent="0.25">
      <c r="A7345" t="s">
        <v>13083</v>
      </c>
      <c r="B7345" t="s">
        <v>13084</v>
      </c>
      <c r="C7345" s="1" t="str">
        <f>HYPERLINK("http://www.genecards.org/cgi-bin/carddisp.pl?gene=ZNF862","GeneCards")</f>
        <v>GeneCards</v>
      </c>
      <c r="D7345" s="1" t="str">
        <f>HYPERLINK("http://genome-euro.ucsc.edu/cgi-bin/hgTracks?position=213444_at","UCSC")</f>
        <v>UCSC</v>
      </c>
      <c r="E7345" s="1" t="str">
        <f>HYPERLINK("http://www.ncbi.nlm.nih.gov/gene/?term=ZNF862","NCBI")</f>
        <v>NCBI</v>
      </c>
      <c r="F7345">
        <v>0.1</v>
      </c>
      <c r="G7345">
        <v>0.23</v>
      </c>
      <c r="H7345" s="1" t="str">
        <f>HYPERLINK("http://www.weizmann.ac.il/complex/compphys/software/geview/data/figures/213444_at.png","Figure")</f>
        <v>Figure</v>
      </c>
      <c r="I7345">
        <v>1.03</v>
      </c>
      <c r="J7345">
        <v>0.95</v>
      </c>
      <c r="K7345">
        <v>1.22</v>
      </c>
      <c r="L7345">
        <v>0.12</v>
      </c>
      <c r="M7345">
        <v>1.18</v>
      </c>
      <c r="N7345">
        <v>0.25</v>
      </c>
    </row>
    <row r="7346" spans="1:14" x14ac:dyDescent="0.25">
      <c r="A7346" t="s">
        <v>13085</v>
      </c>
      <c r="B7346" t="s">
        <v>6894</v>
      </c>
      <c r="C7346" s="1" t="str">
        <f>HYPERLINK("http://www.genecards.org/cgi-bin/carddisp.pl?gene=CD6","GeneCards")</f>
        <v>GeneCards</v>
      </c>
      <c r="D7346" s="1" t="str">
        <f>HYPERLINK("http://genome-euro.ucsc.edu/cgi-bin/hgTracks?position=211893_x_at","UCSC")</f>
        <v>UCSC</v>
      </c>
      <c r="E7346" s="1" t="str">
        <f>HYPERLINK("http://www.ncbi.nlm.nih.gov/gene/?term=CD6","NCBI")</f>
        <v>NCBI</v>
      </c>
      <c r="F7346">
        <v>0.1</v>
      </c>
      <c r="G7346">
        <v>0.23</v>
      </c>
      <c r="H7346" s="1" t="str">
        <f>HYPERLINK("http://www.weizmann.ac.il/complex/compphys/software/geview/data/figures/211893_x_at.png","Figure")</f>
        <v>Figure</v>
      </c>
      <c r="I7346">
        <v>1.1200000000000001</v>
      </c>
      <c r="J7346">
        <v>0.17</v>
      </c>
      <c r="K7346">
        <v>0.99099999999999999</v>
      </c>
      <c r="L7346">
        <v>0.98</v>
      </c>
      <c r="M7346">
        <v>0.88700000000000001</v>
      </c>
      <c r="N7346">
        <v>0.1</v>
      </c>
    </row>
    <row r="7347" spans="1:14" x14ac:dyDescent="0.25">
      <c r="A7347" t="s">
        <v>13086</v>
      </c>
      <c r="B7347" t="s">
        <v>13087</v>
      </c>
      <c r="C7347" s="1" t="str">
        <f>HYPERLINK("http://www.genecards.org/cgi-bin/carddisp.pl?gene=GPSM3","GeneCards")</f>
        <v>GeneCards</v>
      </c>
      <c r="D7347" s="1" t="str">
        <f>HYPERLINK("http://genome-euro.ucsc.edu/cgi-bin/hgTracks?position=214847_s_at","UCSC")</f>
        <v>UCSC</v>
      </c>
      <c r="E7347" s="1" t="str">
        <f>HYPERLINK("http://www.ncbi.nlm.nih.gov/gene/?term=GPSM3","NCBI")</f>
        <v>NCBI</v>
      </c>
      <c r="F7347">
        <v>0.1</v>
      </c>
      <c r="G7347">
        <v>0.23</v>
      </c>
      <c r="H7347" s="1" t="str">
        <f>HYPERLINK("http://www.weizmann.ac.il/complex/compphys/software/geview/data/figures/214847_s_at.png","Figure")</f>
        <v>Figure</v>
      </c>
      <c r="I7347">
        <v>1.46</v>
      </c>
      <c r="J7347">
        <v>8.8999999999999996E-2</v>
      </c>
      <c r="K7347">
        <v>1.23</v>
      </c>
      <c r="L7347">
        <v>0.33</v>
      </c>
      <c r="M7347">
        <v>0.84599999999999997</v>
      </c>
      <c r="N7347">
        <v>0.53</v>
      </c>
    </row>
    <row r="7348" spans="1:14" x14ac:dyDescent="0.25">
      <c r="A7348" t="s">
        <v>13088</v>
      </c>
      <c r="B7348" t="s">
        <v>6616</v>
      </c>
      <c r="C7348" s="1" t="str">
        <f>HYPERLINK("http://www.genecards.org/cgi-bin/carddisp.pl?gene=UBE2D4","GeneCards")</f>
        <v>GeneCards</v>
      </c>
      <c r="D7348" s="1" t="str">
        <f>HYPERLINK("http://genome-euro.ucsc.edu/cgi-bin/hgTracks?position=65521_at","UCSC")</f>
        <v>UCSC</v>
      </c>
      <c r="E7348" s="1" t="str">
        <f>HYPERLINK("http://www.ncbi.nlm.nih.gov/gene/?term=UBE2D4","NCBI")</f>
        <v>NCBI</v>
      </c>
      <c r="F7348">
        <v>0.1</v>
      </c>
      <c r="G7348">
        <v>0.23</v>
      </c>
      <c r="H7348" s="1" t="str">
        <f>HYPERLINK("http://www.weizmann.ac.il/complex/compphys/software/geview/data/figures/65521_at.png","Figure")</f>
        <v>Figure</v>
      </c>
      <c r="I7348">
        <v>1.24</v>
      </c>
      <c r="J7348">
        <v>8.5999999999999993E-2</v>
      </c>
      <c r="K7348">
        <v>1.1200000000000001</v>
      </c>
      <c r="L7348">
        <v>0.38</v>
      </c>
      <c r="M7348">
        <v>0.90100000000000002</v>
      </c>
      <c r="N7348">
        <v>0.47</v>
      </c>
    </row>
    <row r="7349" spans="1:14" x14ac:dyDescent="0.25">
      <c r="A7349" t="s">
        <v>13089</v>
      </c>
      <c r="B7349" t="s">
        <v>13090</v>
      </c>
      <c r="C7349" s="1" t="str">
        <f>HYPERLINK("http://www.genecards.org/cgi-bin/carddisp.pl?gene=PHB2","GeneCards")</f>
        <v>GeneCards</v>
      </c>
      <c r="D7349" s="1" t="str">
        <f>HYPERLINK("http://genome-euro.ucsc.edu/cgi-bin/hgTracks?position=201600_at","UCSC")</f>
        <v>UCSC</v>
      </c>
      <c r="E7349" s="1" t="str">
        <f>HYPERLINK("http://www.ncbi.nlm.nih.gov/gene/?term=PHB2","NCBI")</f>
        <v>NCBI</v>
      </c>
      <c r="F7349">
        <v>0.1</v>
      </c>
      <c r="G7349">
        <v>0.23</v>
      </c>
      <c r="H7349" s="1" t="str">
        <f>HYPERLINK("http://www.weizmann.ac.il/complex/compphys/software/geview/data/figures/201600_at.png","Figure")</f>
        <v>Figure</v>
      </c>
      <c r="I7349">
        <v>1.1499999999999999</v>
      </c>
      <c r="J7349">
        <v>0.75</v>
      </c>
      <c r="K7349">
        <v>1.46</v>
      </c>
      <c r="L7349">
        <v>9.2999999999999999E-2</v>
      </c>
      <c r="M7349">
        <v>1.27</v>
      </c>
      <c r="N7349">
        <v>0.39</v>
      </c>
    </row>
    <row r="7350" spans="1:14" x14ac:dyDescent="0.25">
      <c r="A7350" t="s">
        <v>13091</v>
      </c>
      <c r="B7350" t="s">
        <v>5497</v>
      </c>
      <c r="C7350" s="1" t="str">
        <f>HYPERLINK("http://www.genecards.org/cgi-bin/carddisp.pl?gene=ABCC1","GeneCards")</f>
        <v>GeneCards</v>
      </c>
      <c r="D7350" s="1" t="str">
        <f>HYPERLINK("http://genome-euro.ucsc.edu/cgi-bin/hgTracks?position=202805_s_at","UCSC")</f>
        <v>UCSC</v>
      </c>
      <c r="E7350" s="1" t="str">
        <f>HYPERLINK("http://www.ncbi.nlm.nih.gov/gene/?term=ABCC1","NCBI")</f>
        <v>NCBI</v>
      </c>
      <c r="F7350">
        <v>0.1</v>
      </c>
      <c r="G7350">
        <v>0.23</v>
      </c>
      <c r="H7350" s="1" t="str">
        <f>HYPERLINK("http://www.weizmann.ac.il/complex/compphys/software/geview/data/figures/202805_s_at.png","Figure")</f>
        <v>Figure</v>
      </c>
      <c r="I7350">
        <v>0.98099999999999998</v>
      </c>
      <c r="J7350">
        <v>0.93</v>
      </c>
      <c r="K7350">
        <v>0.90500000000000003</v>
      </c>
      <c r="L7350">
        <v>0.11</v>
      </c>
      <c r="M7350">
        <v>0.92300000000000004</v>
      </c>
      <c r="N7350">
        <v>0.26</v>
      </c>
    </row>
    <row r="7351" spans="1:14" x14ac:dyDescent="0.25">
      <c r="A7351" t="s">
        <v>13092</v>
      </c>
      <c r="B7351" t="s">
        <v>13093</v>
      </c>
      <c r="C7351" s="1" t="str">
        <f>HYPERLINK("http://www.genecards.org/cgi-bin/carddisp.pl?gene=TKT","GeneCards")</f>
        <v>GeneCards</v>
      </c>
      <c r="D7351" s="1" t="str">
        <f>HYPERLINK("http://genome-euro.ucsc.edu/cgi-bin/hgTracks?position=208700_s_at","UCSC")</f>
        <v>UCSC</v>
      </c>
      <c r="E7351" s="1" t="str">
        <f>HYPERLINK("http://www.ncbi.nlm.nih.gov/gene/?term=TKT","NCBI")</f>
        <v>NCBI</v>
      </c>
      <c r="F7351">
        <v>0.1</v>
      </c>
      <c r="G7351">
        <v>0.23</v>
      </c>
      <c r="H7351" s="1" t="str">
        <f>HYPERLINK("http://www.weizmann.ac.il/complex/compphys/software/geview/data/figures/208700_s_at.png","Figure")</f>
        <v>Figure</v>
      </c>
      <c r="I7351">
        <v>0.75900000000000001</v>
      </c>
      <c r="J7351">
        <v>0.53</v>
      </c>
      <c r="K7351">
        <v>0.59799999999999998</v>
      </c>
      <c r="L7351">
        <v>8.5000000000000006E-2</v>
      </c>
      <c r="M7351">
        <v>0.78700000000000003</v>
      </c>
      <c r="N7351">
        <v>0.57999999999999996</v>
      </c>
    </row>
    <row r="7352" spans="1:14" x14ac:dyDescent="0.25">
      <c r="A7352" t="s">
        <v>13094</v>
      </c>
      <c r="B7352" t="s">
        <v>13095</v>
      </c>
      <c r="C7352" s="1" t="str">
        <f>HYPERLINK("http://www.genecards.org/cgi-bin/carddisp.pl?gene=C20orf111","GeneCards")</f>
        <v>GeneCards</v>
      </c>
      <c r="D7352" s="1" t="str">
        <f>HYPERLINK("http://genome-euro.ucsc.edu/cgi-bin/hgTracks?position=209020_at","UCSC")</f>
        <v>UCSC</v>
      </c>
      <c r="E7352" s="1" t="str">
        <f>HYPERLINK("http://www.ncbi.nlm.nih.gov/gene/?term=C20orf111","NCBI")</f>
        <v>NCBI</v>
      </c>
      <c r="F7352">
        <v>0.1</v>
      </c>
      <c r="G7352">
        <v>0.23</v>
      </c>
      <c r="H7352" s="1" t="str">
        <f>HYPERLINK("http://www.weizmann.ac.il/complex/compphys/software/geview/data/figures/209020_at.png","Figure")</f>
        <v>Figure</v>
      </c>
      <c r="I7352">
        <v>0.98</v>
      </c>
      <c r="J7352">
        <v>1</v>
      </c>
      <c r="K7352">
        <v>0.628</v>
      </c>
      <c r="L7352">
        <v>0.14000000000000001</v>
      </c>
      <c r="M7352">
        <v>0.64100000000000001</v>
      </c>
      <c r="N7352">
        <v>0.2</v>
      </c>
    </row>
    <row r="7353" spans="1:14" x14ac:dyDescent="0.25">
      <c r="A7353" t="s">
        <v>13096</v>
      </c>
      <c r="B7353" t="s">
        <v>2535</v>
      </c>
      <c r="C7353" s="1" t="str">
        <f>HYPERLINK("http://www.genecards.org/cgi-bin/carddisp.pl?gene=CD44","GeneCards")</f>
        <v>GeneCards</v>
      </c>
      <c r="D7353" s="1" t="str">
        <f>HYPERLINK("http://genome-euro.ucsc.edu/cgi-bin/hgTracks?position=209835_x_at","UCSC")</f>
        <v>UCSC</v>
      </c>
      <c r="E7353" s="1" t="str">
        <f>HYPERLINK("http://www.ncbi.nlm.nih.gov/gene/?term=CD44","NCBI")</f>
        <v>NCBI</v>
      </c>
      <c r="F7353">
        <v>0.1</v>
      </c>
      <c r="G7353">
        <v>0.23</v>
      </c>
      <c r="H7353" s="1" t="str">
        <f>HYPERLINK("http://www.weizmann.ac.il/complex/compphys/software/geview/data/figures/209835_x_at.png","Figure")</f>
        <v>Figure</v>
      </c>
      <c r="I7353">
        <v>1.31</v>
      </c>
      <c r="J7353">
        <v>0.45</v>
      </c>
      <c r="K7353">
        <v>1.56</v>
      </c>
      <c r="L7353">
        <v>8.5000000000000006E-2</v>
      </c>
      <c r="M7353">
        <v>1.19</v>
      </c>
      <c r="N7353">
        <v>0.67</v>
      </c>
    </row>
    <row r="7354" spans="1:14" x14ac:dyDescent="0.25">
      <c r="A7354" t="s">
        <v>13097</v>
      </c>
      <c r="B7354" t="s">
        <v>10256</v>
      </c>
      <c r="C7354" s="1" t="str">
        <f>HYPERLINK("http://www.genecards.org/cgi-bin/carddisp.pl?gene=SWAP70","GeneCards")</f>
        <v>GeneCards</v>
      </c>
      <c r="D7354" s="1" t="str">
        <f>HYPERLINK("http://genome-euro.ucsc.edu/cgi-bin/hgTracks?position=210369_at","UCSC")</f>
        <v>UCSC</v>
      </c>
      <c r="E7354" s="1" t="str">
        <f>HYPERLINK("http://www.ncbi.nlm.nih.gov/gene/?term=SWAP70","NCBI")</f>
        <v>NCBI</v>
      </c>
      <c r="F7354">
        <v>0.1</v>
      </c>
      <c r="G7354">
        <v>0.23</v>
      </c>
      <c r="H7354" s="1" t="str">
        <f>HYPERLINK("http://www.weizmann.ac.il/complex/compphys/software/geview/data/figures/210369_at.png","Figure")</f>
        <v>Figure</v>
      </c>
      <c r="I7354">
        <v>1</v>
      </c>
      <c r="J7354">
        <v>1</v>
      </c>
      <c r="K7354">
        <v>0.71299999999999997</v>
      </c>
      <c r="L7354">
        <v>0.15</v>
      </c>
      <c r="M7354">
        <v>0.71099999999999997</v>
      </c>
      <c r="N7354">
        <v>0.18</v>
      </c>
    </row>
    <row r="7355" spans="1:14" x14ac:dyDescent="0.25">
      <c r="A7355" t="s">
        <v>13098</v>
      </c>
      <c r="B7355" t="s">
        <v>13099</v>
      </c>
      <c r="C7355" s="1" t="str">
        <f>HYPERLINK("http://www.genecards.org/cgi-bin/carddisp.pl?gene=GCK","GeneCards")</f>
        <v>GeneCards</v>
      </c>
      <c r="D7355" s="1" t="str">
        <f>HYPERLINK("http://genome-euro.ucsc.edu/cgi-bin/hgTracks?position=211167_s_at","UCSC")</f>
        <v>UCSC</v>
      </c>
      <c r="E7355" s="1" t="str">
        <f>HYPERLINK("http://www.ncbi.nlm.nih.gov/gene/?term=GCK","NCBI")</f>
        <v>NCBI</v>
      </c>
      <c r="F7355">
        <v>0.1</v>
      </c>
      <c r="G7355">
        <v>0.23</v>
      </c>
      <c r="H7355" s="1" t="str">
        <f>HYPERLINK("http://www.weizmann.ac.il/complex/compphys/software/geview/data/figures/211167_s_at.png","Figure")</f>
        <v>Figure</v>
      </c>
      <c r="I7355">
        <v>1.18</v>
      </c>
      <c r="J7355">
        <v>8.5999999999999993E-2</v>
      </c>
      <c r="K7355">
        <v>1.0900000000000001</v>
      </c>
      <c r="L7355">
        <v>0.39</v>
      </c>
      <c r="M7355">
        <v>0.92</v>
      </c>
      <c r="N7355">
        <v>0.45</v>
      </c>
    </row>
    <row r="7356" spans="1:14" x14ac:dyDescent="0.25">
      <c r="A7356" t="s">
        <v>13100</v>
      </c>
      <c r="B7356" t="s">
        <v>13101</v>
      </c>
      <c r="C7356" s="1" t="str">
        <f>HYPERLINK("http://www.genecards.org/cgi-bin/carddisp.pl?gene=MTMR4","GeneCards")</f>
        <v>GeneCards</v>
      </c>
      <c r="D7356" s="1" t="str">
        <f>HYPERLINK("http://genome-euro.ucsc.edu/cgi-bin/hgTracks?position=214268_s_at","UCSC")</f>
        <v>UCSC</v>
      </c>
      <c r="E7356" s="1" t="str">
        <f>HYPERLINK("http://www.ncbi.nlm.nih.gov/gene/?term=MTMR4","NCBI")</f>
        <v>NCBI</v>
      </c>
      <c r="F7356">
        <v>0.1</v>
      </c>
      <c r="G7356">
        <v>0.23</v>
      </c>
      <c r="H7356" s="1" t="str">
        <f>HYPERLINK("http://www.weizmann.ac.il/complex/compphys/software/geview/data/figures/214268_s_at.png","Figure")</f>
        <v>Figure</v>
      </c>
      <c r="I7356">
        <v>0.80700000000000005</v>
      </c>
      <c r="J7356">
        <v>0.56000000000000005</v>
      </c>
      <c r="K7356">
        <v>1.25</v>
      </c>
      <c r="L7356">
        <v>0.44</v>
      </c>
      <c r="M7356">
        <v>1.55</v>
      </c>
      <c r="N7356">
        <v>0.09</v>
      </c>
    </row>
    <row r="7357" spans="1:14" x14ac:dyDescent="0.25">
      <c r="A7357" t="s">
        <v>13102</v>
      </c>
      <c r="B7357" t="s">
        <v>13103</v>
      </c>
      <c r="C7357" s="1" t="str">
        <f>HYPERLINK("http://www.genecards.org/cgi-bin/carddisp.pl?gene=GPR12","GeneCards")</f>
        <v>GeneCards</v>
      </c>
      <c r="D7357" s="1" t="str">
        <f>HYPERLINK("http://genome-euro.ucsc.edu/cgi-bin/hgTracks?position=214558_at","UCSC")</f>
        <v>UCSC</v>
      </c>
      <c r="E7357" s="1" t="str">
        <f>HYPERLINK("http://www.ncbi.nlm.nih.gov/gene/?term=GPR12","NCBI")</f>
        <v>NCBI</v>
      </c>
      <c r="F7357">
        <v>0.1</v>
      </c>
      <c r="G7357">
        <v>0.23</v>
      </c>
      <c r="H7357" s="1" t="str">
        <f>HYPERLINK("http://www.weizmann.ac.il/complex/compphys/software/geview/data/figures/214558_at.png","Figure")</f>
        <v>Figure</v>
      </c>
      <c r="I7357">
        <v>1.21</v>
      </c>
      <c r="J7357">
        <v>8.8999999999999996E-2</v>
      </c>
      <c r="K7357">
        <v>1.06</v>
      </c>
      <c r="L7357">
        <v>0.67</v>
      </c>
      <c r="M7357">
        <v>0.879</v>
      </c>
      <c r="N7357">
        <v>0.25</v>
      </c>
    </row>
    <row r="7358" spans="1:14" x14ac:dyDescent="0.25">
      <c r="A7358" t="s">
        <v>13104</v>
      </c>
      <c r="B7358" t="s">
        <v>13105</v>
      </c>
      <c r="C7358" s="1" t="str">
        <f>HYPERLINK("http://www.genecards.org/cgi-bin/carddisp.pl?gene=KLHL26","GeneCards")</f>
        <v>GeneCards</v>
      </c>
      <c r="D7358" s="1" t="str">
        <f>HYPERLINK("http://genome-euro.ucsc.edu/cgi-bin/hgTracks?position=219354_at","UCSC")</f>
        <v>UCSC</v>
      </c>
      <c r="E7358" s="1" t="str">
        <f>HYPERLINK("http://www.ncbi.nlm.nih.gov/gene/?term=KLHL26","NCBI")</f>
        <v>NCBI</v>
      </c>
      <c r="F7358">
        <v>0.1</v>
      </c>
      <c r="G7358">
        <v>0.23</v>
      </c>
      <c r="H7358" s="1" t="str">
        <f>HYPERLINK("http://www.weizmann.ac.il/complex/compphys/software/geview/data/figures/219354_at.png","Figure")</f>
        <v>Figure</v>
      </c>
      <c r="I7358">
        <v>1.1000000000000001</v>
      </c>
      <c r="J7358">
        <v>0.69</v>
      </c>
      <c r="K7358">
        <v>0.86</v>
      </c>
      <c r="L7358">
        <v>0.34</v>
      </c>
      <c r="M7358">
        <v>0.78</v>
      </c>
      <c r="N7358">
        <v>9.9000000000000005E-2</v>
      </c>
    </row>
    <row r="7359" spans="1:14" x14ac:dyDescent="0.25">
      <c r="A7359" t="s">
        <v>13106</v>
      </c>
      <c r="B7359" t="s">
        <v>13107</v>
      </c>
      <c r="C7359" s="1" t="str">
        <f>HYPERLINK("http://www.genecards.org/cgi-bin/carddisp.pl?gene=CHRM5","GeneCards")</f>
        <v>GeneCards</v>
      </c>
      <c r="D7359" s="1" t="str">
        <f>HYPERLINK("http://genome-euro.ucsc.edu/cgi-bin/hgTracks?position=221347_at","UCSC")</f>
        <v>UCSC</v>
      </c>
      <c r="E7359" s="1" t="str">
        <f>HYPERLINK("http://www.ncbi.nlm.nih.gov/gene/?term=CHRM5","NCBI")</f>
        <v>NCBI</v>
      </c>
      <c r="F7359">
        <v>0.1</v>
      </c>
      <c r="G7359">
        <v>0.23</v>
      </c>
      <c r="H7359" s="1" t="str">
        <f>HYPERLINK("http://www.weizmann.ac.il/complex/compphys/software/geview/data/figures/221347_at.png","Figure")</f>
        <v>Figure</v>
      </c>
      <c r="I7359">
        <v>1.19</v>
      </c>
      <c r="J7359">
        <v>0.12</v>
      </c>
      <c r="K7359">
        <v>1.02</v>
      </c>
      <c r="L7359">
        <v>0.96</v>
      </c>
      <c r="M7359">
        <v>0.85799999999999998</v>
      </c>
      <c r="N7359">
        <v>0.14000000000000001</v>
      </c>
    </row>
    <row r="7360" spans="1:14" x14ac:dyDescent="0.25">
      <c r="A7360" t="s">
        <v>13108</v>
      </c>
      <c r="B7360" t="s">
        <v>13109</v>
      </c>
      <c r="C7360" s="1" t="str">
        <f>HYPERLINK("http://www.genecards.org/cgi-bin/carddisp.pl?gene=MRPS15","GeneCards")</f>
        <v>GeneCards</v>
      </c>
      <c r="D7360" s="1" t="str">
        <f>HYPERLINK("http://genome-euro.ucsc.edu/cgi-bin/hgTracks?position=221437_s_at","UCSC")</f>
        <v>UCSC</v>
      </c>
      <c r="E7360" s="1" t="str">
        <f>HYPERLINK("http://www.ncbi.nlm.nih.gov/gene/?term=MRPS15","NCBI")</f>
        <v>NCBI</v>
      </c>
      <c r="F7360">
        <v>0.1</v>
      </c>
      <c r="G7360">
        <v>0.23</v>
      </c>
      <c r="H7360" s="1" t="str">
        <f>HYPERLINK("http://www.weizmann.ac.il/complex/compphys/software/geview/data/figures/221437_s_at.png","Figure")</f>
        <v>Figure</v>
      </c>
      <c r="I7360">
        <v>1</v>
      </c>
      <c r="J7360">
        <v>1</v>
      </c>
      <c r="K7360">
        <v>1.1299999999999999</v>
      </c>
      <c r="L7360">
        <v>0.14000000000000001</v>
      </c>
      <c r="M7360">
        <v>1.1299999999999999</v>
      </c>
      <c r="N7360">
        <v>0.2</v>
      </c>
    </row>
    <row r="7361" spans="1:14" x14ac:dyDescent="0.25">
      <c r="A7361" t="s">
        <v>13110</v>
      </c>
      <c r="B7361" t="s">
        <v>7706</v>
      </c>
      <c r="C7361" s="1" t="str">
        <f>HYPERLINK("http://www.genecards.org/cgi-bin/carddisp.pl?gene=SLC16A1","GeneCards")</f>
        <v>GeneCards</v>
      </c>
      <c r="D7361" s="1" t="str">
        <f>HYPERLINK("http://genome-euro.ucsc.edu/cgi-bin/hgTracks?position=202234_s_at","UCSC")</f>
        <v>UCSC</v>
      </c>
      <c r="E7361" s="1" t="str">
        <f>HYPERLINK("http://www.ncbi.nlm.nih.gov/gene/?term=SLC16A1","NCBI")</f>
        <v>NCBI</v>
      </c>
      <c r="F7361">
        <v>0.1</v>
      </c>
      <c r="G7361">
        <v>0.23</v>
      </c>
      <c r="H7361" s="1" t="str">
        <f>HYPERLINK("http://www.weizmann.ac.il/complex/compphys/software/geview/data/figures/202234_s_at.png","Figure")</f>
        <v>Figure</v>
      </c>
      <c r="I7361">
        <v>0.79</v>
      </c>
      <c r="J7361">
        <v>8.7999999999999995E-2</v>
      </c>
      <c r="K7361">
        <v>0.88</v>
      </c>
      <c r="L7361">
        <v>0.35</v>
      </c>
      <c r="M7361">
        <v>1.1100000000000001</v>
      </c>
      <c r="N7361">
        <v>0.51</v>
      </c>
    </row>
    <row r="7362" spans="1:14" x14ac:dyDescent="0.25">
      <c r="A7362" t="s">
        <v>13111</v>
      </c>
      <c r="B7362" t="s">
        <v>10902</v>
      </c>
      <c r="C7362" s="1" t="str">
        <f>HYPERLINK("http://www.genecards.org/cgi-bin/carddisp.pl?gene=LDB1","GeneCards")</f>
        <v>GeneCards</v>
      </c>
      <c r="D7362" s="1" t="str">
        <f>HYPERLINK("http://genome-euro.ucsc.edu/cgi-bin/hgTracks?position=203451_at","UCSC")</f>
        <v>UCSC</v>
      </c>
      <c r="E7362" s="1" t="str">
        <f>HYPERLINK("http://www.ncbi.nlm.nih.gov/gene/?term=LDB1","NCBI")</f>
        <v>NCBI</v>
      </c>
      <c r="F7362">
        <v>0.1</v>
      </c>
      <c r="G7362">
        <v>0.23</v>
      </c>
      <c r="H7362" s="1" t="str">
        <f>HYPERLINK("http://www.weizmann.ac.il/complex/compphys/software/geview/data/figures/203451_at.png","Figure")</f>
        <v>Figure</v>
      </c>
      <c r="I7362">
        <v>1.2</v>
      </c>
      <c r="J7362">
        <v>0.23</v>
      </c>
      <c r="K7362">
        <v>0.95699999999999996</v>
      </c>
      <c r="L7362">
        <v>0.88</v>
      </c>
      <c r="M7362">
        <v>0.79900000000000004</v>
      </c>
      <c r="N7362">
        <v>9.1999999999999998E-2</v>
      </c>
    </row>
    <row r="7363" spans="1:14" x14ac:dyDescent="0.25">
      <c r="A7363" t="s">
        <v>13112</v>
      </c>
      <c r="B7363" t="s">
        <v>13113</v>
      </c>
      <c r="C7363" s="1" t="str">
        <f>HYPERLINK("http://www.genecards.org/cgi-bin/carddisp.pl?gene=SLBP","GeneCards")</f>
        <v>GeneCards</v>
      </c>
      <c r="D7363" s="1" t="str">
        <f>HYPERLINK("http://genome-euro.ucsc.edu/cgi-bin/hgTracks?position=206052_s_at","UCSC")</f>
        <v>UCSC</v>
      </c>
      <c r="E7363" s="1" t="str">
        <f>HYPERLINK("http://www.ncbi.nlm.nih.gov/gene/?term=SLBP","NCBI")</f>
        <v>NCBI</v>
      </c>
      <c r="F7363">
        <v>0.1</v>
      </c>
      <c r="G7363">
        <v>0.23</v>
      </c>
      <c r="H7363" s="1" t="str">
        <f>HYPERLINK("http://www.weizmann.ac.il/complex/compphys/software/geview/data/figures/206052_s_at.png","Figure")</f>
        <v>Figure</v>
      </c>
      <c r="I7363">
        <v>0.56399999999999995</v>
      </c>
      <c r="J7363">
        <v>0.16</v>
      </c>
      <c r="K7363">
        <v>1.02</v>
      </c>
      <c r="L7363">
        <v>1</v>
      </c>
      <c r="M7363">
        <v>1.81</v>
      </c>
      <c r="N7363">
        <v>0.11</v>
      </c>
    </row>
    <row r="7364" spans="1:14" x14ac:dyDescent="0.25">
      <c r="A7364" t="s">
        <v>13114</v>
      </c>
      <c r="B7364" t="s">
        <v>13115</v>
      </c>
      <c r="C7364" s="1" t="str">
        <f>HYPERLINK("http://www.genecards.org/cgi-bin/carddisp.pl?gene=TRIM15","GeneCards")</f>
        <v>GeneCards</v>
      </c>
      <c r="D7364" s="1" t="str">
        <f>HYPERLINK("http://genome-euro.ucsc.edu/cgi-bin/hgTracks?position=36742_at","UCSC")</f>
        <v>UCSC</v>
      </c>
      <c r="E7364" s="1" t="str">
        <f>HYPERLINK("http://www.ncbi.nlm.nih.gov/gene/?term=TRIM15","NCBI")</f>
        <v>NCBI</v>
      </c>
      <c r="F7364">
        <v>0.1</v>
      </c>
      <c r="G7364">
        <v>0.23</v>
      </c>
      <c r="H7364" s="1" t="str">
        <f>HYPERLINK("http://www.weizmann.ac.il/complex/compphys/software/geview/data/figures/36742_at.png","Figure")</f>
        <v>Figure</v>
      </c>
      <c r="I7364">
        <v>1.19</v>
      </c>
      <c r="J7364">
        <v>8.5000000000000006E-2</v>
      </c>
      <c r="K7364">
        <v>1.07</v>
      </c>
      <c r="L7364">
        <v>0.54</v>
      </c>
      <c r="M7364">
        <v>0.90300000000000002</v>
      </c>
      <c r="N7364">
        <v>0.32</v>
      </c>
    </row>
    <row r="7365" spans="1:14" x14ac:dyDescent="0.25">
      <c r="A7365" t="s">
        <v>13116</v>
      </c>
      <c r="B7365" t="s">
        <v>13117</v>
      </c>
      <c r="C7365" s="1" t="str">
        <f>HYPERLINK("http://www.genecards.org/cgi-bin/carddisp.pl?gene=ORC6L","GeneCards")</f>
        <v>GeneCards</v>
      </c>
      <c r="D7365" s="1" t="str">
        <f>HYPERLINK("http://genome-euro.ucsc.edu/cgi-bin/hgTracks?position=219105_x_at","UCSC")</f>
        <v>UCSC</v>
      </c>
      <c r="E7365" s="1" t="str">
        <f>HYPERLINK("http://www.ncbi.nlm.nih.gov/gene/?term=ORC6L","NCBI")</f>
        <v>NCBI</v>
      </c>
      <c r="F7365">
        <v>0.1</v>
      </c>
      <c r="G7365">
        <v>0.23</v>
      </c>
      <c r="H7365" s="1" t="str">
        <f>HYPERLINK("http://www.weizmann.ac.il/complex/compphys/software/geview/data/figures/219105_x_at.png","Figure")</f>
        <v>Figure</v>
      </c>
      <c r="I7365">
        <v>0.84099999999999997</v>
      </c>
      <c r="J7365">
        <v>0.76</v>
      </c>
      <c r="K7365">
        <v>0.61499999999999999</v>
      </c>
      <c r="L7365">
        <v>9.4E-2</v>
      </c>
      <c r="M7365">
        <v>0.73099999999999998</v>
      </c>
      <c r="N7365">
        <v>0.38</v>
      </c>
    </row>
    <row r="7366" spans="1:14" x14ac:dyDescent="0.25">
      <c r="A7366" t="s">
        <v>13118</v>
      </c>
      <c r="B7366" t="s">
        <v>13119</v>
      </c>
      <c r="C7366" s="1" t="str">
        <f>HYPERLINK("http://www.genecards.org/cgi-bin/carddisp.pl?gene=RABL2A /// RABL2B","GeneCards")</f>
        <v>GeneCards</v>
      </c>
      <c r="D7366" s="1" t="str">
        <f>HYPERLINK("http://genome-euro.ucsc.edu/cgi-bin/hgTracks?position=219151_s_at","UCSC")</f>
        <v>UCSC</v>
      </c>
      <c r="E7366" s="1" t="str">
        <f>HYPERLINK("http://www.ncbi.nlm.nih.gov/gene/?term=RABL2A /// RABL2B","NCBI")</f>
        <v>NCBI</v>
      </c>
      <c r="F7366">
        <v>0.1</v>
      </c>
      <c r="G7366">
        <v>0.23</v>
      </c>
      <c r="H7366" s="1" t="str">
        <f>HYPERLINK("http://www.weizmann.ac.il/complex/compphys/software/geview/data/figures/219151_s_at.png","Figure")</f>
        <v>Figure</v>
      </c>
      <c r="I7366">
        <v>0.88700000000000001</v>
      </c>
      <c r="J7366">
        <v>0.15</v>
      </c>
      <c r="K7366">
        <v>1</v>
      </c>
      <c r="L7366">
        <v>1</v>
      </c>
      <c r="M7366">
        <v>1.1299999999999999</v>
      </c>
      <c r="N7366">
        <v>0.12</v>
      </c>
    </row>
    <row r="7367" spans="1:14" x14ac:dyDescent="0.25">
      <c r="A7367" t="s">
        <v>13120</v>
      </c>
      <c r="B7367" t="s">
        <v>13121</v>
      </c>
      <c r="C7367" s="1" t="str">
        <f>HYPERLINK("http://www.genecards.org/cgi-bin/carddisp.pl?gene=HMGN3","GeneCards")</f>
        <v>GeneCards</v>
      </c>
      <c r="D7367" s="1" t="str">
        <f>HYPERLINK("http://genome-euro.ucsc.edu/cgi-bin/hgTracks?position=209377_s_at","UCSC")</f>
        <v>UCSC</v>
      </c>
      <c r="E7367" s="1" t="str">
        <f>HYPERLINK("http://www.ncbi.nlm.nih.gov/gene/?term=HMGN3","NCBI")</f>
        <v>NCBI</v>
      </c>
      <c r="F7367">
        <v>0.1</v>
      </c>
      <c r="G7367">
        <v>0.23</v>
      </c>
      <c r="H7367" s="1" t="str">
        <f>HYPERLINK("http://www.weizmann.ac.il/complex/compphys/software/geview/data/figures/209377_s_at.png","Figure")</f>
        <v>Figure</v>
      </c>
      <c r="I7367">
        <v>0.67100000000000004</v>
      </c>
      <c r="J7367">
        <v>0.18</v>
      </c>
      <c r="K7367">
        <v>1.04</v>
      </c>
      <c r="L7367">
        <v>0.97</v>
      </c>
      <c r="M7367">
        <v>1.55</v>
      </c>
      <c r="N7367">
        <v>0.1</v>
      </c>
    </row>
    <row r="7368" spans="1:14" x14ac:dyDescent="0.25">
      <c r="A7368" t="s">
        <v>13122</v>
      </c>
      <c r="B7368" t="s">
        <v>13123</v>
      </c>
      <c r="C7368" s="1" t="str">
        <f>HYPERLINK("http://www.genecards.org/cgi-bin/carddisp.pl?gene=RPAIN","GeneCards")</f>
        <v>GeneCards</v>
      </c>
      <c r="D7368" s="1" t="str">
        <f>HYPERLINK("http://genome-euro.ucsc.edu/cgi-bin/hgTracks?position=216961_s_at","UCSC")</f>
        <v>UCSC</v>
      </c>
      <c r="E7368" s="1" t="str">
        <f>HYPERLINK("http://www.ncbi.nlm.nih.gov/gene/?term=RPAIN","NCBI")</f>
        <v>NCBI</v>
      </c>
      <c r="F7368">
        <v>0.1</v>
      </c>
      <c r="G7368">
        <v>0.23</v>
      </c>
      <c r="H7368" s="1" t="str">
        <f>HYPERLINK("http://www.weizmann.ac.il/complex/compphys/software/geview/data/figures/216961_s_at.png","Figure")</f>
        <v>Figure</v>
      </c>
      <c r="I7368">
        <v>1.1399999999999999</v>
      </c>
      <c r="J7368">
        <v>0.1</v>
      </c>
      <c r="K7368">
        <v>1.03</v>
      </c>
      <c r="L7368">
        <v>0.85</v>
      </c>
      <c r="M7368">
        <v>0.90200000000000002</v>
      </c>
      <c r="N7368">
        <v>0.18</v>
      </c>
    </row>
    <row r="7369" spans="1:14" x14ac:dyDescent="0.25">
      <c r="A7369" t="s">
        <v>13124</v>
      </c>
      <c r="B7369" t="s">
        <v>8436</v>
      </c>
      <c r="C7369" s="1" t="str">
        <f>HYPERLINK("http://www.genecards.org/cgi-bin/carddisp.pl?gene=SMARCA2","GeneCards")</f>
        <v>GeneCards</v>
      </c>
      <c r="D7369" s="1" t="str">
        <f>HYPERLINK("http://genome-euro.ucsc.edu/cgi-bin/hgTracks?position=206544_x_at","UCSC")</f>
        <v>UCSC</v>
      </c>
      <c r="E7369" s="1" t="str">
        <f>HYPERLINK("http://www.ncbi.nlm.nih.gov/gene/?term=SMARCA2","NCBI")</f>
        <v>NCBI</v>
      </c>
      <c r="F7369">
        <v>0.1</v>
      </c>
      <c r="G7369">
        <v>0.23</v>
      </c>
      <c r="H7369" s="1" t="str">
        <f>HYPERLINK("http://www.weizmann.ac.il/complex/compphys/software/geview/data/figures/206544_x_at.png","Figure")</f>
        <v>Figure</v>
      </c>
      <c r="I7369">
        <v>0.73</v>
      </c>
      <c r="J7369">
        <v>0.13</v>
      </c>
      <c r="K7369">
        <v>0.97699999999999998</v>
      </c>
      <c r="L7369">
        <v>0.98</v>
      </c>
      <c r="M7369">
        <v>1.34</v>
      </c>
      <c r="N7369">
        <v>0.13</v>
      </c>
    </row>
    <row r="7370" spans="1:14" x14ac:dyDescent="0.25">
      <c r="A7370" t="s">
        <v>13125</v>
      </c>
      <c r="B7370" t="s">
        <v>13126</v>
      </c>
      <c r="C7370" s="1" t="str">
        <f>HYPERLINK("http://www.genecards.org/cgi-bin/carddisp.pl?gene=RORA","GeneCards")</f>
        <v>GeneCards</v>
      </c>
      <c r="D7370" s="1" t="str">
        <f>HYPERLINK("http://genome-euro.ucsc.edu/cgi-bin/hgTracks?position=210426_x_at","UCSC")</f>
        <v>UCSC</v>
      </c>
      <c r="E7370" s="1" t="str">
        <f>HYPERLINK("http://www.ncbi.nlm.nih.gov/gene/?term=RORA","NCBI")</f>
        <v>NCBI</v>
      </c>
      <c r="F7370">
        <v>0.1</v>
      </c>
      <c r="G7370">
        <v>0.23</v>
      </c>
      <c r="H7370" s="1" t="str">
        <f>HYPERLINK("http://www.weizmann.ac.il/complex/compphys/software/geview/data/figures/210426_x_at.png","Figure")</f>
        <v>Figure</v>
      </c>
      <c r="I7370">
        <v>0.93500000000000005</v>
      </c>
      <c r="J7370">
        <v>0.99</v>
      </c>
      <c r="K7370">
        <v>0.40400000000000003</v>
      </c>
      <c r="L7370">
        <v>0.13</v>
      </c>
      <c r="M7370">
        <v>0.432</v>
      </c>
      <c r="N7370">
        <v>0.21</v>
      </c>
    </row>
    <row r="7371" spans="1:14" x14ac:dyDescent="0.25">
      <c r="A7371" t="s">
        <v>13127</v>
      </c>
      <c r="B7371" t="s">
        <v>9801</v>
      </c>
      <c r="C7371" s="1" t="str">
        <f>HYPERLINK("http://www.genecards.org/cgi-bin/carddisp.pl?gene=MED16","GeneCards")</f>
        <v>GeneCards</v>
      </c>
      <c r="D7371" s="1" t="str">
        <f>HYPERLINK("http://genome-euro.ucsc.edu/cgi-bin/hgTracks?position=43544_at","UCSC")</f>
        <v>UCSC</v>
      </c>
      <c r="E7371" s="1" t="str">
        <f>HYPERLINK("http://www.ncbi.nlm.nih.gov/gene/?term=MED16","NCBI")</f>
        <v>NCBI</v>
      </c>
      <c r="F7371">
        <v>0.1</v>
      </c>
      <c r="G7371">
        <v>0.23</v>
      </c>
      <c r="H7371" s="1" t="str">
        <f>HYPERLINK("http://www.weizmann.ac.il/complex/compphys/software/geview/data/figures/43544_at.png","Figure")</f>
        <v>Figure</v>
      </c>
      <c r="I7371">
        <v>0.56599999999999995</v>
      </c>
      <c r="J7371">
        <v>9.2999999999999999E-2</v>
      </c>
      <c r="K7371">
        <v>0.85099999999999998</v>
      </c>
      <c r="L7371">
        <v>0.74</v>
      </c>
      <c r="M7371">
        <v>1.5</v>
      </c>
      <c r="N7371">
        <v>0.22</v>
      </c>
    </row>
    <row r="7372" spans="1:14" x14ac:dyDescent="0.25">
      <c r="A7372" t="s">
        <v>13128</v>
      </c>
      <c r="B7372" t="s">
        <v>13129</v>
      </c>
      <c r="C7372" s="1" t="str">
        <f>HYPERLINK("http://www.genecards.org/cgi-bin/carddisp.pl?gene=MCM4","GeneCards")</f>
        <v>GeneCards</v>
      </c>
      <c r="D7372" s="1" t="str">
        <f>HYPERLINK("http://genome-euro.ucsc.edu/cgi-bin/hgTracks?position=222037_at","UCSC")</f>
        <v>UCSC</v>
      </c>
      <c r="E7372" s="1" t="str">
        <f>HYPERLINK("http://www.ncbi.nlm.nih.gov/gene/?term=MCM4","NCBI")</f>
        <v>NCBI</v>
      </c>
      <c r="F7372">
        <v>0.1</v>
      </c>
      <c r="G7372">
        <v>0.23</v>
      </c>
      <c r="H7372" s="1" t="str">
        <f>HYPERLINK("http://www.weizmann.ac.il/complex/compphys/software/geview/data/figures/222037_at.png","Figure")</f>
        <v>Figure</v>
      </c>
      <c r="I7372">
        <v>1.01</v>
      </c>
      <c r="J7372">
        <v>0.99</v>
      </c>
      <c r="K7372">
        <v>1.2</v>
      </c>
      <c r="L7372">
        <v>0.13</v>
      </c>
      <c r="M7372">
        <v>1.19</v>
      </c>
      <c r="N7372">
        <v>0.21</v>
      </c>
    </row>
    <row r="7373" spans="1:14" x14ac:dyDescent="0.25">
      <c r="A7373" t="s">
        <v>13130</v>
      </c>
      <c r="B7373" t="s">
        <v>13131</v>
      </c>
      <c r="C7373" s="1" t="str">
        <f>HYPERLINK("http://www.genecards.org/cgi-bin/carddisp.pl?gene=PKN2","GeneCards")</f>
        <v>GeneCards</v>
      </c>
      <c r="D7373" s="1" t="str">
        <f>HYPERLINK("http://genome-euro.ucsc.edu/cgi-bin/hgTracks?position=212628_at","UCSC")</f>
        <v>UCSC</v>
      </c>
      <c r="E7373" s="1" t="str">
        <f>HYPERLINK("http://www.ncbi.nlm.nih.gov/gene/?term=PKN2","NCBI")</f>
        <v>NCBI</v>
      </c>
      <c r="F7373">
        <v>0.1</v>
      </c>
      <c r="G7373">
        <v>0.23</v>
      </c>
      <c r="H7373" s="1" t="str">
        <f>HYPERLINK("http://www.weizmann.ac.il/complex/compphys/software/geview/data/figures/212628_at.png","Figure")</f>
        <v>Figure</v>
      </c>
      <c r="I7373">
        <v>0.67500000000000004</v>
      </c>
      <c r="J7373">
        <v>0.22</v>
      </c>
      <c r="K7373">
        <v>0.65100000000000002</v>
      </c>
      <c r="L7373">
        <v>0.11</v>
      </c>
      <c r="M7373">
        <v>0.96499999999999997</v>
      </c>
      <c r="N7373">
        <v>0.98</v>
      </c>
    </row>
    <row r="7374" spans="1:14" x14ac:dyDescent="0.25">
      <c r="A7374" t="s">
        <v>13132</v>
      </c>
      <c r="B7374" t="s">
        <v>13133</v>
      </c>
      <c r="C7374" s="1" t="str">
        <f>HYPERLINK("http://www.genecards.org/cgi-bin/carddisp.pl?gene=HEMK1","GeneCards")</f>
        <v>GeneCards</v>
      </c>
      <c r="D7374" s="1" t="str">
        <f>HYPERLINK("http://genome-euro.ucsc.edu/cgi-bin/hgTracks?position=52159_at","UCSC")</f>
        <v>UCSC</v>
      </c>
      <c r="E7374" s="1" t="str">
        <f>HYPERLINK("http://www.ncbi.nlm.nih.gov/gene/?term=HEMK1","NCBI")</f>
        <v>NCBI</v>
      </c>
      <c r="F7374">
        <v>0.1</v>
      </c>
      <c r="G7374">
        <v>0.23</v>
      </c>
      <c r="H7374" s="1" t="str">
        <f>HYPERLINK("http://www.weizmann.ac.il/complex/compphys/software/geview/data/figures/52159_at.png","Figure")</f>
        <v>Figure</v>
      </c>
      <c r="I7374">
        <v>0.92900000000000005</v>
      </c>
      <c r="J7374">
        <v>0.82</v>
      </c>
      <c r="K7374">
        <v>1.19</v>
      </c>
      <c r="L7374">
        <v>0.26</v>
      </c>
      <c r="M7374">
        <v>1.28</v>
      </c>
      <c r="N7374">
        <v>0.11</v>
      </c>
    </row>
    <row r="7375" spans="1:14" x14ac:dyDescent="0.25">
      <c r="A7375" t="s">
        <v>13134</v>
      </c>
      <c r="B7375" t="s">
        <v>13135</v>
      </c>
      <c r="C7375" s="1" t="str">
        <f>HYPERLINK("http://www.genecards.org/cgi-bin/carddisp.pl?gene=PIAS3","GeneCards")</f>
        <v>GeneCards</v>
      </c>
      <c r="D7375" s="1" t="str">
        <f>HYPERLINK("http://genome-euro.ucsc.edu/cgi-bin/hgTracks?position=203035_s_at","UCSC")</f>
        <v>UCSC</v>
      </c>
      <c r="E7375" s="1" t="str">
        <f>HYPERLINK("http://www.ncbi.nlm.nih.gov/gene/?term=PIAS3","NCBI")</f>
        <v>NCBI</v>
      </c>
      <c r="F7375">
        <v>0.1</v>
      </c>
      <c r="G7375">
        <v>0.23</v>
      </c>
      <c r="H7375" s="1" t="str">
        <f>HYPERLINK("http://www.weizmann.ac.il/complex/compphys/software/geview/data/figures/203035_s_at.png","Figure")</f>
        <v>Figure</v>
      </c>
      <c r="I7375">
        <v>0.95499999999999996</v>
      </c>
      <c r="J7375">
        <v>0.91</v>
      </c>
      <c r="K7375">
        <v>0.80300000000000005</v>
      </c>
      <c r="L7375">
        <v>0.11</v>
      </c>
      <c r="M7375">
        <v>0.84099999999999997</v>
      </c>
      <c r="N7375">
        <v>0.28000000000000003</v>
      </c>
    </row>
    <row r="7376" spans="1:14" x14ac:dyDescent="0.25">
      <c r="A7376" t="s">
        <v>13136</v>
      </c>
      <c r="B7376" t="s">
        <v>13137</v>
      </c>
      <c r="C7376" s="1" t="str">
        <f>HYPERLINK("http://www.genecards.org/cgi-bin/carddisp.pl?gene=KCNA6","GeneCards")</f>
        <v>GeneCards</v>
      </c>
      <c r="D7376" s="1" t="str">
        <f>HYPERLINK("http://genome-euro.ucsc.edu/cgi-bin/hgTracks?position=205616_at","UCSC")</f>
        <v>UCSC</v>
      </c>
      <c r="E7376" s="1" t="str">
        <f>HYPERLINK("http://www.ncbi.nlm.nih.gov/gene/?term=KCNA6","NCBI")</f>
        <v>NCBI</v>
      </c>
      <c r="F7376">
        <v>0.1</v>
      </c>
      <c r="G7376">
        <v>0.23</v>
      </c>
      <c r="H7376" s="1" t="str">
        <f>HYPERLINK("http://www.weizmann.ac.il/complex/compphys/software/geview/data/figures/205616_at.png","Figure")</f>
        <v>Figure</v>
      </c>
      <c r="I7376">
        <v>1.35</v>
      </c>
      <c r="J7376">
        <v>8.6999999999999994E-2</v>
      </c>
      <c r="K7376">
        <v>1.17</v>
      </c>
      <c r="L7376">
        <v>0.39</v>
      </c>
      <c r="M7376">
        <v>0.86299999999999999</v>
      </c>
      <c r="N7376">
        <v>0.46</v>
      </c>
    </row>
    <row r="7377" spans="1:14" x14ac:dyDescent="0.25">
      <c r="A7377" t="s">
        <v>13138</v>
      </c>
      <c r="B7377" t="s">
        <v>13139</v>
      </c>
      <c r="C7377" s="1" t="str">
        <f>HYPERLINK("http://www.genecards.org/cgi-bin/carddisp.pl?gene=SEMA4F","GeneCards")</f>
        <v>GeneCards</v>
      </c>
      <c r="D7377" s="1" t="str">
        <f>HYPERLINK("http://genome-euro.ucsc.edu/cgi-bin/hgTracks?position=208124_s_at","UCSC")</f>
        <v>UCSC</v>
      </c>
      <c r="E7377" s="1" t="str">
        <f>HYPERLINK("http://www.ncbi.nlm.nih.gov/gene/?term=SEMA4F","NCBI")</f>
        <v>NCBI</v>
      </c>
      <c r="F7377">
        <v>0.1</v>
      </c>
      <c r="G7377">
        <v>0.23</v>
      </c>
      <c r="H7377" s="1" t="str">
        <f>HYPERLINK("http://www.weizmann.ac.il/complex/compphys/software/geview/data/figures/208124_s_at.png","Figure")</f>
        <v>Figure</v>
      </c>
      <c r="I7377">
        <v>1.23</v>
      </c>
      <c r="J7377">
        <v>8.5999999999999993E-2</v>
      </c>
      <c r="K7377">
        <v>1.0900000000000001</v>
      </c>
      <c r="L7377">
        <v>0.53</v>
      </c>
      <c r="M7377">
        <v>0.88700000000000001</v>
      </c>
      <c r="N7377">
        <v>0.34</v>
      </c>
    </row>
    <row r="7378" spans="1:14" x14ac:dyDescent="0.25">
      <c r="A7378" t="s">
        <v>13140</v>
      </c>
      <c r="B7378" t="s">
        <v>8823</v>
      </c>
      <c r="C7378" s="1" t="str">
        <f>HYPERLINK("http://www.genecards.org/cgi-bin/carddisp.pl?gene=CADM1","GeneCards")</f>
        <v>GeneCards</v>
      </c>
      <c r="D7378" s="1" t="str">
        <f>HYPERLINK("http://genome-euro.ucsc.edu/cgi-bin/hgTracks?position=209030_s_at","UCSC")</f>
        <v>UCSC</v>
      </c>
      <c r="E7378" s="1" t="str">
        <f>HYPERLINK("http://www.ncbi.nlm.nih.gov/gene/?term=CADM1","NCBI")</f>
        <v>NCBI</v>
      </c>
      <c r="F7378">
        <v>0.1</v>
      </c>
      <c r="G7378">
        <v>0.23</v>
      </c>
      <c r="H7378" s="1" t="str">
        <f>HYPERLINK("http://www.weizmann.ac.il/complex/compphys/software/geview/data/figures/209030_s_at.png","Figure")</f>
        <v>Figure</v>
      </c>
      <c r="I7378">
        <v>1.1499999999999999</v>
      </c>
      <c r="J7378">
        <v>0.11</v>
      </c>
      <c r="K7378">
        <v>1.03</v>
      </c>
      <c r="L7378">
        <v>0.9</v>
      </c>
      <c r="M7378">
        <v>0.88900000000000001</v>
      </c>
      <c r="N7378">
        <v>0.17</v>
      </c>
    </row>
    <row r="7379" spans="1:14" x14ac:dyDescent="0.25">
      <c r="A7379" t="s">
        <v>13141</v>
      </c>
      <c r="B7379" t="s">
        <v>13142</v>
      </c>
      <c r="C7379" s="1" t="str">
        <f>HYPERLINK("http://www.genecards.org/cgi-bin/carddisp.pl?gene=HCG4P6","GeneCards")</f>
        <v>GeneCards</v>
      </c>
      <c r="D7379" s="1" t="str">
        <f>HYPERLINK("http://genome-euro.ucsc.edu/cgi-bin/hgTracks?position=215973_at","UCSC")</f>
        <v>UCSC</v>
      </c>
      <c r="E7379" s="1" t="str">
        <f>HYPERLINK("http://www.ncbi.nlm.nih.gov/gene/?term=HCG4P6","NCBI")</f>
        <v>NCBI</v>
      </c>
      <c r="F7379">
        <v>0.1</v>
      </c>
      <c r="G7379">
        <v>0.23</v>
      </c>
      <c r="H7379" s="1" t="str">
        <f>HYPERLINK("http://www.weizmann.ac.il/complex/compphys/software/geview/data/figures/215973_at.png","Figure")</f>
        <v>Figure</v>
      </c>
      <c r="I7379">
        <v>0.92300000000000004</v>
      </c>
      <c r="J7379">
        <v>0.21</v>
      </c>
      <c r="K7379">
        <v>1.01</v>
      </c>
      <c r="L7379">
        <v>0.93</v>
      </c>
      <c r="M7379">
        <v>1.1000000000000001</v>
      </c>
      <c r="N7379">
        <v>9.6000000000000002E-2</v>
      </c>
    </row>
    <row r="7380" spans="1:14" x14ac:dyDescent="0.25">
      <c r="A7380" t="s">
        <v>13143</v>
      </c>
      <c r="B7380" t="s">
        <v>12227</v>
      </c>
      <c r="C7380" s="1" t="str">
        <f>HYPERLINK("http://www.genecards.org/cgi-bin/carddisp.pl?gene=TGIF2","GeneCards")</f>
        <v>GeneCards</v>
      </c>
      <c r="D7380" s="1" t="str">
        <f>HYPERLINK("http://genome-euro.ucsc.edu/cgi-bin/hgTracks?position=216262_s_at","UCSC")</f>
        <v>UCSC</v>
      </c>
      <c r="E7380" s="1" t="str">
        <f>HYPERLINK("http://www.ncbi.nlm.nih.gov/gene/?term=TGIF2","NCBI")</f>
        <v>NCBI</v>
      </c>
      <c r="F7380">
        <v>0.1</v>
      </c>
      <c r="G7380">
        <v>0.23</v>
      </c>
      <c r="H7380" s="1" t="str">
        <f>HYPERLINK("http://www.weizmann.ac.il/complex/compphys/software/geview/data/figures/216262_s_at.png","Figure")</f>
        <v>Figure</v>
      </c>
      <c r="I7380">
        <v>0.93700000000000006</v>
      </c>
      <c r="J7380">
        <v>0.93</v>
      </c>
      <c r="K7380">
        <v>0.71899999999999997</v>
      </c>
      <c r="L7380">
        <v>0.11</v>
      </c>
      <c r="M7380">
        <v>0.76700000000000002</v>
      </c>
      <c r="N7380">
        <v>0.27</v>
      </c>
    </row>
    <row r="7381" spans="1:14" x14ac:dyDescent="0.25">
      <c r="A7381" t="s">
        <v>13144</v>
      </c>
      <c r="B7381" t="s">
        <v>13145</v>
      </c>
      <c r="C7381" s="1" t="str">
        <f>HYPERLINK("http://www.genecards.org/cgi-bin/carddisp.pl?gene=RIOK2","GeneCards")</f>
        <v>GeneCards</v>
      </c>
      <c r="D7381" s="1" t="str">
        <f>HYPERLINK("http://genome-euro.ucsc.edu/cgi-bin/hgTracks?position=218535_s_at","UCSC")</f>
        <v>UCSC</v>
      </c>
      <c r="E7381" s="1" t="str">
        <f>HYPERLINK("http://www.ncbi.nlm.nih.gov/gene/?term=RIOK2","NCBI")</f>
        <v>NCBI</v>
      </c>
      <c r="F7381">
        <v>0.1</v>
      </c>
      <c r="G7381">
        <v>0.23</v>
      </c>
      <c r="H7381" s="1" t="str">
        <f>HYPERLINK("http://www.weizmann.ac.il/complex/compphys/software/geview/data/figures/218535_s_at.png","Figure")</f>
        <v>Figure</v>
      </c>
      <c r="I7381">
        <v>0.81399999999999995</v>
      </c>
      <c r="J7381">
        <v>0.17</v>
      </c>
      <c r="K7381">
        <v>1.01</v>
      </c>
      <c r="L7381">
        <v>0.99</v>
      </c>
      <c r="M7381">
        <v>1.25</v>
      </c>
      <c r="N7381">
        <v>0.11</v>
      </c>
    </row>
    <row r="7382" spans="1:14" x14ac:dyDescent="0.25">
      <c r="A7382" t="s">
        <v>13146</v>
      </c>
      <c r="B7382" t="s">
        <v>13147</v>
      </c>
      <c r="C7382" s="1" t="str">
        <f>HYPERLINK("http://www.genecards.org/cgi-bin/carddisp.pl?gene=SVEP1","GeneCards")</f>
        <v>GeneCards</v>
      </c>
      <c r="D7382" s="1" t="str">
        <f>HYPERLINK("http://genome-euro.ucsc.edu/cgi-bin/hgTracks?position=213247_at","UCSC")</f>
        <v>UCSC</v>
      </c>
      <c r="E7382" s="1" t="str">
        <f>HYPERLINK("http://www.ncbi.nlm.nih.gov/gene/?term=SVEP1","NCBI")</f>
        <v>NCBI</v>
      </c>
      <c r="F7382">
        <v>0.1</v>
      </c>
      <c r="G7382">
        <v>0.23</v>
      </c>
      <c r="H7382" s="1" t="str">
        <f>HYPERLINK("http://www.weizmann.ac.il/complex/compphys/software/geview/data/figures/213247_at.png","Figure")</f>
        <v>Figure</v>
      </c>
      <c r="I7382">
        <v>1.26</v>
      </c>
      <c r="J7382">
        <v>0.2</v>
      </c>
      <c r="K7382">
        <v>0.96699999999999997</v>
      </c>
      <c r="L7382">
        <v>0.95</v>
      </c>
      <c r="M7382">
        <v>0.77</v>
      </c>
      <c r="N7382">
        <v>9.8000000000000004E-2</v>
      </c>
    </row>
    <row r="7383" spans="1:14" x14ac:dyDescent="0.25">
      <c r="A7383" t="s">
        <v>13148</v>
      </c>
      <c r="B7383" t="s">
        <v>11956</v>
      </c>
      <c r="C7383" s="1" t="str">
        <f>HYPERLINK("http://www.genecards.org/cgi-bin/carddisp.pl?gene=PDGFB","GeneCards")</f>
        <v>GeneCards</v>
      </c>
      <c r="D7383" s="1" t="str">
        <f>HYPERLINK("http://genome-euro.ucsc.edu/cgi-bin/hgTracks?position=216061_x_at","UCSC")</f>
        <v>UCSC</v>
      </c>
      <c r="E7383" s="1" t="str">
        <f>HYPERLINK("http://www.ncbi.nlm.nih.gov/gene/?term=PDGFB","NCBI")</f>
        <v>NCBI</v>
      </c>
      <c r="F7383">
        <v>0.1</v>
      </c>
      <c r="G7383">
        <v>0.23</v>
      </c>
      <c r="H7383" s="1" t="str">
        <f>HYPERLINK("http://www.weizmann.ac.il/complex/compphys/software/geview/data/figures/216061_x_at.png","Figure")</f>
        <v>Figure</v>
      </c>
      <c r="I7383">
        <v>1.29</v>
      </c>
      <c r="J7383">
        <v>9.5000000000000001E-2</v>
      </c>
      <c r="K7383">
        <v>1.07</v>
      </c>
      <c r="L7383">
        <v>0.77</v>
      </c>
      <c r="M7383">
        <v>0.83</v>
      </c>
      <c r="N7383">
        <v>0.21</v>
      </c>
    </row>
    <row r="7384" spans="1:14" x14ac:dyDescent="0.25">
      <c r="A7384" t="s">
        <v>13149</v>
      </c>
      <c r="B7384" t="s">
        <v>13150</v>
      </c>
      <c r="C7384" s="1" t="str">
        <f>HYPERLINK("http://www.genecards.org/cgi-bin/carddisp.pl?gene=ANXA2P3","GeneCards")</f>
        <v>GeneCards</v>
      </c>
      <c r="D7384" s="1" t="str">
        <f>HYPERLINK("http://genome-euro.ucsc.edu/cgi-bin/hgTracks?position=211241_at","UCSC")</f>
        <v>UCSC</v>
      </c>
      <c r="E7384" s="1" t="str">
        <f>HYPERLINK("http://www.ncbi.nlm.nih.gov/gene/?term=ANXA2P3","NCBI")</f>
        <v>NCBI</v>
      </c>
      <c r="F7384">
        <v>0.1</v>
      </c>
      <c r="G7384">
        <v>0.23</v>
      </c>
      <c r="H7384" s="1" t="str">
        <f>HYPERLINK("http://www.weizmann.ac.il/complex/compphys/software/geview/data/figures/211241_at.png","Figure")</f>
        <v>Figure</v>
      </c>
      <c r="I7384">
        <v>1.04</v>
      </c>
      <c r="J7384">
        <v>0.18</v>
      </c>
      <c r="K7384">
        <v>1.04</v>
      </c>
      <c r="L7384">
        <v>0.12</v>
      </c>
      <c r="M7384">
        <v>1</v>
      </c>
      <c r="N7384">
        <v>1</v>
      </c>
    </row>
    <row r="7385" spans="1:14" x14ac:dyDescent="0.25">
      <c r="A7385" t="s">
        <v>13151</v>
      </c>
      <c r="B7385" t="s">
        <v>13152</v>
      </c>
      <c r="C7385" s="1" t="str">
        <f>HYPERLINK("http://www.genecards.org/cgi-bin/carddisp.pl?gene=ZNF574","GeneCards")</f>
        <v>GeneCards</v>
      </c>
      <c r="D7385" s="1" t="str">
        <f>HYPERLINK("http://genome-euro.ucsc.edu/cgi-bin/hgTracks?position=218762_at","UCSC")</f>
        <v>UCSC</v>
      </c>
      <c r="E7385" s="1" t="str">
        <f>HYPERLINK("http://www.ncbi.nlm.nih.gov/gene/?term=ZNF574","NCBI")</f>
        <v>NCBI</v>
      </c>
      <c r="F7385">
        <v>0.1</v>
      </c>
      <c r="G7385">
        <v>0.23</v>
      </c>
      <c r="H7385" s="1" t="str">
        <f>HYPERLINK("http://www.weizmann.ac.il/complex/compphys/software/geview/data/figures/218762_at.png","Figure")</f>
        <v>Figure</v>
      </c>
      <c r="I7385">
        <v>1.39</v>
      </c>
      <c r="J7385">
        <v>8.5000000000000006E-2</v>
      </c>
      <c r="K7385">
        <v>1.1599999999999999</v>
      </c>
      <c r="L7385">
        <v>0.49</v>
      </c>
      <c r="M7385">
        <v>0.83099999999999996</v>
      </c>
      <c r="N7385">
        <v>0.37</v>
      </c>
    </row>
    <row r="7386" spans="1:14" x14ac:dyDescent="0.25">
      <c r="A7386" t="s">
        <v>13153</v>
      </c>
      <c r="B7386" t="s">
        <v>13154</v>
      </c>
      <c r="C7386" s="1" t="str">
        <f>HYPERLINK("http://www.genecards.org/cgi-bin/carddisp.pl?gene=LITAF","GeneCards")</f>
        <v>GeneCards</v>
      </c>
      <c r="D7386" s="1" t="str">
        <f>HYPERLINK("http://genome-euro.ucsc.edu/cgi-bin/hgTracks?position=200704_at","UCSC")</f>
        <v>UCSC</v>
      </c>
      <c r="E7386" s="1" t="str">
        <f>HYPERLINK("http://www.ncbi.nlm.nih.gov/gene/?term=LITAF","NCBI")</f>
        <v>NCBI</v>
      </c>
      <c r="F7386">
        <v>0.1</v>
      </c>
      <c r="G7386">
        <v>0.23</v>
      </c>
      <c r="H7386" s="1" t="str">
        <f>HYPERLINK("http://www.weizmann.ac.il/complex/compphys/software/geview/data/figures/200704_at.png","Figure")</f>
        <v>Figure</v>
      </c>
      <c r="I7386">
        <v>1.74</v>
      </c>
      <c r="J7386">
        <v>0.15</v>
      </c>
      <c r="K7386">
        <v>0.997</v>
      </c>
      <c r="L7386">
        <v>1</v>
      </c>
      <c r="M7386">
        <v>0.57299999999999995</v>
      </c>
      <c r="N7386">
        <v>0.12</v>
      </c>
    </row>
    <row r="7387" spans="1:14" x14ac:dyDescent="0.25">
      <c r="A7387" t="s">
        <v>13155</v>
      </c>
      <c r="B7387" t="s">
        <v>13156</v>
      </c>
      <c r="C7387" s="1" t="str">
        <f>HYPERLINK("http://www.genecards.org/cgi-bin/carddisp.pl?gene=RPIA","GeneCards")</f>
        <v>GeneCards</v>
      </c>
      <c r="D7387" s="1" t="str">
        <f>HYPERLINK("http://genome-euro.ucsc.edu/cgi-bin/hgTracks?position=212973_at","UCSC")</f>
        <v>UCSC</v>
      </c>
      <c r="E7387" s="1" t="str">
        <f>HYPERLINK("http://www.ncbi.nlm.nih.gov/gene/?term=RPIA","NCBI")</f>
        <v>NCBI</v>
      </c>
      <c r="F7387">
        <v>0.1</v>
      </c>
      <c r="G7387">
        <v>0.23</v>
      </c>
      <c r="H7387" s="1" t="str">
        <f>HYPERLINK("http://www.weizmann.ac.il/complex/compphys/software/geview/data/figures/212973_at.png","Figure")</f>
        <v>Figure</v>
      </c>
      <c r="I7387">
        <v>0.86499999999999999</v>
      </c>
      <c r="J7387">
        <v>0.77</v>
      </c>
      <c r="K7387">
        <v>1.33</v>
      </c>
      <c r="L7387">
        <v>0.28999999999999998</v>
      </c>
      <c r="M7387">
        <v>1.54</v>
      </c>
      <c r="N7387">
        <v>0.11</v>
      </c>
    </row>
    <row r="7388" spans="1:14" x14ac:dyDescent="0.25">
      <c r="A7388" t="s">
        <v>13157</v>
      </c>
      <c r="B7388" t="s">
        <v>13158</v>
      </c>
      <c r="C7388" s="1" t="str">
        <f>HYPERLINK("http://www.genecards.org/cgi-bin/carddisp.pl?gene=H2AFJ","GeneCards")</f>
        <v>GeneCards</v>
      </c>
      <c r="D7388" s="1" t="str">
        <f>HYPERLINK("http://genome-euro.ucsc.edu/cgi-bin/hgTracks?position=220936_s_at","UCSC")</f>
        <v>UCSC</v>
      </c>
      <c r="E7388" s="1" t="str">
        <f>HYPERLINK("http://www.ncbi.nlm.nih.gov/gene/?term=H2AFJ","NCBI")</f>
        <v>NCBI</v>
      </c>
      <c r="F7388">
        <v>0.1</v>
      </c>
      <c r="G7388">
        <v>0.23</v>
      </c>
      <c r="H7388" s="1" t="str">
        <f>HYPERLINK("http://www.weizmann.ac.il/complex/compphys/software/geview/data/figures/220936_s_at.png","Figure")</f>
        <v>Figure</v>
      </c>
      <c r="I7388">
        <v>1</v>
      </c>
      <c r="J7388">
        <v>1</v>
      </c>
      <c r="K7388">
        <v>0.92700000000000005</v>
      </c>
      <c r="L7388">
        <v>0.15</v>
      </c>
      <c r="M7388">
        <v>0.92700000000000005</v>
      </c>
      <c r="N7388">
        <v>0.18</v>
      </c>
    </row>
    <row r="7389" spans="1:14" x14ac:dyDescent="0.25">
      <c r="A7389" t="s">
        <v>13159</v>
      </c>
      <c r="B7389" t="s">
        <v>13160</v>
      </c>
      <c r="C7389" s="1" t="str">
        <f>HYPERLINK("http://www.genecards.org/cgi-bin/carddisp.pl?gene=TAF9","GeneCards")</f>
        <v>GeneCards</v>
      </c>
      <c r="D7389" s="1" t="str">
        <f>HYPERLINK("http://genome-euro.ucsc.edu/cgi-bin/hgTracks?position=203893_at","UCSC")</f>
        <v>UCSC</v>
      </c>
      <c r="E7389" s="1" t="str">
        <f>HYPERLINK("http://www.ncbi.nlm.nih.gov/gene/?term=TAF9","NCBI")</f>
        <v>NCBI</v>
      </c>
      <c r="F7389">
        <v>0.1</v>
      </c>
      <c r="G7389">
        <v>0.23</v>
      </c>
      <c r="H7389" s="1" t="str">
        <f>HYPERLINK("http://www.weizmann.ac.il/complex/compphys/software/geview/data/figures/203893_at.png","Figure")</f>
        <v>Figure</v>
      </c>
      <c r="I7389">
        <v>0.86</v>
      </c>
      <c r="J7389">
        <v>0.71</v>
      </c>
      <c r="K7389">
        <v>1.28</v>
      </c>
      <c r="L7389">
        <v>0.33</v>
      </c>
      <c r="M7389">
        <v>1.49</v>
      </c>
      <c r="N7389">
        <v>0.1</v>
      </c>
    </row>
    <row r="7390" spans="1:14" x14ac:dyDescent="0.25">
      <c r="A7390" t="s">
        <v>13161</v>
      </c>
      <c r="B7390" t="s">
        <v>13162</v>
      </c>
      <c r="C7390" s="1" t="str">
        <f>HYPERLINK("http://www.genecards.org/cgi-bin/carddisp.pl?gene=PTPN9","GeneCards")</f>
        <v>GeneCards</v>
      </c>
      <c r="D7390" s="1" t="str">
        <f>HYPERLINK("http://genome-euro.ucsc.edu/cgi-bin/hgTracks?position=202958_at","UCSC")</f>
        <v>UCSC</v>
      </c>
      <c r="E7390" s="1" t="str">
        <f>HYPERLINK("http://www.ncbi.nlm.nih.gov/gene/?term=PTPN9","NCBI")</f>
        <v>NCBI</v>
      </c>
      <c r="F7390">
        <v>0.1</v>
      </c>
      <c r="G7390">
        <v>0.23</v>
      </c>
      <c r="H7390" s="1" t="str">
        <f>HYPERLINK("http://www.weizmann.ac.il/complex/compphys/software/geview/data/figures/202958_at.png","Figure")</f>
        <v>Figure</v>
      </c>
      <c r="I7390">
        <v>1.21</v>
      </c>
      <c r="J7390">
        <v>0.11</v>
      </c>
      <c r="K7390">
        <v>1.1399999999999999</v>
      </c>
      <c r="L7390">
        <v>0.21</v>
      </c>
      <c r="M7390">
        <v>0.94599999999999995</v>
      </c>
      <c r="N7390">
        <v>0.77</v>
      </c>
    </row>
    <row r="7391" spans="1:14" x14ac:dyDescent="0.25">
      <c r="A7391" t="s">
        <v>13163</v>
      </c>
      <c r="B7391" t="s">
        <v>9632</v>
      </c>
      <c r="C7391" s="1" t="str">
        <f>HYPERLINK("http://www.genecards.org/cgi-bin/carddisp.pl?gene=RNFT2","GeneCards")</f>
        <v>GeneCards</v>
      </c>
      <c r="D7391" s="1" t="str">
        <f>HYPERLINK("http://genome-euro.ucsc.edu/cgi-bin/hgTracks?position=221909_at","UCSC")</f>
        <v>UCSC</v>
      </c>
      <c r="E7391" s="1" t="str">
        <f>HYPERLINK("http://www.ncbi.nlm.nih.gov/gene/?term=RNFT2","NCBI")</f>
        <v>NCBI</v>
      </c>
      <c r="F7391">
        <v>0.1</v>
      </c>
      <c r="G7391">
        <v>0.23</v>
      </c>
      <c r="H7391" s="1" t="str">
        <f>HYPERLINK("http://www.weizmann.ac.il/complex/compphys/software/geview/data/figures/221909_at.png","Figure")</f>
        <v>Figure</v>
      </c>
      <c r="I7391">
        <v>0.86199999999999999</v>
      </c>
      <c r="J7391">
        <v>0.36</v>
      </c>
      <c r="K7391">
        <v>1.08</v>
      </c>
      <c r="L7391">
        <v>0.67</v>
      </c>
      <c r="M7391">
        <v>1.26</v>
      </c>
      <c r="N7391">
        <v>8.5999999999999993E-2</v>
      </c>
    </row>
    <row r="7392" spans="1:14" x14ac:dyDescent="0.25">
      <c r="A7392" t="s">
        <v>13164</v>
      </c>
      <c r="B7392" t="s">
        <v>2962</v>
      </c>
      <c r="C7392" s="1" t="str">
        <f>HYPERLINK("http://www.genecards.org/cgi-bin/carddisp.pl?gene=BCL2","GeneCards")</f>
        <v>GeneCards</v>
      </c>
      <c r="D7392" s="1" t="str">
        <f>HYPERLINK("http://genome-euro.ucsc.edu/cgi-bin/hgTracks?position=203684_s_at","UCSC")</f>
        <v>UCSC</v>
      </c>
      <c r="E7392" s="1" t="str">
        <f>HYPERLINK("http://www.ncbi.nlm.nih.gov/gene/?term=BCL2","NCBI")</f>
        <v>NCBI</v>
      </c>
      <c r="F7392">
        <v>0.1</v>
      </c>
      <c r="G7392">
        <v>0.24</v>
      </c>
      <c r="H7392" s="1" t="str">
        <f>HYPERLINK("http://www.weizmann.ac.il/complex/compphys/software/geview/data/figures/203684_s_at.png","Figure")</f>
        <v>Figure</v>
      </c>
      <c r="I7392">
        <v>0.88900000000000001</v>
      </c>
      <c r="J7392">
        <v>0.28999999999999998</v>
      </c>
      <c r="K7392">
        <v>1.04</v>
      </c>
      <c r="L7392">
        <v>0.78</v>
      </c>
      <c r="M7392">
        <v>1.17</v>
      </c>
      <c r="N7392">
        <v>8.7999999999999995E-2</v>
      </c>
    </row>
    <row r="7393" spans="1:14" x14ac:dyDescent="0.25">
      <c r="A7393" t="s">
        <v>13165</v>
      </c>
      <c r="B7393" t="s">
        <v>13166</v>
      </c>
      <c r="C7393" s="1" t="str">
        <f>HYPERLINK("http://www.genecards.org/cgi-bin/carddisp.pl?gene=CYP2A13","GeneCards")</f>
        <v>GeneCards</v>
      </c>
      <c r="D7393" s="1" t="str">
        <f>HYPERLINK("http://genome-euro.ucsc.edu/cgi-bin/hgTracks?position=208327_at","UCSC")</f>
        <v>UCSC</v>
      </c>
      <c r="E7393" s="1" t="str">
        <f>HYPERLINK("http://www.ncbi.nlm.nih.gov/gene/?term=CYP2A13","NCBI")</f>
        <v>NCBI</v>
      </c>
      <c r="F7393">
        <v>0.1</v>
      </c>
      <c r="G7393">
        <v>0.24</v>
      </c>
      <c r="H7393" s="1" t="str">
        <f>HYPERLINK("http://www.weizmann.ac.il/complex/compphys/software/geview/data/figures/208327_at.png","Figure")</f>
        <v>Figure</v>
      </c>
      <c r="I7393">
        <v>1.34</v>
      </c>
      <c r="J7393">
        <v>0.12</v>
      </c>
      <c r="K7393">
        <v>1.25</v>
      </c>
      <c r="L7393">
        <v>0.18</v>
      </c>
      <c r="M7393">
        <v>0.93600000000000005</v>
      </c>
      <c r="N7393">
        <v>0.86</v>
      </c>
    </row>
    <row r="7394" spans="1:14" x14ac:dyDescent="0.25">
      <c r="A7394" t="s">
        <v>13167</v>
      </c>
      <c r="B7394" t="s">
        <v>10707</v>
      </c>
      <c r="C7394" s="1" t="str">
        <f>HYPERLINK("http://www.genecards.org/cgi-bin/carddisp.pl?gene=NOLC1","GeneCards")</f>
        <v>GeneCards</v>
      </c>
      <c r="D7394" s="1" t="str">
        <f>HYPERLINK("http://genome-euro.ucsc.edu/cgi-bin/hgTracks?position=211951_at","UCSC")</f>
        <v>UCSC</v>
      </c>
      <c r="E7394" s="1" t="str">
        <f>HYPERLINK("http://www.ncbi.nlm.nih.gov/gene/?term=NOLC1","NCBI")</f>
        <v>NCBI</v>
      </c>
      <c r="F7394">
        <v>0.1</v>
      </c>
      <c r="G7394">
        <v>0.24</v>
      </c>
      <c r="H7394" s="1" t="str">
        <f>HYPERLINK("http://www.weizmann.ac.il/complex/compphys/software/geview/data/figures/211951_at.png","Figure")</f>
        <v>Figure</v>
      </c>
      <c r="I7394">
        <v>0.95799999999999996</v>
      </c>
      <c r="J7394">
        <v>0.91</v>
      </c>
      <c r="K7394">
        <v>1.17</v>
      </c>
      <c r="L7394">
        <v>0.22</v>
      </c>
      <c r="M7394">
        <v>1.22</v>
      </c>
      <c r="N7394">
        <v>0.13</v>
      </c>
    </row>
    <row r="7395" spans="1:14" x14ac:dyDescent="0.25">
      <c r="A7395" t="s">
        <v>13168</v>
      </c>
      <c r="B7395" t="s">
        <v>3290</v>
      </c>
      <c r="C7395" s="1" t="str">
        <f>HYPERLINK("http://www.genecards.org/cgi-bin/carddisp.pl?gene=CCPG1","GeneCards")</f>
        <v>GeneCards</v>
      </c>
      <c r="D7395" s="1" t="str">
        <f>HYPERLINK("http://genome-euro.ucsc.edu/cgi-bin/hgTracks?position=221511_x_at","UCSC")</f>
        <v>UCSC</v>
      </c>
      <c r="E7395" s="1" t="str">
        <f>HYPERLINK("http://www.ncbi.nlm.nih.gov/gene/?term=CCPG1","NCBI")</f>
        <v>NCBI</v>
      </c>
      <c r="F7395">
        <v>0.1</v>
      </c>
      <c r="G7395">
        <v>0.24</v>
      </c>
      <c r="H7395" s="1" t="str">
        <f>HYPERLINK("http://www.weizmann.ac.il/complex/compphys/software/geview/data/figures/221511_x_at.png","Figure")</f>
        <v>Figure</v>
      </c>
      <c r="I7395">
        <v>0.94299999999999995</v>
      </c>
      <c r="J7395">
        <v>0.49</v>
      </c>
      <c r="K7395">
        <v>1.05</v>
      </c>
      <c r="L7395">
        <v>0.5</v>
      </c>
      <c r="M7395">
        <v>1.1100000000000001</v>
      </c>
      <c r="N7395">
        <v>8.7999999999999995E-2</v>
      </c>
    </row>
    <row r="7396" spans="1:14" x14ac:dyDescent="0.25">
      <c r="A7396" t="s">
        <v>13169</v>
      </c>
      <c r="B7396" t="s">
        <v>10702</v>
      </c>
      <c r="C7396" s="1" t="str">
        <f>HYPERLINK("http://www.genecards.org/cgi-bin/carddisp.pl?gene=ARID1A","GeneCards")</f>
        <v>GeneCards</v>
      </c>
      <c r="D7396" s="1" t="str">
        <f>HYPERLINK("http://genome-euro.ucsc.edu/cgi-bin/hgTracks?position=207591_s_at","UCSC")</f>
        <v>UCSC</v>
      </c>
      <c r="E7396" s="1" t="str">
        <f>HYPERLINK("http://www.ncbi.nlm.nih.gov/gene/?term=ARID1A","NCBI")</f>
        <v>NCBI</v>
      </c>
      <c r="F7396">
        <v>0.1</v>
      </c>
      <c r="G7396">
        <v>0.24</v>
      </c>
      <c r="H7396" s="1" t="str">
        <f>HYPERLINK("http://www.weizmann.ac.il/complex/compphys/software/geview/data/figures/207591_s_at.png","Figure")</f>
        <v>Figure</v>
      </c>
      <c r="I7396">
        <v>1.1599999999999999</v>
      </c>
      <c r="J7396">
        <v>0.14000000000000001</v>
      </c>
      <c r="K7396">
        <v>1.1399999999999999</v>
      </c>
      <c r="L7396">
        <v>0.15</v>
      </c>
      <c r="M7396">
        <v>0.97799999999999998</v>
      </c>
      <c r="N7396">
        <v>0.95</v>
      </c>
    </row>
    <row r="7397" spans="1:14" x14ac:dyDescent="0.25">
      <c r="A7397" t="s">
        <v>13170</v>
      </c>
      <c r="B7397" t="s">
        <v>13171</v>
      </c>
      <c r="C7397" s="1" t="str">
        <f>HYPERLINK("http://www.genecards.org/cgi-bin/carddisp.pl?gene=ALKBH4","GeneCards")</f>
        <v>GeneCards</v>
      </c>
      <c r="D7397" s="1" t="str">
        <f>HYPERLINK("http://genome-euro.ucsc.edu/cgi-bin/hgTracks?position=222228_s_at","UCSC")</f>
        <v>UCSC</v>
      </c>
      <c r="E7397" s="1" t="str">
        <f>HYPERLINK("http://www.ncbi.nlm.nih.gov/gene/?term=ALKBH4","NCBI")</f>
        <v>NCBI</v>
      </c>
      <c r="F7397">
        <v>0.1</v>
      </c>
      <c r="G7397">
        <v>0.24</v>
      </c>
      <c r="H7397" s="1" t="str">
        <f>HYPERLINK("http://www.weizmann.ac.il/complex/compphys/software/geview/data/figures/222228_s_at.png","Figure")</f>
        <v>Figure</v>
      </c>
      <c r="I7397">
        <v>1.18</v>
      </c>
      <c r="J7397">
        <v>0.11</v>
      </c>
      <c r="K7397">
        <v>1.1299999999999999</v>
      </c>
      <c r="L7397">
        <v>0.21</v>
      </c>
      <c r="M7397">
        <v>0.95399999999999996</v>
      </c>
      <c r="N7397">
        <v>0.78</v>
      </c>
    </row>
    <row r="7398" spans="1:14" x14ac:dyDescent="0.25">
      <c r="A7398" t="s">
        <v>13172</v>
      </c>
      <c r="B7398" t="s">
        <v>13173</v>
      </c>
      <c r="C7398" s="1" t="str">
        <f>HYPERLINK("http://www.genecards.org/cgi-bin/carddisp.pl?gene=LOC100132247 /// LOC348162 /// LOC613037 /// LOC728888 /// NPIPL3","GeneCards")</f>
        <v>GeneCards</v>
      </c>
      <c r="D7398" s="1" t="str">
        <f>HYPERLINK("http://genome-euro.ucsc.edu/cgi-bin/hgTracks?position=211996_s_at","UCSC")</f>
        <v>UCSC</v>
      </c>
      <c r="E7398" s="1" t="str">
        <f>HYPERLINK("http://www.ncbi.nlm.nih.gov/gene/?term=LOC100132247 /// LOC348162 /// LOC613037 /// LOC728888 /// NPIPL3","NCBI")</f>
        <v>NCBI</v>
      </c>
      <c r="F7398">
        <v>0.1</v>
      </c>
      <c r="G7398">
        <v>0.24</v>
      </c>
      <c r="H7398" s="1" t="str">
        <f>HYPERLINK("http://www.weizmann.ac.il/complex/compphys/software/geview/data/figures/211996_s_at.png","Figure")</f>
        <v>Figure</v>
      </c>
      <c r="I7398">
        <v>3.13</v>
      </c>
      <c r="J7398">
        <v>8.8999999999999996E-2</v>
      </c>
      <c r="K7398">
        <v>1.86</v>
      </c>
      <c r="L7398">
        <v>0.35</v>
      </c>
      <c r="M7398">
        <v>0.59399999999999997</v>
      </c>
      <c r="N7398">
        <v>0.51</v>
      </c>
    </row>
    <row r="7399" spans="1:14" x14ac:dyDescent="0.25">
      <c r="A7399" t="s">
        <v>13174</v>
      </c>
      <c r="B7399" t="s">
        <v>13175</v>
      </c>
      <c r="C7399" s="1" t="str">
        <f>HYPERLINK("http://www.genecards.org/cgi-bin/carddisp.pl?gene=MRM1","GeneCards")</f>
        <v>GeneCards</v>
      </c>
      <c r="D7399" s="1" t="str">
        <f>HYPERLINK("http://genome-euro.ucsc.edu/cgi-bin/hgTracks?position=219967_at","UCSC")</f>
        <v>UCSC</v>
      </c>
      <c r="E7399" s="1" t="str">
        <f>HYPERLINK("http://www.ncbi.nlm.nih.gov/gene/?term=MRM1","NCBI")</f>
        <v>NCBI</v>
      </c>
      <c r="F7399">
        <v>0.1</v>
      </c>
      <c r="G7399">
        <v>0.24</v>
      </c>
      <c r="H7399" s="1" t="str">
        <f>HYPERLINK("http://www.weizmann.ac.il/complex/compphys/software/geview/data/figures/219967_at.png","Figure")</f>
        <v>Figure</v>
      </c>
      <c r="I7399">
        <v>1.1299999999999999</v>
      </c>
      <c r="J7399">
        <v>0.22</v>
      </c>
      <c r="K7399">
        <v>1.1499999999999999</v>
      </c>
      <c r="L7399">
        <v>0.1</v>
      </c>
      <c r="M7399">
        <v>1.01</v>
      </c>
      <c r="N7399">
        <v>0.98</v>
      </c>
    </row>
    <row r="7400" spans="1:14" x14ac:dyDescent="0.25">
      <c r="A7400" t="s">
        <v>13176</v>
      </c>
      <c r="B7400" t="s">
        <v>13177</v>
      </c>
      <c r="C7400" s="1" t="str">
        <f>HYPERLINK("http://www.genecards.org/cgi-bin/carddisp.pl?gene=HP","GeneCards")</f>
        <v>GeneCards</v>
      </c>
      <c r="D7400" s="1" t="str">
        <f>HYPERLINK("http://genome-euro.ucsc.edu/cgi-bin/hgTracks?position=206697_s_at","UCSC")</f>
        <v>UCSC</v>
      </c>
      <c r="E7400" s="1" t="str">
        <f>HYPERLINK("http://www.ncbi.nlm.nih.gov/gene/?term=HP","NCBI")</f>
        <v>NCBI</v>
      </c>
      <c r="F7400">
        <v>0.1</v>
      </c>
      <c r="G7400">
        <v>0.24</v>
      </c>
      <c r="H7400" s="1" t="str">
        <f>HYPERLINK("http://www.weizmann.ac.il/complex/compphys/software/geview/data/figures/206697_s_at.png","Figure")</f>
        <v>Figure</v>
      </c>
      <c r="I7400">
        <v>1.1599999999999999</v>
      </c>
      <c r="J7400">
        <v>9.2999999999999999E-2</v>
      </c>
      <c r="K7400">
        <v>1.0900000000000001</v>
      </c>
      <c r="L7400">
        <v>0.28999999999999998</v>
      </c>
      <c r="M7400">
        <v>0.94299999999999995</v>
      </c>
      <c r="N7400">
        <v>0.61</v>
      </c>
    </row>
    <row r="7401" spans="1:14" x14ac:dyDescent="0.25">
      <c r="A7401" t="s">
        <v>13178</v>
      </c>
      <c r="B7401" t="s">
        <v>13179</v>
      </c>
      <c r="C7401" s="1" t="str">
        <f>HYPERLINK("http://www.genecards.org/cgi-bin/carddisp.pl?gene=ALDOA","GeneCards")</f>
        <v>GeneCards</v>
      </c>
      <c r="D7401" s="1" t="str">
        <f>HYPERLINK("http://genome-euro.ucsc.edu/cgi-bin/hgTracks?position=200966_x_at","UCSC")</f>
        <v>UCSC</v>
      </c>
      <c r="E7401" s="1" t="str">
        <f>HYPERLINK("http://www.ncbi.nlm.nih.gov/gene/?term=ALDOA","NCBI")</f>
        <v>NCBI</v>
      </c>
      <c r="F7401">
        <v>0.1</v>
      </c>
      <c r="G7401">
        <v>0.24</v>
      </c>
      <c r="H7401" s="1" t="str">
        <f>HYPERLINK("http://www.weizmann.ac.il/complex/compphys/software/geview/data/figures/200966_x_at.png","Figure")</f>
        <v>Figure</v>
      </c>
      <c r="I7401">
        <v>1.27</v>
      </c>
      <c r="J7401">
        <v>0.38</v>
      </c>
      <c r="K7401">
        <v>1.41</v>
      </c>
      <c r="L7401">
        <v>8.7999999999999995E-2</v>
      </c>
      <c r="M7401">
        <v>1.1200000000000001</v>
      </c>
      <c r="N7401">
        <v>0.78</v>
      </c>
    </row>
    <row r="7402" spans="1:14" x14ac:dyDescent="0.25">
      <c r="A7402" t="s">
        <v>13180</v>
      </c>
      <c r="B7402" t="s">
        <v>6686</v>
      </c>
      <c r="C7402" s="1" t="str">
        <f>HYPERLINK("http://www.genecards.org/cgi-bin/carddisp.pl?gene=SFRS5","GeneCards")</f>
        <v>GeneCards</v>
      </c>
      <c r="D7402" s="1" t="str">
        <f>HYPERLINK("http://genome-euro.ucsc.edu/cgi-bin/hgTracks?position=212266_s_at","UCSC")</f>
        <v>UCSC</v>
      </c>
      <c r="E7402" s="1" t="str">
        <f>HYPERLINK("http://www.ncbi.nlm.nih.gov/gene/?term=SFRS5","NCBI")</f>
        <v>NCBI</v>
      </c>
      <c r="F7402">
        <v>0.1</v>
      </c>
      <c r="G7402">
        <v>0.24</v>
      </c>
      <c r="H7402" s="1" t="str">
        <f>HYPERLINK("http://www.weizmann.ac.il/complex/compphys/software/geview/data/figures/212266_s_at.png","Figure")</f>
        <v>Figure</v>
      </c>
      <c r="I7402">
        <v>0.66500000000000004</v>
      </c>
      <c r="J7402">
        <v>8.5999999999999993E-2</v>
      </c>
      <c r="K7402">
        <v>0.83699999999999997</v>
      </c>
      <c r="L7402">
        <v>0.49</v>
      </c>
      <c r="M7402">
        <v>1.26</v>
      </c>
      <c r="N7402">
        <v>0.36</v>
      </c>
    </row>
    <row r="7403" spans="1:14" x14ac:dyDescent="0.25">
      <c r="A7403" t="s">
        <v>13181</v>
      </c>
      <c r="B7403" t="s">
        <v>6926</v>
      </c>
      <c r="C7403" s="1" t="str">
        <f>HYPERLINK("http://www.genecards.org/cgi-bin/carddisp.pl?gene=NDRG2","GeneCards")</f>
        <v>GeneCards</v>
      </c>
      <c r="D7403" s="1" t="str">
        <f>HYPERLINK("http://genome-euro.ucsc.edu/cgi-bin/hgTracks?position=206453_s_at","UCSC")</f>
        <v>UCSC</v>
      </c>
      <c r="E7403" s="1" t="str">
        <f>HYPERLINK("http://www.ncbi.nlm.nih.gov/gene/?term=NDRG2","NCBI")</f>
        <v>NCBI</v>
      </c>
      <c r="F7403">
        <v>0.1</v>
      </c>
      <c r="G7403">
        <v>0.24</v>
      </c>
      <c r="H7403" s="1" t="str">
        <f>HYPERLINK("http://www.weizmann.ac.il/complex/compphys/software/geview/data/figures/206453_s_at.png","Figure")</f>
        <v>Figure</v>
      </c>
      <c r="I7403">
        <v>1.3</v>
      </c>
      <c r="J7403">
        <v>8.5999999999999993E-2</v>
      </c>
      <c r="K7403">
        <v>1.1299999999999999</v>
      </c>
      <c r="L7403">
        <v>0.47</v>
      </c>
      <c r="M7403">
        <v>0.86299999999999999</v>
      </c>
      <c r="N7403">
        <v>0.38</v>
      </c>
    </row>
    <row r="7404" spans="1:14" x14ac:dyDescent="0.25">
      <c r="A7404" t="s">
        <v>13182</v>
      </c>
      <c r="B7404" t="s">
        <v>13183</v>
      </c>
      <c r="C7404" s="1" t="str">
        <f>HYPERLINK("http://www.genecards.org/cgi-bin/carddisp.pl?gene=APITD1","GeneCards")</f>
        <v>GeneCards</v>
      </c>
      <c r="D7404" s="1" t="str">
        <f>HYPERLINK("http://genome-euro.ucsc.edu/cgi-bin/hgTracks?position=213454_at","UCSC")</f>
        <v>UCSC</v>
      </c>
      <c r="E7404" s="1" t="str">
        <f>HYPERLINK("http://www.ncbi.nlm.nih.gov/gene/?term=APITD1","NCBI")</f>
        <v>NCBI</v>
      </c>
      <c r="F7404">
        <v>0.1</v>
      </c>
      <c r="G7404">
        <v>0.24</v>
      </c>
      <c r="H7404" s="1" t="str">
        <f>HYPERLINK("http://www.weizmann.ac.il/complex/compphys/software/geview/data/figures/213454_at.png","Figure")</f>
        <v>Figure</v>
      </c>
      <c r="I7404">
        <v>0.80500000000000005</v>
      </c>
      <c r="J7404">
        <v>0.44</v>
      </c>
      <c r="K7404">
        <v>1.17</v>
      </c>
      <c r="L7404">
        <v>0.56000000000000005</v>
      </c>
      <c r="M7404">
        <v>1.46</v>
      </c>
      <c r="N7404">
        <v>8.6999999999999994E-2</v>
      </c>
    </row>
    <row r="7405" spans="1:14" x14ac:dyDescent="0.25">
      <c r="A7405" t="s">
        <v>13184</v>
      </c>
      <c r="B7405" t="s">
        <v>7803</v>
      </c>
      <c r="C7405" s="1" t="str">
        <f>HYPERLINK("http://www.genecards.org/cgi-bin/carddisp.pl?gene=ATN1","GeneCards")</f>
        <v>GeneCards</v>
      </c>
      <c r="D7405" s="1" t="str">
        <f>HYPERLINK("http://genome-euro.ucsc.edu/cgi-bin/hgTracks?position=211076_x_at","UCSC")</f>
        <v>UCSC</v>
      </c>
      <c r="E7405" s="1" t="str">
        <f>HYPERLINK("http://www.ncbi.nlm.nih.gov/gene/?term=ATN1","NCBI")</f>
        <v>NCBI</v>
      </c>
      <c r="F7405">
        <v>0.1</v>
      </c>
      <c r="G7405">
        <v>0.24</v>
      </c>
      <c r="H7405" s="1" t="str">
        <f>HYPERLINK("http://www.weizmann.ac.il/complex/compphys/software/geview/data/figures/211076_x_at.png","Figure")</f>
        <v>Figure</v>
      </c>
      <c r="I7405">
        <v>0.82399999999999995</v>
      </c>
      <c r="J7405">
        <v>8.5999999999999993E-2</v>
      </c>
      <c r="K7405">
        <v>0.91</v>
      </c>
      <c r="L7405">
        <v>0.42</v>
      </c>
      <c r="M7405">
        <v>1.1100000000000001</v>
      </c>
      <c r="N7405">
        <v>0.43</v>
      </c>
    </row>
    <row r="7406" spans="1:14" x14ac:dyDescent="0.25">
      <c r="A7406" t="s">
        <v>13185</v>
      </c>
      <c r="B7406" t="s">
        <v>10663</v>
      </c>
      <c r="C7406" s="1" t="str">
        <f>HYPERLINK("http://www.genecards.org/cgi-bin/carddisp.pl?gene=TUBGCP4","GeneCards")</f>
        <v>GeneCards</v>
      </c>
      <c r="D7406" s="1" t="str">
        <f>HYPERLINK("http://genome-euro.ucsc.edu/cgi-bin/hgTracks?position=211337_s_at","UCSC")</f>
        <v>UCSC</v>
      </c>
      <c r="E7406" s="1" t="str">
        <f>HYPERLINK("http://www.ncbi.nlm.nih.gov/gene/?term=TUBGCP4","NCBI")</f>
        <v>NCBI</v>
      </c>
      <c r="F7406">
        <v>0.1</v>
      </c>
      <c r="G7406">
        <v>0.24</v>
      </c>
      <c r="H7406" s="1" t="str">
        <f>HYPERLINK("http://www.weizmann.ac.il/complex/compphys/software/geview/data/figures/211337_s_at.png","Figure")</f>
        <v>Figure</v>
      </c>
      <c r="I7406">
        <v>0.85599999999999998</v>
      </c>
      <c r="J7406">
        <v>0.23</v>
      </c>
      <c r="K7406">
        <v>0.84099999999999997</v>
      </c>
      <c r="L7406">
        <v>0.1</v>
      </c>
      <c r="M7406">
        <v>0.98199999999999998</v>
      </c>
      <c r="N7406">
        <v>0.98</v>
      </c>
    </row>
    <row r="7407" spans="1:14" x14ac:dyDescent="0.25">
      <c r="A7407" t="s">
        <v>13186</v>
      </c>
      <c r="B7407" t="s">
        <v>11586</v>
      </c>
      <c r="C7407" s="1" t="str">
        <f>HYPERLINK("http://www.genecards.org/cgi-bin/carddisp.pl?gene=MAPK1IP1L","GeneCards")</f>
        <v>GeneCards</v>
      </c>
      <c r="D7407" s="1" t="str">
        <f>HYPERLINK("http://genome-euro.ucsc.edu/cgi-bin/hgTracks?position=212643_at","UCSC")</f>
        <v>UCSC</v>
      </c>
      <c r="E7407" s="1" t="str">
        <f>HYPERLINK("http://www.ncbi.nlm.nih.gov/gene/?term=MAPK1IP1L","NCBI")</f>
        <v>NCBI</v>
      </c>
      <c r="F7407">
        <v>0.1</v>
      </c>
      <c r="G7407">
        <v>0.24</v>
      </c>
      <c r="H7407" s="1" t="str">
        <f>HYPERLINK("http://www.weizmann.ac.il/complex/compphys/software/geview/data/figures/212643_at.png","Figure")</f>
        <v>Figure</v>
      </c>
      <c r="I7407">
        <v>0.71399999999999997</v>
      </c>
      <c r="J7407">
        <v>0.11</v>
      </c>
      <c r="K7407">
        <v>0.79</v>
      </c>
      <c r="L7407">
        <v>0.22</v>
      </c>
      <c r="M7407">
        <v>1.1100000000000001</v>
      </c>
      <c r="N7407">
        <v>0.76</v>
      </c>
    </row>
    <row r="7408" spans="1:14" x14ac:dyDescent="0.25">
      <c r="A7408" t="s">
        <v>13187</v>
      </c>
      <c r="B7408" t="s">
        <v>10014</v>
      </c>
      <c r="C7408" s="1" t="str">
        <f>HYPERLINK("http://www.genecards.org/cgi-bin/carddisp.pl?gene=PRKD2","GeneCards")</f>
        <v>GeneCards</v>
      </c>
      <c r="D7408" s="1" t="str">
        <f>HYPERLINK("http://genome-euro.ucsc.edu/cgi-bin/hgTracks?position=38269_at","UCSC")</f>
        <v>UCSC</v>
      </c>
      <c r="E7408" s="1" t="str">
        <f>HYPERLINK("http://www.ncbi.nlm.nih.gov/gene/?term=PRKD2","NCBI")</f>
        <v>NCBI</v>
      </c>
      <c r="F7408">
        <v>0.1</v>
      </c>
      <c r="G7408">
        <v>0.24</v>
      </c>
      <c r="H7408" s="1" t="str">
        <f>HYPERLINK("http://www.weizmann.ac.il/complex/compphys/software/geview/data/figures/38269_at.png","Figure")</f>
        <v>Figure</v>
      </c>
      <c r="I7408">
        <v>0.76400000000000001</v>
      </c>
      <c r="J7408">
        <v>0.49</v>
      </c>
      <c r="K7408">
        <v>1.26</v>
      </c>
      <c r="L7408">
        <v>0.51</v>
      </c>
      <c r="M7408">
        <v>1.64</v>
      </c>
      <c r="N7408">
        <v>8.7999999999999995E-2</v>
      </c>
    </row>
    <row r="7409" spans="1:14" x14ac:dyDescent="0.25">
      <c r="A7409" t="s">
        <v>13188</v>
      </c>
      <c r="B7409" t="s">
        <v>13189</v>
      </c>
      <c r="C7409" s="1" t="str">
        <f>HYPERLINK("http://www.genecards.org/cgi-bin/carddisp.pl?gene=ETS1","GeneCards")</f>
        <v>GeneCards</v>
      </c>
      <c r="D7409" s="1" t="str">
        <f>HYPERLINK("http://genome-euro.ucsc.edu/cgi-bin/hgTracks?position=214447_at","UCSC")</f>
        <v>UCSC</v>
      </c>
      <c r="E7409" s="1" t="str">
        <f>HYPERLINK("http://www.ncbi.nlm.nih.gov/gene/?term=ETS1","NCBI")</f>
        <v>NCBI</v>
      </c>
      <c r="F7409">
        <v>0.1</v>
      </c>
      <c r="G7409">
        <v>0.24</v>
      </c>
      <c r="H7409" s="1" t="str">
        <f>HYPERLINK("http://www.weizmann.ac.il/complex/compphys/software/geview/data/figures/214447_at.png","Figure")</f>
        <v>Figure</v>
      </c>
      <c r="I7409">
        <v>1.01</v>
      </c>
      <c r="J7409">
        <v>0.96</v>
      </c>
      <c r="K7409">
        <v>0.91300000000000003</v>
      </c>
      <c r="L7409">
        <v>0.19</v>
      </c>
      <c r="M7409">
        <v>0.9</v>
      </c>
      <c r="N7409">
        <v>0.15</v>
      </c>
    </row>
    <row r="7410" spans="1:14" x14ac:dyDescent="0.25">
      <c r="A7410" t="s">
        <v>13190</v>
      </c>
      <c r="B7410" t="s">
        <v>7945</v>
      </c>
      <c r="C7410" s="1" t="str">
        <f>HYPERLINK("http://www.genecards.org/cgi-bin/carddisp.pl?gene=RAPGEF2","GeneCards")</f>
        <v>GeneCards</v>
      </c>
      <c r="D7410" s="1" t="str">
        <f>HYPERLINK("http://genome-euro.ucsc.edu/cgi-bin/hgTracks?position=215992_s_at","UCSC")</f>
        <v>UCSC</v>
      </c>
      <c r="E7410" s="1" t="str">
        <f>HYPERLINK("http://www.ncbi.nlm.nih.gov/gene/?term=RAPGEF2","NCBI")</f>
        <v>NCBI</v>
      </c>
      <c r="F7410">
        <v>0.1</v>
      </c>
      <c r="G7410">
        <v>0.24</v>
      </c>
      <c r="H7410" s="1" t="str">
        <f>HYPERLINK("http://www.weizmann.ac.il/complex/compphys/software/geview/data/figures/215992_s_at.png","Figure")</f>
        <v>Figure</v>
      </c>
      <c r="I7410">
        <v>0.95099999999999996</v>
      </c>
      <c r="J7410">
        <v>0.98</v>
      </c>
      <c r="K7410">
        <v>0.63200000000000001</v>
      </c>
      <c r="L7410">
        <v>0.13</v>
      </c>
      <c r="M7410">
        <v>0.66500000000000004</v>
      </c>
      <c r="N7410">
        <v>0.22</v>
      </c>
    </row>
    <row r="7411" spans="1:14" x14ac:dyDescent="0.25">
      <c r="A7411" t="s">
        <v>13191</v>
      </c>
      <c r="B7411" t="s">
        <v>13126</v>
      </c>
      <c r="C7411" s="1" t="str">
        <f>HYPERLINK("http://www.genecards.org/cgi-bin/carddisp.pl?gene=RORA","GeneCards")</f>
        <v>GeneCards</v>
      </c>
      <c r="D7411" s="1" t="str">
        <f>HYPERLINK("http://genome-euro.ucsc.edu/cgi-bin/hgTracks?position=210479_s_at","UCSC")</f>
        <v>UCSC</v>
      </c>
      <c r="E7411" s="1" t="str">
        <f>HYPERLINK("http://www.ncbi.nlm.nih.gov/gene/?term=RORA","NCBI")</f>
        <v>NCBI</v>
      </c>
      <c r="F7411">
        <v>0.1</v>
      </c>
      <c r="G7411">
        <v>0.24</v>
      </c>
      <c r="H7411" s="1" t="str">
        <f>HYPERLINK("http://www.weizmann.ac.il/complex/compphys/software/geview/data/figures/210479_s_at.png","Figure")</f>
        <v>Figure</v>
      </c>
      <c r="I7411">
        <v>0.95499999999999996</v>
      </c>
      <c r="J7411">
        <v>1</v>
      </c>
      <c r="K7411">
        <v>0.4</v>
      </c>
      <c r="L7411">
        <v>0.14000000000000001</v>
      </c>
      <c r="M7411">
        <v>0.41799999999999998</v>
      </c>
      <c r="N7411">
        <v>0.2</v>
      </c>
    </row>
    <row r="7412" spans="1:14" x14ac:dyDescent="0.25">
      <c r="A7412" t="s">
        <v>13192</v>
      </c>
      <c r="B7412" t="s">
        <v>13193</v>
      </c>
      <c r="C7412" s="1" t="str">
        <f>HYPERLINK("http://www.genecards.org/cgi-bin/carddisp.pl?gene=DTNA","GeneCards")</f>
        <v>GeneCards</v>
      </c>
      <c r="D7412" s="1" t="str">
        <f>HYPERLINK("http://genome-euro.ucsc.edu/cgi-bin/hgTracks?position=210736_x_at","UCSC")</f>
        <v>UCSC</v>
      </c>
      <c r="E7412" s="1" t="str">
        <f>HYPERLINK("http://www.ncbi.nlm.nih.gov/gene/?term=DTNA","NCBI")</f>
        <v>NCBI</v>
      </c>
      <c r="F7412">
        <v>0.1</v>
      </c>
      <c r="G7412">
        <v>0.24</v>
      </c>
      <c r="H7412" s="1" t="str">
        <f>HYPERLINK("http://www.weizmann.ac.il/complex/compphys/software/geview/data/figures/210736_x_at.png","Figure")</f>
        <v>Figure</v>
      </c>
      <c r="I7412">
        <v>1.29</v>
      </c>
      <c r="J7412">
        <v>9.6000000000000002E-2</v>
      </c>
      <c r="K7412">
        <v>1.07</v>
      </c>
      <c r="L7412">
        <v>0.78</v>
      </c>
      <c r="M7412">
        <v>0.82799999999999996</v>
      </c>
      <c r="N7412">
        <v>0.21</v>
      </c>
    </row>
    <row r="7413" spans="1:14" x14ac:dyDescent="0.25">
      <c r="A7413" t="s">
        <v>13194</v>
      </c>
      <c r="B7413" t="s">
        <v>13195</v>
      </c>
      <c r="C7413" s="1" t="str">
        <f>HYPERLINK("http://www.genecards.org/cgi-bin/carddisp.pl?gene=RANGRF","GeneCards")</f>
        <v>GeneCards</v>
      </c>
      <c r="D7413" s="1" t="str">
        <f>HYPERLINK("http://genome-euro.ucsc.edu/cgi-bin/hgTracks?position=218526_s_at","UCSC")</f>
        <v>UCSC</v>
      </c>
      <c r="E7413" s="1" t="str">
        <f>HYPERLINK("http://www.ncbi.nlm.nih.gov/gene/?term=RANGRF","NCBI")</f>
        <v>NCBI</v>
      </c>
      <c r="F7413">
        <v>0.1</v>
      </c>
      <c r="G7413">
        <v>0.24</v>
      </c>
      <c r="H7413" s="1" t="str">
        <f>HYPERLINK("http://www.weizmann.ac.il/complex/compphys/software/geview/data/figures/218526_s_at.png","Figure")</f>
        <v>Figure</v>
      </c>
      <c r="I7413">
        <v>0.753</v>
      </c>
      <c r="J7413">
        <v>0.2</v>
      </c>
      <c r="K7413">
        <v>1.05</v>
      </c>
      <c r="L7413">
        <v>0.94</v>
      </c>
      <c r="M7413">
        <v>1.39</v>
      </c>
      <c r="N7413">
        <v>9.8000000000000004E-2</v>
      </c>
    </row>
    <row r="7414" spans="1:14" x14ac:dyDescent="0.25">
      <c r="A7414" t="s">
        <v>13196</v>
      </c>
      <c r="B7414" t="s">
        <v>13197</v>
      </c>
      <c r="C7414" s="1" t="str">
        <f>HYPERLINK("http://www.genecards.org/cgi-bin/carddisp.pl?gene=CCDC101","GeneCards")</f>
        <v>GeneCards</v>
      </c>
      <c r="D7414" s="1" t="str">
        <f>HYPERLINK("http://genome-euro.ucsc.edu/cgi-bin/hgTracks?position=48117_at","UCSC")</f>
        <v>UCSC</v>
      </c>
      <c r="E7414" s="1" t="str">
        <f>HYPERLINK("http://www.ncbi.nlm.nih.gov/gene/?term=CCDC101","NCBI")</f>
        <v>NCBI</v>
      </c>
      <c r="F7414">
        <v>0.1</v>
      </c>
      <c r="G7414">
        <v>0.24</v>
      </c>
      <c r="H7414" s="1" t="str">
        <f>HYPERLINK("http://www.weizmann.ac.il/complex/compphys/software/geview/data/figures/48117_at.png","Figure")</f>
        <v>Figure</v>
      </c>
      <c r="I7414">
        <v>1.32</v>
      </c>
      <c r="J7414">
        <v>8.6999999999999994E-2</v>
      </c>
      <c r="K7414">
        <v>1.1100000000000001</v>
      </c>
      <c r="L7414">
        <v>0.56999999999999995</v>
      </c>
      <c r="M7414">
        <v>0.84399999999999997</v>
      </c>
      <c r="N7414">
        <v>0.31</v>
      </c>
    </row>
    <row r="7415" spans="1:14" x14ac:dyDescent="0.25">
      <c r="A7415" t="s">
        <v>13198</v>
      </c>
      <c r="B7415" t="s">
        <v>7422</v>
      </c>
      <c r="C7415" s="1" t="str">
        <f>HYPERLINK("http://www.genecards.org/cgi-bin/carddisp.pl?gene=KCTD12","GeneCards")</f>
        <v>GeneCards</v>
      </c>
      <c r="D7415" s="1" t="str">
        <f>HYPERLINK("http://genome-euro.ucsc.edu/cgi-bin/hgTracks?position=212192_at","UCSC")</f>
        <v>UCSC</v>
      </c>
      <c r="E7415" s="1" t="str">
        <f>HYPERLINK("http://www.ncbi.nlm.nih.gov/gene/?term=KCTD12","NCBI")</f>
        <v>NCBI</v>
      </c>
      <c r="F7415">
        <v>0.1</v>
      </c>
      <c r="G7415">
        <v>0.24</v>
      </c>
      <c r="H7415" s="1" t="str">
        <f>HYPERLINK("http://www.weizmann.ac.il/complex/compphys/software/geview/data/figures/212192_at.png","Figure")</f>
        <v>Figure</v>
      </c>
      <c r="I7415">
        <v>0.28000000000000003</v>
      </c>
      <c r="J7415">
        <v>8.8999999999999996E-2</v>
      </c>
      <c r="K7415">
        <v>0.503</v>
      </c>
      <c r="L7415">
        <v>0.35</v>
      </c>
      <c r="M7415">
        <v>1.8</v>
      </c>
      <c r="N7415">
        <v>0.51</v>
      </c>
    </row>
    <row r="7416" spans="1:14" x14ac:dyDescent="0.25">
      <c r="A7416" t="s">
        <v>13199</v>
      </c>
      <c r="B7416" t="s">
        <v>13200</v>
      </c>
      <c r="C7416" s="1" t="str">
        <f>HYPERLINK("http://www.genecards.org/cgi-bin/carddisp.pl?gene=HOOK2","GeneCards")</f>
        <v>GeneCards</v>
      </c>
      <c r="D7416" s="1" t="str">
        <f>HYPERLINK("http://genome-euro.ucsc.edu/cgi-bin/hgTracks?position=218780_at","UCSC")</f>
        <v>UCSC</v>
      </c>
      <c r="E7416" s="1" t="str">
        <f>HYPERLINK("http://www.ncbi.nlm.nih.gov/gene/?term=HOOK2","NCBI")</f>
        <v>NCBI</v>
      </c>
      <c r="F7416">
        <v>0.1</v>
      </c>
      <c r="G7416">
        <v>0.24</v>
      </c>
      <c r="H7416" s="1" t="str">
        <f>HYPERLINK("http://www.weizmann.ac.il/complex/compphys/software/geview/data/figures/218780_at.png","Figure")</f>
        <v>Figure</v>
      </c>
      <c r="I7416">
        <v>1.07</v>
      </c>
      <c r="J7416">
        <v>0.55000000000000004</v>
      </c>
      <c r="K7416">
        <v>1.1399999999999999</v>
      </c>
      <c r="L7416">
        <v>8.6999999999999994E-2</v>
      </c>
      <c r="M7416">
        <v>1.06</v>
      </c>
      <c r="N7416">
        <v>0.56999999999999995</v>
      </c>
    </row>
    <row r="7417" spans="1:14" x14ac:dyDescent="0.25">
      <c r="A7417" t="s">
        <v>13201</v>
      </c>
      <c r="B7417" t="s">
        <v>7218</v>
      </c>
      <c r="C7417" s="1" t="str">
        <f>HYPERLINK("http://www.genecards.org/cgi-bin/carddisp.pl?gene=KHDRBS1","GeneCards")</f>
        <v>GeneCards</v>
      </c>
      <c r="D7417" s="1" t="str">
        <f>HYPERLINK("http://genome-euro.ucsc.edu/cgi-bin/hgTracks?position=201488_x_at","UCSC")</f>
        <v>UCSC</v>
      </c>
      <c r="E7417" s="1" t="str">
        <f>HYPERLINK("http://www.ncbi.nlm.nih.gov/gene/?term=KHDRBS1","NCBI")</f>
        <v>NCBI</v>
      </c>
      <c r="F7417">
        <v>0.1</v>
      </c>
      <c r="G7417">
        <v>0.24</v>
      </c>
      <c r="H7417" s="1" t="str">
        <f>HYPERLINK("http://www.weizmann.ac.il/complex/compphys/software/geview/data/figures/201488_x_at.png","Figure")</f>
        <v>Figure</v>
      </c>
      <c r="I7417">
        <v>1.17</v>
      </c>
      <c r="J7417">
        <v>0.48</v>
      </c>
      <c r="K7417">
        <v>1.3</v>
      </c>
      <c r="L7417">
        <v>8.5999999999999993E-2</v>
      </c>
      <c r="M7417">
        <v>1.1200000000000001</v>
      </c>
      <c r="N7417">
        <v>0.65</v>
      </c>
    </row>
    <row r="7418" spans="1:14" x14ac:dyDescent="0.25">
      <c r="A7418" t="s">
        <v>13202</v>
      </c>
      <c r="B7418" t="s">
        <v>13203</v>
      </c>
      <c r="C7418" s="1" t="str">
        <f>HYPERLINK("http://www.genecards.org/cgi-bin/carddisp.pl?gene=PEX11B","GeneCards")</f>
        <v>GeneCards</v>
      </c>
      <c r="D7418" s="1" t="str">
        <f>HYPERLINK("http://genome-euro.ucsc.edu/cgi-bin/hgTracks?position=202658_at","UCSC")</f>
        <v>UCSC</v>
      </c>
      <c r="E7418" s="1" t="str">
        <f>HYPERLINK("http://www.ncbi.nlm.nih.gov/gene/?term=PEX11B","NCBI")</f>
        <v>NCBI</v>
      </c>
      <c r="F7418">
        <v>0.1</v>
      </c>
      <c r="G7418">
        <v>0.24</v>
      </c>
      <c r="H7418" s="1" t="str">
        <f>HYPERLINK("http://www.weizmann.ac.il/complex/compphys/software/geview/data/figures/202658_at.png","Figure")</f>
        <v>Figure</v>
      </c>
      <c r="I7418">
        <v>0.72299999999999998</v>
      </c>
      <c r="J7418">
        <v>0.38</v>
      </c>
      <c r="K7418">
        <v>0.621</v>
      </c>
      <c r="L7418">
        <v>8.7999999999999995E-2</v>
      </c>
      <c r="M7418">
        <v>0.85899999999999999</v>
      </c>
      <c r="N7418">
        <v>0.77</v>
      </c>
    </row>
    <row r="7419" spans="1:14" x14ac:dyDescent="0.25">
      <c r="A7419" t="s">
        <v>13204</v>
      </c>
      <c r="B7419" t="s">
        <v>13205</v>
      </c>
      <c r="C7419" s="1" t="str">
        <f>HYPERLINK("http://www.genecards.org/cgi-bin/carddisp.pl?gene=FOXH1","GeneCards")</f>
        <v>GeneCards</v>
      </c>
      <c r="D7419" s="1" t="str">
        <f>HYPERLINK("http://genome-euro.ucsc.edu/cgi-bin/hgTracks?position=207644_at","UCSC")</f>
        <v>UCSC</v>
      </c>
      <c r="E7419" s="1" t="str">
        <f>HYPERLINK("http://www.ncbi.nlm.nih.gov/gene/?term=FOXH1","NCBI")</f>
        <v>NCBI</v>
      </c>
      <c r="F7419">
        <v>0.1</v>
      </c>
      <c r="G7419">
        <v>0.24</v>
      </c>
      <c r="H7419" s="1" t="str">
        <f>HYPERLINK("http://www.weizmann.ac.il/complex/compphys/software/geview/data/figures/207644_at.png","Figure")</f>
        <v>Figure</v>
      </c>
      <c r="I7419">
        <v>1.21</v>
      </c>
      <c r="J7419">
        <v>8.8999999999999996E-2</v>
      </c>
      <c r="K7419">
        <v>1.1100000000000001</v>
      </c>
      <c r="L7419">
        <v>0.35</v>
      </c>
      <c r="M7419">
        <v>0.91500000000000004</v>
      </c>
      <c r="N7419">
        <v>0.51</v>
      </c>
    </row>
    <row r="7420" spans="1:14" x14ac:dyDescent="0.25">
      <c r="A7420" t="s">
        <v>13206</v>
      </c>
      <c r="B7420" t="s">
        <v>9937</v>
      </c>
      <c r="C7420" s="1" t="str">
        <f>HYPERLINK("http://www.genecards.org/cgi-bin/carddisp.pl?gene=PRKCA","GeneCards")</f>
        <v>GeneCards</v>
      </c>
      <c r="D7420" s="1" t="str">
        <f>HYPERLINK("http://genome-euro.ucsc.edu/cgi-bin/hgTracks?position=213093_at","UCSC")</f>
        <v>UCSC</v>
      </c>
      <c r="E7420" s="1" t="str">
        <f>HYPERLINK("http://www.ncbi.nlm.nih.gov/gene/?term=PRKCA","NCBI")</f>
        <v>NCBI</v>
      </c>
      <c r="F7420">
        <v>0.1</v>
      </c>
      <c r="G7420">
        <v>0.24</v>
      </c>
      <c r="H7420" s="1" t="str">
        <f>HYPERLINK("http://www.weizmann.ac.il/complex/compphys/software/geview/data/figures/213093_at.png","Figure")</f>
        <v>Figure</v>
      </c>
      <c r="I7420">
        <v>0.67200000000000004</v>
      </c>
      <c r="J7420">
        <v>8.7999999999999995E-2</v>
      </c>
      <c r="K7420">
        <v>0.81499999999999995</v>
      </c>
      <c r="L7420">
        <v>0.38</v>
      </c>
      <c r="M7420">
        <v>1.21</v>
      </c>
      <c r="N7420">
        <v>0.47</v>
      </c>
    </row>
    <row r="7421" spans="1:14" x14ac:dyDescent="0.25">
      <c r="A7421" t="s">
        <v>13207</v>
      </c>
      <c r="B7421" t="s">
        <v>13208</v>
      </c>
      <c r="C7421" s="1" t="str">
        <f>HYPERLINK("http://www.genecards.org/cgi-bin/carddisp.pl?gene=APOH","GeneCards")</f>
        <v>GeneCards</v>
      </c>
      <c r="D7421" s="1" t="str">
        <f>HYPERLINK("http://genome-euro.ucsc.edu/cgi-bin/hgTracks?position=205216_s_at","UCSC")</f>
        <v>UCSC</v>
      </c>
      <c r="E7421" s="1" t="str">
        <f>HYPERLINK("http://www.ncbi.nlm.nih.gov/gene/?term=APOH","NCBI")</f>
        <v>NCBI</v>
      </c>
      <c r="F7421">
        <v>0.1</v>
      </c>
      <c r="G7421">
        <v>0.24</v>
      </c>
      <c r="H7421" s="1" t="str">
        <f>HYPERLINK("http://www.weizmann.ac.il/complex/compphys/software/geview/data/figures/205216_s_at.png","Figure")</f>
        <v>Figure</v>
      </c>
      <c r="I7421">
        <v>1.1200000000000001</v>
      </c>
      <c r="J7421">
        <v>0.12</v>
      </c>
      <c r="K7421">
        <v>1.0900000000000001</v>
      </c>
      <c r="L7421">
        <v>0.17</v>
      </c>
      <c r="M7421">
        <v>0.97599999999999998</v>
      </c>
      <c r="N7421">
        <v>0.88</v>
      </c>
    </row>
    <row r="7422" spans="1:14" x14ac:dyDescent="0.25">
      <c r="A7422" t="s">
        <v>13209</v>
      </c>
      <c r="B7422" t="s">
        <v>13210</v>
      </c>
      <c r="C7422" s="1" t="str">
        <f>HYPERLINK("http://www.genecards.org/cgi-bin/carddisp.pl?gene=FAM60A","GeneCards")</f>
        <v>GeneCards</v>
      </c>
      <c r="D7422" s="1" t="str">
        <f>HYPERLINK("http://genome-euro.ucsc.edu/cgi-bin/hgTracks?position=220147_s_at","UCSC")</f>
        <v>UCSC</v>
      </c>
      <c r="E7422" s="1" t="str">
        <f>HYPERLINK("http://www.ncbi.nlm.nih.gov/gene/?term=FAM60A","NCBI")</f>
        <v>NCBI</v>
      </c>
      <c r="F7422">
        <v>0.1</v>
      </c>
      <c r="G7422">
        <v>0.24</v>
      </c>
      <c r="H7422" s="1" t="str">
        <f>HYPERLINK("http://www.weizmann.ac.il/complex/compphys/software/geview/data/figures/220147_s_at.png","Figure")</f>
        <v>Figure</v>
      </c>
      <c r="I7422">
        <v>1.27</v>
      </c>
      <c r="J7422">
        <v>8.5999999999999993E-2</v>
      </c>
      <c r="K7422">
        <v>1.1100000000000001</v>
      </c>
      <c r="L7422">
        <v>0.5</v>
      </c>
      <c r="M7422">
        <v>0.873</v>
      </c>
      <c r="N7422">
        <v>0.36</v>
      </c>
    </row>
    <row r="7423" spans="1:14" x14ac:dyDescent="0.25">
      <c r="A7423" t="s">
        <v>13211</v>
      </c>
      <c r="B7423" t="s">
        <v>13212</v>
      </c>
      <c r="C7423" s="1" t="str">
        <f>HYPERLINK("http://www.genecards.org/cgi-bin/carddisp.pl?gene=PNRC2","GeneCards")</f>
        <v>GeneCards</v>
      </c>
      <c r="D7423" s="1" t="str">
        <f>HYPERLINK("http://genome-euro.ucsc.edu/cgi-bin/hgTracks?position=217779_s_at","UCSC")</f>
        <v>UCSC</v>
      </c>
      <c r="E7423" s="1" t="str">
        <f>HYPERLINK("http://www.ncbi.nlm.nih.gov/gene/?term=PNRC2","NCBI")</f>
        <v>NCBI</v>
      </c>
      <c r="F7423">
        <v>0.1</v>
      </c>
      <c r="G7423">
        <v>0.24</v>
      </c>
      <c r="H7423" s="1" t="str">
        <f>HYPERLINK("http://www.weizmann.ac.il/complex/compphys/software/geview/data/figures/217779_s_at.png","Figure")</f>
        <v>Figure</v>
      </c>
      <c r="I7423">
        <v>0.88300000000000001</v>
      </c>
      <c r="J7423">
        <v>0.78</v>
      </c>
      <c r="K7423">
        <v>0.69499999999999995</v>
      </c>
      <c r="L7423">
        <v>9.7000000000000003E-2</v>
      </c>
      <c r="M7423">
        <v>0.78800000000000003</v>
      </c>
      <c r="N7423">
        <v>0.37</v>
      </c>
    </row>
    <row r="7424" spans="1:14" x14ac:dyDescent="0.25">
      <c r="A7424" t="s">
        <v>13213</v>
      </c>
      <c r="B7424" t="s">
        <v>5472</v>
      </c>
      <c r="C7424" s="1" t="str">
        <f>HYPERLINK("http://www.genecards.org/cgi-bin/carddisp.pl?gene=CHMP5","GeneCards")</f>
        <v>GeneCards</v>
      </c>
      <c r="D7424" s="1" t="str">
        <f>HYPERLINK("http://genome-euro.ucsc.edu/cgi-bin/hgTracks?position=219356_s_at","UCSC")</f>
        <v>UCSC</v>
      </c>
      <c r="E7424" s="1" t="str">
        <f>HYPERLINK("http://www.ncbi.nlm.nih.gov/gene/?term=CHMP5","NCBI")</f>
        <v>NCBI</v>
      </c>
      <c r="F7424">
        <v>0.1</v>
      </c>
      <c r="G7424">
        <v>0.24</v>
      </c>
      <c r="H7424" s="1" t="str">
        <f>HYPERLINK("http://www.weizmann.ac.il/complex/compphys/software/geview/data/figures/219356_s_at.png","Figure")</f>
        <v>Figure</v>
      </c>
      <c r="I7424">
        <v>0.61799999999999999</v>
      </c>
      <c r="J7424">
        <v>8.8999999999999996E-2</v>
      </c>
      <c r="K7424">
        <v>0.84699999999999998</v>
      </c>
      <c r="L7424">
        <v>0.64</v>
      </c>
      <c r="M7424">
        <v>1.37</v>
      </c>
      <c r="N7424">
        <v>0.27</v>
      </c>
    </row>
    <row r="7425" spans="1:14" x14ac:dyDescent="0.25">
      <c r="A7425" t="s">
        <v>13214</v>
      </c>
      <c r="B7425" t="s">
        <v>13215</v>
      </c>
      <c r="C7425" s="1" t="str">
        <f>HYPERLINK("http://www.genecards.org/cgi-bin/carddisp.pl?gene=PALM2-AKAP2","GeneCards")</f>
        <v>GeneCards</v>
      </c>
      <c r="D7425" s="1" t="str">
        <f>HYPERLINK("http://genome-euro.ucsc.edu/cgi-bin/hgTracks?position=202760_s_at","UCSC")</f>
        <v>UCSC</v>
      </c>
      <c r="E7425" s="1" t="str">
        <f>HYPERLINK("http://www.ncbi.nlm.nih.gov/gene/?term=PALM2-AKAP2","NCBI")</f>
        <v>NCBI</v>
      </c>
      <c r="F7425">
        <v>0.1</v>
      </c>
      <c r="G7425">
        <v>0.24</v>
      </c>
      <c r="H7425" s="1" t="str">
        <f>HYPERLINK("http://www.weizmann.ac.il/complex/compphys/software/geview/data/figures/202760_s_at.png","Figure")</f>
        <v>Figure</v>
      </c>
      <c r="I7425">
        <v>2.27</v>
      </c>
      <c r="J7425">
        <v>0.14000000000000001</v>
      </c>
      <c r="K7425">
        <v>1.04</v>
      </c>
      <c r="L7425">
        <v>0.99</v>
      </c>
      <c r="M7425">
        <v>0.46</v>
      </c>
      <c r="N7425">
        <v>0.13</v>
      </c>
    </row>
    <row r="7426" spans="1:14" x14ac:dyDescent="0.25">
      <c r="A7426" t="s">
        <v>13216</v>
      </c>
      <c r="B7426" t="s">
        <v>13217</v>
      </c>
      <c r="C7426" s="1" t="str">
        <f>HYPERLINK("http://www.genecards.org/cgi-bin/carddisp.pl?gene=CABP5","GeneCards")</f>
        <v>GeneCards</v>
      </c>
      <c r="D7426" s="1" t="str">
        <f>HYPERLINK("http://genome-euro.ucsc.edu/cgi-bin/hgTracks?position=221160_s_at","UCSC")</f>
        <v>UCSC</v>
      </c>
      <c r="E7426" s="1" t="str">
        <f>HYPERLINK("http://www.ncbi.nlm.nih.gov/gene/?term=CABP5","NCBI")</f>
        <v>NCBI</v>
      </c>
      <c r="F7426">
        <v>0.1</v>
      </c>
      <c r="G7426">
        <v>0.24</v>
      </c>
      <c r="H7426" s="1" t="str">
        <f>HYPERLINK("http://www.weizmann.ac.il/complex/compphys/software/geview/data/figures/221160_s_at.png","Figure")</f>
        <v>Figure</v>
      </c>
      <c r="I7426">
        <v>1.1499999999999999</v>
      </c>
      <c r="J7426">
        <v>0.12</v>
      </c>
      <c r="K7426">
        <v>1.02</v>
      </c>
      <c r="L7426">
        <v>0.94</v>
      </c>
      <c r="M7426">
        <v>0.88800000000000001</v>
      </c>
      <c r="N7426">
        <v>0.15</v>
      </c>
    </row>
    <row r="7427" spans="1:14" x14ac:dyDescent="0.25">
      <c r="A7427" t="s">
        <v>13218</v>
      </c>
      <c r="B7427" t="s">
        <v>13219</v>
      </c>
      <c r="C7427" s="1" t="str">
        <f>HYPERLINK("http://www.genecards.org/cgi-bin/carddisp.pl?gene=MOSPD2","GeneCards")</f>
        <v>GeneCards</v>
      </c>
      <c r="D7427" s="1" t="str">
        <f>HYPERLINK("http://genome-euro.ucsc.edu/cgi-bin/hgTracks?position=221895_at","UCSC")</f>
        <v>UCSC</v>
      </c>
      <c r="E7427" s="1" t="str">
        <f>HYPERLINK("http://www.ncbi.nlm.nih.gov/gene/?term=MOSPD2","NCBI")</f>
        <v>NCBI</v>
      </c>
      <c r="F7427">
        <v>0.1</v>
      </c>
      <c r="G7427">
        <v>0.24</v>
      </c>
      <c r="H7427" s="1" t="str">
        <f>HYPERLINK("http://www.weizmann.ac.il/complex/compphys/software/geview/data/figures/221895_at.png","Figure")</f>
        <v>Figure</v>
      </c>
      <c r="I7427">
        <v>0.82299999999999995</v>
      </c>
      <c r="J7427">
        <v>0.28999999999999998</v>
      </c>
      <c r="K7427">
        <v>1.07</v>
      </c>
      <c r="L7427">
        <v>0.79</v>
      </c>
      <c r="M7427">
        <v>1.31</v>
      </c>
      <c r="N7427">
        <v>8.8999999999999996E-2</v>
      </c>
    </row>
    <row r="7428" spans="1:14" x14ac:dyDescent="0.25">
      <c r="A7428" t="s">
        <v>13220</v>
      </c>
      <c r="B7428" t="s">
        <v>5450</v>
      </c>
      <c r="C7428" s="1" t="str">
        <f>HYPERLINK("http://www.genecards.org/cgi-bin/carddisp.pl?gene=AKAP11","GeneCards")</f>
        <v>GeneCards</v>
      </c>
      <c r="D7428" s="1" t="str">
        <f>HYPERLINK("http://genome-euro.ucsc.edu/cgi-bin/hgTracks?position=215336_at","UCSC")</f>
        <v>UCSC</v>
      </c>
      <c r="E7428" s="1" t="str">
        <f>HYPERLINK("http://www.ncbi.nlm.nih.gov/gene/?term=AKAP11","NCBI")</f>
        <v>NCBI</v>
      </c>
      <c r="F7428">
        <v>0.1</v>
      </c>
      <c r="G7428">
        <v>0.24</v>
      </c>
      <c r="H7428" s="1" t="str">
        <f>HYPERLINK("http://www.weizmann.ac.il/complex/compphys/software/geview/data/figures/215336_at.png","Figure")</f>
        <v>Figure</v>
      </c>
      <c r="I7428">
        <v>0.754</v>
      </c>
      <c r="J7428">
        <v>8.6999999999999994E-2</v>
      </c>
      <c r="K7428">
        <v>0.876</v>
      </c>
      <c r="L7428">
        <v>0.45</v>
      </c>
      <c r="M7428">
        <v>1.1599999999999999</v>
      </c>
      <c r="N7428">
        <v>0.41</v>
      </c>
    </row>
    <row r="7429" spans="1:14" x14ac:dyDescent="0.25">
      <c r="A7429" t="s">
        <v>13221</v>
      </c>
      <c r="B7429" t="s">
        <v>13222</v>
      </c>
      <c r="C7429" s="1" t="str">
        <f>HYPERLINK("http://www.genecards.org/cgi-bin/carddisp.pl?gene=PKDREJ","GeneCards")</f>
        <v>GeneCards</v>
      </c>
      <c r="D7429" s="1" t="str">
        <f>HYPERLINK("http://genome-euro.ucsc.edu/cgi-bin/hgTracks?position=220548_at","UCSC")</f>
        <v>UCSC</v>
      </c>
      <c r="E7429" s="1" t="str">
        <f>HYPERLINK("http://www.ncbi.nlm.nih.gov/gene/?term=PKDREJ","NCBI")</f>
        <v>NCBI</v>
      </c>
      <c r="F7429">
        <v>0.1</v>
      </c>
      <c r="G7429">
        <v>0.24</v>
      </c>
      <c r="H7429" s="1" t="str">
        <f>HYPERLINK("http://www.weizmann.ac.il/complex/compphys/software/geview/data/figures/220548_at.png","Figure")</f>
        <v>Figure</v>
      </c>
      <c r="I7429">
        <v>1.1399999999999999</v>
      </c>
      <c r="J7429">
        <v>0.14000000000000001</v>
      </c>
      <c r="K7429">
        <v>1</v>
      </c>
      <c r="L7429">
        <v>1</v>
      </c>
      <c r="M7429">
        <v>0.88</v>
      </c>
      <c r="N7429">
        <v>0.12</v>
      </c>
    </row>
    <row r="7430" spans="1:14" x14ac:dyDescent="0.25">
      <c r="A7430" t="s">
        <v>13223</v>
      </c>
      <c r="B7430" t="s">
        <v>13224</v>
      </c>
      <c r="C7430" s="1" t="str">
        <f>HYPERLINK("http://www.genecards.org/cgi-bin/carddisp.pl?gene=SLC16A7","GeneCards")</f>
        <v>GeneCards</v>
      </c>
      <c r="D7430" s="1" t="str">
        <f>HYPERLINK("http://genome-euro.ucsc.edu/cgi-bin/hgTracks?position=207057_at","UCSC")</f>
        <v>UCSC</v>
      </c>
      <c r="E7430" s="1" t="str">
        <f>HYPERLINK("http://www.ncbi.nlm.nih.gov/gene/?term=SLC16A7","NCBI")</f>
        <v>NCBI</v>
      </c>
      <c r="F7430">
        <v>0.1</v>
      </c>
      <c r="G7430">
        <v>0.24</v>
      </c>
      <c r="H7430" s="1" t="str">
        <f>HYPERLINK("http://www.weizmann.ac.il/complex/compphys/software/geview/data/figures/207057_at.png","Figure")</f>
        <v>Figure</v>
      </c>
      <c r="I7430">
        <v>0.626</v>
      </c>
      <c r="J7430">
        <v>0.21</v>
      </c>
      <c r="K7430">
        <v>1.0900000000000001</v>
      </c>
      <c r="L7430">
        <v>0.93</v>
      </c>
      <c r="M7430">
        <v>1.73</v>
      </c>
      <c r="N7430">
        <v>9.8000000000000004E-2</v>
      </c>
    </row>
    <row r="7431" spans="1:14" x14ac:dyDescent="0.25">
      <c r="A7431" t="s">
        <v>13225</v>
      </c>
      <c r="B7431" t="s">
        <v>13226</v>
      </c>
      <c r="C7431" s="1" t="str">
        <f>HYPERLINK("http://www.genecards.org/cgi-bin/carddisp.pl?gene=COQ4","GeneCards")</f>
        <v>GeneCards</v>
      </c>
      <c r="D7431" s="1" t="str">
        <f>HYPERLINK("http://genome-euro.ucsc.edu/cgi-bin/hgTracks?position=218328_at","UCSC")</f>
        <v>UCSC</v>
      </c>
      <c r="E7431" s="1" t="str">
        <f>HYPERLINK("http://www.ncbi.nlm.nih.gov/gene/?term=COQ4","NCBI")</f>
        <v>NCBI</v>
      </c>
      <c r="F7431">
        <v>0.1</v>
      </c>
      <c r="G7431">
        <v>0.24</v>
      </c>
      <c r="H7431" s="1" t="str">
        <f>HYPERLINK("http://www.weizmann.ac.il/complex/compphys/software/geview/data/figures/218328_at.png","Figure")</f>
        <v>Figure</v>
      </c>
      <c r="I7431">
        <v>0.875</v>
      </c>
      <c r="J7431">
        <v>0.69</v>
      </c>
      <c r="K7431">
        <v>1.22</v>
      </c>
      <c r="L7431">
        <v>0.35</v>
      </c>
      <c r="M7431">
        <v>1.4</v>
      </c>
      <c r="N7431">
        <v>0.1</v>
      </c>
    </row>
    <row r="7432" spans="1:14" x14ac:dyDescent="0.25">
      <c r="A7432" t="s">
        <v>13227</v>
      </c>
      <c r="B7432" t="s">
        <v>12616</v>
      </c>
      <c r="C7432" s="1" t="str">
        <f>HYPERLINK("http://www.genecards.org/cgi-bin/carddisp.pl?gene=IGHG1 /// IGHM /// LOC100133862","GeneCards")</f>
        <v>GeneCards</v>
      </c>
      <c r="D7432" s="1" t="str">
        <f>HYPERLINK("http://genome-euro.ucsc.edu/cgi-bin/hgTracks?position=216541_x_at","UCSC")</f>
        <v>UCSC</v>
      </c>
      <c r="E7432" s="1" t="str">
        <f>HYPERLINK("http://www.ncbi.nlm.nih.gov/gene/?term=IGHG1 /// IGHM /// LOC100133862","NCBI")</f>
        <v>NCBI</v>
      </c>
      <c r="F7432">
        <v>0.1</v>
      </c>
      <c r="G7432">
        <v>0.24</v>
      </c>
      <c r="H7432" s="1" t="str">
        <f>HYPERLINK("http://www.weizmann.ac.il/complex/compphys/software/geview/data/figures/216541_x_at.png","Figure")</f>
        <v>Figure</v>
      </c>
      <c r="I7432">
        <v>1.01</v>
      </c>
      <c r="J7432">
        <v>0.99</v>
      </c>
      <c r="K7432">
        <v>1.17</v>
      </c>
      <c r="L7432">
        <v>0.13</v>
      </c>
      <c r="M7432">
        <v>1.1499999999999999</v>
      </c>
      <c r="N7432">
        <v>0.22</v>
      </c>
    </row>
    <row r="7433" spans="1:14" x14ac:dyDescent="0.25">
      <c r="A7433" t="s">
        <v>13228</v>
      </c>
      <c r="B7433" t="s">
        <v>13229</v>
      </c>
      <c r="C7433" s="1" t="str">
        <f>HYPERLINK("http://www.genecards.org/cgi-bin/carddisp.pl?gene=PPP3R1","GeneCards")</f>
        <v>GeneCards</v>
      </c>
      <c r="D7433" s="1" t="str">
        <f>HYPERLINK("http://genome-euro.ucsc.edu/cgi-bin/hgTracks?position=204506_at","UCSC")</f>
        <v>UCSC</v>
      </c>
      <c r="E7433" s="1" t="str">
        <f>HYPERLINK("http://www.ncbi.nlm.nih.gov/gene/?term=PPP3R1","NCBI")</f>
        <v>NCBI</v>
      </c>
      <c r="F7433">
        <v>0.1</v>
      </c>
      <c r="G7433">
        <v>0.24</v>
      </c>
      <c r="H7433" s="1" t="str">
        <f>HYPERLINK("http://www.weizmann.ac.il/complex/compphys/software/geview/data/figures/204506_at.png","Figure")</f>
        <v>Figure</v>
      </c>
      <c r="I7433">
        <v>1.0900000000000001</v>
      </c>
      <c r="J7433">
        <v>0.76</v>
      </c>
      <c r="K7433">
        <v>0.85299999999999998</v>
      </c>
      <c r="L7433">
        <v>0.3</v>
      </c>
      <c r="M7433">
        <v>0.78500000000000003</v>
      </c>
      <c r="N7433">
        <v>0.11</v>
      </c>
    </row>
    <row r="7434" spans="1:14" x14ac:dyDescent="0.25">
      <c r="A7434" t="s">
        <v>13230</v>
      </c>
      <c r="B7434" t="s">
        <v>13231</v>
      </c>
      <c r="C7434" s="1" t="str">
        <f>HYPERLINK("http://www.genecards.org/cgi-bin/carddisp.pl?gene=PDE2A","GeneCards")</f>
        <v>GeneCards</v>
      </c>
      <c r="D7434" s="1" t="str">
        <f>HYPERLINK("http://genome-euro.ucsc.edu/cgi-bin/hgTracks?position=204134_at","UCSC")</f>
        <v>UCSC</v>
      </c>
      <c r="E7434" s="1" t="str">
        <f>HYPERLINK("http://www.ncbi.nlm.nih.gov/gene/?term=PDE2A","NCBI")</f>
        <v>NCBI</v>
      </c>
      <c r="F7434">
        <v>0.1</v>
      </c>
      <c r="G7434">
        <v>0.24</v>
      </c>
      <c r="H7434" s="1" t="str">
        <f>HYPERLINK("http://www.weizmann.ac.il/complex/compphys/software/geview/data/figures/204134_at.png","Figure")</f>
        <v>Figure</v>
      </c>
      <c r="I7434">
        <v>1.32</v>
      </c>
      <c r="J7434">
        <v>8.6999999999999994E-2</v>
      </c>
      <c r="K7434">
        <v>1.1399999999999999</v>
      </c>
      <c r="L7434">
        <v>0.45</v>
      </c>
      <c r="M7434">
        <v>0.86299999999999999</v>
      </c>
      <c r="N7434">
        <v>0.41</v>
      </c>
    </row>
    <row r="7435" spans="1:14" x14ac:dyDescent="0.25">
      <c r="A7435" t="s">
        <v>13232</v>
      </c>
      <c r="B7435" t="s">
        <v>13233</v>
      </c>
      <c r="C7435" s="1" t="str">
        <f>HYPERLINK("http://www.genecards.org/cgi-bin/carddisp.pl?gene=PCNP","GeneCards")</f>
        <v>GeneCards</v>
      </c>
      <c r="D7435" s="1" t="str">
        <f>HYPERLINK("http://genome-euro.ucsc.edu/cgi-bin/hgTracks?position=217816_s_at","UCSC")</f>
        <v>UCSC</v>
      </c>
      <c r="E7435" s="1" t="str">
        <f>HYPERLINK("http://www.ncbi.nlm.nih.gov/gene/?term=PCNP","NCBI")</f>
        <v>NCBI</v>
      </c>
      <c r="F7435">
        <v>0.1</v>
      </c>
      <c r="G7435">
        <v>0.24</v>
      </c>
      <c r="H7435" s="1" t="str">
        <f>HYPERLINK("http://www.weizmann.ac.il/complex/compphys/software/geview/data/figures/217816_s_at.png","Figure")</f>
        <v>Figure</v>
      </c>
      <c r="I7435">
        <v>0.96199999999999997</v>
      </c>
      <c r="J7435">
        <v>0.98</v>
      </c>
      <c r="K7435">
        <v>0.71199999999999997</v>
      </c>
      <c r="L7435">
        <v>0.13</v>
      </c>
      <c r="M7435">
        <v>0.74</v>
      </c>
      <c r="N7435">
        <v>0.23</v>
      </c>
    </row>
    <row r="7436" spans="1:14" x14ac:dyDescent="0.25">
      <c r="A7436" t="s">
        <v>13234</v>
      </c>
      <c r="B7436" t="s">
        <v>2739</v>
      </c>
      <c r="C7436" s="1" t="str">
        <f>HYPERLINK("http://www.genecards.org/cgi-bin/carddisp.pl?gene=SLC11A2","GeneCards")</f>
        <v>GeneCards</v>
      </c>
      <c r="D7436" s="1" t="str">
        <f>HYPERLINK("http://genome-euro.ucsc.edu/cgi-bin/hgTracks?position=203124_s_at","UCSC")</f>
        <v>UCSC</v>
      </c>
      <c r="E7436" s="1" t="str">
        <f>HYPERLINK("http://www.ncbi.nlm.nih.gov/gene/?term=SLC11A2","NCBI")</f>
        <v>NCBI</v>
      </c>
      <c r="F7436">
        <v>0.1</v>
      </c>
      <c r="G7436">
        <v>0.24</v>
      </c>
      <c r="H7436" s="1" t="str">
        <f>HYPERLINK("http://www.weizmann.ac.il/complex/compphys/software/geview/data/figures/203124_s_at.png","Figure")</f>
        <v>Figure</v>
      </c>
      <c r="I7436">
        <v>0.78700000000000003</v>
      </c>
      <c r="J7436">
        <v>0.67</v>
      </c>
      <c r="K7436">
        <v>0.57199999999999995</v>
      </c>
      <c r="L7436">
        <v>9.0999999999999998E-2</v>
      </c>
      <c r="M7436">
        <v>0.72599999999999998</v>
      </c>
      <c r="N7436">
        <v>0.46</v>
      </c>
    </row>
    <row r="7437" spans="1:14" x14ac:dyDescent="0.25">
      <c r="A7437" t="s">
        <v>13235</v>
      </c>
      <c r="B7437" t="s">
        <v>13236</v>
      </c>
      <c r="C7437" s="1" t="str">
        <f>HYPERLINK("http://www.genecards.org/cgi-bin/carddisp.pl?gene=EMP3","GeneCards")</f>
        <v>GeneCards</v>
      </c>
      <c r="D7437" s="1" t="str">
        <f>HYPERLINK("http://genome-euro.ucsc.edu/cgi-bin/hgTracks?position=203729_at","UCSC")</f>
        <v>UCSC</v>
      </c>
      <c r="E7437" s="1" t="str">
        <f>HYPERLINK("http://www.ncbi.nlm.nih.gov/gene/?term=EMP3","NCBI")</f>
        <v>NCBI</v>
      </c>
      <c r="F7437">
        <v>0.1</v>
      </c>
      <c r="G7437">
        <v>0.24</v>
      </c>
      <c r="H7437" s="1" t="str">
        <f>HYPERLINK("http://www.weizmann.ac.il/complex/compphys/software/geview/data/figures/203729_at.png","Figure")</f>
        <v>Figure</v>
      </c>
      <c r="I7437">
        <v>1.1200000000000001</v>
      </c>
      <c r="J7437">
        <v>0.91</v>
      </c>
      <c r="K7437">
        <v>1.68</v>
      </c>
      <c r="L7437">
        <v>0.11</v>
      </c>
      <c r="M7437">
        <v>1.51</v>
      </c>
      <c r="N7437">
        <v>0.28000000000000003</v>
      </c>
    </row>
    <row r="7438" spans="1:14" x14ac:dyDescent="0.25">
      <c r="A7438" t="s">
        <v>13237</v>
      </c>
      <c r="B7438" t="s">
        <v>7199</v>
      </c>
      <c r="C7438" s="1" t="str">
        <f>HYPERLINK("http://www.genecards.org/cgi-bin/carddisp.pl?gene=C1orf144","GeneCards")</f>
        <v>GeneCards</v>
      </c>
      <c r="D7438" s="1" t="str">
        <f>HYPERLINK("http://genome-euro.ucsc.edu/cgi-bin/hgTracks?position=212002_at","UCSC")</f>
        <v>UCSC</v>
      </c>
      <c r="E7438" s="1" t="str">
        <f>HYPERLINK("http://www.ncbi.nlm.nih.gov/gene/?term=C1orf144","NCBI")</f>
        <v>NCBI</v>
      </c>
      <c r="F7438">
        <v>0.1</v>
      </c>
      <c r="G7438">
        <v>0.24</v>
      </c>
      <c r="H7438" s="1" t="str">
        <f>HYPERLINK("http://www.weizmann.ac.il/complex/compphys/software/geview/data/figures/212002_at.png","Figure")</f>
        <v>Figure</v>
      </c>
      <c r="I7438">
        <v>1.26</v>
      </c>
      <c r="J7438">
        <v>0.28999999999999998</v>
      </c>
      <c r="K7438">
        <v>0.91800000000000004</v>
      </c>
      <c r="L7438">
        <v>0.79</v>
      </c>
      <c r="M7438">
        <v>0.72799999999999998</v>
      </c>
      <c r="N7438">
        <v>8.8999999999999996E-2</v>
      </c>
    </row>
    <row r="7439" spans="1:14" x14ac:dyDescent="0.25">
      <c r="A7439" t="s">
        <v>13238</v>
      </c>
      <c r="B7439" t="s">
        <v>13239</v>
      </c>
      <c r="C7439" s="1" t="str">
        <f>HYPERLINK("http://www.genecards.org/cgi-bin/carddisp.pl?gene=LOC100289727 /// NCF1 /// NCF1B /// NCF1C","GeneCards")</f>
        <v>GeneCards</v>
      </c>
      <c r="D7439" s="1" t="str">
        <f>HYPERLINK("http://genome-euro.ucsc.edu/cgi-bin/hgTracks?position=214084_x_at","UCSC")</f>
        <v>UCSC</v>
      </c>
      <c r="E7439" s="1" t="str">
        <f>HYPERLINK("http://www.ncbi.nlm.nih.gov/gene/?term=LOC100289727 /// NCF1 /// NCF1B /// NCF1C","NCBI")</f>
        <v>NCBI</v>
      </c>
      <c r="F7439">
        <v>0.1</v>
      </c>
      <c r="G7439">
        <v>0.24</v>
      </c>
      <c r="H7439" s="1" t="str">
        <f>HYPERLINK("http://www.weizmann.ac.il/complex/compphys/software/geview/data/figures/214084_x_at.png","Figure")</f>
        <v>Figure</v>
      </c>
      <c r="I7439">
        <v>0.96599999999999997</v>
      </c>
      <c r="J7439">
        <v>0.99</v>
      </c>
      <c r="K7439">
        <v>1.59</v>
      </c>
      <c r="L7439">
        <v>0.17</v>
      </c>
      <c r="M7439">
        <v>1.64</v>
      </c>
      <c r="N7439">
        <v>0.17</v>
      </c>
    </row>
    <row r="7440" spans="1:14" x14ac:dyDescent="0.25">
      <c r="A7440" t="s">
        <v>13240</v>
      </c>
      <c r="B7440" t="s">
        <v>13241</v>
      </c>
      <c r="C7440" s="1" t="str">
        <f>HYPERLINK("http://www.genecards.org/cgi-bin/carddisp.pl?gene=LUZP4","GeneCards")</f>
        <v>GeneCards</v>
      </c>
      <c r="D7440" s="1" t="str">
        <f>HYPERLINK("http://genome-euro.ucsc.edu/cgi-bin/hgTracks?position=220665_at","UCSC")</f>
        <v>UCSC</v>
      </c>
      <c r="E7440" s="1" t="str">
        <f>HYPERLINK("http://www.ncbi.nlm.nih.gov/gene/?term=LUZP4","NCBI")</f>
        <v>NCBI</v>
      </c>
      <c r="F7440">
        <v>0.1</v>
      </c>
      <c r="G7440">
        <v>0.24</v>
      </c>
      <c r="H7440" s="1" t="str">
        <f>HYPERLINK("http://www.weizmann.ac.il/complex/compphys/software/geview/data/figures/220665_at.png","Figure")</f>
        <v>Figure</v>
      </c>
      <c r="I7440">
        <v>1.17</v>
      </c>
      <c r="J7440">
        <v>0.11</v>
      </c>
      <c r="K7440">
        <v>1.03</v>
      </c>
      <c r="L7440">
        <v>0.87</v>
      </c>
      <c r="M7440">
        <v>0.88400000000000001</v>
      </c>
      <c r="N7440">
        <v>0.18</v>
      </c>
    </row>
    <row r="7441" spans="1:14" x14ac:dyDescent="0.25">
      <c r="A7441" t="s">
        <v>13242</v>
      </c>
      <c r="B7441" t="s">
        <v>13243</v>
      </c>
      <c r="C7441" s="1" t="str">
        <f>HYPERLINK("http://www.genecards.org/cgi-bin/carddisp.pl?gene=SULT1A2","GeneCards")</f>
        <v>GeneCards</v>
      </c>
      <c r="D7441" s="1" t="str">
        <f>HYPERLINK("http://genome-euro.ucsc.edu/cgi-bin/hgTracks?position=207122_x_at","UCSC")</f>
        <v>UCSC</v>
      </c>
      <c r="E7441" s="1" t="str">
        <f>HYPERLINK("http://www.ncbi.nlm.nih.gov/gene/?term=SULT1A2","NCBI")</f>
        <v>NCBI</v>
      </c>
      <c r="F7441">
        <v>0.1</v>
      </c>
      <c r="G7441">
        <v>0.24</v>
      </c>
      <c r="H7441" s="1" t="str">
        <f>HYPERLINK("http://www.weizmann.ac.il/complex/compphys/software/geview/data/figures/207122_x_at.png","Figure")</f>
        <v>Figure</v>
      </c>
      <c r="I7441">
        <v>1.28</v>
      </c>
      <c r="J7441">
        <v>8.7999999999999995E-2</v>
      </c>
      <c r="K7441">
        <v>1.1299999999999999</v>
      </c>
      <c r="L7441">
        <v>0.42</v>
      </c>
      <c r="M7441">
        <v>0.88200000000000001</v>
      </c>
      <c r="N7441">
        <v>0.43</v>
      </c>
    </row>
    <row r="7442" spans="1:14" x14ac:dyDescent="0.25">
      <c r="A7442" t="s">
        <v>13244</v>
      </c>
      <c r="B7442" t="s">
        <v>6805</v>
      </c>
      <c r="C7442" s="1" t="str">
        <f>HYPERLINK("http://www.genecards.org/cgi-bin/carddisp.pl?gene=COL7A1","GeneCards")</f>
        <v>GeneCards</v>
      </c>
      <c r="D7442" s="1" t="str">
        <f>HYPERLINK("http://genome-euro.ucsc.edu/cgi-bin/hgTracks?position=217312_s_at","UCSC")</f>
        <v>UCSC</v>
      </c>
      <c r="E7442" s="1" t="str">
        <f>HYPERLINK("http://www.ncbi.nlm.nih.gov/gene/?term=COL7A1","NCBI")</f>
        <v>NCBI</v>
      </c>
      <c r="F7442">
        <v>0.1</v>
      </c>
      <c r="G7442">
        <v>0.24</v>
      </c>
      <c r="H7442" s="1" t="str">
        <f>HYPERLINK("http://www.weizmann.ac.il/complex/compphys/software/geview/data/figures/217312_s_at.png","Figure")</f>
        <v>Figure</v>
      </c>
      <c r="I7442">
        <v>1.28</v>
      </c>
      <c r="J7442">
        <v>8.7999999999999995E-2</v>
      </c>
      <c r="K7442">
        <v>1.1000000000000001</v>
      </c>
      <c r="L7442">
        <v>0.59</v>
      </c>
      <c r="M7442">
        <v>0.85799999999999998</v>
      </c>
      <c r="N7442">
        <v>0.3</v>
      </c>
    </row>
    <row r="7443" spans="1:14" x14ac:dyDescent="0.25">
      <c r="A7443" t="s">
        <v>13245</v>
      </c>
      <c r="B7443" t="s">
        <v>2616</v>
      </c>
      <c r="C7443" s="1" t="str">
        <f>HYPERLINK("http://www.genecards.org/cgi-bin/carddisp.pl?gene=IFT122","GeneCards")</f>
        <v>GeneCards</v>
      </c>
      <c r="D7443" s="1" t="str">
        <f>HYPERLINK("http://genome-euro.ucsc.edu/cgi-bin/hgTracks?position=216678_at","UCSC")</f>
        <v>UCSC</v>
      </c>
      <c r="E7443" s="1" t="str">
        <f>HYPERLINK("http://www.ncbi.nlm.nih.gov/gene/?term=IFT122","NCBI")</f>
        <v>NCBI</v>
      </c>
      <c r="F7443">
        <v>0.1</v>
      </c>
      <c r="G7443">
        <v>0.24</v>
      </c>
      <c r="H7443" s="1" t="str">
        <f>HYPERLINK("http://www.weizmann.ac.il/complex/compphys/software/geview/data/figures/216678_at.png","Figure")</f>
        <v>Figure</v>
      </c>
      <c r="I7443">
        <v>1.2</v>
      </c>
      <c r="J7443">
        <v>9.4E-2</v>
      </c>
      <c r="K7443">
        <v>1.06</v>
      </c>
      <c r="L7443">
        <v>0.73</v>
      </c>
      <c r="M7443">
        <v>0.878</v>
      </c>
      <c r="N7443">
        <v>0.23</v>
      </c>
    </row>
    <row r="7444" spans="1:14" x14ac:dyDescent="0.25">
      <c r="A7444" t="s">
        <v>13246</v>
      </c>
      <c r="B7444" t="s">
        <v>13247</v>
      </c>
      <c r="C7444" s="1" t="str">
        <f>HYPERLINK("http://www.genecards.org/cgi-bin/carddisp.pl?gene=LRRC20","GeneCards")</f>
        <v>GeneCards</v>
      </c>
      <c r="D7444" s="1" t="str">
        <f>HYPERLINK("http://genome-euro.ucsc.edu/cgi-bin/hgTracks?position=218550_s_at","UCSC")</f>
        <v>UCSC</v>
      </c>
      <c r="E7444" s="1" t="str">
        <f>HYPERLINK("http://www.ncbi.nlm.nih.gov/gene/?term=LRRC20","NCBI")</f>
        <v>NCBI</v>
      </c>
      <c r="F7444">
        <v>0.1</v>
      </c>
      <c r="G7444">
        <v>0.24</v>
      </c>
      <c r="H7444" s="1" t="str">
        <f>HYPERLINK("http://www.weizmann.ac.il/complex/compphys/software/geview/data/figures/218550_s_at.png","Figure")</f>
        <v>Figure</v>
      </c>
      <c r="I7444">
        <v>1.21</v>
      </c>
      <c r="J7444">
        <v>8.7999999999999995E-2</v>
      </c>
      <c r="K7444">
        <v>1.08</v>
      </c>
      <c r="L7444">
        <v>0.56000000000000005</v>
      </c>
      <c r="M7444">
        <v>0.89100000000000001</v>
      </c>
      <c r="N7444">
        <v>0.32</v>
      </c>
    </row>
    <row r="7445" spans="1:14" x14ac:dyDescent="0.25">
      <c r="A7445" t="s">
        <v>13248</v>
      </c>
      <c r="B7445" t="s">
        <v>13249</v>
      </c>
      <c r="C7445" s="1" t="str">
        <f>HYPERLINK("http://www.genecards.org/cgi-bin/carddisp.pl?gene=TCAP","GeneCards")</f>
        <v>GeneCards</v>
      </c>
      <c r="D7445" s="1" t="str">
        <f>HYPERLINK("http://genome-euro.ucsc.edu/cgi-bin/hgTracks?position=205766_at","UCSC")</f>
        <v>UCSC</v>
      </c>
      <c r="E7445" s="1" t="str">
        <f>HYPERLINK("http://www.ncbi.nlm.nih.gov/gene/?term=TCAP","NCBI")</f>
        <v>NCBI</v>
      </c>
      <c r="F7445">
        <v>0.1</v>
      </c>
      <c r="G7445">
        <v>0.24</v>
      </c>
      <c r="H7445" s="1" t="str">
        <f>HYPERLINK("http://www.weizmann.ac.il/complex/compphys/software/geview/data/figures/205766_at.png","Figure")</f>
        <v>Figure</v>
      </c>
      <c r="I7445">
        <v>1.27</v>
      </c>
      <c r="J7445">
        <v>8.6999999999999994E-2</v>
      </c>
      <c r="K7445">
        <v>1.1100000000000001</v>
      </c>
      <c r="L7445">
        <v>0.47</v>
      </c>
      <c r="M7445">
        <v>0.879</v>
      </c>
      <c r="N7445">
        <v>0.39</v>
      </c>
    </row>
    <row r="7446" spans="1:14" x14ac:dyDescent="0.25">
      <c r="A7446" t="s">
        <v>13250</v>
      </c>
      <c r="B7446" t="s">
        <v>13251</v>
      </c>
      <c r="C7446" s="1" t="str">
        <f>HYPERLINK("http://www.genecards.org/cgi-bin/carddisp.pl?gene=MTHFR","GeneCards")</f>
        <v>GeneCards</v>
      </c>
      <c r="D7446" s="1" t="str">
        <f>HYPERLINK("http://genome-euro.ucsc.edu/cgi-bin/hgTracks?position=217070_at","UCSC")</f>
        <v>UCSC</v>
      </c>
      <c r="E7446" s="1" t="str">
        <f>HYPERLINK("http://www.ncbi.nlm.nih.gov/gene/?term=MTHFR","NCBI")</f>
        <v>NCBI</v>
      </c>
      <c r="F7446">
        <v>0.1</v>
      </c>
      <c r="G7446">
        <v>0.24</v>
      </c>
      <c r="H7446" s="1" t="str">
        <f>HYPERLINK("http://www.weizmann.ac.il/complex/compphys/software/geview/data/figures/217070_at.png","Figure")</f>
        <v>Figure</v>
      </c>
      <c r="I7446">
        <v>1.1399999999999999</v>
      </c>
      <c r="J7446">
        <v>9.8000000000000004E-2</v>
      </c>
      <c r="K7446">
        <v>1.03</v>
      </c>
      <c r="L7446">
        <v>0.79</v>
      </c>
      <c r="M7446">
        <v>0.90700000000000003</v>
      </c>
      <c r="N7446">
        <v>0.21</v>
      </c>
    </row>
    <row r="7447" spans="1:14" x14ac:dyDescent="0.25">
      <c r="A7447" t="s">
        <v>13252</v>
      </c>
      <c r="B7447" t="s">
        <v>12780</v>
      </c>
      <c r="C7447" s="1" t="str">
        <f>HYPERLINK("http://www.genecards.org/cgi-bin/carddisp.pl?gene=RPL13","GeneCards")</f>
        <v>GeneCards</v>
      </c>
      <c r="D7447" s="1" t="str">
        <f>HYPERLINK("http://genome-euro.ucsc.edu/cgi-bin/hgTracks?position=212933_x_at","UCSC")</f>
        <v>UCSC</v>
      </c>
      <c r="E7447" s="1" t="str">
        <f>HYPERLINK("http://www.ncbi.nlm.nih.gov/gene/?term=RPL13","NCBI")</f>
        <v>NCBI</v>
      </c>
      <c r="F7447">
        <v>0.1</v>
      </c>
      <c r="G7447">
        <v>0.24</v>
      </c>
      <c r="H7447" s="1" t="str">
        <f>HYPERLINK("http://www.weizmann.ac.il/complex/compphys/software/geview/data/figures/212933_x_at.png","Figure")</f>
        <v>Figure</v>
      </c>
      <c r="I7447">
        <v>1.01</v>
      </c>
      <c r="J7447">
        <v>1</v>
      </c>
      <c r="K7447">
        <v>1.37</v>
      </c>
      <c r="L7447">
        <v>0.15</v>
      </c>
      <c r="M7447">
        <v>1.36</v>
      </c>
      <c r="N7447">
        <v>0.19</v>
      </c>
    </row>
    <row r="7448" spans="1:14" x14ac:dyDescent="0.25">
      <c r="A7448" t="s">
        <v>13253</v>
      </c>
      <c r="B7448" t="s">
        <v>13254</v>
      </c>
      <c r="C7448" s="1" t="str">
        <f>HYPERLINK("http://www.genecards.org/cgi-bin/carddisp.pl?gene=RHOBTB3","GeneCards")</f>
        <v>GeneCards</v>
      </c>
      <c r="D7448" s="1" t="str">
        <f>HYPERLINK("http://genome-euro.ucsc.edu/cgi-bin/hgTracks?position=202975_s_at","UCSC")</f>
        <v>UCSC</v>
      </c>
      <c r="E7448" s="1" t="str">
        <f>HYPERLINK("http://www.ncbi.nlm.nih.gov/gene/?term=RHOBTB3","NCBI")</f>
        <v>NCBI</v>
      </c>
      <c r="F7448">
        <v>0.1</v>
      </c>
      <c r="G7448">
        <v>0.24</v>
      </c>
      <c r="H7448" s="1" t="str">
        <f>HYPERLINK("http://www.weizmann.ac.il/complex/compphys/software/geview/data/figures/202975_s_at.png","Figure")</f>
        <v>Figure</v>
      </c>
      <c r="I7448">
        <v>1.21</v>
      </c>
      <c r="J7448">
        <v>0.1</v>
      </c>
      <c r="K7448">
        <v>1.04</v>
      </c>
      <c r="L7448">
        <v>0.85</v>
      </c>
      <c r="M7448">
        <v>0.86</v>
      </c>
      <c r="N7448">
        <v>0.18</v>
      </c>
    </row>
    <row r="7449" spans="1:14" x14ac:dyDescent="0.25">
      <c r="A7449" t="s">
        <v>13255</v>
      </c>
      <c r="B7449" t="s">
        <v>12562</v>
      </c>
      <c r="C7449" s="1" t="str">
        <f>HYPERLINK("http://www.genecards.org/cgi-bin/carddisp.pl?gene=OTUB1","GeneCards")</f>
        <v>GeneCards</v>
      </c>
      <c r="D7449" s="1" t="str">
        <f>HYPERLINK("http://genome-euro.ucsc.edu/cgi-bin/hgTracks?position=201246_s_at","UCSC")</f>
        <v>UCSC</v>
      </c>
      <c r="E7449" s="1" t="str">
        <f>HYPERLINK("http://www.ncbi.nlm.nih.gov/gene/?term=OTUB1","NCBI")</f>
        <v>NCBI</v>
      </c>
      <c r="F7449">
        <v>0.1</v>
      </c>
      <c r="G7449">
        <v>0.24</v>
      </c>
      <c r="H7449" s="1" t="str">
        <f>HYPERLINK("http://www.weizmann.ac.il/complex/compphys/software/geview/data/figures/201246_s_at.png","Figure")</f>
        <v>Figure</v>
      </c>
      <c r="I7449">
        <v>1.28</v>
      </c>
      <c r="J7449">
        <v>0.1</v>
      </c>
      <c r="K7449">
        <v>1.06</v>
      </c>
      <c r="L7449">
        <v>0.81</v>
      </c>
      <c r="M7449">
        <v>0.83199999999999996</v>
      </c>
      <c r="N7449">
        <v>0.2</v>
      </c>
    </row>
    <row r="7450" spans="1:14" x14ac:dyDescent="0.25">
      <c r="A7450" t="s">
        <v>13256</v>
      </c>
      <c r="B7450" t="s">
        <v>13257</v>
      </c>
      <c r="C7450" s="1" t="str">
        <f>HYPERLINK("http://www.genecards.org/cgi-bin/carddisp.pl?gene=NGFRAP1","GeneCards")</f>
        <v>GeneCards</v>
      </c>
      <c r="D7450" s="1" t="str">
        <f>HYPERLINK("http://genome-euro.ucsc.edu/cgi-bin/hgTracks?position=217963_s_at","UCSC")</f>
        <v>UCSC</v>
      </c>
      <c r="E7450" s="1" t="str">
        <f>HYPERLINK("http://www.ncbi.nlm.nih.gov/gene/?term=NGFRAP1","NCBI")</f>
        <v>NCBI</v>
      </c>
      <c r="F7450">
        <v>0.1</v>
      </c>
      <c r="G7450">
        <v>0.24</v>
      </c>
      <c r="H7450" s="1" t="str">
        <f>HYPERLINK("http://www.weizmann.ac.il/complex/compphys/software/geview/data/figures/217963_s_at.png","Figure")</f>
        <v>Figure</v>
      </c>
      <c r="I7450">
        <v>0.52200000000000002</v>
      </c>
      <c r="J7450">
        <v>0.12</v>
      </c>
      <c r="K7450">
        <v>0.93</v>
      </c>
      <c r="L7450">
        <v>0.96</v>
      </c>
      <c r="M7450">
        <v>1.78</v>
      </c>
      <c r="N7450">
        <v>0.15</v>
      </c>
    </row>
    <row r="7451" spans="1:14" x14ac:dyDescent="0.25">
      <c r="A7451" t="s">
        <v>13258</v>
      </c>
      <c r="B7451" t="s">
        <v>13259</v>
      </c>
      <c r="C7451" s="1" t="str">
        <f>HYPERLINK("http://www.genecards.org/cgi-bin/carddisp.pl?gene=ATP6V0C","GeneCards")</f>
        <v>GeneCards</v>
      </c>
      <c r="D7451" s="1" t="str">
        <f>HYPERLINK("http://genome-euro.ucsc.edu/cgi-bin/hgTracks?position=36994_at","UCSC")</f>
        <v>UCSC</v>
      </c>
      <c r="E7451" s="1" t="str">
        <f>HYPERLINK("http://www.ncbi.nlm.nih.gov/gene/?term=ATP6V0C","NCBI")</f>
        <v>NCBI</v>
      </c>
      <c r="F7451">
        <v>0.1</v>
      </c>
      <c r="G7451">
        <v>0.24</v>
      </c>
      <c r="H7451" s="1" t="str">
        <f>HYPERLINK("http://www.weizmann.ac.il/complex/compphys/software/geview/data/figures/36994_at.png","Figure")</f>
        <v>Figure</v>
      </c>
      <c r="I7451">
        <v>1.06</v>
      </c>
      <c r="J7451">
        <v>0.87</v>
      </c>
      <c r="K7451">
        <v>0.83699999999999997</v>
      </c>
      <c r="L7451">
        <v>0.24</v>
      </c>
      <c r="M7451">
        <v>0.78800000000000003</v>
      </c>
      <c r="N7451">
        <v>0.12</v>
      </c>
    </row>
    <row r="7452" spans="1:14" x14ac:dyDescent="0.25">
      <c r="A7452" t="s">
        <v>13260</v>
      </c>
      <c r="B7452" t="s">
        <v>2226</v>
      </c>
      <c r="C7452" s="1" t="str">
        <f>HYPERLINK("http://www.genecards.org/cgi-bin/carddisp.pl?gene=PURA","GeneCards")</f>
        <v>GeneCards</v>
      </c>
      <c r="D7452" s="1" t="str">
        <f>HYPERLINK("http://genome-euro.ucsc.edu/cgi-bin/hgTracks?position=204020_at","UCSC")</f>
        <v>UCSC</v>
      </c>
      <c r="E7452" s="1" t="str">
        <f>HYPERLINK("http://www.ncbi.nlm.nih.gov/gene/?term=PURA","NCBI")</f>
        <v>NCBI</v>
      </c>
      <c r="F7452">
        <v>0.1</v>
      </c>
      <c r="G7452">
        <v>0.24</v>
      </c>
      <c r="H7452" s="1" t="str">
        <f>HYPERLINK("http://www.weizmann.ac.il/complex/compphys/software/geview/data/figures/204020_at.png","Figure")</f>
        <v>Figure</v>
      </c>
      <c r="I7452">
        <v>0.70299999999999996</v>
      </c>
      <c r="J7452">
        <v>0.4</v>
      </c>
      <c r="K7452">
        <v>1.24</v>
      </c>
      <c r="L7452">
        <v>0.62</v>
      </c>
      <c r="M7452">
        <v>1.77</v>
      </c>
      <c r="N7452">
        <v>8.6999999999999994E-2</v>
      </c>
    </row>
    <row r="7453" spans="1:14" x14ac:dyDescent="0.25">
      <c r="A7453" t="s">
        <v>13261</v>
      </c>
      <c r="B7453" t="s">
        <v>3274</v>
      </c>
      <c r="C7453" s="1" t="str">
        <f>HYPERLINK("http://www.genecards.org/cgi-bin/carddisp.pl?gene=SMARCA4","GeneCards")</f>
        <v>GeneCards</v>
      </c>
      <c r="D7453" s="1" t="str">
        <f>HYPERLINK("http://genome-euro.ucsc.edu/cgi-bin/hgTracks?position=215714_s_at","UCSC")</f>
        <v>UCSC</v>
      </c>
      <c r="E7453" s="1" t="str">
        <f>HYPERLINK("http://www.ncbi.nlm.nih.gov/gene/?term=SMARCA4","NCBI")</f>
        <v>NCBI</v>
      </c>
      <c r="F7453">
        <v>0.1</v>
      </c>
      <c r="G7453">
        <v>0.24</v>
      </c>
      <c r="H7453" s="1" t="str">
        <f>HYPERLINK("http://www.weizmann.ac.il/complex/compphys/software/geview/data/figures/215714_s_at.png","Figure")</f>
        <v>Figure</v>
      </c>
      <c r="I7453">
        <v>1.62</v>
      </c>
      <c r="J7453">
        <v>0.14000000000000001</v>
      </c>
      <c r="K7453">
        <v>1.02</v>
      </c>
      <c r="L7453">
        <v>1</v>
      </c>
      <c r="M7453">
        <v>0.628</v>
      </c>
      <c r="N7453">
        <v>0.13</v>
      </c>
    </row>
    <row r="7454" spans="1:14" x14ac:dyDescent="0.25">
      <c r="A7454" t="s">
        <v>13262</v>
      </c>
      <c r="B7454" t="s">
        <v>13263</v>
      </c>
      <c r="C7454" s="1" t="str">
        <f>HYPERLINK("http://www.genecards.org/cgi-bin/carddisp.pl?gene=IGHA1 /// IGHG1 /// IGHM","GeneCards")</f>
        <v>GeneCards</v>
      </c>
      <c r="D7454" s="1" t="str">
        <f>HYPERLINK("http://genome-euro.ucsc.edu/cgi-bin/hgTracks?position=217169_at","UCSC")</f>
        <v>UCSC</v>
      </c>
      <c r="E7454" s="1" t="str">
        <f>HYPERLINK("http://www.ncbi.nlm.nih.gov/gene/?term=IGHA1 /// IGHG1 /// IGHM","NCBI")</f>
        <v>NCBI</v>
      </c>
      <c r="F7454">
        <v>0.1</v>
      </c>
      <c r="G7454">
        <v>0.24</v>
      </c>
      <c r="H7454" s="1" t="str">
        <f>HYPERLINK("http://www.weizmann.ac.il/complex/compphys/software/geview/data/figures/217169_at.png","Figure")</f>
        <v>Figure</v>
      </c>
      <c r="I7454">
        <v>1.19</v>
      </c>
      <c r="J7454">
        <v>9.1999999999999998E-2</v>
      </c>
      <c r="K7454">
        <v>1.06</v>
      </c>
      <c r="L7454">
        <v>0.68</v>
      </c>
      <c r="M7454">
        <v>0.89100000000000001</v>
      </c>
      <c r="N7454">
        <v>0.26</v>
      </c>
    </row>
    <row r="7455" spans="1:14" x14ac:dyDescent="0.25">
      <c r="A7455" t="s">
        <v>13264</v>
      </c>
      <c r="B7455" t="s">
        <v>13265</v>
      </c>
      <c r="C7455" s="1" t="str">
        <f>HYPERLINK("http://www.genecards.org/cgi-bin/carddisp.pl?gene=TMEM62","GeneCards")</f>
        <v>GeneCards</v>
      </c>
      <c r="D7455" s="1" t="str">
        <f>HYPERLINK("http://genome-euro.ucsc.edu/cgi-bin/hgTracks?position=218776_s_at","UCSC")</f>
        <v>UCSC</v>
      </c>
      <c r="E7455" s="1" t="str">
        <f>HYPERLINK("http://www.ncbi.nlm.nih.gov/gene/?term=TMEM62","NCBI")</f>
        <v>NCBI</v>
      </c>
      <c r="F7455">
        <v>0.1</v>
      </c>
      <c r="G7455">
        <v>0.24</v>
      </c>
      <c r="H7455" s="1" t="str">
        <f>HYPERLINK("http://www.weizmann.ac.il/complex/compphys/software/geview/data/figures/218776_s_at.png","Figure")</f>
        <v>Figure</v>
      </c>
      <c r="I7455">
        <v>1.64</v>
      </c>
      <c r="J7455">
        <v>0.12</v>
      </c>
      <c r="K7455">
        <v>1.06</v>
      </c>
      <c r="L7455">
        <v>0.96</v>
      </c>
      <c r="M7455">
        <v>0.64200000000000002</v>
      </c>
      <c r="N7455">
        <v>0.15</v>
      </c>
    </row>
    <row r="7456" spans="1:14" x14ac:dyDescent="0.25">
      <c r="A7456" t="s">
        <v>13266</v>
      </c>
      <c r="B7456" t="s">
        <v>6189</v>
      </c>
      <c r="C7456" s="1" t="str">
        <f>HYPERLINK("http://www.genecards.org/cgi-bin/carddisp.pl?gene=SAMM50","GeneCards")</f>
        <v>GeneCards</v>
      </c>
      <c r="D7456" s="1" t="str">
        <f>HYPERLINK("http://genome-euro.ucsc.edu/cgi-bin/hgTracks?position=201570_at","UCSC")</f>
        <v>UCSC</v>
      </c>
      <c r="E7456" s="1" t="str">
        <f>HYPERLINK("http://www.ncbi.nlm.nih.gov/gene/?term=SAMM50","NCBI")</f>
        <v>NCBI</v>
      </c>
      <c r="F7456">
        <v>0.1</v>
      </c>
      <c r="G7456">
        <v>0.24</v>
      </c>
      <c r="H7456" s="1" t="str">
        <f>HYPERLINK("http://www.weizmann.ac.il/complex/compphys/software/geview/data/figures/201570_at.png","Figure")</f>
        <v>Figure</v>
      </c>
      <c r="I7456">
        <v>1.04</v>
      </c>
      <c r="J7456">
        <v>0.94</v>
      </c>
      <c r="K7456">
        <v>1.26</v>
      </c>
      <c r="L7456">
        <v>0.12</v>
      </c>
      <c r="M7456">
        <v>1.21</v>
      </c>
      <c r="N7456">
        <v>0.26</v>
      </c>
    </row>
    <row r="7457" spans="1:14" x14ac:dyDescent="0.25">
      <c r="A7457" t="s">
        <v>13267</v>
      </c>
      <c r="B7457" t="s">
        <v>13268</v>
      </c>
      <c r="C7457" s="1" t="str">
        <f>HYPERLINK("http://www.genecards.org/cgi-bin/carddisp.pl?gene=AKT2","GeneCards")</f>
        <v>GeneCards</v>
      </c>
      <c r="D7457" s="1" t="str">
        <f>HYPERLINK("http://genome-euro.ucsc.edu/cgi-bin/hgTracks?position=211453_s_at","UCSC")</f>
        <v>UCSC</v>
      </c>
      <c r="E7457" s="1" t="str">
        <f>HYPERLINK("http://www.ncbi.nlm.nih.gov/gene/?term=AKT2","NCBI")</f>
        <v>NCBI</v>
      </c>
      <c r="F7457">
        <v>0.1</v>
      </c>
      <c r="G7457">
        <v>0.24</v>
      </c>
      <c r="H7457" s="1" t="str">
        <f>HYPERLINK("http://www.weizmann.ac.il/complex/compphys/software/geview/data/figures/211453_s_at.png","Figure")</f>
        <v>Figure</v>
      </c>
      <c r="I7457">
        <v>1.08</v>
      </c>
      <c r="J7457">
        <v>0.15</v>
      </c>
      <c r="K7457">
        <v>1.07</v>
      </c>
      <c r="L7457">
        <v>0.14000000000000001</v>
      </c>
      <c r="M7457">
        <v>0.99099999999999999</v>
      </c>
      <c r="N7457">
        <v>0.97</v>
      </c>
    </row>
    <row r="7458" spans="1:14" x14ac:dyDescent="0.25">
      <c r="A7458" t="s">
        <v>13269</v>
      </c>
      <c r="B7458" t="s">
        <v>13270</v>
      </c>
      <c r="C7458" s="1" t="str">
        <f>HYPERLINK("http://www.genecards.org/cgi-bin/carddisp.pl?gene=COPB1","GeneCards")</f>
        <v>GeneCards</v>
      </c>
      <c r="D7458" s="1" t="str">
        <f>HYPERLINK("http://genome-euro.ucsc.edu/cgi-bin/hgTracks?position=201359_at","UCSC")</f>
        <v>UCSC</v>
      </c>
      <c r="E7458" s="1" t="str">
        <f>HYPERLINK("http://www.ncbi.nlm.nih.gov/gene/?term=COPB1","NCBI")</f>
        <v>NCBI</v>
      </c>
      <c r="F7458">
        <v>0.1</v>
      </c>
      <c r="G7458">
        <v>0.24</v>
      </c>
      <c r="H7458" s="1" t="str">
        <f>HYPERLINK("http://www.weizmann.ac.il/complex/compphys/software/geview/data/figures/201359_at.png","Figure")</f>
        <v>Figure</v>
      </c>
      <c r="I7458">
        <v>1.1499999999999999</v>
      </c>
      <c r="J7458">
        <v>0.57999999999999996</v>
      </c>
      <c r="K7458">
        <v>0.85799999999999998</v>
      </c>
      <c r="L7458">
        <v>0.43</v>
      </c>
      <c r="M7458">
        <v>0.747</v>
      </c>
      <c r="N7458">
        <v>9.4E-2</v>
      </c>
    </row>
    <row r="7459" spans="1:14" x14ac:dyDescent="0.25">
      <c r="A7459" t="s">
        <v>13271</v>
      </c>
      <c r="B7459" t="s">
        <v>2251</v>
      </c>
      <c r="C7459" s="1" t="str">
        <f>HYPERLINK("http://www.genecards.org/cgi-bin/carddisp.pl?gene=SOCS5","GeneCards")</f>
        <v>GeneCards</v>
      </c>
      <c r="D7459" s="1" t="str">
        <f>HYPERLINK("http://genome-euro.ucsc.edu/cgi-bin/hgTracks?position=209648_x_at","UCSC")</f>
        <v>UCSC</v>
      </c>
      <c r="E7459" s="1" t="str">
        <f>HYPERLINK("http://www.ncbi.nlm.nih.gov/gene/?term=SOCS5","NCBI")</f>
        <v>NCBI</v>
      </c>
      <c r="F7459">
        <v>0.1</v>
      </c>
      <c r="G7459">
        <v>0.24</v>
      </c>
      <c r="H7459" s="1" t="str">
        <f>HYPERLINK("http://www.weizmann.ac.il/complex/compphys/software/geview/data/figures/209648_x_at.png","Figure")</f>
        <v>Figure</v>
      </c>
      <c r="I7459">
        <v>0.91100000000000003</v>
      </c>
      <c r="J7459">
        <v>0.95</v>
      </c>
      <c r="K7459">
        <v>0.57299999999999995</v>
      </c>
      <c r="L7459">
        <v>0.12</v>
      </c>
      <c r="M7459">
        <v>0.629</v>
      </c>
      <c r="N7459">
        <v>0.25</v>
      </c>
    </row>
    <row r="7460" spans="1:14" x14ac:dyDescent="0.25">
      <c r="A7460" t="s">
        <v>13272</v>
      </c>
      <c r="B7460" t="s">
        <v>13273</v>
      </c>
      <c r="C7460" s="1" t="str">
        <f>HYPERLINK("http://www.genecards.org/cgi-bin/carddisp.pl?gene=SQLE","GeneCards")</f>
        <v>GeneCards</v>
      </c>
      <c r="D7460" s="1" t="str">
        <f>HYPERLINK("http://genome-euro.ucsc.edu/cgi-bin/hgTracks?position=213577_at","UCSC")</f>
        <v>UCSC</v>
      </c>
      <c r="E7460" s="1" t="str">
        <f>HYPERLINK("http://www.ncbi.nlm.nih.gov/gene/?term=SQLE","NCBI")</f>
        <v>NCBI</v>
      </c>
      <c r="F7460">
        <v>0.1</v>
      </c>
      <c r="G7460">
        <v>0.24</v>
      </c>
      <c r="H7460" s="1" t="str">
        <f>HYPERLINK("http://www.weizmann.ac.il/complex/compphys/software/geview/data/figures/213577_at.png","Figure")</f>
        <v>Figure</v>
      </c>
      <c r="I7460">
        <v>1.34</v>
      </c>
      <c r="J7460">
        <v>9.8000000000000004E-2</v>
      </c>
      <c r="K7460">
        <v>1.2</v>
      </c>
      <c r="L7460">
        <v>0.27</v>
      </c>
      <c r="M7460">
        <v>0.89700000000000002</v>
      </c>
      <c r="N7460">
        <v>0.65</v>
      </c>
    </row>
    <row r="7461" spans="1:14" x14ac:dyDescent="0.25">
      <c r="A7461" t="s">
        <v>13274</v>
      </c>
      <c r="B7461" t="s">
        <v>13275</v>
      </c>
      <c r="C7461" s="1" t="str">
        <f>HYPERLINK("http://www.genecards.org/cgi-bin/carddisp.pl?gene=SEMA4G","GeneCards")</f>
        <v>GeneCards</v>
      </c>
      <c r="D7461" s="1" t="str">
        <f>HYPERLINK("http://genome-euro.ucsc.edu/cgi-bin/hgTracks?position=219194_at","UCSC")</f>
        <v>UCSC</v>
      </c>
      <c r="E7461" s="1" t="str">
        <f>HYPERLINK("http://www.ncbi.nlm.nih.gov/gene/?term=SEMA4G","NCBI")</f>
        <v>NCBI</v>
      </c>
      <c r="F7461">
        <v>0.1</v>
      </c>
      <c r="G7461">
        <v>0.24</v>
      </c>
      <c r="H7461" s="1" t="str">
        <f>HYPERLINK("http://www.weizmann.ac.il/complex/compphys/software/geview/data/figures/219194_at.png","Figure")</f>
        <v>Figure</v>
      </c>
      <c r="I7461">
        <v>1.23</v>
      </c>
      <c r="J7461">
        <v>0.15</v>
      </c>
      <c r="K7461">
        <v>0.999</v>
      </c>
      <c r="L7461">
        <v>1</v>
      </c>
      <c r="M7461">
        <v>0.81399999999999995</v>
      </c>
      <c r="N7461">
        <v>0.12</v>
      </c>
    </row>
    <row r="7462" spans="1:14" x14ac:dyDescent="0.25">
      <c r="A7462" t="s">
        <v>13276</v>
      </c>
      <c r="B7462" t="s">
        <v>13277</v>
      </c>
      <c r="C7462" s="1" t="str">
        <f>HYPERLINK("http://www.genecards.org/cgi-bin/carddisp.pl?gene=AGBL5","GeneCards")</f>
        <v>GeneCards</v>
      </c>
      <c r="D7462" s="1" t="str">
        <f>HYPERLINK("http://genome-euro.ucsc.edu/cgi-bin/hgTracks?position=218480_at","UCSC")</f>
        <v>UCSC</v>
      </c>
      <c r="E7462" s="1" t="str">
        <f>HYPERLINK("http://www.ncbi.nlm.nih.gov/gene/?term=AGBL5","NCBI")</f>
        <v>NCBI</v>
      </c>
      <c r="F7462">
        <v>0.1</v>
      </c>
      <c r="G7462">
        <v>0.24</v>
      </c>
      <c r="H7462" s="1" t="str">
        <f>HYPERLINK("http://www.weizmann.ac.il/complex/compphys/software/geview/data/figures/218480_at.png","Figure")</f>
        <v>Figure</v>
      </c>
      <c r="I7462">
        <v>1.1299999999999999</v>
      </c>
      <c r="J7462">
        <v>0.39</v>
      </c>
      <c r="K7462">
        <v>0.93</v>
      </c>
      <c r="L7462">
        <v>0.63</v>
      </c>
      <c r="M7462">
        <v>0.82499999999999996</v>
      </c>
      <c r="N7462">
        <v>8.7999999999999995E-2</v>
      </c>
    </row>
    <row r="7463" spans="1:14" x14ac:dyDescent="0.25">
      <c r="A7463" t="s">
        <v>13278</v>
      </c>
      <c r="B7463" t="s">
        <v>13279</v>
      </c>
      <c r="C7463" s="1" t="str">
        <f>HYPERLINK("http://www.genecards.org/cgi-bin/carddisp.pl?gene=FAM86B1","GeneCards")</f>
        <v>GeneCards</v>
      </c>
      <c r="D7463" s="1" t="str">
        <f>HYPERLINK("http://genome-euro.ucsc.edu/cgi-bin/hgTracks?position=65585_at","UCSC")</f>
        <v>UCSC</v>
      </c>
      <c r="E7463" s="1" t="str">
        <f>HYPERLINK("http://www.ncbi.nlm.nih.gov/gene/?term=FAM86B1","NCBI")</f>
        <v>NCBI</v>
      </c>
      <c r="F7463">
        <v>0.1</v>
      </c>
      <c r="G7463">
        <v>0.24</v>
      </c>
      <c r="H7463" s="1" t="str">
        <f>HYPERLINK("http://www.weizmann.ac.il/complex/compphys/software/geview/data/figures/65585_at.png","Figure")</f>
        <v>Figure</v>
      </c>
      <c r="I7463">
        <v>1.0900000000000001</v>
      </c>
      <c r="J7463">
        <v>0.5</v>
      </c>
      <c r="K7463">
        <v>1.17</v>
      </c>
      <c r="L7463">
        <v>8.7999999999999995E-2</v>
      </c>
      <c r="M7463">
        <v>1.07</v>
      </c>
      <c r="N7463">
        <v>0.62</v>
      </c>
    </row>
    <row r="7464" spans="1:14" x14ac:dyDescent="0.25">
      <c r="A7464" t="s">
        <v>13280</v>
      </c>
      <c r="B7464" t="s">
        <v>13281</v>
      </c>
      <c r="C7464" s="1" t="str">
        <f>HYPERLINK("http://www.genecards.org/cgi-bin/carddisp.pl?gene=FLT1","GeneCards")</f>
        <v>GeneCards</v>
      </c>
      <c r="D7464" s="1" t="str">
        <f>HYPERLINK("http://genome-euro.ucsc.edu/cgi-bin/hgTracks?position=204406_at","UCSC")</f>
        <v>UCSC</v>
      </c>
      <c r="E7464" s="1" t="str">
        <f>HYPERLINK("http://www.ncbi.nlm.nih.gov/gene/?term=FLT1","NCBI")</f>
        <v>NCBI</v>
      </c>
      <c r="F7464">
        <v>0.1</v>
      </c>
      <c r="G7464">
        <v>0.24</v>
      </c>
      <c r="H7464" s="1" t="str">
        <f>HYPERLINK("http://www.weizmann.ac.il/complex/compphys/software/geview/data/figures/204406_at.png","Figure")</f>
        <v>Figure</v>
      </c>
      <c r="I7464">
        <v>1.07</v>
      </c>
      <c r="J7464">
        <v>9.6000000000000002E-2</v>
      </c>
      <c r="K7464">
        <v>1.04</v>
      </c>
      <c r="L7464">
        <v>0.28999999999999998</v>
      </c>
      <c r="M7464">
        <v>0.97499999999999998</v>
      </c>
      <c r="N7464">
        <v>0.62</v>
      </c>
    </row>
    <row r="7465" spans="1:14" x14ac:dyDescent="0.25">
      <c r="A7465" t="s">
        <v>13282</v>
      </c>
      <c r="B7465" t="s">
        <v>2328</v>
      </c>
      <c r="C7465" s="1" t="str">
        <f>HYPERLINK("http://www.genecards.org/cgi-bin/carddisp.pl?gene=INTS3","GeneCards")</f>
        <v>GeneCards</v>
      </c>
      <c r="D7465" s="1" t="str">
        <f>HYPERLINK("http://genome-euro.ucsc.edu/cgi-bin/hgTracks?position=202809_s_at","UCSC")</f>
        <v>UCSC</v>
      </c>
      <c r="E7465" s="1" t="str">
        <f>HYPERLINK("http://www.ncbi.nlm.nih.gov/gene/?term=INTS3","NCBI")</f>
        <v>NCBI</v>
      </c>
      <c r="F7465">
        <v>0.1</v>
      </c>
      <c r="G7465">
        <v>0.24</v>
      </c>
      <c r="H7465" s="1" t="str">
        <f>HYPERLINK("http://www.weizmann.ac.il/complex/compphys/software/geview/data/figures/202809_s_at.png","Figure")</f>
        <v>Figure</v>
      </c>
      <c r="I7465">
        <v>0.66500000000000004</v>
      </c>
      <c r="J7465">
        <v>0.1</v>
      </c>
      <c r="K7465">
        <v>0.77100000000000002</v>
      </c>
      <c r="L7465">
        <v>0.26</v>
      </c>
      <c r="M7465">
        <v>1.1599999999999999</v>
      </c>
      <c r="N7465">
        <v>0.67</v>
      </c>
    </row>
    <row r="7466" spans="1:14" x14ac:dyDescent="0.25">
      <c r="A7466" t="s">
        <v>13283</v>
      </c>
      <c r="B7466" t="s">
        <v>13284</v>
      </c>
      <c r="C7466" s="1" t="str">
        <f>HYPERLINK("http://www.genecards.org/cgi-bin/carddisp.pl?gene=SLC22A14","GeneCards")</f>
        <v>GeneCards</v>
      </c>
      <c r="D7466" s="1" t="str">
        <f>HYPERLINK("http://genome-euro.ucsc.edu/cgi-bin/hgTracks?position=207408_at","UCSC")</f>
        <v>UCSC</v>
      </c>
      <c r="E7466" s="1" t="str">
        <f>HYPERLINK("http://www.ncbi.nlm.nih.gov/gene/?term=SLC22A14","NCBI")</f>
        <v>NCBI</v>
      </c>
      <c r="F7466">
        <v>0.1</v>
      </c>
      <c r="G7466">
        <v>0.24</v>
      </c>
      <c r="H7466" s="1" t="str">
        <f>HYPERLINK("http://www.weizmann.ac.il/complex/compphys/software/geview/data/figures/207408_at.png","Figure")</f>
        <v>Figure</v>
      </c>
      <c r="I7466">
        <v>1.1599999999999999</v>
      </c>
      <c r="J7466">
        <v>0.33</v>
      </c>
      <c r="K7466">
        <v>1.23</v>
      </c>
      <c r="L7466">
        <v>9.1999999999999998E-2</v>
      </c>
      <c r="M7466">
        <v>1.06</v>
      </c>
      <c r="N7466">
        <v>0.84</v>
      </c>
    </row>
    <row r="7467" spans="1:14" x14ac:dyDescent="0.25">
      <c r="A7467" t="s">
        <v>13285</v>
      </c>
      <c r="B7467" t="s">
        <v>3520</v>
      </c>
      <c r="C7467" s="1" t="str">
        <f>HYPERLINK("http://www.genecards.org/cgi-bin/carddisp.pl?gene=CA12","GeneCards")</f>
        <v>GeneCards</v>
      </c>
      <c r="D7467" s="1" t="str">
        <f>HYPERLINK("http://genome-euro.ucsc.edu/cgi-bin/hgTracks?position=210735_s_at","UCSC")</f>
        <v>UCSC</v>
      </c>
      <c r="E7467" s="1" t="str">
        <f>HYPERLINK("http://www.ncbi.nlm.nih.gov/gene/?term=CA12","NCBI")</f>
        <v>NCBI</v>
      </c>
      <c r="F7467">
        <v>0.1</v>
      </c>
      <c r="G7467">
        <v>0.24</v>
      </c>
      <c r="H7467" s="1" t="str">
        <f>HYPERLINK("http://www.weizmann.ac.il/complex/compphys/software/geview/data/figures/210735_s_at.png","Figure")</f>
        <v>Figure</v>
      </c>
      <c r="I7467">
        <v>0.97099999999999997</v>
      </c>
      <c r="J7467">
        <v>0.88</v>
      </c>
      <c r="K7467">
        <v>0.89</v>
      </c>
      <c r="L7467">
        <v>0.11</v>
      </c>
      <c r="M7467">
        <v>0.91700000000000004</v>
      </c>
      <c r="N7467">
        <v>0.31</v>
      </c>
    </row>
    <row r="7468" spans="1:14" x14ac:dyDescent="0.25">
      <c r="A7468" t="s">
        <v>13286</v>
      </c>
      <c r="B7468" t="s">
        <v>13287</v>
      </c>
      <c r="C7468" s="1" t="str">
        <f>HYPERLINK("http://www.genecards.org/cgi-bin/carddisp.pl?gene=PPP3CC","GeneCards")</f>
        <v>GeneCards</v>
      </c>
      <c r="D7468" s="1" t="str">
        <f>HYPERLINK("http://genome-euro.ucsc.edu/cgi-bin/hgTracks?position=32541_at","UCSC")</f>
        <v>UCSC</v>
      </c>
      <c r="E7468" s="1" t="str">
        <f>HYPERLINK("http://www.ncbi.nlm.nih.gov/gene/?term=PPP3CC","NCBI")</f>
        <v>NCBI</v>
      </c>
      <c r="F7468">
        <v>0.1</v>
      </c>
      <c r="G7468">
        <v>0.24</v>
      </c>
      <c r="H7468" s="1" t="str">
        <f>HYPERLINK("http://www.weizmann.ac.il/complex/compphys/software/geview/data/figures/32541_at.png","Figure")</f>
        <v>Figure</v>
      </c>
      <c r="I7468">
        <v>0.60199999999999998</v>
      </c>
      <c r="J7468">
        <v>8.7999999999999995E-2</v>
      </c>
      <c r="K7468">
        <v>0.78500000000000003</v>
      </c>
      <c r="L7468">
        <v>0.44</v>
      </c>
      <c r="M7468">
        <v>1.3</v>
      </c>
      <c r="N7468">
        <v>0.42</v>
      </c>
    </row>
    <row r="7469" spans="1:14" x14ac:dyDescent="0.25">
      <c r="A7469" t="s">
        <v>13288</v>
      </c>
      <c r="B7469" t="s">
        <v>13289</v>
      </c>
      <c r="C7469" s="1" t="str">
        <f>HYPERLINK("http://www.genecards.org/cgi-bin/carddisp.pl?gene=SLC37A4","GeneCards")</f>
        <v>GeneCards</v>
      </c>
      <c r="D7469" s="1" t="str">
        <f>HYPERLINK("http://genome-euro.ucsc.edu/cgi-bin/hgTracks?position=202830_s_at","UCSC")</f>
        <v>UCSC</v>
      </c>
      <c r="E7469" s="1" t="str">
        <f>HYPERLINK("http://www.ncbi.nlm.nih.gov/gene/?term=SLC37A4","NCBI")</f>
        <v>NCBI</v>
      </c>
      <c r="F7469">
        <v>0.1</v>
      </c>
      <c r="G7469">
        <v>0.24</v>
      </c>
      <c r="H7469" s="1" t="str">
        <f>HYPERLINK("http://www.weizmann.ac.il/complex/compphys/software/geview/data/figures/202830_s_at.png","Figure")</f>
        <v>Figure</v>
      </c>
      <c r="I7469">
        <v>0.94299999999999995</v>
      </c>
      <c r="J7469">
        <v>0.87</v>
      </c>
      <c r="K7469">
        <v>1.19</v>
      </c>
      <c r="L7469">
        <v>0.24</v>
      </c>
      <c r="M7469">
        <v>1.26</v>
      </c>
      <c r="N7469">
        <v>0.12</v>
      </c>
    </row>
    <row r="7470" spans="1:14" x14ac:dyDescent="0.25">
      <c r="A7470" t="s">
        <v>13290</v>
      </c>
      <c r="B7470" t="s">
        <v>3376</v>
      </c>
      <c r="C7470" s="1" t="str">
        <f>HYPERLINK("http://www.genecards.org/cgi-bin/carddisp.pl?gene=DHRS12","GeneCards")</f>
        <v>GeneCards</v>
      </c>
      <c r="D7470" s="1" t="str">
        <f>HYPERLINK("http://genome-euro.ucsc.edu/cgi-bin/hgTracks?position=204800_s_at","UCSC")</f>
        <v>UCSC</v>
      </c>
      <c r="E7470" s="1" t="str">
        <f>HYPERLINK("http://www.ncbi.nlm.nih.gov/gene/?term=DHRS12","NCBI")</f>
        <v>NCBI</v>
      </c>
      <c r="F7470">
        <v>0.1</v>
      </c>
      <c r="G7470">
        <v>0.24</v>
      </c>
      <c r="H7470" s="1" t="str">
        <f>HYPERLINK("http://www.weizmann.ac.il/complex/compphys/software/geview/data/figures/204800_s_at.png","Figure")</f>
        <v>Figure</v>
      </c>
      <c r="I7470">
        <v>1.07</v>
      </c>
      <c r="J7470">
        <v>0.33</v>
      </c>
      <c r="K7470">
        <v>1.1000000000000001</v>
      </c>
      <c r="L7470">
        <v>9.2999999999999999E-2</v>
      </c>
      <c r="M7470">
        <v>1.03</v>
      </c>
      <c r="N7470">
        <v>0.85</v>
      </c>
    </row>
    <row r="7471" spans="1:14" x14ac:dyDescent="0.25">
      <c r="A7471" t="s">
        <v>13291</v>
      </c>
      <c r="B7471" t="s">
        <v>13292</v>
      </c>
      <c r="C7471" s="1" t="str">
        <f>HYPERLINK("http://www.genecards.org/cgi-bin/carddisp.pl?gene=GUCY1A2","GeneCards")</f>
        <v>GeneCards</v>
      </c>
      <c r="D7471" s="1" t="str">
        <f>HYPERLINK("http://genome-euro.ucsc.edu/cgi-bin/hgTracks?position=206927_s_at","UCSC")</f>
        <v>UCSC</v>
      </c>
      <c r="E7471" s="1" t="str">
        <f>HYPERLINK("http://www.ncbi.nlm.nih.gov/gene/?term=GUCY1A2","NCBI")</f>
        <v>NCBI</v>
      </c>
      <c r="F7471">
        <v>0.1</v>
      </c>
      <c r="G7471">
        <v>0.24</v>
      </c>
      <c r="H7471" s="1" t="str">
        <f>HYPERLINK("http://www.weizmann.ac.il/complex/compphys/software/geview/data/figures/206927_s_at.png","Figure")</f>
        <v>Figure</v>
      </c>
      <c r="I7471">
        <v>1.05</v>
      </c>
      <c r="J7471">
        <v>0.6</v>
      </c>
      <c r="K7471">
        <v>0.94199999999999995</v>
      </c>
      <c r="L7471">
        <v>0.41</v>
      </c>
      <c r="M7471">
        <v>0.89400000000000002</v>
      </c>
      <c r="N7471">
        <v>9.5000000000000001E-2</v>
      </c>
    </row>
    <row r="7472" spans="1:14" x14ac:dyDescent="0.25">
      <c r="A7472" t="s">
        <v>13293</v>
      </c>
      <c r="B7472" t="s">
        <v>13294</v>
      </c>
      <c r="C7472" s="1" t="str">
        <f>HYPERLINK("http://www.genecards.org/cgi-bin/carddisp.pl?gene=CRYAA","GeneCards")</f>
        <v>GeneCards</v>
      </c>
      <c r="D7472" s="1" t="str">
        <f>HYPERLINK("http://genome-euro.ucsc.edu/cgi-bin/hgTracks?position=210199_at","UCSC")</f>
        <v>UCSC</v>
      </c>
      <c r="E7472" s="1" t="str">
        <f>HYPERLINK("http://www.ncbi.nlm.nih.gov/gene/?term=CRYAA","NCBI")</f>
        <v>NCBI</v>
      </c>
      <c r="F7472">
        <v>0.1</v>
      </c>
      <c r="G7472">
        <v>0.24</v>
      </c>
      <c r="H7472" s="1" t="str">
        <f>HYPERLINK("http://www.weizmann.ac.il/complex/compphys/software/geview/data/figures/210199_at.png","Figure")</f>
        <v>Figure</v>
      </c>
      <c r="I7472">
        <v>1.17</v>
      </c>
      <c r="J7472">
        <v>9.4E-2</v>
      </c>
      <c r="K7472">
        <v>1.0900000000000001</v>
      </c>
      <c r="L7472">
        <v>0.31</v>
      </c>
      <c r="M7472">
        <v>0.93700000000000006</v>
      </c>
      <c r="N7472">
        <v>0.56999999999999995</v>
      </c>
    </row>
    <row r="7473" spans="1:14" x14ac:dyDescent="0.25">
      <c r="A7473" t="s">
        <v>13295</v>
      </c>
      <c r="B7473" t="s">
        <v>13296</v>
      </c>
      <c r="C7473" s="1" t="str">
        <f>HYPERLINK("http://www.genecards.org/cgi-bin/carddisp.pl?gene=GFI1","GeneCards")</f>
        <v>GeneCards</v>
      </c>
      <c r="D7473" s="1" t="str">
        <f>HYPERLINK("http://genome-euro.ucsc.edu/cgi-bin/hgTracks?position=206589_at","UCSC")</f>
        <v>UCSC</v>
      </c>
      <c r="E7473" s="1" t="str">
        <f>HYPERLINK("http://www.ncbi.nlm.nih.gov/gene/?term=GFI1","NCBI")</f>
        <v>NCBI</v>
      </c>
      <c r="F7473">
        <v>0.1</v>
      </c>
      <c r="G7473">
        <v>0.24</v>
      </c>
      <c r="H7473" s="1" t="str">
        <f>HYPERLINK("http://www.weizmann.ac.il/complex/compphys/software/geview/data/figures/206589_at.png","Figure")</f>
        <v>Figure</v>
      </c>
      <c r="I7473">
        <v>0.995</v>
      </c>
      <c r="J7473">
        <v>1</v>
      </c>
      <c r="K7473">
        <v>0.79600000000000004</v>
      </c>
      <c r="L7473">
        <v>0.15</v>
      </c>
      <c r="M7473">
        <v>0.8</v>
      </c>
      <c r="N7473">
        <v>0.19</v>
      </c>
    </row>
    <row r="7474" spans="1:14" x14ac:dyDescent="0.25">
      <c r="A7474" t="s">
        <v>13297</v>
      </c>
      <c r="B7474" t="s">
        <v>12356</v>
      </c>
      <c r="C7474" s="1" t="str">
        <f>HYPERLINK("http://www.genecards.org/cgi-bin/carddisp.pl?gene=TFPI","GeneCards")</f>
        <v>GeneCards</v>
      </c>
      <c r="D7474" s="1" t="str">
        <f>HYPERLINK("http://genome-euro.ucsc.edu/cgi-bin/hgTracks?position=210665_at","UCSC")</f>
        <v>UCSC</v>
      </c>
      <c r="E7474" s="1" t="str">
        <f>HYPERLINK("http://www.ncbi.nlm.nih.gov/gene/?term=TFPI","NCBI")</f>
        <v>NCBI</v>
      </c>
      <c r="F7474">
        <v>0.1</v>
      </c>
      <c r="G7474">
        <v>0.24</v>
      </c>
      <c r="H7474" s="1" t="str">
        <f>HYPERLINK("http://www.weizmann.ac.il/complex/compphys/software/geview/data/figures/210665_at.png","Figure")</f>
        <v>Figure</v>
      </c>
      <c r="I7474">
        <v>1</v>
      </c>
      <c r="J7474">
        <v>1</v>
      </c>
      <c r="K7474">
        <v>0.439</v>
      </c>
      <c r="L7474">
        <v>0.15</v>
      </c>
      <c r="M7474">
        <v>0.439</v>
      </c>
      <c r="N7474">
        <v>0.19</v>
      </c>
    </row>
    <row r="7475" spans="1:14" x14ac:dyDescent="0.25">
      <c r="A7475" t="s">
        <v>13298</v>
      </c>
      <c r="B7475" t="s">
        <v>2658</v>
      </c>
      <c r="C7475" s="1" t="str">
        <f>HYPERLINK("http://www.genecards.org/cgi-bin/carddisp.pl?gene=TTF1","GeneCards")</f>
        <v>GeneCards</v>
      </c>
      <c r="D7475" s="1" t="str">
        <f>HYPERLINK("http://genome-euro.ucsc.edu/cgi-bin/hgTracks?position=204772_s_at","UCSC")</f>
        <v>UCSC</v>
      </c>
      <c r="E7475" s="1" t="str">
        <f>HYPERLINK("http://www.ncbi.nlm.nih.gov/gene/?term=TTF1","NCBI")</f>
        <v>NCBI</v>
      </c>
      <c r="F7475">
        <v>0.1</v>
      </c>
      <c r="G7475">
        <v>0.24</v>
      </c>
      <c r="H7475" s="1" t="str">
        <f>HYPERLINK("http://www.weizmann.ac.il/complex/compphys/software/geview/data/figures/204772_s_at.png","Figure")</f>
        <v>Figure</v>
      </c>
      <c r="I7475">
        <v>1.46</v>
      </c>
      <c r="J7475">
        <v>9.6000000000000002E-2</v>
      </c>
      <c r="K7475">
        <v>1.26</v>
      </c>
      <c r="L7475">
        <v>0.28999999999999998</v>
      </c>
      <c r="M7475">
        <v>0.86099999999999999</v>
      </c>
      <c r="N7475">
        <v>0.62</v>
      </c>
    </row>
    <row r="7476" spans="1:14" x14ac:dyDescent="0.25">
      <c r="A7476" t="s">
        <v>13299</v>
      </c>
      <c r="B7476" t="s">
        <v>1600</v>
      </c>
      <c r="C7476" s="1" t="str">
        <f>HYPERLINK("http://www.genecards.org/cgi-bin/carddisp.pl?gene=STK17B","GeneCards")</f>
        <v>GeneCards</v>
      </c>
      <c r="D7476" s="1" t="str">
        <f>HYPERLINK("http://genome-euro.ucsc.edu/cgi-bin/hgTracks?position=217503_at","UCSC")</f>
        <v>UCSC</v>
      </c>
      <c r="E7476" s="1" t="str">
        <f>HYPERLINK("http://www.ncbi.nlm.nih.gov/gene/?term=STK17B","NCBI")</f>
        <v>NCBI</v>
      </c>
      <c r="F7476">
        <v>0.1</v>
      </c>
      <c r="G7476">
        <v>0.24</v>
      </c>
      <c r="H7476" s="1" t="str">
        <f>HYPERLINK("http://www.weizmann.ac.il/complex/compphys/software/geview/data/figures/217503_at.png","Figure")</f>
        <v>Figure</v>
      </c>
      <c r="I7476">
        <v>0.75800000000000001</v>
      </c>
      <c r="J7476">
        <v>8.7999999999999995E-2</v>
      </c>
      <c r="K7476">
        <v>0.876</v>
      </c>
      <c r="L7476">
        <v>0.43</v>
      </c>
      <c r="M7476">
        <v>1.1599999999999999</v>
      </c>
      <c r="N7476">
        <v>0.42</v>
      </c>
    </row>
    <row r="7477" spans="1:14" x14ac:dyDescent="0.25">
      <c r="A7477" t="s">
        <v>13300</v>
      </c>
      <c r="B7477" t="s">
        <v>13301</v>
      </c>
      <c r="C7477" s="1" t="str">
        <f>HYPERLINK("http://www.genecards.org/cgi-bin/carddisp.pl?gene=EIF5B","GeneCards")</f>
        <v>GeneCards</v>
      </c>
      <c r="D7477" s="1" t="str">
        <f>HYPERLINK("http://genome-euro.ucsc.edu/cgi-bin/hgTracks?position=201025_at","UCSC")</f>
        <v>UCSC</v>
      </c>
      <c r="E7477" s="1" t="str">
        <f>HYPERLINK("http://www.ncbi.nlm.nih.gov/gene/?term=EIF5B","NCBI")</f>
        <v>NCBI</v>
      </c>
      <c r="F7477">
        <v>0.11</v>
      </c>
      <c r="G7477">
        <v>0.24</v>
      </c>
      <c r="H7477" s="1" t="str">
        <f>HYPERLINK("http://www.weizmann.ac.il/complex/compphys/software/geview/data/figures/201025_at.png","Figure")</f>
        <v>Figure</v>
      </c>
      <c r="I7477">
        <v>0.89200000000000002</v>
      </c>
      <c r="J7477">
        <v>0.49</v>
      </c>
      <c r="K7477">
        <v>1.1000000000000001</v>
      </c>
      <c r="L7477">
        <v>0.51</v>
      </c>
      <c r="M7477">
        <v>1.23</v>
      </c>
      <c r="N7477">
        <v>0.09</v>
      </c>
    </row>
    <row r="7478" spans="1:14" x14ac:dyDescent="0.25">
      <c r="A7478" t="s">
        <v>13302</v>
      </c>
      <c r="B7478" t="s">
        <v>13303</v>
      </c>
      <c r="C7478" s="1" t="str">
        <f>HYPERLINK("http://www.genecards.org/cgi-bin/carddisp.pl?gene=MTFR1","GeneCards")</f>
        <v>GeneCards</v>
      </c>
      <c r="D7478" s="1" t="str">
        <f>HYPERLINK("http://genome-euro.ucsc.edu/cgi-bin/hgTracks?position=203208_s_at","UCSC")</f>
        <v>UCSC</v>
      </c>
      <c r="E7478" s="1" t="str">
        <f>HYPERLINK("http://www.ncbi.nlm.nih.gov/gene/?term=MTFR1","NCBI")</f>
        <v>NCBI</v>
      </c>
      <c r="F7478">
        <v>0.11</v>
      </c>
      <c r="G7478">
        <v>0.24</v>
      </c>
      <c r="H7478" s="1" t="str">
        <f>HYPERLINK("http://www.weizmann.ac.il/complex/compphys/software/geview/data/figures/203208_s_at.png","Figure")</f>
        <v>Figure</v>
      </c>
      <c r="I7478">
        <v>0.94199999999999995</v>
      </c>
      <c r="J7478">
        <v>0.2</v>
      </c>
      <c r="K7478">
        <v>1.01</v>
      </c>
      <c r="L7478">
        <v>0.95</v>
      </c>
      <c r="M7478">
        <v>1.07</v>
      </c>
      <c r="N7478">
        <v>0.1</v>
      </c>
    </row>
    <row r="7479" spans="1:14" x14ac:dyDescent="0.25">
      <c r="A7479" t="s">
        <v>13304</v>
      </c>
      <c r="B7479" t="s">
        <v>9275</v>
      </c>
      <c r="C7479" s="1" t="str">
        <f>HYPERLINK("http://www.genecards.org/cgi-bin/carddisp.pl?gene=SKP1","GeneCards")</f>
        <v>GeneCards</v>
      </c>
      <c r="D7479" s="1" t="str">
        <f>HYPERLINK("http://genome-euro.ucsc.edu/cgi-bin/hgTracks?position=207974_s_at","UCSC")</f>
        <v>UCSC</v>
      </c>
      <c r="E7479" s="1" t="str">
        <f>HYPERLINK("http://www.ncbi.nlm.nih.gov/gene/?term=SKP1","NCBI")</f>
        <v>NCBI</v>
      </c>
      <c r="F7479">
        <v>0.11</v>
      </c>
      <c r="G7479">
        <v>0.24</v>
      </c>
      <c r="H7479" s="1" t="str">
        <f>HYPERLINK("http://www.weizmann.ac.il/complex/compphys/software/geview/data/figures/207974_s_at.png","Figure")</f>
        <v>Figure</v>
      </c>
      <c r="I7479">
        <v>1.22</v>
      </c>
      <c r="J7479">
        <v>0.75</v>
      </c>
      <c r="K7479">
        <v>1.7</v>
      </c>
      <c r="L7479">
        <v>9.6000000000000002E-2</v>
      </c>
      <c r="M7479">
        <v>1.39</v>
      </c>
      <c r="N7479">
        <v>0.4</v>
      </c>
    </row>
    <row r="7480" spans="1:14" x14ac:dyDescent="0.25">
      <c r="A7480" t="s">
        <v>13305</v>
      </c>
      <c r="B7480" t="s">
        <v>8163</v>
      </c>
      <c r="C7480" s="1" t="str">
        <f>HYPERLINK("http://www.genecards.org/cgi-bin/carddisp.pl?gene=UBXN4","GeneCards")</f>
        <v>GeneCards</v>
      </c>
      <c r="D7480" s="1" t="str">
        <f>HYPERLINK("http://genome-euro.ucsc.edu/cgi-bin/hgTracks?position=212008_at","UCSC")</f>
        <v>UCSC</v>
      </c>
      <c r="E7480" s="1" t="str">
        <f>HYPERLINK("http://www.ncbi.nlm.nih.gov/gene/?term=UBXN4","NCBI")</f>
        <v>NCBI</v>
      </c>
      <c r="F7480">
        <v>0.11</v>
      </c>
      <c r="G7480">
        <v>0.24</v>
      </c>
      <c r="H7480" s="1" t="str">
        <f>HYPERLINK("http://www.weizmann.ac.il/complex/compphys/software/geview/data/figures/212008_at.png","Figure")</f>
        <v>Figure</v>
      </c>
      <c r="I7480">
        <v>0.85399999999999998</v>
      </c>
      <c r="J7480">
        <v>0.68</v>
      </c>
      <c r="K7480">
        <v>0.69099999999999995</v>
      </c>
      <c r="L7480">
        <v>9.2999999999999999E-2</v>
      </c>
      <c r="M7480">
        <v>0.80900000000000005</v>
      </c>
      <c r="N7480">
        <v>0.46</v>
      </c>
    </row>
    <row r="7481" spans="1:14" x14ac:dyDescent="0.25">
      <c r="A7481" t="s">
        <v>13306</v>
      </c>
      <c r="B7481" t="s">
        <v>13307</v>
      </c>
      <c r="C7481" s="1" t="str">
        <f>HYPERLINK("http://www.genecards.org/cgi-bin/carddisp.pl?gene=HGD","GeneCards")</f>
        <v>GeneCards</v>
      </c>
      <c r="D7481" s="1" t="str">
        <f>HYPERLINK("http://genome-euro.ucsc.edu/cgi-bin/hgTracks?position=214308_s_at","UCSC")</f>
        <v>UCSC</v>
      </c>
      <c r="E7481" s="1" t="str">
        <f>HYPERLINK("http://www.ncbi.nlm.nih.gov/gene/?term=HGD","NCBI")</f>
        <v>NCBI</v>
      </c>
      <c r="F7481">
        <v>0.11</v>
      </c>
      <c r="G7481">
        <v>0.24</v>
      </c>
      <c r="H7481" s="1" t="str">
        <f>HYPERLINK("http://www.weizmann.ac.il/complex/compphys/software/geview/data/figures/214308_s_at.png","Figure")</f>
        <v>Figure</v>
      </c>
      <c r="I7481">
        <v>1.1499999999999999</v>
      </c>
      <c r="J7481">
        <v>9.5000000000000001E-2</v>
      </c>
      <c r="K7481">
        <v>1.04</v>
      </c>
      <c r="L7481">
        <v>0.73</v>
      </c>
      <c r="M7481">
        <v>0.90400000000000003</v>
      </c>
      <c r="N7481">
        <v>0.23</v>
      </c>
    </row>
    <row r="7482" spans="1:14" x14ac:dyDescent="0.25">
      <c r="A7482" t="s">
        <v>13308</v>
      </c>
      <c r="B7482" t="s">
        <v>13309</v>
      </c>
      <c r="C7482" s="1" t="str">
        <f>HYPERLINK("http://www.genecards.org/cgi-bin/carddisp.pl?gene=INO80B","GeneCards")</f>
        <v>GeneCards</v>
      </c>
      <c r="D7482" s="1" t="str">
        <f>HYPERLINK("http://genome-euro.ucsc.edu/cgi-bin/hgTracks?position=222093_s_at","UCSC")</f>
        <v>UCSC</v>
      </c>
      <c r="E7482" s="1" t="str">
        <f>HYPERLINK("http://www.ncbi.nlm.nih.gov/gene/?term=INO80B","NCBI")</f>
        <v>NCBI</v>
      </c>
      <c r="F7482">
        <v>0.11</v>
      </c>
      <c r="G7482">
        <v>0.24</v>
      </c>
      <c r="H7482" s="1" t="str">
        <f>HYPERLINK("http://www.weizmann.ac.il/complex/compphys/software/geview/data/figures/222093_s_at.png","Figure")</f>
        <v>Figure</v>
      </c>
      <c r="I7482">
        <v>1.4</v>
      </c>
      <c r="J7482">
        <v>8.7999999999999995E-2</v>
      </c>
      <c r="K7482">
        <v>1.17</v>
      </c>
      <c r="L7482">
        <v>0.47</v>
      </c>
      <c r="M7482">
        <v>0.83</v>
      </c>
      <c r="N7482">
        <v>0.39</v>
      </c>
    </row>
    <row r="7483" spans="1:14" x14ac:dyDescent="0.25">
      <c r="A7483" t="s">
        <v>13310</v>
      </c>
      <c r="B7483" t="s">
        <v>13311</v>
      </c>
      <c r="C7483" s="1" t="str">
        <f>HYPERLINK("http://www.genecards.org/cgi-bin/carddisp.pl?gene=PRKAB1","GeneCards")</f>
        <v>GeneCards</v>
      </c>
      <c r="D7483" s="1" t="str">
        <f>HYPERLINK("http://genome-euro.ucsc.edu/cgi-bin/hgTracks?position=201835_s_at","UCSC")</f>
        <v>UCSC</v>
      </c>
      <c r="E7483" s="1" t="str">
        <f>HYPERLINK("http://www.ncbi.nlm.nih.gov/gene/?term=PRKAB1","NCBI")</f>
        <v>NCBI</v>
      </c>
      <c r="F7483">
        <v>0.11</v>
      </c>
      <c r="G7483">
        <v>0.24</v>
      </c>
      <c r="H7483" s="1" t="str">
        <f>HYPERLINK("http://www.weizmann.ac.il/complex/compphys/software/geview/data/figures/201835_s_at.png","Figure")</f>
        <v>Figure</v>
      </c>
      <c r="I7483">
        <v>1.29</v>
      </c>
      <c r="J7483">
        <v>8.8999999999999996E-2</v>
      </c>
      <c r="K7483">
        <v>1.1100000000000001</v>
      </c>
      <c r="L7483">
        <v>0.55000000000000004</v>
      </c>
      <c r="M7483">
        <v>0.86099999999999999</v>
      </c>
      <c r="N7483">
        <v>0.33</v>
      </c>
    </row>
    <row r="7484" spans="1:14" x14ac:dyDescent="0.25">
      <c r="A7484" t="s">
        <v>13312</v>
      </c>
      <c r="B7484" t="s">
        <v>3428</v>
      </c>
      <c r="C7484" s="1" t="str">
        <f>HYPERLINK("http://www.genecards.org/cgi-bin/carddisp.pl?gene=PDIA2","GeneCards")</f>
        <v>GeneCards</v>
      </c>
      <c r="D7484" s="1" t="str">
        <f>HYPERLINK("http://genome-euro.ucsc.edu/cgi-bin/hgTracks?position=206889_at","UCSC")</f>
        <v>UCSC</v>
      </c>
      <c r="E7484" s="1" t="str">
        <f>HYPERLINK("http://www.ncbi.nlm.nih.gov/gene/?term=PDIA2","NCBI")</f>
        <v>NCBI</v>
      </c>
      <c r="F7484">
        <v>0.11</v>
      </c>
      <c r="G7484">
        <v>0.24</v>
      </c>
      <c r="H7484" s="1" t="str">
        <f>HYPERLINK("http://www.weizmann.ac.il/complex/compphys/software/geview/data/figures/206889_at.png","Figure")</f>
        <v>Figure</v>
      </c>
      <c r="I7484">
        <v>1.31</v>
      </c>
      <c r="J7484">
        <v>0.12</v>
      </c>
      <c r="K7484">
        <v>1.23</v>
      </c>
      <c r="L7484">
        <v>0.18</v>
      </c>
      <c r="M7484">
        <v>0.94099999999999995</v>
      </c>
      <c r="N7484">
        <v>0.87</v>
      </c>
    </row>
    <row r="7485" spans="1:14" x14ac:dyDescent="0.25">
      <c r="A7485" t="s">
        <v>13313</v>
      </c>
      <c r="B7485" t="s">
        <v>13314</v>
      </c>
      <c r="C7485" s="1" t="str">
        <f>HYPERLINK("http://www.genecards.org/cgi-bin/carddisp.pl?gene=PHOX2B","GeneCards")</f>
        <v>GeneCards</v>
      </c>
      <c r="D7485" s="1" t="str">
        <f>HYPERLINK("http://genome-euro.ucsc.edu/cgi-bin/hgTracks?position=207009_at","UCSC")</f>
        <v>UCSC</v>
      </c>
      <c r="E7485" s="1" t="str">
        <f>HYPERLINK("http://www.ncbi.nlm.nih.gov/gene/?term=PHOX2B","NCBI")</f>
        <v>NCBI</v>
      </c>
      <c r="F7485">
        <v>0.11</v>
      </c>
      <c r="G7485">
        <v>0.24</v>
      </c>
      <c r="H7485" s="1" t="str">
        <f>HYPERLINK("http://www.weizmann.ac.il/complex/compphys/software/geview/data/figures/207009_at.png","Figure")</f>
        <v>Figure</v>
      </c>
      <c r="I7485">
        <v>1.1599999999999999</v>
      </c>
      <c r="J7485">
        <v>0.19</v>
      </c>
      <c r="K7485">
        <v>0.98099999999999998</v>
      </c>
      <c r="L7485">
        <v>0.96</v>
      </c>
      <c r="M7485">
        <v>0.84899999999999998</v>
      </c>
      <c r="N7485">
        <v>0.1</v>
      </c>
    </row>
    <row r="7486" spans="1:14" x14ac:dyDescent="0.25">
      <c r="A7486" t="s">
        <v>13315</v>
      </c>
      <c r="B7486" t="s">
        <v>13316</v>
      </c>
      <c r="C7486" s="1" t="str">
        <f>HYPERLINK("http://www.genecards.org/cgi-bin/carddisp.pl?gene=PLSCR2","GeneCards")</f>
        <v>GeneCards</v>
      </c>
      <c r="D7486" s="1" t="str">
        <f>HYPERLINK("http://genome-euro.ucsc.edu/cgi-bin/hgTracks?position=207374_at","UCSC")</f>
        <v>UCSC</v>
      </c>
      <c r="E7486" s="1" t="str">
        <f>HYPERLINK("http://www.ncbi.nlm.nih.gov/gene/?term=PLSCR2","NCBI")</f>
        <v>NCBI</v>
      </c>
      <c r="F7486">
        <v>0.11</v>
      </c>
      <c r="G7486">
        <v>0.24</v>
      </c>
      <c r="H7486" s="1" t="str">
        <f>HYPERLINK("http://www.weizmann.ac.il/complex/compphys/software/geview/data/figures/207374_at.png","Figure")</f>
        <v>Figure</v>
      </c>
      <c r="I7486">
        <v>1.01</v>
      </c>
      <c r="J7486">
        <v>0.96</v>
      </c>
      <c r="K7486">
        <v>0.96899999999999997</v>
      </c>
      <c r="L7486">
        <v>0.2</v>
      </c>
      <c r="M7486">
        <v>0.96399999999999997</v>
      </c>
      <c r="N7486">
        <v>0.15</v>
      </c>
    </row>
    <row r="7487" spans="1:14" x14ac:dyDescent="0.25">
      <c r="A7487" t="s">
        <v>13317</v>
      </c>
      <c r="B7487" t="s">
        <v>13318</v>
      </c>
      <c r="C7487" s="1" t="str">
        <f>HYPERLINK("http://www.genecards.org/cgi-bin/carddisp.pl?gene=PRDM14","GeneCards")</f>
        <v>GeneCards</v>
      </c>
      <c r="D7487" s="1" t="str">
        <f>HYPERLINK("http://genome-euro.ucsc.edu/cgi-bin/hgTracks?position=220714_at","UCSC")</f>
        <v>UCSC</v>
      </c>
      <c r="E7487" s="1" t="str">
        <f>HYPERLINK("http://www.ncbi.nlm.nih.gov/gene/?term=PRDM14","NCBI")</f>
        <v>NCBI</v>
      </c>
      <c r="F7487">
        <v>0.11</v>
      </c>
      <c r="G7487">
        <v>0.24</v>
      </c>
      <c r="H7487" s="1" t="str">
        <f>HYPERLINK("http://www.weizmann.ac.il/complex/compphys/software/geview/data/figures/220714_at.png","Figure")</f>
        <v>Figure</v>
      </c>
      <c r="I7487">
        <v>1.29</v>
      </c>
      <c r="J7487">
        <v>0.16</v>
      </c>
      <c r="K7487">
        <v>0.99199999999999999</v>
      </c>
      <c r="L7487">
        <v>1</v>
      </c>
      <c r="M7487">
        <v>0.77</v>
      </c>
      <c r="N7487">
        <v>0.12</v>
      </c>
    </row>
    <row r="7488" spans="1:14" x14ac:dyDescent="0.25">
      <c r="A7488" t="s">
        <v>13319</v>
      </c>
      <c r="B7488" t="s">
        <v>13320</v>
      </c>
      <c r="C7488" s="1" t="str">
        <f>HYPERLINK("http://www.genecards.org/cgi-bin/carddisp.pl?gene=PRLH","GeneCards")</f>
        <v>GeneCards</v>
      </c>
      <c r="D7488" s="1" t="str">
        <f>HYPERLINK("http://genome-euro.ucsc.edu/cgi-bin/hgTracks?position=221443_x_at","UCSC")</f>
        <v>UCSC</v>
      </c>
      <c r="E7488" s="1" t="str">
        <f>HYPERLINK("http://www.ncbi.nlm.nih.gov/gene/?term=PRLH","NCBI")</f>
        <v>NCBI</v>
      </c>
      <c r="F7488">
        <v>0.11</v>
      </c>
      <c r="G7488">
        <v>0.24</v>
      </c>
      <c r="H7488" s="1" t="str">
        <f>HYPERLINK("http://www.weizmann.ac.il/complex/compphys/software/geview/data/figures/221443_x_at.png","Figure")</f>
        <v>Figure</v>
      </c>
      <c r="I7488">
        <v>1.22</v>
      </c>
      <c r="J7488">
        <v>0.13</v>
      </c>
      <c r="K7488">
        <v>1.02</v>
      </c>
      <c r="L7488">
        <v>0.98</v>
      </c>
      <c r="M7488">
        <v>0.83099999999999996</v>
      </c>
      <c r="N7488">
        <v>0.14000000000000001</v>
      </c>
    </row>
    <row r="7489" spans="1:14" x14ac:dyDescent="0.25">
      <c r="A7489" t="s">
        <v>13321</v>
      </c>
      <c r="B7489" t="s">
        <v>13322</v>
      </c>
      <c r="C7489" s="1" t="str">
        <f>HYPERLINK("http://www.genecards.org/cgi-bin/carddisp.pl?gene=HSPB8","GeneCards")</f>
        <v>GeneCards</v>
      </c>
      <c r="D7489" s="1" t="str">
        <f>HYPERLINK("http://genome-euro.ucsc.edu/cgi-bin/hgTracks?position=221667_s_at","UCSC")</f>
        <v>UCSC</v>
      </c>
      <c r="E7489" s="1" t="str">
        <f>HYPERLINK("http://www.ncbi.nlm.nih.gov/gene/?term=HSPB8","NCBI")</f>
        <v>NCBI</v>
      </c>
      <c r="F7489">
        <v>0.11</v>
      </c>
      <c r="G7489">
        <v>0.24</v>
      </c>
      <c r="H7489" s="1" t="str">
        <f>HYPERLINK("http://www.weizmann.ac.il/complex/compphys/software/geview/data/figures/221667_s_at.png","Figure")</f>
        <v>Figure</v>
      </c>
      <c r="I7489">
        <v>1.1399999999999999</v>
      </c>
      <c r="J7489">
        <v>0.21</v>
      </c>
      <c r="K7489">
        <v>0.97899999999999998</v>
      </c>
      <c r="L7489">
        <v>0.94</v>
      </c>
      <c r="M7489">
        <v>0.85899999999999999</v>
      </c>
      <c r="N7489">
        <v>0.1</v>
      </c>
    </row>
    <row r="7490" spans="1:14" x14ac:dyDescent="0.25">
      <c r="A7490" t="s">
        <v>13323</v>
      </c>
      <c r="B7490" t="s">
        <v>13324</v>
      </c>
      <c r="C7490" s="1" t="str">
        <f>HYPERLINK("http://www.genecards.org/cgi-bin/carddisp.pl?gene=GALK1","GeneCards")</f>
        <v>GeneCards</v>
      </c>
      <c r="D7490" s="1" t="str">
        <f>HYPERLINK("http://genome-euro.ucsc.edu/cgi-bin/hgTracks?position=204374_s_at","UCSC")</f>
        <v>UCSC</v>
      </c>
      <c r="E7490" s="1" t="str">
        <f>HYPERLINK("http://www.ncbi.nlm.nih.gov/gene/?term=GALK1","NCBI")</f>
        <v>NCBI</v>
      </c>
      <c r="F7490">
        <v>0.11</v>
      </c>
      <c r="G7490">
        <v>0.24</v>
      </c>
      <c r="H7490" s="1" t="str">
        <f>HYPERLINK("http://www.weizmann.ac.il/complex/compphys/software/geview/data/figures/204374_s_at.png","Figure")</f>
        <v>Figure</v>
      </c>
      <c r="I7490">
        <v>1.1499999999999999</v>
      </c>
      <c r="J7490">
        <v>0.09</v>
      </c>
      <c r="K7490">
        <v>1.07</v>
      </c>
      <c r="L7490">
        <v>0.4</v>
      </c>
      <c r="M7490">
        <v>0.93400000000000005</v>
      </c>
      <c r="N7490">
        <v>0.46</v>
      </c>
    </row>
    <row r="7491" spans="1:14" x14ac:dyDescent="0.25">
      <c r="A7491" t="s">
        <v>13325</v>
      </c>
      <c r="B7491" t="s">
        <v>10886</v>
      </c>
      <c r="C7491" s="1" t="str">
        <f>HYPERLINK("http://www.genecards.org/cgi-bin/carddisp.pl?gene=BAT2D1","GeneCards")</f>
        <v>GeneCards</v>
      </c>
      <c r="D7491" s="1" t="str">
        <f>HYPERLINK("http://genome-euro.ucsc.edu/cgi-bin/hgTracks?position=211948_x_at","UCSC")</f>
        <v>UCSC</v>
      </c>
      <c r="E7491" s="1" t="str">
        <f>HYPERLINK("http://www.ncbi.nlm.nih.gov/gene/?term=BAT2D1","NCBI")</f>
        <v>NCBI</v>
      </c>
      <c r="F7491">
        <v>0.11</v>
      </c>
      <c r="G7491">
        <v>0.24</v>
      </c>
      <c r="H7491" s="1" t="str">
        <f>HYPERLINK("http://www.weizmann.ac.il/complex/compphys/software/geview/data/figures/211948_x_at.png","Figure")</f>
        <v>Figure</v>
      </c>
      <c r="I7491">
        <v>1.4</v>
      </c>
      <c r="J7491">
        <v>0.19</v>
      </c>
      <c r="K7491">
        <v>0.96199999999999997</v>
      </c>
      <c r="L7491">
        <v>0.97</v>
      </c>
      <c r="M7491">
        <v>0.68700000000000006</v>
      </c>
      <c r="N7491">
        <v>0.1</v>
      </c>
    </row>
    <row r="7492" spans="1:14" x14ac:dyDescent="0.25">
      <c r="A7492" t="s">
        <v>13326</v>
      </c>
      <c r="B7492" t="s">
        <v>6690</v>
      </c>
      <c r="C7492" s="1" t="str">
        <f>HYPERLINK("http://www.genecards.org/cgi-bin/carddisp.pl?gene=NFE2L1","GeneCards")</f>
        <v>GeneCards</v>
      </c>
      <c r="D7492" s="1" t="str">
        <f>HYPERLINK("http://genome-euro.ucsc.edu/cgi-bin/hgTracks?position=200758_s_at","UCSC")</f>
        <v>UCSC</v>
      </c>
      <c r="E7492" s="1" t="str">
        <f>HYPERLINK("http://www.ncbi.nlm.nih.gov/gene/?term=NFE2L1","NCBI")</f>
        <v>NCBI</v>
      </c>
      <c r="F7492">
        <v>0.11</v>
      </c>
      <c r="G7492">
        <v>0.24</v>
      </c>
      <c r="H7492" s="1" t="str">
        <f>HYPERLINK("http://www.weizmann.ac.il/complex/compphys/software/geview/data/figures/200758_s_at.png","Figure")</f>
        <v>Figure</v>
      </c>
      <c r="I7492">
        <v>1.07</v>
      </c>
      <c r="J7492">
        <v>0.71</v>
      </c>
      <c r="K7492">
        <v>0.90400000000000003</v>
      </c>
      <c r="L7492">
        <v>0.34</v>
      </c>
      <c r="M7492">
        <v>0.84799999999999998</v>
      </c>
      <c r="N7492">
        <v>0.1</v>
      </c>
    </row>
    <row r="7493" spans="1:14" x14ac:dyDescent="0.25">
      <c r="A7493" t="s">
        <v>13327</v>
      </c>
      <c r="B7493" t="s">
        <v>13328</v>
      </c>
      <c r="C7493" s="1" t="str">
        <f>HYPERLINK("http://www.genecards.org/cgi-bin/carddisp.pl?gene=URM1","GeneCards")</f>
        <v>GeneCards</v>
      </c>
      <c r="D7493" s="1" t="str">
        <f>HYPERLINK("http://genome-euro.ucsc.edu/cgi-bin/hgTracks?position=208101_s_at","UCSC")</f>
        <v>UCSC</v>
      </c>
      <c r="E7493" s="1" t="str">
        <f>HYPERLINK("http://www.ncbi.nlm.nih.gov/gene/?term=URM1","NCBI")</f>
        <v>NCBI</v>
      </c>
      <c r="F7493">
        <v>0.11</v>
      </c>
      <c r="G7493">
        <v>0.24</v>
      </c>
      <c r="H7493" s="1" t="str">
        <f>HYPERLINK("http://www.weizmann.ac.il/complex/compphys/software/geview/data/figures/208101_s_at.png","Figure")</f>
        <v>Figure</v>
      </c>
      <c r="I7493">
        <v>1.25</v>
      </c>
      <c r="J7493">
        <v>9.9000000000000005E-2</v>
      </c>
      <c r="K7493">
        <v>1.06</v>
      </c>
      <c r="L7493">
        <v>0.78</v>
      </c>
      <c r="M7493">
        <v>0.84699999999999998</v>
      </c>
      <c r="N7493">
        <v>0.22</v>
      </c>
    </row>
    <row r="7494" spans="1:14" x14ac:dyDescent="0.25">
      <c r="A7494" t="s">
        <v>13329</v>
      </c>
      <c r="B7494" t="s">
        <v>13330</v>
      </c>
      <c r="C7494" s="1" t="str">
        <f>HYPERLINK("http://www.genecards.org/cgi-bin/carddisp.pl?gene=GJC1","GeneCards")</f>
        <v>GeneCards</v>
      </c>
      <c r="D7494" s="1" t="str">
        <f>HYPERLINK("http://genome-euro.ucsc.edu/cgi-bin/hgTracks?position=208460_at","UCSC")</f>
        <v>UCSC</v>
      </c>
      <c r="E7494" s="1" t="str">
        <f>HYPERLINK("http://www.ncbi.nlm.nih.gov/gene/?term=GJC1","NCBI")</f>
        <v>NCBI</v>
      </c>
      <c r="F7494">
        <v>0.11</v>
      </c>
      <c r="G7494">
        <v>0.24</v>
      </c>
      <c r="H7494" s="1" t="str">
        <f>HYPERLINK("http://www.weizmann.ac.il/complex/compphys/software/geview/data/figures/208460_at.png","Figure")</f>
        <v>Figure</v>
      </c>
      <c r="I7494">
        <v>1.22</v>
      </c>
      <c r="J7494">
        <v>9.0999999999999998E-2</v>
      </c>
      <c r="K7494">
        <v>1.07</v>
      </c>
      <c r="L7494">
        <v>0.62</v>
      </c>
      <c r="M7494">
        <v>0.88200000000000001</v>
      </c>
      <c r="N7494">
        <v>0.28999999999999998</v>
      </c>
    </row>
    <row r="7495" spans="1:14" x14ac:dyDescent="0.25">
      <c r="A7495" t="s">
        <v>13331</v>
      </c>
      <c r="B7495" t="s">
        <v>12872</v>
      </c>
      <c r="C7495" s="1" t="str">
        <f>HYPERLINK("http://www.genecards.org/cgi-bin/carddisp.pl?gene=PARD3","GeneCards")</f>
        <v>GeneCards</v>
      </c>
      <c r="D7495" s="1" t="str">
        <f>HYPERLINK("http://genome-euro.ucsc.edu/cgi-bin/hgTracks?position=221526_x_at","UCSC")</f>
        <v>UCSC</v>
      </c>
      <c r="E7495" s="1" t="str">
        <f>HYPERLINK("http://www.ncbi.nlm.nih.gov/gene/?term=PARD3","NCBI")</f>
        <v>NCBI</v>
      </c>
      <c r="F7495">
        <v>0.11</v>
      </c>
      <c r="G7495">
        <v>0.24</v>
      </c>
      <c r="H7495" s="1" t="str">
        <f>HYPERLINK("http://www.weizmann.ac.il/complex/compphys/software/geview/data/figures/221526_x_at.png","Figure")</f>
        <v>Figure</v>
      </c>
      <c r="I7495">
        <v>1.32</v>
      </c>
      <c r="J7495">
        <v>0.1</v>
      </c>
      <c r="K7495">
        <v>1.19</v>
      </c>
      <c r="L7495">
        <v>0.27</v>
      </c>
      <c r="M7495">
        <v>0.90300000000000002</v>
      </c>
      <c r="N7495">
        <v>0.66</v>
      </c>
    </row>
    <row r="7496" spans="1:14" x14ac:dyDescent="0.25">
      <c r="A7496" t="s">
        <v>13332</v>
      </c>
      <c r="B7496" t="s">
        <v>12323</v>
      </c>
      <c r="C7496" s="1" t="str">
        <f>HYPERLINK("http://www.genecards.org/cgi-bin/carddisp.pl?gene=MAP3K7","GeneCards")</f>
        <v>GeneCards</v>
      </c>
      <c r="D7496" s="1" t="str">
        <f>HYPERLINK("http://genome-euro.ucsc.edu/cgi-bin/hgTracks?position=211537_x_at","UCSC")</f>
        <v>UCSC</v>
      </c>
      <c r="E7496" s="1" t="str">
        <f>HYPERLINK("http://www.ncbi.nlm.nih.gov/gene/?term=MAP3K7","NCBI")</f>
        <v>NCBI</v>
      </c>
      <c r="F7496">
        <v>0.11</v>
      </c>
      <c r="G7496">
        <v>0.24</v>
      </c>
      <c r="H7496" s="1" t="str">
        <f>HYPERLINK("http://www.weizmann.ac.il/complex/compphys/software/geview/data/figures/211537_x_at.png","Figure")</f>
        <v>Figure</v>
      </c>
      <c r="I7496">
        <v>0.71399999999999997</v>
      </c>
      <c r="J7496">
        <v>0.15</v>
      </c>
      <c r="K7496">
        <v>0.999</v>
      </c>
      <c r="L7496">
        <v>1</v>
      </c>
      <c r="M7496">
        <v>1.4</v>
      </c>
      <c r="N7496">
        <v>0.12</v>
      </c>
    </row>
    <row r="7497" spans="1:14" x14ac:dyDescent="0.25">
      <c r="A7497" t="s">
        <v>13333</v>
      </c>
      <c r="B7497" t="s">
        <v>13334</v>
      </c>
      <c r="C7497" s="1" t="str">
        <f>HYPERLINK("http://www.genecards.org/cgi-bin/carddisp.pl?gene=BPTF","GeneCards")</f>
        <v>GeneCards</v>
      </c>
      <c r="D7497" s="1" t="str">
        <f>HYPERLINK("http://genome-euro.ucsc.edu/cgi-bin/hgTracks?position=207186_s_at","UCSC")</f>
        <v>UCSC</v>
      </c>
      <c r="E7497" s="1" t="str">
        <f>HYPERLINK("http://www.ncbi.nlm.nih.gov/gene/?term=BPTF","NCBI")</f>
        <v>NCBI</v>
      </c>
      <c r="F7497">
        <v>0.11</v>
      </c>
      <c r="G7497">
        <v>0.24</v>
      </c>
      <c r="H7497" s="1" t="str">
        <f>HYPERLINK("http://www.weizmann.ac.il/complex/compphys/software/geview/data/figures/207186_s_at.png","Figure")</f>
        <v>Figure</v>
      </c>
      <c r="I7497">
        <v>1.1000000000000001</v>
      </c>
      <c r="J7497">
        <v>0.86</v>
      </c>
      <c r="K7497">
        <v>1.4</v>
      </c>
      <c r="L7497">
        <v>0.11</v>
      </c>
      <c r="M7497">
        <v>1.28</v>
      </c>
      <c r="N7497">
        <v>0.32</v>
      </c>
    </row>
    <row r="7498" spans="1:14" x14ac:dyDescent="0.25">
      <c r="A7498" t="s">
        <v>13335</v>
      </c>
      <c r="B7498" t="s">
        <v>13336</v>
      </c>
      <c r="C7498" s="1" t="str">
        <f>HYPERLINK("http://www.genecards.org/cgi-bin/carddisp.pl?gene=RGL2","GeneCards")</f>
        <v>GeneCards</v>
      </c>
      <c r="D7498" s="1" t="str">
        <f>HYPERLINK("http://genome-euro.ucsc.edu/cgi-bin/hgTracks?position=209110_s_at","UCSC")</f>
        <v>UCSC</v>
      </c>
      <c r="E7498" s="1" t="str">
        <f>HYPERLINK("http://www.ncbi.nlm.nih.gov/gene/?term=RGL2","NCBI")</f>
        <v>NCBI</v>
      </c>
      <c r="F7498">
        <v>0.11</v>
      </c>
      <c r="G7498">
        <v>0.24</v>
      </c>
      <c r="H7498" s="1" t="str">
        <f>HYPERLINK("http://www.weizmann.ac.il/complex/compphys/software/geview/data/figures/209110_s_at.png","Figure")</f>
        <v>Figure</v>
      </c>
      <c r="I7498">
        <v>0.85399999999999998</v>
      </c>
      <c r="J7498">
        <v>0.79</v>
      </c>
      <c r="K7498">
        <v>1.38</v>
      </c>
      <c r="L7498">
        <v>0.28999999999999998</v>
      </c>
      <c r="M7498">
        <v>1.62</v>
      </c>
      <c r="N7498">
        <v>0.11</v>
      </c>
    </row>
    <row r="7499" spans="1:14" x14ac:dyDescent="0.25">
      <c r="A7499" t="s">
        <v>13337</v>
      </c>
      <c r="B7499" t="s">
        <v>13338</v>
      </c>
      <c r="C7499" s="1" t="str">
        <f>HYPERLINK("http://www.genecards.org/cgi-bin/carddisp.pl?gene=NCAM1","GeneCards")</f>
        <v>GeneCards</v>
      </c>
      <c r="D7499" s="1" t="str">
        <f>HYPERLINK("http://genome-euro.ucsc.edu/cgi-bin/hgTracks?position=214952_at","UCSC")</f>
        <v>UCSC</v>
      </c>
      <c r="E7499" s="1" t="str">
        <f>HYPERLINK("http://www.ncbi.nlm.nih.gov/gene/?term=NCAM1","NCBI")</f>
        <v>NCBI</v>
      </c>
      <c r="F7499">
        <v>0.11</v>
      </c>
      <c r="G7499">
        <v>0.24</v>
      </c>
      <c r="H7499" s="1" t="str">
        <f>HYPERLINK("http://www.weizmann.ac.il/complex/compphys/software/geview/data/figures/214952_at.png","Figure")</f>
        <v>Figure</v>
      </c>
      <c r="I7499">
        <v>1.1499999999999999</v>
      </c>
      <c r="J7499">
        <v>9.2999999999999999E-2</v>
      </c>
      <c r="K7499">
        <v>1.05</v>
      </c>
      <c r="L7499">
        <v>0.68</v>
      </c>
      <c r="M7499">
        <v>0.90900000000000003</v>
      </c>
      <c r="N7499">
        <v>0.26</v>
      </c>
    </row>
    <row r="7500" spans="1:14" x14ac:dyDescent="0.25">
      <c r="A7500" t="s">
        <v>13339</v>
      </c>
      <c r="B7500" t="s">
        <v>4968</v>
      </c>
      <c r="C7500" s="1" t="str">
        <f>HYPERLINK("http://www.genecards.org/cgi-bin/carddisp.pl?gene=FLJ10357","GeneCards")</f>
        <v>GeneCards</v>
      </c>
      <c r="D7500" s="1" t="str">
        <f>HYPERLINK("http://genome-euro.ucsc.edu/cgi-bin/hgTracks?position=58780_s_at","UCSC")</f>
        <v>UCSC</v>
      </c>
      <c r="E7500" s="1" t="str">
        <f>HYPERLINK("http://www.ncbi.nlm.nih.gov/gene/?term=FLJ10357","NCBI")</f>
        <v>NCBI</v>
      </c>
      <c r="F7500">
        <v>0.11</v>
      </c>
      <c r="G7500">
        <v>0.24</v>
      </c>
      <c r="H7500" s="1" t="str">
        <f>HYPERLINK("http://www.weizmann.ac.il/complex/compphys/software/geview/data/figures/58780_s_at.png","Figure")</f>
        <v>Figure</v>
      </c>
      <c r="I7500">
        <v>1.31</v>
      </c>
      <c r="J7500">
        <v>0.11</v>
      </c>
      <c r="K7500">
        <v>1.2</v>
      </c>
      <c r="L7500">
        <v>0.23</v>
      </c>
      <c r="M7500">
        <v>0.91700000000000004</v>
      </c>
      <c r="N7500">
        <v>0.74</v>
      </c>
    </row>
    <row r="7501" spans="1:14" x14ac:dyDescent="0.25">
      <c r="A7501" t="s">
        <v>13340</v>
      </c>
      <c r="B7501" t="s">
        <v>13061</v>
      </c>
      <c r="C7501" s="1" t="str">
        <f>HYPERLINK("http://www.genecards.org/cgi-bin/carddisp.pl?gene=TUBB","GeneCards")</f>
        <v>GeneCards</v>
      </c>
      <c r="D7501" s="1" t="str">
        <f>HYPERLINK("http://genome-euro.ucsc.edu/cgi-bin/hgTracks?position=211714_x_at","UCSC")</f>
        <v>UCSC</v>
      </c>
      <c r="E7501" s="1" t="str">
        <f>HYPERLINK("http://www.ncbi.nlm.nih.gov/gene/?term=TUBB","NCBI")</f>
        <v>NCBI</v>
      </c>
      <c r="F7501">
        <v>0.11</v>
      </c>
      <c r="G7501">
        <v>0.24</v>
      </c>
      <c r="H7501" s="1" t="str">
        <f>HYPERLINK("http://www.weizmann.ac.il/complex/compphys/software/geview/data/figures/211714_x_at.png","Figure")</f>
        <v>Figure</v>
      </c>
      <c r="I7501">
        <v>1.55</v>
      </c>
      <c r="J7501">
        <v>0.42</v>
      </c>
      <c r="K7501">
        <v>1.98</v>
      </c>
      <c r="L7501">
        <v>8.8999999999999996E-2</v>
      </c>
      <c r="M7501">
        <v>1.28</v>
      </c>
      <c r="N7501">
        <v>0.72</v>
      </c>
    </row>
    <row r="7502" spans="1:14" x14ac:dyDescent="0.25">
      <c r="A7502" t="s">
        <v>13341</v>
      </c>
      <c r="B7502" t="s">
        <v>13342</v>
      </c>
      <c r="C7502" s="1" t="str">
        <f>HYPERLINK("http://www.genecards.org/cgi-bin/carddisp.pl?gene=STC2","GeneCards")</f>
        <v>GeneCards</v>
      </c>
      <c r="D7502" s="1" t="str">
        <f>HYPERLINK("http://genome-euro.ucsc.edu/cgi-bin/hgTracks?position=203439_s_at","UCSC")</f>
        <v>UCSC</v>
      </c>
      <c r="E7502" s="1" t="str">
        <f>HYPERLINK("http://www.ncbi.nlm.nih.gov/gene/?term=STC2","NCBI")</f>
        <v>NCBI</v>
      </c>
      <c r="F7502">
        <v>0.11</v>
      </c>
      <c r="G7502">
        <v>0.24</v>
      </c>
      <c r="H7502" s="1" t="str">
        <f>HYPERLINK("http://www.weizmann.ac.il/complex/compphys/software/geview/data/figures/203439_s_at.png","Figure")</f>
        <v>Figure</v>
      </c>
      <c r="I7502">
        <v>1.21</v>
      </c>
      <c r="J7502">
        <v>0.1</v>
      </c>
      <c r="K7502">
        <v>1.05</v>
      </c>
      <c r="L7502">
        <v>0.81</v>
      </c>
      <c r="M7502">
        <v>0.86399999999999999</v>
      </c>
      <c r="N7502">
        <v>0.2</v>
      </c>
    </row>
    <row r="7503" spans="1:14" x14ac:dyDescent="0.25">
      <c r="A7503" t="s">
        <v>13343</v>
      </c>
      <c r="B7503" t="s">
        <v>13344</v>
      </c>
      <c r="C7503" s="1" t="str">
        <f>HYPERLINK("http://www.genecards.org/cgi-bin/carddisp.pl?gene=P2RX2","GeneCards")</f>
        <v>GeneCards</v>
      </c>
      <c r="D7503" s="1" t="str">
        <f>HYPERLINK("http://genome-euro.ucsc.edu/cgi-bin/hgTracks?position=221356_x_at","UCSC")</f>
        <v>UCSC</v>
      </c>
      <c r="E7503" s="1" t="str">
        <f>HYPERLINK("http://www.ncbi.nlm.nih.gov/gene/?term=P2RX2","NCBI")</f>
        <v>NCBI</v>
      </c>
      <c r="F7503">
        <v>0.11</v>
      </c>
      <c r="G7503">
        <v>0.24</v>
      </c>
      <c r="H7503" s="1" t="str">
        <f>HYPERLINK("http://www.weizmann.ac.il/complex/compphys/software/geview/data/figures/221356_x_at.png","Figure")</f>
        <v>Figure</v>
      </c>
      <c r="I7503">
        <v>1.1299999999999999</v>
      </c>
      <c r="J7503">
        <v>9.1999999999999998E-2</v>
      </c>
      <c r="K7503">
        <v>1.04</v>
      </c>
      <c r="L7503">
        <v>0.66</v>
      </c>
      <c r="M7503">
        <v>0.92</v>
      </c>
      <c r="N7503">
        <v>0.27</v>
      </c>
    </row>
    <row r="7504" spans="1:14" x14ac:dyDescent="0.25">
      <c r="A7504" t="s">
        <v>13345</v>
      </c>
      <c r="B7504" t="s">
        <v>6192</v>
      </c>
      <c r="C7504" s="1" t="str">
        <f>HYPERLINK("http://www.genecards.org/cgi-bin/carddisp.pl?gene=CFDP1","GeneCards")</f>
        <v>GeneCards</v>
      </c>
      <c r="D7504" s="1" t="str">
        <f>HYPERLINK("http://genome-euro.ucsc.edu/cgi-bin/hgTracks?position=210701_at","UCSC")</f>
        <v>UCSC</v>
      </c>
      <c r="E7504" s="1" t="str">
        <f>HYPERLINK("http://www.ncbi.nlm.nih.gov/gene/?term=CFDP1","NCBI")</f>
        <v>NCBI</v>
      </c>
      <c r="F7504">
        <v>0.11</v>
      </c>
      <c r="G7504">
        <v>0.24</v>
      </c>
      <c r="H7504" s="1" t="str">
        <f>HYPERLINK("http://www.weizmann.ac.il/complex/compphys/software/geview/data/figures/210701_at.png","Figure")</f>
        <v>Figure</v>
      </c>
      <c r="I7504">
        <v>1.1499999999999999</v>
      </c>
      <c r="J7504">
        <v>0.86</v>
      </c>
      <c r="K7504">
        <v>0.67700000000000005</v>
      </c>
      <c r="L7504">
        <v>0.25</v>
      </c>
      <c r="M7504">
        <v>0.58699999999999997</v>
      </c>
      <c r="N7504">
        <v>0.12</v>
      </c>
    </row>
    <row r="7505" spans="1:14" x14ac:dyDescent="0.25">
      <c r="A7505" t="s">
        <v>13346</v>
      </c>
      <c r="B7505" t="s">
        <v>13347</v>
      </c>
      <c r="C7505" s="1" t="str">
        <f>HYPERLINK("http://www.genecards.org/cgi-bin/carddisp.pl?gene=HTR6","GeneCards")</f>
        <v>GeneCards</v>
      </c>
      <c r="D7505" s="1" t="str">
        <f>HYPERLINK("http://genome-euro.ucsc.edu/cgi-bin/hgTracks?position=206944_at","UCSC")</f>
        <v>UCSC</v>
      </c>
      <c r="E7505" s="1" t="str">
        <f>HYPERLINK("http://www.ncbi.nlm.nih.gov/gene/?term=HTR6","NCBI")</f>
        <v>NCBI</v>
      </c>
      <c r="F7505">
        <v>0.11</v>
      </c>
      <c r="G7505">
        <v>0.24</v>
      </c>
      <c r="H7505" s="1" t="str">
        <f>HYPERLINK("http://www.weizmann.ac.il/complex/compphys/software/geview/data/figures/206944_at.png","Figure")</f>
        <v>Figure</v>
      </c>
      <c r="I7505">
        <v>1.2</v>
      </c>
      <c r="J7505">
        <v>0.12</v>
      </c>
      <c r="K7505">
        <v>1.03</v>
      </c>
      <c r="L7505">
        <v>0.93</v>
      </c>
      <c r="M7505">
        <v>0.85599999999999998</v>
      </c>
      <c r="N7505">
        <v>0.16</v>
      </c>
    </row>
    <row r="7506" spans="1:14" x14ac:dyDescent="0.25">
      <c r="A7506" t="s">
        <v>13348</v>
      </c>
      <c r="B7506" t="s">
        <v>13349</v>
      </c>
      <c r="C7506" s="1" t="str">
        <f>HYPERLINK("http://www.genecards.org/cgi-bin/carddisp.pl?gene=INVS","GeneCards")</f>
        <v>GeneCards</v>
      </c>
      <c r="D7506" s="1" t="str">
        <f>HYPERLINK("http://genome-euro.ucsc.edu/cgi-bin/hgTracks?position=210114_at","UCSC")</f>
        <v>UCSC</v>
      </c>
      <c r="E7506" s="1" t="str">
        <f>HYPERLINK("http://www.ncbi.nlm.nih.gov/gene/?term=INVS","NCBI")</f>
        <v>NCBI</v>
      </c>
      <c r="F7506">
        <v>0.11</v>
      </c>
      <c r="G7506">
        <v>0.24</v>
      </c>
      <c r="H7506" s="1" t="str">
        <f>HYPERLINK("http://www.weizmann.ac.il/complex/compphys/software/geview/data/figures/210114_at.png","Figure")</f>
        <v>Figure</v>
      </c>
      <c r="I7506">
        <v>0.89100000000000001</v>
      </c>
      <c r="J7506">
        <v>0.11</v>
      </c>
      <c r="K7506">
        <v>0.92400000000000004</v>
      </c>
      <c r="L7506">
        <v>0.23</v>
      </c>
      <c r="M7506">
        <v>1.04</v>
      </c>
      <c r="N7506">
        <v>0.74</v>
      </c>
    </row>
    <row r="7507" spans="1:14" x14ac:dyDescent="0.25">
      <c r="A7507" t="s">
        <v>13350</v>
      </c>
      <c r="B7507" t="s">
        <v>13351</v>
      </c>
      <c r="C7507" s="1" t="str">
        <f>HYPERLINK("http://www.genecards.org/cgi-bin/carddisp.pl?gene=IGH@ /// IGHA1 /// IGHG1 /// IGHM /// LOC100290528 /// LOC100292483","GeneCards")</f>
        <v>GeneCards</v>
      </c>
      <c r="D7507" s="1" t="str">
        <f>HYPERLINK("http://genome-euro.ucsc.edu/cgi-bin/hgTracks?position=211649_x_at","UCSC")</f>
        <v>UCSC</v>
      </c>
      <c r="E7507" s="1" t="str">
        <f>HYPERLINK("http://www.ncbi.nlm.nih.gov/gene/?term=IGH@ /// IGHA1 /// IGHG1 /// IGHM /// LOC100290528 /// LOC100292483","NCBI")</f>
        <v>NCBI</v>
      </c>
      <c r="F7507">
        <v>0.11</v>
      </c>
      <c r="G7507">
        <v>0.24</v>
      </c>
      <c r="H7507" s="1" t="str">
        <f>HYPERLINK("http://www.weizmann.ac.il/complex/compphys/software/geview/data/figures/211649_x_at.png","Figure")</f>
        <v>Figure</v>
      </c>
      <c r="I7507">
        <v>1.1299999999999999</v>
      </c>
      <c r="J7507">
        <v>0.27</v>
      </c>
      <c r="K7507">
        <v>1.1599999999999999</v>
      </c>
      <c r="L7507">
        <v>0.1</v>
      </c>
      <c r="M7507">
        <v>1.03</v>
      </c>
      <c r="N7507">
        <v>0.93</v>
      </c>
    </row>
    <row r="7508" spans="1:14" x14ac:dyDescent="0.25">
      <c r="A7508" t="s">
        <v>13352</v>
      </c>
      <c r="B7508" t="s">
        <v>13353</v>
      </c>
      <c r="C7508" s="1" t="str">
        <f>HYPERLINK("http://www.genecards.org/cgi-bin/carddisp.pl?gene=ACAP2","GeneCards")</f>
        <v>GeneCards</v>
      </c>
      <c r="D7508" s="1" t="str">
        <f>HYPERLINK("http://genome-euro.ucsc.edu/cgi-bin/hgTracks?position=212476_at","UCSC")</f>
        <v>UCSC</v>
      </c>
      <c r="E7508" s="1" t="str">
        <f>HYPERLINK("http://www.ncbi.nlm.nih.gov/gene/?term=ACAP2","NCBI")</f>
        <v>NCBI</v>
      </c>
      <c r="F7508">
        <v>0.11</v>
      </c>
      <c r="G7508">
        <v>0.24</v>
      </c>
      <c r="H7508" s="1" t="str">
        <f>HYPERLINK("http://www.weizmann.ac.il/complex/compphys/software/geview/data/figures/212476_at.png","Figure")</f>
        <v>Figure</v>
      </c>
      <c r="I7508">
        <v>0.60499999999999998</v>
      </c>
      <c r="J7508">
        <v>0.1</v>
      </c>
      <c r="K7508">
        <v>0.72199999999999998</v>
      </c>
      <c r="L7508">
        <v>0.26</v>
      </c>
      <c r="M7508">
        <v>1.19</v>
      </c>
      <c r="N7508">
        <v>0.68</v>
      </c>
    </row>
    <row r="7509" spans="1:14" x14ac:dyDescent="0.25">
      <c r="A7509" t="s">
        <v>13354</v>
      </c>
      <c r="B7509" t="s">
        <v>10670</v>
      </c>
      <c r="C7509" s="1" t="str">
        <f>HYPERLINK("http://www.genecards.org/cgi-bin/carddisp.pl?gene=LOC100293124 /// PNPLA2","GeneCards")</f>
        <v>GeneCards</v>
      </c>
      <c r="D7509" s="1" t="str">
        <f>HYPERLINK("http://genome-euro.ucsc.edu/cgi-bin/hgTracks?position=212705_x_at","UCSC")</f>
        <v>UCSC</v>
      </c>
      <c r="E7509" s="1" t="str">
        <f>HYPERLINK("http://www.ncbi.nlm.nih.gov/gene/?term=LOC100293124 /// PNPLA2","NCBI")</f>
        <v>NCBI</v>
      </c>
      <c r="F7509">
        <v>0.11</v>
      </c>
      <c r="G7509">
        <v>0.24</v>
      </c>
      <c r="H7509" s="1" t="str">
        <f>HYPERLINK("http://www.weizmann.ac.il/complex/compphys/software/geview/data/figures/212705_x_at.png","Figure")</f>
        <v>Figure</v>
      </c>
      <c r="I7509">
        <v>1.42</v>
      </c>
      <c r="J7509">
        <v>8.8999999999999996E-2</v>
      </c>
      <c r="K7509">
        <v>1.19</v>
      </c>
      <c r="L7509">
        <v>0.42</v>
      </c>
      <c r="M7509">
        <v>0.83699999999999997</v>
      </c>
      <c r="N7509">
        <v>0.44</v>
      </c>
    </row>
    <row r="7510" spans="1:14" x14ac:dyDescent="0.25">
      <c r="A7510" t="s">
        <v>13355</v>
      </c>
      <c r="B7510" t="s">
        <v>13356</v>
      </c>
      <c r="C7510" s="1" t="str">
        <f>HYPERLINK("http://www.genecards.org/cgi-bin/carddisp.pl?gene=GPR116","GeneCards")</f>
        <v>GeneCards</v>
      </c>
      <c r="D7510" s="1" t="str">
        <f>HYPERLINK("http://genome-euro.ucsc.edu/cgi-bin/hgTracks?position=212951_at","UCSC")</f>
        <v>UCSC</v>
      </c>
      <c r="E7510" s="1" t="str">
        <f>HYPERLINK("http://www.ncbi.nlm.nih.gov/gene/?term=GPR116","NCBI")</f>
        <v>NCBI</v>
      </c>
      <c r="F7510">
        <v>0.11</v>
      </c>
      <c r="G7510">
        <v>0.24</v>
      </c>
      <c r="H7510" s="1" t="str">
        <f>HYPERLINK("http://www.weizmann.ac.il/complex/compphys/software/geview/data/figures/212951_at.png","Figure")</f>
        <v>Figure</v>
      </c>
      <c r="I7510">
        <v>1.23</v>
      </c>
      <c r="J7510">
        <v>8.8999999999999996E-2</v>
      </c>
      <c r="K7510">
        <v>1.0900000000000001</v>
      </c>
      <c r="L7510">
        <v>0.51</v>
      </c>
      <c r="M7510">
        <v>0.88800000000000001</v>
      </c>
      <c r="N7510">
        <v>0.36</v>
      </c>
    </row>
    <row r="7511" spans="1:14" x14ac:dyDescent="0.25">
      <c r="A7511" t="s">
        <v>13357</v>
      </c>
      <c r="B7511" t="s">
        <v>11394</v>
      </c>
      <c r="C7511" s="1" t="str">
        <f>HYPERLINK("http://www.genecards.org/cgi-bin/carddisp.pl?gene=RNASEH2B","GeneCards")</f>
        <v>GeneCards</v>
      </c>
      <c r="D7511" s="1" t="str">
        <f>HYPERLINK("http://genome-euro.ucsc.edu/cgi-bin/hgTracks?position=215040_at","UCSC")</f>
        <v>UCSC</v>
      </c>
      <c r="E7511" s="1" t="str">
        <f>HYPERLINK("http://www.ncbi.nlm.nih.gov/gene/?term=RNASEH2B","NCBI")</f>
        <v>NCBI</v>
      </c>
      <c r="F7511">
        <v>0.11</v>
      </c>
      <c r="G7511">
        <v>0.24</v>
      </c>
      <c r="H7511" s="1" t="str">
        <f>HYPERLINK("http://www.weizmann.ac.il/complex/compphys/software/geview/data/figures/215040_at.png","Figure")</f>
        <v>Figure</v>
      </c>
      <c r="I7511">
        <v>1.47</v>
      </c>
      <c r="J7511">
        <v>0.24</v>
      </c>
      <c r="K7511">
        <v>1.55</v>
      </c>
      <c r="L7511">
        <v>0.1</v>
      </c>
      <c r="M7511">
        <v>1.06</v>
      </c>
      <c r="N7511">
        <v>0.96</v>
      </c>
    </row>
    <row r="7512" spans="1:14" x14ac:dyDescent="0.25">
      <c r="A7512" t="s">
        <v>13358</v>
      </c>
      <c r="B7512" t="s">
        <v>13359</v>
      </c>
      <c r="C7512" s="1" t="str">
        <f>HYPERLINK("http://www.genecards.org/cgi-bin/carddisp.pl?gene=PIK3R2","GeneCards")</f>
        <v>GeneCards</v>
      </c>
      <c r="D7512" s="1" t="str">
        <f>HYPERLINK("http://genome-euro.ucsc.edu/cgi-bin/hgTracks?position=207105_s_at","UCSC")</f>
        <v>UCSC</v>
      </c>
      <c r="E7512" s="1" t="str">
        <f>HYPERLINK("http://www.ncbi.nlm.nih.gov/gene/?term=PIK3R2","NCBI")</f>
        <v>NCBI</v>
      </c>
      <c r="F7512">
        <v>0.11</v>
      </c>
      <c r="G7512">
        <v>0.24</v>
      </c>
      <c r="H7512" s="1" t="str">
        <f>HYPERLINK("http://www.weizmann.ac.il/complex/compphys/software/geview/data/figures/207105_s_at.png","Figure")</f>
        <v>Figure</v>
      </c>
      <c r="I7512">
        <v>1.19</v>
      </c>
      <c r="J7512">
        <v>8.8999999999999996E-2</v>
      </c>
      <c r="K7512">
        <v>1.08</v>
      </c>
      <c r="L7512">
        <v>0.52</v>
      </c>
      <c r="M7512">
        <v>0.90500000000000003</v>
      </c>
      <c r="N7512">
        <v>0.35</v>
      </c>
    </row>
    <row r="7513" spans="1:14" x14ac:dyDescent="0.25">
      <c r="A7513" t="s">
        <v>13360</v>
      </c>
      <c r="B7513" t="s">
        <v>13361</v>
      </c>
      <c r="C7513" s="1" t="str">
        <f>HYPERLINK("http://www.genecards.org/cgi-bin/carddisp.pl?gene=THSD1 /// THSD1P","GeneCards")</f>
        <v>GeneCards</v>
      </c>
      <c r="D7513" s="1" t="str">
        <f>HYPERLINK("http://genome-euro.ucsc.edu/cgi-bin/hgTracks?position=219477_s_at","UCSC")</f>
        <v>UCSC</v>
      </c>
      <c r="E7513" s="1" t="str">
        <f>HYPERLINK("http://www.ncbi.nlm.nih.gov/gene/?term=THSD1 /// THSD1P","NCBI")</f>
        <v>NCBI</v>
      </c>
      <c r="F7513">
        <v>0.11</v>
      </c>
      <c r="G7513">
        <v>0.24</v>
      </c>
      <c r="H7513" s="1" t="str">
        <f>HYPERLINK("http://www.weizmann.ac.il/complex/compphys/software/geview/data/figures/219477_s_at.png","Figure")</f>
        <v>Figure</v>
      </c>
      <c r="I7513">
        <v>0.88300000000000001</v>
      </c>
      <c r="J7513">
        <v>0.84</v>
      </c>
      <c r="K7513">
        <v>0.65400000000000003</v>
      </c>
      <c r="L7513">
        <v>0.1</v>
      </c>
      <c r="M7513">
        <v>0.74099999999999999</v>
      </c>
      <c r="N7513">
        <v>0.34</v>
      </c>
    </row>
    <row r="7514" spans="1:14" x14ac:dyDescent="0.25">
      <c r="A7514" t="s">
        <v>13362</v>
      </c>
      <c r="B7514" t="s">
        <v>11555</v>
      </c>
      <c r="C7514" s="1" t="str">
        <f>HYPERLINK("http://www.genecards.org/cgi-bin/carddisp.pl?gene=BGN","GeneCards")</f>
        <v>GeneCards</v>
      </c>
      <c r="D7514" s="1" t="str">
        <f>HYPERLINK("http://genome-euro.ucsc.edu/cgi-bin/hgTracks?position=201261_x_at","UCSC")</f>
        <v>UCSC</v>
      </c>
      <c r="E7514" s="1" t="str">
        <f>HYPERLINK("http://www.ncbi.nlm.nih.gov/gene/?term=BGN","NCBI")</f>
        <v>NCBI</v>
      </c>
      <c r="F7514">
        <v>0.11</v>
      </c>
      <c r="G7514">
        <v>0.24</v>
      </c>
      <c r="H7514" s="1" t="str">
        <f>HYPERLINK("http://www.weizmann.ac.il/complex/compphys/software/geview/data/figures/201261_x_at.png","Figure")</f>
        <v>Figure</v>
      </c>
      <c r="I7514">
        <v>1.35</v>
      </c>
      <c r="J7514">
        <v>8.8999999999999996E-2</v>
      </c>
      <c r="K7514">
        <v>1.1499999999999999</v>
      </c>
      <c r="L7514">
        <v>0.43</v>
      </c>
      <c r="M7514">
        <v>0.85599999999999998</v>
      </c>
      <c r="N7514">
        <v>0.43</v>
      </c>
    </row>
    <row r="7515" spans="1:14" x14ac:dyDescent="0.25">
      <c r="A7515" t="s">
        <v>13363</v>
      </c>
      <c r="B7515" t="s">
        <v>13364</v>
      </c>
      <c r="C7515" s="1" t="str">
        <f>HYPERLINK("http://www.genecards.org/cgi-bin/carddisp.pl?gene=C2orf24","GeneCards")</f>
        <v>GeneCards</v>
      </c>
      <c r="D7515" s="1" t="str">
        <f>HYPERLINK("http://genome-euro.ucsc.edu/cgi-bin/hgTracks?position=207511_s_at","UCSC")</f>
        <v>UCSC</v>
      </c>
      <c r="E7515" s="1" t="str">
        <f>HYPERLINK("http://www.ncbi.nlm.nih.gov/gene/?term=C2orf24","NCBI")</f>
        <v>NCBI</v>
      </c>
      <c r="F7515">
        <v>0.11</v>
      </c>
      <c r="G7515">
        <v>0.24</v>
      </c>
      <c r="H7515" s="1" t="str">
        <f>HYPERLINK("http://www.weizmann.ac.il/complex/compphys/software/geview/data/figures/207511_s_at.png","Figure")</f>
        <v>Figure</v>
      </c>
      <c r="I7515">
        <v>1.18</v>
      </c>
      <c r="J7515">
        <v>0.13</v>
      </c>
      <c r="K7515">
        <v>1.02</v>
      </c>
      <c r="L7515">
        <v>0.97</v>
      </c>
      <c r="M7515">
        <v>0.86299999999999999</v>
      </c>
      <c r="N7515">
        <v>0.14000000000000001</v>
      </c>
    </row>
    <row r="7516" spans="1:14" x14ac:dyDescent="0.25">
      <c r="A7516" t="s">
        <v>13365</v>
      </c>
      <c r="B7516" t="s">
        <v>13366</v>
      </c>
      <c r="C7516" s="1" t="str">
        <f>HYPERLINK("http://www.genecards.org/cgi-bin/carddisp.pl?gene=MT1E","GeneCards")</f>
        <v>GeneCards</v>
      </c>
      <c r="D7516" s="1" t="str">
        <f>HYPERLINK("http://genome-euro.ucsc.edu/cgi-bin/hgTracks?position=212859_x_at","UCSC")</f>
        <v>UCSC</v>
      </c>
      <c r="E7516" s="1" t="str">
        <f>HYPERLINK("http://www.ncbi.nlm.nih.gov/gene/?term=MT1E","NCBI")</f>
        <v>NCBI</v>
      </c>
      <c r="F7516">
        <v>0.11</v>
      </c>
      <c r="G7516">
        <v>0.24</v>
      </c>
      <c r="H7516" s="1" t="str">
        <f>HYPERLINK("http://www.weizmann.ac.il/complex/compphys/software/geview/data/figures/212859_x_at.png","Figure")</f>
        <v>Figure</v>
      </c>
      <c r="I7516">
        <v>1.4</v>
      </c>
      <c r="J7516">
        <v>8.8999999999999996E-2</v>
      </c>
      <c r="K7516">
        <v>1.1499999999999999</v>
      </c>
      <c r="L7516">
        <v>0.55000000000000004</v>
      </c>
      <c r="M7516">
        <v>0.81599999999999995</v>
      </c>
      <c r="N7516">
        <v>0.33</v>
      </c>
    </row>
    <row r="7517" spans="1:14" x14ac:dyDescent="0.25">
      <c r="A7517" t="s">
        <v>13367</v>
      </c>
      <c r="B7517" t="s">
        <v>4982</v>
      </c>
      <c r="C7517" s="1" t="str">
        <f>HYPERLINK("http://www.genecards.org/cgi-bin/carddisp.pl?gene=MAP1B","GeneCards")</f>
        <v>GeneCards</v>
      </c>
      <c r="D7517" s="1" t="str">
        <f>HYPERLINK("http://genome-euro.ucsc.edu/cgi-bin/hgTracks?position=214577_at","UCSC")</f>
        <v>UCSC</v>
      </c>
      <c r="E7517" s="1" t="str">
        <f>HYPERLINK("http://www.ncbi.nlm.nih.gov/gene/?term=MAP1B","NCBI")</f>
        <v>NCBI</v>
      </c>
      <c r="F7517">
        <v>0.11</v>
      </c>
      <c r="G7517">
        <v>0.24</v>
      </c>
      <c r="H7517" s="1" t="str">
        <f>HYPERLINK("http://www.weizmann.ac.il/complex/compphys/software/geview/data/figures/214577_at.png","Figure")</f>
        <v>Figure</v>
      </c>
      <c r="I7517">
        <v>1.2</v>
      </c>
      <c r="J7517">
        <v>9.1999999999999998E-2</v>
      </c>
      <c r="K7517">
        <v>1.07</v>
      </c>
      <c r="L7517">
        <v>0.63</v>
      </c>
      <c r="M7517">
        <v>0.88900000000000001</v>
      </c>
      <c r="N7517">
        <v>0.28000000000000003</v>
      </c>
    </row>
    <row r="7518" spans="1:14" x14ac:dyDescent="0.25">
      <c r="A7518" t="s">
        <v>13368</v>
      </c>
      <c r="B7518" t="s">
        <v>7953</v>
      </c>
      <c r="C7518" s="1" t="str">
        <f>HYPERLINK("http://www.genecards.org/cgi-bin/carddisp.pl?gene=COMT","GeneCards")</f>
        <v>GeneCards</v>
      </c>
      <c r="D7518" s="1" t="str">
        <f>HYPERLINK("http://genome-euro.ucsc.edu/cgi-bin/hgTracks?position=216204_at","UCSC")</f>
        <v>UCSC</v>
      </c>
      <c r="E7518" s="1" t="str">
        <f>HYPERLINK("http://www.ncbi.nlm.nih.gov/gene/?term=COMT","NCBI")</f>
        <v>NCBI</v>
      </c>
      <c r="F7518">
        <v>0.11</v>
      </c>
      <c r="G7518">
        <v>0.24</v>
      </c>
      <c r="H7518" s="1" t="str">
        <f>HYPERLINK("http://www.weizmann.ac.il/complex/compphys/software/geview/data/figures/216204_at.png","Figure")</f>
        <v>Figure</v>
      </c>
      <c r="I7518">
        <v>1.17</v>
      </c>
      <c r="J7518">
        <v>0.21</v>
      </c>
      <c r="K7518">
        <v>0.97399999999999998</v>
      </c>
      <c r="L7518">
        <v>0.93</v>
      </c>
      <c r="M7518">
        <v>0.83599999999999997</v>
      </c>
      <c r="N7518">
        <v>0.1</v>
      </c>
    </row>
    <row r="7519" spans="1:14" x14ac:dyDescent="0.25">
      <c r="A7519" t="s">
        <v>13369</v>
      </c>
      <c r="B7519" t="s">
        <v>10746</v>
      </c>
      <c r="C7519" s="1" t="str">
        <f>HYPERLINK("http://www.genecards.org/cgi-bin/carddisp.pl?gene=MRC2","GeneCards")</f>
        <v>GeneCards</v>
      </c>
      <c r="D7519" s="1" t="str">
        <f>HYPERLINK("http://genome-euro.ucsc.edu/cgi-bin/hgTracks?position=37408_at","UCSC")</f>
        <v>UCSC</v>
      </c>
      <c r="E7519" s="1" t="str">
        <f>HYPERLINK("http://www.ncbi.nlm.nih.gov/gene/?term=MRC2","NCBI")</f>
        <v>NCBI</v>
      </c>
      <c r="F7519">
        <v>0.11</v>
      </c>
      <c r="G7519">
        <v>0.24</v>
      </c>
      <c r="H7519" s="1" t="str">
        <f>HYPERLINK("http://www.weizmann.ac.il/complex/compphys/software/geview/data/figures/37408_at.png","Figure")</f>
        <v>Figure</v>
      </c>
      <c r="I7519">
        <v>1.26</v>
      </c>
      <c r="J7519">
        <v>8.8999999999999996E-2</v>
      </c>
      <c r="K7519">
        <v>1.1000000000000001</v>
      </c>
      <c r="L7519">
        <v>0.5</v>
      </c>
      <c r="M7519">
        <v>0.877</v>
      </c>
      <c r="N7519">
        <v>0.37</v>
      </c>
    </row>
    <row r="7520" spans="1:14" x14ac:dyDescent="0.25">
      <c r="A7520" t="s">
        <v>13370</v>
      </c>
      <c r="B7520" t="s">
        <v>13371</v>
      </c>
      <c r="C7520" s="1" t="str">
        <f>HYPERLINK("http://www.genecards.org/cgi-bin/carddisp.pl?gene=MOBKL1B","GeneCards")</f>
        <v>GeneCards</v>
      </c>
      <c r="D7520" s="1" t="str">
        <f>HYPERLINK("http://genome-euro.ucsc.edu/cgi-bin/hgTracks?position=201298_s_at","UCSC")</f>
        <v>UCSC</v>
      </c>
      <c r="E7520" s="1" t="str">
        <f>HYPERLINK("http://www.ncbi.nlm.nih.gov/gene/?term=MOBKL1B","NCBI")</f>
        <v>NCBI</v>
      </c>
      <c r="F7520">
        <v>0.11</v>
      </c>
      <c r="G7520">
        <v>0.24</v>
      </c>
      <c r="H7520" s="1" t="str">
        <f>HYPERLINK("http://www.weizmann.ac.il/complex/compphys/software/geview/data/figures/201298_s_at.png","Figure")</f>
        <v>Figure</v>
      </c>
      <c r="I7520">
        <v>1.23</v>
      </c>
      <c r="J7520">
        <v>0.28000000000000003</v>
      </c>
      <c r="K7520">
        <v>1.29</v>
      </c>
      <c r="L7520">
        <v>9.9000000000000005E-2</v>
      </c>
      <c r="M7520">
        <v>1.05</v>
      </c>
      <c r="N7520">
        <v>0.92</v>
      </c>
    </row>
    <row r="7521" spans="1:14" x14ac:dyDescent="0.25">
      <c r="A7521" t="s">
        <v>13372</v>
      </c>
      <c r="B7521" t="s">
        <v>13373</v>
      </c>
      <c r="C7521" s="1" t="str">
        <f>HYPERLINK("http://www.genecards.org/cgi-bin/carddisp.pl?gene=HCG2P7","GeneCards")</f>
        <v>GeneCards</v>
      </c>
      <c r="D7521" s="1" t="str">
        <f>HYPERLINK("http://genome-euro.ucsc.edu/cgi-bin/hgTracks?position=216229_x_at","UCSC")</f>
        <v>UCSC</v>
      </c>
      <c r="E7521" s="1" t="str">
        <f>HYPERLINK("http://www.ncbi.nlm.nih.gov/gene/?term=HCG2P7","NCBI")</f>
        <v>NCBI</v>
      </c>
      <c r="F7521">
        <v>0.11</v>
      </c>
      <c r="G7521">
        <v>0.24</v>
      </c>
      <c r="H7521" s="1" t="str">
        <f>HYPERLINK("http://www.weizmann.ac.il/complex/compphys/software/geview/data/figures/216229_x_at.png","Figure")</f>
        <v>Figure</v>
      </c>
      <c r="I7521">
        <v>1.37</v>
      </c>
      <c r="J7521">
        <v>9.2999999999999999E-2</v>
      </c>
      <c r="K7521">
        <v>1.1100000000000001</v>
      </c>
      <c r="L7521">
        <v>0.67</v>
      </c>
      <c r="M7521">
        <v>0.80800000000000005</v>
      </c>
      <c r="N7521">
        <v>0.26</v>
      </c>
    </row>
    <row r="7522" spans="1:14" x14ac:dyDescent="0.25">
      <c r="A7522" t="s">
        <v>13374</v>
      </c>
      <c r="B7522" t="s">
        <v>13375</v>
      </c>
      <c r="C7522" s="1" t="str">
        <f>HYPERLINK("http://www.genecards.org/cgi-bin/carddisp.pl?gene=CHCHD8","GeneCards")</f>
        <v>GeneCards</v>
      </c>
      <c r="D7522" s="1" t="str">
        <f>HYPERLINK("http://genome-euro.ucsc.edu/cgi-bin/hgTracks?position=220647_s_at","UCSC")</f>
        <v>UCSC</v>
      </c>
      <c r="E7522" s="1" t="str">
        <f>HYPERLINK("http://www.ncbi.nlm.nih.gov/gene/?term=CHCHD8","NCBI")</f>
        <v>NCBI</v>
      </c>
      <c r="F7522">
        <v>0.11</v>
      </c>
      <c r="G7522">
        <v>0.24</v>
      </c>
      <c r="H7522" s="1" t="str">
        <f>HYPERLINK("http://www.weizmann.ac.il/complex/compphys/software/geview/data/figures/220647_s_at.png","Figure")</f>
        <v>Figure</v>
      </c>
      <c r="I7522">
        <v>0.91100000000000003</v>
      </c>
      <c r="J7522">
        <v>0.79</v>
      </c>
      <c r="K7522">
        <v>1.21</v>
      </c>
      <c r="L7522">
        <v>0.28999999999999998</v>
      </c>
      <c r="M7522">
        <v>1.33</v>
      </c>
      <c r="N7522">
        <v>0.11</v>
      </c>
    </row>
    <row r="7523" spans="1:14" x14ac:dyDescent="0.25">
      <c r="A7523" t="s">
        <v>13376</v>
      </c>
      <c r="B7523" t="s">
        <v>10640</v>
      </c>
      <c r="C7523" s="1" t="str">
        <f>HYPERLINK("http://www.genecards.org/cgi-bin/carddisp.pl?gene=ING4","GeneCards")</f>
        <v>GeneCards</v>
      </c>
      <c r="D7523" s="1" t="str">
        <f>HYPERLINK("http://genome-euro.ucsc.edu/cgi-bin/hgTracks?position=48825_at","UCSC")</f>
        <v>UCSC</v>
      </c>
      <c r="E7523" s="1" t="str">
        <f>HYPERLINK("http://www.ncbi.nlm.nih.gov/gene/?term=ING4","NCBI")</f>
        <v>NCBI</v>
      </c>
      <c r="F7523">
        <v>0.11</v>
      </c>
      <c r="G7523">
        <v>0.24</v>
      </c>
      <c r="H7523" s="1" t="str">
        <f>HYPERLINK("http://www.weizmann.ac.il/complex/compphys/software/geview/data/figures/48825_at.png","Figure")</f>
        <v>Figure</v>
      </c>
      <c r="I7523">
        <v>1.23</v>
      </c>
      <c r="J7523">
        <v>0.11</v>
      </c>
      <c r="K7523">
        <v>1.1599999999999999</v>
      </c>
      <c r="L7523">
        <v>0.21</v>
      </c>
      <c r="M7523">
        <v>0.94299999999999995</v>
      </c>
      <c r="N7523">
        <v>0.79</v>
      </c>
    </row>
    <row r="7524" spans="1:14" x14ac:dyDescent="0.25">
      <c r="A7524" t="s">
        <v>13377</v>
      </c>
      <c r="B7524" t="s">
        <v>13378</v>
      </c>
      <c r="C7524" s="1" t="str">
        <f>HYPERLINK("http://www.genecards.org/cgi-bin/carddisp.pl?gene=TUBA3D","GeneCards")</f>
        <v>GeneCards</v>
      </c>
      <c r="D7524" s="1" t="str">
        <f>HYPERLINK("http://genome-euro.ucsc.edu/cgi-bin/hgTracks?position=216323_x_at","UCSC")</f>
        <v>UCSC</v>
      </c>
      <c r="E7524" s="1" t="str">
        <f>HYPERLINK("http://www.ncbi.nlm.nih.gov/gene/?term=TUBA3D","NCBI")</f>
        <v>NCBI</v>
      </c>
      <c r="F7524">
        <v>0.11</v>
      </c>
      <c r="G7524">
        <v>0.24</v>
      </c>
      <c r="H7524" s="1" t="str">
        <f>HYPERLINK("http://www.weizmann.ac.il/complex/compphys/software/geview/data/figures/216323_x_at.png","Figure")</f>
        <v>Figure</v>
      </c>
      <c r="I7524">
        <v>1.1100000000000001</v>
      </c>
      <c r="J7524">
        <v>0.76</v>
      </c>
      <c r="K7524">
        <v>1.33</v>
      </c>
      <c r="L7524">
        <v>9.8000000000000004E-2</v>
      </c>
      <c r="M7524">
        <v>1.2</v>
      </c>
      <c r="N7524">
        <v>0.4</v>
      </c>
    </row>
    <row r="7525" spans="1:14" x14ac:dyDescent="0.25">
      <c r="A7525" t="s">
        <v>13379</v>
      </c>
      <c r="B7525" t="s">
        <v>13380</v>
      </c>
      <c r="C7525" s="1" t="str">
        <f>HYPERLINK("http://www.genecards.org/cgi-bin/carddisp.pl?gene=BAT2L","GeneCards")</f>
        <v>GeneCards</v>
      </c>
      <c r="D7525" s="1" t="str">
        <f>HYPERLINK("http://genome-euro.ucsc.edu/cgi-bin/hgTracks?position=212069_s_at","UCSC")</f>
        <v>UCSC</v>
      </c>
      <c r="E7525" s="1" t="str">
        <f>HYPERLINK("http://www.ncbi.nlm.nih.gov/gene/?term=BAT2L","NCBI")</f>
        <v>NCBI</v>
      </c>
      <c r="F7525">
        <v>0.11</v>
      </c>
      <c r="G7525">
        <v>0.24</v>
      </c>
      <c r="H7525" s="1" t="str">
        <f>HYPERLINK("http://www.weizmann.ac.il/complex/compphys/software/geview/data/figures/212069_s_at.png","Figure")</f>
        <v>Figure</v>
      </c>
      <c r="I7525">
        <v>1.34</v>
      </c>
      <c r="J7525">
        <v>0.11</v>
      </c>
      <c r="K7525">
        <v>1.05</v>
      </c>
      <c r="L7525">
        <v>0.89</v>
      </c>
      <c r="M7525">
        <v>0.78900000000000003</v>
      </c>
      <c r="N7525">
        <v>0.17</v>
      </c>
    </row>
    <row r="7526" spans="1:14" x14ac:dyDescent="0.25">
      <c r="A7526" t="s">
        <v>13381</v>
      </c>
      <c r="B7526" t="s">
        <v>13382</v>
      </c>
      <c r="C7526" s="1" t="str">
        <f>HYPERLINK("http://www.genecards.org/cgi-bin/carddisp.pl?gene=HMHB1","GeneCards")</f>
        <v>GeneCards</v>
      </c>
      <c r="D7526" s="1" t="str">
        <f>HYPERLINK("http://genome-euro.ucsc.edu/cgi-bin/hgTracks?position=208302_at","UCSC")</f>
        <v>UCSC</v>
      </c>
      <c r="E7526" s="1" t="str">
        <f>HYPERLINK("http://www.ncbi.nlm.nih.gov/gene/?term=HMHB1","NCBI")</f>
        <v>NCBI</v>
      </c>
      <c r="F7526">
        <v>0.11</v>
      </c>
      <c r="G7526">
        <v>0.24</v>
      </c>
      <c r="H7526" s="1" t="str">
        <f>HYPERLINK("http://www.weizmann.ac.il/complex/compphys/software/geview/data/figures/208302_at.png","Figure")</f>
        <v>Figure</v>
      </c>
      <c r="I7526">
        <v>0.83499999999999996</v>
      </c>
      <c r="J7526">
        <v>0.53</v>
      </c>
      <c r="K7526">
        <v>1.18</v>
      </c>
      <c r="L7526">
        <v>0.48</v>
      </c>
      <c r="M7526">
        <v>1.42</v>
      </c>
      <c r="N7526">
        <v>9.2999999999999999E-2</v>
      </c>
    </row>
    <row r="7527" spans="1:14" x14ac:dyDescent="0.25">
      <c r="A7527" t="s">
        <v>13383</v>
      </c>
      <c r="B7527" t="s">
        <v>13384</v>
      </c>
      <c r="C7527" s="1" t="str">
        <f>HYPERLINK("http://www.genecards.org/cgi-bin/carddisp.pl?gene=MAT2A","GeneCards")</f>
        <v>GeneCards</v>
      </c>
      <c r="D7527" s="1" t="str">
        <f>HYPERLINK("http://genome-euro.ucsc.edu/cgi-bin/hgTracks?position=200768_s_at","UCSC")</f>
        <v>UCSC</v>
      </c>
      <c r="E7527" s="1" t="str">
        <f>HYPERLINK("http://www.ncbi.nlm.nih.gov/gene/?term=MAT2A","NCBI")</f>
        <v>NCBI</v>
      </c>
      <c r="F7527">
        <v>0.11</v>
      </c>
      <c r="G7527">
        <v>0.24</v>
      </c>
      <c r="H7527" s="1" t="str">
        <f>HYPERLINK("http://www.weizmann.ac.il/complex/compphys/software/geview/data/figures/200768_s_at.png","Figure")</f>
        <v>Figure</v>
      </c>
      <c r="I7527">
        <v>1.0900000000000001</v>
      </c>
      <c r="J7527">
        <v>0.96</v>
      </c>
      <c r="K7527">
        <v>1.72</v>
      </c>
      <c r="L7527">
        <v>0.12</v>
      </c>
      <c r="M7527">
        <v>1.58</v>
      </c>
      <c r="N7527">
        <v>0.25</v>
      </c>
    </row>
    <row r="7528" spans="1:14" x14ac:dyDescent="0.25">
      <c r="A7528" t="s">
        <v>13385</v>
      </c>
      <c r="B7528" t="s">
        <v>13386</v>
      </c>
      <c r="C7528" s="1" t="str">
        <f>HYPERLINK("http://www.genecards.org/cgi-bin/carddisp.pl?gene=LOC100128008","GeneCards")</f>
        <v>GeneCards</v>
      </c>
      <c r="D7528" s="1" t="str">
        <f>HYPERLINK("http://genome-euro.ucsc.edu/cgi-bin/hgTracks?position=222197_s_at","UCSC")</f>
        <v>UCSC</v>
      </c>
      <c r="E7528" s="1" t="str">
        <f>HYPERLINK("http://www.ncbi.nlm.nih.gov/gene/?term=LOC100128008","NCBI")</f>
        <v>NCBI</v>
      </c>
      <c r="F7528">
        <v>0.11</v>
      </c>
      <c r="G7528">
        <v>0.24</v>
      </c>
      <c r="H7528" s="1" t="str">
        <f>HYPERLINK("http://www.weizmann.ac.il/complex/compphys/software/geview/data/figures/222197_s_at.png","Figure")</f>
        <v>Figure</v>
      </c>
      <c r="I7528">
        <v>1.27</v>
      </c>
      <c r="J7528">
        <v>9.4E-2</v>
      </c>
      <c r="K7528">
        <v>1.08</v>
      </c>
      <c r="L7528">
        <v>0.67</v>
      </c>
      <c r="M7528">
        <v>0.85299999999999998</v>
      </c>
      <c r="N7528">
        <v>0.26</v>
      </c>
    </row>
    <row r="7529" spans="1:14" x14ac:dyDescent="0.25">
      <c r="A7529" t="s">
        <v>13387</v>
      </c>
      <c r="B7529" t="s">
        <v>13388</v>
      </c>
      <c r="C7529" s="1" t="str">
        <f>HYPERLINK("http://www.genecards.org/cgi-bin/carddisp.pl?gene=NCF2","GeneCards")</f>
        <v>GeneCards</v>
      </c>
      <c r="D7529" s="1" t="str">
        <f>HYPERLINK("http://genome-euro.ucsc.edu/cgi-bin/hgTracks?position=209949_at","UCSC")</f>
        <v>UCSC</v>
      </c>
      <c r="E7529" s="1" t="str">
        <f>HYPERLINK("http://www.ncbi.nlm.nih.gov/gene/?term=NCF2","NCBI")</f>
        <v>NCBI</v>
      </c>
      <c r="F7529">
        <v>0.11</v>
      </c>
      <c r="G7529">
        <v>0.24</v>
      </c>
      <c r="H7529" s="1" t="str">
        <f>HYPERLINK("http://www.weizmann.ac.il/complex/compphys/software/geview/data/figures/209949_at.png","Figure")</f>
        <v>Figure</v>
      </c>
      <c r="I7529">
        <v>0.45</v>
      </c>
      <c r="J7529">
        <v>9.0999999999999998E-2</v>
      </c>
      <c r="K7529">
        <v>0.65900000000000003</v>
      </c>
      <c r="L7529">
        <v>0.38</v>
      </c>
      <c r="M7529">
        <v>1.46</v>
      </c>
      <c r="N7529">
        <v>0.49</v>
      </c>
    </row>
    <row r="7530" spans="1:14" x14ac:dyDescent="0.25">
      <c r="A7530" t="s">
        <v>13389</v>
      </c>
      <c r="B7530" t="s">
        <v>13390</v>
      </c>
      <c r="C7530" s="1" t="str">
        <f>HYPERLINK("http://www.genecards.org/cgi-bin/carddisp.pl?gene=MAD2L1BP","GeneCards")</f>
        <v>GeneCards</v>
      </c>
      <c r="D7530" s="1" t="str">
        <f>HYPERLINK("http://genome-euro.ucsc.edu/cgi-bin/hgTracks?position=203094_at","UCSC")</f>
        <v>UCSC</v>
      </c>
      <c r="E7530" s="1" t="str">
        <f>HYPERLINK("http://www.ncbi.nlm.nih.gov/gene/?term=MAD2L1BP","NCBI")</f>
        <v>NCBI</v>
      </c>
      <c r="F7530">
        <v>0.11</v>
      </c>
      <c r="G7530">
        <v>0.24</v>
      </c>
      <c r="H7530" s="1" t="str">
        <f>HYPERLINK("http://www.weizmann.ac.il/complex/compphys/software/geview/data/figures/203094_at.png","Figure")</f>
        <v>Figure</v>
      </c>
      <c r="I7530">
        <v>1.1499999999999999</v>
      </c>
      <c r="J7530">
        <v>0.72</v>
      </c>
      <c r="K7530">
        <v>0.80200000000000005</v>
      </c>
      <c r="L7530">
        <v>0.34</v>
      </c>
      <c r="M7530">
        <v>0.7</v>
      </c>
      <c r="N7530">
        <v>0.11</v>
      </c>
    </row>
    <row r="7531" spans="1:14" x14ac:dyDescent="0.25">
      <c r="A7531" t="s">
        <v>13391</v>
      </c>
      <c r="B7531" t="s">
        <v>13392</v>
      </c>
      <c r="C7531" s="1" t="str">
        <f>HYPERLINK("http://www.genecards.org/cgi-bin/carddisp.pl?gene=COX17","GeneCards")</f>
        <v>GeneCards</v>
      </c>
      <c r="D7531" s="1" t="str">
        <f>HYPERLINK("http://genome-euro.ucsc.edu/cgi-bin/hgTracks?position=203880_at","UCSC")</f>
        <v>UCSC</v>
      </c>
      <c r="E7531" s="1" t="str">
        <f>HYPERLINK("http://www.ncbi.nlm.nih.gov/gene/?term=COX17","NCBI")</f>
        <v>NCBI</v>
      </c>
      <c r="F7531">
        <v>0.11</v>
      </c>
      <c r="G7531">
        <v>0.24</v>
      </c>
      <c r="H7531" s="1" t="str">
        <f>HYPERLINK("http://www.weizmann.ac.il/complex/compphys/software/geview/data/figures/203880_at.png","Figure")</f>
        <v>Figure</v>
      </c>
      <c r="I7531">
        <v>0.84599999999999997</v>
      </c>
      <c r="J7531">
        <v>0.62</v>
      </c>
      <c r="K7531">
        <v>1.23</v>
      </c>
      <c r="L7531">
        <v>0.4</v>
      </c>
      <c r="M7531">
        <v>1.45</v>
      </c>
      <c r="N7531">
        <v>9.8000000000000004E-2</v>
      </c>
    </row>
    <row r="7532" spans="1:14" x14ac:dyDescent="0.25">
      <c r="A7532" t="s">
        <v>13393</v>
      </c>
      <c r="B7532" t="s">
        <v>9929</v>
      </c>
      <c r="C7532" s="1" t="str">
        <f>HYPERLINK("http://www.genecards.org/cgi-bin/carddisp.pl?gene=IFI16","GeneCards")</f>
        <v>GeneCards</v>
      </c>
      <c r="D7532" s="1" t="str">
        <f>HYPERLINK("http://genome-euro.ucsc.edu/cgi-bin/hgTracks?position=208965_s_at","UCSC")</f>
        <v>UCSC</v>
      </c>
      <c r="E7532" s="1" t="str">
        <f>HYPERLINK("http://www.ncbi.nlm.nih.gov/gene/?term=IFI16","NCBI")</f>
        <v>NCBI</v>
      </c>
      <c r="F7532">
        <v>0.11</v>
      </c>
      <c r="G7532">
        <v>0.24</v>
      </c>
      <c r="H7532" s="1" t="str">
        <f>HYPERLINK("http://www.weizmann.ac.il/complex/compphys/software/geview/data/figures/208965_s_at.png","Figure")</f>
        <v>Figure</v>
      </c>
      <c r="I7532">
        <v>0.56999999999999995</v>
      </c>
      <c r="J7532">
        <v>0.26</v>
      </c>
      <c r="K7532">
        <v>0.51400000000000001</v>
      </c>
      <c r="L7532">
        <v>0.1</v>
      </c>
      <c r="M7532">
        <v>0.90100000000000002</v>
      </c>
      <c r="N7532">
        <v>0.94</v>
      </c>
    </row>
    <row r="7533" spans="1:14" x14ac:dyDescent="0.25">
      <c r="A7533" t="s">
        <v>13394</v>
      </c>
      <c r="B7533" t="s">
        <v>9174</v>
      </c>
      <c r="C7533" s="1" t="str">
        <f>HYPERLINK("http://www.genecards.org/cgi-bin/carddisp.pl?gene=SLC1A4","GeneCards")</f>
        <v>GeneCards</v>
      </c>
      <c r="D7533" s="1" t="str">
        <f>HYPERLINK("http://genome-euro.ucsc.edu/cgi-bin/hgTracks?position=209611_s_at","UCSC")</f>
        <v>UCSC</v>
      </c>
      <c r="E7533" s="1" t="str">
        <f>HYPERLINK("http://www.ncbi.nlm.nih.gov/gene/?term=SLC1A4","NCBI")</f>
        <v>NCBI</v>
      </c>
      <c r="F7533">
        <v>0.11</v>
      </c>
      <c r="G7533">
        <v>0.24</v>
      </c>
      <c r="H7533" s="1" t="str">
        <f>HYPERLINK("http://www.weizmann.ac.il/complex/compphys/software/geview/data/figures/209611_s_at.png","Figure")</f>
        <v>Figure</v>
      </c>
      <c r="I7533">
        <v>1.1399999999999999</v>
      </c>
      <c r="J7533">
        <v>0.35</v>
      </c>
      <c r="K7533">
        <v>1.2</v>
      </c>
      <c r="L7533">
        <v>9.2999999999999999E-2</v>
      </c>
      <c r="M7533">
        <v>1.05</v>
      </c>
      <c r="N7533">
        <v>0.82</v>
      </c>
    </row>
    <row r="7534" spans="1:14" x14ac:dyDescent="0.25">
      <c r="A7534" t="s">
        <v>13395</v>
      </c>
      <c r="B7534" t="s">
        <v>13396</v>
      </c>
      <c r="C7534" s="1" t="str">
        <f>HYPERLINK("http://www.genecards.org/cgi-bin/carddisp.pl?gene=PPM1A","GeneCards")</f>
        <v>GeneCards</v>
      </c>
      <c r="D7534" s="1" t="str">
        <f>HYPERLINK("http://genome-euro.ucsc.edu/cgi-bin/hgTracks?position=210407_at","UCSC")</f>
        <v>UCSC</v>
      </c>
      <c r="E7534" s="1" t="str">
        <f>HYPERLINK("http://www.ncbi.nlm.nih.gov/gene/?term=PPM1A","NCBI")</f>
        <v>NCBI</v>
      </c>
      <c r="F7534">
        <v>0.11</v>
      </c>
      <c r="G7534">
        <v>0.24</v>
      </c>
      <c r="H7534" s="1" t="str">
        <f>HYPERLINK("http://www.weizmann.ac.il/complex/compphys/software/geview/data/figures/210407_at.png","Figure")</f>
        <v>Figure</v>
      </c>
      <c r="I7534">
        <v>0.59699999999999998</v>
      </c>
      <c r="J7534">
        <v>9.5000000000000001E-2</v>
      </c>
      <c r="K7534">
        <v>0.74099999999999999</v>
      </c>
      <c r="L7534">
        <v>0.32</v>
      </c>
      <c r="M7534">
        <v>1.24</v>
      </c>
      <c r="N7534">
        <v>0.57999999999999996</v>
      </c>
    </row>
    <row r="7535" spans="1:14" x14ac:dyDescent="0.25">
      <c r="A7535" t="s">
        <v>13397</v>
      </c>
      <c r="B7535" t="s">
        <v>13398</v>
      </c>
      <c r="C7535" s="1" t="str">
        <f>HYPERLINK("http://www.genecards.org/cgi-bin/carddisp.pl?gene=NOV","GeneCards")</f>
        <v>GeneCards</v>
      </c>
      <c r="D7535" s="1" t="str">
        <f>HYPERLINK("http://genome-euro.ucsc.edu/cgi-bin/hgTracks?position=214321_at","UCSC")</f>
        <v>UCSC</v>
      </c>
      <c r="E7535" s="1" t="str">
        <f>HYPERLINK("http://www.ncbi.nlm.nih.gov/gene/?term=NOV","NCBI")</f>
        <v>NCBI</v>
      </c>
      <c r="F7535">
        <v>0.11</v>
      </c>
      <c r="G7535">
        <v>0.24</v>
      </c>
      <c r="H7535" s="1" t="str">
        <f>HYPERLINK("http://www.weizmann.ac.il/complex/compphys/software/geview/data/figures/214321_at.png","Figure")</f>
        <v>Figure</v>
      </c>
      <c r="I7535">
        <v>0.65500000000000003</v>
      </c>
      <c r="J7535">
        <v>0.15</v>
      </c>
      <c r="K7535">
        <v>1</v>
      </c>
      <c r="L7535">
        <v>1</v>
      </c>
      <c r="M7535">
        <v>1.53</v>
      </c>
      <c r="N7535">
        <v>0.12</v>
      </c>
    </row>
    <row r="7536" spans="1:14" x14ac:dyDescent="0.25">
      <c r="A7536" t="s">
        <v>13399</v>
      </c>
      <c r="B7536" t="s">
        <v>6474</v>
      </c>
      <c r="C7536" s="1" t="str">
        <f>HYPERLINK("http://www.genecards.org/cgi-bin/carddisp.pl?gene=ACP1","GeneCards")</f>
        <v>GeneCards</v>
      </c>
      <c r="D7536" s="1" t="str">
        <f>HYPERLINK("http://genome-euro.ucsc.edu/cgi-bin/hgTracks?position=201630_s_at","UCSC")</f>
        <v>UCSC</v>
      </c>
      <c r="E7536" s="1" t="str">
        <f>HYPERLINK("http://www.ncbi.nlm.nih.gov/gene/?term=ACP1","NCBI")</f>
        <v>NCBI</v>
      </c>
      <c r="F7536">
        <v>0.11</v>
      </c>
      <c r="G7536">
        <v>0.24</v>
      </c>
      <c r="H7536" s="1" t="str">
        <f>HYPERLINK("http://www.weizmann.ac.il/complex/compphys/software/geview/data/figures/201630_s_at.png","Figure")</f>
        <v>Figure</v>
      </c>
      <c r="I7536">
        <v>1.19</v>
      </c>
      <c r="J7536">
        <v>0.48</v>
      </c>
      <c r="K7536">
        <v>0.872</v>
      </c>
      <c r="L7536">
        <v>0.53</v>
      </c>
      <c r="M7536">
        <v>0.73499999999999999</v>
      </c>
      <c r="N7536">
        <v>9.0999999999999998E-2</v>
      </c>
    </row>
    <row r="7537" spans="1:14" x14ac:dyDescent="0.25">
      <c r="A7537" t="s">
        <v>13400</v>
      </c>
      <c r="B7537" t="s">
        <v>12530</v>
      </c>
      <c r="C7537" s="1" t="str">
        <f>HYPERLINK("http://www.genecards.org/cgi-bin/carddisp.pl?gene=EDF1","GeneCards")</f>
        <v>GeneCards</v>
      </c>
      <c r="D7537" s="1" t="str">
        <f>HYPERLINK("http://genome-euro.ucsc.edu/cgi-bin/hgTracks?position=209058_at","UCSC")</f>
        <v>UCSC</v>
      </c>
      <c r="E7537" s="1" t="str">
        <f>HYPERLINK("http://www.ncbi.nlm.nih.gov/gene/?term=EDF1","NCBI")</f>
        <v>NCBI</v>
      </c>
      <c r="F7537">
        <v>0.11</v>
      </c>
      <c r="G7537">
        <v>0.24</v>
      </c>
      <c r="H7537" s="1" t="str">
        <f>HYPERLINK("http://www.weizmann.ac.il/complex/compphys/software/geview/data/figures/209058_at.png","Figure")</f>
        <v>Figure</v>
      </c>
      <c r="I7537">
        <v>1.1399999999999999</v>
      </c>
      <c r="J7537">
        <v>0.84</v>
      </c>
      <c r="K7537">
        <v>1.56</v>
      </c>
      <c r="L7537">
        <v>0.11</v>
      </c>
      <c r="M7537">
        <v>1.37</v>
      </c>
      <c r="N7537">
        <v>0.33</v>
      </c>
    </row>
    <row r="7538" spans="1:14" x14ac:dyDescent="0.25">
      <c r="A7538" t="s">
        <v>13401</v>
      </c>
      <c r="B7538" t="s">
        <v>4269</v>
      </c>
      <c r="C7538" s="1" t="str">
        <f>HYPERLINK("http://www.genecards.org/cgi-bin/carddisp.pl?gene=SCAPER","GeneCards")</f>
        <v>GeneCards</v>
      </c>
      <c r="D7538" s="1" t="str">
        <f>HYPERLINK("http://genome-euro.ucsc.edu/cgi-bin/hgTracks?position=216399_s_at","UCSC")</f>
        <v>UCSC</v>
      </c>
      <c r="E7538" s="1" t="str">
        <f>HYPERLINK("http://www.ncbi.nlm.nih.gov/gene/?term=SCAPER","NCBI")</f>
        <v>NCBI</v>
      </c>
      <c r="F7538">
        <v>0.11</v>
      </c>
      <c r="G7538">
        <v>0.24</v>
      </c>
      <c r="H7538" s="1" t="str">
        <f>HYPERLINK("http://www.weizmann.ac.il/complex/compphys/software/geview/data/figures/216399_s_at.png","Figure")</f>
        <v>Figure</v>
      </c>
      <c r="I7538">
        <v>0.91100000000000003</v>
      </c>
      <c r="J7538">
        <v>9.1999999999999998E-2</v>
      </c>
      <c r="K7538">
        <v>0.96799999999999997</v>
      </c>
      <c r="L7538">
        <v>0.64</v>
      </c>
      <c r="M7538">
        <v>1.06</v>
      </c>
      <c r="N7538">
        <v>0.28000000000000003</v>
      </c>
    </row>
    <row r="7539" spans="1:14" x14ac:dyDescent="0.25">
      <c r="A7539" t="s">
        <v>13402</v>
      </c>
      <c r="B7539" t="s">
        <v>13403</v>
      </c>
      <c r="C7539" s="1" t="str">
        <f>HYPERLINK("http://www.genecards.org/cgi-bin/carddisp.pl?gene=DERL2","GeneCards")</f>
        <v>GeneCards</v>
      </c>
      <c r="D7539" s="1" t="str">
        <f>HYPERLINK("http://genome-euro.ucsc.edu/cgi-bin/hgTracks?position=218333_at","UCSC")</f>
        <v>UCSC</v>
      </c>
      <c r="E7539" s="1" t="str">
        <f>HYPERLINK("http://www.ncbi.nlm.nih.gov/gene/?term=DERL2","NCBI")</f>
        <v>NCBI</v>
      </c>
      <c r="F7539">
        <v>0.11</v>
      </c>
      <c r="G7539">
        <v>0.24</v>
      </c>
      <c r="H7539" s="1" t="str">
        <f>HYPERLINK("http://www.weizmann.ac.il/complex/compphys/software/geview/data/figures/218333_at.png","Figure")</f>
        <v>Figure</v>
      </c>
      <c r="I7539">
        <v>0.90300000000000002</v>
      </c>
      <c r="J7539">
        <v>0.89</v>
      </c>
      <c r="K7539">
        <v>0.65200000000000002</v>
      </c>
      <c r="L7539">
        <v>0.11</v>
      </c>
      <c r="M7539">
        <v>0.72199999999999998</v>
      </c>
      <c r="N7539">
        <v>0.3</v>
      </c>
    </row>
    <row r="7540" spans="1:14" x14ac:dyDescent="0.25">
      <c r="A7540" t="s">
        <v>13404</v>
      </c>
      <c r="B7540" t="s">
        <v>13405</v>
      </c>
      <c r="C7540" s="1" t="str">
        <f>HYPERLINK("http://www.genecards.org/cgi-bin/carddisp.pl?gene=CCNT1","GeneCards")</f>
        <v>GeneCards</v>
      </c>
      <c r="D7540" s="1" t="str">
        <f>HYPERLINK("http://genome-euro.ucsc.edu/cgi-bin/hgTracks?position=206967_at","UCSC")</f>
        <v>UCSC</v>
      </c>
      <c r="E7540" s="1" t="str">
        <f>HYPERLINK("http://www.ncbi.nlm.nih.gov/gene/?term=CCNT1","NCBI")</f>
        <v>NCBI</v>
      </c>
      <c r="F7540">
        <v>0.11</v>
      </c>
      <c r="G7540">
        <v>0.24</v>
      </c>
      <c r="H7540" s="1" t="str">
        <f>HYPERLINK("http://www.weizmann.ac.il/complex/compphys/software/geview/data/figures/206967_at.png","Figure")</f>
        <v>Figure</v>
      </c>
      <c r="I7540">
        <v>1.4</v>
      </c>
      <c r="J7540">
        <v>0.28000000000000003</v>
      </c>
      <c r="K7540">
        <v>0.89600000000000002</v>
      </c>
      <c r="L7540">
        <v>0.82</v>
      </c>
      <c r="M7540">
        <v>0.64100000000000001</v>
      </c>
      <c r="N7540">
        <v>9.2999999999999999E-2</v>
      </c>
    </row>
    <row r="7541" spans="1:14" x14ac:dyDescent="0.25">
      <c r="A7541" t="s">
        <v>13406</v>
      </c>
      <c r="B7541" t="s">
        <v>705</v>
      </c>
      <c r="C7541" s="1" t="str">
        <f>HYPERLINK("http://www.genecards.org/cgi-bin/carddisp.pl?gene=NR2F6","GeneCards")</f>
        <v>GeneCards</v>
      </c>
      <c r="D7541" s="1" t="str">
        <f>HYPERLINK("http://genome-euro.ucsc.edu/cgi-bin/hgTracks?position=209261_s_at","UCSC")</f>
        <v>UCSC</v>
      </c>
      <c r="E7541" s="1" t="str">
        <f>HYPERLINK("http://www.ncbi.nlm.nih.gov/gene/?term=NR2F6","NCBI")</f>
        <v>NCBI</v>
      </c>
      <c r="F7541">
        <v>0.11</v>
      </c>
      <c r="G7541">
        <v>0.24</v>
      </c>
      <c r="H7541" s="1" t="str">
        <f>HYPERLINK("http://www.weizmann.ac.il/complex/compphys/software/geview/data/figures/209261_s_at.png","Figure")</f>
        <v>Figure</v>
      </c>
      <c r="I7541">
        <v>1.27</v>
      </c>
      <c r="J7541">
        <v>9.2999999999999999E-2</v>
      </c>
      <c r="K7541">
        <v>1.08</v>
      </c>
      <c r="L7541">
        <v>0.65</v>
      </c>
      <c r="M7541">
        <v>0.85599999999999998</v>
      </c>
      <c r="N7541">
        <v>0.27</v>
      </c>
    </row>
    <row r="7542" spans="1:14" x14ac:dyDescent="0.25">
      <c r="A7542" t="s">
        <v>13407</v>
      </c>
      <c r="B7542" t="s">
        <v>13408</v>
      </c>
      <c r="C7542" s="1" t="str">
        <f>HYPERLINK("http://www.genecards.org/cgi-bin/carddisp.pl?gene=ARL5A","GeneCards")</f>
        <v>GeneCards</v>
      </c>
      <c r="D7542" s="1" t="str">
        <f>HYPERLINK("http://genome-euro.ucsc.edu/cgi-bin/hgTracks?position=218150_at","UCSC")</f>
        <v>UCSC</v>
      </c>
      <c r="E7542" s="1" t="str">
        <f>HYPERLINK("http://www.ncbi.nlm.nih.gov/gene/?term=ARL5A","NCBI")</f>
        <v>NCBI</v>
      </c>
      <c r="F7542">
        <v>0.11</v>
      </c>
      <c r="G7542">
        <v>0.24</v>
      </c>
      <c r="H7542" s="1" t="str">
        <f>HYPERLINK("http://www.weizmann.ac.il/complex/compphys/software/geview/data/figures/218150_at.png","Figure")</f>
        <v>Figure</v>
      </c>
      <c r="I7542">
        <v>0.71799999999999997</v>
      </c>
      <c r="J7542">
        <v>0.12</v>
      </c>
      <c r="K7542">
        <v>0.78100000000000003</v>
      </c>
      <c r="L7542">
        <v>0.2</v>
      </c>
      <c r="M7542">
        <v>1.0900000000000001</v>
      </c>
      <c r="N7542">
        <v>0.83</v>
      </c>
    </row>
    <row r="7543" spans="1:14" x14ac:dyDescent="0.25">
      <c r="A7543" t="s">
        <v>13409</v>
      </c>
      <c r="B7543" t="s">
        <v>4782</v>
      </c>
      <c r="C7543" s="1" t="str">
        <f>HYPERLINK("http://www.genecards.org/cgi-bin/carddisp.pl?gene=OGFOD2","GeneCards")</f>
        <v>GeneCards</v>
      </c>
      <c r="D7543" s="1" t="str">
        <f>HYPERLINK("http://genome-euro.ucsc.edu/cgi-bin/hgTracks?position=219246_s_at","UCSC")</f>
        <v>UCSC</v>
      </c>
      <c r="E7543" s="1" t="str">
        <f>HYPERLINK("http://www.ncbi.nlm.nih.gov/gene/?term=OGFOD2","NCBI")</f>
        <v>NCBI</v>
      </c>
      <c r="F7543">
        <v>0.11</v>
      </c>
      <c r="G7543">
        <v>0.24</v>
      </c>
      <c r="H7543" s="1" t="str">
        <f>HYPERLINK("http://www.weizmann.ac.il/complex/compphys/software/geview/data/figures/219246_s_at.png","Figure")</f>
        <v>Figure</v>
      </c>
      <c r="I7543">
        <v>1.1399999999999999</v>
      </c>
      <c r="J7543">
        <v>0.18</v>
      </c>
      <c r="K7543">
        <v>1.1299999999999999</v>
      </c>
      <c r="L7543">
        <v>0.13</v>
      </c>
      <c r="M7543">
        <v>0.997</v>
      </c>
      <c r="N7543">
        <v>1</v>
      </c>
    </row>
    <row r="7544" spans="1:14" x14ac:dyDescent="0.25">
      <c r="A7544" t="s">
        <v>13410</v>
      </c>
      <c r="B7544" t="s">
        <v>13411</v>
      </c>
      <c r="C7544" s="1" t="str">
        <f>HYPERLINK("http://www.genecards.org/cgi-bin/carddisp.pl?gene=FDFT1","GeneCards")</f>
        <v>GeneCards</v>
      </c>
      <c r="D7544" s="1" t="str">
        <f>HYPERLINK("http://genome-euro.ucsc.edu/cgi-bin/hgTracks?position=210950_s_at","UCSC")</f>
        <v>UCSC</v>
      </c>
      <c r="E7544" s="1" t="str">
        <f>HYPERLINK("http://www.ncbi.nlm.nih.gov/gene/?term=FDFT1","NCBI")</f>
        <v>NCBI</v>
      </c>
      <c r="F7544">
        <v>0.11</v>
      </c>
      <c r="G7544">
        <v>0.24</v>
      </c>
      <c r="H7544" s="1" t="str">
        <f>HYPERLINK("http://www.weizmann.ac.il/complex/compphys/software/geview/data/figures/210950_s_at.png","Figure")</f>
        <v>Figure</v>
      </c>
      <c r="I7544">
        <v>1.33</v>
      </c>
      <c r="J7544">
        <v>0.13</v>
      </c>
      <c r="K7544">
        <v>1.25</v>
      </c>
      <c r="L7544">
        <v>0.18</v>
      </c>
      <c r="M7544">
        <v>0.94199999999999995</v>
      </c>
      <c r="N7544">
        <v>0.88</v>
      </c>
    </row>
    <row r="7545" spans="1:14" x14ac:dyDescent="0.25">
      <c r="A7545" t="s">
        <v>13412</v>
      </c>
      <c r="B7545" t="s">
        <v>3300</v>
      </c>
      <c r="C7545" s="1" t="str">
        <f>HYPERLINK("http://www.genecards.org/cgi-bin/carddisp.pl?gene=YES1","GeneCards")</f>
        <v>GeneCards</v>
      </c>
      <c r="D7545" s="1" t="str">
        <f>HYPERLINK("http://genome-euro.ucsc.edu/cgi-bin/hgTracks?position=202933_s_at","UCSC")</f>
        <v>UCSC</v>
      </c>
      <c r="E7545" s="1" t="str">
        <f>HYPERLINK("http://www.ncbi.nlm.nih.gov/gene/?term=YES1","NCBI")</f>
        <v>NCBI</v>
      </c>
      <c r="F7545">
        <v>0.11</v>
      </c>
      <c r="G7545">
        <v>0.24</v>
      </c>
      <c r="H7545" s="1" t="str">
        <f>HYPERLINK("http://www.weizmann.ac.il/complex/compphys/software/geview/data/figures/202933_s_at.png","Figure")</f>
        <v>Figure</v>
      </c>
      <c r="I7545">
        <v>0.65400000000000003</v>
      </c>
      <c r="J7545">
        <v>0.54</v>
      </c>
      <c r="K7545">
        <v>0.45200000000000001</v>
      </c>
      <c r="L7545">
        <v>0.09</v>
      </c>
      <c r="M7545">
        <v>0.69</v>
      </c>
      <c r="N7545">
        <v>0.59</v>
      </c>
    </row>
    <row r="7546" spans="1:14" x14ac:dyDescent="0.25">
      <c r="A7546" t="s">
        <v>13413</v>
      </c>
      <c r="B7546" t="s">
        <v>13414</v>
      </c>
      <c r="C7546" s="1" t="str">
        <f>HYPERLINK("http://www.genecards.org/cgi-bin/carddisp.pl?gene=RPS7","GeneCards")</f>
        <v>GeneCards</v>
      </c>
      <c r="D7546" s="1" t="str">
        <f>HYPERLINK("http://genome-euro.ucsc.edu/cgi-bin/hgTracks?position=200082_s_at","UCSC")</f>
        <v>UCSC</v>
      </c>
      <c r="E7546" s="1" t="str">
        <f>HYPERLINK("http://www.ncbi.nlm.nih.gov/gene/?term=RPS7","NCBI")</f>
        <v>NCBI</v>
      </c>
      <c r="F7546">
        <v>0.11</v>
      </c>
      <c r="G7546">
        <v>0.24</v>
      </c>
      <c r="H7546" s="1" t="str">
        <f>HYPERLINK("http://www.weizmann.ac.il/complex/compphys/software/geview/data/figures/200082_s_at.png","Figure")</f>
        <v>Figure</v>
      </c>
      <c r="I7546">
        <v>2.48</v>
      </c>
      <c r="J7546">
        <v>0.14000000000000001</v>
      </c>
      <c r="K7546">
        <v>2.1</v>
      </c>
      <c r="L7546">
        <v>0.17</v>
      </c>
      <c r="M7546">
        <v>0.84799999999999998</v>
      </c>
      <c r="N7546">
        <v>0.92</v>
      </c>
    </row>
    <row r="7547" spans="1:14" x14ac:dyDescent="0.25">
      <c r="A7547" t="s">
        <v>13415</v>
      </c>
      <c r="B7547" t="s">
        <v>13416</v>
      </c>
      <c r="C7547" s="1" t="str">
        <f>HYPERLINK("http://www.genecards.org/cgi-bin/carddisp.pl?gene=RSHL1","GeneCards")</f>
        <v>GeneCards</v>
      </c>
      <c r="D7547" s="1" t="str">
        <f>HYPERLINK("http://genome-euro.ucsc.edu/cgi-bin/hgTracks?position=220965_s_at","UCSC")</f>
        <v>UCSC</v>
      </c>
      <c r="E7547" s="1" t="str">
        <f>HYPERLINK("http://www.ncbi.nlm.nih.gov/gene/?term=RSHL1","NCBI")</f>
        <v>NCBI</v>
      </c>
      <c r="F7547">
        <v>0.11</v>
      </c>
      <c r="G7547">
        <v>0.24</v>
      </c>
      <c r="H7547" s="1" t="str">
        <f>HYPERLINK("http://www.weizmann.ac.il/complex/compphys/software/geview/data/figures/220965_s_at.png","Figure")</f>
        <v>Figure</v>
      </c>
      <c r="I7547">
        <v>1.1200000000000001</v>
      </c>
      <c r="J7547">
        <v>0.41</v>
      </c>
      <c r="K7547">
        <v>1.19</v>
      </c>
      <c r="L7547">
        <v>9.0999999999999998E-2</v>
      </c>
      <c r="M7547">
        <v>1.06</v>
      </c>
      <c r="N7547">
        <v>0.75</v>
      </c>
    </row>
    <row r="7548" spans="1:14" x14ac:dyDescent="0.25">
      <c r="A7548" t="s">
        <v>13417</v>
      </c>
      <c r="B7548" t="s">
        <v>13418</v>
      </c>
      <c r="C7548" s="1" t="str">
        <f>HYPERLINK("http://www.genecards.org/cgi-bin/carddisp.pl?gene=CLDN11","GeneCards")</f>
        <v>GeneCards</v>
      </c>
      <c r="D7548" s="1" t="str">
        <f>HYPERLINK("http://genome-euro.ucsc.edu/cgi-bin/hgTracks?position=206908_s_at","UCSC")</f>
        <v>UCSC</v>
      </c>
      <c r="E7548" s="1" t="str">
        <f>HYPERLINK("http://www.ncbi.nlm.nih.gov/gene/?term=CLDN11","NCBI")</f>
        <v>NCBI</v>
      </c>
      <c r="F7548">
        <v>0.11</v>
      </c>
      <c r="G7548">
        <v>0.24</v>
      </c>
      <c r="H7548" s="1" t="str">
        <f>HYPERLINK("http://www.weizmann.ac.il/complex/compphys/software/geview/data/figures/206908_s_at.png","Figure")</f>
        <v>Figure</v>
      </c>
      <c r="I7548">
        <v>1.1599999999999999</v>
      </c>
      <c r="J7548">
        <v>9.1999999999999998E-2</v>
      </c>
      <c r="K7548">
        <v>1.08</v>
      </c>
      <c r="L7548">
        <v>0.38</v>
      </c>
      <c r="M7548">
        <v>0.93300000000000005</v>
      </c>
      <c r="N7548">
        <v>0.49</v>
      </c>
    </row>
    <row r="7549" spans="1:14" x14ac:dyDescent="0.25">
      <c r="A7549" t="s">
        <v>13419</v>
      </c>
      <c r="B7549" t="s">
        <v>13420</v>
      </c>
      <c r="C7549" s="1" t="str">
        <f>HYPERLINK("http://www.genecards.org/cgi-bin/carddisp.pl?gene=MAGOH2","GeneCards")</f>
        <v>GeneCards</v>
      </c>
      <c r="D7549" s="1" t="str">
        <f>HYPERLINK("http://genome-euro.ucsc.edu/cgi-bin/hgTracks?position=217693_x_at","UCSC")</f>
        <v>UCSC</v>
      </c>
      <c r="E7549" s="1" t="str">
        <f>HYPERLINK("http://www.ncbi.nlm.nih.gov/gene/?term=MAGOH2","NCBI")</f>
        <v>NCBI</v>
      </c>
      <c r="F7549">
        <v>0.11</v>
      </c>
      <c r="G7549">
        <v>0.24</v>
      </c>
      <c r="H7549" s="1" t="str">
        <f>HYPERLINK("http://www.weizmann.ac.il/complex/compphys/software/geview/data/figures/217693_x_at.png","Figure")</f>
        <v>Figure</v>
      </c>
      <c r="I7549">
        <v>1.1599999999999999</v>
      </c>
      <c r="J7549">
        <v>0.1</v>
      </c>
      <c r="K7549">
        <v>1.04</v>
      </c>
      <c r="L7549">
        <v>0.81</v>
      </c>
      <c r="M7549">
        <v>0.89600000000000002</v>
      </c>
      <c r="N7549">
        <v>0.2</v>
      </c>
    </row>
    <row r="7550" spans="1:14" x14ac:dyDescent="0.25">
      <c r="A7550" t="s">
        <v>13421</v>
      </c>
      <c r="B7550" t="s">
        <v>13422</v>
      </c>
      <c r="C7550" s="1" t="str">
        <f>HYPERLINK("http://www.genecards.org/cgi-bin/carddisp.pl?gene=NUP37","GeneCards")</f>
        <v>GeneCards</v>
      </c>
      <c r="D7550" s="1" t="str">
        <f>HYPERLINK("http://genome-euro.ucsc.edu/cgi-bin/hgTracks?position=218622_at","UCSC")</f>
        <v>UCSC</v>
      </c>
      <c r="E7550" s="1" t="str">
        <f>HYPERLINK("http://www.ncbi.nlm.nih.gov/gene/?term=NUP37","NCBI")</f>
        <v>NCBI</v>
      </c>
      <c r="F7550">
        <v>0.11</v>
      </c>
      <c r="G7550">
        <v>0.24</v>
      </c>
      <c r="H7550" s="1" t="str">
        <f>HYPERLINK("http://www.weizmann.ac.il/complex/compphys/software/geview/data/figures/218622_at.png","Figure")</f>
        <v>Figure</v>
      </c>
      <c r="I7550">
        <v>0.94499999999999995</v>
      </c>
      <c r="J7550">
        <v>0.96</v>
      </c>
      <c r="K7550">
        <v>1.38</v>
      </c>
      <c r="L7550">
        <v>0.2</v>
      </c>
      <c r="M7550">
        <v>1.46</v>
      </c>
      <c r="N7550">
        <v>0.15</v>
      </c>
    </row>
    <row r="7551" spans="1:14" x14ac:dyDescent="0.25">
      <c r="A7551" t="s">
        <v>13423</v>
      </c>
      <c r="B7551" t="s">
        <v>13424</v>
      </c>
      <c r="C7551" s="1" t="str">
        <f>HYPERLINK("http://www.genecards.org/cgi-bin/carddisp.pl?gene=FXR1","GeneCards")</f>
        <v>GeneCards</v>
      </c>
      <c r="D7551" s="1" t="str">
        <f>HYPERLINK("http://genome-euro.ucsc.edu/cgi-bin/hgTracks?position=201635_s_at","UCSC")</f>
        <v>UCSC</v>
      </c>
      <c r="E7551" s="1" t="str">
        <f>HYPERLINK("http://www.ncbi.nlm.nih.gov/gene/?term=FXR1","NCBI")</f>
        <v>NCBI</v>
      </c>
      <c r="F7551">
        <v>0.11</v>
      </c>
      <c r="G7551">
        <v>0.24</v>
      </c>
      <c r="H7551" s="1" t="str">
        <f>HYPERLINK("http://www.weizmann.ac.il/complex/compphys/software/geview/data/figures/201635_s_at.png","Figure")</f>
        <v>Figure</v>
      </c>
      <c r="I7551">
        <v>1.36</v>
      </c>
      <c r="J7551">
        <v>0.5</v>
      </c>
      <c r="K7551">
        <v>0.77200000000000002</v>
      </c>
      <c r="L7551">
        <v>0.51</v>
      </c>
      <c r="M7551">
        <v>0.56999999999999995</v>
      </c>
      <c r="N7551">
        <v>9.1999999999999998E-2</v>
      </c>
    </row>
    <row r="7552" spans="1:14" x14ac:dyDescent="0.25">
      <c r="A7552" t="s">
        <v>13425</v>
      </c>
      <c r="B7552" t="s">
        <v>4327</v>
      </c>
      <c r="C7552" s="1" t="str">
        <f>HYPERLINK("http://www.genecards.org/cgi-bin/carddisp.pl?gene=MADD","GeneCards")</f>
        <v>GeneCards</v>
      </c>
      <c r="D7552" s="1" t="str">
        <f>HYPERLINK("http://genome-euro.ucsc.edu/cgi-bin/hgTracks?position=38398_at","UCSC")</f>
        <v>UCSC</v>
      </c>
      <c r="E7552" s="1" t="str">
        <f>HYPERLINK("http://www.ncbi.nlm.nih.gov/gene/?term=MADD","NCBI")</f>
        <v>NCBI</v>
      </c>
      <c r="F7552">
        <v>0.11</v>
      </c>
      <c r="G7552">
        <v>0.24</v>
      </c>
      <c r="H7552" s="1" t="str">
        <f>HYPERLINK("http://www.weizmann.ac.il/complex/compphys/software/geview/data/figures/38398_at.png","Figure")</f>
        <v>Figure</v>
      </c>
      <c r="I7552">
        <v>1.18</v>
      </c>
      <c r="J7552">
        <v>0.11</v>
      </c>
      <c r="K7552">
        <v>1.1200000000000001</v>
      </c>
      <c r="L7552">
        <v>0.22</v>
      </c>
      <c r="M7552">
        <v>0.95399999999999996</v>
      </c>
      <c r="N7552">
        <v>0.78</v>
      </c>
    </row>
    <row r="7553" spans="1:14" x14ac:dyDescent="0.25">
      <c r="A7553" t="s">
        <v>13426</v>
      </c>
      <c r="B7553" t="s">
        <v>13427</v>
      </c>
      <c r="C7553" s="1" t="str">
        <f>HYPERLINK("http://www.genecards.org/cgi-bin/carddisp.pl?gene=PELI2","GeneCards")</f>
        <v>GeneCards</v>
      </c>
      <c r="D7553" s="1" t="str">
        <f>HYPERLINK("http://genome-euro.ucsc.edu/cgi-bin/hgTracks?position=219132_at","UCSC")</f>
        <v>UCSC</v>
      </c>
      <c r="E7553" s="1" t="str">
        <f>HYPERLINK("http://www.ncbi.nlm.nih.gov/gene/?term=PELI2","NCBI")</f>
        <v>NCBI</v>
      </c>
      <c r="F7553">
        <v>0.11</v>
      </c>
      <c r="G7553">
        <v>0.24</v>
      </c>
      <c r="H7553" s="1" t="str">
        <f>HYPERLINK("http://www.weizmann.ac.il/complex/compphys/software/geview/data/figures/219132_at.png","Figure")</f>
        <v>Figure</v>
      </c>
      <c r="I7553">
        <v>1.05</v>
      </c>
      <c r="J7553">
        <v>0.95</v>
      </c>
      <c r="K7553">
        <v>0.76500000000000001</v>
      </c>
      <c r="L7553">
        <v>0.2</v>
      </c>
      <c r="M7553">
        <v>0.72599999999999998</v>
      </c>
      <c r="N7553">
        <v>0.15</v>
      </c>
    </row>
    <row r="7554" spans="1:14" x14ac:dyDescent="0.25">
      <c r="A7554" t="s">
        <v>13428</v>
      </c>
      <c r="B7554" t="s">
        <v>11493</v>
      </c>
      <c r="C7554" s="1" t="str">
        <f>HYPERLINK("http://www.genecards.org/cgi-bin/carddisp.pl?gene=EPM2A","GeneCards")</f>
        <v>GeneCards</v>
      </c>
      <c r="D7554" s="1" t="str">
        <f>HYPERLINK("http://genome-euro.ucsc.edu/cgi-bin/hgTracks?position=216079_at","UCSC")</f>
        <v>UCSC</v>
      </c>
      <c r="E7554" s="1" t="str">
        <f>HYPERLINK("http://www.ncbi.nlm.nih.gov/gene/?term=EPM2A","NCBI")</f>
        <v>NCBI</v>
      </c>
      <c r="F7554">
        <v>0.11</v>
      </c>
      <c r="G7554">
        <v>0.24</v>
      </c>
      <c r="H7554" s="1" t="str">
        <f>HYPERLINK("http://www.weizmann.ac.il/complex/compphys/software/geview/data/figures/216079_at.png","Figure")</f>
        <v>Figure</v>
      </c>
      <c r="I7554">
        <v>1.2</v>
      </c>
      <c r="J7554">
        <v>0.09</v>
      </c>
      <c r="K7554">
        <v>1.0900000000000001</v>
      </c>
      <c r="L7554">
        <v>0.45</v>
      </c>
      <c r="M7554">
        <v>0.90800000000000003</v>
      </c>
      <c r="N7554">
        <v>0.41</v>
      </c>
    </row>
    <row r="7555" spans="1:14" x14ac:dyDescent="0.25">
      <c r="A7555" t="s">
        <v>13429</v>
      </c>
      <c r="B7555" t="s">
        <v>13430</v>
      </c>
      <c r="C7555" s="1" t="str">
        <f>HYPERLINK("http://www.genecards.org/cgi-bin/carddisp.pl?gene=PNN","GeneCards")</f>
        <v>GeneCards</v>
      </c>
      <c r="D7555" s="1" t="str">
        <f>HYPERLINK("http://genome-euro.ucsc.edu/cgi-bin/hgTracks?position=212037_at","UCSC")</f>
        <v>UCSC</v>
      </c>
      <c r="E7555" s="1" t="str">
        <f>HYPERLINK("http://www.ncbi.nlm.nih.gov/gene/?term=PNN","NCBI")</f>
        <v>NCBI</v>
      </c>
      <c r="F7555">
        <v>0.11</v>
      </c>
      <c r="G7555">
        <v>0.24</v>
      </c>
      <c r="H7555" s="1" t="str">
        <f>HYPERLINK("http://www.weizmann.ac.il/complex/compphys/software/geview/data/figures/212037_at.png","Figure")</f>
        <v>Figure</v>
      </c>
      <c r="I7555">
        <v>0.51100000000000001</v>
      </c>
      <c r="J7555">
        <v>0.12</v>
      </c>
      <c r="K7555">
        <v>0.60599999999999998</v>
      </c>
      <c r="L7555">
        <v>0.2</v>
      </c>
      <c r="M7555">
        <v>1.18</v>
      </c>
      <c r="N7555">
        <v>0.83</v>
      </c>
    </row>
    <row r="7556" spans="1:14" x14ac:dyDescent="0.25">
      <c r="A7556" t="s">
        <v>13431</v>
      </c>
      <c r="B7556" t="s">
        <v>13432</v>
      </c>
      <c r="C7556" s="1" t="str">
        <f>HYPERLINK("http://www.genecards.org/cgi-bin/carddisp.pl?gene=PCBP2","GeneCards")</f>
        <v>GeneCards</v>
      </c>
      <c r="D7556" s="1" t="str">
        <f>HYPERLINK("http://genome-euro.ucsc.edu/cgi-bin/hgTracks?position=213517_at","UCSC")</f>
        <v>UCSC</v>
      </c>
      <c r="E7556" s="1" t="str">
        <f>HYPERLINK("http://www.ncbi.nlm.nih.gov/gene/?term=PCBP2","NCBI")</f>
        <v>NCBI</v>
      </c>
      <c r="F7556">
        <v>0.11</v>
      </c>
      <c r="G7556">
        <v>0.24</v>
      </c>
      <c r="H7556" s="1" t="str">
        <f>HYPERLINK("http://www.weizmann.ac.il/complex/compphys/software/geview/data/figures/213517_at.png","Figure")</f>
        <v>Figure</v>
      </c>
      <c r="I7556">
        <v>1.52</v>
      </c>
      <c r="J7556">
        <v>0.38</v>
      </c>
      <c r="K7556">
        <v>0.79</v>
      </c>
      <c r="L7556">
        <v>0.66</v>
      </c>
      <c r="M7556">
        <v>0.51800000000000002</v>
      </c>
      <c r="N7556">
        <v>0.09</v>
      </c>
    </row>
    <row r="7557" spans="1:14" x14ac:dyDescent="0.25">
      <c r="A7557" t="s">
        <v>13433</v>
      </c>
      <c r="B7557" t="s">
        <v>13434</v>
      </c>
      <c r="C7557" s="1" t="str">
        <f>HYPERLINK("http://www.genecards.org/cgi-bin/carddisp.pl?gene=EPHA4","GeneCards")</f>
        <v>GeneCards</v>
      </c>
      <c r="D7557" s="1" t="str">
        <f>HYPERLINK("http://genome-euro.ucsc.edu/cgi-bin/hgTracks?position=206114_at","UCSC")</f>
        <v>UCSC</v>
      </c>
      <c r="E7557" s="1" t="str">
        <f>HYPERLINK("http://www.ncbi.nlm.nih.gov/gene/?term=EPHA4","NCBI")</f>
        <v>NCBI</v>
      </c>
      <c r="F7557">
        <v>0.11</v>
      </c>
      <c r="G7557">
        <v>0.24</v>
      </c>
      <c r="H7557" s="1" t="str">
        <f>HYPERLINK("http://www.weizmann.ac.il/complex/compphys/software/geview/data/figures/206114_at.png","Figure")</f>
        <v>Figure</v>
      </c>
      <c r="I7557">
        <v>1.44</v>
      </c>
      <c r="J7557">
        <v>9.6000000000000002E-2</v>
      </c>
      <c r="K7557">
        <v>1.1200000000000001</v>
      </c>
      <c r="L7557">
        <v>0.7</v>
      </c>
      <c r="M7557">
        <v>0.77900000000000003</v>
      </c>
      <c r="N7557">
        <v>0.25</v>
      </c>
    </row>
    <row r="7558" spans="1:14" x14ac:dyDescent="0.25">
      <c r="A7558" t="s">
        <v>13435</v>
      </c>
      <c r="B7558" t="s">
        <v>13436</v>
      </c>
      <c r="C7558" s="1" t="str">
        <f>HYPERLINK("http://www.genecards.org/cgi-bin/carddisp.pl?gene=NOD2","GeneCards")</f>
        <v>GeneCards</v>
      </c>
      <c r="D7558" s="1" t="str">
        <f>HYPERLINK("http://genome-euro.ucsc.edu/cgi-bin/hgTracks?position=220066_at","UCSC")</f>
        <v>UCSC</v>
      </c>
      <c r="E7558" s="1" t="str">
        <f>HYPERLINK("http://www.ncbi.nlm.nih.gov/gene/?term=NOD2","NCBI")</f>
        <v>NCBI</v>
      </c>
      <c r="F7558">
        <v>0.11</v>
      </c>
      <c r="G7558">
        <v>0.24</v>
      </c>
      <c r="H7558" s="1" t="str">
        <f>HYPERLINK("http://www.weizmann.ac.il/complex/compphys/software/geview/data/figures/220066_at.png","Figure")</f>
        <v>Figure</v>
      </c>
      <c r="I7558">
        <v>1.04</v>
      </c>
      <c r="J7558">
        <v>0.19</v>
      </c>
      <c r="K7558">
        <v>1.04</v>
      </c>
      <c r="L7558">
        <v>0.12</v>
      </c>
      <c r="M7558">
        <v>1</v>
      </c>
      <c r="N7558">
        <v>1</v>
      </c>
    </row>
    <row r="7559" spans="1:14" x14ac:dyDescent="0.25">
      <c r="A7559" t="s">
        <v>13437</v>
      </c>
      <c r="B7559" t="s">
        <v>13438</v>
      </c>
      <c r="C7559" s="1" t="str">
        <f>HYPERLINK("http://www.genecards.org/cgi-bin/carddisp.pl?gene=TMEM185B","GeneCards")</f>
        <v>GeneCards</v>
      </c>
      <c r="D7559" s="1" t="str">
        <f>HYPERLINK("http://genome-euro.ucsc.edu/cgi-bin/hgTracks?position=219253_at","UCSC")</f>
        <v>UCSC</v>
      </c>
      <c r="E7559" s="1" t="str">
        <f>HYPERLINK("http://www.ncbi.nlm.nih.gov/gene/?term=TMEM185B","NCBI")</f>
        <v>NCBI</v>
      </c>
      <c r="F7559">
        <v>0.11</v>
      </c>
      <c r="G7559">
        <v>0.24</v>
      </c>
      <c r="H7559" s="1" t="str">
        <f>HYPERLINK("http://www.weizmann.ac.il/complex/compphys/software/geview/data/figures/219253_at.png","Figure")</f>
        <v>Figure</v>
      </c>
      <c r="I7559">
        <v>0.67700000000000005</v>
      </c>
      <c r="J7559">
        <v>0.11</v>
      </c>
      <c r="K7559">
        <v>0.75900000000000001</v>
      </c>
      <c r="L7559">
        <v>0.22</v>
      </c>
      <c r="M7559">
        <v>1.1200000000000001</v>
      </c>
      <c r="N7559">
        <v>0.78</v>
      </c>
    </row>
    <row r="7560" spans="1:14" x14ac:dyDescent="0.25">
      <c r="A7560" t="s">
        <v>13439</v>
      </c>
      <c r="B7560" t="s">
        <v>12152</v>
      </c>
      <c r="C7560" s="1" t="str">
        <f>HYPERLINK("http://www.genecards.org/cgi-bin/carddisp.pl?gene=SCYL3","GeneCards")</f>
        <v>GeneCards</v>
      </c>
      <c r="D7560" s="1" t="str">
        <f>HYPERLINK("http://genome-euro.ucsc.edu/cgi-bin/hgTracks?position=205607_s_at","UCSC")</f>
        <v>UCSC</v>
      </c>
      <c r="E7560" s="1" t="str">
        <f>HYPERLINK("http://www.ncbi.nlm.nih.gov/gene/?term=SCYL3","NCBI")</f>
        <v>NCBI</v>
      </c>
      <c r="F7560">
        <v>0.11</v>
      </c>
      <c r="G7560">
        <v>0.24</v>
      </c>
      <c r="H7560" s="1" t="str">
        <f>HYPERLINK("http://www.weizmann.ac.il/complex/compphys/software/geview/data/figures/205607_s_at.png","Figure")</f>
        <v>Figure</v>
      </c>
      <c r="I7560">
        <v>0.995</v>
      </c>
      <c r="J7560">
        <v>1</v>
      </c>
      <c r="K7560">
        <v>1.23</v>
      </c>
      <c r="L7560">
        <v>0.16</v>
      </c>
      <c r="M7560">
        <v>1.24</v>
      </c>
      <c r="N7560">
        <v>0.18</v>
      </c>
    </row>
    <row r="7561" spans="1:14" x14ac:dyDescent="0.25">
      <c r="A7561" t="s">
        <v>13440</v>
      </c>
      <c r="B7561" t="s">
        <v>13441</v>
      </c>
      <c r="C7561" s="1" t="str">
        <f>HYPERLINK("http://www.genecards.org/cgi-bin/carddisp.pl?gene=DGUOK","GeneCards")</f>
        <v>GeneCards</v>
      </c>
      <c r="D7561" s="1" t="str">
        <f>HYPERLINK("http://genome-euro.ucsc.edu/cgi-bin/hgTracks?position=203816_at","UCSC")</f>
        <v>UCSC</v>
      </c>
      <c r="E7561" s="1" t="str">
        <f>HYPERLINK("http://www.ncbi.nlm.nih.gov/gene/?term=DGUOK","NCBI")</f>
        <v>NCBI</v>
      </c>
      <c r="F7561">
        <v>0.11</v>
      </c>
      <c r="G7561">
        <v>0.24</v>
      </c>
      <c r="H7561" s="1" t="str">
        <f>HYPERLINK("http://www.weizmann.ac.il/complex/compphys/software/geview/data/figures/203816_at.png","Figure")</f>
        <v>Figure</v>
      </c>
      <c r="I7561">
        <v>0.80600000000000005</v>
      </c>
      <c r="J7561">
        <v>0.27</v>
      </c>
      <c r="K7561">
        <v>1.07</v>
      </c>
      <c r="L7561">
        <v>0.83</v>
      </c>
      <c r="M7561">
        <v>1.33</v>
      </c>
      <c r="N7561">
        <v>9.4E-2</v>
      </c>
    </row>
    <row r="7562" spans="1:14" x14ac:dyDescent="0.25">
      <c r="A7562" t="s">
        <v>13442</v>
      </c>
      <c r="B7562" t="s">
        <v>13443</v>
      </c>
      <c r="C7562" s="1" t="str">
        <f>HYPERLINK("http://www.genecards.org/cgi-bin/carddisp.pl?gene=MAGEC2","GeneCards")</f>
        <v>GeneCards</v>
      </c>
      <c r="D7562" s="1" t="str">
        <f>HYPERLINK("http://genome-euro.ucsc.edu/cgi-bin/hgTracks?position=220062_s_at","UCSC")</f>
        <v>UCSC</v>
      </c>
      <c r="E7562" s="1" t="str">
        <f>HYPERLINK("http://www.ncbi.nlm.nih.gov/gene/?term=MAGEC2","NCBI")</f>
        <v>NCBI</v>
      </c>
      <c r="F7562">
        <v>0.11</v>
      </c>
      <c r="G7562">
        <v>0.24</v>
      </c>
      <c r="H7562" s="1" t="str">
        <f>HYPERLINK("http://www.weizmann.ac.il/complex/compphys/software/geview/data/figures/220062_s_at.png","Figure")</f>
        <v>Figure</v>
      </c>
      <c r="I7562">
        <v>1.18</v>
      </c>
      <c r="J7562">
        <v>0.13</v>
      </c>
      <c r="K7562">
        <v>1.02</v>
      </c>
      <c r="L7562">
        <v>0.97</v>
      </c>
      <c r="M7562">
        <v>0.86</v>
      </c>
      <c r="N7562">
        <v>0.14000000000000001</v>
      </c>
    </row>
    <row r="7563" spans="1:14" x14ac:dyDescent="0.25">
      <c r="A7563" t="s">
        <v>13444</v>
      </c>
      <c r="B7563" t="s">
        <v>13445</v>
      </c>
      <c r="C7563" s="1" t="str">
        <f>HYPERLINK("http://www.genecards.org/cgi-bin/carddisp.pl?gene=RAB7L1","GeneCards")</f>
        <v>GeneCards</v>
      </c>
      <c r="D7563" s="1" t="str">
        <f>HYPERLINK("http://genome-euro.ucsc.edu/cgi-bin/hgTracks?position=218699_at","UCSC")</f>
        <v>UCSC</v>
      </c>
      <c r="E7563" s="1" t="str">
        <f>HYPERLINK("http://www.ncbi.nlm.nih.gov/gene/?term=RAB7L1","NCBI")</f>
        <v>NCBI</v>
      </c>
      <c r="F7563">
        <v>0.11</v>
      </c>
      <c r="G7563">
        <v>0.24</v>
      </c>
      <c r="H7563" s="1" t="str">
        <f>HYPERLINK("http://www.weizmann.ac.il/complex/compphys/software/geview/data/figures/218699_at.png","Figure")</f>
        <v>Figure</v>
      </c>
      <c r="I7563">
        <v>0.78400000000000003</v>
      </c>
      <c r="J7563">
        <v>0.15</v>
      </c>
      <c r="K7563">
        <v>0.99299999999999999</v>
      </c>
      <c r="L7563">
        <v>1</v>
      </c>
      <c r="M7563">
        <v>1.27</v>
      </c>
      <c r="N7563">
        <v>0.13</v>
      </c>
    </row>
    <row r="7564" spans="1:14" x14ac:dyDescent="0.25">
      <c r="A7564" t="s">
        <v>13446</v>
      </c>
      <c r="B7564" t="s">
        <v>13447</v>
      </c>
      <c r="C7564" s="1" t="str">
        <f>HYPERLINK("http://www.genecards.org/cgi-bin/carddisp.pl?gene=KIAA1644","GeneCards")</f>
        <v>GeneCards</v>
      </c>
      <c r="D7564" s="1" t="str">
        <f>HYPERLINK("http://genome-euro.ucsc.edu/cgi-bin/hgTracks?position=221901_at","UCSC")</f>
        <v>UCSC</v>
      </c>
      <c r="E7564" s="1" t="str">
        <f>HYPERLINK("http://www.ncbi.nlm.nih.gov/gene/?term=KIAA1644","NCBI")</f>
        <v>NCBI</v>
      </c>
      <c r="F7564">
        <v>0.11</v>
      </c>
      <c r="G7564">
        <v>0.24</v>
      </c>
      <c r="H7564" s="1" t="str">
        <f>HYPERLINK("http://www.weizmann.ac.il/complex/compphys/software/geview/data/figures/221901_at.png","Figure")</f>
        <v>Figure</v>
      </c>
      <c r="I7564">
        <v>1.19</v>
      </c>
      <c r="J7564">
        <v>0.25</v>
      </c>
      <c r="K7564">
        <v>0.95399999999999996</v>
      </c>
      <c r="L7564">
        <v>0.86</v>
      </c>
      <c r="M7564">
        <v>0.80200000000000005</v>
      </c>
      <c r="N7564">
        <v>9.6000000000000002E-2</v>
      </c>
    </row>
    <row r="7565" spans="1:14" x14ac:dyDescent="0.25">
      <c r="A7565" t="s">
        <v>13448</v>
      </c>
      <c r="B7565" t="s">
        <v>2561</v>
      </c>
      <c r="C7565" s="1" t="str">
        <f>HYPERLINK("http://www.genecards.org/cgi-bin/carddisp.pl?gene=RNF10","GeneCards")</f>
        <v>GeneCards</v>
      </c>
      <c r="D7565" s="1" t="str">
        <f>HYPERLINK("http://genome-euro.ucsc.edu/cgi-bin/hgTracks?position=207801_s_at","UCSC")</f>
        <v>UCSC</v>
      </c>
      <c r="E7565" s="1" t="str">
        <f>HYPERLINK("http://www.ncbi.nlm.nih.gov/gene/?term=RNF10","NCBI")</f>
        <v>NCBI</v>
      </c>
      <c r="F7565">
        <v>0.11</v>
      </c>
      <c r="G7565">
        <v>0.24</v>
      </c>
      <c r="H7565" s="1" t="str">
        <f>HYPERLINK("http://www.weizmann.ac.il/complex/compphys/software/geview/data/figures/207801_s_at.png","Figure")</f>
        <v>Figure</v>
      </c>
      <c r="I7565">
        <v>0.94399999999999995</v>
      </c>
      <c r="J7565">
        <v>0.89</v>
      </c>
      <c r="K7565">
        <v>0.79</v>
      </c>
      <c r="L7565">
        <v>0.11</v>
      </c>
      <c r="M7565">
        <v>0.83699999999999997</v>
      </c>
      <c r="N7565">
        <v>0.31</v>
      </c>
    </row>
    <row r="7566" spans="1:14" x14ac:dyDescent="0.25">
      <c r="A7566" t="s">
        <v>13449</v>
      </c>
      <c r="B7566" t="s">
        <v>13450</v>
      </c>
      <c r="C7566" s="1" t="str">
        <f>HYPERLINK("http://www.genecards.org/cgi-bin/carddisp.pl?gene=SLC30A1","GeneCards")</f>
        <v>GeneCards</v>
      </c>
      <c r="D7566" s="1" t="str">
        <f>HYPERLINK("http://genome-euro.ucsc.edu/cgi-bin/hgTracks?position=212907_at","UCSC")</f>
        <v>UCSC</v>
      </c>
      <c r="E7566" s="1" t="str">
        <f>HYPERLINK("http://www.ncbi.nlm.nih.gov/gene/?term=SLC30A1","NCBI")</f>
        <v>NCBI</v>
      </c>
      <c r="F7566">
        <v>0.11</v>
      </c>
      <c r="G7566">
        <v>0.24</v>
      </c>
      <c r="H7566" s="1" t="str">
        <f>HYPERLINK("http://www.weizmann.ac.il/complex/compphys/software/geview/data/figures/212907_at.png","Figure")</f>
        <v>Figure</v>
      </c>
      <c r="I7566">
        <v>0.34100000000000003</v>
      </c>
      <c r="J7566">
        <v>9.5000000000000001E-2</v>
      </c>
      <c r="K7566">
        <v>0.54300000000000004</v>
      </c>
      <c r="L7566">
        <v>0.33</v>
      </c>
      <c r="M7566">
        <v>1.59</v>
      </c>
      <c r="N7566">
        <v>0.56000000000000005</v>
      </c>
    </row>
    <row r="7567" spans="1:14" x14ac:dyDescent="0.25">
      <c r="A7567" t="s">
        <v>13451</v>
      </c>
      <c r="B7567" t="s">
        <v>9882</v>
      </c>
      <c r="C7567" s="1" t="str">
        <f>HYPERLINK("http://www.genecards.org/cgi-bin/carddisp.pl?gene=ADRBK1","GeneCards")</f>
        <v>GeneCards</v>
      </c>
      <c r="D7567" s="1" t="str">
        <f>HYPERLINK("http://genome-euro.ucsc.edu/cgi-bin/hgTracks?position=201402_at","UCSC")</f>
        <v>UCSC</v>
      </c>
      <c r="E7567" s="1" t="str">
        <f>HYPERLINK("http://www.ncbi.nlm.nih.gov/gene/?term=ADRBK1","NCBI")</f>
        <v>NCBI</v>
      </c>
      <c r="F7567">
        <v>0.11</v>
      </c>
      <c r="G7567">
        <v>0.24</v>
      </c>
      <c r="H7567" s="1" t="str">
        <f>HYPERLINK("http://www.weizmann.ac.il/complex/compphys/software/geview/data/figures/201402_at.png","Figure")</f>
        <v>Figure</v>
      </c>
      <c r="I7567">
        <v>1.21</v>
      </c>
      <c r="J7567">
        <v>9.0999999999999998E-2</v>
      </c>
      <c r="K7567">
        <v>1.08</v>
      </c>
      <c r="L7567">
        <v>0.55000000000000004</v>
      </c>
      <c r="M7567">
        <v>0.89200000000000002</v>
      </c>
      <c r="N7567">
        <v>0.34</v>
      </c>
    </row>
    <row r="7568" spans="1:14" x14ac:dyDescent="0.25">
      <c r="A7568" t="s">
        <v>13452</v>
      </c>
      <c r="B7568" t="s">
        <v>13453</v>
      </c>
      <c r="C7568" s="1" t="str">
        <f>HYPERLINK("http://www.genecards.org/cgi-bin/carddisp.pl?gene=GP1BB","GeneCards")</f>
        <v>GeneCards</v>
      </c>
      <c r="D7568" s="1" t="str">
        <f>HYPERLINK("http://genome-euro.ucsc.edu/cgi-bin/hgTracks?position=209769_s_at","UCSC")</f>
        <v>UCSC</v>
      </c>
      <c r="E7568" s="1" t="str">
        <f>HYPERLINK("http://www.ncbi.nlm.nih.gov/gene/?term=GP1BB","NCBI")</f>
        <v>NCBI</v>
      </c>
      <c r="F7568">
        <v>0.11</v>
      </c>
      <c r="G7568">
        <v>0.24</v>
      </c>
      <c r="H7568" s="1" t="str">
        <f>HYPERLINK("http://www.weizmann.ac.il/complex/compphys/software/geview/data/figures/209769_s_at.png","Figure")</f>
        <v>Figure</v>
      </c>
      <c r="I7568">
        <v>1.45</v>
      </c>
      <c r="J7568">
        <v>0.14000000000000001</v>
      </c>
      <c r="K7568">
        <v>1.37</v>
      </c>
      <c r="L7568">
        <v>0.16</v>
      </c>
      <c r="M7568">
        <v>0.94099999999999995</v>
      </c>
      <c r="N7568">
        <v>0.93</v>
      </c>
    </row>
    <row r="7569" spans="1:14" x14ac:dyDescent="0.25">
      <c r="A7569" t="s">
        <v>13454</v>
      </c>
      <c r="B7569" t="s">
        <v>13455</v>
      </c>
      <c r="C7569" s="1" t="str">
        <f>HYPERLINK("http://www.genecards.org/cgi-bin/carddisp.pl?gene=TUB","GeneCards")</f>
        <v>GeneCards</v>
      </c>
      <c r="D7569" s="1" t="str">
        <f>HYPERLINK("http://genome-euro.ucsc.edu/cgi-bin/hgTracks?position=210737_at","UCSC")</f>
        <v>UCSC</v>
      </c>
      <c r="E7569" s="1" t="str">
        <f>HYPERLINK("http://www.ncbi.nlm.nih.gov/gene/?term=TUB","NCBI")</f>
        <v>NCBI</v>
      </c>
      <c r="F7569">
        <v>0.11</v>
      </c>
      <c r="G7569">
        <v>0.24</v>
      </c>
      <c r="H7569" s="1" t="str">
        <f>HYPERLINK("http://www.weizmann.ac.il/complex/compphys/software/geview/data/figures/210737_at.png","Figure")</f>
        <v>Figure</v>
      </c>
      <c r="I7569">
        <v>1.27</v>
      </c>
      <c r="J7569">
        <v>9.1999999999999998E-2</v>
      </c>
      <c r="K7569">
        <v>1.1000000000000001</v>
      </c>
      <c r="L7569">
        <v>0.57999999999999996</v>
      </c>
      <c r="M7569">
        <v>0.86499999999999999</v>
      </c>
      <c r="N7569">
        <v>0.32</v>
      </c>
    </row>
    <row r="7570" spans="1:14" x14ac:dyDescent="0.25">
      <c r="A7570" t="s">
        <v>13456</v>
      </c>
      <c r="B7570" t="s">
        <v>13457</v>
      </c>
      <c r="C7570" s="1" t="str">
        <f>HYPERLINK("http://www.genecards.org/cgi-bin/carddisp.pl?gene=FPGS","GeneCards")</f>
        <v>GeneCards</v>
      </c>
      <c r="D7570" s="1" t="str">
        <f>HYPERLINK("http://genome-euro.ucsc.edu/cgi-bin/hgTracks?position=202945_at","UCSC")</f>
        <v>UCSC</v>
      </c>
      <c r="E7570" s="1" t="str">
        <f>HYPERLINK("http://www.ncbi.nlm.nih.gov/gene/?term=FPGS","NCBI")</f>
        <v>NCBI</v>
      </c>
      <c r="F7570">
        <v>0.11</v>
      </c>
      <c r="G7570">
        <v>0.24</v>
      </c>
      <c r="H7570" s="1" t="str">
        <f>HYPERLINK("http://www.weizmann.ac.il/complex/compphys/software/geview/data/figures/202945_at.png","Figure")</f>
        <v>Figure</v>
      </c>
      <c r="I7570">
        <v>1.35</v>
      </c>
      <c r="J7570">
        <v>0.23</v>
      </c>
      <c r="K7570">
        <v>1.38</v>
      </c>
      <c r="L7570">
        <v>0.11</v>
      </c>
      <c r="M7570">
        <v>1.03</v>
      </c>
      <c r="N7570">
        <v>0.98</v>
      </c>
    </row>
    <row r="7571" spans="1:14" x14ac:dyDescent="0.25">
      <c r="A7571" t="s">
        <v>13458</v>
      </c>
      <c r="B7571" t="s">
        <v>13459</v>
      </c>
      <c r="C7571" s="1" t="str">
        <f>HYPERLINK("http://www.genecards.org/cgi-bin/carddisp.pl?gene=C19orf72","GeneCards")</f>
        <v>GeneCards</v>
      </c>
      <c r="D7571" s="1" t="str">
        <f>HYPERLINK("http://genome-euro.ucsc.edu/cgi-bin/hgTracks?position=222012_at","UCSC")</f>
        <v>UCSC</v>
      </c>
      <c r="E7571" s="1" t="str">
        <f>HYPERLINK("http://www.ncbi.nlm.nih.gov/gene/?term=C19orf72","NCBI")</f>
        <v>NCBI</v>
      </c>
      <c r="F7571">
        <v>0.11</v>
      </c>
      <c r="G7571">
        <v>0.24</v>
      </c>
      <c r="H7571" s="1" t="str">
        <f>HYPERLINK("http://www.weizmann.ac.il/complex/compphys/software/geview/data/figures/222012_at.png","Figure")</f>
        <v>Figure</v>
      </c>
      <c r="I7571">
        <v>1.3</v>
      </c>
      <c r="J7571">
        <v>9.0999999999999998E-2</v>
      </c>
      <c r="K7571">
        <v>1.1399999999999999</v>
      </c>
      <c r="L7571">
        <v>0.42</v>
      </c>
      <c r="M7571">
        <v>0.875</v>
      </c>
      <c r="N7571">
        <v>0.45</v>
      </c>
    </row>
    <row r="7572" spans="1:14" x14ac:dyDescent="0.25">
      <c r="A7572" t="s">
        <v>13460</v>
      </c>
      <c r="B7572" t="s">
        <v>13461</v>
      </c>
      <c r="C7572" s="1" t="str">
        <f>HYPERLINK("http://www.genecards.org/cgi-bin/carddisp.pl?gene=SNX2","GeneCards")</f>
        <v>GeneCards</v>
      </c>
      <c r="D7572" s="1" t="str">
        <f>HYPERLINK("http://genome-euro.ucsc.edu/cgi-bin/hgTracks?position=202114_at","UCSC")</f>
        <v>UCSC</v>
      </c>
      <c r="E7572" s="1" t="str">
        <f>HYPERLINK("http://www.ncbi.nlm.nih.gov/gene/?term=SNX2","NCBI")</f>
        <v>NCBI</v>
      </c>
      <c r="F7572">
        <v>0.11</v>
      </c>
      <c r="G7572">
        <v>0.24</v>
      </c>
      <c r="H7572" s="1" t="str">
        <f>HYPERLINK("http://www.weizmann.ac.il/complex/compphys/software/geview/data/figures/202114_at.png","Figure")</f>
        <v>Figure</v>
      </c>
      <c r="I7572">
        <v>0.99</v>
      </c>
      <c r="J7572">
        <v>1</v>
      </c>
      <c r="K7572">
        <v>0.78100000000000003</v>
      </c>
      <c r="L7572">
        <v>0.15</v>
      </c>
      <c r="M7572">
        <v>0.79</v>
      </c>
      <c r="N7572">
        <v>0.21</v>
      </c>
    </row>
    <row r="7573" spans="1:14" x14ac:dyDescent="0.25">
      <c r="A7573" t="s">
        <v>13462</v>
      </c>
      <c r="B7573" t="s">
        <v>13463</v>
      </c>
      <c r="C7573" s="1" t="str">
        <f>HYPERLINK("http://www.genecards.org/cgi-bin/carddisp.pl?gene=SIK1","GeneCards")</f>
        <v>GeneCards</v>
      </c>
      <c r="D7573" s="1" t="str">
        <f>HYPERLINK("http://genome-euro.ucsc.edu/cgi-bin/hgTracks?position=208078_s_at","UCSC")</f>
        <v>UCSC</v>
      </c>
      <c r="E7573" s="1" t="str">
        <f>HYPERLINK("http://www.ncbi.nlm.nih.gov/gene/?term=SIK1","NCBI")</f>
        <v>NCBI</v>
      </c>
      <c r="F7573">
        <v>0.11</v>
      </c>
      <c r="G7573">
        <v>0.24</v>
      </c>
      <c r="H7573" s="1" t="str">
        <f>HYPERLINK("http://www.weizmann.ac.il/complex/compphys/software/geview/data/figures/208078_s_at.png","Figure")</f>
        <v>Figure</v>
      </c>
      <c r="I7573">
        <v>0.246</v>
      </c>
      <c r="J7573">
        <v>9.5000000000000001E-2</v>
      </c>
      <c r="K7573">
        <v>0.628</v>
      </c>
      <c r="L7573">
        <v>0.67</v>
      </c>
      <c r="M7573">
        <v>2.5499999999999998</v>
      </c>
      <c r="N7573">
        <v>0.27</v>
      </c>
    </row>
    <row r="7574" spans="1:14" x14ac:dyDescent="0.25">
      <c r="A7574" t="s">
        <v>13464</v>
      </c>
      <c r="B7574" t="s">
        <v>13465</v>
      </c>
      <c r="C7574" s="1" t="str">
        <f>HYPERLINK("http://www.genecards.org/cgi-bin/carddisp.pl?gene=SDHB","GeneCards")</f>
        <v>GeneCards</v>
      </c>
      <c r="D7574" s="1" t="str">
        <f>HYPERLINK("http://genome-euro.ucsc.edu/cgi-bin/hgTracks?position=202675_at","UCSC")</f>
        <v>UCSC</v>
      </c>
      <c r="E7574" s="1" t="str">
        <f>HYPERLINK("http://www.ncbi.nlm.nih.gov/gene/?term=SDHB","NCBI")</f>
        <v>NCBI</v>
      </c>
      <c r="F7574">
        <v>0.11</v>
      </c>
      <c r="G7574">
        <v>0.24</v>
      </c>
      <c r="H7574" s="1" t="str">
        <f>HYPERLINK("http://www.weizmann.ac.il/complex/compphys/software/geview/data/figures/202675_at.png","Figure")</f>
        <v>Figure</v>
      </c>
      <c r="I7574">
        <v>0.94699999999999995</v>
      </c>
      <c r="J7574">
        <v>0.95</v>
      </c>
      <c r="K7574">
        <v>1.3</v>
      </c>
      <c r="L7574">
        <v>0.21</v>
      </c>
      <c r="M7574">
        <v>1.38</v>
      </c>
      <c r="N7574">
        <v>0.15</v>
      </c>
    </row>
    <row r="7575" spans="1:14" x14ac:dyDescent="0.25">
      <c r="A7575" t="s">
        <v>13466</v>
      </c>
      <c r="B7575" t="s">
        <v>13467</v>
      </c>
      <c r="C7575" s="1" t="str">
        <f>HYPERLINK("http://www.genecards.org/cgi-bin/carddisp.pl?gene=TACSTD2","GeneCards")</f>
        <v>GeneCards</v>
      </c>
      <c r="D7575" s="1" t="str">
        <f>HYPERLINK("http://genome-euro.ucsc.edu/cgi-bin/hgTracks?position=202285_s_at","UCSC")</f>
        <v>UCSC</v>
      </c>
      <c r="E7575" s="1" t="str">
        <f>HYPERLINK("http://www.ncbi.nlm.nih.gov/gene/?term=TACSTD2","NCBI")</f>
        <v>NCBI</v>
      </c>
      <c r="F7575">
        <v>0.11</v>
      </c>
      <c r="G7575">
        <v>0.24</v>
      </c>
      <c r="H7575" s="1" t="str">
        <f>HYPERLINK("http://www.weizmann.ac.il/complex/compphys/software/geview/data/figures/202285_s_at.png","Figure")</f>
        <v>Figure</v>
      </c>
      <c r="I7575">
        <v>1.05</v>
      </c>
      <c r="J7575">
        <v>9.4E-2</v>
      </c>
      <c r="K7575">
        <v>1.03</v>
      </c>
      <c r="L7575">
        <v>0.36</v>
      </c>
      <c r="M7575">
        <v>0.97899999999999998</v>
      </c>
      <c r="N7575">
        <v>0.52</v>
      </c>
    </row>
    <row r="7576" spans="1:14" x14ac:dyDescent="0.25">
      <c r="A7576" t="s">
        <v>13468</v>
      </c>
      <c r="B7576" t="s">
        <v>3964</v>
      </c>
      <c r="C7576" s="1" t="str">
        <f>HYPERLINK("http://www.genecards.org/cgi-bin/carddisp.pl?gene=TRIO","GeneCards")</f>
        <v>GeneCards</v>
      </c>
      <c r="D7576" s="1" t="str">
        <f>HYPERLINK("http://genome-euro.ucsc.edu/cgi-bin/hgTracks?position=216700_at","UCSC")</f>
        <v>UCSC</v>
      </c>
      <c r="E7576" s="1" t="str">
        <f>HYPERLINK("http://www.ncbi.nlm.nih.gov/gene/?term=TRIO","NCBI")</f>
        <v>NCBI</v>
      </c>
      <c r="F7576">
        <v>0.11</v>
      </c>
      <c r="G7576">
        <v>0.24</v>
      </c>
      <c r="H7576" s="1" t="str">
        <f>HYPERLINK("http://www.weizmann.ac.il/complex/compphys/software/geview/data/figures/216700_at.png","Figure")</f>
        <v>Figure</v>
      </c>
      <c r="I7576">
        <v>1.19</v>
      </c>
      <c r="J7576">
        <v>9.0999999999999998E-2</v>
      </c>
      <c r="K7576">
        <v>1.08</v>
      </c>
      <c r="L7576">
        <v>0.45</v>
      </c>
      <c r="M7576">
        <v>0.91300000000000003</v>
      </c>
      <c r="N7576">
        <v>0.41</v>
      </c>
    </row>
    <row r="7577" spans="1:14" x14ac:dyDescent="0.25">
      <c r="A7577" t="s">
        <v>13469</v>
      </c>
      <c r="B7577" t="s">
        <v>4893</v>
      </c>
      <c r="C7577" s="1" t="str">
        <f>HYPERLINK("http://www.genecards.org/cgi-bin/carddisp.pl?gene=PDPK1","GeneCards")</f>
        <v>GeneCards</v>
      </c>
      <c r="D7577" s="1" t="str">
        <f>HYPERLINK("http://genome-euro.ucsc.edu/cgi-bin/hgTracks?position=204524_at","UCSC")</f>
        <v>UCSC</v>
      </c>
      <c r="E7577" s="1" t="str">
        <f>HYPERLINK("http://www.ncbi.nlm.nih.gov/gene/?term=PDPK1","NCBI")</f>
        <v>NCBI</v>
      </c>
      <c r="F7577">
        <v>0.11</v>
      </c>
      <c r="G7577">
        <v>0.24</v>
      </c>
      <c r="H7577" s="1" t="str">
        <f>HYPERLINK("http://www.weizmann.ac.il/complex/compphys/software/geview/data/figures/204524_at.png","Figure")</f>
        <v>Figure</v>
      </c>
      <c r="I7577">
        <v>0.68700000000000006</v>
      </c>
      <c r="J7577">
        <v>0.11</v>
      </c>
      <c r="K7577">
        <v>0.93600000000000005</v>
      </c>
      <c r="L7577">
        <v>0.9</v>
      </c>
      <c r="M7577">
        <v>1.36</v>
      </c>
      <c r="N7577">
        <v>0.17</v>
      </c>
    </row>
    <row r="7578" spans="1:14" x14ac:dyDescent="0.25">
      <c r="A7578" t="s">
        <v>13470</v>
      </c>
      <c r="B7578" t="s">
        <v>13471</v>
      </c>
      <c r="C7578" s="1" t="str">
        <f>HYPERLINK("http://www.genecards.org/cgi-bin/carddisp.pl?gene=PECR","GeneCards")</f>
        <v>GeneCards</v>
      </c>
      <c r="D7578" s="1" t="str">
        <f>HYPERLINK("http://genome-euro.ucsc.edu/cgi-bin/hgTracks?position=221142_s_at","UCSC")</f>
        <v>UCSC</v>
      </c>
      <c r="E7578" s="1" t="str">
        <f>HYPERLINK("http://www.ncbi.nlm.nih.gov/gene/?term=PECR","NCBI")</f>
        <v>NCBI</v>
      </c>
      <c r="F7578">
        <v>0.11</v>
      </c>
      <c r="G7578">
        <v>0.24</v>
      </c>
      <c r="H7578" s="1" t="str">
        <f>HYPERLINK("http://www.weizmann.ac.il/complex/compphys/software/geview/data/figures/221142_s_at.png","Figure")</f>
        <v>Figure</v>
      </c>
      <c r="I7578">
        <v>1.1000000000000001</v>
      </c>
      <c r="J7578">
        <v>0.21</v>
      </c>
      <c r="K7578">
        <v>1.1100000000000001</v>
      </c>
      <c r="L7578">
        <v>0.12</v>
      </c>
      <c r="M7578">
        <v>1</v>
      </c>
      <c r="N7578">
        <v>1</v>
      </c>
    </row>
    <row r="7579" spans="1:14" x14ac:dyDescent="0.25">
      <c r="A7579" t="s">
        <v>13472</v>
      </c>
      <c r="B7579" t="s">
        <v>13473</v>
      </c>
      <c r="C7579" s="1" t="str">
        <f>HYPERLINK("http://www.genecards.org/cgi-bin/carddisp.pl?gene=STK17A","GeneCards")</f>
        <v>GeneCards</v>
      </c>
      <c r="D7579" s="1" t="str">
        <f>HYPERLINK("http://genome-euro.ucsc.edu/cgi-bin/hgTracks?position=202693_s_at","UCSC")</f>
        <v>UCSC</v>
      </c>
      <c r="E7579" s="1" t="str">
        <f>HYPERLINK("http://www.ncbi.nlm.nih.gov/gene/?term=STK17A","NCBI")</f>
        <v>NCBI</v>
      </c>
      <c r="F7579">
        <v>0.11</v>
      </c>
      <c r="G7579">
        <v>0.24</v>
      </c>
      <c r="H7579" s="1" t="str">
        <f>HYPERLINK("http://www.weizmann.ac.il/complex/compphys/software/geview/data/figures/202693_s_at.png","Figure")</f>
        <v>Figure</v>
      </c>
      <c r="I7579">
        <v>0.69099999999999995</v>
      </c>
      <c r="J7579">
        <v>0.61</v>
      </c>
      <c r="K7579">
        <v>0.46700000000000003</v>
      </c>
      <c r="L7579">
        <v>9.2999999999999999E-2</v>
      </c>
      <c r="M7579">
        <v>0.67500000000000004</v>
      </c>
      <c r="N7579">
        <v>0.53</v>
      </c>
    </row>
    <row r="7580" spans="1:14" x14ac:dyDescent="0.25">
      <c r="A7580" t="s">
        <v>13474</v>
      </c>
      <c r="B7580" t="s">
        <v>11074</v>
      </c>
      <c r="C7580" s="1" t="str">
        <f>HYPERLINK("http://www.genecards.org/cgi-bin/carddisp.pl?gene=FAM48A","GeneCards")</f>
        <v>GeneCards</v>
      </c>
      <c r="D7580" s="1" t="str">
        <f>HYPERLINK("http://genome-euro.ucsc.edu/cgi-bin/hgTracks?position=220408_x_at","UCSC")</f>
        <v>UCSC</v>
      </c>
      <c r="E7580" s="1" t="str">
        <f>HYPERLINK("http://www.ncbi.nlm.nih.gov/gene/?term=FAM48A","NCBI")</f>
        <v>NCBI</v>
      </c>
      <c r="F7580">
        <v>0.11</v>
      </c>
      <c r="G7580">
        <v>0.24</v>
      </c>
      <c r="H7580" s="1" t="str">
        <f>HYPERLINK("http://www.weizmann.ac.il/complex/compphys/software/geview/data/figures/220408_x_at.png","Figure")</f>
        <v>Figure</v>
      </c>
      <c r="I7580">
        <v>1.1499999999999999</v>
      </c>
      <c r="J7580">
        <v>0.57999999999999996</v>
      </c>
      <c r="K7580">
        <v>1.32</v>
      </c>
      <c r="L7580">
        <v>9.1999999999999998E-2</v>
      </c>
      <c r="M7580">
        <v>1.1499999999999999</v>
      </c>
      <c r="N7580">
        <v>0.56000000000000005</v>
      </c>
    </row>
    <row r="7581" spans="1:14" x14ac:dyDescent="0.25">
      <c r="A7581" t="s">
        <v>13475</v>
      </c>
      <c r="B7581" t="s">
        <v>13476</v>
      </c>
      <c r="C7581" s="1" t="str">
        <f>HYPERLINK("http://www.genecards.org/cgi-bin/carddisp.pl?gene=ZNF354A","GeneCards")</f>
        <v>GeneCards</v>
      </c>
      <c r="D7581" s="1" t="str">
        <f>HYPERLINK("http://genome-euro.ucsc.edu/cgi-bin/hgTracks?position=205427_at","UCSC")</f>
        <v>UCSC</v>
      </c>
      <c r="E7581" s="1" t="str">
        <f>HYPERLINK("http://www.ncbi.nlm.nih.gov/gene/?term=ZNF354A","NCBI")</f>
        <v>NCBI</v>
      </c>
      <c r="F7581">
        <v>0.11</v>
      </c>
      <c r="G7581">
        <v>0.24</v>
      </c>
      <c r="H7581" s="1" t="str">
        <f>HYPERLINK("http://www.weizmann.ac.il/complex/compphys/software/geview/data/figures/205427_at.png","Figure")</f>
        <v>Figure</v>
      </c>
      <c r="I7581">
        <v>1.1499999999999999</v>
      </c>
      <c r="J7581">
        <v>9.1999999999999998E-2</v>
      </c>
      <c r="K7581">
        <v>1.07</v>
      </c>
      <c r="L7581">
        <v>0.4</v>
      </c>
      <c r="M7581">
        <v>0.93400000000000005</v>
      </c>
      <c r="N7581">
        <v>0.47</v>
      </c>
    </row>
    <row r="7582" spans="1:14" x14ac:dyDescent="0.25">
      <c r="A7582" t="s">
        <v>13477</v>
      </c>
      <c r="B7582" t="s">
        <v>12500</v>
      </c>
      <c r="C7582" s="1" t="str">
        <f>HYPERLINK("http://www.genecards.org/cgi-bin/carddisp.pl?gene=PTN","GeneCards")</f>
        <v>GeneCards</v>
      </c>
      <c r="D7582" s="1" t="str">
        <f>HYPERLINK("http://genome-euro.ucsc.edu/cgi-bin/hgTracks?position=209466_x_at","UCSC")</f>
        <v>UCSC</v>
      </c>
      <c r="E7582" s="1" t="str">
        <f>HYPERLINK("http://www.ncbi.nlm.nih.gov/gene/?term=PTN","NCBI")</f>
        <v>NCBI</v>
      </c>
      <c r="F7582">
        <v>0.11</v>
      </c>
      <c r="G7582">
        <v>0.24</v>
      </c>
      <c r="H7582" s="1" t="str">
        <f>HYPERLINK("http://www.weizmann.ac.il/complex/compphys/software/geview/data/figures/209466_x_at.png","Figure")</f>
        <v>Figure</v>
      </c>
      <c r="I7582">
        <v>1.2</v>
      </c>
      <c r="J7582">
        <v>0.12</v>
      </c>
      <c r="K7582">
        <v>1.02</v>
      </c>
      <c r="L7582">
        <v>0.95</v>
      </c>
      <c r="M7582">
        <v>0.85399999999999998</v>
      </c>
      <c r="N7582">
        <v>0.16</v>
      </c>
    </row>
    <row r="7583" spans="1:14" x14ac:dyDescent="0.25">
      <c r="A7583" t="s">
        <v>13478</v>
      </c>
      <c r="B7583" t="s">
        <v>13479</v>
      </c>
      <c r="C7583" s="1" t="str">
        <f>HYPERLINK("http://www.genecards.org/cgi-bin/carddisp.pl?gene=IGF2 /// INS-IGF2","GeneCards")</f>
        <v>GeneCards</v>
      </c>
      <c r="D7583" s="1" t="str">
        <f>HYPERLINK("http://genome-euro.ucsc.edu/cgi-bin/hgTracks?position=210881_s_at","UCSC")</f>
        <v>UCSC</v>
      </c>
      <c r="E7583" s="1" t="str">
        <f>HYPERLINK("http://www.ncbi.nlm.nih.gov/gene/?term=IGF2 /// INS-IGF2","NCBI")</f>
        <v>NCBI</v>
      </c>
      <c r="F7583">
        <v>0.11</v>
      </c>
      <c r="G7583">
        <v>0.24</v>
      </c>
      <c r="H7583" s="1" t="str">
        <f>HYPERLINK("http://www.weizmann.ac.il/complex/compphys/software/geview/data/figures/210881_s_at.png","Figure")</f>
        <v>Figure</v>
      </c>
      <c r="I7583">
        <v>1.06</v>
      </c>
      <c r="J7583">
        <v>0.19</v>
      </c>
      <c r="K7583">
        <v>1.06</v>
      </c>
      <c r="L7583">
        <v>0.12</v>
      </c>
      <c r="M7583">
        <v>1</v>
      </c>
      <c r="N7583">
        <v>1</v>
      </c>
    </row>
    <row r="7584" spans="1:14" x14ac:dyDescent="0.25">
      <c r="A7584" t="s">
        <v>13480</v>
      </c>
      <c r="B7584" t="s">
        <v>13481</v>
      </c>
      <c r="C7584" s="1" t="str">
        <f>HYPERLINK("http://www.genecards.org/cgi-bin/carddisp.pl?gene=RPS12","GeneCards")</f>
        <v>GeneCards</v>
      </c>
      <c r="D7584" s="1" t="str">
        <f>HYPERLINK("http://genome-euro.ucsc.edu/cgi-bin/hgTracks?position=213377_x_at","UCSC")</f>
        <v>UCSC</v>
      </c>
      <c r="E7584" s="1" t="str">
        <f>HYPERLINK("http://www.ncbi.nlm.nih.gov/gene/?term=RPS12","NCBI")</f>
        <v>NCBI</v>
      </c>
      <c r="F7584">
        <v>0.11</v>
      </c>
      <c r="G7584">
        <v>0.24</v>
      </c>
      <c r="H7584" s="1" t="str">
        <f>HYPERLINK("http://www.weizmann.ac.il/complex/compphys/software/geview/data/figures/213377_x_at.png","Figure")</f>
        <v>Figure</v>
      </c>
      <c r="I7584">
        <v>0.871</v>
      </c>
      <c r="J7584">
        <v>0.42</v>
      </c>
      <c r="K7584">
        <v>1.0900000000000001</v>
      </c>
      <c r="L7584">
        <v>0.61</v>
      </c>
      <c r="M7584">
        <v>1.26</v>
      </c>
      <c r="N7584">
        <v>9.0999999999999998E-2</v>
      </c>
    </row>
    <row r="7585" spans="1:14" x14ac:dyDescent="0.25">
      <c r="A7585" t="s">
        <v>13482</v>
      </c>
      <c r="B7585" t="s">
        <v>13483</v>
      </c>
      <c r="C7585" s="1" t="str">
        <f>HYPERLINK("http://www.genecards.org/cgi-bin/carddisp.pl?gene=HIST1H1D","GeneCards")</f>
        <v>GeneCards</v>
      </c>
      <c r="D7585" s="1" t="str">
        <f>HYPERLINK("http://genome-euro.ucsc.edu/cgi-bin/hgTracks?position=214537_at","UCSC")</f>
        <v>UCSC</v>
      </c>
      <c r="E7585" s="1" t="str">
        <f>HYPERLINK("http://www.ncbi.nlm.nih.gov/gene/?term=HIST1H1D","NCBI")</f>
        <v>NCBI</v>
      </c>
      <c r="F7585">
        <v>0.11</v>
      </c>
      <c r="G7585">
        <v>0.24</v>
      </c>
      <c r="H7585" s="1" t="str">
        <f>HYPERLINK("http://www.weizmann.ac.il/complex/compphys/software/geview/data/figures/214537_at.png","Figure")</f>
        <v>Figure</v>
      </c>
      <c r="I7585">
        <v>1.81</v>
      </c>
      <c r="J7585">
        <v>0.14000000000000001</v>
      </c>
      <c r="K7585">
        <v>1.66</v>
      </c>
      <c r="L7585">
        <v>0.16</v>
      </c>
      <c r="M7585">
        <v>0.91400000000000003</v>
      </c>
      <c r="N7585">
        <v>0.94</v>
      </c>
    </row>
    <row r="7586" spans="1:14" x14ac:dyDescent="0.25">
      <c r="A7586" t="s">
        <v>13484</v>
      </c>
      <c r="B7586" t="s">
        <v>5097</v>
      </c>
      <c r="C7586" s="1" t="str">
        <f>HYPERLINK("http://www.genecards.org/cgi-bin/carddisp.pl?gene=FAM3A","GeneCards")</f>
        <v>GeneCards</v>
      </c>
      <c r="D7586" s="1" t="str">
        <f>HYPERLINK("http://genome-euro.ucsc.edu/cgi-bin/hgTracks?position=209405_s_at","UCSC")</f>
        <v>UCSC</v>
      </c>
      <c r="E7586" s="1" t="str">
        <f>HYPERLINK("http://www.ncbi.nlm.nih.gov/gene/?term=FAM3A","NCBI")</f>
        <v>NCBI</v>
      </c>
      <c r="F7586">
        <v>0.11</v>
      </c>
      <c r="G7586">
        <v>0.24</v>
      </c>
      <c r="H7586" s="1" t="str">
        <f>HYPERLINK("http://www.weizmann.ac.il/complex/compphys/software/geview/data/figures/209405_s_at.png","Figure")</f>
        <v>Figure</v>
      </c>
      <c r="I7586">
        <v>1.28</v>
      </c>
      <c r="J7586">
        <v>0.25</v>
      </c>
      <c r="K7586">
        <v>1.33</v>
      </c>
      <c r="L7586">
        <v>0.11</v>
      </c>
      <c r="M7586">
        <v>1.04</v>
      </c>
      <c r="N7586">
        <v>0.96</v>
      </c>
    </row>
    <row r="7587" spans="1:14" x14ac:dyDescent="0.25">
      <c r="A7587" t="s">
        <v>13485</v>
      </c>
      <c r="B7587" t="s">
        <v>2024</v>
      </c>
      <c r="C7587" s="1" t="str">
        <f>HYPERLINK("http://www.genecards.org/cgi-bin/carddisp.pl?gene=CASP1","GeneCards")</f>
        <v>GeneCards</v>
      </c>
      <c r="D7587" s="1" t="str">
        <f>HYPERLINK("http://genome-euro.ucsc.edu/cgi-bin/hgTracks?position=209970_x_at","UCSC")</f>
        <v>UCSC</v>
      </c>
      <c r="E7587" s="1" t="str">
        <f>HYPERLINK("http://www.ncbi.nlm.nih.gov/gene/?term=CASP1","NCBI")</f>
        <v>NCBI</v>
      </c>
      <c r="F7587">
        <v>0.11</v>
      </c>
      <c r="G7587">
        <v>0.24</v>
      </c>
      <c r="H7587" s="1" t="str">
        <f>HYPERLINK("http://www.weizmann.ac.il/complex/compphys/software/geview/data/figures/209970_x_at.png","Figure")</f>
        <v>Figure</v>
      </c>
      <c r="I7587">
        <v>0.95799999999999996</v>
      </c>
      <c r="J7587">
        <v>0.97</v>
      </c>
      <c r="K7587">
        <v>1.35</v>
      </c>
      <c r="L7587">
        <v>0.19</v>
      </c>
      <c r="M7587">
        <v>1.4</v>
      </c>
      <c r="N7587">
        <v>0.16</v>
      </c>
    </row>
    <row r="7588" spans="1:14" x14ac:dyDescent="0.25">
      <c r="A7588" t="s">
        <v>13486</v>
      </c>
      <c r="B7588" t="s">
        <v>13487</v>
      </c>
      <c r="C7588" s="1" t="str">
        <f>HYPERLINK("http://www.genecards.org/cgi-bin/carddisp.pl?gene=PAX1","GeneCards")</f>
        <v>GeneCards</v>
      </c>
      <c r="D7588" s="1" t="str">
        <f>HYPERLINK("http://genome-euro.ucsc.edu/cgi-bin/hgTracks?position=214401_at","UCSC")</f>
        <v>UCSC</v>
      </c>
      <c r="E7588" s="1" t="str">
        <f>HYPERLINK("http://www.ncbi.nlm.nih.gov/gene/?term=PAX1","NCBI")</f>
        <v>NCBI</v>
      </c>
      <c r="F7588">
        <v>0.11</v>
      </c>
      <c r="G7588">
        <v>0.24</v>
      </c>
      <c r="H7588" s="1" t="str">
        <f>HYPERLINK("http://www.weizmann.ac.il/complex/compphys/software/geview/data/figures/214401_at.png","Figure")</f>
        <v>Figure</v>
      </c>
      <c r="I7588">
        <v>1.2</v>
      </c>
      <c r="J7588">
        <v>9.1999999999999998E-2</v>
      </c>
      <c r="K7588">
        <v>1.07</v>
      </c>
      <c r="L7588">
        <v>0.57999999999999996</v>
      </c>
      <c r="M7588">
        <v>0.89300000000000002</v>
      </c>
      <c r="N7588">
        <v>0.32</v>
      </c>
    </row>
    <row r="7589" spans="1:14" x14ac:dyDescent="0.25">
      <c r="A7589" t="s">
        <v>13488</v>
      </c>
      <c r="B7589" t="s">
        <v>13489</v>
      </c>
      <c r="C7589" s="1" t="str">
        <f>HYPERLINK("http://www.genecards.org/cgi-bin/carddisp.pl?gene=ACADS","GeneCards")</f>
        <v>GeneCards</v>
      </c>
      <c r="D7589" s="1" t="str">
        <f>HYPERLINK("http://genome-euro.ucsc.edu/cgi-bin/hgTracks?position=202366_at","UCSC")</f>
        <v>UCSC</v>
      </c>
      <c r="E7589" s="1" t="str">
        <f>HYPERLINK("http://www.ncbi.nlm.nih.gov/gene/?term=ACADS","NCBI")</f>
        <v>NCBI</v>
      </c>
      <c r="F7589">
        <v>0.11</v>
      </c>
      <c r="G7589">
        <v>0.24</v>
      </c>
      <c r="H7589" s="1" t="str">
        <f>HYPERLINK("http://www.weizmann.ac.il/complex/compphys/software/geview/data/figures/202366_at.png","Figure")</f>
        <v>Figure</v>
      </c>
      <c r="I7589">
        <v>1.3</v>
      </c>
      <c r="J7589">
        <v>0.1</v>
      </c>
      <c r="K7589">
        <v>1.18</v>
      </c>
      <c r="L7589">
        <v>0.28000000000000003</v>
      </c>
      <c r="M7589">
        <v>0.90600000000000003</v>
      </c>
      <c r="N7589">
        <v>0.65</v>
      </c>
    </row>
    <row r="7590" spans="1:14" x14ac:dyDescent="0.25">
      <c r="A7590" t="s">
        <v>13490</v>
      </c>
      <c r="B7590" t="s">
        <v>5609</v>
      </c>
      <c r="C7590" s="1" t="str">
        <f>HYPERLINK("http://www.genecards.org/cgi-bin/carddisp.pl?gene=ADAM20","GeneCards")</f>
        <v>GeneCards</v>
      </c>
      <c r="D7590" s="1" t="str">
        <f>HYPERLINK("http://genome-euro.ucsc.edu/cgi-bin/hgTracks?position=207423_s_at","UCSC")</f>
        <v>UCSC</v>
      </c>
      <c r="E7590" s="1" t="str">
        <f>HYPERLINK("http://www.ncbi.nlm.nih.gov/gene/?term=ADAM20","NCBI")</f>
        <v>NCBI</v>
      </c>
      <c r="F7590">
        <v>0.11</v>
      </c>
      <c r="G7590">
        <v>0.24</v>
      </c>
      <c r="H7590" s="1" t="str">
        <f>HYPERLINK("http://www.weizmann.ac.il/complex/compphys/software/geview/data/figures/207423_s_at.png","Figure")</f>
        <v>Figure</v>
      </c>
      <c r="I7590">
        <v>0.84099999999999997</v>
      </c>
      <c r="J7590">
        <v>0.11</v>
      </c>
      <c r="K7590">
        <v>0.96899999999999997</v>
      </c>
      <c r="L7590">
        <v>0.89</v>
      </c>
      <c r="M7590">
        <v>1.1499999999999999</v>
      </c>
      <c r="N7590">
        <v>0.18</v>
      </c>
    </row>
    <row r="7591" spans="1:14" x14ac:dyDescent="0.25">
      <c r="A7591" t="s">
        <v>13491</v>
      </c>
      <c r="B7591" t="s">
        <v>13492</v>
      </c>
      <c r="C7591" s="1" t="str">
        <f>HYPERLINK("http://www.genecards.org/cgi-bin/carddisp.pl?gene=LAMA4","GeneCards")</f>
        <v>GeneCards</v>
      </c>
      <c r="D7591" s="1" t="str">
        <f>HYPERLINK("http://genome-euro.ucsc.edu/cgi-bin/hgTracks?position=210089_s_at","UCSC")</f>
        <v>UCSC</v>
      </c>
      <c r="E7591" s="1" t="str">
        <f>HYPERLINK("http://www.ncbi.nlm.nih.gov/gene/?term=LAMA4","NCBI")</f>
        <v>NCBI</v>
      </c>
      <c r="F7591">
        <v>0.11</v>
      </c>
      <c r="G7591">
        <v>0.24</v>
      </c>
      <c r="H7591" s="1" t="str">
        <f>HYPERLINK("http://www.weizmann.ac.il/complex/compphys/software/geview/data/figures/210089_s_at.png","Figure")</f>
        <v>Figure</v>
      </c>
      <c r="I7591">
        <v>1.03</v>
      </c>
      <c r="J7591">
        <v>0.24</v>
      </c>
      <c r="K7591">
        <v>1.03</v>
      </c>
      <c r="L7591">
        <v>0.11</v>
      </c>
      <c r="M7591">
        <v>1</v>
      </c>
      <c r="N7591">
        <v>0.97</v>
      </c>
    </row>
    <row r="7592" spans="1:14" x14ac:dyDescent="0.25">
      <c r="A7592" t="s">
        <v>13493</v>
      </c>
      <c r="B7592" t="s">
        <v>13494</v>
      </c>
      <c r="C7592" s="1" t="str">
        <f>HYPERLINK("http://www.genecards.org/cgi-bin/carddisp.pl?gene=AK1","GeneCards")</f>
        <v>GeneCards</v>
      </c>
      <c r="D7592" s="1" t="str">
        <f>HYPERLINK("http://genome-euro.ucsc.edu/cgi-bin/hgTracks?position=202588_at","UCSC")</f>
        <v>UCSC</v>
      </c>
      <c r="E7592" s="1" t="str">
        <f>HYPERLINK("http://www.ncbi.nlm.nih.gov/gene/?term=AK1","NCBI")</f>
        <v>NCBI</v>
      </c>
      <c r="F7592">
        <v>0.11</v>
      </c>
      <c r="G7592">
        <v>0.24</v>
      </c>
      <c r="H7592" s="1" t="str">
        <f>HYPERLINK("http://www.weizmann.ac.il/complex/compphys/software/geview/data/figures/202588_at.png","Figure")</f>
        <v>Figure</v>
      </c>
      <c r="I7592">
        <v>1.1299999999999999</v>
      </c>
      <c r="J7592">
        <v>9.0999999999999998E-2</v>
      </c>
      <c r="K7592">
        <v>1.05</v>
      </c>
      <c r="L7592">
        <v>0.54</v>
      </c>
      <c r="M7592">
        <v>0.93</v>
      </c>
      <c r="N7592">
        <v>0.35</v>
      </c>
    </row>
    <row r="7593" spans="1:14" x14ac:dyDescent="0.25">
      <c r="A7593" t="s">
        <v>13495</v>
      </c>
      <c r="B7593" t="s">
        <v>13496</v>
      </c>
      <c r="C7593" s="1" t="str">
        <f>HYPERLINK("http://www.genecards.org/cgi-bin/carddisp.pl?gene=RNF19B","GeneCards")</f>
        <v>GeneCards</v>
      </c>
      <c r="D7593" s="1" t="str">
        <f>HYPERLINK("http://genome-euro.ucsc.edu/cgi-bin/hgTracks?position=36564_at","UCSC")</f>
        <v>UCSC</v>
      </c>
      <c r="E7593" s="1" t="str">
        <f>HYPERLINK("http://www.ncbi.nlm.nih.gov/gene/?term=RNF19B","NCBI")</f>
        <v>NCBI</v>
      </c>
      <c r="F7593">
        <v>0.11</v>
      </c>
      <c r="G7593">
        <v>0.24</v>
      </c>
      <c r="H7593" s="1" t="str">
        <f>HYPERLINK("http://www.weizmann.ac.il/complex/compphys/software/geview/data/figures/36564_at.png","Figure")</f>
        <v>Figure</v>
      </c>
      <c r="I7593">
        <v>1.24</v>
      </c>
      <c r="J7593">
        <v>0.1</v>
      </c>
      <c r="K7593">
        <v>1.1499999999999999</v>
      </c>
      <c r="L7593">
        <v>0.27</v>
      </c>
      <c r="M7593">
        <v>0.92500000000000004</v>
      </c>
      <c r="N7593">
        <v>0.67</v>
      </c>
    </row>
    <row r="7594" spans="1:14" x14ac:dyDescent="0.25">
      <c r="A7594" t="s">
        <v>13497</v>
      </c>
      <c r="B7594" t="s">
        <v>13498</v>
      </c>
      <c r="C7594" s="1" t="str">
        <f>HYPERLINK("http://www.genecards.org/cgi-bin/carddisp.pl?gene=CDKN2A","GeneCards")</f>
        <v>GeneCards</v>
      </c>
      <c r="D7594" s="1" t="str">
        <f>HYPERLINK("http://genome-euro.ucsc.edu/cgi-bin/hgTracks?position=211156_at","UCSC")</f>
        <v>UCSC</v>
      </c>
      <c r="E7594" s="1" t="str">
        <f>HYPERLINK("http://www.ncbi.nlm.nih.gov/gene/?term=CDKN2A","NCBI")</f>
        <v>NCBI</v>
      </c>
      <c r="F7594">
        <v>0.11</v>
      </c>
      <c r="G7594">
        <v>0.24</v>
      </c>
      <c r="H7594" s="1" t="str">
        <f>HYPERLINK("http://www.weizmann.ac.il/complex/compphys/software/geview/data/figures/211156_at.png","Figure")</f>
        <v>Figure</v>
      </c>
      <c r="I7594">
        <v>1.26</v>
      </c>
      <c r="J7594">
        <v>9.0999999999999998E-2</v>
      </c>
      <c r="K7594">
        <v>1.1100000000000001</v>
      </c>
      <c r="L7594">
        <v>0.47</v>
      </c>
      <c r="M7594">
        <v>0.88100000000000001</v>
      </c>
      <c r="N7594">
        <v>0.4</v>
      </c>
    </row>
    <row r="7595" spans="1:14" x14ac:dyDescent="0.25">
      <c r="A7595" t="s">
        <v>13499</v>
      </c>
      <c r="B7595" t="s">
        <v>13500</v>
      </c>
      <c r="C7595" s="1" t="str">
        <f>HYPERLINK("http://www.genecards.org/cgi-bin/carddisp.pl?gene=HIC2","GeneCards")</f>
        <v>GeneCards</v>
      </c>
      <c r="D7595" s="1" t="str">
        <f>HYPERLINK("http://genome-euro.ucsc.edu/cgi-bin/hgTracks?position=212965_at","UCSC")</f>
        <v>UCSC</v>
      </c>
      <c r="E7595" s="1" t="str">
        <f>HYPERLINK("http://www.ncbi.nlm.nih.gov/gene/?term=HIC2","NCBI")</f>
        <v>NCBI</v>
      </c>
      <c r="F7595">
        <v>0.11</v>
      </c>
      <c r="G7595">
        <v>0.24</v>
      </c>
      <c r="H7595" s="1" t="str">
        <f>HYPERLINK("http://www.weizmann.ac.il/complex/compphys/software/geview/data/figures/212965_at.png","Figure")</f>
        <v>Figure</v>
      </c>
      <c r="I7595">
        <v>1.1599999999999999</v>
      </c>
      <c r="J7595">
        <v>0.2</v>
      </c>
      <c r="K7595">
        <v>1.17</v>
      </c>
      <c r="L7595">
        <v>0.12</v>
      </c>
      <c r="M7595">
        <v>1</v>
      </c>
      <c r="N7595">
        <v>1</v>
      </c>
    </row>
    <row r="7596" spans="1:14" x14ac:dyDescent="0.25">
      <c r="A7596" t="s">
        <v>13501</v>
      </c>
      <c r="B7596" t="s">
        <v>5543</v>
      </c>
      <c r="C7596" s="1" t="str">
        <f>HYPERLINK("http://www.genecards.org/cgi-bin/carddisp.pl?gene=LCK","GeneCards")</f>
        <v>GeneCards</v>
      </c>
      <c r="D7596" s="1" t="str">
        <f>HYPERLINK("http://genome-euro.ucsc.edu/cgi-bin/hgTracks?position=204891_s_at","UCSC")</f>
        <v>UCSC</v>
      </c>
      <c r="E7596" s="1" t="str">
        <f>HYPERLINK("http://www.ncbi.nlm.nih.gov/gene/?term=LCK","NCBI")</f>
        <v>NCBI</v>
      </c>
      <c r="F7596">
        <v>0.11</v>
      </c>
      <c r="G7596">
        <v>0.24</v>
      </c>
      <c r="H7596" s="1" t="str">
        <f>HYPERLINK("http://www.weizmann.ac.il/complex/compphys/software/geview/data/figures/204891_s_at.png","Figure")</f>
        <v>Figure</v>
      </c>
      <c r="I7596">
        <v>1.48</v>
      </c>
      <c r="J7596">
        <v>0.19</v>
      </c>
      <c r="K7596">
        <v>1.48</v>
      </c>
      <c r="L7596">
        <v>0.12</v>
      </c>
      <c r="M7596">
        <v>1</v>
      </c>
      <c r="N7596">
        <v>1</v>
      </c>
    </row>
    <row r="7597" spans="1:14" x14ac:dyDescent="0.25">
      <c r="A7597" t="s">
        <v>13502</v>
      </c>
      <c r="B7597" t="s">
        <v>13503</v>
      </c>
      <c r="C7597" s="1" t="str">
        <f>HYPERLINK("http://www.genecards.org/cgi-bin/carddisp.pl?gene=RAMP1","GeneCards")</f>
        <v>GeneCards</v>
      </c>
      <c r="D7597" s="1" t="str">
        <f>HYPERLINK("http://genome-euro.ucsc.edu/cgi-bin/hgTracks?position=204916_at","UCSC")</f>
        <v>UCSC</v>
      </c>
      <c r="E7597" s="1" t="str">
        <f>HYPERLINK("http://www.ncbi.nlm.nih.gov/gene/?term=RAMP1","NCBI")</f>
        <v>NCBI</v>
      </c>
      <c r="F7597">
        <v>0.11</v>
      </c>
      <c r="G7597">
        <v>0.24</v>
      </c>
      <c r="H7597" s="1" t="str">
        <f>HYPERLINK("http://www.weizmann.ac.il/complex/compphys/software/geview/data/figures/204916_at.png","Figure")</f>
        <v>Figure</v>
      </c>
      <c r="I7597">
        <v>1.21</v>
      </c>
      <c r="J7597">
        <v>0.15</v>
      </c>
      <c r="K7597">
        <v>1</v>
      </c>
      <c r="L7597">
        <v>1</v>
      </c>
      <c r="M7597">
        <v>0.82599999999999996</v>
      </c>
      <c r="N7597">
        <v>0.13</v>
      </c>
    </row>
    <row r="7598" spans="1:14" x14ac:dyDescent="0.25">
      <c r="A7598" t="s">
        <v>13504</v>
      </c>
      <c r="B7598" t="s">
        <v>13505</v>
      </c>
      <c r="C7598" s="1" t="str">
        <f>HYPERLINK("http://www.genecards.org/cgi-bin/carddisp.pl?gene=ZC3H7B","GeneCards")</f>
        <v>GeneCards</v>
      </c>
      <c r="D7598" s="1" t="str">
        <f>HYPERLINK("http://genome-euro.ucsc.edu/cgi-bin/hgTracks?position=206169_x_at","UCSC")</f>
        <v>UCSC</v>
      </c>
      <c r="E7598" s="1" t="str">
        <f>HYPERLINK("http://www.ncbi.nlm.nih.gov/gene/?term=ZC3H7B","NCBI")</f>
        <v>NCBI</v>
      </c>
      <c r="F7598">
        <v>0.11</v>
      </c>
      <c r="G7598">
        <v>0.24</v>
      </c>
      <c r="H7598" s="1" t="str">
        <f>HYPERLINK("http://www.weizmann.ac.il/complex/compphys/software/geview/data/figures/206169_x_at.png","Figure")</f>
        <v>Figure</v>
      </c>
      <c r="I7598">
        <v>1.1399999999999999</v>
      </c>
      <c r="J7598">
        <v>0.88</v>
      </c>
      <c r="K7598">
        <v>0.67</v>
      </c>
      <c r="L7598">
        <v>0.25</v>
      </c>
      <c r="M7598">
        <v>0.58499999999999996</v>
      </c>
      <c r="N7598">
        <v>0.13</v>
      </c>
    </row>
    <row r="7599" spans="1:14" x14ac:dyDescent="0.25">
      <c r="A7599" t="s">
        <v>13506</v>
      </c>
      <c r="B7599" t="s">
        <v>13507</v>
      </c>
      <c r="C7599" s="1" t="str">
        <f>HYPERLINK("http://www.genecards.org/cgi-bin/carddisp.pl?gene=ATP5H","GeneCards")</f>
        <v>GeneCards</v>
      </c>
      <c r="D7599" s="1" t="str">
        <f>HYPERLINK("http://genome-euro.ucsc.edu/cgi-bin/hgTracks?position=210149_s_at","UCSC")</f>
        <v>UCSC</v>
      </c>
      <c r="E7599" s="1" t="str">
        <f>HYPERLINK("http://www.ncbi.nlm.nih.gov/gene/?term=ATP5H","NCBI")</f>
        <v>NCBI</v>
      </c>
      <c r="F7599">
        <v>0.11</v>
      </c>
      <c r="G7599">
        <v>0.24</v>
      </c>
      <c r="H7599" s="1" t="str">
        <f>HYPERLINK("http://www.weizmann.ac.il/complex/compphys/software/geview/data/figures/210149_s_at.png","Figure")</f>
        <v>Figure</v>
      </c>
      <c r="I7599">
        <v>1.04</v>
      </c>
      <c r="J7599">
        <v>0.97</v>
      </c>
      <c r="K7599">
        <v>1.34</v>
      </c>
      <c r="L7599">
        <v>0.13</v>
      </c>
      <c r="M7599">
        <v>1.29</v>
      </c>
      <c r="N7599">
        <v>0.24</v>
      </c>
    </row>
    <row r="7600" spans="1:14" x14ac:dyDescent="0.25">
      <c r="A7600" t="s">
        <v>13508</v>
      </c>
      <c r="B7600" t="s">
        <v>13509</v>
      </c>
      <c r="C7600" s="1" t="str">
        <f>HYPERLINK("http://www.genecards.org/cgi-bin/carddisp.pl?gene=C2CD2","GeneCards")</f>
        <v>GeneCards</v>
      </c>
      <c r="D7600" s="1" t="str">
        <f>HYPERLINK("http://genome-euro.ucsc.edu/cgi-bin/hgTracks?position=212875_s_at","UCSC")</f>
        <v>UCSC</v>
      </c>
      <c r="E7600" s="1" t="str">
        <f>HYPERLINK("http://www.ncbi.nlm.nih.gov/gene/?term=C2CD2","NCBI")</f>
        <v>NCBI</v>
      </c>
      <c r="F7600">
        <v>0.11</v>
      </c>
      <c r="G7600">
        <v>0.24</v>
      </c>
      <c r="H7600" s="1" t="str">
        <f>HYPERLINK("http://www.weizmann.ac.il/complex/compphys/software/geview/data/figures/212875_s_at.png","Figure")</f>
        <v>Figure</v>
      </c>
      <c r="I7600">
        <v>0.82799999999999996</v>
      </c>
      <c r="J7600">
        <v>0.56000000000000005</v>
      </c>
      <c r="K7600">
        <v>1.21</v>
      </c>
      <c r="L7600">
        <v>0.46</v>
      </c>
      <c r="M7600">
        <v>1.46</v>
      </c>
      <c r="N7600">
        <v>9.6000000000000002E-2</v>
      </c>
    </row>
    <row r="7601" spans="1:14" x14ac:dyDescent="0.25">
      <c r="A7601" t="s">
        <v>13510</v>
      </c>
      <c r="B7601" t="s">
        <v>13511</v>
      </c>
      <c r="C7601" s="1" t="str">
        <f>HYPERLINK("http://www.genecards.org/cgi-bin/carddisp.pl?gene=KLHL2","GeneCards")</f>
        <v>GeneCards</v>
      </c>
      <c r="D7601" s="1" t="str">
        <f>HYPERLINK("http://genome-euro.ucsc.edu/cgi-bin/hgTracks?position=219157_at","UCSC")</f>
        <v>UCSC</v>
      </c>
      <c r="E7601" s="1" t="str">
        <f>HYPERLINK("http://www.ncbi.nlm.nih.gov/gene/?term=KLHL2","NCBI")</f>
        <v>NCBI</v>
      </c>
      <c r="F7601">
        <v>0.11</v>
      </c>
      <c r="G7601">
        <v>0.24</v>
      </c>
      <c r="H7601" s="1" t="str">
        <f>HYPERLINK("http://www.weizmann.ac.il/complex/compphys/software/geview/data/figures/219157_at.png","Figure")</f>
        <v>Figure</v>
      </c>
      <c r="I7601">
        <v>1.68</v>
      </c>
      <c r="J7601">
        <v>0.51</v>
      </c>
      <c r="K7601">
        <v>2.5099999999999998</v>
      </c>
      <c r="L7601">
        <v>9.1999999999999998E-2</v>
      </c>
      <c r="M7601">
        <v>1.49</v>
      </c>
      <c r="N7601">
        <v>0.63</v>
      </c>
    </row>
    <row r="7602" spans="1:14" x14ac:dyDescent="0.25">
      <c r="A7602" t="s">
        <v>13512</v>
      </c>
      <c r="B7602" t="s">
        <v>13259</v>
      </c>
      <c r="C7602" s="1" t="str">
        <f>HYPERLINK("http://www.genecards.org/cgi-bin/carddisp.pl?gene=ATP6V0C","GeneCards")</f>
        <v>GeneCards</v>
      </c>
      <c r="D7602" s="1" t="str">
        <f>HYPERLINK("http://genome-euro.ucsc.edu/cgi-bin/hgTracks?position=200954_at","UCSC")</f>
        <v>UCSC</v>
      </c>
      <c r="E7602" s="1" t="str">
        <f>HYPERLINK("http://www.ncbi.nlm.nih.gov/gene/?term=ATP6V0C","NCBI")</f>
        <v>NCBI</v>
      </c>
      <c r="F7602">
        <v>0.11</v>
      </c>
      <c r="G7602">
        <v>0.24</v>
      </c>
      <c r="H7602" s="1" t="str">
        <f>HYPERLINK("http://www.weizmann.ac.il/complex/compphys/software/geview/data/figures/200954_at.png","Figure")</f>
        <v>Figure</v>
      </c>
      <c r="I7602">
        <v>1.17</v>
      </c>
      <c r="J7602">
        <v>0.51</v>
      </c>
      <c r="K7602">
        <v>0.872</v>
      </c>
      <c r="L7602">
        <v>0.5</v>
      </c>
      <c r="M7602">
        <v>0.747</v>
      </c>
      <c r="N7602">
        <v>9.4E-2</v>
      </c>
    </row>
    <row r="7603" spans="1:14" x14ac:dyDescent="0.25">
      <c r="A7603" t="s">
        <v>13513</v>
      </c>
      <c r="B7603" t="s">
        <v>13514</v>
      </c>
      <c r="C7603" s="1" t="str">
        <f>HYPERLINK("http://www.genecards.org/cgi-bin/carddisp.pl?gene=METTL1","GeneCards")</f>
        <v>GeneCards</v>
      </c>
      <c r="D7603" s="1" t="str">
        <f>HYPERLINK("http://genome-euro.ucsc.edu/cgi-bin/hgTracks?position=204027_s_at","UCSC")</f>
        <v>UCSC</v>
      </c>
      <c r="E7603" s="1" t="str">
        <f>HYPERLINK("http://www.ncbi.nlm.nih.gov/gene/?term=METTL1","NCBI")</f>
        <v>NCBI</v>
      </c>
      <c r="F7603">
        <v>0.11</v>
      </c>
      <c r="G7603">
        <v>0.24</v>
      </c>
      <c r="H7603" s="1" t="str">
        <f>HYPERLINK("http://www.weizmann.ac.il/complex/compphys/software/geview/data/figures/204027_s_at.png","Figure")</f>
        <v>Figure</v>
      </c>
      <c r="I7603">
        <v>1.06</v>
      </c>
      <c r="J7603">
        <v>0.79</v>
      </c>
      <c r="K7603">
        <v>1.19</v>
      </c>
      <c r="L7603">
        <v>0.1</v>
      </c>
      <c r="M7603">
        <v>1.1200000000000001</v>
      </c>
      <c r="N7603">
        <v>0.38</v>
      </c>
    </row>
    <row r="7604" spans="1:14" x14ac:dyDescent="0.25">
      <c r="A7604" t="s">
        <v>13515</v>
      </c>
      <c r="B7604" t="s">
        <v>2011</v>
      </c>
      <c r="C7604" s="1" t="str">
        <f>HYPERLINK("http://www.genecards.org/cgi-bin/carddisp.pl?gene=PBXIP1","GeneCards")</f>
        <v>GeneCards</v>
      </c>
      <c r="D7604" s="1" t="str">
        <f>HYPERLINK("http://genome-euro.ucsc.edu/cgi-bin/hgTracks?position=207838_x_at","UCSC")</f>
        <v>UCSC</v>
      </c>
      <c r="E7604" s="1" t="str">
        <f>HYPERLINK("http://www.ncbi.nlm.nih.gov/gene/?term=PBXIP1","NCBI")</f>
        <v>NCBI</v>
      </c>
      <c r="F7604">
        <v>0.11</v>
      </c>
      <c r="G7604">
        <v>0.24</v>
      </c>
      <c r="H7604" s="1" t="str">
        <f>HYPERLINK("http://www.weizmann.ac.il/complex/compphys/software/geview/data/figures/207838_x_at.png","Figure")</f>
        <v>Figure</v>
      </c>
      <c r="I7604">
        <v>1.1299999999999999</v>
      </c>
      <c r="J7604">
        <v>0.15</v>
      </c>
      <c r="K7604">
        <v>1</v>
      </c>
      <c r="L7604">
        <v>1</v>
      </c>
      <c r="M7604">
        <v>0.89100000000000001</v>
      </c>
      <c r="N7604">
        <v>0.13</v>
      </c>
    </row>
    <row r="7605" spans="1:14" x14ac:dyDescent="0.25">
      <c r="A7605" t="s">
        <v>13516</v>
      </c>
      <c r="B7605" t="s">
        <v>13517</v>
      </c>
      <c r="C7605" s="1" t="str">
        <f>HYPERLINK("http://www.genecards.org/cgi-bin/carddisp.pl?gene=DAXX","GeneCards")</f>
        <v>GeneCards</v>
      </c>
      <c r="D7605" s="1" t="str">
        <f>HYPERLINK("http://genome-euro.ucsc.edu/cgi-bin/hgTracks?position=216038_x_at","UCSC")</f>
        <v>UCSC</v>
      </c>
      <c r="E7605" s="1" t="str">
        <f>HYPERLINK("http://www.ncbi.nlm.nih.gov/gene/?term=DAXX","NCBI")</f>
        <v>NCBI</v>
      </c>
      <c r="F7605">
        <v>0.11</v>
      </c>
      <c r="G7605">
        <v>0.24</v>
      </c>
      <c r="H7605" s="1" t="str">
        <f>HYPERLINK("http://www.weizmann.ac.il/complex/compphys/software/geview/data/figures/216038_x_at.png","Figure")</f>
        <v>Figure</v>
      </c>
      <c r="I7605">
        <v>1.19</v>
      </c>
      <c r="J7605">
        <v>0.1</v>
      </c>
      <c r="K7605">
        <v>1.05</v>
      </c>
      <c r="L7605">
        <v>0.77</v>
      </c>
      <c r="M7605">
        <v>0.88200000000000001</v>
      </c>
      <c r="N7605">
        <v>0.23</v>
      </c>
    </row>
    <row r="7606" spans="1:14" x14ac:dyDescent="0.25">
      <c r="A7606" t="s">
        <v>13518</v>
      </c>
      <c r="B7606" t="s">
        <v>13519</v>
      </c>
      <c r="C7606" s="1" t="str">
        <f>HYPERLINK("http://www.genecards.org/cgi-bin/carddisp.pl?gene=RORB","GeneCards")</f>
        <v>GeneCards</v>
      </c>
      <c r="D7606" s="1" t="str">
        <f>HYPERLINK("http://genome-euro.ucsc.edu/cgi-bin/hgTracks?position=206443_at","UCSC")</f>
        <v>UCSC</v>
      </c>
      <c r="E7606" s="1" t="str">
        <f>HYPERLINK("http://www.ncbi.nlm.nih.gov/gene/?term=RORB","NCBI")</f>
        <v>NCBI</v>
      </c>
      <c r="F7606">
        <v>0.11</v>
      </c>
      <c r="G7606">
        <v>0.24</v>
      </c>
      <c r="H7606" s="1" t="str">
        <f>HYPERLINK("http://www.weizmann.ac.il/complex/compphys/software/geview/data/figures/206443_at.png","Figure")</f>
        <v>Figure</v>
      </c>
      <c r="I7606">
        <v>1.07</v>
      </c>
      <c r="J7606">
        <v>0.19</v>
      </c>
      <c r="K7606">
        <v>1.07</v>
      </c>
      <c r="L7606">
        <v>0.12</v>
      </c>
      <c r="M7606">
        <v>1</v>
      </c>
      <c r="N7606">
        <v>1</v>
      </c>
    </row>
    <row r="7607" spans="1:14" x14ac:dyDescent="0.25">
      <c r="A7607" t="s">
        <v>13520</v>
      </c>
      <c r="B7607" t="s">
        <v>13521</v>
      </c>
      <c r="C7607" s="1" t="str">
        <f>HYPERLINK("http://www.genecards.org/cgi-bin/carddisp.pl?gene=THBS3","GeneCards")</f>
        <v>GeneCards</v>
      </c>
      <c r="D7607" s="1" t="str">
        <f>HYPERLINK("http://genome-euro.ucsc.edu/cgi-bin/hgTracks?position=209561_at","UCSC")</f>
        <v>UCSC</v>
      </c>
      <c r="E7607" s="1" t="str">
        <f>HYPERLINK("http://www.ncbi.nlm.nih.gov/gene/?term=THBS3","NCBI")</f>
        <v>NCBI</v>
      </c>
      <c r="F7607">
        <v>0.11</v>
      </c>
      <c r="G7607">
        <v>0.24</v>
      </c>
      <c r="H7607" s="1" t="str">
        <f>HYPERLINK("http://www.weizmann.ac.il/complex/compphys/software/geview/data/figures/209561_at.png","Figure")</f>
        <v>Figure</v>
      </c>
      <c r="I7607">
        <v>0.91900000000000004</v>
      </c>
      <c r="J7607">
        <v>0.72</v>
      </c>
      <c r="K7607">
        <v>1.1499999999999999</v>
      </c>
      <c r="L7607">
        <v>0.34</v>
      </c>
      <c r="M7607">
        <v>1.25</v>
      </c>
      <c r="N7607">
        <v>0.11</v>
      </c>
    </row>
    <row r="7608" spans="1:14" x14ac:dyDescent="0.25">
      <c r="A7608" t="s">
        <v>13522</v>
      </c>
      <c r="B7608" t="s">
        <v>13523</v>
      </c>
      <c r="C7608" s="1" t="str">
        <f>HYPERLINK("http://www.genecards.org/cgi-bin/carddisp.pl?gene=REM1","GeneCards")</f>
        <v>GeneCards</v>
      </c>
      <c r="D7608" s="1" t="str">
        <f>HYPERLINK("http://genome-euro.ucsc.edu/cgi-bin/hgTracks?position=210300_at","UCSC")</f>
        <v>UCSC</v>
      </c>
      <c r="E7608" s="1" t="str">
        <f>HYPERLINK("http://www.ncbi.nlm.nih.gov/gene/?term=REM1","NCBI")</f>
        <v>NCBI</v>
      </c>
      <c r="F7608">
        <v>0.11</v>
      </c>
      <c r="G7608">
        <v>0.24</v>
      </c>
      <c r="H7608" s="1" t="str">
        <f>HYPERLINK("http://www.weizmann.ac.il/complex/compphys/software/geview/data/figures/210300_at.png","Figure")</f>
        <v>Figure</v>
      </c>
      <c r="I7608">
        <v>1.27</v>
      </c>
      <c r="J7608">
        <v>0.15</v>
      </c>
      <c r="K7608">
        <v>1</v>
      </c>
      <c r="L7608">
        <v>1</v>
      </c>
      <c r="M7608">
        <v>0.79300000000000004</v>
      </c>
      <c r="N7608">
        <v>0.13</v>
      </c>
    </row>
    <row r="7609" spans="1:14" x14ac:dyDescent="0.25">
      <c r="A7609" t="s">
        <v>13524</v>
      </c>
      <c r="B7609" t="s">
        <v>13525</v>
      </c>
      <c r="C7609" s="1" t="str">
        <f>HYPERLINK("http://www.genecards.org/cgi-bin/carddisp.pl?gene=CLIP1","GeneCards")</f>
        <v>GeneCards</v>
      </c>
      <c r="D7609" s="1" t="str">
        <f>HYPERLINK("http://genome-euro.ucsc.edu/cgi-bin/hgTracks?position=201975_at","UCSC")</f>
        <v>UCSC</v>
      </c>
      <c r="E7609" s="1" t="str">
        <f>HYPERLINK("http://www.ncbi.nlm.nih.gov/gene/?term=CLIP1","NCBI")</f>
        <v>NCBI</v>
      </c>
      <c r="F7609">
        <v>0.11</v>
      </c>
      <c r="G7609">
        <v>0.24</v>
      </c>
      <c r="H7609" s="1" t="str">
        <f>HYPERLINK("http://www.weizmann.ac.il/complex/compphys/software/geview/data/figures/201975_at.png","Figure")</f>
        <v>Figure</v>
      </c>
      <c r="I7609">
        <v>0.64300000000000002</v>
      </c>
      <c r="J7609">
        <v>0.15</v>
      </c>
      <c r="K7609">
        <v>0.68200000000000005</v>
      </c>
      <c r="L7609">
        <v>0.15</v>
      </c>
      <c r="M7609">
        <v>1.06</v>
      </c>
      <c r="N7609">
        <v>0.95</v>
      </c>
    </row>
    <row r="7610" spans="1:14" x14ac:dyDescent="0.25">
      <c r="A7610" t="s">
        <v>13526</v>
      </c>
      <c r="B7610" t="s">
        <v>10130</v>
      </c>
      <c r="C7610" s="1" t="str">
        <f>HYPERLINK("http://www.genecards.org/cgi-bin/carddisp.pl?gene=CREBZF","GeneCards")</f>
        <v>GeneCards</v>
      </c>
      <c r="D7610" s="1" t="str">
        <f>HYPERLINK("http://genome-euro.ucsc.edu/cgi-bin/hgTracks?position=202977_s_at","UCSC")</f>
        <v>UCSC</v>
      </c>
      <c r="E7610" s="1" t="str">
        <f>HYPERLINK("http://www.ncbi.nlm.nih.gov/gene/?term=CREBZF","NCBI")</f>
        <v>NCBI</v>
      </c>
      <c r="F7610">
        <v>0.11</v>
      </c>
      <c r="G7610">
        <v>0.24</v>
      </c>
      <c r="H7610" s="1" t="str">
        <f>HYPERLINK("http://www.weizmann.ac.il/complex/compphys/software/geview/data/figures/202977_s_at.png","Figure")</f>
        <v>Figure</v>
      </c>
      <c r="I7610">
        <v>1.04</v>
      </c>
      <c r="J7610">
        <v>0.2</v>
      </c>
      <c r="K7610">
        <v>1.04</v>
      </c>
      <c r="L7610">
        <v>0.12</v>
      </c>
      <c r="M7610">
        <v>1</v>
      </c>
      <c r="N7610">
        <v>1</v>
      </c>
    </row>
    <row r="7611" spans="1:14" x14ac:dyDescent="0.25">
      <c r="A7611" t="s">
        <v>13527</v>
      </c>
      <c r="B7611" t="s">
        <v>12514</v>
      </c>
      <c r="C7611" s="1" t="str">
        <f>HYPERLINK("http://www.genecards.org/cgi-bin/carddisp.pl?gene=ALDH1L1","GeneCards")</f>
        <v>GeneCards</v>
      </c>
      <c r="D7611" s="1" t="str">
        <f>HYPERLINK("http://genome-euro.ucsc.edu/cgi-bin/hgTracks?position=215798_at","UCSC")</f>
        <v>UCSC</v>
      </c>
      <c r="E7611" s="1" t="str">
        <f>HYPERLINK("http://www.ncbi.nlm.nih.gov/gene/?term=ALDH1L1","NCBI")</f>
        <v>NCBI</v>
      </c>
      <c r="F7611">
        <v>0.11</v>
      </c>
      <c r="G7611">
        <v>0.24</v>
      </c>
      <c r="H7611" s="1" t="str">
        <f>HYPERLINK("http://www.weizmann.ac.il/complex/compphys/software/geview/data/figures/215798_at.png","Figure")</f>
        <v>Figure</v>
      </c>
      <c r="I7611">
        <v>1.1399999999999999</v>
      </c>
      <c r="J7611">
        <v>0.2</v>
      </c>
      <c r="K7611">
        <v>1.1499999999999999</v>
      </c>
      <c r="L7611">
        <v>0.12</v>
      </c>
      <c r="M7611">
        <v>1</v>
      </c>
      <c r="N7611">
        <v>1</v>
      </c>
    </row>
    <row r="7612" spans="1:14" x14ac:dyDescent="0.25">
      <c r="A7612" t="s">
        <v>13528</v>
      </c>
      <c r="B7612" t="s">
        <v>13529</v>
      </c>
      <c r="C7612" s="1" t="str">
        <f>HYPERLINK("http://www.genecards.org/cgi-bin/carddisp.pl?gene=PVRL2","GeneCards")</f>
        <v>GeneCards</v>
      </c>
      <c r="D7612" s="1" t="str">
        <f>HYPERLINK("http://genome-euro.ucsc.edu/cgi-bin/hgTracks?position=203149_at","UCSC")</f>
        <v>UCSC</v>
      </c>
      <c r="E7612" s="1" t="str">
        <f>HYPERLINK("http://www.ncbi.nlm.nih.gov/gene/?term=PVRL2","NCBI")</f>
        <v>NCBI</v>
      </c>
      <c r="F7612">
        <v>0.11</v>
      </c>
      <c r="G7612">
        <v>0.24</v>
      </c>
      <c r="H7612" s="1" t="str">
        <f>HYPERLINK("http://www.weizmann.ac.il/complex/compphys/software/geview/data/figures/203149_at.png","Figure")</f>
        <v>Figure</v>
      </c>
      <c r="I7612">
        <v>1.26</v>
      </c>
      <c r="J7612">
        <v>0.13</v>
      </c>
      <c r="K7612">
        <v>1.03</v>
      </c>
      <c r="L7612">
        <v>0.95</v>
      </c>
      <c r="M7612">
        <v>0.81799999999999995</v>
      </c>
      <c r="N7612">
        <v>0.16</v>
      </c>
    </row>
    <row r="7613" spans="1:14" x14ac:dyDescent="0.25">
      <c r="A7613" t="s">
        <v>13530</v>
      </c>
      <c r="B7613" t="s">
        <v>13531</v>
      </c>
      <c r="C7613" s="1" t="str">
        <f>HYPERLINK("http://www.genecards.org/cgi-bin/carddisp.pl?gene=NDUFB3","GeneCards")</f>
        <v>GeneCards</v>
      </c>
      <c r="D7613" s="1" t="str">
        <f>HYPERLINK("http://genome-euro.ucsc.edu/cgi-bin/hgTracks?position=203371_s_at","UCSC")</f>
        <v>UCSC</v>
      </c>
      <c r="E7613" s="1" t="str">
        <f>HYPERLINK("http://www.ncbi.nlm.nih.gov/gene/?term=NDUFB3","NCBI")</f>
        <v>NCBI</v>
      </c>
      <c r="F7613">
        <v>0.11</v>
      </c>
      <c r="G7613">
        <v>0.24</v>
      </c>
      <c r="H7613" s="1" t="str">
        <f>HYPERLINK("http://www.weizmann.ac.il/complex/compphys/software/geview/data/figures/203371_s_at.png","Figure")</f>
        <v>Figure</v>
      </c>
      <c r="I7613">
        <v>1.31</v>
      </c>
      <c r="J7613">
        <v>0.43</v>
      </c>
      <c r="K7613">
        <v>1.52</v>
      </c>
      <c r="L7613">
        <v>9.1999999999999998E-2</v>
      </c>
      <c r="M7613">
        <v>1.17</v>
      </c>
      <c r="N7613">
        <v>0.72</v>
      </c>
    </row>
    <row r="7614" spans="1:14" x14ac:dyDescent="0.25">
      <c r="A7614" t="s">
        <v>13532</v>
      </c>
      <c r="B7614" t="s">
        <v>6375</v>
      </c>
      <c r="C7614" s="1" t="str">
        <f>HYPERLINK("http://www.genecards.org/cgi-bin/carddisp.pl?gene=MVK","GeneCards")</f>
        <v>GeneCards</v>
      </c>
      <c r="D7614" s="1" t="str">
        <f>HYPERLINK("http://genome-euro.ucsc.edu/cgi-bin/hgTracks?position=36907_at","UCSC")</f>
        <v>UCSC</v>
      </c>
      <c r="E7614" s="1" t="str">
        <f>HYPERLINK("http://www.ncbi.nlm.nih.gov/gene/?term=MVK","NCBI")</f>
        <v>NCBI</v>
      </c>
      <c r="F7614">
        <v>0.11</v>
      </c>
      <c r="G7614">
        <v>0.24</v>
      </c>
      <c r="H7614" s="1" t="str">
        <f>HYPERLINK("http://www.weizmann.ac.il/complex/compphys/software/geview/data/figures/36907_at.png","Figure")</f>
        <v>Figure</v>
      </c>
      <c r="I7614">
        <v>1.34</v>
      </c>
      <c r="J7614">
        <v>9.5000000000000001E-2</v>
      </c>
      <c r="K7614">
        <v>1.1100000000000001</v>
      </c>
      <c r="L7614">
        <v>0.64</v>
      </c>
      <c r="M7614">
        <v>0.82699999999999996</v>
      </c>
      <c r="N7614">
        <v>0.28999999999999998</v>
      </c>
    </row>
    <row r="7615" spans="1:14" x14ac:dyDescent="0.25">
      <c r="A7615" t="s">
        <v>13533</v>
      </c>
      <c r="B7615" t="s">
        <v>5578</v>
      </c>
      <c r="C7615" s="1" t="str">
        <f>HYPERLINK("http://www.genecards.org/cgi-bin/carddisp.pl?gene=MLEC","GeneCards")</f>
        <v>GeneCards</v>
      </c>
      <c r="D7615" s="1" t="str">
        <f>HYPERLINK("http://genome-euro.ucsc.edu/cgi-bin/hgTracks?position=200616_s_at","UCSC")</f>
        <v>UCSC</v>
      </c>
      <c r="E7615" s="1" t="str">
        <f>HYPERLINK("http://www.ncbi.nlm.nih.gov/gene/?term=MLEC","NCBI")</f>
        <v>NCBI</v>
      </c>
      <c r="F7615">
        <v>0.11</v>
      </c>
      <c r="G7615">
        <v>0.24</v>
      </c>
      <c r="H7615" s="1" t="str">
        <f>HYPERLINK("http://www.weizmann.ac.il/complex/compphys/software/geview/data/figures/200616_s_at.png","Figure")</f>
        <v>Figure</v>
      </c>
      <c r="I7615">
        <v>1.03</v>
      </c>
      <c r="J7615">
        <v>0.99</v>
      </c>
      <c r="K7615">
        <v>1.47</v>
      </c>
      <c r="L7615">
        <v>0.14000000000000001</v>
      </c>
      <c r="M7615">
        <v>1.42</v>
      </c>
      <c r="N7615">
        <v>0.22</v>
      </c>
    </row>
    <row r="7616" spans="1:14" x14ac:dyDescent="0.25">
      <c r="A7616" t="s">
        <v>13534</v>
      </c>
      <c r="B7616" t="s">
        <v>3225</v>
      </c>
      <c r="C7616" s="1" t="str">
        <f>HYPERLINK("http://www.genecards.org/cgi-bin/carddisp.pl?gene=PLAGL2","GeneCards")</f>
        <v>GeneCards</v>
      </c>
      <c r="D7616" s="1" t="str">
        <f>HYPERLINK("http://genome-euro.ucsc.edu/cgi-bin/hgTracks?position=202925_s_at","UCSC")</f>
        <v>UCSC</v>
      </c>
      <c r="E7616" s="1" t="str">
        <f>HYPERLINK("http://www.ncbi.nlm.nih.gov/gene/?term=PLAGL2","NCBI")</f>
        <v>NCBI</v>
      </c>
      <c r="F7616">
        <v>0.11</v>
      </c>
      <c r="G7616">
        <v>0.24</v>
      </c>
      <c r="H7616" s="1" t="str">
        <f>HYPERLINK("http://www.weizmann.ac.il/complex/compphys/software/geview/data/figures/202925_s_at.png","Figure")</f>
        <v>Figure</v>
      </c>
      <c r="I7616">
        <v>0.875</v>
      </c>
      <c r="J7616">
        <v>0.77</v>
      </c>
      <c r="K7616">
        <v>0.68600000000000005</v>
      </c>
      <c r="L7616">
        <v>0.1</v>
      </c>
      <c r="M7616">
        <v>0.78400000000000003</v>
      </c>
      <c r="N7616">
        <v>0.39</v>
      </c>
    </row>
    <row r="7617" spans="1:14" x14ac:dyDescent="0.25">
      <c r="A7617" t="s">
        <v>13535</v>
      </c>
      <c r="B7617" t="s">
        <v>13536</v>
      </c>
      <c r="C7617" s="1" t="str">
        <f>HYPERLINK("http://www.genecards.org/cgi-bin/carddisp.pl?gene=RAP2A /// RAP2B","GeneCards")</f>
        <v>GeneCards</v>
      </c>
      <c r="D7617" s="1" t="str">
        <f>HYPERLINK("http://genome-euro.ucsc.edu/cgi-bin/hgTracks?position=214487_s_at","UCSC")</f>
        <v>UCSC</v>
      </c>
      <c r="E7617" s="1" t="str">
        <f>HYPERLINK("http://www.ncbi.nlm.nih.gov/gene/?term=RAP2A /// RAP2B","NCBI")</f>
        <v>NCBI</v>
      </c>
      <c r="F7617">
        <v>0.11</v>
      </c>
      <c r="G7617">
        <v>0.24</v>
      </c>
      <c r="H7617" s="1" t="str">
        <f>HYPERLINK("http://www.weizmann.ac.il/complex/compphys/software/geview/data/figures/214487_s_at.png","Figure")</f>
        <v>Figure</v>
      </c>
      <c r="I7617">
        <v>0.86899999999999999</v>
      </c>
      <c r="J7617">
        <v>0.85</v>
      </c>
      <c r="K7617">
        <v>0.61099999999999999</v>
      </c>
      <c r="L7617">
        <v>0.11</v>
      </c>
      <c r="M7617">
        <v>0.70299999999999996</v>
      </c>
      <c r="N7617">
        <v>0.34</v>
      </c>
    </row>
    <row r="7618" spans="1:14" x14ac:dyDescent="0.25">
      <c r="A7618" t="s">
        <v>13537</v>
      </c>
      <c r="B7618" t="s">
        <v>13538</v>
      </c>
      <c r="C7618" s="1" t="str">
        <f>HYPERLINK("http://www.genecards.org/cgi-bin/carddisp.pl?gene=SLC4A4","GeneCards")</f>
        <v>GeneCards</v>
      </c>
      <c r="D7618" s="1" t="str">
        <f>HYPERLINK("http://genome-euro.ucsc.edu/cgi-bin/hgTracks?position=211494_s_at","UCSC")</f>
        <v>UCSC</v>
      </c>
      <c r="E7618" s="1" t="str">
        <f>HYPERLINK("http://www.ncbi.nlm.nih.gov/gene/?term=SLC4A4","NCBI")</f>
        <v>NCBI</v>
      </c>
      <c r="F7618">
        <v>0.11</v>
      </c>
      <c r="G7618">
        <v>0.24</v>
      </c>
      <c r="H7618" s="1" t="str">
        <f>HYPERLINK("http://www.weizmann.ac.il/complex/compphys/software/geview/data/figures/211494_s_at.png","Figure")</f>
        <v>Figure</v>
      </c>
      <c r="I7618">
        <v>1.08</v>
      </c>
      <c r="J7618">
        <v>0.65</v>
      </c>
      <c r="K7618">
        <v>0.90600000000000003</v>
      </c>
      <c r="L7618">
        <v>0.39</v>
      </c>
      <c r="M7618">
        <v>0.84</v>
      </c>
      <c r="N7618">
        <v>0.1</v>
      </c>
    </row>
    <row r="7619" spans="1:14" x14ac:dyDescent="0.25">
      <c r="A7619" t="s">
        <v>13539</v>
      </c>
      <c r="B7619" t="s">
        <v>2974</v>
      </c>
      <c r="C7619" s="1" t="str">
        <f>HYPERLINK("http://www.genecards.org/cgi-bin/carddisp.pl?gene=GRK6","GeneCards")</f>
        <v>GeneCards</v>
      </c>
      <c r="D7619" s="1" t="str">
        <f>HYPERLINK("http://genome-euro.ucsc.edu/cgi-bin/hgTracks?position=210981_s_at","UCSC")</f>
        <v>UCSC</v>
      </c>
      <c r="E7619" s="1" t="str">
        <f>HYPERLINK("http://www.ncbi.nlm.nih.gov/gene/?term=GRK6","NCBI")</f>
        <v>NCBI</v>
      </c>
      <c r="F7619">
        <v>0.11</v>
      </c>
      <c r="G7619">
        <v>0.24</v>
      </c>
      <c r="H7619" s="1" t="str">
        <f>HYPERLINK("http://www.weizmann.ac.il/complex/compphys/software/geview/data/figures/210981_s_at.png","Figure")</f>
        <v>Figure</v>
      </c>
      <c r="I7619">
        <v>1.1299999999999999</v>
      </c>
      <c r="J7619">
        <v>0.56000000000000005</v>
      </c>
      <c r="K7619">
        <v>1.27</v>
      </c>
      <c r="L7619">
        <v>9.2999999999999999E-2</v>
      </c>
      <c r="M7619">
        <v>1.1200000000000001</v>
      </c>
      <c r="N7619">
        <v>0.57999999999999996</v>
      </c>
    </row>
    <row r="7620" spans="1:14" x14ac:dyDescent="0.25">
      <c r="A7620" t="s">
        <v>13540</v>
      </c>
      <c r="B7620" t="s">
        <v>3388</v>
      </c>
      <c r="C7620" s="1" t="str">
        <f>HYPERLINK("http://www.genecards.org/cgi-bin/carddisp.pl?gene=ZNF821","GeneCards")</f>
        <v>GeneCards</v>
      </c>
      <c r="D7620" s="1" t="str">
        <f>HYPERLINK("http://genome-euro.ucsc.edu/cgi-bin/hgTracks?position=205494_at","UCSC")</f>
        <v>UCSC</v>
      </c>
      <c r="E7620" s="1" t="str">
        <f>HYPERLINK("http://www.ncbi.nlm.nih.gov/gene/?term=ZNF821","NCBI")</f>
        <v>NCBI</v>
      </c>
      <c r="F7620">
        <v>0.11</v>
      </c>
      <c r="G7620">
        <v>0.24</v>
      </c>
      <c r="H7620" s="1" t="str">
        <f>HYPERLINK("http://www.weizmann.ac.il/complex/compphys/software/geview/data/figures/205494_at.png","Figure")</f>
        <v>Figure</v>
      </c>
      <c r="I7620">
        <v>1</v>
      </c>
      <c r="J7620">
        <v>1</v>
      </c>
      <c r="K7620">
        <v>0.79800000000000004</v>
      </c>
      <c r="L7620">
        <v>0.16</v>
      </c>
      <c r="M7620">
        <v>0.79500000000000004</v>
      </c>
      <c r="N7620">
        <v>0.19</v>
      </c>
    </row>
    <row r="7621" spans="1:14" x14ac:dyDescent="0.25">
      <c r="A7621" t="s">
        <v>13541</v>
      </c>
      <c r="B7621" t="s">
        <v>13542</v>
      </c>
      <c r="C7621" s="1" t="str">
        <f>HYPERLINK("http://www.genecards.org/cgi-bin/carddisp.pl?gene=NUDCD3","GeneCards")</f>
        <v>GeneCards</v>
      </c>
      <c r="D7621" s="1" t="str">
        <f>HYPERLINK("http://genome-euro.ucsc.edu/cgi-bin/hgTracks?position=201270_x_at","UCSC")</f>
        <v>UCSC</v>
      </c>
      <c r="E7621" s="1" t="str">
        <f>HYPERLINK("http://www.ncbi.nlm.nih.gov/gene/?term=NUDCD3","NCBI")</f>
        <v>NCBI</v>
      </c>
      <c r="F7621">
        <v>0.11</v>
      </c>
      <c r="G7621">
        <v>0.24</v>
      </c>
      <c r="H7621" s="1" t="str">
        <f>HYPERLINK("http://www.weizmann.ac.il/complex/compphys/software/geview/data/figures/201270_x_at.png","Figure")</f>
        <v>Figure</v>
      </c>
      <c r="I7621">
        <v>1.1200000000000001</v>
      </c>
      <c r="J7621">
        <v>0.79</v>
      </c>
      <c r="K7621">
        <v>1.39</v>
      </c>
      <c r="L7621">
        <v>0.1</v>
      </c>
      <c r="M7621">
        <v>1.24</v>
      </c>
      <c r="N7621">
        <v>0.38</v>
      </c>
    </row>
    <row r="7622" spans="1:14" x14ac:dyDescent="0.25">
      <c r="A7622" t="s">
        <v>13543</v>
      </c>
      <c r="B7622" t="s">
        <v>13544</v>
      </c>
      <c r="C7622" s="1" t="str">
        <f>HYPERLINK("http://www.genecards.org/cgi-bin/carddisp.pl?gene=HSPG2","GeneCards")</f>
        <v>GeneCards</v>
      </c>
      <c r="D7622" s="1" t="str">
        <f>HYPERLINK("http://genome-euro.ucsc.edu/cgi-bin/hgTracks?position=201655_s_at","UCSC")</f>
        <v>UCSC</v>
      </c>
      <c r="E7622" s="1" t="str">
        <f>HYPERLINK("http://www.ncbi.nlm.nih.gov/gene/?term=HSPG2","NCBI")</f>
        <v>NCBI</v>
      </c>
      <c r="F7622">
        <v>0.11</v>
      </c>
      <c r="G7622">
        <v>0.24</v>
      </c>
      <c r="H7622" s="1" t="str">
        <f>HYPERLINK("http://www.weizmann.ac.il/complex/compphys/software/geview/data/figures/201655_s_at.png","Figure")</f>
        <v>Figure</v>
      </c>
      <c r="I7622">
        <v>1.1599999999999999</v>
      </c>
      <c r="J7622">
        <v>0.28000000000000003</v>
      </c>
      <c r="K7622">
        <v>1.2</v>
      </c>
      <c r="L7622">
        <v>0.1</v>
      </c>
      <c r="M7622">
        <v>1.03</v>
      </c>
      <c r="N7622">
        <v>0.93</v>
      </c>
    </row>
    <row r="7623" spans="1:14" x14ac:dyDescent="0.25">
      <c r="A7623" t="s">
        <v>13545</v>
      </c>
      <c r="B7623" t="s">
        <v>1501</v>
      </c>
      <c r="C7623" s="1" t="str">
        <f>HYPERLINK("http://www.genecards.org/cgi-bin/carddisp.pl?gene=FUBP1","GeneCards")</f>
        <v>GeneCards</v>
      </c>
      <c r="D7623" s="1" t="str">
        <f>HYPERLINK("http://genome-euro.ucsc.edu/cgi-bin/hgTracks?position=214093_s_at","UCSC")</f>
        <v>UCSC</v>
      </c>
      <c r="E7623" s="1" t="str">
        <f>HYPERLINK("http://www.ncbi.nlm.nih.gov/gene/?term=FUBP1","NCBI")</f>
        <v>NCBI</v>
      </c>
      <c r="F7623">
        <v>0.11</v>
      </c>
      <c r="G7623">
        <v>0.24</v>
      </c>
      <c r="H7623" s="1" t="str">
        <f>HYPERLINK("http://www.weizmann.ac.il/complex/compphys/software/geview/data/figures/214093_s_at.png","Figure")</f>
        <v>Figure</v>
      </c>
      <c r="I7623">
        <v>0.82399999999999995</v>
      </c>
      <c r="J7623">
        <v>0.73</v>
      </c>
      <c r="K7623">
        <v>0.60599999999999998</v>
      </c>
      <c r="L7623">
        <v>9.9000000000000005E-2</v>
      </c>
      <c r="M7623">
        <v>0.73499999999999999</v>
      </c>
      <c r="N7623">
        <v>0.42</v>
      </c>
    </row>
    <row r="7624" spans="1:14" x14ac:dyDescent="0.25">
      <c r="A7624" t="s">
        <v>13546</v>
      </c>
      <c r="B7624" t="s">
        <v>13547</v>
      </c>
      <c r="C7624" s="1" t="str">
        <f>HYPERLINK("http://www.genecards.org/cgi-bin/carddisp.pl?gene=SMPD3","GeneCards")</f>
        <v>GeneCards</v>
      </c>
      <c r="D7624" s="1" t="str">
        <f>HYPERLINK("http://genome-euro.ucsc.edu/cgi-bin/hgTracks?position=219695_at","UCSC")</f>
        <v>UCSC</v>
      </c>
      <c r="E7624" s="1" t="str">
        <f>HYPERLINK("http://www.ncbi.nlm.nih.gov/gene/?term=SMPD3","NCBI")</f>
        <v>NCBI</v>
      </c>
      <c r="F7624">
        <v>0.11</v>
      </c>
      <c r="G7624">
        <v>0.24</v>
      </c>
      <c r="H7624" s="1" t="str">
        <f>HYPERLINK("http://www.weizmann.ac.il/complex/compphys/software/geview/data/figures/219695_at.png","Figure")</f>
        <v>Figure</v>
      </c>
      <c r="I7624">
        <v>1.1499999999999999</v>
      </c>
      <c r="J7624">
        <v>9.4E-2</v>
      </c>
      <c r="K7624">
        <v>1.08</v>
      </c>
      <c r="L7624">
        <v>0.38</v>
      </c>
      <c r="M7624">
        <v>0.93600000000000005</v>
      </c>
      <c r="N7624">
        <v>0.5</v>
      </c>
    </row>
    <row r="7625" spans="1:14" x14ac:dyDescent="0.25">
      <c r="A7625" t="s">
        <v>13548</v>
      </c>
      <c r="B7625" t="s">
        <v>6318</v>
      </c>
      <c r="C7625" s="1" t="str">
        <f>HYPERLINK("http://www.genecards.org/cgi-bin/carddisp.pl?gene=JMJD7-PLA2G4B /// PLA2G4B","GeneCards")</f>
        <v>GeneCards</v>
      </c>
      <c r="D7625" s="1" t="str">
        <f>HYPERLINK("http://genome-euro.ucsc.edu/cgi-bin/hgTracks?position=219095_at","UCSC")</f>
        <v>UCSC</v>
      </c>
      <c r="E7625" s="1" t="str">
        <f>HYPERLINK("http://www.ncbi.nlm.nih.gov/gene/?term=JMJD7-PLA2G4B /// PLA2G4B","NCBI")</f>
        <v>NCBI</v>
      </c>
      <c r="F7625">
        <v>0.11</v>
      </c>
      <c r="G7625">
        <v>0.24</v>
      </c>
      <c r="H7625" s="1" t="str">
        <f>HYPERLINK("http://www.weizmann.ac.il/complex/compphys/software/geview/data/figures/219095_at.png","Figure")</f>
        <v>Figure</v>
      </c>
      <c r="I7625">
        <v>1.2</v>
      </c>
      <c r="J7625">
        <v>0.44</v>
      </c>
      <c r="K7625">
        <v>1.33</v>
      </c>
      <c r="L7625">
        <v>9.1999999999999998E-2</v>
      </c>
      <c r="M7625">
        <v>1.1100000000000001</v>
      </c>
      <c r="N7625">
        <v>0.71</v>
      </c>
    </row>
    <row r="7626" spans="1:14" x14ac:dyDescent="0.25">
      <c r="A7626" t="s">
        <v>13549</v>
      </c>
      <c r="B7626" t="s">
        <v>1906</v>
      </c>
      <c r="C7626" s="1" t="str">
        <f>HYPERLINK("http://www.genecards.org/cgi-bin/carddisp.pl?gene=PTMA","GeneCards")</f>
        <v>GeneCards</v>
      </c>
      <c r="D7626" s="1" t="str">
        <f>HYPERLINK("http://genome-euro.ucsc.edu/cgi-bin/hgTracks?position=211921_x_at","UCSC")</f>
        <v>UCSC</v>
      </c>
      <c r="E7626" s="1" t="str">
        <f>HYPERLINK("http://www.ncbi.nlm.nih.gov/gene/?term=PTMA","NCBI")</f>
        <v>NCBI</v>
      </c>
      <c r="F7626">
        <v>0.11</v>
      </c>
      <c r="G7626">
        <v>0.24</v>
      </c>
      <c r="H7626" s="1" t="str">
        <f>HYPERLINK("http://www.weizmann.ac.il/complex/compphys/software/geview/data/figures/211921_x_at.png","Figure")</f>
        <v>Figure</v>
      </c>
      <c r="I7626">
        <v>1.19</v>
      </c>
      <c r="J7626">
        <v>0.25</v>
      </c>
      <c r="K7626">
        <v>1.22</v>
      </c>
      <c r="L7626">
        <v>0.11</v>
      </c>
      <c r="M7626">
        <v>1.03</v>
      </c>
      <c r="N7626">
        <v>0.96</v>
      </c>
    </row>
    <row r="7627" spans="1:14" x14ac:dyDescent="0.25">
      <c r="A7627" t="s">
        <v>13550</v>
      </c>
      <c r="B7627" t="s">
        <v>4201</v>
      </c>
      <c r="C7627" s="1" t="str">
        <f>HYPERLINK("http://www.genecards.org/cgi-bin/carddisp.pl?gene=ACVR1B","GeneCards")</f>
        <v>GeneCards</v>
      </c>
      <c r="D7627" s="1" t="str">
        <f>HYPERLINK("http://genome-euro.ucsc.edu/cgi-bin/hgTracks?position=208218_s_at","UCSC")</f>
        <v>UCSC</v>
      </c>
      <c r="E7627" s="1" t="str">
        <f>HYPERLINK("http://www.ncbi.nlm.nih.gov/gene/?term=ACVR1B","NCBI")</f>
        <v>NCBI</v>
      </c>
      <c r="F7627">
        <v>0.11</v>
      </c>
      <c r="G7627">
        <v>0.24</v>
      </c>
      <c r="H7627" s="1" t="str">
        <f>HYPERLINK("http://www.weizmann.ac.il/complex/compphys/software/geview/data/figures/208218_s_at.png","Figure")</f>
        <v>Figure</v>
      </c>
      <c r="I7627">
        <v>1.0900000000000001</v>
      </c>
      <c r="J7627">
        <v>0.13</v>
      </c>
      <c r="K7627">
        <v>1.07</v>
      </c>
      <c r="L7627">
        <v>0.19</v>
      </c>
      <c r="M7627">
        <v>0.98</v>
      </c>
      <c r="N7627">
        <v>0.87</v>
      </c>
    </row>
    <row r="7628" spans="1:14" x14ac:dyDescent="0.25">
      <c r="A7628" t="s">
        <v>13551</v>
      </c>
      <c r="B7628" t="s">
        <v>13552</v>
      </c>
      <c r="C7628" s="1" t="str">
        <f>HYPERLINK("http://www.genecards.org/cgi-bin/carddisp.pl?gene=IGF1","GeneCards")</f>
        <v>GeneCards</v>
      </c>
      <c r="D7628" s="1" t="str">
        <f>HYPERLINK("http://genome-euro.ucsc.edu/cgi-bin/hgTracks?position=209542_x_at","UCSC")</f>
        <v>UCSC</v>
      </c>
      <c r="E7628" s="1" t="str">
        <f>HYPERLINK("http://www.ncbi.nlm.nih.gov/gene/?term=IGF1","NCBI")</f>
        <v>NCBI</v>
      </c>
      <c r="F7628">
        <v>0.11</v>
      </c>
      <c r="G7628">
        <v>0.24</v>
      </c>
      <c r="H7628" s="1" t="str">
        <f>HYPERLINK("http://www.weizmann.ac.il/complex/compphys/software/geview/data/figures/209542_x_at.png","Figure")</f>
        <v>Figure</v>
      </c>
      <c r="I7628">
        <v>1.1100000000000001</v>
      </c>
      <c r="J7628">
        <v>0.1</v>
      </c>
      <c r="K7628">
        <v>1.03</v>
      </c>
      <c r="L7628">
        <v>0.75</v>
      </c>
      <c r="M7628">
        <v>0.92500000000000004</v>
      </c>
      <c r="N7628">
        <v>0.23</v>
      </c>
    </row>
    <row r="7629" spans="1:14" x14ac:dyDescent="0.25">
      <c r="A7629" t="s">
        <v>13553</v>
      </c>
      <c r="B7629" t="s">
        <v>13554</v>
      </c>
      <c r="C7629" s="1" t="str">
        <f>HYPERLINK("http://www.genecards.org/cgi-bin/carddisp.pl?gene=SMC6","GeneCards")</f>
        <v>GeneCards</v>
      </c>
      <c r="D7629" s="1" t="str">
        <f>HYPERLINK("http://genome-euro.ucsc.edu/cgi-bin/hgTracks?position=218781_at","UCSC")</f>
        <v>UCSC</v>
      </c>
      <c r="E7629" s="1" t="str">
        <f>HYPERLINK("http://www.ncbi.nlm.nih.gov/gene/?term=SMC6","NCBI")</f>
        <v>NCBI</v>
      </c>
      <c r="F7629">
        <v>0.11</v>
      </c>
      <c r="G7629">
        <v>0.24</v>
      </c>
      <c r="H7629" s="1" t="str">
        <f>HYPERLINK("http://www.weizmann.ac.il/complex/compphys/software/geview/data/figures/218781_at.png","Figure")</f>
        <v>Figure</v>
      </c>
      <c r="I7629">
        <v>0.86199999999999999</v>
      </c>
      <c r="J7629">
        <v>0.75</v>
      </c>
      <c r="K7629">
        <v>0.67</v>
      </c>
      <c r="L7629">
        <v>0.1</v>
      </c>
      <c r="M7629">
        <v>0.77800000000000002</v>
      </c>
      <c r="N7629">
        <v>0.41</v>
      </c>
    </row>
    <row r="7630" spans="1:14" x14ac:dyDescent="0.25">
      <c r="A7630" t="s">
        <v>13555</v>
      </c>
      <c r="B7630" t="s">
        <v>10778</v>
      </c>
      <c r="C7630" s="1" t="str">
        <f>HYPERLINK("http://www.genecards.org/cgi-bin/carddisp.pl?gene=PTPRC","GeneCards")</f>
        <v>GeneCards</v>
      </c>
      <c r="D7630" s="1" t="str">
        <f>HYPERLINK("http://genome-euro.ucsc.edu/cgi-bin/hgTracks?position=212587_s_at","UCSC")</f>
        <v>UCSC</v>
      </c>
      <c r="E7630" s="1" t="str">
        <f>HYPERLINK("http://www.ncbi.nlm.nih.gov/gene/?term=PTPRC","NCBI")</f>
        <v>NCBI</v>
      </c>
      <c r="F7630">
        <v>0.11</v>
      </c>
      <c r="G7630">
        <v>0.24</v>
      </c>
      <c r="H7630" s="1" t="str">
        <f>HYPERLINK("http://www.weizmann.ac.il/complex/compphys/software/geview/data/figures/212587_s_at.png","Figure")</f>
        <v>Figure</v>
      </c>
      <c r="I7630">
        <v>2.71</v>
      </c>
      <c r="J7630">
        <v>0.14000000000000001</v>
      </c>
      <c r="K7630">
        <v>1.08</v>
      </c>
      <c r="L7630">
        <v>0.98</v>
      </c>
      <c r="M7630">
        <v>0.39900000000000002</v>
      </c>
      <c r="N7630">
        <v>0.14000000000000001</v>
      </c>
    </row>
    <row r="7631" spans="1:14" x14ac:dyDescent="0.25">
      <c r="A7631" t="s">
        <v>13556</v>
      </c>
      <c r="B7631" t="s">
        <v>13557</v>
      </c>
      <c r="C7631" s="1" t="str">
        <f>HYPERLINK("http://www.genecards.org/cgi-bin/carddisp.pl?gene=RAPGEF3","GeneCards")</f>
        <v>GeneCards</v>
      </c>
      <c r="D7631" s="1" t="str">
        <f>HYPERLINK("http://genome-euro.ucsc.edu/cgi-bin/hgTracks?position=215027_at","UCSC")</f>
        <v>UCSC</v>
      </c>
      <c r="E7631" s="1" t="str">
        <f>HYPERLINK("http://www.ncbi.nlm.nih.gov/gene/?term=RAPGEF3","NCBI")</f>
        <v>NCBI</v>
      </c>
      <c r="F7631">
        <v>0.11</v>
      </c>
      <c r="G7631">
        <v>0.24</v>
      </c>
      <c r="H7631" s="1" t="str">
        <f>HYPERLINK("http://www.weizmann.ac.il/complex/compphys/software/geview/data/figures/215027_at.png","Figure")</f>
        <v>Figure</v>
      </c>
      <c r="I7631">
        <v>1.29</v>
      </c>
      <c r="J7631">
        <v>9.1999999999999998E-2</v>
      </c>
      <c r="K7631">
        <v>1.1100000000000001</v>
      </c>
      <c r="L7631">
        <v>0.52</v>
      </c>
      <c r="M7631">
        <v>0.86499999999999999</v>
      </c>
      <c r="N7631">
        <v>0.36</v>
      </c>
    </row>
    <row r="7632" spans="1:14" x14ac:dyDescent="0.25">
      <c r="A7632" t="s">
        <v>13558</v>
      </c>
      <c r="B7632" t="s">
        <v>13559</v>
      </c>
      <c r="C7632" s="1" t="str">
        <f>HYPERLINK("http://www.genecards.org/cgi-bin/carddisp.pl?gene=AHSG","GeneCards")</f>
        <v>GeneCards</v>
      </c>
      <c r="D7632" s="1" t="str">
        <f>HYPERLINK("http://genome-euro.ucsc.edu/cgi-bin/hgTracks?position=204551_s_at","UCSC")</f>
        <v>UCSC</v>
      </c>
      <c r="E7632" s="1" t="str">
        <f>HYPERLINK("http://www.ncbi.nlm.nih.gov/gene/?term=AHSG","NCBI")</f>
        <v>NCBI</v>
      </c>
      <c r="F7632">
        <v>0.11</v>
      </c>
      <c r="G7632">
        <v>0.24</v>
      </c>
      <c r="H7632" s="1" t="str">
        <f>HYPERLINK("http://www.weizmann.ac.il/complex/compphys/software/geview/data/figures/204551_s_at.png","Figure")</f>
        <v>Figure</v>
      </c>
      <c r="I7632">
        <v>1.1200000000000001</v>
      </c>
      <c r="J7632">
        <v>0.2</v>
      </c>
      <c r="K7632">
        <v>1.1200000000000001</v>
      </c>
      <c r="L7632">
        <v>0.12</v>
      </c>
      <c r="M7632">
        <v>1</v>
      </c>
      <c r="N7632">
        <v>1</v>
      </c>
    </row>
    <row r="7633" spans="1:14" x14ac:dyDescent="0.25">
      <c r="A7633" t="s">
        <v>13560</v>
      </c>
      <c r="B7633" t="s">
        <v>13561</v>
      </c>
      <c r="C7633" s="1" t="str">
        <f>HYPERLINK("http://www.genecards.org/cgi-bin/carddisp.pl?gene=PRR3","GeneCards")</f>
        <v>GeneCards</v>
      </c>
      <c r="D7633" s="1" t="str">
        <f>HYPERLINK("http://genome-euro.ucsc.edu/cgi-bin/hgTracks?position=204795_at","UCSC")</f>
        <v>UCSC</v>
      </c>
      <c r="E7633" s="1" t="str">
        <f>HYPERLINK("http://www.ncbi.nlm.nih.gov/gene/?term=PRR3","NCBI")</f>
        <v>NCBI</v>
      </c>
      <c r="F7633">
        <v>0.11</v>
      </c>
      <c r="G7633">
        <v>0.24</v>
      </c>
      <c r="H7633" s="1" t="str">
        <f>HYPERLINK("http://www.weizmann.ac.il/complex/compphys/software/geview/data/figures/204795_at.png","Figure")</f>
        <v>Figure</v>
      </c>
      <c r="I7633">
        <v>0.91</v>
      </c>
      <c r="J7633">
        <v>0.49</v>
      </c>
      <c r="K7633">
        <v>1.08</v>
      </c>
      <c r="L7633">
        <v>0.53</v>
      </c>
      <c r="M7633">
        <v>1.19</v>
      </c>
      <c r="N7633">
        <v>9.4E-2</v>
      </c>
    </row>
    <row r="7634" spans="1:14" x14ac:dyDescent="0.25">
      <c r="A7634" t="s">
        <v>13562</v>
      </c>
      <c r="B7634" t="s">
        <v>13563</v>
      </c>
      <c r="C7634" s="1" t="str">
        <f>HYPERLINK("http://www.genecards.org/cgi-bin/carddisp.pl?gene=NTF3","GeneCards")</f>
        <v>GeneCards</v>
      </c>
      <c r="D7634" s="1" t="str">
        <f>HYPERLINK("http://genome-euro.ucsc.edu/cgi-bin/hgTracks?position=206706_at","UCSC")</f>
        <v>UCSC</v>
      </c>
      <c r="E7634" s="1" t="str">
        <f>HYPERLINK("http://www.ncbi.nlm.nih.gov/gene/?term=NTF3","NCBI")</f>
        <v>NCBI</v>
      </c>
      <c r="F7634">
        <v>0.11</v>
      </c>
      <c r="G7634">
        <v>0.24</v>
      </c>
      <c r="H7634" s="1" t="str">
        <f>HYPERLINK("http://www.weizmann.ac.il/complex/compphys/software/geview/data/figures/206706_at.png","Figure")</f>
        <v>Figure</v>
      </c>
      <c r="I7634">
        <v>1.1299999999999999</v>
      </c>
      <c r="J7634">
        <v>9.1999999999999998E-2</v>
      </c>
      <c r="K7634">
        <v>1.05</v>
      </c>
      <c r="L7634">
        <v>0.52</v>
      </c>
      <c r="M7634">
        <v>0.93300000000000005</v>
      </c>
      <c r="N7634">
        <v>0.37</v>
      </c>
    </row>
    <row r="7635" spans="1:14" x14ac:dyDescent="0.25">
      <c r="A7635" t="s">
        <v>13564</v>
      </c>
      <c r="B7635" t="s">
        <v>13565</v>
      </c>
      <c r="C7635" s="1" t="str">
        <f>HYPERLINK("http://www.genecards.org/cgi-bin/carddisp.pl?gene=ADRA2B","GeneCards")</f>
        <v>GeneCards</v>
      </c>
      <c r="D7635" s="1" t="str">
        <f>HYPERLINK("http://genome-euro.ucsc.edu/cgi-bin/hgTracks?position=208544_at","UCSC")</f>
        <v>UCSC</v>
      </c>
      <c r="E7635" s="1" t="str">
        <f>HYPERLINK("http://www.ncbi.nlm.nih.gov/gene/?term=ADRA2B","NCBI")</f>
        <v>NCBI</v>
      </c>
      <c r="F7635">
        <v>0.11</v>
      </c>
      <c r="G7635">
        <v>0.24</v>
      </c>
      <c r="H7635" s="1" t="str">
        <f>HYPERLINK("http://www.weizmann.ac.il/complex/compphys/software/geview/data/figures/208544_at.png","Figure")</f>
        <v>Figure</v>
      </c>
      <c r="I7635">
        <v>1.2</v>
      </c>
      <c r="J7635">
        <v>9.1999999999999998E-2</v>
      </c>
      <c r="K7635">
        <v>1.08</v>
      </c>
      <c r="L7635">
        <v>0.53</v>
      </c>
      <c r="M7635">
        <v>0.89900000000000002</v>
      </c>
      <c r="N7635">
        <v>0.36</v>
      </c>
    </row>
    <row r="7636" spans="1:14" x14ac:dyDescent="0.25">
      <c r="A7636" t="s">
        <v>13566</v>
      </c>
      <c r="B7636" t="s">
        <v>4125</v>
      </c>
      <c r="C7636" s="1" t="str">
        <f>HYPERLINK("http://www.genecards.org/cgi-bin/carddisp.pl?gene=BRAP","GeneCards")</f>
        <v>GeneCards</v>
      </c>
      <c r="D7636" s="1" t="str">
        <f>HYPERLINK("http://genome-euro.ucsc.edu/cgi-bin/hgTracks?position=213473_at","UCSC")</f>
        <v>UCSC</v>
      </c>
      <c r="E7636" s="1" t="str">
        <f>HYPERLINK("http://www.ncbi.nlm.nih.gov/gene/?term=BRAP","NCBI")</f>
        <v>NCBI</v>
      </c>
      <c r="F7636">
        <v>0.11</v>
      </c>
      <c r="G7636">
        <v>0.24</v>
      </c>
      <c r="H7636" s="1" t="str">
        <f>HYPERLINK("http://www.weizmann.ac.il/complex/compphys/software/geview/data/figures/213473_at.png","Figure")</f>
        <v>Figure</v>
      </c>
      <c r="I7636">
        <v>0.83399999999999996</v>
      </c>
      <c r="J7636">
        <v>0.66</v>
      </c>
      <c r="K7636">
        <v>0.66400000000000003</v>
      </c>
      <c r="L7636">
        <v>9.6000000000000002E-2</v>
      </c>
      <c r="M7636">
        <v>0.79600000000000004</v>
      </c>
      <c r="N7636">
        <v>0.48</v>
      </c>
    </row>
    <row r="7637" spans="1:14" x14ac:dyDescent="0.25">
      <c r="A7637" t="s">
        <v>13567</v>
      </c>
      <c r="B7637" t="s">
        <v>13568</v>
      </c>
      <c r="C7637" s="1" t="str">
        <f>HYPERLINK("http://www.genecards.org/cgi-bin/carddisp.pl?gene=THY1","GeneCards")</f>
        <v>GeneCards</v>
      </c>
      <c r="D7637" s="1" t="str">
        <f>HYPERLINK("http://genome-euro.ucsc.edu/cgi-bin/hgTracks?position=213869_x_at","UCSC")</f>
        <v>UCSC</v>
      </c>
      <c r="E7637" s="1" t="str">
        <f>HYPERLINK("http://www.ncbi.nlm.nih.gov/gene/?term=THY1","NCBI")</f>
        <v>NCBI</v>
      </c>
      <c r="F7637">
        <v>0.11</v>
      </c>
      <c r="G7637">
        <v>0.24</v>
      </c>
      <c r="H7637" s="1" t="str">
        <f>HYPERLINK("http://www.weizmann.ac.il/complex/compphys/software/geview/data/figures/213869_x_at.png","Figure")</f>
        <v>Figure</v>
      </c>
      <c r="I7637">
        <v>1.19</v>
      </c>
      <c r="J7637">
        <v>0.17</v>
      </c>
      <c r="K7637">
        <v>1.17</v>
      </c>
      <c r="L7637">
        <v>0.14000000000000001</v>
      </c>
      <c r="M7637">
        <v>0.98899999999999999</v>
      </c>
      <c r="N7637">
        <v>0.99</v>
      </c>
    </row>
    <row r="7638" spans="1:14" x14ac:dyDescent="0.25">
      <c r="A7638" t="s">
        <v>13569</v>
      </c>
      <c r="B7638" t="s">
        <v>13570</v>
      </c>
      <c r="C7638" s="1" t="str">
        <f>HYPERLINK("http://www.genecards.org/cgi-bin/carddisp.pl?gene=ATG3","GeneCards")</f>
        <v>GeneCards</v>
      </c>
      <c r="D7638" s="1" t="str">
        <f>HYPERLINK("http://genome-euro.ucsc.edu/cgi-bin/hgTracks?position=221492_s_at","UCSC")</f>
        <v>UCSC</v>
      </c>
      <c r="E7638" s="1" t="str">
        <f>HYPERLINK("http://www.ncbi.nlm.nih.gov/gene/?term=ATG3","NCBI")</f>
        <v>NCBI</v>
      </c>
      <c r="F7638">
        <v>0.11</v>
      </c>
      <c r="G7638">
        <v>0.24</v>
      </c>
      <c r="H7638" s="1" t="str">
        <f>HYPERLINK("http://www.weizmann.ac.il/complex/compphys/software/geview/data/figures/221492_s_at.png","Figure")</f>
        <v>Figure</v>
      </c>
      <c r="I7638">
        <v>0.85899999999999999</v>
      </c>
      <c r="J7638">
        <v>0.77</v>
      </c>
      <c r="K7638">
        <v>0.65500000000000003</v>
      </c>
      <c r="L7638">
        <v>0.1</v>
      </c>
      <c r="M7638">
        <v>0.76300000000000001</v>
      </c>
      <c r="N7638">
        <v>0.4</v>
      </c>
    </row>
    <row r="7639" spans="1:14" x14ac:dyDescent="0.25">
      <c r="A7639" t="s">
        <v>13571</v>
      </c>
      <c r="B7639" t="s">
        <v>1899</v>
      </c>
      <c r="C7639" s="1" t="str">
        <f>HYPERLINK("http://www.genecards.org/cgi-bin/carddisp.pl?gene=LRRFIP2","GeneCards")</f>
        <v>GeneCards</v>
      </c>
      <c r="D7639" s="1" t="str">
        <f>HYPERLINK("http://genome-euro.ucsc.edu/cgi-bin/hgTracks?position=218364_at","UCSC")</f>
        <v>UCSC</v>
      </c>
      <c r="E7639" s="1" t="str">
        <f>HYPERLINK("http://www.ncbi.nlm.nih.gov/gene/?term=LRRFIP2","NCBI")</f>
        <v>NCBI</v>
      </c>
      <c r="F7639">
        <v>0.11</v>
      </c>
      <c r="G7639">
        <v>0.24</v>
      </c>
      <c r="H7639" s="1" t="str">
        <f>HYPERLINK("http://www.weizmann.ac.il/complex/compphys/software/geview/data/figures/218364_at.png","Figure")</f>
        <v>Figure</v>
      </c>
      <c r="I7639">
        <v>1.28</v>
      </c>
      <c r="J7639">
        <v>0.13</v>
      </c>
      <c r="K7639">
        <v>1.21</v>
      </c>
      <c r="L7639">
        <v>0.19</v>
      </c>
      <c r="M7639">
        <v>0.94599999999999995</v>
      </c>
      <c r="N7639">
        <v>0.87</v>
      </c>
    </row>
    <row r="7640" spans="1:14" x14ac:dyDescent="0.25">
      <c r="A7640" t="s">
        <v>13572</v>
      </c>
      <c r="B7640" t="s">
        <v>12161</v>
      </c>
      <c r="C7640" s="1" t="str">
        <f>HYPERLINK("http://www.genecards.org/cgi-bin/carddisp.pl?gene=PRSS3","GeneCards")</f>
        <v>GeneCards</v>
      </c>
      <c r="D7640" s="1" t="str">
        <f>HYPERLINK("http://genome-euro.ucsc.edu/cgi-bin/hgTracks?position=207463_x_at","UCSC")</f>
        <v>UCSC</v>
      </c>
      <c r="E7640" s="1" t="str">
        <f>HYPERLINK("http://www.ncbi.nlm.nih.gov/gene/?term=PRSS3","NCBI")</f>
        <v>NCBI</v>
      </c>
      <c r="F7640">
        <v>0.11</v>
      </c>
      <c r="G7640">
        <v>0.24</v>
      </c>
      <c r="H7640" s="1" t="str">
        <f>HYPERLINK("http://www.weizmann.ac.il/complex/compphys/software/geview/data/figures/207463_x_at.png","Figure")</f>
        <v>Figure</v>
      </c>
      <c r="I7640">
        <v>1.1499999999999999</v>
      </c>
      <c r="J7640">
        <v>0.35</v>
      </c>
      <c r="K7640">
        <v>0.93600000000000005</v>
      </c>
      <c r="L7640">
        <v>0.71</v>
      </c>
      <c r="M7640">
        <v>0.81499999999999995</v>
      </c>
      <c r="N7640">
        <v>9.2999999999999999E-2</v>
      </c>
    </row>
    <row r="7641" spans="1:14" x14ac:dyDescent="0.25">
      <c r="A7641" t="s">
        <v>13573</v>
      </c>
      <c r="B7641" t="s">
        <v>3603</v>
      </c>
      <c r="C7641" s="1" t="str">
        <f>HYPERLINK("http://www.genecards.org/cgi-bin/carddisp.pl?gene=DSCC1","GeneCards")</f>
        <v>GeneCards</v>
      </c>
      <c r="D7641" s="1" t="str">
        <f>HYPERLINK("http://genome-euro.ucsc.edu/cgi-bin/hgTracks?position=219000_s_at","UCSC")</f>
        <v>UCSC</v>
      </c>
      <c r="E7641" s="1" t="str">
        <f>HYPERLINK("http://www.ncbi.nlm.nih.gov/gene/?term=DSCC1","NCBI")</f>
        <v>NCBI</v>
      </c>
      <c r="F7641">
        <v>0.11</v>
      </c>
      <c r="G7641">
        <v>0.24</v>
      </c>
      <c r="H7641" s="1" t="str">
        <f>HYPERLINK("http://www.weizmann.ac.il/complex/compphys/software/geview/data/figures/219000_s_at.png","Figure")</f>
        <v>Figure</v>
      </c>
      <c r="I7641">
        <v>0.83799999999999997</v>
      </c>
      <c r="J7641">
        <v>0.33</v>
      </c>
      <c r="K7641">
        <v>1.08</v>
      </c>
      <c r="L7641">
        <v>0.74</v>
      </c>
      <c r="M7641">
        <v>1.29</v>
      </c>
      <c r="N7641">
        <v>9.2999999999999999E-2</v>
      </c>
    </row>
    <row r="7642" spans="1:14" x14ac:dyDescent="0.25">
      <c r="A7642" t="s">
        <v>13574</v>
      </c>
      <c r="B7642" t="s">
        <v>9021</v>
      </c>
      <c r="C7642" s="1" t="str">
        <f>HYPERLINK("http://www.genecards.org/cgi-bin/carddisp.pl?gene=WIZ","GeneCards")</f>
        <v>GeneCards</v>
      </c>
      <c r="D7642" s="1" t="str">
        <f>HYPERLINK("http://genome-euro.ucsc.edu/cgi-bin/hgTracks?position=221784_at","UCSC")</f>
        <v>UCSC</v>
      </c>
      <c r="E7642" s="1" t="str">
        <f>HYPERLINK("http://www.ncbi.nlm.nih.gov/gene/?term=WIZ","NCBI")</f>
        <v>NCBI</v>
      </c>
      <c r="F7642">
        <v>0.11</v>
      </c>
      <c r="G7642">
        <v>0.24</v>
      </c>
      <c r="H7642" s="1" t="str">
        <f>HYPERLINK("http://www.weizmann.ac.il/complex/compphys/software/geview/data/figures/221784_at.png","Figure")</f>
        <v>Figure</v>
      </c>
      <c r="I7642">
        <v>1.1599999999999999</v>
      </c>
      <c r="J7642">
        <v>9.8000000000000004E-2</v>
      </c>
      <c r="K7642">
        <v>1.0900000000000001</v>
      </c>
      <c r="L7642">
        <v>0.33</v>
      </c>
      <c r="M7642">
        <v>0.93700000000000006</v>
      </c>
      <c r="N7642">
        <v>0.56999999999999995</v>
      </c>
    </row>
    <row r="7643" spans="1:14" x14ac:dyDescent="0.25">
      <c r="A7643" t="s">
        <v>13575</v>
      </c>
      <c r="B7643" t="s">
        <v>13576</v>
      </c>
      <c r="C7643" s="1" t="str">
        <f>HYPERLINK("http://www.genecards.org/cgi-bin/carddisp.pl?gene=TRABD","GeneCards")</f>
        <v>GeneCards</v>
      </c>
      <c r="D7643" s="1" t="str">
        <f>HYPERLINK("http://genome-euro.ucsc.edu/cgi-bin/hgTracks?position=221807_s_at","UCSC")</f>
        <v>UCSC</v>
      </c>
      <c r="E7643" s="1" t="str">
        <f>HYPERLINK("http://www.ncbi.nlm.nih.gov/gene/?term=TRABD","NCBI")</f>
        <v>NCBI</v>
      </c>
      <c r="F7643">
        <v>0.11</v>
      </c>
      <c r="G7643">
        <v>0.24</v>
      </c>
      <c r="H7643" s="1" t="str">
        <f>HYPERLINK("http://www.weizmann.ac.il/complex/compphys/software/geview/data/figures/221807_s_at.png","Figure")</f>
        <v>Figure</v>
      </c>
      <c r="I7643">
        <v>1.38</v>
      </c>
      <c r="J7643">
        <v>0.12</v>
      </c>
      <c r="K7643">
        <v>1.05</v>
      </c>
      <c r="L7643">
        <v>0.94</v>
      </c>
      <c r="M7643">
        <v>0.75700000000000001</v>
      </c>
      <c r="N7643">
        <v>0.16</v>
      </c>
    </row>
    <row r="7644" spans="1:14" x14ac:dyDescent="0.25">
      <c r="A7644" t="s">
        <v>13577</v>
      </c>
      <c r="B7644" t="s">
        <v>13578</v>
      </c>
      <c r="C7644" s="1" t="str">
        <f>HYPERLINK("http://www.genecards.org/cgi-bin/carddisp.pl?gene=NSMAF","GeneCards")</f>
        <v>GeneCards</v>
      </c>
      <c r="D7644" s="1" t="str">
        <f>HYPERLINK("http://genome-euro.ucsc.edu/cgi-bin/hgTracks?position=203269_at","UCSC")</f>
        <v>UCSC</v>
      </c>
      <c r="E7644" s="1" t="str">
        <f>HYPERLINK("http://www.ncbi.nlm.nih.gov/gene/?term=NSMAF","NCBI")</f>
        <v>NCBI</v>
      </c>
      <c r="F7644">
        <v>0.11</v>
      </c>
      <c r="G7644">
        <v>0.24</v>
      </c>
      <c r="H7644" s="1" t="str">
        <f>HYPERLINK("http://www.weizmann.ac.il/complex/compphys/software/geview/data/figures/203269_at.png","Figure")</f>
        <v>Figure</v>
      </c>
      <c r="I7644">
        <v>0.60399999999999998</v>
      </c>
      <c r="J7644">
        <v>0.12</v>
      </c>
      <c r="K7644">
        <v>0.93500000000000005</v>
      </c>
      <c r="L7644">
        <v>0.94</v>
      </c>
      <c r="M7644">
        <v>1.55</v>
      </c>
      <c r="N7644">
        <v>0.16</v>
      </c>
    </row>
    <row r="7645" spans="1:14" x14ac:dyDescent="0.25">
      <c r="A7645" t="s">
        <v>13579</v>
      </c>
      <c r="B7645" t="s">
        <v>13580</v>
      </c>
      <c r="C7645" s="1" t="str">
        <f>HYPERLINK("http://www.genecards.org/cgi-bin/carddisp.pl?gene=PRPSAP1","GeneCards")</f>
        <v>GeneCards</v>
      </c>
      <c r="D7645" s="1" t="str">
        <f>HYPERLINK("http://genome-euro.ucsc.edu/cgi-bin/hgTracks?position=202529_at","UCSC")</f>
        <v>UCSC</v>
      </c>
      <c r="E7645" s="1" t="str">
        <f>HYPERLINK("http://www.ncbi.nlm.nih.gov/gene/?term=PRPSAP1","NCBI")</f>
        <v>NCBI</v>
      </c>
      <c r="F7645">
        <v>0.11</v>
      </c>
      <c r="G7645">
        <v>0.24</v>
      </c>
      <c r="H7645" s="1" t="str">
        <f>HYPERLINK("http://www.weizmann.ac.il/complex/compphys/software/geview/data/figures/202529_at.png","Figure")</f>
        <v>Figure</v>
      </c>
      <c r="I7645">
        <v>0.871</v>
      </c>
      <c r="J7645">
        <v>0.81</v>
      </c>
      <c r="K7645">
        <v>1.35</v>
      </c>
      <c r="L7645">
        <v>0.28999999999999998</v>
      </c>
      <c r="M7645">
        <v>1.56</v>
      </c>
      <c r="N7645">
        <v>0.12</v>
      </c>
    </row>
    <row r="7646" spans="1:14" x14ac:dyDescent="0.25">
      <c r="A7646" t="s">
        <v>13581</v>
      </c>
      <c r="B7646" t="s">
        <v>13582</v>
      </c>
      <c r="C7646" s="1" t="str">
        <f>HYPERLINK("http://www.genecards.org/cgi-bin/carddisp.pl?gene=SKIV2L2","GeneCards")</f>
        <v>GeneCards</v>
      </c>
      <c r="D7646" s="1" t="str">
        <f>HYPERLINK("http://genome-euro.ucsc.edu/cgi-bin/hgTracks?position=212896_at","UCSC")</f>
        <v>UCSC</v>
      </c>
      <c r="E7646" s="1" t="str">
        <f>HYPERLINK("http://www.ncbi.nlm.nih.gov/gene/?term=SKIV2L2","NCBI")</f>
        <v>NCBI</v>
      </c>
      <c r="F7646">
        <v>0.11</v>
      </c>
      <c r="G7646">
        <v>0.24</v>
      </c>
      <c r="H7646" s="1" t="str">
        <f>HYPERLINK("http://www.weizmann.ac.il/complex/compphys/software/geview/data/figures/212896_at.png","Figure")</f>
        <v>Figure</v>
      </c>
      <c r="I7646">
        <v>1.03</v>
      </c>
      <c r="J7646">
        <v>0.97</v>
      </c>
      <c r="K7646">
        <v>1.33</v>
      </c>
      <c r="L7646">
        <v>0.13</v>
      </c>
      <c r="M7646">
        <v>1.28</v>
      </c>
      <c r="N7646">
        <v>0.24</v>
      </c>
    </row>
    <row r="7647" spans="1:14" x14ac:dyDescent="0.25">
      <c r="A7647" t="s">
        <v>13583</v>
      </c>
      <c r="B7647" t="s">
        <v>4909</v>
      </c>
      <c r="C7647" s="1" t="str">
        <f>HYPERLINK("http://www.genecards.org/cgi-bin/carddisp.pl?gene=SYDE1","GeneCards")</f>
        <v>GeneCards</v>
      </c>
      <c r="D7647" s="1" t="str">
        <f>HYPERLINK("http://genome-euro.ucsc.edu/cgi-bin/hgTracks?position=44702_at","UCSC")</f>
        <v>UCSC</v>
      </c>
      <c r="E7647" s="1" t="str">
        <f>HYPERLINK("http://www.ncbi.nlm.nih.gov/gene/?term=SYDE1","NCBI")</f>
        <v>NCBI</v>
      </c>
      <c r="F7647">
        <v>0.11</v>
      </c>
      <c r="G7647">
        <v>0.25</v>
      </c>
      <c r="H7647" s="1" t="str">
        <f>HYPERLINK("http://www.weizmann.ac.il/complex/compphys/software/geview/data/figures/44702_at.png","Figure")</f>
        <v>Figure</v>
      </c>
      <c r="I7647">
        <v>1.28</v>
      </c>
      <c r="J7647">
        <v>9.4E-2</v>
      </c>
      <c r="K7647">
        <v>1.1000000000000001</v>
      </c>
      <c r="L7647">
        <v>0.59</v>
      </c>
      <c r="M7647">
        <v>0.85899999999999999</v>
      </c>
      <c r="N7647">
        <v>0.32</v>
      </c>
    </row>
    <row r="7648" spans="1:14" x14ac:dyDescent="0.25">
      <c r="A7648" t="s">
        <v>13584</v>
      </c>
      <c r="B7648" t="s">
        <v>13585</v>
      </c>
      <c r="C7648" s="1" t="str">
        <f>HYPERLINK("http://www.genecards.org/cgi-bin/carddisp.pl?gene=ACY1","GeneCards")</f>
        <v>GeneCards</v>
      </c>
      <c r="D7648" s="1" t="str">
        <f>HYPERLINK("http://genome-euro.ucsc.edu/cgi-bin/hgTracks?position=202740_at","UCSC")</f>
        <v>UCSC</v>
      </c>
      <c r="E7648" s="1" t="str">
        <f>HYPERLINK("http://www.ncbi.nlm.nih.gov/gene/?term=ACY1","NCBI")</f>
        <v>NCBI</v>
      </c>
      <c r="F7648">
        <v>0.11</v>
      </c>
      <c r="G7648">
        <v>0.25</v>
      </c>
      <c r="H7648" s="1" t="str">
        <f>HYPERLINK("http://www.weizmann.ac.il/complex/compphys/software/geview/data/figures/202740_at.png","Figure")</f>
        <v>Figure</v>
      </c>
      <c r="I7648">
        <v>0.88300000000000001</v>
      </c>
      <c r="J7648">
        <v>0.33</v>
      </c>
      <c r="K7648">
        <v>1.05</v>
      </c>
      <c r="L7648">
        <v>0.75</v>
      </c>
      <c r="M7648">
        <v>1.2</v>
      </c>
      <c r="N7648">
        <v>9.4E-2</v>
      </c>
    </row>
    <row r="7649" spans="1:14" x14ac:dyDescent="0.25">
      <c r="A7649" t="s">
        <v>13586</v>
      </c>
      <c r="B7649" t="s">
        <v>13587</v>
      </c>
      <c r="C7649" s="1" t="str">
        <f>HYPERLINK("http://www.genecards.org/cgi-bin/carddisp.pl?gene=SLC13A3","GeneCards")</f>
        <v>GeneCards</v>
      </c>
      <c r="D7649" s="1" t="str">
        <f>HYPERLINK("http://genome-euro.ucsc.edu/cgi-bin/hgTracks?position=205244_s_at","UCSC")</f>
        <v>UCSC</v>
      </c>
      <c r="E7649" s="1" t="str">
        <f>HYPERLINK("http://www.ncbi.nlm.nih.gov/gene/?term=SLC13A3","NCBI")</f>
        <v>NCBI</v>
      </c>
      <c r="F7649">
        <v>0.11</v>
      </c>
      <c r="G7649">
        <v>0.25</v>
      </c>
      <c r="H7649" s="1" t="str">
        <f>HYPERLINK("http://www.weizmann.ac.il/complex/compphys/software/geview/data/figures/205244_s_at.png","Figure")</f>
        <v>Figure</v>
      </c>
      <c r="I7649">
        <v>1.22</v>
      </c>
      <c r="J7649">
        <v>9.2999999999999999E-2</v>
      </c>
      <c r="K7649">
        <v>1.08</v>
      </c>
      <c r="L7649">
        <v>0.56000000000000005</v>
      </c>
      <c r="M7649">
        <v>0.88700000000000001</v>
      </c>
      <c r="N7649">
        <v>0.34</v>
      </c>
    </row>
    <row r="7650" spans="1:14" x14ac:dyDescent="0.25">
      <c r="A7650" t="s">
        <v>13588</v>
      </c>
      <c r="B7650" t="s">
        <v>13589</v>
      </c>
      <c r="C7650" s="1" t="str">
        <f>HYPERLINK("http://www.genecards.org/cgi-bin/carddisp.pl?gene=ACTR6","GeneCards")</f>
        <v>GeneCards</v>
      </c>
      <c r="D7650" s="1" t="str">
        <f>HYPERLINK("http://genome-euro.ucsc.edu/cgi-bin/hgTracks?position=218395_at","UCSC")</f>
        <v>UCSC</v>
      </c>
      <c r="E7650" s="1" t="str">
        <f>HYPERLINK("http://www.ncbi.nlm.nih.gov/gene/?term=ACTR6","NCBI")</f>
        <v>NCBI</v>
      </c>
      <c r="F7650">
        <v>0.11</v>
      </c>
      <c r="G7650">
        <v>0.25</v>
      </c>
      <c r="H7650" s="1" t="str">
        <f>HYPERLINK("http://www.weizmann.ac.il/complex/compphys/software/geview/data/figures/218395_at.png","Figure")</f>
        <v>Figure</v>
      </c>
      <c r="I7650">
        <v>0.64400000000000002</v>
      </c>
      <c r="J7650">
        <v>0.12</v>
      </c>
      <c r="K7650">
        <v>0.93200000000000005</v>
      </c>
      <c r="L7650">
        <v>0.92</v>
      </c>
      <c r="M7650">
        <v>1.45</v>
      </c>
      <c r="N7650">
        <v>0.17</v>
      </c>
    </row>
    <row r="7651" spans="1:14" x14ac:dyDescent="0.25">
      <c r="A7651" t="s">
        <v>13590</v>
      </c>
      <c r="B7651" t="s">
        <v>13591</v>
      </c>
      <c r="C7651" s="1" t="str">
        <f>HYPERLINK("http://www.genecards.org/cgi-bin/carddisp.pl?gene=CAPZB","GeneCards")</f>
        <v>GeneCards</v>
      </c>
      <c r="D7651" s="1" t="str">
        <f>HYPERLINK("http://genome-euro.ucsc.edu/cgi-bin/hgTracks?position=37012_at","UCSC")</f>
        <v>UCSC</v>
      </c>
      <c r="E7651" s="1" t="str">
        <f>HYPERLINK("http://www.ncbi.nlm.nih.gov/gene/?term=CAPZB","NCBI")</f>
        <v>NCBI</v>
      </c>
      <c r="F7651">
        <v>0.11</v>
      </c>
      <c r="G7651">
        <v>0.25</v>
      </c>
      <c r="H7651" s="1" t="str">
        <f>HYPERLINK("http://www.weizmann.ac.il/complex/compphys/software/geview/data/figures/37012_at.png","Figure")</f>
        <v>Figure</v>
      </c>
      <c r="I7651">
        <v>0.73799999999999999</v>
      </c>
      <c r="J7651">
        <v>0.28000000000000003</v>
      </c>
      <c r="K7651">
        <v>1.1100000000000001</v>
      </c>
      <c r="L7651">
        <v>0.82</v>
      </c>
      <c r="M7651">
        <v>1.5</v>
      </c>
      <c r="N7651">
        <v>9.6000000000000002E-2</v>
      </c>
    </row>
    <row r="7652" spans="1:14" x14ac:dyDescent="0.25">
      <c r="A7652" t="s">
        <v>13592</v>
      </c>
      <c r="B7652" t="s">
        <v>2543</v>
      </c>
      <c r="C7652" s="1" t="str">
        <f>HYPERLINK("http://www.genecards.org/cgi-bin/carddisp.pl?gene=BECN1","GeneCards")</f>
        <v>GeneCards</v>
      </c>
      <c r="D7652" s="1" t="str">
        <f>HYPERLINK("http://genome-euro.ucsc.edu/cgi-bin/hgTracks?position=208945_s_at","UCSC")</f>
        <v>UCSC</v>
      </c>
      <c r="E7652" s="1" t="str">
        <f>HYPERLINK("http://www.ncbi.nlm.nih.gov/gene/?term=BECN1","NCBI")</f>
        <v>NCBI</v>
      </c>
      <c r="F7652">
        <v>0.11</v>
      </c>
      <c r="G7652">
        <v>0.25</v>
      </c>
      <c r="H7652" s="1" t="str">
        <f>HYPERLINK("http://www.weizmann.ac.il/complex/compphys/software/geview/data/figures/208945_s_at.png","Figure")</f>
        <v>Figure</v>
      </c>
      <c r="I7652">
        <v>0.81</v>
      </c>
      <c r="J7652">
        <v>0.28000000000000003</v>
      </c>
      <c r="K7652">
        <v>1.07</v>
      </c>
      <c r="L7652">
        <v>0.83</v>
      </c>
      <c r="M7652">
        <v>1.32</v>
      </c>
      <c r="N7652">
        <v>9.6000000000000002E-2</v>
      </c>
    </row>
    <row r="7653" spans="1:14" x14ac:dyDescent="0.25">
      <c r="A7653" t="s">
        <v>13593</v>
      </c>
      <c r="B7653" t="s">
        <v>12872</v>
      </c>
      <c r="C7653" s="1" t="str">
        <f>HYPERLINK("http://www.genecards.org/cgi-bin/carddisp.pl?gene=PARD3","GeneCards")</f>
        <v>GeneCards</v>
      </c>
      <c r="D7653" s="1" t="str">
        <f>HYPERLINK("http://genome-euro.ucsc.edu/cgi-bin/hgTracks?position=221527_s_at","UCSC")</f>
        <v>UCSC</v>
      </c>
      <c r="E7653" s="1" t="str">
        <f>HYPERLINK("http://www.ncbi.nlm.nih.gov/gene/?term=PARD3","NCBI")</f>
        <v>NCBI</v>
      </c>
      <c r="F7653">
        <v>0.11</v>
      </c>
      <c r="G7653">
        <v>0.25</v>
      </c>
      <c r="H7653" s="1" t="str">
        <f>HYPERLINK("http://www.weizmann.ac.il/complex/compphys/software/geview/data/figures/221527_s_at.png","Figure")</f>
        <v>Figure</v>
      </c>
      <c r="I7653">
        <v>0.879</v>
      </c>
      <c r="J7653">
        <v>0.54</v>
      </c>
      <c r="K7653">
        <v>1.1299999999999999</v>
      </c>
      <c r="L7653">
        <v>0.48</v>
      </c>
      <c r="M7653">
        <v>1.29</v>
      </c>
      <c r="N7653">
        <v>9.7000000000000003E-2</v>
      </c>
    </row>
    <row r="7654" spans="1:14" x14ac:dyDescent="0.25">
      <c r="A7654" t="s">
        <v>13594</v>
      </c>
      <c r="B7654" t="s">
        <v>13595</v>
      </c>
      <c r="C7654" s="1" t="str">
        <f>HYPERLINK("http://www.genecards.org/cgi-bin/carddisp.pl?gene=SLC2A3P1","GeneCards")</f>
        <v>GeneCards</v>
      </c>
      <c r="D7654" s="1" t="str">
        <f>HYPERLINK("http://genome-euro.ucsc.edu/cgi-bin/hgTracks?position=221751_at","UCSC")</f>
        <v>UCSC</v>
      </c>
      <c r="E7654" s="1" t="str">
        <f>HYPERLINK("http://www.ncbi.nlm.nih.gov/gene/?term=SLC2A3P1","NCBI")</f>
        <v>NCBI</v>
      </c>
      <c r="F7654">
        <v>0.11</v>
      </c>
      <c r="G7654">
        <v>0.25</v>
      </c>
      <c r="H7654" s="1" t="str">
        <f>HYPERLINK("http://www.weizmann.ac.il/complex/compphys/software/geview/data/figures/221751_at.png","Figure")</f>
        <v>Figure</v>
      </c>
      <c r="I7654">
        <v>0.61</v>
      </c>
      <c r="J7654">
        <v>0.14000000000000001</v>
      </c>
      <c r="K7654">
        <v>0.66900000000000004</v>
      </c>
      <c r="L7654">
        <v>0.17</v>
      </c>
      <c r="M7654">
        <v>1.1000000000000001</v>
      </c>
      <c r="N7654">
        <v>0.91</v>
      </c>
    </row>
    <row r="7655" spans="1:14" x14ac:dyDescent="0.25">
      <c r="A7655" t="s">
        <v>13596</v>
      </c>
      <c r="B7655" t="s">
        <v>13597</v>
      </c>
      <c r="C7655" s="1" t="str">
        <f>HYPERLINK("http://www.genecards.org/cgi-bin/carddisp.pl?gene=DEAF1","GeneCards")</f>
        <v>GeneCards</v>
      </c>
      <c r="D7655" s="1" t="str">
        <f>HYPERLINK("http://genome-euro.ucsc.edu/cgi-bin/hgTracks?position=209407_s_at","UCSC")</f>
        <v>UCSC</v>
      </c>
      <c r="E7655" s="1" t="str">
        <f>HYPERLINK("http://www.ncbi.nlm.nih.gov/gene/?term=DEAF1","NCBI")</f>
        <v>NCBI</v>
      </c>
      <c r="F7655">
        <v>0.11</v>
      </c>
      <c r="G7655">
        <v>0.25</v>
      </c>
      <c r="H7655" s="1" t="str">
        <f>HYPERLINK("http://www.weizmann.ac.il/complex/compphys/software/geview/data/figures/209407_s_at.png","Figure")</f>
        <v>Figure</v>
      </c>
      <c r="I7655">
        <v>0.98599999999999999</v>
      </c>
      <c r="J7655">
        <v>0.98</v>
      </c>
      <c r="K7655">
        <v>1.1200000000000001</v>
      </c>
      <c r="L7655">
        <v>0.19</v>
      </c>
      <c r="M7655">
        <v>1.1399999999999999</v>
      </c>
      <c r="N7655">
        <v>0.16</v>
      </c>
    </row>
    <row r="7656" spans="1:14" x14ac:dyDescent="0.25">
      <c r="A7656" t="s">
        <v>13598</v>
      </c>
      <c r="B7656" t="s">
        <v>13599</v>
      </c>
      <c r="C7656" s="1" t="str">
        <f>HYPERLINK("http://www.genecards.org/cgi-bin/carddisp.pl?gene=PKP1","GeneCards")</f>
        <v>GeneCards</v>
      </c>
      <c r="D7656" s="1" t="str">
        <f>HYPERLINK("http://genome-euro.ucsc.edu/cgi-bin/hgTracks?position=221854_at","UCSC")</f>
        <v>UCSC</v>
      </c>
      <c r="E7656" s="1" t="str">
        <f>HYPERLINK("http://www.ncbi.nlm.nih.gov/gene/?term=PKP1","NCBI")</f>
        <v>NCBI</v>
      </c>
      <c r="F7656">
        <v>0.11</v>
      </c>
      <c r="G7656">
        <v>0.25</v>
      </c>
      <c r="H7656" s="1" t="str">
        <f>HYPERLINK("http://www.weizmann.ac.il/complex/compphys/software/geview/data/figures/221854_at.png","Figure")</f>
        <v>Figure</v>
      </c>
      <c r="I7656">
        <v>1.1599999999999999</v>
      </c>
      <c r="J7656">
        <v>9.6000000000000002E-2</v>
      </c>
      <c r="K7656">
        <v>1.05</v>
      </c>
      <c r="L7656">
        <v>0.64</v>
      </c>
      <c r="M7656">
        <v>0.91</v>
      </c>
      <c r="N7656">
        <v>0.28999999999999998</v>
      </c>
    </row>
    <row r="7657" spans="1:14" x14ac:dyDescent="0.25">
      <c r="A7657" t="s">
        <v>13600</v>
      </c>
      <c r="B7657" t="s">
        <v>13601</v>
      </c>
      <c r="C7657" s="1" t="str">
        <f>HYPERLINK("http://www.genecards.org/cgi-bin/carddisp.pl?gene=SIRPA","GeneCards")</f>
        <v>GeneCards</v>
      </c>
      <c r="D7657" s="1" t="str">
        <f>HYPERLINK("http://genome-euro.ucsc.edu/cgi-bin/hgTracks?position=202895_s_at","UCSC")</f>
        <v>UCSC</v>
      </c>
      <c r="E7657" s="1" t="str">
        <f>HYPERLINK("http://www.ncbi.nlm.nih.gov/gene/?term=SIRPA","NCBI")</f>
        <v>NCBI</v>
      </c>
      <c r="F7657">
        <v>0.11</v>
      </c>
      <c r="G7657">
        <v>0.25</v>
      </c>
      <c r="H7657" s="1" t="str">
        <f>HYPERLINK("http://www.weizmann.ac.il/complex/compphys/software/geview/data/figures/202895_s_at.png","Figure")</f>
        <v>Figure</v>
      </c>
      <c r="I7657">
        <v>1.04</v>
      </c>
      <c r="J7657">
        <v>0.83</v>
      </c>
      <c r="K7657">
        <v>0.91800000000000004</v>
      </c>
      <c r="L7657">
        <v>0.28000000000000003</v>
      </c>
      <c r="M7657">
        <v>0.88500000000000001</v>
      </c>
      <c r="N7657">
        <v>0.12</v>
      </c>
    </row>
    <row r="7658" spans="1:14" x14ac:dyDescent="0.25">
      <c r="A7658" t="s">
        <v>13602</v>
      </c>
      <c r="B7658" t="s">
        <v>13603</v>
      </c>
      <c r="C7658" s="1" t="str">
        <f>HYPERLINK("http://www.genecards.org/cgi-bin/carddisp.pl?gene=KIAA1009","GeneCards")</f>
        <v>GeneCards</v>
      </c>
      <c r="D7658" s="1" t="str">
        <f>HYPERLINK("http://genome-euro.ucsc.edu/cgi-bin/hgTracks?position=206006_s_at","UCSC")</f>
        <v>UCSC</v>
      </c>
      <c r="E7658" s="1" t="str">
        <f>HYPERLINK("http://www.ncbi.nlm.nih.gov/gene/?term=KIAA1009","NCBI")</f>
        <v>NCBI</v>
      </c>
      <c r="F7658">
        <v>0.11</v>
      </c>
      <c r="G7658">
        <v>0.25</v>
      </c>
      <c r="H7658" s="1" t="str">
        <f>HYPERLINK("http://www.weizmann.ac.il/complex/compphys/software/geview/data/figures/206006_s_at.png","Figure")</f>
        <v>Figure</v>
      </c>
      <c r="I7658">
        <v>0.85499999999999998</v>
      </c>
      <c r="J7658">
        <v>0.17</v>
      </c>
      <c r="K7658">
        <v>1.01</v>
      </c>
      <c r="L7658">
        <v>0.99</v>
      </c>
      <c r="M7658">
        <v>1.18</v>
      </c>
      <c r="N7658">
        <v>0.12</v>
      </c>
    </row>
    <row r="7659" spans="1:14" x14ac:dyDescent="0.25">
      <c r="A7659" t="s">
        <v>13604</v>
      </c>
      <c r="B7659" t="s">
        <v>4008</v>
      </c>
      <c r="C7659" s="1" t="str">
        <f>HYPERLINK("http://www.genecards.org/cgi-bin/carddisp.pl?gene=PPP2R3A","GeneCards")</f>
        <v>GeneCards</v>
      </c>
      <c r="D7659" s="1" t="str">
        <f>HYPERLINK("http://genome-euro.ucsc.edu/cgi-bin/hgTracks?position=209633_at","UCSC")</f>
        <v>UCSC</v>
      </c>
      <c r="E7659" s="1" t="str">
        <f>HYPERLINK("http://www.ncbi.nlm.nih.gov/gene/?term=PPP2R3A","NCBI")</f>
        <v>NCBI</v>
      </c>
      <c r="F7659">
        <v>0.11</v>
      </c>
      <c r="G7659">
        <v>0.25</v>
      </c>
      <c r="H7659" s="1" t="str">
        <f>HYPERLINK("http://www.weizmann.ac.il/complex/compphys/software/geview/data/figures/209633_at.png","Figure")</f>
        <v>Figure</v>
      </c>
      <c r="I7659">
        <v>1.17</v>
      </c>
      <c r="J7659">
        <v>0.1</v>
      </c>
      <c r="K7659">
        <v>1.1000000000000001</v>
      </c>
      <c r="L7659">
        <v>0.28999999999999998</v>
      </c>
      <c r="M7659">
        <v>0.94099999999999995</v>
      </c>
      <c r="N7659">
        <v>0.65</v>
      </c>
    </row>
    <row r="7660" spans="1:14" x14ac:dyDescent="0.25">
      <c r="A7660" t="s">
        <v>13605</v>
      </c>
      <c r="B7660" t="s">
        <v>5516</v>
      </c>
      <c r="C7660" s="1" t="str">
        <f>HYPERLINK("http://www.genecards.org/cgi-bin/carddisp.pl?gene=YIPF6","GeneCards")</f>
        <v>GeneCards</v>
      </c>
      <c r="D7660" s="1" t="str">
        <f>HYPERLINK("http://genome-euro.ucsc.edu/cgi-bin/hgTracks?position=212343_at","UCSC")</f>
        <v>UCSC</v>
      </c>
      <c r="E7660" s="1" t="str">
        <f>HYPERLINK("http://www.ncbi.nlm.nih.gov/gene/?term=YIPF6","NCBI")</f>
        <v>NCBI</v>
      </c>
      <c r="F7660">
        <v>0.11</v>
      </c>
      <c r="G7660">
        <v>0.25</v>
      </c>
      <c r="H7660" s="1" t="str">
        <f>HYPERLINK("http://www.weizmann.ac.il/complex/compphys/software/geview/data/figures/212343_at.png","Figure")</f>
        <v>Figure</v>
      </c>
      <c r="I7660">
        <v>0.92900000000000005</v>
      </c>
      <c r="J7660">
        <v>0.64</v>
      </c>
      <c r="K7660">
        <v>1.1000000000000001</v>
      </c>
      <c r="L7660">
        <v>0.4</v>
      </c>
      <c r="M7660">
        <v>1.18</v>
      </c>
      <c r="N7660">
        <v>0.1</v>
      </c>
    </row>
    <row r="7661" spans="1:14" x14ac:dyDescent="0.25">
      <c r="A7661" t="s">
        <v>13606</v>
      </c>
      <c r="B7661" t="s">
        <v>13607</v>
      </c>
      <c r="C7661" s="1" t="str">
        <f>HYPERLINK("http://www.genecards.org/cgi-bin/carddisp.pl?gene=PAPSS2","GeneCards")</f>
        <v>GeneCards</v>
      </c>
      <c r="D7661" s="1" t="str">
        <f>HYPERLINK("http://genome-euro.ucsc.edu/cgi-bin/hgTracks?position=203059_s_at","UCSC")</f>
        <v>UCSC</v>
      </c>
      <c r="E7661" s="1" t="str">
        <f>HYPERLINK("http://www.ncbi.nlm.nih.gov/gene/?term=PAPSS2","NCBI")</f>
        <v>NCBI</v>
      </c>
      <c r="F7661">
        <v>0.11</v>
      </c>
      <c r="G7661">
        <v>0.25</v>
      </c>
      <c r="H7661" s="1" t="str">
        <f>HYPERLINK("http://www.weizmann.ac.il/complex/compphys/software/geview/data/figures/203059_s_at.png","Figure")</f>
        <v>Figure</v>
      </c>
      <c r="I7661">
        <v>1.1599999999999999</v>
      </c>
      <c r="J7661">
        <v>9.7000000000000003E-2</v>
      </c>
      <c r="K7661">
        <v>1.05</v>
      </c>
      <c r="L7661">
        <v>0.67</v>
      </c>
      <c r="M7661">
        <v>0.90700000000000003</v>
      </c>
      <c r="N7661">
        <v>0.28000000000000003</v>
      </c>
    </row>
    <row r="7662" spans="1:14" x14ac:dyDescent="0.25">
      <c r="A7662" t="s">
        <v>13608</v>
      </c>
      <c r="B7662" t="s">
        <v>13396</v>
      </c>
      <c r="C7662" s="1" t="str">
        <f>HYPERLINK("http://www.genecards.org/cgi-bin/carddisp.pl?gene=PPM1A","GeneCards")</f>
        <v>GeneCards</v>
      </c>
      <c r="D7662" s="1" t="str">
        <f>HYPERLINK("http://genome-euro.ucsc.edu/cgi-bin/hgTracks?position=203966_s_at","UCSC")</f>
        <v>UCSC</v>
      </c>
      <c r="E7662" s="1" t="str">
        <f>HYPERLINK("http://www.ncbi.nlm.nih.gov/gene/?term=PPM1A","NCBI")</f>
        <v>NCBI</v>
      </c>
      <c r="F7662">
        <v>0.11</v>
      </c>
      <c r="G7662">
        <v>0.25</v>
      </c>
      <c r="H7662" s="1" t="str">
        <f>HYPERLINK("http://www.weizmann.ac.il/complex/compphys/software/geview/data/figures/203966_s_at.png","Figure")</f>
        <v>Figure</v>
      </c>
      <c r="I7662">
        <v>0.96399999999999997</v>
      </c>
      <c r="J7662">
        <v>0.99</v>
      </c>
      <c r="K7662">
        <v>0.67</v>
      </c>
      <c r="L7662">
        <v>0.14000000000000001</v>
      </c>
      <c r="M7662">
        <v>0.69499999999999995</v>
      </c>
      <c r="N7662">
        <v>0.23</v>
      </c>
    </row>
    <row r="7663" spans="1:14" x14ac:dyDescent="0.25">
      <c r="A7663" t="s">
        <v>13609</v>
      </c>
      <c r="B7663" t="s">
        <v>9174</v>
      </c>
      <c r="C7663" s="1" t="str">
        <f>HYPERLINK("http://www.genecards.org/cgi-bin/carddisp.pl?gene=SLC1A4","GeneCards")</f>
        <v>GeneCards</v>
      </c>
      <c r="D7663" s="1" t="str">
        <f>HYPERLINK("http://genome-euro.ucsc.edu/cgi-bin/hgTracks?position=212811_x_at","UCSC")</f>
        <v>UCSC</v>
      </c>
      <c r="E7663" s="1" t="str">
        <f>HYPERLINK("http://www.ncbi.nlm.nih.gov/gene/?term=SLC1A4","NCBI")</f>
        <v>NCBI</v>
      </c>
      <c r="F7663">
        <v>0.11</v>
      </c>
      <c r="G7663">
        <v>0.25</v>
      </c>
      <c r="H7663" s="1" t="str">
        <f>HYPERLINK("http://www.weizmann.ac.il/complex/compphys/software/geview/data/figures/212811_x_at.png","Figure")</f>
        <v>Figure</v>
      </c>
      <c r="I7663">
        <v>1.17</v>
      </c>
      <c r="J7663">
        <v>0.28000000000000003</v>
      </c>
      <c r="K7663">
        <v>1.21</v>
      </c>
      <c r="L7663">
        <v>0.1</v>
      </c>
      <c r="M7663">
        <v>1.03</v>
      </c>
      <c r="N7663">
        <v>0.93</v>
      </c>
    </row>
    <row r="7664" spans="1:14" x14ac:dyDescent="0.25">
      <c r="A7664" t="s">
        <v>13610</v>
      </c>
      <c r="B7664" t="s">
        <v>13611</v>
      </c>
      <c r="C7664" s="1" t="str">
        <f>HYPERLINK("http://www.genecards.org/cgi-bin/carddisp.pl?gene=NFKBIB","GeneCards")</f>
        <v>GeneCards</v>
      </c>
      <c r="D7664" s="1" t="str">
        <f>HYPERLINK("http://genome-euro.ucsc.edu/cgi-bin/hgTracks?position=214062_x_at","UCSC")</f>
        <v>UCSC</v>
      </c>
      <c r="E7664" s="1" t="str">
        <f>HYPERLINK("http://www.ncbi.nlm.nih.gov/gene/?term=NFKBIB","NCBI")</f>
        <v>NCBI</v>
      </c>
      <c r="F7664">
        <v>0.11</v>
      </c>
      <c r="G7664">
        <v>0.25</v>
      </c>
      <c r="H7664" s="1" t="str">
        <f>HYPERLINK("http://www.weizmann.ac.il/complex/compphys/software/geview/data/figures/214062_x_at.png","Figure")</f>
        <v>Figure</v>
      </c>
      <c r="I7664">
        <v>0.75700000000000001</v>
      </c>
      <c r="J7664">
        <v>9.7000000000000003E-2</v>
      </c>
      <c r="K7664">
        <v>0.86</v>
      </c>
      <c r="L7664">
        <v>0.36</v>
      </c>
      <c r="M7664">
        <v>1.1399999999999999</v>
      </c>
      <c r="N7664">
        <v>0.53</v>
      </c>
    </row>
    <row r="7665" spans="1:14" x14ac:dyDescent="0.25">
      <c r="A7665" t="s">
        <v>13612</v>
      </c>
      <c r="B7665" t="s">
        <v>13613</v>
      </c>
      <c r="C7665" s="1" t="str">
        <f>HYPERLINK("http://www.genecards.org/cgi-bin/carddisp.pl?gene=KLHL35","GeneCards")</f>
        <v>GeneCards</v>
      </c>
      <c r="D7665" s="1" t="str">
        <f>HYPERLINK("http://genome-euro.ucsc.edu/cgi-bin/hgTracks?position=215748_at","UCSC")</f>
        <v>UCSC</v>
      </c>
      <c r="E7665" s="1" t="str">
        <f>HYPERLINK("http://www.ncbi.nlm.nih.gov/gene/?term=KLHL35","NCBI")</f>
        <v>NCBI</v>
      </c>
      <c r="F7665">
        <v>0.11</v>
      </c>
      <c r="G7665">
        <v>0.25</v>
      </c>
      <c r="H7665" s="1" t="str">
        <f>HYPERLINK("http://www.weizmann.ac.il/complex/compphys/software/geview/data/figures/215748_at.png","Figure")</f>
        <v>Figure</v>
      </c>
      <c r="I7665">
        <v>1.04</v>
      </c>
      <c r="J7665">
        <v>0.8</v>
      </c>
      <c r="K7665">
        <v>0.91400000000000003</v>
      </c>
      <c r="L7665">
        <v>0.3</v>
      </c>
      <c r="M7665">
        <v>0.876</v>
      </c>
      <c r="N7665">
        <v>0.12</v>
      </c>
    </row>
    <row r="7666" spans="1:14" x14ac:dyDescent="0.25">
      <c r="A7666" t="s">
        <v>13614</v>
      </c>
      <c r="B7666" t="s">
        <v>13615</v>
      </c>
      <c r="C7666" s="1" t="str">
        <f>HYPERLINK("http://www.genecards.org/cgi-bin/carddisp.pl?gene=VKORC1","GeneCards")</f>
        <v>GeneCards</v>
      </c>
      <c r="D7666" s="1" t="str">
        <f>HYPERLINK("http://genome-euro.ucsc.edu/cgi-bin/hgTracks?position=217949_s_at","UCSC")</f>
        <v>UCSC</v>
      </c>
      <c r="E7666" s="1" t="str">
        <f>HYPERLINK("http://www.ncbi.nlm.nih.gov/gene/?term=VKORC1","NCBI")</f>
        <v>NCBI</v>
      </c>
      <c r="F7666">
        <v>0.11</v>
      </c>
      <c r="G7666">
        <v>0.25</v>
      </c>
      <c r="H7666" s="1" t="str">
        <f>HYPERLINK("http://www.weizmann.ac.il/complex/compphys/software/geview/data/figures/217949_s_at.png","Figure")</f>
        <v>Figure</v>
      </c>
      <c r="I7666">
        <v>1.1000000000000001</v>
      </c>
      <c r="J7666">
        <v>0.61</v>
      </c>
      <c r="K7666">
        <v>1.23</v>
      </c>
      <c r="L7666">
        <v>9.5000000000000001E-2</v>
      </c>
      <c r="M7666">
        <v>1.1100000000000001</v>
      </c>
      <c r="N7666">
        <v>0.54</v>
      </c>
    </row>
    <row r="7667" spans="1:14" x14ac:dyDescent="0.25">
      <c r="A7667" t="s">
        <v>13616</v>
      </c>
      <c r="B7667" t="s">
        <v>13617</v>
      </c>
      <c r="C7667" s="1" t="str">
        <f>HYPERLINK("http://www.genecards.org/cgi-bin/carddisp.pl?gene=KALRN","GeneCards")</f>
        <v>GeneCards</v>
      </c>
      <c r="D7667" s="1" t="str">
        <f>HYPERLINK("http://genome-euro.ucsc.edu/cgi-bin/hgTracks?position=206078_at","UCSC")</f>
        <v>UCSC</v>
      </c>
      <c r="E7667" s="1" t="str">
        <f>HYPERLINK("http://www.ncbi.nlm.nih.gov/gene/?term=KALRN","NCBI")</f>
        <v>NCBI</v>
      </c>
      <c r="F7667">
        <v>0.11</v>
      </c>
      <c r="G7667">
        <v>0.25</v>
      </c>
      <c r="H7667" s="1" t="str">
        <f>HYPERLINK("http://www.weizmann.ac.il/complex/compphys/software/geview/data/figures/206078_at.png","Figure")</f>
        <v>Figure</v>
      </c>
      <c r="I7667">
        <v>1.08</v>
      </c>
      <c r="J7667">
        <v>0.1</v>
      </c>
      <c r="K7667">
        <v>1.05</v>
      </c>
      <c r="L7667">
        <v>0.28000000000000003</v>
      </c>
      <c r="M7667">
        <v>0.97</v>
      </c>
      <c r="N7667">
        <v>0.66</v>
      </c>
    </row>
    <row r="7668" spans="1:14" x14ac:dyDescent="0.25">
      <c r="A7668" t="s">
        <v>13618</v>
      </c>
      <c r="B7668" t="s">
        <v>13619</v>
      </c>
      <c r="C7668" s="1" t="str">
        <f>HYPERLINK("http://www.genecards.org/cgi-bin/carddisp.pl?gene=HNRNPUL1","GeneCards")</f>
        <v>GeneCards</v>
      </c>
      <c r="D7668" s="1" t="str">
        <f>HYPERLINK("http://genome-euro.ucsc.edu/cgi-bin/hgTracks?position=208713_at","UCSC")</f>
        <v>UCSC</v>
      </c>
      <c r="E7668" s="1" t="str">
        <f>HYPERLINK("http://www.ncbi.nlm.nih.gov/gene/?term=HNRNPUL1","NCBI")</f>
        <v>NCBI</v>
      </c>
      <c r="F7668">
        <v>0.11</v>
      </c>
      <c r="G7668">
        <v>0.25</v>
      </c>
      <c r="H7668" s="1" t="str">
        <f>HYPERLINK("http://www.weizmann.ac.il/complex/compphys/software/geview/data/figures/208713_at.png","Figure")</f>
        <v>Figure</v>
      </c>
      <c r="I7668">
        <v>1.24</v>
      </c>
      <c r="J7668">
        <v>0.1</v>
      </c>
      <c r="K7668">
        <v>1.1399999999999999</v>
      </c>
      <c r="L7668">
        <v>0.32</v>
      </c>
      <c r="M7668">
        <v>0.91400000000000003</v>
      </c>
      <c r="N7668">
        <v>0.59</v>
      </c>
    </row>
    <row r="7669" spans="1:14" x14ac:dyDescent="0.25">
      <c r="A7669" t="s">
        <v>13620</v>
      </c>
      <c r="B7669" t="s">
        <v>13621</v>
      </c>
      <c r="C7669" s="1" t="str">
        <f>HYPERLINK("http://www.genecards.org/cgi-bin/carddisp.pl?gene=SNAPC1","GeneCards")</f>
        <v>GeneCards</v>
      </c>
      <c r="D7669" s="1" t="str">
        <f>HYPERLINK("http://genome-euro.ucsc.edu/cgi-bin/hgTracks?position=205443_at","UCSC")</f>
        <v>UCSC</v>
      </c>
      <c r="E7669" s="1" t="str">
        <f>HYPERLINK("http://www.ncbi.nlm.nih.gov/gene/?term=SNAPC1","NCBI")</f>
        <v>NCBI</v>
      </c>
      <c r="F7669">
        <v>0.11</v>
      </c>
      <c r="G7669">
        <v>0.25</v>
      </c>
      <c r="H7669" s="1" t="str">
        <f>HYPERLINK("http://www.weizmann.ac.il/complex/compphys/software/geview/data/figures/205443_at.png","Figure")</f>
        <v>Figure</v>
      </c>
      <c r="I7669">
        <v>0.79600000000000004</v>
      </c>
      <c r="J7669">
        <v>9.6000000000000002E-2</v>
      </c>
      <c r="K7669">
        <v>0.88400000000000001</v>
      </c>
      <c r="L7669">
        <v>0.37</v>
      </c>
      <c r="M7669">
        <v>1.1100000000000001</v>
      </c>
      <c r="N7669">
        <v>0.52</v>
      </c>
    </row>
    <row r="7670" spans="1:14" x14ac:dyDescent="0.25">
      <c r="A7670" t="s">
        <v>13622</v>
      </c>
      <c r="B7670" t="s">
        <v>9226</v>
      </c>
      <c r="C7670" s="1" t="str">
        <f>HYPERLINK("http://www.genecards.org/cgi-bin/carddisp.pl?gene=CKAP4","GeneCards")</f>
        <v>GeneCards</v>
      </c>
      <c r="D7670" s="1" t="str">
        <f>HYPERLINK("http://genome-euro.ucsc.edu/cgi-bin/hgTracks?position=200999_s_at","UCSC")</f>
        <v>UCSC</v>
      </c>
      <c r="E7670" s="1" t="str">
        <f>HYPERLINK("http://www.ncbi.nlm.nih.gov/gene/?term=CKAP4","NCBI")</f>
        <v>NCBI</v>
      </c>
      <c r="F7670">
        <v>0.11</v>
      </c>
      <c r="G7670">
        <v>0.25</v>
      </c>
      <c r="H7670" s="1" t="str">
        <f>HYPERLINK("http://www.weizmann.ac.il/complex/compphys/software/geview/data/figures/200999_s_at.png","Figure")</f>
        <v>Figure</v>
      </c>
      <c r="I7670">
        <v>1.83</v>
      </c>
      <c r="J7670">
        <v>9.8000000000000004E-2</v>
      </c>
      <c r="K7670">
        <v>1.41</v>
      </c>
      <c r="L7670">
        <v>0.34</v>
      </c>
      <c r="M7670">
        <v>0.76900000000000002</v>
      </c>
      <c r="N7670">
        <v>0.56000000000000005</v>
      </c>
    </row>
    <row r="7671" spans="1:14" x14ac:dyDescent="0.25">
      <c r="A7671" t="s">
        <v>13623</v>
      </c>
      <c r="B7671" t="s">
        <v>13624</v>
      </c>
      <c r="C7671" s="1" t="str">
        <f>HYPERLINK("http://www.genecards.org/cgi-bin/carddisp.pl?gene=CDH17","GeneCards")</f>
        <v>GeneCards</v>
      </c>
      <c r="D7671" s="1" t="str">
        <f>HYPERLINK("http://genome-euro.ucsc.edu/cgi-bin/hgTracks?position=209847_at","UCSC")</f>
        <v>UCSC</v>
      </c>
      <c r="E7671" s="1" t="str">
        <f>HYPERLINK("http://www.ncbi.nlm.nih.gov/gene/?term=CDH17","NCBI")</f>
        <v>NCBI</v>
      </c>
      <c r="F7671">
        <v>0.11</v>
      </c>
      <c r="G7671">
        <v>0.25</v>
      </c>
      <c r="H7671" s="1" t="str">
        <f>HYPERLINK("http://www.weizmann.ac.il/complex/compphys/software/geview/data/figures/209847_at.png","Figure")</f>
        <v>Figure</v>
      </c>
      <c r="I7671">
        <v>1.1200000000000001</v>
      </c>
      <c r="J7671">
        <v>0.22</v>
      </c>
      <c r="K7671">
        <v>0.98</v>
      </c>
      <c r="L7671">
        <v>0.93</v>
      </c>
      <c r="M7671">
        <v>0.876</v>
      </c>
      <c r="N7671">
        <v>0.1</v>
      </c>
    </row>
    <row r="7672" spans="1:14" x14ac:dyDescent="0.25">
      <c r="A7672" t="s">
        <v>13625</v>
      </c>
      <c r="B7672" t="s">
        <v>13626</v>
      </c>
      <c r="C7672" s="1" t="str">
        <f>HYPERLINK("http://www.genecards.org/cgi-bin/carddisp.pl?gene=GCAT","GeneCards")</f>
        <v>GeneCards</v>
      </c>
      <c r="D7672" s="1" t="str">
        <f>HYPERLINK("http://genome-euro.ucsc.edu/cgi-bin/hgTracks?position=36475_at","UCSC")</f>
        <v>UCSC</v>
      </c>
      <c r="E7672" s="1" t="str">
        <f>HYPERLINK("http://www.ncbi.nlm.nih.gov/gene/?term=GCAT","NCBI")</f>
        <v>NCBI</v>
      </c>
      <c r="F7672">
        <v>0.11</v>
      </c>
      <c r="G7672">
        <v>0.25</v>
      </c>
      <c r="H7672" s="1" t="str">
        <f>HYPERLINK("http://www.weizmann.ac.il/complex/compphys/software/geview/data/figures/36475_at.png","Figure")</f>
        <v>Figure</v>
      </c>
      <c r="I7672">
        <v>1.23</v>
      </c>
      <c r="J7672">
        <v>9.4E-2</v>
      </c>
      <c r="K7672">
        <v>1.1100000000000001</v>
      </c>
      <c r="L7672">
        <v>0.43</v>
      </c>
      <c r="M7672">
        <v>0.9</v>
      </c>
      <c r="N7672">
        <v>0.45</v>
      </c>
    </row>
    <row r="7673" spans="1:14" x14ac:dyDescent="0.25">
      <c r="A7673" t="s">
        <v>13627</v>
      </c>
      <c r="B7673" t="s">
        <v>2974</v>
      </c>
      <c r="C7673" s="1" t="str">
        <f>HYPERLINK("http://www.genecards.org/cgi-bin/carddisp.pl?gene=GRK6","GeneCards")</f>
        <v>GeneCards</v>
      </c>
      <c r="D7673" s="1" t="str">
        <f>HYPERLINK("http://genome-euro.ucsc.edu/cgi-bin/hgTracks?position=202849_x_at","UCSC")</f>
        <v>UCSC</v>
      </c>
      <c r="E7673" s="1" t="str">
        <f>HYPERLINK("http://www.ncbi.nlm.nih.gov/gene/?term=GRK6","NCBI")</f>
        <v>NCBI</v>
      </c>
      <c r="F7673">
        <v>0.11</v>
      </c>
      <c r="G7673">
        <v>0.25</v>
      </c>
      <c r="H7673" s="1" t="str">
        <f>HYPERLINK("http://www.weizmann.ac.il/complex/compphys/software/geview/data/figures/202849_x_at.png","Figure")</f>
        <v>Figure</v>
      </c>
      <c r="I7673">
        <v>1.21</v>
      </c>
      <c r="J7673">
        <v>0.15</v>
      </c>
      <c r="K7673">
        <v>1.17</v>
      </c>
      <c r="L7673">
        <v>0.16</v>
      </c>
      <c r="M7673">
        <v>0.97299999999999998</v>
      </c>
      <c r="N7673">
        <v>0.95</v>
      </c>
    </row>
    <row r="7674" spans="1:14" x14ac:dyDescent="0.25">
      <c r="A7674" t="s">
        <v>13628</v>
      </c>
      <c r="B7674" t="s">
        <v>13629</v>
      </c>
      <c r="C7674" s="1" t="str">
        <f>HYPERLINK("http://www.genecards.org/cgi-bin/carddisp.pl?gene=NCLN","GeneCards")</f>
        <v>GeneCards</v>
      </c>
      <c r="D7674" s="1" t="str">
        <f>HYPERLINK("http://genome-euro.ucsc.edu/cgi-bin/hgTracks?position=215857_at","UCSC")</f>
        <v>UCSC</v>
      </c>
      <c r="E7674" s="1" t="str">
        <f>HYPERLINK("http://www.ncbi.nlm.nih.gov/gene/?term=NCLN","NCBI")</f>
        <v>NCBI</v>
      </c>
      <c r="F7674">
        <v>0.11</v>
      </c>
      <c r="G7674">
        <v>0.25</v>
      </c>
      <c r="H7674" s="1" t="str">
        <f>HYPERLINK("http://www.weizmann.ac.il/complex/compphys/software/geview/data/figures/215857_at.png","Figure")</f>
        <v>Figure</v>
      </c>
      <c r="I7674">
        <v>1.1299999999999999</v>
      </c>
      <c r="J7674">
        <v>0.21</v>
      </c>
      <c r="K7674">
        <v>1.1399999999999999</v>
      </c>
      <c r="L7674">
        <v>0.12</v>
      </c>
      <c r="M7674">
        <v>1.01</v>
      </c>
      <c r="N7674">
        <v>1</v>
      </c>
    </row>
    <row r="7675" spans="1:14" x14ac:dyDescent="0.25">
      <c r="A7675" t="s">
        <v>13630</v>
      </c>
      <c r="B7675" t="s">
        <v>13631</v>
      </c>
      <c r="C7675" s="1" t="str">
        <f>HYPERLINK("http://www.genecards.org/cgi-bin/carddisp.pl?gene=FLT4","GeneCards")</f>
        <v>GeneCards</v>
      </c>
      <c r="D7675" s="1" t="str">
        <f>HYPERLINK("http://genome-euro.ucsc.edu/cgi-bin/hgTracks?position=210316_at","UCSC")</f>
        <v>UCSC</v>
      </c>
      <c r="E7675" s="1" t="str">
        <f>HYPERLINK("http://www.ncbi.nlm.nih.gov/gene/?term=FLT4","NCBI")</f>
        <v>NCBI</v>
      </c>
      <c r="F7675">
        <v>0.11</v>
      </c>
      <c r="G7675">
        <v>0.25</v>
      </c>
      <c r="H7675" s="1" t="str">
        <f>HYPERLINK("http://www.weizmann.ac.il/complex/compphys/software/geview/data/figures/210316_at.png","Figure")</f>
        <v>Figure</v>
      </c>
      <c r="I7675">
        <v>1</v>
      </c>
      <c r="J7675">
        <v>1</v>
      </c>
      <c r="K7675">
        <v>0.878</v>
      </c>
      <c r="L7675">
        <v>0.16</v>
      </c>
      <c r="M7675">
        <v>0.878</v>
      </c>
      <c r="N7675">
        <v>0.2</v>
      </c>
    </row>
    <row r="7676" spans="1:14" x14ac:dyDescent="0.25">
      <c r="A7676" t="s">
        <v>13632</v>
      </c>
      <c r="B7676" t="s">
        <v>13633</v>
      </c>
      <c r="C7676" s="1" t="str">
        <f>HYPERLINK("http://www.genecards.org/cgi-bin/carddisp.pl?gene=RAB15","GeneCards")</f>
        <v>GeneCards</v>
      </c>
      <c r="D7676" s="1" t="str">
        <f>HYPERLINK("http://genome-euro.ucsc.edu/cgi-bin/hgTracks?position=59697_at","UCSC")</f>
        <v>UCSC</v>
      </c>
      <c r="E7676" s="1" t="str">
        <f>HYPERLINK("http://www.ncbi.nlm.nih.gov/gene/?term=RAB15","NCBI")</f>
        <v>NCBI</v>
      </c>
      <c r="F7676">
        <v>0.11</v>
      </c>
      <c r="G7676">
        <v>0.25</v>
      </c>
      <c r="H7676" s="1" t="str">
        <f>HYPERLINK("http://www.weizmann.ac.il/complex/compphys/software/geview/data/figures/59697_at.png","Figure")</f>
        <v>Figure</v>
      </c>
      <c r="I7676">
        <v>0.94099999999999995</v>
      </c>
      <c r="J7676">
        <v>0.86</v>
      </c>
      <c r="K7676">
        <v>1.18</v>
      </c>
      <c r="L7676">
        <v>0.26</v>
      </c>
      <c r="M7676">
        <v>1.26</v>
      </c>
      <c r="N7676">
        <v>0.13</v>
      </c>
    </row>
    <row r="7677" spans="1:14" x14ac:dyDescent="0.25">
      <c r="A7677" t="s">
        <v>13634</v>
      </c>
      <c r="B7677" t="s">
        <v>13635</v>
      </c>
      <c r="C7677" s="1" t="str">
        <f>HYPERLINK("http://www.genecards.org/cgi-bin/carddisp.pl?gene=BLCAP","GeneCards")</f>
        <v>GeneCards</v>
      </c>
      <c r="D7677" s="1" t="str">
        <f>HYPERLINK("http://genome-euro.ucsc.edu/cgi-bin/hgTracks?position=201032_at","UCSC")</f>
        <v>UCSC</v>
      </c>
      <c r="E7677" s="1" t="str">
        <f>HYPERLINK("http://www.ncbi.nlm.nih.gov/gene/?term=BLCAP","NCBI")</f>
        <v>NCBI</v>
      </c>
      <c r="F7677">
        <v>0.11</v>
      </c>
      <c r="G7677">
        <v>0.25</v>
      </c>
      <c r="H7677" s="1" t="str">
        <f>HYPERLINK("http://www.weizmann.ac.il/complex/compphys/software/geview/data/figures/201032_at.png","Figure")</f>
        <v>Figure</v>
      </c>
      <c r="I7677">
        <v>0.57999999999999996</v>
      </c>
      <c r="J7677">
        <v>0.19</v>
      </c>
      <c r="K7677">
        <v>0.58799999999999997</v>
      </c>
      <c r="L7677">
        <v>0.13</v>
      </c>
      <c r="M7677">
        <v>1.01</v>
      </c>
      <c r="N7677">
        <v>1</v>
      </c>
    </row>
    <row r="7678" spans="1:14" x14ac:dyDescent="0.25">
      <c r="A7678" t="s">
        <v>13636</v>
      </c>
      <c r="B7678" t="s">
        <v>13637</v>
      </c>
      <c r="C7678" s="1" t="str">
        <f>HYPERLINK("http://www.genecards.org/cgi-bin/carddisp.pl?gene=HIST1H4D","GeneCards")</f>
        <v>GeneCards</v>
      </c>
      <c r="D7678" s="1" t="str">
        <f>HYPERLINK("http://genome-euro.ucsc.edu/cgi-bin/hgTracks?position=208076_at","UCSC")</f>
        <v>UCSC</v>
      </c>
      <c r="E7678" s="1" t="str">
        <f>HYPERLINK("http://www.ncbi.nlm.nih.gov/gene/?term=HIST1H4D","NCBI")</f>
        <v>NCBI</v>
      </c>
      <c r="F7678">
        <v>0.11</v>
      </c>
      <c r="G7678">
        <v>0.25</v>
      </c>
      <c r="H7678" s="1" t="str">
        <f>HYPERLINK("http://www.weizmann.ac.il/complex/compphys/software/geview/data/figures/208076_at.png","Figure")</f>
        <v>Figure</v>
      </c>
      <c r="I7678">
        <v>0.79300000000000004</v>
      </c>
      <c r="J7678">
        <v>0.12</v>
      </c>
      <c r="K7678">
        <v>0.96399999999999997</v>
      </c>
      <c r="L7678">
        <v>0.92</v>
      </c>
      <c r="M7678">
        <v>1.22</v>
      </c>
      <c r="N7678">
        <v>0.17</v>
      </c>
    </row>
    <row r="7679" spans="1:14" x14ac:dyDescent="0.25">
      <c r="A7679" t="s">
        <v>13638</v>
      </c>
      <c r="B7679" t="s">
        <v>13639</v>
      </c>
      <c r="C7679" s="1" t="str">
        <f>HYPERLINK("http://www.genecards.org/cgi-bin/carddisp.pl?gene=TXNRD1","GeneCards")</f>
        <v>GeneCards</v>
      </c>
      <c r="D7679" s="1" t="str">
        <f>HYPERLINK("http://genome-euro.ucsc.edu/cgi-bin/hgTracks?position=201266_at","UCSC")</f>
        <v>UCSC</v>
      </c>
      <c r="E7679" s="1" t="str">
        <f>HYPERLINK("http://www.ncbi.nlm.nih.gov/gene/?term=TXNRD1","NCBI")</f>
        <v>NCBI</v>
      </c>
      <c r="F7679">
        <v>0.11</v>
      </c>
      <c r="G7679">
        <v>0.25</v>
      </c>
      <c r="H7679" s="1" t="str">
        <f>HYPERLINK("http://www.weizmann.ac.il/complex/compphys/software/geview/data/figures/201266_at.png","Figure")</f>
        <v>Figure</v>
      </c>
      <c r="I7679">
        <v>1.26</v>
      </c>
      <c r="J7679">
        <v>0.51</v>
      </c>
      <c r="K7679">
        <v>1.5</v>
      </c>
      <c r="L7679">
        <v>9.4E-2</v>
      </c>
      <c r="M7679">
        <v>1.19</v>
      </c>
      <c r="N7679">
        <v>0.64</v>
      </c>
    </row>
    <row r="7680" spans="1:14" x14ac:dyDescent="0.25">
      <c r="A7680" t="s">
        <v>13640</v>
      </c>
      <c r="B7680" t="s">
        <v>13641</v>
      </c>
      <c r="C7680" s="1" t="str">
        <f>HYPERLINK("http://www.genecards.org/cgi-bin/carddisp.pl?gene=LSP1","GeneCards")</f>
        <v>GeneCards</v>
      </c>
      <c r="D7680" s="1" t="str">
        <f>HYPERLINK("http://genome-euro.ucsc.edu/cgi-bin/hgTracks?position=203523_at","UCSC")</f>
        <v>UCSC</v>
      </c>
      <c r="E7680" s="1" t="str">
        <f>HYPERLINK("http://www.ncbi.nlm.nih.gov/gene/?term=LSP1","NCBI")</f>
        <v>NCBI</v>
      </c>
      <c r="F7680">
        <v>0.11</v>
      </c>
      <c r="G7680">
        <v>0.25</v>
      </c>
      <c r="H7680" s="1" t="str">
        <f>HYPERLINK("http://www.weizmann.ac.il/complex/compphys/software/geview/data/figures/203523_at.png","Figure")</f>
        <v>Figure</v>
      </c>
      <c r="I7680">
        <v>0.90200000000000002</v>
      </c>
      <c r="J7680">
        <v>0.87</v>
      </c>
      <c r="K7680">
        <v>1.35</v>
      </c>
      <c r="L7680">
        <v>0.25</v>
      </c>
      <c r="M7680">
        <v>1.5</v>
      </c>
      <c r="N7680">
        <v>0.13</v>
      </c>
    </row>
    <row r="7681" spans="1:14" x14ac:dyDescent="0.25">
      <c r="A7681" t="s">
        <v>13642</v>
      </c>
      <c r="B7681" t="s">
        <v>13643</v>
      </c>
      <c r="C7681" s="1" t="str">
        <f>HYPERLINK("http://www.genecards.org/cgi-bin/carddisp.pl?gene=RFX3","GeneCards")</f>
        <v>GeneCards</v>
      </c>
      <c r="D7681" s="1" t="str">
        <f>HYPERLINK("http://genome-euro.ucsc.edu/cgi-bin/hgTracks?position=207234_at","UCSC")</f>
        <v>UCSC</v>
      </c>
      <c r="E7681" s="1" t="str">
        <f>HYPERLINK("http://www.ncbi.nlm.nih.gov/gene/?term=RFX3","NCBI")</f>
        <v>NCBI</v>
      </c>
      <c r="F7681">
        <v>0.11</v>
      </c>
      <c r="G7681">
        <v>0.25</v>
      </c>
      <c r="H7681" s="1" t="str">
        <f>HYPERLINK("http://www.weizmann.ac.il/complex/compphys/software/geview/data/figures/207234_at.png","Figure")</f>
        <v>Figure</v>
      </c>
      <c r="I7681">
        <v>0.96299999999999997</v>
      </c>
      <c r="J7681">
        <v>0.66</v>
      </c>
      <c r="K7681">
        <v>0.91800000000000004</v>
      </c>
      <c r="L7681">
        <v>9.7000000000000003E-2</v>
      </c>
      <c r="M7681">
        <v>0.95399999999999996</v>
      </c>
      <c r="N7681">
        <v>0.49</v>
      </c>
    </row>
    <row r="7682" spans="1:14" x14ac:dyDescent="0.25">
      <c r="A7682" t="s">
        <v>13644</v>
      </c>
      <c r="B7682" t="s">
        <v>13645</v>
      </c>
      <c r="C7682" s="1" t="str">
        <f>HYPERLINK("http://www.genecards.org/cgi-bin/carddisp.pl?gene=DUSP6","GeneCards")</f>
        <v>GeneCards</v>
      </c>
      <c r="D7682" s="1" t="str">
        <f>HYPERLINK("http://genome-euro.ucsc.edu/cgi-bin/hgTracks?position=208892_s_at","UCSC")</f>
        <v>UCSC</v>
      </c>
      <c r="E7682" s="1" t="str">
        <f>HYPERLINK("http://www.ncbi.nlm.nih.gov/gene/?term=DUSP6","NCBI")</f>
        <v>NCBI</v>
      </c>
      <c r="F7682">
        <v>0.11</v>
      </c>
      <c r="G7682">
        <v>0.25</v>
      </c>
      <c r="H7682" s="1" t="str">
        <f>HYPERLINK("http://www.weizmann.ac.il/complex/compphys/software/geview/data/figures/208892_s_at.png","Figure")</f>
        <v>Figure</v>
      </c>
      <c r="I7682">
        <v>0.442</v>
      </c>
      <c r="J7682">
        <v>0.12</v>
      </c>
      <c r="K7682">
        <v>0.874</v>
      </c>
      <c r="L7682">
        <v>0.91</v>
      </c>
      <c r="M7682">
        <v>1.98</v>
      </c>
      <c r="N7682">
        <v>0.17</v>
      </c>
    </row>
    <row r="7683" spans="1:14" x14ac:dyDescent="0.25">
      <c r="A7683" t="s">
        <v>13646</v>
      </c>
      <c r="B7683" t="s">
        <v>13131</v>
      </c>
      <c r="C7683" s="1" t="str">
        <f>HYPERLINK("http://www.genecards.org/cgi-bin/carddisp.pl?gene=PKN2","GeneCards")</f>
        <v>GeneCards</v>
      </c>
      <c r="D7683" s="1" t="str">
        <f>HYPERLINK("http://genome-euro.ucsc.edu/cgi-bin/hgTracks?position=212629_s_at","UCSC")</f>
        <v>UCSC</v>
      </c>
      <c r="E7683" s="1" t="str">
        <f>HYPERLINK("http://www.ncbi.nlm.nih.gov/gene/?term=PKN2","NCBI")</f>
        <v>NCBI</v>
      </c>
      <c r="F7683">
        <v>0.11</v>
      </c>
      <c r="G7683">
        <v>0.25</v>
      </c>
      <c r="H7683" s="1" t="str">
        <f>HYPERLINK("http://www.weizmann.ac.il/complex/compphys/software/geview/data/figures/212629_s_at.png","Figure")</f>
        <v>Figure</v>
      </c>
      <c r="I7683">
        <v>1.21</v>
      </c>
      <c r="J7683">
        <v>0.5</v>
      </c>
      <c r="K7683">
        <v>0.85</v>
      </c>
      <c r="L7683">
        <v>0.52</v>
      </c>
      <c r="M7683">
        <v>0.70099999999999996</v>
      </c>
      <c r="N7683">
        <v>9.6000000000000002E-2</v>
      </c>
    </row>
    <row r="7684" spans="1:14" x14ac:dyDescent="0.25">
      <c r="A7684" t="s">
        <v>13647</v>
      </c>
      <c r="B7684" t="s">
        <v>13648</v>
      </c>
      <c r="C7684" s="1" t="str">
        <f>HYPERLINK("http://www.genecards.org/cgi-bin/carddisp.pl?gene=SH2D3A","GeneCards")</f>
        <v>GeneCards</v>
      </c>
      <c r="D7684" s="1" t="str">
        <f>HYPERLINK("http://genome-euro.ucsc.edu/cgi-bin/hgTracks?position=222169_x_at","UCSC")</f>
        <v>UCSC</v>
      </c>
      <c r="E7684" s="1" t="str">
        <f>HYPERLINK("http://www.ncbi.nlm.nih.gov/gene/?term=SH2D3A","NCBI")</f>
        <v>NCBI</v>
      </c>
      <c r="F7684">
        <v>0.11</v>
      </c>
      <c r="G7684">
        <v>0.25</v>
      </c>
      <c r="H7684" s="1" t="str">
        <f>HYPERLINK("http://www.weizmann.ac.il/complex/compphys/software/geview/data/figures/222169_x_at.png","Figure")</f>
        <v>Figure</v>
      </c>
      <c r="I7684">
        <v>1.1599999999999999</v>
      </c>
      <c r="J7684">
        <v>0.16</v>
      </c>
      <c r="K7684">
        <v>1</v>
      </c>
      <c r="L7684">
        <v>1</v>
      </c>
      <c r="M7684">
        <v>0.86</v>
      </c>
      <c r="N7684">
        <v>0.13</v>
      </c>
    </row>
    <row r="7685" spans="1:14" x14ac:dyDescent="0.25">
      <c r="A7685" t="s">
        <v>13649</v>
      </c>
      <c r="B7685" t="s">
        <v>13650</v>
      </c>
      <c r="C7685" s="1" t="str">
        <f>HYPERLINK("http://www.genecards.org/cgi-bin/carddisp.pl?gene=SFRP5","GeneCards")</f>
        <v>GeneCards</v>
      </c>
      <c r="D7685" s="1" t="str">
        <f>HYPERLINK("http://genome-euro.ucsc.edu/cgi-bin/hgTracks?position=207468_s_at","UCSC")</f>
        <v>UCSC</v>
      </c>
      <c r="E7685" s="1" t="str">
        <f>HYPERLINK("http://www.ncbi.nlm.nih.gov/gene/?term=SFRP5","NCBI")</f>
        <v>NCBI</v>
      </c>
      <c r="F7685">
        <v>0.11</v>
      </c>
      <c r="G7685">
        <v>0.25</v>
      </c>
      <c r="H7685" s="1" t="str">
        <f>HYPERLINK("http://www.weizmann.ac.il/complex/compphys/software/geview/data/figures/207468_s_at.png","Figure")</f>
        <v>Figure</v>
      </c>
      <c r="I7685">
        <v>1.1000000000000001</v>
      </c>
      <c r="J7685">
        <v>9.6000000000000002E-2</v>
      </c>
      <c r="K7685">
        <v>1.05</v>
      </c>
      <c r="L7685">
        <v>0.38</v>
      </c>
      <c r="M7685">
        <v>0.95499999999999996</v>
      </c>
      <c r="N7685">
        <v>0.51</v>
      </c>
    </row>
    <row r="7686" spans="1:14" x14ac:dyDescent="0.25">
      <c r="A7686" t="s">
        <v>13651</v>
      </c>
      <c r="B7686" t="s">
        <v>13652</v>
      </c>
      <c r="C7686" s="1" t="str">
        <f>HYPERLINK("http://www.genecards.org/cgi-bin/carddisp.pl?gene=CBX1","GeneCards")</f>
        <v>GeneCards</v>
      </c>
      <c r="D7686" s="1" t="str">
        <f>HYPERLINK("http://genome-euro.ucsc.edu/cgi-bin/hgTracks?position=201518_at","UCSC")</f>
        <v>UCSC</v>
      </c>
      <c r="E7686" s="1" t="str">
        <f>HYPERLINK("http://www.ncbi.nlm.nih.gov/gene/?term=CBX1","NCBI")</f>
        <v>NCBI</v>
      </c>
      <c r="F7686">
        <v>0.11</v>
      </c>
      <c r="G7686">
        <v>0.25</v>
      </c>
      <c r="H7686" s="1" t="str">
        <f>HYPERLINK("http://www.weizmann.ac.il/complex/compphys/software/geview/data/figures/201518_at.png","Figure")</f>
        <v>Figure</v>
      </c>
      <c r="I7686">
        <v>1.98</v>
      </c>
      <c r="J7686">
        <v>0.25</v>
      </c>
      <c r="K7686">
        <v>2.17</v>
      </c>
      <c r="L7686">
        <v>0.11</v>
      </c>
      <c r="M7686">
        <v>1.1000000000000001</v>
      </c>
      <c r="N7686">
        <v>0.97</v>
      </c>
    </row>
    <row r="7687" spans="1:14" x14ac:dyDescent="0.25">
      <c r="A7687" t="s">
        <v>13653</v>
      </c>
      <c r="B7687" t="s">
        <v>5884</v>
      </c>
      <c r="C7687" s="1" t="str">
        <f>HYPERLINK("http://www.genecards.org/cgi-bin/carddisp.pl?gene=EFEMP2","GeneCards")</f>
        <v>GeneCards</v>
      </c>
      <c r="D7687" s="1" t="str">
        <f>HYPERLINK("http://genome-euro.ucsc.edu/cgi-bin/hgTracks?position=209356_x_at","UCSC")</f>
        <v>UCSC</v>
      </c>
      <c r="E7687" s="1" t="str">
        <f>HYPERLINK("http://www.ncbi.nlm.nih.gov/gene/?term=EFEMP2","NCBI")</f>
        <v>NCBI</v>
      </c>
      <c r="F7687">
        <v>0.11</v>
      </c>
      <c r="G7687">
        <v>0.25</v>
      </c>
      <c r="H7687" s="1" t="str">
        <f>HYPERLINK("http://www.weizmann.ac.il/complex/compphys/software/geview/data/figures/209356_x_at.png","Figure")</f>
        <v>Figure</v>
      </c>
      <c r="I7687">
        <v>0.97299999999999998</v>
      </c>
      <c r="J7687">
        <v>0.98</v>
      </c>
      <c r="K7687">
        <v>0.79100000000000004</v>
      </c>
      <c r="L7687">
        <v>0.14000000000000001</v>
      </c>
      <c r="M7687">
        <v>0.81200000000000006</v>
      </c>
      <c r="N7687">
        <v>0.24</v>
      </c>
    </row>
    <row r="7688" spans="1:14" x14ac:dyDescent="0.25">
      <c r="A7688" t="s">
        <v>13654</v>
      </c>
      <c r="B7688" t="s">
        <v>13655</v>
      </c>
      <c r="C7688" s="1" t="str">
        <f>HYPERLINK("http://www.genecards.org/cgi-bin/carddisp.pl?gene=PIK3R5","GeneCards")</f>
        <v>GeneCards</v>
      </c>
      <c r="D7688" s="1" t="str">
        <f>HYPERLINK("http://genome-euro.ucsc.edu/cgi-bin/hgTracks?position=220566_at","UCSC")</f>
        <v>UCSC</v>
      </c>
      <c r="E7688" s="1" t="str">
        <f>HYPERLINK("http://www.ncbi.nlm.nih.gov/gene/?term=PIK3R5","NCBI")</f>
        <v>NCBI</v>
      </c>
      <c r="F7688">
        <v>0.11</v>
      </c>
      <c r="G7688">
        <v>0.25</v>
      </c>
      <c r="H7688" s="1" t="str">
        <f>HYPERLINK("http://www.weizmann.ac.il/complex/compphys/software/geview/data/figures/220566_at.png","Figure")</f>
        <v>Figure</v>
      </c>
      <c r="I7688">
        <v>1.1399999999999999</v>
      </c>
      <c r="J7688">
        <v>0.19</v>
      </c>
      <c r="K7688">
        <v>0.98699999999999999</v>
      </c>
      <c r="L7688">
        <v>0.98</v>
      </c>
      <c r="M7688">
        <v>0.86199999999999999</v>
      </c>
      <c r="N7688">
        <v>0.11</v>
      </c>
    </row>
    <row r="7689" spans="1:14" x14ac:dyDescent="0.25">
      <c r="A7689" t="s">
        <v>13656</v>
      </c>
      <c r="B7689" t="s">
        <v>10415</v>
      </c>
      <c r="C7689" s="1" t="str">
        <f>HYPERLINK("http://www.genecards.org/cgi-bin/carddisp.pl?gene=HR","GeneCards")</f>
        <v>GeneCards</v>
      </c>
      <c r="D7689" s="1" t="str">
        <f>HYPERLINK("http://genome-euro.ucsc.edu/cgi-bin/hgTracks?position=210086_at","UCSC")</f>
        <v>UCSC</v>
      </c>
      <c r="E7689" s="1" t="str">
        <f>HYPERLINK("http://www.ncbi.nlm.nih.gov/gene/?term=HR","NCBI")</f>
        <v>NCBI</v>
      </c>
      <c r="F7689">
        <v>0.11</v>
      </c>
      <c r="G7689">
        <v>0.25</v>
      </c>
      <c r="H7689" s="1" t="str">
        <f>HYPERLINK("http://www.weizmann.ac.il/complex/compphys/software/geview/data/figures/210086_at.png","Figure")</f>
        <v>Figure</v>
      </c>
      <c r="I7689">
        <v>1.27</v>
      </c>
      <c r="J7689">
        <v>9.5000000000000001E-2</v>
      </c>
      <c r="K7689">
        <v>1.1000000000000001</v>
      </c>
      <c r="L7689">
        <v>0.56999999999999995</v>
      </c>
      <c r="M7689">
        <v>0.86599999999999999</v>
      </c>
      <c r="N7689">
        <v>0.34</v>
      </c>
    </row>
    <row r="7690" spans="1:14" x14ac:dyDescent="0.25">
      <c r="A7690" t="s">
        <v>13657</v>
      </c>
      <c r="B7690" t="s">
        <v>5250</v>
      </c>
      <c r="C7690" s="1" t="str">
        <f>HYPERLINK("http://www.genecards.org/cgi-bin/carddisp.pl?gene=SUMO3","GeneCards")</f>
        <v>GeneCards</v>
      </c>
      <c r="D7690" s="1" t="str">
        <f>HYPERLINK("http://genome-euro.ucsc.edu/cgi-bin/hgTracks?position=200740_s_at","UCSC")</f>
        <v>UCSC</v>
      </c>
      <c r="E7690" s="1" t="str">
        <f>HYPERLINK("http://www.ncbi.nlm.nih.gov/gene/?term=SUMO3","NCBI")</f>
        <v>NCBI</v>
      </c>
      <c r="F7690">
        <v>0.11</v>
      </c>
      <c r="G7690">
        <v>0.25</v>
      </c>
      <c r="H7690" s="1" t="str">
        <f>HYPERLINK("http://www.weizmann.ac.il/complex/compphys/software/geview/data/figures/200740_s_at.png","Figure")</f>
        <v>Figure</v>
      </c>
      <c r="I7690">
        <v>0.61799999999999999</v>
      </c>
      <c r="J7690">
        <v>0.11</v>
      </c>
      <c r="K7690">
        <v>0.72</v>
      </c>
      <c r="L7690">
        <v>0.24</v>
      </c>
      <c r="M7690">
        <v>1.1599999999999999</v>
      </c>
      <c r="N7690">
        <v>0.75</v>
      </c>
    </row>
    <row r="7691" spans="1:14" x14ac:dyDescent="0.25">
      <c r="A7691" t="s">
        <v>13658</v>
      </c>
      <c r="B7691" t="s">
        <v>13659</v>
      </c>
      <c r="C7691" s="1" t="str">
        <f>HYPERLINK("http://www.genecards.org/cgi-bin/carddisp.pl?gene=BNIP2","GeneCards")</f>
        <v>GeneCards</v>
      </c>
      <c r="D7691" s="1" t="str">
        <f>HYPERLINK("http://genome-euro.ucsc.edu/cgi-bin/hgTracks?position=209308_s_at","UCSC")</f>
        <v>UCSC</v>
      </c>
      <c r="E7691" s="1" t="str">
        <f>HYPERLINK("http://www.ncbi.nlm.nih.gov/gene/?term=BNIP2","NCBI")</f>
        <v>NCBI</v>
      </c>
      <c r="F7691">
        <v>0.11</v>
      </c>
      <c r="G7691">
        <v>0.25</v>
      </c>
      <c r="H7691" s="1" t="str">
        <f>HYPERLINK("http://www.weizmann.ac.il/complex/compphys/software/geview/data/figures/209308_s_at.png","Figure")</f>
        <v>Figure</v>
      </c>
      <c r="I7691">
        <v>0.64400000000000002</v>
      </c>
      <c r="J7691">
        <v>0.14000000000000001</v>
      </c>
      <c r="K7691">
        <v>0.7</v>
      </c>
      <c r="L7691">
        <v>0.18</v>
      </c>
      <c r="M7691">
        <v>1.0900000000000001</v>
      </c>
      <c r="N7691">
        <v>0.91</v>
      </c>
    </row>
    <row r="7692" spans="1:14" x14ac:dyDescent="0.25">
      <c r="A7692" t="s">
        <v>13660</v>
      </c>
      <c r="B7692" t="s">
        <v>13661</v>
      </c>
      <c r="C7692" s="1" t="str">
        <f>HYPERLINK("http://www.genecards.org/cgi-bin/carddisp.pl?gene=STAG1","GeneCards")</f>
        <v>GeneCards</v>
      </c>
      <c r="D7692" s="1" t="str">
        <f>HYPERLINK("http://genome-euro.ucsc.edu/cgi-bin/hgTracks?position=202293_at","UCSC")</f>
        <v>UCSC</v>
      </c>
      <c r="E7692" s="1" t="str">
        <f>HYPERLINK("http://www.ncbi.nlm.nih.gov/gene/?term=STAG1","NCBI")</f>
        <v>NCBI</v>
      </c>
      <c r="F7692">
        <v>0.11</v>
      </c>
      <c r="G7692">
        <v>0.25</v>
      </c>
      <c r="H7692" s="1" t="str">
        <f>HYPERLINK("http://www.weizmann.ac.il/complex/compphys/software/geview/data/figures/202293_at.png","Figure")</f>
        <v>Figure</v>
      </c>
      <c r="I7692">
        <v>0.86</v>
      </c>
      <c r="J7692">
        <v>0.5</v>
      </c>
      <c r="K7692">
        <v>1.1399999999999999</v>
      </c>
      <c r="L7692">
        <v>0.52</v>
      </c>
      <c r="M7692">
        <v>1.32</v>
      </c>
      <c r="N7692">
        <v>9.6000000000000002E-2</v>
      </c>
    </row>
    <row r="7693" spans="1:14" x14ac:dyDescent="0.25">
      <c r="A7693" t="s">
        <v>13662</v>
      </c>
      <c r="B7693" t="s">
        <v>12190</v>
      </c>
      <c r="C7693" s="1" t="str">
        <f>HYPERLINK("http://www.genecards.org/cgi-bin/carddisp.pl?gene=UBE2I","GeneCards")</f>
        <v>GeneCards</v>
      </c>
      <c r="D7693" s="1" t="str">
        <f>HYPERLINK("http://genome-euro.ucsc.edu/cgi-bin/hgTracks?position=211008_s_at","UCSC")</f>
        <v>UCSC</v>
      </c>
      <c r="E7693" s="1" t="str">
        <f>HYPERLINK("http://www.ncbi.nlm.nih.gov/gene/?term=UBE2I","NCBI")</f>
        <v>NCBI</v>
      </c>
      <c r="F7693">
        <v>0.11</v>
      </c>
      <c r="G7693">
        <v>0.25</v>
      </c>
      <c r="H7693" s="1" t="str">
        <f>HYPERLINK("http://www.weizmann.ac.il/complex/compphys/software/geview/data/figures/211008_s_at.png","Figure")</f>
        <v>Figure</v>
      </c>
      <c r="I7693">
        <v>1.18</v>
      </c>
      <c r="J7693">
        <v>9.5000000000000001E-2</v>
      </c>
      <c r="K7693">
        <v>1.07</v>
      </c>
      <c r="L7693">
        <v>0.56000000000000005</v>
      </c>
      <c r="M7693">
        <v>0.90800000000000003</v>
      </c>
      <c r="N7693">
        <v>0.34</v>
      </c>
    </row>
    <row r="7694" spans="1:14" x14ac:dyDescent="0.25">
      <c r="A7694" t="s">
        <v>13663</v>
      </c>
      <c r="B7694" t="s">
        <v>13664</v>
      </c>
      <c r="C7694" s="1" t="str">
        <f>HYPERLINK("http://www.genecards.org/cgi-bin/carddisp.pl?gene=ELOVL1","GeneCards")</f>
        <v>GeneCards</v>
      </c>
      <c r="D7694" s="1" t="str">
        <f>HYPERLINK("http://genome-euro.ucsc.edu/cgi-bin/hgTracks?position=57163_at","UCSC")</f>
        <v>UCSC</v>
      </c>
      <c r="E7694" s="1" t="str">
        <f>HYPERLINK("http://www.ncbi.nlm.nih.gov/gene/?term=ELOVL1","NCBI")</f>
        <v>NCBI</v>
      </c>
      <c r="F7694">
        <v>0.11</v>
      </c>
      <c r="G7694">
        <v>0.25</v>
      </c>
      <c r="H7694" s="1" t="str">
        <f>HYPERLINK("http://www.weizmann.ac.il/complex/compphys/software/geview/data/figures/57163_at.png","Figure")</f>
        <v>Figure</v>
      </c>
      <c r="I7694">
        <v>0.83199999999999996</v>
      </c>
      <c r="J7694">
        <v>9.4E-2</v>
      </c>
      <c r="K7694">
        <v>0.91700000000000004</v>
      </c>
      <c r="L7694">
        <v>0.46</v>
      </c>
      <c r="M7694">
        <v>1.1000000000000001</v>
      </c>
      <c r="N7694">
        <v>0.42</v>
      </c>
    </row>
    <row r="7695" spans="1:14" x14ac:dyDescent="0.25">
      <c r="A7695" t="s">
        <v>13665</v>
      </c>
      <c r="B7695" t="s">
        <v>13666</v>
      </c>
      <c r="C7695" s="1" t="str">
        <f>HYPERLINK("http://www.genecards.org/cgi-bin/carddisp.pl?gene=ADAM9","GeneCards")</f>
        <v>GeneCards</v>
      </c>
      <c r="D7695" s="1" t="str">
        <f>HYPERLINK("http://genome-euro.ucsc.edu/cgi-bin/hgTracks?position=202381_at","UCSC")</f>
        <v>UCSC</v>
      </c>
      <c r="E7695" s="1" t="str">
        <f>HYPERLINK("http://www.ncbi.nlm.nih.gov/gene/?term=ADAM9","NCBI")</f>
        <v>NCBI</v>
      </c>
      <c r="F7695">
        <v>0.11</v>
      </c>
      <c r="G7695">
        <v>0.25</v>
      </c>
      <c r="H7695" s="1" t="str">
        <f>HYPERLINK("http://www.weizmann.ac.il/complex/compphys/software/geview/data/figures/202381_at.png","Figure")</f>
        <v>Figure</v>
      </c>
      <c r="I7695">
        <v>0.38500000000000001</v>
      </c>
      <c r="J7695">
        <v>0.1</v>
      </c>
      <c r="K7695">
        <v>0.56000000000000005</v>
      </c>
      <c r="L7695">
        <v>0.3</v>
      </c>
      <c r="M7695">
        <v>1.46</v>
      </c>
      <c r="N7695">
        <v>0.63</v>
      </c>
    </row>
    <row r="7696" spans="1:14" x14ac:dyDescent="0.25">
      <c r="A7696" t="s">
        <v>13667</v>
      </c>
      <c r="B7696" t="s">
        <v>13668</v>
      </c>
      <c r="C7696" s="1" t="str">
        <f>HYPERLINK("http://www.genecards.org/cgi-bin/carddisp.pl?gene=RABAC1","GeneCards")</f>
        <v>GeneCards</v>
      </c>
      <c r="D7696" s="1" t="str">
        <f>HYPERLINK("http://genome-euro.ucsc.edu/cgi-bin/hgTracks?position=203136_at","UCSC")</f>
        <v>UCSC</v>
      </c>
      <c r="E7696" s="1" t="str">
        <f>HYPERLINK("http://www.ncbi.nlm.nih.gov/gene/?term=RABAC1","NCBI")</f>
        <v>NCBI</v>
      </c>
      <c r="F7696">
        <v>0.11</v>
      </c>
      <c r="G7696">
        <v>0.25</v>
      </c>
      <c r="H7696" s="1" t="str">
        <f>HYPERLINK("http://www.weizmann.ac.il/complex/compphys/software/geview/data/figures/203136_at.png","Figure")</f>
        <v>Figure</v>
      </c>
      <c r="I7696">
        <v>0.88900000000000001</v>
      </c>
      <c r="J7696">
        <v>0.71</v>
      </c>
      <c r="K7696">
        <v>1.2</v>
      </c>
      <c r="L7696">
        <v>0.35</v>
      </c>
      <c r="M7696">
        <v>1.36</v>
      </c>
      <c r="N7696">
        <v>0.11</v>
      </c>
    </row>
    <row r="7697" spans="1:14" x14ac:dyDescent="0.25">
      <c r="A7697" t="s">
        <v>13669</v>
      </c>
      <c r="B7697" t="s">
        <v>13670</v>
      </c>
      <c r="C7697" s="1" t="str">
        <f>HYPERLINK("http://www.genecards.org/cgi-bin/carddisp.pl?gene=TUBG2","GeneCards")</f>
        <v>GeneCards</v>
      </c>
      <c r="D7697" s="1" t="str">
        <f>HYPERLINK("http://genome-euro.ucsc.edu/cgi-bin/hgTracks?position=203894_at","UCSC")</f>
        <v>UCSC</v>
      </c>
      <c r="E7697" s="1" t="str">
        <f>HYPERLINK("http://www.ncbi.nlm.nih.gov/gene/?term=TUBG2","NCBI")</f>
        <v>NCBI</v>
      </c>
      <c r="F7697">
        <v>0.11</v>
      </c>
      <c r="G7697">
        <v>0.25</v>
      </c>
      <c r="H7697" s="1" t="str">
        <f>HYPERLINK("http://www.weizmann.ac.il/complex/compphys/software/geview/data/figures/203894_at.png","Figure")</f>
        <v>Figure</v>
      </c>
      <c r="I7697">
        <v>0.89200000000000002</v>
      </c>
      <c r="J7697">
        <v>0.11</v>
      </c>
      <c r="K7697">
        <v>0.97299999999999998</v>
      </c>
      <c r="L7697">
        <v>0.82</v>
      </c>
      <c r="M7697">
        <v>1.0900000000000001</v>
      </c>
      <c r="N7697">
        <v>0.21</v>
      </c>
    </row>
    <row r="7698" spans="1:14" x14ac:dyDescent="0.25">
      <c r="A7698" t="s">
        <v>13671</v>
      </c>
      <c r="B7698" t="s">
        <v>13672</v>
      </c>
      <c r="C7698" s="1" t="str">
        <f>HYPERLINK("http://www.genecards.org/cgi-bin/carddisp.pl?gene=EIF1AY","GeneCards")</f>
        <v>GeneCards</v>
      </c>
      <c r="D7698" s="1" t="str">
        <f>HYPERLINK("http://genome-euro.ucsc.edu/cgi-bin/hgTracks?position=204410_at","UCSC")</f>
        <v>UCSC</v>
      </c>
      <c r="E7698" s="1" t="str">
        <f>HYPERLINK("http://www.ncbi.nlm.nih.gov/gene/?term=EIF1AY","NCBI")</f>
        <v>NCBI</v>
      </c>
      <c r="F7698">
        <v>0.11</v>
      </c>
      <c r="G7698">
        <v>0.25</v>
      </c>
      <c r="H7698" s="1" t="str">
        <f>HYPERLINK("http://www.weizmann.ac.il/complex/compphys/software/geview/data/figures/204410_at.png","Figure")</f>
        <v>Figure</v>
      </c>
      <c r="I7698">
        <v>1.26</v>
      </c>
      <c r="J7698">
        <v>9.9000000000000005E-2</v>
      </c>
      <c r="K7698">
        <v>1.1399999999999999</v>
      </c>
      <c r="L7698">
        <v>0.34</v>
      </c>
      <c r="M7698">
        <v>0.90600000000000003</v>
      </c>
      <c r="N7698">
        <v>0.56000000000000005</v>
      </c>
    </row>
    <row r="7699" spans="1:14" x14ac:dyDescent="0.25">
      <c r="A7699" t="s">
        <v>13673</v>
      </c>
      <c r="B7699" t="s">
        <v>13674</v>
      </c>
      <c r="C7699" s="1" t="str">
        <f>HYPERLINK("http://www.genecards.org/cgi-bin/carddisp.pl?gene=DNASE1L2","GeneCards")</f>
        <v>GeneCards</v>
      </c>
      <c r="D7699" s="1" t="str">
        <f>HYPERLINK("http://genome-euro.ucsc.edu/cgi-bin/hgTracks?position=207192_at","UCSC")</f>
        <v>UCSC</v>
      </c>
      <c r="E7699" s="1" t="str">
        <f>HYPERLINK("http://www.ncbi.nlm.nih.gov/gene/?term=DNASE1L2","NCBI")</f>
        <v>NCBI</v>
      </c>
      <c r="F7699">
        <v>0.11</v>
      </c>
      <c r="G7699">
        <v>0.25</v>
      </c>
      <c r="H7699" s="1" t="str">
        <f>HYPERLINK("http://www.weizmann.ac.il/complex/compphys/software/geview/data/figures/207192_at.png","Figure")</f>
        <v>Figure</v>
      </c>
      <c r="I7699">
        <v>1.19</v>
      </c>
      <c r="J7699">
        <v>0.2</v>
      </c>
      <c r="K7699">
        <v>1.19</v>
      </c>
      <c r="L7699">
        <v>0.13</v>
      </c>
      <c r="M7699">
        <v>1</v>
      </c>
      <c r="N7699">
        <v>1</v>
      </c>
    </row>
    <row r="7700" spans="1:14" x14ac:dyDescent="0.25">
      <c r="A7700" t="s">
        <v>13675</v>
      </c>
      <c r="B7700" t="s">
        <v>13676</v>
      </c>
      <c r="C7700" s="1" t="str">
        <f>HYPERLINK("http://www.genecards.org/cgi-bin/carddisp.pl?gene=LAIR1","GeneCards")</f>
        <v>GeneCards</v>
      </c>
      <c r="D7700" s="1" t="str">
        <f>HYPERLINK("http://genome-euro.ucsc.edu/cgi-bin/hgTracks?position=208071_s_at","UCSC")</f>
        <v>UCSC</v>
      </c>
      <c r="E7700" s="1" t="str">
        <f>HYPERLINK("http://www.ncbi.nlm.nih.gov/gene/?term=LAIR1","NCBI")</f>
        <v>NCBI</v>
      </c>
      <c r="F7700">
        <v>0.11</v>
      </c>
      <c r="G7700">
        <v>0.25</v>
      </c>
      <c r="H7700" s="1" t="str">
        <f>HYPERLINK("http://www.weizmann.ac.il/complex/compphys/software/geview/data/figures/208071_s_at.png","Figure")</f>
        <v>Figure</v>
      </c>
      <c r="I7700">
        <v>0.79500000000000004</v>
      </c>
      <c r="J7700">
        <v>0.17</v>
      </c>
      <c r="K7700">
        <v>0.80800000000000005</v>
      </c>
      <c r="L7700">
        <v>0.14000000000000001</v>
      </c>
      <c r="M7700">
        <v>1.02</v>
      </c>
      <c r="N7700">
        <v>0.99</v>
      </c>
    </row>
    <row r="7701" spans="1:14" x14ac:dyDescent="0.25">
      <c r="A7701" t="s">
        <v>13677</v>
      </c>
      <c r="B7701" t="s">
        <v>13678</v>
      </c>
      <c r="C7701" s="1" t="str">
        <f>HYPERLINK("http://www.genecards.org/cgi-bin/carddisp.pl?gene=FUT5","GeneCards")</f>
        <v>GeneCards</v>
      </c>
      <c r="D7701" s="1" t="str">
        <f>HYPERLINK("http://genome-euro.ucsc.edu/cgi-bin/hgTracks?position=211225_at","UCSC")</f>
        <v>UCSC</v>
      </c>
      <c r="E7701" s="1" t="str">
        <f>HYPERLINK("http://www.ncbi.nlm.nih.gov/gene/?term=FUT5","NCBI")</f>
        <v>NCBI</v>
      </c>
      <c r="F7701">
        <v>0.11</v>
      </c>
      <c r="G7701">
        <v>0.25</v>
      </c>
      <c r="H7701" s="1" t="str">
        <f>HYPERLINK("http://www.weizmann.ac.il/complex/compphys/software/geview/data/figures/211225_at.png","Figure")</f>
        <v>Figure</v>
      </c>
      <c r="I7701">
        <v>1.18</v>
      </c>
      <c r="J7701">
        <v>0.11</v>
      </c>
      <c r="K7701">
        <v>1.04</v>
      </c>
      <c r="L7701">
        <v>0.8</v>
      </c>
      <c r="M7701">
        <v>0.88300000000000001</v>
      </c>
      <c r="N7701">
        <v>0.22</v>
      </c>
    </row>
    <row r="7702" spans="1:14" x14ac:dyDescent="0.25">
      <c r="A7702" t="s">
        <v>13679</v>
      </c>
      <c r="B7702" t="s">
        <v>13680</v>
      </c>
      <c r="C7702" s="1" t="str">
        <f>HYPERLINK("http://www.genecards.org/cgi-bin/carddisp.pl?gene=_x001A__x001A__x001A_-03","GeneCards")</f>
        <v>GeneCards</v>
      </c>
      <c r="D7702" s="1" t="str">
        <f>HYPERLINK("http://genome-euro.ucsc.edu/cgi-bin/hgTracks?position=213256_at","UCSC")</f>
        <v>UCSC</v>
      </c>
      <c r="E7702" s="1" t="str">
        <f>HYPERLINK("http://www.ncbi.nlm.nih.gov/gene/?term=_x001A__x001A__x001A_-03","NCBI")</f>
        <v>NCBI</v>
      </c>
      <c r="F7702">
        <v>0.11</v>
      </c>
      <c r="G7702">
        <v>0.25</v>
      </c>
      <c r="H7702" s="1" t="str">
        <f>HYPERLINK("http://www.weizmann.ac.il/complex/compphys/software/geview/data/figures/213256_at.png","Figure")</f>
        <v>Figure</v>
      </c>
      <c r="I7702">
        <v>2.04</v>
      </c>
      <c r="J7702">
        <v>0.1</v>
      </c>
      <c r="K7702">
        <v>1.56</v>
      </c>
      <c r="L7702">
        <v>0.28999999999999998</v>
      </c>
      <c r="M7702">
        <v>0.76500000000000001</v>
      </c>
      <c r="N7702">
        <v>0.65</v>
      </c>
    </row>
    <row r="7703" spans="1:14" x14ac:dyDescent="0.25">
      <c r="A7703" t="s">
        <v>13681</v>
      </c>
      <c r="B7703" t="s">
        <v>11607</v>
      </c>
      <c r="C7703" s="1" t="str">
        <f>HYPERLINK("http://www.genecards.org/cgi-bin/carddisp.pl?gene=GSDMB","GeneCards")</f>
        <v>GeneCards</v>
      </c>
      <c r="D7703" s="1" t="str">
        <f>HYPERLINK("http://genome-euro.ucsc.edu/cgi-bin/hgTracks?position=215659_at","UCSC")</f>
        <v>UCSC</v>
      </c>
      <c r="E7703" s="1" t="str">
        <f>HYPERLINK("http://www.ncbi.nlm.nih.gov/gene/?term=GSDMB","NCBI")</f>
        <v>NCBI</v>
      </c>
      <c r="F7703">
        <v>0.11</v>
      </c>
      <c r="G7703">
        <v>0.25</v>
      </c>
      <c r="H7703" s="1" t="str">
        <f>HYPERLINK("http://www.weizmann.ac.il/complex/compphys/software/geview/data/figures/215659_at.png","Figure")</f>
        <v>Figure</v>
      </c>
      <c r="I7703">
        <v>1.1200000000000001</v>
      </c>
      <c r="J7703">
        <v>0.19</v>
      </c>
      <c r="K7703">
        <v>1.1100000000000001</v>
      </c>
      <c r="L7703">
        <v>0.13</v>
      </c>
      <c r="M7703">
        <v>0.998</v>
      </c>
      <c r="N7703">
        <v>1</v>
      </c>
    </row>
    <row r="7704" spans="1:14" x14ac:dyDescent="0.25">
      <c r="A7704" t="s">
        <v>13682</v>
      </c>
      <c r="B7704" t="s">
        <v>796</v>
      </c>
      <c r="C7704" s="1" t="str">
        <f>HYPERLINK("http://www.genecards.org/cgi-bin/carddisp.pl?gene=GM2A","GeneCards")</f>
        <v>GeneCards</v>
      </c>
      <c r="D7704" s="1" t="str">
        <f>HYPERLINK("http://genome-euro.ucsc.edu/cgi-bin/hgTracks?position=215890_at","UCSC")</f>
        <v>UCSC</v>
      </c>
      <c r="E7704" s="1" t="str">
        <f>HYPERLINK("http://www.ncbi.nlm.nih.gov/gene/?term=GM2A","NCBI")</f>
        <v>NCBI</v>
      </c>
      <c r="F7704">
        <v>0.11</v>
      </c>
      <c r="G7704">
        <v>0.25</v>
      </c>
      <c r="H7704" s="1" t="str">
        <f>HYPERLINK("http://www.weizmann.ac.il/complex/compphys/software/geview/data/figures/215890_at.png","Figure")</f>
        <v>Figure</v>
      </c>
      <c r="I7704">
        <v>1.06</v>
      </c>
      <c r="J7704">
        <v>0.57999999999999996</v>
      </c>
      <c r="K7704">
        <v>0.93700000000000006</v>
      </c>
      <c r="L7704">
        <v>0.45</v>
      </c>
      <c r="M7704">
        <v>0.88200000000000001</v>
      </c>
      <c r="N7704">
        <v>0.1</v>
      </c>
    </row>
    <row r="7705" spans="1:14" x14ac:dyDescent="0.25">
      <c r="A7705" t="s">
        <v>13683</v>
      </c>
      <c r="B7705" t="s">
        <v>13684</v>
      </c>
      <c r="C7705" s="1" t="str">
        <f>HYPERLINK("http://www.genecards.org/cgi-bin/carddisp.pl?gene=VPS26A","GeneCards")</f>
        <v>GeneCards</v>
      </c>
      <c r="D7705" s="1" t="str">
        <f>HYPERLINK("http://genome-euro.ucsc.edu/cgi-bin/hgTracks?position=201807_at","UCSC")</f>
        <v>UCSC</v>
      </c>
      <c r="E7705" s="1" t="str">
        <f>HYPERLINK("http://www.ncbi.nlm.nih.gov/gene/?term=VPS26A","NCBI")</f>
        <v>NCBI</v>
      </c>
      <c r="F7705">
        <v>0.11</v>
      </c>
      <c r="G7705">
        <v>0.25</v>
      </c>
      <c r="H7705" s="1" t="str">
        <f>HYPERLINK("http://www.weizmann.ac.il/complex/compphys/software/geview/data/figures/201807_at.png","Figure")</f>
        <v>Figure</v>
      </c>
      <c r="I7705">
        <v>0.56699999999999995</v>
      </c>
      <c r="J7705">
        <v>9.9000000000000005E-2</v>
      </c>
      <c r="K7705">
        <v>0.83299999999999996</v>
      </c>
      <c r="L7705">
        <v>0.69</v>
      </c>
      <c r="M7705">
        <v>1.47</v>
      </c>
      <c r="N7705">
        <v>0.27</v>
      </c>
    </row>
    <row r="7706" spans="1:14" x14ac:dyDescent="0.25">
      <c r="A7706" t="s">
        <v>13685</v>
      </c>
      <c r="B7706" t="s">
        <v>13492</v>
      </c>
      <c r="C7706" s="1" t="str">
        <f>HYPERLINK("http://www.genecards.org/cgi-bin/carddisp.pl?gene=LAMA4","GeneCards")</f>
        <v>GeneCards</v>
      </c>
      <c r="D7706" s="1" t="str">
        <f>HYPERLINK("http://genome-euro.ucsc.edu/cgi-bin/hgTracks?position=216081_at","UCSC")</f>
        <v>UCSC</v>
      </c>
      <c r="E7706" s="1" t="str">
        <f>HYPERLINK("http://www.ncbi.nlm.nih.gov/gene/?term=LAMA4","NCBI")</f>
        <v>NCBI</v>
      </c>
      <c r="F7706">
        <v>0.11</v>
      </c>
      <c r="G7706">
        <v>0.25</v>
      </c>
      <c r="H7706" s="1" t="str">
        <f>HYPERLINK("http://www.weizmann.ac.il/complex/compphys/software/geview/data/figures/216081_at.png","Figure")</f>
        <v>Figure</v>
      </c>
      <c r="I7706">
        <v>1.21</v>
      </c>
      <c r="J7706">
        <v>9.6000000000000002E-2</v>
      </c>
      <c r="K7706">
        <v>1.07</v>
      </c>
      <c r="L7706">
        <v>0.6</v>
      </c>
      <c r="M7706">
        <v>0.88800000000000001</v>
      </c>
      <c r="N7706">
        <v>0.32</v>
      </c>
    </row>
    <row r="7707" spans="1:14" x14ac:dyDescent="0.25">
      <c r="A7707" t="s">
        <v>13686</v>
      </c>
      <c r="B7707" t="s">
        <v>13687</v>
      </c>
      <c r="C7707" s="1" t="str">
        <f>HYPERLINK("http://www.genecards.org/cgi-bin/carddisp.pl?gene=C1orf115","GeneCards")</f>
        <v>GeneCards</v>
      </c>
      <c r="D7707" s="1" t="str">
        <f>HYPERLINK("http://genome-euro.ucsc.edu/cgi-bin/hgTracks?position=218546_at","UCSC")</f>
        <v>UCSC</v>
      </c>
      <c r="E7707" s="1" t="str">
        <f>HYPERLINK("http://www.ncbi.nlm.nih.gov/gene/?term=C1orf115","NCBI")</f>
        <v>NCBI</v>
      </c>
      <c r="F7707">
        <v>0.11</v>
      </c>
      <c r="G7707">
        <v>0.25</v>
      </c>
      <c r="H7707" s="1" t="str">
        <f>HYPERLINK("http://www.weizmann.ac.il/complex/compphys/software/geview/data/figures/218546_at.png","Figure")</f>
        <v>Figure</v>
      </c>
      <c r="I7707">
        <v>1.02</v>
      </c>
      <c r="J7707">
        <v>0.2</v>
      </c>
      <c r="K7707">
        <v>1.02</v>
      </c>
      <c r="L7707">
        <v>0.13</v>
      </c>
      <c r="M7707">
        <v>1</v>
      </c>
      <c r="N7707">
        <v>1</v>
      </c>
    </row>
    <row r="7708" spans="1:14" x14ac:dyDescent="0.25">
      <c r="A7708" t="s">
        <v>13688</v>
      </c>
      <c r="B7708" t="s">
        <v>13301</v>
      </c>
      <c r="C7708" s="1" t="str">
        <f>HYPERLINK("http://www.genecards.org/cgi-bin/carddisp.pl?gene=EIF5B","GeneCards")</f>
        <v>GeneCards</v>
      </c>
      <c r="D7708" s="1" t="str">
        <f>HYPERLINK("http://genome-euro.ucsc.edu/cgi-bin/hgTracks?position=201027_s_at","UCSC")</f>
        <v>UCSC</v>
      </c>
      <c r="E7708" s="1" t="str">
        <f>HYPERLINK("http://www.ncbi.nlm.nih.gov/gene/?term=EIF5B","NCBI")</f>
        <v>NCBI</v>
      </c>
      <c r="F7708">
        <v>0.11</v>
      </c>
      <c r="G7708">
        <v>0.25</v>
      </c>
      <c r="H7708" s="1" t="str">
        <f>HYPERLINK("http://www.weizmann.ac.il/complex/compphys/software/geview/data/figures/201027_s_at.png","Figure")</f>
        <v>Figure</v>
      </c>
      <c r="I7708">
        <v>0.97699999999999998</v>
      </c>
      <c r="J7708">
        <v>0.98</v>
      </c>
      <c r="K7708">
        <v>1.23</v>
      </c>
      <c r="L7708">
        <v>0.19</v>
      </c>
      <c r="M7708">
        <v>1.26</v>
      </c>
      <c r="N7708">
        <v>0.17</v>
      </c>
    </row>
    <row r="7709" spans="1:14" x14ac:dyDescent="0.25">
      <c r="A7709" t="s">
        <v>13689</v>
      </c>
      <c r="B7709" t="s">
        <v>1946</v>
      </c>
      <c r="C7709" s="1" t="str">
        <f>HYPERLINK("http://www.genecards.org/cgi-bin/carddisp.pl?gene=SYNGR1","GeneCards")</f>
        <v>GeneCards</v>
      </c>
      <c r="D7709" s="1" t="str">
        <f>HYPERLINK("http://genome-euro.ucsc.edu/cgi-bin/hgTracks?position=213854_at","UCSC")</f>
        <v>UCSC</v>
      </c>
      <c r="E7709" s="1" t="str">
        <f>HYPERLINK("http://www.ncbi.nlm.nih.gov/gene/?term=SYNGR1","NCBI")</f>
        <v>NCBI</v>
      </c>
      <c r="F7709">
        <v>0.11</v>
      </c>
      <c r="G7709">
        <v>0.25</v>
      </c>
      <c r="H7709" s="1" t="str">
        <f>HYPERLINK("http://www.weizmann.ac.il/complex/compphys/software/geview/data/figures/213854_at.png","Figure")</f>
        <v>Figure</v>
      </c>
      <c r="I7709">
        <v>0.67800000000000005</v>
      </c>
      <c r="J7709">
        <v>0.1</v>
      </c>
      <c r="K7709">
        <v>0.9</v>
      </c>
      <c r="L7709">
        <v>0.77</v>
      </c>
      <c r="M7709">
        <v>1.33</v>
      </c>
      <c r="N7709">
        <v>0.23</v>
      </c>
    </row>
    <row r="7710" spans="1:14" x14ac:dyDescent="0.25">
      <c r="A7710" t="s">
        <v>13690</v>
      </c>
      <c r="B7710" t="s">
        <v>13691</v>
      </c>
      <c r="C7710" s="1" t="str">
        <f>HYPERLINK("http://www.genecards.org/cgi-bin/carddisp.pl?gene=TSNAXIP1","GeneCards")</f>
        <v>GeneCards</v>
      </c>
      <c r="D7710" s="1" t="str">
        <f>HYPERLINK("http://genome-euro.ucsc.edu/cgi-bin/hgTracks?position=222220_s_at","UCSC")</f>
        <v>UCSC</v>
      </c>
      <c r="E7710" s="1" t="str">
        <f>HYPERLINK("http://www.ncbi.nlm.nih.gov/gene/?term=TSNAXIP1","NCBI")</f>
        <v>NCBI</v>
      </c>
      <c r="F7710">
        <v>0.11</v>
      </c>
      <c r="G7710">
        <v>0.25</v>
      </c>
      <c r="H7710" s="1" t="str">
        <f>HYPERLINK("http://www.weizmann.ac.il/complex/compphys/software/geview/data/figures/222220_s_at.png","Figure")</f>
        <v>Figure</v>
      </c>
      <c r="I7710">
        <v>0.91200000000000003</v>
      </c>
      <c r="J7710">
        <v>0.36</v>
      </c>
      <c r="K7710">
        <v>1.05</v>
      </c>
      <c r="L7710">
        <v>0.7</v>
      </c>
      <c r="M7710">
        <v>1.1499999999999999</v>
      </c>
      <c r="N7710">
        <v>9.5000000000000001E-2</v>
      </c>
    </row>
    <row r="7711" spans="1:14" x14ac:dyDescent="0.25">
      <c r="A7711" t="s">
        <v>13692</v>
      </c>
      <c r="B7711" t="s">
        <v>13693</v>
      </c>
      <c r="C7711" s="1" t="str">
        <f>HYPERLINK("http://www.genecards.org/cgi-bin/carddisp.pl?gene=MMD","GeneCards")</f>
        <v>GeneCards</v>
      </c>
      <c r="D7711" s="1" t="str">
        <f>HYPERLINK("http://genome-euro.ucsc.edu/cgi-bin/hgTracks?position=203414_at","UCSC")</f>
        <v>UCSC</v>
      </c>
      <c r="E7711" s="1" t="str">
        <f>HYPERLINK("http://www.ncbi.nlm.nih.gov/gene/?term=MMD","NCBI")</f>
        <v>NCBI</v>
      </c>
      <c r="F7711">
        <v>0.11</v>
      </c>
      <c r="G7711">
        <v>0.25</v>
      </c>
      <c r="H7711" s="1" t="str">
        <f>HYPERLINK("http://www.weizmann.ac.il/complex/compphys/software/geview/data/figures/203414_at.png","Figure")</f>
        <v>Figure</v>
      </c>
      <c r="I7711">
        <v>1.35</v>
      </c>
      <c r="J7711">
        <v>0.35</v>
      </c>
      <c r="K7711">
        <v>0.86399999999999999</v>
      </c>
      <c r="L7711">
        <v>0.71</v>
      </c>
      <c r="M7711">
        <v>0.63900000000000001</v>
      </c>
      <c r="N7711">
        <v>9.5000000000000001E-2</v>
      </c>
    </row>
    <row r="7712" spans="1:14" x14ac:dyDescent="0.25">
      <c r="A7712" t="s">
        <v>13694</v>
      </c>
      <c r="B7712" t="s">
        <v>13695</v>
      </c>
      <c r="C7712" s="1" t="str">
        <f>HYPERLINK("http://www.genecards.org/cgi-bin/carddisp.pl?gene=ARHGAP15","GeneCards")</f>
        <v>GeneCards</v>
      </c>
      <c r="D7712" s="1" t="str">
        <f>HYPERLINK("http://genome-euro.ucsc.edu/cgi-bin/hgTracks?position=218870_at","UCSC")</f>
        <v>UCSC</v>
      </c>
      <c r="E7712" s="1" t="str">
        <f>HYPERLINK("http://www.ncbi.nlm.nih.gov/gene/?term=ARHGAP15","NCBI")</f>
        <v>NCBI</v>
      </c>
      <c r="F7712">
        <v>0.11</v>
      </c>
      <c r="G7712">
        <v>0.25</v>
      </c>
      <c r="H7712" s="1" t="str">
        <f>HYPERLINK("http://www.weizmann.ac.il/complex/compphys/software/geview/data/figures/218870_at.png","Figure")</f>
        <v>Figure</v>
      </c>
      <c r="I7712">
        <v>0.97299999999999998</v>
      </c>
      <c r="J7712">
        <v>0.98</v>
      </c>
      <c r="K7712">
        <v>1.3</v>
      </c>
      <c r="L7712">
        <v>0.19</v>
      </c>
      <c r="M7712">
        <v>1.33</v>
      </c>
      <c r="N7712">
        <v>0.17</v>
      </c>
    </row>
    <row r="7713" spans="1:14" x14ac:dyDescent="0.25">
      <c r="A7713" t="s">
        <v>13696</v>
      </c>
      <c r="B7713" t="s">
        <v>13697</v>
      </c>
      <c r="C7713" s="1" t="str">
        <f>HYPERLINK("http://www.genecards.org/cgi-bin/carddisp.pl?gene=PASK","GeneCards")</f>
        <v>GeneCards</v>
      </c>
      <c r="D7713" s="1" t="str">
        <f>HYPERLINK("http://genome-euro.ucsc.edu/cgi-bin/hgTracks?position=206594_at","UCSC")</f>
        <v>UCSC</v>
      </c>
      <c r="E7713" s="1" t="str">
        <f>HYPERLINK("http://www.ncbi.nlm.nih.gov/gene/?term=PASK","NCBI")</f>
        <v>NCBI</v>
      </c>
      <c r="F7713">
        <v>0.11</v>
      </c>
      <c r="G7713">
        <v>0.25</v>
      </c>
      <c r="H7713" s="1" t="str">
        <f>HYPERLINK("http://www.weizmann.ac.il/complex/compphys/software/geview/data/figures/206594_at.png","Figure")</f>
        <v>Figure</v>
      </c>
      <c r="I7713">
        <v>0.97599999999999998</v>
      </c>
      <c r="J7713">
        <v>0.97</v>
      </c>
      <c r="K7713">
        <v>0.82799999999999996</v>
      </c>
      <c r="L7713">
        <v>0.13</v>
      </c>
      <c r="M7713">
        <v>0.84899999999999998</v>
      </c>
      <c r="N7713">
        <v>0.25</v>
      </c>
    </row>
    <row r="7714" spans="1:14" x14ac:dyDescent="0.25">
      <c r="A7714" t="s">
        <v>13698</v>
      </c>
      <c r="B7714" t="s">
        <v>563</v>
      </c>
      <c r="C7714" s="1" t="str">
        <f>HYPERLINK("http://www.genecards.org/cgi-bin/carddisp.pl?gene=CALD1","GeneCards")</f>
        <v>GeneCards</v>
      </c>
      <c r="D7714" s="1" t="str">
        <f>HYPERLINK("http://genome-euro.ucsc.edu/cgi-bin/hgTracks?position=215198_s_at","UCSC")</f>
        <v>UCSC</v>
      </c>
      <c r="E7714" s="1" t="str">
        <f>HYPERLINK("http://www.ncbi.nlm.nih.gov/gene/?term=CALD1","NCBI")</f>
        <v>NCBI</v>
      </c>
      <c r="F7714">
        <v>0.11</v>
      </c>
      <c r="G7714">
        <v>0.25</v>
      </c>
      <c r="H7714" s="1" t="str">
        <f>HYPERLINK("http://www.weizmann.ac.il/complex/compphys/software/geview/data/figures/215198_s_at.png","Figure")</f>
        <v>Figure</v>
      </c>
      <c r="I7714">
        <v>1.03</v>
      </c>
      <c r="J7714">
        <v>0.15</v>
      </c>
      <c r="K7714">
        <v>1.02</v>
      </c>
      <c r="L7714">
        <v>0.16</v>
      </c>
      <c r="M7714">
        <v>0.996</v>
      </c>
      <c r="N7714">
        <v>0.95</v>
      </c>
    </row>
    <row r="7715" spans="1:14" x14ac:dyDescent="0.25">
      <c r="A7715" t="s">
        <v>13699</v>
      </c>
      <c r="B7715" t="s">
        <v>13700</v>
      </c>
      <c r="C7715" s="1" t="str">
        <f>HYPERLINK("http://www.genecards.org/cgi-bin/carddisp.pl?gene=PKD1","GeneCards")</f>
        <v>GeneCards</v>
      </c>
      <c r="D7715" s="1" t="str">
        <f>HYPERLINK("http://genome-euro.ucsc.edu/cgi-bin/hgTracks?position=216949_s_at","UCSC")</f>
        <v>UCSC</v>
      </c>
      <c r="E7715" s="1" t="str">
        <f>HYPERLINK("http://www.ncbi.nlm.nih.gov/gene/?term=PKD1","NCBI")</f>
        <v>NCBI</v>
      </c>
      <c r="F7715">
        <v>0.11</v>
      </c>
      <c r="G7715">
        <v>0.25</v>
      </c>
      <c r="H7715" s="1" t="str">
        <f>HYPERLINK("http://www.weizmann.ac.il/complex/compphys/software/geview/data/figures/216949_s_at.png","Figure")</f>
        <v>Figure</v>
      </c>
      <c r="I7715">
        <v>1.1499999999999999</v>
      </c>
      <c r="J7715">
        <v>9.8000000000000004E-2</v>
      </c>
      <c r="K7715">
        <v>1.08</v>
      </c>
      <c r="L7715">
        <v>0.35</v>
      </c>
      <c r="M7715">
        <v>0.93799999999999994</v>
      </c>
      <c r="N7715">
        <v>0.54</v>
      </c>
    </row>
    <row r="7716" spans="1:14" x14ac:dyDescent="0.25">
      <c r="A7716" t="s">
        <v>13701</v>
      </c>
      <c r="B7716" t="s">
        <v>8016</v>
      </c>
      <c r="C7716" s="1" t="str">
        <f>HYPERLINK("http://www.genecards.org/cgi-bin/carddisp.pl?gene=SLC6A8","GeneCards")</f>
        <v>GeneCards</v>
      </c>
      <c r="D7716" s="1" t="str">
        <f>HYPERLINK("http://genome-euro.ucsc.edu/cgi-bin/hgTracks?position=202219_at","UCSC")</f>
        <v>UCSC</v>
      </c>
      <c r="E7716" s="1" t="str">
        <f>HYPERLINK("http://www.ncbi.nlm.nih.gov/gene/?term=SLC6A8","NCBI")</f>
        <v>NCBI</v>
      </c>
      <c r="F7716">
        <v>0.11</v>
      </c>
      <c r="G7716">
        <v>0.25</v>
      </c>
      <c r="H7716" s="1" t="str">
        <f>HYPERLINK("http://www.weizmann.ac.il/complex/compphys/software/geview/data/figures/202219_at.png","Figure")</f>
        <v>Figure</v>
      </c>
      <c r="I7716">
        <v>1.1000000000000001</v>
      </c>
      <c r="J7716">
        <v>0.66</v>
      </c>
      <c r="K7716">
        <v>0.873</v>
      </c>
      <c r="L7716">
        <v>0.39</v>
      </c>
      <c r="M7716">
        <v>0.79100000000000004</v>
      </c>
      <c r="N7716">
        <v>0.11</v>
      </c>
    </row>
    <row r="7717" spans="1:14" x14ac:dyDescent="0.25">
      <c r="A7717" t="s">
        <v>13702</v>
      </c>
      <c r="B7717" t="s">
        <v>13703</v>
      </c>
      <c r="C7717" s="1" t="str">
        <f>HYPERLINK("http://www.genecards.org/cgi-bin/carddisp.pl?gene=C12orf51","GeneCards")</f>
        <v>GeneCards</v>
      </c>
      <c r="D7717" s="1" t="str">
        <f>HYPERLINK("http://genome-euro.ucsc.edu/cgi-bin/hgTracks?position=211034_s_at","UCSC")</f>
        <v>UCSC</v>
      </c>
      <c r="E7717" s="1" t="str">
        <f>HYPERLINK("http://www.ncbi.nlm.nih.gov/gene/?term=C12orf51","NCBI")</f>
        <v>NCBI</v>
      </c>
      <c r="F7717">
        <v>0.11</v>
      </c>
      <c r="G7717">
        <v>0.25</v>
      </c>
      <c r="H7717" s="1" t="str">
        <f>HYPERLINK("http://www.weizmann.ac.il/complex/compphys/software/geview/data/figures/211034_s_at.png","Figure")</f>
        <v>Figure</v>
      </c>
      <c r="I7717">
        <v>1.4</v>
      </c>
      <c r="J7717">
        <v>9.5000000000000001E-2</v>
      </c>
      <c r="K7717">
        <v>1.1399999999999999</v>
      </c>
      <c r="L7717">
        <v>0.56000000000000005</v>
      </c>
      <c r="M7717">
        <v>0.81799999999999995</v>
      </c>
      <c r="N7717">
        <v>0.34</v>
      </c>
    </row>
    <row r="7718" spans="1:14" x14ac:dyDescent="0.25">
      <c r="A7718" t="s">
        <v>13704</v>
      </c>
      <c r="B7718" t="s">
        <v>13705</v>
      </c>
      <c r="C7718" s="1" t="str">
        <f>HYPERLINK("http://www.genecards.org/cgi-bin/carddisp.pl?gene=USP16","GeneCards")</f>
        <v>GeneCards</v>
      </c>
      <c r="D7718" s="1" t="str">
        <f>HYPERLINK("http://genome-euro.ucsc.edu/cgi-bin/hgTracks?position=218386_x_at","UCSC")</f>
        <v>UCSC</v>
      </c>
      <c r="E7718" s="1" t="str">
        <f>HYPERLINK("http://www.ncbi.nlm.nih.gov/gene/?term=USP16","NCBI")</f>
        <v>NCBI</v>
      </c>
      <c r="F7718">
        <v>0.11</v>
      </c>
      <c r="G7718">
        <v>0.25</v>
      </c>
      <c r="H7718" s="1" t="str">
        <f>HYPERLINK("http://www.weizmann.ac.il/complex/compphys/software/geview/data/figures/218386_x_at.png","Figure")</f>
        <v>Figure</v>
      </c>
      <c r="I7718">
        <v>0.64600000000000002</v>
      </c>
      <c r="J7718">
        <v>0.25</v>
      </c>
      <c r="K7718">
        <v>0.61099999999999999</v>
      </c>
      <c r="L7718">
        <v>0.11</v>
      </c>
      <c r="M7718">
        <v>0.94699999999999995</v>
      </c>
      <c r="N7718">
        <v>0.97</v>
      </c>
    </row>
    <row r="7719" spans="1:14" x14ac:dyDescent="0.25">
      <c r="A7719" t="s">
        <v>13706</v>
      </c>
      <c r="B7719" t="s">
        <v>13707</v>
      </c>
      <c r="C7719" s="1" t="str">
        <f>HYPERLINK("http://www.genecards.org/cgi-bin/carddisp.pl?gene=NPR3","GeneCards")</f>
        <v>GeneCards</v>
      </c>
      <c r="D7719" s="1" t="str">
        <f>HYPERLINK("http://genome-euro.ucsc.edu/cgi-bin/hgTracks?position=219790_s_at","UCSC")</f>
        <v>UCSC</v>
      </c>
      <c r="E7719" s="1" t="str">
        <f>HYPERLINK("http://www.ncbi.nlm.nih.gov/gene/?term=NPR3","NCBI")</f>
        <v>NCBI</v>
      </c>
      <c r="F7719">
        <v>0.11</v>
      </c>
      <c r="G7719">
        <v>0.25</v>
      </c>
      <c r="H7719" s="1" t="str">
        <f>HYPERLINK("http://www.weizmann.ac.il/complex/compphys/software/geview/data/figures/219790_s_at.png","Figure")</f>
        <v>Figure</v>
      </c>
      <c r="I7719">
        <v>1.1399999999999999</v>
      </c>
      <c r="J7719">
        <v>0.14000000000000001</v>
      </c>
      <c r="K7719">
        <v>1.01</v>
      </c>
      <c r="L7719">
        <v>0.97</v>
      </c>
      <c r="M7719">
        <v>0.89</v>
      </c>
      <c r="N7719">
        <v>0.15</v>
      </c>
    </row>
    <row r="7720" spans="1:14" x14ac:dyDescent="0.25">
      <c r="A7720" t="s">
        <v>13708</v>
      </c>
      <c r="B7720" t="s">
        <v>13709</v>
      </c>
      <c r="C7720" s="1" t="str">
        <f>HYPERLINK("http://www.genecards.org/cgi-bin/carddisp.pl?gene=HPSE","GeneCards")</f>
        <v>GeneCards</v>
      </c>
      <c r="D7720" s="1" t="str">
        <f>HYPERLINK("http://genome-euro.ucsc.edu/cgi-bin/hgTracks?position=219403_s_at","UCSC")</f>
        <v>UCSC</v>
      </c>
      <c r="E7720" s="1" t="str">
        <f>HYPERLINK("http://www.ncbi.nlm.nih.gov/gene/?term=HPSE","NCBI")</f>
        <v>NCBI</v>
      </c>
      <c r="F7720">
        <v>0.11</v>
      </c>
      <c r="G7720">
        <v>0.25</v>
      </c>
      <c r="H7720" s="1" t="str">
        <f>HYPERLINK("http://www.weizmann.ac.il/complex/compphys/software/geview/data/figures/219403_s_at.png","Figure")</f>
        <v>Figure</v>
      </c>
      <c r="I7720">
        <v>0.97199999999999998</v>
      </c>
      <c r="J7720">
        <v>0.7</v>
      </c>
      <c r="K7720">
        <v>1.04</v>
      </c>
      <c r="L7720">
        <v>0.36</v>
      </c>
      <c r="M7720">
        <v>1.07</v>
      </c>
      <c r="N7720">
        <v>0.11</v>
      </c>
    </row>
    <row r="7721" spans="1:14" x14ac:dyDescent="0.25">
      <c r="A7721" t="s">
        <v>13710</v>
      </c>
      <c r="B7721" t="s">
        <v>13711</v>
      </c>
      <c r="C7721" s="1" t="str">
        <f>HYPERLINK("http://www.genecards.org/cgi-bin/carddisp.pl?gene=SUPT7L","GeneCards")</f>
        <v>GeneCards</v>
      </c>
      <c r="D7721" s="1" t="str">
        <f>HYPERLINK("http://genome-euro.ucsc.edu/cgi-bin/hgTracks?position=201838_s_at","UCSC")</f>
        <v>UCSC</v>
      </c>
      <c r="E7721" s="1" t="str">
        <f>HYPERLINK("http://www.ncbi.nlm.nih.gov/gene/?term=SUPT7L","NCBI")</f>
        <v>NCBI</v>
      </c>
      <c r="F7721">
        <v>0.11</v>
      </c>
      <c r="G7721">
        <v>0.25</v>
      </c>
      <c r="H7721" s="1" t="str">
        <f>HYPERLINK("http://www.weizmann.ac.il/complex/compphys/software/geview/data/figures/201838_s_at.png","Figure")</f>
        <v>Figure</v>
      </c>
      <c r="I7721">
        <v>0.84699999999999998</v>
      </c>
      <c r="J7721">
        <v>0.16</v>
      </c>
      <c r="K7721">
        <v>0.997</v>
      </c>
      <c r="L7721">
        <v>1</v>
      </c>
      <c r="M7721">
        <v>1.18</v>
      </c>
      <c r="N7721">
        <v>0.13</v>
      </c>
    </row>
    <row r="7722" spans="1:14" x14ac:dyDescent="0.25">
      <c r="A7722" t="s">
        <v>13712</v>
      </c>
      <c r="B7722" t="s">
        <v>8069</v>
      </c>
      <c r="C7722" s="1" t="str">
        <f>HYPERLINK("http://www.genecards.org/cgi-bin/carddisp.pl?gene=H3F3B","GeneCards")</f>
        <v>GeneCards</v>
      </c>
      <c r="D7722" s="1" t="str">
        <f>HYPERLINK("http://genome-euro.ucsc.edu/cgi-bin/hgTracks?position=211997_x_at","UCSC")</f>
        <v>UCSC</v>
      </c>
      <c r="E7722" s="1" t="str">
        <f>HYPERLINK("http://www.ncbi.nlm.nih.gov/gene/?term=H3F3B","NCBI")</f>
        <v>NCBI</v>
      </c>
      <c r="F7722">
        <v>0.11</v>
      </c>
      <c r="G7722">
        <v>0.25</v>
      </c>
      <c r="H7722" s="1" t="str">
        <f>HYPERLINK("http://www.weizmann.ac.il/complex/compphys/software/geview/data/figures/211997_x_at.png","Figure")</f>
        <v>Figure</v>
      </c>
      <c r="I7722">
        <v>0.83499999999999996</v>
      </c>
      <c r="J7722">
        <v>0.43</v>
      </c>
      <c r="K7722">
        <v>0.75600000000000001</v>
      </c>
      <c r="L7722">
        <v>9.5000000000000001E-2</v>
      </c>
      <c r="M7722">
        <v>0.90600000000000003</v>
      </c>
      <c r="N7722">
        <v>0.74</v>
      </c>
    </row>
    <row r="7723" spans="1:14" x14ac:dyDescent="0.25">
      <c r="A7723" t="s">
        <v>13713</v>
      </c>
      <c r="B7723" t="s">
        <v>13714</v>
      </c>
      <c r="C7723" s="1" t="str">
        <f>HYPERLINK("http://www.genecards.org/cgi-bin/carddisp.pl?gene=CHD2","GeneCards")</f>
        <v>GeneCards</v>
      </c>
      <c r="D7723" s="1" t="str">
        <f>HYPERLINK("http://genome-euro.ucsc.edu/cgi-bin/hgTracks?position=203461_at","UCSC")</f>
        <v>UCSC</v>
      </c>
      <c r="E7723" s="1" t="str">
        <f>HYPERLINK("http://www.ncbi.nlm.nih.gov/gene/?term=CHD2","NCBI")</f>
        <v>NCBI</v>
      </c>
      <c r="F7723">
        <v>0.11</v>
      </c>
      <c r="G7723">
        <v>0.25</v>
      </c>
      <c r="H7723" s="1" t="str">
        <f>HYPERLINK("http://www.weizmann.ac.il/complex/compphys/software/geview/data/figures/203461_at.png","Figure")</f>
        <v>Figure</v>
      </c>
      <c r="I7723">
        <v>1.1399999999999999</v>
      </c>
      <c r="J7723">
        <v>0.11</v>
      </c>
      <c r="K7723">
        <v>1.03</v>
      </c>
      <c r="L7723">
        <v>0.82</v>
      </c>
      <c r="M7723">
        <v>0.90400000000000003</v>
      </c>
      <c r="N7723">
        <v>0.21</v>
      </c>
    </row>
    <row r="7724" spans="1:14" x14ac:dyDescent="0.25">
      <c r="A7724" t="s">
        <v>13715</v>
      </c>
      <c r="B7724" t="s">
        <v>7040</v>
      </c>
      <c r="C7724" s="1" t="str">
        <f>HYPERLINK("http://www.genecards.org/cgi-bin/carddisp.pl?gene=D4S234E","GeneCards")</f>
        <v>GeneCards</v>
      </c>
      <c r="D7724" s="1" t="str">
        <f>HYPERLINK("http://genome-euro.ucsc.edu/cgi-bin/hgTracks?position=213533_at","UCSC")</f>
        <v>UCSC</v>
      </c>
      <c r="E7724" s="1" t="str">
        <f>HYPERLINK("http://www.ncbi.nlm.nih.gov/gene/?term=D4S234E","NCBI")</f>
        <v>NCBI</v>
      </c>
      <c r="F7724">
        <v>0.11</v>
      </c>
      <c r="G7724">
        <v>0.25</v>
      </c>
      <c r="H7724" s="1" t="str">
        <f>HYPERLINK("http://www.weizmann.ac.il/complex/compphys/software/geview/data/figures/213533_at.png","Figure")</f>
        <v>Figure</v>
      </c>
      <c r="I7724">
        <v>1.23</v>
      </c>
      <c r="J7724">
        <v>0.28999999999999998</v>
      </c>
      <c r="K7724">
        <v>1.29</v>
      </c>
      <c r="L7724">
        <v>0.11</v>
      </c>
      <c r="M7724">
        <v>1.05</v>
      </c>
      <c r="N7724">
        <v>0.92</v>
      </c>
    </row>
    <row r="7725" spans="1:14" x14ac:dyDescent="0.25">
      <c r="A7725" t="s">
        <v>13716</v>
      </c>
      <c r="B7725" t="s">
        <v>7557</v>
      </c>
      <c r="C7725" s="1" t="str">
        <f>HYPERLINK("http://www.genecards.org/cgi-bin/carddisp.pl?gene=CSNK1A1","GeneCards")</f>
        <v>GeneCards</v>
      </c>
      <c r="D7725" s="1" t="str">
        <f>HYPERLINK("http://genome-euro.ucsc.edu/cgi-bin/hgTracks?position=206562_s_at","UCSC")</f>
        <v>UCSC</v>
      </c>
      <c r="E7725" s="1" t="str">
        <f>HYPERLINK("http://www.ncbi.nlm.nih.gov/gene/?term=CSNK1A1","NCBI")</f>
        <v>NCBI</v>
      </c>
      <c r="F7725">
        <v>0.11</v>
      </c>
      <c r="G7725">
        <v>0.25</v>
      </c>
      <c r="H7725" s="1" t="str">
        <f>HYPERLINK("http://www.weizmann.ac.il/complex/compphys/software/geview/data/figures/206562_s_at.png","Figure")</f>
        <v>Figure</v>
      </c>
      <c r="I7725">
        <v>1.48</v>
      </c>
      <c r="J7725">
        <v>0.13</v>
      </c>
      <c r="K7725">
        <v>1.05</v>
      </c>
      <c r="L7725">
        <v>0.95</v>
      </c>
      <c r="M7725">
        <v>0.71</v>
      </c>
      <c r="N7725">
        <v>0.16</v>
      </c>
    </row>
    <row r="7726" spans="1:14" x14ac:dyDescent="0.25">
      <c r="A7726" t="s">
        <v>13717</v>
      </c>
      <c r="B7726" t="s">
        <v>2739</v>
      </c>
      <c r="C7726" s="1" t="str">
        <f>HYPERLINK("http://www.genecards.org/cgi-bin/carddisp.pl?gene=SLC11A2","GeneCards")</f>
        <v>GeneCards</v>
      </c>
      <c r="D7726" s="1" t="str">
        <f>HYPERLINK("http://genome-euro.ucsc.edu/cgi-bin/hgTracks?position=203123_s_at","UCSC")</f>
        <v>UCSC</v>
      </c>
      <c r="E7726" s="1" t="str">
        <f>HYPERLINK("http://www.ncbi.nlm.nih.gov/gene/?term=SLC11A2","NCBI")</f>
        <v>NCBI</v>
      </c>
      <c r="F7726">
        <v>0.11</v>
      </c>
      <c r="G7726">
        <v>0.25</v>
      </c>
      <c r="H7726" s="1" t="str">
        <f>HYPERLINK("http://www.weizmann.ac.il/complex/compphys/software/geview/data/figures/203123_s_at.png","Figure")</f>
        <v>Figure</v>
      </c>
      <c r="I7726">
        <v>1.49</v>
      </c>
      <c r="J7726">
        <v>0.21</v>
      </c>
      <c r="K7726">
        <v>0.94399999999999995</v>
      </c>
      <c r="L7726">
        <v>0.95</v>
      </c>
      <c r="M7726">
        <v>0.63200000000000001</v>
      </c>
      <c r="N7726">
        <v>0.11</v>
      </c>
    </row>
    <row r="7727" spans="1:14" x14ac:dyDescent="0.25">
      <c r="A7727" t="s">
        <v>13718</v>
      </c>
      <c r="B7727" t="s">
        <v>13719</v>
      </c>
      <c r="C7727" s="1" t="str">
        <f>HYPERLINK("http://www.genecards.org/cgi-bin/carddisp.pl?gene=ZNHIT2","GeneCards")</f>
        <v>GeneCards</v>
      </c>
      <c r="D7727" s="1" t="str">
        <f>HYPERLINK("http://genome-euro.ucsc.edu/cgi-bin/hgTracks?position=219050_s_at","UCSC")</f>
        <v>UCSC</v>
      </c>
      <c r="E7727" s="1" t="str">
        <f>HYPERLINK("http://www.ncbi.nlm.nih.gov/gene/?term=ZNHIT2","NCBI")</f>
        <v>NCBI</v>
      </c>
      <c r="F7727">
        <v>0.11</v>
      </c>
      <c r="G7727">
        <v>0.25</v>
      </c>
      <c r="H7727" s="1" t="str">
        <f>HYPERLINK("http://www.weizmann.ac.il/complex/compphys/software/geview/data/figures/219050_s_at.png","Figure")</f>
        <v>Figure</v>
      </c>
      <c r="I7727">
        <v>1.26</v>
      </c>
      <c r="J7727">
        <v>0.1</v>
      </c>
      <c r="K7727">
        <v>1.1499999999999999</v>
      </c>
      <c r="L7727">
        <v>0.31</v>
      </c>
      <c r="M7727">
        <v>0.91</v>
      </c>
      <c r="N7727">
        <v>0.61</v>
      </c>
    </row>
    <row r="7728" spans="1:14" x14ac:dyDescent="0.25">
      <c r="A7728" t="s">
        <v>13720</v>
      </c>
      <c r="B7728" t="s">
        <v>13721</v>
      </c>
      <c r="C7728" s="1" t="str">
        <f>HYPERLINK("http://www.genecards.org/cgi-bin/carddisp.pl?gene=RPS6KA4","GeneCards")</f>
        <v>GeneCards</v>
      </c>
      <c r="D7728" s="1" t="str">
        <f>HYPERLINK("http://genome-euro.ucsc.edu/cgi-bin/hgTracks?position=204632_at","UCSC")</f>
        <v>UCSC</v>
      </c>
      <c r="E7728" s="1" t="str">
        <f>HYPERLINK("http://www.ncbi.nlm.nih.gov/gene/?term=RPS6KA4","NCBI")</f>
        <v>NCBI</v>
      </c>
      <c r="F7728">
        <v>0.11</v>
      </c>
      <c r="G7728">
        <v>0.25</v>
      </c>
      <c r="H7728" s="1" t="str">
        <f>HYPERLINK("http://www.weizmann.ac.il/complex/compphys/software/geview/data/figures/204632_at.png","Figure")</f>
        <v>Figure</v>
      </c>
      <c r="I7728">
        <v>1.36</v>
      </c>
      <c r="J7728">
        <v>0.11</v>
      </c>
      <c r="K7728">
        <v>1.23</v>
      </c>
      <c r="L7728">
        <v>0.24</v>
      </c>
      <c r="M7728">
        <v>0.90800000000000003</v>
      </c>
      <c r="N7728">
        <v>0.75</v>
      </c>
    </row>
    <row r="7729" spans="1:14" x14ac:dyDescent="0.25">
      <c r="A7729" t="s">
        <v>13722</v>
      </c>
      <c r="B7729" t="s">
        <v>13465</v>
      </c>
      <c r="C7729" s="1" t="str">
        <f>HYPERLINK("http://www.genecards.org/cgi-bin/carddisp.pl?gene=SDHB","GeneCards")</f>
        <v>GeneCards</v>
      </c>
      <c r="D7729" s="1" t="str">
        <f>HYPERLINK("http://genome-euro.ucsc.edu/cgi-bin/hgTracks?position=214166_at","UCSC")</f>
        <v>UCSC</v>
      </c>
      <c r="E7729" s="1" t="str">
        <f>HYPERLINK("http://www.ncbi.nlm.nih.gov/gene/?term=SDHB","NCBI")</f>
        <v>NCBI</v>
      </c>
      <c r="F7729">
        <v>0.11</v>
      </c>
      <c r="G7729">
        <v>0.25</v>
      </c>
      <c r="H7729" s="1" t="str">
        <f>HYPERLINK("http://www.weizmann.ac.il/complex/compphys/software/geview/data/figures/214166_at.png","Figure")</f>
        <v>Figure</v>
      </c>
      <c r="I7729">
        <v>1</v>
      </c>
      <c r="J7729">
        <v>1</v>
      </c>
      <c r="K7729">
        <v>0.93100000000000005</v>
      </c>
      <c r="L7729">
        <v>0.16</v>
      </c>
      <c r="M7729">
        <v>0.93100000000000005</v>
      </c>
      <c r="N7729">
        <v>0.2</v>
      </c>
    </row>
    <row r="7730" spans="1:14" x14ac:dyDescent="0.25">
      <c r="A7730" t="s">
        <v>13723</v>
      </c>
      <c r="B7730" t="s">
        <v>11132</v>
      </c>
      <c r="C7730" s="1" t="str">
        <f>HYPERLINK("http://www.genecards.org/cgi-bin/carddisp.pl?gene=LMF1","GeneCards")</f>
        <v>GeneCards</v>
      </c>
      <c r="D7730" s="1" t="str">
        <f>HYPERLINK("http://genome-euro.ucsc.edu/cgi-bin/hgTracks?position=219135_s_at","UCSC")</f>
        <v>UCSC</v>
      </c>
      <c r="E7730" s="1" t="str">
        <f>HYPERLINK("http://www.ncbi.nlm.nih.gov/gene/?term=LMF1","NCBI")</f>
        <v>NCBI</v>
      </c>
      <c r="F7730">
        <v>0.11</v>
      </c>
      <c r="G7730">
        <v>0.25</v>
      </c>
      <c r="H7730" s="1" t="str">
        <f>HYPERLINK("http://www.weizmann.ac.il/complex/compphys/software/geview/data/figures/219135_s_at.png","Figure")</f>
        <v>Figure</v>
      </c>
      <c r="I7730">
        <v>1.4</v>
      </c>
      <c r="J7730">
        <v>0.11</v>
      </c>
      <c r="K7730">
        <v>1.25</v>
      </c>
      <c r="L7730">
        <v>0.26</v>
      </c>
      <c r="M7730">
        <v>0.89</v>
      </c>
      <c r="N7730">
        <v>0.7</v>
      </c>
    </row>
    <row r="7731" spans="1:14" x14ac:dyDescent="0.25">
      <c r="A7731" t="s">
        <v>13724</v>
      </c>
      <c r="B7731" t="s">
        <v>209</v>
      </c>
      <c r="C7731" s="1" t="str">
        <f>HYPERLINK("http://www.genecards.org/cgi-bin/carddisp.pl?gene=SYT1","GeneCards")</f>
        <v>GeneCards</v>
      </c>
      <c r="D7731" s="1" t="str">
        <f>HYPERLINK("http://genome-euro.ucsc.edu/cgi-bin/hgTracks?position=203998_s_at","UCSC")</f>
        <v>UCSC</v>
      </c>
      <c r="E7731" s="1" t="str">
        <f>HYPERLINK("http://www.ncbi.nlm.nih.gov/gene/?term=SYT1","NCBI")</f>
        <v>NCBI</v>
      </c>
      <c r="F7731">
        <v>0.11</v>
      </c>
      <c r="G7731">
        <v>0.25</v>
      </c>
      <c r="H7731" s="1" t="str">
        <f>HYPERLINK("http://www.weizmann.ac.il/complex/compphys/software/geview/data/figures/203998_s_at.png","Figure")</f>
        <v>Figure</v>
      </c>
      <c r="I7731">
        <v>1.1100000000000001</v>
      </c>
      <c r="J7731">
        <v>0.2</v>
      </c>
      <c r="K7731">
        <v>1.1100000000000001</v>
      </c>
      <c r="L7731">
        <v>0.13</v>
      </c>
      <c r="M7731">
        <v>1</v>
      </c>
      <c r="N7731">
        <v>1</v>
      </c>
    </row>
    <row r="7732" spans="1:14" x14ac:dyDescent="0.25">
      <c r="A7732" t="s">
        <v>13725</v>
      </c>
      <c r="B7732" t="s">
        <v>13726</v>
      </c>
      <c r="C7732" s="1" t="str">
        <f>HYPERLINK("http://www.genecards.org/cgi-bin/carddisp.pl?gene=FANCG","GeneCards")</f>
        <v>GeneCards</v>
      </c>
      <c r="D7732" s="1" t="str">
        <f>HYPERLINK("http://genome-euro.ucsc.edu/cgi-bin/hgTracks?position=203564_at","UCSC")</f>
        <v>UCSC</v>
      </c>
      <c r="E7732" s="1" t="str">
        <f>HYPERLINK("http://www.ncbi.nlm.nih.gov/gene/?term=FANCG","NCBI")</f>
        <v>NCBI</v>
      </c>
      <c r="F7732">
        <v>0.11</v>
      </c>
      <c r="G7732">
        <v>0.25</v>
      </c>
      <c r="H7732" s="1" t="str">
        <f>HYPERLINK("http://www.weizmann.ac.il/complex/compphys/software/geview/data/figures/203564_at.png","Figure")</f>
        <v>Figure</v>
      </c>
      <c r="I7732">
        <v>1.18</v>
      </c>
      <c r="J7732">
        <v>0.36</v>
      </c>
      <c r="K7732">
        <v>0.92200000000000004</v>
      </c>
      <c r="L7732">
        <v>0.71</v>
      </c>
      <c r="M7732">
        <v>0.78100000000000003</v>
      </c>
      <c r="N7732">
        <v>9.5000000000000001E-2</v>
      </c>
    </row>
    <row r="7733" spans="1:14" x14ac:dyDescent="0.25">
      <c r="A7733" t="s">
        <v>13727</v>
      </c>
      <c r="B7733" t="s">
        <v>13728</v>
      </c>
      <c r="C7733" s="1" t="str">
        <f>HYPERLINK("http://www.genecards.org/cgi-bin/carddisp.pl?gene=POU2AF1","GeneCards")</f>
        <v>GeneCards</v>
      </c>
      <c r="D7733" s="1" t="str">
        <f>HYPERLINK("http://genome-euro.ucsc.edu/cgi-bin/hgTracks?position=205267_at","UCSC")</f>
        <v>UCSC</v>
      </c>
      <c r="E7733" s="1" t="str">
        <f>HYPERLINK("http://www.ncbi.nlm.nih.gov/gene/?term=POU2AF1","NCBI")</f>
        <v>NCBI</v>
      </c>
      <c r="F7733">
        <v>0.11</v>
      </c>
      <c r="G7733">
        <v>0.25</v>
      </c>
      <c r="H7733" s="1" t="str">
        <f>HYPERLINK("http://www.weizmann.ac.il/complex/compphys/software/geview/data/figures/205267_at.png","Figure")</f>
        <v>Figure</v>
      </c>
      <c r="I7733">
        <v>0.81200000000000006</v>
      </c>
      <c r="J7733">
        <v>0.69</v>
      </c>
      <c r="K7733">
        <v>0.61199999999999999</v>
      </c>
      <c r="L7733">
        <v>0.1</v>
      </c>
      <c r="M7733">
        <v>0.753</v>
      </c>
      <c r="N7733">
        <v>0.47</v>
      </c>
    </row>
    <row r="7734" spans="1:14" x14ac:dyDescent="0.25">
      <c r="A7734" t="s">
        <v>13729</v>
      </c>
      <c r="B7734" t="s">
        <v>13730</v>
      </c>
      <c r="C7734" s="1" t="str">
        <f>HYPERLINK("http://www.genecards.org/cgi-bin/carddisp.pl?gene=KISS1","GeneCards")</f>
        <v>GeneCards</v>
      </c>
      <c r="D7734" s="1" t="str">
        <f>HYPERLINK("http://genome-euro.ucsc.edu/cgi-bin/hgTracks?position=205563_at","UCSC")</f>
        <v>UCSC</v>
      </c>
      <c r="E7734" s="1" t="str">
        <f>HYPERLINK("http://www.ncbi.nlm.nih.gov/gene/?term=KISS1","NCBI")</f>
        <v>NCBI</v>
      </c>
      <c r="F7734">
        <v>0.11</v>
      </c>
      <c r="G7734">
        <v>0.25</v>
      </c>
      <c r="H7734" s="1" t="str">
        <f>HYPERLINK("http://www.weizmann.ac.il/complex/compphys/software/geview/data/figures/205563_at.png","Figure")</f>
        <v>Figure</v>
      </c>
      <c r="I7734">
        <v>1.07</v>
      </c>
      <c r="J7734">
        <v>0.17</v>
      </c>
      <c r="K7734">
        <v>1.06</v>
      </c>
      <c r="L7734">
        <v>0.15</v>
      </c>
      <c r="M7734">
        <v>0.99399999999999999</v>
      </c>
      <c r="N7734">
        <v>0.98</v>
      </c>
    </row>
    <row r="7735" spans="1:14" x14ac:dyDescent="0.25">
      <c r="A7735" t="s">
        <v>13731</v>
      </c>
      <c r="B7735" t="s">
        <v>13732</v>
      </c>
      <c r="C7735" s="1" t="str">
        <f>HYPERLINK("http://www.genecards.org/cgi-bin/carddisp.pl?gene=TGM2","GeneCards")</f>
        <v>GeneCards</v>
      </c>
      <c r="D7735" s="1" t="str">
        <f>HYPERLINK("http://genome-euro.ucsc.edu/cgi-bin/hgTracks?position=216183_at","UCSC")</f>
        <v>UCSC</v>
      </c>
      <c r="E7735" s="1" t="str">
        <f>HYPERLINK("http://www.ncbi.nlm.nih.gov/gene/?term=TGM2","NCBI")</f>
        <v>NCBI</v>
      </c>
      <c r="F7735">
        <v>0.11</v>
      </c>
      <c r="G7735">
        <v>0.25</v>
      </c>
      <c r="H7735" s="1" t="str">
        <f>HYPERLINK("http://www.weizmann.ac.il/complex/compphys/software/geview/data/figures/216183_at.png","Figure")</f>
        <v>Figure</v>
      </c>
      <c r="I7735">
        <v>1.1299999999999999</v>
      </c>
      <c r="J7735">
        <v>0.14000000000000001</v>
      </c>
      <c r="K7735">
        <v>1.01</v>
      </c>
      <c r="L7735">
        <v>0.97</v>
      </c>
      <c r="M7735">
        <v>0.89200000000000002</v>
      </c>
      <c r="N7735">
        <v>0.15</v>
      </c>
    </row>
    <row r="7736" spans="1:14" x14ac:dyDescent="0.25">
      <c r="A7736" t="s">
        <v>13733</v>
      </c>
      <c r="B7736" t="s">
        <v>13734</v>
      </c>
      <c r="C7736" s="1" t="str">
        <f>HYPERLINK("http://www.genecards.org/cgi-bin/carddisp.pl?gene=GRHPR","GeneCards")</f>
        <v>GeneCards</v>
      </c>
      <c r="D7736" s="1" t="str">
        <f>HYPERLINK("http://genome-euro.ucsc.edu/cgi-bin/hgTracks?position=216308_x_at","UCSC")</f>
        <v>UCSC</v>
      </c>
      <c r="E7736" s="1" t="str">
        <f>HYPERLINK("http://www.ncbi.nlm.nih.gov/gene/?term=GRHPR","NCBI")</f>
        <v>NCBI</v>
      </c>
      <c r="F7736">
        <v>0.11</v>
      </c>
      <c r="G7736">
        <v>0.25</v>
      </c>
      <c r="H7736" s="1" t="str">
        <f>HYPERLINK("http://www.weizmann.ac.il/complex/compphys/software/geview/data/figures/216308_x_at.png","Figure")</f>
        <v>Figure</v>
      </c>
      <c r="I7736">
        <v>0.80500000000000005</v>
      </c>
      <c r="J7736">
        <v>0.51</v>
      </c>
      <c r="K7736">
        <v>1.21</v>
      </c>
      <c r="L7736">
        <v>0.52</v>
      </c>
      <c r="M7736">
        <v>1.5</v>
      </c>
      <c r="N7736">
        <v>9.8000000000000004E-2</v>
      </c>
    </row>
    <row r="7737" spans="1:14" x14ac:dyDescent="0.25">
      <c r="A7737" t="s">
        <v>13735</v>
      </c>
      <c r="B7737" t="s">
        <v>13736</v>
      </c>
      <c r="C7737" s="1" t="str">
        <f>HYPERLINK("http://www.genecards.org/cgi-bin/carddisp.pl?gene=PRPF6","GeneCards")</f>
        <v>GeneCards</v>
      </c>
      <c r="D7737" s="1" t="str">
        <f>HYPERLINK("http://genome-euro.ucsc.edu/cgi-bin/hgTracks?position=208880_s_at","UCSC")</f>
        <v>UCSC</v>
      </c>
      <c r="E7737" s="1" t="str">
        <f>HYPERLINK("http://www.ncbi.nlm.nih.gov/gene/?term=PRPF6","NCBI")</f>
        <v>NCBI</v>
      </c>
      <c r="F7737">
        <v>0.11</v>
      </c>
      <c r="G7737">
        <v>0.25</v>
      </c>
      <c r="H7737" s="1" t="str">
        <f>HYPERLINK("http://www.weizmann.ac.il/complex/compphys/software/geview/data/figures/208880_s_at.png","Figure")</f>
        <v>Figure</v>
      </c>
      <c r="I7737">
        <v>1.21</v>
      </c>
      <c r="J7737">
        <v>0.33</v>
      </c>
      <c r="K7737">
        <v>1.28</v>
      </c>
      <c r="L7737">
        <v>0.1</v>
      </c>
      <c r="M7737">
        <v>1.06</v>
      </c>
      <c r="N7737">
        <v>0.86</v>
      </c>
    </row>
    <row r="7738" spans="1:14" x14ac:dyDescent="0.25">
      <c r="A7738" t="s">
        <v>13737</v>
      </c>
      <c r="B7738" t="s">
        <v>802</v>
      </c>
      <c r="C7738" s="1" t="str">
        <f>HYPERLINK("http://www.genecards.org/cgi-bin/carddisp.pl?gene=PDCD6","GeneCards")</f>
        <v>GeneCards</v>
      </c>
      <c r="D7738" s="1" t="str">
        <f>HYPERLINK("http://genome-euro.ucsc.edu/cgi-bin/hgTracks?position=222381_at","UCSC")</f>
        <v>UCSC</v>
      </c>
      <c r="E7738" s="1" t="str">
        <f>HYPERLINK("http://www.ncbi.nlm.nih.gov/gene/?term=PDCD6","NCBI")</f>
        <v>NCBI</v>
      </c>
      <c r="F7738">
        <v>0.11</v>
      </c>
      <c r="G7738">
        <v>0.25</v>
      </c>
      <c r="H7738" s="1" t="str">
        <f>HYPERLINK("http://www.weizmann.ac.il/complex/compphys/software/geview/data/figures/222381_at.png","Figure")</f>
        <v>Figure</v>
      </c>
      <c r="I7738">
        <v>1.1200000000000001</v>
      </c>
      <c r="J7738">
        <v>0.1</v>
      </c>
      <c r="K7738">
        <v>1.07</v>
      </c>
      <c r="L7738">
        <v>0.3</v>
      </c>
      <c r="M7738">
        <v>0.95699999999999996</v>
      </c>
      <c r="N7738">
        <v>0.64</v>
      </c>
    </row>
    <row r="7739" spans="1:14" x14ac:dyDescent="0.25">
      <c r="A7739" t="s">
        <v>13738</v>
      </c>
      <c r="B7739" t="s">
        <v>10697</v>
      </c>
      <c r="C7739" s="1" t="str">
        <f>HYPERLINK("http://www.genecards.org/cgi-bin/carddisp.pl?gene=RARA","GeneCards")</f>
        <v>GeneCards</v>
      </c>
      <c r="D7739" s="1" t="str">
        <f>HYPERLINK("http://genome-euro.ucsc.edu/cgi-bin/hgTracks?position=216300_x_at","UCSC")</f>
        <v>UCSC</v>
      </c>
      <c r="E7739" s="1" t="str">
        <f>HYPERLINK("http://www.ncbi.nlm.nih.gov/gene/?term=RARA","NCBI")</f>
        <v>NCBI</v>
      </c>
      <c r="F7739">
        <v>0.11</v>
      </c>
      <c r="G7739">
        <v>0.25</v>
      </c>
      <c r="H7739" s="1" t="str">
        <f>HYPERLINK("http://www.weizmann.ac.il/complex/compphys/software/geview/data/figures/216300_x_at.png","Figure")</f>
        <v>Figure</v>
      </c>
      <c r="I7739">
        <v>1.2</v>
      </c>
      <c r="J7739">
        <v>0.12</v>
      </c>
      <c r="K7739">
        <v>1.03</v>
      </c>
      <c r="L7739">
        <v>0.93</v>
      </c>
      <c r="M7739">
        <v>0.85799999999999998</v>
      </c>
      <c r="N7739">
        <v>0.17</v>
      </c>
    </row>
    <row r="7740" spans="1:14" x14ac:dyDescent="0.25">
      <c r="A7740" t="s">
        <v>13739</v>
      </c>
      <c r="B7740" t="s">
        <v>13740</v>
      </c>
      <c r="C7740" s="1" t="str">
        <f>HYPERLINK("http://www.genecards.org/cgi-bin/carddisp.pl?gene=ZNF219","GeneCards")</f>
        <v>GeneCards</v>
      </c>
      <c r="D7740" s="1" t="str">
        <f>HYPERLINK("http://genome-euro.ucsc.edu/cgi-bin/hgTracks?position=219314_s_at","UCSC")</f>
        <v>UCSC</v>
      </c>
      <c r="E7740" s="1" t="str">
        <f>HYPERLINK("http://www.ncbi.nlm.nih.gov/gene/?term=ZNF219","NCBI")</f>
        <v>NCBI</v>
      </c>
      <c r="F7740">
        <v>0.11</v>
      </c>
      <c r="G7740">
        <v>0.25</v>
      </c>
      <c r="H7740" s="1" t="str">
        <f>HYPERLINK("http://www.weizmann.ac.il/complex/compphys/software/geview/data/figures/219314_s_at.png","Figure")</f>
        <v>Figure</v>
      </c>
      <c r="I7740">
        <v>1.29</v>
      </c>
      <c r="J7740">
        <v>9.6000000000000002E-2</v>
      </c>
      <c r="K7740">
        <v>1.1100000000000001</v>
      </c>
      <c r="L7740">
        <v>0.56000000000000005</v>
      </c>
      <c r="M7740">
        <v>0.86</v>
      </c>
      <c r="N7740">
        <v>0.34</v>
      </c>
    </row>
    <row r="7741" spans="1:14" x14ac:dyDescent="0.25">
      <c r="A7741" t="s">
        <v>13741</v>
      </c>
      <c r="B7741" t="s">
        <v>13742</v>
      </c>
      <c r="C7741" s="1" t="str">
        <f>HYPERLINK("http://www.genecards.org/cgi-bin/carddisp.pl?gene=GRLF1","GeneCards")</f>
        <v>GeneCards</v>
      </c>
      <c r="D7741" s="1" t="str">
        <f>HYPERLINK("http://genome-euro.ucsc.edu/cgi-bin/hgTracks?position=202045_s_at","UCSC")</f>
        <v>UCSC</v>
      </c>
      <c r="E7741" s="1" t="str">
        <f>HYPERLINK("http://www.ncbi.nlm.nih.gov/gene/?term=GRLF1","NCBI")</f>
        <v>NCBI</v>
      </c>
      <c r="F7741">
        <v>0.11</v>
      </c>
      <c r="G7741">
        <v>0.25</v>
      </c>
      <c r="H7741" s="1" t="str">
        <f>HYPERLINK("http://www.weizmann.ac.il/complex/compphys/software/geview/data/figures/202045_s_at.png","Figure")</f>
        <v>Figure</v>
      </c>
      <c r="I7741">
        <v>1.1499999999999999</v>
      </c>
      <c r="J7741">
        <v>0.27</v>
      </c>
      <c r="K7741">
        <v>1.18</v>
      </c>
      <c r="L7741">
        <v>0.11</v>
      </c>
      <c r="M7741">
        <v>1.03</v>
      </c>
      <c r="N7741">
        <v>0.95</v>
      </c>
    </row>
    <row r="7742" spans="1:14" x14ac:dyDescent="0.25">
      <c r="A7742" t="s">
        <v>13743</v>
      </c>
      <c r="B7742" t="s">
        <v>13744</v>
      </c>
      <c r="C7742" s="1" t="str">
        <f>HYPERLINK("http://www.genecards.org/cgi-bin/carddisp.pl?gene=DUSP12","GeneCards")</f>
        <v>GeneCards</v>
      </c>
      <c r="D7742" s="1" t="str">
        <f>HYPERLINK("http://genome-euro.ucsc.edu/cgi-bin/hgTracks?position=218576_s_at","UCSC")</f>
        <v>UCSC</v>
      </c>
      <c r="E7742" s="1" t="str">
        <f>HYPERLINK("http://www.ncbi.nlm.nih.gov/gene/?term=DUSP12","NCBI")</f>
        <v>NCBI</v>
      </c>
      <c r="F7742">
        <v>0.11</v>
      </c>
      <c r="G7742">
        <v>0.25</v>
      </c>
      <c r="H7742" s="1" t="str">
        <f>HYPERLINK("http://www.weizmann.ac.il/complex/compphys/software/geview/data/figures/218576_s_at.png","Figure")</f>
        <v>Figure</v>
      </c>
      <c r="I7742">
        <v>1.45</v>
      </c>
      <c r="J7742">
        <v>0.1</v>
      </c>
      <c r="K7742">
        <v>1.1100000000000001</v>
      </c>
      <c r="L7742">
        <v>0.75</v>
      </c>
      <c r="M7742">
        <v>0.76800000000000002</v>
      </c>
      <c r="N7742">
        <v>0.24</v>
      </c>
    </row>
    <row r="7743" spans="1:14" x14ac:dyDescent="0.25">
      <c r="A7743" t="s">
        <v>13745</v>
      </c>
      <c r="B7743" t="s">
        <v>13746</v>
      </c>
      <c r="C7743" s="1" t="str">
        <f>HYPERLINK("http://www.genecards.org/cgi-bin/carddisp.pl?gene=HIST1H2BC","GeneCards")</f>
        <v>GeneCards</v>
      </c>
      <c r="D7743" s="1" t="str">
        <f>HYPERLINK("http://genome-euro.ucsc.edu/cgi-bin/hgTracks?position=214455_at","UCSC")</f>
        <v>UCSC</v>
      </c>
      <c r="E7743" s="1" t="str">
        <f>HYPERLINK("http://www.ncbi.nlm.nih.gov/gene/?term=HIST1H2BC","NCBI")</f>
        <v>NCBI</v>
      </c>
      <c r="F7743">
        <v>0.11</v>
      </c>
      <c r="G7743">
        <v>0.25</v>
      </c>
      <c r="H7743" s="1" t="str">
        <f>HYPERLINK("http://www.weizmann.ac.il/complex/compphys/software/geview/data/figures/214455_at.png","Figure")</f>
        <v>Figure</v>
      </c>
      <c r="I7743">
        <v>0.64800000000000002</v>
      </c>
      <c r="J7743">
        <v>0.55000000000000004</v>
      </c>
      <c r="K7743">
        <v>0.44600000000000001</v>
      </c>
      <c r="L7743">
        <v>9.6000000000000002E-2</v>
      </c>
      <c r="M7743">
        <v>0.68899999999999995</v>
      </c>
      <c r="N7743">
        <v>0.6</v>
      </c>
    </row>
    <row r="7744" spans="1:14" x14ac:dyDescent="0.25">
      <c r="A7744" t="s">
        <v>13747</v>
      </c>
      <c r="B7744" t="s">
        <v>13748</v>
      </c>
      <c r="C7744" s="1" t="str">
        <f>HYPERLINK("http://www.genecards.org/cgi-bin/carddisp.pl?gene=RBMX2","GeneCards")</f>
        <v>GeneCards</v>
      </c>
      <c r="D7744" s="1" t="str">
        <f>HYPERLINK("http://genome-euro.ucsc.edu/cgi-bin/hgTracks?position=204098_at","UCSC")</f>
        <v>UCSC</v>
      </c>
      <c r="E7744" s="1" t="str">
        <f>HYPERLINK("http://www.ncbi.nlm.nih.gov/gene/?term=RBMX2","NCBI")</f>
        <v>NCBI</v>
      </c>
      <c r="F7744">
        <v>0.11</v>
      </c>
      <c r="G7744">
        <v>0.25</v>
      </c>
      <c r="H7744" s="1" t="str">
        <f>HYPERLINK("http://www.weizmann.ac.il/complex/compphys/software/geview/data/figures/204098_at.png","Figure")</f>
        <v>Figure</v>
      </c>
      <c r="I7744">
        <v>0.75900000000000001</v>
      </c>
      <c r="J7744">
        <v>0.11</v>
      </c>
      <c r="K7744">
        <v>0.94199999999999995</v>
      </c>
      <c r="L7744">
        <v>0.85</v>
      </c>
      <c r="M7744">
        <v>1.24</v>
      </c>
      <c r="N7744">
        <v>0.2</v>
      </c>
    </row>
    <row r="7745" spans="1:14" x14ac:dyDescent="0.25">
      <c r="A7745" t="s">
        <v>13749</v>
      </c>
      <c r="B7745" t="s">
        <v>13750</v>
      </c>
      <c r="C7745" s="1" t="str">
        <f>HYPERLINK("http://www.genecards.org/cgi-bin/carddisp.pl?gene=KCNN4","GeneCards")</f>
        <v>GeneCards</v>
      </c>
      <c r="D7745" s="1" t="str">
        <f>HYPERLINK("http://genome-euro.ucsc.edu/cgi-bin/hgTracks?position=204401_at","UCSC")</f>
        <v>UCSC</v>
      </c>
      <c r="E7745" s="1" t="str">
        <f>HYPERLINK("http://www.ncbi.nlm.nih.gov/gene/?term=KCNN4","NCBI")</f>
        <v>NCBI</v>
      </c>
      <c r="F7745">
        <v>0.11</v>
      </c>
      <c r="G7745">
        <v>0.25</v>
      </c>
      <c r="H7745" s="1" t="str">
        <f>HYPERLINK("http://www.weizmann.ac.il/complex/compphys/software/geview/data/figures/204401_at.png","Figure")</f>
        <v>Figure</v>
      </c>
      <c r="I7745">
        <v>1.33</v>
      </c>
      <c r="J7745">
        <v>9.7000000000000003E-2</v>
      </c>
      <c r="K7745">
        <v>1.1499999999999999</v>
      </c>
      <c r="L7745">
        <v>0.42</v>
      </c>
      <c r="M7745">
        <v>0.86899999999999999</v>
      </c>
      <c r="N7745">
        <v>0.47</v>
      </c>
    </row>
    <row r="7746" spans="1:14" x14ac:dyDescent="0.25">
      <c r="A7746" t="s">
        <v>13751</v>
      </c>
      <c r="B7746" t="s">
        <v>13752</v>
      </c>
      <c r="C7746" s="1" t="str">
        <f>HYPERLINK("http://www.genecards.org/cgi-bin/carddisp.pl?gene=OSGEP","GeneCards")</f>
        <v>GeneCards</v>
      </c>
      <c r="D7746" s="1" t="str">
        <f>HYPERLINK("http://genome-euro.ucsc.edu/cgi-bin/hgTracks?position=209450_at","UCSC")</f>
        <v>UCSC</v>
      </c>
      <c r="E7746" s="1" t="str">
        <f>HYPERLINK("http://www.ncbi.nlm.nih.gov/gene/?term=OSGEP","NCBI")</f>
        <v>NCBI</v>
      </c>
      <c r="F7746">
        <v>0.11</v>
      </c>
      <c r="G7746">
        <v>0.25</v>
      </c>
      <c r="H7746" s="1" t="str">
        <f>HYPERLINK("http://www.weizmann.ac.il/complex/compphys/software/geview/data/figures/209450_at.png","Figure")</f>
        <v>Figure</v>
      </c>
      <c r="I7746">
        <v>0.77900000000000003</v>
      </c>
      <c r="J7746">
        <v>0.37</v>
      </c>
      <c r="K7746">
        <v>1.1399999999999999</v>
      </c>
      <c r="L7746">
        <v>0.7</v>
      </c>
      <c r="M7746">
        <v>1.46</v>
      </c>
      <c r="N7746">
        <v>9.6000000000000002E-2</v>
      </c>
    </row>
    <row r="7747" spans="1:14" x14ac:dyDescent="0.25">
      <c r="A7747" t="s">
        <v>13753</v>
      </c>
      <c r="B7747" t="s">
        <v>13754</v>
      </c>
      <c r="C7747" s="1" t="str">
        <f>HYPERLINK("http://www.genecards.org/cgi-bin/carddisp.pl?gene=CAPZA2","GeneCards")</f>
        <v>GeneCards</v>
      </c>
      <c r="D7747" s="1" t="str">
        <f>HYPERLINK("http://genome-euro.ucsc.edu/cgi-bin/hgTracks?position=201238_s_at","UCSC")</f>
        <v>UCSC</v>
      </c>
      <c r="E7747" s="1" t="str">
        <f>HYPERLINK("http://www.ncbi.nlm.nih.gov/gene/?term=CAPZA2","NCBI")</f>
        <v>NCBI</v>
      </c>
      <c r="F7747">
        <v>0.11</v>
      </c>
      <c r="G7747">
        <v>0.25</v>
      </c>
      <c r="H7747" s="1" t="str">
        <f>HYPERLINK("http://www.weizmann.ac.il/complex/compphys/software/geview/data/figures/201238_s_at.png","Figure")</f>
        <v>Figure</v>
      </c>
      <c r="I7747">
        <v>0.70199999999999996</v>
      </c>
      <c r="J7747">
        <v>0.28999999999999998</v>
      </c>
      <c r="K7747">
        <v>0.64900000000000002</v>
      </c>
      <c r="L7747">
        <v>0.11</v>
      </c>
      <c r="M7747">
        <v>0.92500000000000004</v>
      </c>
      <c r="N7747">
        <v>0.93</v>
      </c>
    </row>
    <row r="7748" spans="1:14" x14ac:dyDescent="0.25">
      <c r="A7748" t="s">
        <v>13755</v>
      </c>
      <c r="B7748" t="s">
        <v>13756</v>
      </c>
      <c r="C7748" s="1" t="str">
        <f>HYPERLINK("http://www.genecards.org/cgi-bin/carddisp.pl?gene=EGOT","GeneCards")</f>
        <v>GeneCards</v>
      </c>
      <c r="D7748" s="1" t="str">
        <f>HYPERLINK("http://genome-euro.ucsc.edu/cgi-bin/hgTracks?position=222314_x_at","UCSC")</f>
        <v>UCSC</v>
      </c>
      <c r="E7748" s="1" t="str">
        <f>HYPERLINK("http://www.ncbi.nlm.nih.gov/gene/?term=EGOT","NCBI")</f>
        <v>NCBI</v>
      </c>
      <c r="F7748">
        <v>0.11</v>
      </c>
      <c r="G7748">
        <v>0.25</v>
      </c>
      <c r="H7748" s="1" t="str">
        <f>HYPERLINK("http://www.weizmann.ac.il/complex/compphys/software/geview/data/figures/222314_x_at.png","Figure")</f>
        <v>Figure</v>
      </c>
      <c r="I7748">
        <v>1.2</v>
      </c>
      <c r="J7748">
        <v>9.9000000000000005E-2</v>
      </c>
      <c r="K7748">
        <v>1.07</v>
      </c>
      <c r="L7748">
        <v>0.66</v>
      </c>
      <c r="M7748">
        <v>0.88500000000000001</v>
      </c>
      <c r="N7748">
        <v>0.28999999999999998</v>
      </c>
    </row>
    <row r="7749" spans="1:14" x14ac:dyDescent="0.25">
      <c r="A7749" t="s">
        <v>13757</v>
      </c>
      <c r="B7749" t="s">
        <v>13758</v>
      </c>
      <c r="C7749" s="1" t="str">
        <f>HYPERLINK("http://www.genecards.org/cgi-bin/carddisp.pl?gene=CLIC4","GeneCards")</f>
        <v>GeneCards</v>
      </c>
      <c r="D7749" s="1" t="str">
        <f>HYPERLINK("http://genome-euro.ucsc.edu/cgi-bin/hgTracks?position=201559_s_at","UCSC")</f>
        <v>UCSC</v>
      </c>
      <c r="E7749" s="1" t="str">
        <f>HYPERLINK("http://www.ncbi.nlm.nih.gov/gene/?term=CLIC4","NCBI")</f>
        <v>NCBI</v>
      </c>
      <c r="F7749">
        <v>0.11</v>
      </c>
      <c r="G7749">
        <v>0.25</v>
      </c>
      <c r="H7749" s="1" t="str">
        <f>HYPERLINK("http://www.weizmann.ac.il/complex/compphys/software/geview/data/figures/201559_s_at.png","Figure")</f>
        <v>Figure</v>
      </c>
      <c r="I7749">
        <v>1.22</v>
      </c>
      <c r="J7749">
        <v>0.18</v>
      </c>
      <c r="K7749">
        <v>0.98699999999999999</v>
      </c>
      <c r="L7749">
        <v>0.99</v>
      </c>
      <c r="M7749">
        <v>0.80700000000000005</v>
      </c>
      <c r="N7749">
        <v>0.12</v>
      </c>
    </row>
    <row r="7750" spans="1:14" x14ac:dyDescent="0.25">
      <c r="A7750" t="s">
        <v>13759</v>
      </c>
      <c r="B7750" t="s">
        <v>6658</v>
      </c>
      <c r="C7750" s="1" t="str">
        <f>HYPERLINK("http://www.genecards.org/cgi-bin/carddisp.pl?gene=TIAL1","GeneCards")</f>
        <v>GeneCards</v>
      </c>
      <c r="D7750" s="1" t="str">
        <f>HYPERLINK("http://genome-euro.ucsc.edu/cgi-bin/hgTracks?position=202406_s_at","UCSC")</f>
        <v>UCSC</v>
      </c>
      <c r="E7750" s="1" t="str">
        <f>HYPERLINK("http://www.ncbi.nlm.nih.gov/gene/?term=TIAL1","NCBI")</f>
        <v>NCBI</v>
      </c>
      <c r="F7750">
        <v>0.11</v>
      </c>
      <c r="G7750">
        <v>0.25</v>
      </c>
      <c r="H7750" s="1" t="str">
        <f>HYPERLINK("http://www.weizmann.ac.il/complex/compphys/software/geview/data/figures/202406_s_at.png","Figure")</f>
        <v>Figure</v>
      </c>
      <c r="I7750">
        <v>0.871</v>
      </c>
      <c r="J7750">
        <v>0.74</v>
      </c>
      <c r="K7750">
        <v>0.7</v>
      </c>
      <c r="L7750">
        <v>0.1</v>
      </c>
      <c r="M7750">
        <v>0.80400000000000005</v>
      </c>
      <c r="N7750">
        <v>0.43</v>
      </c>
    </row>
    <row r="7751" spans="1:14" x14ac:dyDescent="0.25">
      <c r="A7751" t="s">
        <v>13760</v>
      </c>
      <c r="B7751" t="s">
        <v>13761</v>
      </c>
      <c r="C7751" s="1" t="str">
        <f>HYPERLINK("http://www.genecards.org/cgi-bin/carddisp.pl?gene=PCYT2","GeneCards")</f>
        <v>GeneCards</v>
      </c>
      <c r="D7751" s="1" t="str">
        <f>HYPERLINK("http://genome-euro.ucsc.edu/cgi-bin/hgTracks?position=209577_at","UCSC")</f>
        <v>UCSC</v>
      </c>
      <c r="E7751" s="1" t="str">
        <f>HYPERLINK("http://www.ncbi.nlm.nih.gov/gene/?term=PCYT2","NCBI")</f>
        <v>NCBI</v>
      </c>
      <c r="F7751">
        <v>0.11</v>
      </c>
      <c r="G7751">
        <v>0.25</v>
      </c>
      <c r="H7751" s="1" t="str">
        <f>HYPERLINK("http://www.weizmann.ac.il/complex/compphys/software/geview/data/figures/209577_at.png","Figure")</f>
        <v>Figure</v>
      </c>
      <c r="I7751">
        <v>1.06</v>
      </c>
      <c r="J7751">
        <v>0.71</v>
      </c>
      <c r="K7751">
        <v>1.1599999999999999</v>
      </c>
      <c r="L7751">
        <v>0.1</v>
      </c>
      <c r="M7751">
        <v>1.0900000000000001</v>
      </c>
      <c r="N7751">
        <v>0.45</v>
      </c>
    </row>
    <row r="7752" spans="1:14" x14ac:dyDescent="0.25">
      <c r="A7752" t="s">
        <v>13762</v>
      </c>
      <c r="B7752" t="s">
        <v>13763</v>
      </c>
      <c r="C7752" s="1" t="str">
        <f>HYPERLINK("http://www.genecards.org/cgi-bin/carddisp.pl?gene=DYNC1I2","GeneCards")</f>
        <v>GeneCards</v>
      </c>
      <c r="D7752" s="1" t="str">
        <f>HYPERLINK("http://genome-euro.ucsc.edu/cgi-bin/hgTracks?position=211684_s_at","UCSC")</f>
        <v>UCSC</v>
      </c>
      <c r="E7752" s="1" t="str">
        <f>HYPERLINK("http://www.ncbi.nlm.nih.gov/gene/?term=DYNC1I2","NCBI")</f>
        <v>NCBI</v>
      </c>
      <c r="F7752">
        <v>0.11</v>
      </c>
      <c r="G7752">
        <v>0.25</v>
      </c>
      <c r="H7752" s="1" t="str">
        <f>HYPERLINK("http://www.weizmann.ac.il/complex/compphys/software/geview/data/figures/211684_s_at.png","Figure")</f>
        <v>Figure</v>
      </c>
      <c r="I7752">
        <v>1.26</v>
      </c>
      <c r="J7752">
        <v>0.47</v>
      </c>
      <c r="K7752">
        <v>1.45</v>
      </c>
      <c r="L7752">
        <v>9.6000000000000002E-2</v>
      </c>
      <c r="M7752">
        <v>1.1499999999999999</v>
      </c>
      <c r="N7752">
        <v>0.7</v>
      </c>
    </row>
    <row r="7753" spans="1:14" x14ac:dyDescent="0.25">
      <c r="A7753" t="s">
        <v>13764</v>
      </c>
      <c r="B7753" t="s">
        <v>1292</v>
      </c>
      <c r="C7753" s="1" t="str">
        <f>HYPERLINK("http://www.genecards.org/cgi-bin/carddisp.pl?gene=SPTBN1","GeneCards")</f>
        <v>GeneCards</v>
      </c>
      <c r="D7753" s="1" t="str">
        <f>HYPERLINK("http://genome-euro.ucsc.edu/cgi-bin/hgTracks?position=212071_s_at","UCSC")</f>
        <v>UCSC</v>
      </c>
      <c r="E7753" s="1" t="str">
        <f>HYPERLINK("http://www.ncbi.nlm.nih.gov/gene/?term=SPTBN1","NCBI")</f>
        <v>NCBI</v>
      </c>
      <c r="F7753">
        <v>0.11</v>
      </c>
      <c r="G7753">
        <v>0.25</v>
      </c>
      <c r="H7753" s="1" t="str">
        <f>HYPERLINK("http://www.weizmann.ac.il/complex/compphys/software/geview/data/figures/212071_s_at.png","Figure")</f>
        <v>Figure</v>
      </c>
      <c r="I7753">
        <v>1.42</v>
      </c>
      <c r="J7753">
        <v>0.25</v>
      </c>
      <c r="K7753">
        <v>0.92200000000000004</v>
      </c>
      <c r="L7753">
        <v>0.9</v>
      </c>
      <c r="M7753">
        <v>0.64900000000000002</v>
      </c>
      <c r="N7753">
        <v>0.1</v>
      </c>
    </row>
    <row r="7754" spans="1:14" x14ac:dyDescent="0.25">
      <c r="A7754" t="s">
        <v>13765</v>
      </c>
      <c r="B7754" t="s">
        <v>13766</v>
      </c>
      <c r="C7754" s="1" t="str">
        <f>HYPERLINK("http://www.genecards.org/cgi-bin/carddisp.pl?gene=TESC","GeneCards")</f>
        <v>GeneCards</v>
      </c>
      <c r="D7754" s="1" t="str">
        <f>HYPERLINK("http://genome-euro.ucsc.edu/cgi-bin/hgTracks?position=218872_at","UCSC")</f>
        <v>UCSC</v>
      </c>
      <c r="E7754" s="1" t="str">
        <f>HYPERLINK("http://www.ncbi.nlm.nih.gov/gene/?term=TESC","NCBI")</f>
        <v>NCBI</v>
      </c>
      <c r="F7754">
        <v>0.11</v>
      </c>
      <c r="G7754">
        <v>0.25</v>
      </c>
      <c r="H7754" s="1" t="str">
        <f>HYPERLINK("http://www.weizmann.ac.il/complex/compphys/software/geview/data/figures/218872_at.png","Figure")</f>
        <v>Figure</v>
      </c>
      <c r="I7754">
        <v>1.1000000000000001</v>
      </c>
      <c r="J7754">
        <v>0.55000000000000004</v>
      </c>
      <c r="K7754">
        <v>0.91300000000000003</v>
      </c>
      <c r="L7754">
        <v>0.48</v>
      </c>
      <c r="M7754">
        <v>0.83299999999999996</v>
      </c>
      <c r="N7754">
        <v>0.1</v>
      </c>
    </row>
    <row r="7755" spans="1:14" x14ac:dyDescent="0.25">
      <c r="A7755" t="s">
        <v>13767</v>
      </c>
      <c r="B7755" t="s">
        <v>13768</v>
      </c>
      <c r="C7755" s="1" t="str">
        <f>HYPERLINK("http://www.genecards.org/cgi-bin/carddisp.pl?gene=THAP1","GeneCards")</f>
        <v>GeneCards</v>
      </c>
      <c r="D7755" s="1" t="str">
        <f>HYPERLINK("http://genome-euro.ucsc.edu/cgi-bin/hgTracks?position=219292_at","UCSC")</f>
        <v>UCSC</v>
      </c>
      <c r="E7755" s="1" t="str">
        <f>HYPERLINK("http://www.ncbi.nlm.nih.gov/gene/?term=THAP1","NCBI")</f>
        <v>NCBI</v>
      </c>
      <c r="F7755">
        <v>0.11</v>
      </c>
      <c r="G7755">
        <v>0.25</v>
      </c>
      <c r="H7755" s="1" t="str">
        <f>HYPERLINK("http://www.weizmann.ac.il/complex/compphys/software/geview/data/figures/219292_at.png","Figure")</f>
        <v>Figure</v>
      </c>
      <c r="I7755">
        <v>0.77600000000000002</v>
      </c>
      <c r="J7755">
        <v>0.13</v>
      </c>
      <c r="K7755">
        <v>0.97199999999999998</v>
      </c>
      <c r="L7755">
        <v>0.96</v>
      </c>
      <c r="M7755">
        <v>1.25</v>
      </c>
      <c r="N7755">
        <v>0.16</v>
      </c>
    </row>
    <row r="7756" spans="1:14" x14ac:dyDescent="0.25">
      <c r="A7756" t="s">
        <v>13769</v>
      </c>
      <c r="B7756" t="s">
        <v>13770</v>
      </c>
      <c r="C7756" s="1" t="str">
        <f>HYPERLINK("http://www.genecards.org/cgi-bin/carddisp.pl?gene=PHACTR2","GeneCards")</f>
        <v>GeneCards</v>
      </c>
      <c r="D7756" s="1" t="str">
        <f>HYPERLINK("http://genome-euro.ucsc.edu/cgi-bin/hgTracks?position=204048_s_at","UCSC")</f>
        <v>UCSC</v>
      </c>
      <c r="E7756" s="1" t="str">
        <f>HYPERLINK("http://www.ncbi.nlm.nih.gov/gene/?term=PHACTR2","NCBI")</f>
        <v>NCBI</v>
      </c>
      <c r="F7756">
        <v>0.11</v>
      </c>
      <c r="G7756">
        <v>0.25</v>
      </c>
      <c r="H7756" s="1" t="str">
        <f>HYPERLINK("http://www.weizmann.ac.il/complex/compphys/software/geview/data/figures/204048_s_at.png","Figure")</f>
        <v>Figure</v>
      </c>
      <c r="I7756">
        <v>1.03</v>
      </c>
      <c r="J7756">
        <v>0.2</v>
      </c>
      <c r="K7756">
        <v>1.03</v>
      </c>
      <c r="L7756">
        <v>0.13</v>
      </c>
      <c r="M7756">
        <v>1</v>
      </c>
      <c r="N7756">
        <v>1</v>
      </c>
    </row>
    <row r="7757" spans="1:14" x14ac:dyDescent="0.25">
      <c r="A7757" t="s">
        <v>13771</v>
      </c>
      <c r="B7757" t="s">
        <v>13772</v>
      </c>
      <c r="C7757" s="1" t="str">
        <f>HYPERLINK("http://www.genecards.org/cgi-bin/carddisp.pl?gene=NIPA2","GeneCards")</f>
        <v>GeneCards</v>
      </c>
      <c r="D7757" s="1" t="str">
        <f>HYPERLINK("http://genome-euro.ucsc.edu/cgi-bin/hgTracks?position=212129_at","UCSC")</f>
        <v>UCSC</v>
      </c>
      <c r="E7757" s="1" t="str">
        <f>HYPERLINK("http://www.ncbi.nlm.nih.gov/gene/?term=NIPA2","NCBI")</f>
        <v>NCBI</v>
      </c>
      <c r="F7757">
        <v>0.11</v>
      </c>
      <c r="G7757">
        <v>0.25</v>
      </c>
      <c r="H7757" s="1" t="str">
        <f>HYPERLINK("http://www.weizmann.ac.il/complex/compphys/software/geview/data/figures/212129_at.png","Figure")</f>
        <v>Figure</v>
      </c>
      <c r="I7757">
        <v>1.52</v>
      </c>
      <c r="J7757">
        <v>0.11</v>
      </c>
      <c r="K7757">
        <v>1.1200000000000001</v>
      </c>
      <c r="L7757">
        <v>0.79</v>
      </c>
      <c r="M7757">
        <v>0.73199999999999998</v>
      </c>
      <c r="N7757">
        <v>0.23</v>
      </c>
    </row>
    <row r="7758" spans="1:14" x14ac:dyDescent="0.25">
      <c r="A7758" t="s">
        <v>13773</v>
      </c>
      <c r="B7758" t="s">
        <v>13774</v>
      </c>
      <c r="C7758" s="1" t="str">
        <f>HYPERLINK("http://www.genecards.org/cgi-bin/carddisp.pl?gene=HTR1D","GeneCards")</f>
        <v>GeneCards</v>
      </c>
      <c r="D7758" s="1" t="str">
        <f>HYPERLINK("http://genome-euro.ucsc.edu/cgi-bin/hgTracks?position=207368_at","UCSC")</f>
        <v>UCSC</v>
      </c>
      <c r="E7758" s="1" t="str">
        <f>HYPERLINK("http://www.ncbi.nlm.nih.gov/gene/?term=HTR1D","NCBI")</f>
        <v>NCBI</v>
      </c>
      <c r="F7758">
        <v>0.11</v>
      </c>
      <c r="G7758">
        <v>0.25</v>
      </c>
      <c r="H7758" s="1" t="str">
        <f>HYPERLINK("http://www.weizmann.ac.il/complex/compphys/software/geview/data/figures/207368_at.png","Figure")</f>
        <v>Figure</v>
      </c>
      <c r="I7758">
        <v>1.1100000000000001</v>
      </c>
      <c r="J7758">
        <v>0.2</v>
      </c>
      <c r="K7758">
        <v>1.1100000000000001</v>
      </c>
      <c r="L7758">
        <v>0.13</v>
      </c>
      <c r="M7758">
        <v>0.999</v>
      </c>
      <c r="N7758">
        <v>1</v>
      </c>
    </row>
    <row r="7759" spans="1:14" x14ac:dyDescent="0.25">
      <c r="A7759" t="s">
        <v>13775</v>
      </c>
      <c r="B7759" t="s">
        <v>13776</v>
      </c>
      <c r="C7759" s="1" t="str">
        <f>HYPERLINK("http://www.genecards.org/cgi-bin/carddisp.pl?gene=C10orf10","GeneCards")</f>
        <v>GeneCards</v>
      </c>
      <c r="D7759" s="1" t="str">
        <f>HYPERLINK("http://genome-euro.ucsc.edu/cgi-bin/hgTracks?position=209182_s_at","UCSC")</f>
        <v>UCSC</v>
      </c>
      <c r="E7759" s="1" t="str">
        <f>HYPERLINK("http://www.ncbi.nlm.nih.gov/gene/?term=C10orf10","NCBI")</f>
        <v>NCBI</v>
      </c>
      <c r="F7759">
        <v>0.11</v>
      </c>
      <c r="G7759">
        <v>0.25</v>
      </c>
      <c r="H7759" s="1" t="str">
        <f>HYPERLINK("http://www.weizmann.ac.il/complex/compphys/software/geview/data/figures/209182_s_at.png","Figure")</f>
        <v>Figure</v>
      </c>
      <c r="I7759">
        <v>0.97499999999999998</v>
      </c>
      <c r="J7759">
        <v>0.75</v>
      </c>
      <c r="K7759">
        <v>1.05</v>
      </c>
      <c r="L7759">
        <v>0.33</v>
      </c>
      <c r="M7759">
        <v>1.07</v>
      </c>
      <c r="N7759">
        <v>0.12</v>
      </c>
    </row>
    <row r="7760" spans="1:14" x14ac:dyDescent="0.25">
      <c r="A7760" t="s">
        <v>13777</v>
      </c>
      <c r="B7760" t="s">
        <v>12188</v>
      </c>
      <c r="C7760" s="1" t="str">
        <f>HYPERLINK("http://www.genecards.org/cgi-bin/carddisp.pl?gene=KLF6","GeneCards")</f>
        <v>GeneCards</v>
      </c>
      <c r="D7760" s="1" t="str">
        <f>HYPERLINK("http://genome-euro.ucsc.edu/cgi-bin/hgTracks?position=208961_s_at","UCSC")</f>
        <v>UCSC</v>
      </c>
      <c r="E7760" s="1" t="str">
        <f>HYPERLINK("http://www.ncbi.nlm.nih.gov/gene/?term=KLF6","NCBI")</f>
        <v>NCBI</v>
      </c>
      <c r="F7760">
        <v>0.11</v>
      </c>
      <c r="G7760">
        <v>0.25</v>
      </c>
      <c r="H7760" s="1" t="str">
        <f>HYPERLINK("http://www.weizmann.ac.il/complex/compphys/software/geview/data/figures/208961_s_at.png","Figure")</f>
        <v>Figure</v>
      </c>
      <c r="I7760">
        <v>0.56599999999999995</v>
      </c>
      <c r="J7760">
        <v>0.18</v>
      </c>
      <c r="K7760">
        <v>1.04</v>
      </c>
      <c r="L7760">
        <v>0.99</v>
      </c>
      <c r="M7760">
        <v>1.83</v>
      </c>
      <c r="N7760">
        <v>0.12</v>
      </c>
    </row>
    <row r="7761" spans="1:14" x14ac:dyDescent="0.25">
      <c r="A7761" t="s">
        <v>13778</v>
      </c>
      <c r="B7761" t="s">
        <v>13779</v>
      </c>
      <c r="C7761" s="1" t="str">
        <f>HYPERLINK("http://www.genecards.org/cgi-bin/carddisp.pl?gene=TUBA1B","GeneCards")</f>
        <v>GeneCards</v>
      </c>
      <c r="D7761" s="1" t="str">
        <f>HYPERLINK("http://genome-euro.ucsc.edu/cgi-bin/hgTracks?position=211058_x_at","UCSC")</f>
        <v>UCSC</v>
      </c>
      <c r="E7761" s="1" t="str">
        <f>HYPERLINK("http://www.ncbi.nlm.nih.gov/gene/?term=TUBA1B","NCBI")</f>
        <v>NCBI</v>
      </c>
      <c r="F7761">
        <v>0.11</v>
      </c>
      <c r="G7761">
        <v>0.25</v>
      </c>
      <c r="H7761" s="1" t="str">
        <f>HYPERLINK("http://www.weizmann.ac.il/complex/compphys/software/geview/data/figures/211058_x_at.png","Figure")</f>
        <v>Figure</v>
      </c>
      <c r="I7761">
        <v>1.24</v>
      </c>
      <c r="J7761">
        <v>0.5</v>
      </c>
      <c r="K7761">
        <v>1.45</v>
      </c>
      <c r="L7761">
        <v>9.6000000000000002E-2</v>
      </c>
      <c r="M7761">
        <v>1.17</v>
      </c>
      <c r="N7761">
        <v>0.66</v>
      </c>
    </row>
    <row r="7762" spans="1:14" x14ac:dyDescent="0.25">
      <c r="A7762" t="s">
        <v>13780</v>
      </c>
      <c r="B7762" t="s">
        <v>13781</v>
      </c>
      <c r="C7762" s="1" t="str">
        <f>HYPERLINK("http://www.genecards.org/cgi-bin/carddisp.pl?gene=MICA /// MICB","GeneCards")</f>
        <v>GeneCards</v>
      </c>
      <c r="D7762" s="1" t="str">
        <f>HYPERLINK("http://genome-euro.ucsc.edu/cgi-bin/hgTracks?position=205905_s_at","UCSC")</f>
        <v>UCSC</v>
      </c>
      <c r="E7762" s="1" t="str">
        <f>HYPERLINK("http://www.ncbi.nlm.nih.gov/gene/?term=MICA /// MICB","NCBI")</f>
        <v>NCBI</v>
      </c>
      <c r="F7762">
        <v>0.11</v>
      </c>
      <c r="G7762">
        <v>0.25</v>
      </c>
      <c r="H7762" s="1" t="str">
        <f>HYPERLINK("http://www.weizmann.ac.il/complex/compphys/software/geview/data/figures/205905_s_at.png","Figure")</f>
        <v>Figure</v>
      </c>
      <c r="I7762">
        <v>0.94099999999999995</v>
      </c>
      <c r="J7762">
        <v>0.69</v>
      </c>
      <c r="K7762">
        <v>1.0900000000000001</v>
      </c>
      <c r="L7762">
        <v>0.37</v>
      </c>
      <c r="M7762">
        <v>1.1599999999999999</v>
      </c>
      <c r="N7762">
        <v>0.11</v>
      </c>
    </row>
    <row r="7763" spans="1:14" x14ac:dyDescent="0.25">
      <c r="A7763" t="s">
        <v>13782</v>
      </c>
      <c r="B7763" t="s">
        <v>13783</v>
      </c>
      <c r="C7763" s="1" t="str">
        <f>HYPERLINK("http://www.genecards.org/cgi-bin/carddisp.pl?gene=PI3","GeneCards")</f>
        <v>GeneCards</v>
      </c>
      <c r="D7763" s="1" t="str">
        <f>HYPERLINK("http://genome-euro.ucsc.edu/cgi-bin/hgTracks?position=203691_at","UCSC")</f>
        <v>UCSC</v>
      </c>
      <c r="E7763" s="1" t="str">
        <f>HYPERLINK("http://www.ncbi.nlm.nih.gov/gene/?term=PI3","NCBI")</f>
        <v>NCBI</v>
      </c>
      <c r="F7763">
        <v>0.11</v>
      </c>
      <c r="G7763">
        <v>0.25</v>
      </c>
      <c r="H7763" s="1" t="str">
        <f>HYPERLINK("http://www.weizmann.ac.il/complex/compphys/software/geview/data/figures/203691_at.png","Figure")</f>
        <v>Figure</v>
      </c>
      <c r="I7763">
        <v>1.1399999999999999</v>
      </c>
      <c r="J7763">
        <v>0.14000000000000001</v>
      </c>
      <c r="K7763">
        <v>1.01</v>
      </c>
      <c r="L7763">
        <v>0.98</v>
      </c>
      <c r="M7763">
        <v>0.88600000000000001</v>
      </c>
      <c r="N7763">
        <v>0.15</v>
      </c>
    </row>
    <row r="7764" spans="1:14" x14ac:dyDescent="0.25">
      <c r="A7764" t="s">
        <v>13784</v>
      </c>
      <c r="B7764" t="s">
        <v>13785</v>
      </c>
      <c r="C7764" s="1" t="str">
        <f>HYPERLINK("http://www.genecards.org/cgi-bin/carddisp.pl?gene=CDIPT","GeneCards")</f>
        <v>GeneCards</v>
      </c>
      <c r="D7764" s="1" t="str">
        <f>HYPERLINK("http://genome-euro.ucsc.edu/cgi-bin/hgTracks?position=201253_s_at","UCSC")</f>
        <v>UCSC</v>
      </c>
      <c r="E7764" s="1" t="str">
        <f>HYPERLINK("http://www.ncbi.nlm.nih.gov/gene/?term=CDIPT","NCBI")</f>
        <v>NCBI</v>
      </c>
      <c r="F7764">
        <v>0.11</v>
      </c>
      <c r="G7764">
        <v>0.25</v>
      </c>
      <c r="H7764" s="1" t="str">
        <f>HYPERLINK("http://www.weizmann.ac.il/complex/compphys/software/geview/data/figures/201253_s_at.png","Figure")</f>
        <v>Figure</v>
      </c>
      <c r="I7764">
        <v>0.875</v>
      </c>
      <c r="J7764">
        <v>0.48</v>
      </c>
      <c r="K7764">
        <v>1.1100000000000001</v>
      </c>
      <c r="L7764">
        <v>0.55000000000000004</v>
      </c>
      <c r="M7764">
        <v>1.27</v>
      </c>
      <c r="N7764">
        <v>9.8000000000000004E-2</v>
      </c>
    </row>
    <row r="7765" spans="1:14" x14ac:dyDescent="0.25">
      <c r="A7765" t="s">
        <v>13786</v>
      </c>
      <c r="B7765" t="s">
        <v>13787</v>
      </c>
      <c r="C7765" s="1" t="str">
        <f>HYPERLINK("http://www.genecards.org/cgi-bin/carddisp.pl?gene=HSD17B12","GeneCards")</f>
        <v>GeneCards</v>
      </c>
      <c r="D7765" s="1" t="str">
        <f>HYPERLINK("http://genome-euro.ucsc.edu/cgi-bin/hgTracks?position=217869_at","UCSC")</f>
        <v>UCSC</v>
      </c>
      <c r="E7765" s="1" t="str">
        <f>HYPERLINK("http://www.ncbi.nlm.nih.gov/gene/?term=HSD17B12","NCBI")</f>
        <v>NCBI</v>
      </c>
      <c r="F7765">
        <v>0.11</v>
      </c>
      <c r="G7765">
        <v>0.25</v>
      </c>
      <c r="H7765" s="1" t="str">
        <f>HYPERLINK("http://www.weizmann.ac.il/complex/compphys/software/geview/data/figures/217869_at.png","Figure")</f>
        <v>Figure</v>
      </c>
      <c r="I7765">
        <v>0.94399999999999995</v>
      </c>
      <c r="J7765">
        <v>0.96</v>
      </c>
      <c r="K7765">
        <v>1.4</v>
      </c>
      <c r="L7765">
        <v>0.21</v>
      </c>
      <c r="M7765">
        <v>1.48</v>
      </c>
      <c r="N7765">
        <v>0.16</v>
      </c>
    </row>
    <row r="7766" spans="1:14" x14ac:dyDescent="0.25">
      <c r="A7766" t="s">
        <v>13788</v>
      </c>
      <c r="B7766" t="s">
        <v>13789</v>
      </c>
      <c r="C7766" s="1" t="str">
        <f>HYPERLINK("http://www.genecards.org/cgi-bin/carddisp.pl?gene=KCNA1","GeneCards")</f>
        <v>GeneCards</v>
      </c>
      <c r="D7766" s="1" t="str">
        <f>HYPERLINK("http://genome-euro.ucsc.edu/cgi-bin/hgTracks?position=208479_at","UCSC")</f>
        <v>UCSC</v>
      </c>
      <c r="E7766" s="1" t="str">
        <f>HYPERLINK("http://www.ncbi.nlm.nih.gov/gene/?term=KCNA1","NCBI")</f>
        <v>NCBI</v>
      </c>
      <c r="F7766">
        <v>0.11</v>
      </c>
      <c r="G7766">
        <v>0.25</v>
      </c>
      <c r="H7766" s="1" t="str">
        <f>HYPERLINK("http://www.weizmann.ac.il/complex/compphys/software/geview/data/figures/208479_at.png","Figure")</f>
        <v>Figure</v>
      </c>
      <c r="I7766">
        <v>1.24</v>
      </c>
      <c r="J7766">
        <v>0.11</v>
      </c>
      <c r="K7766">
        <v>1.06</v>
      </c>
      <c r="L7766">
        <v>0.77</v>
      </c>
      <c r="M7766">
        <v>0.85799999999999998</v>
      </c>
      <c r="N7766">
        <v>0.24</v>
      </c>
    </row>
    <row r="7767" spans="1:14" x14ac:dyDescent="0.25">
      <c r="A7767" t="s">
        <v>13790</v>
      </c>
      <c r="B7767" t="s">
        <v>13791</v>
      </c>
      <c r="C7767" s="1" t="str">
        <f>HYPERLINK("http://www.genecards.org/cgi-bin/carddisp.pl?gene=GPER","GeneCards")</f>
        <v>GeneCards</v>
      </c>
      <c r="D7767" s="1" t="str">
        <f>HYPERLINK("http://genome-euro.ucsc.edu/cgi-bin/hgTracks?position=210640_s_at","UCSC")</f>
        <v>UCSC</v>
      </c>
      <c r="E7767" s="1" t="str">
        <f>HYPERLINK("http://www.ncbi.nlm.nih.gov/gene/?term=GPER","NCBI")</f>
        <v>NCBI</v>
      </c>
      <c r="F7767">
        <v>0.11</v>
      </c>
      <c r="G7767">
        <v>0.25</v>
      </c>
      <c r="H7767" s="1" t="str">
        <f>HYPERLINK("http://www.weizmann.ac.il/complex/compphys/software/geview/data/figures/210640_s_at.png","Figure")</f>
        <v>Figure</v>
      </c>
      <c r="I7767">
        <v>1.1100000000000001</v>
      </c>
      <c r="J7767">
        <v>9.7000000000000003E-2</v>
      </c>
      <c r="K7767">
        <v>1.04</v>
      </c>
      <c r="L7767">
        <v>0.56000000000000005</v>
      </c>
      <c r="M7767">
        <v>0.93799999999999994</v>
      </c>
      <c r="N7767">
        <v>0.35</v>
      </c>
    </row>
    <row r="7768" spans="1:14" x14ac:dyDescent="0.25">
      <c r="A7768" t="s">
        <v>13792</v>
      </c>
      <c r="B7768" t="s">
        <v>2631</v>
      </c>
      <c r="C7768" s="1" t="str">
        <f>HYPERLINK("http://www.genecards.org/cgi-bin/carddisp.pl?gene=GGA2","GeneCards")</f>
        <v>GeneCards</v>
      </c>
      <c r="D7768" s="1" t="str">
        <f>HYPERLINK("http://genome-euro.ucsc.edu/cgi-bin/hgTracks?position=214190_x_at","UCSC")</f>
        <v>UCSC</v>
      </c>
      <c r="E7768" s="1" t="str">
        <f>HYPERLINK("http://www.ncbi.nlm.nih.gov/gene/?term=GGA2","NCBI")</f>
        <v>NCBI</v>
      </c>
      <c r="F7768">
        <v>0.11</v>
      </c>
      <c r="G7768">
        <v>0.25</v>
      </c>
      <c r="H7768" s="1" t="str">
        <f>HYPERLINK("http://www.weizmann.ac.il/complex/compphys/software/geview/data/figures/214190_x_at.png","Figure")</f>
        <v>Figure</v>
      </c>
      <c r="I7768">
        <v>1.19</v>
      </c>
      <c r="J7768">
        <v>0.11</v>
      </c>
      <c r="K7768">
        <v>1.05</v>
      </c>
      <c r="L7768">
        <v>0.76</v>
      </c>
      <c r="M7768">
        <v>0.88300000000000001</v>
      </c>
      <c r="N7768">
        <v>0.24</v>
      </c>
    </row>
    <row r="7769" spans="1:14" x14ac:dyDescent="0.25">
      <c r="A7769" t="s">
        <v>13793</v>
      </c>
      <c r="B7769" t="s">
        <v>13794</v>
      </c>
      <c r="C7769" s="1" t="str">
        <f>HYPERLINK("http://www.genecards.org/cgi-bin/carddisp.pl?gene=C8orf51","GeneCards")</f>
        <v>GeneCards</v>
      </c>
      <c r="D7769" s="1" t="str">
        <f>HYPERLINK("http://genome-euro.ucsc.edu/cgi-bin/hgTracks?position=207458_at","UCSC")</f>
        <v>UCSC</v>
      </c>
      <c r="E7769" s="1" t="str">
        <f>HYPERLINK("http://www.ncbi.nlm.nih.gov/gene/?term=C8orf51","NCBI")</f>
        <v>NCBI</v>
      </c>
      <c r="F7769">
        <v>0.11</v>
      </c>
      <c r="G7769">
        <v>0.25</v>
      </c>
      <c r="H7769" s="1" t="str">
        <f>HYPERLINK("http://www.weizmann.ac.il/complex/compphys/software/geview/data/figures/207458_at.png","Figure")</f>
        <v>Figure</v>
      </c>
      <c r="I7769">
        <v>1.21</v>
      </c>
      <c r="J7769">
        <v>0.1</v>
      </c>
      <c r="K7769">
        <v>1.06</v>
      </c>
      <c r="L7769">
        <v>0.74</v>
      </c>
      <c r="M7769">
        <v>0.872</v>
      </c>
      <c r="N7769">
        <v>0.25</v>
      </c>
    </row>
    <row r="7770" spans="1:14" x14ac:dyDescent="0.25">
      <c r="A7770" t="s">
        <v>13795</v>
      </c>
      <c r="B7770" t="s">
        <v>13796</v>
      </c>
      <c r="C7770" s="1" t="str">
        <f>HYPERLINK("http://www.genecards.org/cgi-bin/carddisp.pl?gene=PGRMC1","GeneCards")</f>
        <v>GeneCards</v>
      </c>
      <c r="D7770" s="1" t="str">
        <f>HYPERLINK("http://genome-euro.ucsc.edu/cgi-bin/hgTracks?position=201121_s_at","UCSC")</f>
        <v>UCSC</v>
      </c>
      <c r="E7770" s="1" t="str">
        <f>HYPERLINK("http://www.ncbi.nlm.nih.gov/gene/?term=PGRMC1","NCBI")</f>
        <v>NCBI</v>
      </c>
      <c r="F7770">
        <v>0.11</v>
      </c>
      <c r="G7770">
        <v>0.25</v>
      </c>
      <c r="H7770" s="1" t="str">
        <f>HYPERLINK("http://www.weizmann.ac.il/complex/compphys/software/geview/data/figures/201121_s_at.png","Figure")</f>
        <v>Figure</v>
      </c>
      <c r="I7770">
        <v>0.66100000000000003</v>
      </c>
      <c r="J7770">
        <v>9.7000000000000003E-2</v>
      </c>
      <c r="K7770">
        <v>0.84299999999999997</v>
      </c>
      <c r="L7770">
        <v>0.55000000000000004</v>
      </c>
      <c r="M7770">
        <v>1.28</v>
      </c>
      <c r="N7770">
        <v>0.36</v>
      </c>
    </row>
    <row r="7771" spans="1:14" x14ac:dyDescent="0.25">
      <c r="A7771" t="s">
        <v>13797</v>
      </c>
      <c r="B7771" t="s">
        <v>13798</v>
      </c>
      <c r="C7771" s="1" t="str">
        <f>HYPERLINK("http://www.genecards.org/cgi-bin/carddisp.pl?gene=INSIG2","GeneCards")</f>
        <v>GeneCards</v>
      </c>
      <c r="D7771" s="1" t="str">
        <f>HYPERLINK("http://genome-euro.ucsc.edu/cgi-bin/hgTracks?position=209566_at","UCSC")</f>
        <v>UCSC</v>
      </c>
      <c r="E7771" s="1" t="str">
        <f>HYPERLINK("http://www.ncbi.nlm.nih.gov/gene/?term=INSIG2","NCBI")</f>
        <v>NCBI</v>
      </c>
      <c r="F7771">
        <v>0.11</v>
      </c>
      <c r="G7771">
        <v>0.25</v>
      </c>
      <c r="H7771" s="1" t="str">
        <f>HYPERLINK("http://www.weizmann.ac.il/complex/compphys/software/geview/data/figures/209566_at.png","Figure")</f>
        <v>Figure</v>
      </c>
      <c r="I7771">
        <v>0.77</v>
      </c>
      <c r="J7771">
        <v>0.11</v>
      </c>
      <c r="K7771">
        <v>0.94399999999999995</v>
      </c>
      <c r="L7771">
        <v>0.85</v>
      </c>
      <c r="M7771">
        <v>1.23</v>
      </c>
      <c r="N7771">
        <v>0.2</v>
      </c>
    </row>
    <row r="7772" spans="1:14" x14ac:dyDescent="0.25">
      <c r="A7772" t="s">
        <v>13799</v>
      </c>
      <c r="B7772" t="s">
        <v>13800</v>
      </c>
      <c r="C7772" s="1" t="str">
        <f>HYPERLINK("http://www.genecards.org/cgi-bin/carddisp.pl?gene=FASN","GeneCards")</f>
        <v>GeneCards</v>
      </c>
      <c r="D7772" s="1" t="str">
        <f>HYPERLINK("http://genome-euro.ucsc.edu/cgi-bin/hgTracks?position=217006_x_at","UCSC")</f>
        <v>UCSC</v>
      </c>
      <c r="E7772" s="1" t="str">
        <f>HYPERLINK("http://www.ncbi.nlm.nih.gov/gene/?term=FASN","NCBI")</f>
        <v>NCBI</v>
      </c>
      <c r="F7772">
        <v>0.11</v>
      </c>
      <c r="G7772">
        <v>0.25</v>
      </c>
      <c r="H7772" s="1" t="str">
        <f>HYPERLINK("http://www.weizmann.ac.il/complex/compphys/software/geview/data/figures/217006_x_at.png","Figure")</f>
        <v>Figure</v>
      </c>
      <c r="I7772">
        <v>1.08</v>
      </c>
      <c r="J7772">
        <v>0.15</v>
      </c>
      <c r="K7772">
        <v>1.07</v>
      </c>
      <c r="L7772">
        <v>0.16</v>
      </c>
      <c r="M7772">
        <v>0.98899999999999999</v>
      </c>
      <c r="N7772">
        <v>0.95</v>
      </c>
    </row>
    <row r="7773" spans="1:14" x14ac:dyDescent="0.25">
      <c r="A7773" t="s">
        <v>13801</v>
      </c>
      <c r="B7773" t="s">
        <v>13802</v>
      </c>
      <c r="C7773" s="1" t="str">
        <f>HYPERLINK("http://www.genecards.org/cgi-bin/carddisp.pl?gene=GIMAP5","GeneCards")</f>
        <v>GeneCards</v>
      </c>
      <c r="D7773" s="1" t="str">
        <f>HYPERLINK("http://genome-euro.ucsc.edu/cgi-bin/hgTracks?position=218805_at","UCSC")</f>
        <v>UCSC</v>
      </c>
      <c r="E7773" s="1" t="str">
        <f>HYPERLINK("http://www.ncbi.nlm.nih.gov/gene/?term=GIMAP5","NCBI")</f>
        <v>NCBI</v>
      </c>
      <c r="F7773">
        <v>0.11</v>
      </c>
      <c r="G7773">
        <v>0.25</v>
      </c>
      <c r="H7773" s="1" t="str">
        <f>HYPERLINK("http://www.weizmann.ac.il/complex/compphys/software/geview/data/figures/218805_at.png","Figure")</f>
        <v>Figure</v>
      </c>
      <c r="I7773">
        <v>1.0900000000000001</v>
      </c>
      <c r="J7773">
        <v>0.62</v>
      </c>
      <c r="K7773">
        <v>0.90300000000000002</v>
      </c>
      <c r="L7773">
        <v>0.43</v>
      </c>
      <c r="M7773">
        <v>0.82699999999999996</v>
      </c>
      <c r="N7773">
        <v>0.1</v>
      </c>
    </row>
    <row r="7774" spans="1:14" x14ac:dyDescent="0.25">
      <c r="A7774" t="s">
        <v>13803</v>
      </c>
      <c r="B7774" t="s">
        <v>13804</v>
      </c>
      <c r="C7774" s="1" t="str">
        <f>HYPERLINK("http://www.genecards.org/cgi-bin/carddisp.pl?gene=PSRC1","GeneCards")</f>
        <v>GeneCards</v>
      </c>
      <c r="D7774" s="1" t="str">
        <f>HYPERLINK("http://genome-euro.ucsc.edu/cgi-bin/hgTracks?position=201896_s_at","UCSC")</f>
        <v>UCSC</v>
      </c>
      <c r="E7774" s="1" t="str">
        <f>HYPERLINK("http://www.ncbi.nlm.nih.gov/gene/?term=PSRC1","NCBI")</f>
        <v>NCBI</v>
      </c>
      <c r="F7774">
        <v>0.11</v>
      </c>
      <c r="G7774">
        <v>0.25</v>
      </c>
      <c r="H7774" s="1" t="str">
        <f>HYPERLINK("http://www.weizmann.ac.il/complex/compphys/software/geview/data/figures/201896_s_at.png","Figure")</f>
        <v>Figure</v>
      </c>
      <c r="I7774">
        <v>1.1299999999999999</v>
      </c>
      <c r="J7774">
        <v>0.39</v>
      </c>
      <c r="K7774">
        <v>1.19</v>
      </c>
      <c r="L7774">
        <v>9.9000000000000005E-2</v>
      </c>
      <c r="M7774">
        <v>1.05</v>
      </c>
      <c r="N7774">
        <v>0.8</v>
      </c>
    </row>
    <row r="7775" spans="1:14" x14ac:dyDescent="0.25">
      <c r="A7775" t="s">
        <v>13805</v>
      </c>
      <c r="B7775" t="s">
        <v>13806</v>
      </c>
      <c r="C7775" s="1" t="str">
        <f>HYPERLINK("http://www.genecards.org/cgi-bin/carddisp.pl?gene=RAB2A","GeneCards")</f>
        <v>GeneCards</v>
      </c>
      <c r="D7775" s="1" t="str">
        <f>HYPERLINK("http://genome-euro.ucsc.edu/cgi-bin/hgTracks?position=208734_x_at","UCSC")</f>
        <v>UCSC</v>
      </c>
      <c r="E7775" s="1" t="str">
        <f>HYPERLINK("http://www.ncbi.nlm.nih.gov/gene/?term=RAB2A","NCBI")</f>
        <v>NCBI</v>
      </c>
      <c r="F7775">
        <v>0.11</v>
      </c>
      <c r="G7775">
        <v>0.25</v>
      </c>
      <c r="H7775" s="1" t="str">
        <f>HYPERLINK("http://www.weizmann.ac.il/complex/compphys/software/geview/data/figures/208734_x_at.png","Figure")</f>
        <v>Figure</v>
      </c>
      <c r="I7775">
        <v>0.81699999999999995</v>
      </c>
      <c r="J7775">
        <v>0.45</v>
      </c>
      <c r="K7775">
        <v>0.72499999999999998</v>
      </c>
      <c r="L7775">
        <v>9.7000000000000003E-2</v>
      </c>
      <c r="M7775">
        <v>0.88700000000000001</v>
      </c>
      <c r="N7775">
        <v>0.72</v>
      </c>
    </row>
    <row r="7776" spans="1:14" x14ac:dyDescent="0.25">
      <c r="A7776" t="s">
        <v>13807</v>
      </c>
      <c r="B7776" t="s">
        <v>13808</v>
      </c>
      <c r="C7776" s="1" t="str">
        <f>HYPERLINK("http://www.genecards.org/cgi-bin/carddisp.pl?gene=FLAD1","GeneCards")</f>
        <v>GeneCards</v>
      </c>
      <c r="D7776" s="1" t="str">
        <f>HYPERLINK("http://genome-euro.ucsc.edu/cgi-bin/hgTracks?position=205661_s_at","UCSC")</f>
        <v>UCSC</v>
      </c>
      <c r="E7776" s="1" t="str">
        <f>HYPERLINK("http://www.ncbi.nlm.nih.gov/gene/?term=FLAD1","NCBI")</f>
        <v>NCBI</v>
      </c>
      <c r="F7776">
        <v>0.11</v>
      </c>
      <c r="G7776">
        <v>0.25</v>
      </c>
      <c r="H7776" s="1" t="str">
        <f>HYPERLINK("http://www.weizmann.ac.il/complex/compphys/software/geview/data/figures/205661_s_at.png","Figure")</f>
        <v>Figure</v>
      </c>
      <c r="I7776">
        <v>1.1399999999999999</v>
      </c>
      <c r="J7776">
        <v>0.21</v>
      </c>
      <c r="K7776">
        <v>1.1399999999999999</v>
      </c>
      <c r="L7776">
        <v>0.13</v>
      </c>
      <c r="M7776">
        <v>1</v>
      </c>
      <c r="N7776">
        <v>1</v>
      </c>
    </row>
    <row r="7777" spans="1:14" x14ac:dyDescent="0.25">
      <c r="A7777" t="s">
        <v>13809</v>
      </c>
      <c r="B7777" t="s">
        <v>13810</v>
      </c>
      <c r="C7777" s="1" t="str">
        <f>HYPERLINK("http://www.genecards.org/cgi-bin/carddisp.pl?gene=S100A14","GeneCards")</f>
        <v>GeneCards</v>
      </c>
      <c r="D7777" s="1" t="str">
        <f>HYPERLINK("http://genome-euro.ucsc.edu/cgi-bin/hgTracks?position=218677_at","UCSC")</f>
        <v>UCSC</v>
      </c>
      <c r="E7777" s="1" t="str">
        <f>HYPERLINK("http://www.ncbi.nlm.nih.gov/gene/?term=S100A14","NCBI")</f>
        <v>NCBI</v>
      </c>
      <c r="F7777">
        <v>0.11</v>
      </c>
      <c r="G7777">
        <v>0.25</v>
      </c>
      <c r="H7777" s="1" t="str">
        <f>HYPERLINK("http://www.weizmann.ac.il/complex/compphys/software/geview/data/figures/218677_at.png","Figure")</f>
        <v>Figure</v>
      </c>
      <c r="I7777">
        <v>1.22</v>
      </c>
      <c r="J7777">
        <v>0.13</v>
      </c>
      <c r="K7777">
        <v>1.1599999999999999</v>
      </c>
      <c r="L7777">
        <v>0.2</v>
      </c>
      <c r="M7777">
        <v>0.95399999999999996</v>
      </c>
      <c r="N7777">
        <v>0.85</v>
      </c>
    </row>
    <row r="7778" spans="1:14" x14ac:dyDescent="0.25">
      <c r="A7778" t="s">
        <v>13811</v>
      </c>
      <c r="B7778" t="s">
        <v>13812</v>
      </c>
      <c r="C7778" s="1" t="str">
        <f>HYPERLINK("http://www.genecards.org/cgi-bin/carddisp.pl?gene=RPLP1","GeneCards")</f>
        <v>GeneCards</v>
      </c>
      <c r="D7778" s="1" t="str">
        <f>HYPERLINK("http://genome-euro.ucsc.edu/cgi-bin/hgTracks?position=200763_s_at","UCSC")</f>
        <v>UCSC</v>
      </c>
      <c r="E7778" s="1" t="str">
        <f>HYPERLINK("http://www.ncbi.nlm.nih.gov/gene/?term=RPLP1","NCBI")</f>
        <v>NCBI</v>
      </c>
      <c r="F7778">
        <v>0.11</v>
      </c>
      <c r="G7778">
        <v>0.25</v>
      </c>
      <c r="H7778" s="1" t="str">
        <f>HYPERLINK("http://www.weizmann.ac.il/complex/compphys/software/geview/data/figures/200763_s_at.png","Figure")</f>
        <v>Figure</v>
      </c>
      <c r="I7778">
        <v>0.80900000000000005</v>
      </c>
      <c r="J7778">
        <v>0.26</v>
      </c>
      <c r="K7778">
        <v>1.05</v>
      </c>
      <c r="L7778">
        <v>0.88</v>
      </c>
      <c r="M7778">
        <v>1.3</v>
      </c>
      <c r="N7778">
        <v>0.1</v>
      </c>
    </row>
    <row r="7779" spans="1:14" x14ac:dyDescent="0.25">
      <c r="A7779" t="s">
        <v>13813</v>
      </c>
      <c r="B7779" t="s">
        <v>8830</v>
      </c>
      <c r="C7779" s="1" t="str">
        <f>HYPERLINK("http://www.genecards.org/cgi-bin/carddisp.pl?gene=FTH1","GeneCards")</f>
        <v>GeneCards</v>
      </c>
      <c r="D7779" s="1" t="str">
        <f>HYPERLINK("http://genome-euro.ucsc.edu/cgi-bin/hgTracks?position=214211_at","UCSC")</f>
        <v>UCSC</v>
      </c>
      <c r="E7779" s="1" t="str">
        <f>HYPERLINK("http://www.ncbi.nlm.nih.gov/gene/?term=FTH1","NCBI")</f>
        <v>NCBI</v>
      </c>
      <c r="F7779">
        <v>0.11</v>
      </c>
      <c r="G7779">
        <v>0.25</v>
      </c>
      <c r="H7779" s="1" t="str">
        <f>HYPERLINK("http://www.weizmann.ac.il/complex/compphys/software/geview/data/figures/214211_at.png","Figure")</f>
        <v>Figure</v>
      </c>
      <c r="I7779">
        <v>0.433</v>
      </c>
      <c r="J7779">
        <v>0.12</v>
      </c>
      <c r="K7779">
        <v>0.54300000000000004</v>
      </c>
      <c r="L7779">
        <v>0.22</v>
      </c>
      <c r="M7779">
        <v>1.25</v>
      </c>
      <c r="N7779">
        <v>0.82</v>
      </c>
    </row>
    <row r="7780" spans="1:14" x14ac:dyDescent="0.25">
      <c r="A7780" t="s">
        <v>13814</v>
      </c>
      <c r="B7780" t="s">
        <v>13815</v>
      </c>
      <c r="C7780" s="1" t="str">
        <f>HYPERLINK("http://www.genecards.org/cgi-bin/carddisp.pl?gene=ENTPD5","GeneCards")</f>
        <v>GeneCards</v>
      </c>
      <c r="D7780" s="1" t="str">
        <f>HYPERLINK("http://genome-euro.ucsc.edu/cgi-bin/hgTracks?position=205757_at","UCSC")</f>
        <v>UCSC</v>
      </c>
      <c r="E7780" s="1" t="str">
        <f>HYPERLINK("http://www.ncbi.nlm.nih.gov/gene/?term=ENTPD5","NCBI")</f>
        <v>NCBI</v>
      </c>
      <c r="F7780">
        <v>0.11</v>
      </c>
      <c r="G7780">
        <v>0.25</v>
      </c>
      <c r="H7780" s="1" t="str">
        <f>HYPERLINK("http://www.weizmann.ac.il/complex/compphys/software/geview/data/figures/205757_at.png","Figure")</f>
        <v>Figure</v>
      </c>
      <c r="I7780">
        <v>1.04</v>
      </c>
      <c r="J7780">
        <v>0.71</v>
      </c>
      <c r="K7780">
        <v>1.1000000000000001</v>
      </c>
      <c r="L7780">
        <v>0.1</v>
      </c>
      <c r="M7780">
        <v>1.06</v>
      </c>
      <c r="N7780">
        <v>0.45</v>
      </c>
    </row>
    <row r="7781" spans="1:14" x14ac:dyDescent="0.25">
      <c r="A7781" t="s">
        <v>13816</v>
      </c>
      <c r="B7781" t="s">
        <v>5254</v>
      </c>
      <c r="C7781" s="1" t="str">
        <f>HYPERLINK("http://www.genecards.org/cgi-bin/carddisp.pl?gene=ADAM28","GeneCards")</f>
        <v>GeneCards</v>
      </c>
      <c r="D7781" s="1" t="str">
        <f>HYPERLINK("http://genome-euro.ucsc.edu/cgi-bin/hgTracks?position=205997_at","UCSC")</f>
        <v>UCSC</v>
      </c>
      <c r="E7781" s="1" t="str">
        <f>HYPERLINK("http://www.ncbi.nlm.nih.gov/gene/?term=ADAM28","NCBI")</f>
        <v>NCBI</v>
      </c>
      <c r="F7781">
        <v>0.11</v>
      </c>
      <c r="G7781">
        <v>0.25</v>
      </c>
      <c r="H7781" s="1" t="str">
        <f>HYPERLINK("http://www.weizmann.ac.il/complex/compphys/software/geview/data/figures/205997_at.png","Figure")</f>
        <v>Figure</v>
      </c>
      <c r="I7781">
        <v>1</v>
      </c>
      <c r="J7781">
        <v>1</v>
      </c>
      <c r="K7781">
        <v>0.61</v>
      </c>
      <c r="L7781">
        <v>0.16</v>
      </c>
      <c r="M7781">
        <v>0.61</v>
      </c>
      <c r="N7781">
        <v>0.2</v>
      </c>
    </row>
    <row r="7782" spans="1:14" x14ac:dyDescent="0.25">
      <c r="A7782" t="s">
        <v>13817</v>
      </c>
      <c r="B7782" t="s">
        <v>10577</v>
      </c>
      <c r="C7782" s="1" t="str">
        <f>HYPERLINK("http://www.genecards.org/cgi-bin/carddisp.pl?gene=CSNK2A1","GeneCards")</f>
        <v>GeneCards</v>
      </c>
      <c r="D7782" s="1" t="str">
        <f>HYPERLINK("http://genome-euro.ucsc.edu/cgi-bin/hgTracks?position=212075_s_at","UCSC")</f>
        <v>UCSC</v>
      </c>
      <c r="E7782" s="1" t="str">
        <f>HYPERLINK("http://www.ncbi.nlm.nih.gov/gene/?term=CSNK2A1","NCBI")</f>
        <v>NCBI</v>
      </c>
      <c r="F7782">
        <v>0.11</v>
      </c>
      <c r="G7782">
        <v>0.25</v>
      </c>
      <c r="H7782" s="1" t="str">
        <f>HYPERLINK("http://www.weizmann.ac.il/complex/compphys/software/geview/data/figures/212075_s_at.png","Figure")</f>
        <v>Figure</v>
      </c>
      <c r="I7782">
        <v>1.31</v>
      </c>
      <c r="J7782">
        <v>9.9000000000000005E-2</v>
      </c>
      <c r="K7782">
        <v>1.1499999999999999</v>
      </c>
      <c r="L7782">
        <v>0.39</v>
      </c>
      <c r="M7782">
        <v>0.879</v>
      </c>
      <c r="N7782">
        <v>0.5</v>
      </c>
    </row>
    <row r="7783" spans="1:14" x14ac:dyDescent="0.25">
      <c r="A7783" t="s">
        <v>13818</v>
      </c>
      <c r="B7783" t="s">
        <v>13819</v>
      </c>
      <c r="C7783" s="1" t="str">
        <f>HYPERLINK("http://www.genecards.org/cgi-bin/carddisp.pl?gene=JAM3","GeneCards")</f>
        <v>GeneCards</v>
      </c>
      <c r="D7783" s="1" t="str">
        <f>HYPERLINK("http://genome-euro.ucsc.edu/cgi-bin/hgTracks?position=212813_at","UCSC")</f>
        <v>UCSC</v>
      </c>
      <c r="E7783" s="1" t="str">
        <f>HYPERLINK("http://www.ncbi.nlm.nih.gov/gene/?term=JAM3","NCBI")</f>
        <v>NCBI</v>
      </c>
      <c r="F7783">
        <v>0.11</v>
      </c>
      <c r="G7783">
        <v>0.25</v>
      </c>
      <c r="H7783" s="1" t="str">
        <f>HYPERLINK("http://www.weizmann.ac.il/complex/compphys/software/geview/data/figures/212813_at.png","Figure")</f>
        <v>Figure</v>
      </c>
      <c r="I7783">
        <v>1.1200000000000001</v>
      </c>
      <c r="J7783">
        <v>0.34</v>
      </c>
      <c r="K7783">
        <v>0.95299999999999996</v>
      </c>
      <c r="L7783">
        <v>0.74</v>
      </c>
      <c r="M7783">
        <v>0.85399999999999998</v>
      </c>
      <c r="N7783">
        <v>9.8000000000000004E-2</v>
      </c>
    </row>
    <row r="7784" spans="1:14" x14ac:dyDescent="0.25">
      <c r="A7784" t="s">
        <v>13820</v>
      </c>
      <c r="B7784" t="s">
        <v>13821</v>
      </c>
      <c r="C7784" s="1" t="str">
        <f>HYPERLINK("http://www.genecards.org/cgi-bin/carddisp.pl?gene=INSRR","GeneCards")</f>
        <v>GeneCards</v>
      </c>
      <c r="D7784" s="1" t="str">
        <f>HYPERLINK("http://genome-euro.ucsc.edu/cgi-bin/hgTracks?position=215776_at","UCSC")</f>
        <v>UCSC</v>
      </c>
      <c r="E7784" s="1" t="str">
        <f>HYPERLINK("http://www.ncbi.nlm.nih.gov/gene/?term=INSRR","NCBI")</f>
        <v>NCBI</v>
      </c>
      <c r="F7784">
        <v>0.11</v>
      </c>
      <c r="G7784">
        <v>0.25</v>
      </c>
      <c r="H7784" s="1" t="str">
        <f>HYPERLINK("http://www.weizmann.ac.il/complex/compphys/software/geview/data/figures/215776_at.png","Figure")</f>
        <v>Figure</v>
      </c>
      <c r="I7784">
        <v>1.1599999999999999</v>
      </c>
      <c r="J7784">
        <v>9.8000000000000004E-2</v>
      </c>
      <c r="K7784">
        <v>1.06</v>
      </c>
      <c r="L7784">
        <v>0.59</v>
      </c>
      <c r="M7784">
        <v>0.91300000000000003</v>
      </c>
      <c r="N7784">
        <v>0.33</v>
      </c>
    </row>
    <row r="7785" spans="1:14" x14ac:dyDescent="0.25">
      <c r="A7785" t="s">
        <v>13822</v>
      </c>
      <c r="B7785" t="s">
        <v>9260</v>
      </c>
      <c r="C7785" s="1" t="str">
        <f>HYPERLINK("http://www.genecards.org/cgi-bin/carddisp.pl?gene=H2AFY","GeneCards")</f>
        <v>GeneCards</v>
      </c>
      <c r="D7785" s="1" t="str">
        <f>HYPERLINK("http://genome-euro.ucsc.edu/cgi-bin/hgTracks?position=207168_s_at","UCSC")</f>
        <v>UCSC</v>
      </c>
      <c r="E7785" s="1" t="str">
        <f>HYPERLINK("http://www.ncbi.nlm.nih.gov/gene/?term=H2AFY","NCBI")</f>
        <v>NCBI</v>
      </c>
      <c r="F7785">
        <v>0.11</v>
      </c>
      <c r="G7785">
        <v>0.25</v>
      </c>
      <c r="H7785" s="1" t="str">
        <f>HYPERLINK("http://www.weizmann.ac.il/complex/compphys/software/geview/data/figures/207168_s_at.png","Figure")</f>
        <v>Figure</v>
      </c>
      <c r="I7785">
        <v>0.88</v>
      </c>
      <c r="J7785">
        <v>0.64</v>
      </c>
      <c r="K7785">
        <v>1.18</v>
      </c>
      <c r="L7785">
        <v>0.41</v>
      </c>
      <c r="M7785">
        <v>1.34</v>
      </c>
      <c r="N7785">
        <v>0.11</v>
      </c>
    </row>
    <row r="7786" spans="1:14" x14ac:dyDescent="0.25">
      <c r="A7786" t="s">
        <v>13823</v>
      </c>
      <c r="B7786" t="s">
        <v>13824</v>
      </c>
      <c r="C7786" s="1" t="str">
        <f>HYPERLINK("http://www.genecards.org/cgi-bin/carddisp.pl?gene=KLK11","GeneCards")</f>
        <v>GeneCards</v>
      </c>
      <c r="D7786" s="1" t="str">
        <f>HYPERLINK("http://genome-euro.ucsc.edu/cgi-bin/hgTracks?position=205470_s_at","UCSC")</f>
        <v>UCSC</v>
      </c>
      <c r="E7786" s="1" t="str">
        <f>HYPERLINK("http://www.ncbi.nlm.nih.gov/gene/?term=KLK11","NCBI")</f>
        <v>NCBI</v>
      </c>
      <c r="F7786">
        <v>0.11</v>
      </c>
      <c r="G7786">
        <v>0.25</v>
      </c>
      <c r="H7786" s="1" t="str">
        <f>HYPERLINK("http://www.weizmann.ac.il/complex/compphys/software/geview/data/figures/205470_s_at.png","Figure")</f>
        <v>Figure</v>
      </c>
      <c r="I7786">
        <v>1.18</v>
      </c>
      <c r="J7786">
        <v>0.12</v>
      </c>
      <c r="K7786">
        <v>1.1200000000000001</v>
      </c>
      <c r="L7786">
        <v>0.25</v>
      </c>
      <c r="M7786">
        <v>0.94699999999999995</v>
      </c>
      <c r="N7786">
        <v>0.74</v>
      </c>
    </row>
    <row r="7787" spans="1:14" x14ac:dyDescent="0.25">
      <c r="A7787" t="s">
        <v>13825</v>
      </c>
      <c r="B7787" t="s">
        <v>13826</v>
      </c>
      <c r="C7787" s="1" t="str">
        <f>HYPERLINK("http://www.genecards.org/cgi-bin/carddisp.pl?gene=CPA3","GeneCards")</f>
        <v>GeneCards</v>
      </c>
      <c r="D7787" s="1" t="str">
        <f>HYPERLINK("http://genome-euro.ucsc.edu/cgi-bin/hgTracks?position=205624_at","UCSC")</f>
        <v>UCSC</v>
      </c>
      <c r="E7787" s="1" t="str">
        <f>HYPERLINK("http://www.ncbi.nlm.nih.gov/gene/?term=CPA3","NCBI")</f>
        <v>NCBI</v>
      </c>
      <c r="F7787">
        <v>0.11</v>
      </c>
      <c r="G7787">
        <v>0.25</v>
      </c>
      <c r="H7787" s="1" t="str">
        <f>HYPERLINK("http://www.weizmann.ac.il/complex/compphys/software/geview/data/figures/205624_at.png","Figure")</f>
        <v>Figure</v>
      </c>
      <c r="I7787">
        <v>1.1599999999999999</v>
      </c>
      <c r="J7787">
        <v>0.24</v>
      </c>
      <c r="K7787">
        <v>0.97099999999999997</v>
      </c>
      <c r="L7787">
        <v>0.92</v>
      </c>
      <c r="M7787">
        <v>0.84</v>
      </c>
      <c r="N7787">
        <v>0.11</v>
      </c>
    </row>
    <row r="7788" spans="1:14" x14ac:dyDescent="0.25">
      <c r="A7788" t="s">
        <v>13827</v>
      </c>
      <c r="B7788" t="s">
        <v>13828</v>
      </c>
      <c r="C7788" s="1" t="str">
        <f>HYPERLINK("http://www.genecards.org/cgi-bin/carddisp.pl?gene=MED1","GeneCards")</f>
        <v>GeneCards</v>
      </c>
      <c r="D7788" s="1" t="str">
        <f>HYPERLINK("http://genome-euro.ucsc.edu/cgi-bin/hgTracks?position=203497_at","UCSC")</f>
        <v>UCSC</v>
      </c>
      <c r="E7788" s="1" t="str">
        <f>HYPERLINK("http://www.ncbi.nlm.nih.gov/gene/?term=MED1","NCBI")</f>
        <v>NCBI</v>
      </c>
      <c r="F7788">
        <v>0.11</v>
      </c>
      <c r="G7788">
        <v>0.25</v>
      </c>
      <c r="H7788" s="1" t="str">
        <f>HYPERLINK("http://www.weizmann.ac.il/complex/compphys/software/geview/data/figures/203497_at.png","Figure")</f>
        <v>Figure</v>
      </c>
      <c r="I7788">
        <v>0.64900000000000002</v>
      </c>
      <c r="J7788">
        <v>0.16</v>
      </c>
      <c r="K7788">
        <v>0.68300000000000005</v>
      </c>
      <c r="L7788">
        <v>0.16</v>
      </c>
      <c r="M7788">
        <v>1.05</v>
      </c>
      <c r="N7788">
        <v>0.97</v>
      </c>
    </row>
    <row r="7789" spans="1:14" x14ac:dyDescent="0.25">
      <c r="A7789" t="s">
        <v>13829</v>
      </c>
      <c r="B7789" t="s">
        <v>13830</v>
      </c>
      <c r="C7789" s="1" t="str">
        <f>HYPERLINK("http://www.genecards.org/cgi-bin/carddisp.pl?gene=C4orf6","GeneCards")</f>
        <v>GeneCards</v>
      </c>
      <c r="D7789" s="1" t="str">
        <f>HYPERLINK("http://genome-euro.ucsc.edu/cgi-bin/hgTracks?position=207241_at","UCSC")</f>
        <v>UCSC</v>
      </c>
      <c r="E7789" s="1" t="str">
        <f>HYPERLINK("http://www.ncbi.nlm.nih.gov/gene/?term=C4orf6","NCBI")</f>
        <v>NCBI</v>
      </c>
      <c r="F7789">
        <v>0.11</v>
      </c>
      <c r="G7789">
        <v>0.25</v>
      </c>
      <c r="H7789" s="1" t="str">
        <f>HYPERLINK("http://www.weizmann.ac.il/complex/compphys/software/geview/data/figures/207241_at.png","Figure")</f>
        <v>Figure</v>
      </c>
      <c r="I7789">
        <v>1.08</v>
      </c>
      <c r="J7789">
        <v>0.18</v>
      </c>
      <c r="K7789">
        <v>0.996</v>
      </c>
      <c r="L7789">
        <v>0.99</v>
      </c>
      <c r="M7789">
        <v>0.91900000000000004</v>
      </c>
      <c r="N7789">
        <v>0.12</v>
      </c>
    </row>
    <row r="7790" spans="1:14" x14ac:dyDescent="0.25">
      <c r="A7790" t="s">
        <v>13831</v>
      </c>
      <c r="B7790" t="s">
        <v>6357</v>
      </c>
      <c r="C7790" s="1" t="str">
        <f>HYPERLINK("http://www.genecards.org/cgi-bin/carddisp.pl?gene=HADHA","GeneCards")</f>
        <v>GeneCards</v>
      </c>
      <c r="D7790" s="1" t="str">
        <f>HYPERLINK("http://genome-euro.ucsc.edu/cgi-bin/hgTracks?position=208630_at","UCSC")</f>
        <v>UCSC</v>
      </c>
      <c r="E7790" s="1" t="str">
        <f>HYPERLINK("http://www.ncbi.nlm.nih.gov/gene/?term=HADHA","NCBI")</f>
        <v>NCBI</v>
      </c>
      <c r="F7790">
        <v>0.11</v>
      </c>
      <c r="G7790">
        <v>0.25</v>
      </c>
      <c r="H7790" s="1" t="str">
        <f>HYPERLINK("http://www.weizmann.ac.il/complex/compphys/software/geview/data/figures/208630_at.png","Figure")</f>
        <v>Figure</v>
      </c>
      <c r="I7790">
        <v>1.1499999999999999</v>
      </c>
      <c r="J7790">
        <v>0.64</v>
      </c>
      <c r="K7790">
        <v>1.34</v>
      </c>
      <c r="L7790">
        <v>9.9000000000000005E-2</v>
      </c>
      <c r="M7790">
        <v>1.17</v>
      </c>
      <c r="N7790">
        <v>0.52</v>
      </c>
    </row>
    <row r="7791" spans="1:14" x14ac:dyDescent="0.25">
      <c r="A7791" t="s">
        <v>13832</v>
      </c>
      <c r="B7791" t="s">
        <v>13833</v>
      </c>
      <c r="C7791" s="1" t="str">
        <f>HYPERLINK("http://www.genecards.org/cgi-bin/carddisp.pl?gene=CDC25A","GeneCards")</f>
        <v>GeneCards</v>
      </c>
      <c r="D7791" s="1" t="str">
        <f>HYPERLINK("http://genome-euro.ucsc.edu/cgi-bin/hgTracks?position=204696_s_at","UCSC")</f>
        <v>UCSC</v>
      </c>
      <c r="E7791" s="1" t="str">
        <f>HYPERLINK("http://www.ncbi.nlm.nih.gov/gene/?term=CDC25A","NCBI")</f>
        <v>NCBI</v>
      </c>
      <c r="F7791">
        <v>0.11</v>
      </c>
      <c r="G7791">
        <v>0.25</v>
      </c>
      <c r="H7791" s="1" t="str">
        <f>HYPERLINK("http://www.weizmann.ac.il/complex/compphys/software/geview/data/figures/204696_s_at.png","Figure")</f>
        <v>Figure</v>
      </c>
      <c r="I7791">
        <v>1.25</v>
      </c>
      <c r="J7791">
        <v>0.12</v>
      </c>
      <c r="K7791">
        <v>1.04</v>
      </c>
      <c r="L7791">
        <v>0.9</v>
      </c>
      <c r="M7791">
        <v>0.83499999999999996</v>
      </c>
      <c r="N7791">
        <v>0.18</v>
      </c>
    </row>
    <row r="7792" spans="1:14" x14ac:dyDescent="0.25">
      <c r="A7792" t="s">
        <v>13834</v>
      </c>
      <c r="B7792" t="s">
        <v>13835</v>
      </c>
      <c r="C7792" s="1" t="str">
        <f>HYPERLINK("http://www.genecards.org/cgi-bin/carddisp.pl?gene=KIAA0195","GeneCards")</f>
        <v>GeneCards</v>
      </c>
      <c r="D7792" s="1" t="str">
        <f>HYPERLINK("http://genome-euro.ucsc.edu/cgi-bin/hgTracks?position=222210_at","UCSC")</f>
        <v>UCSC</v>
      </c>
      <c r="E7792" s="1" t="str">
        <f>HYPERLINK("http://www.ncbi.nlm.nih.gov/gene/?term=KIAA0195","NCBI")</f>
        <v>NCBI</v>
      </c>
      <c r="F7792">
        <v>0.11</v>
      </c>
      <c r="G7792">
        <v>0.25</v>
      </c>
      <c r="H7792" s="1" t="str">
        <f>HYPERLINK("http://www.weizmann.ac.il/complex/compphys/software/geview/data/figures/222210_at.png","Figure")</f>
        <v>Figure</v>
      </c>
      <c r="I7792">
        <v>1.01</v>
      </c>
      <c r="J7792">
        <v>0.96</v>
      </c>
      <c r="K7792">
        <v>1.08</v>
      </c>
      <c r="L7792">
        <v>0.13</v>
      </c>
      <c r="M7792">
        <v>1.07</v>
      </c>
      <c r="N7792">
        <v>0.26</v>
      </c>
    </row>
    <row r="7793" spans="1:14" x14ac:dyDescent="0.25">
      <c r="A7793" t="s">
        <v>13836</v>
      </c>
      <c r="B7793" t="s">
        <v>6765</v>
      </c>
      <c r="C7793" s="1" t="str">
        <f>HYPERLINK("http://www.genecards.org/cgi-bin/carddisp.pl?gene=VAMP3","GeneCards")</f>
        <v>GeneCards</v>
      </c>
      <c r="D7793" s="1" t="str">
        <f>HYPERLINK("http://genome-euro.ucsc.edu/cgi-bin/hgTracks?position=201337_s_at","UCSC")</f>
        <v>UCSC</v>
      </c>
      <c r="E7793" s="1" t="str">
        <f>HYPERLINK("http://www.ncbi.nlm.nih.gov/gene/?term=VAMP3","NCBI")</f>
        <v>NCBI</v>
      </c>
      <c r="F7793">
        <v>0.11</v>
      </c>
      <c r="G7793">
        <v>0.25</v>
      </c>
      <c r="H7793" s="1" t="str">
        <f>HYPERLINK("http://www.weizmann.ac.il/complex/compphys/software/geview/data/figures/201337_s_at.png","Figure")</f>
        <v>Figure</v>
      </c>
      <c r="I7793">
        <v>0.873</v>
      </c>
      <c r="J7793">
        <v>0.68</v>
      </c>
      <c r="K7793">
        <v>0.73399999999999999</v>
      </c>
      <c r="L7793">
        <v>0.1</v>
      </c>
      <c r="M7793">
        <v>0.84</v>
      </c>
      <c r="N7793">
        <v>0.49</v>
      </c>
    </row>
    <row r="7794" spans="1:14" x14ac:dyDescent="0.25">
      <c r="A7794" t="s">
        <v>13837</v>
      </c>
      <c r="B7794" t="s">
        <v>13838</v>
      </c>
      <c r="C7794" s="1" t="str">
        <f>HYPERLINK("http://www.genecards.org/cgi-bin/carddisp.pl?gene=SIKE1","GeneCards")</f>
        <v>GeneCards</v>
      </c>
      <c r="D7794" s="1" t="str">
        <f>HYPERLINK("http://genome-euro.ucsc.edu/cgi-bin/hgTracks?position=221705_s_at","UCSC")</f>
        <v>UCSC</v>
      </c>
      <c r="E7794" s="1" t="str">
        <f>HYPERLINK("http://www.ncbi.nlm.nih.gov/gene/?term=SIKE1","NCBI")</f>
        <v>NCBI</v>
      </c>
      <c r="F7794">
        <v>0.11</v>
      </c>
      <c r="G7794">
        <v>0.25</v>
      </c>
      <c r="H7794" s="1" t="str">
        <f>HYPERLINK("http://www.weizmann.ac.il/complex/compphys/software/geview/data/figures/221705_s_at.png","Figure")</f>
        <v>Figure</v>
      </c>
      <c r="I7794">
        <v>1.18</v>
      </c>
      <c r="J7794">
        <v>0.34</v>
      </c>
      <c r="K7794">
        <v>0.92900000000000005</v>
      </c>
      <c r="L7794">
        <v>0.74</v>
      </c>
      <c r="M7794">
        <v>0.78700000000000003</v>
      </c>
      <c r="N7794">
        <v>9.8000000000000004E-2</v>
      </c>
    </row>
    <row r="7795" spans="1:14" x14ac:dyDescent="0.25">
      <c r="A7795" t="s">
        <v>13839</v>
      </c>
      <c r="B7795" t="s">
        <v>13840</v>
      </c>
      <c r="C7795" s="1" t="str">
        <f>HYPERLINK("http://www.genecards.org/cgi-bin/carddisp.pl?gene=SLC20A1","GeneCards")</f>
        <v>GeneCards</v>
      </c>
      <c r="D7795" s="1" t="str">
        <f>HYPERLINK("http://genome-euro.ucsc.edu/cgi-bin/hgTracks?position=201920_at","UCSC")</f>
        <v>UCSC</v>
      </c>
      <c r="E7795" s="1" t="str">
        <f>HYPERLINK("http://www.ncbi.nlm.nih.gov/gene/?term=SLC20A1","NCBI")</f>
        <v>NCBI</v>
      </c>
      <c r="F7795">
        <v>0.11</v>
      </c>
      <c r="G7795">
        <v>0.25</v>
      </c>
      <c r="H7795" s="1" t="str">
        <f>HYPERLINK("http://www.weizmann.ac.il/complex/compphys/software/geview/data/figures/201920_at.png","Figure")</f>
        <v>Figure</v>
      </c>
      <c r="I7795">
        <v>1.26</v>
      </c>
      <c r="J7795">
        <v>0.49</v>
      </c>
      <c r="K7795">
        <v>0.83199999999999996</v>
      </c>
      <c r="L7795">
        <v>0.55000000000000004</v>
      </c>
      <c r="M7795">
        <v>0.66100000000000003</v>
      </c>
      <c r="N7795">
        <v>9.9000000000000005E-2</v>
      </c>
    </row>
    <row r="7796" spans="1:14" x14ac:dyDescent="0.25">
      <c r="A7796" t="s">
        <v>13841</v>
      </c>
      <c r="B7796" t="s">
        <v>13842</v>
      </c>
      <c r="C7796" s="1" t="str">
        <f>HYPERLINK("http://www.genecards.org/cgi-bin/carddisp.pl?gene=LRIG1","GeneCards")</f>
        <v>GeneCards</v>
      </c>
      <c r="D7796" s="1" t="str">
        <f>HYPERLINK("http://genome-euro.ucsc.edu/cgi-bin/hgTracks?position=211596_s_at","UCSC")</f>
        <v>UCSC</v>
      </c>
      <c r="E7796" s="1" t="str">
        <f>HYPERLINK("http://www.ncbi.nlm.nih.gov/gene/?term=LRIG1","NCBI")</f>
        <v>NCBI</v>
      </c>
      <c r="F7796">
        <v>0.11</v>
      </c>
      <c r="G7796">
        <v>0.25</v>
      </c>
      <c r="H7796" s="1" t="str">
        <f>HYPERLINK("http://www.weizmann.ac.il/complex/compphys/software/geview/data/figures/211596_s_at.png","Figure")</f>
        <v>Figure</v>
      </c>
      <c r="I7796">
        <v>1.51</v>
      </c>
      <c r="J7796">
        <v>0.7</v>
      </c>
      <c r="K7796">
        <v>2.67</v>
      </c>
      <c r="L7796">
        <v>0.1</v>
      </c>
      <c r="M7796">
        <v>1.77</v>
      </c>
      <c r="N7796">
        <v>0.47</v>
      </c>
    </row>
    <row r="7797" spans="1:14" x14ac:dyDescent="0.25">
      <c r="A7797" t="s">
        <v>13843</v>
      </c>
      <c r="B7797" t="s">
        <v>13844</v>
      </c>
      <c r="C7797" s="1" t="str">
        <f>HYPERLINK("http://www.genecards.org/cgi-bin/carddisp.pl?gene=CXXC1","GeneCards")</f>
        <v>GeneCards</v>
      </c>
      <c r="D7797" s="1" t="str">
        <f>HYPERLINK("http://genome-euro.ucsc.edu/cgi-bin/hgTracks?position=48580_at","UCSC")</f>
        <v>UCSC</v>
      </c>
      <c r="E7797" s="1" t="str">
        <f>HYPERLINK("http://www.ncbi.nlm.nih.gov/gene/?term=CXXC1","NCBI")</f>
        <v>NCBI</v>
      </c>
      <c r="F7797">
        <v>0.12</v>
      </c>
      <c r="G7797">
        <v>0.25</v>
      </c>
      <c r="H7797" s="1" t="str">
        <f>HYPERLINK("http://www.weizmann.ac.il/complex/compphys/software/geview/data/figures/48580_at.png","Figure")</f>
        <v>Figure</v>
      </c>
      <c r="I7797">
        <v>1.39</v>
      </c>
      <c r="J7797">
        <v>0.11</v>
      </c>
      <c r="K7797">
        <v>1.23</v>
      </c>
      <c r="L7797">
        <v>0.28000000000000003</v>
      </c>
      <c r="M7797">
        <v>0.88600000000000001</v>
      </c>
      <c r="N7797">
        <v>0.67</v>
      </c>
    </row>
    <row r="7798" spans="1:14" x14ac:dyDescent="0.25">
      <c r="A7798" t="s">
        <v>13845</v>
      </c>
      <c r="B7798" t="s">
        <v>13846</v>
      </c>
      <c r="C7798" s="1" t="str">
        <f>HYPERLINK("http://www.genecards.org/cgi-bin/carddisp.pl?gene=HTRA2","GeneCards")</f>
        <v>GeneCards</v>
      </c>
      <c r="D7798" s="1" t="str">
        <f>HYPERLINK("http://genome-euro.ucsc.edu/cgi-bin/hgTracks?position=203089_s_at","UCSC")</f>
        <v>UCSC</v>
      </c>
      <c r="E7798" s="1" t="str">
        <f>HYPERLINK("http://www.ncbi.nlm.nih.gov/gene/?term=HTRA2","NCBI")</f>
        <v>NCBI</v>
      </c>
      <c r="F7798">
        <v>0.12</v>
      </c>
      <c r="G7798">
        <v>0.25</v>
      </c>
      <c r="H7798" s="1" t="str">
        <f>HYPERLINK("http://www.weizmann.ac.il/complex/compphys/software/geview/data/figures/203089_s_at.png","Figure")</f>
        <v>Figure</v>
      </c>
      <c r="I7798">
        <v>0.77100000000000002</v>
      </c>
      <c r="J7798">
        <v>0.11</v>
      </c>
      <c r="K7798">
        <v>0.85</v>
      </c>
      <c r="L7798">
        <v>0.28999999999999998</v>
      </c>
      <c r="M7798">
        <v>1.1000000000000001</v>
      </c>
      <c r="N7798">
        <v>0.66</v>
      </c>
    </row>
    <row r="7799" spans="1:14" x14ac:dyDescent="0.25">
      <c r="A7799" t="s">
        <v>13847</v>
      </c>
      <c r="B7799" t="s">
        <v>13848</v>
      </c>
      <c r="C7799" s="1" t="str">
        <f>HYPERLINK("http://www.genecards.org/cgi-bin/carddisp.pl?gene=CHST8","GeneCards")</f>
        <v>GeneCards</v>
      </c>
      <c r="D7799" s="1" t="str">
        <f>HYPERLINK("http://genome-euro.ucsc.edu/cgi-bin/hgTracks?position=221065_s_at","UCSC")</f>
        <v>UCSC</v>
      </c>
      <c r="E7799" s="1" t="str">
        <f>HYPERLINK("http://www.ncbi.nlm.nih.gov/gene/?term=CHST8","NCBI")</f>
        <v>NCBI</v>
      </c>
      <c r="F7799">
        <v>0.12</v>
      </c>
      <c r="G7799">
        <v>0.25</v>
      </c>
      <c r="H7799" s="1" t="str">
        <f>HYPERLINK("http://www.weizmann.ac.il/complex/compphys/software/geview/data/figures/221065_s_at.png","Figure")</f>
        <v>Figure</v>
      </c>
      <c r="I7799">
        <v>1.17</v>
      </c>
      <c r="J7799">
        <v>0.19</v>
      </c>
      <c r="K7799">
        <v>1.17</v>
      </c>
      <c r="L7799">
        <v>0.14000000000000001</v>
      </c>
      <c r="M7799">
        <v>0.99299999999999999</v>
      </c>
      <c r="N7799">
        <v>1</v>
      </c>
    </row>
    <row r="7800" spans="1:14" x14ac:dyDescent="0.25">
      <c r="A7800" t="s">
        <v>13849</v>
      </c>
      <c r="B7800" t="s">
        <v>13850</v>
      </c>
      <c r="C7800" s="1" t="str">
        <f>HYPERLINK("http://www.genecards.org/cgi-bin/carddisp.pl?gene=C4orf16","GeneCards")</f>
        <v>GeneCards</v>
      </c>
      <c r="D7800" s="1" t="str">
        <f>HYPERLINK("http://genome-euro.ucsc.edu/cgi-bin/hgTracks?position=219023_at","UCSC")</f>
        <v>UCSC</v>
      </c>
      <c r="E7800" s="1" t="str">
        <f>HYPERLINK("http://www.ncbi.nlm.nih.gov/gene/?term=C4orf16","NCBI")</f>
        <v>NCBI</v>
      </c>
      <c r="F7800">
        <v>0.12</v>
      </c>
      <c r="G7800">
        <v>0.25</v>
      </c>
      <c r="H7800" s="1" t="str">
        <f>HYPERLINK("http://www.weizmann.ac.il/complex/compphys/software/geview/data/figures/219023_at.png","Figure")</f>
        <v>Figure</v>
      </c>
      <c r="I7800">
        <v>0.78500000000000003</v>
      </c>
      <c r="J7800">
        <v>0.16</v>
      </c>
      <c r="K7800">
        <v>1</v>
      </c>
      <c r="L7800">
        <v>1</v>
      </c>
      <c r="M7800">
        <v>1.27</v>
      </c>
      <c r="N7800">
        <v>0.13</v>
      </c>
    </row>
    <row r="7801" spans="1:14" x14ac:dyDescent="0.25">
      <c r="A7801" t="s">
        <v>13851</v>
      </c>
      <c r="B7801" t="s">
        <v>13852</v>
      </c>
      <c r="C7801" s="1" t="str">
        <f>HYPERLINK("http://www.genecards.org/cgi-bin/carddisp.pl?gene=STK10","GeneCards")</f>
        <v>GeneCards</v>
      </c>
      <c r="D7801" s="1" t="str">
        <f>HYPERLINK("http://genome-euro.ucsc.edu/cgi-bin/hgTracks?position=203047_at","UCSC")</f>
        <v>UCSC</v>
      </c>
      <c r="E7801" s="1" t="str">
        <f>HYPERLINK("http://www.ncbi.nlm.nih.gov/gene/?term=STK10","NCBI")</f>
        <v>NCBI</v>
      </c>
      <c r="F7801">
        <v>0.12</v>
      </c>
      <c r="G7801">
        <v>0.25</v>
      </c>
      <c r="H7801" s="1" t="str">
        <f>HYPERLINK("http://www.weizmann.ac.il/complex/compphys/software/geview/data/figures/203047_at.png","Figure")</f>
        <v>Figure</v>
      </c>
      <c r="I7801">
        <v>1.32</v>
      </c>
      <c r="J7801">
        <v>0.1</v>
      </c>
      <c r="K7801">
        <v>1.18</v>
      </c>
      <c r="L7801">
        <v>0.33</v>
      </c>
      <c r="M7801">
        <v>0.89</v>
      </c>
      <c r="N7801">
        <v>0.59</v>
      </c>
    </row>
    <row r="7802" spans="1:14" x14ac:dyDescent="0.25">
      <c r="A7802" t="s">
        <v>13853</v>
      </c>
      <c r="B7802" t="s">
        <v>13854</v>
      </c>
      <c r="C7802" s="1" t="str">
        <f>HYPERLINK("http://www.genecards.org/cgi-bin/carddisp.pl?gene=GFRA3","GeneCards")</f>
        <v>GeneCards</v>
      </c>
      <c r="D7802" s="1" t="str">
        <f>HYPERLINK("http://genome-euro.ucsc.edu/cgi-bin/hgTracks?position=214479_at","UCSC")</f>
        <v>UCSC</v>
      </c>
      <c r="E7802" s="1" t="str">
        <f>HYPERLINK("http://www.ncbi.nlm.nih.gov/gene/?term=GFRA3","NCBI")</f>
        <v>NCBI</v>
      </c>
      <c r="F7802">
        <v>0.12</v>
      </c>
      <c r="G7802">
        <v>0.25</v>
      </c>
      <c r="H7802" s="1" t="str">
        <f>HYPERLINK("http://www.weizmann.ac.il/complex/compphys/software/geview/data/figures/214479_at.png","Figure")</f>
        <v>Figure</v>
      </c>
      <c r="I7802">
        <v>1.18</v>
      </c>
      <c r="J7802">
        <v>0.11</v>
      </c>
      <c r="K7802">
        <v>1.1000000000000001</v>
      </c>
      <c r="L7802">
        <v>0.32</v>
      </c>
      <c r="M7802">
        <v>0.93600000000000005</v>
      </c>
      <c r="N7802">
        <v>0.61</v>
      </c>
    </row>
    <row r="7803" spans="1:14" x14ac:dyDescent="0.25">
      <c r="A7803" t="s">
        <v>13855</v>
      </c>
      <c r="B7803" t="s">
        <v>13856</v>
      </c>
      <c r="C7803" s="1" t="str">
        <f>HYPERLINK("http://www.genecards.org/cgi-bin/carddisp.pl?gene=ASH1L","GeneCards")</f>
        <v>GeneCards</v>
      </c>
      <c r="D7803" s="1" t="str">
        <f>HYPERLINK("http://genome-euro.ucsc.edu/cgi-bin/hgTracks?position=218554_s_at","UCSC")</f>
        <v>UCSC</v>
      </c>
      <c r="E7803" s="1" t="str">
        <f>HYPERLINK("http://www.ncbi.nlm.nih.gov/gene/?term=ASH1L","NCBI")</f>
        <v>NCBI</v>
      </c>
      <c r="F7803">
        <v>0.12</v>
      </c>
      <c r="G7803">
        <v>0.25</v>
      </c>
      <c r="H7803" s="1" t="str">
        <f>HYPERLINK("http://www.weizmann.ac.il/complex/compphys/software/geview/data/figures/218554_s_at.png","Figure")</f>
        <v>Figure</v>
      </c>
      <c r="I7803">
        <v>1.3</v>
      </c>
      <c r="J7803">
        <v>0.1</v>
      </c>
      <c r="K7803">
        <v>1.1000000000000001</v>
      </c>
      <c r="L7803">
        <v>0.63</v>
      </c>
      <c r="M7803">
        <v>0.84399999999999997</v>
      </c>
      <c r="N7803">
        <v>0.3</v>
      </c>
    </row>
    <row r="7804" spans="1:14" x14ac:dyDescent="0.25">
      <c r="A7804" t="s">
        <v>13857</v>
      </c>
      <c r="B7804" t="s">
        <v>13858</v>
      </c>
      <c r="C7804" s="1" t="str">
        <f>HYPERLINK("http://www.genecards.org/cgi-bin/carddisp.pl?gene=TXNDC15","GeneCards")</f>
        <v>GeneCards</v>
      </c>
      <c r="D7804" s="1" t="str">
        <f>HYPERLINK("http://genome-euro.ucsc.edu/cgi-bin/hgTracks?position=220495_s_at","UCSC")</f>
        <v>UCSC</v>
      </c>
      <c r="E7804" s="1" t="str">
        <f>HYPERLINK("http://www.ncbi.nlm.nih.gov/gene/?term=TXNDC15","NCBI")</f>
        <v>NCBI</v>
      </c>
      <c r="F7804">
        <v>0.12</v>
      </c>
      <c r="G7804">
        <v>0.25</v>
      </c>
      <c r="H7804" s="1" t="str">
        <f>HYPERLINK("http://www.weizmann.ac.il/complex/compphys/software/geview/data/figures/220495_s_at.png","Figure")</f>
        <v>Figure</v>
      </c>
      <c r="I7804">
        <v>0.58699999999999997</v>
      </c>
      <c r="J7804">
        <v>0.11</v>
      </c>
      <c r="K7804">
        <v>0.71899999999999997</v>
      </c>
      <c r="L7804">
        <v>0.3</v>
      </c>
      <c r="M7804">
        <v>1.23</v>
      </c>
      <c r="N7804">
        <v>0.65</v>
      </c>
    </row>
    <row r="7805" spans="1:14" x14ac:dyDescent="0.25">
      <c r="A7805" t="s">
        <v>13859</v>
      </c>
      <c r="B7805" t="s">
        <v>13860</v>
      </c>
      <c r="C7805" s="1" t="str">
        <f>HYPERLINK("http://www.genecards.org/cgi-bin/carddisp.pl?gene=PLLP","GeneCards")</f>
        <v>GeneCards</v>
      </c>
      <c r="D7805" s="1" t="str">
        <f>HYPERLINK("http://genome-euro.ucsc.edu/cgi-bin/hgTracks?position=204519_s_at","UCSC")</f>
        <v>UCSC</v>
      </c>
      <c r="E7805" s="1" t="str">
        <f>HYPERLINK("http://www.ncbi.nlm.nih.gov/gene/?term=PLLP","NCBI")</f>
        <v>NCBI</v>
      </c>
      <c r="F7805">
        <v>0.12</v>
      </c>
      <c r="G7805">
        <v>0.25</v>
      </c>
      <c r="H7805" s="1" t="str">
        <f>HYPERLINK("http://www.weizmann.ac.il/complex/compphys/software/geview/data/figures/204519_s_at.png","Figure")</f>
        <v>Figure</v>
      </c>
      <c r="I7805">
        <v>1.1399999999999999</v>
      </c>
      <c r="J7805">
        <v>0.15</v>
      </c>
      <c r="K7805">
        <v>1.01</v>
      </c>
      <c r="L7805">
        <v>0.99</v>
      </c>
      <c r="M7805">
        <v>0.88300000000000001</v>
      </c>
      <c r="N7805">
        <v>0.14000000000000001</v>
      </c>
    </row>
    <row r="7806" spans="1:14" x14ac:dyDescent="0.25">
      <c r="A7806" t="s">
        <v>13861</v>
      </c>
      <c r="B7806" t="s">
        <v>1171</v>
      </c>
      <c r="C7806" s="1" t="str">
        <f>HYPERLINK("http://www.genecards.org/cgi-bin/carddisp.pl?gene=WSCD1","GeneCards")</f>
        <v>GeneCards</v>
      </c>
      <c r="D7806" s="1" t="str">
        <f>HYPERLINK("http://genome-euro.ucsc.edu/cgi-bin/hgTracks?position=213157_s_at","UCSC")</f>
        <v>UCSC</v>
      </c>
      <c r="E7806" s="1" t="str">
        <f>HYPERLINK("http://www.ncbi.nlm.nih.gov/gene/?term=WSCD1","NCBI")</f>
        <v>NCBI</v>
      </c>
      <c r="F7806">
        <v>0.12</v>
      </c>
      <c r="G7806">
        <v>0.25</v>
      </c>
      <c r="H7806" s="1" t="str">
        <f>HYPERLINK("http://www.weizmann.ac.il/complex/compphys/software/geview/data/figures/213157_s_at.png","Figure")</f>
        <v>Figure</v>
      </c>
      <c r="I7806">
        <v>1.1299999999999999</v>
      </c>
      <c r="J7806">
        <v>0.16</v>
      </c>
      <c r="K7806">
        <v>1</v>
      </c>
      <c r="L7806">
        <v>1</v>
      </c>
      <c r="M7806">
        <v>0.88800000000000001</v>
      </c>
      <c r="N7806">
        <v>0.14000000000000001</v>
      </c>
    </row>
    <row r="7807" spans="1:14" x14ac:dyDescent="0.25">
      <c r="A7807" t="s">
        <v>13862</v>
      </c>
      <c r="B7807" t="s">
        <v>13863</v>
      </c>
      <c r="C7807" s="1" t="str">
        <f>HYPERLINK("http://www.genecards.org/cgi-bin/carddisp.pl?gene=ADCYAP1R1","GeneCards")</f>
        <v>GeneCards</v>
      </c>
      <c r="D7807" s="1" t="str">
        <f>HYPERLINK("http://genome-euro.ucsc.edu/cgi-bin/hgTracks?position=207151_at","UCSC")</f>
        <v>UCSC</v>
      </c>
      <c r="E7807" s="1" t="str">
        <f>HYPERLINK("http://www.ncbi.nlm.nih.gov/gene/?term=ADCYAP1R1","NCBI")</f>
        <v>NCBI</v>
      </c>
      <c r="F7807">
        <v>0.12</v>
      </c>
      <c r="G7807">
        <v>0.25</v>
      </c>
      <c r="H7807" s="1" t="str">
        <f>HYPERLINK("http://www.weizmann.ac.il/complex/compphys/software/geview/data/figures/207151_at.png","Figure")</f>
        <v>Figure</v>
      </c>
      <c r="I7807">
        <v>1</v>
      </c>
      <c r="J7807">
        <v>1</v>
      </c>
      <c r="K7807">
        <v>0.97899999999999998</v>
      </c>
      <c r="L7807">
        <v>0.16</v>
      </c>
      <c r="M7807">
        <v>0.97899999999999998</v>
      </c>
      <c r="N7807">
        <v>0.2</v>
      </c>
    </row>
    <row r="7808" spans="1:14" x14ac:dyDescent="0.25">
      <c r="A7808" t="s">
        <v>13864</v>
      </c>
      <c r="B7808" t="s">
        <v>13865</v>
      </c>
      <c r="C7808" s="1" t="str">
        <f>HYPERLINK("http://www.genecards.org/cgi-bin/carddisp.pl?gene=MAPK4","GeneCards")</f>
        <v>GeneCards</v>
      </c>
      <c r="D7808" s="1" t="str">
        <f>HYPERLINK("http://genome-euro.ucsc.edu/cgi-bin/hgTracks?position=204708_at","UCSC")</f>
        <v>UCSC</v>
      </c>
      <c r="E7808" s="1" t="str">
        <f>HYPERLINK("http://www.ncbi.nlm.nih.gov/gene/?term=MAPK4","NCBI")</f>
        <v>NCBI</v>
      </c>
      <c r="F7808">
        <v>0.12</v>
      </c>
      <c r="G7808">
        <v>0.25</v>
      </c>
      <c r="H7808" s="1" t="str">
        <f>HYPERLINK("http://www.weizmann.ac.il/complex/compphys/software/geview/data/figures/204708_at.png","Figure")</f>
        <v>Figure</v>
      </c>
      <c r="I7808">
        <v>1.05</v>
      </c>
      <c r="J7808">
        <v>0.57999999999999996</v>
      </c>
      <c r="K7808">
        <v>0.95399999999999996</v>
      </c>
      <c r="L7808">
        <v>0.47</v>
      </c>
      <c r="M7808">
        <v>0.91100000000000003</v>
      </c>
      <c r="N7808">
        <v>0.1</v>
      </c>
    </row>
    <row r="7809" spans="1:14" x14ac:dyDescent="0.25">
      <c r="A7809" t="s">
        <v>13866</v>
      </c>
      <c r="B7809" t="s">
        <v>13867</v>
      </c>
      <c r="C7809" s="1" t="str">
        <f>HYPERLINK("http://www.genecards.org/cgi-bin/carddisp.pl?gene=ACSS3","GeneCards")</f>
        <v>GeneCards</v>
      </c>
      <c r="D7809" s="1" t="str">
        <f>HYPERLINK("http://genome-euro.ucsc.edu/cgi-bin/hgTracks?position=219616_at","UCSC")</f>
        <v>UCSC</v>
      </c>
      <c r="E7809" s="1" t="str">
        <f>HYPERLINK("http://www.ncbi.nlm.nih.gov/gene/?term=ACSS3","NCBI")</f>
        <v>NCBI</v>
      </c>
      <c r="F7809">
        <v>0.12</v>
      </c>
      <c r="G7809">
        <v>0.25</v>
      </c>
      <c r="H7809" s="1" t="str">
        <f>HYPERLINK("http://www.weizmann.ac.il/complex/compphys/software/geview/data/figures/219616_at.png","Figure")</f>
        <v>Figure</v>
      </c>
      <c r="I7809">
        <v>1.06</v>
      </c>
      <c r="J7809">
        <v>0.42</v>
      </c>
      <c r="K7809">
        <v>0.96199999999999997</v>
      </c>
      <c r="L7809">
        <v>0.63</v>
      </c>
      <c r="M7809">
        <v>0.90400000000000003</v>
      </c>
      <c r="N7809">
        <v>9.8000000000000004E-2</v>
      </c>
    </row>
    <row r="7810" spans="1:14" x14ac:dyDescent="0.25">
      <c r="A7810" t="s">
        <v>13868</v>
      </c>
      <c r="B7810" t="s">
        <v>13869</v>
      </c>
      <c r="C7810" s="1" t="str">
        <f>HYPERLINK("http://www.genecards.org/cgi-bin/carddisp.pl?gene=VPRBP","GeneCards")</f>
        <v>GeneCards</v>
      </c>
      <c r="D7810" s="1" t="str">
        <f>HYPERLINK("http://genome-euro.ucsc.edu/cgi-bin/hgTracks?position=204377_s_at","UCSC")</f>
        <v>UCSC</v>
      </c>
      <c r="E7810" s="1" t="str">
        <f>HYPERLINK("http://www.ncbi.nlm.nih.gov/gene/?term=VPRBP","NCBI")</f>
        <v>NCBI</v>
      </c>
      <c r="F7810">
        <v>0.12</v>
      </c>
      <c r="G7810">
        <v>0.25</v>
      </c>
      <c r="H7810" s="1" t="str">
        <f>HYPERLINK("http://www.weizmann.ac.il/complex/compphys/software/geview/data/figures/204377_s_at.png","Figure")</f>
        <v>Figure</v>
      </c>
      <c r="I7810">
        <v>1.28</v>
      </c>
      <c r="J7810">
        <v>0.27</v>
      </c>
      <c r="K7810">
        <v>0.93100000000000005</v>
      </c>
      <c r="L7810">
        <v>0.85</v>
      </c>
      <c r="M7810">
        <v>0.72699999999999998</v>
      </c>
      <c r="N7810">
        <v>0.1</v>
      </c>
    </row>
    <row r="7811" spans="1:14" x14ac:dyDescent="0.25">
      <c r="A7811" t="s">
        <v>13870</v>
      </c>
      <c r="B7811" t="s">
        <v>13871</v>
      </c>
      <c r="C7811" s="1" t="str">
        <f>HYPERLINK("http://www.genecards.org/cgi-bin/carddisp.pl?gene=ENTPD1","GeneCards")</f>
        <v>GeneCards</v>
      </c>
      <c r="D7811" s="1" t="str">
        <f>HYPERLINK("http://genome-euro.ucsc.edu/cgi-bin/hgTracks?position=209473_at","UCSC")</f>
        <v>UCSC</v>
      </c>
      <c r="E7811" s="1" t="str">
        <f>HYPERLINK("http://www.ncbi.nlm.nih.gov/gene/?term=ENTPD1","NCBI")</f>
        <v>NCBI</v>
      </c>
      <c r="F7811">
        <v>0.12</v>
      </c>
      <c r="G7811">
        <v>0.25</v>
      </c>
      <c r="H7811" s="1" t="str">
        <f>HYPERLINK("http://www.weizmann.ac.il/complex/compphys/software/geview/data/figures/209473_at.png","Figure")</f>
        <v>Figure</v>
      </c>
      <c r="I7811">
        <v>0.871</v>
      </c>
      <c r="J7811">
        <v>0.68</v>
      </c>
      <c r="K7811">
        <v>1.22</v>
      </c>
      <c r="L7811">
        <v>0.38</v>
      </c>
      <c r="M7811">
        <v>1.4</v>
      </c>
      <c r="N7811">
        <v>0.11</v>
      </c>
    </row>
    <row r="7812" spans="1:14" x14ac:dyDescent="0.25">
      <c r="A7812" t="s">
        <v>13872</v>
      </c>
      <c r="B7812" t="s">
        <v>13873</v>
      </c>
      <c r="C7812" s="1" t="str">
        <f>HYPERLINK("http://www.genecards.org/cgi-bin/carddisp.pl?gene=MT2A","GeneCards")</f>
        <v>GeneCards</v>
      </c>
      <c r="D7812" s="1" t="str">
        <f>HYPERLINK("http://genome-euro.ucsc.edu/cgi-bin/hgTracks?position=212185_x_at","UCSC")</f>
        <v>UCSC</v>
      </c>
      <c r="E7812" s="1" t="str">
        <f>HYPERLINK("http://www.ncbi.nlm.nih.gov/gene/?term=MT2A","NCBI")</f>
        <v>NCBI</v>
      </c>
      <c r="F7812">
        <v>0.12</v>
      </c>
      <c r="G7812">
        <v>0.25</v>
      </c>
      <c r="H7812" s="1" t="str">
        <f>HYPERLINK("http://www.weizmann.ac.il/complex/compphys/software/geview/data/figures/212185_x_at.png","Figure")</f>
        <v>Figure</v>
      </c>
      <c r="I7812">
        <v>1.47</v>
      </c>
      <c r="J7812">
        <v>0.19</v>
      </c>
      <c r="K7812">
        <v>1.45</v>
      </c>
      <c r="L7812">
        <v>0.14000000000000001</v>
      </c>
      <c r="M7812">
        <v>0.98499999999999999</v>
      </c>
      <c r="N7812">
        <v>1</v>
      </c>
    </row>
    <row r="7813" spans="1:14" x14ac:dyDescent="0.25">
      <c r="A7813" t="s">
        <v>13874</v>
      </c>
      <c r="B7813" t="s">
        <v>13875</v>
      </c>
      <c r="C7813" s="1" t="str">
        <f>HYPERLINK("http://www.genecards.org/cgi-bin/carddisp.pl?gene=PRKD3","GeneCards")</f>
        <v>GeneCards</v>
      </c>
      <c r="D7813" s="1" t="str">
        <f>HYPERLINK("http://genome-euro.ucsc.edu/cgi-bin/hgTracks?position=218236_s_at","UCSC")</f>
        <v>UCSC</v>
      </c>
      <c r="E7813" s="1" t="str">
        <f>HYPERLINK("http://www.ncbi.nlm.nih.gov/gene/?term=PRKD3","NCBI")</f>
        <v>NCBI</v>
      </c>
      <c r="F7813">
        <v>0.12</v>
      </c>
      <c r="G7813">
        <v>0.25</v>
      </c>
      <c r="H7813" s="1" t="str">
        <f>HYPERLINK("http://www.weizmann.ac.il/complex/compphys/software/geview/data/figures/218236_s_at.png","Figure")</f>
        <v>Figure</v>
      </c>
      <c r="I7813">
        <v>0.53300000000000003</v>
      </c>
      <c r="J7813">
        <v>0.21</v>
      </c>
      <c r="K7813">
        <v>0.52900000000000003</v>
      </c>
      <c r="L7813">
        <v>0.13</v>
      </c>
      <c r="M7813">
        <v>0.99399999999999999</v>
      </c>
      <c r="N7813">
        <v>1</v>
      </c>
    </row>
    <row r="7814" spans="1:14" x14ac:dyDescent="0.25">
      <c r="A7814" t="s">
        <v>13876</v>
      </c>
      <c r="B7814" t="s">
        <v>13877</v>
      </c>
      <c r="C7814" s="1" t="str">
        <f>HYPERLINK("http://www.genecards.org/cgi-bin/carddisp.pl?gene=MGAT1","GeneCards")</f>
        <v>GeneCards</v>
      </c>
      <c r="D7814" s="1" t="str">
        <f>HYPERLINK("http://genome-euro.ucsc.edu/cgi-bin/hgTracks?position=201126_s_at","UCSC")</f>
        <v>UCSC</v>
      </c>
      <c r="E7814" s="1" t="str">
        <f>HYPERLINK("http://www.ncbi.nlm.nih.gov/gene/?term=MGAT1","NCBI")</f>
        <v>NCBI</v>
      </c>
      <c r="F7814">
        <v>0.12</v>
      </c>
      <c r="G7814">
        <v>0.25</v>
      </c>
      <c r="H7814" s="1" t="str">
        <f>HYPERLINK("http://www.weizmann.ac.il/complex/compphys/software/geview/data/figures/201126_s_at.png","Figure")</f>
        <v>Figure</v>
      </c>
      <c r="I7814">
        <v>0.877</v>
      </c>
      <c r="J7814">
        <v>0.68</v>
      </c>
      <c r="K7814">
        <v>1.21</v>
      </c>
      <c r="L7814">
        <v>0.38</v>
      </c>
      <c r="M7814">
        <v>1.38</v>
      </c>
      <c r="N7814">
        <v>0.11</v>
      </c>
    </row>
    <row r="7815" spans="1:14" x14ac:dyDescent="0.25">
      <c r="A7815" t="s">
        <v>13878</v>
      </c>
      <c r="B7815" t="s">
        <v>13879</v>
      </c>
      <c r="C7815" s="1" t="str">
        <f>HYPERLINK("http://www.genecards.org/cgi-bin/carddisp.pl?gene=HGFAC","GeneCards")</f>
        <v>GeneCards</v>
      </c>
      <c r="D7815" s="1" t="str">
        <f>HYPERLINK("http://genome-euro.ucsc.edu/cgi-bin/hgTracks?position=207027_at","UCSC")</f>
        <v>UCSC</v>
      </c>
      <c r="E7815" s="1" t="str">
        <f>HYPERLINK("http://www.ncbi.nlm.nih.gov/gene/?term=HGFAC","NCBI")</f>
        <v>NCBI</v>
      </c>
      <c r="F7815">
        <v>0.12</v>
      </c>
      <c r="G7815">
        <v>0.25</v>
      </c>
      <c r="H7815" s="1" t="str">
        <f>HYPERLINK("http://www.weizmann.ac.il/complex/compphys/software/geview/data/figures/207027_at.png","Figure")</f>
        <v>Figure</v>
      </c>
      <c r="I7815">
        <v>1.1299999999999999</v>
      </c>
      <c r="J7815">
        <v>0.28000000000000003</v>
      </c>
      <c r="K7815">
        <v>1.1599999999999999</v>
      </c>
      <c r="L7815">
        <v>0.11</v>
      </c>
      <c r="M7815">
        <v>1.02</v>
      </c>
      <c r="N7815">
        <v>0.94</v>
      </c>
    </row>
    <row r="7816" spans="1:14" x14ac:dyDescent="0.25">
      <c r="A7816" t="s">
        <v>13880</v>
      </c>
      <c r="B7816" t="s">
        <v>13881</v>
      </c>
      <c r="C7816" s="1" t="str">
        <f>HYPERLINK("http://www.genecards.org/cgi-bin/carddisp.pl?gene=PRKRIR","GeneCards")</f>
        <v>GeneCards</v>
      </c>
      <c r="D7816" s="1" t="str">
        <f>HYPERLINK("http://genome-euro.ucsc.edu/cgi-bin/hgTracks?position=209323_at","UCSC")</f>
        <v>UCSC</v>
      </c>
      <c r="E7816" s="1" t="str">
        <f>HYPERLINK("http://www.ncbi.nlm.nih.gov/gene/?term=PRKRIR","NCBI")</f>
        <v>NCBI</v>
      </c>
      <c r="F7816">
        <v>0.12</v>
      </c>
      <c r="G7816">
        <v>0.25</v>
      </c>
      <c r="H7816" s="1" t="str">
        <f>HYPERLINK("http://www.weizmann.ac.il/complex/compphys/software/geview/data/figures/209323_at.png","Figure")</f>
        <v>Figure</v>
      </c>
      <c r="I7816">
        <v>0.752</v>
      </c>
      <c r="J7816">
        <v>0.24</v>
      </c>
      <c r="K7816">
        <v>0.73299999999999998</v>
      </c>
      <c r="L7816">
        <v>0.12</v>
      </c>
      <c r="M7816">
        <v>0.97399999999999998</v>
      </c>
      <c r="N7816">
        <v>0.98</v>
      </c>
    </row>
    <row r="7817" spans="1:14" x14ac:dyDescent="0.25">
      <c r="A7817" t="s">
        <v>13882</v>
      </c>
      <c r="B7817" t="s">
        <v>13883</v>
      </c>
      <c r="C7817" s="1" t="str">
        <f>HYPERLINK("http://www.genecards.org/cgi-bin/carddisp.pl?gene=NDUFAB1","GeneCards")</f>
        <v>GeneCards</v>
      </c>
      <c r="D7817" s="1" t="str">
        <f>HYPERLINK("http://genome-euro.ucsc.edu/cgi-bin/hgTracks?position=202077_at","UCSC")</f>
        <v>UCSC</v>
      </c>
      <c r="E7817" s="1" t="str">
        <f>HYPERLINK("http://www.ncbi.nlm.nih.gov/gene/?term=NDUFAB1","NCBI")</f>
        <v>NCBI</v>
      </c>
      <c r="F7817">
        <v>0.12</v>
      </c>
      <c r="G7817">
        <v>0.25</v>
      </c>
      <c r="H7817" s="1" t="str">
        <f>HYPERLINK("http://www.weizmann.ac.il/complex/compphys/software/geview/data/figures/202077_at.png","Figure")</f>
        <v>Figure</v>
      </c>
      <c r="I7817">
        <v>1.25</v>
      </c>
      <c r="J7817">
        <v>0.46</v>
      </c>
      <c r="K7817">
        <v>1.44</v>
      </c>
      <c r="L7817">
        <v>9.8000000000000004E-2</v>
      </c>
      <c r="M7817">
        <v>1.1499999999999999</v>
      </c>
      <c r="N7817">
        <v>0.71</v>
      </c>
    </row>
    <row r="7818" spans="1:14" x14ac:dyDescent="0.25">
      <c r="A7818" t="s">
        <v>13884</v>
      </c>
      <c r="B7818" t="s">
        <v>8120</v>
      </c>
      <c r="C7818" s="1" t="str">
        <f>HYPERLINK("http://www.genecards.org/cgi-bin/carddisp.pl?gene=EFNB2","GeneCards")</f>
        <v>GeneCards</v>
      </c>
      <c r="D7818" s="1" t="str">
        <f>HYPERLINK("http://genome-euro.ucsc.edu/cgi-bin/hgTracks?position=202669_s_at","UCSC")</f>
        <v>UCSC</v>
      </c>
      <c r="E7818" s="1" t="str">
        <f>HYPERLINK("http://www.ncbi.nlm.nih.gov/gene/?term=EFNB2","NCBI")</f>
        <v>NCBI</v>
      </c>
      <c r="F7818">
        <v>0.12</v>
      </c>
      <c r="G7818">
        <v>0.25</v>
      </c>
      <c r="H7818" s="1" t="str">
        <f>HYPERLINK("http://www.weizmann.ac.il/complex/compphys/software/geview/data/figures/202669_s_at.png","Figure")</f>
        <v>Figure</v>
      </c>
      <c r="I7818">
        <v>1.85</v>
      </c>
      <c r="J7818">
        <v>0.16</v>
      </c>
      <c r="K7818">
        <v>1.01</v>
      </c>
      <c r="L7818">
        <v>1</v>
      </c>
      <c r="M7818">
        <v>0.54600000000000004</v>
      </c>
      <c r="N7818">
        <v>0.14000000000000001</v>
      </c>
    </row>
    <row r="7819" spans="1:14" x14ac:dyDescent="0.25">
      <c r="A7819" t="s">
        <v>13885</v>
      </c>
      <c r="B7819" t="s">
        <v>13886</v>
      </c>
      <c r="C7819" s="1" t="str">
        <f>HYPERLINK("http://www.genecards.org/cgi-bin/carddisp.pl?gene=LRIG2","GeneCards")</f>
        <v>GeneCards</v>
      </c>
      <c r="D7819" s="1" t="str">
        <f>HYPERLINK("http://genome-euro.ucsc.edu/cgi-bin/hgTracks?position=205953_at","UCSC")</f>
        <v>UCSC</v>
      </c>
      <c r="E7819" s="1" t="str">
        <f>HYPERLINK("http://www.ncbi.nlm.nih.gov/gene/?term=LRIG2","NCBI")</f>
        <v>NCBI</v>
      </c>
      <c r="F7819">
        <v>0.12</v>
      </c>
      <c r="G7819">
        <v>0.25</v>
      </c>
      <c r="H7819" s="1" t="str">
        <f>HYPERLINK("http://www.weizmann.ac.il/complex/compphys/software/geview/data/figures/205953_at.png","Figure")</f>
        <v>Figure</v>
      </c>
      <c r="I7819">
        <v>1.21</v>
      </c>
      <c r="J7819">
        <v>0.46</v>
      </c>
      <c r="K7819">
        <v>0.871</v>
      </c>
      <c r="L7819">
        <v>0.57999999999999996</v>
      </c>
      <c r="M7819">
        <v>0.72099999999999997</v>
      </c>
      <c r="N7819">
        <v>9.9000000000000005E-2</v>
      </c>
    </row>
    <row r="7820" spans="1:14" x14ac:dyDescent="0.25">
      <c r="A7820" t="s">
        <v>13887</v>
      </c>
      <c r="B7820" t="s">
        <v>7695</v>
      </c>
      <c r="C7820" s="1" t="str">
        <f>HYPERLINK("http://www.genecards.org/cgi-bin/carddisp.pl?gene=NSDHL","GeneCards")</f>
        <v>GeneCards</v>
      </c>
      <c r="D7820" s="1" t="str">
        <f>HYPERLINK("http://genome-euro.ucsc.edu/cgi-bin/hgTracks?position=215093_at","UCSC")</f>
        <v>UCSC</v>
      </c>
      <c r="E7820" s="1" t="str">
        <f>HYPERLINK("http://www.ncbi.nlm.nih.gov/gene/?term=NSDHL","NCBI")</f>
        <v>NCBI</v>
      </c>
      <c r="F7820">
        <v>0.12</v>
      </c>
      <c r="G7820">
        <v>0.25</v>
      </c>
      <c r="H7820" s="1" t="str">
        <f>HYPERLINK("http://www.weizmann.ac.il/complex/compphys/software/geview/data/figures/215093_at.png","Figure")</f>
        <v>Figure</v>
      </c>
      <c r="I7820">
        <v>0.61299999999999999</v>
      </c>
      <c r="J7820">
        <v>0.1</v>
      </c>
      <c r="K7820">
        <v>0.84499999999999997</v>
      </c>
      <c r="L7820">
        <v>0.66</v>
      </c>
      <c r="M7820">
        <v>1.38</v>
      </c>
      <c r="N7820">
        <v>0.28999999999999998</v>
      </c>
    </row>
    <row r="7821" spans="1:14" x14ac:dyDescent="0.25">
      <c r="A7821" t="s">
        <v>13888</v>
      </c>
      <c r="B7821" t="s">
        <v>13889</v>
      </c>
      <c r="C7821" s="1" t="str">
        <f>HYPERLINK("http://www.genecards.org/cgi-bin/carddisp.pl?gene=MED24","GeneCards")</f>
        <v>GeneCards</v>
      </c>
      <c r="D7821" s="1" t="str">
        <f>HYPERLINK("http://genome-euro.ucsc.edu/cgi-bin/hgTracks?position=215337_at","UCSC")</f>
        <v>UCSC</v>
      </c>
      <c r="E7821" s="1" t="str">
        <f>HYPERLINK("http://www.ncbi.nlm.nih.gov/gene/?term=MED24","NCBI")</f>
        <v>NCBI</v>
      </c>
      <c r="F7821">
        <v>0.12</v>
      </c>
      <c r="G7821">
        <v>0.25</v>
      </c>
      <c r="H7821" s="1" t="str">
        <f>HYPERLINK("http://www.weizmann.ac.il/complex/compphys/software/geview/data/figures/215337_at.png","Figure")</f>
        <v>Figure</v>
      </c>
      <c r="I7821">
        <v>1.05</v>
      </c>
      <c r="J7821">
        <v>0.37</v>
      </c>
      <c r="K7821">
        <v>0.97299999999999998</v>
      </c>
      <c r="L7821">
        <v>0.7</v>
      </c>
      <c r="M7821">
        <v>0.92200000000000004</v>
      </c>
      <c r="N7821">
        <v>9.8000000000000004E-2</v>
      </c>
    </row>
    <row r="7822" spans="1:14" x14ac:dyDescent="0.25">
      <c r="A7822" t="s">
        <v>13890</v>
      </c>
      <c r="B7822" t="s">
        <v>13891</v>
      </c>
      <c r="C7822" s="1" t="str">
        <f>HYPERLINK("http://www.genecards.org/cgi-bin/carddisp.pl?gene=SLC29A1","GeneCards")</f>
        <v>GeneCards</v>
      </c>
      <c r="D7822" s="1" t="str">
        <f>HYPERLINK("http://genome-euro.ucsc.edu/cgi-bin/hgTracks?position=201801_s_at","UCSC")</f>
        <v>UCSC</v>
      </c>
      <c r="E7822" s="1" t="str">
        <f>HYPERLINK("http://www.ncbi.nlm.nih.gov/gene/?term=SLC29A1","NCBI")</f>
        <v>NCBI</v>
      </c>
      <c r="F7822">
        <v>0.12</v>
      </c>
      <c r="G7822">
        <v>0.25</v>
      </c>
      <c r="H7822" s="1" t="str">
        <f>HYPERLINK("http://www.weizmann.ac.il/complex/compphys/software/geview/data/figures/201801_s_at.png","Figure")</f>
        <v>Figure</v>
      </c>
      <c r="I7822">
        <v>1.1200000000000001</v>
      </c>
      <c r="J7822">
        <v>0.38</v>
      </c>
      <c r="K7822">
        <v>0.94299999999999995</v>
      </c>
      <c r="L7822">
        <v>0.69</v>
      </c>
      <c r="M7822">
        <v>0.84299999999999997</v>
      </c>
      <c r="N7822">
        <v>9.8000000000000004E-2</v>
      </c>
    </row>
    <row r="7823" spans="1:14" x14ac:dyDescent="0.25">
      <c r="A7823" t="s">
        <v>13892</v>
      </c>
      <c r="B7823" t="s">
        <v>2266</v>
      </c>
      <c r="C7823" s="1" t="str">
        <f>HYPERLINK("http://www.genecards.org/cgi-bin/carddisp.pl?gene=NCOA3","GeneCards")</f>
        <v>GeneCards</v>
      </c>
      <c r="D7823" s="1" t="str">
        <f>HYPERLINK("http://genome-euro.ucsc.edu/cgi-bin/hgTracks?position=209061_at","UCSC")</f>
        <v>UCSC</v>
      </c>
      <c r="E7823" s="1" t="str">
        <f>HYPERLINK("http://www.ncbi.nlm.nih.gov/gene/?term=NCOA3","NCBI")</f>
        <v>NCBI</v>
      </c>
      <c r="F7823">
        <v>0.12</v>
      </c>
      <c r="G7823">
        <v>0.25</v>
      </c>
      <c r="H7823" s="1" t="str">
        <f>HYPERLINK("http://www.weizmann.ac.il/complex/compphys/software/geview/data/figures/209061_at.png","Figure")</f>
        <v>Figure</v>
      </c>
      <c r="I7823">
        <v>1.26</v>
      </c>
      <c r="J7823">
        <v>0.24</v>
      </c>
      <c r="K7823">
        <v>0.95099999999999996</v>
      </c>
      <c r="L7823">
        <v>0.91</v>
      </c>
      <c r="M7823">
        <v>0.755</v>
      </c>
      <c r="N7823">
        <v>0.11</v>
      </c>
    </row>
    <row r="7824" spans="1:14" x14ac:dyDescent="0.25">
      <c r="A7824" t="s">
        <v>13893</v>
      </c>
      <c r="B7824" t="s">
        <v>11778</v>
      </c>
      <c r="C7824" s="1" t="str">
        <f>HYPERLINK("http://www.genecards.org/cgi-bin/carddisp.pl?gene=RPN2","GeneCards")</f>
        <v>GeneCards</v>
      </c>
      <c r="D7824" s="1" t="str">
        <f>HYPERLINK("http://genome-euro.ucsc.edu/cgi-bin/hgTracks?position=213399_x_at","UCSC")</f>
        <v>UCSC</v>
      </c>
      <c r="E7824" s="1" t="str">
        <f>HYPERLINK("http://www.ncbi.nlm.nih.gov/gene/?term=RPN2","NCBI")</f>
        <v>NCBI</v>
      </c>
      <c r="F7824">
        <v>0.12</v>
      </c>
      <c r="G7824">
        <v>0.25</v>
      </c>
      <c r="H7824" s="1" t="str">
        <f>HYPERLINK("http://www.weizmann.ac.il/complex/compphys/software/geview/data/figures/213399_x_at.png","Figure")</f>
        <v>Figure</v>
      </c>
      <c r="I7824">
        <v>0.69499999999999995</v>
      </c>
      <c r="J7824">
        <v>0.15</v>
      </c>
      <c r="K7824">
        <v>0.98499999999999999</v>
      </c>
      <c r="L7824">
        <v>0.99</v>
      </c>
      <c r="M7824">
        <v>1.42</v>
      </c>
      <c r="N7824">
        <v>0.14000000000000001</v>
      </c>
    </row>
    <row r="7825" spans="1:14" x14ac:dyDescent="0.25">
      <c r="A7825" t="s">
        <v>13894</v>
      </c>
      <c r="B7825" t="s">
        <v>13895</v>
      </c>
      <c r="C7825" s="1" t="str">
        <f>HYPERLINK("http://www.genecards.org/cgi-bin/carddisp.pl?gene=PLD3","GeneCards")</f>
        <v>GeneCards</v>
      </c>
      <c r="D7825" s="1" t="str">
        <f>HYPERLINK("http://genome-euro.ucsc.edu/cgi-bin/hgTracks?position=201050_at","UCSC")</f>
        <v>UCSC</v>
      </c>
      <c r="E7825" s="1" t="str">
        <f>HYPERLINK("http://www.ncbi.nlm.nih.gov/gene/?term=PLD3","NCBI")</f>
        <v>NCBI</v>
      </c>
      <c r="F7825">
        <v>0.12</v>
      </c>
      <c r="G7825">
        <v>0.25</v>
      </c>
      <c r="H7825" s="1" t="str">
        <f>HYPERLINK("http://www.weizmann.ac.il/complex/compphys/software/geview/data/figures/201050_at.png","Figure")</f>
        <v>Figure</v>
      </c>
      <c r="I7825">
        <v>0.90500000000000003</v>
      </c>
      <c r="J7825">
        <v>0.69</v>
      </c>
      <c r="K7825">
        <v>1.1599999999999999</v>
      </c>
      <c r="L7825">
        <v>0.37</v>
      </c>
      <c r="M7825">
        <v>1.28</v>
      </c>
      <c r="N7825">
        <v>0.11</v>
      </c>
    </row>
    <row r="7826" spans="1:14" x14ac:dyDescent="0.25">
      <c r="A7826" t="s">
        <v>13896</v>
      </c>
      <c r="B7826" t="s">
        <v>11872</v>
      </c>
      <c r="C7826" s="1" t="str">
        <f>HYPERLINK("http://www.genecards.org/cgi-bin/carddisp.pl?gene=RNASET2","GeneCards")</f>
        <v>GeneCards</v>
      </c>
      <c r="D7826" s="1" t="str">
        <f>HYPERLINK("http://genome-euro.ucsc.edu/cgi-bin/hgTracks?position=217983_s_at","UCSC")</f>
        <v>UCSC</v>
      </c>
      <c r="E7826" s="1" t="str">
        <f>HYPERLINK("http://www.ncbi.nlm.nih.gov/gene/?term=RNASET2","NCBI")</f>
        <v>NCBI</v>
      </c>
      <c r="F7826">
        <v>0.12</v>
      </c>
      <c r="G7826">
        <v>0.25</v>
      </c>
      <c r="H7826" s="1" t="str">
        <f>HYPERLINK("http://www.weizmann.ac.il/complex/compphys/software/geview/data/figures/217983_s_at.png","Figure")</f>
        <v>Figure</v>
      </c>
      <c r="I7826">
        <v>0.436</v>
      </c>
      <c r="J7826">
        <v>0.16</v>
      </c>
      <c r="K7826">
        <v>0.49</v>
      </c>
      <c r="L7826">
        <v>0.16</v>
      </c>
      <c r="M7826">
        <v>1.1200000000000001</v>
      </c>
      <c r="N7826">
        <v>0.95</v>
      </c>
    </row>
    <row r="7827" spans="1:14" x14ac:dyDescent="0.25">
      <c r="A7827" t="s">
        <v>13897</v>
      </c>
      <c r="B7827" t="s">
        <v>6086</v>
      </c>
      <c r="C7827" s="1" t="str">
        <f>HYPERLINK("http://www.genecards.org/cgi-bin/carddisp.pl?gene=TCL6","GeneCards")</f>
        <v>GeneCards</v>
      </c>
      <c r="D7827" s="1" t="str">
        <f>HYPERLINK("http://genome-euro.ucsc.edu/cgi-bin/hgTracks?position=207894_s_at","UCSC")</f>
        <v>UCSC</v>
      </c>
      <c r="E7827" s="1" t="str">
        <f>HYPERLINK("http://www.ncbi.nlm.nih.gov/gene/?term=TCL6","NCBI")</f>
        <v>NCBI</v>
      </c>
      <c r="F7827">
        <v>0.12</v>
      </c>
      <c r="G7827">
        <v>0.25</v>
      </c>
      <c r="H7827" s="1" t="str">
        <f>HYPERLINK("http://www.weizmann.ac.il/complex/compphys/software/geview/data/figures/207894_s_at.png","Figure")</f>
        <v>Figure</v>
      </c>
      <c r="I7827">
        <v>1.38</v>
      </c>
      <c r="J7827">
        <v>0.16</v>
      </c>
      <c r="K7827">
        <v>1.01</v>
      </c>
      <c r="L7827">
        <v>1</v>
      </c>
      <c r="M7827">
        <v>0.73099999999999998</v>
      </c>
      <c r="N7827">
        <v>0.14000000000000001</v>
      </c>
    </row>
    <row r="7828" spans="1:14" x14ac:dyDescent="0.25">
      <c r="A7828" t="s">
        <v>13898</v>
      </c>
      <c r="B7828" t="s">
        <v>13899</v>
      </c>
      <c r="C7828" s="1" t="str">
        <f>HYPERLINK("http://www.genecards.org/cgi-bin/carddisp.pl?gene=RPL7A","GeneCards")</f>
        <v>GeneCards</v>
      </c>
      <c r="D7828" s="1" t="str">
        <f>HYPERLINK("http://genome-euro.ucsc.edu/cgi-bin/hgTracks?position=217740_x_at","UCSC")</f>
        <v>UCSC</v>
      </c>
      <c r="E7828" s="1" t="str">
        <f>HYPERLINK("http://www.ncbi.nlm.nih.gov/gene/?term=RPL7A","NCBI")</f>
        <v>NCBI</v>
      </c>
      <c r="F7828">
        <v>0.12</v>
      </c>
      <c r="G7828">
        <v>0.25</v>
      </c>
      <c r="H7828" s="1" t="str">
        <f>HYPERLINK("http://www.weizmann.ac.il/complex/compphys/software/geview/data/figures/217740_x_at.png","Figure")</f>
        <v>Figure</v>
      </c>
      <c r="I7828">
        <v>1.03</v>
      </c>
      <c r="J7828">
        <v>0.98</v>
      </c>
      <c r="K7828">
        <v>1.34</v>
      </c>
      <c r="L7828">
        <v>0.14000000000000001</v>
      </c>
      <c r="M7828">
        <v>1.3</v>
      </c>
      <c r="N7828">
        <v>0.24</v>
      </c>
    </row>
    <row r="7829" spans="1:14" x14ac:dyDescent="0.25">
      <c r="A7829" t="s">
        <v>13900</v>
      </c>
      <c r="B7829" t="s">
        <v>13901</v>
      </c>
      <c r="C7829" s="1" t="str">
        <f>HYPERLINK("http://www.genecards.org/cgi-bin/carddisp.pl?gene=ATP5E","GeneCards")</f>
        <v>GeneCards</v>
      </c>
      <c r="D7829" s="1" t="str">
        <f>HYPERLINK("http://genome-euro.ucsc.edu/cgi-bin/hgTracks?position=217801_at","UCSC")</f>
        <v>UCSC</v>
      </c>
      <c r="E7829" s="1" t="str">
        <f>HYPERLINK("http://www.ncbi.nlm.nih.gov/gene/?term=ATP5E","NCBI")</f>
        <v>NCBI</v>
      </c>
      <c r="F7829">
        <v>0.12</v>
      </c>
      <c r="G7829">
        <v>0.25</v>
      </c>
      <c r="H7829" s="1" t="str">
        <f>HYPERLINK("http://www.weizmann.ac.il/complex/compphys/software/geview/data/figures/217801_at.png","Figure")</f>
        <v>Figure</v>
      </c>
      <c r="I7829">
        <v>0.84799999999999998</v>
      </c>
      <c r="J7829">
        <v>0.71</v>
      </c>
      <c r="K7829">
        <v>1.29</v>
      </c>
      <c r="L7829">
        <v>0.36</v>
      </c>
      <c r="M7829">
        <v>1.52</v>
      </c>
      <c r="N7829">
        <v>0.11</v>
      </c>
    </row>
    <row r="7830" spans="1:14" x14ac:dyDescent="0.25">
      <c r="A7830" t="s">
        <v>13902</v>
      </c>
      <c r="B7830" t="s">
        <v>8540</v>
      </c>
      <c r="C7830" s="1" t="str">
        <f>HYPERLINK("http://www.genecards.org/cgi-bin/carddisp.pl?gene=SPDEF","GeneCards")</f>
        <v>GeneCards</v>
      </c>
      <c r="D7830" s="1" t="str">
        <f>HYPERLINK("http://genome-euro.ucsc.edu/cgi-bin/hgTracks?position=220192_x_at","UCSC")</f>
        <v>UCSC</v>
      </c>
      <c r="E7830" s="1" t="str">
        <f>HYPERLINK("http://www.ncbi.nlm.nih.gov/gene/?term=SPDEF","NCBI")</f>
        <v>NCBI</v>
      </c>
      <c r="F7830">
        <v>0.12</v>
      </c>
      <c r="G7830">
        <v>0.25</v>
      </c>
      <c r="H7830" s="1" t="str">
        <f>HYPERLINK("http://www.weizmann.ac.il/complex/compphys/software/geview/data/figures/220192_x_at.png","Figure")</f>
        <v>Figure</v>
      </c>
      <c r="I7830">
        <v>1.24</v>
      </c>
      <c r="J7830">
        <v>9.8000000000000004E-2</v>
      </c>
      <c r="K7830">
        <v>1.1000000000000001</v>
      </c>
      <c r="L7830">
        <v>0.5</v>
      </c>
      <c r="M7830">
        <v>0.88600000000000001</v>
      </c>
      <c r="N7830">
        <v>0.4</v>
      </c>
    </row>
    <row r="7831" spans="1:14" x14ac:dyDescent="0.25">
      <c r="A7831" t="s">
        <v>13903</v>
      </c>
      <c r="B7831" t="s">
        <v>13904</v>
      </c>
      <c r="C7831" s="1" t="str">
        <f>HYPERLINK("http://www.genecards.org/cgi-bin/carddisp.pl?gene=LIG3","GeneCards")</f>
        <v>GeneCards</v>
      </c>
      <c r="D7831" s="1" t="str">
        <f>HYPERLINK("http://genome-euro.ucsc.edu/cgi-bin/hgTracks?position=207348_s_at","UCSC")</f>
        <v>UCSC</v>
      </c>
      <c r="E7831" s="1" t="str">
        <f>HYPERLINK("http://www.ncbi.nlm.nih.gov/gene/?term=LIG3","NCBI")</f>
        <v>NCBI</v>
      </c>
      <c r="F7831">
        <v>0.12</v>
      </c>
      <c r="G7831">
        <v>0.25</v>
      </c>
      <c r="H7831" s="1" t="str">
        <f>HYPERLINK("http://www.weizmann.ac.il/complex/compphys/software/geview/data/figures/207348_s_at.png","Figure")</f>
        <v>Figure</v>
      </c>
      <c r="I7831">
        <v>1.08</v>
      </c>
      <c r="J7831">
        <v>0.52</v>
      </c>
      <c r="K7831">
        <v>1.1499999999999999</v>
      </c>
      <c r="L7831">
        <v>9.8000000000000004E-2</v>
      </c>
      <c r="M7831">
        <v>1.06</v>
      </c>
      <c r="N7831">
        <v>0.64</v>
      </c>
    </row>
    <row r="7832" spans="1:14" x14ac:dyDescent="0.25">
      <c r="A7832" t="s">
        <v>13905</v>
      </c>
      <c r="B7832" t="s">
        <v>13906</v>
      </c>
      <c r="C7832" s="1" t="str">
        <f>HYPERLINK("http://www.genecards.org/cgi-bin/carddisp.pl?gene=PCSK7","GeneCards")</f>
        <v>GeneCards</v>
      </c>
      <c r="D7832" s="1" t="str">
        <f>HYPERLINK("http://genome-euro.ucsc.edu/cgi-bin/hgTracks?position=203118_at","UCSC")</f>
        <v>UCSC</v>
      </c>
      <c r="E7832" s="1" t="str">
        <f>HYPERLINK("http://www.ncbi.nlm.nih.gov/gene/?term=PCSK7","NCBI")</f>
        <v>NCBI</v>
      </c>
      <c r="F7832">
        <v>0.12</v>
      </c>
      <c r="G7832">
        <v>0.25</v>
      </c>
      <c r="H7832" s="1" t="str">
        <f>HYPERLINK("http://www.weizmann.ac.il/complex/compphys/software/geview/data/figures/203118_at.png","Figure")</f>
        <v>Figure</v>
      </c>
      <c r="I7832">
        <v>1.1399999999999999</v>
      </c>
      <c r="J7832">
        <v>0.38</v>
      </c>
      <c r="K7832">
        <v>1.2</v>
      </c>
      <c r="L7832">
        <v>0.1</v>
      </c>
      <c r="M7832">
        <v>1.06</v>
      </c>
      <c r="N7832">
        <v>0.82</v>
      </c>
    </row>
    <row r="7833" spans="1:14" x14ac:dyDescent="0.25">
      <c r="A7833" t="s">
        <v>13907</v>
      </c>
      <c r="B7833" t="s">
        <v>7380</v>
      </c>
      <c r="C7833" s="1" t="str">
        <f>HYPERLINK("http://www.genecards.org/cgi-bin/carddisp.pl?gene=PHF3","GeneCards")</f>
        <v>GeneCards</v>
      </c>
      <c r="D7833" s="1" t="str">
        <f>HYPERLINK("http://genome-euro.ucsc.edu/cgi-bin/hgTracks?position=217951_s_at","UCSC")</f>
        <v>UCSC</v>
      </c>
      <c r="E7833" s="1" t="str">
        <f>HYPERLINK("http://www.ncbi.nlm.nih.gov/gene/?term=PHF3","NCBI")</f>
        <v>NCBI</v>
      </c>
      <c r="F7833">
        <v>0.12</v>
      </c>
      <c r="G7833">
        <v>0.25</v>
      </c>
      <c r="H7833" s="1" t="str">
        <f>HYPERLINK("http://www.weizmann.ac.il/complex/compphys/software/geview/data/figures/217951_s_at.png","Figure")</f>
        <v>Figure</v>
      </c>
      <c r="I7833">
        <v>0.82399999999999995</v>
      </c>
      <c r="J7833">
        <v>0.56000000000000005</v>
      </c>
      <c r="K7833">
        <v>0.69499999999999995</v>
      </c>
      <c r="L7833">
        <v>9.9000000000000005E-2</v>
      </c>
      <c r="M7833">
        <v>0.84399999999999997</v>
      </c>
      <c r="N7833">
        <v>0.6</v>
      </c>
    </row>
    <row r="7834" spans="1:14" x14ac:dyDescent="0.25">
      <c r="A7834" t="s">
        <v>13908</v>
      </c>
      <c r="B7834" t="s">
        <v>9946</v>
      </c>
      <c r="C7834" s="1" t="str">
        <f>HYPERLINK("http://www.genecards.org/cgi-bin/carddisp.pl?gene=ADAM17","GeneCards")</f>
        <v>GeneCards</v>
      </c>
      <c r="D7834" s="1" t="str">
        <f>HYPERLINK("http://genome-euro.ucsc.edu/cgi-bin/hgTracks?position=205745_x_at","UCSC")</f>
        <v>UCSC</v>
      </c>
      <c r="E7834" s="1" t="str">
        <f>HYPERLINK("http://www.ncbi.nlm.nih.gov/gene/?term=ADAM17","NCBI")</f>
        <v>NCBI</v>
      </c>
      <c r="F7834">
        <v>0.12</v>
      </c>
      <c r="G7834">
        <v>0.25</v>
      </c>
      <c r="H7834" s="1" t="str">
        <f>HYPERLINK("http://www.weizmann.ac.il/complex/compphys/software/geview/data/figures/205745_x_at.png","Figure")</f>
        <v>Figure</v>
      </c>
      <c r="I7834">
        <v>1.01</v>
      </c>
      <c r="J7834">
        <v>1</v>
      </c>
      <c r="K7834">
        <v>0.7</v>
      </c>
      <c r="L7834">
        <v>0.17</v>
      </c>
      <c r="M7834">
        <v>0.69099999999999995</v>
      </c>
      <c r="N7834">
        <v>0.19</v>
      </c>
    </row>
    <row r="7835" spans="1:14" x14ac:dyDescent="0.25">
      <c r="A7835" t="s">
        <v>13909</v>
      </c>
      <c r="B7835" t="s">
        <v>13910</v>
      </c>
      <c r="C7835" s="1" t="str">
        <f>HYPERLINK("http://www.genecards.org/cgi-bin/carddisp.pl?gene=TAF6","GeneCards")</f>
        <v>GeneCards</v>
      </c>
      <c r="D7835" s="1" t="str">
        <f>HYPERLINK("http://genome-euro.ucsc.edu/cgi-bin/hgTracks?position=203572_s_at","UCSC")</f>
        <v>UCSC</v>
      </c>
      <c r="E7835" s="1" t="str">
        <f>HYPERLINK("http://www.ncbi.nlm.nih.gov/gene/?term=TAF6","NCBI")</f>
        <v>NCBI</v>
      </c>
      <c r="F7835">
        <v>0.12</v>
      </c>
      <c r="G7835">
        <v>0.25</v>
      </c>
      <c r="H7835" s="1" t="str">
        <f>HYPERLINK("http://www.weizmann.ac.il/complex/compphys/software/geview/data/figures/203572_s_at.png","Figure")</f>
        <v>Figure</v>
      </c>
      <c r="I7835">
        <v>1.33</v>
      </c>
      <c r="J7835">
        <v>0.11</v>
      </c>
      <c r="K7835">
        <v>1.2</v>
      </c>
      <c r="L7835">
        <v>0.28999999999999998</v>
      </c>
      <c r="M7835">
        <v>0.89700000000000002</v>
      </c>
      <c r="N7835">
        <v>0.66</v>
      </c>
    </row>
    <row r="7836" spans="1:14" x14ac:dyDescent="0.25">
      <c r="A7836" t="s">
        <v>13911</v>
      </c>
      <c r="B7836" t="s">
        <v>13912</v>
      </c>
      <c r="C7836" s="1" t="str">
        <f>HYPERLINK("http://www.genecards.org/cgi-bin/carddisp.pl?gene=ADAMTS13","GeneCards")</f>
        <v>GeneCards</v>
      </c>
      <c r="D7836" s="1" t="str">
        <f>HYPERLINK("http://genome-euro.ucsc.edu/cgi-bin/hgTracks?position=220208_at","UCSC")</f>
        <v>UCSC</v>
      </c>
      <c r="E7836" s="1" t="str">
        <f>HYPERLINK("http://www.ncbi.nlm.nih.gov/gene/?term=ADAMTS13","NCBI")</f>
        <v>NCBI</v>
      </c>
      <c r="F7836">
        <v>0.12</v>
      </c>
      <c r="G7836">
        <v>0.25</v>
      </c>
      <c r="H7836" s="1" t="str">
        <f>HYPERLINK("http://www.weizmann.ac.il/complex/compphys/software/geview/data/figures/220208_at.png","Figure")</f>
        <v>Figure</v>
      </c>
      <c r="I7836">
        <v>1.1599999999999999</v>
      </c>
      <c r="J7836">
        <v>0.11</v>
      </c>
      <c r="K7836">
        <v>1.04</v>
      </c>
      <c r="L7836">
        <v>0.84</v>
      </c>
      <c r="M7836">
        <v>0.89</v>
      </c>
      <c r="N7836">
        <v>0.21</v>
      </c>
    </row>
    <row r="7837" spans="1:14" x14ac:dyDescent="0.25">
      <c r="A7837" t="s">
        <v>13913</v>
      </c>
      <c r="B7837" t="s">
        <v>10922</v>
      </c>
      <c r="C7837" s="1" t="str">
        <f>HYPERLINK("http://www.genecards.org/cgi-bin/carddisp.pl?gene=DNAJB12","GeneCards")</f>
        <v>GeneCards</v>
      </c>
      <c r="D7837" s="1" t="str">
        <f>HYPERLINK("http://genome-euro.ucsc.edu/cgi-bin/hgTracks?position=202867_s_at","UCSC")</f>
        <v>UCSC</v>
      </c>
      <c r="E7837" s="1" t="str">
        <f>HYPERLINK("http://www.ncbi.nlm.nih.gov/gene/?term=DNAJB12","NCBI")</f>
        <v>NCBI</v>
      </c>
      <c r="F7837">
        <v>0.12</v>
      </c>
      <c r="G7837">
        <v>0.25</v>
      </c>
      <c r="H7837" s="1" t="str">
        <f>HYPERLINK("http://www.weizmann.ac.il/complex/compphys/software/geview/data/figures/202867_s_at.png","Figure")</f>
        <v>Figure</v>
      </c>
      <c r="I7837">
        <v>0.76100000000000001</v>
      </c>
      <c r="J7837">
        <v>0.12</v>
      </c>
      <c r="K7837">
        <v>0.95199999999999996</v>
      </c>
      <c r="L7837">
        <v>0.9</v>
      </c>
      <c r="M7837">
        <v>1.25</v>
      </c>
      <c r="N7837">
        <v>0.19</v>
      </c>
    </row>
    <row r="7838" spans="1:14" x14ac:dyDescent="0.25">
      <c r="A7838" t="s">
        <v>13914</v>
      </c>
      <c r="B7838" t="s">
        <v>13915</v>
      </c>
      <c r="C7838" s="1" t="str">
        <f>HYPERLINK("http://www.genecards.org/cgi-bin/carddisp.pl?gene=EIF4A3","GeneCards")</f>
        <v>GeneCards</v>
      </c>
      <c r="D7838" s="1" t="str">
        <f>HYPERLINK("http://genome-euro.ucsc.edu/cgi-bin/hgTracks?position=201303_at","UCSC")</f>
        <v>UCSC</v>
      </c>
      <c r="E7838" s="1" t="str">
        <f>HYPERLINK("http://www.ncbi.nlm.nih.gov/gene/?term=EIF4A3","NCBI")</f>
        <v>NCBI</v>
      </c>
      <c r="F7838">
        <v>0.12</v>
      </c>
      <c r="G7838">
        <v>0.25</v>
      </c>
      <c r="H7838" s="1" t="str">
        <f>HYPERLINK("http://www.weizmann.ac.il/complex/compphys/software/geview/data/figures/201303_at.png","Figure")</f>
        <v>Figure</v>
      </c>
      <c r="I7838">
        <v>1</v>
      </c>
      <c r="J7838">
        <v>1</v>
      </c>
      <c r="K7838">
        <v>1.45</v>
      </c>
      <c r="L7838">
        <v>0.17</v>
      </c>
      <c r="M7838">
        <v>1.45</v>
      </c>
      <c r="N7838">
        <v>0.2</v>
      </c>
    </row>
    <row r="7839" spans="1:14" x14ac:dyDescent="0.25">
      <c r="A7839" t="s">
        <v>13916</v>
      </c>
      <c r="B7839" t="s">
        <v>13917</v>
      </c>
      <c r="C7839" s="1" t="str">
        <f>HYPERLINK("http://www.genecards.org/cgi-bin/carddisp.pl?gene=FAM32A","GeneCards")</f>
        <v>GeneCards</v>
      </c>
      <c r="D7839" s="1" t="str">
        <f>HYPERLINK("http://genome-euro.ucsc.edu/cgi-bin/hgTracks?position=201863_at","UCSC")</f>
        <v>UCSC</v>
      </c>
      <c r="E7839" s="1" t="str">
        <f>HYPERLINK("http://www.ncbi.nlm.nih.gov/gene/?term=FAM32A","NCBI")</f>
        <v>NCBI</v>
      </c>
      <c r="F7839">
        <v>0.12</v>
      </c>
      <c r="G7839">
        <v>0.25</v>
      </c>
      <c r="H7839" s="1" t="str">
        <f>HYPERLINK("http://www.weizmann.ac.il/complex/compphys/software/geview/data/figures/201863_at.png","Figure")</f>
        <v>Figure</v>
      </c>
      <c r="I7839">
        <v>1.1599999999999999</v>
      </c>
      <c r="J7839">
        <v>0.2</v>
      </c>
      <c r="K7839">
        <v>0.98599999999999999</v>
      </c>
      <c r="L7839">
        <v>0.98</v>
      </c>
      <c r="M7839">
        <v>0.85099999999999998</v>
      </c>
      <c r="N7839">
        <v>0.12</v>
      </c>
    </row>
    <row r="7840" spans="1:14" x14ac:dyDescent="0.25">
      <c r="A7840" t="s">
        <v>13918</v>
      </c>
      <c r="B7840" t="s">
        <v>13919</v>
      </c>
      <c r="C7840" s="1" t="str">
        <f>HYPERLINK("http://www.genecards.org/cgi-bin/carddisp.pl?gene=CLN5","GeneCards")</f>
        <v>GeneCards</v>
      </c>
      <c r="D7840" s="1" t="str">
        <f>HYPERLINK("http://genome-euro.ucsc.edu/cgi-bin/hgTracks?position=204084_s_at","UCSC")</f>
        <v>UCSC</v>
      </c>
      <c r="E7840" s="1" t="str">
        <f>HYPERLINK("http://www.ncbi.nlm.nih.gov/gene/?term=CLN5","NCBI")</f>
        <v>NCBI</v>
      </c>
      <c r="F7840">
        <v>0.12</v>
      </c>
      <c r="G7840">
        <v>0.25</v>
      </c>
      <c r="H7840" s="1" t="str">
        <f>HYPERLINK("http://www.weizmann.ac.il/complex/compphys/software/geview/data/figures/204084_s_at.png","Figure")</f>
        <v>Figure</v>
      </c>
      <c r="I7840">
        <v>0.88300000000000001</v>
      </c>
      <c r="J7840">
        <v>0.31</v>
      </c>
      <c r="K7840">
        <v>1.05</v>
      </c>
      <c r="L7840">
        <v>0.8</v>
      </c>
      <c r="M7840">
        <v>1.18</v>
      </c>
      <c r="N7840">
        <v>0.1</v>
      </c>
    </row>
    <row r="7841" spans="1:14" x14ac:dyDescent="0.25">
      <c r="A7841" t="s">
        <v>13920</v>
      </c>
      <c r="B7841" t="s">
        <v>13921</v>
      </c>
      <c r="C7841" s="1" t="str">
        <f>HYPERLINK("http://www.genecards.org/cgi-bin/carddisp.pl?gene=SNTB1","GeneCards")</f>
        <v>GeneCards</v>
      </c>
      <c r="D7841" s="1" t="str">
        <f>HYPERLINK("http://genome-euro.ucsc.edu/cgi-bin/hgTracks?position=208608_s_at","UCSC")</f>
        <v>UCSC</v>
      </c>
      <c r="E7841" s="1" t="str">
        <f>HYPERLINK("http://www.ncbi.nlm.nih.gov/gene/?term=SNTB1","NCBI")</f>
        <v>NCBI</v>
      </c>
      <c r="F7841">
        <v>0.12</v>
      </c>
      <c r="G7841">
        <v>0.25</v>
      </c>
      <c r="H7841" s="1" t="str">
        <f>HYPERLINK("http://www.weizmann.ac.il/complex/compphys/software/geview/data/figures/208608_s_at.png","Figure")</f>
        <v>Figure</v>
      </c>
      <c r="I7841">
        <v>1.0900000000000001</v>
      </c>
      <c r="J7841">
        <v>0.11</v>
      </c>
      <c r="K7841">
        <v>1.06</v>
      </c>
      <c r="L7841">
        <v>0.27</v>
      </c>
      <c r="M7841">
        <v>0.97</v>
      </c>
      <c r="N7841">
        <v>0.7</v>
      </c>
    </row>
    <row r="7842" spans="1:14" x14ac:dyDescent="0.25">
      <c r="A7842" t="s">
        <v>13922</v>
      </c>
      <c r="B7842" t="s">
        <v>13923</v>
      </c>
      <c r="C7842" s="1" t="str">
        <f>HYPERLINK("http://www.genecards.org/cgi-bin/carddisp.pl?gene=SILV","GeneCards")</f>
        <v>GeneCards</v>
      </c>
      <c r="D7842" s="1" t="str">
        <f>HYPERLINK("http://genome-euro.ucsc.edu/cgi-bin/hgTracks?position=209848_s_at","UCSC")</f>
        <v>UCSC</v>
      </c>
      <c r="E7842" s="1" t="str">
        <f>HYPERLINK("http://www.ncbi.nlm.nih.gov/gene/?term=SILV","NCBI")</f>
        <v>NCBI</v>
      </c>
      <c r="F7842">
        <v>0.12</v>
      </c>
      <c r="G7842">
        <v>0.25</v>
      </c>
      <c r="H7842" s="1" t="str">
        <f>HYPERLINK("http://www.weizmann.ac.il/complex/compphys/software/geview/data/figures/209848_s_at.png","Figure")</f>
        <v>Figure</v>
      </c>
      <c r="I7842">
        <v>1.1499999999999999</v>
      </c>
      <c r="J7842">
        <v>0.11</v>
      </c>
      <c r="K7842">
        <v>1.04</v>
      </c>
      <c r="L7842">
        <v>0.77</v>
      </c>
      <c r="M7842">
        <v>0.90500000000000003</v>
      </c>
      <c r="N7842">
        <v>0.24</v>
      </c>
    </row>
    <row r="7843" spans="1:14" x14ac:dyDescent="0.25">
      <c r="A7843" t="s">
        <v>13924</v>
      </c>
      <c r="B7843" t="s">
        <v>4034</v>
      </c>
      <c r="C7843" s="1" t="str">
        <f>HYPERLINK("http://www.genecards.org/cgi-bin/carddisp.pl?gene=SUB1","GeneCards")</f>
        <v>GeneCards</v>
      </c>
      <c r="D7843" s="1" t="str">
        <f>HYPERLINK("http://genome-euro.ucsc.edu/cgi-bin/hgTracks?position=212857_x_at","UCSC")</f>
        <v>UCSC</v>
      </c>
      <c r="E7843" s="1" t="str">
        <f>HYPERLINK("http://www.ncbi.nlm.nih.gov/gene/?term=SUB1","NCBI")</f>
        <v>NCBI</v>
      </c>
      <c r="F7843">
        <v>0.12</v>
      </c>
      <c r="G7843">
        <v>0.25</v>
      </c>
      <c r="H7843" s="1" t="str">
        <f>HYPERLINK("http://www.weizmann.ac.il/complex/compphys/software/geview/data/figures/212857_x_at.png","Figure")</f>
        <v>Figure</v>
      </c>
      <c r="I7843">
        <v>0.77100000000000002</v>
      </c>
      <c r="J7843">
        <v>0.21</v>
      </c>
      <c r="K7843">
        <v>0.76600000000000001</v>
      </c>
      <c r="L7843">
        <v>0.13</v>
      </c>
      <c r="M7843">
        <v>0.99399999999999999</v>
      </c>
      <c r="N7843">
        <v>1</v>
      </c>
    </row>
    <row r="7844" spans="1:14" x14ac:dyDescent="0.25">
      <c r="A7844" t="s">
        <v>13925</v>
      </c>
      <c r="B7844" t="s">
        <v>13926</v>
      </c>
      <c r="C7844" s="1" t="str">
        <f>HYPERLINK("http://www.genecards.org/cgi-bin/carddisp.pl?gene=ZNF23","GeneCards")</f>
        <v>GeneCards</v>
      </c>
      <c r="D7844" s="1" t="str">
        <f>HYPERLINK("http://genome-euro.ucsc.edu/cgi-bin/hgTracks?position=213934_s_at","UCSC")</f>
        <v>UCSC</v>
      </c>
      <c r="E7844" s="1" t="str">
        <f>HYPERLINK("http://www.ncbi.nlm.nih.gov/gene/?term=ZNF23","NCBI")</f>
        <v>NCBI</v>
      </c>
      <c r="F7844">
        <v>0.12</v>
      </c>
      <c r="G7844">
        <v>0.25</v>
      </c>
      <c r="H7844" s="1" t="str">
        <f>HYPERLINK("http://www.weizmann.ac.il/complex/compphys/software/geview/data/figures/213934_s_at.png","Figure")</f>
        <v>Figure</v>
      </c>
      <c r="I7844">
        <v>0.83199999999999996</v>
      </c>
      <c r="J7844">
        <v>0.13</v>
      </c>
      <c r="K7844">
        <v>0.97199999999999998</v>
      </c>
      <c r="L7844">
        <v>0.92</v>
      </c>
      <c r="M7844">
        <v>1.17</v>
      </c>
      <c r="N7844">
        <v>0.18</v>
      </c>
    </row>
    <row r="7845" spans="1:14" x14ac:dyDescent="0.25">
      <c r="A7845" t="s">
        <v>13927</v>
      </c>
      <c r="B7845" t="s">
        <v>13928</v>
      </c>
      <c r="C7845" s="1" t="str">
        <f>HYPERLINK("http://www.genecards.org/cgi-bin/carddisp.pl?gene=SAP30BP","GeneCards")</f>
        <v>GeneCards</v>
      </c>
      <c r="D7845" s="1" t="str">
        <f>HYPERLINK("http://genome-euro.ucsc.edu/cgi-bin/hgTracks?position=217965_s_at","UCSC")</f>
        <v>UCSC</v>
      </c>
      <c r="E7845" s="1" t="str">
        <f>HYPERLINK("http://www.ncbi.nlm.nih.gov/gene/?term=SAP30BP","NCBI")</f>
        <v>NCBI</v>
      </c>
      <c r="F7845">
        <v>0.12</v>
      </c>
      <c r="G7845">
        <v>0.25</v>
      </c>
      <c r="H7845" s="1" t="str">
        <f>HYPERLINK("http://www.weizmann.ac.il/complex/compphys/software/geview/data/figures/217965_s_at.png","Figure")</f>
        <v>Figure</v>
      </c>
      <c r="I7845">
        <v>0.80600000000000005</v>
      </c>
      <c r="J7845">
        <v>0.68</v>
      </c>
      <c r="K7845">
        <v>0.61</v>
      </c>
      <c r="L7845">
        <v>0.1</v>
      </c>
      <c r="M7845">
        <v>0.75700000000000001</v>
      </c>
      <c r="N7845">
        <v>0.49</v>
      </c>
    </row>
    <row r="7846" spans="1:14" x14ac:dyDescent="0.25">
      <c r="A7846" t="s">
        <v>13929</v>
      </c>
      <c r="B7846" t="s">
        <v>13930</v>
      </c>
      <c r="C7846" s="1" t="str">
        <f>HYPERLINK("http://www.genecards.org/cgi-bin/carddisp.pl?gene=ORC2L","GeneCards")</f>
        <v>GeneCards</v>
      </c>
      <c r="D7846" s="1" t="str">
        <f>HYPERLINK("http://genome-euro.ucsc.edu/cgi-bin/hgTracks?position=204853_at","UCSC")</f>
        <v>UCSC</v>
      </c>
      <c r="E7846" s="1" t="str">
        <f>HYPERLINK("http://www.ncbi.nlm.nih.gov/gene/?term=ORC2L","NCBI")</f>
        <v>NCBI</v>
      </c>
      <c r="F7846">
        <v>0.12</v>
      </c>
      <c r="G7846">
        <v>0.25</v>
      </c>
      <c r="H7846" s="1" t="str">
        <f>HYPERLINK("http://www.weizmann.ac.il/complex/compphys/software/geview/data/figures/204853_at.png","Figure")</f>
        <v>Figure</v>
      </c>
      <c r="I7846">
        <v>0.75900000000000001</v>
      </c>
      <c r="J7846">
        <v>0.2</v>
      </c>
      <c r="K7846">
        <v>1.03</v>
      </c>
      <c r="L7846">
        <v>0.97</v>
      </c>
      <c r="M7846">
        <v>1.36</v>
      </c>
      <c r="N7846">
        <v>0.12</v>
      </c>
    </row>
    <row r="7847" spans="1:14" x14ac:dyDescent="0.25">
      <c r="A7847" t="s">
        <v>13931</v>
      </c>
      <c r="B7847" t="s">
        <v>13932</v>
      </c>
      <c r="C7847" s="1" t="str">
        <f>HYPERLINK("http://www.genecards.org/cgi-bin/carddisp.pl?gene=TXNRD3","GeneCards")</f>
        <v>GeneCards</v>
      </c>
      <c r="D7847" s="1" t="str">
        <f>HYPERLINK("http://genome-euro.ucsc.edu/cgi-bin/hgTracks?position=221906_at","UCSC")</f>
        <v>UCSC</v>
      </c>
      <c r="E7847" s="1" t="str">
        <f>HYPERLINK("http://www.ncbi.nlm.nih.gov/gene/?term=TXNRD3","NCBI")</f>
        <v>NCBI</v>
      </c>
      <c r="F7847">
        <v>0.12</v>
      </c>
      <c r="G7847">
        <v>0.25</v>
      </c>
      <c r="H7847" s="1" t="str">
        <f>HYPERLINK("http://www.weizmann.ac.il/complex/compphys/software/geview/data/figures/221906_at.png","Figure")</f>
        <v>Figure</v>
      </c>
      <c r="I7847">
        <v>0.91700000000000004</v>
      </c>
      <c r="J7847">
        <v>0.56000000000000005</v>
      </c>
      <c r="K7847">
        <v>0.84899999999999998</v>
      </c>
      <c r="L7847">
        <v>9.9000000000000005E-2</v>
      </c>
      <c r="M7847">
        <v>0.92600000000000005</v>
      </c>
      <c r="N7847">
        <v>0.6</v>
      </c>
    </row>
    <row r="7848" spans="1:14" x14ac:dyDescent="0.25">
      <c r="A7848" t="s">
        <v>13933</v>
      </c>
      <c r="B7848" t="s">
        <v>7743</v>
      </c>
      <c r="C7848" s="1" t="str">
        <f>HYPERLINK("http://www.genecards.org/cgi-bin/carddisp.pl?gene=PDCD4","GeneCards")</f>
        <v>GeneCards</v>
      </c>
      <c r="D7848" s="1" t="str">
        <f>HYPERLINK("http://genome-euro.ucsc.edu/cgi-bin/hgTracks?position=212594_at","UCSC")</f>
        <v>UCSC</v>
      </c>
      <c r="E7848" s="1" t="str">
        <f>HYPERLINK("http://www.ncbi.nlm.nih.gov/gene/?term=PDCD4","NCBI")</f>
        <v>NCBI</v>
      </c>
      <c r="F7848">
        <v>0.12</v>
      </c>
      <c r="G7848">
        <v>0.25</v>
      </c>
      <c r="H7848" s="1" t="str">
        <f>HYPERLINK("http://www.weizmann.ac.il/complex/compphys/software/geview/data/figures/212594_at.png","Figure")</f>
        <v>Figure</v>
      </c>
      <c r="I7848">
        <v>0.61199999999999999</v>
      </c>
      <c r="J7848">
        <v>0.19</v>
      </c>
      <c r="K7848">
        <v>0.62</v>
      </c>
      <c r="L7848">
        <v>0.14000000000000001</v>
      </c>
      <c r="M7848">
        <v>1.01</v>
      </c>
      <c r="N7848">
        <v>1</v>
      </c>
    </row>
    <row r="7849" spans="1:14" x14ac:dyDescent="0.25">
      <c r="A7849" t="s">
        <v>13934</v>
      </c>
      <c r="B7849" t="s">
        <v>13935</v>
      </c>
      <c r="C7849" s="1" t="str">
        <f>HYPERLINK("http://www.genecards.org/cgi-bin/carddisp.pl?gene=TFAP4","GeneCards")</f>
        <v>GeneCards</v>
      </c>
      <c r="D7849" s="1" t="str">
        <f>HYPERLINK("http://genome-euro.ucsc.edu/cgi-bin/hgTracks?position=205688_at","UCSC")</f>
        <v>UCSC</v>
      </c>
      <c r="E7849" s="1" t="str">
        <f>HYPERLINK("http://www.ncbi.nlm.nih.gov/gene/?term=TFAP4","NCBI")</f>
        <v>NCBI</v>
      </c>
      <c r="F7849">
        <v>0.12</v>
      </c>
      <c r="G7849">
        <v>0.25</v>
      </c>
      <c r="H7849" s="1" t="str">
        <f>HYPERLINK("http://www.weizmann.ac.il/complex/compphys/software/geview/data/figures/205688_at.png","Figure")</f>
        <v>Figure</v>
      </c>
      <c r="I7849">
        <v>1.26</v>
      </c>
      <c r="J7849">
        <v>0.1</v>
      </c>
      <c r="K7849">
        <v>1.1299999999999999</v>
      </c>
      <c r="L7849">
        <v>0.38</v>
      </c>
      <c r="M7849">
        <v>0.89800000000000002</v>
      </c>
      <c r="N7849">
        <v>0.52</v>
      </c>
    </row>
    <row r="7850" spans="1:14" x14ac:dyDescent="0.25">
      <c r="A7850" t="s">
        <v>13936</v>
      </c>
      <c r="B7850" t="s">
        <v>2968</v>
      </c>
      <c r="C7850" s="1" t="str">
        <f>HYPERLINK("http://www.genecards.org/cgi-bin/carddisp.pl?gene=METTL13","GeneCards")</f>
        <v>GeneCards</v>
      </c>
      <c r="D7850" s="1" t="str">
        <f>HYPERLINK("http://genome-euro.ucsc.edu/cgi-bin/hgTracks?position=212407_at","UCSC")</f>
        <v>UCSC</v>
      </c>
      <c r="E7850" s="1" t="str">
        <f>HYPERLINK("http://www.ncbi.nlm.nih.gov/gene/?term=METTL13","NCBI")</f>
        <v>NCBI</v>
      </c>
      <c r="F7850">
        <v>0.12</v>
      </c>
      <c r="G7850">
        <v>0.25</v>
      </c>
      <c r="H7850" s="1" t="str">
        <f>HYPERLINK("http://www.weizmann.ac.il/complex/compphys/software/geview/data/figures/212407_at.png","Figure")</f>
        <v>Figure</v>
      </c>
      <c r="I7850">
        <v>1.1599999999999999</v>
      </c>
      <c r="J7850">
        <v>0.63</v>
      </c>
      <c r="K7850">
        <v>1.37</v>
      </c>
      <c r="L7850">
        <v>0.1</v>
      </c>
      <c r="M7850">
        <v>1.18</v>
      </c>
      <c r="N7850">
        <v>0.53</v>
      </c>
    </row>
    <row r="7851" spans="1:14" x14ac:dyDescent="0.25">
      <c r="A7851" t="s">
        <v>13937</v>
      </c>
      <c r="B7851" t="s">
        <v>13938</v>
      </c>
      <c r="C7851" s="1" t="str">
        <f>HYPERLINK("http://www.genecards.org/cgi-bin/carddisp.pl?gene=SCTR","GeneCards")</f>
        <v>GeneCards</v>
      </c>
      <c r="D7851" s="1" t="str">
        <f>HYPERLINK("http://genome-euro.ucsc.edu/cgi-bin/hgTracks?position=210382_at","UCSC")</f>
        <v>UCSC</v>
      </c>
      <c r="E7851" s="1" t="str">
        <f>HYPERLINK("http://www.ncbi.nlm.nih.gov/gene/?term=SCTR","NCBI")</f>
        <v>NCBI</v>
      </c>
      <c r="F7851">
        <v>0.12</v>
      </c>
      <c r="G7851">
        <v>0.25</v>
      </c>
      <c r="H7851" s="1" t="str">
        <f>HYPERLINK("http://www.weizmann.ac.il/complex/compphys/software/geview/data/figures/210382_at.png","Figure")</f>
        <v>Figure</v>
      </c>
      <c r="I7851">
        <v>1.06</v>
      </c>
      <c r="J7851">
        <v>0.11</v>
      </c>
      <c r="K7851">
        <v>1.02</v>
      </c>
      <c r="L7851">
        <v>0.73</v>
      </c>
      <c r="M7851">
        <v>0.95899999999999996</v>
      </c>
      <c r="N7851">
        <v>0.26</v>
      </c>
    </row>
    <row r="7852" spans="1:14" x14ac:dyDescent="0.25">
      <c r="A7852" t="s">
        <v>13939</v>
      </c>
      <c r="B7852" t="s">
        <v>13940</v>
      </c>
      <c r="C7852" s="1" t="str">
        <f>HYPERLINK("http://www.genecards.org/cgi-bin/carddisp.pl?gene=NET1","GeneCards")</f>
        <v>GeneCards</v>
      </c>
      <c r="D7852" s="1" t="str">
        <f>HYPERLINK("http://genome-euro.ucsc.edu/cgi-bin/hgTracks?position=201829_at","UCSC")</f>
        <v>UCSC</v>
      </c>
      <c r="E7852" s="1" t="str">
        <f>HYPERLINK("http://www.ncbi.nlm.nih.gov/gene/?term=NET1","NCBI")</f>
        <v>NCBI</v>
      </c>
      <c r="F7852">
        <v>0.12</v>
      </c>
      <c r="G7852">
        <v>0.25</v>
      </c>
      <c r="H7852" s="1" t="str">
        <f>HYPERLINK("http://www.weizmann.ac.il/complex/compphys/software/geview/data/figures/201829_at.png","Figure")</f>
        <v>Figure</v>
      </c>
      <c r="I7852">
        <v>0.55600000000000005</v>
      </c>
      <c r="J7852">
        <v>0.22</v>
      </c>
      <c r="K7852">
        <v>0.53900000000000003</v>
      </c>
      <c r="L7852">
        <v>0.13</v>
      </c>
      <c r="M7852">
        <v>0.97</v>
      </c>
      <c r="N7852">
        <v>0.99</v>
      </c>
    </row>
    <row r="7853" spans="1:14" x14ac:dyDescent="0.25">
      <c r="A7853" t="s">
        <v>13941</v>
      </c>
      <c r="B7853" t="s">
        <v>13942</v>
      </c>
      <c r="C7853" s="1" t="str">
        <f>HYPERLINK("http://www.genecards.org/cgi-bin/carddisp.pl?gene=NHEJ1","GeneCards")</f>
        <v>GeneCards</v>
      </c>
      <c r="D7853" s="1" t="str">
        <f>HYPERLINK("http://genome-euro.ucsc.edu/cgi-bin/hgTracks?position=219418_at","UCSC")</f>
        <v>UCSC</v>
      </c>
      <c r="E7853" s="1" t="str">
        <f>HYPERLINK("http://www.ncbi.nlm.nih.gov/gene/?term=NHEJ1","NCBI")</f>
        <v>NCBI</v>
      </c>
      <c r="F7853">
        <v>0.12</v>
      </c>
      <c r="G7853">
        <v>0.25</v>
      </c>
      <c r="H7853" s="1" t="str">
        <f>HYPERLINK("http://www.weizmann.ac.il/complex/compphys/software/geview/data/figures/219418_at.png","Figure")</f>
        <v>Figure</v>
      </c>
      <c r="I7853">
        <v>1.22</v>
      </c>
      <c r="J7853">
        <v>9.9000000000000005E-2</v>
      </c>
      <c r="K7853">
        <v>1.1000000000000001</v>
      </c>
      <c r="L7853">
        <v>0.46</v>
      </c>
      <c r="M7853">
        <v>0.90300000000000002</v>
      </c>
      <c r="N7853">
        <v>0.44</v>
      </c>
    </row>
    <row r="7854" spans="1:14" x14ac:dyDescent="0.25">
      <c r="A7854" t="s">
        <v>13943</v>
      </c>
      <c r="B7854" t="s">
        <v>13944</v>
      </c>
      <c r="C7854" s="1" t="str">
        <f>HYPERLINK("http://www.genecards.org/cgi-bin/carddisp.pl?gene=HCN4","GeneCards")</f>
        <v>GeneCards</v>
      </c>
      <c r="D7854" s="1" t="str">
        <f>HYPERLINK("http://genome-euro.ucsc.edu/cgi-bin/hgTracks?position=206946_at","UCSC")</f>
        <v>UCSC</v>
      </c>
      <c r="E7854" s="1" t="str">
        <f>HYPERLINK("http://www.ncbi.nlm.nih.gov/gene/?term=HCN4","NCBI")</f>
        <v>NCBI</v>
      </c>
      <c r="F7854">
        <v>0.12</v>
      </c>
      <c r="G7854">
        <v>0.25</v>
      </c>
      <c r="H7854" s="1" t="str">
        <f>HYPERLINK("http://www.weizmann.ac.il/complex/compphys/software/geview/data/figures/206946_at.png","Figure")</f>
        <v>Figure</v>
      </c>
      <c r="I7854">
        <v>1.03</v>
      </c>
      <c r="J7854">
        <v>0.69</v>
      </c>
      <c r="K7854">
        <v>0.95399999999999996</v>
      </c>
      <c r="L7854">
        <v>0.38</v>
      </c>
      <c r="M7854">
        <v>0.92300000000000004</v>
      </c>
      <c r="N7854">
        <v>0.11</v>
      </c>
    </row>
    <row r="7855" spans="1:14" x14ac:dyDescent="0.25">
      <c r="A7855" t="s">
        <v>13945</v>
      </c>
      <c r="B7855" t="s">
        <v>13946</v>
      </c>
      <c r="C7855" s="1" t="str">
        <f>HYPERLINK("http://www.genecards.org/cgi-bin/carddisp.pl?gene=EAPP","GeneCards")</f>
        <v>GeneCards</v>
      </c>
      <c r="D7855" s="1" t="str">
        <f>HYPERLINK("http://genome-euro.ucsc.edu/cgi-bin/hgTracks?position=202623_at","UCSC")</f>
        <v>UCSC</v>
      </c>
      <c r="E7855" s="1" t="str">
        <f>HYPERLINK("http://www.ncbi.nlm.nih.gov/gene/?term=EAPP","NCBI")</f>
        <v>NCBI</v>
      </c>
      <c r="F7855">
        <v>0.12</v>
      </c>
      <c r="G7855">
        <v>0.25</v>
      </c>
      <c r="H7855" s="1" t="str">
        <f>HYPERLINK("http://www.weizmann.ac.il/complex/compphys/software/geview/data/figures/202623_at.png","Figure")</f>
        <v>Figure</v>
      </c>
      <c r="I7855">
        <v>0.60399999999999998</v>
      </c>
      <c r="J7855">
        <v>0.12</v>
      </c>
      <c r="K7855">
        <v>0.71299999999999997</v>
      </c>
      <c r="L7855">
        <v>0.26</v>
      </c>
      <c r="M7855">
        <v>1.18</v>
      </c>
      <c r="N7855">
        <v>0.73</v>
      </c>
    </row>
    <row r="7856" spans="1:14" x14ac:dyDescent="0.25">
      <c r="A7856" t="s">
        <v>13947</v>
      </c>
      <c r="B7856" t="s">
        <v>4329</v>
      </c>
      <c r="C7856" s="1" t="str">
        <f>HYPERLINK("http://www.genecards.org/cgi-bin/carddisp.pl?gene=CTSB","GeneCards")</f>
        <v>GeneCards</v>
      </c>
      <c r="D7856" s="1" t="str">
        <f>HYPERLINK("http://genome-euro.ucsc.edu/cgi-bin/hgTracks?position=200838_at","UCSC")</f>
        <v>UCSC</v>
      </c>
      <c r="E7856" s="1" t="str">
        <f>HYPERLINK("http://www.ncbi.nlm.nih.gov/gene/?term=CTSB","NCBI")</f>
        <v>NCBI</v>
      </c>
      <c r="F7856">
        <v>0.12</v>
      </c>
      <c r="G7856">
        <v>0.25</v>
      </c>
      <c r="H7856" s="1" t="str">
        <f>HYPERLINK("http://www.weizmann.ac.il/complex/compphys/software/geview/data/figures/200838_at.png","Figure")</f>
        <v>Figure</v>
      </c>
      <c r="I7856">
        <v>0.79200000000000004</v>
      </c>
      <c r="J7856">
        <v>0.1</v>
      </c>
      <c r="K7856">
        <v>0.92600000000000005</v>
      </c>
      <c r="L7856">
        <v>0.69</v>
      </c>
      <c r="M7856">
        <v>1.17</v>
      </c>
      <c r="N7856">
        <v>0.28000000000000003</v>
      </c>
    </row>
    <row r="7857" spans="1:14" x14ac:dyDescent="0.25">
      <c r="A7857" t="s">
        <v>13948</v>
      </c>
      <c r="B7857" t="s">
        <v>2648</v>
      </c>
      <c r="C7857" s="1" t="str">
        <f>HYPERLINK("http://www.genecards.org/cgi-bin/carddisp.pl?gene=GLYR1","GeneCards")</f>
        <v>GeneCards</v>
      </c>
      <c r="D7857" s="1" t="str">
        <f>HYPERLINK("http://genome-euro.ucsc.edu/cgi-bin/hgTracks?position=221628_s_at","UCSC")</f>
        <v>UCSC</v>
      </c>
      <c r="E7857" s="1" t="str">
        <f>HYPERLINK("http://www.ncbi.nlm.nih.gov/gene/?term=GLYR1","NCBI")</f>
        <v>NCBI</v>
      </c>
      <c r="F7857">
        <v>0.12</v>
      </c>
      <c r="G7857">
        <v>0.25</v>
      </c>
      <c r="H7857" s="1" t="str">
        <f>HYPERLINK("http://www.weizmann.ac.il/complex/compphys/software/geview/data/figures/221628_s_at.png","Figure")</f>
        <v>Figure</v>
      </c>
      <c r="I7857">
        <v>1.19</v>
      </c>
      <c r="J7857">
        <v>0.1</v>
      </c>
      <c r="K7857">
        <v>1.07</v>
      </c>
      <c r="L7857">
        <v>0.59</v>
      </c>
      <c r="M7857">
        <v>0.89800000000000002</v>
      </c>
      <c r="N7857">
        <v>0.33</v>
      </c>
    </row>
    <row r="7858" spans="1:14" x14ac:dyDescent="0.25">
      <c r="A7858" t="s">
        <v>13949</v>
      </c>
      <c r="B7858" t="s">
        <v>4998</v>
      </c>
      <c r="C7858" s="1" t="str">
        <f>HYPERLINK("http://www.genecards.org/cgi-bin/carddisp.pl?gene=SYK","GeneCards")</f>
        <v>GeneCards</v>
      </c>
      <c r="D7858" s="1" t="str">
        <f>HYPERLINK("http://genome-euro.ucsc.edu/cgi-bin/hgTracks?position=207540_s_at","UCSC")</f>
        <v>UCSC</v>
      </c>
      <c r="E7858" s="1" t="str">
        <f>HYPERLINK("http://www.ncbi.nlm.nih.gov/gene/?term=SYK","NCBI")</f>
        <v>NCBI</v>
      </c>
      <c r="F7858">
        <v>0.12</v>
      </c>
      <c r="G7858">
        <v>0.25</v>
      </c>
      <c r="H7858" s="1" t="str">
        <f>HYPERLINK("http://www.weizmann.ac.il/complex/compphys/software/geview/data/figures/207540_s_at.png","Figure")</f>
        <v>Figure</v>
      </c>
      <c r="I7858">
        <v>2</v>
      </c>
      <c r="J7858">
        <v>0.12</v>
      </c>
      <c r="K7858">
        <v>1.59</v>
      </c>
      <c r="L7858">
        <v>0.26</v>
      </c>
      <c r="M7858">
        <v>0.79500000000000004</v>
      </c>
      <c r="N7858">
        <v>0.73</v>
      </c>
    </row>
    <row r="7859" spans="1:14" x14ac:dyDescent="0.25">
      <c r="A7859" t="s">
        <v>13950</v>
      </c>
      <c r="B7859" t="s">
        <v>13951</v>
      </c>
      <c r="C7859" s="1" t="str">
        <f>HYPERLINK("http://www.genecards.org/cgi-bin/carddisp.pl?gene=C1orf174","GeneCards")</f>
        <v>GeneCards</v>
      </c>
      <c r="D7859" s="1" t="str">
        <f>HYPERLINK("http://genome-euro.ucsc.edu/cgi-bin/hgTracks?position=222000_at","UCSC")</f>
        <v>UCSC</v>
      </c>
      <c r="E7859" s="1" t="str">
        <f>HYPERLINK("http://www.ncbi.nlm.nih.gov/gene/?term=C1orf174","NCBI")</f>
        <v>NCBI</v>
      </c>
      <c r="F7859">
        <v>0.12</v>
      </c>
      <c r="G7859">
        <v>0.25</v>
      </c>
      <c r="H7859" s="1" t="str">
        <f>HYPERLINK("http://www.weizmann.ac.il/complex/compphys/software/geview/data/figures/222000_at.png","Figure")</f>
        <v>Figure</v>
      </c>
      <c r="I7859">
        <v>0.73599999999999999</v>
      </c>
      <c r="J7859">
        <v>0.28999999999999998</v>
      </c>
      <c r="K7859">
        <v>0.68799999999999994</v>
      </c>
      <c r="L7859">
        <v>0.11</v>
      </c>
      <c r="M7859">
        <v>0.93600000000000005</v>
      </c>
      <c r="N7859">
        <v>0.93</v>
      </c>
    </row>
    <row r="7860" spans="1:14" x14ac:dyDescent="0.25">
      <c r="A7860" t="s">
        <v>13952</v>
      </c>
      <c r="B7860" t="s">
        <v>13953</v>
      </c>
      <c r="C7860" s="1" t="str">
        <f>HYPERLINK("http://www.genecards.org/cgi-bin/carddisp.pl?gene=FAM164C","GeneCards")</f>
        <v>GeneCards</v>
      </c>
      <c r="D7860" s="1" t="str">
        <f>HYPERLINK("http://genome-euro.ucsc.edu/cgi-bin/hgTracks?position=220107_s_at","UCSC")</f>
        <v>UCSC</v>
      </c>
      <c r="E7860" s="1" t="str">
        <f>HYPERLINK("http://www.ncbi.nlm.nih.gov/gene/?term=FAM164C","NCBI")</f>
        <v>NCBI</v>
      </c>
      <c r="F7860">
        <v>0.12</v>
      </c>
      <c r="G7860">
        <v>0.25</v>
      </c>
      <c r="H7860" s="1" t="str">
        <f>HYPERLINK("http://www.weizmann.ac.il/complex/compphys/software/geview/data/figures/220107_s_at.png","Figure")</f>
        <v>Figure</v>
      </c>
      <c r="I7860">
        <v>1.1100000000000001</v>
      </c>
      <c r="J7860">
        <v>0.18</v>
      </c>
      <c r="K7860">
        <v>0.996</v>
      </c>
      <c r="L7860">
        <v>1</v>
      </c>
      <c r="M7860">
        <v>0.89500000000000002</v>
      </c>
      <c r="N7860">
        <v>0.13</v>
      </c>
    </row>
    <row r="7861" spans="1:14" x14ac:dyDescent="0.25">
      <c r="A7861" t="s">
        <v>13954</v>
      </c>
      <c r="B7861" t="s">
        <v>6280</v>
      </c>
      <c r="C7861" s="1" t="str">
        <f>HYPERLINK("http://www.genecards.org/cgi-bin/carddisp.pl?gene=MAPT","GeneCards")</f>
        <v>GeneCards</v>
      </c>
      <c r="D7861" s="1" t="str">
        <f>HYPERLINK("http://genome-euro.ucsc.edu/cgi-bin/hgTracks?position=206401_s_at","UCSC")</f>
        <v>UCSC</v>
      </c>
      <c r="E7861" s="1" t="str">
        <f>HYPERLINK("http://www.ncbi.nlm.nih.gov/gene/?term=MAPT","NCBI")</f>
        <v>NCBI</v>
      </c>
      <c r="F7861">
        <v>0.12</v>
      </c>
      <c r="G7861">
        <v>0.25</v>
      </c>
      <c r="H7861" s="1" t="str">
        <f>HYPERLINK("http://www.weizmann.ac.il/complex/compphys/software/geview/data/figures/206401_s_at.png","Figure")</f>
        <v>Figure</v>
      </c>
      <c r="I7861">
        <v>1.21</v>
      </c>
      <c r="J7861">
        <v>0.12</v>
      </c>
      <c r="K7861">
        <v>1.04</v>
      </c>
      <c r="L7861">
        <v>0.89</v>
      </c>
      <c r="M7861">
        <v>0.86</v>
      </c>
      <c r="N7861">
        <v>0.19</v>
      </c>
    </row>
    <row r="7862" spans="1:14" x14ac:dyDescent="0.25">
      <c r="A7862" t="s">
        <v>13955</v>
      </c>
      <c r="B7862" t="s">
        <v>13956</v>
      </c>
      <c r="C7862" s="1" t="str">
        <f>HYPERLINK("http://www.genecards.org/cgi-bin/carddisp.pl?gene=OSBPL7","GeneCards")</f>
        <v>GeneCards</v>
      </c>
      <c r="D7862" s="1" t="str">
        <f>HYPERLINK("http://genome-euro.ucsc.edu/cgi-bin/hgTracks?position=208163_s_at","UCSC")</f>
        <v>UCSC</v>
      </c>
      <c r="E7862" s="1" t="str">
        <f>HYPERLINK("http://www.ncbi.nlm.nih.gov/gene/?term=OSBPL7","NCBI")</f>
        <v>NCBI</v>
      </c>
      <c r="F7862">
        <v>0.12</v>
      </c>
      <c r="G7862">
        <v>0.25</v>
      </c>
      <c r="H7862" s="1" t="str">
        <f>HYPERLINK("http://www.weizmann.ac.il/complex/compphys/software/geview/data/figures/208163_s_at.png","Figure")</f>
        <v>Figure</v>
      </c>
      <c r="I7862">
        <v>1.1100000000000001</v>
      </c>
      <c r="J7862">
        <v>0.18</v>
      </c>
      <c r="K7862">
        <v>0.995</v>
      </c>
      <c r="L7862">
        <v>0.99</v>
      </c>
      <c r="M7862">
        <v>0.89900000000000002</v>
      </c>
      <c r="N7862">
        <v>0.13</v>
      </c>
    </row>
    <row r="7863" spans="1:14" x14ac:dyDescent="0.25">
      <c r="A7863" t="s">
        <v>13957</v>
      </c>
      <c r="B7863" t="s">
        <v>12287</v>
      </c>
      <c r="C7863" s="1" t="str">
        <f>HYPERLINK("http://www.genecards.org/cgi-bin/carddisp.pl?gene=SPG21","GeneCards")</f>
        <v>GeneCards</v>
      </c>
      <c r="D7863" s="1" t="str">
        <f>HYPERLINK("http://genome-euro.ucsc.edu/cgi-bin/hgTracks?position=217827_s_at","UCSC")</f>
        <v>UCSC</v>
      </c>
      <c r="E7863" s="1" t="str">
        <f>HYPERLINK("http://www.ncbi.nlm.nih.gov/gene/?term=SPG21","NCBI")</f>
        <v>NCBI</v>
      </c>
      <c r="F7863">
        <v>0.12</v>
      </c>
      <c r="G7863">
        <v>0.25</v>
      </c>
      <c r="H7863" s="1" t="str">
        <f>HYPERLINK("http://www.weizmann.ac.il/complex/compphys/software/geview/data/figures/217827_s_at.png","Figure")</f>
        <v>Figure</v>
      </c>
      <c r="I7863">
        <v>0.70399999999999996</v>
      </c>
      <c r="J7863">
        <v>0.31</v>
      </c>
      <c r="K7863">
        <v>1.1399999999999999</v>
      </c>
      <c r="L7863">
        <v>0.8</v>
      </c>
      <c r="M7863">
        <v>1.61</v>
      </c>
      <c r="N7863">
        <v>0.1</v>
      </c>
    </row>
    <row r="7864" spans="1:14" x14ac:dyDescent="0.25">
      <c r="A7864" t="s">
        <v>13958</v>
      </c>
      <c r="B7864" t="s">
        <v>13959</v>
      </c>
      <c r="C7864" s="1" t="str">
        <f>HYPERLINK("http://www.genecards.org/cgi-bin/carddisp.pl?gene=FRAP1","GeneCards")</f>
        <v>GeneCards</v>
      </c>
      <c r="D7864" s="1" t="str">
        <f>HYPERLINK("http://genome-euro.ucsc.edu/cgi-bin/hgTracks?position=215381_at","UCSC")</f>
        <v>UCSC</v>
      </c>
      <c r="E7864" s="1" t="str">
        <f>HYPERLINK("http://www.ncbi.nlm.nih.gov/gene/?term=FRAP1","NCBI")</f>
        <v>NCBI</v>
      </c>
      <c r="F7864">
        <v>0.12</v>
      </c>
      <c r="G7864">
        <v>0.25</v>
      </c>
      <c r="H7864" s="1" t="str">
        <f>HYPERLINK("http://www.weizmann.ac.il/complex/compphys/software/geview/data/figures/215381_at.png","Figure")</f>
        <v>Figure</v>
      </c>
      <c r="I7864">
        <v>1.21</v>
      </c>
      <c r="J7864">
        <v>0.11</v>
      </c>
      <c r="K7864">
        <v>1.06</v>
      </c>
      <c r="L7864">
        <v>0.75</v>
      </c>
      <c r="M7864">
        <v>0.872</v>
      </c>
      <c r="N7864">
        <v>0.25</v>
      </c>
    </row>
    <row r="7865" spans="1:14" x14ac:dyDescent="0.25">
      <c r="A7865" t="s">
        <v>13960</v>
      </c>
      <c r="B7865" t="s">
        <v>13961</v>
      </c>
      <c r="C7865" s="1" t="str">
        <f>HYPERLINK("http://www.genecards.org/cgi-bin/carddisp.pl?gene=IGF1R","GeneCards")</f>
        <v>GeneCards</v>
      </c>
      <c r="D7865" s="1" t="str">
        <f>HYPERLINK("http://genome-euro.ucsc.edu/cgi-bin/hgTracks?position=203628_at","UCSC")</f>
        <v>UCSC</v>
      </c>
      <c r="E7865" s="1" t="str">
        <f>HYPERLINK("http://www.ncbi.nlm.nih.gov/gene/?term=IGF1R","NCBI")</f>
        <v>NCBI</v>
      </c>
      <c r="F7865">
        <v>0.12</v>
      </c>
      <c r="G7865">
        <v>0.25</v>
      </c>
      <c r="H7865" s="1" t="str">
        <f>HYPERLINK("http://www.weizmann.ac.il/complex/compphys/software/geview/data/figures/203628_at.png","Figure")</f>
        <v>Figure</v>
      </c>
      <c r="I7865">
        <v>0.93300000000000005</v>
      </c>
      <c r="J7865">
        <v>0.96</v>
      </c>
      <c r="K7865">
        <v>0.63400000000000001</v>
      </c>
      <c r="L7865">
        <v>0.14000000000000001</v>
      </c>
      <c r="M7865">
        <v>0.68</v>
      </c>
      <c r="N7865">
        <v>0.27</v>
      </c>
    </row>
    <row r="7866" spans="1:14" x14ac:dyDescent="0.25">
      <c r="A7866" t="s">
        <v>13962</v>
      </c>
      <c r="B7866" t="s">
        <v>13963</v>
      </c>
      <c r="C7866" s="1" t="str">
        <f>HYPERLINK("http://www.genecards.org/cgi-bin/carddisp.pl?gene=SBNO1","GeneCards")</f>
        <v>GeneCards</v>
      </c>
      <c r="D7866" s="1" t="str">
        <f>HYPERLINK("http://genome-euro.ucsc.edu/cgi-bin/hgTracks?position=216161_at","UCSC")</f>
        <v>UCSC</v>
      </c>
      <c r="E7866" s="1" t="str">
        <f>HYPERLINK("http://www.ncbi.nlm.nih.gov/gene/?term=SBNO1","NCBI")</f>
        <v>NCBI</v>
      </c>
      <c r="F7866">
        <v>0.12</v>
      </c>
      <c r="G7866">
        <v>0.25</v>
      </c>
      <c r="H7866" s="1" t="str">
        <f>HYPERLINK("http://www.weizmann.ac.il/complex/compphys/software/geview/data/figures/216161_at.png","Figure")</f>
        <v>Figure</v>
      </c>
      <c r="I7866">
        <v>0.874</v>
      </c>
      <c r="J7866">
        <v>0.61</v>
      </c>
      <c r="K7866">
        <v>0.76100000000000001</v>
      </c>
      <c r="L7866">
        <v>0.1</v>
      </c>
      <c r="M7866">
        <v>0.871</v>
      </c>
      <c r="N7866">
        <v>0.55000000000000004</v>
      </c>
    </row>
    <row r="7867" spans="1:14" x14ac:dyDescent="0.25">
      <c r="A7867" t="s">
        <v>13964</v>
      </c>
      <c r="B7867" t="s">
        <v>8233</v>
      </c>
      <c r="C7867" s="1" t="str">
        <f>HYPERLINK("http://www.genecards.org/cgi-bin/carddisp.pl?gene=FKBP11","GeneCards")</f>
        <v>GeneCards</v>
      </c>
      <c r="D7867" s="1" t="str">
        <f>HYPERLINK("http://genome-euro.ucsc.edu/cgi-bin/hgTracks?position=219117_s_at","UCSC")</f>
        <v>UCSC</v>
      </c>
      <c r="E7867" s="1" t="str">
        <f>HYPERLINK("http://www.ncbi.nlm.nih.gov/gene/?term=FKBP11","NCBI")</f>
        <v>NCBI</v>
      </c>
      <c r="F7867">
        <v>0.12</v>
      </c>
      <c r="G7867">
        <v>0.25</v>
      </c>
      <c r="H7867" s="1" t="str">
        <f>HYPERLINK("http://www.weizmann.ac.il/complex/compphys/software/geview/data/figures/219117_s_at.png","Figure")</f>
        <v>Figure</v>
      </c>
      <c r="I7867">
        <v>0.627</v>
      </c>
      <c r="J7867">
        <v>0.1</v>
      </c>
      <c r="K7867">
        <v>0.83099999999999996</v>
      </c>
      <c r="L7867">
        <v>0.57999999999999996</v>
      </c>
      <c r="M7867">
        <v>1.33</v>
      </c>
      <c r="N7867">
        <v>0.35</v>
      </c>
    </row>
    <row r="7868" spans="1:14" x14ac:dyDescent="0.25">
      <c r="A7868" t="s">
        <v>13965</v>
      </c>
      <c r="B7868" t="s">
        <v>8662</v>
      </c>
      <c r="C7868" s="1" t="str">
        <f>HYPERLINK("http://www.genecards.org/cgi-bin/carddisp.pl?gene=STX16","GeneCards")</f>
        <v>GeneCards</v>
      </c>
      <c r="D7868" s="1" t="str">
        <f>HYPERLINK("http://genome-euro.ucsc.edu/cgi-bin/hgTracks?position=221500_s_at","UCSC")</f>
        <v>UCSC</v>
      </c>
      <c r="E7868" s="1" t="str">
        <f>HYPERLINK("http://www.ncbi.nlm.nih.gov/gene/?term=STX16","NCBI")</f>
        <v>NCBI</v>
      </c>
      <c r="F7868">
        <v>0.12</v>
      </c>
      <c r="G7868">
        <v>0.25</v>
      </c>
      <c r="H7868" s="1" t="str">
        <f>HYPERLINK("http://www.weizmann.ac.il/complex/compphys/software/geview/data/figures/221500_s_at.png","Figure")</f>
        <v>Figure</v>
      </c>
      <c r="I7868">
        <v>0.91200000000000003</v>
      </c>
      <c r="J7868">
        <v>0.85</v>
      </c>
      <c r="K7868">
        <v>0.72499999999999998</v>
      </c>
      <c r="L7868">
        <v>0.12</v>
      </c>
      <c r="M7868">
        <v>0.79600000000000004</v>
      </c>
      <c r="N7868">
        <v>0.35</v>
      </c>
    </row>
    <row r="7869" spans="1:14" x14ac:dyDescent="0.25">
      <c r="A7869" t="s">
        <v>13966</v>
      </c>
      <c r="B7869" t="s">
        <v>13967</v>
      </c>
      <c r="C7869" s="1" t="str">
        <f>HYPERLINK("http://www.genecards.org/cgi-bin/carddisp.pl?gene=HADHB","GeneCards")</f>
        <v>GeneCards</v>
      </c>
      <c r="D7869" s="1" t="str">
        <f>HYPERLINK("http://genome-euro.ucsc.edu/cgi-bin/hgTracks?position=201007_at","UCSC")</f>
        <v>UCSC</v>
      </c>
      <c r="E7869" s="1" t="str">
        <f>HYPERLINK("http://www.ncbi.nlm.nih.gov/gene/?term=HADHB","NCBI")</f>
        <v>NCBI</v>
      </c>
      <c r="F7869">
        <v>0.12</v>
      </c>
      <c r="G7869">
        <v>0.25</v>
      </c>
      <c r="H7869" s="1" t="str">
        <f>HYPERLINK("http://www.weizmann.ac.il/complex/compphys/software/geview/data/figures/201007_at.png","Figure")</f>
        <v>Figure</v>
      </c>
      <c r="I7869">
        <v>1.06</v>
      </c>
      <c r="J7869">
        <v>0.85</v>
      </c>
      <c r="K7869">
        <v>1.24</v>
      </c>
      <c r="L7869">
        <v>0.12</v>
      </c>
      <c r="M7869">
        <v>1.17</v>
      </c>
      <c r="N7869">
        <v>0.35</v>
      </c>
    </row>
    <row r="7870" spans="1:14" x14ac:dyDescent="0.25">
      <c r="A7870" t="s">
        <v>13968</v>
      </c>
      <c r="B7870" t="s">
        <v>13969</v>
      </c>
      <c r="C7870" s="1" t="str">
        <f>HYPERLINK("http://www.genecards.org/cgi-bin/carddisp.pl?gene=TBC1D5","GeneCards")</f>
        <v>GeneCards</v>
      </c>
      <c r="D7870" s="1" t="str">
        <f>HYPERLINK("http://genome-euro.ucsc.edu/cgi-bin/hgTracks?position=201814_at","UCSC")</f>
        <v>UCSC</v>
      </c>
      <c r="E7870" s="1" t="str">
        <f>HYPERLINK("http://www.ncbi.nlm.nih.gov/gene/?term=TBC1D5","NCBI")</f>
        <v>NCBI</v>
      </c>
      <c r="F7870">
        <v>0.12</v>
      </c>
      <c r="G7870">
        <v>0.25</v>
      </c>
      <c r="H7870" s="1" t="str">
        <f>HYPERLINK("http://www.weizmann.ac.il/complex/compphys/software/geview/data/figures/201814_at.png","Figure")</f>
        <v>Figure</v>
      </c>
      <c r="I7870">
        <v>0.82199999999999995</v>
      </c>
      <c r="J7870">
        <v>0.26</v>
      </c>
      <c r="K7870">
        <v>1.05</v>
      </c>
      <c r="L7870">
        <v>0.88</v>
      </c>
      <c r="M7870">
        <v>1.28</v>
      </c>
      <c r="N7870">
        <v>0.11</v>
      </c>
    </row>
    <row r="7871" spans="1:14" x14ac:dyDescent="0.25">
      <c r="A7871" t="s">
        <v>13970</v>
      </c>
      <c r="B7871" t="s">
        <v>13971</v>
      </c>
      <c r="C7871" s="1" t="str">
        <f>HYPERLINK("http://www.genecards.org/cgi-bin/carddisp.pl?gene=SPR","GeneCards")</f>
        <v>GeneCards</v>
      </c>
      <c r="D7871" s="1" t="str">
        <f>HYPERLINK("http://genome-euro.ucsc.edu/cgi-bin/hgTracks?position=203458_at","UCSC")</f>
        <v>UCSC</v>
      </c>
      <c r="E7871" s="1" t="str">
        <f>HYPERLINK("http://www.ncbi.nlm.nih.gov/gene/?term=SPR","NCBI")</f>
        <v>NCBI</v>
      </c>
      <c r="F7871">
        <v>0.12</v>
      </c>
      <c r="G7871">
        <v>0.25</v>
      </c>
      <c r="H7871" s="1" t="str">
        <f>HYPERLINK("http://www.weizmann.ac.il/complex/compphys/software/geview/data/figures/203458_at.png","Figure")</f>
        <v>Figure</v>
      </c>
      <c r="I7871">
        <v>1.18</v>
      </c>
      <c r="J7871">
        <v>0.11</v>
      </c>
      <c r="K7871">
        <v>1.1000000000000001</v>
      </c>
      <c r="L7871">
        <v>0.34</v>
      </c>
      <c r="M7871">
        <v>0.93300000000000005</v>
      </c>
      <c r="N7871">
        <v>0.59</v>
      </c>
    </row>
    <row r="7872" spans="1:14" x14ac:dyDescent="0.25">
      <c r="A7872" t="s">
        <v>13972</v>
      </c>
      <c r="B7872" t="s">
        <v>13973</v>
      </c>
      <c r="C7872" s="1" t="str">
        <f>HYPERLINK("http://www.genecards.org/cgi-bin/carddisp.pl?gene=PEMT","GeneCards")</f>
        <v>GeneCards</v>
      </c>
      <c r="D7872" s="1" t="str">
        <f>HYPERLINK("http://genome-euro.ucsc.edu/cgi-bin/hgTracks?position=207621_s_at","UCSC")</f>
        <v>UCSC</v>
      </c>
      <c r="E7872" s="1" t="str">
        <f>HYPERLINK("http://www.ncbi.nlm.nih.gov/gene/?term=PEMT","NCBI")</f>
        <v>NCBI</v>
      </c>
      <c r="F7872">
        <v>0.12</v>
      </c>
      <c r="G7872">
        <v>0.25</v>
      </c>
      <c r="H7872" s="1" t="str">
        <f>HYPERLINK("http://www.weizmann.ac.il/complex/compphys/software/geview/data/figures/207621_s_at.png","Figure")</f>
        <v>Figure</v>
      </c>
      <c r="I7872">
        <v>0.85799999999999998</v>
      </c>
      <c r="J7872">
        <v>0.62</v>
      </c>
      <c r="K7872">
        <v>1.2</v>
      </c>
      <c r="L7872">
        <v>0.43</v>
      </c>
      <c r="M7872">
        <v>1.39</v>
      </c>
      <c r="N7872">
        <v>0.11</v>
      </c>
    </row>
    <row r="7873" spans="1:14" x14ac:dyDescent="0.25">
      <c r="A7873" t="s">
        <v>13974</v>
      </c>
      <c r="B7873" t="s">
        <v>13975</v>
      </c>
      <c r="C7873" s="1" t="str">
        <f>HYPERLINK("http://www.genecards.org/cgi-bin/carddisp.pl?gene=KIR2DS3","GeneCards")</f>
        <v>GeneCards</v>
      </c>
      <c r="D7873" s="1" t="str">
        <f>HYPERLINK("http://genome-euro.ucsc.edu/cgi-bin/hgTracks?position=208122_x_at","UCSC")</f>
        <v>UCSC</v>
      </c>
      <c r="E7873" s="1" t="str">
        <f>HYPERLINK("http://www.ncbi.nlm.nih.gov/gene/?term=KIR2DS3","NCBI")</f>
        <v>NCBI</v>
      </c>
      <c r="F7873">
        <v>0.12</v>
      </c>
      <c r="G7873">
        <v>0.25</v>
      </c>
      <c r="H7873" s="1" t="str">
        <f>HYPERLINK("http://www.weizmann.ac.il/complex/compphys/software/geview/data/figures/208122_x_at.png","Figure")</f>
        <v>Figure</v>
      </c>
      <c r="I7873">
        <v>1.18</v>
      </c>
      <c r="J7873">
        <v>0.15</v>
      </c>
      <c r="K7873">
        <v>1.01</v>
      </c>
      <c r="L7873">
        <v>0.98</v>
      </c>
      <c r="M7873">
        <v>0.85699999999999998</v>
      </c>
      <c r="N7873">
        <v>0.15</v>
      </c>
    </row>
    <row r="7874" spans="1:14" x14ac:dyDescent="0.25">
      <c r="A7874" t="s">
        <v>13976</v>
      </c>
      <c r="B7874" t="s">
        <v>13977</v>
      </c>
      <c r="C7874" s="1" t="str">
        <f>HYPERLINK("http://www.genecards.org/cgi-bin/carddisp.pl?gene=NUMB","GeneCards")</f>
        <v>GeneCards</v>
      </c>
      <c r="D7874" s="1" t="str">
        <f>HYPERLINK("http://genome-euro.ucsc.edu/cgi-bin/hgTracks?position=209073_s_at","UCSC")</f>
        <v>UCSC</v>
      </c>
      <c r="E7874" s="1" t="str">
        <f>HYPERLINK("http://www.ncbi.nlm.nih.gov/gene/?term=NUMB","NCBI")</f>
        <v>NCBI</v>
      </c>
      <c r="F7874">
        <v>0.12</v>
      </c>
      <c r="G7874">
        <v>0.25</v>
      </c>
      <c r="H7874" s="1" t="str">
        <f>HYPERLINK("http://www.weizmann.ac.il/complex/compphys/software/geview/data/figures/209073_s_at.png","Figure")</f>
        <v>Figure</v>
      </c>
      <c r="I7874">
        <v>0.73599999999999999</v>
      </c>
      <c r="J7874">
        <v>0.14000000000000001</v>
      </c>
      <c r="K7874">
        <v>0.96699999999999997</v>
      </c>
      <c r="L7874">
        <v>0.96</v>
      </c>
      <c r="M7874">
        <v>1.31</v>
      </c>
      <c r="N7874">
        <v>0.16</v>
      </c>
    </row>
    <row r="7875" spans="1:14" x14ac:dyDescent="0.25">
      <c r="A7875" t="s">
        <v>13978</v>
      </c>
      <c r="B7875" t="s">
        <v>13979</v>
      </c>
      <c r="C7875" s="1" t="str">
        <f>HYPERLINK("http://www.genecards.org/cgi-bin/carddisp.pl?gene=CREB3L1","GeneCards")</f>
        <v>GeneCards</v>
      </c>
      <c r="D7875" s="1" t="str">
        <f>HYPERLINK("http://genome-euro.ucsc.edu/cgi-bin/hgTracks?position=213498_at","UCSC")</f>
        <v>UCSC</v>
      </c>
      <c r="E7875" s="1" t="str">
        <f>HYPERLINK("http://www.ncbi.nlm.nih.gov/gene/?term=CREB3L1","NCBI")</f>
        <v>NCBI</v>
      </c>
      <c r="F7875">
        <v>0.12</v>
      </c>
      <c r="G7875">
        <v>0.25</v>
      </c>
      <c r="H7875" s="1" t="str">
        <f>HYPERLINK("http://www.weizmann.ac.il/complex/compphys/software/geview/data/figures/213498_at.png","Figure")</f>
        <v>Figure</v>
      </c>
      <c r="I7875">
        <v>1.06</v>
      </c>
      <c r="J7875">
        <v>0.5</v>
      </c>
      <c r="K7875">
        <v>1.1100000000000001</v>
      </c>
      <c r="L7875">
        <v>9.9000000000000005E-2</v>
      </c>
      <c r="M7875">
        <v>1.04</v>
      </c>
      <c r="N7875">
        <v>0.67</v>
      </c>
    </row>
    <row r="7876" spans="1:14" x14ac:dyDescent="0.25">
      <c r="A7876" t="s">
        <v>13980</v>
      </c>
      <c r="B7876" t="s">
        <v>8494</v>
      </c>
      <c r="C7876" s="1" t="str">
        <f>HYPERLINK("http://www.genecards.org/cgi-bin/carddisp.pl?gene=SNX1","GeneCards")</f>
        <v>GeneCards</v>
      </c>
      <c r="D7876" s="1" t="str">
        <f>HYPERLINK("http://genome-euro.ucsc.edu/cgi-bin/hgTracks?position=216357_at","UCSC")</f>
        <v>UCSC</v>
      </c>
      <c r="E7876" s="1" t="str">
        <f>HYPERLINK("http://www.ncbi.nlm.nih.gov/gene/?term=SNX1","NCBI")</f>
        <v>NCBI</v>
      </c>
      <c r="F7876">
        <v>0.12</v>
      </c>
      <c r="G7876">
        <v>0.25</v>
      </c>
      <c r="H7876" s="1" t="str">
        <f>HYPERLINK("http://www.weizmann.ac.il/complex/compphys/software/geview/data/figures/216357_at.png","Figure")</f>
        <v>Figure</v>
      </c>
      <c r="I7876">
        <v>1.0900000000000001</v>
      </c>
      <c r="J7876">
        <v>0.19</v>
      </c>
      <c r="K7876">
        <v>0.995</v>
      </c>
      <c r="L7876">
        <v>0.99</v>
      </c>
      <c r="M7876">
        <v>0.91</v>
      </c>
      <c r="N7876">
        <v>0.12</v>
      </c>
    </row>
    <row r="7877" spans="1:14" x14ac:dyDescent="0.25">
      <c r="A7877" t="s">
        <v>13981</v>
      </c>
      <c r="B7877" t="s">
        <v>13982</v>
      </c>
      <c r="C7877" s="1" t="str">
        <f>HYPERLINK("http://www.genecards.org/cgi-bin/carddisp.pl?gene=ALOX12P2","GeneCards")</f>
        <v>GeneCards</v>
      </c>
      <c r="D7877" s="1" t="str">
        <f>HYPERLINK("http://genome-euro.ucsc.edu/cgi-bin/hgTracks?position=214340_at","UCSC")</f>
        <v>UCSC</v>
      </c>
      <c r="E7877" s="1" t="str">
        <f>HYPERLINK("http://www.ncbi.nlm.nih.gov/gene/?term=ALOX12P2","NCBI")</f>
        <v>NCBI</v>
      </c>
      <c r="F7877">
        <v>0.12</v>
      </c>
      <c r="G7877">
        <v>0.25</v>
      </c>
      <c r="H7877" s="1" t="str">
        <f>HYPERLINK("http://www.weizmann.ac.il/complex/compphys/software/geview/data/figures/214340_at.png","Figure")</f>
        <v>Figure</v>
      </c>
      <c r="I7877">
        <v>1.29</v>
      </c>
      <c r="J7877">
        <v>0.1</v>
      </c>
      <c r="K7877">
        <v>1.1399999999999999</v>
      </c>
      <c r="L7877">
        <v>0.4</v>
      </c>
      <c r="M7877">
        <v>0.88400000000000001</v>
      </c>
      <c r="N7877">
        <v>0.5</v>
      </c>
    </row>
    <row r="7878" spans="1:14" x14ac:dyDescent="0.25">
      <c r="A7878" t="s">
        <v>13983</v>
      </c>
      <c r="B7878" t="s">
        <v>9937</v>
      </c>
      <c r="C7878" s="1" t="str">
        <f>HYPERLINK("http://www.genecards.org/cgi-bin/carddisp.pl?gene=PRKCA","GeneCards")</f>
        <v>GeneCards</v>
      </c>
      <c r="D7878" s="1" t="str">
        <f>HYPERLINK("http://genome-euro.ucsc.edu/cgi-bin/hgTracks?position=215195_at","UCSC")</f>
        <v>UCSC</v>
      </c>
      <c r="E7878" s="1" t="str">
        <f>HYPERLINK("http://www.ncbi.nlm.nih.gov/gene/?term=PRKCA","NCBI")</f>
        <v>NCBI</v>
      </c>
      <c r="F7878">
        <v>0.12</v>
      </c>
      <c r="G7878">
        <v>0.25</v>
      </c>
      <c r="H7878" s="1" t="str">
        <f>HYPERLINK("http://www.weizmann.ac.il/complex/compphys/software/geview/data/figures/215195_at.png","Figure")</f>
        <v>Figure</v>
      </c>
      <c r="I7878">
        <v>1.06</v>
      </c>
      <c r="J7878">
        <v>0.87</v>
      </c>
      <c r="K7878">
        <v>0.85899999999999999</v>
      </c>
      <c r="L7878">
        <v>0.27</v>
      </c>
      <c r="M7878">
        <v>0.81399999999999995</v>
      </c>
      <c r="N7878">
        <v>0.14000000000000001</v>
      </c>
    </row>
    <row r="7879" spans="1:14" x14ac:dyDescent="0.25">
      <c r="A7879" t="s">
        <v>13984</v>
      </c>
      <c r="B7879" t="s">
        <v>13985</v>
      </c>
      <c r="C7879" s="1" t="str">
        <f>HYPERLINK("http://www.genecards.org/cgi-bin/carddisp.pl?gene=RAB22A","GeneCards")</f>
        <v>GeneCards</v>
      </c>
      <c r="D7879" s="1" t="str">
        <f>HYPERLINK("http://genome-euro.ucsc.edu/cgi-bin/hgTracks?position=218360_at","UCSC")</f>
        <v>UCSC</v>
      </c>
      <c r="E7879" s="1" t="str">
        <f>HYPERLINK("http://www.ncbi.nlm.nih.gov/gene/?term=RAB22A","NCBI")</f>
        <v>NCBI</v>
      </c>
      <c r="F7879">
        <v>0.12</v>
      </c>
      <c r="G7879">
        <v>0.25</v>
      </c>
      <c r="H7879" s="1" t="str">
        <f>HYPERLINK("http://www.weizmann.ac.il/complex/compphys/software/geview/data/figures/218360_at.png","Figure")</f>
        <v>Figure</v>
      </c>
      <c r="I7879">
        <v>0.83099999999999996</v>
      </c>
      <c r="J7879">
        <v>0.81</v>
      </c>
      <c r="K7879">
        <v>0.56699999999999995</v>
      </c>
      <c r="L7879">
        <v>0.11</v>
      </c>
      <c r="M7879">
        <v>0.68200000000000005</v>
      </c>
      <c r="N7879">
        <v>0.38</v>
      </c>
    </row>
    <row r="7880" spans="1:14" x14ac:dyDescent="0.25">
      <c r="A7880" t="s">
        <v>13986</v>
      </c>
      <c r="B7880" t="s">
        <v>6726</v>
      </c>
      <c r="C7880" s="1" t="str">
        <f>HYPERLINK("http://www.genecards.org/cgi-bin/carddisp.pl?gene=DUSP3","GeneCards")</f>
        <v>GeneCards</v>
      </c>
      <c r="D7880" s="1" t="str">
        <f>HYPERLINK("http://genome-euro.ucsc.edu/cgi-bin/hgTracks?position=201537_s_at","UCSC")</f>
        <v>UCSC</v>
      </c>
      <c r="E7880" s="1" t="str">
        <f>HYPERLINK("http://www.ncbi.nlm.nih.gov/gene/?term=DUSP3","NCBI")</f>
        <v>NCBI</v>
      </c>
      <c r="F7880">
        <v>0.12</v>
      </c>
      <c r="G7880">
        <v>0.25</v>
      </c>
      <c r="H7880" s="1" t="str">
        <f>HYPERLINK("http://www.weizmann.ac.il/complex/compphys/software/geview/data/figures/201537_s_at.png","Figure")</f>
        <v>Figure</v>
      </c>
      <c r="I7880">
        <v>1.03</v>
      </c>
      <c r="J7880">
        <v>0.84</v>
      </c>
      <c r="K7880">
        <v>1.1000000000000001</v>
      </c>
      <c r="L7880">
        <v>0.12</v>
      </c>
      <c r="M7880">
        <v>1.07</v>
      </c>
      <c r="N7880">
        <v>0.36</v>
      </c>
    </row>
    <row r="7881" spans="1:14" x14ac:dyDescent="0.25">
      <c r="A7881" t="s">
        <v>13987</v>
      </c>
      <c r="B7881" t="s">
        <v>13988</v>
      </c>
      <c r="C7881" s="1" t="str">
        <f>HYPERLINK("http://www.genecards.org/cgi-bin/carddisp.pl?gene=PTPRCAP","GeneCards")</f>
        <v>GeneCards</v>
      </c>
      <c r="D7881" s="1" t="str">
        <f>HYPERLINK("http://genome-euro.ucsc.edu/cgi-bin/hgTracks?position=204960_at","UCSC")</f>
        <v>UCSC</v>
      </c>
      <c r="E7881" s="1" t="str">
        <f>HYPERLINK("http://www.ncbi.nlm.nih.gov/gene/?term=PTPRCAP","NCBI")</f>
        <v>NCBI</v>
      </c>
      <c r="F7881">
        <v>0.12</v>
      </c>
      <c r="G7881">
        <v>0.25</v>
      </c>
      <c r="H7881" s="1" t="str">
        <f>HYPERLINK("http://www.weizmann.ac.il/complex/compphys/software/geview/data/figures/204960_at.png","Figure")</f>
        <v>Figure</v>
      </c>
      <c r="I7881">
        <v>0.751</v>
      </c>
      <c r="J7881">
        <v>0.36</v>
      </c>
      <c r="K7881">
        <v>1.1399999999999999</v>
      </c>
      <c r="L7881">
        <v>0.73</v>
      </c>
      <c r="M7881">
        <v>1.52</v>
      </c>
      <c r="N7881">
        <v>0.1</v>
      </c>
    </row>
    <row r="7882" spans="1:14" x14ac:dyDescent="0.25">
      <c r="A7882" t="s">
        <v>13989</v>
      </c>
      <c r="B7882" t="s">
        <v>12305</v>
      </c>
      <c r="C7882" s="1" t="str">
        <f>HYPERLINK("http://www.genecards.org/cgi-bin/carddisp.pl?gene=CSTF2T","GeneCards")</f>
        <v>GeneCards</v>
      </c>
      <c r="D7882" s="1" t="str">
        <f>HYPERLINK("http://genome-euro.ucsc.edu/cgi-bin/hgTracks?position=212905_at","UCSC")</f>
        <v>UCSC</v>
      </c>
      <c r="E7882" s="1" t="str">
        <f>HYPERLINK("http://www.ncbi.nlm.nih.gov/gene/?term=CSTF2T","NCBI")</f>
        <v>NCBI</v>
      </c>
      <c r="F7882">
        <v>0.12</v>
      </c>
      <c r="G7882">
        <v>0.25</v>
      </c>
      <c r="H7882" s="1" t="str">
        <f>HYPERLINK("http://www.weizmann.ac.il/complex/compphys/software/geview/data/figures/212905_at.png","Figure")</f>
        <v>Figure</v>
      </c>
      <c r="I7882">
        <v>0.626</v>
      </c>
      <c r="J7882">
        <v>0.1</v>
      </c>
      <c r="K7882">
        <v>0.84</v>
      </c>
      <c r="L7882">
        <v>0.62</v>
      </c>
      <c r="M7882">
        <v>1.34</v>
      </c>
      <c r="N7882">
        <v>0.32</v>
      </c>
    </row>
    <row r="7883" spans="1:14" x14ac:dyDescent="0.25">
      <c r="A7883" t="s">
        <v>13990</v>
      </c>
      <c r="B7883" t="s">
        <v>13991</v>
      </c>
      <c r="C7883" s="1" t="str">
        <f>HYPERLINK("http://www.genecards.org/cgi-bin/carddisp.pl?gene=PEX19","GeneCards")</f>
        <v>GeneCards</v>
      </c>
      <c r="D7883" s="1" t="str">
        <f>HYPERLINK("http://genome-euro.ucsc.edu/cgi-bin/hgTracks?position=201707_at","UCSC")</f>
        <v>UCSC</v>
      </c>
      <c r="E7883" s="1" t="str">
        <f>HYPERLINK("http://www.ncbi.nlm.nih.gov/gene/?term=PEX19","NCBI")</f>
        <v>NCBI</v>
      </c>
      <c r="F7883">
        <v>0.12</v>
      </c>
      <c r="G7883">
        <v>0.25</v>
      </c>
      <c r="H7883" s="1" t="str">
        <f>HYPERLINK("http://www.weizmann.ac.il/complex/compphys/software/geview/data/figures/201707_at.png","Figure")</f>
        <v>Figure</v>
      </c>
      <c r="I7883">
        <v>0.72599999999999998</v>
      </c>
      <c r="J7883">
        <v>0.12</v>
      </c>
      <c r="K7883">
        <v>0.80900000000000005</v>
      </c>
      <c r="L7883">
        <v>0.26</v>
      </c>
      <c r="M7883">
        <v>1.1100000000000001</v>
      </c>
      <c r="N7883">
        <v>0.72</v>
      </c>
    </row>
    <row r="7884" spans="1:14" x14ac:dyDescent="0.25">
      <c r="A7884" t="s">
        <v>13992</v>
      </c>
      <c r="B7884" t="s">
        <v>13993</v>
      </c>
      <c r="C7884" s="1" t="str">
        <f>HYPERLINK("http://www.genecards.org/cgi-bin/carddisp.pl?gene=HOXD9","GeneCards")</f>
        <v>GeneCards</v>
      </c>
      <c r="D7884" s="1" t="str">
        <f>HYPERLINK("http://genome-euro.ucsc.edu/cgi-bin/hgTracks?position=205605_at","UCSC")</f>
        <v>UCSC</v>
      </c>
      <c r="E7884" s="1" t="str">
        <f>HYPERLINK("http://www.ncbi.nlm.nih.gov/gene/?term=HOXD9","NCBI")</f>
        <v>NCBI</v>
      </c>
      <c r="F7884">
        <v>0.12</v>
      </c>
      <c r="G7884">
        <v>0.25</v>
      </c>
      <c r="H7884" s="1" t="str">
        <f>HYPERLINK("http://www.weizmann.ac.il/complex/compphys/software/geview/data/figures/205605_at.png","Figure")</f>
        <v>Figure</v>
      </c>
      <c r="I7884">
        <v>1.21</v>
      </c>
      <c r="J7884">
        <v>0.1</v>
      </c>
      <c r="K7884">
        <v>1.0900000000000001</v>
      </c>
      <c r="L7884">
        <v>0.52</v>
      </c>
      <c r="M7884">
        <v>0.89700000000000002</v>
      </c>
      <c r="N7884">
        <v>0.39</v>
      </c>
    </row>
    <row r="7885" spans="1:14" x14ac:dyDescent="0.25">
      <c r="A7885" t="s">
        <v>13994</v>
      </c>
      <c r="B7885" t="s">
        <v>13995</v>
      </c>
      <c r="C7885" s="1" t="str">
        <f>HYPERLINK("http://www.genecards.org/cgi-bin/carddisp.pl?gene=PKM2","GeneCards")</f>
        <v>GeneCards</v>
      </c>
      <c r="D7885" s="1" t="str">
        <f>HYPERLINK("http://genome-euro.ucsc.edu/cgi-bin/hgTracks?position=201251_at","UCSC")</f>
        <v>UCSC</v>
      </c>
      <c r="E7885" s="1" t="str">
        <f>HYPERLINK("http://www.ncbi.nlm.nih.gov/gene/?term=PKM2","NCBI")</f>
        <v>NCBI</v>
      </c>
      <c r="F7885">
        <v>0.12</v>
      </c>
      <c r="G7885">
        <v>0.25</v>
      </c>
      <c r="H7885" s="1" t="str">
        <f>HYPERLINK("http://www.weizmann.ac.il/complex/compphys/software/geview/data/figures/201251_at.png","Figure")</f>
        <v>Figure</v>
      </c>
      <c r="I7885">
        <v>1.28</v>
      </c>
      <c r="J7885">
        <v>0.59</v>
      </c>
      <c r="K7885">
        <v>1.62</v>
      </c>
      <c r="L7885">
        <v>0.1</v>
      </c>
      <c r="M7885">
        <v>1.27</v>
      </c>
      <c r="N7885">
        <v>0.57999999999999996</v>
      </c>
    </row>
    <row r="7886" spans="1:14" x14ac:dyDescent="0.25">
      <c r="A7886" t="s">
        <v>13996</v>
      </c>
      <c r="B7886" t="s">
        <v>13997</v>
      </c>
      <c r="C7886" s="1" t="str">
        <f>HYPERLINK("http://www.genecards.org/cgi-bin/carddisp.pl?gene=WBP4","GeneCards")</f>
        <v>GeneCards</v>
      </c>
      <c r="D7886" s="1" t="str">
        <f>HYPERLINK("http://genome-euro.ucsc.edu/cgi-bin/hgTracks?position=203599_s_at","UCSC")</f>
        <v>UCSC</v>
      </c>
      <c r="E7886" s="1" t="str">
        <f>HYPERLINK("http://www.ncbi.nlm.nih.gov/gene/?term=WBP4","NCBI")</f>
        <v>NCBI</v>
      </c>
      <c r="F7886">
        <v>0.12</v>
      </c>
      <c r="G7886">
        <v>0.25</v>
      </c>
      <c r="H7886" s="1" t="str">
        <f>HYPERLINK("http://www.weizmann.ac.il/complex/compphys/software/geview/data/figures/203599_s_at.png","Figure")</f>
        <v>Figure</v>
      </c>
      <c r="I7886">
        <v>0.79200000000000004</v>
      </c>
      <c r="J7886">
        <v>0.11</v>
      </c>
      <c r="K7886">
        <v>0.86899999999999999</v>
      </c>
      <c r="L7886">
        <v>0.32</v>
      </c>
      <c r="M7886">
        <v>1.1000000000000001</v>
      </c>
      <c r="N7886">
        <v>0.62</v>
      </c>
    </row>
    <row r="7887" spans="1:14" x14ac:dyDescent="0.25">
      <c r="A7887" t="s">
        <v>13998</v>
      </c>
      <c r="B7887" t="s">
        <v>13999</v>
      </c>
      <c r="C7887" s="1" t="str">
        <f>HYPERLINK("http://www.genecards.org/cgi-bin/carddisp.pl?gene=TNFSF13","GeneCards")</f>
        <v>GeneCards</v>
      </c>
      <c r="D7887" s="1" t="str">
        <f>HYPERLINK("http://genome-euro.ucsc.edu/cgi-bin/hgTracks?position=210314_x_at","UCSC")</f>
        <v>UCSC</v>
      </c>
      <c r="E7887" s="1" t="str">
        <f>HYPERLINK("http://www.ncbi.nlm.nih.gov/gene/?term=TNFSF13","NCBI")</f>
        <v>NCBI</v>
      </c>
      <c r="F7887">
        <v>0.12</v>
      </c>
      <c r="G7887">
        <v>0.25</v>
      </c>
      <c r="H7887" s="1" t="str">
        <f>HYPERLINK("http://www.weizmann.ac.il/complex/compphys/software/geview/data/figures/210314_x_at.png","Figure")</f>
        <v>Figure</v>
      </c>
      <c r="I7887">
        <v>0.65100000000000002</v>
      </c>
      <c r="J7887">
        <v>0.14000000000000001</v>
      </c>
      <c r="K7887">
        <v>0.95799999999999996</v>
      </c>
      <c r="L7887">
        <v>0.97</v>
      </c>
      <c r="M7887">
        <v>1.47</v>
      </c>
      <c r="N7887">
        <v>0.16</v>
      </c>
    </row>
    <row r="7888" spans="1:14" x14ac:dyDescent="0.25">
      <c r="A7888" t="s">
        <v>14000</v>
      </c>
      <c r="B7888" t="s">
        <v>14001</v>
      </c>
      <c r="C7888" s="1" t="str">
        <f>HYPERLINK("http://www.genecards.org/cgi-bin/carddisp.pl?gene=SSX2","GeneCards")</f>
        <v>GeneCards</v>
      </c>
      <c r="D7888" s="1" t="str">
        <f>HYPERLINK("http://genome-euro.ucsc.edu/cgi-bin/hgTracks?position=210497_x_at","UCSC")</f>
        <v>UCSC</v>
      </c>
      <c r="E7888" s="1" t="str">
        <f>HYPERLINK("http://www.ncbi.nlm.nih.gov/gene/?term=SSX2","NCBI")</f>
        <v>NCBI</v>
      </c>
      <c r="F7888">
        <v>0.12</v>
      </c>
      <c r="G7888">
        <v>0.25</v>
      </c>
      <c r="H7888" s="1" t="str">
        <f>HYPERLINK("http://www.weizmann.ac.il/complex/compphys/software/geview/data/figures/210497_x_at.png","Figure")</f>
        <v>Figure</v>
      </c>
      <c r="I7888">
        <v>1.1299999999999999</v>
      </c>
      <c r="J7888">
        <v>0.45</v>
      </c>
      <c r="K7888">
        <v>0.92200000000000004</v>
      </c>
      <c r="L7888">
        <v>0.61</v>
      </c>
      <c r="M7888">
        <v>0.81699999999999995</v>
      </c>
      <c r="N7888">
        <v>0.1</v>
      </c>
    </row>
    <row r="7889" spans="1:14" x14ac:dyDescent="0.25">
      <c r="A7889" t="s">
        <v>14002</v>
      </c>
      <c r="B7889" t="s">
        <v>14003</v>
      </c>
      <c r="C7889" s="1" t="str">
        <f>HYPERLINK("http://www.genecards.org/cgi-bin/carddisp.pl?gene=XDH","GeneCards")</f>
        <v>GeneCards</v>
      </c>
      <c r="D7889" s="1" t="str">
        <f>HYPERLINK("http://genome-euro.ucsc.edu/cgi-bin/hgTracks?position=210301_at","UCSC")</f>
        <v>UCSC</v>
      </c>
      <c r="E7889" s="1" t="str">
        <f>HYPERLINK("http://www.ncbi.nlm.nih.gov/gene/?term=XDH","NCBI")</f>
        <v>NCBI</v>
      </c>
      <c r="F7889">
        <v>0.12</v>
      </c>
      <c r="G7889">
        <v>0.25</v>
      </c>
      <c r="H7889" s="1" t="str">
        <f>HYPERLINK("http://www.weizmann.ac.il/complex/compphys/software/geview/data/figures/210301_at.png","Figure")</f>
        <v>Figure</v>
      </c>
      <c r="I7889">
        <v>1.3</v>
      </c>
      <c r="J7889">
        <v>0.1</v>
      </c>
      <c r="K7889">
        <v>1.1299999999999999</v>
      </c>
      <c r="L7889">
        <v>0.46</v>
      </c>
      <c r="M7889">
        <v>0.872</v>
      </c>
      <c r="N7889">
        <v>0.44</v>
      </c>
    </row>
    <row r="7890" spans="1:14" x14ac:dyDescent="0.25">
      <c r="A7890" t="s">
        <v>14004</v>
      </c>
      <c r="B7890" t="s">
        <v>12775</v>
      </c>
      <c r="C7890" s="1" t="str">
        <f>HYPERLINK("http://www.genecards.org/cgi-bin/carddisp.pl?gene=CHMP2B","GeneCards")</f>
        <v>GeneCards</v>
      </c>
      <c r="D7890" s="1" t="str">
        <f>HYPERLINK("http://genome-euro.ucsc.edu/cgi-bin/hgTracks?position=202536_at","UCSC")</f>
        <v>UCSC</v>
      </c>
      <c r="E7890" s="1" t="str">
        <f>HYPERLINK("http://www.ncbi.nlm.nih.gov/gene/?term=CHMP2B","NCBI")</f>
        <v>NCBI</v>
      </c>
      <c r="F7890">
        <v>0.12</v>
      </c>
      <c r="G7890">
        <v>0.26</v>
      </c>
      <c r="H7890" s="1" t="str">
        <f>HYPERLINK("http://www.weizmann.ac.il/complex/compphys/software/geview/data/figures/202536_at.png","Figure")</f>
        <v>Figure</v>
      </c>
      <c r="I7890">
        <v>0.47</v>
      </c>
      <c r="J7890">
        <v>0.15</v>
      </c>
      <c r="K7890">
        <v>0.53200000000000003</v>
      </c>
      <c r="L7890">
        <v>0.18</v>
      </c>
      <c r="M7890">
        <v>1.1299999999999999</v>
      </c>
      <c r="N7890">
        <v>0.93</v>
      </c>
    </row>
    <row r="7891" spans="1:14" x14ac:dyDescent="0.25">
      <c r="A7891" t="s">
        <v>14005</v>
      </c>
      <c r="B7891" t="s">
        <v>14006</v>
      </c>
      <c r="C7891" s="1" t="str">
        <f>HYPERLINK("http://www.genecards.org/cgi-bin/carddisp.pl?gene=ITPKB","GeneCards")</f>
        <v>GeneCards</v>
      </c>
      <c r="D7891" s="1" t="str">
        <f>HYPERLINK("http://genome-euro.ucsc.edu/cgi-bin/hgTracks?position=203723_at","UCSC")</f>
        <v>UCSC</v>
      </c>
      <c r="E7891" s="1" t="str">
        <f>HYPERLINK("http://www.ncbi.nlm.nih.gov/gene/?term=ITPKB","NCBI")</f>
        <v>NCBI</v>
      </c>
      <c r="F7891">
        <v>0.12</v>
      </c>
      <c r="G7891">
        <v>0.26</v>
      </c>
      <c r="H7891" s="1" t="str">
        <f>HYPERLINK("http://www.weizmann.ac.il/complex/compphys/software/geview/data/figures/203723_at.png","Figure")</f>
        <v>Figure</v>
      </c>
      <c r="I7891">
        <v>1.48</v>
      </c>
      <c r="J7891">
        <v>0.1</v>
      </c>
      <c r="K7891">
        <v>1.21</v>
      </c>
      <c r="L7891">
        <v>0.45</v>
      </c>
      <c r="M7891">
        <v>0.81699999999999995</v>
      </c>
      <c r="N7891">
        <v>0.45</v>
      </c>
    </row>
    <row r="7892" spans="1:14" x14ac:dyDescent="0.25">
      <c r="A7892" t="s">
        <v>14007</v>
      </c>
      <c r="B7892" t="s">
        <v>14008</v>
      </c>
      <c r="C7892" s="1" t="str">
        <f>HYPERLINK("http://www.genecards.org/cgi-bin/carddisp.pl?gene=RHOF","GeneCards")</f>
        <v>GeneCards</v>
      </c>
      <c r="D7892" s="1" t="str">
        <f>HYPERLINK("http://genome-euro.ucsc.edu/cgi-bin/hgTracks?position=219045_at","UCSC")</f>
        <v>UCSC</v>
      </c>
      <c r="E7892" s="1" t="str">
        <f>HYPERLINK("http://www.ncbi.nlm.nih.gov/gene/?term=RHOF","NCBI")</f>
        <v>NCBI</v>
      </c>
      <c r="F7892">
        <v>0.12</v>
      </c>
      <c r="G7892">
        <v>0.26</v>
      </c>
      <c r="H7892" s="1" t="str">
        <f>HYPERLINK("http://www.weizmann.ac.il/complex/compphys/software/geview/data/figures/219045_at.png","Figure")</f>
        <v>Figure</v>
      </c>
      <c r="I7892">
        <v>0.96299999999999997</v>
      </c>
      <c r="J7892">
        <v>0.93</v>
      </c>
      <c r="K7892">
        <v>0.82699999999999996</v>
      </c>
      <c r="L7892">
        <v>0.13</v>
      </c>
      <c r="M7892">
        <v>0.85799999999999998</v>
      </c>
      <c r="N7892">
        <v>0.28999999999999998</v>
      </c>
    </row>
    <row r="7893" spans="1:14" x14ac:dyDescent="0.25">
      <c r="A7893" t="s">
        <v>14009</v>
      </c>
      <c r="B7893" t="s">
        <v>14010</v>
      </c>
      <c r="C7893" s="1" t="str">
        <f>HYPERLINK("http://www.genecards.org/cgi-bin/carddisp.pl?gene=SPSB1","GeneCards")</f>
        <v>GeneCards</v>
      </c>
      <c r="D7893" s="1" t="str">
        <f>HYPERLINK("http://genome-euro.ucsc.edu/cgi-bin/hgTracks?position=219677_at","UCSC")</f>
        <v>UCSC</v>
      </c>
      <c r="E7893" s="1" t="str">
        <f>HYPERLINK("http://www.ncbi.nlm.nih.gov/gene/?term=SPSB1","NCBI")</f>
        <v>NCBI</v>
      </c>
      <c r="F7893">
        <v>0.12</v>
      </c>
      <c r="G7893">
        <v>0.26</v>
      </c>
      <c r="H7893" s="1" t="str">
        <f>HYPERLINK("http://www.weizmann.ac.il/complex/compphys/software/geview/data/figures/219677_at.png","Figure")</f>
        <v>Figure</v>
      </c>
      <c r="I7893">
        <v>1.1399999999999999</v>
      </c>
      <c r="J7893">
        <v>0.25</v>
      </c>
      <c r="K7893">
        <v>1.1599999999999999</v>
      </c>
      <c r="L7893">
        <v>0.12</v>
      </c>
      <c r="M7893">
        <v>1.01</v>
      </c>
      <c r="N7893">
        <v>0.98</v>
      </c>
    </row>
    <row r="7894" spans="1:14" x14ac:dyDescent="0.25">
      <c r="A7894" t="s">
        <v>14011</v>
      </c>
      <c r="B7894" t="s">
        <v>14012</v>
      </c>
      <c r="C7894" s="1" t="str">
        <f>HYPERLINK("http://www.genecards.org/cgi-bin/carddisp.pl?gene=GH2","GeneCards")</f>
        <v>GeneCards</v>
      </c>
      <c r="D7894" s="1" t="str">
        <f>HYPERLINK("http://genome-euro.ucsc.edu/cgi-bin/hgTracks?position=206195_x_at","UCSC")</f>
        <v>UCSC</v>
      </c>
      <c r="E7894" s="1" t="str">
        <f>HYPERLINK("http://www.ncbi.nlm.nih.gov/gene/?term=GH2","NCBI")</f>
        <v>NCBI</v>
      </c>
      <c r="F7894">
        <v>0.12</v>
      </c>
      <c r="G7894">
        <v>0.26</v>
      </c>
      <c r="H7894" s="1" t="str">
        <f>HYPERLINK("http://www.weizmann.ac.il/complex/compphys/software/geview/data/figures/206195_x_at.png","Figure")</f>
        <v>Figure</v>
      </c>
      <c r="I7894">
        <v>1.22</v>
      </c>
      <c r="J7894">
        <v>0.13</v>
      </c>
      <c r="K7894">
        <v>1.1599999999999999</v>
      </c>
      <c r="L7894">
        <v>0.22</v>
      </c>
      <c r="M7894">
        <v>0.94599999999999995</v>
      </c>
      <c r="N7894">
        <v>0.82</v>
      </c>
    </row>
    <row r="7895" spans="1:14" x14ac:dyDescent="0.25">
      <c r="A7895" t="s">
        <v>14013</v>
      </c>
      <c r="B7895" t="s">
        <v>14014</v>
      </c>
      <c r="C7895" s="1" t="str">
        <f>HYPERLINK("http://www.genecards.org/cgi-bin/carddisp.pl?gene=ELANE","GeneCards")</f>
        <v>GeneCards</v>
      </c>
      <c r="D7895" s="1" t="str">
        <f>HYPERLINK("http://genome-euro.ucsc.edu/cgi-bin/hgTracks?position=206871_at","UCSC")</f>
        <v>UCSC</v>
      </c>
      <c r="E7895" s="1" t="str">
        <f>HYPERLINK("http://www.ncbi.nlm.nih.gov/gene/?term=ELANE","NCBI")</f>
        <v>NCBI</v>
      </c>
      <c r="F7895">
        <v>0.12</v>
      </c>
      <c r="G7895">
        <v>0.26</v>
      </c>
      <c r="H7895" s="1" t="str">
        <f>HYPERLINK("http://www.weizmann.ac.il/complex/compphys/software/geview/data/figures/206871_at.png","Figure")</f>
        <v>Figure</v>
      </c>
      <c r="I7895">
        <v>1.1399999999999999</v>
      </c>
      <c r="J7895">
        <v>0.14000000000000001</v>
      </c>
      <c r="K7895">
        <v>1.01</v>
      </c>
      <c r="L7895">
        <v>0.97</v>
      </c>
      <c r="M7895">
        <v>0.89</v>
      </c>
      <c r="N7895">
        <v>0.16</v>
      </c>
    </row>
    <row r="7896" spans="1:14" x14ac:dyDescent="0.25">
      <c r="A7896" t="s">
        <v>14015</v>
      </c>
      <c r="B7896" t="s">
        <v>14016</v>
      </c>
      <c r="C7896" s="1" t="str">
        <f>HYPERLINK("http://www.genecards.org/cgi-bin/carddisp.pl?gene=ATP2B2","GeneCards")</f>
        <v>GeneCards</v>
      </c>
      <c r="D7896" s="1" t="str">
        <f>HYPERLINK("http://genome-euro.ucsc.edu/cgi-bin/hgTracks?position=204685_s_at","UCSC")</f>
        <v>UCSC</v>
      </c>
      <c r="E7896" s="1" t="str">
        <f>HYPERLINK("http://www.ncbi.nlm.nih.gov/gene/?term=ATP2B2","NCBI")</f>
        <v>NCBI</v>
      </c>
      <c r="F7896">
        <v>0.12</v>
      </c>
      <c r="G7896">
        <v>0.26</v>
      </c>
      <c r="H7896" s="1" t="str">
        <f>HYPERLINK("http://www.weizmann.ac.il/complex/compphys/software/geview/data/figures/204685_s_at.png","Figure")</f>
        <v>Figure</v>
      </c>
      <c r="I7896">
        <v>1.25</v>
      </c>
      <c r="J7896">
        <v>0.12</v>
      </c>
      <c r="K7896">
        <v>1.17</v>
      </c>
      <c r="L7896">
        <v>0.24</v>
      </c>
      <c r="M7896">
        <v>0.93600000000000005</v>
      </c>
      <c r="N7896">
        <v>0.79</v>
      </c>
    </row>
    <row r="7897" spans="1:14" x14ac:dyDescent="0.25">
      <c r="A7897" t="s">
        <v>14017</v>
      </c>
      <c r="B7897" t="s">
        <v>4507</v>
      </c>
      <c r="C7897" s="1" t="str">
        <f>HYPERLINK("http://www.genecards.org/cgi-bin/carddisp.pl?gene=WSB1","GeneCards")</f>
        <v>GeneCards</v>
      </c>
      <c r="D7897" s="1" t="str">
        <f>HYPERLINK("http://genome-euro.ucsc.edu/cgi-bin/hgTracks?position=213406_at","UCSC")</f>
        <v>UCSC</v>
      </c>
      <c r="E7897" s="1" t="str">
        <f>HYPERLINK("http://www.ncbi.nlm.nih.gov/gene/?term=WSB1","NCBI")</f>
        <v>NCBI</v>
      </c>
      <c r="F7897">
        <v>0.12</v>
      </c>
      <c r="G7897">
        <v>0.26</v>
      </c>
      <c r="H7897" s="1" t="str">
        <f>HYPERLINK("http://www.weizmann.ac.il/complex/compphys/software/geview/data/figures/213406_at.png","Figure")</f>
        <v>Figure</v>
      </c>
      <c r="I7897">
        <v>1.03</v>
      </c>
      <c r="J7897">
        <v>0.83</v>
      </c>
      <c r="K7897">
        <v>0.92100000000000004</v>
      </c>
      <c r="L7897">
        <v>0.28999999999999998</v>
      </c>
      <c r="M7897">
        <v>0.89</v>
      </c>
      <c r="N7897">
        <v>0.13</v>
      </c>
    </row>
    <row r="7898" spans="1:14" x14ac:dyDescent="0.25">
      <c r="A7898" t="s">
        <v>14018</v>
      </c>
      <c r="B7898" t="s">
        <v>14019</v>
      </c>
      <c r="C7898" s="1" t="str">
        <f>HYPERLINK("http://www.genecards.org/cgi-bin/carddisp.pl?gene=PHGDH","GeneCards")</f>
        <v>GeneCards</v>
      </c>
      <c r="D7898" s="1" t="str">
        <f>HYPERLINK("http://genome-euro.ucsc.edu/cgi-bin/hgTracks?position=201397_at","UCSC")</f>
        <v>UCSC</v>
      </c>
      <c r="E7898" s="1" t="str">
        <f>HYPERLINK("http://www.ncbi.nlm.nih.gov/gene/?term=PHGDH","NCBI")</f>
        <v>NCBI</v>
      </c>
      <c r="F7898">
        <v>0.12</v>
      </c>
      <c r="G7898">
        <v>0.26</v>
      </c>
      <c r="H7898" s="1" t="str">
        <f>HYPERLINK("http://www.weizmann.ac.il/complex/compphys/software/geview/data/figures/201397_at.png","Figure")</f>
        <v>Figure</v>
      </c>
      <c r="I7898">
        <v>1.59</v>
      </c>
      <c r="J7898">
        <v>0.17</v>
      </c>
      <c r="K7898">
        <v>1.51</v>
      </c>
      <c r="L7898">
        <v>0.16</v>
      </c>
      <c r="M7898">
        <v>0.95399999999999996</v>
      </c>
      <c r="N7898">
        <v>0.98</v>
      </c>
    </row>
    <row r="7899" spans="1:14" x14ac:dyDescent="0.25">
      <c r="A7899" t="s">
        <v>14020</v>
      </c>
      <c r="B7899" t="s">
        <v>14021</v>
      </c>
      <c r="C7899" s="1" t="str">
        <f>HYPERLINK("http://www.genecards.org/cgi-bin/carddisp.pl?gene=DNAJC4","GeneCards")</f>
        <v>GeneCards</v>
      </c>
      <c r="D7899" s="1" t="str">
        <f>HYPERLINK("http://genome-euro.ucsc.edu/cgi-bin/hgTracks?position=213919_at","UCSC")</f>
        <v>UCSC</v>
      </c>
      <c r="E7899" s="1" t="str">
        <f>HYPERLINK("http://www.ncbi.nlm.nih.gov/gene/?term=DNAJC4","NCBI")</f>
        <v>NCBI</v>
      </c>
      <c r="F7899">
        <v>0.12</v>
      </c>
      <c r="G7899">
        <v>0.26</v>
      </c>
      <c r="H7899" s="1" t="str">
        <f>HYPERLINK("http://www.weizmann.ac.il/complex/compphys/software/geview/data/figures/213919_at.png","Figure")</f>
        <v>Figure</v>
      </c>
      <c r="I7899">
        <v>1.23</v>
      </c>
      <c r="J7899">
        <v>0.13</v>
      </c>
      <c r="K7899">
        <v>1.03</v>
      </c>
      <c r="L7899">
        <v>0.93</v>
      </c>
      <c r="M7899">
        <v>0.83799999999999997</v>
      </c>
      <c r="N7899">
        <v>0.18</v>
      </c>
    </row>
    <row r="7900" spans="1:14" x14ac:dyDescent="0.25">
      <c r="A7900" t="s">
        <v>14022</v>
      </c>
      <c r="B7900" t="s">
        <v>14023</v>
      </c>
      <c r="C7900" s="1" t="str">
        <f>HYPERLINK("http://www.genecards.org/cgi-bin/carddisp.pl?gene=EDC4","GeneCards")</f>
        <v>GeneCards</v>
      </c>
      <c r="D7900" s="1" t="str">
        <f>HYPERLINK("http://genome-euro.ucsc.edu/cgi-bin/hgTracks?position=202496_at","UCSC")</f>
        <v>UCSC</v>
      </c>
      <c r="E7900" s="1" t="str">
        <f>HYPERLINK("http://www.ncbi.nlm.nih.gov/gene/?term=EDC4","NCBI")</f>
        <v>NCBI</v>
      </c>
      <c r="F7900">
        <v>0.12</v>
      </c>
      <c r="G7900">
        <v>0.26</v>
      </c>
      <c r="H7900" s="1" t="str">
        <f>HYPERLINK("http://www.weizmann.ac.il/complex/compphys/software/geview/data/figures/202496_at.png","Figure")</f>
        <v>Figure</v>
      </c>
      <c r="I7900">
        <v>1.4</v>
      </c>
      <c r="J7900">
        <v>0.1</v>
      </c>
      <c r="K7900">
        <v>1.2</v>
      </c>
      <c r="L7900">
        <v>0.37</v>
      </c>
      <c r="M7900">
        <v>0.86</v>
      </c>
      <c r="N7900">
        <v>0.55000000000000004</v>
      </c>
    </row>
    <row r="7901" spans="1:14" x14ac:dyDescent="0.25">
      <c r="A7901" t="s">
        <v>14024</v>
      </c>
      <c r="B7901" t="s">
        <v>14025</v>
      </c>
      <c r="C7901" s="1" t="str">
        <f>HYPERLINK("http://www.genecards.org/cgi-bin/carddisp.pl?gene=CYTH2","GeneCards")</f>
        <v>GeneCards</v>
      </c>
      <c r="D7901" s="1" t="str">
        <f>HYPERLINK("http://genome-euro.ucsc.edu/cgi-bin/hgTracks?position=209158_s_at","UCSC")</f>
        <v>UCSC</v>
      </c>
      <c r="E7901" s="1" t="str">
        <f>HYPERLINK("http://www.ncbi.nlm.nih.gov/gene/?term=CYTH2","NCBI")</f>
        <v>NCBI</v>
      </c>
      <c r="F7901">
        <v>0.12</v>
      </c>
      <c r="G7901">
        <v>0.26</v>
      </c>
      <c r="H7901" s="1" t="str">
        <f>HYPERLINK("http://www.weizmann.ac.il/complex/compphys/software/geview/data/figures/209158_s_at.png","Figure")</f>
        <v>Figure</v>
      </c>
      <c r="I7901">
        <v>1.29</v>
      </c>
      <c r="J7901">
        <v>0.11</v>
      </c>
      <c r="K7901">
        <v>1.06</v>
      </c>
      <c r="L7901">
        <v>0.82</v>
      </c>
      <c r="M7901">
        <v>0.82399999999999995</v>
      </c>
      <c r="N7901">
        <v>0.22</v>
      </c>
    </row>
    <row r="7902" spans="1:14" x14ac:dyDescent="0.25">
      <c r="A7902" t="s">
        <v>14026</v>
      </c>
      <c r="B7902" t="s">
        <v>14027</v>
      </c>
      <c r="C7902" s="1" t="str">
        <f>HYPERLINK("http://www.genecards.org/cgi-bin/carddisp.pl?gene=VAC14","GeneCards")</f>
        <v>GeneCards</v>
      </c>
      <c r="D7902" s="1" t="str">
        <f>HYPERLINK("http://genome-euro.ucsc.edu/cgi-bin/hgTracks?position=218169_at","UCSC")</f>
        <v>UCSC</v>
      </c>
      <c r="E7902" s="1" t="str">
        <f>HYPERLINK("http://www.ncbi.nlm.nih.gov/gene/?term=VAC14","NCBI")</f>
        <v>NCBI</v>
      </c>
      <c r="F7902">
        <v>0.12</v>
      </c>
      <c r="G7902">
        <v>0.26</v>
      </c>
      <c r="H7902" s="1" t="str">
        <f>HYPERLINK("http://www.weizmann.ac.il/complex/compphys/software/geview/data/figures/218169_at.png","Figure")</f>
        <v>Figure</v>
      </c>
      <c r="I7902">
        <v>1.07</v>
      </c>
      <c r="J7902">
        <v>0.53</v>
      </c>
      <c r="K7902">
        <v>1.1200000000000001</v>
      </c>
      <c r="L7902">
        <v>0.1</v>
      </c>
      <c r="M7902">
        <v>1.05</v>
      </c>
      <c r="N7902">
        <v>0.63</v>
      </c>
    </row>
    <row r="7903" spans="1:14" x14ac:dyDescent="0.25">
      <c r="A7903" t="s">
        <v>14028</v>
      </c>
      <c r="B7903" t="s">
        <v>5458</v>
      </c>
      <c r="C7903" s="1" t="str">
        <f>HYPERLINK("http://www.genecards.org/cgi-bin/carddisp.pl?gene=DKC1","GeneCards")</f>
        <v>GeneCards</v>
      </c>
      <c r="D7903" s="1" t="str">
        <f>HYPERLINK("http://genome-euro.ucsc.edu/cgi-bin/hgTracks?position=201479_at","UCSC")</f>
        <v>UCSC</v>
      </c>
      <c r="E7903" s="1" t="str">
        <f>HYPERLINK("http://www.ncbi.nlm.nih.gov/gene/?term=DKC1","NCBI")</f>
        <v>NCBI</v>
      </c>
      <c r="F7903">
        <v>0.12</v>
      </c>
      <c r="G7903">
        <v>0.26</v>
      </c>
      <c r="H7903" s="1" t="str">
        <f>HYPERLINK("http://www.weizmann.ac.il/complex/compphys/software/geview/data/figures/201479_at.png","Figure")</f>
        <v>Figure</v>
      </c>
      <c r="I7903">
        <v>0.626</v>
      </c>
      <c r="J7903">
        <v>0.14000000000000001</v>
      </c>
      <c r="K7903">
        <v>0.94799999999999995</v>
      </c>
      <c r="L7903">
        <v>0.96</v>
      </c>
      <c r="M7903">
        <v>1.51</v>
      </c>
      <c r="N7903">
        <v>0.16</v>
      </c>
    </row>
    <row r="7904" spans="1:14" x14ac:dyDescent="0.25">
      <c r="A7904" t="s">
        <v>14029</v>
      </c>
      <c r="B7904" t="s">
        <v>14030</v>
      </c>
      <c r="C7904" s="1" t="str">
        <f>HYPERLINK("http://www.genecards.org/cgi-bin/carddisp.pl?gene=WDTC1","GeneCards")</f>
        <v>GeneCards</v>
      </c>
      <c r="D7904" s="1" t="str">
        <f>HYPERLINK("http://genome-euro.ucsc.edu/cgi-bin/hgTracks?position=215497_s_at","UCSC")</f>
        <v>UCSC</v>
      </c>
      <c r="E7904" s="1" t="str">
        <f>HYPERLINK("http://www.ncbi.nlm.nih.gov/gene/?term=WDTC1","NCBI")</f>
        <v>NCBI</v>
      </c>
      <c r="F7904">
        <v>0.12</v>
      </c>
      <c r="G7904">
        <v>0.26</v>
      </c>
      <c r="H7904" s="1" t="str">
        <f>HYPERLINK("http://www.weizmann.ac.il/complex/compphys/software/geview/data/figures/215497_s_at.png","Figure")</f>
        <v>Figure</v>
      </c>
      <c r="I7904">
        <v>1.19</v>
      </c>
      <c r="J7904">
        <v>0.32</v>
      </c>
      <c r="K7904">
        <v>1.24</v>
      </c>
      <c r="L7904">
        <v>0.11</v>
      </c>
      <c r="M7904">
        <v>1.05</v>
      </c>
      <c r="N7904">
        <v>0.9</v>
      </c>
    </row>
    <row r="7905" spans="1:14" x14ac:dyDescent="0.25">
      <c r="A7905" t="s">
        <v>14031</v>
      </c>
      <c r="B7905" t="s">
        <v>14032</v>
      </c>
      <c r="C7905" s="1" t="str">
        <f>HYPERLINK("http://www.genecards.org/cgi-bin/carddisp.pl?gene=HPCAL4","GeneCards")</f>
        <v>GeneCards</v>
      </c>
      <c r="D7905" s="1" t="str">
        <f>HYPERLINK("http://genome-euro.ucsc.edu/cgi-bin/hgTracks?position=222091_at","UCSC")</f>
        <v>UCSC</v>
      </c>
      <c r="E7905" s="1" t="str">
        <f>HYPERLINK("http://www.ncbi.nlm.nih.gov/gene/?term=HPCAL4","NCBI")</f>
        <v>NCBI</v>
      </c>
      <c r="F7905">
        <v>0.12</v>
      </c>
      <c r="G7905">
        <v>0.26</v>
      </c>
      <c r="H7905" s="1" t="str">
        <f>HYPERLINK("http://www.weizmann.ac.il/complex/compphys/software/geview/data/figures/222091_at.png","Figure")</f>
        <v>Figure</v>
      </c>
      <c r="I7905">
        <v>1.24</v>
      </c>
      <c r="J7905">
        <v>0.1</v>
      </c>
      <c r="K7905">
        <v>1.1100000000000001</v>
      </c>
      <c r="L7905">
        <v>0.43</v>
      </c>
      <c r="M7905">
        <v>0.89900000000000002</v>
      </c>
      <c r="N7905">
        <v>0.47</v>
      </c>
    </row>
    <row r="7906" spans="1:14" x14ac:dyDescent="0.25">
      <c r="A7906" t="s">
        <v>14033</v>
      </c>
      <c r="B7906" t="s">
        <v>14034</v>
      </c>
      <c r="C7906" s="1" t="str">
        <f>HYPERLINK("http://www.genecards.org/cgi-bin/carddisp.pl?gene=GNA15","GeneCards")</f>
        <v>GeneCards</v>
      </c>
      <c r="D7906" s="1" t="str">
        <f>HYPERLINK("http://genome-euro.ucsc.edu/cgi-bin/hgTracks?position=205349_at","UCSC")</f>
        <v>UCSC</v>
      </c>
      <c r="E7906" s="1" t="str">
        <f>HYPERLINK("http://www.ncbi.nlm.nih.gov/gene/?term=GNA15","NCBI")</f>
        <v>NCBI</v>
      </c>
      <c r="F7906">
        <v>0.12</v>
      </c>
      <c r="G7906">
        <v>0.26</v>
      </c>
      <c r="H7906" s="1" t="str">
        <f>HYPERLINK("http://www.weizmann.ac.il/complex/compphys/software/geview/data/figures/205349_at.png","Figure")</f>
        <v>Figure</v>
      </c>
      <c r="I7906">
        <v>0.496</v>
      </c>
      <c r="J7906">
        <v>0.11</v>
      </c>
      <c r="K7906">
        <v>0.81299999999999994</v>
      </c>
      <c r="L7906">
        <v>0.74</v>
      </c>
      <c r="M7906">
        <v>1.64</v>
      </c>
      <c r="N7906">
        <v>0.26</v>
      </c>
    </row>
    <row r="7907" spans="1:14" x14ac:dyDescent="0.25">
      <c r="A7907" t="s">
        <v>14035</v>
      </c>
      <c r="B7907" t="s">
        <v>8899</v>
      </c>
      <c r="C7907" s="1" t="str">
        <f>HYPERLINK("http://www.genecards.org/cgi-bin/carddisp.pl?gene=RHOT2","GeneCards")</f>
        <v>GeneCards</v>
      </c>
      <c r="D7907" s="1" t="str">
        <f>HYPERLINK("http://genome-euro.ucsc.edu/cgi-bin/hgTracks?position=65770_at","UCSC")</f>
        <v>UCSC</v>
      </c>
      <c r="E7907" s="1" t="str">
        <f>HYPERLINK("http://www.ncbi.nlm.nih.gov/gene/?term=RHOT2","NCBI")</f>
        <v>NCBI</v>
      </c>
      <c r="F7907">
        <v>0.12</v>
      </c>
      <c r="G7907">
        <v>0.26</v>
      </c>
      <c r="H7907" s="1" t="str">
        <f>HYPERLINK("http://www.weizmann.ac.il/complex/compphys/software/geview/data/figures/65770_at.png","Figure")</f>
        <v>Figure</v>
      </c>
      <c r="I7907">
        <v>1.36</v>
      </c>
      <c r="J7907">
        <v>0.1</v>
      </c>
      <c r="K7907">
        <v>1.1399999999999999</v>
      </c>
      <c r="L7907">
        <v>0.56000000000000005</v>
      </c>
      <c r="M7907">
        <v>0.83299999999999996</v>
      </c>
      <c r="N7907">
        <v>0.36</v>
      </c>
    </row>
    <row r="7908" spans="1:14" x14ac:dyDescent="0.25">
      <c r="A7908" t="s">
        <v>14036</v>
      </c>
      <c r="B7908" t="s">
        <v>10633</v>
      </c>
      <c r="C7908" s="1" t="str">
        <f>HYPERLINK("http://www.genecards.org/cgi-bin/carddisp.pl?gene=ZBTB40","GeneCards")</f>
        <v>GeneCards</v>
      </c>
      <c r="D7908" s="1" t="str">
        <f>HYPERLINK("http://genome-euro.ucsc.edu/cgi-bin/hgTracks?position=203958_s_at","UCSC")</f>
        <v>UCSC</v>
      </c>
      <c r="E7908" s="1" t="str">
        <f>HYPERLINK("http://www.ncbi.nlm.nih.gov/gene/?term=ZBTB40","NCBI")</f>
        <v>NCBI</v>
      </c>
      <c r="F7908">
        <v>0.12</v>
      </c>
      <c r="G7908">
        <v>0.26</v>
      </c>
      <c r="H7908" s="1" t="str">
        <f>HYPERLINK("http://www.weizmann.ac.il/complex/compphys/software/geview/data/figures/203958_s_at.png","Figure")</f>
        <v>Figure</v>
      </c>
      <c r="I7908">
        <v>1.2</v>
      </c>
      <c r="J7908">
        <v>0.1</v>
      </c>
      <c r="K7908">
        <v>1.06</v>
      </c>
      <c r="L7908">
        <v>0.68</v>
      </c>
      <c r="M7908">
        <v>0.88800000000000001</v>
      </c>
      <c r="N7908">
        <v>0.28999999999999998</v>
      </c>
    </row>
    <row r="7909" spans="1:14" x14ac:dyDescent="0.25">
      <c r="A7909" t="s">
        <v>14037</v>
      </c>
      <c r="B7909" t="s">
        <v>13287</v>
      </c>
      <c r="C7909" s="1" t="str">
        <f>HYPERLINK("http://www.genecards.org/cgi-bin/carddisp.pl?gene=PPP3CC","GeneCards")</f>
        <v>GeneCards</v>
      </c>
      <c r="D7909" s="1" t="str">
        <f>HYPERLINK("http://genome-euro.ucsc.edu/cgi-bin/hgTracks?position=32540_at","UCSC")</f>
        <v>UCSC</v>
      </c>
      <c r="E7909" s="1" t="str">
        <f>HYPERLINK("http://www.ncbi.nlm.nih.gov/gene/?term=PPP3CC","NCBI")</f>
        <v>NCBI</v>
      </c>
      <c r="F7909">
        <v>0.12</v>
      </c>
      <c r="G7909">
        <v>0.26</v>
      </c>
      <c r="H7909" s="1" t="str">
        <f>HYPERLINK("http://www.weizmann.ac.il/complex/compphys/software/geview/data/figures/32540_at.png","Figure")</f>
        <v>Figure</v>
      </c>
      <c r="I7909">
        <v>1.08</v>
      </c>
      <c r="J7909">
        <v>0.22</v>
      </c>
      <c r="K7909">
        <v>0.98799999999999999</v>
      </c>
      <c r="L7909">
        <v>0.95</v>
      </c>
      <c r="M7909">
        <v>0.91300000000000003</v>
      </c>
      <c r="N7909">
        <v>0.11</v>
      </c>
    </row>
    <row r="7910" spans="1:14" x14ac:dyDescent="0.25">
      <c r="A7910" t="s">
        <v>14038</v>
      </c>
      <c r="B7910" t="s">
        <v>14039</v>
      </c>
      <c r="C7910" s="1" t="str">
        <f>HYPERLINK("http://www.genecards.org/cgi-bin/carddisp.pl?gene=NIPSNAP1","GeneCards")</f>
        <v>GeneCards</v>
      </c>
      <c r="D7910" s="1" t="str">
        <f>HYPERLINK("http://genome-euro.ucsc.edu/cgi-bin/hgTracks?position=201708_s_at","UCSC")</f>
        <v>UCSC</v>
      </c>
      <c r="E7910" s="1" t="str">
        <f>HYPERLINK("http://www.ncbi.nlm.nih.gov/gene/?term=NIPSNAP1","NCBI")</f>
        <v>NCBI</v>
      </c>
      <c r="F7910">
        <v>0.12</v>
      </c>
      <c r="G7910">
        <v>0.26</v>
      </c>
      <c r="H7910" s="1" t="str">
        <f>HYPERLINK("http://www.weizmann.ac.il/complex/compphys/software/geview/data/figures/201708_s_at.png","Figure")</f>
        <v>Figure</v>
      </c>
      <c r="I7910">
        <v>1.1100000000000001</v>
      </c>
      <c r="J7910">
        <v>0.67</v>
      </c>
      <c r="K7910">
        <v>1.26</v>
      </c>
      <c r="L7910">
        <v>0.1</v>
      </c>
      <c r="M7910">
        <v>1.1399999999999999</v>
      </c>
      <c r="N7910">
        <v>0.5</v>
      </c>
    </row>
    <row r="7911" spans="1:14" x14ac:dyDescent="0.25">
      <c r="A7911" t="s">
        <v>14040</v>
      </c>
      <c r="B7911" t="s">
        <v>9859</v>
      </c>
      <c r="C7911" s="1" t="str">
        <f>HYPERLINK("http://www.genecards.org/cgi-bin/carddisp.pl?gene=RNF24","GeneCards")</f>
        <v>GeneCards</v>
      </c>
      <c r="D7911" s="1" t="str">
        <f>HYPERLINK("http://genome-euro.ucsc.edu/cgi-bin/hgTracks?position=210706_s_at","UCSC")</f>
        <v>UCSC</v>
      </c>
      <c r="E7911" s="1" t="str">
        <f>HYPERLINK("http://www.ncbi.nlm.nih.gov/gene/?term=RNF24","NCBI")</f>
        <v>NCBI</v>
      </c>
      <c r="F7911">
        <v>0.12</v>
      </c>
      <c r="G7911">
        <v>0.26</v>
      </c>
      <c r="H7911" s="1" t="str">
        <f>HYPERLINK("http://www.weizmann.ac.il/complex/compphys/software/geview/data/figures/210706_s_at.png","Figure")</f>
        <v>Figure</v>
      </c>
      <c r="I7911">
        <v>1.03</v>
      </c>
      <c r="J7911">
        <v>0.87</v>
      </c>
      <c r="K7911">
        <v>1.1299999999999999</v>
      </c>
      <c r="L7911">
        <v>0.12</v>
      </c>
      <c r="M7911">
        <v>1.0900000000000001</v>
      </c>
      <c r="N7911">
        <v>0.34</v>
      </c>
    </row>
    <row r="7912" spans="1:14" x14ac:dyDescent="0.25">
      <c r="A7912" t="s">
        <v>14041</v>
      </c>
      <c r="B7912" t="s">
        <v>10509</v>
      </c>
      <c r="C7912" s="1" t="str">
        <f>HYPERLINK("http://www.genecards.org/cgi-bin/carddisp.pl?gene=DCTN2","GeneCards")</f>
        <v>GeneCards</v>
      </c>
      <c r="D7912" s="1" t="str">
        <f>HYPERLINK("http://genome-euro.ucsc.edu/cgi-bin/hgTracks?position=200932_s_at","UCSC")</f>
        <v>UCSC</v>
      </c>
      <c r="E7912" s="1" t="str">
        <f>HYPERLINK("http://www.ncbi.nlm.nih.gov/gene/?term=DCTN2","NCBI")</f>
        <v>NCBI</v>
      </c>
      <c r="F7912">
        <v>0.12</v>
      </c>
      <c r="G7912">
        <v>0.26</v>
      </c>
      <c r="H7912" s="1" t="str">
        <f>HYPERLINK("http://www.weizmann.ac.il/complex/compphys/software/geview/data/figures/200932_s_at.png","Figure")</f>
        <v>Figure</v>
      </c>
      <c r="I7912">
        <v>1.35</v>
      </c>
      <c r="J7912">
        <v>0.1</v>
      </c>
      <c r="K7912">
        <v>1.1200000000000001</v>
      </c>
      <c r="L7912">
        <v>0.6</v>
      </c>
      <c r="M7912">
        <v>0.83199999999999996</v>
      </c>
      <c r="N7912">
        <v>0.33</v>
      </c>
    </row>
    <row r="7913" spans="1:14" x14ac:dyDescent="0.25">
      <c r="A7913" t="s">
        <v>14042</v>
      </c>
      <c r="B7913" t="s">
        <v>14043</v>
      </c>
      <c r="C7913" s="1" t="str">
        <f>HYPERLINK("http://www.genecards.org/cgi-bin/carddisp.pl?gene=ACBD3","GeneCards")</f>
        <v>GeneCards</v>
      </c>
      <c r="D7913" s="1" t="str">
        <f>HYPERLINK("http://genome-euro.ucsc.edu/cgi-bin/hgTracks?position=202323_s_at","UCSC")</f>
        <v>UCSC</v>
      </c>
      <c r="E7913" s="1" t="str">
        <f>HYPERLINK("http://www.ncbi.nlm.nih.gov/gene/?term=ACBD3","NCBI")</f>
        <v>NCBI</v>
      </c>
      <c r="F7913">
        <v>0.12</v>
      </c>
      <c r="G7913">
        <v>0.26</v>
      </c>
      <c r="H7913" s="1" t="str">
        <f>HYPERLINK("http://www.weizmann.ac.il/complex/compphys/software/geview/data/figures/202323_s_at.png","Figure")</f>
        <v>Figure</v>
      </c>
      <c r="I7913">
        <v>1.47</v>
      </c>
      <c r="J7913">
        <v>0.12</v>
      </c>
      <c r="K7913">
        <v>1.0900000000000001</v>
      </c>
      <c r="L7913">
        <v>0.86</v>
      </c>
      <c r="M7913">
        <v>0.74</v>
      </c>
      <c r="N7913">
        <v>0.21</v>
      </c>
    </row>
    <row r="7914" spans="1:14" x14ac:dyDescent="0.25">
      <c r="A7914" t="s">
        <v>14044</v>
      </c>
      <c r="B7914" t="s">
        <v>14045</v>
      </c>
      <c r="C7914" s="1" t="str">
        <f>HYPERLINK("http://www.genecards.org/cgi-bin/carddisp.pl?gene=HESX1","GeneCards")</f>
        <v>GeneCards</v>
      </c>
      <c r="D7914" s="1" t="str">
        <f>HYPERLINK("http://genome-euro.ucsc.edu/cgi-bin/hgTracks?position=211267_at","UCSC")</f>
        <v>UCSC</v>
      </c>
      <c r="E7914" s="1" t="str">
        <f>HYPERLINK("http://www.ncbi.nlm.nih.gov/gene/?term=HESX1","NCBI")</f>
        <v>NCBI</v>
      </c>
      <c r="F7914">
        <v>0.12</v>
      </c>
      <c r="G7914">
        <v>0.26</v>
      </c>
      <c r="H7914" s="1" t="str">
        <f>HYPERLINK("http://www.weizmann.ac.il/complex/compphys/software/geview/data/figures/211267_at.png","Figure")</f>
        <v>Figure</v>
      </c>
      <c r="I7914">
        <v>1.03</v>
      </c>
      <c r="J7914">
        <v>0.25</v>
      </c>
      <c r="K7914">
        <v>0.99299999999999999</v>
      </c>
      <c r="L7914">
        <v>0.91</v>
      </c>
      <c r="M7914">
        <v>0.96</v>
      </c>
      <c r="N7914">
        <v>0.11</v>
      </c>
    </row>
    <row r="7915" spans="1:14" x14ac:dyDescent="0.25">
      <c r="A7915" t="s">
        <v>14046</v>
      </c>
      <c r="B7915" t="s">
        <v>2134</v>
      </c>
      <c r="C7915" s="1" t="str">
        <f>HYPERLINK("http://www.genecards.org/cgi-bin/carddisp.pl?gene=PPFIA3","GeneCards")</f>
        <v>GeneCards</v>
      </c>
      <c r="D7915" s="1" t="str">
        <f>HYPERLINK("http://genome-euro.ucsc.edu/cgi-bin/hgTracks?position=213368_x_at","UCSC")</f>
        <v>UCSC</v>
      </c>
      <c r="E7915" s="1" t="str">
        <f>HYPERLINK("http://www.ncbi.nlm.nih.gov/gene/?term=PPFIA3","NCBI")</f>
        <v>NCBI</v>
      </c>
      <c r="F7915">
        <v>0.12</v>
      </c>
      <c r="G7915">
        <v>0.26</v>
      </c>
      <c r="H7915" s="1" t="str">
        <f>HYPERLINK("http://www.weizmann.ac.il/complex/compphys/software/geview/data/figures/213368_x_at.png","Figure")</f>
        <v>Figure</v>
      </c>
      <c r="I7915">
        <v>1.0900000000000001</v>
      </c>
      <c r="J7915">
        <v>0.17</v>
      </c>
      <c r="K7915">
        <v>1</v>
      </c>
      <c r="L7915">
        <v>1</v>
      </c>
      <c r="M7915">
        <v>0.92100000000000004</v>
      </c>
      <c r="N7915">
        <v>0.14000000000000001</v>
      </c>
    </row>
    <row r="7916" spans="1:14" x14ac:dyDescent="0.25">
      <c r="A7916" t="s">
        <v>14047</v>
      </c>
      <c r="B7916" t="s">
        <v>14048</v>
      </c>
      <c r="C7916" s="1" t="str">
        <f>HYPERLINK("http://www.genecards.org/cgi-bin/carddisp.pl?gene=RHBDD3","GeneCards")</f>
        <v>GeneCards</v>
      </c>
      <c r="D7916" s="1" t="str">
        <f>HYPERLINK("http://genome-euro.ucsc.edu/cgi-bin/hgTracks?position=217622_at","UCSC")</f>
        <v>UCSC</v>
      </c>
      <c r="E7916" s="1" t="str">
        <f>HYPERLINK("http://www.ncbi.nlm.nih.gov/gene/?term=RHBDD3","NCBI")</f>
        <v>NCBI</v>
      </c>
      <c r="F7916">
        <v>0.12</v>
      </c>
      <c r="G7916">
        <v>0.26</v>
      </c>
      <c r="H7916" s="1" t="str">
        <f>HYPERLINK("http://www.weizmann.ac.il/complex/compphys/software/geview/data/figures/217622_at.png","Figure")</f>
        <v>Figure</v>
      </c>
      <c r="I7916">
        <v>1.26</v>
      </c>
      <c r="J7916">
        <v>0.1</v>
      </c>
      <c r="K7916">
        <v>1.08</v>
      </c>
      <c r="L7916">
        <v>0.67</v>
      </c>
      <c r="M7916">
        <v>0.85799999999999998</v>
      </c>
      <c r="N7916">
        <v>0.3</v>
      </c>
    </row>
    <row r="7917" spans="1:14" x14ac:dyDescent="0.25">
      <c r="A7917" t="s">
        <v>14049</v>
      </c>
      <c r="B7917" t="s">
        <v>7701</v>
      </c>
      <c r="C7917" s="1" t="str">
        <f>HYPERLINK("http://www.genecards.org/cgi-bin/carddisp.pl?gene=CHERP","GeneCards")</f>
        <v>GeneCards</v>
      </c>
      <c r="D7917" s="1" t="str">
        <f>HYPERLINK("http://genome-euro.ucsc.edu/cgi-bin/hgTracks?position=202230_s_at","UCSC")</f>
        <v>UCSC</v>
      </c>
      <c r="E7917" s="1" t="str">
        <f>HYPERLINK("http://www.ncbi.nlm.nih.gov/gene/?term=CHERP","NCBI")</f>
        <v>NCBI</v>
      </c>
      <c r="F7917">
        <v>0.12</v>
      </c>
      <c r="G7917">
        <v>0.26</v>
      </c>
      <c r="H7917" s="1" t="str">
        <f>HYPERLINK("http://www.weizmann.ac.il/complex/compphys/software/geview/data/figures/202230_s_at.png","Figure")</f>
        <v>Figure</v>
      </c>
      <c r="I7917">
        <v>0.73499999999999999</v>
      </c>
      <c r="J7917">
        <v>0.41</v>
      </c>
      <c r="K7917">
        <v>0.63500000000000001</v>
      </c>
      <c r="L7917">
        <v>0.1</v>
      </c>
      <c r="M7917">
        <v>0.86299999999999999</v>
      </c>
      <c r="N7917">
        <v>0.78</v>
      </c>
    </row>
    <row r="7918" spans="1:14" x14ac:dyDescent="0.25">
      <c r="A7918" t="s">
        <v>14050</v>
      </c>
      <c r="B7918" t="s">
        <v>14051</v>
      </c>
      <c r="C7918" s="1" t="str">
        <f>HYPERLINK("http://www.genecards.org/cgi-bin/carddisp.pl?gene=EIF4EBP2","GeneCards")</f>
        <v>GeneCards</v>
      </c>
      <c r="D7918" s="1" t="str">
        <f>HYPERLINK("http://genome-euro.ucsc.edu/cgi-bin/hgTracks?position=208770_s_at","UCSC")</f>
        <v>UCSC</v>
      </c>
      <c r="E7918" s="1" t="str">
        <f>HYPERLINK("http://www.ncbi.nlm.nih.gov/gene/?term=EIF4EBP2","NCBI")</f>
        <v>NCBI</v>
      </c>
      <c r="F7918">
        <v>0.12</v>
      </c>
      <c r="G7918">
        <v>0.26</v>
      </c>
      <c r="H7918" s="1" t="str">
        <f>HYPERLINK("http://www.weizmann.ac.il/complex/compphys/software/geview/data/figures/208770_s_at.png","Figure")</f>
        <v>Figure</v>
      </c>
      <c r="I7918">
        <v>0.98299999999999998</v>
      </c>
      <c r="J7918">
        <v>0.99</v>
      </c>
      <c r="K7918">
        <v>1.21</v>
      </c>
      <c r="L7918">
        <v>0.19</v>
      </c>
      <c r="M7918">
        <v>1.23</v>
      </c>
      <c r="N7918">
        <v>0.18</v>
      </c>
    </row>
    <row r="7919" spans="1:14" x14ac:dyDescent="0.25">
      <c r="A7919" t="s">
        <v>14052</v>
      </c>
      <c r="B7919" t="s">
        <v>14053</v>
      </c>
      <c r="C7919" s="1" t="str">
        <f>HYPERLINK("http://www.genecards.org/cgi-bin/carddisp.pl?gene=CNPY3","GeneCards")</f>
        <v>GeneCards</v>
      </c>
      <c r="D7919" s="1" t="str">
        <f>HYPERLINK("http://genome-euro.ucsc.edu/cgi-bin/hgTracks?position=217931_at","UCSC")</f>
        <v>UCSC</v>
      </c>
      <c r="E7919" s="1" t="str">
        <f>HYPERLINK("http://www.ncbi.nlm.nih.gov/gene/?term=CNPY3","NCBI")</f>
        <v>NCBI</v>
      </c>
      <c r="F7919">
        <v>0.12</v>
      </c>
      <c r="G7919">
        <v>0.26</v>
      </c>
      <c r="H7919" s="1" t="str">
        <f>HYPERLINK("http://www.weizmann.ac.il/complex/compphys/software/geview/data/figures/217931_at.png","Figure")</f>
        <v>Figure</v>
      </c>
      <c r="I7919">
        <v>0.92400000000000004</v>
      </c>
      <c r="J7919">
        <v>0.76</v>
      </c>
      <c r="K7919">
        <v>1.1499999999999999</v>
      </c>
      <c r="L7919">
        <v>0.34</v>
      </c>
      <c r="M7919">
        <v>1.25</v>
      </c>
      <c r="N7919">
        <v>0.12</v>
      </c>
    </row>
    <row r="7920" spans="1:14" x14ac:dyDescent="0.25">
      <c r="A7920" t="s">
        <v>14054</v>
      </c>
      <c r="B7920" t="s">
        <v>14055</v>
      </c>
      <c r="C7920" s="1" t="str">
        <f>HYPERLINK("http://www.genecards.org/cgi-bin/carddisp.pl?gene=AIM1L","GeneCards")</f>
        <v>GeneCards</v>
      </c>
      <c r="D7920" s="1" t="str">
        <f>HYPERLINK("http://genome-euro.ucsc.edu/cgi-bin/hgTracks?position=220290_at","UCSC")</f>
        <v>UCSC</v>
      </c>
      <c r="E7920" s="1" t="str">
        <f>HYPERLINK("http://www.ncbi.nlm.nih.gov/gene/?term=AIM1L","NCBI")</f>
        <v>NCBI</v>
      </c>
      <c r="F7920">
        <v>0.12</v>
      </c>
      <c r="G7920">
        <v>0.26</v>
      </c>
      <c r="H7920" s="1" t="str">
        <f>HYPERLINK("http://www.weizmann.ac.il/complex/compphys/software/geview/data/figures/220290_at.png","Figure")</f>
        <v>Figure</v>
      </c>
      <c r="I7920">
        <v>1.0900000000000001</v>
      </c>
      <c r="J7920">
        <v>0.47</v>
      </c>
      <c r="K7920">
        <v>1.1499999999999999</v>
      </c>
      <c r="L7920">
        <v>0.1</v>
      </c>
      <c r="M7920">
        <v>1.06</v>
      </c>
      <c r="N7920">
        <v>0.71</v>
      </c>
    </row>
    <row r="7921" spans="1:14" x14ac:dyDescent="0.25">
      <c r="A7921" t="s">
        <v>14056</v>
      </c>
      <c r="B7921" t="s">
        <v>14057</v>
      </c>
      <c r="C7921" s="1" t="str">
        <f>HYPERLINK("http://www.genecards.org/cgi-bin/carddisp.pl?gene=PKLR","GeneCards")</f>
        <v>GeneCards</v>
      </c>
      <c r="D7921" s="1" t="str">
        <f>HYPERLINK("http://genome-euro.ucsc.edu/cgi-bin/hgTracks?position=210451_at","UCSC")</f>
        <v>UCSC</v>
      </c>
      <c r="E7921" s="1" t="str">
        <f>HYPERLINK("http://www.ncbi.nlm.nih.gov/gene/?term=PKLR","NCBI")</f>
        <v>NCBI</v>
      </c>
      <c r="F7921">
        <v>0.12</v>
      </c>
      <c r="G7921">
        <v>0.26</v>
      </c>
      <c r="H7921" s="1" t="str">
        <f>HYPERLINK("http://www.weizmann.ac.il/complex/compphys/software/geview/data/figures/210451_at.png","Figure")</f>
        <v>Figure</v>
      </c>
      <c r="I7921">
        <v>1.1000000000000001</v>
      </c>
      <c r="J7921">
        <v>0.37</v>
      </c>
      <c r="K7921">
        <v>0.95499999999999996</v>
      </c>
      <c r="L7921">
        <v>0.71</v>
      </c>
      <c r="M7921">
        <v>0.872</v>
      </c>
      <c r="N7921">
        <v>0.1</v>
      </c>
    </row>
    <row r="7922" spans="1:14" x14ac:dyDescent="0.25">
      <c r="A7922" t="s">
        <v>14058</v>
      </c>
      <c r="B7922" t="s">
        <v>14059</v>
      </c>
      <c r="C7922" s="1" t="str">
        <f>HYPERLINK("http://www.genecards.org/cgi-bin/carddisp.pl?gene=CHSY1","GeneCards")</f>
        <v>GeneCards</v>
      </c>
      <c r="D7922" s="1" t="str">
        <f>HYPERLINK("http://genome-euro.ucsc.edu/cgi-bin/hgTracks?position=203044_at","UCSC")</f>
        <v>UCSC</v>
      </c>
      <c r="E7922" s="1" t="str">
        <f>HYPERLINK("http://www.ncbi.nlm.nih.gov/gene/?term=CHSY1","NCBI")</f>
        <v>NCBI</v>
      </c>
      <c r="F7922">
        <v>0.12</v>
      </c>
      <c r="G7922">
        <v>0.26</v>
      </c>
      <c r="H7922" s="1" t="str">
        <f>HYPERLINK("http://www.weizmann.ac.il/complex/compphys/software/geview/data/figures/203044_at.png","Figure")</f>
        <v>Figure</v>
      </c>
      <c r="I7922">
        <v>0.45800000000000002</v>
      </c>
      <c r="J7922">
        <v>0.1</v>
      </c>
      <c r="K7922">
        <v>0.68500000000000005</v>
      </c>
      <c r="L7922">
        <v>0.45</v>
      </c>
      <c r="M7922">
        <v>1.5</v>
      </c>
      <c r="N7922">
        <v>0.45</v>
      </c>
    </row>
    <row r="7923" spans="1:14" x14ac:dyDescent="0.25">
      <c r="A7923" t="s">
        <v>14060</v>
      </c>
      <c r="B7923" t="s">
        <v>14061</v>
      </c>
      <c r="C7923" s="1" t="str">
        <f>HYPERLINK("http://www.genecards.org/cgi-bin/carddisp.pl?gene=MTNR1B","GeneCards")</f>
        <v>GeneCards</v>
      </c>
      <c r="D7923" s="1" t="str">
        <f>HYPERLINK("http://genome-euro.ucsc.edu/cgi-bin/hgTracks?position=208516_at","UCSC")</f>
        <v>UCSC</v>
      </c>
      <c r="E7923" s="1" t="str">
        <f>HYPERLINK("http://www.ncbi.nlm.nih.gov/gene/?term=MTNR1B","NCBI")</f>
        <v>NCBI</v>
      </c>
      <c r="F7923">
        <v>0.12</v>
      </c>
      <c r="G7923">
        <v>0.26</v>
      </c>
      <c r="H7923" s="1" t="str">
        <f>HYPERLINK("http://www.weizmann.ac.il/complex/compphys/software/geview/data/figures/208516_at.png","Figure")</f>
        <v>Figure</v>
      </c>
      <c r="I7923">
        <v>1.01</v>
      </c>
      <c r="J7923">
        <v>0.21</v>
      </c>
      <c r="K7923">
        <v>1.01</v>
      </c>
      <c r="L7923">
        <v>0.14000000000000001</v>
      </c>
      <c r="M7923">
        <v>1</v>
      </c>
      <c r="N7923">
        <v>1</v>
      </c>
    </row>
    <row r="7924" spans="1:14" x14ac:dyDescent="0.25">
      <c r="A7924" t="s">
        <v>14062</v>
      </c>
      <c r="B7924" t="s">
        <v>6678</v>
      </c>
      <c r="C7924" s="1" t="str">
        <f>HYPERLINK("http://www.genecards.org/cgi-bin/carddisp.pl?gene=MACF1","GeneCards")</f>
        <v>GeneCards</v>
      </c>
      <c r="D7924" s="1" t="str">
        <f>HYPERLINK("http://genome-euro.ucsc.edu/cgi-bin/hgTracks?position=208633_s_at","UCSC")</f>
        <v>UCSC</v>
      </c>
      <c r="E7924" s="1" t="str">
        <f>HYPERLINK("http://www.ncbi.nlm.nih.gov/gene/?term=MACF1","NCBI")</f>
        <v>NCBI</v>
      </c>
      <c r="F7924">
        <v>0.12</v>
      </c>
      <c r="G7924">
        <v>0.26</v>
      </c>
      <c r="H7924" s="1" t="str">
        <f>HYPERLINK("http://www.weizmann.ac.il/complex/compphys/software/geview/data/figures/208633_s_at.png","Figure")</f>
        <v>Figure</v>
      </c>
      <c r="I7924">
        <v>1.47</v>
      </c>
      <c r="J7924">
        <v>0.11</v>
      </c>
      <c r="K7924">
        <v>1.26</v>
      </c>
      <c r="L7924">
        <v>0.32</v>
      </c>
      <c r="M7924">
        <v>0.85799999999999998</v>
      </c>
      <c r="N7924">
        <v>0.63</v>
      </c>
    </row>
    <row r="7925" spans="1:14" x14ac:dyDescent="0.25">
      <c r="A7925" t="s">
        <v>14063</v>
      </c>
      <c r="B7925" t="s">
        <v>14064</v>
      </c>
      <c r="C7925" s="1" t="str">
        <f>HYPERLINK("http://www.genecards.org/cgi-bin/carddisp.pl?gene=PTGER3","GeneCards")</f>
        <v>GeneCards</v>
      </c>
      <c r="D7925" s="1" t="str">
        <f>HYPERLINK("http://genome-euro.ucsc.edu/cgi-bin/hgTracks?position=210831_s_at","UCSC")</f>
        <v>UCSC</v>
      </c>
      <c r="E7925" s="1" t="str">
        <f>HYPERLINK("http://www.ncbi.nlm.nih.gov/gene/?term=PTGER3","NCBI")</f>
        <v>NCBI</v>
      </c>
      <c r="F7925">
        <v>0.12</v>
      </c>
      <c r="G7925">
        <v>0.26</v>
      </c>
      <c r="H7925" s="1" t="str">
        <f>HYPERLINK("http://www.weizmann.ac.il/complex/compphys/software/geview/data/figures/210831_s_at.png","Figure")</f>
        <v>Figure</v>
      </c>
      <c r="I7925">
        <v>1.04</v>
      </c>
      <c r="J7925">
        <v>0.21</v>
      </c>
      <c r="K7925">
        <v>1.04</v>
      </c>
      <c r="L7925">
        <v>0.14000000000000001</v>
      </c>
      <c r="M7925">
        <v>1</v>
      </c>
      <c r="N7925">
        <v>1</v>
      </c>
    </row>
    <row r="7926" spans="1:14" x14ac:dyDescent="0.25">
      <c r="A7926" t="s">
        <v>14065</v>
      </c>
      <c r="B7926" t="s">
        <v>3775</v>
      </c>
      <c r="C7926" s="1" t="str">
        <f>HYPERLINK("http://www.genecards.org/cgi-bin/carddisp.pl?gene=BTN2A1","GeneCards")</f>
        <v>GeneCards</v>
      </c>
      <c r="D7926" s="1" t="str">
        <f>HYPERLINK("http://genome-euro.ucsc.edu/cgi-bin/hgTracks?position=215493_x_at","UCSC")</f>
        <v>UCSC</v>
      </c>
      <c r="E7926" s="1" t="str">
        <f>HYPERLINK("http://www.ncbi.nlm.nih.gov/gene/?term=BTN2A1","NCBI")</f>
        <v>NCBI</v>
      </c>
      <c r="F7926">
        <v>0.12</v>
      </c>
      <c r="G7926">
        <v>0.26</v>
      </c>
      <c r="H7926" s="1" t="str">
        <f>HYPERLINK("http://www.weizmann.ac.il/complex/compphys/software/geview/data/figures/215493_x_at.png","Figure")</f>
        <v>Figure</v>
      </c>
      <c r="I7926">
        <v>1.42</v>
      </c>
      <c r="J7926">
        <v>0.11</v>
      </c>
      <c r="K7926">
        <v>1.1200000000000001</v>
      </c>
      <c r="L7926">
        <v>0.71</v>
      </c>
      <c r="M7926">
        <v>0.78600000000000003</v>
      </c>
      <c r="N7926">
        <v>0.27</v>
      </c>
    </row>
    <row r="7927" spans="1:14" x14ac:dyDescent="0.25">
      <c r="A7927" t="s">
        <v>14066</v>
      </c>
      <c r="B7927" t="s">
        <v>13364</v>
      </c>
      <c r="C7927" s="1" t="str">
        <f>HYPERLINK("http://www.genecards.org/cgi-bin/carddisp.pl?gene=C2orf24","GeneCards")</f>
        <v>GeneCards</v>
      </c>
      <c r="D7927" s="1" t="str">
        <f>HYPERLINK("http://genome-euro.ucsc.edu/cgi-bin/hgTracks?position=200070_at","UCSC")</f>
        <v>UCSC</v>
      </c>
      <c r="E7927" s="1" t="str">
        <f>HYPERLINK("http://www.ncbi.nlm.nih.gov/gene/?term=C2orf24","NCBI")</f>
        <v>NCBI</v>
      </c>
      <c r="F7927">
        <v>0.12</v>
      </c>
      <c r="G7927">
        <v>0.26</v>
      </c>
      <c r="H7927" s="1" t="str">
        <f>HYPERLINK("http://www.weizmann.ac.il/complex/compphys/software/geview/data/figures/200070_at.png","Figure")</f>
        <v>Figure</v>
      </c>
      <c r="I7927">
        <v>1.05</v>
      </c>
      <c r="J7927">
        <v>0.89</v>
      </c>
      <c r="K7927">
        <v>0.85699999999999998</v>
      </c>
      <c r="L7927">
        <v>0.26</v>
      </c>
      <c r="M7927">
        <v>0.81499999999999995</v>
      </c>
      <c r="N7927">
        <v>0.14000000000000001</v>
      </c>
    </row>
    <row r="7928" spans="1:14" x14ac:dyDescent="0.25">
      <c r="A7928" t="s">
        <v>14067</v>
      </c>
      <c r="B7928" t="s">
        <v>8672</v>
      </c>
      <c r="C7928" s="1" t="str">
        <f>HYPERLINK("http://www.genecards.org/cgi-bin/carddisp.pl?gene=ADRB3","GeneCards")</f>
        <v>GeneCards</v>
      </c>
      <c r="D7928" s="1" t="str">
        <f>HYPERLINK("http://genome-euro.ucsc.edu/cgi-bin/hgTracks?position=206812_at","UCSC")</f>
        <v>UCSC</v>
      </c>
      <c r="E7928" s="1" t="str">
        <f>HYPERLINK("http://www.ncbi.nlm.nih.gov/gene/?term=ADRB3","NCBI")</f>
        <v>NCBI</v>
      </c>
      <c r="F7928">
        <v>0.12</v>
      </c>
      <c r="G7928">
        <v>0.26</v>
      </c>
      <c r="H7928" s="1" t="str">
        <f>HYPERLINK("http://www.weizmann.ac.il/complex/compphys/software/geview/data/figures/206812_at.png","Figure")</f>
        <v>Figure</v>
      </c>
      <c r="I7928">
        <v>1.02</v>
      </c>
      <c r="J7928">
        <v>0.86</v>
      </c>
      <c r="K7928">
        <v>0.93700000000000006</v>
      </c>
      <c r="L7928">
        <v>0.28000000000000003</v>
      </c>
      <c r="M7928">
        <v>0.91500000000000004</v>
      </c>
      <c r="N7928">
        <v>0.14000000000000001</v>
      </c>
    </row>
    <row r="7929" spans="1:14" x14ac:dyDescent="0.25">
      <c r="A7929" t="s">
        <v>14068</v>
      </c>
      <c r="B7929" t="s">
        <v>7092</v>
      </c>
      <c r="C7929" s="1" t="str">
        <f>HYPERLINK("http://www.genecards.org/cgi-bin/carddisp.pl?gene=PPP2R5C","GeneCards")</f>
        <v>GeneCards</v>
      </c>
      <c r="D7929" s="1" t="str">
        <f>HYPERLINK("http://genome-euro.ucsc.edu/cgi-bin/hgTracks?position=213305_s_at","UCSC")</f>
        <v>UCSC</v>
      </c>
      <c r="E7929" s="1" t="str">
        <f>HYPERLINK("http://www.ncbi.nlm.nih.gov/gene/?term=PPP2R5C","NCBI")</f>
        <v>NCBI</v>
      </c>
      <c r="F7929">
        <v>0.12</v>
      </c>
      <c r="G7929">
        <v>0.26</v>
      </c>
      <c r="H7929" s="1" t="str">
        <f>HYPERLINK("http://www.weizmann.ac.il/complex/compphys/software/geview/data/figures/213305_s_at.png","Figure")</f>
        <v>Figure</v>
      </c>
      <c r="I7929">
        <v>0.80700000000000005</v>
      </c>
      <c r="J7929">
        <v>0.56999999999999995</v>
      </c>
      <c r="K7929">
        <v>1.24</v>
      </c>
      <c r="L7929">
        <v>0.48</v>
      </c>
      <c r="M7929">
        <v>1.53</v>
      </c>
      <c r="N7929">
        <v>0.11</v>
      </c>
    </row>
    <row r="7930" spans="1:14" x14ac:dyDescent="0.25">
      <c r="A7930" t="s">
        <v>14069</v>
      </c>
      <c r="B7930" t="s">
        <v>14070</v>
      </c>
      <c r="C7930" s="1" t="str">
        <f>HYPERLINK("http://www.genecards.org/cgi-bin/carddisp.pl?gene=SUCLA2","GeneCards")</f>
        <v>GeneCards</v>
      </c>
      <c r="D7930" s="1" t="str">
        <f>HYPERLINK("http://genome-euro.ucsc.edu/cgi-bin/hgTracks?position=202930_s_at","UCSC")</f>
        <v>UCSC</v>
      </c>
      <c r="E7930" s="1" t="str">
        <f>HYPERLINK("http://www.ncbi.nlm.nih.gov/gene/?term=SUCLA2","NCBI")</f>
        <v>NCBI</v>
      </c>
      <c r="F7930">
        <v>0.12</v>
      </c>
      <c r="G7930">
        <v>0.26</v>
      </c>
      <c r="H7930" s="1" t="str">
        <f>HYPERLINK("http://www.weizmann.ac.il/complex/compphys/software/geview/data/figures/202930_s_at.png","Figure")</f>
        <v>Figure</v>
      </c>
      <c r="I7930">
        <v>0.53600000000000003</v>
      </c>
      <c r="J7930">
        <v>0.13</v>
      </c>
      <c r="K7930">
        <v>0.91300000000000003</v>
      </c>
      <c r="L7930">
        <v>0.94</v>
      </c>
      <c r="M7930">
        <v>1.7</v>
      </c>
      <c r="N7930">
        <v>0.18</v>
      </c>
    </row>
    <row r="7931" spans="1:14" x14ac:dyDescent="0.25">
      <c r="A7931" t="s">
        <v>14071</v>
      </c>
      <c r="B7931" t="s">
        <v>14072</v>
      </c>
      <c r="C7931" s="1" t="str">
        <f>HYPERLINK("http://www.genecards.org/cgi-bin/carddisp.pl?gene=CAPN3","GeneCards")</f>
        <v>GeneCards</v>
      </c>
      <c r="D7931" s="1" t="str">
        <f>HYPERLINK("http://genome-euro.ucsc.edu/cgi-bin/hgTracks?position=214475_x_at","UCSC")</f>
        <v>UCSC</v>
      </c>
      <c r="E7931" s="1" t="str">
        <f>HYPERLINK("http://www.ncbi.nlm.nih.gov/gene/?term=CAPN3","NCBI")</f>
        <v>NCBI</v>
      </c>
      <c r="F7931">
        <v>0.12</v>
      </c>
      <c r="G7931">
        <v>0.26</v>
      </c>
      <c r="H7931" s="1" t="str">
        <f>HYPERLINK("http://www.weizmann.ac.il/complex/compphys/software/geview/data/figures/214475_x_at.png","Figure")</f>
        <v>Figure</v>
      </c>
      <c r="I7931">
        <v>0.997</v>
      </c>
      <c r="J7931">
        <v>1</v>
      </c>
      <c r="K7931">
        <v>1.1200000000000001</v>
      </c>
      <c r="L7931">
        <v>0.18</v>
      </c>
      <c r="M7931">
        <v>1.1200000000000001</v>
      </c>
      <c r="N7931">
        <v>0.2</v>
      </c>
    </row>
    <row r="7932" spans="1:14" x14ac:dyDescent="0.25">
      <c r="A7932" t="s">
        <v>14073</v>
      </c>
      <c r="B7932" t="s">
        <v>14074</v>
      </c>
      <c r="C7932" s="1" t="str">
        <f>HYPERLINK("http://www.genecards.org/cgi-bin/carddisp.pl?gene=CHRM4","GeneCards")</f>
        <v>GeneCards</v>
      </c>
      <c r="D7932" s="1" t="str">
        <f>HYPERLINK("http://genome-euro.ucsc.edu/cgi-bin/hgTracks?position=221357_at","UCSC")</f>
        <v>UCSC</v>
      </c>
      <c r="E7932" s="1" t="str">
        <f>HYPERLINK("http://www.ncbi.nlm.nih.gov/gene/?term=CHRM4","NCBI")</f>
        <v>NCBI</v>
      </c>
      <c r="F7932">
        <v>0.12</v>
      </c>
      <c r="G7932">
        <v>0.26</v>
      </c>
      <c r="H7932" s="1" t="str">
        <f>HYPERLINK("http://www.weizmann.ac.il/complex/compphys/software/geview/data/figures/221357_at.png","Figure")</f>
        <v>Figure</v>
      </c>
      <c r="I7932">
        <v>1.17</v>
      </c>
      <c r="J7932">
        <v>0.16</v>
      </c>
      <c r="K7932">
        <v>1.01</v>
      </c>
      <c r="L7932">
        <v>1</v>
      </c>
      <c r="M7932">
        <v>0.86099999999999999</v>
      </c>
      <c r="N7932">
        <v>0.15</v>
      </c>
    </row>
    <row r="7933" spans="1:14" x14ac:dyDescent="0.25">
      <c r="A7933" t="s">
        <v>14075</v>
      </c>
      <c r="B7933" t="s">
        <v>14076</v>
      </c>
      <c r="C7933" s="1" t="str">
        <f>HYPERLINK("http://www.genecards.org/cgi-bin/carddisp.pl?gene=ODZ4","GeneCards")</f>
        <v>GeneCards</v>
      </c>
      <c r="D7933" s="1" t="str">
        <f>HYPERLINK("http://genome-euro.ucsc.edu/cgi-bin/hgTracks?position=213273_at","UCSC")</f>
        <v>UCSC</v>
      </c>
      <c r="E7933" s="1" t="str">
        <f>HYPERLINK("http://www.ncbi.nlm.nih.gov/gene/?term=ODZ4","NCBI")</f>
        <v>NCBI</v>
      </c>
      <c r="F7933">
        <v>0.12</v>
      </c>
      <c r="G7933">
        <v>0.26</v>
      </c>
      <c r="H7933" s="1" t="str">
        <f>HYPERLINK("http://www.weizmann.ac.il/complex/compphys/software/geview/data/figures/213273_at.png","Figure")</f>
        <v>Figure</v>
      </c>
      <c r="I7933">
        <v>1.49</v>
      </c>
      <c r="J7933">
        <v>0.19</v>
      </c>
      <c r="K7933">
        <v>1.46</v>
      </c>
      <c r="L7933">
        <v>0.15</v>
      </c>
      <c r="M7933">
        <v>0.98099999999999998</v>
      </c>
      <c r="N7933">
        <v>0.99</v>
      </c>
    </row>
    <row r="7934" spans="1:14" x14ac:dyDescent="0.25">
      <c r="A7934" t="s">
        <v>14077</v>
      </c>
      <c r="B7934" t="s">
        <v>14078</v>
      </c>
      <c r="C7934" s="1" t="str">
        <f>HYPERLINK("http://www.genecards.org/cgi-bin/carddisp.pl?gene=SLN","GeneCards")</f>
        <v>GeneCards</v>
      </c>
      <c r="D7934" s="1" t="str">
        <f>HYPERLINK("http://genome-euro.ucsc.edu/cgi-bin/hgTracks?position=205374_at","UCSC")</f>
        <v>UCSC</v>
      </c>
      <c r="E7934" s="1" t="str">
        <f>HYPERLINK("http://www.ncbi.nlm.nih.gov/gene/?term=SLN","NCBI")</f>
        <v>NCBI</v>
      </c>
      <c r="F7934">
        <v>0.12</v>
      </c>
      <c r="G7934">
        <v>0.26</v>
      </c>
      <c r="H7934" s="1" t="str">
        <f>HYPERLINK("http://www.weizmann.ac.il/complex/compphys/software/geview/data/figures/205374_at.png","Figure")</f>
        <v>Figure</v>
      </c>
      <c r="I7934">
        <v>1.1399999999999999</v>
      </c>
      <c r="J7934">
        <v>0.32</v>
      </c>
      <c r="K7934">
        <v>0.95</v>
      </c>
      <c r="L7934">
        <v>0.79</v>
      </c>
      <c r="M7934">
        <v>0.83299999999999996</v>
      </c>
      <c r="N7934">
        <v>0.1</v>
      </c>
    </row>
    <row r="7935" spans="1:14" x14ac:dyDescent="0.25">
      <c r="A7935" t="s">
        <v>14079</v>
      </c>
      <c r="B7935" t="s">
        <v>14080</v>
      </c>
      <c r="C7935" s="1" t="str">
        <f>HYPERLINK("http://www.genecards.org/cgi-bin/carddisp.pl?gene=GTPBP6","GeneCards")</f>
        <v>GeneCards</v>
      </c>
      <c r="D7935" s="1" t="str">
        <f>HYPERLINK("http://genome-euro.ucsc.edu/cgi-bin/hgTracks?position=203314_at","UCSC")</f>
        <v>UCSC</v>
      </c>
      <c r="E7935" s="1" t="str">
        <f>HYPERLINK("http://www.ncbi.nlm.nih.gov/gene/?term=GTPBP6","NCBI")</f>
        <v>NCBI</v>
      </c>
      <c r="F7935">
        <v>0.12</v>
      </c>
      <c r="G7935">
        <v>0.26</v>
      </c>
      <c r="H7935" s="1" t="str">
        <f>HYPERLINK("http://www.weizmann.ac.il/complex/compphys/software/geview/data/figures/203314_at.png","Figure")</f>
        <v>Figure</v>
      </c>
      <c r="I7935">
        <v>0.97899999999999998</v>
      </c>
      <c r="J7935">
        <v>0.99</v>
      </c>
      <c r="K7935">
        <v>1.25</v>
      </c>
      <c r="L7935">
        <v>0.19</v>
      </c>
      <c r="M7935">
        <v>1.27</v>
      </c>
      <c r="N7935">
        <v>0.18</v>
      </c>
    </row>
    <row r="7936" spans="1:14" x14ac:dyDescent="0.25">
      <c r="A7936" t="s">
        <v>14081</v>
      </c>
      <c r="B7936" t="s">
        <v>14082</v>
      </c>
      <c r="C7936" s="1" t="str">
        <f>HYPERLINK("http://www.genecards.org/cgi-bin/carddisp.pl?gene=GNL1","GeneCards")</f>
        <v>GeneCards</v>
      </c>
      <c r="D7936" s="1" t="str">
        <f>HYPERLINK("http://genome-euro.ucsc.edu/cgi-bin/hgTracks?position=203307_at","UCSC")</f>
        <v>UCSC</v>
      </c>
      <c r="E7936" s="1" t="str">
        <f>HYPERLINK("http://www.ncbi.nlm.nih.gov/gene/?term=GNL1","NCBI")</f>
        <v>NCBI</v>
      </c>
      <c r="F7936">
        <v>0.12</v>
      </c>
      <c r="G7936">
        <v>0.26</v>
      </c>
      <c r="H7936" s="1" t="str">
        <f>HYPERLINK("http://www.weizmann.ac.il/complex/compphys/software/geview/data/figures/203307_at.png","Figure")</f>
        <v>Figure</v>
      </c>
      <c r="I7936">
        <v>1.18</v>
      </c>
      <c r="J7936">
        <v>0.11</v>
      </c>
      <c r="K7936">
        <v>1.05</v>
      </c>
      <c r="L7936">
        <v>0.72</v>
      </c>
      <c r="M7936">
        <v>0.89300000000000002</v>
      </c>
      <c r="N7936">
        <v>0.27</v>
      </c>
    </row>
    <row r="7937" spans="1:14" x14ac:dyDescent="0.25">
      <c r="A7937" t="s">
        <v>14083</v>
      </c>
      <c r="B7937" t="s">
        <v>14084</v>
      </c>
      <c r="C7937" s="1" t="str">
        <f>HYPERLINK("http://www.genecards.org/cgi-bin/carddisp.pl?gene=OS9","GeneCards")</f>
        <v>GeneCards</v>
      </c>
      <c r="D7937" s="1" t="str">
        <f>HYPERLINK("http://genome-euro.ucsc.edu/cgi-bin/hgTracks?position=215399_s_at","UCSC")</f>
        <v>UCSC</v>
      </c>
      <c r="E7937" s="1" t="str">
        <f>HYPERLINK("http://www.ncbi.nlm.nih.gov/gene/?term=OS9","NCBI")</f>
        <v>NCBI</v>
      </c>
      <c r="F7937">
        <v>0.12</v>
      </c>
      <c r="G7937">
        <v>0.26</v>
      </c>
      <c r="H7937" s="1" t="str">
        <f>HYPERLINK("http://www.weizmann.ac.il/complex/compphys/software/geview/data/figures/215399_s_at.png","Figure")</f>
        <v>Figure</v>
      </c>
      <c r="I7937">
        <v>1.1399999999999999</v>
      </c>
      <c r="J7937">
        <v>0.12</v>
      </c>
      <c r="K7937">
        <v>1.03</v>
      </c>
      <c r="L7937">
        <v>0.86</v>
      </c>
      <c r="M7937">
        <v>0.90200000000000002</v>
      </c>
      <c r="N7937">
        <v>0.21</v>
      </c>
    </row>
    <row r="7938" spans="1:14" x14ac:dyDescent="0.25">
      <c r="A7938" t="s">
        <v>14085</v>
      </c>
      <c r="B7938" t="s">
        <v>14086</v>
      </c>
      <c r="C7938" s="1" t="str">
        <f>HYPERLINK("http://www.genecards.org/cgi-bin/carddisp.pl?gene=ANGPTL2","GeneCards")</f>
        <v>GeneCards</v>
      </c>
      <c r="D7938" s="1" t="str">
        <f>HYPERLINK("http://genome-euro.ucsc.edu/cgi-bin/hgTracks?position=219514_at","UCSC")</f>
        <v>UCSC</v>
      </c>
      <c r="E7938" s="1" t="str">
        <f>HYPERLINK("http://www.ncbi.nlm.nih.gov/gene/?term=ANGPTL2","NCBI")</f>
        <v>NCBI</v>
      </c>
      <c r="F7938">
        <v>0.12</v>
      </c>
      <c r="G7938">
        <v>0.26</v>
      </c>
      <c r="H7938" s="1" t="str">
        <f>HYPERLINK("http://www.weizmann.ac.il/complex/compphys/software/geview/data/figures/219514_at.png","Figure")</f>
        <v>Figure</v>
      </c>
      <c r="I7938">
        <v>1.1299999999999999</v>
      </c>
      <c r="J7938">
        <v>0.12</v>
      </c>
      <c r="K7938">
        <v>1.03</v>
      </c>
      <c r="L7938">
        <v>0.83</v>
      </c>
      <c r="M7938">
        <v>0.91400000000000003</v>
      </c>
      <c r="N7938">
        <v>0.22</v>
      </c>
    </row>
    <row r="7939" spans="1:14" x14ac:dyDescent="0.25">
      <c r="A7939" t="s">
        <v>14087</v>
      </c>
      <c r="B7939" t="s">
        <v>14088</v>
      </c>
      <c r="C7939" s="1" t="str">
        <f>HYPERLINK("http://www.genecards.org/cgi-bin/carddisp.pl?gene=ANXA13","GeneCards")</f>
        <v>GeneCards</v>
      </c>
      <c r="D7939" s="1" t="str">
        <f>HYPERLINK("http://genome-euro.ucsc.edu/cgi-bin/hgTracks?position=208323_s_at","UCSC")</f>
        <v>UCSC</v>
      </c>
      <c r="E7939" s="1" t="str">
        <f>HYPERLINK("http://www.ncbi.nlm.nih.gov/gene/?term=ANXA13","NCBI")</f>
        <v>NCBI</v>
      </c>
      <c r="F7939">
        <v>0.12</v>
      </c>
      <c r="G7939">
        <v>0.26</v>
      </c>
      <c r="H7939" s="1" t="str">
        <f>HYPERLINK("http://www.weizmann.ac.il/complex/compphys/software/geview/data/figures/208323_s_at.png","Figure")</f>
        <v>Figure</v>
      </c>
      <c r="I7939">
        <v>1.08</v>
      </c>
      <c r="J7939">
        <v>0.64</v>
      </c>
      <c r="K7939">
        <v>0.91500000000000004</v>
      </c>
      <c r="L7939">
        <v>0.43</v>
      </c>
      <c r="M7939">
        <v>0.85099999999999998</v>
      </c>
      <c r="N7939">
        <v>0.11</v>
      </c>
    </row>
    <row r="7940" spans="1:14" x14ac:dyDescent="0.25">
      <c r="A7940" t="s">
        <v>14089</v>
      </c>
      <c r="B7940" t="s">
        <v>14090</v>
      </c>
      <c r="C7940" s="1" t="str">
        <f>HYPERLINK("http://www.genecards.org/cgi-bin/carddisp.pl?gene=TMEM43","GeneCards")</f>
        <v>GeneCards</v>
      </c>
      <c r="D7940" s="1" t="str">
        <f>HYPERLINK("http://genome-euro.ucsc.edu/cgi-bin/hgTracks?position=217795_s_at","UCSC")</f>
        <v>UCSC</v>
      </c>
      <c r="E7940" s="1" t="str">
        <f>HYPERLINK("http://www.ncbi.nlm.nih.gov/gene/?term=TMEM43","NCBI")</f>
        <v>NCBI</v>
      </c>
      <c r="F7940">
        <v>0.12</v>
      </c>
      <c r="G7940">
        <v>0.26</v>
      </c>
      <c r="H7940" s="1" t="str">
        <f>HYPERLINK("http://www.weizmann.ac.il/complex/compphys/software/geview/data/figures/217795_s_at.png","Figure")</f>
        <v>Figure</v>
      </c>
      <c r="I7940">
        <v>0.84899999999999998</v>
      </c>
      <c r="J7940">
        <v>0.31</v>
      </c>
      <c r="K7940">
        <v>1.06</v>
      </c>
      <c r="L7940">
        <v>0.81</v>
      </c>
      <c r="M7940">
        <v>1.25</v>
      </c>
      <c r="N7940">
        <v>0.1</v>
      </c>
    </row>
    <row r="7941" spans="1:14" x14ac:dyDescent="0.25">
      <c r="A7941" t="s">
        <v>14091</v>
      </c>
      <c r="B7941" t="s">
        <v>14092</v>
      </c>
      <c r="C7941" s="1" t="str">
        <f>HYPERLINK("http://www.genecards.org/cgi-bin/carddisp.pl?gene=HERC1","GeneCards")</f>
        <v>GeneCards</v>
      </c>
      <c r="D7941" s="1" t="str">
        <f>HYPERLINK("http://genome-euro.ucsc.edu/cgi-bin/hgTracks?position=218306_s_at","UCSC")</f>
        <v>UCSC</v>
      </c>
      <c r="E7941" s="1" t="str">
        <f>HYPERLINK("http://www.ncbi.nlm.nih.gov/gene/?term=HERC1","NCBI")</f>
        <v>NCBI</v>
      </c>
      <c r="F7941">
        <v>0.12</v>
      </c>
      <c r="G7941">
        <v>0.26</v>
      </c>
      <c r="H7941" s="1" t="str">
        <f>HYPERLINK("http://www.weizmann.ac.il/complex/compphys/software/geview/data/figures/218306_s_at.png","Figure")</f>
        <v>Figure</v>
      </c>
      <c r="I7941">
        <v>1.05</v>
      </c>
      <c r="J7941">
        <v>0.98</v>
      </c>
      <c r="K7941">
        <v>0.66600000000000004</v>
      </c>
      <c r="L7941">
        <v>0.2</v>
      </c>
      <c r="M7941">
        <v>0.63300000000000001</v>
      </c>
      <c r="N7941">
        <v>0.17</v>
      </c>
    </row>
    <row r="7942" spans="1:14" x14ac:dyDescent="0.25">
      <c r="A7942" t="s">
        <v>14093</v>
      </c>
      <c r="B7942" t="s">
        <v>14094</v>
      </c>
      <c r="C7942" s="1" t="str">
        <f>HYPERLINK("http://www.genecards.org/cgi-bin/carddisp.pl?gene=LOC202181","GeneCards")</f>
        <v>GeneCards</v>
      </c>
      <c r="D7942" s="1" t="str">
        <f>HYPERLINK("http://genome-euro.ucsc.edu/cgi-bin/hgTracks?position=220609_at","UCSC")</f>
        <v>UCSC</v>
      </c>
      <c r="E7942" s="1" t="str">
        <f>HYPERLINK("http://www.ncbi.nlm.nih.gov/gene/?term=LOC202181","NCBI")</f>
        <v>NCBI</v>
      </c>
      <c r="F7942">
        <v>0.12</v>
      </c>
      <c r="G7942">
        <v>0.26</v>
      </c>
      <c r="H7942" s="1" t="str">
        <f>HYPERLINK("http://www.weizmann.ac.il/complex/compphys/software/geview/data/figures/220609_at.png","Figure")</f>
        <v>Figure</v>
      </c>
      <c r="I7942">
        <v>1.52</v>
      </c>
      <c r="J7942">
        <v>0.1</v>
      </c>
      <c r="K7942">
        <v>1.24</v>
      </c>
      <c r="L7942">
        <v>0.42</v>
      </c>
      <c r="M7942">
        <v>0.81399999999999995</v>
      </c>
      <c r="N7942">
        <v>0.49</v>
      </c>
    </row>
    <row r="7943" spans="1:14" x14ac:dyDescent="0.25">
      <c r="A7943" t="s">
        <v>14095</v>
      </c>
      <c r="B7943" t="s">
        <v>14096</v>
      </c>
      <c r="C7943" s="1" t="str">
        <f>HYPERLINK("http://www.genecards.org/cgi-bin/carddisp.pl?gene=PTGIS","GeneCards")</f>
        <v>GeneCards</v>
      </c>
      <c r="D7943" s="1" t="str">
        <f>HYPERLINK("http://genome-euro.ucsc.edu/cgi-bin/hgTracks?position=208131_s_at","UCSC")</f>
        <v>UCSC</v>
      </c>
      <c r="E7943" s="1" t="str">
        <f>HYPERLINK("http://www.ncbi.nlm.nih.gov/gene/?term=PTGIS","NCBI")</f>
        <v>NCBI</v>
      </c>
      <c r="F7943">
        <v>0.12</v>
      </c>
      <c r="G7943">
        <v>0.26</v>
      </c>
      <c r="H7943" s="1" t="str">
        <f>HYPERLINK("http://www.weizmann.ac.il/complex/compphys/software/geview/data/figures/208131_s_at.png","Figure")</f>
        <v>Figure</v>
      </c>
      <c r="I7943">
        <v>1.04</v>
      </c>
      <c r="J7943">
        <v>0.47</v>
      </c>
      <c r="K7943">
        <v>0.97</v>
      </c>
      <c r="L7943">
        <v>0.57999999999999996</v>
      </c>
      <c r="M7943">
        <v>0.93</v>
      </c>
      <c r="N7943">
        <v>0.1</v>
      </c>
    </row>
    <row r="7944" spans="1:14" x14ac:dyDescent="0.25">
      <c r="A7944" t="s">
        <v>14097</v>
      </c>
      <c r="B7944" t="s">
        <v>14098</v>
      </c>
      <c r="C7944" s="1" t="str">
        <f>HYPERLINK("http://www.genecards.org/cgi-bin/carddisp.pl?gene=CLU","GeneCards")</f>
        <v>GeneCards</v>
      </c>
      <c r="D7944" s="1" t="str">
        <f>HYPERLINK("http://genome-euro.ucsc.edu/cgi-bin/hgTracks?position=208792_s_at","UCSC")</f>
        <v>UCSC</v>
      </c>
      <c r="E7944" s="1" t="str">
        <f>HYPERLINK("http://www.ncbi.nlm.nih.gov/gene/?term=CLU","NCBI")</f>
        <v>NCBI</v>
      </c>
      <c r="F7944">
        <v>0.12</v>
      </c>
      <c r="G7944">
        <v>0.26</v>
      </c>
      <c r="H7944" s="1" t="str">
        <f>HYPERLINK("http://www.weizmann.ac.il/complex/compphys/software/geview/data/figures/208792_s_at.png","Figure")</f>
        <v>Figure</v>
      </c>
      <c r="I7944">
        <v>1.1299999999999999</v>
      </c>
      <c r="J7944">
        <v>0.11</v>
      </c>
      <c r="K7944">
        <v>1.08</v>
      </c>
      <c r="L7944">
        <v>0.28999999999999998</v>
      </c>
      <c r="M7944">
        <v>0.95599999999999996</v>
      </c>
      <c r="N7944">
        <v>0.68</v>
      </c>
    </row>
    <row r="7945" spans="1:14" x14ac:dyDescent="0.25">
      <c r="A7945" t="s">
        <v>14099</v>
      </c>
      <c r="B7945" t="s">
        <v>14100</v>
      </c>
      <c r="C7945" s="1" t="str">
        <f>HYPERLINK("http://www.genecards.org/cgi-bin/carddisp.pl?gene=ZNF415","GeneCards")</f>
        <v>GeneCards</v>
      </c>
      <c r="D7945" s="1" t="str">
        <f>HYPERLINK("http://genome-euro.ucsc.edu/cgi-bin/hgTracks?position=205514_at","UCSC")</f>
        <v>UCSC</v>
      </c>
      <c r="E7945" s="1" t="str">
        <f>HYPERLINK("http://www.ncbi.nlm.nih.gov/gene/?term=ZNF415","NCBI")</f>
        <v>NCBI</v>
      </c>
      <c r="F7945">
        <v>0.12</v>
      </c>
      <c r="G7945">
        <v>0.26</v>
      </c>
      <c r="H7945" s="1" t="str">
        <f>HYPERLINK("http://www.weizmann.ac.il/complex/compphys/software/geview/data/figures/205514_at.png","Figure")</f>
        <v>Figure</v>
      </c>
      <c r="I7945">
        <v>0.998</v>
      </c>
      <c r="J7945">
        <v>1</v>
      </c>
      <c r="K7945">
        <v>0.88400000000000001</v>
      </c>
      <c r="L7945">
        <v>0.17</v>
      </c>
      <c r="M7945">
        <v>0.88500000000000001</v>
      </c>
      <c r="N7945">
        <v>0.21</v>
      </c>
    </row>
    <row r="7946" spans="1:14" x14ac:dyDescent="0.25">
      <c r="A7946" t="s">
        <v>14101</v>
      </c>
      <c r="B7946" t="s">
        <v>14102</v>
      </c>
      <c r="C7946" s="1" t="str">
        <f>HYPERLINK("http://www.genecards.org/cgi-bin/carddisp.pl?gene=JAK3","GeneCards")</f>
        <v>GeneCards</v>
      </c>
      <c r="D7946" s="1" t="str">
        <f>HYPERLINK("http://genome-euro.ucsc.edu/cgi-bin/hgTracks?position=207187_at","UCSC")</f>
        <v>UCSC</v>
      </c>
      <c r="E7946" s="1" t="str">
        <f>HYPERLINK("http://www.ncbi.nlm.nih.gov/gene/?term=JAK3","NCBI")</f>
        <v>NCBI</v>
      </c>
      <c r="F7946">
        <v>0.12</v>
      </c>
      <c r="G7946">
        <v>0.26</v>
      </c>
      <c r="H7946" s="1" t="str">
        <f>HYPERLINK("http://www.weizmann.ac.il/complex/compphys/software/geview/data/figures/207187_at.png","Figure")</f>
        <v>Figure</v>
      </c>
      <c r="I7946">
        <v>1.25</v>
      </c>
      <c r="J7946">
        <v>0.11</v>
      </c>
      <c r="K7946">
        <v>1.08</v>
      </c>
      <c r="L7946">
        <v>0.66</v>
      </c>
      <c r="M7946">
        <v>0.86299999999999999</v>
      </c>
      <c r="N7946">
        <v>0.3</v>
      </c>
    </row>
    <row r="7947" spans="1:14" x14ac:dyDescent="0.25">
      <c r="A7947" t="s">
        <v>14103</v>
      </c>
      <c r="B7947" t="s">
        <v>11254</v>
      </c>
      <c r="C7947" s="1" t="str">
        <f>HYPERLINK("http://www.genecards.org/cgi-bin/carddisp.pl?gene=PCM1","GeneCards")</f>
        <v>GeneCards</v>
      </c>
      <c r="D7947" s="1" t="str">
        <f>HYPERLINK("http://genome-euro.ucsc.edu/cgi-bin/hgTracks?position=209996_x_at","UCSC")</f>
        <v>UCSC</v>
      </c>
      <c r="E7947" s="1" t="str">
        <f>HYPERLINK("http://www.ncbi.nlm.nih.gov/gene/?term=PCM1","NCBI")</f>
        <v>NCBI</v>
      </c>
      <c r="F7947">
        <v>0.12</v>
      </c>
      <c r="G7947">
        <v>0.26</v>
      </c>
      <c r="H7947" s="1" t="str">
        <f>HYPERLINK("http://www.weizmann.ac.il/complex/compphys/software/geview/data/figures/209996_x_at.png","Figure")</f>
        <v>Figure</v>
      </c>
      <c r="I7947">
        <v>1.01</v>
      </c>
      <c r="J7947">
        <v>1</v>
      </c>
      <c r="K7947">
        <v>0.78300000000000003</v>
      </c>
      <c r="L7947">
        <v>0.18</v>
      </c>
      <c r="M7947">
        <v>0.77600000000000002</v>
      </c>
      <c r="N7947">
        <v>0.2</v>
      </c>
    </row>
    <row r="7948" spans="1:14" x14ac:dyDescent="0.25">
      <c r="A7948" t="s">
        <v>14104</v>
      </c>
      <c r="B7948" t="s">
        <v>14105</v>
      </c>
      <c r="C7948" s="1" t="str">
        <f>HYPERLINK("http://www.genecards.org/cgi-bin/carddisp.pl?gene=CDS2","GeneCards")</f>
        <v>GeneCards</v>
      </c>
      <c r="D7948" s="1" t="str">
        <f>HYPERLINK("http://genome-euro.ucsc.edu/cgi-bin/hgTracks?position=212862_at","UCSC")</f>
        <v>UCSC</v>
      </c>
      <c r="E7948" s="1" t="str">
        <f>HYPERLINK("http://www.ncbi.nlm.nih.gov/gene/?term=CDS2","NCBI")</f>
        <v>NCBI</v>
      </c>
      <c r="F7948">
        <v>0.12</v>
      </c>
      <c r="G7948">
        <v>0.26</v>
      </c>
      <c r="H7948" s="1" t="str">
        <f>HYPERLINK("http://www.weizmann.ac.il/complex/compphys/software/geview/data/figures/212862_at.png","Figure")</f>
        <v>Figure</v>
      </c>
      <c r="I7948">
        <v>1.1000000000000001</v>
      </c>
      <c r="J7948">
        <v>0.91</v>
      </c>
      <c r="K7948">
        <v>0.71599999999999997</v>
      </c>
      <c r="L7948">
        <v>0.25</v>
      </c>
      <c r="M7948">
        <v>0.65300000000000002</v>
      </c>
      <c r="N7948">
        <v>0.15</v>
      </c>
    </row>
    <row r="7949" spans="1:14" x14ac:dyDescent="0.25">
      <c r="A7949" t="s">
        <v>14106</v>
      </c>
      <c r="B7949" t="s">
        <v>14107</v>
      </c>
      <c r="C7949" s="1" t="str">
        <f>HYPERLINK("http://www.genecards.org/cgi-bin/carddisp.pl?gene=HS2ST1 /// LOC339524","GeneCards")</f>
        <v>GeneCards</v>
      </c>
      <c r="D7949" s="1" t="str">
        <f>HYPERLINK("http://genome-euro.ucsc.edu/cgi-bin/hgTracks?position=215039_at","UCSC")</f>
        <v>UCSC</v>
      </c>
      <c r="E7949" s="1" t="str">
        <f>HYPERLINK("http://www.ncbi.nlm.nih.gov/gene/?term=HS2ST1 /// LOC339524","NCBI")</f>
        <v>NCBI</v>
      </c>
      <c r="F7949">
        <v>0.12</v>
      </c>
      <c r="G7949">
        <v>0.26</v>
      </c>
      <c r="H7949" s="1" t="str">
        <f>HYPERLINK("http://www.weizmann.ac.il/complex/compphys/software/geview/data/figures/215039_at.png","Figure")</f>
        <v>Figure</v>
      </c>
      <c r="I7949">
        <v>1.1000000000000001</v>
      </c>
      <c r="J7949">
        <v>0.12</v>
      </c>
      <c r="K7949">
        <v>1.06</v>
      </c>
      <c r="L7949">
        <v>0.28000000000000003</v>
      </c>
      <c r="M7949">
        <v>0.96599999999999997</v>
      </c>
      <c r="N7949">
        <v>0.7</v>
      </c>
    </row>
    <row r="7950" spans="1:14" x14ac:dyDescent="0.25">
      <c r="A7950" t="s">
        <v>14108</v>
      </c>
      <c r="B7950" t="s">
        <v>14109</v>
      </c>
      <c r="C7950" s="1" t="str">
        <f>HYPERLINK("http://www.genecards.org/cgi-bin/carddisp.pl?gene=MUPCDH","GeneCards")</f>
        <v>GeneCards</v>
      </c>
      <c r="D7950" s="1" t="str">
        <f>HYPERLINK("http://genome-euro.ucsc.edu/cgi-bin/hgTracks?position=219796_s_at","UCSC")</f>
        <v>UCSC</v>
      </c>
      <c r="E7950" s="1" t="str">
        <f>HYPERLINK("http://www.ncbi.nlm.nih.gov/gene/?term=MUPCDH","NCBI")</f>
        <v>NCBI</v>
      </c>
      <c r="F7950">
        <v>0.12</v>
      </c>
      <c r="G7950">
        <v>0.26</v>
      </c>
      <c r="H7950" s="1" t="str">
        <f>HYPERLINK("http://www.weizmann.ac.il/complex/compphys/software/geview/data/figures/219796_s_at.png","Figure")</f>
        <v>Figure</v>
      </c>
      <c r="I7950">
        <v>1.1000000000000001</v>
      </c>
      <c r="J7950">
        <v>0.13</v>
      </c>
      <c r="K7950">
        <v>1.02</v>
      </c>
      <c r="L7950">
        <v>0.9</v>
      </c>
      <c r="M7950">
        <v>0.92800000000000005</v>
      </c>
      <c r="N7950">
        <v>0.19</v>
      </c>
    </row>
    <row r="7951" spans="1:14" x14ac:dyDescent="0.25">
      <c r="A7951" t="s">
        <v>14110</v>
      </c>
      <c r="B7951" t="s">
        <v>7768</v>
      </c>
      <c r="C7951" s="1" t="str">
        <f>HYPERLINK("http://www.genecards.org/cgi-bin/carddisp.pl?gene=ZZEF1","GeneCards")</f>
        <v>GeneCards</v>
      </c>
      <c r="D7951" s="1" t="str">
        <f>HYPERLINK("http://genome-euro.ucsc.edu/cgi-bin/hgTracks?position=207189_s_at","UCSC")</f>
        <v>UCSC</v>
      </c>
      <c r="E7951" s="1" t="str">
        <f>HYPERLINK("http://www.ncbi.nlm.nih.gov/gene/?term=ZZEF1","NCBI")</f>
        <v>NCBI</v>
      </c>
      <c r="F7951">
        <v>0.12</v>
      </c>
      <c r="G7951">
        <v>0.26</v>
      </c>
      <c r="H7951" s="1" t="str">
        <f>HYPERLINK("http://www.weizmann.ac.il/complex/compphys/software/geview/data/figures/207189_s_at.png","Figure")</f>
        <v>Figure</v>
      </c>
      <c r="I7951">
        <v>1.1599999999999999</v>
      </c>
      <c r="J7951">
        <v>0.2</v>
      </c>
      <c r="K7951">
        <v>0.98499999999999999</v>
      </c>
      <c r="L7951">
        <v>0.98</v>
      </c>
      <c r="M7951">
        <v>0.85299999999999998</v>
      </c>
      <c r="N7951">
        <v>0.12</v>
      </c>
    </row>
    <row r="7952" spans="1:14" x14ac:dyDescent="0.25">
      <c r="A7952" t="s">
        <v>14111</v>
      </c>
      <c r="B7952" t="s">
        <v>14112</v>
      </c>
      <c r="C7952" s="1" t="str">
        <f>HYPERLINK("http://www.genecards.org/cgi-bin/carddisp.pl?gene=ASH2L","GeneCards")</f>
        <v>GeneCards</v>
      </c>
      <c r="D7952" s="1" t="str">
        <f>HYPERLINK("http://genome-euro.ucsc.edu/cgi-bin/hgTracks?position=209517_s_at","UCSC")</f>
        <v>UCSC</v>
      </c>
      <c r="E7952" s="1" t="str">
        <f>HYPERLINK("http://www.ncbi.nlm.nih.gov/gene/?term=ASH2L","NCBI")</f>
        <v>NCBI</v>
      </c>
      <c r="F7952">
        <v>0.12</v>
      </c>
      <c r="G7952">
        <v>0.26</v>
      </c>
      <c r="H7952" s="1" t="str">
        <f>HYPERLINK("http://www.weizmann.ac.il/complex/compphys/software/geview/data/figures/209517_s_at.png","Figure")</f>
        <v>Figure</v>
      </c>
      <c r="I7952">
        <v>1.1299999999999999</v>
      </c>
      <c r="J7952">
        <v>0.47</v>
      </c>
      <c r="K7952">
        <v>1.22</v>
      </c>
      <c r="L7952">
        <v>0.1</v>
      </c>
      <c r="M7952">
        <v>1.08</v>
      </c>
      <c r="N7952">
        <v>0.71</v>
      </c>
    </row>
    <row r="7953" spans="1:14" x14ac:dyDescent="0.25">
      <c r="A7953" t="s">
        <v>14113</v>
      </c>
      <c r="B7953" t="s">
        <v>14114</v>
      </c>
      <c r="C7953" s="1" t="str">
        <f>HYPERLINK("http://www.genecards.org/cgi-bin/carddisp.pl?gene=BMP8A","GeneCards")</f>
        <v>GeneCards</v>
      </c>
      <c r="D7953" s="1" t="str">
        <f>HYPERLINK("http://genome-euro.ucsc.edu/cgi-bin/hgTracks?position=220203_at","UCSC")</f>
        <v>UCSC</v>
      </c>
      <c r="E7953" s="1" t="str">
        <f>HYPERLINK("http://www.ncbi.nlm.nih.gov/gene/?term=BMP8A","NCBI")</f>
        <v>NCBI</v>
      </c>
      <c r="F7953">
        <v>0.12</v>
      </c>
      <c r="G7953">
        <v>0.26</v>
      </c>
      <c r="H7953" s="1" t="str">
        <f>HYPERLINK("http://www.weizmann.ac.il/complex/compphys/software/geview/data/figures/220203_at.png","Figure")</f>
        <v>Figure</v>
      </c>
      <c r="I7953">
        <v>1.34</v>
      </c>
      <c r="J7953">
        <v>0.11</v>
      </c>
      <c r="K7953">
        <v>1.0900000000000001</v>
      </c>
      <c r="L7953">
        <v>0.75</v>
      </c>
      <c r="M7953">
        <v>0.81200000000000006</v>
      </c>
      <c r="N7953">
        <v>0.26</v>
      </c>
    </row>
    <row r="7954" spans="1:14" x14ac:dyDescent="0.25">
      <c r="A7954" t="s">
        <v>14115</v>
      </c>
      <c r="B7954" t="s">
        <v>14116</v>
      </c>
      <c r="C7954" s="1" t="str">
        <f>HYPERLINK("http://www.genecards.org/cgi-bin/carddisp.pl?gene=KIAA0125","GeneCards")</f>
        <v>GeneCards</v>
      </c>
      <c r="D7954" s="1" t="str">
        <f>HYPERLINK("http://genome-euro.ucsc.edu/cgi-bin/hgTracks?position=206478_at","UCSC")</f>
        <v>UCSC</v>
      </c>
      <c r="E7954" s="1" t="str">
        <f>HYPERLINK("http://www.ncbi.nlm.nih.gov/gene/?term=KIAA0125","NCBI")</f>
        <v>NCBI</v>
      </c>
      <c r="F7954">
        <v>0.12</v>
      </c>
      <c r="G7954">
        <v>0.26</v>
      </c>
      <c r="H7954" s="1" t="str">
        <f>HYPERLINK("http://www.weizmann.ac.il/complex/compphys/software/geview/data/figures/206478_at.png","Figure")</f>
        <v>Figure</v>
      </c>
      <c r="I7954">
        <v>2.19</v>
      </c>
      <c r="J7954">
        <v>0.22</v>
      </c>
      <c r="K7954">
        <v>2.2599999999999998</v>
      </c>
      <c r="L7954">
        <v>0.13</v>
      </c>
      <c r="M7954">
        <v>1.03</v>
      </c>
      <c r="N7954">
        <v>1</v>
      </c>
    </row>
    <row r="7955" spans="1:14" x14ac:dyDescent="0.25">
      <c r="A7955" t="s">
        <v>14117</v>
      </c>
      <c r="B7955" t="s">
        <v>14118</v>
      </c>
      <c r="C7955" s="1" t="str">
        <f>HYPERLINK("http://www.genecards.org/cgi-bin/carddisp.pl?gene=ATF7IP","GeneCards")</f>
        <v>GeneCards</v>
      </c>
      <c r="D7955" s="1" t="str">
        <f>HYPERLINK("http://genome-euro.ucsc.edu/cgi-bin/hgTracks?position=207728_at","UCSC")</f>
        <v>UCSC</v>
      </c>
      <c r="E7955" s="1" t="str">
        <f>HYPERLINK("http://www.ncbi.nlm.nih.gov/gene/?term=ATF7IP","NCBI")</f>
        <v>NCBI</v>
      </c>
      <c r="F7955">
        <v>0.12</v>
      </c>
      <c r="G7955">
        <v>0.26</v>
      </c>
      <c r="H7955" s="1" t="str">
        <f>HYPERLINK("http://www.weizmann.ac.il/complex/compphys/software/geview/data/figures/207728_at.png","Figure")</f>
        <v>Figure</v>
      </c>
      <c r="I7955">
        <v>1</v>
      </c>
      <c r="J7955">
        <v>1</v>
      </c>
      <c r="K7955">
        <v>0.96899999999999997</v>
      </c>
      <c r="L7955">
        <v>0.17</v>
      </c>
      <c r="M7955">
        <v>0.96899999999999997</v>
      </c>
      <c r="N7955">
        <v>0.21</v>
      </c>
    </row>
    <row r="7956" spans="1:14" x14ac:dyDescent="0.25">
      <c r="A7956" t="s">
        <v>14119</v>
      </c>
      <c r="B7956" t="s">
        <v>14120</v>
      </c>
      <c r="C7956" s="1" t="str">
        <f>HYPERLINK("http://www.genecards.org/cgi-bin/carddisp.pl?gene=LIAS","GeneCards")</f>
        <v>GeneCards</v>
      </c>
      <c r="D7956" s="1" t="str">
        <f>HYPERLINK("http://genome-euro.ucsc.edu/cgi-bin/hgTracks?position=214045_at","UCSC")</f>
        <v>UCSC</v>
      </c>
      <c r="E7956" s="1" t="str">
        <f>HYPERLINK("http://www.ncbi.nlm.nih.gov/gene/?term=LIAS","NCBI")</f>
        <v>NCBI</v>
      </c>
      <c r="F7956">
        <v>0.12</v>
      </c>
      <c r="G7956">
        <v>0.26</v>
      </c>
      <c r="H7956" s="1" t="str">
        <f>HYPERLINK("http://www.weizmann.ac.il/complex/compphys/software/geview/data/figures/214045_at.png","Figure")</f>
        <v>Figure</v>
      </c>
      <c r="I7956">
        <v>0.90800000000000003</v>
      </c>
      <c r="J7956">
        <v>0.21</v>
      </c>
      <c r="K7956">
        <v>1.01</v>
      </c>
      <c r="L7956">
        <v>0.97</v>
      </c>
      <c r="M7956">
        <v>1.1100000000000001</v>
      </c>
      <c r="N7956">
        <v>0.12</v>
      </c>
    </row>
    <row r="7957" spans="1:14" x14ac:dyDescent="0.25">
      <c r="A7957" t="s">
        <v>14121</v>
      </c>
      <c r="B7957" t="s">
        <v>14122</v>
      </c>
      <c r="C7957" s="1" t="str">
        <f>HYPERLINK("http://www.genecards.org/cgi-bin/carddisp.pl?gene=NR4A3","GeneCards")</f>
        <v>GeneCards</v>
      </c>
      <c r="D7957" s="1" t="str">
        <f>HYPERLINK("http://genome-euro.ucsc.edu/cgi-bin/hgTracks?position=207978_s_at","UCSC")</f>
        <v>UCSC</v>
      </c>
      <c r="E7957" s="1" t="str">
        <f>HYPERLINK("http://www.ncbi.nlm.nih.gov/gene/?term=NR4A3","NCBI")</f>
        <v>NCBI</v>
      </c>
      <c r="F7957">
        <v>0.12</v>
      </c>
      <c r="G7957">
        <v>0.26</v>
      </c>
      <c r="H7957" s="1" t="str">
        <f>HYPERLINK("http://www.weizmann.ac.il/complex/compphys/software/geview/data/figures/207978_s_at.png","Figure")</f>
        <v>Figure</v>
      </c>
      <c r="I7957">
        <v>0.95499999999999996</v>
      </c>
      <c r="J7957">
        <v>0.94</v>
      </c>
      <c r="K7957">
        <v>0.77400000000000002</v>
      </c>
      <c r="L7957">
        <v>0.14000000000000001</v>
      </c>
      <c r="M7957">
        <v>0.81</v>
      </c>
      <c r="N7957">
        <v>0.28999999999999998</v>
      </c>
    </row>
    <row r="7958" spans="1:14" x14ac:dyDescent="0.25">
      <c r="A7958" t="s">
        <v>14123</v>
      </c>
      <c r="B7958" t="s">
        <v>14124</v>
      </c>
      <c r="C7958" s="1" t="str">
        <f>HYPERLINK("http://www.genecards.org/cgi-bin/carddisp.pl?gene=SAV1","GeneCards")</f>
        <v>GeneCards</v>
      </c>
      <c r="D7958" s="1" t="str">
        <f>HYPERLINK("http://genome-euro.ucsc.edu/cgi-bin/hgTracks?position=218276_s_at","UCSC")</f>
        <v>UCSC</v>
      </c>
      <c r="E7958" s="1" t="str">
        <f>HYPERLINK("http://www.ncbi.nlm.nih.gov/gene/?term=SAV1","NCBI")</f>
        <v>NCBI</v>
      </c>
      <c r="F7958">
        <v>0.12</v>
      </c>
      <c r="G7958">
        <v>0.26</v>
      </c>
      <c r="H7958" s="1" t="str">
        <f>HYPERLINK("http://www.weizmann.ac.il/complex/compphys/software/geview/data/figures/218276_s_at.png","Figure")</f>
        <v>Figure</v>
      </c>
      <c r="I7958">
        <v>0.59299999999999997</v>
      </c>
      <c r="J7958">
        <v>0.13</v>
      </c>
      <c r="K7958">
        <v>0.90700000000000003</v>
      </c>
      <c r="L7958">
        <v>0.89</v>
      </c>
      <c r="M7958">
        <v>1.53</v>
      </c>
      <c r="N7958">
        <v>0.2</v>
      </c>
    </row>
    <row r="7959" spans="1:14" x14ac:dyDescent="0.25">
      <c r="A7959" t="s">
        <v>14125</v>
      </c>
      <c r="B7959" t="s">
        <v>7598</v>
      </c>
      <c r="C7959" s="1" t="str">
        <f>HYPERLINK("http://www.genecards.org/cgi-bin/carddisp.pl?gene=CHD7","GeneCards")</f>
        <v>GeneCards</v>
      </c>
      <c r="D7959" s="1" t="str">
        <f>HYPERLINK("http://genome-euro.ucsc.edu/cgi-bin/hgTracks?position=220619_at","UCSC")</f>
        <v>UCSC</v>
      </c>
      <c r="E7959" s="1" t="str">
        <f>HYPERLINK("http://www.ncbi.nlm.nih.gov/gene/?term=CHD7","NCBI")</f>
        <v>NCBI</v>
      </c>
      <c r="F7959">
        <v>0.12</v>
      </c>
      <c r="G7959">
        <v>0.26</v>
      </c>
      <c r="H7959" s="1" t="str">
        <f>HYPERLINK("http://www.weizmann.ac.il/complex/compphys/software/geview/data/figures/220619_at.png","Figure")</f>
        <v>Figure</v>
      </c>
      <c r="I7959">
        <v>0.93600000000000005</v>
      </c>
      <c r="J7959">
        <v>0.95</v>
      </c>
      <c r="K7959">
        <v>0.69099999999999995</v>
      </c>
      <c r="L7959">
        <v>0.14000000000000001</v>
      </c>
      <c r="M7959">
        <v>0.73699999999999999</v>
      </c>
      <c r="N7959">
        <v>0.28999999999999998</v>
      </c>
    </row>
    <row r="7960" spans="1:14" x14ac:dyDescent="0.25">
      <c r="A7960" t="s">
        <v>14126</v>
      </c>
      <c r="B7960" t="s">
        <v>14127</v>
      </c>
      <c r="C7960" s="1" t="str">
        <f>HYPERLINK("http://www.genecards.org/cgi-bin/carddisp.pl?gene=GRM1","GeneCards")</f>
        <v>GeneCards</v>
      </c>
      <c r="D7960" s="1" t="str">
        <f>HYPERLINK("http://genome-euro.ucsc.edu/cgi-bin/hgTracks?position=210939_s_at","UCSC")</f>
        <v>UCSC</v>
      </c>
      <c r="E7960" s="1" t="str">
        <f>HYPERLINK("http://www.ncbi.nlm.nih.gov/gene/?term=GRM1","NCBI")</f>
        <v>NCBI</v>
      </c>
      <c r="F7960">
        <v>0.12</v>
      </c>
      <c r="G7960">
        <v>0.26</v>
      </c>
      <c r="H7960" s="1" t="str">
        <f>HYPERLINK("http://www.weizmann.ac.il/complex/compphys/software/geview/data/figures/210939_s_at.png","Figure")</f>
        <v>Figure</v>
      </c>
      <c r="I7960">
        <v>1.0900000000000001</v>
      </c>
      <c r="J7960">
        <v>0.18</v>
      </c>
      <c r="K7960">
        <v>0.999</v>
      </c>
      <c r="L7960">
        <v>1</v>
      </c>
      <c r="M7960">
        <v>0.92</v>
      </c>
      <c r="N7960">
        <v>0.13</v>
      </c>
    </row>
    <row r="7961" spans="1:14" x14ac:dyDescent="0.25">
      <c r="A7961" t="s">
        <v>14128</v>
      </c>
      <c r="B7961" t="s">
        <v>6194</v>
      </c>
      <c r="C7961" s="1" t="str">
        <f>HYPERLINK("http://www.genecards.org/cgi-bin/carddisp.pl?gene=MPPE1","GeneCards")</f>
        <v>GeneCards</v>
      </c>
      <c r="D7961" s="1" t="str">
        <f>HYPERLINK("http://genome-euro.ucsc.edu/cgi-bin/hgTracks?position=209858_x_at","UCSC")</f>
        <v>UCSC</v>
      </c>
      <c r="E7961" s="1" t="str">
        <f>HYPERLINK("http://www.ncbi.nlm.nih.gov/gene/?term=MPPE1","NCBI")</f>
        <v>NCBI</v>
      </c>
      <c r="F7961">
        <v>0.12</v>
      </c>
      <c r="G7961">
        <v>0.26</v>
      </c>
      <c r="H7961" s="1" t="str">
        <f>HYPERLINK("http://www.weizmann.ac.il/complex/compphys/software/geview/data/figures/209858_x_at.png","Figure")</f>
        <v>Figure</v>
      </c>
      <c r="I7961">
        <v>1.22</v>
      </c>
      <c r="J7961">
        <v>0.28000000000000003</v>
      </c>
      <c r="K7961">
        <v>0.94299999999999995</v>
      </c>
      <c r="L7961">
        <v>0.85</v>
      </c>
      <c r="M7961">
        <v>0.77300000000000002</v>
      </c>
      <c r="N7961">
        <v>0.11</v>
      </c>
    </row>
    <row r="7962" spans="1:14" x14ac:dyDescent="0.25">
      <c r="A7962" t="s">
        <v>14129</v>
      </c>
      <c r="B7962" t="s">
        <v>14130</v>
      </c>
      <c r="C7962" s="1" t="str">
        <f>HYPERLINK("http://www.genecards.org/cgi-bin/carddisp.pl?gene=FAM155B","GeneCards")</f>
        <v>GeneCards</v>
      </c>
      <c r="D7962" s="1" t="str">
        <f>HYPERLINK("http://genome-euro.ucsc.edu/cgi-bin/hgTracks?position=206299_at","UCSC")</f>
        <v>UCSC</v>
      </c>
      <c r="E7962" s="1" t="str">
        <f>HYPERLINK("http://www.ncbi.nlm.nih.gov/gene/?term=FAM155B","NCBI")</f>
        <v>NCBI</v>
      </c>
      <c r="F7962">
        <v>0.12</v>
      </c>
      <c r="G7962">
        <v>0.26</v>
      </c>
      <c r="H7962" s="1" t="str">
        <f>HYPERLINK("http://www.weizmann.ac.il/complex/compphys/software/geview/data/figures/206299_at.png","Figure")</f>
        <v>Figure</v>
      </c>
      <c r="I7962">
        <v>1.25</v>
      </c>
      <c r="J7962">
        <v>0.17</v>
      </c>
      <c r="K7962">
        <v>1</v>
      </c>
      <c r="L7962">
        <v>1</v>
      </c>
      <c r="M7962">
        <v>0.80300000000000005</v>
      </c>
      <c r="N7962">
        <v>0.14000000000000001</v>
      </c>
    </row>
    <row r="7963" spans="1:14" x14ac:dyDescent="0.25">
      <c r="A7963" t="s">
        <v>14131</v>
      </c>
      <c r="B7963" t="s">
        <v>14132</v>
      </c>
      <c r="C7963" s="1" t="str">
        <f>HYPERLINK("http://www.genecards.org/cgi-bin/carddisp.pl?gene=ACTL8","GeneCards")</f>
        <v>GeneCards</v>
      </c>
      <c r="D7963" s="1" t="str">
        <f>HYPERLINK("http://genome-euro.ucsc.edu/cgi-bin/hgTracks?position=214957_at","UCSC")</f>
        <v>UCSC</v>
      </c>
      <c r="E7963" s="1" t="str">
        <f>HYPERLINK("http://www.ncbi.nlm.nih.gov/gene/?term=ACTL8","NCBI")</f>
        <v>NCBI</v>
      </c>
      <c r="F7963">
        <v>0.12</v>
      </c>
      <c r="G7963">
        <v>0.26</v>
      </c>
      <c r="H7963" s="1" t="str">
        <f>HYPERLINK("http://www.weizmann.ac.il/complex/compphys/software/geview/data/figures/214957_at.png","Figure")</f>
        <v>Figure</v>
      </c>
      <c r="I7963">
        <v>1.39</v>
      </c>
      <c r="J7963">
        <v>0.1</v>
      </c>
      <c r="K7963">
        <v>1.1299999999999999</v>
      </c>
      <c r="L7963">
        <v>0.61</v>
      </c>
      <c r="M7963">
        <v>0.81599999999999995</v>
      </c>
      <c r="N7963">
        <v>0.34</v>
      </c>
    </row>
    <row r="7964" spans="1:14" x14ac:dyDescent="0.25">
      <c r="A7964" t="s">
        <v>14133</v>
      </c>
      <c r="B7964" t="s">
        <v>14134</v>
      </c>
      <c r="C7964" s="1" t="str">
        <f>HYPERLINK("http://www.genecards.org/cgi-bin/carddisp.pl?gene=CHAC1","GeneCards")</f>
        <v>GeneCards</v>
      </c>
      <c r="D7964" s="1" t="str">
        <f>HYPERLINK("http://genome-euro.ucsc.edu/cgi-bin/hgTracks?position=219270_at","UCSC")</f>
        <v>UCSC</v>
      </c>
      <c r="E7964" s="1" t="str">
        <f>HYPERLINK("http://www.ncbi.nlm.nih.gov/gene/?term=CHAC1","NCBI")</f>
        <v>NCBI</v>
      </c>
      <c r="F7964">
        <v>0.12</v>
      </c>
      <c r="G7964">
        <v>0.26</v>
      </c>
      <c r="H7964" s="1" t="str">
        <f>HYPERLINK("http://www.weizmann.ac.il/complex/compphys/software/geview/data/figures/219270_at.png","Figure")</f>
        <v>Figure</v>
      </c>
      <c r="I7964">
        <v>1.18</v>
      </c>
      <c r="J7964">
        <v>0.16</v>
      </c>
      <c r="K7964">
        <v>1</v>
      </c>
      <c r="L7964">
        <v>1</v>
      </c>
      <c r="M7964">
        <v>0.85399999999999998</v>
      </c>
      <c r="N7964">
        <v>0.14000000000000001</v>
      </c>
    </row>
    <row r="7965" spans="1:14" x14ac:dyDescent="0.25">
      <c r="A7965" t="s">
        <v>14135</v>
      </c>
      <c r="B7965" t="s">
        <v>5874</v>
      </c>
      <c r="C7965" s="1" t="str">
        <f>HYPERLINK("http://www.genecards.org/cgi-bin/carddisp.pl?gene=KDM6B","GeneCards")</f>
        <v>GeneCards</v>
      </c>
      <c r="D7965" s="1" t="str">
        <f>HYPERLINK("http://genome-euro.ucsc.edu/cgi-bin/hgTracks?position=41386_i_at","UCSC")</f>
        <v>UCSC</v>
      </c>
      <c r="E7965" s="1" t="str">
        <f>HYPERLINK("http://www.ncbi.nlm.nih.gov/gene/?term=KDM6B","NCBI")</f>
        <v>NCBI</v>
      </c>
      <c r="F7965">
        <v>0.12</v>
      </c>
      <c r="G7965">
        <v>0.26</v>
      </c>
      <c r="H7965" s="1" t="str">
        <f>HYPERLINK("http://www.weizmann.ac.il/complex/compphys/software/geview/data/figures/41386_i_at.png","Figure")</f>
        <v>Figure</v>
      </c>
      <c r="I7965">
        <v>1.1200000000000001</v>
      </c>
      <c r="J7965">
        <v>0.71</v>
      </c>
      <c r="K7965">
        <v>0.83599999999999997</v>
      </c>
      <c r="L7965">
        <v>0.37</v>
      </c>
      <c r="M7965">
        <v>0.74399999999999999</v>
      </c>
      <c r="N7965">
        <v>0.12</v>
      </c>
    </row>
    <row r="7966" spans="1:14" x14ac:dyDescent="0.25">
      <c r="A7966" t="s">
        <v>14136</v>
      </c>
      <c r="B7966" t="s">
        <v>14137</v>
      </c>
      <c r="C7966" s="1" t="str">
        <f>HYPERLINK("http://www.genecards.org/cgi-bin/carddisp.pl?gene=ABHD2","GeneCards")</f>
        <v>GeneCards</v>
      </c>
      <c r="D7966" s="1" t="str">
        <f>HYPERLINK("http://genome-euro.ucsc.edu/cgi-bin/hgTracks?position=63825_at","UCSC")</f>
        <v>UCSC</v>
      </c>
      <c r="E7966" s="1" t="str">
        <f>HYPERLINK("http://www.ncbi.nlm.nih.gov/gene/?term=ABHD2","NCBI")</f>
        <v>NCBI</v>
      </c>
      <c r="F7966">
        <v>0.12</v>
      </c>
      <c r="G7966">
        <v>0.26</v>
      </c>
      <c r="H7966" s="1" t="str">
        <f>HYPERLINK("http://www.weizmann.ac.il/complex/compphys/software/geview/data/figures/63825_at.png","Figure")</f>
        <v>Figure</v>
      </c>
      <c r="I7966">
        <v>0.78500000000000003</v>
      </c>
      <c r="J7966">
        <v>0.15</v>
      </c>
      <c r="K7966">
        <v>0.98</v>
      </c>
      <c r="L7966">
        <v>0.98</v>
      </c>
      <c r="M7966">
        <v>1.25</v>
      </c>
      <c r="N7966">
        <v>0.16</v>
      </c>
    </row>
    <row r="7967" spans="1:14" x14ac:dyDescent="0.25">
      <c r="A7967" t="s">
        <v>14138</v>
      </c>
      <c r="B7967" t="s">
        <v>5633</v>
      </c>
      <c r="C7967" s="1" t="str">
        <f>HYPERLINK("http://www.genecards.org/cgi-bin/carddisp.pl?gene=CDC5L","GeneCards")</f>
        <v>GeneCards</v>
      </c>
      <c r="D7967" s="1" t="str">
        <f>HYPERLINK("http://genome-euro.ucsc.edu/cgi-bin/hgTracks?position=209056_s_at","UCSC")</f>
        <v>UCSC</v>
      </c>
      <c r="E7967" s="1" t="str">
        <f>HYPERLINK("http://www.ncbi.nlm.nih.gov/gene/?term=CDC5L","NCBI")</f>
        <v>NCBI</v>
      </c>
      <c r="F7967">
        <v>0.12</v>
      </c>
      <c r="G7967">
        <v>0.26</v>
      </c>
      <c r="H7967" s="1" t="str">
        <f>HYPERLINK("http://www.weizmann.ac.il/complex/compphys/software/geview/data/figures/209056_s_at.png","Figure")</f>
        <v>Figure</v>
      </c>
      <c r="I7967">
        <v>0.72399999999999998</v>
      </c>
      <c r="J7967">
        <v>0.36</v>
      </c>
      <c r="K7967">
        <v>0.64400000000000002</v>
      </c>
      <c r="L7967">
        <v>0.11</v>
      </c>
      <c r="M7967">
        <v>0.88800000000000001</v>
      </c>
      <c r="N7967">
        <v>0.85</v>
      </c>
    </row>
    <row r="7968" spans="1:14" x14ac:dyDescent="0.25">
      <c r="A7968" t="s">
        <v>14139</v>
      </c>
      <c r="B7968" t="s">
        <v>14140</v>
      </c>
      <c r="C7968" s="1" t="str">
        <f>HYPERLINK("http://www.genecards.org/cgi-bin/carddisp.pl?gene=LOC647070","GeneCards")</f>
        <v>GeneCards</v>
      </c>
      <c r="D7968" s="1" t="str">
        <f>HYPERLINK("http://genome-euro.ucsc.edu/cgi-bin/hgTracks?position=215467_x_at","UCSC")</f>
        <v>UCSC</v>
      </c>
      <c r="E7968" s="1" t="str">
        <f>HYPERLINK("http://www.ncbi.nlm.nih.gov/gene/?term=LOC647070","NCBI")</f>
        <v>NCBI</v>
      </c>
      <c r="F7968">
        <v>0.12</v>
      </c>
      <c r="G7968">
        <v>0.26</v>
      </c>
      <c r="H7968" s="1" t="str">
        <f>HYPERLINK("http://www.weizmann.ac.il/complex/compphys/software/geview/data/figures/215467_x_at.png","Figure")</f>
        <v>Figure</v>
      </c>
      <c r="I7968">
        <v>1.26</v>
      </c>
      <c r="J7968">
        <v>0.22</v>
      </c>
      <c r="K7968">
        <v>0.96799999999999997</v>
      </c>
      <c r="L7968">
        <v>0.96</v>
      </c>
      <c r="M7968">
        <v>0.76600000000000001</v>
      </c>
      <c r="N7968">
        <v>0.12</v>
      </c>
    </row>
    <row r="7969" spans="1:14" x14ac:dyDescent="0.25">
      <c r="A7969" t="s">
        <v>14141</v>
      </c>
      <c r="B7969" t="s">
        <v>14142</v>
      </c>
      <c r="C7969" s="1" t="str">
        <f>HYPERLINK("http://www.genecards.org/cgi-bin/carddisp.pl?gene=PMFBP1","GeneCards")</f>
        <v>GeneCards</v>
      </c>
      <c r="D7969" s="1" t="str">
        <f>HYPERLINK("http://genome-euro.ucsc.edu/cgi-bin/hgTracks?position=221022_s_at","UCSC")</f>
        <v>UCSC</v>
      </c>
      <c r="E7969" s="1" t="str">
        <f>HYPERLINK("http://www.ncbi.nlm.nih.gov/gene/?term=PMFBP1","NCBI")</f>
        <v>NCBI</v>
      </c>
      <c r="F7969">
        <v>0.12</v>
      </c>
      <c r="G7969">
        <v>0.26</v>
      </c>
      <c r="H7969" s="1" t="str">
        <f>HYPERLINK("http://www.weizmann.ac.il/complex/compphys/software/geview/data/figures/221022_s_at.png","Figure")</f>
        <v>Figure</v>
      </c>
      <c r="I7969">
        <v>1.1399999999999999</v>
      </c>
      <c r="J7969">
        <v>0.15</v>
      </c>
      <c r="K7969">
        <v>1.01</v>
      </c>
      <c r="L7969">
        <v>0.98</v>
      </c>
      <c r="M7969">
        <v>0.88800000000000001</v>
      </c>
      <c r="N7969">
        <v>0.16</v>
      </c>
    </row>
    <row r="7970" spans="1:14" x14ac:dyDescent="0.25">
      <c r="A7970" t="s">
        <v>14143</v>
      </c>
      <c r="B7970" t="s">
        <v>14144</v>
      </c>
      <c r="C7970" s="1" t="str">
        <f>HYPERLINK("http://www.genecards.org/cgi-bin/carddisp.pl?gene=CDC16","GeneCards")</f>
        <v>GeneCards</v>
      </c>
      <c r="D7970" s="1" t="str">
        <f>HYPERLINK("http://genome-euro.ucsc.edu/cgi-bin/hgTracks?position=202717_s_at","UCSC")</f>
        <v>UCSC</v>
      </c>
      <c r="E7970" s="1" t="str">
        <f>HYPERLINK("http://www.ncbi.nlm.nih.gov/gene/?term=CDC16","NCBI")</f>
        <v>NCBI</v>
      </c>
      <c r="F7970">
        <v>0.12</v>
      </c>
      <c r="G7970">
        <v>0.26</v>
      </c>
      <c r="H7970" s="1" t="str">
        <f>HYPERLINK("http://www.weizmann.ac.il/complex/compphys/software/geview/data/figures/202717_s_at.png","Figure")</f>
        <v>Figure</v>
      </c>
      <c r="I7970">
        <v>0.80500000000000005</v>
      </c>
      <c r="J7970">
        <v>0.49</v>
      </c>
      <c r="K7970">
        <v>1.18</v>
      </c>
      <c r="L7970">
        <v>0.56000000000000005</v>
      </c>
      <c r="M7970">
        <v>1.47</v>
      </c>
      <c r="N7970">
        <v>0.1</v>
      </c>
    </row>
    <row r="7971" spans="1:14" x14ac:dyDescent="0.25">
      <c r="A7971" t="s">
        <v>14145</v>
      </c>
      <c r="B7971" t="s">
        <v>11400</v>
      </c>
      <c r="C7971" s="1" t="str">
        <f>HYPERLINK("http://www.genecards.org/cgi-bin/carddisp.pl?gene=CYP2D6","GeneCards")</f>
        <v>GeneCards</v>
      </c>
      <c r="D7971" s="1" t="str">
        <f>HYPERLINK("http://genome-euro.ucsc.edu/cgi-bin/hgTracks?position=207498_s_at","UCSC")</f>
        <v>UCSC</v>
      </c>
      <c r="E7971" s="1" t="str">
        <f>HYPERLINK("http://www.ncbi.nlm.nih.gov/gene/?term=CYP2D6","NCBI")</f>
        <v>NCBI</v>
      </c>
      <c r="F7971">
        <v>0.12</v>
      </c>
      <c r="G7971">
        <v>0.26</v>
      </c>
      <c r="H7971" s="1" t="str">
        <f>HYPERLINK("http://www.weizmann.ac.il/complex/compphys/software/geview/data/figures/207498_s_at.png","Figure")</f>
        <v>Figure</v>
      </c>
      <c r="I7971">
        <v>1.18</v>
      </c>
      <c r="J7971">
        <v>0.12</v>
      </c>
      <c r="K7971">
        <v>1.03</v>
      </c>
      <c r="L7971">
        <v>0.88</v>
      </c>
      <c r="M7971">
        <v>0.875</v>
      </c>
      <c r="N7971">
        <v>0.2</v>
      </c>
    </row>
    <row r="7972" spans="1:14" x14ac:dyDescent="0.25">
      <c r="A7972" t="s">
        <v>14146</v>
      </c>
      <c r="B7972" t="s">
        <v>11112</v>
      </c>
      <c r="C7972" s="1" t="str">
        <f>HYPERLINK("http://www.genecards.org/cgi-bin/carddisp.pl?gene=MICALL1","GeneCards")</f>
        <v>GeneCards</v>
      </c>
      <c r="D7972" s="1" t="str">
        <f>HYPERLINK("http://genome-euro.ucsc.edu/cgi-bin/hgTracks?position=221779_at","UCSC")</f>
        <v>UCSC</v>
      </c>
      <c r="E7972" s="1" t="str">
        <f>HYPERLINK("http://www.ncbi.nlm.nih.gov/gene/?term=MICALL1","NCBI")</f>
        <v>NCBI</v>
      </c>
      <c r="F7972">
        <v>0.12</v>
      </c>
      <c r="G7972">
        <v>0.26</v>
      </c>
      <c r="H7972" s="1" t="str">
        <f>HYPERLINK("http://www.weizmann.ac.il/complex/compphys/software/geview/data/figures/221779_at.png","Figure")</f>
        <v>Figure</v>
      </c>
      <c r="I7972">
        <v>1.22</v>
      </c>
      <c r="J7972">
        <v>0.11</v>
      </c>
      <c r="K7972">
        <v>1.1200000000000001</v>
      </c>
      <c r="L7972">
        <v>0.33</v>
      </c>
      <c r="M7972">
        <v>0.92200000000000004</v>
      </c>
      <c r="N7972">
        <v>0.61</v>
      </c>
    </row>
    <row r="7973" spans="1:14" x14ac:dyDescent="0.25">
      <c r="A7973" t="s">
        <v>14147</v>
      </c>
      <c r="B7973" t="s">
        <v>14148</v>
      </c>
      <c r="C7973" s="1" t="str">
        <f>HYPERLINK("http://www.genecards.org/cgi-bin/carddisp.pl?gene=FER1L4","GeneCards")</f>
        <v>GeneCards</v>
      </c>
      <c r="D7973" s="1" t="str">
        <f>HYPERLINK("http://genome-euro.ucsc.edu/cgi-bin/hgTracks?position=222245_s_at","UCSC")</f>
        <v>UCSC</v>
      </c>
      <c r="E7973" s="1" t="str">
        <f>HYPERLINK("http://www.ncbi.nlm.nih.gov/gene/?term=FER1L4","NCBI")</f>
        <v>NCBI</v>
      </c>
      <c r="F7973">
        <v>0.12</v>
      </c>
      <c r="G7973">
        <v>0.26</v>
      </c>
      <c r="H7973" s="1" t="str">
        <f>HYPERLINK("http://www.weizmann.ac.il/complex/compphys/software/geview/data/figures/222245_s_at.png","Figure")</f>
        <v>Figure</v>
      </c>
      <c r="I7973">
        <v>1.1299999999999999</v>
      </c>
      <c r="J7973">
        <v>0.15</v>
      </c>
      <c r="K7973">
        <v>1.1000000000000001</v>
      </c>
      <c r="L7973">
        <v>0.19</v>
      </c>
      <c r="M7973">
        <v>0.97699999999999998</v>
      </c>
      <c r="N7973">
        <v>0.91</v>
      </c>
    </row>
    <row r="7974" spans="1:14" x14ac:dyDescent="0.25">
      <c r="A7974" t="s">
        <v>14149</v>
      </c>
      <c r="B7974" t="s">
        <v>14150</v>
      </c>
      <c r="C7974" s="1" t="str">
        <f>HYPERLINK("http://www.genecards.org/cgi-bin/carddisp.pl?gene=RNPEP /// TMEM189 /// TMEM189-UBE2V1 /// UBE2V1","GeneCards")</f>
        <v>GeneCards</v>
      </c>
      <c r="D7974" s="1" t="str">
        <f>HYPERLINK("http://genome-euro.ucsc.edu/cgi-bin/hgTracks?position=201003_x_at","UCSC")</f>
        <v>UCSC</v>
      </c>
      <c r="E7974" s="1" t="str">
        <f>HYPERLINK("http://www.ncbi.nlm.nih.gov/gene/?term=RNPEP /// TMEM189 /// TMEM189-UBE2V1 /// UBE2V1","NCBI")</f>
        <v>NCBI</v>
      </c>
      <c r="F7974">
        <v>0.12</v>
      </c>
      <c r="G7974">
        <v>0.26</v>
      </c>
      <c r="H7974" s="1" t="str">
        <f>HYPERLINK("http://www.weizmann.ac.il/complex/compphys/software/geview/data/figures/201003_x_at.png","Figure")</f>
        <v>Figure</v>
      </c>
      <c r="I7974">
        <v>1.57</v>
      </c>
      <c r="J7974">
        <v>0.1</v>
      </c>
      <c r="K7974">
        <v>1.24</v>
      </c>
      <c r="L7974">
        <v>0.47</v>
      </c>
      <c r="M7974">
        <v>0.78700000000000003</v>
      </c>
      <c r="N7974">
        <v>0.44</v>
      </c>
    </row>
    <row r="7975" spans="1:14" x14ac:dyDescent="0.25">
      <c r="A7975" t="s">
        <v>14151</v>
      </c>
      <c r="B7975" t="s">
        <v>14152</v>
      </c>
      <c r="C7975" s="1" t="str">
        <f>HYPERLINK("http://www.genecards.org/cgi-bin/carddisp.pl?gene=LYPLA1","GeneCards")</f>
        <v>GeneCards</v>
      </c>
      <c r="D7975" s="1" t="str">
        <f>HYPERLINK("http://genome-euro.ucsc.edu/cgi-bin/hgTracks?position=212449_s_at","UCSC")</f>
        <v>UCSC</v>
      </c>
      <c r="E7975" s="1" t="str">
        <f>HYPERLINK("http://www.ncbi.nlm.nih.gov/gene/?term=LYPLA1","NCBI")</f>
        <v>NCBI</v>
      </c>
      <c r="F7975">
        <v>0.12</v>
      </c>
      <c r="G7975">
        <v>0.26</v>
      </c>
      <c r="H7975" s="1" t="str">
        <f>HYPERLINK("http://www.weizmann.ac.il/complex/compphys/software/geview/data/figures/212449_s_at.png","Figure")</f>
        <v>Figure</v>
      </c>
      <c r="I7975">
        <v>0.57399999999999995</v>
      </c>
      <c r="J7975">
        <v>0.1</v>
      </c>
      <c r="K7975">
        <v>0.81299999999999994</v>
      </c>
      <c r="L7975">
        <v>0.62</v>
      </c>
      <c r="M7975">
        <v>1.42</v>
      </c>
      <c r="N7975">
        <v>0.33</v>
      </c>
    </row>
    <row r="7976" spans="1:14" x14ac:dyDescent="0.25">
      <c r="A7976" t="s">
        <v>14153</v>
      </c>
      <c r="B7976" t="s">
        <v>14154</v>
      </c>
      <c r="C7976" s="1" t="str">
        <f>HYPERLINK("http://www.genecards.org/cgi-bin/carddisp.pl?gene=FAM128B","GeneCards")</f>
        <v>GeneCards</v>
      </c>
      <c r="D7976" s="1" t="str">
        <f>HYPERLINK("http://genome-euro.ucsc.edu/cgi-bin/hgTracks?position=220720_x_at","UCSC")</f>
        <v>UCSC</v>
      </c>
      <c r="E7976" s="1" t="str">
        <f>HYPERLINK("http://www.ncbi.nlm.nih.gov/gene/?term=FAM128B","NCBI")</f>
        <v>NCBI</v>
      </c>
      <c r="F7976">
        <v>0.12</v>
      </c>
      <c r="G7976">
        <v>0.26</v>
      </c>
      <c r="H7976" s="1" t="str">
        <f>HYPERLINK("http://www.weizmann.ac.il/complex/compphys/software/geview/data/figures/220720_x_at.png","Figure")</f>
        <v>Figure</v>
      </c>
      <c r="I7976">
        <v>1.27</v>
      </c>
      <c r="J7976">
        <v>0.56000000000000005</v>
      </c>
      <c r="K7976">
        <v>0.79200000000000004</v>
      </c>
      <c r="L7976">
        <v>0.5</v>
      </c>
      <c r="M7976">
        <v>0.621</v>
      </c>
      <c r="N7976">
        <v>0.11</v>
      </c>
    </row>
    <row r="7977" spans="1:14" x14ac:dyDescent="0.25">
      <c r="A7977" t="s">
        <v>14155</v>
      </c>
      <c r="B7977" t="s">
        <v>14156</v>
      </c>
      <c r="C7977" s="1" t="str">
        <f>HYPERLINK("http://www.genecards.org/cgi-bin/carddisp.pl?gene=DDAH2","GeneCards")</f>
        <v>GeneCards</v>
      </c>
      <c r="D7977" s="1" t="str">
        <f>HYPERLINK("http://genome-euro.ucsc.edu/cgi-bin/hgTracks?position=202262_x_at","UCSC")</f>
        <v>UCSC</v>
      </c>
      <c r="E7977" s="1" t="str">
        <f>HYPERLINK("http://www.ncbi.nlm.nih.gov/gene/?term=DDAH2","NCBI")</f>
        <v>NCBI</v>
      </c>
      <c r="F7977">
        <v>0.12</v>
      </c>
      <c r="G7977">
        <v>0.26</v>
      </c>
      <c r="H7977" s="1" t="str">
        <f>HYPERLINK("http://www.weizmann.ac.il/complex/compphys/software/geview/data/figures/202262_x_at.png","Figure")</f>
        <v>Figure</v>
      </c>
      <c r="I7977">
        <v>0.871</v>
      </c>
      <c r="J7977">
        <v>0.79</v>
      </c>
      <c r="K7977">
        <v>1.31</v>
      </c>
      <c r="L7977">
        <v>0.32</v>
      </c>
      <c r="M7977">
        <v>1.51</v>
      </c>
      <c r="N7977">
        <v>0.13</v>
      </c>
    </row>
    <row r="7978" spans="1:14" x14ac:dyDescent="0.25">
      <c r="A7978" t="s">
        <v>14157</v>
      </c>
      <c r="B7978" t="s">
        <v>14158</v>
      </c>
      <c r="C7978" s="1" t="str">
        <f>HYPERLINK("http://www.genecards.org/cgi-bin/carddisp.pl?gene=TNF","GeneCards")</f>
        <v>GeneCards</v>
      </c>
      <c r="D7978" s="1" t="str">
        <f>HYPERLINK("http://genome-euro.ucsc.edu/cgi-bin/hgTracks?position=207113_s_at","UCSC")</f>
        <v>UCSC</v>
      </c>
      <c r="E7978" s="1" t="str">
        <f>HYPERLINK("http://www.ncbi.nlm.nih.gov/gene/?term=TNF","NCBI")</f>
        <v>NCBI</v>
      </c>
      <c r="F7978">
        <v>0.12</v>
      </c>
      <c r="G7978">
        <v>0.26</v>
      </c>
      <c r="H7978" s="1" t="str">
        <f>HYPERLINK("http://www.weizmann.ac.il/complex/compphys/software/geview/data/figures/207113_s_at.png","Figure")</f>
        <v>Figure</v>
      </c>
      <c r="I7978">
        <v>0.64800000000000002</v>
      </c>
      <c r="J7978">
        <v>0.35</v>
      </c>
      <c r="K7978">
        <v>1.21</v>
      </c>
      <c r="L7978">
        <v>0.75</v>
      </c>
      <c r="M7978">
        <v>1.87</v>
      </c>
      <c r="N7978">
        <v>0.1</v>
      </c>
    </row>
    <row r="7979" spans="1:14" x14ac:dyDescent="0.25">
      <c r="A7979" t="s">
        <v>14159</v>
      </c>
      <c r="B7979" t="s">
        <v>14160</v>
      </c>
      <c r="C7979" s="1" t="str">
        <f>HYPERLINK("http://www.genecards.org/cgi-bin/carddisp.pl?gene=FUZ","GeneCards")</f>
        <v>GeneCards</v>
      </c>
      <c r="D7979" s="1" t="str">
        <f>HYPERLINK("http://genome-euro.ucsc.edu/cgi-bin/hgTracks?position=221187_s_at","UCSC")</f>
        <v>UCSC</v>
      </c>
      <c r="E7979" s="1" t="str">
        <f>HYPERLINK("http://www.ncbi.nlm.nih.gov/gene/?term=FUZ","NCBI")</f>
        <v>NCBI</v>
      </c>
      <c r="F7979">
        <v>0.12</v>
      </c>
      <c r="G7979">
        <v>0.26</v>
      </c>
      <c r="H7979" s="1" t="str">
        <f>HYPERLINK("http://www.weizmann.ac.il/complex/compphys/software/geview/data/figures/221187_s_at.png","Figure")</f>
        <v>Figure</v>
      </c>
      <c r="I7979">
        <v>1.19</v>
      </c>
      <c r="J7979">
        <v>0.11</v>
      </c>
      <c r="K7979">
        <v>1.1100000000000001</v>
      </c>
      <c r="L7979">
        <v>0.33</v>
      </c>
      <c r="M7979">
        <v>0.93</v>
      </c>
      <c r="N7979">
        <v>0.62</v>
      </c>
    </row>
    <row r="7980" spans="1:14" x14ac:dyDescent="0.25">
      <c r="A7980" t="s">
        <v>14161</v>
      </c>
      <c r="B7980" t="s">
        <v>5294</v>
      </c>
      <c r="C7980" s="1" t="str">
        <f>HYPERLINK("http://www.genecards.org/cgi-bin/carddisp.pl?gene=ATP2A2","GeneCards")</f>
        <v>GeneCards</v>
      </c>
      <c r="D7980" s="1" t="str">
        <f>HYPERLINK("http://genome-euro.ucsc.edu/cgi-bin/hgTracks?position=212362_at","UCSC")</f>
        <v>UCSC</v>
      </c>
      <c r="E7980" s="1" t="str">
        <f>HYPERLINK("http://www.ncbi.nlm.nih.gov/gene/?term=ATP2A2","NCBI")</f>
        <v>NCBI</v>
      </c>
      <c r="F7980">
        <v>0.12</v>
      </c>
      <c r="G7980">
        <v>0.26</v>
      </c>
      <c r="H7980" s="1" t="str">
        <f>HYPERLINK("http://www.weizmann.ac.il/complex/compphys/software/geview/data/figures/212362_at.png","Figure")</f>
        <v>Figure</v>
      </c>
      <c r="I7980">
        <v>1.1000000000000001</v>
      </c>
      <c r="J7980">
        <v>0.14000000000000001</v>
      </c>
      <c r="K7980">
        <v>1.01</v>
      </c>
      <c r="L7980">
        <v>0.94</v>
      </c>
      <c r="M7980">
        <v>0.92400000000000004</v>
      </c>
      <c r="N7980">
        <v>0.18</v>
      </c>
    </row>
    <row r="7981" spans="1:14" x14ac:dyDescent="0.25">
      <c r="A7981" t="s">
        <v>14162</v>
      </c>
      <c r="B7981" t="s">
        <v>12113</v>
      </c>
      <c r="C7981" s="1" t="str">
        <f>HYPERLINK("http://www.genecards.org/cgi-bin/carddisp.pl?gene=ZNF500","GeneCards")</f>
        <v>GeneCards</v>
      </c>
      <c r="D7981" s="1" t="str">
        <f>HYPERLINK("http://genome-euro.ucsc.edu/cgi-bin/hgTracks?position=213639_s_at","UCSC")</f>
        <v>UCSC</v>
      </c>
      <c r="E7981" s="1" t="str">
        <f>HYPERLINK("http://www.ncbi.nlm.nih.gov/gene/?term=ZNF500","NCBI")</f>
        <v>NCBI</v>
      </c>
      <c r="F7981">
        <v>0.12</v>
      </c>
      <c r="G7981">
        <v>0.26</v>
      </c>
      <c r="H7981" s="1" t="str">
        <f>HYPERLINK("http://www.weizmann.ac.il/complex/compphys/software/geview/data/figures/213639_s_at.png","Figure")</f>
        <v>Figure</v>
      </c>
      <c r="I7981">
        <v>1.1499999999999999</v>
      </c>
      <c r="J7981">
        <v>0.53</v>
      </c>
      <c r="K7981">
        <v>0.88800000000000001</v>
      </c>
      <c r="L7981">
        <v>0.53</v>
      </c>
      <c r="M7981">
        <v>0.77500000000000002</v>
      </c>
      <c r="N7981">
        <v>0.11</v>
      </c>
    </row>
    <row r="7982" spans="1:14" x14ac:dyDescent="0.25">
      <c r="A7982" t="s">
        <v>14163</v>
      </c>
      <c r="B7982" t="s">
        <v>14164</v>
      </c>
      <c r="C7982" s="1" t="str">
        <f>HYPERLINK("http://www.genecards.org/cgi-bin/carddisp.pl?gene=TMEM214","GeneCards")</f>
        <v>GeneCards</v>
      </c>
      <c r="D7982" s="1" t="str">
        <f>HYPERLINK("http://genome-euro.ucsc.edu/cgi-bin/hgTracks?position=217899_at","UCSC")</f>
        <v>UCSC</v>
      </c>
      <c r="E7982" s="1" t="str">
        <f>HYPERLINK("http://www.ncbi.nlm.nih.gov/gene/?term=TMEM214","NCBI")</f>
        <v>NCBI</v>
      </c>
      <c r="F7982">
        <v>0.12</v>
      </c>
      <c r="G7982">
        <v>0.26</v>
      </c>
      <c r="H7982" s="1" t="str">
        <f>HYPERLINK("http://www.weizmann.ac.il/complex/compphys/software/geview/data/figures/217899_at.png","Figure")</f>
        <v>Figure</v>
      </c>
      <c r="I7982">
        <v>0.83899999999999997</v>
      </c>
      <c r="J7982">
        <v>0.33</v>
      </c>
      <c r="K7982">
        <v>1.07</v>
      </c>
      <c r="L7982">
        <v>0.78</v>
      </c>
      <c r="M7982">
        <v>1.28</v>
      </c>
      <c r="N7982">
        <v>0.1</v>
      </c>
    </row>
    <row r="7983" spans="1:14" x14ac:dyDescent="0.25">
      <c r="A7983" t="s">
        <v>14165</v>
      </c>
      <c r="B7983" t="s">
        <v>14166</v>
      </c>
      <c r="C7983" s="1" t="str">
        <f>HYPERLINK("http://www.genecards.org/cgi-bin/carddisp.pl?gene=LOC65998","GeneCards")</f>
        <v>GeneCards</v>
      </c>
      <c r="D7983" s="1" t="str">
        <f>HYPERLINK("http://genome-euro.ucsc.edu/cgi-bin/hgTracks?position=218641_at","UCSC")</f>
        <v>UCSC</v>
      </c>
      <c r="E7983" s="1" t="str">
        <f>HYPERLINK("http://www.ncbi.nlm.nih.gov/gene/?term=LOC65998","NCBI")</f>
        <v>NCBI</v>
      </c>
      <c r="F7983">
        <v>0.12</v>
      </c>
      <c r="G7983">
        <v>0.26</v>
      </c>
      <c r="H7983" s="1" t="str">
        <f>HYPERLINK("http://www.weizmann.ac.il/complex/compphys/software/geview/data/figures/218641_at.png","Figure")</f>
        <v>Figure</v>
      </c>
      <c r="I7983">
        <v>0.77500000000000002</v>
      </c>
      <c r="J7983">
        <v>0.53</v>
      </c>
      <c r="K7983">
        <v>1.25</v>
      </c>
      <c r="L7983">
        <v>0.53</v>
      </c>
      <c r="M7983">
        <v>1.61</v>
      </c>
      <c r="N7983">
        <v>0.11</v>
      </c>
    </row>
    <row r="7984" spans="1:14" x14ac:dyDescent="0.25">
      <c r="A7984" t="s">
        <v>14167</v>
      </c>
      <c r="B7984" t="s">
        <v>4609</v>
      </c>
      <c r="C7984" s="1" t="str">
        <f>HYPERLINK("http://www.genecards.org/cgi-bin/carddisp.pl?gene=ENSA","GeneCards")</f>
        <v>GeneCards</v>
      </c>
      <c r="D7984" s="1" t="str">
        <f>HYPERLINK("http://genome-euro.ucsc.edu/cgi-bin/hgTracks?position=221486_at","UCSC")</f>
        <v>UCSC</v>
      </c>
      <c r="E7984" s="1" t="str">
        <f>HYPERLINK("http://www.ncbi.nlm.nih.gov/gene/?term=ENSA","NCBI")</f>
        <v>NCBI</v>
      </c>
      <c r="F7984">
        <v>0.12</v>
      </c>
      <c r="G7984">
        <v>0.26</v>
      </c>
      <c r="H7984" s="1" t="str">
        <f>HYPERLINK("http://www.weizmann.ac.il/complex/compphys/software/geview/data/figures/221486_at.png","Figure")</f>
        <v>Figure</v>
      </c>
      <c r="I7984">
        <v>1.27</v>
      </c>
      <c r="J7984">
        <v>0.17</v>
      </c>
      <c r="K7984">
        <v>1.24</v>
      </c>
      <c r="L7984">
        <v>0.16</v>
      </c>
      <c r="M7984">
        <v>0.97399999999999998</v>
      </c>
      <c r="N7984">
        <v>0.97</v>
      </c>
    </row>
    <row r="7985" spans="1:14" x14ac:dyDescent="0.25">
      <c r="A7985" t="s">
        <v>14168</v>
      </c>
      <c r="B7985" t="s">
        <v>14169</v>
      </c>
      <c r="C7985" s="1" t="str">
        <f>HYPERLINK("http://www.genecards.org/cgi-bin/carddisp.pl?gene=C4orf46 /// TOMM7","GeneCards")</f>
        <v>GeneCards</v>
      </c>
      <c r="D7985" s="1" t="str">
        <f>HYPERLINK("http://genome-euro.ucsc.edu/cgi-bin/hgTracks?position=201812_s_at","UCSC")</f>
        <v>UCSC</v>
      </c>
      <c r="E7985" s="1" t="str">
        <f>HYPERLINK("http://www.ncbi.nlm.nih.gov/gene/?term=C4orf46 /// TOMM7","NCBI")</f>
        <v>NCBI</v>
      </c>
      <c r="F7985">
        <v>0.12</v>
      </c>
      <c r="G7985">
        <v>0.26</v>
      </c>
      <c r="H7985" s="1" t="str">
        <f>HYPERLINK("http://www.weizmann.ac.il/complex/compphys/software/geview/data/figures/201812_s_at.png","Figure")</f>
        <v>Figure</v>
      </c>
      <c r="I7985">
        <v>1.61</v>
      </c>
      <c r="J7985">
        <v>0.14000000000000001</v>
      </c>
      <c r="K7985">
        <v>1.44</v>
      </c>
      <c r="L7985">
        <v>0.21</v>
      </c>
      <c r="M7985">
        <v>0.89200000000000002</v>
      </c>
      <c r="N7985">
        <v>0.86</v>
      </c>
    </row>
    <row r="7986" spans="1:14" x14ac:dyDescent="0.25">
      <c r="A7986" t="s">
        <v>14170</v>
      </c>
      <c r="B7986" t="s">
        <v>14171</v>
      </c>
      <c r="C7986" s="1" t="str">
        <f>HYPERLINK("http://www.genecards.org/cgi-bin/carddisp.pl?gene=ULK1","GeneCards")</f>
        <v>GeneCards</v>
      </c>
      <c r="D7986" s="1" t="str">
        <f>HYPERLINK("http://genome-euro.ucsc.edu/cgi-bin/hgTracks?position=209333_at","UCSC")</f>
        <v>UCSC</v>
      </c>
      <c r="E7986" s="1" t="str">
        <f>HYPERLINK("http://www.ncbi.nlm.nih.gov/gene/?term=ULK1","NCBI")</f>
        <v>NCBI</v>
      </c>
      <c r="F7986">
        <v>0.12</v>
      </c>
      <c r="G7986">
        <v>0.26</v>
      </c>
      <c r="H7986" s="1" t="str">
        <f>HYPERLINK("http://www.weizmann.ac.il/complex/compphys/software/geview/data/figures/209333_at.png","Figure")</f>
        <v>Figure</v>
      </c>
      <c r="I7986">
        <v>1.46</v>
      </c>
      <c r="J7986">
        <v>0.15</v>
      </c>
      <c r="K7986">
        <v>1.04</v>
      </c>
      <c r="L7986">
        <v>0.97</v>
      </c>
      <c r="M7986">
        <v>0.71099999999999997</v>
      </c>
      <c r="N7986">
        <v>0.16</v>
      </c>
    </row>
    <row r="7987" spans="1:14" x14ac:dyDescent="0.25">
      <c r="A7987" t="s">
        <v>14172</v>
      </c>
      <c r="B7987" t="s">
        <v>11872</v>
      </c>
      <c r="C7987" s="1" t="str">
        <f>HYPERLINK("http://www.genecards.org/cgi-bin/carddisp.pl?gene=RNASET2","GeneCards")</f>
        <v>GeneCards</v>
      </c>
      <c r="D7987" s="1" t="str">
        <f>HYPERLINK("http://genome-euro.ucsc.edu/cgi-bin/hgTracks?position=220096_at","UCSC")</f>
        <v>UCSC</v>
      </c>
      <c r="E7987" s="1" t="str">
        <f>HYPERLINK("http://www.ncbi.nlm.nih.gov/gene/?term=RNASET2","NCBI")</f>
        <v>NCBI</v>
      </c>
      <c r="F7987">
        <v>0.12</v>
      </c>
      <c r="G7987">
        <v>0.26</v>
      </c>
      <c r="H7987" s="1" t="str">
        <f>HYPERLINK("http://www.weizmann.ac.il/complex/compphys/software/geview/data/figures/220096_at.png","Figure")</f>
        <v>Figure</v>
      </c>
      <c r="I7987">
        <v>1.29</v>
      </c>
      <c r="J7987">
        <v>0.1</v>
      </c>
      <c r="K7987">
        <v>1.1100000000000001</v>
      </c>
      <c r="L7987">
        <v>0.56000000000000005</v>
      </c>
      <c r="M7987">
        <v>0.86299999999999999</v>
      </c>
      <c r="N7987">
        <v>0.37</v>
      </c>
    </row>
    <row r="7988" spans="1:14" x14ac:dyDescent="0.25">
      <c r="A7988" t="s">
        <v>14173</v>
      </c>
      <c r="B7988" t="s">
        <v>14174</v>
      </c>
      <c r="C7988" s="1" t="str">
        <f>HYPERLINK("http://www.genecards.org/cgi-bin/carddisp.pl?gene=FCRL2","GeneCards")</f>
        <v>GeneCards</v>
      </c>
      <c r="D7988" s="1" t="str">
        <f>HYPERLINK("http://genome-euro.ucsc.edu/cgi-bin/hgTracks?position=221239_s_at","UCSC")</f>
        <v>UCSC</v>
      </c>
      <c r="E7988" s="1" t="str">
        <f>HYPERLINK("http://www.ncbi.nlm.nih.gov/gene/?term=FCRL2","NCBI")</f>
        <v>NCBI</v>
      </c>
      <c r="F7988">
        <v>0.12</v>
      </c>
      <c r="G7988">
        <v>0.26</v>
      </c>
      <c r="H7988" s="1" t="str">
        <f>HYPERLINK("http://www.weizmann.ac.il/complex/compphys/software/geview/data/figures/221239_s_at.png","Figure")</f>
        <v>Figure</v>
      </c>
      <c r="I7988">
        <v>1.22</v>
      </c>
      <c r="J7988">
        <v>0.34</v>
      </c>
      <c r="K7988">
        <v>0.92100000000000004</v>
      </c>
      <c r="L7988">
        <v>0.77</v>
      </c>
      <c r="M7988">
        <v>0.75700000000000001</v>
      </c>
      <c r="N7988">
        <v>0.1</v>
      </c>
    </row>
    <row r="7989" spans="1:14" x14ac:dyDescent="0.25">
      <c r="A7989" t="s">
        <v>14175</v>
      </c>
      <c r="B7989" t="s">
        <v>14176</v>
      </c>
      <c r="C7989" s="1" t="str">
        <f>HYPERLINK("http://www.genecards.org/cgi-bin/carddisp.pl?gene=DKKL1","GeneCards")</f>
        <v>GeneCards</v>
      </c>
      <c r="D7989" s="1" t="str">
        <f>HYPERLINK("http://genome-euro.ucsc.edu/cgi-bin/hgTracks?position=220284_at","UCSC")</f>
        <v>UCSC</v>
      </c>
      <c r="E7989" s="1" t="str">
        <f>HYPERLINK("http://www.ncbi.nlm.nih.gov/gene/?term=DKKL1","NCBI")</f>
        <v>NCBI</v>
      </c>
      <c r="F7989">
        <v>0.12</v>
      </c>
      <c r="G7989">
        <v>0.26</v>
      </c>
      <c r="H7989" s="1" t="str">
        <f>HYPERLINK("http://www.weizmann.ac.il/complex/compphys/software/geview/data/figures/220284_at.png","Figure")</f>
        <v>Figure</v>
      </c>
      <c r="I7989">
        <v>1.37</v>
      </c>
      <c r="J7989">
        <v>0.13</v>
      </c>
      <c r="K7989">
        <v>1.25</v>
      </c>
      <c r="L7989">
        <v>0.24</v>
      </c>
      <c r="M7989">
        <v>0.91</v>
      </c>
      <c r="N7989">
        <v>0.78</v>
      </c>
    </row>
    <row r="7990" spans="1:14" x14ac:dyDescent="0.25">
      <c r="A7990" t="s">
        <v>14177</v>
      </c>
      <c r="B7990" t="s">
        <v>14001</v>
      </c>
      <c r="C7990" s="1" t="str">
        <f>HYPERLINK("http://www.genecards.org/cgi-bin/carddisp.pl?gene=SSX2","GeneCards")</f>
        <v>GeneCards</v>
      </c>
      <c r="D7990" s="1" t="str">
        <f>HYPERLINK("http://genome-euro.ucsc.edu/cgi-bin/hgTracks?position=207493_x_at","UCSC")</f>
        <v>UCSC</v>
      </c>
      <c r="E7990" s="1" t="str">
        <f>HYPERLINK("http://www.ncbi.nlm.nih.gov/gene/?term=SSX2","NCBI")</f>
        <v>NCBI</v>
      </c>
      <c r="F7990">
        <v>0.12</v>
      </c>
      <c r="G7990">
        <v>0.26</v>
      </c>
      <c r="H7990" s="1" t="str">
        <f>HYPERLINK("http://www.weizmann.ac.il/complex/compphys/software/geview/data/figures/207493_x_at.png","Figure")</f>
        <v>Figure</v>
      </c>
      <c r="I7990">
        <v>1.18</v>
      </c>
      <c r="J7990">
        <v>0.12</v>
      </c>
      <c r="K7990">
        <v>1.03</v>
      </c>
      <c r="L7990">
        <v>0.88</v>
      </c>
      <c r="M7990">
        <v>0.875</v>
      </c>
      <c r="N7990">
        <v>0.2</v>
      </c>
    </row>
    <row r="7991" spans="1:14" x14ac:dyDescent="0.25">
      <c r="A7991" t="s">
        <v>14178</v>
      </c>
      <c r="B7991" t="s">
        <v>14179</v>
      </c>
      <c r="C7991" s="1" t="str">
        <f>HYPERLINK("http://www.genecards.org/cgi-bin/carddisp.pl?gene=OSTM1","GeneCards")</f>
        <v>GeneCards</v>
      </c>
      <c r="D7991" s="1" t="str">
        <f>HYPERLINK("http://genome-euro.ucsc.edu/cgi-bin/hgTracks?position=218196_at","UCSC")</f>
        <v>UCSC</v>
      </c>
      <c r="E7991" s="1" t="str">
        <f>HYPERLINK("http://www.ncbi.nlm.nih.gov/gene/?term=OSTM1","NCBI")</f>
        <v>NCBI</v>
      </c>
      <c r="F7991">
        <v>0.12</v>
      </c>
      <c r="G7991">
        <v>0.26</v>
      </c>
      <c r="H7991" s="1" t="str">
        <f>HYPERLINK("http://www.weizmann.ac.il/complex/compphys/software/geview/data/figures/218196_at.png","Figure")</f>
        <v>Figure</v>
      </c>
      <c r="I7991">
        <v>0.623</v>
      </c>
      <c r="J7991">
        <v>0.14000000000000001</v>
      </c>
      <c r="K7991">
        <v>0.94899999999999995</v>
      </c>
      <c r="L7991">
        <v>0.96</v>
      </c>
      <c r="M7991">
        <v>1.52</v>
      </c>
      <c r="N7991">
        <v>0.17</v>
      </c>
    </row>
    <row r="7992" spans="1:14" x14ac:dyDescent="0.25">
      <c r="A7992" t="s">
        <v>14180</v>
      </c>
      <c r="B7992" t="s">
        <v>8826</v>
      </c>
      <c r="C7992" s="1" t="str">
        <f>HYPERLINK("http://www.genecards.org/cgi-bin/carddisp.pl?gene=ANKLE2","GeneCards")</f>
        <v>GeneCards</v>
      </c>
      <c r="D7992" s="1" t="str">
        <f>HYPERLINK("http://genome-euro.ucsc.edu/cgi-bin/hgTracks?position=212200_at","UCSC")</f>
        <v>UCSC</v>
      </c>
      <c r="E7992" s="1" t="str">
        <f>HYPERLINK("http://www.ncbi.nlm.nih.gov/gene/?term=ANKLE2","NCBI")</f>
        <v>NCBI</v>
      </c>
      <c r="F7992">
        <v>0.12</v>
      </c>
      <c r="G7992">
        <v>0.26</v>
      </c>
      <c r="H7992" s="1" t="str">
        <f>HYPERLINK("http://www.weizmann.ac.il/complex/compphys/software/geview/data/figures/212200_at.png","Figure")</f>
        <v>Figure</v>
      </c>
      <c r="I7992">
        <v>0.69299999999999995</v>
      </c>
      <c r="J7992">
        <v>0.13</v>
      </c>
      <c r="K7992">
        <v>0.76900000000000002</v>
      </c>
      <c r="L7992">
        <v>0.24</v>
      </c>
      <c r="M7992">
        <v>1.1100000000000001</v>
      </c>
      <c r="N7992">
        <v>0.8</v>
      </c>
    </row>
    <row r="7993" spans="1:14" x14ac:dyDescent="0.25">
      <c r="A7993" t="s">
        <v>14181</v>
      </c>
      <c r="B7993" t="s">
        <v>10469</v>
      </c>
      <c r="C7993" s="1" t="str">
        <f>HYPERLINK("http://www.genecards.org/cgi-bin/carddisp.pl?gene=MUT","GeneCards")</f>
        <v>GeneCards</v>
      </c>
      <c r="D7993" s="1" t="str">
        <f>HYPERLINK("http://genome-euro.ucsc.edu/cgi-bin/hgTracks?position=202960_s_at","UCSC")</f>
        <v>UCSC</v>
      </c>
      <c r="E7993" s="1" t="str">
        <f>HYPERLINK("http://www.ncbi.nlm.nih.gov/gene/?term=MUT","NCBI")</f>
        <v>NCBI</v>
      </c>
      <c r="F7993">
        <v>0.12</v>
      </c>
      <c r="G7993">
        <v>0.26</v>
      </c>
      <c r="H7993" s="1" t="str">
        <f>HYPERLINK("http://www.weizmann.ac.il/complex/compphys/software/geview/data/figures/202960_s_at.png","Figure")</f>
        <v>Figure</v>
      </c>
      <c r="I7993">
        <v>0.625</v>
      </c>
      <c r="J7993">
        <v>0.19</v>
      </c>
      <c r="K7993">
        <v>0.64100000000000001</v>
      </c>
      <c r="L7993">
        <v>0.15</v>
      </c>
      <c r="M7993">
        <v>1.02</v>
      </c>
      <c r="N7993">
        <v>0.99</v>
      </c>
    </row>
    <row r="7994" spans="1:14" x14ac:dyDescent="0.25">
      <c r="A7994" t="s">
        <v>14182</v>
      </c>
      <c r="B7994" t="s">
        <v>14183</v>
      </c>
      <c r="C7994" s="1" t="str">
        <f>HYPERLINK("http://www.genecards.org/cgi-bin/carddisp.pl?gene=GPR4","GeneCards")</f>
        <v>GeneCards</v>
      </c>
      <c r="D7994" s="1" t="str">
        <f>HYPERLINK("http://genome-euro.ucsc.edu/cgi-bin/hgTracks?position=211266_s_at","UCSC")</f>
        <v>UCSC</v>
      </c>
      <c r="E7994" s="1" t="str">
        <f>HYPERLINK("http://www.ncbi.nlm.nih.gov/gene/?term=GPR4","NCBI")</f>
        <v>NCBI</v>
      </c>
      <c r="F7994">
        <v>0.12</v>
      </c>
      <c r="G7994">
        <v>0.26</v>
      </c>
      <c r="H7994" s="1" t="str">
        <f>HYPERLINK("http://www.weizmann.ac.il/complex/compphys/software/geview/data/figures/211266_s_at.png","Figure")</f>
        <v>Figure</v>
      </c>
      <c r="I7994">
        <v>1.1299999999999999</v>
      </c>
      <c r="J7994">
        <v>0.24</v>
      </c>
      <c r="K7994">
        <v>1.1399999999999999</v>
      </c>
      <c r="L7994">
        <v>0.13</v>
      </c>
      <c r="M7994">
        <v>1.01</v>
      </c>
      <c r="N7994">
        <v>0.99</v>
      </c>
    </row>
    <row r="7995" spans="1:14" x14ac:dyDescent="0.25">
      <c r="A7995" t="s">
        <v>14184</v>
      </c>
      <c r="B7995" t="s">
        <v>4909</v>
      </c>
      <c r="C7995" s="1" t="str">
        <f>HYPERLINK("http://www.genecards.org/cgi-bin/carddisp.pl?gene=SYDE1","GeneCards")</f>
        <v>GeneCards</v>
      </c>
      <c r="D7995" s="1" t="str">
        <f>HYPERLINK("http://genome-euro.ucsc.edu/cgi-bin/hgTracks?position=216272_x_at","UCSC")</f>
        <v>UCSC</v>
      </c>
      <c r="E7995" s="1" t="str">
        <f>HYPERLINK("http://www.ncbi.nlm.nih.gov/gene/?term=SYDE1","NCBI")</f>
        <v>NCBI</v>
      </c>
      <c r="F7995">
        <v>0.12</v>
      </c>
      <c r="G7995">
        <v>0.26</v>
      </c>
      <c r="H7995" s="1" t="str">
        <f>HYPERLINK("http://www.weizmann.ac.il/complex/compphys/software/geview/data/figures/216272_x_at.png","Figure")</f>
        <v>Figure</v>
      </c>
      <c r="I7995">
        <v>1.23</v>
      </c>
      <c r="J7995">
        <v>0.1</v>
      </c>
      <c r="K7995">
        <v>1.1000000000000001</v>
      </c>
      <c r="L7995">
        <v>0.46</v>
      </c>
      <c r="M7995">
        <v>0.89900000000000002</v>
      </c>
      <c r="N7995">
        <v>0.46</v>
      </c>
    </row>
    <row r="7996" spans="1:14" x14ac:dyDescent="0.25">
      <c r="A7996" t="s">
        <v>14185</v>
      </c>
      <c r="B7996" t="s">
        <v>14186</v>
      </c>
      <c r="C7996" s="1" t="str">
        <f>HYPERLINK("http://www.genecards.org/cgi-bin/carddisp.pl?gene=DNTT","GeneCards")</f>
        <v>GeneCards</v>
      </c>
      <c r="D7996" s="1" t="str">
        <f>HYPERLINK("http://genome-euro.ucsc.edu/cgi-bin/hgTracks?position=210487_at","UCSC")</f>
        <v>UCSC</v>
      </c>
      <c r="E7996" s="1" t="str">
        <f>HYPERLINK("http://www.ncbi.nlm.nih.gov/gene/?term=DNTT","NCBI")</f>
        <v>NCBI</v>
      </c>
      <c r="F7996">
        <v>0.12</v>
      </c>
      <c r="G7996">
        <v>0.26</v>
      </c>
      <c r="H7996" s="1" t="str">
        <f>HYPERLINK("http://www.weizmann.ac.il/complex/compphys/software/geview/data/figures/210487_at.png","Figure")</f>
        <v>Figure</v>
      </c>
      <c r="I7996">
        <v>0.44600000000000001</v>
      </c>
      <c r="J7996">
        <v>0.37</v>
      </c>
      <c r="K7996">
        <v>1.47</v>
      </c>
      <c r="L7996">
        <v>0.73</v>
      </c>
      <c r="M7996">
        <v>3.3</v>
      </c>
      <c r="N7996">
        <v>0.1</v>
      </c>
    </row>
    <row r="7997" spans="1:14" x14ac:dyDescent="0.25">
      <c r="A7997" t="s">
        <v>14187</v>
      </c>
      <c r="B7997" t="s">
        <v>14188</v>
      </c>
      <c r="C7997" s="1" t="str">
        <f>HYPERLINK("http://www.genecards.org/cgi-bin/carddisp.pl?gene=NKG7","GeneCards")</f>
        <v>GeneCards</v>
      </c>
      <c r="D7997" s="1" t="str">
        <f>HYPERLINK("http://genome-euro.ucsc.edu/cgi-bin/hgTracks?position=213915_at","UCSC")</f>
        <v>UCSC</v>
      </c>
      <c r="E7997" s="1" t="str">
        <f>HYPERLINK("http://www.ncbi.nlm.nih.gov/gene/?term=NKG7","NCBI")</f>
        <v>NCBI</v>
      </c>
      <c r="F7997">
        <v>0.12</v>
      </c>
      <c r="G7997">
        <v>0.26</v>
      </c>
      <c r="H7997" s="1" t="str">
        <f>HYPERLINK("http://www.weizmann.ac.il/complex/compphys/software/geview/data/figures/213915_at.png","Figure")</f>
        <v>Figure</v>
      </c>
      <c r="I7997">
        <v>0.48899999999999999</v>
      </c>
      <c r="J7997">
        <v>0.11</v>
      </c>
      <c r="K7997">
        <v>0.82</v>
      </c>
      <c r="L7997">
        <v>0.77</v>
      </c>
      <c r="M7997">
        <v>1.68</v>
      </c>
      <c r="N7997">
        <v>0.25</v>
      </c>
    </row>
    <row r="7998" spans="1:14" x14ac:dyDescent="0.25">
      <c r="A7998" t="s">
        <v>14189</v>
      </c>
      <c r="B7998" t="s">
        <v>14190</v>
      </c>
      <c r="C7998" s="1" t="str">
        <f>HYPERLINK("http://www.genecards.org/cgi-bin/carddisp.pl?gene=SERPINB1","GeneCards")</f>
        <v>GeneCards</v>
      </c>
      <c r="D7998" s="1" t="str">
        <f>HYPERLINK("http://genome-euro.ucsc.edu/cgi-bin/hgTracks?position=212268_at","UCSC")</f>
        <v>UCSC</v>
      </c>
      <c r="E7998" s="1" t="str">
        <f>HYPERLINK("http://www.ncbi.nlm.nih.gov/gene/?term=SERPINB1","NCBI")</f>
        <v>NCBI</v>
      </c>
      <c r="F7998">
        <v>0.12</v>
      </c>
      <c r="G7998">
        <v>0.26</v>
      </c>
      <c r="H7998" s="1" t="str">
        <f>HYPERLINK("http://www.weizmann.ac.il/complex/compphys/software/geview/data/figures/212268_at.png","Figure")</f>
        <v>Figure</v>
      </c>
      <c r="I7998">
        <v>0.69099999999999995</v>
      </c>
      <c r="J7998">
        <v>0.17</v>
      </c>
      <c r="K7998">
        <v>0.998</v>
      </c>
      <c r="L7998">
        <v>1</v>
      </c>
      <c r="M7998">
        <v>1.45</v>
      </c>
      <c r="N7998">
        <v>0.14000000000000001</v>
      </c>
    </row>
    <row r="7999" spans="1:14" x14ac:dyDescent="0.25">
      <c r="A7999" t="s">
        <v>14191</v>
      </c>
      <c r="B7999" t="s">
        <v>14192</v>
      </c>
      <c r="C7999" s="1" t="str">
        <f>HYPERLINK("http://www.genecards.org/cgi-bin/carddisp.pl?gene=GPR21","GeneCards")</f>
        <v>GeneCards</v>
      </c>
      <c r="D7999" s="1" t="str">
        <f>HYPERLINK("http://genome-euro.ucsc.edu/cgi-bin/hgTracks?position=221294_at","UCSC")</f>
        <v>UCSC</v>
      </c>
      <c r="E7999" s="1" t="str">
        <f>HYPERLINK("http://www.ncbi.nlm.nih.gov/gene/?term=GPR21","NCBI")</f>
        <v>NCBI</v>
      </c>
      <c r="F7999">
        <v>0.12</v>
      </c>
      <c r="G7999">
        <v>0.26</v>
      </c>
      <c r="H7999" s="1" t="str">
        <f>HYPERLINK("http://www.weizmann.ac.il/complex/compphys/software/geview/data/figures/221294_at.png","Figure")</f>
        <v>Figure</v>
      </c>
      <c r="I7999">
        <v>1.23</v>
      </c>
      <c r="J7999">
        <v>0.12</v>
      </c>
      <c r="K7999">
        <v>1.05</v>
      </c>
      <c r="L7999">
        <v>0.84</v>
      </c>
      <c r="M7999">
        <v>0.85499999999999998</v>
      </c>
      <c r="N7999">
        <v>0.22</v>
      </c>
    </row>
    <row r="8000" spans="1:14" x14ac:dyDescent="0.25">
      <c r="A8000" t="s">
        <v>14193</v>
      </c>
      <c r="B8000" t="s">
        <v>14194</v>
      </c>
      <c r="C8000" s="1" t="str">
        <f>HYPERLINK("http://www.genecards.org/cgi-bin/carddisp.pl?gene=SARS","GeneCards")</f>
        <v>GeneCards</v>
      </c>
      <c r="D8000" s="1" t="str">
        <f>HYPERLINK("http://genome-euro.ucsc.edu/cgi-bin/hgTracks?position=200802_at","UCSC")</f>
        <v>UCSC</v>
      </c>
      <c r="E8000" s="1" t="str">
        <f>HYPERLINK("http://www.ncbi.nlm.nih.gov/gene/?term=SARS","NCBI")</f>
        <v>NCBI</v>
      </c>
      <c r="F8000">
        <v>0.12</v>
      </c>
      <c r="G8000">
        <v>0.26</v>
      </c>
      <c r="H8000" s="1" t="str">
        <f>HYPERLINK("http://www.weizmann.ac.il/complex/compphys/software/geview/data/figures/200802_at.png","Figure")</f>
        <v>Figure</v>
      </c>
      <c r="I8000">
        <v>1.24</v>
      </c>
      <c r="J8000">
        <v>0.23</v>
      </c>
      <c r="K8000">
        <v>1.25</v>
      </c>
      <c r="L8000">
        <v>0.13</v>
      </c>
      <c r="M8000">
        <v>1.01</v>
      </c>
      <c r="N8000">
        <v>1</v>
      </c>
    </row>
    <row r="8001" spans="1:14" x14ac:dyDescent="0.25">
      <c r="A8001" t="s">
        <v>14195</v>
      </c>
      <c r="B8001" t="s">
        <v>14196</v>
      </c>
      <c r="C8001" s="1" t="str">
        <f>HYPERLINK("http://www.genecards.org/cgi-bin/carddisp.pl?gene=IL1RL1","GeneCards")</f>
        <v>GeneCards</v>
      </c>
      <c r="D8001" s="1" t="str">
        <f>HYPERLINK("http://genome-euro.ucsc.edu/cgi-bin/hgTracks?position=210442_at","UCSC")</f>
        <v>UCSC</v>
      </c>
      <c r="E8001" s="1" t="str">
        <f>HYPERLINK("http://www.ncbi.nlm.nih.gov/gene/?term=IL1RL1","NCBI")</f>
        <v>NCBI</v>
      </c>
      <c r="F8001">
        <v>0.12</v>
      </c>
      <c r="G8001">
        <v>0.26</v>
      </c>
      <c r="H8001" s="1" t="str">
        <f>HYPERLINK("http://www.weizmann.ac.il/complex/compphys/software/geview/data/figures/210442_at.png","Figure")</f>
        <v>Figure</v>
      </c>
      <c r="I8001">
        <v>1.19</v>
      </c>
      <c r="J8001">
        <v>0.11</v>
      </c>
      <c r="K8001">
        <v>1.05</v>
      </c>
      <c r="L8001">
        <v>0.76</v>
      </c>
      <c r="M8001">
        <v>0.88300000000000001</v>
      </c>
      <c r="N8001">
        <v>0.25</v>
      </c>
    </row>
    <row r="8002" spans="1:14" x14ac:dyDescent="0.25">
      <c r="A8002" t="s">
        <v>14197</v>
      </c>
      <c r="B8002" t="s">
        <v>14198</v>
      </c>
      <c r="C8002" s="1" t="str">
        <f>HYPERLINK("http://www.genecards.org/cgi-bin/carddisp.pl?gene=PHACTR4","GeneCards")</f>
        <v>GeneCards</v>
      </c>
      <c r="D8002" s="1" t="str">
        <f>HYPERLINK("http://genome-euro.ucsc.edu/cgi-bin/hgTracks?position=219235_s_at","UCSC")</f>
        <v>UCSC</v>
      </c>
      <c r="E8002" s="1" t="str">
        <f>HYPERLINK("http://www.ncbi.nlm.nih.gov/gene/?term=PHACTR4","NCBI")</f>
        <v>NCBI</v>
      </c>
      <c r="F8002">
        <v>0.12</v>
      </c>
      <c r="G8002">
        <v>0.26</v>
      </c>
      <c r="H8002" s="1" t="str">
        <f>HYPERLINK("http://www.weizmann.ac.il/complex/compphys/software/geview/data/figures/219235_s_at.png","Figure")</f>
        <v>Figure</v>
      </c>
      <c r="I8002">
        <v>0.97399999999999998</v>
      </c>
      <c r="J8002">
        <v>0.98</v>
      </c>
      <c r="K8002">
        <v>0.80500000000000005</v>
      </c>
      <c r="L8002">
        <v>0.15</v>
      </c>
      <c r="M8002">
        <v>0.82599999999999996</v>
      </c>
      <c r="N8002">
        <v>0.26</v>
      </c>
    </row>
    <row r="8003" spans="1:14" x14ac:dyDescent="0.25">
      <c r="A8003" t="s">
        <v>14199</v>
      </c>
      <c r="B8003" t="s">
        <v>3617</v>
      </c>
      <c r="C8003" s="1" t="str">
        <f>HYPERLINK("http://www.genecards.org/cgi-bin/carddisp.pl?gene=SFPQ","GeneCards")</f>
        <v>GeneCards</v>
      </c>
      <c r="D8003" s="1" t="str">
        <f>HYPERLINK("http://genome-euro.ucsc.edu/cgi-bin/hgTracks?position=221768_at","UCSC")</f>
        <v>UCSC</v>
      </c>
      <c r="E8003" s="1" t="str">
        <f>HYPERLINK("http://www.ncbi.nlm.nih.gov/gene/?term=SFPQ","NCBI")</f>
        <v>NCBI</v>
      </c>
      <c r="F8003">
        <v>0.12</v>
      </c>
      <c r="G8003">
        <v>0.26</v>
      </c>
      <c r="H8003" s="1" t="str">
        <f>HYPERLINK("http://www.weizmann.ac.il/complex/compphys/software/geview/data/figures/221768_at.png","Figure")</f>
        <v>Figure</v>
      </c>
      <c r="I8003">
        <v>1.01</v>
      </c>
      <c r="J8003">
        <v>1</v>
      </c>
      <c r="K8003">
        <v>0.63800000000000001</v>
      </c>
      <c r="L8003">
        <v>0.18</v>
      </c>
      <c r="M8003">
        <v>0.63200000000000001</v>
      </c>
      <c r="N8003">
        <v>0.21</v>
      </c>
    </row>
    <row r="8004" spans="1:14" x14ac:dyDescent="0.25">
      <c r="A8004" t="s">
        <v>14200</v>
      </c>
      <c r="B8004" t="s">
        <v>8860</v>
      </c>
      <c r="C8004" s="1" t="str">
        <f>HYPERLINK("http://www.genecards.org/cgi-bin/carddisp.pl?gene=SARDH","GeneCards")</f>
        <v>GeneCards</v>
      </c>
      <c r="D8004" s="1" t="str">
        <f>HYPERLINK("http://genome-euro.ucsc.edu/cgi-bin/hgTracks?position=211322_s_at","UCSC")</f>
        <v>UCSC</v>
      </c>
      <c r="E8004" s="1" t="str">
        <f>HYPERLINK("http://www.ncbi.nlm.nih.gov/gene/?term=SARDH","NCBI")</f>
        <v>NCBI</v>
      </c>
      <c r="F8004">
        <v>0.12</v>
      </c>
      <c r="G8004">
        <v>0.26</v>
      </c>
      <c r="H8004" s="1" t="str">
        <f>HYPERLINK("http://www.weizmann.ac.il/complex/compphys/software/geview/data/figures/211322_s_at.png","Figure")</f>
        <v>Figure</v>
      </c>
      <c r="I8004">
        <v>1.19</v>
      </c>
      <c r="J8004">
        <v>0.12</v>
      </c>
      <c r="K8004">
        <v>1.1200000000000001</v>
      </c>
      <c r="L8004">
        <v>0.3</v>
      </c>
      <c r="M8004">
        <v>0.93600000000000005</v>
      </c>
      <c r="N8004">
        <v>0.67</v>
      </c>
    </row>
    <row r="8005" spans="1:14" x14ac:dyDescent="0.25">
      <c r="A8005" t="s">
        <v>14201</v>
      </c>
      <c r="B8005" t="s">
        <v>5775</v>
      </c>
      <c r="C8005" s="1" t="str">
        <f>HYPERLINK("http://www.genecards.org/cgi-bin/carddisp.pl?gene=CAMSAP1","GeneCards")</f>
        <v>GeneCards</v>
      </c>
      <c r="D8005" s="1" t="str">
        <f>HYPERLINK("http://genome-euro.ucsc.edu/cgi-bin/hgTracks?position=212711_at","UCSC")</f>
        <v>UCSC</v>
      </c>
      <c r="E8005" s="1" t="str">
        <f>HYPERLINK("http://www.ncbi.nlm.nih.gov/gene/?term=CAMSAP1","NCBI")</f>
        <v>NCBI</v>
      </c>
      <c r="F8005">
        <v>0.12</v>
      </c>
      <c r="G8005">
        <v>0.26</v>
      </c>
      <c r="H8005" s="1" t="str">
        <f>HYPERLINK("http://www.weizmann.ac.il/complex/compphys/software/geview/data/figures/212711_at.png","Figure")</f>
        <v>Figure</v>
      </c>
      <c r="I8005">
        <v>1.1299999999999999</v>
      </c>
      <c r="J8005">
        <v>0.84</v>
      </c>
      <c r="K8005">
        <v>1.49</v>
      </c>
      <c r="L8005">
        <v>0.12</v>
      </c>
      <c r="M8005">
        <v>1.32</v>
      </c>
      <c r="N8005">
        <v>0.37</v>
      </c>
    </row>
    <row r="8006" spans="1:14" x14ac:dyDescent="0.25">
      <c r="A8006" t="s">
        <v>14202</v>
      </c>
      <c r="B8006" t="s">
        <v>14203</v>
      </c>
      <c r="C8006" s="1" t="str">
        <f>HYPERLINK("http://www.genecards.org/cgi-bin/carddisp.pl?gene=HIST1H4B","GeneCards")</f>
        <v>GeneCards</v>
      </c>
      <c r="D8006" s="1" t="str">
        <f>HYPERLINK("http://genome-euro.ucsc.edu/cgi-bin/hgTracks?position=214516_at","UCSC")</f>
        <v>UCSC</v>
      </c>
      <c r="E8006" s="1" t="str">
        <f>HYPERLINK("http://www.ncbi.nlm.nih.gov/gene/?term=HIST1H4B","NCBI")</f>
        <v>NCBI</v>
      </c>
      <c r="F8006">
        <v>0.12</v>
      </c>
      <c r="G8006">
        <v>0.26</v>
      </c>
      <c r="H8006" s="1" t="str">
        <f>HYPERLINK("http://www.weizmann.ac.il/complex/compphys/software/geview/data/figures/214516_at.png","Figure")</f>
        <v>Figure</v>
      </c>
      <c r="I8006">
        <v>1.07</v>
      </c>
      <c r="J8006">
        <v>0.66</v>
      </c>
      <c r="K8006">
        <v>1.1599999999999999</v>
      </c>
      <c r="L8006">
        <v>0.11</v>
      </c>
      <c r="M8006">
        <v>1.08</v>
      </c>
      <c r="N8006">
        <v>0.52</v>
      </c>
    </row>
    <row r="8007" spans="1:14" x14ac:dyDescent="0.25">
      <c r="A8007" t="s">
        <v>14204</v>
      </c>
      <c r="B8007" t="s">
        <v>14205</v>
      </c>
      <c r="C8007" s="1" t="str">
        <f>HYPERLINK("http://www.genecards.org/cgi-bin/carddisp.pl?gene=ICA1","GeneCards")</f>
        <v>GeneCards</v>
      </c>
      <c r="D8007" s="1" t="str">
        <f>HYPERLINK("http://genome-euro.ucsc.edu/cgi-bin/hgTracks?position=204002_s_at","UCSC")</f>
        <v>UCSC</v>
      </c>
      <c r="E8007" s="1" t="str">
        <f>HYPERLINK("http://www.ncbi.nlm.nih.gov/gene/?term=ICA1","NCBI")</f>
        <v>NCBI</v>
      </c>
      <c r="F8007">
        <v>0.12</v>
      </c>
      <c r="G8007">
        <v>0.26</v>
      </c>
      <c r="H8007" s="1" t="str">
        <f>HYPERLINK("http://www.weizmann.ac.il/complex/compphys/software/geview/data/figures/204002_s_at.png","Figure")</f>
        <v>Figure</v>
      </c>
      <c r="I8007">
        <v>1</v>
      </c>
      <c r="J8007">
        <v>0.99</v>
      </c>
      <c r="K8007">
        <v>0.98299999999999998</v>
      </c>
      <c r="L8007">
        <v>0.19</v>
      </c>
      <c r="M8007">
        <v>0.98099999999999998</v>
      </c>
      <c r="N8007">
        <v>0.19</v>
      </c>
    </row>
    <row r="8008" spans="1:14" x14ac:dyDescent="0.25">
      <c r="A8008" t="s">
        <v>14206</v>
      </c>
      <c r="B8008" t="s">
        <v>2826</v>
      </c>
      <c r="C8008" s="1" t="str">
        <f>HYPERLINK("http://www.genecards.org/cgi-bin/carddisp.pl?gene=LOC100291670","GeneCards")</f>
        <v>GeneCards</v>
      </c>
      <c r="D8008" s="1" t="str">
        <f>HYPERLINK("http://genome-euro.ucsc.edu/cgi-bin/hgTracks?position=214072_x_at","UCSC")</f>
        <v>UCSC</v>
      </c>
      <c r="E8008" s="1" t="str">
        <f>HYPERLINK("http://www.ncbi.nlm.nih.gov/gene/?term=LOC100291670","NCBI")</f>
        <v>NCBI</v>
      </c>
      <c r="F8008">
        <v>0.12</v>
      </c>
      <c r="G8008">
        <v>0.26</v>
      </c>
      <c r="H8008" s="1" t="str">
        <f>HYPERLINK("http://www.weizmann.ac.il/complex/compphys/software/geview/data/figures/214072_x_at.png","Figure")</f>
        <v>Figure</v>
      </c>
      <c r="I8008">
        <v>1.1399999999999999</v>
      </c>
      <c r="J8008">
        <v>0.12</v>
      </c>
      <c r="K8008">
        <v>1.0900000000000001</v>
      </c>
      <c r="L8008">
        <v>0.26</v>
      </c>
      <c r="M8008">
        <v>0.95699999999999996</v>
      </c>
      <c r="N8008">
        <v>0.74</v>
      </c>
    </row>
    <row r="8009" spans="1:14" x14ac:dyDescent="0.25">
      <c r="A8009" t="s">
        <v>14207</v>
      </c>
      <c r="B8009" t="s">
        <v>14208</v>
      </c>
      <c r="C8009" s="1" t="str">
        <f>HYPERLINK("http://www.genecards.org/cgi-bin/carddisp.pl?gene=RRBP1","GeneCards")</f>
        <v>GeneCards</v>
      </c>
      <c r="D8009" s="1" t="str">
        <f>HYPERLINK("http://genome-euro.ucsc.edu/cgi-bin/hgTracks?position=201204_s_at","UCSC")</f>
        <v>UCSC</v>
      </c>
      <c r="E8009" s="1" t="str">
        <f>HYPERLINK("http://www.ncbi.nlm.nih.gov/gene/?term=RRBP1","NCBI")</f>
        <v>NCBI</v>
      </c>
      <c r="F8009">
        <v>0.12</v>
      </c>
      <c r="G8009">
        <v>0.26</v>
      </c>
      <c r="H8009" s="1" t="str">
        <f>HYPERLINK("http://www.weizmann.ac.il/complex/compphys/software/geview/data/figures/201204_s_at.png","Figure")</f>
        <v>Figure</v>
      </c>
      <c r="I8009">
        <v>0.82899999999999996</v>
      </c>
      <c r="J8009">
        <v>0.47</v>
      </c>
      <c r="K8009">
        <v>1.1499999999999999</v>
      </c>
      <c r="L8009">
        <v>0.59</v>
      </c>
      <c r="M8009">
        <v>1.38</v>
      </c>
      <c r="N8009">
        <v>0.1</v>
      </c>
    </row>
    <row r="8010" spans="1:14" x14ac:dyDescent="0.25">
      <c r="A8010" t="s">
        <v>14209</v>
      </c>
      <c r="B8010" t="s">
        <v>14210</v>
      </c>
      <c r="C8010" s="1" t="str">
        <f>HYPERLINK("http://www.genecards.org/cgi-bin/carddisp.pl?gene=BLVRA","GeneCards")</f>
        <v>GeneCards</v>
      </c>
      <c r="D8010" s="1" t="str">
        <f>HYPERLINK("http://genome-euro.ucsc.edu/cgi-bin/hgTracks?position=203773_x_at","UCSC")</f>
        <v>UCSC</v>
      </c>
      <c r="E8010" s="1" t="str">
        <f>HYPERLINK("http://www.ncbi.nlm.nih.gov/gene/?term=BLVRA","NCBI")</f>
        <v>NCBI</v>
      </c>
      <c r="F8010">
        <v>0.12</v>
      </c>
      <c r="G8010">
        <v>0.26</v>
      </c>
      <c r="H8010" s="1" t="str">
        <f>HYPERLINK("http://www.weizmann.ac.il/complex/compphys/software/geview/data/figures/203773_x_at.png","Figure")</f>
        <v>Figure</v>
      </c>
      <c r="I8010">
        <v>1.31</v>
      </c>
      <c r="J8010">
        <v>0.13</v>
      </c>
      <c r="K8010">
        <v>1.21</v>
      </c>
      <c r="L8010">
        <v>0.25</v>
      </c>
      <c r="M8010">
        <v>0.92</v>
      </c>
      <c r="N8010">
        <v>0.78</v>
      </c>
    </row>
    <row r="8011" spans="1:14" x14ac:dyDescent="0.25">
      <c r="A8011" t="s">
        <v>14211</v>
      </c>
      <c r="B8011" t="s">
        <v>7524</v>
      </c>
      <c r="C8011" s="1" t="str">
        <f>HYPERLINK("http://www.genecards.org/cgi-bin/carddisp.pl?gene=PRPF40A","GeneCards")</f>
        <v>GeneCards</v>
      </c>
      <c r="D8011" s="1" t="str">
        <f>HYPERLINK("http://genome-euro.ucsc.edu/cgi-bin/hgTracks?position=218053_at","UCSC")</f>
        <v>UCSC</v>
      </c>
      <c r="E8011" s="1" t="str">
        <f>HYPERLINK("http://www.ncbi.nlm.nih.gov/gene/?term=PRPF40A","NCBI")</f>
        <v>NCBI</v>
      </c>
      <c r="F8011">
        <v>0.12</v>
      </c>
      <c r="G8011">
        <v>0.26</v>
      </c>
      <c r="H8011" s="1" t="str">
        <f>HYPERLINK("http://www.weizmann.ac.il/complex/compphys/software/geview/data/figures/218053_at.png","Figure")</f>
        <v>Figure</v>
      </c>
      <c r="I8011">
        <v>1.1399999999999999</v>
      </c>
      <c r="J8011">
        <v>0.76</v>
      </c>
      <c r="K8011">
        <v>0.79</v>
      </c>
      <c r="L8011">
        <v>0.35</v>
      </c>
      <c r="M8011">
        <v>0.69099999999999995</v>
      </c>
      <c r="N8011">
        <v>0.12</v>
      </c>
    </row>
    <row r="8012" spans="1:14" x14ac:dyDescent="0.25">
      <c r="A8012" t="s">
        <v>14212</v>
      </c>
      <c r="B8012" t="s">
        <v>14213</v>
      </c>
      <c r="C8012" s="1" t="str">
        <f>HYPERLINK("http://www.genecards.org/cgi-bin/carddisp.pl?gene=KRR1","GeneCards")</f>
        <v>GeneCards</v>
      </c>
      <c r="D8012" s="1" t="str">
        <f>HYPERLINK("http://genome-euro.ucsc.edu/cgi-bin/hgTracks?position=203203_s_at","UCSC")</f>
        <v>UCSC</v>
      </c>
      <c r="E8012" s="1" t="str">
        <f>HYPERLINK("http://www.ncbi.nlm.nih.gov/gene/?term=KRR1","NCBI")</f>
        <v>NCBI</v>
      </c>
      <c r="F8012">
        <v>0.12</v>
      </c>
      <c r="G8012">
        <v>0.26</v>
      </c>
      <c r="H8012" s="1" t="str">
        <f>HYPERLINK("http://www.weizmann.ac.il/complex/compphys/software/geview/data/figures/203203_s_at.png","Figure")</f>
        <v>Figure</v>
      </c>
      <c r="I8012">
        <v>0.76900000000000002</v>
      </c>
      <c r="J8012">
        <v>0.31</v>
      </c>
      <c r="K8012">
        <v>0.72399999999999998</v>
      </c>
      <c r="L8012">
        <v>0.11</v>
      </c>
      <c r="M8012">
        <v>0.94099999999999995</v>
      </c>
      <c r="N8012">
        <v>0.92</v>
      </c>
    </row>
    <row r="8013" spans="1:14" x14ac:dyDescent="0.25">
      <c r="A8013" t="s">
        <v>14214</v>
      </c>
      <c r="B8013" t="s">
        <v>4417</v>
      </c>
      <c r="C8013" s="1" t="str">
        <f>HYPERLINK("http://www.genecards.org/cgi-bin/carddisp.pl?gene=ETV1","GeneCards")</f>
        <v>GeneCards</v>
      </c>
      <c r="D8013" s="1" t="str">
        <f>HYPERLINK("http://genome-euro.ucsc.edu/cgi-bin/hgTracks?position=217061_s_at","UCSC")</f>
        <v>UCSC</v>
      </c>
      <c r="E8013" s="1" t="str">
        <f>HYPERLINK("http://www.ncbi.nlm.nih.gov/gene/?term=ETV1","NCBI")</f>
        <v>NCBI</v>
      </c>
      <c r="F8013">
        <v>0.12</v>
      </c>
      <c r="G8013">
        <v>0.26</v>
      </c>
      <c r="H8013" s="1" t="str">
        <f>HYPERLINK("http://www.weizmann.ac.il/complex/compphys/software/geview/data/figures/217061_s_at.png","Figure")</f>
        <v>Figure</v>
      </c>
      <c r="I8013">
        <v>1.25</v>
      </c>
      <c r="J8013">
        <v>0.19</v>
      </c>
      <c r="K8013">
        <v>0.98799999999999999</v>
      </c>
      <c r="L8013">
        <v>0.99</v>
      </c>
      <c r="M8013">
        <v>0.79200000000000004</v>
      </c>
      <c r="N8013">
        <v>0.13</v>
      </c>
    </row>
    <row r="8014" spans="1:14" x14ac:dyDescent="0.25">
      <c r="A8014" t="s">
        <v>14215</v>
      </c>
      <c r="B8014" t="s">
        <v>14216</v>
      </c>
      <c r="C8014" s="1" t="str">
        <f>HYPERLINK("http://www.genecards.org/cgi-bin/carddisp.pl?gene=GAGE1 /// GAGE12F /// GAGE12G /// GAGE12I /// GAGE12J /// GAGE4 /// GAGE5 /// GAGE6 /// GAGE7","GeneCards")</f>
        <v>GeneCards</v>
      </c>
      <c r="D8014" s="1" t="str">
        <f>HYPERLINK("http://genome-euro.ucsc.edu/cgi-bin/hgTracks?position=208155_x_at","UCSC")</f>
        <v>UCSC</v>
      </c>
      <c r="E8014" s="1" t="str">
        <f>HYPERLINK("http://www.ncbi.nlm.nih.gov/gene/?term=GAGE1 /// GAGE12F /// GAGE12G /// GAGE12I /// GAGE12J /// GAGE4 /// GAGE5 /// GAGE6 /// GAGE7","NCBI")</f>
        <v>NCBI</v>
      </c>
      <c r="F8014">
        <v>0.12</v>
      </c>
      <c r="G8014">
        <v>0.26</v>
      </c>
      <c r="H8014" s="1" t="str">
        <f>HYPERLINK("http://www.weizmann.ac.il/complex/compphys/software/geview/data/figures/208155_x_at.png","Figure")</f>
        <v>Figure</v>
      </c>
      <c r="I8014">
        <v>1.1100000000000001</v>
      </c>
      <c r="J8014">
        <v>0.28999999999999998</v>
      </c>
      <c r="K8014">
        <v>0.97</v>
      </c>
      <c r="L8014">
        <v>0.85</v>
      </c>
      <c r="M8014">
        <v>0.877</v>
      </c>
      <c r="N8014">
        <v>0.11</v>
      </c>
    </row>
    <row r="8015" spans="1:14" x14ac:dyDescent="0.25">
      <c r="A8015" t="s">
        <v>14217</v>
      </c>
      <c r="B8015" t="s">
        <v>14218</v>
      </c>
      <c r="C8015" s="1" t="str">
        <f>HYPERLINK("http://www.genecards.org/cgi-bin/carddisp.pl?gene=RETSAT","GeneCards")</f>
        <v>GeneCards</v>
      </c>
      <c r="D8015" s="1" t="str">
        <f>HYPERLINK("http://genome-euro.ucsc.edu/cgi-bin/hgTracks?position=218124_at","UCSC")</f>
        <v>UCSC</v>
      </c>
      <c r="E8015" s="1" t="str">
        <f>HYPERLINK("http://www.ncbi.nlm.nih.gov/gene/?term=RETSAT","NCBI")</f>
        <v>NCBI</v>
      </c>
      <c r="F8015">
        <v>0.12</v>
      </c>
      <c r="G8015">
        <v>0.26</v>
      </c>
      <c r="H8015" s="1" t="str">
        <f>HYPERLINK("http://www.weizmann.ac.il/complex/compphys/software/geview/data/figures/218124_at.png","Figure")</f>
        <v>Figure</v>
      </c>
      <c r="I8015">
        <v>0.82699999999999996</v>
      </c>
      <c r="J8015">
        <v>0.31</v>
      </c>
      <c r="K8015">
        <v>1.07</v>
      </c>
      <c r="L8015">
        <v>0.81</v>
      </c>
      <c r="M8015">
        <v>1.29</v>
      </c>
      <c r="N8015">
        <v>0.11</v>
      </c>
    </row>
    <row r="8016" spans="1:14" x14ac:dyDescent="0.25">
      <c r="A8016" t="s">
        <v>14219</v>
      </c>
      <c r="B8016" t="s">
        <v>14220</v>
      </c>
      <c r="C8016" s="1" t="str">
        <f>HYPERLINK("http://www.genecards.org/cgi-bin/carddisp.pl?gene=EPX","GeneCards")</f>
        <v>GeneCards</v>
      </c>
      <c r="D8016" s="1" t="str">
        <f>HYPERLINK("http://genome-euro.ucsc.edu/cgi-bin/hgTracks?position=214627_at","UCSC")</f>
        <v>UCSC</v>
      </c>
      <c r="E8016" s="1" t="str">
        <f>HYPERLINK("http://www.ncbi.nlm.nih.gov/gene/?term=EPX","NCBI")</f>
        <v>NCBI</v>
      </c>
      <c r="F8016">
        <v>0.12</v>
      </c>
      <c r="G8016">
        <v>0.26</v>
      </c>
      <c r="H8016" s="1" t="str">
        <f>HYPERLINK("http://www.weizmann.ac.il/complex/compphys/software/geview/data/figures/214627_at.png","Figure")</f>
        <v>Figure</v>
      </c>
      <c r="I8016">
        <v>1.23</v>
      </c>
      <c r="J8016">
        <v>0.11</v>
      </c>
      <c r="K8016">
        <v>1.08</v>
      </c>
      <c r="L8016">
        <v>0.61</v>
      </c>
      <c r="M8016">
        <v>0.878</v>
      </c>
      <c r="N8016">
        <v>0.34</v>
      </c>
    </row>
    <row r="8017" spans="1:14" x14ac:dyDescent="0.25">
      <c r="A8017" t="s">
        <v>14221</v>
      </c>
      <c r="B8017" t="s">
        <v>14222</v>
      </c>
      <c r="C8017" s="1" t="str">
        <f>HYPERLINK("http://www.genecards.org/cgi-bin/carddisp.pl?gene=NPM3","GeneCards")</f>
        <v>GeneCards</v>
      </c>
      <c r="D8017" s="1" t="str">
        <f>HYPERLINK("http://genome-euro.ucsc.edu/cgi-bin/hgTracks?position=205129_at","UCSC")</f>
        <v>UCSC</v>
      </c>
      <c r="E8017" s="1" t="str">
        <f>HYPERLINK("http://www.ncbi.nlm.nih.gov/gene/?term=NPM3","NCBI")</f>
        <v>NCBI</v>
      </c>
      <c r="F8017">
        <v>0.12</v>
      </c>
      <c r="G8017">
        <v>0.26</v>
      </c>
      <c r="H8017" s="1" t="str">
        <f>HYPERLINK("http://www.weizmann.ac.il/complex/compphys/software/geview/data/figures/205129_at.png","Figure")</f>
        <v>Figure</v>
      </c>
      <c r="I8017">
        <v>1.07</v>
      </c>
      <c r="J8017">
        <v>0.7</v>
      </c>
      <c r="K8017">
        <v>1.17</v>
      </c>
      <c r="L8017">
        <v>0.11</v>
      </c>
      <c r="M8017">
        <v>1.1000000000000001</v>
      </c>
      <c r="N8017">
        <v>0.49</v>
      </c>
    </row>
    <row r="8018" spans="1:14" x14ac:dyDescent="0.25">
      <c r="A8018" t="s">
        <v>14223</v>
      </c>
      <c r="B8018" t="s">
        <v>14224</v>
      </c>
      <c r="C8018" s="1" t="str">
        <f>HYPERLINK("http://www.genecards.org/cgi-bin/carddisp.pl?gene=NRD1","GeneCards")</f>
        <v>GeneCards</v>
      </c>
      <c r="D8018" s="1" t="str">
        <f>HYPERLINK("http://genome-euro.ucsc.edu/cgi-bin/hgTracks?position=208709_s_at","UCSC")</f>
        <v>UCSC</v>
      </c>
      <c r="E8018" s="1" t="str">
        <f>HYPERLINK("http://www.ncbi.nlm.nih.gov/gene/?term=NRD1","NCBI")</f>
        <v>NCBI</v>
      </c>
      <c r="F8018">
        <v>0.12</v>
      </c>
      <c r="G8018">
        <v>0.26</v>
      </c>
      <c r="H8018" s="1" t="str">
        <f>HYPERLINK("http://www.weizmann.ac.il/complex/compphys/software/geview/data/figures/208709_s_at.png","Figure")</f>
        <v>Figure</v>
      </c>
      <c r="I8018">
        <v>1.18</v>
      </c>
      <c r="J8018">
        <v>0.63</v>
      </c>
      <c r="K8018">
        <v>1.41</v>
      </c>
      <c r="L8018">
        <v>0.11</v>
      </c>
      <c r="M8018">
        <v>1.2</v>
      </c>
      <c r="N8018">
        <v>0.55000000000000004</v>
      </c>
    </row>
    <row r="8019" spans="1:14" x14ac:dyDescent="0.25">
      <c r="A8019" t="s">
        <v>14225</v>
      </c>
      <c r="B8019" t="s">
        <v>12780</v>
      </c>
      <c r="C8019" s="1" t="str">
        <f>HYPERLINK("http://www.genecards.org/cgi-bin/carddisp.pl?gene=RPL13","GeneCards")</f>
        <v>GeneCards</v>
      </c>
      <c r="D8019" s="1" t="str">
        <f>HYPERLINK("http://genome-euro.ucsc.edu/cgi-bin/hgTracks?position=214351_x_at","UCSC")</f>
        <v>UCSC</v>
      </c>
      <c r="E8019" s="1" t="str">
        <f>HYPERLINK("http://www.ncbi.nlm.nih.gov/gene/?term=RPL13","NCBI")</f>
        <v>NCBI</v>
      </c>
      <c r="F8019">
        <v>0.12</v>
      </c>
      <c r="G8019">
        <v>0.26</v>
      </c>
      <c r="H8019" s="1" t="str">
        <f>HYPERLINK("http://www.weizmann.ac.il/complex/compphys/software/geview/data/figures/214351_x_at.png","Figure")</f>
        <v>Figure</v>
      </c>
      <c r="I8019">
        <v>1.06</v>
      </c>
      <c r="J8019">
        <v>0.93</v>
      </c>
      <c r="K8019">
        <v>1.37</v>
      </c>
      <c r="L8019">
        <v>0.13</v>
      </c>
      <c r="M8019">
        <v>1.28</v>
      </c>
      <c r="N8019">
        <v>0.3</v>
      </c>
    </row>
    <row r="8020" spans="1:14" x14ac:dyDescent="0.25">
      <c r="A8020" t="s">
        <v>14226</v>
      </c>
      <c r="B8020" t="s">
        <v>14227</v>
      </c>
      <c r="C8020" s="1" t="str">
        <f>HYPERLINK("http://www.genecards.org/cgi-bin/carddisp.pl?gene=CDKN2AIP","GeneCards")</f>
        <v>GeneCards</v>
      </c>
      <c r="D8020" s="1" t="str">
        <f>HYPERLINK("http://genome-euro.ucsc.edu/cgi-bin/hgTracks?position=218929_at","UCSC")</f>
        <v>UCSC</v>
      </c>
      <c r="E8020" s="1" t="str">
        <f>HYPERLINK("http://www.ncbi.nlm.nih.gov/gene/?term=CDKN2AIP","NCBI")</f>
        <v>NCBI</v>
      </c>
      <c r="F8020">
        <v>0.12</v>
      </c>
      <c r="G8020">
        <v>0.26</v>
      </c>
      <c r="H8020" s="1" t="str">
        <f>HYPERLINK("http://www.weizmann.ac.il/complex/compphys/software/geview/data/figures/218929_at.png","Figure")</f>
        <v>Figure</v>
      </c>
      <c r="I8020">
        <v>1.08</v>
      </c>
      <c r="J8020">
        <v>0.9</v>
      </c>
      <c r="K8020">
        <v>0.77400000000000002</v>
      </c>
      <c r="L8020">
        <v>0.26</v>
      </c>
      <c r="M8020">
        <v>0.71399999999999997</v>
      </c>
      <c r="N8020">
        <v>0.15</v>
      </c>
    </row>
    <row r="8021" spans="1:14" x14ac:dyDescent="0.25">
      <c r="A8021" t="s">
        <v>14228</v>
      </c>
      <c r="B8021" t="s">
        <v>14229</v>
      </c>
      <c r="C8021" s="1" t="str">
        <f>HYPERLINK("http://www.genecards.org/cgi-bin/carddisp.pl?gene=DUS2L","GeneCards")</f>
        <v>GeneCards</v>
      </c>
      <c r="D8021" s="1" t="str">
        <f>HYPERLINK("http://genome-euro.ucsc.edu/cgi-bin/hgTracks?position=219486_at","UCSC")</f>
        <v>UCSC</v>
      </c>
      <c r="E8021" s="1" t="str">
        <f>HYPERLINK("http://www.ncbi.nlm.nih.gov/gene/?term=DUS2L","NCBI")</f>
        <v>NCBI</v>
      </c>
      <c r="F8021">
        <v>0.12</v>
      </c>
      <c r="G8021">
        <v>0.26</v>
      </c>
      <c r="H8021" s="1" t="str">
        <f>HYPERLINK("http://www.weizmann.ac.il/complex/compphys/software/geview/data/figures/219486_at.png","Figure")</f>
        <v>Figure</v>
      </c>
      <c r="I8021">
        <v>1.35</v>
      </c>
      <c r="J8021">
        <v>0.1</v>
      </c>
      <c r="K8021">
        <v>1.1299999999999999</v>
      </c>
      <c r="L8021">
        <v>0.57999999999999996</v>
      </c>
      <c r="M8021">
        <v>0.83399999999999996</v>
      </c>
      <c r="N8021">
        <v>0.36</v>
      </c>
    </row>
    <row r="8022" spans="1:14" x14ac:dyDescent="0.25">
      <c r="A8022" t="s">
        <v>14230</v>
      </c>
      <c r="B8022" t="s">
        <v>14231</v>
      </c>
      <c r="C8022" s="1" t="str">
        <f>HYPERLINK("http://www.genecards.org/cgi-bin/carddisp.pl?gene=HIST1H1E","GeneCards")</f>
        <v>GeneCards</v>
      </c>
      <c r="D8022" s="1" t="str">
        <f>HYPERLINK("http://genome-euro.ucsc.edu/cgi-bin/hgTracks?position=208553_at","UCSC")</f>
        <v>UCSC</v>
      </c>
      <c r="E8022" s="1" t="str">
        <f>HYPERLINK("http://www.ncbi.nlm.nih.gov/gene/?term=HIST1H1E","NCBI")</f>
        <v>NCBI</v>
      </c>
      <c r="F8022">
        <v>0.12</v>
      </c>
      <c r="G8022">
        <v>0.26</v>
      </c>
      <c r="H8022" s="1" t="str">
        <f>HYPERLINK("http://www.weizmann.ac.il/complex/compphys/software/geview/data/figures/208553_at.png","Figure")</f>
        <v>Figure</v>
      </c>
      <c r="I8022">
        <v>1.67</v>
      </c>
      <c r="J8022">
        <v>0.25</v>
      </c>
      <c r="K8022">
        <v>1.75</v>
      </c>
      <c r="L8022">
        <v>0.13</v>
      </c>
      <c r="M8022">
        <v>1.05</v>
      </c>
      <c r="N8022">
        <v>0.98</v>
      </c>
    </row>
    <row r="8023" spans="1:14" x14ac:dyDescent="0.25">
      <c r="A8023" t="s">
        <v>14232</v>
      </c>
      <c r="B8023" t="s">
        <v>14233</v>
      </c>
      <c r="C8023" s="1" t="str">
        <f>HYPERLINK("http://www.genecards.org/cgi-bin/carddisp.pl?gene=STYXL1","GeneCards")</f>
        <v>GeneCards</v>
      </c>
      <c r="D8023" s="1" t="str">
        <f>HYPERLINK("http://genome-euro.ucsc.edu/cgi-bin/hgTracks?position=218321_x_at","UCSC")</f>
        <v>UCSC</v>
      </c>
      <c r="E8023" s="1" t="str">
        <f>HYPERLINK("http://www.ncbi.nlm.nih.gov/gene/?term=STYXL1","NCBI")</f>
        <v>NCBI</v>
      </c>
      <c r="F8023">
        <v>0.12</v>
      </c>
      <c r="G8023">
        <v>0.26</v>
      </c>
      <c r="H8023" s="1" t="str">
        <f>HYPERLINK("http://www.weizmann.ac.il/complex/compphys/software/geview/data/figures/218321_x_at.png","Figure")</f>
        <v>Figure</v>
      </c>
      <c r="I8023">
        <v>1.3</v>
      </c>
      <c r="J8023">
        <v>0.16</v>
      </c>
      <c r="K8023">
        <v>1.25</v>
      </c>
      <c r="L8023">
        <v>0.18</v>
      </c>
      <c r="M8023">
        <v>0.96199999999999997</v>
      </c>
      <c r="N8023">
        <v>0.95</v>
      </c>
    </row>
    <row r="8024" spans="1:14" x14ac:dyDescent="0.25">
      <c r="A8024" t="s">
        <v>14234</v>
      </c>
      <c r="B8024" t="s">
        <v>14235</v>
      </c>
      <c r="C8024" s="1" t="str">
        <f>HYPERLINK("http://www.genecards.org/cgi-bin/carddisp.pl?gene=ALS2CL","GeneCards")</f>
        <v>GeneCards</v>
      </c>
      <c r="D8024" s="1" t="str">
        <f>HYPERLINK("http://genome-euro.ucsc.edu/cgi-bin/hgTracks?position=222333_at","UCSC")</f>
        <v>UCSC</v>
      </c>
      <c r="E8024" s="1" t="str">
        <f>HYPERLINK("http://www.ncbi.nlm.nih.gov/gene/?term=ALS2CL","NCBI")</f>
        <v>NCBI</v>
      </c>
      <c r="F8024">
        <v>0.12</v>
      </c>
      <c r="G8024">
        <v>0.26</v>
      </c>
      <c r="H8024" s="1" t="str">
        <f>HYPERLINK("http://www.weizmann.ac.il/complex/compphys/software/geview/data/figures/222333_at.png","Figure")</f>
        <v>Figure</v>
      </c>
      <c r="I8024">
        <v>1.36</v>
      </c>
      <c r="J8024">
        <v>0.11</v>
      </c>
      <c r="K8024">
        <v>1.19</v>
      </c>
      <c r="L8024">
        <v>0.36</v>
      </c>
      <c r="M8024">
        <v>0.873</v>
      </c>
      <c r="N8024">
        <v>0.56999999999999995</v>
      </c>
    </row>
    <row r="8025" spans="1:14" x14ac:dyDescent="0.25">
      <c r="A8025" t="s">
        <v>14236</v>
      </c>
      <c r="B8025" t="s">
        <v>4507</v>
      </c>
      <c r="C8025" s="1" t="str">
        <f>HYPERLINK("http://www.genecards.org/cgi-bin/carddisp.pl?gene=WSB1","GeneCards")</f>
        <v>GeneCards</v>
      </c>
      <c r="D8025" s="1" t="str">
        <f>HYPERLINK("http://genome-euro.ucsc.edu/cgi-bin/hgTracks?position=201294_s_at","UCSC")</f>
        <v>UCSC</v>
      </c>
      <c r="E8025" s="1" t="str">
        <f>HYPERLINK("http://www.ncbi.nlm.nih.gov/gene/?term=WSB1","NCBI")</f>
        <v>NCBI</v>
      </c>
      <c r="F8025">
        <v>0.12</v>
      </c>
      <c r="G8025">
        <v>0.26</v>
      </c>
      <c r="H8025" s="1" t="str">
        <f>HYPERLINK("http://www.weizmann.ac.il/complex/compphys/software/geview/data/figures/201294_s_at.png","Figure")</f>
        <v>Figure</v>
      </c>
      <c r="I8025">
        <v>0.63600000000000001</v>
      </c>
      <c r="J8025">
        <v>0.46</v>
      </c>
      <c r="K8025">
        <v>0.48799999999999999</v>
      </c>
      <c r="L8025">
        <v>0.1</v>
      </c>
      <c r="M8025">
        <v>0.76800000000000002</v>
      </c>
      <c r="N8025">
        <v>0.73</v>
      </c>
    </row>
    <row r="8026" spans="1:14" x14ac:dyDescent="0.25">
      <c r="A8026" t="s">
        <v>14237</v>
      </c>
      <c r="B8026" t="s">
        <v>4205</v>
      </c>
      <c r="C8026" s="1" t="str">
        <f>HYPERLINK("http://www.genecards.org/cgi-bin/carddisp.pl?gene=MCAM","GeneCards")</f>
        <v>GeneCards</v>
      </c>
      <c r="D8026" s="1" t="str">
        <f>HYPERLINK("http://genome-euro.ucsc.edu/cgi-bin/hgTracks?position=209086_x_at","UCSC")</f>
        <v>UCSC</v>
      </c>
      <c r="E8026" s="1" t="str">
        <f>HYPERLINK("http://www.ncbi.nlm.nih.gov/gene/?term=MCAM","NCBI")</f>
        <v>NCBI</v>
      </c>
      <c r="F8026">
        <v>0.12</v>
      </c>
      <c r="G8026">
        <v>0.26</v>
      </c>
      <c r="H8026" s="1" t="str">
        <f>HYPERLINK("http://www.weizmann.ac.il/complex/compphys/software/geview/data/figures/209086_x_at.png","Figure")</f>
        <v>Figure</v>
      </c>
      <c r="I8026">
        <v>1.18</v>
      </c>
      <c r="J8026">
        <v>0.11</v>
      </c>
      <c r="K8026">
        <v>1.06</v>
      </c>
      <c r="L8026">
        <v>0.63</v>
      </c>
      <c r="M8026">
        <v>0.90300000000000002</v>
      </c>
      <c r="N8026">
        <v>0.33</v>
      </c>
    </row>
    <row r="8027" spans="1:14" x14ac:dyDescent="0.25">
      <c r="A8027" t="s">
        <v>14238</v>
      </c>
      <c r="B8027" t="s">
        <v>14239</v>
      </c>
      <c r="C8027" s="1" t="str">
        <f>HYPERLINK("http://www.genecards.org/cgi-bin/carddisp.pl?gene=VEGFA","GeneCards")</f>
        <v>GeneCards</v>
      </c>
      <c r="D8027" s="1" t="str">
        <f>HYPERLINK("http://genome-euro.ucsc.edu/cgi-bin/hgTracks?position=210513_s_at","UCSC")</f>
        <v>UCSC</v>
      </c>
      <c r="E8027" s="1" t="str">
        <f>HYPERLINK("http://www.ncbi.nlm.nih.gov/gene/?term=VEGFA","NCBI")</f>
        <v>NCBI</v>
      </c>
      <c r="F8027">
        <v>0.12</v>
      </c>
      <c r="G8027">
        <v>0.26</v>
      </c>
      <c r="H8027" s="1" t="str">
        <f>HYPERLINK("http://www.weizmann.ac.il/complex/compphys/software/geview/data/figures/210513_s_at.png","Figure")</f>
        <v>Figure</v>
      </c>
      <c r="I8027">
        <v>1.19</v>
      </c>
      <c r="J8027">
        <v>0.11</v>
      </c>
      <c r="K8027">
        <v>1.1000000000000001</v>
      </c>
      <c r="L8027">
        <v>0.39</v>
      </c>
      <c r="M8027">
        <v>0.92100000000000004</v>
      </c>
      <c r="N8027">
        <v>0.53</v>
      </c>
    </row>
    <row r="8028" spans="1:14" x14ac:dyDescent="0.25">
      <c r="A8028" t="s">
        <v>14240</v>
      </c>
      <c r="B8028" t="s">
        <v>14241</v>
      </c>
      <c r="C8028" s="1" t="str">
        <f>HYPERLINK("http://www.genecards.org/cgi-bin/carddisp.pl?gene=PCDH1","GeneCards")</f>
        <v>GeneCards</v>
      </c>
      <c r="D8028" s="1" t="str">
        <f>HYPERLINK("http://genome-euro.ucsc.edu/cgi-bin/hgTracks?position=203918_at","UCSC")</f>
        <v>UCSC</v>
      </c>
      <c r="E8028" s="1" t="str">
        <f>HYPERLINK("http://www.ncbi.nlm.nih.gov/gene/?term=PCDH1","NCBI")</f>
        <v>NCBI</v>
      </c>
      <c r="F8028">
        <v>0.12</v>
      </c>
      <c r="G8028">
        <v>0.26</v>
      </c>
      <c r="H8028" s="1" t="str">
        <f>HYPERLINK("http://www.weizmann.ac.il/complex/compphys/software/geview/data/figures/203918_at.png","Figure")</f>
        <v>Figure</v>
      </c>
      <c r="I8028">
        <v>1.17</v>
      </c>
      <c r="J8028">
        <v>0.12</v>
      </c>
      <c r="K8028">
        <v>1.04</v>
      </c>
      <c r="L8028">
        <v>0.8</v>
      </c>
      <c r="M8028">
        <v>0.89300000000000002</v>
      </c>
      <c r="N8028">
        <v>0.24</v>
      </c>
    </row>
    <row r="8029" spans="1:14" x14ac:dyDescent="0.25">
      <c r="A8029" t="s">
        <v>14242</v>
      </c>
      <c r="B8029" t="s">
        <v>11835</v>
      </c>
      <c r="C8029" s="1" t="str">
        <f>HYPERLINK("http://www.genecards.org/cgi-bin/carddisp.pl?gene=PLCB1","GeneCards")</f>
        <v>GeneCards</v>
      </c>
      <c r="D8029" s="1" t="str">
        <f>HYPERLINK("http://genome-euro.ucsc.edu/cgi-bin/hgTracks?position=215687_x_at","UCSC")</f>
        <v>UCSC</v>
      </c>
      <c r="E8029" s="1" t="str">
        <f>HYPERLINK("http://www.ncbi.nlm.nih.gov/gene/?term=PLCB1","NCBI")</f>
        <v>NCBI</v>
      </c>
      <c r="F8029">
        <v>0.12</v>
      </c>
      <c r="G8029">
        <v>0.26</v>
      </c>
      <c r="H8029" s="1" t="str">
        <f>HYPERLINK("http://www.weizmann.ac.il/complex/compphys/software/geview/data/figures/215687_x_at.png","Figure")</f>
        <v>Figure</v>
      </c>
      <c r="I8029">
        <v>1.18</v>
      </c>
      <c r="J8029">
        <v>0.11</v>
      </c>
      <c r="K8029">
        <v>1.05</v>
      </c>
      <c r="L8029">
        <v>0.72</v>
      </c>
      <c r="M8029">
        <v>0.89</v>
      </c>
      <c r="N8029">
        <v>0.28000000000000003</v>
      </c>
    </row>
    <row r="8030" spans="1:14" x14ac:dyDescent="0.25">
      <c r="A8030" t="s">
        <v>14243</v>
      </c>
      <c r="B8030" t="s">
        <v>9690</v>
      </c>
      <c r="C8030" s="1" t="str">
        <f>HYPERLINK("http://www.genecards.org/cgi-bin/carddisp.pl?gene=PMS2L1","GeneCards")</f>
        <v>GeneCards</v>
      </c>
      <c r="D8030" s="1" t="str">
        <f>HYPERLINK("http://genome-euro.ucsc.edu/cgi-bin/hgTracks?position=217485_x_at","UCSC")</f>
        <v>UCSC</v>
      </c>
      <c r="E8030" s="1" t="str">
        <f>HYPERLINK("http://www.ncbi.nlm.nih.gov/gene/?term=PMS2L1","NCBI")</f>
        <v>NCBI</v>
      </c>
      <c r="F8030">
        <v>0.12</v>
      </c>
      <c r="G8030">
        <v>0.26</v>
      </c>
      <c r="H8030" s="1" t="str">
        <f>HYPERLINK("http://www.weizmann.ac.il/complex/compphys/software/geview/data/figures/217485_x_at.png","Figure")</f>
        <v>Figure</v>
      </c>
      <c r="I8030">
        <v>1.39</v>
      </c>
      <c r="J8030">
        <v>0.11</v>
      </c>
      <c r="K8030">
        <v>1.1200000000000001</v>
      </c>
      <c r="L8030">
        <v>0.66</v>
      </c>
      <c r="M8030">
        <v>0.80600000000000005</v>
      </c>
      <c r="N8030">
        <v>0.31</v>
      </c>
    </row>
    <row r="8031" spans="1:14" x14ac:dyDescent="0.25">
      <c r="A8031" t="s">
        <v>14244</v>
      </c>
      <c r="B8031" t="s">
        <v>14245</v>
      </c>
      <c r="C8031" s="1" t="str">
        <f>HYPERLINK("http://www.genecards.org/cgi-bin/carddisp.pl?gene=NUP160","GeneCards")</f>
        <v>GeneCards</v>
      </c>
      <c r="D8031" s="1" t="str">
        <f>HYPERLINK("http://genome-euro.ucsc.edu/cgi-bin/hgTracks?position=214963_at","UCSC")</f>
        <v>UCSC</v>
      </c>
      <c r="E8031" s="1" t="str">
        <f>HYPERLINK("http://www.ncbi.nlm.nih.gov/gene/?term=NUP160","NCBI")</f>
        <v>NCBI</v>
      </c>
      <c r="F8031">
        <v>0.12</v>
      </c>
      <c r="G8031">
        <v>0.26</v>
      </c>
      <c r="H8031" s="1" t="str">
        <f>HYPERLINK("http://www.weizmann.ac.il/complex/compphys/software/geview/data/figures/214963_at.png","Figure")</f>
        <v>Figure</v>
      </c>
      <c r="I8031">
        <v>1.05</v>
      </c>
      <c r="J8031">
        <v>0.96</v>
      </c>
      <c r="K8031">
        <v>0.76</v>
      </c>
      <c r="L8031">
        <v>0.22</v>
      </c>
      <c r="M8031">
        <v>0.72599999999999998</v>
      </c>
      <c r="N8031">
        <v>0.17</v>
      </c>
    </row>
    <row r="8032" spans="1:14" x14ac:dyDescent="0.25">
      <c r="A8032" t="s">
        <v>14246</v>
      </c>
      <c r="B8032" t="s">
        <v>11114</v>
      </c>
      <c r="C8032" s="1" t="str">
        <f>HYPERLINK("http://www.genecards.org/cgi-bin/carddisp.pl?gene=POLRMT","GeneCards")</f>
        <v>GeneCards</v>
      </c>
      <c r="D8032" s="1" t="str">
        <f>HYPERLINK("http://genome-euro.ucsc.edu/cgi-bin/hgTracks?position=203782_s_at","UCSC")</f>
        <v>UCSC</v>
      </c>
      <c r="E8032" s="1" t="str">
        <f>HYPERLINK("http://www.ncbi.nlm.nih.gov/gene/?term=POLRMT","NCBI")</f>
        <v>NCBI</v>
      </c>
      <c r="F8032">
        <v>0.12</v>
      </c>
      <c r="G8032">
        <v>0.26</v>
      </c>
      <c r="H8032" s="1" t="str">
        <f>HYPERLINK("http://www.weizmann.ac.il/complex/compphys/software/geview/data/figures/203782_s_at.png","Figure")</f>
        <v>Figure</v>
      </c>
      <c r="I8032">
        <v>0.72899999999999998</v>
      </c>
      <c r="J8032">
        <v>0.4</v>
      </c>
      <c r="K8032">
        <v>1.19</v>
      </c>
      <c r="L8032">
        <v>0.69</v>
      </c>
      <c r="M8032">
        <v>1.63</v>
      </c>
      <c r="N8032">
        <v>0.1</v>
      </c>
    </row>
    <row r="8033" spans="1:14" x14ac:dyDescent="0.25">
      <c r="A8033" t="s">
        <v>14247</v>
      </c>
      <c r="B8033" t="s">
        <v>14248</v>
      </c>
      <c r="C8033" s="1" t="str">
        <f>HYPERLINK("http://www.genecards.org/cgi-bin/carddisp.pl?gene=PHACTR1","GeneCards")</f>
        <v>GeneCards</v>
      </c>
      <c r="D8033" s="1" t="str">
        <f>HYPERLINK("http://genome-euro.ucsc.edu/cgi-bin/hgTracks?position=213638_at","UCSC")</f>
        <v>UCSC</v>
      </c>
      <c r="E8033" s="1" t="str">
        <f>HYPERLINK("http://www.ncbi.nlm.nih.gov/gene/?term=PHACTR1","NCBI")</f>
        <v>NCBI</v>
      </c>
      <c r="F8033">
        <v>0.12</v>
      </c>
      <c r="G8033">
        <v>0.26</v>
      </c>
      <c r="H8033" s="1" t="str">
        <f>HYPERLINK("http://www.weizmann.ac.il/complex/compphys/software/geview/data/figures/213638_at.png","Figure")</f>
        <v>Figure</v>
      </c>
      <c r="I8033">
        <v>1.59</v>
      </c>
      <c r="J8033">
        <v>0.19</v>
      </c>
      <c r="K8033">
        <v>1.54</v>
      </c>
      <c r="L8033">
        <v>0.15</v>
      </c>
      <c r="M8033">
        <v>0.96699999999999997</v>
      </c>
      <c r="N8033">
        <v>0.99</v>
      </c>
    </row>
    <row r="8034" spans="1:14" x14ac:dyDescent="0.25">
      <c r="A8034" t="s">
        <v>14249</v>
      </c>
      <c r="B8034" t="s">
        <v>4067</v>
      </c>
      <c r="C8034" s="1" t="str">
        <f>HYPERLINK("http://www.genecards.org/cgi-bin/carddisp.pl?gene=MUC5AC","GeneCards")</f>
        <v>GeneCards</v>
      </c>
      <c r="D8034" s="1" t="str">
        <f>HYPERLINK("http://genome-euro.ucsc.edu/cgi-bin/hgTracks?position=217182_at","UCSC")</f>
        <v>UCSC</v>
      </c>
      <c r="E8034" s="1" t="str">
        <f>HYPERLINK("http://www.ncbi.nlm.nih.gov/gene/?term=MUC5AC","NCBI")</f>
        <v>NCBI</v>
      </c>
      <c r="F8034">
        <v>0.12</v>
      </c>
      <c r="G8034">
        <v>0.26</v>
      </c>
      <c r="H8034" s="1" t="str">
        <f>HYPERLINK("http://www.weizmann.ac.il/complex/compphys/software/geview/data/figures/217182_at.png","Figure")</f>
        <v>Figure</v>
      </c>
      <c r="I8034">
        <v>1.1499999999999999</v>
      </c>
      <c r="J8034">
        <v>0.17</v>
      </c>
      <c r="K8034">
        <v>1</v>
      </c>
      <c r="L8034">
        <v>1</v>
      </c>
      <c r="M8034">
        <v>0.86699999999999999</v>
      </c>
      <c r="N8034">
        <v>0.14000000000000001</v>
      </c>
    </row>
    <row r="8035" spans="1:14" x14ac:dyDescent="0.25">
      <c r="A8035" t="s">
        <v>14250</v>
      </c>
      <c r="B8035" t="s">
        <v>12633</v>
      </c>
      <c r="C8035" s="1" t="str">
        <f>HYPERLINK("http://www.genecards.org/cgi-bin/carddisp.pl?gene=SIDT2","GeneCards")</f>
        <v>GeneCards</v>
      </c>
      <c r="D8035" s="1" t="str">
        <f>HYPERLINK("http://genome-euro.ucsc.edu/cgi-bin/hgTracks?position=218765_at","UCSC")</f>
        <v>UCSC</v>
      </c>
      <c r="E8035" s="1" t="str">
        <f>HYPERLINK("http://www.ncbi.nlm.nih.gov/gene/?term=SIDT2","NCBI")</f>
        <v>NCBI</v>
      </c>
      <c r="F8035">
        <v>0.12</v>
      </c>
      <c r="G8035">
        <v>0.26</v>
      </c>
      <c r="H8035" s="1" t="str">
        <f>HYPERLINK("http://www.weizmann.ac.il/complex/compphys/software/geview/data/figures/218765_at.png","Figure")</f>
        <v>Figure</v>
      </c>
      <c r="I8035">
        <v>1.32</v>
      </c>
      <c r="J8035">
        <v>0.12</v>
      </c>
      <c r="K8035">
        <v>1.19</v>
      </c>
      <c r="L8035">
        <v>0.28999999999999998</v>
      </c>
      <c r="M8035">
        <v>0.90500000000000003</v>
      </c>
      <c r="N8035">
        <v>0.69</v>
      </c>
    </row>
    <row r="8036" spans="1:14" x14ac:dyDescent="0.25">
      <c r="A8036" t="s">
        <v>14251</v>
      </c>
      <c r="B8036" t="s">
        <v>14252</v>
      </c>
      <c r="C8036" s="1" t="str">
        <f>HYPERLINK("http://www.genecards.org/cgi-bin/carddisp.pl?gene=WNT5B","GeneCards")</f>
        <v>GeneCards</v>
      </c>
      <c r="D8036" s="1" t="str">
        <f>HYPERLINK("http://genome-euro.ucsc.edu/cgi-bin/hgTracks?position=221029_s_at","UCSC")</f>
        <v>UCSC</v>
      </c>
      <c r="E8036" s="1" t="str">
        <f>HYPERLINK("http://www.ncbi.nlm.nih.gov/gene/?term=WNT5B","NCBI")</f>
        <v>NCBI</v>
      </c>
      <c r="F8036">
        <v>0.12</v>
      </c>
      <c r="G8036">
        <v>0.26</v>
      </c>
      <c r="H8036" s="1" t="str">
        <f>HYPERLINK("http://www.weizmann.ac.il/complex/compphys/software/geview/data/figures/221029_s_at.png","Figure")</f>
        <v>Figure</v>
      </c>
      <c r="I8036">
        <v>1.1499999999999999</v>
      </c>
      <c r="J8036">
        <v>0.11</v>
      </c>
      <c r="K8036">
        <v>1.08</v>
      </c>
      <c r="L8036">
        <v>0.35</v>
      </c>
      <c r="M8036">
        <v>0.94399999999999995</v>
      </c>
      <c r="N8036">
        <v>0.6</v>
      </c>
    </row>
    <row r="8037" spans="1:14" x14ac:dyDescent="0.25">
      <c r="A8037" t="s">
        <v>14253</v>
      </c>
      <c r="B8037" t="s">
        <v>14254</v>
      </c>
      <c r="C8037" s="1" t="str">
        <f>HYPERLINK("http://www.genecards.org/cgi-bin/carddisp.pl?gene=LOC388796","GeneCards")</f>
        <v>GeneCards</v>
      </c>
      <c r="D8037" s="1" t="str">
        <f>HYPERLINK("http://genome-euro.ucsc.edu/cgi-bin/hgTracks?position=65588_at","UCSC")</f>
        <v>UCSC</v>
      </c>
      <c r="E8037" s="1" t="str">
        <f>HYPERLINK("http://www.ncbi.nlm.nih.gov/gene/?term=LOC388796","NCBI")</f>
        <v>NCBI</v>
      </c>
      <c r="F8037">
        <v>0.12</v>
      </c>
      <c r="G8037">
        <v>0.26</v>
      </c>
      <c r="H8037" s="1" t="str">
        <f>HYPERLINK("http://www.weizmann.ac.il/complex/compphys/software/geview/data/figures/65588_at.png","Figure")</f>
        <v>Figure</v>
      </c>
      <c r="I8037">
        <v>0.996</v>
      </c>
      <c r="J8037">
        <v>1</v>
      </c>
      <c r="K8037">
        <v>0.78400000000000003</v>
      </c>
      <c r="L8037">
        <v>0.17</v>
      </c>
      <c r="M8037">
        <v>0.78700000000000003</v>
      </c>
      <c r="N8037">
        <v>0.22</v>
      </c>
    </row>
    <row r="8038" spans="1:14" x14ac:dyDescent="0.25">
      <c r="A8038" t="s">
        <v>14255</v>
      </c>
      <c r="B8038" t="s">
        <v>14256</v>
      </c>
      <c r="C8038" s="1" t="str">
        <f>HYPERLINK("http://www.genecards.org/cgi-bin/carddisp.pl?gene=SERPINB13","GeneCards")</f>
        <v>GeneCards</v>
      </c>
      <c r="D8038" s="1" t="str">
        <f>HYPERLINK("http://genome-euro.ucsc.edu/cgi-bin/hgTracks?position=217272_s_at","UCSC")</f>
        <v>UCSC</v>
      </c>
      <c r="E8038" s="1" t="str">
        <f>HYPERLINK("http://www.ncbi.nlm.nih.gov/gene/?term=SERPINB13","NCBI")</f>
        <v>NCBI</v>
      </c>
      <c r="F8038">
        <v>0.12</v>
      </c>
      <c r="G8038">
        <v>0.26</v>
      </c>
      <c r="H8038" s="1" t="str">
        <f>HYPERLINK("http://www.weizmann.ac.il/complex/compphys/software/geview/data/figures/217272_s_at.png","Figure")</f>
        <v>Figure</v>
      </c>
      <c r="I8038">
        <v>1</v>
      </c>
      <c r="J8038">
        <v>0.99</v>
      </c>
      <c r="K8038">
        <v>0.97699999999999998</v>
      </c>
      <c r="L8038">
        <v>0.19</v>
      </c>
      <c r="M8038">
        <v>0.97599999999999998</v>
      </c>
      <c r="N8038">
        <v>0.2</v>
      </c>
    </row>
    <row r="8039" spans="1:14" x14ac:dyDescent="0.25">
      <c r="A8039" t="s">
        <v>14257</v>
      </c>
      <c r="B8039" t="s">
        <v>14258</v>
      </c>
      <c r="C8039" s="1" t="str">
        <f>HYPERLINK("http://www.genecards.org/cgi-bin/carddisp.pl?gene=ARD1B","GeneCards")</f>
        <v>GeneCards</v>
      </c>
      <c r="D8039" s="1" t="str">
        <f>HYPERLINK("http://genome-euro.ucsc.edu/cgi-bin/hgTracks?position=210603_at","UCSC")</f>
        <v>UCSC</v>
      </c>
      <c r="E8039" s="1" t="str">
        <f>HYPERLINK("http://www.ncbi.nlm.nih.gov/gene/?term=ARD1B","NCBI")</f>
        <v>NCBI</v>
      </c>
      <c r="F8039">
        <v>0.12</v>
      </c>
      <c r="G8039">
        <v>0.26</v>
      </c>
      <c r="H8039" s="1" t="str">
        <f>HYPERLINK("http://www.weizmann.ac.il/complex/compphys/software/geview/data/figures/210603_at.png","Figure")</f>
        <v>Figure</v>
      </c>
      <c r="I8039">
        <v>1.04</v>
      </c>
      <c r="J8039">
        <v>0.79</v>
      </c>
      <c r="K8039">
        <v>0.93500000000000005</v>
      </c>
      <c r="L8039">
        <v>0.33</v>
      </c>
      <c r="M8039">
        <v>0.90300000000000002</v>
      </c>
      <c r="N8039">
        <v>0.13</v>
      </c>
    </row>
    <row r="8040" spans="1:14" x14ac:dyDescent="0.25">
      <c r="A8040" t="s">
        <v>14259</v>
      </c>
      <c r="B8040" t="s">
        <v>14260</v>
      </c>
      <c r="C8040" s="1" t="str">
        <f>HYPERLINK("http://www.genecards.org/cgi-bin/carddisp.pl?gene=TRPV6","GeneCards")</f>
        <v>GeneCards</v>
      </c>
      <c r="D8040" s="1" t="str">
        <f>HYPERLINK("http://genome-euro.ucsc.edu/cgi-bin/hgTracks?position=206827_s_at","UCSC")</f>
        <v>UCSC</v>
      </c>
      <c r="E8040" s="1" t="str">
        <f>HYPERLINK("http://www.ncbi.nlm.nih.gov/gene/?term=TRPV6","NCBI")</f>
        <v>NCBI</v>
      </c>
      <c r="F8040">
        <v>0.12</v>
      </c>
      <c r="G8040">
        <v>0.26</v>
      </c>
      <c r="H8040" s="1" t="str">
        <f>HYPERLINK("http://www.weizmann.ac.il/complex/compphys/software/geview/data/figures/206827_s_at.png","Figure")</f>
        <v>Figure</v>
      </c>
      <c r="I8040">
        <v>1.28</v>
      </c>
      <c r="J8040">
        <v>0.13</v>
      </c>
      <c r="K8040">
        <v>1.04</v>
      </c>
      <c r="L8040">
        <v>0.91</v>
      </c>
      <c r="M8040">
        <v>0.81799999999999995</v>
      </c>
      <c r="N8040">
        <v>0.19</v>
      </c>
    </row>
    <row r="8041" spans="1:14" x14ac:dyDescent="0.25">
      <c r="A8041" t="s">
        <v>14261</v>
      </c>
      <c r="B8041" t="s">
        <v>14262</v>
      </c>
      <c r="C8041" s="1" t="str">
        <f>HYPERLINK("http://www.genecards.org/cgi-bin/carddisp.pl?gene=RUNX2","GeneCards")</f>
        <v>GeneCards</v>
      </c>
      <c r="D8041" s="1" t="str">
        <f>HYPERLINK("http://genome-euro.ucsc.edu/cgi-bin/hgTracks?position=221283_at","UCSC")</f>
        <v>UCSC</v>
      </c>
      <c r="E8041" s="1" t="str">
        <f>HYPERLINK("http://www.ncbi.nlm.nih.gov/gene/?term=RUNX2","NCBI")</f>
        <v>NCBI</v>
      </c>
      <c r="F8041">
        <v>0.12</v>
      </c>
      <c r="G8041">
        <v>0.26</v>
      </c>
      <c r="H8041" s="1" t="str">
        <f>HYPERLINK("http://www.weizmann.ac.il/complex/compphys/software/geview/data/figures/221283_at.png","Figure")</f>
        <v>Figure</v>
      </c>
      <c r="I8041">
        <v>1.1399999999999999</v>
      </c>
      <c r="J8041">
        <v>0.12</v>
      </c>
      <c r="K8041">
        <v>1.08</v>
      </c>
      <c r="L8041">
        <v>0.28999999999999998</v>
      </c>
      <c r="M8041">
        <v>0.95499999999999996</v>
      </c>
      <c r="N8041">
        <v>0.69</v>
      </c>
    </row>
    <row r="8042" spans="1:14" x14ac:dyDescent="0.25">
      <c r="A8042" t="s">
        <v>14263</v>
      </c>
      <c r="B8042" t="s">
        <v>2444</v>
      </c>
      <c r="C8042" s="1" t="str">
        <f>HYPERLINK("http://www.genecards.org/cgi-bin/carddisp.pl?gene=RIOK3","GeneCards")</f>
        <v>GeneCards</v>
      </c>
      <c r="D8042" s="1" t="str">
        <f>HYPERLINK("http://genome-euro.ucsc.edu/cgi-bin/hgTracks?position=215588_x_at","UCSC")</f>
        <v>UCSC</v>
      </c>
      <c r="E8042" s="1" t="str">
        <f>HYPERLINK("http://www.ncbi.nlm.nih.gov/gene/?term=RIOK3","NCBI")</f>
        <v>NCBI</v>
      </c>
      <c r="F8042">
        <v>0.12</v>
      </c>
      <c r="G8042">
        <v>0.26</v>
      </c>
      <c r="H8042" s="1" t="str">
        <f>HYPERLINK("http://www.weizmann.ac.il/complex/compphys/software/geview/data/figures/215588_x_at.png","Figure")</f>
        <v>Figure</v>
      </c>
      <c r="I8042">
        <v>1.5</v>
      </c>
      <c r="J8042">
        <v>0.27</v>
      </c>
      <c r="K8042">
        <v>0.90100000000000002</v>
      </c>
      <c r="L8042">
        <v>0.88</v>
      </c>
      <c r="M8042">
        <v>0.60199999999999998</v>
      </c>
      <c r="N8042">
        <v>0.11</v>
      </c>
    </row>
    <row r="8043" spans="1:14" x14ac:dyDescent="0.25">
      <c r="A8043" t="s">
        <v>14264</v>
      </c>
      <c r="B8043" t="s">
        <v>6140</v>
      </c>
      <c r="C8043" s="1" t="str">
        <f>HYPERLINK("http://www.genecards.org/cgi-bin/carddisp.pl?gene=MGAT3","GeneCards")</f>
        <v>GeneCards</v>
      </c>
      <c r="D8043" s="1" t="str">
        <f>HYPERLINK("http://genome-euro.ucsc.edu/cgi-bin/hgTracks?position=209764_at","UCSC")</f>
        <v>UCSC</v>
      </c>
      <c r="E8043" s="1" t="str">
        <f>HYPERLINK("http://www.ncbi.nlm.nih.gov/gene/?term=MGAT3","NCBI")</f>
        <v>NCBI</v>
      </c>
      <c r="F8043">
        <v>0.12</v>
      </c>
      <c r="G8043">
        <v>0.26</v>
      </c>
      <c r="H8043" s="1" t="str">
        <f>HYPERLINK("http://www.weizmann.ac.il/complex/compphys/software/geview/data/figures/209764_at.png","Figure")</f>
        <v>Figure</v>
      </c>
      <c r="I8043">
        <v>1.23</v>
      </c>
      <c r="J8043">
        <v>0.11</v>
      </c>
      <c r="K8043">
        <v>1.1200000000000001</v>
      </c>
      <c r="L8043">
        <v>0.38</v>
      </c>
      <c r="M8043">
        <v>0.91</v>
      </c>
      <c r="N8043">
        <v>0.56000000000000005</v>
      </c>
    </row>
    <row r="8044" spans="1:14" x14ac:dyDescent="0.25">
      <c r="A8044" t="s">
        <v>14265</v>
      </c>
      <c r="B8044" t="s">
        <v>14266</v>
      </c>
      <c r="C8044" s="1" t="str">
        <f>HYPERLINK("http://www.genecards.org/cgi-bin/carddisp.pl?gene=ITGA7","GeneCards")</f>
        <v>GeneCards</v>
      </c>
      <c r="D8044" s="1" t="str">
        <f>HYPERLINK("http://genome-euro.ucsc.edu/cgi-bin/hgTracks?position=216331_at","UCSC")</f>
        <v>UCSC</v>
      </c>
      <c r="E8044" s="1" t="str">
        <f>HYPERLINK("http://www.ncbi.nlm.nih.gov/gene/?term=ITGA7","NCBI")</f>
        <v>NCBI</v>
      </c>
      <c r="F8044">
        <v>0.12</v>
      </c>
      <c r="G8044">
        <v>0.26</v>
      </c>
      <c r="H8044" s="1" t="str">
        <f>HYPERLINK("http://www.weizmann.ac.il/complex/compphys/software/geview/data/figures/216331_at.png","Figure")</f>
        <v>Figure</v>
      </c>
      <c r="I8044">
        <v>1.18</v>
      </c>
      <c r="J8044">
        <v>0.11</v>
      </c>
      <c r="K8044">
        <v>1.1000000000000001</v>
      </c>
      <c r="L8044">
        <v>0.36</v>
      </c>
      <c r="M8044">
        <v>0.92900000000000005</v>
      </c>
      <c r="N8044">
        <v>0.56999999999999995</v>
      </c>
    </row>
    <row r="8045" spans="1:14" x14ac:dyDescent="0.25">
      <c r="A8045" t="s">
        <v>14267</v>
      </c>
      <c r="B8045" t="s">
        <v>14268</v>
      </c>
      <c r="C8045" s="1" t="str">
        <f>HYPERLINK("http://www.genecards.org/cgi-bin/carddisp.pl?gene=SOCS3","GeneCards")</f>
        <v>GeneCards</v>
      </c>
      <c r="D8045" s="1" t="str">
        <f>HYPERLINK("http://genome-euro.ucsc.edu/cgi-bin/hgTracks?position=206360_s_at","UCSC")</f>
        <v>UCSC</v>
      </c>
      <c r="E8045" s="1" t="str">
        <f>HYPERLINK("http://www.ncbi.nlm.nih.gov/gene/?term=SOCS3","NCBI")</f>
        <v>NCBI</v>
      </c>
      <c r="F8045">
        <v>0.12</v>
      </c>
      <c r="G8045">
        <v>0.26</v>
      </c>
      <c r="H8045" s="1" t="str">
        <f>HYPERLINK("http://www.weizmann.ac.il/complex/compphys/software/geview/data/figures/206360_s_at.png","Figure")</f>
        <v>Figure</v>
      </c>
      <c r="I8045">
        <v>1.0900000000000001</v>
      </c>
      <c r="J8045">
        <v>0.11</v>
      </c>
      <c r="K8045">
        <v>1.05</v>
      </c>
      <c r="L8045">
        <v>0.38</v>
      </c>
      <c r="M8045">
        <v>0.96</v>
      </c>
      <c r="N8045">
        <v>0.55000000000000004</v>
      </c>
    </row>
    <row r="8046" spans="1:14" x14ac:dyDescent="0.25">
      <c r="A8046" t="s">
        <v>14269</v>
      </c>
      <c r="B8046" t="s">
        <v>4190</v>
      </c>
      <c r="C8046" s="1" t="str">
        <f>HYPERLINK("http://www.genecards.org/cgi-bin/carddisp.pl?gene=WIPF1","GeneCards")</f>
        <v>GeneCards</v>
      </c>
      <c r="D8046" s="1" t="str">
        <f>HYPERLINK("http://genome-euro.ucsc.edu/cgi-bin/hgTracks?position=202663_at","UCSC")</f>
        <v>UCSC</v>
      </c>
      <c r="E8046" s="1" t="str">
        <f>HYPERLINK("http://www.ncbi.nlm.nih.gov/gene/?term=WIPF1","NCBI")</f>
        <v>NCBI</v>
      </c>
      <c r="F8046">
        <v>0.12</v>
      </c>
      <c r="G8046">
        <v>0.26</v>
      </c>
      <c r="H8046" s="1" t="str">
        <f>HYPERLINK("http://www.weizmann.ac.il/complex/compphys/software/geview/data/figures/202663_at.png","Figure")</f>
        <v>Figure</v>
      </c>
      <c r="I8046">
        <v>0.67700000000000005</v>
      </c>
      <c r="J8046">
        <v>0.11</v>
      </c>
      <c r="K8046">
        <v>0.83199999999999996</v>
      </c>
      <c r="L8046">
        <v>0.48</v>
      </c>
      <c r="M8046">
        <v>1.23</v>
      </c>
      <c r="N8046">
        <v>0.44</v>
      </c>
    </row>
    <row r="8047" spans="1:14" x14ac:dyDescent="0.25">
      <c r="A8047" t="s">
        <v>14270</v>
      </c>
      <c r="B8047" t="s">
        <v>14271</v>
      </c>
      <c r="C8047" s="1" t="str">
        <f>HYPERLINK("http://www.genecards.org/cgi-bin/carddisp.pl?gene=YWHAH","GeneCards")</f>
        <v>GeneCards</v>
      </c>
      <c r="D8047" s="1" t="str">
        <f>HYPERLINK("http://genome-euro.ucsc.edu/cgi-bin/hgTracks?position=201020_at","UCSC")</f>
        <v>UCSC</v>
      </c>
      <c r="E8047" s="1" t="str">
        <f>HYPERLINK("http://www.ncbi.nlm.nih.gov/gene/?term=YWHAH","NCBI")</f>
        <v>NCBI</v>
      </c>
      <c r="F8047">
        <v>0.12</v>
      </c>
      <c r="G8047">
        <v>0.26</v>
      </c>
      <c r="H8047" s="1" t="str">
        <f>HYPERLINK("http://www.weizmann.ac.il/complex/compphys/software/geview/data/figures/201020_at.png","Figure")</f>
        <v>Figure</v>
      </c>
      <c r="I8047">
        <v>0.83199999999999996</v>
      </c>
      <c r="J8047">
        <v>0.41</v>
      </c>
      <c r="K8047">
        <v>1.1100000000000001</v>
      </c>
      <c r="L8047">
        <v>0.68</v>
      </c>
      <c r="M8047">
        <v>1.33</v>
      </c>
      <c r="N8047">
        <v>0.11</v>
      </c>
    </row>
    <row r="8048" spans="1:14" x14ac:dyDescent="0.25">
      <c r="A8048" t="s">
        <v>14272</v>
      </c>
      <c r="B8048" t="s">
        <v>14273</v>
      </c>
      <c r="C8048" s="1" t="str">
        <f>HYPERLINK("http://www.genecards.org/cgi-bin/carddisp.pl?gene=HLA-DPB1","GeneCards")</f>
        <v>GeneCards</v>
      </c>
      <c r="D8048" s="1" t="str">
        <f>HYPERLINK("http://genome-euro.ucsc.edu/cgi-bin/hgTracks?position=201137_s_at","UCSC")</f>
        <v>UCSC</v>
      </c>
      <c r="E8048" s="1" t="str">
        <f>HYPERLINK("http://www.ncbi.nlm.nih.gov/gene/?term=HLA-DPB1","NCBI")</f>
        <v>NCBI</v>
      </c>
      <c r="F8048">
        <v>0.12</v>
      </c>
      <c r="G8048">
        <v>0.26</v>
      </c>
      <c r="H8048" s="1" t="str">
        <f>HYPERLINK("http://www.weizmann.ac.il/complex/compphys/software/geview/data/figures/201137_s_at.png","Figure")</f>
        <v>Figure</v>
      </c>
      <c r="I8048">
        <v>0.94399999999999995</v>
      </c>
      <c r="J8048">
        <v>0.98</v>
      </c>
      <c r="K8048">
        <v>0.57999999999999996</v>
      </c>
      <c r="L8048">
        <v>0.15</v>
      </c>
      <c r="M8048">
        <v>0.61399999999999999</v>
      </c>
      <c r="N8048">
        <v>0.25</v>
      </c>
    </row>
    <row r="8049" spans="1:14" x14ac:dyDescent="0.25">
      <c r="A8049" t="s">
        <v>14274</v>
      </c>
      <c r="B8049" t="s">
        <v>14275</v>
      </c>
      <c r="C8049" s="1" t="str">
        <f>HYPERLINK("http://www.genecards.org/cgi-bin/carddisp.pl?gene=SMCR7L","GeneCards")</f>
        <v>GeneCards</v>
      </c>
      <c r="D8049" s="1" t="str">
        <f>HYPERLINK("http://genome-euro.ucsc.edu/cgi-bin/hgTracks?position=204593_s_at","UCSC")</f>
        <v>UCSC</v>
      </c>
      <c r="E8049" s="1" t="str">
        <f>HYPERLINK("http://www.ncbi.nlm.nih.gov/gene/?term=SMCR7L","NCBI")</f>
        <v>NCBI</v>
      </c>
      <c r="F8049">
        <v>0.12</v>
      </c>
      <c r="G8049">
        <v>0.26</v>
      </c>
      <c r="H8049" s="1" t="str">
        <f>HYPERLINK("http://www.weizmann.ac.il/complex/compphys/software/geview/data/figures/204593_s_at.png","Figure")</f>
        <v>Figure</v>
      </c>
      <c r="I8049">
        <v>0.84499999999999997</v>
      </c>
      <c r="J8049">
        <v>0.66</v>
      </c>
      <c r="K8049">
        <v>0.69299999999999995</v>
      </c>
      <c r="L8049">
        <v>0.11</v>
      </c>
      <c r="M8049">
        <v>0.82</v>
      </c>
      <c r="N8049">
        <v>0.52</v>
      </c>
    </row>
    <row r="8050" spans="1:14" x14ac:dyDescent="0.25">
      <c r="A8050" t="s">
        <v>14276</v>
      </c>
      <c r="B8050" t="s">
        <v>14277</v>
      </c>
      <c r="C8050" s="1" t="str">
        <f>HYPERLINK("http://www.genecards.org/cgi-bin/carddisp.pl?gene=UBE4B","GeneCards")</f>
        <v>GeneCards</v>
      </c>
      <c r="D8050" s="1" t="str">
        <f>HYPERLINK("http://genome-euro.ucsc.edu/cgi-bin/hgTracks?position=202316_x_at","UCSC")</f>
        <v>UCSC</v>
      </c>
      <c r="E8050" s="1" t="str">
        <f>HYPERLINK("http://www.ncbi.nlm.nih.gov/gene/?term=UBE4B","NCBI")</f>
        <v>NCBI</v>
      </c>
      <c r="F8050">
        <v>0.12</v>
      </c>
      <c r="G8050">
        <v>0.26</v>
      </c>
      <c r="H8050" s="1" t="str">
        <f>HYPERLINK("http://www.weizmann.ac.il/complex/compphys/software/geview/data/figures/202316_x_at.png","Figure")</f>
        <v>Figure</v>
      </c>
      <c r="I8050">
        <v>1.08</v>
      </c>
      <c r="J8050">
        <v>0.21</v>
      </c>
      <c r="K8050">
        <v>1.08</v>
      </c>
      <c r="L8050">
        <v>0.14000000000000001</v>
      </c>
      <c r="M8050">
        <v>0.999</v>
      </c>
      <c r="N8050">
        <v>1</v>
      </c>
    </row>
    <row r="8051" spans="1:14" x14ac:dyDescent="0.25">
      <c r="A8051" t="s">
        <v>14278</v>
      </c>
      <c r="B8051" t="s">
        <v>14279</v>
      </c>
      <c r="C8051" s="1" t="str">
        <f>HYPERLINK("http://www.genecards.org/cgi-bin/carddisp.pl?gene=TCIRG1","GeneCards")</f>
        <v>GeneCards</v>
      </c>
      <c r="D8051" s="1" t="str">
        <f>HYPERLINK("http://genome-euro.ucsc.edu/cgi-bin/hgTracks?position=204158_s_at","UCSC")</f>
        <v>UCSC</v>
      </c>
      <c r="E8051" s="1" t="str">
        <f>HYPERLINK("http://www.ncbi.nlm.nih.gov/gene/?term=TCIRG1","NCBI")</f>
        <v>NCBI</v>
      </c>
      <c r="F8051">
        <v>0.12</v>
      </c>
      <c r="G8051">
        <v>0.26</v>
      </c>
      <c r="H8051" s="1" t="str">
        <f>HYPERLINK("http://www.weizmann.ac.il/complex/compphys/software/geview/data/figures/204158_s_at.png","Figure")</f>
        <v>Figure</v>
      </c>
      <c r="I8051">
        <v>1.78</v>
      </c>
      <c r="J8051">
        <v>0.13</v>
      </c>
      <c r="K8051">
        <v>1.49</v>
      </c>
      <c r="L8051">
        <v>0.25</v>
      </c>
      <c r="M8051">
        <v>0.83699999999999997</v>
      </c>
      <c r="N8051">
        <v>0.77</v>
      </c>
    </row>
    <row r="8052" spans="1:14" x14ac:dyDescent="0.25">
      <c r="A8052" t="s">
        <v>14280</v>
      </c>
      <c r="B8052" t="s">
        <v>12735</v>
      </c>
      <c r="C8052" s="1" t="str">
        <f>HYPERLINK("http://www.genecards.org/cgi-bin/carddisp.pl?gene=GTPBP4","GeneCards")</f>
        <v>GeneCards</v>
      </c>
      <c r="D8052" s="1" t="str">
        <f>HYPERLINK("http://genome-euro.ucsc.edu/cgi-bin/hgTracks?position=218238_at","UCSC")</f>
        <v>UCSC</v>
      </c>
      <c r="E8052" s="1" t="str">
        <f>HYPERLINK("http://www.ncbi.nlm.nih.gov/gene/?term=GTPBP4","NCBI")</f>
        <v>NCBI</v>
      </c>
      <c r="F8052">
        <v>0.12</v>
      </c>
      <c r="G8052">
        <v>0.26</v>
      </c>
      <c r="H8052" s="1" t="str">
        <f>HYPERLINK("http://www.weizmann.ac.il/complex/compphys/software/geview/data/figures/218238_at.png","Figure")</f>
        <v>Figure</v>
      </c>
      <c r="I8052">
        <v>0.82899999999999996</v>
      </c>
      <c r="J8052">
        <v>0.7</v>
      </c>
      <c r="K8052">
        <v>0.64300000000000002</v>
      </c>
      <c r="L8052">
        <v>0.11</v>
      </c>
      <c r="M8052">
        <v>0.77500000000000002</v>
      </c>
      <c r="N8052">
        <v>0.49</v>
      </c>
    </row>
    <row r="8053" spans="1:14" x14ac:dyDescent="0.25">
      <c r="A8053" t="s">
        <v>14281</v>
      </c>
      <c r="B8053" t="s">
        <v>11746</v>
      </c>
      <c r="C8053" s="1" t="str">
        <f>HYPERLINK("http://www.genecards.org/cgi-bin/carddisp.pl?gene=IL9R","GeneCards")</f>
        <v>GeneCards</v>
      </c>
      <c r="D8053" s="1" t="str">
        <f>HYPERLINK("http://genome-euro.ucsc.edu/cgi-bin/hgTracks?position=217212_s_at","UCSC")</f>
        <v>UCSC</v>
      </c>
      <c r="E8053" s="1" t="str">
        <f>HYPERLINK("http://www.ncbi.nlm.nih.gov/gene/?term=IL9R","NCBI")</f>
        <v>NCBI</v>
      </c>
      <c r="F8053">
        <v>0.12</v>
      </c>
      <c r="G8053">
        <v>0.26</v>
      </c>
      <c r="H8053" s="1" t="str">
        <f>HYPERLINK("http://www.weizmann.ac.il/complex/compphys/software/geview/data/figures/217212_s_at.png","Figure")</f>
        <v>Figure</v>
      </c>
      <c r="I8053">
        <v>1.02</v>
      </c>
      <c r="J8053">
        <v>0.18</v>
      </c>
      <c r="K8053">
        <v>1.02</v>
      </c>
      <c r="L8053">
        <v>0.16</v>
      </c>
      <c r="M8053">
        <v>0.998</v>
      </c>
      <c r="N8053">
        <v>0.98</v>
      </c>
    </row>
    <row r="8054" spans="1:14" x14ac:dyDescent="0.25">
      <c r="A8054" t="s">
        <v>14282</v>
      </c>
      <c r="B8054" t="s">
        <v>11196</v>
      </c>
      <c r="C8054" s="1" t="str">
        <f>HYPERLINK("http://www.genecards.org/cgi-bin/carddisp.pl?gene=RAB5C","GeneCards")</f>
        <v>GeneCards</v>
      </c>
      <c r="D8054" s="1" t="str">
        <f>HYPERLINK("http://genome-euro.ucsc.edu/cgi-bin/hgTracks?position=201156_s_at","UCSC")</f>
        <v>UCSC</v>
      </c>
      <c r="E8054" s="1" t="str">
        <f>HYPERLINK("http://www.ncbi.nlm.nih.gov/gene/?term=RAB5C","NCBI")</f>
        <v>NCBI</v>
      </c>
      <c r="F8054">
        <v>0.12</v>
      </c>
      <c r="G8054">
        <v>0.26</v>
      </c>
      <c r="H8054" s="1" t="str">
        <f>HYPERLINK("http://www.weizmann.ac.il/complex/compphys/software/geview/data/figures/201156_s_at.png","Figure")</f>
        <v>Figure</v>
      </c>
      <c r="I8054">
        <v>0.94</v>
      </c>
      <c r="J8054">
        <v>0.68</v>
      </c>
      <c r="K8054">
        <v>0.86899999999999999</v>
      </c>
      <c r="L8054">
        <v>0.11</v>
      </c>
      <c r="M8054">
        <v>0.92400000000000004</v>
      </c>
      <c r="N8054">
        <v>0.5</v>
      </c>
    </row>
    <row r="8055" spans="1:14" x14ac:dyDescent="0.25">
      <c r="A8055" t="s">
        <v>14283</v>
      </c>
      <c r="B8055" t="s">
        <v>14284</v>
      </c>
      <c r="C8055" s="1" t="str">
        <f>HYPERLINK("http://www.genecards.org/cgi-bin/carddisp.pl?gene=NUDT1","GeneCards")</f>
        <v>GeneCards</v>
      </c>
      <c r="D8055" s="1" t="str">
        <f>HYPERLINK("http://genome-euro.ucsc.edu/cgi-bin/hgTracks?position=204766_s_at","UCSC")</f>
        <v>UCSC</v>
      </c>
      <c r="E8055" s="1" t="str">
        <f>HYPERLINK("http://www.ncbi.nlm.nih.gov/gene/?term=NUDT1","NCBI")</f>
        <v>NCBI</v>
      </c>
      <c r="F8055">
        <v>0.12</v>
      </c>
      <c r="G8055">
        <v>0.26</v>
      </c>
      <c r="H8055" s="1" t="str">
        <f>HYPERLINK("http://www.weizmann.ac.il/complex/compphys/software/geview/data/figures/204766_s_at.png","Figure")</f>
        <v>Figure</v>
      </c>
      <c r="I8055">
        <v>0.87</v>
      </c>
      <c r="J8055">
        <v>0.83</v>
      </c>
      <c r="K8055">
        <v>1.38</v>
      </c>
      <c r="L8055">
        <v>0.3</v>
      </c>
      <c r="M8055">
        <v>1.59</v>
      </c>
      <c r="N8055">
        <v>0.14000000000000001</v>
      </c>
    </row>
    <row r="8056" spans="1:14" x14ac:dyDescent="0.25">
      <c r="A8056" t="s">
        <v>14285</v>
      </c>
      <c r="B8056" t="s">
        <v>14286</v>
      </c>
      <c r="C8056" s="1" t="str">
        <f>HYPERLINK("http://www.genecards.org/cgi-bin/carddisp.pl?gene=HDAC7","GeneCards")</f>
        <v>GeneCards</v>
      </c>
      <c r="D8056" s="1" t="str">
        <f>HYPERLINK("http://genome-euro.ucsc.edu/cgi-bin/hgTracks?position=217937_s_at","UCSC")</f>
        <v>UCSC</v>
      </c>
      <c r="E8056" s="1" t="str">
        <f>HYPERLINK("http://www.ncbi.nlm.nih.gov/gene/?term=HDAC7","NCBI")</f>
        <v>NCBI</v>
      </c>
      <c r="F8056">
        <v>0.12</v>
      </c>
      <c r="G8056">
        <v>0.26</v>
      </c>
      <c r="H8056" s="1" t="str">
        <f>HYPERLINK("http://www.weizmann.ac.il/complex/compphys/software/geview/data/figures/217937_s_at.png","Figure")</f>
        <v>Figure</v>
      </c>
      <c r="I8056">
        <v>1.35</v>
      </c>
      <c r="J8056">
        <v>0.14000000000000001</v>
      </c>
      <c r="K8056">
        <v>1.03</v>
      </c>
      <c r="L8056">
        <v>0.96</v>
      </c>
      <c r="M8056">
        <v>0.76800000000000002</v>
      </c>
      <c r="N8056">
        <v>0.17</v>
      </c>
    </row>
    <row r="8057" spans="1:14" x14ac:dyDescent="0.25">
      <c r="A8057" t="s">
        <v>14287</v>
      </c>
      <c r="B8057" t="s">
        <v>5019</v>
      </c>
      <c r="C8057" s="1" t="str">
        <f>HYPERLINK("http://www.genecards.org/cgi-bin/carddisp.pl?gene=ZNF395","GeneCards")</f>
        <v>GeneCards</v>
      </c>
      <c r="D8057" s="1" t="str">
        <f>HYPERLINK("http://genome-euro.ucsc.edu/cgi-bin/hgTracks?position=221123_x_at","UCSC")</f>
        <v>UCSC</v>
      </c>
      <c r="E8057" s="1" t="str">
        <f>HYPERLINK("http://www.ncbi.nlm.nih.gov/gene/?term=ZNF395","NCBI")</f>
        <v>NCBI</v>
      </c>
      <c r="F8057">
        <v>0.12</v>
      </c>
      <c r="G8057">
        <v>0.26</v>
      </c>
      <c r="H8057" s="1" t="str">
        <f>HYPERLINK("http://www.weizmann.ac.il/complex/compphys/software/geview/data/figures/221123_x_at.png","Figure")</f>
        <v>Figure</v>
      </c>
      <c r="I8057">
        <v>0.66900000000000004</v>
      </c>
      <c r="J8057">
        <v>0.23</v>
      </c>
      <c r="K8057">
        <v>0.65600000000000003</v>
      </c>
      <c r="L8057">
        <v>0.13</v>
      </c>
      <c r="M8057">
        <v>0.98</v>
      </c>
      <c r="N8057">
        <v>1</v>
      </c>
    </row>
    <row r="8058" spans="1:14" x14ac:dyDescent="0.25">
      <c r="A8058" t="s">
        <v>14288</v>
      </c>
      <c r="B8058" t="s">
        <v>10773</v>
      </c>
      <c r="C8058" s="1" t="str">
        <f>HYPERLINK("http://www.genecards.org/cgi-bin/carddisp.pl?gene=WDR55","GeneCards")</f>
        <v>GeneCards</v>
      </c>
      <c r="D8058" s="1" t="str">
        <f>HYPERLINK("http://genome-euro.ucsc.edu/cgi-bin/hgTracks?position=222114_x_at","UCSC")</f>
        <v>UCSC</v>
      </c>
      <c r="E8058" s="1" t="str">
        <f>HYPERLINK("http://www.ncbi.nlm.nih.gov/gene/?term=WDR55","NCBI")</f>
        <v>NCBI</v>
      </c>
      <c r="F8058">
        <v>0.12</v>
      </c>
      <c r="G8058">
        <v>0.26</v>
      </c>
      <c r="H8058" s="1" t="str">
        <f>HYPERLINK("http://www.weizmann.ac.il/complex/compphys/software/geview/data/figures/222114_x_at.png","Figure")</f>
        <v>Figure</v>
      </c>
      <c r="I8058">
        <v>1.1499999999999999</v>
      </c>
      <c r="J8058">
        <v>0.13</v>
      </c>
      <c r="K8058">
        <v>1.1100000000000001</v>
      </c>
      <c r="L8058">
        <v>0.23</v>
      </c>
      <c r="M8058">
        <v>0.96299999999999997</v>
      </c>
      <c r="N8058">
        <v>0.82</v>
      </c>
    </row>
    <row r="8059" spans="1:14" x14ac:dyDescent="0.25">
      <c r="A8059" t="s">
        <v>14289</v>
      </c>
      <c r="B8059" t="s">
        <v>14290</v>
      </c>
      <c r="C8059" s="1" t="str">
        <f>HYPERLINK("http://www.genecards.org/cgi-bin/carddisp.pl?gene=MSH3","GeneCards")</f>
        <v>GeneCards</v>
      </c>
      <c r="D8059" s="1" t="str">
        <f>HYPERLINK("http://genome-euro.ucsc.edu/cgi-bin/hgTracks?position=205887_x_at","UCSC")</f>
        <v>UCSC</v>
      </c>
      <c r="E8059" s="1" t="str">
        <f>HYPERLINK("http://www.ncbi.nlm.nih.gov/gene/?term=MSH3","NCBI")</f>
        <v>NCBI</v>
      </c>
      <c r="F8059">
        <v>0.12</v>
      </c>
      <c r="G8059">
        <v>0.26</v>
      </c>
      <c r="H8059" s="1" t="str">
        <f>HYPERLINK("http://www.weizmann.ac.il/complex/compphys/software/geview/data/figures/205887_x_at.png","Figure")</f>
        <v>Figure</v>
      </c>
      <c r="I8059">
        <v>1.07</v>
      </c>
      <c r="J8059">
        <v>0.18</v>
      </c>
      <c r="K8059">
        <v>1.06</v>
      </c>
      <c r="L8059">
        <v>0.16</v>
      </c>
      <c r="M8059">
        <v>0.99299999999999999</v>
      </c>
      <c r="N8059">
        <v>0.97</v>
      </c>
    </row>
    <row r="8060" spans="1:14" x14ac:dyDescent="0.25">
      <c r="A8060" t="s">
        <v>14291</v>
      </c>
      <c r="B8060" t="s">
        <v>14292</v>
      </c>
      <c r="C8060" s="1" t="str">
        <f>HYPERLINK("http://www.genecards.org/cgi-bin/carddisp.pl?gene=VPS41","GeneCards")</f>
        <v>GeneCards</v>
      </c>
      <c r="D8060" s="1" t="str">
        <f>HYPERLINK("http://genome-euro.ucsc.edu/cgi-bin/hgTracks?position=210849_s_at","UCSC")</f>
        <v>UCSC</v>
      </c>
      <c r="E8060" s="1" t="str">
        <f>HYPERLINK("http://www.ncbi.nlm.nih.gov/gene/?term=VPS41","NCBI")</f>
        <v>NCBI</v>
      </c>
      <c r="F8060">
        <v>0.12</v>
      </c>
      <c r="G8060">
        <v>0.26</v>
      </c>
      <c r="H8060" s="1" t="str">
        <f>HYPERLINK("http://www.weizmann.ac.il/complex/compphys/software/geview/data/figures/210849_s_at.png","Figure")</f>
        <v>Figure</v>
      </c>
      <c r="I8060">
        <v>1.1399999999999999</v>
      </c>
      <c r="J8060">
        <v>0.83</v>
      </c>
      <c r="K8060">
        <v>1.49</v>
      </c>
      <c r="L8060">
        <v>0.12</v>
      </c>
      <c r="M8060">
        <v>1.31</v>
      </c>
      <c r="N8060">
        <v>0.39</v>
      </c>
    </row>
    <row r="8061" spans="1:14" x14ac:dyDescent="0.25">
      <c r="A8061" t="s">
        <v>14293</v>
      </c>
      <c r="B8061" t="s">
        <v>4771</v>
      </c>
      <c r="C8061" s="1" t="str">
        <f>HYPERLINK("http://www.genecards.org/cgi-bin/carddisp.pl?gene=PSME4","GeneCards")</f>
        <v>GeneCards</v>
      </c>
      <c r="D8061" s="1" t="str">
        <f>HYPERLINK("http://genome-euro.ucsc.edu/cgi-bin/hgTracks?position=212220_at","UCSC")</f>
        <v>UCSC</v>
      </c>
      <c r="E8061" s="1" t="str">
        <f>HYPERLINK("http://www.ncbi.nlm.nih.gov/gene/?term=PSME4","NCBI")</f>
        <v>NCBI</v>
      </c>
      <c r="F8061">
        <v>0.12</v>
      </c>
      <c r="G8061">
        <v>0.26</v>
      </c>
      <c r="H8061" s="1" t="str">
        <f>HYPERLINK("http://www.weizmann.ac.il/complex/compphys/software/geview/data/figures/212220_at.png","Figure")</f>
        <v>Figure</v>
      </c>
      <c r="I8061">
        <v>1.03</v>
      </c>
      <c r="J8061">
        <v>0.99</v>
      </c>
      <c r="K8061">
        <v>0.59899999999999998</v>
      </c>
      <c r="L8061">
        <v>0.19</v>
      </c>
      <c r="M8061">
        <v>0.57999999999999996</v>
      </c>
      <c r="N8061">
        <v>0.2</v>
      </c>
    </row>
    <row r="8062" spans="1:14" x14ac:dyDescent="0.25">
      <c r="A8062" t="s">
        <v>14294</v>
      </c>
      <c r="B8062" t="s">
        <v>8587</v>
      </c>
      <c r="C8062" s="1" t="str">
        <f>HYPERLINK("http://www.genecards.org/cgi-bin/carddisp.pl?gene=AIP","GeneCards")</f>
        <v>GeneCards</v>
      </c>
      <c r="D8062" s="1" t="str">
        <f>HYPERLINK("http://genome-euro.ucsc.edu/cgi-bin/hgTracks?position=201782_s_at","UCSC")</f>
        <v>UCSC</v>
      </c>
      <c r="E8062" s="1" t="str">
        <f>HYPERLINK("http://www.ncbi.nlm.nih.gov/gene/?term=AIP","NCBI")</f>
        <v>NCBI</v>
      </c>
      <c r="F8062">
        <v>0.12</v>
      </c>
      <c r="G8062">
        <v>0.26</v>
      </c>
      <c r="H8062" s="1" t="str">
        <f>HYPERLINK("http://www.weizmann.ac.il/complex/compphys/software/geview/data/figures/201782_s_at.png","Figure")</f>
        <v>Figure</v>
      </c>
      <c r="I8062">
        <v>1.1100000000000001</v>
      </c>
      <c r="J8062">
        <v>0.79</v>
      </c>
      <c r="K8062">
        <v>1.35</v>
      </c>
      <c r="L8062">
        <v>0.12</v>
      </c>
      <c r="M8062">
        <v>1.22</v>
      </c>
      <c r="N8062">
        <v>0.42</v>
      </c>
    </row>
    <row r="8063" spans="1:14" x14ac:dyDescent="0.25">
      <c r="A8063" t="s">
        <v>14295</v>
      </c>
      <c r="B8063" t="s">
        <v>14296</v>
      </c>
      <c r="C8063" s="1" t="str">
        <f>HYPERLINK("http://www.genecards.org/cgi-bin/carddisp.pl?gene=SLC6A5","GeneCards")</f>
        <v>GeneCards</v>
      </c>
      <c r="D8063" s="1" t="str">
        <f>HYPERLINK("http://genome-euro.ucsc.edu/cgi-bin/hgTracks?position=210810_s_at","UCSC")</f>
        <v>UCSC</v>
      </c>
      <c r="E8063" s="1" t="str">
        <f>HYPERLINK("http://www.ncbi.nlm.nih.gov/gene/?term=SLC6A5","NCBI")</f>
        <v>NCBI</v>
      </c>
      <c r="F8063">
        <v>0.12</v>
      </c>
      <c r="G8063">
        <v>0.26</v>
      </c>
      <c r="H8063" s="1" t="str">
        <f>HYPERLINK("http://www.weizmann.ac.il/complex/compphys/software/geview/data/figures/210810_s_at.png","Figure")</f>
        <v>Figure</v>
      </c>
      <c r="I8063">
        <v>1.21</v>
      </c>
      <c r="J8063">
        <v>0.11</v>
      </c>
      <c r="K8063">
        <v>1.0900000000000001</v>
      </c>
      <c r="L8063">
        <v>0.53</v>
      </c>
      <c r="M8063">
        <v>0.89800000000000002</v>
      </c>
      <c r="N8063">
        <v>0.4</v>
      </c>
    </row>
    <row r="8064" spans="1:14" x14ac:dyDescent="0.25">
      <c r="A8064" t="s">
        <v>14297</v>
      </c>
      <c r="B8064" t="s">
        <v>14298</v>
      </c>
      <c r="C8064" s="1" t="str">
        <f>HYPERLINK("http://www.genecards.org/cgi-bin/carddisp.pl?gene=DGAT1","GeneCards")</f>
        <v>GeneCards</v>
      </c>
      <c r="D8064" s="1" t="str">
        <f>HYPERLINK("http://genome-euro.ucsc.edu/cgi-bin/hgTracks?position=203669_s_at","UCSC")</f>
        <v>UCSC</v>
      </c>
      <c r="E8064" s="1" t="str">
        <f>HYPERLINK("http://www.ncbi.nlm.nih.gov/gene/?term=DGAT1","NCBI")</f>
        <v>NCBI</v>
      </c>
      <c r="F8064">
        <v>0.12</v>
      </c>
      <c r="G8064">
        <v>0.26</v>
      </c>
      <c r="H8064" s="1" t="str">
        <f>HYPERLINK("http://www.weizmann.ac.il/complex/compphys/software/geview/data/figures/203669_s_at.png","Figure")</f>
        <v>Figure</v>
      </c>
      <c r="I8064">
        <v>0.68700000000000006</v>
      </c>
      <c r="J8064">
        <v>0.11</v>
      </c>
      <c r="K8064">
        <v>0.80300000000000005</v>
      </c>
      <c r="L8064">
        <v>0.34</v>
      </c>
      <c r="M8064">
        <v>1.17</v>
      </c>
      <c r="N8064">
        <v>0.61</v>
      </c>
    </row>
    <row r="8065" spans="1:14" x14ac:dyDescent="0.25">
      <c r="A8065" t="s">
        <v>14299</v>
      </c>
      <c r="B8065" t="s">
        <v>4915</v>
      </c>
      <c r="C8065" s="1" t="str">
        <f>HYPERLINK("http://www.genecards.org/cgi-bin/carddisp.pl?gene=GOLGA2","GeneCards")</f>
        <v>GeneCards</v>
      </c>
      <c r="D8065" s="1" t="str">
        <f>HYPERLINK("http://genome-euro.ucsc.edu/cgi-bin/hgTracks?position=204384_at","UCSC")</f>
        <v>UCSC</v>
      </c>
      <c r="E8065" s="1" t="str">
        <f>HYPERLINK("http://www.ncbi.nlm.nih.gov/gene/?term=GOLGA2","NCBI")</f>
        <v>NCBI</v>
      </c>
      <c r="F8065">
        <v>0.12</v>
      </c>
      <c r="G8065">
        <v>0.26</v>
      </c>
      <c r="H8065" s="1" t="str">
        <f>HYPERLINK("http://www.weizmann.ac.il/complex/compphys/software/geview/data/figures/204384_at.png","Figure")</f>
        <v>Figure</v>
      </c>
      <c r="I8065">
        <v>1.1000000000000001</v>
      </c>
      <c r="J8065">
        <v>0.81</v>
      </c>
      <c r="K8065">
        <v>0.82199999999999995</v>
      </c>
      <c r="L8065">
        <v>0.32</v>
      </c>
      <c r="M8065">
        <v>0.749</v>
      </c>
      <c r="N8065">
        <v>0.13</v>
      </c>
    </row>
    <row r="8066" spans="1:14" x14ac:dyDescent="0.25">
      <c r="A8066" t="s">
        <v>14300</v>
      </c>
      <c r="B8066" t="s">
        <v>14301</v>
      </c>
      <c r="C8066" s="1" t="str">
        <f>HYPERLINK("http://www.genecards.org/cgi-bin/carddisp.pl?gene=MGMT","GeneCards")</f>
        <v>GeneCards</v>
      </c>
      <c r="D8066" s="1" t="str">
        <f>HYPERLINK("http://genome-euro.ucsc.edu/cgi-bin/hgTracks?position=204880_at","UCSC")</f>
        <v>UCSC</v>
      </c>
      <c r="E8066" s="1" t="str">
        <f>HYPERLINK("http://www.ncbi.nlm.nih.gov/gene/?term=MGMT","NCBI")</f>
        <v>NCBI</v>
      </c>
      <c r="F8066">
        <v>0.12</v>
      </c>
      <c r="G8066">
        <v>0.26</v>
      </c>
      <c r="H8066" s="1" t="str">
        <f>HYPERLINK("http://www.weizmann.ac.il/complex/compphys/software/geview/data/figures/204880_at.png","Figure")</f>
        <v>Figure</v>
      </c>
      <c r="I8066">
        <v>0.996</v>
      </c>
      <c r="J8066">
        <v>1</v>
      </c>
      <c r="K8066">
        <v>1.3</v>
      </c>
      <c r="L8066">
        <v>0.18</v>
      </c>
      <c r="M8066">
        <v>1.31</v>
      </c>
      <c r="N8066">
        <v>0.21</v>
      </c>
    </row>
    <row r="8067" spans="1:14" x14ac:dyDescent="0.25">
      <c r="A8067" t="s">
        <v>14302</v>
      </c>
      <c r="B8067" t="s">
        <v>14122</v>
      </c>
      <c r="C8067" s="1" t="str">
        <f>HYPERLINK("http://www.genecards.org/cgi-bin/carddisp.pl?gene=NR4A3","GeneCards")</f>
        <v>GeneCards</v>
      </c>
      <c r="D8067" s="1" t="str">
        <f>HYPERLINK("http://genome-euro.ucsc.edu/cgi-bin/hgTracks?position=209959_at","UCSC")</f>
        <v>UCSC</v>
      </c>
      <c r="E8067" s="1" t="str">
        <f>HYPERLINK("http://www.ncbi.nlm.nih.gov/gene/?term=NR4A3","NCBI")</f>
        <v>NCBI</v>
      </c>
      <c r="F8067">
        <v>0.12</v>
      </c>
      <c r="G8067">
        <v>0.26</v>
      </c>
      <c r="H8067" s="1" t="str">
        <f>HYPERLINK("http://www.weizmann.ac.il/complex/compphys/software/geview/data/figures/209959_at.png","Figure")</f>
        <v>Figure</v>
      </c>
      <c r="I8067">
        <v>1.03</v>
      </c>
      <c r="J8067">
        <v>1</v>
      </c>
      <c r="K8067">
        <v>0.64</v>
      </c>
      <c r="L8067">
        <v>0.19</v>
      </c>
      <c r="M8067">
        <v>0.624</v>
      </c>
      <c r="N8067">
        <v>0.2</v>
      </c>
    </row>
    <row r="8068" spans="1:14" x14ac:dyDescent="0.25">
      <c r="A8068" t="s">
        <v>14303</v>
      </c>
      <c r="B8068" t="s">
        <v>14304</v>
      </c>
      <c r="C8068" s="1" t="str">
        <f>HYPERLINK("http://www.genecards.org/cgi-bin/carddisp.pl?gene=TANK","GeneCards")</f>
        <v>GeneCards</v>
      </c>
      <c r="D8068" s="1" t="str">
        <f>HYPERLINK("http://genome-euro.ucsc.edu/cgi-bin/hgTracks?position=207616_s_at","UCSC")</f>
        <v>UCSC</v>
      </c>
      <c r="E8068" s="1" t="str">
        <f>HYPERLINK("http://www.ncbi.nlm.nih.gov/gene/?term=TANK","NCBI")</f>
        <v>NCBI</v>
      </c>
      <c r="F8068">
        <v>0.12</v>
      </c>
      <c r="G8068">
        <v>0.26</v>
      </c>
      <c r="H8068" s="1" t="str">
        <f>HYPERLINK("http://www.weizmann.ac.il/complex/compphys/software/geview/data/figures/207616_s_at.png","Figure")</f>
        <v>Figure</v>
      </c>
      <c r="I8068">
        <v>1.33</v>
      </c>
      <c r="J8068">
        <v>0.15</v>
      </c>
      <c r="K8068">
        <v>1.03</v>
      </c>
      <c r="L8068">
        <v>0.98</v>
      </c>
      <c r="M8068">
        <v>0.77100000000000002</v>
      </c>
      <c r="N8068">
        <v>0.16</v>
      </c>
    </row>
    <row r="8069" spans="1:14" x14ac:dyDescent="0.25">
      <c r="A8069" t="s">
        <v>14305</v>
      </c>
      <c r="B8069" t="s">
        <v>13287</v>
      </c>
      <c r="C8069" s="1" t="str">
        <f>HYPERLINK("http://www.genecards.org/cgi-bin/carddisp.pl?gene=PPP3CC","GeneCards")</f>
        <v>GeneCards</v>
      </c>
      <c r="D8069" s="1" t="str">
        <f>HYPERLINK("http://genome-euro.ucsc.edu/cgi-bin/hgTracks?position=207000_s_at","UCSC")</f>
        <v>UCSC</v>
      </c>
      <c r="E8069" s="1" t="str">
        <f>HYPERLINK("http://www.ncbi.nlm.nih.gov/gene/?term=PPP3CC","NCBI")</f>
        <v>NCBI</v>
      </c>
      <c r="F8069">
        <v>0.12</v>
      </c>
      <c r="G8069">
        <v>0.26</v>
      </c>
      <c r="H8069" s="1" t="str">
        <f>HYPERLINK("http://www.weizmann.ac.il/complex/compphys/software/geview/data/figures/207000_s_at.png","Figure")</f>
        <v>Figure</v>
      </c>
      <c r="I8069">
        <v>0.68</v>
      </c>
      <c r="J8069">
        <v>0.11</v>
      </c>
      <c r="K8069">
        <v>0.81499999999999995</v>
      </c>
      <c r="L8069">
        <v>0.4</v>
      </c>
      <c r="M8069">
        <v>1.2</v>
      </c>
      <c r="N8069">
        <v>0.53</v>
      </c>
    </row>
    <row r="8070" spans="1:14" x14ac:dyDescent="0.25">
      <c r="A8070" t="s">
        <v>14306</v>
      </c>
      <c r="B8070" t="s">
        <v>13219</v>
      </c>
      <c r="C8070" s="1" t="str">
        <f>HYPERLINK("http://www.genecards.org/cgi-bin/carddisp.pl?gene=MOSPD2","GeneCards")</f>
        <v>GeneCards</v>
      </c>
      <c r="D8070" s="1" t="str">
        <f>HYPERLINK("http://genome-euro.ucsc.edu/cgi-bin/hgTracks?position=64883_at","UCSC")</f>
        <v>UCSC</v>
      </c>
      <c r="E8070" s="1" t="str">
        <f>HYPERLINK("http://www.ncbi.nlm.nih.gov/gene/?term=MOSPD2","NCBI")</f>
        <v>NCBI</v>
      </c>
      <c r="F8070">
        <v>0.12</v>
      </c>
      <c r="G8070">
        <v>0.26</v>
      </c>
      <c r="H8070" s="1" t="str">
        <f>HYPERLINK("http://www.weizmann.ac.il/complex/compphys/software/geview/data/figures/64883_at.png","Figure")</f>
        <v>Figure</v>
      </c>
      <c r="I8070">
        <v>0.81599999999999995</v>
      </c>
      <c r="J8070">
        <v>0.11</v>
      </c>
      <c r="K8070">
        <v>0.93200000000000005</v>
      </c>
      <c r="L8070">
        <v>0.67</v>
      </c>
      <c r="M8070">
        <v>1.1399999999999999</v>
      </c>
      <c r="N8070">
        <v>0.31</v>
      </c>
    </row>
    <row r="8071" spans="1:14" x14ac:dyDescent="0.25">
      <c r="A8071" t="s">
        <v>14307</v>
      </c>
      <c r="B8071" t="s">
        <v>14308</v>
      </c>
      <c r="C8071" s="1" t="str">
        <f>HYPERLINK("http://www.genecards.org/cgi-bin/carddisp.pl?gene=DLC1","GeneCards")</f>
        <v>GeneCards</v>
      </c>
      <c r="D8071" s="1" t="str">
        <f>HYPERLINK("http://genome-euro.ucsc.edu/cgi-bin/hgTracks?position=210762_s_at","UCSC")</f>
        <v>UCSC</v>
      </c>
      <c r="E8071" s="1" t="str">
        <f>HYPERLINK("http://www.ncbi.nlm.nih.gov/gene/?term=DLC1","NCBI")</f>
        <v>NCBI</v>
      </c>
      <c r="F8071">
        <v>0.12</v>
      </c>
      <c r="G8071">
        <v>0.26</v>
      </c>
      <c r="H8071" s="1" t="str">
        <f>HYPERLINK("http://www.weizmann.ac.il/complex/compphys/software/geview/data/figures/210762_s_at.png","Figure")</f>
        <v>Figure</v>
      </c>
      <c r="I8071">
        <v>1.02</v>
      </c>
      <c r="J8071">
        <v>0.98</v>
      </c>
      <c r="K8071">
        <v>0.89700000000000002</v>
      </c>
      <c r="L8071">
        <v>0.21</v>
      </c>
      <c r="M8071">
        <v>0.88300000000000001</v>
      </c>
      <c r="N8071">
        <v>0.18</v>
      </c>
    </row>
    <row r="8072" spans="1:14" x14ac:dyDescent="0.25">
      <c r="A8072" t="s">
        <v>14309</v>
      </c>
      <c r="B8072" t="s">
        <v>14310</v>
      </c>
      <c r="C8072" s="1" t="str">
        <f>HYPERLINK("http://www.genecards.org/cgi-bin/carddisp.pl?gene=ZCCHC14","GeneCards")</f>
        <v>GeneCards</v>
      </c>
      <c r="D8072" s="1" t="str">
        <f>HYPERLINK("http://genome-euro.ucsc.edu/cgi-bin/hgTracks?position=212655_at","UCSC")</f>
        <v>UCSC</v>
      </c>
      <c r="E8072" s="1" t="str">
        <f>HYPERLINK("http://www.ncbi.nlm.nih.gov/gene/?term=ZCCHC14","NCBI")</f>
        <v>NCBI</v>
      </c>
      <c r="F8072">
        <v>0.12</v>
      </c>
      <c r="G8072">
        <v>0.26</v>
      </c>
      <c r="H8072" s="1" t="str">
        <f>HYPERLINK("http://www.weizmann.ac.il/complex/compphys/software/geview/data/figures/212655_at.png","Figure")</f>
        <v>Figure</v>
      </c>
      <c r="I8072">
        <v>0.75900000000000001</v>
      </c>
      <c r="J8072">
        <v>0.68</v>
      </c>
      <c r="K8072">
        <v>0.53900000000000003</v>
      </c>
      <c r="L8072">
        <v>0.11</v>
      </c>
      <c r="M8072">
        <v>0.70899999999999996</v>
      </c>
      <c r="N8072">
        <v>0.51</v>
      </c>
    </row>
    <row r="8073" spans="1:14" x14ac:dyDescent="0.25">
      <c r="A8073" t="s">
        <v>14311</v>
      </c>
      <c r="B8073" t="s">
        <v>14312</v>
      </c>
      <c r="C8073" s="1" t="str">
        <f>HYPERLINK("http://www.genecards.org/cgi-bin/carddisp.pl?gene=TMEM93","GeneCards")</f>
        <v>GeneCards</v>
      </c>
      <c r="D8073" s="1" t="str">
        <f>HYPERLINK("http://genome-euro.ucsc.edu/cgi-bin/hgTracks?position=221255_s_at","UCSC")</f>
        <v>UCSC</v>
      </c>
      <c r="E8073" s="1" t="str">
        <f>HYPERLINK("http://www.ncbi.nlm.nih.gov/gene/?term=TMEM93","NCBI")</f>
        <v>NCBI</v>
      </c>
      <c r="F8073">
        <v>0.12</v>
      </c>
      <c r="G8073">
        <v>0.26</v>
      </c>
      <c r="H8073" s="1" t="str">
        <f>HYPERLINK("http://www.weizmann.ac.il/complex/compphys/software/geview/data/figures/221255_s_at.png","Figure")</f>
        <v>Figure</v>
      </c>
      <c r="I8073">
        <v>1.08</v>
      </c>
      <c r="J8073">
        <v>0.88</v>
      </c>
      <c r="K8073">
        <v>0.79200000000000004</v>
      </c>
      <c r="L8073">
        <v>0.27</v>
      </c>
      <c r="M8073">
        <v>0.73099999999999998</v>
      </c>
      <c r="N8073">
        <v>0.15</v>
      </c>
    </row>
    <row r="8074" spans="1:14" x14ac:dyDescent="0.25">
      <c r="A8074" t="s">
        <v>14313</v>
      </c>
      <c r="B8074" t="s">
        <v>14314</v>
      </c>
      <c r="C8074" s="1" t="str">
        <f>HYPERLINK("http://www.genecards.org/cgi-bin/carddisp.pl?gene=GFPT2","GeneCards")</f>
        <v>GeneCards</v>
      </c>
      <c r="D8074" s="1" t="str">
        <f>HYPERLINK("http://genome-euro.ucsc.edu/cgi-bin/hgTracks?position=205100_at","UCSC")</f>
        <v>UCSC</v>
      </c>
      <c r="E8074" s="1" t="str">
        <f>HYPERLINK("http://www.ncbi.nlm.nih.gov/gene/?term=GFPT2","NCBI")</f>
        <v>NCBI</v>
      </c>
      <c r="F8074">
        <v>0.12</v>
      </c>
      <c r="G8074">
        <v>0.26</v>
      </c>
      <c r="H8074" s="1" t="str">
        <f>HYPERLINK("http://www.weizmann.ac.il/complex/compphys/software/geview/data/figures/205100_at.png","Figure")</f>
        <v>Figure</v>
      </c>
      <c r="I8074">
        <v>1.08</v>
      </c>
      <c r="J8074">
        <v>0.33</v>
      </c>
      <c r="K8074">
        <v>0.97199999999999998</v>
      </c>
      <c r="L8074">
        <v>0.79</v>
      </c>
      <c r="M8074">
        <v>0.90400000000000003</v>
      </c>
      <c r="N8074">
        <v>0.11</v>
      </c>
    </row>
    <row r="8075" spans="1:14" x14ac:dyDescent="0.25">
      <c r="A8075" t="s">
        <v>14315</v>
      </c>
      <c r="B8075" t="s">
        <v>14277</v>
      </c>
      <c r="C8075" s="1" t="str">
        <f>HYPERLINK("http://www.genecards.org/cgi-bin/carddisp.pl?gene=UBE4B","GeneCards")</f>
        <v>GeneCards</v>
      </c>
      <c r="D8075" s="1" t="str">
        <f>HYPERLINK("http://genome-euro.ucsc.edu/cgi-bin/hgTracks?position=215533_s_at","UCSC")</f>
        <v>UCSC</v>
      </c>
      <c r="E8075" s="1" t="str">
        <f>HYPERLINK("http://www.ncbi.nlm.nih.gov/gene/?term=UBE4B","NCBI")</f>
        <v>NCBI</v>
      </c>
      <c r="F8075">
        <v>0.12</v>
      </c>
      <c r="G8075">
        <v>0.26</v>
      </c>
      <c r="H8075" s="1" t="str">
        <f>HYPERLINK("http://www.weizmann.ac.il/complex/compphys/software/geview/data/figures/215533_s_at.png","Figure")</f>
        <v>Figure</v>
      </c>
      <c r="I8075">
        <v>1.04</v>
      </c>
      <c r="J8075">
        <v>0.18</v>
      </c>
      <c r="K8075">
        <v>1.04</v>
      </c>
      <c r="L8075">
        <v>0.16</v>
      </c>
      <c r="M8075">
        <v>0.996</v>
      </c>
      <c r="N8075">
        <v>0.98</v>
      </c>
    </row>
    <row r="8076" spans="1:14" x14ac:dyDescent="0.25">
      <c r="A8076" t="s">
        <v>14316</v>
      </c>
      <c r="B8076" t="s">
        <v>11132</v>
      </c>
      <c r="C8076" s="1" t="str">
        <f>HYPERLINK("http://www.genecards.org/cgi-bin/carddisp.pl?gene=LMF1","GeneCards")</f>
        <v>GeneCards</v>
      </c>
      <c r="D8076" s="1" t="str">
        <f>HYPERLINK("http://genome-euro.ucsc.edu/cgi-bin/hgTracks?position=46142_at","UCSC")</f>
        <v>UCSC</v>
      </c>
      <c r="E8076" s="1" t="str">
        <f>HYPERLINK("http://www.ncbi.nlm.nih.gov/gene/?term=LMF1","NCBI")</f>
        <v>NCBI</v>
      </c>
      <c r="F8076">
        <v>0.13</v>
      </c>
      <c r="G8076">
        <v>0.26</v>
      </c>
      <c r="H8076" s="1" t="str">
        <f>HYPERLINK("http://www.weizmann.ac.il/complex/compphys/software/geview/data/figures/46142_at.png","Figure")</f>
        <v>Figure</v>
      </c>
      <c r="I8076">
        <v>1.22</v>
      </c>
      <c r="J8076">
        <v>0.19</v>
      </c>
      <c r="K8076">
        <v>1.2</v>
      </c>
      <c r="L8076">
        <v>0.16</v>
      </c>
      <c r="M8076">
        <v>0.98399999999999999</v>
      </c>
      <c r="N8076">
        <v>0.99</v>
      </c>
    </row>
    <row r="8077" spans="1:14" x14ac:dyDescent="0.25">
      <c r="A8077" t="s">
        <v>14317</v>
      </c>
      <c r="B8077" t="s">
        <v>14318</v>
      </c>
      <c r="C8077" s="1" t="str">
        <f>HYPERLINK("http://www.genecards.org/cgi-bin/carddisp.pl?gene=PPP1R10","GeneCards")</f>
        <v>GeneCards</v>
      </c>
      <c r="D8077" s="1" t="str">
        <f>HYPERLINK("http://genome-euro.ucsc.edu/cgi-bin/hgTracks?position=201703_s_at","UCSC")</f>
        <v>UCSC</v>
      </c>
      <c r="E8077" s="1" t="str">
        <f>HYPERLINK("http://www.ncbi.nlm.nih.gov/gene/?term=PPP1R10","NCBI")</f>
        <v>NCBI</v>
      </c>
      <c r="F8077">
        <v>0.13</v>
      </c>
      <c r="G8077">
        <v>0.26</v>
      </c>
      <c r="H8077" s="1" t="str">
        <f>HYPERLINK("http://www.weizmann.ac.il/complex/compphys/software/geview/data/figures/201703_s_at.png","Figure")</f>
        <v>Figure</v>
      </c>
      <c r="I8077">
        <v>1.08</v>
      </c>
      <c r="J8077">
        <v>0.82</v>
      </c>
      <c r="K8077">
        <v>1.26</v>
      </c>
      <c r="L8077">
        <v>0.12</v>
      </c>
      <c r="M8077">
        <v>1.17</v>
      </c>
      <c r="N8077">
        <v>0.4</v>
      </c>
    </row>
    <row r="8078" spans="1:14" x14ac:dyDescent="0.25">
      <c r="A8078" t="s">
        <v>14319</v>
      </c>
      <c r="B8078" t="s">
        <v>14320</v>
      </c>
      <c r="C8078" s="1" t="str">
        <f>HYPERLINK("http://www.genecards.org/cgi-bin/carddisp.pl?gene=PPP2R3C","GeneCards")</f>
        <v>GeneCards</v>
      </c>
      <c r="D8078" s="1" t="str">
        <f>HYPERLINK("http://genome-euro.ucsc.edu/cgi-bin/hgTracks?position=218852_at","UCSC")</f>
        <v>UCSC</v>
      </c>
      <c r="E8078" s="1" t="str">
        <f>HYPERLINK("http://www.ncbi.nlm.nih.gov/gene/?term=PPP2R3C","NCBI")</f>
        <v>NCBI</v>
      </c>
      <c r="F8078">
        <v>0.13</v>
      </c>
      <c r="G8078">
        <v>0.26</v>
      </c>
      <c r="H8078" s="1" t="str">
        <f>HYPERLINK("http://www.weizmann.ac.il/complex/compphys/software/geview/data/figures/218852_at.png","Figure")</f>
        <v>Figure</v>
      </c>
      <c r="I8078">
        <v>0.58299999999999996</v>
      </c>
      <c r="J8078">
        <v>0.2</v>
      </c>
      <c r="K8078">
        <v>1.03</v>
      </c>
      <c r="L8078">
        <v>0.99</v>
      </c>
      <c r="M8078">
        <v>1.77</v>
      </c>
      <c r="N8078">
        <v>0.13</v>
      </c>
    </row>
    <row r="8079" spans="1:14" x14ac:dyDescent="0.25">
      <c r="A8079" t="s">
        <v>14321</v>
      </c>
      <c r="B8079" t="s">
        <v>14322</v>
      </c>
      <c r="C8079" s="1" t="str">
        <f>HYPERLINK("http://www.genecards.org/cgi-bin/carddisp.pl?gene=NMD3","GeneCards")</f>
        <v>GeneCards</v>
      </c>
      <c r="D8079" s="1" t="str">
        <f>HYPERLINK("http://genome-euro.ucsc.edu/cgi-bin/hgTracks?position=218036_x_at","UCSC")</f>
        <v>UCSC</v>
      </c>
      <c r="E8079" s="1" t="str">
        <f>HYPERLINK("http://www.ncbi.nlm.nih.gov/gene/?term=NMD3","NCBI")</f>
        <v>NCBI</v>
      </c>
      <c r="F8079">
        <v>0.13</v>
      </c>
      <c r="G8079">
        <v>0.26</v>
      </c>
      <c r="H8079" s="1" t="str">
        <f>HYPERLINK("http://www.weizmann.ac.il/complex/compphys/software/geview/data/figures/218036_x_at.png","Figure")</f>
        <v>Figure</v>
      </c>
      <c r="I8079">
        <v>0.89600000000000002</v>
      </c>
      <c r="J8079">
        <v>0.54</v>
      </c>
      <c r="K8079">
        <v>0.82199999999999995</v>
      </c>
      <c r="L8079">
        <v>0.11</v>
      </c>
      <c r="M8079">
        <v>0.91700000000000004</v>
      </c>
      <c r="N8079">
        <v>0.64</v>
      </c>
    </row>
    <row r="8080" spans="1:14" x14ac:dyDescent="0.25">
      <c r="A8080" t="s">
        <v>14323</v>
      </c>
      <c r="B8080" t="s">
        <v>14324</v>
      </c>
      <c r="C8080" s="1" t="str">
        <f>HYPERLINK("http://www.genecards.org/cgi-bin/carddisp.pl?gene=TREML2","GeneCards")</f>
        <v>GeneCards</v>
      </c>
      <c r="D8080" s="1" t="str">
        <f>HYPERLINK("http://genome-euro.ucsc.edu/cgi-bin/hgTracks?position=219748_at","UCSC")</f>
        <v>UCSC</v>
      </c>
      <c r="E8080" s="1" t="str">
        <f>HYPERLINK("http://www.ncbi.nlm.nih.gov/gene/?term=TREML2","NCBI")</f>
        <v>NCBI</v>
      </c>
      <c r="F8080">
        <v>0.13</v>
      </c>
      <c r="G8080">
        <v>0.26</v>
      </c>
      <c r="H8080" s="1" t="str">
        <f>HYPERLINK("http://www.weizmann.ac.il/complex/compphys/software/geview/data/figures/219748_at.png","Figure")</f>
        <v>Figure</v>
      </c>
      <c r="I8080">
        <v>1.1499999999999999</v>
      </c>
      <c r="J8080">
        <v>0.32</v>
      </c>
      <c r="K8080">
        <v>1.2</v>
      </c>
      <c r="L8080">
        <v>0.12</v>
      </c>
      <c r="M8080">
        <v>1.04</v>
      </c>
      <c r="N8080">
        <v>0.91</v>
      </c>
    </row>
    <row r="8081" spans="1:14" x14ac:dyDescent="0.25">
      <c r="A8081" t="s">
        <v>14325</v>
      </c>
      <c r="B8081" t="s">
        <v>5903</v>
      </c>
      <c r="C8081" s="1" t="str">
        <f>HYPERLINK("http://www.genecards.org/cgi-bin/carddisp.pl?gene=IVD","GeneCards")</f>
        <v>GeneCards</v>
      </c>
      <c r="D8081" s="1" t="str">
        <f>HYPERLINK("http://genome-euro.ucsc.edu/cgi-bin/hgTracks?position=217251_x_at","UCSC")</f>
        <v>UCSC</v>
      </c>
      <c r="E8081" s="1" t="str">
        <f>HYPERLINK("http://www.ncbi.nlm.nih.gov/gene/?term=IVD","NCBI")</f>
        <v>NCBI</v>
      </c>
      <c r="F8081">
        <v>0.13</v>
      </c>
      <c r="G8081">
        <v>0.26</v>
      </c>
      <c r="H8081" s="1" t="str">
        <f>HYPERLINK("http://www.weizmann.ac.il/complex/compphys/software/geview/data/figures/217251_x_at.png","Figure")</f>
        <v>Figure</v>
      </c>
      <c r="I8081">
        <v>1.18</v>
      </c>
      <c r="J8081">
        <v>0.11</v>
      </c>
      <c r="K8081">
        <v>1.06</v>
      </c>
      <c r="L8081">
        <v>0.67</v>
      </c>
      <c r="M8081">
        <v>0.89900000000000002</v>
      </c>
      <c r="N8081">
        <v>0.31</v>
      </c>
    </row>
    <row r="8082" spans="1:14" x14ac:dyDescent="0.25">
      <c r="A8082" t="s">
        <v>14326</v>
      </c>
      <c r="B8082" t="s">
        <v>14327</v>
      </c>
      <c r="C8082" s="1" t="str">
        <f>HYPERLINK("http://www.genecards.org/cgi-bin/carddisp.pl?gene=TRPC4","GeneCards")</f>
        <v>GeneCards</v>
      </c>
      <c r="D8082" s="1" t="str">
        <f>HYPERLINK("http://genome-euro.ucsc.edu/cgi-bin/hgTracks?position=220818_s_at","UCSC")</f>
        <v>UCSC</v>
      </c>
      <c r="E8082" s="1" t="str">
        <f>HYPERLINK("http://www.ncbi.nlm.nih.gov/gene/?term=TRPC4","NCBI")</f>
        <v>NCBI</v>
      </c>
      <c r="F8082">
        <v>0.13</v>
      </c>
      <c r="G8082">
        <v>0.26</v>
      </c>
      <c r="H8082" s="1" t="str">
        <f>HYPERLINK("http://www.weizmann.ac.il/complex/compphys/software/geview/data/figures/220818_s_at.png","Figure")</f>
        <v>Figure</v>
      </c>
      <c r="I8082">
        <v>1.18</v>
      </c>
      <c r="J8082">
        <v>0.11</v>
      </c>
      <c r="K8082">
        <v>1.06</v>
      </c>
      <c r="L8082">
        <v>0.68</v>
      </c>
      <c r="M8082">
        <v>0.89500000000000002</v>
      </c>
      <c r="N8082">
        <v>0.3</v>
      </c>
    </row>
    <row r="8083" spans="1:14" x14ac:dyDescent="0.25">
      <c r="A8083" t="s">
        <v>14328</v>
      </c>
      <c r="B8083" t="s">
        <v>14329</v>
      </c>
      <c r="C8083" s="1" t="str">
        <f>HYPERLINK("http://www.genecards.org/cgi-bin/carddisp.pl?gene=ROBO1","GeneCards")</f>
        <v>GeneCards</v>
      </c>
      <c r="D8083" s="1" t="str">
        <f>HYPERLINK("http://genome-euro.ucsc.edu/cgi-bin/hgTracks?position=213194_at","UCSC")</f>
        <v>UCSC</v>
      </c>
      <c r="E8083" s="1" t="str">
        <f>HYPERLINK("http://www.ncbi.nlm.nih.gov/gene/?term=ROBO1","NCBI")</f>
        <v>NCBI</v>
      </c>
      <c r="F8083">
        <v>0.13</v>
      </c>
      <c r="G8083">
        <v>0.26</v>
      </c>
      <c r="H8083" s="1" t="str">
        <f>HYPERLINK("http://www.weizmann.ac.il/complex/compphys/software/geview/data/figures/213194_at.png","Figure")</f>
        <v>Figure</v>
      </c>
      <c r="I8083">
        <v>1.1000000000000001</v>
      </c>
      <c r="J8083">
        <v>0.21</v>
      </c>
      <c r="K8083">
        <v>1.1000000000000001</v>
      </c>
      <c r="L8083">
        <v>0.14000000000000001</v>
      </c>
      <c r="M8083">
        <v>1</v>
      </c>
      <c r="N8083">
        <v>1</v>
      </c>
    </row>
    <row r="8084" spans="1:14" x14ac:dyDescent="0.25">
      <c r="A8084" t="s">
        <v>14330</v>
      </c>
      <c r="B8084" t="s">
        <v>14331</v>
      </c>
      <c r="C8084" s="1" t="str">
        <f>HYPERLINK("http://www.genecards.org/cgi-bin/carddisp.pl?gene=RAB35","GeneCards")</f>
        <v>GeneCards</v>
      </c>
      <c r="D8084" s="1" t="str">
        <f>HYPERLINK("http://genome-euro.ucsc.edu/cgi-bin/hgTracks?position=221819_at","UCSC")</f>
        <v>UCSC</v>
      </c>
      <c r="E8084" s="1" t="str">
        <f>HYPERLINK("http://www.ncbi.nlm.nih.gov/gene/?term=RAB35","NCBI")</f>
        <v>NCBI</v>
      </c>
      <c r="F8084">
        <v>0.13</v>
      </c>
      <c r="G8084">
        <v>0.26</v>
      </c>
      <c r="H8084" s="1" t="str">
        <f>HYPERLINK("http://www.weizmann.ac.il/complex/compphys/software/geview/data/figures/221819_at.png","Figure")</f>
        <v>Figure</v>
      </c>
      <c r="I8084">
        <v>1.17</v>
      </c>
      <c r="J8084">
        <v>0.2</v>
      </c>
      <c r="K8084">
        <v>0.98899999999999999</v>
      </c>
      <c r="L8084">
        <v>0.99</v>
      </c>
      <c r="M8084">
        <v>0.84499999999999997</v>
      </c>
      <c r="N8084">
        <v>0.13</v>
      </c>
    </row>
    <row r="8085" spans="1:14" x14ac:dyDescent="0.25">
      <c r="A8085" t="s">
        <v>14332</v>
      </c>
      <c r="B8085" t="s">
        <v>14333</v>
      </c>
      <c r="C8085" s="1" t="str">
        <f>HYPERLINK("http://www.genecards.org/cgi-bin/carddisp.pl?gene=PABPN1","GeneCards")</f>
        <v>GeneCards</v>
      </c>
      <c r="D8085" s="1" t="str">
        <f>HYPERLINK("http://genome-euro.ucsc.edu/cgi-bin/hgTracks?position=213046_at","UCSC")</f>
        <v>UCSC</v>
      </c>
      <c r="E8085" s="1" t="str">
        <f>HYPERLINK("http://www.ncbi.nlm.nih.gov/gene/?term=PABPN1","NCBI")</f>
        <v>NCBI</v>
      </c>
      <c r="F8085">
        <v>0.13</v>
      </c>
      <c r="G8085">
        <v>0.26</v>
      </c>
      <c r="H8085" s="1" t="str">
        <f>HYPERLINK("http://www.weizmann.ac.il/complex/compphys/software/geview/data/figures/213046_at.png","Figure")</f>
        <v>Figure</v>
      </c>
      <c r="I8085">
        <v>0.82</v>
      </c>
      <c r="J8085">
        <v>0.47</v>
      </c>
      <c r="K8085">
        <v>0.72899999999999998</v>
      </c>
      <c r="L8085">
        <v>0.11</v>
      </c>
      <c r="M8085">
        <v>0.88900000000000001</v>
      </c>
      <c r="N8085">
        <v>0.73</v>
      </c>
    </row>
    <row r="8086" spans="1:14" x14ac:dyDescent="0.25">
      <c r="A8086" t="s">
        <v>14334</v>
      </c>
      <c r="B8086" t="s">
        <v>14335</v>
      </c>
      <c r="C8086" s="1" t="str">
        <f>HYPERLINK("http://www.genecards.org/cgi-bin/carddisp.pl?gene=MAT2B","GeneCards")</f>
        <v>GeneCards</v>
      </c>
      <c r="D8086" s="1" t="str">
        <f>HYPERLINK("http://genome-euro.ucsc.edu/cgi-bin/hgTracks?position=217993_s_at","UCSC")</f>
        <v>UCSC</v>
      </c>
      <c r="E8086" s="1" t="str">
        <f>HYPERLINK("http://www.ncbi.nlm.nih.gov/gene/?term=MAT2B","NCBI")</f>
        <v>NCBI</v>
      </c>
      <c r="F8086">
        <v>0.13</v>
      </c>
      <c r="G8086">
        <v>0.26</v>
      </c>
      <c r="H8086" s="1" t="str">
        <f>HYPERLINK("http://www.weizmann.ac.il/complex/compphys/software/geview/data/figures/217993_s_at.png","Figure")</f>
        <v>Figure</v>
      </c>
      <c r="I8086">
        <v>0.99299999999999999</v>
      </c>
      <c r="J8086">
        <v>1</v>
      </c>
      <c r="K8086">
        <v>1.57</v>
      </c>
      <c r="L8086">
        <v>0.18</v>
      </c>
      <c r="M8086">
        <v>1.58</v>
      </c>
      <c r="N8086">
        <v>0.21</v>
      </c>
    </row>
    <row r="8087" spans="1:14" x14ac:dyDescent="0.25">
      <c r="A8087" t="s">
        <v>14336</v>
      </c>
      <c r="B8087" t="s">
        <v>995</v>
      </c>
      <c r="C8087" s="1" t="str">
        <f>HYPERLINK("http://www.genecards.org/cgi-bin/carddisp.pl?gene=ARAP2","GeneCards")</f>
        <v>GeneCards</v>
      </c>
      <c r="D8087" s="1" t="str">
        <f>HYPERLINK("http://genome-euro.ucsc.edu/cgi-bin/hgTracks?position=214102_at","UCSC")</f>
        <v>UCSC</v>
      </c>
      <c r="E8087" s="1" t="str">
        <f>HYPERLINK("http://www.ncbi.nlm.nih.gov/gene/?term=ARAP2","NCBI")</f>
        <v>NCBI</v>
      </c>
      <c r="F8087">
        <v>0.13</v>
      </c>
      <c r="G8087">
        <v>0.26</v>
      </c>
      <c r="H8087" s="1" t="str">
        <f>HYPERLINK("http://www.weizmann.ac.il/complex/compphys/software/geview/data/figures/214102_at.png","Figure")</f>
        <v>Figure</v>
      </c>
      <c r="I8087">
        <v>0.60499999999999998</v>
      </c>
      <c r="J8087">
        <v>0.12</v>
      </c>
      <c r="K8087">
        <v>0.73899999999999999</v>
      </c>
      <c r="L8087">
        <v>0.33</v>
      </c>
      <c r="M8087">
        <v>1.22</v>
      </c>
      <c r="N8087">
        <v>0.64</v>
      </c>
    </row>
    <row r="8088" spans="1:14" x14ac:dyDescent="0.25">
      <c r="A8088" t="s">
        <v>14337</v>
      </c>
      <c r="B8088" t="s">
        <v>14338</v>
      </c>
      <c r="C8088" s="1" t="str">
        <f>HYPERLINK("http://www.genecards.org/cgi-bin/carddisp.pl?gene=RNASE3","GeneCards")</f>
        <v>GeneCards</v>
      </c>
      <c r="D8088" s="1" t="str">
        <f>HYPERLINK("http://genome-euro.ucsc.edu/cgi-bin/hgTracks?position=206851_at","UCSC")</f>
        <v>UCSC</v>
      </c>
      <c r="E8088" s="1" t="str">
        <f>HYPERLINK("http://www.ncbi.nlm.nih.gov/gene/?term=RNASE3","NCBI")</f>
        <v>NCBI</v>
      </c>
      <c r="F8088">
        <v>0.13</v>
      </c>
      <c r="G8088">
        <v>0.26</v>
      </c>
      <c r="H8088" s="1" t="str">
        <f>HYPERLINK("http://www.weizmann.ac.il/complex/compphys/software/geview/data/figures/206851_at.png","Figure")</f>
        <v>Figure</v>
      </c>
      <c r="I8088">
        <v>1.19</v>
      </c>
      <c r="J8088">
        <v>0.11</v>
      </c>
      <c r="K8088">
        <v>1.08</v>
      </c>
      <c r="L8088">
        <v>0.53</v>
      </c>
      <c r="M8088">
        <v>0.90600000000000003</v>
      </c>
      <c r="N8088">
        <v>0.4</v>
      </c>
    </row>
    <row r="8089" spans="1:14" x14ac:dyDescent="0.25">
      <c r="A8089" t="s">
        <v>14339</v>
      </c>
      <c r="B8089" t="s">
        <v>14340</v>
      </c>
      <c r="C8089" s="1" t="str">
        <f>HYPERLINK("http://www.genecards.org/cgi-bin/carddisp.pl?gene=ZNF556","GeneCards")</f>
        <v>GeneCards</v>
      </c>
      <c r="D8089" s="1" t="str">
        <f>HYPERLINK("http://genome-euro.ucsc.edu/cgi-bin/hgTracks?position=220709_at","UCSC")</f>
        <v>UCSC</v>
      </c>
      <c r="E8089" s="1" t="str">
        <f>HYPERLINK("http://www.ncbi.nlm.nih.gov/gene/?term=ZNF556","NCBI")</f>
        <v>NCBI</v>
      </c>
      <c r="F8089">
        <v>0.13</v>
      </c>
      <c r="G8089">
        <v>0.26</v>
      </c>
      <c r="H8089" s="1" t="str">
        <f>HYPERLINK("http://www.weizmann.ac.il/complex/compphys/software/geview/data/figures/220709_at.png","Figure")</f>
        <v>Figure</v>
      </c>
      <c r="I8089">
        <v>1.17</v>
      </c>
      <c r="J8089">
        <v>0.13</v>
      </c>
      <c r="K8089">
        <v>1.03</v>
      </c>
      <c r="L8089">
        <v>0.9</v>
      </c>
      <c r="M8089">
        <v>0.88200000000000001</v>
      </c>
      <c r="N8089">
        <v>0.2</v>
      </c>
    </row>
    <row r="8090" spans="1:14" x14ac:dyDescent="0.25">
      <c r="A8090" t="s">
        <v>14341</v>
      </c>
      <c r="B8090" t="s">
        <v>5566</v>
      </c>
      <c r="C8090" s="1" t="str">
        <f>HYPERLINK("http://www.genecards.org/cgi-bin/carddisp.pl?gene=HNRNPA1","GeneCards")</f>
        <v>GeneCards</v>
      </c>
      <c r="D8090" s="1" t="str">
        <f>HYPERLINK("http://genome-euro.ucsc.edu/cgi-bin/hgTracks?position=200016_x_at","UCSC")</f>
        <v>UCSC</v>
      </c>
      <c r="E8090" s="1" t="str">
        <f>HYPERLINK("http://www.ncbi.nlm.nih.gov/gene/?term=HNRNPA1","NCBI")</f>
        <v>NCBI</v>
      </c>
      <c r="F8090">
        <v>0.13</v>
      </c>
      <c r="G8090">
        <v>0.26</v>
      </c>
      <c r="H8090" s="1" t="str">
        <f>HYPERLINK("http://www.weizmann.ac.il/complex/compphys/software/geview/data/figures/200016_x_at.png","Figure")</f>
        <v>Figure</v>
      </c>
      <c r="I8090">
        <v>1.1399999999999999</v>
      </c>
      <c r="J8090">
        <v>0.34</v>
      </c>
      <c r="K8090">
        <v>0.94599999999999995</v>
      </c>
      <c r="L8090">
        <v>0.78</v>
      </c>
      <c r="M8090">
        <v>0.82599999999999996</v>
      </c>
      <c r="N8090">
        <v>0.11</v>
      </c>
    </row>
    <row r="8091" spans="1:14" x14ac:dyDescent="0.25">
      <c r="A8091" t="s">
        <v>14342</v>
      </c>
      <c r="B8091" t="s">
        <v>14343</v>
      </c>
      <c r="C8091" s="1" t="str">
        <f>HYPERLINK("http://www.genecards.org/cgi-bin/carddisp.pl?gene=TARS","GeneCards")</f>
        <v>GeneCards</v>
      </c>
      <c r="D8091" s="1" t="str">
        <f>HYPERLINK("http://genome-euro.ucsc.edu/cgi-bin/hgTracks?position=201263_at","UCSC")</f>
        <v>UCSC</v>
      </c>
      <c r="E8091" s="1" t="str">
        <f>HYPERLINK("http://www.ncbi.nlm.nih.gov/gene/?term=TARS","NCBI")</f>
        <v>NCBI</v>
      </c>
      <c r="F8091">
        <v>0.13</v>
      </c>
      <c r="G8091">
        <v>0.26</v>
      </c>
      <c r="H8091" s="1" t="str">
        <f>HYPERLINK("http://www.weizmann.ac.il/complex/compphys/software/geview/data/figures/201263_at.png","Figure")</f>
        <v>Figure</v>
      </c>
      <c r="I8091">
        <v>0.70799999999999996</v>
      </c>
      <c r="J8091">
        <v>0.32</v>
      </c>
      <c r="K8091">
        <v>1.1299999999999999</v>
      </c>
      <c r="L8091">
        <v>0.81</v>
      </c>
      <c r="M8091">
        <v>1.6</v>
      </c>
      <c r="N8091">
        <v>0.11</v>
      </c>
    </row>
    <row r="8092" spans="1:14" x14ac:dyDescent="0.25">
      <c r="A8092" t="s">
        <v>14344</v>
      </c>
      <c r="B8092" t="s">
        <v>8058</v>
      </c>
      <c r="C8092" s="1" t="str">
        <f>HYPERLINK("http://www.genecards.org/cgi-bin/carddisp.pl?gene=NFATC1","GeneCards")</f>
        <v>GeneCards</v>
      </c>
      <c r="D8092" s="1" t="str">
        <f>HYPERLINK("http://genome-euro.ucsc.edu/cgi-bin/hgTracks?position=210162_s_at","UCSC")</f>
        <v>UCSC</v>
      </c>
      <c r="E8092" s="1" t="str">
        <f>HYPERLINK("http://www.ncbi.nlm.nih.gov/gene/?term=NFATC1","NCBI")</f>
        <v>NCBI</v>
      </c>
      <c r="F8092">
        <v>0.13</v>
      </c>
      <c r="G8092">
        <v>0.26</v>
      </c>
      <c r="H8092" s="1" t="str">
        <f>HYPERLINK("http://www.weizmann.ac.il/complex/compphys/software/geview/data/figures/210162_s_at.png","Figure")</f>
        <v>Figure</v>
      </c>
      <c r="I8092">
        <v>1.29</v>
      </c>
      <c r="J8092">
        <v>0.13</v>
      </c>
      <c r="K8092">
        <v>1.19</v>
      </c>
      <c r="L8092">
        <v>0.25</v>
      </c>
      <c r="M8092">
        <v>0.92500000000000004</v>
      </c>
      <c r="N8092">
        <v>0.78</v>
      </c>
    </row>
    <row r="8093" spans="1:14" x14ac:dyDescent="0.25">
      <c r="A8093" t="s">
        <v>14345</v>
      </c>
      <c r="B8093" t="s">
        <v>14346</v>
      </c>
      <c r="C8093" s="1" t="str">
        <f>HYPERLINK("http://www.genecards.org/cgi-bin/carddisp.pl?gene=FUT7","GeneCards")</f>
        <v>GeneCards</v>
      </c>
      <c r="D8093" s="1" t="str">
        <f>HYPERLINK("http://genome-euro.ucsc.edu/cgi-bin/hgTracks?position=210506_at","UCSC")</f>
        <v>UCSC</v>
      </c>
      <c r="E8093" s="1" t="str">
        <f>HYPERLINK("http://www.ncbi.nlm.nih.gov/gene/?term=FUT7","NCBI")</f>
        <v>NCBI</v>
      </c>
      <c r="F8093">
        <v>0.13</v>
      </c>
      <c r="G8093">
        <v>0.26</v>
      </c>
      <c r="H8093" s="1" t="str">
        <f>HYPERLINK("http://www.weizmann.ac.il/complex/compphys/software/geview/data/figures/210506_at.png","Figure")</f>
        <v>Figure</v>
      </c>
      <c r="I8093">
        <v>0.86299999999999999</v>
      </c>
      <c r="J8093">
        <v>0.33</v>
      </c>
      <c r="K8093">
        <v>1.06</v>
      </c>
      <c r="L8093">
        <v>0.8</v>
      </c>
      <c r="M8093">
        <v>1.22</v>
      </c>
      <c r="N8093">
        <v>0.11</v>
      </c>
    </row>
    <row r="8094" spans="1:14" x14ac:dyDescent="0.25">
      <c r="A8094" t="s">
        <v>14347</v>
      </c>
      <c r="B8094" t="s">
        <v>1587</v>
      </c>
      <c r="C8094" s="1" t="str">
        <f>HYPERLINK("http://www.genecards.org/cgi-bin/carddisp.pl?gene=TSC22D2","GeneCards")</f>
        <v>GeneCards</v>
      </c>
      <c r="D8094" s="1" t="str">
        <f>HYPERLINK("http://genome-euro.ucsc.edu/cgi-bin/hgTracks?position=210954_s_at","UCSC")</f>
        <v>UCSC</v>
      </c>
      <c r="E8094" s="1" t="str">
        <f>HYPERLINK("http://www.ncbi.nlm.nih.gov/gene/?term=TSC22D2","NCBI")</f>
        <v>NCBI</v>
      </c>
      <c r="F8094">
        <v>0.13</v>
      </c>
      <c r="G8094">
        <v>0.26</v>
      </c>
      <c r="H8094" s="1" t="str">
        <f>HYPERLINK("http://www.weizmann.ac.il/complex/compphys/software/geview/data/figures/210954_s_at.png","Figure")</f>
        <v>Figure</v>
      </c>
      <c r="I8094">
        <v>0.878</v>
      </c>
      <c r="J8094">
        <v>0.11</v>
      </c>
      <c r="K8094">
        <v>0.93400000000000005</v>
      </c>
      <c r="L8094">
        <v>0.41</v>
      </c>
      <c r="M8094">
        <v>1.06</v>
      </c>
      <c r="N8094">
        <v>0.52</v>
      </c>
    </row>
    <row r="8095" spans="1:14" x14ac:dyDescent="0.25">
      <c r="A8095" t="s">
        <v>14348</v>
      </c>
      <c r="B8095" t="s">
        <v>6757</v>
      </c>
      <c r="C8095" s="1" t="str">
        <f>HYPERLINK("http://www.genecards.org/cgi-bin/carddisp.pl?gene=PA2G4","GeneCards")</f>
        <v>GeneCards</v>
      </c>
      <c r="D8095" s="1" t="str">
        <f>HYPERLINK("http://genome-euro.ucsc.edu/cgi-bin/hgTracks?position=214794_at","UCSC")</f>
        <v>UCSC</v>
      </c>
      <c r="E8095" s="1" t="str">
        <f>HYPERLINK("http://www.ncbi.nlm.nih.gov/gene/?term=PA2G4","NCBI")</f>
        <v>NCBI</v>
      </c>
      <c r="F8095">
        <v>0.13</v>
      </c>
      <c r="G8095">
        <v>0.26</v>
      </c>
      <c r="H8095" s="1" t="str">
        <f>HYPERLINK("http://www.weizmann.ac.il/complex/compphys/software/geview/data/figures/214794_at.png","Figure")</f>
        <v>Figure</v>
      </c>
      <c r="I8095">
        <v>0.98199999999999998</v>
      </c>
      <c r="J8095">
        <v>0.99</v>
      </c>
      <c r="K8095">
        <v>1.27</v>
      </c>
      <c r="L8095">
        <v>0.2</v>
      </c>
      <c r="M8095">
        <v>1.29</v>
      </c>
      <c r="N8095">
        <v>0.19</v>
      </c>
    </row>
    <row r="8096" spans="1:14" x14ac:dyDescent="0.25">
      <c r="A8096" t="s">
        <v>14349</v>
      </c>
      <c r="B8096" t="s">
        <v>14350</v>
      </c>
      <c r="C8096" s="1" t="str">
        <f>HYPERLINK("http://www.genecards.org/cgi-bin/carddisp.pl?gene=MRPL42","GeneCards")</f>
        <v>GeneCards</v>
      </c>
      <c r="D8096" s="1" t="str">
        <f>HYPERLINK("http://genome-euro.ucsc.edu/cgi-bin/hgTracks?position=217919_s_at","UCSC")</f>
        <v>UCSC</v>
      </c>
      <c r="E8096" s="1" t="str">
        <f>HYPERLINK("http://www.ncbi.nlm.nih.gov/gene/?term=MRPL42","NCBI")</f>
        <v>NCBI</v>
      </c>
      <c r="F8096">
        <v>0.13</v>
      </c>
      <c r="G8096">
        <v>0.26</v>
      </c>
      <c r="H8096" s="1" t="str">
        <f>HYPERLINK("http://www.weizmann.ac.il/complex/compphys/software/geview/data/figures/217919_s_at.png","Figure")</f>
        <v>Figure</v>
      </c>
      <c r="I8096">
        <v>1.2</v>
      </c>
      <c r="J8096">
        <v>0.38</v>
      </c>
      <c r="K8096">
        <v>1.29</v>
      </c>
      <c r="L8096">
        <v>0.11</v>
      </c>
      <c r="M8096">
        <v>1.07</v>
      </c>
      <c r="N8096">
        <v>0.83</v>
      </c>
    </row>
    <row r="8097" spans="1:14" x14ac:dyDescent="0.25">
      <c r="A8097" t="s">
        <v>14351</v>
      </c>
      <c r="B8097" t="s">
        <v>14352</v>
      </c>
      <c r="C8097" s="1" t="str">
        <f>HYPERLINK("http://www.genecards.org/cgi-bin/carddisp.pl?gene=C11orf17 /// NUAK2","GeneCards")</f>
        <v>GeneCards</v>
      </c>
      <c r="D8097" s="1" t="str">
        <f>HYPERLINK("http://genome-euro.ucsc.edu/cgi-bin/hgTracks?position=220987_s_at","UCSC")</f>
        <v>UCSC</v>
      </c>
      <c r="E8097" s="1" t="str">
        <f>HYPERLINK("http://www.ncbi.nlm.nih.gov/gene/?term=C11orf17 /// NUAK2","NCBI")</f>
        <v>NCBI</v>
      </c>
      <c r="F8097">
        <v>0.13</v>
      </c>
      <c r="G8097">
        <v>0.26</v>
      </c>
      <c r="H8097" s="1" t="str">
        <f>HYPERLINK("http://www.weizmann.ac.il/complex/compphys/software/geview/data/figures/220987_s_at.png","Figure")</f>
        <v>Figure</v>
      </c>
      <c r="I8097">
        <v>0.625</v>
      </c>
      <c r="J8097">
        <v>0.12</v>
      </c>
      <c r="K8097">
        <v>0.753</v>
      </c>
      <c r="L8097">
        <v>0.32</v>
      </c>
      <c r="M8097">
        <v>1.2</v>
      </c>
      <c r="N8097">
        <v>0.64</v>
      </c>
    </row>
    <row r="8098" spans="1:14" x14ac:dyDescent="0.25">
      <c r="A8098" t="s">
        <v>14353</v>
      </c>
      <c r="B8098" t="s">
        <v>9625</v>
      </c>
      <c r="C8098" s="1" t="str">
        <f>HYPERLINK("http://www.genecards.org/cgi-bin/carddisp.pl?gene=CHD4","GeneCards")</f>
        <v>GeneCards</v>
      </c>
      <c r="D8098" s="1" t="str">
        <f>HYPERLINK("http://genome-euro.ucsc.edu/cgi-bin/hgTracks?position=201183_s_at","UCSC")</f>
        <v>UCSC</v>
      </c>
      <c r="E8098" s="1" t="str">
        <f>HYPERLINK("http://www.ncbi.nlm.nih.gov/gene/?term=CHD4","NCBI")</f>
        <v>NCBI</v>
      </c>
      <c r="F8098">
        <v>0.13</v>
      </c>
      <c r="G8098">
        <v>0.26</v>
      </c>
      <c r="H8098" s="1" t="str">
        <f>HYPERLINK("http://www.weizmann.ac.il/complex/compphys/software/geview/data/figures/201183_s_at.png","Figure")</f>
        <v>Figure</v>
      </c>
      <c r="I8098">
        <v>1.33</v>
      </c>
      <c r="J8098">
        <v>0.24</v>
      </c>
      <c r="K8098">
        <v>1.35</v>
      </c>
      <c r="L8098">
        <v>0.13</v>
      </c>
      <c r="M8098">
        <v>1.02</v>
      </c>
      <c r="N8098">
        <v>0.99</v>
      </c>
    </row>
    <row r="8099" spans="1:14" x14ac:dyDescent="0.25">
      <c r="A8099" t="s">
        <v>14354</v>
      </c>
      <c r="B8099" t="s">
        <v>14355</v>
      </c>
      <c r="C8099" s="1" t="str">
        <f>HYPERLINK("http://www.genecards.org/cgi-bin/carddisp.pl?gene=DGKD","GeneCards")</f>
        <v>GeneCards</v>
      </c>
      <c r="D8099" s="1" t="str">
        <f>HYPERLINK("http://genome-euro.ucsc.edu/cgi-bin/hgTracks?position=208072_s_at","UCSC")</f>
        <v>UCSC</v>
      </c>
      <c r="E8099" s="1" t="str">
        <f>HYPERLINK("http://www.ncbi.nlm.nih.gov/gene/?term=DGKD","NCBI")</f>
        <v>NCBI</v>
      </c>
      <c r="F8099">
        <v>0.13</v>
      </c>
      <c r="G8099">
        <v>0.26</v>
      </c>
      <c r="H8099" s="1" t="str">
        <f>HYPERLINK("http://www.weizmann.ac.il/complex/compphys/software/geview/data/figures/208072_s_at.png","Figure")</f>
        <v>Figure</v>
      </c>
      <c r="I8099">
        <v>1.61</v>
      </c>
      <c r="J8099">
        <v>0.16</v>
      </c>
      <c r="K8099">
        <v>1.47</v>
      </c>
      <c r="L8099">
        <v>0.19</v>
      </c>
      <c r="M8099">
        <v>0.91500000000000004</v>
      </c>
      <c r="N8099">
        <v>0.92</v>
      </c>
    </row>
    <row r="8100" spans="1:14" x14ac:dyDescent="0.25">
      <c r="A8100" t="s">
        <v>14356</v>
      </c>
      <c r="B8100" t="s">
        <v>3869</v>
      </c>
      <c r="C8100" s="1" t="str">
        <f>HYPERLINK("http://www.genecards.org/cgi-bin/carddisp.pl?gene=SYNCRIP","GeneCards")</f>
        <v>GeneCards</v>
      </c>
      <c r="D8100" s="1" t="str">
        <f>HYPERLINK("http://genome-euro.ucsc.edu/cgi-bin/hgTracks?position=209025_s_at","UCSC")</f>
        <v>UCSC</v>
      </c>
      <c r="E8100" s="1" t="str">
        <f>HYPERLINK("http://www.ncbi.nlm.nih.gov/gene/?term=SYNCRIP","NCBI")</f>
        <v>NCBI</v>
      </c>
      <c r="F8100">
        <v>0.13</v>
      </c>
      <c r="G8100">
        <v>0.26</v>
      </c>
      <c r="H8100" s="1" t="str">
        <f>HYPERLINK("http://www.weizmann.ac.il/complex/compphys/software/geview/data/figures/209025_s_at.png","Figure")</f>
        <v>Figure</v>
      </c>
      <c r="I8100">
        <v>0.81799999999999995</v>
      </c>
      <c r="J8100">
        <v>0.62</v>
      </c>
      <c r="K8100">
        <v>0.66400000000000003</v>
      </c>
      <c r="L8100">
        <v>0.11</v>
      </c>
      <c r="M8100">
        <v>0.81200000000000006</v>
      </c>
      <c r="N8100">
        <v>0.56000000000000005</v>
      </c>
    </row>
    <row r="8101" spans="1:14" x14ac:dyDescent="0.25">
      <c r="A8101" t="s">
        <v>14357</v>
      </c>
      <c r="B8101" t="s">
        <v>10797</v>
      </c>
      <c r="C8101" s="1" t="str">
        <f>HYPERLINK("http://www.genecards.org/cgi-bin/carddisp.pl?gene=HNF1B","GeneCards")</f>
        <v>GeneCards</v>
      </c>
      <c r="D8101" s="1" t="str">
        <f>HYPERLINK("http://genome-euro.ucsc.edu/cgi-bin/hgTracks?position=205313_at","UCSC")</f>
        <v>UCSC</v>
      </c>
      <c r="E8101" s="1" t="str">
        <f>HYPERLINK("http://www.ncbi.nlm.nih.gov/gene/?term=HNF1B","NCBI")</f>
        <v>NCBI</v>
      </c>
      <c r="F8101">
        <v>0.13</v>
      </c>
      <c r="G8101">
        <v>0.26</v>
      </c>
      <c r="H8101" s="1" t="str">
        <f>HYPERLINK("http://www.weizmann.ac.il/complex/compphys/software/geview/data/figures/205313_at.png","Figure")</f>
        <v>Figure</v>
      </c>
      <c r="I8101">
        <v>1.36</v>
      </c>
      <c r="J8101">
        <v>0.11</v>
      </c>
      <c r="K8101">
        <v>1.1299999999999999</v>
      </c>
      <c r="L8101">
        <v>0.59</v>
      </c>
      <c r="M8101">
        <v>0.82899999999999996</v>
      </c>
      <c r="N8101">
        <v>0.35</v>
      </c>
    </row>
    <row r="8102" spans="1:14" x14ac:dyDescent="0.25">
      <c r="A8102" t="s">
        <v>14358</v>
      </c>
      <c r="B8102" t="s">
        <v>14359</v>
      </c>
      <c r="C8102" s="1" t="str">
        <f>HYPERLINK("http://www.genecards.org/cgi-bin/carddisp.pl?gene=FOXO4","GeneCards")</f>
        <v>GeneCards</v>
      </c>
      <c r="D8102" s="1" t="str">
        <f>HYPERLINK("http://genome-euro.ucsc.edu/cgi-bin/hgTracks?position=205451_at","UCSC")</f>
        <v>UCSC</v>
      </c>
      <c r="E8102" s="1" t="str">
        <f>HYPERLINK("http://www.ncbi.nlm.nih.gov/gene/?term=FOXO4","NCBI")</f>
        <v>NCBI</v>
      </c>
      <c r="F8102">
        <v>0.13</v>
      </c>
      <c r="G8102">
        <v>0.26</v>
      </c>
      <c r="H8102" s="1" t="str">
        <f>HYPERLINK("http://www.weizmann.ac.il/complex/compphys/software/geview/data/figures/205451_at.png","Figure")</f>
        <v>Figure</v>
      </c>
      <c r="I8102">
        <v>1.46</v>
      </c>
      <c r="J8102">
        <v>0.12</v>
      </c>
      <c r="K8102">
        <v>1.27</v>
      </c>
      <c r="L8102">
        <v>0.31</v>
      </c>
      <c r="M8102">
        <v>0.86599999999999999</v>
      </c>
      <c r="N8102">
        <v>0.67</v>
      </c>
    </row>
    <row r="8103" spans="1:14" x14ac:dyDescent="0.25">
      <c r="A8103" t="s">
        <v>14360</v>
      </c>
      <c r="B8103" t="s">
        <v>14361</v>
      </c>
      <c r="C8103" s="1" t="str">
        <f>HYPERLINK("http://www.genecards.org/cgi-bin/carddisp.pl?gene=MGC3771","GeneCards")</f>
        <v>GeneCards</v>
      </c>
      <c r="D8103" s="1" t="str">
        <f>HYPERLINK("http://genome-euro.ucsc.edu/cgi-bin/hgTracks?position=208136_s_at","UCSC")</f>
        <v>UCSC</v>
      </c>
      <c r="E8103" s="1" t="str">
        <f>HYPERLINK("http://www.ncbi.nlm.nih.gov/gene/?term=MGC3771","NCBI")</f>
        <v>NCBI</v>
      </c>
      <c r="F8103">
        <v>0.13</v>
      </c>
      <c r="G8103">
        <v>0.26</v>
      </c>
      <c r="H8103" s="1" t="str">
        <f>HYPERLINK("http://www.weizmann.ac.il/complex/compphys/software/geview/data/figures/208136_s_at.png","Figure")</f>
        <v>Figure</v>
      </c>
      <c r="I8103">
        <v>1.03</v>
      </c>
      <c r="J8103">
        <v>0.19</v>
      </c>
      <c r="K8103">
        <v>1.03</v>
      </c>
      <c r="L8103">
        <v>0.16</v>
      </c>
      <c r="M8103">
        <v>0.998</v>
      </c>
      <c r="N8103">
        <v>0.99</v>
      </c>
    </row>
    <row r="8104" spans="1:14" x14ac:dyDescent="0.25">
      <c r="A8104" t="s">
        <v>14362</v>
      </c>
      <c r="B8104" t="s">
        <v>4265</v>
      </c>
      <c r="C8104" s="1" t="str">
        <f>HYPERLINK("http://www.genecards.org/cgi-bin/carddisp.pl?gene=TBCD","GeneCards")</f>
        <v>GeneCards</v>
      </c>
      <c r="D8104" s="1" t="str">
        <f>HYPERLINK("http://genome-euro.ucsc.edu/cgi-bin/hgTracks?position=216128_at","UCSC")</f>
        <v>UCSC</v>
      </c>
      <c r="E8104" s="1" t="str">
        <f>HYPERLINK("http://www.ncbi.nlm.nih.gov/gene/?term=TBCD","NCBI")</f>
        <v>NCBI</v>
      </c>
      <c r="F8104">
        <v>0.13</v>
      </c>
      <c r="G8104">
        <v>0.26</v>
      </c>
      <c r="H8104" s="1" t="str">
        <f>HYPERLINK("http://www.weizmann.ac.il/complex/compphys/software/geview/data/figures/216128_at.png","Figure")</f>
        <v>Figure</v>
      </c>
      <c r="I8104">
        <v>1.1599999999999999</v>
      </c>
      <c r="J8104">
        <v>0.13</v>
      </c>
      <c r="K8104">
        <v>1.1100000000000001</v>
      </c>
      <c r="L8104">
        <v>0.24</v>
      </c>
      <c r="M8104">
        <v>0.95799999999999996</v>
      </c>
      <c r="N8104">
        <v>0.81</v>
      </c>
    </row>
    <row r="8105" spans="1:14" x14ac:dyDescent="0.25">
      <c r="A8105" t="s">
        <v>14363</v>
      </c>
      <c r="B8105" t="s">
        <v>14364</v>
      </c>
      <c r="C8105" s="1" t="str">
        <f>HYPERLINK("http://www.genecards.org/cgi-bin/carddisp.pl?gene=ITPK1","GeneCards")</f>
        <v>GeneCards</v>
      </c>
      <c r="D8105" s="1" t="str">
        <f>HYPERLINK("http://genome-euro.ucsc.edu/cgi-bin/hgTracks?position=210740_s_at","UCSC")</f>
        <v>UCSC</v>
      </c>
      <c r="E8105" s="1" t="str">
        <f>HYPERLINK("http://www.ncbi.nlm.nih.gov/gene/?term=ITPK1","NCBI")</f>
        <v>NCBI</v>
      </c>
      <c r="F8105">
        <v>0.13</v>
      </c>
      <c r="G8105">
        <v>0.26</v>
      </c>
      <c r="H8105" s="1" t="str">
        <f>HYPERLINK("http://www.weizmann.ac.il/complex/compphys/software/geview/data/figures/210740_s_at.png","Figure")</f>
        <v>Figure</v>
      </c>
      <c r="I8105">
        <v>0.97</v>
      </c>
      <c r="J8105">
        <v>0.93</v>
      </c>
      <c r="K8105">
        <v>1.1299999999999999</v>
      </c>
      <c r="L8105">
        <v>0.25</v>
      </c>
      <c r="M8105">
        <v>1.1599999999999999</v>
      </c>
      <c r="N8105">
        <v>0.16</v>
      </c>
    </row>
    <row r="8106" spans="1:14" x14ac:dyDescent="0.25">
      <c r="A8106" t="s">
        <v>14365</v>
      </c>
      <c r="B8106" t="s">
        <v>14366</v>
      </c>
      <c r="C8106" s="1" t="str">
        <f>HYPERLINK("http://www.genecards.org/cgi-bin/carddisp.pl?gene=LPIN2","GeneCards")</f>
        <v>GeneCards</v>
      </c>
      <c r="D8106" s="1" t="str">
        <f>HYPERLINK("http://genome-euro.ucsc.edu/cgi-bin/hgTracks?position=202460_s_at","UCSC")</f>
        <v>UCSC</v>
      </c>
      <c r="E8106" s="1" t="str">
        <f>HYPERLINK("http://www.ncbi.nlm.nih.gov/gene/?term=LPIN2","NCBI")</f>
        <v>NCBI</v>
      </c>
      <c r="F8106">
        <v>0.13</v>
      </c>
      <c r="G8106">
        <v>0.26</v>
      </c>
      <c r="H8106" s="1" t="str">
        <f>HYPERLINK("http://www.weizmann.ac.il/complex/compphys/software/geview/data/figures/202460_s_at.png","Figure")</f>
        <v>Figure</v>
      </c>
      <c r="I8106">
        <v>1.3</v>
      </c>
      <c r="J8106">
        <v>0.11</v>
      </c>
      <c r="K8106">
        <v>1.1299999999999999</v>
      </c>
      <c r="L8106">
        <v>0.48</v>
      </c>
      <c r="M8106">
        <v>0.86899999999999999</v>
      </c>
      <c r="N8106">
        <v>0.45</v>
      </c>
    </row>
    <row r="8107" spans="1:14" x14ac:dyDescent="0.25">
      <c r="A8107" t="s">
        <v>14367</v>
      </c>
      <c r="B8107" t="s">
        <v>12100</v>
      </c>
      <c r="C8107" s="1" t="str">
        <f>HYPERLINK("http://www.genecards.org/cgi-bin/carddisp.pl?gene=AJAP1","GeneCards")</f>
        <v>GeneCards</v>
      </c>
      <c r="D8107" s="1" t="str">
        <f>HYPERLINK("http://genome-euro.ucsc.edu/cgi-bin/hgTracks?position=215789_s_at","UCSC")</f>
        <v>UCSC</v>
      </c>
      <c r="E8107" s="1" t="str">
        <f>HYPERLINK("http://www.ncbi.nlm.nih.gov/gene/?term=AJAP1","NCBI")</f>
        <v>NCBI</v>
      </c>
      <c r="F8107">
        <v>0.13</v>
      </c>
      <c r="G8107">
        <v>0.26</v>
      </c>
      <c r="H8107" s="1" t="str">
        <f>HYPERLINK("http://www.weizmann.ac.il/complex/compphys/software/geview/data/figures/215789_s_at.png","Figure")</f>
        <v>Figure</v>
      </c>
      <c r="I8107">
        <v>0.98</v>
      </c>
      <c r="J8107">
        <v>0.98</v>
      </c>
      <c r="K8107">
        <v>0.84199999999999997</v>
      </c>
      <c r="L8107">
        <v>0.15</v>
      </c>
      <c r="M8107">
        <v>0.85899999999999999</v>
      </c>
      <c r="N8107">
        <v>0.26</v>
      </c>
    </row>
    <row r="8108" spans="1:14" x14ac:dyDescent="0.25">
      <c r="A8108" t="s">
        <v>14368</v>
      </c>
      <c r="B8108" t="s">
        <v>14369</v>
      </c>
      <c r="C8108" s="1" t="str">
        <f>HYPERLINK("http://www.genecards.org/cgi-bin/carddisp.pl?gene=DTYMK","GeneCards")</f>
        <v>GeneCards</v>
      </c>
      <c r="D8108" s="1" t="str">
        <f>HYPERLINK("http://genome-euro.ucsc.edu/cgi-bin/hgTracks?position=203270_at","UCSC")</f>
        <v>UCSC</v>
      </c>
      <c r="E8108" s="1" t="str">
        <f>HYPERLINK("http://www.ncbi.nlm.nih.gov/gene/?term=DTYMK","NCBI")</f>
        <v>NCBI</v>
      </c>
      <c r="F8108">
        <v>0.13</v>
      </c>
      <c r="G8108">
        <v>0.26</v>
      </c>
      <c r="H8108" s="1" t="str">
        <f>HYPERLINK("http://www.weizmann.ac.il/complex/compphys/software/geview/data/figures/203270_at.png","Figure")</f>
        <v>Figure</v>
      </c>
      <c r="I8108">
        <v>1.1299999999999999</v>
      </c>
      <c r="J8108">
        <v>0.57999999999999996</v>
      </c>
      <c r="K8108">
        <v>1.27</v>
      </c>
      <c r="L8108">
        <v>0.11</v>
      </c>
      <c r="M8108">
        <v>1.1200000000000001</v>
      </c>
      <c r="N8108">
        <v>0.61</v>
      </c>
    </row>
    <row r="8109" spans="1:14" x14ac:dyDescent="0.25">
      <c r="A8109" t="s">
        <v>14370</v>
      </c>
      <c r="B8109" t="s">
        <v>14371</v>
      </c>
      <c r="C8109" s="1" t="str">
        <f>HYPERLINK("http://www.genecards.org/cgi-bin/carddisp.pl?gene=PEBP1","GeneCards")</f>
        <v>GeneCards</v>
      </c>
      <c r="D8109" s="1" t="str">
        <f>HYPERLINK("http://genome-euro.ucsc.edu/cgi-bin/hgTracks?position=205353_s_at","UCSC")</f>
        <v>UCSC</v>
      </c>
      <c r="E8109" s="1" t="str">
        <f>HYPERLINK("http://www.ncbi.nlm.nih.gov/gene/?term=PEBP1","NCBI")</f>
        <v>NCBI</v>
      </c>
      <c r="F8109">
        <v>0.13</v>
      </c>
      <c r="G8109">
        <v>0.26</v>
      </c>
      <c r="H8109" s="1" t="str">
        <f>HYPERLINK("http://www.weizmann.ac.il/complex/compphys/software/geview/data/figures/205353_s_at.png","Figure")</f>
        <v>Figure</v>
      </c>
      <c r="I8109">
        <v>1.1200000000000001</v>
      </c>
      <c r="J8109">
        <v>0.89</v>
      </c>
      <c r="K8109">
        <v>1.56</v>
      </c>
      <c r="L8109">
        <v>0.13</v>
      </c>
      <c r="M8109">
        <v>1.4</v>
      </c>
      <c r="N8109">
        <v>0.34</v>
      </c>
    </row>
    <row r="8110" spans="1:14" x14ac:dyDescent="0.25">
      <c r="A8110" t="s">
        <v>14372</v>
      </c>
      <c r="B8110" t="s">
        <v>14373</v>
      </c>
      <c r="C8110" s="1" t="str">
        <f>HYPERLINK("http://www.genecards.org/cgi-bin/carddisp.pl?gene=RAB32","GeneCards")</f>
        <v>GeneCards</v>
      </c>
      <c r="D8110" s="1" t="str">
        <f>HYPERLINK("http://genome-euro.ucsc.edu/cgi-bin/hgTracks?position=204214_s_at","UCSC")</f>
        <v>UCSC</v>
      </c>
      <c r="E8110" s="1" t="str">
        <f>HYPERLINK("http://www.ncbi.nlm.nih.gov/gene/?term=RAB32","NCBI")</f>
        <v>NCBI</v>
      </c>
      <c r="F8110">
        <v>0.13</v>
      </c>
      <c r="G8110">
        <v>0.26</v>
      </c>
      <c r="H8110" s="1" t="str">
        <f>HYPERLINK("http://www.weizmann.ac.il/complex/compphys/software/geview/data/figures/204214_s_at.png","Figure")</f>
        <v>Figure</v>
      </c>
      <c r="I8110">
        <v>1.2</v>
      </c>
      <c r="J8110">
        <v>0.13</v>
      </c>
      <c r="K8110">
        <v>1.03</v>
      </c>
      <c r="L8110">
        <v>0.91</v>
      </c>
      <c r="M8110">
        <v>0.86299999999999999</v>
      </c>
      <c r="N8110">
        <v>0.2</v>
      </c>
    </row>
    <row r="8111" spans="1:14" x14ac:dyDescent="0.25">
      <c r="A8111" t="s">
        <v>14374</v>
      </c>
      <c r="B8111" t="s">
        <v>14375</v>
      </c>
      <c r="C8111" s="1" t="str">
        <f>HYPERLINK("http://www.genecards.org/cgi-bin/carddisp.pl?gene=ARG1","GeneCards")</f>
        <v>GeneCards</v>
      </c>
      <c r="D8111" s="1" t="str">
        <f>HYPERLINK("http://genome-euro.ucsc.edu/cgi-bin/hgTracks?position=206177_s_at","UCSC")</f>
        <v>UCSC</v>
      </c>
      <c r="E8111" s="1" t="str">
        <f>HYPERLINK("http://www.ncbi.nlm.nih.gov/gene/?term=ARG1","NCBI")</f>
        <v>NCBI</v>
      </c>
      <c r="F8111">
        <v>0.13</v>
      </c>
      <c r="G8111">
        <v>0.26</v>
      </c>
      <c r="H8111" s="1" t="str">
        <f>HYPERLINK("http://www.weizmann.ac.il/complex/compphys/software/geview/data/figures/206177_s_at.png","Figure")</f>
        <v>Figure</v>
      </c>
      <c r="I8111">
        <v>1</v>
      </c>
      <c r="J8111">
        <v>1</v>
      </c>
      <c r="K8111">
        <v>0.83299999999999996</v>
      </c>
      <c r="L8111">
        <v>0.18</v>
      </c>
      <c r="M8111">
        <v>0.83299999999999996</v>
      </c>
      <c r="N8111">
        <v>0.22</v>
      </c>
    </row>
    <row r="8112" spans="1:14" x14ac:dyDescent="0.25">
      <c r="A8112" t="s">
        <v>14376</v>
      </c>
      <c r="B8112" t="s">
        <v>5962</v>
      </c>
      <c r="C8112" s="1" t="str">
        <f>HYPERLINK("http://www.genecards.org/cgi-bin/carddisp.pl?gene=C9orf7","GeneCards")</f>
        <v>GeneCards</v>
      </c>
      <c r="D8112" s="1" t="str">
        <f>HYPERLINK("http://genome-euro.ucsc.edu/cgi-bin/hgTracks?position=219223_at","UCSC")</f>
        <v>UCSC</v>
      </c>
      <c r="E8112" s="1" t="str">
        <f>HYPERLINK("http://www.ncbi.nlm.nih.gov/gene/?term=C9orf7","NCBI")</f>
        <v>NCBI</v>
      </c>
      <c r="F8112">
        <v>0.13</v>
      </c>
      <c r="G8112">
        <v>0.26</v>
      </c>
      <c r="H8112" s="1" t="str">
        <f>HYPERLINK("http://www.weizmann.ac.il/complex/compphys/software/geview/data/figures/219223_at.png","Figure")</f>
        <v>Figure</v>
      </c>
      <c r="I8112">
        <v>1.3</v>
      </c>
      <c r="J8112">
        <v>0.11</v>
      </c>
      <c r="K8112">
        <v>1.08</v>
      </c>
      <c r="L8112">
        <v>0.73</v>
      </c>
      <c r="M8112">
        <v>0.83599999999999997</v>
      </c>
      <c r="N8112">
        <v>0.27</v>
      </c>
    </row>
    <row r="8113" spans="1:14" x14ac:dyDescent="0.25">
      <c r="A8113" t="s">
        <v>14377</v>
      </c>
      <c r="B8113" t="s">
        <v>14378</v>
      </c>
      <c r="C8113" s="1" t="str">
        <f>HYPERLINK("http://www.genecards.org/cgi-bin/carddisp.pl?gene=HCG26","GeneCards")</f>
        <v>GeneCards</v>
      </c>
      <c r="D8113" s="1" t="str">
        <f>HYPERLINK("http://genome-euro.ucsc.edu/cgi-bin/hgTracks?position=214186_s_at","UCSC")</f>
        <v>UCSC</v>
      </c>
      <c r="E8113" s="1" t="str">
        <f>HYPERLINK("http://www.ncbi.nlm.nih.gov/gene/?term=HCG26","NCBI")</f>
        <v>NCBI</v>
      </c>
      <c r="F8113">
        <v>0.13</v>
      </c>
      <c r="G8113">
        <v>0.26</v>
      </c>
      <c r="H8113" s="1" t="str">
        <f>HYPERLINK("http://www.weizmann.ac.il/complex/compphys/software/geview/data/figures/214186_s_at.png","Figure")</f>
        <v>Figure</v>
      </c>
      <c r="I8113">
        <v>1.01</v>
      </c>
      <c r="J8113">
        <v>1</v>
      </c>
      <c r="K8113">
        <v>1.18</v>
      </c>
      <c r="L8113">
        <v>0.17</v>
      </c>
      <c r="M8113">
        <v>1.17</v>
      </c>
      <c r="N8113">
        <v>0.23</v>
      </c>
    </row>
    <row r="8114" spans="1:14" x14ac:dyDescent="0.25">
      <c r="A8114" t="s">
        <v>14379</v>
      </c>
      <c r="B8114" t="s">
        <v>14380</v>
      </c>
      <c r="C8114" s="1" t="str">
        <f>HYPERLINK("http://www.genecards.org/cgi-bin/carddisp.pl?gene=ARPC5L","GeneCards")</f>
        <v>GeneCards</v>
      </c>
      <c r="D8114" s="1" t="str">
        <f>HYPERLINK("http://genome-euro.ucsc.edu/cgi-bin/hgTracks?position=220966_x_at","UCSC")</f>
        <v>UCSC</v>
      </c>
      <c r="E8114" s="1" t="str">
        <f>HYPERLINK("http://www.ncbi.nlm.nih.gov/gene/?term=ARPC5L","NCBI")</f>
        <v>NCBI</v>
      </c>
      <c r="F8114">
        <v>0.13</v>
      </c>
      <c r="G8114">
        <v>0.26</v>
      </c>
      <c r="H8114" s="1" t="str">
        <f>HYPERLINK("http://www.weizmann.ac.il/complex/compphys/software/geview/data/figures/220966_x_at.png","Figure")</f>
        <v>Figure</v>
      </c>
      <c r="I8114">
        <v>0.81899999999999995</v>
      </c>
      <c r="J8114">
        <v>0.71</v>
      </c>
      <c r="K8114">
        <v>0.62</v>
      </c>
      <c r="L8114">
        <v>0.11</v>
      </c>
      <c r="M8114">
        <v>0.75700000000000001</v>
      </c>
      <c r="N8114">
        <v>0.48</v>
      </c>
    </row>
    <row r="8115" spans="1:14" x14ac:dyDescent="0.25">
      <c r="A8115" t="s">
        <v>14381</v>
      </c>
      <c r="B8115" t="s">
        <v>14382</v>
      </c>
      <c r="C8115" s="1" t="str">
        <f>HYPERLINK("http://www.genecards.org/cgi-bin/carddisp.pl?gene=CYP3A5","GeneCards")</f>
        <v>GeneCards</v>
      </c>
      <c r="D8115" s="1" t="str">
        <f>HYPERLINK("http://genome-euro.ucsc.edu/cgi-bin/hgTracks?position=214235_at","UCSC")</f>
        <v>UCSC</v>
      </c>
      <c r="E8115" s="1" t="str">
        <f>HYPERLINK("http://www.ncbi.nlm.nih.gov/gene/?term=CYP3A5","NCBI")</f>
        <v>NCBI</v>
      </c>
      <c r="F8115">
        <v>0.13</v>
      </c>
      <c r="G8115">
        <v>0.26</v>
      </c>
      <c r="H8115" s="1" t="str">
        <f>HYPERLINK("http://www.weizmann.ac.il/complex/compphys/software/geview/data/figures/214235_at.png","Figure")</f>
        <v>Figure</v>
      </c>
      <c r="I8115">
        <v>1.01</v>
      </c>
      <c r="J8115">
        <v>0.92</v>
      </c>
      <c r="K8115">
        <v>0.97499999999999998</v>
      </c>
      <c r="L8115">
        <v>0.25</v>
      </c>
      <c r="M8115">
        <v>0.96799999999999997</v>
      </c>
      <c r="N8115">
        <v>0.16</v>
      </c>
    </row>
    <row r="8116" spans="1:14" x14ac:dyDescent="0.25">
      <c r="A8116" t="s">
        <v>14383</v>
      </c>
      <c r="B8116" t="s">
        <v>14384</v>
      </c>
      <c r="C8116" s="1" t="str">
        <f>HYPERLINK("http://www.genecards.org/cgi-bin/carddisp.pl?gene=CPEB1","GeneCards")</f>
        <v>GeneCards</v>
      </c>
      <c r="D8116" s="1" t="str">
        <f>HYPERLINK("http://genome-euro.ucsc.edu/cgi-bin/hgTracks?position=219578_s_at","UCSC")</f>
        <v>UCSC</v>
      </c>
      <c r="E8116" s="1" t="str">
        <f>HYPERLINK("http://www.ncbi.nlm.nih.gov/gene/?term=CPEB1","NCBI")</f>
        <v>NCBI</v>
      </c>
      <c r="F8116">
        <v>0.13</v>
      </c>
      <c r="G8116">
        <v>0.26</v>
      </c>
      <c r="H8116" s="1" t="str">
        <f>HYPERLINK("http://www.weizmann.ac.il/complex/compphys/software/geview/data/figures/219578_s_at.png","Figure")</f>
        <v>Figure</v>
      </c>
      <c r="I8116">
        <v>1.24</v>
      </c>
      <c r="J8116">
        <v>0.13</v>
      </c>
      <c r="K8116">
        <v>1.04</v>
      </c>
      <c r="L8116">
        <v>0.91</v>
      </c>
      <c r="M8116">
        <v>0.83399999999999996</v>
      </c>
      <c r="N8116">
        <v>0.2</v>
      </c>
    </row>
    <row r="8117" spans="1:14" x14ac:dyDescent="0.25">
      <c r="A8117" t="s">
        <v>14385</v>
      </c>
      <c r="B8117" t="s">
        <v>4022</v>
      </c>
      <c r="C8117" s="1" t="str">
        <f>HYPERLINK("http://www.genecards.org/cgi-bin/carddisp.pl?gene=NKX3-1","GeneCards")</f>
        <v>GeneCards</v>
      </c>
      <c r="D8117" s="1" t="str">
        <f>HYPERLINK("http://genome-euro.ucsc.edu/cgi-bin/hgTracks?position=209706_at","UCSC")</f>
        <v>UCSC</v>
      </c>
      <c r="E8117" s="1" t="str">
        <f>HYPERLINK("http://www.ncbi.nlm.nih.gov/gene/?term=NKX3-1","NCBI")</f>
        <v>NCBI</v>
      </c>
      <c r="F8117">
        <v>0.13</v>
      </c>
      <c r="G8117">
        <v>0.26</v>
      </c>
      <c r="H8117" s="1" t="str">
        <f>HYPERLINK("http://www.weizmann.ac.il/complex/compphys/software/geview/data/figures/209706_at.png","Figure")</f>
        <v>Figure</v>
      </c>
      <c r="I8117">
        <v>0.80500000000000005</v>
      </c>
      <c r="J8117">
        <v>0.21</v>
      </c>
      <c r="K8117">
        <v>1.02</v>
      </c>
      <c r="L8117">
        <v>0.97</v>
      </c>
      <c r="M8117">
        <v>1.27</v>
      </c>
      <c r="N8117">
        <v>0.13</v>
      </c>
    </row>
    <row r="8118" spans="1:14" x14ac:dyDescent="0.25">
      <c r="A8118" t="s">
        <v>14386</v>
      </c>
      <c r="B8118" t="s">
        <v>14387</v>
      </c>
      <c r="C8118" s="1" t="str">
        <f>HYPERLINK("http://www.genecards.org/cgi-bin/carddisp.pl?gene=ATF6B","GeneCards")</f>
        <v>GeneCards</v>
      </c>
      <c r="D8118" s="1" t="str">
        <f>HYPERLINK("http://genome-euro.ucsc.edu/cgi-bin/hgTracks?position=203168_at","UCSC")</f>
        <v>UCSC</v>
      </c>
      <c r="E8118" s="1" t="str">
        <f>HYPERLINK("http://www.ncbi.nlm.nih.gov/gene/?term=ATF6B","NCBI")</f>
        <v>NCBI</v>
      </c>
      <c r="F8118">
        <v>0.13</v>
      </c>
      <c r="G8118">
        <v>0.26</v>
      </c>
      <c r="H8118" s="1" t="str">
        <f>HYPERLINK("http://www.weizmann.ac.il/complex/compphys/software/geview/data/figures/203168_at.png","Figure")</f>
        <v>Figure</v>
      </c>
      <c r="I8118">
        <v>1.21</v>
      </c>
      <c r="J8118">
        <v>0.21</v>
      </c>
      <c r="K8118">
        <v>0.98</v>
      </c>
      <c r="L8118">
        <v>0.97</v>
      </c>
      <c r="M8118">
        <v>0.81200000000000006</v>
      </c>
      <c r="N8118">
        <v>0.13</v>
      </c>
    </row>
    <row r="8119" spans="1:14" x14ac:dyDescent="0.25">
      <c r="A8119" t="s">
        <v>14388</v>
      </c>
      <c r="B8119" t="s">
        <v>14389</v>
      </c>
      <c r="C8119" s="1" t="str">
        <f>HYPERLINK("http://www.genecards.org/cgi-bin/carddisp.pl?gene=C9orf78","GeneCards")</f>
        <v>GeneCards</v>
      </c>
      <c r="D8119" s="1" t="str">
        <f>HYPERLINK("http://genome-euro.ucsc.edu/cgi-bin/hgTracks?position=218116_at","UCSC")</f>
        <v>UCSC</v>
      </c>
      <c r="E8119" s="1" t="str">
        <f>HYPERLINK("http://www.ncbi.nlm.nih.gov/gene/?term=C9orf78","NCBI")</f>
        <v>NCBI</v>
      </c>
      <c r="F8119">
        <v>0.13</v>
      </c>
      <c r="G8119">
        <v>0.26</v>
      </c>
      <c r="H8119" s="1" t="str">
        <f>HYPERLINK("http://www.weizmann.ac.il/complex/compphys/software/geview/data/figures/218116_at.png","Figure")</f>
        <v>Figure</v>
      </c>
      <c r="I8119">
        <v>1.19</v>
      </c>
      <c r="J8119">
        <v>0.18</v>
      </c>
      <c r="K8119">
        <v>1</v>
      </c>
      <c r="L8119">
        <v>1</v>
      </c>
      <c r="M8119">
        <v>0.84</v>
      </c>
      <c r="N8119">
        <v>0.14000000000000001</v>
      </c>
    </row>
    <row r="8120" spans="1:14" x14ac:dyDescent="0.25">
      <c r="A8120" t="s">
        <v>14390</v>
      </c>
      <c r="B8120" t="s">
        <v>3908</v>
      </c>
      <c r="C8120" s="1" t="str">
        <f>HYPERLINK("http://www.genecards.org/cgi-bin/carddisp.pl?gene=SGSH","GeneCards")</f>
        <v>GeneCards</v>
      </c>
      <c r="D8120" s="1" t="str">
        <f>HYPERLINK("http://genome-euro.ucsc.edu/cgi-bin/hgTracks?position=204293_at","UCSC")</f>
        <v>UCSC</v>
      </c>
      <c r="E8120" s="1" t="str">
        <f>HYPERLINK("http://www.ncbi.nlm.nih.gov/gene/?term=SGSH","NCBI")</f>
        <v>NCBI</v>
      </c>
      <c r="F8120">
        <v>0.13</v>
      </c>
      <c r="G8120">
        <v>0.26</v>
      </c>
      <c r="H8120" s="1" t="str">
        <f>HYPERLINK("http://www.weizmann.ac.il/complex/compphys/software/geview/data/figures/204293_at.png","Figure")</f>
        <v>Figure</v>
      </c>
      <c r="I8120">
        <v>0.86499999999999999</v>
      </c>
      <c r="J8120">
        <v>0.42</v>
      </c>
      <c r="K8120">
        <v>0.80700000000000005</v>
      </c>
      <c r="L8120">
        <v>0.11</v>
      </c>
      <c r="M8120">
        <v>0.93300000000000005</v>
      </c>
      <c r="N8120">
        <v>0.79</v>
      </c>
    </row>
    <row r="8121" spans="1:14" x14ac:dyDescent="0.25">
      <c r="A8121" t="s">
        <v>14391</v>
      </c>
      <c r="B8121" t="s">
        <v>14392</v>
      </c>
      <c r="C8121" s="1" t="str">
        <f>HYPERLINK("http://www.genecards.org/cgi-bin/carddisp.pl?gene=CCDC56","GeneCards")</f>
        <v>GeneCards</v>
      </c>
      <c r="D8121" s="1" t="str">
        <f>HYPERLINK("http://genome-euro.ucsc.edu/cgi-bin/hgTracks?position=218026_at","UCSC")</f>
        <v>UCSC</v>
      </c>
      <c r="E8121" s="1" t="str">
        <f>HYPERLINK("http://www.ncbi.nlm.nih.gov/gene/?term=CCDC56","NCBI")</f>
        <v>NCBI</v>
      </c>
      <c r="F8121">
        <v>0.13</v>
      </c>
      <c r="G8121">
        <v>0.26</v>
      </c>
      <c r="H8121" s="1" t="str">
        <f>HYPERLINK("http://www.weizmann.ac.il/complex/compphys/software/geview/data/figures/218026_at.png","Figure")</f>
        <v>Figure</v>
      </c>
      <c r="I8121">
        <v>0.81200000000000006</v>
      </c>
      <c r="J8121">
        <v>0.79</v>
      </c>
      <c r="K8121">
        <v>1.51</v>
      </c>
      <c r="L8121">
        <v>0.33</v>
      </c>
      <c r="M8121">
        <v>1.86</v>
      </c>
      <c r="N8121">
        <v>0.13</v>
      </c>
    </row>
    <row r="8122" spans="1:14" x14ac:dyDescent="0.25">
      <c r="A8122" t="s">
        <v>14393</v>
      </c>
      <c r="B8122" t="s">
        <v>10991</v>
      </c>
      <c r="C8122" s="1" t="str">
        <f>HYPERLINK("http://www.genecards.org/cgi-bin/carddisp.pl?gene=MPO","GeneCards")</f>
        <v>GeneCards</v>
      </c>
      <c r="D8122" s="1" t="str">
        <f>HYPERLINK("http://genome-euro.ucsc.edu/cgi-bin/hgTracks?position=203949_at","UCSC")</f>
        <v>UCSC</v>
      </c>
      <c r="E8122" s="1" t="str">
        <f>HYPERLINK("http://www.ncbi.nlm.nih.gov/gene/?term=MPO","NCBI")</f>
        <v>NCBI</v>
      </c>
      <c r="F8122">
        <v>0.13</v>
      </c>
      <c r="G8122">
        <v>0.26</v>
      </c>
      <c r="H8122" s="1" t="str">
        <f>HYPERLINK("http://www.weizmann.ac.il/complex/compphys/software/geview/data/figures/203949_at.png","Figure")</f>
        <v>Figure</v>
      </c>
      <c r="I8122">
        <v>0.46500000000000002</v>
      </c>
      <c r="J8122">
        <v>0.15</v>
      </c>
      <c r="K8122">
        <v>0.91600000000000004</v>
      </c>
      <c r="L8122">
        <v>0.96</v>
      </c>
      <c r="M8122">
        <v>1.97</v>
      </c>
      <c r="N8122">
        <v>0.17</v>
      </c>
    </row>
    <row r="8123" spans="1:14" x14ac:dyDescent="0.25">
      <c r="A8123" t="s">
        <v>14394</v>
      </c>
      <c r="B8123" t="s">
        <v>14395</v>
      </c>
      <c r="C8123" s="1" t="str">
        <f>HYPERLINK("http://www.genecards.org/cgi-bin/carddisp.pl?gene=TNFSF14","GeneCards")</f>
        <v>GeneCards</v>
      </c>
      <c r="D8123" s="1" t="str">
        <f>HYPERLINK("http://genome-euro.ucsc.edu/cgi-bin/hgTracks?position=207907_at","UCSC")</f>
        <v>UCSC</v>
      </c>
      <c r="E8123" s="1" t="str">
        <f>HYPERLINK("http://www.ncbi.nlm.nih.gov/gene/?term=TNFSF14","NCBI")</f>
        <v>NCBI</v>
      </c>
      <c r="F8123">
        <v>0.13</v>
      </c>
      <c r="G8123">
        <v>0.26</v>
      </c>
      <c r="H8123" s="1" t="str">
        <f>HYPERLINK("http://www.weizmann.ac.il/complex/compphys/software/geview/data/figures/207907_at.png","Figure")</f>
        <v>Figure</v>
      </c>
      <c r="I8123">
        <v>1.1499999999999999</v>
      </c>
      <c r="J8123">
        <v>0.11</v>
      </c>
      <c r="K8123">
        <v>1.07</v>
      </c>
      <c r="L8123">
        <v>0.48</v>
      </c>
      <c r="M8123">
        <v>0.93100000000000005</v>
      </c>
      <c r="N8123">
        <v>0.45</v>
      </c>
    </row>
    <row r="8124" spans="1:14" x14ac:dyDescent="0.25">
      <c r="A8124" t="s">
        <v>14396</v>
      </c>
      <c r="B8124" t="s">
        <v>14397</v>
      </c>
      <c r="C8124" s="1" t="str">
        <f>HYPERLINK("http://www.genecards.org/cgi-bin/carddisp.pl?gene=UQCRFS1","GeneCards")</f>
        <v>GeneCards</v>
      </c>
      <c r="D8124" s="1" t="str">
        <f>HYPERLINK("http://genome-euro.ucsc.edu/cgi-bin/hgTracks?position=208909_at","UCSC")</f>
        <v>UCSC</v>
      </c>
      <c r="E8124" s="1" t="str">
        <f>HYPERLINK("http://www.ncbi.nlm.nih.gov/gene/?term=UQCRFS1","NCBI")</f>
        <v>NCBI</v>
      </c>
      <c r="F8124">
        <v>0.13</v>
      </c>
      <c r="G8124">
        <v>0.26</v>
      </c>
      <c r="H8124" s="1" t="str">
        <f>HYPERLINK("http://www.weizmann.ac.il/complex/compphys/software/geview/data/figures/208909_at.png","Figure")</f>
        <v>Figure</v>
      </c>
      <c r="I8124">
        <v>0.99</v>
      </c>
      <c r="J8124">
        <v>1</v>
      </c>
      <c r="K8124">
        <v>0.79600000000000004</v>
      </c>
      <c r="L8124">
        <v>0.17</v>
      </c>
      <c r="M8124">
        <v>0.80400000000000005</v>
      </c>
      <c r="N8124">
        <v>0.23</v>
      </c>
    </row>
    <row r="8125" spans="1:14" x14ac:dyDescent="0.25">
      <c r="A8125" t="s">
        <v>14398</v>
      </c>
      <c r="B8125" t="s">
        <v>14399</v>
      </c>
      <c r="C8125" s="1" t="str">
        <f>HYPERLINK("http://www.genecards.org/cgi-bin/carddisp.pl?gene=DUT","GeneCards")</f>
        <v>GeneCards</v>
      </c>
      <c r="D8125" s="1" t="str">
        <f>HYPERLINK("http://genome-euro.ucsc.edu/cgi-bin/hgTracks?position=208955_at","UCSC")</f>
        <v>UCSC</v>
      </c>
      <c r="E8125" s="1" t="str">
        <f>HYPERLINK("http://www.ncbi.nlm.nih.gov/gene/?term=DUT","NCBI")</f>
        <v>NCBI</v>
      </c>
      <c r="F8125">
        <v>0.13</v>
      </c>
      <c r="G8125">
        <v>0.26</v>
      </c>
      <c r="H8125" s="1" t="str">
        <f>HYPERLINK("http://www.weizmann.ac.il/complex/compphys/software/geview/data/figures/208955_at.png","Figure")</f>
        <v>Figure</v>
      </c>
      <c r="I8125">
        <v>0.88200000000000001</v>
      </c>
      <c r="J8125">
        <v>0.78</v>
      </c>
      <c r="K8125">
        <v>1.27</v>
      </c>
      <c r="L8125">
        <v>0.34</v>
      </c>
      <c r="M8125">
        <v>1.44</v>
      </c>
      <c r="N8125">
        <v>0.13</v>
      </c>
    </row>
    <row r="8126" spans="1:14" x14ac:dyDescent="0.25">
      <c r="A8126" t="s">
        <v>14400</v>
      </c>
      <c r="B8126" t="s">
        <v>14401</v>
      </c>
      <c r="C8126" s="1" t="str">
        <f>HYPERLINK("http://www.genecards.org/cgi-bin/carddisp.pl?gene=CSNK1E","GeneCards")</f>
        <v>GeneCards</v>
      </c>
      <c r="D8126" s="1" t="str">
        <f>HYPERLINK("http://genome-euro.ucsc.edu/cgi-bin/hgTracks?position=222015_at","UCSC")</f>
        <v>UCSC</v>
      </c>
      <c r="E8126" s="1" t="str">
        <f>HYPERLINK("http://www.ncbi.nlm.nih.gov/gene/?term=CSNK1E","NCBI")</f>
        <v>NCBI</v>
      </c>
      <c r="F8126">
        <v>0.13</v>
      </c>
      <c r="G8126">
        <v>0.26</v>
      </c>
      <c r="H8126" s="1" t="str">
        <f>HYPERLINK("http://www.weizmann.ac.il/complex/compphys/software/geview/data/figures/222015_at.png","Figure")</f>
        <v>Figure</v>
      </c>
      <c r="I8126">
        <v>1.25</v>
      </c>
      <c r="J8126">
        <v>0.16</v>
      </c>
      <c r="K8126">
        <v>1.01</v>
      </c>
      <c r="L8126">
        <v>0.99</v>
      </c>
      <c r="M8126">
        <v>0.80800000000000005</v>
      </c>
      <c r="N8126">
        <v>0.15</v>
      </c>
    </row>
    <row r="8127" spans="1:14" x14ac:dyDescent="0.25">
      <c r="A8127" t="s">
        <v>14402</v>
      </c>
      <c r="B8127" t="s">
        <v>5217</v>
      </c>
      <c r="C8127" s="1" t="str">
        <f>HYPERLINK("http://www.genecards.org/cgi-bin/carddisp.pl?gene=HTATIP2","GeneCards")</f>
        <v>GeneCards</v>
      </c>
      <c r="D8127" s="1" t="str">
        <f>HYPERLINK("http://genome-euro.ucsc.edu/cgi-bin/hgTracks?position=207180_s_at","UCSC")</f>
        <v>UCSC</v>
      </c>
      <c r="E8127" s="1" t="str">
        <f>HYPERLINK("http://www.ncbi.nlm.nih.gov/gene/?term=HTATIP2","NCBI")</f>
        <v>NCBI</v>
      </c>
      <c r="F8127">
        <v>0.13</v>
      </c>
      <c r="G8127">
        <v>0.26</v>
      </c>
      <c r="H8127" s="1" t="str">
        <f>HYPERLINK("http://www.weizmann.ac.il/complex/compphys/software/geview/data/figures/207180_s_at.png","Figure")</f>
        <v>Figure</v>
      </c>
      <c r="I8127">
        <v>0.82799999999999996</v>
      </c>
      <c r="J8127">
        <v>0.26</v>
      </c>
      <c r="K8127">
        <v>1.04</v>
      </c>
      <c r="L8127">
        <v>0.91</v>
      </c>
      <c r="M8127">
        <v>1.26</v>
      </c>
      <c r="N8127">
        <v>0.12</v>
      </c>
    </row>
    <row r="8128" spans="1:14" x14ac:dyDescent="0.25">
      <c r="A8128" t="s">
        <v>14403</v>
      </c>
      <c r="B8128" t="s">
        <v>12417</v>
      </c>
      <c r="C8128" s="1" t="str">
        <f>HYPERLINK("http://www.genecards.org/cgi-bin/carddisp.pl?gene=RMND5A","GeneCards")</f>
        <v>GeneCards</v>
      </c>
      <c r="D8128" s="1" t="str">
        <f>HYPERLINK("http://genome-euro.ucsc.edu/cgi-bin/hgTracks?position=212479_s_at","UCSC")</f>
        <v>UCSC</v>
      </c>
      <c r="E8128" s="1" t="str">
        <f>HYPERLINK("http://www.ncbi.nlm.nih.gov/gene/?term=RMND5A","NCBI")</f>
        <v>NCBI</v>
      </c>
      <c r="F8128">
        <v>0.13</v>
      </c>
      <c r="G8128">
        <v>0.26</v>
      </c>
      <c r="H8128" s="1" t="str">
        <f>HYPERLINK("http://www.weizmann.ac.il/complex/compphys/software/geview/data/figures/212479_s_at.png","Figure")</f>
        <v>Figure</v>
      </c>
      <c r="I8128">
        <v>1.37</v>
      </c>
      <c r="J8128">
        <v>0.13</v>
      </c>
      <c r="K8128">
        <v>1.06</v>
      </c>
      <c r="L8128">
        <v>0.89</v>
      </c>
      <c r="M8128">
        <v>0.77500000000000002</v>
      </c>
      <c r="N8128">
        <v>0.21</v>
      </c>
    </row>
    <row r="8129" spans="1:14" x14ac:dyDescent="0.25">
      <c r="A8129" t="s">
        <v>14404</v>
      </c>
      <c r="B8129" t="s">
        <v>14405</v>
      </c>
      <c r="C8129" s="1" t="str">
        <f>HYPERLINK("http://www.genecards.org/cgi-bin/carddisp.pl?gene=LOC100128570","GeneCards")</f>
        <v>GeneCards</v>
      </c>
      <c r="D8129" s="1" t="str">
        <f>HYPERLINK("http://genome-euro.ucsc.edu/cgi-bin/hgTracks?position=215140_at","UCSC")</f>
        <v>UCSC</v>
      </c>
      <c r="E8129" s="1" t="str">
        <f>HYPERLINK("http://www.ncbi.nlm.nih.gov/gene/?term=LOC100128570","NCBI")</f>
        <v>NCBI</v>
      </c>
      <c r="F8129">
        <v>0.13</v>
      </c>
      <c r="G8129">
        <v>0.26</v>
      </c>
      <c r="H8129" s="1" t="str">
        <f>HYPERLINK("http://www.weizmann.ac.il/complex/compphys/software/geview/data/figures/215140_at.png","Figure")</f>
        <v>Figure</v>
      </c>
      <c r="I8129">
        <v>1.1599999999999999</v>
      </c>
      <c r="J8129">
        <v>0.11</v>
      </c>
      <c r="K8129">
        <v>1.08</v>
      </c>
      <c r="L8129">
        <v>0.45</v>
      </c>
      <c r="M8129">
        <v>0.92800000000000005</v>
      </c>
      <c r="N8129">
        <v>0.48</v>
      </c>
    </row>
    <row r="8130" spans="1:14" x14ac:dyDescent="0.25">
      <c r="A8130" t="s">
        <v>14406</v>
      </c>
      <c r="B8130" t="s">
        <v>14407</v>
      </c>
      <c r="C8130" s="1" t="str">
        <f>HYPERLINK("http://www.genecards.org/cgi-bin/carddisp.pl?gene=NUDT2","GeneCards")</f>
        <v>GeneCards</v>
      </c>
      <c r="D8130" s="1" t="str">
        <f>HYPERLINK("http://genome-euro.ucsc.edu/cgi-bin/hgTracks?position=218609_s_at","UCSC")</f>
        <v>UCSC</v>
      </c>
      <c r="E8130" s="1" t="str">
        <f>HYPERLINK("http://www.ncbi.nlm.nih.gov/gene/?term=NUDT2","NCBI")</f>
        <v>NCBI</v>
      </c>
      <c r="F8130">
        <v>0.13</v>
      </c>
      <c r="G8130">
        <v>0.26</v>
      </c>
      <c r="H8130" s="1" t="str">
        <f>HYPERLINK("http://www.weizmann.ac.il/complex/compphys/software/geview/data/figures/218609_s_at.png","Figure")</f>
        <v>Figure</v>
      </c>
      <c r="I8130">
        <v>0.83799999999999997</v>
      </c>
      <c r="J8130">
        <v>0.31</v>
      </c>
      <c r="K8130">
        <v>1.06</v>
      </c>
      <c r="L8130">
        <v>0.83</v>
      </c>
      <c r="M8130">
        <v>1.27</v>
      </c>
      <c r="N8130">
        <v>0.11</v>
      </c>
    </row>
    <row r="8131" spans="1:14" x14ac:dyDescent="0.25">
      <c r="A8131" t="s">
        <v>14408</v>
      </c>
      <c r="B8131" t="s">
        <v>14409</v>
      </c>
      <c r="C8131" s="1" t="str">
        <f>HYPERLINK("http://www.genecards.org/cgi-bin/carddisp.pl?gene=SHCBP1","GeneCards")</f>
        <v>GeneCards</v>
      </c>
      <c r="D8131" s="1" t="str">
        <f>HYPERLINK("http://genome-euro.ucsc.edu/cgi-bin/hgTracks?position=219493_at","UCSC")</f>
        <v>UCSC</v>
      </c>
      <c r="E8131" s="1" t="str">
        <f>HYPERLINK("http://www.ncbi.nlm.nih.gov/gene/?term=SHCBP1","NCBI")</f>
        <v>NCBI</v>
      </c>
      <c r="F8131">
        <v>0.13</v>
      </c>
      <c r="G8131">
        <v>0.26</v>
      </c>
      <c r="H8131" s="1" t="str">
        <f>HYPERLINK("http://www.weizmann.ac.il/complex/compphys/software/geview/data/figures/219493_at.png","Figure")</f>
        <v>Figure</v>
      </c>
      <c r="I8131">
        <v>0.69599999999999995</v>
      </c>
      <c r="J8131">
        <v>0.65</v>
      </c>
      <c r="K8131">
        <v>0.46200000000000002</v>
      </c>
      <c r="L8131">
        <v>0.11</v>
      </c>
      <c r="M8131">
        <v>0.66400000000000003</v>
      </c>
      <c r="N8131">
        <v>0.54</v>
      </c>
    </row>
    <row r="8132" spans="1:14" x14ac:dyDescent="0.25">
      <c r="A8132" t="s">
        <v>14410</v>
      </c>
      <c r="B8132" t="s">
        <v>9438</v>
      </c>
      <c r="C8132" s="1" t="str">
        <f>HYPERLINK("http://www.genecards.org/cgi-bin/carddisp.pl?gene=PVR","GeneCards")</f>
        <v>GeneCards</v>
      </c>
      <c r="D8132" s="1" t="str">
        <f>HYPERLINK("http://genome-euro.ucsc.edu/cgi-bin/hgTracks?position=214443_at","UCSC")</f>
        <v>UCSC</v>
      </c>
      <c r="E8132" s="1" t="str">
        <f>HYPERLINK("http://www.ncbi.nlm.nih.gov/gene/?term=PVR","NCBI")</f>
        <v>NCBI</v>
      </c>
      <c r="F8132">
        <v>0.13</v>
      </c>
      <c r="G8132">
        <v>0.26</v>
      </c>
      <c r="H8132" s="1" t="str">
        <f>HYPERLINK("http://www.weizmann.ac.il/complex/compphys/software/geview/data/figures/214443_at.png","Figure")</f>
        <v>Figure</v>
      </c>
      <c r="I8132">
        <v>1.1000000000000001</v>
      </c>
      <c r="J8132">
        <v>0.27</v>
      </c>
      <c r="K8132">
        <v>1.1100000000000001</v>
      </c>
      <c r="L8132">
        <v>0.13</v>
      </c>
      <c r="M8132">
        <v>1.01</v>
      </c>
      <c r="N8132">
        <v>0.97</v>
      </c>
    </row>
    <row r="8133" spans="1:14" x14ac:dyDescent="0.25">
      <c r="A8133" t="s">
        <v>14411</v>
      </c>
      <c r="B8133" t="s">
        <v>14412</v>
      </c>
      <c r="C8133" s="1" t="str">
        <f>HYPERLINK("http://www.genecards.org/cgi-bin/carddisp.pl?gene=BCL7B","GeneCards")</f>
        <v>GeneCards</v>
      </c>
      <c r="D8133" s="1" t="str">
        <f>HYPERLINK("http://genome-euro.ucsc.edu/cgi-bin/hgTracks?position=202518_at","UCSC")</f>
        <v>UCSC</v>
      </c>
      <c r="E8133" s="1" t="str">
        <f>HYPERLINK("http://www.ncbi.nlm.nih.gov/gene/?term=BCL7B","NCBI")</f>
        <v>NCBI</v>
      </c>
      <c r="F8133">
        <v>0.13</v>
      </c>
      <c r="G8133">
        <v>0.26</v>
      </c>
      <c r="H8133" s="1" t="str">
        <f>HYPERLINK("http://www.weizmann.ac.il/complex/compphys/software/geview/data/figures/202518_at.png","Figure")</f>
        <v>Figure</v>
      </c>
      <c r="I8133">
        <v>0.93899999999999995</v>
      </c>
      <c r="J8133">
        <v>0.93</v>
      </c>
      <c r="K8133">
        <v>0.73499999999999999</v>
      </c>
      <c r="L8133">
        <v>0.14000000000000001</v>
      </c>
      <c r="M8133">
        <v>0.78300000000000003</v>
      </c>
      <c r="N8133">
        <v>0.31</v>
      </c>
    </row>
    <row r="8134" spans="1:14" x14ac:dyDescent="0.25">
      <c r="A8134" t="s">
        <v>14413</v>
      </c>
      <c r="B8134" t="s">
        <v>14414</v>
      </c>
      <c r="C8134" s="1" t="str">
        <f>HYPERLINK("http://www.genecards.org/cgi-bin/carddisp.pl?gene=GCDH","GeneCards")</f>
        <v>GeneCards</v>
      </c>
      <c r="D8134" s="1" t="str">
        <f>HYPERLINK("http://genome-euro.ucsc.edu/cgi-bin/hgTracks?position=208369_s_at","UCSC")</f>
        <v>UCSC</v>
      </c>
      <c r="E8134" s="1" t="str">
        <f>HYPERLINK("http://www.ncbi.nlm.nih.gov/gene/?term=GCDH","NCBI")</f>
        <v>NCBI</v>
      </c>
      <c r="F8134">
        <v>0.13</v>
      </c>
      <c r="G8134">
        <v>0.26</v>
      </c>
      <c r="H8134" s="1" t="str">
        <f>HYPERLINK("http://www.weizmann.ac.il/complex/compphys/software/geview/data/figures/208369_s_at.png","Figure")</f>
        <v>Figure</v>
      </c>
      <c r="I8134">
        <v>1.1399999999999999</v>
      </c>
      <c r="J8134">
        <v>0.37</v>
      </c>
      <c r="K8134">
        <v>1.2</v>
      </c>
      <c r="L8134">
        <v>0.11</v>
      </c>
      <c r="M8134">
        <v>1.05</v>
      </c>
      <c r="N8134">
        <v>0.86</v>
      </c>
    </row>
    <row r="8135" spans="1:14" x14ac:dyDescent="0.25">
      <c r="A8135" t="s">
        <v>14415</v>
      </c>
      <c r="B8135" t="s">
        <v>14416</v>
      </c>
      <c r="C8135" s="1" t="str">
        <f>HYPERLINK("http://www.genecards.org/cgi-bin/carddisp.pl?gene=LIMS2","GeneCards")</f>
        <v>GeneCards</v>
      </c>
      <c r="D8135" s="1" t="str">
        <f>HYPERLINK("http://genome-euro.ucsc.edu/cgi-bin/hgTracks?position=220765_s_at","UCSC")</f>
        <v>UCSC</v>
      </c>
      <c r="E8135" s="1" t="str">
        <f>HYPERLINK("http://www.ncbi.nlm.nih.gov/gene/?term=LIMS2","NCBI")</f>
        <v>NCBI</v>
      </c>
      <c r="F8135">
        <v>0.13</v>
      </c>
      <c r="G8135">
        <v>0.26</v>
      </c>
      <c r="H8135" s="1" t="str">
        <f>HYPERLINK("http://www.weizmann.ac.il/complex/compphys/software/geview/data/figures/220765_s_at.png","Figure")</f>
        <v>Figure</v>
      </c>
      <c r="I8135">
        <v>0.93700000000000006</v>
      </c>
      <c r="J8135">
        <v>0.85</v>
      </c>
      <c r="K8135">
        <v>0.80400000000000005</v>
      </c>
      <c r="L8135">
        <v>0.12</v>
      </c>
      <c r="M8135">
        <v>0.85899999999999999</v>
      </c>
      <c r="N8135">
        <v>0.38</v>
      </c>
    </row>
    <row r="8136" spans="1:14" x14ac:dyDescent="0.25">
      <c r="A8136" t="s">
        <v>14417</v>
      </c>
      <c r="B8136" t="s">
        <v>14418</v>
      </c>
      <c r="C8136" s="1" t="str">
        <f>HYPERLINK("http://www.genecards.org/cgi-bin/carddisp.pl?gene=WWC3","GeneCards")</f>
        <v>GeneCards</v>
      </c>
      <c r="D8136" s="1" t="str">
        <f>HYPERLINK("http://genome-euro.ucsc.edu/cgi-bin/hgTracks?position=219520_s_at","UCSC")</f>
        <v>UCSC</v>
      </c>
      <c r="E8136" s="1" t="str">
        <f>HYPERLINK("http://www.ncbi.nlm.nih.gov/gene/?term=WWC3","NCBI")</f>
        <v>NCBI</v>
      </c>
      <c r="F8136">
        <v>0.13</v>
      </c>
      <c r="G8136">
        <v>0.26</v>
      </c>
      <c r="H8136" s="1" t="str">
        <f>HYPERLINK("http://www.weizmann.ac.il/complex/compphys/software/geview/data/figures/219520_s_at.png","Figure")</f>
        <v>Figure</v>
      </c>
      <c r="I8136">
        <v>1.18</v>
      </c>
      <c r="J8136">
        <v>0.74</v>
      </c>
      <c r="K8136">
        <v>1.51</v>
      </c>
      <c r="L8136">
        <v>0.12</v>
      </c>
      <c r="M8136">
        <v>1.29</v>
      </c>
      <c r="N8136">
        <v>0.46</v>
      </c>
    </row>
    <row r="8137" spans="1:14" x14ac:dyDescent="0.25">
      <c r="A8137" t="s">
        <v>14419</v>
      </c>
      <c r="B8137" t="s">
        <v>14420</v>
      </c>
      <c r="C8137" s="1" t="str">
        <f>HYPERLINK("http://www.genecards.org/cgi-bin/carddisp.pl?gene=NAT15","GeneCards")</f>
        <v>GeneCards</v>
      </c>
      <c r="D8137" s="1" t="str">
        <f>HYPERLINK("http://genome-euro.ucsc.edu/cgi-bin/hgTracks?position=218661_at","UCSC")</f>
        <v>UCSC</v>
      </c>
      <c r="E8137" s="1" t="str">
        <f>HYPERLINK("http://www.ncbi.nlm.nih.gov/gene/?term=NAT15","NCBI")</f>
        <v>NCBI</v>
      </c>
      <c r="F8137">
        <v>0.13</v>
      </c>
      <c r="G8137">
        <v>0.27</v>
      </c>
      <c r="H8137" s="1" t="str">
        <f>HYPERLINK("http://www.weizmann.ac.il/complex/compphys/software/geview/data/figures/218661_at.png","Figure")</f>
        <v>Figure</v>
      </c>
      <c r="I8137">
        <v>1.0900000000000001</v>
      </c>
      <c r="J8137">
        <v>0.62</v>
      </c>
      <c r="K8137">
        <v>1.18</v>
      </c>
      <c r="L8137">
        <v>0.11</v>
      </c>
      <c r="M8137">
        <v>1.0900000000000001</v>
      </c>
      <c r="N8137">
        <v>0.56999999999999995</v>
      </c>
    </row>
    <row r="8138" spans="1:14" x14ac:dyDescent="0.25">
      <c r="A8138" t="s">
        <v>14421</v>
      </c>
      <c r="B8138" t="s">
        <v>919</v>
      </c>
      <c r="C8138" s="1" t="str">
        <f>HYPERLINK("http://www.genecards.org/cgi-bin/carddisp.pl?gene=PPFIBP1","GeneCards")</f>
        <v>GeneCards</v>
      </c>
      <c r="D8138" s="1" t="str">
        <f>HYPERLINK("http://genome-euro.ucsc.edu/cgi-bin/hgTracks?position=203735_x_at","UCSC")</f>
        <v>UCSC</v>
      </c>
      <c r="E8138" s="1" t="str">
        <f>HYPERLINK("http://www.ncbi.nlm.nih.gov/gene/?term=PPFIBP1","NCBI")</f>
        <v>NCBI</v>
      </c>
      <c r="F8138">
        <v>0.13</v>
      </c>
      <c r="G8138">
        <v>0.27</v>
      </c>
      <c r="H8138" s="1" t="str">
        <f>HYPERLINK("http://www.weizmann.ac.il/complex/compphys/software/geview/data/figures/203735_x_at.png","Figure")</f>
        <v>Figure</v>
      </c>
      <c r="I8138">
        <v>1.17</v>
      </c>
      <c r="J8138">
        <v>0.16</v>
      </c>
      <c r="K8138">
        <v>1.1399999999999999</v>
      </c>
      <c r="L8138">
        <v>0.19</v>
      </c>
      <c r="M8138">
        <v>0.97299999999999998</v>
      </c>
      <c r="N8138">
        <v>0.93</v>
      </c>
    </row>
    <row r="8139" spans="1:14" x14ac:dyDescent="0.25">
      <c r="A8139" t="s">
        <v>14422</v>
      </c>
      <c r="B8139" t="s">
        <v>14423</v>
      </c>
      <c r="C8139" s="1" t="str">
        <f>HYPERLINK("http://www.genecards.org/cgi-bin/carddisp.pl?gene=USP1","GeneCards")</f>
        <v>GeneCards</v>
      </c>
      <c r="D8139" s="1" t="str">
        <f>HYPERLINK("http://genome-euro.ucsc.edu/cgi-bin/hgTracks?position=202413_s_at","UCSC")</f>
        <v>UCSC</v>
      </c>
      <c r="E8139" s="1" t="str">
        <f>HYPERLINK("http://www.ncbi.nlm.nih.gov/gene/?term=USP1","NCBI")</f>
        <v>NCBI</v>
      </c>
      <c r="F8139">
        <v>0.13</v>
      </c>
      <c r="G8139">
        <v>0.27</v>
      </c>
      <c r="H8139" s="1" t="str">
        <f>HYPERLINK("http://www.weizmann.ac.il/complex/compphys/software/geview/data/figures/202413_s_at.png","Figure")</f>
        <v>Figure</v>
      </c>
      <c r="I8139">
        <v>1.48</v>
      </c>
      <c r="J8139">
        <v>0.11</v>
      </c>
      <c r="K8139">
        <v>1.1399999999999999</v>
      </c>
      <c r="L8139">
        <v>0.68</v>
      </c>
      <c r="M8139">
        <v>0.77300000000000002</v>
      </c>
      <c r="N8139">
        <v>0.31</v>
      </c>
    </row>
    <row r="8140" spans="1:14" x14ac:dyDescent="0.25">
      <c r="A8140" t="s">
        <v>14424</v>
      </c>
      <c r="B8140" t="s">
        <v>14425</v>
      </c>
      <c r="C8140" s="1" t="str">
        <f>HYPERLINK("http://www.genecards.org/cgi-bin/carddisp.pl?gene=PSAT1","GeneCards")</f>
        <v>GeneCards</v>
      </c>
      <c r="D8140" s="1" t="str">
        <f>HYPERLINK("http://genome-euro.ucsc.edu/cgi-bin/hgTracks?position=220892_s_at","UCSC")</f>
        <v>UCSC</v>
      </c>
      <c r="E8140" s="1" t="str">
        <f>HYPERLINK("http://www.ncbi.nlm.nih.gov/gene/?term=PSAT1","NCBI")</f>
        <v>NCBI</v>
      </c>
      <c r="F8140">
        <v>0.13</v>
      </c>
      <c r="G8140">
        <v>0.27</v>
      </c>
      <c r="H8140" s="1" t="str">
        <f>HYPERLINK("http://www.weizmann.ac.il/complex/compphys/software/geview/data/figures/220892_s_at.png","Figure")</f>
        <v>Figure</v>
      </c>
      <c r="I8140">
        <v>1.1599999999999999</v>
      </c>
      <c r="J8140">
        <v>0.15</v>
      </c>
      <c r="K8140">
        <v>1.1200000000000001</v>
      </c>
      <c r="L8140">
        <v>0.21</v>
      </c>
      <c r="M8140">
        <v>0.96899999999999997</v>
      </c>
      <c r="N8140">
        <v>0.89</v>
      </c>
    </row>
    <row r="8141" spans="1:14" x14ac:dyDescent="0.25">
      <c r="A8141" t="s">
        <v>14426</v>
      </c>
      <c r="B8141" t="s">
        <v>14427</v>
      </c>
      <c r="C8141" s="1" t="str">
        <f>HYPERLINK("http://www.genecards.org/cgi-bin/carddisp.pl?gene=PRC1","GeneCards")</f>
        <v>GeneCards</v>
      </c>
      <c r="D8141" s="1" t="str">
        <f>HYPERLINK("http://genome-euro.ucsc.edu/cgi-bin/hgTracks?position=218009_s_at","UCSC")</f>
        <v>UCSC</v>
      </c>
      <c r="E8141" s="1" t="str">
        <f>HYPERLINK("http://www.ncbi.nlm.nih.gov/gene/?term=PRC1","NCBI")</f>
        <v>NCBI</v>
      </c>
      <c r="F8141">
        <v>0.13</v>
      </c>
      <c r="G8141">
        <v>0.27</v>
      </c>
      <c r="H8141" s="1" t="str">
        <f>HYPERLINK("http://www.weizmann.ac.il/complex/compphys/software/geview/data/figures/218009_s_at.png","Figure")</f>
        <v>Figure</v>
      </c>
      <c r="I8141">
        <v>1.47</v>
      </c>
      <c r="J8141">
        <v>0.14000000000000001</v>
      </c>
      <c r="K8141">
        <v>1.34</v>
      </c>
      <c r="L8141">
        <v>0.22</v>
      </c>
      <c r="M8141">
        <v>0.90800000000000003</v>
      </c>
      <c r="N8141">
        <v>0.85</v>
      </c>
    </row>
    <row r="8142" spans="1:14" x14ac:dyDescent="0.25">
      <c r="A8142" t="s">
        <v>14428</v>
      </c>
      <c r="B8142" t="s">
        <v>1965</v>
      </c>
      <c r="C8142" s="1" t="str">
        <f>HYPERLINK("http://www.genecards.org/cgi-bin/carddisp.pl?gene=CREBBP","GeneCards")</f>
        <v>GeneCards</v>
      </c>
      <c r="D8142" s="1" t="str">
        <f>HYPERLINK("http://genome-euro.ucsc.edu/cgi-bin/hgTracks?position=202160_at","UCSC")</f>
        <v>UCSC</v>
      </c>
      <c r="E8142" s="1" t="str">
        <f>HYPERLINK("http://www.ncbi.nlm.nih.gov/gene/?term=CREBBP","NCBI")</f>
        <v>NCBI</v>
      </c>
      <c r="F8142">
        <v>0.13</v>
      </c>
      <c r="G8142">
        <v>0.27</v>
      </c>
      <c r="H8142" s="1" t="str">
        <f>HYPERLINK("http://www.weizmann.ac.il/complex/compphys/software/geview/data/figures/202160_at.png","Figure")</f>
        <v>Figure</v>
      </c>
      <c r="I8142">
        <v>1.07</v>
      </c>
      <c r="J8142">
        <v>0.94</v>
      </c>
      <c r="K8142">
        <v>0.74</v>
      </c>
      <c r="L8142">
        <v>0.24</v>
      </c>
      <c r="M8142">
        <v>0.68899999999999995</v>
      </c>
      <c r="N8142">
        <v>0.16</v>
      </c>
    </row>
    <row r="8143" spans="1:14" x14ac:dyDescent="0.25">
      <c r="A8143" t="s">
        <v>14429</v>
      </c>
      <c r="B8143" t="s">
        <v>14430</v>
      </c>
      <c r="C8143" s="1" t="str">
        <f>HYPERLINK("http://www.genecards.org/cgi-bin/carddisp.pl?gene=KRT75","GeneCards")</f>
        <v>GeneCards</v>
      </c>
      <c r="D8143" s="1" t="str">
        <f>HYPERLINK("http://genome-euro.ucsc.edu/cgi-bin/hgTracks?position=207065_at","UCSC")</f>
        <v>UCSC</v>
      </c>
      <c r="E8143" s="1" t="str">
        <f>HYPERLINK("http://www.ncbi.nlm.nih.gov/gene/?term=KRT75","NCBI")</f>
        <v>NCBI</v>
      </c>
      <c r="F8143">
        <v>0.13</v>
      </c>
      <c r="G8143">
        <v>0.27</v>
      </c>
      <c r="H8143" s="1" t="str">
        <f>HYPERLINK("http://www.weizmann.ac.il/complex/compphys/software/geview/data/figures/207065_at.png","Figure")</f>
        <v>Figure</v>
      </c>
      <c r="I8143">
        <v>0.95099999999999996</v>
      </c>
      <c r="J8143">
        <v>0.73</v>
      </c>
      <c r="K8143">
        <v>0.88400000000000001</v>
      </c>
      <c r="L8143">
        <v>0.11</v>
      </c>
      <c r="M8143">
        <v>0.92900000000000005</v>
      </c>
      <c r="N8143">
        <v>0.47</v>
      </c>
    </row>
    <row r="8144" spans="1:14" x14ac:dyDescent="0.25">
      <c r="A8144" t="s">
        <v>14431</v>
      </c>
      <c r="B8144" t="s">
        <v>14432</v>
      </c>
      <c r="C8144" s="1" t="str">
        <f>HYPERLINK("http://www.genecards.org/cgi-bin/carddisp.pl?gene=LPCAT1","GeneCards")</f>
        <v>GeneCards</v>
      </c>
      <c r="D8144" s="1" t="str">
        <f>HYPERLINK("http://genome-euro.ucsc.edu/cgi-bin/hgTracks?position=201818_at","UCSC")</f>
        <v>UCSC</v>
      </c>
      <c r="E8144" s="1" t="str">
        <f>HYPERLINK("http://www.ncbi.nlm.nih.gov/gene/?term=LPCAT1","NCBI")</f>
        <v>NCBI</v>
      </c>
      <c r="F8144">
        <v>0.13</v>
      </c>
      <c r="G8144">
        <v>0.27</v>
      </c>
      <c r="H8144" s="1" t="str">
        <f>HYPERLINK("http://www.weizmann.ac.il/complex/compphys/software/geview/data/figures/201818_at.png","Figure")</f>
        <v>Figure</v>
      </c>
      <c r="I8144">
        <v>0.90500000000000003</v>
      </c>
      <c r="J8144">
        <v>0.72</v>
      </c>
      <c r="K8144">
        <v>1.1599999999999999</v>
      </c>
      <c r="L8144">
        <v>0.39</v>
      </c>
      <c r="M8144">
        <v>1.28</v>
      </c>
      <c r="N8144">
        <v>0.12</v>
      </c>
    </row>
    <row r="8145" spans="1:14" x14ac:dyDescent="0.25">
      <c r="A8145" t="s">
        <v>14433</v>
      </c>
      <c r="B8145" t="s">
        <v>9823</v>
      </c>
      <c r="C8145" s="1" t="str">
        <f>HYPERLINK("http://www.genecards.org/cgi-bin/carddisp.pl?gene=DBI","GeneCards")</f>
        <v>GeneCards</v>
      </c>
      <c r="D8145" s="1" t="str">
        <f>HYPERLINK("http://genome-euro.ucsc.edu/cgi-bin/hgTracks?position=202428_x_at","UCSC")</f>
        <v>UCSC</v>
      </c>
      <c r="E8145" s="1" t="str">
        <f>HYPERLINK("http://www.ncbi.nlm.nih.gov/gene/?term=DBI","NCBI")</f>
        <v>NCBI</v>
      </c>
      <c r="F8145">
        <v>0.13</v>
      </c>
      <c r="G8145">
        <v>0.27</v>
      </c>
      <c r="H8145" s="1" t="str">
        <f>HYPERLINK("http://www.weizmann.ac.il/complex/compphys/software/geview/data/figures/202428_x_at.png","Figure")</f>
        <v>Figure</v>
      </c>
      <c r="I8145">
        <v>1.38</v>
      </c>
      <c r="J8145">
        <v>0.48</v>
      </c>
      <c r="K8145">
        <v>1.67</v>
      </c>
      <c r="L8145">
        <v>0.11</v>
      </c>
      <c r="M8145">
        <v>1.22</v>
      </c>
      <c r="N8145">
        <v>0.72</v>
      </c>
    </row>
    <row r="8146" spans="1:14" x14ac:dyDescent="0.25">
      <c r="A8146" t="s">
        <v>14434</v>
      </c>
      <c r="B8146" t="s">
        <v>10806</v>
      </c>
      <c r="C8146" s="1" t="str">
        <f>HYPERLINK("http://www.genecards.org/cgi-bin/carddisp.pl?gene=STOML1","GeneCards")</f>
        <v>GeneCards</v>
      </c>
      <c r="D8146" s="1" t="str">
        <f>HYPERLINK("http://genome-euro.ucsc.edu/cgi-bin/hgTracks?position=204701_s_at","UCSC")</f>
        <v>UCSC</v>
      </c>
      <c r="E8146" s="1" t="str">
        <f>HYPERLINK("http://www.ncbi.nlm.nih.gov/gene/?term=STOML1","NCBI")</f>
        <v>NCBI</v>
      </c>
      <c r="F8146">
        <v>0.13</v>
      </c>
      <c r="G8146">
        <v>0.27</v>
      </c>
      <c r="H8146" s="1" t="str">
        <f>HYPERLINK("http://www.weizmann.ac.il/complex/compphys/software/geview/data/figures/204701_s_at.png","Figure")</f>
        <v>Figure</v>
      </c>
      <c r="I8146">
        <v>1.1499999999999999</v>
      </c>
      <c r="J8146">
        <v>0.23</v>
      </c>
      <c r="K8146">
        <v>1.1499999999999999</v>
      </c>
      <c r="L8146">
        <v>0.14000000000000001</v>
      </c>
      <c r="M8146">
        <v>1</v>
      </c>
      <c r="N8146">
        <v>1</v>
      </c>
    </row>
    <row r="8147" spans="1:14" x14ac:dyDescent="0.25">
      <c r="A8147" t="s">
        <v>14435</v>
      </c>
      <c r="B8147" t="s">
        <v>10108</v>
      </c>
      <c r="C8147" s="1" t="str">
        <f>HYPERLINK("http://www.genecards.org/cgi-bin/carddisp.pl?gene=IFNAR2","GeneCards")</f>
        <v>GeneCards</v>
      </c>
      <c r="D8147" s="1" t="str">
        <f>HYPERLINK("http://genome-euro.ucsc.edu/cgi-bin/hgTracks?position=204785_x_at","UCSC")</f>
        <v>UCSC</v>
      </c>
      <c r="E8147" s="1" t="str">
        <f>HYPERLINK("http://www.ncbi.nlm.nih.gov/gene/?term=IFNAR2","NCBI")</f>
        <v>NCBI</v>
      </c>
      <c r="F8147">
        <v>0.13</v>
      </c>
      <c r="G8147">
        <v>0.27</v>
      </c>
      <c r="H8147" s="1" t="str">
        <f>HYPERLINK("http://www.weizmann.ac.il/complex/compphys/software/geview/data/figures/204785_x_at.png","Figure")</f>
        <v>Figure</v>
      </c>
      <c r="I8147">
        <v>0.76600000000000001</v>
      </c>
      <c r="J8147">
        <v>0.12</v>
      </c>
      <c r="K8147">
        <v>0.93799999999999994</v>
      </c>
      <c r="L8147">
        <v>0.83</v>
      </c>
      <c r="M8147">
        <v>1.22</v>
      </c>
      <c r="N8147">
        <v>0.23</v>
      </c>
    </row>
    <row r="8148" spans="1:14" x14ac:dyDescent="0.25">
      <c r="A8148" t="s">
        <v>14436</v>
      </c>
      <c r="B8148" t="s">
        <v>14437</v>
      </c>
      <c r="C8148" s="1" t="str">
        <f>HYPERLINK("http://www.genecards.org/cgi-bin/carddisp.pl?gene=ST8SIA5","GeneCards")</f>
        <v>GeneCards</v>
      </c>
      <c r="D8148" s="1" t="str">
        <f>HYPERLINK("http://genome-euro.ucsc.edu/cgi-bin/hgTracks?position=206258_at","UCSC")</f>
        <v>UCSC</v>
      </c>
      <c r="E8148" s="1" t="str">
        <f>HYPERLINK("http://www.ncbi.nlm.nih.gov/gene/?term=ST8SIA5","NCBI")</f>
        <v>NCBI</v>
      </c>
      <c r="F8148">
        <v>0.13</v>
      </c>
      <c r="G8148">
        <v>0.27</v>
      </c>
      <c r="H8148" s="1" t="str">
        <f>HYPERLINK("http://www.weizmann.ac.il/complex/compphys/software/geview/data/figures/206258_at.png","Figure")</f>
        <v>Figure</v>
      </c>
      <c r="I8148">
        <v>1.1499999999999999</v>
      </c>
      <c r="J8148">
        <v>0.15</v>
      </c>
      <c r="K8148">
        <v>1.01</v>
      </c>
      <c r="L8148">
        <v>0.98</v>
      </c>
      <c r="M8148">
        <v>0.88100000000000001</v>
      </c>
      <c r="N8148">
        <v>0.17</v>
      </c>
    </row>
    <row r="8149" spans="1:14" x14ac:dyDescent="0.25">
      <c r="A8149" t="s">
        <v>14438</v>
      </c>
      <c r="B8149" t="s">
        <v>14439</v>
      </c>
      <c r="C8149" s="1" t="str">
        <f>HYPERLINK("http://www.genecards.org/cgi-bin/carddisp.pl?gene=LTA","GeneCards")</f>
        <v>GeneCards</v>
      </c>
      <c r="D8149" s="1" t="str">
        <f>HYPERLINK("http://genome-euro.ucsc.edu/cgi-bin/hgTracks?position=206975_at","UCSC")</f>
        <v>UCSC</v>
      </c>
      <c r="E8149" s="1" t="str">
        <f>HYPERLINK("http://www.ncbi.nlm.nih.gov/gene/?term=LTA","NCBI")</f>
        <v>NCBI</v>
      </c>
      <c r="F8149">
        <v>0.13</v>
      </c>
      <c r="G8149">
        <v>0.27</v>
      </c>
      <c r="H8149" s="1" t="str">
        <f>HYPERLINK("http://www.weizmann.ac.il/complex/compphys/software/geview/data/figures/206975_at.png","Figure")</f>
        <v>Figure</v>
      </c>
      <c r="I8149">
        <v>1.18</v>
      </c>
      <c r="J8149">
        <v>0.11</v>
      </c>
      <c r="K8149">
        <v>1.07</v>
      </c>
      <c r="L8149">
        <v>0.63</v>
      </c>
      <c r="M8149">
        <v>0.89900000000000002</v>
      </c>
      <c r="N8149">
        <v>0.34</v>
      </c>
    </row>
    <row r="8150" spans="1:14" x14ac:dyDescent="0.25">
      <c r="A8150" t="s">
        <v>14440</v>
      </c>
      <c r="B8150" t="s">
        <v>14441</v>
      </c>
      <c r="C8150" s="1" t="str">
        <f>HYPERLINK("http://www.genecards.org/cgi-bin/carddisp.pl?gene=SPOP","GeneCards")</f>
        <v>GeneCards</v>
      </c>
      <c r="D8150" s="1" t="str">
        <f>HYPERLINK("http://genome-euro.ucsc.edu/cgi-bin/hgTracks?position=208927_at","UCSC")</f>
        <v>UCSC</v>
      </c>
      <c r="E8150" s="1" t="str">
        <f>HYPERLINK("http://www.ncbi.nlm.nih.gov/gene/?term=SPOP","NCBI")</f>
        <v>NCBI</v>
      </c>
      <c r="F8150">
        <v>0.13</v>
      </c>
      <c r="G8150">
        <v>0.27</v>
      </c>
      <c r="H8150" s="1" t="str">
        <f>HYPERLINK("http://www.weizmann.ac.il/complex/compphys/software/geview/data/figures/208927_at.png","Figure")</f>
        <v>Figure</v>
      </c>
      <c r="I8150">
        <v>0.49299999999999999</v>
      </c>
      <c r="J8150">
        <v>0.15</v>
      </c>
      <c r="K8150">
        <v>0.91800000000000004</v>
      </c>
      <c r="L8150">
        <v>0.96</v>
      </c>
      <c r="M8150">
        <v>1.86</v>
      </c>
      <c r="N8150">
        <v>0.18</v>
      </c>
    </row>
    <row r="8151" spans="1:14" x14ac:dyDescent="0.25">
      <c r="A8151" t="s">
        <v>14442</v>
      </c>
      <c r="B8151" t="s">
        <v>14443</v>
      </c>
      <c r="C8151" s="1" t="str">
        <f>HYPERLINK("http://www.genecards.org/cgi-bin/carddisp.pl?gene=SMAD6","GeneCards")</f>
        <v>GeneCards</v>
      </c>
      <c r="D8151" s="1" t="str">
        <f>HYPERLINK("http://genome-euro.ucsc.edu/cgi-bin/hgTracks?position=209886_s_at","UCSC")</f>
        <v>UCSC</v>
      </c>
      <c r="E8151" s="1" t="str">
        <f>HYPERLINK("http://www.ncbi.nlm.nih.gov/gene/?term=SMAD6","NCBI")</f>
        <v>NCBI</v>
      </c>
      <c r="F8151">
        <v>0.13</v>
      </c>
      <c r="G8151">
        <v>0.27</v>
      </c>
      <c r="H8151" s="1" t="str">
        <f>HYPERLINK("http://www.weizmann.ac.il/complex/compphys/software/geview/data/figures/209886_s_at.png","Figure")</f>
        <v>Figure</v>
      </c>
      <c r="I8151">
        <v>1.1599999999999999</v>
      </c>
      <c r="J8151">
        <v>0.11</v>
      </c>
      <c r="K8151">
        <v>1.05</v>
      </c>
      <c r="L8151">
        <v>0.68</v>
      </c>
      <c r="M8151">
        <v>0.90600000000000003</v>
      </c>
      <c r="N8151">
        <v>0.31</v>
      </c>
    </row>
    <row r="8152" spans="1:14" x14ac:dyDescent="0.25">
      <c r="A8152" t="s">
        <v>14444</v>
      </c>
      <c r="B8152" t="s">
        <v>5429</v>
      </c>
      <c r="C8152" s="1" t="str">
        <f>HYPERLINK("http://www.genecards.org/cgi-bin/carddisp.pl?gene=KIAA1467","GeneCards")</f>
        <v>GeneCards</v>
      </c>
      <c r="D8152" s="1" t="str">
        <f>HYPERLINK("http://genome-euro.ucsc.edu/cgi-bin/hgTracks?position=213234_at","UCSC")</f>
        <v>UCSC</v>
      </c>
      <c r="E8152" s="1" t="str">
        <f>HYPERLINK("http://www.ncbi.nlm.nih.gov/gene/?term=KIAA1467","NCBI")</f>
        <v>NCBI</v>
      </c>
      <c r="F8152">
        <v>0.13</v>
      </c>
      <c r="G8152">
        <v>0.27</v>
      </c>
      <c r="H8152" s="1" t="str">
        <f>HYPERLINK("http://www.weizmann.ac.il/complex/compphys/software/geview/data/figures/213234_at.png","Figure")</f>
        <v>Figure</v>
      </c>
      <c r="I8152">
        <v>1.02</v>
      </c>
      <c r="J8152">
        <v>0.96</v>
      </c>
      <c r="K8152">
        <v>1.1599999999999999</v>
      </c>
      <c r="L8152">
        <v>0.15</v>
      </c>
      <c r="M8152">
        <v>1.1299999999999999</v>
      </c>
      <c r="N8152">
        <v>0.28999999999999998</v>
      </c>
    </row>
    <row r="8153" spans="1:14" x14ac:dyDescent="0.25">
      <c r="A8153" t="s">
        <v>14445</v>
      </c>
      <c r="B8153" t="s">
        <v>13179</v>
      </c>
      <c r="C8153" s="1" t="str">
        <f>HYPERLINK("http://www.genecards.org/cgi-bin/carddisp.pl?gene=ALDOA","GeneCards")</f>
        <v>GeneCards</v>
      </c>
      <c r="D8153" s="1" t="str">
        <f>HYPERLINK("http://genome-euro.ucsc.edu/cgi-bin/hgTracks?position=214687_x_at","UCSC")</f>
        <v>UCSC</v>
      </c>
      <c r="E8153" s="1" t="str">
        <f>HYPERLINK("http://www.ncbi.nlm.nih.gov/gene/?term=ALDOA","NCBI")</f>
        <v>NCBI</v>
      </c>
      <c r="F8153">
        <v>0.13</v>
      </c>
      <c r="G8153">
        <v>0.27</v>
      </c>
      <c r="H8153" s="1" t="str">
        <f>HYPERLINK("http://www.weizmann.ac.il/complex/compphys/software/geview/data/figures/214687_x_at.png","Figure")</f>
        <v>Figure</v>
      </c>
      <c r="I8153">
        <v>1.32</v>
      </c>
      <c r="J8153">
        <v>0.34</v>
      </c>
      <c r="K8153">
        <v>1.44</v>
      </c>
      <c r="L8153">
        <v>0.12</v>
      </c>
      <c r="M8153">
        <v>1.0900000000000001</v>
      </c>
      <c r="N8153">
        <v>0.89</v>
      </c>
    </row>
    <row r="8154" spans="1:14" x14ac:dyDescent="0.25">
      <c r="A8154" t="s">
        <v>14446</v>
      </c>
      <c r="B8154" t="s">
        <v>12120</v>
      </c>
      <c r="C8154" s="1" t="str">
        <f>HYPERLINK("http://www.genecards.org/cgi-bin/carddisp.pl?gene=DBN1","GeneCards")</f>
        <v>GeneCards</v>
      </c>
      <c r="D8154" s="1" t="str">
        <f>HYPERLINK("http://genome-euro.ucsc.edu/cgi-bin/hgTracks?position=217025_s_at","UCSC")</f>
        <v>UCSC</v>
      </c>
      <c r="E8154" s="1" t="str">
        <f>HYPERLINK("http://www.ncbi.nlm.nih.gov/gene/?term=DBN1","NCBI")</f>
        <v>NCBI</v>
      </c>
      <c r="F8154">
        <v>0.13</v>
      </c>
      <c r="G8154">
        <v>0.27</v>
      </c>
      <c r="H8154" s="1" t="str">
        <f>HYPERLINK("http://www.weizmann.ac.il/complex/compphys/software/geview/data/figures/217025_s_at.png","Figure")</f>
        <v>Figure</v>
      </c>
      <c r="I8154">
        <v>1.33</v>
      </c>
      <c r="J8154">
        <v>0.14000000000000001</v>
      </c>
      <c r="K8154">
        <v>1.23</v>
      </c>
      <c r="L8154">
        <v>0.23</v>
      </c>
      <c r="M8154">
        <v>0.92700000000000005</v>
      </c>
      <c r="N8154">
        <v>0.83</v>
      </c>
    </row>
    <row r="8155" spans="1:14" x14ac:dyDescent="0.25">
      <c r="A8155" t="s">
        <v>14447</v>
      </c>
      <c r="B8155" t="s">
        <v>2059</v>
      </c>
      <c r="C8155" s="1" t="str">
        <f>HYPERLINK("http://www.genecards.org/cgi-bin/carddisp.pl?gene=AGFG2","GeneCards")</f>
        <v>GeneCards</v>
      </c>
      <c r="D8155" s="1" t="str">
        <f>HYPERLINK("http://genome-euro.ucsc.edu/cgi-bin/hgTracks?position=217450_at","UCSC")</f>
        <v>UCSC</v>
      </c>
      <c r="E8155" s="1" t="str">
        <f>HYPERLINK("http://www.ncbi.nlm.nih.gov/gene/?term=AGFG2","NCBI")</f>
        <v>NCBI</v>
      </c>
      <c r="F8155">
        <v>0.13</v>
      </c>
      <c r="G8155">
        <v>0.27</v>
      </c>
      <c r="H8155" s="1" t="str">
        <f>HYPERLINK("http://www.weizmann.ac.il/complex/compphys/software/geview/data/figures/217450_at.png","Figure")</f>
        <v>Figure</v>
      </c>
      <c r="I8155">
        <v>1.1000000000000001</v>
      </c>
      <c r="J8155">
        <v>0.13</v>
      </c>
      <c r="K8155">
        <v>1.06</v>
      </c>
      <c r="L8155">
        <v>0.27</v>
      </c>
      <c r="M8155">
        <v>0.97099999999999997</v>
      </c>
      <c r="N8155">
        <v>0.75</v>
      </c>
    </row>
    <row r="8156" spans="1:14" x14ac:dyDescent="0.25">
      <c r="A8156" t="s">
        <v>14448</v>
      </c>
      <c r="B8156" t="s">
        <v>10025</v>
      </c>
      <c r="C8156" s="1" t="str">
        <f>HYPERLINK("http://www.genecards.org/cgi-bin/carddisp.pl?gene=PLA2G6","GeneCards")</f>
        <v>GeneCards</v>
      </c>
      <c r="D8156" s="1" t="str">
        <f>HYPERLINK("http://genome-euro.ucsc.edu/cgi-bin/hgTracks?position=210647_x_at","UCSC")</f>
        <v>UCSC</v>
      </c>
      <c r="E8156" s="1" t="str">
        <f>HYPERLINK("http://www.ncbi.nlm.nih.gov/gene/?term=PLA2G6","NCBI")</f>
        <v>NCBI</v>
      </c>
      <c r="F8156">
        <v>0.13</v>
      </c>
      <c r="G8156">
        <v>0.27</v>
      </c>
      <c r="H8156" s="1" t="str">
        <f>HYPERLINK("http://www.weizmann.ac.il/complex/compphys/software/geview/data/figures/210647_x_at.png","Figure")</f>
        <v>Figure</v>
      </c>
      <c r="I8156">
        <v>1.31</v>
      </c>
      <c r="J8156">
        <v>0.11</v>
      </c>
      <c r="K8156">
        <v>1.1399999999999999</v>
      </c>
      <c r="L8156">
        <v>0.45</v>
      </c>
      <c r="M8156">
        <v>0.872</v>
      </c>
      <c r="N8156">
        <v>0.48</v>
      </c>
    </row>
    <row r="8157" spans="1:14" x14ac:dyDescent="0.25">
      <c r="A8157" t="s">
        <v>14449</v>
      </c>
      <c r="B8157" t="s">
        <v>14450</v>
      </c>
      <c r="C8157" s="1" t="str">
        <f>HYPERLINK("http://www.genecards.org/cgi-bin/carddisp.pl?gene=TRAPPC4","GeneCards")</f>
        <v>GeneCards</v>
      </c>
      <c r="D8157" s="1" t="str">
        <f>HYPERLINK("http://genome-euro.ucsc.edu/cgi-bin/hgTracks?position=217958_at","UCSC")</f>
        <v>UCSC</v>
      </c>
      <c r="E8157" s="1" t="str">
        <f>HYPERLINK("http://www.ncbi.nlm.nih.gov/gene/?term=TRAPPC4","NCBI")</f>
        <v>NCBI</v>
      </c>
      <c r="F8157">
        <v>0.13</v>
      </c>
      <c r="G8157">
        <v>0.27</v>
      </c>
      <c r="H8157" s="1" t="str">
        <f>HYPERLINK("http://www.weizmann.ac.il/complex/compphys/software/geview/data/figures/217958_at.png","Figure")</f>
        <v>Figure</v>
      </c>
      <c r="I8157">
        <v>1.04</v>
      </c>
      <c r="J8157">
        <v>0.95</v>
      </c>
      <c r="K8157">
        <v>0.83099999999999996</v>
      </c>
      <c r="L8157">
        <v>0.23</v>
      </c>
      <c r="M8157">
        <v>0.80100000000000005</v>
      </c>
      <c r="N8157">
        <v>0.17</v>
      </c>
    </row>
    <row r="8158" spans="1:14" x14ac:dyDescent="0.25">
      <c r="A8158" t="s">
        <v>14451</v>
      </c>
      <c r="B8158" t="s">
        <v>14452</v>
      </c>
      <c r="C8158" s="1" t="str">
        <f>HYPERLINK("http://www.genecards.org/cgi-bin/carddisp.pl?gene=TPD52L1","GeneCards")</f>
        <v>GeneCards</v>
      </c>
      <c r="D8158" s="1" t="str">
        <f>HYPERLINK("http://genome-euro.ucsc.edu/cgi-bin/hgTracks?position=203786_s_at","UCSC")</f>
        <v>UCSC</v>
      </c>
      <c r="E8158" s="1" t="str">
        <f>HYPERLINK("http://www.ncbi.nlm.nih.gov/gene/?term=TPD52L1","NCBI")</f>
        <v>NCBI</v>
      </c>
      <c r="F8158">
        <v>0.13</v>
      </c>
      <c r="G8158">
        <v>0.27</v>
      </c>
      <c r="H8158" s="1" t="str">
        <f>HYPERLINK("http://www.weizmann.ac.il/complex/compphys/software/geview/data/figures/203786_s_at.png","Figure")</f>
        <v>Figure</v>
      </c>
      <c r="I8158">
        <v>1.07</v>
      </c>
      <c r="J8158">
        <v>0.4</v>
      </c>
      <c r="K8158">
        <v>0.96399999999999997</v>
      </c>
      <c r="L8158">
        <v>0.7</v>
      </c>
      <c r="M8158">
        <v>0.9</v>
      </c>
      <c r="N8158">
        <v>0.11</v>
      </c>
    </row>
    <row r="8159" spans="1:14" x14ac:dyDescent="0.25">
      <c r="A8159" t="s">
        <v>14453</v>
      </c>
      <c r="B8159" t="s">
        <v>14454</v>
      </c>
      <c r="C8159" s="1" t="str">
        <f>HYPERLINK("http://www.genecards.org/cgi-bin/carddisp.pl?gene=STAU1","GeneCards")</f>
        <v>GeneCards</v>
      </c>
      <c r="D8159" s="1" t="str">
        <f>HYPERLINK("http://genome-euro.ucsc.edu/cgi-bin/hgTracks?position=207320_x_at","UCSC")</f>
        <v>UCSC</v>
      </c>
      <c r="E8159" s="1" t="str">
        <f>HYPERLINK("http://www.ncbi.nlm.nih.gov/gene/?term=STAU1","NCBI")</f>
        <v>NCBI</v>
      </c>
      <c r="F8159">
        <v>0.13</v>
      </c>
      <c r="G8159">
        <v>0.27</v>
      </c>
      <c r="H8159" s="1" t="str">
        <f>HYPERLINK("http://www.weizmann.ac.il/complex/compphys/software/geview/data/figures/207320_x_at.png","Figure")</f>
        <v>Figure</v>
      </c>
      <c r="I8159">
        <v>1.3</v>
      </c>
      <c r="J8159">
        <v>0.37</v>
      </c>
      <c r="K8159">
        <v>0.88500000000000001</v>
      </c>
      <c r="L8159">
        <v>0.74</v>
      </c>
      <c r="M8159">
        <v>0.67900000000000005</v>
      </c>
      <c r="N8159">
        <v>0.11</v>
      </c>
    </row>
    <row r="8160" spans="1:14" x14ac:dyDescent="0.25">
      <c r="A8160" t="s">
        <v>14455</v>
      </c>
      <c r="B8160" t="s">
        <v>10685</v>
      </c>
      <c r="C8160" s="1" t="str">
        <f>HYPERLINK("http://www.genecards.org/cgi-bin/carddisp.pl?gene=CCKAR","GeneCards")</f>
        <v>GeneCards</v>
      </c>
      <c r="D8160" s="1" t="str">
        <f>HYPERLINK("http://genome-euro.ucsc.edu/cgi-bin/hgTracks?position=211174_s_at","UCSC")</f>
        <v>UCSC</v>
      </c>
      <c r="E8160" s="1" t="str">
        <f>HYPERLINK("http://www.ncbi.nlm.nih.gov/gene/?term=CCKAR","NCBI")</f>
        <v>NCBI</v>
      </c>
      <c r="F8160">
        <v>0.13</v>
      </c>
      <c r="G8160">
        <v>0.27</v>
      </c>
      <c r="H8160" s="1" t="str">
        <f>HYPERLINK("http://www.weizmann.ac.il/complex/compphys/software/geview/data/figures/211174_s_at.png","Figure")</f>
        <v>Figure</v>
      </c>
      <c r="I8160">
        <v>0.98</v>
      </c>
      <c r="J8160">
        <v>0.97</v>
      </c>
      <c r="K8160">
        <v>1.1399999999999999</v>
      </c>
      <c r="L8160">
        <v>0.22</v>
      </c>
      <c r="M8160">
        <v>1.17</v>
      </c>
      <c r="N8160">
        <v>0.18</v>
      </c>
    </row>
    <row r="8161" spans="1:14" x14ac:dyDescent="0.25">
      <c r="A8161" t="s">
        <v>14456</v>
      </c>
      <c r="B8161" t="s">
        <v>14457</v>
      </c>
      <c r="C8161" s="1" t="str">
        <f>HYPERLINK("http://www.genecards.org/cgi-bin/carddisp.pl?gene=NHP2L1","GeneCards")</f>
        <v>GeneCards</v>
      </c>
      <c r="D8161" s="1" t="str">
        <f>HYPERLINK("http://genome-euro.ucsc.edu/cgi-bin/hgTracks?position=201077_s_at","UCSC")</f>
        <v>UCSC</v>
      </c>
      <c r="E8161" s="1" t="str">
        <f>HYPERLINK("http://www.ncbi.nlm.nih.gov/gene/?term=NHP2L1","NCBI")</f>
        <v>NCBI</v>
      </c>
      <c r="F8161">
        <v>0.13</v>
      </c>
      <c r="G8161">
        <v>0.27</v>
      </c>
      <c r="H8161" s="1" t="str">
        <f>HYPERLINK("http://www.weizmann.ac.il/complex/compphys/software/geview/data/figures/201077_s_at.png","Figure")</f>
        <v>Figure</v>
      </c>
      <c r="I8161">
        <v>0.98</v>
      </c>
      <c r="J8161">
        <v>0.99</v>
      </c>
      <c r="K8161">
        <v>0.79800000000000004</v>
      </c>
      <c r="L8161">
        <v>0.16</v>
      </c>
      <c r="M8161">
        <v>0.81399999999999995</v>
      </c>
      <c r="N8161">
        <v>0.25</v>
      </c>
    </row>
    <row r="8162" spans="1:14" x14ac:dyDescent="0.25">
      <c r="A8162" t="s">
        <v>14458</v>
      </c>
      <c r="B8162" t="s">
        <v>14086</v>
      </c>
      <c r="C8162" s="1" t="str">
        <f>HYPERLINK("http://www.genecards.org/cgi-bin/carddisp.pl?gene=ANGPTL2","GeneCards")</f>
        <v>GeneCards</v>
      </c>
      <c r="D8162" s="1" t="str">
        <f>HYPERLINK("http://genome-euro.ucsc.edu/cgi-bin/hgTracks?position=213001_at","UCSC")</f>
        <v>UCSC</v>
      </c>
      <c r="E8162" s="1" t="str">
        <f>HYPERLINK("http://www.ncbi.nlm.nih.gov/gene/?term=ANGPTL2","NCBI")</f>
        <v>NCBI</v>
      </c>
      <c r="F8162">
        <v>0.13</v>
      </c>
      <c r="G8162">
        <v>0.27</v>
      </c>
      <c r="H8162" s="1" t="str">
        <f>HYPERLINK("http://www.weizmann.ac.il/complex/compphys/software/geview/data/figures/213001_at.png","Figure")</f>
        <v>Figure</v>
      </c>
      <c r="I8162">
        <v>1.27</v>
      </c>
      <c r="J8162">
        <v>0.18</v>
      </c>
      <c r="K8162">
        <v>1</v>
      </c>
      <c r="L8162">
        <v>1</v>
      </c>
      <c r="M8162">
        <v>0.78900000000000003</v>
      </c>
      <c r="N8162">
        <v>0.15</v>
      </c>
    </row>
    <row r="8163" spans="1:14" x14ac:dyDescent="0.25">
      <c r="A8163" t="s">
        <v>14459</v>
      </c>
      <c r="B8163" t="s">
        <v>14460</v>
      </c>
      <c r="C8163" s="1" t="str">
        <f>HYPERLINK("http://www.genecards.org/cgi-bin/carddisp.pl?gene=RUNX1T1","GeneCards")</f>
        <v>GeneCards</v>
      </c>
      <c r="D8163" s="1" t="str">
        <f>HYPERLINK("http://genome-euro.ucsc.edu/cgi-bin/hgTracks?position=216832_at","UCSC")</f>
        <v>UCSC</v>
      </c>
      <c r="E8163" s="1" t="str">
        <f>HYPERLINK("http://www.ncbi.nlm.nih.gov/gene/?term=RUNX1T1","NCBI")</f>
        <v>NCBI</v>
      </c>
      <c r="F8163">
        <v>0.13</v>
      </c>
      <c r="G8163">
        <v>0.27</v>
      </c>
      <c r="H8163" s="1" t="str">
        <f>HYPERLINK("http://www.weizmann.ac.il/complex/compphys/software/geview/data/figures/216832_at.png","Figure")</f>
        <v>Figure</v>
      </c>
      <c r="I8163">
        <v>1.1599999999999999</v>
      </c>
      <c r="J8163">
        <v>0.22</v>
      </c>
      <c r="K8163">
        <v>0.98299999999999998</v>
      </c>
      <c r="L8163">
        <v>0.97</v>
      </c>
      <c r="M8163">
        <v>0.84899999999999998</v>
      </c>
      <c r="N8163">
        <v>0.13</v>
      </c>
    </row>
    <row r="8164" spans="1:14" x14ac:dyDescent="0.25">
      <c r="A8164" t="s">
        <v>14461</v>
      </c>
      <c r="B8164" t="s">
        <v>14462</v>
      </c>
      <c r="C8164" s="1" t="str">
        <f>HYPERLINK("http://www.genecards.org/cgi-bin/carddisp.pl?gene=LOC100286937 /// LOC100287164 /// RASA4","GeneCards")</f>
        <v>GeneCards</v>
      </c>
      <c r="D8164" s="1" t="str">
        <f>HYPERLINK("http://genome-euro.ucsc.edu/cgi-bin/hgTracks?position=212706_at","UCSC")</f>
        <v>UCSC</v>
      </c>
      <c r="E8164" s="1" t="str">
        <f>HYPERLINK("http://www.ncbi.nlm.nih.gov/gene/?term=LOC100286937 /// LOC100287164 /// RASA4","NCBI")</f>
        <v>NCBI</v>
      </c>
      <c r="F8164">
        <v>0.13</v>
      </c>
      <c r="G8164">
        <v>0.27</v>
      </c>
      <c r="H8164" s="1" t="str">
        <f>HYPERLINK("http://www.weizmann.ac.il/complex/compphys/software/geview/data/figures/212706_at.png","Figure")</f>
        <v>Figure</v>
      </c>
      <c r="I8164">
        <v>0.92</v>
      </c>
      <c r="J8164">
        <v>0.96</v>
      </c>
      <c r="K8164">
        <v>0.56399999999999995</v>
      </c>
      <c r="L8164">
        <v>0.15</v>
      </c>
      <c r="M8164">
        <v>0.61299999999999999</v>
      </c>
      <c r="N8164">
        <v>0.28000000000000003</v>
      </c>
    </row>
    <row r="8165" spans="1:14" x14ac:dyDescent="0.25">
      <c r="A8165" t="s">
        <v>14463</v>
      </c>
      <c r="B8165" t="s">
        <v>12650</v>
      </c>
      <c r="C8165" s="1" t="str">
        <f>HYPERLINK("http://www.genecards.org/cgi-bin/carddisp.pl?gene=TNK1","GeneCards")</f>
        <v>GeneCards</v>
      </c>
      <c r="D8165" s="1" t="str">
        <f>HYPERLINK("http://genome-euro.ucsc.edu/cgi-bin/hgTracks?position=205793_x_at","UCSC")</f>
        <v>UCSC</v>
      </c>
      <c r="E8165" s="1" t="str">
        <f>HYPERLINK("http://www.ncbi.nlm.nih.gov/gene/?term=TNK1","NCBI")</f>
        <v>NCBI</v>
      </c>
      <c r="F8165">
        <v>0.13</v>
      </c>
      <c r="G8165">
        <v>0.27</v>
      </c>
      <c r="H8165" s="1" t="str">
        <f>HYPERLINK("http://www.weizmann.ac.il/complex/compphys/software/geview/data/figures/205793_x_at.png","Figure")</f>
        <v>Figure</v>
      </c>
      <c r="I8165">
        <v>1.32</v>
      </c>
      <c r="J8165">
        <v>0.13</v>
      </c>
      <c r="K8165">
        <v>1.07</v>
      </c>
      <c r="L8165">
        <v>0.85</v>
      </c>
      <c r="M8165">
        <v>0.80400000000000005</v>
      </c>
      <c r="N8165">
        <v>0.22</v>
      </c>
    </row>
    <row r="8166" spans="1:14" x14ac:dyDescent="0.25">
      <c r="A8166" t="s">
        <v>14464</v>
      </c>
      <c r="B8166" t="s">
        <v>14465</v>
      </c>
      <c r="C8166" s="1" t="str">
        <f>HYPERLINK("http://www.genecards.org/cgi-bin/carddisp.pl?gene=RAP1GDS1","GeneCards")</f>
        <v>GeneCards</v>
      </c>
      <c r="D8166" s="1" t="str">
        <f>HYPERLINK("http://genome-euro.ucsc.edu/cgi-bin/hgTracks?position=209444_at","UCSC")</f>
        <v>UCSC</v>
      </c>
      <c r="E8166" s="1" t="str">
        <f>HYPERLINK("http://www.ncbi.nlm.nih.gov/gene/?term=RAP1GDS1","NCBI")</f>
        <v>NCBI</v>
      </c>
      <c r="F8166">
        <v>0.13</v>
      </c>
      <c r="G8166">
        <v>0.27</v>
      </c>
      <c r="H8166" s="1" t="str">
        <f>HYPERLINK("http://www.weizmann.ac.il/complex/compphys/software/geview/data/figures/209444_at.png","Figure")</f>
        <v>Figure</v>
      </c>
      <c r="I8166">
        <v>0.48599999999999999</v>
      </c>
      <c r="J8166">
        <v>0.13</v>
      </c>
      <c r="K8166">
        <v>0.85699999999999998</v>
      </c>
      <c r="L8166">
        <v>0.87</v>
      </c>
      <c r="M8166">
        <v>1.77</v>
      </c>
      <c r="N8166">
        <v>0.22</v>
      </c>
    </row>
    <row r="8167" spans="1:14" x14ac:dyDescent="0.25">
      <c r="A8167" t="s">
        <v>14466</v>
      </c>
      <c r="B8167" t="s">
        <v>14467</v>
      </c>
      <c r="C8167" s="1" t="str">
        <f>HYPERLINK("http://www.genecards.org/cgi-bin/carddisp.pl?gene=FAM168A","GeneCards")</f>
        <v>GeneCards</v>
      </c>
      <c r="D8167" s="1" t="str">
        <f>HYPERLINK("http://genome-euro.ucsc.edu/cgi-bin/hgTracks?position=212357_at","UCSC")</f>
        <v>UCSC</v>
      </c>
      <c r="E8167" s="1" t="str">
        <f>HYPERLINK("http://www.ncbi.nlm.nih.gov/gene/?term=FAM168A","NCBI")</f>
        <v>NCBI</v>
      </c>
      <c r="F8167">
        <v>0.13</v>
      </c>
      <c r="G8167">
        <v>0.27</v>
      </c>
      <c r="H8167" s="1" t="str">
        <f>HYPERLINK("http://www.weizmann.ac.il/complex/compphys/software/geview/data/figures/212357_at.png","Figure")</f>
        <v>Figure</v>
      </c>
      <c r="I8167">
        <v>0.83099999999999996</v>
      </c>
      <c r="J8167">
        <v>0.15</v>
      </c>
      <c r="K8167">
        <v>0.97699999999999998</v>
      </c>
      <c r="L8167">
        <v>0.96</v>
      </c>
      <c r="M8167">
        <v>1.18</v>
      </c>
      <c r="N8167">
        <v>0.18</v>
      </c>
    </row>
    <row r="8168" spans="1:14" x14ac:dyDescent="0.25">
      <c r="A8168" t="s">
        <v>14468</v>
      </c>
      <c r="B8168" t="s">
        <v>14469</v>
      </c>
      <c r="C8168" s="1" t="str">
        <f>HYPERLINK("http://www.genecards.org/cgi-bin/carddisp.pl?gene=EIF4E","GeneCards")</f>
        <v>GeneCards</v>
      </c>
      <c r="D8168" s="1" t="str">
        <f>HYPERLINK("http://genome-euro.ucsc.edu/cgi-bin/hgTracks?position=201437_s_at","UCSC")</f>
        <v>UCSC</v>
      </c>
      <c r="E8168" s="1" t="str">
        <f>HYPERLINK("http://www.ncbi.nlm.nih.gov/gene/?term=EIF4E","NCBI")</f>
        <v>NCBI</v>
      </c>
      <c r="F8168">
        <v>0.13</v>
      </c>
      <c r="G8168">
        <v>0.27</v>
      </c>
      <c r="H8168" s="1" t="str">
        <f>HYPERLINK("http://www.weizmann.ac.il/complex/compphys/software/geview/data/figures/201437_s_at.png","Figure")</f>
        <v>Figure</v>
      </c>
      <c r="I8168">
        <v>0.55200000000000005</v>
      </c>
      <c r="J8168">
        <v>0.13</v>
      </c>
      <c r="K8168">
        <v>0.67600000000000005</v>
      </c>
      <c r="L8168">
        <v>0.28000000000000003</v>
      </c>
      <c r="M8168">
        <v>1.23</v>
      </c>
      <c r="N8168">
        <v>0.72</v>
      </c>
    </row>
    <row r="8169" spans="1:14" x14ac:dyDescent="0.25">
      <c r="A8169" t="s">
        <v>14470</v>
      </c>
      <c r="B8169" t="s">
        <v>14471</v>
      </c>
      <c r="C8169" s="1" t="str">
        <f>HYPERLINK("http://www.genecards.org/cgi-bin/carddisp.pl?gene=PHF1","GeneCards")</f>
        <v>GeneCards</v>
      </c>
      <c r="D8169" s="1" t="str">
        <f>HYPERLINK("http://genome-euro.ucsc.edu/cgi-bin/hgTracks?position=40446_at","UCSC")</f>
        <v>UCSC</v>
      </c>
      <c r="E8169" s="1" t="str">
        <f>HYPERLINK("http://www.ncbi.nlm.nih.gov/gene/?term=PHF1","NCBI")</f>
        <v>NCBI</v>
      </c>
      <c r="F8169">
        <v>0.13</v>
      </c>
      <c r="G8169">
        <v>0.27</v>
      </c>
      <c r="H8169" s="1" t="str">
        <f>HYPERLINK("http://www.weizmann.ac.il/complex/compphys/software/geview/data/figures/40446_at.png","Figure")</f>
        <v>Figure</v>
      </c>
      <c r="I8169">
        <v>0.94</v>
      </c>
      <c r="J8169">
        <v>0.9</v>
      </c>
      <c r="K8169">
        <v>0.77700000000000002</v>
      </c>
      <c r="L8169">
        <v>0.13</v>
      </c>
      <c r="M8169">
        <v>0.82599999999999996</v>
      </c>
      <c r="N8169">
        <v>0.34</v>
      </c>
    </row>
    <row r="8170" spans="1:14" x14ac:dyDescent="0.25">
      <c r="A8170" t="s">
        <v>14472</v>
      </c>
      <c r="B8170" t="s">
        <v>7339</v>
      </c>
      <c r="C8170" s="1" t="str">
        <f>HYPERLINK("http://www.genecards.org/cgi-bin/carddisp.pl?gene=SYPL1","GeneCards")</f>
        <v>GeneCards</v>
      </c>
      <c r="D8170" s="1" t="str">
        <f>HYPERLINK("http://genome-euro.ucsc.edu/cgi-bin/hgTracks?position=201259_s_at","UCSC")</f>
        <v>UCSC</v>
      </c>
      <c r="E8170" s="1" t="str">
        <f>HYPERLINK("http://www.ncbi.nlm.nih.gov/gene/?term=SYPL1","NCBI")</f>
        <v>NCBI</v>
      </c>
      <c r="F8170">
        <v>0.13</v>
      </c>
      <c r="G8170">
        <v>0.27</v>
      </c>
      <c r="H8170" s="1" t="str">
        <f>HYPERLINK("http://www.weizmann.ac.il/complex/compphys/software/geview/data/figures/201259_s_at.png","Figure")</f>
        <v>Figure</v>
      </c>
      <c r="I8170">
        <v>0.81799999999999995</v>
      </c>
      <c r="J8170">
        <v>0.74</v>
      </c>
      <c r="K8170">
        <v>0.60399999999999998</v>
      </c>
      <c r="L8170">
        <v>0.12</v>
      </c>
      <c r="M8170">
        <v>0.73799999999999999</v>
      </c>
      <c r="N8170">
        <v>0.47</v>
      </c>
    </row>
    <row r="8171" spans="1:14" x14ac:dyDescent="0.25">
      <c r="A8171" t="s">
        <v>14473</v>
      </c>
      <c r="B8171" t="s">
        <v>14474</v>
      </c>
      <c r="C8171" s="1" t="str">
        <f>HYPERLINK("http://www.genecards.org/cgi-bin/carddisp.pl?gene=RAB5B","GeneCards")</f>
        <v>GeneCards</v>
      </c>
      <c r="D8171" s="1" t="str">
        <f>HYPERLINK("http://genome-euro.ucsc.edu/cgi-bin/hgTracks?position=201276_at","UCSC")</f>
        <v>UCSC</v>
      </c>
      <c r="E8171" s="1" t="str">
        <f>HYPERLINK("http://www.ncbi.nlm.nih.gov/gene/?term=RAB5B","NCBI")</f>
        <v>NCBI</v>
      </c>
      <c r="F8171">
        <v>0.13</v>
      </c>
      <c r="G8171">
        <v>0.27</v>
      </c>
      <c r="H8171" s="1" t="str">
        <f>HYPERLINK("http://www.weizmann.ac.il/complex/compphys/software/geview/data/figures/201276_at.png","Figure")</f>
        <v>Figure</v>
      </c>
      <c r="I8171">
        <v>1.08</v>
      </c>
      <c r="J8171">
        <v>0.86</v>
      </c>
      <c r="K8171">
        <v>1.31</v>
      </c>
      <c r="L8171">
        <v>0.13</v>
      </c>
      <c r="M8171">
        <v>1.21</v>
      </c>
      <c r="N8171">
        <v>0.37</v>
      </c>
    </row>
    <row r="8172" spans="1:14" x14ac:dyDescent="0.25">
      <c r="A8172" t="s">
        <v>14475</v>
      </c>
      <c r="B8172" t="s">
        <v>3043</v>
      </c>
      <c r="C8172" s="1" t="str">
        <f>HYPERLINK("http://www.genecards.org/cgi-bin/carddisp.pl?gene=IDE","GeneCards")</f>
        <v>GeneCards</v>
      </c>
      <c r="D8172" s="1" t="str">
        <f>HYPERLINK("http://genome-euro.ucsc.edu/cgi-bin/hgTracks?position=203328_x_at","UCSC")</f>
        <v>UCSC</v>
      </c>
      <c r="E8172" s="1" t="str">
        <f>HYPERLINK("http://www.ncbi.nlm.nih.gov/gene/?term=IDE","NCBI")</f>
        <v>NCBI</v>
      </c>
      <c r="F8172">
        <v>0.13</v>
      </c>
      <c r="G8172">
        <v>0.27</v>
      </c>
      <c r="H8172" s="1" t="str">
        <f>HYPERLINK("http://www.weizmann.ac.il/complex/compphys/software/geview/data/figures/203328_x_at.png","Figure")</f>
        <v>Figure</v>
      </c>
      <c r="I8172">
        <v>1.24</v>
      </c>
      <c r="J8172">
        <v>0.12</v>
      </c>
      <c r="K8172">
        <v>1.1399999999999999</v>
      </c>
      <c r="L8172">
        <v>0.32</v>
      </c>
      <c r="M8172">
        <v>0.92</v>
      </c>
      <c r="N8172">
        <v>0.66</v>
      </c>
    </row>
    <row r="8173" spans="1:14" x14ac:dyDescent="0.25">
      <c r="A8173" t="s">
        <v>14476</v>
      </c>
      <c r="B8173" t="s">
        <v>14477</v>
      </c>
      <c r="C8173" s="1" t="str">
        <f>HYPERLINK("http://www.genecards.org/cgi-bin/carddisp.pl?gene=ZNF74","GeneCards")</f>
        <v>GeneCards</v>
      </c>
      <c r="D8173" s="1" t="str">
        <f>HYPERLINK("http://genome-euro.ucsc.edu/cgi-bin/hgTracks?position=205881_at","UCSC")</f>
        <v>UCSC</v>
      </c>
      <c r="E8173" s="1" t="str">
        <f>HYPERLINK("http://www.ncbi.nlm.nih.gov/gene/?term=ZNF74","NCBI")</f>
        <v>NCBI</v>
      </c>
      <c r="F8173">
        <v>0.13</v>
      </c>
      <c r="G8173">
        <v>0.27</v>
      </c>
      <c r="H8173" s="1" t="str">
        <f>HYPERLINK("http://www.weizmann.ac.il/complex/compphys/software/geview/data/figures/205881_at.png","Figure")</f>
        <v>Figure</v>
      </c>
      <c r="I8173">
        <v>0.82399999999999995</v>
      </c>
      <c r="J8173">
        <v>0.19</v>
      </c>
      <c r="K8173">
        <v>1</v>
      </c>
      <c r="L8173">
        <v>1</v>
      </c>
      <c r="M8173">
        <v>1.22</v>
      </c>
      <c r="N8173">
        <v>0.14000000000000001</v>
      </c>
    </row>
    <row r="8174" spans="1:14" x14ac:dyDescent="0.25">
      <c r="A8174" t="s">
        <v>14478</v>
      </c>
      <c r="B8174" t="s">
        <v>14479</v>
      </c>
      <c r="C8174" s="1" t="str">
        <f>HYPERLINK("http://www.genecards.org/cgi-bin/carddisp.pl?gene=CDH18","GeneCards")</f>
        <v>GeneCards</v>
      </c>
      <c r="D8174" s="1" t="str">
        <f>HYPERLINK("http://genome-euro.ucsc.edu/cgi-bin/hgTracks?position=206280_at","UCSC")</f>
        <v>UCSC</v>
      </c>
      <c r="E8174" s="1" t="str">
        <f>HYPERLINK("http://www.ncbi.nlm.nih.gov/gene/?term=CDH18","NCBI")</f>
        <v>NCBI</v>
      </c>
      <c r="F8174">
        <v>0.13</v>
      </c>
      <c r="G8174">
        <v>0.27</v>
      </c>
      <c r="H8174" s="1" t="str">
        <f>HYPERLINK("http://www.weizmann.ac.il/complex/compphys/software/geview/data/figures/206280_at.png","Figure")</f>
        <v>Figure</v>
      </c>
      <c r="I8174">
        <v>1.18</v>
      </c>
      <c r="J8174">
        <v>0.12</v>
      </c>
      <c r="K8174">
        <v>1.05</v>
      </c>
      <c r="L8174">
        <v>0.73</v>
      </c>
      <c r="M8174">
        <v>0.89400000000000002</v>
      </c>
      <c r="N8174">
        <v>0.28000000000000003</v>
      </c>
    </row>
    <row r="8175" spans="1:14" x14ac:dyDescent="0.25">
      <c r="A8175" t="s">
        <v>14480</v>
      </c>
      <c r="B8175" t="s">
        <v>14481</v>
      </c>
      <c r="C8175" s="1" t="str">
        <f>HYPERLINK("http://www.genecards.org/cgi-bin/carddisp.pl?gene=MXRA5","GeneCards")</f>
        <v>GeneCards</v>
      </c>
      <c r="D8175" s="1" t="str">
        <f>HYPERLINK("http://genome-euro.ucsc.edu/cgi-bin/hgTracks?position=209596_at","UCSC")</f>
        <v>UCSC</v>
      </c>
      <c r="E8175" s="1" t="str">
        <f>HYPERLINK("http://www.ncbi.nlm.nih.gov/gene/?term=MXRA5","NCBI")</f>
        <v>NCBI</v>
      </c>
      <c r="F8175">
        <v>0.13</v>
      </c>
      <c r="G8175">
        <v>0.27</v>
      </c>
      <c r="H8175" s="1" t="str">
        <f>HYPERLINK("http://www.weizmann.ac.il/complex/compphys/software/geview/data/figures/209596_at.png","Figure")</f>
        <v>Figure</v>
      </c>
      <c r="I8175">
        <v>1.18</v>
      </c>
      <c r="J8175">
        <v>0.11</v>
      </c>
      <c r="K8175">
        <v>1.06</v>
      </c>
      <c r="L8175">
        <v>0.62</v>
      </c>
      <c r="M8175">
        <v>0.90300000000000002</v>
      </c>
      <c r="N8175">
        <v>0.34</v>
      </c>
    </row>
    <row r="8176" spans="1:14" x14ac:dyDescent="0.25">
      <c r="A8176" t="s">
        <v>14482</v>
      </c>
      <c r="B8176" t="s">
        <v>4076</v>
      </c>
      <c r="C8176" s="1" t="str">
        <f>HYPERLINK("http://www.genecards.org/cgi-bin/carddisp.pl?gene=GNAQ","GeneCards")</f>
        <v>GeneCards</v>
      </c>
      <c r="D8176" s="1" t="str">
        <f>HYPERLINK("http://genome-euro.ucsc.edu/cgi-bin/hgTracks?position=211426_x_at","UCSC")</f>
        <v>UCSC</v>
      </c>
      <c r="E8176" s="1" t="str">
        <f>HYPERLINK("http://www.ncbi.nlm.nih.gov/gene/?term=GNAQ","NCBI")</f>
        <v>NCBI</v>
      </c>
      <c r="F8176">
        <v>0.13</v>
      </c>
      <c r="G8176">
        <v>0.27</v>
      </c>
      <c r="H8176" s="1" t="str">
        <f>HYPERLINK("http://www.weizmann.ac.il/complex/compphys/software/geview/data/figures/211426_x_at.png","Figure")</f>
        <v>Figure</v>
      </c>
      <c r="I8176">
        <v>1.26</v>
      </c>
      <c r="J8176">
        <v>0.13</v>
      </c>
      <c r="K8176">
        <v>1.04</v>
      </c>
      <c r="L8176">
        <v>0.9</v>
      </c>
      <c r="M8176">
        <v>0.82799999999999996</v>
      </c>
      <c r="N8176">
        <v>0.2</v>
      </c>
    </row>
    <row r="8177" spans="1:14" x14ac:dyDescent="0.25">
      <c r="A8177" t="s">
        <v>14483</v>
      </c>
      <c r="B8177" t="s">
        <v>8761</v>
      </c>
      <c r="C8177" s="1" t="str">
        <f>HYPERLINK("http://www.genecards.org/cgi-bin/carddisp.pl?gene=CFLAR","GeneCards")</f>
        <v>GeneCards</v>
      </c>
      <c r="D8177" s="1" t="str">
        <f>HYPERLINK("http://genome-euro.ucsc.edu/cgi-bin/hgTracks?position=211862_x_at","UCSC")</f>
        <v>UCSC</v>
      </c>
      <c r="E8177" s="1" t="str">
        <f>HYPERLINK("http://www.ncbi.nlm.nih.gov/gene/?term=CFLAR","NCBI")</f>
        <v>NCBI</v>
      </c>
      <c r="F8177">
        <v>0.13</v>
      </c>
      <c r="G8177">
        <v>0.27</v>
      </c>
      <c r="H8177" s="1" t="str">
        <f>HYPERLINK("http://www.weizmann.ac.il/complex/compphys/software/geview/data/figures/211862_x_at.png","Figure")</f>
        <v>Figure</v>
      </c>
      <c r="I8177">
        <v>0.85599999999999998</v>
      </c>
      <c r="J8177">
        <v>0.14000000000000001</v>
      </c>
      <c r="K8177">
        <v>0.89</v>
      </c>
      <c r="L8177">
        <v>0.22</v>
      </c>
      <c r="M8177">
        <v>1.04</v>
      </c>
      <c r="N8177">
        <v>0.85</v>
      </c>
    </row>
    <row r="8178" spans="1:14" x14ac:dyDescent="0.25">
      <c r="A8178" t="s">
        <v>14484</v>
      </c>
      <c r="B8178" t="s">
        <v>14485</v>
      </c>
      <c r="C8178" s="1" t="str">
        <f>HYPERLINK("http://www.genecards.org/cgi-bin/carddisp.pl?gene=CREB3L2","GeneCards")</f>
        <v>GeneCards</v>
      </c>
      <c r="D8178" s="1" t="str">
        <f>HYPERLINK("http://genome-euro.ucsc.edu/cgi-bin/hgTracks?position=212345_s_at","UCSC")</f>
        <v>UCSC</v>
      </c>
      <c r="E8178" s="1" t="str">
        <f>HYPERLINK("http://www.ncbi.nlm.nih.gov/gene/?term=CREB3L2","NCBI")</f>
        <v>NCBI</v>
      </c>
      <c r="F8178">
        <v>0.13</v>
      </c>
      <c r="G8178">
        <v>0.27</v>
      </c>
      <c r="H8178" s="1" t="str">
        <f>HYPERLINK("http://www.weizmann.ac.il/complex/compphys/software/geview/data/figures/212345_s_at.png","Figure")</f>
        <v>Figure</v>
      </c>
      <c r="I8178">
        <v>0.81200000000000006</v>
      </c>
      <c r="J8178">
        <v>0.71</v>
      </c>
      <c r="K8178">
        <v>0.61</v>
      </c>
      <c r="L8178">
        <v>0.11</v>
      </c>
      <c r="M8178">
        <v>0.751</v>
      </c>
      <c r="N8178">
        <v>0.49</v>
      </c>
    </row>
    <row r="8179" spans="1:14" x14ac:dyDescent="0.25">
      <c r="A8179" t="s">
        <v>14486</v>
      </c>
      <c r="B8179" t="s">
        <v>5207</v>
      </c>
      <c r="C8179" s="1" t="str">
        <f>HYPERLINK("http://www.genecards.org/cgi-bin/carddisp.pl?gene=THOC2","GeneCards")</f>
        <v>GeneCards</v>
      </c>
      <c r="D8179" s="1" t="str">
        <f>HYPERLINK("http://genome-euro.ucsc.edu/cgi-bin/hgTracks?position=212994_at","UCSC")</f>
        <v>UCSC</v>
      </c>
      <c r="E8179" s="1" t="str">
        <f>HYPERLINK("http://www.ncbi.nlm.nih.gov/gene/?term=THOC2","NCBI")</f>
        <v>NCBI</v>
      </c>
      <c r="F8179">
        <v>0.13</v>
      </c>
      <c r="G8179">
        <v>0.27</v>
      </c>
      <c r="H8179" s="1" t="str">
        <f>HYPERLINK("http://www.weizmann.ac.il/complex/compphys/software/geview/data/figures/212994_at.png","Figure")</f>
        <v>Figure</v>
      </c>
      <c r="I8179">
        <v>0.67</v>
      </c>
      <c r="J8179">
        <v>0.12</v>
      </c>
      <c r="K8179">
        <v>0.89</v>
      </c>
      <c r="L8179">
        <v>0.76</v>
      </c>
      <c r="M8179">
        <v>1.33</v>
      </c>
      <c r="N8179">
        <v>0.27</v>
      </c>
    </row>
    <row r="8180" spans="1:14" x14ac:dyDescent="0.25">
      <c r="A8180" t="s">
        <v>14487</v>
      </c>
      <c r="B8180" t="s">
        <v>14488</v>
      </c>
      <c r="C8180" s="1" t="str">
        <f>HYPERLINK("http://www.genecards.org/cgi-bin/carddisp.pl?gene=MLYCD","GeneCards")</f>
        <v>GeneCards</v>
      </c>
      <c r="D8180" s="1" t="str">
        <f>HYPERLINK("http://genome-euro.ucsc.edu/cgi-bin/hgTracks?position=218869_at","UCSC")</f>
        <v>UCSC</v>
      </c>
      <c r="E8180" s="1" t="str">
        <f>HYPERLINK("http://www.ncbi.nlm.nih.gov/gene/?term=MLYCD","NCBI")</f>
        <v>NCBI</v>
      </c>
      <c r="F8180">
        <v>0.13</v>
      </c>
      <c r="G8180">
        <v>0.27</v>
      </c>
      <c r="H8180" s="1" t="str">
        <f>HYPERLINK("http://www.weizmann.ac.il/complex/compphys/software/geview/data/figures/218869_at.png","Figure")</f>
        <v>Figure</v>
      </c>
      <c r="I8180">
        <v>1.03</v>
      </c>
      <c r="J8180">
        <v>0.87</v>
      </c>
      <c r="K8180">
        <v>1.1100000000000001</v>
      </c>
      <c r="L8180">
        <v>0.13</v>
      </c>
      <c r="M8180">
        <v>1.08</v>
      </c>
      <c r="N8180">
        <v>0.36</v>
      </c>
    </row>
    <row r="8181" spans="1:14" x14ac:dyDescent="0.25">
      <c r="A8181" t="s">
        <v>14489</v>
      </c>
      <c r="B8181" t="s">
        <v>14490</v>
      </c>
      <c r="C8181" s="1" t="str">
        <f>HYPERLINK("http://www.genecards.org/cgi-bin/carddisp.pl?gene=LIME1","GeneCards")</f>
        <v>GeneCards</v>
      </c>
      <c r="D8181" s="1" t="str">
        <f>HYPERLINK("http://genome-euro.ucsc.edu/cgi-bin/hgTracks?position=219541_at","UCSC")</f>
        <v>UCSC</v>
      </c>
      <c r="E8181" s="1" t="str">
        <f>HYPERLINK("http://www.ncbi.nlm.nih.gov/gene/?term=LIME1","NCBI")</f>
        <v>NCBI</v>
      </c>
      <c r="F8181">
        <v>0.13</v>
      </c>
      <c r="G8181">
        <v>0.27</v>
      </c>
      <c r="H8181" s="1" t="str">
        <f>HYPERLINK("http://www.weizmann.ac.il/complex/compphys/software/geview/data/figures/219541_at.png","Figure")</f>
        <v>Figure</v>
      </c>
      <c r="I8181">
        <v>1.18</v>
      </c>
      <c r="J8181">
        <v>0.18</v>
      </c>
      <c r="K8181">
        <v>1.1599999999999999</v>
      </c>
      <c r="L8181">
        <v>0.17</v>
      </c>
      <c r="M8181">
        <v>0.98399999999999999</v>
      </c>
      <c r="N8181">
        <v>0.98</v>
      </c>
    </row>
    <row r="8182" spans="1:14" x14ac:dyDescent="0.25">
      <c r="A8182" t="s">
        <v>14491</v>
      </c>
      <c r="B8182" t="s">
        <v>14492</v>
      </c>
      <c r="C8182" s="1" t="str">
        <f>HYPERLINK("http://www.genecards.org/cgi-bin/carddisp.pl?gene=CCDC134","GeneCards")</f>
        <v>GeneCards</v>
      </c>
      <c r="D8182" s="1" t="str">
        <f>HYPERLINK("http://genome-euro.ucsc.edu/cgi-bin/hgTracks?position=220077_at","UCSC")</f>
        <v>UCSC</v>
      </c>
      <c r="E8182" s="1" t="str">
        <f>HYPERLINK("http://www.ncbi.nlm.nih.gov/gene/?term=CCDC134","NCBI")</f>
        <v>NCBI</v>
      </c>
      <c r="F8182">
        <v>0.13</v>
      </c>
      <c r="G8182">
        <v>0.27</v>
      </c>
      <c r="H8182" s="1" t="str">
        <f>HYPERLINK("http://www.weizmann.ac.il/complex/compphys/software/geview/data/figures/220077_at.png","Figure")</f>
        <v>Figure</v>
      </c>
      <c r="I8182">
        <v>1.18</v>
      </c>
      <c r="J8182">
        <v>0.13</v>
      </c>
      <c r="K8182">
        <v>1.1200000000000001</v>
      </c>
      <c r="L8182">
        <v>0.27</v>
      </c>
      <c r="M8182">
        <v>0.94899999999999995</v>
      </c>
      <c r="N8182">
        <v>0.76</v>
      </c>
    </row>
    <row r="8183" spans="1:14" x14ac:dyDescent="0.25">
      <c r="A8183" t="s">
        <v>14493</v>
      </c>
      <c r="B8183" t="s">
        <v>14494</v>
      </c>
      <c r="C8183" s="1" t="str">
        <f>HYPERLINK("http://www.genecards.org/cgi-bin/carddisp.pl?gene=CR1","GeneCards")</f>
        <v>GeneCards</v>
      </c>
      <c r="D8183" s="1" t="str">
        <f>HYPERLINK("http://genome-euro.ucsc.edu/cgi-bin/hgTracks?position=208488_s_at","UCSC")</f>
        <v>UCSC</v>
      </c>
      <c r="E8183" s="1" t="str">
        <f>HYPERLINK("http://www.ncbi.nlm.nih.gov/gene/?term=CR1","NCBI")</f>
        <v>NCBI</v>
      </c>
      <c r="F8183">
        <v>0.13</v>
      </c>
      <c r="G8183">
        <v>0.27</v>
      </c>
      <c r="H8183" s="1" t="str">
        <f>HYPERLINK("http://www.weizmann.ac.il/complex/compphys/software/geview/data/figures/208488_s_at.png","Figure")</f>
        <v>Figure</v>
      </c>
      <c r="I8183">
        <v>1.1000000000000001</v>
      </c>
      <c r="J8183">
        <v>0.12</v>
      </c>
      <c r="K8183">
        <v>1.03</v>
      </c>
      <c r="L8183">
        <v>0.75</v>
      </c>
      <c r="M8183">
        <v>0.93799999999999994</v>
      </c>
      <c r="N8183">
        <v>0.27</v>
      </c>
    </row>
    <row r="8184" spans="1:14" x14ac:dyDescent="0.25">
      <c r="A8184" t="s">
        <v>14495</v>
      </c>
      <c r="B8184" t="s">
        <v>14496</v>
      </c>
      <c r="C8184" s="1" t="str">
        <f>HYPERLINK("http://www.genecards.org/cgi-bin/carddisp.pl?gene=SERPINA6","GeneCards")</f>
        <v>GeneCards</v>
      </c>
      <c r="D8184" s="1" t="str">
        <f>HYPERLINK("http://genome-euro.ucsc.edu/cgi-bin/hgTracks?position=206325_at","UCSC")</f>
        <v>UCSC</v>
      </c>
      <c r="E8184" s="1" t="str">
        <f>HYPERLINK("http://www.ncbi.nlm.nih.gov/gene/?term=SERPINA6","NCBI")</f>
        <v>NCBI</v>
      </c>
      <c r="F8184">
        <v>0.13</v>
      </c>
      <c r="G8184">
        <v>0.27</v>
      </c>
      <c r="H8184" s="1" t="str">
        <f>HYPERLINK("http://www.weizmann.ac.il/complex/compphys/software/geview/data/figures/206325_at.png","Figure")</f>
        <v>Figure</v>
      </c>
      <c r="I8184">
        <v>1.27</v>
      </c>
      <c r="J8184">
        <v>0.11</v>
      </c>
      <c r="K8184">
        <v>1.1200000000000001</v>
      </c>
      <c r="L8184">
        <v>0.51</v>
      </c>
      <c r="M8184">
        <v>0.876</v>
      </c>
      <c r="N8184">
        <v>0.42</v>
      </c>
    </row>
    <row r="8185" spans="1:14" x14ac:dyDescent="0.25">
      <c r="A8185" t="s">
        <v>14497</v>
      </c>
      <c r="B8185" t="s">
        <v>14498</v>
      </c>
      <c r="C8185" s="1" t="str">
        <f>HYPERLINK("http://www.genecards.org/cgi-bin/carddisp.pl?gene=OR2H1","GeneCards")</f>
        <v>GeneCards</v>
      </c>
      <c r="D8185" s="1" t="str">
        <f>HYPERLINK("http://genome-euro.ucsc.edu/cgi-bin/hgTracks?position=216817_s_at","UCSC")</f>
        <v>UCSC</v>
      </c>
      <c r="E8185" s="1" t="str">
        <f>HYPERLINK("http://www.ncbi.nlm.nih.gov/gene/?term=OR2H1","NCBI")</f>
        <v>NCBI</v>
      </c>
      <c r="F8185">
        <v>0.13</v>
      </c>
      <c r="G8185">
        <v>0.27</v>
      </c>
      <c r="H8185" s="1" t="str">
        <f>HYPERLINK("http://www.weizmann.ac.il/complex/compphys/software/geview/data/figures/216817_s_at.png","Figure")</f>
        <v>Figure</v>
      </c>
      <c r="I8185">
        <v>1.1200000000000001</v>
      </c>
      <c r="J8185">
        <v>0.22</v>
      </c>
      <c r="K8185">
        <v>0.98499999999999999</v>
      </c>
      <c r="L8185">
        <v>0.97</v>
      </c>
      <c r="M8185">
        <v>0.877</v>
      </c>
      <c r="N8185">
        <v>0.13</v>
      </c>
    </row>
    <row r="8186" spans="1:14" x14ac:dyDescent="0.25">
      <c r="A8186" t="s">
        <v>14499</v>
      </c>
      <c r="B8186" t="s">
        <v>6042</v>
      </c>
      <c r="C8186" s="1" t="str">
        <f>HYPERLINK("http://www.genecards.org/cgi-bin/carddisp.pl?gene=CEACAM3","GeneCards")</f>
        <v>GeneCards</v>
      </c>
      <c r="D8186" s="1" t="str">
        <f>HYPERLINK("http://genome-euro.ucsc.edu/cgi-bin/hgTracks?position=217209_at","UCSC")</f>
        <v>UCSC</v>
      </c>
      <c r="E8186" s="1" t="str">
        <f>HYPERLINK("http://www.ncbi.nlm.nih.gov/gene/?term=CEACAM3","NCBI")</f>
        <v>NCBI</v>
      </c>
      <c r="F8186">
        <v>0.13</v>
      </c>
      <c r="G8186">
        <v>0.27</v>
      </c>
      <c r="H8186" s="1" t="str">
        <f>HYPERLINK("http://www.weizmann.ac.il/complex/compphys/software/geview/data/figures/217209_at.png","Figure")</f>
        <v>Figure</v>
      </c>
      <c r="I8186">
        <v>1.19</v>
      </c>
      <c r="J8186">
        <v>0.11</v>
      </c>
      <c r="K8186">
        <v>1.07</v>
      </c>
      <c r="L8186">
        <v>0.66</v>
      </c>
      <c r="M8186">
        <v>0.89200000000000002</v>
      </c>
      <c r="N8186">
        <v>0.32</v>
      </c>
    </row>
    <row r="8187" spans="1:14" x14ac:dyDescent="0.25">
      <c r="A8187" t="s">
        <v>14500</v>
      </c>
      <c r="B8187" t="s">
        <v>2317</v>
      </c>
      <c r="C8187" s="1" t="str">
        <f>HYPERLINK("http://www.genecards.org/cgi-bin/carddisp.pl?gene=PRKCI","GeneCards")</f>
        <v>GeneCards</v>
      </c>
      <c r="D8187" s="1" t="str">
        <f>HYPERLINK("http://genome-euro.ucsc.edu/cgi-bin/hgTracks?position=209678_s_at","UCSC")</f>
        <v>UCSC</v>
      </c>
      <c r="E8187" s="1" t="str">
        <f>HYPERLINK("http://www.ncbi.nlm.nih.gov/gene/?term=PRKCI","NCBI")</f>
        <v>NCBI</v>
      </c>
      <c r="F8187">
        <v>0.13</v>
      </c>
      <c r="G8187">
        <v>0.27</v>
      </c>
      <c r="H8187" s="1" t="str">
        <f>HYPERLINK("http://www.weizmann.ac.il/complex/compphys/software/geview/data/figures/209678_s_at.png","Figure")</f>
        <v>Figure</v>
      </c>
      <c r="I8187">
        <v>0.78500000000000003</v>
      </c>
      <c r="J8187">
        <v>0.43</v>
      </c>
      <c r="K8187">
        <v>1.1599999999999999</v>
      </c>
      <c r="L8187">
        <v>0.66</v>
      </c>
      <c r="M8187">
        <v>1.47</v>
      </c>
      <c r="N8187">
        <v>0.11</v>
      </c>
    </row>
    <row r="8188" spans="1:14" x14ac:dyDescent="0.25">
      <c r="A8188" t="s">
        <v>14501</v>
      </c>
      <c r="B8188" t="s">
        <v>14502</v>
      </c>
      <c r="C8188" s="1" t="str">
        <f>HYPERLINK("http://www.genecards.org/cgi-bin/carddisp.pl?gene=ZC3H4","GeneCards")</f>
        <v>GeneCards</v>
      </c>
      <c r="D8188" s="1" t="str">
        <f>HYPERLINK("http://genome-euro.ucsc.edu/cgi-bin/hgTracks?position=213390_at","UCSC")</f>
        <v>UCSC</v>
      </c>
      <c r="E8188" s="1" t="str">
        <f>HYPERLINK("http://www.ncbi.nlm.nih.gov/gene/?term=ZC3H4","NCBI")</f>
        <v>NCBI</v>
      </c>
      <c r="F8188">
        <v>0.13</v>
      </c>
      <c r="G8188">
        <v>0.27</v>
      </c>
      <c r="H8188" s="1" t="str">
        <f>HYPERLINK("http://www.weizmann.ac.il/complex/compphys/software/geview/data/figures/213390_at.png","Figure")</f>
        <v>Figure</v>
      </c>
      <c r="I8188">
        <v>0.77</v>
      </c>
      <c r="J8188">
        <v>0.51</v>
      </c>
      <c r="K8188">
        <v>1.23</v>
      </c>
      <c r="L8188">
        <v>0.56999999999999995</v>
      </c>
      <c r="M8188">
        <v>1.6</v>
      </c>
      <c r="N8188">
        <v>0.11</v>
      </c>
    </row>
    <row r="8189" spans="1:14" x14ac:dyDescent="0.25">
      <c r="A8189" t="s">
        <v>14503</v>
      </c>
      <c r="B8189" t="s">
        <v>1016</v>
      </c>
      <c r="C8189" s="1" t="str">
        <f>HYPERLINK("http://www.genecards.org/cgi-bin/carddisp.pl?gene=ILVBL","GeneCards")</f>
        <v>GeneCards</v>
      </c>
      <c r="D8189" s="1" t="str">
        <f>HYPERLINK("http://genome-euro.ucsc.edu/cgi-bin/hgTracks?position=216270_at","UCSC")</f>
        <v>UCSC</v>
      </c>
      <c r="E8189" s="1" t="str">
        <f>HYPERLINK("http://www.ncbi.nlm.nih.gov/gene/?term=ILVBL","NCBI")</f>
        <v>NCBI</v>
      </c>
      <c r="F8189">
        <v>0.13</v>
      </c>
      <c r="G8189">
        <v>0.27</v>
      </c>
      <c r="H8189" s="1" t="str">
        <f>HYPERLINK("http://www.weizmann.ac.il/complex/compphys/software/geview/data/figures/216270_at.png","Figure")</f>
        <v>Figure</v>
      </c>
      <c r="I8189">
        <v>1.0900000000000001</v>
      </c>
      <c r="J8189">
        <v>0.11</v>
      </c>
      <c r="K8189">
        <v>1.05</v>
      </c>
      <c r="L8189">
        <v>0.38</v>
      </c>
      <c r="M8189">
        <v>0.96399999999999997</v>
      </c>
      <c r="N8189">
        <v>0.56000000000000005</v>
      </c>
    </row>
    <row r="8190" spans="1:14" x14ac:dyDescent="0.25">
      <c r="A8190" t="s">
        <v>14504</v>
      </c>
      <c r="B8190" t="s">
        <v>14505</v>
      </c>
      <c r="C8190" s="1" t="str">
        <f>HYPERLINK("http://www.genecards.org/cgi-bin/carddisp.pl?gene=SLC7A1","GeneCards")</f>
        <v>GeneCards</v>
      </c>
      <c r="D8190" s="1" t="str">
        <f>HYPERLINK("http://genome-euro.ucsc.edu/cgi-bin/hgTracks?position=212295_s_at","UCSC")</f>
        <v>UCSC</v>
      </c>
      <c r="E8190" s="1" t="str">
        <f>HYPERLINK("http://www.ncbi.nlm.nih.gov/gene/?term=SLC7A1","NCBI")</f>
        <v>NCBI</v>
      </c>
      <c r="F8190">
        <v>0.13</v>
      </c>
      <c r="G8190">
        <v>0.27</v>
      </c>
      <c r="H8190" s="1" t="str">
        <f>HYPERLINK("http://www.weizmann.ac.il/complex/compphys/software/geview/data/figures/212295_s_at.png","Figure")</f>
        <v>Figure</v>
      </c>
      <c r="I8190">
        <v>0.66500000000000004</v>
      </c>
      <c r="J8190">
        <v>0.28999999999999998</v>
      </c>
      <c r="K8190">
        <v>1.1200000000000001</v>
      </c>
      <c r="L8190">
        <v>0.87</v>
      </c>
      <c r="M8190">
        <v>1.68</v>
      </c>
      <c r="N8190">
        <v>0.12</v>
      </c>
    </row>
    <row r="8191" spans="1:14" x14ac:dyDescent="0.25">
      <c r="A8191" t="s">
        <v>14506</v>
      </c>
      <c r="B8191" t="s">
        <v>14507</v>
      </c>
      <c r="C8191" s="1" t="str">
        <f>HYPERLINK("http://www.genecards.org/cgi-bin/carddisp.pl?gene=SLC25A28","GeneCards")</f>
        <v>GeneCards</v>
      </c>
      <c r="D8191" s="1" t="str">
        <f>HYPERLINK("http://genome-euro.ucsc.edu/cgi-bin/hgTracks?position=221432_s_at","UCSC")</f>
        <v>UCSC</v>
      </c>
      <c r="E8191" s="1" t="str">
        <f>HYPERLINK("http://www.ncbi.nlm.nih.gov/gene/?term=SLC25A28","NCBI")</f>
        <v>NCBI</v>
      </c>
      <c r="F8191">
        <v>0.13</v>
      </c>
      <c r="G8191">
        <v>0.27</v>
      </c>
      <c r="H8191" s="1" t="str">
        <f>HYPERLINK("http://www.weizmann.ac.il/complex/compphys/software/geview/data/figures/221432_s_at.png","Figure")</f>
        <v>Figure</v>
      </c>
      <c r="I8191">
        <v>0.79500000000000004</v>
      </c>
      <c r="J8191">
        <v>0.24</v>
      </c>
      <c r="K8191">
        <v>0.78400000000000003</v>
      </c>
      <c r="L8191">
        <v>0.14000000000000001</v>
      </c>
      <c r="M8191">
        <v>0.98699999999999999</v>
      </c>
      <c r="N8191">
        <v>0.99</v>
      </c>
    </row>
    <row r="8192" spans="1:14" x14ac:dyDescent="0.25">
      <c r="A8192" t="s">
        <v>14508</v>
      </c>
      <c r="B8192" t="s">
        <v>14509</v>
      </c>
      <c r="C8192" s="1" t="str">
        <f>HYPERLINK("http://www.genecards.org/cgi-bin/carddisp.pl?gene=IL11","GeneCards")</f>
        <v>GeneCards</v>
      </c>
      <c r="D8192" s="1" t="str">
        <f>HYPERLINK("http://genome-euro.ucsc.edu/cgi-bin/hgTracks?position=206926_s_at","UCSC")</f>
        <v>UCSC</v>
      </c>
      <c r="E8192" s="1" t="str">
        <f>HYPERLINK("http://www.ncbi.nlm.nih.gov/gene/?term=IL11","NCBI")</f>
        <v>NCBI</v>
      </c>
      <c r="F8192">
        <v>0.13</v>
      </c>
      <c r="G8192">
        <v>0.27</v>
      </c>
      <c r="H8192" s="1" t="str">
        <f>HYPERLINK("http://www.weizmann.ac.il/complex/compphys/software/geview/data/figures/206926_s_at.png","Figure")</f>
        <v>Figure</v>
      </c>
      <c r="I8192">
        <v>1.28</v>
      </c>
      <c r="J8192">
        <v>0.14000000000000001</v>
      </c>
      <c r="K8192">
        <v>1.04</v>
      </c>
      <c r="L8192">
        <v>0.91</v>
      </c>
      <c r="M8192">
        <v>0.81799999999999995</v>
      </c>
      <c r="N8192">
        <v>0.2</v>
      </c>
    </row>
    <row r="8193" spans="1:14" x14ac:dyDescent="0.25">
      <c r="A8193" t="s">
        <v>14510</v>
      </c>
      <c r="B8193" t="s">
        <v>14511</v>
      </c>
      <c r="C8193" s="1" t="str">
        <f>HYPERLINK("http://www.genecards.org/cgi-bin/carddisp.pl?gene=ATP5G3","GeneCards")</f>
        <v>GeneCards</v>
      </c>
      <c r="D8193" s="1" t="str">
        <f>HYPERLINK("http://genome-euro.ucsc.edu/cgi-bin/hgTracks?position=207507_s_at","UCSC")</f>
        <v>UCSC</v>
      </c>
      <c r="E8193" s="1" t="str">
        <f>HYPERLINK("http://www.ncbi.nlm.nih.gov/gene/?term=ATP5G3","NCBI")</f>
        <v>NCBI</v>
      </c>
      <c r="F8193">
        <v>0.13</v>
      </c>
      <c r="G8193">
        <v>0.27</v>
      </c>
      <c r="H8193" s="1" t="str">
        <f>HYPERLINK("http://www.weizmann.ac.il/complex/compphys/software/geview/data/figures/207507_s_at.png","Figure")</f>
        <v>Figure</v>
      </c>
      <c r="I8193">
        <v>1.29</v>
      </c>
      <c r="J8193">
        <v>0.73</v>
      </c>
      <c r="K8193">
        <v>1.88</v>
      </c>
      <c r="L8193">
        <v>0.12</v>
      </c>
      <c r="M8193">
        <v>1.45</v>
      </c>
      <c r="N8193">
        <v>0.47</v>
      </c>
    </row>
    <row r="8194" spans="1:14" x14ac:dyDescent="0.25">
      <c r="A8194" t="s">
        <v>14512</v>
      </c>
      <c r="B8194" t="s">
        <v>12532</v>
      </c>
      <c r="C8194" s="1" t="str">
        <f>HYPERLINK("http://www.genecards.org/cgi-bin/carddisp.pl?gene=HFE","GeneCards")</f>
        <v>GeneCards</v>
      </c>
      <c r="D8194" s="1" t="str">
        <f>HYPERLINK("http://genome-euro.ucsc.edu/cgi-bin/hgTracks?position=210864_x_at","UCSC")</f>
        <v>UCSC</v>
      </c>
      <c r="E8194" s="1" t="str">
        <f>HYPERLINK("http://www.ncbi.nlm.nih.gov/gene/?term=HFE","NCBI")</f>
        <v>NCBI</v>
      </c>
      <c r="F8194">
        <v>0.13</v>
      </c>
      <c r="G8194">
        <v>0.27</v>
      </c>
      <c r="H8194" s="1" t="str">
        <f>HYPERLINK("http://www.weizmann.ac.il/complex/compphys/software/geview/data/figures/210864_x_at.png","Figure")</f>
        <v>Figure</v>
      </c>
      <c r="I8194">
        <v>1.27</v>
      </c>
      <c r="J8194">
        <v>0.13</v>
      </c>
      <c r="K8194">
        <v>1.18</v>
      </c>
      <c r="L8194">
        <v>0.27</v>
      </c>
      <c r="M8194">
        <v>0.92400000000000004</v>
      </c>
      <c r="N8194">
        <v>0.75</v>
      </c>
    </row>
    <row r="8195" spans="1:14" x14ac:dyDescent="0.25">
      <c r="A8195" t="s">
        <v>14513</v>
      </c>
      <c r="B8195" t="s">
        <v>4959</v>
      </c>
      <c r="C8195" s="1" t="str">
        <f>HYPERLINK("http://www.genecards.org/cgi-bin/carddisp.pl?gene=TUBGCP2","GeneCards")</f>
        <v>GeneCards</v>
      </c>
      <c r="D8195" s="1" t="str">
        <f>HYPERLINK("http://genome-euro.ucsc.edu/cgi-bin/hgTracks?position=213563_s_at","UCSC")</f>
        <v>UCSC</v>
      </c>
      <c r="E8195" s="1" t="str">
        <f>HYPERLINK("http://www.ncbi.nlm.nih.gov/gene/?term=TUBGCP2","NCBI")</f>
        <v>NCBI</v>
      </c>
      <c r="F8195">
        <v>0.13</v>
      </c>
      <c r="G8195">
        <v>0.27</v>
      </c>
      <c r="H8195" s="1" t="str">
        <f>HYPERLINK("http://www.weizmann.ac.il/complex/compphys/software/geview/data/figures/213563_s_at.png","Figure")</f>
        <v>Figure</v>
      </c>
      <c r="I8195">
        <v>1.1299999999999999</v>
      </c>
      <c r="J8195">
        <v>0.15</v>
      </c>
      <c r="K8195">
        <v>1.02</v>
      </c>
      <c r="L8195">
        <v>0.95</v>
      </c>
      <c r="M8195">
        <v>0.89600000000000002</v>
      </c>
      <c r="N8195">
        <v>0.18</v>
      </c>
    </row>
    <row r="8196" spans="1:14" x14ac:dyDescent="0.25">
      <c r="A8196" t="s">
        <v>14514</v>
      </c>
      <c r="B8196" t="s">
        <v>12145</v>
      </c>
      <c r="C8196" s="1" t="str">
        <f>HYPERLINK("http://www.genecards.org/cgi-bin/carddisp.pl?gene=SLC48A1","GeneCards")</f>
        <v>GeneCards</v>
      </c>
      <c r="D8196" s="1" t="str">
        <f>HYPERLINK("http://genome-euro.ucsc.edu/cgi-bin/hgTracks?position=218417_s_at","UCSC")</f>
        <v>UCSC</v>
      </c>
      <c r="E8196" s="1" t="str">
        <f>HYPERLINK("http://www.ncbi.nlm.nih.gov/gene/?term=SLC48A1","NCBI")</f>
        <v>NCBI</v>
      </c>
      <c r="F8196">
        <v>0.13</v>
      </c>
      <c r="G8196">
        <v>0.27</v>
      </c>
      <c r="H8196" s="1" t="str">
        <f>HYPERLINK("http://www.weizmann.ac.il/complex/compphys/software/geview/data/figures/218417_s_at.png","Figure")</f>
        <v>Figure</v>
      </c>
      <c r="I8196">
        <v>0.98799999999999999</v>
      </c>
      <c r="J8196">
        <v>0.18</v>
      </c>
      <c r="K8196">
        <v>1</v>
      </c>
      <c r="L8196">
        <v>1</v>
      </c>
      <c r="M8196">
        <v>1.01</v>
      </c>
      <c r="N8196">
        <v>0.15</v>
      </c>
    </row>
    <row r="8197" spans="1:14" x14ac:dyDescent="0.25">
      <c r="A8197" t="s">
        <v>14515</v>
      </c>
      <c r="B8197" t="s">
        <v>14516</v>
      </c>
      <c r="C8197" s="1" t="str">
        <f>HYPERLINK("http://www.genecards.org/cgi-bin/carddisp.pl?gene=B3GNT4","GeneCards")</f>
        <v>GeneCards</v>
      </c>
      <c r="D8197" s="1" t="str">
        <f>HYPERLINK("http://genome-euro.ucsc.edu/cgi-bin/hgTracks?position=221240_s_at","UCSC")</f>
        <v>UCSC</v>
      </c>
      <c r="E8197" s="1" t="str">
        <f>HYPERLINK("http://www.ncbi.nlm.nih.gov/gene/?term=B3GNT4","NCBI")</f>
        <v>NCBI</v>
      </c>
      <c r="F8197">
        <v>0.13</v>
      </c>
      <c r="G8197">
        <v>0.27</v>
      </c>
      <c r="H8197" s="1" t="str">
        <f>HYPERLINK("http://www.weizmann.ac.il/complex/compphys/software/geview/data/figures/221240_s_at.png","Figure")</f>
        <v>Figure</v>
      </c>
      <c r="I8197">
        <v>1.25</v>
      </c>
      <c r="J8197">
        <v>0.12</v>
      </c>
      <c r="K8197">
        <v>1.1399999999999999</v>
      </c>
      <c r="L8197">
        <v>0.35</v>
      </c>
      <c r="M8197">
        <v>0.91300000000000003</v>
      </c>
      <c r="N8197">
        <v>0.61</v>
      </c>
    </row>
    <row r="8198" spans="1:14" x14ac:dyDescent="0.25">
      <c r="A8198" t="s">
        <v>14517</v>
      </c>
      <c r="B8198" t="s">
        <v>14518</v>
      </c>
      <c r="C8198" s="1" t="str">
        <f>HYPERLINK("http://www.genecards.org/cgi-bin/carddisp.pl?gene=MTRR","GeneCards")</f>
        <v>GeneCards</v>
      </c>
      <c r="D8198" s="1" t="str">
        <f>HYPERLINK("http://genome-euro.ucsc.edu/cgi-bin/hgTracks?position=203199_s_at","UCSC")</f>
        <v>UCSC</v>
      </c>
      <c r="E8198" s="1" t="str">
        <f>HYPERLINK("http://www.ncbi.nlm.nih.gov/gene/?term=MTRR","NCBI")</f>
        <v>NCBI</v>
      </c>
      <c r="F8198">
        <v>0.13</v>
      </c>
      <c r="G8198">
        <v>0.27</v>
      </c>
      <c r="H8198" s="1" t="str">
        <f>HYPERLINK("http://www.weizmann.ac.il/complex/compphys/software/geview/data/figures/203199_s_at.png","Figure")</f>
        <v>Figure</v>
      </c>
      <c r="I8198">
        <v>0.752</v>
      </c>
      <c r="J8198">
        <v>0.13</v>
      </c>
      <c r="K8198">
        <v>0.93600000000000005</v>
      </c>
      <c r="L8198">
        <v>0.84</v>
      </c>
      <c r="M8198">
        <v>1.25</v>
      </c>
      <c r="N8198">
        <v>0.23</v>
      </c>
    </row>
    <row r="8199" spans="1:14" x14ac:dyDescent="0.25">
      <c r="A8199" t="s">
        <v>14519</v>
      </c>
      <c r="B8199" t="s">
        <v>14520</v>
      </c>
      <c r="C8199" s="1" t="str">
        <f>HYPERLINK("http://www.genecards.org/cgi-bin/carddisp.pl?gene=AXIN1","GeneCards")</f>
        <v>GeneCards</v>
      </c>
      <c r="D8199" s="1" t="str">
        <f>HYPERLINK("http://genome-euro.ucsc.edu/cgi-bin/hgTracks?position=212849_at","UCSC")</f>
        <v>UCSC</v>
      </c>
      <c r="E8199" s="1" t="str">
        <f>HYPERLINK("http://www.ncbi.nlm.nih.gov/gene/?term=AXIN1","NCBI")</f>
        <v>NCBI</v>
      </c>
      <c r="F8199">
        <v>0.13</v>
      </c>
      <c r="G8199">
        <v>0.27</v>
      </c>
      <c r="H8199" s="1" t="str">
        <f>HYPERLINK("http://www.weizmann.ac.il/complex/compphys/software/geview/data/figures/212849_at.png","Figure")</f>
        <v>Figure</v>
      </c>
      <c r="I8199">
        <v>1.27</v>
      </c>
      <c r="J8199">
        <v>0.11</v>
      </c>
      <c r="K8199">
        <v>1.1000000000000001</v>
      </c>
      <c r="L8199">
        <v>0.57999999999999996</v>
      </c>
      <c r="M8199">
        <v>0.86799999999999999</v>
      </c>
      <c r="N8199">
        <v>0.37</v>
      </c>
    </row>
    <row r="8200" spans="1:14" x14ac:dyDescent="0.25">
      <c r="A8200" t="s">
        <v>14521</v>
      </c>
      <c r="B8200" t="s">
        <v>14241</v>
      </c>
      <c r="C8200" s="1" t="str">
        <f>HYPERLINK("http://www.genecards.org/cgi-bin/carddisp.pl?gene=PCDH1","GeneCards")</f>
        <v>GeneCards</v>
      </c>
      <c r="D8200" s="1" t="str">
        <f>HYPERLINK("http://genome-euro.ucsc.edu/cgi-bin/hgTracks?position=215277_at","UCSC")</f>
        <v>UCSC</v>
      </c>
      <c r="E8200" s="1" t="str">
        <f>HYPERLINK("http://www.ncbi.nlm.nih.gov/gene/?term=PCDH1","NCBI")</f>
        <v>NCBI</v>
      </c>
      <c r="F8200">
        <v>0.13</v>
      </c>
      <c r="G8200">
        <v>0.27</v>
      </c>
      <c r="H8200" s="1" t="str">
        <f>HYPERLINK("http://www.weizmann.ac.il/complex/compphys/software/geview/data/figures/215277_at.png","Figure")</f>
        <v>Figure</v>
      </c>
      <c r="I8200">
        <v>1.28</v>
      </c>
      <c r="J8200">
        <v>0.11</v>
      </c>
      <c r="K8200">
        <v>1.1299999999999999</v>
      </c>
      <c r="L8200">
        <v>0.45</v>
      </c>
      <c r="M8200">
        <v>0.88200000000000001</v>
      </c>
      <c r="N8200">
        <v>0.48</v>
      </c>
    </row>
    <row r="8201" spans="1:14" x14ac:dyDescent="0.25">
      <c r="A8201" t="s">
        <v>14522</v>
      </c>
      <c r="B8201" t="s">
        <v>14523</v>
      </c>
      <c r="C8201" s="1" t="str">
        <f>HYPERLINK("http://www.genecards.org/cgi-bin/carddisp.pl?gene=PGBD5","GeneCards")</f>
        <v>GeneCards</v>
      </c>
      <c r="D8201" s="1" t="str">
        <f>HYPERLINK("http://genome-euro.ucsc.edu/cgi-bin/hgTracks?position=219225_at","UCSC")</f>
        <v>UCSC</v>
      </c>
      <c r="E8201" s="1" t="str">
        <f>HYPERLINK("http://www.ncbi.nlm.nih.gov/gene/?term=PGBD5","NCBI")</f>
        <v>NCBI</v>
      </c>
      <c r="F8201">
        <v>0.13</v>
      </c>
      <c r="G8201">
        <v>0.27</v>
      </c>
      <c r="H8201" s="1" t="str">
        <f>HYPERLINK("http://www.weizmann.ac.il/complex/compphys/software/geview/data/figures/219225_at.png","Figure")</f>
        <v>Figure</v>
      </c>
      <c r="I8201">
        <v>1.0900000000000001</v>
      </c>
      <c r="J8201">
        <v>0.17</v>
      </c>
      <c r="K8201">
        <v>1.08</v>
      </c>
      <c r="L8201">
        <v>0.18</v>
      </c>
      <c r="M8201">
        <v>0.98899999999999999</v>
      </c>
      <c r="N8201">
        <v>0.96</v>
      </c>
    </row>
    <row r="8202" spans="1:14" x14ac:dyDescent="0.25">
      <c r="A8202" t="s">
        <v>14524</v>
      </c>
      <c r="B8202" t="s">
        <v>14525</v>
      </c>
      <c r="C8202" s="1" t="str">
        <f>HYPERLINK("http://www.genecards.org/cgi-bin/carddisp.pl?gene=CDCP1","GeneCards")</f>
        <v>GeneCards</v>
      </c>
      <c r="D8202" s="1" t="str">
        <f>HYPERLINK("http://genome-euro.ucsc.edu/cgi-bin/hgTracks?position=218451_at","UCSC")</f>
        <v>UCSC</v>
      </c>
      <c r="E8202" s="1" t="str">
        <f>HYPERLINK("http://www.ncbi.nlm.nih.gov/gene/?term=CDCP1","NCBI")</f>
        <v>NCBI</v>
      </c>
      <c r="F8202">
        <v>0.13</v>
      </c>
      <c r="G8202">
        <v>0.27</v>
      </c>
      <c r="H8202" s="1" t="str">
        <f>HYPERLINK("http://www.weizmann.ac.il/complex/compphys/software/geview/data/figures/218451_at.png","Figure")</f>
        <v>Figure</v>
      </c>
      <c r="I8202">
        <v>1.06</v>
      </c>
      <c r="J8202">
        <v>0.15</v>
      </c>
      <c r="K8202">
        <v>1.01</v>
      </c>
      <c r="L8202">
        <v>0.96</v>
      </c>
      <c r="M8202">
        <v>0.95099999999999996</v>
      </c>
      <c r="N8202">
        <v>0.18</v>
      </c>
    </row>
    <row r="8203" spans="1:14" x14ac:dyDescent="0.25">
      <c r="A8203" t="s">
        <v>14526</v>
      </c>
      <c r="B8203" t="s">
        <v>14527</v>
      </c>
      <c r="C8203" s="1" t="str">
        <f>HYPERLINK("http://www.genecards.org/cgi-bin/carddisp.pl?gene=WNT2","GeneCards")</f>
        <v>GeneCards</v>
      </c>
      <c r="D8203" s="1" t="str">
        <f>HYPERLINK("http://genome-euro.ucsc.edu/cgi-bin/hgTracks?position=205648_at","UCSC")</f>
        <v>UCSC</v>
      </c>
      <c r="E8203" s="1" t="str">
        <f>HYPERLINK("http://www.ncbi.nlm.nih.gov/gene/?term=WNT2","NCBI")</f>
        <v>NCBI</v>
      </c>
      <c r="F8203">
        <v>0.13</v>
      </c>
      <c r="G8203">
        <v>0.27</v>
      </c>
      <c r="H8203" s="1" t="str">
        <f>HYPERLINK("http://www.weizmann.ac.il/complex/compphys/software/geview/data/figures/205648_at.png","Figure")</f>
        <v>Figure</v>
      </c>
      <c r="I8203">
        <v>1.21</v>
      </c>
      <c r="J8203">
        <v>0.16</v>
      </c>
      <c r="K8203">
        <v>1.01</v>
      </c>
      <c r="L8203">
        <v>0.99</v>
      </c>
      <c r="M8203">
        <v>0.83699999999999997</v>
      </c>
      <c r="N8203">
        <v>0.16</v>
      </c>
    </row>
    <row r="8204" spans="1:14" x14ac:dyDescent="0.25">
      <c r="A8204" t="s">
        <v>14528</v>
      </c>
      <c r="B8204" t="s">
        <v>6185</v>
      </c>
      <c r="C8204" s="1" t="str">
        <f>HYPERLINK("http://www.genecards.org/cgi-bin/carddisp.pl?gene=APBB2","GeneCards")</f>
        <v>GeneCards</v>
      </c>
      <c r="D8204" s="1" t="str">
        <f>HYPERLINK("http://genome-euro.ucsc.edu/cgi-bin/hgTracks?position=213419_at","UCSC")</f>
        <v>UCSC</v>
      </c>
      <c r="E8204" s="1" t="str">
        <f>HYPERLINK("http://www.ncbi.nlm.nih.gov/gene/?term=APBB2","NCBI")</f>
        <v>NCBI</v>
      </c>
      <c r="F8204">
        <v>0.13</v>
      </c>
      <c r="G8204">
        <v>0.27</v>
      </c>
      <c r="H8204" s="1" t="str">
        <f>HYPERLINK("http://www.weizmann.ac.il/complex/compphys/software/geview/data/figures/213419_at.png","Figure")</f>
        <v>Figure</v>
      </c>
      <c r="I8204">
        <v>1.33</v>
      </c>
      <c r="J8204">
        <v>0.55000000000000004</v>
      </c>
      <c r="K8204">
        <v>0.77200000000000002</v>
      </c>
      <c r="L8204">
        <v>0.53</v>
      </c>
      <c r="M8204">
        <v>0.57799999999999996</v>
      </c>
      <c r="N8204">
        <v>0.11</v>
      </c>
    </row>
    <row r="8205" spans="1:14" x14ac:dyDescent="0.25">
      <c r="A8205" t="s">
        <v>14529</v>
      </c>
      <c r="B8205" t="s">
        <v>11848</v>
      </c>
      <c r="C8205" s="1" t="str">
        <f>HYPERLINK("http://www.genecards.org/cgi-bin/carddisp.pl?gene=ANK3","GeneCards")</f>
        <v>GeneCards</v>
      </c>
      <c r="D8205" s="1" t="str">
        <f>HYPERLINK("http://genome-euro.ucsc.edu/cgi-bin/hgTracks?position=209442_x_at","UCSC")</f>
        <v>UCSC</v>
      </c>
      <c r="E8205" s="1" t="str">
        <f>HYPERLINK("http://www.ncbi.nlm.nih.gov/gene/?term=ANK3","NCBI")</f>
        <v>NCBI</v>
      </c>
      <c r="F8205">
        <v>0.13</v>
      </c>
      <c r="G8205">
        <v>0.27</v>
      </c>
      <c r="H8205" s="1" t="str">
        <f>HYPERLINK("http://www.weizmann.ac.il/complex/compphys/software/geview/data/figures/209442_x_at.png","Figure")</f>
        <v>Figure</v>
      </c>
      <c r="I8205">
        <v>1.08</v>
      </c>
      <c r="J8205">
        <v>0.45</v>
      </c>
      <c r="K8205">
        <v>0.95099999999999996</v>
      </c>
      <c r="L8205">
        <v>0.64</v>
      </c>
      <c r="M8205">
        <v>0.88</v>
      </c>
      <c r="N8205">
        <v>0.11</v>
      </c>
    </row>
    <row r="8206" spans="1:14" x14ac:dyDescent="0.25">
      <c r="A8206" t="s">
        <v>14530</v>
      </c>
      <c r="B8206" t="s">
        <v>14531</v>
      </c>
      <c r="C8206" s="1" t="str">
        <f>HYPERLINK("http://www.genecards.org/cgi-bin/carddisp.pl?gene=ABL1","GeneCards")</f>
        <v>GeneCards</v>
      </c>
      <c r="D8206" s="1" t="str">
        <f>HYPERLINK("http://genome-euro.ucsc.edu/cgi-bin/hgTracks?position=202123_s_at","UCSC")</f>
        <v>UCSC</v>
      </c>
      <c r="E8206" s="1" t="str">
        <f>HYPERLINK("http://www.ncbi.nlm.nih.gov/gene/?term=ABL1","NCBI")</f>
        <v>NCBI</v>
      </c>
      <c r="F8206">
        <v>0.13</v>
      </c>
      <c r="G8206">
        <v>0.27</v>
      </c>
      <c r="H8206" s="1" t="str">
        <f>HYPERLINK("http://www.weizmann.ac.il/complex/compphys/software/geview/data/figures/202123_s_at.png","Figure")</f>
        <v>Figure</v>
      </c>
      <c r="I8206">
        <v>0.89800000000000002</v>
      </c>
      <c r="J8206">
        <v>0.84</v>
      </c>
      <c r="K8206">
        <v>1.29</v>
      </c>
      <c r="L8206">
        <v>0.31</v>
      </c>
      <c r="M8206">
        <v>1.43</v>
      </c>
      <c r="N8206">
        <v>0.14000000000000001</v>
      </c>
    </row>
    <row r="8207" spans="1:14" x14ac:dyDescent="0.25">
      <c r="A8207" t="s">
        <v>14532</v>
      </c>
      <c r="B8207" t="s">
        <v>14533</v>
      </c>
      <c r="C8207" s="1" t="str">
        <f>HYPERLINK("http://www.genecards.org/cgi-bin/carddisp.pl?gene=ALOX15B","GeneCards")</f>
        <v>GeneCards</v>
      </c>
      <c r="D8207" s="1" t="str">
        <f>HYPERLINK("http://genome-euro.ucsc.edu/cgi-bin/hgTracks?position=206714_at","UCSC")</f>
        <v>UCSC</v>
      </c>
      <c r="E8207" s="1" t="str">
        <f>HYPERLINK("http://www.ncbi.nlm.nih.gov/gene/?term=ALOX15B","NCBI")</f>
        <v>NCBI</v>
      </c>
      <c r="F8207">
        <v>0.13</v>
      </c>
      <c r="G8207">
        <v>0.27</v>
      </c>
      <c r="H8207" s="1" t="str">
        <f>HYPERLINK("http://www.weizmann.ac.il/complex/compphys/software/geview/data/figures/206714_at.png","Figure")</f>
        <v>Figure</v>
      </c>
      <c r="I8207">
        <v>1.19</v>
      </c>
      <c r="J8207">
        <v>0.11</v>
      </c>
      <c r="K8207">
        <v>1.1000000000000001</v>
      </c>
      <c r="L8207">
        <v>0.39</v>
      </c>
      <c r="M8207">
        <v>0.92300000000000004</v>
      </c>
      <c r="N8207">
        <v>0.56000000000000005</v>
      </c>
    </row>
    <row r="8208" spans="1:14" x14ac:dyDescent="0.25">
      <c r="A8208" t="s">
        <v>14534</v>
      </c>
      <c r="B8208" t="s">
        <v>14535</v>
      </c>
      <c r="C8208" s="1" t="str">
        <f>HYPERLINK("http://www.genecards.org/cgi-bin/carddisp.pl?gene=HIST1H2AD /// HIST1H3D","GeneCards")</f>
        <v>GeneCards</v>
      </c>
      <c r="D8208" s="1" t="str">
        <f>HYPERLINK("http://genome-euro.ucsc.edu/cgi-bin/hgTracks?position=214522_x_at","UCSC")</f>
        <v>UCSC</v>
      </c>
      <c r="E8208" s="1" t="str">
        <f>HYPERLINK("http://www.ncbi.nlm.nih.gov/gene/?term=HIST1H2AD /// HIST1H3D","NCBI")</f>
        <v>NCBI</v>
      </c>
      <c r="F8208">
        <v>0.13</v>
      </c>
      <c r="G8208">
        <v>0.27</v>
      </c>
      <c r="H8208" s="1" t="str">
        <f>HYPERLINK("http://www.weizmann.ac.il/complex/compphys/software/geview/data/figures/214522_x_at.png","Figure")</f>
        <v>Figure</v>
      </c>
      <c r="I8208">
        <v>1.73</v>
      </c>
      <c r="J8208">
        <v>0.12</v>
      </c>
      <c r="K8208">
        <v>1.41</v>
      </c>
      <c r="L8208">
        <v>0.31</v>
      </c>
      <c r="M8208">
        <v>0.81399999999999995</v>
      </c>
      <c r="N8208">
        <v>0.67</v>
      </c>
    </row>
    <row r="8209" spans="1:14" x14ac:dyDescent="0.25">
      <c r="A8209" t="s">
        <v>14536</v>
      </c>
      <c r="B8209" t="s">
        <v>14537</v>
      </c>
      <c r="C8209" s="1" t="str">
        <f>HYPERLINK("http://www.genecards.org/cgi-bin/carddisp.pl?gene=SEC61B","GeneCards")</f>
        <v>GeneCards</v>
      </c>
      <c r="D8209" s="1" t="str">
        <f>HYPERLINK("http://genome-euro.ucsc.edu/cgi-bin/hgTracks?position=203133_at","UCSC")</f>
        <v>UCSC</v>
      </c>
      <c r="E8209" s="1" t="str">
        <f>HYPERLINK("http://www.ncbi.nlm.nih.gov/gene/?term=SEC61B","NCBI")</f>
        <v>NCBI</v>
      </c>
      <c r="F8209">
        <v>0.13</v>
      </c>
      <c r="G8209">
        <v>0.27</v>
      </c>
      <c r="H8209" s="1" t="str">
        <f>HYPERLINK("http://www.weizmann.ac.il/complex/compphys/software/geview/data/figures/203133_at.png","Figure")</f>
        <v>Figure</v>
      </c>
      <c r="I8209">
        <v>1.27</v>
      </c>
      <c r="J8209">
        <v>0.12</v>
      </c>
      <c r="K8209">
        <v>1.17</v>
      </c>
      <c r="L8209">
        <v>0.3</v>
      </c>
      <c r="M8209">
        <v>0.91700000000000004</v>
      </c>
      <c r="N8209">
        <v>0.7</v>
      </c>
    </row>
    <row r="8210" spans="1:14" x14ac:dyDescent="0.25">
      <c r="A8210" t="s">
        <v>14538</v>
      </c>
      <c r="B8210" t="s">
        <v>6204</v>
      </c>
      <c r="C8210" s="1" t="str">
        <f>HYPERLINK("http://www.genecards.org/cgi-bin/carddisp.pl?gene=FGF1","GeneCards")</f>
        <v>GeneCards</v>
      </c>
      <c r="D8210" s="1" t="str">
        <f>HYPERLINK("http://genome-euro.ucsc.edu/cgi-bin/hgTracks?position=208240_s_at","UCSC")</f>
        <v>UCSC</v>
      </c>
      <c r="E8210" s="1" t="str">
        <f>HYPERLINK("http://www.ncbi.nlm.nih.gov/gene/?term=FGF1","NCBI")</f>
        <v>NCBI</v>
      </c>
      <c r="F8210">
        <v>0.13</v>
      </c>
      <c r="G8210">
        <v>0.27</v>
      </c>
      <c r="H8210" s="1" t="str">
        <f>HYPERLINK("http://www.weizmann.ac.il/complex/compphys/software/geview/data/figures/208240_s_at.png","Figure")</f>
        <v>Figure</v>
      </c>
      <c r="I8210">
        <v>1.2</v>
      </c>
      <c r="J8210">
        <v>0.18</v>
      </c>
      <c r="K8210">
        <v>1.17</v>
      </c>
      <c r="L8210">
        <v>0.18</v>
      </c>
      <c r="M8210">
        <v>0.97799999999999998</v>
      </c>
      <c r="N8210">
        <v>0.97</v>
      </c>
    </row>
    <row r="8211" spans="1:14" x14ac:dyDescent="0.25">
      <c r="A8211" t="s">
        <v>14539</v>
      </c>
      <c r="B8211" t="s">
        <v>14540</v>
      </c>
      <c r="C8211" s="1" t="str">
        <f>HYPERLINK("http://www.genecards.org/cgi-bin/carddisp.pl?gene=C1orf123","GeneCards")</f>
        <v>GeneCards</v>
      </c>
      <c r="D8211" s="1" t="str">
        <f>HYPERLINK("http://genome-euro.ucsc.edu/cgi-bin/hgTracks?position=203197_s_at","UCSC")</f>
        <v>UCSC</v>
      </c>
      <c r="E8211" s="1" t="str">
        <f>HYPERLINK("http://www.ncbi.nlm.nih.gov/gene/?term=C1orf123","NCBI")</f>
        <v>NCBI</v>
      </c>
      <c r="F8211">
        <v>0.13</v>
      </c>
      <c r="G8211">
        <v>0.27</v>
      </c>
      <c r="H8211" s="1" t="str">
        <f>HYPERLINK("http://www.weizmann.ac.il/complex/compphys/software/geview/data/figures/203197_s_at.png","Figure")</f>
        <v>Figure</v>
      </c>
      <c r="I8211">
        <v>1.06</v>
      </c>
      <c r="J8211">
        <v>0.91</v>
      </c>
      <c r="K8211">
        <v>1.28</v>
      </c>
      <c r="L8211">
        <v>0.14000000000000001</v>
      </c>
      <c r="M8211">
        <v>1.21</v>
      </c>
      <c r="N8211">
        <v>0.33</v>
      </c>
    </row>
    <row r="8212" spans="1:14" x14ac:dyDescent="0.25">
      <c r="A8212" t="s">
        <v>14541</v>
      </c>
      <c r="B8212" t="s">
        <v>14542</v>
      </c>
      <c r="C8212" s="1" t="str">
        <f>HYPERLINK("http://www.genecards.org/cgi-bin/carddisp.pl?gene=ATF2","GeneCards")</f>
        <v>GeneCards</v>
      </c>
      <c r="D8212" s="1" t="str">
        <f>HYPERLINK("http://genome-euro.ucsc.edu/cgi-bin/hgTracks?position=205446_s_at","UCSC")</f>
        <v>UCSC</v>
      </c>
      <c r="E8212" s="1" t="str">
        <f>HYPERLINK("http://www.ncbi.nlm.nih.gov/gene/?term=ATF2","NCBI")</f>
        <v>NCBI</v>
      </c>
      <c r="F8212">
        <v>0.13</v>
      </c>
      <c r="G8212">
        <v>0.27</v>
      </c>
      <c r="H8212" s="1" t="str">
        <f>HYPERLINK("http://www.weizmann.ac.il/complex/compphys/software/geview/data/figures/205446_s_at.png","Figure")</f>
        <v>Figure</v>
      </c>
      <c r="I8212">
        <v>1.19</v>
      </c>
      <c r="J8212">
        <v>0.3</v>
      </c>
      <c r="K8212">
        <v>0.95</v>
      </c>
      <c r="L8212">
        <v>0.86</v>
      </c>
      <c r="M8212">
        <v>0.79900000000000004</v>
      </c>
      <c r="N8212">
        <v>0.11</v>
      </c>
    </row>
    <row r="8213" spans="1:14" x14ac:dyDescent="0.25">
      <c r="A8213" t="s">
        <v>14543</v>
      </c>
      <c r="B8213" t="s">
        <v>14544</v>
      </c>
      <c r="C8213" s="1" t="str">
        <f>HYPERLINK("http://www.genecards.org/cgi-bin/carddisp.pl?gene=ITSN2","GeneCards")</f>
        <v>GeneCards</v>
      </c>
      <c r="D8213" s="1" t="str">
        <f>HYPERLINK("http://genome-euro.ucsc.edu/cgi-bin/hgTracks?position=209898_x_at","UCSC")</f>
        <v>UCSC</v>
      </c>
      <c r="E8213" s="1" t="str">
        <f>HYPERLINK("http://www.ncbi.nlm.nih.gov/gene/?term=ITSN2","NCBI")</f>
        <v>NCBI</v>
      </c>
      <c r="F8213">
        <v>0.13</v>
      </c>
      <c r="G8213">
        <v>0.27</v>
      </c>
      <c r="H8213" s="1" t="str">
        <f>HYPERLINK("http://www.weizmann.ac.il/complex/compphys/software/geview/data/figures/209898_x_at.png","Figure")</f>
        <v>Figure</v>
      </c>
      <c r="I8213">
        <v>0.92400000000000004</v>
      </c>
      <c r="J8213">
        <v>0.93</v>
      </c>
      <c r="K8213">
        <v>0.67</v>
      </c>
      <c r="L8213">
        <v>0.14000000000000001</v>
      </c>
      <c r="M8213">
        <v>0.72499999999999998</v>
      </c>
      <c r="N8213">
        <v>0.31</v>
      </c>
    </row>
    <row r="8214" spans="1:14" x14ac:dyDescent="0.25">
      <c r="A8214" t="s">
        <v>14545</v>
      </c>
      <c r="B8214" t="s">
        <v>13779</v>
      </c>
      <c r="C8214" s="1" t="str">
        <f>HYPERLINK("http://www.genecards.org/cgi-bin/carddisp.pl?gene=TUBA1B","GeneCards")</f>
        <v>GeneCards</v>
      </c>
      <c r="D8214" s="1" t="str">
        <f>HYPERLINK("http://genome-euro.ucsc.edu/cgi-bin/hgTracks?position=212639_x_at","UCSC")</f>
        <v>UCSC</v>
      </c>
      <c r="E8214" s="1" t="str">
        <f>HYPERLINK("http://www.ncbi.nlm.nih.gov/gene/?term=TUBA1B","NCBI")</f>
        <v>NCBI</v>
      </c>
      <c r="F8214">
        <v>0.13</v>
      </c>
      <c r="G8214">
        <v>0.27</v>
      </c>
      <c r="H8214" s="1" t="str">
        <f>HYPERLINK("http://www.weizmann.ac.il/complex/compphys/software/geview/data/figures/212639_x_at.png","Figure")</f>
        <v>Figure</v>
      </c>
      <c r="I8214">
        <v>1.31</v>
      </c>
      <c r="J8214">
        <v>0.3</v>
      </c>
      <c r="K8214">
        <v>1.38</v>
      </c>
      <c r="L8214">
        <v>0.12</v>
      </c>
      <c r="M8214">
        <v>1.05</v>
      </c>
      <c r="N8214">
        <v>0.94</v>
      </c>
    </row>
    <row r="8215" spans="1:14" x14ac:dyDescent="0.25">
      <c r="A8215" t="s">
        <v>14546</v>
      </c>
      <c r="B8215" t="s">
        <v>14547</v>
      </c>
      <c r="C8215" s="1" t="str">
        <f>HYPERLINK("http://www.genecards.org/cgi-bin/carddisp.pl?gene=WSB2","GeneCards")</f>
        <v>GeneCards</v>
      </c>
      <c r="D8215" s="1" t="str">
        <f>HYPERLINK("http://genome-euro.ucsc.edu/cgi-bin/hgTracks?position=213734_at","UCSC")</f>
        <v>UCSC</v>
      </c>
      <c r="E8215" s="1" t="str">
        <f>HYPERLINK("http://www.ncbi.nlm.nih.gov/gene/?term=WSB2","NCBI")</f>
        <v>NCBI</v>
      </c>
      <c r="F8215">
        <v>0.13</v>
      </c>
      <c r="G8215">
        <v>0.27</v>
      </c>
      <c r="H8215" s="1" t="str">
        <f>HYPERLINK("http://www.weizmann.ac.il/complex/compphys/software/geview/data/figures/213734_at.png","Figure")</f>
        <v>Figure</v>
      </c>
      <c r="I8215">
        <v>0.76600000000000001</v>
      </c>
      <c r="J8215">
        <v>0.13</v>
      </c>
      <c r="K8215">
        <v>0.94299999999999995</v>
      </c>
      <c r="L8215">
        <v>0.86</v>
      </c>
      <c r="M8215">
        <v>1.23</v>
      </c>
      <c r="N8215">
        <v>0.22</v>
      </c>
    </row>
    <row r="8216" spans="1:14" x14ac:dyDescent="0.25">
      <c r="A8216" t="s">
        <v>14548</v>
      </c>
      <c r="B8216" t="s">
        <v>14549</v>
      </c>
      <c r="C8216" s="1" t="str">
        <f>HYPERLINK("http://www.genecards.org/cgi-bin/carddisp.pl?gene=IPO4","GeneCards")</f>
        <v>GeneCards</v>
      </c>
      <c r="D8216" s="1" t="str">
        <f>HYPERLINK("http://genome-euro.ucsc.edu/cgi-bin/hgTracks?position=218305_at","UCSC")</f>
        <v>UCSC</v>
      </c>
      <c r="E8216" s="1" t="str">
        <f>HYPERLINK("http://www.ncbi.nlm.nih.gov/gene/?term=IPO4","NCBI")</f>
        <v>NCBI</v>
      </c>
      <c r="F8216">
        <v>0.13</v>
      </c>
      <c r="G8216">
        <v>0.27</v>
      </c>
      <c r="H8216" s="1" t="str">
        <f>HYPERLINK("http://www.weizmann.ac.il/complex/compphys/software/geview/data/figures/218305_at.png","Figure")</f>
        <v>Figure</v>
      </c>
      <c r="I8216">
        <v>0.77300000000000002</v>
      </c>
      <c r="J8216">
        <v>0.11</v>
      </c>
      <c r="K8216">
        <v>0.90600000000000003</v>
      </c>
      <c r="L8216">
        <v>0.62</v>
      </c>
      <c r="M8216">
        <v>1.17</v>
      </c>
      <c r="N8216">
        <v>0.35</v>
      </c>
    </row>
    <row r="8217" spans="1:14" x14ac:dyDescent="0.25">
      <c r="A8217" t="s">
        <v>14550</v>
      </c>
      <c r="B8217" t="s">
        <v>6559</v>
      </c>
      <c r="C8217" s="1" t="str">
        <f>HYPERLINK("http://www.genecards.org/cgi-bin/carddisp.pl?gene=TRAM2","GeneCards")</f>
        <v>GeneCards</v>
      </c>
      <c r="D8217" s="1" t="str">
        <f>HYPERLINK("http://genome-euro.ucsc.edu/cgi-bin/hgTracks?position=202369_s_at","UCSC")</f>
        <v>UCSC</v>
      </c>
      <c r="E8217" s="1" t="str">
        <f>HYPERLINK("http://www.ncbi.nlm.nih.gov/gene/?term=TRAM2","NCBI")</f>
        <v>NCBI</v>
      </c>
      <c r="F8217">
        <v>0.13</v>
      </c>
      <c r="G8217">
        <v>0.27</v>
      </c>
      <c r="H8217" s="1" t="str">
        <f>HYPERLINK("http://www.weizmann.ac.il/complex/compphys/software/geview/data/figures/202369_s_at.png","Figure")</f>
        <v>Figure</v>
      </c>
      <c r="I8217">
        <v>0.89600000000000002</v>
      </c>
      <c r="J8217">
        <v>0.89</v>
      </c>
      <c r="K8217">
        <v>1.4</v>
      </c>
      <c r="L8217">
        <v>0.28000000000000003</v>
      </c>
      <c r="M8217">
        <v>1.57</v>
      </c>
      <c r="N8217">
        <v>0.15</v>
      </c>
    </row>
    <row r="8218" spans="1:14" x14ac:dyDescent="0.25">
      <c r="A8218" t="s">
        <v>14551</v>
      </c>
      <c r="B8218" t="s">
        <v>7867</v>
      </c>
      <c r="C8218" s="1" t="str">
        <f>HYPERLINK("http://www.genecards.org/cgi-bin/carddisp.pl?gene=EML3","GeneCards")</f>
        <v>GeneCards</v>
      </c>
      <c r="D8218" s="1" t="str">
        <f>HYPERLINK("http://genome-euro.ucsc.edu/cgi-bin/hgTracks?position=212969_x_at","UCSC")</f>
        <v>UCSC</v>
      </c>
      <c r="E8218" s="1" t="str">
        <f>HYPERLINK("http://www.ncbi.nlm.nih.gov/gene/?term=EML3","NCBI")</f>
        <v>NCBI</v>
      </c>
      <c r="F8218">
        <v>0.13</v>
      </c>
      <c r="G8218">
        <v>0.27</v>
      </c>
      <c r="H8218" s="1" t="str">
        <f>HYPERLINK("http://www.weizmann.ac.il/complex/compphys/software/geview/data/figures/212969_x_at.png","Figure")</f>
        <v>Figure</v>
      </c>
      <c r="I8218">
        <v>1.1299999999999999</v>
      </c>
      <c r="J8218">
        <v>0.36</v>
      </c>
      <c r="K8218">
        <v>0.94599999999999995</v>
      </c>
      <c r="L8218">
        <v>0.76</v>
      </c>
      <c r="M8218">
        <v>0.83499999999999996</v>
      </c>
      <c r="N8218">
        <v>0.11</v>
      </c>
    </row>
    <row r="8219" spans="1:14" x14ac:dyDescent="0.25">
      <c r="A8219" t="s">
        <v>14552</v>
      </c>
      <c r="B8219" t="s">
        <v>14553</v>
      </c>
      <c r="C8219" s="1" t="str">
        <f>HYPERLINK("http://www.genecards.org/cgi-bin/carddisp.pl?gene=SEL1L","GeneCards")</f>
        <v>GeneCards</v>
      </c>
      <c r="D8219" s="1" t="str">
        <f>HYPERLINK("http://genome-euro.ucsc.edu/cgi-bin/hgTracks?position=202061_s_at","UCSC")</f>
        <v>UCSC</v>
      </c>
      <c r="E8219" s="1" t="str">
        <f>HYPERLINK("http://www.ncbi.nlm.nih.gov/gene/?term=SEL1L","NCBI")</f>
        <v>NCBI</v>
      </c>
      <c r="F8219">
        <v>0.13</v>
      </c>
      <c r="G8219">
        <v>0.27</v>
      </c>
      <c r="H8219" s="1" t="str">
        <f>HYPERLINK("http://www.weizmann.ac.il/complex/compphys/software/geview/data/figures/202061_s_at.png","Figure")</f>
        <v>Figure</v>
      </c>
      <c r="I8219">
        <v>0.56100000000000005</v>
      </c>
      <c r="J8219">
        <v>0.12</v>
      </c>
      <c r="K8219">
        <v>0.84899999999999998</v>
      </c>
      <c r="L8219">
        <v>0.77</v>
      </c>
      <c r="M8219">
        <v>1.51</v>
      </c>
      <c r="N8219">
        <v>0.26</v>
      </c>
    </row>
    <row r="8220" spans="1:14" x14ac:dyDescent="0.25">
      <c r="A8220" t="s">
        <v>14554</v>
      </c>
      <c r="B8220" t="s">
        <v>14555</v>
      </c>
      <c r="C8220" s="1" t="str">
        <f>HYPERLINK("http://www.genecards.org/cgi-bin/carddisp.pl?gene=ABHD10","GeneCards")</f>
        <v>GeneCards</v>
      </c>
      <c r="D8220" s="1" t="str">
        <f>HYPERLINK("http://genome-euro.ucsc.edu/cgi-bin/hgTracks?position=218633_x_at","UCSC")</f>
        <v>UCSC</v>
      </c>
      <c r="E8220" s="1" t="str">
        <f>HYPERLINK("http://www.ncbi.nlm.nih.gov/gene/?term=ABHD10","NCBI")</f>
        <v>NCBI</v>
      </c>
      <c r="F8220">
        <v>0.13</v>
      </c>
      <c r="G8220">
        <v>0.27</v>
      </c>
      <c r="H8220" s="1" t="str">
        <f>HYPERLINK("http://www.weizmann.ac.il/complex/compphys/software/geview/data/figures/218633_x_at.png","Figure")</f>
        <v>Figure</v>
      </c>
      <c r="I8220">
        <v>1.01</v>
      </c>
      <c r="J8220">
        <v>1</v>
      </c>
      <c r="K8220">
        <v>0.76900000000000002</v>
      </c>
      <c r="L8220">
        <v>0.2</v>
      </c>
      <c r="M8220">
        <v>0.75700000000000001</v>
      </c>
      <c r="N8220">
        <v>0.2</v>
      </c>
    </row>
    <row r="8221" spans="1:14" x14ac:dyDescent="0.25">
      <c r="A8221" t="s">
        <v>14556</v>
      </c>
      <c r="B8221" t="s">
        <v>14557</v>
      </c>
      <c r="C8221" s="1" t="str">
        <f>HYPERLINK("http://www.genecards.org/cgi-bin/carddisp.pl?gene=ECM1","GeneCards")</f>
        <v>GeneCards</v>
      </c>
      <c r="D8221" s="1" t="str">
        <f>HYPERLINK("http://genome-euro.ucsc.edu/cgi-bin/hgTracks?position=209365_s_at","UCSC")</f>
        <v>UCSC</v>
      </c>
      <c r="E8221" s="1" t="str">
        <f>HYPERLINK("http://www.ncbi.nlm.nih.gov/gene/?term=ECM1","NCBI")</f>
        <v>NCBI</v>
      </c>
      <c r="F8221">
        <v>0.13</v>
      </c>
      <c r="G8221">
        <v>0.27</v>
      </c>
      <c r="H8221" s="1" t="str">
        <f>HYPERLINK("http://www.weizmann.ac.il/complex/compphys/software/geview/data/figures/209365_s_at.png","Figure")</f>
        <v>Figure</v>
      </c>
      <c r="I8221">
        <v>0.61399999999999999</v>
      </c>
      <c r="J8221">
        <v>0.12</v>
      </c>
      <c r="K8221">
        <v>0.86299999999999999</v>
      </c>
      <c r="L8221">
        <v>0.74</v>
      </c>
      <c r="M8221">
        <v>1.4</v>
      </c>
      <c r="N8221">
        <v>0.28000000000000003</v>
      </c>
    </row>
    <row r="8222" spans="1:14" x14ac:dyDescent="0.25">
      <c r="A8222" t="s">
        <v>14558</v>
      </c>
      <c r="B8222" t="s">
        <v>14559</v>
      </c>
      <c r="C8222" s="1" t="str">
        <f>HYPERLINK("http://www.genecards.org/cgi-bin/carddisp.pl?gene=FGFR1","GeneCards")</f>
        <v>GeneCards</v>
      </c>
      <c r="D8222" s="1" t="str">
        <f>HYPERLINK("http://genome-euro.ucsc.edu/cgi-bin/hgTracks?position=210973_s_at","UCSC")</f>
        <v>UCSC</v>
      </c>
      <c r="E8222" s="1" t="str">
        <f>HYPERLINK("http://www.ncbi.nlm.nih.gov/gene/?term=FGFR1","NCBI")</f>
        <v>NCBI</v>
      </c>
      <c r="F8222">
        <v>0.13</v>
      </c>
      <c r="G8222">
        <v>0.27</v>
      </c>
      <c r="H8222" s="1" t="str">
        <f>HYPERLINK("http://www.weizmann.ac.il/complex/compphys/software/geview/data/figures/210973_s_at.png","Figure")</f>
        <v>Figure</v>
      </c>
      <c r="I8222">
        <v>1.24</v>
      </c>
      <c r="J8222">
        <v>0.11</v>
      </c>
      <c r="K8222">
        <v>1.1000000000000001</v>
      </c>
      <c r="L8222">
        <v>0.49</v>
      </c>
      <c r="M8222">
        <v>0.89400000000000002</v>
      </c>
      <c r="N8222">
        <v>0.45</v>
      </c>
    </row>
    <row r="8223" spans="1:14" x14ac:dyDescent="0.25">
      <c r="A8223" t="s">
        <v>14560</v>
      </c>
      <c r="B8223" t="s">
        <v>14561</v>
      </c>
      <c r="C8223" s="1" t="str">
        <f>HYPERLINK("http://www.genecards.org/cgi-bin/carddisp.pl?gene=LOC100292682","GeneCards")</f>
        <v>GeneCards</v>
      </c>
      <c r="D8223" s="1" t="str">
        <f>HYPERLINK("http://genome-euro.ucsc.edu/cgi-bin/hgTracks?position=213810_s_at","UCSC")</f>
        <v>UCSC</v>
      </c>
      <c r="E8223" s="1" t="str">
        <f>HYPERLINK("http://www.ncbi.nlm.nih.gov/gene/?term=LOC100292682","NCBI")</f>
        <v>NCBI</v>
      </c>
      <c r="F8223">
        <v>0.13</v>
      </c>
      <c r="G8223">
        <v>0.27</v>
      </c>
      <c r="H8223" s="1" t="str">
        <f>HYPERLINK("http://www.weizmann.ac.il/complex/compphys/software/geview/data/figures/213810_s_at.png","Figure")</f>
        <v>Figure</v>
      </c>
      <c r="I8223">
        <v>1</v>
      </c>
      <c r="J8223">
        <v>1</v>
      </c>
      <c r="K8223">
        <v>0.95099999999999996</v>
      </c>
      <c r="L8223">
        <v>0.19</v>
      </c>
      <c r="M8223">
        <v>0.94899999999999995</v>
      </c>
      <c r="N8223">
        <v>0.21</v>
      </c>
    </row>
    <row r="8224" spans="1:14" x14ac:dyDescent="0.25">
      <c r="A8224" t="s">
        <v>14562</v>
      </c>
      <c r="B8224" t="s">
        <v>14563</v>
      </c>
      <c r="C8224" s="1" t="str">
        <f>HYPERLINK("http://www.genecards.org/cgi-bin/carddisp.pl?gene=KRTAP5-8","GeneCards")</f>
        <v>GeneCards</v>
      </c>
      <c r="D8224" s="1" t="str">
        <f>HYPERLINK("http://genome-euro.ucsc.edu/cgi-bin/hgTracks?position=208532_x_at","UCSC")</f>
        <v>UCSC</v>
      </c>
      <c r="E8224" s="1" t="str">
        <f>HYPERLINK("http://www.ncbi.nlm.nih.gov/gene/?term=KRTAP5-8","NCBI")</f>
        <v>NCBI</v>
      </c>
      <c r="F8224">
        <v>0.13</v>
      </c>
      <c r="G8224">
        <v>0.27</v>
      </c>
      <c r="H8224" s="1" t="str">
        <f>HYPERLINK("http://www.weizmann.ac.il/complex/compphys/software/geview/data/figures/208532_x_at.png","Figure")</f>
        <v>Figure</v>
      </c>
      <c r="I8224">
        <v>1.31</v>
      </c>
      <c r="J8224">
        <v>0.11</v>
      </c>
      <c r="K8224">
        <v>1.1200000000000001</v>
      </c>
      <c r="L8224">
        <v>0.59</v>
      </c>
      <c r="M8224">
        <v>0.84899999999999998</v>
      </c>
      <c r="N8224">
        <v>0.37</v>
      </c>
    </row>
    <row r="8225" spans="1:14" x14ac:dyDescent="0.25">
      <c r="A8225" t="s">
        <v>14564</v>
      </c>
      <c r="B8225" t="s">
        <v>14565</v>
      </c>
      <c r="C8225" s="1" t="str">
        <f>HYPERLINK("http://www.genecards.org/cgi-bin/carddisp.pl?gene=MRPL11","GeneCards")</f>
        <v>GeneCards</v>
      </c>
      <c r="D8225" s="1" t="str">
        <f>HYPERLINK("http://genome-euro.ucsc.edu/cgi-bin/hgTracks?position=219162_s_at","UCSC")</f>
        <v>UCSC</v>
      </c>
      <c r="E8225" s="1" t="str">
        <f>HYPERLINK("http://www.ncbi.nlm.nih.gov/gene/?term=MRPL11","NCBI")</f>
        <v>NCBI</v>
      </c>
      <c r="F8225">
        <v>0.13</v>
      </c>
      <c r="G8225">
        <v>0.27</v>
      </c>
      <c r="H8225" s="1" t="str">
        <f>HYPERLINK("http://www.weizmann.ac.il/complex/compphys/software/geview/data/figures/219162_s_at.png","Figure")</f>
        <v>Figure</v>
      </c>
      <c r="I8225">
        <v>1.25</v>
      </c>
      <c r="J8225">
        <v>0.16</v>
      </c>
      <c r="K8225">
        <v>1.2</v>
      </c>
      <c r="L8225">
        <v>0.2</v>
      </c>
      <c r="M8225">
        <v>0.95699999999999996</v>
      </c>
      <c r="N8225">
        <v>0.91</v>
      </c>
    </row>
    <row r="8226" spans="1:14" x14ac:dyDescent="0.25">
      <c r="A8226" t="s">
        <v>14566</v>
      </c>
      <c r="B8226" t="s">
        <v>14567</v>
      </c>
      <c r="C8226" s="1" t="str">
        <f>HYPERLINK("http://www.genecards.org/cgi-bin/carddisp.pl?gene=KCNA2","GeneCards")</f>
        <v>GeneCards</v>
      </c>
      <c r="D8226" s="1" t="str">
        <f>HYPERLINK("http://genome-euro.ucsc.edu/cgi-bin/hgTracks?position=208564_at","UCSC")</f>
        <v>UCSC</v>
      </c>
      <c r="E8226" s="1" t="str">
        <f>HYPERLINK("http://www.ncbi.nlm.nih.gov/gene/?term=KCNA2","NCBI")</f>
        <v>NCBI</v>
      </c>
      <c r="F8226">
        <v>0.13</v>
      </c>
      <c r="G8226">
        <v>0.27</v>
      </c>
      <c r="H8226" s="1" t="str">
        <f>HYPERLINK("http://www.weizmann.ac.il/complex/compphys/software/geview/data/figures/208564_at.png","Figure")</f>
        <v>Figure</v>
      </c>
      <c r="I8226">
        <v>1.0900000000000001</v>
      </c>
      <c r="J8226">
        <v>0.36</v>
      </c>
      <c r="K8226">
        <v>0.96399999999999997</v>
      </c>
      <c r="L8226">
        <v>0.76</v>
      </c>
      <c r="M8226">
        <v>0.88700000000000001</v>
      </c>
      <c r="N8226">
        <v>0.11</v>
      </c>
    </row>
    <row r="8227" spans="1:14" x14ac:dyDescent="0.25">
      <c r="A8227" t="s">
        <v>14568</v>
      </c>
      <c r="B8227" t="s">
        <v>7795</v>
      </c>
      <c r="C8227" s="1" t="str">
        <f>HYPERLINK("http://www.genecards.org/cgi-bin/carddisp.pl?gene=SFRS7","GeneCards")</f>
        <v>GeneCards</v>
      </c>
      <c r="D8227" s="1" t="str">
        <f>HYPERLINK("http://genome-euro.ucsc.edu/cgi-bin/hgTracks?position=214141_x_at","UCSC")</f>
        <v>UCSC</v>
      </c>
      <c r="E8227" s="1" t="str">
        <f>HYPERLINK("http://www.ncbi.nlm.nih.gov/gene/?term=SFRS7","NCBI")</f>
        <v>NCBI</v>
      </c>
      <c r="F8227">
        <v>0.13</v>
      </c>
      <c r="G8227">
        <v>0.27</v>
      </c>
      <c r="H8227" s="1" t="str">
        <f>HYPERLINK("http://www.weizmann.ac.il/complex/compphys/software/geview/data/figures/214141_x_at.png","Figure")</f>
        <v>Figure</v>
      </c>
      <c r="I8227">
        <v>1.49</v>
      </c>
      <c r="J8227">
        <v>0.11</v>
      </c>
      <c r="K8227">
        <v>1.2</v>
      </c>
      <c r="L8227">
        <v>0.49</v>
      </c>
      <c r="M8227">
        <v>0.80900000000000005</v>
      </c>
      <c r="N8227">
        <v>0.45</v>
      </c>
    </row>
    <row r="8228" spans="1:14" x14ac:dyDescent="0.25">
      <c r="A8228" t="s">
        <v>14569</v>
      </c>
      <c r="B8228" t="s">
        <v>14570</v>
      </c>
      <c r="C8228" s="1" t="str">
        <f>HYPERLINK("http://www.genecards.org/cgi-bin/carddisp.pl?gene=OSGIN1","GeneCards")</f>
        <v>GeneCards</v>
      </c>
      <c r="D8228" s="1" t="str">
        <f>HYPERLINK("http://genome-euro.ucsc.edu/cgi-bin/hgTracks?position=219475_at","UCSC")</f>
        <v>UCSC</v>
      </c>
      <c r="E8228" s="1" t="str">
        <f>HYPERLINK("http://www.ncbi.nlm.nih.gov/gene/?term=OSGIN1","NCBI")</f>
        <v>NCBI</v>
      </c>
      <c r="F8228">
        <v>0.13</v>
      </c>
      <c r="G8228">
        <v>0.27</v>
      </c>
      <c r="H8228" s="1" t="str">
        <f>HYPERLINK("http://www.weizmann.ac.il/complex/compphys/software/geview/data/figures/219475_at.png","Figure")</f>
        <v>Figure</v>
      </c>
      <c r="I8228">
        <v>1.34</v>
      </c>
      <c r="J8228">
        <v>0.11</v>
      </c>
      <c r="K8228">
        <v>1.18</v>
      </c>
      <c r="L8228">
        <v>0.38</v>
      </c>
      <c r="M8228">
        <v>0.879</v>
      </c>
      <c r="N8228">
        <v>0.56999999999999995</v>
      </c>
    </row>
    <row r="8229" spans="1:14" x14ac:dyDescent="0.25">
      <c r="A8229" t="s">
        <v>14571</v>
      </c>
      <c r="B8229" t="s">
        <v>6512</v>
      </c>
      <c r="C8229" s="1" t="str">
        <f>HYPERLINK("http://www.genecards.org/cgi-bin/carddisp.pl?gene=WWP2","GeneCards")</f>
        <v>GeneCards</v>
      </c>
      <c r="D8229" s="1" t="str">
        <f>HYPERLINK("http://genome-euro.ucsc.edu/cgi-bin/hgTracks?position=204022_at","UCSC")</f>
        <v>UCSC</v>
      </c>
      <c r="E8229" s="1" t="str">
        <f>HYPERLINK("http://www.ncbi.nlm.nih.gov/gene/?term=WWP2","NCBI")</f>
        <v>NCBI</v>
      </c>
      <c r="F8229">
        <v>0.13</v>
      </c>
      <c r="G8229">
        <v>0.27</v>
      </c>
      <c r="H8229" s="1" t="str">
        <f>HYPERLINK("http://www.weizmann.ac.il/complex/compphys/software/geview/data/figures/204022_at.png","Figure")</f>
        <v>Figure</v>
      </c>
      <c r="I8229">
        <v>0.95799999999999996</v>
      </c>
      <c r="J8229">
        <v>0.93</v>
      </c>
      <c r="K8229">
        <v>1.19</v>
      </c>
      <c r="L8229">
        <v>0.25</v>
      </c>
      <c r="M8229">
        <v>1.24</v>
      </c>
      <c r="N8229">
        <v>0.16</v>
      </c>
    </row>
    <row r="8230" spans="1:14" x14ac:dyDescent="0.25">
      <c r="A8230" t="s">
        <v>14572</v>
      </c>
      <c r="B8230" t="s">
        <v>14573</v>
      </c>
      <c r="C8230" s="1" t="str">
        <f>HYPERLINK("http://www.genecards.org/cgi-bin/carddisp.pl?gene=UPF3A","GeneCards")</f>
        <v>GeneCards</v>
      </c>
      <c r="D8230" s="1" t="str">
        <f>HYPERLINK("http://genome-euro.ucsc.edu/cgi-bin/hgTracks?position=217596_at","UCSC")</f>
        <v>UCSC</v>
      </c>
      <c r="E8230" s="1" t="str">
        <f>HYPERLINK("http://www.ncbi.nlm.nih.gov/gene/?term=UPF3A","NCBI")</f>
        <v>NCBI</v>
      </c>
      <c r="F8230">
        <v>0.13</v>
      </c>
      <c r="G8230">
        <v>0.27</v>
      </c>
      <c r="H8230" s="1" t="str">
        <f>HYPERLINK("http://www.weizmann.ac.il/complex/compphys/software/geview/data/figures/217596_at.png","Figure")</f>
        <v>Figure</v>
      </c>
      <c r="I8230">
        <v>0.98599999999999999</v>
      </c>
      <c r="J8230">
        <v>0.97</v>
      </c>
      <c r="K8230">
        <v>0.90800000000000003</v>
      </c>
      <c r="L8230">
        <v>0.15</v>
      </c>
      <c r="M8230">
        <v>0.92100000000000004</v>
      </c>
      <c r="N8230">
        <v>0.28000000000000003</v>
      </c>
    </row>
    <row r="8231" spans="1:14" x14ac:dyDescent="0.25">
      <c r="A8231" t="s">
        <v>14574</v>
      </c>
      <c r="B8231" t="s">
        <v>12941</v>
      </c>
      <c r="C8231" s="1" t="str">
        <f>HYPERLINK("http://www.genecards.org/cgi-bin/carddisp.pl?gene=GAK","GeneCards")</f>
        <v>GeneCards</v>
      </c>
      <c r="D8231" s="1" t="str">
        <f>HYPERLINK("http://genome-euro.ucsc.edu/cgi-bin/hgTracks?position=202281_at","UCSC")</f>
        <v>UCSC</v>
      </c>
      <c r="E8231" s="1" t="str">
        <f>HYPERLINK("http://www.ncbi.nlm.nih.gov/gene/?term=GAK","NCBI")</f>
        <v>NCBI</v>
      </c>
      <c r="F8231">
        <v>0.13</v>
      </c>
      <c r="G8231">
        <v>0.27</v>
      </c>
      <c r="H8231" s="1" t="str">
        <f>HYPERLINK("http://www.weizmann.ac.il/complex/compphys/software/geview/data/figures/202281_at.png","Figure")</f>
        <v>Figure</v>
      </c>
      <c r="I8231">
        <v>1.1000000000000001</v>
      </c>
      <c r="J8231">
        <v>0.82</v>
      </c>
      <c r="K8231">
        <v>0.81</v>
      </c>
      <c r="L8231">
        <v>0.32</v>
      </c>
      <c r="M8231">
        <v>0.73399999999999999</v>
      </c>
      <c r="N8231">
        <v>0.14000000000000001</v>
      </c>
    </row>
    <row r="8232" spans="1:14" x14ac:dyDescent="0.25">
      <c r="A8232" t="s">
        <v>14575</v>
      </c>
      <c r="B8232" t="s">
        <v>14576</v>
      </c>
      <c r="C8232" s="1" t="str">
        <f>HYPERLINK("http://www.genecards.org/cgi-bin/carddisp.pl?gene=FMOD","GeneCards")</f>
        <v>GeneCards</v>
      </c>
      <c r="D8232" s="1" t="str">
        <f>HYPERLINK("http://genome-euro.ucsc.edu/cgi-bin/hgTracks?position=202709_at","UCSC")</f>
        <v>UCSC</v>
      </c>
      <c r="E8232" s="1" t="str">
        <f>HYPERLINK("http://www.ncbi.nlm.nih.gov/gene/?term=FMOD","NCBI")</f>
        <v>NCBI</v>
      </c>
      <c r="F8232">
        <v>0.13</v>
      </c>
      <c r="G8232">
        <v>0.27</v>
      </c>
      <c r="H8232" s="1" t="str">
        <f>HYPERLINK("http://www.weizmann.ac.il/complex/compphys/software/geview/data/figures/202709_at.png","Figure")</f>
        <v>Figure</v>
      </c>
      <c r="I8232">
        <v>1.29</v>
      </c>
      <c r="J8232">
        <v>0.12</v>
      </c>
      <c r="K8232">
        <v>1.17</v>
      </c>
      <c r="L8232">
        <v>0.33</v>
      </c>
      <c r="M8232">
        <v>0.90500000000000003</v>
      </c>
      <c r="N8232">
        <v>0.65</v>
      </c>
    </row>
    <row r="8233" spans="1:14" x14ac:dyDescent="0.25">
      <c r="A8233" t="s">
        <v>14577</v>
      </c>
      <c r="B8233" t="s">
        <v>14578</v>
      </c>
      <c r="C8233" s="1" t="str">
        <f>HYPERLINK("http://www.genecards.org/cgi-bin/carddisp.pl?gene=PRAMEF1 /// PRAMEF2","GeneCards")</f>
        <v>GeneCards</v>
      </c>
      <c r="D8233" s="1" t="str">
        <f>HYPERLINK("http://genome-euro.ucsc.edu/cgi-bin/hgTracks?position=208312_s_at","UCSC")</f>
        <v>UCSC</v>
      </c>
      <c r="E8233" s="1" t="str">
        <f>HYPERLINK("http://www.ncbi.nlm.nih.gov/gene/?term=PRAMEF1 /// PRAMEF2","NCBI")</f>
        <v>NCBI</v>
      </c>
      <c r="F8233">
        <v>0.13</v>
      </c>
      <c r="G8233">
        <v>0.27</v>
      </c>
      <c r="H8233" s="1" t="str">
        <f>HYPERLINK("http://www.weizmann.ac.il/complex/compphys/software/geview/data/figures/208312_s_at.png","Figure")</f>
        <v>Figure</v>
      </c>
      <c r="I8233">
        <v>1.1399999999999999</v>
      </c>
      <c r="J8233">
        <v>0.49</v>
      </c>
      <c r="K8233">
        <v>0.90500000000000003</v>
      </c>
      <c r="L8233">
        <v>0.59</v>
      </c>
      <c r="M8233">
        <v>0.79100000000000004</v>
      </c>
      <c r="N8233">
        <v>0.11</v>
      </c>
    </row>
    <row r="8234" spans="1:14" x14ac:dyDescent="0.25">
      <c r="A8234" t="s">
        <v>14579</v>
      </c>
      <c r="B8234" t="s">
        <v>14580</v>
      </c>
      <c r="C8234" s="1" t="str">
        <f>HYPERLINK("http://www.genecards.org/cgi-bin/carddisp.pl?gene=DDX52","GeneCards")</f>
        <v>GeneCards</v>
      </c>
      <c r="D8234" s="1" t="str">
        <f>HYPERLINK("http://genome-euro.ucsc.edu/cgi-bin/hgTracks?position=212834_at","UCSC")</f>
        <v>UCSC</v>
      </c>
      <c r="E8234" s="1" t="str">
        <f>HYPERLINK("http://www.ncbi.nlm.nih.gov/gene/?term=DDX52","NCBI")</f>
        <v>NCBI</v>
      </c>
      <c r="F8234">
        <v>0.13</v>
      </c>
      <c r="G8234">
        <v>0.27</v>
      </c>
      <c r="H8234" s="1" t="str">
        <f>HYPERLINK("http://www.weizmann.ac.il/complex/compphys/software/geview/data/figures/212834_at.png","Figure")</f>
        <v>Figure</v>
      </c>
      <c r="I8234">
        <v>0.75700000000000001</v>
      </c>
      <c r="J8234">
        <v>0.45</v>
      </c>
      <c r="K8234">
        <v>0.65500000000000003</v>
      </c>
      <c r="L8234">
        <v>0.11</v>
      </c>
      <c r="M8234">
        <v>0.86499999999999999</v>
      </c>
      <c r="N8234">
        <v>0.77</v>
      </c>
    </row>
    <row r="8235" spans="1:14" x14ac:dyDescent="0.25">
      <c r="A8235" t="s">
        <v>14581</v>
      </c>
      <c r="B8235" t="s">
        <v>14582</v>
      </c>
      <c r="C8235" s="1" t="str">
        <f>HYPERLINK("http://www.genecards.org/cgi-bin/carddisp.pl?gene=FNBP1L","GeneCards")</f>
        <v>GeneCards</v>
      </c>
      <c r="D8235" s="1" t="str">
        <f>HYPERLINK("http://genome-euro.ucsc.edu/cgi-bin/hgTracks?position=215017_s_at","UCSC")</f>
        <v>UCSC</v>
      </c>
      <c r="E8235" s="1" t="str">
        <f>HYPERLINK("http://www.ncbi.nlm.nih.gov/gene/?term=FNBP1L","NCBI")</f>
        <v>NCBI</v>
      </c>
      <c r="F8235">
        <v>0.13</v>
      </c>
      <c r="G8235">
        <v>0.27</v>
      </c>
      <c r="H8235" s="1" t="str">
        <f>HYPERLINK("http://www.weizmann.ac.il/complex/compphys/software/geview/data/figures/215017_s_at.png","Figure")</f>
        <v>Figure</v>
      </c>
      <c r="I8235">
        <v>0.65900000000000003</v>
      </c>
      <c r="J8235">
        <v>0.47</v>
      </c>
      <c r="K8235">
        <v>0.51400000000000001</v>
      </c>
      <c r="L8235">
        <v>0.11</v>
      </c>
      <c r="M8235">
        <v>0.78100000000000003</v>
      </c>
      <c r="N8235">
        <v>0.73</v>
      </c>
    </row>
    <row r="8236" spans="1:14" x14ac:dyDescent="0.25">
      <c r="A8236" t="s">
        <v>14583</v>
      </c>
      <c r="B8236" t="s">
        <v>8575</v>
      </c>
      <c r="C8236" s="1" t="str">
        <f>HYPERLINK("http://www.genecards.org/cgi-bin/carddisp.pl?gene=RTEL1","GeneCards")</f>
        <v>GeneCards</v>
      </c>
      <c r="D8236" s="1" t="str">
        <f>HYPERLINK("http://genome-euro.ucsc.edu/cgi-bin/hgTracks?position=216325_x_at","UCSC")</f>
        <v>UCSC</v>
      </c>
      <c r="E8236" s="1" t="str">
        <f>HYPERLINK("http://www.ncbi.nlm.nih.gov/gene/?term=RTEL1","NCBI")</f>
        <v>NCBI</v>
      </c>
      <c r="F8236">
        <v>0.13</v>
      </c>
      <c r="G8236">
        <v>0.27</v>
      </c>
      <c r="H8236" s="1" t="str">
        <f>HYPERLINK("http://www.weizmann.ac.il/complex/compphys/software/geview/data/figures/216325_x_at.png","Figure")</f>
        <v>Figure</v>
      </c>
      <c r="I8236">
        <v>1.22</v>
      </c>
      <c r="J8236">
        <v>0.11</v>
      </c>
      <c r="K8236">
        <v>1.08</v>
      </c>
      <c r="L8236">
        <v>0.63</v>
      </c>
      <c r="M8236">
        <v>0.88400000000000001</v>
      </c>
      <c r="N8236">
        <v>0.34</v>
      </c>
    </row>
    <row r="8237" spans="1:14" x14ac:dyDescent="0.25">
      <c r="A8237" t="s">
        <v>14584</v>
      </c>
      <c r="B8237" t="s">
        <v>14585</v>
      </c>
      <c r="C8237" s="1" t="str">
        <f>HYPERLINK("http://www.genecards.org/cgi-bin/carddisp.pl?gene=FAM174B","GeneCards")</f>
        <v>GeneCards</v>
      </c>
      <c r="D8237" s="1" t="str">
        <f>HYPERLINK("http://genome-euro.ucsc.edu/cgi-bin/hgTracks?position=221880_s_at","UCSC")</f>
        <v>UCSC</v>
      </c>
      <c r="E8237" s="1" t="str">
        <f>HYPERLINK("http://www.ncbi.nlm.nih.gov/gene/?term=FAM174B","NCBI")</f>
        <v>NCBI</v>
      </c>
      <c r="F8237">
        <v>0.13</v>
      </c>
      <c r="G8237">
        <v>0.27</v>
      </c>
      <c r="H8237" s="1" t="str">
        <f>HYPERLINK("http://www.weizmann.ac.il/complex/compphys/software/geview/data/figures/221880_s_at.png","Figure")</f>
        <v>Figure</v>
      </c>
      <c r="I8237">
        <v>0.99299999999999999</v>
      </c>
      <c r="J8237">
        <v>0.98</v>
      </c>
      <c r="K8237">
        <v>0.93500000000000005</v>
      </c>
      <c r="L8237">
        <v>0.16</v>
      </c>
      <c r="M8237">
        <v>0.94099999999999995</v>
      </c>
      <c r="N8237">
        <v>0.26</v>
      </c>
    </row>
    <row r="8238" spans="1:14" x14ac:dyDescent="0.25">
      <c r="A8238" t="s">
        <v>14586</v>
      </c>
      <c r="B8238" t="s">
        <v>14587</v>
      </c>
      <c r="C8238" s="1" t="str">
        <f>HYPERLINK("http://www.genecards.org/cgi-bin/carddisp.pl?gene=EGFL7","GeneCards")</f>
        <v>GeneCards</v>
      </c>
      <c r="D8238" s="1" t="str">
        <f>HYPERLINK("http://genome-euro.ucsc.edu/cgi-bin/hgTracks?position=218825_at","UCSC")</f>
        <v>UCSC</v>
      </c>
      <c r="E8238" s="1" t="str">
        <f>HYPERLINK("http://www.ncbi.nlm.nih.gov/gene/?term=EGFL7","NCBI")</f>
        <v>NCBI</v>
      </c>
      <c r="F8238">
        <v>0.13</v>
      </c>
      <c r="G8238">
        <v>0.27</v>
      </c>
      <c r="H8238" s="1" t="str">
        <f>HYPERLINK("http://www.weizmann.ac.il/complex/compphys/software/geview/data/figures/218825_at.png","Figure")</f>
        <v>Figure</v>
      </c>
      <c r="I8238">
        <v>0.95</v>
      </c>
      <c r="J8238">
        <v>0.97</v>
      </c>
      <c r="K8238">
        <v>0.69399999999999995</v>
      </c>
      <c r="L8238">
        <v>0.15</v>
      </c>
      <c r="M8238">
        <v>0.73099999999999998</v>
      </c>
      <c r="N8238">
        <v>0.28000000000000003</v>
      </c>
    </row>
    <row r="8239" spans="1:14" x14ac:dyDescent="0.25">
      <c r="A8239" t="s">
        <v>14588</v>
      </c>
      <c r="B8239" t="s">
        <v>14589</v>
      </c>
      <c r="C8239" s="1" t="str">
        <f>HYPERLINK("http://www.genecards.org/cgi-bin/carddisp.pl?gene=HOXC4","GeneCards")</f>
        <v>GeneCards</v>
      </c>
      <c r="D8239" s="1" t="str">
        <f>HYPERLINK("http://genome-euro.ucsc.edu/cgi-bin/hgTracks?position=206194_at","UCSC")</f>
        <v>UCSC</v>
      </c>
      <c r="E8239" s="1" t="str">
        <f>HYPERLINK("http://www.ncbi.nlm.nih.gov/gene/?term=HOXC4","NCBI")</f>
        <v>NCBI</v>
      </c>
      <c r="F8239">
        <v>0.13</v>
      </c>
      <c r="G8239">
        <v>0.27</v>
      </c>
      <c r="H8239" s="1" t="str">
        <f>HYPERLINK("http://www.weizmann.ac.il/complex/compphys/software/geview/data/figures/206194_at.png","Figure")</f>
        <v>Figure</v>
      </c>
      <c r="I8239">
        <v>1.21</v>
      </c>
      <c r="J8239">
        <v>0.14000000000000001</v>
      </c>
      <c r="K8239">
        <v>1.03</v>
      </c>
      <c r="L8239">
        <v>0.91</v>
      </c>
      <c r="M8239">
        <v>0.85799999999999998</v>
      </c>
      <c r="N8239">
        <v>0.2</v>
      </c>
    </row>
    <row r="8240" spans="1:14" x14ac:dyDescent="0.25">
      <c r="A8240" t="s">
        <v>14590</v>
      </c>
      <c r="B8240" t="s">
        <v>14591</v>
      </c>
      <c r="C8240" s="1" t="str">
        <f>HYPERLINK("http://www.genecards.org/cgi-bin/carddisp.pl?gene=SEMA7A","GeneCards")</f>
        <v>GeneCards</v>
      </c>
      <c r="D8240" s="1" t="str">
        <f>HYPERLINK("http://genome-euro.ucsc.edu/cgi-bin/hgTracks?position=210083_at","UCSC")</f>
        <v>UCSC</v>
      </c>
      <c r="E8240" s="1" t="str">
        <f>HYPERLINK("http://www.ncbi.nlm.nih.gov/gene/?term=SEMA7A","NCBI")</f>
        <v>NCBI</v>
      </c>
      <c r="F8240">
        <v>0.13</v>
      </c>
      <c r="G8240">
        <v>0.27</v>
      </c>
      <c r="H8240" s="1" t="str">
        <f>HYPERLINK("http://www.weizmann.ac.il/complex/compphys/software/geview/data/figures/210083_at.png","Figure")</f>
        <v>Figure</v>
      </c>
      <c r="I8240">
        <v>1.1499999999999999</v>
      </c>
      <c r="J8240">
        <v>0.11</v>
      </c>
      <c r="K8240">
        <v>1.05</v>
      </c>
      <c r="L8240">
        <v>0.64</v>
      </c>
      <c r="M8240">
        <v>0.91300000000000003</v>
      </c>
      <c r="N8240">
        <v>0.34</v>
      </c>
    </row>
    <row r="8241" spans="1:14" x14ac:dyDescent="0.25">
      <c r="A8241" t="s">
        <v>14592</v>
      </c>
      <c r="B8241" t="s">
        <v>14593</v>
      </c>
      <c r="C8241" s="1" t="str">
        <f>HYPERLINK("http://www.genecards.org/cgi-bin/carddisp.pl?gene=EXOSC2","GeneCards")</f>
        <v>GeneCards</v>
      </c>
      <c r="D8241" s="1" t="str">
        <f>HYPERLINK("http://genome-euro.ucsc.edu/cgi-bin/hgTracks?position=214507_s_at","UCSC")</f>
        <v>UCSC</v>
      </c>
      <c r="E8241" s="1" t="str">
        <f>HYPERLINK("http://www.ncbi.nlm.nih.gov/gene/?term=EXOSC2","NCBI")</f>
        <v>NCBI</v>
      </c>
      <c r="F8241">
        <v>0.13</v>
      </c>
      <c r="G8241">
        <v>0.27</v>
      </c>
      <c r="H8241" s="1" t="str">
        <f>HYPERLINK("http://www.weizmann.ac.il/complex/compphys/software/geview/data/figures/214507_s_at.png","Figure")</f>
        <v>Figure</v>
      </c>
      <c r="I8241">
        <v>1.1200000000000001</v>
      </c>
      <c r="J8241">
        <v>0.32</v>
      </c>
      <c r="K8241">
        <v>1.1599999999999999</v>
      </c>
      <c r="L8241">
        <v>0.12</v>
      </c>
      <c r="M8241">
        <v>1.03</v>
      </c>
      <c r="N8241">
        <v>0.92</v>
      </c>
    </row>
    <row r="8242" spans="1:14" x14ac:dyDescent="0.25">
      <c r="A8242" t="s">
        <v>14594</v>
      </c>
      <c r="B8242" t="s">
        <v>14595</v>
      </c>
      <c r="C8242" s="1" t="str">
        <f>HYPERLINK("http://www.genecards.org/cgi-bin/carddisp.pl?gene=SMAD9","GeneCards")</f>
        <v>GeneCards</v>
      </c>
      <c r="D8242" s="1" t="str">
        <f>HYPERLINK("http://genome-euro.ucsc.edu/cgi-bin/hgTracks?position=206320_s_at","UCSC")</f>
        <v>UCSC</v>
      </c>
      <c r="E8242" s="1" t="str">
        <f>HYPERLINK("http://www.ncbi.nlm.nih.gov/gene/?term=SMAD9","NCBI")</f>
        <v>NCBI</v>
      </c>
      <c r="F8242">
        <v>0.13</v>
      </c>
      <c r="G8242">
        <v>0.27</v>
      </c>
      <c r="H8242" s="1" t="str">
        <f>HYPERLINK("http://www.weizmann.ac.il/complex/compphys/software/geview/data/figures/206320_s_at.png","Figure")</f>
        <v>Figure</v>
      </c>
      <c r="I8242">
        <v>1.04</v>
      </c>
      <c r="J8242">
        <v>0.11</v>
      </c>
      <c r="K8242">
        <v>1.02</v>
      </c>
      <c r="L8242">
        <v>0.39</v>
      </c>
      <c r="M8242">
        <v>0.98099999999999998</v>
      </c>
      <c r="N8242">
        <v>0.56000000000000005</v>
      </c>
    </row>
    <row r="8243" spans="1:14" x14ac:dyDescent="0.25">
      <c r="A8243" t="s">
        <v>14596</v>
      </c>
      <c r="B8243" t="s">
        <v>14597</v>
      </c>
      <c r="C8243" s="1" t="str">
        <f>HYPERLINK("http://www.genecards.org/cgi-bin/carddisp.pl?gene=MTMR8","GeneCards")</f>
        <v>GeneCards</v>
      </c>
      <c r="D8243" s="1" t="str">
        <f>HYPERLINK("http://genome-euro.ucsc.edu/cgi-bin/hgTracks?position=221390_s_at","UCSC")</f>
        <v>UCSC</v>
      </c>
      <c r="E8243" s="1" t="str">
        <f>HYPERLINK("http://www.ncbi.nlm.nih.gov/gene/?term=MTMR8","NCBI")</f>
        <v>NCBI</v>
      </c>
      <c r="F8243">
        <v>0.13</v>
      </c>
      <c r="G8243">
        <v>0.27</v>
      </c>
      <c r="H8243" s="1" t="str">
        <f>HYPERLINK("http://www.weizmann.ac.il/complex/compphys/software/geview/data/figures/221390_s_at.png","Figure")</f>
        <v>Figure</v>
      </c>
      <c r="I8243">
        <v>1.17</v>
      </c>
      <c r="J8243">
        <v>0.15</v>
      </c>
      <c r="K8243">
        <v>1.02</v>
      </c>
      <c r="L8243">
        <v>0.97</v>
      </c>
      <c r="M8243">
        <v>0.86799999999999999</v>
      </c>
      <c r="N8243">
        <v>0.17</v>
      </c>
    </row>
    <row r="8244" spans="1:14" x14ac:dyDescent="0.25">
      <c r="A8244" t="s">
        <v>14598</v>
      </c>
      <c r="B8244" t="s">
        <v>13991</v>
      </c>
      <c r="C8244" s="1" t="str">
        <f>HYPERLINK("http://www.genecards.org/cgi-bin/carddisp.pl?gene=PEX19","GeneCards")</f>
        <v>GeneCards</v>
      </c>
      <c r="D8244" s="1" t="str">
        <f>HYPERLINK("http://genome-euro.ucsc.edu/cgi-bin/hgTracks?position=201706_s_at","UCSC")</f>
        <v>UCSC</v>
      </c>
      <c r="E8244" s="1" t="str">
        <f>HYPERLINK("http://www.ncbi.nlm.nih.gov/gene/?term=PEX19","NCBI")</f>
        <v>NCBI</v>
      </c>
      <c r="F8244">
        <v>0.13</v>
      </c>
      <c r="G8244">
        <v>0.27</v>
      </c>
      <c r="H8244" s="1" t="str">
        <f>HYPERLINK("http://www.weizmann.ac.il/complex/compphys/software/geview/data/figures/201706_s_at.png","Figure")</f>
        <v>Figure</v>
      </c>
      <c r="I8244">
        <v>1.2</v>
      </c>
      <c r="J8244">
        <v>0.17</v>
      </c>
      <c r="K8244">
        <v>1.1599999999999999</v>
      </c>
      <c r="L8244">
        <v>0.19</v>
      </c>
      <c r="M8244">
        <v>0.97299999999999998</v>
      </c>
      <c r="N8244">
        <v>0.95</v>
      </c>
    </row>
    <row r="8245" spans="1:14" x14ac:dyDescent="0.25">
      <c r="A8245" t="s">
        <v>14599</v>
      </c>
      <c r="B8245" t="s">
        <v>14600</v>
      </c>
      <c r="C8245" s="1" t="str">
        <f>HYPERLINK("http://www.genecards.org/cgi-bin/carddisp.pl?gene=C1orf9","GeneCards")</f>
        <v>GeneCards</v>
      </c>
      <c r="D8245" s="1" t="str">
        <f>HYPERLINK("http://genome-euro.ucsc.edu/cgi-bin/hgTracks?position=203429_s_at","UCSC")</f>
        <v>UCSC</v>
      </c>
      <c r="E8245" s="1" t="str">
        <f>HYPERLINK("http://www.ncbi.nlm.nih.gov/gene/?term=C1orf9","NCBI")</f>
        <v>NCBI</v>
      </c>
      <c r="F8245">
        <v>0.13</v>
      </c>
      <c r="G8245">
        <v>0.27</v>
      </c>
      <c r="H8245" s="1" t="str">
        <f>HYPERLINK("http://www.weizmann.ac.il/complex/compphys/software/geview/data/figures/203429_s_at.png","Figure")</f>
        <v>Figure</v>
      </c>
      <c r="I8245">
        <v>1.08</v>
      </c>
      <c r="J8245">
        <v>0.97</v>
      </c>
      <c r="K8245">
        <v>0.61899999999999999</v>
      </c>
      <c r="L8245">
        <v>0.23</v>
      </c>
      <c r="M8245">
        <v>0.57299999999999995</v>
      </c>
      <c r="N8245">
        <v>0.18</v>
      </c>
    </row>
    <row r="8246" spans="1:14" x14ac:dyDescent="0.25">
      <c r="A8246" t="s">
        <v>14601</v>
      </c>
      <c r="B8246" t="s">
        <v>7102</v>
      </c>
      <c r="C8246" s="1" t="str">
        <f>HYPERLINK("http://www.genecards.org/cgi-bin/carddisp.pl?gene=RICH2","GeneCards")</f>
        <v>GeneCards</v>
      </c>
      <c r="D8246" s="1" t="str">
        <f>HYPERLINK("http://genome-euro.ucsc.edu/cgi-bin/hgTracks?position=215232_at","UCSC")</f>
        <v>UCSC</v>
      </c>
      <c r="E8246" s="1" t="str">
        <f>HYPERLINK("http://www.ncbi.nlm.nih.gov/gene/?term=RICH2","NCBI")</f>
        <v>NCBI</v>
      </c>
      <c r="F8246">
        <v>0.13</v>
      </c>
      <c r="G8246">
        <v>0.27</v>
      </c>
      <c r="H8246" s="1" t="str">
        <f>HYPERLINK("http://www.weizmann.ac.il/complex/compphys/software/geview/data/figures/215232_at.png","Figure")</f>
        <v>Figure</v>
      </c>
      <c r="I8246">
        <v>1.18</v>
      </c>
      <c r="J8246">
        <v>0.13</v>
      </c>
      <c r="K8246">
        <v>1.04</v>
      </c>
      <c r="L8246">
        <v>0.83</v>
      </c>
      <c r="M8246">
        <v>0.88100000000000001</v>
      </c>
      <c r="N8246">
        <v>0.24</v>
      </c>
    </row>
    <row r="8247" spans="1:14" x14ac:dyDescent="0.25">
      <c r="A8247" t="s">
        <v>14602</v>
      </c>
      <c r="B8247" t="s">
        <v>14603</v>
      </c>
      <c r="C8247" s="1" t="str">
        <f>HYPERLINK("http://www.genecards.org/cgi-bin/carddisp.pl?gene=TUBB4Q","GeneCards")</f>
        <v>GeneCards</v>
      </c>
      <c r="D8247" s="1" t="str">
        <f>HYPERLINK("http://genome-euro.ucsc.edu/cgi-bin/hgTracks?position=211915_s_at","UCSC")</f>
        <v>UCSC</v>
      </c>
      <c r="E8247" s="1" t="str">
        <f>HYPERLINK("http://www.ncbi.nlm.nih.gov/gene/?term=TUBB4Q","NCBI")</f>
        <v>NCBI</v>
      </c>
      <c r="F8247">
        <v>0.13</v>
      </c>
      <c r="G8247">
        <v>0.27</v>
      </c>
      <c r="H8247" s="1" t="str">
        <f>HYPERLINK("http://www.weizmann.ac.il/complex/compphys/software/geview/data/figures/211915_s_at.png","Figure")</f>
        <v>Figure</v>
      </c>
      <c r="I8247">
        <v>1.02</v>
      </c>
      <c r="J8247">
        <v>0.22</v>
      </c>
      <c r="K8247">
        <v>1.02</v>
      </c>
      <c r="L8247">
        <v>0.15</v>
      </c>
      <c r="M8247">
        <v>1</v>
      </c>
      <c r="N8247">
        <v>1</v>
      </c>
    </row>
    <row r="8248" spans="1:14" x14ac:dyDescent="0.25">
      <c r="A8248" t="s">
        <v>14604</v>
      </c>
      <c r="B8248" t="s">
        <v>1622</v>
      </c>
      <c r="C8248" s="1" t="str">
        <f>HYPERLINK("http://www.genecards.org/cgi-bin/carddisp.pl?gene=SAT1","GeneCards")</f>
        <v>GeneCards</v>
      </c>
      <c r="D8248" s="1" t="str">
        <f>HYPERLINK("http://genome-euro.ucsc.edu/cgi-bin/hgTracks?position=213988_s_at","UCSC")</f>
        <v>UCSC</v>
      </c>
      <c r="E8248" s="1" t="str">
        <f>HYPERLINK("http://www.ncbi.nlm.nih.gov/gene/?term=SAT1","NCBI")</f>
        <v>NCBI</v>
      </c>
      <c r="F8248">
        <v>0.13</v>
      </c>
      <c r="G8248">
        <v>0.27</v>
      </c>
      <c r="H8248" s="1" t="str">
        <f>HYPERLINK("http://www.weizmann.ac.il/complex/compphys/software/geview/data/figures/213988_s_at.png","Figure")</f>
        <v>Figure</v>
      </c>
      <c r="I8248">
        <v>0.55600000000000005</v>
      </c>
      <c r="J8248">
        <v>0.14000000000000001</v>
      </c>
      <c r="K8248">
        <v>0.66</v>
      </c>
      <c r="L8248">
        <v>0.25</v>
      </c>
      <c r="M8248">
        <v>1.19</v>
      </c>
      <c r="N8248">
        <v>0.8</v>
      </c>
    </row>
    <row r="8249" spans="1:14" x14ac:dyDescent="0.25">
      <c r="A8249" t="s">
        <v>14605</v>
      </c>
      <c r="B8249" t="s">
        <v>2081</v>
      </c>
      <c r="C8249" s="1" t="str">
        <f>HYPERLINK("http://www.genecards.org/cgi-bin/carddisp.pl?gene=BRCC3","GeneCards")</f>
        <v>GeneCards</v>
      </c>
      <c r="D8249" s="1" t="str">
        <f>HYPERLINK("http://genome-euro.ucsc.edu/cgi-bin/hgTracks?position=216521_s_at","UCSC")</f>
        <v>UCSC</v>
      </c>
      <c r="E8249" s="1" t="str">
        <f>HYPERLINK("http://www.ncbi.nlm.nih.gov/gene/?term=BRCC3","NCBI")</f>
        <v>NCBI</v>
      </c>
      <c r="F8249">
        <v>0.13</v>
      </c>
      <c r="G8249">
        <v>0.27</v>
      </c>
      <c r="H8249" s="1" t="str">
        <f>HYPERLINK("http://www.weizmann.ac.il/complex/compphys/software/geview/data/figures/216521_s_at.png","Figure")</f>
        <v>Figure</v>
      </c>
      <c r="I8249">
        <v>0.875</v>
      </c>
      <c r="J8249">
        <v>0.33</v>
      </c>
      <c r="K8249">
        <v>1.05</v>
      </c>
      <c r="L8249">
        <v>0.81</v>
      </c>
      <c r="M8249">
        <v>1.2</v>
      </c>
      <c r="N8249">
        <v>0.11</v>
      </c>
    </row>
    <row r="8250" spans="1:14" x14ac:dyDescent="0.25">
      <c r="A8250" t="s">
        <v>14606</v>
      </c>
      <c r="B8250" t="s">
        <v>14607</v>
      </c>
      <c r="C8250" s="1" t="str">
        <f>HYPERLINK("http://www.genecards.org/cgi-bin/carddisp.pl?gene=TRD@","GeneCards")</f>
        <v>GeneCards</v>
      </c>
      <c r="D8250" s="1" t="str">
        <f>HYPERLINK("http://genome-euro.ucsc.edu/cgi-bin/hgTracks?position=216540_at","UCSC")</f>
        <v>UCSC</v>
      </c>
      <c r="E8250" s="1" t="str">
        <f>HYPERLINK("http://www.ncbi.nlm.nih.gov/gene/?term=TRD@","NCBI")</f>
        <v>NCBI</v>
      </c>
      <c r="F8250">
        <v>0.13</v>
      </c>
      <c r="G8250">
        <v>0.27</v>
      </c>
      <c r="H8250" s="1" t="str">
        <f>HYPERLINK("http://www.weizmann.ac.il/complex/compphys/software/geview/data/figures/216540_at.png","Figure")</f>
        <v>Figure</v>
      </c>
      <c r="I8250">
        <v>1.07</v>
      </c>
      <c r="J8250">
        <v>0.18</v>
      </c>
      <c r="K8250">
        <v>1.06</v>
      </c>
      <c r="L8250">
        <v>0.18</v>
      </c>
      <c r="M8250">
        <v>0.99099999999999999</v>
      </c>
      <c r="N8250">
        <v>0.96</v>
      </c>
    </row>
    <row r="8251" spans="1:14" x14ac:dyDescent="0.25">
      <c r="A8251" t="s">
        <v>14608</v>
      </c>
      <c r="B8251" t="s">
        <v>14609</v>
      </c>
      <c r="C8251" s="1" t="str">
        <f>HYPERLINK("http://www.genecards.org/cgi-bin/carddisp.pl?gene=NDOR1","GeneCards")</f>
        <v>GeneCards</v>
      </c>
      <c r="D8251" s="1" t="str">
        <f>HYPERLINK("http://genome-euro.ucsc.edu/cgi-bin/hgTracks?position=219899_x_at","UCSC")</f>
        <v>UCSC</v>
      </c>
      <c r="E8251" s="1" t="str">
        <f>HYPERLINK("http://www.ncbi.nlm.nih.gov/gene/?term=NDOR1","NCBI")</f>
        <v>NCBI</v>
      </c>
      <c r="F8251">
        <v>0.13</v>
      </c>
      <c r="G8251">
        <v>0.27</v>
      </c>
      <c r="H8251" s="1" t="str">
        <f>HYPERLINK("http://www.weizmann.ac.il/complex/compphys/software/geview/data/figures/219899_x_at.png","Figure")</f>
        <v>Figure</v>
      </c>
      <c r="I8251">
        <v>1.19</v>
      </c>
      <c r="J8251">
        <v>0.12</v>
      </c>
      <c r="K8251">
        <v>1.1000000000000001</v>
      </c>
      <c r="L8251">
        <v>0.36</v>
      </c>
      <c r="M8251">
        <v>0.92900000000000005</v>
      </c>
      <c r="N8251">
        <v>0.6</v>
      </c>
    </row>
    <row r="8252" spans="1:14" x14ac:dyDescent="0.25">
      <c r="A8252" t="s">
        <v>14610</v>
      </c>
      <c r="B8252" t="s">
        <v>8540</v>
      </c>
      <c r="C8252" s="1" t="str">
        <f>HYPERLINK("http://www.genecards.org/cgi-bin/carddisp.pl?gene=SPDEF","GeneCards")</f>
        <v>GeneCards</v>
      </c>
      <c r="D8252" s="1" t="str">
        <f>HYPERLINK("http://genome-euro.ucsc.edu/cgi-bin/hgTracks?position=214403_x_at","UCSC")</f>
        <v>UCSC</v>
      </c>
      <c r="E8252" s="1" t="str">
        <f>HYPERLINK("http://www.ncbi.nlm.nih.gov/gene/?term=SPDEF","NCBI")</f>
        <v>NCBI</v>
      </c>
      <c r="F8252">
        <v>0.13</v>
      </c>
      <c r="G8252">
        <v>0.27</v>
      </c>
      <c r="H8252" s="1" t="str">
        <f>HYPERLINK("http://www.weizmann.ac.il/complex/compphys/software/geview/data/figures/214403_x_at.png","Figure")</f>
        <v>Figure</v>
      </c>
      <c r="I8252">
        <v>1.32</v>
      </c>
      <c r="J8252">
        <v>0.12</v>
      </c>
      <c r="K8252">
        <v>1.0900000000000001</v>
      </c>
      <c r="L8252">
        <v>0.71</v>
      </c>
      <c r="M8252">
        <v>0.82899999999999996</v>
      </c>
      <c r="N8252">
        <v>0.28999999999999998</v>
      </c>
    </row>
    <row r="8253" spans="1:14" x14ac:dyDescent="0.25">
      <c r="A8253" t="s">
        <v>14611</v>
      </c>
      <c r="B8253" t="s">
        <v>14612</v>
      </c>
      <c r="C8253" s="1" t="str">
        <f>HYPERLINK("http://www.genecards.org/cgi-bin/carddisp.pl?gene=BRD3","GeneCards")</f>
        <v>GeneCards</v>
      </c>
      <c r="D8253" s="1" t="str">
        <f>HYPERLINK("http://genome-euro.ucsc.edu/cgi-bin/hgTracks?position=212547_at","UCSC")</f>
        <v>UCSC</v>
      </c>
      <c r="E8253" s="1" t="str">
        <f>HYPERLINK("http://www.ncbi.nlm.nih.gov/gene/?term=BRD3","NCBI")</f>
        <v>NCBI</v>
      </c>
      <c r="F8253">
        <v>0.13</v>
      </c>
      <c r="G8253">
        <v>0.27</v>
      </c>
      <c r="H8253" s="1" t="str">
        <f>HYPERLINK("http://www.weizmann.ac.il/complex/compphys/software/geview/data/figures/212547_at.png","Figure")</f>
        <v>Figure</v>
      </c>
      <c r="I8253">
        <v>0.85499999999999998</v>
      </c>
      <c r="J8253">
        <v>0.77</v>
      </c>
      <c r="K8253">
        <v>1.32</v>
      </c>
      <c r="L8253">
        <v>0.36</v>
      </c>
      <c r="M8253">
        <v>1.55</v>
      </c>
      <c r="N8253">
        <v>0.13</v>
      </c>
    </row>
    <row r="8254" spans="1:14" x14ac:dyDescent="0.25">
      <c r="A8254" t="s">
        <v>14613</v>
      </c>
      <c r="B8254" t="s">
        <v>14614</v>
      </c>
      <c r="C8254" s="1" t="str">
        <f>HYPERLINK("http://www.genecards.org/cgi-bin/carddisp.pl?gene=VTCN1","GeneCards")</f>
        <v>GeneCards</v>
      </c>
      <c r="D8254" s="1" t="str">
        <f>HYPERLINK("http://genome-euro.ucsc.edu/cgi-bin/hgTracks?position=219768_at","UCSC")</f>
        <v>UCSC</v>
      </c>
      <c r="E8254" s="1" t="str">
        <f>HYPERLINK("http://www.ncbi.nlm.nih.gov/gene/?term=VTCN1","NCBI")</f>
        <v>NCBI</v>
      </c>
      <c r="F8254">
        <v>0.13</v>
      </c>
      <c r="G8254">
        <v>0.27</v>
      </c>
      <c r="H8254" s="1" t="str">
        <f>HYPERLINK("http://www.weizmann.ac.il/complex/compphys/software/geview/data/figures/219768_at.png","Figure")</f>
        <v>Figure</v>
      </c>
      <c r="I8254">
        <v>1.03</v>
      </c>
      <c r="J8254">
        <v>0.83</v>
      </c>
      <c r="K8254">
        <v>0.92800000000000005</v>
      </c>
      <c r="L8254">
        <v>0.31</v>
      </c>
      <c r="M8254">
        <v>0.89700000000000002</v>
      </c>
      <c r="N8254">
        <v>0.14000000000000001</v>
      </c>
    </row>
    <row r="8255" spans="1:14" x14ac:dyDescent="0.25">
      <c r="A8255" t="s">
        <v>14615</v>
      </c>
      <c r="B8255" t="s">
        <v>12601</v>
      </c>
      <c r="C8255" s="1" t="str">
        <f>HYPERLINK("http://www.genecards.org/cgi-bin/carddisp.pl?gene=SERP1","GeneCards")</f>
        <v>GeneCards</v>
      </c>
      <c r="D8255" s="1" t="str">
        <f>HYPERLINK("http://genome-euro.ucsc.edu/cgi-bin/hgTracks?position=200969_at","UCSC")</f>
        <v>UCSC</v>
      </c>
      <c r="E8255" s="1" t="str">
        <f>HYPERLINK("http://www.ncbi.nlm.nih.gov/gene/?term=SERP1","NCBI")</f>
        <v>NCBI</v>
      </c>
      <c r="F8255">
        <v>0.13</v>
      </c>
      <c r="G8255">
        <v>0.27</v>
      </c>
      <c r="H8255" s="1" t="str">
        <f>HYPERLINK("http://www.weizmann.ac.il/complex/compphys/software/geview/data/figures/200969_at.png","Figure")</f>
        <v>Figure</v>
      </c>
      <c r="I8255">
        <v>0.60899999999999999</v>
      </c>
      <c r="J8255">
        <v>0.13</v>
      </c>
      <c r="K8255">
        <v>0.90200000000000002</v>
      </c>
      <c r="L8255">
        <v>0.87</v>
      </c>
      <c r="M8255">
        <v>1.48</v>
      </c>
      <c r="N8255">
        <v>0.22</v>
      </c>
    </row>
    <row r="8256" spans="1:14" x14ac:dyDescent="0.25">
      <c r="A8256" t="s">
        <v>14616</v>
      </c>
      <c r="B8256" t="s">
        <v>6622</v>
      </c>
      <c r="C8256" s="1" t="str">
        <f>HYPERLINK("http://www.genecards.org/cgi-bin/carddisp.pl?gene=DRD2","GeneCards")</f>
        <v>GeneCards</v>
      </c>
      <c r="D8256" s="1" t="str">
        <f>HYPERLINK("http://genome-euro.ucsc.edu/cgi-bin/hgTracks?position=206590_x_at","UCSC")</f>
        <v>UCSC</v>
      </c>
      <c r="E8256" s="1" t="str">
        <f>HYPERLINK("http://www.ncbi.nlm.nih.gov/gene/?term=DRD2","NCBI")</f>
        <v>NCBI</v>
      </c>
      <c r="F8256">
        <v>0.13</v>
      </c>
      <c r="G8256">
        <v>0.27</v>
      </c>
      <c r="H8256" s="1" t="str">
        <f>HYPERLINK("http://www.weizmann.ac.il/complex/compphys/software/geview/data/figures/206590_x_at.png","Figure")</f>
        <v>Figure</v>
      </c>
      <c r="I8256">
        <v>1.1299999999999999</v>
      </c>
      <c r="J8256">
        <v>0.12</v>
      </c>
      <c r="K8256">
        <v>1.08</v>
      </c>
      <c r="L8256">
        <v>0.32</v>
      </c>
      <c r="M8256">
        <v>0.95299999999999996</v>
      </c>
      <c r="N8256">
        <v>0.67</v>
      </c>
    </row>
    <row r="8257" spans="1:14" x14ac:dyDescent="0.25">
      <c r="A8257" t="s">
        <v>14617</v>
      </c>
      <c r="B8257" t="s">
        <v>14618</v>
      </c>
      <c r="C8257" s="1" t="str">
        <f>HYPERLINK("http://www.genecards.org/cgi-bin/carddisp.pl?gene=HOXD13","GeneCards")</f>
        <v>GeneCards</v>
      </c>
      <c r="D8257" s="1" t="str">
        <f>HYPERLINK("http://genome-euro.ucsc.edu/cgi-bin/hgTracks?position=207398_at","UCSC")</f>
        <v>UCSC</v>
      </c>
      <c r="E8257" s="1" t="str">
        <f>HYPERLINK("http://www.ncbi.nlm.nih.gov/gene/?term=HOXD13","NCBI")</f>
        <v>NCBI</v>
      </c>
      <c r="F8257">
        <v>0.13</v>
      </c>
      <c r="G8257">
        <v>0.27</v>
      </c>
      <c r="H8257" s="1" t="str">
        <f>HYPERLINK("http://www.weizmann.ac.il/complex/compphys/software/geview/data/figures/207398_at.png","Figure")</f>
        <v>Figure</v>
      </c>
      <c r="I8257">
        <v>1.1399999999999999</v>
      </c>
      <c r="J8257">
        <v>0.12</v>
      </c>
      <c r="K8257">
        <v>1.08</v>
      </c>
      <c r="L8257">
        <v>0.33</v>
      </c>
      <c r="M8257">
        <v>0.94899999999999995</v>
      </c>
      <c r="N8257">
        <v>0.65</v>
      </c>
    </row>
    <row r="8258" spans="1:14" x14ac:dyDescent="0.25">
      <c r="A8258" t="s">
        <v>14619</v>
      </c>
      <c r="B8258" t="s">
        <v>11090</v>
      </c>
      <c r="C8258" s="1" t="str">
        <f>HYPERLINK("http://www.genecards.org/cgi-bin/carddisp.pl?gene=COPS2","GeneCards")</f>
        <v>GeneCards</v>
      </c>
      <c r="D8258" s="1" t="str">
        <f>HYPERLINK("http://genome-euro.ucsc.edu/cgi-bin/hgTracks?position=209838_at","UCSC")</f>
        <v>UCSC</v>
      </c>
      <c r="E8258" s="1" t="str">
        <f>HYPERLINK("http://www.ncbi.nlm.nih.gov/gene/?term=COPS2","NCBI")</f>
        <v>NCBI</v>
      </c>
      <c r="F8258">
        <v>0.13</v>
      </c>
      <c r="G8258">
        <v>0.27</v>
      </c>
      <c r="H8258" s="1" t="str">
        <f>HYPERLINK("http://www.weizmann.ac.il/complex/compphys/software/geview/data/figures/209838_at.png","Figure")</f>
        <v>Figure</v>
      </c>
      <c r="I8258">
        <v>0.57299999999999995</v>
      </c>
      <c r="J8258">
        <v>0.17</v>
      </c>
      <c r="K8258">
        <v>0.629</v>
      </c>
      <c r="L8258">
        <v>0.19</v>
      </c>
      <c r="M8258">
        <v>1.1000000000000001</v>
      </c>
      <c r="N8258">
        <v>0.94</v>
      </c>
    </row>
    <row r="8259" spans="1:14" x14ac:dyDescent="0.25">
      <c r="A8259" t="s">
        <v>14620</v>
      </c>
      <c r="B8259" t="s">
        <v>8116</v>
      </c>
      <c r="C8259" s="1" t="str">
        <f>HYPERLINK("http://www.genecards.org/cgi-bin/carddisp.pl?gene=PATZ1","GeneCards")</f>
        <v>GeneCards</v>
      </c>
      <c r="D8259" s="1" t="str">
        <f>HYPERLINK("http://genome-euro.ucsc.edu/cgi-bin/hgTracks?position=211392_s_at","UCSC")</f>
        <v>UCSC</v>
      </c>
      <c r="E8259" s="1" t="str">
        <f>HYPERLINK("http://www.ncbi.nlm.nih.gov/gene/?term=PATZ1","NCBI")</f>
        <v>NCBI</v>
      </c>
      <c r="F8259">
        <v>0.13</v>
      </c>
      <c r="G8259">
        <v>0.27</v>
      </c>
      <c r="H8259" s="1" t="str">
        <f>HYPERLINK("http://www.weizmann.ac.il/complex/compphys/software/geview/data/figures/211392_s_at.png","Figure")</f>
        <v>Figure</v>
      </c>
      <c r="I8259">
        <v>1.21</v>
      </c>
      <c r="J8259">
        <v>0.12</v>
      </c>
      <c r="K8259">
        <v>1.1200000000000001</v>
      </c>
      <c r="L8259">
        <v>0.36</v>
      </c>
      <c r="M8259">
        <v>0.92300000000000004</v>
      </c>
      <c r="N8259">
        <v>0.61</v>
      </c>
    </row>
    <row r="8260" spans="1:14" x14ac:dyDescent="0.25">
      <c r="A8260" t="s">
        <v>14621</v>
      </c>
      <c r="B8260" t="s">
        <v>14622</v>
      </c>
      <c r="C8260" s="1" t="str">
        <f>HYPERLINK("http://www.genecards.org/cgi-bin/carddisp.pl?gene=RPS26","GeneCards")</f>
        <v>GeneCards</v>
      </c>
      <c r="D8260" s="1" t="str">
        <f>HYPERLINK("http://genome-euro.ucsc.edu/cgi-bin/hgTracks?position=217753_s_at","UCSC")</f>
        <v>UCSC</v>
      </c>
      <c r="E8260" s="1" t="str">
        <f>HYPERLINK("http://www.ncbi.nlm.nih.gov/gene/?term=RPS26","NCBI")</f>
        <v>NCBI</v>
      </c>
      <c r="F8260">
        <v>0.13</v>
      </c>
      <c r="G8260">
        <v>0.27</v>
      </c>
      <c r="H8260" s="1" t="str">
        <f>HYPERLINK("http://www.weizmann.ac.il/complex/compphys/software/geview/data/figures/217753_s_at.png","Figure")</f>
        <v>Figure</v>
      </c>
      <c r="I8260">
        <v>1.41</v>
      </c>
      <c r="J8260">
        <v>0.66</v>
      </c>
      <c r="K8260">
        <v>2.11</v>
      </c>
      <c r="L8260">
        <v>0.11</v>
      </c>
      <c r="M8260">
        <v>1.49</v>
      </c>
      <c r="N8260">
        <v>0.54</v>
      </c>
    </row>
    <row r="8261" spans="1:14" x14ac:dyDescent="0.25">
      <c r="A8261" t="s">
        <v>14623</v>
      </c>
      <c r="B8261" t="s">
        <v>14624</v>
      </c>
      <c r="C8261" s="1" t="str">
        <f>HYPERLINK("http://www.genecards.org/cgi-bin/carddisp.pl?gene=NRIP3","GeneCards")</f>
        <v>GeneCards</v>
      </c>
      <c r="D8261" s="1" t="str">
        <f>HYPERLINK("http://genome-euro.ucsc.edu/cgi-bin/hgTracks?position=219557_s_at","UCSC")</f>
        <v>UCSC</v>
      </c>
      <c r="E8261" s="1" t="str">
        <f>HYPERLINK("http://www.ncbi.nlm.nih.gov/gene/?term=NRIP3","NCBI")</f>
        <v>NCBI</v>
      </c>
      <c r="F8261">
        <v>0.13</v>
      </c>
      <c r="G8261">
        <v>0.27</v>
      </c>
      <c r="H8261" s="1" t="str">
        <f>HYPERLINK("http://www.weizmann.ac.il/complex/compphys/software/geview/data/figures/219557_s_at.png","Figure")</f>
        <v>Figure</v>
      </c>
      <c r="I8261">
        <v>0.97699999999999998</v>
      </c>
      <c r="J8261">
        <v>0.98</v>
      </c>
      <c r="K8261">
        <v>0.80200000000000005</v>
      </c>
      <c r="L8261">
        <v>0.16</v>
      </c>
      <c r="M8261">
        <v>0.82099999999999995</v>
      </c>
      <c r="N8261">
        <v>0.26</v>
      </c>
    </row>
    <row r="8262" spans="1:14" x14ac:dyDescent="0.25">
      <c r="A8262" t="s">
        <v>14625</v>
      </c>
      <c r="B8262" t="s">
        <v>14626</v>
      </c>
      <c r="C8262" s="1" t="str">
        <f>HYPERLINK("http://www.genecards.org/cgi-bin/carddisp.pl?gene=C6orf123","GeneCards")</f>
        <v>GeneCards</v>
      </c>
      <c r="D8262" s="1" t="str">
        <f>HYPERLINK("http://genome-euro.ucsc.edu/cgi-bin/hgTracks?position=207698_at","UCSC")</f>
        <v>UCSC</v>
      </c>
      <c r="E8262" s="1" t="str">
        <f>HYPERLINK("http://www.ncbi.nlm.nih.gov/gene/?term=C6orf123","NCBI")</f>
        <v>NCBI</v>
      </c>
      <c r="F8262">
        <v>0.13</v>
      </c>
      <c r="G8262">
        <v>0.27</v>
      </c>
      <c r="H8262" s="1" t="str">
        <f>HYPERLINK("http://www.weizmann.ac.il/complex/compphys/software/geview/data/figures/207698_at.png","Figure")</f>
        <v>Figure</v>
      </c>
      <c r="I8262">
        <v>1.1299999999999999</v>
      </c>
      <c r="J8262">
        <v>0.43</v>
      </c>
      <c r="K8262">
        <v>1.2</v>
      </c>
      <c r="L8262">
        <v>0.11</v>
      </c>
      <c r="M8262">
        <v>1.06</v>
      </c>
      <c r="N8262">
        <v>0.79</v>
      </c>
    </row>
    <row r="8263" spans="1:14" x14ac:dyDescent="0.25">
      <c r="A8263" t="s">
        <v>14627</v>
      </c>
      <c r="B8263" t="s">
        <v>14628</v>
      </c>
      <c r="C8263" s="1" t="str">
        <f>HYPERLINK("http://www.genecards.org/cgi-bin/carddisp.pl?gene=EXOSC4","GeneCards")</f>
        <v>GeneCards</v>
      </c>
      <c r="D8263" s="1" t="str">
        <f>HYPERLINK("http://genome-euro.ucsc.edu/cgi-bin/hgTracks?position=58696_at","UCSC")</f>
        <v>UCSC</v>
      </c>
      <c r="E8263" s="1" t="str">
        <f>HYPERLINK("http://www.ncbi.nlm.nih.gov/gene/?term=EXOSC4","NCBI")</f>
        <v>NCBI</v>
      </c>
      <c r="F8263">
        <v>0.13</v>
      </c>
      <c r="G8263">
        <v>0.27</v>
      </c>
      <c r="H8263" s="1" t="str">
        <f>HYPERLINK("http://www.weizmann.ac.il/complex/compphys/software/geview/data/figures/58696_at.png","Figure")</f>
        <v>Figure</v>
      </c>
      <c r="I8263">
        <v>0.9</v>
      </c>
      <c r="J8263">
        <v>0.78</v>
      </c>
      <c r="K8263">
        <v>0.749</v>
      </c>
      <c r="L8263">
        <v>0.12</v>
      </c>
      <c r="M8263">
        <v>0.83199999999999996</v>
      </c>
      <c r="N8263">
        <v>0.44</v>
      </c>
    </row>
    <row r="8264" spans="1:14" x14ac:dyDescent="0.25">
      <c r="A8264" t="s">
        <v>14629</v>
      </c>
      <c r="B8264" t="s">
        <v>38</v>
      </c>
      <c r="C8264" s="1" t="str">
        <f>HYPERLINK("http://www.genecards.org/cgi-bin/carddisp.pl?gene=CCND2","GeneCards")</f>
        <v>GeneCards</v>
      </c>
      <c r="D8264" s="1" t="str">
        <f>HYPERLINK("http://genome-euro.ucsc.edu/cgi-bin/hgTracks?position=200952_s_at","UCSC")</f>
        <v>UCSC</v>
      </c>
      <c r="E8264" s="1" t="str">
        <f>HYPERLINK("http://www.ncbi.nlm.nih.gov/gene/?term=CCND2","NCBI")</f>
        <v>NCBI</v>
      </c>
      <c r="F8264">
        <v>0.13</v>
      </c>
      <c r="G8264">
        <v>0.27</v>
      </c>
      <c r="H8264" s="1" t="str">
        <f>HYPERLINK("http://www.weizmann.ac.il/complex/compphys/software/geview/data/figures/200952_s_at.png","Figure")</f>
        <v>Figure</v>
      </c>
      <c r="I8264">
        <v>0.78900000000000003</v>
      </c>
      <c r="J8264">
        <v>0.18</v>
      </c>
      <c r="K8264">
        <v>0.81200000000000006</v>
      </c>
      <c r="L8264">
        <v>0.18</v>
      </c>
      <c r="M8264">
        <v>1.03</v>
      </c>
      <c r="N8264">
        <v>0.97</v>
      </c>
    </row>
    <row r="8265" spans="1:14" x14ac:dyDescent="0.25">
      <c r="A8265" t="s">
        <v>14630</v>
      </c>
      <c r="B8265" t="s">
        <v>14631</v>
      </c>
      <c r="C8265" s="1" t="str">
        <f>HYPERLINK("http://www.genecards.org/cgi-bin/carddisp.pl?gene=RTF1","GeneCards")</f>
        <v>GeneCards</v>
      </c>
      <c r="D8265" s="1" t="str">
        <f>HYPERLINK("http://genome-euro.ucsc.edu/cgi-bin/hgTracks?position=212301_at","UCSC")</f>
        <v>UCSC</v>
      </c>
      <c r="E8265" s="1" t="str">
        <f>HYPERLINK("http://www.ncbi.nlm.nih.gov/gene/?term=RTF1","NCBI")</f>
        <v>NCBI</v>
      </c>
      <c r="F8265">
        <v>0.13</v>
      </c>
      <c r="G8265">
        <v>0.27</v>
      </c>
      <c r="H8265" s="1" t="str">
        <f>HYPERLINK("http://www.weizmann.ac.il/complex/compphys/software/geview/data/figures/212301_at.png","Figure")</f>
        <v>Figure</v>
      </c>
      <c r="I8265">
        <v>0.76600000000000001</v>
      </c>
      <c r="J8265">
        <v>0.49</v>
      </c>
      <c r="K8265">
        <v>0.64900000000000002</v>
      </c>
      <c r="L8265">
        <v>0.11</v>
      </c>
      <c r="M8265">
        <v>0.84799999999999998</v>
      </c>
      <c r="N8265">
        <v>0.72</v>
      </c>
    </row>
    <row r="8266" spans="1:14" x14ac:dyDescent="0.25">
      <c r="A8266" t="s">
        <v>14632</v>
      </c>
      <c r="B8266" t="s">
        <v>14633</v>
      </c>
      <c r="C8266" s="1" t="str">
        <f>HYPERLINK("http://www.genecards.org/cgi-bin/carddisp.pl?gene=MAVS","GeneCards")</f>
        <v>GeneCards</v>
      </c>
      <c r="D8266" s="1" t="str">
        <f>HYPERLINK("http://genome-euro.ucsc.edu/cgi-bin/hgTracks?position=220305_at","UCSC")</f>
        <v>UCSC</v>
      </c>
      <c r="E8266" s="1" t="str">
        <f>HYPERLINK("http://www.ncbi.nlm.nih.gov/gene/?term=MAVS","NCBI")</f>
        <v>NCBI</v>
      </c>
      <c r="F8266">
        <v>0.13</v>
      </c>
      <c r="G8266">
        <v>0.27</v>
      </c>
      <c r="H8266" s="1" t="str">
        <f>HYPERLINK("http://www.weizmann.ac.il/complex/compphys/software/geview/data/figures/220305_at.png","Figure")</f>
        <v>Figure</v>
      </c>
      <c r="I8266">
        <v>0.83199999999999996</v>
      </c>
      <c r="J8266">
        <v>0.15</v>
      </c>
      <c r="K8266">
        <v>0.98099999999999998</v>
      </c>
      <c r="L8266">
        <v>0.97</v>
      </c>
      <c r="M8266">
        <v>1.18</v>
      </c>
      <c r="N8266">
        <v>0.18</v>
      </c>
    </row>
    <row r="8267" spans="1:14" x14ac:dyDescent="0.25">
      <c r="A8267" t="s">
        <v>14634</v>
      </c>
      <c r="B8267" t="s">
        <v>14635</v>
      </c>
      <c r="C8267" s="1" t="str">
        <f>HYPERLINK("http://www.genecards.org/cgi-bin/carddisp.pl?gene=BRD7P3","GeneCards")</f>
        <v>GeneCards</v>
      </c>
      <c r="D8267" s="1" t="str">
        <f>HYPERLINK("http://genome-euro.ucsc.edu/cgi-bin/hgTracks?position=221093_at","UCSC")</f>
        <v>UCSC</v>
      </c>
      <c r="E8267" s="1" t="str">
        <f>HYPERLINK("http://www.ncbi.nlm.nih.gov/gene/?term=BRD7P3","NCBI")</f>
        <v>NCBI</v>
      </c>
      <c r="F8267">
        <v>0.13</v>
      </c>
      <c r="G8267">
        <v>0.27</v>
      </c>
      <c r="H8267" s="1" t="str">
        <f>HYPERLINK("http://www.weizmann.ac.il/complex/compphys/software/geview/data/figures/221093_at.png","Figure")</f>
        <v>Figure</v>
      </c>
      <c r="I8267">
        <v>1.2</v>
      </c>
      <c r="J8267">
        <v>0.11</v>
      </c>
      <c r="K8267">
        <v>1.07</v>
      </c>
      <c r="L8267">
        <v>0.62</v>
      </c>
      <c r="M8267">
        <v>0.89200000000000002</v>
      </c>
      <c r="N8267">
        <v>0.35</v>
      </c>
    </row>
    <row r="8268" spans="1:14" x14ac:dyDescent="0.25">
      <c r="A8268" t="s">
        <v>14636</v>
      </c>
      <c r="B8268" t="s">
        <v>11484</v>
      </c>
      <c r="C8268" s="1" t="str">
        <f>HYPERLINK("http://www.genecards.org/cgi-bin/carddisp.pl?gene=GLS","GeneCards")</f>
        <v>GeneCards</v>
      </c>
      <c r="D8268" s="1" t="str">
        <f>HYPERLINK("http://genome-euro.ucsc.edu/cgi-bin/hgTracks?position=221510_s_at","UCSC")</f>
        <v>UCSC</v>
      </c>
      <c r="E8268" s="1" t="str">
        <f>HYPERLINK("http://www.ncbi.nlm.nih.gov/gene/?term=GLS","NCBI")</f>
        <v>NCBI</v>
      </c>
      <c r="F8268">
        <v>0.13</v>
      </c>
      <c r="G8268">
        <v>0.27</v>
      </c>
      <c r="H8268" s="1" t="str">
        <f>HYPERLINK("http://www.weizmann.ac.il/complex/compphys/software/geview/data/figures/221510_s_at.png","Figure")</f>
        <v>Figure</v>
      </c>
      <c r="I8268">
        <v>0.74</v>
      </c>
      <c r="J8268">
        <v>0.42</v>
      </c>
      <c r="K8268">
        <v>0.64500000000000002</v>
      </c>
      <c r="L8268">
        <v>0.11</v>
      </c>
      <c r="M8268">
        <v>0.872</v>
      </c>
      <c r="N8268">
        <v>0.8</v>
      </c>
    </row>
    <row r="8269" spans="1:14" x14ac:dyDescent="0.25">
      <c r="A8269" t="s">
        <v>14637</v>
      </c>
      <c r="B8269" t="s">
        <v>14638</v>
      </c>
      <c r="C8269" s="1" t="str">
        <f>HYPERLINK("http://www.genecards.org/cgi-bin/carddisp.pl?gene=NR6A1","GeneCards")</f>
        <v>GeneCards</v>
      </c>
      <c r="D8269" s="1" t="str">
        <f>HYPERLINK("http://genome-euro.ucsc.edu/cgi-bin/hgTracks?position=207742_s_at","UCSC")</f>
        <v>UCSC</v>
      </c>
      <c r="E8269" s="1" t="str">
        <f>HYPERLINK("http://www.ncbi.nlm.nih.gov/gene/?term=NR6A1","NCBI")</f>
        <v>NCBI</v>
      </c>
      <c r="F8269">
        <v>0.13</v>
      </c>
      <c r="G8269">
        <v>0.27</v>
      </c>
      <c r="H8269" s="1" t="str">
        <f>HYPERLINK("http://www.weizmann.ac.il/complex/compphys/software/geview/data/figures/207742_s_at.png","Figure")</f>
        <v>Figure</v>
      </c>
      <c r="I8269">
        <v>1.07</v>
      </c>
      <c r="J8269">
        <v>0.63</v>
      </c>
      <c r="K8269">
        <v>0.92500000000000004</v>
      </c>
      <c r="L8269">
        <v>0.46</v>
      </c>
      <c r="M8269">
        <v>0.86599999999999999</v>
      </c>
      <c r="N8269">
        <v>0.12</v>
      </c>
    </row>
    <row r="8270" spans="1:14" x14ac:dyDescent="0.25">
      <c r="A8270" t="s">
        <v>14639</v>
      </c>
      <c r="B8270" t="s">
        <v>14640</v>
      </c>
      <c r="C8270" s="1" t="str">
        <f>HYPERLINK("http://www.genecards.org/cgi-bin/carddisp.pl?gene=LOC152719","GeneCards")</f>
        <v>GeneCards</v>
      </c>
      <c r="D8270" s="1" t="str">
        <f>HYPERLINK("http://genome-euro.ucsc.edu/cgi-bin/hgTracks?position=215978_x_at","UCSC")</f>
        <v>UCSC</v>
      </c>
      <c r="E8270" s="1" t="str">
        <f>HYPERLINK("http://www.ncbi.nlm.nih.gov/gene/?term=LOC152719","NCBI")</f>
        <v>NCBI</v>
      </c>
      <c r="F8270">
        <v>0.13</v>
      </c>
      <c r="G8270">
        <v>0.27</v>
      </c>
      <c r="H8270" s="1" t="str">
        <f>HYPERLINK("http://www.weizmann.ac.il/complex/compphys/software/geview/data/figures/215978_x_at.png","Figure")</f>
        <v>Figure</v>
      </c>
      <c r="I8270">
        <v>1.44</v>
      </c>
      <c r="J8270">
        <v>0.31</v>
      </c>
      <c r="K8270">
        <v>0.88800000000000001</v>
      </c>
      <c r="L8270">
        <v>0.84</v>
      </c>
      <c r="M8270">
        <v>0.61499999999999999</v>
      </c>
      <c r="N8270">
        <v>0.12</v>
      </c>
    </row>
    <row r="8271" spans="1:14" x14ac:dyDescent="0.25">
      <c r="A8271" t="s">
        <v>14641</v>
      </c>
      <c r="B8271" t="s">
        <v>14642</v>
      </c>
      <c r="C8271" s="1" t="str">
        <f>HYPERLINK("http://www.genecards.org/cgi-bin/carddisp.pl?gene=HOXB3","GeneCards")</f>
        <v>GeneCards</v>
      </c>
      <c r="D8271" s="1" t="str">
        <f>HYPERLINK("http://genome-euro.ucsc.edu/cgi-bin/hgTracks?position=208414_s_at","UCSC")</f>
        <v>UCSC</v>
      </c>
      <c r="E8271" s="1" t="str">
        <f>HYPERLINK("http://www.ncbi.nlm.nih.gov/gene/?term=HOXB3","NCBI")</f>
        <v>NCBI</v>
      </c>
      <c r="F8271">
        <v>0.13</v>
      </c>
      <c r="G8271">
        <v>0.27</v>
      </c>
      <c r="H8271" s="1" t="str">
        <f>HYPERLINK("http://www.weizmann.ac.il/complex/compphys/software/geview/data/figures/208414_s_at.png","Figure")</f>
        <v>Figure</v>
      </c>
      <c r="I8271">
        <v>1.25</v>
      </c>
      <c r="J8271">
        <v>0.13</v>
      </c>
      <c r="K8271">
        <v>1.1599999999999999</v>
      </c>
      <c r="L8271">
        <v>0.28000000000000003</v>
      </c>
      <c r="M8271">
        <v>0.93</v>
      </c>
      <c r="N8271">
        <v>0.75</v>
      </c>
    </row>
    <row r="8272" spans="1:14" x14ac:dyDescent="0.25">
      <c r="A8272" t="s">
        <v>14643</v>
      </c>
      <c r="B8272" t="s">
        <v>14644</v>
      </c>
      <c r="C8272" s="1" t="str">
        <f>HYPERLINK("http://www.genecards.org/cgi-bin/carddisp.pl?gene=KIN","GeneCards")</f>
        <v>GeneCards</v>
      </c>
      <c r="D8272" s="1" t="str">
        <f>HYPERLINK("http://genome-euro.ucsc.edu/cgi-bin/hgTracks?position=205664_at","UCSC")</f>
        <v>UCSC</v>
      </c>
      <c r="E8272" s="1" t="str">
        <f>HYPERLINK("http://www.ncbi.nlm.nih.gov/gene/?term=KIN","NCBI")</f>
        <v>NCBI</v>
      </c>
      <c r="F8272">
        <v>0.13</v>
      </c>
      <c r="G8272">
        <v>0.27</v>
      </c>
      <c r="H8272" s="1" t="str">
        <f>HYPERLINK("http://www.weizmann.ac.il/complex/compphys/software/geview/data/figures/205664_at.png","Figure")</f>
        <v>Figure</v>
      </c>
      <c r="I8272">
        <v>0.53</v>
      </c>
      <c r="J8272">
        <v>0.13</v>
      </c>
      <c r="K8272">
        <v>0.64800000000000002</v>
      </c>
      <c r="L8272">
        <v>0.27</v>
      </c>
      <c r="M8272">
        <v>1.22</v>
      </c>
      <c r="N8272">
        <v>0.77</v>
      </c>
    </row>
    <row r="8273" spans="1:14" x14ac:dyDescent="0.25">
      <c r="A8273" t="s">
        <v>14645</v>
      </c>
      <c r="B8273" t="s">
        <v>14646</v>
      </c>
      <c r="C8273" s="1" t="str">
        <f>HYPERLINK("http://www.genecards.org/cgi-bin/carddisp.pl?gene=RFC5","GeneCards")</f>
        <v>GeneCards</v>
      </c>
      <c r="D8273" s="1" t="str">
        <f>HYPERLINK("http://genome-euro.ucsc.edu/cgi-bin/hgTracks?position=203209_at","UCSC")</f>
        <v>UCSC</v>
      </c>
      <c r="E8273" s="1" t="str">
        <f>HYPERLINK("http://www.ncbi.nlm.nih.gov/gene/?term=RFC5","NCBI")</f>
        <v>NCBI</v>
      </c>
      <c r="F8273">
        <v>0.13</v>
      </c>
      <c r="G8273">
        <v>0.27</v>
      </c>
      <c r="H8273" s="1" t="str">
        <f>HYPERLINK("http://www.weizmann.ac.il/complex/compphys/software/geview/data/figures/203209_at.png","Figure")</f>
        <v>Figure</v>
      </c>
      <c r="I8273">
        <v>0.75900000000000001</v>
      </c>
      <c r="J8273">
        <v>0.49</v>
      </c>
      <c r="K8273">
        <v>1.23</v>
      </c>
      <c r="L8273">
        <v>0.59</v>
      </c>
      <c r="M8273">
        <v>1.62</v>
      </c>
      <c r="N8273">
        <v>0.11</v>
      </c>
    </row>
    <row r="8274" spans="1:14" x14ac:dyDescent="0.25">
      <c r="A8274" t="s">
        <v>14647</v>
      </c>
      <c r="B8274" t="s">
        <v>14648</v>
      </c>
      <c r="C8274" s="1" t="str">
        <f>HYPERLINK("http://www.genecards.org/cgi-bin/carddisp.pl?gene=TMEM209","GeneCards")</f>
        <v>GeneCards</v>
      </c>
      <c r="D8274" s="1" t="str">
        <f>HYPERLINK("http://genome-euro.ucsc.edu/cgi-bin/hgTracks?position=222267_at","UCSC")</f>
        <v>UCSC</v>
      </c>
      <c r="E8274" s="1" t="str">
        <f>HYPERLINK("http://www.ncbi.nlm.nih.gov/gene/?term=TMEM209","NCBI")</f>
        <v>NCBI</v>
      </c>
      <c r="F8274">
        <v>0.13</v>
      </c>
      <c r="G8274">
        <v>0.27</v>
      </c>
      <c r="H8274" s="1" t="str">
        <f>HYPERLINK("http://www.weizmann.ac.il/complex/compphys/software/geview/data/figures/222267_at.png","Figure")</f>
        <v>Figure</v>
      </c>
      <c r="I8274">
        <v>1.19</v>
      </c>
      <c r="J8274">
        <v>0.15</v>
      </c>
      <c r="K8274">
        <v>1.02</v>
      </c>
      <c r="L8274">
        <v>0.96</v>
      </c>
      <c r="M8274">
        <v>0.85699999999999998</v>
      </c>
      <c r="N8274">
        <v>0.18</v>
      </c>
    </row>
    <row r="8275" spans="1:14" x14ac:dyDescent="0.25">
      <c r="A8275" t="s">
        <v>14649</v>
      </c>
      <c r="B8275" t="s">
        <v>7443</v>
      </c>
      <c r="C8275" s="1" t="str">
        <f>HYPERLINK("http://www.genecards.org/cgi-bin/carddisp.pl?gene=SEMA6A","GeneCards")</f>
        <v>GeneCards</v>
      </c>
      <c r="D8275" s="1" t="str">
        <f>HYPERLINK("http://genome-euro.ucsc.edu/cgi-bin/hgTracks?position=215028_at","UCSC")</f>
        <v>UCSC</v>
      </c>
      <c r="E8275" s="1" t="str">
        <f>HYPERLINK("http://www.ncbi.nlm.nih.gov/gene/?term=SEMA6A","NCBI")</f>
        <v>NCBI</v>
      </c>
      <c r="F8275">
        <v>0.13</v>
      </c>
      <c r="G8275">
        <v>0.27</v>
      </c>
      <c r="H8275" s="1" t="str">
        <f>HYPERLINK("http://www.weizmann.ac.il/complex/compphys/software/geview/data/figures/215028_at.png","Figure")</f>
        <v>Figure</v>
      </c>
      <c r="I8275">
        <v>0.84199999999999997</v>
      </c>
      <c r="J8275">
        <v>0.83</v>
      </c>
      <c r="K8275">
        <v>0.58399999999999996</v>
      </c>
      <c r="L8275">
        <v>0.13</v>
      </c>
      <c r="M8275">
        <v>0.69299999999999995</v>
      </c>
      <c r="N8275">
        <v>0.4</v>
      </c>
    </row>
    <row r="8276" spans="1:14" x14ac:dyDescent="0.25">
      <c r="A8276" t="s">
        <v>14650</v>
      </c>
      <c r="B8276" t="s">
        <v>9504</v>
      </c>
      <c r="C8276" s="1" t="str">
        <f>HYPERLINK("http://www.genecards.org/cgi-bin/carddisp.pl?gene=THUMPD1","GeneCards")</f>
        <v>GeneCards</v>
      </c>
      <c r="D8276" s="1" t="str">
        <f>HYPERLINK("http://genome-euro.ucsc.edu/cgi-bin/hgTracks?position=213025_at","UCSC")</f>
        <v>UCSC</v>
      </c>
      <c r="E8276" s="1" t="str">
        <f>HYPERLINK("http://www.ncbi.nlm.nih.gov/gene/?term=THUMPD1","NCBI")</f>
        <v>NCBI</v>
      </c>
      <c r="F8276">
        <v>0.13</v>
      </c>
      <c r="G8276">
        <v>0.27</v>
      </c>
      <c r="H8276" s="1" t="str">
        <f>HYPERLINK("http://www.weizmann.ac.il/complex/compphys/software/geview/data/figures/213025_at.png","Figure")</f>
        <v>Figure</v>
      </c>
      <c r="I8276">
        <v>0.69599999999999995</v>
      </c>
      <c r="J8276">
        <v>0.18</v>
      </c>
      <c r="K8276">
        <v>0.73099999999999998</v>
      </c>
      <c r="L8276">
        <v>0.18</v>
      </c>
      <c r="M8276">
        <v>1.05</v>
      </c>
      <c r="N8276">
        <v>0.96</v>
      </c>
    </row>
    <row r="8277" spans="1:14" x14ac:dyDescent="0.25">
      <c r="A8277" t="s">
        <v>14651</v>
      </c>
      <c r="B8277" t="s">
        <v>14652</v>
      </c>
      <c r="C8277" s="1" t="str">
        <f>HYPERLINK("http://www.genecards.org/cgi-bin/carddisp.pl?gene=AVPR2","GeneCards")</f>
        <v>GeneCards</v>
      </c>
      <c r="D8277" s="1" t="str">
        <f>HYPERLINK("http://genome-euro.ucsc.edu/cgi-bin/hgTracks?position=208111_at","UCSC")</f>
        <v>UCSC</v>
      </c>
      <c r="E8277" s="1" t="str">
        <f>HYPERLINK("http://www.ncbi.nlm.nih.gov/gene/?term=AVPR2","NCBI")</f>
        <v>NCBI</v>
      </c>
      <c r="F8277">
        <v>0.13</v>
      </c>
      <c r="G8277">
        <v>0.27</v>
      </c>
      <c r="H8277" s="1" t="str">
        <f>HYPERLINK("http://www.weizmann.ac.il/complex/compphys/software/geview/data/figures/208111_at.png","Figure")</f>
        <v>Figure</v>
      </c>
      <c r="I8277">
        <v>1.1299999999999999</v>
      </c>
      <c r="J8277">
        <v>0.12</v>
      </c>
      <c r="K8277">
        <v>1.08</v>
      </c>
      <c r="L8277">
        <v>0.33</v>
      </c>
      <c r="M8277">
        <v>0.95199999999999996</v>
      </c>
      <c r="N8277">
        <v>0.65</v>
      </c>
    </row>
    <row r="8278" spans="1:14" x14ac:dyDescent="0.25">
      <c r="A8278" t="s">
        <v>14653</v>
      </c>
      <c r="B8278" t="s">
        <v>14654</v>
      </c>
      <c r="C8278" s="1" t="str">
        <f>HYPERLINK("http://www.genecards.org/cgi-bin/carddisp.pl?gene=LSM14A","GeneCards")</f>
        <v>GeneCards</v>
      </c>
      <c r="D8278" s="1" t="str">
        <f>HYPERLINK("http://genome-euro.ucsc.edu/cgi-bin/hgTracks?position=212131_at","UCSC")</f>
        <v>UCSC</v>
      </c>
      <c r="E8278" s="1" t="str">
        <f>HYPERLINK("http://www.ncbi.nlm.nih.gov/gene/?term=LSM14A","NCBI")</f>
        <v>NCBI</v>
      </c>
      <c r="F8278">
        <v>0.13</v>
      </c>
      <c r="G8278">
        <v>0.27</v>
      </c>
      <c r="H8278" s="1" t="str">
        <f>HYPERLINK("http://www.weizmann.ac.il/complex/compphys/software/geview/data/figures/212131_at.png","Figure")</f>
        <v>Figure</v>
      </c>
      <c r="I8278">
        <v>0.79700000000000004</v>
      </c>
      <c r="J8278">
        <v>0.56999999999999995</v>
      </c>
      <c r="K8278">
        <v>0.65900000000000003</v>
      </c>
      <c r="L8278">
        <v>0.11</v>
      </c>
      <c r="M8278">
        <v>0.82699999999999996</v>
      </c>
      <c r="N8278">
        <v>0.63</v>
      </c>
    </row>
    <row r="8279" spans="1:14" x14ac:dyDescent="0.25">
      <c r="A8279" t="s">
        <v>14655</v>
      </c>
      <c r="B8279" t="s">
        <v>14656</v>
      </c>
      <c r="C8279" s="1" t="str">
        <f>HYPERLINK("http://www.genecards.org/cgi-bin/carddisp.pl?gene=KLHDC10","GeneCards")</f>
        <v>GeneCards</v>
      </c>
      <c r="D8279" s="1" t="str">
        <f>HYPERLINK("http://genome-euro.ucsc.edu/cgi-bin/hgTracks?position=209255_at","UCSC")</f>
        <v>UCSC</v>
      </c>
      <c r="E8279" s="1" t="str">
        <f>HYPERLINK("http://www.ncbi.nlm.nih.gov/gene/?term=KLHDC10","NCBI")</f>
        <v>NCBI</v>
      </c>
      <c r="F8279">
        <v>0.13</v>
      </c>
      <c r="G8279">
        <v>0.27</v>
      </c>
      <c r="H8279" s="1" t="str">
        <f>HYPERLINK("http://www.weizmann.ac.il/complex/compphys/software/geview/data/figures/209255_at.png","Figure")</f>
        <v>Figure</v>
      </c>
      <c r="I8279">
        <v>0.77900000000000003</v>
      </c>
      <c r="J8279">
        <v>0.13</v>
      </c>
      <c r="K8279">
        <v>0.94899999999999995</v>
      </c>
      <c r="L8279">
        <v>0.87</v>
      </c>
      <c r="M8279">
        <v>1.22</v>
      </c>
      <c r="N8279">
        <v>0.22</v>
      </c>
    </row>
    <row r="8280" spans="1:14" x14ac:dyDescent="0.25">
      <c r="A8280" t="s">
        <v>14657</v>
      </c>
      <c r="B8280" t="s">
        <v>14658</v>
      </c>
      <c r="C8280" s="1" t="str">
        <f>HYPERLINK("http://www.genecards.org/cgi-bin/carddisp.pl?gene=RAB11FIP3","GeneCards")</f>
        <v>GeneCards</v>
      </c>
      <c r="D8280" s="1" t="str">
        <f>HYPERLINK("http://genome-euro.ucsc.edu/cgi-bin/hgTracks?position=203933_at","UCSC")</f>
        <v>UCSC</v>
      </c>
      <c r="E8280" s="1" t="str">
        <f>HYPERLINK("http://www.ncbi.nlm.nih.gov/gene/?term=RAB11FIP3","NCBI")</f>
        <v>NCBI</v>
      </c>
      <c r="F8280">
        <v>0.13</v>
      </c>
      <c r="G8280">
        <v>0.27</v>
      </c>
      <c r="H8280" s="1" t="str">
        <f>HYPERLINK("http://www.weizmann.ac.il/complex/compphys/software/geview/data/figures/203933_at.png","Figure")</f>
        <v>Figure</v>
      </c>
      <c r="I8280">
        <v>1.18</v>
      </c>
      <c r="J8280">
        <v>0.32</v>
      </c>
      <c r="K8280">
        <v>0.94499999999999995</v>
      </c>
      <c r="L8280">
        <v>0.84</v>
      </c>
      <c r="M8280">
        <v>0.79800000000000004</v>
      </c>
      <c r="N8280">
        <v>0.12</v>
      </c>
    </row>
    <row r="8281" spans="1:14" x14ac:dyDescent="0.25">
      <c r="A8281" t="s">
        <v>14659</v>
      </c>
      <c r="B8281" t="s">
        <v>14660</v>
      </c>
      <c r="C8281" s="1" t="str">
        <f>HYPERLINK("http://www.genecards.org/cgi-bin/carddisp.pl?gene=CCR7","GeneCards")</f>
        <v>GeneCards</v>
      </c>
      <c r="D8281" s="1" t="str">
        <f>HYPERLINK("http://genome-euro.ucsc.edu/cgi-bin/hgTracks?position=206337_at","UCSC")</f>
        <v>UCSC</v>
      </c>
      <c r="E8281" s="1" t="str">
        <f>HYPERLINK("http://www.ncbi.nlm.nih.gov/gene/?term=CCR7","NCBI")</f>
        <v>NCBI</v>
      </c>
      <c r="F8281">
        <v>0.13</v>
      </c>
      <c r="G8281">
        <v>0.27</v>
      </c>
      <c r="H8281" s="1" t="str">
        <f>HYPERLINK("http://www.weizmann.ac.il/complex/compphys/software/geview/data/figures/206337_at.png","Figure")</f>
        <v>Figure</v>
      </c>
      <c r="I8281">
        <v>0.79100000000000004</v>
      </c>
      <c r="J8281">
        <v>0.73</v>
      </c>
      <c r="K8281">
        <v>0.56299999999999994</v>
      </c>
      <c r="L8281">
        <v>0.12</v>
      </c>
      <c r="M8281">
        <v>0.71099999999999997</v>
      </c>
      <c r="N8281">
        <v>0.48</v>
      </c>
    </row>
    <row r="8282" spans="1:14" x14ac:dyDescent="0.25">
      <c r="A8282" t="s">
        <v>14661</v>
      </c>
      <c r="B8282" t="s">
        <v>14662</v>
      </c>
      <c r="C8282" s="1" t="str">
        <f>HYPERLINK("http://www.genecards.org/cgi-bin/carddisp.pl?gene=SNRNP40","GeneCards")</f>
        <v>GeneCards</v>
      </c>
      <c r="D8282" s="1" t="str">
        <f>HYPERLINK("http://genome-euro.ucsc.edu/cgi-bin/hgTracks?position=215905_s_at","UCSC")</f>
        <v>UCSC</v>
      </c>
      <c r="E8282" s="1" t="str">
        <f>HYPERLINK("http://www.ncbi.nlm.nih.gov/gene/?term=SNRNP40","NCBI")</f>
        <v>NCBI</v>
      </c>
      <c r="F8282">
        <v>0.13</v>
      </c>
      <c r="G8282">
        <v>0.27</v>
      </c>
      <c r="H8282" s="1" t="str">
        <f>HYPERLINK("http://www.weizmann.ac.il/complex/compphys/software/geview/data/figures/215905_s_at.png","Figure")</f>
        <v>Figure</v>
      </c>
      <c r="I8282">
        <v>1.29</v>
      </c>
      <c r="J8282">
        <v>0.11</v>
      </c>
      <c r="K8282">
        <v>1.1000000000000001</v>
      </c>
      <c r="L8282">
        <v>0.65</v>
      </c>
      <c r="M8282">
        <v>0.85099999999999998</v>
      </c>
      <c r="N8282">
        <v>0.34</v>
      </c>
    </row>
    <row r="8283" spans="1:14" x14ac:dyDescent="0.25">
      <c r="A8283" t="s">
        <v>14663</v>
      </c>
      <c r="B8283" t="s">
        <v>14664</v>
      </c>
      <c r="C8283" s="1" t="str">
        <f>HYPERLINK("http://www.genecards.org/cgi-bin/carddisp.pl?gene=C2orf28","GeneCards")</f>
        <v>GeneCards</v>
      </c>
      <c r="D8283" s="1" t="str">
        <f>HYPERLINK("http://genome-euro.ucsc.edu/cgi-bin/hgTracks?position=219329_s_at","UCSC")</f>
        <v>UCSC</v>
      </c>
      <c r="E8283" s="1" t="str">
        <f>HYPERLINK("http://www.ncbi.nlm.nih.gov/gene/?term=C2orf28","NCBI")</f>
        <v>NCBI</v>
      </c>
      <c r="F8283">
        <v>0.13</v>
      </c>
      <c r="G8283">
        <v>0.27</v>
      </c>
      <c r="H8283" s="1" t="str">
        <f>HYPERLINK("http://www.weizmann.ac.il/complex/compphys/software/geview/data/figures/219329_s_at.png","Figure")</f>
        <v>Figure</v>
      </c>
      <c r="I8283">
        <v>0.8</v>
      </c>
      <c r="J8283">
        <v>0.11</v>
      </c>
      <c r="K8283">
        <v>0.89100000000000001</v>
      </c>
      <c r="L8283">
        <v>0.43</v>
      </c>
      <c r="M8283">
        <v>1.1100000000000001</v>
      </c>
      <c r="N8283">
        <v>0.51</v>
      </c>
    </row>
    <row r="8284" spans="1:14" x14ac:dyDescent="0.25">
      <c r="A8284" t="s">
        <v>14665</v>
      </c>
      <c r="B8284" t="s">
        <v>14666</v>
      </c>
      <c r="C8284" s="1" t="str">
        <f>HYPERLINK("http://www.genecards.org/cgi-bin/carddisp.pl?gene=SCN1B","GeneCards")</f>
        <v>GeneCards</v>
      </c>
      <c r="D8284" s="1" t="str">
        <f>HYPERLINK("http://genome-euro.ucsc.edu/cgi-bin/hgTracks?position=205508_at","UCSC")</f>
        <v>UCSC</v>
      </c>
      <c r="E8284" s="1" t="str">
        <f>HYPERLINK("http://www.ncbi.nlm.nih.gov/gene/?term=SCN1B","NCBI")</f>
        <v>NCBI</v>
      </c>
      <c r="F8284">
        <v>0.13</v>
      </c>
      <c r="G8284">
        <v>0.27</v>
      </c>
      <c r="H8284" s="1" t="str">
        <f>HYPERLINK("http://www.weizmann.ac.il/complex/compphys/software/geview/data/figures/205508_at.png","Figure")</f>
        <v>Figure</v>
      </c>
      <c r="I8284">
        <v>0.89400000000000002</v>
      </c>
      <c r="J8284">
        <v>0.51</v>
      </c>
      <c r="K8284">
        <v>1.0900000000000001</v>
      </c>
      <c r="L8284">
        <v>0.56999999999999995</v>
      </c>
      <c r="M8284">
        <v>1.22</v>
      </c>
      <c r="N8284">
        <v>0.11</v>
      </c>
    </row>
    <row r="8285" spans="1:14" x14ac:dyDescent="0.25">
      <c r="A8285" t="s">
        <v>14667</v>
      </c>
      <c r="B8285" t="s">
        <v>6803</v>
      </c>
      <c r="C8285" s="1" t="str">
        <f>HYPERLINK("http://www.genecards.org/cgi-bin/carddisp.pl?gene=HLA-C","GeneCards")</f>
        <v>GeneCards</v>
      </c>
      <c r="D8285" s="1" t="str">
        <f>HYPERLINK("http://genome-euro.ucsc.edu/cgi-bin/hgTracks?position=214459_x_at","UCSC")</f>
        <v>UCSC</v>
      </c>
      <c r="E8285" s="1" t="str">
        <f>HYPERLINK("http://www.ncbi.nlm.nih.gov/gene/?term=HLA-C","NCBI")</f>
        <v>NCBI</v>
      </c>
      <c r="F8285">
        <v>0.13</v>
      </c>
      <c r="G8285">
        <v>0.27</v>
      </c>
      <c r="H8285" s="1" t="str">
        <f>HYPERLINK("http://www.weizmann.ac.il/complex/compphys/software/geview/data/figures/214459_x_at.png","Figure")</f>
        <v>Figure</v>
      </c>
      <c r="I8285">
        <v>0.80100000000000005</v>
      </c>
      <c r="J8285">
        <v>0.26</v>
      </c>
      <c r="K8285">
        <v>0.78500000000000003</v>
      </c>
      <c r="L8285">
        <v>0.14000000000000001</v>
      </c>
      <c r="M8285">
        <v>0.98</v>
      </c>
      <c r="N8285">
        <v>0.99</v>
      </c>
    </row>
    <row r="8286" spans="1:14" x14ac:dyDescent="0.25">
      <c r="A8286" t="s">
        <v>14668</v>
      </c>
      <c r="B8286" t="s">
        <v>2882</v>
      </c>
      <c r="C8286" s="1" t="str">
        <f>HYPERLINK("http://www.genecards.org/cgi-bin/carddisp.pl?gene=ALAD","GeneCards")</f>
        <v>GeneCards</v>
      </c>
      <c r="D8286" s="1" t="str">
        <f>HYPERLINK("http://genome-euro.ucsc.edu/cgi-bin/hgTracks?position=218487_at","UCSC")</f>
        <v>UCSC</v>
      </c>
      <c r="E8286" s="1" t="str">
        <f>HYPERLINK("http://www.ncbi.nlm.nih.gov/gene/?term=ALAD","NCBI")</f>
        <v>NCBI</v>
      </c>
      <c r="F8286">
        <v>0.13</v>
      </c>
      <c r="G8286">
        <v>0.27</v>
      </c>
      <c r="H8286" s="1" t="str">
        <f>HYPERLINK("http://www.weizmann.ac.il/complex/compphys/software/geview/data/figures/218487_at.png","Figure")</f>
        <v>Figure</v>
      </c>
      <c r="I8286">
        <v>0.92600000000000005</v>
      </c>
      <c r="J8286">
        <v>0.85</v>
      </c>
      <c r="K8286">
        <v>1.2</v>
      </c>
      <c r="L8286">
        <v>0.31</v>
      </c>
      <c r="M8286">
        <v>1.3</v>
      </c>
      <c r="N8286">
        <v>0.15</v>
      </c>
    </row>
    <row r="8287" spans="1:14" x14ac:dyDescent="0.25">
      <c r="A8287" t="s">
        <v>14669</v>
      </c>
      <c r="B8287" t="s">
        <v>14670</v>
      </c>
      <c r="C8287" s="1" t="str">
        <f>HYPERLINK("http://www.genecards.org/cgi-bin/carddisp.pl?gene=GPATCH8","GeneCards")</f>
        <v>GeneCards</v>
      </c>
      <c r="D8287" s="1" t="str">
        <f>HYPERLINK("http://genome-euro.ucsc.edu/cgi-bin/hgTracks?position=212487_at","UCSC")</f>
        <v>UCSC</v>
      </c>
      <c r="E8287" s="1" t="str">
        <f>HYPERLINK("http://www.ncbi.nlm.nih.gov/gene/?term=GPATCH8","NCBI")</f>
        <v>NCBI</v>
      </c>
      <c r="F8287">
        <v>0.13</v>
      </c>
      <c r="G8287">
        <v>0.27</v>
      </c>
      <c r="H8287" s="1" t="str">
        <f>HYPERLINK("http://www.weizmann.ac.il/complex/compphys/software/geview/data/figures/212487_at.png","Figure")</f>
        <v>Figure</v>
      </c>
      <c r="I8287">
        <v>1.32</v>
      </c>
      <c r="J8287">
        <v>0.12</v>
      </c>
      <c r="K8287">
        <v>1.08</v>
      </c>
      <c r="L8287">
        <v>0.8</v>
      </c>
      <c r="M8287">
        <v>0.81499999999999995</v>
      </c>
      <c r="N8287">
        <v>0.25</v>
      </c>
    </row>
    <row r="8288" spans="1:14" x14ac:dyDescent="0.25">
      <c r="A8288" t="s">
        <v>14671</v>
      </c>
      <c r="B8288" t="s">
        <v>14672</v>
      </c>
      <c r="C8288" s="1" t="str">
        <f>HYPERLINK("http://www.genecards.org/cgi-bin/carddisp.pl?gene=MPZ","GeneCards")</f>
        <v>GeneCards</v>
      </c>
      <c r="D8288" s="1" t="str">
        <f>HYPERLINK("http://genome-euro.ucsc.edu/cgi-bin/hgTracks?position=210280_at","UCSC")</f>
        <v>UCSC</v>
      </c>
      <c r="E8288" s="1" t="str">
        <f>HYPERLINK("http://www.ncbi.nlm.nih.gov/gene/?term=MPZ","NCBI")</f>
        <v>NCBI</v>
      </c>
      <c r="F8288">
        <v>0.13</v>
      </c>
      <c r="G8288">
        <v>0.27</v>
      </c>
      <c r="H8288" s="1" t="str">
        <f>HYPERLINK("http://www.weizmann.ac.il/complex/compphys/software/geview/data/figures/210280_at.png","Figure")</f>
        <v>Figure</v>
      </c>
      <c r="I8288">
        <v>1.1399999999999999</v>
      </c>
      <c r="J8288">
        <v>0.22</v>
      </c>
      <c r="K8288">
        <v>0.98699999999999999</v>
      </c>
      <c r="L8288">
        <v>0.98</v>
      </c>
      <c r="M8288">
        <v>0.86499999999999999</v>
      </c>
      <c r="N8288">
        <v>0.13</v>
      </c>
    </row>
    <row r="8289" spans="1:14" x14ac:dyDescent="0.25">
      <c r="A8289" t="s">
        <v>14673</v>
      </c>
      <c r="B8289" t="s">
        <v>199</v>
      </c>
      <c r="C8289" s="1" t="str">
        <f>HYPERLINK("http://www.genecards.org/cgi-bin/carddisp.pl?gene=TNS1","GeneCards")</f>
        <v>GeneCards</v>
      </c>
      <c r="D8289" s="1" t="str">
        <f>HYPERLINK("http://genome-euro.ucsc.edu/cgi-bin/hgTracks?position=221246_x_at","UCSC")</f>
        <v>UCSC</v>
      </c>
      <c r="E8289" s="1" t="str">
        <f>HYPERLINK("http://www.ncbi.nlm.nih.gov/gene/?term=TNS1","NCBI")</f>
        <v>NCBI</v>
      </c>
      <c r="F8289">
        <v>0.13</v>
      </c>
      <c r="G8289">
        <v>0.27</v>
      </c>
      <c r="H8289" s="1" t="str">
        <f>HYPERLINK("http://www.weizmann.ac.il/complex/compphys/software/geview/data/figures/221246_x_at.png","Figure")</f>
        <v>Figure</v>
      </c>
      <c r="I8289">
        <v>1.23</v>
      </c>
      <c r="J8289">
        <v>0.48</v>
      </c>
      <c r="K8289">
        <v>0.86499999999999999</v>
      </c>
      <c r="L8289">
        <v>0.61</v>
      </c>
      <c r="M8289">
        <v>0.70199999999999996</v>
      </c>
      <c r="N8289">
        <v>0.11</v>
      </c>
    </row>
    <row r="8290" spans="1:14" x14ac:dyDescent="0.25">
      <c r="A8290" t="s">
        <v>14674</v>
      </c>
      <c r="B8290" t="s">
        <v>14675</v>
      </c>
      <c r="C8290" s="1" t="str">
        <f>HYPERLINK("http://www.genecards.org/cgi-bin/carddisp.pl?gene=QSOX1","GeneCards")</f>
        <v>GeneCards</v>
      </c>
      <c r="D8290" s="1" t="str">
        <f>HYPERLINK("http://genome-euro.ucsc.edu/cgi-bin/hgTracks?position=201482_at","UCSC")</f>
        <v>UCSC</v>
      </c>
      <c r="E8290" s="1" t="str">
        <f>HYPERLINK("http://www.ncbi.nlm.nih.gov/gene/?term=QSOX1","NCBI")</f>
        <v>NCBI</v>
      </c>
      <c r="F8290">
        <v>0.13</v>
      </c>
      <c r="G8290">
        <v>0.27</v>
      </c>
      <c r="H8290" s="1" t="str">
        <f>HYPERLINK("http://www.weizmann.ac.il/complex/compphys/software/geview/data/figures/201482_at.png","Figure")</f>
        <v>Figure</v>
      </c>
      <c r="I8290">
        <v>1.0900000000000001</v>
      </c>
      <c r="J8290">
        <v>0.18</v>
      </c>
      <c r="K8290">
        <v>1.08</v>
      </c>
      <c r="L8290">
        <v>0.18</v>
      </c>
      <c r="M8290">
        <v>0.98799999999999999</v>
      </c>
      <c r="N8290">
        <v>0.96</v>
      </c>
    </row>
    <row r="8291" spans="1:14" x14ac:dyDescent="0.25">
      <c r="A8291" t="s">
        <v>14676</v>
      </c>
      <c r="B8291" t="s">
        <v>2850</v>
      </c>
      <c r="C8291" s="1" t="str">
        <f>HYPERLINK("http://www.genecards.org/cgi-bin/carddisp.pl?gene=GATA2","GeneCards")</f>
        <v>GeneCards</v>
      </c>
      <c r="D8291" s="1" t="str">
        <f>HYPERLINK("http://genome-euro.ucsc.edu/cgi-bin/hgTracks?position=210358_x_at","UCSC")</f>
        <v>UCSC</v>
      </c>
      <c r="E8291" s="1" t="str">
        <f>HYPERLINK("http://www.ncbi.nlm.nih.gov/gene/?term=GATA2","NCBI")</f>
        <v>NCBI</v>
      </c>
      <c r="F8291">
        <v>0.13</v>
      </c>
      <c r="G8291">
        <v>0.27</v>
      </c>
      <c r="H8291" s="1" t="str">
        <f>HYPERLINK("http://www.weizmann.ac.il/complex/compphys/software/geview/data/figures/210358_x_at.png","Figure")</f>
        <v>Figure</v>
      </c>
      <c r="I8291">
        <v>1.23</v>
      </c>
      <c r="J8291">
        <v>0.17</v>
      </c>
      <c r="K8291">
        <v>1.01</v>
      </c>
      <c r="L8291">
        <v>1</v>
      </c>
      <c r="M8291">
        <v>0.81899999999999995</v>
      </c>
      <c r="N8291">
        <v>0.16</v>
      </c>
    </row>
    <row r="8292" spans="1:14" x14ac:dyDescent="0.25">
      <c r="A8292" t="s">
        <v>14677</v>
      </c>
      <c r="B8292" t="s">
        <v>10432</v>
      </c>
      <c r="C8292" s="1" t="str">
        <f>HYPERLINK("http://www.genecards.org/cgi-bin/carddisp.pl?gene=SLC39A8","GeneCards")</f>
        <v>GeneCards</v>
      </c>
      <c r="D8292" s="1" t="str">
        <f>HYPERLINK("http://genome-euro.ucsc.edu/cgi-bin/hgTracks?position=209266_s_at","UCSC")</f>
        <v>UCSC</v>
      </c>
      <c r="E8292" s="1" t="str">
        <f>HYPERLINK("http://www.ncbi.nlm.nih.gov/gene/?term=SLC39A8","NCBI")</f>
        <v>NCBI</v>
      </c>
      <c r="F8292">
        <v>0.13</v>
      </c>
      <c r="G8292">
        <v>0.27</v>
      </c>
      <c r="H8292" s="1" t="str">
        <f>HYPERLINK("http://www.weizmann.ac.il/complex/compphys/software/geview/data/figures/209266_s_at.png","Figure")</f>
        <v>Figure</v>
      </c>
      <c r="I8292">
        <v>1.1200000000000001</v>
      </c>
      <c r="J8292">
        <v>0.22</v>
      </c>
      <c r="K8292">
        <v>1.1200000000000001</v>
      </c>
      <c r="L8292">
        <v>0.15</v>
      </c>
      <c r="M8292">
        <v>1</v>
      </c>
      <c r="N8292">
        <v>1</v>
      </c>
    </row>
    <row r="8293" spans="1:14" x14ac:dyDescent="0.25">
      <c r="A8293" t="s">
        <v>14678</v>
      </c>
      <c r="B8293" t="s">
        <v>3500</v>
      </c>
      <c r="C8293" s="1" t="str">
        <f>HYPERLINK("http://www.genecards.org/cgi-bin/carddisp.pl?gene=PPP3CA","GeneCards")</f>
        <v>GeneCards</v>
      </c>
      <c r="D8293" s="1" t="str">
        <f>HYPERLINK("http://genome-euro.ucsc.edu/cgi-bin/hgTracks?position=202425_x_at","UCSC")</f>
        <v>UCSC</v>
      </c>
      <c r="E8293" s="1" t="str">
        <f>HYPERLINK("http://www.ncbi.nlm.nih.gov/gene/?term=PPP3CA","NCBI")</f>
        <v>NCBI</v>
      </c>
      <c r="F8293">
        <v>0.13</v>
      </c>
      <c r="G8293">
        <v>0.27</v>
      </c>
      <c r="H8293" s="1" t="str">
        <f>HYPERLINK("http://www.weizmann.ac.il/complex/compphys/software/geview/data/figures/202425_x_at.png","Figure")</f>
        <v>Figure</v>
      </c>
      <c r="I8293">
        <v>0.64800000000000002</v>
      </c>
      <c r="J8293">
        <v>0.25</v>
      </c>
      <c r="K8293">
        <v>1.08</v>
      </c>
      <c r="L8293">
        <v>0.93</v>
      </c>
      <c r="M8293">
        <v>1.67</v>
      </c>
      <c r="N8293">
        <v>0.13</v>
      </c>
    </row>
    <row r="8294" spans="1:14" x14ac:dyDescent="0.25">
      <c r="A8294" t="s">
        <v>14679</v>
      </c>
      <c r="B8294" t="s">
        <v>10390</v>
      </c>
      <c r="C8294" s="1" t="str">
        <f>HYPERLINK("http://www.genecards.org/cgi-bin/carddisp.pl?gene=NQO1","GeneCards")</f>
        <v>GeneCards</v>
      </c>
      <c r="D8294" s="1" t="str">
        <f>HYPERLINK("http://genome-euro.ucsc.edu/cgi-bin/hgTracks?position=201468_s_at","UCSC")</f>
        <v>UCSC</v>
      </c>
      <c r="E8294" s="1" t="str">
        <f>HYPERLINK("http://www.ncbi.nlm.nih.gov/gene/?term=NQO1","NCBI")</f>
        <v>NCBI</v>
      </c>
      <c r="F8294">
        <v>0.13</v>
      </c>
      <c r="G8294">
        <v>0.27</v>
      </c>
      <c r="H8294" s="1" t="str">
        <f>HYPERLINK("http://www.weizmann.ac.il/complex/compphys/software/geview/data/figures/201468_s_at.png","Figure")</f>
        <v>Figure</v>
      </c>
      <c r="I8294">
        <v>1.1499999999999999</v>
      </c>
      <c r="J8294">
        <v>0.12</v>
      </c>
      <c r="K8294">
        <v>1.04</v>
      </c>
      <c r="L8294">
        <v>0.78</v>
      </c>
      <c r="M8294">
        <v>0.90200000000000002</v>
      </c>
      <c r="N8294">
        <v>0.26</v>
      </c>
    </row>
    <row r="8295" spans="1:14" x14ac:dyDescent="0.25">
      <c r="A8295" t="s">
        <v>14680</v>
      </c>
      <c r="B8295" t="s">
        <v>14681</v>
      </c>
      <c r="C8295" s="1" t="str">
        <f>HYPERLINK("http://www.genecards.org/cgi-bin/carddisp.pl?gene=EP300","GeneCards")</f>
        <v>GeneCards</v>
      </c>
      <c r="D8295" s="1" t="str">
        <f>HYPERLINK("http://genome-euro.ucsc.edu/cgi-bin/hgTracks?position=202221_s_at","UCSC")</f>
        <v>UCSC</v>
      </c>
      <c r="E8295" s="1" t="str">
        <f>HYPERLINK("http://www.ncbi.nlm.nih.gov/gene/?term=EP300","NCBI")</f>
        <v>NCBI</v>
      </c>
      <c r="F8295">
        <v>0.13</v>
      </c>
      <c r="G8295">
        <v>0.27</v>
      </c>
      <c r="H8295" s="1" t="str">
        <f>HYPERLINK("http://www.weizmann.ac.il/complex/compphys/software/geview/data/figures/202221_s_at.png","Figure")</f>
        <v>Figure</v>
      </c>
      <c r="I8295">
        <v>0.65200000000000002</v>
      </c>
      <c r="J8295">
        <v>0.16</v>
      </c>
      <c r="K8295">
        <v>0.70899999999999996</v>
      </c>
      <c r="L8295">
        <v>0.21</v>
      </c>
      <c r="M8295">
        <v>1.0900000000000001</v>
      </c>
      <c r="N8295">
        <v>0.91</v>
      </c>
    </row>
    <row r="8296" spans="1:14" x14ac:dyDescent="0.25">
      <c r="A8296" t="s">
        <v>14682</v>
      </c>
      <c r="B8296" t="s">
        <v>2890</v>
      </c>
      <c r="C8296" s="1" t="str">
        <f>HYPERLINK("http://www.genecards.org/cgi-bin/carddisp.pl?gene=GGPS1","GeneCards")</f>
        <v>GeneCards</v>
      </c>
      <c r="D8296" s="1" t="str">
        <f>HYPERLINK("http://genome-euro.ucsc.edu/cgi-bin/hgTracks?position=202322_s_at","UCSC")</f>
        <v>UCSC</v>
      </c>
      <c r="E8296" s="1" t="str">
        <f>HYPERLINK("http://www.ncbi.nlm.nih.gov/gene/?term=GGPS1","NCBI")</f>
        <v>NCBI</v>
      </c>
      <c r="F8296">
        <v>0.13</v>
      </c>
      <c r="G8296">
        <v>0.27</v>
      </c>
      <c r="H8296" s="1" t="str">
        <f>HYPERLINK("http://www.weizmann.ac.il/complex/compphys/software/geview/data/figures/202322_s_at.png","Figure")</f>
        <v>Figure</v>
      </c>
      <c r="I8296">
        <v>1.22</v>
      </c>
      <c r="J8296">
        <v>0.57999999999999996</v>
      </c>
      <c r="K8296">
        <v>1.46</v>
      </c>
      <c r="L8296">
        <v>0.11</v>
      </c>
      <c r="M8296">
        <v>1.19</v>
      </c>
      <c r="N8296">
        <v>0.62</v>
      </c>
    </row>
    <row r="8297" spans="1:14" x14ac:dyDescent="0.25">
      <c r="A8297" t="s">
        <v>14683</v>
      </c>
      <c r="B8297" t="s">
        <v>14684</v>
      </c>
      <c r="C8297" s="1" t="str">
        <f>HYPERLINK("http://www.genecards.org/cgi-bin/carddisp.pl?gene=OR1G1","GeneCards")</f>
        <v>GeneCards</v>
      </c>
      <c r="D8297" s="1" t="str">
        <f>HYPERLINK("http://genome-euro.ucsc.edu/cgi-bin/hgTracks?position=221375_at","UCSC")</f>
        <v>UCSC</v>
      </c>
      <c r="E8297" s="1" t="str">
        <f>HYPERLINK("http://www.ncbi.nlm.nih.gov/gene/?term=OR1G1","NCBI")</f>
        <v>NCBI</v>
      </c>
      <c r="F8297">
        <v>0.13</v>
      </c>
      <c r="G8297">
        <v>0.27</v>
      </c>
      <c r="H8297" s="1" t="str">
        <f>HYPERLINK("http://www.weizmann.ac.il/complex/compphys/software/geview/data/figures/221375_at.png","Figure")</f>
        <v>Figure</v>
      </c>
      <c r="I8297">
        <v>1.05</v>
      </c>
      <c r="J8297">
        <v>0.75</v>
      </c>
      <c r="K8297">
        <v>0.92900000000000005</v>
      </c>
      <c r="L8297">
        <v>0.37</v>
      </c>
      <c r="M8297">
        <v>0.88900000000000001</v>
      </c>
      <c r="N8297">
        <v>0.13</v>
      </c>
    </row>
    <row r="8298" spans="1:14" x14ac:dyDescent="0.25">
      <c r="A8298" t="s">
        <v>14685</v>
      </c>
      <c r="B8298" t="s">
        <v>4419</v>
      </c>
      <c r="C8298" s="1" t="str">
        <f>HYPERLINK("http://www.genecards.org/cgi-bin/carddisp.pl?gene=SFRS11","GeneCards")</f>
        <v>GeneCards</v>
      </c>
      <c r="D8298" s="1" t="str">
        <f>HYPERLINK("http://genome-euro.ucsc.edu/cgi-bin/hgTracks?position=200685_at","UCSC")</f>
        <v>UCSC</v>
      </c>
      <c r="E8298" s="1" t="str">
        <f>HYPERLINK("http://www.ncbi.nlm.nih.gov/gene/?term=SFRS11","NCBI")</f>
        <v>NCBI</v>
      </c>
      <c r="F8298">
        <v>0.13</v>
      </c>
      <c r="G8298">
        <v>0.27</v>
      </c>
      <c r="H8298" s="1" t="str">
        <f>HYPERLINK("http://www.weizmann.ac.il/complex/compphys/software/geview/data/figures/200685_at.png","Figure")</f>
        <v>Figure</v>
      </c>
      <c r="I8298">
        <v>0.72699999999999998</v>
      </c>
      <c r="J8298">
        <v>0.36</v>
      </c>
      <c r="K8298">
        <v>0.65800000000000003</v>
      </c>
      <c r="L8298">
        <v>0.12</v>
      </c>
      <c r="M8298">
        <v>0.90500000000000003</v>
      </c>
      <c r="N8298">
        <v>0.88</v>
      </c>
    </row>
    <row r="8299" spans="1:14" x14ac:dyDescent="0.25">
      <c r="A8299" t="s">
        <v>14686</v>
      </c>
      <c r="B8299" t="s">
        <v>14687</v>
      </c>
      <c r="C8299" s="1" t="str">
        <f>HYPERLINK("http://www.genecards.org/cgi-bin/carddisp.pl?gene=RCN1","GeneCards")</f>
        <v>GeneCards</v>
      </c>
      <c r="D8299" s="1" t="str">
        <f>HYPERLINK("http://genome-euro.ucsc.edu/cgi-bin/hgTracks?position=201063_at","UCSC")</f>
        <v>UCSC</v>
      </c>
      <c r="E8299" s="1" t="str">
        <f>HYPERLINK("http://www.ncbi.nlm.nih.gov/gene/?term=RCN1","NCBI")</f>
        <v>NCBI</v>
      </c>
      <c r="F8299">
        <v>0.13</v>
      </c>
      <c r="G8299">
        <v>0.27</v>
      </c>
      <c r="H8299" s="1" t="str">
        <f>HYPERLINK("http://www.weizmann.ac.il/complex/compphys/software/geview/data/figures/201063_at.png","Figure")</f>
        <v>Figure</v>
      </c>
      <c r="I8299">
        <v>0.86899999999999999</v>
      </c>
      <c r="J8299">
        <v>0.62</v>
      </c>
      <c r="K8299">
        <v>0.755</v>
      </c>
      <c r="L8299">
        <v>0.11</v>
      </c>
      <c r="M8299">
        <v>0.86899999999999999</v>
      </c>
      <c r="N8299">
        <v>0.57999999999999996</v>
      </c>
    </row>
    <row r="8300" spans="1:14" x14ac:dyDescent="0.25">
      <c r="A8300" t="s">
        <v>14688</v>
      </c>
      <c r="B8300" t="s">
        <v>10140</v>
      </c>
      <c r="C8300" s="1" t="str">
        <f>HYPERLINK("http://www.genecards.org/cgi-bin/carddisp.pl?gene=CELSR3","GeneCards")</f>
        <v>GeneCards</v>
      </c>
      <c r="D8300" s="1" t="str">
        <f>HYPERLINK("http://genome-euro.ucsc.edu/cgi-bin/hgTracks?position=205165_at","UCSC")</f>
        <v>UCSC</v>
      </c>
      <c r="E8300" s="1" t="str">
        <f>HYPERLINK("http://www.ncbi.nlm.nih.gov/gene/?term=CELSR3","NCBI")</f>
        <v>NCBI</v>
      </c>
      <c r="F8300">
        <v>0.13</v>
      </c>
      <c r="G8300">
        <v>0.27</v>
      </c>
      <c r="H8300" s="1" t="str">
        <f>HYPERLINK("http://www.weizmann.ac.il/complex/compphys/software/geview/data/figures/205165_at.png","Figure")</f>
        <v>Figure</v>
      </c>
      <c r="I8300">
        <v>1.1599999999999999</v>
      </c>
      <c r="J8300">
        <v>0.27</v>
      </c>
      <c r="K8300">
        <v>0.96699999999999997</v>
      </c>
      <c r="L8300">
        <v>0.91</v>
      </c>
      <c r="M8300">
        <v>0.83199999999999996</v>
      </c>
      <c r="N8300">
        <v>0.12</v>
      </c>
    </row>
    <row r="8301" spans="1:14" x14ac:dyDescent="0.25">
      <c r="A8301" t="s">
        <v>14689</v>
      </c>
      <c r="B8301" t="s">
        <v>14690</v>
      </c>
      <c r="C8301" s="1" t="str">
        <f>HYPERLINK("http://www.genecards.org/cgi-bin/carddisp.pl?gene=SPATA2L","GeneCards")</f>
        <v>GeneCards</v>
      </c>
      <c r="D8301" s="1" t="str">
        <f>HYPERLINK("http://genome-euro.ucsc.edu/cgi-bin/hgTracks?position=214965_at","UCSC")</f>
        <v>UCSC</v>
      </c>
      <c r="E8301" s="1" t="str">
        <f>HYPERLINK("http://www.ncbi.nlm.nih.gov/gene/?term=SPATA2L","NCBI")</f>
        <v>NCBI</v>
      </c>
      <c r="F8301">
        <v>0.13</v>
      </c>
      <c r="G8301">
        <v>0.27</v>
      </c>
      <c r="H8301" s="1" t="str">
        <f>HYPERLINK("http://www.weizmann.ac.il/complex/compphys/software/geview/data/figures/214965_at.png","Figure")</f>
        <v>Figure</v>
      </c>
      <c r="I8301">
        <v>1.07</v>
      </c>
      <c r="J8301">
        <v>0.63</v>
      </c>
      <c r="K8301">
        <v>0.92500000000000004</v>
      </c>
      <c r="L8301">
        <v>0.47</v>
      </c>
      <c r="M8301">
        <v>0.86399999999999999</v>
      </c>
      <c r="N8301">
        <v>0.12</v>
      </c>
    </row>
    <row r="8302" spans="1:14" x14ac:dyDescent="0.25">
      <c r="A8302" t="s">
        <v>14691</v>
      </c>
      <c r="B8302" t="s">
        <v>14692</v>
      </c>
      <c r="C8302" s="1" t="str">
        <f>HYPERLINK("http://www.genecards.org/cgi-bin/carddisp.pl?gene=MPG","GeneCards")</f>
        <v>GeneCards</v>
      </c>
      <c r="D8302" s="1" t="str">
        <f>HYPERLINK("http://genome-euro.ucsc.edu/cgi-bin/hgTracks?position=203686_at","UCSC")</f>
        <v>UCSC</v>
      </c>
      <c r="E8302" s="1" t="str">
        <f>HYPERLINK("http://www.ncbi.nlm.nih.gov/gene/?term=MPG","NCBI")</f>
        <v>NCBI</v>
      </c>
      <c r="F8302">
        <v>0.13</v>
      </c>
      <c r="G8302">
        <v>0.27</v>
      </c>
      <c r="H8302" s="1" t="str">
        <f>HYPERLINK("http://www.weizmann.ac.il/complex/compphys/software/geview/data/figures/203686_at.png","Figure")</f>
        <v>Figure</v>
      </c>
      <c r="I8302">
        <v>1.29</v>
      </c>
      <c r="J8302">
        <v>0.11</v>
      </c>
      <c r="K8302">
        <v>1.1299999999999999</v>
      </c>
      <c r="L8302">
        <v>0.49</v>
      </c>
      <c r="M8302">
        <v>0.874</v>
      </c>
      <c r="N8302">
        <v>0.46</v>
      </c>
    </row>
    <row r="8303" spans="1:14" x14ac:dyDescent="0.25">
      <c r="A8303" t="s">
        <v>14693</v>
      </c>
      <c r="B8303" t="s">
        <v>14694</v>
      </c>
      <c r="C8303" s="1" t="str">
        <f>HYPERLINK("http://www.genecards.org/cgi-bin/carddisp.pl?gene=USP22","GeneCards")</f>
        <v>GeneCards</v>
      </c>
      <c r="D8303" s="1" t="str">
        <f>HYPERLINK("http://genome-euro.ucsc.edu/cgi-bin/hgTracks?position=216964_at","UCSC")</f>
        <v>UCSC</v>
      </c>
      <c r="E8303" s="1" t="str">
        <f>HYPERLINK("http://www.ncbi.nlm.nih.gov/gene/?term=USP22","NCBI")</f>
        <v>NCBI</v>
      </c>
      <c r="F8303">
        <v>0.13</v>
      </c>
      <c r="G8303">
        <v>0.27</v>
      </c>
      <c r="H8303" s="1" t="str">
        <f>HYPERLINK("http://www.weizmann.ac.il/complex/compphys/software/geview/data/figures/216964_at.png","Figure")</f>
        <v>Figure</v>
      </c>
      <c r="I8303">
        <v>1.07</v>
      </c>
      <c r="J8303">
        <v>0.43</v>
      </c>
      <c r="K8303">
        <v>0.96</v>
      </c>
      <c r="L8303">
        <v>0.67</v>
      </c>
      <c r="M8303">
        <v>0.89600000000000002</v>
      </c>
      <c r="N8303">
        <v>0.11</v>
      </c>
    </row>
    <row r="8304" spans="1:14" x14ac:dyDescent="0.25">
      <c r="A8304" t="s">
        <v>14695</v>
      </c>
      <c r="B8304" t="s">
        <v>143</v>
      </c>
      <c r="C8304" s="1" t="str">
        <f>HYPERLINK("http://www.genecards.org/cgi-bin/carddisp.pl?gene=SLC35A2","GeneCards")</f>
        <v>GeneCards</v>
      </c>
      <c r="D8304" s="1" t="str">
        <f>HYPERLINK("http://genome-euro.ucsc.edu/cgi-bin/hgTracks?position=207439_s_at","UCSC")</f>
        <v>UCSC</v>
      </c>
      <c r="E8304" s="1" t="str">
        <f>HYPERLINK("http://www.ncbi.nlm.nih.gov/gene/?term=SLC35A2","NCBI")</f>
        <v>NCBI</v>
      </c>
      <c r="F8304">
        <v>0.13</v>
      </c>
      <c r="G8304">
        <v>0.27</v>
      </c>
      <c r="H8304" s="1" t="str">
        <f>HYPERLINK("http://www.weizmann.ac.il/complex/compphys/software/geview/data/figures/207439_s_at.png","Figure")</f>
        <v>Figure</v>
      </c>
      <c r="I8304">
        <v>1.1499999999999999</v>
      </c>
      <c r="J8304">
        <v>0.11</v>
      </c>
      <c r="K8304">
        <v>1.06</v>
      </c>
      <c r="L8304">
        <v>0.56999999999999995</v>
      </c>
      <c r="M8304">
        <v>0.92200000000000004</v>
      </c>
      <c r="N8304">
        <v>0.39</v>
      </c>
    </row>
    <row r="8305" spans="1:14" x14ac:dyDescent="0.25">
      <c r="A8305" t="s">
        <v>14696</v>
      </c>
      <c r="B8305" t="s">
        <v>14697</v>
      </c>
      <c r="C8305" s="1" t="str">
        <f>HYPERLINK("http://www.genecards.org/cgi-bin/carddisp.pl?gene=ANGEL2","GeneCards")</f>
        <v>GeneCards</v>
      </c>
      <c r="D8305" s="1" t="str">
        <f>HYPERLINK("http://genome-euro.ucsc.edu/cgi-bin/hgTracks?position=221826_at","UCSC")</f>
        <v>UCSC</v>
      </c>
      <c r="E8305" s="1" t="str">
        <f>HYPERLINK("http://www.ncbi.nlm.nih.gov/gene/?term=ANGEL2","NCBI")</f>
        <v>NCBI</v>
      </c>
      <c r="F8305">
        <v>0.13</v>
      </c>
      <c r="G8305">
        <v>0.27</v>
      </c>
      <c r="H8305" s="1" t="str">
        <f>HYPERLINK("http://www.weizmann.ac.il/complex/compphys/software/geview/data/figures/221826_at.png","Figure")</f>
        <v>Figure</v>
      </c>
      <c r="I8305">
        <v>1.58</v>
      </c>
      <c r="J8305">
        <v>0.12</v>
      </c>
      <c r="K8305">
        <v>1.1299999999999999</v>
      </c>
      <c r="L8305">
        <v>0.79</v>
      </c>
      <c r="M8305">
        <v>0.71599999999999997</v>
      </c>
      <c r="N8305">
        <v>0.26</v>
      </c>
    </row>
    <row r="8306" spans="1:14" x14ac:dyDescent="0.25">
      <c r="A8306" t="s">
        <v>14698</v>
      </c>
      <c r="B8306" t="s">
        <v>14699</v>
      </c>
      <c r="C8306" s="1" t="str">
        <f>HYPERLINK("http://www.genecards.org/cgi-bin/carddisp.pl?gene=AKAP3","GeneCards")</f>
        <v>GeneCards</v>
      </c>
      <c r="D8306" s="1" t="str">
        <f>HYPERLINK("http://genome-euro.ucsc.edu/cgi-bin/hgTracks?position=207344_at","UCSC")</f>
        <v>UCSC</v>
      </c>
      <c r="E8306" s="1" t="str">
        <f>HYPERLINK("http://www.ncbi.nlm.nih.gov/gene/?term=AKAP3","NCBI")</f>
        <v>NCBI</v>
      </c>
      <c r="F8306">
        <v>0.13</v>
      </c>
      <c r="G8306">
        <v>0.27</v>
      </c>
      <c r="H8306" s="1" t="str">
        <f>HYPERLINK("http://www.weizmann.ac.il/complex/compphys/software/geview/data/figures/207344_at.png","Figure")</f>
        <v>Figure</v>
      </c>
      <c r="I8306">
        <v>0.96099999999999997</v>
      </c>
      <c r="J8306">
        <v>0.19</v>
      </c>
      <c r="K8306">
        <v>1</v>
      </c>
      <c r="L8306">
        <v>1</v>
      </c>
      <c r="M8306">
        <v>1.04</v>
      </c>
      <c r="N8306">
        <v>0.15</v>
      </c>
    </row>
    <row r="8307" spans="1:14" x14ac:dyDescent="0.25">
      <c r="A8307" t="s">
        <v>14700</v>
      </c>
      <c r="B8307" t="s">
        <v>14701</v>
      </c>
      <c r="C8307" s="1" t="str">
        <f>HYPERLINK("http://www.genecards.org/cgi-bin/carddisp.pl?gene=GLRX5","GeneCards")</f>
        <v>GeneCards</v>
      </c>
      <c r="D8307" s="1" t="str">
        <f>HYPERLINK("http://genome-euro.ucsc.edu/cgi-bin/hgTracks?position=221932_s_at","UCSC")</f>
        <v>UCSC</v>
      </c>
      <c r="E8307" s="1" t="str">
        <f>HYPERLINK("http://www.ncbi.nlm.nih.gov/gene/?term=GLRX5","NCBI")</f>
        <v>NCBI</v>
      </c>
      <c r="F8307">
        <v>0.13</v>
      </c>
      <c r="G8307">
        <v>0.27</v>
      </c>
      <c r="H8307" s="1" t="str">
        <f>HYPERLINK("http://www.weizmann.ac.il/complex/compphys/software/geview/data/figures/221932_s_at.png","Figure")</f>
        <v>Figure</v>
      </c>
      <c r="I8307">
        <v>1.26</v>
      </c>
      <c r="J8307">
        <v>0.36</v>
      </c>
      <c r="K8307">
        <v>1.36</v>
      </c>
      <c r="L8307">
        <v>0.12</v>
      </c>
      <c r="M8307">
        <v>1.08</v>
      </c>
      <c r="N8307">
        <v>0.88</v>
      </c>
    </row>
    <row r="8308" spans="1:14" x14ac:dyDescent="0.25">
      <c r="A8308" t="s">
        <v>14702</v>
      </c>
      <c r="B8308" t="s">
        <v>8026</v>
      </c>
      <c r="C8308" s="1" t="str">
        <f>HYPERLINK("http://www.genecards.org/cgi-bin/carddisp.pl?gene=DHX29","GeneCards")</f>
        <v>GeneCards</v>
      </c>
      <c r="D8308" s="1" t="str">
        <f>HYPERLINK("http://genome-euro.ucsc.edu/cgi-bin/hgTracks?position=212649_at","UCSC")</f>
        <v>UCSC</v>
      </c>
      <c r="E8308" s="1" t="str">
        <f>HYPERLINK("http://www.ncbi.nlm.nih.gov/gene/?term=DHX29","NCBI")</f>
        <v>NCBI</v>
      </c>
      <c r="F8308">
        <v>0.13</v>
      </c>
      <c r="G8308">
        <v>0.27</v>
      </c>
      <c r="H8308" s="1" t="str">
        <f>HYPERLINK("http://www.weizmann.ac.il/complex/compphys/software/geview/data/figures/212649_at.png","Figure")</f>
        <v>Figure</v>
      </c>
      <c r="I8308">
        <v>0.79700000000000004</v>
      </c>
      <c r="J8308">
        <v>0.15</v>
      </c>
      <c r="K8308">
        <v>0.84299999999999997</v>
      </c>
      <c r="L8308">
        <v>0.23</v>
      </c>
      <c r="M8308">
        <v>1.06</v>
      </c>
      <c r="N8308">
        <v>0.86</v>
      </c>
    </row>
    <row r="8309" spans="1:14" x14ac:dyDescent="0.25">
      <c r="A8309" t="s">
        <v>14703</v>
      </c>
      <c r="B8309" t="s">
        <v>9438</v>
      </c>
      <c r="C8309" s="1" t="str">
        <f>HYPERLINK("http://www.genecards.org/cgi-bin/carddisp.pl?gene=PVR","GeneCards")</f>
        <v>GeneCards</v>
      </c>
      <c r="D8309" s="1" t="str">
        <f>HYPERLINK("http://genome-euro.ucsc.edu/cgi-bin/hgTracks?position=32699_s_at","UCSC")</f>
        <v>UCSC</v>
      </c>
      <c r="E8309" s="1" t="str">
        <f>HYPERLINK("http://www.ncbi.nlm.nih.gov/gene/?term=PVR","NCBI")</f>
        <v>NCBI</v>
      </c>
      <c r="F8309">
        <v>0.13</v>
      </c>
      <c r="G8309">
        <v>0.27</v>
      </c>
      <c r="H8309" s="1" t="str">
        <f>HYPERLINK("http://www.weizmann.ac.il/complex/compphys/software/geview/data/figures/32699_s_at.png","Figure")</f>
        <v>Figure</v>
      </c>
      <c r="I8309">
        <v>1.18</v>
      </c>
      <c r="J8309">
        <v>0.11</v>
      </c>
      <c r="K8309">
        <v>1.08</v>
      </c>
      <c r="L8309">
        <v>0.51</v>
      </c>
      <c r="M8309">
        <v>0.91400000000000003</v>
      </c>
      <c r="N8309">
        <v>0.44</v>
      </c>
    </row>
    <row r="8310" spans="1:14" x14ac:dyDescent="0.25">
      <c r="A8310" t="s">
        <v>14704</v>
      </c>
      <c r="B8310" t="s">
        <v>14705</v>
      </c>
      <c r="C8310" s="1" t="str">
        <f>HYPERLINK("http://www.genecards.org/cgi-bin/carddisp.pl?gene=INE1","GeneCards")</f>
        <v>GeneCards</v>
      </c>
      <c r="D8310" s="1" t="str">
        <f>HYPERLINK("http://genome-euro.ucsc.edu/cgi-bin/hgTracks?position=207252_at","UCSC")</f>
        <v>UCSC</v>
      </c>
      <c r="E8310" s="1" t="str">
        <f>HYPERLINK("http://www.ncbi.nlm.nih.gov/gene/?term=INE1","NCBI")</f>
        <v>NCBI</v>
      </c>
      <c r="F8310">
        <v>0.13</v>
      </c>
      <c r="G8310">
        <v>0.27</v>
      </c>
      <c r="H8310" s="1" t="str">
        <f>HYPERLINK("http://www.weizmann.ac.il/complex/compphys/software/geview/data/figures/207252_at.png","Figure")</f>
        <v>Figure</v>
      </c>
      <c r="I8310">
        <v>1.2</v>
      </c>
      <c r="J8310">
        <v>0.18</v>
      </c>
      <c r="K8310">
        <v>1</v>
      </c>
      <c r="L8310">
        <v>1</v>
      </c>
      <c r="M8310">
        <v>0.83699999999999997</v>
      </c>
      <c r="N8310">
        <v>0.16</v>
      </c>
    </row>
    <row r="8311" spans="1:14" x14ac:dyDescent="0.25">
      <c r="A8311" t="s">
        <v>14706</v>
      </c>
      <c r="B8311" t="s">
        <v>14707</v>
      </c>
      <c r="C8311" s="1" t="str">
        <f>HYPERLINK("http://www.genecards.org/cgi-bin/carddisp.pl?gene=GDPD2","GeneCards")</f>
        <v>GeneCards</v>
      </c>
      <c r="D8311" s="1" t="str">
        <f>HYPERLINK("http://genome-euro.ucsc.edu/cgi-bin/hgTracks?position=220291_at","UCSC")</f>
        <v>UCSC</v>
      </c>
      <c r="E8311" s="1" t="str">
        <f>HYPERLINK("http://www.ncbi.nlm.nih.gov/gene/?term=GDPD2","NCBI")</f>
        <v>NCBI</v>
      </c>
      <c r="F8311">
        <v>0.13</v>
      </c>
      <c r="G8311">
        <v>0.27</v>
      </c>
      <c r="H8311" s="1" t="str">
        <f>HYPERLINK("http://www.weizmann.ac.il/complex/compphys/software/geview/data/figures/220291_at.png","Figure")</f>
        <v>Figure</v>
      </c>
      <c r="I8311">
        <v>1.24</v>
      </c>
      <c r="J8311">
        <v>0.19</v>
      </c>
      <c r="K8311">
        <v>1.22</v>
      </c>
      <c r="L8311">
        <v>0.17</v>
      </c>
      <c r="M8311">
        <v>0.98099999999999998</v>
      </c>
      <c r="N8311">
        <v>0.98</v>
      </c>
    </row>
    <row r="8312" spans="1:14" x14ac:dyDescent="0.25">
      <c r="A8312" t="s">
        <v>14708</v>
      </c>
      <c r="B8312" t="s">
        <v>14709</v>
      </c>
      <c r="C8312" s="1" t="str">
        <f>HYPERLINK("http://www.genecards.org/cgi-bin/carddisp.pl?gene=ZNF268","GeneCards")</f>
        <v>GeneCards</v>
      </c>
      <c r="D8312" s="1" t="str">
        <f>HYPERLINK("http://genome-euro.ucsc.edu/cgi-bin/hgTracks?position=209989_at","UCSC")</f>
        <v>UCSC</v>
      </c>
      <c r="E8312" s="1" t="str">
        <f>HYPERLINK("http://www.ncbi.nlm.nih.gov/gene/?term=ZNF268","NCBI")</f>
        <v>NCBI</v>
      </c>
      <c r="F8312">
        <v>0.13</v>
      </c>
      <c r="G8312">
        <v>0.27</v>
      </c>
      <c r="H8312" s="1" t="str">
        <f>HYPERLINK("http://www.weizmann.ac.il/complex/compphys/software/geview/data/figures/209989_at.png","Figure")</f>
        <v>Figure</v>
      </c>
      <c r="I8312">
        <v>1</v>
      </c>
      <c r="J8312">
        <v>1</v>
      </c>
      <c r="K8312">
        <v>0.84499999999999997</v>
      </c>
      <c r="L8312">
        <v>0.19</v>
      </c>
      <c r="M8312">
        <v>0.84499999999999997</v>
      </c>
      <c r="N8312">
        <v>0.23</v>
      </c>
    </row>
    <row r="8313" spans="1:14" x14ac:dyDescent="0.25">
      <c r="A8313" t="s">
        <v>14710</v>
      </c>
      <c r="B8313" t="s">
        <v>11825</v>
      </c>
      <c r="C8313" s="1" t="str">
        <f>HYPERLINK("http://www.genecards.org/cgi-bin/carddisp.pl?gene=ZMYND8","GeneCards")</f>
        <v>GeneCards</v>
      </c>
      <c r="D8313" s="1" t="str">
        <f>HYPERLINK("http://genome-euro.ucsc.edu/cgi-bin/hgTracks?position=209049_s_at","UCSC")</f>
        <v>UCSC</v>
      </c>
      <c r="E8313" s="1" t="str">
        <f>HYPERLINK("http://www.ncbi.nlm.nih.gov/gene/?term=ZMYND8","NCBI")</f>
        <v>NCBI</v>
      </c>
      <c r="F8313">
        <v>0.13</v>
      </c>
      <c r="G8313">
        <v>0.27</v>
      </c>
      <c r="H8313" s="1" t="str">
        <f>HYPERLINK("http://www.weizmann.ac.il/complex/compphys/software/geview/data/figures/209049_s_at.png","Figure")</f>
        <v>Figure</v>
      </c>
      <c r="I8313">
        <v>1.73</v>
      </c>
      <c r="J8313">
        <v>0.12</v>
      </c>
      <c r="K8313">
        <v>1.4</v>
      </c>
      <c r="L8313">
        <v>0.33</v>
      </c>
      <c r="M8313">
        <v>0.80600000000000005</v>
      </c>
      <c r="N8313">
        <v>0.65</v>
      </c>
    </row>
    <row r="8314" spans="1:14" x14ac:dyDescent="0.25">
      <c r="A8314" t="s">
        <v>14711</v>
      </c>
      <c r="B8314" t="s">
        <v>11690</v>
      </c>
      <c r="C8314" s="1" t="str">
        <f>HYPERLINK("http://www.genecards.org/cgi-bin/carddisp.pl?gene=CACNA1I","GeneCards")</f>
        <v>GeneCards</v>
      </c>
      <c r="D8314" s="1" t="str">
        <f>HYPERLINK("http://genome-euro.ucsc.edu/cgi-bin/hgTracks?position=211830_s_at","UCSC")</f>
        <v>UCSC</v>
      </c>
      <c r="E8314" s="1" t="str">
        <f>HYPERLINK("http://www.ncbi.nlm.nih.gov/gene/?term=CACNA1I","NCBI")</f>
        <v>NCBI</v>
      </c>
      <c r="F8314">
        <v>0.13</v>
      </c>
      <c r="G8314">
        <v>0.27</v>
      </c>
      <c r="H8314" s="1" t="str">
        <f>HYPERLINK("http://www.weizmann.ac.il/complex/compphys/software/geview/data/figures/211830_s_at.png","Figure")</f>
        <v>Figure</v>
      </c>
      <c r="I8314">
        <v>1.1499999999999999</v>
      </c>
      <c r="J8314">
        <v>0.15</v>
      </c>
      <c r="K8314">
        <v>1.02</v>
      </c>
      <c r="L8314">
        <v>0.93</v>
      </c>
      <c r="M8314">
        <v>0.88800000000000001</v>
      </c>
      <c r="N8314">
        <v>0.2</v>
      </c>
    </row>
    <row r="8315" spans="1:14" x14ac:dyDescent="0.25">
      <c r="A8315" t="s">
        <v>14712</v>
      </c>
      <c r="B8315" t="s">
        <v>319</v>
      </c>
      <c r="C8315" s="1" t="str">
        <f>HYPERLINK("http://www.genecards.org/cgi-bin/carddisp.pl?gene=NOL7","GeneCards")</f>
        <v>GeneCards</v>
      </c>
      <c r="D8315" s="1" t="str">
        <f>HYPERLINK("http://genome-euro.ucsc.edu/cgi-bin/hgTracks?position=202882_x_at","UCSC")</f>
        <v>UCSC</v>
      </c>
      <c r="E8315" s="1" t="str">
        <f>HYPERLINK("http://www.ncbi.nlm.nih.gov/gene/?term=NOL7","NCBI")</f>
        <v>NCBI</v>
      </c>
      <c r="F8315">
        <v>0.13</v>
      </c>
      <c r="G8315">
        <v>0.27</v>
      </c>
      <c r="H8315" s="1" t="str">
        <f>HYPERLINK("http://www.weizmann.ac.il/complex/compphys/software/geview/data/figures/202882_x_at.png","Figure")</f>
        <v>Figure</v>
      </c>
      <c r="I8315">
        <v>0.82099999999999995</v>
      </c>
      <c r="J8315">
        <v>0.47</v>
      </c>
      <c r="K8315">
        <v>1.1399999999999999</v>
      </c>
      <c r="L8315">
        <v>0.63</v>
      </c>
      <c r="M8315">
        <v>1.39</v>
      </c>
      <c r="N8315">
        <v>0.11</v>
      </c>
    </row>
    <row r="8316" spans="1:14" x14ac:dyDescent="0.25">
      <c r="A8316" t="s">
        <v>14713</v>
      </c>
      <c r="B8316" t="s">
        <v>14714</v>
      </c>
      <c r="C8316" s="1" t="str">
        <f>HYPERLINK("http://www.genecards.org/cgi-bin/carddisp.pl?gene=DDX50","GeneCards")</f>
        <v>GeneCards</v>
      </c>
      <c r="D8316" s="1" t="str">
        <f>HYPERLINK("http://genome-euro.ucsc.edu/cgi-bin/hgTracks?position=221699_s_at","UCSC")</f>
        <v>UCSC</v>
      </c>
      <c r="E8316" s="1" t="str">
        <f>HYPERLINK("http://www.ncbi.nlm.nih.gov/gene/?term=DDX50","NCBI")</f>
        <v>NCBI</v>
      </c>
      <c r="F8316">
        <v>0.13</v>
      </c>
      <c r="G8316">
        <v>0.27</v>
      </c>
      <c r="H8316" s="1" t="str">
        <f>HYPERLINK("http://www.weizmann.ac.il/complex/compphys/software/geview/data/figures/221699_s_at.png","Figure")</f>
        <v>Figure</v>
      </c>
      <c r="I8316">
        <v>0.86699999999999999</v>
      </c>
      <c r="J8316">
        <v>0.37</v>
      </c>
      <c r="K8316">
        <v>1.07</v>
      </c>
      <c r="L8316">
        <v>0.75</v>
      </c>
      <c r="M8316">
        <v>1.23</v>
      </c>
      <c r="N8316">
        <v>0.11</v>
      </c>
    </row>
    <row r="8317" spans="1:14" x14ac:dyDescent="0.25">
      <c r="A8317" t="s">
        <v>14715</v>
      </c>
      <c r="B8317" t="s">
        <v>14716</v>
      </c>
      <c r="C8317" s="1" t="str">
        <f>HYPERLINK("http://www.genecards.org/cgi-bin/carddisp.pl?gene=SGSM2","GeneCards")</f>
        <v>GeneCards</v>
      </c>
      <c r="D8317" s="1" t="str">
        <f>HYPERLINK("http://genome-euro.ucsc.edu/cgi-bin/hgTracks?position=217538_at","UCSC")</f>
        <v>UCSC</v>
      </c>
      <c r="E8317" s="1" t="str">
        <f>HYPERLINK("http://www.ncbi.nlm.nih.gov/gene/?term=SGSM2","NCBI")</f>
        <v>NCBI</v>
      </c>
      <c r="F8317">
        <v>0.13</v>
      </c>
      <c r="G8317">
        <v>0.27</v>
      </c>
      <c r="H8317" s="1" t="str">
        <f>HYPERLINK("http://www.weizmann.ac.il/complex/compphys/software/geview/data/figures/217538_at.png","Figure")</f>
        <v>Figure</v>
      </c>
      <c r="I8317">
        <v>0.90100000000000002</v>
      </c>
      <c r="J8317">
        <v>0.3</v>
      </c>
      <c r="K8317">
        <v>0.88400000000000001</v>
      </c>
      <c r="L8317">
        <v>0.13</v>
      </c>
      <c r="M8317">
        <v>0.98</v>
      </c>
      <c r="N8317">
        <v>0.95</v>
      </c>
    </row>
    <row r="8318" spans="1:14" x14ac:dyDescent="0.25">
      <c r="A8318" t="s">
        <v>14717</v>
      </c>
      <c r="B8318" t="s">
        <v>14718</v>
      </c>
      <c r="C8318" s="1" t="str">
        <f>HYPERLINK("http://www.genecards.org/cgi-bin/carddisp.pl?gene=CDC27","GeneCards")</f>
        <v>GeneCards</v>
      </c>
      <c r="D8318" s="1" t="str">
        <f>HYPERLINK("http://genome-euro.ucsc.edu/cgi-bin/hgTracks?position=217879_at","UCSC")</f>
        <v>UCSC</v>
      </c>
      <c r="E8318" s="1" t="str">
        <f>HYPERLINK("http://www.ncbi.nlm.nih.gov/gene/?term=CDC27","NCBI")</f>
        <v>NCBI</v>
      </c>
      <c r="F8318">
        <v>0.13</v>
      </c>
      <c r="G8318">
        <v>0.27</v>
      </c>
      <c r="H8318" s="1" t="str">
        <f>HYPERLINK("http://www.weizmann.ac.il/complex/compphys/software/geview/data/figures/217879_at.png","Figure")</f>
        <v>Figure</v>
      </c>
      <c r="I8318">
        <v>0.90600000000000003</v>
      </c>
      <c r="J8318">
        <v>0.85</v>
      </c>
      <c r="K8318">
        <v>1.28</v>
      </c>
      <c r="L8318">
        <v>0.31</v>
      </c>
      <c r="M8318">
        <v>1.41</v>
      </c>
      <c r="N8318">
        <v>0.15</v>
      </c>
    </row>
    <row r="8319" spans="1:14" x14ac:dyDescent="0.25">
      <c r="A8319" t="s">
        <v>14719</v>
      </c>
      <c r="B8319" t="s">
        <v>6495</v>
      </c>
      <c r="C8319" s="1" t="str">
        <f>HYPERLINK("http://www.genecards.org/cgi-bin/carddisp.pl?gene=MYCBP","GeneCards")</f>
        <v>GeneCards</v>
      </c>
      <c r="D8319" s="1" t="str">
        <f>HYPERLINK("http://genome-euro.ucsc.edu/cgi-bin/hgTracks?position=203361_s_at","UCSC")</f>
        <v>UCSC</v>
      </c>
      <c r="E8319" s="1" t="str">
        <f>HYPERLINK("http://www.ncbi.nlm.nih.gov/gene/?term=MYCBP","NCBI")</f>
        <v>NCBI</v>
      </c>
      <c r="F8319">
        <v>0.13</v>
      </c>
      <c r="G8319">
        <v>0.27</v>
      </c>
      <c r="H8319" s="1" t="str">
        <f>HYPERLINK("http://www.weizmann.ac.il/complex/compphys/software/geview/data/figures/203361_s_at.png","Figure")</f>
        <v>Figure</v>
      </c>
      <c r="I8319">
        <v>1.18</v>
      </c>
      <c r="J8319">
        <v>0.2</v>
      </c>
      <c r="K8319">
        <v>0.99299999999999999</v>
      </c>
      <c r="L8319">
        <v>1</v>
      </c>
      <c r="M8319">
        <v>0.84399999999999997</v>
      </c>
      <c r="N8319">
        <v>0.14000000000000001</v>
      </c>
    </row>
    <row r="8320" spans="1:14" x14ac:dyDescent="0.25">
      <c r="A8320" t="s">
        <v>14720</v>
      </c>
      <c r="B8320" t="s">
        <v>14721</v>
      </c>
      <c r="C8320" s="1" t="str">
        <f>HYPERLINK("http://www.genecards.org/cgi-bin/carddisp.pl?gene=SLC26A1","GeneCards")</f>
        <v>GeneCards</v>
      </c>
      <c r="D8320" s="1" t="str">
        <f>HYPERLINK("http://genome-euro.ucsc.edu/cgi-bin/hgTracks?position=205058_at","UCSC")</f>
        <v>UCSC</v>
      </c>
      <c r="E8320" s="1" t="str">
        <f>HYPERLINK("http://www.ncbi.nlm.nih.gov/gene/?term=SLC26A1","NCBI")</f>
        <v>NCBI</v>
      </c>
      <c r="F8320">
        <v>0.13</v>
      </c>
      <c r="G8320">
        <v>0.27</v>
      </c>
      <c r="H8320" s="1" t="str">
        <f>HYPERLINK("http://www.weizmann.ac.il/complex/compphys/software/geview/data/figures/205058_at.png","Figure")</f>
        <v>Figure</v>
      </c>
      <c r="I8320">
        <v>1.1200000000000001</v>
      </c>
      <c r="J8320">
        <v>0.11</v>
      </c>
      <c r="K8320">
        <v>1.06</v>
      </c>
      <c r="L8320">
        <v>0.46</v>
      </c>
      <c r="M8320">
        <v>0.94399999999999995</v>
      </c>
      <c r="N8320">
        <v>0.49</v>
      </c>
    </row>
    <row r="8321" spans="1:14" x14ac:dyDescent="0.25">
      <c r="A8321" t="s">
        <v>14722</v>
      </c>
      <c r="B8321" t="s">
        <v>14723</v>
      </c>
      <c r="C8321" s="1" t="str">
        <f>HYPERLINK("http://www.genecards.org/cgi-bin/carddisp.pl?gene=GPR137","GeneCards")</f>
        <v>GeneCards</v>
      </c>
      <c r="D8321" s="1" t="str">
        <f>HYPERLINK("http://genome-euro.ucsc.edu/cgi-bin/hgTracks?position=43934_at","UCSC")</f>
        <v>UCSC</v>
      </c>
      <c r="E8321" s="1" t="str">
        <f>HYPERLINK("http://www.ncbi.nlm.nih.gov/gene/?term=GPR137","NCBI")</f>
        <v>NCBI</v>
      </c>
      <c r="F8321">
        <v>0.13</v>
      </c>
      <c r="G8321">
        <v>0.27</v>
      </c>
      <c r="H8321" s="1" t="str">
        <f>HYPERLINK("http://www.weizmann.ac.il/complex/compphys/software/geview/data/figures/43934_at.png","Figure")</f>
        <v>Figure</v>
      </c>
      <c r="I8321">
        <v>1.25</v>
      </c>
      <c r="J8321">
        <v>0.12</v>
      </c>
      <c r="K8321">
        <v>1.0900000000000001</v>
      </c>
      <c r="L8321">
        <v>0.65</v>
      </c>
      <c r="M8321">
        <v>0.86599999999999999</v>
      </c>
      <c r="N8321">
        <v>0.34</v>
      </c>
    </row>
    <row r="8322" spans="1:14" x14ac:dyDescent="0.25">
      <c r="A8322" t="s">
        <v>14724</v>
      </c>
      <c r="B8322" t="s">
        <v>14725</v>
      </c>
      <c r="C8322" s="1" t="str">
        <f>HYPERLINK("http://www.genecards.org/cgi-bin/carddisp.pl?gene=MPI","GeneCards")</f>
        <v>GeneCards</v>
      </c>
      <c r="D8322" s="1" t="str">
        <f>HYPERLINK("http://genome-euro.ucsc.edu/cgi-bin/hgTracks?position=202472_at","UCSC")</f>
        <v>UCSC</v>
      </c>
      <c r="E8322" s="1" t="str">
        <f>HYPERLINK("http://www.ncbi.nlm.nih.gov/gene/?term=MPI","NCBI")</f>
        <v>NCBI</v>
      </c>
      <c r="F8322">
        <v>0.13</v>
      </c>
      <c r="G8322">
        <v>0.27</v>
      </c>
      <c r="H8322" s="1" t="str">
        <f>HYPERLINK("http://www.weizmann.ac.il/complex/compphys/software/geview/data/figures/202472_at.png","Figure")</f>
        <v>Figure</v>
      </c>
      <c r="I8322">
        <v>1.02</v>
      </c>
      <c r="J8322">
        <v>0.98</v>
      </c>
      <c r="K8322">
        <v>1.22</v>
      </c>
      <c r="L8322">
        <v>0.16</v>
      </c>
      <c r="M8322">
        <v>1.19</v>
      </c>
      <c r="N8322">
        <v>0.27</v>
      </c>
    </row>
    <row r="8323" spans="1:14" x14ac:dyDescent="0.25">
      <c r="A8323" t="s">
        <v>14726</v>
      </c>
      <c r="B8323" t="s">
        <v>5673</v>
      </c>
      <c r="C8323" s="1" t="str">
        <f>HYPERLINK("http://www.genecards.org/cgi-bin/carddisp.pl?gene=RUFY3","GeneCards")</f>
        <v>GeneCards</v>
      </c>
      <c r="D8323" s="1" t="str">
        <f>HYPERLINK("http://genome-euro.ucsc.edu/cgi-bin/hgTracks?position=213939_s_at","UCSC")</f>
        <v>UCSC</v>
      </c>
      <c r="E8323" s="1" t="str">
        <f>HYPERLINK("http://www.ncbi.nlm.nih.gov/gene/?term=RUFY3","NCBI")</f>
        <v>NCBI</v>
      </c>
      <c r="F8323">
        <v>0.13</v>
      </c>
      <c r="G8323">
        <v>0.27</v>
      </c>
      <c r="H8323" s="1" t="str">
        <f>HYPERLINK("http://www.weizmann.ac.il/complex/compphys/software/geview/data/figures/213939_s_at.png","Figure")</f>
        <v>Figure</v>
      </c>
      <c r="I8323">
        <v>1.1200000000000001</v>
      </c>
      <c r="J8323">
        <v>0.93</v>
      </c>
      <c r="K8323">
        <v>0.624</v>
      </c>
      <c r="L8323">
        <v>0.26</v>
      </c>
      <c r="M8323">
        <v>0.55500000000000005</v>
      </c>
      <c r="N8323">
        <v>0.17</v>
      </c>
    </row>
    <row r="8324" spans="1:14" x14ac:dyDescent="0.25">
      <c r="A8324" t="s">
        <v>14727</v>
      </c>
      <c r="B8324" t="s">
        <v>4871</v>
      </c>
      <c r="C8324" s="1" t="str">
        <f>HYPERLINK("http://www.genecards.org/cgi-bin/carddisp.pl?gene=YIPF2","GeneCards")</f>
        <v>GeneCards</v>
      </c>
      <c r="D8324" s="1" t="str">
        <f>HYPERLINK("http://genome-euro.ucsc.edu/cgi-bin/hgTracks?position=65086_at","UCSC")</f>
        <v>UCSC</v>
      </c>
      <c r="E8324" s="1" t="str">
        <f>HYPERLINK("http://www.ncbi.nlm.nih.gov/gene/?term=YIPF2","NCBI")</f>
        <v>NCBI</v>
      </c>
      <c r="F8324">
        <v>0.13</v>
      </c>
      <c r="G8324">
        <v>0.27</v>
      </c>
      <c r="H8324" s="1" t="str">
        <f>HYPERLINK("http://www.weizmann.ac.il/complex/compphys/software/geview/data/figures/65086_at.png","Figure")</f>
        <v>Figure</v>
      </c>
      <c r="I8324">
        <v>1.25</v>
      </c>
      <c r="J8324">
        <v>0.12</v>
      </c>
      <c r="K8324">
        <v>1.08</v>
      </c>
      <c r="L8324">
        <v>0.67</v>
      </c>
      <c r="M8324">
        <v>0.86499999999999999</v>
      </c>
      <c r="N8324">
        <v>0.32</v>
      </c>
    </row>
    <row r="8325" spans="1:14" x14ac:dyDescent="0.25">
      <c r="A8325" t="s">
        <v>14728</v>
      </c>
      <c r="B8325" t="s">
        <v>13875</v>
      </c>
      <c r="C8325" s="1" t="str">
        <f>HYPERLINK("http://www.genecards.org/cgi-bin/carddisp.pl?gene=PRKD3","GeneCards")</f>
        <v>GeneCards</v>
      </c>
      <c r="D8325" s="1" t="str">
        <f>HYPERLINK("http://genome-euro.ucsc.edu/cgi-bin/hgTracks?position=211084_x_at","UCSC")</f>
        <v>UCSC</v>
      </c>
      <c r="E8325" s="1" t="str">
        <f>HYPERLINK("http://www.ncbi.nlm.nih.gov/gene/?term=PRKD3","NCBI")</f>
        <v>NCBI</v>
      </c>
      <c r="F8325">
        <v>0.13</v>
      </c>
      <c r="G8325">
        <v>0.27</v>
      </c>
      <c r="H8325" s="1" t="str">
        <f>HYPERLINK("http://www.weizmann.ac.il/complex/compphys/software/geview/data/figures/211084_x_at.png","Figure")</f>
        <v>Figure</v>
      </c>
      <c r="I8325">
        <v>0.80700000000000005</v>
      </c>
      <c r="J8325">
        <v>0.46</v>
      </c>
      <c r="K8325">
        <v>0.71899999999999997</v>
      </c>
      <c r="L8325">
        <v>0.12</v>
      </c>
      <c r="M8325">
        <v>0.89100000000000001</v>
      </c>
      <c r="N8325">
        <v>0.76</v>
      </c>
    </row>
    <row r="8326" spans="1:14" x14ac:dyDescent="0.25">
      <c r="A8326" t="s">
        <v>14729</v>
      </c>
      <c r="B8326" t="s">
        <v>14730</v>
      </c>
      <c r="C8326" s="1" t="str">
        <f>HYPERLINK("http://www.genecards.org/cgi-bin/carddisp.pl?gene=NSUN5B","GeneCards")</f>
        <v>GeneCards</v>
      </c>
      <c r="D8326" s="1" t="str">
        <f>HYPERLINK("http://genome-euro.ucsc.edu/cgi-bin/hgTracks?position=214100_x_at","UCSC")</f>
        <v>UCSC</v>
      </c>
      <c r="E8326" s="1" t="str">
        <f>HYPERLINK("http://www.ncbi.nlm.nih.gov/gene/?term=NSUN5B","NCBI")</f>
        <v>NCBI</v>
      </c>
      <c r="F8326">
        <v>0.13</v>
      </c>
      <c r="G8326">
        <v>0.27</v>
      </c>
      <c r="H8326" s="1" t="str">
        <f>HYPERLINK("http://www.weizmann.ac.il/complex/compphys/software/geview/data/figures/214100_x_at.png","Figure")</f>
        <v>Figure</v>
      </c>
      <c r="I8326">
        <v>1.48</v>
      </c>
      <c r="J8326">
        <v>0.26</v>
      </c>
      <c r="K8326">
        <v>1.53</v>
      </c>
      <c r="L8326">
        <v>0.14000000000000001</v>
      </c>
      <c r="M8326">
        <v>1.03</v>
      </c>
      <c r="N8326">
        <v>0.99</v>
      </c>
    </row>
    <row r="8327" spans="1:14" x14ac:dyDescent="0.25">
      <c r="A8327" t="s">
        <v>14731</v>
      </c>
      <c r="B8327" t="s">
        <v>14732</v>
      </c>
      <c r="C8327" s="1" t="str">
        <f>HYPERLINK("http://www.genecards.org/cgi-bin/carddisp.pl?gene=CTNNBIP1","GeneCards")</f>
        <v>GeneCards</v>
      </c>
      <c r="D8327" s="1" t="str">
        <f>HYPERLINK("http://genome-euro.ucsc.edu/cgi-bin/hgTracks?position=203081_at","UCSC")</f>
        <v>UCSC</v>
      </c>
      <c r="E8327" s="1" t="str">
        <f>HYPERLINK("http://www.ncbi.nlm.nih.gov/gene/?term=CTNNBIP1","NCBI")</f>
        <v>NCBI</v>
      </c>
      <c r="F8327">
        <v>0.13</v>
      </c>
      <c r="G8327">
        <v>0.27</v>
      </c>
      <c r="H8327" s="1" t="str">
        <f>HYPERLINK("http://www.weizmann.ac.il/complex/compphys/software/geview/data/figures/203081_at.png","Figure")</f>
        <v>Figure</v>
      </c>
      <c r="I8327">
        <v>1.22</v>
      </c>
      <c r="J8327">
        <v>0.16</v>
      </c>
      <c r="K8327">
        <v>1.17</v>
      </c>
      <c r="L8327">
        <v>0.22</v>
      </c>
      <c r="M8327">
        <v>0.95699999999999996</v>
      </c>
      <c r="N8327">
        <v>0.89</v>
      </c>
    </row>
    <row r="8328" spans="1:14" x14ac:dyDescent="0.25">
      <c r="A8328" t="s">
        <v>14733</v>
      </c>
      <c r="B8328" t="s">
        <v>14734</v>
      </c>
      <c r="C8328" s="1" t="str">
        <f>HYPERLINK("http://www.genecards.org/cgi-bin/carddisp.pl?gene=GABRB2","GeneCards")</f>
        <v>GeneCards</v>
      </c>
      <c r="D8328" s="1" t="str">
        <f>HYPERLINK("http://genome-euro.ucsc.edu/cgi-bin/hgTracks?position=207352_s_at","UCSC")</f>
        <v>UCSC</v>
      </c>
      <c r="E8328" s="1" t="str">
        <f>HYPERLINK("http://www.ncbi.nlm.nih.gov/gene/?term=GABRB2","NCBI")</f>
        <v>NCBI</v>
      </c>
      <c r="F8328">
        <v>0.13</v>
      </c>
      <c r="G8328">
        <v>0.27</v>
      </c>
      <c r="H8328" s="1" t="str">
        <f>HYPERLINK("http://www.weizmann.ac.il/complex/compphys/software/geview/data/figures/207352_s_at.png","Figure")</f>
        <v>Figure</v>
      </c>
      <c r="I8328">
        <v>1.1299999999999999</v>
      </c>
      <c r="J8328">
        <v>0.44</v>
      </c>
      <c r="K8328">
        <v>0.92800000000000005</v>
      </c>
      <c r="L8328">
        <v>0.66</v>
      </c>
      <c r="M8328">
        <v>0.82</v>
      </c>
      <c r="N8328">
        <v>0.11</v>
      </c>
    </row>
    <row r="8329" spans="1:14" x14ac:dyDescent="0.25">
      <c r="A8329" t="s">
        <v>14735</v>
      </c>
      <c r="B8329" t="s">
        <v>14736</v>
      </c>
      <c r="C8329" s="1" t="str">
        <f>HYPERLINK("http://www.genecards.org/cgi-bin/carddisp.pl?gene=LNPEP","GeneCards")</f>
        <v>GeneCards</v>
      </c>
      <c r="D8329" s="1" t="str">
        <f>HYPERLINK("http://genome-euro.ucsc.edu/cgi-bin/hgTracks?position=207904_s_at","UCSC")</f>
        <v>UCSC</v>
      </c>
      <c r="E8329" s="1" t="str">
        <f>HYPERLINK("http://www.ncbi.nlm.nih.gov/gene/?term=LNPEP","NCBI")</f>
        <v>NCBI</v>
      </c>
      <c r="F8329">
        <v>0.13</v>
      </c>
      <c r="G8329">
        <v>0.27</v>
      </c>
      <c r="H8329" s="1" t="str">
        <f>HYPERLINK("http://www.weizmann.ac.il/complex/compphys/software/geview/data/figures/207904_s_at.png","Figure")</f>
        <v>Figure</v>
      </c>
      <c r="I8329">
        <v>1.03</v>
      </c>
      <c r="J8329">
        <v>0.23</v>
      </c>
      <c r="K8329">
        <v>1.03</v>
      </c>
      <c r="L8329">
        <v>0.15</v>
      </c>
      <c r="M8329">
        <v>1</v>
      </c>
      <c r="N8329">
        <v>1</v>
      </c>
    </row>
    <row r="8330" spans="1:14" x14ac:dyDescent="0.25">
      <c r="A8330" t="s">
        <v>14737</v>
      </c>
      <c r="B8330" t="s">
        <v>10758</v>
      </c>
      <c r="C8330" s="1" t="str">
        <f>HYPERLINK("http://www.genecards.org/cgi-bin/carddisp.pl?gene=SFRS1","GeneCards")</f>
        <v>GeneCards</v>
      </c>
      <c r="D8330" s="1" t="str">
        <f>HYPERLINK("http://genome-euro.ucsc.edu/cgi-bin/hgTracks?position=208863_s_at","UCSC")</f>
        <v>UCSC</v>
      </c>
      <c r="E8330" s="1" t="str">
        <f>HYPERLINK("http://www.ncbi.nlm.nih.gov/gene/?term=SFRS1","NCBI")</f>
        <v>NCBI</v>
      </c>
      <c r="F8330">
        <v>0.13</v>
      </c>
      <c r="G8330">
        <v>0.27</v>
      </c>
      <c r="H8330" s="1" t="str">
        <f>HYPERLINK("http://www.weizmann.ac.il/complex/compphys/software/geview/data/figures/208863_s_at.png","Figure")</f>
        <v>Figure</v>
      </c>
      <c r="I8330">
        <v>1.1100000000000001</v>
      </c>
      <c r="J8330">
        <v>0.9</v>
      </c>
      <c r="K8330">
        <v>1.54</v>
      </c>
      <c r="L8330">
        <v>0.14000000000000001</v>
      </c>
      <c r="M8330">
        <v>1.38</v>
      </c>
      <c r="N8330">
        <v>0.35</v>
      </c>
    </row>
    <row r="8331" spans="1:14" x14ac:dyDescent="0.25">
      <c r="A8331" t="s">
        <v>14738</v>
      </c>
      <c r="B8331" t="s">
        <v>14739</v>
      </c>
      <c r="C8331" s="1" t="str">
        <f>HYPERLINK("http://www.genecards.org/cgi-bin/carddisp.pl?gene=GRM4","GeneCards")</f>
        <v>GeneCards</v>
      </c>
      <c r="D8331" s="1" t="str">
        <f>HYPERLINK("http://genome-euro.ucsc.edu/cgi-bin/hgTracks?position=210234_at","UCSC")</f>
        <v>UCSC</v>
      </c>
      <c r="E8331" s="1" t="str">
        <f>HYPERLINK("http://www.ncbi.nlm.nih.gov/gene/?term=GRM4","NCBI")</f>
        <v>NCBI</v>
      </c>
      <c r="F8331">
        <v>0.13</v>
      </c>
      <c r="G8331">
        <v>0.27</v>
      </c>
      <c r="H8331" s="1" t="str">
        <f>HYPERLINK("http://www.weizmann.ac.il/complex/compphys/software/geview/data/figures/210234_at.png","Figure")</f>
        <v>Figure</v>
      </c>
      <c r="I8331">
        <v>1.25</v>
      </c>
      <c r="J8331">
        <v>0.15</v>
      </c>
      <c r="K8331">
        <v>1.03</v>
      </c>
      <c r="L8331">
        <v>0.95</v>
      </c>
      <c r="M8331">
        <v>0.82099999999999995</v>
      </c>
      <c r="N8331">
        <v>0.19</v>
      </c>
    </row>
    <row r="8332" spans="1:14" x14ac:dyDescent="0.25">
      <c r="A8332" t="s">
        <v>14740</v>
      </c>
      <c r="B8332" t="s">
        <v>13891</v>
      </c>
      <c r="C8332" s="1" t="str">
        <f>HYPERLINK("http://www.genecards.org/cgi-bin/carddisp.pl?gene=SLC29A1","GeneCards")</f>
        <v>GeneCards</v>
      </c>
      <c r="D8332" s="1" t="str">
        <f>HYPERLINK("http://genome-euro.ucsc.edu/cgi-bin/hgTracks?position=201802_at","UCSC")</f>
        <v>UCSC</v>
      </c>
      <c r="E8332" s="1" t="str">
        <f>HYPERLINK("http://www.ncbi.nlm.nih.gov/gene/?term=SLC29A1","NCBI")</f>
        <v>NCBI</v>
      </c>
      <c r="F8332">
        <v>0.13</v>
      </c>
      <c r="G8332">
        <v>0.27</v>
      </c>
      <c r="H8332" s="1" t="str">
        <f>HYPERLINK("http://www.weizmann.ac.il/complex/compphys/software/geview/data/figures/201802_at.png","Figure")</f>
        <v>Figure</v>
      </c>
      <c r="I8332">
        <v>1.1399999999999999</v>
      </c>
      <c r="J8332">
        <v>0.56999999999999995</v>
      </c>
      <c r="K8332">
        <v>1.27</v>
      </c>
      <c r="L8332">
        <v>0.11</v>
      </c>
      <c r="M8332">
        <v>1.1200000000000001</v>
      </c>
      <c r="N8332">
        <v>0.64</v>
      </c>
    </row>
    <row r="8333" spans="1:14" x14ac:dyDescent="0.25">
      <c r="A8333" t="s">
        <v>14741</v>
      </c>
      <c r="B8333" t="s">
        <v>14742</v>
      </c>
      <c r="C8333" s="1" t="str">
        <f>HYPERLINK("http://www.genecards.org/cgi-bin/carddisp.pl?gene=CACNA1G","GeneCards")</f>
        <v>GeneCards</v>
      </c>
      <c r="D8333" s="1" t="str">
        <f>HYPERLINK("http://genome-euro.ucsc.edu/cgi-bin/hgTracks?position=211802_x_at","UCSC")</f>
        <v>UCSC</v>
      </c>
      <c r="E8333" s="1" t="str">
        <f>HYPERLINK("http://www.ncbi.nlm.nih.gov/gene/?term=CACNA1G","NCBI")</f>
        <v>NCBI</v>
      </c>
      <c r="F8333">
        <v>0.13</v>
      </c>
      <c r="G8333">
        <v>0.27</v>
      </c>
      <c r="H8333" s="1" t="str">
        <f>HYPERLINK("http://www.weizmann.ac.il/complex/compphys/software/geview/data/figures/211802_x_at.png","Figure")</f>
        <v>Figure</v>
      </c>
      <c r="I8333">
        <v>1.19</v>
      </c>
      <c r="J8333">
        <v>0.14000000000000001</v>
      </c>
      <c r="K8333">
        <v>1.03</v>
      </c>
      <c r="L8333">
        <v>0.91</v>
      </c>
      <c r="M8333">
        <v>0.86699999999999999</v>
      </c>
      <c r="N8333">
        <v>0.21</v>
      </c>
    </row>
    <row r="8334" spans="1:14" x14ac:dyDescent="0.25">
      <c r="A8334" t="s">
        <v>14743</v>
      </c>
      <c r="B8334" t="s">
        <v>14744</v>
      </c>
      <c r="C8334" s="1" t="str">
        <f>HYPERLINK("http://www.genecards.org/cgi-bin/carddisp.pl?gene=CCDC87","GeneCards")</f>
        <v>GeneCards</v>
      </c>
      <c r="D8334" s="1" t="str">
        <f>HYPERLINK("http://genome-euro.ucsc.edu/cgi-bin/hgTracks?position=219887_at","UCSC")</f>
        <v>UCSC</v>
      </c>
      <c r="E8334" s="1" t="str">
        <f>HYPERLINK("http://www.ncbi.nlm.nih.gov/gene/?term=CCDC87","NCBI")</f>
        <v>NCBI</v>
      </c>
      <c r="F8334">
        <v>0.13</v>
      </c>
      <c r="G8334">
        <v>0.27</v>
      </c>
      <c r="H8334" s="1" t="str">
        <f>HYPERLINK("http://www.weizmann.ac.il/complex/compphys/software/geview/data/figures/219887_at.png","Figure")</f>
        <v>Figure</v>
      </c>
      <c r="I8334">
        <v>1.23</v>
      </c>
      <c r="J8334">
        <v>0.12</v>
      </c>
      <c r="K8334">
        <v>1.08</v>
      </c>
      <c r="L8334">
        <v>0.62</v>
      </c>
      <c r="M8334">
        <v>0.878</v>
      </c>
      <c r="N8334">
        <v>0.36</v>
      </c>
    </row>
    <row r="8335" spans="1:14" x14ac:dyDescent="0.25">
      <c r="A8335" t="s">
        <v>14745</v>
      </c>
      <c r="B8335" t="s">
        <v>14746</v>
      </c>
      <c r="C8335" s="1" t="str">
        <f>HYPERLINK("http://www.genecards.org/cgi-bin/carddisp.pl?gene=ADCK2","GeneCards")</f>
        <v>GeneCards</v>
      </c>
      <c r="D8335" s="1" t="str">
        <f>HYPERLINK("http://genome-euro.ucsc.edu/cgi-bin/hgTracks?position=221893_s_at","UCSC")</f>
        <v>UCSC</v>
      </c>
      <c r="E8335" s="1" t="str">
        <f>HYPERLINK("http://www.ncbi.nlm.nih.gov/gene/?term=ADCK2","NCBI")</f>
        <v>NCBI</v>
      </c>
      <c r="F8335">
        <v>0.13</v>
      </c>
      <c r="G8335">
        <v>0.27</v>
      </c>
      <c r="H8335" s="1" t="str">
        <f>HYPERLINK("http://www.weizmann.ac.il/complex/compphys/software/geview/data/figures/221893_s_at.png","Figure")</f>
        <v>Figure</v>
      </c>
      <c r="I8335">
        <v>0.89200000000000002</v>
      </c>
      <c r="J8335">
        <v>0.16</v>
      </c>
      <c r="K8335">
        <v>0.99</v>
      </c>
      <c r="L8335">
        <v>0.98</v>
      </c>
      <c r="M8335">
        <v>1.1100000000000001</v>
      </c>
      <c r="N8335">
        <v>0.18</v>
      </c>
    </row>
    <row r="8336" spans="1:14" x14ac:dyDescent="0.25">
      <c r="A8336" t="s">
        <v>14747</v>
      </c>
      <c r="B8336" t="s">
        <v>12508</v>
      </c>
      <c r="C8336" s="1" t="str">
        <f>HYPERLINK("http://www.genecards.org/cgi-bin/carddisp.pl?gene=TPMT","GeneCards")</f>
        <v>GeneCards</v>
      </c>
      <c r="D8336" s="1" t="str">
        <f>HYPERLINK("http://genome-euro.ucsc.edu/cgi-bin/hgTracks?position=203672_x_at","UCSC")</f>
        <v>UCSC</v>
      </c>
      <c r="E8336" s="1" t="str">
        <f>HYPERLINK("http://www.ncbi.nlm.nih.gov/gene/?term=TPMT","NCBI")</f>
        <v>NCBI</v>
      </c>
      <c r="F8336">
        <v>0.13</v>
      </c>
      <c r="G8336">
        <v>0.27</v>
      </c>
      <c r="H8336" s="1" t="str">
        <f>HYPERLINK("http://www.weizmann.ac.il/complex/compphys/software/geview/data/figures/203672_x_at.png","Figure")</f>
        <v>Figure</v>
      </c>
      <c r="I8336">
        <v>1.07</v>
      </c>
      <c r="J8336">
        <v>0.57999999999999996</v>
      </c>
      <c r="K8336">
        <v>1.1299999999999999</v>
      </c>
      <c r="L8336">
        <v>0.12</v>
      </c>
      <c r="M8336">
        <v>1.06</v>
      </c>
      <c r="N8336">
        <v>0.63</v>
      </c>
    </row>
    <row r="8337" spans="1:14" x14ac:dyDescent="0.25">
      <c r="A8337" t="s">
        <v>14748</v>
      </c>
      <c r="B8337" t="s">
        <v>14749</v>
      </c>
      <c r="C8337" s="1" t="str">
        <f>HYPERLINK("http://www.genecards.org/cgi-bin/carddisp.pl?gene=GPR125","GeneCards")</f>
        <v>GeneCards</v>
      </c>
      <c r="D8337" s="1" t="str">
        <f>HYPERLINK("http://genome-euro.ucsc.edu/cgi-bin/hgTracks?position=210473_s_at","UCSC")</f>
        <v>UCSC</v>
      </c>
      <c r="E8337" s="1" t="str">
        <f>HYPERLINK("http://www.ncbi.nlm.nih.gov/gene/?term=GPR125","NCBI")</f>
        <v>NCBI</v>
      </c>
      <c r="F8337">
        <v>0.13</v>
      </c>
      <c r="G8337">
        <v>0.27</v>
      </c>
      <c r="H8337" s="1" t="str">
        <f>HYPERLINK("http://www.weizmann.ac.il/complex/compphys/software/geview/data/figures/210473_s_at.png","Figure")</f>
        <v>Figure</v>
      </c>
      <c r="I8337">
        <v>0.78</v>
      </c>
      <c r="J8337">
        <v>0.75</v>
      </c>
      <c r="K8337">
        <v>0.53200000000000003</v>
      </c>
      <c r="L8337">
        <v>0.12</v>
      </c>
      <c r="M8337">
        <v>0.68300000000000005</v>
      </c>
      <c r="N8337">
        <v>0.47</v>
      </c>
    </row>
    <row r="8338" spans="1:14" x14ac:dyDescent="0.25">
      <c r="A8338" t="s">
        <v>14750</v>
      </c>
      <c r="B8338" t="s">
        <v>2500</v>
      </c>
      <c r="C8338" s="1" t="str">
        <f>HYPERLINK("http://www.genecards.org/cgi-bin/carddisp.pl?gene=WDR77","GeneCards")</f>
        <v>GeneCards</v>
      </c>
      <c r="D8338" s="1" t="str">
        <f>HYPERLINK("http://genome-euro.ucsc.edu/cgi-bin/hgTracks?position=201421_s_at","UCSC")</f>
        <v>UCSC</v>
      </c>
      <c r="E8338" s="1" t="str">
        <f>HYPERLINK("http://www.ncbi.nlm.nih.gov/gene/?term=WDR77","NCBI")</f>
        <v>NCBI</v>
      </c>
      <c r="F8338">
        <v>0.13</v>
      </c>
      <c r="G8338">
        <v>0.28000000000000003</v>
      </c>
      <c r="H8338" s="1" t="str">
        <f>HYPERLINK("http://www.weizmann.ac.il/complex/compphys/software/geview/data/figures/201421_s_at.png","Figure")</f>
        <v>Figure</v>
      </c>
      <c r="I8338">
        <v>1.21</v>
      </c>
      <c r="J8338">
        <v>0.4</v>
      </c>
      <c r="K8338">
        <v>1.31</v>
      </c>
      <c r="L8338">
        <v>0.12</v>
      </c>
      <c r="M8338">
        <v>1.08</v>
      </c>
      <c r="N8338">
        <v>0.83</v>
      </c>
    </row>
    <row r="8339" spans="1:14" x14ac:dyDescent="0.25">
      <c r="A8339" t="s">
        <v>14751</v>
      </c>
      <c r="B8339" t="s">
        <v>14752</v>
      </c>
      <c r="C8339" s="1" t="str">
        <f>HYPERLINK("http://www.genecards.org/cgi-bin/carddisp.pl?gene=TXNL4B","GeneCards")</f>
        <v>GeneCards</v>
      </c>
      <c r="D8339" s="1" t="str">
        <f>HYPERLINK("http://genome-euro.ucsc.edu/cgi-bin/hgTracks?position=218794_s_at","UCSC")</f>
        <v>UCSC</v>
      </c>
      <c r="E8339" s="1" t="str">
        <f>HYPERLINK("http://www.ncbi.nlm.nih.gov/gene/?term=TXNL4B","NCBI")</f>
        <v>NCBI</v>
      </c>
      <c r="F8339">
        <v>0.13</v>
      </c>
      <c r="G8339">
        <v>0.28000000000000003</v>
      </c>
      <c r="H8339" s="1" t="str">
        <f>HYPERLINK("http://www.weizmann.ac.il/complex/compphys/software/geview/data/figures/218794_s_at.png","Figure")</f>
        <v>Figure</v>
      </c>
      <c r="I8339">
        <v>1.24</v>
      </c>
      <c r="J8339">
        <v>0.12</v>
      </c>
      <c r="K8339">
        <v>1.07</v>
      </c>
      <c r="L8339">
        <v>0.73</v>
      </c>
      <c r="M8339">
        <v>0.86099999999999999</v>
      </c>
      <c r="N8339">
        <v>0.28999999999999998</v>
      </c>
    </row>
    <row r="8340" spans="1:14" x14ac:dyDescent="0.25">
      <c r="A8340" t="s">
        <v>14753</v>
      </c>
      <c r="B8340" t="s">
        <v>6136</v>
      </c>
      <c r="C8340" s="1" t="str">
        <f>HYPERLINK("http://www.genecards.org/cgi-bin/carddisp.pl?gene=CYB561","GeneCards")</f>
        <v>GeneCards</v>
      </c>
      <c r="D8340" s="1" t="str">
        <f>HYPERLINK("http://genome-euro.ucsc.edu/cgi-bin/hgTracks?position=209163_at","UCSC")</f>
        <v>UCSC</v>
      </c>
      <c r="E8340" s="1" t="str">
        <f>HYPERLINK("http://www.ncbi.nlm.nih.gov/gene/?term=CYB561","NCBI")</f>
        <v>NCBI</v>
      </c>
      <c r="F8340">
        <v>0.13</v>
      </c>
      <c r="G8340">
        <v>0.28000000000000003</v>
      </c>
      <c r="H8340" s="1" t="str">
        <f>HYPERLINK("http://www.weizmann.ac.il/complex/compphys/software/geview/data/figures/209163_at.png","Figure")</f>
        <v>Figure</v>
      </c>
      <c r="I8340">
        <v>0.67200000000000004</v>
      </c>
      <c r="J8340">
        <v>0.13</v>
      </c>
      <c r="K8340">
        <v>0.91800000000000004</v>
      </c>
      <c r="L8340">
        <v>0.87</v>
      </c>
      <c r="M8340">
        <v>1.37</v>
      </c>
      <c r="N8340">
        <v>0.23</v>
      </c>
    </row>
    <row r="8341" spans="1:14" x14ac:dyDescent="0.25">
      <c r="A8341" t="s">
        <v>14754</v>
      </c>
      <c r="B8341" t="s">
        <v>14755</v>
      </c>
      <c r="C8341" s="1" t="str">
        <f>HYPERLINK("http://www.genecards.org/cgi-bin/carddisp.pl?gene=GRIK2","GeneCards")</f>
        <v>GeneCards</v>
      </c>
      <c r="D8341" s="1" t="str">
        <f>HYPERLINK("http://genome-euro.ucsc.edu/cgi-bin/hgTracks?position=213845_at","UCSC")</f>
        <v>UCSC</v>
      </c>
      <c r="E8341" s="1" t="str">
        <f>HYPERLINK("http://www.ncbi.nlm.nih.gov/gene/?term=GRIK2","NCBI")</f>
        <v>NCBI</v>
      </c>
      <c r="F8341">
        <v>0.13</v>
      </c>
      <c r="G8341">
        <v>0.28000000000000003</v>
      </c>
      <c r="H8341" s="1" t="str">
        <f>HYPERLINK("http://www.weizmann.ac.il/complex/compphys/software/geview/data/figures/213845_at.png","Figure")</f>
        <v>Figure</v>
      </c>
      <c r="I8341">
        <v>1.1599999999999999</v>
      </c>
      <c r="J8341">
        <v>0.13</v>
      </c>
      <c r="K8341">
        <v>1.1000000000000001</v>
      </c>
      <c r="L8341">
        <v>0.31</v>
      </c>
      <c r="M8341">
        <v>0.94799999999999995</v>
      </c>
      <c r="N8341">
        <v>0.7</v>
      </c>
    </row>
    <row r="8342" spans="1:14" x14ac:dyDescent="0.25">
      <c r="A8342" t="s">
        <v>14756</v>
      </c>
      <c r="B8342" t="s">
        <v>4438</v>
      </c>
      <c r="C8342" s="1" t="str">
        <f>HYPERLINK("http://www.genecards.org/cgi-bin/carddisp.pl?gene=GALNT10","GeneCards")</f>
        <v>GeneCards</v>
      </c>
      <c r="D8342" s="1" t="str">
        <f>HYPERLINK("http://genome-euro.ucsc.edu/cgi-bin/hgTracks?position=212256_at","UCSC")</f>
        <v>UCSC</v>
      </c>
      <c r="E8342" s="1" t="str">
        <f>HYPERLINK("http://www.ncbi.nlm.nih.gov/gene/?term=GALNT10","NCBI")</f>
        <v>NCBI</v>
      </c>
      <c r="F8342">
        <v>0.14000000000000001</v>
      </c>
      <c r="G8342">
        <v>0.28000000000000003</v>
      </c>
      <c r="H8342" s="1" t="str">
        <f>HYPERLINK("http://www.weizmann.ac.il/complex/compphys/software/geview/data/figures/212256_at.png","Figure")</f>
        <v>Figure</v>
      </c>
      <c r="I8342">
        <v>1.08</v>
      </c>
      <c r="J8342">
        <v>0.63</v>
      </c>
      <c r="K8342">
        <v>1.17</v>
      </c>
      <c r="L8342">
        <v>0.12</v>
      </c>
      <c r="M8342">
        <v>1.08</v>
      </c>
      <c r="N8342">
        <v>0.57999999999999996</v>
      </c>
    </row>
    <row r="8343" spans="1:14" x14ac:dyDescent="0.25">
      <c r="A8343" t="s">
        <v>14757</v>
      </c>
      <c r="B8343" t="s">
        <v>14758</v>
      </c>
      <c r="C8343" s="1" t="str">
        <f>HYPERLINK("http://www.genecards.org/cgi-bin/carddisp.pl?gene=SLC10A1","GeneCards")</f>
        <v>GeneCards</v>
      </c>
      <c r="D8343" s="1" t="str">
        <f>HYPERLINK("http://genome-euro.ucsc.edu/cgi-bin/hgTracks?position=207185_at","UCSC")</f>
        <v>UCSC</v>
      </c>
      <c r="E8343" s="1" t="str">
        <f>HYPERLINK("http://www.ncbi.nlm.nih.gov/gene/?term=SLC10A1","NCBI")</f>
        <v>NCBI</v>
      </c>
      <c r="F8343">
        <v>0.14000000000000001</v>
      </c>
      <c r="G8343">
        <v>0.28000000000000003</v>
      </c>
      <c r="H8343" s="1" t="str">
        <f>HYPERLINK("http://www.weizmann.ac.il/complex/compphys/software/geview/data/figures/207185_at.png","Figure")</f>
        <v>Figure</v>
      </c>
      <c r="I8343">
        <v>1.2</v>
      </c>
      <c r="J8343">
        <v>0.21</v>
      </c>
      <c r="K8343">
        <v>0.99</v>
      </c>
      <c r="L8343">
        <v>0.99</v>
      </c>
      <c r="M8343">
        <v>0.82499999999999996</v>
      </c>
      <c r="N8343">
        <v>0.14000000000000001</v>
      </c>
    </row>
    <row r="8344" spans="1:14" x14ac:dyDescent="0.25">
      <c r="A8344" t="s">
        <v>14759</v>
      </c>
      <c r="B8344" t="s">
        <v>14760</v>
      </c>
      <c r="C8344" s="1" t="str">
        <f>HYPERLINK("http://www.genecards.org/cgi-bin/carddisp.pl?gene=CALML3","GeneCards")</f>
        <v>GeneCards</v>
      </c>
      <c r="D8344" s="1" t="str">
        <f>HYPERLINK("http://genome-euro.ucsc.edu/cgi-bin/hgTracks?position=210019_at","UCSC")</f>
        <v>UCSC</v>
      </c>
      <c r="E8344" s="1" t="str">
        <f>HYPERLINK("http://www.ncbi.nlm.nih.gov/gene/?term=CALML3","NCBI")</f>
        <v>NCBI</v>
      </c>
      <c r="F8344">
        <v>0.14000000000000001</v>
      </c>
      <c r="G8344">
        <v>0.28000000000000003</v>
      </c>
      <c r="H8344" s="1" t="str">
        <f>HYPERLINK("http://www.weizmann.ac.il/complex/compphys/software/geview/data/figures/210019_at.png","Figure")</f>
        <v>Figure</v>
      </c>
      <c r="I8344">
        <v>1.1399999999999999</v>
      </c>
      <c r="J8344">
        <v>0.12</v>
      </c>
      <c r="K8344">
        <v>1.06</v>
      </c>
      <c r="L8344">
        <v>0.48</v>
      </c>
      <c r="M8344">
        <v>0.93600000000000005</v>
      </c>
      <c r="N8344">
        <v>0.47</v>
      </c>
    </row>
    <row r="8345" spans="1:14" x14ac:dyDescent="0.25">
      <c r="A8345" t="s">
        <v>14761</v>
      </c>
      <c r="B8345" t="s">
        <v>14762</v>
      </c>
      <c r="C8345" s="1" t="str">
        <f>HYPERLINK("http://www.genecards.org/cgi-bin/carddisp.pl?gene=CFL1","GeneCards")</f>
        <v>GeneCards</v>
      </c>
      <c r="D8345" s="1" t="str">
        <f>HYPERLINK("http://genome-euro.ucsc.edu/cgi-bin/hgTracks?position=200021_at","UCSC")</f>
        <v>UCSC</v>
      </c>
      <c r="E8345" s="1" t="str">
        <f>HYPERLINK("http://www.ncbi.nlm.nih.gov/gene/?term=CFL1","NCBI")</f>
        <v>NCBI</v>
      </c>
      <c r="F8345">
        <v>0.14000000000000001</v>
      </c>
      <c r="G8345">
        <v>0.28000000000000003</v>
      </c>
      <c r="H8345" s="1" t="str">
        <f>HYPERLINK("http://www.weizmann.ac.il/complex/compphys/software/geview/data/figures/200021_at.png","Figure")</f>
        <v>Figure</v>
      </c>
      <c r="I8345">
        <v>1.1499999999999999</v>
      </c>
      <c r="J8345">
        <v>0.23</v>
      </c>
      <c r="K8345">
        <v>1.1599999999999999</v>
      </c>
      <c r="L8345">
        <v>0.15</v>
      </c>
      <c r="M8345">
        <v>1</v>
      </c>
      <c r="N8345">
        <v>1</v>
      </c>
    </row>
    <row r="8346" spans="1:14" x14ac:dyDescent="0.25">
      <c r="A8346" t="s">
        <v>14763</v>
      </c>
      <c r="B8346" t="s">
        <v>12255</v>
      </c>
      <c r="C8346" s="1" t="str">
        <f>HYPERLINK("http://www.genecards.org/cgi-bin/carddisp.pl?gene=ATM","GeneCards")</f>
        <v>GeneCards</v>
      </c>
      <c r="D8346" s="1" t="str">
        <f>HYPERLINK("http://genome-euro.ucsc.edu/cgi-bin/hgTracks?position=208442_s_at","UCSC")</f>
        <v>UCSC</v>
      </c>
      <c r="E8346" s="1" t="str">
        <f>HYPERLINK("http://www.ncbi.nlm.nih.gov/gene/?term=ATM","NCBI")</f>
        <v>NCBI</v>
      </c>
      <c r="F8346">
        <v>0.14000000000000001</v>
      </c>
      <c r="G8346">
        <v>0.28000000000000003</v>
      </c>
      <c r="H8346" s="1" t="str">
        <f>HYPERLINK("http://www.weizmann.ac.il/complex/compphys/software/geview/data/figures/208442_s_at.png","Figure")</f>
        <v>Figure</v>
      </c>
      <c r="I8346">
        <v>0.60699999999999998</v>
      </c>
      <c r="J8346">
        <v>0.12</v>
      </c>
      <c r="K8346">
        <v>0.86599999999999999</v>
      </c>
      <c r="L8346">
        <v>0.77</v>
      </c>
      <c r="M8346">
        <v>1.43</v>
      </c>
      <c r="N8346">
        <v>0.27</v>
      </c>
    </row>
    <row r="8347" spans="1:14" x14ac:dyDescent="0.25">
      <c r="A8347" t="s">
        <v>14764</v>
      </c>
      <c r="B8347" t="s">
        <v>5659</v>
      </c>
      <c r="C8347" s="1" t="str">
        <f>HYPERLINK("http://www.genecards.org/cgi-bin/carddisp.pl?gene=DLG5","GeneCards")</f>
        <v>GeneCards</v>
      </c>
      <c r="D8347" s="1" t="str">
        <f>HYPERLINK("http://genome-euro.ucsc.edu/cgi-bin/hgTracks?position=210469_at","UCSC")</f>
        <v>UCSC</v>
      </c>
      <c r="E8347" s="1" t="str">
        <f>HYPERLINK("http://www.ncbi.nlm.nih.gov/gene/?term=DLG5","NCBI")</f>
        <v>NCBI</v>
      </c>
      <c r="F8347">
        <v>0.14000000000000001</v>
      </c>
      <c r="G8347">
        <v>0.28000000000000003</v>
      </c>
      <c r="H8347" s="1" t="str">
        <f>HYPERLINK("http://www.weizmann.ac.il/complex/compphys/software/geview/data/figures/210469_at.png","Figure")</f>
        <v>Figure</v>
      </c>
      <c r="I8347">
        <v>0.78800000000000003</v>
      </c>
      <c r="J8347">
        <v>0.12</v>
      </c>
      <c r="K8347">
        <v>0.90800000000000003</v>
      </c>
      <c r="L8347">
        <v>0.59</v>
      </c>
      <c r="M8347">
        <v>1.1499999999999999</v>
      </c>
      <c r="N8347">
        <v>0.38</v>
      </c>
    </row>
    <row r="8348" spans="1:14" x14ac:dyDescent="0.25">
      <c r="A8348" t="s">
        <v>14765</v>
      </c>
      <c r="B8348" t="s">
        <v>6663</v>
      </c>
      <c r="C8348" s="1" t="str">
        <f>HYPERLINK("http://www.genecards.org/cgi-bin/carddisp.pl?gene=FAM178A","GeneCards")</f>
        <v>GeneCards</v>
      </c>
      <c r="D8348" s="1" t="str">
        <f>HYPERLINK("http://genome-euro.ucsc.edu/cgi-bin/hgTracks?position=203482_at","UCSC")</f>
        <v>UCSC</v>
      </c>
      <c r="E8348" s="1" t="str">
        <f>HYPERLINK("http://www.ncbi.nlm.nih.gov/gene/?term=FAM178A","NCBI")</f>
        <v>NCBI</v>
      </c>
      <c r="F8348">
        <v>0.14000000000000001</v>
      </c>
      <c r="G8348">
        <v>0.28000000000000003</v>
      </c>
      <c r="H8348" s="1" t="str">
        <f>HYPERLINK("http://www.weizmann.ac.il/complex/compphys/software/geview/data/figures/203482_at.png","Figure")</f>
        <v>Figure</v>
      </c>
      <c r="I8348">
        <v>0.7</v>
      </c>
      <c r="J8348">
        <v>0.19</v>
      </c>
      <c r="K8348">
        <v>0.999</v>
      </c>
      <c r="L8348">
        <v>1</v>
      </c>
      <c r="M8348">
        <v>1.43</v>
      </c>
      <c r="N8348">
        <v>0.15</v>
      </c>
    </row>
    <row r="8349" spans="1:14" x14ac:dyDescent="0.25">
      <c r="A8349" t="s">
        <v>14766</v>
      </c>
      <c r="B8349" t="s">
        <v>14767</v>
      </c>
      <c r="C8349" s="1" t="str">
        <f>HYPERLINK("http://www.genecards.org/cgi-bin/carddisp.pl?gene=CACNA1C","GeneCards")</f>
        <v>GeneCards</v>
      </c>
      <c r="D8349" s="1" t="str">
        <f>HYPERLINK("http://genome-euro.ucsc.edu/cgi-bin/hgTracks?position=208020_s_at","UCSC")</f>
        <v>UCSC</v>
      </c>
      <c r="E8349" s="1" t="str">
        <f>HYPERLINK("http://www.ncbi.nlm.nih.gov/gene/?term=CACNA1C","NCBI")</f>
        <v>NCBI</v>
      </c>
      <c r="F8349">
        <v>0.14000000000000001</v>
      </c>
      <c r="G8349">
        <v>0.28000000000000003</v>
      </c>
      <c r="H8349" s="1" t="str">
        <f>HYPERLINK("http://www.weizmann.ac.il/complex/compphys/software/geview/data/figures/208020_s_at.png","Figure")</f>
        <v>Figure</v>
      </c>
      <c r="I8349">
        <v>1.24</v>
      </c>
      <c r="J8349">
        <v>0.13</v>
      </c>
      <c r="K8349">
        <v>1.1399999999999999</v>
      </c>
      <c r="L8349">
        <v>0.32</v>
      </c>
      <c r="M8349">
        <v>0.92200000000000004</v>
      </c>
      <c r="N8349">
        <v>0.68</v>
      </c>
    </row>
    <row r="8350" spans="1:14" x14ac:dyDescent="0.25">
      <c r="A8350" t="s">
        <v>14768</v>
      </c>
      <c r="B8350" t="s">
        <v>14769</v>
      </c>
      <c r="C8350" s="1" t="str">
        <f>HYPERLINK("http://www.genecards.org/cgi-bin/carddisp.pl?gene=GLRX2","GeneCards")</f>
        <v>GeneCards</v>
      </c>
      <c r="D8350" s="1" t="str">
        <f>HYPERLINK("http://genome-euro.ucsc.edu/cgi-bin/hgTracks?position=219933_at","UCSC")</f>
        <v>UCSC</v>
      </c>
      <c r="E8350" s="1" t="str">
        <f>HYPERLINK("http://www.ncbi.nlm.nih.gov/gene/?term=GLRX2","NCBI")</f>
        <v>NCBI</v>
      </c>
      <c r="F8350">
        <v>0.14000000000000001</v>
      </c>
      <c r="G8350">
        <v>0.28000000000000003</v>
      </c>
      <c r="H8350" s="1" t="str">
        <f>HYPERLINK("http://www.weizmann.ac.il/complex/compphys/software/geview/data/figures/219933_at.png","Figure")</f>
        <v>Figure</v>
      </c>
      <c r="I8350">
        <v>1.21</v>
      </c>
      <c r="J8350">
        <v>0.57999999999999996</v>
      </c>
      <c r="K8350">
        <v>1.42</v>
      </c>
      <c r="L8350">
        <v>0.12</v>
      </c>
      <c r="M8350">
        <v>1.18</v>
      </c>
      <c r="N8350">
        <v>0.63</v>
      </c>
    </row>
    <row r="8351" spans="1:14" x14ac:dyDescent="0.25">
      <c r="A8351" t="s">
        <v>14770</v>
      </c>
      <c r="B8351" t="s">
        <v>14771</v>
      </c>
      <c r="C8351" s="1" t="str">
        <f>HYPERLINK("http://www.genecards.org/cgi-bin/carddisp.pl?gene=RBM12B","GeneCards")</f>
        <v>GeneCards</v>
      </c>
      <c r="D8351" s="1" t="str">
        <f>HYPERLINK("http://genome-euro.ucsc.edu/cgi-bin/hgTracks?position=221929_at","UCSC")</f>
        <v>UCSC</v>
      </c>
      <c r="E8351" s="1" t="str">
        <f>HYPERLINK("http://www.ncbi.nlm.nih.gov/gene/?term=RBM12B","NCBI")</f>
        <v>NCBI</v>
      </c>
      <c r="F8351">
        <v>0.14000000000000001</v>
      </c>
      <c r="G8351">
        <v>0.28000000000000003</v>
      </c>
      <c r="H8351" s="1" t="str">
        <f>HYPERLINK("http://www.weizmann.ac.il/complex/compphys/software/geview/data/figures/221929_at.png","Figure")</f>
        <v>Figure</v>
      </c>
      <c r="I8351">
        <v>1.27</v>
      </c>
      <c r="J8351">
        <v>0.14000000000000001</v>
      </c>
      <c r="K8351">
        <v>1.05</v>
      </c>
      <c r="L8351">
        <v>0.89</v>
      </c>
      <c r="M8351">
        <v>0.82599999999999996</v>
      </c>
      <c r="N8351">
        <v>0.22</v>
      </c>
    </row>
    <row r="8352" spans="1:14" x14ac:dyDescent="0.25">
      <c r="A8352" t="s">
        <v>14772</v>
      </c>
      <c r="B8352" t="s">
        <v>14773</v>
      </c>
      <c r="C8352" s="1" t="str">
        <f>HYPERLINK("http://www.genecards.org/cgi-bin/carddisp.pl?gene=TMEM111","GeneCards")</f>
        <v>GeneCards</v>
      </c>
      <c r="D8352" s="1" t="str">
        <f>HYPERLINK("http://genome-euro.ucsc.edu/cgi-bin/hgTracks?position=217882_at","UCSC")</f>
        <v>UCSC</v>
      </c>
      <c r="E8352" s="1" t="str">
        <f>HYPERLINK("http://www.ncbi.nlm.nih.gov/gene/?term=TMEM111","NCBI")</f>
        <v>NCBI</v>
      </c>
      <c r="F8352">
        <v>0.14000000000000001</v>
      </c>
      <c r="G8352">
        <v>0.28000000000000003</v>
      </c>
      <c r="H8352" s="1" t="str">
        <f>HYPERLINK("http://www.weizmann.ac.il/complex/compphys/software/geview/data/figures/217882_at.png","Figure")</f>
        <v>Figure</v>
      </c>
      <c r="I8352">
        <v>0.80700000000000005</v>
      </c>
      <c r="J8352">
        <v>0.54</v>
      </c>
      <c r="K8352">
        <v>0.68700000000000006</v>
      </c>
      <c r="L8352">
        <v>0.12</v>
      </c>
      <c r="M8352">
        <v>0.85099999999999998</v>
      </c>
      <c r="N8352">
        <v>0.67</v>
      </c>
    </row>
    <row r="8353" spans="1:14" x14ac:dyDescent="0.25">
      <c r="A8353" t="s">
        <v>14774</v>
      </c>
      <c r="B8353" t="s">
        <v>14775</v>
      </c>
      <c r="C8353" s="1" t="str">
        <f>HYPERLINK("http://www.genecards.org/cgi-bin/carddisp.pl?gene=RMI1","GeneCards")</f>
        <v>GeneCards</v>
      </c>
      <c r="D8353" s="1" t="str">
        <f>HYPERLINK("http://genome-euro.ucsc.edu/cgi-bin/hgTracks?position=218979_at","UCSC")</f>
        <v>UCSC</v>
      </c>
      <c r="E8353" s="1" t="str">
        <f>HYPERLINK("http://www.ncbi.nlm.nih.gov/gene/?term=RMI1","NCBI")</f>
        <v>NCBI</v>
      </c>
      <c r="F8353">
        <v>0.14000000000000001</v>
      </c>
      <c r="G8353">
        <v>0.28000000000000003</v>
      </c>
      <c r="H8353" s="1" t="str">
        <f>HYPERLINK("http://www.weizmann.ac.il/complex/compphys/software/geview/data/figures/218979_at.png","Figure")</f>
        <v>Figure</v>
      </c>
      <c r="I8353">
        <v>0.876</v>
      </c>
      <c r="J8353">
        <v>0.79</v>
      </c>
      <c r="K8353">
        <v>1.28</v>
      </c>
      <c r="L8353">
        <v>0.35</v>
      </c>
      <c r="M8353">
        <v>1.46</v>
      </c>
      <c r="N8353">
        <v>0.14000000000000001</v>
      </c>
    </row>
    <row r="8354" spans="1:14" x14ac:dyDescent="0.25">
      <c r="A8354" t="s">
        <v>14776</v>
      </c>
      <c r="B8354" t="s">
        <v>2444</v>
      </c>
      <c r="C8354" s="1" t="str">
        <f>HYPERLINK("http://www.genecards.org/cgi-bin/carddisp.pl?gene=RIOK3","GeneCards")</f>
        <v>GeneCards</v>
      </c>
      <c r="D8354" s="1" t="str">
        <f>HYPERLINK("http://genome-euro.ucsc.edu/cgi-bin/hgTracks?position=202129_s_at","UCSC")</f>
        <v>UCSC</v>
      </c>
      <c r="E8354" s="1" t="str">
        <f>HYPERLINK("http://www.ncbi.nlm.nih.gov/gene/?term=RIOK3","NCBI")</f>
        <v>NCBI</v>
      </c>
      <c r="F8354">
        <v>0.14000000000000001</v>
      </c>
      <c r="G8354">
        <v>0.28000000000000003</v>
      </c>
      <c r="H8354" s="1" t="str">
        <f>HYPERLINK("http://www.weizmann.ac.il/complex/compphys/software/geview/data/figures/202129_s_at.png","Figure")</f>
        <v>Figure</v>
      </c>
      <c r="I8354">
        <v>0.86499999999999999</v>
      </c>
      <c r="J8354">
        <v>0.56000000000000005</v>
      </c>
      <c r="K8354">
        <v>0.76900000000000002</v>
      </c>
      <c r="L8354">
        <v>0.12</v>
      </c>
      <c r="M8354">
        <v>0.88900000000000001</v>
      </c>
      <c r="N8354">
        <v>0.65</v>
      </c>
    </row>
    <row r="8355" spans="1:14" x14ac:dyDescent="0.25">
      <c r="A8355" t="s">
        <v>14777</v>
      </c>
      <c r="B8355" t="s">
        <v>14778</v>
      </c>
      <c r="C8355" s="1" t="str">
        <f>HYPERLINK("http://www.genecards.org/cgi-bin/carddisp.pl?gene=WAS","GeneCards")</f>
        <v>GeneCards</v>
      </c>
      <c r="D8355" s="1" t="str">
        <f>HYPERLINK("http://genome-euro.ucsc.edu/cgi-bin/hgTracks?position=205400_at","UCSC")</f>
        <v>UCSC</v>
      </c>
      <c r="E8355" s="1" t="str">
        <f>HYPERLINK("http://www.ncbi.nlm.nih.gov/gene/?term=WAS","NCBI")</f>
        <v>NCBI</v>
      </c>
      <c r="F8355">
        <v>0.14000000000000001</v>
      </c>
      <c r="G8355">
        <v>0.28000000000000003</v>
      </c>
      <c r="H8355" s="1" t="str">
        <f>HYPERLINK("http://www.weizmann.ac.il/complex/compphys/software/geview/data/figures/205400_at.png","Figure")</f>
        <v>Figure</v>
      </c>
      <c r="I8355">
        <v>1.19</v>
      </c>
      <c r="J8355">
        <v>0.4</v>
      </c>
      <c r="K8355">
        <v>1.28</v>
      </c>
      <c r="L8355">
        <v>0.12</v>
      </c>
      <c r="M8355">
        <v>1.07</v>
      </c>
      <c r="N8355">
        <v>0.83</v>
      </c>
    </row>
    <row r="8356" spans="1:14" x14ac:dyDescent="0.25">
      <c r="A8356" t="s">
        <v>14779</v>
      </c>
      <c r="B8356" t="s">
        <v>2646</v>
      </c>
      <c r="C8356" s="1" t="str">
        <f>HYPERLINK("http://www.genecards.org/cgi-bin/carddisp.pl?gene=TCF3","GeneCards")</f>
        <v>GeneCards</v>
      </c>
      <c r="D8356" s="1" t="str">
        <f>HYPERLINK("http://genome-euro.ucsc.edu/cgi-bin/hgTracks?position=213811_x_at","UCSC")</f>
        <v>UCSC</v>
      </c>
      <c r="E8356" s="1" t="str">
        <f>HYPERLINK("http://www.ncbi.nlm.nih.gov/gene/?term=TCF3","NCBI")</f>
        <v>NCBI</v>
      </c>
      <c r="F8356">
        <v>0.14000000000000001</v>
      </c>
      <c r="G8356">
        <v>0.28000000000000003</v>
      </c>
      <c r="H8356" s="1" t="str">
        <f>HYPERLINK("http://www.weizmann.ac.il/complex/compphys/software/geview/data/figures/213811_x_at.png","Figure")</f>
        <v>Figure</v>
      </c>
      <c r="I8356">
        <v>1.39</v>
      </c>
      <c r="J8356">
        <v>0.12</v>
      </c>
      <c r="K8356">
        <v>1.1200000000000001</v>
      </c>
      <c r="L8356">
        <v>0.68</v>
      </c>
      <c r="M8356">
        <v>0.80500000000000005</v>
      </c>
      <c r="N8356">
        <v>0.32</v>
      </c>
    </row>
    <row r="8357" spans="1:14" x14ac:dyDescent="0.25">
      <c r="A8357" t="s">
        <v>14780</v>
      </c>
      <c r="B8357" t="s">
        <v>14781</v>
      </c>
      <c r="C8357" s="1" t="str">
        <f>HYPERLINK("http://www.genecards.org/cgi-bin/carddisp.pl?gene=PDLIM7","GeneCards")</f>
        <v>GeneCards</v>
      </c>
      <c r="D8357" s="1" t="str">
        <f>HYPERLINK("http://genome-euro.ucsc.edu/cgi-bin/hgTracks?position=214122_at","UCSC")</f>
        <v>UCSC</v>
      </c>
      <c r="E8357" s="1" t="str">
        <f>HYPERLINK("http://www.ncbi.nlm.nih.gov/gene/?term=PDLIM7","NCBI")</f>
        <v>NCBI</v>
      </c>
      <c r="F8357">
        <v>0.14000000000000001</v>
      </c>
      <c r="G8357">
        <v>0.28000000000000003</v>
      </c>
      <c r="H8357" s="1" t="str">
        <f>HYPERLINK("http://www.weizmann.ac.il/complex/compphys/software/geview/data/figures/214122_at.png","Figure")</f>
        <v>Figure</v>
      </c>
      <c r="I8357">
        <v>1.26</v>
      </c>
      <c r="J8357">
        <v>0.13</v>
      </c>
      <c r="K8357">
        <v>1.1599999999999999</v>
      </c>
      <c r="L8357">
        <v>0.3</v>
      </c>
      <c r="M8357">
        <v>0.92200000000000004</v>
      </c>
      <c r="N8357">
        <v>0.71</v>
      </c>
    </row>
    <row r="8358" spans="1:14" x14ac:dyDescent="0.25">
      <c r="A8358" t="s">
        <v>14782</v>
      </c>
      <c r="B8358" t="s">
        <v>14783</v>
      </c>
      <c r="C8358" s="1" t="str">
        <f>HYPERLINK("http://www.genecards.org/cgi-bin/carddisp.pl?gene=CCNI","GeneCards")</f>
        <v>GeneCards</v>
      </c>
      <c r="D8358" s="1" t="str">
        <f>HYPERLINK("http://genome-euro.ucsc.edu/cgi-bin/hgTracks?position=208656_s_at","UCSC")</f>
        <v>UCSC</v>
      </c>
      <c r="E8358" s="1" t="str">
        <f>HYPERLINK("http://www.ncbi.nlm.nih.gov/gene/?term=CCNI","NCBI")</f>
        <v>NCBI</v>
      </c>
      <c r="F8358">
        <v>0.14000000000000001</v>
      </c>
      <c r="G8358">
        <v>0.28000000000000003</v>
      </c>
      <c r="H8358" s="1" t="str">
        <f>HYPERLINK("http://www.weizmann.ac.il/complex/compphys/software/geview/data/figures/208656_s_at.png","Figure")</f>
        <v>Figure</v>
      </c>
      <c r="I8358">
        <v>0.67800000000000005</v>
      </c>
      <c r="J8358">
        <v>0.14000000000000001</v>
      </c>
      <c r="K8358">
        <v>0.93700000000000006</v>
      </c>
      <c r="L8358">
        <v>0.92</v>
      </c>
      <c r="M8358">
        <v>1.38</v>
      </c>
      <c r="N8358">
        <v>0.2</v>
      </c>
    </row>
    <row r="8359" spans="1:14" x14ac:dyDescent="0.25">
      <c r="A8359" t="s">
        <v>14784</v>
      </c>
      <c r="B8359" t="s">
        <v>14785</v>
      </c>
      <c r="C8359" s="1" t="str">
        <f>HYPERLINK("http://www.genecards.org/cgi-bin/carddisp.pl?gene=CRLF3","GeneCards")</f>
        <v>GeneCards</v>
      </c>
      <c r="D8359" s="1" t="str">
        <f>HYPERLINK("http://genome-euro.ucsc.edu/cgi-bin/hgTracks?position=205474_at","UCSC")</f>
        <v>UCSC</v>
      </c>
      <c r="E8359" s="1" t="str">
        <f>HYPERLINK("http://www.ncbi.nlm.nih.gov/gene/?term=CRLF3","NCBI")</f>
        <v>NCBI</v>
      </c>
      <c r="F8359">
        <v>0.14000000000000001</v>
      </c>
      <c r="G8359">
        <v>0.28000000000000003</v>
      </c>
      <c r="H8359" s="1" t="str">
        <f>HYPERLINK("http://www.weizmann.ac.il/complex/compphys/software/geview/data/figures/205474_at.png","Figure")</f>
        <v>Figure</v>
      </c>
      <c r="I8359">
        <v>0.60299999999999998</v>
      </c>
      <c r="J8359">
        <v>0.17</v>
      </c>
      <c r="K8359">
        <v>0.96399999999999997</v>
      </c>
      <c r="L8359">
        <v>0.99</v>
      </c>
      <c r="M8359">
        <v>1.6</v>
      </c>
      <c r="N8359">
        <v>0.17</v>
      </c>
    </row>
    <row r="8360" spans="1:14" x14ac:dyDescent="0.25">
      <c r="A8360" t="s">
        <v>14786</v>
      </c>
      <c r="B8360" t="s">
        <v>14787</v>
      </c>
      <c r="C8360" s="1" t="str">
        <f>HYPERLINK("http://www.genecards.org/cgi-bin/carddisp.pl?gene=DAZAP2","GeneCards")</f>
        <v>GeneCards</v>
      </c>
      <c r="D8360" s="1" t="str">
        <f>HYPERLINK("http://genome-euro.ucsc.edu/cgi-bin/hgTracks?position=214334_x_at","UCSC")</f>
        <v>UCSC</v>
      </c>
      <c r="E8360" s="1" t="str">
        <f>HYPERLINK("http://www.ncbi.nlm.nih.gov/gene/?term=DAZAP2","NCBI")</f>
        <v>NCBI</v>
      </c>
      <c r="F8360">
        <v>0.14000000000000001</v>
      </c>
      <c r="G8360">
        <v>0.28000000000000003</v>
      </c>
      <c r="H8360" s="1" t="str">
        <f>HYPERLINK("http://www.weizmann.ac.il/complex/compphys/software/geview/data/figures/214334_x_at.png","Figure")</f>
        <v>Figure</v>
      </c>
      <c r="I8360">
        <v>0.82099999999999995</v>
      </c>
      <c r="J8360">
        <v>0.41</v>
      </c>
      <c r="K8360">
        <v>0.75600000000000001</v>
      </c>
      <c r="L8360">
        <v>0.12</v>
      </c>
      <c r="M8360">
        <v>0.92200000000000004</v>
      </c>
      <c r="N8360">
        <v>0.83</v>
      </c>
    </row>
    <row r="8361" spans="1:14" x14ac:dyDescent="0.25">
      <c r="A8361" t="s">
        <v>14788</v>
      </c>
      <c r="B8361" t="s">
        <v>8651</v>
      </c>
      <c r="C8361" s="1" t="str">
        <f>HYPERLINK("http://www.genecards.org/cgi-bin/carddisp.pl?gene=MRPS31","GeneCards")</f>
        <v>GeneCards</v>
      </c>
      <c r="D8361" s="1" t="str">
        <f>HYPERLINK("http://genome-euro.ucsc.edu/cgi-bin/hgTracks?position=212603_at","UCSC")</f>
        <v>UCSC</v>
      </c>
      <c r="E8361" s="1" t="str">
        <f>HYPERLINK("http://www.ncbi.nlm.nih.gov/gene/?term=MRPS31","NCBI")</f>
        <v>NCBI</v>
      </c>
      <c r="F8361">
        <v>0.14000000000000001</v>
      </c>
      <c r="G8361">
        <v>0.28000000000000003</v>
      </c>
      <c r="H8361" s="1" t="str">
        <f>HYPERLINK("http://www.weizmann.ac.il/complex/compphys/software/geview/data/figures/212603_at.png","Figure")</f>
        <v>Figure</v>
      </c>
      <c r="I8361">
        <v>0.96099999999999997</v>
      </c>
      <c r="J8361">
        <v>0.97</v>
      </c>
      <c r="K8361">
        <v>1.3</v>
      </c>
      <c r="L8361">
        <v>0.23</v>
      </c>
      <c r="M8361">
        <v>1.35</v>
      </c>
      <c r="N8361">
        <v>0.19</v>
      </c>
    </row>
    <row r="8362" spans="1:14" x14ac:dyDescent="0.25">
      <c r="A8362" t="s">
        <v>14789</v>
      </c>
      <c r="B8362" t="s">
        <v>14790</v>
      </c>
      <c r="C8362" s="1" t="str">
        <f>HYPERLINK("http://www.genecards.org/cgi-bin/carddisp.pl?gene=PIH1D1","GeneCards")</f>
        <v>GeneCards</v>
      </c>
      <c r="D8362" s="1" t="str">
        <f>HYPERLINK("http://genome-euro.ucsc.edu/cgi-bin/hgTracks?position=217872_at","UCSC")</f>
        <v>UCSC</v>
      </c>
      <c r="E8362" s="1" t="str">
        <f>HYPERLINK("http://www.ncbi.nlm.nih.gov/gene/?term=PIH1D1","NCBI")</f>
        <v>NCBI</v>
      </c>
      <c r="F8362">
        <v>0.14000000000000001</v>
      </c>
      <c r="G8362">
        <v>0.28000000000000003</v>
      </c>
      <c r="H8362" s="1" t="str">
        <f>HYPERLINK("http://www.weizmann.ac.il/complex/compphys/software/geview/data/figures/217872_at.png","Figure")</f>
        <v>Figure</v>
      </c>
      <c r="I8362">
        <v>1.1499999999999999</v>
      </c>
      <c r="J8362">
        <v>0.56000000000000005</v>
      </c>
      <c r="K8362">
        <v>1.28</v>
      </c>
      <c r="L8362">
        <v>0.12</v>
      </c>
      <c r="M8362">
        <v>1.1200000000000001</v>
      </c>
      <c r="N8362">
        <v>0.66</v>
      </c>
    </row>
    <row r="8363" spans="1:14" x14ac:dyDescent="0.25">
      <c r="A8363" t="s">
        <v>14791</v>
      </c>
      <c r="B8363" t="s">
        <v>14792</v>
      </c>
      <c r="C8363" s="1" t="str">
        <f>HYPERLINK("http://www.genecards.org/cgi-bin/carddisp.pl?gene=DICER1","GeneCards")</f>
        <v>GeneCards</v>
      </c>
      <c r="D8363" s="1" t="str">
        <f>HYPERLINK("http://genome-euro.ucsc.edu/cgi-bin/hgTracks?position=216260_at","UCSC")</f>
        <v>UCSC</v>
      </c>
      <c r="E8363" s="1" t="str">
        <f>HYPERLINK("http://www.ncbi.nlm.nih.gov/gene/?term=DICER1","NCBI")</f>
        <v>NCBI</v>
      </c>
      <c r="F8363">
        <v>0.14000000000000001</v>
      </c>
      <c r="G8363">
        <v>0.28000000000000003</v>
      </c>
      <c r="H8363" s="1" t="str">
        <f>HYPERLINK("http://www.weizmann.ac.il/complex/compphys/software/geview/data/figures/216260_at.png","Figure")</f>
        <v>Figure</v>
      </c>
      <c r="I8363">
        <v>0.79400000000000004</v>
      </c>
      <c r="J8363">
        <v>0.76</v>
      </c>
      <c r="K8363">
        <v>0.54900000000000004</v>
      </c>
      <c r="L8363">
        <v>0.12</v>
      </c>
      <c r="M8363">
        <v>0.69199999999999995</v>
      </c>
      <c r="N8363">
        <v>0.46</v>
      </c>
    </row>
    <row r="8364" spans="1:14" x14ac:dyDescent="0.25">
      <c r="A8364" t="s">
        <v>14793</v>
      </c>
      <c r="B8364" t="s">
        <v>14794</v>
      </c>
      <c r="C8364" s="1" t="str">
        <f>HYPERLINK("http://www.genecards.org/cgi-bin/carddisp.pl?gene=CPA4","GeneCards")</f>
        <v>GeneCards</v>
      </c>
      <c r="D8364" s="1" t="str">
        <f>HYPERLINK("http://genome-euro.ucsc.edu/cgi-bin/hgTracks?position=205832_at","UCSC")</f>
        <v>UCSC</v>
      </c>
      <c r="E8364" s="1" t="str">
        <f>HYPERLINK("http://www.ncbi.nlm.nih.gov/gene/?term=CPA4","NCBI")</f>
        <v>NCBI</v>
      </c>
      <c r="F8364">
        <v>0.14000000000000001</v>
      </c>
      <c r="G8364">
        <v>0.28000000000000003</v>
      </c>
      <c r="H8364" s="1" t="str">
        <f>HYPERLINK("http://www.weizmann.ac.il/complex/compphys/software/geview/data/figures/205832_at.png","Figure")</f>
        <v>Figure</v>
      </c>
      <c r="I8364">
        <v>1.26</v>
      </c>
      <c r="J8364">
        <v>0.12</v>
      </c>
      <c r="K8364">
        <v>1.07</v>
      </c>
      <c r="L8364">
        <v>0.76</v>
      </c>
      <c r="M8364">
        <v>0.85099999999999998</v>
      </c>
      <c r="N8364">
        <v>0.28000000000000003</v>
      </c>
    </row>
    <row r="8365" spans="1:14" x14ac:dyDescent="0.25">
      <c r="A8365" t="s">
        <v>14795</v>
      </c>
      <c r="B8365" t="s">
        <v>14454</v>
      </c>
      <c r="C8365" s="1" t="str">
        <f>HYPERLINK("http://www.genecards.org/cgi-bin/carddisp.pl?gene=STAU1","GeneCards")</f>
        <v>GeneCards</v>
      </c>
      <c r="D8365" s="1" t="str">
        <f>HYPERLINK("http://genome-euro.ucsc.edu/cgi-bin/hgTracks?position=213037_x_at","UCSC")</f>
        <v>UCSC</v>
      </c>
      <c r="E8365" s="1" t="str">
        <f>HYPERLINK("http://www.ncbi.nlm.nih.gov/gene/?term=STAU1","NCBI")</f>
        <v>NCBI</v>
      </c>
      <c r="F8365">
        <v>0.14000000000000001</v>
      </c>
      <c r="G8365">
        <v>0.28000000000000003</v>
      </c>
      <c r="H8365" s="1" t="str">
        <f>HYPERLINK("http://www.weizmann.ac.il/complex/compphys/software/geview/data/figures/213037_x_at.png","Figure")</f>
        <v>Figure</v>
      </c>
      <c r="I8365">
        <v>1.29</v>
      </c>
      <c r="J8365">
        <v>0.45</v>
      </c>
      <c r="K8365">
        <v>0.85099999999999998</v>
      </c>
      <c r="L8365">
        <v>0.66</v>
      </c>
      <c r="M8365">
        <v>0.65800000000000003</v>
      </c>
      <c r="N8365">
        <v>0.12</v>
      </c>
    </row>
    <row r="8366" spans="1:14" x14ac:dyDescent="0.25">
      <c r="A8366" t="s">
        <v>14796</v>
      </c>
      <c r="B8366" t="s">
        <v>14797</v>
      </c>
      <c r="C8366" s="1" t="str">
        <f>HYPERLINK("http://www.genecards.org/cgi-bin/carddisp.pl?gene=MRPS33","GeneCards")</f>
        <v>GeneCards</v>
      </c>
      <c r="D8366" s="1" t="str">
        <f>HYPERLINK("http://genome-euro.ucsc.edu/cgi-bin/hgTracks?position=218654_s_at","UCSC")</f>
        <v>UCSC</v>
      </c>
      <c r="E8366" s="1" t="str">
        <f>HYPERLINK("http://www.ncbi.nlm.nih.gov/gene/?term=MRPS33","NCBI")</f>
        <v>NCBI</v>
      </c>
      <c r="F8366">
        <v>0.14000000000000001</v>
      </c>
      <c r="G8366">
        <v>0.28000000000000003</v>
      </c>
      <c r="H8366" s="1" t="str">
        <f>HYPERLINK("http://www.weizmann.ac.il/complex/compphys/software/geview/data/figures/218654_s_at.png","Figure")</f>
        <v>Figure</v>
      </c>
      <c r="I8366">
        <v>0.92400000000000004</v>
      </c>
      <c r="J8366">
        <v>0.91</v>
      </c>
      <c r="K8366">
        <v>1.31</v>
      </c>
      <c r="L8366">
        <v>0.28000000000000003</v>
      </c>
      <c r="M8366">
        <v>1.41</v>
      </c>
      <c r="N8366">
        <v>0.16</v>
      </c>
    </row>
    <row r="8367" spans="1:14" x14ac:dyDescent="0.25">
      <c r="A8367" t="s">
        <v>14798</v>
      </c>
      <c r="B8367" t="s">
        <v>14799</v>
      </c>
      <c r="C8367" s="1" t="str">
        <f>HYPERLINK("http://www.genecards.org/cgi-bin/carddisp.pl?gene=IMPDH1","GeneCards")</f>
        <v>GeneCards</v>
      </c>
      <c r="D8367" s="1" t="str">
        <f>HYPERLINK("http://genome-euro.ucsc.edu/cgi-bin/hgTracks?position=204169_at","UCSC")</f>
        <v>UCSC</v>
      </c>
      <c r="E8367" s="1" t="str">
        <f>HYPERLINK("http://www.ncbi.nlm.nih.gov/gene/?term=IMPDH1","NCBI")</f>
        <v>NCBI</v>
      </c>
      <c r="F8367">
        <v>0.14000000000000001</v>
      </c>
      <c r="G8367">
        <v>0.28000000000000003</v>
      </c>
      <c r="H8367" s="1" t="str">
        <f>HYPERLINK("http://www.weizmann.ac.il/complex/compphys/software/geview/data/figures/204169_at.png","Figure")</f>
        <v>Figure</v>
      </c>
      <c r="I8367">
        <v>1.05</v>
      </c>
      <c r="J8367">
        <v>0.95</v>
      </c>
      <c r="K8367">
        <v>1.3</v>
      </c>
      <c r="L8367">
        <v>0.15</v>
      </c>
      <c r="M8367">
        <v>1.24</v>
      </c>
      <c r="N8367">
        <v>0.31</v>
      </c>
    </row>
    <row r="8368" spans="1:14" x14ac:dyDescent="0.25">
      <c r="A8368" t="s">
        <v>14800</v>
      </c>
      <c r="B8368" t="s">
        <v>14801</v>
      </c>
      <c r="C8368" s="1" t="str">
        <f>HYPERLINK("http://www.genecards.org/cgi-bin/carddisp.pl?gene=FAM158A","GeneCards")</f>
        <v>GeneCards</v>
      </c>
      <c r="D8368" s="1" t="str">
        <f>HYPERLINK("http://genome-euro.ucsc.edu/cgi-bin/hgTracks?position=219203_at","UCSC")</f>
        <v>UCSC</v>
      </c>
      <c r="E8368" s="1" t="str">
        <f>HYPERLINK("http://www.ncbi.nlm.nih.gov/gene/?term=FAM158A","NCBI")</f>
        <v>NCBI</v>
      </c>
      <c r="F8368">
        <v>0.14000000000000001</v>
      </c>
      <c r="G8368">
        <v>0.28000000000000003</v>
      </c>
      <c r="H8368" s="1" t="str">
        <f>HYPERLINK("http://www.weizmann.ac.il/complex/compphys/software/geview/data/figures/219203_at.png","Figure")</f>
        <v>Figure</v>
      </c>
      <c r="I8368">
        <v>1.1200000000000001</v>
      </c>
      <c r="J8368">
        <v>0.35</v>
      </c>
      <c r="K8368">
        <v>1.1499999999999999</v>
      </c>
      <c r="L8368">
        <v>0.12</v>
      </c>
      <c r="M8368">
        <v>1.03</v>
      </c>
      <c r="N8368">
        <v>0.89</v>
      </c>
    </row>
    <row r="8369" spans="1:14" x14ac:dyDescent="0.25">
      <c r="A8369" t="s">
        <v>14802</v>
      </c>
      <c r="B8369" t="s">
        <v>14803</v>
      </c>
      <c r="C8369" s="1" t="str">
        <f>HYPERLINK("http://www.genecards.org/cgi-bin/carddisp.pl?gene=OTC","GeneCards")</f>
        <v>GeneCards</v>
      </c>
      <c r="D8369" s="1" t="str">
        <f>HYPERLINK("http://genome-euro.ucsc.edu/cgi-bin/hgTracks?position=207200_at","UCSC")</f>
        <v>UCSC</v>
      </c>
      <c r="E8369" s="1" t="str">
        <f>HYPERLINK("http://www.ncbi.nlm.nih.gov/gene/?term=OTC","NCBI")</f>
        <v>NCBI</v>
      </c>
      <c r="F8369">
        <v>0.14000000000000001</v>
      </c>
      <c r="G8369">
        <v>0.28000000000000003</v>
      </c>
      <c r="H8369" s="1" t="str">
        <f>HYPERLINK("http://www.weizmann.ac.il/complex/compphys/software/geview/data/figures/207200_at.png","Figure")</f>
        <v>Figure</v>
      </c>
      <c r="I8369">
        <v>0.996</v>
      </c>
      <c r="J8369">
        <v>1</v>
      </c>
      <c r="K8369">
        <v>0.90700000000000003</v>
      </c>
      <c r="L8369">
        <v>0.18</v>
      </c>
      <c r="M8369">
        <v>0.91100000000000003</v>
      </c>
      <c r="N8369">
        <v>0.24</v>
      </c>
    </row>
    <row r="8370" spans="1:14" x14ac:dyDescent="0.25">
      <c r="A8370" t="s">
        <v>14804</v>
      </c>
      <c r="B8370" t="s">
        <v>2750</v>
      </c>
      <c r="C8370" s="1" t="str">
        <f>HYPERLINK("http://www.genecards.org/cgi-bin/carddisp.pl?gene=EVC","GeneCards")</f>
        <v>GeneCards</v>
      </c>
      <c r="D8370" s="1" t="str">
        <f>HYPERLINK("http://genome-euro.ucsc.edu/cgi-bin/hgTracks?position=219432_at","UCSC")</f>
        <v>UCSC</v>
      </c>
      <c r="E8370" s="1" t="str">
        <f>HYPERLINK("http://www.ncbi.nlm.nih.gov/gene/?term=EVC","NCBI")</f>
        <v>NCBI</v>
      </c>
      <c r="F8370">
        <v>0.14000000000000001</v>
      </c>
      <c r="G8370">
        <v>0.28000000000000003</v>
      </c>
      <c r="H8370" s="1" t="str">
        <f>HYPERLINK("http://www.weizmann.ac.il/complex/compphys/software/geview/data/figures/219432_at.png","Figure")</f>
        <v>Figure</v>
      </c>
      <c r="I8370">
        <v>1.25</v>
      </c>
      <c r="J8370">
        <v>0.23</v>
      </c>
      <c r="K8370">
        <v>0.97499999999999998</v>
      </c>
      <c r="L8370">
        <v>0.97</v>
      </c>
      <c r="M8370">
        <v>0.78200000000000003</v>
      </c>
      <c r="N8370">
        <v>0.14000000000000001</v>
      </c>
    </row>
    <row r="8371" spans="1:14" x14ac:dyDescent="0.25">
      <c r="A8371" t="s">
        <v>14805</v>
      </c>
      <c r="B8371" t="s">
        <v>3994</v>
      </c>
      <c r="C8371" s="1" t="str">
        <f>HYPERLINK("http://www.genecards.org/cgi-bin/carddisp.pl?gene=IL1RN","GeneCards")</f>
        <v>GeneCards</v>
      </c>
      <c r="D8371" s="1" t="str">
        <f>HYPERLINK("http://genome-euro.ucsc.edu/cgi-bin/hgTracks?position=212657_s_at","UCSC")</f>
        <v>UCSC</v>
      </c>
      <c r="E8371" s="1" t="str">
        <f>HYPERLINK("http://www.ncbi.nlm.nih.gov/gene/?term=IL1RN","NCBI")</f>
        <v>NCBI</v>
      </c>
      <c r="F8371">
        <v>0.14000000000000001</v>
      </c>
      <c r="G8371">
        <v>0.28000000000000003</v>
      </c>
      <c r="H8371" s="1" t="str">
        <f>HYPERLINK("http://www.weizmann.ac.il/complex/compphys/software/geview/data/figures/212657_s_at.png","Figure")</f>
        <v>Figure</v>
      </c>
      <c r="I8371">
        <v>1.2</v>
      </c>
      <c r="J8371">
        <v>0.34</v>
      </c>
      <c r="K8371">
        <v>0.93500000000000005</v>
      </c>
      <c r="L8371">
        <v>0.82</v>
      </c>
      <c r="M8371">
        <v>0.77600000000000002</v>
      </c>
      <c r="N8371">
        <v>0.12</v>
      </c>
    </row>
    <row r="8372" spans="1:14" x14ac:dyDescent="0.25">
      <c r="A8372" t="s">
        <v>14806</v>
      </c>
      <c r="B8372" t="s">
        <v>14807</v>
      </c>
      <c r="C8372" s="1" t="str">
        <f>HYPERLINK("http://www.genecards.org/cgi-bin/carddisp.pl?gene=KIAA1614","GeneCards")</f>
        <v>GeneCards</v>
      </c>
      <c r="D8372" s="1" t="str">
        <f>HYPERLINK("http://genome-euro.ucsc.edu/cgi-bin/hgTracks?position=215367_at","UCSC")</f>
        <v>UCSC</v>
      </c>
      <c r="E8372" s="1" t="str">
        <f>HYPERLINK("http://www.ncbi.nlm.nih.gov/gene/?term=KIAA1614","NCBI")</f>
        <v>NCBI</v>
      </c>
      <c r="F8372">
        <v>0.14000000000000001</v>
      </c>
      <c r="G8372">
        <v>0.28000000000000003</v>
      </c>
      <c r="H8372" s="1" t="str">
        <f>HYPERLINK("http://www.weizmann.ac.il/complex/compphys/software/geview/data/figures/215367_at.png","Figure")</f>
        <v>Figure</v>
      </c>
      <c r="I8372">
        <v>1.17</v>
      </c>
      <c r="J8372">
        <v>0.13</v>
      </c>
      <c r="K8372">
        <v>1.05</v>
      </c>
      <c r="L8372">
        <v>0.78</v>
      </c>
      <c r="M8372">
        <v>0.89100000000000001</v>
      </c>
      <c r="N8372">
        <v>0.27</v>
      </c>
    </row>
    <row r="8373" spans="1:14" x14ac:dyDescent="0.25">
      <c r="A8373" t="s">
        <v>14808</v>
      </c>
      <c r="B8373" t="s">
        <v>14809</v>
      </c>
      <c r="C8373" s="1" t="str">
        <f>HYPERLINK("http://www.genecards.org/cgi-bin/carddisp.pl?gene=KLHL3","GeneCards")</f>
        <v>GeneCards</v>
      </c>
      <c r="D8373" s="1" t="str">
        <f>HYPERLINK("http://genome-euro.ucsc.edu/cgi-bin/hgTracks?position=221221_s_at","UCSC")</f>
        <v>UCSC</v>
      </c>
      <c r="E8373" s="1" t="str">
        <f>HYPERLINK("http://www.ncbi.nlm.nih.gov/gene/?term=KLHL3","NCBI")</f>
        <v>NCBI</v>
      </c>
      <c r="F8373">
        <v>0.14000000000000001</v>
      </c>
      <c r="G8373">
        <v>0.28000000000000003</v>
      </c>
      <c r="H8373" s="1" t="str">
        <f>HYPERLINK("http://www.weizmann.ac.il/complex/compphys/software/geview/data/figures/221221_s_at.png","Figure")</f>
        <v>Figure</v>
      </c>
      <c r="I8373">
        <v>0.92400000000000004</v>
      </c>
      <c r="J8373">
        <v>0.8</v>
      </c>
      <c r="K8373">
        <v>0.79900000000000004</v>
      </c>
      <c r="L8373">
        <v>0.13</v>
      </c>
      <c r="M8373">
        <v>0.86399999999999999</v>
      </c>
      <c r="N8373">
        <v>0.43</v>
      </c>
    </row>
    <row r="8374" spans="1:14" x14ac:dyDescent="0.25">
      <c r="A8374" t="s">
        <v>14810</v>
      </c>
      <c r="B8374" t="s">
        <v>14811</v>
      </c>
      <c r="C8374" s="1" t="str">
        <f>HYPERLINK("http://www.genecards.org/cgi-bin/carddisp.pl?gene=ZSCAN2","GeneCards")</f>
        <v>GeneCards</v>
      </c>
      <c r="D8374" s="1" t="str">
        <f>HYPERLINK("http://genome-euro.ucsc.edu/cgi-bin/hgTracks?position=220516_at","UCSC")</f>
        <v>UCSC</v>
      </c>
      <c r="E8374" s="1" t="str">
        <f>HYPERLINK("http://www.ncbi.nlm.nih.gov/gene/?term=ZSCAN2","NCBI")</f>
        <v>NCBI</v>
      </c>
      <c r="F8374">
        <v>0.14000000000000001</v>
      </c>
      <c r="G8374">
        <v>0.28000000000000003</v>
      </c>
      <c r="H8374" s="1" t="str">
        <f>HYPERLINK("http://www.weizmann.ac.il/complex/compphys/software/geview/data/figures/220516_at.png","Figure")</f>
        <v>Figure</v>
      </c>
      <c r="I8374">
        <v>1.1299999999999999</v>
      </c>
      <c r="J8374">
        <v>0.44</v>
      </c>
      <c r="K8374">
        <v>0.92800000000000005</v>
      </c>
      <c r="L8374">
        <v>0.67</v>
      </c>
      <c r="M8374">
        <v>0.81899999999999995</v>
      </c>
      <c r="N8374">
        <v>0.12</v>
      </c>
    </row>
    <row r="8375" spans="1:14" x14ac:dyDescent="0.25">
      <c r="A8375" t="s">
        <v>14812</v>
      </c>
      <c r="B8375" t="s">
        <v>14813</v>
      </c>
      <c r="C8375" s="1" t="str">
        <f>HYPERLINK("http://www.genecards.org/cgi-bin/carddisp.pl?gene=PSMB10","GeneCards")</f>
        <v>GeneCards</v>
      </c>
      <c r="D8375" s="1" t="str">
        <f>HYPERLINK("http://genome-euro.ucsc.edu/cgi-bin/hgTracks?position=202659_at","UCSC")</f>
        <v>UCSC</v>
      </c>
      <c r="E8375" s="1" t="str">
        <f>HYPERLINK("http://www.ncbi.nlm.nih.gov/gene/?term=PSMB10","NCBI")</f>
        <v>NCBI</v>
      </c>
      <c r="F8375">
        <v>0.14000000000000001</v>
      </c>
      <c r="G8375">
        <v>0.28000000000000003</v>
      </c>
      <c r="H8375" s="1" t="str">
        <f>HYPERLINK("http://www.weizmann.ac.il/complex/compphys/software/geview/data/figures/202659_at.png","Figure")</f>
        <v>Figure</v>
      </c>
      <c r="I8375">
        <v>0.96899999999999997</v>
      </c>
      <c r="J8375">
        <v>0.99</v>
      </c>
      <c r="K8375">
        <v>1.67</v>
      </c>
      <c r="L8375">
        <v>0.21</v>
      </c>
      <c r="M8375">
        <v>1.72</v>
      </c>
      <c r="N8375">
        <v>0.21</v>
      </c>
    </row>
    <row r="8376" spans="1:14" x14ac:dyDescent="0.25">
      <c r="A8376" t="s">
        <v>14814</v>
      </c>
      <c r="B8376" t="s">
        <v>4899</v>
      </c>
      <c r="C8376" s="1" t="str">
        <f>HYPERLINK("http://www.genecards.org/cgi-bin/carddisp.pl?gene=ARF3","GeneCards")</f>
        <v>GeneCards</v>
      </c>
      <c r="D8376" s="1" t="str">
        <f>HYPERLINK("http://genome-euro.ucsc.edu/cgi-bin/hgTracks?position=200011_s_at","UCSC")</f>
        <v>UCSC</v>
      </c>
      <c r="E8376" s="1" t="str">
        <f>HYPERLINK("http://www.ncbi.nlm.nih.gov/gene/?term=ARF3","NCBI")</f>
        <v>NCBI</v>
      </c>
      <c r="F8376">
        <v>0.14000000000000001</v>
      </c>
      <c r="G8376">
        <v>0.28000000000000003</v>
      </c>
      <c r="H8376" s="1" t="str">
        <f>HYPERLINK("http://www.weizmann.ac.il/complex/compphys/software/geview/data/figures/200011_s_at.png","Figure")</f>
        <v>Figure</v>
      </c>
      <c r="I8376">
        <v>0.66500000000000004</v>
      </c>
      <c r="J8376">
        <v>0.13</v>
      </c>
      <c r="K8376">
        <v>0.89700000000000002</v>
      </c>
      <c r="L8376">
        <v>0.8</v>
      </c>
      <c r="M8376">
        <v>1.35</v>
      </c>
      <c r="N8376">
        <v>0.26</v>
      </c>
    </row>
    <row r="8377" spans="1:14" x14ac:dyDescent="0.25">
      <c r="A8377" t="s">
        <v>14815</v>
      </c>
      <c r="B8377" t="s">
        <v>9067</v>
      </c>
      <c r="C8377" s="1" t="str">
        <f>HYPERLINK("http://www.genecards.org/cgi-bin/carddisp.pl?gene=PICALM","GeneCards")</f>
        <v>GeneCards</v>
      </c>
      <c r="D8377" s="1" t="str">
        <f>HYPERLINK("http://genome-euro.ucsc.edu/cgi-bin/hgTracks?position=212511_at","UCSC")</f>
        <v>UCSC</v>
      </c>
      <c r="E8377" s="1" t="str">
        <f>HYPERLINK("http://www.ncbi.nlm.nih.gov/gene/?term=PICALM","NCBI")</f>
        <v>NCBI</v>
      </c>
      <c r="F8377">
        <v>0.14000000000000001</v>
      </c>
      <c r="G8377">
        <v>0.28000000000000003</v>
      </c>
      <c r="H8377" s="1" t="str">
        <f>HYPERLINK("http://www.weizmann.ac.il/complex/compphys/software/geview/data/figures/212511_at.png","Figure")</f>
        <v>Figure</v>
      </c>
      <c r="I8377">
        <v>0.52300000000000002</v>
      </c>
      <c r="J8377">
        <v>0.21</v>
      </c>
      <c r="K8377">
        <v>0.53800000000000003</v>
      </c>
      <c r="L8377">
        <v>0.16</v>
      </c>
      <c r="M8377">
        <v>1.03</v>
      </c>
      <c r="N8377">
        <v>1</v>
      </c>
    </row>
    <row r="8378" spans="1:14" x14ac:dyDescent="0.25">
      <c r="A8378" t="s">
        <v>14816</v>
      </c>
      <c r="B8378" t="s">
        <v>1863</v>
      </c>
      <c r="C8378" s="1" t="str">
        <f>HYPERLINK("http://www.genecards.org/cgi-bin/carddisp.pl?gene=TRA2B","GeneCards")</f>
        <v>GeneCards</v>
      </c>
      <c r="D8378" s="1" t="str">
        <f>HYPERLINK("http://genome-euro.ucsc.edu/cgi-bin/hgTracks?position=200893_at","UCSC")</f>
        <v>UCSC</v>
      </c>
      <c r="E8378" s="1" t="str">
        <f>HYPERLINK("http://www.ncbi.nlm.nih.gov/gene/?term=TRA2B","NCBI")</f>
        <v>NCBI</v>
      </c>
      <c r="F8378">
        <v>0.14000000000000001</v>
      </c>
      <c r="G8378">
        <v>0.28000000000000003</v>
      </c>
      <c r="H8378" s="1" t="str">
        <f>HYPERLINK("http://www.weizmann.ac.il/complex/compphys/software/geview/data/figures/200893_at.png","Figure")</f>
        <v>Figure</v>
      </c>
      <c r="I8378">
        <v>1.02</v>
      </c>
      <c r="J8378">
        <v>0.97</v>
      </c>
      <c r="K8378">
        <v>0.86399999999999999</v>
      </c>
      <c r="L8378">
        <v>0.24</v>
      </c>
      <c r="M8378">
        <v>0.84299999999999997</v>
      </c>
      <c r="N8378">
        <v>0.19</v>
      </c>
    </row>
    <row r="8379" spans="1:14" x14ac:dyDescent="0.25">
      <c r="A8379" t="s">
        <v>14817</v>
      </c>
      <c r="B8379" t="s">
        <v>3031</v>
      </c>
      <c r="C8379" s="1" t="str">
        <f>HYPERLINK("http://www.genecards.org/cgi-bin/carddisp.pl?gene=SFRS18","GeneCards")</f>
        <v>GeneCards</v>
      </c>
      <c r="D8379" s="1" t="str">
        <f>HYPERLINK("http://genome-euro.ucsc.edu/cgi-bin/hgTracks?position=212177_at","UCSC")</f>
        <v>UCSC</v>
      </c>
      <c r="E8379" s="1" t="str">
        <f>HYPERLINK("http://www.ncbi.nlm.nih.gov/gene/?term=SFRS18","NCBI")</f>
        <v>NCBI</v>
      </c>
      <c r="F8379">
        <v>0.14000000000000001</v>
      </c>
      <c r="G8379">
        <v>0.28000000000000003</v>
      </c>
      <c r="H8379" s="1" t="str">
        <f>HYPERLINK("http://www.weizmann.ac.il/complex/compphys/software/geview/data/figures/212177_at.png","Figure")</f>
        <v>Figure</v>
      </c>
      <c r="I8379">
        <v>0.71</v>
      </c>
      <c r="J8379">
        <v>0.32</v>
      </c>
      <c r="K8379">
        <v>0.65800000000000003</v>
      </c>
      <c r="L8379">
        <v>0.13</v>
      </c>
      <c r="M8379">
        <v>0.92700000000000005</v>
      </c>
      <c r="N8379">
        <v>0.93</v>
      </c>
    </row>
    <row r="8380" spans="1:14" x14ac:dyDescent="0.25">
      <c r="A8380" t="s">
        <v>14818</v>
      </c>
      <c r="B8380" t="s">
        <v>6532</v>
      </c>
      <c r="C8380" s="1" t="str">
        <f>HYPERLINK("http://www.genecards.org/cgi-bin/carddisp.pl?gene=SOS2","GeneCards")</f>
        <v>GeneCards</v>
      </c>
      <c r="D8380" s="1" t="str">
        <f>HYPERLINK("http://genome-euro.ucsc.edu/cgi-bin/hgTracks?position=211665_s_at","UCSC")</f>
        <v>UCSC</v>
      </c>
      <c r="E8380" s="1" t="str">
        <f>HYPERLINK("http://www.ncbi.nlm.nih.gov/gene/?term=SOS2","NCBI")</f>
        <v>NCBI</v>
      </c>
      <c r="F8380">
        <v>0.14000000000000001</v>
      </c>
      <c r="G8380">
        <v>0.28000000000000003</v>
      </c>
      <c r="H8380" s="1" t="str">
        <f>HYPERLINK("http://www.weizmann.ac.il/complex/compphys/software/geview/data/figures/211665_s_at.png","Figure")</f>
        <v>Figure</v>
      </c>
      <c r="I8380">
        <v>1.08</v>
      </c>
      <c r="J8380">
        <v>0.46</v>
      </c>
      <c r="K8380">
        <v>0.94799999999999995</v>
      </c>
      <c r="L8380">
        <v>0.64</v>
      </c>
      <c r="M8380">
        <v>0.874</v>
      </c>
      <c r="N8380">
        <v>0.12</v>
      </c>
    </row>
    <row r="8381" spans="1:14" x14ac:dyDescent="0.25">
      <c r="A8381" t="s">
        <v>14819</v>
      </c>
      <c r="B8381" t="s">
        <v>14820</v>
      </c>
      <c r="C8381" s="1" t="str">
        <f>HYPERLINK("http://www.genecards.org/cgi-bin/carddisp.pl?gene=OR1E1","GeneCards")</f>
        <v>GeneCards</v>
      </c>
      <c r="D8381" s="1" t="str">
        <f>HYPERLINK("http://genome-euro.ucsc.edu/cgi-bin/hgTracks?position=214515_at","UCSC")</f>
        <v>UCSC</v>
      </c>
      <c r="E8381" s="1" t="str">
        <f>HYPERLINK("http://www.ncbi.nlm.nih.gov/gene/?term=OR1E1","NCBI")</f>
        <v>NCBI</v>
      </c>
      <c r="F8381">
        <v>0.14000000000000001</v>
      </c>
      <c r="G8381">
        <v>0.28000000000000003</v>
      </c>
      <c r="H8381" s="1" t="str">
        <f>HYPERLINK("http://www.weizmann.ac.il/complex/compphys/software/geview/data/figures/214515_at.png","Figure")</f>
        <v>Figure</v>
      </c>
      <c r="I8381">
        <v>1.17</v>
      </c>
      <c r="J8381">
        <v>0.12</v>
      </c>
      <c r="K8381">
        <v>1.08</v>
      </c>
      <c r="L8381">
        <v>0.48</v>
      </c>
      <c r="M8381">
        <v>0.92300000000000004</v>
      </c>
      <c r="N8381">
        <v>0.48</v>
      </c>
    </row>
    <row r="8382" spans="1:14" x14ac:dyDescent="0.25">
      <c r="A8382" t="s">
        <v>14821</v>
      </c>
      <c r="B8382" t="s">
        <v>14822</v>
      </c>
      <c r="C8382" s="1" t="str">
        <f>HYPERLINK("http://www.genecards.org/cgi-bin/carddisp.pl?gene=GNB1L","GeneCards")</f>
        <v>GeneCards</v>
      </c>
      <c r="D8382" s="1" t="str">
        <f>HYPERLINK("http://genome-euro.ucsc.edu/cgi-bin/hgTracks?position=220762_s_at","UCSC")</f>
        <v>UCSC</v>
      </c>
      <c r="E8382" s="1" t="str">
        <f>HYPERLINK("http://www.ncbi.nlm.nih.gov/gene/?term=GNB1L","NCBI")</f>
        <v>NCBI</v>
      </c>
      <c r="F8382">
        <v>0.14000000000000001</v>
      </c>
      <c r="G8382">
        <v>0.28000000000000003</v>
      </c>
      <c r="H8382" s="1" t="str">
        <f>HYPERLINK("http://www.weizmann.ac.il/complex/compphys/software/geview/data/figures/220762_s_at.png","Figure")</f>
        <v>Figure</v>
      </c>
      <c r="I8382">
        <v>1.17</v>
      </c>
      <c r="J8382">
        <v>0.12</v>
      </c>
      <c r="K8382">
        <v>1.06</v>
      </c>
      <c r="L8382">
        <v>0.61</v>
      </c>
      <c r="M8382">
        <v>0.91</v>
      </c>
      <c r="N8382">
        <v>0.37</v>
      </c>
    </row>
    <row r="8383" spans="1:14" x14ac:dyDescent="0.25">
      <c r="A8383" t="s">
        <v>14823</v>
      </c>
      <c r="B8383" t="s">
        <v>9491</v>
      </c>
      <c r="C8383" s="1" t="str">
        <f>HYPERLINK("http://www.genecards.org/cgi-bin/carddisp.pl?gene=AKAP13","GeneCards")</f>
        <v>GeneCards</v>
      </c>
      <c r="D8383" s="1" t="str">
        <f>HYPERLINK("http://genome-euro.ucsc.edu/cgi-bin/hgTracks?position=208325_s_at","UCSC")</f>
        <v>UCSC</v>
      </c>
      <c r="E8383" s="1" t="str">
        <f>HYPERLINK("http://www.ncbi.nlm.nih.gov/gene/?term=AKAP13","NCBI")</f>
        <v>NCBI</v>
      </c>
      <c r="F8383">
        <v>0.14000000000000001</v>
      </c>
      <c r="G8383">
        <v>0.28000000000000003</v>
      </c>
      <c r="H8383" s="1" t="str">
        <f>HYPERLINK("http://www.weizmann.ac.il/complex/compphys/software/geview/data/figures/208325_s_at.png","Figure")</f>
        <v>Figure</v>
      </c>
      <c r="I8383">
        <v>1.55</v>
      </c>
      <c r="J8383">
        <v>0.46</v>
      </c>
      <c r="K8383">
        <v>0.753</v>
      </c>
      <c r="L8383">
        <v>0.64</v>
      </c>
      <c r="M8383">
        <v>0.48699999999999999</v>
      </c>
      <c r="N8383">
        <v>0.12</v>
      </c>
    </row>
    <row r="8384" spans="1:14" x14ac:dyDescent="0.25">
      <c r="A8384" t="s">
        <v>14824</v>
      </c>
      <c r="B8384" t="s">
        <v>14825</v>
      </c>
      <c r="C8384" s="1" t="str">
        <f>HYPERLINK("http://www.genecards.org/cgi-bin/carddisp.pl?gene=FAIM3","GeneCards")</f>
        <v>GeneCards</v>
      </c>
      <c r="D8384" s="1" t="str">
        <f>HYPERLINK("http://genome-euro.ucsc.edu/cgi-bin/hgTracks?position=221601_s_at","UCSC")</f>
        <v>UCSC</v>
      </c>
      <c r="E8384" s="1" t="str">
        <f>HYPERLINK("http://www.ncbi.nlm.nih.gov/gene/?term=FAIM3","NCBI")</f>
        <v>NCBI</v>
      </c>
      <c r="F8384">
        <v>0.14000000000000001</v>
      </c>
      <c r="G8384">
        <v>0.28000000000000003</v>
      </c>
      <c r="H8384" s="1" t="str">
        <f>HYPERLINK("http://www.weizmann.ac.il/complex/compphys/software/geview/data/figures/221601_s_at.png","Figure")</f>
        <v>Figure</v>
      </c>
      <c r="I8384">
        <v>0.63100000000000001</v>
      </c>
      <c r="J8384">
        <v>0.14000000000000001</v>
      </c>
      <c r="K8384">
        <v>0.73399999999999999</v>
      </c>
      <c r="L8384">
        <v>0.28999999999999998</v>
      </c>
      <c r="M8384">
        <v>1.1599999999999999</v>
      </c>
      <c r="N8384">
        <v>0.75</v>
      </c>
    </row>
    <row r="8385" spans="1:14" x14ac:dyDescent="0.25">
      <c r="A8385" t="s">
        <v>14826</v>
      </c>
      <c r="B8385" t="s">
        <v>14827</v>
      </c>
      <c r="C8385" s="1" t="str">
        <f>HYPERLINK("http://www.genecards.org/cgi-bin/carddisp.pl?gene=RNF186","GeneCards")</f>
        <v>GeneCards</v>
      </c>
      <c r="D8385" s="1" t="str">
        <f>HYPERLINK("http://genome-euro.ucsc.edu/cgi-bin/hgTracks?position=219739_at","UCSC")</f>
        <v>UCSC</v>
      </c>
      <c r="E8385" s="1" t="str">
        <f>HYPERLINK("http://www.ncbi.nlm.nih.gov/gene/?term=RNF186","NCBI")</f>
        <v>NCBI</v>
      </c>
      <c r="F8385">
        <v>0.14000000000000001</v>
      </c>
      <c r="G8385">
        <v>0.28000000000000003</v>
      </c>
      <c r="H8385" s="1" t="str">
        <f>HYPERLINK("http://www.weizmann.ac.il/complex/compphys/software/geview/data/figures/219739_at.png","Figure")</f>
        <v>Figure</v>
      </c>
      <c r="I8385">
        <v>1.19</v>
      </c>
      <c r="J8385">
        <v>0.13</v>
      </c>
      <c r="K8385">
        <v>1.1100000000000001</v>
      </c>
      <c r="L8385">
        <v>0.33</v>
      </c>
      <c r="M8385">
        <v>0.93500000000000005</v>
      </c>
      <c r="N8385">
        <v>0.67</v>
      </c>
    </row>
    <row r="8386" spans="1:14" x14ac:dyDescent="0.25">
      <c r="A8386" t="s">
        <v>14828</v>
      </c>
      <c r="B8386" t="s">
        <v>9850</v>
      </c>
      <c r="C8386" s="1" t="str">
        <f>HYPERLINK("http://www.genecards.org/cgi-bin/carddisp.pl?gene=PDK3","GeneCards")</f>
        <v>GeneCards</v>
      </c>
      <c r="D8386" s="1" t="str">
        <f>HYPERLINK("http://genome-euro.ucsc.edu/cgi-bin/hgTracks?position=221957_at","UCSC")</f>
        <v>UCSC</v>
      </c>
      <c r="E8386" s="1" t="str">
        <f>HYPERLINK("http://www.ncbi.nlm.nih.gov/gene/?term=PDK3","NCBI")</f>
        <v>NCBI</v>
      </c>
      <c r="F8386">
        <v>0.14000000000000001</v>
      </c>
      <c r="G8386">
        <v>0.28000000000000003</v>
      </c>
      <c r="H8386" s="1" t="str">
        <f>HYPERLINK("http://www.weizmann.ac.il/complex/compphys/software/geview/data/figures/221957_at.png","Figure")</f>
        <v>Figure</v>
      </c>
      <c r="I8386">
        <v>0.92</v>
      </c>
      <c r="J8386">
        <v>0.46</v>
      </c>
      <c r="K8386">
        <v>0.88</v>
      </c>
      <c r="L8386">
        <v>0.12</v>
      </c>
      <c r="M8386">
        <v>0.95699999999999996</v>
      </c>
      <c r="N8386">
        <v>0.77</v>
      </c>
    </row>
    <row r="8387" spans="1:14" x14ac:dyDescent="0.25">
      <c r="A8387" t="s">
        <v>14829</v>
      </c>
      <c r="B8387" t="s">
        <v>9034</v>
      </c>
      <c r="C8387" s="1" t="str">
        <f>HYPERLINK("http://www.genecards.org/cgi-bin/carddisp.pl?gene=PTPRN2","GeneCards")</f>
        <v>GeneCards</v>
      </c>
      <c r="D8387" s="1" t="str">
        <f>HYPERLINK("http://genome-euro.ucsc.edu/cgi-bin/hgTracks?position=203029_s_at","UCSC")</f>
        <v>UCSC</v>
      </c>
      <c r="E8387" s="1" t="str">
        <f>HYPERLINK("http://www.ncbi.nlm.nih.gov/gene/?term=PTPRN2","NCBI")</f>
        <v>NCBI</v>
      </c>
      <c r="F8387">
        <v>0.14000000000000001</v>
      </c>
      <c r="G8387">
        <v>0.28000000000000003</v>
      </c>
      <c r="H8387" s="1" t="str">
        <f>HYPERLINK("http://www.weizmann.ac.il/complex/compphys/software/geview/data/figures/203029_s_at.png","Figure")</f>
        <v>Figure</v>
      </c>
      <c r="I8387">
        <v>0.89800000000000002</v>
      </c>
      <c r="J8387">
        <v>0.2</v>
      </c>
      <c r="K8387">
        <v>1</v>
      </c>
      <c r="L8387">
        <v>1</v>
      </c>
      <c r="M8387">
        <v>1.1200000000000001</v>
      </c>
      <c r="N8387">
        <v>0.15</v>
      </c>
    </row>
    <row r="8388" spans="1:14" x14ac:dyDescent="0.25">
      <c r="A8388" t="s">
        <v>14830</v>
      </c>
      <c r="B8388" t="s">
        <v>14831</v>
      </c>
      <c r="C8388" s="1" t="str">
        <f>HYPERLINK("http://www.genecards.org/cgi-bin/carddisp.pl?gene=RNF4","GeneCards")</f>
        <v>GeneCards</v>
      </c>
      <c r="D8388" s="1" t="str">
        <f>HYPERLINK("http://genome-euro.ucsc.edu/cgi-bin/hgTracks?position=212696_s_at","UCSC")</f>
        <v>UCSC</v>
      </c>
      <c r="E8388" s="1" t="str">
        <f>HYPERLINK("http://www.ncbi.nlm.nih.gov/gene/?term=RNF4","NCBI")</f>
        <v>NCBI</v>
      </c>
      <c r="F8388">
        <v>0.14000000000000001</v>
      </c>
      <c r="G8388">
        <v>0.28000000000000003</v>
      </c>
      <c r="H8388" s="1" t="str">
        <f>HYPERLINK("http://www.weizmann.ac.il/complex/compphys/software/geview/data/figures/212696_s_at.png","Figure")</f>
        <v>Figure</v>
      </c>
      <c r="I8388">
        <v>1.37</v>
      </c>
      <c r="J8388">
        <v>0.12</v>
      </c>
      <c r="K8388">
        <v>1.1499999999999999</v>
      </c>
      <c r="L8388">
        <v>0.55000000000000004</v>
      </c>
      <c r="M8388">
        <v>0.83899999999999997</v>
      </c>
      <c r="N8388">
        <v>0.42</v>
      </c>
    </row>
    <row r="8389" spans="1:14" x14ac:dyDescent="0.25">
      <c r="A8389" t="s">
        <v>14832</v>
      </c>
      <c r="B8389" t="s">
        <v>14833</v>
      </c>
      <c r="C8389" s="1" t="str">
        <f>HYPERLINK("http://www.genecards.org/cgi-bin/carddisp.pl?gene=WDR19","GeneCards")</f>
        <v>GeneCards</v>
      </c>
      <c r="D8389" s="1" t="str">
        <f>HYPERLINK("http://genome-euro.ucsc.edu/cgi-bin/hgTracks?position=220917_s_at","UCSC")</f>
        <v>UCSC</v>
      </c>
      <c r="E8389" s="1" t="str">
        <f>HYPERLINK("http://www.ncbi.nlm.nih.gov/gene/?term=WDR19","NCBI")</f>
        <v>NCBI</v>
      </c>
      <c r="F8389">
        <v>0.14000000000000001</v>
      </c>
      <c r="G8389">
        <v>0.28000000000000003</v>
      </c>
      <c r="H8389" s="1" t="str">
        <f>HYPERLINK("http://www.weizmann.ac.il/complex/compphys/software/geview/data/figures/220917_s_at.png","Figure")</f>
        <v>Figure</v>
      </c>
      <c r="I8389">
        <v>1.1399999999999999</v>
      </c>
      <c r="J8389">
        <v>0.79</v>
      </c>
      <c r="K8389">
        <v>1.45</v>
      </c>
      <c r="L8389">
        <v>0.13</v>
      </c>
      <c r="M8389">
        <v>1.27</v>
      </c>
      <c r="N8389">
        <v>0.45</v>
      </c>
    </row>
    <row r="8390" spans="1:14" x14ac:dyDescent="0.25">
      <c r="A8390" t="s">
        <v>14834</v>
      </c>
      <c r="B8390" t="s">
        <v>12759</v>
      </c>
      <c r="C8390" s="1" t="str">
        <f>HYPERLINK("http://www.genecards.org/cgi-bin/carddisp.pl?gene=C7orf64","GeneCards")</f>
        <v>GeneCards</v>
      </c>
      <c r="D8390" s="1" t="str">
        <f>HYPERLINK("http://genome-euro.ucsc.edu/cgi-bin/hgTracks?position=221594_at","UCSC")</f>
        <v>UCSC</v>
      </c>
      <c r="E8390" s="1" t="str">
        <f>HYPERLINK("http://www.ncbi.nlm.nih.gov/gene/?term=C7orf64","NCBI")</f>
        <v>NCBI</v>
      </c>
      <c r="F8390">
        <v>0.14000000000000001</v>
      </c>
      <c r="G8390">
        <v>0.28000000000000003</v>
      </c>
      <c r="H8390" s="1" t="str">
        <f>HYPERLINK("http://www.weizmann.ac.il/complex/compphys/software/geview/data/figures/221594_at.png","Figure")</f>
        <v>Figure</v>
      </c>
      <c r="I8390">
        <v>0.90700000000000003</v>
      </c>
      <c r="J8390">
        <v>0.12</v>
      </c>
      <c r="K8390">
        <v>0.96199999999999997</v>
      </c>
      <c r="L8390">
        <v>0.6</v>
      </c>
      <c r="M8390">
        <v>1.06</v>
      </c>
      <c r="N8390">
        <v>0.38</v>
      </c>
    </row>
    <row r="8391" spans="1:14" x14ac:dyDescent="0.25">
      <c r="A8391" t="s">
        <v>14835</v>
      </c>
      <c r="B8391" t="s">
        <v>14836</v>
      </c>
      <c r="C8391" s="1" t="str">
        <f>HYPERLINK("http://www.genecards.org/cgi-bin/carddisp.pl?gene=FIP1L1","GeneCards")</f>
        <v>GeneCards</v>
      </c>
      <c r="D8391" s="1" t="str">
        <f>HYPERLINK("http://genome-euro.ucsc.edu/cgi-bin/hgTracks?position=221007_s_at","UCSC")</f>
        <v>UCSC</v>
      </c>
      <c r="E8391" s="1" t="str">
        <f>HYPERLINK("http://www.ncbi.nlm.nih.gov/gene/?term=FIP1L1","NCBI")</f>
        <v>NCBI</v>
      </c>
      <c r="F8391">
        <v>0.14000000000000001</v>
      </c>
      <c r="G8391">
        <v>0.28000000000000003</v>
      </c>
      <c r="H8391" s="1" t="str">
        <f>HYPERLINK("http://www.weizmann.ac.il/complex/compphys/software/geview/data/figures/221007_s_at.png","Figure")</f>
        <v>Figure</v>
      </c>
      <c r="I8391">
        <v>0.74399999999999999</v>
      </c>
      <c r="J8391">
        <v>0.31</v>
      </c>
      <c r="K8391">
        <v>0.70499999999999996</v>
      </c>
      <c r="L8391">
        <v>0.13</v>
      </c>
      <c r="M8391">
        <v>0.94799999999999995</v>
      </c>
      <c r="N8391">
        <v>0.95</v>
      </c>
    </row>
    <row r="8392" spans="1:14" x14ac:dyDescent="0.25">
      <c r="A8392" t="s">
        <v>14837</v>
      </c>
      <c r="B8392" t="s">
        <v>1139</v>
      </c>
      <c r="C8392" s="1" t="str">
        <f>HYPERLINK("http://www.genecards.org/cgi-bin/carddisp.pl?gene=TBL1X","GeneCards")</f>
        <v>GeneCards</v>
      </c>
      <c r="D8392" s="1" t="str">
        <f>HYPERLINK("http://genome-euro.ucsc.edu/cgi-bin/hgTracks?position=201868_s_at","UCSC")</f>
        <v>UCSC</v>
      </c>
      <c r="E8392" s="1" t="str">
        <f>HYPERLINK("http://www.ncbi.nlm.nih.gov/gene/?term=TBL1X","NCBI")</f>
        <v>NCBI</v>
      </c>
      <c r="F8392">
        <v>0.14000000000000001</v>
      </c>
      <c r="G8392">
        <v>0.28000000000000003</v>
      </c>
      <c r="H8392" s="1" t="str">
        <f>HYPERLINK("http://www.weizmann.ac.il/complex/compphys/software/geview/data/figures/201868_s_at.png","Figure")</f>
        <v>Figure</v>
      </c>
      <c r="I8392">
        <v>0.97099999999999997</v>
      </c>
      <c r="J8392">
        <v>0.93</v>
      </c>
      <c r="K8392">
        <v>0.86499999999999999</v>
      </c>
      <c r="L8392">
        <v>0.15</v>
      </c>
      <c r="M8392">
        <v>0.89100000000000001</v>
      </c>
      <c r="N8392">
        <v>0.32</v>
      </c>
    </row>
    <row r="8393" spans="1:14" x14ac:dyDescent="0.25">
      <c r="A8393" t="s">
        <v>14838</v>
      </c>
      <c r="B8393" t="s">
        <v>14839</v>
      </c>
      <c r="C8393" s="1" t="str">
        <f>HYPERLINK("http://www.genecards.org/cgi-bin/carddisp.pl?gene=RP1-21O18.1","GeneCards")</f>
        <v>GeneCards</v>
      </c>
      <c r="D8393" s="1" t="str">
        <f>HYPERLINK("http://genome-euro.ucsc.edu/cgi-bin/hgTracks?position=213478_at","UCSC")</f>
        <v>UCSC</v>
      </c>
      <c r="E8393" s="1" t="str">
        <f>HYPERLINK("http://www.ncbi.nlm.nih.gov/gene/?term=RP1-21O18.1","NCBI")</f>
        <v>NCBI</v>
      </c>
      <c r="F8393">
        <v>0.14000000000000001</v>
      </c>
      <c r="G8393">
        <v>0.28000000000000003</v>
      </c>
      <c r="H8393" s="1" t="str">
        <f>HYPERLINK("http://www.weizmann.ac.il/complex/compphys/software/geview/data/figures/213478_at.png","Figure")</f>
        <v>Figure</v>
      </c>
      <c r="I8393">
        <v>1.1000000000000001</v>
      </c>
      <c r="J8393">
        <v>0.25</v>
      </c>
      <c r="K8393">
        <v>0.98399999999999999</v>
      </c>
      <c r="L8393">
        <v>0.95</v>
      </c>
      <c r="M8393">
        <v>0.89600000000000002</v>
      </c>
      <c r="N8393">
        <v>0.13</v>
      </c>
    </row>
    <row r="8394" spans="1:14" x14ac:dyDescent="0.25">
      <c r="A8394" t="s">
        <v>14840</v>
      </c>
      <c r="B8394" t="s">
        <v>14841</v>
      </c>
      <c r="C8394" s="1" t="str">
        <f>HYPERLINK("http://www.genecards.org/cgi-bin/carddisp.pl?gene=GNA13","GeneCards")</f>
        <v>GeneCards</v>
      </c>
      <c r="D8394" s="1" t="str">
        <f>HYPERLINK("http://genome-euro.ucsc.edu/cgi-bin/hgTracks?position=206917_at","UCSC")</f>
        <v>UCSC</v>
      </c>
      <c r="E8394" s="1" t="str">
        <f>HYPERLINK("http://www.ncbi.nlm.nih.gov/gene/?term=GNA13","NCBI")</f>
        <v>NCBI</v>
      </c>
      <c r="F8394">
        <v>0.14000000000000001</v>
      </c>
      <c r="G8394">
        <v>0.28000000000000003</v>
      </c>
      <c r="H8394" s="1" t="str">
        <f>HYPERLINK("http://www.weizmann.ac.il/complex/compphys/software/geview/data/figures/206917_at.png","Figure")</f>
        <v>Figure</v>
      </c>
      <c r="I8394">
        <v>0.71899999999999997</v>
      </c>
      <c r="J8394">
        <v>0.28999999999999998</v>
      </c>
      <c r="K8394">
        <v>0.68500000000000005</v>
      </c>
      <c r="L8394">
        <v>0.14000000000000001</v>
      </c>
      <c r="M8394">
        <v>0.95199999999999996</v>
      </c>
      <c r="N8394">
        <v>0.97</v>
      </c>
    </row>
    <row r="8395" spans="1:14" x14ac:dyDescent="0.25">
      <c r="A8395" t="s">
        <v>14842</v>
      </c>
      <c r="B8395" t="s">
        <v>14718</v>
      </c>
      <c r="C8395" s="1" t="str">
        <f>HYPERLINK("http://www.genecards.org/cgi-bin/carddisp.pl?gene=CDC27","GeneCards")</f>
        <v>GeneCards</v>
      </c>
      <c r="D8395" s="1" t="str">
        <f>HYPERLINK("http://genome-euro.ucsc.edu/cgi-bin/hgTracks?position=217878_s_at","UCSC")</f>
        <v>UCSC</v>
      </c>
      <c r="E8395" s="1" t="str">
        <f>HYPERLINK("http://www.ncbi.nlm.nih.gov/gene/?term=CDC27","NCBI")</f>
        <v>NCBI</v>
      </c>
      <c r="F8395">
        <v>0.14000000000000001</v>
      </c>
      <c r="G8395">
        <v>0.28000000000000003</v>
      </c>
      <c r="H8395" s="1" t="str">
        <f>HYPERLINK("http://www.weizmann.ac.il/complex/compphys/software/geview/data/figures/217878_s_at.png","Figure")</f>
        <v>Figure</v>
      </c>
      <c r="I8395">
        <v>1.4</v>
      </c>
      <c r="J8395">
        <v>0.14000000000000001</v>
      </c>
      <c r="K8395">
        <v>1.27</v>
      </c>
      <c r="L8395">
        <v>0.26</v>
      </c>
      <c r="M8395">
        <v>0.90700000000000003</v>
      </c>
      <c r="N8395">
        <v>0.8</v>
      </c>
    </row>
    <row r="8396" spans="1:14" x14ac:dyDescent="0.25">
      <c r="A8396" t="s">
        <v>14843</v>
      </c>
      <c r="B8396" t="s">
        <v>14844</v>
      </c>
      <c r="C8396" s="1" t="str">
        <f>HYPERLINK("http://www.genecards.org/cgi-bin/carddisp.pl?gene=CDKN1C","GeneCards")</f>
        <v>GeneCards</v>
      </c>
      <c r="D8396" s="1" t="str">
        <f>HYPERLINK("http://genome-euro.ucsc.edu/cgi-bin/hgTracks?position=213182_x_at","UCSC")</f>
        <v>UCSC</v>
      </c>
      <c r="E8396" s="1" t="str">
        <f>HYPERLINK("http://www.ncbi.nlm.nih.gov/gene/?term=CDKN1C","NCBI")</f>
        <v>NCBI</v>
      </c>
      <c r="F8396">
        <v>0.14000000000000001</v>
      </c>
      <c r="G8396">
        <v>0.28000000000000003</v>
      </c>
      <c r="H8396" s="1" t="str">
        <f>HYPERLINK("http://www.weizmann.ac.il/complex/compphys/software/geview/data/figures/213182_x_at.png","Figure")</f>
        <v>Figure</v>
      </c>
      <c r="I8396">
        <v>1.2</v>
      </c>
      <c r="J8396">
        <v>0.21</v>
      </c>
      <c r="K8396">
        <v>1.19</v>
      </c>
      <c r="L8396">
        <v>0.17</v>
      </c>
      <c r="M8396">
        <v>0.99</v>
      </c>
      <c r="N8396">
        <v>0.99</v>
      </c>
    </row>
    <row r="8397" spans="1:14" x14ac:dyDescent="0.25">
      <c r="A8397" t="s">
        <v>14845</v>
      </c>
      <c r="B8397" t="s">
        <v>14846</v>
      </c>
      <c r="C8397" s="1" t="str">
        <f>HYPERLINK("http://www.genecards.org/cgi-bin/carddisp.pl?gene=TSC22D1","GeneCards")</f>
        <v>GeneCards</v>
      </c>
      <c r="D8397" s="1" t="str">
        <f>HYPERLINK("http://genome-euro.ucsc.edu/cgi-bin/hgTracks?position=215111_s_at","UCSC")</f>
        <v>UCSC</v>
      </c>
      <c r="E8397" s="1" t="str">
        <f>HYPERLINK("http://www.ncbi.nlm.nih.gov/gene/?term=TSC22D1","NCBI")</f>
        <v>NCBI</v>
      </c>
      <c r="F8397">
        <v>0.14000000000000001</v>
      </c>
      <c r="G8397">
        <v>0.28000000000000003</v>
      </c>
      <c r="H8397" s="1" t="str">
        <f>HYPERLINK("http://www.weizmann.ac.il/complex/compphys/software/geview/data/figures/215111_s_at.png","Figure")</f>
        <v>Figure</v>
      </c>
      <c r="I8397">
        <v>0.60799999999999998</v>
      </c>
      <c r="J8397">
        <v>0.33</v>
      </c>
      <c r="K8397">
        <v>0.53900000000000003</v>
      </c>
      <c r="L8397">
        <v>0.13</v>
      </c>
      <c r="M8397">
        <v>0.88600000000000001</v>
      </c>
      <c r="N8397">
        <v>0.92</v>
      </c>
    </row>
    <row r="8398" spans="1:14" x14ac:dyDescent="0.25">
      <c r="A8398" t="s">
        <v>14847</v>
      </c>
      <c r="B8398" t="s">
        <v>3676</v>
      </c>
      <c r="C8398" s="1" t="str">
        <f>HYPERLINK("http://www.genecards.org/cgi-bin/carddisp.pl?gene=PEX3","GeneCards")</f>
        <v>GeneCards</v>
      </c>
      <c r="D8398" s="1" t="str">
        <f>HYPERLINK("http://genome-euro.ucsc.edu/cgi-bin/hgTracks?position=203970_s_at","UCSC")</f>
        <v>UCSC</v>
      </c>
      <c r="E8398" s="1" t="str">
        <f>HYPERLINK("http://www.ncbi.nlm.nih.gov/gene/?term=PEX3","NCBI")</f>
        <v>NCBI</v>
      </c>
      <c r="F8398">
        <v>0.14000000000000001</v>
      </c>
      <c r="G8398">
        <v>0.28000000000000003</v>
      </c>
      <c r="H8398" s="1" t="str">
        <f>HYPERLINK("http://www.weizmann.ac.il/complex/compphys/software/geview/data/figures/203970_s_at.png","Figure")</f>
        <v>Figure</v>
      </c>
      <c r="I8398">
        <v>0.83899999999999997</v>
      </c>
      <c r="J8398">
        <v>0.19</v>
      </c>
      <c r="K8398">
        <v>1</v>
      </c>
      <c r="L8398">
        <v>1</v>
      </c>
      <c r="M8398">
        <v>1.19</v>
      </c>
      <c r="N8398">
        <v>0.16</v>
      </c>
    </row>
    <row r="8399" spans="1:14" x14ac:dyDescent="0.25">
      <c r="A8399" t="s">
        <v>14848</v>
      </c>
      <c r="B8399" t="s">
        <v>14849</v>
      </c>
      <c r="C8399" s="1" t="str">
        <f>HYPERLINK("http://www.genecards.org/cgi-bin/carddisp.pl?gene=WTAP","GeneCards")</f>
        <v>GeneCards</v>
      </c>
      <c r="D8399" s="1" t="str">
        <f>HYPERLINK("http://genome-euro.ucsc.edu/cgi-bin/hgTracks?position=203137_at","UCSC")</f>
        <v>UCSC</v>
      </c>
      <c r="E8399" s="1" t="str">
        <f>HYPERLINK("http://www.ncbi.nlm.nih.gov/gene/?term=WTAP","NCBI")</f>
        <v>NCBI</v>
      </c>
      <c r="F8399">
        <v>0.14000000000000001</v>
      </c>
      <c r="G8399">
        <v>0.28000000000000003</v>
      </c>
      <c r="H8399" s="1" t="str">
        <f>HYPERLINK("http://www.weizmann.ac.il/complex/compphys/software/geview/data/figures/203137_at.png","Figure")</f>
        <v>Figure</v>
      </c>
      <c r="I8399">
        <v>0.94299999999999995</v>
      </c>
      <c r="J8399">
        <v>0.98</v>
      </c>
      <c r="K8399">
        <v>0.56499999999999995</v>
      </c>
      <c r="L8399">
        <v>0.17</v>
      </c>
      <c r="M8399">
        <v>0.59899999999999998</v>
      </c>
      <c r="N8399">
        <v>0.27</v>
      </c>
    </row>
    <row r="8400" spans="1:14" x14ac:dyDescent="0.25">
      <c r="A8400" t="s">
        <v>14850</v>
      </c>
      <c r="B8400" t="s">
        <v>991</v>
      </c>
      <c r="C8400" s="1" t="str">
        <f>HYPERLINK("http://www.genecards.org/cgi-bin/carddisp.pl?gene=SIRT5","GeneCards")</f>
        <v>GeneCards</v>
      </c>
      <c r="D8400" s="1" t="str">
        <f>HYPERLINK("http://genome-euro.ucsc.edu/cgi-bin/hgTracks?position=221010_s_at","UCSC")</f>
        <v>UCSC</v>
      </c>
      <c r="E8400" s="1" t="str">
        <f>HYPERLINK("http://www.ncbi.nlm.nih.gov/gene/?term=SIRT5","NCBI")</f>
        <v>NCBI</v>
      </c>
      <c r="F8400">
        <v>0.14000000000000001</v>
      </c>
      <c r="G8400">
        <v>0.28000000000000003</v>
      </c>
      <c r="H8400" s="1" t="str">
        <f>HYPERLINK("http://www.weizmann.ac.il/complex/compphys/software/geview/data/figures/221010_s_at.png","Figure")</f>
        <v>Figure</v>
      </c>
      <c r="I8400">
        <v>0.84899999999999998</v>
      </c>
      <c r="J8400">
        <v>0.12</v>
      </c>
      <c r="K8400">
        <v>0.94299999999999995</v>
      </c>
      <c r="L8400">
        <v>0.66</v>
      </c>
      <c r="M8400">
        <v>1.1100000000000001</v>
      </c>
      <c r="N8400">
        <v>0.34</v>
      </c>
    </row>
    <row r="8401" spans="1:14" x14ac:dyDescent="0.25">
      <c r="A8401" t="s">
        <v>14851</v>
      </c>
      <c r="B8401" t="s">
        <v>14852</v>
      </c>
      <c r="C8401" s="1" t="str">
        <f>HYPERLINK("http://www.genecards.org/cgi-bin/carddisp.pl?gene=NLK","GeneCards")</f>
        <v>GeneCards</v>
      </c>
      <c r="D8401" s="1" t="str">
        <f>HYPERLINK("http://genome-euro.ucsc.edu/cgi-bin/hgTracks?position=218318_s_at","UCSC")</f>
        <v>UCSC</v>
      </c>
      <c r="E8401" s="1" t="str">
        <f>HYPERLINK("http://www.ncbi.nlm.nih.gov/gene/?term=NLK","NCBI")</f>
        <v>NCBI</v>
      </c>
      <c r="F8401">
        <v>0.14000000000000001</v>
      </c>
      <c r="G8401">
        <v>0.28000000000000003</v>
      </c>
      <c r="H8401" s="1" t="str">
        <f>HYPERLINK("http://www.weizmann.ac.il/complex/compphys/software/geview/data/figures/218318_s_at.png","Figure")</f>
        <v>Figure</v>
      </c>
      <c r="I8401">
        <v>0.94499999999999995</v>
      </c>
      <c r="J8401">
        <v>0.95</v>
      </c>
      <c r="K8401">
        <v>1.31</v>
      </c>
      <c r="L8401">
        <v>0.25</v>
      </c>
      <c r="M8401">
        <v>1.38</v>
      </c>
      <c r="N8401">
        <v>0.18</v>
      </c>
    </row>
    <row r="8402" spans="1:14" x14ac:dyDescent="0.25">
      <c r="A8402" t="s">
        <v>14853</v>
      </c>
      <c r="B8402" t="s">
        <v>2660</v>
      </c>
      <c r="C8402" s="1" t="str">
        <f>HYPERLINK("http://www.genecards.org/cgi-bin/carddisp.pl?gene=MAPKAPK2","GeneCards")</f>
        <v>GeneCards</v>
      </c>
      <c r="D8402" s="1" t="str">
        <f>HYPERLINK("http://genome-euro.ucsc.edu/cgi-bin/hgTracks?position=215050_x_at","UCSC")</f>
        <v>UCSC</v>
      </c>
      <c r="E8402" s="1" t="str">
        <f>HYPERLINK("http://www.ncbi.nlm.nih.gov/gene/?term=MAPKAPK2","NCBI")</f>
        <v>NCBI</v>
      </c>
      <c r="F8402">
        <v>0.14000000000000001</v>
      </c>
      <c r="G8402">
        <v>0.28000000000000003</v>
      </c>
      <c r="H8402" s="1" t="str">
        <f>HYPERLINK("http://www.weizmann.ac.il/complex/compphys/software/geview/data/figures/215050_x_at.png","Figure")</f>
        <v>Figure</v>
      </c>
      <c r="I8402">
        <v>1.23</v>
      </c>
      <c r="J8402">
        <v>0.14000000000000001</v>
      </c>
      <c r="K8402">
        <v>1.04</v>
      </c>
      <c r="L8402">
        <v>0.91</v>
      </c>
      <c r="M8402">
        <v>0.84399999999999997</v>
      </c>
      <c r="N8402">
        <v>0.22</v>
      </c>
    </row>
    <row r="8403" spans="1:14" x14ac:dyDescent="0.25">
      <c r="A8403" t="s">
        <v>14854</v>
      </c>
      <c r="B8403" t="s">
        <v>13036</v>
      </c>
      <c r="C8403" s="1" t="str">
        <f>HYPERLINK("http://www.genecards.org/cgi-bin/carddisp.pl?gene=IKBKE","GeneCards")</f>
        <v>GeneCards</v>
      </c>
      <c r="D8403" s="1" t="str">
        <f>HYPERLINK("http://genome-euro.ucsc.edu/cgi-bin/hgTracks?position=204549_at","UCSC")</f>
        <v>UCSC</v>
      </c>
      <c r="E8403" s="1" t="str">
        <f>HYPERLINK("http://www.ncbi.nlm.nih.gov/gene/?term=IKBKE","NCBI")</f>
        <v>NCBI</v>
      </c>
      <c r="F8403">
        <v>0.14000000000000001</v>
      </c>
      <c r="G8403">
        <v>0.28000000000000003</v>
      </c>
      <c r="H8403" s="1" t="str">
        <f>HYPERLINK("http://www.weizmann.ac.il/complex/compphys/software/geview/data/figures/204549_at.png","Figure")</f>
        <v>Figure</v>
      </c>
      <c r="I8403">
        <v>1.26</v>
      </c>
      <c r="J8403">
        <v>0.12</v>
      </c>
      <c r="K8403">
        <v>1.0900000000000001</v>
      </c>
      <c r="L8403">
        <v>0.65</v>
      </c>
      <c r="M8403">
        <v>0.86499999999999999</v>
      </c>
      <c r="N8403">
        <v>0.35</v>
      </c>
    </row>
    <row r="8404" spans="1:14" x14ac:dyDescent="0.25">
      <c r="A8404" t="s">
        <v>14855</v>
      </c>
      <c r="B8404" t="s">
        <v>14856</v>
      </c>
      <c r="C8404" s="1" t="str">
        <f>HYPERLINK("http://www.genecards.org/cgi-bin/carddisp.pl?gene=GIT2","GeneCards")</f>
        <v>GeneCards</v>
      </c>
      <c r="D8404" s="1" t="str">
        <f>HYPERLINK("http://genome-euro.ucsc.edu/cgi-bin/hgTracks?position=204982_at","UCSC")</f>
        <v>UCSC</v>
      </c>
      <c r="E8404" s="1" t="str">
        <f>HYPERLINK("http://www.ncbi.nlm.nih.gov/gene/?term=GIT2","NCBI")</f>
        <v>NCBI</v>
      </c>
      <c r="F8404">
        <v>0.14000000000000001</v>
      </c>
      <c r="G8404">
        <v>0.28000000000000003</v>
      </c>
      <c r="H8404" s="1" t="str">
        <f>HYPERLINK("http://www.weizmann.ac.il/complex/compphys/software/geview/data/figures/204982_at.png","Figure")</f>
        <v>Figure</v>
      </c>
      <c r="I8404">
        <v>1.03</v>
      </c>
      <c r="J8404">
        <v>0.99</v>
      </c>
      <c r="K8404">
        <v>0.76800000000000002</v>
      </c>
      <c r="L8404">
        <v>0.22</v>
      </c>
      <c r="M8404">
        <v>0.746</v>
      </c>
      <c r="N8404">
        <v>0.2</v>
      </c>
    </row>
    <row r="8405" spans="1:14" x14ac:dyDescent="0.25">
      <c r="A8405" t="s">
        <v>14857</v>
      </c>
      <c r="B8405" t="s">
        <v>14858</v>
      </c>
      <c r="C8405" s="1" t="str">
        <f>HYPERLINK("http://www.genecards.org/cgi-bin/carddisp.pl?gene=ROCK1","GeneCards")</f>
        <v>GeneCards</v>
      </c>
      <c r="D8405" s="1" t="str">
        <f>HYPERLINK("http://genome-euro.ucsc.edu/cgi-bin/hgTracks?position=213044_at","UCSC")</f>
        <v>UCSC</v>
      </c>
      <c r="E8405" s="1" t="str">
        <f>HYPERLINK("http://www.ncbi.nlm.nih.gov/gene/?term=ROCK1","NCBI")</f>
        <v>NCBI</v>
      </c>
      <c r="F8405">
        <v>0.14000000000000001</v>
      </c>
      <c r="G8405">
        <v>0.28000000000000003</v>
      </c>
      <c r="H8405" s="1" t="str">
        <f>HYPERLINK("http://www.weizmann.ac.il/complex/compphys/software/geview/data/figures/213044_at.png","Figure")</f>
        <v>Figure</v>
      </c>
      <c r="I8405">
        <v>0.78100000000000003</v>
      </c>
      <c r="J8405">
        <v>0.28000000000000003</v>
      </c>
      <c r="K8405">
        <v>0.76</v>
      </c>
      <c r="L8405">
        <v>0.14000000000000001</v>
      </c>
      <c r="M8405">
        <v>0.97299999999999998</v>
      </c>
      <c r="N8405">
        <v>0.98</v>
      </c>
    </row>
    <row r="8406" spans="1:14" x14ac:dyDescent="0.25">
      <c r="A8406" t="s">
        <v>14859</v>
      </c>
      <c r="B8406" t="s">
        <v>14860</v>
      </c>
      <c r="C8406" s="1" t="str">
        <f>HYPERLINK("http://www.genecards.org/cgi-bin/carddisp.pl?gene=FOXA2","GeneCards")</f>
        <v>GeneCards</v>
      </c>
      <c r="D8406" s="1" t="str">
        <f>HYPERLINK("http://genome-euro.ucsc.edu/cgi-bin/hgTracks?position=214312_at","UCSC")</f>
        <v>UCSC</v>
      </c>
      <c r="E8406" s="1" t="str">
        <f>HYPERLINK("http://www.ncbi.nlm.nih.gov/gene/?term=FOXA2","NCBI")</f>
        <v>NCBI</v>
      </c>
      <c r="F8406">
        <v>0.14000000000000001</v>
      </c>
      <c r="G8406">
        <v>0.28000000000000003</v>
      </c>
      <c r="H8406" s="1" t="str">
        <f>HYPERLINK("http://www.weizmann.ac.il/complex/compphys/software/geview/data/figures/214312_at.png","Figure")</f>
        <v>Figure</v>
      </c>
      <c r="I8406">
        <v>1.1299999999999999</v>
      </c>
      <c r="J8406">
        <v>0.33</v>
      </c>
      <c r="K8406">
        <v>1.1599999999999999</v>
      </c>
      <c r="L8406">
        <v>0.13</v>
      </c>
      <c r="M8406">
        <v>1.03</v>
      </c>
      <c r="N8406">
        <v>0.93</v>
      </c>
    </row>
    <row r="8407" spans="1:14" x14ac:dyDescent="0.25">
      <c r="A8407" t="s">
        <v>14861</v>
      </c>
      <c r="B8407" t="s">
        <v>13736</v>
      </c>
      <c r="C8407" s="1" t="str">
        <f>HYPERLINK("http://www.genecards.org/cgi-bin/carddisp.pl?gene=PRPF6","GeneCards")</f>
        <v>GeneCards</v>
      </c>
      <c r="D8407" s="1" t="str">
        <f>HYPERLINK("http://genome-euro.ucsc.edu/cgi-bin/hgTracks?position=208879_x_at","UCSC")</f>
        <v>UCSC</v>
      </c>
      <c r="E8407" s="1" t="str">
        <f>HYPERLINK("http://www.ncbi.nlm.nih.gov/gene/?term=PRPF6","NCBI")</f>
        <v>NCBI</v>
      </c>
      <c r="F8407">
        <v>0.14000000000000001</v>
      </c>
      <c r="G8407">
        <v>0.28000000000000003</v>
      </c>
      <c r="H8407" s="1" t="str">
        <f>HYPERLINK("http://www.weizmann.ac.il/complex/compphys/software/geview/data/figures/208879_x_at.png","Figure")</f>
        <v>Figure</v>
      </c>
      <c r="I8407">
        <v>1.32</v>
      </c>
      <c r="J8407">
        <v>0.14000000000000001</v>
      </c>
      <c r="K8407">
        <v>1.07</v>
      </c>
      <c r="L8407">
        <v>0.85</v>
      </c>
      <c r="M8407">
        <v>0.80700000000000005</v>
      </c>
      <c r="N8407">
        <v>0.24</v>
      </c>
    </row>
    <row r="8408" spans="1:14" x14ac:dyDescent="0.25">
      <c r="A8408" t="s">
        <v>14862</v>
      </c>
      <c r="B8408" t="s">
        <v>14863</v>
      </c>
      <c r="C8408" s="1" t="str">
        <f>HYPERLINK("http://www.genecards.org/cgi-bin/carddisp.pl?gene=INPP5D","GeneCards")</f>
        <v>GeneCards</v>
      </c>
      <c r="D8408" s="1" t="str">
        <f>HYPERLINK("http://genome-euro.ucsc.edu/cgi-bin/hgTracks?position=203332_s_at","UCSC")</f>
        <v>UCSC</v>
      </c>
      <c r="E8408" s="1" t="str">
        <f>HYPERLINK("http://www.ncbi.nlm.nih.gov/gene/?term=INPP5D","NCBI")</f>
        <v>NCBI</v>
      </c>
      <c r="F8408">
        <v>0.14000000000000001</v>
      </c>
      <c r="G8408">
        <v>0.28000000000000003</v>
      </c>
      <c r="H8408" s="1" t="str">
        <f>HYPERLINK("http://www.weizmann.ac.il/complex/compphys/software/geview/data/figures/203332_s_at.png","Figure")</f>
        <v>Figure</v>
      </c>
      <c r="I8408">
        <v>1.02</v>
      </c>
      <c r="J8408">
        <v>0.99</v>
      </c>
      <c r="K8408">
        <v>0.79900000000000004</v>
      </c>
      <c r="L8408">
        <v>0.21</v>
      </c>
      <c r="M8408">
        <v>0.78600000000000003</v>
      </c>
      <c r="N8408">
        <v>0.21</v>
      </c>
    </row>
    <row r="8409" spans="1:14" x14ac:dyDescent="0.25">
      <c r="A8409" t="s">
        <v>14864</v>
      </c>
      <c r="B8409" t="s">
        <v>14865</v>
      </c>
      <c r="C8409" s="1" t="str">
        <f>HYPERLINK("http://www.genecards.org/cgi-bin/carddisp.pl?gene=TMEM180","GeneCards")</f>
        <v>GeneCards</v>
      </c>
      <c r="D8409" s="1" t="str">
        <f>HYPERLINK("http://genome-euro.ucsc.edu/cgi-bin/hgTracks?position=219745_at","UCSC")</f>
        <v>UCSC</v>
      </c>
      <c r="E8409" s="1" t="str">
        <f>HYPERLINK("http://www.ncbi.nlm.nih.gov/gene/?term=TMEM180","NCBI")</f>
        <v>NCBI</v>
      </c>
      <c r="F8409">
        <v>0.14000000000000001</v>
      </c>
      <c r="G8409">
        <v>0.28000000000000003</v>
      </c>
      <c r="H8409" s="1" t="str">
        <f>HYPERLINK("http://www.weizmann.ac.il/complex/compphys/software/geview/data/figures/219745_at.png","Figure")</f>
        <v>Figure</v>
      </c>
      <c r="I8409">
        <v>1.17</v>
      </c>
      <c r="J8409">
        <v>0.2</v>
      </c>
      <c r="K8409">
        <v>0.998</v>
      </c>
      <c r="L8409">
        <v>1</v>
      </c>
      <c r="M8409">
        <v>0.85099999999999998</v>
      </c>
      <c r="N8409">
        <v>0.15</v>
      </c>
    </row>
    <row r="8410" spans="1:14" x14ac:dyDescent="0.25">
      <c r="A8410" t="s">
        <v>14866</v>
      </c>
      <c r="B8410" t="s">
        <v>10666</v>
      </c>
      <c r="C8410" s="1" t="str">
        <f>HYPERLINK("http://www.genecards.org/cgi-bin/carddisp.pl?gene=HCFC1","GeneCards")</f>
        <v>GeneCards</v>
      </c>
      <c r="D8410" s="1" t="str">
        <f>HYPERLINK("http://genome-euro.ucsc.edu/cgi-bin/hgTracks?position=202474_s_at","UCSC")</f>
        <v>UCSC</v>
      </c>
      <c r="E8410" s="1" t="str">
        <f>HYPERLINK("http://www.ncbi.nlm.nih.gov/gene/?term=HCFC1","NCBI")</f>
        <v>NCBI</v>
      </c>
      <c r="F8410">
        <v>0.14000000000000001</v>
      </c>
      <c r="G8410">
        <v>0.28000000000000003</v>
      </c>
      <c r="H8410" s="1" t="str">
        <f>HYPERLINK("http://www.weizmann.ac.il/complex/compphys/software/geview/data/figures/202474_s_at.png","Figure")</f>
        <v>Figure</v>
      </c>
      <c r="I8410">
        <v>1.3</v>
      </c>
      <c r="J8410">
        <v>0.13</v>
      </c>
      <c r="K8410">
        <v>1.17</v>
      </c>
      <c r="L8410">
        <v>0.33</v>
      </c>
      <c r="M8410">
        <v>0.90500000000000003</v>
      </c>
      <c r="N8410">
        <v>0.67</v>
      </c>
    </row>
    <row r="8411" spans="1:14" x14ac:dyDescent="0.25">
      <c r="A8411" t="s">
        <v>14867</v>
      </c>
      <c r="B8411" t="s">
        <v>14868</v>
      </c>
      <c r="C8411" s="1" t="str">
        <f>HYPERLINK("http://www.genecards.org/cgi-bin/carddisp.pl?gene=CNR2","GeneCards")</f>
        <v>GeneCards</v>
      </c>
      <c r="D8411" s="1" t="str">
        <f>HYPERLINK("http://genome-euro.ucsc.edu/cgi-bin/hgTracks?position=206586_at","UCSC")</f>
        <v>UCSC</v>
      </c>
      <c r="E8411" s="1" t="str">
        <f>HYPERLINK("http://www.ncbi.nlm.nih.gov/gene/?term=CNR2","NCBI")</f>
        <v>NCBI</v>
      </c>
      <c r="F8411">
        <v>0.14000000000000001</v>
      </c>
      <c r="G8411">
        <v>0.28000000000000003</v>
      </c>
      <c r="H8411" s="1" t="str">
        <f>HYPERLINK("http://www.weizmann.ac.il/complex/compphys/software/geview/data/figures/206586_at.png","Figure")</f>
        <v>Figure</v>
      </c>
      <c r="I8411">
        <v>1.02</v>
      </c>
      <c r="J8411">
        <v>0.99</v>
      </c>
      <c r="K8411">
        <v>0.82199999999999995</v>
      </c>
      <c r="L8411">
        <v>0.22</v>
      </c>
      <c r="M8411">
        <v>0.80700000000000005</v>
      </c>
      <c r="N8411">
        <v>0.21</v>
      </c>
    </row>
    <row r="8412" spans="1:14" x14ac:dyDescent="0.25">
      <c r="A8412" t="s">
        <v>14869</v>
      </c>
      <c r="B8412" t="s">
        <v>14870</v>
      </c>
      <c r="C8412" s="1" t="str">
        <f>HYPERLINK("http://www.genecards.org/cgi-bin/carddisp.pl?gene=FAHD2A","GeneCards")</f>
        <v>GeneCards</v>
      </c>
      <c r="D8412" s="1" t="str">
        <f>HYPERLINK("http://genome-euro.ucsc.edu/cgi-bin/hgTracks?position=218504_at","UCSC")</f>
        <v>UCSC</v>
      </c>
      <c r="E8412" s="1" t="str">
        <f>HYPERLINK("http://www.ncbi.nlm.nih.gov/gene/?term=FAHD2A","NCBI")</f>
        <v>NCBI</v>
      </c>
      <c r="F8412">
        <v>0.14000000000000001</v>
      </c>
      <c r="G8412">
        <v>0.28000000000000003</v>
      </c>
      <c r="H8412" s="1" t="str">
        <f>HYPERLINK("http://www.weizmann.ac.il/complex/compphys/software/geview/data/figures/218504_at.png","Figure")</f>
        <v>Figure</v>
      </c>
      <c r="I8412">
        <v>1.04</v>
      </c>
      <c r="J8412">
        <v>0.92</v>
      </c>
      <c r="K8412">
        <v>1.21</v>
      </c>
      <c r="L8412">
        <v>0.15</v>
      </c>
      <c r="M8412">
        <v>1.1599999999999999</v>
      </c>
      <c r="N8412">
        <v>0.34</v>
      </c>
    </row>
    <row r="8413" spans="1:14" x14ac:dyDescent="0.25">
      <c r="A8413" t="s">
        <v>14871</v>
      </c>
      <c r="B8413" t="s">
        <v>6765</v>
      </c>
      <c r="C8413" s="1" t="str">
        <f>HYPERLINK("http://www.genecards.org/cgi-bin/carddisp.pl?gene=VAMP3","GeneCards")</f>
        <v>GeneCards</v>
      </c>
      <c r="D8413" s="1" t="str">
        <f>HYPERLINK("http://genome-euro.ucsc.edu/cgi-bin/hgTracks?position=211749_s_at","UCSC")</f>
        <v>UCSC</v>
      </c>
      <c r="E8413" s="1" t="str">
        <f>HYPERLINK("http://www.ncbi.nlm.nih.gov/gene/?term=VAMP3","NCBI")</f>
        <v>NCBI</v>
      </c>
      <c r="F8413">
        <v>0.14000000000000001</v>
      </c>
      <c r="G8413">
        <v>0.28000000000000003</v>
      </c>
      <c r="H8413" s="1" t="str">
        <f>HYPERLINK("http://www.weizmann.ac.il/complex/compphys/software/geview/data/figures/211749_s_at.png","Figure")</f>
        <v>Figure</v>
      </c>
      <c r="I8413">
        <v>0.94099999999999995</v>
      </c>
      <c r="J8413">
        <v>0.93</v>
      </c>
      <c r="K8413">
        <v>0.74</v>
      </c>
      <c r="L8413">
        <v>0.15</v>
      </c>
      <c r="M8413">
        <v>0.78700000000000003</v>
      </c>
      <c r="N8413">
        <v>0.32</v>
      </c>
    </row>
    <row r="8414" spans="1:14" x14ac:dyDescent="0.25">
      <c r="A8414" t="s">
        <v>14872</v>
      </c>
      <c r="B8414" t="s">
        <v>14873</v>
      </c>
      <c r="C8414" s="1" t="str">
        <f>HYPERLINK("http://www.genecards.org/cgi-bin/carddisp.pl?gene=DHDDS","GeneCards")</f>
        <v>GeneCards</v>
      </c>
      <c r="D8414" s="1" t="str">
        <f>HYPERLINK("http://genome-euro.ucsc.edu/cgi-bin/hgTracks?position=218547_at","UCSC")</f>
        <v>UCSC</v>
      </c>
      <c r="E8414" s="1" t="str">
        <f>HYPERLINK("http://www.ncbi.nlm.nih.gov/gene/?term=DHDDS","NCBI")</f>
        <v>NCBI</v>
      </c>
      <c r="F8414">
        <v>0.14000000000000001</v>
      </c>
      <c r="G8414">
        <v>0.28000000000000003</v>
      </c>
      <c r="H8414" s="1" t="str">
        <f>HYPERLINK("http://www.weizmann.ac.il/complex/compphys/software/geview/data/figures/218547_at.png","Figure")</f>
        <v>Figure</v>
      </c>
      <c r="I8414">
        <v>1.1399999999999999</v>
      </c>
      <c r="J8414">
        <v>0.17</v>
      </c>
      <c r="K8414">
        <v>1.01</v>
      </c>
      <c r="L8414">
        <v>0.99</v>
      </c>
      <c r="M8414">
        <v>0.88600000000000001</v>
      </c>
      <c r="N8414">
        <v>0.17</v>
      </c>
    </row>
    <row r="8415" spans="1:14" x14ac:dyDescent="0.25">
      <c r="A8415" t="s">
        <v>14874</v>
      </c>
      <c r="B8415" t="s">
        <v>9675</v>
      </c>
      <c r="C8415" s="1" t="str">
        <f>HYPERLINK("http://www.genecards.org/cgi-bin/carddisp.pl?gene=FAM20B","GeneCards")</f>
        <v>GeneCards</v>
      </c>
      <c r="D8415" s="1" t="str">
        <f>HYPERLINK("http://genome-euro.ucsc.edu/cgi-bin/hgTracks?position=202915_s_at","UCSC")</f>
        <v>UCSC</v>
      </c>
      <c r="E8415" s="1" t="str">
        <f>HYPERLINK("http://www.ncbi.nlm.nih.gov/gene/?term=FAM20B","NCBI")</f>
        <v>NCBI</v>
      </c>
      <c r="F8415">
        <v>0.14000000000000001</v>
      </c>
      <c r="G8415">
        <v>0.28000000000000003</v>
      </c>
      <c r="H8415" s="1" t="str">
        <f>HYPERLINK("http://www.weizmann.ac.il/complex/compphys/software/geview/data/figures/202915_s_at.png","Figure")</f>
        <v>Figure</v>
      </c>
      <c r="I8415">
        <v>1.02</v>
      </c>
      <c r="J8415">
        <v>0.92</v>
      </c>
      <c r="K8415">
        <v>1.08</v>
      </c>
      <c r="L8415">
        <v>0.15</v>
      </c>
      <c r="M8415">
        <v>1.06</v>
      </c>
      <c r="N8415">
        <v>0.34</v>
      </c>
    </row>
    <row r="8416" spans="1:14" x14ac:dyDescent="0.25">
      <c r="A8416" t="s">
        <v>14875</v>
      </c>
      <c r="B8416" t="s">
        <v>14876</v>
      </c>
      <c r="C8416" s="1" t="str">
        <f>HYPERLINK("http://www.genecards.org/cgi-bin/carddisp.pl?gene=COG4","GeneCards")</f>
        <v>GeneCards</v>
      </c>
      <c r="D8416" s="1" t="str">
        <f>HYPERLINK("http://genome-euro.ucsc.edu/cgi-bin/hgTracks?position=212189_s_at","UCSC")</f>
        <v>UCSC</v>
      </c>
      <c r="E8416" s="1" t="str">
        <f>HYPERLINK("http://www.ncbi.nlm.nih.gov/gene/?term=COG4","NCBI")</f>
        <v>NCBI</v>
      </c>
      <c r="F8416">
        <v>0.14000000000000001</v>
      </c>
      <c r="G8416">
        <v>0.28000000000000003</v>
      </c>
      <c r="H8416" s="1" t="str">
        <f>HYPERLINK("http://www.weizmann.ac.il/complex/compphys/software/geview/data/figures/212189_s_at.png","Figure")</f>
        <v>Figure</v>
      </c>
      <c r="I8416">
        <v>1.1100000000000001</v>
      </c>
      <c r="J8416">
        <v>0.86</v>
      </c>
      <c r="K8416">
        <v>1.43</v>
      </c>
      <c r="L8416">
        <v>0.14000000000000001</v>
      </c>
      <c r="M8416">
        <v>1.29</v>
      </c>
      <c r="N8416">
        <v>0.38</v>
      </c>
    </row>
    <row r="8417" spans="1:14" x14ac:dyDescent="0.25">
      <c r="A8417" t="s">
        <v>14877</v>
      </c>
      <c r="B8417" t="s">
        <v>14878</v>
      </c>
      <c r="C8417" s="1" t="str">
        <f>HYPERLINK("http://www.genecards.org/cgi-bin/carddisp.pl?gene=FBP1","GeneCards")</f>
        <v>GeneCards</v>
      </c>
      <c r="D8417" s="1" t="str">
        <f>HYPERLINK("http://genome-euro.ucsc.edu/cgi-bin/hgTracks?position=209696_at","UCSC")</f>
        <v>UCSC</v>
      </c>
      <c r="E8417" s="1" t="str">
        <f>HYPERLINK("http://www.ncbi.nlm.nih.gov/gene/?term=FBP1","NCBI")</f>
        <v>NCBI</v>
      </c>
      <c r="F8417">
        <v>0.14000000000000001</v>
      </c>
      <c r="G8417">
        <v>0.28000000000000003</v>
      </c>
      <c r="H8417" s="1" t="str">
        <f>HYPERLINK("http://www.weizmann.ac.il/complex/compphys/software/geview/data/figures/209696_at.png","Figure")</f>
        <v>Figure</v>
      </c>
      <c r="I8417">
        <v>1.27</v>
      </c>
      <c r="J8417">
        <v>0.12</v>
      </c>
      <c r="K8417">
        <v>1.1499999999999999</v>
      </c>
      <c r="L8417">
        <v>0.38</v>
      </c>
      <c r="M8417">
        <v>0.90100000000000002</v>
      </c>
      <c r="N8417">
        <v>0.61</v>
      </c>
    </row>
    <row r="8418" spans="1:14" x14ac:dyDescent="0.25">
      <c r="A8418" t="s">
        <v>14879</v>
      </c>
      <c r="B8418" t="s">
        <v>14880</v>
      </c>
      <c r="C8418" s="1" t="str">
        <f>HYPERLINK("http://www.genecards.org/cgi-bin/carddisp.pl?gene=PPT2","GeneCards")</f>
        <v>GeneCards</v>
      </c>
      <c r="D8418" s="1" t="str">
        <f>HYPERLINK("http://genome-euro.ucsc.edu/cgi-bin/hgTracks?position=209490_s_at","UCSC")</f>
        <v>UCSC</v>
      </c>
      <c r="E8418" s="1" t="str">
        <f>HYPERLINK("http://www.ncbi.nlm.nih.gov/gene/?term=PPT2","NCBI")</f>
        <v>NCBI</v>
      </c>
      <c r="F8418">
        <v>0.14000000000000001</v>
      </c>
      <c r="G8418">
        <v>0.28000000000000003</v>
      </c>
      <c r="H8418" s="1" t="str">
        <f>HYPERLINK("http://www.weizmann.ac.il/complex/compphys/software/geview/data/figures/209490_s_at.png","Figure")</f>
        <v>Figure</v>
      </c>
      <c r="I8418">
        <v>1.36</v>
      </c>
      <c r="J8418">
        <v>0.13</v>
      </c>
      <c r="K8418">
        <v>1.19</v>
      </c>
      <c r="L8418">
        <v>0.37</v>
      </c>
      <c r="M8418">
        <v>0.879</v>
      </c>
      <c r="N8418">
        <v>0.61</v>
      </c>
    </row>
    <row r="8419" spans="1:14" x14ac:dyDescent="0.25">
      <c r="A8419" t="s">
        <v>14881</v>
      </c>
      <c r="B8419" t="s">
        <v>14882</v>
      </c>
      <c r="C8419" s="1" t="str">
        <f>HYPERLINK("http://www.genecards.org/cgi-bin/carddisp.pl?gene=GAA","GeneCards")</f>
        <v>GeneCards</v>
      </c>
      <c r="D8419" s="1" t="str">
        <f>HYPERLINK("http://genome-euro.ucsc.edu/cgi-bin/hgTracks?position=202812_at","UCSC")</f>
        <v>UCSC</v>
      </c>
      <c r="E8419" s="1" t="str">
        <f>HYPERLINK("http://www.ncbi.nlm.nih.gov/gene/?term=GAA","NCBI")</f>
        <v>NCBI</v>
      </c>
      <c r="F8419">
        <v>0.14000000000000001</v>
      </c>
      <c r="G8419">
        <v>0.28000000000000003</v>
      </c>
      <c r="H8419" s="1" t="str">
        <f>HYPERLINK("http://www.weizmann.ac.il/complex/compphys/software/geview/data/figures/202812_at.png","Figure")</f>
        <v>Figure</v>
      </c>
      <c r="I8419">
        <v>0.83</v>
      </c>
      <c r="J8419">
        <v>0.33</v>
      </c>
      <c r="K8419">
        <v>1.07</v>
      </c>
      <c r="L8419">
        <v>0.83</v>
      </c>
      <c r="M8419">
        <v>1.28</v>
      </c>
      <c r="N8419">
        <v>0.12</v>
      </c>
    </row>
    <row r="8420" spans="1:14" x14ac:dyDescent="0.25">
      <c r="A8420" t="s">
        <v>14883</v>
      </c>
      <c r="B8420" t="s">
        <v>7191</v>
      </c>
      <c r="C8420" s="1" t="str">
        <f>HYPERLINK("http://www.genecards.org/cgi-bin/carddisp.pl?gene=SMC2","GeneCards")</f>
        <v>GeneCards</v>
      </c>
      <c r="D8420" s="1" t="str">
        <f>HYPERLINK("http://genome-euro.ucsc.edu/cgi-bin/hgTracks?position=204240_s_at","UCSC")</f>
        <v>UCSC</v>
      </c>
      <c r="E8420" s="1" t="str">
        <f>HYPERLINK("http://www.ncbi.nlm.nih.gov/gene/?term=SMC2","NCBI")</f>
        <v>NCBI</v>
      </c>
      <c r="F8420">
        <v>0.14000000000000001</v>
      </c>
      <c r="G8420">
        <v>0.28000000000000003</v>
      </c>
      <c r="H8420" s="1" t="str">
        <f>HYPERLINK("http://www.weizmann.ac.il/complex/compphys/software/geview/data/figures/204240_s_at.png","Figure")</f>
        <v>Figure</v>
      </c>
      <c r="I8420">
        <v>1.28</v>
      </c>
      <c r="J8420">
        <v>0.71</v>
      </c>
      <c r="K8420">
        <v>1.78</v>
      </c>
      <c r="L8420">
        <v>0.12</v>
      </c>
      <c r="M8420">
        <v>1.39</v>
      </c>
      <c r="N8420">
        <v>0.51</v>
      </c>
    </row>
    <row r="8421" spans="1:14" x14ac:dyDescent="0.25">
      <c r="A8421" t="s">
        <v>14884</v>
      </c>
      <c r="B8421" t="s">
        <v>1001</v>
      </c>
      <c r="C8421" s="1" t="str">
        <f>HYPERLINK("http://www.genecards.org/cgi-bin/carddisp.pl?gene=HEG1","GeneCards")</f>
        <v>GeneCards</v>
      </c>
      <c r="D8421" s="1" t="str">
        <f>HYPERLINK("http://genome-euro.ucsc.edu/cgi-bin/hgTracks?position=213069_at","UCSC")</f>
        <v>UCSC</v>
      </c>
      <c r="E8421" s="1" t="str">
        <f>HYPERLINK("http://www.ncbi.nlm.nih.gov/gene/?term=HEG1","NCBI")</f>
        <v>NCBI</v>
      </c>
      <c r="F8421">
        <v>0.14000000000000001</v>
      </c>
      <c r="G8421">
        <v>0.28000000000000003</v>
      </c>
      <c r="H8421" s="1" t="str">
        <f>HYPERLINK("http://www.weizmann.ac.il/complex/compphys/software/geview/data/figures/213069_at.png","Figure")</f>
        <v>Figure</v>
      </c>
      <c r="I8421">
        <v>1.39</v>
      </c>
      <c r="J8421">
        <v>0.21</v>
      </c>
      <c r="K8421">
        <v>1.36</v>
      </c>
      <c r="L8421">
        <v>0.17</v>
      </c>
      <c r="M8421">
        <v>0.97899999999999998</v>
      </c>
      <c r="N8421">
        <v>0.99</v>
      </c>
    </row>
    <row r="8422" spans="1:14" x14ac:dyDescent="0.25">
      <c r="A8422" t="s">
        <v>14885</v>
      </c>
      <c r="B8422" t="s">
        <v>14886</v>
      </c>
      <c r="C8422" s="1" t="str">
        <f>HYPERLINK("http://www.genecards.org/cgi-bin/carddisp.pl?gene=EIF2C3","GeneCards")</f>
        <v>GeneCards</v>
      </c>
      <c r="D8422" s="1" t="str">
        <f>HYPERLINK("http://genome-euro.ucsc.edu/cgi-bin/hgTracks?position=219426_at","UCSC")</f>
        <v>UCSC</v>
      </c>
      <c r="E8422" s="1" t="str">
        <f>HYPERLINK("http://www.ncbi.nlm.nih.gov/gene/?term=EIF2C3","NCBI")</f>
        <v>NCBI</v>
      </c>
      <c r="F8422">
        <v>0.14000000000000001</v>
      </c>
      <c r="G8422">
        <v>0.28000000000000003</v>
      </c>
      <c r="H8422" s="1" t="str">
        <f>HYPERLINK("http://www.weizmann.ac.il/complex/compphys/software/geview/data/figures/219426_at.png","Figure")</f>
        <v>Figure</v>
      </c>
      <c r="I8422">
        <v>0.96699999999999997</v>
      </c>
      <c r="J8422">
        <v>0.97</v>
      </c>
      <c r="K8422">
        <v>1.25</v>
      </c>
      <c r="L8422">
        <v>0.23</v>
      </c>
      <c r="M8422">
        <v>1.29</v>
      </c>
      <c r="N8422">
        <v>0.19</v>
      </c>
    </row>
    <row r="8423" spans="1:14" x14ac:dyDescent="0.25">
      <c r="A8423" t="s">
        <v>14887</v>
      </c>
      <c r="B8423" t="s">
        <v>14888</v>
      </c>
      <c r="C8423" s="1" t="str">
        <f>HYPERLINK("http://www.genecards.org/cgi-bin/carddisp.pl?gene=PSMF1","GeneCards")</f>
        <v>GeneCards</v>
      </c>
      <c r="D8423" s="1" t="str">
        <f>HYPERLINK("http://genome-euro.ucsc.edu/cgi-bin/hgTracks?position=201052_s_at","UCSC")</f>
        <v>UCSC</v>
      </c>
      <c r="E8423" s="1" t="str">
        <f>HYPERLINK("http://www.ncbi.nlm.nih.gov/gene/?term=PSMF1","NCBI")</f>
        <v>NCBI</v>
      </c>
      <c r="F8423">
        <v>0.14000000000000001</v>
      </c>
      <c r="G8423">
        <v>0.28000000000000003</v>
      </c>
      <c r="H8423" s="1" t="str">
        <f>HYPERLINK("http://www.weizmann.ac.il/complex/compphys/software/geview/data/figures/201052_s_at.png","Figure")</f>
        <v>Figure</v>
      </c>
      <c r="I8423">
        <v>0.90500000000000003</v>
      </c>
      <c r="J8423">
        <v>0.49</v>
      </c>
      <c r="K8423">
        <v>0.85199999999999998</v>
      </c>
      <c r="L8423">
        <v>0.12</v>
      </c>
      <c r="M8423">
        <v>0.94199999999999995</v>
      </c>
      <c r="N8423">
        <v>0.74</v>
      </c>
    </row>
    <row r="8424" spans="1:14" x14ac:dyDescent="0.25">
      <c r="A8424" t="s">
        <v>14889</v>
      </c>
      <c r="B8424" t="s">
        <v>6097</v>
      </c>
      <c r="C8424" s="1" t="str">
        <f>HYPERLINK("http://www.genecards.org/cgi-bin/carddisp.pl?gene=YWHAB","GeneCards")</f>
        <v>GeneCards</v>
      </c>
      <c r="D8424" s="1" t="str">
        <f>HYPERLINK("http://genome-euro.ucsc.edu/cgi-bin/hgTracks?position=217717_s_at","UCSC")</f>
        <v>UCSC</v>
      </c>
      <c r="E8424" s="1" t="str">
        <f>HYPERLINK("http://www.ncbi.nlm.nih.gov/gene/?term=YWHAB","NCBI")</f>
        <v>NCBI</v>
      </c>
      <c r="F8424">
        <v>0.14000000000000001</v>
      </c>
      <c r="G8424">
        <v>0.28000000000000003</v>
      </c>
      <c r="H8424" s="1" t="str">
        <f>HYPERLINK("http://www.weizmann.ac.il/complex/compphys/software/geview/data/figures/217717_s_at.png","Figure")</f>
        <v>Figure</v>
      </c>
      <c r="I8424">
        <v>0.80600000000000005</v>
      </c>
      <c r="J8424">
        <v>0.63</v>
      </c>
      <c r="K8424">
        <v>1.27</v>
      </c>
      <c r="L8424">
        <v>0.48</v>
      </c>
      <c r="M8424">
        <v>1.57</v>
      </c>
      <c r="N8424">
        <v>0.13</v>
      </c>
    </row>
    <row r="8425" spans="1:14" x14ac:dyDescent="0.25">
      <c r="A8425" t="s">
        <v>14890</v>
      </c>
      <c r="B8425" t="s">
        <v>2174</v>
      </c>
      <c r="C8425" s="1" t="str">
        <f>HYPERLINK("http://www.genecards.org/cgi-bin/carddisp.pl?gene=BMP1","GeneCards")</f>
        <v>GeneCards</v>
      </c>
      <c r="D8425" s="1" t="str">
        <f>HYPERLINK("http://genome-euro.ucsc.edu/cgi-bin/hgTracks?position=206725_x_at","UCSC")</f>
        <v>UCSC</v>
      </c>
      <c r="E8425" s="1" t="str">
        <f>HYPERLINK("http://www.ncbi.nlm.nih.gov/gene/?term=BMP1","NCBI")</f>
        <v>NCBI</v>
      </c>
      <c r="F8425">
        <v>0.14000000000000001</v>
      </c>
      <c r="G8425">
        <v>0.28000000000000003</v>
      </c>
      <c r="H8425" s="1" t="str">
        <f>HYPERLINK("http://www.weizmann.ac.il/complex/compphys/software/geview/data/figures/206725_x_at.png","Figure")</f>
        <v>Figure</v>
      </c>
      <c r="I8425">
        <v>1.27</v>
      </c>
      <c r="J8425">
        <v>0.16</v>
      </c>
      <c r="K8425">
        <v>1.21</v>
      </c>
      <c r="L8425">
        <v>0.22</v>
      </c>
      <c r="M8425">
        <v>0.95</v>
      </c>
      <c r="N8425">
        <v>0.9</v>
      </c>
    </row>
    <row r="8426" spans="1:14" x14ac:dyDescent="0.25">
      <c r="A8426" t="s">
        <v>14891</v>
      </c>
      <c r="B8426" t="s">
        <v>14892</v>
      </c>
      <c r="C8426" s="1" t="str">
        <f>HYPERLINK("http://www.genecards.org/cgi-bin/carddisp.pl?gene=DPY19L4","GeneCards")</f>
        <v>GeneCards</v>
      </c>
      <c r="D8426" s="1" t="str">
        <f>HYPERLINK("http://genome-euro.ucsc.edu/cgi-bin/hgTracks?position=213391_at","UCSC")</f>
        <v>UCSC</v>
      </c>
      <c r="E8426" s="1" t="str">
        <f>HYPERLINK("http://www.ncbi.nlm.nih.gov/gene/?term=DPY19L4","NCBI")</f>
        <v>NCBI</v>
      </c>
      <c r="F8426">
        <v>0.14000000000000001</v>
      </c>
      <c r="G8426">
        <v>0.28000000000000003</v>
      </c>
      <c r="H8426" s="1" t="str">
        <f>HYPERLINK("http://www.weizmann.ac.il/complex/compphys/software/geview/data/figures/213391_at.png","Figure")</f>
        <v>Figure</v>
      </c>
      <c r="I8426">
        <v>0.74099999999999999</v>
      </c>
      <c r="J8426">
        <v>0.17</v>
      </c>
      <c r="K8426">
        <v>0.98</v>
      </c>
      <c r="L8426">
        <v>0.99</v>
      </c>
      <c r="M8426">
        <v>1.32</v>
      </c>
      <c r="N8426">
        <v>0.17</v>
      </c>
    </row>
    <row r="8427" spans="1:14" x14ac:dyDescent="0.25">
      <c r="A8427" t="s">
        <v>14893</v>
      </c>
      <c r="B8427" t="s">
        <v>14894</v>
      </c>
      <c r="C8427" s="1" t="str">
        <f>HYPERLINK("http://www.genecards.org/cgi-bin/carddisp.pl?gene=LOC729580","GeneCards")</f>
        <v>GeneCards</v>
      </c>
      <c r="D8427" s="1" t="str">
        <f>HYPERLINK("http://genome-euro.ucsc.edu/cgi-bin/hgTracks?position=78047_s_at","UCSC")</f>
        <v>UCSC</v>
      </c>
      <c r="E8427" s="1" t="str">
        <f>HYPERLINK("http://www.ncbi.nlm.nih.gov/gene/?term=LOC729580","NCBI")</f>
        <v>NCBI</v>
      </c>
      <c r="F8427">
        <v>0.14000000000000001</v>
      </c>
      <c r="G8427">
        <v>0.28000000000000003</v>
      </c>
      <c r="H8427" s="1" t="str">
        <f>HYPERLINK("http://www.weizmann.ac.il/complex/compphys/software/geview/data/figures/78047_s_at.png","Figure")</f>
        <v>Figure</v>
      </c>
      <c r="I8427">
        <v>1.22</v>
      </c>
      <c r="J8427">
        <v>0.14000000000000001</v>
      </c>
      <c r="K8427">
        <v>1.05</v>
      </c>
      <c r="L8427">
        <v>0.86</v>
      </c>
      <c r="M8427">
        <v>0.85699999999999998</v>
      </c>
      <c r="N8427">
        <v>0.24</v>
      </c>
    </row>
    <row r="8428" spans="1:14" x14ac:dyDescent="0.25">
      <c r="A8428" t="s">
        <v>14895</v>
      </c>
      <c r="B8428" t="s">
        <v>2535</v>
      </c>
      <c r="C8428" s="1" t="str">
        <f>HYPERLINK("http://www.genecards.org/cgi-bin/carddisp.pl?gene=CD44","GeneCards")</f>
        <v>GeneCards</v>
      </c>
      <c r="D8428" s="1" t="str">
        <f>HYPERLINK("http://genome-euro.ucsc.edu/cgi-bin/hgTracks?position=212014_x_at","UCSC")</f>
        <v>UCSC</v>
      </c>
      <c r="E8428" s="1" t="str">
        <f>HYPERLINK("http://www.ncbi.nlm.nih.gov/gene/?term=CD44","NCBI")</f>
        <v>NCBI</v>
      </c>
      <c r="F8428">
        <v>0.14000000000000001</v>
      </c>
      <c r="G8428">
        <v>0.28000000000000003</v>
      </c>
      <c r="H8428" s="1" t="str">
        <f>HYPERLINK("http://www.weizmann.ac.il/complex/compphys/software/geview/data/figures/212014_x_at.png","Figure")</f>
        <v>Figure</v>
      </c>
      <c r="I8428">
        <v>1.23</v>
      </c>
      <c r="J8428">
        <v>0.63</v>
      </c>
      <c r="K8428">
        <v>1.52</v>
      </c>
      <c r="L8428">
        <v>0.12</v>
      </c>
      <c r="M8428">
        <v>1.23</v>
      </c>
      <c r="N8428">
        <v>0.59</v>
      </c>
    </row>
    <row r="8429" spans="1:14" x14ac:dyDescent="0.25">
      <c r="A8429" t="s">
        <v>14896</v>
      </c>
      <c r="B8429" t="s">
        <v>8679</v>
      </c>
      <c r="C8429" s="1" t="str">
        <f>HYPERLINK("http://www.genecards.org/cgi-bin/carddisp.pl?gene=TSTA3","GeneCards")</f>
        <v>GeneCards</v>
      </c>
      <c r="D8429" s="1" t="str">
        <f>HYPERLINK("http://genome-euro.ucsc.edu/cgi-bin/hgTracks?position=36936_at","UCSC")</f>
        <v>UCSC</v>
      </c>
      <c r="E8429" s="1" t="str">
        <f>HYPERLINK("http://www.ncbi.nlm.nih.gov/gene/?term=TSTA3","NCBI")</f>
        <v>NCBI</v>
      </c>
      <c r="F8429">
        <v>0.14000000000000001</v>
      </c>
      <c r="G8429">
        <v>0.28000000000000003</v>
      </c>
      <c r="H8429" s="1" t="str">
        <f>HYPERLINK("http://www.weizmann.ac.il/complex/compphys/software/geview/data/figures/36936_at.png","Figure")</f>
        <v>Figure</v>
      </c>
      <c r="I8429">
        <v>0.99</v>
      </c>
      <c r="J8429">
        <v>1</v>
      </c>
      <c r="K8429">
        <v>1.23</v>
      </c>
      <c r="L8429">
        <v>0.21</v>
      </c>
      <c r="M8429">
        <v>1.24</v>
      </c>
      <c r="N8429">
        <v>0.22</v>
      </c>
    </row>
    <row r="8430" spans="1:14" x14ac:dyDescent="0.25">
      <c r="A8430" t="s">
        <v>14897</v>
      </c>
      <c r="B8430" t="s">
        <v>289</v>
      </c>
      <c r="C8430" s="1" t="str">
        <f>HYPERLINK("http://www.genecards.org/cgi-bin/carddisp.pl?gene=MAN1A1","GeneCards")</f>
        <v>GeneCards</v>
      </c>
      <c r="D8430" s="1" t="str">
        <f>HYPERLINK("http://genome-euro.ucsc.edu/cgi-bin/hgTracks?position=208116_s_at","UCSC")</f>
        <v>UCSC</v>
      </c>
      <c r="E8430" s="1" t="str">
        <f>HYPERLINK("http://www.ncbi.nlm.nih.gov/gene/?term=MAN1A1","NCBI")</f>
        <v>NCBI</v>
      </c>
      <c r="F8430">
        <v>0.14000000000000001</v>
      </c>
      <c r="G8430">
        <v>0.28000000000000003</v>
      </c>
      <c r="H8430" s="1" t="str">
        <f>HYPERLINK("http://www.weizmann.ac.il/complex/compphys/software/geview/data/figures/208116_s_at.png","Figure")</f>
        <v>Figure</v>
      </c>
      <c r="I8430">
        <v>0.57799999999999996</v>
      </c>
      <c r="J8430">
        <v>0.12</v>
      </c>
      <c r="K8430">
        <v>0.749</v>
      </c>
      <c r="L8430">
        <v>0.42</v>
      </c>
      <c r="M8430">
        <v>1.29</v>
      </c>
      <c r="N8430">
        <v>0.54</v>
      </c>
    </row>
    <row r="8431" spans="1:14" x14ac:dyDescent="0.25">
      <c r="A8431" t="s">
        <v>14898</v>
      </c>
      <c r="B8431" t="s">
        <v>14899</v>
      </c>
      <c r="C8431" s="1" t="str">
        <f>HYPERLINK("http://www.genecards.org/cgi-bin/carddisp.pl?gene=NAT1","GeneCards")</f>
        <v>GeneCards</v>
      </c>
      <c r="D8431" s="1" t="str">
        <f>HYPERLINK("http://genome-euro.ucsc.edu/cgi-bin/hgTracks?position=214440_at","UCSC")</f>
        <v>UCSC</v>
      </c>
      <c r="E8431" s="1" t="str">
        <f>HYPERLINK("http://www.ncbi.nlm.nih.gov/gene/?term=NAT1","NCBI")</f>
        <v>NCBI</v>
      </c>
      <c r="F8431">
        <v>0.14000000000000001</v>
      </c>
      <c r="G8431">
        <v>0.28000000000000003</v>
      </c>
      <c r="H8431" s="1" t="str">
        <f>HYPERLINK("http://www.weizmann.ac.il/complex/compphys/software/geview/data/figures/214440_at.png","Figure")</f>
        <v>Figure</v>
      </c>
      <c r="I8431">
        <v>0.79500000000000004</v>
      </c>
      <c r="J8431">
        <v>0.53</v>
      </c>
      <c r="K8431">
        <v>0.67500000000000004</v>
      </c>
      <c r="L8431">
        <v>0.12</v>
      </c>
      <c r="M8431">
        <v>0.85</v>
      </c>
      <c r="N8431">
        <v>0.69</v>
      </c>
    </row>
    <row r="8432" spans="1:14" x14ac:dyDescent="0.25">
      <c r="A8432" t="s">
        <v>14900</v>
      </c>
      <c r="B8432" t="s">
        <v>14901</v>
      </c>
      <c r="C8432" s="1" t="str">
        <f>HYPERLINK("http://www.genecards.org/cgi-bin/carddisp.pl?gene=CST3","GeneCards")</f>
        <v>GeneCards</v>
      </c>
      <c r="D8432" s="1" t="str">
        <f>HYPERLINK("http://genome-euro.ucsc.edu/cgi-bin/hgTracks?position=201360_at","UCSC")</f>
        <v>UCSC</v>
      </c>
      <c r="E8432" s="1" t="str">
        <f>HYPERLINK("http://www.ncbi.nlm.nih.gov/gene/?term=CST3","NCBI")</f>
        <v>NCBI</v>
      </c>
      <c r="F8432">
        <v>0.14000000000000001</v>
      </c>
      <c r="G8432">
        <v>0.28000000000000003</v>
      </c>
      <c r="H8432" s="1" t="str">
        <f>HYPERLINK("http://www.weizmann.ac.il/complex/compphys/software/geview/data/figures/201360_at.png","Figure")</f>
        <v>Figure</v>
      </c>
      <c r="I8432">
        <v>1.23</v>
      </c>
      <c r="J8432">
        <v>0.14000000000000001</v>
      </c>
      <c r="K8432">
        <v>1.1499999999999999</v>
      </c>
      <c r="L8432">
        <v>0.28999999999999998</v>
      </c>
      <c r="M8432">
        <v>0.93300000000000005</v>
      </c>
      <c r="N8432">
        <v>0.76</v>
      </c>
    </row>
    <row r="8433" spans="1:14" x14ac:dyDescent="0.25">
      <c r="A8433" t="s">
        <v>14902</v>
      </c>
      <c r="B8433" t="s">
        <v>14903</v>
      </c>
      <c r="C8433" s="1" t="str">
        <f>HYPERLINK("http://www.genecards.org/cgi-bin/carddisp.pl?gene=STT3A","GeneCards")</f>
        <v>GeneCards</v>
      </c>
      <c r="D8433" s="1" t="str">
        <f>HYPERLINK("http://genome-euro.ucsc.edu/cgi-bin/hgTracks?position=202223_at","UCSC")</f>
        <v>UCSC</v>
      </c>
      <c r="E8433" s="1" t="str">
        <f>HYPERLINK("http://www.ncbi.nlm.nih.gov/gene/?term=STT3A","NCBI")</f>
        <v>NCBI</v>
      </c>
      <c r="F8433">
        <v>0.14000000000000001</v>
      </c>
      <c r="G8433">
        <v>0.28000000000000003</v>
      </c>
      <c r="H8433" s="1" t="str">
        <f>HYPERLINK("http://www.weizmann.ac.il/complex/compphys/software/geview/data/figures/202223_at.png","Figure")</f>
        <v>Figure</v>
      </c>
      <c r="I8433">
        <v>0.84099999999999997</v>
      </c>
      <c r="J8433">
        <v>0.34</v>
      </c>
      <c r="K8433">
        <v>1.06</v>
      </c>
      <c r="L8433">
        <v>0.82</v>
      </c>
      <c r="M8433">
        <v>1.27</v>
      </c>
      <c r="N8433">
        <v>0.12</v>
      </c>
    </row>
    <row r="8434" spans="1:14" x14ac:dyDescent="0.25">
      <c r="A8434" t="s">
        <v>14904</v>
      </c>
      <c r="B8434" t="s">
        <v>7328</v>
      </c>
      <c r="C8434" s="1" t="str">
        <f>HYPERLINK("http://www.genecards.org/cgi-bin/carddisp.pl?gene=CCDC85B","GeneCards")</f>
        <v>GeneCards</v>
      </c>
      <c r="D8434" s="1" t="str">
        <f>HYPERLINK("http://genome-euro.ucsc.edu/cgi-bin/hgTracks?position=204610_s_at","UCSC")</f>
        <v>UCSC</v>
      </c>
      <c r="E8434" s="1" t="str">
        <f>HYPERLINK("http://www.ncbi.nlm.nih.gov/gene/?term=CCDC85B","NCBI")</f>
        <v>NCBI</v>
      </c>
      <c r="F8434">
        <v>0.14000000000000001</v>
      </c>
      <c r="G8434">
        <v>0.28000000000000003</v>
      </c>
      <c r="H8434" s="1" t="str">
        <f>HYPERLINK("http://www.weizmann.ac.il/complex/compphys/software/geview/data/figures/204610_s_at.png","Figure")</f>
        <v>Figure</v>
      </c>
      <c r="I8434">
        <v>1.17</v>
      </c>
      <c r="J8434">
        <v>0.7</v>
      </c>
      <c r="K8434">
        <v>1.44</v>
      </c>
      <c r="L8434">
        <v>0.12</v>
      </c>
      <c r="M8434">
        <v>1.23</v>
      </c>
      <c r="N8434">
        <v>0.52</v>
      </c>
    </row>
    <row r="8435" spans="1:14" x14ac:dyDescent="0.25">
      <c r="A8435" t="s">
        <v>14905</v>
      </c>
      <c r="B8435" t="s">
        <v>14906</v>
      </c>
      <c r="C8435" s="1" t="str">
        <f>HYPERLINK("http://www.genecards.org/cgi-bin/carddisp.pl?gene=FGD1","GeneCards")</f>
        <v>GeneCards</v>
      </c>
      <c r="D8435" s="1" t="str">
        <f>HYPERLINK("http://genome-euro.ucsc.edu/cgi-bin/hgTracks?position=204819_at","UCSC")</f>
        <v>UCSC</v>
      </c>
      <c r="E8435" s="1" t="str">
        <f>HYPERLINK("http://www.ncbi.nlm.nih.gov/gene/?term=FGD1","NCBI")</f>
        <v>NCBI</v>
      </c>
      <c r="F8435">
        <v>0.14000000000000001</v>
      </c>
      <c r="G8435">
        <v>0.28000000000000003</v>
      </c>
      <c r="H8435" s="1" t="str">
        <f>HYPERLINK("http://www.weizmann.ac.il/complex/compphys/software/geview/data/figures/204819_at.png","Figure")</f>
        <v>Figure</v>
      </c>
      <c r="I8435">
        <v>0.871</v>
      </c>
      <c r="J8435">
        <v>0.3</v>
      </c>
      <c r="K8435">
        <v>0.85199999999999998</v>
      </c>
      <c r="L8435">
        <v>0.14000000000000001</v>
      </c>
      <c r="M8435">
        <v>0.97699999999999998</v>
      </c>
      <c r="N8435">
        <v>0.96</v>
      </c>
    </row>
    <row r="8436" spans="1:14" x14ac:dyDescent="0.25">
      <c r="A8436" t="s">
        <v>14907</v>
      </c>
      <c r="B8436" t="s">
        <v>14908</v>
      </c>
      <c r="C8436" s="1" t="str">
        <f>HYPERLINK("http://www.genecards.org/cgi-bin/carddisp.pl?gene=ATP5G2","GeneCards")</f>
        <v>GeneCards</v>
      </c>
      <c r="D8436" s="1" t="str">
        <f>HYPERLINK("http://genome-euro.ucsc.edu/cgi-bin/hgTracks?position=208764_s_at","UCSC")</f>
        <v>UCSC</v>
      </c>
      <c r="E8436" s="1" t="str">
        <f>HYPERLINK("http://www.ncbi.nlm.nih.gov/gene/?term=ATP5G2","NCBI")</f>
        <v>NCBI</v>
      </c>
      <c r="F8436">
        <v>0.14000000000000001</v>
      </c>
      <c r="G8436">
        <v>0.28000000000000003</v>
      </c>
      <c r="H8436" s="1" t="str">
        <f>HYPERLINK("http://www.weizmann.ac.il/complex/compphys/software/geview/data/figures/208764_s_at.png","Figure")</f>
        <v>Figure</v>
      </c>
      <c r="I8436">
        <v>1.26</v>
      </c>
      <c r="J8436">
        <v>0.63</v>
      </c>
      <c r="K8436">
        <v>1.59</v>
      </c>
      <c r="L8436">
        <v>0.12</v>
      </c>
      <c r="M8436">
        <v>1.26</v>
      </c>
      <c r="N8436">
        <v>0.59</v>
      </c>
    </row>
    <row r="8437" spans="1:14" x14ac:dyDescent="0.25">
      <c r="A8437" t="s">
        <v>14909</v>
      </c>
      <c r="B8437" t="s">
        <v>9553</v>
      </c>
      <c r="C8437" s="1" t="str">
        <f>HYPERLINK("http://www.genecards.org/cgi-bin/carddisp.pl?gene=GRPEL1","GeneCards")</f>
        <v>GeneCards</v>
      </c>
      <c r="D8437" s="1" t="str">
        <f>HYPERLINK("http://genome-euro.ucsc.edu/cgi-bin/hgTracks?position=212432_at","UCSC")</f>
        <v>UCSC</v>
      </c>
      <c r="E8437" s="1" t="str">
        <f>HYPERLINK("http://www.ncbi.nlm.nih.gov/gene/?term=GRPEL1","NCBI")</f>
        <v>NCBI</v>
      </c>
      <c r="F8437">
        <v>0.14000000000000001</v>
      </c>
      <c r="G8437">
        <v>0.28000000000000003</v>
      </c>
      <c r="H8437" s="1" t="str">
        <f>HYPERLINK("http://www.weizmann.ac.il/complex/compphys/software/geview/data/figures/212432_at.png","Figure")</f>
        <v>Figure</v>
      </c>
      <c r="I8437">
        <v>0.85699999999999998</v>
      </c>
      <c r="J8437">
        <v>0.3</v>
      </c>
      <c r="K8437">
        <v>1.04</v>
      </c>
      <c r="L8437">
        <v>0.88</v>
      </c>
      <c r="M8437">
        <v>1.22</v>
      </c>
      <c r="N8437">
        <v>0.13</v>
      </c>
    </row>
    <row r="8438" spans="1:14" x14ac:dyDescent="0.25">
      <c r="A8438" t="s">
        <v>14910</v>
      </c>
      <c r="B8438" t="s">
        <v>2130</v>
      </c>
      <c r="C8438" s="1" t="str">
        <f>HYPERLINK("http://www.genecards.org/cgi-bin/carddisp.pl?gene=TNFRSF21","GeneCards")</f>
        <v>GeneCards</v>
      </c>
      <c r="D8438" s="1" t="str">
        <f>HYPERLINK("http://genome-euro.ucsc.edu/cgi-bin/hgTracks?position=214581_x_at","UCSC")</f>
        <v>UCSC</v>
      </c>
      <c r="E8438" s="1" t="str">
        <f>HYPERLINK("http://www.ncbi.nlm.nih.gov/gene/?term=TNFRSF21","NCBI")</f>
        <v>NCBI</v>
      </c>
      <c r="F8438">
        <v>0.14000000000000001</v>
      </c>
      <c r="G8438">
        <v>0.28000000000000003</v>
      </c>
      <c r="H8438" s="1" t="str">
        <f>HYPERLINK("http://www.weizmann.ac.il/complex/compphys/software/geview/data/figures/214581_x_at.png","Figure")</f>
        <v>Figure</v>
      </c>
      <c r="I8438">
        <v>0.749</v>
      </c>
      <c r="J8438">
        <v>0.38</v>
      </c>
      <c r="K8438">
        <v>0.67900000000000005</v>
      </c>
      <c r="L8438">
        <v>0.13</v>
      </c>
      <c r="M8438">
        <v>0.90700000000000003</v>
      </c>
      <c r="N8438">
        <v>0.87</v>
      </c>
    </row>
    <row r="8439" spans="1:14" x14ac:dyDescent="0.25">
      <c r="A8439" t="s">
        <v>14911</v>
      </c>
      <c r="B8439" t="s">
        <v>12977</v>
      </c>
      <c r="C8439" s="1" t="str">
        <f>HYPERLINK("http://www.genecards.org/cgi-bin/carddisp.pl?gene=FN1","GeneCards")</f>
        <v>GeneCards</v>
      </c>
      <c r="D8439" s="1" t="str">
        <f>HYPERLINK("http://genome-euro.ucsc.edu/cgi-bin/hgTracks?position=214701_s_at","UCSC")</f>
        <v>UCSC</v>
      </c>
      <c r="E8439" s="1" t="str">
        <f>HYPERLINK("http://www.ncbi.nlm.nih.gov/gene/?term=FN1","NCBI")</f>
        <v>NCBI</v>
      </c>
      <c r="F8439">
        <v>0.14000000000000001</v>
      </c>
      <c r="G8439">
        <v>0.28000000000000003</v>
      </c>
      <c r="H8439" s="1" t="str">
        <f>HYPERLINK("http://www.weizmann.ac.il/complex/compphys/software/geview/data/figures/214701_s_at.png","Figure")</f>
        <v>Figure</v>
      </c>
      <c r="I8439">
        <v>1.21</v>
      </c>
      <c r="J8439">
        <v>0.13</v>
      </c>
      <c r="K8439">
        <v>1.1200000000000001</v>
      </c>
      <c r="L8439">
        <v>0.36</v>
      </c>
      <c r="M8439">
        <v>0.92400000000000004</v>
      </c>
      <c r="N8439">
        <v>0.63</v>
      </c>
    </row>
    <row r="8440" spans="1:14" x14ac:dyDescent="0.25">
      <c r="A8440" t="s">
        <v>14912</v>
      </c>
      <c r="B8440" t="s">
        <v>14913</v>
      </c>
      <c r="C8440" s="1" t="str">
        <f>HYPERLINK("http://www.genecards.org/cgi-bin/carddisp.pl?gene=ZNF273","GeneCards")</f>
        <v>GeneCards</v>
      </c>
      <c r="D8440" s="1" t="str">
        <f>HYPERLINK("http://genome-euro.ucsc.edu/cgi-bin/hgTracks?position=215239_x_at","UCSC")</f>
        <v>UCSC</v>
      </c>
      <c r="E8440" s="1" t="str">
        <f>HYPERLINK("http://www.ncbi.nlm.nih.gov/gene/?term=ZNF273","NCBI")</f>
        <v>NCBI</v>
      </c>
      <c r="F8440">
        <v>0.14000000000000001</v>
      </c>
      <c r="G8440">
        <v>0.28000000000000003</v>
      </c>
      <c r="H8440" s="1" t="str">
        <f>HYPERLINK("http://www.weizmann.ac.il/complex/compphys/software/geview/data/figures/215239_x_at.png","Figure")</f>
        <v>Figure</v>
      </c>
      <c r="I8440">
        <v>1.08</v>
      </c>
      <c r="J8440">
        <v>0.93</v>
      </c>
      <c r="K8440">
        <v>0.74</v>
      </c>
      <c r="L8440">
        <v>0.27</v>
      </c>
      <c r="M8440">
        <v>0.68600000000000005</v>
      </c>
      <c r="N8440">
        <v>0.17</v>
      </c>
    </row>
    <row r="8441" spans="1:14" x14ac:dyDescent="0.25">
      <c r="A8441" t="s">
        <v>14914</v>
      </c>
      <c r="B8441" t="s">
        <v>14915</v>
      </c>
      <c r="C8441" s="1" t="str">
        <f>HYPERLINK("http://www.genecards.org/cgi-bin/carddisp.pl?gene=LOC100288758","GeneCards")</f>
        <v>GeneCards</v>
      </c>
      <c r="D8441" s="1" t="str">
        <f>HYPERLINK("http://genome-euro.ucsc.edu/cgi-bin/hgTracks?position=216649_at","UCSC")</f>
        <v>UCSC</v>
      </c>
      <c r="E8441" s="1" t="str">
        <f>HYPERLINK("http://www.ncbi.nlm.nih.gov/gene/?term=LOC100288758","NCBI")</f>
        <v>NCBI</v>
      </c>
      <c r="F8441">
        <v>0.14000000000000001</v>
      </c>
      <c r="G8441">
        <v>0.28000000000000003</v>
      </c>
      <c r="H8441" s="1" t="str">
        <f>HYPERLINK("http://www.weizmann.ac.il/complex/compphys/software/geview/data/figures/216649_at.png","Figure")</f>
        <v>Figure</v>
      </c>
      <c r="I8441">
        <v>1.02</v>
      </c>
      <c r="J8441">
        <v>0.16</v>
      </c>
      <c r="K8441">
        <v>1.01</v>
      </c>
      <c r="L8441">
        <v>0.22</v>
      </c>
      <c r="M8441">
        <v>0.996</v>
      </c>
      <c r="N8441">
        <v>0.89</v>
      </c>
    </row>
    <row r="8442" spans="1:14" x14ac:dyDescent="0.25">
      <c r="A8442" t="s">
        <v>14916</v>
      </c>
      <c r="B8442" t="s">
        <v>14917</v>
      </c>
      <c r="C8442" s="1" t="str">
        <f>HYPERLINK("http://www.genecards.org/cgi-bin/carddisp.pl?gene=STUB1","GeneCards")</f>
        <v>GeneCards</v>
      </c>
      <c r="D8442" s="1" t="str">
        <f>HYPERLINK("http://genome-euro.ucsc.edu/cgi-bin/hgTracks?position=217934_x_at","UCSC")</f>
        <v>UCSC</v>
      </c>
      <c r="E8442" s="1" t="str">
        <f>HYPERLINK("http://www.ncbi.nlm.nih.gov/gene/?term=STUB1","NCBI")</f>
        <v>NCBI</v>
      </c>
      <c r="F8442">
        <v>0.14000000000000001</v>
      </c>
      <c r="G8442">
        <v>0.28000000000000003</v>
      </c>
      <c r="H8442" s="1" t="str">
        <f>HYPERLINK("http://www.weizmann.ac.il/complex/compphys/software/geview/data/figures/217934_x_at.png","Figure")</f>
        <v>Figure</v>
      </c>
      <c r="I8442">
        <v>1.1499999999999999</v>
      </c>
      <c r="J8442">
        <v>0.36</v>
      </c>
      <c r="K8442">
        <v>1.2</v>
      </c>
      <c r="L8442">
        <v>0.13</v>
      </c>
      <c r="M8442">
        <v>1.04</v>
      </c>
      <c r="N8442">
        <v>0.9</v>
      </c>
    </row>
    <row r="8443" spans="1:14" x14ac:dyDescent="0.25">
      <c r="A8443" t="s">
        <v>14918</v>
      </c>
      <c r="B8443" t="s">
        <v>11326</v>
      </c>
      <c r="C8443" s="1" t="str">
        <f>HYPERLINK("http://www.genecards.org/cgi-bin/carddisp.pl?gene=RIN3","GeneCards")</f>
        <v>GeneCards</v>
      </c>
      <c r="D8443" s="1" t="str">
        <f>HYPERLINK("http://genome-euro.ucsc.edu/cgi-bin/hgTracks?position=220439_at","UCSC")</f>
        <v>UCSC</v>
      </c>
      <c r="E8443" s="1" t="str">
        <f>HYPERLINK("http://www.ncbi.nlm.nih.gov/gene/?term=RIN3","NCBI")</f>
        <v>NCBI</v>
      </c>
      <c r="F8443">
        <v>0.14000000000000001</v>
      </c>
      <c r="G8443">
        <v>0.28000000000000003</v>
      </c>
      <c r="H8443" s="1" t="str">
        <f>HYPERLINK("http://www.weizmann.ac.il/complex/compphys/software/geview/data/figures/220439_at.png","Figure")</f>
        <v>Figure</v>
      </c>
      <c r="I8443">
        <v>0.98699999999999999</v>
      </c>
      <c r="J8443">
        <v>0.98</v>
      </c>
      <c r="K8443">
        <v>0.88500000000000001</v>
      </c>
      <c r="L8443">
        <v>0.17</v>
      </c>
      <c r="M8443">
        <v>0.89700000000000002</v>
      </c>
      <c r="N8443">
        <v>0.27</v>
      </c>
    </row>
    <row r="8444" spans="1:14" x14ac:dyDescent="0.25">
      <c r="A8444" t="s">
        <v>14919</v>
      </c>
      <c r="B8444" t="s">
        <v>14920</v>
      </c>
      <c r="C8444" s="1" t="str">
        <f>HYPERLINK("http://www.genecards.org/cgi-bin/carddisp.pl?gene=RNF208","GeneCards")</f>
        <v>GeneCards</v>
      </c>
      <c r="D8444" s="1" t="str">
        <f>HYPERLINK("http://genome-euro.ucsc.edu/cgi-bin/hgTracks?position=221273_s_at","UCSC")</f>
        <v>UCSC</v>
      </c>
      <c r="E8444" s="1" t="str">
        <f>HYPERLINK("http://www.ncbi.nlm.nih.gov/gene/?term=RNF208","NCBI")</f>
        <v>NCBI</v>
      </c>
      <c r="F8444">
        <v>0.14000000000000001</v>
      </c>
      <c r="G8444">
        <v>0.28000000000000003</v>
      </c>
      <c r="H8444" s="1" t="str">
        <f>HYPERLINK("http://www.weizmann.ac.il/complex/compphys/software/geview/data/figures/221273_s_at.png","Figure")</f>
        <v>Figure</v>
      </c>
      <c r="I8444">
        <v>1.1200000000000001</v>
      </c>
      <c r="J8444">
        <v>0.14000000000000001</v>
      </c>
      <c r="K8444">
        <v>1.02</v>
      </c>
      <c r="L8444">
        <v>0.89</v>
      </c>
      <c r="M8444">
        <v>0.91100000000000003</v>
      </c>
      <c r="N8444">
        <v>0.23</v>
      </c>
    </row>
    <row r="8445" spans="1:14" x14ac:dyDescent="0.25">
      <c r="A8445" t="s">
        <v>14921</v>
      </c>
      <c r="B8445" t="s">
        <v>2003</v>
      </c>
      <c r="C8445" s="1" t="str">
        <f>HYPERLINK("http://www.genecards.org/cgi-bin/carddisp.pl?gene=TRAK1","GeneCards")</f>
        <v>GeneCards</v>
      </c>
      <c r="D8445" s="1" t="str">
        <f>HYPERLINK("http://genome-euro.ucsc.edu/cgi-bin/hgTracks?position=202079_s_at","UCSC")</f>
        <v>UCSC</v>
      </c>
      <c r="E8445" s="1" t="str">
        <f>HYPERLINK("http://www.ncbi.nlm.nih.gov/gene/?term=TRAK1","NCBI")</f>
        <v>NCBI</v>
      </c>
      <c r="F8445">
        <v>0.14000000000000001</v>
      </c>
      <c r="G8445">
        <v>0.28000000000000003</v>
      </c>
      <c r="H8445" s="1" t="str">
        <f>HYPERLINK("http://www.weizmann.ac.il/complex/compphys/software/geview/data/figures/202079_s_at.png","Figure")</f>
        <v>Figure</v>
      </c>
      <c r="I8445">
        <v>1.2</v>
      </c>
      <c r="J8445">
        <v>0.38</v>
      </c>
      <c r="K8445">
        <v>1.28</v>
      </c>
      <c r="L8445">
        <v>0.13</v>
      </c>
      <c r="M8445">
        <v>1.06</v>
      </c>
      <c r="N8445">
        <v>0.88</v>
      </c>
    </row>
    <row r="8446" spans="1:14" x14ac:dyDescent="0.25">
      <c r="A8446" t="s">
        <v>14922</v>
      </c>
      <c r="B8446" t="s">
        <v>11573</v>
      </c>
      <c r="C8446" s="1" t="str">
        <f>HYPERLINK("http://www.genecards.org/cgi-bin/carddisp.pl?gene=SNRNP70","GeneCards")</f>
        <v>GeneCards</v>
      </c>
      <c r="D8446" s="1" t="str">
        <f>HYPERLINK("http://genome-euro.ucsc.edu/cgi-bin/hgTracks?position=213121_at","UCSC")</f>
        <v>UCSC</v>
      </c>
      <c r="E8446" s="1" t="str">
        <f>HYPERLINK("http://www.ncbi.nlm.nih.gov/gene/?term=SNRNP70","NCBI")</f>
        <v>NCBI</v>
      </c>
      <c r="F8446">
        <v>0.14000000000000001</v>
      </c>
      <c r="G8446">
        <v>0.28000000000000003</v>
      </c>
      <c r="H8446" s="1" t="str">
        <f>HYPERLINK("http://www.weizmann.ac.il/complex/compphys/software/geview/data/figures/213121_at.png","Figure")</f>
        <v>Figure</v>
      </c>
      <c r="I8446">
        <v>1.1599999999999999</v>
      </c>
      <c r="J8446">
        <v>0.12</v>
      </c>
      <c r="K8446">
        <v>1.08</v>
      </c>
      <c r="L8446">
        <v>0.4</v>
      </c>
      <c r="M8446">
        <v>0.93799999999999994</v>
      </c>
      <c r="N8446">
        <v>0.57999999999999996</v>
      </c>
    </row>
    <row r="8447" spans="1:14" x14ac:dyDescent="0.25">
      <c r="A8447" t="s">
        <v>14923</v>
      </c>
      <c r="B8447" t="s">
        <v>2876</v>
      </c>
      <c r="C8447" s="1" t="str">
        <f>HYPERLINK("http://www.genecards.org/cgi-bin/carddisp.pl?gene=HN1L","GeneCards")</f>
        <v>GeneCards</v>
      </c>
      <c r="D8447" s="1" t="str">
        <f>HYPERLINK("http://genome-euro.ucsc.edu/cgi-bin/hgTracks?position=212109_at","UCSC")</f>
        <v>UCSC</v>
      </c>
      <c r="E8447" s="1" t="str">
        <f>HYPERLINK("http://www.ncbi.nlm.nih.gov/gene/?term=HN1L","NCBI")</f>
        <v>NCBI</v>
      </c>
      <c r="F8447">
        <v>0.14000000000000001</v>
      </c>
      <c r="G8447">
        <v>0.28000000000000003</v>
      </c>
      <c r="H8447" s="1" t="str">
        <f>HYPERLINK("http://www.weizmann.ac.il/complex/compphys/software/geview/data/figures/212109_at.png","Figure")</f>
        <v>Figure</v>
      </c>
      <c r="I8447">
        <v>1.1599999999999999</v>
      </c>
      <c r="J8447">
        <v>0.12</v>
      </c>
      <c r="K8447">
        <v>1.05</v>
      </c>
      <c r="L8447">
        <v>0.68</v>
      </c>
      <c r="M8447">
        <v>0.90700000000000003</v>
      </c>
      <c r="N8447">
        <v>0.33</v>
      </c>
    </row>
    <row r="8448" spans="1:14" x14ac:dyDescent="0.25">
      <c r="A8448" t="s">
        <v>14924</v>
      </c>
      <c r="B8448" t="s">
        <v>14925</v>
      </c>
      <c r="C8448" s="1" t="str">
        <f>HYPERLINK("http://www.genecards.org/cgi-bin/carddisp.pl?gene=RPL32","GeneCards")</f>
        <v>GeneCards</v>
      </c>
      <c r="D8448" s="1" t="str">
        <f>HYPERLINK("http://genome-euro.ucsc.edu/cgi-bin/hgTracks?position=200674_s_at","UCSC")</f>
        <v>UCSC</v>
      </c>
      <c r="E8448" s="1" t="str">
        <f>HYPERLINK("http://www.ncbi.nlm.nih.gov/gene/?term=RPL32","NCBI")</f>
        <v>NCBI</v>
      </c>
      <c r="F8448">
        <v>0.14000000000000001</v>
      </c>
      <c r="G8448">
        <v>0.28000000000000003</v>
      </c>
      <c r="H8448" s="1" t="str">
        <f>HYPERLINK("http://www.weizmann.ac.il/complex/compphys/software/geview/data/figures/200674_s_at.png","Figure")</f>
        <v>Figure</v>
      </c>
      <c r="I8448">
        <v>0.84399999999999997</v>
      </c>
      <c r="J8448">
        <v>0.7</v>
      </c>
      <c r="K8448">
        <v>1.26</v>
      </c>
      <c r="L8448">
        <v>0.43</v>
      </c>
      <c r="M8448">
        <v>1.5</v>
      </c>
      <c r="N8448">
        <v>0.13</v>
      </c>
    </row>
    <row r="8449" spans="1:14" x14ac:dyDescent="0.25">
      <c r="A8449" t="s">
        <v>14926</v>
      </c>
      <c r="B8449" t="s">
        <v>14927</v>
      </c>
      <c r="C8449" s="1" t="str">
        <f>HYPERLINK("http://www.genecards.org/cgi-bin/carddisp.pl?gene=PHKG1","GeneCards")</f>
        <v>GeneCards</v>
      </c>
      <c r="D8449" s="1" t="str">
        <f>HYPERLINK("http://genome-euro.ucsc.edu/cgi-bin/hgTracks?position=207312_at","UCSC")</f>
        <v>UCSC</v>
      </c>
      <c r="E8449" s="1" t="str">
        <f>HYPERLINK("http://www.ncbi.nlm.nih.gov/gene/?term=PHKG1","NCBI")</f>
        <v>NCBI</v>
      </c>
      <c r="F8449">
        <v>0.14000000000000001</v>
      </c>
      <c r="G8449">
        <v>0.28000000000000003</v>
      </c>
      <c r="H8449" s="1" t="str">
        <f>HYPERLINK("http://www.weizmann.ac.il/complex/compphys/software/geview/data/figures/207312_at.png","Figure")</f>
        <v>Figure</v>
      </c>
      <c r="I8449">
        <v>1.1499999999999999</v>
      </c>
      <c r="J8449">
        <v>0.13</v>
      </c>
      <c r="K8449">
        <v>1.04</v>
      </c>
      <c r="L8449">
        <v>0.75</v>
      </c>
      <c r="M8449">
        <v>0.91</v>
      </c>
      <c r="N8449">
        <v>0.28999999999999998</v>
      </c>
    </row>
    <row r="8450" spans="1:14" x14ac:dyDescent="0.25">
      <c r="A8450" t="s">
        <v>14928</v>
      </c>
      <c r="B8450" t="s">
        <v>14929</v>
      </c>
      <c r="C8450" s="1" t="str">
        <f>HYPERLINK("http://www.genecards.org/cgi-bin/carddisp.pl?gene=FAM110B","GeneCards")</f>
        <v>GeneCards</v>
      </c>
      <c r="D8450" s="1" t="str">
        <f>HYPERLINK("http://genome-euro.ucsc.edu/cgi-bin/hgTracks?position=221959_at","UCSC")</f>
        <v>UCSC</v>
      </c>
      <c r="E8450" s="1" t="str">
        <f>HYPERLINK("http://www.ncbi.nlm.nih.gov/gene/?term=FAM110B","NCBI")</f>
        <v>NCBI</v>
      </c>
      <c r="F8450">
        <v>0.14000000000000001</v>
      </c>
      <c r="G8450">
        <v>0.28000000000000003</v>
      </c>
      <c r="H8450" s="1" t="str">
        <f>HYPERLINK("http://www.weizmann.ac.il/complex/compphys/software/geview/data/figures/221959_at.png","Figure")</f>
        <v>Figure</v>
      </c>
      <c r="I8450">
        <v>1.01</v>
      </c>
      <c r="J8450">
        <v>0.98</v>
      </c>
      <c r="K8450">
        <v>0.90500000000000003</v>
      </c>
      <c r="L8450">
        <v>0.23</v>
      </c>
      <c r="M8450">
        <v>0.89500000000000002</v>
      </c>
      <c r="N8450">
        <v>0.2</v>
      </c>
    </row>
    <row r="8451" spans="1:14" x14ac:dyDescent="0.25">
      <c r="A8451" t="s">
        <v>14930</v>
      </c>
      <c r="B8451" t="s">
        <v>14213</v>
      </c>
      <c r="C8451" s="1" t="str">
        <f>HYPERLINK("http://www.genecards.org/cgi-bin/carddisp.pl?gene=KRR1","GeneCards")</f>
        <v>GeneCards</v>
      </c>
      <c r="D8451" s="1" t="str">
        <f>HYPERLINK("http://genome-euro.ucsc.edu/cgi-bin/hgTracks?position=203202_at","UCSC")</f>
        <v>UCSC</v>
      </c>
      <c r="E8451" s="1" t="str">
        <f>HYPERLINK("http://www.ncbi.nlm.nih.gov/gene/?term=KRR1","NCBI")</f>
        <v>NCBI</v>
      </c>
      <c r="F8451">
        <v>0.14000000000000001</v>
      </c>
      <c r="G8451">
        <v>0.28000000000000003</v>
      </c>
      <c r="H8451" s="1" t="str">
        <f>HYPERLINK("http://www.weizmann.ac.il/complex/compphys/software/geview/data/figures/203202_at.png","Figure")</f>
        <v>Figure</v>
      </c>
      <c r="I8451">
        <v>1.04</v>
      </c>
      <c r="J8451">
        <v>0.98</v>
      </c>
      <c r="K8451">
        <v>0.70499999999999996</v>
      </c>
      <c r="L8451">
        <v>0.23</v>
      </c>
      <c r="M8451">
        <v>0.67600000000000005</v>
      </c>
      <c r="N8451">
        <v>0.2</v>
      </c>
    </row>
    <row r="8452" spans="1:14" x14ac:dyDescent="0.25">
      <c r="A8452" t="s">
        <v>14931</v>
      </c>
      <c r="B8452" t="s">
        <v>5343</v>
      </c>
      <c r="C8452" s="1" t="str">
        <f>HYPERLINK("http://www.genecards.org/cgi-bin/carddisp.pl?gene=BAIAP3","GeneCards")</f>
        <v>GeneCards</v>
      </c>
      <c r="D8452" s="1" t="str">
        <f>HYPERLINK("http://genome-euro.ucsc.edu/cgi-bin/hgTracks?position=204874_x_at","UCSC")</f>
        <v>UCSC</v>
      </c>
      <c r="E8452" s="1" t="str">
        <f>HYPERLINK("http://www.ncbi.nlm.nih.gov/gene/?term=BAIAP3","NCBI")</f>
        <v>NCBI</v>
      </c>
      <c r="F8452">
        <v>0.14000000000000001</v>
      </c>
      <c r="G8452">
        <v>0.28000000000000003</v>
      </c>
      <c r="H8452" s="1" t="str">
        <f>HYPERLINK("http://www.weizmann.ac.il/complex/compphys/software/geview/data/figures/204874_x_at.png","Figure")</f>
        <v>Figure</v>
      </c>
      <c r="I8452">
        <v>1.1499999999999999</v>
      </c>
      <c r="J8452">
        <v>0.24</v>
      </c>
      <c r="K8452">
        <v>0.98399999999999999</v>
      </c>
      <c r="L8452">
        <v>0.97</v>
      </c>
      <c r="M8452">
        <v>0.85399999999999998</v>
      </c>
      <c r="N8452">
        <v>0.14000000000000001</v>
      </c>
    </row>
    <row r="8453" spans="1:14" x14ac:dyDescent="0.25">
      <c r="A8453" t="s">
        <v>14932</v>
      </c>
      <c r="B8453" t="s">
        <v>7778</v>
      </c>
      <c r="C8453" s="1" t="str">
        <f>HYPERLINK("http://www.genecards.org/cgi-bin/carddisp.pl?gene=TCF25","GeneCards")</f>
        <v>GeneCards</v>
      </c>
      <c r="D8453" s="1" t="str">
        <f>HYPERLINK("http://genome-euro.ucsc.edu/cgi-bin/hgTracks?position=213311_s_at","UCSC")</f>
        <v>UCSC</v>
      </c>
      <c r="E8453" s="1" t="str">
        <f>HYPERLINK("http://www.ncbi.nlm.nih.gov/gene/?term=TCF25","NCBI")</f>
        <v>NCBI</v>
      </c>
      <c r="F8453">
        <v>0.14000000000000001</v>
      </c>
      <c r="G8453">
        <v>0.28000000000000003</v>
      </c>
      <c r="H8453" s="1" t="str">
        <f>HYPERLINK("http://www.weizmann.ac.il/complex/compphys/software/geview/data/figures/213311_s_at.png","Figure")</f>
        <v>Figure</v>
      </c>
      <c r="I8453">
        <v>1.4</v>
      </c>
      <c r="J8453">
        <v>0.28000000000000003</v>
      </c>
      <c r="K8453">
        <v>0.92500000000000004</v>
      </c>
      <c r="L8453">
        <v>0.91</v>
      </c>
      <c r="M8453">
        <v>0.66100000000000003</v>
      </c>
      <c r="N8453">
        <v>0.13</v>
      </c>
    </row>
    <row r="8454" spans="1:14" x14ac:dyDescent="0.25">
      <c r="A8454" t="s">
        <v>14933</v>
      </c>
      <c r="B8454" t="s">
        <v>934</v>
      </c>
      <c r="C8454" s="1" t="str">
        <f>HYPERLINK("http://www.genecards.org/cgi-bin/carddisp.pl?gene=PPP1R7","GeneCards")</f>
        <v>GeneCards</v>
      </c>
      <c r="D8454" s="1" t="str">
        <f>HYPERLINK("http://genome-euro.ucsc.edu/cgi-bin/hgTracks?position=201213_at","UCSC")</f>
        <v>UCSC</v>
      </c>
      <c r="E8454" s="1" t="str">
        <f>HYPERLINK("http://www.ncbi.nlm.nih.gov/gene/?term=PPP1R7","NCBI")</f>
        <v>NCBI</v>
      </c>
      <c r="F8454">
        <v>0.14000000000000001</v>
      </c>
      <c r="G8454">
        <v>0.28000000000000003</v>
      </c>
      <c r="H8454" s="1" t="str">
        <f>HYPERLINK("http://www.weizmann.ac.il/complex/compphys/software/geview/data/figures/201213_at.png","Figure")</f>
        <v>Figure</v>
      </c>
      <c r="I8454">
        <v>1.08</v>
      </c>
      <c r="J8454">
        <v>0.38</v>
      </c>
      <c r="K8454">
        <v>1.1000000000000001</v>
      </c>
      <c r="L8454">
        <v>0.13</v>
      </c>
      <c r="M8454">
        <v>1.02</v>
      </c>
      <c r="N8454">
        <v>0.87</v>
      </c>
    </row>
    <row r="8455" spans="1:14" x14ac:dyDescent="0.25">
      <c r="A8455" t="s">
        <v>14934</v>
      </c>
      <c r="B8455" t="s">
        <v>14471</v>
      </c>
      <c r="C8455" s="1" t="str">
        <f>HYPERLINK("http://www.genecards.org/cgi-bin/carddisp.pl?gene=PHF1","GeneCards")</f>
        <v>GeneCards</v>
      </c>
      <c r="D8455" s="1" t="str">
        <f>HYPERLINK("http://genome-euro.ucsc.edu/cgi-bin/hgTracks?position=202928_s_at","UCSC")</f>
        <v>UCSC</v>
      </c>
      <c r="E8455" s="1" t="str">
        <f>HYPERLINK("http://www.ncbi.nlm.nih.gov/gene/?term=PHF1","NCBI")</f>
        <v>NCBI</v>
      </c>
      <c r="F8455">
        <v>0.14000000000000001</v>
      </c>
      <c r="G8455">
        <v>0.28000000000000003</v>
      </c>
      <c r="H8455" s="1" t="str">
        <f>HYPERLINK("http://www.weizmann.ac.il/complex/compphys/software/geview/data/figures/202928_s_at.png","Figure")</f>
        <v>Figure</v>
      </c>
      <c r="I8455">
        <v>1.2</v>
      </c>
      <c r="J8455">
        <v>0.32</v>
      </c>
      <c r="K8455">
        <v>0.94499999999999995</v>
      </c>
      <c r="L8455">
        <v>0.86</v>
      </c>
      <c r="M8455">
        <v>0.78500000000000003</v>
      </c>
      <c r="N8455">
        <v>0.12</v>
      </c>
    </row>
    <row r="8456" spans="1:14" x14ac:dyDescent="0.25">
      <c r="A8456" t="s">
        <v>14935</v>
      </c>
      <c r="B8456" t="s">
        <v>11425</v>
      </c>
      <c r="C8456" s="1" t="str">
        <f>HYPERLINK("http://www.genecards.org/cgi-bin/carddisp.pl?gene=PRKAR2A","GeneCards")</f>
        <v>GeneCards</v>
      </c>
      <c r="D8456" s="1" t="str">
        <f>HYPERLINK("http://genome-euro.ucsc.edu/cgi-bin/hgTracks?position=213052_at","UCSC")</f>
        <v>UCSC</v>
      </c>
      <c r="E8456" s="1" t="str">
        <f>HYPERLINK("http://www.ncbi.nlm.nih.gov/gene/?term=PRKAR2A","NCBI")</f>
        <v>NCBI</v>
      </c>
      <c r="F8456">
        <v>0.14000000000000001</v>
      </c>
      <c r="G8456">
        <v>0.28000000000000003</v>
      </c>
      <c r="H8456" s="1" t="str">
        <f>HYPERLINK("http://www.weizmann.ac.il/complex/compphys/software/geview/data/figures/213052_at.png","Figure")</f>
        <v>Figure</v>
      </c>
      <c r="I8456">
        <v>1.2</v>
      </c>
      <c r="J8456">
        <v>0.14000000000000001</v>
      </c>
      <c r="K8456">
        <v>1.1299999999999999</v>
      </c>
      <c r="L8456">
        <v>0.28000000000000003</v>
      </c>
      <c r="M8456">
        <v>0.94499999999999995</v>
      </c>
      <c r="N8456">
        <v>0.77</v>
      </c>
    </row>
    <row r="8457" spans="1:14" x14ac:dyDescent="0.25">
      <c r="A8457" t="s">
        <v>14936</v>
      </c>
      <c r="B8457" t="s">
        <v>14937</v>
      </c>
      <c r="C8457" s="1" t="str">
        <f>HYPERLINK("http://www.genecards.org/cgi-bin/carddisp.pl?gene=C11orf71","GeneCards")</f>
        <v>GeneCards</v>
      </c>
      <c r="D8457" s="1" t="str">
        <f>HYPERLINK("http://genome-euro.ucsc.edu/cgi-bin/hgTracks?position=218789_s_at","UCSC")</f>
        <v>UCSC</v>
      </c>
      <c r="E8457" s="1" t="str">
        <f>HYPERLINK("http://www.ncbi.nlm.nih.gov/gene/?term=C11orf71","NCBI")</f>
        <v>NCBI</v>
      </c>
      <c r="F8457">
        <v>0.14000000000000001</v>
      </c>
      <c r="G8457">
        <v>0.28000000000000003</v>
      </c>
      <c r="H8457" s="1" t="str">
        <f>HYPERLINK("http://www.weizmann.ac.il/complex/compphys/software/geview/data/figures/218789_s_at.png","Figure")</f>
        <v>Figure</v>
      </c>
      <c r="I8457">
        <v>0.81100000000000005</v>
      </c>
      <c r="J8457">
        <v>0.26</v>
      </c>
      <c r="K8457">
        <v>1.04</v>
      </c>
      <c r="L8457">
        <v>0.94</v>
      </c>
      <c r="M8457">
        <v>1.28</v>
      </c>
      <c r="N8457">
        <v>0.13</v>
      </c>
    </row>
    <row r="8458" spans="1:14" x14ac:dyDescent="0.25">
      <c r="A8458" t="s">
        <v>14938</v>
      </c>
      <c r="B8458" t="s">
        <v>12429</v>
      </c>
      <c r="C8458" s="1" t="str">
        <f>HYPERLINK("http://www.genecards.org/cgi-bin/carddisp.pl?gene=API5","GeneCards")</f>
        <v>GeneCards</v>
      </c>
      <c r="D8458" s="1" t="str">
        <f>HYPERLINK("http://genome-euro.ucsc.edu/cgi-bin/hgTracks?position=214960_at","UCSC")</f>
        <v>UCSC</v>
      </c>
      <c r="E8458" s="1" t="str">
        <f>HYPERLINK("http://www.ncbi.nlm.nih.gov/gene/?term=API5","NCBI")</f>
        <v>NCBI</v>
      </c>
      <c r="F8458">
        <v>0.14000000000000001</v>
      </c>
      <c r="G8458">
        <v>0.28000000000000003</v>
      </c>
      <c r="H8458" s="1" t="str">
        <f>HYPERLINK("http://www.weizmann.ac.il/complex/compphys/software/geview/data/figures/214960_at.png","Figure")</f>
        <v>Figure</v>
      </c>
      <c r="I8458">
        <v>0.78100000000000003</v>
      </c>
      <c r="J8458">
        <v>0.54</v>
      </c>
      <c r="K8458">
        <v>0.65300000000000002</v>
      </c>
      <c r="L8458">
        <v>0.12</v>
      </c>
      <c r="M8458">
        <v>0.83599999999999997</v>
      </c>
      <c r="N8458">
        <v>0.69</v>
      </c>
    </row>
    <row r="8459" spans="1:14" x14ac:dyDescent="0.25">
      <c r="A8459" t="s">
        <v>14939</v>
      </c>
      <c r="B8459" t="s">
        <v>3843</v>
      </c>
      <c r="C8459" s="1" t="str">
        <f>HYPERLINK("http://www.genecards.org/cgi-bin/carddisp.pl?gene=THBS1","GeneCards")</f>
        <v>GeneCards</v>
      </c>
      <c r="D8459" s="1" t="str">
        <f>HYPERLINK("http://genome-euro.ucsc.edu/cgi-bin/hgTracks?position=215775_at","UCSC")</f>
        <v>UCSC</v>
      </c>
      <c r="E8459" s="1" t="str">
        <f>HYPERLINK("http://www.ncbi.nlm.nih.gov/gene/?term=THBS1","NCBI")</f>
        <v>NCBI</v>
      </c>
      <c r="F8459">
        <v>0.14000000000000001</v>
      </c>
      <c r="G8459">
        <v>0.28000000000000003</v>
      </c>
      <c r="H8459" s="1" t="str">
        <f>HYPERLINK("http://www.weizmann.ac.il/complex/compphys/software/geview/data/figures/215775_at.png","Figure")</f>
        <v>Figure</v>
      </c>
      <c r="I8459">
        <v>1.1399999999999999</v>
      </c>
      <c r="J8459">
        <v>0.22</v>
      </c>
      <c r="K8459">
        <v>0.98899999999999999</v>
      </c>
      <c r="L8459">
        <v>0.98</v>
      </c>
      <c r="M8459">
        <v>0.87</v>
      </c>
      <c r="N8459">
        <v>0.14000000000000001</v>
      </c>
    </row>
    <row r="8460" spans="1:14" x14ac:dyDescent="0.25">
      <c r="A8460" t="s">
        <v>14940</v>
      </c>
      <c r="B8460" t="s">
        <v>14941</v>
      </c>
      <c r="C8460" s="1" t="str">
        <f>HYPERLINK("http://www.genecards.org/cgi-bin/carddisp.pl?gene=VPREB3","GeneCards")</f>
        <v>GeneCards</v>
      </c>
      <c r="D8460" s="1" t="str">
        <f>HYPERLINK("http://genome-euro.ucsc.edu/cgi-bin/hgTracks?position=220068_at","UCSC")</f>
        <v>UCSC</v>
      </c>
      <c r="E8460" s="1" t="str">
        <f>HYPERLINK("http://www.ncbi.nlm.nih.gov/gene/?term=VPREB3","NCBI")</f>
        <v>NCBI</v>
      </c>
      <c r="F8460">
        <v>0.14000000000000001</v>
      </c>
      <c r="G8460">
        <v>0.28000000000000003</v>
      </c>
      <c r="H8460" s="1" t="str">
        <f>HYPERLINK("http://www.weizmann.ac.il/complex/compphys/software/geview/data/figures/220068_at.png","Figure")</f>
        <v>Figure</v>
      </c>
      <c r="I8460">
        <v>1.43</v>
      </c>
      <c r="J8460">
        <v>0.71</v>
      </c>
      <c r="K8460">
        <v>2.3199999999999998</v>
      </c>
      <c r="L8460">
        <v>0.13</v>
      </c>
      <c r="M8460">
        <v>1.62</v>
      </c>
      <c r="N8460">
        <v>0.51</v>
      </c>
    </row>
    <row r="8461" spans="1:14" x14ac:dyDescent="0.25">
      <c r="A8461" t="s">
        <v>14942</v>
      </c>
      <c r="B8461" t="s">
        <v>14943</v>
      </c>
      <c r="C8461" s="1" t="str">
        <f>HYPERLINK("http://www.genecards.org/cgi-bin/carddisp.pl?gene=KLF4","GeneCards")</f>
        <v>GeneCards</v>
      </c>
      <c r="D8461" s="1" t="str">
        <f>HYPERLINK("http://genome-euro.ucsc.edu/cgi-bin/hgTracks?position=221841_s_at","UCSC")</f>
        <v>UCSC</v>
      </c>
      <c r="E8461" s="1" t="str">
        <f>HYPERLINK("http://www.ncbi.nlm.nih.gov/gene/?term=KLF4","NCBI")</f>
        <v>NCBI</v>
      </c>
      <c r="F8461">
        <v>0.14000000000000001</v>
      </c>
      <c r="G8461">
        <v>0.28000000000000003</v>
      </c>
      <c r="H8461" s="1" t="str">
        <f>HYPERLINK("http://www.weizmann.ac.il/complex/compphys/software/geview/data/figures/221841_s_at.png","Figure")</f>
        <v>Figure</v>
      </c>
      <c r="I8461">
        <v>3.28</v>
      </c>
      <c r="J8461">
        <v>0.13</v>
      </c>
      <c r="K8461">
        <v>1.99</v>
      </c>
      <c r="L8461">
        <v>0.37</v>
      </c>
      <c r="M8461">
        <v>0.60599999999999998</v>
      </c>
      <c r="N8461">
        <v>0.62</v>
      </c>
    </row>
    <row r="8462" spans="1:14" x14ac:dyDescent="0.25">
      <c r="A8462" t="s">
        <v>14944</v>
      </c>
      <c r="B8462" t="s">
        <v>14945</v>
      </c>
      <c r="C8462" s="1" t="str">
        <f>HYPERLINK("http://www.genecards.org/cgi-bin/carddisp.pl?gene=HIST1H2BL","GeneCards")</f>
        <v>GeneCards</v>
      </c>
      <c r="D8462" s="1" t="str">
        <f>HYPERLINK("http://genome-euro.ucsc.edu/cgi-bin/hgTracks?position=207611_at","UCSC")</f>
        <v>UCSC</v>
      </c>
      <c r="E8462" s="1" t="str">
        <f>HYPERLINK("http://www.ncbi.nlm.nih.gov/gene/?term=HIST1H2BL","NCBI")</f>
        <v>NCBI</v>
      </c>
      <c r="F8462">
        <v>0.14000000000000001</v>
      </c>
      <c r="G8462">
        <v>0.28000000000000003</v>
      </c>
      <c r="H8462" s="1" t="str">
        <f>HYPERLINK("http://www.weizmann.ac.il/complex/compphys/software/geview/data/figures/207611_at.png","Figure")</f>
        <v>Figure</v>
      </c>
      <c r="I8462">
        <v>1.03</v>
      </c>
      <c r="J8462">
        <v>0.17</v>
      </c>
      <c r="K8462">
        <v>1.02</v>
      </c>
      <c r="L8462">
        <v>0.21</v>
      </c>
      <c r="M8462">
        <v>0.99399999999999999</v>
      </c>
      <c r="N8462">
        <v>0.92</v>
      </c>
    </row>
    <row r="8463" spans="1:14" x14ac:dyDescent="0.25">
      <c r="A8463" t="s">
        <v>14946</v>
      </c>
      <c r="B8463" t="s">
        <v>13779</v>
      </c>
      <c r="C8463" s="1" t="str">
        <f>HYPERLINK("http://www.genecards.org/cgi-bin/carddisp.pl?gene=TUBA1B","GeneCards")</f>
        <v>GeneCards</v>
      </c>
      <c r="D8463" s="1" t="str">
        <f>HYPERLINK("http://genome-euro.ucsc.edu/cgi-bin/hgTracks?position=201090_x_at","UCSC")</f>
        <v>UCSC</v>
      </c>
      <c r="E8463" s="1" t="str">
        <f>HYPERLINK("http://www.ncbi.nlm.nih.gov/gene/?term=TUBA1B","NCBI")</f>
        <v>NCBI</v>
      </c>
      <c r="F8463">
        <v>0.14000000000000001</v>
      </c>
      <c r="G8463">
        <v>0.28000000000000003</v>
      </c>
      <c r="H8463" s="1" t="str">
        <f>HYPERLINK("http://www.weizmann.ac.il/complex/compphys/software/geview/data/figures/201090_x_at.png","Figure")</f>
        <v>Figure</v>
      </c>
      <c r="I8463">
        <v>1.26</v>
      </c>
      <c r="J8463">
        <v>0.54</v>
      </c>
      <c r="K8463">
        <v>1.48</v>
      </c>
      <c r="L8463">
        <v>0.12</v>
      </c>
      <c r="M8463">
        <v>1.18</v>
      </c>
      <c r="N8463">
        <v>0.69</v>
      </c>
    </row>
    <row r="8464" spans="1:14" x14ac:dyDescent="0.25">
      <c r="A8464" t="s">
        <v>14947</v>
      </c>
      <c r="B8464" t="s">
        <v>14948</v>
      </c>
      <c r="C8464" s="1" t="str">
        <f>HYPERLINK("http://www.genecards.org/cgi-bin/carddisp.pl?gene=OPHN1","GeneCards")</f>
        <v>GeneCards</v>
      </c>
      <c r="D8464" s="1" t="str">
        <f>HYPERLINK("http://genome-euro.ucsc.edu/cgi-bin/hgTracks?position=206323_x_at","UCSC")</f>
        <v>UCSC</v>
      </c>
      <c r="E8464" s="1" t="str">
        <f>HYPERLINK("http://www.ncbi.nlm.nih.gov/gene/?term=OPHN1","NCBI")</f>
        <v>NCBI</v>
      </c>
      <c r="F8464">
        <v>0.14000000000000001</v>
      </c>
      <c r="G8464">
        <v>0.28000000000000003</v>
      </c>
      <c r="H8464" s="1" t="str">
        <f>HYPERLINK("http://www.weizmann.ac.il/complex/compphys/software/geview/data/figures/206323_x_at.png","Figure")</f>
        <v>Figure</v>
      </c>
      <c r="I8464">
        <v>1.47</v>
      </c>
      <c r="J8464">
        <v>0.13</v>
      </c>
      <c r="K8464">
        <v>1.1200000000000001</v>
      </c>
      <c r="L8464">
        <v>0.75</v>
      </c>
      <c r="M8464">
        <v>0.76600000000000001</v>
      </c>
      <c r="N8464">
        <v>0.28999999999999998</v>
      </c>
    </row>
    <row r="8465" spans="1:14" x14ac:dyDescent="0.25">
      <c r="A8465" t="s">
        <v>14949</v>
      </c>
      <c r="B8465" t="s">
        <v>14950</v>
      </c>
      <c r="C8465" s="1" t="str">
        <f>HYPERLINK("http://www.genecards.org/cgi-bin/carddisp.pl?gene=FXR2","GeneCards")</f>
        <v>GeneCards</v>
      </c>
      <c r="D8465" s="1" t="str">
        <f>HYPERLINK("http://genome-euro.ucsc.edu/cgi-bin/hgTracks?position=35265_at","UCSC")</f>
        <v>UCSC</v>
      </c>
      <c r="E8465" s="1" t="str">
        <f>HYPERLINK("http://www.ncbi.nlm.nih.gov/gene/?term=FXR2","NCBI")</f>
        <v>NCBI</v>
      </c>
      <c r="F8465">
        <v>0.14000000000000001</v>
      </c>
      <c r="G8465">
        <v>0.28000000000000003</v>
      </c>
      <c r="H8465" s="1" t="str">
        <f>HYPERLINK("http://www.weizmann.ac.il/complex/compphys/software/geview/data/figures/35265_at.png","Figure")</f>
        <v>Figure</v>
      </c>
      <c r="I8465">
        <v>1.25</v>
      </c>
      <c r="J8465">
        <v>0.15</v>
      </c>
      <c r="K8465">
        <v>1.17</v>
      </c>
      <c r="L8465">
        <v>0.26</v>
      </c>
      <c r="M8465">
        <v>0.94099999999999995</v>
      </c>
      <c r="N8465">
        <v>0.82</v>
      </c>
    </row>
    <row r="8466" spans="1:14" x14ac:dyDescent="0.25">
      <c r="A8466" t="s">
        <v>14951</v>
      </c>
      <c r="B8466" t="s">
        <v>9348</v>
      </c>
      <c r="C8466" s="1" t="str">
        <f>HYPERLINK("http://www.genecards.org/cgi-bin/carddisp.pl?gene=ZEB1","GeneCards")</f>
        <v>GeneCards</v>
      </c>
      <c r="D8466" s="1" t="str">
        <f>HYPERLINK("http://genome-euro.ucsc.edu/cgi-bin/hgTracks?position=212764_at","UCSC")</f>
        <v>UCSC</v>
      </c>
      <c r="E8466" s="1" t="str">
        <f>HYPERLINK("http://www.ncbi.nlm.nih.gov/gene/?term=ZEB1","NCBI")</f>
        <v>NCBI</v>
      </c>
      <c r="F8466">
        <v>0.14000000000000001</v>
      </c>
      <c r="G8466">
        <v>0.28000000000000003</v>
      </c>
      <c r="H8466" s="1" t="str">
        <f>HYPERLINK("http://www.weizmann.ac.il/complex/compphys/software/geview/data/figures/212764_at.png","Figure")</f>
        <v>Figure</v>
      </c>
      <c r="I8466">
        <v>0.59299999999999997</v>
      </c>
      <c r="J8466">
        <v>0.44</v>
      </c>
      <c r="K8466">
        <v>0.46200000000000002</v>
      </c>
      <c r="L8466">
        <v>0.12</v>
      </c>
      <c r="M8466">
        <v>0.78</v>
      </c>
      <c r="N8466">
        <v>0.8</v>
      </c>
    </row>
    <row r="8467" spans="1:14" x14ac:dyDescent="0.25">
      <c r="A8467" t="s">
        <v>14952</v>
      </c>
      <c r="B8467" t="s">
        <v>14953</v>
      </c>
      <c r="C8467" s="1" t="str">
        <f>HYPERLINK("http://www.genecards.org/cgi-bin/carddisp.pl?gene=BRD2","GeneCards")</f>
        <v>GeneCards</v>
      </c>
      <c r="D8467" s="1" t="str">
        <f>HYPERLINK("http://genome-euro.ucsc.edu/cgi-bin/hgTracks?position=208686_s_at","UCSC")</f>
        <v>UCSC</v>
      </c>
      <c r="E8467" s="1" t="str">
        <f>HYPERLINK("http://www.ncbi.nlm.nih.gov/gene/?term=BRD2","NCBI")</f>
        <v>NCBI</v>
      </c>
      <c r="F8467">
        <v>0.14000000000000001</v>
      </c>
      <c r="G8467">
        <v>0.28000000000000003</v>
      </c>
      <c r="H8467" s="1" t="str">
        <f>HYPERLINK("http://www.weizmann.ac.il/complex/compphys/software/geview/data/figures/208686_s_at.png","Figure")</f>
        <v>Figure</v>
      </c>
      <c r="I8467">
        <v>1.01</v>
      </c>
      <c r="J8467">
        <v>1</v>
      </c>
      <c r="K8467">
        <v>0.73799999999999999</v>
      </c>
      <c r="L8467">
        <v>0.2</v>
      </c>
      <c r="M8467">
        <v>0.73099999999999998</v>
      </c>
      <c r="N8467">
        <v>0.23</v>
      </c>
    </row>
    <row r="8468" spans="1:14" x14ac:dyDescent="0.25">
      <c r="A8468" t="s">
        <v>14954</v>
      </c>
      <c r="B8468" t="s">
        <v>9530</v>
      </c>
      <c r="C8468" s="1" t="str">
        <f>HYPERLINK("http://www.genecards.org/cgi-bin/carddisp.pl?gene=RPS6KB1","GeneCards")</f>
        <v>GeneCards</v>
      </c>
      <c r="D8468" s="1" t="str">
        <f>HYPERLINK("http://genome-euro.ucsc.edu/cgi-bin/hgTracks?position=211578_s_at","UCSC")</f>
        <v>UCSC</v>
      </c>
      <c r="E8468" s="1" t="str">
        <f>HYPERLINK("http://www.ncbi.nlm.nih.gov/gene/?term=RPS6KB1","NCBI")</f>
        <v>NCBI</v>
      </c>
      <c r="F8468">
        <v>0.14000000000000001</v>
      </c>
      <c r="G8468">
        <v>0.28000000000000003</v>
      </c>
      <c r="H8468" s="1" t="str">
        <f>HYPERLINK("http://www.weizmann.ac.il/complex/compphys/software/geview/data/figures/211578_s_at.png","Figure")</f>
        <v>Figure</v>
      </c>
      <c r="I8468">
        <v>0.98599999999999999</v>
      </c>
      <c r="J8468">
        <v>1</v>
      </c>
      <c r="K8468">
        <v>0.753</v>
      </c>
      <c r="L8468">
        <v>0.18</v>
      </c>
      <c r="M8468">
        <v>0.76400000000000001</v>
      </c>
      <c r="N8468">
        <v>0.25</v>
      </c>
    </row>
    <row r="8469" spans="1:14" x14ac:dyDescent="0.25">
      <c r="A8469" t="s">
        <v>14955</v>
      </c>
      <c r="B8469" t="s">
        <v>14956</v>
      </c>
      <c r="C8469" s="1" t="str">
        <f>HYPERLINK("http://www.genecards.org/cgi-bin/carddisp.pl?gene=CD59","GeneCards")</f>
        <v>GeneCards</v>
      </c>
      <c r="D8469" s="1" t="str">
        <f>HYPERLINK("http://genome-euro.ucsc.edu/cgi-bin/hgTracks?position=212463_at","UCSC")</f>
        <v>UCSC</v>
      </c>
      <c r="E8469" s="1" t="str">
        <f>HYPERLINK("http://www.ncbi.nlm.nih.gov/gene/?term=CD59","NCBI")</f>
        <v>NCBI</v>
      </c>
      <c r="F8469">
        <v>0.14000000000000001</v>
      </c>
      <c r="G8469">
        <v>0.28000000000000003</v>
      </c>
      <c r="H8469" s="1" t="str">
        <f>HYPERLINK("http://www.weizmann.ac.il/complex/compphys/software/geview/data/figures/212463_at.png","Figure")</f>
        <v>Figure</v>
      </c>
      <c r="I8469">
        <v>1.08</v>
      </c>
      <c r="J8469">
        <v>0.95</v>
      </c>
      <c r="K8469">
        <v>0.7</v>
      </c>
      <c r="L8469">
        <v>0.25</v>
      </c>
      <c r="M8469">
        <v>0.65100000000000002</v>
      </c>
      <c r="N8469">
        <v>0.18</v>
      </c>
    </row>
    <row r="8470" spans="1:14" x14ac:dyDescent="0.25">
      <c r="A8470" t="s">
        <v>14957</v>
      </c>
      <c r="B8470" t="s">
        <v>2549</v>
      </c>
      <c r="C8470" s="1" t="str">
        <f>HYPERLINK("http://www.genecards.org/cgi-bin/carddisp.pl?gene=MKI67","GeneCards")</f>
        <v>GeneCards</v>
      </c>
      <c r="D8470" s="1" t="str">
        <f>HYPERLINK("http://genome-euro.ucsc.edu/cgi-bin/hgTracks?position=212021_s_at","UCSC")</f>
        <v>UCSC</v>
      </c>
      <c r="E8470" s="1" t="str">
        <f>HYPERLINK("http://www.ncbi.nlm.nih.gov/gene/?term=MKI67","NCBI")</f>
        <v>NCBI</v>
      </c>
      <c r="F8470">
        <v>0.14000000000000001</v>
      </c>
      <c r="G8470">
        <v>0.28000000000000003</v>
      </c>
      <c r="H8470" s="1" t="str">
        <f>HYPERLINK("http://www.weizmann.ac.il/complex/compphys/software/geview/data/figures/212021_s_at.png","Figure")</f>
        <v>Figure</v>
      </c>
      <c r="I8470">
        <v>1.3</v>
      </c>
      <c r="J8470">
        <v>0.16</v>
      </c>
      <c r="K8470">
        <v>1.22</v>
      </c>
      <c r="L8470">
        <v>0.24</v>
      </c>
      <c r="M8470">
        <v>0.93600000000000005</v>
      </c>
      <c r="N8470">
        <v>0.86</v>
      </c>
    </row>
    <row r="8471" spans="1:14" x14ac:dyDescent="0.25">
      <c r="A8471" t="s">
        <v>14958</v>
      </c>
      <c r="B8471" t="s">
        <v>14959</v>
      </c>
      <c r="C8471" s="1" t="str">
        <f>HYPERLINK("http://www.genecards.org/cgi-bin/carddisp.pl?gene=C14orf93","GeneCards")</f>
        <v>GeneCards</v>
      </c>
      <c r="D8471" s="1" t="str">
        <f>HYPERLINK("http://genome-euro.ucsc.edu/cgi-bin/hgTracks?position=219009_at","UCSC")</f>
        <v>UCSC</v>
      </c>
      <c r="E8471" s="1" t="str">
        <f>HYPERLINK("http://www.ncbi.nlm.nih.gov/gene/?term=C14orf93","NCBI")</f>
        <v>NCBI</v>
      </c>
      <c r="F8471">
        <v>0.14000000000000001</v>
      </c>
      <c r="G8471">
        <v>0.28000000000000003</v>
      </c>
      <c r="H8471" s="1" t="str">
        <f>HYPERLINK("http://www.weizmann.ac.il/complex/compphys/software/geview/data/figures/219009_at.png","Figure")</f>
        <v>Figure</v>
      </c>
      <c r="I8471">
        <v>0.77800000000000002</v>
      </c>
      <c r="J8471">
        <v>0.13</v>
      </c>
      <c r="K8471">
        <v>0.93</v>
      </c>
      <c r="L8471">
        <v>0.77</v>
      </c>
      <c r="M8471">
        <v>1.19</v>
      </c>
      <c r="N8471">
        <v>0.28000000000000003</v>
      </c>
    </row>
    <row r="8472" spans="1:14" x14ac:dyDescent="0.25">
      <c r="A8472" t="s">
        <v>14960</v>
      </c>
      <c r="B8472" t="s">
        <v>14961</v>
      </c>
      <c r="C8472" s="1" t="str">
        <f>HYPERLINK("http://www.genecards.org/cgi-bin/carddisp.pl?gene=ADCY1","GeneCards")</f>
        <v>GeneCards</v>
      </c>
      <c r="D8472" s="1" t="str">
        <f>HYPERLINK("http://genome-euro.ucsc.edu/cgi-bin/hgTracks?position=213245_at","UCSC")</f>
        <v>UCSC</v>
      </c>
      <c r="E8472" s="1" t="str">
        <f>HYPERLINK("http://www.ncbi.nlm.nih.gov/gene/?term=ADCY1","NCBI")</f>
        <v>NCBI</v>
      </c>
      <c r="F8472">
        <v>0.14000000000000001</v>
      </c>
      <c r="G8472">
        <v>0.28000000000000003</v>
      </c>
      <c r="H8472" s="1" t="str">
        <f>HYPERLINK("http://www.weizmann.ac.il/complex/compphys/software/geview/data/figures/213245_at.png","Figure")</f>
        <v>Figure</v>
      </c>
      <c r="I8472">
        <v>1.1100000000000001</v>
      </c>
      <c r="J8472">
        <v>0.18</v>
      </c>
      <c r="K8472">
        <v>1.01</v>
      </c>
      <c r="L8472">
        <v>0.99</v>
      </c>
      <c r="M8472">
        <v>0.90600000000000003</v>
      </c>
      <c r="N8472">
        <v>0.17</v>
      </c>
    </row>
    <row r="8473" spans="1:14" x14ac:dyDescent="0.25">
      <c r="A8473" t="s">
        <v>14962</v>
      </c>
      <c r="B8473" t="s">
        <v>14963</v>
      </c>
      <c r="C8473" s="1" t="str">
        <f>HYPERLINK("http://www.genecards.org/cgi-bin/carddisp.pl?gene=OPN1SW","GeneCards")</f>
        <v>GeneCards</v>
      </c>
      <c r="D8473" s="1" t="str">
        <f>HYPERLINK("http://genome-euro.ucsc.edu/cgi-bin/hgTracks?position=208036_at","UCSC")</f>
        <v>UCSC</v>
      </c>
      <c r="E8473" s="1" t="str">
        <f>HYPERLINK("http://www.ncbi.nlm.nih.gov/gene/?term=OPN1SW","NCBI")</f>
        <v>NCBI</v>
      </c>
      <c r="F8473">
        <v>0.14000000000000001</v>
      </c>
      <c r="G8473">
        <v>0.28000000000000003</v>
      </c>
      <c r="H8473" s="1" t="str">
        <f>HYPERLINK("http://www.weizmann.ac.il/complex/compphys/software/geview/data/figures/208036_at.png","Figure")</f>
        <v>Figure</v>
      </c>
      <c r="I8473">
        <v>1</v>
      </c>
      <c r="J8473">
        <v>1</v>
      </c>
      <c r="K8473">
        <v>0.96099999999999997</v>
      </c>
      <c r="L8473">
        <v>0.2</v>
      </c>
      <c r="M8473">
        <v>0.96099999999999997</v>
      </c>
      <c r="N8473">
        <v>0.24</v>
      </c>
    </row>
    <row r="8474" spans="1:14" x14ac:dyDescent="0.25">
      <c r="A8474" t="s">
        <v>14964</v>
      </c>
      <c r="B8474" t="s">
        <v>11785</v>
      </c>
      <c r="C8474" s="1" t="str">
        <f>HYPERLINK("http://www.genecards.org/cgi-bin/carddisp.pl?gene=NOS1","GeneCards")</f>
        <v>GeneCards</v>
      </c>
      <c r="D8474" s="1" t="str">
        <f>HYPERLINK("http://genome-euro.ucsc.edu/cgi-bin/hgTracks?position=207310_s_at","UCSC")</f>
        <v>UCSC</v>
      </c>
      <c r="E8474" s="1" t="str">
        <f>HYPERLINK("http://www.ncbi.nlm.nih.gov/gene/?term=NOS1","NCBI")</f>
        <v>NCBI</v>
      </c>
      <c r="F8474">
        <v>0.14000000000000001</v>
      </c>
      <c r="G8474">
        <v>0.28000000000000003</v>
      </c>
      <c r="H8474" s="1" t="str">
        <f>HYPERLINK("http://www.weizmann.ac.il/complex/compphys/software/geview/data/figures/207310_s_at.png","Figure")</f>
        <v>Figure</v>
      </c>
      <c r="I8474">
        <v>1.1599999999999999</v>
      </c>
      <c r="J8474">
        <v>0.14000000000000001</v>
      </c>
      <c r="K8474">
        <v>1.1000000000000001</v>
      </c>
      <c r="L8474">
        <v>0.31</v>
      </c>
      <c r="M8474">
        <v>0.94699999999999995</v>
      </c>
      <c r="N8474">
        <v>0.71</v>
      </c>
    </row>
    <row r="8475" spans="1:14" x14ac:dyDescent="0.25">
      <c r="A8475" t="s">
        <v>14965</v>
      </c>
      <c r="B8475" t="s">
        <v>14966</v>
      </c>
      <c r="C8475" s="1" t="str">
        <f>HYPERLINK("http://www.genecards.org/cgi-bin/carddisp.pl?gene=EIF2C2","GeneCards")</f>
        <v>GeneCards</v>
      </c>
      <c r="D8475" s="1" t="str">
        <f>HYPERLINK("http://genome-euro.ucsc.edu/cgi-bin/hgTracks?position=213310_at","UCSC")</f>
        <v>UCSC</v>
      </c>
      <c r="E8475" s="1" t="str">
        <f>HYPERLINK("http://www.ncbi.nlm.nih.gov/gene/?term=EIF2C2","NCBI")</f>
        <v>NCBI</v>
      </c>
      <c r="F8475">
        <v>0.14000000000000001</v>
      </c>
      <c r="G8475">
        <v>0.28000000000000003</v>
      </c>
      <c r="H8475" s="1" t="str">
        <f>HYPERLINK("http://www.weizmann.ac.il/complex/compphys/software/geview/data/figures/213310_at.png","Figure")</f>
        <v>Figure</v>
      </c>
      <c r="I8475">
        <v>0.60399999999999998</v>
      </c>
      <c r="J8475">
        <v>0.24</v>
      </c>
      <c r="K8475">
        <v>0.60399999999999998</v>
      </c>
      <c r="L8475">
        <v>0.16</v>
      </c>
      <c r="M8475">
        <v>0.999</v>
      </c>
      <c r="N8475">
        <v>1</v>
      </c>
    </row>
    <row r="8476" spans="1:14" x14ac:dyDescent="0.25">
      <c r="A8476" t="s">
        <v>14967</v>
      </c>
      <c r="B8476" t="s">
        <v>5205</v>
      </c>
      <c r="C8476" s="1" t="str">
        <f>HYPERLINK("http://www.genecards.org/cgi-bin/carddisp.pl?gene=PPP2R4","GeneCards")</f>
        <v>GeneCards</v>
      </c>
      <c r="D8476" s="1" t="str">
        <f>HYPERLINK("http://genome-euro.ucsc.edu/cgi-bin/hgTracks?position=206452_x_at","UCSC")</f>
        <v>UCSC</v>
      </c>
      <c r="E8476" s="1" t="str">
        <f>HYPERLINK("http://www.ncbi.nlm.nih.gov/gene/?term=PPP2R4","NCBI")</f>
        <v>NCBI</v>
      </c>
      <c r="F8476">
        <v>0.14000000000000001</v>
      </c>
      <c r="G8476">
        <v>0.28000000000000003</v>
      </c>
      <c r="H8476" s="1" t="str">
        <f>HYPERLINK("http://www.weizmann.ac.il/complex/compphys/software/geview/data/figures/206452_x_at.png","Figure")</f>
        <v>Figure</v>
      </c>
      <c r="I8476">
        <v>1.21</v>
      </c>
      <c r="J8476">
        <v>0.28000000000000003</v>
      </c>
      <c r="K8476">
        <v>1.24</v>
      </c>
      <c r="L8476">
        <v>0.14000000000000001</v>
      </c>
      <c r="M8476">
        <v>1.02</v>
      </c>
      <c r="N8476">
        <v>0.98</v>
      </c>
    </row>
    <row r="8477" spans="1:14" x14ac:dyDescent="0.25">
      <c r="A8477" t="s">
        <v>14968</v>
      </c>
      <c r="B8477" t="s">
        <v>14969</v>
      </c>
      <c r="C8477" s="1" t="str">
        <f>HYPERLINK("http://www.genecards.org/cgi-bin/carddisp.pl?gene=POU2F2","GeneCards")</f>
        <v>GeneCards</v>
      </c>
      <c r="D8477" s="1" t="str">
        <f>HYPERLINK("http://genome-euro.ucsc.edu/cgi-bin/hgTracks?position=211771_s_at","UCSC")</f>
        <v>UCSC</v>
      </c>
      <c r="E8477" s="1" t="str">
        <f>HYPERLINK("http://www.ncbi.nlm.nih.gov/gene/?term=POU2F2","NCBI")</f>
        <v>NCBI</v>
      </c>
      <c r="F8477">
        <v>0.14000000000000001</v>
      </c>
      <c r="G8477">
        <v>0.28000000000000003</v>
      </c>
      <c r="H8477" s="1" t="str">
        <f>HYPERLINK("http://www.weizmann.ac.il/complex/compphys/software/geview/data/figures/211771_s_at.png","Figure")</f>
        <v>Figure</v>
      </c>
      <c r="I8477">
        <v>0.91400000000000003</v>
      </c>
      <c r="J8477">
        <v>0.87</v>
      </c>
      <c r="K8477">
        <v>1.27</v>
      </c>
      <c r="L8477">
        <v>0.31</v>
      </c>
      <c r="M8477">
        <v>1.39</v>
      </c>
      <c r="N8477">
        <v>0.16</v>
      </c>
    </row>
    <row r="8478" spans="1:14" x14ac:dyDescent="0.25">
      <c r="A8478" t="s">
        <v>14970</v>
      </c>
      <c r="B8478" t="s">
        <v>14971</v>
      </c>
      <c r="C8478" s="1" t="str">
        <f>HYPERLINK("http://www.genecards.org/cgi-bin/carddisp.pl?gene=FGF17","GeneCards")</f>
        <v>GeneCards</v>
      </c>
      <c r="D8478" s="1" t="str">
        <f>HYPERLINK("http://genome-euro.ucsc.edu/cgi-bin/hgTracks?position=221376_at","UCSC")</f>
        <v>UCSC</v>
      </c>
      <c r="E8478" s="1" t="str">
        <f>HYPERLINK("http://www.ncbi.nlm.nih.gov/gene/?term=FGF17","NCBI")</f>
        <v>NCBI</v>
      </c>
      <c r="F8478">
        <v>0.14000000000000001</v>
      </c>
      <c r="G8478">
        <v>0.28000000000000003</v>
      </c>
      <c r="H8478" s="1" t="str">
        <f>HYPERLINK("http://www.weizmann.ac.il/complex/compphys/software/geview/data/figures/221376_at.png","Figure")</f>
        <v>Figure</v>
      </c>
      <c r="I8478">
        <v>1.1299999999999999</v>
      </c>
      <c r="J8478">
        <v>0.33</v>
      </c>
      <c r="K8478">
        <v>0.96099999999999997</v>
      </c>
      <c r="L8478">
        <v>0.84</v>
      </c>
      <c r="M8478">
        <v>0.85399999999999998</v>
      </c>
      <c r="N8478">
        <v>0.12</v>
      </c>
    </row>
    <row r="8479" spans="1:14" x14ac:dyDescent="0.25">
      <c r="A8479" t="s">
        <v>14972</v>
      </c>
      <c r="B8479" t="s">
        <v>14973</v>
      </c>
      <c r="C8479" s="1" t="str">
        <f>HYPERLINK("http://www.genecards.org/cgi-bin/carddisp.pl?gene=RNF121","GeneCards")</f>
        <v>GeneCards</v>
      </c>
      <c r="D8479" s="1" t="str">
        <f>HYPERLINK("http://genome-euro.ucsc.edu/cgi-bin/hgTracks?position=219021_at","UCSC")</f>
        <v>UCSC</v>
      </c>
      <c r="E8479" s="1" t="str">
        <f>HYPERLINK("http://www.ncbi.nlm.nih.gov/gene/?term=RNF121","NCBI")</f>
        <v>NCBI</v>
      </c>
      <c r="F8479">
        <v>0.14000000000000001</v>
      </c>
      <c r="G8479">
        <v>0.28000000000000003</v>
      </c>
      <c r="H8479" s="1" t="str">
        <f>HYPERLINK("http://www.weizmann.ac.il/complex/compphys/software/geview/data/figures/219021_at.png","Figure")</f>
        <v>Figure</v>
      </c>
      <c r="I8479">
        <v>1.27</v>
      </c>
      <c r="J8479">
        <v>0.14000000000000001</v>
      </c>
      <c r="K8479">
        <v>1.06</v>
      </c>
      <c r="L8479">
        <v>0.84</v>
      </c>
      <c r="M8479">
        <v>0.83299999999999996</v>
      </c>
      <c r="N8479">
        <v>0.25</v>
      </c>
    </row>
    <row r="8480" spans="1:14" x14ac:dyDescent="0.25">
      <c r="A8480" t="s">
        <v>14974</v>
      </c>
      <c r="B8480" t="s">
        <v>14975</v>
      </c>
      <c r="C8480" s="1" t="str">
        <f>HYPERLINK("http://www.genecards.org/cgi-bin/carddisp.pl?gene=TBC1D13","GeneCards")</f>
        <v>GeneCards</v>
      </c>
      <c r="D8480" s="1" t="str">
        <f>HYPERLINK("http://genome-euro.ucsc.edu/cgi-bin/hgTracks?position=44696_at","UCSC")</f>
        <v>UCSC</v>
      </c>
      <c r="E8480" s="1" t="str">
        <f>HYPERLINK("http://www.ncbi.nlm.nih.gov/gene/?term=TBC1D13","NCBI")</f>
        <v>NCBI</v>
      </c>
      <c r="F8480">
        <v>0.14000000000000001</v>
      </c>
      <c r="G8480">
        <v>0.28000000000000003</v>
      </c>
      <c r="H8480" s="1" t="str">
        <f>HYPERLINK("http://www.weizmann.ac.il/complex/compphys/software/geview/data/figures/44696_at.png","Figure")</f>
        <v>Figure</v>
      </c>
      <c r="I8480">
        <v>1.18</v>
      </c>
      <c r="J8480">
        <v>0.14000000000000001</v>
      </c>
      <c r="K8480">
        <v>1.1200000000000001</v>
      </c>
      <c r="L8480">
        <v>0.28999999999999998</v>
      </c>
      <c r="M8480">
        <v>0.94699999999999995</v>
      </c>
      <c r="N8480">
        <v>0.75</v>
      </c>
    </row>
    <row r="8481" spans="1:14" x14ac:dyDescent="0.25">
      <c r="A8481" t="s">
        <v>14976</v>
      </c>
      <c r="B8481" t="s">
        <v>14977</v>
      </c>
      <c r="C8481" s="1" t="str">
        <f>HYPERLINK("http://www.genecards.org/cgi-bin/carddisp.pl?gene=POU5F1 /// POU5F1B /// POU5F1P3 /// POU5F1P4","GeneCards")</f>
        <v>GeneCards</v>
      </c>
      <c r="D8481" s="1" t="str">
        <f>HYPERLINK("http://genome-euro.ucsc.edu/cgi-bin/hgTracks?position=208286_x_at","UCSC")</f>
        <v>UCSC</v>
      </c>
      <c r="E8481" s="1" t="str">
        <f>HYPERLINK("http://www.ncbi.nlm.nih.gov/gene/?term=POU5F1 /// POU5F1B /// POU5F1P3 /// POU5F1P4","NCBI")</f>
        <v>NCBI</v>
      </c>
      <c r="F8481">
        <v>0.14000000000000001</v>
      </c>
      <c r="G8481">
        <v>0.28000000000000003</v>
      </c>
      <c r="H8481" s="1" t="str">
        <f>HYPERLINK("http://www.weizmann.ac.il/complex/compphys/software/geview/data/figures/208286_x_at.png","Figure")</f>
        <v>Figure</v>
      </c>
      <c r="I8481">
        <v>1.1299999999999999</v>
      </c>
      <c r="J8481">
        <v>0.14000000000000001</v>
      </c>
      <c r="K8481">
        <v>1.08</v>
      </c>
      <c r="L8481">
        <v>0.3</v>
      </c>
      <c r="M8481">
        <v>0.96</v>
      </c>
      <c r="N8481">
        <v>0.74</v>
      </c>
    </row>
    <row r="8482" spans="1:14" x14ac:dyDescent="0.25">
      <c r="A8482" t="s">
        <v>14978</v>
      </c>
      <c r="B8482" t="s">
        <v>14979</v>
      </c>
      <c r="C8482" s="1" t="str">
        <f>HYPERLINK("http://www.genecards.org/cgi-bin/carddisp.pl?gene=WDR43","GeneCards")</f>
        <v>GeneCards</v>
      </c>
      <c r="D8482" s="1" t="str">
        <f>HYPERLINK("http://genome-euro.ucsc.edu/cgi-bin/hgTracks?position=214662_at","UCSC")</f>
        <v>UCSC</v>
      </c>
      <c r="E8482" s="1" t="str">
        <f>HYPERLINK("http://www.ncbi.nlm.nih.gov/gene/?term=WDR43","NCBI")</f>
        <v>NCBI</v>
      </c>
      <c r="F8482">
        <v>0.14000000000000001</v>
      </c>
      <c r="G8482">
        <v>0.28000000000000003</v>
      </c>
      <c r="H8482" s="1" t="str">
        <f>HYPERLINK("http://www.weizmann.ac.il/complex/compphys/software/geview/data/figures/214662_at.png","Figure")</f>
        <v>Figure</v>
      </c>
      <c r="I8482">
        <v>0.92800000000000005</v>
      </c>
      <c r="J8482">
        <v>0.17</v>
      </c>
      <c r="K8482">
        <v>0.99299999999999999</v>
      </c>
      <c r="L8482">
        <v>0.97</v>
      </c>
      <c r="M8482">
        <v>1.07</v>
      </c>
      <c r="N8482">
        <v>0.19</v>
      </c>
    </row>
    <row r="8483" spans="1:14" x14ac:dyDescent="0.25">
      <c r="A8483" t="s">
        <v>14980</v>
      </c>
      <c r="B8483" t="s">
        <v>14981</v>
      </c>
      <c r="C8483" s="1" t="str">
        <f>HYPERLINK("http://www.genecards.org/cgi-bin/carddisp.pl?gene=COPZ1","GeneCards")</f>
        <v>GeneCards</v>
      </c>
      <c r="D8483" s="1" t="str">
        <f>HYPERLINK("http://genome-euro.ucsc.edu/cgi-bin/hgTracks?position=217726_at","UCSC")</f>
        <v>UCSC</v>
      </c>
      <c r="E8483" s="1" t="str">
        <f>HYPERLINK("http://www.ncbi.nlm.nih.gov/gene/?term=COPZ1","NCBI")</f>
        <v>NCBI</v>
      </c>
      <c r="F8483">
        <v>0.14000000000000001</v>
      </c>
      <c r="G8483">
        <v>0.28000000000000003</v>
      </c>
      <c r="H8483" s="1" t="str">
        <f>HYPERLINK("http://www.weizmann.ac.il/complex/compphys/software/geview/data/figures/217726_at.png","Figure")</f>
        <v>Figure</v>
      </c>
      <c r="I8483">
        <v>1.08</v>
      </c>
      <c r="J8483">
        <v>0.91</v>
      </c>
      <c r="K8483">
        <v>1.36</v>
      </c>
      <c r="L8483">
        <v>0.15</v>
      </c>
      <c r="M8483">
        <v>1.27</v>
      </c>
      <c r="N8483">
        <v>0.35</v>
      </c>
    </row>
    <row r="8484" spans="1:14" x14ac:dyDescent="0.25">
      <c r="A8484" t="s">
        <v>14982</v>
      </c>
      <c r="B8484" t="s">
        <v>14983</v>
      </c>
      <c r="C8484" s="1" t="str">
        <f>HYPERLINK("http://www.genecards.org/cgi-bin/carddisp.pl?gene=F2RL1","GeneCards")</f>
        <v>GeneCards</v>
      </c>
      <c r="D8484" s="1" t="str">
        <f>HYPERLINK("http://genome-euro.ucsc.edu/cgi-bin/hgTracks?position=206429_at","UCSC")</f>
        <v>UCSC</v>
      </c>
      <c r="E8484" s="1" t="str">
        <f>HYPERLINK("http://www.ncbi.nlm.nih.gov/gene/?term=F2RL1","NCBI")</f>
        <v>NCBI</v>
      </c>
      <c r="F8484">
        <v>0.14000000000000001</v>
      </c>
      <c r="G8484">
        <v>0.28000000000000003</v>
      </c>
      <c r="H8484" s="1" t="str">
        <f>HYPERLINK("http://www.weizmann.ac.il/complex/compphys/software/geview/data/figures/206429_at.png","Figure")</f>
        <v>Figure</v>
      </c>
      <c r="I8484">
        <v>1.18</v>
      </c>
      <c r="J8484">
        <v>0.18</v>
      </c>
      <c r="K8484">
        <v>1.01</v>
      </c>
      <c r="L8484">
        <v>1</v>
      </c>
      <c r="M8484">
        <v>0.85</v>
      </c>
      <c r="N8484">
        <v>0.17</v>
      </c>
    </row>
    <row r="8485" spans="1:14" x14ac:dyDescent="0.25">
      <c r="A8485" t="s">
        <v>14984</v>
      </c>
      <c r="B8485" t="s">
        <v>1926</v>
      </c>
      <c r="C8485" s="1" t="str">
        <f>HYPERLINK("http://www.genecards.org/cgi-bin/carddisp.pl?gene=NOP16","GeneCards")</f>
        <v>GeneCards</v>
      </c>
      <c r="D8485" s="1" t="str">
        <f>HYPERLINK("http://genome-euro.ucsc.edu/cgi-bin/hgTracks?position=203023_at","UCSC")</f>
        <v>UCSC</v>
      </c>
      <c r="E8485" s="1" t="str">
        <f>HYPERLINK("http://www.ncbi.nlm.nih.gov/gene/?term=NOP16","NCBI")</f>
        <v>NCBI</v>
      </c>
      <c r="F8485">
        <v>0.14000000000000001</v>
      </c>
      <c r="G8485">
        <v>0.28000000000000003</v>
      </c>
      <c r="H8485" s="1" t="str">
        <f>HYPERLINK("http://www.weizmann.ac.il/complex/compphys/software/geview/data/figures/203023_at.png","Figure")</f>
        <v>Figure</v>
      </c>
      <c r="I8485">
        <v>0.97599999999999998</v>
      </c>
      <c r="J8485">
        <v>0.89</v>
      </c>
      <c r="K8485">
        <v>1.07</v>
      </c>
      <c r="L8485">
        <v>0.3</v>
      </c>
      <c r="M8485">
        <v>1.1000000000000001</v>
      </c>
      <c r="N8485">
        <v>0.16</v>
      </c>
    </row>
    <row r="8486" spans="1:14" x14ac:dyDescent="0.25">
      <c r="A8486" t="s">
        <v>14985</v>
      </c>
      <c r="B8486" t="s">
        <v>14986</v>
      </c>
      <c r="C8486" s="1" t="str">
        <f>HYPERLINK("http://www.genecards.org/cgi-bin/carddisp.pl?gene=FASTK","GeneCards")</f>
        <v>GeneCards</v>
      </c>
      <c r="D8486" s="1" t="str">
        <f>HYPERLINK("http://genome-euro.ucsc.edu/cgi-bin/hgTracks?position=210975_x_at","UCSC")</f>
        <v>UCSC</v>
      </c>
      <c r="E8486" s="1" t="str">
        <f>HYPERLINK("http://www.ncbi.nlm.nih.gov/gene/?term=FASTK","NCBI")</f>
        <v>NCBI</v>
      </c>
      <c r="F8486">
        <v>0.14000000000000001</v>
      </c>
      <c r="G8486">
        <v>0.28000000000000003</v>
      </c>
      <c r="H8486" s="1" t="str">
        <f>HYPERLINK("http://www.weizmann.ac.il/complex/compphys/software/geview/data/figures/210975_x_at.png","Figure")</f>
        <v>Figure</v>
      </c>
      <c r="I8486">
        <v>1.29</v>
      </c>
      <c r="J8486">
        <v>0.13</v>
      </c>
      <c r="K8486">
        <v>1.07</v>
      </c>
      <c r="L8486">
        <v>0.81</v>
      </c>
      <c r="M8486">
        <v>0.82899999999999996</v>
      </c>
      <c r="N8486">
        <v>0.26</v>
      </c>
    </row>
    <row r="8487" spans="1:14" x14ac:dyDescent="0.25">
      <c r="A8487" t="s">
        <v>14987</v>
      </c>
      <c r="B8487" t="s">
        <v>14988</v>
      </c>
      <c r="C8487" s="1" t="str">
        <f>HYPERLINK("http://www.genecards.org/cgi-bin/carddisp.pl?gene=RNASEH2A","GeneCards")</f>
        <v>GeneCards</v>
      </c>
      <c r="D8487" s="1" t="str">
        <f>HYPERLINK("http://genome-euro.ucsc.edu/cgi-bin/hgTracks?position=203022_at","UCSC")</f>
        <v>UCSC</v>
      </c>
      <c r="E8487" s="1" t="str">
        <f>HYPERLINK("http://www.ncbi.nlm.nih.gov/gene/?term=RNASEH2A","NCBI")</f>
        <v>NCBI</v>
      </c>
      <c r="F8487">
        <v>0.14000000000000001</v>
      </c>
      <c r="G8487">
        <v>0.28000000000000003</v>
      </c>
      <c r="H8487" s="1" t="str">
        <f>HYPERLINK("http://www.weizmann.ac.il/complex/compphys/software/geview/data/figures/203022_at.png","Figure")</f>
        <v>Figure</v>
      </c>
      <c r="I8487">
        <v>1.06</v>
      </c>
      <c r="J8487">
        <v>0.92</v>
      </c>
      <c r="K8487">
        <v>1.32</v>
      </c>
      <c r="L8487">
        <v>0.15</v>
      </c>
      <c r="M8487">
        <v>1.24</v>
      </c>
      <c r="N8487">
        <v>0.34</v>
      </c>
    </row>
    <row r="8488" spans="1:14" x14ac:dyDescent="0.25">
      <c r="A8488" t="s">
        <v>14989</v>
      </c>
      <c r="B8488" t="s">
        <v>14990</v>
      </c>
      <c r="C8488" s="1" t="str">
        <f>HYPERLINK("http://www.genecards.org/cgi-bin/carddisp.pl?gene=DOC2A","GeneCards")</f>
        <v>GeneCards</v>
      </c>
      <c r="D8488" s="1" t="str">
        <f>HYPERLINK("http://genome-euro.ucsc.edu/cgi-bin/hgTracks?position=205744_at","UCSC")</f>
        <v>UCSC</v>
      </c>
      <c r="E8488" s="1" t="str">
        <f>HYPERLINK("http://www.ncbi.nlm.nih.gov/gene/?term=DOC2A","NCBI")</f>
        <v>NCBI</v>
      </c>
      <c r="F8488">
        <v>0.14000000000000001</v>
      </c>
      <c r="G8488">
        <v>0.28000000000000003</v>
      </c>
      <c r="H8488" s="1" t="str">
        <f>HYPERLINK("http://www.weizmann.ac.il/complex/compphys/software/geview/data/figures/205744_at.png","Figure")</f>
        <v>Figure</v>
      </c>
      <c r="I8488">
        <v>0.94299999999999995</v>
      </c>
      <c r="J8488">
        <v>0.46</v>
      </c>
      <c r="K8488">
        <v>1.04</v>
      </c>
      <c r="L8488">
        <v>0.66</v>
      </c>
      <c r="M8488">
        <v>1.1000000000000001</v>
      </c>
      <c r="N8488">
        <v>0.12</v>
      </c>
    </row>
    <row r="8489" spans="1:14" x14ac:dyDescent="0.25">
      <c r="A8489" t="s">
        <v>14991</v>
      </c>
      <c r="B8489" t="s">
        <v>14992</v>
      </c>
      <c r="C8489" s="1" t="str">
        <f>HYPERLINK("http://www.genecards.org/cgi-bin/carddisp.pl?gene=PROZ","GeneCards")</f>
        <v>GeneCards</v>
      </c>
      <c r="D8489" s="1" t="str">
        <f>HYPERLINK("http://genome-euro.ucsc.edu/cgi-bin/hgTracks?position=208034_s_at","UCSC")</f>
        <v>UCSC</v>
      </c>
      <c r="E8489" s="1" t="str">
        <f>HYPERLINK("http://www.ncbi.nlm.nih.gov/gene/?term=PROZ","NCBI")</f>
        <v>NCBI</v>
      </c>
      <c r="F8489">
        <v>0.14000000000000001</v>
      </c>
      <c r="G8489">
        <v>0.28000000000000003</v>
      </c>
      <c r="H8489" s="1" t="str">
        <f>HYPERLINK("http://www.weizmann.ac.il/complex/compphys/software/geview/data/figures/208034_s_at.png","Figure")</f>
        <v>Figure</v>
      </c>
      <c r="I8489">
        <v>1.24</v>
      </c>
      <c r="J8489">
        <v>0.12</v>
      </c>
      <c r="K8489">
        <v>1.1200000000000001</v>
      </c>
      <c r="L8489">
        <v>0.45</v>
      </c>
      <c r="M8489">
        <v>0.90200000000000002</v>
      </c>
      <c r="N8489">
        <v>0.53</v>
      </c>
    </row>
    <row r="8490" spans="1:14" x14ac:dyDescent="0.25">
      <c r="A8490" t="s">
        <v>14993</v>
      </c>
      <c r="B8490" t="s">
        <v>14994</v>
      </c>
      <c r="C8490" s="1" t="str">
        <f>HYPERLINK("http://www.genecards.org/cgi-bin/carddisp.pl?gene=CD200","GeneCards")</f>
        <v>GeneCards</v>
      </c>
      <c r="D8490" s="1" t="str">
        <f>HYPERLINK("http://genome-euro.ucsc.edu/cgi-bin/hgTracks?position=209583_s_at","UCSC")</f>
        <v>UCSC</v>
      </c>
      <c r="E8490" s="1" t="str">
        <f>HYPERLINK("http://www.ncbi.nlm.nih.gov/gene/?term=CD200","NCBI")</f>
        <v>NCBI</v>
      </c>
      <c r="F8490">
        <v>0.14000000000000001</v>
      </c>
      <c r="G8490">
        <v>0.28000000000000003</v>
      </c>
      <c r="H8490" s="1" t="str">
        <f>HYPERLINK("http://www.weizmann.ac.il/complex/compphys/software/geview/data/figures/209583_s_at.png","Figure")</f>
        <v>Figure</v>
      </c>
      <c r="I8490">
        <v>0.56499999999999995</v>
      </c>
      <c r="J8490">
        <v>0.12</v>
      </c>
      <c r="K8490">
        <v>0.78700000000000003</v>
      </c>
      <c r="L8490">
        <v>0.56999999999999995</v>
      </c>
      <c r="M8490">
        <v>1.39</v>
      </c>
      <c r="N8490">
        <v>0.41</v>
      </c>
    </row>
    <row r="8491" spans="1:14" x14ac:dyDescent="0.25">
      <c r="A8491" t="s">
        <v>14995</v>
      </c>
      <c r="B8491" t="s">
        <v>7496</v>
      </c>
      <c r="C8491" s="1" t="str">
        <f>HYPERLINK("http://www.genecards.org/cgi-bin/carddisp.pl?gene=ANKRD12","GeneCards")</f>
        <v>GeneCards</v>
      </c>
      <c r="D8491" s="1" t="str">
        <f>HYPERLINK("http://genome-euro.ucsc.edu/cgi-bin/hgTracks?position=216563_at","UCSC")</f>
        <v>UCSC</v>
      </c>
      <c r="E8491" s="1" t="str">
        <f>HYPERLINK("http://www.ncbi.nlm.nih.gov/gene/?term=ANKRD12","NCBI")</f>
        <v>NCBI</v>
      </c>
      <c r="F8491">
        <v>0.14000000000000001</v>
      </c>
      <c r="G8491">
        <v>0.28000000000000003</v>
      </c>
      <c r="H8491" s="1" t="str">
        <f>HYPERLINK("http://www.weizmann.ac.il/complex/compphys/software/geview/data/figures/216563_at.png","Figure")</f>
        <v>Figure</v>
      </c>
      <c r="I8491">
        <v>0.71</v>
      </c>
      <c r="J8491">
        <v>0.36</v>
      </c>
      <c r="K8491">
        <v>0.64400000000000002</v>
      </c>
      <c r="L8491">
        <v>0.13</v>
      </c>
      <c r="M8491">
        <v>0.90700000000000003</v>
      </c>
      <c r="N8491">
        <v>0.9</v>
      </c>
    </row>
    <row r="8492" spans="1:14" x14ac:dyDescent="0.25">
      <c r="A8492" t="s">
        <v>14996</v>
      </c>
      <c r="B8492" t="s">
        <v>14997</v>
      </c>
      <c r="C8492" s="1" t="str">
        <f>HYPERLINK("http://www.genecards.org/cgi-bin/carddisp.pl?gene=CHIT1","GeneCards")</f>
        <v>GeneCards</v>
      </c>
      <c r="D8492" s="1" t="str">
        <f>HYPERLINK("http://genome-euro.ucsc.edu/cgi-bin/hgTracks?position=208168_s_at","UCSC")</f>
        <v>UCSC</v>
      </c>
      <c r="E8492" s="1" t="str">
        <f>HYPERLINK("http://www.ncbi.nlm.nih.gov/gene/?term=CHIT1","NCBI")</f>
        <v>NCBI</v>
      </c>
      <c r="F8492">
        <v>0.14000000000000001</v>
      </c>
      <c r="G8492">
        <v>0.28000000000000003</v>
      </c>
      <c r="H8492" s="1" t="str">
        <f>HYPERLINK("http://www.weizmann.ac.il/complex/compphys/software/geview/data/figures/208168_s_at.png","Figure")</f>
        <v>Figure</v>
      </c>
      <c r="I8492">
        <v>1.03</v>
      </c>
      <c r="J8492">
        <v>0.2</v>
      </c>
      <c r="K8492">
        <v>1.03</v>
      </c>
      <c r="L8492">
        <v>0.18</v>
      </c>
      <c r="M8492">
        <v>0.997</v>
      </c>
      <c r="N8492">
        <v>0.98</v>
      </c>
    </row>
    <row r="8493" spans="1:14" x14ac:dyDescent="0.25">
      <c r="A8493" t="s">
        <v>14998</v>
      </c>
      <c r="B8493" t="s">
        <v>9176</v>
      </c>
      <c r="C8493" s="1" t="str">
        <f>HYPERLINK("http://www.genecards.org/cgi-bin/carddisp.pl?gene=MAP2K3","GeneCards")</f>
        <v>GeneCards</v>
      </c>
      <c r="D8493" s="1" t="str">
        <f>HYPERLINK("http://genome-euro.ucsc.edu/cgi-bin/hgTracks?position=215499_at","UCSC")</f>
        <v>UCSC</v>
      </c>
      <c r="E8493" s="1" t="str">
        <f>HYPERLINK("http://www.ncbi.nlm.nih.gov/gene/?term=MAP2K3","NCBI")</f>
        <v>NCBI</v>
      </c>
      <c r="F8493">
        <v>0.14000000000000001</v>
      </c>
      <c r="G8493">
        <v>0.28000000000000003</v>
      </c>
      <c r="H8493" s="1" t="str">
        <f>HYPERLINK("http://www.weizmann.ac.il/complex/compphys/software/geview/data/figures/215499_at.png","Figure")</f>
        <v>Figure</v>
      </c>
      <c r="I8493">
        <v>1.47</v>
      </c>
      <c r="J8493">
        <v>0.2</v>
      </c>
      <c r="K8493">
        <v>1.42</v>
      </c>
      <c r="L8493">
        <v>0.18</v>
      </c>
      <c r="M8493">
        <v>0.96299999999999997</v>
      </c>
      <c r="N8493">
        <v>0.98</v>
      </c>
    </row>
    <row r="8494" spans="1:14" x14ac:dyDescent="0.25">
      <c r="A8494" t="s">
        <v>14999</v>
      </c>
      <c r="B8494" t="s">
        <v>15000</v>
      </c>
      <c r="C8494" s="1" t="str">
        <f>HYPERLINK("http://www.genecards.org/cgi-bin/carddisp.pl?gene=FKBP6","GeneCards")</f>
        <v>GeneCards</v>
      </c>
      <c r="D8494" s="1" t="str">
        <f>HYPERLINK("http://genome-euro.ucsc.edu/cgi-bin/hgTracks?position=206763_at","UCSC")</f>
        <v>UCSC</v>
      </c>
      <c r="E8494" s="1" t="str">
        <f>HYPERLINK("http://www.ncbi.nlm.nih.gov/gene/?term=FKBP6","NCBI")</f>
        <v>NCBI</v>
      </c>
      <c r="F8494">
        <v>0.14000000000000001</v>
      </c>
      <c r="G8494">
        <v>0.28000000000000003</v>
      </c>
      <c r="H8494" s="1" t="str">
        <f>HYPERLINK("http://www.weizmann.ac.il/complex/compphys/software/geview/data/figures/206763_at.png","Figure")</f>
        <v>Figure</v>
      </c>
      <c r="I8494">
        <v>1.25</v>
      </c>
      <c r="J8494">
        <v>0.14000000000000001</v>
      </c>
      <c r="K8494">
        <v>1.05</v>
      </c>
      <c r="L8494">
        <v>0.89</v>
      </c>
      <c r="M8494">
        <v>0.83599999999999997</v>
      </c>
      <c r="N8494">
        <v>0.23</v>
      </c>
    </row>
    <row r="8495" spans="1:14" x14ac:dyDescent="0.25">
      <c r="A8495" t="s">
        <v>15001</v>
      </c>
      <c r="B8495" t="s">
        <v>13802</v>
      </c>
      <c r="C8495" s="1" t="str">
        <f>HYPERLINK("http://www.genecards.org/cgi-bin/carddisp.pl?gene=GIMAP5","GeneCards")</f>
        <v>GeneCards</v>
      </c>
      <c r="D8495" s="1" t="str">
        <f>HYPERLINK("http://genome-euro.ucsc.edu/cgi-bin/hgTracks?position=64064_at","UCSC")</f>
        <v>UCSC</v>
      </c>
      <c r="E8495" s="1" t="str">
        <f>HYPERLINK("http://www.ncbi.nlm.nih.gov/gene/?term=GIMAP5","NCBI")</f>
        <v>NCBI</v>
      </c>
      <c r="F8495">
        <v>0.14000000000000001</v>
      </c>
      <c r="G8495">
        <v>0.28000000000000003</v>
      </c>
      <c r="H8495" s="1" t="str">
        <f>HYPERLINK("http://www.weizmann.ac.il/complex/compphys/software/geview/data/figures/64064_at.png","Figure")</f>
        <v>Figure</v>
      </c>
      <c r="I8495">
        <v>1.17</v>
      </c>
      <c r="J8495">
        <v>0.32</v>
      </c>
      <c r="K8495">
        <v>0.95099999999999996</v>
      </c>
      <c r="L8495">
        <v>0.85</v>
      </c>
      <c r="M8495">
        <v>0.81100000000000005</v>
      </c>
      <c r="N8495">
        <v>0.13</v>
      </c>
    </row>
    <row r="8496" spans="1:14" x14ac:dyDescent="0.25">
      <c r="A8496" t="s">
        <v>15002</v>
      </c>
      <c r="B8496" t="s">
        <v>15003</v>
      </c>
      <c r="C8496" s="1" t="str">
        <f>HYPERLINK("http://www.genecards.org/cgi-bin/carddisp.pl?gene=ARAF","GeneCards")</f>
        <v>GeneCards</v>
      </c>
      <c r="D8496" s="1" t="str">
        <f>HYPERLINK("http://genome-euro.ucsc.edu/cgi-bin/hgTracks?position=201895_at","UCSC")</f>
        <v>UCSC</v>
      </c>
      <c r="E8496" s="1" t="str">
        <f>HYPERLINK("http://www.ncbi.nlm.nih.gov/gene/?term=ARAF","NCBI")</f>
        <v>NCBI</v>
      </c>
      <c r="F8496">
        <v>0.14000000000000001</v>
      </c>
      <c r="G8496">
        <v>0.28000000000000003</v>
      </c>
      <c r="H8496" s="1" t="str">
        <f>HYPERLINK("http://www.weizmann.ac.il/complex/compphys/software/geview/data/figures/201895_at.png","Figure")</f>
        <v>Figure</v>
      </c>
      <c r="I8496">
        <v>0.85299999999999998</v>
      </c>
      <c r="J8496">
        <v>0.18</v>
      </c>
      <c r="K8496">
        <v>0.876</v>
      </c>
      <c r="L8496">
        <v>0.21</v>
      </c>
      <c r="M8496">
        <v>1.03</v>
      </c>
      <c r="N8496">
        <v>0.94</v>
      </c>
    </row>
    <row r="8497" spans="1:14" x14ac:dyDescent="0.25">
      <c r="A8497" t="s">
        <v>15004</v>
      </c>
      <c r="B8497" t="s">
        <v>15005</v>
      </c>
      <c r="C8497" s="1" t="str">
        <f>HYPERLINK("http://www.genecards.org/cgi-bin/carddisp.pl?gene=LIMK1","GeneCards")</f>
        <v>GeneCards</v>
      </c>
      <c r="D8497" s="1" t="str">
        <f>HYPERLINK("http://genome-euro.ucsc.edu/cgi-bin/hgTracks?position=204357_s_at","UCSC")</f>
        <v>UCSC</v>
      </c>
      <c r="E8497" s="1" t="str">
        <f>HYPERLINK("http://www.ncbi.nlm.nih.gov/gene/?term=LIMK1","NCBI")</f>
        <v>NCBI</v>
      </c>
      <c r="F8497">
        <v>0.14000000000000001</v>
      </c>
      <c r="G8497">
        <v>0.28000000000000003</v>
      </c>
      <c r="H8497" s="1" t="str">
        <f>HYPERLINK("http://www.weizmann.ac.il/complex/compphys/software/geview/data/figures/204357_s_at.png","Figure")</f>
        <v>Figure</v>
      </c>
      <c r="I8497">
        <v>1.0900000000000001</v>
      </c>
      <c r="J8497">
        <v>0.48</v>
      </c>
      <c r="K8497">
        <v>1.1499999999999999</v>
      </c>
      <c r="L8497">
        <v>0.12</v>
      </c>
      <c r="M8497">
        <v>1.05</v>
      </c>
      <c r="N8497">
        <v>0.76</v>
      </c>
    </row>
    <row r="8498" spans="1:14" x14ac:dyDescent="0.25">
      <c r="A8498" t="s">
        <v>15006</v>
      </c>
      <c r="B8498" t="s">
        <v>4873</v>
      </c>
      <c r="C8498" s="1" t="str">
        <f>HYPERLINK("http://www.genecards.org/cgi-bin/carddisp.pl?gene=EHD1","GeneCards")</f>
        <v>GeneCards</v>
      </c>
      <c r="D8498" s="1" t="str">
        <f>HYPERLINK("http://genome-euro.ucsc.edu/cgi-bin/hgTracks?position=208112_x_at","UCSC")</f>
        <v>UCSC</v>
      </c>
      <c r="E8498" s="1" t="str">
        <f>HYPERLINK("http://www.ncbi.nlm.nih.gov/gene/?term=EHD1","NCBI")</f>
        <v>NCBI</v>
      </c>
      <c r="F8498">
        <v>0.14000000000000001</v>
      </c>
      <c r="G8498">
        <v>0.28000000000000003</v>
      </c>
      <c r="H8498" s="1" t="str">
        <f>HYPERLINK("http://www.weizmann.ac.il/complex/compphys/software/geview/data/figures/208112_x_at.png","Figure")</f>
        <v>Figure</v>
      </c>
      <c r="I8498">
        <v>1.24</v>
      </c>
      <c r="J8498">
        <v>0.16</v>
      </c>
      <c r="K8498">
        <v>1.18</v>
      </c>
      <c r="L8498">
        <v>0.23</v>
      </c>
      <c r="M8498">
        <v>0.95299999999999996</v>
      </c>
      <c r="N8498">
        <v>0.89</v>
      </c>
    </row>
    <row r="8499" spans="1:14" x14ac:dyDescent="0.25">
      <c r="A8499" t="s">
        <v>15007</v>
      </c>
      <c r="B8499" t="s">
        <v>11322</v>
      </c>
      <c r="C8499" s="1" t="str">
        <f>HYPERLINK("http://www.genecards.org/cgi-bin/carddisp.pl?gene=COL1A1","GeneCards")</f>
        <v>GeneCards</v>
      </c>
      <c r="D8499" s="1" t="str">
        <f>HYPERLINK("http://genome-euro.ucsc.edu/cgi-bin/hgTracks?position=217430_x_at","UCSC")</f>
        <v>UCSC</v>
      </c>
      <c r="E8499" s="1" t="str">
        <f>HYPERLINK("http://www.ncbi.nlm.nih.gov/gene/?term=COL1A1","NCBI")</f>
        <v>NCBI</v>
      </c>
      <c r="F8499">
        <v>0.14000000000000001</v>
      </c>
      <c r="G8499">
        <v>0.28000000000000003</v>
      </c>
      <c r="H8499" s="1" t="str">
        <f>HYPERLINK("http://www.weizmann.ac.il/complex/compphys/software/geview/data/figures/217430_x_at.png","Figure")</f>
        <v>Figure</v>
      </c>
      <c r="I8499">
        <v>1.21</v>
      </c>
      <c r="J8499">
        <v>0.12</v>
      </c>
      <c r="K8499">
        <v>1.07</v>
      </c>
      <c r="L8499">
        <v>0.67</v>
      </c>
      <c r="M8499">
        <v>0.88200000000000001</v>
      </c>
      <c r="N8499">
        <v>0.34</v>
      </c>
    </row>
    <row r="8500" spans="1:14" x14ac:dyDescent="0.25">
      <c r="A8500" t="s">
        <v>15008</v>
      </c>
      <c r="B8500" t="s">
        <v>15009</v>
      </c>
      <c r="C8500" s="1" t="str">
        <f>HYPERLINK("http://www.genecards.org/cgi-bin/carddisp.pl?gene=NOC2L","GeneCards")</f>
        <v>GeneCards</v>
      </c>
      <c r="D8500" s="1" t="str">
        <f>HYPERLINK("http://genome-euro.ucsc.edu/cgi-bin/hgTracks?position=202115_s_at","UCSC")</f>
        <v>UCSC</v>
      </c>
      <c r="E8500" s="1" t="str">
        <f>HYPERLINK("http://www.ncbi.nlm.nih.gov/gene/?term=NOC2L","NCBI")</f>
        <v>NCBI</v>
      </c>
      <c r="F8500">
        <v>0.14000000000000001</v>
      </c>
      <c r="G8500">
        <v>0.28000000000000003</v>
      </c>
      <c r="H8500" s="1" t="str">
        <f>HYPERLINK("http://www.weizmann.ac.il/complex/compphys/software/geview/data/figures/202115_s_at.png","Figure")</f>
        <v>Figure</v>
      </c>
      <c r="I8500">
        <v>1.04</v>
      </c>
      <c r="J8500">
        <v>0.91</v>
      </c>
      <c r="K8500">
        <v>1.19</v>
      </c>
      <c r="L8500">
        <v>0.15</v>
      </c>
      <c r="M8500">
        <v>1.1399999999999999</v>
      </c>
      <c r="N8500">
        <v>0.36</v>
      </c>
    </row>
    <row r="8501" spans="1:14" x14ac:dyDescent="0.25">
      <c r="A8501" t="s">
        <v>15010</v>
      </c>
      <c r="B8501" t="s">
        <v>8394</v>
      </c>
      <c r="C8501" s="1" t="str">
        <f>HYPERLINK("http://www.genecards.org/cgi-bin/carddisp.pl?gene=SCN2B","GeneCards")</f>
        <v>GeneCards</v>
      </c>
      <c r="D8501" s="1" t="str">
        <f>HYPERLINK("http://genome-euro.ucsc.edu/cgi-bin/hgTracks?position=210363_s_at","UCSC")</f>
        <v>UCSC</v>
      </c>
      <c r="E8501" s="1" t="str">
        <f>HYPERLINK("http://www.ncbi.nlm.nih.gov/gene/?term=SCN2B","NCBI")</f>
        <v>NCBI</v>
      </c>
      <c r="F8501">
        <v>0.14000000000000001</v>
      </c>
      <c r="G8501">
        <v>0.28000000000000003</v>
      </c>
      <c r="H8501" s="1" t="str">
        <f>HYPERLINK("http://www.weizmann.ac.il/complex/compphys/software/geview/data/figures/210363_s_at.png","Figure")</f>
        <v>Figure</v>
      </c>
      <c r="I8501">
        <v>1</v>
      </c>
      <c r="J8501">
        <v>1</v>
      </c>
      <c r="K8501">
        <v>1.06</v>
      </c>
      <c r="L8501">
        <v>0.2</v>
      </c>
      <c r="M8501">
        <v>1.06</v>
      </c>
      <c r="N8501">
        <v>0.24</v>
      </c>
    </row>
    <row r="8502" spans="1:14" x14ac:dyDescent="0.25">
      <c r="A8502" t="s">
        <v>15011</v>
      </c>
      <c r="B8502" t="s">
        <v>15012</v>
      </c>
      <c r="C8502" s="1" t="str">
        <f>HYPERLINK("http://www.genecards.org/cgi-bin/carddisp.pl?gene=C17orf62","GeneCards")</f>
        <v>GeneCards</v>
      </c>
      <c r="D8502" s="1" t="str">
        <f>HYPERLINK("http://genome-euro.ucsc.edu/cgi-bin/hgTracks?position=218130_at","UCSC")</f>
        <v>UCSC</v>
      </c>
      <c r="E8502" s="1" t="str">
        <f>HYPERLINK("http://www.ncbi.nlm.nih.gov/gene/?term=C17orf62","NCBI")</f>
        <v>NCBI</v>
      </c>
      <c r="F8502">
        <v>0.14000000000000001</v>
      </c>
      <c r="G8502">
        <v>0.28000000000000003</v>
      </c>
      <c r="H8502" s="1" t="str">
        <f>HYPERLINK("http://www.weizmann.ac.il/complex/compphys/software/geview/data/figures/218130_at.png","Figure")</f>
        <v>Figure</v>
      </c>
      <c r="I8502">
        <v>0.78100000000000003</v>
      </c>
      <c r="J8502">
        <v>0.73</v>
      </c>
      <c r="K8502">
        <v>1.45</v>
      </c>
      <c r="L8502">
        <v>0.41</v>
      </c>
      <c r="M8502">
        <v>1.86</v>
      </c>
      <c r="N8502">
        <v>0.14000000000000001</v>
      </c>
    </row>
    <row r="8503" spans="1:14" x14ac:dyDescent="0.25">
      <c r="A8503" t="s">
        <v>15013</v>
      </c>
      <c r="B8503" t="s">
        <v>15014</v>
      </c>
      <c r="C8503" s="1" t="str">
        <f>HYPERLINK("http://www.genecards.org/cgi-bin/carddisp.pl?gene=PVRIG","GeneCards")</f>
        <v>GeneCards</v>
      </c>
      <c r="D8503" s="1" t="str">
        <f>HYPERLINK("http://genome-euro.ucsc.edu/cgi-bin/hgTracks?position=219812_at","UCSC")</f>
        <v>UCSC</v>
      </c>
      <c r="E8503" s="1" t="str">
        <f>HYPERLINK("http://www.ncbi.nlm.nih.gov/gene/?term=PVRIG","NCBI")</f>
        <v>NCBI</v>
      </c>
      <c r="F8503">
        <v>0.14000000000000001</v>
      </c>
      <c r="G8503">
        <v>0.28000000000000003</v>
      </c>
      <c r="H8503" s="1" t="str">
        <f>HYPERLINK("http://www.weizmann.ac.il/complex/compphys/software/geview/data/figures/219812_at.png","Figure")</f>
        <v>Figure</v>
      </c>
      <c r="I8503">
        <v>0.66200000000000003</v>
      </c>
      <c r="J8503">
        <v>0.28000000000000003</v>
      </c>
      <c r="K8503">
        <v>0.63500000000000001</v>
      </c>
      <c r="L8503">
        <v>0.15</v>
      </c>
      <c r="M8503">
        <v>0.95899999999999996</v>
      </c>
      <c r="N8503">
        <v>0.98</v>
      </c>
    </row>
    <row r="8504" spans="1:14" x14ac:dyDescent="0.25">
      <c r="A8504" t="s">
        <v>15015</v>
      </c>
      <c r="B8504" t="s">
        <v>15016</v>
      </c>
      <c r="C8504" s="1" t="str">
        <f>HYPERLINK("http://www.genecards.org/cgi-bin/carddisp.pl?gene=DYM","GeneCards")</f>
        <v>GeneCards</v>
      </c>
      <c r="D8504" s="1" t="str">
        <f>HYPERLINK("http://genome-euro.ucsc.edu/cgi-bin/hgTracks?position=220774_at","UCSC")</f>
        <v>UCSC</v>
      </c>
      <c r="E8504" s="1" t="str">
        <f>HYPERLINK("http://www.ncbi.nlm.nih.gov/gene/?term=DYM","NCBI")</f>
        <v>NCBI</v>
      </c>
      <c r="F8504">
        <v>0.14000000000000001</v>
      </c>
      <c r="G8504">
        <v>0.28000000000000003</v>
      </c>
      <c r="H8504" s="1" t="str">
        <f>HYPERLINK("http://www.weizmann.ac.il/complex/compphys/software/geview/data/figures/220774_at.png","Figure")</f>
        <v>Figure</v>
      </c>
      <c r="I8504">
        <v>0.91900000000000004</v>
      </c>
      <c r="J8504">
        <v>0.21</v>
      </c>
      <c r="K8504">
        <v>1</v>
      </c>
      <c r="L8504">
        <v>0.99</v>
      </c>
      <c r="M8504">
        <v>1.0900000000000001</v>
      </c>
      <c r="N8504">
        <v>0.15</v>
      </c>
    </row>
    <row r="8505" spans="1:14" x14ac:dyDescent="0.25">
      <c r="A8505" t="s">
        <v>15017</v>
      </c>
      <c r="B8505" t="s">
        <v>15018</v>
      </c>
      <c r="C8505" s="1" t="str">
        <f>HYPERLINK("http://www.genecards.org/cgi-bin/carddisp.pl?gene=LBH","GeneCards")</f>
        <v>GeneCards</v>
      </c>
      <c r="D8505" s="1" t="str">
        <f>HYPERLINK("http://genome-euro.ucsc.edu/cgi-bin/hgTracks?position=221011_s_at","UCSC")</f>
        <v>UCSC</v>
      </c>
      <c r="E8505" s="1" t="str">
        <f>HYPERLINK("http://www.ncbi.nlm.nih.gov/gene/?term=LBH","NCBI")</f>
        <v>NCBI</v>
      </c>
      <c r="F8505">
        <v>0.14000000000000001</v>
      </c>
      <c r="G8505">
        <v>0.28000000000000003</v>
      </c>
      <c r="H8505" s="1" t="str">
        <f>HYPERLINK("http://www.weizmann.ac.il/complex/compphys/software/geview/data/figures/221011_s_at.png","Figure")</f>
        <v>Figure</v>
      </c>
      <c r="I8505">
        <v>0.85799999999999998</v>
      </c>
      <c r="J8505">
        <v>0.7</v>
      </c>
      <c r="K8505">
        <v>0.70799999999999996</v>
      </c>
      <c r="L8505">
        <v>0.13</v>
      </c>
      <c r="M8505">
        <v>0.82599999999999996</v>
      </c>
      <c r="N8505">
        <v>0.53</v>
      </c>
    </row>
    <row r="8506" spans="1:14" x14ac:dyDescent="0.25">
      <c r="A8506" t="s">
        <v>15019</v>
      </c>
      <c r="B8506" t="s">
        <v>15020</v>
      </c>
      <c r="C8506" s="1" t="str">
        <f>HYPERLINK("http://www.genecards.org/cgi-bin/carddisp.pl?gene=KIR2DL3","GeneCards")</f>
        <v>GeneCards</v>
      </c>
      <c r="D8506" s="1" t="str">
        <f>HYPERLINK("http://genome-euro.ucsc.edu/cgi-bin/hgTracks?position=208179_x_at","UCSC")</f>
        <v>UCSC</v>
      </c>
      <c r="E8506" s="1" t="str">
        <f>HYPERLINK("http://www.ncbi.nlm.nih.gov/gene/?term=KIR2DL3","NCBI")</f>
        <v>NCBI</v>
      </c>
      <c r="F8506">
        <v>0.14000000000000001</v>
      </c>
      <c r="G8506">
        <v>0.28000000000000003</v>
      </c>
      <c r="H8506" s="1" t="str">
        <f>HYPERLINK("http://www.weizmann.ac.il/complex/compphys/software/geview/data/figures/208179_x_at.png","Figure")</f>
        <v>Figure</v>
      </c>
      <c r="I8506">
        <v>1.21</v>
      </c>
      <c r="J8506">
        <v>0.12</v>
      </c>
      <c r="K8506">
        <v>1.07</v>
      </c>
      <c r="L8506">
        <v>0.65</v>
      </c>
      <c r="M8506">
        <v>0.88700000000000001</v>
      </c>
      <c r="N8506">
        <v>0.35</v>
      </c>
    </row>
    <row r="8507" spans="1:14" x14ac:dyDescent="0.25">
      <c r="A8507" t="s">
        <v>15021</v>
      </c>
      <c r="B8507" t="s">
        <v>13254</v>
      </c>
      <c r="C8507" s="1" t="str">
        <f>HYPERLINK("http://www.genecards.org/cgi-bin/carddisp.pl?gene=RHOBTB3","GeneCards")</f>
        <v>GeneCards</v>
      </c>
      <c r="D8507" s="1" t="str">
        <f>HYPERLINK("http://genome-euro.ucsc.edu/cgi-bin/hgTracks?position=216048_s_at","UCSC")</f>
        <v>UCSC</v>
      </c>
      <c r="E8507" s="1" t="str">
        <f>HYPERLINK("http://www.ncbi.nlm.nih.gov/gene/?term=RHOBTB3","NCBI")</f>
        <v>NCBI</v>
      </c>
      <c r="F8507">
        <v>0.14000000000000001</v>
      </c>
      <c r="G8507">
        <v>0.28000000000000003</v>
      </c>
      <c r="H8507" s="1" t="str">
        <f>HYPERLINK("http://www.weizmann.ac.il/complex/compphys/software/geview/data/figures/216048_s_at.png","Figure")</f>
        <v>Figure</v>
      </c>
      <c r="I8507">
        <v>1.02</v>
      </c>
      <c r="J8507">
        <v>0.91</v>
      </c>
      <c r="K8507">
        <v>0.94</v>
      </c>
      <c r="L8507">
        <v>0.28000000000000003</v>
      </c>
      <c r="M8507">
        <v>0.92300000000000004</v>
      </c>
      <c r="N8507">
        <v>0.17</v>
      </c>
    </row>
    <row r="8508" spans="1:14" x14ac:dyDescent="0.25">
      <c r="A8508" t="s">
        <v>15022</v>
      </c>
      <c r="B8508" t="s">
        <v>15023</v>
      </c>
      <c r="C8508" s="1" t="str">
        <f>HYPERLINK("http://www.genecards.org/cgi-bin/carddisp.pl?gene=CBX6","GeneCards")</f>
        <v>GeneCards</v>
      </c>
      <c r="D8508" s="1" t="str">
        <f>HYPERLINK("http://genome-euro.ucsc.edu/cgi-bin/hgTracks?position=202048_s_at","UCSC")</f>
        <v>UCSC</v>
      </c>
      <c r="E8508" s="1" t="str">
        <f>HYPERLINK("http://www.ncbi.nlm.nih.gov/gene/?term=CBX6","NCBI")</f>
        <v>NCBI</v>
      </c>
      <c r="F8508">
        <v>0.14000000000000001</v>
      </c>
      <c r="G8508">
        <v>0.28000000000000003</v>
      </c>
      <c r="H8508" s="1" t="str">
        <f>HYPERLINK("http://www.weizmann.ac.il/complex/compphys/software/geview/data/figures/202048_s_at.png","Figure")</f>
        <v>Figure</v>
      </c>
      <c r="I8508">
        <v>1.1299999999999999</v>
      </c>
      <c r="J8508">
        <v>0.2</v>
      </c>
      <c r="K8508">
        <v>0.998</v>
      </c>
      <c r="L8508">
        <v>1</v>
      </c>
      <c r="M8508">
        <v>0.88200000000000001</v>
      </c>
      <c r="N8508">
        <v>0.16</v>
      </c>
    </row>
    <row r="8509" spans="1:14" x14ac:dyDescent="0.25">
      <c r="A8509" t="s">
        <v>15024</v>
      </c>
      <c r="B8509" t="s">
        <v>7046</v>
      </c>
      <c r="C8509" s="1" t="str">
        <f>HYPERLINK("http://www.genecards.org/cgi-bin/carddisp.pl?gene=GTSE1","GeneCards")</f>
        <v>GeneCards</v>
      </c>
      <c r="D8509" s="1" t="str">
        <f>HYPERLINK("http://genome-euro.ucsc.edu/cgi-bin/hgTracks?position=204318_s_at","UCSC")</f>
        <v>UCSC</v>
      </c>
      <c r="E8509" s="1" t="str">
        <f>HYPERLINK("http://www.ncbi.nlm.nih.gov/gene/?term=GTSE1","NCBI")</f>
        <v>NCBI</v>
      </c>
      <c r="F8509">
        <v>0.14000000000000001</v>
      </c>
      <c r="G8509">
        <v>0.28000000000000003</v>
      </c>
      <c r="H8509" s="1" t="str">
        <f>HYPERLINK("http://www.weizmann.ac.il/complex/compphys/software/geview/data/figures/204318_s_at.png","Figure")</f>
        <v>Figure</v>
      </c>
      <c r="I8509">
        <v>0.84299999999999997</v>
      </c>
      <c r="J8509">
        <v>0.62</v>
      </c>
      <c r="K8509">
        <v>1.2</v>
      </c>
      <c r="L8509">
        <v>0.49</v>
      </c>
      <c r="M8509">
        <v>1.43</v>
      </c>
      <c r="N8509">
        <v>0.13</v>
      </c>
    </row>
    <row r="8510" spans="1:14" x14ac:dyDescent="0.25">
      <c r="A8510" t="s">
        <v>15025</v>
      </c>
      <c r="B8510" t="s">
        <v>11739</v>
      </c>
      <c r="C8510" s="1" t="str">
        <f>HYPERLINK("http://www.genecards.org/cgi-bin/carddisp.pl?gene=RBM8A","GeneCards")</f>
        <v>GeneCards</v>
      </c>
      <c r="D8510" s="1" t="str">
        <f>HYPERLINK("http://genome-euro.ucsc.edu/cgi-bin/hgTracks?position=217856_at","UCSC")</f>
        <v>UCSC</v>
      </c>
      <c r="E8510" s="1" t="str">
        <f>HYPERLINK("http://www.ncbi.nlm.nih.gov/gene/?term=RBM8A","NCBI")</f>
        <v>NCBI</v>
      </c>
      <c r="F8510">
        <v>0.14000000000000001</v>
      </c>
      <c r="G8510">
        <v>0.28000000000000003</v>
      </c>
      <c r="H8510" s="1" t="str">
        <f>HYPERLINK("http://www.weizmann.ac.il/complex/compphys/software/geview/data/figures/217856_at.png","Figure")</f>
        <v>Figure</v>
      </c>
      <c r="I8510">
        <v>1.01</v>
      </c>
      <c r="J8510">
        <v>0.98</v>
      </c>
      <c r="K8510">
        <v>1.1299999999999999</v>
      </c>
      <c r="L8510">
        <v>0.17</v>
      </c>
      <c r="M8510">
        <v>1.1100000000000001</v>
      </c>
      <c r="N8510">
        <v>0.28999999999999998</v>
      </c>
    </row>
    <row r="8511" spans="1:14" x14ac:dyDescent="0.25">
      <c r="A8511" t="s">
        <v>15026</v>
      </c>
      <c r="B8511" t="s">
        <v>10563</v>
      </c>
      <c r="C8511" s="1" t="str">
        <f>HYPERLINK("http://www.genecards.org/cgi-bin/carddisp.pl?gene=LILRA6 /// LILRB3","GeneCards")</f>
        <v>GeneCards</v>
      </c>
      <c r="D8511" s="1" t="str">
        <f>HYPERLINK("http://genome-euro.ucsc.edu/cgi-bin/hgTracks?position=210225_x_at","UCSC")</f>
        <v>UCSC</v>
      </c>
      <c r="E8511" s="1" t="str">
        <f>HYPERLINK("http://www.ncbi.nlm.nih.gov/gene/?term=LILRA6 /// LILRB3","NCBI")</f>
        <v>NCBI</v>
      </c>
      <c r="F8511">
        <v>0.14000000000000001</v>
      </c>
      <c r="G8511">
        <v>0.28000000000000003</v>
      </c>
      <c r="H8511" s="1" t="str">
        <f>HYPERLINK("http://www.weizmann.ac.il/complex/compphys/software/geview/data/figures/210225_x_at.png","Figure")</f>
        <v>Figure</v>
      </c>
      <c r="I8511">
        <v>1.2</v>
      </c>
      <c r="J8511">
        <v>0.31</v>
      </c>
      <c r="K8511">
        <v>1.24</v>
      </c>
      <c r="L8511">
        <v>0.14000000000000001</v>
      </c>
      <c r="M8511">
        <v>1.03</v>
      </c>
      <c r="N8511">
        <v>0.96</v>
      </c>
    </row>
    <row r="8512" spans="1:14" x14ac:dyDescent="0.25">
      <c r="A8512" t="s">
        <v>15027</v>
      </c>
      <c r="B8512" t="s">
        <v>15028</v>
      </c>
      <c r="C8512" s="1" t="str">
        <f>HYPERLINK("http://www.genecards.org/cgi-bin/carddisp.pl?gene=ANK2","GeneCards")</f>
        <v>GeneCards</v>
      </c>
      <c r="D8512" s="1" t="str">
        <f>HYPERLINK("http://genome-euro.ucsc.edu/cgi-bin/hgTracks?position=202921_s_at","UCSC")</f>
        <v>UCSC</v>
      </c>
      <c r="E8512" s="1" t="str">
        <f>HYPERLINK("http://www.ncbi.nlm.nih.gov/gene/?term=ANK2","NCBI")</f>
        <v>NCBI</v>
      </c>
      <c r="F8512">
        <v>0.14000000000000001</v>
      </c>
      <c r="G8512">
        <v>0.28000000000000003</v>
      </c>
      <c r="H8512" s="1" t="str">
        <f>HYPERLINK("http://www.weizmann.ac.il/complex/compphys/software/geview/data/figures/202921_s_at.png","Figure")</f>
        <v>Figure</v>
      </c>
      <c r="I8512">
        <v>1.1599999999999999</v>
      </c>
      <c r="J8512">
        <v>0.13</v>
      </c>
      <c r="K8512">
        <v>1.04</v>
      </c>
      <c r="L8512">
        <v>0.81</v>
      </c>
      <c r="M8512">
        <v>0.89900000000000002</v>
      </c>
      <c r="N8512">
        <v>0.27</v>
      </c>
    </row>
    <row r="8513" spans="1:14" x14ac:dyDescent="0.25">
      <c r="A8513" t="s">
        <v>15029</v>
      </c>
      <c r="B8513" t="s">
        <v>15030</v>
      </c>
      <c r="C8513" s="1" t="str">
        <f>HYPERLINK("http://www.genecards.org/cgi-bin/carddisp.pl?gene=CLCNKA /// CLCNKB","GeneCards")</f>
        <v>GeneCards</v>
      </c>
      <c r="D8513" s="1" t="str">
        <f>HYPERLINK("http://genome-euro.ucsc.edu/cgi-bin/hgTracks?position=207047_s_at","UCSC")</f>
        <v>UCSC</v>
      </c>
      <c r="E8513" s="1" t="str">
        <f>HYPERLINK("http://www.ncbi.nlm.nih.gov/gene/?term=CLCNKA /// CLCNKB","NCBI")</f>
        <v>NCBI</v>
      </c>
      <c r="F8513">
        <v>0.14000000000000001</v>
      </c>
      <c r="G8513">
        <v>0.28000000000000003</v>
      </c>
      <c r="H8513" s="1" t="str">
        <f>HYPERLINK("http://www.weizmann.ac.il/complex/compphys/software/geview/data/figures/207047_s_at.png","Figure")</f>
        <v>Figure</v>
      </c>
      <c r="I8513">
        <v>1.0900000000000001</v>
      </c>
      <c r="J8513">
        <v>0.48</v>
      </c>
      <c r="K8513">
        <v>0.94699999999999995</v>
      </c>
      <c r="L8513">
        <v>0.64</v>
      </c>
      <c r="M8513">
        <v>0.872</v>
      </c>
      <c r="N8513">
        <v>0.12</v>
      </c>
    </row>
    <row r="8514" spans="1:14" x14ac:dyDescent="0.25">
      <c r="A8514" t="s">
        <v>15031</v>
      </c>
      <c r="B8514" t="s">
        <v>2894</v>
      </c>
      <c r="C8514" s="1" t="str">
        <f>HYPERLINK("http://www.genecards.org/cgi-bin/carddisp.pl?gene=SMC3","GeneCards")</f>
        <v>GeneCards</v>
      </c>
      <c r="D8514" s="1" t="str">
        <f>HYPERLINK("http://genome-euro.ucsc.edu/cgi-bin/hgTracks?position=209258_s_at","UCSC")</f>
        <v>UCSC</v>
      </c>
      <c r="E8514" s="1" t="str">
        <f>HYPERLINK("http://www.ncbi.nlm.nih.gov/gene/?term=SMC3","NCBI")</f>
        <v>NCBI</v>
      </c>
      <c r="F8514">
        <v>0.14000000000000001</v>
      </c>
      <c r="G8514">
        <v>0.28000000000000003</v>
      </c>
      <c r="H8514" s="1" t="str">
        <f>HYPERLINK("http://www.weizmann.ac.il/complex/compphys/software/geview/data/figures/209258_s_at.png","Figure")</f>
        <v>Figure</v>
      </c>
      <c r="I8514">
        <v>0.53900000000000003</v>
      </c>
      <c r="J8514">
        <v>0.18</v>
      </c>
      <c r="K8514">
        <v>0.59699999999999998</v>
      </c>
      <c r="L8514">
        <v>0.2</v>
      </c>
      <c r="M8514">
        <v>1.1100000000000001</v>
      </c>
      <c r="N8514">
        <v>0.94</v>
      </c>
    </row>
    <row r="8515" spans="1:14" x14ac:dyDescent="0.25">
      <c r="A8515" t="s">
        <v>15032</v>
      </c>
      <c r="B8515" t="s">
        <v>5779</v>
      </c>
      <c r="C8515" s="1" t="str">
        <f>HYPERLINK("http://www.genecards.org/cgi-bin/carddisp.pl?gene=PSME3","GeneCards")</f>
        <v>GeneCards</v>
      </c>
      <c r="D8515" s="1" t="str">
        <f>HYPERLINK("http://genome-euro.ucsc.edu/cgi-bin/hgTracks?position=209852_x_at","UCSC")</f>
        <v>UCSC</v>
      </c>
      <c r="E8515" s="1" t="str">
        <f>HYPERLINK("http://www.ncbi.nlm.nih.gov/gene/?term=PSME3","NCBI")</f>
        <v>NCBI</v>
      </c>
      <c r="F8515">
        <v>0.14000000000000001</v>
      </c>
      <c r="G8515">
        <v>0.28000000000000003</v>
      </c>
      <c r="H8515" s="1" t="str">
        <f>HYPERLINK("http://www.weizmann.ac.il/complex/compphys/software/geview/data/figures/209852_x_at.png","Figure")</f>
        <v>Figure</v>
      </c>
      <c r="I8515">
        <v>0.81200000000000006</v>
      </c>
      <c r="J8515">
        <v>0.13</v>
      </c>
      <c r="K8515">
        <v>0.93600000000000005</v>
      </c>
      <c r="L8515">
        <v>0.73</v>
      </c>
      <c r="M8515">
        <v>1.1499999999999999</v>
      </c>
      <c r="N8515">
        <v>0.31</v>
      </c>
    </row>
    <row r="8516" spans="1:14" x14ac:dyDescent="0.25">
      <c r="A8516" t="s">
        <v>15033</v>
      </c>
      <c r="B8516" t="s">
        <v>15034</v>
      </c>
      <c r="C8516" s="1" t="str">
        <f>HYPERLINK("http://www.genecards.org/cgi-bin/carddisp.pl?gene=TSKS","GeneCards")</f>
        <v>GeneCards</v>
      </c>
      <c r="D8516" s="1" t="str">
        <f>HYPERLINK("http://genome-euro.ucsc.edu/cgi-bin/hgTracks?position=220545_s_at","UCSC")</f>
        <v>UCSC</v>
      </c>
      <c r="E8516" s="1" t="str">
        <f>HYPERLINK("http://www.ncbi.nlm.nih.gov/gene/?term=TSKS","NCBI")</f>
        <v>NCBI</v>
      </c>
      <c r="F8516">
        <v>0.14000000000000001</v>
      </c>
      <c r="G8516">
        <v>0.28000000000000003</v>
      </c>
      <c r="H8516" s="1" t="str">
        <f>HYPERLINK("http://www.weizmann.ac.il/complex/compphys/software/geview/data/figures/220545_s_at.png","Figure")</f>
        <v>Figure</v>
      </c>
      <c r="I8516">
        <v>1.1299999999999999</v>
      </c>
      <c r="J8516">
        <v>0.27</v>
      </c>
      <c r="K8516">
        <v>1.1399999999999999</v>
      </c>
      <c r="L8516">
        <v>0.15</v>
      </c>
      <c r="M8516">
        <v>1.01</v>
      </c>
      <c r="N8516">
        <v>0.99</v>
      </c>
    </row>
    <row r="8517" spans="1:14" x14ac:dyDescent="0.25">
      <c r="A8517" t="s">
        <v>15035</v>
      </c>
      <c r="B8517" t="s">
        <v>15036</v>
      </c>
      <c r="C8517" s="1" t="str">
        <f>HYPERLINK("http://www.genecards.org/cgi-bin/carddisp.pl?gene=ADPGK","GeneCards")</f>
        <v>GeneCards</v>
      </c>
      <c r="D8517" s="1" t="str">
        <f>HYPERLINK("http://genome-euro.ucsc.edu/cgi-bin/hgTracks?position=220980_s_at","UCSC")</f>
        <v>UCSC</v>
      </c>
      <c r="E8517" s="1" t="str">
        <f>HYPERLINK("http://www.ncbi.nlm.nih.gov/gene/?term=ADPGK","NCBI")</f>
        <v>NCBI</v>
      </c>
      <c r="F8517">
        <v>0.14000000000000001</v>
      </c>
      <c r="G8517">
        <v>0.28000000000000003</v>
      </c>
      <c r="H8517" s="1" t="str">
        <f>HYPERLINK("http://www.weizmann.ac.il/complex/compphys/software/geview/data/figures/220980_s_at.png","Figure")</f>
        <v>Figure</v>
      </c>
      <c r="I8517">
        <v>1.1399999999999999</v>
      </c>
      <c r="J8517">
        <v>0.61</v>
      </c>
      <c r="K8517">
        <v>0.873</v>
      </c>
      <c r="L8517">
        <v>0.5</v>
      </c>
      <c r="M8517">
        <v>0.76600000000000001</v>
      </c>
      <c r="N8517">
        <v>0.13</v>
      </c>
    </row>
    <row r="8518" spans="1:14" x14ac:dyDescent="0.25">
      <c r="A8518" t="s">
        <v>15037</v>
      </c>
      <c r="B8518" t="s">
        <v>15038</v>
      </c>
      <c r="C8518" s="1" t="str">
        <f>HYPERLINK("http://www.genecards.org/cgi-bin/carddisp.pl?gene=JUN","GeneCards")</f>
        <v>GeneCards</v>
      </c>
      <c r="D8518" s="1" t="str">
        <f>HYPERLINK("http://genome-euro.ucsc.edu/cgi-bin/hgTracks?position=201465_s_at","UCSC")</f>
        <v>UCSC</v>
      </c>
      <c r="E8518" s="1" t="str">
        <f>HYPERLINK("http://www.ncbi.nlm.nih.gov/gene/?term=JUN","NCBI")</f>
        <v>NCBI</v>
      </c>
      <c r="F8518">
        <v>0.14000000000000001</v>
      </c>
      <c r="G8518">
        <v>0.28000000000000003</v>
      </c>
      <c r="H8518" s="1" t="str">
        <f>HYPERLINK("http://www.weizmann.ac.il/complex/compphys/software/geview/data/figures/201465_s_at.png","Figure")</f>
        <v>Figure</v>
      </c>
      <c r="I8518">
        <v>3.31</v>
      </c>
      <c r="J8518">
        <v>0.12</v>
      </c>
      <c r="K8518">
        <v>1.78</v>
      </c>
      <c r="L8518">
        <v>0.49</v>
      </c>
      <c r="M8518">
        <v>0.53600000000000003</v>
      </c>
      <c r="N8518">
        <v>0.48</v>
      </c>
    </row>
    <row r="8519" spans="1:14" x14ac:dyDescent="0.25">
      <c r="A8519" t="s">
        <v>15039</v>
      </c>
      <c r="B8519" t="s">
        <v>1934</v>
      </c>
      <c r="C8519" s="1" t="str">
        <f>HYPERLINK("http://www.genecards.org/cgi-bin/carddisp.pl?gene=COX4I1","GeneCards")</f>
        <v>GeneCards</v>
      </c>
      <c r="D8519" s="1" t="str">
        <f>HYPERLINK("http://genome-euro.ucsc.edu/cgi-bin/hgTracks?position=202698_x_at","UCSC")</f>
        <v>UCSC</v>
      </c>
      <c r="E8519" s="1" t="str">
        <f>HYPERLINK("http://www.ncbi.nlm.nih.gov/gene/?term=COX4I1","NCBI")</f>
        <v>NCBI</v>
      </c>
      <c r="F8519">
        <v>0.14000000000000001</v>
      </c>
      <c r="G8519">
        <v>0.28000000000000003</v>
      </c>
      <c r="H8519" s="1" t="str">
        <f>HYPERLINK("http://www.weizmann.ac.il/complex/compphys/software/geview/data/figures/202698_x_at.png","Figure")</f>
        <v>Figure</v>
      </c>
      <c r="I8519">
        <v>1.31</v>
      </c>
      <c r="J8519">
        <v>0.17</v>
      </c>
      <c r="K8519">
        <v>1.02</v>
      </c>
      <c r="L8519">
        <v>0.98</v>
      </c>
      <c r="M8519">
        <v>0.77900000000000003</v>
      </c>
      <c r="N8519">
        <v>0.18</v>
      </c>
    </row>
    <row r="8520" spans="1:14" x14ac:dyDescent="0.25">
      <c r="A8520" t="s">
        <v>15040</v>
      </c>
      <c r="B8520" t="s">
        <v>15041</v>
      </c>
      <c r="C8520" s="1" t="str">
        <f>HYPERLINK("http://www.genecards.org/cgi-bin/carddisp.pl?gene=C14orf101","GeneCards")</f>
        <v>GeneCards</v>
      </c>
      <c r="D8520" s="1" t="str">
        <f>HYPERLINK("http://genome-euro.ucsc.edu/cgi-bin/hgTracks?position=219757_s_at","UCSC")</f>
        <v>UCSC</v>
      </c>
      <c r="E8520" s="1" t="str">
        <f>HYPERLINK("http://www.ncbi.nlm.nih.gov/gene/?term=C14orf101","NCBI")</f>
        <v>NCBI</v>
      </c>
      <c r="F8520">
        <v>0.14000000000000001</v>
      </c>
      <c r="G8520">
        <v>0.28000000000000003</v>
      </c>
      <c r="H8520" s="1" t="str">
        <f>HYPERLINK("http://www.weizmann.ac.il/complex/compphys/software/geview/data/figures/219757_s_at.png","Figure")</f>
        <v>Figure</v>
      </c>
      <c r="I8520">
        <v>0.76900000000000002</v>
      </c>
      <c r="J8520">
        <v>0.45</v>
      </c>
      <c r="K8520">
        <v>1.17</v>
      </c>
      <c r="L8520">
        <v>0.68</v>
      </c>
      <c r="M8520">
        <v>1.52</v>
      </c>
      <c r="N8520">
        <v>0.12</v>
      </c>
    </row>
    <row r="8521" spans="1:14" x14ac:dyDescent="0.25">
      <c r="A8521" t="s">
        <v>15042</v>
      </c>
      <c r="B8521" t="s">
        <v>4886</v>
      </c>
      <c r="C8521" s="1" t="str">
        <f>HYPERLINK("http://www.genecards.org/cgi-bin/carddisp.pl?gene=RPL10","GeneCards")</f>
        <v>GeneCards</v>
      </c>
      <c r="D8521" s="1" t="str">
        <f>HYPERLINK("http://genome-euro.ucsc.edu/cgi-bin/hgTracks?position=200724_at","UCSC")</f>
        <v>UCSC</v>
      </c>
      <c r="E8521" s="1" t="str">
        <f>HYPERLINK("http://www.ncbi.nlm.nih.gov/gene/?term=RPL10","NCBI")</f>
        <v>NCBI</v>
      </c>
      <c r="F8521">
        <v>0.14000000000000001</v>
      </c>
      <c r="G8521">
        <v>0.28000000000000003</v>
      </c>
      <c r="H8521" s="1" t="str">
        <f>HYPERLINK("http://www.weizmann.ac.il/complex/compphys/software/geview/data/figures/200724_at.png","Figure")</f>
        <v>Figure</v>
      </c>
      <c r="I8521">
        <v>1.1200000000000001</v>
      </c>
      <c r="J8521">
        <v>0.12</v>
      </c>
      <c r="K8521">
        <v>1.05</v>
      </c>
      <c r="L8521">
        <v>0.6</v>
      </c>
      <c r="M8521">
        <v>0.93600000000000005</v>
      </c>
      <c r="N8521">
        <v>0.39</v>
      </c>
    </row>
    <row r="8522" spans="1:14" x14ac:dyDescent="0.25">
      <c r="A8522" t="s">
        <v>15043</v>
      </c>
      <c r="B8522" t="s">
        <v>15044</v>
      </c>
      <c r="C8522" s="1" t="str">
        <f>HYPERLINK("http://www.genecards.org/cgi-bin/carddisp.pl?gene=C20orf27","GeneCards")</f>
        <v>GeneCards</v>
      </c>
      <c r="D8522" s="1" t="str">
        <f>HYPERLINK("http://genome-euro.ucsc.edu/cgi-bin/hgTracks?position=218081_at","UCSC")</f>
        <v>UCSC</v>
      </c>
      <c r="E8522" s="1" t="str">
        <f>HYPERLINK("http://www.ncbi.nlm.nih.gov/gene/?term=C20orf27","NCBI")</f>
        <v>NCBI</v>
      </c>
      <c r="F8522">
        <v>0.14000000000000001</v>
      </c>
      <c r="G8522">
        <v>0.28000000000000003</v>
      </c>
      <c r="H8522" s="1" t="str">
        <f>HYPERLINK("http://www.weizmann.ac.il/complex/compphys/software/geview/data/figures/218081_at.png","Figure")</f>
        <v>Figure</v>
      </c>
      <c r="I8522">
        <v>0.90900000000000003</v>
      </c>
      <c r="J8522">
        <v>0.73</v>
      </c>
      <c r="K8522">
        <v>1.1499999999999999</v>
      </c>
      <c r="L8522">
        <v>0.41</v>
      </c>
      <c r="M8522">
        <v>1.27</v>
      </c>
      <c r="N8522">
        <v>0.14000000000000001</v>
      </c>
    </row>
    <row r="8523" spans="1:14" x14ac:dyDescent="0.25">
      <c r="A8523" t="s">
        <v>15045</v>
      </c>
      <c r="B8523" t="s">
        <v>15046</v>
      </c>
      <c r="C8523" s="1" t="str">
        <f>HYPERLINK("http://www.genecards.org/cgi-bin/carddisp.pl?gene=FAM105A","GeneCards")</f>
        <v>GeneCards</v>
      </c>
      <c r="D8523" s="1" t="str">
        <f>HYPERLINK("http://genome-euro.ucsc.edu/cgi-bin/hgTracks?position=219694_at","UCSC")</f>
        <v>UCSC</v>
      </c>
      <c r="E8523" s="1" t="str">
        <f>HYPERLINK("http://www.ncbi.nlm.nih.gov/gene/?term=FAM105A","NCBI")</f>
        <v>NCBI</v>
      </c>
      <c r="F8523">
        <v>0.14000000000000001</v>
      </c>
      <c r="G8523">
        <v>0.28000000000000003</v>
      </c>
      <c r="H8523" s="1" t="str">
        <f>HYPERLINK("http://www.weizmann.ac.il/complex/compphys/software/geview/data/figures/219694_at.png","Figure")</f>
        <v>Figure</v>
      </c>
      <c r="I8523">
        <v>1</v>
      </c>
      <c r="J8523">
        <v>1</v>
      </c>
      <c r="K8523">
        <v>0.89900000000000002</v>
      </c>
      <c r="L8523">
        <v>0.2</v>
      </c>
      <c r="M8523">
        <v>0.89900000000000002</v>
      </c>
      <c r="N8523">
        <v>0.24</v>
      </c>
    </row>
    <row r="8524" spans="1:14" x14ac:dyDescent="0.25">
      <c r="A8524" t="s">
        <v>15047</v>
      </c>
      <c r="B8524" t="s">
        <v>15048</v>
      </c>
      <c r="C8524" s="1" t="str">
        <f>HYPERLINK("http://www.genecards.org/cgi-bin/carddisp.pl?gene=DDC","GeneCards")</f>
        <v>GeneCards</v>
      </c>
      <c r="D8524" s="1" t="str">
        <f>HYPERLINK("http://genome-euro.ucsc.edu/cgi-bin/hgTracks?position=205311_at","UCSC")</f>
        <v>UCSC</v>
      </c>
      <c r="E8524" s="1" t="str">
        <f>HYPERLINK("http://www.ncbi.nlm.nih.gov/gene/?term=DDC","NCBI")</f>
        <v>NCBI</v>
      </c>
      <c r="F8524">
        <v>0.14000000000000001</v>
      </c>
      <c r="G8524">
        <v>0.28000000000000003</v>
      </c>
      <c r="H8524" s="1" t="str">
        <f>HYPERLINK("http://www.weizmann.ac.il/complex/compphys/software/geview/data/figures/205311_at.png","Figure")</f>
        <v>Figure</v>
      </c>
      <c r="I8524">
        <v>1.06</v>
      </c>
      <c r="J8524">
        <v>0.13</v>
      </c>
      <c r="K8524">
        <v>1.04</v>
      </c>
      <c r="L8524">
        <v>0.34</v>
      </c>
      <c r="M8524">
        <v>0.97799999999999998</v>
      </c>
      <c r="N8524">
        <v>0.68</v>
      </c>
    </row>
    <row r="8525" spans="1:14" x14ac:dyDescent="0.25">
      <c r="A8525" t="s">
        <v>15049</v>
      </c>
      <c r="B8525" t="s">
        <v>15050</v>
      </c>
      <c r="C8525" s="1" t="str">
        <f>HYPERLINK("http://www.genecards.org/cgi-bin/carddisp.pl?gene=SCGN","GeneCards")</f>
        <v>GeneCards</v>
      </c>
      <c r="D8525" s="1" t="str">
        <f>HYPERLINK("http://genome-euro.ucsc.edu/cgi-bin/hgTracks?position=205697_at","UCSC")</f>
        <v>UCSC</v>
      </c>
      <c r="E8525" s="1" t="str">
        <f>HYPERLINK("http://www.ncbi.nlm.nih.gov/gene/?term=SCGN","NCBI")</f>
        <v>NCBI</v>
      </c>
      <c r="F8525">
        <v>0.14000000000000001</v>
      </c>
      <c r="G8525">
        <v>0.28000000000000003</v>
      </c>
      <c r="H8525" s="1" t="str">
        <f>HYPERLINK("http://www.weizmann.ac.il/complex/compphys/software/geview/data/figures/205697_at.png","Figure")</f>
        <v>Figure</v>
      </c>
      <c r="I8525">
        <v>1.1499999999999999</v>
      </c>
      <c r="J8525">
        <v>0.36</v>
      </c>
      <c r="K8525">
        <v>0.94599999999999995</v>
      </c>
      <c r="L8525">
        <v>0.8</v>
      </c>
      <c r="M8525">
        <v>0.82099999999999995</v>
      </c>
      <c r="N8525">
        <v>0.12</v>
      </c>
    </row>
    <row r="8526" spans="1:14" x14ac:dyDescent="0.25">
      <c r="A8526" t="s">
        <v>15051</v>
      </c>
      <c r="B8526" t="s">
        <v>15052</v>
      </c>
      <c r="C8526" s="1" t="str">
        <f>HYPERLINK("http://www.genecards.org/cgi-bin/carddisp.pl?gene=HDAC11","GeneCards")</f>
        <v>GeneCards</v>
      </c>
      <c r="D8526" s="1" t="str">
        <f>HYPERLINK("http://genome-euro.ucsc.edu/cgi-bin/hgTracks?position=219847_at","UCSC")</f>
        <v>UCSC</v>
      </c>
      <c r="E8526" s="1" t="str">
        <f>HYPERLINK("http://www.ncbi.nlm.nih.gov/gene/?term=HDAC11","NCBI")</f>
        <v>NCBI</v>
      </c>
      <c r="F8526">
        <v>0.14000000000000001</v>
      </c>
      <c r="G8526">
        <v>0.28000000000000003</v>
      </c>
      <c r="H8526" s="1" t="str">
        <f>HYPERLINK("http://www.weizmann.ac.il/complex/compphys/software/geview/data/figures/219847_at.png","Figure")</f>
        <v>Figure</v>
      </c>
      <c r="I8526">
        <v>1.18</v>
      </c>
      <c r="J8526">
        <v>0.38</v>
      </c>
      <c r="K8526">
        <v>0.93</v>
      </c>
      <c r="L8526">
        <v>0.76</v>
      </c>
      <c r="M8526">
        <v>0.79100000000000004</v>
      </c>
      <c r="N8526">
        <v>0.12</v>
      </c>
    </row>
    <row r="8527" spans="1:14" x14ac:dyDescent="0.25">
      <c r="A8527" t="s">
        <v>15053</v>
      </c>
      <c r="B8527" t="s">
        <v>15054</v>
      </c>
      <c r="C8527" s="1" t="str">
        <f>HYPERLINK("http://www.genecards.org/cgi-bin/carddisp.pl?gene=CCT4","GeneCards")</f>
        <v>GeneCards</v>
      </c>
      <c r="D8527" s="1" t="str">
        <f>HYPERLINK("http://genome-euro.ucsc.edu/cgi-bin/hgTracks?position=200877_at","UCSC")</f>
        <v>UCSC</v>
      </c>
      <c r="E8527" s="1" t="str">
        <f>HYPERLINK("http://www.ncbi.nlm.nih.gov/gene/?term=CCT4","NCBI")</f>
        <v>NCBI</v>
      </c>
      <c r="F8527">
        <v>0.14000000000000001</v>
      </c>
      <c r="G8527">
        <v>0.28000000000000003</v>
      </c>
      <c r="H8527" s="1" t="str">
        <f>HYPERLINK("http://www.weizmann.ac.il/complex/compphys/software/geview/data/figures/200877_at.png","Figure")</f>
        <v>Figure</v>
      </c>
      <c r="I8527">
        <v>1.17</v>
      </c>
      <c r="J8527">
        <v>0.45</v>
      </c>
      <c r="K8527">
        <v>1.26</v>
      </c>
      <c r="L8527">
        <v>0.12</v>
      </c>
      <c r="M8527">
        <v>1.08</v>
      </c>
      <c r="N8527">
        <v>0.8</v>
      </c>
    </row>
    <row r="8528" spans="1:14" x14ac:dyDescent="0.25">
      <c r="A8528" t="s">
        <v>15055</v>
      </c>
      <c r="B8528" t="s">
        <v>6335</v>
      </c>
      <c r="C8528" s="1" t="str">
        <f>HYPERLINK("http://www.genecards.org/cgi-bin/carddisp.pl?gene=TAPT1","GeneCards")</f>
        <v>GeneCards</v>
      </c>
      <c r="D8528" s="1" t="str">
        <f>HYPERLINK("http://genome-euro.ucsc.edu/cgi-bin/hgTracks?position=216373_at","UCSC")</f>
        <v>UCSC</v>
      </c>
      <c r="E8528" s="1" t="str">
        <f>HYPERLINK("http://www.ncbi.nlm.nih.gov/gene/?term=TAPT1","NCBI")</f>
        <v>NCBI</v>
      </c>
      <c r="F8528">
        <v>0.14000000000000001</v>
      </c>
      <c r="G8528">
        <v>0.28000000000000003</v>
      </c>
      <c r="H8528" s="1" t="str">
        <f>HYPERLINK("http://www.weizmann.ac.il/complex/compphys/software/geview/data/figures/216373_at.png","Figure")</f>
        <v>Figure</v>
      </c>
      <c r="I8528">
        <v>0.71099999999999997</v>
      </c>
      <c r="J8528">
        <v>0.64</v>
      </c>
      <c r="K8528">
        <v>0.501</v>
      </c>
      <c r="L8528">
        <v>0.12</v>
      </c>
      <c r="M8528">
        <v>0.70499999999999996</v>
      </c>
      <c r="N8528">
        <v>0.59</v>
      </c>
    </row>
    <row r="8529" spans="1:14" x14ac:dyDescent="0.25">
      <c r="A8529" t="s">
        <v>15056</v>
      </c>
      <c r="B8529" t="s">
        <v>15057</v>
      </c>
      <c r="C8529" s="1" t="str">
        <f>HYPERLINK("http://www.genecards.org/cgi-bin/carddisp.pl?gene=MYO18A /// TIAF1","GeneCards")</f>
        <v>GeneCards</v>
      </c>
      <c r="D8529" s="1" t="str">
        <f>HYPERLINK("http://genome-euro.ucsc.edu/cgi-bin/hgTracks?position=202039_at","UCSC")</f>
        <v>UCSC</v>
      </c>
      <c r="E8529" s="1" t="str">
        <f>HYPERLINK("http://www.ncbi.nlm.nih.gov/gene/?term=MYO18A /// TIAF1","NCBI")</f>
        <v>NCBI</v>
      </c>
      <c r="F8529">
        <v>0.14000000000000001</v>
      </c>
      <c r="G8529">
        <v>0.28000000000000003</v>
      </c>
      <c r="H8529" s="1" t="str">
        <f>HYPERLINK("http://www.weizmann.ac.il/complex/compphys/software/geview/data/figures/202039_at.png","Figure")</f>
        <v>Figure</v>
      </c>
      <c r="I8529">
        <v>0.748</v>
      </c>
      <c r="J8529">
        <v>0.7</v>
      </c>
      <c r="K8529">
        <v>1.48</v>
      </c>
      <c r="L8529">
        <v>0.43</v>
      </c>
      <c r="M8529">
        <v>1.98</v>
      </c>
      <c r="N8529">
        <v>0.14000000000000001</v>
      </c>
    </row>
    <row r="8530" spans="1:14" x14ac:dyDescent="0.25">
      <c r="A8530" t="s">
        <v>15058</v>
      </c>
      <c r="B8530" t="s">
        <v>5219</v>
      </c>
      <c r="C8530" s="1" t="str">
        <f>HYPERLINK("http://www.genecards.org/cgi-bin/carddisp.pl?gene=NCOR2","GeneCards")</f>
        <v>GeneCards</v>
      </c>
      <c r="D8530" s="1" t="str">
        <f>HYPERLINK("http://genome-euro.ucsc.edu/cgi-bin/hgTracks?position=207760_s_at","UCSC")</f>
        <v>UCSC</v>
      </c>
      <c r="E8530" s="1" t="str">
        <f>HYPERLINK("http://www.ncbi.nlm.nih.gov/gene/?term=NCOR2","NCBI")</f>
        <v>NCBI</v>
      </c>
      <c r="F8530">
        <v>0.14000000000000001</v>
      </c>
      <c r="G8530">
        <v>0.28999999999999998</v>
      </c>
      <c r="H8530" s="1" t="str">
        <f>HYPERLINK("http://www.weizmann.ac.il/complex/compphys/software/geview/data/figures/207760_s_at.png","Figure")</f>
        <v>Figure</v>
      </c>
      <c r="I8530">
        <v>0.70799999999999996</v>
      </c>
      <c r="J8530">
        <v>0.12</v>
      </c>
      <c r="K8530">
        <v>0.86599999999999999</v>
      </c>
      <c r="L8530">
        <v>0.57999999999999996</v>
      </c>
      <c r="M8530">
        <v>1.22</v>
      </c>
      <c r="N8530">
        <v>0.4</v>
      </c>
    </row>
    <row r="8531" spans="1:14" x14ac:dyDescent="0.25">
      <c r="A8531" t="s">
        <v>15059</v>
      </c>
      <c r="B8531" t="s">
        <v>15060</v>
      </c>
      <c r="C8531" s="1" t="str">
        <f>HYPERLINK("http://www.genecards.org/cgi-bin/carddisp.pl?gene=CCL11","GeneCards")</f>
        <v>GeneCards</v>
      </c>
      <c r="D8531" s="1" t="str">
        <f>HYPERLINK("http://genome-euro.ucsc.edu/cgi-bin/hgTracks?position=210133_at","UCSC")</f>
        <v>UCSC</v>
      </c>
      <c r="E8531" s="1" t="str">
        <f>HYPERLINK("http://www.ncbi.nlm.nih.gov/gene/?term=CCL11","NCBI")</f>
        <v>NCBI</v>
      </c>
      <c r="F8531">
        <v>0.14000000000000001</v>
      </c>
      <c r="G8531">
        <v>0.28999999999999998</v>
      </c>
      <c r="H8531" s="1" t="str">
        <f>HYPERLINK("http://www.weizmann.ac.il/complex/compphys/software/geview/data/figures/210133_at.png","Figure")</f>
        <v>Figure</v>
      </c>
      <c r="I8531">
        <v>0.96699999999999997</v>
      </c>
      <c r="J8531">
        <v>0.89</v>
      </c>
      <c r="K8531">
        <v>0.88</v>
      </c>
      <c r="L8531">
        <v>0.14000000000000001</v>
      </c>
      <c r="M8531">
        <v>0.91100000000000003</v>
      </c>
      <c r="N8531">
        <v>0.37</v>
      </c>
    </row>
    <row r="8532" spans="1:14" x14ac:dyDescent="0.25">
      <c r="A8532" t="s">
        <v>15061</v>
      </c>
      <c r="B8532" t="s">
        <v>9250</v>
      </c>
      <c r="C8532" s="1" t="str">
        <f>HYPERLINK("http://www.genecards.org/cgi-bin/carddisp.pl?gene=TM2D1","GeneCards")</f>
        <v>GeneCards</v>
      </c>
      <c r="D8532" s="1" t="str">
        <f>HYPERLINK("http://genome-euro.ucsc.edu/cgi-bin/hgTracks?position=213883_s_at","UCSC")</f>
        <v>UCSC</v>
      </c>
      <c r="E8532" s="1" t="str">
        <f>HYPERLINK("http://www.ncbi.nlm.nih.gov/gene/?term=TM2D1","NCBI")</f>
        <v>NCBI</v>
      </c>
      <c r="F8532">
        <v>0.14000000000000001</v>
      </c>
      <c r="G8532">
        <v>0.28999999999999998</v>
      </c>
      <c r="H8532" s="1" t="str">
        <f>HYPERLINK("http://www.weizmann.ac.il/complex/compphys/software/geview/data/figures/213883_s_at.png","Figure")</f>
        <v>Figure</v>
      </c>
      <c r="I8532">
        <v>0.63500000000000001</v>
      </c>
      <c r="J8532">
        <v>0.28000000000000003</v>
      </c>
      <c r="K8532">
        <v>1.1000000000000001</v>
      </c>
      <c r="L8532">
        <v>0.92</v>
      </c>
      <c r="M8532">
        <v>1.74</v>
      </c>
      <c r="N8532">
        <v>0.13</v>
      </c>
    </row>
    <row r="8533" spans="1:14" x14ac:dyDescent="0.25">
      <c r="A8533" t="s">
        <v>15062</v>
      </c>
      <c r="B8533" t="s">
        <v>15063</v>
      </c>
      <c r="C8533" s="1" t="str">
        <f>HYPERLINK("http://www.genecards.org/cgi-bin/carddisp.pl?gene=DGCR9","GeneCards")</f>
        <v>GeneCards</v>
      </c>
      <c r="D8533" s="1" t="str">
        <f>HYPERLINK("http://genome-euro.ucsc.edu/cgi-bin/hgTracks?position=215003_at","UCSC")</f>
        <v>UCSC</v>
      </c>
      <c r="E8533" s="1" t="str">
        <f>HYPERLINK("http://www.ncbi.nlm.nih.gov/gene/?term=DGCR9","NCBI")</f>
        <v>NCBI</v>
      </c>
      <c r="F8533">
        <v>0.14000000000000001</v>
      </c>
      <c r="G8533">
        <v>0.28999999999999998</v>
      </c>
      <c r="H8533" s="1" t="str">
        <f>HYPERLINK("http://www.weizmann.ac.il/complex/compphys/software/geview/data/figures/215003_at.png","Figure")</f>
        <v>Figure</v>
      </c>
      <c r="I8533">
        <v>1.23</v>
      </c>
      <c r="J8533">
        <v>0.13</v>
      </c>
      <c r="K8533">
        <v>1.07</v>
      </c>
      <c r="L8533">
        <v>0.68</v>
      </c>
      <c r="M8533">
        <v>0.875</v>
      </c>
      <c r="N8533">
        <v>0.34</v>
      </c>
    </row>
    <row r="8534" spans="1:14" x14ac:dyDescent="0.25">
      <c r="A8534" t="s">
        <v>15064</v>
      </c>
      <c r="B8534" t="s">
        <v>15065</v>
      </c>
      <c r="C8534" s="1" t="str">
        <f>HYPERLINK("http://www.genecards.org/cgi-bin/carddisp.pl?gene=SLC22A8","GeneCards")</f>
        <v>GeneCards</v>
      </c>
      <c r="D8534" s="1" t="str">
        <f>HYPERLINK("http://genome-euro.ucsc.edu/cgi-bin/hgTracks?position=221298_s_at","UCSC")</f>
        <v>UCSC</v>
      </c>
      <c r="E8534" s="1" t="str">
        <f>HYPERLINK("http://www.ncbi.nlm.nih.gov/gene/?term=SLC22A8","NCBI")</f>
        <v>NCBI</v>
      </c>
      <c r="F8534">
        <v>0.14000000000000001</v>
      </c>
      <c r="G8534">
        <v>0.28999999999999998</v>
      </c>
      <c r="H8534" s="1" t="str">
        <f>HYPERLINK("http://www.weizmann.ac.il/complex/compphys/software/geview/data/figures/221298_s_at.png","Figure")</f>
        <v>Figure</v>
      </c>
      <c r="I8534">
        <v>1.2</v>
      </c>
      <c r="J8534">
        <v>0.12</v>
      </c>
      <c r="K8534">
        <v>1.1000000000000001</v>
      </c>
      <c r="L8534">
        <v>0.43</v>
      </c>
      <c r="M8534">
        <v>0.91800000000000004</v>
      </c>
      <c r="N8534">
        <v>0.55000000000000004</v>
      </c>
    </row>
    <row r="8535" spans="1:14" x14ac:dyDescent="0.25">
      <c r="A8535" t="s">
        <v>15066</v>
      </c>
      <c r="B8535" t="s">
        <v>15067</v>
      </c>
      <c r="C8535" s="1" t="str">
        <f>HYPERLINK("http://www.genecards.org/cgi-bin/carddisp.pl?gene=RPL28","GeneCards")</f>
        <v>GeneCards</v>
      </c>
      <c r="D8535" s="1" t="str">
        <f>HYPERLINK("http://genome-euro.ucsc.edu/cgi-bin/hgTracks?position=213223_at","UCSC")</f>
        <v>UCSC</v>
      </c>
      <c r="E8535" s="1" t="str">
        <f>HYPERLINK("http://www.ncbi.nlm.nih.gov/gene/?term=RPL28","NCBI")</f>
        <v>NCBI</v>
      </c>
      <c r="F8535">
        <v>0.14000000000000001</v>
      </c>
      <c r="G8535">
        <v>0.28999999999999998</v>
      </c>
      <c r="H8535" s="1" t="str">
        <f>HYPERLINK("http://www.weizmann.ac.il/complex/compphys/software/geview/data/figures/213223_at.png","Figure")</f>
        <v>Figure</v>
      </c>
      <c r="I8535">
        <v>1.26</v>
      </c>
      <c r="J8535">
        <v>0.13</v>
      </c>
      <c r="K8535">
        <v>1.1399999999999999</v>
      </c>
      <c r="L8535">
        <v>0.4</v>
      </c>
      <c r="M8535">
        <v>0.90200000000000002</v>
      </c>
      <c r="N8535">
        <v>0.57999999999999996</v>
      </c>
    </row>
    <row r="8536" spans="1:14" x14ac:dyDescent="0.25">
      <c r="A8536" t="s">
        <v>15068</v>
      </c>
      <c r="B8536" t="s">
        <v>15069</v>
      </c>
      <c r="C8536" s="1" t="str">
        <f>HYPERLINK("http://www.genecards.org/cgi-bin/carddisp.pl?gene=HMGCR","GeneCards")</f>
        <v>GeneCards</v>
      </c>
      <c r="D8536" s="1" t="str">
        <f>HYPERLINK("http://genome-euro.ucsc.edu/cgi-bin/hgTracks?position=202540_s_at","UCSC")</f>
        <v>UCSC</v>
      </c>
      <c r="E8536" s="1" t="str">
        <f>HYPERLINK("http://www.ncbi.nlm.nih.gov/gene/?term=HMGCR","NCBI")</f>
        <v>NCBI</v>
      </c>
      <c r="F8536">
        <v>0.14000000000000001</v>
      </c>
      <c r="G8536">
        <v>0.28999999999999998</v>
      </c>
      <c r="H8536" s="1" t="str">
        <f>HYPERLINK("http://www.weizmann.ac.il/complex/compphys/software/geview/data/figures/202540_s_at.png","Figure")</f>
        <v>Figure</v>
      </c>
      <c r="I8536">
        <v>0.76</v>
      </c>
      <c r="J8536">
        <v>0.2</v>
      </c>
      <c r="K8536">
        <v>1</v>
      </c>
      <c r="L8536">
        <v>1</v>
      </c>
      <c r="M8536">
        <v>1.31</v>
      </c>
      <c r="N8536">
        <v>0.16</v>
      </c>
    </row>
    <row r="8537" spans="1:14" x14ac:dyDescent="0.25">
      <c r="A8537" t="s">
        <v>15070</v>
      </c>
      <c r="B8537" t="s">
        <v>15071</v>
      </c>
      <c r="C8537" s="1" t="str">
        <f>HYPERLINK("http://www.genecards.org/cgi-bin/carddisp.pl?gene=HAL","GeneCards")</f>
        <v>GeneCards</v>
      </c>
      <c r="D8537" s="1" t="str">
        <f>HYPERLINK("http://genome-euro.ucsc.edu/cgi-bin/hgTracks?position=206643_at","UCSC")</f>
        <v>UCSC</v>
      </c>
      <c r="E8537" s="1" t="str">
        <f>HYPERLINK("http://www.ncbi.nlm.nih.gov/gene/?term=HAL","NCBI")</f>
        <v>NCBI</v>
      </c>
      <c r="F8537">
        <v>0.14000000000000001</v>
      </c>
      <c r="G8537">
        <v>0.28999999999999998</v>
      </c>
      <c r="H8537" s="1" t="str">
        <f>HYPERLINK("http://www.weizmann.ac.il/complex/compphys/software/geview/data/figures/206643_at.png","Figure")</f>
        <v>Figure</v>
      </c>
      <c r="I8537">
        <v>0.998</v>
      </c>
      <c r="J8537">
        <v>1</v>
      </c>
      <c r="K8537">
        <v>0.91500000000000004</v>
      </c>
      <c r="L8537">
        <v>0.19</v>
      </c>
      <c r="M8537">
        <v>0.91600000000000004</v>
      </c>
      <c r="N8537">
        <v>0.25</v>
      </c>
    </row>
    <row r="8538" spans="1:14" x14ac:dyDescent="0.25">
      <c r="A8538" t="s">
        <v>15072</v>
      </c>
      <c r="B8538" t="s">
        <v>15073</v>
      </c>
      <c r="C8538" s="1" t="str">
        <f>HYPERLINK("http://www.genecards.org/cgi-bin/carddisp.pl?gene=CYP2B6 /// CYP2B7P1","GeneCards")</f>
        <v>GeneCards</v>
      </c>
      <c r="D8538" s="1" t="str">
        <f>HYPERLINK("http://genome-euro.ucsc.edu/cgi-bin/hgTracks?position=206754_s_at","UCSC")</f>
        <v>UCSC</v>
      </c>
      <c r="E8538" s="1" t="str">
        <f>HYPERLINK("http://www.ncbi.nlm.nih.gov/gene/?term=CYP2B6 /// CYP2B7P1","NCBI")</f>
        <v>NCBI</v>
      </c>
      <c r="F8538">
        <v>0.14000000000000001</v>
      </c>
      <c r="G8538">
        <v>0.28999999999999998</v>
      </c>
      <c r="H8538" s="1" t="str">
        <f>HYPERLINK("http://www.weizmann.ac.il/complex/compphys/software/geview/data/figures/206754_s_at.png","Figure")</f>
        <v>Figure</v>
      </c>
      <c r="I8538">
        <v>1.03</v>
      </c>
      <c r="J8538">
        <v>0.96</v>
      </c>
      <c r="K8538">
        <v>0.85799999999999998</v>
      </c>
      <c r="L8538">
        <v>0.25</v>
      </c>
      <c r="M8538">
        <v>0.83299999999999996</v>
      </c>
      <c r="N8538">
        <v>0.19</v>
      </c>
    </row>
    <row r="8539" spans="1:14" x14ac:dyDescent="0.25">
      <c r="A8539" t="s">
        <v>15074</v>
      </c>
      <c r="B8539" t="s">
        <v>15075</v>
      </c>
      <c r="C8539" s="1" t="str">
        <f>HYPERLINK("http://www.genecards.org/cgi-bin/carddisp.pl?gene=SPTA1","GeneCards")</f>
        <v>GeneCards</v>
      </c>
      <c r="D8539" s="1" t="str">
        <f>HYPERLINK("http://genome-euro.ucsc.edu/cgi-bin/hgTracks?position=206937_at","UCSC")</f>
        <v>UCSC</v>
      </c>
      <c r="E8539" s="1" t="str">
        <f>HYPERLINK("http://www.ncbi.nlm.nih.gov/gene/?term=SPTA1","NCBI")</f>
        <v>NCBI</v>
      </c>
      <c r="F8539">
        <v>0.14000000000000001</v>
      </c>
      <c r="G8539">
        <v>0.28999999999999998</v>
      </c>
      <c r="H8539" s="1" t="str">
        <f>HYPERLINK("http://www.weizmann.ac.il/complex/compphys/software/geview/data/figures/206937_at.png","Figure")</f>
        <v>Figure</v>
      </c>
      <c r="I8539">
        <v>0.71599999999999997</v>
      </c>
      <c r="J8539">
        <v>0.67</v>
      </c>
      <c r="K8539">
        <v>0.49</v>
      </c>
      <c r="L8539">
        <v>0.13</v>
      </c>
      <c r="M8539">
        <v>0.68500000000000005</v>
      </c>
      <c r="N8539">
        <v>0.56000000000000005</v>
      </c>
    </row>
    <row r="8540" spans="1:14" x14ac:dyDescent="0.25">
      <c r="A8540" t="s">
        <v>15076</v>
      </c>
      <c r="B8540" t="s">
        <v>15077</v>
      </c>
      <c r="C8540" s="1" t="str">
        <f>HYPERLINK("http://www.genecards.org/cgi-bin/carddisp.pl?gene=MTAP","GeneCards")</f>
        <v>GeneCards</v>
      </c>
      <c r="D8540" s="1" t="str">
        <f>HYPERLINK("http://genome-euro.ucsc.edu/cgi-bin/hgTracks?position=211364_at","UCSC")</f>
        <v>UCSC</v>
      </c>
      <c r="E8540" s="1" t="str">
        <f>HYPERLINK("http://www.ncbi.nlm.nih.gov/gene/?term=MTAP","NCBI")</f>
        <v>NCBI</v>
      </c>
      <c r="F8540">
        <v>0.14000000000000001</v>
      </c>
      <c r="G8540">
        <v>0.28999999999999998</v>
      </c>
      <c r="H8540" s="1" t="str">
        <f>HYPERLINK("http://www.weizmann.ac.il/complex/compphys/software/geview/data/figures/211364_at.png","Figure")</f>
        <v>Figure</v>
      </c>
      <c r="I8540">
        <v>1.2</v>
      </c>
      <c r="J8540">
        <v>0.12</v>
      </c>
      <c r="K8540">
        <v>1.07</v>
      </c>
      <c r="L8540">
        <v>0.64</v>
      </c>
      <c r="M8540">
        <v>0.89300000000000002</v>
      </c>
      <c r="N8540">
        <v>0.36</v>
      </c>
    </row>
    <row r="8541" spans="1:14" x14ac:dyDescent="0.25">
      <c r="A8541" t="s">
        <v>15078</v>
      </c>
      <c r="B8541" t="s">
        <v>15079</v>
      </c>
      <c r="C8541" s="1" t="str">
        <f>HYPERLINK("http://www.genecards.org/cgi-bin/carddisp.pl?gene=FHOD1","GeneCards")</f>
        <v>GeneCards</v>
      </c>
      <c r="D8541" s="1" t="str">
        <f>HYPERLINK("http://genome-euro.ucsc.edu/cgi-bin/hgTracks?position=218530_at","UCSC")</f>
        <v>UCSC</v>
      </c>
      <c r="E8541" s="1" t="str">
        <f>HYPERLINK("http://www.ncbi.nlm.nih.gov/gene/?term=FHOD1","NCBI")</f>
        <v>NCBI</v>
      </c>
      <c r="F8541">
        <v>0.14000000000000001</v>
      </c>
      <c r="G8541">
        <v>0.28999999999999998</v>
      </c>
      <c r="H8541" s="1" t="str">
        <f>HYPERLINK("http://www.weizmann.ac.il/complex/compphys/software/geview/data/figures/218530_at.png","Figure")</f>
        <v>Figure</v>
      </c>
      <c r="I8541">
        <v>0.90800000000000003</v>
      </c>
      <c r="J8541">
        <v>0.54</v>
      </c>
      <c r="K8541">
        <v>1.08</v>
      </c>
      <c r="L8541">
        <v>0.56999999999999995</v>
      </c>
      <c r="M8541">
        <v>1.19</v>
      </c>
      <c r="N8541">
        <v>0.13</v>
      </c>
    </row>
    <row r="8542" spans="1:14" x14ac:dyDescent="0.25">
      <c r="A8542" t="s">
        <v>15080</v>
      </c>
      <c r="B8542" t="s">
        <v>7140</v>
      </c>
      <c r="C8542" s="1" t="str">
        <f>HYPERLINK("http://www.genecards.org/cgi-bin/carddisp.pl?gene=DPYSL3","GeneCards")</f>
        <v>GeneCards</v>
      </c>
      <c r="D8542" s="1" t="str">
        <f>HYPERLINK("http://genome-euro.ucsc.edu/cgi-bin/hgTracks?position=201430_s_at","UCSC")</f>
        <v>UCSC</v>
      </c>
      <c r="E8542" s="1" t="str">
        <f>HYPERLINK("http://www.ncbi.nlm.nih.gov/gene/?term=DPYSL3","NCBI")</f>
        <v>NCBI</v>
      </c>
      <c r="F8542">
        <v>0.14000000000000001</v>
      </c>
      <c r="G8542">
        <v>0.28999999999999998</v>
      </c>
      <c r="H8542" s="1" t="str">
        <f>HYPERLINK("http://www.weizmann.ac.il/complex/compphys/software/geview/data/figures/201430_s_at.png","Figure")</f>
        <v>Figure</v>
      </c>
      <c r="I8542">
        <v>0.99299999999999999</v>
      </c>
      <c r="J8542">
        <v>0.95</v>
      </c>
      <c r="K8542">
        <v>0.96</v>
      </c>
      <c r="L8542">
        <v>0.16</v>
      </c>
      <c r="M8542">
        <v>0.96699999999999997</v>
      </c>
      <c r="N8542">
        <v>0.32</v>
      </c>
    </row>
    <row r="8543" spans="1:14" x14ac:dyDescent="0.25">
      <c r="A8543" t="s">
        <v>15081</v>
      </c>
      <c r="B8543" t="s">
        <v>7352</v>
      </c>
      <c r="C8543" s="1" t="str">
        <f>HYPERLINK("http://www.genecards.org/cgi-bin/carddisp.pl?gene=DDX18","GeneCards")</f>
        <v>GeneCards</v>
      </c>
      <c r="D8543" s="1" t="str">
        <f>HYPERLINK("http://genome-euro.ucsc.edu/cgi-bin/hgTracks?position=208897_s_at","UCSC")</f>
        <v>UCSC</v>
      </c>
      <c r="E8543" s="1" t="str">
        <f>HYPERLINK("http://www.ncbi.nlm.nih.gov/gene/?term=DDX18","NCBI")</f>
        <v>NCBI</v>
      </c>
      <c r="F8543">
        <v>0.14000000000000001</v>
      </c>
      <c r="G8543">
        <v>0.28999999999999998</v>
      </c>
      <c r="H8543" s="1" t="str">
        <f>HYPERLINK("http://www.weizmann.ac.il/complex/compphys/software/geview/data/figures/208897_s_at.png","Figure")</f>
        <v>Figure</v>
      </c>
      <c r="I8543">
        <v>1.19</v>
      </c>
      <c r="J8543">
        <v>0.23</v>
      </c>
      <c r="K8543">
        <v>1.18</v>
      </c>
      <c r="L8543">
        <v>0.16</v>
      </c>
      <c r="M8543">
        <v>0.998</v>
      </c>
      <c r="N8543">
        <v>1</v>
      </c>
    </row>
    <row r="8544" spans="1:14" x14ac:dyDescent="0.25">
      <c r="A8544" t="s">
        <v>15082</v>
      </c>
      <c r="B8544" t="s">
        <v>682</v>
      </c>
      <c r="C8544" s="1" t="str">
        <f>HYPERLINK("http://www.genecards.org/cgi-bin/carddisp.pl?gene=KLF12","GeneCards")</f>
        <v>GeneCards</v>
      </c>
      <c r="D8544" s="1" t="str">
        <f>HYPERLINK("http://genome-euro.ucsc.edu/cgi-bin/hgTracks?position=214276_at","UCSC")</f>
        <v>UCSC</v>
      </c>
      <c r="E8544" s="1" t="str">
        <f>HYPERLINK("http://www.ncbi.nlm.nih.gov/gene/?term=KLF12","NCBI")</f>
        <v>NCBI</v>
      </c>
      <c r="F8544">
        <v>0.14000000000000001</v>
      </c>
      <c r="G8544">
        <v>0.28999999999999998</v>
      </c>
      <c r="H8544" s="1" t="str">
        <f>HYPERLINK("http://www.weizmann.ac.il/complex/compphys/software/geview/data/figures/214276_at.png","Figure")</f>
        <v>Figure</v>
      </c>
      <c r="I8544">
        <v>0.998</v>
      </c>
      <c r="J8544">
        <v>1</v>
      </c>
      <c r="K8544">
        <v>0.83899999999999997</v>
      </c>
      <c r="L8544">
        <v>0.2</v>
      </c>
      <c r="M8544">
        <v>0.84099999999999997</v>
      </c>
      <c r="N8544">
        <v>0.24</v>
      </c>
    </row>
    <row r="8545" spans="1:14" x14ac:dyDescent="0.25">
      <c r="A8545" t="s">
        <v>15083</v>
      </c>
      <c r="B8545" t="s">
        <v>15084</v>
      </c>
      <c r="C8545" s="1" t="str">
        <f>HYPERLINK("http://www.genecards.org/cgi-bin/carddisp.pl?gene=EIF3E","GeneCards")</f>
        <v>GeneCards</v>
      </c>
      <c r="D8545" s="1" t="str">
        <f>HYPERLINK("http://genome-euro.ucsc.edu/cgi-bin/hgTracks?position=208697_s_at","UCSC")</f>
        <v>UCSC</v>
      </c>
      <c r="E8545" s="1" t="str">
        <f>HYPERLINK("http://www.ncbi.nlm.nih.gov/gene/?term=EIF3E","NCBI")</f>
        <v>NCBI</v>
      </c>
      <c r="F8545">
        <v>0.14000000000000001</v>
      </c>
      <c r="G8545">
        <v>0.28999999999999998</v>
      </c>
      <c r="H8545" s="1" t="str">
        <f>HYPERLINK("http://www.weizmann.ac.il/complex/compphys/software/geview/data/figures/208697_s_at.png","Figure")</f>
        <v>Figure</v>
      </c>
      <c r="I8545">
        <v>0.79300000000000004</v>
      </c>
      <c r="J8545">
        <v>0.42</v>
      </c>
      <c r="K8545">
        <v>1.1299999999999999</v>
      </c>
      <c r="L8545">
        <v>0.72</v>
      </c>
      <c r="M8545">
        <v>1.43</v>
      </c>
      <c r="N8545">
        <v>0.12</v>
      </c>
    </row>
    <row r="8546" spans="1:14" x14ac:dyDescent="0.25">
      <c r="A8546" t="s">
        <v>15085</v>
      </c>
      <c r="B8546" t="s">
        <v>3137</v>
      </c>
      <c r="C8546" s="1" t="str">
        <f>HYPERLINK("http://www.genecards.org/cgi-bin/carddisp.pl?gene=HSPA4","GeneCards")</f>
        <v>GeneCards</v>
      </c>
      <c r="D8546" s="1" t="str">
        <f>HYPERLINK("http://genome-euro.ucsc.edu/cgi-bin/hgTracks?position=211015_s_at","UCSC")</f>
        <v>UCSC</v>
      </c>
      <c r="E8546" s="1" t="str">
        <f>HYPERLINK("http://www.ncbi.nlm.nih.gov/gene/?term=HSPA4","NCBI")</f>
        <v>NCBI</v>
      </c>
      <c r="F8546">
        <v>0.14000000000000001</v>
      </c>
      <c r="G8546">
        <v>0.28999999999999998</v>
      </c>
      <c r="H8546" s="1" t="str">
        <f>HYPERLINK("http://www.weizmann.ac.il/complex/compphys/software/geview/data/figures/211015_s_at.png","Figure")</f>
        <v>Figure</v>
      </c>
      <c r="I8546">
        <v>1.01</v>
      </c>
      <c r="J8546">
        <v>1</v>
      </c>
      <c r="K8546">
        <v>0.68400000000000005</v>
      </c>
      <c r="L8546">
        <v>0.2</v>
      </c>
      <c r="M8546">
        <v>0.67900000000000005</v>
      </c>
      <c r="N8546">
        <v>0.23</v>
      </c>
    </row>
    <row r="8547" spans="1:14" x14ac:dyDescent="0.25">
      <c r="A8547" t="s">
        <v>15086</v>
      </c>
      <c r="B8547" t="s">
        <v>15087</v>
      </c>
      <c r="C8547" s="1" t="str">
        <f>HYPERLINK("http://www.genecards.org/cgi-bin/carddisp.pl?gene=STRN","GeneCards")</f>
        <v>GeneCards</v>
      </c>
      <c r="D8547" s="1" t="str">
        <f>HYPERLINK("http://genome-euro.ucsc.edu/cgi-bin/hgTracks?position=205520_at","UCSC")</f>
        <v>UCSC</v>
      </c>
      <c r="E8547" s="1" t="str">
        <f>HYPERLINK("http://www.ncbi.nlm.nih.gov/gene/?term=STRN","NCBI")</f>
        <v>NCBI</v>
      </c>
      <c r="F8547">
        <v>0.14000000000000001</v>
      </c>
      <c r="G8547">
        <v>0.28999999999999998</v>
      </c>
      <c r="H8547" s="1" t="str">
        <f>HYPERLINK("http://www.weizmann.ac.il/complex/compphys/software/geview/data/figures/205520_at.png","Figure")</f>
        <v>Figure</v>
      </c>
      <c r="I8547">
        <v>1.0900000000000001</v>
      </c>
      <c r="J8547">
        <v>0.25</v>
      </c>
      <c r="K8547">
        <v>0.98799999999999999</v>
      </c>
      <c r="L8547">
        <v>0.96</v>
      </c>
      <c r="M8547">
        <v>0.90800000000000003</v>
      </c>
      <c r="N8547">
        <v>0.14000000000000001</v>
      </c>
    </row>
    <row r="8548" spans="1:14" x14ac:dyDescent="0.25">
      <c r="A8548" t="s">
        <v>15088</v>
      </c>
      <c r="B8548" t="s">
        <v>15089</v>
      </c>
      <c r="C8548" s="1" t="str">
        <f>HYPERLINK("http://www.genecards.org/cgi-bin/carddisp.pl?gene=SLC8A2","GeneCards")</f>
        <v>GeneCards</v>
      </c>
      <c r="D8548" s="1" t="str">
        <f>HYPERLINK("http://genome-euro.ucsc.edu/cgi-bin/hgTracks?position=215267_s_at","UCSC")</f>
        <v>UCSC</v>
      </c>
      <c r="E8548" s="1" t="str">
        <f>HYPERLINK("http://www.ncbi.nlm.nih.gov/gene/?term=SLC8A2","NCBI")</f>
        <v>NCBI</v>
      </c>
      <c r="F8548">
        <v>0.14000000000000001</v>
      </c>
      <c r="G8548">
        <v>0.28999999999999998</v>
      </c>
      <c r="H8548" s="1" t="str">
        <f>HYPERLINK("http://www.weizmann.ac.il/complex/compphys/software/geview/data/figures/215267_s_at.png","Figure")</f>
        <v>Figure</v>
      </c>
      <c r="I8548">
        <v>1.1100000000000001</v>
      </c>
      <c r="J8548">
        <v>0.38</v>
      </c>
      <c r="K8548">
        <v>0.95799999999999996</v>
      </c>
      <c r="L8548">
        <v>0.78</v>
      </c>
      <c r="M8548">
        <v>0.86499999999999999</v>
      </c>
      <c r="N8548">
        <v>0.12</v>
      </c>
    </row>
    <row r="8549" spans="1:14" x14ac:dyDescent="0.25">
      <c r="A8549" t="s">
        <v>15090</v>
      </c>
      <c r="B8549" t="s">
        <v>15091</v>
      </c>
      <c r="C8549" s="1" t="str">
        <f>HYPERLINK("http://www.genecards.org/cgi-bin/carddisp.pl?gene=GSTCD","GeneCards")</f>
        <v>GeneCards</v>
      </c>
      <c r="D8549" s="1" t="str">
        <f>HYPERLINK("http://genome-euro.ucsc.edu/cgi-bin/hgTracks?position=220063_at","UCSC")</f>
        <v>UCSC</v>
      </c>
      <c r="E8549" s="1" t="str">
        <f>HYPERLINK("http://www.ncbi.nlm.nih.gov/gene/?term=GSTCD","NCBI")</f>
        <v>NCBI</v>
      </c>
      <c r="F8549">
        <v>0.14000000000000001</v>
      </c>
      <c r="G8549">
        <v>0.28999999999999998</v>
      </c>
      <c r="H8549" s="1" t="str">
        <f>HYPERLINK("http://www.weizmann.ac.il/complex/compphys/software/geview/data/figures/220063_at.png","Figure")</f>
        <v>Figure</v>
      </c>
      <c r="I8549">
        <v>0.92300000000000004</v>
      </c>
      <c r="J8549">
        <v>0.59</v>
      </c>
      <c r="K8549">
        <v>1.08</v>
      </c>
      <c r="L8549">
        <v>0.53</v>
      </c>
      <c r="M8549">
        <v>1.17</v>
      </c>
      <c r="N8549">
        <v>0.13</v>
      </c>
    </row>
    <row r="8550" spans="1:14" x14ac:dyDescent="0.25">
      <c r="A8550" t="s">
        <v>15092</v>
      </c>
      <c r="B8550" t="s">
        <v>14681</v>
      </c>
      <c r="C8550" s="1" t="str">
        <f>HYPERLINK("http://www.genecards.org/cgi-bin/carddisp.pl?gene=EP300","GeneCards")</f>
        <v>GeneCards</v>
      </c>
      <c r="D8550" s="1" t="str">
        <f>HYPERLINK("http://genome-euro.ucsc.edu/cgi-bin/hgTracks?position=213579_s_at","UCSC")</f>
        <v>UCSC</v>
      </c>
      <c r="E8550" s="1" t="str">
        <f>HYPERLINK("http://www.ncbi.nlm.nih.gov/gene/?term=EP300","NCBI")</f>
        <v>NCBI</v>
      </c>
      <c r="F8550">
        <v>0.14000000000000001</v>
      </c>
      <c r="G8550">
        <v>0.28999999999999998</v>
      </c>
      <c r="H8550" s="1" t="str">
        <f>HYPERLINK("http://www.weizmann.ac.il/complex/compphys/software/geview/data/figures/213579_s_at.png","Figure")</f>
        <v>Figure</v>
      </c>
      <c r="I8550">
        <v>0.76</v>
      </c>
      <c r="J8550">
        <v>0.31</v>
      </c>
      <c r="K8550">
        <v>0.72499999999999998</v>
      </c>
      <c r="L8550">
        <v>0.14000000000000001</v>
      </c>
      <c r="M8550">
        <v>0.95399999999999996</v>
      </c>
      <c r="N8550">
        <v>0.96</v>
      </c>
    </row>
    <row r="8551" spans="1:14" x14ac:dyDescent="0.25">
      <c r="A8551" t="s">
        <v>15093</v>
      </c>
      <c r="B8551" t="s">
        <v>4417</v>
      </c>
      <c r="C8551" s="1" t="str">
        <f>HYPERLINK("http://www.genecards.org/cgi-bin/carddisp.pl?gene=ETV1","GeneCards")</f>
        <v>GeneCards</v>
      </c>
      <c r="D8551" s="1" t="str">
        <f>HYPERLINK("http://genome-euro.ucsc.edu/cgi-bin/hgTracks?position=206501_x_at","UCSC")</f>
        <v>UCSC</v>
      </c>
      <c r="E8551" s="1" t="str">
        <f>HYPERLINK("http://www.ncbi.nlm.nih.gov/gene/?term=ETV1","NCBI")</f>
        <v>NCBI</v>
      </c>
      <c r="F8551">
        <v>0.14000000000000001</v>
      </c>
      <c r="G8551">
        <v>0.28999999999999998</v>
      </c>
      <c r="H8551" s="1" t="str">
        <f>HYPERLINK("http://www.weizmann.ac.il/complex/compphys/software/geview/data/figures/206501_x_at.png","Figure")</f>
        <v>Figure</v>
      </c>
      <c r="I8551">
        <v>1.23</v>
      </c>
      <c r="J8551">
        <v>0.19</v>
      </c>
      <c r="K8551">
        <v>1.01</v>
      </c>
      <c r="L8551">
        <v>1</v>
      </c>
      <c r="M8551">
        <v>0.82</v>
      </c>
      <c r="N8551">
        <v>0.17</v>
      </c>
    </row>
    <row r="8552" spans="1:14" x14ac:dyDescent="0.25">
      <c r="A8552" t="s">
        <v>15094</v>
      </c>
      <c r="B8552" t="s">
        <v>8853</v>
      </c>
      <c r="C8552" s="1" t="str">
        <f>HYPERLINK("http://www.genecards.org/cgi-bin/carddisp.pl?gene=LDLR","GeneCards")</f>
        <v>GeneCards</v>
      </c>
      <c r="D8552" s="1" t="str">
        <f>HYPERLINK("http://genome-euro.ucsc.edu/cgi-bin/hgTracks?position=202068_s_at","UCSC")</f>
        <v>UCSC</v>
      </c>
      <c r="E8552" s="1" t="str">
        <f>HYPERLINK("http://www.ncbi.nlm.nih.gov/gene/?term=LDLR","NCBI")</f>
        <v>NCBI</v>
      </c>
      <c r="F8552">
        <v>0.14000000000000001</v>
      </c>
      <c r="G8552">
        <v>0.28999999999999998</v>
      </c>
      <c r="H8552" s="1" t="str">
        <f>HYPERLINK("http://www.weizmann.ac.il/complex/compphys/software/geview/data/figures/202068_s_at.png","Figure")</f>
        <v>Figure</v>
      </c>
      <c r="I8552">
        <v>0.53600000000000003</v>
      </c>
      <c r="J8552">
        <v>0.12</v>
      </c>
      <c r="K8552">
        <v>0.72799999999999998</v>
      </c>
      <c r="L8552">
        <v>0.45</v>
      </c>
      <c r="M8552">
        <v>1.36</v>
      </c>
      <c r="N8552">
        <v>0.53</v>
      </c>
    </row>
    <row r="8553" spans="1:14" x14ac:dyDescent="0.25">
      <c r="A8553" t="s">
        <v>15095</v>
      </c>
      <c r="B8553" t="s">
        <v>14064</v>
      </c>
      <c r="C8553" s="1" t="str">
        <f>HYPERLINK("http://www.genecards.org/cgi-bin/carddisp.pl?gene=PTGER3","GeneCards")</f>
        <v>GeneCards</v>
      </c>
      <c r="D8553" s="1" t="str">
        <f>HYPERLINK("http://genome-euro.ucsc.edu/cgi-bin/hgTracks?position=210374_x_at","UCSC")</f>
        <v>UCSC</v>
      </c>
      <c r="E8553" s="1" t="str">
        <f>HYPERLINK("http://www.ncbi.nlm.nih.gov/gene/?term=PTGER3","NCBI")</f>
        <v>NCBI</v>
      </c>
      <c r="F8553">
        <v>0.14000000000000001</v>
      </c>
      <c r="G8553">
        <v>0.28999999999999998</v>
      </c>
      <c r="H8553" s="1" t="str">
        <f>HYPERLINK("http://www.weizmann.ac.il/complex/compphys/software/geview/data/figures/210374_x_at.png","Figure")</f>
        <v>Figure</v>
      </c>
      <c r="I8553">
        <v>1.05</v>
      </c>
      <c r="J8553">
        <v>0.16</v>
      </c>
      <c r="K8553">
        <v>1.04</v>
      </c>
      <c r="L8553">
        <v>0.24</v>
      </c>
      <c r="M8553">
        <v>0.98799999999999999</v>
      </c>
      <c r="N8553">
        <v>0.87</v>
      </c>
    </row>
    <row r="8554" spans="1:14" x14ac:dyDescent="0.25">
      <c r="A8554" t="s">
        <v>15096</v>
      </c>
      <c r="B8554" t="s">
        <v>15097</v>
      </c>
      <c r="C8554" s="1" t="str">
        <f>HYPERLINK("http://www.genecards.org/cgi-bin/carddisp.pl?gene=KRT85","GeneCards")</f>
        <v>GeneCards</v>
      </c>
      <c r="D8554" s="1" t="str">
        <f>HYPERLINK("http://genome-euro.ucsc.edu/cgi-bin/hgTracks?position=207670_at","UCSC")</f>
        <v>UCSC</v>
      </c>
      <c r="E8554" s="1" t="str">
        <f>HYPERLINK("http://www.ncbi.nlm.nih.gov/gene/?term=KRT85","NCBI")</f>
        <v>NCBI</v>
      </c>
      <c r="F8554">
        <v>0.14000000000000001</v>
      </c>
      <c r="G8554">
        <v>0.28999999999999998</v>
      </c>
      <c r="H8554" s="1" t="str">
        <f>HYPERLINK("http://www.weizmann.ac.il/complex/compphys/software/geview/data/figures/207670_at.png","Figure")</f>
        <v>Figure</v>
      </c>
      <c r="I8554">
        <v>1.17</v>
      </c>
      <c r="J8554">
        <v>0.16</v>
      </c>
      <c r="K8554">
        <v>1.02</v>
      </c>
      <c r="L8554">
        <v>0.95</v>
      </c>
      <c r="M8554">
        <v>0.87</v>
      </c>
      <c r="N8554">
        <v>0.2</v>
      </c>
    </row>
    <row r="8555" spans="1:14" x14ac:dyDescent="0.25">
      <c r="A8555" t="s">
        <v>15098</v>
      </c>
      <c r="B8555" t="s">
        <v>15099</v>
      </c>
      <c r="C8555" s="1" t="str">
        <f>HYPERLINK("http://www.genecards.org/cgi-bin/carddisp.pl?gene=RECQL","GeneCards")</f>
        <v>GeneCards</v>
      </c>
      <c r="D8555" s="1" t="str">
        <f>HYPERLINK("http://genome-euro.ucsc.edu/cgi-bin/hgTracks?position=212917_x_at","UCSC")</f>
        <v>UCSC</v>
      </c>
      <c r="E8555" s="1" t="str">
        <f>HYPERLINK("http://www.ncbi.nlm.nih.gov/gene/?term=RECQL","NCBI")</f>
        <v>NCBI</v>
      </c>
      <c r="F8555">
        <v>0.14000000000000001</v>
      </c>
      <c r="G8555">
        <v>0.28999999999999998</v>
      </c>
      <c r="H8555" s="1" t="str">
        <f>HYPERLINK("http://www.weizmann.ac.il/complex/compphys/software/geview/data/figures/212917_x_at.png","Figure")</f>
        <v>Figure</v>
      </c>
      <c r="I8555">
        <v>0.55300000000000005</v>
      </c>
      <c r="J8555">
        <v>0.14000000000000001</v>
      </c>
      <c r="K8555">
        <v>0.68200000000000005</v>
      </c>
      <c r="L8555">
        <v>0.31</v>
      </c>
      <c r="M8555">
        <v>1.23</v>
      </c>
      <c r="N8555">
        <v>0.72</v>
      </c>
    </row>
    <row r="8556" spans="1:14" x14ac:dyDescent="0.25">
      <c r="A8556" t="s">
        <v>15100</v>
      </c>
      <c r="B8556" t="s">
        <v>13243</v>
      </c>
      <c r="C8556" s="1" t="str">
        <f>HYPERLINK("http://www.genecards.org/cgi-bin/carddisp.pl?gene=SULT1A2","GeneCards")</f>
        <v>GeneCards</v>
      </c>
      <c r="D8556" s="1" t="str">
        <f>HYPERLINK("http://genome-euro.ucsc.edu/cgi-bin/hgTracks?position=211385_x_at","UCSC")</f>
        <v>UCSC</v>
      </c>
      <c r="E8556" s="1" t="str">
        <f>HYPERLINK("http://www.ncbi.nlm.nih.gov/gene/?term=SULT1A2","NCBI")</f>
        <v>NCBI</v>
      </c>
      <c r="F8556">
        <v>0.14000000000000001</v>
      </c>
      <c r="G8556">
        <v>0.28999999999999998</v>
      </c>
      <c r="H8556" s="1" t="str">
        <f>HYPERLINK("http://www.weizmann.ac.il/complex/compphys/software/geview/data/figures/211385_x_at.png","Figure")</f>
        <v>Figure</v>
      </c>
      <c r="I8556">
        <v>1.29</v>
      </c>
      <c r="J8556">
        <v>0.14000000000000001</v>
      </c>
      <c r="K8556">
        <v>1.06</v>
      </c>
      <c r="L8556">
        <v>0.86</v>
      </c>
      <c r="M8556">
        <v>0.82099999999999995</v>
      </c>
      <c r="N8556">
        <v>0.25</v>
      </c>
    </row>
    <row r="8557" spans="1:14" x14ac:dyDescent="0.25">
      <c r="A8557" t="s">
        <v>15101</v>
      </c>
      <c r="B8557" t="s">
        <v>11291</v>
      </c>
      <c r="C8557" s="1" t="str">
        <f>HYPERLINK("http://www.genecards.org/cgi-bin/carddisp.pl?gene=PNPLA4","GeneCards")</f>
        <v>GeneCards</v>
      </c>
      <c r="D8557" s="1" t="str">
        <f>HYPERLINK("http://genome-euro.ucsc.edu/cgi-bin/hgTracks?position=209739_s_at","UCSC")</f>
        <v>UCSC</v>
      </c>
      <c r="E8557" s="1" t="str">
        <f>HYPERLINK("http://www.ncbi.nlm.nih.gov/gene/?term=PNPLA4","NCBI")</f>
        <v>NCBI</v>
      </c>
      <c r="F8557">
        <v>0.14000000000000001</v>
      </c>
      <c r="G8557">
        <v>0.28999999999999998</v>
      </c>
      <c r="H8557" s="1" t="str">
        <f>HYPERLINK("http://www.weizmann.ac.il/complex/compphys/software/geview/data/figures/209739_s_at.png","Figure")</f>
        <v>Figure</v>
      </c>
      <c r="I8557">
        <v>1.06</v>
      </c>
      <c r="J8557">
        <v>0.79</v>
      </c>
      <c r="K8557">
        <v>1.18</v>
      </c>
      <c r="L8557">
        <v>0.13</v>
      </c>
      <c r="M8557">
        <v>1.1100000000000001</v>
      </c>
      <c r="N8557">
        <v>0.46</v>
      </c>
    </row>
    <row r="8558" spans="1:14" x14ac:dyDescent="0.25">
      <c r="A8558" t="s">
        <v>15102</v>
      </c>
      <c r="B8558" t="s">
        <v>15103</v>
      </c>
      <c r="C8558" s="1" t="str">
        <f>HYPERLINK("http://www.genecards.org/cgi-bin/carddisp.pl?gene=KIRREL","GeneCards")</f>
        <v>GeneCards</v>
      </c>
      <c r="D8558" s="1" t="str">
        <f>HYPERLINK("http://genome-euro.ucsc.edu/cgi-bin/hgTracks?position=220825_s_at","UCSC")</f>
        <v>UCSC</v>
      </c>
      <c r="E8558" s="1" t="str">
        <f>HYPERLINK("http://www.ncbi.nlm.nih.gov/gene/?term=KIRREL","NCBI")</f>
        <v>NCBI</v>
      </c>
      <c r="F8558">
        <v>0.14000000000000001</v>
      </c>
      <c r="G8558">
        <v>0.28999999999999998</v>
      </c>
      <c r="H8558" s="1" t="str">
        <f>HYPERLINK("http://www.weizmann.ac.il/complex/compphys/software/geview/data/figures/220825_s_at.png","Figure")</f>
        <v>Figure</v>
      </c>
      <c r="I8558">
        <v>1.1100000000000001</v>
      </c>
      <c r="J8558">
        <v>0.14000000000000001</v>
      </c>
      <c r="K8558">
        <v>1.03</v>
      </c>
      <c r="L8558">
        <v>0.83</v>
      </c>
      <c r="M8558">
        <v>0.92400000000000004</v>
      </c>
      <c r="N8558">
        <v>0.26</v>
      </c>
    </row>
    <row r="8559" spans="1:14" x14ac:dyDescent="0.25">
      <c r="A8559" t="s">
        <v>15104</v>
      </c>
      <c r="B8559" t="s">
        <v>7096</v>
      </c>
      <c r="C8559" s="1" t="str">
        <f>HYPERLINK("http://www.genecards.org/cgi-bin/carddisp.pl?gene=FZR1","GeneCards")</f>
        <v>GeneCards</v>
      </c>
      <c r="D8559" s="1" t="str">
        <f>HYPERLINK("http://genome-euro.ucsc.edu/cgi-bin/hgTracks?position=209414_at","UCSC")</f>
        <v>UCSC</v>
      </c>
      <c r="E8559" s="1" t="str">
        <f>HYPERLINK("http://www.ncbi.nlm.nih.gov/gene/?term=FZR1","NCBI")</f>
        <v>NCBI</v>
      </c>
      <c r="F8559">
        <v>0.14000000000000001</v>
      </c>
      <c r="G8559">
        <v>0.28999999999999998</v>
      </c>
      <c r="H8559" s="1" t="str">
        <f>HYPERLINK("http://www.weizmann.ac.il/complex/compphys/software/geview/data/figures/209414_at.png","Figure")</f>
        <v>Figure</v>
      </c>
      <c r="I8559">
        <v>1.22</v>
      </c>
      <c r="J8559">
        <v>0.19</v>
      </c>
      <c r="K8559">
        <v>1.01</v>
      </c>
      <c r="L8559">
        <v>1</v>
      </c>
      <c r="M8559">
        <v>0.82299999999999995</v>
      </c>
      <c r="N8559">
        <v>0.17</v>
      </c>
    </row>
    <row r="8560" spans="1:14" x14ac:dyDescent="0.25">
      <c r="A8560" t="s">
        <v>15105</v>
      </c>
      <c r="B8560" t="s">
        <v>15106</v>
      </c>
      <c r="C8560" s="1" t="str">
        <f>HYPERLINK("http://www.genecards.org/cgi-bin/carddisp.pl?gene=DCAF8","GeneCards")</f>
        <v>GeneCards</v>
      </c>
      <c r="D8560" s="1" t="str">
        <f>HYPERLINK("http://genome-euro.ucsc.edu/cgi-bin/hgTracks?position=216885_s_at","UCSC")</f>
        <v>UCSC</v>
      </c>
      <c r="E8560" s="1" t="str">
        <f>HYPERLINK("http://www.ncbi.nlm.nih.gov/gene/?term=DCAF8","NCBI")</f>
        <v>NCBI</v>
      </c>
      <c r="F8560">
        <v>0.14000000000000001</v>
      </c>
      <c r="G8560">
        <v>0.28999999999999998</v>
      </c>
      <c r="H8560" s="1" t="str">
        <f>HYPERLINK("http://www.weizmann.ac.il/complex/compphys/software/geview/data/figures/216885_s_at.png","Figure")</f>
        <v>Figure</v>
      </c>
      <c r="I8560">
        <v>1.18</v>
      </c>
      <c r="J8560">
        <v>0.13</v>
      </c>
      <c r="K8560">
        <v>1.05</v>
      </c>
      <c r="L8560">
        <v>0.74</v>
      </c>
      <c r="M8560">
        <v>0.89</v>
      </c>
      <c r="N8560">
        <v>0.3</v>
      </c>
    </row>
    <row r="8561" spans="1:14" x14ac:dyDescent="0.25">
      <c r="A8561" t="s">
        <v>15107</v>
      </c>
      <c r="B8561" t="s">
        <v>8079</v>
      </c>
      <c r="C8561" s="1" t="str">
        <f>HYPERLINK("http://www.genecards.org/cgi-bin/carddisp.pl?gene=UBE2N","GeneCards")</f>
        <v>GeneCards</v>
      </c>
      <c r="D8561" s="1" t="str">
        <f>HYPERLINK("http://genome-euro.ucsc.edu/cgi-bin/hgTracks?position=201524_x_at","UCSC")</f>
        <v>UCSC</v>
      </c>
      <c r="E8561" s="1" t="str">
        <f>HYPERLINK("http://www.ncbi.nlm.nih.gov/gene/?term=UBE2N","NCBI")</f>
        <v>NCBI</v>
      </c>
      <c r="F8561">
        <v>0.14000000000000001</v>
      </c>
      <c r="G8561">
        <v>0.28999999999999998</v>
      </c>
      <c r="H8561" s="1" t="str">
        <f>HYPERLINK("http://www.weizmann.ac.il/complex/compphys/software/geview/data/figures/201524_x_at.png","Figure")</f>
        <v>Figure</v>
      </c>
      <c r="I8561">
        <v>1.28</v>
      </c>
      <c r="J8561">
        <v>0.13</v>
      </c>
      <c r="K8561">
        <v>1.08</v>
      </c>
      <c r="L8561">
        <v>0.75</v>
      </c>
      <c r="M8561">
        <v>0.84399999999999997</v>
      </c>
      <c r="N8561">
        <v>0.3</v>
      </c>
    </row>
    <row r="8562" spans="1:14" x14ac:dyDescent="0.25">
      <c r="A8562" t="s">
        <v>15108</v>
      </c>
      <c r="B8562" t="s">
        <v>15109</v>
      </c>
      <c r="C8562" s="1" t="str">
        <f>HYPERLINK("http://www.genecards.org/cgi-bin/carddisp.pl?gene=TSG101","GeneCards")</f>
        <v>GeneCards</v>
      </c>
      <c r="D8562" s="1" t="str">
        <f>HYPERLINK("http://genome-euro.ucsc.edu/cgi-bin/hgTracks?position=201758_at","UCSC")</f>
        <v>UCSC</v>
      </c>
      <c r="E8562" s="1" t="str">
        <f>HYPERLINK("http://www.ncbi.nlm.nih.gov/gene/?term=TSG101","NCBI")</f>
        <v>NCBI</v>
      </c>
      <c r="F8562">
        <v>0.14000000000000001</v>
      </c>
      <c r="G8562">
        <v>0.28999999999999998</v>
      </c>
      <c r="H8562" s="1" t="str">
        <f>HYPERLINK("http://www.weizmann.ac.il/complex/compphys/software/geview/data/figures/201758_at.png","Figure")</f>
        <v>Figure</v>
      </c>
      <c r="I8562">
        <v>1.25</v>
      </c>
      <c r="J8562">
        <v>0.45</v>
      </c>
      <c r="K8562">
        <v>0.875</v>
      </c>
      <c r="L8562">
        <v>0.68</v>
      </c>
      <c r="M8562">
        <v>0.69899999999999995</v>
      </c>
      <c r="N8562">
        <v>0.12</v>
      </c>
    </row>
    <row r="8563" spans="1:14" x14ac:dyDescent="0.25">
      <c r="A8563" t="s">
        <v>15110</v>
      </c>
      <c r="B8563" t="s">
        <v>15111</v>
      </c>
      <c r="C8563" s="1" t="str">
        <f>HYPERLINK("http://www.genecards.org/cgi-bin/carddisp.pl?gene=IL19","GeneCards")</f>
        <v>GeneCards</v>
      </c>
      <c r="D8563" s="1" t="str">
        <f>HYPERLINK("http://genome-euro.ucsc.edu/cgi-bin/hgTracks?position=220745_at","UCSC")</f>
        <v>UCSC</v>
      </c>
      <c r="E8563" s="1" t="str">
        <f>HYPERLINK("http://www.ncbi.nlm.nih.gov/gene/?term=IL19","NCBI")</f>
        <v>NCBI</v>
      </c>
      <c r="F8563">
        <v>0.14000000000000001</v>
      </c>
      <c r="G8563">
        <v>0.28999999999999998</v>
      </c>
      <c r="H8563" s="1" t="str">
        <f>HYPERLINK("http://www.weizmann.ac.il/complex/compphys/software/geview/data/figures/220745_at.png","Figure")</f>
        <v>Figure</v>
      </c>
      <c r="I8563">
        <v>1.25</v>
      </c>
      <c r="J8563">
        <v>0.12</v>
      </c>
      <c r="K8563">
        <v>1.0900000000000001</v>
      </c>
      <c r="L8563">
        <v>0.61</v>
      </c>
      <c r="M8563">
        <v>0.874</v>
      </c>
      <c r="N8563">
        <v>0.39</v>
      </c>
    </row>
    <row r="8564" spans="1:14" x14ac:dyDescent="0.25">
      <c r="A8564" t="s">
        <v>15112</v>
      </c>
      <c r="B8564" t="s">
        <v>15113</v>
      </c>
      <c r="C8564" s="1" t="str">
        <f>HYPERLINK("http://www.genecards.org/cgi-bin/carddisp.pl?gene=CD55","GeneCards")</f>
        <v>GeneCards</v>
      </c>
      <c r="D8564" s="1" t="str">
        <f>HYPERLINK("http://genome-euro.ucsc.edu/cgi-bin/hgTracks?position=201925_s_at","UCSC")</f>
        <v>UCSC</v>
      </c>
      <c r="E8564" s="1" t="str">
        <f>HYPERLINK("http://www.ncbi.nlm.nih.gov/gene/?term=CD55","NCBI")</f>
        <v>NCBI</v>
      </c>
      <c r="F8564">
        <v>0.14000000000000001</v>
      </c>
      <c r="G8564">
        <v>0.28999999999999998</v>
      </c>
      <c r="H8564" s="1" t="str">
        <f>HYPERLINK("http://www.weizmann.ac.il/complex/compphys/software/geview/data/figures/201925_s_at.png","Figure")</f>
        <v>Figure</v>
      </c>
      <c r="I8564">
        <v>0.47499999999999998</v>
      </c>
      <c r="J8564">
        <v>0.39</v>
      </c>
      <c r="K8564">
        <v>0.37</v>
      </c>
      <c r="L8564">
        <v>0.13</v>
      </c>
      <c r="M8564">
        <v>0.77800000000000002</v>
      </c>
      <c r="N8564">
        <v>0.88</v>
      </c>
    </row>
    <row r="8565" spans="1:14" x14ac:dyDescent="0.25">
      <c r="A8565" t="s">
        <v>15114</v>
      </c>
      <c r="B8565" t="s">
        <v>15115</v>
      </c>
      <c r="C8565" s="1" t="str">
        <f>HYPERLINK("http://www.genecards.org/cgi-bin/carddisp.pl?gene=TRMT2A","GeneCards")</f>
        <v>GeneCards</v>
      </c>
      <c r="D8565" s="1" t="str">
        <f>HYPERLINK("http://genome-euro.ucsc.edu/cgi-bin/hgTracks?position=218475_at","UCSC")</f>
        <v>UCSC</v>
      </c>
      <c r="E8565" s="1" t="str">
        <f>HYPERLINK("http://www.ncbi.nlm.nih.gov/gene/?term=TRMT2A","NCBI")</f>
        <v>NCBI</v>
      </c>
      <c r="F8565">
        <v>0.14000000000000001</v>
      </c>
      <c r="G8565">
        <v>0.28999999999999998</v>
      </c>
      <c r="H8565" s="1" t="str">
        <f>HYPERLINK("http://www.weizmann.ac.il/complex/compphys/software/geview/data/figures/218475_at.png","Figure")</f>
        <v>Figure</v>
      </c>
      <c r="I8565">
        <v>1.1499999999999999</v>
      </c>
      <c r="J8565">
        <v>0.33</v>
      </c>
      <c r="K8565">
        <v>1.19</v>
      </c>
      <c r="L8565">
        <v>0.14000000000000001</v>
      </c>
      <c r="M8565">
        <v>1.03</v>
      </c>
      <c r="N8565">
        <v>0.94</v>
      </c>
    </row>
    <row r="8566" spans="1:14" x14ac:dyDescent="0.25">
      <c r="A8566" t="s">
        <v>15116</v>
      </c>
      <c r="B8566" t="s">
        <v>9465</v>
      </c>
      <c r="C8566" s="1" t="str">
        <f>HYPERLINK("http://www.genecards.org/cgi-bin/carddisp.pl?gene=POLR1C","GeneCards")</f>
        <v>GeneCards</v>
      </c>
      <c r="D8566" s="1" t="str">
        <f>HYPERLINK("http://genome-euro.ucsc.edu/cgi-bin/hgTracks?position=207515_s_at","UCSC")</f>
        <v>UCSC</v>
      </c>
      <c r="E8566" s="1" t="str">
        <f>HYPERLINK("http://www.ncbi.nlm.nih.gov/gene/?term=POLR1C","NCBI")</f>
        <v>NCBI</v>
      </c>
      <c r="F8566">
        <v>0.14000000000000001</v>
      </c>
      <c r="G8566">
        <v>0.28999999999999998</v>
      </c>
      <c r="H8566" s="1" t="str">
        <f>HYPERLINK("http://www.weizmann.ac.il/complex/compphys/software/geview/data/figures/207515_s_at.png","Figure")</f>
        <v>Figure</v>
      </c>
      <c r="I8566">
        <v>1.2</v>
      </c>
      <c r="J8566">
        <v>0.37</v>
      </c>
      <c r="K8566">
        <v>0.92600000000000005</v>
      </c>
      <c r="L8566">
        <v>0.78</v>
      </c>
      <c r="M8566">
        <v>0.77300000000000002</v>
      </c>
      <c r="N8566">
        <v>0.13</v>
      </c>
    </row>
    <row r="8567" spans="1:14" x14ac:dyDescent="0.25">
      <c r="A8567" t="s">
        <v>15117</v>
      </c>
      <c r="B8567" t="s">
        <v>15118</v>
      </c>
      <c r="C8567" s="1" t="str">
        <f>HYPERLINK("http://www.genecards.org/cgi-bin/carddisp.pl?gene=OR7C2","GeneCards")</f>
        <v>GeneCards</v>
      </c>
      <c r="D8567" s="1" t="str">
        <f>HYPERLINK("http://genome-euro.ucsc.edu/cgi-bin/hgTracks?position=208507_at","UCSC")</f>
        <v>UCSC</v>
      </c>
      <c r="E8567" s="1" t="str">
        <f>HYPERLINK("http://www.ncbi.nlm.nih.gov/gene/?term=OR7C2","NCBI")</f>
        <v>NCBI</v>
      </c>
      <c r="F8567">
        <v>0.14000000000000001</v>
      </c>
      <c r="G8567">
        <v>0.28999999999999998</v>
      </c>
      <c r="H8567" s="1" t="str">
        <f>HYPERLINK("http://www.weizmann.ac.il/complex/compphys/software/geview/data/figures/208507_at.png","Figure")</f>
        <v>Figure</v>
      </c>
      <c r="I8567">
        <v>1.1000000000000001</v>
      </c>
      <c r="J8567">
        <v>0.56000000000000005</v>
      </c>
      <c r="K8567">
        <v>0.92200000000000004</v>
      </c>
      <c r="L8567">
        <v>0.56000000000000005</v>
      </c>
      <c r="M8567">
        <v>0.84</v>
      </c>
      <c r="N8567">
        <v>0.13</v>
      </c>
    </row>
    <row r="8568" spans="1:14" x14ac:dyDescent="0.25">
      <c r="A8568" t="s">
        <v>15119</v>
      </c>
      <c r="B8568" t="s">
        <v>15120</v>
      </c>
      <c r="C8568" s="1" t="str">
        <f>HYPERLINK("http://www.genecards.org/cgi-bin/carddisp.pl?gene=RAB3GAP1","GeneCards")</f>
        <v>GeneCards</v>
      </c>
      <c r="D8568" s="1" t="str">
        <f>HYPERLINK("http://genome-euro.ucsc.edu/cgi-bin/hgTracks?position=213530_at","UCSC")</f>
        <v>UCSC</v>
      </c>
      <c r="E8568" s="1" t="str">
        <f>HYPERLINK("http://www.ncbi.nlm.nih.gov/gene/?term=RAB3GAP1","NCBI")</f>
        <v>NCBI</v>
      </c>
      <c r="F8568">
        <v>0.14000000000000001</v>
      </c>
      <c r="G8568">
        <v>0.28999999999999998</v>
      </c>
      <c r="H8568" s="1" t="str">
        <f>HYPERLINK("http://www.weizmann.ac.il/complex/compphys/software/geview/data/figures/213530_at.png","Figure")</f>
        <v>Figure</v>
      </c>
      <c r="I8568">
        <v>0.76900000000000002</v>
      </c>
      <c r="J8568">
        <v>0.15</v>
      </c>
      <c r="K8568">
        <v>0.95399999999999996</v>
      </c>
      <c r="L8568">
        <v>0.91</v>
      </c>
      <c r="M8568">
        <v>1.24</v>
      </c>
      <c r="N8568">
        <v>0.22</v>
      </c>
    </row>
    <row r="8569" spans="1:14" x14ac:dyDescent="0.25">
      <c r="A8569" t="s">
        <v>15121</v>
      </c>
      <c r="B8569" t="s">
        <v>15122</v>
      </c>
      <c r="C8569" s="1" t="str">
        <f>HYPERLINK("http://www.genecards.org/cgi-bin/carddisp.pl?gene=STEAP3","GeneCards")</f>
        <v>GeneCards</v>
      </c>
      <c r="D8569" s="1" t="str">
        <f>HYPERLINK("http://genome-euro.ucsc.edu/cgi-bin/hgTracks?position=218424_s_at","UCSC")</f>
        <v>UCSC</v>
      </c>
      <c r="E8569" s="1" t="str">
        <f>HYPERLINK("http://www.ncbi.nlm.nih.gov/gene/?term=STEAP3","NCBI")</f>
        <v>NCBI</v>
      </c>
      <c r="F8569">
        <v>0.14000000000000001</v>
      </c>
      <c r="G8569">
        <v>0.28999999999999998</v>
      </c>
      <c r="H8569" s="1" t="str">
        <f>HYPERLINK("http://www.weizmann.ac.il/complex/compphys/software/geview/data/figures/218424_s_at.png","Figure")</f>
        <v>Figure</v>
      </c>
      <c r="I8569">
        <v>1.19</v>
      </c>
      <c r="J8569">
        <v>0.15</v>
      </c>
      <c r="K8569">
        <v>1.04</v>
      </c>
      <c r="L8569">
        <v>0.88</v>
      </c>
      <c r="M8569">
        <v>0.86799999999999999</v>
      </c>
      <c r="N8569">
        <v>0.24</v>
      </c>
    </row>
    <row r="8570" spans="1:14" x14ac:dyDescent="0.25">
      <c r="A8570" t="s">
        <v>15123</v>
      </c>
      <c r="B8570" t="s">
        <v>15124</v>
      </c>
      <c r="C8570" s="1" t="str">
        <f>HYPERLINK("http://www.genecards.org/cgi-bin/carddisp.pl?gene=SIGMAR1","GeneCards")</f>
        <v>GeneCards</v>
      </c>
      <c r="D8570" s="1" t="str">
        <f>HYPERLINK("http://genome-euro.ucsc.edu/cgi-bin/hgTracks?position=201692_at","UCSC")</f>
        <v>UCSC</v>
      </c>
      <c r="E8570" s="1" t="str">
        <f>HYPERLINK("http://www.ncbi.nlm.nih.gov/gene/?term=SIGMAR1","NCBI")</f>
        <v>NCBI</v>
      </c>
      <c r="F8570">
        <v>0.14000000000000001</v>
      </c>
      <c r="G8570">
        <v>0.28999999999999998</v>
      </c>
      <c r="H8570" s="1" t="str">
        <f>HYPERLINK("http://www.weizmann.ac.il/complex/compphys/software/geview/data/figures/201692_at.png","Figure")</f>
        <v>Figure</v>
      </c>
      <c r="I8570">
        <v>1.03</v>
      </c>
      <c r="J8570">
        <v>0.91</v>
      </c>
      <c r="K8570">
        <v>1.1599999999999999</v>
      </c>
      <c r="L8570">
        <v>0.15</v>
      </c>
      <c r="M8570">
        <v>1.1200000000000001</v>
      </c>
      <c r="N8570">
        <v>0.35</v>
      </c>
    </row>
    <row r="8571" spans="1:14" x14ac:dyDescent="0.25">
      <c r="A8571" t="s">
        <v>15125</v>
      </c>
      <c r="B8571" t="s">
        <v>7384</v>
      </c>
      <c r="C8571" s="1" t="str">
        <f>HYPERLINK("http://www.genecards.org/cgi-bin/carddisp.pl?gene=MMP14","GeneCards")</f>
        <v>GeneCards</v>
      </c>
      <c r="D8571" s="1" t="str">
        <f>HYPERLINK("http://genome-euro.ucsc.edu/cgi-bin/hgTracks?position=202827_s_at","UCSC")</f>
        <v>UCSC</v>
      </c>
      <c r="E8571" s="1" t="str">
        <f>HYPERLINK("http://www.ncbi.nlm.nih.gov/gene/?term=MMP14","NCBI")</f>
        <v>NCBI</v>
      </c>
      <c r="F8571">
        <v>0.14000000000000001</v>
      </c>
      <c r="G8571">
        <v>0.28999999999999998</v>
      </c>
      <c r="H8571" s="1" t="str">
        <f>HYPERLINK("http://www.weizmann.ac.il/complex/compphys/software/geview/data/figures/202827_s_at.png","Figure")</f>
        <v>Figure</v>
      </c>
      <c r="I8571">
        <v>1.31</v>
      </c>
      <c r="J8571">
        <v>0.15</v>
      </c>
      <c r="K8571">
        <v>1.21</v>
      </c>
      <c r="L8571">
        <v>0.28000000000000003</v>
      </c>
      <c r="M8571">
        <v>0.92</v>
      </c>
      <c r="N8571">
        <v>0.79</v>
      </c>
    </row>
    <row r="8572" spans="1:14" x14ac:dyDescent="0.25">
      <c r="A8572" t="s">
        <v>15126</v>
      </c>
      <c r="B8572" t="s">
        <v>15127</v>
      </c>
      <c r="C8572" s="1" t="str">
        <f>HYPERLINK("http://www.genecards.org/cgi-bin/carddisp.pl?gene=CEBPG","GeneCards")</f>
        <v>GeneCards</v>
      </c>
      <c r="D8572" s="1" t="str">
        <f>HYPERLINK("http://genome-euro.ucsc.edu/cgi-bin/hgTracks?position=204203_at","UCSC")</f>
        <v>UCSC</v>
      </c>
      <c r="E8572" s="1" t="str">
        <f>HYPERLINK("http://www.ncbi.nlm.nih.gov/gene/?term=CEBPG","NCBI")</f>
        <v>NCBI</v>
      </c>
      <c r="F8572">
        <v>0.14000000000000001</v>
      </c>
      <c r="G8572">
        <v>0.28999999999999998</v>
      </c>
      <c r="H8572" s="1" t="str">
        <f>HYPERLINK("http://www.weizmann.ac.il/complex/compphys/software/geview/data/figures/204203_at.png","Figure")</f>
        <v>Figure</v>
      </c>
      <c r="I8572">
        <v>0.73299999999999998</v>
      </c>
      <c r="J8572">
        <v>0.38</v>
      </c>
      <c r="K8572">
        <v>0.66500000000000004</v>
      </c>
      <c r="L8572">
        <v>0.13</v>
      </c>
      <c r="M8572">
        <v>0.90700000000000003</v>
      </c>
      <c r="N8572">
        <v>0.89</v>
      </c>
    </row>
    <row r="8573" spans="1:14" x14ac:dyDescent="0.25">
      <c r="A8573" t="s">
        <v>15128</v>
      </c>
      <c r="B8573" t="s">
        <v>15129</v>
      </c>
      <c r="C8573" s="1" t="str">
        <f>HYPERLINK("http://www.genecards.org/cgi-bin/carddisp.pl?gene=ECM2","GeneCards")</f>
        <v>GeneCards</v>
      </c>
      <c r="D8573" s="1" t="str">
        <f>HYPERLINK("http://genome-euro.ucsc.edu/cgi-bin/hgTracks?position=206101_at","UCSC")</f>
        <v>UCSC</v>
      </c>
      <c r="E8573" s="1" t="str">
        <f>HYPERLINK("http://www.ncbi.nlm.nih.gov/gene/?term=ECM2","NCBI")</f>
        <v>NCBI</v>
      </c>
      <c r="F8573">
        <v>0.14000000000000001</v>
      </c>
      <c r="G8573">
        <v>0.28999999999999998</v>
      </c>
      <c r="H8573" s="1" t="str">
        <f>HYPERLINK("http://www.weizmann.ac.il/complex/compphys/software/geview/data/figures/206101_at.png","Figure")</f>
        <v>Figure</v>
      </c>
      <c r="I8573">
        <v>0.57699999999999996</v>
      </c>
      <c r="J8573">
        <v>0.2</v>
      </c>
      <c r="K8573">
        <v>1</v>
      </c>
      <c r="L8573">
        <v>1</v>
      </c>
      <c r="M8573">
        <v>1.73</v>
      </c>
      <c r="N8573">
        <v>0.16</v>
      </c>
    </row>
    <row r="8574" spans="1:14" x14ac:dyDescent="0.25">
      <c r="A8574" t="s">
        <v>15130</v>
      </c>
      <c r="B8574" t="s">
        <v>9474</v>
      </c>
      <c r="C8574" s="1" t="str">
        <f>HYPERLINK("http://www.genecards.org/cgi-bin/carddisp.pl?gene=ADAM22","GeneCards")</f>
        <v>GeneCards</v>
      </c>
      <c r="D8574" s="1" t="str">
        <f>HYPERLINK("http://genome-euro.ucsc.edu/cgi-bin/hgTracks?position=208226_x_at","UCSC")</f>
        <v>UCSC</v>
      </c>
      <c r="E8574" s="1" t="str">
        <f>HYPERLINK("http://www.ncbi.nlm.nih.gov/gene/?term=ADAM22","NCBI")</f>
        <v>NCBI</v>
      </c>
      <c r="F8574">
        <v>0.14000000000000001</v>
      </c>
      <c r="G8574">
        <v>0.28999999999999998</v>
      </c>
      <c r="H8574" s="1" t="str">
        <f>HYPERLINK("http://www.weizmann.ac.il/complex/compphys/software/geview/data/figures/208226_x_at.png","Figure")</f>
        <v>Figure</v>
      </c>
      <c r="I8574">
        <v>1.1599999999999999</v>
      </c>
      <c r="J8574">
        <v>0.12</v>
      </c>
      <c r="K8574">
        <v>1.07</v>
      </c>
      <c r="L8574">
        <v>0.55000000000000004</v>
      </c>
      <c r="M8574">
        <v>0.92200000000000004</v>
      </c>
      <c r="N8574">
        <v>0.43</v>
      </c>
    </row>
    <row r="8575" spans="1:14" x14ac:dyDescent="0.25">
      <c r="A8575" t="s">
        <v>15131</v>
      </c>
      <c r="B8575" t="s">
        <v>9250</v>
      </c>
      <c r="C8575" s="1" t="str">
        <f>HYPERLINK("http://www.genecards.org/cgi-bin/carddisp.pl?gene=TM2D1","GeneCards")</f>
        <v>GeneCards</v>
      </c>
      <c r="D8575" s="1" t="str">
        <f>HYPERLINK("http://genome-euro.ucsc.edu/cgi-bin/hgTracks?position=212963_at","UCSC")</f>
        <v>UCSC</v>
      </c>
      <c r="E8575" s="1" t="str">
        <f>HYPERLINK("http://www.ncbi.nlm.nih.gov/gene/?term=TM2D1","NCBI")</f>
        <v>NCBI</v>
      </c>
      <c r="F8575">
        <v>0.14000000000000001</v>
      </c>
      <c r="G8575">
        <v>0.28999999999999998</v>
      </c>
      <c r="H8575" s="1" t="str">
        <f>HYPERLINK("http://www.weizmann.ac.il/complex/compphys/software/geview/data/figures/212963_at.png","Figure")</f>
        <v>Figure</v>
      </c>
      <c r="I8575">
        <v>1.07</v>
      </c>
      <c r="J8575">
        <v>0.32</v>
      </c>
      <c r="K8575">
        <v>0.97899999999999998</v>
      </c>
      <c r="L8575">
        <v>0.86</v>
      </c>
      <c r="M8575">
        <v>0.91300000000000003</v>
      </c>
      <c r="N8575">
        <v>0.13</v>
      </c>
    </row>
    <row r="8576" spans="1:14" x14ac:dyDescent="0.25">
      <c r="A8576" t="s">
        <v>15132</v>
      </c>
      <c r="B8576" t="s">
        <v>15133</v>
      </c>
      <c r="C8576" s="1" t="str">
        <f>HYPERLINK("http://www.genecards.org/cgi-bin/carddisp.pl?gene=TICAM1","GeneCards")</f>
        <v>GeneCards</v>
      </c>
      <c r="D8576" s="1" t="str">
        <f>HYPERLINK("http://genome-euro.ucsc.edu/cgi-bin/hgTracks?position=213191_at","UCSC")</f>
        <v>UCSC</v>
      </c>
      <c r="E8576" s="1" t="str">
        <f>HYPERLINK("http://www.ncbi.nlm.nih.gov/gene/?term=TICAM1","NCBI")</f>
        <v>NCBI</v>
      </c>
      <c r="F8576">
        <v>0.14000000000000001</v>
      </c>
      <c r="G8576">
        <v>0.28999999999999998</v>
      </c>
      <c r="H8576" s="1" t="str">
        <f>HYPERLINK("http://www.weizmann.ac.il/complex/compphys/software/geview/data/figures/213191_at.png","Figure")</f>
        <v>Figure</v>
      </c>
      <c r="I8576">
        <v>0.84299999999999997</v>
      </c>
      <c r="J8576">
        <v>0.16</v>
      </c>
      <c r="K8576">
        <v>0.97599999999999998</v>
      </c>
      <c r="L8576">
        <v>0.95</v>
      </c>
      <c r="M8576">
        <v>1.1599999999999999</v>
      </c>
      <c r="N8576">
        <v>0.21</v>
      </c>
    </row>
    <row r="8577" spans="1:14" x14ac:dyDescent="0.25">
      <c r="A8577" t="s">
        <v>15134</v>
      </c>
      <c r="B8577" t="s">
        <v>14190</v>
      </c>
      <c r="C8577" s="1" t="str">
        <f>HYPERLINK("http://www.genecards.org/cgi-bin/carddisp.pl?gene=SERPINB1","GeneCards")</f>
        <v>GeneCards</v>
      </c>
      <c r="D8577" s="1" t="str">
        <f>HYPERLINK("http://genome-euro.ucsc.edu/cgi-bin/hgTracks?position=213572_s_at","UCSC")</f>
        <v>UCSC</v>
      </c>
      <c r="E8577" s="1" t="str">
        <f>HYPERLINK("http://www.ncbi.nlm.nih.gov/gene/?term=SERPINB1","NCBI")</f>
        <v>NCBI</v>
      </c>
      <c r="F8577">
        <v>0.14000000000000001</v>
      </c>
      <c r="G8577">
        <v>0.28999999999999998</v>
      </c>
      <c r="H8577" s="1" t="str">
        <f>HYPERLINK("http://www.weizmann.ac.il/complex/compphys/software/geview/data/figures/213572_s_at.png","Figure")</f>
        <v>Figure</v>
      </c>
      <c r="I8577">
        <v>0.56000000000000005</v>
      </c>
      <c r="J8577">
        <v>0.19</v>
      </c>
      <c r="K8577">
        <v>0.97599999999999998</v>
      </c>
      <c r="L8577">
        <v>1</v>
      </c>
      <c r="M8577">
        <v>1.74</v>
      </c>
      <c r="N8577">
        <v>0.17</v>
      </c>
    </row>
    <row r="8578" spans="1:14" x14ac:dyDescent="0.25">
      <c r="A8578" t="s">
        <v>15135</v>
      </c>
      <c r="B8578" t="s">
        <v>15136</v>
      </c>
      <c r="C8578" s="1" t="str">
        <f>HYPERLINK("http://www.genecards.org/cgi-bin/carddisp.pl?gene=RNGTT","GeneCards")</f>
        <v>GeneCards</v>
      </c>
      <c r="D8578" s="1" t="str">
        <f>HYPERLINK("http://genome-euro.ucsc.edu/cgi-bin/hgTracks?position=204207_s_at","UCSC")</f>
        <v>UCSC</v>
      </c>
      <c r="E8578" s="1" t="str">
        <f>HYPERLINK("http://www.ncbi.nlm.nih.gov/gene/?term=RNGTT","NCBI")</f>
        <v>NCBI</v>
      </c>
      <c r="F8578">
        <v>0.14000000000000001</v>
      </c>
      <c r="G8578">
        <v>0.28999999999999998</v>
      </c>
      <c r="H8578" s="1" t="str">
        <f>HYPERLINK("http://www.weizmann.ac.il/complex/compphys/software/geview/data/figures/204207_s_at.png","Figure")</f>
        <v>Figure</v>
      </c>
      <c r="I8578">
        <v>0.85899999999999999</v>
      </c>
      <c r="J8578">
        <v>0.41</v>
      </c>
      <c r="K8578">
        <v>0.81</v>
      </c>
      <c r="L8578">
        <v>0.13</v>
      </c>
      <c r="M8578">
        <v>0.94299999999999995</v>
      </c>
      <c r="N8578">
        <v>0.85</v>
      </c>
    </row>
    <row r="8579" spans="1:14" x14ac:dyDescent="0.25">
      <c r="A8579" t="s">
        <v>15137</v>
      </c>
      <c r="B8579" t="s">
        <v>15138</v>
      </c>
      <c r="C8579" s="1" t="str">
        <f>HYPERLINK("http://www.genecards.org/cgi-bin/carddisp.pl?gene=LOC729991-MEF2B /// MEF2B","GeneCards")</f>
        <v>GeneCards</v>
      </c>
      <c r="D8579" s="1" t="str">
        <f>HYPERLINK("http://genome-euro.ucsc.edu/cgi-bin/hgTracks?position=205124_at","UCSC")</f>
        <v>UCSC</v>
      </c>
      <c r="E8579" s="1" t="str">
        <f>HYPERLINK("http://www.ncbi.nlm.nih.gov/gene/?term=LOC729991-MEF2B /// MEF2B","NCBI")</f>
        <v>NCBI</v>
      </c>
      <c r="F8579">
        <v>0.14000000000000001</v>
      </c>
      <c r="G8579">
        <v>0.28999999999999998</v>
      </c>
      <c r="H8579" s="1" t="str">
        <f>HYPERLINK("http://www.weizmann.ac.il/complex/compphys/software/geview/data/figures/205124_at.png","Figure")</f>
        <v>Figure</v>
      </c>
      <c r="I8579">
        <v>1.1100000000000001</v>
      </c>
      <c r="J8579">
        <v>0.34</v>
      </c>
      <c r="K8579">
        <v>1.1399999999999999</v>
      </c>
      <c r="L8579">
        <v>0.14000000000000001</v>
      </c>
      <c r="M8579">
        <v>1.03</v>
      </c>
      <c r="N8579">
        <v>0.92</v>
      </c>
    </row>
    <row r="8580" spans="1:14" x14ac:dyDescent="0.25">
      <c r="A8580" t="s">
        <v>15139</v>
      </c>
      <c r="B8580" t="s">
        <v>15140</v>
      </c>
      <c r="C8580" s="1" t="str">
        <f>HYPERLINK("http://www.genecards.org/cgi-bin/carddisp.pl?gene=PMS2 /// PMS2CL","GeneCards")</f>
        <v>GeneCards</v>
      </c>
      <c r="D8580" s="1" t="str">
        <f>HYPERLINK("http://genome-euro.ucsc.edu/cgi-bin/hgTracks?position=209805_at","UCSC")</f>
        <v>UCSC</v>
      </c>
      <c r="E8580" s="1" t="str">
        <f>HYPERLINK("http://www.ncbi.nlm.nih.gov/gene/?term=PMS2 /// PMS2CL","NCBI")</f>
        <v>NCBI</v>
      </c>
      <c r="F8580">
        <v>0.14000000000000001</v>
      </c>
      <c r="G8580">
        <v>0.28999999999999998</v>
      </c>
      <c r="H8580" s="1" t="str">
        <f>HYPERLINK("http://www.weizmann.ac.il/complex/compphys/software/geview/data/figures/209805_at.png","Figure")</f>
        <v>Figure</v>
      </c>
      <c r="I8580">
        <v>0.97499999999999998</v>
      </c>
      <c r="J8580">
        <v>0.98</v>
      </c>
      <c r="K8580">
        <v>0.80400000000000005</v>
      </c>
      <c r="L8580">
        <v>0.17</v>
      </c>
      <c r="M8580">
        <v>0.82399999999999995</v>
      </c>
      <c r="N8580">
        <v>0.28999999999999998</v>
      </c>
    </row>
    <row r="8581" spans="1:14" x14ac:dyDescent="0.25">
      <c r="A8581" t="s">
        <v>15141</v>
      </c>
      <c r="B8581" t="s">
        <v>12532</v>
      </c>
      <c r="C8581" s="1" t="str">
        <f>HYPERLINK("http://www.genecards.org/cgi-bin/carddisp.pl?gene=HFE","GeneCards")</f>
        <v>GeneCards</v>
      </c>
      <c r="D8581" s="1" t="str">
        <f>HYPERLINK("http://genome-euro.ucsc.edu/cgi-bin/hgTracks?position=211866_x_at","UCSC")</f>
        <v>UCSC</v>
      </c>
      <c r="E8581" s="1" t="str">
        <f>HYPERLINK("http://www.ncbi.nlm.nih.gov/gene/?term=HFE","NCBI")</f>
        <v>NCBI</v>
      </c>
      <c r="F8581">
        <v>0.14000000000000001</v>
      </c>
      <c r="G8581">
        <v>0.28999999999999998</v>
      </c>
      <c r="H8581" s="1" t="str">
        <f>HYPERLINK("http://www.weizmann.ac.il/complex/compphys/software/geview/data/figures/211866_x_at.png","Figure")</f>
        <v>Figure</v>
      </c>
      <c r="I8581">
        <v>1.25</v>
      </c>
      <c r="J8581">
        <v>0.22</v>
      </c>
      <c r="K8581">
        <v>0.98699999999999999</v>
      </c>
      <c r="L8581">
        <v>0.99</v>
      </c>
      <c r="M8581">
        <v>0.78800000000000003</v>
      </c>
      <c r="N8581">
        <v>0.15</v>
      </c>
    </row>
    <row r="8582" spans="1:14" x14ac:dyDescent="0.25">
      <c r="A8582" t="s">
        <v>15142</v>
      </c>
      <c r="B8582" t="s">
        <v>15143</v>
      </c>
      <c r="C8582" s="1" t="str">
        <f>HYPERLINK("http://www.genecards.org/cgi-bin/carddisp.pl?gene=CST2","GeneCards")</f>
        <v>GeneCards</v>
      </c>
      <c r="D8582" s="1" t="str">
        <f>HYPERLINK("http://genome-euro.ucsc.edu/cgi-bin/hgTracks?position=208555_x_at","UCSC")</f>
        <v>UCSC</v>
      </c>
      <c r="E8582" s="1" t="str">
        <f>HYPERLINK("http://www.ncbi.nlm.nih.gov/gene/?term=CST2","NCBI")</f>
        <v>NCBI</v>
      </c>
      <c r="F8582">
        <v>0.15</v>
      </c>
      <c r="G8582">
        <v>0.28999999999999998</v>
      </c>
      <c r="H8582" s="1" t="str">
        <f>HYPERLINK("http://www.weizmann.ac.il/complex/compphys/software/geview/data/figures/208555_x_at.png","Figure")</f>
        <v>Figure</v>
      </c>
      <c r="I8582">
        <v>1.1599999999999999</v>
      </c>
      <c r="J8582">
        <v>0.13</v>
      </c>
      <c r="K8582">
        <v>1.05</v>
      </c>
      <c r="L8582">
        <v>0.66</v>
      </c>
      <c r="M8582">
        <v>0.91100000000000003</v>
      </c>
      <c r="N8582">
        <v>0.35</v>
      </c>
    </row>
    <row r="8583" spans="1:14" x14ac:dyDescent="0.25">
      <c r="A8583" t="s">
        <v>15144</v>
      </c>
      <c r="B8583" t="s">
        <v>15145</v>
      </c>
      <c r="C8583" s="1" t="str">
        <f>HYPERLINK("http://www.genecards.org/cgi-bin/carddisp.pl?gene=MBD4","GeneCards")</f>
        <v>GeneCards</v>
      </c>
      <c r="D8583" s="1" t="str">
        <f>HYPERLINK("http://genome-euro.ucsc.edu/cgi-bin/hgTracks?position=209580_s_at","UCSC")</f>
        <v>UCSC</v>
      </c>
      <c r="E8583" s="1" t="str">
        <f>HYPERLINK("http://www.ncbi.nlm.nih.gov/gene/?term=MBD4","NCBI")</f>
        <v>NCBI</v>
      </c>
      <c r="F8583">
        <v>0.15</v>
      </c>
      <c r="G8583">
        <v>0.28999999999999998</v>
      </c>
      <c r="H8583" s="1" t="str">
        <f>HYPERLINK("http://www.weizmann.ac.il/complex/compphys/software/geview/data/figures/209580_s_at.png","Figure")</f>
        <v>Figure</v>
      </c>
      <c r="I8583">
        <v>0.82</v>
      </c>
      <c r="J8583">
        <v>0.51</v>
      </c>
      <c r="K8583">
        <v>1.1599999999999999</v>
      </c>
      <c r="L8583">
        <v>0.62</v>
      </c>
      <c r="M8583">
        <v>1.41</v>
      </c>
      <c r="N8583">
        <v>0.13</v>
      </c>
    </row>
    <row r="8584" spans="1:14" x14ac:dyDescent="0.25">
      <c r="A8584" t="s">
        <v>15146</v>
      </c>
      <c r="B8584" t="s">
        <v>15147</v>
      </c>
      <c r="C8584" s="1" t="str">
        <f>HYPERLINK("http://www.genecards.org/cgi-bin/carddisp.pl?gene=HIRA","GeneCards")</f>
        <v>GeneCards</v>
      </c>
      <c r="D8584" s="1" t="str">
        <f>HYPERLINK("http://genome-euro.ucsc.edu/cgi-bin/hgTracks?position=217427_s_at","UCSC")</f>
        <v>UCSC</v>
      </c>
      <c r="E8584" s="1" t="str">
        <f>HYPERLINK("http://www.ncbi.nlm.nih.gov/gene/?term=HIRA","NCBI")</f>
        <v>NCBI</v>
      </c>
      <c r="F8584">
        <v>0.15</v>
      </c>
      <c r="G8584">
        <v>0.28999999999999998</v>
      </c>
      <c r="H8584" s="1" t="str">
        <f>HYPERLINK("http://www.weizmann.ac.il/complex/compphys/software/geview/data/figures/217427_s_at.png","Figure")</f>
        <v>Figure</v>
      </c>
      <c r="I8584">
        <v>0.59899999999999998</v>
      </c>
      <c r="J8584">
        <v>0.14000000000000001</v>
      </c>
      <c r="K8584">
        <v>0.72299999999999998</v>
      </c>
      <c r="L8584">
        <v>0.33</v>
      </c>
      <c r="M8584">
        <v>1.21</v>
      </c>
      <c r="N8584">
        <v>0.7</v>
      </c>
    </row>
    <row r="8585" spans="1:14" x14ac:dyDescent="0.25">
      <c r="A8585" t="s">
        <v>15148</v>
      </c>
      <c r="B8585" t="s">
        <v>15149</v>
      </c>
      <c r="C8585" s="1" t="str">
        <f>HYPERLINK("http://www.genecards.org/cgi-bin/carddisp.pl?gene=RCBTB2","GeneCards")</f>
        <v>GeneCards</v>
      </c>
      <c r="D8585" s="1" t="str">
        <f>HYPERLINK("http://genome-euro.ucsc.edu/cgi-bin/hgTracks?position=204759_at","UCSC")</f>
        <v>UCSC</v>
      </c>
      <c r="E8585" s="1" t="str">
        <f>HYPERLINK("http://www.ncbi.nlm.nih.gov/gene/?term=RCBTB2","NCBI")</f>
        <v>NCBI</v>
      </c>
      <c r="F8585">
        <v>0.15</v>
      </c>
      <c r="G8585">
        <v>0.28999999999999998</v>
      </c>
      <c r="H8585" s="1" t="str">
        <f>HYPERLINK("http://www.weizmann.ac.il/complex/compphys/software/geview/data/figures/204759_at.png","Figure")</f>
        <v>Figure</v>
      </c>
      <c r="I8585">
        <v>0.60499999999999998</v>
      </c>
      <c r="J8585">
        <v>0.19</v>
      </c>
      <c r="K8585">
        <v>0.65200000000000002</v>
      </c>
      <c r="L8585">
        <v>0.2</v>
      </c>
      <c r="M8585">
        <v>1.08</v>
      </c>
      <c r="N8585">
        <v>0.95</v>
      </c>
    </row>
    <row r="8586" spans="1:14" x14ac:dyDescent="0.25">
      <c r="A8586" t="s">
        <v>15150</v>
      </c>
      <c r="B8586" t="s">
        <v>15151</v>
      </c>
      <c r="C8586" s="1" t="str">
        <f>HYPERLINK("http://www.genecards.org/cgi-bin/carddisp.pl?gene=NCOA2","GeneCards")</f>
        <v>GeneCards</v>
      </c>
      <c r="D8586" s="1" t="str">
        <f>HYPERLINK("http://genome-euro.ucsc.edu/cgi-bin/hgTracks?position=205731_s_at","UCSC")</f>
        <v>UCSC</v>
      </c>
      <c r="E8586" s="1" t="str">
        <f>HYPERLINK("http://www.ncbi.nlm.nih.gov/gene/?term=NCOA2","NCBI")</f>
        <v>NCBI</v>
      </c>
      <c r="F8586">
        <v>0.15</v>
      </c>
      <c r="G8586">
        <v>0.28999999999999998</v>
      </c>
      <c r="H8586" s="1" t="str">
        <f>HYPERLINK("http://www.weizmann.ac.il/complex/compphys/software/geview/data/figures/205731_s_at.png","Figure")</f>
        <v>Figure</v>
      </c>
      <c r="I8586">
        <v>0.91300000000000003</v>
      </c>
      <c r="J8586">
        <v>0.2</v>
      </c>
      <c r="K8586">
        <v>0.999</v>
      </c>
      <c r="L8586">
        <v>1</v>
      </c>
      <c r="M8586">
        <v>1.0900000000000001</v>
      </c>
      <c r="N8586">
        <v>0.17</v>
      </c>
    </row>
    <row r="8587" spans="1:14" x14ac:dyDescent="0.25">
      <c r="A8587" t="s">
        <v>15152</v>
      </c>
      <c r="B8587" t="s">
        <v>15153</v>
      </c>
      <c r="C8587" s="1" t="str">
        <f>HYPERLINK("http://www.genecards.org/cgi-bin/carddisp.pl?gene=NIP7","GeneCards")</f>
        <v>GeneCards</v>
      </c>
      <c r="D8587" s="1" t="str">
        <f>HYPERLINK("http://genome-euro.ucsc.edu/cgi-bin/hgTracks?position=219031_s_at","UCSC")</f>
        <v>UCSC</v>
      </c>
      <c r="E8587" s="1" t="str">
        <f>HYPERLINK("http://www.ncbi.nlm.nih.gov/gene/?term=NIP7","NCBI")</f>
        <v>NCBI</v>
      </c>
      <c r="F8587">
        <v>0.15</v>
      </c>
      <c r="G8587">
        <v>0.28999999999999998</v>
      </c>
      <c r="H8587" s="1" t="str">
        <f>HYPERLINK("http://www.weizmann.ac.il/complex/compphys/software/geview/data/figures/219031_s_at.png","Figure")</f>
        <v>Figure</v>
      </c>
      <c r="I8587">
        <v>0.79600000000000004</v>
      </c>
      <c r="J8587">
        <v>0.14000000000000001</v>
      </c>
      <c r="K8587">
        <v>0.94299999999999995</v>
      </c>
      <c r="L8587">
        <v>0.82</v>
      </c>
      <c r="M8587">
        <v>1.19</v>
      </c>
      <c r="N8587">
        <v>0.27</v>
      </c>
    </row>
    <row r="8588" spans="1:14" x14ac:dyDescent="0.25">
      <c r="A8588" t="s">
        <v>15154</v>
      </c>
      <c r="B8588" t="s">
        <v>15155</v>
      </c>
      <c r="C8588" s="1" t="str">
        <f>HYPERLINK("http://www.genecards.org/cgi-bin/carddisp.pl?gene=CHST4","GeneCards")</f>
        <v>GeneCards</v>
      </c>
      <c r="D8588" s="1" t="str">
        <f>HYPERLINK("http://genome-euro.ucsc.edu/cgi-bin/hgTracks?position=220446_s_at","UCSC")</f>
        <v>UCSC</v>
      </c>
      <c r="E8588" s="1" t="str">
        <f>HYPERLINK("http://www.ncbi.nlm.nih.gov/gene/?term=CHST4","NCBI")</f>
        <v>NCBI</v>
      </c>
      <c r="F8588">
        <v>0.15</v>
      </c>
      <c r="G8588">
        <v>0.28999999999999998</v>
      </c>
      <c r="H8588" s="1" t="str">
        <f>HYPERLINK("http://www.weizmann.ac.il/complex/compphys/software/geview/data/figures/220446_s_at.png","Figure")</f>
        <v>Figure</v>
      </c>
      <c r="I8588">
        <v>1.1399999999999999</v>
      </c>
      <c r="J8588">
        <v>0.13</v>
      </c>
      <c r="K8588">
        <v>1.04</v>
      </c>
      <c r="L8588">
        <v>0.75</v>
      </c>
      <c r="M8588">
        <v>0.91200000000000003</v>
      </c>
      <c r="N8588">
        <v>0.3</v>
      </c>
    </row>
    <row r="8589" spans="1:14" x14ac:dyDescent="0.25">
      <c r="A8589" t="s">
        <v>15156</v>
      </c>
      <c r="B8589" t="s">
        <v>15157</v>
      </c>
      <c r="C8589" s="1" t="str">
        <f>HYPERLINK("http://www.genecards.org/cgi-bin/carddisp.pl?gene=ULK2","GeneCards")</f>
        <v>GeneCards</v>
      </c>
      <c r="D8589" s="1" t="str">
        <f>HYPERLINK("http://genome-euro.ucsc.edu/cgi-bin/hgTracks?position=204063_s_at","UCSC")</f>
        <v>UCSC</v>
      </c>
      <c r="E8589" s="1" t="str">
        <f>HYPERLINK("http://www.ncbi.nlm.nih.gov/gene/?term=ULK2","NCBI")</f>
        <v>NCBI</v>
      </c>
      <c r="F8589">
        <v>0.15</v>
      </c>
      <c r="G8589">
        <v>0.28999999999999998</v>
      </c>
      <c r="H8589" s="1" t="str">
        <f>HYPERLINK("http://www.weizmann.ac.il/complex/compphys/software/geview/data/figures/204063_s_at.png","Figure")</f>
        <v>Figure</v>
      </c>
      <c r="I8589">
        <v>0.82399999999999995</v>
      </c>
      <c r="J8589">
        <v>0.23</v>
      </c>
      <c r="K8589">
        <v>0.82799999999999996</v>
      </c>
      <c r="L8589">
        <v>0.17</v>
      </c>
      <c r="M8589">
        <v>1</v>
      </c>
      <c r="N8589">
        <v>1</v>
      </c>
    </row>
    <row r="8590" spans="1:14" x14ac:dyDescent="0.25">
      <c r="A8590" t="s">
        <v>15158</v>
      </c>
      <c r="B8590" t="s">
        <v>15159</v>
      </c>
      <c r="C8590" s="1" t="str">
        <f>HYPERLINK("http://www.genecards.org/cgi-bin/carddisp.pl?gene=CDC2","GeneCards")</f>
        <v>GeneCards</v>
      </c>
      <c r="D8590" s="1" t="str">
        <f>HYPERLINK("http://genome-euro.ucsc.edu/cgi-bin/hgTracks?position=203214_x_at","UCSC")</f>
        <v>UCSC</v>
      </c>
      <c r="E8590" s="1" t="str">
        <f>HYPERLINK("http://www.ncbi.nlm.nih.gov/gene/?term=CDC2","NCBI")</f>
        <v>NCBI</v>
      </c>
      <c r="F8590">
        <v>0.15</v>
      </c>
      <c r="G8590">
        <v>0.28999999999999998</v>
      </c>
      <c r="H8590" s="1" t="str">
        <f>HYPERLINK("http://www.weizmann.ac.il/complex/compphys/software/geview/data/figures/203214_x_at.png","Figure")</f>
        <v>Figure</v>
      </c>
      <c r="I8590">
        <v>1.31</v>
      </c>
      <c r="J8590">
        <v>0.24</v>
      </c>
      <c r="K8590">
        <v>1.31</v>
      </c>
      <c r="L8590">
        <v>0.16</v>
      </c>
      <c r="M8590">
        <v>1</v>
      </c>
      <c r="N8590">
        <v>1</v>
      </c>
    </row>
    <row r="8591" spans="1:14" x14ac:dyDescent="0.25">
      <c r="A8591" t="s">
        <v>15160</v>
      </c>
      <c r="B8591" t="s">
        <v>2579</v>
      </c>
      <c r="C8591" s="1" t="str">
        <f>HYPERLINK("http://www.genecards.org/cgi-bin/carddisp.pl?gene=SMAD3","GeneCards")</f>
        <v>GeneCards</v>
      </c>
      <c r="D8591" s="1" t="str">
        <f>HYPERLINK("http://genome-euro.ucsc.edu/cgi-bin/hgTracks?position=205398_s_at","UCSC")</f>
        <v>UCSC</v>
      </c>
      <c r="E8591" s="1" t="str">
        <f>HYPERLINK("http://www.ncbi.nlm.nih.gov/gene/?term=SMAD3","NCBI")</f>
        <v>NCBI</v>
      </c>
      <c r="F8591">
        <v>0.15</v>
      </c>
      <c r="G8591">
        <v>0.28999999999999998</v>
      </c>
      <c r="H8591" s="1" t="str">
        <f>HYPERLINK("http://www.weizmann.ac.il/complex/compphys/software/geview/data/figures/205398_s_at.png","Figure")</f>
        <v>Figure</v>
      </c>
      <c r="I8591">
        <v>0.80600000000000005</v>
      </c>
      <c r="J8591">
        <v>0.25</v>
      </c>
      <c r="K8591">
        <v>1.03</v>
      </c>
      <c r="L8591">
        <v>0.97</v>
      </c>
      <c r="M8591">
        <v>1.28</v>
      </c>
      <c r="N8591">
        <v>0.14000000000000001</v>
      </c>
    </row>
    <row r="8592" spans="1:14" x14ac:dyDescent="0.25">
      <c r="A8592" t="s">
        <v>15161</v>
      </c>
      <c r="B8592" t="s">
        <v>15162</v>
      </c>
      <c r="C8592" s="1" t="str">
        <f>HYPERLINK("http://www.genecards.org/cgi-bin/carddisp.pl?gene=ALDH2","GeneCards")</f>
        <v>GeneCards</v>
      </c>
      <c r="D8592" s="1" t="str">
        <f>HYPERLINK("http://genome-euro.ucsc.edu/cgi-bin/hgTracks?position=201425_at","UCSC")</f>
        <v>UCSC</v>
      </c>
      <c r="E8592" s="1" t="str">
        <f>HYPERLINK("http://www.ncbi.nlm.nih.gov/gene/?term=ALDH2","NCBI")</f>
        <v>NCBI</v>
      </c>
      <c r="F8592">
        <v>0.15</v>
      </c>
      <c r="G8592">
        <v>0.28999999999999998</v>
      </c>
      <c r="H8592" s="1" t="str">
        <f>HYPERLINK("http://www.weizmann.ac.il/complex/compphys/software/geview/data/figures/201425_at.png","Figure")</f>
        <v>Figure</v>
      </c>
      <c r="I8592">
        <v>0.84599999999999997</v>
      </c>
      <c r="J8592">
        <v>0.43</v>
      </c>
      <c r="K8592">
        <v>0.78600000000000003</v>
      </c>
      <c r="L8592">
        <v>0.13</v>
      </c>
      <c r="M8592">
        <v>0.92900000000000005</v>
      </c>
      <c r="N8592">
        <v>0.82</v>
      </c>
    </row>
    <row r="8593" spans="1:14" x14ac:dyDescent="0.25">
      <c r="A8593" t="s">
        <v>15163</v>
      </c>
      <c r="B8593" t="s">
        <v>15164</v>
      </c>
      <c r="C8593" s="1" t="str">
        <f>HYPERLINK("http://www.genecards.org/cgi-bin/carddisp.pl?gene=G6PD","GeneCards")</f>
        <v>GeneCards</v>
      </c>
      <c r="D8593" s="1" t="str">
        <f>HYPERLINK("http://genome-euro.ucsc.edu/cgi-bin/hgTracks?position=202275_at","UCSC")</f>
        <v>UCSC</v>
      </c>
      <c r="E8593" s="1" t="str">
        <f>HYPERLINK("http://www.ncbi.nlm.nih.gov/gene/?term=G6PD","NCBI")</f>
        <v>NCBI</v>
      </c>
      <c r="F8593">
        <v>0.15</v>
      </c>
      <c r="G8593">
        <v>0.28999999999999998</v>
      </c>
      <c r="H8593" s="1" t="str">
        <f>HYPERLINK("http://www.weizmann.ac.il/complex/compphys/software/geview/data/figures/202275_at.png","Figure")</f>
        <v>Figure</v>
      </c>
      <c r="I8593">
        <v>0.74399999999999999</v>
      </c>
      <c r="J8593">
        <v>0.13</v>
      </c>
      <c r="K8593">
        <v>0.85899999999999999</v>
      </c>
      <c r="L8593">
        <v>0.45</v>
      </c>
      <c r="M8593">
        <v>1.1499999999999999</v>
      </c>
      <c r="N8593">
        <v>0.53</v>
      </c>
    </row>
    <row r="8594" spans="1:14" x14ac:dyDescent="0.25">
      <c r="A8594" t="s">
        <v>15165</v>
      </c>
      <c r="B8594" t="s">
        <v>15166</v>
      </c>
      <c r="C8594" s="1" t="str">
        <f>HYPERLINK("http://www.genecards.org/cgi-bin/carddisp.pl?gene=GPRC5B","GeneCards")</f>
        <v>GeneCards</v>
      </c>
      <c r="D8594" s="1" t="str">
        <f>HYPERLINK("http://genome-euro.ucsc.edu/cgi-bin/hgTracks?position=203632_s_at","UCSC")</f>
        <v>UCSC</v>
      </c>
      <c r="E8594" s="1" t="str">
        <f>HYPERLINK("http://www.ncbi.nlm.nih.gov/gene/?term=GPRC5B","NCBI")</f>
        <v>NCBI</v>
      </c>
      <c r="F8594">
        <v>0.15</v>
      </c>
      <c r="G8594">
        <v>0.28999999999999998</v>
      </c>
      <c r="H8594" s="1" t="str">
        <f>HYPERLINK("http://www.weizmann.ac.il/complex/compphys/software/geview/data/figures/203632_s_at.png","Figure")</f>
        <v>Figure</v>
      </c>
      <c r="I8594">
        <v>1.07</v>
      </c>
      <c r="J8594">
        <v>0.44</v>
      </c>
      <c r="K8594">
        <v>0.96199999999999997</v>
      </c>
      <c r="L8594">
        <v>0.7</v>
      </c>
      <c r="M8594">
        <v>0.89700000000000002</v>
      </c>
      <c r="N8594">
        <v>0.12</v>
      </c>
    </row>
    <row r="8595" spans="1:14" x14ac:dyDescent="0.25">
      <c r="A8595" t="s">
        <v>15167</v>
      </c>
      <c r="B8595" t="s">
        <v>15168</v>
      </c>
      <c r="C8595" s="1" t="str">
        <f>HYPERLINK("http://www.genecards.org/cgi-bin/carddisp.pl?gene=CYP2E1","GeneCards")</f>
        <v>GeneCards</v>
      </c>
      <c r="D8595" s="1" t="str">
        <f>HYPERLINK("http://genome-euro.ucsc.edu/cgi-bin/hgTracks?position=209976_s_at","UCSC")</f>
        <v>UCSC</v>
      </c>
      <c r="E8595" s="1" t="str">
        <f>HYPERLINK("http://www.ncbi.nlm.nih.gov/gene/?term=CYP2E1","NCBI")</f>
        <v>NCBI</v>
      </c>
      <c r="F8595">
        <v>0.15</v>
      </c>
      <c r="G8595">
        <v>0.28999999999999998</v>
      </c>
      <c r="H8595" s="1" t="str">
        <f>HYPERLINK("http://www.weizmann.ac.il/complex/compphys/software/geview/data/figures/209976_s_at.png","Figure")</f>
        <v>Figure</v>
      </c>
      <c r="I8595">
        <v>1.01</v>
      </c>
      <c r="J8595">
        <v>0.75</v>
      </c>
      <c r="K8595">
        <v>1.03</v>
      </c>
      <c r="L8595">
        <v>0.13</v>
      </c>
      <c r="M8595">
        <v>1.02</v>
      </c>
      <c r="N8595">
        <v>0.5</v>
      </c>
    </row>
    <row r="8596" spans="1:14" x14ac:dyDescent="0.25">
      <c r="A8596" t="s">
        <v>15169</v>
      </c>
      <c r="B8596" t="s">
        <v>15170</v>
      </c>
      <c r="C8596" s="1" t="str">
        <f>HYPERLINK("http://www.genecards.org/cgi-bin/carddisp.pl?gene=RNF25","GeneCards")</f>
        <v>GeneCards</v>
      </c>
      <c r="D8596" s="1" t="str">
        <f>HYPERLINK("http://genome-euro.ucsc.edu/cgi-bin/hgTracks?position=218861_at","UCSC")</f>
        <v>UCSC</v>
      </c>
      <c r="E8596" s="1" t="str">
        <f>HYPERLINK("http://www.ncbi.nlm.nih.gov/gene/?term=RNF25","NCBI")</f>
        <v>NCBI</v>
      </c>
      <c r="F8596">
        <v>0.15</v>
      </c>
      <c r="G8596">
        <v>0.28999999999999998</v>
      </c>
      <c r="H8596" s="1" t="str">
        <f>HYPERLINK("http://www.weizmann.ac.il/complex/compphys/software/geview/data/figures/218861_at.png","Figure")</f>
        <v>Figure</v>
      </c>
      <c r="I8596">
        <v>1.1599999999999999</v>
      </c>
      <c r="J8596">
        <v>0.13</v>
      </c>
      <c r="K8596">
        <v>1.06</v>
      </c>
      <c r="L8596">
        <v>0.64</v>
      </c>
      <c r="M8596">
        <v>0.91300000000000003</v>
      </c>
      <c r="N8596">
        <v>0.37</v>
      </c>
    </row>
    <row r="8597" spans="1:14" x14ac:dyDescent="0.25">
      <c r="A8597" t="s">
        <v>15171</v>
      </c>
      <c r="B8597" t="s">
        <v>15172</v>
      </c>
      <c r="C8597" s="1" t="str">
        <f>HYPERLINK("http://www.genecards.org/cgi-bin/carddisp.pl?gene=GIN1","GeneCards")</f>
        <v>GeneCards</v>
      </c>
      <c r="D8597" s="1" t="str">
        <f>HYPERLINK("http://genome-euro.ucsc.edu/cgi-bin/hgTracks?position=219467_at","UCSC")</f>
        <v>UCSC</v>
      </c>
      <c r="E8597" s="1" t="str">
        <f>HYPERLINK("http://www.ncbi.nlm.nih.gov/gene/?term=GIN1","NCBI")</f>
        <v>NCBI</v>
      </c>
      <c r="F8597">
        <v>0.15</v>
      </c>
      <c r="G8597">
        <v>0.28999999999999998</v>
      </c>
      <c r="H8597" s="1" t="str">
        <f>HYPERLINK("http://www.weizmann.ac.il/complex/compphys/software/geview/data/figures/219467_at.png","Figure")</f>
        <v>Figure</v>
      </c>
      <c r="I8597">
        <v>0.85</v>
      </c>
      <c r="J8597">
        <v>0.2</v>
      </c>
      <c r="K8597">
        <v>1</v>
      </c>
      <c r="L8597">
        <v>1</v>
      </c>
      <c r="M8597">
        <v>1.18</v>
      </c>
      <c r="N8597">
        <v>0.16</v>
      </c>
    </row>
    <row r="8598" spans="1:14" x14ac:dyDescent="0.25">
      <c r="A8598" t="s">
        <v>15173</v>
      </c>
      <c r="B8598" t="s">
        <v>14870</v>
      </c>
      <c r="C8598" s="1" t="str">
        <f>HYPERLINK("http://www.genecards.org/cgi-bin/carddisp.pl?gene=FAHD2A","GeneCards")</f>
        <v>GeneCards</v>
      </c>
      <c r="D8598" s="1" t="str">
        <f>HYPERLINK("http://genome-euro.ucsc.edu/cgi-bin/hgTracks?position=222056_s_at","UCSC")</f>
        <v>UCSC</v>
      </c>
      <c r="E8598" s="1" t="str">
        <f>HYPERLINK("http://www.ncbi.nlm.nih.gov/gene/?term=FAHD2A","NCBI")</f>
        <v>NCBI</v>
      </c>
      <c r="F8598">
        <v>0.15</v>
      </c>
      <c r="G8598">
        <v>0.28999999999999998</v>
      </c>
      <c r="H8598" s="1" t="str">
        <f>HYPERLINK("http://www.weizmann.ac.il/complex/compphys/software/geview/data/figures/222056_s_at.png","Figure")</f>
        <v>Figure</v>
      </c>
      <c r="I8598">
        <v>0.85299999999999998</v>
      </c>
      <c r="J8598">
        <v>0.32</v>
      </c>
      <c r="K8598">
        <v>1.05</v>
      </c>
      <c r="L8598">
        <v>0.86</v>
      </c>
      <c r="M8598">
        <v>1.23</v>
      </c>
      <c r="N8598">
        <v>0.13</v>
      </c>
    </row>
    <row r="8599" spans="1:14" x14ac:dyDescent="0.25">
      <c r="A8599" t="s">
        <v>15174</v>
      </c>
      <c r="B8599" t="s">
        <v>15175</v>
      </c>
      <c r="C8599" s="1" t="str">
        <f>HYPERLINK("http://www.genecards.org/cgi-bin/carddisp.pl?gene=TMEM110","GeneCards")</f>
        <v>GeneCards</v>
      </c>
      <c r="D8599" s="1" t="str">
        <f>HYPERLINK("http://genome-euro.ucsc.edu/cgi-bin/hgTracks?position=213851_at","UCSC")</f>
        <v>UCSC</v>
      </c>
      <c r="E8599" s="1" t="str">
        <f>HYPERLINK("http://www.ncbi.nlm.nih.gov/gene/?term=TMEM110","NCBI")</f>
        <v>NCBI</v>
      </c>
      <c r="F8599">
        <v>0.15</v>
      </c>
      <c r="G8599">
        <v>0.28999999999999998</v>
      </c>
      <c r="H8599" s="1" t="str">
        <f>HYPERLINK("http://www.weizmann.ac.il/complex/compphys/software/geview/data/figures/213851_at.png","Figure")</f>
        <v>Figure</v>
      </c>
      <c r="I8599">
        <v>1.02</v>
      </c>
      <c r="J8599">
        <v>0.97</v>
      </c>
      <c r="K8599">
        <v>1.1200000000000001</v>
      </c>
      <c r="L8599">
        <v>0.17</v>
      </c>
      <c r="M8599">
        <v>1.1000000000000001</v>
      </c>
      <c r="N8599">
        <v>0.3</v>
      </c>
    </row>
    <row r="8600" spans="1:14" x14ac:dyDescent="0.25">
      <c r="A8600" t="s">
        <v>15176</v>
      </c>
      <c r="B8600" t="s">
        <v>4996</v>
      </c>
      <c r="C8600" s="1" t="str">
        <f>HYPERLINK("http://www.genecards.org/cgi-bin/carddisp.pl?gene=APLP2","GeneCards")</f>
        <v>GeneCards</v>
      </c>
      <c r="D8600" s="1" t="str">
        <f>HYPERLINK("http://genome-euro.ucsc.edu/cgi-bin/hgTracks?position=208704_x_at","UCSC")</f>
        <v>UCSC</v>
      </c>
      <c r="E8600" s="1" t="str">
        <f>HYPERLINK("http://www.ncbi.nlm.nih.gov/gene/?term=APLP2","NCBI")</f>
        <v>NCBI</v>
      </c>
      <c r="F8600">
        <v>0.15</v>
      </c>
      <c r="G8600">
        <v>0.28999999999999998</v>
      </c>
      <c r="H8600" s="1" t="str">
        <f>HYPERLINK("http://www.weizmann.ac.il/complex/compphys/software/geview/data/figures/208704_x_at.png","Figure")</f>
        <v>Figure</v>
      </c>
      <c r="I8600">
        <v>0.71199999999999997</v>
      </c>
      <c r="J8600">
        <v>0.13</v>
      </c>
      <c r="K8600">
        <v>0.873</v>
      </c>
      <c r="L8600">
        <v>0.61</v>
      </c>
      <c r="M8600">
        <v>1.23</v>
      </c>
      <c r="N8600">
        <v>0.39</v>
      </c>
    </row>
    <row r="8601" spans="1:14" x14ac:dyDescent="0.25">
      <c r="A8601" t="s">
        <v>15177</v>
      </c>
      <c r="B8601" t="s">
        <v>15178</v>
      </c>
      <c r="C8601" s="1" t="str">
        <f>HYPERLINK("http://www.genecards.org/cgi-bin/carddisp.pl?gene=NPY5R","GeneCards")</f>
        <v>GeneCards</v>
      </c>
      <c r="D8601" s="1" t="str">
        <f>HYPERLINK("http://genome-euro.ucsc.edu/cgi-bin/hgTracks?position=207400_at","UCSC")</f>
        <v>UCSC</v>
      </c>
      <c r="E8601" s="1" t="str">
        <f>HYPERLINK("http://www.ncbi.nlm.nih.gov/gene/?term=NPY5R","NCBI")</f>
        <v>NCBI</v>
      </c>
      <c r="F8601">
        <v>0.15</v>
      </c>
      <c r="G8601">
        <v>0.28999999999999998</v>
      </c>
      <c r="H8601" s="1" t="str">
        <f>HYPERLINK("http://www.weizmann.ac.il/complex/compphys/software/geview/data/figures/207400_at.png","Figure")</f>
        <v>Figure</v>
      </c>
      <c r="I8601">
        <v>1.05</v>
      </c>
      <c r="J8601">
        <v>0.24</v>
      </c>
      <c r="K8601">
        <v>1.05</v>
      </c>
      <c r="L8601">
        <v>0.16</v>
      </c>
      <c r="M8601">
        <v>1</v>
      </c>
      <c r="N8601">
        <v>1</v>
      </c>
    </row>
    <row r="8602" spans="1:14" x14ac:dyDescent="0.25">
      <c r="A8602" t="s">
        <v>15179</v>
      </c>
      <c r="B8602" t="s">
        <v>15180</v>
      </c>
      <c r="C8602" s="1" t="str">
        <f>HYPERLINK("http://www.genecards.org/cgi-bin/carddisp.pl?gene=PIP5K1B","GeneCards")</f>
        <v>GeneCards</v>
      </c>
      <c r="D8602" s="1" t="str">
        <f>HYPERLINK("http://genome-euro.ucsc.edu/cgi-bin/hgTracks?position=205632_s_at","UCSC")</f>
        <v>UCSC</v>
      </c>
      <c r="E8602" s="1" t="str">
        <f>HYPERLINK("http://www.ncbi.nlm.nih.gov/gene/?term=PIP5K1B","NCBI")</f>
        <v>NCBI</v>
      </c>
      <c r="F8602">
        <v>0.15</v>
      </c>
      <c r="G8602">
        <v>0.28999999999999998</v>
      </c>
      <c r="H8602" s="1" t="str">
        <f>HYPERLINK("http://www.weizmann.ac.il/complex/compphys/software/geview/data/figures/205632_s_at.png","Figure")</f>
        <v>Figure</v>
      </c>
      <c r="I8602">
        <v>1.56</v>
      </c>
      <c r="J8602">
        <v>0.22</v>
      </c>
      <c r="K8602">
        <v>1.52</v>
      </c>
      <c r="L8602">
        <v>0.18</v>
      </c>
      <c r="M8602">
        <v>0.97099999999999997</v>
      </c>
      <c r="N8602">
        <v>0.99</v>
      </c>
    </row>
    <row r="8603" spans="1:14" x14ac:dyDescent="0.25">
      <c r="A8603" t="s">
        <v>15181</v>
      </c>
      <c r="B8603" t="s">
        <v>15182</v>
      </c>
      <c r="C8603" s="1" t="str">
        <f>HYPERLINK("http://www.genecards.org/cgi-bin/carddisp.pl?gene=DAGLA","GeneCards")</f>
        <v>GeneCards</v>
      </c>
      <c r="D8603" s="1" t="str">
        <f>HYPERLINK("http://genome-euro.ucsc.edu/cgi-bin/hgTracks?position=214128_at","UCSC")</f>
        <v>UCSC</v>
      </c>
      <c r="E8603" s="1" t="str">
        <f>HYPERLINK("http://www.ncbi.nlm.nih.gov/gene/?term=DAGLA","NCBI")</f>
        <v>NCBI</v>
      </c>
      <c r="F8603">
        <v>0.15</v>
      </c>
      <c r="G8603">
        <v>0.28999999999999998</v>
      </c>
      <c r="H8603" s="1" t="str">
        <f>HYPERLINK("http://www.weizmann.ac.il/complex/compphys/software/geview/data/figures/214128_at.png","Figure")</f>
        <v>Figure</v>
      </c>
      <c r="I8603">
        <v>1.19</v>
      </c>
      <c r="J8603">
        <v>0.17</v>
      </c>
      <c r="K8603">
        <v>1.02</v>
      </c>
      <c r="L8603">
        <v>0.97</v>
      </c>
      <c r="M8603">
        <v>0.85399999999999998</v>
      </c>
      <c r="N8603">
        <v>0.2</v>
      </c>
    </row>
    <row r="8604" spans="1:14" x14ac:dyDescent="0.25">
      <c r="A8604" t="s">
        <v>15183</v>
      </c>
      <c r="B8604" t="s">
        <v>15184</v>
      </c>
      <c r="C8604" s="1" t="str">
        <f>HYPERLINK("http://www.genecards.org/cgi-bin/carddisp.pl?gene=KCTD2","GeneCards")</f>
        <v>GeneCards</v>
      </c>
      <c r="D8604" s="1" t="str">
        <f>HYPERLINK("http://genome-euro.ucsc.edu/cgi-bin/hgTracks?position=34858_at","UCSC")</f>
        <v>UCSC</v>
      </c>
      <c r="E8604" s="1" t="str">
        <f>HYPERLINK("http://www.ncbi.nlm.nih.gov/gene/?term=KCTD2","NCBI")</f>
        <v>NCBI</v>
      </c>
      <c r="F8604">
        <v>0.15</v>
      </c>
      <c r="G8604">
        <v>0.28999999999999998</v>
      </c>
      <c r="H8604" s="1" t="str">
        <f>HYPERLINK("http://www.weizmann.ac.il/complex/compphys/software/geview/data/figures/34858_at.png","Figure")</f>
        <v>Figure</v>
      </c>
      <c r="I8604">
        <v>1.19</v>
      </c>
      <c r="J8604">
        <v>0.32</v>
      </c>
      <c r="K8604">
        <v>0.94799999999999995</v>
      </c>
      <c r="L8604">
        <v>0.86</v>
      </c>
      <c r="M8604">
        <v>0.79500000000000004</v>
      </c>
      <c r="N8604">
        <v>0.13</v>
      </c>
    </row>
    <row r="8605" spans="1:14" x14ac:dyDescent="0.25">
      <c r="A8605" t="s">
        <v>15185</v>
      </c>
      <c r="B8605" t="s">
        <v>15186</v>
      </c>
      <c r="C8605" s="1" t="str">
        <f>HYPERLINK("http://www.genecards.org/cgi-bin/carddisp.pl?gene=SMARCC1","GeneCards")</f>
        <v>GeneCards</v>
      </c>
      <c r="D8605" s="1" t="str">
        <f>HYPERLINK("http://genome-euro.ucsc.edu/cgi-bin/hgTracks?position=201073_s_at","UCSC")</f>
        <v>UCSC</v>
      </c>
      <c r="E8605" s="1" t="str">
        <f>HYPERLINK("http://www.ncbi.nlm.nih.gov/gene/?term=SMARCC1","NCBI")</f>
        <v>NCBI</v>
      </c>
      <c r="F8605">
        <v>0.15</v>
      </c>
      <c r="G8605">
        <v>0.28999999999999998</v>
      </c>
      <c r="H8605" s="1" t="str">
        <f>HYPERLINK("http://www.weizmann.ac.il/complex/compphys/software/geview/data/figures/201073_s_at.png","Figure")</f>
        <v>Figure</v>
      </c>
      <c r="I8605">
        <v>1.1599999999999999</v>
      </c>
      <c r="J8605">
        <v>0.3</v>
      </c>
      <c r="K8605">
        <v>1.18</v>
      </c>
      <c r="L8605">
        <v>0.14000000000000001</v>
      </c>
      <c r="M8605">
        <v>1.02</v>
      </c>
      <c r="N8605">
        <v>0.97</v>
      </c>
    </row>
    <row r="8606" spans="1:14" x14ac:dyDescent="0.25">
      <c r="A8606" t="s">
        <v>15187</v>
      </c>
      <c r="B8606" t="s">
        <v>15188</v>
      </c>
      <c r="C8606" s="1" t="str">
        <f>HYPERLINK("http://www.genecards.org/cgi-bin/carddisp.pl?gene=RAB4A","GeneCards")</f>
        <v>GeneCards</v>
      </c>
      <c r="D8606" s="1" t="str">
        <f>HYPERLINK("http://genome-euro.ucsc.edu/cgi-bin/hgTracks?position=203581_at","UCSC")</f>
        <v>UCSC</v>
      </c>
      <c r="E8606" s="1" t="str">
        <f>HYPERLINK("http://www.ncbi.nlm.nih.gov/gene/?term=RAB4A","NCBI")</f>
        <v>NCBI</v>
      </c>
      <c r="F8606">
        <v>0.15</v>
      </c>
      <c r="G8606">
        <v>0.28999999999999998</v>
      </c>
      <c r="H8606" s="1" t="str">
        <f>HYPERLINK("http://www.weizmann.ac.il/complex/compphys/software/geview/data/figures/203581_at.png","Figure")</f>
        <v>Figure</v>
      </c>
      <c r="I8606">
        <v>0.70199999999999996</v>
      </c>
      <c r="J8606">
        <v>0.15</v>
      </c>
      <c r="K8606">
        <v>0.92700000000000005</v>
      </c>
      <c r="L8606">
        <v>0.87</v>
      </c>
      <c r="M8606">
        <v>1.32</v>
      </c>
      <c r="N8606">
        <v>0.24</v>
      </c>
    </row>
    <row r="8607" spans="1:14" x14ac:dyDescent="0.25">
      <c r="A8607" t="s">
        <v>15189</v>
      </c>
      <c r="B8607" t="s">
        <v>4118</v>
      </c>
      <c r="C8607" s="1" t="str">
        <f>HYPERLINK("http://www.genecards.org/cgi-bin/carddisp.pl?gene=BRCA1","GeneCards")</f>
        <v>GeneCards</v>
      </c>
      <c r="D8607" s="1" t="str">
        <f>HYPERLINK("http://genome-euro.ucsc.edu/cgi-bin/hgTracks?position=211851_x_at","UCSC")</f>
        <v>UCSC</v>
      </c>
      <c r="E8607" s="1" t="str">
        <f>HYPERLINK("http://www.ncbi.nlm.nih.gov/gene/?term=BRCA1","NCBI")</f>
        <v>NCBI</v>
      </c>
      <c r="F8607">
        <v>0.15</v>
      </c>
      <c r="G8607">
        <v>0.28999999999999998</v>
      </c>
      <c r="H8607" s="1" t="str">
        <f>HYPERLINK("http://www.weizmann.ac.il/complex/compphys/software/geview/data/figures/211851_x_at.png","Figure")</f>
        <v>Figure</v>
      </c>
      <c r="I8607">
        <v>1.1200000000000001</v>
      </c>
      <c r="J8607">
        <v>0.47</v>
      </c>
      <c r="K8607">
        <v>1.19</v>
      </c>
      <c r="L8607">
        <v>0.13</v>
      </c>
      <c r="M8607">
        <v>1.06</v>
      </c>
      <c r="N8607">
        <v>0.78</v>
      </c>
    </row>
    <row r="8608" spans="1:14" x14ac:dyDescent="0.25">
      <c r="A8608" t="s">
        <v>15190</v>
      </c>
      <c r="B8608" t="s">
        <v>15191</v>
      </c>
      <c r="C8608" s="1" t="str">
        <f>HYPERLINK("http://www.genecards.org/cgi-bin/carddisp.pl?gene=LGALS1","GeneCards")</f>
        <v>GeneCards</v>
      </c>
      <c r="D8608" s="1" t="str">
        <f>HYPERLINK("http://genome-euro.ucsc.edu/cgi-bin/hgTracks?position=201105_at","UCSC")</f>
        <v>UCSC</v>
      </c>
      <c r="E8608" s="1" t="str">
        <f>HYPERLINK("http://www.ncbi.nlm.nih.gov/gene/?term=LGALS1","NCBI")</f>
        <v>NCBI</v>
      </c>
      <c r="F8608">
        <v>0.15</v>
      </c>
      <c r="G8608">
        <v>0.28999999999999998</v>
      </c>
      <c r="H8608" s="1" t="str">
        <f>HYPERLINK("http://www.weizmann.ac.il/complex/compphys/software/geview/data/figures/201105_at.png","Figure")</f>
        <v>Figure</v>
      </c>
      <c r="I8608">
        <v>0.96699999999999997</v>
      </c>
      <c r="J8608">
        <v>0.98</v>
      </c>
      <c r="K8608">
        <v>1.27</v>
      </c>
      <c r="L8608">
        <v>0.24</v>
      </c>
      <c r="M8608">
        <v>1.31</v>
      </c>
      <c r="N8608">
        <v>0.2</v>
      </c>
    </row>
    <row r="8609" spans="1:14" x14ac:dyDescent="0.25">
      <c r="A8609" t="s">
        <v>15192</v>
      </c>
      <c r="B8609" t="s">
        <v>15193</v>
      </c>
      <c r="C8609" s="1" t="str">
        <f>HYPERLINK("http://www.genecards.org/cgi-bin/carddisp.pl?gene=MST1","GeneCards")</f>
        <v>GeneCards</v>
      </c>
      <c r="D8609" s="1" t="str">
        <f>HYPERLINK("http://genome-euro.ucsc.edu/cgi-bin/hgTracks?position=216320_x_at","UCSC")</f>
        <v>UCSC</v>
      </c>
      <c r="E8609" s="1" t="str">
        <f>HYPERLINK("http://www.ncbi.nlm.nih.gov/gene/?term=MST1","NCBI")</f>
        <v>NCBI</v>
      </c>
      <c r="F8609">
        <v>0.15</v>
      </c>
      <c r="G8609">
        <v>0.28999999999999998</v>
      </c>
      <c r="H8609" s="1" t="str">
        <f>HYPERLINK("http://www.weizmann.ac.il/complex/compphys/software/geview/data/figures/216320_x_at.png","Figure")</f>
        <v>Figure</v>
      </c>
      <c r="I8609">
        <v>1.29</v>
      </c>
      <c r="J8609">
        <v>0.15</v>
      </c>
      <c r="K8609">
        <v>1.06</v>
      </c>
      <c r="L8609">
        <v>0.87</v>
      </c>
      <c r="M8609">
        <v>0.82199999999999995</v>
      </c>
      <c r="N8609">
        <v>0.24</v>
      </c>
    </row>
    <row r="8610" spans="1:14" x14ac:dyDescent="0.25">
      <c r="A8610" t="s">
        <v>15194</v>
      </c>
      <c r="B8610" t="s">
        <v>15195</v>
      </c>
      <c r="C8610" s="1" t="str">
        <f>HYPERLINK("http://www.genecards.org/cgi-bin/carddisp.pl?gene=RSAD1","GeneCards")</f>
        <v>GeneCards</v>
      </c>
      <c r="D8610" s="1" t="str">
        <f>HYPERLINK("http://genome-euro.ucsc.edu/cgi-bin/hgTracks?position=218307_at","UCSC")</f>
        <v>UCSC</v>
      </c>
      <c r="E8610" s="1" t="str">
        <f>HYPERLINK("http://www.ncbi.nlm.nih.gov/gene/?term=RSAD1","NCBI")</f>
        <v>NCBI</v>
      </c>
      <c r="F8610">
        <v>0.15</v>
      </c>
      <c r="G8610">
        <v>0.28999999999999998</v>
      </c>
      <c r="H8610" s="1" t="str">
        <f>HYPERLINK("http://www.weizmann.ac.il/complex/compphys/software/geview/data/figures/218307_at.png","Figure")</f>
        <v>Figure</v>
      </c>
      <c r="I8610">
        <v>0.83499999999999996</v>
      </c>
      <c r="J8610">
        <v>0.32</v>
      </c>
      <c r="K8610">
        <v>1.06</v>
      </c>
      <c r="L8610">
        <v>0.86</v>
      </c>
      <c r="M8610">
        <v>1.26</v>
      </c>
      <c r="N8610">
        <v>0.13</v>
      </c>
    </row>
    <row r="8611" spans="1:14" x14ac:dyDescent="0.25">
      <c r="A8611" t="s">
        <v>15196</v>
      </c>
      <c r="B8611" t="s">
        <v>2710</v>
      </c>
      <c r="C8611" s="1" t="str">
        <f>HYPERLINK("http://www.genecards.org/cgi-bin/carddisp.pl?gene=ESRRA","GeneCards")</f>
        <v>GeneCards</v>
      </c>
      <c r="D8611" s="1" t="str">
        <f>HYPERLINK("http://genome-euro.ucsc.edu/cgi-bin/hgTracks?position=203193_at","UCSC")</f>
        <v>UCSC</v>
      </c>
      <c r="E8611" s="1" t="str">
        <f>HYPERLINK("http://www.ncbi.nlm.nih.gov/gene/?term=ESRRA","NCBI")</f>
        <v>NCBI</v>
      </c>
      <c r="F8611">
        <v>0.15</v>
      </c>
      <c r="G8611">
        <v>0.28999999999999998</v>
      </c>
      <c r="H8611" s="1" t="str">
        <f>HYPERLINK("http://www.weizmann.ac.il/complex/compphys/software/geview/data/figures/203193_at.png","Figure")</f>
        <v>Figure</v>
      </c>
      <c r="I8611">
        <v>1.27</v>
      </c>
      <c r="J8611">
        <v>0.14000000000000001</v>
      </c>
      <c r="K8611">
        <v>1.17</v>
      </c>
      <c r="L8611">
        <v>0.31</v>
      </c>
      <c r="M8611">
        <v>0.91900000000000004</v>
      </c>
      <c r="N8611">
        <v>0.73</v>
      </c>
    </row>
    <row r="8612" spans="1:14" x14ac:dyDescent="0.25">
      <c r="A8612" t="s">
        <v>15197</v>
      </c>
      <c r="B8612" t="s">
        <v>15198</v>
      </c>
      <c r="C8612" s="1" t="str">
        <f>HYPERLINK("http://www.genecards.org/cgi-bin/carddisp.pl?gene=TTRAP","GeneCards")</f>
        <v>GeneCards</v>
      </c>
      <c r="D8612" s="1" t="str">
        <f>HYPERLINK("http://genome-euro.ucsc.edu/cgi-bin/hgTracks?position=202266_at","UCSC")</f>
        <v>UCSC</v>
      </c>
      <c r="E8612" s="1" t="str">
        <f>HYPERLINK("http://www.ncbi.nlm.nih.gov/gene/?term=TTRAP","NCBI")</f>
        <v>NCBI</v>
      </c>
      <c r="F8612">
        <v>0.15</v>
      </c>
      <c r="G8612">
        <v>0.28999999999999998</v>
      </c>
      <c r="H8612" s="1" t="str">
        <f>HYPERLINK("http://www.weizmann.ac.il/complex/compphys/software/geview/data/figures/202266_at.png","Figure")</f>
        <v>Figure</v>
      </c>
      <c r="I8612">
        <v>0.78200000000000003</v>
      </c>
      <c r="J8612">
        <v>0.79</v>
      </c>
      <c r="K8612">
        <v>1.56</v>
      </c>
      <c r="L8612">
        <v>0.38</v>
      </c>
      <c r="M8612">
        <v>2</v>
      </c>
      <c r="N8612">
        <v>0.15</v>
      </c>
    </row>
    <row r="8613" spans="1:14" x14ac:dyDescent="0.25">
      <c r="A8613" t="s">
        <v>15199</v>
      </c>
      <c r="B8613" t="s">
        <v>15200</v>
      </c>
      <c r="C8613" s="1" t="str">
        <f>HYPERLINK("http://www.genecards.org/cgi-bin/carddisp.pl?gene=HIST1H3J","GeneCards")</f>
        <v>GeneCards</v>
      </c>
      <c r="D8613" s="1" t="str">
        <f>HYPERLINK("http://genome-euro.ucsc.edu/cgi-bin/hgTracks?position=214646_at","UCSC")</f>
        <v>UCSC</v>
      </c>
      <c r="E8613" s="1" t="str">
        <f>HYPERLINK("http://www.ncbi.nlm.nih.gov/gene/?term=HIST1H3J","NCBI")</f>
        <v>NCBI</v>
      </c>
      <c r="F8613">
        <v>0.15</v>
      </c>
      <c r="G8613">
        <v>0.28999999999999998</v>
      </c>
      <c r="H8613" s="1" t="str">
        <f>HYPERLINK("http://www.weizmann.ac.il/complex/compphys/software/geview/data/figures/214646_at.png","Figure")</f>
        <v>Figure</v>
      </c>
      <c r="I8613">
        <v>1.23</v>
      </c>
      <c r="J8613">
        <v>0.16</v>
      </c>
      <c r="K8613">
        <v>1.17</v>
      </c>
      <c r="L8613">
        <v>0.26</v>
      </c>
      <c r="M8613">
        <v>0.94599999999999995</v>
      </c>
      <c r="N8613">
        <v>0.84</v>
      </c>
    </row>
    <row r="8614" spans="1:14" x14ac:dyDescent="0.25">
      <c r="A8614" t="s">
        <v>15201</v>
      </c>
      <c r="B8614" t="s">
        <v>15202</v>
      </c>
      <c r="C8614" s="1" t="str">
        <f>HYPERLINK("http://www.genecards.org/cgi-bin/carddisp.pl?gene=RWDD3","GeneCards")</f>
        <v>GeneCards</v>
      </c>
      <c r="D8614" s="1" t="str">
        <f>HYPERLINK("http://genome-euro.ucsc.edu/cgi-bin/hgTracks?position=205087_at","UCSC")</f>
        <v>UCSC</v>
      </c>
      <c r="E8614" s="1" t="str">
        <f>HYPERLINK("http://www.ncbi.nlm.nih.gov/gene/?term=RWDD3","NCBI")</f>
        <v>NCBI</v>
      </c>
      <c r="F8614">
        <v>0.15</v>
      </c>
      <c r="G8614">
        <v>0.28999999999999998</v>
      </c>
      <c r="H8614" s="1" t="str">
        <f>HYPERLINK("http://www.weizmann.ac.il/complex/compphys/software/geview/data/figures/205087_at.png","Figure")</f>
        <v>Figure</v>
      </c>
      <c r="I8614">
        <v>0.64300000000000002</v>
      </c>
      <c r="J8614">
        <v>0.13</v>
      </c>
      <c r="K8614">
        <v>0.77</v>
      </c>
      <c r="L8614">
        <v>0.37</v>
      </c>
      <c r="M8614">
        <v>1.2</v>
      </c>
      <c r="N8614">
        <v>0.65</v>
      </c>
    </row>
    <row r="8615" spans="1:14" x14ac:dyDescent="0.25">
      <c r="A8615" t="s">
        <v>15203</v>
      </c>
      <c r="B8615" t="s">
        <v>15204</v>
      </c>
      <c r="C8615" s="1" t="str">
        <f>HYPERLINK("http://www.genecards.org/cgi-bin/carddisp.pl?gene=TSPAN13","GeneCards")</f>
        <v>GeneCards</v>
      </c>
      <c r="D8615" s="1" t="str">
        <f>HYPERLINK("http://genome-euro.ucsc.edu/cgi-bin/hgTracks?position=217979_at","UCSC")</f>
        <v>UCSC</v>
      </c>
      <c r="E8615" s="1" t="str">
        <f>HYPERLINK("http://www.ncbi.nlm.nih.gov/gene/?term=TSPAN13","NCBI")</f>
        <v>NCBI</v>
      </c>
      <c r="F8615">
        <v>0.15</v>
      </c>
      <c r="G8615">
        <v>0.28999999999999998</v>
      </c>
      <c r="H8615" s="1" t="str">
        <f>HYPERLINK("http://www.weizmann.ac.il/complex/compphys/software/geview/data/figures/217979_at.png","Figure")</f>
        <v>Figure</v>
      </c>
      <c r="I8615">
        <v>0.66800000000000004</v>
      </c>
      <c r="J8615">
        <v>0.28999999999999998</v>
      </c>
      <c r="K8615">
        <v>0.63900000000000001</v>
      </c>
      <c r="L8615">
        <v>0.15</v>
      </c>
      <c r="M8615">
        <v>0.95699999999999996</v>
      </c>
      <c r="N8615">
        <v>0.98</v>
      </c>
    </row>
    <row r="8616" spans="1:14" x14ac:dyDescent="0.25">
      <c r="A8616" t="s">
        <v>15205</v>
      </c>
      <c r="B8616" t="s">
        <v>15206</v>
      </c>
      <c r="C8616" s="1" t="str">
        <f>HYPERLINK("http://www.genecards.org/cgi-bin/carddisp.pl?gene=PHKA2","GeneCards")</f>
        <v>GeneCards</v>
      </c>
      <c r="D8616" s="1" t="str">
        <f>HYPERLINK("http://genome-euro.ucsc.edu/cgi-bin/hgTracks?position=209439_s_at","UCSC")</f>
        <v>UCSC</v>
      </c>
      <c r="E8616" s="1" t="str">
        <f>HYPERLINK("http://www.ncbi.nlm.nih.gov/gene/?term=PHKA2","NCBI")</f>
        <v>NCBI</v>
      </c>
      <c r="F8616">
        <v>0.15</v>
      </c>
      <c r="G8616">
        <v>0.28999999999999998</v>
      </c>
      <c r="H8616" s="1" t="str">
        <f>HYPERLINK("http://www.weizmann.ac.il/complex/compphys/software/geview/data/figures/209439_s_at.png","Figure")</f>
        <v>Figure</v>
      </c>
      <c r="I8616">
        <v>0.88200000000000001</v>
      </c>
      <c r="J8616">
        <v>0.56999999999999995</v>
      </c>
      <c r="K8616">
        <v>1.1200000000000001</v>
      </c>
      <c r="L8616">
        <v>0.55000000000000004</v>
      </c>
      <c r="M8616">
        <v>1.27</v>
      </c>
      <c r="N8616">
        <v>0.13</v>
      </c>
    </row>
    <row r="8617" spans="1:14" x14ac:dyDescent="0.25">
      <c r="A8617" t="s">
        <v>15207</v>
      </c>
      <c r="B8617" t="s">
        <v>15208</v>
      </c>
      <c r="C8617" s="1" t="str">
        <f>HYPERLINK("http://www.genecards.org/cgi-bin/carddisp.pl?gene=NF2","GeneCards")</f>
        <v>GeneCards</v>
      </c>
      <c r="D8617" s="1" t="str">
        <f>HYPERLINK("http://genome-euro.ucsc.edu/cgi-bin/hgTracks?position=218915_at","UCSC")</f>
        <v>UCSC</v>
      </c>
      <c r="E8617" s="1" t="str">
        <f>HYPERLINK("http://www.ncbi.nlm.nih.gov/gene/?term=NF2","NCBI")</f>
        <v>NCBI</v>
      </c>
      <c r="F8617">
        <v>0.15</v>
      </c>
      <c r="G8617">
        <v>0.28999999999999998</v>
      </c>
      <c r="H8617" s="1" t="str">
        <f>HYPERLINK("http://www.weizmann.ac.il/complex/compphys/software/geview/data/figures/218915_at.png","Figure")</f>
        <v>Figure</v>
      </c>
      <c r="I8617">
        <v>0.83299999999999996</v>
      </c>
      <c r="J8617">
        <v>0.26</v>
      </c>
      <c r="K8617">
        <v>1.03</v>
      </c>
      <c r="L8617">
        <v>0.95</v>
      </c>
      <c r="M8617">
        <v>1.24</v>
      </c>
      <c r="N8617">
        <v>0.14000000000000001</v>
      </c>
    </row>
    <row r="8618" spans="1:14" x14ac:dyDescent="0.25">
      <c r="A8618" t="s">
        <v>15209</v>
      </c>
      <c r="B8618" t="s">
        <v>15210</v>
      </c>
      <c r="C8618" s="1" t="str">
        <f>HYPERLINK("http://www.genecards.org/cgi-bin/carddisp.pl?gene=MCCC2","GeneCards")</f>
        <v>GeneCards</v>
      </c>
      <c r="D8618" s="1" t="str">
        <f>HYPERLINK("http://genome-euro.ucsc.edu/cgi-bin/hgTracks?position=209623_at","UCSC")</f>
        <v>UCSC</v>
      </c>
      <c r="E8618" s="1" t="str">
        <f>HYPERLINK("http://www.ncbi.nlm.nih.gov/gene/?term=MCCC2","NCBI")</f>
        <v>NCBI</v>
      </c>
      <c r="F8618">
        <v>0.15</v>
      </c>
      <c r="G8618">
        <v>0.28999999999999998</v>
      </c>
      <c r="H8618" s="1" t="str">
        <f>HYPERLINK("http://www.weizmann.ac.il/complex/compphys/software/geview/data/figures/209623_at.png","Figure")</f>
        <v>Figure</v>
      </c>
      <c r="I8618">
        <v>0.94799999999999995</v>
      </c>
      <c r="J8618">
        <v>0.96</v>
      </c>
      <c r="K8618">
        <v>1.32</v>
      </c>
      <c r="L8618">
        <v>0.26</v>
      </c>
      <c r="M8618">
        <v>1.39</v>
      </c>
      <c r="N8618">
        <v>0.19</v>
      </c>
    </row>
    <row r="8619" spans="1:14" x14ac:dyDescent="0.25">
      <c r="A8619" t="s">
        <v>15211</v>
      </c>
      <c r="B8619" t="s">
        <v>9966</v>
      </c>
      <c r="C8619" s="1" t="str">
        <f>HYPERLINK("http://www.genecards.org/cgi-bin/carddisp.pl?gene=MET","GeneCards")</f>
        <v>GeneCards</v>
      </c>
      <c r="D8619" s="1" t="str">
        <f>HYPERLINK("http://genome-euro.ucsc.edu/cgi-bin/hgTracks?position=213807_x_at","UCSC")</f>
        <v>UCSC</v>
      </c>
      <c r="E8619" s="1" t="str">
        <f>HYPERLINK("http://www.ncbi.nlm.nih.gov/gene/?term=MET","NCBI")</f>
        <v>NCBI</v>
      </c>
      <c r="F8619">
        <v>0.15</v>
      </c>
      <c r="G8619">
        <v>0.28999999999999998</v>
      </c>
      <c r="H8619" s="1" t="str">
        <f>HYPERLINK("http://www.weizmann.ac.il/complex/compphys/software/geview/data/figures/213807_x_at.png","Figure")</f>
        <v>Figure</v>
      </c>
      <c r="I8619">
        <v>1.1399999999999999</v>
      </c>
      <c r="J8619">
        <v>0.18</v>
      </c>
      <c r="K8619">
        <v>1.01</v>
      </c>
      <c r="L8619">
        <v>0.99</v>
      </c>
      <c r="M8619">
        <v>0.88</v>
      </c>
      <c r="N8619">
        <v>0.18</v>
      </c>
    </row>
    <row r="8620" spans="1:14" x14ac:dyDescent="0.25">
      <c r="A8620" t="s">
        <v>15212</v>
      </c>
      <c r="B8620" t="s">
        <v>7481</v>
      </c>
      <c r="C8620" s="1" t="str">
        <f>HYPERLINK("http://www.genecards.org/cgi-bin/carddisp.pl?gene=ZNF277","GeneCards")</f>
        <v>GeneCards</v>
      </c>
      <c r="D8620" s="1" t="str">
        <f>HYPERLINK("http://genome-euro.ucsc.edu/cgi-bin/hgTracks?position=218645_at","UCSC")</f>
        <v>UCSC</v>
      </c>
      <c r="E8620" s="1" t="str">
        <f>HYPERLINK("http://www.ncbi.nlm.nih.gov/gene/?term=ZNF277","NCBI")</f>
        <v>NCBI</v>
      </c>
      <c r="F8620">
        <v>0.15</v>
      </c>
      <c r="G8620">
        <v>0.28999999999999998</v>
      </c>
      <c r="H8620" s="1" t="str">
        <f>HYPERLINK("http://www.weizmann.ac.il/complex/compphys/software/geview/data/figures/218645_at.png","Figure")</f>
        <v>Figure</v>
      </c>
      <c r="I8620">
        <v>0.70799999999999996</v>
      </c>
      <c r="J8620">
        <v>0.16</v>
      </c>
      <c r="K8620">
        <v>0.95</v>
      </c>
      <c r="L8620">
        <v>0.94</v>
      </c>
      <c r="M8620">
        <v>1.34</v>
      </c>
      <c r="N8620">
        <v>0.21</v>
      </c>
    </row>
    <row r="8621" spans="1:14" x14ac:dyDescent="0.25">
      <c r="A8621" t="s">
        <v>15213</v>
      </c>
      <c r="B8621" t="s">
        <v>800</v>
      </c>
      <c r="C8621" s="1" t="str">
        <f>HYPERLINK("http://www.genecards.org/cgi-bin/carddisp.pl?gene=EPOR","GeneCards")</f>
        <v>GeneCards</v>
      </c>
      <c r="D8621" s="1" t="str">
        <f>HYPERLINK("http://genome-euro.ucsc.edu/cgi-bin/hgTracks?position=396_f_at","UCSC")</f>
        <v>UCSC</v>
      </c>
      <c r="E8621" s="1" t="str">
        <f>HYPERLINK("http://www.ncbi.nlm.nih.gov/gene/?term=EPOR","NCBI")</f>
        <v>NCBI</v>
      </c>
      <c r="F8621">
        <v>0.15</v>
      </c>
      <c r="G8621">
        <v>0.28999999999999998</v>
      </c>
      <c r="H8621" s="1" t="str">
        <f>HYPERLINK("http://www.weizmann.ac.il/complex/compphys/software/geview/data/figures/396_f_at.png","Figure")</f>
        <v>Figure</v>
      </c>
      <c r="I8621">
        <v>1.46</v>
      </c>
      <c r="J8621">
        <v>0.13</v>
      </c>
      <c r="K8621">
        <v>1.18</v>
      </c>
      <c r="L8621">
        <v>0.55000000000000004</v>
      </c>
      <c r="M8621">
        <v>0.80900000000000005</v>
      </c>
      <c r="N8621">
        <v>0.43</v>
      </c>
    </row>
    <row r="8622" spans="1:14" x14ac:dyDescent="0.25">
      <c r="A8622" t="s">
        <v>15214</v>
      </c>
      <c r="B8622" t="s">
        <v>15215</v>
      </c>
      <c r="C8622" s="1" t="str">
        <f>HYPERLINK("http://www.genecards.org/cgi-bin/carddisp.pl?gene=EEF1A1","GeneCards")</f>
        <v>GeneCards</v>
      </c>
      <c r="D8622" s="1" t="str">
        <f>HYPERLINK("http://genome-euro.ucsc.edu/cgi-bin/hgTracks?position=213614_x_at","UCSC")</f>
        <v>UCSC</v>
      </c>
      <c r="E8622" s="1" t="str">
        <f>HYPERLINK("http://www.ncbi.nlm.nih.gov/gene/?term=EEF1A1","NCBI")</f>
        <v>NCBI</v>
      </c>
      <c r="F8622">
        <v>0.15</v>
      </c>
      <c r="G8622">
        <v>0.28999999999999998</v>
      </c>
      <c r="H8622" s="1" t="str">
        <f>HYPERLINK("http://www.weizmann.ac.il/complex/compphys/software/geview/data/figures/213614_x_at.png","Figure")</f>
        <v>Figure</v>
      </c>
      <c r="I8622">
        <v>1.1100000000000001</v>
      </c>
      <c r="J8622">
        <v>0.62</v>
      </c>
      <c r="K8622">
        <v>0.9</v>
      </c>
      <c r="L8622">
        <v>0.51</v>
      </c>
      <c r="M8622">
        <v>0.81399999999999995</v>
      </c>
      <c r="N8622">
        <v>0.13</v>
      </c>
    </row>
    <row r="8623" spans="1:14" x14ac:dyDescent="0.25">
      <c r="A8623" t="s">
        <v>15216</v>
      </c>
      <c r="B8623" t="s">
        <v>15217</v>
      </c>
      <c r="C8623" s="1" t="str">
        <f>HYPERLINK("http://www.genecards.org/cgi-bin/carddisp.pl?gene=LMCD1","GeneCards")</f>
        <v>GeneCards</v>
      </c>
      <c r="D8623" s="1" t="str">
        <f>HYPERLINK("http://genome-euro.ucsc.edu/cgi-bin/hgTracks?position=218574_s_at","UCSC")</f>
        <v>UCSC</v>
      </c>
      <c r="E8623" s="1" t="str">
        <f>HYPERLINK("http://www.ncbi.nlm.nih.gov/gene/?term=LMCD1","NCBI")</f>
        <v>NCBI</v>
      </c>
      <c r="F8623">
        <v>0.15</v>
      </c>
      <c r="G8623">
        <v>0.28999999999999998</v>
      </c>
      <c r="H8623" s="1" t="str">
        <f>HYPERLINK("http://www.weizmann.ac.il/complex/compphys/software/geview/data/figures/218574_s_at.png","Figure")</f>
        <v>Figure</v>
      </c>
      <c r="I8623">
        <v>1.1299999999999999</v>
      </c>
      <c r="J8623">
        <v>0.52</v>
      </c>
      <c r="K8623">
        <v>0.91</v>
      </c>
      <c r="L8623">
        <v>0.6</v>
      </c>
      <c r="M8623">
        <v>0.80500000000000005</v>
      </c>
      <c r="N8623">
        <v>0.13</v>
      </c>
    </row>
    <row r="8624" spans="1:14" x14ac:dyDescent="0.25">
      <c r="A8624" t="s">
        <v>15218</v>
      </c>
      <c r="B8624" t="s">
        <v>15219</v>
      </c>
      <c r="C8624" s="1" t="str">
        <f>HYPERLINK("http://www.genecards.org/cgi-bin/carddisp.pl?gene=CTTNBP2NL","GeneCards")</f>
        <v>GeneCards</v>
      </c>
      <c r="D8624" s="1" t="str">
        <f>HYPERLINK("http://genome-euro.ucsc.edu/cgi-bin/hgTracks?position=214731_at","UCSC")</f>
        <v>UCSC</v>
      </c>
      <c r="E8624" s="1" t="str">
        <f>HYPERLINK("http://www.ncbi.nlm.nih.gov/gene/?term=CTTNBP2NL","NCBI")</f>
        <v>NCBI</v>
      </c>
      <c r="F8624">
        <v>0.15</v>
      </c>
      <c r="G8624">
        <v>0.28999999999999998</v>
      </c>
      <c r="H8624" s="1" t="str">
        <f>HYPERLINK("http://www.weizmann.ac.il/complex/compphys/software/geview/data/figures/214731_at.png","Figure")</f>
        <v>Figure</v>
      </c>
      <c r="I8624">
        <v>0.998</v>
      </c>
      <c r="J8624">
        <v>1</v>
      </c>
      <c r="K8624">
        <v>0.628</v>
      </c>
      <c r="L8624">
        <v>0.2</v>
      </c>
      <c r="M8624">
        <v>0.629</v>
      </c>
      <c r="N8624">
        <v>0.24</v>
      </c>
    </row>
    <row r="8625" spans="1:14" x14ac:dyDescent="0.25">
      <c r="A8625" t="s">
        <v>15220</v>
      </c>
      <c r="B8625" t="s">
        <v>1507</v>
      </c>
      <c r="C8625" s="1" t="str">
        <f>HYPERLINK("http://www.genecards.org/cgi-bin/carddisp.pl?gene=GLIPR1","GeneCards")</f>
        <v>GeneCards</v>
      </c>
      <c r="D8625" s="1" t="str">
        <f>HYPERLINK("http://genome-euro.ucsc.edu/cgi-bin/hgTracks?position=204221_x_at","UCSC")</f>
        <v>UCSC</v>
      </c>
      <c r="E8625" s="1" t="str">
        <f>HYPERLINK("http://www.ncbi.nlm.nih.gov/gene/?term=GLIPR1","NCBI")</f>
        <v>NCBI</v>
      </c>
      <c r="F8625">
        <v>0.15</v>
      </c>
      <c r="G8625">
        <v>0.28999999999999998</v>
      </c>
      <c r="H8625" s="1" t="str">
        <f>HYPERLINK("http://www.weizmann.ac.il/complex/compphys/software/geview/data/figures/204221_x_at.png","Figure")</f>
        <v>Figure</v>
      </c>
      <c r="I8625">
        <v>0.78400000000000003</v>
      </c>
      <c r="J8625">
        <v>0.13</v>
      </c>
      <c r="K8625">
        <v>0.872</v>
      </c>
      <c r="L8625">
        <v>0.39</v>
      </c>
      <c r="M8625">
        <v>1.1100000000000001</v>
      </c>
      <c r="N8625">
        <v>0.61</v>
      </c>
    </row>
    <row r="8626" spans="1:14" x14ac:dyDescent="0.25">
      <c r="A8626" t="s">
        <v>15221</v>
      </c>
      <c r="B8626" t="s">
        <v>15222</v>
      </c>
      <c r="C8626" s="1" t="str">
        <f>HYPERLINK("http://www.genecards.org/cgi-bin/carddisp.pl?gene=PRB1 /// PRB2","GeneCards")</f>
        <v>GeneCards</v>
      </c>
      <c r="D8626" s="1" t="str">
        <f>HYPERLINK("http://genome-euro.ucsc.edu/cgi-bin/hgTracks?position=211531_x_at","UCSC")</f>
        <v>UCSC</v>
      </c>
      <c r="E8626" s="1" t="str">
        <f>HYPERLINK("http://www.ncbi.nlm.nih.gov/gene/?term=PRB1 /// PRB2","NCBI")</f>
        <v>NCBI</v>
      </c>
      <c r="F8626">
        <v>0.15</v>
      </c>
      <c r="G8626">
        <v>0.28999999999999998</v>
      </c>
      <c r="H8626" s="1" t="str">
        <f>HYPERLINK("http://www.weizmann.ac.il/complex/compphys/software/geview/data/figures/211531_x_at.png","Figure")</f>
        <v>Figure</v>
      </c>
      <c r="I8626">
        <v>1.33</v>
      </c>
      <c r="J8626">
        <v>0.13</v>
      </c>
      <c r="K8626">
        <v>1.18</v>
      </c>
      <c r="L8626">
        <v>0.36</v>
      </c>
      <c r="M8626">
        <v>0.89100000000000001</v>
      </c>
      <c r="N8626">
        <v>0.65</v>
      </c>
    </row>
    <row r="8627" spans="1:14" x14ac:dyDescent="0.25">
      <c r="A8627" t="s">
        <v>15223</v>
      </c>
      <c r="B8627" t="s">
        <v>7445</v>
      </c>
      <c r="C8627" s="1" t="str">
        <f>HYPERLINK("http://www.genecards.org/cgi-bin/carddisp.pl?gene=NSFL1C","GeneCards")</f>
        <v>GeneCards</v>
      </c>
      <c r="D8627" s="1" t="str">
        <f>HYPERLINK("http://genome-euro.ucsc.edu/cgi-bin/hgTracks?position=217831_s_at","UCSC")</f>
        <v>UCSC</v>
      </c>
      <c r="E8627" s="1" t="str">
        <f>HYPERLINK("http://www.ncbi.nlm.nih.gov/gene/?term=NSFL1C","NCBI")</f>
        <v>NCBI</v>
      </c>
      <c r="F8627">
        <v>0.15</v>
      </c>
      <c r="G8627">
        <v>0.28999999999999998</v>
      </c>
      <c r="H8627" s="1" t="str">
        <f>HYPERLINK("http://www.weizmann.ac.il/complex/compphys/software/geview/data/figures/217831_s_at.png","Figure")</f>
        <v>Figure</v>
      </c>
      <c r="I8627">
        <v>0.747</v>
      </c>
      <c r="J8627">
        <v>0.13</v>
      </c>
      <c r="K8627">
        <v>0.84199999999999997</v>
      </c>
      <c r="L8627">
        <v>0.37</v>
      </c>
      <c r="M8627">
        <v>1.1299999999999999</v>
      </c>
      <c r="N8627">
        <v>0.65</v>
      </c>
    </row>
    <row r="8628" spans="1:14" x14ac:dyDescent="0.25">
      <c r="A8628" t="s">
        <v>15224</v>
      </c>
      <c r="B8628" t="s">
        <v>15225</v>
      </c>
      <c r="C8628" s="1" t="str">
        <f>HYPERLINK("http://www.genecards.org/cgi-bin/carddisp.pl?gene=MT1E /// MT1H /// MT1M","GeneCards")</f>
        <v>GeneCards</v>
      </c>
      <c r="D8628" s="1" t="str">
        <f>HYPERLINK("http://genome-euro.ucsc.edu/cgi-bin/hgTracks?position=216336_x_at","UCSC")</f>
        <v>UCSC</v>
      </c>
      <c r="E8628" s="1" t="str">
        <f>HYPERLINK("http://www.ncbi.nlm.nih.gov/gene/?term=MT1E /// MT1H /// MT1M","NCBI")</f>
        <v>NCBI</v>
      </c>
      <c r="F8628">
        <v>0.15</v>
      </c>
      <c r="G8628">
        <v>0.28999999999999998</v>
      </c>
      <c r="H8628" s="1" t="str">
        <f>HYPERLINK("http://www.weizmann.ac.il/complex/compphys/software/geview/data/figures/216336_x_at.png","Figure")</f>
        <v>Figure</v>
      </c>
      <c r="I8628">
        <v>1.42</v>
      </c>
      <c r="J8628">
        <v>0.13</v>
      </c>
      <c r="K8628">
        <v>1.21</v>
      </c>
      <c r="L8628">
        <v>0.43</v>
      </c>
      <c r="M8628">
        <v>0.85</v>
      </c>
      <c r="N8628">
        <v>0.56999999999999995</v>
      </c>
    </row>
    <row r="8629" spans="1:14" x14ac:dyDescent="0.25">
      <c r="A8629" t="s">
        <v>15226</v>
      </c>
      <c r="B8629" t="s">
        <v>15227</v>
      </c>
      <c r="C8629" s="1" t="str">
        <f>HYPERLINK("http://www.genecards.org/cgi-bin/carddisp.pl?gene=PCTK1","GeneCards")</f>
        <v>GeneCards</v>
      </c>
      <c r="D8629" s="1" t="str">
        <f>HYPERLINK("http://genome-euro.ucsc.edu/cgi-bin/hgTracks?position=208823_s_at","UCSC")</f>
        <v>UCSC</v>
      </c>
      <c r="E8629" s="1" t="str">
        <f>HYPERLINK("http://www.ncbi.nlm.nih.gov/gene/?term=PCTK1","NCBI")</f>
        <v>NCBI</v>
      </c>
      <c r="F8629">
        <v>0.15</v>
      </c>
      <c r="G8629">
        <v>0.28999999999999998</v>
      </c>
      <c r="H8629" s="1" t="str">
        <f>HYPERLINK("http://www.weizmann.ac.il/complex/compphys/software/geview/data/figures/208823_s_at.png","Figure")</f>
        <v>Figure</v>
      </c>
      <c r="I8629">
        <v>1.26</v>
      </c>
      <c r="J8629">
        <v>0.13</v>
      </c>
      <c r="K8629">
        <v>1.08</v>
      </c>
      <c r="L8629">
        <v>0.71</v>
      </c>
      <c r="M8629">
        <v>0.85799999999999998</v>
      </c>
      <c r="N8629">
        <v>0.33</v>
      </c>
    </row>
    <row r="8630" spans="1:14" x14ac:dyDescent="0.25">
      <c r="A8630" t="s">
        <v>15228</v>
      </c>
      <c r="B8630" t="s">
        <v>13601</v>
      </c>
      <c r="C8630" s="1" t="str">
        <f>HYPERLINK("http://www.genecards.org/cgi-bin/carddisp.pl?gene=SIRPA","GeneCards")</f>
        <v>GeneCards</v>
      </c>
      <c r="D8630" s="1" t="str">
        <f>HYPERLINK("http://genome-euro.ucsc.edu/cgi-bin/hgTracks?position=202897_at","UCSC")</f>
        <v>UCSC</v>
      </c>
      <c r="E8630" s="1" t="str">
        <f>HYPERLINK("http://www.ncbi.nlm.nih.gov/gene/?term=SIRPA","NCBI")</f>
        <v>NCBI</v>
      </c>
      <c r="F8630">
        <v>0.15</v>
      </c>
      <c r="G8630">
        <v>0.28999999999999998</v>
      </c>
      <c r="H8630" s="1" t="str">
        <f>HYPERLINK("http://www.weizmann.ac.il/complex/compphys/software/geview/data/figures/202897_at.png","Figure")</f>
        <v>Figure</v>
      </c>
      <c r="I8630">
        <v>0.80600000000000005</v>
      </c>
      <c r="J8630">
        <v>0.31</v>
      </c>
      <c r="K8630">
        <v>1.06</v>
      </c>
      <c r="L8630">
        <v>0.89</v>
      </c>
      <c r="M8630">
        <v>1.31</v>
      </c>
      <c r="N8630">
        <v>0.13</v>
      </c>
    </row>
    <row r="8631" spans="1:14" x14ac:dyDescent="0.25">
      <c r="A8631" t="s">
        <v>15229</v>
      </c>
      <c r="B8631" t="s">
        <v>15230</v>
      </c>
      <c r="C8631" s="1" t="str">
        <f>HYPERLINK("http://www.genecards.org/cgi-bin/carddisp.pl?gene=SIX2","GeneCards")</f>
        <v>GeneCards</v>
      </c>
      <c r="D8631" s="1" t="str">
        <f>HYPERLINK("http://genome-euro.ucsc.edu/cgi-bin/hgTracks?position=206511_s_at","UCSC")</f>
        <v>UCSC</v>
      </c>
      <c r="E8631" s="1" t="str">
        <f>HYPERLINK("http://www.ncbi.nlm.nih.gov/gene/?term=SIX2","NCBI")</f>
        <v>NCBI</v>
      </c>
      <c r="F8631">
        <v>0.15</v>
      </c>
      <c r="G8631">
        <v>0.28999999999999998</v>
      </c>
      <c r="H8631" s="1" t="str">
        <f>HYPERLINK("http://www.weizmann.ac.il/complex/compphys/software/geview/data/figures/206511_s_at.png","Figure")</f>
        <v>Figure</v>
      </c>
      <c r="I8631">
        <v>1.06</v>
      </c>
      <c r="J8631">
        <v>0.3</v>
      </c>
      <c r="K8631">
        <v>0.98499999999999999</v>
      </c>
      <c r="L8631">
        <v>0.91</v>
      </c>
      <c r="M8631">
        <v>0.92600000000000005</v>
      </c>
      <c r="N8631">
        <v>0.13</v>
      </c>
    </row>
    <row r="8632" spans="1:14" x14ac:dyDescent="0.25">
      <c r="A8632" t="s">
        <v>15231</v>
      </c>
      <c r="B8632" t="s">
        <v>15232</v>
      </c>
      <c r="C8632" s="1" t="str">
        <f>HYPERLINK("http://www.genecards.org/cgi-bin/carddisp.pl?gene=FBXW12","GeneCards")</f>
        <v>GeneCards</v>
      </c>
      <c r="D8632" s="1" t="str">
        <f>HYPERLINK("http://genome-euro.ucsc.edu/cgi-bin/hgTracks?position=215600_x_at","UCSC")</f>
        <v>UCSC</v>
      </c>
      <c r="E8632" s="1" t="str">
        <f>HYPERLINK("http://www.ncbi.nlm.nih.gov/gene/?term=FBXW12","NCBI")</f>
        <v>NCBI</v>
      </c>
      <c r="F8632">
        <v>0.15</v>
      </c>
      <c r="G8632">
        <v>0.28999999999999998</v>
      </c>
      <c r="H8632" s="1" t="str">
        <f>HYPERLINK("http://www.weizmann.ac.il/complex/compphys/software/geview/data/figures/215600_x_at.png","Figure")</f>
        <v>Figure</v>
      </c>
      <c r="I8632">
        <v>1.38</v>
      </c>
      <c r="J8632">
        <v>0.36</v>
      </c>
      <c r="K8632">
        <v>0.88600000000000001</v>
      </c>
      <c r="L8632">
        <v>0.82</v>
      </c>
      <c r="M8632">
        <v>0.64</v>
      </c>
      <c r="N8632">
        <v>0.13</v>
      </c>
    </row>
    <row r="8633" spans="1:14" x14ac:dyDescent="0.25">
      <c r="A8633" t="s">
        <v>15233</v>
      </c>
      <c r="B8633" t="s">
        <v>5323</v>
      </c>
      <c r="C8633" s="1" t="str">
        <f>HYPERLINK("http://www.genecards.org/cgi-bin/carddisp.pl?gene=PDCD2","GeneCards")</f>
        <v>GeneCards</v>
      </c>
      <c r="D8633" s="1" t="str">
        <f>HYPERLINK("http://genome-euro.ucsc.edu/cgi-bin/hgTracks?position=213581_at","UCSC")</f>
        <v>UCSC</v>
      </c>
      <c r="E8633" s="1" t="str">
        <f>HYPERLINK("http://www.ncbi.nlm.nih.gov/gene/?term=PDCD2","NCBI")</f>
        <v>NCBI</v>
      </c>
      <c r="F8633">
        <v>0.15</v>
      </c>
      <c r="G8633">
        <v>0.28999999999999998</v>
      </c>
      <c r="H8633" s="1" t="str">
        <f>HYPERLINK("http://www.weizmann.ac.il/complex/compphys/software/geview/data/figures/213581_at.png","Figure")</f>
        <v>Figure</v>
      </c>
      <c r="I8633">
        <v>0.67500000000000004</v>
      </c>
      <c r="J8633">
        <v>0.22</v>
      </c>
      <c r="K8633">
        <v>1.02</v>
      </c>
      <c r="L8633">
        <v>0.99</v>
      </c>
      <c r="M8633">
        <v>1.51</v>
      </c>
      <c r="N8633">
        <v>0.16</v>
      </c>
    </row>
    <row r="8634" spans="1:14" x14ac:dyDescent="0.25">
      <c r="A8634" t="s">
        <v>15234</v>
      </c>
      <c r="B8634" t="s">
        <v>15235</v>
      </c>
      <c r="C8634" s="1" t="str">
        <f>HYPERLINK("http://www.genecards.org/cgi-bin/carddisp.pl?gene=CFD","GeneCards")</f>
        <v>GeneCards</v>
      </c>
      <c r="D8634" s="1" t="str">
        <f>HYPERLINK("http://genome-euro.ucsc.edu/cgi-bin/hgTracks?position=205382_s_at","UCSC")</f>
        <v>UCSC</v>
      </c>
      <c r="E8634" s="1" t="str">
        <f>HYPERLINK("http://www.ncbi.nlm.nih.gov/gene/?term=CFD","NCBI")</f>
        <v>NCBI</v>
      </c>
      <c r="F8634">
        <v>0.15</v>
      </c>
      <c r="G8634">
        <v>0.28999999999999998</v>
      </c>
      <c r="H8634" s="1" t="str">
        <f>HYPERLINK("http://www.weizmann.ac.il/complex/compphys/software/geview/data/figures/205382_s_at.png","Figure")</f>
        <v>Figure</v>
      </c>
      <c r="I8634">
        <v>1.18</v>
      </c>
      <c r="J8634">
        <v>0.13</v>
      </c>
      <c r="K8634">
        <v>1.07</v>
      </c>
      <c r="L8634">
        <v>0.62</v>
      </c>
      <c r="M8634">
        <v>0.90700000000000003</v>
      </c>
      <c r="N8634">
        <v>0.39</v>
      </c>
    </row>
    <row r="8635" spans="1:14" x14ac:dyDescent="0.25">
      <c r="A8635" t="s">
        <v>15236</v>
      </c>
      <c r="B8635" t="s">
        <v>2894</v>
      </c>
      <c r="C8635" s="1" t="str">
        <f>HYPERLINK("http://www.genecards.org/cgi-bin/carddisp.pl?gene=SMC3","GeneCards")</f>
        <v>GeneCards</v>
      </c>
      <c r="D8635" s="1" t="str">
        <f>HYPERLINK("http://genome-euro.ucsc.edu/cgi-bin/hgTracks?position=209257_s_at","UCSC")</f>
        <v>UCSC</v>
      </c>
      <c r="E8635" s="1" t="str">
        <f>HYPERLINK("http://www.ncbi.nlm.nih.gov/gene/?term=SMC3","NCBI")</f>
        <v>NCBI</v>
      </c>
      <c r="F8635">
        <v>0.15</v>
      </c>
      <c r="G8635">
        <v>0.28999999999999998</v>
      </c>
      <c r="H8635" s="1" t="str">
        <f>HYPERLINK("http://www.weizmann.ac.il/complex/compphys/software/geview/data/figures/209257_s_at.png","Figure")</f>
        <v>Figure</v>
      </c>
      <c r="I8635">
        <v>0.93300000000000005</v>
      </c>
      <c r="J8635">
        <v>0.93</v>
      </c>
      <c r="K8635">
        <v>0.71299999999999997</v>
      </c>
      <c r="L8635">
        <v>0.16</v>
      </c>
      <c r="M8635">
        <v>0.76500000000000001</v>
      </c>
      <c r="N8635">
        <v>0.34</v>
      </c>
    </row>
    <row r="8636" spans="1:14" x14ac:dyDescent="0.25">
      <c r="A8636" t="s">
        <v>15237</v>
      </c>
      <c r="B8636" t="s">
        <v>15238</v>
      </c>
      <c r="C8636" s="1" t="str">
        <f>HYPERLINK("http://www.genecards.org/cgi-bin/carddisp.pl?gene=FCGR1B","GeneCards")</f>
        <v>GeneCards</v>
      </c>
      <c r="D8636" s="1" t="str">
        <f>HYPERLINK("http://genome-euro.ucsc.edu/cgi-bin/hgTracks?position=214511_x_at","UCSC")</f>
        <v>UCSC</v>
      </c>
      <c r="E8636" s="1" t="str">
        <f>HYPERLINK("http://www.ncbi.nlm.nih.gov/gene/?term=FCGR1B","NCBI")</f>
        <v>NCBI</v>
      </c>
      <c r="F8636">
        <v>0.15</v>
      </c>
      <c r="G8636">
        <v>0.28999999999999998</v>
      </c>
      <c r="H8636" s="1" t="str">
        <f>HYPERLINK("http://www.weizmann.ac.il/complex/compphys/software/geview/data/figures/214511_x_at.png","Figure")</f>
        <v>Figure</v>
      </c>
      <c r="I8636">
        <v>1.1100000000000001</v>
      </c>
      <c r="J8636">
        <v>0.14000000000000001</v>
      </c>
      <c r="K8636">
        <v>1.06</v>
      </c>
      <c r="L8636">
        <v>0.36</v>
      </c>
      <c r="M8636">
        <v>0.96</v>
      </c>
      <c r="N8636">
        <v>0.66</v>
      </c>
    </row>
    <row r="8637" spans="1:14" x14ac:dyDescent="0.25">
      <c r="A8637" t="s">
        <v>15239</v>
      </c>
      <c r="B8637" t="s">
        <v>3070</v>
      </c>
      <c r="C8637" s="1" t="str">
        <f>HYPERLINK("http://www.genecards.org/cgi-bin/carddisp.pl?gene=GNAS","GeneCards")</f>
        <v>GeneCards</v>
      </c>
      <c r="D8637" s="1" t="str">
        <f>HYPERLINK("http://genome-euro.ucsc.edu/cgi-bin/hgTracks?position=217058_at","UCSC")</f>
        <v>UCSC</v>
      </c>
      <c r="E8637" s="1" t="str">
        <f>HYPERLINK("http://www.ncbi.nlm.nih.gov/gene/?term=GNAS","NCBI")</f>
        <v>NCBI</v>
      </c>
      <c r="F8637">
        <v>0.15</v>
      </c>
      <c r="G8637">
        <v>0.28999999999999998</v>
      </c>
      <c r="H8637" s="1" t="str">
        <f>HYPERLINK("http://www.weizmann.ac.il/complex/compphys/software/geview/data/figures/217058_at.png","Figure")</f>
        <v>Figure</v>
      </c>
      <c r="I8637">
        <v>1.18</v>
      </c>
      <c r="J8637">
        <v>0.28999999999999998</v>
      </c>
      <c r="K8637">
        <v>1.2</v>
      </c>
      <c r="L8637">
        <v>0.15</v>
      </c>
      <c r="M8637">
        <v>1.02</v>
      </c>
      <c r="N8637">
        <v>0.98</v>
      </c>
    </row>
    <row r="8638" spans="1:14" x14ac:dyDescent="0.25">
      <c r="A8638" t="s">
        <v>15240</v>
      </c>
      <c r="B8638" t="s">
        <v>11124</v>
      </c>
      <c r="C8638" s="1" t="str">
        <f>HYPERLINK("http://www.genecards.org/cgi-bin/carddisp.pl?gene=TAX1BP3","GeneCards")</f>
        <v>GeneCards</v>
      </c>
      <c r="D8638" s="1" t="str">
        <f>HYPERLINK("http://genome-euro.ucsc.edu/cgi-bin/hgTracks?position=209154_at","UCSC")</f>
        <v>UCSC</v>
      </c>
      <c r="E8638" s="1" t="str">
        <f>HYPERLINK("http://www.ncbi.nlm.nih.gov/gene/?term=TAX1BP3","NCBI")</f>
        <v>NCBI</v>
      </c>
      <c r="F8638">
        <v>0.15</v>
      </c>
      <c r="G8638">
        <v>0.28999999999999998</v>
      </c>
      <c r="H8638" s="1" t="str">
        <f>HYPERLINK("http://www.weizmann.ac.il/complex/compphys/software/geview/data/figures/209154_at.png","Figure")</f>
        <v>Figure</v>
      </c>
      <c r="I8638">
        <v>0.998</v>
      </c>
      <c r="J8638">
        <v>1</v>
      </c>
      <c r="K8638">
        <v>1.61</v>
      </c>
      <c r="L8638">
        <v>0.2</v>
      </c>
      <c r="M8638">
        <v>1.62</v>
      </c>
      <c r="N8638">
        <v>0.24</v>
      </c>
    </row>
    <row r="8639" spans="1:14" x14ac:dyDescent="0.25">
      <c r="A8639" t="s">
        <v>15241</v>
      </c>
      <c r="B8639" t="s">
        <v>15242</v>
      </c>
      <c r="C8639" s="1" t="str">
        <f>HYPERLINK("http://www.genecards.org/cgi-bin/carddisp.pl?gene=CKS1B","GeneCards")</f>
        <v>GeneCards</v>
      </c>
      <c r="D8639" s="1" t="str">
        <f>HYPERLINK("http://genome-euro.ucsc.edu/cgi-bin/hgTracks?position=201897_s_at","UCSC")</f>
        <v>UCSC</v>
      </c>
      <c r="E8639" s="1" t="str">
        <f>HYPERLINK("http://www.ncbi.nlm.nih.gov/gene/?term=CKS1B","NCBI")</f>
        <v>NCBI</v>
      </c>
      <c r="F8639">
        <v>0.15</v>
      </c>
      <c r="G8639">
        <v>0.28999999999999998</v>
      </c>
      <c r="H8639" s="1" t="str">
        <f>HYPERLINK("http://www.weizmann.ac.il/complex/compphys/software/geview/data/figures/201897_s_at.png","Figure")</f>
        <v>Figure</v>
      </c>
      <c r="I8639">
        <v>1.19</v>
      </c>
      <c r="J8639">
        <v>0.68</v>
      </c>
      <c r="K8639">
        <v>1.45</v>
      </c>
      <c r="L8639">
        <v>0.13</v>
      </c>
      <c r="M8639">
        <v>1.22</v>
      </c>
      <c r="N8639">
        <v>0.56000000000000005</v>
      </c>
    </row>
    <row r="8640" spans="1:14" x14ac:dyDescent="0.25">
      <c r="A8640" t="s">
        <v>15243</v>
      </c>
      <c r="B8640" t="s">
        <v>3443</v>
      </c>
      <c r="C8640" s="1" t="str">
        <f>HYPERLINK("http://www.genecards.org/cgi-bin/carddisp.pl?gene=PRKAR1A","GeneCards")</f>
        <v>GeneCards</v>
      </c>
      <c r="D8640" s="1" t="str">
        <f>HYPERLINK("http://genome-euro.ucsc.edu/cgi-bin/hgTracks?position=200605_s_at","UCSC")</f>
        <v>UCSC</v>
      </c>
      <c r="E8640" s="1" t="str">
        <f>HYPERLINK("http://www.ncbi.nlm.nih.gov/gene/?term=PRKAR1A","NCBI")</f>
        <v>NCBI</v>
      </c>
      <c r="F8640">
        <v>0.15</v>
      </c>
      <c r="G8640">
        <v>0.28999999999999998</v>
      </c>
      <c r="H8640" s="1" t="str">
        <f>HYPERLINK("http://www.weizmann.ac.il/complex/compphys/software/geview/data/figures/200605_s_at.png","Figure")</f>
        <v>Figure</v>
      </c>
      <c r="I8640">
        <v>1.05</v>
      </c>
      <c r="J8640">
        <v>0.98</v>
      </c>
      <c r="K8640">
        <v>1.59</v>
      </c>
      <c r="L8640">
        <v>0.18</v>
      </c>
      <c r="M8640">
        <v>1.52</v>
      </c>
      <c r="N8640">
        <v>0.28999999999999998</v>
      </c>
    </row>
    <row r="8641" spans="1:14" x14ac:dyDescent="0.25">
      <c r="A8641" t="s">
        <v>15244</v>
      </c>
      <c r="B8641" t="s">
        <v>15245</v>
      </c>
      <c r="C8641" s="1" t="str">
        <f>HYPERLINK("http://www.genecards.org/cgi-bin/carddisp.pl?gene=MST1R","GeneCards")</f>
        <v>GeneCards</v>
      </c>
      <c r="D8641" s="1" t="str">
        <f>HYPERLINK("http://genome-euro.ucsc.edu/cgi-bin/hgTracks?position=205455_at","UCSC")</f>
        <v>UCSC</v>
      </c>
      <c r="E8641" s="1" t="str">
        <f>HYPERLINK("http://www.ncbi.nlm.nih.gov/gene/?term=MST1R","NCBI")</f>
        <v>NCBI</v>
      </c>
      <c r="F8641">
        <v>0.15</v>
      </c>
      <c r="G8641">
        <v>0.28999999999999998</v>
      </c>
      <c r="H8641" s="1" t="str">
        <f>HYPERLINK("http://www.weizmann.ac.il/complex/compphys/software/geview/data/figures/205455_at.png","Figure")</f>
        <v>Figure</v>
      </c>
      <c r="I8641">
        <v>1.17</v>
      </c>
      <c r="J8641">
        <v>0.14000000000000001</v>
      </c>
      <c r="K8641">
        <v>1.1100000000000001</v>
      </c>
      <c r="L8641">
        <v>0.33</v>
      </c>
      <c r="M8641">
        <v>0.94299999999999995</v>
      </c>
      <c r="N8641">
        <v>0.71</v>
      </c>
    </row>
    <row r="8642" spans="1:14" x14ac:dyDescent="0.25">
      <c r="A8642" t="s">
        <v>15246</v>
      </c>
      <c r="B8642" t="s">
        <v>15247</v>
      </c>
      <c r="C8642" s="1" t="str">
        <f>HYPERLINK("http://www.genecards.org/cgi-bin/carddisp.pl?gene=BRD4","GeneCards")</f>
        <v>GeneCards</v>
      </c>
      <c r="D8642" s="1" t="str">
        <f>HYPERLINK("http://genome-euro.ucsc.edu/cgi-bin/hgTracks?position=202103_at","UCSC")</f>
        <v>UCSC</v>
      </c>
      <c r="E8642" s="1" t="str">
        <f>HYPERLINK("http://www.ncbi.nlm.nih.gov/gene/?term=BRD4","NCBI")</f>
        <v>NCBI</v>
      </c>
      <c r="F8642">
        <v>0.15</v>
      </c>
      <c r="G8642">
        <v>0.28999999999999998</v>
      </c>
      <c r="H8642" s="1" t="str">
        <f>HYPERLINK("http://www.weizmann.ac.il/complex/compphys/software/geview/data/figures/202103_at.png","Figure")</f>
        <v>Figure</v>
      </c>
      <c r="I8642">
        <v>1.1000000000000001</v>
      </c>
      <c r="J8642">
        <v>0.14000000000000001</v>
      </c>
      <c r="K8642">
        <v>1.03</v>
      </c>
      <c r="L8642">
        <v>0.77</v>
      </c>
      <c r="M8642">
        <v>0.93200000000000005</v>
      </c>
      <c r="N8642">
        <v>0.28999999999999998</v>
      </c>
    </row>
    <row r="8643" spans="1:14" x14ac:dyDescent="0.25">
      <c r="A8643" t="s">
        <v>15248</v>
      </c>
      <c r="B8643" t="s">
        <v>14986</v>
      </c>
      <c r="C8643" s="1" t="str">
        <f>HYPERLINK("http://www.genecards.org/cgi-bin/carddisp.pl?gene=FASTK","GeneCards")</f>
        <v>GeneCards</v>
      </c>
      <c r="D8643" s="1" t="str">
        <f>HYPERLINK("http://genome-euro.ucsc.edu/cgi-bin/hgTracks?position=202676_x_at","UCSC")</f>
        <v>UCSC</v>
      </c>
      <c r="E8643" s="1" t="str">
        <f>HYPERLINK("http://www.ncbi.nlm.nih.gov/gene/?term=FASTK","NCBI")</f>
        <v>NCBI</v>
      </c>
      <c r="F8643">
        <v>0.15</v>
      </c>
      <c r="G8643">
        <v>0.28999999999999998</v>
      </c>
      <c r="H8643" s="1" t="str">
        <f>HYPERLINK("http://www.weizmann.ac.il/complex/compphys/software/geview/data/figures/202676_x_at.png","Figure")</f>
        <v>Figure</v>
      </c>
      <c r="I8643">
        <v>1.26</v>
      </c>
      <c r="J8643">
        <v>0.14000000000000001</v>
      </c>
      <c r="K8643">
        <v>1.1599999999999999</v>
      </c>
      <c r="L8643">
        <v>0.33</v>
      </c>
      <c r="M8643">
        <v>0.91900000000000004</v>
      </c>
      <c r="N8643">
        <v>0.71</v>
      </c>
    </row>
    <row r="8644" spans="1:14" x14ac:dyDescent="0.25">
      <c r="A8644" t="s">
        <v>15249</v>
      </c>
      <c r="B8644" t="s">
        <v>1840</v>
      </c>
      <c r="C8644" s="1" t="str">
        <f>HYPERLINK("http://www.genecards.org/cgi-bin/carddisp.pl?gene=WDR45","GeneCards")</f>
        <v>GeneCards</v>
      </c>
      <c r="D8644" s="1" t="str">
        <f>HYPERLINK("http://genome-euro.ucsc.edu/cgi-bin/hgTracks?position=209217_s_at","UCSC")</f>
        <v>UCSC</v>
      </c>
      <c r="E8644" s="1" t="str">
        <f>HYPERLINK("http://www.ncbi.nlm.nih.gov/gene/?term=WDR45","NCBI")</f>
        <v>NCBI</v>
      </c>
      <c r="F8644">
        <v>0.15</v>
      </c>
      <c r="G8644">
        <v>0.28999999999999998</v>
      </c>
      <c r="H8644" s="1" t="str">
        <f>HYPERLINK("http://www.weizmann.ac.il/complex/compphys/software/geview/data/figures/209217_s_at.png","Figure")</f>
        <v>Figure</v>
      </c>
      <c r="I8644">
        <v>0.76100000000000001</v>
      </c>
      <c r="J8644">
        <v>0.13</v>
      </c>
      <c r="K8644">
        <v>0.90500000000000003</v>
      </c>
      <c r="L8644">
        <v>0.66</v>
      </c>
      <c r="M8644">
        <v>1.19</v>
      </c>
      <c r="N8644">
        <v>0.36</v>
      </c>
    </row>
    <row r="8645" spans="1:14" x14ac:dyDescent="0.25">
      <c r="A8645" t="s">
        <v>15250</v>
      </c>
      <c r="B8645" t="s">
        <v>15251</v>
      </c>
      <c r="C8645" s="1" t="str">
        <f>HYPERLINK("http://www.genecards.org/cgi-bin/carddisp.pl?gene=ARSF","GeneCards")</f>
        <v>GeneCards</v>
      </c>
      <c r="D8645" s="1" t="str">
        <f>HYPERLINK("http://genome-euro.ucsc.edu/cgi-bin/hgTracks?position=214490_at","UCSC")</f>
        <v>UCSC</v>
      </c>
      <c r="E8645" s="1" t="str">
        <f>HYPERLINK("http://www.ncbi.nlm.nih.gov/gene/?term=ARSF","NCBI")</f>
        <v>NCBI</v>
      </c>
      <c r="F8645">
        <v>0.15</v>
      </c>
      <c r="G8645">
        <v>0.28999999999999998</v>
      </c>
      <c r="H8645" s="1" t="str">
        <f>HYPERLINK("http://www.weizmann.ac.il/complex/compphys/software/geview/data/figures/214490_at.png","Figure")</f>
        <v>Figure</v>
      </c>
      <c r="I8645">
        <v>1.1499999999999999</v>
      </c>
      <c r="J8645">
        <v>0.17</v>
      </c>
      <c r="K8645">
        <v>1.1100000000000001</v>
      </c>
      <c r="L8645">
        <v>0.24</v>
      </c>
      <c r="M8645">
        <v>0.96699999999999997</v>
      </c>
      <c r="N8645">
        <v>0.87</v>
      </c>
    </row>
    <row r="8646" spans="1:14" x14ac:dyDescent="0.25">
      <c r="A8646" t="s">
        <v>15252</v>
      </c>
      <c r="B8646" t="s">
        <v>11586</v>
      </c>
      <c r="C8646" s="1" t="str">
        <f>HYPERLINK("http://www.genecards.org/cgi-bin/carddisp.pl?gene=MAPK1IP1L","GeneCards")</f>
        <v>GeneCards</v>
      </c>
      <c r="D8646" s="1" t="str">
        <f>HYPERLINK("http://genome-euro.ucsc.edu/cgi-bin/hgTracks?position=212497_at","UCSC")</f>
        <v>UCSC</v>
      </c>
      <c r="E8646" s="1" t="str">
        <f>HYPERLINK("http://www.ncbi.nlm.nih.gov/gene/?term=MAPK1IP1L","NCBI")</f>
        <v>NCBI</v>
      </c>
      <c r="F8646">
        <v>0.15</v>
      </c>
      <c r="G8646">
        <v>0.28999999999999998</v>
      </c>
      <c r="H8646" s="1" t="str">
        <f>HYPERLINK("http://www.weizmann.ac.il/complex/compphys/software/geview/data/figures/212497_at.png","Figure")</f>
        <v>Figure</v>
      </c>
      <c r="I8646">
        <v>0.92</v>
      </c>
      <c r="J8646">
        <v>0.63</v>
      </c>
      <c r="K8646">
        <v>0.84899999999999998</v>
      </c>
      <c r="L8646">
        <v>0.13</v>
      </c>
      <c r="M8646">
        <v>0.92300000000000004</v>
      </c>
      <c r="N8646">
        <v>0.61</v>
      </c>
    </row>
    <row r="8647" spans="1:14" x14ac:dyDescent="0.25">
      <c r="A8647" t="s">
        <v>15253</v>
      </c>
      <c r="B8647" t="s">
        <v>14723</v>
      </c>
      <c r="C8647" s="1" t="str">
        <f>HYPERLINK("http://www.genecards.org/cgi-bin/carddisp.pl?gene=GPR137","GeneCards")</f>
        <v>GeneCards</v>
      </c>
      <c r="D8647" s="1" t="str">
        <f>HYPERLINK("http://genome-euro.ucsc.edu/cgi-bin/hgTracks?position=221966_at","UCSC")</f>
        <v>UCSC</v>
      </c>
      <c r="E8647" s="1" t="str">
        <f>HYPERLINK("http://www.ncbi.nlm.nih.gov/gene/?term=GPR137","NCBI")</f>
        <v>NCBI</v>
      </c>
      <c r="F8647">
        <v>0.15</v>
      </c>
      <c r="G8647">
        <v>0.28999999999999998</v>
      </c>
      <c r="H8647" s="1" t="str">
        <f>HYPERLINK("http://www.weizmann.ac.il/complex/compphys/software/geview/data/figures/221966_at.png","Figure")</f>
        <v>Figure</v>
      </c>
      <c r="I8647">
        <v>1.2</v>
      </c>
      <c r="J8647">
        <v>0.15</v>
      </c>
      <c r="K8647">
        <v>1.1299999999999999</v>
      </c>
      <c r="L8647">
        <v>0.31</v>
      </c>
      <c r="M8647">
        <v>0.93899999999999995</v>
      </c>
      <c r="N8647">
        <v>0.75</v>
      </c>
    </row>
    <row r="8648" spans="1:14" x14ac:dyDescent="0.25">
      <c r="A8648" t="s">
        <v>15254</v>
      </c>
      <c r="B8648" t="s">
        <v>9630</v>
      </c>
      <c r="C8648" s="1" t="str">
        <f>HYPERLINK("http://www.genecards.org/cgi-bin/carddisp.pl?gene=DOCK9","GeneCards")</f>
        <v>GeneCards</v>
      </c>
      <c r="D8648" s="1" t="str">
        <f>HYPERLINK("http://genome-euro.ucsc.edu/cgi-bin/hgTracks?position=215238_s_at","UCSC")</f>
        <v>UCSC</v>
      </c>
      <c r="E8648" s="1" t="str">
        <f>HYPERLINK("http://www.ncbi.nlm.nih.gov/gene/?term=DOCK9","NCBI")</f>
        <v>NCBI</v>
      </c>
      <c r="F8648">
        <v>0.15</v>
      </c>
      <c r="G8648">
        <v>0.28999999999999998</v>
      </c>
      <c r="H8648" s="1" t="str">
        <f>HYPERLINK("http://www.weizmann.ac.il/complex/compphys/software/geview/data/figures/215238_s_at.png","Figure")</f>
        <v>Figure</v>
      </c>
      <c r="I8648">
        <v>1.07</v>
      </c>
      <c r="J8648">
        <v>0.13</v>
      </c>
      <c r="K8648">
        <v>1.03</v>
      </c>
      <c r="L8648">
        <v>0.51</v>
      </c>
      <c r="M8648">
        <v>0.96499999999999997</v>
      </c>
      <c r="N8648">
        <v>0.48</v>
      </c>
    </row>
    <row r="8649" spans="1:14" x14ac:dyDescent="0.25">
      <c r="A8649" t="s">
        <v>15255</v>
      </c>
      <c r="B8649" t="s">
        <v>15256</v>
      </c>
      <c r="C8649" s="1" t="str">
        <f>HYPERLINK("http://www.genecards.org/cgi-bin/carddisp.pl?gene=LBA1","GeneCards")</f>
        <v>GeneCards</v>
      </c>
      <c r="D8649" s="1" t="str">
        <f>HYPERLINK("http://genome-euro.ucsc.edu/cgi-bin/hgTracks?position=213261_at","UCSC")</f>
        <v>UCSC</v>
      </c>
      <c r="E8649" s="1" t="str">
        <f>HYPERLINK("http://www.ncbi.nlm.nih.gov/gene/?term=LBA1","NCBI")</f>
        <v>NCBI</v>
      </c>
      <c r="F8649">
        <v>0.15</v>
      </c>
      <c r="G8649">
        <v>0.28999999999999998</v>
      </c>
      <c r="H8649" s="1" t="str">
        <f>HYPERLINK("http://www.weizmann.ac.il/complex/compphys/software/geview/data/figures/213261_at.png","Figure")</f>
        <v>Figure</v>
      </c>
      <c r="I8649">
        <v>1.22</v>
      </c>
      <c r="J8649">
        <v>0.41</v>
      </c>
      <c r="K8649">
        <v>0.90800000000000003</v>
      </c>
      <c r="L8649">
        <v>0.74</v>
      </c>
      <c r="M8649">
        <v>0.746</v>
      </c>
      <c r="N8649">
        <v>0.13</v>
      </c>
    </row>
    <row r="8650" spans="1:14" x14ac:dyDescent="0.25">
      <c r="A8650" t="s">
        <v>15257</v>
      </c>
      <c r="B8650" t="s">
        <v>15258</v>
      </c>
      <c r="C8650" s="1" t="str">
        <f>HYPERLINK("http://www.genecards.org/cgi-bin/carddisp.pl?gene=TGS1","GeneCards")</f>
        <v>GeneCards</v>
      </c>
      <c r="D8650" s="1" t="str">
        <f>HYPERLINK("http://genome-euro.ucsc.edu/cgi-bin/hgTracks?position=219231_at","UCSC")</f>
        <v>UCSC</v>
      </c>
      <c r="E8650" s="1" t="str">
        <f>HYPERLINK("http://www.ncbi.nlm.nih.gov/gene/?term=TGS1","NCBI")</f>
        <v>NCBI</v>
      </c>
      <c r="F8650">
        <v>0.15</v>
      </c>
      <c r="G8650">
        <v>0.28999999999999998</v>
      </c>
      <c r="H8650" s="1" t="str">
        <f>HYPERLINK("http://www.weizmann.ac.il/complex/compphys/software/geview/data/figures/219231_at.png","Figure")</f>
        <v>Figure</v>
      </c>
      <c r="I8650">
        <v>0.74199999999999999</v>
      </c>
      <c r="J8650">
        <v>0.3</v>
      </c>
      <c r="K8650">
        <v>0.71299999999999997</v>
      </c>
      <c r="L8650">
        <v>0.15</v>
      </c>
      <c r="M8650">
        <v>0.96099999999999997</v>
      </c>
      <c r="N8650">
        <v>0.97</v>
      </c>
    </row>
    <row r="8651" spans="1:14" x14ac:dyDescent="0.25">
      <c r="A8651" t="s">
        <v>15259</v>
      </c>
      <c r="B8651" t="s">
        <v>15260</v>
      </c>
      <c r="C8651" s="1" t="str">
        <f>HYPERLINK("http://www.genecards.org/cgi-bin/carddisp.pl?gene=PAPSS1","GeneCards")</f>
        <v>GeneCards</v>
      </c>
      <c r="D8651" s="1" t="str">
        <f>HYPERLINK("http://genome-euro.ucsc.edu/cgi-bin/hgTracks?position=209043_at","UCSC")</f>
        <v>UCSC</v>
      </c>
      <c r="E8651" s="1" t="str">
        <f>HYPERLINK("http://www.ncbi.nlm.nih.gov/gene/?term=PAPSS1","NCBI")</f>
        <v>NCBI</v>
      </c>
      <c r="F8651">
        <v>0.15</v>
      </c>
      <c r="G8651">
        <v>0.28999999999999998</v>
      </c>
      <c r="H8651" s="1" t="str">
        <f>HYPERLINK("http://www.weizmann.ac.il/complex/compphys/software/geview/data/figures/209043_at.png","Figure")</f>
        <v>Figure</v>
      </c>
      <c r="I8651">
        <v>0.76500000000000001</v>
      </c>
      <c r="J8651">
        <v>0.65</v>
      </c>
      <c r="K8651">
        <v>1.36</v>
      </c>
      <c r="L8651">
        <v>0.48</v>
      </c>
      <c r="M8651">
        <v>1.78</v>
      </c>
      <c r="N8651">
        <v>0.14000000000000001</v>
      </c>
    </row>
    <row r="8652" spans="1:14" x14ac:dyDescent="0.25">
      <c r="A8652" t="s">
        <v>15261</v>
      </c>
      <c r="B8652" t="s">
        <v>15262</v>
      </c>
      <c r="C8652" s="1" t="str">
        <f>HYPERLINK("http://www.genecards.org/cgi-bin/carddisp.pl?gene=TRIM22","GeneCards")</f>
        <v>GeneCards</v>
      </c>
      <c r="D8652" s="1" t="str">
        <f>HYPERLINK("http://genome-euro.ucsc.edu/cgi-bin/hgTracks?position=213293_s_at","UCSC")</f>
        <v>UCSC</v>
      </c>
      <c r="E8652" s="1" t="str">
        <f>HYPERLINK("http://www.ncbi.nlm.nih.gov/gene/?term=TRIM22","NCBI")</f>
        <v>NCBI</v>
      </c>
      <c r="F8652">
        <v>0.15</v>
      </c>
      <c r="G8652">
        <v>0.28999999999999998</v>
      </c>
      <c r="H8652" s="1" t="str">
        <f>HYPERLINK("http://www.weizmann.ac.il/complex/compphys/software/geview/data/figures/213293_s_at.png","Figure")</f>
        <v>Figure</v>
      </c>
      <c r="I8652">
        <v>0.82799999999999996</v>
      </c>
      <c r="J8652">
        <v>0.8</v>
      </c>
      <c r="K8652">
        <v>0.59199999999999997</v>
      </c>
      <c r="L8652">
        <v>0.14000000000000001</v>
      </c>
      <c r="M8652">
        <v>0.71499999999999997</v>
      </c>
      <c r="N8652">
        <v>0.46</v>
      </c>
    </row>
    <row r="8653" spans="1:14" x14ac:dyDescent="0.25">
      <c r="A8653" t="s">
        <v>15263</v>
      </c>
      <c r="B8653" t="s">
        <v>15264</v>
      </c>
      <c r="C8653" s="1" t="str">
        <f>HYPERLINK("http://www.genecards.org/cgi-bin/carddisp.pl?gene=PAPPA","GeneCards")</f>
        <v>GeneCards</v>
      </c>
      <c r="D8653" s="1" t="str">
        <f>HYPERLINK("http://genome-euro.ucsc.edu/cgi-bin/hgTracks?position=201982_s_at","UCSC")</f>
        <v>UCSC</v>
      </c>
      <c r="E8653" s="1" t="str">
        <f>HYPERLINK("http://www.ncbi.nlm.nih.gov/gene/?term=PAPPA","NCBI")</f>
        <v>NCBI</v>
      </c>
      <c r="F8653">
        <v>0.15</v>
      </c>
      <c r="G8653">
        <v>0.28999999999999998</v>
      </c>
      <c r="H8653" s="1" t="str">
        <f>HYPERLINK("http://www.weizmann.ac.il/complex/compphys/software/geview/data/figures/201982_s_at.png","Figure")</f>
        <v>Figure</v>
      </c>
      <c r="I8653">
        <v>1.1399999999999999</v>
      </c>
      <c r="J8653">
        <v>0.17</v>
      </c>
      <c r="K8653">
        <v>1.01</v>
      </c>
      <c r="L8653">
        <v>0.97</v>
      </c>
      <c r="M8653">
        <v>0.89100000000000001</v>
      </c>
      <c r="N8653">
        <v>0.2</v>
      </c>
    </row>
    <row r="8654" spans="1:14" x14ac:dyDescent="0.25">
      <c r="A8654" t="s">
        <v>15265</v>
      </c>
      <c r="B8654" t="s">
        <v>12644</v>
      </c>
      <c r="C8654" s="1" t="str">
        <f>HYPERLINK("http://www.genecards.org/cgi-bin/carddisp.pl?gene=ST13","GeneCards")</f>
        <v>GeneCards</v>
      </c>
      <c r="D8654" s="1" t="str">
        <f>HYPERLINK("http://genome-euro.ucsc.edu/cgi-bin/hgTracks?position=207040_s_at","UCSC")</f>
        <v>UCSC</v>
      </c>
      <c r="E8654" s="1" t="str">
        <f>HYPERLINK("http://www.ncbi.nlm.nih.gov/gene/?term=ST13","NCBI")</f>
        <v>NCBI</v>
      </c>
      <c r="F8654">
        <v>0.15</v>
      </c>
      <c r="G8654">
        <v>0.28999999999999998</v>
      </c>
      <c r="H8654" s="1" t="str">
        <f>HYPERLINK("http://www.weizmann.ac.il/complex/compphys/software/geview/data/figures/207040_s_at.png","Figure")</f>
        <v>Figure</v>
      </c>
      <c r="I8654">
        <v>0.97699999999999998</v>
      </c>
      <c r="J8654">
        <v>0.99</v>
      </c>
      <c r="K8654">
        <v>1.3</v>
      </c>
      <c r="L8654">
        <v>0.23</v>
      </c>
      <c r="M8654">
        <v>1.33</v>
      </c>
      <c r="N8654">
        <v>0.22</v>
      </c>
    </row>
    <row r="8655" spans="1:14" x14ac:dyDescent="0.25">
      <c r="A8655" t="s">
        <v>15266</v>
      </c>
      <c r="B8655" t="s">
        <v>15267</v>
      </c>
      <c r="C8655" s="1" t="str">
        <f>HYPERLINK("http://www.genecards.org/cgi-bin/carddisp.pl?gene=APOL5","GeneCards")</f>
        <v>GeneCards</v>
      </c>
      <c r="D8655" s="1" t="str">
        <f>HYPERLINK("http://genome-euro.ucsc.edu/cgi-bin/hgTracks?position=220478_at","UCSC")</f>
        <v>UCSC</v>
      </c>
      <c r="E8655" s="1" t="str">
        <f>HYPERLINK("http://www.ncbi.nlm.nih.gov/gene/?term=APOL5","NCBI")</f>
        <v>NCBI</v>
      </c>
      <c r="F8655">
        <v>0.15</v>
      </c>
      <c r="G8655">
        <v>0.28999999999999998</v>
      </c>
      <c r="H8655" s="1" t="str">
        <f>HYPERLINK("http://www.weizmann.ac.il/complex/compphys/software/geview/data/figures/220478_at.png","Figure")</f>
        <v>Figure</v>
      </c>
      <c r="I8655">
        <v>1.1100000000000001</v>
      </c>
      <c r="J8655">
        <v>0.35</v>
      </c>
      <c r="K8655">
        <v>0.96199999999999997</v>
      </c>
      <c r="L8655">
        <v>0.83</v>
      </c>
      <c r="M8655">
        <v>0.86299999999999999</v>
      </c>
      <c r="N8655">
        <v>0.13</v>
      </c>
    </row>
    <row r="8656" spans="1:14" x14ac:dyDescent="0.25">
      <c r="A8656" t="s">
        <v>15268</v>
      </c>
      <c r="B8656" t="s">
        <v>11584</v>
      </c>
      <c r="C8656" s="1" t="str">
        <f>HYPERLINK("http://www.genecards.org/cgi-bin/carddisp.pl?gene=NCR3","GeneCards")</f>
        <v>GeneCards</v>
      </c>
      <c r="D8656" s="1" t="str">
        <f>HYPERLINK("http://genome-euro.ucsc.edu/cgi-bin/hgTracks?position=210763_x_at","UCSC")</f>
        <v>UCSC</v>
      </c>
      <c r="E8656" s="1" t="str">
        <f>HYPERLINK("http://www.ncbi.nlm.nih.gov/gene/?term=NCR3","NCBI")</f>
        <v>NCBI</v>
      </c>
      <c r="F8656">
        <v>0.15</v>
      </c>
      <c r="G8656">
        <v>0.28999999999999998</v>
      </c>
      <c r="H8656" s="1" t="str">
        <f>HYPERLINK("http://www.weizmann.ac.il/complex/compphys/software/geview/data/figures/210763_x_at.png","Figure")</f>
        <v>Figure</v>
      </c>
      <c r="I8656">
        <v>1.17</v>
      </c>
      <c r="J8656">
        <v>0.21</v>
      </c>
      <c r="K8656">
        <v>0.998</v>
      </c>
      <c r="L8656">
        <v>1</v>
      </c>
      <c r="M8656">
        <v>0.85599999999999998</v>
      </c>
      <c r="N8656">
        <v>0.16</v>
      </c>
    </row>
    <row r="8657" spans="1:14" x14ac:dyDescent="0.25">
      <c r="A8657" t="s">
        <v>15269</v>
      </c>
      <c r="B8657" t="s">
        <v>9929</v>
      </c>
      <c r="C8657" s="1" t="str">
        <f>HYPERLINK("http://www.genecards.org/cgi-bin/carddisp.pl?gene=IFI16","GeneCards")</f>
        <v>GeneCards</v>
      </c>
      <c r="D8657" s="1" t="str">
        <f>HYPERLINK("http://genome-euro.ucsc.edu/cgi-bin/hgTracks?position=208966_x_at","UCSC")</f>
        <v>UCSC</v>
      </c>
      <c r="E8657" s="1" t="str">
        <f>HYPERLINK("http://www.ncbi.nlm.nih.gov/gene/?term=IFI16","NCBI")</f>
        <v>NCBI</v>
      </c>
      <c r="F8657">
        <v>0.15</v>
      </c>
      <c r="G8657">
        <v>0.28999999999999998</v>
      </c>
      <c r="H8657" s="1" t="str">
        <f>HYPERLINK("http://www.weizmann.ac.il/complex/compphys/software/geview/data/figures/208966_x_at.png","Figure")</f>
        <v>Figure</v>
      </c>
      <c r="I8657">
        <v>0.63800000000000001</v>
      </c>
      <c r="J8657">
        <v>0.23</v>
      </c>
      <c r="K8657">
        <v>0.64700000000000002</v>
      </c>
      <c r="L8657">
        <v>0.17</v>
      </c>
      <c r="M8657">
        <v>1.01</v>
      </c>
      <c r="N8657">
        <v>1</v>
      </c>
    </row>
    <row r="8658" spans="1:14" x14ac:dyDescent="0.25">
      <c r="A8658" t="s">
        <v>15270</v>
      </c>
      <c r="B8658" t="s">
        <v>2535</v>
      </c>
      <c r="C8658" s="1" t="str">
        <f>HYPERLINK("http://www.genecards.org/cgi-bin/carddisp.pl?gene=CD44","GeneCards")</f>
        <v>GeneCards</v>
      </c>
      <c r="D8658" s="1" t="str">
        <f>HYPERLINK("http://genome-euro.ucsc.edu/cgi-bin/hgTracks?position=204489_s_at","UCSC")</f>
        <v>UCSC</v>
      </c>
      <c r="E8658" s="1" t="str">
        <f>HYPERLINK("http://www.ncbi.nlm.nih.gov/gene/?term=CD44","NCBI")</f>
        <v>NCBI</v>
      </c>
      <c r="F8658">
        <v>0.15</v>
      </c>
      <c r="G8658">
        <v>0.28999999999999998</v>
      </c>
      <c r="H8658" s="1" t="str">
        <f>HYPERLINK("http://www.weizmann.ac.il/complex/compphys/software/geview/data/figures/204489_s_at.png","Figure")</f>
        <v>Figure</v>
      </c>
      <c r="I8658">
        <v>1.48</v>
      </c>
      <c r="J8658">
        <v>0.34</v>
      </c>
      <c r="K8658">
        <v>1.62</v>
      </c>
      <c r="L8658">
        <v>0.14000000000000001</v>
      </c>
      <c r="M8658">
        <v>1.1000000000000001</v>
      </c>
      <c r="N8658">
        <v>0.93</v>
      </c>
    </row>
    <row r="8659" spans="1:14" x14ac:dyDescent="0.25">
      <c r="A8659" t="s">
        <v>15271</v>
      </c>
      <c r="B8659" t="s">
        <v>15272</v>
      </c>
      <c r="C8659" s="1" t="str">
        <f>HYPERLINK("http://www.genecards.org/cgi-bin/carddisp.pl?gene=PAQR6","GeneCards")</f>
        <v>GeneCards</v>
      </c>
      <c r="D8659" s="1" t="str">
        <f>HYPERLINK("http://genome-euro.ucsc.edu/cgi-bin/hgTracks?position=219236_at","UCSC")</f>
        <v>UCSC</v>
      </c>
      <c r="E8659" s="1" t="str">
        <f>HYPERLINK("http://www.ncbi.nlm.nih.gov/gene/?term=PAQR6","NCBI")</f>
        <v>NCBI</v>
      </c>
      <c r="F8659">
        <v>0.15</v>
      </c>
      <c r="G8659">
        <v>0.28999999999999998</v>
      </c>
      <c r="H8659" s="1" t="str">
        <f>HYPERLINK("http://www.weizmann.ac.il/complex/compphys/software/geview/data/figures/219236_at.png","Figure")</f>
        <v>Figure</v>
      </c>
      <c r="I8659">
        <v>1.21</v>
      </c>
      <c r="J8659">
        <v>0.16</v>
      </c>
      <c r="K8659">
        <v>1.1499999999999999</v>
      </c>
      <c r="L8659">
        <v>0.27</v>
      </c>
      <c r="M8659">
        <v>0.94699999999999995</v>
      </c>
      <c r="N8659">
        <v>0.82</v>
      </c>
    </row>
    <row r="8660" spans="1:14" x14ac:dyDescent="0.25">
      <c r="A8660" t="s">
        <v>15273</v>
      </c>
      <c r="B8660" t="s">
        <v>11679</v>
      </c>
      <c r="C8660" s="1" t="str">
        <f>HYPERLINK("http://www.genecards.org/cgi-bin/carddisp.pl?gene=RPL22","GeneCards")</f>
        <v>GeneCards</v>
      </c>
      <c r="D8660" s="1" t="str">
        <f>HYPERLINK("http://genome-euro.ucsc.edu/cgi-bin/hgTracks?position=214042_s_at","UCSC")</f>
        <v>UCSC</v>
      </c>
      <c r="E8660" s="1" t="str">
        <f>HYPERLINK("http://www.ncbi.nlm.nih.gov/gene/?term=RPL22","NCBI")</f>
        <v>NCBI</v>
      </c>
      <c r="F8660">
        <v>0.15</v>
      </c>
      <c r="G8660">
        <v>0.28999999999999998</v>
      </c>
      <c r="H8660" s="1" t="str">
        <f>HYPERLINK("http://www.weizmann.ac.il/complex/compphys/software/geview/data/figures/214042_s_at.png","Figure")</f>
        <v>Figure</v>
      </c>
      <c r="I8660">
        <v>1.19</v>
      </c>
      <c r="J8660">
        <v>0.66</v>
      </c>
      <c r="K8660">
        <v>1.44</v>
      </c>
      <c r="L8660">
        <v>0.13</v>
      </c>
      <c r="M8660">
        <v>1.2</v>
      </c>
      <c r="N8660">
        <v>0.57999999999999996</v>
      </c>
    </row>
    <row r="8661" spans="1:14" x14ac:dyDescent="0.25">
      <c r="A8661" t="s">
        <v>15274</v>
      </c>
      <c r="B8661" t="s">
        <v>15275</v>
      </c>
      <c r="C8661" s="1" t="str">
        <f>HYPERLINK("http://www.genecards.org/cgi-bin/carddisp.pl?gene=ATHL1","GeneCards")</f>
        <v>GeneCards</v>
      </c>
      <c r="D8661" s="1" t="str">
        <f>HYPERLINK("http://genome-euro.ucsc.edu/cgi-bin/hgTracks?position=219359_at","UCSC")</f>
        <v>UCSC</v>
      </c>
      <c r="E8661" s="1" t="str">
        <f>HYPERLINK("http://www.ncbi.nlm.nih.gov/gene/?term=ATHL1","NCBI")</f>
        <v>NCBI</v>
      </c>
      <c r="F8661">
        <v>0.15</v>
      </c>
      <c r="G8661">
        <v>0.28999999999999998</v>
      </c>
      <c r="H8661" s="1" t="str">
        <f>HYPERLINK("http://www.weizmann.ac.il/complex/compphys/software/geview/data/figures/219359_at.png","Figure")</f>
        <v>Figure</v>
      </c>
      <c r="I8661">
        <v>2.2799999999999998</v>
      </c>
      <c r="J8661">
        <v>0.16</v>
      </c>
      <c r="K8661">
        <v>1.1499999999999999</v>
      </c>
      <c r="L8661">
        <v>0.92</v>
      </c>
      <c r="M8661">
        <v>0.504</v>
      </c>
      <c r="N8661">
        <v>0.22</v>
      </c>
    </row>
    <row r="8662" spans="1:14" x14ac:dyDescent="0.25">
      <c r="A8662" t="s">
        <v>15276</v>
      </c>
      <c r="B8662" t="s">
        <v>15277</v>
      </c>
      <c r="C8662" s="1" t="str">
        <f>HYPERLINK("http://www.genecards.org/cgi-bin/carddisp.pl?gene=HLA-DQB1","GeneCards")</f>
        <v>GeneCards</v>
      </c>
      <c r="D8662" s="1" t="str">
        <f>HYPERLINK("http://genome-euro.ucsc.edu/cgi-bin/hgTracks?position=209823_x_at","UCSC")</f>
        <v>UCSC</v>
      </c>
      <c r="E8662" s="1" t="str">
        <f>HYPERLINK("http://www.ncbi.nlm.nih.gov/gene/?term=HLA-DQB1","NCBI")</f>
        <v>NCBI</v>
      </c>
      <c r="F8662">
        <v>0.15</v>
      </c>
      <c r="G8662">
        <v>0.28999999999999998</v>
      </c>
      <c r="H8662" s="1" t="str">
        <f>HYPERLINK("http://www.weizmann.ac.il/complex/compphys/software/geview/data/figures/209823_x_at.png","Figure")</f>
        <v>Figure</v>
      </c>
      <c r="I8662">
        <v>1.46</v>
      </c>
      <c r="J8662">
        <v>0.59</v>
      </c>
      <c r="K8662">
        <v>0.70199999999999996</v>
      </c>
      <c r="L8662">
        <v>0.54</v>
      </c>
      <c r="M8662">
        <v>0.48199999999999998</v>
      </c>
      <c r="N8662">
        <v>0.13</v>
      </c>
    </row>
    <row r="8663" spans="1:14" x14ac:dyDescent="0.25">
      <c r="A8663" t="s">
        <v>15278</v>
      </c>
      <c r="B8663" t="s">
        <v>15279</v>
      </c>
      <c r="C8663" s="1" t="str">
        <f>HYPERLINK("http://www.genecards.org/cgi-bin/carddisp.pl?gene=NUP205","GeneCards")</f>
        <v>GeneCards</v>
      </c>
      <c r="D8663" s="1" t="str">
        <f>HYPERLINK("http://genome-euro.ucsc.edu/cgi-bin/hgTracks?position=212247_at","UCSC")</f>
        <v>UCSC</v>
      </c>
      <c r="E8663" s="1" t="str">
        <f>HYPERLINK("http://www.ncbi.nlm.nih.gov/gene/?term=NUP205","NCBI")</f>
        <v>NCBI</v>
      </c>
      <c r="F8663">
        <v>0.15</v>
      </c>
      <c r="G8663">
        <v>0.28999999999999998</v>
      </c>
      <c r="H8663" s="1" t="str">
        <f>HYPERLINK("http://www.weizmann.ac.il/complex/compphys/software/geview/data/figures/212247_at.png","Figure")</f>
        <v>Figure</v>
      </c>
      <c r="I8663">
        <v>0.83399999999999996</v>
      </c>
      <c r="J8663">
        <v>0.51</v>
      </c>
      <c r="K8663">
        <v>0.74399999999999999</v>
      </c>
      <c r="L8663">
        <v>0.13</v>
      </c>
      <c r="M8663">
        <v>0.89200000000000002</v>
      </c>
      <c r="N8663">
        <v>0.73</v>
      </c>
    </row>
    <row r="8664" spans="1:14" x14ac:dyDescent="0.25">
      <c r="A8664" t="s">
        <v>15280</v>
      </c>
      <c r="B8664" t="s">
        <v>15281</v>
      </c>
      <c r="C8664" s="1" t="str">
        <f>HYPERLINK("http://www.genecards.org/cgi-bin/carddisp.pl?gene=MTG1","GeneCards")</f>
        <v>GeneCards</v>
      </c>
      <c r="D8664" s="1" t="str">
        <f>HYPERLINK("http://genome-euro.ucsc.edu/cgi-bin/hgTracks?position=212767_at","UCSC")</f>
        <v>UCSC</v>
      </c>
      <c r="E8664" s="1" t="str">
        <f>HYPERLINK("http://www.ncbi.nlm.nih.gov/gene/?term=MTG1","NCBI")</f>
        <v>NCBI</v>
      </c>
      <c r="F8664">
        <v>0.15</v>
      </c>
      <c r="G8664">
        <v>0.28999999999999998</v>
      </c>
      <c r="H8664" s="1" t="str">
        <f>HYPERLINK("http://www.weizmann.ac.il/complex/compphys/software/geview/data/figures/212767_at.png","Figure")</f>
        <v>Figure</v>
      </c>
      <c r="I8664">
        <v>0.77</v>
      </c>
      <c r="J8664">
        <v>0.44</v>
      </c>
      <c r="K8664">
        <v>1.1599999999999999</v>
      </c>
      <c r="L8664">
        <v>0.7</v>
      </c>
      <c r="M8664">
        <v>1.5</v>
      </c>
      <c r="N8664">
        <v>0.13</v>
      </c>
    </row>
    <row r="8665" spans="1:14" x14ac:dyDescent="0.25">
      <c r="A8665" t="s">
        <v>15282</v>
      </c>
      <c r="B8665" t="s">
        <v>15283</v>
      </c>
      <c r="C8665" s="1" t="str">
        <f>HYPERLINK("http://www.genecards.org/cgi-bin/carddisp.pl?gene=TCEB1","GeneCards")</f>
        <v>GeneCards</v>
      </c>
      <c r="D8665" s="1" t="str">
        <f>HYPERLINK("http://genome-euro.ucsc.edu/cgi-bin/hgTracks?position=202823_at","UCSC")</f>
        <v>UCSC</v>
      </c>
      <c r="E8665" s="1" t="str">
        <f>HYPERLINK("http://www.ncbi.nlm.nih.gov/gene/?term=TCEB1","NCBI")</f>
        <v>NCBI</v>
      </c>
      <c r="F8665">
        <v>0.15</v>
      </c>
      <c r="G8665">
        <v>0.28999999999999998</v>
      </c>
      <c r="H8665" s="1" t="str">
        <f>HYPERLINK("http://www.weizmann.ac.il/complex/compphys/software/geview/data/figures/202823_at.png","Figure")</f>
        <v>Figure</v>
      </c>
      <c r="I8665">
        <v>0.89800000000000002</v>
      </c>
      <c r="J8665">
        <v>0.2</v>
      </c>
      <c r="K8665">
        <v>1</v>
      </c>
      <c r="L8665">
        <v>1</v>
      </c>
      <c r="M8665">
        <v>1.1100000000000001</v>
      </c>
      <c r="N8665">
        <v>0.17</v>
      </c>
    </row>
    <row r="8666" spans="1:14" x14ac:dyDescent="0.25">
      <c r="A8666" t="s">
        <v>15284</v>
      </c>
      <c r="B8666" t="s">
        <v>12017</v>
      </c>
      <c r="C8666" s="1" t="str">
        <f>HYPERLINK("http://www.genecards.org/cgi-bin/carddisp.pl?gene=PDCL","GeneCards")</f>
        <v>GeneCards</v>
      </c>
      <c r="D8666" s="1" t="str">
        <f>HYPERLINK("http://genome-euro.ucsc.edu/cgi-bin/hgTracks?position=204449_at","UCSC")</f>
        <v>UCSC</v>
      </c>
      <c r="E8666" s="1" t="str">
        <f>HYPERLINK("http://www.ncbi.nlm.nih.gov/gene/?term=PDCL","NCBI")</f>
        <v>NCBI</v>
      </c>
      <c r="F8666">
        <v>0.15</v>
      </c>
      <c r="G8666">
        <v>0.28999999999999998</v>
      </c>
      <c r="H8666" s="1" t="str">
        <f>HYPERLINK("http://www.weizmann.ac.il/complex/compphys/software/geview/data/figures/204449_at.png","Figure")</f>
        <v>Figure</v>
      </c>
      <c r="I8666">
        <v>0.79</v>
      </c>
      <c r="J8666">
        <v>0.23</v>
      </c>
      <c r="K8666">
        <v>0.79600000000000004</v>
      </c>
      <c r="L8666">
        <v>0.17</v>
      </c>
      <c r="M8666">
        <v>1.01</v>
      </c>
      <c r="N8666">
        <v>1</v>
      </c>
    </row>
    <row r="8667" spans="1:14" x14ac:dyDescent="0.25">
      <c r="A8667" t="s">
        <v>15285</v>
      </c>
      <c r="B8667" t="s">
        <v>15286</v>
      </c>
      <c r="C8667" s="1" t="str">
        <f>HYPERLINK("http://www.genecards.org/cgi-bin/carddisp.pl?gene=LRRC47","GeneCards")</f>
        <v>GeneCards</v>
      </c>
      <c r="D8667" s="1" t="str">
        <f>HYPERLINK("http://genome-euro.ucsc.edu/cgi-bin/hgTracks?position=212904_at","UCSC")</f>
        <v>UCSC</v>
      </c>
      <c r="E8667" s="1" t="str">
        <f>HYPERLINK("http://www.ncbi.nlm.nih.gov/gene/?term=LRRC47","NCBI")</f>
        <v>NCBI</v>
      </c>
      <c r="F8667">
        <v>0.15</v>
      </c>
      <c r="G8667">
        <v>0.28999999999999998</v>
      </c>
      <c r="H8667" s="1" t="str">
        <f>HYPERLINK("http://www.weizmann.ac.il/complex/compphys/software/geview/data/figures/212904_at.png","Figure")</f>
        <v>Figure</v>
      </c>
      <c r="I8667">
        <v>0.65600000000000003</v>
      </c>
      <c r="J8667">
        <v>0.13</v>
      </c>
      <c r="K8667">
        <v>0.84499999999999997</v>
      </c>
      <c r="L8667">
        <v>0.61</v>
      </c>
      <c r="M8667">
        <v>1.29</v>
      </c>
      <c r="N8667">
        <v>0.4</v>
      </c>
    </row>
    <row r="8668" spans="1:14" x14ac:dyDescent="0.25">
      <c r="A8668" t="s">
        <v>15287</v>
      </c>
      <c r="B8668" t="s">
        <v>15288</v>
      </c>
      <c r="C8668" s="1" t="str">
        <f>HYPERLINK("http://www.genecards.org/cgi-bin/carddisp.pl?gene=TSC22D4","GeneCards")</f>
        <v>GeneCards</v>
      </c>
      <c r="D8668" s="1" t="str">
        <f>HYPERLINK("http://genome-euro.ucsc.edu/cgi-bin/hgTracks?position=208104_s_at","UCSC")</f>
        <v>UCSC</v>
      </c>
      <c r="E8668" s="1" t="str">
        <f>HYPERLINK("http://www.ncbi.nlm.nih.gov/gene/?term=TSC22D4","NCBI")</f>
        <v>NCBI</v>
      </c>
      <c r="F8668">
        <v>0.15</v>
      </c>
      <c r="G8668">
        <v>0.28999999999999998</v>
      </c>
      <c r="H8668" s="1" t="str">
        <f>HYPERLINK("http://www.weizmann.ac.il/complex/compphys/software/geview/data/figures/208104_s_at.png","Figure")</f>
        <v>Figure</v>
      </c>
      <c r="I8668">
        <v>1.31</v>
      </c>
      <c r="J8668">
        <v>0.14000000000000001</v>
      </c>
      <c r="K8668">
        <v>1.08</v>
      </c>
      <c r="L8668">
        <v>0.8</v>
      </c>
      <c r="M8668">
        <v>0.82</v>
      </c>
      <c r="N8668">
        <v>0.28000000000000003</v>
      </c>
    </row>
    <row r="8669" spans="1:14" x14ac:dyDescent="0.25">
      <c r="A8669" t="s">
        <v>15289</v>
      </c>
      <c r="B8669" t="s">
        <v>15290</v>
      </c>
      <c r="C8669" s="1" t="str">
        <f>HYPERLINK("http://www.genecards.org/cgi-bin/carddisp.pl?gene=KIAA0368","GeneCards")</f>
        <v>GeneCards</v>
      </c>
      <c r="D8669" s="1" t="str">
        <f>HYPERLINK("http://genome-euro.ucsc.edu/cgi-bin/hgTracks?position=212428_at","UCSC")</f>
        <v>UCSC</v>
      </c>
      <c r="E8669" s="1" t="str">
        <f>HYPERLINK("http://www.ncbi.nlm.nih.gov/gene/?term=KIAA0368","NCBI")</f>
        <v>NCBI</v>
      </c>
      <c r="F8669">
        <v>0.15</v>
      </c>
      <c r="G8669">
        <v>0.28999999999999998</v>
      </c>
      <c r="H8669" s="1" t="str">
        <f>HYPERLINK("http://www.weizmann.ac.il/complex/compphys/software/geview/data/figures/212428_at.png","Figure")</f>
        <v>Figure</v>
      </c>
      <c r="I8669">
        <v>0.59299999999999997</v>
      </c>
      <c r="J8669">
        <v>0.27</v>
      </c>
      <c r="K8669">
        <v>1.1000000000000001</v>
      </c>
      <c r="L8669">
        <v>0.94</v>
      </c>
      <c r="M8669">
        <v>1.85</v>
      </c>
      <c r="N8669">
        <v>0.14000000000000001</v>
      </c>
    </row>
    <row r="8670" spans="1:14" x14ac:dyDescent="0.25">
      <c r="A8670" t="s">
        <v>15291</v>
      </c>
      <c r="B8670" t="s">
        <v>15292</v>
      </c>
      <c r="C8670" s="1" t="str">
        <f>HYPERLINK("http://www.genecards.org/cgi-bin/carddisp.pl?gene=CDO1","GeneCards")</f>
        <v>GeneCards</v>
      </c>
      <c r="D8670" s="1" t="str">
        <f>HYPERLINK("http://genome-euro.ucsc.edu/cgi-bin/hgTracks?position=204154_at","UCSC")</f>
        <v>UCSC</v>
      </c>
      <c r="E8670" s="1" t="str">
        <f>HYPERLINK("http://www.ncbi.nlm.nih.gov/gene/?term=CDO1","NCBI")</f>
        <v>NCBI</v>
      </c>
      <c r="F8670">
        <v>0.15</v>
      </c>
      <c r="G8670">
        <v>0.28999999999999998</v>
      </c>
      <c r="H8670" s="1" t="str">
        <f>HYPERLINK("http://www.weizmann.ac.il/complex/compphys/software/geview/data/figures/204154_at.png","Figure")</f>
        <v>Figure</v>
      </c>
      <c r="I8670">
        <v>1.03</v>
      </c>
      <c r="J8670">
        <v>0.24</v>
      </c>
      <c r="K8670">
        <v>1.03</v>
      </c>
      <c r="L8670">
        <v>0.17</v>
      </c>
      <c r="M8670">
        <v>1</v>
      </c>
      <c r="N8670">
        <v>1</v>
      </c>
    </row>
    <row r="8671" spans="1:14" x14ac:dyDescent="0.25">
      <c r="A8671" t="s">
        <v>15293</v>
      </c>
      <c r="B8671" t="s">
        <v>10405</v>
      </c>
      <c r="C8671" s="1" t="str">
        <f>HYPERLINK("http://www.genecards.org/cgi-bin/carddisp.pl?gene=PDIA6","GeneCards")</f>
        <v>GeneCards</v>
      </c>
      <c r="D8671" s="1" t="str">
        <f>HYPERLINK("http://genome-euro.ucsc.edu/cgi-bin/hgTracks?position=208639_x_at","UCSC")</f>
        <v>UCSC</v>
      </c>
      <c r="E8671" s="1" t="str">
        <f>HYPERLINK("http://www.ncbi.nlm.nih.gov/gene/?term=PDIA6","NCBI")</f>
        <v>NCBI</v>
      </c>
      <c r="F8671">
        <v>0.15</v>
      </c>
      <c r="G8671">
        <v>0.28999999999999998</v>
      </c>
      <c r="H8671" s="1" t="str">
        <f>HYPERLINK("http://www.weizmann.ac.il/complex/compphys/software/geview/data/figures/208639_x_at.png","Figure")</f>
        <v>Figure</v>
      </c>
      <c r="I8671">
        <v>0.98799999999999999</v>
      </c>
      <c r="J8671">
        <v>1</v>
      </c>
      <c r="K8671">
        <v>1.42</v>
      </c>
      <c r="L8671">
        <v>0.21</v>
      </c>
      <c r="M8671">
        <v>1.44</v>
      </c>
      <c r="N8671">
        <v>0.23</v>
      </c>
    </row>
    <row r="8672" spans="1:14" x14ac:dyDescent="0.25">
      <c r="A8672" t="s">
        <v>15294</v>
      </c>
      <c r="B8672" t="s">
        <v>15295</v>
      </c>
      <c r="C8672" s="1" t="str">
        <f>HYPERLINK("http://www.genecards.org/cgi-bin/carddisp.pl?gene=CCL3 /// CCL3L1 /// CCL3L3","GeneCards")</f>
        <v>GeneCards</v>
      </c>
      <c r="D8672" s="1" t="str">
        <f>HYPERLINK("http://genome-euro.ucsc.edu/cgi-bin/hgTracks?position=205114_s_at","UCSC")</f>
        <v>UCSC</v>
      </c>
      <c r="E8672" s="1" t="str">
        <f>HYPERLINK("http://www.ncbi.nlm.nih.gov/gene/?term=CCL3 /// CCL3L1 /// CCL3L3","NCBI")</f>
        <v>NCBI</v>
      </c>
      <c r="F8672">
        <v>0.15</v>
      </c>
      <c r="G8672">
        <v>0.28999999999999998</v>
      </c>
      <c r="H8672" s="1" t="str">
        <f>HYPERLINK("http://www.weizmann.ac.il/complex/compphys/software/geview/data/figures/205114_s_at.png","Figure")</f>
        <v>Figure</v>
      </c>
      <c r="I8672">
        <v>0.50700000000000001</v>
      </c>
      <c r="J8672">
        <v>0.33</v>
      </c>
      <c r="K8672">
        <v>1.24</v>
      </c>
      <c r="L8672">
        <v>0.86</v>
      </c>
      <c r="M8672">
        <v>2.44</v>
      </c>
      <c r="N8672">
        <v>0.13</v>
      </c>
    </row>
    <row r="8673" spans="1:14" x14ac:dyDescent="0.25">
      <c r="A8673" t="s">
        <v>15296</v>
      </c>
      <c r="B8673" t="s">
        <v>15297</v>
      </c>
      <c r="C8673" s="1" t="str">
        <f>HYPERLINK("http://www.genecards.org/cgi-bin/carddisp.pl?gene=ITK","GeneCards")</f>
        <v>GeneCards</v>
      </c>
      <c r="D8673" s="1" t="str">
        <f>HYPERLINK("http://genome-euro.ucsc.edu/cgi-bin/hgTracks?position=211339_s_at","UCSC")</f>
        <v>UCSC</v>
      </c>
      <c r="E8673" s="1" t="str">
        <f>HYPERLINK("http://www.ncbi.nlm.nih.gov/gene/?term=ITK","NCBI")</f>
        <v>NCBI</v>
      </c>
      <c r="F8673">
        <v>0.15</v>
      </c>
      <c r="G8673">
        <v>0.28999999999999998</v>
      </c>
      <c r="H8673" s="1" t="str">
        <f>HYPERLINK("http://www.weizmann.ac.il/complex/compphys/software/geview/data/figures/211339_s_at.png","Figure")</f>
        <v>Figure</v>
      </c>
      <c r="I8673">
        <v>0.96299999999999997</v>
      </c>
      <c r="J8673">
        <v>0.98</v>
      </c>
      <c r="K8673">
        <v>0.70599999999999996</v>
      </c>
      <c r="L8673">
        <v>0.18</v>
      </c>
      <c r="M8673">
        <v>0.73399999999999999</v>
      </c>
      <c r="N8673">
        <v>0.28999999999999998</v>
      </c>
    </row>
    <row r="8674" spans="1:14" x14ac:dyDescent="0.25">
      <c r="A8674" t="s">
        <v>15298</v>
      </c>
      <c r="B8674" t="s">
        <v>15299</v>
      </c>
      <c r="C8674" s="1" t="str">
        <f>HYPERLINK("http://www.genecards.org/cgi-bin/carddisp.pl?gene=ERN1","GeneCards")</f>
        <v>GeneCards</v>
      </c>
      <c r="D8674" s="1" t="str">
        <f>HYPERLINK("http://genome-euro.ucsc.edu/cgi-bin/hgTracks?position=207061_at","UCSC")</f>
        <v>UCSC</v>
      </c>
      <c r="E8674" s="1" t="str">
        <f>HYPERLINK("http://www.ncbi.nlm.nih.gov/gene/?term=ERN1","NCBI")</f>
        <v>NCBI</v>
      </c>
      <c r="F8674">
        <v>0.15</v>
      </c>
      <c r="G8674">
        <v>0.28999999999999998</v>
      </c>
      <c r="H8674" s="1" t="str">
        <f>HYPERLINK("http://www.weizmann.ac.il/complex/compphys/software/geview/data/figures/207061_at.png","Figure")</f>
        <v>Figure</v>
      </c>
      <c r="I8674">
        <v>1.1200000000000001</v>
      </c>
      <c r="J8674">
        <v>0.21</v>
      </c>
      <c r="K8674">
        <v>0.997</v>
      </c>
      <c r="L8674">
        <v>1</v>
      </c>
      <c r="M8674">
        <v>0.89</v>
      </c>
      <c r="N8674">
        <v>0.16</v>
      </c>
    </row>
    <row r="8675" spans="1:14" x14ac:dyDescent="0.25">
      <c r="A8675" t="s">
        <v>15300</v>
      </c>
      <c r="B8675" t="s">
        <v>1157</v>
      </c>
      <c r="C8675" s="1" t="str">
        <f>HYPERLINK("http://www.genecards.org/cgi-bin/carddisp.pl?gene=C19orf22","GeneCards")</f>
        <v>GeneCards</v>
      </c>
      <c r="D8675" s="1" t="str">
        <f>HYPERLINK("http://genome-euro.ucsc.edu/cgi-bin/hgTracks?position=55705_at","UCSC")</f>
        <v>UCSC</v>
      </c>
      <c r="E8675" s="1" t="str">
        <f>HYPERLINK("http://www.ncbi.nlm.nih.gov/gene/?term=C19orf22","NCBI")</f>
        <v>NCBI</v>
      </c>
      <c r="F8675">
        <v>0.15</v>
      </c>
      <c r="G8675">
        <v>0.28999999999999998</v>
      </c>
      <c r="H8675" s="1" t="str">
        <f>HYPERLINK("http://www.weizmann.ac.il/complex/compphys/software/geview/data/figures/55705_at.png","Figure")</f>
        <v>Figure</v>
      </c>
      <c r="I8675">
        <v>0.96499999999999997</v>
      </c>
      <c r="J8675">
        <v>0.96</v>
      </c>
      <c r="K8675">
        <v>0.79100000000000004</v>
      </c>
      <c r="L8675">
        <v>0.17</v>
      </c>
      <c r="M8675">
        <v>0.82</v>
      </c>
      <c r="N8675">
        <v>0.31</v>
      </c>
    </row>
    <row r="8676" spans="1:14" x14ac:dyDescent="0.25">
      <c r="A8676" t="s">
        <v>15301</v>
      </c>
      <c r="B8676" t="s">
        <v>15302</v>
      </c>
      <c r="C8676" s="1" t="str">
        <f>HYPERLINK("http://www.genecards.org/cgi-bin/carddisp.pl?gene=ABCB6","GeneCards")</f>
        <v>GeneCards</v>
      </c>
      <c r="D8676" s="1" t="str">
        <f>HYPERLINK("http://genome-euro.ucsc.edu/cgi-bin/hgTracks?position=203192_at","UCSC")</f>
        <v>UCSC</v>
      </c>
      <c r="E8676" s="1" t="str">
        <f>HYPERLINK("http://www.ncbi.nlm.nih.gov/gene/?term=ABCB6","NCBI")</f>
        <v>NCBI</v>
      </c>
      <c r="F8676">
        <v>0.15</v>
      </c>
      <c r="G8676">
        <v>0.28999999999999998</v>
      </c>
      <c r="H8676" s="1" t="str">
        <f>HYPERLINK("http://www.weizmann.ac.il/complex/compphys/software/geview/data/figures/203192_at.png","Figure")</f>
        <v>Figure</v>
      </c>
      <c r="I8676">
        <v>1.22</v>
      </c>
      <c r="J8676">
        <v>0.15</v>
      </c>
      <c r="K8676">
        <v>1.05</v>
      </c>
      <c r="L8676">
        <v>0.86</v>
      </c>
      <c r="M8676">
        <v>0.85899999999999999</v>
      </c>
      <c r="N8676">
        <v>0.25</v>
      </c>
    </row>
    <row r="8677" spans="1:14" x14ac:dyDescent="0.25">
      <c r="A8677" t="s">
        <v>15303</v>
      </c>
      <c r="B8677" t="s">
        <v>1242</v>
      </c>
      <c r="C8677" s="1" t="str">
        <f>HYPERLINK("http://www.genecards.org/cgi-bin/carddisp.pl?gene=KLHL20","GeneCards")</f>
        <v>GeneCards</v>
      </c>
      <c r="D8677" s="1" t="str">
        <f>HYPERLINK("http://genome-euro.ucsc.edu/cgi-bin/hgTracks?position=204177_s_at","UCSC")</f>
        <v>UCSC</v>
      </c>
      <c r="E8677" s="1" t="str">
        <f>HYPERLINK("http://www.ncbi.nlm.nih.gov/gene/?term=KLHL20","NCBI")</f>
        <v>NCBI</v>
      </c>
      <c r="F8677">
        <v>0.15</v>
      </c>
      <c r="G8677">
        <v>0.28999999999999998</v>
      </c>
      <c r="H8677" s="1" t="str">
        <f>HYPERLINK("http://www.weizmann.ac.il/complex/compphys/software/geview/data/figures/204177_s_at.png","Figure")</f>
        <v>Figure</v>
      </c>
      <c r="I8677">
        <v>1.49</v>
      </c>
      <c r="J8677">
        <v>0.14000000000000001</v>
      </c>
      <c r="K8677">
        <v>1.27</v>
      </c>
      <c r="L8677">
        <v>0.35</v>
      </c>
      <c r="M8677">
        <v>0.85599999999999998</v>
      </c>
      <c r="N8677">
        <v>0.67</v>
      </c>
    </row>
    <row r="8678" spans="1:14" x14ac:dyDescent="0.25">
      <c r="A8678" t="s">
        <v>15304</v>
      </c>
      <c r="B8678" t="s">
        <v>15305</v>
      </c>
      <c r="C8678" s="1" t="str">
        <f>HYPERLINK("http://www.genecards.org/cgi-bin/carddisp.pl?gene=PIGR","GeneCards")</f>
        <v>GeneCards</v>
      </c>
      <c r="D8678" s="1" t="str">
        <f>HYPERLINK("http://genome-euro.ucsc.edu/cgi-bin/hgTracks?position=204213_at","UCSC")</f>
        <v>UCSC</v>
      </c>
      <c r="E8678" s="1" t="str">
        <f>HYPERLINK("http://www.ncbi.nlm.nih.gov/gene/?term=PIGR","NCBI")</f>
        <v>NCBI</v>
      </c>
      <c r="F8678">
        <v>0.15</v>
      </c>
      <c r="G8678">
        <v>0.28999999999999998</v>
      </c>
      <c r="H8678" s="1" t="str">
        <f>HYPERLINK("http://www.weizmann.ac.il/complex/compphys/software/geview/data/figures/204213_at.png","Figure")</f>
        <v>Figure</v>
      </c>
      <c r="I8678">
        <v>1.22</v>
      </c>
      <c r="J8678">
        <v>0.16</v>
      </c>
      <c r="K8678">
        <v>1.1599999999999999</v>
      </c>
      <c r="L8678">
        <v>0.27</v>
      </c>
      <c r="M8678">
        <v>0.94299999999999995</v>
      </c>
      <c r="N8678">
        <v>0.82</v>
      </c>
    </row>
    <row r="8679" spans="1:14" x14ac:dyDescent="0.25">
      <c r="A8679" t="s">
        <v>15306</v>
      </c>
      <c r="B8679" t="s">
        <v>15307</v>
      </c>
      <c r="C8679" s="1" t="str">
        <f>HYPERLINK("http://www.genecards.org/cgi-bin/carddisp.pl?gene=SIN3B","GeneCards")</f>
        <v>GeneCards</v>
      </c>
      <c r="D8679" s="1" t="str">
        <f>HYPERLINK("http://genome-euro.ucsc.edu/cgi-bin/hgTracks?position=209352_s_at","UCSC")</f>
        <v>UCSC</v>
      </c>
      <c r="E8679" s="1" t="str">
        <f>HYPERLINK("http://www.ncbi.nlm.nih.gov/gene/?term=SIN3B","NCBI")</f>
        <v>NCBI</v>
      </c>
      <c r="F8679">
        <v>0.15</v>
      </c>
      <c r="G8679">
        <v>0.28999999999999998</v>
      </c>
      <c r="H8679" s="1" t="str">
        <f>HYPERLINK("http://www.weizmann.ac.il/complex/compphys/software/geview/data/figures/209352_s_at.png","Figure")</f>
        <v>Figure</v>
      </c>
      <c r="I8679">
        <v>0.88600000000000001</v>
      </c>
      <c r="J8679">
        <v>0.77</v>
      </c>
      <c r="K8679">
        <v>1.23</v>
      </c>
      <c r="L8679">
        <v>0.39</v>
      </c>
      <c r="M8679">
        <v>1.39</v>
      </c>
      <c r="N8679">
        <v>0.15</v>
      </c>
    </row>
    <row r="8680" spans="1:14" x14ac:dyDescent="0.25">
      <c r="A8680" t="s">
        <v>15308</v>
      </c>
      <c r="B8680" t="s">
        <v>15309</v>
      </c>
      <c r="C8680" s="1" t="str">
        <f>HYPERLINK("http://www.genecards.org/cgi-bin/carddisp.pl?gene=FSHB","GeneCards")</f>
        <v>GeneCards</v>
      </c>
      <c r="D8680" s="1" t="str">
        <f>HYPERLINK("http://genome-euro.ucsc.edu/cgi-bin/hgTracks?position=214489_at","UCSC")</f>
        <v>UCSC</v>
      </c>
      <c r="E8680" s="1" t="str">
        <f>HYPERLINK("http://www.ncbi.nlm.nih.gov/gene/?term=FSHB","NCBI")</f>
        <v>NCBI</v>
      </c>
      <c r="F8680">
        <v>0.15</v>
      </c>
      <c r="G8680">
        <v>0.28999999999999998</v>
      </c>
      <c r="H8680" s="1" t="str">
        <f>HYPERLINK("http://www.weizmann.ac.il/complex/compphys/software/geview/data/figures/214489_at.png","Figure")</f>
        <v>Figure</v>
      </c>
      <c r="I8680">
        <v>1.03</v>
      </c>
      <c r="J8680">
        <v>0.22</v>
      </c>
      <c r="K8680">
        <v>1.02</v>
      </c>
      <c r="L8680">
        <v>0.19</v>
      </c>
      <c r="M8680">
        <v>0.998</v>
      </c>
      <c r="N8680">
        <v>0.99</v>
      </c>
    </row>
    <row r="8681" spans="1:14" x14ac:dyDescent="0.25">
      <c r="A8681" t="s">
        <v>15310</v>
      </c>
      <c r="B8681" t="s">
        <v>15311</v>
      </c>
      <c r="C8681" s="1" t="str">
        <f>HYPERLINK("http://www.genecards.org/cgi-bin/carddisp.pl?gene=MICALL2","GeneCards")</f>
        <v>GeneCards</v>
      </c>
      <c r="D8681" s="1" t="str">
        <f>HYPERLINK("http://genome-euro.ucsc.edu/cgi-bin/hgTracks?position=219332_at","UCSC")</f>
        <v>UCSC</v>
      </c>
      <c r="E8681" s="1" t="str">
        <f>HYPERLINK("http://www.ncbi.nlm.nih.gov/gene/?term=MICALL2","NCBI")</f>
        <v>NCBI</v>
      </c>
      <c r="F8681">
        <v>0.15</v>
      </c>
      <c r="G8681">
        <v>0.28999999999999998</v>
      </c>
      <c r="H8681" s="1" t="str">
        <f>HYPERLINK("http://www.weizmann.ac.il/complex/compphys/software/geview/data/figures/219332_at.png","Figure")</f>
        <v>Figure</v>
      </c>
      <c r="I8681">
        <v>1.1599999999999999</v>
      </c>
      <c r="J8681">
        <v>0.14000000000000001</v>
      </c>
      <c r="K8681">
        <v>1.0900000000000001</v>
      </c>
      <c r="L8681">
        <v>0.36</v>
      </c>
      <c r="M8681">
        <v>0.94199999999999995</v>
      </c>
      <c r="N8681">
        <v>0.66</v>
      </c>
    </row>
    <row r="8682" spans="1:14" x14ac:dyDescent="0.25">
      <c r="A8682" t="s">
        <v>15312</v>
      </c>
      <c r="B8682" t="s">
        <v>15313</v>
      </c>
      <c r="C8682" s="1" t="str">
        <f>HYPERLINK("http://www.genecards.org/cgi-bin/carddisp.pl?gene=ADRA2C","GeneCards")</f>
        <v>GeneCards</v>
      </c>
      <c r="D8682" s="1" t="str">
        <f>HYPERLINK("http://genome-euro.ucsc.edu/cgi-bin/hgTracks?position=206128_at","UCSC")</f>
        <v>UCSC</v>
      </c>
      <c r="E8682" s="1" t="str">
        <f>HYPERLINK("http://www.ncbi.nlm.nih.gov/gene/?term=ADRA2C","NCBI")</f>
        <v>NCBI</v>
      </c>
      <c r="F8682">
        <v>0.15</v>
      </c>
      <c r="G8682">
        <v>0.28999999999999998</v>
      </c>
      <c r="H8682" s="1" t="str">
        <f>HYPERLINK("http://www.weizmann.ac.il/complex/compphys/software/geview/data/figures/206128_at.png","Figure")</f>
        <v>Figure</v>
      </c>
      <c r="I8682">
        <v>1.2</v>
      </c>
      <c r="J8682">
        <v>0.13</v>
      </c>
      <c r="K8682">
        <v>1.1000000000000001</v>
      </c>
      <c r="L8682">
        <v>0.45</v>
      </c>
      <c r="M8682">
        <v>0.91500000000000004</v>
      </c>
      <c r="N8682">
        <v>0.55000000000000004</v>
      </c>
    </row>
    <row r="8683" spans="1:14" x14ac:dyDescent="0.25">
      <c r="A8683" t="s">
        <v>15314</v>
      </c>
      <c r="B8683" t="s">
        <v>15315</v>
      </c>
      <c r="C8683" s="1" t="str">
        <f>HYPERLINK("http://www.genecards.org/cgi-bin/carddisp.pl?gene=SNX16","GeneCards")</f>
        <v>GeneCards</v>
      </c>
      <c r="D8683" s="1" t="str">
        <f>HYPERLINK("http://genome-euro.ucsc.edu/cgi-bin/hgTracks?position=219793_at","UCSC")</f>
        <v>UCSC</v>
      </c>
      <c r="E8683" s="1" t="str">
        <f>HYPERLINK("http://www.ncbi.nlm.nih.gov/gene/?term=SNX16","NCBI")</f>
        <v>NCBI</v>
      </c>
      <c r="F8683">
        <v>0.15</v>
      </c>
      <c r="G8683">
        <v>0.28999999999999998</v>
      </c>
      <c r="H8683" s="1" t="str">
        <f>HYPERLINK("http://www.weizmann.ac.il/complex/compphys/software/geview/data/figures/219793_at.png","Figure")</f>
        <v>Figure</v>
      </c>
      <c r="I8683">
        <v>0.81200000000000006</v>
      </c>
      <c r="J8683">
        <v>0.2</v>
      </c>
      <c r="K8683">
        <v>1</v>
      </c>
      <c r="L8683">
        <v>1</v>
      </c>
      <c r="M8683">
        <v>1.23</v>
      </c>
      <c r="N8683">
        <v>0.17</v>
      </c>
    </row>
    <row r="8684" spans="1:14" x14ac:dyDescent="0.25">
      <c r="A8684" t="s">
        <v>15316</v>
      </c>
      <c r="B8684" t="s">
        <v>15317</v>
      </c>
      <c r="C8684" s="1" t="str">
        <f>HYPERLINK("http://www.genecards.org/cgi-bin/carddisp.pl?gene=ELOVL2","GeneCards")</f>
        <v>GeneCards</v>
      </c>
      <c r="D8684" s="1" t="str">
        <f>HYPERLINK("http://genome-euro.ucsc.edu/cgi-bin/hgTracks?position=220029_at","UCSC")</f>
        <v>UCSC</v>
      </c>
      <c r="E8684" s="1" t="str">
        <f>HYPERLINK("http://www.ncbi.nlm.nih.gov/gene/?term=ELOVL2","NCBI")</f>
        <v>NCBI</v>
      </c>
      <c r="F8684">
        <v>0.15</v>
      </c>
      <c r="G8684">
        <v>0.28999999999999998</v>
      </c>
      <c r="H8684" s="1" t="str">
        <f>HYPERLINK("http://www.weizmann.ac.il/complex/compphys/software/geview/data/figures/220029_at.png","Figure")</f>
        <v>Figure</v>
      </c>
      <c r="I8684">
        <v>1.1100000000000001</v>
      </c>
      <c r="J8684">
        <v>0.13</v>
      </c>
      <c r="K8684">
        <v>1.06</v>
      </c>
      <c r="L8684">
        <v>0.44</v>
      </c>
      <c r="M8684">
        <v>0.95099999999999996</v>
      </c>
      <c r="N8684">
        <v>0.55000000000000004</v>
      </c>
    </row>
    <row r="8685" spans="1:14" x14ac:dyDescent="0.25">
      <c r="A8685" t="s">
        <v>15318</v>
      </c>
      <c r="B8685" t="s">
        <v>15319</v>
      </c>
      <c r="C8685" s="1" t="str">
        <f>HYPERLINK("http://www.genecards.org/cgi-bin/carddisp.pl?gene=DES","GeneCards")</f>
        <v>GeneCards</v>
      </c>
      <c r="D8685" s="1" t="str">
        <f>HYPERLINK("http://genome-euro.ucsc.edu/cgi-bin/hgTracks?position=202222_s_at","UCSC")</f>
        <v>UCSC</v>
      </c>
      <c r="E8685" s="1" t="str">
        <f>HYPERLINK("http://www.ncbi.nlm.nih.gov/gene/?term=DES","NCBI")</f>
        <v>NCBI</v>
      </c>
      <c r="F8685">
        <v>0.15</v>
      </c>
      <c r="G8685">
        <v>0.28999999999999998</v>
      </c>
      <c r="H8685" s="1" t="str">
        <f>HYPERLINK("http://www.weizmann.ac.il/complex/compphys/software/geview/data/figures/202222_s_at.png","Figure")</f>
        <v>Figure</v>
      </c>
      <c r="I8685">
        <v>1.1399999999999999</v>
      </c>
      <c r="J8685">
        <v>0.14000000000000001</v>
      </c>
      <c r="K8685">
        <v>1.04</v>
      </c>
      <c r="L8685">
        <v>0.78</v>
      </c>
      <c r="M8685">
        <v>0.91100000000000003</v>
      </c>
      <c r="N8685">
        <v>0.28999999999999998</v>
      </c>
    </row>
    <row r="8686" spans="1:14" x14ac:dyDescent="0.25">
      <c r="A8686" t="s">
        <v>15320</v>
      </c>
      <c r="B8686" t="s">
        <v>15321</v>
      </c>
      <c r="C8686" s="1" t="str">
        <f>HYPERLINK("http://www.genecards.org/cgi-bin/carddisp.pl?gene=CNPY4","GeneCards")</f>
        <v>GeneCards</v>
      </c>
      <c r="D8686" s="1" t="str">
        <f>HYPERLINK("http://genome-euro.ucsc.edu/cgi-bin/hgTracks?position=217700_at","UCSC")</f>
        <v>UCSC</v>
      </c>
      <c r="E8686" s="1" t="str">
        <f>HYPERLINK("http://www.ncbi.nlm.nih.gov/gene/?term=CNPY4","NCBI")</f>
        <v>NCBI</v>
      </c>
      <c r="F8686">
        <v>0.15</v>
      </c>
      <c r="G8686">
        <v>0.28999999999999998</v>
      </c>
      <c r="H8686" s="1" t="str">
        <f>HYPERLINK("http://www.weizmann.ac.il/complex/compphys/software/geview/data/figures/217700_at.png","Figure")</f>
        <v>Figure</v>
      </c>
      <c r="I8686">
        <v>1.37</v>
      </c>
      <c r="J8686">
        <v>0.14000000000000001</v>
      </c>
      <c r="K8686">
        <v>1.22</v>
      </c>
      <c r="L8686">
        <v>0.34</v>
      </c>
      <c r="M8686">
        <v>0.88800000000000001</v>
      </c>
      <c r="N8686">
        <v>0.7</v>
      </c>
    </row>
    <row r="8687" spans="1:14" x14ac:dyDescent="0.25">
      <c r="A8687" t="s">
        <v>15322</v>
      </c>
      <c r="B8687" t="s">
        <v>15323</v>
      </c>
      <c r="C8687" s="1" t="str">
        <f>HYPERLINK("http://www.genecards.org/cgi-bin/carddisp.pl?gene=UXS1","GeneCards")</f>
        <v>GeneCards</v>
      </c>
      <c r="D8687" s="1" t="str">
        <f>HYPERLINK("http://genome-euro.ucsc.edu/cgi-bin/hgTracks?position=219675_s_at","UCSC")</f>
        <v>UCSC</v>
      </c>
      <c r="E8687" s="1" t="str">
        <f>HYPERLINK("http://www.ncbi.nlm.nih.gov/gene/?term=UXS1","NCBI")</f>
        <v>NCBI</v>
      </c>
      <c r="F8687">
        <v>0.15</v>
      </c>
      <c r="G8687">
        <v>0.28999999999999998</v>
      </c>
      <c r="H8687" s="1" t="str">
        <f>HYPERLINK("http://www.weizmann.ac.il/complex/compphys/software/geview/data/figures/219675_s_at.png","Figure")</f>
        <v>Figure</v>
      </c>
      <c r="I8687">
        <v>1.07</v>
      </c>
      <c r="J8687">
        <v>0.92</v>
      </c>
      <c r="K8687">
        <v>0.79200000000000004</v>
      </c>
      <c r="L8687">
        <v>0.28999999999999998</v>
      </c>
      <c r="M8687">
        <v>0.74</v>
      </c>
      <c r="N8687">
        <v>0.18</v>
      </c>
    </row>
    <row r="8688" spans="1:14" x14ac:dyDescent="0.25">
      <c r="A8688" t="s">
        <v>15324</v>
      </c>
      <c r="B8688" t="s">
        <v>13101</v>
      </c>
      <c r="C8688" s="1" t="str">
        <f>HYPERLINK("http://www.genecards.org/cgi-bin/carddisp.pl?gene=MTMR4","GeneCards")</f>
        <v>GeneCards</v>
      </c>
      <c r="D8688" s="1" t="str">
        <f>HYPERLINK("http://genome-euro.ucsc.edu/cgi-bin/hgTracks?position=212277_at","UCSC")</f>
        <v>UCSC</v>
      </c>
      <c r="E8688" s="1" t="str">
        <f>HYPERLINK("http://www.ncbi.nlm.nih.gov/gene/?term=MTMR4","NCBI")</f>
        <v>NCBI</v>
      </c>
      <c r="F8688">
        <v>0.15</v>
      </c>
      <c r="G8688">
        <v>0.28999999999999998</v>
      </c>
      <c r="H8688" s="1" t="str">
        <f>HYPERLINK("http://www.weizmann.ac.il/complex/compphys/software/geview/data/figures/212277_at.png","Figure")</f>
        <v>Figure</v>
      </c>
      <c r="I8688">
        <v>0.79400000000000004</v>
      </c>
      <c r="J8688">
        <v>0.49</v>
      </c>
      <c r="K8688">
        <v>1.17</v>
      </c>
      <c r="L8688">
        <v>0.64</v>
      </c>
      <c r="M8688">
        <v>1.47</v>
      </c>
      <c r="N8688">
        <v>0.13</v>
      </c>
    </row>
    <row r="8689" spans="1:14" x14ac:dyDescent="0.25">
      <c r="A8689" t="s">
        <v>15325</v>
      </c>
      <c r="B8689" t="s">
        <v>9471</v>
      </c>
      <c r="C8689" s="1" t="str">
        <f>HYPERLINK("http://www.genecards.org/cgi-bin/carddisp.pl?gene=UBAP1","GeneCards")</f>
        <v>GeneCards</v>
      </c>
      <c r="D8689" s="1" t="str">
        <f>HYPERLINK("http://genome-euro.ucsc.edu/cgi-bin/hgTracks?position=46270_at","UCSC")</f>
        <v>UCSC</v>
      </c>
      <c r="E8689" s="1" t="str">
        <f>HYPERLINK("http://www.ncbi.nlm.nih.gov/gene/?term=UBAP1","NCBI")</f>
        <v>NCBI</v>
      </c>
      <c r="F8689">
        <v>0.15</v>
      </c>
      <c r="G8689">
        <v>0.28999999999999998</v>
      </c>
      <c r="H8689" s="1" t="str">
        <f>HYPERLINK("http://www.weizmann.ac.il/complex/compphys/software/geview/data/figures/46270_at.png","Figure")</f>
        <v>Figure</v>
      </c>
      <c r="I8689">
        <v>1.1000000000000001</v>
      </c>
      <c r="J8689">
        <v>0.78</v>
      </c>
      <c r="K8689">
        <v>0.84499999999999997</v>
      </c>
      <c r="L8689">
        <v>0.39</v>
      </c>
      <c r="M8689">
        <v>0.76700000000000002</v>
      </c>
      <c r="N8689">
        <v>0.15</v>
      </c>
    </row>
    <row r="8690" spans="1:14" x14ac:dyDescent="0.25">
      <c r="A8690" t="s">
        <v>15326</v>
      </c>
      <c r="B8690" t="s">
        <v>8786</v>
      </c>
      <c r="C8690" s="1" t="str">
        <f>HYPERLINK("http://www.genecards.org/cgi-bin/carddisp.pl?gene=MAPK8IP3","GeneCards")</f>
        <v>GeneCards</v>
      </c>
      <c r="D8690" s="1" t="str">
        <f>HYPERLINK("http://genome-euro.ucsc.edu/cgi-bin/hgTracks?position=216137_s_at","UCSC")</f>
        <v>UCSC</v>
      </c>
      <c r="E8690" s="1" t="str">
        <f>HYPERLINK("http://www.ncbi.nlm.nih.gov/gene/?term=MAPK8IP3","NCBI")</f>
        <v>NCBI</v>
      </c>
      <c r="F8690">
        <v>0.15</v>
      </c>
      <c r="G8690">
        <v>0.28999999999999998</v>
      </c>
      <c r="H8690" s="1" t="str">
        <f>HYPERLINK("http://www.weizmann.ac.il/complex/compphys/software/geview/data/figures/216137_s_at.png","Figure")</f>
        <v>Figure</v>
      </c>
      <c r="I8690">
        <v>1.1000000000000001</v>
      </c>
      <c r="J8690">
        <v>0.17</v>
      </c>
      <c r="K8690">
        <v>1.08</v>
      </c>
      <c r="L8690">
        <v>0.24</v>
      </c>
      <c r="M8690">
        <v>0.97799999999999998</v>
      </c>
      <c r="N8690">
        <v>0.89</v>
      </c>
    </row>
    <row r="8691" spans="1:14" x14ac:dyDescent="0.25">
      <c r="A8691" t="s">
        <v>15327</v>
      </c>
      <c r="B8691" t="s">
        <v>15328</v>
      </c>
      <c r="C8691" s="1" t="str">
        <f>HYPERLINK("http://www.genecards.org/cgi-bin/carddisp.pl?gene=TBX4","GeneCards")</f>
        <v>GeneCards</v>
      </c>
      <c r="D8691" s="1" t="str">
        <f>HYPERLINK("http://genome-euro.ucsc.edu/cgi-bin/hgTracks?position=220634_at","UCSC")</f>
        <v>UCSC</v>
      </c>
      <c r="E8691" s="1" t="str">
        <f>HYPERLINK("http://www.ncbi.nlm.nih.gov/gene/?term=TBX4","NCBI")</f>
        <v>NCBI</v>
      </c>
      <c r="F8691">
        <v>0.15</v>
      </c>
      <c r="G8691">
        <v>0.28999999999999998</v>
      </c>
      <c r="H8691" s="1" t="str">
        <f>HYPERLINK("http://www.weizmann.ac.il/complex/compphys/software/geview/data/figures/220634_at.png","Figure")</f>
        <v>Figure</v>
      </c>
      <c r="I8691">
        <v>1.1499999999999999</v>
      </c>
      <c r="J8691">
        <v>0.13</v>
      </c>
      <c r="K8691">
        <v>1.05</v>
      </c>
      <c r="L8691">
        <v>0.63</v>
      </c>
      <c r="M8691">
        <v>0.92</v>
      </c>
      <c r="N8691">
        <v>0.38</v>
      </c>
    </row>
    <row r="8692" spans="1:14" x14ac:dyDescent="0.25">
      <c r="A8692" t="s">
        <v>15329</v>
      </c>
      <c r="B8692" t="s">
        <v>10483</v>
      </c>
      <c r="C8692" s="1" t="str">
        <f>HYPERLINK("http://www.genecards.org/cgi-bin/carddisp.pl?gene=DOM3Z","GeneCards")</f>
        <v>GeneCards</v>
      </c>
      <c r="D8692" s="1" t="str">
        <f>HYPERLINK("http://genome-euro.ucsc.edu/cgi-bin/hgTracks?position=38157_at","UCSC")</f>
        <v>UCSC</v>
      </c>
      <c r="E8692" s="1" t="str">
        <f>HYPERLINK("http://www.ncbi.nlm.nih.gov/gene/?term=DOM3Z","NCBI")</f>
        <v>NCBI</v>
      </c>
      <c r="F8692">
        <v>0.15</v>
      </c>
      <c r="G8692">
        <v>0.28999999999999998</v>
      </c>
      <c r="H8692" s="1" t="str">
        <f>HYPERLINK("http://www.weizmann.ac.il/complex/compphys/software/geview/data/figures/38157_at.png","Figure")</f>
        <v>Figure</v>
      </c>
      <c r="I8692">
        <v>0.88700000000000001</v>
      </c>
      <c r="J8692">
        <v>0.15</v>
      </c>
      <c r="K8692">
        <v>0.97399999999999998</v>
      </c>
      <c r="L8692">
        <v>0.87</v>
      </c>
      <c r="M8692">
        <v>1.1000000000000001</v>
      </c>
      <c r="N8692">
        <v>0.25</v>
      </c>
    </row>
    <row r="8693" spans="1:14" x14ac:dyDescent="0.25">
      <c r="A8693" t="s">
        <v>15330</v>
      </c>
      <c r="B8693" t="s">
        <v>14544</v>
      </c>
      <c r="C8693" s="1" t="str">
        <f>HYPERLINK("http://www.genecards.org/cgi-bin/carddisp.pl?gene=ITSN2","GeneCards")</f>
        <v>GeneCards</v>
      </c>
      <c r="D8693" s="1" t="str">
        <f>HYPERLINK("http://genome-euro.ucsc.edu/cgi-bin/hgTracks?position=210545_at","UCSC")</f>
        <v>UCSC</v>
      </c>
      <c r="E8693" s="1" t="str">
        <f>HYPERLINK("http://www.ncbi.nlm.nih.gov/gene/?term=ITSN2","NCBI")</f>
        <v>NCBI</v>
      </c>
      <c r="F8693">
        <v>0.15</v>
      </c>
      <c r="G8693">
        <v>0.28999999999999998</v>
      </c>
      <c r="H8693" s="1" t="str">
        <f>HYPERLINK("http://www.weizmann.ac.il/complex/compphys/software/geview/data/figures/210545_at.png","Figure")</f>
        <v>Figure</v>
      </c>
      <c r="I8693">
        <v>1.1299999999999999</v>
      </c>
      <c r="J8693">
        <v>0.15</v>
      </c>
      <c r="K8693">
        <v>1.02</v>
      </c>
      <c r="L8693">
        <v>0.9</v>
      </c>
      <c r="M8693">
        <v>0.90700000000000003</v>
      </c>
      <c r="N8693">
        <v>0.23</v>
      </c>
    </row>
    <row r="8694" spans="1:14" x14ac:dyDescent="0.25">
      <c r="A8694" t="s">
        <v>15331</v>
      </c>
      <c r="B8694" t="s">
        <v>3070</v>
      </c>
      <c r="C8694" s="1" t="str">
        <f>HYPERLINK("http://www.genecards.org/cgi-bin/carddisp.pl?gene=GNAS","GeneCards")</f>
        <v>GeneCards</v>
      </c>
      <c r="D8694" s="1" t="str">
        <f>HYPERLINK("http://genome-euro.ucsc.edu/cgi-bin/hgTracks?position=200780_x_at","UCSC")</f>
        <v>UCSC</v>
      </c>
      <c r="E8694" s="1" t="str">
        <f>HYPERLINK("http://www.ncbi.nlm.nih.gov/gene/?term=GNAS","NCBI")</f>
        <v>NCBI</v>
      </c>
      <c r="F8694">
        <v>0.15</v>
      </c>
      <c r="G8694">
        <v>0.28999999999999998</v>
      </c>
      <c r="H8694" s="1" t="str">
        <f>HYPERLINK("http://www.weizmann.ac.il/complex/compphys/software/geview/data/figures/200780_x_at.png","Figure")</f>
        <v>Figure</v>
      </c>
      <c r="I8694">
        <v>1.1399999999999999</v>
      </c>
      <c r="J8694">
        <v>0.53</v>
      </c>
      <c r="K8694">
        <v>0.90400000000000003</v>
      </c>
      <c r="L8694">
        <v>0.61</v>
      </c>
      <c r="M8694">
        <v>0.79200000000000004</v>
      </c>
      <c r="N8694">
        <v>0.13</v>
      </c>
    </row>
    <row r="8695" spans="1:14" x14ac:dyDescent="0.25">
      <c r="A8695" t="s">
        <v>15332</v>
      </c>
      <c r="B8695" t="s">
        <v>15333</v>
      </c>
      <c r="C8695" s="1" t="str">
        <f>HYPERLINK("http://www.genecards.org/cgi-bin/carddisp.pl?gene=HAPLN2","GeneCards")</f>
        <v>GeneCards</v>
      </c>
      <c r="D8695" s="1" t="str">
        <f>HYPERLINK("http://genome-euro.ucsc.edu/cgi-bin/hgTracks?position=220142_at","UCSC")</f>
        <v>UCSC</v>
      </c>
      <c r="E8695" s="1" t="str">
        <f>HYPERLINK("http://www.ncbi.nlm.nih.gov/gene/?term=HAPLN2","NCBI")</f>
        <v>NCBI</v>
      </c>
      <c r="F8695">
        <v>0.15</v>
      </c>
      <c r="G8695">
        <v>0.28999999999999998</v>
      </c>
      <c r="H8695" s="1" t="str">
        <f>HYPERLINK("http://www.weizmann.ac.il/complex/compphys/software/geview/data/figures/220142_at.png","Figure")</f>
        <v>Figure</v>
      </c>
      <c r="I8695">
        <v>1.22</v>
      </c>
      <c r="J8695">
        <v>0.19</v>
      </c>
      <c r="K8695">
        <v>1.01</v>
      </c>
      <c r="L8695">
        <v>1</v>
      </c>
      <c r="M8695">
        <v>0.82599999999999996</v>
      </c>
      <c r="N8695">
        <v>0.18</v>
      </c>
    </row>
    <row r="8696" spans="1:14" x14ac:dyDescent="0.25">
      <c r="A8696" t="s">
        <v>15334</v>
      </c>
      <c r="B8696" t="s">
        <v>15335</v>
      </c>
      <c r="C8696" s="1" t="str">
        <f>HYPERLINK("http://www.genecards.org/cgi-bin/carddisp.pl?gene=NDUFA2","GeneCards")</f>
        <v>GeneCards</v>
      </c>
      <c r="D8696" s="1" t="str">
        <f>HYPERLINK("http://genome-euro.ucsc.edu/cgi-bin/hgTracks?position=209224_s_at","UCSC")</f>
        <v>UCSC</v>
      </c>
      <c r="E8696" s="1" t="str">
        <f>HYPERLINK("http://www.ncbi.nlm.nih.gov/gene/?term=NDUFA2","NCBI")</f>
        <v>NCBI</v>
      </c>
      <c r="F8696">
        <v>0.15</v>
      </c>
      <c r="G8696">
        <v>0.28999999999999998</v>
      </c>
      <c r="H8696" s="1" t="str">
        <f>HYPERLINK("http://www.weizmann.ac.il/complex/compphys/software/geview/data/figures/209224_s_at.png","Figure")</f>
        <v>Figure</v>
      </c>
      <c r="I8696">
        <v>1.0900000000000001</v>
      </c>
      <c r="J8696">
        <v>0.9</v>
      </c>
      <c r="K8696">
        <v>1.39</v>
      </c>
      <c r="L8696">
        <v>0.15</v>
      </c>
      <c r="M8696">
        <v>1.28</v>
      </c>
      <c r="N8696">
        <v>0.38</v>
      </c>
    </row>
    <row r="8697" spans="1:14" x14ac:dyDescent="0.25">
      <c r="A8697" t="s">
        <v>15336</v>
      </c>
      <c r="B8697" t="s">
        <v>6268</v>
      </c>
      <c r="C8697" s="1" t="str">
        <f>HYPERLINK("http://www.genecards.org/cgi-bin/carddisp.pl?gene=CYP2A6","GeneCards")</f>
        <v>GeneCards</v>
      </c>
      <c r="D8697" s="1" t="str">
        <f>HYPERLINK("http://genome-euro.ucsc.edu/cgi-bin/hgTracks?position=211295_x_at","UCSC")</f>
        <v>UCSC</v>
      </c>
      <c r="E8697" s="1" t="str">
        <f>HYPERLINK("http://www.ncbi.nlm.nih.gov/gene/?term=CYP2A6","NCBI")</f>
        <v>NCBI</v>
      </c>
      <c r="F8697">
        <v>0.15</v>
      </c>
      <c r="G8697">
        <v>0.28999999999999998</v>
      </c>
      <c r="H8697" s="1" t="str">
        <f>HYPERLINK("http://www.weizmann.ac.il/complex/compphys/software/geview/data/figures/211295_x_at.png","Figure")</f>
        <v>Figure</v>
      </c>
      <c r="I8697">
        <v>1.2</v>
      </c>
      <c r="J8697">
        <v>0.19</v>
      </c>
      <c r="K8697">
        <v>1.01</v>
      </c>
      <c r="L8697">
        <v>0.99</v>
      </c>
      <c r="M8697">
        <v>0.84399999999999997</v>
      </c>
      <c r="N8697">
        <v>0.18</v>
      </c>
    </row>
    <row r="8698" spans="1:14" x14ac:dyDescent="0.25">
      <c r="A8698" t="s">
        <v>15337</v>
      </c>
      <c r="B8698" t="s">
        <v>13732</v>
      </c>
      <c r="C8698" s="1" t="str">
        <f>HYPERLINK("http://www.genecards.org/cgi-bin/carddisp.pl?gene=TGM2","GeneCards")</f>
        <v>GeneCards</v>
      </c>
      <c r="D8698" s="1" t="str">
        <f>HYPERLINK("http://genome-euro.ucsc.edu/cgi-bin/hgTracks?position=211573_x_at","UCSC")</f>
        <v>UCSC</v>
      </c>
      <c r="E8698" s="1" t="str">
        <f>HYPERLINK("http://www.ncbi.nlm.nih.gov/gene/?term=TGM2","NCBI")</f>
        <v>NCBI</v>
      </c>
      <c r="F8698">
        <v>0.15</v>
      </c>
      <c r="G8698">
        <v>0.28999999999999998</v>
      </c>
      <c r="H8698" s="1" t="str">
        <f>HYPERLINK("http://www.weizmann.ac.il/complex/compphys/software/geview/data/figures/211573_x_at.png","Figure")</f>
        <v>Figure</v>
      </c>
      <c r="I8698">
        <v>1.0900000000000001</v>
      </c>
      <c r="J8698">
        <v>0.15</v>
      </c>
      <c r="K8698">
        <v>1.06</v>
      </c>
      <c r="L8698">
        <v>0.3</v>
      </c>
      <c r="M8698">
        <v>0.97299999999999998</v>
      </c>
      <c r="N8698">
        <v>0.77</v>
      </c>
    </row>
    <row r="8699" spans="1:14" x14ac:dyDescent="0.25">
      <c r="A8699" t="s">
        <v>15338</v>
      </c>
      <c r="B8699" t="s">
        <v>15339</v>
      </c>
      <c r="C8699" s="1" t="str">
        <f>HYPERLINK("http://www.genecards.org/cgi-bin/carddisp.pl?gene=TBCB","GeneCards")</f>
        <v>GeneCards</v>
      </c>
      <c r="D8699" s="1" t="str">
        <f>HYPERLINK("http://genome-euro.ucsc.edu/cgi-bin/hgTracks?position=216194_s_at","UCSC")</f>
        <v>UCSC</v>
      </c>
      <c r="E8699" s="1" t="str">
        <f>HYPERLINK("http://www.ncbi.nlm.nih.gov/gene/?term=TBCB","NCBI")</f>
        <v>NCBI</v>
      </c>
      <c r="F8699">
        <v>0.15</v>
      </c>
      <c r="G8699">
        <v>0.28999999999999998</v>
      </c>
      <c r="H8699" s="1" t="str">
        <f>HYPERLINK("http://www.weizmann.ac.il/complex/compphys/software/geview/data/figures/216194_s_at.png","Figure")</f>
        <v>Figure</v>
      </c>
      <c r="I8699">
        <v>1.03</v>
      </c>
      <c r="J8699">
        <v>0.99</v>
      </c>
      <c r="K8699">
        <v>0.76800000000000002</v>
      </c>
      <c r="L8699">
        <v>0.24</v>
      </c>
      <c r="M8699">
        <v>0.746</v>
      </c>
      <c r="N8699">
        <v>0.21</v>
      </c>
    </row>
    <row r="8700" spans="1:14" x14ac:dyDescent="0.25">
      <c r="A8700" t="s">
        <v>15340</v>
      </c>
      <c r="B8700" t="s">
        <v>902</v>
      </c>
      <c r="C8700" s="1" t="str">
        <f>HYPERLINK("http://www.genecards.org/cgi-bin/carddisp.pl?gene=TFG","GeneCards")</f>
        <v>GeneCards</v>
      </c>
      <c r="D8700" s="1" t="str">
        <f>HYPERLINK("http://genome-euro.ucsc.edu/cgi-bin/hgTracks?position=221871_s_at","UCSC")</f>
        <v>UCSC</v>
      </c>
      <c r="E8700" s="1" t="str">
        <f>HYPERLINK("http://www.ncbi.nlm.nih.gov/gene/?term=TFG","NCBI")</f>
        <v>NCBI</v>
      </c>
      <c r="F8700">
        <v>0.15</v>
      </c>
      <c r="G8700">
        <v>0.28999999999999998</v>
      </c>
      <c r="H8700" s="1" t="str">
        <f>HYPERLINK("http://www.weizmann.ac.il/complex/compphys/software/geview/data/figures/221871_s_at.png","Figure")</f>
        <v>Figure</v>
      </c>
      <c r="I8700">
        <v>1.1200000000000001</v>
      </c>
      <c r="J8700">
        <v>0.3</v>
      </c>
      <c r="K8700">
        <v>0.97299999999999998</v>
      </c>
      <c r="L8700">
        <v>0.9</v>
      </c>
      <c r="M8700">
        <v>0.87</v>
      </c>
      <c r="N8700">
        <v>0.14000000000000001</v>
      </c>
    </row>
    <row r="8701" spans="1:14" x14ac:dyDescent="0.25">
      <c r="A8701" t="s">
        <v>15341</v>
      </c>
      <c r="B8701" t="s">
        <v>15342</v>
      </c>
      <c r="C8701" s="1" t="str">
        <f>HYPERLINK("http://www.genecards.org/cgi-bin/carddisp.pl?gene=IL1F6","GeneCards")</f>
        <v>GeneCards</v>
      </c>
      <c r="D8701" s="1" t="str">
        <f>HYPERLINK("http://genome-euro.ucsc.edu/cgi-bin/hgTracks?position=221404_at","UCSC")</f>
        <v>UCSC</v>
      </c>
      <c r="E8701" s="1" t="str">
        <f>HYPERLINK("http://www.ncbi.nlm.nih.gov/gene/?term=IL1F6","NCBI")</f>
        <v>NCBI</v>
      </c>
      <c r="F8701">
        <v>0.15</v>
      </c>
      <c r="G8701">
        <v>0.28999999999999998</v>
      </c>
      <c r="H8701" s="1" t="str">
        <f>HYPERLINK("http://www.weizmann.ac.il/complex/compphys/software/geview/data/figures/221404_at.png","Figure")</f>
        <v>Figure</v>
      </c>
      <c r="I8701">
        <v>1.22</v>
      </c>
      <c r="J8701">
        <v>0.14000000000000001</v>
      </c>
      <c r="K8701">
        <v>1.06</v>
      </c>
      <c r="L8701">
        <v>0.8</v>
      </c>
      <c r="M8701">
        <v>0.86499999999999999</v>
      </c>
      <c r="N8701">
        <v>0.28000000000000003</v>
      </c>
    </row>
    <row r="8702" spans="1:14" x14ac:dyDescent="0.25">
      <c r="A8702" t="s">
        <v>15343</v>
      </c>
      <c r="B8702" t="s">
        <v>15344</v>
      </c>
      <c r="C8702" s="1" t="str">
        <f>HYPERLINK("http://www.genecards.org/cgi-bin/carddisp.pl?gene=ZER1","GeneCards")</f>
        <v>GeneCards</v>
      </c>
      <c r="D8702" s="1" t="str">
        <f>HYPERLINK("http://genome-euro.ucsc.edu/cgi-bin/hgTracks?position=202456_s_at","UCSC")</f>
        <v>UCSC</v>
      </c>
      <c r="E8702" s="1" t="str">
        <f>HYPERLINK("http://www.ncbi.nlm.nih.gov/gene/?term=ZER1","NCBI")</f>
        <v>NCBI</v>
      </c>
      <c r="F8702">
        <v>0.15</v>
      </c>
      <c r="G8702">
        <v>0.28999999999999998</v>
      </c>
      <c r="H8702" s="1" t="str">
        <f>HYPERLINK("http://www.weizmann.ac.il/complex/compphys/software/geview/data/figures/202456_s_at.png","Figure")</f>
        <v>Figure</v>
      </c>
      <c r="I8702">
        <v>1.17</v>
      </c>
      <c r="J8702">
        <v>0.23</v>
      </c>
      <c r="K8702">
        <v>0.98899999999999999</v>
      </c>
      <c r="L8702">
        <v>0.99</v>
      </c>
      <c r="M8702">
        <v>0.84599999999999997</v>
      </c>
      <c r="N8702">
        <v>0.16</v>
      </c>
    </row>
    <row r="8703" spans="1:14" x14ac:dyDescent="0.25">
      <c r="A8703" t="s">
        <v>15345</v>
      </c>
      <c r="B8703" t="s">
        <v>15346</v>
      </c>
      <c r="C8703" s="1" t="str">
        <f>HYPERLINK("http://www.genecards.org/cgi-bin/carddisp.pl?gene=MOXD1","GeneCards")</f>
        <v>GeneCards</v>
      </c>
      <c r="D8703" s="1" t="str">
        <f>HYPERLINK("http://genome-euro.ucsc.edu/cgi-bin/hgTracks?position=209708_at","UCSC")</f>
        <v>UCSC</v>
      </c>
      <c r="E8703" s="1" t="str">
        <f>HYPERLINK("http://www.ncbi.nlm.nih.gov/gene/?term=MOXD1","NCBI")</f>
        <v>NCBI</v>
      </c>
      <c r="F8703">
        <v>0.15</v>
      </c>
      <c r="G8703">
        <v>0.28999999999999998</v>
      </c>
      <c r="H8703" s="1" t="str">
        <f>HYPERLINK("http://www.weizmann.ac.il/complex/compphys/software/geview/data/figures/209708_at.png","Figure")</f>
        <v>Figure</v>
      </c>
      <c r="I8703">
        <v>0.97799999999999998</v>
      </c>
      <c r="J8703">
        <v>0.92</v>
      </c>
      <c r="K8703">
        <v>0.90700000000000003</v>
      </c>
      <c r="L8703">
        <v>0.16</v>
      </c>
      <c r="M8703">
        <v>0.92700000000000005</v>
      </c>
      <c r="N8703">
        <v>0.35</v>
      </c>
    </row>
    <row r="8704" spans="1:14" x14ac:dyDescent="0.25">
      <c r="A8704" t="s">
        <v>15347</v>
      </c>
      <c r="B8704" t="s">
        <v>12122</v>
      </c>
      <c r="C8704" s="1" t="str">
        <f>HYPERLINK("http://www.genecards.org/cgi-bin/carddisp.pl?gene=RCAN1","GeneCards")</f>
        <v>GeneCards</v>
      </c>
      <c r="D8704" s="1" t="str">
        <f>HYPERLINK("http://genome-euro.ucsc.edu/cgi-bin/hgTracks?position=215253_s_at","UCSC")</f>
        <v>UCSC</v>
      </c>
      <c r="E8704" s="1" t="str">
        <f>HYPERLINK("http://www.ncbi.nlm.nih.gov/gene/?term=RCAN1","NCBI")</f>
        <v>NCBI</v>
      </c>
      <c r="F8704">
        <v>0.15</v>
      </c>
      <c r="G8704">
        <v>0.28999999999999998</v>
      </c>
      <c r="H8704" s="1" t="str">
        <f>HYPERLINK("http://www.weizmann.ac.il/complex/compphys/software/geview/data/figures/215253_s_at.png","Figure")</f>
        <v>Figure</v>
      </c>
      <c r="I8704">
        <v>1.23</v>
      </c>
      <c r="J8704">
        <v>0.2</v>
      </c>
      <c r="K8704">
        <v>1.2</v>
      </c>
      <c r="L8704">
        <v>0.2</v>
      </c>
      <c r="M8704">
        <v>0.97199999999999998</v>
      </c>
      <c r="N8704">
        <v>0.96</v>
      </c>
    </row>
    <row r="8705" spans="1:14" x14ac:dyDescent="0.25">
      <c r="A8705" t="s">
        <v>15348</v>
      </c>
      <c r="B8705" t="s">
        <v>15349</v>
      </c>
      <c r="C8705" s="1" t="str">
        <f>HYPERLINK("http://www.genecards.org/cgi-bin/carddisp.pl?gene=PSEN1","GeneCards")</f>
        <v>GeneCards</v>
      </c>
      <c r="D8705" s="1" t="str">
        <f>HYPERLINK("http://genome-euro.ucsc.edu/cgi-bin/hgTracks?position=203460_s_at","UCSC")</f>
        <v>UCSC</v>
      </c>
      <c r="E8705" s="1" t="str">
        <f>HYPERLINK("http://www.ncbi.nlm.nih.gov/gene/?term=PSEN1","NCBI")</f>
        <v>NCBI</v>
      </c>
      <c r="F8705">
        <v>0.15</v>
      </c>
      <c r="G8705">
        <v>0.28999999999999998</v>
      </c>
      <c r="H8705" s="1" t="str">
        <f>HYPERLINK("http://www.weizmann.ac.il/complex/compphys/software/geview/data/figures/203460_s_at.png","Figure")</f>
        <v>Figure</v>
      </c>
      <c r="I8705">
        <v>0.68500000000000005</v>
      </c>
      <c r="J8705">
        <v>0.47</v>
      </c>
      <c r="K8705">
        <v>1.26</v>
      </c>
      <c r="L8705">
        <v>0.67</v>
      </c>
      <c r="M8705">
        <v>1.84</v>
      </c>
      <c r="N8705">
        <v>0.13</v>
      </c>
    </row>
    <row r="8706" spans="1:14" x14ac:dyDescent="0.25">
      <c r="A8706" t="s">
        <v>15350</v>
      </c>
      <c r="B8706" t="s">
        <v>15351</v>
      </c>
      <c r="C8706" s="1" t="str">
        <f>HYPERLINK("http://www.genecards.org/cgi-bin/carddisp.pl?gene=ZBTB7B","GeneCards")</f>
        <v>GeneCards</v>
      </c>
      <c r="D8706" s="1" t="str">
        <f>HYPERLINK("http://genome-euro.ucsc.edu/cgi-bin/hgTracks?position=205853_at","UCSC")</f>
        <v>UCSC</v>
      </c>
      <c r="E8706" s="1" t="str">
        <f>HYPERLINK("http://www.ncbi.nlm.nih.gov/gene/?term=ZBTB7B","NCBI")</f>
        <v>NCBI</v>
      </c>
      <c r="F8706">
        <v>0.15</v>
      </c>
      <c r="G8706">
        <v>0.28999999999999998</v>
      </c>
      <c r="H8706" s="1" t="str">
        <f>HYPERLINK("http://www.weizmann.ac.il/complex/compphys/software/geview/data/figures/205853_at.png","Figure")</f>
        <v>Figure</v>
      </c>
      <c r="I8706">
        <v>1.1499999999999999</v>
      </c>
      <c r="J8706">
        <v>0.16</v>
      </c>
      <c r="K8706">
        <v>1.02</v>
      </c>
      <c r="L8706">
        <v>0.91</v>
      </c>
      <c r="M8706">
        <v>0.89500000000000002</v>
      </c>
      <c r="N8706">
        <v>0.23</v>
      </c>
    </row>
    <row r="8707" spans="1:14" x14ac:dyDescent="0.25">
      <c r="A8707" t="s">
        <v>15352</v>
      </c>
      <c r="B8707" t="s">
        <v>15353</v>
      </c>
      <c r="C8707" s="1" t="str">
        <f>HYPERLINK("http://www.genecards.org/cgi-bin/carddisp.pl?gene=CSF1","GeneCards")</f>
        <v>GeneCards</v>
      </c>
      <c r="D8707" s="1" t="str">
        <f>HYPERLINK("http://genome-euro.ucsc.edu/cgi-bin/hgTracks?position=209716_at","UCSC")</f>
        <v>UCSC</v>
      </c>
      <c r="E8707" s="1" t="str">
        <f>HYPERLINK("http://www.ncbi.nlm.nih.gov/gene/?term=CSF1","NCBI")</f>
        <v>NCBI</v>
      </c>
      <c r="F8707">
        <v>0.15</v>
      </c>
      <c r="G8707">
        <v>0.28999999999999998</v>
      </c>
      <c r="H8707" s="1" t="str">
        <f>HYPERLINK("http://www.weizmann.ac.il/complex/compphys/software/geview/data/figures/209716_at.png","Figure")</f>
        <v>Figure</v>
      </c>
      <c r="I8707">
        <v>1.17</v>
      </c>
      <c r="J8707">
        <v>0.13</v>
      </c>
      <c r="K8707">
        <v>1.0900000000000001</v>
      </c>
      <c r="L8707">
        <v>0.4</v>
      </c>
      <c r="M8707">
        <v>0.93400000000000005</v>
      </c>
      <c r="N8707">
        <v>0.61</v>
      </c>
    </row>
    <row r="8708" spans="1:14" x14ac:dyDescent="0.25">
      <c r="A8708" t="s">
        <v>15354</v>
      </c>
      <c r="B8708" t="s">
        <v>15355</v>
      </c>
      <c r="C8708" s="1" t="str">
        <f>HYPERLINK("http://www.genecards.org/cgi-bin/carddisp.pl?gene=HLA-G","GeneCards")</f>
        <v>GeneCards</v>
      </c>
      <c r="D8708" s="1" t="str">
        <f>HYPERLINK("http://genome-euro.ucsc.edu/cgi-bin/hgTracks?position=211529_x_at","UCSC")</f>
        <v>UCSC</v>
      </c>
      <c r="E8708" s="1" t="str">
        <f>HYPERLINK("http://www.ncbi.nlm.nih.gov/gene/?term=HLA-G","NCBI")</f>
        <v>NCBI</v>
      </c>
      <c r="F8708">
        <v>0.15</v>
      </c>
      <c r="G8708">
        <v>0.28999999999999998</v>
      </c>
      <c r="H8708" s="1" t="str">
        <f>HYPERLINK("http://www.weizmann.ac.il/complex/compphys/software/geview/data/figures/211529_x_at.png","Figure")</f>
        <v>Figure</v>
      </c>
      <c r="I8708">
        <v>0.82899999999999996</v>
      </c>
      <c r="J8708">
        <v>0.51</v>
      </c>
      <c r="K8708">
        <v>0.74</v>
      </c>
      <c r="L8708">
        <v>0.13</v>
      </c>
      <c r="M8708">
        <v>0.89200000000000002</v>
      </c>
      <c r="N8708">
        <v>0.74</v>
      </c>
    </row>
    <row r="8709" spans="1:14" x14ac:dyDescent="0.25">
      <c r="A8709" t="s">
        <v>15356</v>
      </c>
      <c r="B8709" t="s">
        <v>15357</v>
      </c>
      <c r="C8709" s="1" t="str">
        <f>HYPERLINK("http://www.genecards.org/cgi-bin/carddisp.pl?gene=TGM3","GeneCards")</f>
        <v>GeneCards</v>
      </c>
      <c r="D8709" s="1" t="str">
        <f>HYPERLINK("http://genome-euro.ucsc.edu/cgi-bin/hgTracks?position=206004_at","UCSC")</f>
        <v>UCSC</v>
      </c>
      <c r="E8709" s="1" t="str">
        <f>HYPERLINK("http://www.ncbi.nlm.nih.gov/gene/?term=TGM3","NCBI")</f>
        <v>NCBI</v>
      </c>
      <c r="F8709">
        <v>0.15</v>
      </c>
      <c r="G8709">
        <v>0.28999999999999998</v>
      </c>
      <c r="H8709" s="1" t="str">
        <f>HYPERLINK("http://www.weizmann.ac.il/complex/compphys/software/geview/data/figures/206004_at.png","Figure")</f>
        <v>Figure</v>
      </c>
      <c r="I8709">
        <v>1.1200000000000001</v>
      </c>
      <c r="J8709">
        <v>0.27</v>
      </c>
      <c r="K8709">
        <v>0.98199999999999998</v>
      </c>
      <c r="L8709">
        <v>0.95</v>
      </c>
      <c r="M8709">
        <v>0.879</v>
      </c>
      <c r="N8709">
        <v>0.14000000000000001</v>
      </c>
    </row>
    <row r="8710" spans="1:14" x14ac:dyDescent="0.25">
      <c r="A8710" t="s">
        <v>15358</v>
      </c>
      <c r="B8710" t="s">
        <v>15359</v>
      </c>
      <c r="C8710" s="1" t="str">
        <f>HYPERLINK("http://www.genecards.org/cgi-bin/carddisp.pl?gene=IGL@ /// LOC100290557","GeneCards")</f>
        <v>GeneCards</v>
      </c>
      <c r="D8710" s="1" t="str">
        <f>HYPERLINK("http://genome-euro.ucsc.edu/cgi-bin/hgTracks?position=216412_x_at","UCSC")</f>
        <v>UCSC</v>
      </c>
      <c r="E8710" s="1" t="str">
        <f>HYPERLINK("http://www.ncbi.nlm.nih.gov/gene/?term=IGL@ /// LOC100290557","NCBI")</f>
        <v>NCBI</v>
      </c>
      <c r="F8710">
        <v>0.15</v>
      </c>
      <c r="G8710">
        <v>0.28999999999999998</v>
      </c>
      <c r="H8710" s="1" t="str">
        <f>HYPERLINK("http://www.weizmann.ac.il/complex/compphys/software/geview/data/figures/216412_x_at.png","Figure")</f>
        <v>Figure</v>
      </c>
      <c r="I8710">
        <v>1.22</v>
      </c>
      <c r="J8710">
        <v>0.14000000000000001</v>
      </c>
      <c r="K8710">
        <v>1.06</v>
      </c>
      <c r="L8710">
        <v>0.8</v>
      </c>
      <c r="M8710">
        <v>0.86599999999999999</v>
      </c>
      <c r="N8710">
        <v>0.28000000000000003</v>
      </c>
    </row>
    <row r="8711" spans="1:14" x14ac:dyDescent="0.25">
      <c r="A8711" t="s">
        <v>15360</v>
      </c>
      <c r="B8711" t="s">
        <v>13334</v>
      </c>
      <c r="C8711" s="1" t="str">
        <f>HYPERLINK("http://www.genecards.org/cgi-bin/carddisp.pl?gene=BPTF","GeneCards")</f>
        <v>GeneCards</v>
      </c>
      <c r="D8711" s="1" t="str">
        <f>HYPERLINK("http://genome-euro.ucsc.edu/cgi-bin/hgTracks?position=209271_at","UCSC")</f>
        <v>UCSC</v>
      </c>
      <c r="E8711" s="1" t="str">
        <f>HYPERLINK("http://www.ncbi.nlm.nih.gov/gene/?term=BPTF","NCBI")</f>
        <v>NCBI</v>
      </c>
      <c r="F8711">
        <v>0.15</v>
      </c>
      <c r="G8711">
        <v>0.28999999999999998</v>
      </c>
      <c r="H8711" s="1" t="str">
        <f>HYPERLINK("http://www.weizmann.ac.il/complex/compphys/software/geview/data/figures/209271_at.png","Figure")</f>
        <v>Figure</v>
      </c>
      <c r="I8711">
        <v>1.22</v>
      </c>
      <c r="J8711">
        <v>0.5</v>
      </c>
      <c r="K8711">
        <v>1.36</v>
      </c>
      <c r="L8711">
        <v>0.13</v>
      </c>
      <c r="M8711">
        <v>1.1200000000000001</v>
      </c>
      <c r="N8711">
        <v>0.76</v>
      </c>
    </row>
    <row r="8712" spans="1:14" x14ac:dyDescent="0.25">
      <c r="A8712" t="s">
        <v>15361</v>
      </c>
      <c r="B8712" t="s">
        <v>15362</v>
      </c>
      <c r="C8712" s="1" t="str">
        <f>HYPERLINK("http://www.genecards.org/cgi-bin/carddisp.pl?gene=NOS2","GeneCards")</f>
        <v>GeneCards</v>
      </c>
      <c r="D8712" s="1" t="str">
        <f>HYPERLINK("http://genome-euro.ucsc.edu/cgi-bin/hgTracks?position=210037_s_at","UCSC")</f>
        <v>UCSC</v>
      </c>
      <c r="E8712" s="1" t="str">
        <f>HYPERLINK("http://www.ncbi.nlm.nih.gov/gene/?term=NOS2","NCBI")</f>
        <v>NCBI</v>
      </c>
      <c r="F8712">
        <v>0.15</v>
      </c>
      <c r="G8712">
        <v>0.28999999999999998</v>
      </c>
      <c r="H8712" s="1" t="str">
        <f>HYPERLINK("http://www.weizmann.ac.il/complex/compphys/software/geview/data/figures/210037_s_at.png","Figure")</f>
        <v>Figure</v>
      </c>
      <c r="I8712">
        <v>1</v>
      </c>
      <c r="J8712">
        <v>1</v>
      </c>
      <c r="K8712">
        <v>1.08</v>
      </c>
      <c r="L8712">
        <v>0.2</v>
      </c>
      <c r="M8712">
        <v>1.07</v>
      </c>
      <c r="N8712">
        <v>0.26</v>
      </c>
    </row>
    <row r="8713" spans="1:14" x14ac:dyDescent="0.25">
      <c r="A8713" t="s">
        <v>15363</v>
      </c>
      <c r="B8713" t="s">
        <v>15364</v>
      </c>
      <c r="C8713" s="1" t="str">
        <f>HYPERLINK("http://www.genecards.org/cgi-bin/carddisp.pl?gene=SNRPD2","GeneCards")</f>
        <v>GeneCards</v>
      </c>
      <c r="D8713" s="1" t="str">
        <f>HYPERLINK("http://genome-euro.ucsc.edu/cgi-bin/hgTracks?position=200826_at","UCSC")</f>
        <v>UCSC</v>
      </c>
      <c r="E8713" s="1" t="str">
        <f>HYPERLINK("http://www.ncbi.nlm.nih.gov/gene/?term=SNRPD2","NCBI")</f>
        <v>NCBI</v>
      </c>
      <c r="F8713">
        <v>0.15</v>
      </c>
      <c r="G8713">
        <v>0.28999999999999998</v>
      </c>
      <c r="H8713" s="1" t="str">
        <f>HYPERLINK("http://www.weizmann.ac.il/complex/compphys/software/geview/data/figures/200826_at.png","Figure")</f>
        <v>Figure</v>
      </c>
      <c r="I8713">
        <v>1.17</v>
      </c>
      <c r="J8713">
        <v>0.79</v>
      </c>
      <c r="K8713">
        <v>1.51</v>
      </c>
      <c r="L8713">
        <v>0.14000000000000001</v>
      </c>
      <c r="M8713">
        <v>1.29</v>
      </c>
      <c r="N8713">
        <v>0.47</v>
      </c>
    </row>
    <row r="8714" spans="1:14" x14ac:dyDescent="0.25">
      <c r="A8714" t="s">
        <v>15365</v>
      </c>
      <c r="B8714" t="s">
        <v>1337</v>
      </c>
      <c r="C8714" s="1" t="str">
        <f>HYPERLINK("http://www.genecards.org/cgi-bin/carddisp.pl?gene=KIAA0090","GeneCards")</f>
        <v>GeneCards</v>
      </c>
      <c r="D8714" s="1" t="str">
        <f>HYPERLINK("http://genome-euro.ucsc.edu/cgi-bin/hgTracks?position=212396_s_at","UCSC")</f>
        <v>UCSC</v>
      </c>
      <c r="E8714" s="1" t="str">
        <f>HYPERLINK("http://www.ncbi.nlm.nih.gov/gene/?term=KIAA0090","NCBI")</f>
        <v>NCBI</v>
      </c>
      <c r="F8714">
        <v>0.15</v>
      </c>
      <c r="G8714">
        <v>0.28999999999999998</v>
      </c>
      <c r="H8714" s="1" t="str">
        <f>HYPERLINK("http://www.weizmann.ac.il/complex/compphys/software/geview/data/figures/212396_s_at.png","Figure")</f>
        <v>Figure</v>
      </c>
      <c r="I8714">
        <v>0.71099999999999997</v>
      </c>
      <c r="J8714">
        <v>0.26</v>
      </c>
      <c r="K8714">
        <v>0.70499999999999996</v>
      </c>
      <c r="L8714">
        <v>0.17</v>
      </c>
      <c r="M8714">
        <v>0.99299999999999999</v>
      </c>
      <c r="N8714">
        <v>1</v>
      </c>
    </row>
    <row r="8715" spans="1:14" x14ac:dyDescent="0.25">
      <c r="A8715" t="s">
        <v>15366</v>
      </c>
      <c r="B8715" t="s">
        <v>15367</v>
      </c>
      <c r="C8715" s="1" t="str">
        <f>HYPERLINK("http://www.genecards.org/cgi-bin/carddisp.pl?gene=HMGXB4","GeneCards")</f>
        <v>GeneCards</v>
      </c>
      <c r="D8715" s="1" t="str">
        <f>HYPERLINK("http://genome-euro.ucsc.edu/cgi-bin/hgTracks?position=212596_s_at","UCSC")</f>
        <v>UCSC</v>
      </c>
      <c r="E8715" s="1" t="str">
        <f>HYPERLINK("http://www.ncbi.nlm.nih.gov/gene/?term=HMGXB4","NCBI")</f>
        <v>NCBI</v>
      </c>
      <c r="F8715">
        <v>0.15</v>
      </c>
      <c r="G8715">
        <v>0.28999999999999998</v>
      </c>
      <c r="H8715" s="1" t="str">
        <f>HYPERLINK("http://www.weizmann.ac.il/complex/compphys/software/geview/data/figures/212596_s_at.png","Figure")</f>
        <v>Figure</v>
      </c>
      <c r="I8715">
        <v>1.02</v>
      </c>
      <c r="J8715">
        <v>1</v>
      </c>
      <c r="K8715">
        <v>0.71499999999999997</v>
      </c>
      <c r="L8715">
        <v>0.22</v>
      </c>
      <c r="M8715">
        <v>0.70199999999999996</v>
      </c>
      <c r="N8715">
        <v>0.23</v>
      </c>
    </row>
    <row r="8716" spans="1:14" x14ac:dyDescent="0.25">
      <c r="A8716" t="s">
        <v>15368</v>
      </c>
      <c r="B8716" t="s">
        <v>3039</v>
      </c>
      <c r="C8716" s="1" t="str">
        <f>HYPERLINK("http://www.genecards.org/cgi-bin/carddisp.pl?gene=SHMT2","GeneCards")</f>
        <v>GeneCards</v>
      </c>
      <c r="D8716" s="1" t="str">
        <f>HYPERLINK("http://genome-euro.ucsc.edu/cgi-bin/hgTracks?position=214437_s_at","UCSC")</f>
        <v>UCSC</v>
      </c>
      <c r="E8716" s="1" t="str">
        <f>HYPERLINK("http://www.ncbi.nlm.nih.gov/gene/?term=SHMT2","NCBI")</f>
        <v>NCBI</v>
      </c>
      <c r="F8716">
        <v>0.15</v>
      </c>
      <c r="G8716">
        <v>0.28999999999999998</v>
      </c>
      <c r="H8716" s="1" t="str">
        <f>HYPERLINK("http://www.weizmann.ac.il/complex/compphys/software/geview/data/figures/214437_s_at.png","Figure")</f>
        <v>Figure</v>
      </c>
      <c r="I8716">
        <v>1.07</v>
      </c>
      <c r="J8716">
        <v>0.85</v>
      </c>
      <c r="K8716">
        <v>1.25</v>
      </c>
      <c r="L8716">
        <v>0.15</v>
      </c>
      <c r="M8716">
        <v>1.17</v>
      </c>
      <c r="N8716">
        <v>0.42</v>
      </c>
    </row>
    <row r="8717" spans="1:14" x14ac:dyDescent="0.25">
      <c r="A8717" t="s">
        <v>15369</v>
      </c>
      <c r="B8717" t="s">
        <v>11314</v>
      </c>
      <c r="C8717" s="1" t="str">
        <f>HYPERLINK("http://www.genecards.org/cgi-bin/carddisp.pl?gene=C15orf39","GeneCards")</f>
        <v>GeneCards</v>
      </c>
      <c r="D8717" s="1" t="str">
        <f>HYPERLINK("http://genome-euro.ucsc.edu/cgi-bin/hgTracks?position=204495_s_at","UCSC")</f>
        <v>UCSC</v>
      </c>
      <c r="E8717" s="1" t="str">
        <f>HYPERLINK("http://www.ncbi.nlm.nih.gov/gene/?term=C15orf39","NCBI")</f>
        <v>NCBI</v>
      </c>
      <c r="F8717">
        <v>0.15</v>
      </c>
      <c r="G8717">
        <v>0.28999999999999998</v>
      </c>
      <c r="H8717" s="1" t="str">
        <f>HYPERLINK("http://www.weizmann.ac.il/complex/compphys/software/geview/data/figures/204495_s_at.png","Figure")</f>
        <v>Figure</v>
      </c>
      <c r="I8717">
        <v>0.92400000000000004</v>
      </c>
      <c r="J8717">
        <v>0.64</v>
      </c>
      <c r="K8717">
        <v>1.0900000000000001</v>
      </c>
      <c r="L8717">
        <v>0.5</v>
      </c>
      <c r="M8717">
        <v>1.18</v>
      </c>
      <c r="N8717">
        <v>0.14000000000000001</v>
      </c>
    </row>
    <row r="8718" spans="1:14" x14ac:dyDescent="0.25">
      <c r="A8718" t="s">
        <v>15370</v>
      </c>
      <c r="B8718" t="s">
        <v>15371</v>
      </c>
      <c r="C8718" s="1" t="str">
        <f>HYPERLINK("http://www.genecards.org/cgi-bin/carddisp.pl?gene=HSPA1L","GeneCards")</f>
        <v>GeneCards</v>
      </c>
      <c r="D8718" s="1" t="str">
        <f>HYPERLINK("http://genome-euro.ucsc.edu/cgi-bin/hgTracks?position=210189_at","UCSC")</f>
        <v>UCSC</v>
      </c>
      <c r="E8718" s="1" t="str">
        <f>HYPERLINK("http://www.ncbi.nlm.nih.gov/gene/?term=HSPA1L","NCBI")</f>
        <v>NCBI</v>
      </c>
      <c r="F8718">
        <v>0.15</v>
      </c>
      <c r="G8718">
        <v>0.28999999999999998</v>
      </c>
      <c r="H8718" s="1" t="str">
        <f>HYPERLINK("http://www.weizmann.ac.il/complex/compphys/software/geview/data/figures/210189_at.png","Figure")</f>
        <v>Figure</v>
      </c>
      <c r="I8718">
        <v>0.83399999999999996</v>
      </c>
      <c r="J8718">
        <v>0.17</v>
      </c>
      <c r="K8718">
        <v>0.97699999999999998</v>
      </c>
      <c r="L8718">
        <v>0.96</v>
      </c>
      <c r="M8718">
        <v>1.17</v>
      </c>
      <c r="N8718">
        <v>0.21</v>
      </c>
    </row>
    <row r="8719" spans="1:14" x14ac:dyDescent="0.25">
      <c r="A8719" t="s">
        <v>15372</v>
      </c>
      <c r="B8719" t="s">
        <v>15373</v>
      </c>
      <c r="C8719" s="1" t="str">
        <f>HYPERLINK("http://www.genecards.org/cgi-bin/carddisp.pl?gene=CRYBB2","GeneCards")</f>
        <v>GeneCards</v>
      </c>
      <c r="D8719" s="1" t="str">
        <f>HYPERLINK("http://genome-euro.ucsc.edu/cgi-bin/hgTracks?position=206778_at","UCSC")</f>
        <v>UCSC</v>
      </c>
      <c r="E8719" s="1" t="str">
        <f>HYPERLINK("http://www.ncbi.nlm.nih.gov/gene/?term=CRYBB2","NCBI")</f>
        <v>NCBI</v>
      </c>
      <c r="F8719">
        <v>0.15</v>
      </c>
      <c r="G8719">
        <v>0.28999999999999998</v>
      </c>
      <c r="H8719" s="1" t="str">
        <f>HYPERLINK("http://www.weizmann.ac.il/complex/compphys/software/geview/data/figures/206778_at.png","Figure")</f>
        <v>Figure</v>
      </c>
      <c r="I8719">
        <v>1.02</v>
      </c>
      <c r="J8719">
        <v>0.92</v>
      </c>
      <c r="K8719">
        <v>0.93</v>
      </c>
      <c r="L8719">
        <v>0.28999999999999998</v>
      </c>
      <c r="M8719">
        <v>0.91</v>
      </c>
      <c r="N8719">
        <v>0.18</v>
      </c>
    </row>
    <row r="8720" spans="1:14" x14ac:dyDescent="0.25">
      <c r="A8720" t="s">
        <v>15374</v>
      </c>
      <c r="B8720" t="s">
        <v>15375</v>
      </c>
      <c r="C8720" s="1" t="str">
        <f>HYPERLINK("http://www.genecards.org/cgi-bin/carddisp.pl?gene=CA7","GeneCards")</f>
        <v>GeneCards</v>
      </c>
      <c r="D8720" s="1" t="str">
        <f>HYPERLINK("http://genome-euro.ucsc.edu/cgi-bin/hgTracks?position=207504_at","UCSC")</f>
        <v>UCSC</v>
      </c>
      <c r="E8720" s="1" t="str">
        <f>HYPERLINK("http://www.ncbi.nlm.nih.gov/gene/?term=CA7","NCBI")</f>
        <v>NCBI</v>
      </c>
      <c r="F8720">
        <v>0.15</v>
      </c>
      <c r="G8720">
        <v>0.28999999999999998</v>
      </c>
      <c r="H8720" s="1" t="str">
        <f>HYPERLINK("http://www.weizmann.ac.il/complex/compphys/software/geview/data/figures/207504_at.png","Figure")</f>
        <v>Figure</v>
      </c>
      <c r="I8720">
        <v>1.23</v>
      </c>
      <c r="J8720">
        <v>0.13</v>
      </c>
      <c r="K8720">
        <v>1.08</v>
      </c>
      <c r="L8720">
        <v>0.68</v>
      </c>
      <c r="M8720">
        <v>0.873</v>
      </c>
      <c r="N8720">
        <v>0.35</v>
      </c>
    </row>
    <row r="8721" spans="1:14" x14ac:dyDescent="0.25">
      <c r="A8721" t="s">
        <v>15376</v>
      </c>
      <c r="B8721" t="s">
        <v>639</v>
      </c>
      <c r="C8721" s="1" t="str">
        <f>HYPERLINK("http://www.genecards.org/cgi-bin/carddisp.pl?gene=LST1","GeneCards")</f>
        <v>GeneCards</v>
      </c>
      <c r="D8721" s="1" t="str">
        <f>HYPERLINK("http://genome-euro.ucsc.edu/cgi-bin/hgTracks?position=215633_x_at","UCSC")</f>
        <v>UCSC</v>
      </c>
      <c r="E8721" s="1" t="str">
        <f>HYPERLINK("http://www.ncbi.nlm.nih.gov/gene/?term=LST1","NCBI")</f>
        <v>NCBI</v>
      </c>
      <c r="F8721">
        <v>0.15</v>
      </c>
      <c r="G8721">
        <v>0.28999999999999998</v>
      </c>
      <c r="H8721" s="1" t="str">
        <f>HYPERLINK("http://www.weizmann.ac.il/complex/compphys/software/geview/data/figures/215633_x_at.png","Figure")</f>
        <v>Figure</v>
      </c>
      <c r="I8721">
        <v>0.76800000000000002</v>
      </c>
      <c r="J8721">
        <v>0.16</v>
      </c>
      <c r="K8721">
        <v>0.82599999999999996</v>
      </c>
      <c r="L8721">
        <v>0.27</v>
      </c>
      <c r="M8721">
        <v>1.07</v>
      </c>
      <c r="N8721">
        <v>0.84</v>
      </c>
    </row>
    <row r="8722" spans="1:14" x14ac:dyDescent="0.25">
      <c r="A8722" t="s">
        <v>15377</v>
      </c>
      <c r="B8722" t="s">
        <v>15378</v>
      </c>
      <c r="C8722" s="1" t="str">
        <f>HYPERLINK("http://www.genecards.org/cgi-bin/carddisp.pl?gene=FAM173A","GeneCards")</f>
        <v>GeneCards</v>
      </c>
      <c r="D8722" s="1" t="str">
        <f>HYPERLINK("http://genome-euro.ucsc.edu/cgi-bin/hgTracks?position=219709_x_at","UCSC")</f>
        <v>UCSC</v>
      </c>
      <c r="E8722" s="1" t="str">
        <f>HYPERLINK("http://www.ncbi.nlm.nih.gov/gene/?term=FAM173A","NCBI")</f>
        <v>NCBI</v>
      </c>
      <c r="F8722">
        <v>0.15</v>
      </c>
      <c r="G8722">
        <v>0.28999999999999998</v>
      </c>
      <c r="H8722" s="1" t="str">
        <f>HYPERLINK("http://www.weizmann.ac.il/complex/compphys/software/geview/data/figures/219709_x_at.png","Figure")</f>
        <v>Figure</v>
      </c>
      <c r="I8722">
        <v>1.03</v>
      </c>
      <c r="J8722">
        <v>0.2</v>
      </c>
      <c r="K8722">
        <v>1.03</v>
      </c>
      <c r="L8722">
        <v>0.21</v>
      </c>
      <c r="M8722">
        <v>0.995</v>
      </c>
      <c r="N8722">
        <v>0.95</v>
      </c>
    </row>
    <row r="8723" spans="1:14" x14ac:dyDescent="0.25">
      <c r="A8723" t="s">
        <v>15379</v>
      </c>
      <c r="B8723" t="s">
        <v>10563</v>
      </c>
      <c r="C8723" s="1" t="str">
        <f>HYPERLINK("http://www.genecards.org/cgi-bin/carddisp.pl?gene=LILRA6 /// LILRB3","GeneCards")</f>
        <v>GeneCards</v>
      </c>
      <c r="D8723" s="1" t="str">
        <f>HYPERLINK("http://genome-euro.ucsc.edu/cgi-bin/hgTracks?position=210784_x_at","UCSC")</f>
        <v>UCSC</v>
      </c>
      <c r="E8723" s="1" t="str">
        <f>HYPERLINK("http://www.ncbi.nlm.nih.gov/gene/?term=LILRA6 /// LILRB3","NCBI")</f>
        <v>NCBI</v>
      </c>
      <c r="F8723">
        <v>0.15</v>
      </c>
      <c r="G8723">
        <v>0.28999999999999998</v>
      </c>
      <c r="H8723" s="1" t="str">
        <f>HYPERLINK("http://www.weizmann.ac.il/complex/compphys/software/geview/data/figures/210784_x_at.png","Figure")</f>
        <v>Figure</v>
      </c>
      <c r="I8723">
        <v>1.29</v>
      </c>
      <c r="J8723">
        <v>0.17</v>
      </c>
      <c r="K8723">
        <v>1.21</v>
      </c>
      <c r="L8723">
        <v>0.25</v>
      </c>
      <c r="M8723">
        <v>0.94099999999999995</v>
      </c>
      <c r="N8723">
        <v>0.87</v>
      </c>
    </row>
    <row r="8724" spans="1:14" x14ac:dyDescent="0.25">
      <c r="A8724" t="s">
        <v>15380</v>
      </c>
      <c r="B8724" t="s">
        <v>15381</v>
      </c>
      <c r="C8724" s="1" t="str">
        <f>HYPERLINK("http://www.genecards.org/cgi-bin/carddisp.pl?gene=YSK4","GeneCards")</f>
        <v>GeneCards</v>
      </c>
      <c r="D8724" s="1" t="str">
        <f>HYPERLINK("http://genome-euro.ucsc.edu/cgi-bin/hgTracks?position=221180_at","UCSC")</f>
        <v>UCSC</v>
      </c>
      <c r="E8724" s="1" t="str">
        <f>HYPERLINK("http://www.ncbi.nlm.nih.gov/gene/?term=YSK4","NCBI")</f>
        <v>NCBI</v>
      </c>
      <c r="F8724">
        <v>0.15</v>
      </c>
      <c r="G8724">
        <v>0.28999999999999998</v>
      </c>
      <c r="H8724" s="1" t="str">
        <f>HYPERLINK("http://www.weizmann.ac.il/complex/compphys/software/geview/data/figures/221180_at.png","Figure")</f>
        <v>Figure</v>
      </c>
      <c r="I8724">
        <v>1.29</v>
      </c>
      <c r="J8724">
        <v>0.13</v>
      </c>
      <c r="K8724">
        <v>1.1200000000000001</v>
      </c>
      <c r="L8724">
        <v>0.54</v>
      </c>
      <c r="M8724">
        <v>0.871</v>
      </c>
      <c r="N8724">
        <v>0.46</v>
      </c>
    </row>
    <row r="8725" spans="1:14" x14ac:dyDescent="0.25">
      <c r="A8725" t="s">
        <v>15382</v>
      </c>
      <c r="B8725" t="s">
        <v>14420</v>
      </c>
      <c r="C8725" s="1" t="str">
        <f>HYPERLINK("http://www.genecards.org/cgi-bin/carddisp.pl?gene=NAT15","GeneCards")</f>
        <v>GeneCards</v>
      </c>
      <c r="D8725" s="1" t="str">
        <f>HYPERLINK("http://genome-euro.ucsc.edu/cgi-bin/hgTracks?position=45526_g_at","UCSC")</f>
        <v>UCSC</v>
      </c>
      <c r="E8725" s="1" t="str">
        <f>HYPERLINK("http://www.ncbi.nlm.nih.gov/gene/?term=NAT15","NCBI")</f>
        <v>NCBI</v>
      </c>
      <c r="F8725">
        <v>0.15</v>
      </c>
      <c r="G8725">
        <v>0.28999999999999998</v>
      </c>
      <c r="H8725" s="1" t="str">
        <f>HYPERLINK("http://www.weizmann.ac.il/complex/compphys/software/geview/data/figures/45526_g_at.png","Figure")</f>
        <v>Figure</v>
      </c>
      <c r="I8725">
        <v>1.22</v>
      </c>
      <c r="J8725">
        <v>0.19</v>
      </c>
      <c r="K8725">
        <v>1.18</v>
      </c>
      <c r="L8725">
        <v>0.21</v>
      </c>
      <c r="M8725">
        <v>0.96799999999999997</v>
      </c>
      <c r="N8725">
        <v>0.95</v>
      </c>
    </row>
    <row r="8726" spans="1:14" x14ac:dyDescent="0.25">
      <c r="A8726" t="s">
        <v>15383</v>
      </c>
      <c r="B8726" t="s">
        <v>15384</v>
      </c>
      <c r="C8726" s="1" t="str">
        <f>HYPERLINK("http://www.genecards.org/cgi-bin/carddisp.pl?gene=RPS15A","GeneCards")</f>
        <v>GeneCards</v>
      </c>
      <c r="D8726" s="1" t="str">
        <f>HYPERLINK("http://genome-euro.ucsc.edu/cgi-bin/hgTracks?position=200781_s_at","UCSC")</f>
        <v>UCSC</v>
      </c>
      <c r="E8726" s="1" t="str">
        <f>HYPERLINK("http://www.ncbi.nlm.nih.gov/gene/?term=RPS15A","NCBI")</f>
        <v>NCBI</v>
      </c>
      <c r="F8726">
        <v>0.15</v>
      </c>
      <c r="G8726">
        <v>0.28999999999999998</v>
      </c>
      <c r="H8726" s="1" t="str">
        <f>HYPERLINK("http://www.weizmann.ac.il/complex/compphys/software/geview/data/figures/200781_s_at.png","Figure")</f>
        <v>Figure</v>
      </c>
      <c r="I8726">
        <v>1.0900000000000001</v>
      </c>
      <c r="J8726">
        <v>0.5</v>
      </c>
      <c r="K8726">
        <v>0.94199999999999995</v>
      </c>
      <c r="L8726">
        <v>0.64</v>
      </c>
      <c r="M8726">
        <v>0.86399999999999999</v>
      </c>
      <c r="N8726">
        <v>0.13</v>
      </c>
    </row>
    <row r="8727" spans="1:14" x14ac:dyDescent="0.25">
      <c r="A8727" t="s">
        <v>15385</v>
      </c>
      <c r="B8727" t="s">
        <v>15386</v>
      </c>
      <c r="C8727" s="1" t="str">
        <f>HYPERLINK("http://www.genecards.org/cgi-bin/carddisp.pl?gene=ZMYM4","GeneCards")</f>
        <v>GeneCards</v>
      </c>
      <c r="D8727" s="1" t="str">
        <f>HYPERLINK("http://genome-euro.ucsc.edu/cgi-bin/hgTracks?position=202051_s_at","UCSC")</f>
        <v>UCSC</v>
      </c>
      <c r="E8727" s="1" t="str">
        <f>HYPERLINK("http://www.ncbi.nlm.nih.gov/gene/?term=ZMYM4","NCBI")</f>
        <v>NCBI</v>
      </c>
      <c r="F8727">
        <v>0.15</v>
      </c>
      <c r="G8727">
        <v>0.28999999999999998</v>
      </c>
      <c r="H8727" s="1" t="str">
        <f>HYPERLINK("http://www.weizmann.ac.il/complex/compphys/software/geview/data/figures/202051_s_at.png","Figure")</f>
        <v>Figure</v>
      </c>
      <c r="I8727">
        <v>0.69</v>
      </c>
      <c r="J8727">
        <v>0.18</v>
      </c>
      <c r="K8727">
        <v>0.97</v>
      </c>
      <c r="L8727">
        <v>0.98</v>
      </c>
      <c r="M8727">
        <v>1.41</v>
      </c>
      <c r="N8727">
        <v>0.19</v>
      </c>
    </row>
    <row r="8728" spans="1:14" x14ac:dyDescent="0.25">
      <c r="A8728" t="s">
        <v>15387</v>
      </c>
      <c r="B8728" t="s">
        <v>15388</v>
      </c>
      <c r="C8728" s="1" t="str">
        <f>HYPERLINK("http://www.genecards.org/cgi-bin/carddisp.pl?gene=LTBP1","GeneCards")</f>
        <v>GeneCards</v>
      </c>
      <c r="D8728" s="1" t="str">
        <f>HYPERLINK("http://genome-euro.ucsc.edu/cgi-bin/hgTracks?position=202728_s_at","UCSC")</f>
        <v>UCSC</v>
      </c>
      <c r="E8728" s="1" t="str">
        <f>HYPERLINK("http://www.ncbi.nlm.nih.gov/gene/?term=LTBP1","NCBI")</f>
        <v>NCBI</v>
      </c>
      <c r="F8728">
        <v>0.15</v>
      </c>
      <c r="G8728">
        <v>0.28999999999999998</v>
      </c>
      <c r="H8728" s="1" t="str">
        <f>HYPERLINK("http://www.weizmann.ac.il/complex/compphys/software/geview/data/figures/202728_s_at.png","Figure")</f>
        <v>Figure</v>
      </c>
      <c r="I8728">
        <v>1.06</v>
      </c>
      <c r="J8728">
        <v>0.53</v>
      </c>
      <c r="K8728">
        <v>0.95299999999999996</v>
      </c>
      <c r="L8728">
        <v>0.6</v>
      </c>
      <c r="M8728">
        <v>0.89600000000000002</v>
      </c>
      <c r="N8728">
        <v>0.13</v>
      </c>
    </row>
    <row r="8729" spans="1:14" x14ac:dyDescent="0.25">
      <c r="A8729" t="s">
        <v>15389</v>
      </c>
      <c r="B8729" t="s">
        <v>15390</v>
      </c>
      <c r="C8729" s="1" t="str">
        <f>HYPERLINK("http://www.genecards.org/cgi-bin/carddisp.pl?gene=TNR","GeneCards")</f>
        <v>GeneCards</v>
      </c>
      <c r="D8729" s="1" t="str">
        <f>HYPERLINK("http://genome-euro.ucsc.edu/cgi-bin/hgTracks?position=206990_at","UCSC")</f>
        <v>UCSC</v>
      </c>
      <c r="E8729" s="1" t="str">
        <f>HYPERLINK("http://www.ncbi.nlm.nih.gov/gene/?term=TNR","NCBI")</f>
        <v>NCBI</v>
      </c>
      <c r="F8729">
        <v>0.15</v>
      </c>
      <c r="G8729">
        <v>0.28999999999999998</v>
      </c>
      <c r="H8729" s="1" t="str">
        <f>HYPERLINK("http://www.weizmann.ac.il/complex/compphys/software/geview/data/figures/206990_at.png","Figure")</f>
        <v>Figure</v>
      </c>
      <c r="I8729">
        <v>1.07</v>
      </c>
      <c r="J8729">
        <v>0.34</v>
      </c>
      <c r="K8729">
        <v>1.08</v>
      </c>
      <c r="L8729">
        <v>0.14000000000000001</v>
      </c>
      <c r="M8729">
        <v>1.01</v>
      </c>
      <c r="N8729">
        <v>0.94</v>
      </c>
    </row>
    <row r="8730" spans="1:14" x14ac:dyDescent="0.25">
      <c r="A8730" t="s">
        <v>15391</v>
      </c>
      <c r="B8730" t="s">
        <v>15392</v>
      </c>
      <c r="C8730" s="1" t="str">
        <f>HYPERLINK("http://www.genecards.org/cgi-bin/carddisp.pl?gene=FRMD4A","GeneCards")</f>
        <v>GeneCards</v>
      </c>
      <c r="D8730" s="1" t="str">
        <f>HYPERLINK("http://genome-euro.ucsc.edu/cgi-bin/hgTracks?position=208475_at","UCSC")</f>
        <v>UCSC</v>
      </c>
      <c r="E8730" s="1" t="str">
        <f>HYPERLINK("http://www.ncbi.nlm.nih.gov/gene/?term=FRMD4A","NCBI")</f>
        <v>NCBI</v>
      </c>
      <c r="F8730">
        <v>0.15</v>
      </c>
      <c r="G8730">
        <v>0.28999999999999998</v>
      </c>
      <c r="H8730" s="1" t="str">
        <f>HYPERLINK("http://www.weizmann.ac.il/complex/compphys/software/geview/data/figures/208475_at.png","Figure")</f>
        <v>Figure</v>
      </c>
      <c r="I8730">
        <v>1.02</v>
      </c>
      <c r="J8730">
        <v>0.3</v>
      </c>
      <c r="K8730">
        <v>1.03</v>
      </c>
      <c r="L8730">
        <v>0.15</v>
      </c>
      <c r="M8730">
        <v>1</v>
      </c>
      <c r="N8730">
        <v>0.98</v>
      </c>
    </row>
    <row r="8731" spans="1:14" x14ac:dyDescent="0.25">
      <c r="A8731" t="s">
        <v>15393</v>
      </c>
      <c r="B8731" t="s">
        <v>15394</v>
      </c>
      <c r="C8731" s="1" t="str">
        <f>HYPERLINK("http://www.genecards.org/cgi-bin/carddisp.pl?gene=AP1S1","GeneCards")</f>
        <v>GeneCards</v>
      </c>
      <c r="D8731" s="1" t="str">
        <f>HYPERLINK("http://genome-euro.ucsc.edu/cgi-bin/hgTracks?position=209635_at","UCSC")</f>
        <v>UCSC</v>
      </c>
      <c r="E8731" s="1" t="str">
        <f>HYPERLINK("http://www.ncbi.nlm.nih.gov/gene/?term=AP1S1","NCBI")</f>
        <v>NCBI</v>
      </c>
      <c r="F8731">
        <v>0.15</v>
      </c>
      <c r="G8731">
        <v>0.28999999999999998</v>
      </c>
      <c r="H8731" s="1" t="str">
        <f>HYPERLINK("http://www.weizmann.ac.il/complex/compphys/software/geview/data/figures/209635_at.png","Figure")</f>
        <v>Figure</v>
      </c>
      <c r="I8731">
        <v>1.24</v>
      </c>
      <c r="J8731">
        <v>0.2</v>
      </c>
      <c r="K8731">
        <v>1.01</v>
      </c>
      <c r="L8731">
        <v>1</v>
      </c>
      <c r="M8731">
        <v>0.81</v>
      </c>
      <c r="N8731">
        <v>0.18</v>
      </c>
    </row>
    <row r="8732" spans="1:14" x14ac:dyDescent="0.25">
      <c r="A8732" t="s">
        <v>15395</v>
      </c>
      <c r="B8732" t="s">
        <v>9271</v>
      </c>
      <c r="C8732" s="1" t="str">
        <f>HYPERLINK("http://www.genecards.org/cgi-bin/carddisp.pl?gene=BID","GeneCards")</f>
        <v>GeneCards</v>
      </c>
      <c r="D8732" s="1" t="str">
        <f>HYPERLINK("http://genome-euro.ucsc.edu/cgi-bin/hgTracks?position=211725_s_at","UCSC")</f>
        <v>UCSC</v>
      </c>
      <c r="E8732" s="1" t="str">
        <f>HYPERLINK("http://www.ncbi.nlm.nih.gov/gene/?term=BID","NCBI")</f>
        <v>NCBI</v>
      </c>
      <c r="F8732">
        <v>0.15</v>
      </c>
      <c r="G8732">
        <v>0.28999999999999998</v>
      </c>
      <c r="H8732" s="1" t="str">
        <f>HYPERLINK("http://www.weizmann.ac.il/complex/compphys/software/geview/data/figures/211725_s_at.png","Figure")</f>
        <v>Figure</v>
      </c>
      <c r="I8732">
        <v>1.42</v>
      </c>
      <c r="J8732">
        <v>0.13</v>
      </c>
      <c r="K8732">
        <v>1.17</v>
      </c>
      <c r="L8732">
        <v>0.53</v>
      </c>
      <c r="M8732">
        <v>0.82699999999999996</v>
      </c>
      <c r="N8732">
        <v>0.47</v>
      </c>
    </row>
    <row r="8733" spans="1:14" x14ac:dyDescent="0.25">
      <c r="A8733" t="s">
        <v>15396</v>
      </c>
      <c r="B8733" t="s">
        <v>2868</v>
      </c>
      <c r="C8733" s="1" t="str">
        <f>HYPERLINK("http://www.genecards.org/cgi-bin/carddisp.pl?gene=KDM2A","GeneCards")</f>
        <v>GeneCards</v>
      </c>
      <c r="D8733" s="1" t="str">
        <f>HYPERLINK("http://genome-euro.ucsc.edu/cgi-bin/hgTracks?position=208987_s_at","UCSC")</f>
        <v>UCSC</v>
      </c>
      <c r="E8733" s="1" t="str">
        <f>HYPERLINK("http://www.ncbi.nlm.nih.gov/gene/?term=KDM2A","NCBI")</f>
        <v>NCBI</v>
      </c>
      <c r="F8733">
        <v>0.15</v>
      </c>
      <c r="G8733">
        <v>0.28999999999999998</v>
      </c>
      <c r="H8733" s="1" t="str">
        <f>HYPERLINK("http://www.weizmann.ac.il/complex/compphys/software/geview/data/figures/208987_s_at.png","Figure")</f>
        <v>Figure</v>
      </c>
      <c r="I8733">
        <v>1.26</v>
      </c>
      <c r="J8733">
        <v>0.18</v>
      </c>
      <c r="K8733">
        <v>1.02</v>
      </c>
      <c r="L8733">
        <v>0.98</v>
      </c>
      <c r="M8733">
        <v>0.81100000000000005</v>
      </c>
      <c r="N8733">
        <v>0.19</v>
      </c>
    </row>
    <row r="8734" spans="1:14" x14ac:dyDescent="0.25">
      <c r="A8734" t="s">
        <v>15397</v>
      </c>
      <c r="B8734" t="s">
        <v>12687</v>
      </c>
      <c r="C8734" s="1" t="str">
        <f>HYPERLINK("http://www.genecards.org/cgi-bin/carddisp.pl?gene=SDHC","GeneCards")</f>
        <v>GeneCards</v>
      </c>
      <c r="D8734" s="1" t="str">
        <f>HYPERLINK("http://genome-euro.ucsc.edu/cgi-bin/hgTracks?position=210131_x_at","UCSC")</f>
        <v>UCSC</v>
      </c>
      <c r="E8734" s="1" t="str">
        <f>HYPERLINK("http://www.ncbi.nlm.nih.gov/gene/?term=SDHC","NCBI")</f>
        <v>NCBI</v>
      </c>
      <c r="F8734">
        <v>0.15</v>
      </c>
      <c r="G8734">
        <v>0.28999999999999998</v>
      </c>
      <c r="H8734" s="1" t="str">
        <f>HYPERLINK("http://www.weizmann.ac.il/complex/compphys/software/geview/data/figures/210131_x_at.png","Figure")</f>
        <v>Figure</v>
      </c>
      <c r="I8734">
        <v>1.1399999999999999</v>
      </c>
      <c r="J8734">
        <v>0.61</v>
      </c>
      <c r="K8734">
        <v>1.28</v>
      </c>
      <c r="L8734">
        <v>0.13</v>
      </c>
      <c r="M8734">
        <v>1.1200000000000001</v>
      </c>
      <c r="N8734">
        <v>0.64</v>
      </c>
    </row>
    <row r="8735" spans="1:14" x14ac:dyDescent="0.25">
      <c r="A8735" t="s">
        <v>15398</v>
      </c>
      <c r="B8735" t="s">
        <v>15399</v>
      </c>
      <c r="C8735" s="1" t="str">
        <f>HYPERLINK("http://www.genecards.org/cgi-bin/carddisp.pl?gene=ZFR","GeneCards")</f>
        <v>GeneCards</v>
      </c>
      <c r="D8735" s="1" t="str">
        <f>HYPERLINK("http://genome-euro.ucsc.edu/cgi-bin/hgTracks?position=213286_at","UCSC")</f>
        <v>UCSC</v>
      </c>
      <c r="E8735" s="1" t="str">
        <f>HYPERLINK("http://www.ncbi.nlm.nih.gov/gene/?term=ZFR","NCBI")</f>
        <v>NCBI</v>
      </c>
      <c r="F8735">
        <v>0.15</v>
      </c>
      <c r="G8735">
        <v>0.28999999999999998</v>
      </c>
      <c r="H8735" s="1" t="str">
        <f>HYPERLINK("http://www.weizmann.ac.il/complex/compphys/software/geview/data/figures/213286_at.png","Figure")</f>
        <v>Figure</v>
      </c>
      <c r="I8735">
        <v>0.89900000000000002</v>
      </c>
      <c r="J8735">
        <v>0.9</v>
      </c>
      <c r="K8735">
        <v>0.65300000000000002</v>
      </c>
      <c r="L8735">
        <v>0.16</v>
      </c>
      <c r="M8735">
        <v>0.72599999999999998</v>
      </c>
      <c r="N8735">
        <v>0.37</v>
      </c>
    </row>
    <row r="8736" spans="1:14" x14ac:dyDescent="0.25">
      <c r="A8736" t="s">
        <v>15400</v>
      </c>
      <c r="B8736" t="s">
        <v>9491</v>
      </c>
      <c r="C8736" s="1" t="str">
        <f>HYPERLINK("http://www.genecards.org/cgi-bin/carddisp.pl?gene=AKAP13","GeneCards")</f>
        <v>GeneCards</v>
      </c>
      <c r="D8736" s="1" t="str">
        <f>HYPERLINK("http://genome-euro.ucsc.edu/cgi-bin/hgTracks?position=221718_s_at","UCSC")</f>
        <v>UCSC</v>
      </c>
      <c r="E8736" s="1" t="str">
        <f>HYPERLINK("http://www.ncbi.nlm.nih.gov/gene/?term=AKAP13","NCBI")</f>
        <v>NCBI</v>
      </c>
      <c r="F8736">
        <v>0.15</v>
      </c>
      <c r="G8736">
        <v>0.28999999999999998</v>
      </c>
      <c r="H8736" s="1" t="str">
        <f>HYPERLINK("http://www.weizmann.ac.il/complex/compphys/software/geview/data/figures/221718_s_at.png","Figure")</f>
        <v>Figure</v>
      </c>
      <c r="I8736">
        <v>1.1100000000000001</v>
      </c>
      <c r="J8736">
        <v>0.94</v>
      </c>
      <c r="K8736">
        <v>0.64300000000000002</v>
      </c>
      <c r="L8736">
        <v>0.28000000000000003</v>
      </c>
      <c r="M8736">
        <v>0.57899999999999996</v>
      </c>
      <c r="N8736">
        <v>0.19</v>
      </c>
    </row>
    <row r="8737" spans="1:14" x14ac:dyDescent="0.25">
      <c r="A8737" t="s">
        <v>15401</v>
      </c>
      <c r="B8737" t="s">
        <v>8020</v>
      </c>
      <c r="C8737" s="1" t="str">
        <f>HYPERLINK("http://www.genecards.org/cgi-bin/carddisp.pl?gene=NRG1","GeneCards")</f>
        <v>GeneCards</v>
      </c>
      <c r="D8737" s="1" t="str">
        <f>HYPERLINK("http://genome-euro.ucsc.edu/cgi-bin/hgTracks?position=208241_at","UCSC")</f>
        <v>UCSC</v>
      </c>
      <c r="E8737" s="1" t="str">
        <f>HYPERLINK("http://www.ncbi.nlm.nih.gov/gene/?term=NRG1","NCBI")</f>
        <v>NCBI</v>
      </c>
      <c r="F8737">
        <v>0.15</v>
      </c>
      <c r="G8737">
        <v>0.3</v>
      </c>
      <c r="H8737" s="1" t="str">
        <f>HYPERLINK("http://www.weizmann.ac.il/complex/compphys/software/geview/data/figures/208241_at.png","Figure")</f>
        <v>Figure</v>
      </c>
      <c r="I8737">
        <v>0.95499999999999996</v>
      </c>
      <c r="J8737">
        <v>0.74</v>
      </c>
      <c r="K8737">
        <v>0.89700000000000002</v>
      </c>
      <c r="L8737">
        <v>0.14000000000000001</v>
      </c>
      <c r="M8737">
        <v>0.93899999999999995</v>
      </c>
      <c r="N8737">
        <v>0.52</v>
      </c>
    </row>
    <row r="8738" spans="1:14" x14ac:dyDescent="0.25">
      <c r="A8738" t="s">
        <v>15402</v>
      </c>
      <c r="B8738" t="s">
        <v>15403</v>
      </c>
      <c r="C8738" s="1" t="str">
        <f>HYPERLINK("http://www.genecards.org/cgi-bin/carddisp.pl?gene=SDF2","GeneCards")</f>
        <v>GeneCards</v>
      </c>
      <c r="D8738" s="1" t="str">
        <f>HYPERLINK("http://genome-euro.ucsc.edu/cgi-bin/hgTracks?position=203090_at","UCSC")</f>
        <v>UCSC</v>
      </c>
      <c r="E8738" s="1" t="str">
        <f>HYPERLINK("http://www.ncbi.nlm.nih.gov/gene/?term=SDF2","NCBI")</f>
        <v>NCBI</v>
      </c>
      <c r="F8738">
        <v>0.15</v>
      </c>
      <c r="G8738">
        <v>0.3</v>
      </c>
      <c r="H8738" s="1" t="str">
        <f>HYPERLINK("http://www.weizmann.ac.il/complex/compphys/software/geview/data/figures/203090_at.png","Figure")</f>
        <v>Figure</v>
      </c>
      <c r="I8738">
        <v>0.78600000000000003</v>
      </c>
      <c r="J8738">
        <v>0.13</v>
      </c>
      <c r="K8738">
        <v>0.876</v>
      </c>
      <c r="L8738">
        <v>0.42</v>
      </c>
      <c r="M8738">
        <v>1.1100000000000001</v>
      </c>
      <c r="N8738">
        <v>0.59</v>
      </c>
    </row>
    <row r="8739" spans="1:14" x14ac:dyDescent="0.25">
      <c r="A8739" t="s">
        <v>15404</v>
      </c>
      <c r="B8739" t="s">
        <v>13734</v>
      </c>
      <c r="C8739" s="1" t="str">
        <f>HYPERLINK("http://www.genecards.org/cgi-bin/carddisp.pl?gene=GRHPR","GeneCards")</f>
        <v>GeneCards</v>
      </c>
      <c r="D8739" s="1" t="str">
        <f>HYPERLINK("http://genome-euro.ucsc.edu/cgi-bin/hgTracks?position=201347_x_at","UCSC")</f>
        <v>UCSC</v>
      </c>
      <c r="E8739" s="1" t="str">
        <f>HYPERLINK("http://www.ncbi.nlm.nih.gov/gene/?term=GRHPR","NCBI")</f>
        <v>NCBI</v>
      </c>
      <c r="F8739">
        <v>0.15</v>
      </c>
      <c r="G8739">
        <v>0.3</v>
      </c>
      <c r="H8739" s="1" t="str">
        <f>HYPERLINK("http://www.weizmann.ac.il/complex/compphys/software/geview/data/figures/201347_x_at.png","Figure")</f>
        <v>Figure</v>
      </c>
      <c r="I8739">
        <v>0.80200000000000005</v>
      </c>
      <c r="J8739">
        <v>0.45</v>
      </c>
      <c r="K8739">
        <v>1.1399999999999999</v>
      </c>
      <c r="L8739">
        <v>0.7</v>
      </c>
      <c r="M8739">
        <v>1.42</v>
      </c>
      <c r="N8739">
        <v>0.13</v>
      </c>
    </row>
    <row r="8740" spans="1:14" x14ac:dyDescent="0.25">
      <c r="A8740" t="s">
        <v>15405</v>
      </c>
      <c r="B8740" t="s">
        <v>15406</v>
      </c>
      <c r="C8740" s="1" t="str">
        <f>HYPERLINK("http://www.genecards.org/cgi-bin/carddisp.pl?gene=ZFPL1","GeneCards")</f>
        <v>GeneCards</v>
      </c>
      <c r="D8740" s="1" t="str">
        <f>HYPERLINK("http://genome-euro.ucsc.edu/cgi-bin/hgTracks?position=214311_at","UCSC")</f>
        <v>UCSC</v>
      </c>
      <c r="E8740" s="1" t="str">
        <f>HYPERLINK("http://www.ncbi.nlm.nih.gov/gene/?term=ZFPL1","NCBI")</f>
        <v>NCBI</v>
      </c>
      <c r="F8740">
        <v>0.15</v>
      </c>
      <c r="G8740">
        <v>0.3</v>
      </c>
      <c r="H8740" s="1" t="str">
        <f>HYPERLINK("http://www.weizmann.ac.il/complex/compphys/software/geview/data/figures/214311_at.png","Figure")</f>
        <v>Figure</v>
      </c>
      <c r="I8740">
        <v>1.21</v>
      </c>
      <c r="J8740">
        <v>0.14000000000000001</v>
      </c>
      <c r="K8740">
        <v>1.1200000000000001</v>
      </c>
      <c r="L8740">
        <v>0.37</v>
      </c>
      <c r="M8740">
        <v>0.92500000000000004</v>
      </c>
      <c r="N8740">
        <v>0.65</v>
      </c>
    </row>
    <row r="8741" spans="1:14" x14ac:dyDescent="0.25">
      <c r="A8741" t="s">
        <v>15407</v>
      </c>
      <c r="B8741" t="s">
        <v>11059</v>
      </c>
      <c r="C8741" s="1" t="str">
        <f>HYPERLINK("http://www.genecards.org/cgi-bin/carddisp.pl?gene=MINK1","GeneCards")</f>
        <v>GeneCards</v>
      </c>
      <c r="D8741" s="1" t="str">
        <f>HYPERLINK("http://genome-euro.ucsc.edu/cgi-bin/hgTracks?position=214625_s_at","UCSC")</f>
        <v>UCSC</v>
      </c>
      <c r="E8741" s="1" t="str">
        <f>HYPERLINK("http://www.ncbi.nlm.nih.gov/gene/?term=MINK1","NCBI")</f>
        <v>NCBI</v>
      </c>
      <c r="F8741">
        <v>0.15</v>
      </c>
      <c r="G8741">
        <v>0.3</v>
      </c>
      <c r="H8741" s="1" t="str">
        <f>HYPERLINK("http://www.weizmann.ac.il/complex/compphys/software/geview/data/figures/214625_s_at.png","Figure")</f>
        <v>Figure</v>
      </c>
      <c r="I8741">
        <v>1.1599999999999999</v>
      </c>
      <c r="J8741">
        <v>0.15</v>
      </c>
      <c r="K8741">
        <v>1.04</v>
      </c>
      <c r="L8741">
        <v>0.86</v>
      </c>
      <c r="M8741">
        <v>0.89200000000000002</v>
      </c>
      <c r="N8741">
        <v>0.26</v>
      </c>
    </row>
    <row r="8742" spans="1:14" x14ac:dyDescent="0.25">
      <c r="A8742" t="s">
        <v>15408</v>
      </c>
      <c r="B8742" t="s">
        <v>15409</v>
      </c>
      <c r="C8742" s="1" t="str">
        <f>HYPERLINK("http://www.genecards.org/cgi-bin/carddisp.pl?gene=GTPBP4 /// IDI2","GeneCards")</f>
        <v>GeneCards</v>
      </c>
      <c r="D8742" s="1" t="str">
        <f>HYPERLINK("http://genome-euro.ucsc.edu/cgi-bin/hgTracks?position=217631_at","UCSC")</f>
        <v>UCSC</v>
      </c>
      <c r="E8742" s="1" t="str">
        <f>HYPERLINK("http://www.ncbi.nlm.nih.gov/gene/?term=GTPBP4 /// IDI2","NCBI")</f>
        <v>NCBI</v>
      </c>
      <c r="F8742">
        <v>0.15</v>
      </c>
      <c r="G8742">
        <v>0.3</v>
      </c>
      <c r="H8742" s="1" t="str">
        <f>HYPERLINK("http://www.weizmann.ac.il/complex/compphys/software/geview/data/figures/217631_at.png","Figure")</f>
        <v>Figure</v>
      </c>
      <c r="I8742">
        <v>0.93799999999999994</v>
      </c>
      <c r="J8742">
        <v>0.21</v>
      </c>
      <c r="K8742">
        <v>1</v>
      </c>
      <c r="L8742">
        <v>1</v>
      </c>
      <c r="M8742">
        <v>1.07</v>
      </c>
      <c r="N8742">
        <v>0.17</v>
      </c>
    </row>
    <row r="8743" spans="1:14" x14ac:dyDescent="0.25">
      <c r="A8743" t="s">
        <v>15410</v>
      </c>
      <c r="B8743" t="s">
        <v>15411</v>
      </c>
      <c r="C8743" s="1" t="str">
        <f>HYPERLINK("http://www.genecards.org/cgi-bin/carddisp.pl?gene=TRAPPC9","GeneCards")</f>
        <v>GeneCards</v>
      </c>
      <c r="D8743" s="1" t="str">
        <f>HYPERLINK("http://genome-euro.ucsc.edu/cgi-bin/hgTracks?position=56829_at","UCSC")</f>
        <v>UCSC</v>
      </c>
      <c r="E8743" s="1" t="str">
        <f>HYPERLINK("http://www.ncbi.nlm.nih.gov/gene/?term=TRAPPC9","NCBI")</f>
        <v>NCBI</v>
      </c>
      <c r="F8743">
        <v>0.15</v>
      </c>
      <c r="G8743">
        <v>0.3</v>
      </c>
      <c r="H8743" s="1" t="str">
        <f>HYPERLINK("http://www.weizmann.ac.il/complex/compphys/software/geview/data/figures/56829_at.png","Figure")</f>
        <v>Figure</v>
      </c>
      <c r="I8743">
        <v>1.27</v>
      </c>
      <c r="J8743">
        <v>0.14000000000000001</v>
      </c>
      <c r="K8743">
        <v>1.1499999999999999</v>
      </c>
      <c r="L8743">
        <v>0.37</v>
      </c>
      <c r="M8743">
        <v>0.90900000000000003</v>
      </c>
      <c r="N8743">
        <v>0.66</v>
      </c>
    </row>
    <row r="8744" spans="1:14" x14ac:dyDescent="0.25">
      <c r="A8744" t="s">
        <v>15412</v>
      </c>
      <c r="B8744" t="s">
        <v>15413</v>
      </c>
      <c r="C8744" s="1" t="str">
        <f>HYPERLINK("http://www.genecards.org/cgi-bin/carddisp.pl?gene=CITED1","GeneCards")</f>
        <v>GeneCards</v>
      </c>
      <c r="D8744" s="1" t="str">
        <f>HYPERLINK("http://genome-euro.ucsc.edu/cgi-bin/hgTracks?position=207144_s_at","UCSC")</f>
        <v>UCSC</v>
      </c>
      <c r="E8744" s="1" t="str">
        <f>HYPERLINK("http://www.ncbi.nlm.nih.gov/gene/?term=CITED1","NCBI")</f>
        <v>NCBI</v>
      </c>
      <c r="F8744">
        <v>0.15</v>
      </c>
      <c r="G8744">
        <v>0.3</v>
      </c>
      <c r="H8744" s="1" t="str">
        <f>HYPERLINK("http://www.weizmann.ac.il/complex/compphys/software/geview/data/figures/207144_s_at.png","Figure")</f>
        <v>Figure</v>
      </c>
      <c r="I8744">
        <v>1.17</v>
      </c>
      <c r="J8744">
        <v>0.4</v>
      </c>
      <c r="K8744">
        <v>1.23</v>
      </c>
      <c r="L8744">
        <v>0.14000000000000001</v>
      </c>
      <c r="M8744">
        <v>1.06</v>
      </c>
      <c r="N8744">
        <v>0.87</v>
      </c>
    </row>
    <row r="8745" spans="1:14" x14ac:dyDescent="0.25">
      <c r="A8745" t="s">
        <v>15414</v>
      </c>
      <c r="B8745" t="s">
        <v>15415</v>
      </c>
      <c r="C8745" s="1" t="str">
        <f>HYPERLINK("http://www.genecards.org/cgi-bin/carddisp.pl?gene=UPK2","GeneCards")</f>
        <v>GeneCards</v>
      </c>
      <c r="D8745" s="1" t="str">
        <f>HYPERLINK("http://genome-euro.ucsc.edu/cgi-bin/hgTracks?position=207862_at","UCSC")</f>
        <v>UCSC</v>
      </c>
      <c r="E8745" s="1" t="str">
        <f>HYPERLINK("http://www.ncbi.nlm.nih.gov/gene/?term=UPK2","NCBI")</f>
        <v>NCBI</v>
      </c>
      <c r="F8745">
        <v>0.15</v>
      </c>
      <c r="G8745">
        <v>0.3</v>
      </c>
      <c r="H8745" s="1" t="str">
        <f>HYPERLINK("http://www.weizmann.ac.il/complex/compphys/software/geview/data/figures/207862_at.png","Figure")</f>
        <v>Figure</v>
      </c>
      <c r="I8745">
        <v>1.04</v>
      </c>
      <c r="J8745">
        <v>0.25</v>
      </c>
      <c r="K8745">
        <v>1.04</v>
      </c>
      <c r="L8745">
        <v>0.17</v>
      </c>
      <c r="M8745">
        <v>1</v>
      </c>
      <c r="N8745">
        <v>1</v>
      </c>
    </row>
    <row r="8746" spans="1:14" x14ac:dyDescent="0.25">
      <c r="A8746" t="s">
        <v>15416</v>
      </c>
      <c r="B8746" t="s">
        <v>15417</v>
      </c>
      <c r="C8746" s="1" t="str">
        <f>HYPERLINK("http://www.genecards.org/cgi-bin/carddisp.pl?gene=TUBA1C","GeneCards")</f>
        <v>GeneCards</v>
      </c>
      <c r="D8746" s="1" t="str">
        <f>HYPERLINK("http://genome-euro.ucsc.edu/cgi-bin/hgTracks?position=209251_x_at","UCSC")</f>
        <v>UCSC</v>
      </c>
      <c r="E8746" s="1" t="str">
        <f>HYPERLINK("http://www.ncbi.nlm.nih.gov/gene/?term=TUBA1C","NCBI")</f>
        <v>NCBI</v>
      </c>
      <c r="F8746">
        <v>0.15</v>
      </c>
      <c r="G8746">
        <v>0.3</v>
      </c>
      <c r="H8746" s="1" t="str">
        <f>HYPERLINK("http://www.weizmann.ac.il/complex/compphys/software/geview/data/figures/209251_x_at.png","Figure")</f>
        <v>Figure</v>
      </c>
      <c r="I8746">
        <v>1.2</v>
      </c>
      <c r="J8746">
        <v>0.49</v>
      </c>
      <c r="K8746">
        <v>1.33</v>
      </c>
      <c r="L8746">
        <v>0.13</v>
      </c>
      <c r="M8746">
        <v>1.1100000000000001</v>
      </c>
      <c r="N8746">
        <v>0.77</v>
      </c>
    </row>
    <row r="8747" spans="1:14" x14ac:dyDescent="0.25">
      <c r="A8747" t="s">
        <v>15418</v>
      </c>
      <c r="B8747" t="s">
        <v>15353</v>
      </c>
      <c r="C8747" s="1" t="str">
        <f>HYPERLINK("http://www.genecards.org/cgi-bin/carddisp.pl?gene=CSF1","GeneCards")</f>
        <v>GeneCards</v>
      </c>
      <c r="D8747" s="1" t="str">
        <f>HYPERLINK("http://genome-euro.ucsc.edu/cgi-bin/hgTracks?position=211839_s_at","UCSC")</f>
        <v>UCSC</v>
      </c>
      <c r="E8747" s="1" t="str">
        <f>HYPERLINK("http://www.ncbi.nlm.nih.gov/gene/?term=CSF1","NCBI")</f>
        <v>NCBI</v>
      </c>
      <c r="F8747">
        <v>0.15</v>
      </c>
      <c r="G8747">
        <v>0.3</v>
      </c>
      <c r="H8747" s="1" t="str">
        <f>HYPERLINK("http://www.weizmann.ac.il/complex/compphys/software/geview/data/figures/211839_s_at.png","Figure")</f>
        <v>Figure</v>
      </c>
      <c r="I8747">
        <v>1.0900000000000001</v>
      </c>
      <c r="J8747">
        <v>0.13</v>
      </c>
      <c r="K8747">
        <v>1.03</v>
      </c>
      <c r="L8747">
        <v>0.68</v>
      </c>
      <c r="M8747">
        <v>0.94499999999999995</v>
      </c>
      <c r="N8747">
        <v>0.36</v>
      </c>
    </row>
    <row r="8748" spans="1:14" x14ac:dyDescent="0.25">
      <c r="A8748" t="s">
        <v>15419</v>
      </c>
      <c r="B8748" t="s">
        <v>15420</v>
      </c>
      <c r="C8748" s="1" t="str">
        <f>HYPERLINK("http://www.genecards.org/cgi-bin/carddisp.pl?gene=RABGAP1","GeneCards")</f>
        <v>GeneCards</v>
      </c>
      <c r="D8748" s="1" t="str">
        <f>HYPERLINK("http://genome-euro.ucsc.edu/cgi-bin/hgTracks?position=215070_x_at","UCSC")</f>
        <v>UCSC</v>
      </c>
      <c r="E8748" s="1" t="str">
        <f>HYPERLINK("http://www.ncbi.nlm.nih.gov/gene/?term=RABGAP1","NCBI")</f>
        <v>NCBI</v>
      </c>
      <c r="F8748">
        <v>0.15</v>
      </c>
      <c r="G8748">
        <v>0.3</v>
      </c>
      <c r="H8748" s="1" t="str">
        <f>HYPERLINK("http://www.weizmann.ac.il/complex/compphys/software/geview/data/figures/215070_x_at.png","Figure")</f>
        <v>Figure</v>
      </c>
      <c r="I8748">
        <v>1.02</v>
      </c>
      <c r="J8748">
        <v>0.25</v>
      </c>
      <c r="K8748">
        <v>1.02</v>
      </c>
      <c r="L8748">
        <v>0.17</v>
      </c>
      <c r="M8748">
        <v>1</v>
      </c>
      <c r="N8748">
        <v>1</v>
      </c>
    </row>
    <row r="8749" spans="1:14" x14ac:dyDescent="0.25">
      <c r="A8749" t="s">
        <v>15421</v>
      </c>
      <c r="B8749" t="s">
        <v>15422</v>
      </c>
      <c r="C8749" s="1" t="str">
        <f>HYPERLINK("http://www.genecards.org/cgi-bin/carddisp.pl?gene=VPS37C","GeneCards")</f>
        <v>GeneCards</v>
      </c>
      <c r="D8749" s="1" t="str">
        <f>HYPERLINK("http://genome-euro.ucsc.edu/cgi-bin/hgTracks?position=219053_s_at","UCSC")</f>
        <v>UCSC</v>
      </c>
      <c r="E8749" s="1" t="str">
        <f>HYPERLINK("http://www.ncbi.nlm.nih.gov/gene/?term=VPS37C","NCBI")</f>
        <v>NCBI</v>
      </c>
      <c r="F8749">
        <v>0.15</v>
      </c>
      <c r="G8749">
        <v>0.3</v>
      </c>
      <c r="H8749" s="1" t="str">
        <f>HYPERLINK("http://www.weizmann.ac.il/complex/compphys/software/geview/data/figures/219053_s_at.png","Figure")</f>
        <v>Figure</v>
      </c>
      <c r="I8749">
        <v>0.83699999999999997</v>
      </c>
      <c r="J8749">
        <v>0.13</v>
      </c>
      <c r="K8749">
        <v>0.91300000000000003</v>
      </c>
      <c r="L8749">
        <v>0.46</v>
      </c>
      <c r="M8749">
        <v>1.0900000000000001</v>
      </c>
      <c r="N8749">
        <v>0.54</v>
      </c>
    </row>
    <row r="8750" spans="1:14" x14ac:dyDescent="0.25">
      <c r="A8750" t="s">
        <v>15423</v>
      </c>
      <c r="B8750" t="s">
        <v>15424</v>
      </c>
      <c r="C8750" s="1" t="str">
        <f>HYPERLINK("http://www.genecards.org/cgi-bin/carddisp.pl?gene=NARS","GeneCards")</f>
        <v>GeneCards</v>
      </c>
      <c r="D8750" s="1" t="str">
        <f>HYPERLINK("http://genome-euro.ucsc.edu/cgi-bin/hgTracks?position=200027_at","UCSC")</f>
        <v>UCSC</v>
      </c>
      <c r="E8750" s="1" t="str">
        <f>HYPERLINK("http://www.ncbi.nlm.nih.gov/gene/?term=NARS","NCBI")</f>
        <v>NCBI</v>
      </c>
      <c r="F8750">
        <v>0.15</v>
      </c>
      <c r="G8750">
        <v>0.3</v>
      </c>
      <c r="H8750" s="1" t="str">
        <f>HYPERLINK("http://www.weizmann.ac.il/complex/compphys/software/geview/data/figures/200027_at.png","Figure")</f>
        <v>Figure</v>
      </c>
      <c r="I8750">
        <v>0.74</v>
      </c>
      <c r="J8750">
        <v>0.25</v>
      </c>
      <c r="K8750">
        <v>0.73699999999999999</v>
      </c>
      <c r="L8750">
        <v>0.17</v>
      </c>
      <c r="M8750">
        <v>0.997</v>
      </c>
      <c r="N8750">
        <v>1</v>
      </c>
    </row>
    <row r="8751" spans="1:14" x14ac:dyDescent="0.25">
      <c r="A8751" t="s">
        <v>15425</v>
      </c>
      <c r="B8751" t="s">
        <v>15426</v>
      </c>
      <c r="C8751" s="1" t="str">
        <f>HYPERLINK("http://www.genecards.org/cgi-bin/carddisp.pl?gene=IFI44L","GeneCards")</f>
        <v>GeneCards</v>
      </c>
      <c r="D8751" s="1" t="str">
        <f>HYPERLINK("http://genome-euro.ucsc.edu/cgi-bin/hgTracks?position=204439_at","UCSC")</f>
        <v>UCSC</v>
      </c>
      <c r="E8751" s="1" t="str">
        <f>HYPERLINK("http://www.ncbi.nlm.nih.gov/gene/?term=IFI44L","NCBI")</f>
        <v>NCBI</v>
      </c>
      <c r="F8751">
        <v>0.15</v>
      </c>
      <c r="G8751">
        <v>0.3</v>
      </c>
      <c r="H8751" s="1" t="str">
        <f>HYPERLINK("http://www.weizmann.ac.il/complex/compphys/software/geview/data/figures/204439_at.png","Figure")</f>
        <v>Figure</v>
      </c>
      <c r="I8751">
        <v>0.33400000000000002</v>
      </c>
      <c r="J8751">
        <v>0.17</v>
      </c>
      <c r="K8751">
        <v>0.443</v>
      </c>
      <c r="L8751">
        <v>0.26</v>
      </c>
      <c r="M8751">
        <v>1.33</v>
      </c>
      <c r="N8751">
        <v>0.86</v>
      </c>
    </row>
    <row r="8752" spans="1:14" x14ac:dyDescent="0.25">
      <c r="A8752" t="s">
        <v>15427</v>
      </c>
      <c r="B8752" t="s">
        <v>15428</v>
      </c>
      <c r="C8752" s="1" t="str">
        <f>HYPERLINK("http://www.genecards.org/cgi-bin/carddisp.pl?gene=RIPK1","GeneCards")</f>
        <v>GeneCards</v>
      </c>
      <c r="D8752" s="1" t="str">
        <f>HYPERLINK("http://genome-euro.ucsc.edu/cgi-bin/hgTracks?position=209941_at","UCSC")</f>
        <v>UCSC</v>
      </c>
      <c r="E8752" s="1" t="str">
        <f>HYPERLINK("http://www.ncbi.nlm.nih.gov/gene/?term=RIPK1","NCBI")</f>
        <v>NCBI</v>
      </c>
      <c r="F8752">
        <v>0.15</v>
      </c>
      <c r="G8752">
        <v>0.3</v>
      </c>
      <c r="H8752" s="1" t="str">
        <f>HYPERLINK("http://www.weizmann.ac.il/complex/compphys/software/geview/data/figures/209941_at.png","Figure")</f>
        <v>Figure</v>
      </c>
      <c r="I8752">
        <v>0.84699999999999998</v>
      </c>
      <c r="J8752">
        <v>0.79</v>
      </c>
      <c r="K8752">
        <v>0.63500000000000001</v>
      </c>
      <c r="L8752">
        <v>0.14000000000000001</v>
      </c>
      <c r="M8752">
        <v>0.75</v>
      </c>
      <c r="N8752">
        <v>0.47</v>
      </c>
    </row>
    <row r="8753" spans="1:14" x14ac:dyDescent="0.25">
      <c r="A8753" t="s">
        <v>15429</v>
      </c>
      <c r="B8753" t="s">
        <v>15430</v>
      </c>
      <c r="C8753" s="1" t="str">
        <f>HYPERLINK("http://www.genecards.org/cgi-bin/carddisp.pl?gene=GPR18","GeneCards")</f>
        <v>GeneCards</v>
      </c>
      <c r="D8753" s="1" t="str">
        <f>HYPERLINK("http://genome-euro.ucsc.edu/cgi-bin/hgTracks?position=210279_at","UCSC")</f>
        <v>UCSC</v>
      </c>
      <c r="E8753" s="1" t="str">
        <f>HYPERLINK("http://www.ncbi.nlm.nih.gov/gene/?term=GPR18","NCBI")</f>
        <v>NCBI</v>
      </c>
      <c r="F8753">
        <v>0.15</v>
      </c>
      <c r="G8753">
        <v>0.3</v>
      </c>
      <c r="H8753" s="1" t="str">
        <f>HYPERLINK("http://www.weizmann.ac.il/complex/compphys/software/geview/data/figures/210279_at.png","Figure")</f>
        <v>Figure</v>
      </c>
      <c r="I8753">
        <v>0.501</v>
      </c>
      <c r="J8753">
        <v>0.16</v>
      </c>
      <c r="K8753">
        <v>0.88800000000000001</v>
      </c>
      <c r="L8753">
        <v>0.92</v>
      </c>
      <c r="M8753">
        <v>1.77</v>
      </c>
      <c r="N8753">
        <v>0.23</v>
      </c>
    </row>
    <row r="8754" spans="1:14" x14ac:dyDescent="0.25">
      <c r="A8754" t="s">
        <v>15431</v>
      </c>
      <c r="B8754" t="s">
        <v>15432</v>
      </c>
      <c r="C8754" s="1" t="str">
        <f>HYPERLINK("http://www.genecards.org/cgi-bin/carddisp.pl?gene=SMARCB1","GeneCards")</f>
        <v>GeneCards</v>
      </c>
      <c r="D8754" s="1" t="str">
        <f>HYPERLINK("http://genome-euro.ucsc.edu/cgi-bin/hgTracks?position=212167_s_at","UCSC")</f>
        <v>UCSC</v>
      </c>
      <c r="E8754" s="1" t="str">
        <f>HYPERLINK("http://www.ncbi.nlm.nih.gov/gene/?term=SMARCB1","NCBI")</f>
        <v>NCBI</v>
      </c>
      <c r="F8754">
        <v>0.15</v>
      </c>
      <c r="G8754">
        <v>0.3</v>
      </c>
      <c r="H8754" s="1" t="str">
        <f>HYPERLINK("http://www.weizmann.ac.il/complex/compphys/software/geview/data/figures/212167_s_at.png","Figure")</f>
        <v>Figure</v>
      </c>
      <c r="I8754">
        <v>1.25</v>
      </c>
      <c r="J8754">
        <v>0.41</v>
      </c>
      <c r="K8754">
        <v>1.36</v>
      </c>
      <c r="L8754">
        <v>0.14000000000000001</v>
      </c>
      <c r="M8754">
        <v>1.0900000000000001</v>
      </c>
      <c r="N8754">
        <v>0.86</v>
      </c>
    </row>
    <row r="8755" spans="1:14" x14ac:dyDescent="0.25">
      <c r="A8755" t="s">
        <v>15433</v>
      </c>
      <c r="B8755" t="s">
        <v>15434</v>
      </c>
      <c r="C8755" s="1" t="str">
        <f>HYPERLINK("http://www.genecards.org/cgi-bin/carddisp.pl?gene=CDC2L6","GeneCards")</f>
        <v>GeneCards</v>
      </c>
      <c r="D8755" s="1" t="str">
        <f>HYPERLINK("http://genome-euro.ucsc.edu/cgi-bin/hgTracks?position=212899_at","UCSC")</f>
        <v>UCSC</v>
      </c>
      <c r="E8755" s="1" t="str">
        <f>HYPERLINK("http://www.ncbi.nlm.nih.gov/gene/?term=CDC2L6","NCBI")</f>
        <v>NCBI</v>
      </c>
      <c r="F8755">
        <v>0.15</v>
      </c>
      <c r="G8755">
        <v>0.3</v>
      </c>
      <c r="H8755" s="1" t="str">
        <f>HYPERLINK("http://www.weizmann.ac.il/complex/compphys/software/geview/data/figures/212899_at.png","Figure")</f>
        <v>Figure</v>
      </c>
      <c r="I8755">
        <v>0.879</v>
      </c>
      <c r="J8755">
        <v>0.93</v>
      </c>
      <c r="K8755">
        <v>1.65</v>
      </c>
      <c r="L8755">
        <v>0.28000000000000003</v>
      </c>
      <c r="M8755">
        <v>1.88</v>
      </c>
      <c r="N8755">
        <v>0.19</v>
      </c>
    </row>
    <row r="8756" spans="1:14" x14ac:dyDescent="0.25">
      <c r="A8756" t="s">
        <v>15435</v>
      </c>
      <c r="B8756" t="s">
        <v>15436</v>
      </c>
      <c r="C8756" s="1" t="str">
        <f>HYPERLINK("http://www.genecards.org/cgi-bin/carddisp.pl?gene=MYOF","GeneCards")</f>
        <v>GeneCards</v>
      </c>
      <c r="D8756" s="1" t="str">
        <f>HYPERLINK("http://genome-euro.ucsc.edu/cgi-bin/hgTracks?position=217518_at","UCSC")</f>
        <v>UCSC</v>
      </c>
      <c r="E8756" s="1" t="str">
        <f>HYPERLINK("http://www.ncbi.nlm.nih.gov/gene/?term=MYOF","NCBI")</f>
        <v>NCBI</v>
      </c>
      <c r="F8756">
        <v>0.15</v>
      </c>
      <c r="G8756">
        <v>0.3</v>
      </c>
      <c r="H8756" s="1" t="str">
        <f>HYPERLINK("http://www.weizmann.ac.il/complex/compphys/software/geview/data/figures/217518_at.png","Figure")</f>
        <v>Figure</v>
      </c>
      <c r="I8756">
        <v>1.01</v>
      </c>
      <c r="J8756">
        <v>0.73</v>
      </c>
      <c r="K8756">
        <v>1.02</v>
      </c>
      <c r="L8756">
        <v>0.14000000000000001</v>
      </c>
      <c r="M8756">
        <v>1.01</v>
      </c>
      <c r="N8756">
        <v>0.52</v>
      </c>
    </row>
    <row r="8757" spans="1:14" x14ac:dyDescent="0.25">
      <c r="A8757" t="s">
        <v>15437</v>
      </c>
      <c r="B8757" t="s">
        <v>15438</v>
      </c>
      <c r="C8757" s="1" t="str">
        <f>HYPERLINK("http://www.genecards.org/cgi-bin/carddisp.pl?gene=RCN3","GeneCards")</f>
        <v>GeneCards</v>
      </c>
      <c r="D8757" s="1" t="str">
        <f>HYPERLINK("http://genome-euro.ucsc.edu/cgi-bin/hgTracks?position=219102_at","UCSC")</f>
        <v>UCSC</v>
      </c>
      <c r="E8757" s="1" t="str">
        <f>HYPERLINK("http://www.ncbi.nlm.nih.gov/gene/?term=RCN3","NCBI")</f>
        <v>NCBI</v>
      </c>
      <c r="F8757">
        <v>0.15</v>
      </c>
      <c r="G8757">
        <v>0.3</v>
      </c>
      <c r="H8757" s="1" t="str">
        <f>HYPERLINK("http://www.weizmann.ac.il/complex/compphys/software/geview/data/figures/219102_at.png","Figure")</f>
        <v>Figure</v>
      </c>
      <c r="I8757">
        <v>1.08</v>
      </c>
      <c r="J8757">
        <v>0.56999999999999995</v>
      </c>
      <c r="K8757">
        <v>0.93700000000000006</v>
      </c>
      <c r="L8757">
        <v>0.56999999999999995</v>
      </c>
      <c r="M8757">
        <v>0.87</v>
      </c>
      <c r="N8757">
        <v>0.13</v>
      </c>
    </row>
    <row r="8758" spans="1:14" x14ac:dyDescent="0.25">
      <c r="A8758" t="s">
        <v>15439</v>
      </c>
      <c r="B8758" t="s">
        <v>15440</v>
      </c>
      <c r="C8758" s="1" t="str">
        <f>HYPERLINK("http://www.genecards.org/cgi-bin/carddisp.pl?gene=COG5","GeneCards")</f>
        <v>GeneCards</v>
      </c>
      <c r="D8758" s="1" t="str">
        <f>HYPERLINK("http://genome-euro.ucsc.edu/cgi-bin/hgTracks?position=203630_s_at","UCSC")</f>
        <v>UCSC</v>
      </c>
      <c r="E8758" s="1" t="str">
        <f>HYPERLINK("http://www.ncbi.nlm.nih.gov/gene/?term=COG5","NCBI")</f>
        <v>NCBI</v>
      </c>
      <c r="F8758">
        <v>0.15</v>
      </c>
      <c r="G8758">
        <v>0.3</v>
      </c>
      <c r="H8758" s="1" t="str">
        <f>HYPERLINK("http://www.weizmann.ac.il/complex/compphys/software/geview/data/figures/203630_s_at.png","Figure")</f>
        <v>Figure</v>
      </c>
      <c r="I8758">
        <v>0.627</v>
      </c>
      <c r="J8758">
        <v>0.13</v>
      </c>
      <c r="K8758">
        <v>0.79</v>
      </c>
      <c r="L8758">
        <v>0.47</v>
      </c>
      <c r="M8758">
        <v>1.26</v>
      </c>
      <c r="N8758">
        <v>0.53</v>
      </c>
    </row>
    <row r="8759" spans="1:14" x14ac:dyDescent="0.25">
      <c r="A8759" t="s">
        <v>15441</v>
      </c>
      <c r="B8759" t="s">
        <v>11189</v>
      </c>
      <c r="C8759" s="1" t="str">
        <f>HYPERLINK("http://www.genecards.org/cgi-bin/carddisp.pl?gene=NRXN3","GeneCards")</f>
        <v>GeneCards</v>
      </c>
      <c r="D8759" s="1" t="str">
        <f>HYPERLINK("http://genome-euro.ucsc.edu/cgi-bin/hgTracks?position=205795_at","UCSC")</f>
        <v>UCSC</v>
      </c>
      <c r="E8759" s="1" t="str">
        <f>HYPERLINK("http://www.ncbi.nlm.nih.gov/gene/?term=NRXN3","NCBI")</f>
        <v>NCBI</v>
      </c>
      <c r="F8759">
        <v>0.15</v>
      </c>
      <c r="G8759">
        <v>0.3</v>
      </c>
      <c r="H8759" s="1" t="str">
        <f>HYPERLINK("http://www.weizmann.ac.il/complex/compphys/software/geview/data/figures/205795_at.png","Figure")</f>
        <v>Figure</v>
      </c>
      <c r="I8759">
        <v>0.77900000000000003</v>
      </c>
      <c r="J8759">
        <v>0.68</v>
      </c>
      <c r="K8759">
        <v>0.58599999999999997</v>
      </c>
      <c r="L8759">
        <v>0.13</v>
      </c>
      <c r="M8759">
        <v>0.752</v>
      </c>
      <c r="N8759">
        <v>0.56999999999999995</v>
      </c>
    </row>
    <row r="8760" spans="1:14" x14ac:dyDescent="0.25">
      <c r="A8760" t="s">
        <v>15442</v>
      </c>
      <c r="B8760" t="s">
        <v>3991</v>
      </c>
      <c r="C8760" s="1" t="str">
        <f>HYPERLINK("http://www.genecards.org/cgi-bin/carddisp.pl?gene=RARB","GeneCards")</f>
        <v>GeneCards</v>
      </c>
      <c r="D8760" s="1" t="str">
        <f>HYPERLINK("http://genome-euro.ucsc.edu/cgi-bin/hgTracks?position=208530_s_at","UCSC")</f>
        <v>UCSC</v>
      </c>
      <c r="E8760" s="1" t="str">
        <f>HYPERLINK("http://www.ncbi.nlm.nih.gov/gene/?term=RARB","NCBI")</f>
        <v>NCBI</v>
      </c>
      <c r="F8760">
        <v>0.15</v>
      </c>
      <c r="G8760">
        <v>0.3</v>
      </c>
      <c r="H8760" s="1" t="str">
        <f>HYPERLINK("http://www.weizmann.ac.il/complex/compphys/software/geview/data/figures/208530_s_at.png","Figure")</f>
        <v>Figure</v>
      </c>
      <c r="I8760">
        <v>1.1200000000000001</v>
      </c>
      <c r="J8760">
        <v>0.13</v>
      </c>
      <c r="K8760">
        <v>1.06</v>
      </c>
      <c r="L8760">
        <v>0.46</v>
      </c>
      <c r="M8760">
        <v>0.94799999999999995</v>
      </c>
      <c r="N8760">
        <v>0.54</v>
      </c>
    </row>
    <row r="8761" spans="1:14" x14ac:dyDescent="0.25">
      <c r="A8761" t="s">
        <v>15443</v>
      </c>
      <c r="B8761" t="s">
        <v>15444</v>
      </c>
      <c r="C8761" s="1" t="str">
        <f>HYPERLINK("http://www.genecards.org/cgi-bin/carddisp.pl?gene=DMXL2","GeneCards")</f>
        <v>GeneCards</v>
      </c>
      <c r="D8761" s="1" t="str">
        <f>HYPERLINK("http://genome-euro.ucsc.edu/cgi-bin/hgTracks?position=212820_at","UCSC")</f>
        <v>UCSC</v>
      </c>
      <c r="E8761" s="1" t="str">
        <f>HYPERLINK("http://www.ncbi.nlm.nih.gov/gene/?term=DMXL2","NCBI")</f>
        <v>NCBI</v>
      </c>
      <c r="F8761">
        <v>0.15</v>
      </c>
      <c r="G8761">
        <v>0.3</v>
      </c>
      <c r="H8761" s="1" t="str">
        <f>HYPERLINK("http://www.weizmann.ac.il/complex/compphys/software/geview/data/figures/212820_at.png","Figure")</f>
        <v>Figure</v>
      </c>
      <c r="I8761">
        <v>0.753</v>
      </c>
      <c r="J8761">
        <v>0.49</v>
      </c>
      <c r="K8761">
        <v>0.64300000000000002</v>
      </c>
      <c r="L8761">
        <v>0.13</v>
      </c>
      <c r="M8761">
        <v>0.85499999999999998</v>
      </c>
      <c r="N8761">
        <v>0.77</v>
      </c>
    </row>
    <row r="8762" spans="1:14" x14ac:dyDescent="0.25">
      <c r="A8762" t="s">
        <v>15445</v>
      </c>
      <c r="B8762" t="s">
        <v>15446</v>
      </c>
      <c r="C8762" s="1" t="str">
        <f>HYPERLINK("http://www.genecards.org/cgi-bin/carddisp.pl?gene=SLC7A9","GeneCards")</f>
        <v>GeneCards</v>
      </c>
      <c r="D8762" s="1" t="str">
        <f>HYPERLINK("http://genome-euro.ucsc.edu/cgi-bin/hgTracks?position=220135_s_at","UCSC")</f>
        <v>UCSC</v>
      </c>
      <c r="E8762" s="1" t="str">
        <f>HYPERLINK("http://www.ncbi.nlm.nih.gov/gene/?term=SLC7A9","NCBI")</f>
        <v>NCBI</v>
      </c>
      <c r="F8762">
        <v>0.15</v>
      </c>
      <c r="G8762">
        <v>0.3</v>
      </c>
      <c r="H8762" s="1" t="str">
        <f>HYPERLINK("http://www.weizmann.ac.il/complex/compphys/software/geview/data/figures/220135_s_at.png","Figure")</f>
        <v>Figure</v>
      </c>
      <c r="I8762">
        <v>1.23</v>
      </c>
      <c r="J8762">
        <v>0.13</v>
      </c>
      <c r="K8762">
        <v>1.08</v>
      </c>
      <c r="L8762">
        <v>0.64</v>
      </c>
      <c r="M8762">
        <v>0.879</v>
      </c>
      <c r="N8762">
        <v>0.38</v>
      </c>
    </row>
    <row r="8763" spans="1:14" x14ac:dyDescent="0.25">
      <c r="A8763" t="s">
        <v>15447</v>
      </c>
      <c r="B8763" t="s">
        <v>15448</v>
      </c>
      <c r="C8763" s="1" t="str">
        <f>HYPERLINK("http://www.genecards.org/cgi-bin/carddisp.pl?gene=HGC6.3","GeneCards")</f>
        <v>GeneCards</v>
      </c>
      <c r="D8763" s="1" t="str">
        <f>HYPERLINK("http://genome-euro.ucsc.edu/cgi-bin/hgTracks?position=211111_at","UCSC")</f>
        <v>UCSC</v>
      </c>
      <c r="E8763" s="1" t="str">
        <f>HYPERLINK("http://www.ncbi.nlm.nih.gov/gene/?term=HGC6.3","NCBI")</f>
        <v>NCBI</v>
      </c>
      <c r="F8763">
        <v>0.15</v>
      </c>
      <c r="G8763">
        <v>0.3</v>
      </c>
      <c r="H8763" s="1" t="str">
        <f>HYPERLINK("http://www.weizmann.ac.il/complex/compphys/software/geview/data/figures/211111_at.png","Figure")</f>
        <v>Figure</v>
      </c>
      <c r="I8763">
        <v>1.03</v>
      </c>
      <c r="J8763">
        <v>0.78</v>
      </c>
      <c r="K8763">
        <v>0.94799999999999995</v>
      </c>
      <c r="L8763">
        <v>0.39</v>
      </c>
      <c r="M8763">
        <v>0.92100000000000004</v>
      </c>
      <c r="N8763">
        <v>0.15</v>
      </c>
    </row>
    <row r="8764" spans="1:14" x14ac:dyDescent="0.25">
      <c r="A8764" t="s">
        <v>15449</v>
      </c>
      <c r="B8764" t="s">
        <v>8798</v>
      </c>
      <c r="C8764" s="1" t="str">
        <f>HYPERLINK("http://www.genecards.org/cgi-bin/carddisp.pl?gene=SFI1","GeneCards")</f>
        <v>GeneCards</v>
      </c>
      <c r="D8764" s="1" t="str">
        <f>HYPERLINK("http://genome-euro.ucsc.edu/cgi-bin/hgTracks?position=213431_x_at","UCSC")</f>
        <v>UCSC</v>
      </c>
      <c r="E8764" s="1" t="str">
        <f>HYPERLINK("http://www.ncbi.nlm.nih.gov/gene/?term=SFI1","NCBI")</f>
        <v>NCBI</v>
      </c>
      <c r="F8764">
        <v>0.15</v>
      </c>
      <c r="G8764">
        <v>0.3</v>
      </c>
      <c r="H8764" s="1" t="str">
        <f>HYPERLINK("http://www.weizmann.ac.il/complex/compphys/software/geview/data/figures/213431_x_at.png","Figure")</f>
        <v>Figure</v>
      </c>
      <c r="I8764">
        <v>1.22</v>
      </c>
      <c r="J8764">
        <v>0.26</v>
      </c>
      <c r="K8764">
        <v>0.97099999999999997</v>
      </c>
      <c r="L8764">
        <v>0.96</v>
      </c>
      <c r="M8764">
        <v>0.79700000000000004</v>
      </c>
      <c r="N8764">
        <v>0.15</v>
      </c>
    </row>
    <row r="8765" spans="1:14" x14ac:dyDescent="0.25">
      <c r="A8765" t="s">
        <v>15450</v>
      </c>
      <c r="B8765" t="s">
        <v>15451</v>
      </c>
      <c r="C8765" s="1" t="str">
        <f>HYPERLINK("http://www.genecards.org/cgi-bin/carddisp.pl?gene=UNC13A","GeneCards")</f>
        <v>GeneCards</v>
      </c>
      <c r="D8765" s="1" t="str">
        <f>HYPERLINK("http://genome-euro.ucsc.edu/cgi-bin/hgTracks?position=214817_at","UCSC")</f>
        <v>UCSC</v>
      </c>
      <c r="E8765" s="1" t="str">
        <f>HYPERLINK("http://www.ncbi.nlm.nih.gov/gene/?term=UNC13A","NCBI")</f>
        <v>NCBI</v>
      </c>
      <c r="F8765">
        <v>0.15</v>
      </c>
      <c r="G8765">
        <v>0.3</v>
      </c>
      <c r="H8765" s="1" t="str">
        <f>HYPERLINK("http://www.weizmann.ac.il/complex/compphys/software/geview/data/figures/214817_at.png","Figure")</f>
        <v>Figure</v>
      </c>
      <c r="I8765">
        <v>1.18</v>
      </c>
      <c r="J8765">
        <v>0.13</v>
      </c>
      <c r="K8765">
        <v>1.06</v>
      </c>
      <c r="L8765">
        <v>0.68</v>
      </c>
      <c r="M8765">
        <v>0.89900000000000002</v>
      </c>
      <c r="N8765">
        <v>0.36</v>
      </c>
    </row>
    <row r="8766" spans="1:14" x14ac:dyDescent="0.25">
      <c r="A8766" t="s">
        <v>15452</v>
      </c>
      <c r="B8766" t="s">
        <v>15453</v>
      </c>
      <c r="C8766" s="1" t="str">
        <f>HYPERLINK("http://www.genecards.org/cgi-bin/carddisp.pl?gene=CCL14 /// CCL14-CCL15 /// CCL15","GeneCards")</f>
        <v>GeneCards</v>
      </c>
      <c r="D8766" s="1" t="str">
        <f>HYPERLINK("http://genome-euro.ucsc.edu/cgi-bin/hgTracks?position=205392_s_at","UCSC")</f>
        <v>UCSC</v>
      </c>
      <c r="E8766" s="1" t="str">
        <f>HYPERLINK("http://www.ncbi.nlm.nih.gov/gene/?term=CCL14 /// CCL14-CCL15 /// CCL15","NCBI")</f>
        <v>NCBI</v>
      </c>
      <c r="F8766">
        <v>0.15</v>
      </c>
      <c r="G8766">
        <v>0.3</v>
      </c>
      <c r="H8766" s="1" t="str">
        <f>HYPERLINK("http://www.weizmann.ac.il/complex/compphys/software/geview/data/figures/205392_s_at.png","Figure")</f>
        <v>Figure</v>
      </c>
      <c r="I8766">
        <v>1.28</v>
      </c>
      <c r="J8766">
        <v>0.13</v>
      </c>
      <c r="K8766">
        <v>1.1399999999999999</v>
      </c>
      <c r="L8766">
        <v>0.45</v>
      </c>
      <c r="M8766">
        <v>0.89100000000000001</v>
      </c>
      <c r="N8766">
        <v>0.56000000000000005</v>
      </c>
    </row>
    <row r="8767" spans="1:14" x14ac:dyDescent="0.25">
      <c r="A8767" t="s">
        <v>15454</v>
      </c>
      <c r="B8767" t="s">
        <v>15005</v>
      </c>
      <c r="C8767" s="1" t="str">
        <f>HYPERLINK("http://www.genecards.org/cgi-bin/carddisp.pl?gene=LIMK1","GeneCards")</f>
        <v>GeneCards</v>
      </c>
      <c r="D8767" s="1" t="str">
        <f>HYPERLINK("http://genome-euro.ucsc.edu/cgi-bin/hgTracks?position=204356_at","UCSC")</f>
        <v>UCSC</v>
      </c>
      <c r="E8767" s="1" t="str">
        <f>HYPERLINK("http://www.ncbi.nlm.nih.gov/gene/?term=LIMK1","NCBI")</f>
        <v>NCBI</v>
      </c>
      <c r="F8767">
        <v>0.15</v>
      </c>
      <c r="G8767">
        <v>0.3</v>
      </c>
      <c r="H8767" s="1" t="str">
        <f>HYPERLINK("http://www.weizmann.ac.il/complex/compphys/software/geview/data/figures/204356_at.png","Figure")</f>
        <v>Figure</v>
      </c>
      <c r="I8767">
        <v>1.1399999999999999</v>
      </c>
      <c r="J8767">
        <v>0.22</v>
      </c>
      <c r="K8767">
        <v>1.1299999999999999</v>
      </c>
      <c r="L8767">
        <v>0.19</v>
      </c>
      <c r="M8767">
        <v>0.99199999999999999</v>
      </c>
      <c r="N8767">
        <v>0.99</v>
      </c>
    </row>
    <row r="8768" spans="1:14" x14ac:dyDescent="0.25">
      <c r="A8768" t="s">
        <v>15455</v>
      </c>
      <c r="B8768" t="s">
        <v>15456</v>
      </c>
      <c r="C8768" s="1" t="str">
        <f>HYPERLINK("http://www.genecards.org/cgi-bin/carddisp.pl?gene=GPR97","GeneCards")</f>
        <v>GeneCards</v>
      </c>
      <c r="D8768" s="1" t="str">
        <f>HYPERLINK("http://genome-euro.ucsc.edu/cgi-bin/hgTracks?position=220404_at","UCSC")</f>
        <v>UCSC</v>
      </c>
      <c r="E8768" s="1" t="str">
        <f>HYPERLINK("http://www.ncbi.nlm.nih.gov/gene/?term=GPR97","NCBI")</f>
        <v>NCBI</v>
      </c>
      <c r="F8768">
        <v>0.15</v>
      </c>
      <c r="G8768">
        <v>0.3</v>
      </c>
      <c r="H8768" s="1" t="str">
        <f>HYPERLINK("http://www.weizmann.ac.il/complex/compphys/software/geview/data/figures/220404_at.png","Figure")</f>
        <v>Figure</v>
      </c>
      <c r="I8768">
        <v>1.06</v>
      </c>
      <c r="J8768">
        <v>0.71</v>
      </c>
      <c r="K8768">
        <v>0.92300000000000004</v>
      </c>
      <c r="L8768">
        <v>0.45</v>
      </c>
      <c r="M8768">
        <v>0.87</v>
      </c>
      <c r="N8768">
        <v>0.14000000000000001</v>
      </c>
    </row>
    <row r="8769" spans="1:14" x14ac:dyDescent="0.25">
      <c r="A8769" t="s">
        <v>15457</v>
      </c>
      <c r="B8769" t="s">
        <v>11098</v>
      </c>
      <c r="C8769" s="1" t="str">
        <f>HYPERLINK("http://www.genecards.org/cgi-bin/carddisp.pl?gene=DIMT1L","GeneCards")</f>
        <v>GeneCards</v>
      </c>
      <c r="D8769" s="1" t="str">
        <f>HYPERLINK("http://genome-euro.ucsc.edu/cgi-bin/hgTracks?position=217106_x_at","UCSC")</f>
        <v>UCSC</v>
      </c>
      <c r="E8769" s="1" t="str">
        <f>HYPERLINK("http://www.ncbi.nlm.nih.gov/gene/?term=DIMT1L","NCBI")</f>
        <v>NCBI</v>
      </c>
      <c r="F8769">
        <v>0.15</v>
      </c>
      <c r="G8769">
        <v>0.3</v>
      </c>
      <c r="H8769" s="1" t="str">
        <f>HYPERLINK("http://www.weizmann.ac.il/complex/compphys/software/geview/data/figures/217106_x_at.png","Figure")</f>
        <v>Figure</v>
      </c>
      <c r="I8769">
        <v>1</v>
      </c>
      <c r="J8769">
        <v>1</v>
      </c>
      <c r="K8769">
        <v>1.3</v>
      </c>
      <c r="L8769">
        <v>0.21</v>
      </c>
      <c r="M8769">
        <v>1.3</v>
      </c>
      <c r="N8769">
        <v>0.25</v>
      </c>
    </row>
    <row r="8770" spans="1:14" x14ac:dyDescent="0.25">
      <c r="A8770" t="s">
        <v>15458</v>
      </c>
      <c r="B8770" t="s">
        <v>15459</v>
      </c>
      <c r="C8770" s="1" t="str">
        <f>HYPERLINK("http://www.genecards.org/cgi-bin/carddisp.pl?gene=TIPIN","GeneCards")</f>
        <v>GeneCards</v>
      </c>
      <c r="D8770" s="1" t="str">
        <f>HYPERLINK("http://genome-euro.ucsc.edu/cgi-bin/hgTracks?position=219258_at","UCSC")</f>
        <v>UCSC</v>
      </c>
      <c r="E8770" s="1" t="str">
        <f>HYPERLINK("http://www.ncbi.nlm.nih.gov/gene/?term=TIPIN","NCBI")</f>
        <v>NCBI</v>
      </c>
      <c r="F8770">
        <v>0.15</v>
      </c>
      <c r="G8770">
        <v>0.3</v>
      </c>
      <c r="H8770" s="1" t="str">
        <f>HYPERLINK("http://www.weizmann.ac.il/complex/compphys/software/geview/data/figures/219258_at.png","Figure")</f>
        <v>Figure</v>
      </c>
      <c r="I8770">
        <v>0.88900000000000001</v>
      </c>
      <c r="J8770">
        <v>0.44</v>
      </c>
      <c r="K8770">
        <v>1.07</v>
      </c>
      <c r="L8770">
        <v>0.71</v>
      </c>
      <c r="M8770">
        <v>1.2</v>
      </c>
      <c r="N8770">
        <v>0.13</v>
      </c>
    </row>
    <row r="8771" spans="1:14" x14ac:dyDescent="0.25">
      <c r="A8771" t="s">
        <v>15460</v>
      </c>
      <c r="B8771" t="s">
        <v>15461</v>
      </c>
      <c r="C8771" s="1" t="str">
        <f>HYPERLINK("http://www.genecards.org/cgi-bin/carddisp.pl?gene=AMFR","GeneCards")</f>
        <v>GeneCards</v>
      </c>
      <c r="D8771" s="1" t="str">
        <f>HYPERLINK("http://genome-euro.ucsc.edu/cgi-bin/hgTracks?position=202203_s_at","UCSC")</f>
        <v>UCSC</v>
      </c>
      <c r="E8771" s="1" t="str">
        <f>HYPERLINK("http://www.ncbi.nlm.nih.gov/gene/?term=AMFR","NCBI")</f>
        <v>NCBI</v>
      </c>
      <c r="F8771">
        <v>0.15</v>
      </c>
      <c r="G8771">
        <v>0.3</v>
      </c>
      <c r="H8771" s="1" t="str">
        <f>HYPERLINK("http://www.weizmann.ac.il/complex/compphys/software/geview/data/figures/202203_s_at.png","Figure")</f>
        <v>Figure</v>
      </c>
      <c r="I8771">
        <v>0.68</v>
      </c>
      <c r="J8771">
        <v>0.27</v>
      </c>
      <c r="K8771">
        <v>0.66700000000000004</v>
      </c>
      <c r="L8771">
        <v>0.16</v>
      </c>
      <c r="M8771">
        <v>0.98099999999999998</v>
      </c>
      <c r="N8771">
        <v>1</v>
      </c>
    </row>
    <row r="8772" spans="1:14" x14ac:dyDescent="0.25">
      <c r="A8772" t="s">
        <v>15462</v>
      </c>
      <c r="B8772" t="s">
        <v>15463</v>
      </c>
      <c r="C8772" s="1" t="str">
        <f>HYPERLINK("http://www.genecards.org/cgi-bin/carddisp.pl?gene=TGFBR2","GeneCards")</f>
        <v>GeneCards</v>
      </c>
      <c r="D8772" s="1" t="str">
        <f>HYPERLINK("http://genome-euro.ucsc.edu/cgi-bin/hgTracks?position=208944_at","UCSC")</f>
        <v>UCSC</v>
      </c>
      <c r="E8772" s="1" t="str">
        <f>HYPERLINK("http://www.ncbi.nlm.nih.gov/gene/?term=TGFBR2","NCBI")</f>
        <v>NCBI</v>
      </c>
      <c r="F8772">
        <v>0.15</v>
      </c>
      <c r="G8772">
        <v>0.3</v>
      </c>
      <c r="H8772" s="1" t="str">
        <f>HYPERLINK("http://www.weizmann.ac.il/complex/compphys/software/geview/data/figures/208944_at.png","Figure")</f>
        <v>Figure</v>
      </c>
      <c r="I8772">
        <v>2.04</v>
      </c>
      <c r="J8772">
        <v>0.14000000000000001</v>
      </c>
      <c r="K8772">
        <v>1.49</v>
      </c>
      <c r="L8772">
        <v>0.41</v>
      </c>
      <c r="M8772">
        <v>0.72799999999999998</v>
      </c>
      <c r="N8772">
        <v>0.6</v>
      </c>
    </row>
    <row r="8773" spans="1:14" x14ac:dyDescent="0.25">
      <c r="A8773" t="s">
        <v>15464</v>
      </c>
      <c r="B8773" t="s">
        <v>15465</v>
      </c>
      <c r="C8773" s="1" t="str">
        <f>HYPERLINK("http://www.genecards.org/cgi-bin/carddisp.pl?gene=CBX7","GeneCards")</f>
        <v>GeneCards</v>
      </c>
      <c r="D8773" s="1" t="str">
        <f>HYPERLINK("http://genome-euro.ucsc.edu/cgi-bin/hgTracks?position=212914_at","UCSC")</f>
        <v>UCSC</v>
      </c>
      <c r="E8773" s="1" t="str">
        <f>HYPERLINK("http://www.ncbi.nlm.nih.gov/gene/?term=CBX7","NCBI")</f>
        <v>NCBI</v>
      </c>
      <c r="F8773">
        <v>0.15</v>
      </c>
      <c r="G8773">
        <v>0.3</v>
      </c>
      <c r="H8773" s="1" t="str">
        <f>HYPERLINK("http://www.weizmann.ac.il/complex/compphys/software/geview/data/figures/212914_at.png","Figure")</f>
        <v>Figure</v>
      </c>
      <c r="I8773">
        <v>1.17</v>
      </c>
      <c r="J8773">
        <v>0.28999999999999998</v>
      </c>
      <c r="K8773">
        <v>0.96799999999999997</v>
      </c>
      <c r="L8773">
        <v>0.93</v>
      </c>
      <c r="M8773">
        <v>0.82699999999999996</v>
      </c>
      <c r="N8773">
        <v>0.14000000000000001</v>
      </c>
    </row>
    <row r="8774" spans="1:14" x14ac:dyDescent="0.25">
      <c r="A8774" t="s">
        <v>15466</v>
      </c>
      <c r="B8774" t="s">
        <v>15467</v>
      </c>
      <c r="C8774" s="1" t="str">
        <f>HYPERLINK("http://www.genecards.org/cgi-bin/carddisp.pl?gene=SLC27A3","GeneCards")</f>
        <v>GeneCards</v>
      </c>
      <c r="D8774" s="1" t="str">
        <f>HYPERLINK("http://genome-euro.ucsc.edu/cgi-bin/hgTracks?position=222217_s_at","UCSC")</f>
        <v>UCSC</v>
      </c>
      <c r="E8774" s="1" t="str">
        <f>HYPERLINK("http://www.ncbi.nlm.nih.gov/gene/?term=SLC27A3","NCBI")</f>
        <v>NCBI</v>
      </c>
      <c r="F8774">
        <v>0.15</v>
      </c>
      <c r="G8774">
        <v>0.3</v>
      </c>
      <c r="H8774" s="1" t="str">
        <f>HYPERLINK("http://www.weizmann.ac.il/complex/compphys/software/geview/data/figures/222217_s_at.png","Figure")</f>
        <v>Figure</v>
      </c>
      <c r="I8774">
        <v>0.55700000000000005</v>
      </c>
      <c r="J8774">
        <v>0.13</v>
      </c>
      <c r="K8774">
        <v>0.76500000000000001</v>
      </c>
      <c r="L8774">
        <v>0.53</v>
      </c>
      <c r="M8774">
        <v>1.37</v>
      </c>
      <c r="N8774">
        <v>0.47</v>
      </c>
    </row>
    <row r="8775" spans="1:14" x14ac:dyDescent="0.25">
      <c r="A8775" t="s">
        <v>15468</v>
      </c>
      <c r="B8775" t="s">
        <v>9394</v>
      </c>
      <c r="C8775" s="1" t="str">
        <f>HYPERLINK("http://www.genecards.org/cgi-bin/carddisp.pl?gene=EHMT2","GeneCards")</f>
        <v>GeneCards</v>
      </c>
      <c r="D8775" s="1" t="str">
        <f>HYPERLINK("http://genome-euro.ucsc.edu/cgi-bin/hgTracks?position=207484_s_at","UCSC")</f>
        <v>UCSC</v>
      </c>
      <c r="E8775" s="1" t="str">
        <f>HYPERLINK("http://www.ncbi.nlm.nih.gov/gene/?term=EHMT2","NCBI")</f>
        <v>NCBI</v>
      </c>
      <c r="F8775">
        <v>0.15</v>
      </c>
      <c r="G8775">
        <v>0.3</v>
      </c>
      <c r="H8775" s="1" t="str">
        <f>HYPERLINK("http://www.weizmann.ac.il/complex/compphys/software/geview/data/figures/207484_s_at.png","Figure")</f>
        <v>Figure</v>
      </c>
      <c r="I8775">
        <v>1.25</v>
      </c>
      <c r="J8775">
        <v>0.13</v>
      </c>
      <c r="K8775">
        <v>1.1000000000000001</v>
      </c>
      <c r="L8775">
        <v>0.59</v>
      </c>
      <c r="M8775">
        <v>0.877</v>
      </c>
      <c r="N8775">
        <v>0.42</v>
      </c>
    </row>
    <row r="8776" spans="1:14" x14ac:dyDescent="0.25">
      <c r="A8776" t="s">
        <v>15469</v>
      </c>
      <c r="B8776" t="s">
        <v>4924</v>
      </c>
      <c r="C8776" s="1" t="str">
        <f>HYPERLINK("http://www.genecards.org/cgi-bin/carddisp.pl?gene=WHSC2","GeneCards")</f>
        <v>GeneCards</v>
      </c>
      <c r="D8776" s="1" t="str">
        <f>HYPERLINK("http://genome-euro.ucsc.edu/cgi-bin/hgTracks?position=203112_s_at","UCSC")</f>
        <v>UCSC</v>
      </c>
      <c r="E8776" s="1" t="str">
        <f>HYPERLINK("http://www.ncbi.nlm.nih.gov/gene/?term=WHSC2","NCBI")</f>
        <v>NCBI</v>
      </c>
      <c r="F8776">
        <v>0.15</v>
      </c>
      <c r="G8776">
        <v>0.3</v>
      </c>
      <c r="H8776" s="1" t="str">
        <f>HYPERLINK("http://www.weizmann.ac.il/complex/compphys/software/geview/data/figures/203112_s_at.png","Figure")</f>
        <v>Figure</v>
      </c>
      <c r="I8776">
        <v>0.70199999999999996</v>
      </c>
      <c r="J8776">
        <v>0.14000000000000001</v>
      </c>
      <c r="K8776">
        <v>0.80500000000000005</v>
      </c>
      <c r="L8776">
        <v>0.36</v>
      </c>
      <c r="M8776">
        <v>1.1499999999999999</v>
      </c>
      <c r="N8776">
        <v>0.68</v>
      </c>
    </row>
    <row r="8777" spans="1:14" x14ac:dyDescent="0.25">
      <c r="A8777" t="s">
        <v>15470</v>
      </c>
      <c r="B8777" t="s">
        <v>13748</v>
      </c>
      <c r="C8777" s="1" t="str">
        <f>HYPERLINK("http://www.genecards.org/cgi-bin/carddisp.pl?gene=RBMX2","GeneCards")</f>
        <v>GeneCards</v>
      </c>
      <c r="D8777" s="1" t="str">
        <f>HYPERLINK("http://genome-euro.ucsc.edu/cgi-bin/hgTracks?position=204097_s_at","UCSC")</f>
        <v>UCSC</v>
      </c>
      <c r="E8777" s="1" t="str">
        <f>HYPERLINK("http://www.ncbi.nlm.nih.gov/gene/?term=RBMX2","NCBI")</f>
        <v>NCBI</v>
      </c>
      <c r="F8777">
        <v>0.15</v>
      </c>
      <c r="G8777">
        <v>0.3</v>
      </c>
      <c r="H8777" s="1" t="str">
        <f>HYPERLINK("http://www.weizmann.ac.il/complex/compphys/software/geview/data/figures/204097_s_at.png","Figure")</f>
        <v>Figure</v>
      </c>
      <c r="I8777">
        <v>0.86599999999999999</v>
      </c>
      <c r="J8777">
        <v>0.32</v>
      </c>
      <c r="K8777">
        <v>1.04</v>
      </c>
      <c r="L8777">
        <v>0.88</v>
      </c>
      <c r="M8777">
        <v>1.2</v>
      </c>
      <c r="N8777">
        <v>0.14000000000000001</v>
      </c>
    </row>
    <row r="8778" spans="1:14" x14ac:dyDescent="0.25">
      <c r="A8778" t="s">
        <v>15471</v>
      </c>
      <c r="B8778" t="s">
        <v>15472</v>
      </c>
      <c r="C8778" s="1" t="str">
        <f>HYPERLINK("http://www.genecards.org/cgi-bin/carddisp.pl?gene=ATXN3","GeneCards")</f>
        <v>GeneCards</v>
      </c>
      <c r="D8778" s="1" t="str">
        <f>HYPERLINK("http://genome-euro.ucsc.edu/cgi-bin/hgTracks?position=205415_s_at","UCSC")</f>
        <v>UCSC</v>
      </c>
      <c r="E8778" s="1" t="str">
        <f>HYPERLINK("http://www.ncbi.nlm.nih.gov/gene/?term=ATXN3","NCBI")</f>
        <v>NCBI</v>
      </c>
      <c r="F8778">
        <v>0.15</v>
      </c>
      <c r="G8778">
        <v>0.3</v>
      </c>
      <c r="H8778" s="1" t="str">
        <f>HYPERLINK("http://www.weizmann.ac.il/complex/compphys/software/geview/data/figures/205415_s_at.png","Figure")</f>
        <v>Figure</v>
      </c>
      <c r="I8778">
        <v>0.65500000000000003</v>
      </c>
      <c r="J8778">
        <v>0.17</v>
      </c>
      <c r="K8778">
        <v>0.73</v>
      </c>
      <c r="L8778">
        <v>0.26</v>
      </c>
      <c r="M8778">
        <v>1.1200000000000001</v>
      </c>
      <c r="N8778">
        <v>0.85</v>
      </c>
    </row>
    <row r="8779" spans="1:14" x14ac:dyDescent="0.25">
      <c r="A8779" t="s">
        <v>15473</v>
      </c>
      <c r="B8779" t="s">
        <v>15474</v>
      </c>
      <c r="C8779" s="1" t="str">
        <f>HYPERLINK("http://www.genecards.org/cgi-bin/carddisp.pl?gene=ERCC2","GeneCards")</f>
        <v>GeneCards</v>
      </c>
      <c r="D8779" s="1" t="str">
        <f>HYPERLINK("http://genome-euro.ucsc.edu/cgi-bin/hgTracks?position=213468_at","UCSC")</f>
        <v>UCSC</v>
      </c>
      <c r="E8779" s="1" t="str">
        <f>HYPERLINK("http://www.ncbi.nlm.nih.gov/gene/?term=ERCC2","NCBI")</f>
        <v>NCBI</v>
      </c>
      <c r="F8779">
        <v>0.15</v>
      </c>
      <c r="G8779">
        <v>0.3</v>
      </c>
      <c r="H8779" s="1" t="str">
        <f>HYPERLINK("http://www.weizmann.ac.il/complex/compphys/software/geview/data/figures/213468_at.png","Figure")</f>
        <v>Figure</v>
      </c>
      <c r="I8779">
        <v>1.1000000000000001</v>
      </c>
      <c r="J8779">
        <v>0.37</v>
      </c>
      <c r="K8779">
        <v>1.1299999999999999</v>
      </c>
      <c r="L8779">
        <v>0.14000000000000001</v>
      </c>
      <c r="M8779">
        <v>1.03</v>
      </c>
      <c r="N8779">
        <v>0.91</v>
      </c>
    </row>
    <row r="8780" spans="1:14" x14ac:dyDescent="0.25">
      <c r="A8780" t="s">
        <v>15475</v>
      </c>
      <c r="B8780" t="s">
        <v>15476</v>
      </c>
      <c r="C8780" s="1" t="str">
        <f>HYPERLINK("http://www.genecards.org/cgi-bin/carddisp.pl?gene=ZNF518A","GeneCards")</f>
        <v>GeneCards</v>
      </c>
      <c r="D8780" s="1" t="str">
        <f>HYPERLINK("http://genome-euro.ucsc.edu/cgi-bin/hgTracks?position=204291_at","UCSC")</f>
        <v>UCSC</v>
      </c>
      <c r="E8780" s="1" t="str">
        <f>HYPERLINK("http://www.ncbi.nlm.nih.gov/gene/?term=ZNF518A","NCBI")</f>
        <v>NCBI</v>
      </c>
      <c r="F8780">
        <v>0.15</v>
      </c>
      <c r="G8780">
        <v>0.3</v>
      </c>
      <c r="H8780" s="1" t="str">
        <f>HYPERLINK("http://www.weizmann.ac.il/complex/compphys/software/geview/data/figures/204291_at.png","Figure")</f>
        <v>Figure</v>
      </c>
      <c r="I8780">
        <v>0.79700000000000004</v>
      </c>
      <c r="J8780">
        <v>0.13</v>
      </c>
      <c r="K8780">
        <v>0.92200000000000004</v>
      </c>
      <c r="L8780">
        <v>0.68</v>
      </c>
      <c r="M8780">
        <v>1.1599999999999999</v>
      </c>
      <c r="N8780">
        <v>0.36</v>
      </c>
    </row>
    <row r="8781" spans="1:14" x14ac:dyDescent="0.25">
      <c r="A8781" t="s">
        <v>15477</v>
      </c>
      <c r="B8781" t="s">
        <v>15478</v>
      </c>
      <c r="C8781" s="1" t="str">
        <f>HYPERLINK("http://www.genecards.org/cgi-bin/carddisp.pl?gene=P2RY14","GeneCards")</f>
        <v>GeneCards</v>
      </c>
      <c r="D8781" s="1" t="str">
        <f>HYPERLINK("http://genome-euro.ucsc.edu/cgi-bin/hgTracks?position=206637_at","UCSC")</f>
        <v>UCSC</v>
      </c>
      <c r="E8781" s="1" t="str">
        <f>HYPERLINK("http://www.ncbi.nlm.nih.gov/gene/?term=P2RY14","NCBI")</f>
        <v>NCBI</v>
      </c>
      <c r="F8781">
        <v>0.15</v>
      </c>
      <c r="G8781">
        <v>0.3</v>
      </c>
      <c r="H8781" s="1" t="str">
        <f>HYPERLINK("http://www.weizmann.ac.il/complex/compphys/software/geview/data/figures/206637_at.png","Figure")</f>
        <v>Figure</v>
      </c>
      <c r="I8781">
        <v>0.27100000000000002</v>
      </c>
      <c r="J8781">
        <v>0.16</v>
      </c>
      <c r="K8781">
        <v>0.40100000000000002</v>
      </c>
      <c r="L8781">
        <v>0.28999999999999998</v>
      </c>
      <c r="M8781">
        <v>1.48</v>
      </c>
      <c r="N8781">
        <v>0.8</v>
      </c>
    </row>
    <row r="8782" spans="1:14" x14ac:dyDescent="0.25">
      <c r="A8782" t="s">
        <v>15479</v>
      </c>
      <c r="B8782" t="s">
        <v>3149</v>
      </c>
      <c r="C8782" s="1" t="str">
        <f>HYPERLINK("http://www.genecards.org/cgi-bin/carddisp.pl?gene=WDR48","GeneCards")</f>
        <v>GeneCards</v>
      </c>
      <c r="D8782" s="1" t="str">
        <f>HYPERLINK("http://genome-euro.ucsc.edu/cgi-bin/hgTracks?position=56919_at","UCSC")</f>
        <v>UCSC</v>
      </c>
      <c r="E8782" s="1" t="str">
        <f>HYPERLINK("http://www.ncbi.nlm.nih.gov/gene/?term=WDR48","NCBI")</f>
        <v>NCBI</v>
      </c>
      <c r="F8782">
        <v>0.15</v>
      </c>
      <c r="G8782">
        <v>0.3</v>
      </c>
      <c r="H8782" s="1" t="str">
        <f>HYPERLINK("http://www.weizmann.ac.il/complex/compphys/software/geview/data/figures/56919_at.png","Figure")</f>
        <v>Figure</v>
      </c>
      <c r="I8782">
        <v>1.17</v>
      </c>
      <c r="J8782">
        <v>0.66</v>
      </c>
      <c r="K8782">
        <v>0.82799999999999996</v>
      </c>
      <c r="L8782">
        <v>0.49</v>
      </c>
      <c r="M8782">
        <v>0.70499999999999996</v>
      </c>
      <c r="N8782">
        <v>0.14000000000000001</v>
      </c>
    </row>
    <row r="8783" spans="1:14" x14ac:dyDescent="0.25">
      <c r="A8783" t="s">
        <v>15480</v>
      </c>
      <c r="B8783" t="s">
        <v>15481</v>
      </c>
      <c r="C8783" s="1" t="str">
        <f>HYPERLINK("http://www.genecards.org/cgi-bin/carddisp.pl?gene=MUDENG","GeneCards")</f>
        <v>GeneCards</v>
      </c>
      <c r="D8783" s="1" t="str">
        <f>HYPERLINK("http://genome-euro.ucsc.edu/cgi-bin/hgTracks?position=218139_s_at","UCSC")</f>
        <v>UCSC</v>
      </c>
      <c r="E8783" s="1" t="str">
        <f>HYPERLINK("http://www.ncbi.nlm.nih.gov/gene/?term=MUDENG","NCBI")</f>
        <v>NCBI</v>
      </c>
      <c r="F8783">
        <v>0.15</v>
      </c>
      <c r="G8783">
        <v>0.3</v>
      </c>
      <c r="H8783" s="1" t="str">
        <f>HYPERLINK("http://www.weizmann.ac.il/complex/compphys/software/geview/data/figures/218139_s_at.png","Figure")</f>
        <v>Figure</v>
      </c>
      <c r="I8783">
        <v>0.55700000000000005</v>
      </c>
      <c r="J8783">
        <v>0.28999999999999998</v>
      </c>
      <c r="K8783">
        <v>1.1299999999999999</v>
      </c>
      <c r="L8783">
        <v>0.93</v>
      </c>
      <c r="M8783">
        <v>2.0299999999999998</v>
      </c>
      <c r="N8783">
        <v>0.14000000000000001</v>
      </c>
    </row>
    <row r="8784" spans="1:14" x14ac:dyDescent="0.25">
      <c r="A8784" t="s">
        <v>15482</v>
      </c>
      <c r="B8784" t="s">
        <v>15483</v>
      </c>
      <c r="C8784" s="1" t="str">
        <f>HYPERLINK("http://www.genecards.org/cgi-bin/carddisp.pl?gene=PIM1","GeneCards")</f>
        <v>GeneCards</v>
      </c>
      <c r="D8784" s="1" t="str">
        <f>HYPERLINK("http://genome-euro.ucsc.edu/cgi-bin/hgTracks?position=209193_at","UCSC")</f>
        <v>UCSC</v>
      </c>
      <c r="E8784" s="1" t="str">
        <f>HYPERLINK("http://www.ncbi.nlm.nih.gov/gene/?term=PIM1","NCBI")</f>
        <v>NCBI</v>
      </c>
      <c r="F8784">
        <v>0.15</v>
      </c>
      <c r="G8784">
        <v>0.3</v>
      </c>
      <c r="H8784" s="1" t="str">
        <f>HYPERLINK("http://www.weizmann.ac.il/complex/compphys/software/geview/data/figures/209193_at.png","Figure")</f>
        <v>Figure</v>
      </c>
      <c r="I8784">
        <v>1.18</v>
      </c>
      <c r="J8784">
        <v>0.89</v>
      </c>
      <c r="K8784">
        <v>0.624</v>
      </c>
      <c r="L8784">
        <v>0.31</v>
      </c>
      <c r="M8784">
        <v>0.53100000000000003</v>
      </c>
      <c r="N8784">
        <v>0.18</v>
      </c>
    </row>
    <row r="8785" spans="1:14" x14ac:dyDescent="0.25">
      <c r="A8785" t="s">
        <v>15484</v>
      </c>
      <c r="B8785" t="s">
        <v>9997</v>
      </c>
      <c r="C8785" s="1" t="str">
        <f>HYPERLINK("http://www.genecards.org/cgi-bin/carddisp.pl?gene=UGT1A1 /// UGT1A10 /// UGT1A3 /// UGT1A4 /// UGT1A5 /// UGT1A6 /// UGT1A7 /// UGT1A8 /// UGT1A9","GeneCards")</f>
        <v>GeneCards</v>
      </c>
      <c r="D8785" s="1" t="str">
        <f>HYPERLINK("http://genome-euro.ucsc.edu/cgi-bin/hgTracks?position=215125_s_at","UCSC")</f>
        <v>UCSC</v>
      </c>
      <c r="E8785" s="1" t="str">
        <f>HYPERLINK("http://www.ncbi.nlm.nih.gov/gene/?term=UGT1A1 /// UGT1A10 /// UGT1A3 /// UGT1A4 /// UGT1A5 /// UGT1A6 /// UGT1A7 /// UGT1A8 /// UGT1A9","NCBI")</f>
        <v>NCBI</v>
      </c>
      <c r="F8785">
        <v>0.15</v>
      </c>
      <c r="G8785">
        <v>0.3</v>
      </c>
      <c r="H8785" s="1" t="str">
        <f>HYPERLINK("http://www.weizmann.ac.il/complex/compphys/software/geview/data/figures/215125_s_at.png","Figure")</f>
        <v>Figure</v>
      </c>
      <c r="I8785">
        <v>1.01</v>
      </c>
      <c r="J8785">
        <v>0.85</v>
      </c>
      <c r="K8785">
        <v>0.97199999999999998</v>
      </c>
      <c r="L8785">
        <v>0.34</v>
      </c>
      <c r="M8785">
        <v>0.96</v>
      </c>
      <c r="N8785">
        <v>0.17</v>
      </c>
    </row>
    <row r="8786" spans="1:14" x14ac:dyDescent="0.25">
      <c r="A8786" t="s">
        <v>15485</v>
      </c>
      <c r="B8786" t="s">
        <v>14256</v>
      </c>
      <c r="C8786" s="1" t="str">
        <f>HYPERLINK("http://www.genecards.org/cgi-bin/carddisp.pl?gene=SERPINB13","GeneCards")</f>
        <v>GeneCards</v>
      </c>
      <c r="D8786" s="1" t="str">
        <f>HYPERLINK("http://genome-euro.ucsc.edu/cgi-bin/hgTracks?position=216257_at","UCSC")</f>
        <v>UCSC</v>
      </c>
      <c r="E8786" s="1" t="str">
        <f>HYPERLINK("http://www.ncbi.nlm.nih.gov/gene/?term=SERPINB13","NCBI")</f>
        <v>NCBI</v>
      </c>
      <c r="F8786">
        <v>0.15</v>
      </c>
      <c r="G8786">
        <v>0.3</v>
      </c>
      <c r="H8786" s="1" t="str">
        <f>HYPERLINK("http://www.weizmann.ac.il/complex/compphys/software/geview/data/figures/216257_at.png","Figure")</f>
        <v>Figure</v>
      </c>
      <c r="I8786">
        <v>1.1100000000000001</v>
      </c>
      <c r="J8786">
        <v>0.23</v>
      </c>
      <c r="K8786">
        <v>0.995</v>
      </c>
      <c r="L8786">
        <v>0.99</v>
      </c>
      <c r="M8786">
        <v>0.89600000000000002</v>
      </c>
      <c r="N8786">
        <v>0.16</v>
      </c>
    </row>
    <row r="8787" spans="1:14" x14ac:dyDescent="0.25">
      <c r="A8787" t="s">
        <v>15486</v>
      </c>
      <c r="B8787" t="s">
        <v>15487</v>
      </c>
      <c r="C8787" s="1" t="str">
        <f>HYPERLINK("http://www.genecards.org/cgi-bin/carddisp.pl?gene=C12orf10","GeneCards")</f>
        <v>GeneCards</v>
      </c>
      <c r="D8787" s="1" t="str">
        <f>HYPERLINK("http://genome-euro.ucsc.edu/cgi-bin/hgTracks?position=218220_at","UCSC")</f>
        <v>UCSC</v>
      </c>
      <c r="E8787" s="1" t="str">
        <f>HYPERLINK("http://www.ncbi.nlm.nih.gov/gene/?term=C12orf10","NCBI")</f>
        <v>NCBI</v>
      </c>
      <c r="F8787">
        <v>0.15</v>
      </c>
      <c r="G8787">
        <v>0.3</v>
      </c>
      <c r="H8787" s="1" t="str">
        <f>HYPERLINK("http://www.weizmann.ac.il/complex/compphys/software/geview/data/figures/218220_at.png","Figure")</f>
        <v>Figure</v>
      </c>
      <c r="I8787">
        <v>1.03</v>
      </c>
      <c r="J8787">
        <v>0.99</v>
      </c>
      <c r="K8787">
        <v>1.48</v>
      </c>
      <c r="L8787">
        <v>0.19</v>
      </c>
      <c r="M8787">
        <v>1.43</v>
      </c>
      <c r="N8787">
        <v>0.28000000000000003</v>
      </c>
    </row>
    <row r="8788" spans="1:14" x14ac:dyDescent="0.25">
      <c r="A8788" t="s">
        <v>15488</v>
      </c>
      <c r="B8788" t="s">
        <v>15489</v>
      </c>
      <c r="C8788" s="1" t="str">
        <f>HYPERLINK("http://www.genecards.org/cgi-bin/carddisp.pl?gene=TMEM143","GeneCards")</f>
        <v>GeneCards</v>
      </c>
      <c r="D8788" s="1" t="str">
        <f>HYPERLINK("http://genome-euro.ucsc.edu/cgi-bin/hgTracks?position=219589_s_at","UCSC")</f>
        <v>UCSC</v>
      </c>
      <c r="E8788" s="1" t="str">
        <f>HYPERLINK("http://www.ncbi.nlm.nih.gov/gene/?term=TMEM143","NCBI")</f>
        <v>NCBI</v>
      </c>
      <c r="F8788">
        <v>0.15</v>
      </c>
      <c r="G8788">
        <v>0.3</v>
      </c>
      <c r="H8788" s="1" t="str">
        <f>HYPERLINK("http://www.weizmann.ac.il/complex/compphys/software/geview/data/figures/219589_s_at.png","Figure")</f>
        <v>Figure</v>
      </c>
      <c r="I8788">
        <v>1.2</v>
      </c>
      <c r="J8788">
        <v>0.14000000000000001</v>
      </c>
      <c r="K8788">
        <v>1.06</v>
      </c>
      <c r="L8788">
        <v>0.76</v>
      </c>
      <c r="M8788">
        <v>0.88300000000000001</v>
      </c>
      <c r="N8788">
        <v>0.31</v>
      </c>
    </row>
    <row r="8789" spans="1:14" x14ac:dyDescent="0.25">
      <c r="A8789" t="s">
        <v>15490</v>
      </c>
      <c r="B8789" t="s">
        <v>15491</v>
      </c>
      <c r="C8789" s="1" t="str">
        <f>HYPERLINK("http://www.genecards.org/cgi-bin/carddisp.pl?gene=WSCD2","GeneCards")</f>
        <v>GeneCards</v>
      </c>
      <c r="D8789" s="1" t="str">
        <f>HYPERLINK("http://genome-euro.ucsc.edu/cgi-bin/hgTracks?position=207637_at","UCSC")</f>
        <v>UCSC</v>
      </c>
      <c r="E8789" s="1" t="str">
        <f>HYPERLINK("http://www.ncbi.nlm.nih.gov/gene/?term=WSCD2","NCBI")</f>
        <v>NCBI</v>
      </c>
      <c r="F8789">
        <v>0.15</v>
      </c>
      <c r="G8789">
        <v>0.3</v>
      </c>
      <c r="H8789" s="1" t="str">
        <f>HYPERLINK("http://www.weizmann.ac.il/complex/compphys/software/geview/data/figures/207637_at.png","Figure")</f>
        <v>Figure</v>
      </c>
      <c r="I8789">
        <v>1.1000000000000001</v>
      </c>
      <c r="J8789">
        <v>0.18</v>
      </c>
      <c r="K8789">
        <v>1.08</v>
      </c>
      <c r="L8789">
        <v>0.24</v>
      </c>
      <c r="M8789">
        <v>0.98</v>
      </c>
      <c r="N8789">
        <v>0.9</v>
      </c>
    </row>
    <row r="8790" spans="1:14" x14ac:dyDescent="0.25">
      <c r="A8790" t="s">
        <v>15492</v>
      </c>
      <c r="B8790" t="s">
        <v>15493</v>
      </c>
      <c r="C8790" s="1" t="str">
        <f>HYPERLINK("http://www.genecards.org/cgi-bin/carddisp.pl?gene=LOC730101","GeneCards")</f>
        <v>GeneCards</v>
      </c>
      <c r="D8790" s="1" t="str">
        <f>HYPERLINK("http://genome-euro.ucsc.edu/cgi-bin/hgTracks?position=213248_at","UCSC")</f>
        <v>UCSC</v>
      </c>
      <c r="E8790" s="1" t="str">
        <f>HYPERLINK("http://www.ncbi.nlm.nih.gov/gene/?term=LOC730101","NCBI")</f>
        <v>NCBI</v>
      </c>
      <c r="F8790">
        <v>0.15</v>
      </c>
      <c r="G8790">
        <v>0.3</v>
      </c>
      <c r="H8790" s="1" t="str">
        <f>HYPERLINK("http://www.weizmann.ac.il/complex/compphys/software/geview/data/figures/213248_at.png","Figure")</f>
        <v>Figure</v>
      </c>
      <c r="I8790">
        <v>1.04</v>
      </c>
      <c r="J8790">
        <v>0.72</v>
      </c>
      <c r="K8790">
        <v>1.0900000000000001</v>
      </c>
      <c r="L8790">
        <v>0.14000000000000001</v>
      </c>
      <c r="M8790">
        <v>1.05</v>
      </c>
      <c r="N8790">
        <v>0.54</v>
      </c>
    </row>
    <row r="8791" spans="1:14" x14ac:dyDescent="0.25">
      <c r="A8791" t="s">
        <v>15494</v>
      </c>
      <c r="B8791" t="s">
        <v>11625</v>
      </c>
      <c r="C8791" s="1" t="str">
        <f>HYPERLINK("http://www.genecards.org/cgi-bin/carddisp.pl?gene=MZF1","GeneCards")</f>
        <v>GeneCards</v>
      </c>
      <c r="D8791" s="1" t="str">
        <f>HYPERLINK("http://genome-euro.ucsc.edu/cgi-bin/hgTracks?position=204138_s_at","UCSC")</f>
        <v>UCSC</v>
      </c>
      <c r="E8791" s="1" t="str">
        <f>HYPERLINK("http://www.ncbi.nlm.nih.gov/gene/?term=MZF1","NCBI")</f>
        <v>NCBI</v>
      </c>
      <c r="F8791">
        <v>0.15</v>
      </c>
      <c r="G8791">
        <v>0.3</v>
      </c>
      <c r="H8791" s="1" t="str">
        <f>HYPERLINK("http://www.weizmann.ac.il/complex/compphys/software/geview/data/figures/204138_s_at.png","Figure")</f>
        <v>Figure</v>
      </c>
      <c r="I8791">
        <v>1.1599999999999999</v>
      </c>
      <c r="J8791">
        <v>0.24</v>
      </c>
      <c r="K8791">
        <v>0.98699999999999999</v>
      </c>
      <c r="L8791">
        <v>0.98</v>
      </c>
      <c r="M8791">
        <v>0.85299999999999998</v>
      </c>
      <c r="N8791">
        <v>0.16</v>
      </c>
    </row>
    <row r="8792" spans="1:14" x14ac:dyDescent="0.25">
      <c r="A8792" t="s">
        <v>15495</v>
      </c>
      <c r="B8792" t="s">
        <v>15496</v>
      </c>
      <c r="C8792" s="1" t="str">
        <f>HYPERLINK("http://www.genecards.org/cgi-bin/carddisp.pl?gene=COQ9","GeneCards")</f>
        <v>GeneCards</v>
      </c>
      <c r="D8792" s="1" t="str">
        <f>HYPERLINK("http://genome-euro.ucsc.edu/cgi-bin/hgTracks?position=212228_s_at","UCSC")</f>
        <v>UCSC</v>
      </c>
      <c r="E8792" s="1" t="str">
        <f>HYPERLINK("http://www.ncbi.nlm.nih.gov/gene/?term=COQ9","NCBI")</f>
        <v>NCBI</v>
      </c>
      <c r="F8792">
        <v>0.15</v>
      </c>
      <c r="G8792">
        <v>0.3</v>
      </c>
      <c r="H8792" s="1" t="str">
        <f>HYPERLINK("http://www.weizmann.ac.il/complex/compphys/software/geview/data/figures/212228_s_at.png","Figure")</f>
        <v>Figure</v>
      </c>
      <c r="I8792">
        <v>0.86599999999999999</v>
      </c>
      <c r="J8792">
        <v>0.8</v>
      </c>
      <c r="K8792">
        <v>1.31</v>
      </c>
      <c r="L8792">
        <v>0.38</v>
      </c>
      <c r="M8792">
        <v>1.51</v>
      </c>
      <c r="N8792">
        <v>0.16</v>
      </c>
    </row>
    <row r="8793" spans="1:14" x14ac:dyDescent="0.25">
      <c r="A8793" t="s">
        <v>15497</v>
      </c>
      <c r="B8793" t="s">
        <v>15498</v>
      </c>
      <c r="C8793" s="1" t="str">
        <f>HYPERLINK("http://www.genecards.org/cgi-bin/carddisp.pl?gene=TRIM29","GeneCards")</f>
        <v>GeneCards</v>
      </c>
      <c r="D8793" s="1" t="str">
        <f>HYPERLINK("http://genome-euro.ucsc.edu/cgi-bin/hgTracks?position=202504_at","UCSC")</f>
        <v>UCSC</v>
      </c>
      <c r="E8793" s="1" t="str">
        <f>HYPERLINK("http://www.ncbi.nlm.nih.gov/gene/?term=TRIM29","NCBI")</f>
        <v>NCBI</v>
      </c>
      <c r="F8793">
        <v>0.15</v>
      </c>
      <c r="G8793">
        <v>0.3</v>
      </c>
      <c r="H8793" s="1" t="str">
        <f>HYPERLINK("http://www.weizmann.ac.il/complex/compphys/software/geview/data/figures/202504_at.png","Figure")</f>
        <v>Figure</v>
      </c>
      <c r="I8793">
        <v>1.23</v>
      </c>
      <c r="J8793">
        <v>0.15</v>
      </c>
      <c r="K8793">
        <v>1.1399999999999999</v>
      </c>
      <c r="L8793">
        <v>0.33</v>
      </c>
      <c r="M8793">
        <v>0.93</v>
      </c>
      <c r="N8793">
        <v>0.73</v>
      </c>
    </row>
    <row r="8794" spans="1:14" x14ac:dyDescent="0.25">
      <c r="A8794" t="s">
        <v>15499</v>
      </c>
      <c r="B8794" t="s">
        <v>15500</v>
      </c>
      <c r="C8794" s="1" t="str">
        <f>HYPERLINK("http://www.genecards.org/cgi-bin/carddisp.pl?gene=DAZAP1","GeneCards")</f>
        <v>GeneCards</v>
      </c>
      <c r="D8794" s="1" t="str">
        <f>HYPERLINK("http://genome-euro.ucsc.edu/cgi-bin/hgTracks?position=218443_s_at","UCSC")</f>
        <v>UCSC</v>
      </c>
      <c r="E8794" s="1" t="str">
        <f>HYPERLINK("http://www.ncbi.nlm.nih.gov/gene/?term=DAZAP1","NCBI")</f>
        <v>NCBI</v>
      </c>
      <c r="F8794">
        <v>0.15</v>
      </c>
      <c r="G8794">
        <v>0.3</v>
      </c>
      <c r="H8794" s="1" t="str">
        <f>HYPERLINK("http://www.weizmann.ac.il/complex/compphys/software/geview/data/figures/218443_s_at.png","Figure")</f>
        <v>Figure</v>
      </c>
      <c r="I8794">
        <v>0.81299999999999994</v>
      </c>
      <c r="J8794">
        <v>0.13</v>
      </c>
      <c r="K8794">
        <v>0.91600000000000004</v>
      </c>
      <c r="L8794">
        <v>0.57999999999999996</v>
      </c>
      <c r="M8794">
        <v>1.1299999999999999</v>
      </c>
      <c r="N8794">
        <v>0.43</v>
      </c>
    </row>
    <row r="8795" spans="1:14" x14ac:dyDescent="0.25">
      <c r="A8795" t="s">
        <v>15501</v>
      </c>
      <c r="B8795" t="s">
        <v>2229</v>
      </c>
      <c r="C8795" s="1" t="str">
        <f>HYPERLINK("http://www.genecards.org/cgi-bin/carddisp.pl?gene=PIN4","GeneCards")</f>
        <v>GeneCards</v>
      </c>
      <c r="D8795" s="1" t="str">
        <f>HYPERLINK("http://genome-euro.ucsc.edu/cgi-bin/hgTracks?position=204572_s_at","UCSC")</f>
        <v>UCSC</v>
      </c>
      <c r="E8795" s="1" t="str">
        <f>HYPERLINK("http://www.ncbi.nlm.nih.gov/gene/?term=PIN4","NCBI")</f>
        <v>NCBI</v>
      </c>
      <c r="F8795">
        <v>0.15</v>
      </c>
      <c r="G8795">
        <v>0.3</v>
      </c>
      <c r="H8795" s="1" t="str">
        <f>HYPERLINK("http://www.weizmann.ac.il/complex/compphys/software/geview/data/figures/204572_s_at.png","Figure")</f>
        <v>Figure</v>
      </c>
      <c r="I8795">
        <v>0.85399999999999998</v>
      </c>
      <c r="J8795">
        <v>0.4</v>
      </c>
      <c r="K8795">
        <v>1.07</v>
      </c>
      <c r="L8795">
        <v>0.77</v>
      </c>
      <c r="M8795">
        <v>1.26</v>
      </c>
      <c r="N8795">
        <v>0.13</v>
      </c>
    </row>
    <row r="8796" spans="1:14" x14ac:dyDescent="0.25">
      <c r="A8796" t="s">
        <v>15502</v>
      </c>
      <c r="B8796" t="s">
        <v>15503</v>
      </c>
      <c r="C8796" s="1" t="str">
        <f>HYPERLINK("http://www.genecards.org/cgi-bin/carddisp.pl?gene=NAGPA","GeneCards")</f>
        <v>GeneCards</v>
      </c>
      <c r="D8796" s="1" t="str">
        <f>HYPERLINK("http://genome-euro.ucsc.edu/cgi-bin/hgTracks?position=205090_s_at","UCSC")</f>
        <v>UCSC</v>
      </c>
      <c r="E8796" s="1" t="str">
        <f>HYPERLINK("http://www.ncbi.nlm.nih.gov/gene/?term=NAGPA","NCBI")</f>
        <v>NCBI</v>
      </c>
      <c r="F8796">
        <v>0.15</v>
      </c>
      <c r="G8796">
        <v>0.3</v>
      </c>
      <c r="H8796" s="1" t="str">
        <f>HYPERLINK("http://www.weizmann.ac.il/complex/compphys/software/geview/data/figures/205090_s_at.png","Figure")</f>
        <v>Figure</v>
      </c>
      <c r="I8796">
        <v>0.96699999999999997</v>
      </c>
      <c r="J8796">
        <v>0.96</v>
      </c>
      <c r="K8796">
        <v>1.19</v>
      </c>
      <c r="L8796">
        <v>0.26</v>
      </c>
      <c r="M8796">
        <v>1.23</v>
      </c>
      <c r="N8796">
        <v>0.2</v>
      </c>
    </row>
    <row r="8797" spans="1:14" x14ac:dyDescent="0.25">
      <c r="A8797" t="s">
        <v>15504</v>
      </c>
      <c r="B8797" t="s">
        <v>15505</v>
      </c>
      <c r="C8797" s="1" t="str">
        <f>HYPERLINK("http://www.genecards.org/cgi-bin/carddisp.pl?gene=TOX","GeneCards")</f>
        <v>GeneCards</v>
      </c>
      <c r="D8797" s="1" t="str">
        <f>HYPERLINK("http://genome-euro.ucsc.edu/cgi-bin/hgTracks?position=204529_s_at","UCSC")</f>
        <v>UCSC</v>
      </c>
      <c r="E8797" s="1" t="str">
        <f>HYPERLINK("http://www.ncbi.nlm.nih.gov/gene/?term=TOX","NCBI")</f>
        <v>NCBI</v>
      </c>
      <c r="F8797">
        <v>0.15</v>
      </c>
      <c r="G8797">
        <v>0.3</v>
      </c>
      <c r="H8797" s="1" t="str">
        <f>HYPERLINK("http://www.weizmann.ac.il/complex/compphys/software/geview/data/figures/204529_s_at.png","Figure")</f>
        <v>Figure</v>
      </c>
      <c r="I8797">
        <v>0.69</v>
      </c>
      <c r="J8797">
        <v>0.25</v>
      </c>
      <c r="K8797">
        <v>0.69299999999999995</v>
      </c>
      <c r="L8797">
        <v>0.17</v>
      </c>
      <c r="M8797">
        <v>1</v>
      </c>
      <c r="N8797">
        <v>1</v>
      </c>
    </row>
    <row r="8798" spans="1:14" x14ac:dyDescent="0.25">
      <c r="A8798" t="s">
        <v>15506</v>
      </c>
      <c r="B8798" t="s">
        <v>15507</v>
      </c>
      <c r="C8798" s="1" t="str">
        <f>HYPERLINK("http://www.genecards.org/cgi-bin/carddisp.pl?gene=RPP30","GeneCards")</f>
        <v>GeneCards</v>
      </c>
      <c r="D8798" s="1" t="str">
        <f>HYPERLINK("http://genome-euro.ucsc.edu/cgi-bin/hgTracks?position=203436_at","UCSC")</f>
        <v>UCSC</v>
      </c>
      <c r="E8798" s="1" t="str">
        <f>HYPERLINK("http://www.ncbi.nlm.nih.gov/gene/?term=RPP30","NCBI")</f>
        <v>NCBI</v>
      </c>
      <c r="F8798">
        <v>0.15</v>
      </c>
      <c r="G8798">
        <v>0.3</v>
      </c>
      <c r="H8798" s="1" t="str">
        <f>HYPERLINK("http://www.weizmann.ac.il/complex/compphys/software/geview/data/figures/203436_at.png","Figure")</f>
        <v>Figure</v>
      </c>
      <c r="I8798">
        <v>1.31</v>
      </c>
      <c r="J8798">
        <v>0.27</v>
      </c>
      <c r="K8798">
        <v>1.32</v>
      </c>
      <c r="L8798">
        <v>0.17</v>
      </c>
      <c r="M8798">
        <v>1.01</v>
      </c>
      <c r="N8798">
        <v>1</v>
      </c>
    </row>
    <row r="8799" spans="1:14" x14ac:dyDescent="0.25">
      <c r="A8799" t="s">
        <v>15508</v>
      </c>
      <c r="B8799" t="s">
        <v>3775</v>
      </c>
      <c r="C8799" s="1" t="str">
        <f>HYPERLINK("http://www.genecards.org/cgi-bin/carddisp.pl?gene=BTN2A1","GeneCards")</f>
        <v>GeneCards</v>
      </c>
      <c r="D8799" s="1" t="str">
        <f>HYPERLINK("http://genome-euro.ucsc.edu/cgi-bin/hgTracks?position=203944_x_at","UCSC")</f>
        <v>UCSC</v>
      </c>
      <c r="E8799" s="1" t="str">
        <f>HYPERLINK("http://www.ncbi.nlm.nih.gov/gene/?term=BTN2A1","NCBI")</f>
        <v>NCBI</v>
      </c>
      <c r="F8799">
        <v>0.15</v>
      </c>
      <c r="G8799">
        <v>0.3</v>
      </c>
      <c r="H8799" s="1" t="str">
        <f>HYPERLINK("http://www.weizmann.ac.il/complex/compphys/software/geview/data/figures/203944_x_at.png","Figure")</f>
        <v>Figure</v>
      </c>
      <c r="I8799">
        <v>1.27</v>
      </c>
      <c r="J8799">
        <v>0.17</v>
      </c>
      <c r="K8799">
        <v>1.04</v>
      </c>
      <c r="L8799">
        <v>0.94</v>
      </c>
      <c r="M8799">
        <v>0.81399999999999995</v>
      </c>
      <c r="N8799">
        <v>0.22</v>
      </c>
    </row>
    <row r="8800" spans="1:14" x14ac:dyDescent="0.25">
      <c r="A8800" t="s">
        <v>15509</v>
      </c>
      <c r="B8800" t="s">
        <v>3239</v>
      </c>
      <c r="C8800" s="1" t="str">
        <f>HYPERLINK("http://www.genecards.org/cgi-bin/carddisp.pl?gene=PSEN2","GeneCards")</f>
        <v>GeneCards</v>
      </c>
      <c r="D8800" s="1" t="str">
        <f>HYPERLINK("http://genome-euro.ucsc.edu/cgi-bin/hgTracks?position=204262_s_at","UCSC")</f>
        <v>UCSC</v>
      </c>
      <c r="E8800" s="1" t="str">
        <f>HYPERLINK("http://www.ncbi.nlm.nih.gov/gene/?term=PSEN2","NCBI")</f>
        <v>NCBI</v>
      </c>
      <c r="F8800">
        <v>0.15</v>
      </c>
      <c r="G8800">
        <v>0.3</v>
      </c>
      <c r="H8800" s="1" t="str">
        <f>HYPERLINK("http://www.weizmann.ac.il/complex/compphys/software/geview/data/figures/204262_s_at.png","Figure")</f>
        <v>Figure</v>
      </c>
      <c r="I8800">
        <v>1.05</v>
      </c>
      <c r="J8800">
        <v>0.25</v>
      </c>
      <c r="K8800">
        <v>1.05</v>
      </c>
      <c r="L8800">
        <v>0.17</v>
      </c>
      <c r="M8800">
        <v>1</v>
      </c>
      <c r="N8800">
        <v>1</v>
      </c>
    </row>
    <row r="8801" spans="1:14" x14ac:dyDescent="0.25">
      <c r="A8801" t="s">
        <v>15510</v>
      </c>
      <c r="B8801" t="s">
        <v>5775</v>
      </c>
      <c r="C8801" s="1" t="str">
        <f>HYPERLINK("http://www.genecards.org/cgi-bin/carddisp.pl?gene=CAMSAP1","GeneCards")</f>
        <v>GeneCards</v>
      </c>
      <c r="D8801" s="1" t="str">
        <f>HYPERLINK("http://genome-euro.ucsc.edu/cgi-bin/hgTracks?position=212710_at","UCSC")</f>
        <v>UCSC</v>
      </c>
      <c r="E8801" s="1" t="str">
        <f>HYPERLINK("http://www.ncbi.nlm.nih.gov/gene/?term=CAMSAP1","NCBI")</f>
        <v>NCBI</v>
      </c>
      <c r="F8801">
        <v>0.15</v>
      </c>
      <c r="G8801">
        <v>0.3</v>
      </c>
      <c r="H8801" s="1" t="str">
        <f>HYPERLINK("http://www.weizmann.ac.il/complex/compphys/software/geview/data/figures/212710_at.png","Figure")</f>
        <v>Figure</v>
      </c>
      <c r="I8801">
        <v>0.89800000000000002</v>
      </c>
      <c r="J8801">
        <v>0.65</v>
      </c>
      <c r="K8801">
        <v>1.1299999999999999</v>
      </c>
      <c r="L8801">
        <v>0.49</v>
      </c>
      <c r="M8801">
        <v>1.26</v>
      </c>
      <c r="N8801">
        <v>0.14000000000000001</v>
      </c>
    </row>
    <row r="8802" spans="1:14" x14ac:dyDescent="0.25">
      <c r="A8802" t="s">
        <v>15511</v>
      </c>
      <c r="B8802" t="s">
        <v>2425</v>
      </c>
      <c r="C8802" s="1" t="str">
        <f>HYPERLINK("http://www.genecards.org/cgi-bin/carddisp.pl?gene=COL5A1","GeneCards")</f>
        <v>GeneCards</v>
      </c>
      <c r="D8802" s="1" t="str">
        <f>HYPERLINK("http://genome-euro.ucsc.edu/cgi-bin/hgTracks?position=212488_at","UCSC")</f>
        <v>UCSC</v>
      </c>
      <c r="E8802" s="1" t="str">
        <f>HYPERLINK("http://www.ncbi.nlm.nih.gov/gene/?term=COL5A1","NCBI")</f>
        <v>NCBI</v>
      </c>
      <c r="F8802">
        <v>0.15</v>
      </c>
      <c r="G8802">
        <v>0.3</v>
      </c>
      <c r="H8802" s="1" t="str">
        <f>HYPERLINK("http://www.weizmann.ac.il/complex/compphys/software/geview/data/figures/212488_at.png","Figure")</f>
        <v>Figure</v>
      </c>
      <c r="I8802">
        <v>0.49</v>
      </c>
      <c r="J8802">
        <v>0.13</v>
      </c>
      <c r="K8802">
        <v>0.70499999999999996</v>
      </c>
      <c r="L8802">
        <v>0.49</v>
      </c>
      <c r="M8802">
        <v>1.44</v>
      </c>
      <c r="N8802">
        <v>0.51</v>
      </c>
    </row>
    <row r="8803" spans="1:14" x14ac:dyDescent="0.25">
      <c r="A8803" t="s">
        <v>15512</v>
      </c>
      <c r="B8803" t="s">
        <v>15513</v>
      </c>
      <c r="C8803" s="1" t="str">
        <f>HYPERLINK("http://www.genecards.org/cgi-bin/carddisp.pl?gene=ASCL1","GeneCards")</f>
        <v>GeneCards</v>
      </c>
      <c r="D8803" s="1" t="str">
        <f>HYPERLINK("http://genome-euro.ucsc.edu/cgi-bin/hgTracks?position=213768_s_at","UCSC")</f>
        <v>UCSC</v>
      </c>
      <c r="E8803" s="1" t="str">
        <f>HYPERLINK("http://www.ncbi.nlm.nih.gov/gene/?term=ASCL1","NCBI")</f>
        <v>NCBI</v>
      </c>
      <c r="F8803">
        <v>0.15</v>
      </c>
      <c r="G8803">
        <v>0.3</v>
      </c>
      <c r="H8803" s="1" t="str">
        <f>HYPERLINK("http://www.weizmann.ac.il/complex/compphys/software/geview/data/figures/213768_s_at.png","Figure")</f>
        <v>Figure</v>
      </c>
      <c r="I8803">
        <v>1.19</v>
      </c>
      <c r="J8803">
        <v>0.16</v>
      </c>
      <c r="K8803">
        <v>1.04</v>
      </c>
      <c r="L8803">
        <v>0.89</v>
      </c>
      <c r="M8803">
        <v>0.87</v>
      </c>
      <c r="N8803">
        <v>0.24</v>
      </c>
    </row>
    <row r="8804" spans="1:14" x14ac:dyDescent="0.25">
      <c r="A8804" t="s">
        <v>15514</v>
      </c>
      <c r="B8804" t="s">
        <v>15515</v>
      </c>
      <c r="C8804" s="1" t="str">
        <f>HYPERLINK("http://www.genecards.org/cgi-bin/carddisp.pl?gene=ACSF2","GeneCards")</f>
        <v>GeneCards</v>
      </c>
      <c r="D8804" s="1" t="str">
        <f>HYPERLINK("http://genome-euro.ucsc.edu/cgi-bin/hgTracks?position=218844_at","UCSC")</f>
        <v>UCSC</v>
      </c>
      <c r="E8804" s="1" t="str">
        <f>HYPERLINK("http://www.ncbi.nlm.nih.gov/gene/?term=ACSF2","NCBI")</f>
        <v>NCBI</v>
      </c>
      <c r="F8804">
        <v>0.15</v>
      </c>
      <c r="G8804">
        <v>0.3</v>
      </c>
      <c r="H8804" s="1" t="str">
        <f>HYPERLINK("http://www.weizmann.ac.il/complex/compphys/software/geview/data/figures/218844_at.png","Figure")</f>
        <v>Figure</v>
      </c>
      <c r="I8804">
        <v>0.69899999999999995</v>
      </c>
      <c r="J8804">
        <v>0.13</v>
      </c>
      <c r="K8804">
        <v>0.84599999999999997</v>
      </c>
      <c r="L8804">
        <v>0.52</v>
      </c>
      <c r="M8804">
        <v>1.21</v>
      </c>
      <c r="N8804">
        <v>0.48</v>
      </c>
    </row>
    <row r="8805" spans="1:14" x14ac:dyDescent="0.25">
      <c r="A8805" t="s">
        <v>15516</v>
      </c>
      <c r="B8805" t="s">
        <v>15517</v>
      </c>
      <c r="C8805" s="1" t="str">
        <f>HYPERLINK("http://www.genecards.org/cgi-bin/carddisp.pl?gene=TNFRSF1B","GeneCards")</f>
        <v>GeneCards</v>
      </c>
      <c r="D8805" s="1" t="str">
        <f>HYPERLINK("http://genome-euro.ucsc.edu/cgi-bin/hgTracks?position=203508_at","UCSC")</f>
        <v>UCSC</v>
      </c>
      <c r="E8805" s="1" t="str">
        <f>HYPERLINK("http://www.ncbi.nlm.nih.gov/gene/?term=TNFRSF1B","NCBI")</f>
        <v>NCBI</v>
      </c>
      <c r="F8805">
        <v>0.15</v>
      </c>
      <c r="G8805">
        <v>0.3</v>
      </c>
      <c r="H8805" s="1" t="str">
        <f>HYPERLINK("http://www.weizmann.ac.il/complex/compphys/software/geview/data/figures/203508_at.png","Figure")</f>
        <v>Figure</v>
      </c>
      <c r="I8805">
        <v>0.754</v>
      </c>
      <c r="J8805">
        <v>0.15</v>
      </c>
      <c r="K8805">
        <v>0.93500000000000005</v>
      </c>
      <c r="L8805">
        <v>0.85</v>
      </c>
      <c r="M8805">
        <v>1.24</v>
      </c>
      <c r="N8805">
        <v>0.27</v>
      </c>
    </row>
    <row r="8806" spans="1:14" x14ac:dyDescent="0.25">
      <c r="A8806" t="s">
        <v>15518</v>
      </c>
      <c r="B8806" t="s">
        <v>15519</v>
      </c>
      <c r="C8806" s="1" t="str">
        <f>HYPERLINK("http://www.genecards.org/cgi-bin/carddisp.pl?gene=KLF11","GeneCards")</f>
        <v>GeneCards</v>
      </c>
      <c r="D8806" s="1" t="str">
        <f>HYPERLINK("http://genome-euro.ucsc.edu/cgi-bin/hgTracks?position=218486_at","UCSC")</f>
        <v>UCSC</v>
      </c>
      <c r="E8806" s="1" t="str">
        <f>HYPERLINK("http://www.ncbi.nlm.nih.gov/gene/?term=KLF11","NCBI")</f>
        <v>NCBI</v>
      </c>
      <c r="F8806">
        <v>0.15</v>
      </c>
      <c r="G8806">
        <v>0.3</v>
      </c>
      <c r="H8806" s="1" t="str">
        <f>HYPERLINK("http://www.weizmann.ac.il/complex/compphys/software/geview/data/figures/218486_at.png","Figure")</f>
        <v>Figure</v>
      </c>
      <c r="I8806">
        <v>0.60399999999999998</v>
      </c>
      <c r="J8806">
        <v>0.3</v>
      </c>
      <c r="K8806">
        <v>0.57299999999999995</v>
      </c>
      <c r="L8806">
        <v>0.16</v>
      </c>
      <c r="M8806">
        <v>0.94799999999999995</v>
      </c>
      <c r="N8806">
        <v>0.98</v>
      </c>
    </row>
    <row r="8807" spans="1:14" x14ac:dyDescent="0.25">
      <c r="A8807" t="s">
        <v>15520</v>
      </c>
      <c r="B8807" t="s">
        <v>10858</v>
      </c>
      <c r="C8807" s="1" t="str">
        <f>HYPERLINK("http://www.genecards.org/cgi-bin/carddisp.pl?gene=FXYD3","GeneCards")</f>
        <v>GeneCards</v>
      </c>
      <c r="D8807" s="1" t="str">
        <f>HYPERLINK("http://genome-euro.ucsc.edu/cgi-bin/hgTracks?position=202488_s_at","UCSC")</f>
        <v>UCSC</v>
      </c>
      <c r="E8807" s="1" t="str">
        <f>HYPERLINK("http://www.ncbi.nlm.nih.gov/gene/?term=FXYD3","NCBI")</f>
        <v>NCBI</v>
      </c>
      <c r="F8807">
        <v>0.15</v>
      </c>
      <c r="G8807">
        <v>0.3</v>
      </c>
      <c r="H8807" s="1" t="str">
        <f>HYPERLINK("http://www.weizmann.ac.il/complex/compphys/software/geview/data/figures/202488_s_at.png","Figure")</f>
        <v>Figure</v>
      </c>
      <c r="I8807">
        <v>1.33</v>
      </c>
      <c r="J8807">
        <v>0.13</v>
      </c>
      <c r="K8807">
        <v>1.1399999999999999</v>
      </c>
      <c r="L8807">
        <v>0.53</v>
      </c>
      <c r="M8807">
        <v>0.85599999999999998</v>
      </c>
      <c r="N8807">
        <v>0.47</v>
      </c>
    </row>
    <row r="8808" spans="1:14" x14ac:dyDescent="0.25">
      <c r="A8808" t="s">
        <v>15521</v>
      </c>
      <c r="B8808" t="s">
        <v>4857</v>
      </c>
      <c r="C8808" s="1" t="str">
        <f>HYPERLINK("http://www.genecards.org/cgi-bin/carddisp.pl?gene=DYRK1A","GeneCards")</f>
        <v>GeneCards</v>
      </c>
      <c r="D8808" s="1" t="str">
        <f>HYPERLINK("http://genome-euro.ucsc.edu/cgi-bin/hgTracks?position=209033_s_at","UCSC")</f>
        <v>UCSC</v>
      </c>
      <c r="E8808" s="1" t="str">
        <f>HYPERLINK("http://www.ncbi.nlm.nih.gov/gene/?term=DYRK1A","NCBI")</f>
        <v>NCBI</v>
      </c>
      <c r="F8808">
        <v>0.15</v>
      </c>
      <c r="G8808">
        <v>0.3</v>
      </c>
      <c r="H8808" s="1" t="str">
        <f>HYPERLINK("http://www.weizmann.ac.il/complex/compphys/software/geview/data/figures/209033_s_at.png","Figure")</f>
        <v>Figure</v>
      </c>
      <c r="I8808">
        <v>0.65900000000000003</v>
      </c>
      <c r="J8808">
        <v>0.26</v>
      </c>
      <c r="K8808">
        <v>0.65600000000000003</v>
      </c>
      <c r="L8808">
        <v>0.17</v>
      </c>
      <c r="M8808">
        <v>0.996</v>
      </c>
      <c r="N8808">
        <v>1</v>
      </c>
    </row>
    <row r="8809" spans="1:14" x14ac:dyDescent="0.25">
      <c r="A8809" t="s">
        <v>15522</v>
      </c>
      <c r="B8809" t="s">
        <v>5919</v>
      </c>
      <c r="C8809" s="1" t="str">
        <f>HYPERLINK("http://www.genecards.org/cgi-bin/carddisp.pl?gene=TROVE2","GeneCards")</f>
        <v>GeneCards</v>
      </c>
      <c r="D8809" s="1" t="str">
        <f>HYPERLINK("http://genome-euro.ucsc.edu/cgi-bin/hgTracks?position=212852_s_at","UCSC")</f>
        <v>UCSC</v>
      </c>
      <c r="E8809" s="1" t="str">
        <f>HYPERLINK("http://www.ncbi.nlm.nih.gov/gene/?term=TROVE2","NCBI")</f>
        <v>NCBI</v>
      </c>
      <c r="F8809">
        <v>0.15</v>
      </c>
      <c r="G8809">
        <v>0.3</v>
      </c>
      <c r="H8809" s="1" t="str">
        <f>HYPERLINK("http://www.weizmann.ac.il/complex/compphys/software/geview/data/figures/212852_s_at.png","Figure")</f>
        <v>Figure</v>
      </c>
      <c r="I8809">
        <v>1.38</v>
      </c>
      <c r="J8809">
        <v>0.17</v>
      </c>
      <c r="K8809">
        <v>1.04</v>
      </c>
      <c r="L8809">
        <v>0.95</v>
      </c>
      <c r="M8809">
        <v>0.75600000000000001</v>
      </c>
      <c r="N8809">
        <v>0.21</v>
      </c>
    </row>
    <row r="8810" spans="1:14" x14ac:dyDescent="0.25">
      <c r="A8810" t="s">
        <v>15523</v>
      </c>
      <c r="B8810" t="s">
        <v>15524</v>
      </c>
      <c r="C8810" s="1" t="str">
        <f>HYPERLINK("http://www.genecards.org/cgi-bin/carddisp.pl?gene=ZGPAT","GeneCards")</f>
        <v>GeneCards</v>
      </c>
      <c r="D8810" s="1" t="str">
        <f>HYPERLINK("http://genome-euro.ucsc.edu/cgi-bin/hgTracks?position=57539_at","UCSC")</f>
        <v>UCSC</v>
      </c>
      <c r="E8810" s="1" t="str">
        <f>HYPERLINK("http://www.ncbi.nlm.nih.gov/gene/?term=ZGPAT","NCBI")</f>
        <v>NCBI</v>
      </c>
      <c r="F8810">
        <v>0.15</v>
      </c>
      <c r="G8810">
        <v>0.3</v>
      </c>
      <c r="H8810" s="1" t="str">
        <f>HYPERLINK("http://www.weizmann.ac.il/complex/compphys/software/geview/data/figures/57539_at.png","Figure")</f>
        <v>Figure</v>
      </c>
      <c r="I8810">
        <v>1.25</v>
      </c>
      <c r="J8810">
        <v>0.15</v>
      </c>
      <c r="K8810">
        <v>1.1599999999999999</v>
      </c>
      <c r="L8810">
        <v>0.32</v>
      </c>
      <c r="M8810">
        <v>0.92800000000000005</v>
      </c>
      <c r="N8810">
        <v>0.75</v>
      </c>
    </row>
    <row r="8811" spans="1:14" x14ac:dyDescent="0.25">
      <c r="A8811" t="s">
        <v>15525</v>
      </c>
      <c r="B8811" t="s">
        <v>15526</v>
      </c>
      <c r="C8811" s="1" t="str">
        <f>HYPERLINK("http://www.genecards.org/cgi-bin/carddisp.pl?gene=PRRX2","GeneCards")</f>
        <v>GeneCards</v>
      </c>
      <c r="D8811" s="1" t="str">
        <f>HYPERLINK("http://genome-euro.ucsc.edu/cgi-bin/hgTracks?position=219729_at","UCSC")</f>
        <v>UCSC</v>
      </c>
      <c r="E8811" s="1" t="str">
        <f>HYPERLINK("http://www.ncbi.nlm.nih.gov/gene/?term=PRRX2","NCBI")</f>
        <v>NCBI</v>
      </c>
      <c r="F8811">
        <v>0.15</v>
      </c>
      <c r="G8811">
        <v>0.3</v>
      </c>
      <c r="H8811" s="1" t="str">
        <f>HYPERLINK("http://www.weizmann.ac.il/complex/compphys/software/geview/data/figures/219729_at.png","Figure")</f>
        <v>Figure</v>
      </c>
      <c r="I8811">
        <v>1.33</v>
      </c>
      <c r="J8811">
        <v>0.13</v>
      </c>
      <c r="K8811">
        <v>1.1499999999999999</v>
      </c>
      <c r="L8811">
        <v>0.51</v>
      </c>
      <c r="M8811">
        <v>0.86199999999999999</v>
      </c>
      <c r="N8811">
        <v>0.5</v>
      </c>
    </row>
    <row r="8812" spans="1:14" x14ac:dyDescent="0.25">
      <c r="A8812" t="s">
        <v>15527</v>
      </c>
      <c r="B8812" t="s">
        <v>15436</v>
      </c>
      <c r="C8812" s="1" t="str">
        <f>HYPERLINK("http://www.genecards.org/cgi-bin/carddisp.pl?gene=MYOF","GeneCards")</f>
        <v>GeneCards</v>
      </c>
      <c r="D8812" s="1" t="str">
        <f>HYPERLINK("http://genome-euro.ucsc.edu/cgi-bin/hgTracks?position=201798_s_at","UCSC")</f>
        <v>UCSC</v>
      </c>
      <c r="E8812" s="1" t="str">
        <f>HYPERLINK("http://www.ncbi.nlm.nih.gov/gene/?term=MYOF","NCBI")</f>
        <v>NCBI</v>
      </c>
      <c r="F8812">
        <v>0.15</v>
      </c>
      <c r="G8812">
        <v>0.3</v>
      </c>
      <c r="H8812" s="1" t="str">
        <f>HYPERLINK("http://www.weizmann.ac.il/complex/compphys/software/geview/data/figures/201798_s_at.png","Figure")</f>
        <v>Figure</v>
      </c>
      <c r="I8812">
        <v>0.79200000000000004</v>
      </c>
      <c r="J8812">
        <v>0.19</v>
      </c>
      <c r="K8812">
        <v>0.98499999999999999</v>
      </c>
      <c r="L8812">
        <v>0.99</v>
      </c>
      <c r="M8812">
        <v>1.24</v>
      </c>
      <c r="N8812">
        <v>0.19</v>
      </c>
    </row>
    <row r="8813" spans="1:14" x14ac:dyDescent="0.25">
      <c r="A8813" t="s">
        <v>15528</v>
      </c>
      <c r="B8813" t="s">
        <v>15529</v>
      </c>
      <c r="C8813" s="1" t="str">
        <f>HYPERLINK("http://www.genecards.org/cgi-bin/carddisp.pl?gene=MGLL","GeneCards")</f>
        <v>GeneCards</v>
      </c>
      <c r="D8813" s="1" t="str">
        <f>HYPERLINK("http://genome-euro.ucsc.edu/cgi-bin/hgTracks?position=211026_s_at","UCSC")</f>
        <v>UCSC</v>
      </c>
      <c r="E8813" s="1" t="str">
        <f>HYPERLINK("http://www.ncbi.nlm.nih.gov/gene/?term=MGLL","NCBI")</f>
        <v>NCBI</v>
      </c>
      <c r="F8813">
        <v>0.15</v>
      </c>
      <c r="G8813">
        <v>0.3</v>
      </c>
      <c r="H8813" s="1" t="str">
        <f>HYPERLINK("http://www.weizmann.ac.il/complex/compphys/software/geview/data/figures/211026_s_at.png","Figure")</f>
        <v>Figure</v>
      </c>
      <c r="I8813">
        <v>1.1399999999999999</v>
      </c>
      <c r="J8813">
        <v>0.21</v>
      </c>
      <c r="K8813">
        <v>1</v>
      </c>
      <c r="L8813">
        <v>1</v>
      </c>
      <c r="M8813">
        <v>0.877</v>
      </c>
      <c r="N8813">
        <v>0.18</v>
      </c>
    </row>
    <row r="8814" spans="1:14" x14ac:dyDescent="0.25">
      <c r="A8814" t="s">
        <v>15530</v>
      </c>
      <c r="B8814" t="s">
        <v>15531</v>
      </c>
      <c r="C8814" s="1" t="str">
        <f>HYPERLINK("http://www.genecards.org/cgi-bin/carddisp.pl?gene=LOC100131825","GeneCards")</f>
        <v>GeneCards</v>
      </c>
      <c r="D8814" s="1" t="str">
        <f>HYPERLINK("http://genome-euro.ucsc.edu/cgi-bin/hgTracks?position=217442_at","UCSC")</f>
        <v>UCSC</v>
      </c>
      <c r="E8814" s="1" t="str">
        <f>HYPERLINK("http://www.ncbi.nlm.nih.gov/gene/?term=LOC100131825","NCBI")</f>
        <v>NCBI</v>
      </c>
      <c r="F8814">
        <v>0.15</v>
      </c>
      <c r="G8814">
        <v>0.3</v>
      </c>
      <c r="H8814" s="1" t="str">
        <f>HYPERLINK("http://www.weizmann.ac.il/complex/compphys/software/geview/data/figures/217442_at.png","Figure")</f>
        <v>Figure</v>
      </c>
      <c r="I8814">
        <v>1.2</v>
      </c>
      <c r="J8814">
        <v>0.14000000000000001</v>
      </c>
      <c r="K8814">
        <v>1.07</v>
      </c>
      <c r="L8814">
        <v>0.68</v>
      </c>
      <c r="M8814">
        <v>0.89</v>
      </c>
      <c r="N8814">
        <v>0.36</v>
      </c>
    </row>
    <row r="8815" spans="1:14" x14ac:dyDescent="0.25">
      <c r="A8815" t="s">
        <v>15532</v>
      </c>
      <c r="B8815" t="s">
        <v>13479</v>
      </c>
      <c r="C8815" s="1" t="str">
        <f>HYPERLINK("http://www.genecards.org/cgi-bin/carddisp.pl?gene=IGF2 /// INS-IGF2","GeneCards")</f>
        <v>GeneCards</v>
      </c>
      <c r="D8815" s="1" t="str">
        <f>HYPERLINK("http://genome-euro.ucsc.edu/cgi-bin/hgTracks?position=202409_at","UCSC")</f>
        <v>UCSC</v>
      </c>
      <c r="E8815" s="1" t="str">
        <f>HYPERLINK("http://www.ncbi.nlm.nih.gov/gene/?term=IGF2 /// INS-IGF2","NCBI")</f>
        <v>NCBI</v>
      </c>
      <c r="F8815">
        <v>0.16</v>
      </c>
      <c r="G8815">
        <v>0.3</v>
      </c>
      <c r="H8815" s="1" t="str">
        <f>HYPERLINK("http://www.weizmann.ac.il/complex/compphys/software/geview/data/figures/202409_at.png","Figure")</f>
        <v>Figure</v>
      </c>
      <c r="I8815">
        <v>1.1000000000000001</v>
      </c>
      <c r="J8815">
        <v>0.13</v>
      </c>
      <c r="K8815">
        <v>1.05</v>
      </c>
      <c r="L8815">
        <v>0.56000000000000005</v>
      </c>
      <c r="M8815">
        <v>0.94599999999999995</v>
      </c>
      <c r="N8815">
        <v>0.45</v>
      </c>
    </row>
    <row r="8816" spans="1:14" x14ac:dyDescent="0.25">
      <c r="A8816" t="s">
        <v>15533</v>
      </c>
      <c r="B8816" t="s">
        <v>15534</v>
      </c>
      <c r="C8816" s="1" t="str">
        <f>HYPERLINK("http://www.genecards.org/cgi-bin/carddisp.pl?gene=GLMN","GeneCards")</f>
        <v>GeneCards</v>
      </c>
      <c r="D8816" s="1" t="str">
        <f>HYPERLINK("http://genome-euro.ucsc.edu/cgi-bin/hgTracks?position=207153_s_at","UCSC")</f>
        <v>UCSC</v>
      </c>
      <c r="E8816" s="1" t="str">
        <f>HYPERLINK("http://www.ncbi.nlm.nih.gov/gene/?term=GLMN","NCBI")</f>
        <v>NCBI</v>
      </c>
      <c r="F8816">
        <v>0.15</v>
      </c>
      <c r="G8816">
        <v>0.3</v>
      </c>
      <c r="H8816" s="1" t="str">
        <f>HYPERLINK("http://www.weizmann.ac.il/complex/compphys/software/geview/data/figures/207153_s_at.png","Figure")</f>
        <v>Figure</v>
      </c>
      <c r="I8816">
        <v>0.872</v>
      </c>
      <c r="J8816">
        <v>0.3</v>
      </c>
      <c r="K8816">
        <v>1.03</v>
      </c>
      <c r="L8816">
        <v>0.91</v>
      </c>
      <c r="M8816">
        <v>1.18</v>
      </c>
      <c r="N8816">
        <v>0.14000000000000001</v>
      </c>
    </row>
    <row r="8817" spans="1:14" x14ac:dyDescent="0.25">
      <c r="A8817" t="s">
        <v>15535</v>
      </c>
      <c r="B8817" t="s">
        <v>15536</v>
      </c>
      <c r="C8817" s="1" t="str">
        <f>HYPERLINK("http://www.genecards.org/cgi-bin/carddisp.pl?gene=BTBD7","GeneCards")</f>
        <v>GeneCards</v>
      </c>
      <c r="D8817" s="1" t="str">
        <f>HYPERLINK("http://genome-euro.ucsc.edu/cgi-bin/hgTracks?position=217141_at","UCSC")</f>
        <v>UCSC</v>
      </c>
      <c r="E8817" s="1" t="str">
        <f>HYPERLINK("http://www.ncbi.nlm.nih.gov/gene/?term=BTBD7","NCBI")</f>
        <v>NCBI</v>
      </c>
      <c r="F8817">
        <v>0.15</v>
      </c>
      <c r="G8817">
        <v>0.3</v>
      </c>
      <c r="H8817" s="1" t="str">
        <f>HYPERLINK("http://www.weizmann.ac.il/complex/compphys/software/geview/data/figures/217141_at.png","Figure")</f>
        <v>Figure</v>
      </c>
      <c r="I8817">
        <v>0.95899999999999996</v>
      </c>
      <c r="J8817">
        <v>0.15</v>
      </c>
      <c r="K8817">
        <v>0.99099999999999999</v>
      </c>
      <c r="L8817">
        <v>0.88</v>
      </c>
      <c r="M8817">
        <v>1.03</v>
      </c>
      <c r="N8817">
        <v>0.25</v>
      </c>
    </row>
    <row r="8818" spans="1:14" x14ac:dyDescent="0.25">
      <c r="A8818" t="s">
        <v>15537</v>
      </c>
      <c r="B8818" t="s">
        <v>15538</v>
      </c>
      <c r="C8818" s="1" t="str">
        <f>HYPERLINK("http://www.genecards.org/cgi-bin/carddisp.pl?gene=DEFB4","GeneCards")</f>
        <v>GeneCards</v>
      </c>
      <c r="D8818" s="1" t="str">
        <f>HYPERLINK("http://genome-euro.ucsc.edu/cgi-bin/hgTracks?position=207356_at","UCSC")</f>
        <v>UCSC</v>
      </c>
      <c r="E8818" s="1" t="str">
        <f>HYPERLINK("http://www.ncbi.nlm.nih.gov/gene/?term=DEFB4","NCBI")</f>
        <v>NCBI</v>
      </c>
      <c r="F8818">
        <v>0.16</v>
      </c>
      <c r="G8818">
        <v>0.3</v>
      </c>
      <c r="H8818" s="1" t="str">
        <f>HYPERLINK("http://www.weizmann.ac.il/complex/compphys/software/geview/data/figures/207356_at.png","Figure")</f>
        <v>Figure</v>
      </c>
      <c r="I8818">
        <v>1.17</v>
      </c>
      <c r="J8818">
        <v>0.45</v>
      </c>
      <c r="K8818">
        <v>0.91600000000000004</v>
      </c>
      <c r="L8818">
        <v>0.71</v>
      </c>
      <c r="M8818">
        <v>0.78300000000000003</v>
      </c>
      <c r="N8818">
        <v>0.13</v>
      </c>
    </row>
    <row r="8819" spans="1:14" x14ac:dyDescent="0.25">
      <c r="A8819" t="s">
        <v>15539</v>
      </c>
      <c r="B8819" t="s">
        <v>15540</v>
      </c>
      <c r="C8819" s="1" t="str">
        <f>HYPERLINK("http://www.genecards.org/cgi-bin/carddisp.pl?gene=GAPDH","GeneCards")</f>
        <v>GeneCards</v>
      </c>
      <c r="D8819" s="1" t="str">
        <f>HYPERLINK("http://genome-euro.ucsc.edu/cgi-bin/hgTracks?position=213453_x_at","UCSC")</f>
        <v>UCSC</v>
      </c>
      <c r="E8819" s="1" t="str">
        <f>HYPERLINK("http://www.ncbi.nlm.nih.gov/gene/?term=GAPDH","NCBI")</f>
        <v>NCBI</v>
      </c>
      <c r="F8819">
        <v>0.16</v>
      </c>
      <c r="G8819">
        <v>0.3</v>
      </c>
      <c r="H8819" s="1" t="str">
        <f>HYPERLINK("http://www.weizmann.ac.il/complex/compphys/software/geview/data/figures/213453_x_at.png","Figure")</f>
        <v>Figure</v>
      </c>
      <c r="I8819">
        <v>0.78200000000000003</v>
      </c>
      <c r="J8819">
        <v>0.44</v>
      </c>
      <c r="K8819">
        <v>1.1399999999999999</v>
      </c>
      <c r="L8819">
        <v>0.72</v>
      </c>
      <c r="M8819">
        <v>1.46</v>
      </c>
      <c r="N8819">
        <v>0.13</v>
      </c>
    </row>
    <row r="8820" spans="1:14" x14ac:dyDescent="0.25">
      <c r="A8820" t="s">
        <v>15541</v>
      </c>
      <c r="B8820" t="s">
        <v>15542</v>
      </c>
      <c r="C8820" s="1" t="str">
        <f>HYPERLINK("http://www.genecards.org/cgi-bin/carddisp.pl?gene=DNA2","GeneCards")</f>
        <v>GeneCards</v>
      </c>
      <c r="D8820" s="1" t="str">
        <f>HYPERLINK("http://genome-euro.ucsc.edu/cgi-bin/hgTracks?position=213647_at","UCSC")</f>
        <v>UCSC</v>
      </c>
      <c r="E8820" s="1" t="str">
        <f>HYPERLINK("http://www.ncbi.nlm.nih.gov/gene/?term=DNA2","NCBI")</f>
        <v>NCBI</v>
      </c>
      <c r="F8820">
        <v>0.16</v>
      </c>
      <c r="G8820">
        <v>0.3</v>
      </c>
      <c r="H8820" s="1" t="str">
        <f>HYPERLINK("http://www.weizmann.ac.il/complex/compphys/software/geview/data/figures/213647_at.png","Figure")</f>
        <v>Figure</v>
      </c>
      <c r="I8820">
        <v>1.04</v>
      </c>
      <c r="J8820">
        <v>0.95</v>
      </c>
      <c r="K8820">
        <v>1.23</v>
      </c>
      <c r="L8820">
        <v>0.17</v>
      </c>
      <c r="M8820">
        <v>1.18</v>
      </c>
      <c r="N8820">
        <v>0.34</v>
      </c>
    </row>
    <row r="8821" spans="1:14" x14ac:dyDescent="0.25">
      <c r="A8821" t="s">
        <v>15543</v>
      </c>
      <c r="B8821" t="s">
        <v>15544</v>
      </c>
      <c r="C8821" s="1" t="str">
        <f>HYPERLINK("http://www.genecards.org/cgi-bin/carddisp.pl?gene=ADH6","GeneCards")</f>
        <v>GeneCards</v>
      </c>
      <c r="D8821" s="1" t="str">
        <f>HYPERLINK("http://genome-euro.ucsc.edu/cgi-bin/hgTracks?position=214261_s_at","UCSC")</f>
        <v>UCSC</v>
      </c>
      <c r="E8821" s="1" t="str">
        <f>HYPERLINK("http://www.ncbi.nlm.nih.gov/gene/?term=ADH6","NCBI")</f>
        <v>NCBI</v>
      </c>
      <c r="F8821">
        <v>0.16</v>
      </c>
      <c r="G8821">
        <v>0.3</v>
      </c>
      <c r="H8821" s="1" t="str">
        <f>HYPERLINK("http://www.weizmann.ac.il/complex/compphys/software/geview/data/figures/214261_s_at.png","Figure")</f>
        <v>Figure</v>
      </c>
      <c r="I8821">
        <v>1.18</v>
      </c>
      <c r="J8821">
        <v>0.13</v>
      </c>
      <c r="K8821">
        <v>1.07</v>
      </c>
      <c r="L8821">
        <v>0.6</v>
      </c>
      <c r="M8821">
        <v>0.90600000000000003</v>
      </c>
      <c r="N8821">
        <v>0.42</v>
      </c>
    </row>
    <row r="8822" spans="1:14" x14ac:dyDescent="0.25">
      <c r="A8822" t="s">
        <v>15545</v>
      </c>
      <c r="B8822" t="s">
        <v>3949</v>
      </c>
      <c r="C8822" s="1" t="str">
        <f>HYPERLINK("http://www.genecards.org/cgi-bin/carddisp.pl?gene=AQP3","GeneCards")</f>
        <v>GeneCards</v>
      </c>
      <c r="D8822" s="1" t="str">
        <f>HYPERLINK("http://genome-euro.ucsc.edu/cgi-bin/hgTracks?position=39249_at","UCSC")</f>
        <v>UCSC</v>
      </c>
      <c r="E8822" s="1" t="str">
        <f>HYPERLINK("http://www.ncbi.nlm.nih.gov/gene/?term=AQP3","NCBI")</f>
        <v>NCBI</v>
      </c>
      <c r="F8822">
        <v>0.16</v>
      </c>
      <c r="G8822">
        <v>0.3</v>
      </c>
      <c r="H8822" s="1" t="str">
        <f>HYPERLINK("http://www.weizmann.ac.il/complex/compphys/software/geview/data/figures/39249_at.png","Figure")</f>
        <v>Figure</v>
      </c>
      <c r="I8822">
        <v>1.26</v>
      </c>
      <c r="J8822">
        <v>0.14000000000000001</v>
      </c>
      <c r="K8822">
        <v>1.1299999999999999</v>
      </c>
      <c r="L8822">
        <v>0.42</v>
      </c>
      <c r="M8822">
        <v>0.90300000000000002</v>
      </c>
      <c r="N8822">
        <v>0.6</v>
      </c>
    </row>
    <row r="8823" spans="1:14" x14ac:dyDescent="0.25">
      <c r="A8823" t="s">
        <v>15546</v>
      </c>
      <c r="B8823" t="s">
        <v>15547</v>
      </c>
      <c r="C8823" s="1" t="str">
        <f>HYPERLINK("http://www.genecards.org/cgi-bin/carddisp.pl?gene=NBR2","GeneCards")</f>
        <v>GeneCards</v>
      </c>
      <c r="D8823" s="1" t="str">
        <f>HYPERLINK("http://genome-euro.ucsc.edu/cgi-bin/hgTracks?position=207631_at","UCSC")</f>
        <v>UCSC</v>
      </c>
      <c r="E8823" s="1" t="str">
        <f>HYPERLINK("http://www.ncbi.nlm.nih.gov/gene/?term=NBR2","NCBI")</f>
        <v>NCBI</v>
      </c>
      <c r="F8823">
        <v>0.16</v>
      </c>
      <c r="G8823">
        <v>0.3</v>
      </c>
      <c r="H8823" s="1" t="str">
        <f>HYPERLINK("http://www.weizmann.ac.il/complex/compphys/software/geview/data/figures/207631_at.png","Figure")</f>
        <v>Figure</v>
      </c>
      <c r="I8823">
        <v>1.1599999999999999</v>
      </c>
      <c r="J8823">
        <v>0.16</v>
      </c>
      <c r="K8823">
        <v>1.1100000000000001</v>
      </c>
      <c r="L8823">
        <v>0.3</v>
      </c>
      <c r="M8823">
        <v>0.95499999999999996</v>
      </c>
      <c r="N8823">
        <v>0.79</v>
      </c>
    </row>
    <row r="8824" spans="1:14" x14ac:dyDescent="0.25">
      <c r="A8824" t="s">
        <v>15548</v>
      </c>
      <c r="B8824" t="s">
        <v>15549</v>
      </c>
      <c r="C8824" s="1" t="str">
        <f>HYPERLINK("http://www.genecards.org/cgi-bin/carddisp.pl?gene=OR1F1","GeneCards")</f>
        <v>GeneCards</v>
      </c>
      <c r="D8824" s="1" t="str">
        <f>HYPERLINK("http://genome-euro.ucsc.edu/cgi-bin/hgTracks?position=221402_at","UCSC")</f>
        <v>UCSC</v>
      </c>
      <c r="E8824" s="1" t="str">
        <f>HYPERLINK("http://www.ncbi.nlm.nih.gov/gene/?term=OR1F1","NCBI")</f>
        <v>NCBI</v>
      </c>
      <c r="F8824">
        <v>0.16</v>
      </c>
      <c r="G8824">
        <v>0.3</v>
      </c>
      <c r="H8824" s="1" t="str">
        <f>HYPERLINK("http://www.weizmann.ac.il/complex/compphys/software/geview/data/figures/221402_at.png","Figure")</f>
        <v>Figure</v>
      </c>
      <c r="I8824">
        <v>1.27</v>
      </c>
      <c r="J8824">
        <v>0.2</v>
      </c>
      <c r="K8824">
        <v>1.01</v>
      </c>
      <c r="L8824">
        <v>1</v>
      </c>
      <c r="M8824">
        <v>0.79300000000000004</v>
      </c>
      <c r="N8824">
        <v>0.18</v>
      </c>
    </row>
    <row r="8825" spans="1:14" x14ac:dyDescent="0.25">
      <c r="A8825" t="s">
        <v>15550</v>
      </c>
      <c r="B8825" t="s">
        <v>15551</v>
      </c>
      <c r="C8825" s="1" t="str">
        <f>HYPERLINK("http://www.genecards.org/cgi-bin/carddisp.pl?gene=RPL12","GeneCards")</f>
        <v>GeneCards</v>
      </c>
      <c r="D8825" s="1" t="str">
        <f>HYPERLINK("http://genome-euro.ucsc.edu/cgi-bin/hgTracks?position=200088_x_at","UCSC")</f>
        <v>UCSC</v>
      </c>
      <c r="E8825" s="1" t="str">
        <f>HYPERLINK("http://www.ncbi.nlm.nih.gov/gene/?term=RPL12","NCBI")</f>
        <v>NCBI</v>
      </c>
      <c r="F8825">
        <v>0.16</v>
      </c>
      <c r="G8825">
        <v>0.3</v>
      </c>
      <c r="H8825" s="1" t="str">
        <f>HYPERLINK("http://www.weizmann.ac.il/complex/compphys/software/geview/data/figures/200088_x_at.png","Figure")</f>
        <v>Figure</v>
      </c>
      <c r="I8825">
        <v>1.18</v>
      </c>
      <c r="J8825">
        <v>0.62</v>
      </c>
      <c r="K8825">
        <v>1.37</v>
      </c>
      <c r="L8825">
        <v>0.13</v>
      </c>
      <c r="M8825">
        <v>1.1599999999999999</v>
      </c>
      <c r="N8825">
        <v>0.64</v>
      </c>
    </row>
    <row r="8826" spans="1:14" x14ac:dyDescent="0.25">
      <c r="A8826" t="s">
        <v>15552</v>
      </c>
      <c r="B8826" t="s">
        <v>5536</v>
      </c>
      <c r="C8826" s="1" t="str">
        <f>HYPERLINK("http://www.genecards.org/cgi-bin/carddisp.pl?gene=MAX","GeneCards")</f>
        <v>GeneCards</v>
      </c>
      <c r="D8826" s="1" t="str">
        <f>HYPERLINK("http://genome-euro.ucsc.edu/cgi-bin/hgTracks?position=214108_at","UCSC")</f>
        <v>UCSC</v>
      </c>
      <c r="E8826" s="1" t="str">
        <f>HYPERLINK("http://www.ncbi.nlm.nih.gov/gene/?term=MAX","NCBI")</f>
        <v>NCBI</v>
      </c>
      <c r="F8826">
        <v>0.16</v>
      </c>
      <c r="G8826">
        <v>0.3</v>
      </c>
      <c r="H8826" s="1" t="str">
        <f>HYPERLINK("http://www.weizmann.ac.il/complex/compphys/software/geview/data/figures/214108_at.png","Figure")</f>
        <v>Figure</v>
      </c>
      <c r="I8826">
        <v>1.1299999999999999</v>
      </c>
      <c r="J8826">
        <v>0.6</v>
      </c>
      <c r="K8826">
        <v>0.88900000000000001</v>
      </c>
      <c r="L8826">
        <v>0.55000000000000004</v>
      </c>
      <c r="M8826">
        <v>0.78600000000000003</v>
      </c>
      <c r="N8826">
        <v>0.14000000000000001</v>
      </c>
    </row>
    <row r="8827" spans="1:14" x14ac:dyDescent="0.25">
      <c r="A8827" t="s">
        <v>15553</v>
      </c>
      <c r="B8827" t="s">
        <v>15554</v>
      </c>
      <c r="C8827" s="1" t="str">
        <f>HYPERLINK("http://www.genecards.org/cgi-bin/carddisp.pl?gene=CROCCL2","GeneCards")</f>
        <v>GeneCards</v>
      </c>
      <c r="D8827" s="1" t="str">
        <f>HYPERLINK("http://genome-euro.ucsc.edu/cgi-bin/hgTracks?position=215827_x_at","UCSC")</f>
        <v>UCSC</v>
      </c>
      <c r="E8827" s="1" t="str">
        <f>HYPERLINK("http://www.ncbi.nlm.nih.gov/gene/?term=CROCCL2","NCBI")</f>
        <v>NCBI</v>
      </c>
      <c r="F8827">
        <v>0.16</v>
      </c>
      <c r="G8827">
        <v>0.3</v>
      </c>
      <c r="H8827" s="1" t="str">
        <f>HYPERLINK("http://www.weizmann.ac.il/complex/compphys/software/geview/data/figures/215827_x_at.png","Figure")</f>
        <v>Figure</v>
      </c>
      <c r="I8827">
        <v>1.04</v>
      </c>
      <c r="J8827">
        <v>0.2</v>
      </c>
      <c r="K8827">
        <v>1.03</v>
      </c>
      <c r="L8827">
        <v>0.22</v>
      </c>
      <c r="M8827">
        <v>0.99399999999999999</v>
      </c>
      <c r="N8827">
        <v>0.95</v>
      </c>
    </row>
    <row r="8828" spans="1:14" x14ac:dyDescent="0.25">
      <c r="A8828" t="s">
        <v>15555</v>
      </c>
      <c r="B8828" t="s">
        <v>15556</v>
      </c>
      <c r="C8828" s="1" t="str">
        <f>HYPERLINK("http://www.genecards.org/cgi-bin/carddisp.pl?gene=ATP6V1G1","GeneCards")</f>
        <v>GeneCards</v>
      </c>
      <c r="D8828" s="1" t="str">
        <f>HYPERLINK("http://genome-euro.ucsc.edu/cgi-bin/hgTracks?position=208737_at","UCSC")</f>
        <v>UCSC</v>
      </c>
      <c r="E8828" s="1" t="str">
        <f>HYPERLINK("http://www.ncbi.nlm.nih.gov/gene/?term=ATP6V1G1","NCBI")</f>
        <v>NCBI</v>
      </c>
      <c r="F8828">
        <v>0.16</v>
      </c>
      <c r="G8828">
        <v>0.3</v>
      </c>
      <c r="H8828" s="1" t="str">
        <f>HYPERLINK("http://www.weizmann.ac.il/complex/compphys/software/geview/data/figures/208737_at.png","Figure")</f>
        <v>Figure</v>
      </c>
      <c r="I8828">
        <v>1.33</v>
      </c>
      <c r="J8828">
        <v>0.37</v>
      </c>
      <c r="K8828">
        <v>0.89900000000000002</v>
      </c>
      <c r="L8828">
        <v>0.82</v>
      </c>
      <c r="M8828">
        <v>0.67400000000000004</v>
      </c>
      <c r="N8828">
        <v>0.14000000000000001</v>
      </c>
    </row>
    <row r="8829" spans="1:14" x14ac:dyDescent="0.25">
      <c r="A8829" t="s">
        <v>15557</v>
      </c>
      <c r="B8829" t="s">
        <v>15558</v>
      </c>
      <c r="C8829" s="1" t="str">
        <f>HYPERLINK("http://www.genecards.org/cgi-bin/carddisp.pl?gene=SORBS1","GeneCards")</f>
        <v>GeneCards</v>
      </c>
      <c r="D8829" s="1" t="str">
        <f>HYPERLINK("http://genome-euro.ucsc.edu/cgi-bin/hgTracks?position=218087_s_at","UCSC")</f>
        <v>UCSC</v>
      </c>
      <c r="E8829" s="1" t="str">
        <f>HYPERLINK("http://www.ncbi.nlm.nih.gov/gene/?term=SORBS1","NCBI")</f>
        <v>NCBI</v>
      </c>
      <c r="F8829">
        <v>0.16</v>
      </c>
      <c r="G8829">
        <v>0.3</v>
      </c>
      <c r="H8829" s="1" t="str">
        <f>HYPERLINK("http://www.weizmann.ac.il/complex/compphys/software/geview/data/figures/218087_s_at.png","Figure")</f>
        <v>Figure</v>
      </c>
      <c r="I8829">
        <v>1.38</v>
      </c>
      <c r="J8829">
        <v>0.25</v>
      </c>
      <c r="K8829">
        <v>1.38</v>
      </c>
      <c r="L8829">
        <v>0.17</v>
      </c>
      <c r="M8829">
        <v>1</v>
      </c>
      <c r="N8829">
        <v>1</v>
      </c>
    </row>
    <row r="8830" spans="1:14" x14ac:dyDescent="0.25">
      <c r="A8830" t="s">
        <v>15559</v>
      </c>
      <c r="B8830" t="s">
        <v>15560</v>
      </c>
      <c r="C8830" s="1" t="str">
        <f>HYPERLINK("http://www.genecards.org/cgi-bin/carddisp.pl?gene=MEPE","GeneCards")</f>
        <v>GeneCards</v>
      </c>
      <c r="D8830" s="1" t="str">
        <f>HYPERLINK("http://genome-euro.ucsc.edu/cgi-bin/hgTracks?position=221150_at","UCSC")</f>
        <v>UCSC</v>
      </c>
      <c r="E8830" s="1" t="str">
        <f>HYPERLINK("http://www.ncbi.nlm.nih.gov/gene/?term=MEPE","NCBI")</f>
        <v>NCBI</v>
      </c>
      <c r="F8830">
        <v>0.16</v>
      </c>
      <c r="G8830">
        <v>0.3</v>
      </c>
      <c r="H8830" s="1" t="str">
        <f>HYPERLINK("http://www.weizmann.ac.il/complex/compphys/software/geview/data/figures/221150_at.png","Figure")</f>
        <v>Figure</v>
      </c>
      <c r="I8830">
        <v>1.21</v>
      </c>
      <c r="J8830">
        <v>0.16</v>
      </c>
      <c r="K8830">
        <v>1.04</v>
      </c>
      <c r="L8830">
        <v>0.89</v>
      </c>
      <c r="M8830">
        <v>0.86</v>
      </c>
      <c r="N8830">
        <v>0.25</v>
      </c>
    </row>
    <row r="8831" spans="1:14" x14ac:dyDescent="0.25">
      <c r="A8831" t="s">
        <v>15561</v>
      </c>
      <c r="B8831" t="s">
        <v>13012</v>
      </c>
      <c r="C8831" s="1" t="str">
        <f>HYPERLINK("http://www.genecards.org/cgi-bin/carddisp.pl?gene=RXRA","GeneCards")</f>
        <v>GeneCards</v>
      </c>
      <c r="D8831" s="1" t="str">
        <f>HYPERLINK("http://genome-euro.ucsc.edu/cgi-bin/hgTracks?position=202449_s_at","UCSC")</f>
        <v>UCSC</v>
      </c>
      <c r="E8831" s="1" t="str">
        <f>HYPERLINK("http://www.ncbi.nlm.nih.gov/gene/?term=RXRA","NCBI")</f>
        <v>NCBI</v>
      </c>
      <c r="F8831">
        <v>0.16</v>
      </c>
      <c r="G8831">
        <v>0.3</v>
      </c>
      <c r="H8831" s="1" t="str">
        <f>HYPERLINK("http://www.weizmann.ac.il/complex/compphys/software/geview/data/figures/202449_s_at.png","Figure")</f>
        <v>Figure</v>
      </c>
      <c r="I8831">
        <v>0.82499999999999996</v>
      </c>
      <c r="J8831">
        <v>0.16</v>
      </c>
      <c r="K8831">
        <v>0.96399999999999997</v>
      </c>
      <c r="L8831">
        <v>0.9</v>
      </c>
      <c r="M8831">
        <v>1.17</v>
      </c>
      <c r="N8831">
        <v>0.24</v>
      </c>
    </row>
    <row r="8832" spans="1:14" x14ac:dyDescent="0.25">
      <c r="A8832" t="s">
        <v>15562</v>
      </c>
      <c r="B8832" t="s">
        <v>15563</v>
      </c>
      <c r="C8832" s="1" t="str">
        <f>HYPERLINK("http://www.genecards.org/cgi-bin/carddisp.pl?gene=EFNA5","GeneCards")</f>
        <v>GeneCards</v>
      </c>
      <c r="D8832" s="1" t="str">
        <f>HYPERLINK("http://genome-euro.ucsc.edu/cgi-bin/hgTracks?position=207301_at","UCSC")</f>
        <v>UCSC</v>
      </c>
      <c r="E8832" s="1" t="str">
        <f>HYPERLINK("http://www.ncbi.nlm.nih.gov/gene/?term=EFNA5","NCBI")</f>
        <v>NCBI</v>
      </c>
      <c r="F8832">
        <v>0.16</v>
      </c>
      <c r="G8832">
        <v>0.3</v>
      </c>
      <c r="H8832" s="1" t="str">
        <f>HYPERLINK("http://www.weizmann.ac.il/complex/compphys/software/geview/data/figures/207301_at.png","Figure")</f>
        <v>Figure</v>
      </c>
      <c r="I8832">
        <v>1.19</v>
      </c>
      <c r="J8832">
        <v>0.15</v>
      </c>
      <c r="K8832">
        <v>1.04</v>
      </c>
      <c r="L8832">
        <v>0.86</v>
      </c>
      <c r="M8832">
        <v>0.874</v>
      </c>
      <c r="N8832">
        <v>0.26</v>
      </c>
    </row>
    <row r="8833" spans="1:14" x14ac:dyDescent="0.25">
      <c r="A8833" t="s">
        <v>15564</v>
      </c>
      <c r="B8833" t="s">
        <v>15565</v>
      </c>
      <c r="C8833" s="1" t="str">
        <f>HYPERLINK("http://www.genecards.org/cgi-bin/carddisp.pl?gene=STK4","GeneCards")</f>
        <v>GeneCards</v>
      </c>
      <c r="D8833" s="1" t="str">
        <f>HYPERLINK("http://genome-euro.ucsc.edu/cgi-bin/hgTracks?position=205411_at","UCSC")</f>
        <v>UCSC</v>
      </c>
      <c r="E8833" s="1" t="str">
        <f>HYPERLINK("http://www.ncbi.nlm.nih.gov/gene/?term=STK4","NCBI")</f>
        <v>NCBI</v>
      </c>
      <c r="F8833">
        <v>0.16</v>
      </c>
      <c r="G8833">
        <v>0.3</v>
      </c>
      <c r="H8833" s="1" t="str">
        <f>HYPERLINK("http://www.weizmann.ac.il/complex/compphys/software/geview/data/figures/205411_at.png","Figure")</f>
        <v>Figure</v>
      </c>
      <c r="I8833">
        <v>1.03</v>
      </c>
      <c r="J8833">
        <v>0.94</v>
      </c>
      <c r="K8833">
        <v>0.88300000000000001</v>
      </c>
      <c r="L8833">
        <v>0.28000000000000003</v>
      </c>
      <c r="M8833">
        <v>0.85799999999999998</v>
      </c>
      <c r="N8833">
        <v>0.2</v>
      </c>
    </row>
    <row r="8834" spans="1:14" x14ac:dyDescent="0.25">
      <c r="A8834" t="s">
        <v>15566</v>
      </c>
      <c r="B8834" t="s">
        <v>15567</v>
      </c>
      <c r="C8834" s="1" t="str">
        <f>HYPERLINK("http://www.genecards.org/cgi-bin/carddisp.pl?gene=FADS2","GeneCards")</f>
        <v>GeneCards</v>
      </c>
      <c r="D8834" s="1" t="str">
        <f>HYPERLINK("http://genome-euro.ucsc.edu/cgi-bin/hgTracks?position=202218_s_at","UCSC")</f>
        <v>UCSC</v>
      </c>
      <c r="E8834" s="1" t="str">
        <f>HYPERLINK("http://www.ncbi.nlm.nih.gov/gene/?term=FADS2","NCBI")</f>
        <v>NCBI</v>
      </c>
      <c r="F8834">
        <v>0.16</v>
      </c>
      <c r="G8834">
        <v>0.3</v>
      </c>
      <c r="H8834" s="1" t="str">
        <f>HYPERLINK("http://www.weizmann.ac.il/complex/compphys/software/geview/data/figures/202218_s_at.png","Figure")</f>
        <v>Figure</v>
      </c>
      <c r="I8834">
        <v>1.21</v>
      </c>
      <c r="J8834">
        <v>0.18</v>
      </c>
      <c r="K8834">
        <v>1.1599999999999999</v>
      </c>
      <c r="L8834">
        <v>0.25</v>
      </c>
      <c r="M8834">
        <v>0.95699999999999996</v>
      </c>
      <c r="N8834">
        <v>0.88</v>
      </c>
    </row>
    <row r="8835" spans="1:14" x14ac:dyDescent="0.25">
      <c r="A8835" t="s">
        <v>15568</v>
      </c>
      <c r="B8835" t="s">
        <v>15569</v>
      </c>
      <c r="C8835" s="1" t="str">
        <f>HYPERLINK("http://www.genecards.org/cgi-bin/carddisp.pl?gene=KCNH2","GeneCards")</f>
        <v>GeneCards</v>
      </c>
      <c r="D8835" s="1" t="str">
        <f>HYPERLINK("http://genome-euro.ucsc.edu/cgi-bin/hgTracks?position=205262_at","UCSC")</f>
        <v>UCSC</v>
      </c>
      <c r="E8835" s="1" t="str">
        <f>HYPERLINK("http://www.ncbi.nlm.nih.gov/gene/?term=KCNH2","NCBI")</f>
        <v>NCBI</v>
      </c>
      <c r="F8835">
        <v>0.16</v>
      </c>
      <c r="G8835">
        <v>0.3</v>
      </c>
      <c r="H8835" s="1" t="str">
        <f>HYPERLINK("http://www.weizmann.ac.il/complex/compphys/software/geview/data/figures/205262_at.png","Figure")</f>
        <v>Figure</v>
      </c>
      <c r="I8835">
        <v>1.1100000000000001</v>
      </c>
      <c r="J8835">
        <v>0.25</v>
      </c>
      <c r="K8835">
        <v>0.98799999999999999</v>
      </c>
      <c r="L8835">
        <v>0.97</v>
      </c>
      <c r="M8835">
        <v>0.88900000000000001</v>
      </c>
      <c r="N8835">
        <v>0.16</v>
      </c>
    </row>
    <row r="8836" spans="1:14" x14ac:dyDescent="0.25">
      <c r="A8836" t="s">
        <v>15570</v>
      </c>
      <c r="B8836" t="s">
        <v>15571</v>
      </c>
      <c r="C8836" s="1" t="str">
        <f>HYPERLINK("http://www.genecards.org/cgi-bin/carddisp.pl?gene=GAGE1 /// GAGE12C /// GAGE12D /// GAGE12E /// GAGE12F /// GAGE12G /// GAGE12H /// GAGE12I /// GAGE12","GeneCards")</f>
        <v>GeneCards</v>
      </c>
      <c r="D8836" s="1" t="str">
        <f>HYPERLINK("http://genome-euro.ucsc.edu/cgi-bin/hgTracks?position=207086_x_at","UCSC")</f>
        <v>UCSC</v>
      </c>
      <c r="E8836" s="1" t="str">
        <f>HYPERLINK("http://www.ncbi.nlm.nih.gov/gene/?term=GAGE1 /// GAGE12C /// GAGE12D /// GAGE12E /// GAGE12F /// GAGE12G /// GAGE12H /// GAGE12I /// GAGE12","NCBI")</f>
        <v>NCBI</v>
      </c>
      <c r="F8836">
        <v>0.16</v>
      </c>
      <c r="G8836">
        <v>0.3</v>
      </c>
      <c r="H8836" s="1" t="str">
        <f>HYPERLINK("http://www.weizmann.ac.il/complex/compphys/software/geview/data/figures/207086_x_at.png","Figure")</f>
        <v>Figure</v>
      </c>
      <c r="I8836">
        <v>1.1100000000000001</v>
      </c>
      <c r="J8836">
        <v>0.18</v>
      </c>
      <c r="K8836">
        <v>1.01</v>
      </c>
      <c r="L8836">
        <v>0.97</v>
      </c>
      <c r="M8836">
        <v>0.90900000000000003</v>
      </c>
      <c r="N8836">
        <v>0.21</v>
      </c>
    </row>
    <row r="8837" spans="1:14" x14ac:dyDescent="0.25">
      <c r="A8837" t="s">
        <v>15572</v>
      </c>
      <c r="B8837" t="s">
        <v>10088</v>
      </c>
      <c r="C8837" s="1" t="str">
        <f>HYPERLINK("http://www.genecards.org/cgi-bin/carddisp.pl?gene=CAMK2A","GeneCards")</f>
        <v>GeneCards</v>
      </c>
      <c r="D8837" s="1" t="str">
        <f>HYPERLINK("http://genome-euro.ucsc.edu/cgi-bin/hgTracks?position=207613_s_at","UCSC")</f>
        <v>UCSC</v>
      </c>
      <c r="E8837" s="1" t="str">
        <f>HYPERLINK("http://www.ncbi.nlm.nih.gov/gene/?term=CAMK2A","NCBI")</f>
        <v>NCBI</v>
      </c>
      <c r="F8837">
        <v>0.16</v>
      </c>
      <c r="G8837">
        <v>0.3</v>
      </c>
      <c r="H8837" s="1" t="str">
        <f>HYPERLINK("http://www.weizmann.ac.il/complex/compphys/software/geview/data/figures/207613_s_at.png","Figure")</f>
        <v>Figure</v>
      </c>
      <c r="I8837">
        <v>1.02</v>
      </c>
      <c r="J8837">
        <v>0.35</v>
      </c>
      <c r="K8837">
        <v>1.03</v>
      </c>
      <c r="L8837">
        <v>0.15</v>
      </c>
      <c r="M8837">
        <v>1.01</v>
      </c>
      <c r="N8837">
        <v>0.93</v>
      </c>
    </row>
    <row r="8838" spans="1:14" x14ac:dyDescent="0.25">
      <c r="A8838" t="s">
        <v>15573</v>
      </c>
      <c r="B8838" t="s">
        <v>15574</v>
      </c>
      <c r="C8838" s="1" t="str">
        <f>HYPERLINK("http://www.genecards.org/cgi-bin/carddisp.pl?gene=SLC12A3","GeneCards")</f>
        <v>GeneCards</v>
      </c>
      <c r="D8838" s="1" t="str">
        <f>HYPERLINK("http://genome-euro.ucsc.edu/cgi-bin/hgTracks?position=208354_s_at","UCSC")</f>
        <v>UCSC</v>
      </c>
      <c r="E8838" s="1" t="str">
        <f>HYPERLINK("http://www.ncbi.nlm.nih.gov/gene/?term=SLC12A3","NCBI")</f>
        <v>NCBI</v>
      </c>
      <c r="F8838">
        <v>0.16</v>
      </c>
      <c r="G8838">
        <v>0.3</v>
      </c>
      <c r="H8838" s="1" t="str">
        <f>HYPERLINK("http://www.weizmann.ac.il/complex/compphys/software/geview/data/figures/208354_s_at.png","Figure")</f>
        <v>Figure</v>
      </c>
      <c r="I8838">
        <v>1.1399999999999999</v>
      </c>
      <c r="J8838">
        <v>0.14000000000000001</v>
      </c>
      <c r="K8838">
        <v>1.05</v>
      </c>
      <c r="L8838">
        <v>0.67</v>
      </c>
      <c r="M8838">
        <v>0.91900000000000004</v>
      </c>
      <c r="N8838">
        <v>0.37</v>
      </c>
    </row>
    <row r="8839" spans="1:14" x14ac:dyDescent="0.25">
      <c r="A8839" t="s">
        <v>15575</v>
      </c>
      <c r="B8839" t="s">
        <v>15576</v>
      </c>
      <c r="C8839" s="1" t="str">
        <f>HYPERLINK("http://www.genecards.org/cgi-bin/carddisp.pl?gene=JAG1","GeneCards")</f>
        <v>GeneCards</v>
      </c>
      <c r="D8839" s="1" t="str">
        <f>HYPERLINK("http://genome-euro.ucsc.edu/cgi-bin/hgTracks?position=209099_x_at","UCSC")</f>
        <v>UCSC</v>
      </c>
      <c r="E8839" s="1" t="str">
        <f>HYPERLINK("http://www.ncbi.nlm.nih.gov/gene/?term=JAG1","NCBI")</f>
        <v>NCBI</v>
      </c>
      <c r="F8839">
        <v>0.16</v>
      </c>
      <c r="G8839">
        <v>0.3</v>
      </c>
      <c r="H8839" s="1" t="str">
        <f>HYPERLINK("http://www.weizmann.ac.il/complex/compphys/software/geview/data/figures/209099_x_at.png","Figure")</f>
        <v>Figure</v>
      </c>
      <c r="I8839">
        <v>1.0900000000000001</v>
      </c>
      <c r="J8839">
        <v>0.84</v>
      </c>
      <c r="K8839">
        <v>0.83299999999999996</v>
      </c>
      <c r="L8839">
        <v>0.36</v>
      </c>
      <c r="M8839">
        <v>0.76500000000000001</v>
      </c>
      <c r="N8839">
        <v>0.17</v>
      </c>
    </row>
    <row r="8840" spans="1:14" x14ac:dyDescent="0.25">
      <c r="A8840" t="s">
        <v>15577</v>
      </c>
      <c r="B8840" t="s">
        <v>15578</v>
      </c>
      <c r="C8840" s="1" t="str">
        <f>HYPERLINK("http://www.genecards.org/cgi-bin/carddisp.pl?gene=LIMK2","GeneCards")</f>
        <v>GeneCards</v>
      </c>
      <c r="D8840" s="1" t="str">
        <f>HYPERLINK("http://genome-euro.ucsc.edu/cgi-bin/hgTracks?position=210582_s_at","UCSC")</f>
        <v>UCSC</v>
      </c>
      <c r="E8840" s="1" t="str">
        <f>HYPERLINK("http://www.ncbi.nlm.nih.gov/gene/?term=LIMK2","NCBI")</f>
        <v>NCBI</v>
      </c>
      <c r="F8840">
        <v>0.16</v>
      </c>
      <c r="G8840">
        <v>0.3</v>
      </c>
      <c r="H8840" s="1" t="str">
        <f>HYPERLINK("http://www.weizmann.ac.il/complex/compphys/software/geview/data/figures/210582_s_at.png","Figure")</f>
        <v>Figure</v>
      </c>
      <c r="I8840">
        <v>1.19</v>
      </c>
      <c r="J8840">
        <v>0.2</v>
      </c>
      <c r="K8840">
        <v>1.01</v>
      </c>
      <c r="L8840">
        <v>0.99</v>
      </c>
      <c r="M8840">
        <v>0.85099999999999998</v>
      </c>
      <c r="N8840">
        <v>0.19</v>
      </c>
    </row>
    <row r="8841" spans="1:14" x14ac:dyDescent="0.25">
      <c r="A8841" t="s">
        <v>15579</v>
      </c>
      <c r="B8841" t="s">
        <v>15580</v>
      </c>
      <c r="C8841" s="1" t="str">
        <f>HYPERLINK("http://www.genecards.org/cgi-bin/carddisp.pl?gene=MRPS30","GeneCards")</f>
        <v>GeneCards</v>
      </c>
      <c r="D8841" s="1" t="str">
        <f>HYPERLINK("http://genome-euro.ucsc.edu/cgi-bin/hgTracks?position=218398_at","UCSC")</f>
        <v>UCSC</v>
      </c>
      <c r="E8841" s="1" t="str">
        <f>HYPERLINK("http://www.ncbi.nlm.nih.gov/gene/?term=MRPS30","NCBI")</f>
        <v>NCBI</v>
      </c>
      <c r="F8841">
        <v>0.16</v>
      </c>
      <c r="G8841">
        <v>0.3</v>
      </c>
      <c r="H8841" s="1" t="str">
        <f>HYPERLINK("http://www.weizmann.ac.il/complex/compphys/software/geview/data/figures/218398_at.png","Figure")</f>
        <v>Figure</v>
      </c>
      <c r="I8841">
        <v>0.81200000000000006</v>
      </c>
      <c r="J8841">
        <v>0.2</v>
      </c>
      <c r="K8841">
        <v>0.83599999999999997</v>
      </c>
      <c r="L8841">
        <v>0.21</v>
      </c>
      <c r="M8841">
        <v>1.03</v>
      </c>
      <c r="N8841">
        <v>0.96</v>
      </c>
    </row>
    <row r="8842" spans="1:14" x14ac:dyDescent="0.25">
      <c r="A8842" t="s">
        <v>15581</v>
      </c>
      <c r="B8842" t="s">
        <v>13133</v>
      </c>
      <c r="C8842" s="1" t="str">
        <f>HYPERLINK("http://www.genecards.org/cgi-bin/carddisp.pl?gene=HEMK1","GeneCards")</f>
        <v>GeneCards</v>
      </c>
      <c r="D8842" s="1" t="str">
        <f>HYPERLINK("http://genome-euro.ucsc.edu/cgi-bin/hgTracks?position=218620_s_at","UCSC")</f>
        <v>UCSC</v>
      </c>
      <c r="E8842" s="1" t="str">
        <f>HYPERLINK("http://www.ncbi.nlm.nih.gov/gene/?term=HEMK1","NCBI")</f>
        <v>NCBI</v>
      </c>
      <c r="F8842">
        <v>0.16</v>
      </c>
      <c r="G8842">
        <v>0.3</v>
      </c>
      <c r="H8842" s="1" t="str">
        <f>HYPERLINK("http://www.weizmann.ac.il/complex/compphys/software/geview/data/figures/218620_s_at.png","Figure")</f>
        <v>Figure</v>
      </c>
      <c r="I8842">
        <v>0.92200000000000004</v>
      </c>
      <c r="J8842">
        <v>0.85</v>
      </c>
      <c r="K8842">
        <v>1.2</v>
      </c>
      <c r="L8842">
        <v>0.35</v>
      </c>
      <c r="M8842">
        <v>1.3</v>
      </c>
      <c r="N8842">
        <v>0.17</v>
      </c>
    </row>
    <row r="8843" spans="1:14" x14ac:dyDescent="0.25">
      <c r="A8843" t="s">
        <v>15582</v>
      </c>
      <c r="B8843" t="s">
        <v>15583</v>
      </c>
      <c r="C8843" s="1" t="str">
        <f>HYPERLINK("http://www.genecards.org/cgi-bin/carddisp.pl?gene=GON4L","GeneCards")</f>
        <v>GeneCards</v>
      </c>
      <c r="D8843" s="1" t="str">
        <f>HYPERLINK("http://genome-euro.ucsc.edu/cgi-bin/hgTracks?position=218873_at","UCSC")</f>
        <v>UCSC</v>
      </c>
      <c r="E8843" s="1" t="str">
        <f>HYPERLINK("http://www.ncbi.nlm.nih.gov/gene/?term=GON4L","NCBI")</f>
        <v>NCBI</v>
      </c>
      <c r="F8843">
        <v>0.16</v>
      </c>
      <c r="G8843">
        <v>0.3</v>
      </c>
      <c r="H8843" s="1" t="str">
        <f>HYPERLINK("http://www.weizmann.ac.il/complex/compphys/software/geview/data/figures/218873_at.png","Figure")</f>
        <v>Figure</v>
      </c>
      <c r="I8843">
        <v>1.26</v>
      </c>
      <c r="J8843">
        <v>0.17</v>
      </c>
      <c r="K8843">
        <v>1.03</v>
      </c>
      <c r="L8843">
        <v>0.95</v>
      </c>
      <c r="M8843">
        <v>0.82</v>
      </c>
      <c r="N8843">
        <v>0.22</v>
      </c>
    </row>
    <row r="8844" spans="1:14" x14ac:dyDescent="0.25">
      <c r="A8844" t="s">
        <v>15584</v>
      </c>
      <c r="B8844" t="s">
        <v>15585</v>
      </c>
      <c r="C8844" s="1" t="str">
        <f>HYPERLINK("http://www.genecards.org/cgi-bin/carddisp.pl?gene=RNASE1","GeneCards")</f>
        <v>GeneCards</v>
      </c>
      <c r="D8844" s="1" t="str">
        <f>HYPERLINK("http://genome-euro.ucsc.edu/cgi-bin/hgTracks?position=201785_at","UCSC")</f>
        <v>UCSC</v>
      </c>
      <c r="E8844" s="1" t="str">
        <f>HYPERLINK("http://www.ncbi.nlm.nih.gov/gene/?term=RNASE1","NCBI")</f>
        <v>NCBI</v>
      </c>
      <c r="F8844">
        <v>0.16</v>
      </c>
      <c r="G8844">
        <v>0.3</v>
      </c>
      <c r="H8844" s="1" t="str">
        <f>HYPERLINK("http://www.weizmann.ac.il/complex/compphys/software/geview/data/figures/201785_at.png","Figure")</f>
        <v>Figure</v>
      </c>
      <c r="I8844">
        <v>1.26</v>
      </c>
      <c r="J8844">
        <v>0.13</v>
      </c>
      <c r="K8844">
        <v>1.1100000000000001</v>
      </c>
      <c r="L8844">
        <v>0.56000000000000005</v>
      </c>
      <c r="M8844">
        <v>0.879</v>
      </c>
      <c r="N8844">
        <v>0.45</v>
      </c>
    </row>
    <row r="8845" spans="1:14" x14ac:dyDescent="0.25">
      <c r="A8845" t="s">
        <v>15586</v>
      </c>
      <c r="B8845" t="s">
        <v>15587</v>
      </c>
      <c r="C8845" s="1" t="str">
        <f>HYPERLINK("http://www.genecards.org/cgi-bin/carddisp.pl?gene=DEFA6","GeneCards")</f>
        <v>GeneCards</v>
      </c>
      <c r="D8845" s="1" t="str">
        <f>HYPERLINK("http://genome-euro.ucsc.edu/cgi-bin/hgTracks?position=207814_at","UCSC")</f>
        <v>UCSC</v>
      </c>
      <c r="E8845" s="1" t="str">
        <f>HYPERLINK("http://www.ncbi.nlm.nih.gov/gene/?term=DEFA6","NCBI")</f>
        <v>NCBI</v>
      </c>
      <c r="F8845">
        <v>0.16</v>
      </c>
      <c r="G8845">
        <v>0.3</v>
      </c>
      <c r="H8845" s="1" t="str">
        <f>HYPERLINK("http://www.weizmann.ac.il/complex/compphys/software/geview/data/figures/207814_at.png","Figure")</f>
        <v>Figure</v>
      </c>
      <c r="I8845">
        <v>1.19</v>
      </c>
      <c r="J8845">
        <v>0.14000000000000001</v>
      </c>
      <c r="K8845">
        <v>1.1000000000000001</v>
      </c>
      <c r="L8845">
        <v>0.43</v>
      </c>
      <c r="M8845">
        <v>0.92400000000000004</v>
      </c>
      <c r="N8845">
        <v>0.59</v>
      </c>
    </row>
    <row r="8846" spans="1:14" x14ac:dyDescent="0.25">
      <c r="A8846" t="s">
        <v>15588</v>
      </c>
      <c r="B8846" t="s">
        <v>14210</v>
      </c>
      <c r="C8846" s="1" t="str">
        <f>HYPERLINK("http://www.genecards.org/cgi-bin/carddisp.pl?gene=BLVRA","GeneCards")</f>
        <v>GeneCards</v>
      </c>
      <c r="D8846" s="1" t="str">
        <f>HYPERLINK("http://genome-euro.ucsc.edu/cgi-bin/hgTracks?position=211729_x_at","UCSC")</f>
        <v>UCSC</v>
      </c>
      <c r="E8846" s="1" t="str">
        <f>HYPERLINK("http://www.ncbi.nlm.nih.gov/gene/?term=BLVRA","NCBI")</f>
        <v>NCBI</v>
      </c>
      <c r="F8846">
        <v>0.16</v>
      </c>
      <c r="G8846">
        <v>0.3</v>
      </c>
      <c r="H8846" s="1" t="str">
        <f>HYPERLINK("http://www.weizmann.ac.il/complex/compphys/software/geview/data/figures/211729_x_at.png","Figure")</f>
        <v>Figure</v>
      </c>
      <c r="I8846">
        <v>1.35</v>
      </c>
      <c r="J8846">
        <v>0.18</v>
      </c>
      <c r="K8846">
        <v>1.26</v>
      </c>
      <c r="L8846">
        <v>0.25</v>
      </c>
      <c r="M8846">
        <v>0.93100000000000005</v>
      </c>
      <c r="N8846">
        <v>0.88</v>
      </c>
    </row>
    <row r="8847" spans="1:14" x14ac:dyDescent="0.25">
      <c r="A8847" t="s">
        <v>15589</v>
      </c>
      <c r="B8847" t="s">
        <v>15590</v>
      </c>
      <c r="C8847" s="1" t="str">
        <f>HYPERLINK("http://www.genecards.org/cgi-bin/carddisp.pl?gene=TRMT11","GeneCards")</f>
        <v>GeneCards</v>
      </c>
      <c r="D8847" s="1" t="str">
        <f>HYPERLINK("http://genome-euro.ucsc.edu/cgi-bin/hgTracks?position=218877_s_at","UCSC")</f>
        <v>UCSC</v>
      </c>
      <c r="E8847" s="1" t="str">
        <f>HYPERLINK("http://www.ncbi.nlm.nih.gov/gene/?term=TRMT11","NCBI")</f>
        <v>NCBI</v>
      </c>
      <c r="F8847">
        <v>0.16</v>
      </c>
      <c r="G8847">
        <v>0.3</v>
      </c>
      <c r="H8847" s="1" t="str">
        <f>HYPERLINK("http://www.weizmann.ac.il/complex/compphys/software/geview/data/figures/218877_s_at.png","Figure")</f>
        <v>Figure</v>
      </c>
      <c r="I8847">
        <v>0.61199999999999999</v>
      </c>
      <c r="J8847">
        <v>0.27</v>
      </c>
      <c r="K8847">
        <v>1.08</v>
      </c>
      <c r="L8847">
        <v>0.96</v>
      </c>
      <c r="M8847">
        <v>1.76</v>
      </c>
      <c r="N8847">
        <v>0.15</v>
      </c>
    </row>
    <row r="8848" spans="1:14" x14ac:dyDescent="0.25">
      <c r="A8848" t="s">
        <v>15591</v>
      </c>
      <c r="B8848" t="s">
        <v>7150</v>
      </c>
      <c r="C8848" s="1" t="str">
        <f>HYPERLINK("http://www.genecards.org/cgi-bin/carddisp.pl?gene=FAM13A","GeneCards")</f>
        <v>GeneCards</v>
      </c>
      <c r="D8848" s="1" t="str">
        <f>HYPERLINK("http://genome-euro.ucsc.edu/cgi-bin/hgTracks?position=217047_s_at","UCSC")</f>
        <v>UCSC</v>
      </c>
      <c r="E8848" s="1" t="str">
        <f>HYPERLINK("http://www.ncbi.nlm.nih.gov/gene/?term=FAM13A","NCBI")</f>
        <v>NCBI</v>
      </c>
      <c r="F8848">
        <v>0.16</v>
      </c>
      <c r="G8848">
        <v>0.3</v>
      </c>
      <c r="H8848" s="1" t="str">
        <f>HYPERLINK("http://www.weizmann.ac.il/complex/compphys/software/geview/data/figures/217047_s_at.png","Figure")</f>
        <v>Figure</v>
      </c>
      <c r="I8848">
        <v>0.67700000000000005</v>
      </c>
      <c r="J8848">
        <v>0.15</v>
      </c>
      <c r="K8848">
        <v>0.77400000000000002</v>
      </c>
      <c r="L8848">
        <v>0.32</v>
      </c>
      <c r="M8848">
        <v>1.1399999999999999</v>
      </c>
      <c r="N8848">
        <v>0.75</v>
      </c>
    </row>
    <row r="8849" spans="1:14" x14ac:dyDescent="0.25">
      <c r="A8849" t="s">
        <v>15592</v>
      </c>
      <c r="B8849" t="s">
        <v>15593</v>
      </c>
      <c r="C8849" s="1" t="str">
        <f>HYPERLINK("http://www.genecards.org/cgi-bin/carddisp.pl?gene=TROAP","GeneCards")</f>
        <v>GeneCards</v>
      </c>
      <c r="D8849" s="1" t="str">
        <f>HYPERLINK("http://genome-euro.ucsc.edu/cgi-bin/hgTracks?position=204649_at","UCSC")</f>
        <v>UCSC</v>
      </c>
      <c r="E8849" s="1" t="str">
        <f>HYPERLINK("http://www.ncbi.nlm.nih.gov/gene/?term=TROAP","NCBI")</f>
        <v>NCBI</v>
      </c>
      <c r="F8849">
        <v>0.16</v>
      </c>
      <c r="G8849">
        <v>0.3</v>
      </c>
      <c r="H8849" s="1" t="str">
        <f>HYPERLINK("http://www.weizmann.ac.il/complex/compphys/software/geview/data/figures/204649_at.png","Figure")</f>
        <v>Figure</v>
      </c>
      <c r="I8849">
        <v>1.28</v>
      </c>
      <c r="J8849">
        <v>0.17</v>
      </c>
      <c r="K8849">
        <v>1.2</v>
      </c>
      <c r="L8849">
        <v>0.27</v>
      </c>
      <c r="M8849">
        <v>0.93700000000000006</v>
      </c>
      <c r="N8849">
        <v>0.85</v>
      </c>
    </row>
    <row r="8850" spans="1:14" x14ac:dyDescent="0.25">
      <c r="A8850" t="s">
        <v>15594</v>
      </c>
      <c r="B8850" t="s">
        <v>15595</v>
      </c>
      <c r="C8850" s="1" t="str">
        <f>HYPERLINK("http://www.genecards.org/cgi-bin/carddisp.pl?gene=AKT1","GeneCards")</f>
        <v>GeneCards</v>
      </c>
      <c r="D8850" s="1" t="str">
        <f>HYPERLINK("http://genome-euro.ucsc.edu/cgi-bin/hgTracks?position=207163_s_at","UCSC")</f>
        <v>UCSC</v>
      </c>
      <c r="E8850" s="1" t="str">
        <f>HYPERLINK("http://www.ncbi.nlm.nih.gov/gene/?term=AKT1","NCBI")</f>
        <v>NCBI</v>
      </c>
      <c r="F8850">
        <v>0.16</v>
      </c>
      <c r="G8850">
        <v>0.3</v>
      </c>
      <c r="H8850" s="1" t="str">
        <f>HYPERLINK("http://www.weizmann.ac.il/complex/compphys/software/geview/data/figures/207163_s_at.png","Figure")</f>
        <v>Figure</v>
      </c>
      <c r="I8850">
        <v>0.92400000000000004</v>
      </c>
      <c r="J8850">
        <v>0.73</v>
      </c>
      <c r="K8850">
        <v>1.1200000000000001</v>
      </c>
      <c r="L8850">
        <v>0.44</v>
      </c>
      <c r="M8850">
        <v>1.21</v>
      </c>
      <c r="N8850">
        <v>0.15</v>
      </c>
    </row>
    <row r="8851" spans="1:14" x14ac:dyDescent="0.25">
      <c r="A8851" t="s">
        <v>15596</v>
      </c>
      <c r="B8851" t="s">
        <v>2379</v>
      </c>
      <c r="C8851" s="1" t="str">
        <f>HYPERLINK("http://www.genecards.org/cgi-bin/carddisp.pl?gene=RGS1","GeneCards")</f>
        <v>GeneCards</v>
      </c>
      <c r="D8851" s="1" t="str">
        <f>HYPERLINK("http://genome-euro.ucsc.edu/cgi-bin/hgTracks?position=202988_s_at","UCSC")</f>
        <v>UCSC</v>
      </c>
      <c r="E8851" s="1" t="str">
        <f>HYPERLINK("http://www.ncbi.nlm.nih.gov/gene/?term=RGS1","NCBI")</f>
        <v>NCBI</v>
      </c>
      <c r="F8851">
        <v>0.16</v>
      </c>
      <c r="G8851">
        <v>0.3</v>
      </c>
      <c r="H8851" s="1" t="str">
        <f>HYPERLINK("http://www.weizmann.ac.il/complex/compphys/software/geview/data/figures/202988_s_at.png","Figure")</f>
        <v>Figure</v>
      </c>
      <c r="I8851">
        <v>1</v>
      </c>
      <c r="J8851">
        <v>1</v>
      </c>
      <c r="K8851">
        <v>0.62</v>
      </c>
      <c r="L8851">
        <v>0.21</v>
      </c>
      <c r="M8851">
        <v>0.62</v>
      </c>
      <c r="N8851">
        <v>0.26</v>
      </c>
    </row>
    <row r="8852" spans="1:14" x14ac:dyDescent="0.25">
      <c r="A8852" t="s">
        <v>15597</v>
      </c>
      <c r="B8852" t="s">
        <v>15598</v>
      </c>
      <c r="C8852" s="1" t="str">
        <f>HYPERLINK("http://www.genecards.org/cgi-bin/carddisp.pl?gene=TIE1","GeneCards")</f>
        <v>GeneCards</v>
      </c>
      <c r="D8852" s="1" t="str">
        <f>HYPERLINK("http://genome-euro.ucsc.edu/cgi-bin/hgTracks?position=204468_s_at","UCSC")</f>
        <v>UCSC</v>
      </c>
      <c r="E8852" s="1" t="str">
        <f>HYPERLINK("http://www.ncbi.nlm.nih.gov/gene/?term=TIE1","NCBI")</f>
        <v>NCBI</v>
      </c>
      <c r="F8852">
        <v>0.16</v>
      </c>
      <c r="G8852">
        <v>0.3</v>
      </c>
      <c r="H8852" s="1" t="str">
        <f>HYPERLINK("http://www.weizmann.ac.il/complex/compphys/software/geview/data/figures/204468_s_at.png","Figure")</f>
        <v>Figure</v>
      </c>
      <c r="I8852">
        <v>0.94299999999999995</v>
      </c>
      <c r="J8852">
        <v>0.15</v>
      </c>
      <c r="K8852">
        <v>0.98299999999999998</v>
      </c>
      <c r="L8852">
        <v>0.79</v>
      </c>
      <c r="M8852">
        <v>1.04</v>
      </c>
      <c r="N8852">
        <v>0.3</v>
      </c>
    </row>
    <row r="8853" spans="1:14" x14ac:dyDescent="0.25">
      <c r="A8853" t="s">
        <v>15599</v>
      </c>
      <c r="B8853" t="s">
        <v>15600</v>
      </c>
      <c r="C8853" s="1" t="str">
        <f>HYPERLINK("http://www.genecards.org/cgi-bin/carddisp.pl?gene=CSN3","GeneCards")</f>
        <v>GeneCards</v>
      </c>
      <c r="D8853" s="1" t="str">
        <f>HYPERLINK("http://genome-euro.ucsc.edu/cgi-bin/hgTracks?position=207803_s_at","UCSC")</f>
        <v>UCSC</v>
      </c>
      <c r="E8853" s="1" t="str">
        <f>HYPERLINK("http://www.ncbi.nlm.nih.gov/gene/?term=CSN3","NCBI")</f>
        <v>NCBI</v>
      </c>
      <c r="F8853">
        <v>0.16</v>
      </c>
      <c r="G8853">
        <v>0.3</v>
      </c>
      <c r="H8853" s="1" t="str">
        <f>HYPERLINK("http://www.weizmann.ac.il/complex/compphys/software/geview/data/figures/207803_s_at.png","Figure")</f>
        <v>Figure</v>
      </c>
      <c r="I8853">
        <v>1.06</v>
      </c>
      <c r="J8853">
        <v>0.2</v>
      </c>
      <c r="K8853">
        <v>1.05</v>
      </c>
      <c r="L8853">
        <v>0.22</v>
      </c>
      <c r="M8853">
        <v>0.99199999999999999</v>
      </c>
      <c r="N8853">
        <v>0.96</v>
      </c>
    </row>
    <row r="8854" spans="1:14" x14ac:dyDescent="0.25">
      <c r="A8854" t="s">
        <v>15601</v>
      </c>
      <c r="B8854" t="s">
        <v>15602</v>
      </c>
      <c r="C8854" s="1" t="str">
        <f>HYPERLINK("http://www.genecards.org/cgi-bin/carddisp.pl?gene=SST","GeneCards")</f>
        <v>GeneCards</v>
      </c>
      <c r="D8854" s="1" t="str">
        <f>HYPERLINK("http://genome-euro.ucsc.edu/cgi-bin/hgTracks?position=213921_at","UCSC")</f>
        <v>UCSC</v>
      </c>
      <c r="E8854" s="1" t="str">
        <f>HYPERLINK("http://www.ncbi.nlm.nih.gov/gene/?term=SST","NCBI")</f>
        <v>NCBI</v>
      </c>
      <c r="F8854">
        <v>0.16</v>
      </c>
      <c r="G8854">
        <v>0.3</v>
      </c>
      <c r="H8854" s="1" t="str">
        <f>HYPERLINK("http://www.weizmann.ac.il/complex/compphys/software/geview/data/figures/213921_at.png","Figure")</f>
        <v>Figure</v>
      </c>
      <c r="I8854">
        <v>1.04</v>
      </c>
      <c r="J8854">
        <v>0.26</v>
      </c>
      <c r="K8854">
        <v>1.04</v>
      </c>
      <c r="L8854">
        <v>0.18</v>
      </c>
      <c r="M8854">
        <v>1</v>
      </c>
      <c r="N8854">
        <v>1</v>
      </c>
    </row>
    <row r="8855" spans="1:14" x14ac:dyDescent="0.25">
      <c r="A8855" t="s">
        <v>15603</v>
      </c>
      <c r="B8855" t="s">
        <v>5432</v>
      </c>
      <c r="C8855" s="1" t="str">
        <f>HYPERLINK("http://www.genecards.org/cgi-bin/carddisp.pl?gene=FBXO42","GeneCards")</f>
        <v>GeneCards</v>
      </c>
      <c r="D8855" s="1" t="str">
        <f>HYPERLINK("http://genome-euro.ucsc.edu/cgi-bin/hgTracks?position=221812_at","UCSC")</f>
        <v>UCSC</v>
      </c>
      <c r="E8855" s="1" t="str">
        <f>HYPERLINK("http://www.ncbi.nlm.nih.gov/gene/?term=FBXO42","NCBI")</f>
        <v>NCBI</v>
      </c>
      <c r="F8855">
        <v>0.16</v>
      </c>
      <c r="G8855">
        <v>0.3</v>
      </c>
      <c r="H8855" s="1" t="str">
        <f>HYPERLINK("http://www.weizmann.ac.il/complex/compphys/software/geview/data/figures/221812_at.png","Figure")</f>
        <v>Figure</v>
      </c>
      <c r="I8855">
        <v>1.06</v>
      </c>
      <c r="J8855">
        <v>0.75</v>
      </c>
      <c r="K8855">
        <v>0.91200000000000003</v>
      </c>
      <c r="L8855">
        <v>0.43</v>
      </c>
      <c r="M8855">
        <v>0.85899999999999999</v>
      </c>
      <c r="N8855">
        <v>0.15</v>
      </c>
    </row>
    <row r="8856" spans="1:14" x14ac:dyDescent="0.25">
      <c r="A8856" t="s">
        <v>15604</v>
      </c>
      <c r="B8856" t="s">
        <v>4207</v>
      </c>
      <c r="C8856" s="1" t="str">
        <f>HYPERLINK("http://www.genecards.org/cgi-bin/carddisp.pl?gene=PGRMC2","GeneCards")</f>
        <v>GeneCards</v>
      </c>
      <c r="D8856" s="1" t="str">
        <f>HYPERLINK("http://genome-euro.ucsc.edu/cgi-bin/hgTracks?position=201701_s_at","UCSC")</f>
        <v>UCSC</v>
      </c>
      <c r="E8856" s="1" t="str">
        <f>HYPERLINK("http://www.ncbi.nlm.nih.gov/gene/?term=PGRMC2","NCBI")</f>
        <v>NCBI</v>
      </c>
      <c r="F8856">
        <v>0.16</v>
      </c>
      <c r="G8856">
        <v>0.3</v>
      </c>
      <c r="H8856" s="1" t="str">
        <f>HYPERLINK("http://www.weizmann.ac.il/complex/compphys/software/geview/data/figures/201701_s_at.png","Figure")</f>
        <v>Figure</v>
      </c>
      <c r="I8856">
        <v>0.83499999999999996</v>
      </c>
      <c r="J8856">
        <v>0.14000000000000001</v>
      </c>
      <c r="K8856">
        <v>0.90100000000000002</v>
      </c>
      <c r="L8856">
        <v>0.4</v>
      </c>
      <c r="M8856">
        <v>1.08</v>
      </c>
      <c r="N8856">
        <v>0.64</v>
      </c>
    </row>
    <row r="8857" spans="1:14" x14ac:dyDescent="0.25">
      <c r="A8857" t="s">
        <v>15605</v>
      </c>
      <c r="B8857" t="s">
        <v>15606</v>
      </c>
      <c r="C8857" s="1" t="str">
        <f>HYPERLINK("http://www.genecards.org/cgi-bin/carddisp.pl?gene=WARS","GeneCards")</f>
        <v>GeneCards</v>
      </c>
      <c r="D8857" s="1" t="str">
        <f>HYPERLINK("http://genome-euro.ucsc.edu/cgi-bin/hgTracks?position=200629_at","UCSC")</f>
        <v>UCSC</v>
      </c>
      <c r="E8857" s="1" t="str">
        <f>HYPERLINK("http://www.ncbi.nlm.nih.gov/gene/?term=WARS","NCBI")</f>
        <v>NCBI</v>
      </c>
      <c r="F8857">
        <v>0.16</v>
      </c>
      <c r="G8857">
        <v>0.3</v>
      </c>
      <c r="H8857" s="1" t="str">
        <f>HYPERLINK("http://www.weizmann.ac.il/complex/compphys/software/geview/data/figures/200629_at.png","Figure")</f>
        <v>Figure</v>
      </c>
      <c r="I8857">
        <v>0.74</v>
      </c>
      <c r="J8857">
        <v>0.3</v>
      </c>
      <c r="K8857">
        <v>1.07</v>
      </c>
      <c r="L8857">
        <v>0.92</v>
      </c>
      <c r="M8857">
        <v>1.44</v>
      </c>
      <c r="N8857">
        <v>0.15</v>
      </c>
    </row>
    <row r="8858" spans="1:14" x14ac:dyDescent="0.25">
      <c r="A8858" t="s">
        <v>15607</v>
      </c>
      <c r="B8858" t="s">
        <v>14742</v>
      </c>
      <c r="C8858" s="1" t="str">
        <f>HYPERLINK("http://www.genecards.org/cgi-bin/carddisp.pl?gene=CACNA1G","GeneCards")</f>
        <v>GeneCards</v>
      </c>
      <c r="D8858" s="1" t="str">
        <f>HYPERLINK("http://genome-euro.ucsc.edu/cgi-bin/hgTracks?position=211314_at","UCSC")</f>
        <v>UCSC</v>
      </c>
      <c r="E8858" s="1" t="str">
        <f>HYPERLINK("http://www.ncbi.nlm.nih.gov/gene/?term=CACNA1G","NCBI")</f>
        <v>NCBI</v>
      </c>
      <c r="F8858">
        <v>0.16</v>
      </c>
      <c r="G8858">
        <v>0.3</v>
      </c>
      <c r="H8858" s="1" t="str">
        <f>HYPERLINK("http://www.weizmann.ac.il/complex/compphys/software/geview/data/figures/211314_at.png","Figure")</f>
        <v>Figure</v>
      </c>
      <c r="I8858">
        <v>1.1200000000000001</v>
      </c>
      <c r="J8858">
        <v>0.14000000000000001</v>
      </c>
      <c r="K8858">
        <v>1.06</v>
      </c>
      <c r="L8858">
        <v>0.47</v>
      </c>
      <c r="M8858">
        <v>0.94699999999999995</v>
      </c>
      <c r="N8858">
        <v>0.55000000000000004</v>
      </c>
    </row>
    <row r="8859" spans="1:14" x14ac:dyDescent="0.25">
      <c r="A8859" t="s">
        <v>15608</v>
      </c>
      <c r="B8859" t="s">
        <v>15609</v>
      </c>
      <c r="C8859" s="1" t="str">
        <f>HYPERLINK("http://www.genecards.org/cgi-bin/carddisp.pl?gene=VGF","GeneCards")</f>
        <v>GeneCards</v>
      </c>
      <c r="D8859" s="1" t="str">
        <f>HYPERLINK("http://genome-euro.ucsc.edu/cgi-bin/hgTracks?position=205586_x_at","UCSC")</f>
        <v>UCSC</v>
      </c>
      <c r="E8859" s="1" t="str">
        <f>HYPERLINK("http://www.ncbi.nlm.nih.gov/gene/?term=VGF","NCBI")</f>
        <v>NCBI</v>
      </c>
      <c r="F8859">
        <v>0.16</v>
      </c>
      <c r="G8859">
        <v>0.3</v>
      </c>
      <c r="H8859" s="1" t="str">
        <f>HYPERLINK("http://www.weizmann.ac.il/complex/compphys/software/geview/data/figures/205586_x_at.png","Figure")</f>
        <v>Figure</v>
      </c>
      <c r="I8859">
        <v>1.27</v>
      </c>
      <c r="J8859">
        <v>0.16</v>
      </c>
      <c r="K8859">
        <v>1.05</v>
      </c>
      <c r="L8859">
        <v>0.91</v>
      </c>
      <c r="M8859">
        <v>0.82399999999999995</v>
      </c>
      <c r="N8859">
        <v>0.24</v>
      </c>
    </row>
    <row r="8860" spans="1:14" x14ac:dyDescent="0.25">
      <c r="A8860" t="s">
        <v>15610</v>
      </c>
      <c r="B8860" t="s">
        <v>15611</v>
      </c>
      <c r="C8860" s="1" t="str">
        <f>HYPERLINK("http://www.genecards.org/cgi-bin/carddisp.pl?gene=C16orf68","GeneCards")</f>
        <v>GeneCards</v>
      </c>
      <c r="D8860" s="1" t="str">
        <f>HYPERLINK("http://genome-euro.ucsc.edu/cgi-bin/hgTracks?position=218945_at","UCSC")</f>
        <v>UCSC</v>
      </c>
      <c r="E8860" s="1" t="str">
        <f>HYPERLINK("http://www.ncbi.nlm.nih.gov/gene/?term=C16orf68","NCBI")</f>
        <v>NCBI</v>
      </c>
      <c r="F8860">
        <v>0.16</v>
      </c>
      <c r="G8860">
        <v>0.3</v>
      </c>
      <c r="H8860" s="1" t="str">
        <f>HYPERLINK("http://www.weizmann.ac.il/complex/compphys/software/geview/data/figures/218945_at.png","Figure")</f>
        <v>Figure</v>
      </c>
      <c r="I8860">
        <v>1.1599999999999999</v>
      </c>
      <c r="J8860">
        <v>0.54</v>
      </c>
      <c r="K8860">
        <v>0.88800000000000001</v>
      </c>
      <c r="L8860">
        <v>0.61</v>
      </c>
      <c r="M8860">
        <v>0.76400000000000001</v>
      </c>
      <c r="N8860">
        <v>0.14000000000000001</v>
      </c>
    </row>
    <row r="8861" spans="1:14" x14ac:dyDescent="0.25">
      <c r="A8861" t="s">
        <v>15612</v>
      </c>
      <c r="B8861" t="s">
        <v>15613</v>
      </c>
      <c r="C8861" s="1" t="str">
        <f>HYPERLINK("http://www.genecards.org/cgi-bin/carddisp.pl?gene=TM6SF1","GeneCards")</f>
        <v>GeneCards</v>
      </c>
      <c r="D8861" s="1" t="str">
        <f>HYPERLINK("http://genome-euro.ucsc.edu/cgi-bin/hgTracks?position=219892_at","UCSC")</f>
        <v>UCSC</v>
      </c>
      <c r="E8861" s="1" t="str">
        <f>HYPERLINK("http://www.ncbi.nlm.nih.gov/gene/?term=TM6SF1","NCBI")</f>
        <v>NCBI</v>
      </c>
      <c r="F8861">
        <v>0.16</v>
      </c>
      <c r="G8861">
        <v>0.3</v>
      </c>
      <c r="H8861" s="1" t="str">
        <f>HYPERLINK("http://www.weizmann.ac.il/complex/compphys/software/geview/data/figures/219892_at.png","Figure")</f>
        <v>Figure</v>
      </c>
      <c r="I8861">
        <v>0.94099999999999995</v>
      </c>
      <c r="J8861">
        <v>0.2</v>
      </c>
      <c r="K8861">
        <v>0.997</v>
      </c>
      <c r="L8861">
        <v>0.99</v>
      </c>
      <c r="M8861">
        <v>1.06</v>
      </c>
      <c r="N8861">
        <v>0.19</v>
      </c>
    </row>
    <row r="8862" spans="1:14" x14ac:dyDescent="0.25">
      <c r="A8862" t="s">
        <v>15614</v>
      </c>
      <c r="B8862" t="s">
        <v>12905</v>
      </c>
      <c r="C8862" s="1" t="str">
        <f>HYPERLINK("http://www.genecards.org/cgi-bin/carddisp.pl?gene=AKR7A2","GeneCards")</f>
        <v>GeneCards</v>
      </c>
      <c r="D8862" s="1" t="str">
        <f>HYPERLINK("http://genome-euro.ucsc.edu/cgi-bin/hgTracks?position=202139_at","UCSC")</f>
        <v>UCSC</v>
      </c>
      <c r="E8862" s="1" t="str">
        <f>HYPERLINK("http://www.ncbi.nlm.nih.gov/gene/?term=AKR7A2","NCBI")</f>
        <v>NCBI</v>
      </c>
      <c r="F8862">
        <v>0.16</v>
      </c>
      <c r="G8862">
        <v>0.3</v>
      </c>
      <c r="H8862" s="1" t="str">
        <f>HYPERLINK("http://www.weizmann.ac.il/complex/compphys/software/geview/data/figures/202139_at.png","Figure")</f>
        <v>Figure</v>
      </c>
      <c r="I8862">
        <v>0.96199999999999997</v>
      </c>
      <c r="J8862">
        <v>0.97</v>
      </c>
      <c r="K8862">
        <v>1.27</v>
      </c>
      <c r="L8862">
        <v>0.26</v>
      </c>
      <c r="M8862">
        <v>1.32</v>
      </c>
      <c r="N8862">
        <v>0.21</v>
      </c>
    </row>
    <row r="8863" spans="1:14" x14ac:dyDescent="0.25">
      <c r="A8863" t="s">
        <v>15615</v>
      </c>
      <c r="B8863" t="s">
        <v>15616</v>
      </c>
      <c r="C8863" s="1" t="str">
        <f>HYPERLINK("http://www.genecards.org/cgi-bin/carddisp.pl?gene=BRPF1","GeneCards")</f>
        <v>GeneCards</v>
      </c>
      <c r="D8863" s="1" t="str">
        <f>HYPERLINK("http://genome-euro.ucsc.edu/cgi-bin/hgTracks?position=204481_at","UCSC")</f>
        <v>UCSC</v>
      </c>
      <c r="E8863" s="1" t="str">
        <f>HYPERLINK("http://www.ncbi.nlm.nih.gov/gene/?term=BRPF1","NCBI")</f>
        <v>NCBI</v>
      </c>
      <c r="F8863">
        <v>0.16</v>
      </c>
      <c r="G8863">
        <v>0.3</v>
      </c>
      <c r="H8863" s="1" t="str">
        <f>HYPERLINK("http://www.weizmann.ac.il/complex/compphys/software/geview/data/figures/204481_at.png","Figure")</f>
        <v>Figure</v>
      </c>
      <c r="I8863">
        <v>1.1200000000000001</v>
      </c>
      <c r="J8863">
        <v>0.67</v>
      </c>
      <c r="K8863">
        <v>1.25</v>
      </c>
      <c r="L8863">
        <v>0.14000000000000001</v>
      </c>
      <c r="M8863">
        <v>1.1200000000000001</v>
      </c>
      <c r="N8863">
        <v>0.59</v>
      </c>
    </row>
    <row r="8864" spans="1:14" x14ac:dyDescent="0.25">
      <c r="A8864" t="s">
        <v>15617</v>
      </c>
      <c r="B8864" t="s">
        <v>15618</v>
      </c>
      <c r="C8864" s="1" t="str">
        <f>HYPERLINK("http://www.genecards.org/cgi-bin/carddisp.pl?gene=RAPGEF6","GeneCards")</f>
        <v>GeneCards</v>
      </c>
      <c r="D8864" s="1" t="str">
        <f>HYPERLINK("http://genome-euro.ucsc.edu/cgi-bin/hgTracks?position=219112_at","UCSC")</f>
        <v>UCSC</v>
      </c>
      <c r="E8864" s="1" t="str">
        <f>HYPERLINK("http://www.ncbi.nlm.nih.gov/gene/?term=RAPGEF6","NCBI")</f>
        <v>NCBI</v>
      </c>
      <c r="F8864">
        <v>0.16</v>
      </c>
      <c r="G8864">
        <v>0.3</v>
      </c>
      <c r="H8864" s="1" t="str">
        <f>HYPERLINK("http://www.weizmann.ac.il/complex/compphys/software/geview/data/figures/219112_at.png","Figure")</f>
        <v>Figure</v>
      </c>
      <c r="I8864">
        <v>1.22</v>
      </c>
      <c r="J8864">
        <v>0.67</v>
      </c>
      <c r="K8864">
        <v>0.79500000000000004</v>
      </c>
      <c r="L8864">
        <v>0.49</v>
      </c>
      <c r="M8864">
        <v>0.65300000000000002</v>
      </c>
      <c r="N8864">
        <v>0.14000000000000001</v>
      </c>
    </row>
    <row r="8865" spans="1:14" x14ac:dyDescent="0.25">
      <c r="A8865" t="s">
        <v>15619</v>
      </c>
      <c r="B8865" t="s">
        <v>15620</v>
      </c>
      <c r="C8865" s="1" t="str">
        <f>HYPERLINK("http://www.genecards.org/cgi-bin/carddisp.pl?gene=GOLT1B","GeneCards")</f>
        <v>GeneCards</v>
      </c>
      <c r="D8865" s="1" t="str">
        <f>HYPERLINK("http://genome-euro.ucsc.edu/cgi-bin/hgTracks?position=218193_s_at","UCSC")</f>
        <v>UCSC</v>
      </c>
      <c r="E8865" s="1" t="str">
        <f>HYPERLINK("http://www.ncbi.nlm.nih.gov/gene/?term=GOLT1B","NCBI")</f>
        <v>NCBI</v>
      </c>
      <c r="F8865">
        <v>0.16</v>
      </c>
      <c r="G8865">
        <v>0.3</v>
      </c>
      <c r="H8865" s="1" t="str">
        <f>HYPERLINK("http://www.weizmann.ac.il/complex/compphys/software/geview/data/figures/218193_s_at.png","Figure")</f>
        <v>Figure</v>
      </c>
      <c r="I8865">
        <v>0.83899999999999997</v>
      </c>
      <c r="J8865">
        <v>0.44</v>
      </c>
      <c r="K8865">
        <v>0.77900000000000003</v>
      </c>
      <c r="L8865">
        <v>0.14000000000000001</v>
      </c>
      <c r="M8865">
        <v>0.92800000000000005</v>
      </c>
      <c r="N8865">
        <v>0.84</v>
      </c>
    </row>
    <row r="8866" spans="1:14" x14ac:dyDescent="0.25">
      <c r="A8866" t="s">
        <v>15621</v>
      </c>
      <c r="B8866" t="s">
        <v>15622</v>
      </c>
      <c r="C8866" s="1" t="str">
        <f>HYPERLINK("http://www.genecards.org/cgi-bin/carddisp.pl?gene=PLSCR3","GeneCards")</f>
        <v>GeneCards</v>
      </c>
      <c r="D8866" s="1" t="str">
        <f>HYPERLINK("http://genome-euro.ucsc.edu/cgi-bin/hgTracks?position=218828_at","UCSC")</f>
        <v>UCSC</v>
      </c>
      <c r="E8866" s="1" t="str">
        <f>HYPERLINK("http://www.ncbi.nlm.nih.gov/gene/?term=PLSCR3","NCBI")</f>
        <v>NCBI</v>
      </c>
      <c r="F8866">
        <v>0.16</v>
      </c>
      <c r="G8866">
        <v>0.3</v>
      </c>
      <c r="H8866" s="1" t="str">
        <f>HYPERLINK("http://www.weizmann.ac.il/complex/compphys/software/geview/data/figures/218828_at.png","Figure")</f>
        <v>Figure</v>
      </c>
      <c r="I8866">
        <v>1.3</v>
      </c>
      <c r="J8866">
        <v>0.14000000000000001</v>
      </c>
      <c r="K8866">
        <v>1.0900000000000001</v>
      </c>
      <c r="L8866">
        <v>0.73</v>
      </c>
      <c r="M8866">
        <v>0.83899999999999997</v>
      </c>
      <c r="N8866">
        <v>0.34</v>
      </c>
    </row>
    <row r="8867" spans="1:14" x14ac:dyDescent="0.25">
      <c r="A8867" t="s">
        <v>15623</v>
      </c>
      <c r="B8867" t="s">
        <v>15624</v>
      </c>
      <c r="C8867" s="1" t="str">
        <f>HYPERLINK("http://www.genecards.org/cgi-bin/carddisp.pl?gene=MPDZ","GeneCards")</f>
        <v>GeneCards</v>
      </c>
      <c r="D8867" s="1" t="str">
        <f>HYPERLINK("http://genome-euro.ucsc.edu/cgi-bin/hgTracks?position=205079_s_at","UCSC")</f>
        <v>UCSC</v>
      </c>
      <c r="E8867" s="1" t="str">
        <f>HYPERLINK("http://www.ncbi.nlm.nih.gov/gene/?term=MPDZ","NCBI")</f>
        <v>NCBI</v>
      </c>
      <c r="F8867">
        <v>0.16</v>
      </c>
      <c r="G8867">
        <v>0.3</v>
      </c>
      <c r="H8867" s="1" t="str">
        <f>HYPERLINK("http://www.weizmann.ac.il/complex/compphys/software/geview/data/figures/205079_s_at.png","Figure")</f>
        <v>Figure</v>
      </c>
      <c r="I8867">
        <v>0.94599999999999995</v>
      </c>
      <c r="J8867">
        <v>0.14000000000000001</v>
      </c>
      <c r="K8867">
        <v>0.97899999999999998</v>
      </c>
      <c r="L8867">
        <v>0.66</v>
      </c>
      <c r="M8867">
        <v>1.04</v>
      </c>
      <c r="N8867">
        <v>0.38</v>
      </c>
    </row>
    <row r="8868" spans="1:14" x14ac:dyDescent="0.25">
      <c r="A8868" t="s">
        <v>15625</v>
      </c>
      <c r="B8868" t="s">
        <v>5230</v>
      </c>
      <c r="C8868" s="1" t="str">
        <f>HYPERLINK("http://www.genecards.org/cgi-bin/carddisp.pl?gene=OASL","GeneCards")</f>
        <v>GeneCards</v>
      </c>
      <c r="D8868" s="1" t="str">
        <f>HYPERLINK("http://genome-euro.ucsc.edu/cgi-bin/hgTracks?position=210797_s_at","UCSC")</f>
        <v>UCSC</v>
      </c>
      <c r="E8868" s="1" t="str">
        <f>HYPERLINK("http://www.ncbi.nlm.nih.gov/gene/?term=OASL","NCBI")</f>
        <v>NCBI</v>
      </c>
      <c r="F8868">
        <v>0.16</v>
      </c>
      <c r="G8868">
        <v>0.3</v>
      </c>
      <c r="H8868" s="1" t="str">
        <f>HYPERLINK("http://www.weizmann.ac.il/complex/compphys/software/geview/data/figures/210797_s_at.png","Figure")</f>
        <v>Figure</v>
      </c>
      <c r="I8868">
        <v>1.24</v>
      </c>
      <c r="J8868">
        <v>0.14000000000000001</v>
      </c>
      <c r="K8868">
        <v>1.08</v>
      </c>
      <c r="L8868">
        <v>0.68</v>
      </c>
      <c r="M8868">
        <v>0.872</v>
      </c>
      <c r="N8868">
        <v>0.36</v>
      </c>
    </row>
    <row r="8869" spans="1:14" x14ac:dyDescent="0.25">
      <c r="A8869" t="s">
        <v>15626</v>
      </c>
      <c r="B8869" t="s">
        <v>15627</v>
      </c>
      <c r="C8869" s="1" t="str">
        <f>HYPERLINK("http://www.genecards.org/cgi-bin/carddisp.pl?gene=CSF1R","GeneCards")</f>
        <v>GeneCards</v>
      </c>
      <c r="D8869" s="1" t="str">
        <f>HYPERLINK("http://genome-euro.ucsc.edu/cgi-bin/hgTracks?position=203104_at","UCSC")</f>
        <v>UCSC</v>
      </c>
      <c r="E8869" s="1" t="str">
        <f>HYPERLINK("http://www.ncbi.nlm.nih.gov/gene/?term=CSF1R","NCBI")</f>
        <v>NCBI</v>
      </c>
      <c r="F8869">
        <v>0.16</v>
      </c>
      <c r="G8869">
        <v>0.3</v>
      </c>
      <c r="H8869" s="1" t="str">
        <f>HYPERLINK("http://www.weizmann.ac.il/complex/compphys/software/geview/data/figures/203104_at.png","Figure")</f>
        <v>Figure</v>
      </c>
      <c r="I8869">
        <v>0.88100000000000001</v>
      </c>
      <c r="J8869">
        <v>0.47</v>
      </c>
      <c r="K8869">
        <v>1.08</v>
      </c>
      <c r="L8869">
        <v>0.69</v>
      </c>
      <c r="M8869">
        <v>1.22</v>
      </c>
      <c r="N8869">
        <v>0.14000000000000001</v>
      </c>
    </row>
    <row r="8870" spans="1:14" x14ac:dyDescent="0.25">
      <c r="A8870" t="s">
        <v>15628</v>
      </c>
      <c r="B8870" t="s">
        <v>8771</v>
      </c>
      <c r="C8870" s="1" t="str">
        <f>HYPERLINK("http://www.genecards.org/cgi-bin/carddisp.pl?gene=DST","GeneCards")</f>
        <v>GeneCards</v>
      </c>
      <c r="D8870" s="1" t="str">
        <f>HYPERLINK("http://genome-euro.ucsc.edu/cgi-bin/hgTracks?position=212253_x_at","UCSC")</f>
        <v>UCSC</v>
      </c>
      <c r="E8870" s="1" t="str">
        <f>HYPERLINK("http://www.ncbi.nlm.nih.gov/gene/?term=DST","NCBI")</f>
        <v>NCBI</v>
      </c>
      <c r="F8870">
        <v>0.16</v>
      </c>
      <c r="G8870">
        <v>0.3</v>
      </c>
      <c r="H8870" s="1" t="str">
        <f>HYPERLINK("http://www.weizmann.ac.il/complex/compphys/software/geview/data/figures/212253_x_at.png","Figure")</f>
        <v>Figure</v>
      </c>
      <c r="I8870">
        <v>1.23</v>
      </c>
      <c r="J8870">
        <v>0.14000000000000001</v>
      </c>
      <c r="K8870">
        <v>1.08</v>
      </c>
      <c r="L8870">
        <v>0.65</v>
      </c>
      <c r="M8870">
        <v>0.879</v>
      </c>
      <c r="N8870">
        <v>0.39</v>
      </c>
    </row>
    <row r="8871" spans="1:14" x14ac:dyDescent="0.25">
      <c r="A8871" t="s">
        <v>15629</v>
      </c>
      <c r="B8871" t="s">
        <v>15630</v>
      </c>
      <c r="C8871" s="1" t="str">
        <f>HYPERLINK("http://www.genecards.org/cgi-bin/carddisp.pl?gene=MUC8","GeneCards")</f>
        <v>GeneCards</v>
      </c>
      <c r="D8871" s="1" t="str">
        <f>HYPERLINK("http://genome-euro.ucsc.edu/cgi-bin/hgTracks?position=217295_at","UCSC")</f>
        <v>UCSC</v>
      </c>
      <c r="E8871" s="1" t="str">
        <f>HYPERLINK("http://www.ncbi.nlm.nih.gov/gene/?term=MUC8","NCBI")</f>
        <v>NCBI</v>
      </c>
      <c r="F8871">
        <v>0.16</v>
      </c>
      <c r="G8871">
        <v>0.3</v>
      </c>
      <c r="H8871" s="1" t="str">
        <f>HYPERLINK("http://www.weizmann.ac.il/complex/compphys/software/geview/data/figures/217295_at.png","Figure")</f>
        <v>Figure</v>
      </c>
      <c r="I8871">
        <v>1.1100000000000001</v>
      </c>
      <c r="J8871">
        <v>0.14000000000000001</v>
      </c>
      <c r="K8871">
        <v>1.04</v>
      </c>
      <c r="L8871">
        <v>0.71</v>
      </c>
      <c r="M8871">
        <v>0.93300000000000005</v>
      </c>
      <c r="N8871">
        <v>0.35</v>
      </c>
    </row>
    <row r="8872" spans="1:14" x14ac:dyDescent="0.25">
      <c r="A8872" t="s">
        <v>15631</v>
      </c>
      <c r="B8872" t="s">
        <v>5000</v>
      </c>
      <c r="C8872" s="1" t="str">
        <f>HYPERLINK("http://www.genecards.org/cgi-bin/carddisp.pl?gene=PDX1","GeneCards")</f>
        <v>GeneCards</v>
      </c>
      <c r="D8872" s="1" t="str">
        <f>HYPERLINK("http://genome-euro.ucsc.edu/cgi-bin/hgTracks?position=208559_at","UCSC")</f>
        <v>UCSC</v>
      </c>
      <c r="E8872" s="1" t="str">
        <f>HYPERLINK("http://www.ncbi.nlm.nih.gov/gene/?term=PDX1","NCBI")</f>
        <v>NCBI</v>
      </c>
      <c r="F8872">
        <v>0.16</v>
      </c>
      <c r="G8872">
        <v>0.3</v>
      </c>
      <c r="H8872" s="1" t="str">
        <f>HYPERLINK("http://www.weizmann.ac.il/complex/compphys/software/geview/data/figures/208559_at.png","Figure")</f>
        <v>Figure</v>
      </c>
      <c r="I8872">
        <v>1.1599999999999999</v>
      </c>
      <c r="J8872">
        <v>0.16</v>
      </c>
      <c r="K8872">
        <v>1.03</v>
      </c>
      <c r="L8872">
        <v>0.9</v>
      </c>
      <c r="M8872">
        <v>0.88500000000000001</v>
      </c>
      <c r="N8872">
        <v>0.24</v>
      </c>
    </row>
    <row r="8873" spans="1:14" x14ac:dyDescent="0.25">
      <c r="A8873" t="s">
        <v>15632</v>
      </c>
      <c r="B8873" t="s">
        <v>15633</v>
      </c>
      <c r="C8873" s="1" t="str">
        <f>HYPERLINK("http://www.genecards.org/cgi-bin/carddisp.pl?gene=ROD1","GeneCards")</f>
        <v>GeneCards</v>
      </c>
      <c r="D8873" s="1" t="str">
        <f>HYPERLINK("http://genome-euro.ucsc.edu/cgi-bin/hgTracks?position=214698_at","UCSC")</f>
        <v>UCSC</v>
      </c>
      <c r="E8873" s="1" t="str">
        <f>HYPERLINK("http://www.ncbi.nlm.nih.gov/gene/?term=ROD1","NCBI")</f>
        <v>NCBI</v>
      </c>
      <c r="F8873">
        <v>0.16</v>
      </c>
      <c r="G8873">
        <v>0.3</v>
      </c>
      <c r="H8873" s="1" t="str">
        <f>HYPERLINK("http://www.weizmann.ac.il/complex/compphys/software/geview/data/figures/214698_at.png","Figure")</f>
        <v>Figure</v>
      </c>
      <c r="I8873">
        <v>1.1200000000000001</v>
      </c>
      <c r="J8873">
        <v>0.23</v>
      </c>
      <c r="K8873">
        <v>1.1100000000000001</v>
      </c>
      <c r="L8873">
        <v>0.19</v>
      </c>
      <c r="M8873">
        <v>0.99199999999999999</v>
      </c>
      <c r="N8873">
        <v>0.99</v>
      </c>
    </row>
    <row r="8874" spans="1:14" x14ac:dyDescent="0.25">
      <c r="A8874" t="s">
        <v>15634</v>
      </c>
      <c r="B8874" t="s">
        <v>15635</v>
      </c>
      <c r="C8874" s="1" t="str">
        <f>HYPERLINK("http://www.genecards.org/cgi-bin/carddisp.pl?gene=YIPF5","GeneCards")</f>
        <v>GeneCards</v>
      </c>
      <c r="D8874" s="1" t="str">
        <f>HYPERLINK("http://genome-euro.ucsc.edu/cgi-bin/hgTracks?position=221423_s_at","UCSC")</f>
        <v>UCSC</v>
      </c>
      <c r="E8874" s="1" t="str">
        <f>HYPERLINK("http://www.ncbi.nlm.nih.gov/gene/?term=YIPF5","NCBI")</f>
        <v>NCBI</v>
      </c>
      <c r="F8874">
        <v>0.16</v>
      </c>
      <c r="G8874">
        <v>0.3</v>
      </c>
      <c r="H8874" s="1" t="str">
        <f>HYPERLINK("http://www.weizmann.ac.il/complex/compphys/software/geview/data/figures/221423_s_at.png","Figure")</f>
        <v>Figure</v>
      </c>
      <c r="I8874">
        <v>0.878</v>
      </c>
      <c r="J8874">
        <v>0.37</v>
      </c>
      <c r="K8874">
        <v>0.84899999999999998</v>
      </c>
      <c r="L8874">
        <v>0.15</v>
      </c>
      <c r="M8874">
        <v>0.96699999999999997</v>
      </c>
      <c r="N8874">
        <v>0.92</v>
      </c>
    </row>
    <row r="8875" spans="1:14" x14ac:dyDescent="0.25">
      <c r="A8875" t="s">
        <v>15636</v>
      </c>
      <c r="B8875" t="s">
        <v>15637</v>
      </c>
      <c r="C8875" s="1" t="str">
        <f>HYPERLINK("http://www.genecards.org/cgi-bin/carddisp.pl?gene=TIMM44","GeneCards")</f>
        <v>GeneCards</v>
      </c>
      <c r="D8875" s="1" t="str">
        <f>HYPERLINK("http://genome-euro.ucsc.edu/cgi-bin/hgTracks?position=203092_at","UCSC")</f>
        <v>UCSC</v>
      </c>
      <c r="E8875" s="1" t="str">
        <f>HYPERLINK("http://www.ncbi.nlm.nih.gov/gene/?term=TIMM44","NCBI")</f>
        <v>NCBI</v>
      </c>
      <c r="F8875">
        <v>0.16</v>
      </c>
      <c r="G8875">
        <v>0.3</v>
      </c>
      <c r="H8875" s="1" t="str">
        <f>HYPERLINK("http://www.weizmann.ac.il/complex/compphys/software/geview/data/figures/203092_at.png","Figure")</f>
        <v>Figure</v>
      </c>
      <c r="I8875">
        <v>1.1000000000000001</v>
      </c>
      <c r="J8875">
        <v>0.65</v>
      </c>
      <c r="K8875">
        <v>0.90400000000000003</v>
      </c>
      <c r="L8875">
        <v>0.51</v>
      </c>
      <c r="M8875">
        <v>0.82599999999999996</v>
      </c>
      <c r="N8875">
        <v>0.14000000000000001</v>
      </c>
    </row>
    <row r="8876" spans="1:14" x14ac:dyDescent="0.25">
      <c r="A8876" t="s">
        <v>15638</v>
      </c>
      <c r="B8876" t="s">
        <v>15639</v>
      </c>
      <c r="C8876" s="1" t="str">
        <f>HYPERLINK("http://www.genecards.org/cgi-bin/carddisp.pl?gene=CD2AP","GeneCards")</f>
        <v>GeneCards</v>
      </c>
      <c r="D8876" s="1" t="str">
        <f>HYPERLINK("http://genome-euro.ucsc.edu/cgi-bin/hgTracks?position=203593_at","UCSC")</f>
        <v>UCSC</v>
      </c>
      <c r="E8876" s="1" t="str">
        <f>HYPERLINK("http://www.ncbi.nlm.nih.gov/gene/?term=CD2AP","NCBI")</f>
        <v>NCBI</v>
      </c>
      <c r="F8876">
        <v>0.16</v>
      </c>
      <c r="G8876">
        <v>0.3</v>
      </c>
      <c r="H8876" s="1" t="str">
        <f>HYPERLINK("http://www.weizmann.ac.il/complex/compphys/software/geview/data/figures/203593_at.png","Figure")</f>
        <v>Figure</v>
      </c>
      <c r="I8876">
        <v>0.55500000000000005</v>
      </c>
      <c r="J8876">
        <v>0.24</v>
      </c>
      <c r="K8876">
        <v>0.56399999999999995</v>
      </c>
      <c r="L8876">
        <v>0.18</v>
      </c>
      <c r="M8876">
        <v>1.02</v>
      </c>
      <c r="N8876">
        <v>1</v>
      </c>
    </row>
    <row r="8877" spans="1:14" x14ac:dyDescent="0.25">
      <c r="A8877" t="s">
        <v>15640</v>
      </c>
      <c r="B8877" t="s">
        <v>15641</v>
      </c>
      <c r="C8877" s="1" t="str">
        <f>HYPERLINK("http://www.genecards.org/cgi-bin/carddisp.pl?gene=TCF15","GeneCards")</f>
        <v>GeneCards</v>
      </c>
      <c r="D8877" s="1" t="str">
        <f>HYPERLINK("http://genome-euro.ucsc.edu/cgi-bin/hgTracks?position=207306_at","UCSC")</f>
        <v>UCSC</v>
      </c>
      <c r="E8877" s="1" t="str">
        <f>HYPERLINK("http://www.ncbi.nlm.nih.gov/gene/?term=TCF15","NCBI")</f>
        <v>NCBI</v>
      </c>
      <c r="F8877">
        <v>0.16</v>
      </c>
      <c r="G8877">
        <v>0.3</v>
      </c>
      <c r="H8877" s="1" t="str">
        <f>HYPERLINK("http://www.weizmann.ac.il/complex/compphys/software/geview/data/figures/207306_at.png","Figure")</f>
        <v>Figure</v>
      </c>
      <c r="I8877">
        <v>1.37</v>
      </c>
      <c r="J8877">
        <v>0.14000000000000001</v>
      </c>
      <c r="K8877">
        <v>1.2</v>
      </c>
      <c r="L8877">
        <v>0.38</v>
      </c>
      <c r="M8877">
        <v>0.879</v>
      </c>
      <c r="N8877">
        <v>0.65</v>
      </c>
    </row>
    <row r="8878" spans="1:14" x14ac:dyDescent="0.25">
      <c r="A8878" t="s">
        <v>15642</v>
      </c>
      <c r="B8878" t="s">
        <v>15643</v>
      </c>
      <c r="C8878" s="1" t="str">
        <f>HYPERLINK("http://www.genecards.org/cgi-bin/carddisp.pl?gene=WNK1","GeneCards")</f>
        <v>GeneCards</v>
      </c>
      <c r="D8878" s="1" t="str">
        <f>HYPERLINK("http://genome-euro.ucsc.edu/cgi-bin/hgTracks?position=211994_at","UCSC")</f>
        <v>UCSC</v>
      </c>
      <c r="E8878" s="1" t="str">
        <f>HYPERLINK("http://www.ncbi.nlm.nih.gov/gene/?term=WNK1","NCBI")</f>
        <v>NCBI</v>
      </c>
      <c r="F8878">
        <v>0.16</v>
      </c>
      <c r="G8878">
        <v>0.3</v>
      </c>
      <c r="H8878" s="1" t="str">
        <f>HYPERLINK("http://www.weizmann.ac.il/complex/compphys/software/geview/data/figures/211994_at.png","Figure")</f>
        <v>Figure</v>
      </c>
      <c r="I8878">
        <v>0.82299999999999995</v>
      </c>
      <c r="J8878">
        <v>0.56999999999999995</v>
      </c>
      <c r="K8878">
        <v>1.18</v>
      </c>
      <c r="L8878">
        <v>0.59</v>
      </c>
      <c r="M8878">
        <v>1.43</v>
      </c>
      <c r="N8878">
        <v>0.14000000000000001</v>
      </c>
    </row>
    <row r="8879" spans="1:14" x14ac:dyDescent="0.25">
      <c r="A8879" t="s">
        <v>15644</v>
      </c>
      <c r="B8879" t="s">
        <v>15645</v>
      </c>
      <c r="C8879" s="1" t="str">
        <f>HYPERLINK("http://www.genecards.org/cgi-bin/carddisp.pl?gene=C1orf183","GeneCards")</f>
        <v>GeneCards</v>
      </c>
      <c r="D8879" s="1" t="str">
        <f>HYPERLINK("http://genome-euro.ucsc.edu/cgi-bin/hgTracks?position=220476_s_at","UCSC")</f>
        <v>UCSC</v>
      </c>
      <c r="E8879" s="1" t="str">
        <f>HYPERLINK("http://www.ncbi.nlm.nih.gov/gene/?term=C1orf183","NCBI")</f>
        <v>NCBI</v>
      </c>
      <c r="F8879">
        <v>0.16</v>
      </c>
      <c r="G8879">
        <v>0.3</v>
      </c>
      <c r="H8879" s="1" t="str">
        <f>HYPERLINK("http://www.weizmann.ac.il/complex/compphys/software/geview/data/figures/220476_s_at.png","Figure")</f>
        <v>Figure</v>
      </c>
      <c r="I8879">
        <v>1.21</v>
      </c>
      <c r="J8879">
        <v>0.14000000000000001</v>
      </c>
      <c r="K8879">
        <v>1.08</v>
      </c>
      <c r="L8879">
        <v>0.62</v>
      </c>
      <c r="M8879">
        <v>0.89200000000000002</v>
      </c>
      <c r="N8879">
        <v>0.41</v>
      </c>
    </row>
    <row r="8880" spans="1:14" x14ac:dyDescent="0.25">
      <c r="A8880" t="s">
        <v>15646</v>
      </c>
      <c r="B8880" t="s">
        <v>15647</v>
      </c>
      <c r="C8880" s="1" t="str">
        <f>HYPERLINK("http://www.genecards.org/cgi-bin/carddisp.pl?gene=GCNT4","GeneCards")</f>
        <v>GeneCards</v>
      </c>
      <c r="D8880" s="1" t="str">
        <f>HYPERLINK("http://genome-euro.ucsc.edu/cgi-bin/hgTracks?position=220831_at","UCSC")</f>
        <v>UCSC</v>
      </c>
      <c r="E8880" s="1" t="str">
        <f>HYPERLINK("http://www.ncbi.nlm.nih.gov/gene/?term=GCNT4","NCBI")</f>
        <v>NCBI</v>
      </c>
      <c r="F8880">
        <v>0.16</v>
      </c>
      <c r="G8880">
        <v>0.3</v>
      </c>
      <c r="H8880" s="1" t="str">
        <f>HYPERLINK("http://www.weizmann.ac.il/complex/compphys/software/geview/data/figures/220831_at.png","Figure")</f>
        <v>Figure</v>
      </c>
      <c r="I8880">
        <v>1.1299999999999999</v>
      </c>
      <c r="J8880">
        <v>0.17</v>
      </c>
      <c r="K8880">
        <v>1.02</v>
      </c>
      <c r="L8880">
        <v>0.94</v>
      </c>
      <c r="M8880">
        <v>0.89900000000000002</v>
      </c>
      <c r="N8880">
        <v>0.23</v>
      </c>
    </row>
    <row r="8881" spans="1:14" x14ac:dyDescent="0.25">
      <c r="A8881" t="s">
        <v>15648</v>
      </c>
      <c r="B8881" t="s">
        <v>9051</v>
      </c>
      <c r="C8881" s="1" t="str">
        <f>HYPERLINK("http://www.genecards.org/cgi-bin/carddisp.pl?gene=C20orf191 /// LOC100131704 /// NCOR1","GeneCards")</f>
        <v>GeneCards</v>
      </c>
      <c r="D8881" s="1" t="str">
        <f>HYPERLINK("http://genome-euro.ucsc.edu/cgi-bin/hgTracks?position=200855_at","UCSC")</f>
        <v>UCSC</v>
      </c>
      <c r="E8881" s="1" t="str">
        <f>HYPERLINK("http://www.ncbi.nlm.nih.gov/gene/?term=C20orf191 /// LOC100131704 /// NCOR1","NCBI")</f>
        <v>NCBI</v>
      </c>
      <c r="F8881">
        <v>0.16</v>
      </c>
      <c r="G8881">
        <v>0.3</v>
      </c>
      <c r="H8881" s="1" t="str">
        <f>HYPERLINK("http://www.weizmann.ac.il/complex/compphys/software/geview/data/figures/200855_at.png","Figure")</f>
        <v>Figure</v>
      </c>
      <c r="I8881">
        <v>1.05</v>
      </c>
      <c r="J8881">
        <v>0.7</v>
      </c>
      <c r="K8881">
        <v>1.1200000000000001</v>
      </c>
      <c r="L8881">
        <v>0.14000000000000001</v>
      </c>
      <c r="M8881">
        <v>1.06</v>
      </c>
      <c r="N8881">
        <v>0.56999999999999995</v>
      </c>
    </row>
    <row r="8882" spans="1:14" x14ac:dyDescent="0.25">
      <c r="A8882" t="s">
        <v>15649</v>
      </c>
      <c r="B8882" t="s">
        <v>14607</v>
      </c>
      <c r="C8882" s="1" t="str">
        <f>HYPERLINK("http://www.genecards.org/cgi-bin/carddisp.pl?gene=TRD@","GeneCards")</f>
        <v>GeneCards</v>
      </c>
      <c r="D8882" s="1" t="str">
        <f>HYPERLINK("http://genome-euro.ucsc.edu/cgi-bin/hgTracks?position=217397_at","UCSC")</f>
        <v>UCSC</v>
      </c>
      <c r="E8882" s="1" t="str">
        <f>HYPERLINK("http://www.ncbi.nlm.nih.gov/gene/?term=TRD@","NCBI")</f>
        <v>NCBI</v>
      </c>
      <c r="F8882">
        <v>0.16</v>
      </c>
      <c r="G8882">
        <v>0.3</v>
      </c>
      <c r="H8882" s="1" t="str">
        <f>HYPERLINK("http://www.weizmann.ac.il/complex/compphys/software/geview/data/figures/217397_at.png","Figure")</f>
        <v>Figure</v>
      </c>
      <c r="I8882">
        <v>1.1299999999999999</v>
      </c>
      <c r="J8882">
        <v>0.28000000000000003</v>
      </c>
      <c r="K8882">
        <v>0.98</v>
      </c>
      <c r="L8882">
        <v>0.95</v>
      </c>
      <c r="M8882">
        <v>0.87</v>
      </c>
      <c r="N8882">
        <v>0.15</v>
      </c>
    </row>
    <row r="8883" spans="1:14" x14ac:dyDescent="0.25">
      <c r="A8883" t="s">
        <v>15650</v>
      </c>
      <c r="B8883" t="s">
        <v>9242</v>
      </c>
      <c r="C8883" s="1" t="str">
        <f>HYPERLINK("http://www.genecards.org/cgi-bin/carddisp.pl?gene=CDC42EP4","GeneCards")</f>
        <v>GeneCards</v>
      </c>
      <c r="D8883" s="1" t="str">
        <f>HYPERLINK("http://genome-euro.ucsc.edu/cgi-bin/hgTracks?position=218063_s_at","UCSC")</f>
        <v>UCSC</v>
      </c>
      <c r="E8883" s="1" t="str">
        <f>HYPERLINK("http://www.ncbi.nlm.nih.gov/gene/?term=CDC42EP4","NCBI")</f>
        <v>NCBI</v>
      </c>
      <c r="F8883">
        <v>0.16</v>
      </c>
      <c r="G8883">
        <v>0.3</v>
      </c>
      <c r="H8883" s="1" t="str">
        <f>HYPERLINK("http://www.weizmann.ac.il/complex/compphys/software/geview/data/figures/218063_s_at.png","Figure")</f>
        <v>Figure</v>
      </c>
      <c r="I8883">
        <v>1.18</v>
      </c>
      <c r="J8883">
        <v>0.15</v>
      </c>
      <c r="K8883">
        <v>1.1100000000000001</v>
      </c>
      <c r="L8883">
        <v>0.35</v>
      </c>
      <c r="M8883">
        <v>0.94</v>
      </c>
      <c r="N8883">
        <v>0.71</v>
      </c>
    </row>
    <row r="8884" spans="1:14" x14ac:dyDescent="0.25">
      <c r="A8884" t="s">
        <v>15651</v>
      </c>
      <c r="B8884" t="s">
        <v>15652</v>
      </c>
      <c r="C8884" s="1" t="str">
        <f>HYPERLINK("http://www.genecards.org/cgi-bin/carddisp.pl?gene=TBC1D10B","GeneCards")</f>
        <v>GeneCards</v>
      </c>
      <c r="D8884" s="1" t="str">
        <f>HYPERLINK("http://genome-euro.ucsc.edu/cgi-bin/hgTracks?position=220947_s_at","UCSC")</f>
        <v>UCSC</v>
      </c>
      <c r="E8884" s="1" t="str">
        <f>HYPERLINK("http://www.ncbi.nlm.nih.gov/gene/?term=TBC1D10B","NCBI")</f>
        <v>NCBI</v>
      </c>
      <c r="F8884">
        <v>0.16</v>
      </c>
      <c r="G8884">
        <v>0.3</v>
      </c>
      <c r="H8884" s="1" t="str">
        <f>HYPERLINK("http://www.weizmann.ac.il/complex/compphys/software/geview/data/figures/220947_s_at.png","Figure")</f>
        <v>Figure</v>
      </c>
      <c r="I8884">
        <v>1.1299999999999999</v>
      </c>
      <c r="J8884">
        <v>0.7</v>
      </c>
      <c r="K8884">
        <v>1.31</v>
      </c>
      <c r="L8884">
        <v>0.14000000000000001</v>
      </c>
      <c r="M8884">
        <v>1.1599999999999999</v>
      </c>
      <c r="N8884">
        <v>0.56999999999999995</v>
      </c>
    </row>
    <row r="8885" spans="1:14" x14ac:dyDescent="0.25">
      <c r="A8885" t="s">
        <v>15653</v>
      </c>
      <c r="B8885" t="s">
        <v>13779</v>
      </c>
      <c r="C8885" s="1" t="str">
        <f>HYPERLINK("http://www.genecards.org/cgi-bin/carddisp.pl?gene=TUBA1B","GeneCards")</f>
        <v>GeneCards</v>
      </c>
      <c r="D8885" s="1" t="str">
        <f>HYPERLINK("http://genome-euro.ucsc.edu/cgi-bin/hgTracks?position=211072_x_at","UCSC")</f>
        <v>UCSC</v>
      </c>
      <c r="E8885" s="1" t="str">
        <f>HYPERLINK("http://www.ncbi.nlm.nih.gov/gene/?term=TUBA1B","NCBI")</f>
        <v>NCBI</v>
      </c>
      <c r="F8885">
        <v>0.16</v>
      </c>
      <c r="G8885">
        <v>0.3</v>
      </c>
      <c r="H8885" s="1" t="str">
        <f>HYPERLINK("http://www.weizmann.ac.il/complex/compphys/software/geview/data/figures/211072_x_at.png","Figure")</f>
        <v>Figure</v>
      </c>
      <c r="I8885">
        <v>1.26</v>
      </c>
      <c r="J8885">
        <v>0.53</v>
      </c>
      <c r="K8885">
        <v>1.46</v>
      </c>
      <c r="L8885">
        <v>0.14000000000000001</v>
      </c>
      <c r="M8885">
        <v>1.1599999999999999</v>
      </c>
      <c r="N8885">
        <v>0.74</v>
      </c>
    </row>
    <row r="8886" spans="1:14" x14ac:dyDescent="0.25">
      <c r="A8886" t="s">
        <v>15654</v>
      </c>
      <c r="B8886" t="s">
        <v>6863</v>
      </c>
      <c r="C8886" s="1" t="str">
        <f>HYPERLINK("http://www.genecards.org/cgi-bin/carddisp.pl?gene=NAGA","GeneCards")</f>
        <v>GeneCards</v>
      </c>
      <c r="D8886" s="1" t="str">
        <f>HYPERLINK("http://genome-euro.ucsc.edu/cgi-bin/hgTracks?position=202944_at","UCSC")</f>
        <v>UCSC</v>
      </c>
      <c r="E8886" s="1" t="str">
        <f>HYPERLINK("http://www.ncbi.nlm.nih.gov/gene/?term=NAGA","NCBI")</f>
        <v>NCBI</v>
      </c>
      <c r="F8886">
        <v>0.16</v>
      </c>
      <c r="G8886">
        <v>0.3</v>
      </c>
      <c r="H8886" s="1" t="str">
        <f>HYPERLINK("http://www.weizmann.ac.il/complex/compphys/software/geview/data/figures/202944_at.png","Figure")</f>
        <v>Figure</v>
      </c>
      <c r="I8886">
        <v>0.92300000000000004</v>
      </c>
      <c r="J8886">
        <v>0.64</v>
      </c>
      <c r="K8886">
        <v>1.0900000000000001</v>
      </c>
      <c r="L8886">
        <v>0.52</v>
      </c>
      <c r="M8886">
        <v>1.18</v>
      </c>
      <c r="N8886">
        <v>0.14000000000000001</v>
      </c>
    </row>
    <row r="8887" spans="1:14" x14ac:dyDescent="0.25">
      <c r="A8887" t="s">
        <v>15655</v>
      </c>
      <c r="B8887" t="s">
        <v>15656</v>
      </c>
      <c r="C8887" s="1" t="str">
        <f>HYPERLINK("http://www.genecards.org/cgi-bin/carddisp.pl?gene=INHBC","GeneCards")</f>
        <v>GeneCards</v>
      </c>
      <c r="D8887" s="1" t="str">
        <f>HYPERLINK("http://genome-euro.ucsc.edu/cgi-bin/hgTracks?position=207687_at","UCSC")</f>
        <v>UCSC</v>
      </c>
      <c r="E8887" s="1" t="str">
        <f>HYPERLINK("http://www.ncbi.nlm.nih.gov/gene/?term=INHBC","NCBI")</f>
        <v>NCBI</v>
      </c>
      <c r="F8887">
        <v>0.16</v>
      </c>
      <c r="G8887">
        <v>0.3</v>
      </c>
      <c r="H8887" s="1" t="str">
        <f>HYPERLINK("http://www.weizmann.ac.il/complex/compphys/software/geview/data/figures/207687_at.png","Figure")</f>
        <v>Figure</v>
      </c>
      <c r="I8887">
        <v>1.18</v>
      </c>
      <c r="J8887">
        <v>0.15</v>
      </c>
      <c r="K8887">
        <v>1.05</v>
      </c>
      <c r="L8887">
        <v>0.82</v>
      </c>
      <c r="M8887">
        <v>0.88300000000000001</v>
      </c>
      <c r="N8887">
        <v>0.28999999999999998</v>
      </c>
    </row>
    <row r="8888" spans="1:14" x14ac:dyDescent="0.25">
      <c r="A8888" t="s">
        <v>15657</v>
      </c>
      <c r="B8888" t="s">
        <v>15658</v>
      </c>
      <c r="C8888" s="1" t="str">
        <f>HYPERLINK("http://www.genecards.org/cgi-bin/carddisp.pl?gene=CPA2","GeneCards")</f>
        <v>GeneCards</v>
      </c>
      <c r="D8888" s="1" t="str">
        <f>HYPERLINK("http://genome-euro.ucsc.edu/cgi-bin/hgTracks?position=206212_at","UCSC")</f>
        <v>UCSC</v>
      </c>
      <c r="E8888" s="1" t="str">
        <f>HYPERLINK("http://www.ncbi.nlm.nih.gov/gene/?term=CPA2","NCBI")</f>
        <v>NCBI</v>
      </c>
      <c r="F8888">
        <v>0.16</v>
      </c>
      <c r="G8888">
        <v>0.3</v>
      </c>
      <c r="H8888" s="1" t="str">
        <f>HYPERLINK("http://www.weizmann.ac.il/complex/compphys/software/geview/data/figures/206212_at.png","Figure")</f>
        <v>Figure</v>
      </c>
      <c r="I8888">
        <v>1.01</v>
      </c>
      <c r="J8888">
        <v>0.97</v>
      </c>
      <c r="K8888">
        <v>0.91800000000000004</v>
      </c>
      <c r="L8888">
        <v>0.26</v>
      </c>
      <c r="M8888">
        <v>0.90600000000000003</v>
      </c>
      <c r="N8888">
        <v>0.21</v>
      </c>
    </row>
    <row r="8889" spans="1:14" x14ac:dyDescent="0.25">
      <c r="A8889" t="s">
        <v>15659</v>
      </c>
      <c r="B8889" t="s">
        <v>15660</v>
      </c>
      <c r="C8889" s="1" t="str">
        <f>HYPERLINK("http://www.genecards.org/cgi-bin/carddisp.pl?gene=NBPF10 /// NBPF11 /// NBPF12 /// NBPF14 /// NBPF15 /// NBPF16 /// NBPF20 /// NBPF8 /// RP11-94I2.2","GeneCards")</f>
        <v>GeneCards</v>
      </c>
      <c r="D8889" s="1" t="str">
        <f>HYPERLINK("http://genome-euro.ucsc.edu/cgi-bin/hgTracks?position=201104_x_at","UCSC")</f>
        <v>UCSC</v>
      </c>
      <c r="E8889" s="1" t="str">
        <f>HYPERLINK("http://www.ncbi.nlm.nih.gov/gene/?term=NBPF10 /// NBPF11 /// NBPF12 /// NBPF14 /// NBPF15 /// NBPF16 /// NBPF20 /// NBPF8 /// RP11-94I2.2","NCBI")</f>
        <v>NCBI</v>
      </c>
      <c r="F8889">
        <v>0.16</v>
      </c>
      <c r="G8889">
        <v>0.3</v>
      </c>
      <c r="H8889" s="1" t="str">
        <f>HYPERLINK("http://www.weizmann.ac.il/complex/compphys/software/geview/data/figures/201104_x_at.png","Figure")</f>
        <v>Figure</v>
      </c>
      <c r="I8889">
        <v>1.3</v>
      </c>
      <c r="J8889">
        <v>0.15</v>
      </c>
      <c r="K8889">
        <v>1.07</v>
      </c>
      <c r="L8889">
        <v>0.83</v>
      </c>
      <c r="M8889">
        <v>0.82299999999999995</v>
      </c>
      <c r="N8889">
        <v>0.28000000000000003</v>
      </c>
    </row>
    <row r="8890" spans="1:14" x14ac:dyDescent="0.25">
      <c r="A8890" t="s">
        <v>15661</v>
      </c>
      <c r="B8890" t="s">
        <v>15662</v>
      </c>
      <c r="C8890" s="1" t="str">
        <f>HYPERLINK("http://www.genecards.org/cgi-bin/carddisp.pl?gene=NKIRAS2","GeneCards")</f>
        <v>GeneCards</v>
      </c>
      <c r="D8890" s="1" t="str">
        <f>HYPERLINK("http://genome-euro.ucsc.edu/cgi-bin/hgTracks?position=222105_s_at","UCSC")</f>
        <v>UCSC</v>
      </c>
      <c r="E8890" s="1" t="str">
        <f>HYPERLINK("http://www.ncbi.nlm.nih.gov/gene/?term=NKIRAS2","NCBI")</f>
        <v>NCBI</v>
      </c>
      <c r="F8890">
        <v>0.16</v>
      </c>
      <c r="G8890">
        <v>0.3</v>
      </c>
      <c r="H8890" s="1" t="str">
        <f>HYPERLINK("http://www.weizmann.ac.il/complex/compphys/software/geview/data/figures/222105_s_at.png","Figure")</f>
        <v>Figure</v>
      </c>
      <c r="I8890">
        <v>0.76800000000000002</v>
      </c>
      <c r="J8890">
        <v>0.14000000000000001</v>
      </c>
      <c r="K8890">
        <v>0.89500000000000002</v>
      </c>
      <c r="L8890">
        <v>0.6</v>
      </c>
      <c r="M8890">
        <v>1.17</v>
      </c>
      <c r="N8890">
        <v>0.43</v>
      </c>
    </row>
    <row r="8891" spans="1:14" x14ac:dyDescent="0.25">
      <c r="A8891" t="s">
        <v>15663</v>
      </c>
      <c r="B8891" t="s">
        <v>3758</v>
      </c>
      <c r="C8891" s="1" t="str">
        <f>HYPERLINK("http://www.genecards.org/cgi-bin/carddisp.pl?gene=CAPRIN1","GeneCards")</f>
        <v>GeneCards</v>
      </c>
      <c r="D8891" s="1" t="str">
        <f>HYPERLINK("http://genome-euro.ucsc.edu/cgi-bin/hgTracks?position=200723_s_at","UCSC")</f>
        <v>UCSC</v>
      </c>
      <c r="E8891" s="1" t="str">
        <f>HYPERLINK("http://www.ncbi.nlm.nih.gov/gene/?term=CAPRIN1","NCBI")</f>
        <v>NCBI</v>
      </c>
      <c r="F8891">
        <v>0.16</v>
      </c>
      <c r="G8891">
        <v>0.3</v>
      </c>
      <c r="H8891" s="1" t="str">
        <f>HYPERLINK("http://www.weizmann.ac.il/complex/compphys/software/geview/data/figures/200723_s_at.png","Figure")</f>
        <v>Figure</v>
      </c>
      <c r="I8891">
        <v>1.26</v>
      </c>
      <c r="J8891">
        <v>0.18</v>
      </c>
      <c r="K8891">
        <v>1.2</v>
      </c>
      <c r="L8891">
        <v>0.25</v>
      </c>
      <c r="M8891">
        <v>0.95099999999999996</v>
      </c>
      <c r="N8891">
        <v>0.9</v>
      </c>
    </row>
    <row r="8892" spans="1:14" x14ac:dyDescent="0.25">
      <c r="A8892" t="s">
        <v>15664</v>
      </c>
      <c r="B8892" t="s">
        <v>15665</v>
      </c>
      <c r="C8892" s="1" t="str">
        <f>HYPERLINK("http://www.genecards.org/cgi-bin/carddisp.pl?gene=MUC5B","GeneCards")</f>
        <v>GeneCards</v>
      </c>
      <c r="D8892" s="1" t="str">
        <f>HYPERLINK("http://genome-euro.ucsc.edu/cgi-bin/hgTracks?position=213432_at","UCSC")</f>
        <v>UCSC</v>
      </c>
      <c r="E8892" s="1" t="str">
        <f>HYPERLINK("http://www.ncbi.nlm.nih.gov/gene/?term=MUC5B","NCBI")</f>
        <v>NCBI</v>
      </c>
      <c r="F8892">
        <v>0.16</v>
      </c>
      <c r="G8892">
        <v>0.3</v>
      </c>
      <c r="H8892" s="1" t="str">
        <f>HYPERLINK("http://www.weizmann.ac.il/complex/compphys/software/geview/data/figures/213432_at.png","Figure")</f>
        <v>Figure</v>
      </c>
      <c r="I8892">
        <v>1.06</v>
      </c>
      <c r="J8892">
        <v>0.16</v>
      </c>
      <c r="K8892">
        <v>1.04</v>
      </c>
      <c r="L8892">
        <v>0.31</v>
      </c>
      <c r="M8892">
        <v>0.98199999999999998</v>
      </c>
      <c r="N8892">
        <v>0.78</v>
      </c>
    </row>
    <row r="8893" spans="1:14" x14ac:dyDescent="0.25">
      <c r="A8893" t="s">
        <v>15666</v>
      </c>
      <c r="B8893" t="s">
        <v>15667</v>
      </c>
      <c r="C8893" s="1" t="str">
        <f>HYPERLINK("http://www.genecards.org/cgi-bin/carddisp.pl?gene=ADAM23","GeneCards")</f>
        <v>GeneCards</v>
      </c>
      <c r="D8893" s="1" t="str">
        <f>HYPERLINK("http://genome-euro.ucsc.edu/cgi-bin/hgTracks?position=206046_at","UCSC")</f>
        <v>UCSC</v>
      </c>
      <c r="E8893" s="1" t="str">
        <f>HYPERLINK("http://www.ncbi.nlm.nih.gov/gene/?term=ADAM23","NCBI")</f>
        <v>NCBI</v>
      </c>
      <c r="F8893">
        <v>0.16</v>
      </c>
      <c r="G8893">
        <v>0.3</v>
      </c>
      <c r="H8893" s="1" t="str">
        <f>HYPERLINK("http://www.weizmann.ac.il/complex/compphys/software/geview/data/figures/206046_at.png","Figure")</f>
        <v>Figure</v>
      </c>
      <c r="I8893">
        <v>1.25</v>
      </c>
      <c r="J8893">
        <v>0.15</v>
      </c>
      <c r="K8893">
        <v>1.06</v>
      </c>
      <c r="L8893">
        <v>0.83</v>
      </c>
      <c r="M8893">
        <v>0.84799999999999998</v>
      </c>
      <c r="N8893">
        <v>0.28000000000000003</v>
      </c>
    </row>
    <row r="8894" spans="1:14" x14ac:dyDescent="0.25">
      <c r="A8894" t="s">
        <v>15668</v>
      </c>
      <c r="B8894" t="s">
        <v>15669</v>
      </c>
      <c r="C8894" s="1" t="str">
        <f>HYPERLINK("http://www.genecards.org/cgi-bin/carddisp.pl?gene=SCRIB","GeneCards")</f>
        <v>GeneCards</v>
      </c>
      <c r="D8894" s="1" t="str">
        <f>HYPERLINK("http://genome-euro.ucsc.edu/cgi-bin/hgTracks?position=212556_at","UCSC")</f>
        <v>UCSC</v>
      </c>
      <c r="E8894" s="1" t="str">
        <f>HYPERLINK("http://www.ncbi.nlm.nih.gov/gene/?term=SCRIB","NCBI")</f>
        <v>NCBI</v>
      </c>
      <c r="F8894">
        <v>0.16</v>
      </c>
      <c r="G8894">
        <v>0.3</v>
      </c>
      <c r="H8894" s="1" t="str">
        <f>HYPERLINK("http://www.weizmann.ac.il/complex/compphys/software/geview/data/figures/212556_at.png","Figure")</f>
        <v>Figure</v>
      </c>
      <c r="I8894">
        <v>0.82199999999999995</v>
      </c>
      <c r="J8894">
        <v>0.71</v>
      </c>
      <c r="K8894">
        <v>1.3</v>
      </c>
      <c r="L8894">
        <v>0.45</v>
      </c>
      <c r="M8894">
        <v>1.59</v>
      </c>
      <c r="N8894">
        <v>0.15</v>
      </c>
    </row>
    <row r="8895" spans="1:14" x14ac:dyDescent="0.25">
      <c r="A8895" t="s">
        <v>15670</v>
      </c>
      <c r="B8895" t="s">
        <v>15671</v>
      </c>
      <c r="C8895" s="1" t="str">
        <f>HYPERLINK("http://www.genecards.org/cgi-bin/carddisp.pl?gene=MDN1","GeneCards")</f>
        <v>GeneCards</v>
      </c>
      <c r="D8895" s="1" t="str">
        <f>HYPERLINK("http://genome-euro.ucsc.edu/cgi-bin/hgTracks?position=212693_at","UCSC")</f>
        <v>UCSC</v>
      </c>
      <c r="E8895" s="1" t="str">
        <f>HYPERLINK("http://www.ncbi.nlm.nih.gov/gene/?term=MDN1","NCBI")</f>
        <v>NCBI</v>
      </c>
      <c r="F8895">
        <v>0.16</v>
      </c>
      <c r="G8895">
        <v>0.3</v>
      </c>
      <c r="H8895" s="1" t="str">
        <f>HYPERLINK("http://www.weizmann.ac.il/complex/compphys/software/geview/data/figures/212693_at.png","Figure")</f>
        <v>Figure</v>
      </c>
      <c r="I8895">
        <v>0.73799999999999999</v>
      </c>
      <c r="J8895">
        <v>0.22</v>
      </c>
      <c r="K8895">
        <v>1</v>
      </c>
      <c r="L8895">
        <v>1</v>
      </c>
      <c r="M8895">
        <v>1.36</v>
      </c>
      <c r="N8895">
        <v>0.17</v>
      </c>
    </row>
    <row r="8896" spans="1:14" x14ac:dyDescent="0.25">
      <c r="A8896" t="s">
        <v>15672</v>
      </c>
      <c r="B8896" t="s">
        <v>8924</v>
      </c>
      <c r="C8896" s="1" t="str">
        <f>HYPERLINK("http://www.genecards.org/cgi-bin/carddisp.pl?gene=DHPS","GeneCards")</f>
        <v>GeneCards</v>
      </c>
      <c r="D8896" s="1" t="str">
        <f>HYPERLINK("http://genome-euro.ucsc.edu/cgi-bin/hgTracks?position=211558_s_at","UCSC")</f>
        <v>UCSC</v>
      </c>
      <c r="E8896" s="1" t="str">
        <f>HYPERLINK("http://www.ncbi.nlm.nih.gov/gene/?term=DHPS","NCBI")</f>
        <v>NCBI</v>
      </c>
      <c r="F8896">
        <v>0.16</v>
      </c>
      <c r="G8896">
        <v>0.3</v>
      </c>
      <c r="H8896" s="1" t="str">
        <f>HYPERLINK("http://www.weizmann.ac.il/complex/compphys/software/geview/data/figures/211558_s_at.png","Figure")</f>
        <v>Figure</v>
      </c>
      <c r="I8896">
        <v>0.93300000000000005</v>
      </c>
      <c r="J8896">
        <v>0.91</v>
      </c>
      <c r="K8896">
        <v>1.25</v>
      </c>
      <c r="L8896">
        <v>0.31</v>
      </c>
      <c r="M8896">
        <v>1.34</v>
      </c>
      <c r="N8896">
        <v>0.19</v>
      </c>
    </row>
    <row r="8897" spans="1:14" x14ac:dyDescent="0.25">
      <c r="A8897" t="s">
        <v>15673</v>
      </c>
      <c r="B8897" t="s">
        <v>15674</v>
      </c>
      <c r="C8897" s="1" t="str">
        <f>HYPERLINK("http://www.genecards.org/cgi-bin/carddisp.pl?gene=LSG1","GeneCards")</f>
        <v>GeneCards</v>
      </c>
      <c r="D8897" s="1" t="str">
        <f>HYPERLINK("http://genome-euro.ucsc.edu/cgi-bin/hgTracks?position=221536_s_at","UCSC")</f>
        <v>UCSC</v>
      </c>
      <c r="E8897" s="1" t="str">
        <f>HYPERLINK("http://www.ncbi.nlm.nih.gov/gene/?term=LSG1","NCBI")</f>
        <v>NCBI</v>
      </c>
      <c r="F8897">
        <v>0.16</v>
      </c>
      <c r="G8897">
        <v>0.3</v>
      </c>
      <c r="H8897" s="1" t="str">
        <f>HYPERLINK("http://www.weizmann.ac.il/complex/compphys/software/geview/data/figures/221536_s_at.png","Figure")</f>
        <v>Figure</v>
      </c>
      <c r="I8897">
        <v>0.72799999999999998</v>
      </c>
      <c r="J8897">
        <v>0.5</v>
      </c>
      <c r="K8897">
        <v>0.60799999999999998</v>
      </c>
      <c r="L8897">
        <v>0.14000000000000001</v>
      </c>
      <c r="M8897">
        <v>0.83499999999999996</v>
      </c>
      <c r="N8897">
        <v>0.77</v>
      </c>
    </row>
    <row r="8898" spans="1:14" x14ac:dyDescent="0.25">
      <c r="A8898" t="s">
        <v>15675</v>
      </c>
      <c r="B8898" t="s">
        <v>15676</v>
      </c>
      <c r="C8898" s="1" t="str">
        <f>HYPERLINK("http://www.genecards.org/cgi-bin/carddisp.pl?gene=KRIT1","GeneCards")</f>
        <v>GeneCards</v>
      </c>
      <c r="D8898" s="1" t="str">
        <f>HYPERLINK("http://genome-euro.ucsc.edu/cgi-bin/hgTracks?position=204738_s_at","UCSC")</f>
        <v>UCSC</v>
      </c>
      <c r="E8898" s="1" t="str">
        <f>HYPERLINK("http://www.ncbi.nlm.nih.gov/gene/?term=KRIT1","NCBI")</f>
        <v>NCBI</v>
      </c>
      <c r="F8898">
        <v>0.16</v>
      </c>
      <c r="G8898">
        <v>0.3</v>
      </c>
      <c r="H8898" s="1" t="str">
        <f>HYPERLINK("http://www.weizmann.ac.il/complex/compphys/software/geview/data/figures/204738_s_at.png","Figure")</f>
        <v>Figure</v>
      </c>
      <c r="I8898">
        <v>1.0900000000000001</v>
      </c>
      <c r="J8898">
        <v>0.26</v>
      </c>
      <c r="K8898">
        <v>1.0900000000000001</v>
      </c>
      <c r="L8898">
        <v>0.18</v>
      </c>
      <c r="M8898">
        <v>1</v>
      </c>
      <c r="N8898">
        <v>1</v>
      </c>
    </row>
    <row r="8899" spans="1:14" x14ac:dyDescent="0.25">
      <c r="A8899" t="s">
        <v>15677</v>
      </c>
      <c r="B8899" t="s">
        <v>13645</v>
      </c>
      <c r="C8899" s="1" t="str">
        <f>HYPERLINK("http://www.genecards.org/cgi-bin/carddisp.pl?gene=DUSP6","GeneCards")</f>
        <v>GeneCards</v>
      </c>
      <c r="D8899" s="1" t="str">
        <f>HYPERLINK("http://genome-euro.ucsc.edu/cgi-bin/hgTracks?position=208891_at","UCSC")</f>
        <v>UCSC</v>
      </c>
      <c r="E8899" s="1" t="str">
        <f>HYPERLINK("http://www.ncbi.nlm.nih.gov/gene/?term=DUSP6","NCBI")</f>
        <v>NCBI</v>
      </c>
      <c r="F8899">
        <v>0.16</v>
      </c>
      <c r="G8899">
        <v>0.3</v>
      </c>
      <c r="H8899" s="1" t="str">
        <f>HYPERLINK("http://www.weizmann.ac.il/complex/compphys/software/geview/data/figures/208891_at.png","Figure")</f>
        <v>Figure</v>
      </c>
      <c r="I8899">
        <v>0.43099999999999999</v>
      </c>
      <c r="J8899">
        <v>0.14000000000000001</v>
      </c>
      <c r="K8899">
        <v>0.74299999999999999</v>
      </c>
      <c r="L8899">
        <v>0.69</v>
      </c>
      <c r="M8899">
        <v>1.72</v>
      </c>
      <c r="N8899">
        <v>0.36</v>
      </c>
    </row>
    <row r="8900" spans="1:14" x14ac:dyDescent="0.25">
      <c r="A8900" t="s">
        <v>15678</v>
      </c>
      <c r="B8900" t="s">
        <v>5167</v>
      </c>
      <c r="C8900" s="1" t="str">
        <f>HYPERLINK("http://www.genecards.org/cgi-bin/carddisp.pl?gene=MTF2","GeneCards")</f>
        <v>GeneCards</v>
      </c>
      <c r="D8900" s="1" t="str">
        <f>HYPERLINK("http://genome-euro.ucsc.edu/cgi-bin/hgTracks?position=209705_at","UCSC")</f>
        <v>UCSC</v>
      </c>
      <c r="E8900" s="1" t="str">
        <f>HYPERLINK("http://www.ncbi.nlm.nih.gov/gene/?term=MTF2","NCBI")</f>
        <v>NCBI</v>
      </c>
      <c r="F8900">
        <v>0.16</v>
      </c>
      <c r="G8900">
        <v>0.3</v>
      </c>
      <c r="H8900" s="1" t="str">
        <f>HYPERLINK("http://www.weizmann.ac.il/complex/compphys/software/geview/data/figures/209705_at.png","Figure")</f>
        <v>Figure</v>
      </c>
      <c r="I8900">
        <v>1.1599999999999999</v>
      </c>
      <c r="J8900">
        <v>0.54</v>
      </c>
      <c r="K8900">
        <v>0.89100000000000001</v>
      </c>
      <c r="L8900">
        <v>0.62</v>
      </c>
      <c r="M8900">
        <v>0.76700000000000002</v>
      </c>
      <c r="N8900">
        <v>0.14000000000000001</v>
      </c>
    </row>
    <row r="8901" spans="1:14" x14ac:dyDescent="0.25">
      <c r="A8901" t="s">
        <v>15679</v>
      </c>
      <c r="B8901" t="s">
        <v>15680</v>
      </c>
      <c r="C8901" s="1" t="str">
        <f>HYPERLINK("http://www.genecards.org/cgi-bin/carddisp.pl?gene=C10orf18","GeneCards")</f>
        <v>GeneCards</v>
      </c>
      <c r="D8901" s="1" t="str">
        <f>HYPERLINK("http://genome-euro.ucsc.edu/cgi-bin/hgTracks?position=218331_s_at","UCSC")</f>
        <v>UCSC</v>
      </c>
      <c r="E8901" s="1" t="str">
        <f>HYPERLINK("http://www.ncbi.nlm.nih.gov/gene/?term=C10orf18","NCBI")</f>
        <v>NCBI</v>
      </c>
      <c r="F8901">
        <v>0.16</v>
      </c>
      <c r="G8901">
        <v>0.3</v>
      </c>
      <c r="H8901" s="1" t="str">
        <f>HYPERLINK("http://www.weizmann.ac.il/complex/compphys/software/geview/data/figures/218331_s_at.png","Figure")</f>
        <v>Figure</v>
      </c>
      <c r="I8901">
        <v>0.68899999999999995</v>
      </c>
      <c r="J8901">
        <v>0.46</v>
      </c>
      <c r="K8901">
        <v>0.57899999999999996</v>
      </c>
      <c r="L8901">
        <v>0.14000000000000001</v>
      </c>
      <c r="M8901">
        <v>0.84</v>
      </c>
      <c r="N8901">
        <v>0.82</v>
      </c>
    </row>
    <row r="8902" spans="1:14" x14ac:dyDescent="0.25">
      <c r="A8902" t="s">
        <v>15681</v>
      </c>
      <c r="B8902" t="s">
        <v>15682</v>
      </c>
      <c r="C8902" s="1" t="str">
        <f>HYPERLINK("http://www.genecards.org/cgi-bin/carddisp.pl?gene=ALLC","GeneCards")</f>
        <v>GeneCards</v>
      </c>
      <c r="D8902" s="1" t="str">
        <f>HYPERLINK("http://genome-euro.ucsc.edu/cgi-bin/hgTracks?position=220365_at","UCSC")</f>
        <v>UCSC</v>
      </c>
      <c r="E8902" s="1" t="str">
        <f>HYPERLINK("http://www.ncbi.nlm.nih.gov/gene/?term=ALLC","NCBI")</f>
        <v>NCBI</v>
      </c>
      <c r="F8902">
        <v>0.16</v>
      </c>
      <c r="G8902">
        <v>0.3</v>
      </c>
      <c r="H8902" s="1" t="str">
        <f>HYPERLINK("http://www.weizmann.ac.il/complex/compphys/software/geview/data/figures/220365_at.png","Figure")</f>
        <v>Figure</v>
      </c>
      <c r="I8902">
        <v>1.1499999999999999</v>
      </c>
      <c r="J8902">
        <v>0.14000000000000001</v>
      </c>
      <c r="K8902">
        <v>1.06</v>
      </c>
      <c r="L8902">
        <v>0.55000000000000004</v>
      </c>
      <c r="M8902">
        <v>0.92700000000000005</v>
      </c>
      <c r="N8902">
        <v>0.47</v>
      </c>
    </row>
    <row r="8903" spans="1:14" x14ac:dyDescent="0.25">
      <c r="A8903" t="s">
        <v>15683</v>
      </c>
      <c r="B8903" t="s">
        <v>9428</v>
      </c>
      <c r="C8903" s="1" t="str">
        <f>HYPERLINK("http://www.genecards.org/cgi-bin/carddisp.pl?gene=LOC653566 /// SPCS2","GeneCards")</f>
        <v>GeneCards</v>
      </c>
      <c r="D8903" s="1" t="str">
        <f>HYPERLINK("http://genome-euro.ucsc.edu/cgi-bin/hgTracks?position=201239_s_at","UCSC")</f>
        <v>UCSC</v>
      </c>
      <c r="E8903" s="1" t="str">
        <f>HYPERLINK("http://www.ncbi.nlm.nih.gov/gene/?term=LOC653566 /// SPCS2","NCBI")</f>
        <v>NCBI</v>
      </c>
      <c r="F8903">
        <v>0.16</v>
      </c>
      <c r="G8903">
        <v>0.3</v>
      </c>
      <c r="H8903" s="1" t="str">
        <f>HYPERLINK("http://www.weizmann.ac.il/complex/compphys/software/geview/data/figures/201239_s_at.png","Figure")</f>
        <v>Figure</v>
      </c>
      <c r="I8903">
        <v>1.47</v>
      </c>
      <c r="J8903">
        <v>0.22</v>
      </c>
      <c r="K8903">
        <v>1.41</v>
      </c>
      <c r="L8903">
        <v>0.2</v>
      </c>
      <c r="M8903">
        <v>0.95899999999999996</v>
      </c>
      <c r="N8903">
        <v>0.98</v>
      </c>
    </row>
    <row r="8904" spans="1:14" x14ac:dyDescent="0.25">
      <c r="A8904" t="s">
        <v>15684</v>
      </c>
      <c r="B8904" t="s">
        <v>15685</v>
      </c>
      <c r="C8904" s="1" t="str">
        <f>HYPERLINK("http://www.genecards.org/cgi-bin/carddisp.pl?gene=TRDMT1","GeneCards")</f>
        <v>GeneCards</v>
      </c>
      <c r="D8904" s="1" t="str">
        <f>HYPERLINK("http://genome-euro.ucsc.edu/cgi-bin/hgTracks?position=206308_at","UCSC")</f>
        <v>UCSC</v>
      </c>
      <c r="E8904" s="1" t="str">
        <f>HYPERLINK("http://www.ncbi.nlm.nih.gov/gene/?term=TRDMT1","NCBI")</f>
        <v>NCBI</v>
      </c>
      <c r="F8904">
        <v>0.16</v>
      </c>
      <c r="G8904">
        <v>0.3</v>
      </c>
      <c r="H8904" s="1" t="str">
        <f>HYPERLINK("http://www.weizmann.ac.il/complex/compphys/software/geview/data/figures/206308_at.png","Figure")</f>
        <v>Figure</v>
      </c>
      <c r="I8904">
        <v>0.92700000000000005</v>
      </c>
      <c r="J8904">
        <v>0.15</v>
      </c>
      <c r="K8904">
        <v>0.97899999999999998</v>
      </c>
      <c r="L8904">
        <v>0.81</v>
      </c>
      <c r="M8904">
        <v>1.06</v>
      </c>
      <c r="N8904">
        <v>0.28999999999999998</v>
      </c>
    </row>
    <row r="8905" spans="1:14" x14ac:dyDescent="0.25">
      <c r="A8905" t="s">
        <v>15686</v>
      </c>
      <c r="B8905" t="s">
        <v>6357</v>
      </c>
      <c r="C8905" s="1" t="str">
        <f>HYPERLINK("http://www.genecards.org/cgi-bin/carddisp.pl?gene=HADHA","GeneCards")</f>
        <v>GeneCards</v>
      </c>
      <c r="D8905" s="1" t="str">
        <f>HYPERLINK("http://genome-euro.ucsc.edu/cgi-bin/hgTracks?position=208629_s_at","UCSC")</f>
        <v>UCSC</v>
      </c>
      <c r="E8905" s="1" t="str">
        <f>HYPERLINK("http://www.ncbi.nlm.nih.gov/gene/?term=HADHA","NCBI")</f>
        <v>NCBI</v>
      </c>
      <c r="F8905">
        <v>0.16</v>
      </c>
      <c r="G8905">
        <v>0.3</v>
      </c>
      <c r="H8905" s="1" t="str">
        <f>HYPERLINK("http://www.weizmann.ac.il/complex/compphys/software/geview/data/figures/208629_s_at.png","Figure")</f>
        <v>Figure</v>
      </c>
      <c r="I8905">
        <v>1.27</v>
      </c>
      <c r="J8905">
        <v>0.37</v>
      </c>
      <c r="K8905">
        <v>1.35</v>
      </c>
      <c r="L8905">
        <v>0.15</v>
      </c>
      <c r="M8905">
        <v>1.06</v>
      </c>
      <c r="N8905">
        <v>0.92</v>
      </c>
    </row>
    <row r="8906" spans="1:14" x14ac:dyDescent="0.25">
      <c r="A8906" t="s">
        <v>15687</v>
      </c>
      <c r="B8906" t="s">
        <v>15688</v>
      </c>
      <c r="C8906" s="1" t="str">
        <f>HYPERLINK("http://www.genecards.org/cgi-bin/carddisp.pl?gene=GABRQ","GeneCards")</f>
        <v>GeneCards</v>
      </c>
      <c r="D8906" s="1" t="str">
        <f>HYPERLINK("http://genome-euro.ucsc.edu/cgi-bin/hgTracks?position=220886_at","UCSC")</f>
        <v>UCSC</v>
      </c>
      <c r="E8906" s="1" t="str">
        <f>HYPERLINK("http://www.ncbi.nlm.nih.gov/gene/?term=GABRQ","NCBI")</f>
        <v>NCBI</v>
      </c>
      <c r="F8906">
        <v>0.16</v>
      </c>
      <c r="G8906">
        <v>0.3</v>
      </c>
      <c r="H8906" s="1" t="str">
        <f>HYPERLINK("http://www.weizmann.ac.il/complex/compphys/software/geview/data/figures/220886_at.png","Figure")</f>
        <v>Figure</v>
      </c>
      <c r="I8906">
        <v>1.0900000000000001</v>
      </c>
      <c r="J8906">
        <v>0.18</v>
      </c>
      <c r="K8906">
        <v>1.01</v>
      </c>
      <c r="L8906">
        <v>0.96</v>
      </c>
      <c r="M8906">
        <v>0.92600000000000005</v>
      </c>
      <c r="N8906">
        <v>0.22</v>
      </c>
    </row>
    <row r="8907" spans="1:14" x14ac:dyDescent="0.25">
      <c r="A8907" t="s">
        <v>15689</v>
      </c>
      <c r="B8907" t="s">
        <v>8970</v>
      </c>
      <c r="C8907" s="1" t="str">
        <f>HYPERLINK("http://www.genecards.org/cgi-bin/carddisp.pl?gene=FKBP1A","GeneCards")</f>
        <v>GeneCards</v>
      </c>
      <c r="D8907" s="1" t="str">
        <f>HYPERLINK("http://genome-euro.ucsc.edu/cgi-bin/hgTracks?position=200709_at","UCSC")</f>
        <v>UCSC</v>
      </c>
      <c r="E8907" s="1" t="str">
        <f>HYPERLINK("http://www.ncbi.nlm.nih.gov/gene/?term=FKBP1A","NCBI")</f>
        <v>NCBI</v>
      </c>
      <c r="F8907">
        <v>0.16</v>
      </c>
      <c r="G8907">
        <v>0.3</v>
      </c>
      <c r="H8907" s="1" t="str">
        <f>HYPERLINK("http://www.weizmann.ac.il/complex/compphys/software/geview/data/figures/200709_at.png","Figure")</f>
        <v>Figure</v>
      </c>
      <c r="I8907">
        <v>0.67200000000000004</v>
      </c>
      <c r="J8907">
        <v>0.17</v>
      </c>
      <c r="K8907">
        <v>0.74299999999999999</v>
      </c>
      <c r="L8907">
        <v>0.27</v>
      </c>
      <c r="M8907">
        <v>1.1100000000000001</v>
      </c>
      <c r="N8907">
        <v>0.86</v>
      </c>
    </row>
    <row r="8908" spans="1:14" x14ac:dyDescent="0.25">
      <c r="A8908" t="s">
        <v>15690</v>
      </c>
      <c r="B8908" t="s">
        <v>12274</v>
      </c>
      <c r="C8908" s="1" t="str">
        <f>HYPERLINK("http://www.genecards.org/cgi-bin/carddisp.pl?gene=AGGF1","GeneCards")</f>
        <v>GeneCards</v>
      </c>
      <c r="D8908" s="1" t="str">
        <f>HYPERLINK("http://genome-euro.ucsc.edu/cgi-bin/hgTracks?position=210710_at","UCSC")</f>
        <v>UCSC</v>
      </c>
      <c r="E8908" s="1" t="str">
        <f>HYPERLINK("http://www.ncbi.nlm.nih.gov/gene/?term=AGGF1","NCBI")</f>
        <v>NCBI</v>
      </c>
      <c r="F8908">
        <v>0.16</v>
      </c>
      <c r="G8908">
        <v>0.3</v>
      </c>
      <c r="H8908" s="1" t="str">
        <f>HYPERLINK("http://www.weizmann.ac.il/complex/compphys/software/geview/data/figures/210710_at.png","Figure")</f>
        <v>Figure</v>
      </c>
      <c r="I8908">
        <v>0.92400000000000004</v>
      </c>
      <c r="J8908">
        <v>0.39</v>
      </c>
      <c r="K8908">
        <v>0.90200000000000002</v>
      </c>
      <c r="L8908">
        <v>0.14000000000000001</v>
      </c>
      <c r="M8908">
        <v>0.97699999999999998</v>
      </c>
      <c r="N8908">
        <v>0.9</v>
      </c>
    </row>
    <row r="8909" spans="1:14" x14ac:dyDescent="0.25">
      <c r="A8909" t="s">
        <v>15691</v>
      </c>
      <c r="B8909" t="s">
        <v>15692</v>
      </c>
      <c r="C8909" s="1" t="str">
        <f>HYPERLINK("http://www.genecards.org/cgi-bin/carddisp.pl?gene=CLCF1","GeneCards")</f>
        <v>GeneCards</v>
      </c>
      <c r="D8909" s="1" t="str">
        <f>HYPERLINK("http://genome-euro.ucsc.edu/cgi-bin/hgTracks?position=219500_at","UCSC")</f>
        <v>UCSC</v>
      </c>
      <c r="E8909" s="1" t="str">
        <f>HYPERLINK("http://www.ncbi.nlm.nih.gov/gene/?term=CLCF1","NCBI")</f>
        <v>NCBI</v>
      </c>
      <c r="F8909">
        <v>0.16</v>
      </c>
      <c r="G8909">
        <v>0.3</v>
      </c>
      <c r="H8909" s="1" t="str">
        <f>HYPERLINK("http://www.weizmann.ac.il/complex/compphys/software/geview/data/figures/219500_at.png","Figure")</f>
        <v>Figure</v>
      </c>
      <c r="I8909">
        <v>1.19</v>
      </c>
      <c r="J8909">
        <v>0.14000000000000001</v>
      </c>
      <c r="K8909">
        <v>1.06</v>
      </c>
      <c r="L8909">
        <v>0.73</v>
      </c>
      <c r="M8909">
        <v>0.88800000000000001</v>
      </c>
      <c r="N8909">
        <v>0.34</v>
      </c>
    </row>
    <row r="8910" spans="1:14" x14ac:dyDescent="0.25">
      <c r="A8910" t="s">
        <v>15693</v>
      </c>
      <c r="B8910" t="s">
        <v>14694</v>
      </c>
      <c r="C8910" s="1" t="str">
        <f>HYPERLINK("http://www.genecards.org/cgi-bin/carddisp.pl?gene=USP22","GeneCards")</f>
        <v>GeneCards</v>
      </c>
      <c r="D8910" s="1" t="str">
        <f>HYPERLINK("http://genome-euro.ucsc.edu/cgi-bin/hgTracks?position=200083_at","UCSC")</f>
        <v>UCSC</v>
      </c>
      <c r="E8910" s="1" t="str">
        <f>HYPERLINK("http://www.ncbi.nlm.nih.gov/gene/?term=USP22","NCBI")</f>
        <v>NCBI</v>
      </c>
      <c r="F8910">
        <v>0.16</v>
      </c>
      <c r="G8910">
        <v>0.3</v>
      </c>
      <c r="H8910" s="1" t="str">
        <f>HYPERLINK("http://www.weizmann.ac.il/complex/compphys/software/geview/data/figures/200083_at.png","Figure")</f>
        <v>Figure</v>
      </c>
      <c r="I8910">
        <v>0.95799999999999996</v>
      </c>
      <c r="J8910">
        <v>0.94</v>
      </c>
      <c r="K8910">
        <v>1.19</v>
      </c>
      <c r="L8910">
        <v>0.28999999999999998</v>
      </c>
      <c r="M8910">
        <v>1.24</v>
      </c>
      <c r="N8910">
        <v>0.2</v>
      </c>
    </row>
    <row r="8911" spans="1:14" x14ac:dyDescent="0.25">
      <c r="A8911" t="s">
        <v>15694</v>
      </c>
      <c r="B8911" t="s">
        <v>15695</v>
      </c>
      <c r="C8911" s="1" t="str">
        <f>HYPERLINK("http://www.genecards.org/cgi-bin/carddisp.pl?gene=KIAA1654","GeneCards")</f>
        <v>GeneCards</v>
      </c>
      <c r="D8911" s="1" t="str">
        <f>HYPERLINK("http://genome-euro.ucsc.edu/cgi-bin/hgTracks?position=215680_at","UCSC")</f>
        <v>UCSC</v>
      </c>
      <c r="E8911" s="1" t="str">
        <f>HYPERLINK("http://www.ncbi.nlm.nih.gov/gene/?term=KIAA1654","NCBI")</f>
        <v>NCBI</v>
      </c>
      <c r="F8911">
        <v>0.16</v>
      </c>
      <c r="G8911">
        <v>0.3</v>
      </c>
      <c r="H8911" s="1" t="str">
        <f>HYPERLINK("http://www.weizmann.ac.il/complex/compphys/software/geview/data/figures/215680_at.png","Figure")</f>
        <v>Figure</v>
      </c>
      <c r="I8911">
        <v>1.18</v>
      </c>
      <c r="J8911">
        <v>0.16</v>
      </c>
      <c r="K8911">
        <v>1.03</v>
      </c>
      <c r="L8911">
        <v>0.9</v>
      </c>
      <c r="M8911">
        <v>0.876</v>
      </c>
      <c r="N8911">
        <v>0.25</v>
      </c>
    </row>
    <row r="8912" spans="1:14" x14ac:dyDescent="0.25">
      <c r="A8912" t="s">
        <v>15696</v>
      </c>
      <c r="B8912" t="s">
        <v>15697</v>
      </c>
      <c r="C8912" s="1" t="str">
        <f>HYPERLINK("http://www.genecards.org/cgi-bin/carddisp.pl?gene=C1QL1","GeneCards")</f>
        <v>GeneCards</v>
      </c>
      <c r="D8912" s="1" t="str">
        <f>HYPERLINK("http://genome-euro.ucsc.edu/cgi-bin/hgTracks?position=205575_at","UCSC")</f>
        <v>UCSC</v>
      </c>
      <c r="E8912" s="1" t="str">
        <f>HYPERLINK("http://www.ncbi.nlm.nih.gov/gene/?term=C1QL1","NCBI")</f>
        <v>NCBI</v>
      </c>
      <c r="F8912">
        <v>0.16</v>
      </c>
      <c r="G8912">
        <v>0.3</v>
      </c>
      <c r="H8912" s="1" t="str">
        <f>HYPERLINK("http://www.weizmann.ac.il/complex/compphys/software/geview/data/figures/205575_at.png","Figure")</f>
        <v>Figure</v>
      </c>
      <c r="I8912">
        <v>1.18</v>
      </c>
      <c r="J8912">
        <v>0.14000000000000001</v>
      </c>
      <c r="K8912">
        <v>1.08</v>
      </c>
      <c r="L8912">
        <v>0.55000000000000004</v>
      </c>
      <c r="M8912">
        <v>0.91400000000000003</v>
      </c>
      <c r="N8912">
        <v>0.47</v>
      </c>
    </row>
    <row r="8913" spans="1:14" x14ac:dyDescent="0.25">
      <c r="A8913" t="s">
        <v>15698</v>
      </c>
      <c r="B8913" t="s">
        <v>10785</v>
      </c>
      <c r="C8913" s="1" t="str">
        <f>HYPERLINK("http://www.genecards.org/cgi-bin/carddisp.pl?gene=ZFYVE26","GeneCards")</f>
        <v>GeneCards</v>
      </c>
      <c r="D8913" s="1" t="str">
        <f>HYPERLINK("http://genome-euro.ucsc.edu/cgi-bin/hgTracks?position=213073_at","UCSC")</f>
        <v>UCSC</v>
      </c>
      <c r="E8913" s="1" t="str">
        <f>HYPERLINK("http://www.ncbi.nlm.nih.gov/gene/?term=ZFYVE26","NCBI")</f>
        <v>NCBI</v>
      </c>
      <c r="F8913">
        <v>0.16</v>
      </c>
      <c r="G8913">
        <v>0.3</v>
      </c>
      <c r="H8913" s="1" t="str">
        <f>HYPERLINK("http://www.weizmann.ac.il/complex/compphys/software/geview/data/figures/213073_at.png","Figure")</f>
        <v>Figure</v>
      </c>
      <c r="I8913">
        <v>0.86099999999999999</v>
      </c>
      <c r="J8913">
        <v>0.41</v>
      </c>
      <c r="K8913">
        <v>1.07</v>
      </c>
      <c r="L8913">
        <v>0.78</v>
      </c>
      <c r="M8913">
        <v>1.24</v>
      </c>
      <c r="N8913">
        <v>0.14000000000000001</v>
      </c>
    </row>
    <row r="8914" spans="1:14" x14ac:dyDescent="0.25">
      <c r="A8914" t="s">
        <v>15699</v>
      </c>
      <c r="B8914" t="s">
        <v>11660</v>
      </c>
      <c r="C8914" s="1" t="str">
        <f>HYPERLINK("http://www.genecards.org/cgi-bin/carddisp.pl?gene=LAMP1","GeneCards")</f>
        <v>GeneCards</v>
      </c>
      <c r="D8914" s="1" t="str">
        <f>HYPERLINK("http://genome-euro.ucsc.edu/cgi-bin/hgTracks?position=201553_s_at","UCSC")</f>
        <v>UCSC</v>
      </c>
      <c r="E8914" s="1" t="str">
        <f>HYPERLINK("http://www.ncbi.nlm.nih.gov/gene/?term=LAMP1","NCBI")</f>
        <v>NCBI</v>
      </c>
      <c r="F8914">
        <v>0.16</v>
      </c>
      <c r="G8914">
        <v>0.3</v>
      </c>
      <c r="H8914" s="1" t="str">
        <f>HYPERLINK("http://www.weizmann.ac.il/complex/compphys/software/geview/data/figures/201553_s_at.png","Figure")</f>
        <v>Figure</v>
      </c>
      <c r="I8914">
        <v>0.69699999999999995</v>
      </c>
      <c r="J8914">
        <v>0.35</v>
      </c>
      <c r="K8914">
        <v>0.64600000000000002</v>
      </c>
      <c r="L8914">
        <v>0.15</v>
      </c>
      <c r="M8914">
        <v>0.92700000000000005</v>
      </c>
      <c r="N8914">
        <v>0.94</v>
      </c>
    </row>
    <row r="8915" spans="1:14" x14ac:dyDescent="0.25">
      <c r="A8915" t="s">
        <v>15700</v>
      </c>
      <c r="B8915" t="s">
        <v>13505</v>
      </c>
      <c r="C8915" s="1" t="str">
        <f>HYPERLINK("http://www.genecards.org/cgi-bin/carddisp.pl?gene=ZC3H7B","GeneCards")</f>
        <v>GeneCards</v>
      </c>
      <c r="D8915" s="1" t="str">
        <f>HYPERLINK("http://genome-euro.ucsc.edu/cgi-bin/hgTracks?position=213323_s_at","UCSC")</f>
        <v>UCSC</v>
      </c>
      <c r="E8915" s="1" t="str">
        <f>HYPERLINK("http://www.ncbi.nlm.nih.gov/gene/?term=ZC3H7B","NCBI")</f>
        <v>NCBI</v>
      </c>
      <c r="F8915">
        <v>0.16</v>
      </c>
      <c r="G8915">
        <v>0.3</v>
      </c>
      <c r="H8915" s="1" t="str">
        <f>HYPERLINK("http://www.weizmann.ac.il/complex/compphys/software/geview/data/figures/213323_s_at.png","Figure")</f>
        <v>Figure</v>
      </c>
      <c r="I8915">
        <v>1.1399999999999999</v>
      </c>
      <c r="J8915">
        <v>0.17</v>
      </c>
      <c r="K8915">
        <v>1.1000000000000001</v>
      </c>
      <c r="L8915">
        <v>0.27</v>
      </c>
      <c r="M8915">
        <v>0.96699999999999997</v>
      </c>
      <c r="N8915">
        <v>0.86</v>
      </c>
    </row>
    <row r="8916" spans="1:14" x14ac:dyDescent="0.25">
      <c r="A8916" t="s">
        <v>15701</v>
      </c>
      <c r="B8916" t="s">
        <v>15702</v>
      </c>
      <c r="C8916" s="1" t="str">
        <f>HYPERLINK("http://www.genecards.org/cgi-bin/carddisp.pl?gene=HSPB6","GeneCards")</f>
        <v>GeneCards</v>
      </c>
      <c r="D8916" s="1" t="str">
        <f>HYPERLINK("http://genome-euro.ucsc.edu/cgi-bin/hgTracks?position=214767_s_at","UCSC")</f>
        <v>UCSC</v>
      </c>
      <c r="E8916" s="1" t="str">
        <f>HYPERLINK("http://www.ncbi.nlm.nih.gov/gene/?term=HSPB6","NCBI")</f>
        <v>NCBI</v>
      </c>
      <c r="F8916">
        <v>0.16</v>
      </c>
      <c r="G8916">
        <v>0.3</v>
      </c>
      <c r="H8916" s="1" t="str">
        <f>HYPERLINK("http://www.weizmann.ac.il/complex/compphys/software/geview/data/figures/214767_s_at.png","Figure")</f>
        <v>Figure</v>
      </c>
      <c r="I8916">
        <v>1.17</v>
      </c>
      <c r="J8916">
        <v>0.45</v>
      </c>
      <c r="K8916">
        <v>0.91600000000000004</v>
      </c>
      <c r="L8916">
        <v>0.72</v>
      </c>
      <c r="M8916">
        <v>0.78100000000000003</v>
      </c>
      <c r="N8916">
        <v>0.14000000000000001</v>
      </c>
    </row>
    <row r="8917" spans="1:14" x14ac:dyDescent="0.25">
      <c r="A8917" t="s">
        <v>15703</v>
      </c>
      <c r="B8917" t="s">
        <v>15704</v>
      </c>
      <c r="C8917" s="1" t="str">
        <f>HYPERLINK("http://www.genecards.org/cgi-bin/carddisp.pl?gene=HS3ST3B1","GeneCards")</f>
        <v>GeneCards</v>
      </c>
      <c r="D8917" s="1" t="str">
        <f>HYPERLINK("http://genome-euro.ucsc.edu/cgi-bin/hgTracks?position=221062_at","UCSC")</f>
        <v>UCSC</v>
      </c>
      <c r="E8917" s="1" t="str">
        <f>HYPERLINK("http://www.ncbi.nlm.nih.gov/gene/?term=HS3ST3B1","NCBI")</f>
        <v>NCBI</v>
      </c>
      <c r="F8917">
        <v>0.16</v>
      </c>
      <c r="G8917">
        <v>0.3</v>
      </c>
      <c r="H8917" s="1" t="str">
        <f>HYPERLINK("http://www.weizmann.ac.il/complex/compphys/software/geview/data/figures/221062_at.png","Figure")</f>
        <v>Figure</v>
      </c>
      <c r="I8917">
        <v>0.97799999999999998</v>
      </c>
      <c r="J8917">
        <v>0.67</v>
      </c>
      <c r="K8917">
        <v>0.95499999999999996</v>
      </c>
      <c r="L8917">
        <v>0.14000000000000001</v>
      </c>
      <c r="M8917">
        <v>0.97699999999999998</v>
      </c>
      <c r="N8917">
        <v>0.6</v>
      </c>
    </row>
    <row r="8918" spans="1:14" x14ac:dyDescent="0.25">
      <c r="A8918" t="s">
        <v>15705</v>
      </c>
      <c r="B8918" t="s">
        <v>10580</v>
      </c>
      <c r="C8918" s="1" t="str">
        <f>HYPERLINK("http://www.genecards.org/cgi-bin/carddisp.pl?gene=BMPR2","GeneCards")</f>
        <v>GeneCards</v>
      </c>
      <c r="D8918" s="1" t="str">
        <f>HYPERLINK("http://genome-euro.ucsc.edu/cgi-bin/hgTracks?position=209920_at","UCSC")</f>
        <v>UCSC</v>
      </c>
      <c r="E8918" s="1" t="str">
        <f>HYPERLINK("http://www.ncbi.nlm.nih.gov/gene/?term=BMPR2","NCBI")</f>
        <v>NCBI</v>
      </c>
      <c r="F8918">
        <v>0.16</v>
      </c>
      <c r="G8918">
        <v>0.3</v>
      </c>
      <c r="H8918" s="1" t="str">
        <f>HYPERLINK("http://www.weizmann.ac.il/complex/compphys/software/geview/data/figures/209920_at.png","Figure")</f>
        <v>Figure</v>
      </c>
      <c r="I8918">
        <v>1.03</v>
      </c>
      <c r="J8918">
        <v>0.65</v>
      </c>
      <c r="K8918">
        <v>1.07</v>
      </c>
      <c r="L8918">
        <v>0.14000000000000001</v>
      </c>
      <c r="M8918">
        <v>1.03</v>
      </c>
      <c r="N8918">
        <v>0.62</v>
      </c>
    </row>
    <row r="8919" spans="1:14" x14ac:dyDescent="0.25">
      <c r="A8919" t="s">
        <v>15706</v>
      </c>
      <c r="B8919" t="s">
        <v>15707</v>
      </c>
      <c r="C8919" s="1" t="str">
        <f>HYPERLINK("http://www.genecards.org/cgi-bin/carddisp.pl?gene=SCPEP1","GeneCards")</f>
        <v>GeneCards</v>
      </c>
      <c r="D8919" s="1" t="str">
        <f>HYPERLINK("http://genome-euro.ucsc.edu/cgi-bin/hgTracks?position=218217_at","UCSC")</f>
        <v>UCSC</v>
      </c>
      <c r="E8919" s="1" t="str">
        <f>HYPERLINK("http://www.ncbi.nlm.nih.gov/gene/?term=SCPEP1","NCBI")</f>
        <v>NCBI</v>
      </c>
      <c r="F8919">
        <v>0.16</v>
      </c>
      <c r="G8919">
        <v>0.3</v>
      </c>
      <c r="H8919" s="1" t="str">
        <f>HYPERLINK("http://www.weizmann.ac.il/complex/compphys/software/geview/data/figures/218217_at.png","Figure")</f>
        <v>Figure</v>
      </c>
      <c r="I8919">
        <v>0.99399999999999999</v>
      </c>
      <c r="J8919">
        <v>1</v>
      </c>
      <c r="K8919">
        <v>1.37</v>
      </c>
      <c r="L8919">
        <v>0.22</v>
      </c>
      <c r="M8919">
        <v>1.38</v>
      </c>
      <c r="N8919">
        <v>0.25</v>
      </c>
    </row>
    <row r="8920" spans="1:14" x14ac:dyDescent="0.25">
      <c r="A8920" t="s">
        <v>15708</v>
      </c>
      <c r="B8920" t="s">
        <v>15709</v>
      </c>
      <c r="C8920" s="1" t="str">
        <f>HYPERLINK("http://www.genecards.org/cgi-bin/carddisp.pl?gene=HMOX1","GeneCards")</f>
        <v>GeneCards</v>
      </c>
      <c r="D8920" s="1" t="str">
        <f>HYPERLINK("http://genome-euro.ucsc.edu/cgi-bin/hgTracks?position=203665_at","UCSC")</f>
        <v>UCSC</v>
      </c>
      <c r="E8920" s="1" t="str">
        <f>HYPERLINK("http://www.ncbi.nlm.nih.gov/gene/?term=HMOX1","NCBI")</f>
        <v>NCBI</v>
      </c>
      <c r="F8920">
        <v>0.16</v>
      </c>
      <c r="G8920">
        <v>0.3</v>
      </c>
      <c r="H8920" s="1" t="str">
        <f>HYPERLINK("http://www.weizmann.ac.il/complex/compphys/software/geview/data/figures/203665_at.png","Figure")</f>
        <v>Figure</v>
      </c>
      <c r="I8920">
        <v>1.18</v>
      </c>
      <c r="J8920">
        <v>0.18</v>
      </c>
      <c r="K8920">
        <v>1.1299999999999999</v>
      </c>
      <c r="L8920">
        <v>0.26</v>
      </c>
      <c r="M8920">
        <v>0.96</v>
      </c>
      <c r="N8920">
        <v>0.87</v>
      </c>
    </row>
    <row r="8921" spans="1:14" x14ac:dyDescent="0.25">
      <c r="A8921" t="s">
        <v>15710</v>
      </c>
      <c r="B8921" t="s">
        <v>15711</v>
      </c>
      <c r="C8921" s="1" t="str">
        <f>HYPERLINK("http://www.genecards.org/cgi-bin/carddisp.pl?gene=SSBP2","GeneCards")</f>
        <v>GeneCards</v>
      </c>
      <c r="D8921" s="1" t="str">
        <f>HYPERLINK("http://genome-euro.ucsc.edu/cgi-bin/hgTracks?position=210829_s_at","UCSC")</f>
        <v>UCSC</v>
      </c>
      <c r="E8921" s="1" t="str">
        <f>HYPERLINK("http://www.ncbi.nlm.nih.gov/gene/?term=SSBP2","NCBI")</f>
        <v>NCBI</v>
      </c>
      <c r="F8921">
        <v>0.16</v>
      </c>
      <c r="G8921">
        <v>0.3</v>
      </c>
      <c r="H8921" s="1" t="str">
        <f>HYPERLINK("http://www.weizmann.ac.il/complex/compphys/software/geview/data/figures/210829_s_at.png","Figure")</f>
        <v>Figure</v>
      </c>
      <c r="I8921">
        <v>1.43</v>
      </c>
      <c r="J8921">
        <v>0.4</v>
      </c>
      <c r="K8921">
        <v>1.6</v>
      </c>
      <c r="L8921">
        <v>0.14000000000000001</v>
      </c>
      <c r="M8921">
        <v>1.1200000000000001</v>
      </c>
      <c r="N8921">
        <v>0.89</v>
      </c>
    </row>
    <row r="8922" spans="1:14" x14ac:dyDescent="0.25">
      <c r="A8922" t="s">
        <v>15712</v>
      </c>
      <c r="B8922" t="s">
        <v>2530</v>
      </c>
      <c r="C8922" s="1" t="str">
        <f>HYPERLINK("http://www.genecards.org/cgi-bin/carddisp.pl?gene=ENOX2","GeneCards")</f>
        <v>GeneCards</v>
      </c>
      <c r="D8922" s="1" t="str">
        <f>HYPERLINK("http://genome-euro.ucsc.edu/cgi-bin/hgTracks?position=32042_at","UCSC")</f>
        <v>UCSC</v>
      </c>
      <c r="E8922" s="1" t="str">
        <f>HYPERLINK("http://www.ncbi.nlm.nih.gov/gene/?term=ENOX2","NCBI")</f>
        <v>NCBI</v>
      </c>
      <c r="F8922">
        <v>0.16</v>
      </c>
      <c r="G8922">
        <v>0.3</v>
      </c>
      <c r="H8922" s="1" t="str">
        <f>HYPERLINK("http://www.weizmann.ac.il/complex/compphys/software/geview/data/figures/32042_at.png","Figure")</f>
        <v>Figure</v>
      </c>
      <c r="I8922">
        <v>0.80700000000000005</v>
      </c>
      <c r="J8922">
        <v>0.22</v>
      </c>
      <c r="K8922">
        <v>1</v>
      </c>
      <c r="L8922">
        <v>1</v>
      </c>
      <c r="M8922">
        <v>1.24</v>
      </c>
      <c r="N8922">
        <v>0.18</v>
      </c>
    </row>
    <row r="8923" spans="1:14" x14ac:dyDescent="0.25">
      <c r="A8923" t="s">
        <v>15713</v>
      </c>
      <c r="B8923" t="s">
        <v>11342</v>
      </c>
      <c r="C8923" s="1" t="str">
        <f>HYPERLINK("http://www.genecards.org/cgi-bin/carddisp.pl?gene=RAE1","GeneCards")</f>
        <v>GeneCards</v>
      </c>
      <c r="D8923" s="1" t="str">
        <f>HYPERLINK("http://genome-euro.ucsc.edu/cgi-bin/hgTracks?position=211318_s_at","UCSC")</f>
        <v>UCSC</v>
      </c>
      <c r="E8923" s="1" t="str">
        <f>HYPERLINK("http://www.ncbi.nlm.nih.gov/gene/?term=RAE1","NCBI")</f>
        <v>NCBI</v>
      </c>
      <c r="F8923">
        <v>0.16</v>
      </c>
      <c r="G8923">
        <v>0.3</v>
      </c>
      <c r="H8923" s="1" t="str">
        <f>HYPERLINK("http://www.weizmann.ac.il/complex/compphys/software/geview/data/figures/211318_s_at.png","Figure")</f>
        <v>Figure</v>
      </c>
      <c r="I8923">
        <v>1.1000000000000001</v>
      </c>
      <c r="J8923">
        <v>0.84</v>
      </c>
      <c r="K8923">
        <v>0.81200000000000006</v>
      </c>
      <c r="L8923">
        <v>0.36</v>
      </c>
      <c r="M8923">
        <v>0.73799999999999999</v>
      </c>
      <c r="N8923">
        <v>0.17</v>
      </c>
    </row>
    <row r="8924" spans="1:14" x14ac:dyDescent="0.25">
      <c r="A8924" t="s">
        <v>15714</v>
      </c>
      <c r="B8924" t="s">
        <v>15715</v>
      </c>
      <c r="C8924" s="1" t="str">
        <f>HYPERLINK("http://www.genecards.org/cgi-bin/carddisp.pl?gene=STRADA","GeneCards")</f>
        <v>GeneCards</v>
      </c>
      <c r="D8924" s="1" t="str">
        <f>HYPERLINK("http://genome-euro.ucsc.edu/cgi-bin/hgTracks?position=221554_at","UCSC")</f>
        <v>UCSC</v>
      </c>
      <c r="E8924" s="1" t="str">
        <f>HYPERLINK("http://www.ncbi.nlm.nih.gov/gene/?term=STRADA","NCBI")</f>
        <v>NCBI</v>
      </c>
      <c r="F8924">
        <v>0.16</v>
      </c>
      <c r="G8924">
        <v>0.3</v>
      </c>
      <c r="H8924" s="1" t="str">
        <f>HYPERLINK("http://www.weizmann.ac.il/complex/compphys/software/geview/data/figures/221554_at.png","Figure")</f>
        <v>Figure</v>
      </c>
      <c r="I8924">
        <v>1.02</v>
      </c>
      <c r="J8924">
        <v>0.94</v>
      </c>
      <c r="K8924">
        <v>0.91600000000000004</v>
      </c>
      <c r="L8924">
        <v>0.28999999999999998</v>
      </c>
      <c r="M8924">
        <v>0.89600000000000002</v>
      </c>
      <c r="N8924">
        <v>0.2</v>
      </c>
    </row>
    <row r="8925" spans="1:14" x14ac:dyDescent="0.25">
      <c r="A8925" t="s">
        <v>15716</v>
      </c>
      <c r="B8925" t="s">
        <v>15717</v>
      </c>
      <c r="C8925" s="1" t="str">
        <f>HYPERLINK("http://www.genecards.org/cgi-bin/carddisp.pl?gene=PYGM","GeneCards")</f>
        <v>GeneCards</v>
      </c>
      <c r="D8925" s="1" t="str">
        <f>HYPERLINK("http://genome-euro.ucsc.edu/cgi-bin/hgTracks?position=205577_at","UCSC")</f>
        <v>UCSC</v>
      </c>
      <c r="E8925" s="1" t="str">
        <f>HYPERLINK("http://www.ncbi.nlm.nih.gov/gene/?term=PYGM","NCBI")</f>
        <v>NCBI</v>
      </c>
      <c r="F8925">
        <v>0.16</v>
      </c>
      <c r="G8925">
        <v>0.3</v>
      </c>
      <c r="H8925" s="1" t="str">
        <f>HYPERLINK("http://www.weizmann.ac.il/complex/compphys/software/geview/data/figures/205577_at.png","Figure")</f>
        <v>Figure</v>
      </c>
      <c r="I8925">
        <v>0.97599999999999998</v>
      </c>
      <c r="J8925">
        <v>0.67</v>
      </c>
      <c r="K8925">
        <v>1.03</v>
      </c>
      <c r="L8925">
        <v>0.49</v>
      </c>
      <c r="M8925">
        <v>1.06</v>
      </c>
      <c r="N8925">
        <v>0.15</v>
      </c>
    </row>
    <row r="8926" spans="1:14" x14ac:dyDescent="0.25">
      <c r="A8926" t="s">
        <v>15718</v>
      </c>
      <c r="B8926" t="s">
        <v>15719</v>
      </c>
      <c r="C8926" s="1" t="str">
        <f>HYPERLINK("http://www.genecards.org/cgi-bin/carddisp.pl?gene=LOC100130955","GeneCards")</f>
        <v>GeneCards</v>
      </c>
      <c r="D8926" s="1" t="str">
        <f>HYPERLINK("http://genome-euro.ucsc.edu/cgi-bin/hgTracks?position=210795_s_at","UCSC")</f>
        <v>UCSC</v>
      </c>
      <c r="E8926" s="1" t="str">
        <f>HYPERLINK("http://www.ncbi.nlm.nih.gov/gene/?term=LOC100130955","NCBI")</f>
        <v>NCBI</v>
      </c>
      <c r="F8926">
        <v>0.16</v>
      </c>
      <c r="G8926">
        <v>0.3</v>
      </c>
      <c r="H8926" s="1" t="str">
        <f>HYPERLINK("http://www.weizmann.ac.il/complex/compphys/software/geview/data/figures/210795_s_at.png","Figure")</f>
        <v>Figure</v>
      </c>
      <c r="I8926">
        <v>1.1499999999999999</v>
      </c>
      <c r="J8926">
        <v>0.14000000000000001</v>
      </c>
      <c r="K8926">
        <v>1.06</v>
      </c>
      <c r="L8926">
        <v>0.63</v>
      </c>
      <c r="M8926">
        <v>0.92200000000000004</v>
      </c>
      <c r="N8926">
        <v>0.41</v>
      </c>
    </row>
    <row r="8927" spans="1:14" x14ac:dyDescent="0.25">
      <c r="A8927" t="s">
        <v>15720</v>
      </c>
      <c r="B8927" t="s">
        <v>6321</v>
      </c>
      <c r="C8927" s="1" t="str">
        <f>HYPERLINK("http://www.genecards.org/cgi-bin/carddisp.pl?gene=ZNF133","GeneCards")</f>
        <v>GeneCards</v>
      </c>
      <c r="D8927" s="1" t="str">
        <f>HYPERLINK("http://genome-euro.ucsc.edu/cgi-bin/hgTracks?position=216960_s_at","UCSC")</f>
        <v>UCSC</v>
      </c>
      <c r="E8927" s="1" t="str">
        <f>HYPERLINK("http://www.ncbi.nlm.nih.gov/gene/?term=ZNF133","NCBI")</f>
        <v>NCBI</v>
      </c>
      <c r="F8927">
        <v>0.16</v>
      </c>
      <c r="G8927">
        <v>0.3</v>
      </c>
      <c r="H8927" s="1" t="str">
        <f>HYPERLINK("http://www.weizmann.ac.il/complex/compphys/software/geview/data/figures/216960_s_at.png","Figure")</f>
        <v>Figure</v>
      </c>
      <c r="I8927">
        <v>0.89800000000000002</v>
      </c>
      <c r="J8927">
        <v>0.55000000000000004</v>
      </c>
      <c r="K8927">
        <v>1.0900000000000001</v>
      </c>
      <c r="L8927">
        <v>0.61</v>
      </c>
      <c r="M8927">
        <v>1.21</v>
      </c>
      <c r="N8927">
        <v>0.14000000000000001</v>
      </c>
    </row>
    <row r="8928" spans="1:14" x14ac:dyDescent="0.25">
      <c r="A8928" t="s">
        <v>15721</v>
      </c>
      <c r="B8928" t="s">
        <v>7431</v>
      </c>
      <c r="C8928" s="1" t="str">
        <f>HYPERLINK("http://www.genecards.org/cgi-bin/carddisp.pl?gene=RNF216","GeneCards")</f>
        <v>GeneCards</v>
      </c>
      <c r="D8928" s="1" t="str">
        <f>HYPERLINK("http://genome-euro.ucsc.edu/cgi-bin/hgTracks?position=218425_at","UCSC")</f>
        <v>UCSC</v>
      </c>
      <c r="E8928" s="1" t="str">
        <f>HYPERLINK("http://www.ncbi.nlm.nih.gov/gene/?term=RNF216","NCBI")</f>
        <v>NCBI</v>
      </c>
      <c r="F8928">
        <v>0.16</v>
      </c>
      <c r="G8928">
        <v>0.3</v>
      </c>
      <c r="H8928" s="1" t="str">
        <f>HYPERLINK("http://www.weizmann.ac.il/complex/compphys/software/geview/data/figures/218425_at.png","Figure")</f>
        <v>Figure</v>
      </c>
      <c r="I8928">
        <v>0.96099999999999997</v>
      </c>
      <c r="J8928">
        <v>0.96</v>
      </c>
      <c r="K8928">
        <v>0.78500000000000003</v>
      </c>
      <c r="L8928">
        <v>0.18</v>
      </c>
      <c r="M8928">
        <v>0.81699999999999995</v>
      </c>
      <c r="N8928">
        <v>0.33</v>
      </c>
    </row>
    <row r="8929" spans="1:14" x14ac:dyDescent="0.25">
      <c r="A8929" t="s">
        <v>15722</v>
      </c>
      <c r="B8929" t="s">
        <v>12532</v>
      </c>
      <c r="C8929" s="1" t="str">
        <f>HYPERLINK("http://www.genecards.org/cgi-bin/carddisp.pl?gene=HFE","GeneCards")</f>
        <v>GeneCards</v>
      </c>
      <c r="D8929" s="1" t="str">
        <f>HYPERLINK("http://genome-euro.ucsc.edu/cgi-bin/hgTracks?position=211328_x_at","UCSC")</f>
        <v>UCSC</v>
      </c>
      <c r="E8929" s="1" t="str">
        <f>HYPERLINK("http://www.ncbi.nlm.nih.gov/gene/?term=HFE","NCBI")</f>
        <v>NCBI</v>
      </c>
      <c r="F8929">
        <v>0.16</v>
      </c>
      <c r="G8929">
        <v>0.3</v>
      </c>
      <c r="H8929" s="1" t="str">
        <f>HYPERLINK("http://www.weizmann.ac.il/complex/compphys/software/geview/data/figures/211328_x_at.png","Figure")</f>
        <v>Figure</v>
      </c>
      <c r="I8929">
        <v>1.26</v>
      </c>
      <c r="J8929">
        <v>0.17</v>
      </c>
      <c r="K8929">
        <v>1.03</v>
      </c>
      <c r="L8929">
        <v>0.95</v>
      </c>
      <c r="M8929">
        <v>0.82199999999999995</v>
      </c>
      <c r="N8929">
        <v>0.23</v>
      </c>
    </row>
    <row r="8930" spans="1:14" x14ac:dyDescent="0.25">
      <c r="A8930" t="s">
        <v>15723</v>
      </c>
      <c r="B8930" t="s">
        <v>15724</v>
      </c>
      <c r="C8930" s="1" t="str">
        <f>HYPERLINK("http://www.genecards.org/cgi-bin/carddisp.pl?gene=TMEM131","GeneCards")</f>
        <v>GeneCards</v>
      </c>
      <c r="D8930" s="1" t="str">
        <f>HYPERLINK("http://genome-euro.ucsc.edu/cgi-bin/hgTracks?position=212507_at","UCSC")</f>
        <v>UCSC</v>
      </c>
      <c r="E8930" s="1" t="str">
        <f>HYPERLINK("http://www.ncbi.nlm.nih.gov/gene/?term=TMEM131","NCBI")</f>
        <v>NCBI</v>
      </c>
      <c r="F8930">
        <v>0.16</v>
      </c>
      <c r="G8930">
        <v>0.3</v>
      </c>
      <c r="H8930" s="1" t="str">
        <f>HYPERLINK("http://www.weizmann.ac.il/complex/compphys/software/geview/data/figures/212507_at.png","Figure")</f>
        <v>Figure</v>
      </c>
      <c r="I8930">
        <v>0.6</v>
      </c>
      <c r="J8930">
        <v>0.14000000000000001</v>
      </c>
      <c r="K8930">
        <v>0.81399999999999995</v>
      </c>
      <c r="L8930">
        <v>0.62</v>
      </c>
      <c r="M8930">
        <v>1.36</v>
      </c>
      <c r="N8930">
        <v>0.41</v>
      </c>
    </row>
    <row r="8931" spans="1:14" x14ac:dyDescent="0.25">
      <c r="A8931" t="s">
        <v>15725</v>
      </c>
      <c r="B8931" t="s">
        <v>15726</v>
      </c>
      <c r="C8931" s="1" t="str">
        <f>HYPERLINK("http://www.genecards.org/cgi-bin/carddisp.pl?gene=FAM98A","GeneCards")</f>
        <v>GeneCards</v>
      </c>
      <c r="D8931" s="1" t="str">
        <f>HYPERLINK("http://genome-euro.ucsc.edu/cgi-bin/hgTracks?position=212333_at","UCSC")</f>
        <v>UCSC</v>
      </c>
      <c r="E8931" s="1" t="str">
        <f>HYPERLINK("http://www.ncbi.nlm.nih.gov/gene/?term=FAM98A","NCBI")</f>
        <v>NCBI</v>
      </c>
      <c r="F8931">
        <v>0.16</v>
      </c>
      <c r="G8931">
        <v>0.31</v>
      </c>
      <c r="H8931" s="1" t="str">
        <f>HYPERLINK("http://www.weizmann.ac.il/complex/compphys/software/geview/data/figures/212333_at.png","Figure")</f>
        <v>Figure</v>
      </c>
      <c r="I8931">
        <v>0.67900000000000005</v>
      </c>
      <c r="J8931">
        <v>0.18</v>
      </c>
      <c r="K8931">
        <v>0.95099999999999996</v>
      </c>
      <c r="L8931">
        <v>0.96</v>
      </c>
      <c r="M8931">
        <v>1.4</v>
      </c>
      <c r="N8931">
        <v>0.22</v>
      </c>
    </row>
    <row r="8932" spans="1:14" x14ac:dyDescent="0.25">
      <c r="A8932" t="s">
        <v>15727</v>
      </c>
      <c r="B8932" t="s">
        <v>15728</v>
      </c>
      <c r="C8932" s="1" t="str">
        <f>HYPERLINK("http://www.genecards.org/cgi-bin/carddisp.pl?gene=PRDM1","GeneCards")</f>
        <v>GeneCards</v>
      </c>
      <c r="D8932" s="1" t="str">
        <f>HYPERLINK("http://genome-euro.ucsc.edu/cgi-bin/hgTracks?position=217192_s_at","UCSC")</f>
        <v>UCSC</v>
      </c>
      <c r="E8932" s="1" t="str">
        <f>HYPERLINK("http://www.ncbi.nlm.nih.gov/gene/?term=PRDM1","NCBI")</f>
        <v>NCBI</v>
      </c>
      <c r="F8932">
        <v>0.16</v>
      </c>
      <c r="G8932">
        <v>0.31</v>
      </c>
      <c r="H8932" s="1" t="str">
        <f>HYPERLINK("http://www.weizmann.ac.il/complex/compphys/software/geview/data/figures/217192_s_at.png","Figure")</f>
        <v>Figure</v>
      </c>
      <c r="I8932">
        <v>0.92400000000000004</v>
      </c>
      <c r="J8932">
        <v>0.76</v>
      </c>
      <c r="K8932">
        <v>0.82299999999999995</v>
      </c>
      <c r="L8932">
        <v>0.15</v>
      </c>
      <c r="M8932">
        <v>0.89</v>
      </c>
      <c r="N8932">
        <v>0.51</v>
      </c>
    </row>
    <row r="8933" spans="1:14" x14ac:dyDescent="0.25">
      <c r="A8933" t="s">
        <v>15729</v>
      </c>
      <c r="B8933" t="s">
        <v>15730</v>
      </c>
      <c r="C8933" s="1" t="str">
        <f>HYPERLINK("http://www.genecards.org/cgi-bin/carddisp.pl?gene=FAM120C","GeneCards")</f>
        <v>GeneCards</v>
      </c>
      <c r="D8933" s="1" t="str">
        <f>HYPERLINK("http://genome-euro.ucsc.edu/cgi-bin/hgTracks?position=220685_at","UCSC")</f>
        <v>UCSC</v>
      </c>
      <c r="E8933" s="1" t="str">
        <f>HYPERLINK("http://www.ncbi.nlm.nih.gov/gene/?term=FAM120C","NCBI")</f>
        <v>NCBI</v>
      </c>
      <c r="F8933">
        <v>0.16</v>
      </c>
      <c r="G8933">
        <v>0.31</v>
      </c>
      <c r="H8933" s="1" t="str">
        <f>HYPERLINK("http://www.weizmann.ac.il/complex/compphys/software/geview/data/figures/220685_at.png","Figure")</f>
        <v>Figure</v>
      </c>
      <c r="I8933">
        <v>0.97299999999999998</v>
      </c>
      <c r="J8933">
        <v>0.88</v>
      </c>
      <c r="K8933">
        <v>0.90900000000000003</v>
      </c>
      <c r="L8933">
        <v>0.16</v>
      </c>
      <c r="M8933">
        <v>0.93300000000000005</v>
      </c>
      <c r="N8933">
        <v>0.41</v>
      </c>
    </row>
    <row r="8934" spans="1:14" x14ac:dyDescent="0.25">
      <c r="A8934" t="s">
        <v>15731</v>
      </c>
      <c r="B8934" t="s">
        <v>11204</v>
      </c>
      <c r="C8934" s="1" t="str">
        <f>HYPERLINK("http://www.genecards.org/cgi-bin/carddisp.pl?gene=SFRP1","GeneCards")</f>
        <v>GeneCards</v>
      </c>
      <c r="D8934" s="1" t="str">
        <f>HYPERLINK("http://genome-euro.ucsc.edu/cgi-bin/hgTracks?position=202036_s_at","UCSC")</f>
        <v>UCSC</v>
      </c>
      <c r="E8934" s="1" t="str">
        <f>HYPERLINK("http://www.ncbi.nlm.nih.gov/gene/?term=SFRP1","NCBI")</f>
        <v>NCBI</v>
      </c>
      <c r="F8934">
        <v>0.16</v>
      </c>
      <c r="G8934">
        <v>0.31</v>
      </c>
      <c r="H8934" s="1" t="str">
        <f>HYPERLINK("http://www.weizmann.ac.il/complex/compphys/software/geview/data/figures/202036_s_at.png","Figure")</f>
        <v>Figure</v>
      </c>
      <c r="I8934">
        <v>1.1200000000000001</v>
      </c>
      <c r="J8934">
        <v>0.14000000000000001</v>
      </c>
      <c r="K8934">
        <v>1.06</v>
      </c>
      <c r="L8934">
        <v>0.49</v>
      </c>
      <c r="M8934">
        <v>0.94299999999999995</v>
      </c>
      <c r="N8934">
        <v>0.53</v>
      </c>
    </row>
    <row r="8935" spans="1:14" x14ac:dyDescent="0.25">
      <c r="A8935" t="s">
        <v>15732</v>
      </c>
      <c r="B8935" t="s">
        <v>4307</v>
      </c>
      <c r="C8935" s="1" t="str">
        <f>HYPERLINK("http://www.genecards.org/cgi-bin/carddisp.pl?gene=BAIAP2","GeneCards")</f>
        <v>GeneCards</v>
      </c>
      <c r="D8935" s="1" t="str">
        <f>HYPERLINK("http://genome-euro.ucsc.edu/cgi-bin/hgTracks?position=205293_x_at","UCSC")</f>
        <v>UCSC</v>
      </c>
      <c r="E8935" s="1" t="str">
        <f>HYPERLINK("http://www.ncbi.nlm.nih.gov/gene/?term=BAIAP2","NCBI")</f>
        <v>NCBI</v>
      </c>
      <c r="F8935">
        <v>0.16</v>
      </c>
      <c r="G8935">
        <v>0.31</v>
      </c>
      <c r="H8935" s="1" t="str">
        <f>HYPERLINK("http://www.weizmann.ac.il/complex/compphys/software/geview/data/figures/205293_x_at.png","Figure")</f>
        <v>Figure</v>
      </c>
      <c r="I8935">
        <v>1.1100000000000001</v>
      </c>
      <c r="J8935">
        <v>0.18</v>
      </c>
      <c r="K8935">
        <v>1.08</v>
      </c>
      <c r="L8935">
        <v>0.26</v>
      </c>
      <c r="M8935">
        <v>0.97499999999999998</v>
      </c>
      <c r="N8935">
        <v>0.87</v>
      </c>
    </row>
    <row r="8936" spans="1:14" x14ac:dyDescent="0.25">
      <c r="A8936" t="s">
        <v>15733</v>
      </c>
      <c r="B8936" t="s">
        <v>15734</v>
      </c>
      <c r="C8936" s="1" t="str">
        <f>HYPERLINK("http://www.genecards.org/cgi-bin/carddisp.pl?gene=LILRB3","GeneCards")</f>
        <v>GeneCards</v>
      </c>
      <c r="D8936" s="1" t="str">
        <f>HYPERLINK("http://genome-euro.ucsc.edu/cgi-bin/hgTracks?position=211135_x_at","UCSC")</f>
        <v>UCSC</v>
      </c>
      <c r="E8936" s="1" t="str">
        <f>HYPERLINK("http://www.ncbi.nlm.nih.gov/gene/?term=LILRB3","NCBI")</f>
        <v>NCBI</v>
      </c>
      <c r="F8936">
        <v>0.16</v>
      </c>
      <c r="G8936">
        <v>0.31</v>
      </c>
      <c r="H8936" s="1" t="str">
        <f>HYPERLINK("http://www.weizmann.ac.il/complex/compphys/software/geview/data/figures/211135_x_at.png","Figure")</f>
        <v>Figure</v>
      </c>
      <c r="I8936">
        <v>1.21</v>
      </c>
      <c r="J8936">
        <v>0.3</v>
      </c>
      <c r="K8936">
        <v>1.23</v>
      </c>
      <c r="L8936">
        <v>0.16</v>
      </c>
      <c r="M8936">
        <v>1.02</v>
      </c>
      <c r="N8936">
        <v>0.98</v>
      </c>
    </row>
    <row r="8937" spans="1:14" x14ac:dyDescent="0.25">
      <c r="A8937" t="s">
        <v>15735</v>
      </c>
      <c r="B8937" t="s">
        <v>15736</v>
      </c>
      <c r="C8937" s="1" t="str">
        <f>HYPERLINK("http://www.genecards.org/cgi-bin/carddisp.pl?gene=SP110","GeneCards")</f>
        <v>GeneCards</v>
      </c>
      <c r="D8937" s="1" t="str">
        <f>HYPERLINK("http://genome-euro.ucsc.edu/cgi-bin/hgTracks?position=208012_x_at","UCSC")</f>
        <v>UCSC</v>
      </c>
      <c r="E8937" s="1" t="str">
        <f>HYPERLINK("http://www.ncbi.nlm.nih.gov/gene/?term=SP110","NCBI")</f>
        <v>NCBI</v>
      </c>
      <c r="F8937">
        <v>0.16</v>
      </c>
      <c r="G8937">
        <v>0.31</v>
      </c>
      <c r="H8937" s="1" t="str">
        <f>HYPERLINK("http://www.weizmann.ac.il/complex/compphys/software/geview/data/figures/208012_x_at.png","Figure")</f>
        <v>Figure</v>
      </c>
      <c r="I8937">
        <v>1.42</v>
      </c>
      <c r="J8937">
        <v>0.14000000000000001</v>
      </c>
      <c r="K8937">
        <v>1.21</v>
      </c>
      <c r="L8937">
        <v>0.43</v>
      </c>
      <c r="M8937">
        <v>0.85599999999999998</v>
      </c>
      <c r="N8937">
        <v>0.6</v>
      </c>
    </row>
    <row r="8938" spans="1:14" x14ac:dyDescent="0.25">
      <c r="A8938" t="s">
        <v>15737</v>
      </c>
      <c r="B8938" t="s">
        <v>2286</v>
      </c>
      <c r="C8938" s="1" t="str">
        <f>HYPERLINK("http://www.genecards.org/cgi-bin/carddisp.pl?gene=PLAUR","GeneCards")</f>
        <v>GeneCards</v>
      </c>
      <c r="D8938" s="1" t="str">
        <f>HYPERLINK("http://genome-euro.ucsc.edu/cgi-bin/hgTracks?position=211924_s_at","UCSC")</f>
        <v>UCSC</v>
      </c>
      <c r="E8938" s="1" t="str">
        <f>HYPERLINK("http://www.ncbi.nlm.nih.gov/gene/?term=PLAUR","NCBI")</f>
        <v>NCBI</v>
      </c>
      <c r="F8938">
        <v>0.16</v>
      </c>
      <c r="G8938">
        <v>0.31</v>
      </c>
      <c r="H8938" s="1" t="str">
        <f>HYPERLINK("http://www.weizmann.ac.il/complex/compphys/software/geview/data/figures/211924_s_at.png","Figure")</f>
        <v>Figure</v>
      </c>
      <c r="I8938">
        <v>1.05</v>
      </c>
      <c r="J8938">
        <v>0.87</v>
      </c>
      <c r="K8938">
        <v>0.88</v>
      </c>
      <c r="L8938">
        <v>0.34</v>
      </c>
      <c r="M8938">
        <v>0.83699999999999997</v>
      </c>
      <c r="N8938">
        <v>0.18</v>
      </c>
    </row>
    <row r="8939" spans="1:14" x14ac:dyDescent="0.25">
      <c r="A8939" t="s">
        <v>15738</v>
      </c>
      <c r="B8939" t="s">
        <v>15739</v>
      </c>
      <c r="C8939" s="1" t="str">
        <f>HYPERLINK("http://www.genecards.org/cgi-bin/carddisp.pl?gene=GALNT6","GeneCards")</f>
        <v>GeneCards</v>
      </c>
      <c r="D8939" s="1" t="str">
        <f>HYPERLINK("http://genome-euro.ucsc.edu/cgi-bin/hgTracks?position=219956_at","UCSC")</f>
        <v>UCSC</v>
      </c>
      <c r="E8939" s="1" t="str">
        <f>HYPERLINK("http://www.ncbi.nlm.nih.gov/gene/?term=GALNT6","NCBI")</f>
        <v>NCBI</v>
      </c>
      <c r="F8939">
        <v>0.16</v>
      </c>
      <c r="G8939">
        <v>0.31</v>
      </c>
      <c r="H8939" s="1" t="str">
        <f>HYPERLINK("http://www.weizmann.ac.il/complex/compphys/software/geview/data/figures/219956_at.png","Figure")</f>
        <v>Figure</v>
      </c>
      <c r="I8939">
        <v>0.84299999999999997</v>
      </c>
      <c r="J8939">
        <v>0.23</v>
      </c>
      <c r="K8939">
        <v>1</v>
      </c>
      <c r="L8939">
        <v>1</v>
      </c>
      <c r="M8939">
        <v>1.19</v>
      </c>
      <c r="N8939">
        <v>0.17</v>
      </c>
    </row>
    <row r="8940" spans="1:14" x14ac:dyDescent="0.25">
      <c r="A8940" t="s">
        <v>15740</v>
      </c>
      <c r="B8940" t="s">
        <v>15741</v>
      </c>
      <c r="C8940" s="1" t="str">
        <f>HYPERLINK("http://www.genecards.org/cgi-bin/carddisp.pl?gene=EPHX1","GeneCards")</f>
        <v>GeneCards</v>
      </c>
      <c r="D8940" s="1" t="str">
        <f>HYPERLINK("http://genome-euro.ucsc.edu/cgi-bin/hgTracks?position=202017_at","UCSC")</f>
        <v>UCSC</v>
      </c>
      <c r="E8940" s="1" t="str">
        <f>HYPERLINK("http://www.ncbi.nlm.nih.gov/gene/?term=EPHX1","NCBI")</f>
        <v>NCBI</v>
      </c>
      <c r="F8940">
        <v>0.16</v>
      </c>
      <c r="G8940">
        <v>0.31</v>
      </c>
      <c r="H8940" s="1" t="str">
        <f>HYPERLINK("http://www.weizmann.ac.il/complex/compphys/software/geview/data/figures/202017_at.png","Figure")</f>
        <v>Figure</v>
      </c>
      <c r="I8940">
        <v>1.02</v>
      </c>
      <c r="J8940">
        <v>0.95</v>
      </c>
      <c r="K8940">
        <v>1.1299999999999999</v>
      </c>
      <c r="L8940">
        <v>0.18</v>
      </c>
      <c r="M8940">
        <v>1.1100000000000001</v>
      </c>
      <c r="N8940">
        <v>0.35</v>
      </c>
    </row>
    <row r="8941" spans="1:14" x14ac:dyDescent="0.25">
      <c r="A8941" t="s">
        <v>15742</v>
      </c>
      <c r="B8941" t="s">
        <v>15743</v>
      </c>
      <c r="C8941" s="1" t="str">
        <f>HYPERLINK("http://www.genecards.org/cgi-bin/carddisp.pl?gene=HNRNPC /// HNRNPCL1 /// LOC440563 /// LOC649330","GeneCards")</f>
        <v>GeneCards</v>
      </c>
      <c r="D8941" s="1" t="str">
        <f>HYPERLINK("http://genome-euro.ucsc.edu/cgi-bin/hgTracks?position=216302_at","UCSC")</f>
        <v>UCSC</v>
      </c>
      <c r="E8941" s="1" t="str">
        <f>HYPERLINK("http://www.ncbi.nlm.nih.gov/gene/?term=HNRNPC /// HNRNPCL1 /// LOC440563 /// LOC649330","NCBI")</f>
        <v>NCBI</v>
      </c>
      <c r="F8941">
        <v>0.16</v>
      </c>
      <c r="G8941">
        <v>0.31</v>
      </c>
      <c r="H8941" s="1" t="str">
        <f>HYPERLINK("http://www.weizmann.ac.il/complex/compphys/software/geview/data/figures/216302_at.png","Figure")</f>
        <v>Figure</v>
      </c>
      <c r="I8941">
        <v>1.06</v>
      </c>
      <c r="J8941">
        <v>0.65</v>
      </c>
      <c r="K8941">
        <v>1.1200000000000001</v>
      </c>
      <c r="L8941">
        <v>0.14000000000000001</v>
      </c>
      <c r="M8941">
        <v>1.06</v>
      </c>
      <c r="N8941">
        <v>0.62</v>
      </c>
    </row>
    <row r="8942" spans="1:14" x14ac:dyDescent="0.25">
      <c r="A8942" t="s">
        <v>15744</v>
      </c>
      <c r="B8942" t="s">
        <v>3456</v>
      </c>
      <c r="C8942" s="1" t="str">
        <f>HYPERLINK("http://www.genecards.org/cgi-bin/carddisp.pl?gene=GP2","GeneCards")</f>
        <v>GeneCards</v>
      </c>
      <c r="D8942" s="1" t="str">
        <f>HYPERLINK("http://genome-euro.ucsc.edu/cgi-bin/hgTracks?position=208473_s_at","UCSC")</f>
        <v>UCSC</v>
      </c>
      <c r="E8942" s="1" t="str">
        <f>HYPERLINK("http://www.ncbi.nlm.nih.gov/gene/?term=GP2","NCBI")</f>
        <v>NCBI</v>
      </c>
      <c r="F8942">
        <v>0.16</v>
      </c>
      <c r="G8942">
        <v>0.31</v>
      </c>
      <c r="H8942" s="1" t="str">
        <f>HYPERLINK("http://www.weizmann.ac.il/complex/compphys/software/geview/data/figures/208473_s_at.png","Figure")</f>
        <v>Figure</v>
      </c>
      <c r="I8942">
        <v>1.1299999999999999</v>
      </c>
      <c r="J8942">
        <v>0.23</v>
      </c>
      <c r="K8942">
        <v>0.995</v>
      </c>
      <c r="L8942">
        <v>1</v>
      </c>
      <c r="M8942">
        <v>0.88300000000000001</v>
      </c>
      <c r="N8942">
        <v>0.17</v>
      </c>
    </row>
    <row r="8943" spans="1:14" x14ac:dyDescent="0.25">
      <c r="A8943" t="s">
        <v>15745</v>
      </c>
      <c r="B8943" t="s">
        <v>15399</v>
      </c>
      <c r="C8943" s="1" t="str">
        <f>HYPERLINK("http://www.genecards.org/cgi-bin/carddisp.pl?gene=ZFR","GeneCards")</f>
        <v>GeneCards</v>
      </c>
      <c r="D8943" s="1" t="str">
        <f>HYPERLINK("http://genome-euro.ucsc.edu/cgi-bin/hgTracks?position=33148_at","UCSC")</f>
        <v>UCSC</v>
      </c>
      <c r="E8943" s="1" t="str">
        <f>HYPERLINK("http://www.ncbi.nlm.nih.gov/gene/?term=ZFR","NCBI")</f>
        <v>NCBI</v>
      </c>
      <c r="F8943">
        <v>0.16</v>
      </c>
      <c r="G8943">
        <v>0.31</v>
      </c>
      <c r="H8943" s="1" t="str">
        <f>HYPERLINK("http://www.weizmann.ac.il/complex/compphys/software/geview/data/figures/33148_at.png","Figure")</f>
        <v>Figure</v>
      </c>
      <c r="I8943">
        <v>0.80700000000000005</v>
      </c>
      <c r="J8943">
        <v>0.71</v>
      </c>
      <c r="K8943">
        <v>0.622</v>
      </c>
      <c r="L8943">
        <v>0.14000000000000001</v>
      </c>
      <c r="M8943">
        <v>0.77100000000000002</v>
      </c>
      <c r="N8943">
        <v>0.56999999999999995</v>
      </c>
    </row>
    <row r="8944" spans="1:14" x14ac:dyDescent="0.25">
      <c r="A8944" t="s">
        <v>15746</v>
      </c>
      <c r="B8944" t="s">
        <v>8102</v>
      </c>
      <c r="C8944" s="1" t="str">
        <f>HYPERLINK("http://www.genecards.org/cgi-bin/carddisp.pl?gene=TMED5","GeneCards")</f>
        <v>GeneCards</v>
      </c>
      <c r="D8944" s="1" t="str">
        <f>HYPERLINK("http://genome-euro.ucsc.edu/cgi-bin/hgTracks?position=202194_at","UCSC")</f>
        <v>UCSC</v>
      </c>
      <c r="E8944" s="1" t="str">
        <f>HYPERLINK("http://www.ncbi.nlm.nih.gov/gene/?term=TMED5","NCBI")</f>
        <v>NCBI</v>
      </c>
      <c r="F8944">
        <v>0.16</v>
      </c>
      <c r="G8944">
        <v>0.31</v>
      </c>
      <c r="H8944" s="1" t="str">
        <f>HYPERLINK("http://www.weizmann.ac.il/complex/compphys/software/geview/data/figures/202194_at.png","Figure")</f>
        <v>Figure</v>
      </c>
      <c r="I8944">
        <v>0.81599999999999995</v>
      </c>
      <c r="J8944">
        <v>0.6</v>
      </c>
      <c r="K8944">
        <v>0.69199999999999995</v>
      </c>
      <c r="L8944">
        <v>0.14000000000000001</v>
      </c>
      <c r="M8944">
        <v>0.84799999999999998</v>
      </c>
      <c r="N8944">
        <v>0.67</v>
      </c>
    </row>
    <row r="8945" spans="1:14" x14ac:dyDescent="0.25">
      <c r="A8945" t="s">
        <v>15747</v>
      </c>
      <c r="B8945" t="s">
        <v>15748</v>
      </c>
      <c r="C8945" s="1" t="str">
        <f>HYPERLINK("http://www.genecards.org/cgi-bin/carddisp.pl?gene=GABBR1","GeneCards")</f>
        <v>GeneCards</v>
      </c>
      <c r="D8945" s="1" t="str">
        <f>HYPERLINK("http://genome-euro.ucsc.edu/cgi-bin/hgTracks?position=203146_s_at","UCSC")</f>
        <v>UCSC</v>
      </c>
      <c r="E8945" s="1" t="str">
        <f>HYPERLINK("http://www.ncbi.nlm.nih.gov/gene/?term=GABBR1","NCBI")</f>
        <v>NCBI</v>
      </c>
      <c r="F8945">
        <v>0.16</v>
      </c>
      <c r="G8945">
        <v>0.31</v>
      </c>
      <c r="H8945" s="1" t="str">
        <f>HYPERLINK("http://www.weizmann.ac.il/complex/compphys/software/geview/data/figures/203146_s_at.png","Figure")</f>
        <v>Figure</v>
      </c>
      <c r="I8945">
        <v>0.76800000000000002</v>
      </c>
      <c r="J8945">
        <v>0.52</v>
      </c>
      <c r="K8945">
        <v>0.65800000000000003</v>
      </c>
      <c r="L8945">
        <v>0.14000000000000001</v>
      </c>
      <c r="M8945">
        <v>0.85599999999999998</v>
      </c>
      <c r="N8945">
        <v>0.76</v>
      </c>
    </row>
    <row r="8946" spans="1:14" x14ac:dyDescent="0.25">
      <c r="A8946" t="s">
        <v>15749</v>
      </c>
      <c r="B8946" t="s">
        <v>15750</v>
      </c>
      <c r="C8946" s="1" t="str">
        <f>HYPERLINK("http://www.genecards.org/cgi-bin/carddisp.pl?gene=SIGLEC6","GeneCards")</f>
        <v>GeneCards</v>
      </c>
      <c r="D8946" s="1" t="str">
        <f>HYPERLINK("http://genome-euro.ucsc.edu/cgi-bin/hgTracks?position=206520_x_at","UCSC")</f>
        <v>UCSC</v>
      </c>
      <c r="E8946" s="1" t="str">
        <f>HYPERLINK("http://www.ncbi.nlm.nih.gov/gene/?term=SIGLEC6","NCBI")</f>
        <v>NCBI</v>
      </c>
      <c r="F8946">
        <v>0.16</v>
      </c>
      <c r="G8946">
        <v>0.31</v>
      </c>
      <c r="H8946" s="1" t="str">
        <f>HYPERLINK("http://www.weizmann.ac.il/complex/compphys/software/geview/data/figures/206520_x_at.png","Figure")</f>
        <v>Figure</v>
      </c>
      <c r="I8946">
        <v>1.1599999999999999</v>
      </c>
      <c r="J8946">
        <v>0.2</v>
      </c>
      <c r="K8946">
        <v>1.01</v>
      </c>
      <c r="L8946">
        <v>0.99</v>
      </c>
      <c r="M8946">
        <v>0.86699999999999999</v>
      </c>
      <c r="N8946">
        <v>0.19</v>
      </c>
    </row>
    <row r="8947" spans="1:14" x14ac:dyDescent="0.25">
      <c r="A8947" t="s">
        <v>15751</v>
      </c>
      <c r="B8947" t="s">
        <v>15752</v>
      </c>
      <c r="C8947" s="1" t="str">
        <f>HYPERLINK("http://www.genecards.org/cgi-bin/carddisp.pl?gene=SUPT6H","GeneCards")</f>
        <v>GeneCards</v>
      </c>
      <c r="D8947" s="1" t="str">
        <f>HYPERLINK("http://genome-euro.ucsc.edu/cgi-bin/hgTracks?position=208830_s_at","UCSC")</f>
        <v>UCSC</v>
      </c>
      <c r="E8947" s="1" t="str">
        <f>HYPERLINK("http://www.ncbi.nlm.nih.gov/gene/?term=SUPT6H","NCBI")</f>
        <v>NCBI</v>
      </c>
      <c r="F8947">
        <v>0.16</v>
      </c>
      <c r="G8947">
        <v>0.31</v>
      </c>
      <c r="H8947" s="1" t="str">
        <f>HYPERLINK("http://www.weizmann.ac.il/complex/compphys/software/geview/data/figures/208830_s_at.png","Figure")</f>
        <v>Figure</v>
      </c>
      <c r="I8947">
        <v>1.3</v>
      </c>
      <c r="J8947">
        <v>0.15</v>
      </c>
      <c r="K8947">
        <v>1.18</v>
      </c>
      <c r="L8947">
        <v>0.36</v>
      </c>
      <c r="M8947">
        <v>0.90400000000000003</v>
      </c>
      <c r="N8947">
        <v>0.7</v>
      </c>
    </row>
    <row r="8948" spans="1:14" x14ac:dyDescent="0.25">
      <c r="A8948" t="s">
        <v>15753</v>
      </c>
      <c r="B8948" t="s">
        <v>15754</v>
      </c>
      <c r="C8948" s="1" t="str">
        <f>HYPERLINK("http://www.genecards.org/cgi-bin/carddisp.pl?gene=CHD1L","GeneCards")</f>
        <v>GeneCards</v>
      </c>
      <c r="D8948" s="1" t="str">
        <f>HYPERLINK("http://genome-euro.ucsc.edu/cgi-bin/hgTracks?position=212539_at","UCSC")</f>
        <v>UCSC</v>
      </c>
      <c r="E8948" s="1" t="str">
        <f>HYPERLINK("http://www.ncbi.nlm.nih.gov/gene/?term=CHD1L","NCBI")</f>
        <v>NCBI</v>
      </c>
      <c r="F8948">
        <v>0.16</v>
      </c>
      <c r="G8948">
        <v>0.31</v>
      </c>
      <c r="H8948" s="1" t="str">
        <f>HYPERLINK("http://www.weizmann.ac.il/complex/compphys/software/geview/data/figures/212539_at.png","Figure")</f>
        <v>Figure</v>
      </c>
      <c r="I8948">
        <v>1.2</v>
      </c>
      <c r="J8948">
        <v>0.35</v>
      </c>
      <c r="K8948">
        <v>1.24</v>
      </c>
      <c r="L8948">
        <v>0.15</v>
      </c>
      <c r="M8948">
        <v>1.04</v>
      </c>
      <c r="N8948">
        <v>0.94</v>
      </c>
    </row>
    <row r="8949" spans="1:14" x14ac:dyDescent="0.25">
      <c r="A8949" t="s">
        <v>15755</v>
      </c>
      <c r="B8949" t="s">
        <v>15756</v>
      </c>
      <c r="C8949" s="1" t="str">
        <f>HYPERLINK("http://www.genecards.org/cgi-bin/carddisp.pl?gene=CDC14B","GeneCards")</f>
        <v>GeneCards</v>
      </c>
      <c r="D8949" s="1" t="str">
        <f>HYPERLINK("http://genome-euro.ucsc.edu/cgi-bin/hgTracks?position=221555_x_at","UCSC")</f>
        <v>UCSC</v>
      </c>
      <c r="E8949" s="1" t="str">
        <f>HYPERLINK("http://www.ncbi.nlm.nih.gov/gene/?term=CDC14B","NCBI")</f>
        <v>NCBI</v>
      </c>
      <c r="F8949">
        <v>0.16</v>
      </c>
      <c r="G8949">
        <v>0.31</v>
      </c>
      <c r="H8949" s="1" t="str">
        <f>HYPERLINK("http://www.weizmann.ac.il/complex/compphys/software/geview/data/figures/221555_x_at.png","Figure")</f>
        <v>Figure</v>
      </c>
      <c r="I8949">
        <v>1.1499999999999999</v>
      </c>
      <c r="J8949">
        <v>0.26</v>
      </c>
      <c r="K8949">
        <v>0.98499999999999999</v>
      </c>
      <c r="L8949">
        <v>0.98</v>
      </c>
      <c r="M8949">
        <v>0.85799999999999998</v>
      </c>
      <c r="N8949">
        <v>0.16</v>
      </c>
    </row>
    <row r="8950" spans="1:14" x14ac:dyDescent="0.25">
      <c r="A8950" t="s">
        <v>15757</v>
      </c>
      <c r="B8950" t="s">
        <v>15758</v>
      </c>
      <c r="C8950" s="1" t="str">
        <f>HYPERLINK("http://www.genecards.org/cgi-bin/carddisp.pl?gene=DBT","GeneCards")</f>
        <v>GeneCards</v>
      </c>
      <c r="D8950" s="1" t="str">
        <f>HYPERLINK("http://genome-euro.ucsc.edu/cgi-bin/hgTracks?position=205370_x_at","UCSC")</f>
        <v>UCSC</v>
      </c>
      <c r="E8950" s="1" t="str">
        <f>HYPERLINK("http://www.ncbi.nlm.nih.gov/gene/?term=DBT","NCBI")</f>
        <v>NCBI</v>
      </c>
      <c r="F8950">
        <v>0.16</v>
      </c>
      <c r="G8950">
        <v>0.31</v>
      </c>
      <c r="H8950" s="1" t="str">
        <f>HYPERLINK("http://www.weizmann.ac.il/complex/compphys/software/geview/data/figures/205370_x_at.png","Figure")</f>
        <v>Figure</v>
      </c>
      <c r="I8950">
        <v>1.44</v>
      </c>
      <c r="J8950">
        <v>0.48</v>
      </c>
      <c r="K8950">
        <v>0.8</v>
      </c>
      <c r="L8950">
        <v>0.69</v>
      </c>
      <c r="M8950">
        <v>0.55500000000000005</v>
      </c>
      <c r="N8950">
        <v>0.14000000000000001</v>
      </c>
    </row>
    <row r="8951" spans="1:14" x14ac:dyDescent="0.25">
      <c r="A8951" t="s">
        <v>15759</v>
      </c>
      <c r="B8951" t="s">
        <v>15760</v>
      </c>
      <c r="C8951" s="1" t="str">
        <f>HYPERLINK("http://www.genecards.org/cgi-bin/carddisp.pl?gene=DNAH2","GeneCards")</f>
        <v>GeneCards</v>
      </c>
      <c r="D8951" s="1" t="str">
        <f>HYPERLINK("http://genome-euro.ucsc.edu/cgi-bin/hgTracks?position=215840_at","UCSC")</f>
        <v>UCSC</v>
      </c>
      <c r="E8951" s="1" t="str">
        <f>HYPERLINK("http://www.ncbi.nlm.nih.gov/gene/?term=DNAH2","NCBI")</f>
        <v>NCBI</v>
      </c>
      <c r="F8951">
        <v>0.16</v>
      </c>
      <c r="G8951">
        <v>0.31</v>
      </c>
      <c r="H8951" s="1" t="str">
        <f>HYPERLINK("http://www.weizmann.ac.il/complex/compphys/software/geview/data/figures/215840_at.png","Figure")</f>
        <v>Figure</v>
      </c>
      <c r="I8951">
        <v>1.19</v>
      </c>
      <c r="J8951">
        <v>0.14000000000000001</v>
      </c>
      <c r="K8951">
        <v>1.07</v>
      </c>
      <c r="L8951">
        <v>0.61</v>
      </c>
      <c r="M8951">
        <v>0.90300000000000002</v>
      </c>
      <c r="N8951">
        <v>0.42</v>
      </c>
    </row>
    <row r="8952" spans="1:14" x14ac:dyDescent="0.25">
      <c r="A8952" t="s">
        <v>15761</v>
      </c>
      <c r="B8952" t="s">
        <v>7807</v>
      </c>
      <c r="C8952" s="1" t="str">
        <f>HYPERLINK("http://www.genecards.org/cgi-bin/carddisp.pl?gene=UBE3A","GeneCards")</f>
        <v>GeneCards</v>
      </c>
      <c r="D8952" s="1" t="str">
        <f>HYPERLINK("http://genome-euro.ucsc.edu/cgi-bin/hgTracks?position=213291_s_at","UCSC")</f>
        <v>UCSC</v>
      </c>
      <c r="E8952" s="1" t="str">
        <f>HYPERLINK("http://www.ncbi.nlm.nih.gov/gene/?term=UBE3A","NCBI")</f>
        <v>NCBI</v>
      </c>
      <c r="F8952">
        <v>0.16</v>
      </c>
      <c r="G8952">
        <v>0.31</v>
      </c>
      <c r="H8952" s="1" t="str">
        <f>HYPERLINK("http://www.weizmann.ac.il/complex/compphys/software/geview/data/figures/213291_s_at.png","Figure")</f>
        <v>Figure</v>
      </c>
      <c r="I8952">
        <v>1.1599999999999999</v>
      </c>
      <c r="J8952">
        <v>0.64</v>
      </c>
      <c r="K8952">
        <v>0.85599999999999998</v>
      </c>
      <c r="L8952">
        <v>0.53</v>
      </c>
      <c r="M8952">
        <v>0.73799999999999999</v>
      </c>
      <c r="N8952">
        <v>0.15</v>
      </c>
    </row>
    <row r="8953" spans="1:14" x14ac:dyDescent="0.25">
      <c r="A8953" t="s">
        <v>15762</v>
      </c>
      <c r="B8953" t="s">
        <v>15763</v>
      </c>
      <c r="C8953" s="1" t="str">
        <f>HYPERLINK("http://www.genecards.org/cgi-bin/carddisp.pl?gene=POU5F1P4","GeneCards")</f>
        <v>GeneCards</v>
      </c>
      <c r="D8953" s="1" t="str">
        <f>HYPERLINK("http://genome-euro.ucsc.edu/cgi-bin/hgTracks?position=210905_x_at","UCSC")</f>
        <v>UCSC</v>
      </c>
      <c r="E8953" s="1" t="str">
        <f>HYPERLINK("http://www.ncbi.nlm.nih.gov/gene/?term=POU5F1P4","NCBI")</f>
        <v>NCBI</v>
      </c>
      <c r="F8953">
        <v>0.16</v>
      </c>
      <c r="G8953">
        <v>0.31</v>
      </c>
      <c r="H8953" s="1" t="str">
        <f>HYPERLINK("http://www.weizmann.ac.il/complex/compphys/software/geview/data/figures/210905_x_at.png","Figure")</f>
        <v>Figure</v>
      </c>
      <c r="I8953">
        <v>1.1399999999999999</v>
      </c>
      <c r="J8953">
        <v>0.15</v>
      </c>
      <c r="K8953">
        <v>1.04</v>
      </c>
      <c r="L8953">
        <v>0.82</v>
      </c>
      <c r="M8953">
        <v>0.90800000000000003</v>
      </c>
      <c r="N8953">
        <v>0.28999999999999998</v>
      </c>
    </row>
    <row r="8954" spans="1:14" x14ac:dyDescent="0.25">
      <c r="A8954" t="s">
        <v>15764</v>
      </c>
      <c r="B8954" t="s">
        <v>15765</v>
      </c>
      <c r="C8954" s="1" t="str">
        <f>HYPERLINK("http://www.genecards.org/cgi-bin/carddisp.pl?gene=ERCC1","GeneCards")</f>
        <v>GeneCards</v>
      </c>
      <c r="D8954" s="1" t="str">
        <f>HYPERLINK("http://genome-euro.ucsc.edu/cgi-bin/hgTracks?position=203719_at","UCSC")</f>
        <v>UCSC</v>
      </c>
      <c r="E8954" s="1" t="str">
        <f>HYPERLINK("http://www.ncbi.nlm.nih.gov/gene/?term=ERCC1","NCBI")</f>
        <v>NCBI</v>
      </c>
      <c r="F8954">
        <v>0.16</v>
      </c>
      <c r="G8954">
        <v>0.31</v>
      </c>
      <c r="H8954" s="1" t="str">
        <f>HYPERLINK("http://www.weizmann.ac.il/complex/compphys/software/geview/data/figures/203719_at.png","Figure")</f>
        <v>Figure</v>
      </c>
      <c r="I8954">
        <v>1.26</v>
      </c>
      <c r="J8954">
        <v>0.21</v>
      </c>
      <c r="K8954">
        <v>1.22</v>
      </c>
      <c r="L8954">
        <v>0.22</v>
      </c>
      <c r="M8954">
        <v>0.96599999999999997</v>
      </c>
      <c r="N8954">
        <v>0.96</v>
      </c>
    </row>
    <row r="8955" spans="1:14" x14ac:dyDescent="0.25">
      <c r="A8955" t="s">
        <v>15766</v>
      </c>
      <c r="B8955" t="s">
        <v>11690</v>
      </c>
      <c r="C8955" s="1" t="str">
        <f>HYPERLINK("http://www.genecards.org/cgi-bin/carddisp.pl?gene=CACNA1I","GeneCards")</f>
        <v>GeneCards</v>
      </c>
      <c r="D8955" s="1" t="str">
        <f>HYPERLINK("http://genome-euro.ucsc.edu/cgi-bin/hgTracks?position=208299_at","UCSC")</f>
        <v>UCSC</v>
      </c>
      <c r="E8955" s="1" t="str">
        <f>HYPERLINK("http://www.ncbi.nlm.nih.gov/gene/?term=CACNA1I","NCBI")</f>
        <v>NCBI</v>
      </c>
      <c r="F8955">
        <v>0.16</v>
      </c>
      <c r="G8955">
        <v>0.31</v>
      </c>
      <c r="H8955" s="1" t="str">
        <f>HYPERLINK("http://www.weizmann.ac.il/complex/compphys/software/geview/data/figures/208299_at.png","Figure")</f>
        <v>Figure</v>
      </c>
      <c r="I8955">
        <v>1.26</v>
      </c>
      <c r="J8955">
        <v>0.14000000000000001</v>
      </c>
      <c r="K8955">
        <v>1.1200000000000001</v>
      </c>
      <c r="L8955">
        <v>0.51</v>
      </c>
      <c r="M8955">
        <v>0.88900000000000001</v>
      </c>
      <c r="N8955">
        <v>0.51</v>
      </c>
    </row>
    <row r="8956" spans="1:14" x14ac:dyDescent="0.25">
      <c r="A8956" t="s">
        <v>15767</v>
      </c>
      <c r="B8956" t="s">
        <v>15768</v>
      </c>
      <c r="C8956" s="1" t="str">
        <f>HYPERLINK("http://www.genecards.org/cgi-bin/carddisp.pl?gene=PCDHGA9","GeneCards")</f>
        <v>GeneCards</v>
      </c>
      <c r="D8956" s="1" t="str">
        <f>HYPERLINK("http://genome-euro.ucsc.edu/cgi-bin/hgTracks?position=211873_s_at","UCSC")</f>
        <v>UCSC</v>
      </c>
      <c r="E8956" s="1" t="str">
        <f>HYPERLINK("http://www.ncbi.nlm.nih.gov/gene/?term=PCDHGA9","NCBI")</f>
        <v>NCBI</v>
      </c>
      <c r="F8956">
        <v>0.16</v>
      </c>
      <c r="G8956">
        <v>0.31</v>
      </c>
      <c r="H8956" s="1" t="str">
        <f>HYPERLINK("http://www.weizmann.ac.il/complex/compphys/software/geview/data/figures/211873_s_at.png","Figure")</f>
        <v>Figure</v>
      </c>
      <c r="I8956">
        <v>1.1299999999999999</v>
      </c>
      <c r="J8956">
        <v>0.19</v>
      </c>
      <c r="K8956">
        <v>1.01</v>
      </c>
      <c r="L8956">
        <v>0.98</v>
      </c>
      <c r="M8956">
        <v>0.89400000000000002</v>
      </c>
      <c r="N8956">
        <v>0.21</v>
      </c>
    </row>
    <row r="8957" spans="1:14" x14ac:dyDescent="0.25">
      <c r="A8957" t="s">
        <v>15769</v>
      </c>
      <c r="B8957" t="s">
        <v>14839</v>
      </c>
      <c r="C8957" s="1" t="str">
        <f>HYPERLINK("http://www.genecards.org/cgi-bin/carddisp.pl?gene=RP1-21O18.1","GeneCards")</f>
        <v>GeneCards</v>
      </c>
      <c r="D8957" s="1" t="str">
        <f>HYPERLINK("http://genome-euro.ucsc.edu/cgi-bin/hgTracks?position=215138_s_at","UCSC")</f>
        <v>UCSC</v>
      </c>
      <c r="E8957" s="1" t="str">
        <f>HYPERLINK("http://www.ncbi.nlm.nih.gov/gene/?term=RP1-21O18.1","NCBI")</f>
        <v>NCBI</v>
      </c>
      <c r="F8957">
        <v>0.16</v>
      </c>
      <c r="G8957">
        <v>0.31</v>
      </c>
      <c r="H8957" s="1" t="str">
        <f>HYPERLINK("http://www.weizmann.ac.il/complex/compphys/software/geview/data/figures/215138_s_at.png","Figure")</f>
        <v>Figure</v>
      </c>
      <c r="I8957">
        <v>1.2</v>
      </c>
      <c r="J8957">
        <v>0.15</v>
      </c>
      <c r="K8957">
        <v>1.05</v>
      </c>
      <c r="L8957">
        <v>0.83</v>
      </c>
      <c r="M8957">
        <v>0.872</v>
      </c>
      <c r="N8957">
        <v>0.28999999999999998</v>
      </c>
    </row>
    <row r="8958" spans="1:14" x14ac:dyDescent="0.25">
      <c r="A8958" t="s">
        <v>15770</v>
      </c>
      <c r="B8958" t="s">
        <v>15771</v>
      </c>
      <c r="C8958" s="1" t="str">
        <f>HYPERLINK("http://www.genecards.org/cgi-bin/carddisp.pl?gene=C6orf134","GeneCards")</f>
        <v>GeneCards</v>
      </c>
      <c r="D8958" s="1" t="str">
        <f>HYPERLINK("http://genome-euro.ucsc.edu/cgi-bin/hgTracks?position=218874_s_at","UCSC")</f>
        <v>UCSC</v>
      </c>
      <c r="E8958" s="1" t="str">
        <f>HYPERLINK("http://www.ncbi.nlm.nih.gov/gene/?term=C6orf134","NCBI")</f>
        <v>NCBI</v>
      </c>
      <c r="F8958">
        <v>0.16</v>
      </c>
      <c r="G8958">
        <v>0.31</v>
      </c>
      <c r="H8958" s="1" t="str">
        <f>HYPERLINK("http://www.weizmann.ac.il/complex/compphys/software/geview/data/figures/218874_s_at.png","Figure")</f>
        <v>Figure</v>
      </c>
      <c r="I8958">
        <v>1.1599999999999999</v>
      </c>
      <c r="J8958">
        <v>0.25</v>
      </c>
      <c r="K8958">
        <v>0.98699999999999999</v>
      </c>
      <c r="L8958">
        <v>0.98</v>
      </c>
      <c r="M8958">
        <v>0.84799999999999998</v>
      </c>
      <c r="N8958">
        <v>0.16</v>
      </c>
    </row>
    <row r="8959" spans="1:14" x14ac:dyDescent="0.25">
      <c r="A8959" t="s">
        <v>15772</v>
      </c>
      <c r="B8959" t="s">
        <v>15773</v>
      </c>
      <c r="C8959" s="1" t="str">
        <f>HYPERLINK("http://www.genecards.org/cgi-bin/carddisp.pl?gene=GSTP1","GeneCards")</f>
        <v>GeneCards</v>
      </c>
      <c r="D8959" s="1" t="str">
        <f>HYPERLINK("http://genome-euro.ucsc.edu/cgi-bin/hgTracks?position=200824_at","UCSC")</f>
        <v>UCSC</v>
      </c>
      <c r="E8959" s="1" t="str">
        <f>HYPERLINK("http://www.ncbi.nlm.nih.gov/gene/?term=GSTP1","NCBI")</f>
        <v>NCBI</v>
      </c>
      <c r="F8959">
        <v>0.16</v>
      </c>
      <c r="G8959">
        <v>0.31</v>
      </c>
      <c r="H8959" s="1" t="str">
        <f>HYPERLINK("http://www.weizmann.ac.il/complex/compphys/software/geview/data/figures/200824_at.png","Figure")</f>
        <v>Figure</v>
      </c>
      <c r="I8959">
        <v>1.03</v>
      </c>
      <c r="J8959">
        <v>0.99</v>
      </c>
      <c r="K8959">
        <v>1.4</v>
      </c>
      <c r="L8959">
        <v>0.19</v>
      </c>
      <c r="M8959">
        <v>1.35</v>
      </c>
      <c r="N8959">
        <v>0.3</v>
      </c>
    </row>
    <row r="8960" spans="1:14" x14ac:dyDescent="0.25">
      <c r="A8960" t="s">
        <v>15774</v>
      </c>
      <c r="B8960" t="s">
        <v>15775</v>
      </c>
      <c r="C8960" s="1" t="str">
        <f>HYPERLINK("http://www.genecards.org/cgi-bin/carddisp.pl?gene=NKX2-5","GeneCards")</f>
        <v>GeneCards</v>
      </c>
      <c r="D8960" s="1" t="str">
        <f>HYPERLINK("http://genome-euro.ucsc.edu/cgi-bin/hgTracks?position=206578_at","UCSC")</f>
        <v>UCSC</v>
      </c>
      <c r="E8960" s="1" t="str">
        <f>HYPERLINK("http://www.ncbi.nlm.nih.gov/gene/?term=NKX2-5","NCBI")</f>
        <v>NCBI</v>
      </c>
      <c r="F8960">
        <v>0.16</v>
      </c>
      <c r="G8960">
        <v>0.31</v>
      </c>
      <c r="H8960" s="1" t="str">
        <f>HYPERLINK("http://www.weizmann.ac.il/complex/compphys/software/geview/data/figures/206578_at.png","Figure")</f>
        <v>Figure</v>
      </c>
      <c r="I8960">
        <v>1.1399999999999999</v>
      </c>
      <c r="J8960">
        <v>0.19</v>
      </c>
      <c r="K8960">
        <v>1.1100000000000001</v>
      </c>
      <c r="L8960">
        <v>0.25</v>
      </c>
      <c r="M8960">
        <v>0.97199999999999998</v>
      </c>
      <c r="N8960">
        <v>0.91</v>
      </c>
    </row>
    <row r="8961" spans="1:14" x14ac:dyDescent="0.25">
      <c r="A8961" t="s">
        <v>15776</v>
      </c>
      <c r="B8961" t="s">
        <v>13270</v>
      </c>
      <c r="C8961" s="1" t="str">
        <f>HYPERLINK("http://www.genecards.org/cgi-bin/carddisp.pl?gene=COPB1","GeneCards")</f>
        <v>GeneCards</v>
      </c>
      <c r="D8961" s="1" t="str">
        <f>HYPERLINK("http://genome-euro.ucsc.edu/cgi-bin/hgTracks?position=201358_s_at","UCSC")</f>
        <v>UCSC</v>
      </c>
      <c r="E8961" s="1" t="str">
        <f>HYPERLINK("http://www.ncbi.nlm.nih.gov/gene/?term=COPB1","NCBI")</f>
        <v>NCBI</v>
      </c>
      <c r="F8961">
        <v>0.16</v>
      </c>
      <c r="G8961">
        <v>0.31</v>
      </c>
      <c r="H8961" s="1" t="str">
        <f>HYPERLINK("http://www.weizmann.ac.il/complex/compphys/software/geview/data/figures/201358_s_at.png","Figure")</f>
        <v>Figure</v>
      </c>
      <c r="I8961">
        <v>1.03</v>
      </c>
      <c r="J8961">
        <v>0.98</v>
      </c>
      <c r="K8961">
        <v>0.77800000000000002</v>
      </c>
      <c r="L8961">
        <v>0.25</v>
      </c>
      <c r="M8961">
        <v>0.754</v>
      </c>
      <c r="N8961">
        <v>0.22</v>
      </c>
    </row>
    <row r="8962" spans="1:14" x14ac:dyDescent="0.25">
      <c r="A8962" t="s">
        <v>15777</v>
      </c>
      <c r="B8962" t="s">
        <v>15778</v>
      </c>
      <c r="C8962" s="1" t="str">
        <f>HYPERLINK("http://www.genecards.org/cgi-bin/carddisp.pl?gene=FXC1","GeneCards")</f>
        <v>GeneCards</v>
      </c>
      <c r="D8962" s="1" t="str">
        <f>HYPERLINK("http://genome-euro.ucsc.edu/cgi-bin/hgTracks?position=217981_s_at","UCSC")</f>
        <v>UCSC</v>
      </c>
      <c r="E8962" s="1" t="str">
        <f>HYPERLINK("http://www.ncbi.nlm.nih.gov/gene/?term=FXC1","NCBI")</f>
        <v>NCBI</v>
      </c>
      <c r="F8962">
        <v>0.16</v>
      </c>
      <c r="G8962">
        <v>0.31</v>
      </c>
      <c r="H8962" s="1" t="str">
        <f>HYPERLINK("http://www.weizmann.ac.il/complex/compphys/software/geview/data/figures/217981_s_at.png","Figure")</f>
        <v>Figure</v>
      </c>
      <c r="I8962">
        <v>1.1100000000000001</v>
      </c>
      <c r="J8962">
        <v>0.14000000000000001</v>
      </c>
      <c r="K8962">
        <v>1.04</v>
      </c>
      <c r="L8962">
        <v>0.7</v>
      </c>
      <c r="M8962">
        <v>0.93200000000000005</v>
      </c>
      <c r="N8962">
        <v>0.36</v>
      </c>
    </row>
    <row r="8963" spans="1:14" x14ac:dyDescent="0.25">
      <c r="A8963" t="s">
        <v>15779</v>
      </c>
      <c r="B8963" t="s">
        <v>10793</v>
      </c>
      <c r="C8963" s="1" t="str">
        <f>HYPERLINK("http://www.genecards.org/cgi-bin/carddisp.pl?gene=ALDOB","GeneCards")</f>
        <v>GeneCards</v>
      </c>
      <c r="D8963" s="1" t="str">
        <f>HYPERLINK("http://genome-euro.ucsc.edu/cgi-bin/hgTracks?position=216600_x_at","UCSC")</f>
        <v>UCSC</v>
      </c>
      <c r="E8963" s="1" t="str">
        <f>HYPERLINK("http://www.ncbi.nlm.nih.gov/gene/?term=ALDOB","NCBI")</f>
        <v>NCBI</v>
      </c>
      <c r="F8963">
        <v>0.16</v>
      </c>
      <c r="G8963">
        <v>0.31</v>
      </c>
      <c r="H8963" s="1" t="str">
        <f>HYPERLINK("http://www.weizmann.ac.il/complex/compphys/software/geview/data/figures/216600_x_at.png","Figure")</f>
        <v>Figure</v>
      </c>
      <c r="I8963">
        <v>1.1599999999999999</v>
      </c>
      <c r="J8963">
        <v>0.14000000000000001</v>
      </c>
      <c r="K8963">
        <v>1.05</v>
      </c>
      <c r="L8963">
        <v>0.69</v>
      </c>
      <c r="M8963">
        <v>0.91</v>
      </c>
      <c r="N8963">
        <v>0.37</v>
      </c>
    </row>
    <row r="8964" spans="1:14" x14ac:dyDescent="0.25">
      <c r="A8964" t="s">
        <v>15780</v>
      </c>
      <c r="B8964" t="s">
        <v>2662</v>
      </c>
      <c r="C8964" s="1" t="str">
        <f>HYPERLINK("http://www.genecards.org/cgi-bin/carddisp.pl?gene=C17orf101","GeneCards")</f>
        <v>GeneCards</v>
      </c>
      <c r="D8964" s="1" t="str">
        <f>HYPERLINK("http://genome-euro.ucsc.edu/cgi-bin/hgTracks?position=64438_at","UCSC")</f>
        <v>UCSC</v>
      </c>
      <c r="E8964" s="1" t="str">
        <f>HYPERLINK("http://www.ncbi.nlm.nih.gov/gene/?term=C17orf101","NCBI")</f>
        <v>NCBI</v>
      </c>
      <c r="F8964">
        <v>0.16</v>
      </c>
      <c r="G8964">
        <v>0.31</v>
      </c>
      <c r="H8964" s="1" t="str">
        <f>HYPERLINK("http://www.weizmann.ac.il/complex/compphys/software/geview/data/figures/64438_at.png","Figure")</f>
        <v>Figure</v>
      </c>
      <c r="I8964">
        <v>1.02</v>
      </c>
      <c r="J8964">
        <v>0.9</v>
      </c>
      <c r="K8964">
        <v>0.94299999999999995</v>
      </c>
      <c r="L8964">
        <v>0.32</v>
      </c>
      <c r="M8964">
        <v>0.92500000000000004</v>
      </c>
      <c r="N8964">
        <v>0.19</v>
      </c>
    </row>
    <row r="8965" spans="1:14" x14ac:dyDescent="0.25">
      <c r="A8965" t="s">
        <v>15781</v>
      </c>
      <c r="B8965" t="s">
        <v>15782</v>
      </c>
      <c r="C8965" s="1" t="str">
        <f>HYPERLINK("http://www.genecards.org/cgi-bin/carddisp.pl?gene=HSPA1A","GeneCards")</f>
        <v>GeneCards</v>
      </c>
      <c r="D8965" s="1" t="str">
        <f>HYPERLINK("http://genome-euro.ucsc.edu/cgi-bin/hgTracks?position=200799_at","UCSC")</f>
        <v>UCSC</v>
      </c>
      <c r="E8965" s="1" t="str">
        <f>HYPERLINK("http://www.ncbi.nlm.nih.gov/gene/?term=HSPA1A","NCBI")</f>
        <v>NCBI</v>
      </c>
      <c r="F8965">
        <v>0.16</v>
      </c>
      <c r="G8965">
        <v>0.31</v>
      </c>
      <c r="H8965" s="1" t="str">
        <f>HYPERLINK("http://www.weizmann.ac.il/complex/compphys/software/geview/data/figures/200799_at.png","Figure")</f>
        <v>Figure</v>
      </c>
      <c r="I8965">
        <v>0.35699999999999998</v>
      </c>
      <c r="J8965">
        <v>0.2</v>
      </c>
      <c r="K8965">
        <v>0.94599999999999995</v>
      </c>
      <c r="L8965">
        <v>0.99</v>
      </c>
      <c r="M8965">
        <v>2.65</v>
      </c>
      <c r="N8965">
        <v>0.2</v>
      </c>
    </row>
    <row r="8966" spans="1:14" x14ac:dyDescent="0.25">
      <c r="A8966" t="s">
        <v>15783</v>
      </c>
      <c r="B8966" t="s">
        <v>15784</v>
      </c>
      <c r="C8966" s="1" t="str">
        <f>HYPERLINK("http://www.genecards.org/cgi-bin/carddisp.pl?gene=CHEK1","GeneCards")</f>
        <v>GeneCards</v>
      </c>
      <c r="D8966" s="1" t="str">
        <f>HYPERLINK("http://genome-euro.ucsc.edu/cgi-bin/hgTracks?position=205394_at","UCSC")</f>
        <v>UCSC</v>
      </c>
      <c r="E8966" s="1" t="str">
        <f>HYPERLINK("http://www.ncbi.nlm.nih.gov/gene/?term=CHEK1","NCBI")</f>
        <v>NCBI</v>
      </c>
      <c r="F8966">
        <v>0.16</v>
      </c>
      <c r="G8966">
        <v>0.31</v>
      </c>
      <c r="H8966" s="1" t="str">
        <f>HYPERLINK("http://www.weizmann.ac.il/complex/compphys/software/geview/data/figures/205394_at.png","Figure")</f>
        <v>Figure</v>
      </c>
      <c r="I8966">
        <v>1.18</v>
      </c>
      <c r="J8966">
        <v>0.39</v>
      </c>
      <c r="K8966">
        <v>1.24</v>
      </c>
      <c r="L8966">
        <v>0.15</v>
      </c>
      <c r="M8966">
        <v>1.05</v>
      </c>
      <c r="N8966">
        <v>0.91</v>
      </c>
    </row>
    <row r="8967" spans="1:14" x14ac:dyDescent="0.25">
      <c r="A8967" t="s">
        <v>15785</v>
      </c>
      <c r="B8967" t="s">
        <v>14760</v>
      </c>
      <c r="C8967" s="1" t="str">
        <f>HYPERLINK("http://www.genecards.org/cgi-bin/carddisp.pl?gene=CALML3","GeneCards")</f>
        <v>GeneCards</v>
      </c>
      <c r="D8967" s="1" t="str">
        <f>HYPERLINK("http://genome-euro.ucsc.edu/cgi-bin/hgTracks?position=210020_x_at","UCSC")</f>
        <v>UCSC</v>
      </c>
      <c r="E8967" s="1" t="str">
        <f>HYPERLINK("http://www.ncbi.nlm.nih.gov/gene/?term=CALML3","NCBI")</f>
        <v>NCBI</v>
      </c>
      <c r="F8967">
        <v>0.16</v>
      </c>
      <c r="G8967">
        <v>0.31</v>
      </c>
      <c r="H8967" s="1" t="str">
        <f>HYPERLINK("http://www.weizmann.ac.il/complex/compphys/software/geview/data/figures/210020_x_at.png","Figure")</f>
        <v>Figure</v>
      </c>
      <c r="I8967">
        <v>1.08</v>
      </c>
      <c r="J8967">
        <v>0.32</v>
      </c>
      <c r="K8967">
        <v>1.0900000000000001</v>
      </c>
      <c r="L8967">
        <v>0.16</v>
      </c>
      <c r="M8967">
        <v>1.01</v>
      </c>
      <c r="N8967">
        <v>0.97</v>
      </c>
    </row>
    <row r="8968" spans="1:14" x14ac:dyDescent="0.25">
      <c r="A8968" t="s">
        <v>15786</v>
      </c>
      <c r="B8968" t="s">
        <v>3447</v>
      </c>
      <c r="C8968" s="1" t="str">
        <f>HYPERLINK("http://www.genecards.org/cgi-bin/carddisp.pl?gene=RAB27A","GeneCards")</f>
        <v>GeneCards</v>
      </c>
      <c r="D8968" s="1" t="str">
        <f>HYPERLINK("http://genome-euro.ucsc.edu/cgi-bin/hgTracks?position=210951_x_at","UCSC")</f>
        <v>UCSC</v>
      </c>
      <c r="E8968" s="1" t="str">
        <f>HYPERLINK("http://www.ncbi.nlm.nih.gov/gene/?term=RAB27A","NCBI")</f>
        <v>NCBI</v>
      </c>
      <c r="F8968">
        <v>0.16</v>
      </c>
      <c r="G8968">
        <v>0.31</v>
      </c>
      <c r="H8968" s="1" t="str">
        <f>HYPERLINK("http://www.weizmann.ac.il/complex/compphys/software/geview/data/figures/210951_x_at.png","Figure")</f>
        <v>Figure</v>
      </c>
      <c r="I8968">
        <v>0.83899999999999997</v>
      </c>
      <c r="J8968">
        <v>0.56000000000000005</v>
      </c>
      <c r="K8968">
        <v>1.1499999999999999</v>
      </c>
      <c r="L8968">
        <v>0.6</v>
      </c>
      <c r="M8968">
        <v>1.38</v>
      </c>
      <c r="N8968">
        <v>0.14000000000000001</v>
      </c>
    </row>
    <row r="8969" spans="1:14" x14ac:dyDescent="0.25">
      <c r="A8969" t="s">
        <v>15787</v>
      </c>
      <c r="B8969" t="s">
        <v>8192</v>
      </c>
      <c r="C8969" s="1" t="str">
        <f>HYPERLINK("http://www.genecards.org/cgi-bin/carddisp.pl?gene=UBOX5","GeneCards")</f>
        <v>GeneCards</v>
      </c>
      <c r="D8969" s="1" t="str">
        <f>HYPERLINK("http://genome-euro.ucsc.edu/cgi-bin/hgTracks?position=215544_s_at","UCSC")</f>
        <v>UCSC</v>
      </c>
      <c r="E8969" s="1" t="str">
        <f>HYPERLINK("http://www.ncbi.nlm.nih.gov/gene/?term=UBOX5","NCBI")</f>
        <v>NCBI</v>
      </c>
      <c r="F8969">
        <v>0.16</v>
      </c>
      <c r="G8969">
        <v>0.31</v>
      </c>
      <c r="H8969" s="1" t="str">
        <f>HYPERLINK("http://www.weizmann.ac.il/complex/compphys/software/geview/data/figures/215544_s_at.png","Figure")</f>
        <v>Figure</v>
      </c>
      <c r="I8969">
        <v>1.17</v>
      </c>
      <c r="J8969">
        <v>0.15</v>
      </c>
      <c r="K8969">
        <v>1.05</v>
      </c>
      <c r="L8969">
        <v>0.79</v>
      </c>
      <c r="M8969">
        <v>0.89600000000000002</v>
      </c>
      <c r="N8969">
        <v>0.31</v>
      </c>
    </row>
    <row r="8970" spans="1:14" x14ac:dyDescent="0.25">
      <c r="A8970" t="s">
        <v>15788</v>
      </c>
      <c r="B8970" t="s">
        <v>451</v>
      </c>
      <c r="C8970" s="1" t="str">
        <f>HYPERLINK("http://www.genecards.org/cgi-bin/carddisp.pl?gene=RDH11","GeneCards")</f>
        <v>GeneCards</v>
      </c>
      <c r="D8970" s="1" t="str">
        <f>HYPERLINK("http://genome-euro.ucsc.edu/cgi-bin/hgTracks?position=217042_at","UCSC")</f>
        <v>UCSC</v>
      </c>
      <c r="E8970" s="1" t="str">
        <f>HYPERLINK("http://www.ncbi.nlm.nih.gov/gene/?term=RDH11","NCBI")</f>
        <v>NCBI</v>
      </c>
      <c r="F8970">
        <v>0.16</v>
      </c>
      <c r="G8970">
        <v>0.31</v>
      </c>
      <c r="H8970" s="1" t="str">
        <f>HYPERLINK("http://www.weizmann.ac.il/complex/compphys/software/geview/data/figures/217042_at.png","Figure")</f>
        <v>Figure</v>
      </c>
      <c r="I8970">
        <v>1</v>
      </c>
      <c r="J8970">
        <v>1</v>
      </c>
      <c r="K8970">
        <v>0.93100000000000005</v>
      </c>
      <c r="L8970">
        <v>0.23</v>
      </c>
      <c r="M8970">
        <v>0.93</v>
      </c>
      <c r="N8970">
        <v>0.25</v>
      </c>
    </row>
    <row r="8971" spans="1:14" x14ac:dyDescent="0.25">
      <c r="A8971" t="s">
        <v>15789</v>
      </c>
      <c r="B8971" t="s">
        <v>15790</v>
      </c>
      <c r="C8971" s="1" t="str">
        <f>HYPERLINK("http://www.genecards.org/cgi-bin/carddisp.pl?gene=DAK","GeneCards")</f>
        <v>GeneCards</v>
      </c>
      <c r="D8971" s="1" t="str">
        <f>HYPERLINK("http://genome-euro.ucsc.edu/cgi-bin/hgTracks?position=218688_at","UCSC")</f>
        <v>UCSC</v>
      </c>
      <c r="E8971" s="1" t="str">
        <f>HYPERLINK("http://www.ncbi.nlm.nih.gov/gene/?term=DAK","NCBI")</f>
        <v>NCBI</v>
      </c>
      <c r="F8971">
        <v>0.16</v>
      </c>
      <c r="G8971">
        <v>0.31</v>
      </c>
      <c r="H8971" s="1" t="str">
        <f>HYPERLINK("http://www.weizmann.ac.il/complex/compphys/software/geview/data/figures/218688_at.png","Figure")</f>
        <v>Figure</v>
      </c>
      <c r="I8971">
        <v>1.07</v>
      </c>
      <c r="J8971">
        <v>0.16</v>
      </c>
      <c r="K8971">
        <v>1.04</v>
      </c>
      <c r="L8971">
        <v>0.32</v>
      </c>
      <c r="M8971">
        <v>0.97899999999999998</v>
      </c>
      <c r="N8971">
        <v>0.78</v>
      </c>
    </row>
    <row r="8972" spans="1:14" x14ac:dyDescent="0.25">
      <c r="A8972" t="s">
        <v>15791</v>
      </c>
      <c r="B8972" t="s">
        <v>15792</v>
      </c>
      <c r="C8972" s="1" t="str">
        <f>HYPERLINK("http://www.genecards.org/cgi-bin/carddisp.pl?gene=CLSPN","GeneCards")</f>
        <v>GeneCards</v>
      </c>
      <c r="D8972" s="1" t="str">
        <f>HYPERLINK("http://genome-euro.ucsc.edu/cgi-bin/hgTracks?position=219621_at","UCSC")</f>
        <v>UCSC</v>
      </c>
      <c r="E8972" s="1" t="str">
        <f>HYPERLINK("http://www.ncbi.nlm.nih.gov/gene/?term=CLSPN","NCBI")</f>
        <v>NCBI</v>
      </c>
      <c r="F8972">
        <v>0.16</v>
      </c>
      <c r="G8972">
        <v>0.31</v>
      </c>
      <c r="H8972" s="1" t="str">
        <f>HYPERLINK("http://www.weizmann.ac.il/complex/compphys/software/geview/data/figures/219621_at.png","Figure")</f>
        <v>Figure</v>
      </c>
      <c r="I8972">
        <v>1.1499999999999999</v>
      </c>
      <c r="J8972">
        <v>0.14000000000000001</v>
      </c>
      <c r="K8972">
        <v>1.08</v>
      </c>
      <c r="L8972">
        <v>0.43</v>
      </c>
      <c r="M8972">
        <v>0.93899999999999995</v>
      </c>
      <c r="N8972">
        <v>0.61</v>
      </c>
    </row>
    <row r="8973" spans="1:14" x14ac:dyDescent="0.25">
      <c r="A8973" t="s">
        <v>15793</v>
      </c>
      <c r="B8973" t="s">
        <v>7838</v>
      </c>
      <c r="C8973" s="1" t="str">
        <f>HYPERLINK("http://www.genecards.org/cgi-bin/carddisp.pl?gene=TULP3","GeneCards")</f>
        <v>GeneCards</v>
      </c>
      <c r="D8973" s="1" t="str">
        <f>HYPERLINK("http://genome-euro.ucsc.edu/cgi-bin/hgTracks?position=205854_at","UCSC")</f>
        <v>UCSC</v>
      </c>
      <c r="E8973" s="1" t="str">
        <f>HYPERLINK("http://www.ncbi.nlm.nih.gov/gene/?term=TULP3","NCBI")</f>
        <v>NCBI</v>
      </c>
      <c r="F8973">
        <v>0.16</v>
      </c>
      <c r="G8973">
        <v>0.31</v>
      </c>
      <c r="H8973" s="1" t="str">
        <f>HYPERLINK("http://www.weizmann.ac.il/complex/compphys/software/geview/data/figures/205854_at.png","Figure")</f>
        <v>Figure</v>
      </c>
      <c r="I8973">
        <v>0.86799999999999999</v>
      </c>
      <c r="J8973">
        <v>0.34</v>
      </c>
      <c r="K8973">
        <v>1.04</v>
      </c>
      <c r="L8973">
        <v>0.88</v>
      </c>
      <c r="M8973">
        <v>1.2</v>
      </c>
      <c r="N8973">
        <v>0.15</v>
      </c>
    </row>
    <row r="8974" spans="1:14" x14ac:dyDescent="0.25">
      <c r="A8974" t="s">
        <v>15794</v>
      </c>
      <c r="B8974" t="s">
        <v>15795</v>
      </c>
      <c r="C8974" s="1" t="str">
        <f>HYPERLINK("http://www.genecards.org/cgi-bin/carddisp.pl?gene=ARMC8","GeneCards")</f>
        <v>GeneCards</v>
      </c>
      <c r="D8974" s="1" t="str">
        <f>HYPERLINK("http://genome-euro.ucsc.edu/cgi-bin/hgTracks?position=219094_at","UCSC")</f>
        <v>UCSC</v>
      </c>
      <c r="E8974" s="1" t="str">
        <f>HYPERLINK("http://www.ncbi.nlm.nih.gov/gene/?term=ARMC8","NCBI")</f>
        <v>NCBI</v>
      </c>
      <c r="F8974">
        <v>0.16</v>
      </c>
      <c r="G8974">
        <v>0.31</v>
      </c>
      <c r="H8974" s="1" t="str">
        <f>HYPERLINK("http://www.weizmann.ac.il/complex/compphys/software/geview/data/figures/219094_at.png","Figure")</f>
        <v>Figure</v>
      </c>
      <c r="I8974">
        <v>0.91400000000000003</v>
      </c>
      <c r="J8974">
        <v>0.92</v>
      </c>
      <c r="K8974">
        <v>0.68200000000000005</v>
      </c>
      <c r="L8974">
        <v>0.17</v>
      </c>
      <c r="M8974">
        <v>0.746</v>
      </c>
      <c r="N8974">
        <v>0.38</v>
      </c>
    </row>
    <row r="8975" spans="1:14" x14ac:dyDescent="0.25">
      <c r="A8975" t="s">
        <v>15796</v>
      </c>
      <c r="B8975" t="s">
        <v>15797</v>
      </c>
      <c r="C8975" s="1" t="str">
        <f>HYPERLINK("http://www.genecards.org/cgi-bin/carddisp.pl?gene=C1orf27","GeneCards")</f>
        <v>GeneCards</v>
      </c>
      <c r="D8975" s="1" t="str">
        <f>HYPERLINK("http://genome-euro.ucsc.edu/cgi-bin/hgTracks?position=218721_s_at","UCSC")</f>
        <v>UCSC</v>
      </c>
      <c r="E8975" s="1" t="str">
        <f>HYPERLINK("http://www.ncbi.nlm.nih.gov/gene/?term=C1orf27","NCBI")</f>
        <v>NCBI</v>
      </c>
      <c r="F8975">
        <v>0.16</v>
      </c>
      <c r="G8975">
        <v>0.31</v>
      </c>
      <c r="H8975" s="1" t="str">
        <f>HYPERLINK("http://www.weizmann.ac.il/complex/compphys/software/geview/data/figures/218721_s_at.png","Figure")</f>
        <v>Figure</v>
      </c>
      <c r="I8975">
        <v>0.97899999999999998</v>
      </c>
      <c r="J8975">
        <v>1</v>
      </c>
      <c r="K8975">
        <v>0.66500000000000004</v>
      </c>
      <c r="L8975">
        <v>0.21</v>
      </c>
      <c r="M8975">
        <v>0.67900000000000005</v>
      </c>
      <c r="N8975">
        <v>0.28000000000000003</v>
      </c>
    </row>
    <row r="8976" spans="1:14" x14ac:dyDescent="0.25">
      <c r="A8976" t="s">
        <v>15798</v>
      </c>
      <c r="B8976" t="s">
        <v>12996</v>
      </c>
      <c r="C8976" s="1" t="str">
        <f>HYPERLINK("http://www.genecards.org/cgi-bin/carddisp.pl?gene=TFR2","GeneCards")</f>
        <v>GeneCards</v>
      </c>
      <c r="D8976" s="1" t="str">
        <f>HYPERLINK("http://genome-euro.ucsc.edu/cgi-bin/hgTracks?position=215863_at","UCSC")</f>
        <v>UCSC</v>
      </c>
      <c r="E8976" s="1" t="str">
        <f>HYPERLINK("http://www.ncbi.nlm.nih.gov/gene/?term=TFR2","NCBI")</f>
        <v>NCBI</v>
      </c>
      <c r="F8976">
        <v>0.16</v>
      </c>
      <c r="G8976">
        <v>0.31</v>
      </c>
      <c r="H8976" s="1" t="str">
        <f>HYPERLINK("http://www.weizmann.ac.il/complex/compphys/software/geview/data/figures/215863_at.png","Figure")</f>
        <v>Figure</v>
      </c>
      <c r="I8976">
        <v>1.25</v>
      </c>
      <c r="J8976">
        <v>0.24</v>
      </c>
      <c r="K8976">
        <v>0.98799999999999999</v>
      </c>
      <c r="L8976">
        <v>0.99</v>
      </c>
      <c r="M8976">
        <v>0.79200000000000004</v>
      </c>
      <c r="N8976">
        <v>0.17</v>
      </c>
    </row>
    <row r="8977" spans="1:14" x14ac:dyDescent="0.25">
      <c r="A8977" t="s">
        <v>15799</v>
      </c>
      <c r="B8977" t="s">
        <v>15800</v>
      </c>
      <c r="C8977" s="1" t="str">
        <f>HYPERLINK("http://www.genecards.org/cgi-bin/carddisp.pl?gene=SERF2","GeneCards")</f>
        <v>GeneCards</v>
      </c>
      <c r="D8977" s="1" t="str">
        <f>HYPERLINK("http://genome-euro.ucsc.edu/cgi-bin/hgTracks?position=217756_x_at","UCSC")</f>
        <v>UCSC</v>
      </c>
      <c r="E8977" s="1" t="str">
        <f>HYPERLINK("http://www.ncbi.nlm.nih.gov/gene/?term=SERF2","NCBI")</f>
        <v>NCBI</v>
      </c>
      <c r="F8977">
        <v>0.16</v>
      </c>
      <c r="G8977">
        <v>0.31</v>
      </c>
      <c r="H8977" s="1" t="str">
        <f>HYPERLINK("http://www.weizmann.ac.il/complex/compphys/software/geview/data/figures/217756_x_at.png","Figure")</f>
        <v>Figure</v>
      </c>
      <c r="I8977">
        <v>1.4</v>
      </c>
      <c r="J8977">
        <v>0.21</v>
      </c>
      <c r="K8977">
        <v>1.34</v>
      </c>
      <c r="L8977">
        <v>0.22</v>
      </c>
      <c r="M8977">
        <v>0.95299999999999996</v>
      </c>
      <c r="N8977">
        <v>0.96</v>
      </c>
    </row>
    <row r="8978" spans="1:14" x14ac:dyDescent="0.25">
      <c r="A8978" t="s">
        <v>15801</v>
      </c>
      <c r="B8978" t="s">
        <v>15802</v>
      </c>
      <c r="C8978" s="1" t="str">
        <f>HYPERLINK("http://www.genecards.org/cgi-bin/carddisp.pl?gene=WDYHV1","GeneCards")</f>
        <v>GeneCards</v>
      </c>
      <c r="D8978" s="1" t="str">
        <f>HYPERLINK("http://genome-euro.ucsc.edu/cgi-bin/hgTracks?position=219060_at","UCSC")</f>
        <v>UCSC</v>
      </c>
      <c r="E8978" s="1" t="str">
        <f>HYPERLINK("http://www.ncbi.nlm.nih.gov/gene/?term=WDYHV1","NCBI")</f>
        <v>NCBI</v>
      </c>
      <c r="F8978">
        <v>0.16</v>
      </c>
      <c r="G8978">
        <v>0.31</v>
      </c>
      <c r="H8978" s="1" t="str">
        <f>HYPERLINK("http://www.weizmann.ac.il/complex/compphys/software/geview/data/figures/219060_at.png","Figure")</f>
        <v>Figure</v>
      </c>
      <c r="I8978">
        <v>0.92800000000000005</v>
      </c>
      <c r="J8978">
        <v>0.22</v>
      </c>
      <c r="K8978">
        <v>1</v>
      </c>
      <c r="L8978">
        <v>1</v>
      </c>
      <c r="M8978">
        <v>1.08</v>
      </c>
      <c r="N8978">
        <v>0.18</v>
      </c>
    </row>
    <row r="8979" spans="1:14" x14ac:dyDescent="0.25">
      <c r="A8979" t="s">
        <v>15803</v>
      </c>
      <c r="B8979" t="s">
        <v>15804</v>
      </c>
      <c r="C8979" s="1" t="str">
        <f>HYPERLINK("http://www.genecards.org/cgi-bin/carddisp.pl?gene=GSTT1","GeneCards")</f>
        <v>GeneCards</v>
      </c>
      <c r="D8979" s="1" t="str">
        <f>HYPERLINK("http://genome-euro.ucsc.edu/cgi-bin/hgTracks?position=203815_at","UCSC")</f>
        <v>UCSC</v>
      </c>
      <c r="E8979" s="1" t="str">
        <f>HYPERLINK("http://www.ncbi.nlm.nih.gov/gene/?term=GSTT1","NCBI")</f>
        <v>NCBI</v>
      </c>
      <c r="F8979">
        <v>0.16</v>
      </c>
      <c r="G8979">
        <v>0.31</v>
      </c>
      <c r="H8979" s="1" t="str">
        <f>HYPERLINK("http://www.weizmann.ac.il/complex/compphys/software/geview/data/figures/203815_at.png","Figure")</f>
        <v>Figure</v>
      </c>
      <c r="I8979">
        <v>0.90900000000000003</v>
      </c>
      <c r="J8979">
        <v>0.43</v>
      </c>
      <c r="K8979">
        <v>1.05</v>
      </c>
      <c r="L8979">
        <v>0.75</v>
      </c>
      <c r="M8979">
        <v>1.1499999999999999</v>
      </c>
      <c r="N8979">
        <v>0.14000000000000001</v>
      </c>
    </row>
    <row r="8980" spans="1:14" x14ac:dyDescent="0.25">
      <c r="A8980" t="s">
        <v>15805</v>
      </c>
      <c r="B8980" t="s">
        <v>8237</v>
      </c>
      <c r="C8980" s="1" t="str">
        <f>HYPERLINK("http://www.genecards.org/cgi-bin/carddisp.pl?gene=PIK3CD","GeneCards")</f>
        <v>GeneCards</v>
      </c>
      <c r="D8980" s="1" t="str">
        <f>HYPERLINK("http://genome-euro.ucsc.edu/cgi-bin/hgTracks?position=203879_at","UCSC")</f>
        <v>UCSC</v>
      </c>
      <c r="E8980" s="1" t="str">
        <f>HYPERLINK("http://www.ncbi.nlm.nih.gov/gene/?term=PIK3CD","NCBI")</f>
        <v>NCBI</v>
      </c>
      <c r="F8980">
        <v>0.16</v>
      </c>
      <c r="G8980">
        <v>0.31</v>
      </c>
      <c r="H8980" s="1" t="str">
        <f>HYPERLINK("http://www.weizmann.ac.il/complex/compphys/software/geview/data/figures/203879_at.png","Figure")</f>
        <v>Figure</v>
      </c>
      <c r="I8980">
        <v>1.63</v>
      </c>
      <c r="J8980">
        <v>0.3</v>
      </c>
      <c r="K8980">
        <v>1.7</v>
      </c>
      <c r="L8980">
        <v>0.17</v>
      </c>
      <c r="M8980">
        <v>1.04</v>
      </c>
      <c r="N8980">
        <v>0.99</v>
      </c>
    </row>
    <row r="8981" spans="1:14" x14ac:dyDescent="0.25">
      <c r="A8981" t="s">
        <v>15806</v>
      </c>
      <c r="B8981" t="s">
        <v>15807</v>
      </c>
      <c r="C8981" s="1" t="str">
        <f>HYPERLINK("http://www.genecards.org/cgi-bin/carddisp.pl?gene=GSTM4","GeneCards")</f>
        <v>GeneCards</v>
      </c>
      <c r="D8981" s="1" t="str">
        <f>HYPERLINK("http://genome-euro.ucsc.edu/cgi-bin/hgTracks?position=210912_x_at","UCSC")</f>
        <v>UCSC</v>
      </c>
      <c r="E8981" s="1" t="str">
        <f>HYPERLINK("http://www.ncbi.nlm.nih.gov/gene/?term=GSTM4","NCBI")</f>
        <v>NCBI</v>
      </c>
      <c r="F8981">
        <v>0.16</v>
      </c>
      <c r="G8981">
        <v>0.31</v>
      </c>
      <c r="H8981" s="1" t="str">
        <f>HYPERLINK("http://www.weizmann.ac.il/complex/compphys/software/geview/data/figures/210912_x_at.png","Figure")</f>
        <v>Figure</v>
      </c>
      <c r="I8981">
        <v>1.18</v>
      </c>
      <c r="J8981">
        <v>0.24</v>
      </c>
      <c r="K8981">
        <v>1.17</v>
      </c>
      <c r="L8981">
        <v>0.19</v>
      </c>
      <c r="M8981">
        <v>0.99099999999999999</v>
      </c>
      <c r="N8981">
        <v>0.99</v>
      </c>
    </row>
    <row r="8982" spans="1:14" x14ac:dyDescent="0.25">
      <c r="A8982" t="s">
        <v>15808</v>
      </c>
      <c r="B8982" t="s">
        <v>10256</v>
      </c>
      <c r="C8982" s="1" t="str">
        <f>HYPERLINK("http://www.genecards.org/cgi-bin/carddisp.pl?gene=SWAP70","GeneCards")</f>
        <v>GeneCards</v>
      </c>
      <c r="D8982" s="1" t="str">
        <f>HYPERLINK("http://genome-euro.ucsc.edu/cgi-bin/hgTracks?position=209307_at","UCSC")</f>
        <v>UCSC</v>
      </c>
      <c r="E8982" s="1" t="str">
        <f>HYPERLINK("http://www.ncbi.nlm.nih.gov/gene/?term=SWAP70","NCBI")</f>
        <v>NCBI</v>
      </c>
      <c r="F8982">
        <v>0.16</v>
      </c>
      <c r="G8982">
        <v>0.31</v>
      </c>
      <c r="H8982" s="1" t="str">
        <f>HYPERLINK("http://www.weizmann.ac.il/complex/compphys/software/geview/data/figures/209307_at.png","Figure")</f>
        <v>Figure</v>
      </c>
      <c r="I8982">
        <v>0.55900000000000005</v>
      </c>
      <c r="J8982">
        <v>0.15</v>
      </c>
      <c r="K8982">
        <v>0.70099999999999996</v>
      </c>
      <c r="L8982">
        <v>0.37</v>
      </c>
      <c r="M8982">
        <v>1.25</v>
      </c>
      <c r="N8982">
        <v>0.69</v>
      </c>
    </row>
    <row r="8983" spans="1:14" x14ac:dyDescent="0.25">
      <c r="A8983" t="s">
        <v>15809</v>
      </c>
      <c r="B8983" t="s">
        <v>15810</v>
      </c>
      <c r="C8983" s="1" t="str">
        <f>HYPERLINK("http://www.genecards.org/cgi-bin/carddisp.pl?gene=FXYD1","GeneCards")</f>
        <v>GeneCards</v>
      </c>
      <c r="D8983" s="1" t="str">
        <f>HYPERLINK("http://genome-euro.ucsc.edu/cgi-bin/hgTracks?position=205384_at","UCSC")</f>
        <v>UCSC</v>
      </c>
      <c r="E8983" s="1" t="str">
        <f>HYPERLINK("http://www.ncbi.nlm.nih.gov/gene/?term=FXYD1","NCBI")</f>
        <v>NCBI</v>
      </c>
      <c r="F8983">
        <v>0.16</v>
      </c>
      <c r="G8983">
        <v>0.31</v>
      </c>
      <c r="H8983" s="1" t="str">
        <f>HYPERLINK("http://www.weizmann.ac.il/complex/compphys/software/geview/data/figures/205384_at.png","Figure")</f>
        <v>Figure</v>
      </c>
      <c r="I8983">
        <v>1.1200000000000001</v>
      </c>
      <c r="J8983">
        <v>0.15</v>
      </c>
      <c r="K8983">
        <v>1.07</v>
      </c>
      <c r="L8983">
        <v>0.4</v>
      </c>
      <c r="M8983">
        <v>0.95299999999999996</v>
      </c>
      <c r="N8983">
        <v>0.65</v>
      </c>
    </row>
    <row r="8984" spans="1:14" x14ac:dyDescent="0.25">
      <c r="A8984" t="s">
        <v>15811</v>
      </c>
      <c r="B8984" t="s">
        <v>15812</v>
      </c>
      <c r="C8984" s="1" t="str">
        <f>HYPERLINK("http://www.genecards.org/cgi-bin/carddisp.pl?gene=ATP5B","GeneCards")</f>
        <v>GeneCards</v>
      </c>
      <c r="D8984" s="1" t="str">
        <f>HYPERLINK("http://genome-euro.ucsc.edu/cgi-bin/hgTracks?position=201322_at","UCSC")</f>
        <v>UCSC</v>
      </c>
      <c r="E8984" s="1" t="str">
        <f>HYPERLINK("http://www.ncbi.nlm.nih.gov/gene/?term=ATP5B","NCBI")</f>
        <v>NCBI</v>
      </c>
      <c r="F8984">
        <v>0.16</v>
      </c>
      <c r="G8984">
        <v>0.31</v>
      </c>
      <c r="H8984" s="1" t="str">
        <f>HYPERLINK("http://www.weizmann.ac.il/complex/compphys/software/geview/data/figures/201322_at.png","Figure")</f>
        <v>Figure</v>
      </c>
      <c r="I8984">
        <v>1.35</v>
      </c>
      <c r="J8984">
        <v>0.22</v>
      </c>
      <c r="K8984">
        <v>1.3</v>
      </c>
      <c r="L8984">
        <v>0.21</v>
      </c>
      <c r="M8984">
        <v>0.96499999999999997</v>
      </c>
      <c r="N8984">
        <v>0.97</v>
      </c>
    </row>
    <row r="8985" spans="1:14" x14ac:dyDescent="0.25">
      <c r="A8985" t="s">
        <v>15813</v>
      </c>
      <c r="B8985" t="s">
        <v>15814</v>
      </c>
      <c r="C8985" s="1" t="str">
        <f>HYPERLINK("http://www.genecards.org/cgi-bin/carddisp.pl?gene=GJB3","GeneCards")</f>
        <v>GeneCards</v>
      </c>
      <c r="D8985" s="1" t="str">
        <f>HYPERLINK("http://genome-euro.ucsc.edu/cgi-bin/hgTracks?position=205490_x_at","UCSC")</f>
        <v>UCSC</v>
      </c>
      <c r="E8985" s="1" t="str">
        <f>HYPERLINK("http://www.ncbi.nlm.nih.gov/gene/?term=GJB3","NCBI")</f>
        <v>NCBI</v>
      </c>
      <c r="F8985">
        <v>0.16</v>
      </c>
      <c r="G8985">
        <v>0.31</v>
      </c>
      <c r="H8985" s="1" t="str">
        <f>HYPERLINK("http://www.weizmann.ac.il/complex/compphys/software/geview/data/figures/205490_x_at.png","Figure")</f>
        <v>Figure</v>
      </c>
      <c r="I8985">
        <v>1.08</v>
      </c>
      <c r="J8985">
        <v>0.39</v>
      </c>
      <c r="K8985">
        <v>0.97</v>
      </c>
      <c r="L8985">
        <v>0.81</v>
      </c>
      <c r="M8985">
        <v>0.89900000000000002</v>
      </c>
      <c r="N8985">
        <v>0.14000000000000001</v>
      </c>
    </row>
    <row r="8986" spans="1:14" x14ac:dyDescent="0.25">
      <c r="A8986" t="s">
        <v>15815</v>
      </c>
      <c r="B8986" t="s">
        <v>15816</v>
      </c>
      <c r="C8986" s="1" t="str">
        <f>HYPERLINK("http://www.genecards.org/cgi-bin/carddisp.pl?gene=CLIC1","GeneCards")</f>
        <v>GeneCards</v>
      </c>
      <c r="D8986" s="1" t="str">
        <f>HYPERLINK("http://genome-euro.ucsc.edu/cgi-bin/hgTracks?position=208659_at","UCSC")</f>
        <v>UCSC</v>
      </c>
      <c r="E8986" s="1" t="str">
        <f>HYPERLINK("http://www.ncbi.nlm.nih.gov/gene/?term=CLIC1","NCBI")</f>
        <v>NCBI</v>
      </c>
      <c r="F8986">
        <v>0.16</v>
      </c>
      <c r="G8986">
        <v>0.31</v>
      </c>
      <c r="H8986" s="1" t="str">
        <f>HYPERLINK("http://www.weizmann.ac.il/complex/compphys/software/geview/data/figures/208659_at.png","Figure")</f>
        <v>Figure</v>
      </c>
      <c r="I8986">
        <v>0.75</v>
      </c>
      <c r="J8986">
        <v>0.28999999999999998</v>
      </c>
      <c r="K8986">
        <v>1.05</v>
      </c>
      <c r="L8986">
        <v>0.95</v>
      </c>
      <c r="M8986">
        <v>1.4</v>
      </c>
      <c r="N8986">
        <v>0.16</v>
      </c>
    </row>
    <row r="8987" spans="1:14" x14ac:dyDescent="0.25">
      <c r="A8987" t="s">
        <v>15817</v>
      </c>
      <c r="B8987" t="s">
        <v>7485</v>
      </c>
      <c r="C8987" s="1" t="str">
        <f>HYPERLINK("http://www.genecards.org/cgi-bin/carddisp.pl?gene=MAGED2","GeneCards")</f>
        <v>GeneCards</v>
      </c>
      <c r="D8987" s="1" t="str">
        <f>HYPERLINK("http://genome-euro.ucsc.edu/cgi-bin/hgTracks?position=213627_at","UCSC")</f>
        <v>UCSC</v>
      </c>
      <c r="E8987" s="1" t="str">
        <f>HYPERLINK("http://www.ncbi.nlm.nih.gov/gene/?term=MAGED2","NCBI")</f>
        <v>NCBI</v>
      </c>
      <c r="F8987">
        <v>0.16</v>
      </c>
      <c r="G8987">
        <v>0.31</v>
      </c>
      <c r="H8987" s="1" t="str">
        <f>HYPERLINK("http://www.weizmann.ac.il/complex/compphys/software/geview/data/figures/213627_at.png","Figure")</f>
        <v>Figure</v>
      </c>
      <c r="I8987">
        <v>0.71899999999999997</v>
      </c>
      <c r="J8987">
        <v>0.16</v>
      </c>
      <c r="K8987">
        <v>0.80900000000000005</v>
      </c>
      <c r="L8987">
        <v>0.34</v>
      </c>
      <c r="M8987">
        <v>1.1200000000000001</v>
      </c>
      <c r="N8987">
        <v>0.74</v>
      </c>
    </row>
    <row r="8988" spans="1:14" x14ac:dyDescent="0.25">
      <c r="A8988" t="s">
        <v>15818</v>
      </c>
      <c r="B8988" t="s">
        <v>15819</v>
      </c>
      <c r="C8988" s="1" t="str">
        <f>HYPERLINK("http://www.genecards.org/cgi-bin/carddisp.pl?gene=KLRG1","GeneCards")</f>
        <v>GeneCards</v>
      </c>
      <c r="D8988" s="1" t="str">
        <f>HYPERLINK("http://genome-euro.ucsc.edu/cgi-bin/hgTracks?position=210288_at","UCSC")</f>
        <v>UCSC</v>
      </c>
      <c r="E8988" s="1" t="str">
        <f>HYPERLINK("http://www.ncbi.nlm.nih.gov/gene/?term=KLRG1","NCBI")</f>
        <v>NCBI</v>
      </c>
      <c r="F8988">
        <v>0.16</v>
      </c>
      <c r="G8988">
        <v>0.31</v>
      </c>
      <c r="H8988" s="1" t="str">
        <f>HYPERLINK("http://www.weizmann.ac.il/complex/compphys/software/geview/data/figures/210288_at.png","Figure")</f>
        <v>Figure</v>
      </c>
      <c r="I8988">
        <v>0.98699999999999999</v>
      </c>
      <c r="J8988">
        <v>0.98</v>
      </c>
      <c r="K8988">
        <v>1.1200000000000001</v>
      </c>
      <c r="L8988">
        <v>0.26</v>
      </c>
      <c r="M8988">
        <v>1.1299999999999999</v>
      </c>
      <c r="N8988">
        <v>0.23</v>
      </c>
    </row>
    <row r="8989" spans="1:14" x14ac:dyDescent="0.25">
      <c r="A8989" t="s">
        <v>15820</v>
      </c>
      <c r="B8989" t="s">
        <v>13969</v>
      </c>
      <c r="C8989" s="1" t="str">
        <f>HYPERLINK("http://www.genecards.org/cgi-bin/carddisp.pl?gene=TBC1D5","GeneCards")</f>
        <v>GeneCards</v>
      </c>
      <c r="D8989" s="1" t="str">
        <f>HYPERLINK("http://genome-euro.ucsc.edu/cgi-bin/hgTracks?position=201815_s_at","UCSC")</f>
        <v>UCSC</v>
      </c>
      <c r="E8989" s="1" t="str">
        <f>HYPERLINK("http://www.ncbi.nlm.nih.gov/gene/?term=TBC1D5","NCBI")</f>
        <v>NCBI</v>
      </c>
      <c r="F8989">
        <v>0.16</v>
      </c>
      <c r="G8989">
        <v>0.31</v>
      </c>
      <c r="H8989" s="1" t="str">
        <f>HYPERLINK("http://www.weizmann.ac.il/complex/compphys/software/geview/data/figures/201815_s_at.png","Figure")</f>
        <v>Figure</v>
      </c>
      <c r="I8989">
        <v>1.18</v>
      </c>
      <c r="J8989">
        <v>0.22</v>
      </c>
      <c r="K8989">
        <v>1</v>
      </c>
      <c r="L8989">
        <v>1</v>
      </c>
      <c r="M8989">
        <v>0.84599999999999997</v>
      </c>
      <c r="N8989">
        <v>0.18</v>
      </c>
    </row>
    <row r="8990" spans="1:14" x14ac:dyDescent="0.25">
      <c r="A8990" t="s">
        <v>15821</v>
      </c>
      <c r="B8990" t="s">
        <v>4865</v>
      </c>
      <c r="C8990" s="1" t="str">
        <f>HYPERLINK("http://www.genecards.org/cgi-bin/carddisp.pl?gene=RBMS1","GeneCards")</f>
        <v>GeneCards</v>
      </c>
      <c r="D8990" s="1" t="str">
        <f>HYPERLINK("http://genome-euro.ucsc.edu/cgi-bin/hgTracks?position=209868_s_at","UCSC")</f>
        <v>UCSC</v>
      </c>
      <c r="E8990" s="1" t="str">
        <f>HYPERLINK("http://www.ncbi.nlm.nih.gov/gene/?term=RBMS1","NCBI")</f>
        <v>NCBI</v>
      </c>
      <c r="F8990">
        <v>0.16</v>
      </c>
      <c r="G8990">
        <v>0.31</v>
      </c>
      <c r="H8990" s="1" t="str">
        <f>HYPERLINK("http://www.weizmann.ac.il/complex/compphys/software/geview/data/figures/209868_s_at.png","Figure")</f>
        <v>Figure</v>
      </c>
      <c r="I8990">
        <v>0.92</v>
      </c>
      <c r="J8990">
        <v>0.95</v>
      </c>
      <c r="K8990">
        <v>0.627</v>
      </c>
      <c r="L8990">
        <v>0.18</v>
      </c>
      <c r="M8990">
        <v>0.68100000000000005</v>
      </c>
      <c r="N8990">
        <v>0.35</v>
      </c>
    </row>
    <row r="8991" spans="1:14" x14ac:dyDescent="0.25">
      <c r="A8991" t="s">
        <v>15822</v>
      </c>
      <c r="B8991" t="s">
        <v>3529</v>
      </c>
      <c r="C8991" s="1" t="str">
        <f>HYPERLINK("http://www.genecards.org/cgi-bin/carddisp.pl?gene=RABEP2","GeneCards")</f>
        <v>GeneCards</v>
      </c>
      <c r="D8991" s="1" t="str">
        <f>HYPERLINK("http://genome-euro.ucsc.edu/cgi-bin/hgTracks?position=74694_s_at","UCSC")</f>
        <v>UCSC</v>
      </c>
      <c r="E8991" s="1" t="str">
        <f>HYPERLINK("http://www.ncbi.nlm.nih.gov/gene/?term=RABEP2","NCBI")</f>
        <v>NCBI</v>
      </c>
      <c r="F8991">
        <v>0.16</v>
      </c>
      <c r="G8991">
        <v>0.31</v>
      </c>
      <c r="H8991" s="1" t="str">
        <f>HYPERLINK("http://www.weizmann.ac.il/complex/compphys/software/geview/data/figures/74694_s_at.png","Figure")</f>
        <v>Figure</v>
      </c>
      <c r="I8991">
        <v>1.69</v>
      </c>
      <c r="J8991">
        <v>0.43</v>
      </c>
      <c r="K8991">
        <v>2.08</v>
      </c>
      <c r="L8991">
        <v>0.15</v>
      </c>
      <c r="M8991">
        <v>1.23</v>
      </c>
      <c r="N8991">
        <v>0.86</v>
      </c>
    </row>
    <row r="8992" spans="1:14" x14ac:dyDescent="0.25">
      <c r="A8992" t="s">
        <v>15823</v>
      </c>
      <c r="B8992" t="s">
        <v>15824</v>
      </c>
      <c r="C8992" s="1" t="str">
        <f>HYPERLINK("http://www.genecards.org/cgi-bin/carddisp.pl?gene=CA4","GeneCards")</f>
        <v>GeneCards</v>
      </c>
      <c r="D8992" s="1" t="str">
        <f>HYPERLINK("http://genome-euro.ucsc.edu/cgi-bin/hgTracks?position=206209_s_at","UCSC")</f>
        <v>UCSC</v>
      </c>
      <c r="E8992" s="1" t="str">
        <f>HYPERLINK("http://www.ncbi.nlm.nih.gov/gene/?term=CA4","NCBI")</f>
        <v>NCBI</v>
      </c>
      <c r="F8992">
        <v>0.16</v>
      </c>
      <c r="G8992">
        <v>0.31</v>
      </c>
      <c r="H8992" s="1" t="str">
        <f>HYPERLINK("http://www.weizmann.ac.il/complex/compphys/software/geview/data/figures/206209_s_at.png","Figure")</f>
        <v>Figure</v>
      </c>
      <c r="I8992">
        <v>1.02</v>
      </c>
      <c r="J8992">
        <v>0.18</v>
      </c>
      <c r="K8992">
        <v>1.01</v>
      </c>
      <c r="L8992">
        <v>0.26</v>
      </c>
      <c r="M8992">
        <v>0.996</v>
      </c>
      <c r="N8992">
        <v>0.88</v>
      </c>
    </row>
    <row r="8993" spans="1:14" x14ac:dyDescent="0.25">
      <c r="A8993" t="s">
        <v>15825</v>
      </c>
      <c r="B8993" t="s">
        <v>15826</v>
      </c>
      <c r="C8993" s="1" t="str">
        <f>HYPERLINK("http://www.genecards.org/cgi-bin/carddisp.pl?gene=TINP1","GeneCards")</f>
        <v>GeneCards</v>
      </c>
      <c r="D8993" s="1" t="str">
        <f>HYPERLINK("http://genome-euro.ucsc.edu/cgi-bin/hgTracks?position=201922_at","UCSC")</f>
        <v>UCSC</v>
      </c>
      <c r="E8993" s="1" t="str">
        <f>HYPERLINK("http://www.ncbi.nlm.nih.gov/gene/?term=TINP1","NCBI")</f>
        <v>NCBI</v>
      </c>
      <c r="F8993">
        <v>0.16</v>
      </c>
      <c r="G8993">
        <v>0.31</v>
      </c>
      <c r="H8993" s="1" t="str">
        <f>HYPERLINK("http://www.weizmann.ac.il/complex/compphys/software/geview/data/figures/201922_at.png","Figure")</f>
        <v>Figure</v>
      </c>
      <c r="I8993">
        <v>0.92600000000000005</v>
      </c>
      <c r="J8993">
        <v>0.95</v>
      </c>
      <c r="K8993">
        <v>1.4</v>
      </c>
      <c r="L8993">
        <v>0.28999999999999998</v>
      </c>
      <c r="M8993">
        <v>1.51</v>
      </c>
      <c r="N8993">
        <v>0.2</v>
      </c>
    </row>
    <row r="8994" spans="1:14" x14ac:dyDescent="0.25">
      <c r="A8994" t="s">
        <v>15827</v>
      </c>
      <c r="B8994" t="s">
        <v>5545</v>
      </c>
      <c r="C8994" s="1" t="str">
        <f>HYPERLINK("http://www.genecards.org/cgi-bin/carddisp.pl?gene=NDRG3","GeneCards")</f>
        <v>GeneCards</v>
      </c>
      <c r="D8994" s="1" t="str">
        <f>HYPERLINK("http://genome-euro.ucsc.edu/cgi-bin/hgTracks?position=221082_s_at","UCSC")</f>
        <v>UCSC</v>
      </c>
      <c r="E8994" s="1" t="str">
        <f>HYPERLINK("http://www.ncbi.nlm.nih.gov/gene/?term=NDRG3","NCBI")</f>
        <v>NCBI</v>
      </c>
      <c r="F8994">
        <v>0.16</v>
      </c>
      <c r="G8994">
        <v>0.31</v>
      </c>
      <c r="H8994" s="1" t="str">
        <f>HYPERLINK("http://www.weizmann.ac.il/complex/compphys/software/geview/data/figures/221082_s_at.png","Figure")</f>
        <v>Figure</v>
      </c>
      <c r="I8994">
        <v>1.1100000000000001</v>
      </c>
      <c r="J8994">
        <v>0.28999999999999998</v>
      </c>
      <c r="K8994">
        <v>0.98299999999999998</v>
      </c>
      <c r="L8994">
        <v>0.95</v>
      </c>
      <c r="M8994">
        <v>0.88600000000000001</v>
      </c>
      <c r="N8994">
        <v>0.16</v>
      </c>
    </row>
    <row r="8995" spans="1:14" x14ac:dyDescent="0.25">
      <c r="A8995" t="s">
        <v>15828</v>
      </c>
      <c r="B8995" t="s">
        <v>7534</v>
      </c>
      <c r="C8995" s="1" t="str">
        <f>HYPERLINK("http://www.genecards.org/cgi-bin/carddisp.pl?gene=TFDP2","GeneCards")</f>
        <v>GeneCards</v>
      </c>
      <c r="D8995" s="1" t="str">
        <f>HYPERLINK("http://genome-euro.ucsc.edu/cgi-bin/hgTracks?position=203589_s_at","UCSC")</f>
        <v>UCSC</v>
      </c>
      <c r="E8995" s="1" t="str">
        <f>HYPERLINK("http://www.ncbi.nlm.nih.gov/gene/?term=TFDP2","NCBI")</f>
        <v>NCBI</v>
      </c>
      <c r="F8995">
        <v>0.16</v>
      </c>
      <c r="G8995">
        <v>0.31</v>
      </c>
      <c r="H8995" s="1" t="str">
        <f>HYPERLINK("http://www.weizmann.ac.il/complex/compphys/software/geview/data/figures/203589_s_at.png","Figure")</f>
        <v>Figure</v>
      </c>
      <c r="I8995">
        <v>1.18</v>
      </c>
      <c r="J8995">
        <v>0.84</v>
      </c>
      <c r="K8995">
        <v>0.70499999999999996</v>
      </c>
      <c r="L8995">
        <v>0.37</v>
      </c>
      <c r="M8995">
        <v>0.59899999999999998</v>
      </c>
      <c r="N8995">
        <v>0.17</v>
      </c>
    </row>
    <row r="8996" spans="1:14" x14ac:dyDescent="0.25">
      <c r="A8996" t="s">
        <v>15829</v>
      </c>
      <c r="B8996" t="s">
        <v>2423</v>
      </c>
      <c r="C8996" s="1" t="str">
        <f>HYPERLINK("http://www.genecards.org/cgi-bin/carddisp.pl?gene=C12orf47","GeneCards")</f>
        <v>GeneCards</v>
      </c>
      <c r="D8996" s="1" t="str">
        <f>HYPERLINK("http://genome-euro.ucsc.edu/cgi-bin/hgTracks?position=212868_x_at","UCSC")</f>
        <v>UCSC</v>
      </c>
      <c r="E8996" s="1" t="str">
        <f>HYPERLINK("http://www.ncbi.nlm.nih.gov/gene/?term=C12orf47","NCBI")</f>
        <v>NCBI</v>
      </c>
      <c r="F8996">
        <v>0.16</v>
      </c>
      <c r="G8996">
        <v>0.31</v>
      </c>
      <c r="H8996" s="1" t="str">
        <f>HYPERLINK("http://www.weizmann.ac.il/complex/compphys/software/geview/data/figures/212868_x_at.png","Figure")</f>
        <v>Figure</v>
      </c>
      <c r="I8996">
        <v>1.1499999999999999</v>
      </c>
      <c r="J8996">
        <v>0.2</v>
      </c>
      <c r="K8996">
        <v>1.1200000000000001</v>
      </c>
      <c r="L8996">
        <v>0.23</v>
      </c>
      <c r="M8996">
        <v>0.97699999999999998</v>
      </c>
      <c r="N8996">
        <v>0.94</v>
      </c>
    </row>
    <row r="8997" spans="1:14" x14ac:dyDescent="0.25">
      <c r="A8997" t="s">
        <v>15830</v>
      </c>
      <c r="B8997" t="s">
        <v>15831</v>
      </c>
      <c r="C8997" s="1" t="str">
        <f>HYPERLINK("http://www.genecards.org/cgi-bin/carddisp.pl?gene=MAP1LC3B","GeneCards")</f>
        <v>GeneCards</v>
      </c>
      <c r="D8997" s="1" t="str">
        <f>HYPERLINK("http://genome-euro.ucsc.edu/cgi-bin/hgTracks?position=208786_s_at","UCSC")</f>
        <v>UCSC</v>
      </c>
      <c r="E8997" s="1" t="str">
        <f>HYPERLINK("http://www.ncbi.nlm.nih.gov/gene/?term=MAP1LC3B","NCBI")</f>
        <v>NCBI</v>
      </c>
      <c r="F8997">
        <v>0.16</v>
      </c>
      <c r="G8997">
        <v>0.31</v>
      </c>
      <c r="H8997" s="1" t="str">
        <f>HYPERLINK("http://www.weizmann.ac.il/complex/compphys/software/geview/data/figures/208786_s_at.png","Figure")</f>
        <v>Figure</v>
      </c>
      <c r="I8997">
        <v>0.88100000000000001</v>
      </c>
      <c r="J8997">
        <v>0.89</v>
      </c>
      <c r="K8997">
        <v>0.63</v>
      </c>
      <c r="L8997">
        <v>0.16</v>
      </c>
      <c r="M8997">
        <v>0.71499999999999997</v>
      </c>
      <c r="N8997">
        <v>0.41</v>
      </c>
    </row>
    <row r="8998" spans="1:14" x14ac:dyDescent="0.25">
      <c r="A8998" t="s">
        <v>15832</v>
      </c>
      <c r="B8998" t="s">
        <v>15833</v>
      </c>
      <c r="C8998" s="1" t="str">
        <f>HYPERLINK("http://www.genecards.org/cgi-bin/carddisp.pl?gene=THAP4","GeneCards")</f>
        <v>GeneCards</v>
      </c>
      <c r="D8998" s="1" t="str">
        <f>HYPERLINK("http://genome-euro.ucsc.edu/cgi-bin/hgTracks?position=220417_s_at","UCSC")</f>
        <v>UCSC</v>
      </c>
      <c r="E8998" s="1" t="str">
        <f>HYPERLINK("http://www.ncbi.nlm.nih.gov/gene/?term=THAP4","NCBI")</f>
        <v>NCBI</v>
      </c>
      <c r="F8998">
        <v>0.16</v>
      </c>
      <c r="G8998">
        <v>0.31</v>
      </c>
      <c r="H8998" s="1" t="str">
        <f>HYPERLINK("http://www.weizmann.ac.il/complex/compphys/software/geview/data/figures/220417_s_at.png","Figure")</f>
        <v>Figure</v>
      </c>
      <c r="I8998">
        <v>0.88700000000000001</v>
      </c>
      <c r="J8998">
        <v>0.79</v>
      </c>
      <c r="K8998">
        <v>1.23</v>
      </c>
      <c r="L8998">
        <v>0.41</v>
      </c>
      <c r="M8998">
        <v>1.39</v>
      </c>
      <c r="N8998">
        <v>0.16</v>
      </c>
    </row>
    <row r="8999" spans="1:14" x14ac:dyDescent="0.25">
      <c r="A8999" t="s">
        <v>15834</v>
      </c>
      <c r="B8999" t="s">
        <v>15835</v>
      </c>
      <c r="C8999" s="1" t="str">
        <f>HYPERLINK("http://www.genecards.org/cgi-bin/carddisp.pl?gene=RPLP0","GeneCards")</f>
        <v>GeneCards</v>
      </c>
      <c r="D8999" s="1" t="str">
        <f>HYPERLINK("http://genome-euro.ucsc.edu/cgi-bin/hgTracks?position=211720_x_at","UCSC")</f>
        <v>UCSC</v>
      </c>
      <c r="E8999" s="1" t="str">
        <f>HYPERLINK("http://www.ncbi.nlm.nih.gov/gene/?term=RPLP0","NCBI")</f>
        <v>NCBI</v>
      </c>
      <c r="F8999">
        <v>0.16</v>
      </c>
      <c r="G8999">
        <v>0.31</v>
      </c>
      <c r="H8999" s="1" t="str">
        <f>HYPERLINK("http://www.weizmann.ac.il/complex/compphys/software/geview/data/figures/211720_x_at.png","Figure")</f>
        <v>Figure</v>
      </c>
      <c r="I8999">
        <v>1.01</v>
      </c>
      <c r="J8999">
        <v>1</v>
      </c>
      <c r="K8999">
        <v>1.1399999999999999</v>
      </c>
      <c r="L8999">
        <v>0.21</v>
      </c>
      <c r="M8999">
        <v>1.1299999999999999</v>
      </c>
      <c r="N8999">
        <v>0.28000000000000003</v>
      </c>
    </row>
    <row r="9000" spans="1:14" x14ac:dyDescent="0.25">
      <c r="A9000" t="s">
        <v>15836</v>
      </c>
      <c r="B9000" t="s">
        <v>5181</v>
      </c>
      <c r="C9000" s="1" t="str">
        <f>HYPERLINK("http://www.genecards.org/cgi-bin/carddisp.pl?gene=RHEB","GeneCards")</f>
        <v>GeneCards</v>
      </c>
      <c r="D9000" s="1" t="str">
        <f>HYPERLINK("http://genome-euro.ucsc.edu/cgi-bin/hgTracks?position=213404_s_at","UCSC")</f>
        <v>UCSC</v>
      </c>
      <c r="E9000" s="1" t="str">
        <f>HYPERLINK("http://www.ncbi.nlm.nih.gov/gene/?term=RHEB","NCBI")</f>
        <v>NCBI</v>
      </c>
      <c r="F9000">
        <v>0.16</v>
      </c>
      <c r="G9000">
        <v>0.31</v>
      </c>
      <c r="H9000" s="1" t="str">
        <f>HYPERLINK("http://www.weizmann.ac.il/complex/compphys/software/geview/data/figures/213404_s_at.png","Figure")</f>
        <v>Figure</v>
      </c>
      <c r="I9000">
        <v>0.96299999999999997</v>
      </c>
      <c r="J9000">
        <v>0.98</v>
      </c>
      <c r="K9000">
        <v>0.70599999999999996</v>
      </c>
      <c r="L9000">
        <v>0.19</v>
      </c>
      <c r="M9000">
        <v>0.73399999999999999</v>
      </c>
      <c r="N9000">
        <v>0.31</v>
      </c>
    </row>
    <row r="9001" spans="1:14" x14ac:dyDescent="0.25">
      <c r="A9001" t="s">
        <v>15837</v>
      </c>
      <c r="B9001" t="s">
        <v>15838</v>
      </c>
      <c r="C9001" s="1" t="str">
        <f>HYPERLINK("http://www.genecards.org/cgi-bin/carddisp.pl?gene=MLX","GeneCards")</f>
        <v>GeneCards</v>
      </c>
      <c r="D9001" s="1" t="str">
        <f>HYPERLINK("http://genome-euro.ucsc.edu/cgi-bin/hgTracks?position=213708_s_at","UCSC")</f>
        <v>UCSC</v>
      </c>
      <c r="E9001" s="1" t="str">
        <f>HYPERLINK("http://www.ncbi.nlm.nih.gov/gene/?term=MLX","NCBI")</f>
        <v>NCBI</v>
      </c>
      <c r="F9001">
        <v>0.16</v>
      </c>
      <c r="G9001">
        <v>0.31</v>
      </c>
      <c r="H9001" s="1" t="str">
        <f>HYPERLINK("http://www.weizmann.ac.il/complex/compphys/software/geview/data/figures/213708_s_at.png","Figure")</f>
        <v>Figure</v>
      </c>
      <c r="I9001">
        <v>0.95199999999999996</v>
      </c>
      <c r="J9001">
        <v>0.89</v>
      </c>
      <c r="K9001">
        <v>1.1499999999999999</v>
      </c>
      <c r="L9001">
        <v>0.33</v>
      </c>
      <c r="M9001">
        <v>1.2</v>
      </c>
      <c r="N9001">
        <v>0.18</v>
      </c>
    </row>
    <row r="9002" spans="1:14" x14ac:dyDescent="0.25">
      <c r="A9002" t="s">
        <v>15839</v>
      </c>
      <c r="B9002" t="s">
        <v>15840</v>
      </c>
      <c r="C9002" s="1" t="str">
        <f>HYPERLINK("http://www.genecards.org/cgi-bin/carddisp.pl?gene=TTC15","GeneCards")</f>
        <v>GeneCards</v>
      </c>
      <c r="D9002" s="1" t="str">
        <f>HYPERLINK("http://genome-euro.ucsc.edu/cgi-bin/hgTracks?position=203122_at","UCSC")</f>
        <v>UCSC</v>
      </c>
      <c r="E9002" s="1" t="str">
        <f>HYPERLINK("http://www.ncbi.nlm.nih.gov/gene/?term=TTC15","NCBI")</f>
        <v>NCBI</v>
      </c>
      <c r="F9002">
        <v>0.16</v>
      </c>
      <c r="G9002">
        <v>0.31</v>
      </c>
      <c r="H9002" s="1" t="str">
        <f>HYPERLINK("http://www.weizmann.ac.il/complex/compphys/software/geview/data/figures/203122_at.png","Figure")</f>
        <v>Figure</v>
      </c>
      <c r="I9002">
        <v>1.1000000000000001</v>
      </c>
      <c r="J9002">
        <v>0.93</v>
      </c>
      <c r="K9002">
        <v>1.57</v>
      </c>
      <c r="L9002">
        <v>0.17</v>
      </c>
      <c r="M9002">
        <v>1.42</v>
      </c>
      <c r="N9002">
        <v>0.37</v>
      </c>
    </row>
    <row r="9003" spans="1:14" x14ac:dyDescent="0.25">
      <c r="A9003" t="s">
        <v>15841</v>
      </c>
      <c r="B9003" t="s">
        <v>15842</v>
      </c>
      <c r="C9003" s="1" t="str">
        <f>HYPERLINK("http://www.genecards.org/cgi-bin/carddisp.pl?gene=ECD","GeneCards")</f>
        <v>GeneCards</v>
      </c>
      <c r="D9003" s="1" t="str">
        <f>HYPERLINK("http://genome-euro.ucsc.edu/cgi-bin/hgTracks?position=203013_at","UCSC")</f>
        <v>UCSC</v>
      </c>
      <c r="E9003" s="1" t="str">
        <f>HYPERLINK("http://www.ncbi.nlm.nih.gov/gene/?term=ECD","NCBI")</f>
        <v>NCBI</v>
      </c>
      <c r="F9003">
        <v>0.16</v>
      </c>
      <c r="G9003">
        <v>0.31</v>
      </c>
      <c r="H9003" s="1" t="str">
        <f>HYPERLINK("http://www.weizmann.ac.il/complex/compphys/software/geview/data/figures/203013_at.png","Figure")</f>
        <v>Figure</v>
      </c>
      <c r="I9003">
        <v>0.84399999999999997</v>
      </c>
      <c r="J9003">
        <v>0.57999999999999996</v>
      </c>
      <c r="K9003">
        <v>0.74199999999999999</v>
      </c>
      <c r="L9003">
        <v>0.14000000000000001</v>
      </c>
      <c r="M9003">
        <v>0.879</v>
      </c>
      <c r="N9003">
        <v>0.69</v>
      </c>
    </row>
    <row r="9004" spans="1:14" x14ac:dyDescent="0.25">
      <c r="A9004" t="s">
        <v>15843</v>
      </c>
      <c r="B9004" t="s">
        <v>3039</v>
      </c>
      <c r="C9004" s="1" t="str">
        <f>HYPERLINK("http://www.genecards.org/cgi-bin/carddisp.pl?gene=SHMT2","GeneCards")</f>
        <v>GeneCards</v>
      </c>
      <c r="D9004" s="1" t="str">
        <f>HYPERLINK("http://genome-euro.ucsc.edu/cgi-bin/hgTracks?position=214095_at","UCSC")</f>
        <v>UCSC</v>
      </c>
      <c r="E9004" s="1" t="str">
        <f>HYPERLINK("http://www.ncbi.nlm.nih.gov/gene/?term=SHMT2","NCBI")</f>
        <v>NCBI</v>
      </c>
      <c r="F9004">
        <v>0.16</v>
      </c>
      <c r="G9004">
        <v>0.31</v>
      </c>
      <c r="H9004" s="1" t="str">
        <f>HYPERLINK("http://www.weizmann.ac.il/complex/compphys/software/geview/data/figures/214095_at.png","Figure")</f>
        <v>Figure</v>
      </c>
      <c r="I9004">
        <v>1.04</v>
      </c>
      <c r="J9004">
        <v>0.85</v>
      </c>
      <c r="K9004">
        <v>1.1299999999999999</v>
      </c>
      <c r="L9004">
        <v>0.16</v>
      </c>
      <c r="M9004">
        <v>1.0900000000000001</v>
      </c>
      <c r="N9004">
        <v>0.45</v>
      </c>
    </row>
    <row r="9005" spans="1:14" x14ac:dyDescent="0.25">
      <c r="A9005" t="s">
        <v>15844</v>
      </c>
      <c r="B9005" t="s">
        <v>15845</v>
      </c>
      <c r="C9005" s="1" t="str">
        <f>HYPERLINK("http://www.genecards.org/cgi-bin/carddisp.pl?gene=ZNF835","GeneCards")</f>
        <v>GeneCards</v>
      </c>
      <c r="D9005" s="1" t="str">
        <f>HYPERLINK("http://genome-euro.ucsc.edu/cgi-bin/hgTracks?position=215826_x_at","UCSC")</f>
        <v>UCSC</v>
      </c>
      <c r="E9005" s="1" t="str">
        <f>HYPERLINK("http://www.ncbi.nlm.nih.gov/gene/?term=ZNF835","NCBI")</f>
        <v>NCBI</v>
      </c>
      <c r="F9005">
        <v>0.16</v>
      </c>
      <c r="G9005">
        <v>0.31</v>
      </c>
      <c r="H9005" s="1" t="str">
        <f>HYPERLINK("http://www.weizmann.ac.il/complex/compphys/software/geview/data/figures/215826_x_at.png","Figure")</f>
        <v>Figure</v>
      </c>
      <c r="I9005">
        <v>1.21</v>
      </c>
      <c r="J9005">
        <v>0.15</v>
      </c>
      <c r="K9005">
        <v>1.05</v>
      </c>
      <c r="L9005">
        <v>0.81</v>
      </c>
      <c r="M9005">
        <v>0.87</v>
      </c>
      <c r="N9005">
        <v>0.3</v>
      </c>
    </row>
    <row r="9006" spans="1:14" x14ac:dyDescent="0.25">
      <c r="A9006" t="s">
        <v>15846</v>
      </c>
      <c r="B9006" t="s">
        <v>15847</v>
      </c>
      <c r="C9006" s="1" t="str">
        <f>HYPERLINK("http://www.genecards.org/cgi-bin/carddisp.pl?gene=C20orf11","GeneCards")</f>
        <v>GeneCards</v>
      </c>
      <c r="D9006" s="1" t="str">
        <f>HYPERLINK("http://genome-euro.ucsc.edu/cgi-bin/hgTracks?position=218448_at","UCSC")</f>
        <v>UCSC</v>
      </c>
      <c r="E9006" s="1" t="str">
        <f>HYPERLINK("http://www.ncbi.nlm.nih.gov/gene/?term=C20orf11","NCBI")</f>
        <v>NCBI</v>
      </c>
      <c r="F9006">
        <v>0.16</v>
      </c>
      <c r="G9006">
        <v>0.31</v>
      </c>
      <c r="H9006" s="1" t="str">
        <f>HYPERLINK("http://www.weizmann.ac.il/complex/compphys/software/geview/data/figures/218448_at.png","Figure")</f>
        <v>Figure</v>
      </c>
      <c r="I9006">
        <v>1.23</v>
      </c>
      <c r="J9006">
        <v>0.55000000000000004</v>
      </c>
      <c r="K9006">
        <v>0.84699999999999998</v>
      </c>
      <c r="L9006">
        <v>0.61</v>
      </c>
      <c r="M9006">
        <v>0.68600000000000005</v>
      </c>
      <c r="N9006">
        <v>0.14000000000000001</v>
      </c>
    </row>
    <row r="9007" spans="1:14" x14ac:dyDescent="0.25">
      <c r="A9007" t="s">
        <v>15848</v>
      </c>
      <c r="B9007" t="s">
        <v>15849</v>
      </c>
      <c r="C9007" s="1" t="str">
        <f>HYPERLINK("http://www.genecards.org/cgi-bin/carddisp.pl?gene=TMEM33","GeneCards")</f>
        <v>GeneCards</v>
      </c>
      <c r="D9007" s="1" t="str">
        <f>HYPERLINK("http://genome-euro.ucsc.edu/cgi-bin/hgTracks?position=218465_at","UCSC")</f>
        <v>UCSC</v>
      </c>
      <c r="E9007" s="1" t="str">
        <f>HYPERLINK("http://www.ncbi.nlm.nih.gov/gene/?term=TMEM33","NCBI")</f>
        <v>NCBI</v>
      </c>
      <c r="F9007">
        <v>0.16</v>
      </c>
      <c r="G9007">
        <v>0.31</v>
      </c>
      <c r="H9007" s="1" t="str">
        <f>HYPERLINK("http://www.weizmann.ac.il/complex/compphys/software/geview/data/figures/218465_at.png","Figure")</f>
        <v>Figure</v>
      </c>
      <c r="I9007">
        <v>0.56100000000000005</v>
      </c>
      <c r="J9007">
        <v>0.14000000000000001</v>
      </c>
      <c r="K9007">
        <v>0.751</v>
      </c>
      <c r="L9007">
        <v>0.5</v>
      </c>
      <c r="M9007">
        <v>1.34</v>
      </c>
      <c r="N9007">
        <v>0.53</v>
      </c>
    </row>
    <row r="9008" spans="1:14" x14ac:dyDescent="0.25">
      <c r="A9008" t="s">
        <v>15850</v>
      </c>
      <c r="B9008" t="s">
        <v>13552</v>
      </c>
      <c r="C9008" s="1" t="str">
        <f>HYPERLINK("http://www.genecards.org/cgi-bin/carddisp.pl?gene=IGF1","GeneCards")</f>
        <v>GeneCards</v>
      </c>
      <c r="D9008" s="1" t="str">
        <f>HYPERLINK("http://genome-euro.ucsc.edu/cgi-bin/hgTracks?position=211577_s_at","UCSC")</f>
        <v>UCSC</v>
      </c>
      <c r="E9008" s="1" t="str">
        <f>HYPERLINK("http://www.ncbi.nlm.nih.gov/gene/?term=IGF1","NCBI")</f>
        <v>NCBI</v>
      </c>
      <c r="F9008">
        <v>0.16</v>
      </c>
      <c r="G9008">
        <v>0.31</v>
      </c>
      <c r="H9008" s="1" t="str">
        <f>HYPERLINK("http://www.weizmann.ac.il/complex/compphys/software/geview/data/figures/211577_s_at.png","Figure")</f>
        <v>Figure</v>
      </c>
      <c r="I9008">
        <v>1.1299999999999999</v>
      </c>
      <c r="J9008">
        <v>0.14000000000000001</v>
      </c>
      <c r="K9008">
        <v>1.06</v>
      </c>
      <c r="L9008">
        <v>0.52</v>
      </c>
      <c r="M9008">
        <v>0.93799999999999994</v>
      </c>
      <c r="N9008">
        <v>0.51</v>
      </c>
    </row>
    <row r="9009" spans="1:14" x14ac:dyDescent="0.25">
      <c r="A9009" t="s">
        <v>15851</v>
      </c>
      <c r="B9009" t="s">
        <v>504</v>
      </c>
      <c r="C9009" s="1" t="str">
        <f>HYPERLINK("http://www.genecards.org/cgi-bin/carddisp.pl?gene=FLNB","GeneCards")</f>
        <v>GeneCards</v>
      </c>
      <c r="D9009" s="1" t="str">
        <f>HYPERLINK("http://genome-euro.ucsc.edu/cgi-bin/hgTracks?position=208613_s_at","UCSC")</f>
        <v>UCSC</v>
      </c>
      <c r="E9009" s="1" t="str">
        <f>HYPERLINK("http://www.ncbi.nlm.nih.gov/gene/?term=FLNB","NCBI")</f>
        <v>NCBI</v>
      </c>
      <c r="F9009">
        <v>0.16</v>
      </c>
      <c r="G9009">
        <v>0.31</v>
      </c>
      <c r="H9009" s="1" t="str">
        <f>HYPERLINK("http://www.weizmann.ac.il/complex/compphys/software/geview/data/figures/208613_s_at.png","Figure")</f>
        <v>Figure</v>
      </c>
      <c r="I9009">
        <v>0.79600000000000004</v>
      </c>
      <c r="J9009">
        <v>0.28000000000000003</v>
      </c>
      <c r="K9009">
        <v>1.04</v>
      </c>
      <c r="L9009">
        <v>0.96</v>
      </c>
      <c r="M9009">
        <v>1.3</v>
      </c>
      <c r="N9009">
        <v>0.16</v>
      </c>
    </row>
    <row r="9010" spans="1:14" x14ac:dyDescent="0.25">
      <c r="A9010" t="s">
        <v>15852</v>
      </c>
      <c r="B9010" t="s">
        <v>15853</v>
      </c>
      <c r="C9010" s="1" t="str">
        <f>HYPERLINK("http://www.genecards.org/cgi-bin/carddisp.pl?gene=ACTL6B","GeneCards")</f>
        <v>GeneCards</v>
      </c>
      <c r="D9010" s="1" t="str">
        <f>HYPERLINK("http://genome-euro.ucsc.edu/cgi-bin/hgTracks?position=206014_at","UCSC")</f>
        <v>UCSC</v>
      </c>
      <c r="E9010" s="1" t="str">
        <f>HYPERLINK("http://www.ncbi.nlm.nih.gov/gene/?term=ACTL6B","NCBI")</f>
        <v>NCBI</v>
      </c>
      <c r="F9010">
        <v>0.16</v>
      </c>
      <c r="G9010">
        <v>0.31</v>
      </c>
      <c r="H9010" s="1" t="str">
        <f>HYPERLINK("http://www.weizmann.ac.il/complex/compphys/software/geview/data/figures/206014_at.png","Figure")</f>
        <v>Figure</v>
      </c>
      <c r="I9010">
        <v>1.1100000000000001</v>
      </c>
      <c r="J9010">
        <v>0.15</v>
      </c>
      <c r="K9010">
        <v>1.03</v>
      </c>
      <c r="L9010">
        <v>0.75</v>
      </c>
      <c r="M9010">
        <v>0.93100000000000005</v>
      </c>
      <c r="N9010">
        <v>0.34</v>
      </c>
    </row>
    <row r="9011" spans="1:14" x14ac:dyDescent="0.25">
      <c r="A9011" t="s">
        <v>15854</v>
      </c>
      <c r="B9011" t="s">
        <v>15855</v>
      </c>
      <c r="C9011" s="1" t="str">
        <f>HYPERLINK("http://www.genecards.org/cgi-bin/carddisp.pl?gene=ALDH8A1","GeneCards")</f>
        <v>GeneCards</v>
      </c>
      <c r="D9011" s="1" t="str">
        <f>HYPERLINK("http://genome-euro.ucsc.edu/cgi-bin/hgTracks?position=220148_at","UCSC")</f>
        <v>UCSC</v>
      </c>
      <c r="E9011" s="1" t="str">
        <f>HYPERLINK("http://www.ncbi.nlm.nih.gov/gene/?term=ALDH8A1","NCBI")</f>
        <v>NCBI</v>
      </c>
      <c r="F9011">
        <v>0.16</v>
      </c>
      <c r="G9011">
        <v>0.31</v>
      </c>
      <c r="H9011" s="1" t="str">
        <f>HYPERLINK("http://www.weizmann.ac.il/complex/compphys/software/geview/data/figures/220148_at.png","Figure")</f>
        <v>Figure</v>
      </c>
      <c r="I9011">
        <v>0.89800000000000002</v>
      </c>
      <c r="J9011">
        <v>0.17</v>
      </c>
      <c r="K9011">
        <v>0.97899999999999998</v>
      </c>
      <c r="L9011">
        <v>0.9</v>
      </c>
      <c r="M9011">
        <v>1.0900000000000001</v>
      </c>
      <c r="N9011">
        <v>0.25</v>
      </c>
    </row>
    <row r="9012" spans="1:14" x14ac:dyDescent="0.25">
      <c r="A9012" t="s">
        <v>15856</v>
      </c>
      <c r="B9012" t="s">
        <v>15857</v>
      </c>
      <c r="C9012" s="1" t="str">
        <f>HYPERLINK("http://www.genecards.org/cgi-bin/carddisp.pl?gene=UBR2","GeneCards")</f>
        <v>GeneCards</v>
      </c>
      <c r="D9012" s="1" t="str">
        <f>HYPERLINK("http://genome-euro.ucsc.edu/cgi-bin/hgTracks?position=212760_at","UCSC")</f>
        <v>UCSC</v>
      </c>
      <c r="E9012" s="1" t="str">
        <f>HYPERLINK("http://www.ncbi.nlm.nih.gov/gene/?term=UBR2","NCBI")</f>
        <v>NCBI</v>
      </c>
      <c r="F9012">
        <v>0.16</v>
      </c>
      <c r="G9012">
        <v>0.31</v>
      </c>
      <c r="H9012" s="1" t="str">
        <f>HYPERLINK("http://www.weizmann.ac.il/complex/compphys/software/geview/data/figures/212760_at.png","Figure")</f>
        <v>Figure</v>
      </c>
      <c r="I9012">
        <v>0.69599999999999995</v>
      </c>
      <c r="J9012">
        <v>0.23</v>
      </c>
      <c r="K9012">
        <v>1.01</v>
      </c>
      <c r="L9012">
        <v>1</v>
      </c>
      <c r="M9012">
        <v>1.45</v>
      </c>
      <c r="N9012">
        <v>0.18</v>
      </c>
    </row>
    <row r="9013" spans="1:14" x14ac:dyDescent="0.25">
      <c r="A9013" t="s">
        <v>15858</v>
      </c>
      <c r="B9013" t="s">
        <v>15859</v>
      </c>
      <c r="C9013" s="1" t="str">
        <f>HYPERLINK("http://www.genecards.org/cgi-bin/carddisp.pl?gene=TCP11","GeneCards")</f>
        <v>GeneCards</v>
      </c>
      <c r="D9013" s="1" t="str">
        <f>HYPERLINK("http://genome-euro.ucsc.edu/cgi-bin/hgTracks?position=220378_at","UCSC")</f>
        <v>UCSC</v>
      </c>
      <c r="E9013" s="1" t="str">
        <f>HYPERLINK("http://www.ncbi.nlm.nih.gov/gene/?term=TCP11","NCBI")</f>
        <v>NCBI</v>
      </c>
      <c r="F9013">
        <v>0.16</v>
      </c>
      <c r="G9013">
        <v>0.31</v>
      </c>
      <c r="H9013" s="1" t="str">
        <f>HYPERLINK("http://www.weizmann.ac.il/complex/compphys/software/geview/data/figures/220378_at.png","Figure")</f>
        <v>Figure</v>
      </c>
      <c r="I9013">
        <v>0.96899999999999997</v>
      </c>
      <c r="J9013">
        <v>0.15</v>
      </c>
      <c r="K9013">
        <v>0.99199999999999999</v>
      </c>
      <c r="L9013">
        <v>0.81</v>
      </c>
      <c r="M9013">
        <v>1.02</v>
      </c>
      <c r="N9013">
        <v>0.3</v>
      </c>
    </row>
    <row r="9014" spans="1:14" x14ac:dyDescent="0.25">
      <c r="A9014" t="s">
        <v>15860</v>
      </c>
      <c r="B9014" t="s">
        <v>4571</v>
      </c>
      <c r="C9014" s="1" t="str">
        <f>HYPERLINK("http://www.genecards.org/cgi-bin/carddisp.pl?gene=RUNDC3A","GeneCards")</f>
        <v>GeneCards</v>
      </c>
      <c r="D9014" s="1" t="str">
        <f>HYPERLINK("http://genome-euro.ucsc.edu/cgi-bin/hgTracks?position=206196_s_at","UCSC")</f>
        <v>UCSC</v>
      </c>
      <c r="E9014" s="1" t="str">
        <f>HYPERLINK("http://www.ncbi.nlm.nih.gov/gene/?term=RUNDC3A","NCBI")</f>
        <v>NCBI</v>
      </c>
      <c r="F9014">
        <v>0.16</v>
      </c>
      <c r="G9014">
        <v>0.31</v>
      </c>
      <c r="H9014" s="1" t="str">
        <f>HYPERLINK("http://www.weizmann.ac.il/complex/compphys/software/geview/data/figures/206196_s_at.png","Figure")</f>
        <v>Figure</v>
      </c>
      <c r="I9014">
        <v>1.05</v>
      </c>
      <c r="J9014">
        <v>0.84</v>
      </c>
      <c r="K9014">
        <v>0.90200000000000002</v>
      </c>
      <c r="L9014">
        <v>0.37</v>
      </c>
      <c r="M9014">
        <v>0.86</v>
      </c>
      <c r="N9014">
        <v>0.17</v>
      </c>
    </row>
    <row r="9015" spans="1:14" x14ac:dyDescent="0.25">
      <c r="A9015" t="s">
        <v>15861</v>
      </c>
      <c r="B9015" t="s">
        <v>15862</v>
      </c>
      <c r="C9015" s="1" t="str">
        <f>HYPERLINK("http://www.genecards.org/cgi-bin/carddisp.pl?gene=CDKN1B","GeneCards")</f>
        <v>GeneCards</v>
      </c>
      <c r="D9015" s="1" t="str">
        <f>HYPERLINK("http://genome-euro.ucsc.edu/cgi-bin/hgTracks?position=209112_at","UCSC")</f>
        <v>UCSC</v>
      </c>
      <c r="E9015" s="1" t="str">
        <f>HYPERLINK("http://www.ncbi.nlm.nih.gov/gene/?term=CDKN1B","NCBI")</f>
        <v>NCBI</v>
      </c>
      <c r="F9015">
        <v>0.16</v>
      </c>
      <c r="G9015">
        <v>0.31</v>
      </c>
      <c r="H9015" s="1" t="str">
        <f>HYPERLINK("http://www.weizmann.ac.il/complex/compphys/software/geview/data/figures/209112_at.png","Figure")</f>
        <v>Figure</v>
      </c>
      <c r="I9015">
        <v>0.91400000000000003</v>
      </c>
      <c r="J9015">
        <v>0.93</v>
      </c>
      <c r="K9015">
        <v>1.41</v>
      </c>
      <c r="L9015">
        <v>0.3</v>
      </c>
      <c r="M9015">
        <v>1.54</v>
      </c>
      <c r="N9015">
        <v>0.2</v>
      </c>
    </row>
    <row r="9016" spans="1:14" x14ac:dyDescent="0.25">
      <c r="A9016" t="s">
        <v>15863</v>
      </c>
      <c r="B9016" t="s">
        <v>15864</v>
      </c>
      <c r="C9016" s="1" t="str">
        <f>HYPERLINK("http://www.genecards.org/cgi-bin/carddisp.pl?gene=LMNA","GeneCards")</f>
        <v>GeneCards</v>
      </c>
      <c r="D9016" s="1" t="str">
        <f>HYPERLINK("http://genome-euro.ucsc.edu/cgi-bin/hgTracks?position=212089_at","UCSC")</f>
        <v>UCSC</v>
      </c>
      <c r="E9016" s="1" t="str">
        <f>HYPERLINK("http://www.ncbi.nlm.nih.gov/gene/?term=LMNA","NCBI")</f>
        <v>NCBI</v>
      </c>
      <c r="F9016">
        <v>0.16</v>
      </c>
      <c r="G9016">
        <v>0.31</v>
      </c>
      <c r="H9016" s="1" t="str">
        <f>HYPERLINK("http://www.weizmann.ac.il/complex/compphys/software/geview/data/figures/212089_at.png","Figure")</f>
        <v>Figure</v>
      </c>
      <c r="I9016">
        <v>1.21</v>
      </c>
      <c r="J9016">
        <v>0.35</v>
      </c>
      <c r="K9016">
        <v>0.94499999999999995</v>
      </c>
      <c r="L9016">
        <v>0.87</v>
      </c>
      <c r="M9016">
        <v>0.78200000000000003</v>
      </c>
      <c r="N9016">
        <v>0.15</v>
      </c>
    </row>
    <row r="9017" spans="1:14" x14ac:dyDescent="0.25">
      <c r="A9017" t="s">
        <v>15865</v>
      </c>
      <c r="B9017" t="s">
        <v>15866</v>
      </c>
      <c r="C9017" s="1" t="str">
        <f>HYPERLINK("http://www.genecards.org/cgi-bin/carddisp.pl?gene=NAT6","GeneCards")</f>
        <v>GeneCards</v>
      </c>
      <c r="D9017" s="1" t="str">
        <f>HYPERLINK("http://genome-euro.ucsc.edu/cgi-bin/hgTracks?position=210874_s_at","UCSC")</f>
        <v>UCSC</v>
      </c>
      <c r="E9017" s="1" t="str">
        <f>HYPERLINK("http://www.ncbi.nlm.nih.gov/gene/?term=NAT6","NCBI")</f>
        <v>NCBI</v>
      </c>
      <c r="F9017">
        <v>0.16</v>
      </c>
      <c r="G9017">
        <v>0.31</v>
      </c>
      <c r="H9017" s="1" t="str">
        <f>HYPERLINK("http://www.weizmann.ac.il/complex/compphys/software/geview/data/figures/210874_s_at.png","Figure")</f>
        <v>Figure</v>
      </c>
      <c r="I9017">
        <v>1.1100000000000001</v>
      </c>
      <c r="J9017">
        <v>0.2</v>
      </c>
      <c r="K9017">
        <v>1.0900000000000001</v>
      </c>
      <c r="L9017">
        <v>0.24</v>
      </c>
      <c r="M9017">
        <v>0.98</v>
      </c>
      <c r="N9017">
        <v>0.93</v>
      </c>
    </row>
    <row r="9018" spans="1:14" x14ac:dyDescent="0.25">
      <c r="A9018" t="s">
        <v>15867</v>
      </c>
      <c r="B9018" t="s">
        <v>3456</v>
      </c>
      <c r="C9018" s="1" t="str">
        <f>HYPERLINK("http://www.genecards.org/cgi-bin/carddisp.pl?gene=GP2","GeneCards")</f>
        <v>GeneCards</v>
      </c>
      <c r="D9018" s="1" t="str">
        <f>HYPERLINK("http://genome-euro.ucsc.edu/cgi-bin/hgTracks?position=214324_at","UCSC")</f>
        <v>UCSC</v>
      </c>
      <c r="E9018" s="1" t="str">
        <f>HYPERLINK("http://www.ncbi.nlm.nih.gov/gene/?term=GP2","NCBI")</f>
        <v>NCBI</v>
      </c>
      <c r="F9018">
        <v>0.16</v>
      </c>
      <c r="G9018">
        <v>0.31</v>
      </c>
      <c r="H9018" s="1" t="str">
        <f>HYPERLINK("http://www.weizmann.ac.il/complex/compphys/software/geview/data/figures/214324_at.png","Figure")</f>
        <v>Figure</v>
      </c>
      <c r="I9018">
        <v>1.06</v>
      </c>
      <c r="J9018">
        <v>0.17</v>
      </c>
      <c r="K9018">
        <v>1.04</v>
      </c>
      <c r="L9018">
        <v>0.3</v>
      </c>
      <c r="M9018">
        <v>0.98199999999999998</v>
      </c>
      <c r="N9018">
        <v>0.81</v>
      </c>
    </row>
    <row r="9019" spans="1:14" x14ac:dyDescent="0.25">
      <c r="A9019" t="s">
        <v>15868</v>
      </c>
      <c r="B9019" t="s">
        <v>7805</v>
      </c>
      <c r="C9019" s="1" t="str">
        <f>HYPERLINK("http://www.genecards.org/cgi-bin/carddisp.pl?gene=MAST4","GeneCards")</f>
        <v>GeneCards</v>
      </c>
      <c r="D9019" s="1" t="str">
        <f>HYPERLINK("http://genome-euro.ucsc.edu/cgi-bin/hgTracks?position=210958_s_at","UCSC")</f>
        <v>UCSC</v>
      </c>
      <c r="E9019" s="1" t="str">
        <f>HYPERLINK("http://www.ncbi.nlm.nih.gov/gene/?term=MAST4","NCBI")</f>
        <v>NCBI</v>
      </c>
      <c r="F9019">
        <v>0.16</v>
      </c>
      <c r="G9019">
        <v>0.31</v>
      </c>
      <c r="H9019" s="1" t="str">
        <f>HYPERLINK("http://www.weizmann.ac.il/complex/compphys/software/geview/data/figures/210958_s_at.png","Figure")</f>
        <v>Figure</v>
      </c>
      <c r="I9019">
        <v>1.24</v>
      </c>
      <c r="J9019">
        <v>0.15</v>
      </c>
      <c r="K9019">
        <v>1.1299999999999999</v>
      </c>
      <c r="L9019">
        <v>0.41</v>
      </c>
      <c r="M9019">
        <v>0.91400000000000003</v>
      </c>
      <c r="N9019">
        <v>0.64</v>
      </c>
    </row>
    <row r="9020" spans="1:14" x14ac:dyDescent="0.25">
      <c r="A9020" t="s">
        <v>15869</v>
      </c>
      <c r="B9020" t="s">
        <v>15870</v>
      </c>
      <c r="C9020" s="1" t="str">
        <f>HYPERLINK("http://www.genecards.org/cgi-bin/carddisp.pl?gene=ATP5L","GeneCards")</f>
        <v>GeneCards</v>
      </c>
      <c r="D9020" s="1" t="str">
        <f>HYPERLINK("http://genome-euro.ucsc.edu/cgi-bin/hgTracks?position=207573_x_at","UCSC")</f>
        <v>UCSC</v>
      </c>
      <c r="E9020" s="1" t="str">
        <f>HYPERLINK("http://www.ncbi.nlm.nih.gov/gene/?term=ATP5L","NCBI")</f>
        <v>NCBI</v>
      </c>
      <c r="F9020">
        <v>0.16</v>
      </c>
      <c r="G9020">
        <v>0.31</v>
      </c>
      <c r="H9020" s="1" t="str">
        <f>HYPERLINK("http://www.weizmann.ac.il/complex/compphys/software/geview/data/figures/207573_x_at.png","Figure")</f>
        <v>Figure</v>
      </c>
      <c r="I9020">
        <v>1.37</v>
      </c>
      <c r="J9020">
        <v>0.16</v>
      </c>
      <c r="K9020">
        <v>1.23</v>
      </c>
      <c r="L9020">
        <v>0.33</v>
      </c>
      <c r="M9020">
        <v>0.89700000000000002</v>
      </c>
      <c r="N9020">
        <v>0.75</v>
      </c>
    </row>
    <row r="9021" spans="1:14" x14ac:dyDescent="0.25">
      <c r="A9021" t="s">
        <v>15871</v>
      </c>
      <c r="B9021" t="s">
        <v>184</v>
      </c>
      <c r="C9021" s="1" t="str">
        <f>HYPERLINK("http://www.genecards.org/cgi-bin/carddisp.pl?gene=CTNND1","GeneCards")</f>
        <v>GeneCards</v>
      </c>
      <c r="D9021" s="1" t="str">
        <f>HYPERLINK("http://genome-euro.ucsc.edu/cgi-bin/hgTracks?position=211240_x_at","UCSC")</f>
        <v>UCSC</v>
      </c>
      <c r="E9021" s="1" t="str">
        <f>HYPERLINK("http://www.ncbi.nlm.nih.gov/gene/?term=CTNND1","NCBI")</f>
        <v>NCBI</v>
      </c>
      <c r="F9021">
        <v>0.16</v>
      </c>
      <c r="G9021">
        <v>0.31</v>
      </c>
      <c r="H9021" s="1" t="str">
        <f>HYPERLINK("http://www.weizmann.ac.il/complex/compphys/software/geview/data/figures/211240_x_at.png","Figure")</f>
        <v>Figure</v>
      </c>
      <c r="I9021">
        <v>1.1399999999999999</v>
      </c>
      <c r="J9021">
        <v>0.42</v>
      </c>
      <c r="K9021">
        <v>1.19</v>
      </c>
      <c r="L9021">
        <v>0.15</v>
      </c>
      <c r="M9021">
        <v>1.05</v>
      </c>
      <c r="N9021">
        <v>0.88</v>
      </c>
    </row>
    <row r="9022" spans="1:14" x14ac:dyDescent="0.25">
      <c r="A9022" t="s">
        <v>15872</v>
      </c>
      <c r="B9022" t="s">
        <v>15873</v>
      </c>
      <c r="C9022" s="1" t="str">
        <f>HYPERLINK("http://www.genecards.org/cgi-bin/carddisp.pl?gene=RRH","GeneCards")</f>
        <v>GeneCards</v>
      </c>
      <c r="D9022" s="1" t="str">
        <f>HYPERLINK("http://genome-euro.ucsc.edu/cgi-bin/hgTracks?position=208314_at","UCSC")</f>
        <v>UCSC</v>
      </c>
      <c r="E9022" s="1" t="str">
        <f>HYPERLINK("http://www.ncbi.nlm.nih.gov/gene/?term=RRH","NCBI")</f>
        <v>NCBI</v>
      </c>
      <c r="F9022">
        <v>0.16</v>
      </c>
      <c r="G9022">
        <v>0.31</v>
      </c>
      <c r="H9022" s="1" t="str">
        <f>HYPERLINK("http://www.weizmann.ac.il/complex/compphys/software/geview/data/figures/208314_at.png","Figure")</f>
        <v>Figure</v>
      </c>
      <c r="I9022">
        <v>0.88700000000000001</v>
      </c>
      <c r="J9022">
        <v>0.49</v>
      </c>
      <c r="K9022">
        <v>0.83399999999999996</v>
      </c>
      <c r="L9022">
        <v>0.14000000000000001</v>
      </c>
      <c r="M9022">
        <v>0.94099999999999995</v>
      </c>
      <c r="N9022">
        <v>0.8</v>
      </c>
    </row>
    <row r="9023" spans="1:14" x14ac:dyDescent="0.25">
      <c r="A9023" t="s">
        <v>15874</v>
      </c>
      <c r="B9023" t="s">
        <v>8786</v>
      </c>
      <c r="C9023" s="1" t="str">
        <f>HYPERLINK("http://www.genecards.org/cgi-bin/carddisp.pl?gene=MAPK8IP3","GeneCards")</f>
        <v>GeneCards</v>
      </c>
      <c r="D9023" s="1" t="str">
        <f>HYPERLINK("http://genome-euro.ucsc.edu/cgi-bin/hgTracks?position=213177_at","UCSC")</f>
        <v>UCSC</v>
      </c>
      <c r="E9023" s="1" t="str">
        <f>HYPERLINK("http://www.ncbi.nlm.nih.gov/gene/?term=MAPK8IP3","NCBI")</f>
        <v>NCBI</v>
      </c>
      <c r="F9023">
        <v>0.16</v>
      </c>
      <c r="G9023">
        <v>0.31</v>
      </c>
      <c r="H9023" s="1" t="str">
        <f>HYPERLINK("http://www.weizmann.ac.il/complex/compphys/software/geview/data/figures/213177_at.png","Figure")</f>
        <v>Figure</v>
      </c>
      <c r="I9023">
        <v>1.25</v>
      </c>
      <c r="J9023">
        <v>0.15</v>
      </c>
      <c r="K9023">
        <v>1.08</v>
      </c>
      <c r="L9023">
        <v>0.7</v>
      </c>
      <c r="M9023">
        <v>0.86299999999999999</v>
      </c>
      <c r="N9023">
        <v>0.37</v>
      </c>
    </row>
    <row r="9024" spans="1:14" x14ac:dyDescent="0.25">
      <c r="A9024" t="s">
        <v>15875</v>
      </c>
      <c r="B9024" t="s">
        <v>9474</v>
      </c>
      <c r="C9024" s="1" t="str">
        <f>HYPERLINK("http://www.genecards.org/cgi-bin/carddisp.pl?gene=ADAM22","GeneCards")</f>
        <v>GeneCards</v>
      </c>
      <c r="D9024" s="1" t="str">
        <f>HYPERLINK("http://genome-euro.ucsc.edu/cgi-bin/hgTracks?position=208227_x_at","UCSC")</f>
        <v>UCSC</v>
      </c>
      <c r="E9024" s="1" t="str">
        <f>HYPERLINK("http://www.ncbi.nlm.nih.gov/gene/?term=ADAM22","NCBI")</f>
        <v>NCBI</v>
      </c>
      <c r="F9024">
        <v>0.16</v>
      </c>
      <c r="G9024">
        <v>0.31</v>
      </c>
      <c r="H9024" s="1" t="str">
        <f>HYPERLINK("http://www.weizmann.ac.il/complex/compphys/software/geview/data/figures/208227_x_at.png","Figure")</f>
        <v>Figure</v>
      </c>
      <c r="I9024">
        <v>1.22</v>
      </c>
      <c r="J9024">
        <v>0.15</v>
      </c>
      <c r="K9024">
        <v>1.07</v>
      </c>
      <c r="L9024">
        <v>0.73</v>
      </c>
      <c r="M9024">
        <v>0.875</v>
      </c>
      <c r="N9024">
        <v>0.35</v>
      </c>
    </row>
    <row r="9025" spans="1:14" x14ac:dyDescent="0.25">
      <c r="A9025" t="s">
        <v>15876</v>
      </c>
      <c r="B9025" t="s">
        <v>15877</v>
      </c>
      <c r="C9025" s="1" t="str">
        <f>HYPERLINK("http://www.genecards.org/cgi-bin/carddisp.pl?gene=CSF2","GeneCards")</f>
        <v>GeneCards</v>
      </c>
      <c r="D9025" s="1" t="str">
        <f>HYPERLINK("http://genome-euro.ucsc.edu/cgi-bin/hgTracks?position=210229_s_at","UCSC")</f>
        <v>UCSC</v>
      </c>
      <c r="E9025" s="1" t="str">
        <f>HYPERLINK("http://www.ncbi.nlm.nih.gov/gene/?term=CSF2","NCBI")</f>
        <v>NCBI</v>
      </c>
      <c r="F9025">
        <v>0.16</v>
      </c>
      <c r="G9025">
        <v>0.31</v>
      </c>
      <c r="H9025" s="1" t="str">
        <f>HYPERLINK("http://www.weizmann.ac.il/complex/compphys/software/geview/data/figures/210229_s_at.png","Figure")</f>
        <v>Figure</v>
      </c>
      <c r="I9025">
        <v>1.03</v>
      </c>
      <c r="J9025">
        <v>0.15</v>
      </c>
      <c r="K9025">
        <v>1.02</v>
      </c>
      <c r="L9025">
        <v>0.41</v>
      </c>
      <c r="M9025">
        <v>0.98699999999999999</v>
      </c>
      <c r="N9025">
        <v>0.64</v>
      </c>
    </row>
    <row r="9026" spans="1:14" x14ac:dyDescent="0.25">
      <c r="A9026" t="s">
        <v>15878</v>
      </c>
      <c r="B9026" t="s">
        <v>15879</v>
      </c>
      <c r="C9026" s="1" t="str">
        <f>HYPERLINK("http://www.genecards.org/cgi-bin/carddisp.pl?gene=MARK1","GeneCards")</f>
        <v>GeneCards</v>
      </c>
      <c r="D9026" s="1" t="str">
        <f>HYPERLINK("http://genome-euro.ucsc.edu/cgi-bin/hgTracks?position=221047_s_at","UCSC")</f>
        <v>UCSC</v>
      </c>
      <c r="E9026" s="1" t="str">
        <f>HYPERLINK("http://www.ncbi.nlm.nih.gov/gene/?term=MARK1","NCBI")</f>
        <v>NCBI</v>
      </c>
      <c r="F9026">
        <v>0.16</v>
      </c>
      <c r="G9026">
        <v>0.31</v>
      </c>
      <c r="H9026" s="1" t="str">
        <f>HYPERLINK("http://www.weizmann.ac.il/complex/compphys/software/geview/data/figures/221047_s_at.png","Figure")</f>
        <v>Figure</v>
      </c>
      <c r="I9026">
        <v>1.04</v>
      </c>
      <c r="J9026">
        <v>0.23</v>
      </c>
      <c r="K9026">
        <v>0.999</v>
      </c>
      <c r="L9026">
        <v>1</v>
      </c>
      <c r="M9026">
        <v>0.96499999999999997</v>
      </c>
      <c r="N9026">
        <v>0.18</v>
      </c>
    </row>
    <row r="9027" spans="1:14" x14ac:dyDescent="0.25">
      <c r="A9027" t="s">
        <v>15880</v>
      </c>
      <c r="B9027" t="s">
        <v>12971</v>
      </c>
      <c r="C9027" s="1" t="str">
        <f>HYPERLINK("http://www.genecards.org/cgi-bin/carddisp.pl?gene=PPP2R1B","GeneCards")</f>
        <v>GeneCards</v>
      </c>
      <c r="D9027" s="1" t="str">
        <f>HYPERLINK("http://genome-euro.ucsc.edu/cgi-bin/hgTracks?position=202885_s_at","UCSC")</f>
        <v>UCSC</v>
      </c>
      <c r="E9027" s="1" t="str">
        <f>HYPERLINK("http://www.ncbi.nlm.nih.gov/gene/?term=PPP2R1B","NCBI")</f>
        <v>NCBI</v>
      </c>
      <c r="F9027">
        <v>0.17</v>
      </c>
      <c r="G9027">
        <v>0.31</v>
      </c>
      <c r="H9027" s="1" t="str">
        <f>HYPERLINK("http://www.weizmann.ac.il/complex/compphys/software/geview/data/figures/202885_s_at.png","Figure")</f>
        <v>Figure</v>
      </c>
      <c r="I9027">
        <v>1.07</v>
      </c>
      <c r="J9027">
        <v>0.75</v>
      </c>
      <c r="K9027">
        <v>0.90200000000000002</v>
      </c>
      <c r="L9027">
        <v>0.44</v>
      </c>
      <c r="M9027">
        <v>0.84199999999999997</v>
      </c>
      <c r="N9027">
        <v>0.16</v>
      </c>
    </row>
    <row r="9028" spans="1:14" x14ac:dyDescent="0.25">
      <c r="A9028" t="s">
        <v>15881</v>
      </c>
      <c r="B9028" t="s">
        <v>15882</v>
      </c>
      <c r="C9028" s="1" t="str">
        <f>HYPERLINK("http://www.genecards.org/cgi-bin/carddisp.pl?gene=SCAP","GeneCards")</f>
        <v>GeneCards</v>
      </c>
      <c r="D9028" s="1" t="str">
        <f>HYPERLINK("http://genome-euro.ucsc.edu/cgi-bin/hgTracks?position=212329_at","UCSC")</f>
        <v>UCSC</v>
      </c>
      <c r="E9028" s="1" t="str">
        <f>HYPERLINK("http://www.ncbi.nlm.nih.gov/gene/?term=SCAP","NCBI")</f>
        <v>NCBI</v>
      </c>
      <c r="F9028">
        <v>0.17</v>
      </c>
      <c r="G9028">
        <v>0.31</v>
      </c>
      <c r="H9028" s="1" t="str">
        <f>HYPERLINK("http://www.weizmann.ac.il/complex/compphys/software/geview/data/figures/212329_at.png","Figure")</f>
        <v>Figure</v>
      </c>
      <c r="I9028">
        <v>0.91400000000000003</v>
      </c>
      <c r="J9028">
        <v>0.85</v>
      </c>
      <c r="K9028">
        <v>1.23</v>
      </c>
      <c r="L9028">
        <v>0.36</v>
      </c>
      <c r="M9028">
        <v>1.34</v>
      </c>
      <c r="N9028">
        <v>0.18</v>
      </c>
    </row>
    <row r="9029" spans="1:14" x14ac:dyDescent="0.25">
      <c r="A9029" t="s">
        <v>15883</v>
      </c>
      <c r="B9029" t="s">
        <v>8985</v>
      </c>
      <c r="C9029" s="1" t="str">
        <f>HYPERLINK("http://www.genecards.org/cgi-bin/carddisp.pl?gene=CBFA2T2","GeneCards")</f>
        <v>GeneCards</v>
      </c>
      <c r="D9029" s="1" t="str">
        <f>HYPERLINK("http://genome-euro.ucsc.edu/cgi-bin/hgTracks?position=207625_s_at","UCSC")</f>
        <v>UCSC</v>
      </c>
      <c r="E9029" s="1" t="str">
        <f>HYPERLINK("http://www.ncbi.nlm.nih.gov/gene/?term=CBFA2T2","NCBI")</f>
        <v>NCBI</v>
      </c>
      <c r="F9029">
        <v>0.17</v>
      </c>
      <c r="G9029">
        <v>0.31</v>
      </c>
      <c r="H9029" s="1" t="str">
        <f>HYPERLINK("http://www.weizmann.ac.il/complex/compphys/software/geview/data/figures/207625_s_at.png","Figure")</f>
        <v>Figure</v>
      </c>
      <c r="I9029">
        <v>0.92300000000000004</v>
      </c>
      <c r="J9029">
        <v>0.59</v>
      </c>
      <c r="K9029">
        <v>1.07</v>
      </c>
      <c r="L9029">
        <v>0.57999999999999996</v>
      </c>
      <c r="M9029">
        <v>1.1599999999999999</v>
      </c>
      <c r="N9029">
        <v>0.15</v>
      </c>
    </row>
    <row r="9030" spans="1:14" x14ac:dyDescent="0.25">
      <c r="A9030" t="s">
        <v>15884</v>
      </c>
      <c r="B9030" t="s">
        <v>15885</v>
      </c>
      <c r="C9030" s="1" t="str">
        <f>HYPERLINK("http://www.genecards.org/cgi-bin/carddisp.pl?gene=DUS1L","GeneCards")</f>
        <v>GeneCards</v>
      </c>
      <c r="D9030" s="1" t="str">
        <f>HYPERLINK("http://genome-euro.ucsc.edu/cgi-bin/hgTracks?position=217912_at","UCSC")</f>
        <v>UCSC</v>
      </c>
      <c r="E9030" s="1" t="str">
        <f>HYPERLINK("http://www.ncbi.nlm.nih.gov/gene/?term=DUS1L","NCBI")</f>
        <v>NCBI</v>
      </c>
      <c r="F9030">
        <v>0.17</v>
      </c>
      <c r="G9030">
        <v>0.31</v>
      </c>
      <c r="H9030" s="1" t="str">
        <f>HYPERLINK("http://www.weizmann.ac.il/complex/compphys/software/geview/data/figures/217912_at.png","Figure")</f>
        <v>Figure</v>
      </c>
      <c r="I9030">
        <v>0.80400000000000005</v>
      </c>
      <c r="J9030">
        <v>0.23</v>
      </c>
      <c r="K9030">
        <v>1.01</v>
      </c>
      <c r="L9030">
        <v>1</v>
      </c>
      <c r="M9030">
        <v>1.25</v>
      </c>
      <c r="N9030">
        <v>0.18</v>
      </c>
    </row>
    <row r="9031" spans="1:14" x14ac:dyDescent="0.25">
      <c r="A9031" t="s">
        <v>15886</v>
      </c>
      <c r="B9031" t="s">
        <v>346</v>
      </c>
      <c r="C9031" s="1" t="str">
        <f>HYPERLINK("http://www.genecards.org/cgi-bin/carddisp.pl?gene=ALDH6A1","GeneCards")</f>
        <v>GeneCards</v>
      </c>
      <c r="D9031" s="1" t="str">
        <f>HYPERLINK("http://genome-euro.ucsc.edu/cgi-bin/hgTracks?position=204289_at","UCSC")</f>
        <v>UCSC</v>
      </c>
      <c r="E9031" s="1" t="str">
        <f>HYPERLINK("http://www.ncbi.nlm.nih.gov/gene/?term=ALDH6A1","NCBI")</f>
        <v>NCBI</v>
      </c>
      <c r="F9031">
        <v>0.17</v>
      </c>
      <c r="G9031">
        <v>0.31</v>
      </c>
      <c r="H9031" s="1" t="str">
        <f>HYPERLINK("http://www.weizmann.ac.il/complex/compphys/software/geview/data/figures/204289_at.png","Figure")</f>
        <v>Figure</v>
      </c>
      <c r="I9031">
        <v>1.1399999999999999</v>
      </c>
      <c r="J9031">
        <v>0.15</v>
      </c>
      <c r="K9031">
        <v>1.04</v>
      </c>
      <c r="L9031">
        <v>0.75</v>
      </c>
      <c r="M9031">
        <v>0.91300000000000003</v>
      </c>
      <c r="N9031">
        <v>0.34</v>
      </c>
    </row>
    <row r="9032" spans="1:14" x14ac:dyDescent="0.25">
      <c r="A9032" t="s">
        <v>15887</v>
      </c>
      <c r="B9032" t="s">
        <v>15888</v>
      </c>
      <c r="C9032" s="1" t="str">
        <f>HYPERLINK("http://www.genecards.org/cgi-bin/carddisp.pl?gene=GSDMD","GeneCards")</f>
        <v>GeneCards</v>
      </c>
      <c r="D9032" s="1" t="str">
        <f>HYPERLINK("http://genome-euro.ucsc.edu/cgi-bin/hgTracks?position=218154_at","UCSC")</f>
        <v>UCSC</v>
      </c>
      <c r="E9032" s="1" t="str">
        <f>HYPERLINK("http://www.ncbi.nlm.nih.gov/gene/?term=GSDMD","NCBI")</f>
        <v>NCBI</v>
      </c>
      <c r="F9032">
        <v>0.17</v>
      </c>
      <c r="G9032">
        <v>0.31</v>
      </c>
      <c r="H9032" s="1" t="str">
        <f>HYPERLINK("http://www.weizmann.ac.il/complex/compphys/software/geview/data/figures/218154_at.png","Figure")</f>
        <v>Figure</v>
      </c>
      <c r="I9032">
        <v>1.19</v>
      </c>
      <c r="J9032">
        <v>0.52</v>
      </c>
      <c r="K9032">
        <v>1.32</v>
      </c>
      <c r="L9032">
        <v>0.14000000000000001</v>
      </c>
      <c r="M9032">
        <v>1.1100000000000001</v>
      </c>
      <c r="N9032">
        <v>0.77</v>
      </c>
    </row>
    <row r="9033" spans="1:14" x14ac:dyDescent="0.25">
      <c r="A9033" t="s">
        <v>15889</v>
      </c>
      <c r="B9033" t="s">
        <v>15890</v>
      </c>
      <c r="C9033" s="1" t="str">
        <f>HYPERLINK("http://www.genecards.org/cgi-bin/carddisp.pl?gene=NDUFA13","GeneCards")</f>
        <v>GeneCards</v>
      </c>
      <c r="D9033" s="1" t="str">
        <f>HYPERLINK("http://genome-euro.ucsc.edu/cgi-bin/hgTracks?position=220864_s_at","UCSC")</f>
        <v>UCSC</v>
      </c>
      <c r="E9033" s="1" t="str">
        <f>HYPERLINK("http://www.ncbi.nlm.nih.gov/gene/?term=NDUFA13","NCBI")</f>
        <v>NCBI</v>
      </c>
      <c r="F9033">
        <v>0.17</v>
      </c>
      <c r="G9033">
        <v>0.31</v>
      </c>
      <c r="H9033" s="1" t="str">
        <f>HYPERLINK("http://www.weizmann.ac.il/complex/compphys/software/geview/data/figures/220864_s_at.png","Figure")</f>
        <v>Figure</v>
      </c>
      <c r="I9033">
        <v>1.03</v>
      </c>
      <c r="J9033">
        <v>0.98</v>
      </c>
      <c r="K9033">
        <v>1.32</v>
      </c>
      <c r="L9033">
        <v>0.2</v>
      </c>
      <c r="M9033">
        <v>1.28</v>
      </c>
      <c r="N9033">
        <v>0.31</v>
      </c>
    </row>
    <row r="9034" spans="1:14" x14ac:dyDescent="0.25">
      <c r="A9034" t="s">
        <v>15891</v>
      </c>
      <c r="B9034" t="s">
        <v>15892</v>
      </c>
      <c r="C9034" s="1" t="str">
        <f>HYPERLINK("http://www.genecards.org/cgi-bin/carddisp.pl?gene=DENND1B","GeneCards")</f>
        <v>GeneCards</v>
      </c>
      <c r="D9034" s="1" t="str">
        <f>HYPERLINK("http://genome-euro.ucsc.edu/cgi-bin/hgTracks?position=219696_at","UCSC")</f>
        <v>UCSC</v>
      </c>
      <c r="E9034" s="1" t="str">
        <f>HYPERLINK("http://www.ncbi.nlm.nih.gov/gene/?term=DENND1B","NCBI")</f>
        <v>NCBI</v>
      </c>
      <c r="F9034">
        <v>0.17</v>
      </c>
      <c r="G9034">
        <v>0.31</v>
      </c>
      <c r="H9034" s="1" t="str">
        <f>HYPERLINK("http://www.weizmann.ac.il/complex/compphys/software/geview/data/figures/219696_at.png","Figure")</f>
        <v>Figure</v>
      </c>
      <c r="I9034">
        <v>1.6</v>
      </c>
      <c r="J9034">
        <v>0.26</v>
      </c>
      <c r="K9034">
        <v>1.6</v>
      </c>
      <c r="L9034">
        <v>0.19</v>
      </c>
      <c r="M9034">
        <v>0.999</v>
      </c>
      <c r="N9034">
        <v>1</v>
      </c>
    </row>
    <row r="9035" spans="1:14" x14ac:dyDescent="0.25">
      <c r="A9035" t="s">
        <v>15893</v>
      </c>
      <c r="B9035" t="s">
        <v>15894</v>
      </c>
      <c r="C9035" s="1" t="str">
        <f>HYPERLINK("http://www.genecards.org/cgi-bin/carddisp.pl?gene=MFAP4","GeneCards")</f>
        <v>GeneCards</v>
      </c>
      <c r="D9035" s="1" t="str">
        <f>HYPERLINK("http://genome-euro.ucsc.edu/cgi-bin/hgTracks?position=212713_at","UCSC")</f>
        <v>UCSC</v>
      </c>
      <c r="E9035" s="1" t="str">
        <f>HYPERLINK("http://www.ncbi.nlm.nih.gov/gene/?term=MFAP4","NCBI")</f>
        <v>NCBI</v>
      </c>
      <c r="F9035">
        <v>0.17</v>
      </c>
      <c r="G9035">
        <v>0.31</v>
      </c>
      <c r="H9035" s="1" t="str">
        <f>HYPERLINK("http://www.weizmann.ac.il/complex/compphys/software/geview/data/figures/212713_at.png","Figure")</f>
        <v>Figure</v>
      </c>
      <c r="I9035">
        <v>1.1100000000000001</v>
      </c>
      <c r="J9035">
        <v>0.37</v>
      </c>
      <c r="K9035">
        <v>1.1399999999999999</v>
      </c>
      <c r="L9035">
        <v>0.15</v>
      </c>
      <c r="M9035">
        <v>1.03</v>
      </c>
      <c r="N9035">
        <v>0.93</v>
      </c>
    </row>
    <row r="9036" spans="1:14" x14ac:dyDescent="0.25">
      <c r="A9036" t="s">
        <v>15895</v>
      </c>
      <c r="B9036" t="s">
        <v>14593</v>
      </c>
      <c r="C9036" s="1" t="str">
        <f>HYPERLINK("http://www.genecards.org/cgi-bin/carddisp.pl?gene=EXOSC2","GeneCards")</f>
        <v>GeneCards</v>
      </c>
      <c r="D9036" s="1" t="str">
        <f>HYPERLINK("http://genome-euro.ucsc.edu/cgi-bin/hgTracks?position=216117_at","UCSC")</f>
        <v>UCSC</v>
      </c>
      <c r="E9036" s="1" t="str">
        <f>HYPERLINK("http://www.ncbi.nlm.nih.gov/gene/?term=EXOSC2","NCBI")</f>
        <v>NCBI</v>
      </c>
      <c r="F9036">
        <v>0.17</v>
      </c>
      <c r="G9036">
        <v>0.31</v>
      </c>
      <c r="H9036" s="1" t="str">
        <f>HYPERLINK("http://www.weizmann.ac.il/complex/compphys/software/geview/data/figures/216117_at.png","Figure")</f>
        <v>Figure</v>
      </c>
      <c r="I9036">
        <v>0.92700000000000005</v>
      </c>
      <c r="J9036">
        <v>0.67</v>
      </c>
      <c r="K9036">
        <v>0.85699999999999998</v>
      </c>
      <c r="L9036">
        <v>0.14000000000000001</v>
      </c>
      <c r="M9036">
        <v>0.92500000000000004</v>
      </c>
      <c r="N9036">
        <v>0.61</v>
      </c>
    </row>
    <row r="9037" spans="1:14" x14ac:dyDescent="0.25">
      <c r="A9037" t="s">
        <v>15896</v>
      </c>
      <c r="B9037" t="s">
        <v>15897</v>
      </c>
      <c r="C9037" s="1" t="str">
        <f>HYPERLINK("http://www.genecards.org/cgi-bin/carddisp.pl?gene=CRH","GeneCards")</f>
        <v>GeneCards</v>
      </c>
      <c r="D9037" s="1" t="str">
        <f>HYPERLINK("http://genome-euro.ucsc.edu/cgi-bin/hgTracks?position=205629_s_at","UCSC")</f>
        <v>UCSC</v>
      </c>
      <c r="E9037" s="1" t="str">
        <f>HYPERLINK("http://www.ncbi.nlm.nih.gov/gene/?term=CRH","NCBI")</f>
        <v>NCBI</v>
      </c>
      <c r="F9037">
        <v>0.17</v>
      </c>
      <c r="G9037">
        <v>0.31</v>
      </c>
      <c r="H9037" s="1" t="str">
        <f>HYPERLINK("http://www.weizmann.ac.il/complex/compphys/software/geview/data/figures/205629_s_at.png","Figure")</f>
        <v>Figure</v>
      </c>
      <c r="I9037">
        <v>1.19</v>
      </c>
      <c r="J9037">
        <v>0.15</v>
      </c>
      <c r="K9037">
        <v>1.1100000000000001</v>
      </c>
      <c r="L9037">
        <v>0.4</v>
      </c>
      <c r="M9037">
        <v>0.93</v>
      </c>
      <c r="N9037">
        <v>0.65</v>
      </c>
    </row>
    <row r="9038" spans="1:14" x14ac:dyDescent="0.25">
      <c r="A9038" t="s">
        <v>15898</v>
      </c>
      <c r="B9038" t="s">
        <v>15899</v>
      </c>
      <c r="C9038" s="1" t="str">
        <f>HYPERLINK("http://www.genecards.org/cgi-bin/carddisp.pl?gene=SRGN","GeneCards")</f>
        <v>GeneCards</v>
      </c>
      <c r="D9038" s="1" t="str">
        <f>HYPERLINK("http://genome-euro.ucsc.edu/cgi-bin/hgTracks?position=201858_s_at","UCSC")</f>
        <v>UCSC</v>
      </c>
      <c r="E9038" s="1" t="str">
        <f>HYPERLINK("http://www.ncbi.nlm.nih.gov/gene/?term=SRGN","NCBI")</f>
        <v>NCBI</v>
      </c>
      <c r="F9038">
        <v>0.17</v>
      </c>
      <c r="G9038">
        <v>0.31</v>
      </c>
      <c r="H9038" s="1" t="str">
        <f>HYPERLINK("http://www.weizmann.ac.il/complex/compphys/software/geview/data/figures/201858_s_at.png","Figure")</f>
        <v>Figure</v>
      </c>
      <c r="I9038">
        <v>0.59199999999999997</v>
      </c>
      <c r="J9038">
        <v>0.44</v>
      </c>
      <c r="K9038">
        <v>1.3</v>
      </c>
      <c r="L9038">
        <v>0.75</v>
      </c>
      <c r="M9038">
        <v>2.2000000000000002</v>
      </c>
      <c r="N9038">
        <v>0.14000000000000001</v>
      </c>
    </row>
    <row r="9039" spans="1:14" x14ac:dyDescent="0.25">
      <c r="A9039" t="s">
        <v>15900</v>
      </c>
      <c r="B9039" t="s">
        <v>8372</v>
      </c>
      <c r="C9039" s="1" t="str">
        <f>HYPERLINK("http://www.genecards.org/cgi-bin/carddisp.pl?gene=ALDH4A1","GeneCards")</f>
        <v>GeneCards</v>
      </c>
      <c r="D9039" s="1" t="str">
        <f>HYPERLINK("http://genome-euro.ucsc.edu/cgi-bin/hgTracks?position=211552_s_at","UCSC")</f>
        <v>UCSC</v>
      </c>
      <c r="E9039" s="1" t="str">
        <f>HYPERLINK("http://www.ncbi.nlm.nih.gov/gene/?term=ALDH4A1","NCBI")</f>
        <v>NCBI</v>
      </c>
      <c r="F9039">
        <v>0.17</v>
      </c>
      <c r="G9039">
        <v>0.31</v>
      </c>
      <c r="H9039" s="1" t="str">
        <f>HYPERLINK("http://www.weizmann.ac.il/complex/compphys/software/geview/data/figures/211552_s_at.png","Figure")</f>
        <v>Figure</v>
      </c>
      <c r="I9039">
        <v>1.27</v>
      </c>
      <c r="J9039">
        <v>0.14000000000000001</v>
      </c>
      <c r="K9039">
        <v>1.1000000000000001</v>
      </c>
      <c r="L9039">
        <v>0.61</v>
      </c>
      <c r="M9039">
        <v>0.86799999999999999</v>
      </c>
      <c r="N9039">
        <v>0.43</v>
      </c>
    </row>
    <row r="9040" spans="1:14" x14ac:dyDescent="0.25">
      <c r="A9040" t="s">
        <v>15901</v>
      </c>
      <c r="B9040" t="s">
        <v>6682</v>
      </c>
      <c r="C9040" s="1" t="str">
        <f>HYPERLINK("http://www.genecards.org/cgi-bin/carddisp.pl?gene=SEZ6L","GeneCards")</f>
        <v>GeneCards</v>
      </c>
      <c r="D9040" s="1" t="str">
        <f>HYPERLINK("http://genome-euro.ucsc.edu/cgi-bin/hgTracks?position=211894_x_at","UCSC")</f>
        <v>UCSC</v>
      </c>
      <c r="E9040" s="1" t="str">
        <f>HYPERLINK("http://www.ncbi.nlm.nih.gov/gene/?term=SEZ6L","NCBI")</f>
        <v>NCBI</v>
      </c>
      <c r="F9040">
        <v>0.17</v>
      </c>
      <c r="G9040">
        <v>0.31</v>
      </c>
      <c r="H9040" s="1" t="str">
        <f>HYPERLINK("http://www.weizmann.ac.il/complex/compphys/software/geview/data/figures/211894_x_at.png","Figure")</f>
        <v>Figure</v>
      </c>
      <c r="I9040">
        <v>1.22</v>
      </c>
      <c r="J9040">
        <v>0.15</v>
      </c>
      <c r="K9040">
        <v>1.1200000000000001</v>
      </c>
      <c r="L9040">
        <v>0.41</v>
      </c>
      <c r="M9040">
        <v>0.92</v>
      </c>
      <c r="N9040">
        <v>0.64</v>
      </c>
    </row>
    <row r="9041" spans="1:14" x14ac:dyDescent="0.25">
      <c r="A9041" t="s">
        <v>15902</v>
      </c>
      <c r="B9041" t="s">
        <v>12089</v>
      </c>
      <c r="C9041" s="1" t="str">
        <f>HYPERLINK("http://www.genecards.org/cgi-bin/carddisp.pl?gene=RECK","GeneCards")</f>
        <v>GeneCards</v>
      </c>
      <c r="D9041" s="1" t="str">
        <f>HYPERLINK("http://genome-euro.ucsc.edu/cgi-bin/hgTracks?position=205407_at","UCSC")</f>
        <v>UCSC</v>
      </c>
      <c r="E9041" s="1" t="str">
        <f>HYPERLINK("http://www.ncbi.nlm.nih.gov/gene/?term=RECK","NCBI")</f>
        <v>NCBI</v>
      </c>
      <c r="F9041">
        <v>0.17</v>
      </c>
      <c r="G9041">
        <v>0.31</v>
      </c>
      <c r="H9041" s="1" t="str">
        <f>HYPERLINK("http://www.weizmann.ac.il/complex/compphys/software/geview/data/figures/205407_at.png","Figure")</f>
        <v>Figure</v>
      </c>
      <c r="I9041">
        <v>0.47399999999999998</v>
      </c>
      <c r="J9041">
        <v>0.14000000000000001</v>
      </c>
      <c r="K9041">
        <v>0.73599999999999999</v>
      </c>
      <c r="L9041">
        <v>0.62</v>
      </c>
      <c r="M9041">
        <v>1.55</v>
      </c>
      <c r="N9041">
        <v>0.43</v>
      </c>
    </row>
    <row r="9042" spans="1:14" x14ac:dyDescent="0.25">
      <c r="A9042" t="s">
        <v>15903</v>
      </c>
      <c r="B9042" t="s">
        <v>15904</v>
      </c>
      <c r="C9042" s="1" t="str">
        <f>HYPERLINK("http://www.genecards.org/cgi-bin/carddisp.pl?gene=MYCNOS","GeneCards")</f>
        <v>GeneCards</v>
      </c>
      <c r="D9042" s="1" t="str">
        <f>HYPERLINK("http://genome-euro.ucsc.edu/cgi-bin/hgTracks?position=207028_at","UCSC")</f>
        <v>UCSC</v>
      </c>
      <c r="E9042" s="1" t="str">
        <f>HYPERLINK("http://www.ncbi.nlm.nih.gov/gene/?term=MYCNOS","NCBI")</f>
        <v>NCBI</v>
      </c>
      <c r="F9042">
        <v>0.17</v>
      </c>
      <c r="G9042">
        <v>0.31</v>
      </c>
      <c r="H9042" s="1" t="str">
        <f>HYPERLINK("http://www.weizmann.ac.il/complex/compphys/software/geview/data/figures/207028_at.png","Figure")</f>
        <v>Figure</v>
      </c>
      <c r="I9042">
        <v>1.05</v>
      </c>
      <c r="J9042">
        <v>0.44</v>
      </c>
      <c r="K9042">
        <v>0.97799999999999998</v>
      </c>
      <c r="L9042">
        <v>0.76</v>
      </c>
      <c r="M9042">
        <v>0.93600000000000005</v>
      </c>
      <c r="N9042">
        <v>0.14000000000000001</v>
      </c>
    </row>
    <row r="9043" spans="1:14" x14ac:dyDescent="0.25">
      <c r="A9043" t="s">
        <v>15905</v>
      </c>
      <c r="B9043" t="s">
        <v>8977</v>
      </c>
      <c r="C9043" s="1" t="str">
        <f>HYPERLINK("http://www.genecards.org/cgi-bin/carddisp.pl?gene=BICD2","GeneCards")</f>
        <v>GeneCards</v>
      </c>
      <c r="D9043" s="1" t="str">
        <f>HYPERLINK("http://genome-euro.ucsc.edu/cgi-bin/hgTracks?position=209203_s_at","UCSC")</f>
        <v>UCSC</v>
      </c>
      <c r="E9043" s="1" t="str">
        <f>HYPERLINK("http://www.ncbi.nlm.nih.gov/gene/?term=BICD2","NCBI")</f>
        <v>NCBI</v>
      </c>
      <c r="F9043">
        <v>0.17</v>
      </c>
      <c r="G9043">
        <v>0.31</v>
      </c>
      <c r="H9043" s="1" t="str">
        <f>HYPERLINK("http://www.weizmann.ac.il/complex/compphys/software/geview/data/figures/209203_s_at.png","Figure")</f>
        <v>Figure</v>
      </c>
      <c r="I9043">
        <v>0.71599999999999997</v>
      </c>
      <c r="J9043">
        <v>0.24</v>
      </c>
      <c r="K9043">
        <v>0.73599999999999999</v>
      </c>
      <c r="L9043">
        <v>0.2</v>
      </c>
      <c r="M9043">
        <v>1.03</v>
      </c>
      <c r="N9043">
        <v>0.99</v>
      </c>
    </row>
    <row r="9044" spans="1:14" x14ac:dyDescent="0.25">
      <c r="A9044" t="s">
        <v>15906</v>
      </c>
      <c r="B9044" t="s">
        <v>800</v>
      </c>
      <c r="C9044" s="1" t="str">
        <f>HYPERLINK("http://www.genecards.org/cgi-bin/carddisp.pl?gene=EPOR","GeneCards")</f>
        <v>GeneCards</v>
      </c>
      <c r="D9044" s="1" t="str">
        <f>HYPERLINK("http://genome-euro.ucsc.edu/cgi-bin/hgTracks?position=209963_s_at","UCSC")</f>
        <v>UCSC</v>
      </c>
      <c r="E9044" s="1" t="str">
        <f>HYPERLINK("http://www.ncbi.nlm.nih.gov/gene/?term=EPOR","NCBI")</f>
        <v>NCBI</v>
      </c>
      <c r="F9044">
        <v>0.17</v>
      </c>
      <c r="G9044">
        <v>0.31</v>
      </c>
      <c r="H9044" s="1" t="str">
        <f>HYPERLINK("http://www.weizmann.ac.il/complex/compphys/software/geview/data/figures/209963_s_at.png","Figure")</f>
        <v>Figure</v>
      </c>
      <c r="I9044">
        <v>1.01</v>
      </c>
      <c r="J9044">
        <v>1</v>
      </c>
      <c r="K9044">
        <v>0.82099999999999995</v>
      </c>
      <c r="L9044">
        <v>0.24</v>
      </c>
      <c r="M9044">
        <v>0.81299999999999994</v>
      </c>
      <c r="N9044">
        <v>0.25</v>
      </c>
    </row>
    <row r="9045" spans="1:14" x14ac:dyDescent="0.25">
      <c r="A9045" t="s">
        <v>15907</v>
      </c>
      <c r="B9045" t="s">
        <v>15908</v>
      </c>
      <c r="C9045" s="1" t="str">
        <f>HYPERLINK("http://www.genecards.org/cgi-bin/carddisp.pl?gene=HIST2H2AA3 /// HIST2H2AA4","GeneCards")</f>
        <v>GeneCards</v>
      </c>
      <c r="D9045" s="1" t="str">
        <f>HYPERLINK("http://genome-euro.ucsc.edu/cgi-bin/hgTracks?position=214290_s_at","UCSC")</f>
        <v>UCSC</v>
      </c>
      <c r="E9045" s="1" t="str">
        <f>HYPERLINK("http://www.ncbi.nlm.nih.gov/gene/?term=HIST2H2AA3 /// HIST2H2AA4","NCBI")</f>
        <v>NCBI</v>
      </c>
      <c r="F9045">
        <v>0.17</v>
      </c>
      <c r="G9045">
        <v>0.31</v>
      </c>
      <c r="H9045" s="1" t="str">
        <f>HYPERLINK("http://www.weizmann.ac.il/complex/compphys/software/geview/data/figures/214290_s_at.png","Figure")</f>
        <v>Figure</v>
      </c>
      <c r="I9045">
        <v>1.1599999999999999</v>
      </c>
      <c r="J9045">
        <v>0.89</v>
      </c>
      <c r="K9045">
        <v>0.66</v>
      </c>
      <c r="L9045">
        <v>0.33</v>
      </c>
      <c r="M9045">
        <v>0.56899999999999995</v>
      </c>
      <c r="N9045">
        <v>0.19</v>
      </c>
    </row>
    <row r="9046" spans="1:14" x14ac:dyDescent="0.25">
      <c r="A9046" t="s">
        <v>15909</v>
      </c>
      <c r="B9046" t="s">
        <v>5742</v>
      </c>
      <c r="C9046" s="1" t="str">
        <f>HYPERLINK("http://www.genecards.org/cgi-bin/carddisp.pl?gene=PAX8","GeneCards")</f>
        <v>GeneCards</v>
      </c>
      <c r="D9046" s="1" t="str">
        <f>HYPERLINK("http://genome-euro.ucsc.edu/cgi-bin/hgTracks?position=121_at","UCSC")</f>
        <v>UCSC</v>
      </c>
      <c r="E9046" s="1" t="str">
        <f>HYPERLINK("http://www.ncbi.nlm.nih.gov/gene/?term=PAX8","NCBI")</f>
        <v>NCBI</v>
      </c>
      <c r="F9046">
        <v>0.17</v>
      </c>
      <c r="G9046">
        <v>0.31</v>
      </c>
      <c r="H9046" s="1" t="str">
        <f>HYPERLINK("http://www.weizmann.ac.il/complex/compphys/software/geview/data/figures/121_at.png","Figure")</f>
        <v>Figure</v>
      </c>
      <c r="I9046">
        <v>1.33</v>
      </c>
      <c r="J9046">
        <v>0.14000000000000001</v>
      </c>
      <c r="K9046">
        <v>1.1499999999999999</v>
      </c>
      <c r="L9046">
        <v>0.51</v>
      </c>
      <c r="M9046">
        <v>0.86599999999999999</v>
      </c>
      <c r="N9046">
        <v>0.53</v>
      </c>
    </row>
    <row r="9047" spans="1:14" x14ac:dyDescent="0.25">
      <c r="A9047" t="s">
        <v>15910</v>
      </c>
      <c r="B9047" t="s">
        <v>1531</v>
      </c>
      <c r="C9047" s="1" t="str">
        <f>HYPERLINK("http://www.genecards.org/cgi-bin/carddisp.pl?gene=MED8","GeneCards")</f>
        <v>GeneCards</v>
      </c>
      <c r="D9047" s="1" t="str">
        <f>HYPERLINK("http://genome-euro.ucsc.edu/cgi-bin/hgTracks?position=213696_s_at","UCSC")</f>
        <v>UCSC</v>
      </c>
      <c r="E9047" s="1" t="str">
        <f>HYPERLINK("http://www.ncbi.nlm.nih.gov/gene/?term=MED8","NCBI")</f>
        <v>NCBI</v>
      </c>
      <c r="F9047">
        <v>0.17</v>
      </c>
      <c r="G9047">
        <v>0.31</v>
      </c>
      <c r="H9047" s="1" t="str">
        <f>HYPERLINK("http://www.weizmann.ac.il/complex/compphys/software/geview/data/figures/213696_s_at.png","Figure")</f>
        <v>Figure</v>
      </c>
      <c r="I9047">
        <v>1.29</v>
      </c>
      <c r="J9047">
        <v>0.22</v>
      </c>
      <c r="K9047">
        <v>1.01</v>
      </c>
      <c r="L9047">
        <v>1</v>
      </c>
      <c r="M9047">
        <v>0.78</v>
      </c>
      <c r="N9047">
        <v>0.19</v>
      </c>
    </row>
    <row r="9048" spans="1:14" x14ac:dyDescent="0.25">
      <c r="A9048" t="s">
        <v>15911</v>
      </c>
      <c r="B9048" t="s">
        <v>15912</v>
      </c>
      <c r="C9048" s="1" t="str">
        <f>HYPERLINK("http://www.genecards.org/cgi-bin/carddisp.pl?gene=GALR3","GeneCards")</f>
        <v>GeneCards</v>
      </c>
      <c r="D9048" s="1" t="str">
        <f>HYPERLINK("http://genome-euro.ucsc.edu/cgi-bin/hgTracks?position=33579_i_at","UCSC")</f>
        <v>UCSC</v>
      </c>
      <c r="E9048" s="1" t="str">
        <f>HYPERLINK("http://www.ncbi.nlm.nih.gov/gene/?term=GALR3","NCBI")</f>
        <v>NCBI</v>
      </c>
      <c r="F9048">
        <v>0.17</v>
      </c>
      <c r="G9048">
        <v>0.31</v>
      </c>
      <c r="H9048" s="1" t="str">
        <f>HYPERLINK("http://www.weizmann.ac.il/complex/compphys/software/geview/data/figures/33579_i_at.png","Figure")</f>
        <v>Figure</v>
      </c>
      <c r="I9048">
        <v>1.21</v>
      </c>
      <c r="J9048">
        <v>0.18</v>
      </c>
      <c r="K9048">
        <v>1.03</v>
      </c>
      <c r="L9048">
        <v>0.93</v>
      </c>
      <c r="M9048">
        <v>0.85399999999999998</v>
      </c>
      <c r="N9048">
        <v>0.24</v>
      </c>
    </row>
    <row r="9049" spans="1:14" x14ac:dyDescent="0.25">
      <c r="A9049" t="s">
        <v>15913</v>
      </c>
      <c r="B9049" t="s">
        <v>3267</v>
      </c>
      <c r="C9049" s="1" t="str">
        <f>HYPERLINK("http://www.genecards.org/cgi-bin/carddisp.pl?gene=RPS6KA2","GeneCards")</f>
        <v>GeneCards</v>
      </c>
      <c r="D9049" s="1" t="str">
        <f>HYPERLINK("http://genome-euro.ucsc.edu/cgi-bin/hgTracks?position=212912_at","UCSC")</f>
        <v>UCSC</v>
      </c>
      <c r="E9049" s="1" t="str">
        <f>HYPERLINK("http://www.ncbi.nlm.nih.gov/gene/?term=RPS6KA2","NCBI")</f>
        <v>NCBI</v>
      </c>
      <c r="F9049">
        <v>0.17</v>
      </c>
      <c r="G9049">
        <v>0.31</v>
      </c>
      <c r="H9049" s="1" t="str">
        <f>HYPERLINK("http://www.weizmann.ac.il/complex/compphys/software/geview/data/figures/212912_at.png","Figure")</f>
        <v>Figure</v>
      </c>
      <c r="I9049">
        <v>1</v>
      </c>
      <c r="J9049">
        <v>1</v>
      </c>
      <c r="K9049">
        <v>0.79500000000000004</v>
      </c>
      <c r="L9049">
        <v>0.22</v>
      </c>
      <c r="M9049">
        <v>0.79500000000000004</v>
      </c>
      <c r="N9049">
        <v>0.27</v>
      </c>
    </row>
    <row r="9050" spans="1:14" x14ac:dyDescent="0.25">
      <c r="A9050" t="s">
        <v>15914</v>
      </c>
      <c r="B9050" t="s">
        <v>15915</v>
      </c>
      <c r="C9050" s="1" t="str">
        <f>HYPERLINK("http://www.genecards.org/cgi-bin/carddisp.pl?gene=MYH14","GeneCards")</f>
        <v>GeneCards</v>
      </c>
      <c r="D9050" s="1" t="str">
        <f>HYPERLINK("http://genome-euro.ucsc.edu/cgi-bin/hgTracks?position=219946_x_at","UCSC")</f>
        <v>UCSC</v>
      </c>
      <c r="E9050" s="1" t="str">
        <f>HYPERLINK("http://www.ncbi.nlm.nih.gov/gene/?term=MYH14","NCBI")</f>
        <v>NCBI</v>
      </c>
      <c r="F9050">
        <v>0.17</v>
      </c>
      <c r="G9050">
        <v>0.31</v>
      </c>
      <c r="H9050" s="1" t="str">
        <f>HYPERLINK("http://www.weizmann.ac.il/complex/compphys/software/geview/data/figures/219946_x_at.png","Figure")</f>
        <v>Figure</v>
      </c>
      <c r="I9050">
        <v>1.22</v>
      </c>
      <c r="J9050">
        <v>0.23</v>
      </c>
      <c r="K9050">
        <v>0.998</v>
      </c>
      <c r="L9050">
        <v>1</v>
      </c>
      <c r="M9050">
        <v>0.81499999999999995</v>
      </c>
      <c r="N9050">
        <v>0.18</v>
      </c>
    </row>
    <row r="9051" spans="1:14" x14ac:dyDescent="0.25">
      <c r="A9051" t="s">
        <v>15916</v>
      </c>
      <c r="B9051" t="s">
        <v>15917</v>
      </c>
      <c r="C9051" s="1" t="str">
        <f>HYPERLINK("http://www.genecards.org/cgi-bin/carddisp.pl?gene=FLJ20674","GeneCards")</f>
        <v>GeneCards</v>
      </c>
      <c r="D9051" s="1" t="str">
        <f>HYPERLINK("http://genome-euro.ucsc.edu/cgi-bin/hgTracks?position=220137_at","UCSC")</f>
        <v>UCSC</v>
      </c>
      <c r="E9051" s="1" t="str">
        <f>HYPERLINK("http://www.ncbi.nlm.nih.gov/gene/?term=FLJ20674","NCBI")</f>
        <v>NCBI</v>
      </c>
      <c r="F9051">
        <v>0.17</v>
      </c>
      <c r="G9051">
        <v>0.31</v>
      </c>
      <c r="H9051" s="1" t="str">
        <f>HYPERLINK("http://www.weizmann.ac.il/complex/compphys/software/geview/data/figures/220137_at.png","Figure")</f>
        <v>Figure</v>
      </c>
      <c r="I9051">
        <v>0.85699999999999998</v>
      </c>
      <c r="J9051">
        <v>0.32</v>
      </c>
      <c r="K9051">
        <v>1.04</v>
      </c>
      <c r="L9051">
        <v>0.91</v>
      </c>
      <c r="M9051">
        <v>1.21</v>
      </c>
      <c r="N9051">
        <v>0.15</v>
      </c>
    </row>
    <row r="9052" spans="1:14" x14ac:dyDescent="0.25">
      <c r="A9052" t="s">
        <v>15918</v>
      </c>
      <c r="B9052" t="s">
        <v>15166</v>
      </c>
      <c r="C9052" s="1" t="str">
        <f>HYPERLINK("http://www.genecards.org/cgi-bin/carddisp.pl?gene=GPRC5B","GeneCards")</f>
        <v>GeneCards</v>
      </c>
      <c r="D9052" s="1" t="str">
        <f>HYPERLINK("http://genome-euro.ucsc.edu/cgi-bin/hgTracks?position=203631_s_at","UCSC")</f>
        <v>UCSC</v>
      </c>
      <c r="E9052" s="1" t="str">
        <f>HYPERLINK("http://www.ncbi.nlm.nih.gov/gene/?term=GPRC5B","NCBI")</f>
        <v>NCBI</v>
      </c>
      <c r="F9052">
        <v>0.17</v>
      </c>
      <c r="G9052">
        <v>0.31</v>
      </c>
      <c r="H9052" s="1" t="str">
        <f>HYPERLINK("http://www.weizmann.ac.il/complex/compphys/software/geview/data/figures/203631_s_at.png","Figure")</f>
        <v>Figure</v>
      </c>
      <c r="I9052">
        <v>1.1200000000000001</v>
      </c>
      <c r="J9052">
        <v>0.14000000000000001</v>
      </c>
      <c r="K9052">
        <v>1.06</v>
      </c>
      <c r="L9052">
        <v>0.54</v>
      </c>
      <c r="M9052">
        <v>0.94</v>
      </c>
      <c r="N9052">
        <v>0.5</v>
      </c>
    </row>
    <row r="9053" spans="1:14" x14ac:dyDescent="0.25">
      <c r="A9053" t="s">
        <v>15919</v>
      </c>
      <c r="B9053" t="s">
        <v>15920</v>
      </c>
      <c r="C9053" s="1" t="str">
        <f>HYPERLINK("http://www.genecards.org/cgi-bin/carddisp.pl?gene=GATA3","GeneCards")</f>
        <v>GeneCards</v>
      </c>
      <c r="D9053" s="1" t="str">
        <f>HYPERLINK("http://genome-euro.ucsc.edu/cgi-bin/hgTracks?position=209604_s_at","UCSC")</f>
        <v>UCSC</v>
      </c>
      <c r="E9053" s="1" t="str">
        <f>HYPERLINK("http://www.ncbi.nlm.nih.gov/gene/?term=GATA3","NCBI")</f>
        <v>NCBI</v>
      </c>
      <c r="F9053">
        <v>0.17</v>
      </c>
      <c r="G9053">
        <v>0.31</v>
      </c>
      <c r="H9053" s="1" t="str">
        <f>HYPERLINK("http://www.weizmann.ac.il/complex/compphys/software/geview/data/figures/209604_s_at.png","Figure")</f>
        <v>Figure</v>
      </c>
      <c r="I9053">
        <v>0.93400000000000005</v>
      </c>
      <c r="J9053">
        <v>0.96</v>
      </c>
      <c r="K9053">
        <v>0.66400000000000003</v>
      </c>
      <c r="L9053">
        <v>0.19</v>
      </c>
      <c r="M9053">
        <v>0.71099999999999997</v>
      </c>
      <c r="N9053">
        <v>0.34</v>
      </c>
    </row>
    <row r="9054" spans="1:14" x14ac:dyDescent="0.25">
      <c r="A9054" t="s">
        <v>15921</v>
      </c>
      <c r="B9054" t="s">
        <v>7274</v>
      </c>
      <c r="C9054" s="1" t="str">
        <f>HYPERLINK("http://www.genecards.org/cgi-bin/carddisp.pl?gene=SOD2","GeneCards")</f>
        <v>GeneCards</v>
      </c>
      <c r="D9054" s="1" t="str">
        <f>HYPERLINK("http://genome-euro.ucsc.edu/cgi-bin/hgTracks?position=215223_s_at","UCSC")</f>
        <v>UCSC</v>
      </c>
      <c r="E9054" s="1" t="str">
        <f>HYPERLINK("http://www.ncbi.nlm.nih.gov/gene/?term=SOD2","NCBI")</f>
        <v>NCBI</v>
      </c>
      <c r="F9054">
        <v>0.17</v>
      </c>
      <c r="G9054">
        <v>0.31</v>
      </c>
      <c r="H9054" s="1" t="str">
        <f>HYPERLINK("http://www.weizmann.ac.il/complex/compphys/software/geview/data/figures/215223_s_at.png","Figure")</f>
        <v>Figure</v>
      </c>
      <c r="I9054">
        <v>0.39600000000000002</v>
      </c>
      <c r="J9054">
        <v>0.28999999999999998</v>
      </c>
      <c r="K9054">
        <v>0.377</v>
      </c>
      <c r="L9054">
        <v>0.18</v>
      </c>
      <c r="M9054">
        <v>0.95099999999999996</v>
      </c>
      <c r="N9054">
        <v>1</v>
      </c>
    </row>
    <row r="9055" spans="1:14" x14ac:dyDescent="0.25">
      <c r="A9055" t="s">
        <v>15922</v>
      </c>
      <c r="B9055" t="s">
        <v>15923</v>
      </c>
      <c r="C9055" s="1" t="str">
        <f>HYPERLINK("http://www.genecards.org/cgi-bin/carddisp.pl?gene=RUSC1","GeneCards")</f>
        <v>GeneCards</v>
      </c>
      <c r="D9055" s="1" t="str">
        <f>HYPERLINK("http://genome-euro.ucsc.edu/cgi-bin/hgTracks?position=206949_s_at","UCSC")</f>
        <v>UCSC</v>
      </c>
      <c r="E9055" s="1" t="str">
        <f>HYPERLINK("http://www.ncbi.nlm.nih.gov/gene/?term=RUSC1","NCBI")</f>
        <v>NCBI</v>
      </c>
      <c r="F9055">
        <v>0.17</v>
      </c>
      <c r="G9055">
        <v>0.31</v>
      </c>
      <c r="H9055" s="1" t="str">
        <f>HYPERLINK("http://www.weizmann.ac.il/complex/compphys/software/geview/data/figures/206949_s_at.png","Figure")</f>
        <v>Figure</v>
      </c>
      <c r="I9055">
        <v>1.28</v>
      </c>
      <c r="J9055">
        <v>0.15</v>
      </c>
      <c r="K9055">
        <v>1.08</v>
      </c>
      <c r="L9055">
        <v>0.78</v>
      </c>
      <c r="M9055">
        <v>0.84199999999999997</v>
      </c>
      <c r="N9055">
        <v>0.32</v>
      </c>
    </row>
    <row r="9056" spans="1:14" x14ac:dyDescent="0.25">
      <c r="A9056" t="s">
        <v>15924</v>
      </c>
      <c r="B9056" t="s">
        <v>4566</v>
      </c>
      <c r="C9056" s="1" t="str">
        <f>HYPERLINK("http://www.genecards.org/cgi-bin/carddisp.pl?gene=POLR2L","GeneCards")</f>
        <v>GeneCards</v>
      </c>
      <c r="D9056" s="1" t="str">
        <f>HYPERLINK("http://genome-euro.ucsc.edu/cgi-bin/hgTracks?position=202586_at","UCSC")</f>
        <v>UCSC</v>
      </c>
      <c r="E9056" s="1" t="str">
        <f>HYPERLINK("http://www.ncbi.nlm.nih.gov/gene/?term=POLR2L","NCBI")</f>
        <v>NCBI</v>
      </c>
      <c r="F9056">
        <v>0.17</v>
      </c>
      <c r="G9056">
        <v>0.31</v>
      </c>
      <c r="H9056" s="1" t="str">
        <f>HYPERLINK("http://www.weizmann.ac.il/complex/compphys/software/geview/data/figures/202586_at.png","Figure")</f>
        <v>Figure</v>
      </c>
      <c r="I9056">
        <v>1.08</v>
      </c>
      <c r="J9056">
        <v>0.15</v>
      </c>
      <c r="K9056">
        <v>1.04</v>
      </c>
      <c r="L9056">
        <v>0.47</v>
      </c>
      <c r="M9056">
        <v>0.96399999999999997</v>
      </c>
      <c r="N9056">
        <v>0.56999999999999995</v>
      </c>
    </row>
    <row r="9057" spans="1:14" x14ac:dyDescent="0.25">
      <c r="A9057" t="s">
        <v>15925</v>
      </c>
      <c r="B9057" t="s">
        <v>15926</v>
      </c>
      <c r="C9057" s="1" t="str">
        <f>HYPERLINK("http://www.genecards.org/cgi-bin/carddisp.pl?gene=PPP2R2A","GeneCards")</f>
        <v>GeneCards</v>
      </c>
      <c r="D9057" s="1" t="str">
        <f>HYPERLINK("http://genome-euro.ucsc.edu/cgi-bin/hgTracks?position=202313_at","UCSC")</f>
        <v>UCSC</v>
      </c>
      <c r="E9057" s="1" t="str">
        <f>HYPERLINK("http://www.ncbi.nlm.nih.gov/gene/?term=PPP2R2A","NCBI")</f>
        <v>NCBI</v>
      </c>
      <c r="F9057">
        <v>0.17</v>
      </c>
      <c r="G9057">
        <v>0.31</v>
      </c>
      <c r="H9057" s="1" t="str">
        <f>HYPERLINK("http://www.weizmann.ac.il/complex/compphys/software/geview/data/figures/202313_at.png","Figure")</f>
        <v>Figure</v>
      </c>
      <c r="I9057">
        <v>1.21</v>
      </c>
      <c r="J9057">
        <v>0.56999999999999995</v>
      </c>
      <c r="K9057">
        <v>0.85399999999999998</v>
      </c>
      <c r="L9057">
        <v>0.6</v>
      </c>
      <c r="M9057">
        <v>0.70799999999999996</v>
      </c>
      <c r="N9057">
        <v>0.15</v>
      </c>
    </row>
    <row r="9058" spans="1:14" x14ac:dyDescent="0.25">
      <c r="A9058" t="s">
        <v>15927</v>
      </c>
      <c r="B9058" t="s">
        <v>10651</v>
      </c>
      <c r="C9058" s="1" t="str">
        <f>HYPERLINK("http://www.genecards.org/cgi-bin/carddisp.pl?gene=PSMC2","GeneCards")</f>
        <v>GeneCards</v>
      </c>
      <c r="D9058" s="1" t="str">
        <f>HYPERLINK("http://genome-euro.ucsc.edu/cgi-bin/hgTracks?position=201068_s_at","UCSC")</f>
        <v>UCSC</v>
      </c>
      <c r="E9058" s="1" t="str">
        <f>HYPERLINK("http://www.ncbi.nlm.nih.gov/gene/?term=PSMC2","NCBI")</f>
        <v>NCBI</v>
      </c>
      <c r="F9058">
        <v>0.17</v>
      </c>
      <c r="G9058">
        <v>0.31</v>
      </c>
      <c r="H9058" s="1" t="str">
        <f>HYPERLINK("http://www.weizmann.ac.il/complex/compphys/software/geview/data/figures/201068_s_at.png","Figure")</f>
        <v>Figure</v>
      </c>
      <c r="I9058">
        <v>0.85599999999999998</v>
      </c>
      <c r="J9058">
        <v>0.68</v>
      </c>
      <c r="K9058">
        <v>0.72599999999999998</v>
      </c>
      <c r="L9058">
        <v>0.15</v>
      </c>
      <c r="M9058">
        <v>0.84799999999999998</v>
      </c>
      <c r="N9058">
        <v>0.61</v>
      </c>
    </row>
    <row r="9059" spans="1:14" x14ac:dyDescent="0.25">
      <c r="A9059" t="s">
        <v>15928</v>
      </c>
      <c r="B9059" t="s">
        <v>15929</v>
      </c>
      <c r="C9059" s="1" t="str">
        <f>HYPERLINK("http://www.genecards.org/cgi-bin/carddisp.pl?gene=RCHY1","GeneCards")</f>
        <v>GeneCards</v>
      </c>
      <c r="D9059" s="1" t="str">
        <f>HYPERLINK("http://genome-euro.ucsc.edu/cgi-bin/hgTracks?position=214281_s_at","UCSC")</f>
        <v>UCSC</v>
      </c>
      <c r="E9059" s="1" t="str">
        <f>HYPERLINK("http://www.ncbi.nlm.nih.gov/gene/?term=RCHY1","NCBI")</f>
        <v>NCBI</v>
      </c>
      <c r="F9059">
        <v>0.17</v>
      </c>
      <c r="G9059">
        <v>0.31</v>
      </c>
      <c r="H9059" s="1" t="str">
        <f>HYPERLINK("http://www.weizmann.ac.il/complex/compphys/software/geview/data/figures/214281_s_at.png","Figure")</f>
        <v>Figure</v>
      </c>
      <c r="I9059">
        <v>0.71099999999999997</v>
      </c>
      <c r="J9059">
        <v>0.4</v>
      </c>
      <c r="K9059">
        <v>0.64</v>
      </c>
      <c r="L9059">
        <v>0.15</v>
      </c>
      <c r="M9059">
        <v>0.9</v>
      </c>
      <c r="N9059">
        <v>0.9</v>
      </c>
    </row>
    <row r="9060" spans="1:14" x14ac:dyDescent="0.25">
      <c r="A9060" t="s">
        <v>15930</v>
      </c>
      <c r="B9060" t="s">
        <v>15931</v>
      </c>
      <c r="C9060" s="1" t="str">
        <f>HYPERLINK("http://www.genecards.org/cgi-bin/carddisp.pl?gene=LGTN","GeneCards")</f>
        <v>GeneCards</v>
      </c>
      <c r="D9060" s="1" t="str">
        <f>HYPERLINK("http://genome-euro.ucsc.edu/cgi-bin/hgTracks?position=218253_s_at","UCSC")</f>
        <v>UCSC</v>
      </c>
      <c r="E9060" s="1" t="str">
        <f>HYPERLINK("http://www.ncbi.nlm.nih.gov/gene/?term=LGTN","NCBI")</f>
        <v>NCBI</v>
      </c>
      <c r="F9060">
        <v>0.17</v>
      </c>
      <c r="G9060">
        <v>0.31</v>
      </c>
      <c r="H9060" s="1" t="str">
        <f>HYPERLINK("http://www.weizmann.ac.il/complex/compphys/software/geview/data/figures/218253_s_at.png","Figure")</f>
        <v>Figure</v>
      </c>
      <c r="I9060">
        <v>1.05</v>
      </c>
      <c r="J9060">
        <v>0.93</v>
      </c>
      <c r="K9060">
        <v>1.27</v>
      </c>
      <c r="L9060">
        <v>0.18</v>
      </c>
      <c r="M9060">
        <v>1.2</v>
      </c>
      <c r="N9060">
        <v>0.38</v>
      </c>
    </row>
    <row r="9061" spans="1:14" x14ac:dyDescent="0.25">
      <c r="A9061" t="s">
        <v>15932</v>
      </c>
      <c r="B9061" t="s">
        <v>15933</v>
      </c>
      <c r="C9061" s="1" t="str">
        <f>HYPERLINK("http://www.genecards.org/cgi-bin/carddisp.pl?gene=HS3ST2","GeneCards")</f>
        <v>GeneCards</v>
      </c>
      <c r="D9061" s="1" t="str">
        <f>HYPERLINK("http://genome-euro.ucsc.edu/cgi-bin/hgTracks?position=219697_at","UCSC")</f>
        <v>UCSC</v>
      </c>
      <c r="E9061" s="1" t="str">
        <f>HYPERLINK("http://www.ncbi.nlm.nih.gov/gene/?term=HS3ST2","NCBI")</f>
        <v>NCBI</v>
      </c>
      <c r="F9061">
        <v>0.17</v>
      </c>
      <c r="G9061">
        <v>0.31</v>
      </c>
      <c r="H9061" s="1" t="str">
        <f>HYPERLINK("http://www.weizmann.ac.il/complex/compphys/software/geview/data/figures/219697_at.png","Figure")</f>
        <v>Figure</v>
      </c>
      <c r="I9061">
        <v>1.02</v>
      </c>
      <c r="J9061">
        <v>0.97</v>
      </c>
      <c r="K9061">
        <v>0.89100000000000001</v>
      </c>
      <c r="L9061">
        <v>0.28000000000000003</v>
      </c>
      <c r="M9061">
        <v>0.874</v>
      </c>
      <c r="N9061">
        <v>0.22</v>
      </c>
    </row>
    <row r="9062" spans="1:14" x14ac:dyDescent="0.25">
      <c r="A9062" t="s">
        <v>15934</v>
      </c>
      <c r="B9062" t="s">
        <v>15935</v>
      </c>
      <c r="C9062" s="1" t="str">
        <f>HYPERLINK("http://www.genecards.org/cgi-bin/carddisp.pl?gene=CNN2","GeneCards")</f>
        <v>GeneCards</v>
      </c>
      <c r="D9062" s="1" t="str">
        <f>HYPERLINK("http://genome-euro.ucsc.edu/cgi-bin/hgTracks?position=201605_x_at","UCSC")</f>
        <v>UCSC</v>
      </c>
      <c r="E9062" s="1" t="str">
        <f>HYPERLINK("http://www.ncbi.nlm.nih.gov/gene/?term=CNN2","NCBI")</f>
        <v>NCBI</v>
      </c>
      <c r="F9062">
        <v>0.17</v>
      </c>
      <c r="G9062">
        <v>0.31</v>
      </c>
      <c r="H9062" s="1" t="str">
        <f>HYPERLINK("http://www.weizmann.ac.il/complex/compphys/software/geview/data/figures/201605_x_at.png","Figure")</f>
        <v>Figure</v>
      </c>
      <c r="I9062">
        <v>1.18</v>
      </c>
      <c r="J9062">
        <v>0.28999999999999998</v>
      </c>
      <c r="K9062">
        <v>0.97199999999999998</v>
      </c>
      <c r="L9062">
        <v>0.95</v>
      </c>
      <c r="M9062">
        <v>0.82299999999999995</v>
      </c>
      <c r="N9062">
        <v>0.16</v>
      </c>
    </row>
    <row r="9063" spans="1:14" x14ac:dyDescent="0.25">
      <c r="A9063" t="s">
        <v>15936</v>
      </c>
      <c r="B9063" t="s">
        <v>15937</v>
      </c>
      <c r="C9063" s="1" t="str">
        <f>HYPERLINK("http://www.genecards.org/cgi-bin/carddisp.pl?gene=PRAMEF12","GeneCards")</f>
        <v>GeneCards</v>
      </c>
      <c r="D9063" s="1" t="str">
        <f>HYPERLINK("http://genome-euro.ucsc.edu/cgi-bin/hgTracks?position=216001_at","UCSC")</f>
        <v>UCSC</v>
      </c>
      <c r="E9063" s="1" t="str">
        <f>HYPERLINK("http://www.ncbi.nlm.nih.gov/gene/?term=PRAMEF12","NCBI")</f>
        <v>NCBI</v>
      </c>
      <c r="F9063">
        <v>0.17</v>
      </c>
      <c r="G9063">
        <v>0.31</v>
      </c>
      <c r="H9063" s="1" t="str">
        <f>HYPERLINK("http://www.weizmann.ac.il/complex/compphys/software/geview/data/figures/216001_at.png","Figure")</f>
        <v>Figure</v>
      </c>
      <c r="I9063">
        <v>1.1000000000000001</v>
      </c>
      <c r="J9063">
        <v>0.31</v>
      </c>
      <c r="K9063">
        <v>0.97899999999999998</v>
      </c>
      <c r="L9063">
        <v>0.93</v>
      </c>
      <c r="M9063">
        <v>0.88700000000000001</v>
      </c>
      <c r="N9063">
        <v>0.16</v>
      </c>
    </row>
    <row r="9064" spans="1:14" x14ac:dyDescent="0.25">
      <c r="A9064" t="s">
        <v>15938</v>
      </c>
      <c r="B9064" t="s">
        <v>15939</v>
      </c>
      <c r="C9064" s="1" t="str">
        <f>HYPERLINK("http://www.genecards.org/cgi-bin/carddisp.pl?gene=PTCH1","GeneCards")</f>
        <v>GeneCards</v>
      </c>
      <c r="D9064" s="1" t="str">
        <f>HYPERLINK("http://genome-euro.ucsc.edu/cgi-bin/hgTracks?position=209815_at","UCSC")</f>
        <v>UCSC</v>
      </c>
      <c r="E9064" s="1" t="str">
        <f>HYPERLINK("http://www.ncbi.nlm.nih.gov/gene/?term=PTCH1","NCBI")</f>
        <v>NCBI</v>
      </c>
      <c r="F9064">
        <v>0.17</v>
      </c>
      <c r="G9064">
        <v>0.31</v>
      </c>
      <c r="H9064" s="1" t="str">
        <f>HYPERLINK("http://www.weizmann.ac.il/complex/compphys/software/geview/data/figures/209815_at.png","Figure")</f>
        <v>Figure</v>
      </c>
      <c r="I9064">
        <v>1.61</v>
      </c>
      <c r="J9064">
        <v>0.18</v>
      </c>
      <c r="K9064">
        <v>1.41</v>
      </c>
      <c r="L9064">
        <v>0.28999999999999998</v>
      </c>
      <c r="M9064">
        <v>0.875</v>
      </c>
      <c r="N9064">
        <v>0.84</v>
      </c>
    </row>
    <row r="9065" spans="1:14" x14ac:dyDescent="0.25">
      <c r="A9065" t="s">
        <v>15940</v>
      </c>
      <c r="B9065" t="s">
        <v>15941</v>
      </c>
      <c r="C9065" s="1" t="str">
        <f>HYPERLINK("http://www.genecards.org/cgi-bin/carddisp.pl?gene=MGC2752","GeneCards")</f>
        <v>GeneCards</v>
      </c>
      <c r="D9065" s="1" t="str">
        <f>HYPERLINK("http://genome-euro.ucsc.edu/cgi-bin/hgTracks?position=218624_s_at","UCSC")</f>
        <v>UCSC</v>
      </c>
      <c r="E9065" s="1" t="str">
        <f>HYPERLINK("http://www.ncbi.nlm.nih.gov/gene/?term=MGC2752","NCBI")</f>
        <v>NCBI</v>
      </c>
      <c r="F9065">
        <v>0.17</v>
      </c>
      <c r="G9065">
        <v>0.31</v>
      </c>
      <c r="H9065" s="1" t="str">
        <f>HYPERLINK("http://www.weizmann.ac.il/complex/compphys/software/geview/data/figures/218624_s_at.png","Figure")</f>
        <v>Figure</v>
      </c>
      <c r="I9065">
        <v>0.90800000000000003</v>
      </c>
      <c r="J9065">
        <v>0.73</v>
      </c>
      <c r="K9065">
        <v>0.80200000000000005</v>
      </c>
      <c r="L9065">
        <v>0.15</v>
      </c>
      <c r="M9065">
        <v>0.88300000000000001</v>
      </c>
      <c r="N9065">
        <v>0.56000000000000005</v>
      </c>
    </row>
    <row r="9066" spans="1:14" x14ac:dyDescent="0.25">
      <c r="A9066" t="s">
        <v>15942</v>
      </c>
      <c r="B9066" t="s">
        <v>15943</v>
      </c>
      <c r="C9066" s="1" t="str">
        <f>HYPERLINK("http://www.genecards.org/cgi-bin/carddisp.pl?gene=RNASE2","GeneCards")</f>
        <v>GeneCards</v>
      </c>
      <c r="D9066" s="1" t="str">
        <f>HYPERLINK("http://genome-euro.ucsc.edu/cgi-bin/hgTracks?position=206111_at","UCSC")</f>
        <v>UCSC</v>
      </c>
      <c r="E9066" s="1" t="str">
        <f>HYPERLINK("http://www.ncbi.nlm.nih.gov/gene/?term=RNASE2","NCBI")</f>
        <v>NCBI</v>
      </c>
      <c r="F9066">
        <v>0.17</v>
      </c>
      <c r="G9066">
        <v>0.31</v>
      </c>
      <c r="H9066" s="1" t="str">
        <f>HYPERLINK("http://www.weizmann.ac.il/complex/compphys/software/geview/data/figures/206111_at.png","Figure")</f>
        <v>Figure</v>
      </c>
      <c r="I9066">
        <v>1.08</v>
      </c>
      <c r="J9066">
        <v>0.61</v>
      </c>
      <c r="K9066">
        <v>0.93</v>
      </c>
      <c r="L9066">
        <v>0.56000000000000005</v>
      </c>
      <c r="M9066">
        <v>0.86099999999999999</v>
      </c>
      <c r="N9066">
        <v>0.15</v>
      </c>
    </row>
    <row r="9067" spans="1:14" x14ac:dyDescent="0.25">
      <c r="A9067" t="s">
        <v>15944</v>
      </c>
      <c r="B9067" t="s">
        <v>14310</v>
      </c>
      <c r="C9067" s="1" t="str">
        <f>HYPERLINK("http://www.genecards.org/cgi-bin/carddisp.pl?gene=ZCCHC14","GeneCards")</f>
        <v>GeneCards</v>
      </c>
      <c r="D9067" s="1" t="str">
        <f>HYPERLINK("http://genome-euro.ucsc.edu/cgi-bin/hgTracks?position=215427_s_at","UCSC")</f>
        <v>UCSC</v>
      </c>
      <c r="E9067" s="1" t="str">
        <f>HYPERLINK("http://www.ncbi.nlm.nih.gov/gene/?term=ZCCHC14","NCBI")</f>
        <v>NCBI</v>
      </c>
      <c r="F9067">
        <v>0.17</v>
      </c>
      <c r="G9067">
        <v>0.31</v>
      </c>
      <c r="H9067" s="1" t="str">
        <f>HYPERLINK("http://www.weizmann.ac.il/complex/compphys/software/geview/data/figures/215427_s_at.png","Figure")</f>
        <v>Figure</v>
      </c>
      <c r="I9067">
        <v>1.01</v>
      </c>
      <c r="J9067">
        <v>1</v>
      </c>
      <c r="K9067">
        <v>0.80800000000000005</v>
      </c>
      <c r="L9067">
        <v>0.24</v>
      </c>
      <c r="M9067">
        <v>0.80100000000000005</v>
      </c>
      <c r="N9067">
        <v>0.25</v>
      </c>
    </row>
    <row r="9068" spans="1:14" x14ac:dyDescent="0.25">
      <c r="A9068" t="s">
        <v>15945</v>
      </c>
      <c r="B9068" t="s">
        <v>12399</v>
      </c>
      <c r="C9068" s="1" t="str">
        <f>HYPERLINK("http://www.genecards.org/cgi-bin/carddisp.pl?gene=SERHL2","GeneCards")</f>
        <v>GeneCards</v>
      </c>
      <c r="D9068" s="1" t="str">
        <f>HYPERLINK("http://genome-euro.ucsc.edu/cgi-bin/hgTracks?position=217276_x_at","UCSC")</f>
        <v>UCSC</v>
      </c>
      <c r="E9068" s="1" t="str">
        <f>HYPERLINK("http://www.ncbi.nlm.nih.gov/gene/?term=SERHL2","NCBI")</f>
        <v>NCBI</v>
      </c>
      <c r="F9068">
        <v>0.17</v>
      </c>
      <c r="G9068">
        <v>0.31</v>
      </c>
      <c r="H9068" s="1" t="str">
        <f>HYPERLINK("http://www.weizmann.ac.il/complex/compphys/software/geview/data/figures/217276_x_at.png","Figure")</f>
        <v>Figure</v>
      </c>
      <c r="I9068">
        <v>1.22</v>
      </c>
      <c r="J9068">
        <v>0.19</v>
      </c>
      <c r="K9068">
        <v>1.02</v>
      </c>
      <c r="L9068">
        <v>0.97</v>
      </c>
      <c r="M9068">
        <v>0.83699999999999997</v>
      </c>
      <c r="N9068">
        <v>0.22</v>
      </c>
    </row>
    <row r="9069" spans="1:14" x14ac:dyDescent="0.25">
      <c r="A9069" t="s">
        <v>15946</v>
      </c>
      <c r="B9069" t="s">
        <v>15947</v>
      </c>
      <c r="C9069" s="1" t="str">
        <f>HYPERLINK("http://www.genecards.org/cgi-bin/carddisp.pl?gene=GLT8D2","GeneCards")</f>
        <v>GeneCards</v>
      </c>
      <c r="D9069" s="1" t="str">
        <f>HYPERLINK("http://genome-euro.ucsc.edu/cgi-bin/hgTracks?position=221447_s_at","UCSC")</f>
        <v>UCSC</v>
      </c>
      <c r="E9069" s="1" t="str">
        <f>HYPERLINK("http://www.ncbi.nlm.nih.gov/gene/?term=GLT8D2","NCBI")</f>
        <v>NCBI</v>
      </c>
      <c r="F9069">
        <v>0.17</v>
      </c>
      <c r="G9069">
        <v>0.31</v>
      </c>
      <c r="H9069" s="1" t="str">
        <f>HYPERLINK("http://www.weizmann.ac.il/complex/compphys/software/geview/data/figures/221447_s_at.png","Figure")</f>
        <v>Figure</v>
      </c>
      <c r="I9069">
        <v>1.1499999999999999</v>
      </c>
      <c r="J9069">
        <v>0.16</v>
      </c>
      <c r="K9069">
        <v>1.04</v>
      </c>
      <c r="L9069">
        <v>0.82</v>
      </c>
      <c r="M9069">
        <v>0.90300000000000002</v>
      </c>
      <c r="N9069">
        <v>0.3</v>
      </c>
    </row>
    <row r="9070" spans="1:14" x14ac:dyDescent="0.25">
      <c r="A9070" t="s">
        <v>15948</v>
      </c>
      <c r="B9070" t="s">
        <v>15949</v>
      </c>
      <c r="C9070" s="1" t="str">
        <f>HYPERLINK("http://www.genecards.org/cgi-bin/carddisp.pl?gene=KCNA5","GeneCards")</f>
        <v>GeneCards</v>
      </c>
      <c r="D9070" s="1" t="str">
        <f>HYPERLINK("http://genome-euro.ucsc.edu/cgi-bin/hgTracks?position=206762_at","UCSC")</f>
        <v>UCSC</v>
      </c>
      <c r="E9070" s="1" t="str">
        <f>HYPERLINK("http://www.ncbi.nlm.nih.gov/gene/?term=KCNA5","NCBI")</f>
        <v>NCBI</v>
      </c>
      <c r="F9070">
        <v>0.17</v>
      </c>
      <c r="G9070">
        <v>0.31</v>
      </c>
      <c r="H9070" s="1" t="str">
        <f>HYPERLINK("http://www.weizmann.ac.il/complex/compphys/software/geview/data/figures/206762_at.png","Figure")</f>
        <v>Figure</v>
      </c>
      <c r="I9070">
        <v>0.74299999999999999</v>
      </c>
      <c r="J9070">
        <v>0.15</v>
      </c>
      <c r="K9070">
        <v>0.85299999999999998</v>
      </c>
      <c r="L9070">
        <v>0.46</v>
      </c>
      <c r="M9070">
        <v>1.1499999999999999</v>
      </c>
      <c r="N9070">
        <v>0.59</v>
      </c>
    </row>
    <row r="9071" spans="1:14" x14ac:dyDescent="0.25">
      <c r="A9071" t="s">
        <v>15950</v>
      </c>
      <c r="B9071" t="s">
        <v>6398</v>
      </c>
      <c r="C9071" s="1" t="str">
        <f>HYPERLINK("http://www.genecards.org/cgi-bin/carddisp.pl?gene=SFTPB","GeneCards")</f>
        <v>GeneCards</v>
      </c>
      <c r="D9071" s="1" t="str">
        <f>HYPERLINK("http://genome-euro.ucsc.edu/cgi-bin/hgTracks?position=214354_x_at","UCSC")</f>
        <v>UCSC</v>
      </c>
      <c r="E9071" s="1" t="str">
        <f>HYPERLINK("http://www.ncbi.nlm.nih.gov/gene/?term=SFTPB","NCBI")</f>
        <v>NCBI</v>
      </c>
      <c r="F9071">
        <v>0.17</v>
      </c>
      <c r="G9071">
        <v>0.31</v>
      </c>
      <c r="H9071" s="1" t="str">
        <f>HYPERLINK("http://www.weizmann.ac.il/complex/compphys/software/geview/data/figures/214354_x_at.png","Figure")</f>
        <v>Figure</v>
      </c>
      <c r="I9071">
        <v>1.28</v>
      </c>
      <c r="J9071">
        <v>0.15</v>
      </c>
      <c r="K9071">
        <v>1.07</v>
      </c>
      <c r="L9071">
        <v>0.79</v>
      </c>
      <c r="M9071">
        <v>0.83899999999999997</v>
      </c>
      <c r="N9071">
        <v>0.32</v>
      </c>
    </row>
    <row r="9072" spans="1:14" x14ac:dyDescent="0.25">
      <c r="A9072" t="s">
        <v>15951</v>
      </c>
      <c r="B9072" t="s">
        <v>11625</v>
      </c>
      <c r="C9072" s="1" t="str">
        <f>HYPERLINK("http://www.genecards.org/cgi-bin/carddisp.pl?gene=MZF1","GeneCards")</f>
        <v>GeneCards</v>
      </c>
      <c r="D9072" s="1" t="str">
        <f>HYPERLINK("http://genome-euro.ucsc.edu/cgi-bin/hgTracks?position=204139_x_at","UCSC")</f>
        <v>UCSC</v>
      </c>
      <c r="E9072" s="1" t="str">
        <f>HYPERLINK("http://www.ncbi.nlm.nih.gov/gene/?term=MZF1","NCBI")</f>
        <v>NCBI</v>
      </c>
      <c r="F9072">
        <v>0.17</v>
      </c>
      <c r="G9072">
        <v>0.31</v>
      </c>
      <c r="H9072" s="1" t="str">
        <f>HYPERLINK("http://www.weizmann.ac.il/complex/compphys/software/geview/data/figures/204139_x_at.png","Figure")</f>
        <v>Figure</v>
      </c>
      <c r="I9072">
        <v>1.22</v>
      </c>
      <c r="J9072">
        <v>0.55000000000000004</v>
      </c>
      <c r="K9072">
        <v>1.39</v>
      </c>
      <c r="L9072">
        <v>0.14000000000000001</v>
      </c>
      <c r="M9072">
        <v>1.1399999999999999</v>
      </c>
      <c r="N9072">
        <v>0.74</v>
      </c>
    </row>
    <row r="9073" spans="1:14" x14ac:dyDescent="0.25">
      <c r="A9073" t="s">
        <v>15952</v>
      </c>
      <c r="B9073" t="s">
        <v>13505</v>
      </c>
      <c r="C9073" s="1" t="str">
        <f>HYPERLINK("http://www.genecards.org/cgi-bin/carddisp.pl?gene=ZC3H7B","GeneCards")</f>
        <v>GeneCards</v>
      </c>
      <c r="D9073" s="1" t="str">
        <f>HYPERLINK("http://genome-euro.ucsc.edu/cgi-bin/hgTracks?position=205877_s_at","UCSC")</f>
        <v>UCSC</v>
      </c>
      <c r="E9073" s="1" t="str">
        <f>HYPERLINK("http://www.ncbi.nlm.nih.gov/gene/?term=ZC3H7B","NCBI")</f>
        <v>NCBI</v>
      </c>
      <c r="F9073">
        <v>0.17</v>
      </c>
      <c r="G9073">
        <v>0.31</v>
      </c>
      <c r="H9073" s="1" t="str">
        <f>HYPERLINK("http://www.weizmann.ac.il/complex/compphys/software/geview/data/figures/205877_s_at.png","Figure")</f>
        <v>Figure</v>
      </c>
      <c r="I9073">
        <v>1.21</v>
      </c>
      <c r="J9073">
        <v>0.15</v>
      </c>
      <c r="K9073">
        <v>1.1100000000000001</v>
      </c>
      <c r="L9073">
        <v>0.46</v>
      </c>
      <c r="M9073">
        <v>0.91500000000000004</v>
      </c>
      <c r="N9073">
        <v>0.57999999999999996</v>
      </c>
    </row>
    <row r="9074" spans="1:14" x14ac:dyDescent="0.25">
      <c r="A9074" t="s">
        <v>15953</v>
      </c>
      <c r="B9074" t="s">
        <v>15954</v>
      </c>
      <c r="C9074" s="1" t="str">
        <f>HYPERLINK("http://www.genecards.org/cgi-bin/carddisp.pl?gene=WDR18","GeneCards")</f>
        <v>GeneCards</v>
      </c>
      <c r="D9074" s="1" t="str">
        <f>HYPERLINK("http://genome-euro.ucsc.edu/cgi-bin/hgTracks?position=209461_x_at","UCSC")</f>
        <v>UCSC</v>
      </c>
      <c r="E9074" s="1" t="str">
        <f>HYPERLINK("http://www.ncbi.nlm.nih.gov/gene/?term=WDR18","NCBI")</f>
        <v>NCBI</v>
      </c>
      <c r="F9074">
        <v>0.17</v>
      </c>
      <c r="G9074">
        <v>0.31</v>
      </c>
      <c r="H9074" s="1" t="str">
        <f>HYPERLINK("http://www.weizmann.ac.il/complex/compphys/software/geview/data/figures/209461_x_at.png","Figure")</f>
        <v>Figure</v>
      </c>
      <c r="I9074">
        <v>0.86199999999999999</v>
      </c>
      <c r="J9074">
        <v>0.31</v>
      </c>
      <c r="K9074">
        <v>1.03</v>
      </c>
      <c r="L9074">
        <v>0.92</v>
      </c>
      <c r="M9074">
        <v>1.2</v>
      </c>
      <c r="N9074">
        <v>0.16</v>
      </c>
    </row>
    <row r="9075" spans="1:14" x14ac:dyDescent="0.25">
      <c r="A9075" t="s">
        <v>15955</v>
      </c>
      <c r="B9075" t="s">
        <v>10906</v>
      </c>
      <c r="C9075" s="1" t="str">
        <f>HYPERLINK("http://www.genecards.org/cgi-bin/carddisp.pl?gene=REL","GeneCards")</f>
        <v>GeneCards</v>
      </c>
      <c r="D9075" s="1" t="str">
        <f>HYPERLINK("http://genome-euro.ucsc.edu/cgi-bin/hgTracks?position=206036_s_at","UCSC")</f>
        <v>UCSC</v>
      </c>
      <c r="E9075" s="1" t="str">
        <f>HYPERLINK("http://www.ncbi.nlm.nih.gov/gene/?term=REL","NCBI")</f>
        <v>NCBI</v>
      </c>
      <c r="F9075">
        <v>0.17</v>
      </c>
      <c r="G9075">
        <v>0.31</v>
      </c>
      <c r="H9075" s="1" t="str">
        <f>HYPERLINK("http://www.weizmann.ac.il/complex/compphys/software/geview/data/figures/206036_s_at.png","Figure")</f>
        <v>Figure</v>
      </c>
      <c r="I9075">
        <v>0.754</v>
      </c>
      <c r="J9075">
        <v>0.39</v>
      </c>
      <c r="K9075">
        <v>0.69899999999999995</v>
      </c>
      <c r="L9075">
        <v>0.15</v>
      </c>
      <c r="M9075">
        <v>0.92700000000000005</v>
      </c>
      <c r="N9075">
        <v>0.92</v>
      </c>
    </row>
    <row r="9076" spans="1:14" x14ac:dyDescent="0.25">
      <c r="A9076" t="s">
        <v>15956</v>
      </c>
      <c r="B9076" t="s">
        <v>14268</v>
      </c>
      <c r="C9076" s="1" t="str">
        <f>HYPERLINK("http://www.genecards.org/cgi-bin/carddisp.pl?gene=SOCS3","GeneCards")</f>
        <v>GeneCards</v>
      </c>
      <c r="D9076" s="1" t="str">
        <f>HYPERLINK("http://genome-euro.ucsc.edu/cgi-bin/hgTracks?position=214105_at","UCSC")</f>
        <v>UCSC</v>
      </c>
      <c r="E9076" s="1" t="str">
        <f>HYPERLINK("http://www.ncbi.nlm.nih.gov/gene/?term=SOCS3","NCBI")</f>
        <v>NCBI</v>
      </c>
      <c r="F9076">
        <v>0.17</v>
      </c>
      <c r="G9076">
        <v>0.31</v>
      </c>
      <c r="H9076" s="1" t="str">
        <f>HYPERLINK("http://www.weizmann.ac.il/complex/compphys/software/geview/data/figures/214105_at.png","Figure")</f>
        <v>Figure</v>
      </c>
      <c r="I9076">
        <v>1.1000000000000001</v>
      </c>
      <c r="J9076">
        <v>0.14000000000000001</v>
      </c>
      <c r="K9076">
        <v>1.04</v>
      </c>
      <c r="L9076">
        <v>0.54</v>
      </c>
      <c r="M9076">
        <v>0.95299999999999996</v>
      </c>
      <c r="N9076">
        <v>0.5</v>
      </c>
    </row>
    <row r="9077" spans="1:14" x14ac:dyDescent="0.25">
      <c r="A9077" t="s">
        <v>15957</v>
      </c>
      <c r="B9077" t="s">
        <v>15958</v>
      </c>
      <c r="C9077" s="1" t="str">
        <f>HYPERLINK("http://www.genecards.org/cgi-bin/carddisp.pl?gene=AURKA","GeneCards")</f>
        <v>GeneCards</v>
      </c>
      <c r="D9077" s="1" t="str">
        <f>HYPERLINK("http://genome-euro.ucsc.edu/cgi-bin/hgTracks?position=208079_s_at","UCSC")</f>
        <v>UCSC</v>
      </c>
      <c r="E9077" s="1" t="str">
        <f>HYPERLINK("http://www.ncbi.nlm.nih.gov/gene/?term=AURKA","NCBI")</f>
        <v>NCBI</v>
      </c>
      <c r="F9077">
        <v>0.17</v>
      </c>
      <c r="G9077">
        <v>0.31</v>
      </c>
      <c r="H9077" s="1" t="str">
        <f>HYPERLINK("http://www.weizmann.ac.il/complex/compphys/software/geview/data/figures/208079_s_at.png","Figure")</f>
        <v>Figure</v>
      </c>
      <c r="I9077">
        <v>0.877</v>
      </c>
      <c r="J9077">
        <v>0.33</v>
      </c>
      <c r="K9077">
        <v>1.03</v>
      </c>
      <c r="L9077">
        <v>0.9</v>
      </c>
      <c r="M9077">
        <v>1.18</v>
      </c>
      <c r="N9077">
        <v>0.15</v>
      </c>
    </row>
    <row r="9078" spans="1:14" x14ac:dyDescent="0.25">
      <c r="A9078" t="s">
        <v>15959</v>
      </c>
      <c r="B9078" t="s">
        <v>1236</v>
      </c>
      <c r="C9078" s="1" t="str">
        <f>HYPERLINK("http://www.genecards.org/cgi-bin/carddisp.pl?gene=MRS2","GeneCards")</f>
        <v>GeneCards</v>
      </c>
      <c r="D9078" s="1" t="str">
        <f>HYPERLINK("http://genome-euro.ucsc.edu/cgi-bin/hgTracks?position=218538_s_at","UCSC")</f>
        <v>UCSC</v>
      </c>
      <c r="E9078" s="1" t="str">
        <f>HYPERLINK("http://www.ncbi.nlm.nih.gov/gene/?term=MRS2","NCBI")</f>
        <v>NCBI</v>
      </c>
      <c r="F9078">
        <v>0.17</v>
      </c>
      <c r="G9078">
        <v>0.31</v>
      </c>
      <c r="H9078" s="1" t="str">
        <f>HYPERLINK("http://www.weizmann.ac.il/complex/compphys/software/geview/data/figures/218538_s_at.png","Figure")</f>
        <v>Figure</v>
      </c>
      <c r="I9078">
        <v>0.73799999999999999</v>
      </c>
      <c r="J9078">
        <v>0.23</v>
      </c>
      <c r="K9078">
        <v>1</v>
      </c>
      <c r="L9078">
        <v>1</v>
      </c>
      <c r="M9078">
        <v>1.35</v>
      </c>
      <c r="N9078">
        <v>0.19</v>
      </c>
    </row>
    <row r="9079" spans="1:14" x14ac:dyDescent="0.25">
      <c r="A9079" t="s">
        <v>15960</v>
      </c>
      <c r="B9079" t="s">
        <v>15961</v>
      </c>
      <c r="C9079" s="1" t="str">
        <f>HYPERLINK("http://www.genecards.org/cgi-bin/carddisp.pl?gene=MGC5566","GeneCards")</f>
        <v>GeneCards</v>
      </c>
      <c r="D9079" s="1" t="str">
        <f>HYPERLINK("http://genome-euro.ucsc.edu/cgi-bin/hgTracks?position=220449_at","UCSC")</f>
        <v>UCSC</v>
      </c>
      <c r="E9079" s="1" t="str">
        <f>HYPERLINK("http://www.ncbi.nlm.nih.gov/gene/?term=MGC5566","NCBI")</f>
        <v>NCBI</v>
      </c>
      <c r="F9079">
        <v>0.17</v>
      </c>
      <c r="G9079">
        <v>0.31</v>
      </c>
      <c r="H9079" s="1" t="str">
        <f>HYPERLINK("http://www.weizmann.ac.il/complex/compphys/software/geview/data/figures/220449_at.png","Figure")</f>
        <v>Figure</v>
      </c>
      <c r="I9079">
        <v>1.1299999999999999</v>
      </c>
      <c r="J9079">
        <v>0.18</v>
      </c>
      <c r="K9079">
        <v>1.02</v>
      </c>
      <c r="L9079">
        <v>0.93</v>
      </c>
      <c r="M9079">
        <v>0.9</v>
      </c>
      <c r="N9079">
        <v>0.24</v>
      </c>
    </row>
    <row r="9080" spans="1:14" x14ac:dyDescent="0.25">
      <c r="A9080" t="s">
        <v>15962</v>
      </c>
      <c r="B9080" t="s">
        <v>15963</v>
      </c>
      <c r="C9080" s="1" t="str">
        <f>HYPERLINK("http://www.genecards.org/cgi-bin/carddisp.pl?gene=FAF2","GeneCards")</f>
        <v>GeneCards</v>
      </c>
      <c r="D9080" s="1" t="str">
        <f>HYPERLINK("http://genome-euro.ucsc.edu/cgi-bin/hgTracks?position=212108_at","UCSC")</f>
        <v>UCSC</v>
      </c>
      <c r="E9080" s="1" t="str">
        <f>HYPERLINK("http://www.ncbi.nlm.nih.gov/gene/?term=FAF2","NCBI")</f>
        <v>NCBI</v>
      </c>
      <c r="F9080">
        <v>0.17</v>
      </c>
      <c r="G9080">
        <v>0.31</v>
      </c>
      <c r="H9080" s="1" t="str">
        <f>HYPERLINK("http://www.weizmann.ac.il/complex/compphys/software/geview/data/figures/212108_at.png","Figure")</f>
        <v>Figure</v>
      </c>
      <c r="I9080">
        <v>1.33</v>
      </c>
      <c r="J9080">
        <v>0.15</v>
      </c>
      <c r="K9080">
        <v>1.1000000000000001</v>
      </c>
      <c r="L9080">
        <v>0.75</v>
      </c>
      <c r="M9080">
        <v>0.82299999999999995</v>
      </c>
      <c r="N9080">
        <v>0.34</v>
      </c>
    </row>
    <row r="9081" spans="1:14" x14ac:dyDescent="0.25">
      <c r="A9081" t="s">
        <v>15964</v>
      </c>
      <c r="B9081" t="s">
        <v>1824</v>
      </c>
      <c r="C9081" s="1" t="str">
        <f>HYPERLINK("http://www.genecards.org/cgi-bin/carddisp.pl?gene=GOLGA8A","GeneCards")</f>
        <v>GeneCards</v>
      </c>
      <c r="D9081" s="1" t="str">
        <f>HYPERLINK("http://genome-euro.ucsc.edu/cgi-bin/hgTracks?position=208797_s_at","UCSC")</f>
        <v>UCSC</v>
      </c>
      <c r="E9081" s="1" t="str">
        <f>HYPERLINK("http://www.ncbi.nlm.nih.gov/gene/?term=GOLGA8A","NCBI")</f>
        <v>NCBI</v>
      </c>
      <c r="F9081">
        <v>0.17</v>
      </c>
      <c r="G9081">
        <v>0.31</v>
      </c>
      <c r="H9081" s="1" t="str">
        <f>HYPERLINK("http://www.weizmann.ac.il/complex/compphys/software/geview/data/figures/208797_s_at.png","Figure")</f>
        <v>Figure</v>
      </c>
      <c r="I9081">
        <v>0.81599999999999995</v>
      </c>
      <c r="J9081">
        <v>0.41</v>
      </c>
      <c r="K9081">
        <v>0.76500000000000001</v>
      </c>
      <c r="L9081">
        <v>0.15</v>
      </c>
      <c r="M9081">
        <v>0.93799999999999994</v>
      </c>
      <c r="N9081">
        <v>0.9</v>
      </c>
    </row>
    <row r="9082" spans="1:14" x14ac:dyDescent="0.25">
      <c r="A9082" t="s">
        <v>15965</v>
      </c>
      <c r="B9082" t="s">
        <v>10614</v>
      </c>
      <c r="C9082" s="1" t="str">
        <f>HYPERLINK("http://www.genecards.org/cgi-bin/carddisp.pl?gene=MLL","GeneCards")</f>
        <v>GeneCards</v>
      </c>
      <c r="D9082" s="1" t="str">
        <f>HYPERLINK("http://genome-euro.ucsc.edu/cgi-bin/hgTracks?position=212079_s_at","UCSC")</f>
        <v>UCSC</v>
      </c>
      <c r="E9082" s="1" t="str">
        <f>HYPERLINK("http://www.ncbi.nlm.nih.gov/gene/?term=MLL","NCBI")</f>
        <v>NCBI</v>
      </c>
      <c r="F9082">
        <v>0.17</v>
      </c>
      <c r="G9082">
        <v>0.31</v>
      </c>
      <c r="H9082" s="1" t="str">
        <f>HYPERLINK("http://www.weizmann.ac.il/complex/compphys/software/geview/data/figures/212079_s_at.png","Figure")</f>
        <v>Figure</v>
      </c>
      <c r="I9082">
        <v>1.21</v>
      </c>
      <c r="J9082">
        <v>0.67</v>
      </c>
      <c r="K9082">
        <v>0.80500000000000005</v>
      </c>
      <c r="L9082">
        <v>0.51</v>
      </c>
      <c r="M9082">
        <v>0.66600000000000004</v>
      </c>
      <c r="N9082">
        <v>0.15</v>
      </c>
    </row>
    <row r="9083" spans="1:14" x14ac:dyDescent="0.25">
      <c r="A9083" t="s">
        <v>15966</v>
      </c>
      <c r="B9083" t="s">
        <v>15967</v>
      </c>
      <c r="C9083" s="1" t="str">
        <f>HYPERLINK("http://www.genecards.org/cgi-bin/carddisp.pl?gene=TCP10L","GeneCards")</f>
        <v>GeneCards</v>
      </c>
      <c r="D9083" s="1" t="str">
        <f>HYPERLINK("http://genome-euro.ucsc.edu/cgi-bin/hgTracks?position=220826_at","UCSC")</f>
        <v>UCSC</v>
      </c>
      <c r="E9083" s="1" t="str">
        <f>HYPERLINK("http://www.ncbi.nlm.nih.gov/gene/?term=TCP10L","NCBI")</f>
        <v>NCBI</v>
      </c>
      <c r="F9083">
        <v>0.17</v>
      </c>
      <c r="G9083">
        <v>0.31</v>
      </c>
      <c r="H9083" s="1" t="str">
        <f>HYPERLINK("http://www.weizmann.ac.il/complex/compphys/software/geview/data/figures/220826_at.png","Figure")</f>
        <v>Figure</v>
      </c>
      <c r="I9083">
        <v>1.1299999999999999</v>
      </c>
      <c r="J9083">
        <v>0.28000000000000003</v>
      </c>
      <c r="K9083">
        <v>1.1399999999999999</v>
      </c>
      <c r="L9083">
        <v>0.18</v>
      </c>
      <c r="M9083">
        <v>1</v>
      </c>
      <c r="N9083">
        <v>1</v>
      </c>
    </row>
    <row r="9084" spans="1:14" x14ac:dyDescent="0.25">
      <c r="A9084" t="s">
        <v>15968</v>
      </c>
      <c r="B9084" t="s">
        <v>12297</v>
      </c>
      <c r="C9084" s="1" t="str">
        <f>HYPERLINK("http://www.genecards.org/cgi-bin/carddisp.pl?gene=PIWIL2","GeneCards")</f>
        <v>GeneCards</v>
      </c>
      <c r="D9084" s="1" t="str">
        <f>HYPERLINK("http://genome-euro.ucsc.edu/cgi-bin/hgTracks?position=217421_at","UCSC")</f>
        <v>UCSC</v>
      </c>
      <c r="E9084" s="1" t="str">
        <f>HYPERLINK("http://www.ncbi.nlm.nih.gov/gene/?term=PIWIL2","NCBI")</f>
        <v>NCBI</v>
      </c>
      <c r="F9084">
        <v>0.17</v>
      </c>
      <c r="G9084">
        <v>0.31</v>
      </c>
      <c r="H9084" s="1" t="str">
        <f>HYPERLINK("http://www.weizmann.ac.il/complex/compphys/software/geview/data/figures/217421_at.png","Figure")</f>
        <v>Figure</v>
      </c>
      <c r="I9084">
        <v>1.07</v>
      </c>
      <c r="J9084">
        <v>0.51</v>
      </c>
      <c r="K9084">
        <v>1.1100000000000001</v>
      </c>
      <c r="L9084">
        <v>0.15</v>
      </c>
      <c r="M9084">
        <v>1.04</v>
      </c>
      <c r="N9084">
        <v>0.79</v>
      </c>
    </row>
    <row r="9085" spans="1:14" x14ac:dyDescent="0.25">
      <c r="A9085" t="s">
        <v>15969</v>
      </c>
      <c r="B9085" t="s">
        <v>15970</v>
      </c>
      <c r="C9085" s="1" t="str">
        <f>HYPERLINK("http://www.genecards.org/cgi-bin/carddisp.pl?gene=CYP27B1","GeneCards")</f>
        <v>GeneCards</v>
      </c>
      <c r="D9085" s="1" t="str">
        <f>HYPERLINK("http://genome-euro.ucsc.edu/cgi-bin/hgTracks?position=205676_at","UCSC")</f>
        <v>UCSC</v>
      </c>
      <c r="E9085" s="1" t="str">
        <f>HYPERLINK("http://www.ncbi.nlm.nih.gov/gene/?term=CYP27B1","NCBI")</f>
        <v>NCBI</v>
      </c>
      <c r="F9085">
        <v>0.17</v>
      </c>
      <c r="G9085">
        <v>0.31</v>
      </c>
      <c r="H9085" s="1" t="str">
        <f>HYPERLINK("http://www.weizmann.ac.il/complex/compphys/software/geview/data/figures/205676_at.png","Figure")</f>
        <v>Figure</v>
      </c>
      <c r="I9085">
        <v>1.0900000000000001</v>
      </c>
      <c r="J9085">
        <v>0.39</v>
      </c>
      <c r="K9085">
        <v>0.96799999999999997</v>
      </c>
      <c r="L9085">
        <v>0.83</v>
      </c>
      <c r="M9085">
        <v>0.88900000000000001</v>
      </c>
      <c r="N9085">
        <v>0.15</v>
      </c>
    </row>
    <row r="9086" spans="1:14" x14ac:dyDescent="0.25">
      <c r="A9086" t="s">
        <v>15971</v>
      </c>
      <c r="B9086" t="s">
        <v>9712</v>
      </c>
      <c r="C9086" s="1" t="str">
        <f>HYPERLINK("http://www.genecards.org/cgi-bin/carddisp.pl?gene=ALPPL2","GeneCards")</f>
        <v>GeneCards</v>
      </c>
      <c r="D9086" s="1" t="str">
        <f>HYPERLINK("http://genome-euro.ucsc.edu/cgi-bin/hgTracks?position=216377_x_at","UCSC")</f>
        <v>UCSC</v>
      </c>
      <c r="E9086" s="1" t="str">
        <f>HYPERLINK("http://www.ncbi.nlm.nih.gov/gene/?term=ALPPL2","NCBI")</f>
        <v>NCBI</v>
      </c>
      <c r="F9086">
        <v>0.17</v>
      </c>
      <c r="G9086">
        <v>0.31</v>
      </c>
      <c r="H9086" s="1" t="str">
        <f>HYPERLINK("http://www.weizmann.ac.il/complex/compphys/software/geview/data/figures/216377_x_at.png","Figure")</f>
        <v>Figure</v>
      </c>
      <c r="I9086">
        <v>1.2</v>
      </c>
      <c r="J9086">
        <v>0.15</v>
      </c>
      <c r="K9086">
        <v>1.1000000000000001</v>
      </c>
      <c r="L9086">
        <v>0.49</v>
      </c>
      <c r="M9086">
        <v>0.91500000000000004</v>
      </c>
      <c r="N9086">
        <v>0.55000000000000004</v>
      </c>
    </row>
    <row r="9087" spans="1:14" x14ac:dyDescent="0.25">
      <c r="A9087" t="s">
        <v>15972</v>
      </c>
      <c r="B9087" t="s">
        <v>15973</v>
      </c>
      <c r="C9087" s="1" t="str">
        <f>HYPERLINK("http://www.genecards.org/cgi-bin/carddisp.pl?gene=CCDC109B","GeneCards")</f>
        <v>GeneCards</v>
      </c>
      <c r="D9087" s="1" t="str">
        <f>HYPERLINK("http://genome-euro.ucsc.edu/cgi-bin/hgTracks?position=218802_at","UCSC")</f>
        <v>UCSC</v>
      </c>
      <c r="E9087" s="1" t="str">
        <f>HYPERLINK("http://www.ncbi.nlm.nih.gov/gene/?term=CCDC109B","NCBI")</f>
        <v>NCBI</v>
      </c>
      <c r="F9087">
        <v>0.17</v>
      </c>
      <c r="G9087">
        <v>0.31</v>
      </c>
      <c r="H9087" s="1" t="str">
        <f>HYPERLINK("http://www.weizmann.ac.il/complex/compphys/software/geview/data/figures/218802_at.png","Figure")</f>
        <v>Figure</v>
      </c>
      <c r="I9087">
        <v>0.95699999999999996</v>
      </c>
      <c r="J9087">
        <v>0.99</v>
      </c>
      <c r="K9087">
        <v>1.55</v>
      </c>
      <c r="L9087">
        <v>0.25</v>
      </c>
      <c r="M9087">
        <v>1.62</v>
      </c>
      <c r="N9087">
        <v>0.24</v>
      </c>
    </row>
    <row r="9088" spans="1:14" x14ac:dyDescent="0.25">
      <c r="A9088" t="s">
        <v>15974</v>
      </c>
      <c r="B9088" t="s">
        <v>5150</v>
      </c>
      <c r="C9088" s="1" t="str">
        <f>HYPERLINK("http://www.genecards.org/cgi-bin/carddisp.pl?gene=H2AFV","GeneCards")</f>
        <v>GeneCards</v>
      </c>
      <c r="D9088" s="1" t="str">
        <f>HYPERLINK("http://genome-euro.ucsc.edu/cgi-bin/hgTracks?position=212206_s_at","UCSC")</f>
        <v>UCSC</v>
      </c>
      <c r="E9088" s="1" t="str">
        <f>HYPERLINK("http://www.ncbi.nlm.nih.gov/gene/?term=H2AFV","NCBI")</f>
        <v>NCBI</v>
      </c>
      <c r="F9088">
        <v>0.17</v>
      </c>
      <c r="G9088">
        <v>0.31</v>
      </c>
      <c r="H9088" s="1" t="str">
        <f>HYPERLINK("http://www.weizmann.ac.il/complex/compphys/software/geview/data/figures/212206_s_at.png","Figure")</f>
        <v>Figure</v>
      </c>
      <c r="I9088">
        <v>1.01</v>
      </c>
      <c r="J9088">
        <v>0.99</v>
      </c>
      <c r="K9088">
        <v>0.84399999999999997</v>
      </c>
      <c r="L9088">
        <v>0.25</v>
      </c>
      <c r="M9088">
        <v>0.83299999999999996</v>
      </c>
      <c r="N9088">
        <v>0.24</v>
      </c>
    </row>
    <row r="9089" spans="1:14" x14ac:dyDescent="0.25">
      <c r="A9089" t="s">
        <v>15975</v>
      </c>
      <c r="B9089" t="s">
        <v>15976</v>
      </c>
      <c r="C9089" s="1" t="str">
        <f>HYPERLINK("http://www.genecards.org/cgi-bin/carddisp.pl?gene=WBP2","GeneCards")</f>
        <v>GeneCards</v>
      </c>
      <c r="D9089" s="1" t="str">
        <f>HYPERLINK("http://genome-euro.ucsc.edu/cgi-bin/hgTracks?position=209117_at","UCSC")</f>
        <v>UCSC</v>
      </c>
      <c r="E9089" s="1" t="str">
        <f>HYPERLINK("http://www.ncbi.nlm.nih.gov/gene/?term=WBP2","NCBI")</f>
        <v>NCBI</v>
      </c>
      <c r="F9089">
        <v>0.17</v>
      </c>
      <c r="G9089">
        <v>0.31</v>
      </c>
      <c r="H9089" s="1" t="str">
        <f>HYPERLINK("http://www.weizmann.ac.il/complex/compphys/software/geview/data/figures/209117_at.png","Figure")</f>
        <v>Figure</v>
      </c>
      <c r="I9089">
        <v>0.70899999999999996</v>
      </c>
      <c r="J9089">
        <v>0.2</v>
      </c>
      <c r="K9089">
        <v>0.97</v>
      </c>
      <c r="L9089">
        <v>0.98</v>
      </c>
      <c r="M9089">
        <v>1.37</v>
      </c>
      <c r="N9089">
        <v>0.21</v>
      </c>
    </row>
    <row r="9090" spans="1:14" x14ac:dyDescent="0.25">
      <c r="A9090" t="s">
        <v>15977</v>
      </c>
      <c r="B9090" t="s">
        <v>7642</v>
      </c>
      <c r="C9090" s="1" t="str">
        <f>HYPERLINK("http://www.genecards.org/cgi-bin/carddisp.pl?gene=PLEKHG3","GeneCards")</f>
        <v>GeneCards</v>
      </c>
      <c r="D9090" s="1" t="str">
        <f>HYPERLINK("http://genome-euro.ucsc.edu/cgi-bin/hgTracks?position=212821_at","UCSC")</f>
        <v>UCSC</v>
      </c>
      <c r="E9090" s="1" t="str">
        <f>HYPERLINK("http://www.ncbi.nlm.nih.gov/gene/?term=PLEKHG3","NCBI")</f>
        <v>NCBI</v>
      </c>
      <c r="F9090">
        <v>0.17</v>
      </c>
      <c r="G9090">
        <v>0.31</v>
      </c>
      <c r="H9090" s="1" t="str">
        <f>HYPERLINK("http://www.weizmann.ac.il/complex/compphys/software/geview/data/figures/212821_at.png","Figure")</f>
        <v>Figure</v>
      </c>
      <c r="I9090">
        <v>1.05</v>
      </c>
      <c r="J9090">
        <v>0.46</v>
      </c>
      <c r="K9090">
        <v>1.07</v>
      </c>
      <c r="L9090">
        <v>0.15</v>
      </c>
      <c r="M9090">
        <v>1.02</v>
      </c>
      <c r="N9090">
        <v>0.84</v>
      </c>
    </row>
    <row r="9091" spans="1:14" x14ac:dyDescent="0.25">
      <c r="A9091" t="s">
        <v>15978</v>
      </c>
      <c r="B9091" t="s">
        <v>15979</v>
      </c>
      <c r="C9091" s="1" t="str">
        <f>HYPERLINK("http://www.genecards.org/cgi-bin/carddisp.pl?gene=KDM4C","GeneCards")</f>
        <v>GeneCards</v>
      </c>
      <c r="D9091" s="1" t="str">
        <f>HYPERLINK("http://genome-euro.ucsc.edu/cgi-bin/hgTracks?position=209984_at","UCSC")</f>
        <v>UCSC</v>
      </c>
      <c r="E9091" s="1" t="str">
        <f>HYPERLINK("http://www.ncbi.nlm.nih.gov/gene/?term=KDM4C","NCBI")</f>
        <v>NCBI</v>
      </c>
      <c r="F9091">
        <v>0.17</v>
      </c>
      <c r="G9091">
        <v>0.31</v>
      </c>
      <c r="H9091" s="1" t="str">
        <f>HYPERLINK("http://www.weizmann.ac.il/complex/compphys/software/geview/data/figures/209984_at.png","Figure")</f>
        <v>Figure</v>
      </c>
      <c r="I9091">
        <v>1.01</v>
      </c>
      <c r="J9091">
        <v>1</v>
      </c>
      <c r="K9091">
        <v>1.35</v>
      </c>
      <c r="L9091">
        <v>0.22</v>
      </c>
      <c r="M9091">
        <v>1.34</v>
      </c>
      <c r="N9091">
        <v>0.28000000000000003</v>
      </c>
    </row>
    <row r="9092" spans="1:14" x14ac:dyDescent="0.25">
      <c r="A9092" t="s">
        <v>15980</v>
      </c>
      <c r="B9092" t="s">
        <v>13734</v>
      </c>
      <c r="C9092" s="1" t="str">
        <f>HYPERLINK("http://www.genecards.org/cgi-bin/carddisp.pl?gene=GRHPR","GeneCards")</f>
        <v>GeneCards</v>
      </c>
      <c r="D9092" s="1" t="str">
        <f>HYPERLINK("http://genome-euro.ucsc.edu/cgi-bin/hgTracks?position=214864_s_at","UCSC")</f>
        <v>UCSC</v>
      </c>
      <c r="E9092" s="1" t="str">
        <f>HYPERLINK("http://www.ncbi.nlm.nih.gov/gene/?term=GRHPR","NCBI")</f>
        <v>NCBI</v>
      </c>
      <c r="F9092">
        <v>0.17</v>
      </c>
      <c r="G9092">
        <v>0.31</v>
      </c>
      <c r="H9092" s="1" t="str">
        <f>HYPERLINK("http://www.weizmann.ac.il/complex/compphys/software/geview/data/figures/214864_s_at.png","Figure")</f>
        <v>Figure</v>
      </c>
      <c r="I9092">
        <v>0.79800000000000004</v>
      </c>
      <c r="J9092">
        <v>0.53</v>
      </c>
      <c r="K9092">
        <v>1.17</v>
      </c>
      <c r="L9092">
        <v>0.65</v>
      </c>
      <c r="M9092">
        <v>1.47</v>
      </c>
      <c r="N9092">
        <v>0.15</v>
      </c>
    </row>
    <row r="9093" spans="1:14" x14ac:dyDescent="0.25">
      <c r="A9093" t="s">
        <v>15981</v>
      </c>
      <c r="B9093" s="3">
        <v>42615</v>
      </c>
      <c r="C9093" s="1" t="str">
        <f>HYPERLINK("http://www.genecards.org/cgi-bin/carddisp.pl?gene=2-Sep","GeneCards")</f>
        <v>GeneCards</v>
      </c>
      <c r="D9093" s="1" t="str">
        <f>HYPERLINK("http://genome-euro.ucsc.edu/cgi-bin/hgTracks?position=200015_s_at","UCSC")</f>
        <v>UCSC</v>
      </c>
      <c r="E9093" s="1" t="str">
        <f>HYPERLINK("http://www.ncbi.nlm.nih.gov/gene/?term=2-Sep","NCBI")</f>
        <v>NCBI</v>
      </c>
      <c r="F9093">
        <v>0.17</v>
      </c>
      <c r="G9093">
        <v>0.31</v>
      </c>
      <c r="H9093" s="1" t="str">
        <f>HYPERLINK("http://www.weizmann.ac.il/complex/compphys/software/geview/data/figures/200015_s_at.png","Figure")</f>
        <v>Figure</v>
      </c>
      <c r="I9093">
        <v>0.69399999999999995</v>
      </c>
      <c r="J9093">
        <v>0.32</v>
      </c>
      <c r="K9093">
        <v>0.66400000000000003</v>
      </c>
      <c r="L9093">
        <v>0.17</v>
      </c>
      <c r="M9093">
        <v>0.95799999999999996</v>
      </c>
      <c r="N9093">
        <v>0.98</v>
      </c>
    </row>
    <row r="9094" spans="1:14" x14ac:dyDescent="0.25">
      <c r="A9094" t="s">
        <v>15982</v>
      </c>
      <c r="B9094" t="s">
        <v>3569</v>
      </c>
      <c r="C9094" s="1" t="str">
        <f>HYPERLINK("http://www.genecards.org/cgi-bin/carddisp.pl?gene=LARP1","GeneCards")</f>
        <v>GeneCards</v>
      </c>
      <c r="D9094" s="1" t="str">
        <f>HYPERLINK("http://genome-euro.ucsc.edu/cgi-bin/hgTracks?position=212137_at","UCSC")</f>
        <v>UCSC</v>
      </c>
      <c r="E9094" s="1" t="str">
        <f>HYPERLINK("http://www.ncbi.nlm.nih.gov/gene/?term=LARP1","NCBI")</f>
        <v>NCBI</v>
      </c>
      <c r="F9094">
        <v>0.17</v>
      </c>
      <c r="G9094">
        <v>0.31</v>
      </c>
      <c r="H9094" s="1" t="str">
        <f>HYPERLINK("http://www.weizmann.ac.il/complex/compphys/software/geview/data/figures/212137_at.png","Figure")</f>
        <v>Figure</v>
      </c>
      <c r="I9094">
        <v>0.873</v>
      </c>
      <c r="J9094">
        <v>0.81</v>
      </c>
      <c r="K9094">
        <v>1.29</v>
      </c>
      <c r="L9094">
        <v>0.4</v>
      </c>
      <c r="M9094">
        <v>1.47</v>
      </c>
      <c r="N9094">
        <v>0.17</v>
      </c>
    </row>
    <row r="9095" spans="1:14" x14ac:dyDescent="0.25">
      <c r="A9095" t="s">
        <v>15983</v>
      </c>
      <c r="B9095" t="s">
        <v>3617</v>
      </c>
      <c r="C9095" s="1" t="str">
        <f>HYPERLINK("http://www.genecards.org/cgi-bin/carddisp.pl?gene=SFPQ","GeneCards")</f>
        <v>GeneCards</v>
      </c>
      <c r="D9095" s="1" t="str">
        <f>HYPERLINK("http://genome-euro.ucsc.edu/cgi-bin/hgTracks?position=201585_s_at","UCSC")</f>
        <v>UCSC</v>
      </c>
      <c r="E9095" s="1" t="str">
        <f>HYPERLINK("http://www.ncbi.nlm.nih.gov/gene/?term=SFPQ","NCBI")</f>
        <v>NCBI</v>
      </c>
      <c r="F9095">
        <v>0.17</v>
      </c>
      <c r="G9095">
        <v>0.31</v>
      </c>
      <c r="H9095" s="1" t="str">
        <f>HYPERLINK("http://www.weizmann.ac.il/complex/compphys/software/geview/data/figures/201585_s_at.png","Figure")</f>
        <v>Figure</v>
      </c>
      <c r="I9095">
        <v>1.19</v>
      </c>
      <c r="J9095">
        <v>0.59</v>
      </c>
      <c r="K9095">
        <v>0.85899999999999999</v>
      </c>
      <c r="L9095">
        <v>0.59</v>
      </c>
      <c r="M9095">
        <v>0.72199999999999998</v>
      </c>
      <c r="N9095">
        <v>0.15</v>
      </c>
    </row>
    <row r="9096" spans="1:14" x14ac:dyDescent="0.25">
      <c r="A9096" t="s">
        <v>15984</v>
      </c>
      <c r="B9096" t="s">
        <v>15985</v>
      </c>
      <c r="C9096" s="1" t="str">
        <f>HYPERLINK("http://www.genecards.org/cgi-bin/carddisp.pl?gene=PRKCSH","GeneCards")</f>
        <v>GeneCards</v>
      </c>
      <c r="D9096" s="1" t="str">
        <f>HYPERLINK("http://genome-euro.ucsc.edu/cgi-bin/hgTracks?position=214080_x_at","UCSC")</f>
        <v>UCSC</v>
      </c>
      <c r="E9096" s="1" t="str">
        <f>HYPERLINK("http://www.ncbi.nlm.nih.gov/gene/?term=PRKCSH","NCBI")</f>
        <v>NCBI</v>
      </c>
      <c r="F9096">
        <v>0.17</v>
      </c>
      <c r="G9096">
        <v>0.31</v>
      </c>
      <c r="H9096" s="1" t="str">
        <f>HYPERLINK("http://www.weizmann.ac.il/complex/compphys/software/geview/data/figures/214080_x_at.png","Figure")</f>
        <v>Figure</v>
      </c>
      <c r="I9096">
        <v>1.32</v>
      </c>
      <c r="J9096">
        <v>0.17</v>
      </c>
      <c r="K9096">
        <v>1.22</v>
      </c>
      <c r="L9096">
        <v>0.3</v>
      </c>
      <c r="M9096">
        <v>0.92300000000000004</v>
      </c>
      <c r="N9096">
        <v>0.83</v>
      </c>
    </row>
    <row r="9097" spans="1:14" x14ac:dyDescent="0.25">
      <c r="A9097" t="s">
        <v>15986</v>
      </c>
      <c r="B9097" t="s">
        <v>15987</v>
      </c>
      <c r="C9097" s="1" t="str">
        <f>HYPERLINK("http://www.genecards.org/cgi-bin/carddisp.pl?gene=YWHAZ","GeneCards")</f>
        <v>GeneCards</v>
      </c>
      <c r="D9097" s="1" t="str">
        <f>HYPERLINK("http://genome-euro.ucsc.edu/cgi-bin/hgTracks?position=200639_s_at","UCSC")</f>
        <v>UCSC</v>
      </c>
      <c r="E9097" s="1" t="str">
        <f>HYPERLINK("http://www.ncbi.nlm.nih.gov/gene/?term=YWHAZ","NCBI")</f>
        <v>NCBI</v>
      </c>
      <c r="F9097">
        <v>0.17</v>
      </c>
      <c r="G9097">
        <v>0.31</v>
      </c>
      <c r="H9097" s="1" t="str">
        <f>HYPERLINK("http://www.weizmann.ac.il/complex/compphys/software/geview/data/figures/200639_s_at.png","Figure")</f>
        <v>Figure</v>
      </c>
      <c r="I9097">
        <v>0.80700000000000005</v>
      </c>
      <c r="J9097">
        <v>0.44</v>
      </c>
      <c r="K9097">
        <v>1.1100000000000001</v>
      </c>
      <c r="L9097">
        <v>0.76</v>
      </c>
      <c r="M9097">
        <v>1.38</v>
      </c>
      <c r="N9097">
        <v>0.15</v>
      </c>
    </row>
    <row r="9098" spans="1:14" x14ac:dyDescent="0.25">
      <c r="A9098" t="s">
        <v>15988</v>
      </c>
      <c r="B9098" t="s">
        <v>15461</v>
      </c>
      <c r="C9098" s="1" t="str">
        <f>HYPERLINK("http://www.genecards.org/cgi-bin/carddisp.pl?gene=AMFR","GeneCards")</f>
        <v>GeneCards</v>
      </c>
      <c r="D9098" s="1" t="str">
        <f>HYPERLINK("http://genome-euro.ucsc.edu/cgi-bin/hgTracks?position=202204_s_at","UCSC")</f>
        <v>UCSC</v>
      </c>
      <c r="E9098" s="1" t="str">
        <f>HYPERLINK("http://www.ncbi.nlm.nih.gov/gene/?term=AMFR","NCBI")</f>
        <v>NCBI</v>
      </c>
      <c r="F9098">
        <v>0.17</v>
      </c>
      <c r="G9098">
        <v>0.31</v>
      </c>
      <c r="H9098" s="1" t="str">
        <f>HYPERLINK("http://www.weizmann.ac.il/complex/compphys/software/geview/data/figures/202204_s_at.png","Figure")</f>
        <v>Figure</v>
      </c>
      <c r="I9098">
        <v>1.03</v>
      </c>
      <c r="J9098">
        <v>0.94</v>
      </c>
      <c r="K9098">
        <v>0.89900000000000002</v>
      </c>
      <c r="L9098">
        <v>0.31</v>
      </c>
      <c r="M9098">
        <v>0.874</v>
      </c>
      <c r="N9098">
        <v>0.2</v>
      </c>
    </row>
    <row r="9099" spans="1:14" x14ac:dyDescent="0.25">
      <c r="A9099" t="s">
        <v>15989</v>
      </c>
      <c r="B9099" t="s">
        <v>15990</v>
      </c>
      <c r="C9099" s="1" t="str">
        <f>HYPERLINK("http://www.genecards.org/cgi-bin/carddisp.pl?gene=FMO4","GeneCards")</f>
        <v>GeneCards</v>
      </c>
      <c r="D9099" s="1" t="str">
        <f>HYPERLINK("http://genome-euro.ucsc.edu/cgi-bin/hgTracks?position=206263_at","UCSC")</f>
        <v>UCSC</v>
      </c>
      <c r="E9099" s="1" t="str">
        <f>HYPERLINK("http://www.ncbi.nlm.nih.gov/gene/?term=FMO4","NCBI")</f>
        <v>NCBI</v>
      </c>
      <c r="F9099">
        <v>0.17</v>
      </c>
      <c r="G9099">
        <v>0.31</v>
      </c>
      <c r="H9099" s="1" t="str">
        <f>HYPERLINK("http://www.weizmann.ac.il/complex/compphys/software/geview/data/figures/206263_at.png","Figure")</f>
        <v>Figure</v>
      </c>
      <c r="I9099">
        <v>1.21</v>
      </c>
      <c r="J9099">
        <v>0.27</v>
      </c>
      <c r="K9099">
        <v>0.97799999999999998</v>
      </c>
      <c r="L9099">
        <v>0.97</v>
      </c>
      <c r="M9099">
        <v>0.81</v>
      </c>
      <c r="N9099">
        <v>0.17</v>
      </c>
    </row>
    <row r="9100" spans="1:14" x14ac:dyDescent="0.25">
      <c r="A9100" t="s">
        <v>15991</v>
      </c>
      <c r="B9100" t="s">
        <v>15992</v>
      </c>
      <c r="C9100" s="1" t="str">
        <f>HYPERLINK("http://www.genecards.org/cgi-bin/carddisp.pl?gene=KIAA0513","GeneCards")</f>
        <v>GeneCards</v>
      </c>
      <c r="D9100" s="1" t="str">
        <f>HYPERLINK("http://genome-euro.ucsc.edu/cgi-bin/hgTracks?position=204546_at","UCSC")</f>
        <v>UCSC</v>
      </c>
      <c r="E9100" s="1" t="str">
        <f>HYPERLINK("http://www.ncbi.nlm.nih.gov/gene/?term=KIAA0513","NCBI")</f>
        <v>NCBI</v>
      </c>
      <c r="F9100">
        <v>0.17</v>
      </c>
      <c r="G9100">
        <v>0.31</v>
      </c>
      <c r="H9100" s="1" t="str">
        <f>HYPERLINK("http://www.weizmann.ac.il/complex/compphys/software/geview/data/figures/204546_at.png","Figure")</f>
        <v>Figure</v>
      </c>
      <c r="I9100">
        <v>0.90600000000000003</v>
      </c>
      <c r="J9100">
        <v>0.25</v>
      </c>
      <c r="K9100">
        <v>1.01</v>
      </c>
      <c r="L9100">
        <v>0.99</v>
      </c>
      <c r="M9100">
        <v>1.1100000000000001</v>
      </c>
      <c r="N9100">
        <v>0.17</v>
      </c>
    </row>
    <row r="9101" spans="1:14" x14ac:dyDescent="0.25">
      <c r="A9101" t="s">
        <v>15993</v>
      </c>
      <c r="B9101" t="s">
        <v>15994</v>
      </c>
      <c r="C9101" s="1" t="str">
        <f>HYPERLINK("http://www.genecards.org/cgi-bin/carddisp.pl?gene=MMP2","GeneCards")</f>
        <v>GeneCards</v>
      </c>
      <c r="D9101" s="1" t="str">
        <f>HYPERLINK("http://genome-euro.ucsc.edu/cgi-bin/hgTracks?position=201069_at","UCSC")</f>
        <v>UCSC</v>
      </c>
      <c r="E9101" s="1" t="str">
        <f>HYPERLINK("http://www.ncbi.nlm.nih.gov/gene/?term=MMP2","NCBI")</f>
        <v>NCBI</v>
      </c>
      <c r="F9101">
        <v>0.17</v>
      </c>
      <c r="G9101">
        <v>0.31</v>
      </c>
      <c r="H9101" s="1" t="str">
        <f>HYPERLINK("http://www.weizmann.ac.il/complex/compphys/software/geview/data/figures/201069_at.png","Figure")</f>
        <v>Figure</v>
      </c>
      <c r="I9101">
        <v>1.1200000000000001</v>
      </c>
      <c r="J9101">
        <v>0.25</v>
      </c>
      <c r="K9101">
        <v>0.99299999999999999</v>
      </c>
      <c r="L9101">
        <v>0.99</v>
      </c>
      <c r="M9101">
        <v>0.88300000000000001</v>
      </c>
      <c r="N9101">
        <v>0.18</v>
      </c>
    </row>
    <row r="9102" spans="1:14" x14ac:dyDescent="0.25">
      <c r="A9102" t="s">
        <v>15995</v>
      </c>
      <c r="B9102" t="s">
        <v>15996</v>
      </c>
      <c r="C9102" s="1" t="str">
        <f>HYPERLINK("http://www.genecards.org/cgi-bin/carddisp.pl?gene=ACSL1","GeneCards")</f>
        <v>GeneCards</v>
      </c>
      <c r="D9102" s="1" t="str">
        <f>HYPERLINK("http://genome-euro.ucsc.edu/cgi-bin/hgTracks?position=201963_at","UCSC")</f>
        <v>UCSC</v>
      </c>
      <c r="E9102" s="1" t="str">
        <f>HYPERLINK("http://www.ncbi.nlm.nih.gov/gene/?term=ACSL1","NCBI")</f>
        <v>NCBI</v>
      </c>
      <c r="F9102">
        <v>0.17</v>
      </c>
      <c r="G9102">
        <v>0.31</v>
      </c>
      <c r="H9102" s="1" t="str">
        <f>HYPERLINK("http://www.weizmann.ac.il/complex/compphys/software/geview/data/figures/201963_at.png","Figure")</f>
        <v>Figure</v>
      </c>
      <c r="I9102">
        <v>0.98399999999999999</v>
      </c>
      <c r="J9102">
        <v>1</v>
      </c>
      <c r="K9102">
        <v>0.42899999999999999</v>
      </c>
      <c r="L9102">
        <v>0.22</v>
      </c>
      <c r="M9102">
        <v>0.436</v>
      </c>
      <c r="N9102">
        <v>0.28000000000000003</v>
      </c>
    </row>
    <row r="9103" spans="1:14" x14ac:dyDescent="0.25">
      <c r="A9103" t="s">
        <v>15997</v>
      </c>
      <c r="B9103" t="s">
        <v>15998</v>
      </c>
      <c r="C9103" s="1" t="str">
        <f>HYPERLINK("http://www.genecards.org/cgi-bin/carddisp.pl?gene=MSR1","GeneCards")</f>
        <v>GeneCards</v>
      </c>
      <c r="D9103" s="1" t="str">
        <f>HYPERLINK("http://genome-euro.ucsc.edu/cgi-bin/hgTracks?position=211887_x_at","UCSC")</f>
        <v>UCSC</v>
      </c>
      <c r="E9103" s="1" t="str">
        <f>HYPERLINK("http://www.ncbi.nlm.nih.gov/gene/?term=MSR1","NCBI")</f>
        <v>NCBI</v>
      </c>
      <c r="F9103">
        <v>0.17</v>
      </c>
      <c r="G9103">
        <v>0.31</v>
      </c>
      <c r="H9103" s="1" t="str">
        <f>HYPERLINK("http://www.weizmann.ac.il/complex/compphys/software/geview/data/figures/211887_x_at.png","Figure")</f>
        <v>Figure</v>
      </c>
      <c r="I9103">
        <v>0.98799999999999999</v>
      </c>
      <c r="J9103">
        <v>0.89</v>
      </c>
      <c r="K9103">
        <v>0.95599999999999996</v>
      </c>
      <c r="L9103">
        <v>0.17</v>
      </c>
      <c r="M9103">
        <v>0.96799999999999997</v>
      </c>
      <c r="N9103">
        <v>0.41</v>
      </c>
    </row>
    <row r="9104" spans="1:14" x14ac:dyDescent="0.25">
      <c r="A9104" t="s">
        <v>15999</v>
      </c>
      <c r="B9104" t="s">
        <v>7778</v>
      </c>
      <c r="C9104" s="1" t="str">
        <f>HYPERLINK("http://www.genecards.org/cgi-bin/carddisp.pl?gene=TCF25","GeneCards")</f>
        <v>GeneCards</v>
      </c>
      <c r="D9104" s="1" t="str">
        <f>HYPERLINK("http://genome-euro.ucsc.edu/cgi-bin/hgTracks?position=221495_s_at","UCSC")</f>
        <v>UCSC</v>
      </c>
      <c r="E9104" s="1" t="str">
        <f>HYPERLINK("http://www.ncbi.nlm.nih.gov/gene/?term=TCF25","NCBI")</f>
        <v>NCBI</v>
      </c>
      <c r="F9104">
        <v>0.17</v>
      </c>
      <c r="G9104">
        <v>0.31</v>
      </c>
      <c r="H9104" s="1" t="str">
        <f>HYPERLINK("http://www.weizmann.ac.il/complex/compphys/software/geview/data/figures/221495_s_at.png","Figure")</f>
        <v>Figure</v>
      </c>
      <c r="I9104">
        <v>1.2</v>
      </c>
      <c r="J9104">
        <v>0.22</v>
      </c>
      <c r="K9104">
        <v>1.17</v>
      </c>
      <c r="L9104">
        <v>0.22</v>
      </c>
      <c r="M9104">
        <v>0.97799999999999998</v>
      </c>
      <c r="N9104">
        <v>0.97</v>
      </c>
    </row>
    <row r="9105" spans="1:14" x14ac:dyDescent="0.25">
      <c r="A9105" t="s">
        <v>16000</v>
      </c>
      <c r="B9105" t="s">
        <v>16001</v>
      </c>
      <c r="C9105" s="1" t="str">
        <f>HYPERLINK("http://www.genecards.org/cgi-bin/carddisp.pl?gene=LAIR2","GeneCards")</f>
        <v>GeneCards</v>
      </c>
      <c r="D9105" s="1" t="str">
        <f>HYPERLINK("http://genome-euro.ucsc.edu/cgi-bin/hgTracks?position=207509_s_at","UCSC")</f>
        <v>UCSC</v>
      </c>
      <c r="E9105" s="1" t="str">
        <f>HYPERLINK("http://www.ncbi.nlm.nih.gov/gene/?term=LAIR2","NCBI")</f>
        <v>NCBI</v>
      </c>
      <c r="F9105">
        <v>0.17</v>
      </c>
      <c r="G9105">
        <v>0.31</v>
      </c>
      <c r="H9105" s="1" t="str">
        <f>HYPERLINK("http://www.weizmann.ac.il/complex/compphys/software/geview/data/figures/207509_s_at.png","Figure")</f>
        <v>Figure</v>
      </c>
      <c r="I9105">
        <v>0.83199999999999996</v>
      </c>
      <c r="J9105">
        <v>0.18</v>
      </c>
      <c r="K9105">
        <v>0.875</v>
      </c>
      <c r="L9105">
        <v>0.28999999999999998</v>
      </c>
      <c r="M9105">
        <v>1.05</v>
      </c>
      <c r="N9105">
        <v>0.85</v>
      </c>
    </row>
    <row r="9106" spans="1:14" x14ac:dyDescent="0.25">
      <c r="A9106" t="s">
        <v>16002</v>
      </c>
      <c r="B9106" t="s">
        <v>16003</v>
      </c>
      <c r="C9106" s="1" t="str">
        <f>HYPERLINK("http://www.genecards.org/cgi-bin/carddisp.pl?gene=TGFBI","GeneCards")</f>
        <v>GeneCards</v>
      </c>
      <c r="D9106" s="1" t="str">
        <f>HYPERLINK("http://genome-euro.ucsc.edu/cgi-bin/hgTracks?position=201506_at","UCSC")</f>
        <v>UCSC</v>
      </c>
      <c r="E9106" s="1" t="str">
        <f>HYPERLINK("http://www.ncbi.nlm.nih.gov/gene/?term=TGFBI","NCBI")</f>
        <v>NCBI</v>
      </c>
      <c r="F9106">
        <v>0.17</v>
      </c>
      <c r="G9106">
        <v>0.31</v>
      </c>
      <c r="H9106" s="1" t="str">
        <f>HYPERLINK("http://www.weizmann.ac.il/complex/compphys/software/geview/data/figures/201506_at.png","Figure")</f>
        <v>Figure</v>
      </c>
      <c r="I9106">
        <v>1.1299999999999999</v>
      </c>
      <c r="J9106">
        <v>0.17</v>
      </c>
      <c r="K9106">
        <v>1.03</v>
      </c>
      <c r="L9106">
        <v>0.87</v>
      </c>
      <c r="M9106">
        <v>0.91</v>
      </c>
      <c r="N9106">
        <v>0.28000000000000003</v>
      </c>
    </row>
    <row r="9107" spans="1:14" x14ac:dyDescent="0.25">
      <c r="A9107" t="s">
        <v>16004</v>
      </c>
      <c r="B9107" t="s">
        <v>11181</v>
      </c>
      <c r="C9107" s="1" t="str">
        <f>HYPERLINK("http://www.genecards.org/cgi-bin/carddisp.pl?gene=SCLY","GeneCards")</f>
        <v>GeneCards</v>
      </c>
      <c r="D9107" s="1" t="str">
        <f>HYPERLINK("http://genome-euro.ucsc.edu/cgi-bin/hgTracks?position=219808_at","UCSC")</f>
        <v>UCSC</v>
      </c>
      <c r="E9107" s="1" t="str">
        <f>HYPERLINK("http://www.ncbi.nlm.nih.gov/gene/?term=SCLY","NCBI")</f>
        <v>NCBI</v>
      </c>
      <c r="F9107">
        <v>0.17</v>
      </c>
      <c r="G9107">
        <v>0.31</v>
      </c>
      <c r="H9107" s="1" t="str">
        <f>HYPERLINK("http://www.weizmann.ac.il/complex/compphys/software/geview/data/figures/219808_at.png","Figure")</f>
        <v>Figure</v>
      </c>
      <c r="I9107">
        <v>1.2</v>
      </c>
      <c r="J9107">
        <v>0.15</v>
      </c>
      <c r="K9107">
        <v>1.06</v>
      </c>
      <c r="L9107">
        <v>0.78</v>
      </c>
      <c r="M9107">
        <v>0.88100000000000001</v>
      </c>
      <c r="N9107">
        <v>0.33</v>
      </c>
    </row>
    <row r="9108" spans="1:14" x14ac:dyDescent="0.25">
      <c r="A9108" t="s">
        <v>16005</v>
      </c>
      <c r="B9108" t="s">
        <v>1959</v>
      </c>
      <c r="C9108" s="1" t="str">
        <f>HYPERLINK("http://www.genecards.org/cgi-bin/carddisp.pl?gene=RPS6","GeneCards")</f>
        <v>GeneCards</v>
      </c>
      <c r="D9108" s="1" t="str">
        <f>HYPERLINK("http://genome-euro.ucsc.edu/cgi-bin/hgTracks?position=200081_s_at","UCSC")</f>
        <v>UCSC</v>
      </c>
      <c r="E9108" s="1" t="str">
        <f>HYPERLINK("http://www.ncbi.nlm.nih.gov/gene/?term=RPS6","NCBI")</f>
        <v>NCBI</v>
      </c>
      <c r="F9108">
        <v>0.17</v>
      </c>
      <c r="G9108">
        <v>0.32</v>
      </c>
      <c r="H9108" s="1" t="str">
        <f>HYPERLINK("http://www.weizmann.ac.il/complex/compphys/software/geview/data/figures/200081_s_at.png","Figure")</f>
        <v>Figure</v>
      </c>
      <c r="I9108">
        <v>0.68500000000000005</v>
      </c>
      <c r="J9108">
        <v>0.15</v>
      </c>
      <c r="K9108">
        <v>0.876</v>
      </c>
      <c r="L9108">
        <v>0.7</v>
      </c>
      <c r="M9108">
        <v>1.28</v>
      </c>
      <c r="N9108">
        <v>0.37</v>
      </c>
    </row>
    <row r="9109" spans="1:14" x14ac:dyDescent="0.25">
      <c r="A9109" t="s">
        <v>16006</v>
      </c>
      <c r="B9109" t="s">
        <v>16007</v>
      </c>
      <c r="C9109" s="1" t="str">
        <f>HYPERLINK("http://www.genecards.org/cgi-bin/carddisp.pl?gene=TOMM70A","GeneCards")</f>
        <v>GeneCards</v>
      </c>
      <c r="D9109" s="1" t="str">
        <f>HYPERLINK("http://genome-euro.ucsc.edu/cgi-bin/hgTracks?position=201512_s_at","UCSC")</f>
        <v>UCSC</v>
      </c>
      <c r="E9109" s="1" t="str">
        <f>HYPERLINK("http://www.ncbi.nlm.nih.gov/gene/?term=TOMM70A","NCBI")</f>
        <v>NCBI</v>
      </c>
      <c r="F9109">
        <v>0.17</v>
      </c>
      <c r="G9109">
        <v>0.32</v>
      </c>
      <c r="H9109" s="1" t="str">
        <f>HYPERLINK("http://www.weizmann.ac.il/complex/compphys/software/geview/data/figures/201512_s_at.png","Figure")</f>
        <v>Figure</v>
      </c>
      <c r="I9109">
        <v>0.98499999999999999</v>
      </c>
      <c r="J9109">
        <v>0.92</v>
      </c>
      <c r="K9109">
        <v>1.05</v>
      </c>
      <c r="L9109">
        <v>0.32</v>
      </c>
      <c r="M9109">
        <v>1.07</v>
      </c>
      <c r="N9109">
        <v>0.2</v>
      </c>
    </row>
    <row r="9110" spans="1:14" x14ac:dyDescent="0.25">
      <c r="A9110" t="s">
        <v>16008</v>
      </c>
      <c r="B9110" t="s">
        <v>16009</v>
      </c>
      <c r="C9110" s="1" t="str">
        <f>HYPERLINK("http://www.genecards.org/cgi-bin/carddisp.pl?gene=LOC81691","GeneCards")</f>
        <v>GeneCards</v>
      </c>
      <c r="D9110" s="1" t="str">
        <f>HYPERLINK("http://genome-euro.ucsc.edu/cgi-bin/hgTracks?position=208107_s_at","UCSC")</f>
        <v>UCSC</v>
      </c>
      <c r="E9110" s="1" t="str">
        <f>HYPERLINK("http://www.ncbi.nlm.nih.gov/gene/?term=LOC81691","NCBI")</f>
        <v>NCBI</v>
      </c>
      <c r="F9110">
        <v>0.17</v>
      </c>
      <c r="G9110">
        <v>0.32</v>
      </c>
      <c r="H9110" s="1" t="str">
        <f>HYPERLINK("http://www.weizmann.ac.il/complex/compphys/software/geview/data/figures/208107_s_at.png","Figure")</f>
        <v>Figure</v>
      </c>
      <c r="I9110">
        <v>1.1100000000000001</v>
      </c>
      <c r="J9110">
        <v>0.49</v>
      </c>
      <c r="K9110">
        <v>1.18</v>
      </c>
      <c r="L9110">
        <v>0.15</v>
      </c>
      <c r="M9110">
        <v>1.06</v>
      </c>
      <c r="N9110">
        <v>0.8</v>
      </c>
    </row>
    <row r="9111" spans="1:14" x14ac:dyDescent="0.25">
      <c r="A9111" t="s">
        <v>16010</v>
      </c>
      <c r="B9111" t="s">
        <v>12138</v>
      </c>
      <c r="C9111" s="1" t="str">
        <f>HYPERLINK("http://www.genecards.org/cgi-bin/carddisp.pl?gene=RTN4","GeneCards")</f>
        <v>GeneCards</v>
      </c>
      <c r="D9111" s="1" t="str">
        <f>HYPERLINK("http://genome-euro.ucsc.edu/cgi-bin/hgTracks?position=210968_s_at","UCSC")</f>
        <v>UCSC</v>
      </c>
      <c r="E9111" s="1" t="str">
        <f>HYPERLINK("http://www.ncbi.nlm.nih.gov/gene/?term=RTN4","NCBI")</f>
        <v>NCBI</v>
      </c>
      <c r="F9111">
        <v>0.17</v>
      </c>
      <c r="G9111">
        <v>0.32</v>
      </c>
      <c r="H9111" s="1" t="str">
        <f>HYPERLINK("http://www.weizmann.ac.il/complex/compphys/software/geview/data/figures/210968_s_at.png","Figure")</f>
        <v>Figure</v>
      </c>
      <c r="I9111">
        <v>0.86</v>
      </c>
      <c r="J9111">
        <v>0.63</v>
      </c>
      <c r="K9111">
        <v>1.17</v>
      </c>
      <c r="L9111">
        <v>0.55000000000000004</v>
      </c>
      <c r="M9111">
        <v>1.36</v>
      </c>
      <c r="N9111">
        <v>0.15</v>
      </c>
    </row>
    <row r="9112" spans="1:14" x14ac:dyDescent="0.25">
      <c r="A9112" t="s">
        <v>16011</v>
      </c>
      <c r="B9112" t="s">
        <v>11441</v>
      </c>
      <c r="C9112" s="1" t="str">
        <f>HYPERLINK("http://www.genecards.org/cgi-bin/carddisp.pl?gene=CLASP2","GeneCards")</f>
        <v>GeneCards</v>
      </c>
      <c r="D9112" s="1" t="str">
        <f>HYPERLINK("http://genome-euro.ucsc.edu/cgi-bin/hgTracks?position=212309_at","UCSC")</f>
        <v>UCSC</v>
      </c>
      <c r="E9112" s="1" t="str">
        <f>HYPERLINK("http://www.ncbi.nlm.nih.gov/gene/?term=CLASP2","NCBI")</f>
        <v>NCBI</v>
      </c>
      <c r="F9112">
        <v>0.17</v>
      </c>
      <c r="G9112">
        <v>0.32</v>
      </c>
      <c r="H9112" s="1" t="str">
        <f>HYPERLINK("http://www.weizmann.ac.il/complex/compphys/software/geview/data/figures/212309_at.png","Figure")</f>
        <v>Figure</v>
      </c>
      <c r="I9112">
        <v>0.77600000000000002</v>
      </c>
      <c r="J9112">
        <v>0.17</v>
      </c>
      <c r="K9112">
        <v>0.95299999999999996</v>
      </c>
      <c r="L9112">
        <v>0.91</v>
      </c>
      <c r="M9112">
        <v>1.23</v>
      </c>
      <c r="N9112">
        <v>0.26</v>
      </c>
    </row>
    <row r="9113" spans="1:14" x14ac:dyDescent="0.25">
      <c r="A9113" t="s">
        <v>16012</v>
      </c>
      <c r="B9113" t="s">
        <v>16013</v>
      </c>
      <c r="C9113" s="1" t="str">
        <f>HYPERLINK("http://www.genecards.org/cgi-bin/carddisp.pl?gene=GNS","GeneCards")</f>
        <v>GeneCards</v>
      </c>
      <c r="D9113" s="1" t="str">
        <f>HYPERLINK("http://genome-euro.ucsc.edu/cgi-bin/hgTracks?position=212334_at","UCSC")</f>
        <v>UCSC</v>
      </c>
      <c r="E9113" s="1" t="str">
        <f>HYPERLINK("http://www.ncbi.nlm.nih.gov/gene/?term=GNS","NCBI")</f>
        <v>NCBI</v>
      </c>
      <c r="F9113">
        <v>0.17</v>
      </c>
      <c r="G9113">
        <v>0.32</v>
      </c>
      <c r="H9113" s="1" t="str">
        <f>HYPERLINK("http://www.weizmann.ac.il/complex/compphys/software/geview/data/figures/212334_at.png","Figure")</f>
        <v>Figure</v>
      </c>
      <c r="I9113">
        <v>0.69099999999999995</v>
      </c>
      <c r="J9113">
        <v>0.16</v>
      </c>
      <c r="K9113">
        <v>0.78800000000000003</v>
      </c>
      <c r="L9113">
        <v>0.35</v>
      </c>
      <c r="M9113">
        <v>1.1399999999999999</v>
      </c>
      <c r="N9113">
        <v>0.74</v>
      </c>
    </row>
    <row r="9114" spans="1:14" x14ac:dyDescent="0.25">
      <c r="A9114" t="s">
        <v>16014</v>
      </c>
      <c r="B9114" t="s">
        <v>16015</v>
      </c>
      <c r="C9114" s="1" t="str">
        <f>HYPERLINK("http://www.genecards.org/cgi-bin/carddisp.pl?gene=AKT3","GeneCards")</f>
        <v>GeneCards</v>
      </c>
      <c r="D9114" s="1" t="str">
        <f>HYPERLINK("http://genome-euro.ucsc.edu/cgi-bin/hgTracks?position=212607_at","UCSC")</f>
        <v>UCSC</v>
      </c>
      <c r="E9114" s="1" t="str">
        <f>HYPERLINK("http://www.ncbi.nlm.nih.gov/gene/?term=AKT3","NCBI")</f>
        <v>NCBI</v>
      </c>
      <c r="F9114">
        <v>0.17</v>
      </c>
      <c r="G9114">
        <v>0.32</v>
      </c>
      <c r="H9114" s="1" t="str">
        <f>HYPERLINK("http://www.weizmann.ac.il/complex/compphys/software/geview/data/figures/212607_at.png","Figure")</f>
        <v>Figure</v>
      </c>
      <c r="I9114">
        <v>1.35</v>
      </c>
      <c r="J9114">
        <v>0.33</v>
      </c>
      <c r="K9114">
        <v>1.4</v>
      </c>
      <c r="L9114">
        <v>0.17</v>
      </c>
      <c r="M9114">
        <v>1.04</v>
      </c>
      <c r="N9114">
        <v>0.98</v>
      </c>
    </row>
    <row r="9115" spans="1:14" x14ac:dyDescent="0.25">
      <c r="A9115" t="s">
        <v>16016</v>
      </c>
      <c r="B9115" t="s">
        <v>16017</v>
      </c>
      <c r="C9115" s="1" t="str">
        <f>HYPERLINK("http://www.genecards.org/cgi-bin/carddisp.pl?gene=HSD17B8","GeneCards")</f>
        <v>GeneCards</v>
      </c>
      <c r="D9115" s="1" t="str">
        <f>HYPERLINK("http://genome-euro.ucsc.edu/cgi-bin/hgTracks?position=213540_at","UCSC")</f>
        <v>UCSC</v>
      </c>
      <c r="E9115" s="1" t="str">
        <f>HYPERLINK("http://www.ncbi.nlm.nih.gov/gene/?term=HSD17B8","NCBI")</f>
        <v>NCBI</v>
      </c>
      <c r="F9115">
        <v>0.17</v>
      </c>
      <c r="G9115">
        <v>0.32</v>
      </c>
      <c r="H9115" s="1" t="str">
        <f>HYPERLINK("http://www.weizmann.ac.il/complex/compphys/software/geview/data/figures/213540_at.png","Figure")</f>
        <v>Figure</v>
      </c>
      <c r="I9115">
        <v>0.80700000000000005</v>
      </c>
      <c r="J9115">
        <v>0.19</v>
      </c>
      <c r="K9115">
        <v>0.97699999999999998</v>
      </c>
      <c r="L9115">
        <v>0.97</v>
      </c>
      <c r="M9115">
        <v>1.21</v>
      </c>
      <c r="N9115">
        <v>0.22</v>
      </c>
    </row>
    <row r="9116" spans="1:14" x14ac:dyDescent="0.25">
      <c r="A9116" t="s">
        <v>16018</v>
      </c>
      <c r="B9116" t="s">
        <v>727</v>
      </c>
      <c r="C9116" s="1" t="str">
        <f>HYPERLINK("http://www.genecards.org/cgi-bin/carddisp.pl?gene=PGK1","GeneCards")</f>
        <v>GeneCards</v>
      </c>
      <c r="D9116" s="1" t="str">
        <f>HYPERLINK("http://genome-euro.ucsc.edu/cgi-bin/hgTracks?position=217383_at","UCSC")</f>
        <v>UCSC</v>
      </c>
      <c r="E9116" s="1" t="str">
        <f>HYPERLINK("http://www.ncbi.nlm.nih.gov/gene/?term=PGK1","NCBI")</f>
        <v>NCBI</v>
      </c>
      <c r="F9116">
        <v>0.17</v>
      </c>
      <c r="G9116">
        <v>0.32</v>
      </c>
      <c r="H9116" s="1" t="str">
        <f>HYPERLINK("http://www.weizmann.ac.il/complex/compphys/software/geview/data/figures/217383_at.png","Figure")</f>
        <v>Figure</v>
      </c>
      <c r="I9116">
        <v>1.05</v>
      </c>
      <c r="J9116">
        <v>0.31</v>
      </c>
      <c r="K9116">
        <v>1.06</v>
      </c>
      <c r="L9116">
        <v>0.17</v>
      </c>
      <c r="M9116">
        <v>1.01</v>
      </c>
      <c r="N9116">
        <v>0.99</v>
      </c>
    </row>
    <row r="9117" spans="1:14" x14ac:dyDescent="0.25">
      <c r="A9117" t="s">
        <v>16019</v>
      </c>
      <c r="B9117" t="s">
        <v>16020</v>
      </c>
      <c r="C9117" s="1" t="str">
        <f>HYPERLINK("http://www.genecards.org/cgi-bin/carddisp.pl?gene=WISP1","GeneCards")</f>
        <v>GeneCards</v>
      </c>
      <c r="D9117" s="1" t="str">
        <f>HYPERLINK("http://genome-euro.ucsc.edu/cgi-bin/hgTracks?position=211312_s_at","UCSC")</f>
        <v>UCSC</v>
      </c>
      <c r="E9117" s="1" t="str">
        <f>HYPERLINK("http://www.ncbi.nlm.nih.gov/gene/?term=WISP1","NCBI")</f>
        <v>NCBI</v>
      </c>
      <c r="F9117">
        <v>0.17</v>
      </c>
      <c r="G9117">
        <v>0.32</v>
      </c>
      <c r="H9117" s="1" t="str">
        <f>HYPERLINK("http://www.weizmann.ac.il/complex/compphys/software/geview/data/figures/211312_s_at.png","Figure")</f>
        <v>Figure</v>
      </c>
      <c r="I9117">
        <v>1.03</v>
      </c>
      <c r="J9117">
        <v>0.81</v>
      </c>
      <c r="K9117">
        <v>1.0900000000000001</v>
      </c>
      <c r="L9117">
        <v>0.16</v>
      </c>
      <c r="M9117">
        <v>1.06</v>
      </c>
      <c r="N9117">
        <v>0.49</v>
      </c>
    </row>
    <row r="9118" spans="1:14" x14ac:dyDescent="0.25">
      <c r="A9118" t="s">
        <v>16021</v>
      </c>
      <c r="B9118" t="s">
        <v>16022</v>
      </c>
      <c r="C9118" s="1" t="str">
        <f>HYPERLINK("http://www.genecards.org/cgi-bin/carddisp.pl?gene=SSRP1","GeneCards")</f>
        <v>GeneCards</v>
      </c>
      <c r="D9118" s="1" t="str">
        <f>HYPERLINK("http://genome-euro.ucsc.edu/cgi-bin/hgTracks?position=200957_s_at","UCSC")</f>
        <v>UCSC</v>
      </c>
      <c r="E9118" s="1" t="str">
        <f>HYPERLINK("http://www.ncbi.nlm.nih.gov/gene/?term=SSRP1","NCBI")</f>
        <v>NCBI</v>
      </c>
      <c r="F9118">
        <v>0.17</v>
      </c>
      <c r="G9118">
        <v>0.32</v>
      </c>
      <c r="H9118" s="1" t="str">
        <f>HYPERLINK("http://www.weizmann.ac.il/complex/compphys/software/geview/data/figures/200957_s_at.png","Figure")</f>
        <v>Figure</v>
      </c>
      <c r="I9118">
        <v>1.2</v>
      </c>
      <c r="J9118">
        <v>0.41</v>
      </c>
      <c r="K9118">
        <v>1.28</v>
      </c>
      <c r="L9118">
        <v>0.15</v>
      </c>
      <c r="M9118">
        <v>1.06</v>
      </c>
      <c r="N9118">
        <v>0.9</v>
      </c>
    </row>
    <row r="9119" spans="1:14" x14ac:dyDescent="0.25">
      <c r="A9119" t="s">
        <v>16023</v>
      </c>
      <c r="B9119" t="s">
        <v>10645</v>
      </c>
      <c r="C9119" s="1" t="str">
        <f>HYPERLINK("http://www.genecards.org/cgi-bin/carddisp.pl?gene=MEF2C","GeneCards")</f>
        <v>GeneCards</v>
      </c>
      <c r="D9119" s="1" t="str">
        <f>HYPERLINK("http://genome-euro.ucsc.edu/cgi-bin/hgTracks?position=209199_s_at","UCSC")</f>
        <v>UCSC</v>
      </c>
      <c r="E9119" s="1" t="str">
        <f>HYPERLINK("http://www.ncbi.nlm.nih.gov/gene/?term=MEF2C","NCBI")</f>
        <v>NCBI</v>
      </c>
      <c r="F9119">
        <v>0.17</v>
      </c>
      <c r="G9119">
        <v>0.32</v>
      </c>
      <c r="H9119" s="1" t="str">
        <f>HYPERLINK("http://www.weizmann.ac.il/complex/compphys/software/geview/data/figures/209199_s_at.png","Figure")</f>
        <v>Figure</v>
      </c>
      <c r="I9119">
        <v>0.57199999999999995</v>
      </c>
      <c r="J9119">
        <v>0.15</v>
      </c>
      <c r="K9119">
        <v>0.73199999999999998</v>
      </c>
      <c r="L9119">
        <v>0.43</v>
      </c>
      <c r="M9119">
        <v>1.28</v>
      </c>
      <c r="N9119">
        <v>0.62</v>
      </c>
    </row>
    <row r="9120" spans="1:14" x14ac:dyDescent="0.25">
      <c r="A9120" t="s">
        <v>16024</v>
      </c>
      <c r="B9120" t="s">
        <v>16025</v>
      </c>
      <c r="C9120" s="1" t="str">
        <f>HYPERLINK("http://www.genecards.org/cgi-bin/carddisp.pl?gene=PANX1","GeneCards")</f>
        <v>GeneCards</v>
      </c>
      <c r="D9120" s="1" t="str">
        <f>HYPERLINK("http://genome-euro.ucsc.edu/cgi-bin/hgTracks?position=204715_at","UCSC")</f>
        <v>UCSC</v>
      </c>
      <c r="E9120" s="1" t="str">
        <f>HYPERLINK("http://www.ncbi.nlm.nih.gov/gene/?term=PANX1","NCBI")</f>
        <v>NCBI</v>
      </c>
      <c r="F9120">
        <v>0.17</v>
      </c>
      <c r="G9120">
        <v>0.32</v>
      </c>
      <c r="H9120" s="1" t="str">
        <f>HYPERLINK("http://www.weizmann.ac.il/complex/compphys/software/geview/data/figures/204715_at.png","Figure")</f>
        <v>Figure</v>
      </c>
      <c r="I9120">
        <v>0.95499999999999996</v>
      </c>
      <c r="J9120">
        <v>0.96</v>
      </c>
      <c r="K9120">
        <v>0.749</v>
      </c>
      <c r="L9120">
        <v>0.19</v>
      </c>
      <c r="M9120">
        <v>0.78400000000000003</v>
      </c>
      <c r="N9120">
        <v>0.34</v>
      </c>
    </row>
    <row r="9121" spans="1:14" x14ac:dyDescent="0.25">
      <c r="A9121" t="s">
        <v>16026</v>
      </c>
      <c r="B9121" t="s">
        <v>11023</v>
      </c>
      <c r="C9121" s="1" t="str">
        <f>HYPERLINK("http://www.genecards.org/cgi-bin/carddisp.pl?gene=SLC22A17","GeneCards")</f>
        <v>GeneCards</v>
      </c>
      <c r="D9121" s="1" t="str">
        <f>HYPERLINK("http://genome-euro.ucsc.edu/cgi-bin/hgTracks?position=221106_at","UCSC")</f>
        <v>UCSC</v>
      </c>
      <c r="E9121" s="1" t="str">
        <f>HYPERLINK("http://www.ncbi.nlm.nih.gov/gene/?term=SLC22A17","NCBI")</f>
        <v>NCBI</v>
      </c>
      <c r="F9121">
        <v>0.17</v>
      </c>
      <c r="G9121">
        <v>0.32</v>
      </c>
      <c r="H9121" s="1" t="str">
        <f>HYPERLINK("http://www.weizmann.ac.il/complex/compphys/software/geview/data/figures/221106_at.png","Figure")</f>
        <v>Figure</v>
      </c>
      <c r="I9121">
        <v>1.08</v>
      </c>
      <c r="J9121">
        <v>0.17</v>
      </c>
      <c r="K9121">
        <v>1.01</v>
      </c>
      <c r="L9121">
        <v>0.91</v>
      </c>
      <c r="M9121">
        <v>0.94</v>
      </c>
      <c r="N9121">
        <v>0.26</v>
      </c>
    </row>
    <row r="9122" spans="1:14" x14ac:dyDescent="0.25">
      <c r="A9122" t="s">
        <v>16027</v>
      </c>
      <c r="B9122" t="s">
        <v>1554</v>
      </c>
      <c r="C9122" s="1" t="str">
        <f>HYPERLINK("http://www.genecards.org/cgi-bin/carddisp.pl?gene=SSX2IP","GeneCards")</f>
        <v>GeneCards</v>
      </c>
      <c r="D9122" s="1" t="str">
        <f>HYPERLINK("http://genome-euro.ucsc.edu/cgi-bin/hgTracks?position=203019_x_at","UCSC")</f>
        <v>UCSC</v>
      </c>
      <c r="E9122" s="1" t="str">
        <f>HYPERLINK("http://www.ncbi.nlm.nih.gov/gene/?term=SSX2IP","NCBI")</f>
        <v>NCBI</v>
      </c>
      <c r="F9122">
        <v>0.17</v>
      </c>
      <c r="G9122">
        <v>0.32</v>
      </c>
      <c r="H9122" s="1" t="str">
        <f>HYPERLINK("http://www.weizmann.ac.il/complex/compphys/software/geview/data/figures/203019_x_at.png","Figure")</f>
        <v>Figure</v>
      </c>
      <c r="I9122">
        <v>0.96799999999999997</v>
      </c>
      <c r="J9122">
        <v>0.6</v>
      </c>
      <c r="K9122">
        <v>0.94199999999999995</v>
      </c>
      <c r="L9122">
        <v>0.15</v>
      </c>
      <c r="M9122">
        <v>0.97399999999999998</v>
      </c>
      <c r="N9122">
        <v>0.68</v>
      </c>
    </row>
    <row r="9123" spans="1:14" x14ac:dyDescent="0.25">
      <c r="A9123" t="s">
        <v>16028</v>
      </c>
      <c r="B9123" t="s">
        <v>16029</v>
      </c>
      <c r="C9123" s="1" t="str">
        <f>HYPERLINK("http://www.genecards.org/cgi-bin/carddisp.pl?gene=CUL5","GeneCards")</f>
        <v>GeneCards</v>
      </c>
      <c r="D9123" s="1" t="str">
        <f>HYPERLINK("http://genome-euro.ucsc.edu/cgi-bin/hgTracks?position=203533_s_at","UCSC")</f>
        <v>UCSC</v>
      </c>
      <c r="E9123" s="1" t="str">
        <f>HYPERLINK("http://www.ncbi.nlm.nih.gov/gene/?term=CUL5","NCBI")</f>
        <v>NCBI</v>
      </c>
      <c r="F9123">
        <v>0.17</v>
      </c>
      <c r="G9123">
        <v>0.32</v>
      </c>
      <c r="H9123" s="1" t="str">
        <f>HYPERLINK("http://www.weizmann.ac.il/complex/compphys/software/geview/data/figures/203533_s_at.png","Figure")</f>
        <v>Figure</v>
      </c>
      <c r="I9123">
        <v>1</v>
      </c>
      <c r="J9123">
        <v>1</v>
      </c>
      <c r="K9123">
        <v>0.94599999999999995</v>
      </c>
      <c r="L9123">
        <v>0.23</v>
      </c>
      <c r="M9123">
        <v>0.94599999999999995</v>
      </c>
      <c r="N9123">
        <v>0.27</v>
      </c>
    </row>
    <row r="9124" spans="1:14" x14ac:dyDescent="0.25">
      <c r="A9124" t="s">
        <v>16030</v>
      </c>
      <c r="B9124" t="s">
        <v>8800</v>
      </c>
      <c r="C9124" s="1" t="str">
        <f>HYPERLINK("http://www.genecards.org/cgi-bin/carddisp.pl?gene=AMACR","GeneCards")</f>
        <v>GeneCards</v>
      </c>
      <c r="D9124" s="1" t="str">
        <f>HYPERLINK("http://genome-euro.ucsc.edu/cgi-bin/hgTracks?position=209426_s_at","UCSC")</f>
        <v>UCSC</v>
      </c>
      <c r="E9124" s="1" t="str">
        <f>HYPERLINK("http://www.ncbi.nlm.nih.gov/gene/?term=AMACR","NCBI")</f>
        <v>NCBI</v>
      </c>
      <c r="F9124">
        <v>0.17</v>
      </c>
      <c r="G9124">
        <v>0.32</v>
      </c>
      <c r="H9124" s="1" t="str">
        <f>HYPERLINK("http://www.weizmann.ac.il/complex/compphys/software/geview/data/figures/209426_s_at.png","Figure")</f>
        <v>Figure</v>
      </c>
      <c r="I9124">
        <v>0.93700000000000006</v>
      </c>
      <c r="J9124">
        <v>0.24</v>
      </c>
      <c r="K9124">
        <v>1</v>
      </c>
      <c r="L9124">
        <v>1</v>
      </c>
      <c r="M9124">
        <v>1.07</v>
      </c>
      <c r="N9124">
        <v>0.18</v>
      </c>
    </row>
    <row r="9125" spans="1:14" x14ac:dyDescent="0.25">
      <c r="A9125" t="s">
        <v>16031</v>
      </c>
      <c r="B9125" t="s">
        <v>16032</v>
      </c>
      <c r="C9125" s="1" t="str">
        <f>HYPERLINK("http://www.genecards.org/cgi-bin/carddisp.pl?gene=FCGR2C","GeneCards")</f>
        <v>GeneCards</v>
      </c>
      <c r="D9125" s="1" t="str">
        <f>HYPERLINK("http://genome-euro.ucsc.edu/cgi-bin/hgTracks?position=211395_x_at","UCSC")</f>
        <v>UCSC</v>
      </c>
      <c r="E9125" s="1" t="str">
        <f>HYPERLINK("http://www.ncbi.nlm.nih.gov/gene/?term=FCGR2C","NCBI")</f>
        <v>NCBI</v>
      </c>
      <c r="F9125">
        <v>0.17</v>
      </c>
      <c r="G9125">
        <v>0.32</v>
      </c>
      <c r="H9125" s="1" t="str">
        <f>HYPERLINK("http://www.weizmann.ac.il/complex/compphys/software/geview/data/figures/211395_x_at.png","Figure")</f>
        <v>Figure</v>
      </c>
      <c r="I9125">
        <v>1.04</v>
      </c>
      <c r="J9125">
        <v>0.74</v>
      </c>
      <c r="K9125">
        <v>0.94299999999999995</v>
      </c>
      <c r="L9125">
        <v>0.46</v>
      </c>
      <c r="M9125">
        <v>0.90600000000000003</v>
      </c>
      <c r="N9125">
        <v>0.16</v>
      </c>
    </row>
    <row r="9126" spans="1:14" x14ac:dyDescent="0.25">
      <c r="A9126" t="s">
        <v>16033</v>
      </c>
      <c r="B9126" t="s">
        <v>16034</v>
      </c>
      <c r="C9126" s="1" t="str">
        <f>HYPERLINK("http://www.genecards.org/cgi-bin/carddisp.pl?gene=PAQR3","GeneCards")</f>
        <v>GeneCards</v>
      </c>
      <c r="D9126" s="1" t="str">
        <f>HYPERLINK("http://genome-euro.ucsc.edu/cgi-bin/hgTracks?position=213372_at","UCSC")</f>
        <v>UCSC</v>
      </c>
      <c r="E9126" s="1" t="str">
        <f>HYPERLINK("http://www.ncbi.nlm.nih.gov/gene/?term=PAQR3","NCBI")</f>
        <v>NCBI</v>
      </c>
      <c r="F9126">
        <v>0.17</v>
      </c>
      <c r="G9126">
        <v>0.32</v>
      </c>
      <c r="H9126" s="1" t="str">
        <f>HYPERLINK("http://www.weizmann.ac.il/complex/compphys/software/geview/data/figures/213372_at.png","Figure")</f>
        <v>Figure</v>
      </c>
      <c r="I9126">
        <v>0.754</v>
      </c>
      <c r="J9126">
        <v>0.15</v>
      </c>
      <c r="K9126">
        <v>0.89700000000000002</v>
      </c>
      <c r="L9126">
        <v>0.66</v>
      </c>
      <c r="M9126">
        <v>1.19</v>
      </c>
      <c r="N9126">
        <v>0.41</v>
      </c>
    </row>
    <row r="9127" spans="1:14" x14ac:dyDescent="0.25">
      <c r="A9127" t="s">
        <v>16035</v>
      </c>
      <c r="B9127" t="s">
        <v>16036</v>
      </c>
      <c r="C9127" s="1" t="str">
        <f>HYPERLINK("http://www.genecards.org/cgi-bin/carddisp.pl?gene=SNORA21","GeneCards")</f>
        <v>GeneCards</v>
      </c>
      <c r="D9127" s="1" t="str">
        <f>HYPERLINK("http://genome-euro.ucsc.edu/cgi-bin/hgTracks?position=215224_at","UCSC")</f>
        <v>UCSC</v>
      </c>
      <c r="E9127" s="1" t="str">
        <f>HYPERLINK("http://www.ncbi.nlm.nih.gov/gene/?term=SNORA21","NCBI")</f>
        <v>NCBI</v>
      </c>
      <c r="F9127">
        <v>0.17</v>
      </c>
      <c r="G9127">
        <v>0.32</v>
      </c>
      <c r="H9127" s="1" t="str">
        <f>HYPERLINK("http://www.weizmann.ac.il/complex/compphys/software/geview/data/figures/215224_at.png","Figure")</f>
        <v>Figure</v>
      </c>
      <c r="I9127">
        <v>0.66900000000000004</v>
      </c>
      <c r="J9127">
        <v>0.19</v>
      </c>
      <c r="K9127">
        <v>0.73699999999999999</v>
      </c>
      <c r="L9127">
        <v>0.27</v>
      </c>
      <c r="M9127">
        <v>1.1000000000000001</v>
      </c>
      <c r="N9127">
        <v>0.88</v>
      </c>
    </row>
    <row r="9128" spans="1:14" x14ac:dyDescent="0.25">
      <c r="A9128" t="s">
        <v>16037</v>
      </c>
      <c r="B9128" t="s">
        <v>7445</v>
      </c>
      <c r="C9128" s="1" t="str">
        <f>HYPERLINK("http://www.genecards.org/cgi-bin/carddisp.pl?gene=NSFL1C","GeneCards")</f>
        <v>GeneCards</v>
      </c>
      <c r="D9128" s="1" t="str">
        <f>HYPERLINK("http://genome-euro.ucsc.edu/cgi-bin/hgTracks?position=217830_s_at","UCSC")</f>
        <v>UCSC</v>
      </c>
      <c r="E9128" s="1" t="str">
        <f>HYPERLINK("http://www.ncbi.nlm.nih.gov/gene/?term=NSFL1C","NCBI")</f>
        <v>NCBI</v>
      </c>
      <c r="F9128">
        <v>0.17</v>
      </c>
      <c r="G9128">
        <v>0.32</v>
      </c>
      <c r="H9128" s="1" t="str">
        <f>HYPERLINK("http://www.weizmann.ac.il/complex/compphys/software/geview/data/figures/217830_s_at.png","Figure")</f>
        <v>Figure</v>
      </c>
      <c r="I9128">
        <v>0.85799999999999998</v>
      </c>
      <c r="J9128">
        <v>0.57999999999999996</v>
      </c>
      <c r="K9128">
        <v>0.76800000000000002</v>
      </c>
      <c r="L9128">
        <v>0.15</v>
      </c>
      <c r="M9128">
        <v>0.89500000000000002</v>
      </c>
      <c r="N9128">
        <v>0.71</v>
      </c>
    </row>
    <row r="9129" spans="1:14" x14ac:dyDescent="0.25">
      <c r="A9129" t="s">
        <v>16038</v>
      </c>
      <c r="B9129" t="s">
        <v>16039</v>
      </c>
      <c r="C9129" s="1" t="str">
        <f>HYPERLINK("http://www.genecards.org/cgi-bin/carddisp.pl?gene=DSG2","GeneCards")</f>
        <v>GeneCards</v>
      </c>
      <c r="D9129" s="1" t="str">
        <f>HYPERLINK("http://genome-euro.ucsc.edu/cgi-bin/hgTracks?position=217901_at","UCSC")</f>
        <v>UCSC</v>
      </c>
      <c r="E9129" s="1" t="str">
        <f>HYPERLINK("http://www.ncbi.nlm.nih.gov/gene/?term=DSG2","NCBI")</f>
        <v>NCBI</v>
      </c>
      <c r="F9129">
        <v>0.17</v>
      </c>
      <c r="G9129">
        <v>0.32</v>
      </c>
      <c r="H9129" s="1" t="str">
        <f>HYPERLINK("http://www.weizmann.ac.il/complex/compphys/software/geview/data/figures/217901_at.png","Figure")</f>
        <v>Figure</v>
      </c>
      <c r="I9129">
        <v>0.626</v>
      </c>
      <c r="J9129">
        <v>0.19</v>
      </c>
      <c r="K9129">
        <v>0.69499999999999995</v>
      </c>
      <c r="L9129">
        <v>0.26</v>
      </c>
      <c r="M9129">
        <v>1.1100000000000001</v>
      </c>
      <c r="N9129">
        <v>0.9</v>
      </c>
    </row>
    <row r="9130" spans="1:14" x14ac:dyDescent="0.25">
      <c r="A9130" t="s">
        <v>16040</v>
      </c>
      <c r="B9130" t="s">
        <v>16041</v>
      </c>
      <c r="C9130" s="1" t="str">
        <f>HYPERLINK("http://www.genecards.org/cgi-bin/carddisp.pl?gene=BCAS3","GeneCards")</f>
        <v>GeneCards</v>
      </c>
      <c r="D9130" s="1" t="str">
        <f>HYPERLINK("http://genome-euro.ucsc.edu/cgi-bin/hgTracks?position=220488_s_at","UCSC")</f>
        <v>UCSC</v>
      </c>
      <c r="E9130" s="1" t="str">
        <f>HYPERLINK("http://www.ncbi.nlm.nih.gov/gene/?term=BCAS3","NCBI")</f>
        <v>NCBI</v>
      </c>
      <c r="F9130">
        <v>0.17</v>
      </c>
      <c r="G9130">
        <v>0.32</v>
      </c>
      <c r="H9130" s="1" t="str">
        <f>HYPERLINK("http://www.weizmann.ac.il/complex/compphys/software/geview/data/figures/220488_s_at.png","Figure")</f>
        <v>Figure</v>
      </c>
      <c r="I9130">
        <v>1.01</v>
      </c>
      <c r="J9130">
        <v>1</v>
      </c>
      <c r="K9130">
        <v>1.1599999999999999</v>
      </c>
      <c r="L9130">
        <v>0.22</v>
      </c>
      <c r="M9130">
        <v>1.1499999999999999</v>
      </c>
      <c r="N9130">
        <v>0.28999999999999998</v>
      </c>
    </row>
    <row r="9131" spans="1:14" x14ac:dyDescent="0.25">
      <c r="A9131" t="s">
        <v>16042</v>
      </c>
      <c r="B9131" t="s">
        <v>16043</v>
      </c>
      <c r="C9131" s="1" t="str">
        <f>HYPERLINK("http://www.genecards.org/cgi-bin/carddisp.pl?gene=CASP8AP2","GeneCards")</f>
        <v>GeneCards</v>
      </c>
      <c r="D9131" s="1" t="str">
        <f>HYPERLINK("http://genome-euro.ucsc.edu/cgi-bin/hgTracks?position=222201_s_at","UCSC")</f>
        <v>UCSC</v>
      </c>
      <c r="E9131" s="1" t="str">
        <f>HYPERLINK("http://www.ncbi.nlm.nih.gov/gene/?term=CASP8AP2","NCBI")</f>
        <v>NCBI</v>
      </c>
      <c r="F9131">
        <v>0.17</v>
      </c>
      <c r="G9131">
        <v>0.32</v>
      </c>
      <c r="H9131" s="1" t="str">
        <f>HYPERLINK("http://www.weizmann.ac.il/complex/compphys/software/geview/data/figures/222201_s_at.png","Figure")</f>
        <v>Figure</v>
      </c>
      <c r="I9131">
        <v>0.57899999999999996</v>
      </c>
      <c r="J9131">
        <v>0.23</v>
      </c>
      <c r="K9131">
        <v>1</v>
      </c>
      <c r="L9131">
        <v>1</v>
      </c>
      <c r="M9131">
        <v>1.73</v>
      </c>
      <c r="N9131">
        <v>0.19</v>
      </c>
    </row>
    <row r="9132" spans="1:14" x14ac:dyDescent="0.25">
      <c r="A9132" t="s">
        <v>16044</v>
      </c>
      <c r="B9132" t="s">
        <v>16045</v>
      </c>
      <c r="C9132" s="1" t="str">
        <f>HYPERLINK("http://www.genecards.org/cgi-bin/carddisp.pl?gene=LYZ","GeneCards")</f>
        <v>GeneCards</v>
      </c>
      <c r="D9132" s="1" t="str">
        <f>HYPERLINK("http://genome-euro.ucsc.edu/cgi-bin/hgTracks?position=213975_s_at","UCSC")</f>
        <v>UCSC</v>
      </c>
      <c r="E9132" s="1" t="str">
        <f>HYPERLINK("http://www.ncbi.nlm.nih.gov/gene/?term=LYZ","NCBI")</f>
        <v>NCBI</v>
      </c>
      <c r="F9132">
        <v>0.17</v>
      </c>
      <c r="G9132">
        <v>0.32</v>
      </c>
      <c r="H9132" s="1" t="str">
        <f>HYPERLINK("http://www.weizmann.ac.il/complex/compphys/software/geview/data/figures/213975_s_at.png","Figure")</f>
        <v>Figure</v>
      </c>
      <c r="I9132">
        <v>2.2999999999999998</v>
      </c>
      <c r="J9132">
        <v>0.16</v>
      </c>
      <c r="K9132">
        <v>1.28</v>
      </c>
      <c r="L9132">
        <v>0.78</v>
      </c>
      <c r="M9132">
        <v>0.55800000000000005</v>
      </c>
      <c r="N9132">
        <v>0.33</v>
      </c>
    </row>
    <row r="9133" spans="1:14" x14ac:dyDescent="0.25">
      <c r="A9133" t="s">
        <v>16046</v>
      </c>
      <c r="B9133" t="s">
        <v>13542</v>
      </c>
      <c r="C9133" s="1" t="str">
        <f>HYPERLINK("http://www.genecards.org/cgi-bin/carddisp.pl?gene=NUDCD3","GeneCards")</f>
        <v>GeneCards</v>
      </c>
      <c r="D9133" s="1" t="str">
        <f>HYPERLINK("http://genome-euro.ucsc.edu/cgi-bin/hgTracks?position=201269_s_at","UCSC")</f>
        <v>UCSC</v>
      </c>
      <c r="E9133" s="1" t="str">
        <f>HYPERLINK("http://www.ncbi.nlm.nih.gov/gene/?term=NUDCD3","NCBI")</f>
        <v>NCBI</v>
      </c>
      <c r="F9133">
        <v>0.17</v>
      </c>
      <c r="G9133">
        <v>0.32</v>
      </c>
      <c r="H9133" s="1" t="str">
        <f>HYPERLINK("http://www.weizmann.ac.il/complex/compphys/software/geview/data/figures/201269_s_at.png","Figure")</f>
        <v>Figure</v>
      </c>
      <c r="I9133">
        <v>1.08</v>
      </c>
      <c r="J9133">
        <v>0.23</v>
      </c>
      <c r="K9133">
        <v>1.07</v>
      </c>
      <c r="L9133">
        <v>0.22</v>
      </c>
      <c r="M9133">
        <v>0.99199999999999999</v>
      </c>
      <c r="N9133">
        <v>0.98</v>
      </c>
    </row>
    <row r="9134" spans="1:14" x14ac:dyDescent="0.25">
      <c r="A9134" t="s">
        <v>16047</v>
      </c>
      <c r="B9134" t="s">
        <v>3007</v>
      </c>
      <c r="C9134" s="1" t="str">
        <f>HYPERLINK("http://www.genecards.org/cgi-bin/carddisp.pl?gene=OGFR","GeneCards")</f>
        <v>GeneCards</v>
      </c>
      <c r="D9134" s="1" t="str">
        <f>HYPERLINK("http://genome-euro.ucsc.edu/cgi-bin/hgTracks?position=210443_x_at","UCSC")</f>
        <v>UCSC</v>
      </c>
      <c r="E9134" s="1" t="str">
        <f>HYPERLINK("http://www.ncbi.nlm.nih.gov/gene/?term=OGFR","NCBI")</f>
        <v>NCBI</v>
      </c>
      <c r="F9134">
        <v>0.17</v>
      </c>
      <c r="G9134">
        <v>0.32</v>
      </c>
      <c r="H9134" s="1" t="str">
        <f>HYPERLINK("http://www.weizmann.ac.il/complex/compphys/software/geview/data/figures/210443_x_at.png","Figure")</f>
        <v>Figure</v>
      </c>
      <c r="I9134">
        <v>1.29</v>
      </c>
      <c r="J9134">
        <v>0.18</v>
      </c>
      <c r="K9134">
        <v>1.2</v>
      </c>
      <c r="L9134">
        <v>0.3</v>
      </c>
      <c r="M9134">
        <v>0.92900000000000005</v>
      </c>
      <c r="N9134">
        <v>0.83</v>
      </c>
    </row>
    <row r="9135" spans="1:14" x14ac:dyDescent="0.25">
      <c r="A9135" t="s">
        <v>16048</v>
      </c>
      <c r="B9135" t="s">
        <v>16049</v>
      </c>
      <c r="C9135" s="1" t="str">
        <f>HYPERLINK("http://www.genecards.org/cgi-bin/carddisp.pl?gene=LHPP","GeneCards")</f>
        <v>GeneCards</v>
      </c>
      <c r="D9135" s="1" t="str">
        <f>HYPERLINK("http://genome-euro.ucsc.edu/cgi-bin/hgTracks?position=218523_at","UCSC")</f>
        <v>UCSC</v>
      </c>
      <c r="E9135" s="1" t="str">
        <f>HYPERLINK("http://www.ncbi.nlm.nih.gov/gene/?term=LHPP","NCBI")</f>
        <v>NCBI</v>
      </c>
      <c r="F9135">
        <v>0.17</v>
      </c>
      <c r="G9135">
        <v>0.32</v>
      </c>
      <c r="H9135" s="1" t="str">
        <f>HYPERLINK("http://www.weizmann.ac.il/complex/compphys/software/geview/data/figures/218523_at.png","Figure")</f>
        <v>Figure</v>
      </c>
      <c r="I9135">
        <v>0.997</v>
      </c>
      <c r="J9135">
        <v>1</v>
      </c>
      <c r="K9135">
        <v>1.18</v>
      </c>
      <c r="L9135">
        <v>0.23</v>
      </c>
      <c r="M9135">
        <v>1.18</v>
      </c>
      <c r="N9135">
        <v>0.27</v>
      </c>
    </row>
    <row r="9136" spans="1:14" x14ac:dyDescent="0.25">
      <c r="A9136" t="s">
        <v>16050</v>
      </c>
      <c r="B9136" t="s">
        <v>16051</v>
      </c>
      <c r="C9136" s="1" t="str">
        <f>HYPERLINK("http://www.genecards.org/cgi-bin/carddisp.pl?gene=LOC729991","GeneCards")</f>
        <v>GeneCards</v>
      </c>
      <c r="D9136" s="1" t="str">
        <f>HYPERLINK("http://genome-euro.ucsc.edu/cgi-bin/hgTracks?position=209926_at","UCSC")</f>
        <v>UCSC</v>
      </c>
      <c r="E9136" s="1" t="str">
        <f>HYPERLINK("http://www.ncbi.nlm.nih.gov/gene/?term=LOC729991","NCBI")</f>
        <v>NCBI</v>
      </c>
      <c r="F9136">
        <v>0.17</v>
      </c>
      <c r="G9136">
        <v>0.32</v>
      </c>
      <c r="H9136" s="1" t="str">
        <f>HYPERLINK("http://www.weizmann.ac.il/complex/compphys/software/geview/data/figures/209926_at.png","Figure")</f>
        <v>Figure</v>
      </c>
      <c r="I9136">
        <v>1.1100000000000001</v>
      </c>
      <c r="J9136">
        <v>0.15</v>
      </c>
      <c r="K9136">
        <v>1.06</v>
      </c>
      <c r="L9136">
        <v>0.43</v>
      </c>
      <c r="M9136">
        <v>0.95699999999999996</v>
      </c>
      <c r="N9136">
        <v>0.62</v>
      </c>
    </row>
    <row r="9137" spans="1:14" x14ac:dyDescent="0.25">
      <c r="A9137" t="s">
        <v>16052</v>
      </c>
      <c r="B9137" t="s">
        <v>10008</v>
      </c>
      <c r="C9137" s="1" t="str">
        <f>HYPERLINK("http://www.genecards.org/cgi-bin/carddisp.pl?gene=MATN1","GeneCards")</f>
        <v>GeneCards</v>
      </c>
      <c r="D9137" s="1" t="str">
        <f>HYPERLINK("http://genome-euro.ucsc.edu/cgi-bin/hgTracks?position=206904_at","UCSC")</f>
        <v>UCSC</v>
      </c>
      <c r="E9137" s="1" t="str">
        <f>HYPERLINK("http://www.ncbi.nlm.nih.gov/gene/?term=MATN1","NCBI")</f>
        <v>NCBI</v>
      </c>
      <c r="F9137">
        <v>0.17</v>
      </c>
      <c r="G9137">
        <v>0.32</v>
      </c>
      <c r="H9137" s="1" t="str">
        <f>HYPERLINK("http://www.weizmann.ac.il/complex/compphys/software/geview/data/figures/206904_at.png","Figure")</f>
        <v>Figure</v>
      </c>
      <c r="I9137">
        <v>0.97199999999999998</v>
      </c>
      <c r="J9137">
        <v>0.93</v>
      </c>
      <c r="K9137">
        <v>0.876</v>
      </c>
      <c r="L9137">
        <v>0.18</v>
      </c>
      <c r="M9137">
        <v>0.90200000000000002</v>
      </c>
      <c r="N9137">
        <v>0.38</v>
      </c>
    </row>
    <row r="9138" spans="1:14" x14ac:dyDescent="0.25">
      <c r="A9138" t="s">
        <v>16053</v>
      </c>
      <c r="B9138" t="s">
        <v>15831</v>
      </c>
      <c r="C9138" s="1" t="str">
        <f>HYPERLINK("http://www.genecards.org/cgi-bin/carddisp.pl?gene=MAP1LC3B","GeneCards")</f>
        <v>GeneCards</v>
      </c>
      <c r="D9138" s="1" t="str">
        <f>HYPERLINK("http://genome-euro.ucsc.edu/cgi-bin/hgTracks?position=208785_s_at","UCSC")</f>
        <v>UCSC</v>
      </c>
      <c r="E9138" s="1" t="str">
        <f>HYPERLINK("http://www.ncbi.nlm.nih.gov/gene/?term=MAP1LC3B","NCBI")</f>
        <v>NCBI</v>
      </c>
      <c r="F9138">
        <v>0.17</v>
      </c>
      <c r="G9138">
        <v>0.32</v>
      </c>
      <c r="H9138" s="1" t="str">
        <f>HYPERLINK("http://www.weizmann.ac.il/complex/compphys/software/geview/data/figures/208785_s_at.png","Figure")</f>
        <v>Figure</v>
      </c>
      <c r="I9138">
        <v>1.39</v>
      </c>
      <c r="J9138">
        <v>0.24</v>
      </c>
      <c r="K9138">
        <v>0.98599999999999999</v>
      </c>
      <c r="L9138">
        <v>1</v>
      </c>
      <c r="M9138">
        <v>0.70799999999999996</v>
      </c>
      <c r="N9138">
        <v>0.18</v>
      </c>
    </row>
    <row r="9139" spans="1:14" x14ac:dyDescent="0.25">
      <c r="A9139" t="s">
        <v>16054</v>
      </c>
      <c r="B9139" t="s">
        <v>16055</v>
      </c>
      <c r="C9139" s="1" t="str">
        <f>HYPERLINK("http://www.genecards.org/cgi-bin/carddisp.pl?gene=TEC","GeneCards")</f>
        <v>GeneCards</v>
      </c>
      <c r="D9139" s="1" t="str">
        <f>HYPERLINK("http://genome-euro.ucsc.edu/cgi-bin/hgTracks?position=206301_at","UCSC")</f>
        <v>UCSC</v>
      </c>
      <c r="E9139" s="1" t="str">
        <f>HYPERLINK("http://www.ncbi.nlm.nih.gov/gene/?term=TEC","NCBI")</f>
        <v>NCBI</v>
      </c>
      <c r="F9139">
        <v>0.17</v>
      </c>
      <c r="G9139">
        <v>0.32</v>
      </c>
      <c r="H9139" s="1" t="str">
        <f>HYPERLINK("http://www.weizmann.ac.il/complex/compphys/software/geview/data/figures/206301_at.png","Figure")</f>
        <v>Figure</v>
      </c>
      <c r="I9139">
        <v>0.91700000000000004</v>
      </c>
      <c r="J9139">
        <v>0.65</v>
      </c>
      <c r="K9139">
        <v>0.84499999999999997</v>
      </c>
      <c r="L9139">
        <v>0.15</v>
      </c>
      <c r="M9139">
        <v>0.92100000000000004</v>
      </c>
      <c r="N9139">
        <v>0.64</v>
      </c>
    </row>
    <row r="9140" spans="1:14" x14ac:dyDescent="0.25">
      <c r="A9140" t="s">
        <v>16056</v>
      </c>
      <c r="B9140" t="s">
        <v>2729</v>
      </c>
      <c r="C9140" s="1" t="str">
        <f>HYPERLINK("http://www.genecards.org/cgi-bin/carddisp.pl?gene=ATP9B","GeneCards")</f>
        <v>GeneCards</v>
      </c>
      <c r="D9140" s="1" t="str">
        <f>HYPERLINK("http://genome-euro.ucsc.edu/cgi-bin/hgTracks?position=214010_s_at","UCSC")</f>
        <v>UCSC</v>
      </c>
      <c r="E9140" s="1" t="str">
        <f>HYPERLINK("http://www.ncbi.nlm.nih.gov/gene/?term=ATP9B","NCBI")</f>
        <v>NCBI</v>
      </c>
      <c r="F9140">
        <v>0.17</v>
      </c>
      <c r="G9140">
        <v>0.32</v>
      </c>
      <c r="H9140" s="1" t="str">
        <f>HYPERLINK("http://www.weizmann.ac.il/complex/compphys/software/geview/data/figures/214010_s_at.png","Figure")</f>
        <v>Figure</v>
      </c>
      <c r="I9140">
        <v>1.1000000000000001</v>
      </c>
      <c r="J9140">
        <v>0.22</v>
      </c>
      <c r="K9140">
        <v>1</v>
      </c>
      <c r="L9140">
        <v>1</v>
      </c>
      <c r="M9140">
        <v>0.91100000000000003</v>
      </c>
      <c r="N9140">
        <v>0.2</v>
      </c>
    </row>
    <row r="9141" spans="1:14" x14ac:dyDescent="0.25">
      <c r="A9141" t="s">
        <v>16057</v>
      </c>
      <c r="B9141" t="s">
        <v>16058</v>
      </c>
      <c r="C9141" s="1" t="str">
        <f>HYPERLINK("http://www.genecards.org/cgi-bin/carddisp.pl?gene=NUTF2","GeneCards")</f>
        <v>GeneCards</v>
      </c>
      <c r="D9141" s="1" t="str">
        <f>HYPERLINK("http://genome-euro.ucsc.edu/cgi-bin/hgTracks?position=202397_at","UCSC")</f>
        <v>UCSC</v>
      </c>
      <c r="E9141" s="1" t="str">
        <f>HYPERLINK("http://www.ncbi.nlm.nih.gov/gene/?term=NUTF2","NCBI")</f>
        <v>NCBI</v>
      </c>
      <c r="F9141">
        <v>0.17</v>
      </c>
      <c r="G9141">
        <v>0.32</v>
      </c>
      <c r="H9141" s="1" t="str">
        <f>HYPERLINK("http://www.weizmann.ac.il/complex/compphys/software/geview/data/figures/202397_at.png","Figure")</f>
        <v>Figure</v>
      </c>
      <c r="I9141">
        <v>1.03</v>
      </c>
      <c r="J9141">
        <v>0.98</v>
      </c>
      <c r="K9141">
        <v>1.24</v>
      </c>
      <c r="L9141">
        <v>0.2</v>
      </c>
      <c r="M9141">
        <v>1.2</v>
      </c>
      <c r="N9141">
        <v>0.33</v>
      </c>
    </row>
    <row r="9142" spans="1:14" x14ac:dyDescent="0.25">
      <c r="A9142" t="s">
        <v>16059</v>
      </c>
      <c r="B9142" t="s">
        <v>5798</v>
      </c>
      <c r="C9142" s="1" t="str">
        <f>HYPERLINK("http://www.genecards.org/cgi-bin/carddisp.pl?gene=UMPS","GeneCards")</f>
        <v>GeneCards</v>
      </c>
      <c r="D9142" s="1" t="str">
        <f>HYPERLINK("http://genome-euro.ucsc.edu/cgi-bin/hgTracks?position=202707_at","UCSC")</f>
        <v>UCSC</v>
      </c>
      <c r="E9142" s="1" t="str">
        <f>HYPERLINK("http://www.ncbi.nlm.nih.gov/gene/?term=UMPS","NCBI")</f>
        <v>NCBI</v>
      </c>
      <c r="F9142">
        <v>0.17</v>
      </c>
      <c r="G9142">
        <v>0.32</v>
      </c>
      <c r="H9142" s="1" t="str">
        <f>HYPERLINK("http://www.weizmann.ac.il/complex/compphys/software/geview/data/figures/202707_at.png","Figure")</f>
        <v>Figure</v>
      </c>
      <c r="I9142">
        <v>1.1399999999999999</v>
      </c>
      <c r="J9142">
        <v>0.18</v>
      </c>
      <c r="K9142">
        <v>1.1000000000000001</v>
      </c>
      <c r="L9142">
        <v>0.28999999999999998</v>
      </c>
      <c r="M9142">
        <v>0.96499999999999997</v>
      </c>
      <c r="N9142">
        <v>0.84</v>
      </c>
    </row>
    <row r="9143" spans="1:14" x14ac:dyDescent="0.25">
      <c r="A9143" t="s">
        <v>16060</v>
      </c>
      <c r="B9143" t="s">
        <v>16061</v>
      </c>
      <c r="C9143" s="1" t="str">
        <f>HYPERLINK("http://www.genecards.org/cgi-bin/carddisp.pl?gene=GFRA4","GeneCards")</f>
        <v>GeneCards</v>
      </c>
      <c r="D9143" s="1" t="str">
        <f>HYPERLINK("http://genome-euro.ucsc.edu/cgi-bin/hgTracks?position=221199_at","UCSC")</f>
        <v>UCSC</v>
      </c>
      <c r="E9143" s="1" t="str">
        <f>HYPERLINK("http://www.ncbi.nlm.nih.gov/gene/?term=GFRA4","NCBI")</f>
        <v>NCBI</v>
      </c>
      <c r="F9143">
        <v>0.17</v>
      </c>
      <c r="G9143">
        <v>0.32</v>
      </c>
      <c r="H9143" s="1" t="str">
        <f>HYPERLINK("http://www.weizmann.ac.il/complex/compphys/software/geview/data/figures/221199_at.png","Figure")</f>
        <v>Figure</v>
      </c>
      <c r="I9143">
        <v>1.18</v>
      </c>
      <c r="J9143">
        <v>0.15</v>
      </c>
      <c r="K9143">
        <v>1.05</v>
      </c>
      <c r="L9143">
        <v>0.75</v>
      </c>
      <c r="M9143">
        <v>0.89500000000000002</v>
      </c>
      <c r="N9143">
        <v>0.35</v>
      </c>
    </row>
    <row r="9144" spans="1:14" x14ac:dyDescent="0.25">
      <c r="A9144" t="s">
        <v>16062</v>
      </c>
      <c r="B9144" t="s">
        <v>3153</v>
      </c>
      <c r="C9144" s="1" t="str">
        <f>HYPERLINK("http://www.genecards.org/cgi-bin/carddisp.pl?gene=MAP4K5","GeneCards")</f>
        <v>GeneCards</v>
      </c>
      <c r="D9144" s="1" t="str">
        <f>HYPERLINK("http://genome-euro.ucsc.edu/cgi-bin/hgTracks?position=211081_s_at","UCSC")</f>
        <v>UCSC</v>
      </c>
      <c r="E9144" s="1" t="str">
        <f>HYPERLINK("http://www.ncbi.nlm.nih.gov/gene/?term=MAP4K5","NCBI")</f>
        <v>NCBI</v>
      </c>
      <c r="F9144">
        <v>0.17</v>
      </c>
      <c r="G9144">
        <v>0.32</v>
      </c>
      <c r="H9144" s="1" t="str">
        <f>HYPERLINK("http://www.weizmann.ac.il/complex/compphys/software/geview/data/figures/211081_s_at.png","Figure")</f>
        <v>Figure</v>
      </c>
      <c r="I9144">
        <v>0.747</v>
      </c>
      <c r="J9144">
        <v>0.46</v>
      </c>
      <c r="K9144">
        <v>0.66</v>
      </c>
      <c r="L9144">
        <v>0.15</v>
      </c>
      <c r="M9144">
        <v>0.88400000000000001</v>
      </c>
      <c r="N9144">
        <v>0.84</v>
      </c>
    </row>
    <row r="9145" spans="1:14" x14ac:dyDescent="0.25">
      <c r="A9145" t="s">
        <v>16063</v>
      </c>
      <c r="B9145" t="s">
        <v>16064</v>
      </c>
      <c r="C9145" s="1" t="str">
        <f>HYPERLINK("http://www.genecards.org/cgi-bin/carddisp.pl?gene=FAM134B","GeneCards")</f>
        <v>GeneCards</v>
      </c>
      <c r="D9145" s="1" t="str">
        <f>HYPERLINK("http://genome-euro.ucsc.edu/cgi-bin/hgTracks?position=218532_s_at","UCSC")</f>
        <v>UCSC</v>
      </c>
      <c r="E9145" s="1" t="str">
        <f>HYPERLINK("http://www.ncbi.nlm.nih.gov/gene/?term=FAM134B","NCBI")</f>
        <v>NCBI</v>
      </c>
      <c r="F9145">
        <v>0.17</v>
      </c>
      <c r="G9145">
        <v>0.32</v>
      </c>
      <c r="H9145" s="1" t="str">
        <f>HYPERLINK("http://www.weizmann.ac.il/complex/compphys/software/geview/data/figures/218532_s_at.png","Figure")</f>
        <v>Figure</v>
      </c>
      <c r="I9145">
        <v>0.65100000000000002</v>
      </c>
      <c r="J9145">
        <v>0.19</v>
      </c>
      <c r="K9145">
        <v>0.72299999999999998</v>
      </c>
      <c r="L9145">
        <v>0.27</v>
      </c>
      <c r="M9145">
        <v>1.1100000000000001</v>
      </c>
      <c r="N9145">
        <v>0.88</v>
      </c>
    </row>
    <row r="9146" spans="1:14" x14ac:dyDescent="0.25">
      <c r="A9146" t="s">
        <v>16065</v>
      </c>
      <c r="B9146" t="s">
        <v>16066</v>
      </c>
      <c r="C9146" s="1" t="str">
        <f>HYPERLINK("http://www.genecards.org/cgi-bin/carddisp.pl?gene=MTMR1","GeneCards")</f>
        <v>GeneCards</v>
      </c>
      <c r="D9146" s="1" t="str">
        <f>HYPERLINK("http://genome-euro.ucsc.edu/cgi-bin/hgTracks?position=213511_s_at","UCSC")</f>
        <v>UCSC</v>
      </c>
      <c r="E9146" s="1" t="str">
        <f>HYPERLINK("http://www.ncbi.nlm.nih.gov/gene/?term=MTMR1","NCBI")</f>
        <v>NCBI</v>
      </c>
      <c r="F9146">
        <v>0.17</v>
      </c>
      <c r="G9146">
        <v>0.32</v>
      </c>
      <c r="H9146" s="1" t="str">
        <f>HYPERLINK("http://www.weizmann.ac.il/complex/compphys/software/geview/data/figures/213511_s_at.png","Figure")</f>
        <v>Figure</v>
      </c>
      <c r="I9146">
        <v>0.7</v>
      </c>
      <c r="J9146">
        <v>0.21</v>
      </c>
      <c r="K9146">
        <v>0.98</v>
      </c>
      <c r="L9146">
        <v>0.99</v>
      </c>
      <c r="M9146">
        <v>1.4</v>
      </c>
      <c r="N9146">
        <v>0.2</v>
      </c>
    </row>
    <row r="9147" spans="1:14" x14ac:dyDescent="0.25">
      <c r="A9147" t="s">
        <v>16067</v>
      </c>
      <c r="B9147" t="s">
        <v>13251</v>
      </c>
      <c r="C9147" s="1" t="str">
        <f>HYPERLINK("http://www.genecards.org/cgi-bin/carddisp.pl?gene=MTHFR","GeneCards")</f>
        <v>GeneCards</v>
      </c>
      <c r="D9147" s="1" t="str">
        <f>HYPERLINK("http://genome-euro.ucsc.edu/cgi-bin/hgTracks?position=206800_at","UCSC")</f>
        <v>UCSC</v>
      </c>
      <c r="E9147" s="1" t="str">
        <f>HYPERLINK("http://www.ncbi.nlm.nih.gov/gene/?term=MTHFR","NCBI")</f>
        <v>NCBI</v>
      </c>
      <c r="F9147">
        <v>0.17</v>
      </c>
      <c r="G9147">
        <v>0.32</v>
      </c>
      <c r="H9147" s="1" t="str">
        <f>HYPERLINK("http://www.weizmann.ac.il/complex/compphys/software/geview/data/figures/206800_at.png","Figure")</f>
        <v>Figure</v>
      </c>
      <c r="I9147">
        <v>1.17</v>
      </c>
      <c r="J9147">
        <v>0.19</v>
      </c>
      <c r="K9147">
        <v>1.1299999999999999</v>
      </c>
      <c r="L9147">
        <v>0.27</v>
      </c>
      <c r="M9147">
        <v>0.96499999999999997</v>
      </c>
      <c r="N9147">
        <v>0.9</v>
      </c>
    </row>
    <row r="9148" spans="1:14" x14ac:dyDescent="0.25">
      <c r="A9148" t="s">
        <v>16068</v>
      </c>
      <c r="B9148" t="s">
        <v>16069</v>
      </c>
      <c r="C9148" s="1" t="str">
        <f>HYPERLINK("http://www.genecards.org/cgi-bin/carddisp.pl?gene=UBE2B","GeneCards")</f>
        <v>GeneCards</v>
      </c>
      <c r="D9148" s="1" t="str">
        <f>HYPERLINK("http://genome-euro.ucsc.edu/cgi-bin/hgTracks?position=211763_s_at","UCSC")</f>
        <v>UCSC</v>
      </c>
      <c r="E9148" s="1" t="str">
        <f>HYPERLINK("http://www.ncbi.nlm.nih.gov/gene/?term=UBE2B","NCBI")</f>
        <v>NCBI</v>
      </c>
      <c r="F9148">
        <v>0.17</v>
      </c>
      <c r="G9148">
        <v>0.32</v>
      </c>
      <c r="H9148" s="1" t="str">
        <f>HYPERLINK("http://www.weizmann.ac.il/complex/compphys/software/geview/data/figures/211763_s_at.png","Figure")</f>
        <v>Figure</v>
      </c>
      <c r="I9148">
        <v>0.63300000000000001</v>
      </c>
      <c r="J9148">
        <v>0.17</v>
      </c>
      <c r="K9148">
        <v>0.91100000000000003</v>
      </c>
      <c r="L9148">
        <v>0.9</v>
      </c>
      <c r="M9148">
        <v>1.44</v>
      </c>
      <c r="N9148">
        <v>0.27</v>
      </c>
    </row>
    <row r="9149" spans="1:14" x14ac:dyDescent="0.25">
      <c r="A9149" t="s">
        <v>16070</v>
      </c>
      <c r="B9149" t="s">
        <v>16071</v>
      </c>
      <c r="C9149" s="1" t="str">
        <f>HYPERLINK("http://www.genecards.org/cgi-bin/carddisp.pl?gene=TRIM26","GeneCards")</f>
        <v>GeneCards</v>
      </c>
      <c r="D9149" s="1" t="str">
        <f>HYPERLINK("http://genome-euro.ucsc.edu/cgi-bin/hgTracks?position=202702_at","UCSC")</f>
        <v>UCSC</v>
      </c>
      <c r="E9149" s="1" t="str">
        <f>HYPERLINK("http://www.ncbi.nlm.nih.gov/gene/?term=TRIM26","NCBI")</f>
        <v>NCBI</v>
      </c>
      <c r="F9149">
        <v>0.17</v>
      </c>
      <c r="G9149">
        <v>0.32</v>
      </c>
      <c r="H9149" s="1" t="str">
        <f>HYPERLINK("http://www.weizmann.ac.il/complex/compphys/software/geview/data/figures/202702_at.png","Figure")</f>
        <v>Figure</v>
      </c>
      <c r="I9149">
        <v>1.24</v>
      </c>
      <c r="J9149">
        <v>0.28000000000000003</v>
      </c>
      <c r="K9149">
        <v>0.97099999999999997</v>
      </c>
      <c r="L9149">
        <v>0.97</v>
      </c>
      <c r="M9149">
        <v>0.78100000000000003</v>
      </c>
      <c r="N9149">
        <v>0.17</v>
      </c>
    </row>
    <row r="9150" spans="1:14" x14ac:dyDescent="0.25">
      <c r="A9150" t="s">
        <v>16072</v>
      </c>
      <c r="B9150" t="s">
        <v>16073</v>
      </c>
      <c r="C9150" s="1" t="str">
        <f>HYPERLINK("http://www.genecards.org/cgi-bin/carddisp.pl?gene=WDR46","GeneCards")</f>
        <v>GeneCards</v>
      </c>
      <c r="D9150" s="1" t="str">
        <f>HYPERLINK("http://genome-euro.ucsc.edu/cgi-bin/hgTracks?position=209196_at","UCSC")</f>
        <v>UCSC</v>
      </c>
      <c r="E9150" s="1" t="str">
        <f>HYPERLINK("http://www.ncbi.nlm.nih.gov/gene/?term=WDR46","NCBI")</f>
        <v>NCBI</v>
      </c>
      <c r="F9150">
        <v>0.17</v>
      </c>
      <c r="G9150">
        <v>0.32</v>
      </c>
      <c r="H9150" s="1" t="str">
        <f>HYPERLINK("http://www.weizmann.ac.il/complex/compphys/software/geview/data/figures/209196_at.png","Figure")</f>
        <v>Figure</v>
      </c>
      <c r="I9150">
        <v>0.95199999999999996</v>
      </c>
      <c r="J9150">
        <v>0.93</v>
      </c>
      <c r="K9150">
        <v>1.2</v>
      </c>
      <c r="L9150">
        <v>0.31</v>
      </c>
      <c r="M9150">
        <v>1.26</v>
      </c>
      <c r="N9150">
        <v>0.21</v>
      </c>
    </row>
    <row r="9151" spans="1:14" x14ac:dyDescent="0.25">
      <c r="A9151" t="s">
        <v>16074</v>
      </c>
      <c r="B9151" t="s">
        <v>10471</v>
      </c>
      <c r="C9151" s="1" t="str">
        <f>HYPERLINK("http://www.genecards.org/cgi-bin/carddisp.pl?gene=PSMB1","GeneCards")</f>
        <v>GeneCards</v>
      </c>
      <c r="D9151" s="1" t="str">
        <f>HYPERLINK("http://genome-euro.ucsc.edu/cgi-bin/hgTracks?position=214288_s_at","UCSC")</f>
        <v>UCSC</v>
      </c>
      <c r="E9151" s="1" t="str">
        <f>HYPERLINK("http://www.ncbi.nlm.nih.gov/gene/?term=PSMB1","NCBI")</f>
        <v>NCBI</v>
      </c>
      <c r="F9151">
        <v>0.17</v>
      </c>
      <c r="G9151">
        <v>0.32</v>
      </c>
      <c r="H9151" s="1" t="str">
        <f>HYPERLINK("http://www.weizmann.ac.il/complex/compphys/software/geview/data/figures/214288_s_at.png","Figure")</f>
        <v>Figure</v>
      </c>
      <c r="I9151">
        <v>0.749</v>
      </c>
      <c r="J9151">
        <v>0.18</v>
      </c>
      <c r="K9151">
        <v>0.94699999999999995</v>
      </c>
      <c r="L9151">
        <v>0.91</v>
      </c>
      <c r="M9151">
        <v>1.26</v>
      </c>
      <c r="N9151">
        <v>0.26</v>
      </c>
    </row>
    <row r="9152" spans="1:14" x14ac:dyDescent="0.25">
      <c r="A9152" t="s">
        <v>16075</v>
      </c>
      <c r="B9152" t="s">
        <v>7809</v>
      </c>
      <c r="C9152" s="1" t="str">
        <f>HYPERLINK("http://www.genecards.org/cgi-bin/carddisp.pl?gene=SHB","GeneCards")</f>
        <v>GeneCards</v>
      </c>
      <c r="D9152" s="1" t="str">
        <f>HYPERLINK("http://genome-euro.ucsc.edu/cgi-bin/hgTracks?position=204657_s_at","UCSC")</f>
        <v>UCSC</v>
      </c>
      <c r="E9152" s="1" t="str">
        <f>HYPERLINK("http://www.ncbi.nlm.nih.gov/gene/?term=SHB","NCBI")</f>
        <v>NCBI</v>
      </c>
      <c r="F9152">
        <v>0.17</v>
      </c>
      <c r="G9152">
        <v>0.32</v>
      </c>
      <c r="H9152" s="1" t="str">
        <f>HYPERLINK("http://www.weizmann.ac.il/complex/compphys/software/geview/data/figures/204657_s_at.png","Figure")</f>
        <v>Figure</v>
      </c>
      <c r="I9152">
        <v>1.1599999999999999</v>
      </c>
      <c r="J9152">
        <v>0.15</v>
      </c>
      <c r="K9152">
        <v>1.08</v>
      </c>
      <c r="L9152">
        <v>0.47</v>
      </c>
      <c r="M9152">
        <v>0.93</v>
      </c>
      <c r="N9152">
        <v>0.57999999999999996</v>
      </c>
    </row>
    <row r="9153" spans="1:14" x14ac:dyDescent="0.25">
      <c r="A9153" t="s">
        <v>16076</v>
      </c>
      <c r="B9153" t="s">
        <v>16077</v>
      </c>
      <c r="C9153" s="1" t="str">
        <f>HYPERLINK("http://www.genecards.org/cgi-bin/carddisp.pl?gene=GPR132","GeneCards")</f>
        <v>GeneCards</v>
      </c>
      <c r="D9153" s="1" t="str">
        <f>HYPERLINK("http://genome-euro.ucsc.edu/cgi-bin/hgTracks?position=221140_s_at","UCSC")</f>
        <v>UCSC</v>
      </c>
      <c r="E9153" s="1" t="str">
        <f>HYPERLINK("http://www.ncbi.nlm.nih.gov/gene/?term=GPR132","NCBI")</f>
        <v>NCBI</v>
      </c>
      <c r="F9153">
        <v>0.17</v>
      </c>
      <c r="G9153">
        <v>0.32</v>
      </c>
      <c r="H9153" s="1" t="str">
        <f>HYPERLINK("http://www.weizmann.ac.il/complex/compphys/software/geview/data/figures/221140_s_at.png","Figure")</f>
        <v>Figure</v>
      </c>
      <c r="I9153">
        <v>1.1299999999999999</v>
      </c>
      <c r="J9153">
        <v>0.25</v>
      </c>
      <c r="K9153">
        <v>1.1299999999999999</v>
      </c>
      <c r="L9153">
        <v>0.2</v>
      </c>
      <c r="M9153">
        <v>0.995</v>
      </c>
      <c r="N9153">
        <v>1</v>
      </c>
    </row>
    <row r="9154" spans="1:14" x14ac:dyDescent="0.25">
      <c r="A9154" t="s">
        <v>16078</v>
      </c>
      <c r="B9154" t="s">
        <v>15578</v>
      </c>
      <c r="C9154" s="1" t="str">
        <f>HYPERLINK("http://www.genecards.org/cgi-bin/carddisp.pl?gene=LIMK2","GeneCards")</f>
        <v>GeneCards</v>
      </c>
      <c r="D9154" s="1" t="str">
        <f>HYPERLINK("http://genome-euro.ucsc.edu/cgi-bin/hgTracks?position=202193_at","UCSC")</f>
        <v>UCSC</v>
      </c>
      <c r="E9154" s="1" t="str">
        <f>HYPERLINK("http://www.ncbi.nlm.nih.gov/gene/?term=LIMK2","NCBI")</f>
        <v>NCBI</v>
      </c>
      <c r="F9154">
        <v>0.17</v>
      </c>
      <c r="G9154">
        <v>0.32</v>
      </c>
      <c r="H9154" s="1" t="str">
        <f>HYPERLINK("http://www.weizmann.ac.il/complex/compphys/software/geview/data/figures/202193_at.png","Figure")</f>
        <v>Figure</v>
      </c>
      <c r="I9154">
        <v>0.748</v>
      </c>
      <c r="J9154">
        <v>0.24</v>
      </c>
      <c r="K9154">
        <v>0.76400000000000001</v>
      </c>
      <c r="L9154">
        <v>0.21</v>
      </c>
      <c r="M9154">
        <v>1.02</v>
      </c>
      <c r="N9154">
        <v>0.99</v>
      </c>
    </row>
    <row r="9155" spans="1:14" x14ac:dyDescent="0.25">
      <c r="A9155" t="s">
        <v>16079</v>
      </c>
      <c r="B9155" t="s">
        <v>16080</v>
      </c>
      <c r="C9155" s="1" t="str">
        <f>HYPERLINK("http://www.genecards.org/cgi-bin/carddisp.pl?gene=STAG3L4","GeneCards")</f>
        <v>GeneCards</v>
      </c>
      <c r="D9155" s="1" t="str">
        <f>HYPERLINK("http://genome-euro.ucsc.edu/cgi-bin/hgTracks?position=218994_s_at","UCSC")</f>
        <v>UCSC</v>
      </c>
      <c r="E9155" s="1" t="str">
        <f>HYPERLINK("http://www.ncbi.nlm.nih.gov/gene/?term=STAG3L4","NCBI")</f>
        <v>NCBI</v>
      </c>
      <c r="F9155">
        <v>0.17</v>
      </c>
      <c r="G9155">
        <v>0.32</v>
      </c>
      <c r="H9155" s="1" t="str">
        <f>HYPERLINK("http://www.weizmann.ac.il/complex/compphys/software/geview/data/figures/218994_s_at.png","Figure")</f>
        <v>Figure</v>
      </c>
      <c r="I9155">
        <v>1</v>
      </c>
      <c r="J9155">
        <v>1</v>
      </c>
      <c r="K9155">
        <v>0.92700000000000005</v>
      </c>
      <c r="L9155">
        <v>0.23</v>
      </c>
      <c r="M9155">
        <v>0.92700000000000005</v>
      </c>
      <c r="N9155">
        <v>0.27</v>
      </c>
    </row>
    <row r="9156" spans="1:14" x14ac:dyDescent="0.25">
      <c r="A9156" t="s">
        <v>16081</v>
      </c>
      <c r="B9156" t="s">
        <v>11444</v>
      </c>
      <c r="C9156" s="1" t="str">
        <f>HYPERLINK("http://www.genecards.org/cgi-bin/carddisp.pl?gene=CPSF1","GeneCards")</f>
        <v>GeneCards</v>
      </c>
      <c r="D9156" s="1" t="str">
        <f>HYPERLINK("http://genome-euro.ucsc.edu/cgi-bin/hgTracks?position=33132_at","UCSC")</f>
        <v>UCSC</v>
      </c>
      <c r="E9156" s="1" t="str">
        <f>HYPERLINK("http://www.ncbi.nlm.nih.gov/gene/?term=CPSF1","NCBI")</f>
        <v>NCBI</v>
      </c>
      <c r="F9156">
        <v>0.17</v>
      </c>
      <c r="G9156">
        <v>0.32</v>
      </c>
      <c r="H9156" s="1" t="str">
        <f>HYPERLINK("http://www.weizmann.ac.il/complex/compphys/software/geview/data/figures/33132_at.png","Figure")</f>
        <v>Figure</v>
      </c>
      <c r="I9156">
        <v>1.05</v>
      </c>
      <c r="J9156">
        <v>0.98</v>
      </c>
      <c r="K9156">
        <v>1.51</v>
      </c>
      <c r="L9156">
        <v>0.2</v>
      </c>
      <c r="M9156">
        <v>1.45</v>
      </c>
      <c r="N9156">
        <v>0.32</v>
      </c>
    </row>
    <row r="9157" spans="1:14" x14ac:dyDescent="0.25">
      <c r="A9157" t="s">
        <v>16082</v>
      </c>
      <c r="B9157" t="s">
        <v>9914</v>
      </c>
      <c r="C9157" s="1" t="str">
        <f>HYPERLINK("http://www.genecards.org/cgi-bin/carddisp.pl?gene=EPS15","GeneCards")</f>
        <v>GeneCards</v>
      </c>
      <c r="D9157" s="1" t="str">
        <f>HYPERLINK("http://genome-euro.ucsc.edu/cgi-bin/hgTracks?position=217886_at","UCSC")</f>
        <v>UCSC</v>
      </c>
      <c r="E9157" s="1" t="str">
        <f>HYPERLINK("http://www.ncbi.nlm.nih.gov/gene/?term=EPS15","NCBI")</f>
        <v>NCBI</v>
      </c>
      <c r="F9157">
        <v>0.17</v>
      </c>
      <c r="G9157">
        <v>0.32</v>
      </c>
      <c r="H9157" s="1" t="str">
        <f>HYPERLINK("http://www.weizmann.ac.il/complex/compphys/software/geview/data/figures/217886_at.png","Figure")</f>
        <v>Figure</v>
      </c>
      <c r="I9157">
        <v>0.67500000000000004</v>
      </c>
      <c r="J9157">
        <v>0.31</v>
      </c>
      <c r="K9157">
        <v>0.64800000000000002</v>
      </c>
      <c r="L9157">
        <v>0.17</v>
      </c>
      <c r="M9157">
        <v>0.96099999999999997</v>
      </c>
      <c r="N9157">
        <v>0.99</v>
      </c>
    </row>
    <row r="9158" spans="1:14" x14ac:dyDescent="0.25">
      <c r="A9158" t="s">
        <v>16083</v>
      </c>
      <c r="B9158" t="s">
        <v>16084</v>
      </c>
      <c r="C9158" s="1" t="str">
        <f>HYPERLINK("http://www.genecards.org/cgi-bin/carddisp.pl?gene=IQSEC2","GeneCards")</f>
        <v>GeneCards</v>
      </c>
      <c r="D9158" s="1" t="str">
        <f>HYPERLINK("http://genome-euro.ucsc.edu/cgi-bin/hgTracks?position=214819_at","UCSC")</f>
        <v>UCSC</v>
      </c>
      <c r="E9158" s="1" t="str">
        <f>HYPERLINK("http://www.ncbi.nlm.nih.gov/gene/?term=IQSEC2","NCBI")</f>
        <v>NCBI</v>
      </c>
      <c r="F9158">
        <v>0.17</v>
      </c>
      <c r="G9158">
        <v>0.32</v>
      </c>
      <c r="H9158" s="1" t="str">
        <f>HYPERLINK("http://www.weizmann.ac.il/complex/compphys/software/geview/data/figures/214819_at.png","Figure")</f>
        <v>Figure</v>
      </c>
      <c r="I9158">
        <v>1.28</v>
      </c>
      <c r="J9158">
        <v>0.15</v>
      </c>
      <c r="K9158">
        <v>1.1299999999999999</v>
      </c>
      <c r="L9158">
        <v>0.52</v>
      </c>
      <c r="M9158">
        <v>0.88100000000000001</v>
      </c>
      <c r="N9158">
        <v>0.53</v>
      </c>
    </row>
    <row r="9159" spans="1:14" x14ac:dyDescent="0.25">
      <c r="A9159" t="s">
        <v>16085</v>
      </c>
      <c r="B9159" t="s">
        <v>1694</v>
      </c>
      <c r="C9159" s="1" t="str">
        <f>HYPERLINK("http://www.genecards.org/cgi-bin/carddisp.pl?gene=MFN2","GeneCards")</f>
        <v>GeneCards</v>
      </c>
      <c r="D9159" s="1" t="str">
        <f>HYPERLINK("http://genome-euro.ucsc.edu/cgi-bin/hgTracks?position=216205_s_at","UCSC")</f>
        <v>UCSC</v>
      </c>
      <c r="E9159" s="1" t="str">
        <f>HYPERLINK("http://www.ncbi.nlm.nih.gov/gene/?term=MFN2","NCBI")</f>
        <v>NCBI</v>
      </c>
      <c r="F9159">
        <v>0.17</v>
      </c>
      <c r="G9159">
        <v>0.32</v>
      </c>
      <c r="H9159" s="1" t="str">
        <f>HYPERLINK("http://www.weizmann.ac.il/complex/compphys/software/geview/data/figures/216205_s_at.png","Figure")</f>
        <v>Figure</v>
      </c>
      <c r="I9159">
        <v>0.876</v>
      </c>
      <c r="J9159">
        <v>0.23</v>
      </c>
      <c r="K9159">
        <v>0.88900000000000001</v>
      </c>
      <c r="L9159">
        <v>0.22</v>
      </c>
      <c r="M9159">
        <v>1.02</v>
      </c>
      <c r="N9159">
        <v>0.98</v>
      </c>
    </row>
    <row r="9160" spans="1:14" x14ac:dyDescent="0.25">
      <c r="A9160" t="s">
        <v>16086</v>
      </c>
      <c r="B9160" t="s">
        <v>5921</v>
      </c>
      <c r="C9160" s="1" t="str">
        <f>HYPERLINK("http://www.genecards.org/cgi-bin/carddisp.pl?gene=RANBP3","GeneCards")</f>
        <v>GeneCards</v>
      </c>
      <c r="D9160" s="1" t="str">
        <f>HYPERLINK("http://genome-euro.ucsc.edu/cgi-bin/hgTracks?position=202640_s_at","UCSC")</f>
        <v>UCSC</v>
      </c>
      <c r="E9160" s="1" t="str">
        <f>HYPERLINK("http://www.ncbi.nlm.nih.gov/gene/?term=RANBP3","NCBI")</f>
        <v>NCBI</v>
      </c>
      <c r="F9160">
        <v>0.17</v>
      </c>
      <c r="G9160">
        <v>0.32</v>
      </c>
      <c r="H9160" s="1" t="str">
        <f>HYPERLINK("http://www.weizmann.ac.il/complex/compphys/software/geview/data/figures/202640_s_at.png","Figure")</f>
        <v>Figure</v>
      </c>
      <c r="I9160">
        <v>1.2</v>
      </c>
      <c r="J9160">
        <v>0.28999999999999998</v>
      </c>
      <c r="K9160">
        <v>0.97</v>
      </c>
      <c r="L9160">
        <v>0.95</v>
      </c>
      <c r="M9160">
        <v>0.80700000000000005</v>
      </c>
      <c r="N9160">
        <v>0.16</v>
      </c>
    </row>
    <row r="9161" spans="1:14" x14ac:dyDescent="0.25">
      <c r="A9161" t="s">
        <v>16087</v>
      </c>
      <c r="B9161" t="s">
        <v>16088</v>
      </c>
      <c r="C9161" s="1" t="str">
        <f>HYPERLINK("http://www.genecards.org/cgi-bin/carddisp.pl?gene=MAP2K1","GeneCards")</f>
        <v>GeneCards</v>
      </c>
      <c r="D9161" s="1" t="str">
        <f>HYPERLINK("http://genome-euro.ucsc.edu/cgi-bin/hgTracks?position=202670_at","UCSC")</f>
        <v>UCSC</v>
      </c>
      <c r="E9161" s="1" t="str">
        <f>HYPERLINK("http://www.ncbi.nlm.nih.gov/gene/?term=MAP2K1","NCBI")</f>
        <v>NCBI</v>
      </c>
      <c r="F9161">
        <v>0.17</v>
      </c>
      <c r="G9161">
        <v>0.32</v>
      </c>
      <c r="H9161" s="1" t="str">
        <f>HYPERLINK("http://www.weizmann.ac.il/complex/compphys/software/geview/data/figures/202670_at.png","Figure")</f>
        <v>Figure</v>
      </c>
      <c r="I9161">
        <v>0.68400000000000005</v>
      </c>
      <c r="J9161">
        <v>0.18</v>
      </c>
      <c r="K9161">
        <v>0.76200000000000001</v>
      </c>
      <c r="L9161">
        <v>0.3</v>
      </c>
      <c r="M9161">
        <v>1.1100000000000001</v>
      </c>
      <c r="N9161">
        <v>0.83</v>
      </c>
    </row>
    <row r="9162" spans="1:14" x14ac:dyDescent="0.25">
      <c r="A9162" t="s">
        <v>16089</v>
      </c>
      <c r="B9162" t="s">
        <v>16090</v>
      </c>
      <c r="C9162" s="1" t="str">
        <f>HYPERLINK("http://www.genecards.org/cgi-bin/carddisp.pl?gene=FRS3","GeneCards")</f>
        <v>GeneCards</v>
      </c>
      <c r="D9162" s="1" t="str">
        <f>HYPERLINK("http://genome-euro.ucsc.edu/cgi-bin/hgTracks?position=219907_at","UCSC")</f>
        <v>UCSC</v>
      </c>
      <c r="E9162" s="1" t="str">
        <f>HYPERLINK("http://www.ncbi.nlm.nih.gov/gene/?term=FRS3","NCBI")</f>
        <v>NCBI</v>
      </c>
      <c r="F9162">
        <v>0.17</v>
      </c>
      <c r="G9162">
        <v>0.32</v>
      </c>
      <c r="H9162" s="1" t="str">
        <f>HYPERLINK("http://www.weizmann.ac.il/complex/compphys/software/geview/data/figures/219907_at.png","Figure")</f>
        <v>Figure</v>
      </c>
      <c r="I9162">
        <v>0.90500000000000003</v>
      </c>
      <c r="J9162">
        <v>0.45</v>
      </c>
      <c r="K9162">
        <v>1.05</v>
      </c>
      <c r="L9162">
        <v>0.75</v>
      </c>
      <c r="M9162">
        <v>1.1599999999999999</v>
      </c>
      <c r="N9162">
        <v>0.15</v>
      </c>
    </row>
    <row r="9163" spans="1:14" x14ac:dyDescent="0.25">
      <c r="A9163" t="s">
        <v>16091</v>
      </c>
      <c r="B9163" t="s">
        <v>11332</v>
      </c>
      <c r="C9163" s="1" t="str">
        <f>HYPERLINK("http://www.genecards.org/cgi-bin/carddisp.pl?gene=ABCA2","GeneCards")</f>
        <v>GeneCards</v>
      </c>
      <c r="D9163" s="1" t="str">
        <f>HYPERLINK("http://genome-euro.ucsc.edu/cgi-bin/hgTracks?position=210100_s_at","UCSC")</f>
        <v>UCSC</v>
      </c>
      <c r="E9163" s="1" t="str">
        <f>HYPERLINK("http://www.ncbi.nlm.nih.gov/gene/?term=ABCA2","NCBI")</f>
        <v>NCBI</v>
      </c>
      <c r="F9163">
        <v>0.17</v>
      </c>
      <c r="G9163">
        <v>0.32</v>
      </c>
      <c r="H9163" s="1" t="str">
        <f>HYPERLINK("http://www.weizmann.ac.il/complex/compphys/software/geview/data/figures/210100_s_at.png","Figure")</f>
        <v>Figure</v>
      </c>
      <c r="I9163">
        <v>0.95599999999999996</v>
      </c>
      <c r="J9163">
        <v>0.8</v>
      </c>
      <c r="K9163">
        <v>1.0900000000000001</v>
      </c>
      <c r="L9163">
        <v>0.41</v>
      </c>
      <c r="M9163">
        <v>1.1399999999999999</v>
      </c>
      <c r="N9163">
        <v>0.17</v>
      </c>
    </row>
    <row r="9164" spans="1:14" x14ac:dyDescent="0.25">
      <c r="A9164" t="s">
        <v>16092</v>
      </c>
      <c r="B9164" t="s">
        <v>16093</v>
      </c>
      <c r="C9164" s="1" t="str">
        <f>HYPERLINK("http://www.genecards.org/cgi-bin/carddisp.pl?gene=IL16","GeneCards")</f>
        <v>GeneCards</v>
      </c>
      <c r="D9164" s="1" t="str">
        <f>HYPERLINK("http://genome-euro.ucsc.edu/cgi-bin/hgTracks?position=209828_s_at","UCSC")</f>
        <v>UCSC</v>
      </c>
      <c r="E9164" s="1" t="str">
        <f>HYPERLINK("http://www.ncbi.nlm.nih.gov/gene/?term=IL16","NCBI")</f>
        <v>NCBI</v>
      </c>
      <c r="F9164">
        <v>0.17</v>
      </c>
      <c r="G9164">
        <v>0.32</v>
      </c>
      <c r="H9164" s="1" t="str">
        <f>HYPERLINK("http://www.weizmann.ac.il/complex/compphys/software/geview/data/figures/209828_s_at.png","Figure")</f>
        <v>Figure</v>
      </c>
      <c r="I9164">
        <v>1.1499999999999999</v>
      </c>
      <c r="J9164">
        <v>0.27</v>
      </c>
      <c r="K9164">
        <v>1.1499999999999999</v>
      </c>
      <c r="L9164">
        <v>0.19</v>
      </c>
      <c r="M9164">
        <v>0.998</v>
      </c>
      <c r="N9164">
        <v>1</v>
      </c>
    </row>
    <row r="9165" spans="1:14" x14ac:dyDescent="0.25">
      <c r="A9165" t="s">
        <v>16094</v>
      </c>
      <c r="B9165" t="s">
        <v>14658</v>
      </c>
      <c r="C9165" s="1" t="str">
        <f>HYPERLINK("http://www.genecards.org/cgi-bin/carddisp.pl?gene=RAB11FIP3","GeneCards")</f>
        <v>GeneCards</v>
      </c>
      <c r="D9165" s="1" t="str">
        <f>HYPERLINK("http://genome-euro.ucsc.edu/cgi-bin/hgTracks?position=214999_s_at","UCSC")</f>
        <v>UCSC</v>
      </c>
      <c r="E9165" s="1" t="str">
        <f>HYPERLINK("http://www.ncbi.nlm.nih.gov/gene/?term=RAB11FIP3","NCBI")</f>
        <v>NCBI</v>
      </c>
      <c r="F9165">
        <v>0.17</v>
      </c>
      <c r="G9165">
        <v>0.32</v>
      </c>
      <c r="H9165" s="1" t="str">
        <f>HYPERLINK("http://www.weizmann.ac.il/complex/compphys/software/geview/data/figures/214999_s_at.png","Figure")</f>
        <v>Figure</v>
      </c>
      <c r="I9165">
        <v>1.05</v>
      </c>
      <c r="J9165">
        <v>0.78</v>
      </c>
      <c r="K9165">
        <v>0.92500000000000004</v>
      </c>
      <c r="L9165">
        <v>0.43</v>
      </c>
      <c r="M9165">
        <v>0.88200000000000001</v>
      </c>
      <c r="N9165">
        <v>0.17</v>
      </c>
    </row>
    <row r="9166" spans="1:14" x14ac:dyDescent="0.25">
      <c r="A9166" t="s">
        <v>16095</v>
      </c>
      <c r="B9166" t="s">
        <v>16096</v>
      </c>
      <c r="C9166" s="1" t="str">
        <f>HYPERLINK("http://www.genecards.org/cgi-bin/carddisp.pl?gene=VCP","GeneCards")</f>
        <v>GeneCards</v>
      </c>
      <c r="D9166" s="1" t="str">
        <f>HYPERLINK("http://genome-euro.ucsc.edu/cgi-bin/hgTracks?position=208649_s_at","UCSC")</f>
        <v>UCSC</v>
      </c>
      <c r="E9166" s="1" t="str">
        <f>HYPERLINK("http://www.ncbi.nlm.nih.gov/gene/?term=VCP","NCBI")</f>
        <v>NCBI</v>
      </c>
      <c r="F9166">
        <v>0.17</v>
      </c>
      <c r="G9166">
        <v>0.32</v>
      </c>
      <c r="H9166" s="1" t="str">
        <f>HYPERLINK("http://www.weizmann.ac.il/complex/compphys/software/geview/data/figures/208649_s_at.png","Figure")</f>
        <v>Figure</v>
      </c>
      <c r="I9166">
        <v>0.749</v>
      </c>
      <c r="J9166">
        <v>0.15</v>
      </c>
      <c r="K9166">
        <v>0.91100000000000003</v>
      </c>
      <c r="L9166">
        <v>0.75</v>
      </c>
      <c r="M9166">
        <v>1.22</v>
      </c>
      <c r="N9166">
        <v>0.35</v>
      </c>
    </row>
    <row r="9167" spans="1:14" x14ac:dyDescent="0.25">
      <c r="A9167" t="s">
        <v>16097</v>
      </c>
      <c r="B9167" t="s">
        <v>16098</v>
      </c>
      <c r="C9167" s="1" t="str">
        <f>HYPERLINK("http://www.genecards.org/cgi-bin/carddisp.pl?gene=USP34","GeneCards")</f>
        <v>GeneCards</v>
      </c>
      <c r="D9167" s="1" t="str">
        <f>HYPERLINK("http://genome-euro.ucsc.edu/cgi-bin/hgTracks?position=207365_x_at","UCSC")</f>
        <v>UCSC</v>
      </c>
      <c r="E9167" s="1" t="str">
        <f>HYPERLINK("http://www.ncbi.nlm.nih.gov/gene/?term=USP34","NCBI")</f>
        <v>NCBI</v>
      </c>
      <c r="F9167">
        <v>0.17</v>
      </c>
      <c r="G9167">
        <v>0.32</v>
      </c>
      <c r="H9167" s="1" t="str">
        <f>HYPERLINK("http://www.weizmann.ac.il/complex/compphys/software/geview/data/figures/207365_x_at.png","Figure")</f>
        <v>Figure</v>
      </c>
      <c r="I9167">
        <v>1.77</v>
      </c>
      <c r="J9167">
        <v>0.23</v>
      </c>
      <c r="K9167">
        <v>1.01</v>
      </c>
      <c r="L9167">
        <v>1</v>
      </c>
      <c r="M9167">
        <v>0.56999999999999995</v>
      </c>
      <c r="N9167">
        <v>0.19</v>
      </c>
    </row>
    <row r="9168" spans="1:14" x14ac:dyDescent="0.25">
      <c r="A9168" t="s">
        <v>16099</v>
      </c>
      <c r="B9168" t="s">
        <v>16100</v>
      </c>
      <c r="C9168" s="1" t="str">
        <f>HYPERLINK("http://www.genecards.org/cgi-bin/carddisp.pl?gene=MRPS10","GeneCards")</f>
        <v>GeneCards</v>
      </c>
      <c r="D9168" s="1" t="str">
        <f>HYPERLINK("http://genome-euro.ucsc.edu/cgi-bin/hgTracks?position=218106_s_at","UCSC")</f>
        <v>UCSC</v>
      </c>
      <c r="E9168" s="1" t="str">
        <f>HYPERLINK("http://www.ncbi.nlm.nih.gov/gene/?term=MRPS10","NCBI")</f>
        <v>NCBI</v>
      </c>
      <c r="F9168">
        <v>0.17</v>
      </c>
      <c r="G9168">
        <v>0.32</v>
      </c>
      <c r="H9168" s="1" t="str">
        <f>HYPERLINK("http://www.weizmann.ac.il/complex/compphys/software/geview/data/figures/218106_s_at.png","Figure")</f>
        <v>Figure</v>
      </c>
      <c r="I9168">
        <v>0.71599999999999997</v>
      </c>
      <c r="J9168">
        <v>0.27</v>
      </c>
      <c r="K9168">
        <v>1.03</v>
      </c>
      <c r="L9168">
        <v>0.98</v>
      </c>
      <c r="M9168">
        <v>1.44</v>
      </c>
      <c r="N9168">
        <v>0.17</v>
      </c>
    </row>
    <row r="9169" spans="1:14" x14ac:dyDescent="0.25">
      <c r="A9169" t="s">
        <v>16101</v>
      </c>
      <c r="B9169" t="s">
        <v>7799</v>
      </c>
      <c r="C9169" s="1" t="str">
        <f>HYPERLINK("http://www.genecards.org/cgi-bin/carddisp.pl?gene=ADO","GeneCards")</f>
        <v>GeneCards</v>
      </c>
      <c r="D9169" s="1" t="str">
        <f>HYPERLINK("http://genome-euro.ucsc.edu/cgi-bin/hgTracks?position=212500_at","UCSC")</f>
        <v>UCSC</v>
      </c>
      <c r="E9169" s="1" t="str">
        <f>HYPERLINK("http://www.ncbi.nlm.nih.gov/gene/?term=ADO","NCBI")</f>
        <v>NCBI</v>
      </c>
      <c r="F9169">
        <v>0.17</v>
      </c>
      <c r="G9169">
        <v>0.32</v>
      </c>
      <c r="H9169" s="1" t="str">
        <f>HYPERLINK("http://www.weizmann.ac.il/complex/compphys/software/geview/data/figures/212500_at.png","Figure")</f>
        <v>Figure</v>
      </c>
      <c r="I9169">
        <v>0.79400000000000004</v>
      </c>
      <c r="J9169">
        <v>0.34</v>
      </c>
      <c r="K9169">
        <v>1.07</v>
      </c>
      <c r="L9169">
        <v>0.89</v>
      </c>
      <c r="M9169">
        <v>1.34</v>
      </c>
      <c r="N9169">
        <v>0.16</v>
      </c>
    </row>
    <row r="9170" spans="1:14" x14ac:dyDescent="0.25">
      <c r="A9170" t="s">
        <v>16102</v>
      </c>
      <c r="B9170" t="s">
        <v>16103</v>
      </c>
      <c r="C9170" s="1" t="str">
        <f>HYPERLINK("http://www.genecards.org/cgi-bin/carddisp.pl?gene=UBFD1","GeneCards")</f>
        <v>GeneCards</v>
      </c>
      <c r="D9170" s="1" t="str">
        <f>HYPERLINK("http://genome-euro.ucsc.edu/cgi-bin/hgTracks?position=205687_at","UCSC")</f>
        <v>UCSC</v>
      </c>
      <c r="E9170" s="1" t="str">
        <f>HYPERLINK("http://www.ncbi.nlm.nih.gov/gene/?term=UBFD1","NCBI")</f>
        <v>NCBI</v>
      </c>
      <c r="F9170">
        <v>0.17</v>
      </c>
      <c r="G9170">
        <v>0.32</v>
      </c>
      <c r="H9170" s="1" t="str">
        <f>HYPERLINK("http://www.weizmann.ac.il/complex/compphys/software/geview/data/figures/205687_at.png","Figure")</f>
        <v>Figure</v>
      </c>
      <c r="I9170">
        <v>0.92600000000000005</v>
      </c>
      <c r="J9170">
        <v>0.75</v>
      </c>
      <c r="K9170">
        <v>1.1200000000000001</v>
      </c>
      <c r="L9170">
        <v>0.45</v>
      </c>
      <c r="M9170">
        <v>1.21</v>
      </c>
      <c r="N9170">
        <v>0.17</v>
      </c>
    </row>
    <row r="9171" spans="1:14" x14ac:dyDescent="0.25">
      <c r="A9171" t="s">
        <v>16104</v>
      </c>
      <c r="B9171" t="s">
        <v>16105</v>
      </c>
      <c r="C9171" s="1" t="str">
        <f>HYPERLINK("http://www.genecards.org/cgi-bin/carddisp.pl?gene=FOLH1","GeneCards")</f>
        <v>GeneCards</v>
      </c>
      <c r="D9171" s="1" t="str">
        <f>HYPERLINK("http://genome-euro.ucsc.edu/cgi-bin/hgTracks?position=217483_at","UCSC")</f>
        <v>UCSC</v>
      </c>
      <c r="E9171" s="1" t="str">
        <f>HYPERLINK("http://www.ncbi.nlm.nih.gov/gene/?term=FOLH1","NCBI")</f>
        <v>NCBI</v>
      </c>
      <c r="F9171">
        <v>0.17</v>
      </c>
      <c r="G9171">
        <v>0.32</v>
      </c>
      <c r="H9171" s="1" t="str">
        <f>HYPERLINK("http://www.weizmann.ac.il/complex/compphys/software/geview/data/figures/217483_at.png","Figure")</f>
        <v>Figure</v>
      </c>
      <c r="I9171">
        <v>1.1200000000000001</v>
      </c>
      <c r="J9171">
        <v>0.19</v>
      </c>
      <c r="K9171">
        <v>1.01</v>
      </c>
      <c r="L9171">
        <v>0.96</v>
      </c>
      <c r="M9171">
        <v>0.90900000000000003</v>
      </c>
      <c r="N9171">
        <v>0.23</v>
      </c>
    </row>
    <row r="9172" spans="1:14" x14ac:dyDescent="0.25">
      <c r="A9172" t="s">
        <v>16106</v>
      </c>
      <c r="B9172" t="s">
        <v>3823</v>
      </c>
      <c r="C9172" s="1" t="str">
        <f>HYPERLINK("http://www.genecards.org/cgi-bin/carddisp.pl?gene=WWOX","GeneCards")</f>
        <v>GeneCards</v>
      </c>
      <c r="D9172" s="1" t="str">
        <f>HYPERLINK("http://genome-euro.ucsc.edu/cgi-bin/hgTracks?position=210695_s_at","UCSC")</f>
        <v>UCSC</v>
      </c>
      <c r="E9172" s="1" t="str">
        <f>HYPERLINK("http://www.ncbi.nlm.nih.gov/gene/?term=WWOX","NCBI")</f>
        <v>NCBI</v>
      </c>
      <c r="F9172">
        <v>0.17</v>
      </c>
      <c r="G9172">
        <v>0.32</v>
      </c>
      <c r="H9172" s="1" t="str">
        <f>HYPERLINK("http://www.weizmann.ac.il/complex/compphys/software/geview/data/figures/210695_s_at.png","Figure")</f>
        <v>Figure</v>
      </c>
      <c r="I9172">
        <v>1.26</v>
      </c>
      <c r="J9172">
        <v>0.22</v>
      </c>
      <c r="K9172">
        <v>1.22</v>
      </c>
      <c r="L9172">
        <v>0.23</v>
      </c>
      <c r="M9172">
        <v>0.96599999999999997</v>
      </c>
      <c r="N9172">
        <v>0.96</v>
      </c>
    </row>
    <row r="9173" spans="1:14" x14ac:dyDescent="0.25">
      <c r="A9173" t="s">
        <v>16107</v>
      </c>
      <c r="B9173" t="s">
        <v>16108</v>
      </c>
      <c r="C9173" s="1" t="str">
        <f>HYPERLINK("http://www.genecards.org/cgi-bin/carddisp.pl?gene=C12orf11","GeneCards")</f>
        <v>GeneCards</v>
      </c>
      <c r="D9173" s="1" t="str">
        <f>HYPERLINK("http://genome-euro.ucsc.edu/cgi-bin/hgTracks?position=221652_s_at","UCSC")</f>
        <v>UCSC</v>
      </c>
      <c r="E9173" s="1" t="str">
        <f>HYPERLINK("http://www.ncbi.nlm.nih.gov/gene/?term=C12orf11","NCBI")</f>
        <v>NCBI</v>
      </c>
      <c r="F9173">
        <v>0.17</v>
      </c>
      <c r="G9173">
        <v>0.32</v>
      </c>
      <c r="H9173" s="1" t="str">
        <f>HYPERLINK("http://www.weizmann.ac.il/complex/compphys/software/geview/data/figures/221652_s_at.png","Figure")</f>
        <v>Figure</v>
      </c>
      <c r="I9173">
        <v>0.58499999999999996</v>
      </c>
      <c r="J9173">
        <v>0.15</v>
      </c>
      <c r="K9173">
        <v>0.83899999999999997</v>
      </c>
      <c r="L9173">
        <v>0.74</v>
      </c>
      <c r="M9173">
        <v>1.43</v>
      </c>
      <c r="N9173">
        <v>0.35</v>
      </c>
    </row>
    <row r="9174" spans="1:14" x14ac:dyDescent="0.25">
      <c r="A9174" t="s">
        <v>16109</v>
      </c>
      <c r="B9174" t="s">
        <v>16110</v>
      </c>
      <c r="C9174" s="1" t="str">
        <f>HYPERLINK("http://www.genecards.org/cgi-bin/carddisp.pl?gene=MAL","GeneCards")</f>
        <v>GeneCards</v>
      </c>
      <c r="D9174" s="1" t="str">
        <f>HYPERLINK("http://genome-euro.ucsc.edu/cgi-bin/hgTracks?position=204777_s_at","UCSC")</f>
        <v>UCSC</v>
      </c>
      <c r="E9174" s="1" t="str">
        <f>HYPERLINK("http://www.ncbi.nlm.nih.gov/gene/?term=MAL","NCBI")</f>
        <v>NCBI</v>
      </c>
      <c r="F9174">
        <v>0.17</v>
      </c>
      <c r="G9174">
        <v>0.32</v>
      </c>
      <c r="H9174" s="1" t="str">
        <f>HYPERLINK("http://www.weizmann.ac.il/complex/compphys/software/geview/data/figures/204777_s_at.png","Figure")</f>
        <v>Figure</v>
      </c>
      <c r="I9174">
        <v>1.18</v>
      </c>
      <c r="J9174">
        <v>0.38</v>
      </c>
      <c r="K9174">
        <v>0.94299999999999995</v>
      </c>
      <c r="L9174">
        <v>0.84</v>
      </c>
      <c r="M9174">
        <v>0.8</v>
      </c>
      <c r="N9174">
        <v>0.15</v>
      </c>
    </row>
    <row r="9175" spans="1:14" x14ac:dyDescent="0.25">
      <c r="A9175" t="s">
        <v>16111</v>
      </c>
      <c r="B9175" t="s">
        <v>16112</v>
      </c>
      <c r="C9175" s="1" t="str">
        <f>HYPERLINK("http://www.genecards.org/cgi-bin/carddisp.pl?gene=DSCR4","GeneCards")</f>
        <v>GeneCards</v>
      </c>
      <c r="D9175" s="1" t="str">
        <f>HYPERLINK("http://genome-euro.ucsc.edu/cgi-bin/hgTracks?position=207258_at","UCSC")</f>
        <v>UCSC</v>
      </c>
      <c r="E9175" s="1" t="str">
        <f>HYPERLINK("http://www.ncbi.nlm.nih.gov/gene/?term=DSCR4","NCBI")</f>
        <v>NCBI</v>
      </c>
      <c r="F9175">
        <v>0.17</v>
      </c>
      <c r="G9175">
        <v>0.32</v>
      </c>
      <c r="H9175" s="1" t="str">
        <f>HYPERLINK("http://www.weizmann.ac.il/complex/compphys/software/geview/data/figures/207258_at.png","Figure")</f>
        <v>Figure</v>
      </c>
      <c r="I9175">
        <v>1.1599999999999999</v>
      </c>
      <c r="J9175">
        <v>0.25</v>
      </c>
      <c r="K9175">
        <v>0.99199999999999999</v>
      </c>
      <c r="L9175">
        <v>0.99</v>
      </c>
      <c r="M9175">
        <v>0.85599999999999998</v>
      </c>
      <c r="N9175">
        <v>0.18</v>
      </c>
    </row>
    <row r="9176" spans="1:14" x14ac:dyDescent="0.25">
      <c r="A9176" t="s">
        <v>16113</v>
      </c>
      <c r="B9176" t="s">
        <v>16114</v>
      </c>
      <c r="C9176" s="1" t="str">
        <f>HYPERLINK("http://www.genecards.org/cgi-bin/carddisp.pl?gene=SNCB","GeneCards")</f>
        <v>GeneCards</v>
      </c>
      <c r="D9176" s="1" t="str">
        <f>HYPERLINK("http://genome-euro.ucsc.edu/cgi-bin/hgTracks?position=207853_s_at","UCSC")</f>
        <v>UCSC</v>
      </c>
      <c r="E9176" s="1" t="str">
        <f>HYPERLINK("http://www.ncbi.nlm.nih.gov/gene/?term=SNCB","NCBI")</f>
        <v>NCBI</v>
      </c>
      <c r="F9176">
        <v>0.17</v>
      </c>
      <c r="G9176">
        <v>0.32</v>
      </c>
      <c r="H9176" s="1" t="str">
        <f>HYPERLINK("http://www.weizmann.ac.il/complex/compphys/software/geview/data/figures/207853_s_at.png","Figure")</f>
        <v>Figure</v>
      </c>
      <c r="I9176">
        <v>1.1299999999999999</v>
      </c>
      <c r="J9176">
        <v>0.17</v>
      </c>
      <c r="K9176">
        <v>1.08</v>
      </c>
      <c r="L9176">
        <v>0.35</v>
      </c>
      <c r="M9176">
        <v>0.95599999999999996</v>
      </c>
      <c r="N9176">
        <v>0.74</v>
      </c>
    </row>
    <row r="9177" spans="1:14" x14ac:dyDescent="0.25">
      <c r="A9177" t="s">
        <v>16115</v>
      </c>
      <c r="B9177" t="s">
        <v>16116</v>
      </c>
      <c r="C9177" s="1" t="str">
        <f>HYPERLINK("http://www.genecards.org/cgi-bin/carddisp.pl?gene=GABARAPL3","GeneCards")</f>
        <v>GeneCards</v>
      </c>
      <c r="D9177" s="1" t="str">
        <f>HYPERLINK("http://genome-euro.ucsc.edu/cgi-bin/hgTracks?position=211457_at","UCSC")</f>
        <v>UCSC</v>
      </c>
      <c r="E9177" s="1" t="str">
        <f>HYPERLINK("http://www.ncbi.nlm.nih.gov/gene/?term=GABARAPL3","NCBI")</f>
        <v>NCBI</v>
      </c>
      <c r="F9177">
        <v>0.17</v>
      </c>
      <c r="G9177">
        <v>0.32</v>
      </c>
      <c r="H9177" s="1" t="str">
        <f>HYPERLINK("http://www.weizmann.ac.il/complex/compphys/software/geview/data/figures/211457_at.png","Figure")</f>
        <v>Figure</v>
      </c>
      <c r="I9177">
        <v>1.23</v>
      </c>
      <c r="J9177">
        <v>0.17</v>
      </c>
      <c r="K9177">
        <v>1.1499999999999999</v>
      </c>
      <c r="L9177">
        <v>0.34</v>
      </c>
      <c r="M9177">
        <v>0.93400000000000005</v>
      </c>
      <c r="N9177">
        <v>0.77</v>
      </c>
    </row>
    <row r="9178" spans="1:14" x14ac:dyDescent="0.25">
      <c r="A9178" t="s">
        <v>16117</v>
      </c>
      <c r="B9178" t="s">
        <v>3541</v>
      </c>
      <c r="C9178" s="1" t="str">
        <f>HYPERLINK("http://www.genecards.org/cgi-bin/carddisp.pl?gene=POLDIP3","GeneCards")</f>
        <v>GeneCards</v>
      </c>
      <c r="D9178" s="1" t="str">
        <f>HYPERLINK("http://genome-euro.ucsc.edu/cgi-bin/hgTracks?position=215357_s_at","UCSC")</f>
        <v>UCSC</v>
      </c>
      <c r="E9178" s="1" t="str">
        <f>HYPERLINK("http://www.ncbi.nlm.nih.gov/gene/?term=POLDIP3","NCBI")</f>
        <v>NCBI</v>
      </c>
      <c r="F9178">
        <v>0.17</v>
      </c>
      <c r="G9178">
        <v>0.32</v>
      </c>
      <c r="H9178" s="1" t="str">
        <f>HYPERLINK("http://www.weizmann.ac.il/complex/compphys/software/geview/data/figures/215357_s_at.png","Figure")</f>
        <v>Figure</v>
      </c>
      <c r="I9178">
        <v>0.95899999999999996</v>
      </c>
      <c r="J9178">
        <v>0.77</v>
      </c>
      <c r="K9178">
        <v>0.90200000000000002</v>
      </c>
      <c r="L9178">
        <v>0.16</v>
      </c>
      <c r="M9178">
        <v>0.94</v>
      </c>
      <c r="N9178">
        <v>0.53</v>
      </c>
    </row>
    <row r="9179" spans="1:14" x14ac:dyDescent="0.25">
      <c r="A9179" t="s">
        <v>16118</v>
      </c>
      <c r="B9179" t="s">
        <v>16119</v>
      </c>
      <c r="C9179" s="1" t="str">
        <f>HYPERLINK("http://www.genecards.org/cgi-bin/carddisp.pl?gene=ZNF280A","GeneCards")</f>
        <v>GeneCards</v>
      </c>
      <c r="D9179" s="1" t="str">
        <f>HYPERLINK("http://genome-euro.ucsc.edu/cgi-bin/hgTracks?position=216034_at","UCSC")</f>
        <v>UCSC</v>
      </c>
      <c r="E9179" s="1" t="str">
        <f>HYPERLINK("http://www.ncbi.nlm.nih.gov/gene/?term=ZNF280A","NCBI")</f>
        <v>NCBI</v>
      </c>
      <c r="F9179">
        <v>0.17</v>
      </c>
      <c r="G9179">
        <v>0.32</v>
      </c>
      <c r="H9179" s="1" t="str">
        <f>HYPERLINK("http://www.weizmann.ac.il/complex/compphys/software/geview/data/figures/216034_at.png","Figure")</f>
        <v>Figure</v>
      </c>
      <c r="I9179">
        <v>1.1100000000000001</v>
      </c>
      <c r="J9179">
        <v>0.3</v>
      </c>
      <c r="K9179">
        <v>0.98199999999999998</v>
      </c>
      <c r="L9179">
        <v>0.95</v>
      </c>
      <c r="M9179">
        <v>0.88200000000000001</v>
      </c>
      <c r="N9179">
        <v>0.16</v>
      </c>
    </row>
    <row r="9180" spans="1:14" x14ac:dyDescent="0.25">
      <c r="A9180" t="s">
        <v>16120</v>
      </c>
      <c r="B9180" t="s">
        <v>3056</v>
      </c>
      <c r="C9180" s="1" t="str">
        <f>HYPERLINK("http://www.genecards.org/cgi-bin/carddisp.pl?gene=BCAT2","GeneCards")</f>
        <v>GeneCards</v>
      </c>
      <c r="D9180" s="1" t="str">
        <f>HYPERLINK("http://genome-euro.ucsc.edu/cgi-bin/hgTracks?position=203576_at","UCSC")</f>
        <v>UCSC</v>
      </c>
      <c r="E9180" s="1" t="str">
        <f>HYPERLINK("http://www.ncbi.nlm.nih.gov/gene/?term=BCAT2","NCBI")</f>
        <v>NCBI</v>
      </c>
      <c r="F9180">
        <v>0.17</v>
      </c>
      <c r="G9180">
        <v>0.32</v>
      </c>
      <c r="H9180" s="1" t="str">
        <f>HYPERLINK("http://www.weizmann.ac.il/complex/compphys/software/geview/data/figures/203576_at.png","Figure")</f>
        <v>Figure</v>
      </c>
      <c r="I9180">
        <v>1.1499999999999999</v>
      </c>
      <c r="J9180">
        <v>0.48</v>
      </c>
      <c r="K9180">
        <v>1.23</v>
      </c>
      <c r="L9180">
        <v>0.15</v>
      </c>
      <c r="M9180">
        <v>1.07</v>
      </c>
      <c r="N9180">
        <v>0.82</v>
      </c>
    </row>
    <row r="9181" spans="1:14" x14ac:dyDescent="0.25">
      <c r="A9181" t="s">
        <v>16121</v>
      </c>
      <c r="B9181" t="s">
        <v>16122</v>
      </c>
      <c r="C9181" s="1" t="str">
        <f>HYPERLINK("http://www.genecards.org/cgi-bin/carddisp.pl?gene=CTAG2","GeneCards")</f>
        <v>GeneCards</v>
      </c>
      <c r="D9181" s="1" t="str">
        <f>HYPERLINK("http://genome-euro.ucsc.edu/cgi-bin/hgTracks?position=215733_x_at","UCSC")</f>
        <v>UCSC</v>
      </c>
      <c r="E9181" s="1" t="str">
        <f>HYPERLINK("http://www.ncbi.nlm.nih.gov/gene/?term=CTAG2","NCBI")</f>
        <v>NCBI</v>
      </c>
      <c r="F9181">
        <v>0.17</v>
      </c>
      <c r="G9181">
        <v>0.32</v>
      </c>
      <c r="H9181" s="1" t="str">
        <f>HYPERLINK("http://www.weizmann.ac.il/complex/compphys/software/geview/data/figures/215733_x_at.png","Figure")</f>
        <v>Figure</v>
      </c>
      <c r="I9181">
        <v>1.02</v>
      </c>
      <c r="J9181">
        <v>0.85</v>
      </c>
      <c r="K9181">
        <v>0.96399999999999997</v>
      </c>
      <c r="L9181">
        <v>0.38</v>
      </c>
      <c r="M9181">
        <v>0.94799999999999995</v>
      </c>
      <c r="N9181">
        <v>0.18</v>
      </c>
    </row>
    <row r="9182" spans="1:14" x14ac:dyDescent="0.25">
      <c r="A9182" t="s">
        <v>16123</v>
      </c>
      <c r="B9182" t="s">
        <v>16124</v>
      </c>
      <c r="C9182" s="1" t="str">
        <f>HYPERLINK("http://www.genecards.org/cgi-bin/carddisp.pl?gene=MTSS1","GeneCards")</f>
        <v>GeneCards</v>
      </c>
      <c r="D9182" s="1" t="str">
        <f>HYPERLINK("http://genome-euro.ucsc.edu/cgi-bin/hgTracks?position=203037_s_at","UCSC")</f>
        <v>UCSC</v>
      </c>
      <c r="E9182" s="1" t="str">
        <f>HYPERLINK("http://www.ncbi.nlm.nih.gov/gene/?term=MTSS1","NCBI")</f>
        <v>NCBI</v>
      </c>
      <c r="F9182">
        <v>0.17</v>
      </c>
      <c r="G9182">
        <v>0.32</v>
      </c>
      <c r="H9182" s="1" t="str">
        <f>HYPERLINK("http://www.weizmann.ac.il/complex/compphys/software/geview/data/figures/203037_s_at.png","Figure")</f>
        <v>Figure</v>
      </c>
      <c r="I9182">
        <v>0.52400000000000002</v>
      </c>
      <c r="J9182">
        <v>0.35</v>
      </c>
      <c r="K9182">
        <v>0.47</v>
      </c>
      <c r="L9182">
        <v>0.17</v>
      </c>
      <c r="M9182">
        <v>0.89700000000000002</v>
      </c>
      <c r="N9182">
        <v>0.96</v>
      </c>
    </row>
    <row r="9183" spans="1:14" x14ac:dyDescent="0.25">
      <c r="A9183" t="s">
        <v>16125</v>
      </c>
      <c r="B9183" t="s">
        <v>16126</v>
      </c>
      <c r="C9183" s="1" t="str">
        <f>HYPERLINK("http://www.genecards.org/cgi-bin/carddisp.pl?gene=SERPINB10","GeneCards")</f>
        <v>GeneCards</v>
      </c>
      <c r="D9183" s="1" t="str">
        <f>HYPERLINK("http://genome-euro.ucsc.edu/cgi-bin/hgTracks?position=214539_at","UCSC")</f>
        <v>UCSC</v>
      </c>
      <c r="E9183" s="1" t="str">
        <f>HYPERLINK("http://www.ncbi.nlm.nih.gov/gene/?term=SERPINB10","NCBI")</f>
        <v>NCBI</v>
      </c>
      <c r="F9183">
        <v>0.17</v>
      </c>
      <c r="G9183">
        <v>0.32</v>
      </c>
      <c r="H9183" s="1" t="str">
        <f>HYPERLINK("http://www.weizmann.ac.il/complex/compphys/software/geview/data/figures/214539_at.png","Figure")</f>
        <v>Figure</v>
      </c>
      <c r="I9183">
        <v>1.18</v>
      </c>
      <c r="J9183">
        <v>0.15</v>
      </c>
      <c r="K9183">
        <v>1.0900000000000001</v>
      </c>
      <c r="L9183">
        <v>0.48</v>
      </c>
      <c r="M9183">
        <v>0.92400000000000004</v>
      </c>
      <c r="N9183">
        <v>0.56999999999999995</v>
      </c>
    </row>
    <row r="9184" spans="1:14" x14ac:dyDescent="0.25">
      <c r="A9184" t="s">
        <v>16127</v>
      </c>
      <c r="B9184" t="s">
        <v>16128</v>
      </c>
      <c r="C9184" s="1" t="str">
        <f>HYPERLINK("http://www.genecards.org/cgi-bin/carddisp.pl?gene=NPEPPS","GeneCards")</f>
        <v>GeneCards</v>
      </c>
      <c r="D9184" s="1" t="str">
        <f>HYPERLINK("http://genome-euro.ucsc.edu/cgi-bin/hgTracks?position=201454_s_at","UCSC")</f>
        <v>UCSC</v>
      </c>
      <c r="E9184" s="1" t="str">
        <f>HYPERLINK("http://www.ncbi.nlm.nih.gov/gene/?term=NPEPPS","NCBI")</f>
        <v>NCBI</v>
      </c>
      <c r="F9184">
        <v>0.17</v>
      </c>
      <c r="G9184">
        <v>0.32</v>
      </c>
      <c r="H9184" s="1" t="str">
        <f>HYPERLINK("http://www.weizmann.ac.il/complex/compphys/software/geview/data/figures/201454_s_at.png","Figure")</f>
        <v>Figure</v>
      </c>
      <c r="I9184">
        <v>0.875</v>
      </c>
      <c r="J9184">
        <v>0.77</v>
      </c>
      <c r="K9184">
        <v>0.72099999999999997</v>
      </c>
      <c r="L9184">
        <v>0.16</v>
      </c>
      <c r="M9184">
        <v>0.82299999999999995</v>
      </c>
      <c r="N9184">
        <v>0.53</v>
      </c>
    </row>
    <row r="9185" spans="1:14" x14ac:dyDescent="0.25">
      <c r="A9185" t="s">
        <v>16129</v>
      </c>
      <c r="B9185" t="s">
        <v>16130</v>
      </c>
      <c r="C9185" s="1" t="str">
        <f>HYPERLINK("http://www.genecards.org/cgi-bin/carddisp.pl?gene=HSPA6","GeneCards")</f>
        <v>GeneCards</v>
      </c>
      <c r="D9185" s="1" t="str">
        <f>HYPERLINK("http://genome-euro.ucsc.edu/cgi-bin/hgTracks?position=117_at","UCSC")</f>
        <v>UCSC</v>
      </c>
      <c r="E9185" s="1" t="str">
        <f>HYPERLINK("http://www.ncbi.nlm.nih.gov/gene/?term=HSPA6","NCBI")</f>
        <v>NCBI</v>
      </c>
      <c r="F9185">
        <v>0.17</v>
      </c>
      <c r="G9185">
        <v>0.32</v>
      </c>
      <c r="H9185" s="1" t="str">
        <f>HYPERLINK("http://www.weizmann.ac.il/complex/compphys/software/geview/data/figures/117_at.png","Figure")</f>
        <v>Figure</v>
      </c>
      <c r="I9185">
        <v>1.1599999999999999</v>
      </c>
      <c r="J9185">
        <v>0.15</v>
      </c>
      <c r="K9185">
        <v>1.08</v>
      </c>
      <c r="L9185">
        <v>0.49</v>
      </c>
      <c r="M9185">
        <v>0.93100000000000005</v>
      </c>
      <c r="N9185">
        <v>0.56999999999999995</v>
      </c>
    </row>
    <row r="9186" spans="1:14" x14ac:dyDescent="0.25">
      <c r="A9186" t="s">
        <v>16131</v>
      </c>
      <c r="B9186" t="s">
        <v>16132</v>
      </c>
      <c r="C9186" s="1" t="str">
        <f>HYPERLINK("http://www.genecards.org/cgi-bin/carddisp.pl?gene=PYCR1","GeneCards")</f>
        <v>GeneCards</v>
      </c>
      <c r="D9186" s="1" t="str">
        <f>HYPERLINK("http://genome-euro.ucsc.edu/cgi-bin/hgTracks?position=202148_s_at","UCSC")</f>
        <v>UCSC</v>
      </c>
      <c r="E9186" s="1" t="str">
        <f>HYPERLINK("http://www.ncbi.nlm.nih.gov/gene/?term=PYCR1","NCBI")</f>
        <v>NCBI</v>
      </c>
      <c r="F9186">
        <v>0.17</v>
      </c>
      <c r="G9186">
        <v>0.32</v>
      </c>
      <c r="H9186" s="1" t="str">
        <f>HYPERLINK("http://www.weizmann.ac.il/complex/compphys/software/geview/data/figures/202148_s_at.png","Figure")</f>
        <v>Figure</v>
      </c>
      <c r="I9186">
        <v>1.23</v>
      </c>
      <c r="J9186">
        <v>0.18</v>
      </c>
      <c r="K9186">
        <v>1.1599999999999999</v>
      </c>
      <c r="L9186">
        <v>0.3</v>
      </c>
      <c r="M9186">
        <v>0.94399999999999995</v>
      </c>
      <c r="N9186">
        <v>0.84</v>
      </c>
    </row>
    <row r="9187" spans="1:14" x14ac:dyDescent="0.25">
      <c r="A9187" t="s">
        <v>16133</v>
      </c>
      <c r="B9187" t="s">
        <v>16134</v>
      </c>
      <c r="C9187" s="1" t="str">
        <f>HYPERLINK("http://www.genecards.org/cgi-bin/carddisp.pl?gene=TLR5","GeneCards")</f>
        <v>GeneCards</v>
      </c>
      <c r="D9187" s="1" t="str">
        <f>HYPERLINK("http://genome-euro.ucsc.edu/cgi-bin/hgTracks?position=210166_at","UCSC")</f>
        <v>UCSC</v>
      </c>
      <c r="E9187" s="1" t="str">
        <f>HYPERLINK("http://www.ncbi.nlm.nih.gov/gene/?term=TLR5","NCBI")</f>
        <v>NCBI</v>
      </c>
      <c r="F9187">
        <v>0.17</v>
      </c>
      <c r="G9187">
        <v>0.32</v>
      </c>
      <c r="H9187" s="1" t="str">
        <f>HYPERLINK("http://www.weizmann.ac.il/complex/compphys/software/geview/data/figures/210166_at.png","Figure")</f>
        <v>Figure</v>
      </c>
      <c r="I9187">
        <v>1.1000000000000001</v>
      </c>
      <c r="J9187">
        <v>0.39</v>
      </c>
      <c r="K9187">
        <v>0.96399999999999997</v>
      </c>
      <c r="L9187">
        <v>0.83</v>
      </c>
      <c r="M9187">
        <v>0.876</v>
      </c>
      <c r="N9187">
        <v>0.15</v>
      </c>
    </row>
    <row r="9188" spans="1:14" x14ac:dyDescent="0.25">
      <c r="A9188" t="s">
        <v>16135</v>
      </c>
      <c r="B9188" t="s">
        <v>16136</v>
      </c>
      <c r="C9188" s="1" t="str">
        <f>HYPERLINK("http://www.genecards.org/cgi-bin/carddisp.pl?gene=ETFB","GeneCards")</f>
        <v>GeneCards</v>
      </c>
      <c r="D9188" s="1" t="str">
        <f>HYPERLINK("http://genome-euro.ucsc.edu/cgi-bin/hgTracks?position=202942_at","UCSC")</f>
        <v>UCSC</v>
      </c>
      <c r="E9188" s="1" t="str">
        <f>HYPERLINK("http://www.ncbi.nlm.nih.gov/gene/?term=ETFB","NCBI")</f>
        <v>NCBI</v>
      </c>
      <c r="F9188">
        <v>0.17</v>
      </c>
      <c r="G9188">
        <v>0.32</v>
      </c>
      <c r="H9188" s="1" t="str">
        <f>HYPERLINK("http://www.weizmann.ac.il/complex/compphys/software/geview/data/figures/202942_at.png","Figure")</f>
        <v>Figure</v>
      </c>
      <c r="I9188">
        <v>0.84099999999999997</v>
      </c>
      <c r="J9188">
        <v>0.52</v>
      </c>
      <c r="K9188">
        <v>1.1299999999999999</v>
      </c>
      <c r="L9188">
        <v>0.67</v>
      </c>
      <c r="M9188">
        <v>1.34</v>
      </c>
      <c r="N9188">
        <v>0.15</v>
      </c>
    </row>
    <row r="9189" spans="1:14" x14ac:dyDescent="0.25">
      <c r="A9189" t="s">
        <v>16137</v>
      </c>
      <c r="B9189" t="s">
        <v>16138</v>
      </c>
      <c r="C9189" s="1" t="str">
        <f>HYPERLINK("http://www.genecards.org/cgi-bin/carddisp.pl?gene=NDUFC1","GeneCards")</f>
        <v>GeneCards</v>
      </c>
      <c r="D9189" s="1" t="str">
        <f>HYPERLINK("http://genome-euro.ucsc.edu/cgi-bin/hgTracks?position=203478_at","UCSC")</f>
        <v>UCSC</v>
      </c>
      <c r="E9189" s="1" t="str">
        <f>HYPERLINK("http://www.ncbi.nlm.nih.gov/gene/?term=NDUFC1","NCBI")</f>
        <v>NCBI</v>
      </c>
      <c r="F9189">
        <v>0.17</v>
      </c>
      <c r="G9189">
        <v>0.32</v>
      </c>
      <c r="H9189" s="1" t="str">
        <f>HYPERLINK("http://www.weizmann.ac.il/complex/compphys/software/geview/data/figures/203478_at.png","Figure")</f>
        <v>Figure</v>
      </c>
      <c r="I9189">
        <v>0.871</v>
      </c>
      <c r="J9189">
        <v>0.61</v>
      </c>
      <c r="K9189">
        <v>1.1399999999999999</v>
      </c>
      <c r="L9189">
        <v>0.57999999999999996</v>
      </c>
      <c r="M9189">
        <v>1.31</v>
      </c>
      <c r="N9189">
        <v>0.15</v>
      </c>
    </row>
    <row r="9190" spans="1:14" x14ac:dyDescent="0.25">
      <c r="A9190" t="s">
        <v>16139</v>
      </c>
      <c r="B9190" t="s">
        <v>10558</v>
      </c>
      <c r="C9190" s="1" t="str">
        <f>HYPERLINK("http://www.genecards.org/cgi-bin/carddisp.pl?gene=MTF1","GeneCards")</f>
        <v>GeneCards</v>
      </c>
      <c r="D9190" s="1" t="str">
        <f>HYPERLINK("http://genome-euro.ucsc.edu/cgi-bin/hgTracks?position=205323_s_at","UCSC")</f>
        <v>UCSC</v>
      </c>
      <c r="E9190" s="1" t="str">
        <f>HYPERLINK("http://www.ncbi.nlm.nih.gov/gene/?term=MTF1","NCBI")</f>
        <v>NCBI</v>
      </c>
      <c r="F9190">
        <v>0.17</v>
      </c>
      <c r="G9190">
        <v>0.32</v>
      </c>
      <c r="H9190" s="1" t="str">
        <f>HYPERLINK("http://www.weizmann.ac.il/complex/compphys/software/geview/data/figures/205323_s_at.png","Figure")</f>
        <v>Figure</v>
      </c>
      <c r="I9190">
        <v>0.95899999999999996</v>
      </c>
      <c r="J9190">
        <v>0.89</v>
      </c>
      <c r="K9190">
        <v>0.86099999999999999</v>
      </c>
      <c r="L9190">
        <v>0.17</v>
      </c>
      <c r="M9190">
        <v>0.89700000000000002</v>
      </c>
      <c r="N9190">
        <v>0.42</v>
      </c>
    </row>
    <row r="9191" spans="1:14" x14ac:dyDescent="0.25">
      <c r="A9191" t="s">
        <v>16140</v>
      </c>
      <c r="B9191" t="s">
        <v>9908</v>
      </c>
      <c r="C9191" s="1" t="str">
        <f>HYPERLINK("http://www.genecards.org/cgi-bin/carddisp.pl?gene=NF1","GeneCards")</f>
        <v>GeneCards</v>
      </c>
      <c r="D9191" s="1" t="str">
        <f>HYPERLINK("http://genome-euro.ucsc.edu/cgi-bin/hgTracks?position=204323_x_at","UCSC")</f>
        <v>UCSC</v>
      </c>
      <c r="E9191" s="1" t="str">
        <f>HYPERLINK("http://www.ncbi.nlm.nih.gov/gene/?term=NF1","NCBI")</f>
        <v>NCBI</v>
      </c>
      <c r="F9191">
        <v>0.17</v>
      </c>
      <c r="G9191">
        <v>0.32</v>
      </c>
      <c r="H9191" s="1" t="str">
        <f>HYPERLINK("http://www.weizmann.ac.il/complex/compphys/software/geview/data/figures/204323_x_at.png","Figure")</f>
        <v>Figure</v>
      </c>
      <c r="I9191">
        <v>0.89200000000000002</v>
      </c>
      <c r="J9191">
        <v>0.16</v>
      </c>
      <c r="K9191">
        <v>0.96699999999999997</v>
      </c>
      <c r="L9191">
        <v>0.78</v>
      </c>
      <c r="M9191">
        <v>1.08</v>
      </c>
      <c r="N9191">
        <v>0.33</v>
      </c>
    </row>
    <row r="9192" spans="1:14" x14ac:dyDescent="0.25">
      <c r="A9192" t="s">
        <v>16141</v>
      </c>
      <c r="B9192" t="s">
        <v>16142</v>
      </c>
      <c r="C9192" s="1" t="str">
        <f>HYPERLINK("http://www.genecards.org/cgi-bin/carddisp.pl?gene=PCTK2","GeneCards")</f>
        <v>GeneCards</v>
      </c>
      <c r="D9192" s="1" t="str">
        <f>HYPERLINK("http://genome-euro.ucsc.edu/cgi-bin/hgTracks?position=206474_at","UCSC")</f>
        <v>UCSC</v>
      </c>
      <c r="E9192" s="1" t="str">
        <f>HYPERLINK("http://www.ncbi.nlm.nih.gov/gene/?term=PCTK2","NCBI")</f>
        <v>NCBI</v>
      </c>
      <c r="F9192">
        <v>0.17</v>
      </c>
      <c r="G9192">
        <v>0.32</v>
      </c>
      <c r="H9192" s="1" t="str">
        <f>HYPERLINK("http://www.weizmann.ac.il/complex/compphys/software/geview/data/figures/206474_at.png","Figure")</f>
        <v>Figure</v>
      </c>
      <c r="I9192">
        <v>0.96199999999999997</v>
      </c>
      <c r="J9192">
        <v>0.93</v>
      </c>
      <c r="K9192">
        <v>0.83399999999999996</v>
      </c>
      <c r="L9192">
        <v>0.18</v>
      </c>
      <c r="M9192">
        <v>0.86699999999999999</v>
      </c>
      <c r="N9192">
        <v>0.38</v>
      </c>
    </row>
    <row r="9193" spans="1:14" x14ac:dyDescent="0.25">
      <c r="A9193" t="s">
        <v>16143</v>
      </c>
      <c r="B9193" t="s">
        <v>16144</v>
      </c>
      <c r="C9193" s="1" t="str">
        <f>HYPERLINK("http://www.genecards.org/cgi-bin/carddisp.pl?gene=SEMA6C","GeneCards")</f>
        <v>GeneCards</v>
      </c>
      <c r="D9193" s="1" t="str">
        <f>HYPERLINK("http://genome-euro.ucsc.edu/cgi-bin/hgTracks?position=208100_x_at","UCSC")</f>
        <v>UCSC</v>
      </c>
      <c r="E9193" s="1" t="str">
        <f>HYPERLINK("http://www.ncbi.nlm.nih.gov/gene/?term=SEMA6C","NCBI")</f>
        <v>NCBI</v>
      </c>
      <c r="F9193">
        <v>0.17</v>
      </c>
      <c r="G9193">
        <v>0.32</v>
      </c>
      <c r="H9193" s="1" t="str">
        <f>HYPERLINK("http://www.weizmann.ac.il/complex/compphys/software/geview/data/figures/208100_x_at.png","Figure")</f>
        <v>Figure</v>
      </c>
      <c r="I9193">
        <v>1.3</v>
      </c>
      <c r="J9193">
        <v>0.16</v>
      </c>
      <c r="K9193">
        <v>1.0900000000000001</v>
      </c>
      <c r="L9193">
        <v>0.76</v>
      </c>
      <c r="M9193">
        <v>0.83699999999999997</v>
      </c>
      <c r="N9193">
        <v>0.35</v>
      </c>
    </row>
    <row r="9194" spans="1:14" x14ac:dyDescent="0.25">
      <c r="A9194" t="s">
        <v>16145</v>
      </c>
      <c r="B9194" t="s">
        <v>16146</v>
      </c>
      <c r="C9194" s="1" t="str">
        <f>HYPERLINK("http://www.genecards.org/cgi-bin/carddisp.pl?gene=TFEB","GeneCards")</f>
        <v>GeneCards</v>
      </c>
      <c r="D9194" s="1" t="str">
        <f>HYPERLINK("http://genome-euro.ucsc.edu/cgi-bin/hgTracks?position=221866_at","UCSC")</f>
        <v>UCSC</v>
      </c>
      <c r="E9194" s="1" t="str">
        <f>HYPERLINK("http://www.ncbi.nlm.nih.gov/gene/?term=TFEB","NCBI")</f>
        <v>NCBI</v>
      </c>
      <c r="F9194">
        <v>0.17</v>
      </c>
      <c r="G9194">
        <v>0.32</v>
      </c>
      <c r="H9194" s="1" t="str">
        <f>HYPERLINK("http://www.weizmann.ac.il/complex/compphys/software/geview/data/figures/221866_at.png","Figure")</f>
        <v>Figure</v>
      </c>
      <c r="I9194">
        <v>1.25</v>
      </c>
      <c r="J9194">
        <v>0.16</v>
      </c>
      <c r="K9194">
        <v>1.1399999999999999</v>
      </c>
      <c r="L9194">
        <v>0.42</v>
      </c>
      <c r="M9194">
        <v>0.90900000000000003</v>
      </c>
      <c r="N9194">
        <v>0.65</v>
      </c>
    </row>
    <row r="9195" spans="1:14" x14ac:dyDescent="0.25">
      <c r="A9195" t="s">
        <v>16147</v>
      </c>
      <c r="B9195" t="s">
        <v>16148</v>
      </c>
      <c r="C9195" s="1" t="str">
        <f>HYPERLINK("http://www.genecards.org/cgi-bin/carddisp.pl?gene=MAP2K4","GeneCards")</f>
        <v>GeneCards</v>
      </c>
      <c r="D9195" s="1" t="str">
        <f>HYPERLINK("http://genome-euro.ucsc.edu/cgi-bin/hgTracks?position=203266_s_at","UCSC")</f>
        <v>UCSC</v>
      </c>
      <c r="E9195" s="1" t="str">
        <f>HYPERLINK("http://www.ncbi.nlm.nih.gov/gene/?term=MAP2K4","NCBI")</f>
        <v>NCBI</v>
      </c>
      <c r="F9195">
        <v>0.17</v>
      </c>
      <c r="G9195">
        <v>0.32</v>
      </c>
      <c r="H9195" s="1" t="str">
        <f>HYPERLINK("http://www.weizmann.ac.il/complex/compphys/software/geview/data/figures/203266_s_at.png","Figure")</f>
        <v>Figure</v>
      </c>
      <c r="I9195">
        <v>0.66100000000000003</v>
      </c>
      <c r="J9195">
        <v>0.28000000000000003</v>
      </c>
      <c r="K9195">
        <v>1.05</v>
      </c>
      <c r="L9195">
        <v>0.98</v>
      </c>
      <c r="M9195">
        <v>1.59</v>
      </c>
      <c r="N9195">
        <v>0.17</v>
      </c>
    </row>
    <row r="9196" spans="1:14" x14ac:dyDescent="0.25">
      <c r="A9196" t="s">
        <v>16149</v>
      </c>
      <c r="B9196" t="s">
        <v>16150</v>
      </c>
      <c r="C9196" s="1" t="str">
        <f>HYPERLINK("http://www.genecards.org/cgi-bin/carddisp.pl?gene=SYNRG","GeneCards")</f>
        <v>GeneCards</v>
      </c>
      <c r="D9196" s="1" t="str">
        <f>HYPERLINK("http://genome-euro.ucsc.edu/cgi-bin/hgTracks?position=64418_at","UCSC")</f>
        <v>UCSC</v>
      </c>
      <c r="E9196" s="1" t="str">
        <f>HYPERLINK("http://www.ncbi.nlm.nih.gov/gene/?term=SYNRG","NCBI")</f>
        <v>NCBI</v>
      </c>
      <c r="F9196">
        <v>0.17</v>
      </c>
      <c r="G9196">
        <v>0.32</v>
      </c>
      <c r="H9196" s="1" t="str">
        <f>HYPERLINK("http://www.weizmann.ac.il/complex/compphys/software/geview/data/figures/64418_at.png","Figure")</f>
        <v>Figure</v>
      </c>
      <c r="I9196">
        <v>0.67500000000000004</v>
      </c>
      <c r="J9196">
        <v>0.17</v>
      </c>
      <c r="K9196">
        <v>0.90800000000000003</v>
      </c>
      <c r="L9196">
        <v>0.85</v>
      </c>
      <c r="M9196">
        <v>1.35</v>
      </c>
      <c r="N9196">
        <v>0.28999999999999998</v>
      </c>
    </row>
    <row r="9197" spans="1:14" x14ac:dyDescent="0.25">
      <c r="A9197" t="s">
        <v>16151</v>
      </c>
      <c r="B9197" t="s">
        <v>16152</v>
      </c>
      <c r="C9197" s="1" t="str">
        <f>HYPERLINK("http://www.genecards.org/cgi-bin/carddisp.pl?gene=KEAP1","GeneCards")</f>
        <v>GeneCards</v>
      </c>
      <c r="D9197" s="1" t="str">
        <f>HYPERLINK("http://genome-euro.ucsc.edu/cgi-bin/hgTracks?position=202417_at","UCSC")</f>
        <v>UCSC</v>
      </c>
      <c r="E9197" s="1" t="str">
        <f>HYPERLINK("http://www.ncbi.nlm.nih.gov/gene/?term=KEAP1","NCBI")</f>
        <v>NCBI</v>
      </c>
      <c r="F9197">
        <v>0.17</v>
      </c>
      <c r="G9197">
        <v>0.32</v>
      </c>
      <c r="H9197" s="1" t="str">
        <f>HYPERLINK("http://www.weizmann.ac.il/complex/compphys/software/geview/data/figures/202417_at.png","Figure")</f>
        <v>Figure</v>
      </c>
      <c r="I9197">
        <v>0.94899999999999995</v>
      </c>
      <c r="J9197">
        <v>0.88</v>
      </c>
      <c r="K9197">
        <v>1.1499999999999999</v>
      </c>
      <c r="L9197">
        <v>0.35</v>
      </c>
      <c r="M9197">
        <v>1.21</v>
      </c>
      <c r="N9197">
        <v>0.19</v>
      </c>
    </row>
    <row r="9198" spans="1:14" x14ac:dyDescent="0.25">
      <c r="A9198" t="s">
        <v>16153</v>
      </c>
      <c r="B9198" t="s">
        <v>16154</v>
      </c>
      <c r="C9198" s="1" t="str">
        <f>HYPERLINK("http://www.genecards.org/cgi-bin/carddisp.pl?gene=ZNF764","GeneCards")</f>
        <v>GeneCards</v>
      </c>
      <c r="D9198" s="1" t="str">
        <f>HYPERLINK("http://genome-euro.ucsc.edu/cgi-bin/hgTracks?position=222120_at","UCSC")</f>
        <v>UCSC</v>
      </c>
      <c r="E9198" s="1" t="str">
        <f>HYPERLINK("http://www.ncbi.nlm.nih.gov/gene/?term=ZNF764","NCBI")</f>
        <v>NCBI</v>
      </c>
      <c r="F9198">
        <v>0.17</v>
      </c>
      <c r="G9198">
        <v>0.32</v>
      </c>
      <c r="H9198" s="1" t="str">
        <f>HYPERLINK("http://www.weizmann.ac.il/complex/compphys/software/geview/data/figures/222120_at.png","Figure")</f>
        <v>Figure</v>
      </c>
      <c r="I9198">
        <v>1.1000000000000001</v>
      </c>
      <c r="J9198">
        <v>0.71</v>
      </c>
      <c r="K9198">
        <v>0.88700000000000001</v>
      </c>
      <c r="L9198">
        <v>0.49</v>
      </c>
      <c r="M9198">
        <v>0.80800000000000005</v>
      </c>
      <c r="N9198">
        <v>0.16</v>
      </c>
    </row>
    <row r="9199" spans="1:14" x14ac:dyDescent="0.25">
      <c r="A9199" t="s">
        <v>16155</v>
      </c>
      <c r="B9199" t="s">
        <v>16156</v>
      </c>
      <c r="C9199" s="1" t="str">
        <f>HYPERLINK("http://www.genecards.org/cgi-bin/carddisp.pl?gene=USP11","GeneCards")</f>
        <v>GeneCards</v>
      </c>
      <c r="D9199" s="1" t="str">
        <f>HYPERLINK("http://genome-euro.ucsc.edu/cgi-bin/hgTracks?position=208723_at","UCSC")</f>
        <v>UCSC</v>
      </c>
      <c r="E9199" s="1" t="str">
        <f>HYPERLINK("http://www.ncbi.nlm.nih.gov/gene/?term=USP11","NCBI")</f>
        <v>NCBI</v>
      </c>
      <c r="F9199">
        <v>0.17</v>
      </c>
      <c r="G9199">
        <v>0.32</v>
      </c>
      <c r="H9199" s="1" t="str">
        <f>HYPERLINK("http://www.weizmann.ac.il/complex/compphys/software/geview/data/figures/208723_at.png","Figure")</f>
        <v>Figure</v>
      </c>
      <c r="I9199">
        <v>0.72199999999999998</v>
      </c>
      <c r="J9199">
        <v>0.28000000000000003</v>
      </c>
      <c r="K9199">
        <v>1.04</v>
      </c>
      <c r="L9199">
        <v>0.97</v>
      </c>
      <c r="M9199">
        <v>1.44</v>
      </c>
      <c r="N9199">
        <v>0.17</v>
      </c>
    </row>
    <row r="9200" spans="1:14" x14ac:dyDescent="0.25">
      <c r="A9200" t="s">
        <v>16157</v>
      </c>
      <c r="B9200" t="s">
        <v>16158</v>
      </c>
      <c r="C9200" s="1" t="str">
        <f>HYPERLINK("http://www.genecards.org/cgi-bin/carddisp.pl?gene=PPP1R14D","GeneCards")</f>
        <v>GeneCards</v>
      </c>
      <c r="D9200" s="1" t="str">
        <f>HYPERLINK("http://genome-euro.ucsc.edu/cgi-bin/hgTracks?position=220082_at","UCSC")</f>
        <v>UCSC</v>
      </c>
      <c r="E9200" s="1" t="str">
        <f>HYPERLINK("http://www.ncbi.nlm.nih.gov/gene/?term=PPP1R14D","NCBI")</f>
        <v>NCBI</v>
      </c>
      <c r="F9200">
        <v>0.17</v>
      </c>
      <c r="G9200">
        <v>0.32</v>
      </c>
      <c r="H9200" s="1" t="str">
        <f>HYPERLINK("http://www.weizmann.ac.il/complex/compphys/software/geview/data/figures/220082_at.png","Figure")</f>
        <v>Figure</v>
      </c>
      <c r="I9200">
        <v>1.0900000000000001</v>
      </c>
      <c r="J9200">
        <v>0.41</v>
      </c>
      <c r="K9200">
        <v>0.96399999999999997</v>
      </c>
      <c r="L9200">
        <v>0.8</v>
      </c>
      <c r="M9200">
        <v>0.88500000000000001</v>
      </c>
      <c r="N9200">
        <v>0.15</v>
      </c>
    </row>
    <row r="9201" spans="1:14" x14ac:dyDescent="0.25">
      <c r="A9201" t="s">
        <v>16159</v>
      </c>
      <c r="B9201" t="s">
        <v>7090</v>
      </c>
      <c r="C9201" s="1" t="str">
        <f>HYPERLINK("http://www.genecards.org/cgi-bin/carddisp.pl?gene=NPEPL1","GeneCards")</f>
        <v>GeneCards</v>
      </c>
      <c r="D9201" s="1" t="str">
        <f>HYPERLINK("http://genome-euro.ucsc.edu/cgi-bin/hgTracks?position=89476_r_at","UCSC")</f>
        <v>UCSC</v>
      </c>
      <c r="E9201" s="1" t="str">
        <f>HYPERLINK("http://www.ncbi.nlm.nih.gov/gene/?term=NPEPL1","NCBI")</f>
        <v>NCBI</v>
      </c>
      <c r="F9201">
        <v>0.17</v>
      </c>
      <c r="G9201">
        <v>0.32</v>
      </c>
      <c r="H9201" s="1" t="str">
        <f>HYPERLINK("http://www.weizmann.ac.il/complex/compphys/software/geview/data/figures/89476_r_at.png","Figure")</f>
        <v>Figure</v>
      </c>
      <c r="I9201">
        <v>1.3</v>
      </c>
      <c r="J9201">
        <v>0.15</v>
      </c>
      <c r="K9201">
        <v>1.1100000000000001</v>
      </c>
      <c r="L9201">
        <v>0.64</v>
      </c>
      <c r="M9201">
        <v>0.85399999999999998</v>
      </c>
      <c r="N9201">
        <v>0.43</v>
      </c>
    </row>
    <row r="9202" spans="1:14" x14ac:dyDescent="0.25">
      <c r="A9202" t="s">
        <v>16160</v>
      </c>
      <c r="B9202" t="s">
        <v>14961</v>
      </c>
      <c r="C9202" s="1" t="str">
        <f>HYPERLINK("http://www.genecards.org/cgi-bin/carddisp.pl?gene=ADCY1","GeneCards")</f>
        <v>GeneCards</v>
      </c>
      <c r="D9202" s="1" t="str">
        <f>HYPERLINK("http://genome-euro.ucsc.edu/cgi-bin/hgTracks?position=215348_at","UCSC")</f>
        <v>UCSC</v>
      </c>
      <c r="E9202" s="1" t="str">
        <f>HYPERLINK("http://www.ncbi.nlm.nih.gov/gene/?term=ADCY1","NCBI")</f>
        <v>NCBI</v>
      </c>
      <c r="F9202">
        <v>0.17</v>
      </c>
      <c r="G9202">
        <v>0.32</v>
      </c>
      <c r="H9202" s="1" t="str">
        <f>HYPERLINK("http://www.weizmann.ac.il/complex/compphys/software/geview/data/figures/215348_at.png","Figure")</f>
        <v>Figure</v>
      </c>
      <c r="I9202">
        <v>1.1499999999999999</v>
      </c>
      <c r="J9202">
        <v>0.15</v>
      </c>
      <c r="K9202">
        <v>1.08</v>
      </c>
      <c r="L9202">
        <v>0.45</v>
      </c>
      <c r="M9202">
        <v>0.93700000000000006</v>
      </c>
      <c r="N9202">
        <v>0.61</v>
      </c>
    </row>
    <row r="9203" spans="1:14" x14ac:dyDescent="0.25">
      <c r="A9203" t="s">
        <v>16161</v>
      </c>
      <c r="B9203" t="s">
        <v>8975</v>
      </c>
      <c r="C9203" s="1" t="str">
        <f>HYPERLINK("http://www.genecards.org/cgi-bin/carddisp.pl?gene=PPFIBP2","GeneCards")</f>
        <v>GeneCards</v>
      </c>
      <c r="D9203" s="1" t="str">
        <f>HYPERLINK("http://genome-euro.ucsc.edu/cgi-bin/hgTracks?position=215959_at","UCSC")</f>
        <v>UCSC</v>
      </c>
      <c r="E9203" s="1" t="str">
        <f>HYPERLINK("http://www.ncbi.nlm.nih.gov/gene/?term=PPFIBP2","NCBI")</f>
        <v>NCBI</v>
      </c>
      <c r="F9203">
        <v>0.17</v>
      </c>
      <c r="G9203">
        <v>0.32</v>
      </c>
      <c r="H9203" s="1" t="str">
        <f>HYPERLINK("http://www.weizmann.ac.il/complex/compphys/software/geview/data/figures/215959_at.png","Figure")</f>
        <v>Figure</v>
      </c>
      <c r="I9203">
        <v>0.92900000000000005</v>
      </c>
      <c r="J9203">
        <v>0.45</v>
      </c>
      <c r="K9203">
        <v>0.90300000000000002</v>
      </c>
      <c r="L9203">
        <v>0.15</v>
      </c>
      <c r="M9203">
        <v>0.97099999999999997</v>
      </c>
      <c r="N9203">
        <v>0.86</v>
      </c>
    </row>
    <row r="9204" spans="1:14" x14ac:dyDescent="0.25">
      <c r="A9204" t="s">
        <v>16162</v>
      </c>
      <c r="B9204" t="s">
        <v>16163</v>
      </c>
      <c r="C9204" s="1" t="str">
        <f>HYPERLINK("http://www.genecards.org/cgi-bin/carddisp.pl?gene=RBMS3","GeneCards")</f>
        <v>GeneCards</v>
      </c>
      <c r="D9204" s="1" t="str">
        <f>HYPERLINK("http://genome-euro.ucsc.edu/cgi-bin/hgTracks?position=206767_at","UCSC")</f>
        <v>UCSC</v>
      </c>
      <c r="E9204" s="1" t="str">
        <f>HYPERLINK("http://www.ncbi.nlm.nih.gov/gene/?term=RBMS3","NCBI")</f>
        <v>NCBI</v>
      </c>
      <c r="F9204">
        <v>0.17</v>
      </c>
      <c r="G9204">
        <v>0.32</v>
      </c>
      <c r="H9204" s="1" t="str">
        <f>HYPERLINK("http://www.weizmann.ac.il/complex/compphys/software/geview/data/figures/206767_at.png","Figure")</f>
        <v>Figure</v>
      </c>
      <c r="I9204">
        <v>1.04</v>
      </c>
      <c r="J9204">
        <v>0.85</v>
      </c>
      <c r="K9204">
        <v>0.91</v>
      </c>
      <c r="L9204">
        <v>0.38</v>
      </c>
      <c r="M9204">
        <v>0.871</v>
      </c>
      <c r="N9204">
        <v>0.18</v>
      </c>
    </row>
    <row r="9205" spans="1:14" x14ac:dyDescent="0.25">
      <c r="A9205" t="s">
        <v>16164</v>
      </c>
      <c r="B9205" t="s">
        <v>16165</v>
      </c>
      <c r="C9205" s="1" t="str">
        <f>HYPERLINK("http://www.genecards.org/cgi-bin/carddisp.pl?gene=HSPC072","GeneCards")</f>
        <v>GeneCards</v>
      </c>
      <c r="D9205" s="1" t="str">
        <f>HYPERLINK("http://genome-euro.ucsc.edu/cgi-bin/hgTracks?position=220747_at","UCSC")</f>
        <v>UCSC</v>
      </c>
      <c r="E9205" s="1" t="str">
        <f>HYPERLINK("http://www.ncbi.nlm.nih.gov/gene/?term=HSPC072","NCBI")</f>
        <v>NCBI</v>
      </c>
      <c r="F9205">
        <v>0.17</v>
      </c>
      <c r="G9205">
        <v>0.32</v>
      </c>
      <c r="H9205" s="1" t="str">
        <f>HYPERLINK("http://www.weizmann.ac.il/complex/compphys/software/geview/data/figures/220747_at.png","Figure")</f>
        <v>Figure</v>
      </c>
      <c r="I9205">
        <v>1.24</v>
      </c>
      <c r="J9205">
        <v>0.15</v>
      </c>
      <c r="K9205">
        <v>1.1200000000000001</v>
      </c>
      <c r="L9205">
        <v>0.46</v>
      </c>
      <c r="M9205">
        <v>0.90400000000000003</v>
      </c>
      <c r="N9205">
        <v>0.6</v>
      </c>
    </row>
    <row r="9206" spans="1:14" x14ac:dyDescent="0.25">
      <c r="A9206" t="s">
        <v>16166</v>
      </c>
      <c r="B9206" t="s">
        <v>16167</v>
      </c>
      <c r="C9206" s="1" t="str">
        <f>HYPERLINK("http://www.genecards.org/cgi-bin/carddisp.pl?gene=IGL@ /// IGLV1-44 /// LOC100290557","GeneCards")</f>
        <v>GeneCards</v>
      </c>
      <c r="D9206" s="1" t="str">
        <f>HYPERLINK("http://genome-euro.ucsc.edu/cgi-bin/hgTracks?position=217227_x_at","UCSC")</f>
        <v>UCSC</v>
      </c>
      <c r="E9206" s="1" t="str">
        <f>HYPERLINK("http://www.ncbi.nlm.nih.gov/gene/?term=IGL@ /// IGLV1-44 /// LOC100290557","NCBI")</f>
        <v>NCBI</v>
      </c>
      <c r="F9206">
        <v>0.17</v>
      </c>
      <c r="G9206">
        <v>0.32</v>
      </c>
      <c r="H9206" s="1" t="str">
        <f>HYPERLINK("http://www.weizmann.ac.il/complex/compphys/software/geview/data/figures/217227_x_at.png","Figure")</f>
        <v>Figure</v>
      </c>
      <c r="I9206">
        <v>1.2</v>
      </c>
      <c r="J9206">
        <v>0.16</v>
      </c>
      <c r="K9206">
        <v>1.06</v>
      </c>
      <c r="L9206">
        <v>0.74</v>
      </c>
      <c r="M9206">
        <v>0.88400000000000001</v>
      </c>
      <c r="N9206">
        <v>0.36</v>
      </c>
    </row>
    <row r="9207" spans="1:14" x14ac:dyDescent="0.25">
      <c r="A9207" t="s">
        <v>16168</v>
      </c>
      <c r="B9207" t="s">
        <v>16169</v>
      </c>
      <c r="C9207" s="1" t="str">
        <f>HYPERLINK("http://www.genecards.org/cgi-bin/carddisp.pl?gene=RNF220","GeneCards")</f>
        <v>GeneCards</v>
      </c>
      <c r="D9207" s="1" t="str">
        <f>HYPERLINK("http://genome-euro.ucsc.edu/cgi-bin/hgTracks?position=219988_s_at","UCSC")</f>
        <v>UCSC</v>
      </c>
      <c r="E9207" s="1" t="str">
        <f>HYPERLINK("http://www.ncbi.nlm.nih.gov/gene/?term=RNF220","NCBI")</f>
        <v>NCBI</v>
      </c>
      <c r="F9207">
        <v>0.17</v>
      </c>
      <c r="G9207">
        <v>0.32</v>
      </c>
      <c r="H9207" s="1" t="str">
        <f>HYPERLINK("http://www.weizmann.ac.il/complex/compphys/software/geview/data/figures/219988_s_at.png","Figure")</f>
        <v>Figure</v>
      </c>
      <c r="I9207">
        <v>1.1299999999999999</v>
      </c>
      <c r="J9207">
        <v>0.25</v>
      </c>
      <c r="K9207">
        <v>0.99399999999999999</v>
      </c>
      <c r="L9207">
        <v>0.99</v>
      </c>
      <c r="M9207">
        <v>0.88300000000000001</v>
      </c>
      <c r="N9207">
        <v>0.18</v>
      </c>
    </row>
    <row r="9208" spans="1:14" x14ac:dyDescent="0.25">
      <c r="A9208" t="s">
        <v>16170</v>
      </c>
      <c r="B9208" t="s">
        <v>12551</v>
      </c>
      <c r="C9208" s="1" t="str">
        <f>HYPERLINK("http://www.genecards.org/cgi-bin/carddisp.pl?gene=GHRHR","GeneCards")</f>
        <v>GeneCards</v>
      </c>
      <c r="D9208" s="1" t="str">
        <f>HYPERLINK("http://genome-euro.ucsc.edu/cgi-bin/hgTracks?position=211545_at","UCSC")</f>
        <v>UCSC</v>
      </c>
      <c r="E9208" s="1" t="str">
        <f>HYPERLINK("http://www.ncbi.nlm.nih.gov/gene/?term=GHRHR","NCBI")</f>
        <v>NCBI</v>
      </c>
      <c r="F9208">
        <v>0.17</v>
      </c>
      <c r="G9208">
        <v>0.32</v>
      </c>
      <c r="H9208" s="1" t="str">
        <f>HYPERLINK("http://www.weizmann.ac.il/complex/compphys/software/geview/data/figures/211545_at.png","Figure")</f>
        <v>Figure</v>
      </c>
      <c r="I9208">
        <v>1.0900000000000001</v>
      </c>
      <c r="J9208">
        <v>0.17</v>
      </c>
      <c r="K9208">
        <v>1.02</v>
      </c>
      <c r="L9208">
        <v>0.86</v>
      </c>
      <c r="M9208">
        <v>0.93700000000000006</v>
      </c>
      <c r="N9208">
        <v>0.28999999999999998</v>
      </c>
    </row>
    <row r="9209" spans="1:14" x14ac:dyDescent="0.25">
      <c r="A9209" t="s">
        <v>16171</v>
      </c>
      <c r="B9209" t="s">
        <v>16172</v>
      </c>
      <c r="C9209" s="1" t="str">
        <f>HYPERLINK("http://www.genecards.org/cgi-bin/carddisp.pl?gene=PARVA","GeneCards")</f>
        <v>GeneCards</v>
      </c>
      <c r="D9209" s="1" t="str">
        <f>HYPERLINK("http://genome-euro.ucsc.edu/cgi-bin/hgTracks?position=217890_s_at","UCSC")</f>
        <v>UCSC</v>
      </c>
      <c r="E9209" s="1" t="str">
        <f>HYPERLINK("http://www.ncbi.nlm.nih.gov/gene/?term=PARVA","NCBI")</f>
        <v>NCBI</v>
      </c>
      <c r="F9209">
        <v>0.17</v>
      </c>
      <c r="G9209">
        <v>0.32</v>
      </c>
      <c r="H9209" s="1" t="str">
        <f>HYPERLINK("http://www.weizmann.ac.il/complex/compphys/software/geview/data/figures/217890_s_at.png","Figure")</f>
        <v>Figure</v>
      </c>
      <c r="I9209">
        <v>1.18</v>
      </c>
      <c r="J9209">
        <v>0.18</v>
      </c>
      <c r="K9209">
        <v>1.03</v>
      </c>
      <c r="L9209">
        <v>0.91</v>
      </c>
      <c r="M9209">
        <v>0.878</v>
      </c>
      <c r="N9209">
        <v>0.26</v>
      </c>
    </row>
    <row r="9210" spans="1:14" x14ac:dyDescent="0.25">
      <c r="A9210" t="s">
        <v>16173</v>
      </c>
      <c r="B9210" t="s">
        <v>16174</v>
      </c>
      <c r="C9210" s="1" t="str">
        <f>HYPERLINK("http://www.genecards.org/cgi-bin/carddisp.pl?gene=SNRNP25","GeneCards")</f>
        <v>GeneCards</v>
      </c>
      <c r="D9210" s="1" t="str">
        <f>HYPERLINK("http://genome-euro.ucsc.edu/cgi-bin/hgTracks?position=218493_at","UCSC")</f>
        <v>UCSC</v>
      </c>
      <c r="E9210" s="1" t="str">
        <f>HYPERLINK("http://www.ncbi.nlm.nih.gov/gene/?term=SNRNP25","NCBI")</f>
        <v>NCBI</v>
      </c>
      <c r="F9210">
        <v>0.17</v>
      </c>
      <c r="G9210">
        <v>0.32</v>
      </c>
      <c r="H9210" s="1" t="str">
        <f>HYPERLINK("http://www.weizmann.ac.il/complex/compphys/software/geview/data/figures/218493_at.png","Figure")</f>
        <v>Figure</v>
      </c>
      <c r="I9210">
        <v>0.95699999999999996</v>
      </c>
      <c r="J9210">
        <v>0.98</v>
      </c>
      <c r="K9210">
        <v>1.37</v>
      </c>
      <c r="L9210">
        <v>0.27</v>
      </c>
      <c r="M9210">
        <v>1.43</v>
      </c>
      <c r="N9210">
        <v>0.24</v>
      </c>
    </row>
    <row r="9211" spans="1:14" x14ac:dyDescent="0.25">
      <c r="A9211" t="s">
        <v>16175</v>
      </c>
      <c r="B9211" t="s">
        <v>16176</v>
      </c>
      <c r="C9211" s="1" t="str">
        <f>HYPERLINK("http://www.genecards.org/cgi-bin/carddisp.pl?gene=ZNF202","GeneCards")</f>
        <v>GeneCards</v>
      </c>
      <c r="D9211" s="1" t="str">
        <f>HYPERLINK("http://genome-euro.ucsc.edu/cgi-bin/hgTracks?position=204329_s_at","UCSC")</f>
        <v>UCSC</v>
      </c>
      <c r="E9211" s="1" t="str">
        <f>HYPERLINK("http://www.ncbi.nlm.nih.gov/gene/?term=ZNF202","NCBI")</f>
        <v>NCBI</v>
      </c>
      <c r="F9211">
        <v>0.17</v>
      </c>
      <c r="G9211">
        <v>0.32</v>
      </c>
      <c r="H9211" s="1" t="str">
        <f>HYPERLINK("http://www.weizmann.ac.il/complex/compphys/software/geview/data/figures/204329_s_at.png","Figure")</f>
        <v>Figure</v>
      </c>
      <c r="I9211">
        <v>1.02</v>
      </c>
      <c r="J9211">
        <v>0.28000000000000003</v>
      </c>
      <c r="K9211">
        <v>1.02</v>
      </c>
      <c r="L9211">
        <v>0.19</v>
      </c>
      <c r="M9211">
        <v>1</v>
      </c>
      <c r="N9211">
        <v>1</v>
      </c>
    </row>
    <row r="9212" spans="1:14" x14ac:dyDescent="0.25">
      <c r="A9212" t="s">
        <v>16177</v>
      </c>
      <c r="B9212" t="s">
        <v>16178</v>
      </c>
      <c r="C9212" s="1" t="str">
        <f>HYPERLINK("http://www.genecards.org/cgi-bin/carddisp.pl?gene=KCNK3","GeneCards")</f>
        <v>GeneCards</v>
      </c>
      <c r="D9212" s="1" t="str">
        <f>HYPERLINK("http://genome-euro.ucsc.edu/cgi-bin/hgTracks?position=205952_at","UCSC")</f>
        <v>UCSC</v>
      </c>
      <c r="E9212" s="1" t="str">
        <f>HYPERLINK("http://www.ncbi.nlm.nih.gov/gene/?term=KCNK3","NCBI")</f>
        <v>NCBI</v>
      </c>
      <c r="F9212">
        <v>0.17</v>
      </c>
      <c r="G9212">
        <v>0.32</v>
      </c>
      <c r="H9212" s="1" t="str">
        <f>HYPERLINK("http://www.weizmann.ac.il/complex/compphys/software/geview/data/figures/205952_at.png","Figure")</f>
        <v>Figure</v>
      </c>
      <c r="I9212">
        <v>1</v>
      </c>
      <c r="J9212">
        <v>1</v>
      </c>
      <c r="K9212">
        <v>0.76</v>
      </c>
      <c r="L9212">
        <v>0.23</v>
      </c>
      <c r="M9212">
        <v>0.76</v>
      </c>
      <c r="N9212">
        <v>0.28000000000000003</v>
      </c>
    </row>
    <row r="9213" spans="1:14" x14ac:dyDescent="0.25">
      <c r="A9213" t="s">
        <v>16179</v>
      </c>
      <c r="B9213" t="s">
        <v>16180</v>
      </c>
      <c r="C9213" s="1" t="str">
        <f>HYPERLINK("http://www.genecards.org/cgi-bin/carddisp.pl?gene=IGSF9B","GeneCards")</f>
        <v>GeneCards</v>
      </c>
      <c r="D9213" s="1" t="str">
        <f>HYPERLINK("http://genome-euro.ucsc.edu/cgi-bin/hgTracks?position=215255_at","UCSC")</f>
        <v>UCSC</v>
      </c>
      <c r="E9213" s="1" t="str">
        <f>HYPERLINK("http://www.ncbi.nlm.nih.gov/gene/?term=IGSF9B","NCBI")</f>
        <v>NCBI</v>
      </c>
      <c r="F9213">
        <v>0.17</v>
      </c>
      <c r="G9213">
        <v>0.32</v>
      </c>
      <c r="H9213" s="1" t="str">
        <f>HYPERLINK("http://www.weizmann.ac.il/complex/compphys/software/geview/data/figures/215255_at.png","Figure")</f>
        <v>Figure</v>
      </c>
      <c r="I9213">
        <v>1.1200000000000001</v>
      </c>
      <c r="J9213">
        <v>0.25</v>
      </c>
      <c r="K9213">
        <v>0.99399999999999999</v>
      </c>
      <c r="L9213">
        <v>0.99</v>
      </c>
      <c r="M9213">
        <v>0.88800000000000001</v>
      </c>
      <c r="N9213">
        <v>0.18</v>
      </c>
    </row>
    <row r="9214" spans="1:14" x14ac:dyDescent="0.25">
      <c r="A9214" t="s">
        <v>16181</v>
      </c>
      <c r="B9214" t="s">
        <v>16182</v>
      </c>
      <c r="C9214" s="1" t="str">
        <f>HYPERLINK("http://www.genecards.org/cgi-bin/carddisp.pl?gene=CARS2","GeneCards")</f>
        <v>GeneCards</v>
      </c>
      <c r="D9214" s="1" t="str">
        <f>HYPERLINK("http://genome-euro.ucsc.edu/cgi-bin/hgTracks?position=218153_at","UCSC")</f>
        <v>UCSC</v>
      </c>
      <c r="E9214" s="1" t="str">
        <f>HYPERLINK("http://www.ncbi.nlm.nih.gov/gene/?term=CARS2","NCBI")</f>
        <v>NCBI</v>
      </c>
      <c r="F9214">
        <v>0.17</v>
      </c>
      <c r="G9214">
        <v>0.32</v>
      </c>
      <c r="H9214" s="1" t="str">
        <f>HYPERLINK("http://www.weizmann.ac.il/complex/compphys/software/geview/data/figures/218153_at.png","Figure")</f>
        <v>Figure</v>
      </c>
      <c r="I9214">
        <v>1.1499999999999999</v>
      </c>
      <c r="J9214">
        <v>0.73</v>
      </c>
      <c r="K9214">
        <v>1.38</v>
      </c>
      <c r="L9214">
        <v>0.16</v>
      </c>
      <c r="M9214">
        <v>1.19</v>
      </c>
      <c r="N9214">
        <v>0.56999999999999995</v>
      </c>
    </row>
    <row r="9215" spans="1:14" x14ac:dyDescent="0.25">
      <c r="A9215" t="s">
        <v>16183</v>
      </c>
      <c r="B9215" t="s">
        <v>5668</v>
      </c>
      <c r="C9215" s="1" t="str">
        <f>HYPERLINK("http://www.genecards.org/cgi-bin/carddisp.pl?gene=ITGB3","GeneCards")</f>
        <v>GeneCards</v>
      </c>
      <c r="D9215" s="1" t="str">
        <f>HYPERLINK("http://genome-euro.ucsc.edu/cgi-bin/hgTracks?position=204626_s_at","UCSC")</f>
        <v>UCSC</v>
      </c>
      <c r="E9215" s="1" t="str">
        <f>HYPERLINK("http://www.ncbi.nlm.nih.gov/gene/?term=ITGB3","NCBI")</f>
        <v>NCBI</v>
      </c>
      <c r="F9215">
        <v>0.17</v>
      </c>
      <c r="G9215">
        <v>0.32</v>
      </c>
      <c r="H9215" s="1" t="str">
        <f>HYPERLINK("http://www.weizmann.ac.il/complex/compphys/software/geview/data/figures/204626_s_at.png","Figure")</f>
        <v>Figure</v>
      </c>
      <c r="I9215">
        <v>1.1499999999999999</v>
      </c>
      <c r="J9215">
        <v>0.17</v>
      </c>
      <c r="K9215">
        <v>1.04</v>
      </c>
      <c r="L9215">
        <v>0.84</v>
      </c>
      <c r="M9215">
        <v>0.9</v>
      </c>
      <c r="N9215">
        <v>0.3</v>
      </c>
    </row>
    <row r="9216" spans="1:14" x14ac:dyDescent="0.25">
      <c r="A9216" t="s">
        <v>16184</v>
      </c>
      <c r="B9216" t="s">
        <v>16185</v>
      </c>
      <c r="C9216" s="1" t="str">
        <f>HYPERLINK("http://www.genecards.org/cgi-bin/carddisp.pl?gene=TUFT1","GeneCards")</f>
        <v>GeneCards</v>
      </c>
      <c r="D9216" s="1" t="str">
        <f>HYPERLINK("http://genome-euro.ucsc.edu/cgi-bin/hgTracks?position=205807_s_at","UCSC")</f>
        <v>UCSC</v>
      </c>
      <c r="E9216" s="1" t="str">
        <f>HYPERLINK("http://www.ncbi.nlm.nih.gov/gene/?term=TUFT1","NCBI")</f>
        <v>NCBI</v>
      </c>
      <c r="F9216">
        <v>0.17</v>
      </c>
      <c r="G9216">
        <v>0.32</v>
      </c>
      <c r="H9216" s="1" t="str">
        <f>HYPERLINK("http://www.weizmann.ac.il/complex/compphys/software/geview/data/figures/205807_s_at.png","Figure")</f>
        <v>Figure</v>
      </c>
      <c r="I9216">
        <v>0.93300000000000005</v>
      </c>
      <c r="J9216">
        <v>0.71</v>
      </c>
      <c r="K9216">
        <v>1.0900000000000001</v>
      </c>
      <c r="L9216">
        <v>0.49</v>
      </c>
      <c r="M9216">
        <v>1.17</v>
      </c>
      <c r="N9216">
        <v>0.16</v>
      </c>
    </row>
    <row r="9217" spans="1:14" x14ac:dyDescent="0.25">
      <c r="A9217" t="s">
        <v>16186</v>
      </c>
      <c r="B9217" t="s">
        <v>2035</v>
      </c>
      <c r="C9217" s="1" t="str">
        <f>HYPERLINK("http://www.genecards.org/cgi-bin/carddisp.pl?gene=TLE3","GeneCards")</f>
        <v>GeneCards</v>
      </c>
      <c r="D9217" s="1" t="str">
        <f>HYPERLINK("http://genome-euro.ucsc.edu/cgi-bin/hgTracks?position=206472_s_at","UCSC")</f>
        <v>UCSC</v>
      </c>
      <c r="E9217" s="1" t="str">
        <f>HYPERLINK("http://www.ncbi.nlm.nih.gov/gene/?term=TLE3","NCBI")</f>
        <v>NCBI</v>
      </c>
      <c r="F9217">
        <v>0.17</v>
      </c>
      <c r="G9217">
        <v>0.32</v>
      </c>
      <c r="H9217" s="1" t="str">
        <f>HYPERLINK("http://www.weizmann.ac.il/complex/compphys/software/geview/data/figures/206472_s_at.png","Figure")</f>
        <v>Figure</v>
      </c>
      <c r="I9217">
        <v>1</v>
      </c>
      <c r="J9217">
        <v>1</v>
      </c>
      <c r="K9217">
        <v>0.97199999999999998</v>
      </c>
      <c r="L9217">
        <v>0.23</v>
      </c>
      <c r="M9217">
        <v>0.97199999999999998</v>
      </c>
      <c r="N9217">
        <v>0.28000000000000003</v>
      </c>
    </row>
    <row r="9218" spans="1:14" x14ac:dyDescent="0.25">
      <c r="A9218" t="s">
        <v>16187</v>
      </c>
      <c r="B9218" t="s">
        <v>16188</v>
      </c>
      <c r="C9218" s="1" t="str">
        <f>HYPERLINK("http://www.genecards.org/cgi-bin/carddisp.pl?gene=SFRS12","GeneCards")</f>
        <v>GeneCards</v>
      </c>
      <c r="D9218" s="1" t="str">
        <f>HYPERLINK("http://genome-euro.ucsc.edu/cgi-bin/hgTracks?position=212721_at","UCSC")</f>
        <v>UCSC</v>
      </c>
      <c r="E9218" s="1" t="str">
        <f>HYPERLINK("http://www.ncbi.nlm.nih.gov/gene/?term=SFRS12","NCBI")</f>
        <v>NCBI</v>
      </c>
      <c r="F9218">
        <v>0.17</v>
      </c>
      <c r="G9218">
        <v>0.32</v>
      </c>
      <c r="H9218" s="1" t="str">
        <f>HYPERLINK("http://www.weizmann.ac.il/complex/compphys/software/geview/data/figures/212721_at.png","Figure")</f>
        <v>Figure</v>
      </c>
      <c r="I9218">
        <v>1.18</v>
      </c>
      <c r="J9218">
        <v>0.76</v>
      </c>
      <c r="K9218">
        <v>0.77400000000000002</v>
      </c>
      <c r="L9218">
        <v>0.44</v>
      </c>
      <c r="M9218">
        <v>0.65600000000000003</v>
      </c>
      <c r="N9218">
        <v>0.17</v>
      </c>
    </row>
    <row r="9219" spans="1:14" x14ac:dyDescent="0.25">
      <c r="A9219" t="s">
        <v>16189</v>
      </c>
      <c r="B9219" t="s">
        <v>11265</v>
      </c>
      <c r="C9219" s="1" t="str">
        <f>HYPERLINK("http://www.genecards.org/cgi-bin/carddisp.pl?gene=TNRC4","GeneCards")</f>
        <v>GeneCards</v>
      </c>
      <c r="D9219" s="1" t="str">
        <f>HYPERLINK("http://genome-euro.ucsc.edu/cgi-bin/hgTracks?position=215045_at","UCSC")</f>
        <v>UCSC</v>
      </c>
      <c r="E9219" s="1" t="str">
        <f>HYPERLINK("http://www.ncbi.nlm.nih.gov/gene/?term=TNRC4","NCBI")</f>
        <v>NCBI</v>
      </c>
      <c r="F9219">
        <v>0.17</v>
      </c>
      <c r="G9219">
        <v>0.32</v>
      </c>
      <c r="H9219" s="1" t="str">
        <f>HYPERLINK("http://www.weizmann.ac.il/complex/compphys/software/geview/data/figures/215045_at.png","Figure")</f>
        <v>Figure</v>
      </c>
      <c r="I9219">
        <v>1.44</v>
      </c>
      <c r="J9219">
        <v>0.16</v>
      </c>
      <c r="K9219">
        <v>1.24</v>
      </c>
      <c r="L9219">
        <v>0.41</v>
      </c>
      <c r="M9219">
        <v>0.86099999999999999</v>
      </c>
      <c r="N9219">
        <v>0.67</v>
      </c>
    </row>
    <row r="9220" spans="1:14" x14ac:dyDescent="0.25">
      <c r="A9220" t="s">
        <v>16190</v>
      </c>
      <c r="B9220" t="s">
        <v>16191</v>
      </c>
      <c r="C9220" s="1" t="str">
        <f>HYPERLINK("http://www.genecards.org/cgi-bin/carddisp.pl?gene=ZDHHC13","GeneCards")</f>
        <v>GeneCards</v>
      </c>
      <c r="D9220" s="1" t="str">
        <f>HYPERLINK("http://genome-euro.ucsc.edu/cgi-bin/hgTracks?position=219296_at","UCSC")</f>
        <v>UCSC</v>
      </c>
      <c r="E9220" s="1" t="str">
        <f>HYPERLINK("http://www.ncbi.nlm.nih.gov/gene/?term=ZDHHC13","NCBI")</f>
        <v>NCBI</v>
      </c>
      <c r="F9220">
        <v>0.17</v>
      </c>
      <c r="G9220">
        <v>0.32</v>
      </c>
      <c r="H9220" s="1" t="str">
        <f>HYPERLINK("http://www.weizmann.ac.il/complex/compphys/software/geview/data/figures/219296_at.png","Figure")</f>
        <v>Figure</v>
      </c>
      <c r="I9220">
        <v>1.04</v>
      </c>
      <c r="J9220">
        <v>0.97</v>
      </c>
      <c r="K9220">
        <v>1.34</v>
      </c>
      <c r="L9220">
        <v>0.2</v>
      </c>
      <c r="M9220">
        <v>1.29</v>
      </c>
      <c r="N9220">
        <v>0.34</v>
      </c>
    </row>
    <row r="9221" spans="1:14" x14ac:dyDescent="0.25">
      <c r="A9221" t="s">
        <v>16192</v>
      </c>
      <c r="B9221" t="s">
        <v>16193</v>
      </c>
      <c r="C9221" s="1" t="str">
        <f>HYPERLINK("http://www.genecards.org/cgi-bin/carddisp.pl?gene=ITIH2","GeneCards")</f>
        <v>GeneCards</v>
      </c>
      <c r="D9221" s="1" t="str">
        <f>HYPERLINK("http://genome-euro.ucsc.edu/cgi-bin/hgTracks?position=204987_at","UCSC")</f>
        <v>UCSC</v>
      </c>
      <c r="E9221" s="1" t="str">
        <f>HYPERLINK("http://www.ncbi.nlm.nih.gov/gene/?term=ITIH2","NCBI")</f>
        <v>NCBI</v>
      </c>
      <c r="F9221">
        <v>0.17</v>
      </c>
      <c r="G9221">
        <v>0.32</v>
      </c>
      <c r="H9221" s="1" t="str">
        <f>HYPERLINK("http://www.weizmann.ac.il/complex/compphys/software/geview/data/figures/204987_at.png","Figure")</f>
        <v>Figure</v>
      </c>
      <c r="I9221">
        <v>1.23</v>
      </c>
      <c r="J9221">
        <v>0.16</v>
      </c>
      <c r="K9221">
        <v>1.07</v>
      </c>
      <c r="L9221">
        <v>0.75</v>
      </c>
      <c r="M9221">
        <v>0.86799999999999999</v>
      </c>
      <c r="N9221">
        <v>0.36</v>
      </c>
    </row>
    <row r="9222" spans="1:14" x14ac:dyDescent="0.25">
      <c r="A9222" t="s">
        <v>16194</v>
      </c>
      <c r="B9222" t="s">
        <v>16195</v>
      </c>
      <c r="C9222" s="1" t="str">
        <f>HYPERLINK("http://www.genecards.org/cgi-bin/carddisp.pl?gene=PRIM1","GeneCards")</f>
        <v>GeneCards</v>
      </c>
      <c r="D9222" s="1" t="str">
        <f>HYPERLINK("http://genome-euro.ucsc.edu/cgi-bin/hgTracks?position=205053_at","UCSC")</f>
        <v>UCSC</v>
      </c>
      <c r="E9222" s="1" t="str">
        <f>HYPERLINK("http://www.ncbi.nlm.nih.gov/gene/?term=PRIM1","NCBI")</f>
        <v>NCBI</v>
      </c>
      <c r="F9222">
        <v>0.17</v>
      </c>
      <c r="G9222">
        <v>0.32</v>
      </c>
      <c r="H9222" s="1" t="str">
        <f>HYPERLINK("http://www.weizmann.ac.il/complex/compphys/software/geview/data/figures/205053_at.png","Figure")</f>
        <v>Figure</v>
      </c>
      <c r="I9222">
        <v>0.90600000000000003</v>
      </c>
      <c r="J9222">
        <v>0.9</v>
      </c>
      <c r="K9222">
        <v>1.33</v>
      </c>
      <c r="L9222">
        <v>0.34</v>
      </c>
      <c r="M9222">
        <v>1.46</v>
      </c>
      <c r="N9222">
        <v>0.2</v>
      </c>
    </row>
    <row r="9223" spans="1:14" x14ac:dyDescent="0.25">
      <c r="A9223" t="s">
        <v>16196</v>
      </c>
      <c r="B9223" t="s">
        <v>16197</v>
      </c>
      <c r="C9223" s="1" t="str">
        <f>HYPERLINK("http://www.genecards.org/cgi-bin/carddisp.pl?gene=SEMA5A","GeneCards")</f>
        <v>GeneCards</v>
      </c>
      <c r="D9223" s="1" t="str">
        <f>HYPERLINK("http://genome-euro.ucsc.edu/cgi-bin/hgTracks?position=205405_at","UCSC")</f>
        <v>UCSC</v>
      </c>
      <c r="E9223" s="1" t="str">
        <f>HYPERLINK("http://www.ncbi.nlm.nih.gov/gene/?term=SEMA5A","NCBI")</f>
        <v>NCBI</v>
      </c>
      <c r="F9223">
        <v>0.17</v>
      </c>
      <c r="G9223">
        <v>0.32</v>
      </c>
      <c r="H9223" s="1" t="str">
        <f>HYPERLINK("http://www.weizmann.ac.il/complex/compphys/software/geview/data/figures/205405_at.png","Figure")</f>
        <v>Figure</v>
      </c>
      <c r="I9223">
        <v>1.1000000000000001</v>
      </c>
      <c r="J9223">
        <v>0.18</v>
      </c>
      <c r="K9223">
        <v>1.02</v>
      </c>
      <c r="L9223">
        <v>0.93</v>
      </c>
      <c r="M9223">
        <v>0.92100000000000004</v>
      </c>
      <c r="N9223">
        <v>0.25</v>
      </c>
    </row>
    <row r="9224" spans="1:14" x14ac:dyDescent="0.25">
      <c r="A9224" t="s">
        <v>16198</v>
      </c>
      <c r="B9224" t="s">
        <v>16199</v>
      </c>
      <c r="C9224" s="1" t="str">
        <f>HYPERLINK("http://www.genecards.org/cgi-bin/carddisp.pl?gene=ETV4","GeneCards")</f>
        <v>GeneCards</v>
      </c>
      <c r="D9224" s="1" t="str">
        <f>HYPERLINK("http://genome-euro.ucsc.edu/cgi-bin/hgTracks?position=211603_s_at","UCSC")</f>
        <v>UCSC</v>
      </c>
      <c r="E9224" s="1" t="str">
        <f>HYPERLINK("http://www.ncbi.nlm.nih.gov/gene/?term=ETV4","NCBI")</f>
        <v>NCBI</v>
      </c>
      <c r="F9224">
        <v>0.17</v>
      </c>
      <c r="G9224">
        <v>0.32</v>
      </c>
      <c r="H9224" s="1" t="str">
        <f>HYPERLINK("http://www.weizmann.ac.il/complex/compphys/software/geview/data/figures/211603_s_at.png","Figure")</f>
        <v>Figure</v>
      </c>
      <c r="I9224">
        <v>1.33</v>
      </c>
      <c r="J9224">
        <v>0.15</v>
      </c>
      <c r="K9224">
        <v>1.1299999999999999</v>
      </c>
      <c r="L9224">
        <v>0.59</v>
      </c>
      <c r="M9224">
        <v>0.85099999999999998</v>
      </c>
      <c r="N9224">
        <v>0.47</v>
      </c>
    </row>
    <row r="9225" spans="1:14" x14ac:dyDescent="0.25">
      <c r="A9225" t="s">
        <v>16200</v>
      </c>
      <c r="B9225" t="s">
        <v>16201</v>
      </c>
      <c r="C9225" s="1" t="str">
        <f>HYPERLINK("http://www.genecards.org/cgi-bin/carddisp.pl?gene=DAPP1","GeneCards")</f>
        <v>GeneCards</v>
      </c>
      <c r="D9225" s="1" t="str">
        <f>HYPERLINK("http://genome-euro.ucsc.edu/cgi-bin/hgTracks?position=219290_x_at","UCSC")</f>
        <v>UCSC</v>
      </c>
      <c r="E9225" s="1" t="str">
        <f>HYPERLINK("http://www.ncbi.nlm.nih.gov/gene/?term=DAPP1","NCBI")</f>
        <v>NCBI</v>
      </c>
      <c r="F9225">
        <v>0.17</v>
      </c>
      <c r="G9225">
        <v>0.32</v>
      </c>
      <c r="H9225" s="1" t="str">
        <f>HYPERLINK("http://www.weizmann.ac.il/complex/compphys/software/geview/data/figures/219290_x_at.png","Figure")</f>
        <v>Figure</v>
      </c>
      <c r="I9225">
        <v>0.97299999999999998</v>
      </c>
      <c r="J9225">
        <v>0.99</v>
      </c>
      <c r="K9225">
        <v>0.75600000000000001</v>
      </c>
      <c r="L9225">
        <v>0.21</v>
      </c>
      <c r="M9225">
        <v>0.77800000000000002</v>
      </c>
      <c r="N9225">
        <v>0.32</v>
      </c>
    </row>
    <row r="9226" spans="1:14" x14ac:dyDescent="0.25">
      <c r="A9226" t="s">
        <v>16202</v>
      </c>
      <c r="B9226" t="s">
        <v>2631</v>
      </c>
      <c r="C9226" s="1" t="str">
        <f>HYPERLINK("http://www.genecards.org/cgi-bin/carddisp.pl?gene=GGA2","GeneCards")</f>
        <v>GeneCards</v>
      </c>
      <c r="D9226" s="1" t="str">
        <f>HYPERLINK("http://genome-euro.ucsc.edu/cgi-bin/hgTracks?position=213772_s_at","UCSC")</f>
        <v>UCSC</v>
      </c>
      <c r="E9226" s="1" t="str">
        <f>HYPERLINK("http://www.ncbi.nlm.nih.gov/gene/?term=GGA2","NCBI")</f>
        <v>NCBI</v>
      </c>
      <c r="F9226">
        <v>0.17</v>
      </c>
      <c r="G9226">
        <v>0.32</v>
      </c>
      <c r="H9226" s="1" t="str">
        <f>HYPERLINK("http://www.weizmann.ac.il/complex/compphys/software/geview/data/figures/213772_s_at.png","Figure")</f>
        <v>Figure</v>
      </c>
      <c r="I9226">
        <v>1.18</v>
      </c>
      <c r="J9226">
        <v>0.41</v>
      </c>
      <c r="K9226">
        <v>0.93400000000000005</v>
      </c>
      <c r="L9226">
        <v>0.82</v>
      </c>
      <c r="M9226">
        <v>0.78900000000000003</v>
      </c>
      <c r="N9226">
        <v>0.15</v>
      </c>
    </row>
    <row r="9227" spans="1:14" x14ac:dyDescent="0.25">
      <c r="A9227" t="s">
        <v>16203</v>
      </c>
      <c r="B9227" t="s">
        <v>16204</v>
      </c>
      <c r="C9227" s="1" t="str">
        <f>HYPERLINK("http://www.genecards.org/cgi-bin/carddisp.pl?gene=MRPL20","GeneCards")</f>
        <v>GeneCards</v>
      </c>
      <c r="D9227" s="1" t="str">
        <f>HYPERLINK("http://genome-euro.ucsc.edu/cgi-bin/hgTracks?position=220526_s_at","UCSC")</f>
        <v>UCSC</v>
      </c>
      <c r="E9227" s="1" t="str">
        <f>HYPERLINK("http://www.ncbi.nlm.nih.gov/gene/?term=MRPL20","NCBI")</f>
        <v>NCBI</v>
      </c>
      <c r="F9227">
        <v>0.17</v>
      </c>
      <c r="G9227">
        <v>0.32</v>
      </c>
      <c r="H9227" s="1" t="str">
        <f>HYPERLINK("http://www.weizmann.ac.il/complex/compphys/software/geview/data/figures/220526_s_at.png","Figure")</f>
        <v>Figure</v>
      </c>
      <c r="I9227">
        <v>0.82799999999999996</v>
      </c>
      <c r="J9227">
        <v>0.61</v>
      </c>
      <c r="K9227">
        <v>1.19</v>
      </c>
      <c r="L9227">
        <v>0.57999999999999996</v>
      </c>
      <c r="M9227">
        <v>1.44</v>
      </c>
      <c r="N9227">
        <v>0.16</v>
      </c>
    </row>
    <row r="9228" spans="1:14" x14ac:dyDescent="0.25">
      <c r="A9228" t="s">
        <v>16205</v>
      </c>
      <c r="B9228" t="s">
        <v>16206</v>
      </c>
      <c r="C9228" s="1" t="str">
        <f>HYPERLINK("http://www.genecards.org/cgi-bin/carddisp.pl?gene=ZBTB24","GeneCards")</f>
        <v>GeneCards</v>
      </c>
      <c r="D9228" s="1" t="str">
        <f>HYPERLINK("http://genome-euro.ucsc.edu/cgi-bin/hgTracks?position=205340_at","UCSC")</f>
        <v>UCSC</v>
      </c>
      <c r="E9228" s="1" t="str">
        <f>HYPERLINK("http://www.ncbi.nlm.nih.gov/gene/?term=ZBTB24","NCBI")</f>
        <v>NCBI</v>
      </c>
      <c r="F9228">
        <v>0.17</v>
      </c>
      <c r="G9228">
        <v>0.32</v>
      </c>
      <c r="H9228" s="1" t="str">
        <f>HYPERLINK("http://www.weizmann.ac.il/complex/compphys/software/geview/data/figures/205340_at.png","Figure")</f>
        <v>Figure</v>
      </c>
      <c r="I9228">
        <v>0.77100000000000002</v>
      </c>
      <c r="J9228">
        <v>0.25</v>
      </c>
      <c r="K9228">
        <v>1.01</v>
      </c>
      <c r="L9228">
        <v>1</v>
      </c>
      <c r="M9228">
        <v>1.31</v>
      </c>
      <c r="N9228">
        <v>0.18</v>
      </c>
    </row>
    <row r="9229" spans="1:14" x14ac:dyDescent="0.25">
      <c r="A9229" t="s">
        <v>16207</v>
      </c>
      <c r="B9229" t="s">
        <v>13993</v>
      </c>
      <c r="C9229" s="1" t="str">
        <f>HYPERLINK("http://www.genecards.org/cgi-bin/carddisp.pl?gene=HOXD9","GeneCards")</f>
        <v>GeneCards</v>
      </c>
      <c r="D9229" s="1" t="str">
        <f>HYPERLINK("http://genome-euro.ucsc.edu/cgi-bin/hgTracks?position=205604_at","UCSC")</f>
        <v>UCSC</v>
      </c>
      <c r="E9229" s="1" t="str">
        <f>HYPERLINK("http://www.ncbi.nlm.nih.gov/gene/?term=HOXD9","NCBI")</f>
        <v>NCBI</v>
      </c>
      <c r="F9229">
        <v>0.17</v>
      </c>
      <c r="G9229">
        <v>0.32</v>
      </c>
      <c r="H9229" s="1" t="str">
        <f>HYPERLINK("http://www.weizmann.ac.il/complex/compphys/software/geview/data/figures/205604_at.png","Figure")</f>
        <v>Figure</v>
      </c>
      <c r="I9229">
        <v>1.1100000000000001</v>
      </c>
      <c r="J9229">
        <v>0.16</v>
      </c>
      <c r="K9229">
        <v>1.03</v>
      </c>
      <c r="L9229">
        <v>0.77</v>
      </c>
      <c r="M9229">
        <v>0.93</v>
      </c>
      <c r="N9229">
        <v>0.34</v>
      </c>
    </row>
    <row r="9230" spans="1:14" x14ac:dyDescent="0.25">
      <c r="A9230" t="s">
        <v>16208</v>
      </c>
      <c r="B9230" t="s">
        <v>15344</v>
      </c>
      <c r="C9230" s="1" t="str">
        <f>HYPERLINK("http://www.genecards.org/cgi-bin/carddisp.pl?gene=ZER1","GeneCards")</f>
        <v>GeneCards</v>
      </c>
      <c r="D9230" s="1" t="str">
        <f>HYPERLINK("http://genome-euro.ucsc.edu/cgi-bin/hgTracks?position=202448_s_at","UCSC")</f>
        <v>UCSC</v>
      </c>
      <c r="E9230" s="1" t="str">
        <f>HYPERLINK("http://www.ncbi.nlm.nih.gov/gene/?term=ZER1","NCBI")</f>
        <v>NCBI</v>
      </c>
      <c r="F9230">
        <v>0.17</v>
      </c>
      <c r="G9230">
        <v>0.32</v>
      </c>
      <c r="H9230" s="1" t="str">
        <f>HYPERLINK("http://www.weizmann.ac.il/complex/compphys/software/geview/data/figures/202448_s_at.png","Figure")</f>
        <v>Figure</v>
      </c>
      <c r="I9230">
        <v>1.2</v>
      </c>
      <c r="J9230">
        <v>0.18</v>
      </c>
      <c r="K9230">
        <v>1.03</v>
      </c>
      <c r="L9230">
        <v>0.93</v>
      </c>
      <c r="M9230">
        <v>0.86099999999999999</v>
      </c>
      <c r="N9230">
        <v>0.25</v>
      </c>
    </row>
    <row r="9231" spans="1:14" x14ac:dyDescent="0.25">
      <c r="A9231" t="s">
        <v>16209</v>
      </c>
      <c r="B9231" t="s">
        <v>16210</v>
      </c>
      <c r="C9231" s="1" t="str">
        <f>HYPERLINK("http://www.genecards.org/cgi-bin/carddisp.pl?gene=CRYGB","GeneCards")</f>
        <v>GeneCards</v>
      </c>
      <c r="D9231" s="1" t="str">
        <f>HYPERLINK("http://genome-euro.ucsc.edu/cgi-bin/hgTracks?position=207715_at","UCSC")</f>
        <v>UCSC</v>
      </c>
      <c r="E9231" s="1" t="str">
        <f>HYPERLINK("http://www.ncbi.nlm.nih.gov/gene/?term=CRYGB","NCBI")</f>
        <v>NCBI</v>
      </c>
      <c r="F9231">
        <v>0.17</v>
      </c>
      <c r="G9231">
        <v>0.32</v>
      </c>
      <c r="H9231" s="1" t="str">
        <f>HYPERLINK("http://www.weizmann.ac.il/complex/compphys/software/geview/data/figures/207715_at.png","Figure")</f>
        <v>Figure</v>
      </c>
      <c r="I9231">
        <v>1.28</v>
      </c>
      <c r="J9231">
        <v>0.15</v>
      </c>
      <c r="K9231">
        <v>1.1399999999999999</v>
      </c>
      <c r="L9231">
        <v>0.47</v>
      </c>
      <c r="M9231">
        <v>0.89100000000000001</v>
      </c>
      <c r="N9231">
        <v>0.59</v>
      </c>
    </row>
    <row r="9232" spans="1:14" x14ac:dyDescent="0.25">
      <c r="A9232" t="s">
        <v>16211</v>
      </c>
      <c r="B9232" t="s">
        <v>16212</v>
      </c>
      <c r="C9232" s="1" t="str">
        <f>HYPERLINK("http://www.genecards.org/cgi-bin/carddisp.pl?gene=LTBR","GeneCards")</f>
        <v>GeneCards</v>
      </c>
      <c r="D9232" s="1" t="str">
        <f>HYPERLINK("http://genome-euro.ucsc.edu/cgi-bin/hgTracks?position=203005_at","UCSC")</f>
        <v>UCSC</v>
      </c>
      <c r="E9232" s="1" t="str">
        <f>HYPERLINK("http://www.ncbi.nlm.nih.gov/gene/?term=LTBR","NCBI")</f>
        <v>NCBI</v>
      </c>
      <c r="F9232">
        <v>0.17</v>
      </c>
      <c r="G9232">
        <v>0.32</v>
      </c>
      <c r="H9232" s="1" t="str">
        <f>HYPERLINK("http://www.weizmann.ac.il/complex/compphys/software/geview/data/figures/203005_at.png","Figure")</f>
        <v>Figure</v>
      </c>
      <c r="I9232">
        <v>1.17</v>
      </c>
      <c r="J9232">
        <v>0.3</v>
      </c>
      <c r="K9232">
        <v>1.19</v>
      </c>
      <c r="L9232">
        <v>0.18</v>
      </c>
      <c r="M9232">
        <v>1.01</v>
      </c>
      <c r="N9232">
        <v>0.99</v>
      </c>
    </row>
    <row r="9233" spans="1:14" x14ac:dyDescent="0.25">
      <c r="A9233" t="s">
        <v>16213</v>
      </c>
      <c r="B9233" t="s">
        <v>16214</v>
      </c>
      <c r="C9233" s="1" t="str">
        <f>HYPERLINK("http://www.genecards.org/cgi-bin/carddisp.pl?gene=SERPINF2","GeneCards")</f>
        <v>GeneCards</v>
      </c>
      <c r="D9233" s="1" t="str">
        <f>HYPERLINK("http://genome-euro.ucsc.edu/cgi-bin/hgTracks?position=205075_at","UCSC")</f>
        <v>UCSC</v>
      </c>
      <c r="E9233" s="1" t="str">
        <f>HYPERLINK("http://www.ncbi.nlm.nih.gov/gene/?term=SERPINF2","NCBI")</f>
        <v>NCBI</v>
      </c>
      <c r="F9233">
        <v>0.17</v>
      </c>
      <c r="G9233">
        <v>0.32</v>
      </c>
      <c r="H9233" s="1" t="str">
        <f>HYPERLINK("http://www.weizmann.ac.il/complex/compphys/software/geview/data/figures/205075_at.png","Figure")</f>
        <v>Figure</v>
      </c>
      <c r="I9233">
        <v>1.1599999999999999</v>
      </c>
      <c r="J9233">
        <v>0.15</v>
      </c>
      <c r="K9233">
        <v>1.08</v>
      </c>
      <c r="L9233">
        <v>0.5</v>
      </c>
      <c r="M9233">
        <v>0.93</v>
      </c>
      <c r="N9233">
        <v>0.56000000000000005</v>
      </c>
    </row>
    <row r="9234" spans="1:14" x14ac:dyDescent="0.25">
      <c r="A9234" t="s">
        <v>16215</v>
      </c>
      <c r="B9234" t="s">
        <v>12877</v>
      </c>
      <c r="C9234" s="1" t="str">
        <f>HYPERLINK("http://www.genecards.org/cgi-bin/carddisp.pl?gene=ABCC6 /// LOC100292715","GeneCards")</f>
        <v>GeneCards</v>
      </c>
      <c r="D9234" s="1" t="str">
        <f>HYPERLINK("http://genome-euro.ucsc.edu/cgi-bin/hgTracks?position=208480_s_at","UCSC")</f>
        <v>UCSC</v>
      </c>
      <c r="E9234" s="1" t="str">
        <f>HYPERLINK("http://www.ncbi.nlm.nih.gov/gene/?term=ABCC6 /// LOC100292715","NCBI")</f>
        <v>NCBI</v>
      </c>
      <c r="F9234">
        <v>0.17</v>
      </c>
      <c r="G9234">
        <v>0.32</v>
      </c>
      <c r="H9234" s="1" t="str">
        <f>HYPERLINK("http://www.weizmann.ac.il/complex/compphys/software/geview/data/figures/208480_s_at.png","Figure")</f>
        <v>Figure</v>
      </c>
      <c r="I9234">
        <v>1.03</v>
      </c>
      <c r="J9234">
        <v>0.21</v>
      </c>
      <c r="K9234">
        <v>1.02</v>
      </c>
      <c r="L9234">
        <v>0.26</v>
      </c>
      <c r="M9234">
        <v>0.995</v>
      </c>
      <c r="N9234">
        <v>0.92</v>
      </c>
    </row>
    <row r="9235" spans="1:14" x14ac:dyDescent="0.25">
      <c r="A9235" t="s">
        <v>16216</v>
      </c>
      <c r="B9235" t="s">
        <v>16217</v>
      </c>
      <c r="C9235" s="1" t="str">
        <f>HYPERLINK("http://www.genecards.org/cgi-bin/carddisp.pl?gene=TNKS","GeneCards")</f>
        <v>GeneCards</v>
      </c>
      <c r="D9235" s="1" t="str">
        <f>HYPERLINK("http://genome-euro.ucsc.edu/cgi-bin/hgTracks?position=202561_at","UCSC")</f>
        <v>UCSC</v>
      </c>
      <c r="E9235" s="1" t="str">
        <f>HYPERLINK("http://www.ncbi.nlm.nih.gov/gene/?term=TNKS","NCBI")</f>
        <v>NCBI</v>
      </c>
      <c r="F9235">
        <v>0.17</v>
      </c>
      <c r="G9235">
        <v>0.32</v>
      </c>
      <c r="H9235" s="1" t="str">
        <f>HYPERLINK("http://www.weizmann.ac.il/complex/compphys/software/geview/data/figures/202561_at.png","Figure")</f>
        <v>Figure</v>
      </c>
      <c r="I9235">
        <v>0.57899999999999996</v>
      </c>
      <c r="J9235">
        <v>0.15</v>
      </c>
      <c r="K9235">
        <v>0.79700000000000004</v>
      </c>
      <c r="L9235">
        <v>0.62</v>
      </c>
      <c r="M9235">
        <v>1.38</v>
      </c>
      <c r="N9235">
        <v>0.45</v>
      </c>
    </row>
    <row r="9236" spans="1:14" x14ac:dyDescent="0.25">
      <c r="A9236" t="s">
        <v>16218</v>
      </c>
      <c r="B9236" t="s">
        <v>247</v>
      </c>
      <c r="C9236" s="1" t="str">
        <f>HYPERLINK("http://www.genecards.org/cgi-bin/carddisp.pl?gene=NUP210","GeneCards")</f>
        <v>GeneCards</v>
      </c>
      <c r="D9236" s="1" t="str">
        <f>HYPERLINK("http://genome-euro.ucsc.edu/cgi-bin/hgTracks?position=213945_s_at","UCSC")</f>
        <v>UCSC</v>
      </c>
      <c r="E9236" s="1" t="str">
        <f>HYPERLINK("http://www.ncbi.nlm.nih.gov/gene/?term=NUP210","NCBI")</f>
        <v>NCBI</v>
      </c>
      <c r="F9236">
        <v>0.17</v>
      </c>
      <c r="G9236">
        <v>0.32</v>
      </c>
      <c r="H9236" s="1" t="str">
        <f>HYPERLINK("http://www.weizmann.ac.il/complex/compphys/software/geview/data/figures/213945_s_at.png","Figure")</f>
        <v>Figure</v>
      </c>
      <c r="I9236">
        <v>1.05</v>
      </c>
      <c r="J9236">
        <v>0.28000000000000003</v>
      </c>
      <c r="K9236">
        <v>1.05</v>
      </c>
      <c r="L9236">
        <v>0.19</v>
      </c>
      <c r="M9236">
        <v>1</v>
      </c>
      <c r="N9236">
        <v>1</v>
      </c>
    </row>
    <row r="9237" spans="1:14" x14ac:dyDescent="0.25">
      <c r="A9237" t="s">
        <v>16219</v>
      </c>
      <c r="B9237" t="s">
        <v>16220</v>
      </c>
      <c r="C9237" s="1" t="str">
        <f>HYPERLINK("http://www.genecards.org/cgi-bin/carddisp.pl?gene=CAPN1","GeneCards")</f>
        <v>GeneCards</v>
      </c>
      <c r="D9237" s="1" t="str">
        <f>HYPERLINK("http://genome-euro.ucsc.edu/cgi-bin/hgTracks?position=200752_s_at","UCSC")</f>
        <v>UCSC</v>
      </c>
      <c r="E9237" s="1" t="str">
        <f>HYPERLINK("http://www.ncbi.nlm.nih.gov/gene/?term=CAPN1","NCBI")</f>
        <v>NCBI</v>
      </c>
      <c r="F9237">
        <v>0.17</v>
      </c>
      <c r="G9237">
        <v>0.32</v>
      </c>
      <c r="H9237" s="1" t="str">
        <f>HYPERLINK("http://www.weizmann.ac.il/complex/compphys/software/geview/data/figures/200752_s_at.png","Figure")</f>
        <v>Figure</v>
      </c>
      <c r="I9237">
        <v>1.35</v>
      </c>
      <c r="J9237">
        <v>0.16</v>
      </c>
      <c r="K9237">
        <v>1.1100000000000001</v>
      </c>
      <c r="L9237">
        <v>0.71</v>
      </c>
      <c r="M9237">
        <v>0.82199999999999995</v>
      </c>
      <c r="N9237">
        <v>0.38</v>
      </c>
    </row>
    <row r="9238" spans="1:14" x14ac:dyDescent="0.25">
      <c r="A9238" t="s">
        <v>16221</v>
      </c>
      <c r="B9238" t="s">
        <v>15551</v>
      </c>
      <c r="C9238" s="1" t="str">
        <f>HYPERLINK("http://www.genecards.org/cgi-bin/carddisp.pl?gene=RPL12","GeneCards")</f>
        <v>GeneCards</v>
      </c>
      <c r="D9238" s="1" t="str">
        <f>HYPERLINK("http://genome-euro.ucsc.edu/cgi-bin/hgTracks?position=200809_x_at","UCSC")</f>
        <v>UCSC</v>
      </c>
      <c r="E9238" s="1" t="str">
        <f>HYPERLINK("http://www.ncbi.nlm.nih.gov/gene/?term=RPL12","NCBI")</f>
        <v>NCBI</v>
      </c>
      <c r="F9238">
        <v>0.17</v>
      </c>
      <c r="G9238">
        <v>0.32</v>
      </c>
      <c r="H9238" s="1" t="str">
        <f>HYPERLINK("http://www.weizmann.ac.il/complex/compphys/software/geview/data/figures/200809_x_at.png","Figure")</f>
        <v>Figure</v>
      </c>
      <c r="I9238">
        <v>1.18</v>
      </c>
      <c r="J9238">
        <v>0.64</v>
      </c>
      <c r="K9238">
        <v>1.36</v>
      </c>
      <c r="L9238">
        <v>0.15</v>
      </c>
      <c r="M9238">
        <v>1.1599999999999999</v>
      </c>
      <c r="N9238">
        <v>0.66</v>
      </c>
    </row>
    <row r="9239" spans="1:14" x14ac:dyDescent="0.25">
      <c r="A9239" t="s">
        <v>16222</v>
      </c>
      <c r="B9239" t="s">
        <v>16223</v>
      </c>
      <c r="C9239" s="1" t="str">
        <f>HYPERLINK("http://www.genecards.org/cgi-bin/carddisp.pl?gene=AMH","GeneCards")</f>
        <v>GeneCards</v>
      </c>
      <c r="D9239" s="1" t="str">
        <f>HYPERLINK("http://genome-euro.ucsc.edu/cgi-bin/hgTracks?position=206516_at","UCSC")</f>
        <v>UCSC</v>
      </c>
      <c r="E9239" s="1" t="str">
        <f>HYPERLINK("http://www.ncbi.nlm.nih.gov/gene/?term=AMH","NCBI")</f>
        <v>NCBI</v>
      </c>
      <c r="F9239">
        <v>0.17</v>
      </c>
      <c r="G9239">
        <v>0.32</v>
      </c>
      <c r="H9239" s="1" t="str">
        <f>HYPERLINK("http://www.weizmann.ac.il/complex/compphys/software/geview/data/figures/206516_at.png","Figure")</f>
        <v>Figure</v>
      </c>
      <c r="I9239">
        <v>1.06</v>
      </c>
      <c r="J9239">
        <v>0.89</v>
      </c>
      <c r="K9239">
        <v>1.23</v>
      </c>
      <c r="L9239">
        <v>0.17</v>
      </c>
      <c r="M9239">
        <v>1.1599999999999999</v>
      </c>
      <c r="N9239">
        <v>0.43</v>
      </c>
    </row>
    <row r="9240" spans="1:14" x14ac:dyDescent="0.25">
      <c r="A9240" t="s">
        <v>16224</v>
      </c>
      <c r="B9240" t="s">
        <v>11679</v>
      </c>
      <c r="C9240" s="1" t="str">
        <f>HYPERLINK("http://www.genecards.org/cgi-bin/carddisp.pl?gene=RPL22","GeneCards")</f>
        <v>GeneCards</v>
      </c>
      <c r="D9240" s="1" t="str">
        <f>HYPERLINK("http://genome-euro.ucsc.edu/cgi-bin/hgTracks?position=208768_x_at","UCSC")</f>
        <v>UCSC</v>
      </c>
      <c r="E9240" s="1" t="str">
        <f>HYPERLINK("http://www.ncbi.nlm.nih.gov/gene/?term=RPL22","NCBI")</f>
        <v>NCBI</v>
      </c>
      <c r="F9240">
        <v>0.17</v>
      </c>
      <c r="G9240">
        <v>0.32</v>
      </c>
      <c r="H9240" s="1" t="str">
        <f>HYPERLINK("http://www.weizmann.ac.il/complex/compphys/software/geview/data/figures/208768_x_at.png","Figure")</f>
        <v>Figure</v>
      </c>
      <c r="I9240">
        <v>1.07</v>
      </c>
      <c r="J9240">
        <v>0.79</v>
      </c>
      <c r="K9240">
        <v>1.19</v>
      </c>
      <c r="L9240">
        <v>0.16</v>
      </c>
      <c r="M9240">
        <v>1.1100000000000001</v>
      </c>
      <c r="N9240">
        <v>0.51</v>
      </c>
    </row>
    <row r="9241" spans="1:14" x14ac:dyDescent="0.25">
      <c r="A9241" t="s">
        <v>16225</v>
      </c>
      <c r="B9241" t="s">
        <v>15576</v>
      </c>
      <c r="C9241" s="1" t="str">
        <f>HYPERLINK("http://www.genecards.org/cgi-bin/carddisp.pl?gene=JAG1","GeneCards")</f>
        <v>GeneCards</v>
      </c>
      <c r="D9241" s="1" t="str">
        <f>HYPERLINK("http://genome-euro.ucsc.edu/cgi-bin/hgTracks?position=209097_s_at","UCSC")</f>
        <v>UCSC</v>
      </c>
      <c r="E9241" s="1" t="str">
        <f>HYPERLINK("http://www.ncbi.nlm.nih.gov/gene/?term=JAG1","NCBI")</f>
        <v>NCBI</v>
      </c>
      <c r="F9241">
        <v>0.17</v>
      </c>
      <c r="G9241">
        <v>0.32</v>
      </c>
      <c r="H9241" s="1" t="str">
        <f>HYPERLINK("http://www.weizmann.ac.il/complex/compphys/software/geview/data/figures/209097_s_at.png","Figure")</f>
        <v>Figure</v>
      </c>
      <c r="I9241">
        <v>1.06</v>
      </c>
      <c r="J9241">
        <v>0.26</v>
      </c>
      <c r="K9241">
        <v>1.06</v>
      </c>
      <c r="L9241">
        <v>0.2</v>
      </c>
      <c r="M9241">
        <v>0.998</v>
      </c>
      <c r="N9241">
        <v>1</v>
      </c>
    </row>
    <row r="9242" spans="1:14" x14ac:dyDescent="0.25">
      <c r="A9242" t="s">
        <v>16226</v>
      </c>
      <c r="B9242" t="s">
        <v>10019</v>
      </c>
      <c r="C9242" s="1" t="str">
        <f>HYPERLINK("http://www.genecards.org/cgi-bin/carddisp.pl?gene=MAP2K2","GeneCards")</f>
        <v>GeneCards</v>
      </c>
      <c r="D9242" s="1" t="str">
        <f>HYPERLINK("http://genome-euro.ucsc.edu/cgi-bin/hgTracks?position=213490_s_at","UCSC")</f>
        <v>UCSC</v>
      </c>
      <c r="E9242" s="1" t="str">
        <f>HYPERLINK("http://www.ncbi.nlm.nih.gov/gene/?term=MAP2K2","NCBI")</f>
        <v>NCBI</v>
      </c>
      <c r="F9242">
        <v>0.17</v>
      </c>
      <c r="G9242">
        <v>0.32</v>
      </c>
      <c r="H9242" s="1" t="str">
        <f>HYPERLINK("http://www.weizmann.ac.il/complex/compphys/software/geview/data/figures/213490_s_at.png","Figure")</f>
        <v>Figure</v>
      </c>
      <c r="I9242">
        <v>1.24</v>
      </c>
      <c r="J9242">
        <v>0.2</v>
      </c>
      <c r="K9242">
        <v>1.18</v>
      </c>
      <c r="L9242">
        <v>0.27</v>
      </c>
      <c r="M9242">
        <v>0.95499999999999996</v>
      </c>
      <c r="N9242">
        <v>0.91</v>
      </c>
    </row>
    <row r="9243" spans="1:14" x14ac:dyDescent="0.25">
      <c r="A9243" t="s">
        <v>16227</v>
      </c>
      <c r="B9243" t="s">
        <v>16228</v>
      </c>
      <c r="C9243" s="1" t="str">
        <f>HYPERLINK("http://www.genecards.org/cgi-bin/carddisp.pl?gene=TM6SF2","GeneCards")</f>
        <v>GeneCards</v>
      </c>
      <c r="D9243" s="1" t="str">
        <f>HYPERLINK("http://genome-euro.ucsc.edu/cgi-bin/hgTracks?position=216736_at","UCSC")</f>
        <v>UCSC</v>
      </c>
      <c r="E9243" s="1" t="str">
        <f>HYPERLINK("http://www.ncbi.nlm.nih.gov/gene/?term=TM6SF2","NCBI")</f>
        <v>NCBI</v>
      </c>
      <c r="F9243">
        <v>0.17</v>
      </c>
      <c r="G9243">
        <v>0.32</v>
      </c>
      <c r="H9243" s="1" t="str">
        <f>HYPERLINK("http://www.weizmann.ac.il/complex/compphys/software/geview/data/figures/216736_at.png","Figure")</f>
        <v>Figure</v>
      </c>
      <c r="I9243">
        <v>1.22</v>
      </c>
      <c r="J9243">
        <v>0.19</v>
      </c>
      <c r="K9243">
        <v>1.1499999999999999</v>
      </c>
      <c r="L9243">
        <v>0.3</v>
      </c>
      <c r="M9243">
        <v>0.94799999999999995</v>
      </c>
      <c r="N9243">
        <v>0.85</v>
      </c>
    </row>
    <row r="9244" spans="1:14" x14ac:dyDescent="0.25">
      <c r="A9244" t="s">
        <v>16229</v>
      </c>
      <c r="B9244" t="s">
        <v>16230</v>
      </c>
      <c r="C9244" s="1" t="str">
        <f>HYPERLINK("http://www.genecards.org/cgi-bin/carddisp.pl?gene=HAUS4","GeneCards")</f>
        <v>GeneCards</v>
      </c>
      <c r="D9244" s="1" t="str">
        <f>HYPERLINK("http://genome-euro.ucsc.edu/cgi-bin/hgTracks?position=218383_at","UCSC")</f>
        <v>UCSC</v>
      </c>
      <c r="E9244" s="1" t="str">
        <f>HYPERLINK("http://www.ncbi.nlm.nih.gov/gene/?term=HAUS4","NCBI")</f>
        <v>NCBI</v>
      </c>
      <c r="F9244">
        <v>0.17</v>
      </c>
      <c r="G9244">
        <v>0.32</v>
      </c>
      <c r="H9244" s="1" t="str">
        <f>HYPERLINK("http://www.weizmann.ac.il/complex/compphys/software/geview/data/figures/218383_at.png","Figure")</f>
        <v>Figure</v>
      </c>
      <c r="I9244">
        <v>0.77500000000000002</v>
      </c>
      <c r="J9244">
        <v>0.56999999999999995</v>
      </c>
      <c r="K9244">
        <v>1.23</v>
      </c>
      <c r="L9244">
        <v>0.62</v>
      </c>
      <c r="M9244">
        <v>1.59</v>
      </c>
      <c r="N9244">
        <v>0.15</v>
      </c>
    </row>
    <row r="9245" spans="1:14" x14ac:dyDescent="0.25">
      <c r="A9245" t="s">
        <v>16231</v>
      </c>
      <c r="B9245" t="s">
        <v>16232</v>
      </c>
      <c r="C9245" s="1" t="str">
        <f>HYPERLINK("http://www.genecards.org/cgi-bin/carddisp.pl?gene=CNGB1","GeneCards")</f>
        <v>GeneCards</v>
      </c>
      <c r="D9245" s="1" t="str">
        <f>HYPERLINK("http://genome-euro.ucsc.edu/cgi-bin/hgTracks?position=210769_at","UCSC")</f>
        <v>UCSC</v>
      </c>
      <c r="E9245" s="1" t="str">
        <f>HYPERLINK("http://www.ncbi.nlm.nih.gov/gene/?term=CNGB1","NCBI")</f>
        <v>NCBI</v>
      </c>
      <c r="F9245">
        <v>0.17</v>
      </c>
      <c r="G9245">
        <v>0.32</v>
      </c>
      <c r="H9245" s="1" t="str">
        <f>HYPERLINK("http://www.weizmann.ac.il/complex/compphys/software/geview/data/figures/210769_at.png","Figure")</f>
        <v>Figure</v>
      </c>
      <c r="I9245">
        <v>1.21</v>
      </c>
      <c r="J9245">
        <v>0.17</v>
      </c>
      <c r="K9245">
        <v>1.05</v>
      </c>
      <c r="L9245">
        <v>0.86</v>
      </c>
      <c r="M9245">
        <v>0.86499999999999999</v>
      </c>
      <c r="N9245">
        <v>0.28999999999999998</v>
      </c>
    </row>
    <row r="9246" spans="1:14" x14ac:dyDescent="0.25">
      <c r="A9246" t="s">
        <v>16233</v>
      </c>
      <c r="B9246" t="s">
        <v>16234</v>
      </c>
      <c r="C9246" s="1" t="str">
        <f>HYPERLINK("http://www.genecards.org/cgi-bin/carddisp.pl?gene=GPX2","GeneCards")</f>
        <v>GeneCards</v>
      </c>
      <c r="D9246" s="1" t="str">
        <f>HYPERLINK("http://genome-euro.ucsc.edu/cgi-bin/hgTracks?position=202831_at","UCSC")</f>
        <v>UCSC</v>
      </c>
      <c r="E9246" s="1" t="str">
        <f>HYPERLINK("http://www.ncbi.nlm.nih.gov/gene/?term=GPX2","NCBI")</f>
        <v>NCBI</v>
      </c>
      <c r="F9246">
        <v>0.17</v>
      </c>
      <c r="G9246">
        <v>0.32</v>
      </c>
      <c r="H9246" s="1" t="str">
        <f>HYPERLINK("http://www.weizmann.ac.il/complex/compphys/software/geview/data/figures/202831_at.png","Figure")</f>
        <v>Figure</v>
      </c>
      <c r="I9246">
        <v>1.21</v>
      </c>
      <c r="J9246">
        <v>0.16</v>
      </c>
      <c r="K9246">
        <v>1.06</v>
      </c>
      <c r="L9246">
        <v>0.73</v>
      </c>
      <c r="M9246">
        <v>0.88300000000000001</v>
      </c>
      <c r="N9246">
        <v>0.37</v>
      </c>
    </row>
    <row r="9247" spans="1:14" x14ac:dyDescent="0.25">
      <c r="A9247" t="s">
        <v>16235</v>
      </c>
      <c r="B9247" t="s">
        <v>16236</v>
      </c>
      <c r="C9247" s="1" t="str">
        <f>HYPERLINK("http://www.genecards.org/cgi-bin/carddisp.pl?gene=CHST10","GeneCards")</f>
        <v>GeneCards</v>
      </c>
      <c r="D9247" s="1" t="str">
        <f>HYPERLINK("http://genome-euro.ucsc.edu/cgi-bin/hgTracks?position=204065_at","UCSC")</f>
        <v>UCSC</v>
      </c>
      <c r="E9247" s="1" t="str">
        <f>HYPERLINK("http://www.ncbi.nlm.nih.gov/gene/?term=CHST10","NCBI")</f>
        <v>NCBI</v>
      </c>
      <c r="F9247">
        <v>0.17</v>
      </c>
      <c r="G9247">
        <v>0.32</v>
      </c>
      <c r="H9247" s="1" t="str">
        <f>HYPERLINK("http://www.weizmann.ac.il/complex/compphys/software/geview/data/figures/204065_at.png","Figure")</f>
        <v>Figure</v>
      </c>
      <c r="I9247">
        <v>1.19</v>
      </c>
      <c r="J9247">
        <v>0.32</v>
      </c>
      <c r="K9247">
        <v>0.96199999999999997</v>
      </c>
      <c r="L9247">
        <v>0.93</v>
      </c>
      <c r="M9247">
        <v>0.80500000000000005</v>
      </c>
      <c r="N9247">
        <v>0.16</v>
      </c>
    </row>
    <row r="9248" spans="1:14" x14ac:dyDescent="0.25">
      <c r="A9248" t="s">
        <v>16237</v>
      </c>
      <c r="B9248" t="s">
        <v>16238</v>
      </c>
      <c r="C9248" s="1" t="str">
        <f>HYPERLINK("http://www.genecards.org/cgi-bin/carddisp.pl?gene=TIA1","GeneCards")</f>
        <v>GeneCards</v>
      </c>
      <c r="D9248" s="1" t="str">
        <f>HYPERLINK("http://genome-euro.ucsc.edu/cgi-bin/hgTracks?position=201447_at","UCSC")</f>
        <v>UCSC</v>
      </c>
      <c r="E9248" s="1" t="str">
        <f>HYPERLINK("http://www.ncbi.nlm.nih.gov/gene/?term=TIA1","NCBI")</f>
        <v>NCBI</v>
      </c>
      <c r="F9248">
        <v>0.18</v>
      </c>
      <c r="G9248">
        <v>0.32</v>
      </c>
      <c r="H9248" s="1" t="str">
        <f>HYPERLINK("http://www.weizmann.ac.il/complex/compphys/software/geview/data/figures/201447_at.png","Figure")</f>
        <v>Figure</v>
      </c>
      <c r="I9248">
        <v>1.25</v>
      </c>
      <c r="J9248">
        <v>0.36</v>
      </c>
      <c r="K9248">
        <v>1.3</v>
      </c>
      <c r="L9248">
        <v>0.17</v>
      </c>
      <c r="M9248">
        <v>1.04</v>
      </c>
      <c r="N9248">
        <v>0.95</v>
      </c>
    </row>
    <row r="9249" spans="1:14" x14ac:dyDescent="0.25">
      <c r="A9249" t="s">
        <v>16239</v>
      </c>
      <c r="B9249" t="s">
        <v>16240</v>
      </c>
      <c r="C9249" s="1" t="str">
        <f>HYPERLINK("http://www.genecards.org/cgi-bin/carddisp.pl?gene=ZNF839","GeneCards")</f>
        <v>GeneCards</v>
      </c>
      <c r="D9249" s="1" t="str">
        <f>HYPERLINK("http://genome-euro.ucsc.edu/cgi-bin/hgTracks?position=219086_at","UCSC")</f>
        <v>UCSC</v>
      </c>
      <c r="E9249" s="1" t="str">
        <f>HYPERLINK("http://www.ncbi.nlm.nih.gov/gene/?term=ZNF839","NCBI")</f>
        <v>NCBI</v>
      </c>
      <c r="F9249">
        <v>0.18</v>
      </c>
      <c r="G9249">
        <v>0.32</v>
      </c>
      <c r="H9249" s="1" t="str">
        <f>HYPERLINK("http://www.weizmann.ac.il/complex/compphys/software/geview/data/figures/219086_at.png","Figure")</f>
        <v>Figure</v>
      </c>
      <c r="I9249">
        <v>0.85499999999999998</v>
      </c>
      <c r="J9249">
        <v>0.17</v>
      </c>
      <c r="K9249">
        <v>0.96199999999999997</v>
      </c>
      <c r="L9249">
        <v>0.85</v>
      </c>
      <c r="M9249">
        <v>1.1299999999999999</v>
      </c>
      <c r="N9249">
        <v>0.3</v>
      </c>
    </row>
    <row r="9250" spans="1:14" x14ac:dyDescent="0.25">
      <c r="A9250" t="s">
        <v>16241</v>
      </c>
      <c r="B9250" t="s">
        <v>16242</v>
      </c>
      <c r="C9250" s="1" t="str">
        <f>HYPERLINK("http://www.genecards.org/cgi-bin/carddisp.pl?gene=MED22","GeneCards")</f>
        <v>GeneCards</v>
      </c>
      <c r="D9250" s="1" t="str">
        <f>HYPERLINK("http://genome-euro.ucsc.edu/cgi-bin/hgTracks?position=206593_s_at","UCSC")</f>
        <v>UCSC</v>
      </c>
      <c r="E9250" s="1" t="str">
        <f>HYPERLINK("http://www.ncbi.nlm.nih.gov/gene/?term=MED22","NCBI")</f>
        <v>NCBI</v>
      </c>
      <c r="F9250">
        <v>0.18</v>
      </c>
      <c r="G9250">
        <v>0.32</v>
      </c>
      <c r="H9250" s="1" t="str">
        <f>HYPERLINK("http://www.weizmann.ac.il/complex/compphys/software/geview/data/figures/206593_s_at.png","Figure")</f>
        <v>Figure</v>
      </c>
      <c r="I9250">
        <v>1.3</v>
      </c>
      <c r="J9250">
        <v>0.15</v>
      </c>
      <c r="K9250">
        <v>1.1200000000000001</v>
      </c>
      <c r="L9250">
        <v>0.6</v>
      </c>
      <c r="M9250">
        <v>0.86099999999999999</v>
      </c>
      <c r="N9250">
        <v>0.47</v>
      </c>
    </row>
    <row r="9251" spans="1:14" x14ac:dyDescent="0.25">
      <c r="A9251" t="s">
        <v>16243</v>
      </c>
      <c r="B9251" t="s">
        <v>16244</v>
      </c>
      <c r="C9251" s="1" t="str">
        <f>HYPERLINK("http://www.genecards.org/cgi-bin/carddisp.pl?gene=PTRH2","GeneCards")</f>
        <v>GeneCards</v>
      </c>
      <c r="D9251" s="1" t="str">
        <f>HYPERLINK("http://genome-euro.ucsc.edu/cgi-bin/hgTracks?position=218732_at","UCSC")</f>
        <v>UCSC</v>
      </c>
      <c r="E9251" s="1" t="str">
        <f>HYPERLINK("http://www.ncbi.nlm.nih.gov/gene/?term=PTRH2","NCBI")</f>
        <v>NCBI</v>
      </c>
      <c r="F9251">
        <v>0.18</v>
      </c>
      <c r="G9251">
        <v>0.32</v>
      </c>
      <c r="H9251" s="1" t="str">
        <f>HYPERLINK("http://www.weizmann.ac.il/complex/compphys/software/geview/data/figures/218732_at.png","Figure")</f>
        <v>Figure</v>
      </c>
      <c r="I9251">
        <v>0.83299999999999996</v>
      </c>
      <c r="J9251">
        <v>0.19</v>
      </c>
      <c r="K9251">
        <v>0.875</v>
      </c>
      <c r="L9251">
        <v>0.28999999999999998</v>
      </c>
      <c r="M9251">
        <v>1.05</v>
      </c>
      <c r="N9251">
        <v>0.86</v>
      </c>
    </row>
    <row r="9252" spans="1:14" x14ac:dyDescent="0.25">
      <c r="A9252" t="s">
        <v>16245</v>
      </c>
      <c r="B9252" t="s">
        <v>15290</v>
      </c>
      <c r="C9252" s="1" t="str">
        <f>HYPERLINK("http://www.genecards.org/cgi-bin/carddisp.pl?gene=KIAA0368","GeneCards")</f>
        <v>GeneCards</v>
      </c>
      <c r="D9252" s="1" t="str">
        <f>HYPERLINK("http://genome-euro.ucsc.edu/cgi-bin/hgTracks?position=214356_s_at","UCSC")</f>
        <v>UCSC</v>
      </c>
      <c r="E9252" s="1" t="str">
        <f>HYPERLINK("http://www.ncbi.nlm.nih.gov/gene/?term=KIAA0368","NCBI")</f>
        <v>NCBI</v>
      </c>
      <c r="F9252">
        <v>0.18</v>
      </c>
      <c r="G9252">
        <v>0.32</v>
      </c>
      <c r="H9252" s="1" t="str">
        <f>HYPERLINK("http://www.weizmann.ac.il/complex/compphys/software/geview/data/figures/214356_s_at.png","Figure")</f>
        <v>Figure</v>
      </c>
      <c r="I9252">
        <v>0.6</v>
      </c>
      <c r="J9252">
        <v>0.22</v>
      </c>
      <c r="K9252">
        <v>0.98199999999999998</v>
      </c>
      <c r="L9252">
        <v>1</v>
      </c>
      <c r="M9252">
        <v>1.64</v>
      </c>
      <c r="N9252">
        <v>0.2</v>
      </c>
    </row>
    <row r="9253" spans="1:14" x14ac:dyDescent="0.25">
      <c r="A9253" t="s">
        <v>16246</v>
      </c>
      <c r="B9253" t="s">
        <v>16247</v>
      </c>
      <c r="C9253" s="1" t="str">
        <f>HYPERLINK("http://www.genecards.org/cgi-bin/carddisp.pl?gene=BARX1","GeneCards")</f>
        <v>GeneCards</v>
      </c>
      <c r="D9253" s="1" t="str">
        <f>HYPERLINK("http://genome-euro.ucsc.edu/cgi-bin/hgTracks?position=219845_at","UCSC")</f>
        <v>UCSC</v>
      </c>
      <c r="E9253" s="1" t="str">
        <f>HYPERLINK("http://www.ncbi.nlm.nih.gov/gene/?term=BARX1","NCBI")</f>
        <v>NCBI</v>
      </c>
      <c r="F9253">
        <v>0.18</v>
      </c>
      <c r="G9253">
        <v>0.32</v>
      </c>
      <c r="H9253" s="1" t="str">
        <f>HYPERLINK("http://www.weizmann.ac.il/complex/compphys/software/geview/data/figures/219845_at.png","Figure")</f>
        <v>Figure</v>
      </c>
      <c r="I9253">
        <v>1.17</v>
      </c>
      <c r="J9253">
        <v>0.2</v>
      </c>
      <c r="K9253">
        <v>1.1299999999999999</v>
      </c>
      <c r="L9253">
        <v>0.27</v>
      </c>
      <c r="M9253">
        <v>0.96499999999999997</v>
      </c>
      <c r="N9253">
        <v>0.9</v>
      </c>
    </row>
    <row r="9254" spans="1:14" x14ac:dyDescent="0.25">
      <c r="A9254" t="s">
        <v>16248</v>
      </c>
      <c r="B9254" t="s">
        <v>16249</v>
      </c>
      <c r="C9254" s="1" t="str">
        <f>HYPERLINK("http://www.genecards.org/cgi-bin/carddisp.pl?gene=TERF1","GeneCards")</f>
        <v>GeneCards</v>
      </c>
      <c r="D9254" s="1" t="str">
        <f>HYPERLINK("http://genome-euro.ucsc.edu/cgi-bin/hgTracks?position=203448_s_at","UCSC")</f>
        <v>UCSC</v>
      </c>
      <c r="E9254" s="1" t="str">
        <f>HYPERLINK("http://www.ncbi.nlm.nih.gov/gene/?term=TERF1","NCBI")</f>
        <v>NCBI</v>
      </c>
      <c r="F9254">
        <v>0.18</v>
      </c>
      <c r="G9254">
        <v>0.32</v>
      </c>
      <c r="H9254" s="1" t="str">
        <f>HYPERLINK("http://www.weizmann.ac.il/complex/compphys/software/geview/data/figures/203448_s_at.png","Figure")</f>
        <v>Figure</v>
      </c>
      <c r="I9254">
        <v>0.78100000000000003</v>
      </c>
      <c r="J9254">
        <v>0.59</v>
      </c>
      <c r="K9254">
        <v>0.64700000000000002</v>
      </c>
      <c r="L9254">
        <v>0.15</v>
      </c>
      <c r="M9254">
        <v>0.83</v>
      </c>
      <c r="N9254">
        <v>0.71</v>
      </c>
    </row>
    <row r="9255" spans="1:14" x14ac:dyDescent="0.25">
      <c r="A9255" t="s">
        <v>16250</v>
      </c>
      <c r="B9255" t="s">
        <v>2826</v>
      </c>
      <c r="C9255" s="1" t="str">
        <f>HYPERLINK("http://www.genecards.org/cgi-bin/carddisp.pl?gene=LOC100291670","GeneCards")</f>
        <v>GeneCards</v>
      </c>
      <c r="D9255" s="1" t="str">
        <f>HYPERLINK("http://genome-euro.ucsc.edu/cgi-bin/hgTracks?position=213673_x_at","UCSC")</f>
        <v>UCSC</v>
      </c>
      <c r="E9255" s="1" t="str">
        <f>HYPERLINK("http://www.ncbi.nlm.nih.gov/gene/?term=LOC100291670","NCBI")</f>
        <v>NCBI</v>
      </c>
      <c r="F9255">
        <v>0.18</v>
      </c>
      <c r="G9255">
        <v>0.32</v>
      </c>
      <c r="H9255" s="1" t="str">
        <f>HYPERLINK("http://www.weizmann.ac.il/complex/compphys/software/geview/data/figures/213673_x_at.png","Figure")</f>
        <v>Figure</v>
      </c>
      <c r="I9255">
        <v>1.17</v>
      </c>
      <c r="J9255">
        <v>0.23</v>
      </c>
      <c r="K9255">
        <v>1</v>
      </c>
      <c r="L9255">
        <v>1</v>
      </c>
      <c r="M9255">
        <v>0.85499999999999998</v>
      </c>
      <c r="N9255">
        <v>0.2</v>
      </c>
    </row>
    <row r="9256" spans="1:14" x14ac:dyDescent="0.25">
      <c r="A9256" t="s">
        <v>16251</v>
      </c>
      <c r="B9256" t="s">
        <v>14346</v>
      </c>
      <c r="C9256" s="1" t="str">
        <f>HYPERLINK("http://www.genecards.org/cgi-bin/carddisp.pl?gene=FUT7","GeneCards")</f>
        <v>GeneCards</v>
      </c>
      <c r="D9256" s="1" t="str">
        <f>HYPERLINK("http://genome-euro.ucsc.edu/cgi-bin/hgTracks?position=217696_at","UCSC")</f>
        <v>UCSC</v>
      </c>
      <c r="E9256" s="1" t="str">
        <f>HYPERLINK("http://www.ncbi.nlm.nih.gov/gene/?term=FUT7","NCBI")</f>
        <v>NCBI</v>
      </c>
      <c r="F9256">
        <v>0.18</v>
      </c>
      <c r="G9256">
        <v>0.32</v>
      </c>
      <c r="H9256" s="1" t="str">
        <f>HYPERLINK("http://www.weizmann.ac.il/complex/compphys/software/geview/data/figures/217696_at.png","Figure")</f>
        <v>Figure</v>
      </c>
      <c r="I9256">
        <v>1.24</v>
      </c>
      <c r="J9256">
        <v>0.2</v>
      </c>
      <c r="K9256">
        <v>1.18</v>
      </c>
      <c r="L9256">
        <v>0.28000000000000003</v>
      </c>
      <c r="M9256">
        <v>0.95</v>
      </c>
      <c r="N9256">
        <v>0.89</v>
      </c>
    </row>
    <row r="9257" spans="1:14" x14ac:dyDescent="0.25">
      <c r="A9257" t="s">
        <v>16252</v>
      </c>
      <c r="B9257" t="s">
        <v>16253</v>
      </c>
      <c r="C9257" s="1" t="str">
        <f>HYPERLINK("http://www.genecards.org/cgi-bin/carddisp.pl?gene=DMC1","GeneCards")</f>
        <v>GeneCards</v>
      </c>
      <c r="D9257" s="1" t="str">
        <f>HYPERLINK("http://genome-euro.ucsc.edu/cgi-bin/hgTracks?position=208382_s_at","UCSC")</f>
        <v>UCSC</v>
      </c>
      <c r="E9257" s="1" t="str">
        <f>HYPERLINK("http://www.ncbi.nlm.nih.gov/gene/?term=DMC1","NCBI")</f>
        <v>NCBI</v>
      </c>
      <c r="F9257">
        <v>0.18</v>
      </c>
      <c r="G9257">
        <v>0.32</v>
      </c>
      <c r="H9257" s="1" t="str">
        <f>HYPERLINK("http://www.weizmann.ac.il/complex/compphys/software/geview/data/figures/208382_s_at.png","Figure")</f>
        <v>Figure</v>
      </c>
      <c r="I9257">
        <v>1.02</v>
      </c>
      <c r="J9257">
        <v>0.92</v>
      </c>
      <c r="K9257">
        <v>0.94599999999999995</v>
      </c>
      <c r="L9257">
        <v>0.33</v>
      </c>
      <c r="M9257">
        <v>0.93100000000000005</v>
      </c>
      <c r="N9257">
        <v>0.21</v>
      </c>
    </row>
    <row r="9258" spans="1:14" x14ac:dyDescent="0.25">
      <c r="A9258" t="s">
        <v>16254</v>
      </c>
      <c r="B9258" t="s">
        <v>16255</v>
      </c>
      <c r="C9258" s="1" t="str">
        <f>HYPERLINK("http://www.genecards.org/cgi-bin/carddisp.pl?gene=CYP46A1","GeneCards")</f>
        <v>GeneCards</v>
      </c>
      <c r="D9258" s="1" t="str">
        <f>HYPERLINK("http://genome-euro.ucsc.edu/cgi-bin/hgTracks?position=220331_at","UCSC")</f>
        <v>UCSC</v>
      </c>
      <c r="E9258" s="1" t="str">
        <f>HYPERLINK("http://www.ncbi.nlm.nih.gov/gene/?term=CYP46A1","NCBI")</f>
        <v>NCBI</v>
      </c>
      <c r="F9258">
        <v>0.18</v>
      </c>
      <c r="G9258">
        <v>0.32</v>
      </c>
      <c r="H9258" s="1" t="str">
        <f>HYPERLINK("http://www.weizmann.ac.il/complex/compphys/software/geview/data/figures/220331_at.png","Figure")</f>
        <v>Figure</v>
      </c>
      <c r="I9258">
        <v>0.70099999999999996</v>
      </c>
      <c r="J9258">
        <v>0.21</v>
      </c>
      <c r="K9258">
        <v>0.97399999999999998</v>
      </c>
      <c r="L9258">
        <v>0.99</v>
      </c>
      <c r="M9258">
        <v>1.39</v>
      </c>
      <c r="N9258">
        <v>0.22</v>
      </c>
    </row>
    <row r="9259" spans="1:14" x14ac:dyDescent="0.25">
      <c r="A9259" t="s">
        <v>16256</v>
      </c>
      <c r="B9259" t="s">
        <v>13742</v>
      </c>
      <c r="C9259" s="1" t="str">
        <f>HYPERLINK("http://www.genecards.org/cgi-bin/carddisp.pl?gene=GRLF1","GeneCards")</f>
        <v>GeneCards</v>
      </c>
      <c r="D9259" s="1" t="str">
        <f>HYPERLINK("http://genome-euro.ucsc.edu/cgi-bin/hgTracks?position=202044_at","UCSC")</f>
        <v>UCSC</v>
      </c>
      <c r="E9259" s="1" t="str">
        <f>HYPERLINK("http://www.ncbi.nlm.nih.gov/gene/?term=GRLF1","NCBI")</f>
        <v>NCBI</v>
      </c>
      <c r="F9259">
        <v>0.18</v>
      </c>
      <c r="G9259">
        <v>0.32</v>
      </c>
      <c r="H9259" s="1" t="str">
        <f>HYPERLINK("http://www.weizmann.ac.il/complex/compphys/software/geview/data/figures/202044_at.png","Figure")</f>
        <v>Figure</v>
      </c>
      <c r="I9259">
        <v>1.2</v>
      </c>
      <c r="J9259">
        <v>0.17</v>
      </c>
      <c r="K9259">
        <v>1.1299999999999999</v>
      </c>
      <c r="L9259">
        <v>0.36</v>
      </c>
      <c r="M9259">
        <v>0.93500000000000005</v>
      </c>
      <c r="N9259">
        <v>0.74</v>
      </c>
    </row>
    <row r="9260" spans="1:14" x14ac:dyDescent="0.25">
      <c r="A9260" t="s">
        <v>16257</v>
      </c>
      <c r="B9260" t="s">
        <v>11070</v>
      </c>
      <c r="C9260" s="1" t="str">
        <f>HYPERLINK("http://www.genecards.org/cgi-bin/carddisp.pl?gene=SMC5","GeneCards")</f>
        <v>GeneCards</v>
      </c>
      <c r="D9260" s="1" t="str">
        <f>HYPERLINK("http://genome-euro.ucsc.edu/cgi-bin/hgTracks?position=212927_at","UCSC")</f>
        <v>UCSC</v>
      </c>
      <c r="E9260" s="1" t="str">
        <f>HYPERLINK("http://www.ncbi.nlm.nih.gov/gene/?term=SMC5","NCBI")</f>
        <v>NCBI</v>
      </c>
      <c r="F9260">
        <v>0.18</v>
      </c>
      <c r="G9260">
        <v>0.32</v>
      </c>
      <c r="H9260" s="1" t="str">
        <f>HYPERLINK("http://www.weizmann.ac.il/complex/compphys/software/geview/data/figures/212927_at.png","Figure")</f>
        <v>Figure</v>
      </c>
      <c r="I9260">
        <v>0.65500000000000003</v>
      </c>
      <c r="J9260">
        <v>0.26</v>
      </c>
      <c r="K9260">
        <v>1.03</v>
      </c>
      <c r="L9260">
        <v>0.99</v>
      </c>
      <c r="M9260">
        <v>1.58</v>
      </c>
      <c r="N9260">
        <v>0.18</v>
      </c>
    </row>
    <row r="9261" spans="1:14" x14ac:dyDescent="0.25">
      <c r="A9261" t="s">
        <v>16258</v>
      </c>
      <c r="B9261" t="s">
        <v>13123</v>
      </c>
      <c r="C9261" s="1" t="str">
        <f>HYPERLINK("http://www.genecards.org/cgi-bin/carddisp.pl?gene=RPAIN","GeneCards")</f>
        <v>GeneCards</v>
      </c>
      <c r="D9261" s="1" t="str">
        <f>HYPERLINK("http://genome-euro.ucsc.edu/cgi-bin/hgTracks?position=216962_at","UCSC")</f>
        <v>UCSC</v>
      </c>
      <c r="E9261" s="1" t="str">
        <f>HYPERLINK("http://www.ncbi.nlm.nih.gov/gene/?term=RPAIN","NCBI")</f>
        <v>NCBI</v>
      </c>
      <c r="F9261">
        <v>0.18</v>
      </c>
      <c r="G9261">
        <v>0.32</v>
      </c>
      <c r="H9261" s="1" t="str">
        <f>HYPERLINK("http://www.weizmann.ac.il/complex/compphys/software/geview/data/figures/216962_at.png","Figure")</f>
        <v>Figure</v>
      </c>
      <c r="I9261">
        <v>1.05</v>
      </c>
      <c r="J9261">
        <v>0.17</v>
      </c>
      <c r="K9261">
        <v>1.03</v>
      </c>
      <c r="L9261">
        <v>0.37</v>
      </c>
      <c r="M9261">
        <v>0.98099999999999998</v>
      </c>
      <c r="N9261">
        <v>0.73</v>
      </c>
    </row>
    <row r="9262" spans="1:14" x14ac:dyDescent="0.25">
      <c r="A9262" t="s">
        <v>16259</v>
      </c>
      <c r="B9262" t="s">
        <v>4016</v>
      </c>
      <c r="C9262" s="1" t="str">
        <f>HYPERLINK("http://www.genecards.org/cgi-bin/carddisp.pl?gene=CYLD","GeneCards")</f>
        <v>GeneCards</v>
      </c>
      <c r="D9262" s="1" t="str">
        <f>HYPERLINK("http://genome-euro.ucsc.edu/cgi-bin/hgTracks?position=221905_at","UCSC")</f>
        <v>UCSC</v>
      </c>
      <c r="E9262" s="1" t="str">
        <f>HYPERLINK("http://www.ncbi.nlm.nih.gov/gene/?term=CYLD","NCBI")</f>
        <v>NCBI</v>
      </c>
      <c r="F9262">
        <v>0.18</v>
      </c>
      <c r="G9262">
        <v>0.32</v>
      </c>
      <c r="H9262" s="1" t="str">
        <f>HYPERLINK("http://www.weizmann.ac.il/complex/compphys/software/geview/data/figures/221905_at.png","Figure")</f>
        <v>Figure</v>
      </c>
      <c r="I9262">
        <v>0.63700000000000001</v>
      </c>
      <c r="J9262">
        <v>0.27</v>
      </c>
      <c r="K9262">
        <v>0.64500000000000002</v>
      </c>
      <c r="L9262">
        <v>0.2</v>
      </c>
      <c r="M9262">
        <v>1.01</v>
      </c>
      <c r="N9262">
        <v>1</v>
      </c>
    </row>
    <row r="9263" spans="1:14" x14ac:dyDescent="0.25">
      <c r="A9263" t="s">
        <v>16260</v>
      </c>
      <c r="B9263" t="s">
        <v>16261</v>
      </c>
      <c r="C9263" s="1" t="str">
        <f>HYPERLINK("http://www.genecards.org/cgi-bin/carddisp.pl?gene=MYLPF","GeneCards")</f>
        <v>GeneCards</v>
      </c>
      <c r="D9263" s="1" t="str">
        <f>HYPERLINK("http://genome-euro.ucsc.edu/cgi-bin/hgTracks?position=205163_at","UCSC")</f>
        <v>UCSC</v>
      </c>
      <c r="E9263" s="1" t="str">
        <f>HYPERLINK("http://www.ncbi.nlm.nih.gov/gene/?term=MYLPF","NCBI")</f>
        <v>NCBI</v>
      </c>
      <c r="F9263">
        <v>0.18</v>
      </c>
      <c r="G9263">
        <v>0.32</v>
      </c>
      <c r="H9263" s="1" t="str">
        <f>HYPERLINK("http://www.weizmann.ac.il/complex/compphys/software/geview/data/figures/205163_at.png","Figure")</f>
        <v>Figure</v>
      </c>
      <c r="I9263">
        <v>1.1399999999999999</v>
      </c>
      <c r="J9263">
        <v>0.17</v>
      </c>
      <c r="K9263">
        <v>1.0900000000000001</v>
      </c>
      <c r="L9263">
        <v>0.34</v>
      </c>
      <c r="M9263">
        <v>0.95699999999999996</v>
      </c>
      <c r="N9263">
        <v>0.78</v>
      </c>
    </row>
    <row r="9264" spans="1:14" x14ac:dyDescent="0.25">
      <c r="A9264" t="s">
        <v>16262</v>
      </c>
      <c r="B9264" t="s">
        <v>14956</v>
      </c>
      <c r="C9264" s="1" t="str">
        <f>HYPERLINK("http://www.genecards.org/cgi-bin/carddisp.pl?gene=CD59","GeneCards")</f>
        <v>GeneCards</v>
      </c>
      <c r="D9264" s="1" t="str">
        <f>HYPERLINK("http://genome-euro.ucsc.edu/cgi-bin/hgTracks?position=200984_s_at","UCSC")</f>
        <v>UCSC</v>
      </c>
      <c r="E9264" s="1" t="str">
        <f>HYPERLINK("http://www.ncbi.nlm.nih.gov/gene/?term=CD59","NCBI")</f>
        <v>NCBI</v>
      </c>
      <c r="F9264">
        <v>0.18</v>
      </c>
      <c r="G9264">
        <v>0.32</v>
      </c>
      <c r="H9264" s="1" t="str">
        <f>HYPERLINK("http://www.weizmann.ac.il/complex/compphys/software/geview/data/figures/200984_s_at.png","Figure")</f>
        <v>Figure</v>
      </c>
      <c r="I9264">
        <v>1.35</v>
      </c>
      <c r="J9264">
        <v>0.19</v>
      </c>
      <c r="K9264">
        <v>1.05</v>
      </c>
      <c r="L9264">
        <v>0.94</v>
      </c>
      <c r="M9264">
        <v>0.77800000000000002</v>
      </c>
      <c r="N9264">
        <v>0.25</v>
      </c>
    </row>
    <row r="9265" spans="1:14" x14ac:dyDescent="0.25">
      <c r="A9265" t="s">
        <v>16263</v>
      </c>
      <c r="B9265" t="s">
        <v>16264</v>
      </c>
      <c r="C9265" s="1" t="str">
        <f>HYPERLINK("http://www.genecards.org/cgi-bin/carddisp.pl?gene=NLRP2","GeneCards")</f>
        <v>GeneCards</v>
      </c>
      <c r="D9265" s="1" t="str">
        <f>HYPERLINK("http://genome-euro.ucsc.edu/cgi-bin/hgTracks?position=221690_s_at","UCSC")</f>
        <v>UCSC</v>
      </c>
      <c r="E9265" s="1" t="str">
        <f>HYPERLINK("http://www.ncbi.nlm.nih.gov/gene/?term=NLRP2","NCBI")</f>
        <v>NCBI</v>
      </c>
      <c r="F9265">
        <v>0.18</v>
      </c>
      <c r="G9265">
        <v>0.32</v>
      </c>
      <c r="H9265" s="1" t="str">
        <f>HYPERLINK("http://www.weizmann.ac.il/complex/compphys/software/geview/data/figures/221690_s_at.png","Figure")</f>
        <v>Figure</v>
      </c>
      <c r="I9265">
        <v>1.32</v>
      </c>
      <c r="J9265">
        <v>0.5</v>
      </c>
      <c r="K9265">
        <v>0.84499999999999997</v>
      </c>
      <c r="L9265">
        <v>0.7</v>
      </c>
      <c r="M9265">
        <v>0.64100000000000001</v>
      </c>
      <c r="N9265">
        <v>0.15</v>
      </c>
    </row>
    <row r="9266" spans="1:14" x14ac:dyDescent="0.25">
      <c r="A9266" t="s">
        <v>16265</v>
      </c>
      <c r="B9266" t="s">
        <v>16266</v>
      </c>
      <c r="C9266" s="1" t="str">
        <f>HYPERLINK("http://www.genecards.org/cgi-bin/carddisp.pl?gene=POM121","GeneCards")</f>
        <v>GeneCards</v>
      </c>
      <c r="D9266" s="1" t="str">
        <f>HYPERLINK("http://genome-euro.ucsc.edu/cgi-bin/hgTracks?position=205096_at","UCSC")</f>
        <v>UCSC</v>
      </c>
      <c r="E9266" s="1" t="str">
        <f>HYPERLINK("http://www.ncbi.nlm.nih.gov/gene/?term=POM121","NCBI")</f>
        <v>NCBI</v>
      </c>
      <c r="F9266">
        <v>0.18</v>
      </c>
      <c r="G9266">
        <v>0.32</v>
      </c>
      <c r="H9266" s="1" t="str">
        <f>HYPERLINK("http://www.weizmann.ac.il/complex/compphys/software/geview/data/figures/205096_at.png","Figure")</f>
        <v>Figure</v>
      </c>
      <c r="I9266">
        <v>0.86699999999999999</v>
      </c>
      <c r="J9266">
        <v>0.17</v>
      </c>
      <c r="K9266">
        <v>0.91200000000000003</v>
      </c>
      <c r="L9266">
        <v>0.36</v>
      </c>
      <c r="M9266">
        <v>1.05</v>
      </c>
      <c r="N9266">
        <v>0.74</v>
      </c>
    </row>
    <row r="9267" spans="1:14" x14ac:dyDescent="0.25">
      <c r="A9267" t="s">
        <v>16267</v>
      </c>
      <c r="B9267" t="s">
        <v>16268</v>
      </c>
      <c r="C9267" s="1" t="str">
        <f>HYPERLINK("http://www.genecards.org/cgi-bin/carddisp.pl?gene=CTSE","GeneCards")</f>
        <v>GeneCards</v>
      </c>
      <c r="D9267" s="1" t="str">
        <f>HYPERLINK("http://genome-euro.ucsc.edu/cgi-bin/hgTracks?position=205927_s_at","UCSC")</f>
        <v>UCSC</v>
      </c>
      <c r="E9267" s="1" t="str">
        <f>HYPERLINK("http://www.ncbi.nlm.nih.gov/gene/?term=CTSE","NCBI")</f>
        <v>NCBI</v>
      </c>
      <c r="F9267">
        <v>0.18</v>
      </c>
      <c r="G9267">
        <v>0.32</v>
      </c>
      <c r="H9267" s="1" t="str">
        <f>HYPERLINK("http://www.weizmann.ac.il/complex/compphys/software/geview/data/figures/205927_s_at.png","Figure")</f>
        <v>Figure</v>
      </c>
      <c r="I9267">
        <v>1.1399999999999999</v>
      </c>
      <c r="J9267">
        <v>0.45</v>
      </c>
      <c r="K9267">
        <v>0.93799999999999994</v>
      </c>
      <c r="L9267">
        <v>0.76</v>
      </c>
      <c r="M9267">
        <v>0.82499999999999996</v>
      </c>
      <c r="N9267">
        <v>0.15</v>
      </c>
    </row>
    <row r="9268" spans="1:14" x14ac:dyDescent="0.25">
      <c r="A9268" t="s">
        <v>16269</v>
      </c>
      <c r="B9268" t="s">
        <v>16270</v>
      </c>
      <c r="C9268" s="1" t="str">
        <f>HYPERLINK("http://www.genecards.org/cgi-bin/carddisp.pl?gene=UGGT1","GeneCards")</f>
        <v>GeneCards</v>
      </c>
      <c r="D9268" s="1" t="str">
        <f>HYPERLINK("http://genome-euro.ucsc.edu/cgi-bin/hgTracks?position=218257_s_at","UCSC")</f>
        <v>UCSC</v>
      </c>
      <c r="E9268" s="1" t="str">
        <f>HYPERLINK("http://www.ncbi.nlm.nih.gov/gene/?term=UGGT1","NCBI")</f>
        <v>NCBI</v>
      </c>
      <c r="F9268">
        <v>0.18</v>
      </c>
      <c r="G9268">
        <v>0.32</v>
      </c>
      <c r="H9268" s="1" t="str">
        <f>HYPERLINK("http://www.weizmann.ac.il/complex/compphys/software/geview/data/figures/218257_s_at.png","Figure")</f>
        <v>Figure</v>
      </c>
      <c r="I9268">
        <v>0.95699999999999996</v>
      </c>
      <c r="J9268">
        <v>0.89</v>
      </c>
      <c r="K9268">
        <v>0.85199999999999998</v>
      </c>
      <c r="L9268">
        <v>0.18</v>
      </c>
      <c r="M9268">
        <v>0.89</v>
      </c>
      <c r="N9268">
        <v>0.42</v>
      </c>
    </row>
    <row r="9269" spans="1:14" x14ac:dyDescent="0.25">
      <c r="A9269" t="s">
        <v>16271</v>
      </c>
      <c r="B9269" t="s">
        <v>16272</v>
      </c>
      <c r="C9269" s="1" t="str">
        <f>HYPERLINK("http://www.genecards.org/cgi-bin/carddisp.pl?gene=PNPLA6","GeneCards")</f>
        <v>GeneCards</v>
      </c>
      <c r="D9269" s="1" t="str">
        <f>HYPERLINK("http://genome-euro.ucsc.edu/cgi-bin/hgTracks?position=203718_at","UCSC")</f>
        <v>UCSC</v>
      </c>
      <c r="E9269" s="1" t="str">
        <f>HYPERLINK("http://www.ncbi.nlm.nih.gov/gene/?term=PNPLA6","NCBI")</f>
        <v>NCBI</v>
      </c>
      <c r="F9269">
        <v>0.18</v>
      </c>
      <c r="G9269">
        <v>0.32</v>
      </c>
      <c r="H9269" s="1" t="str">
        <f>HYPERLINK("http://www.weizmann.ac.il/complex/compphys/software/geview/data/figures/203718_at.png","Figure")</f>
        <v>Figure</v>
      </c>
      <c r="I9269">
        <v>1.33</v>
      </c>
      <c r="J9269">
        <v>0.22</v>
      </c>
      <c r="K9269">
        <v>1.28</v>
      </c>
      <c r="L9269">
        <v>0.24</v>
      </c>
      <c r="M9269">
        <v>0.96</v>
      </c>
      <c r="N9269">
        <v>0.96</v>
      </c>
    </row>
    <row r="9270" spans="1:14" x14ac:dyDescent="0.25">
      <c r="A9270" t="s">
        <v>16273</v>
      </c>
      <c r="B9270" t="s">
        <v>16274</v>
      </c>
      <c r="C9270" s="1" t="str">
        <f>HYPERLINK("http://www.genecards.org/cgi-bin/carddisp.pl?gene=NBEAL2","GeneCards")</f>
        <v>GeneCards</v>
      </c>
      <c r="D9270" s="1" t="str">
        <f>HYPERLINK("http://genome-euro.ucsc.edu/cgi-bin/hgTracks?position=212443_at","UCSC")</f>
        <v>UCSC</v>
      </c>
      <c r="E9270" s="1" t="str">
        <f>HYPERLINK("http://www.ncbi.nlm.nih.gov/gene/?term=NBEAL2","NCBI")</f>
        <v>NCBI</v>
      </c>
      <c r="F9270">
        <v>0.18</v>
      </c>
      <c r="G9270">
        <v>0.32</v>
      </c>
      <c r="H9270" s="1" t="str">
        <f>HYPERLINK("http://www.weizmann.ac.il/complex/compphys/software/geview/data/figures/212443_at.png","Figure")</f>
        <v>Figure</v>
      </c>
      <c r="I9270">
        <v>0.71299999999999997</v>
      </c>
      <c r="J9270">
        <v>0.43</v>
      </c>
      <c r="K9270">
        <v>1.17</v>
      </c>
      <c r="L9270">
        <v>0.78</v>
      </c>
      <c r="M9270">
        <v>1.64</v>
      </c>
      <c r="N9270">
        <v>0.15</v>
      </c>
    </row>
    <row r="9271" spans="1:14" x14ac:dyDescent="0.25">
      <c r="A9271" t="s">
        <v>16275</v>
      </c>
      <c r="B9271" t="s">
        <v>13061</v>
      </c>
      <c r="C9271" s="1" t="str">
        <f>HYPERLINK("http://www.genecards.org/cgi-bin/carddisp.pl?gene=TUBB","GeneCards")</f>
        <v>GeneCards</v>
      </c>
      <c r="D9271" s="1" t="str">
        <f>HYPERLINK("http://genome-euro.ucsc.edu/cgi-bin/hgTracks?position=212320_at","UCSC")</f>
        <v>UCSC</v>
      </c>
      <c r="E9271" s="1" t="str">
        <f>HYPERLINK("http://www.ncbi.nlm.nih.gov/gene/?term=TUBB","NCBI")</f>
        <v>NCBI</v>
      </c>
      <c r="F9271">
        <v>0.18</v>
      </c>
      <c r="G9271">
        <v>0.32</v>
      </c>
      <c r="H9271" s="1" t="str">
        <f>HYPERLINK("http://www.weizmann.ac.il/complex/compphys/software/geview/data/figures/212320_at.png","Figure")</f>
        <v>Figure</v>
      </c>
      <c r="I9271">
        <v>0.72199999999999998</v>
      </c>
      <c r="J9271">
        <v>0.2</v>
      </c>
      <c r="K9271">
        <v>0.96399999999999997</v>
      </c>
      <c r="L9271">
        <v>0.97</v>
      </c>
      <c r="M9271">
        <v>1.34</v>
      </c>
      <c r="N9271">
        <v>0.23</v>
      </c>
    </row>
    <row r="9272" spans="1:14" x14ac:dyDescent="0.25">
      <c r="A9272" t="s">
        <v>16276</v>
      </c>
      <c r="B9272" t="s">
        <v>4988</v>
      </c>
      <c r="C9272" s="1" t="str">
        <f>HYPERLINK("http://www.genecards.org/cgi-bin/carddisp.pl?gene=TMEM97","GeneCards")</f>
        <v>GeneCards</v>
      </c>
      <c r="D9272" s="1" t="str">
        <f>HYPERLINK("http://genome-euro.ucsc.edu/cgi-bin/hgTracks?position=214283_at","UCSC")</f>
        <v>UCSC</v>
      </c>
      <c r="E9272" s="1" t="str">
        <f>HYPERLINK("http://www.ncbi.nlm.nih.gov/gene/?term=TMEM97","NCBI")</f>
        <v>NCBI</v>
      </c>
      <c r="F9272">
        <v>0.18</v>
      </c>
      <c r="G9272">
        <v>0.32</v>
      </c>
      <c r="H9272" s="1" t="str">
        <f>HYPERLINK("http://www.weizmann.ac.il/complex/compphys/software/geview/data/figures/214283_at.png","Figure")</f>
        <v>Figure</v>
      </c>
      <c r="I9272">
        <v>1.2</v>
      </c>
      <c r="J9272">
        <v>0.16</v>
      </c>
      <c r="K9272">
        <v>1.1100000000000001</v>
      </c>
      <c r="L9272">
        <v>0.4</v>
      </c>
      <c r="M9272">
        <v>0.93</v>
      </c>
      <c r="N9272">
        <v>0.69</v>
      </c>
    </row>
    <row r="9273" spans="1:14" x14ac:dyDescent="0.25">
      <c r="A9273" t="s">
        <v>16277</v>
      </c>
      <c r="B9273" t="s">
        <v>10854</v>
      </c>
      <c r="C9273" s="1" t="str">
        <f>HYPERLINK("http://www.genecards.org/cgi-bin/carddisp.pl?gene=KPNA3","GeneCards")</f>
        <v>GeneCards</v>
      </c>
      <c r="D9273" s="1" t="str">
        <f>HYPERLINK("http://genome-euro.ucsc.edu/cgi-bin/hgTracks?position=221503_s_at","UCSC")</f>
        <v>UCSC</v>
      </c>
      <c r="E9273" s="1" t="str">
        <f>HYPERLINK("http://www.ncbi.nlm.nih.gov/gene/?term=KPNA3","NCBI")</f>
        <v>NCBI</v>
      </c>
      <c r="F9273">
        <v>0.18</v>
      </c>
      <c r="G9273">
        <v>0.32</v>
      </c>
      <c r="H9273" s="1" t="str">
        <f>HYPERLINK("http://www.weizmann.ac.il/complex/compphys/software/geview/data/figures/221503_s_at.png","Figure")</f>
        <v>Figure</v>
      </c>
      <c r="I9273">
        <v>1.1599999999999999</v>
      </c>
      <c r="J9273">
        <v>0.65</v>
      </c>
      <c r="K9273">
        <v>0.85399999999999998</v>
      </c>
      <c r="L9273">
        <v>0.54</v>
      </c>
      <c r="M9273">
        <v>0.73499999999999999</v>
      </c>
      <c r="N9273">
        <v>0.16</v>
      </c>
    </row>
    <row r="9274" spans="1:14" x14ac:dyDescent="0.25">
      <c r="A9274" t="s">
        <v>16278</v>
      </c>
      <c r="B9274" t="s">
        <v>16279</v>
      </c>
      <c r="C9274" s="1" t="str">
        <f>HYPERLINK("http://www.genecards.org/cgi-bin/carddisp.pl?gene=GLYAT","GeneCards")</f>
        <v>GeneCards</v>
      </c>
      <c r="D9274" s="1" t="str">
        <f>HYPERLINK("http://genome-euro.ucsc.edu/cgi-bin/hgTracks?position=222083_at","UCSC")</f>
        <v>UCSC</v>
      </c>
      <c r="E9274" s="1" t="str">
        <f>HYPERLINK("http://www.ncbi.nlm.nih.gov/gene/?term=GLYAT","NCBI")</f>
        <v>NCBI</v>
      </c>
      <c r="F9274">
        <v>0.18</v>
      </c>
      <c r="G9274">
        <v>0.32</v>
      </c>
      <c r="H9274" s="1" t="str">
        <f>HYPERLINK("http://www.weizmann.ac.il/complex/compphys/software/geview/data/figures/222083_at.png","Figure")</f>
        <v>Figure</v>
      </c>
      <c r="I9274">
        <v>1.1200000000000001</v>
      </c>
      <c r="J9274">
        <v>0.48</v>
      </c>
      <c r="K9274">
        <v>0.93600000000000005</v>
      </c>
      <c r="L9274">
        <v>0.73</v>
      </c>
      <c r="M9274">
        <v>0.83199999999999996</v>
      </c>
      <c r="N9274">
        <v>0.15</v>
      </c>
    </row>
    <row r="9275" spans="1:14" x14ac:dyDescent="0.25">
      <c r="A9275" t="s">
        <v>16280</v>
      </c>
      <c r="B9275" t="s">
        <v>16281</v>
      </c>
      <c r="C9275" s="1" t="str">
        <f>HYPERLINK("http://www.genecards.org/cgi-bin/carddisp.pl?gene=GCLC","GeneCards")</f>
        <v>GeneCards</v>
      </c>
      <c r="D9275" s="1" t="str">
        <f>HYPERLINK("http://genome-euro.ucsc.edu/cgi-bin/hgTracks?position=202922_at","UCSC")</f>
        <v>UCSC</v>
      </c>
      <c r="E9275" s="1" t="str">
        <f>HYPERLINK("http://www.ncbi.nlm.nih.gov/gene/?term=GCLC","NCBI")</f>
        <v>NCBI</v>
      </c>
      <c r="F9275">
        <v>0.18</v>
      </c>
      <c r="G9275">
        <v>0.32</v>
      </c>
      <c r="H9275" s="1" t="str">
        <f>HYPERLINK("http://www.weizmann.ac.il/complex/compphys/software/geview/data/figures/202922_at.png","Figure")</f>
        <v>Figure</v>
      </c>
      <c r="I9275">
        <v>0.747</v>
      </c>
      <c r="J9275">
        <v>0.2</v>
      </c>
      <c r="K9275">
        <v>0.80100000000000005</v>
      </c>
      <c r="L9275">
        <v>0.28000000000000003</v>
      </c>
      <c r="M9275">
        <v>1.07</v>
      </c>
      <c r="N9275">
        <v>0.88</v>
      </c>
    </row>
    <row r="9276" spans="1:14" x14ac:dyDescent="0.25">
      <c r="A9276" t="s">
        <v>16282</v>
      </c>
      <c r="B9276" t="s">
        <v>16283</v>
      </c>
      <c r="C9276" s="1" t="str">
        <f>HYPERLINK("http://www.genecards.org/cgi-bin/carddisp.pl?gene=PLCH2","GeneCards")</f>
        <v>GeneCards</v>
      </c>
      <c r="D9276" s="1" t="str">
        <f>HYPERLINK("http://genome-euro.ucsc.edu/cgi-bin/hgTracks?position=206080_at","UCSC")</f>
        <v>UCSC</v>
      </c>
      <c r="E9276" s="1" t="str">
        <f>HYPERLINK("http://www.ncbi.nlm.nih.gov/gene/?term=PLCH2","NCBI")</f>
        <v>NCBI</v>
      </c>
      <c r="F9276">
        <v>0.18</v>
      </c>
      <c r="G9276">
        <v>0.32</v>
      </c>
      <c r="H9276" s="1" t="str">
        <f>HYPERLINK("http://www.weizmann.ac.il/complex/compphys/software/geview/data/figures/206080_at.png","Figure")</f>
        <v>Figure</v>
      </c>
      <c r="I9276">
        <v>1.1499999999999999</v>
      </c>
      <c r="J9276">
        <v>0.15</v>
      </c>
      <c r="K9276">
        <v>1.07</v>
      </c>
      <c r="L9276">
        <v>0.5</v>
      </c>
      <c r="M9276">
        <v>0.93400000000000005</v>
      </c>
      <c r="N9276">
        <v>0.56000000000000005</v>
      </c>
    </row>
    <row r="9277" spans="1:14" x14ac:dyDescent="0.25">
      <c r="A9277" t="s">
        <v>16284</v>
      </c>
      <c r="B9277" t="s">
        <v>16285</v>
      </c>
      <c r="C9277" s="1" t="str">
        <f>HYPERLINK("http://www.genecards.org/cgi-bin/carddisp.pl?gene=ARFIP2","GeneCards")</f>
        <v>GeneCards</v>
      </c>
      <c r="D9277" s="1" t="str">
        <f>HYPERLINK("http://genome-euro.ucsc.edu/cgi-bin/hgTracks?position=202109_at","UCSC")</f>
        <v>UCSC</v>
      </c>
      <c r="E9277" s="1" t="str">
        <f>HYPERLINK("http://www.ncbi.nlm.nih.gov/gene/?term=ARFIP2","NCBI")</f>
        <v>NCBI</v>
      </c>
      <c r="F9277">
        <v>0.18</v>
      </c>
      <c r="G9277">
        <v>0.32</v>
      </c>
      <c r="H9277" s="1" t="str">
        <f>HYPERLINK("http://www.weizmann.ac.il/complex/compphys/software/geview/data/figures/202109_at.png","Figure")</f>
        <v>Figure</v>
      </c>
      <c r="I9277">
        <v>1.1200000000000001</v>
      </c>
      <c r="J9277">
        <v>0.17</v>
      </c>
      <c r="K9277">
        <v>1.07</v>
      </c>
      <c r="L9277">
        <v>0.36</v>
      </c>
      <c r="M9277">
        <v>0.96099999999999997</v>
      </c>
      <c r="N9277">
        <v>0.75</v>
      </c>
    </row>
    <row r="9278" spans="1:14" x14ac:dyDescent="0.25">
      <c r="A9278" t="s">
        <v>16286</v>
      </c>
      <c r="B9278" t="s">
        <v>16287</v>
      </c>
      <c r="C9278" s="1" t="str">
        <f>HYPERLINK("http://www.genecards.org/cgi-bin/carddisp.pl?gene=KCNJ4","GeneCards")</f>
        <v>GeneCards</v>
      </c>
      <c r="D9278" s="1" t="str">
        <f>HYPERLINK("http://genome-euro.ucsc.edu/cgi-bin/hgTracks?position=208359_s_at","UCSC")</f>
        <v>UCSC</v>
      </c>
      <c r="E9278" s="1" t="str">
        <f>HYPERLINK("http://www.ncbi.nlm.nih.gov/gene/?term=KCNJ4","NCBI")</f>
        <v>NCBI</v>
      </c>
      <c r="F9278">
        <v>0.18</v>
      </c>
      <c r="G9278">
        <v>0.32</v>
      </c>
      <c r="H9278" s="1" t="str">
        <f>HYPERLINK("http://www.weizmann.ac.il/complex/compphys/software/geview/data/figures/208359_s_at.png","Figure")</f>
        <v>Figure</v>
      </c>
      <c r="I9278">
        <v>1.1299999999999999</v>
      </c>
      <c r="J9278">
        <v>0.19</v>
      </c>
      <c r="K9278">
        <v>1.02</v>
      </c>
      <c r="L9278">
        <v>0.93</v>
      </c>
      <c r="M9278">
        <v>0.90100000000000002</v>
      </c>
      <c r="N9278">
        <v>0.26</v>
      </c>
    </row>
    <row r="9279" spans="1:14" x14ac:dyDescent="0.25">
      <c r="A9279" t="s">
        <v>16288</v>
      </c>
      <c r="B9279" t="s">
        <v>16289</v>
      </c>
      <c r="C9279" s="1" t="str">
        <f>HYPERLINK("http://www.genecards.org/cgi-bin/carddisp.pl?gene=COL6A2","GeneCards")</f>
        <v>GeneCards</v>
      </c>
      <c r="D9279" s="1" t="str">
        <f>HYPERLINK("http://genome-euro.ucsc.edu/cgi-bin/hgTracks?position=213290_at","UCSC")</f>
        <v>UCSC</v>
      </c>
      <c r="E9279" s="1" t="str">
        <f>HYPERLINK("http://www.ncbi.nlm.nih.gov/gene/?term=COL6A2","NCBI")</f>
        <v>NCBI</v>
      </c>
      <c r="F9279">
        <v>0.18</v>
      </c>
      <c r="G9279">
        <v>0.32</v>
      </c>
      <c r="H9279" s="1" t="str">
        <f>HYPERLINK("http://www.weizmann.ac.il/complex/compphys/software/geview/data/figures/213290_at.png","Figure")</f>
        <v>Figure</v>
      </c>
      <c r="I9279">
        <v>1.1399999999999999</v>
      </c>
      <c r="J9279">
        <v>0.18</v>
      </c>
      <c r="K9279">
        <v>1.03</v>
      </c>
      <c r="L9279">
        <v>0.91</v>
      </c>
      <c r="M9279">
        <v>0.89900000000000002</v>
      </c>
      <c r="N9279">
        <v>0.27</v>
      </c>
    </row>
    <row r="9280" spans="1:14" x14ac:dyDescent="0.25">
      <c r="A9280" t="s">
        <v>16290</v>
      </c>
      <c r="B9280" t="s">
        <v>11484</v>
      </c>
      <c r="C9280" s="1" t="str">
        <f>HYPERLINK("http://www.genecards.org/cgi-bin/carddisp.pl?gene=GLS","GeneCards")</f>
        <v>GeneCards</v>
      </c>
      <c r="D9280" s="1" t="str">
        <f>HYPERLINK("http://genome-euro.ucsc.edu/cgi-bin/hgTracks?position=203157_s_at","UCSC")</f>
        <v>UCSC</v>
      </c>
      <c r="E9280" s="1" t="str">
        <f>HYPERLINK("http://www.ncbi.nlm.nih.gov/gene/?term=GLS","NCBI")</f>
        <v>NCBI</v>
      </c>
      <c r="F9280">
        <v>0.18</v>
      </c>
      <c r="G9280">
        <v>0.32</v>
      </c>
      <c r="H9280" s="1" t="str">
        <f>HYPERLINK("http://www.weizmann.ac.il/complex/compphys/software/geview/data/figures/203157_s_at.png","Figure")</f>
        <v>Figure</v>
      </c>
      <c r="I9280">
        <v>0.95499999999999996</v>
      </c>
      <c r="J9280">
        <v>0.79</v>
      </c>
      <c r="K9280">
        <v>1.08</v>
      </c>
      <c r="L9280">
        <v>0.43</v>
      </c>
      <c r="M9280">
        <v>1.1299999999999999</v>
      </c>
      <c r="N9280">
        <v>0.18</v>
      </c>
    </row>
    <row r="9281" spans="1:14" x14ac:dyDescent="0.25">
      <c r="A9281" t="s">
        <v>16291</v>
      </c>
      <c r="B9281" t="s">
        <v>7456</v>
      </c>
      <c r="C9281" s="1" t="str">
        <f>HYPERLINK("http://www.genecards.org/cgi-bin/carddisp.pl?gene=DDR1","GeneCards")</f>
        <v>GeneCards</v>
      </c>
      <c r="D9281" s="1" t="str">
        <f>HYPERLINK("http://genome-euro.ucsc.edu/cgi-bin/hgTracks?position=1007_s_at","UCSC")</f>
        <v>UCSC</v>
      </c>
      <c r="E9281" s="1" t="str">
        <f>HYPERLINK("http://www.ncbi.nlm.nih.gov/gene/?term=DDR1","NCBI")</f>
        <v>NCBI</v>
      </c>
      <c r="F9281">
        <v>0.18</v>
      </c>
      <c r="G9281">
        <v>0.32</v>
      </c>
      <c r="H9281" s="1" t="str">
        <f>HYPERLINK("http://www.weizmann.ac.il/complex/compphys/software/geview/data/figures/1007_s_at.png","Figure")</f>
        <v>Figure</v>
      </c>
      <c r="I9281">
        <v>1.26</v>
      </c>
      <c r="J9281">
        <v>0.17</v>
      </c>
      <c r="K9281">
        <v>1.06</v>
      </c>
      <c r="L9281">
        <v>0.86</v>
      </c>
      <c r="M9281">
        <v>0.84</v>
      </c>
      <c r="N9281">
        <v>0.28999999999999998</v>
      </c>
    </row>
    <row r="9282" spans="1:14" x14ac:dyDescent="0.25">
      <c r="A9282" t="s">
        <v>16292</v>
      </c>
      <c r="B9282" t="s">
        <v>16293</v>
      </c>
      <c r="C9282" s="1" t="str">
        <f>HYPERLINK("http://www.genecards.org/cgi-bin/carddisp.pl?gene=HSD3B2","GeneCards")</f>
        <v>GeneCards</v>
      </c>
      <c r="D9282" s="1" t="str">
        <f>HYPERLINK("http://genome-euro.ucsc.edu/cgi-bin/hgTracks?position=206294_at","UCSC")</f>
        <v>UCSC</v>
      </c>
      <c r="E9282" s="1" t="str">
        <f>HYPERLINK("http://www.ncbi.nlm.nih.gov/gene/?term=HSD3B2","NCBI")</f>
        <v>NCBI</v>
      </c>
      <c r="F9282">
        <v>0.18</v>
      </c>
      <c r="G9282">
        <v>0.32</v>
      </c>
      <c r="H9282" s="1" t="str">
        <f>HYPERLINK("http://www.weizmann.ac.il/complex/compphys/software/geview/data/figures/206294_at.png","Figure")</f>
        <v>Figure</v>
      </c>
      <c r="I9282">
        <v>1.1000000000000001</v>
      </c>
      <c r="J9282">
        <v>0.28999999999999998</v>
      </c>
      <c r="K9282">
        <v>0.98599999999999999</v>
      </c>
      <c r="L9282">
        <v>0.96</v>
      </c>
      <c r="M9282">
        <v>0.89400000000000002</v>
      </c>
      <c r="N9282">
        <v>0.17</v>
      </c>
    </row>
    <row r="9283" spans="1:14" x14ac:dyDescent="0.25">
      <c r="A9283" t="s">
        <v>16294</v>
      </c>
      <c r="B9283" t="s">
        <v>16295</v>
      </c>
      <c r="C9283" s="1" t="str">
        <f>HYPERLINK("http://www.genecards.org/cgi-bin/carddisp.pl?gene=TLR2","GeneCards")</f>
        <v>GeneCards</v>
      </c>
      <c r="D9283" s="1" t="str">
        <f>HYPERLINK("http://genome-euro.ucsc.edu/cgi-bin/hgTracks?position=204924_at","UCSC")</f>
        <v>UCSC</v>
      </c>
      <c r="E9283" s="1" t="str">
        <f>HYPERLINK("http://www.ncbi.nlm.nih.gov/gene/?term=TLR2","NCBI")</f>
        <v>NCBI</v>
      </c>
      <c r="F9283">
        <v>0.18</v>
      </c>
      <c r="G9283">
        <v>0.32</v>
      </c>
      <c r="H9283" s="1" t="str">
        <f>HYPERLINK("http://www.weizmann.ac.il/complex/compphys/software/geview/data/figures/204924_at.png","Figure")</f>
        <v>Figure</v>
      </c>
      <c r="I9283">
        <v>0.72899999999999998</v>
      </c>
      <c r="J9283">
        <v>0.16</v>
      </c>
      <c r="K9283">
        <v>0.91100000000000003</v>
      </c>
      <c r="L9283">
        <v>0.79</v>
      </c>
      <c r="M9283">
        <v>1.25</v>
      </c>
      <c r="N9283">
        <v>0.33</v>
      </c>
    </row>
    <row r="9284" spans="1:14" x14ac:dyDescent="0.25">
      <c r="A9284" t="s">
        <v>16296</v>
      </c>
      <c r="B9284" t="s">
        <v>9041</v>
      </c>
      <c r="C9284" s="1" t="str">
        <f>HYPERLINK("http://www.genecards.org/cgi-bin/carddisp.pl?gene=ATP6V0A1","GeneCards")</f>
        <v>GeneCards</v>
      </c>
      <c r="D9284" s="1" t="str">
        <f>HYPERLINK("http://genome-euro.ucsc.edu/cgi-bin/hgTracks?position=212383_at","UCSC")</f>
        <v>UCSC</v>
      </c>
      <c r="E9284" s="1" t="str">
        <f>HYPERLINK("http://www.ncbi.nlm.nih.gov/gene/?term=ATP6V0A1","NCBI")</f>
        <v>NCBI</v>
      </c>
      <c r="F9284">
        <v>0.18</v>
      </c>
      <c r="G9284">
        <v>0.32</v>
      </c>
      <c r="H9284" s="1" t="str">
        <f>HYPERLINK("http://www.weizmann.ac.il/complex/compphys/software/geview/data/figures/212383_at.png","Figure")</f>
        <v>Figure</v>
      </c>
      <c r="I9284">
        <v>1.2</v>
      </c>
      <c r="J9284">
        <v>0.16</v>
      </c>
      <c r="K9284">
        <v>1.06</v>
      </c>
      <c r="L9284">
        <v>0.73</v>
      </c>
      <c r="M9284">
        <v>0.88600000000000001</v>
      </c>
      <c r="N9284">
        <v>0.37</v>
      </c>
    </row>
    <row r="9285" spans="1:14" x14ac:dyDescent="0.25">
      <c r="A9285" t="s">
        <v>16297</v>
      </c>
      <c r="B9285" t="s">
        <v>16298</v>
      </c>
      <c r="C9285" s="1" t="str">
        <f>HYPERLINK("http://www.genecards.org/cgi-bin/carddisp.pl?gene=PCDHA3","GeneCards")</f>
        <v>GeneCards</v>
      </c>
      <c r="D9285" s="1" t="str">
        <f>HYPERLINK("http://genome-euro.ucsc.edu/cgi-bin/hgTracks?position=211870_s_at","UCSC")</f>
        <v>UCSC</v>
      </c>
      <c r="E9285" s="1" t="str">
        <f>HYPERLINK("http://www.ncbi.nlm.nih.gov/gene/?term=PCDHA3","NCBI")</f>
        <v>NCBI</v>
      </c>
      <c r="F9285">
        <v>0.18</v>
      </c>
      <c r="G9285">
        <v>0.32</v>
      </c>
      <c r="H9285" s="1" t="str">
        <f>HYPERLINK("http://www.weizmann.ac.il/complex/compphys/software/geview/data/figures/211870_s_at.png","Figure")</f>
        <v>Figure</v>
      </c>
      <c r="I9285">
        <v>1.1000000000000001</v>
      </c>
      <c r="J9285">
        <v>0.3</v>
      </c>
      <c r="K9285">
        <v>1.1000000000000001</v>
      </c>
      <c r="L9285">
        <v>0.19</v>
      </c>
      <c r="M9285">
        <v>1.01</v>
      </c>
      <c r="N9285">
        <v>1</v>
      </c>
    </row>
    <row r="9286" spans="1:14" x14ac:dyDescent="0.25">
      <c r="A9286" t="s">
        <v>16299</v>
      </c>
      <c r="B9286" t="s">
        <v>16300</v>
      </c>
      <c r="C9286" s="1" t="str">
        <f>HYPERLINK("http://www.genecards.org/cgi-bin/carddisp.pl?gene=GBP2","GeneCards")</f>
        <v>GeneCards</v>
      </c>
      <c r="D9286" s="1" t="str">
        <f>HYPERLINK("http://genome-euro.ucsc.edu/cgi-bin/hgTracks?position=202748_at","UCSC")</f>
        <v>UCSC</v>
      </c>
      <c r="E9286" s="1" t="str">
        <f>HYPERLINK("http://www.ncbi.nlm.nih.gov/gene/?term=GBP2","NCBI")</f>
        <v>NCBI</v>
      </c>
      <c r="F9286">
        <v>0.18</v>
      </c>
      <c r="G9286">
        <v>0.32</v>
      </c>
      <c r="H9286" s="1" t="str">
        <f>HYPERLINK("http://www.weizmann.ac.il/complex/compphys/software/geview/data/figures/202748_at.png","Figure")</f>
        <v>Figure</v>
      </c>
      <c r="I9286">
        <v>0.93700000000000006</v>
      </c>
      <c r="J9286">
        <v>0.97</v>
      </c>
      <c r="K9286">
        <v>0.63900000000000001</v>
      </c>
      <c r="L9286">
        <v>0.2</v>
      </c>
      <c r="M9286">
        <v>0.68200000000000005</v>
      </c>
      <c r="N9286">
        <v>0.34</v>
      </c>
    </row>
    <row r="9287" spans="1:14" x14ac:dyDescent="0.25">
      <c r="A9287" t="s">
        <v>16301</v>
      </c>
      <c r="B9287" t="s">
        <v>15540</v>
      </c>
      <c r="C9287" s="1" t="str">
        <f>HYPERLINK("http://www.genecards.org/cgi-bin/carddisp.pl?gene=GAPDH","GeneCards")</f>
        <v>GeneCards</v>
      </c>
      <c r="D9287" s="1" t="str">
        <f>HYPERLINK("http://genome-euro.ucsc.edu/cgi-bin/hgTracks?position=AFFX-HUMGAPDH/M33197_3_at","UCSC")</f>
        <v>UCSC</v>
      </c>
      <c r="E9287" s="1" t="str">
        <f>HYPERLINK("http://www.ncbi.nlm.nih.gov/gene/?term=GAPDH","NCBI")</f>
        <v>NCBI</v>
      </c>
      <c r="F9287">
        <v>0.18</v>
      </c>
      <c r="G9287">
        <v>0.32</v>
      </c>
      <c r="H9287" s="1" t="str">
        <f>HYPERLINK("http://www.weizmann.ac.il/complex/compphys/software/geview/data/figures/AFFX-HUMGAPDH/M33197_3_at.png","Figure")</f>
        <v>Figure</v>
      </c>
      <c r="I9287">
        <v>0.86199999999999999</v>
      </c>
      <c r="J9287">
        <v>0.64</v>
      </c>
      <c r="K9287">
        <v>1.1599999999999999</v>
      </c>
      <c r="L9287">
        <v>0.56000000000000005</v>
      </c>
      <c r="M9287">
        <v>1.35</v>
      </c>
      <c r="N9287">
        <v>0.16</v>
      </c>
    </row>
    <row r="9288" spans="1:14" x14ac:dyDescent="0.25">
      <c r="A9288" t="s">
        <v>16302</v>
      </c>
      <c r="B9288" t="s">
        <v>15227</v>
      </c>
      <c r="C9288" s="1" t="str">
        <f>HYPERLINK("http://www.genecards.org/cgi-bin/carddisp.pl?gene=PCTK1","GeneCards")</f>
        <v>GeneCards</v>
      </c>
      <c r="D9288" s="1" t="str">
        <f>HYPERLINK("http://genome-euro.ucsc.edu/cgi-bin/hgTracks?position=208824_x_at","UCSC")</f>
        <v>UCSC</v>
      </c>
      <c r="E9288" s="1" t="str">
        <f>HYPERLINK("http://www.ncbi.nlm.nih.gov/gene/?term=PCTK1","NCBI")</f>
        <v>NCBI</v>
      </c>
      <c r="F9288">
        <v>0.18</v>
      </c>
      <c r="G9288">
        <v>0.32</v>
      </c>
      <c r="H9288" s="1" t="str">
        <f>HYPERLINK("http://www.weizmann.ac.il/complex/compphys/software/geview/data/figures/208824_x_at.png","Figure")</f>
        <v>Figure</v>
      </c>
      <c r="I9288">
        <v>1.06</v>
      </c>
      <c r="J9288">
        <v>0.77</v>
      </c>
      <c r="K9288">
        <v>1.1599999999999999</v>
      </c>
      <c r="L9288">
        <v>0.16</v>
      </c>
      <c r="M9288">
        <v>1.0900000000000001</v>
      </c>
      <c r="N9288">
        <v>0.54</v>
      </c>
    </row>
    <row r="9289" spans="1:14" x14ac:dyDescent="0.25">
      <c r="A9289" t="s">
        <v>16303</v>
      </c>
      <c r="B9289" t="s">
        <v>16304</v>
      </c>
      <c r="C9289" s="1" t="str">
        <f>HYPERLINK("http://www.genecards.org/cgi-bin/carddisp.pl?gene=TRMT61B","GeneCards")</f>
        <v>GeneCards</v>
      </c>
      <c r="D9289" s="1" t="str">
        <f>HYPERLINK("http://genome-euro.ucsc.edu/cgi-bin/hgTracks?position=221229_s_at","UCSC")</f>
        <v>UCSC</v>
      </c>
      <c r="E9289" s="1" t="str">
        <f>HYPERLINK("http://www.ncbi.nlm.nih.gov/gene/?term=TRMT61B","NCBI")</f>
        <v>NCBI</v>
      </c>
      <c r="F9289">
        <v>0.18</v>
      </c>
      <c r="G9289">
        <v>0.32</v>
      </c>
      <c r="H9289" s="1" t="str">
        <f>HYPERLINK("http://www.weizmann.ac.il/complex/compphys/software/geview/data/figures/221229_s_at.png","Figure")</f>
        <v>Figure</v>
      </c>
      <c r="I9289">
        <v>0.753</v>
      </c>
      <c r="J9289">
        <v>0.46</v>
      </c>
      <c r="K9289">
        <v>0.67100000000000004</v>
      </c>
      <c r="L9289">
        <v>0.16</v>
      </c>
      <c r="M9289">
        <v>0.89100000000000001</v>
      </c>
      <c r="N9289">
        <v>0.86</v>
      </c>
    </row>
    <row r="9290" spans="1:14" x14ac:dyDescent="0.25">
      <c r="A9290" t="s">
        <v>16305</v>
      </c>
      <c r="B9290" t="s">
        <v>16306</v>
      </c>
      <c r="C9290" s="1" t="str">
        <f>HYPERLINK("http://www.genecards.org/cgi-bin/carddisp.pl?gene=NR3C2","GeneCards")</f>
        <v>GeneCards</v>
      </c>
      <c r="D9290" s="1" t="str">
        <f>HYPERLINK("http://genome-euro.ucsc.edu/cgi-bin/hgTracks?position=205259_at","UCSC")</f>
        <v>UCSC</v>
      </c>
      <c r="E9290" s="1" t="str">
        <f>HYPERLINK("http://www.ncbi.nlm.nih.gov/gene/?term=NR3C2","NCBI")</f>
        <v>NCBI</v>
      </c>
      <c r="F9290">
        <v>0.18</v>
      </c>
      <c r="G9290">
        <v>0.32</v>
      </c>
      <c r="H9290" s="1" t="str">
        <f>HYPERLINK("http://www.weizmann.ac.il/complex/compphys/software/geview/data/figures/205259_at.png","Figure")</f>
        <v>Figure</v>
      </c>
      <c r="I9290">
        <v>0.93500000000000005</v>
      </c>
      <c r="J9290">
        <v>0.88</v>
      </c>
      <c r="K9290">
        <v>0.79400000000000004</v>
      </c>
      <c r="L9290">
        <v>0.17</v>
      </c>
      <c r="M9290">
        <v>0.84899999999999998</v>
      </c>
      <c r="N9290">
        <v>0.44</v>
      </c>
    </row>
    <row r="9291" spans="1:14" x14ac:dyDescent="0.25">
      <c r="A9291" t="s">
        <v>16307</v>
      </c>
      <c r="B9291" t="s">
        <v>16308</v>
      </c>
      <c r="C9291" s="1" t="str">
        <f>HYPERLINK("http://www.genecards.org/cgi-bin/carddisp.pl?gene=RAPGEF1","GeneCards")</f>
        <v>GeneCards</v>
      </c>
      <c r="D9291" s="1" t="str">
        <f>HYPERLINK("http://genome-euro.ucsc.edu/cgi-bin/hgTracks?position=204543_at","UCSC")</f>
        <v>UCSC</v>
      </c>
      <c r="E9291" s="1" t="str">
        <f>HYPERLINK("http://www.ncbi.nlm.nih.gov/gene/?term=RAPGEF1","NCBI")</f>
        <v>NCBI</v>
      </c>
      <c r="F9291">
        <v>0.18</v>
      </c>
      <c r="G9291">
        <v>0.32</v>
      </c>
      <c r="H9291" s="1" t="str">
        <f>HYPERLINK("http://www.weizmann.ac.il/complex/compphys/software/geview/data/figures/204543_at.png","Figure")</f>
        <v>Figure</v>
      </c>
      <c r="I9291">
        <v>1.18</v>
      </c>
      <c r="J9291">
        <v>0.2</v>
      </c>
      <c r="K9291">
        <v>1.02</v>
      </c>
      <c r="L9291">
        <v>0.97</v>
      </c>
      <c r="M9291">
        <v>0.86399999999999999</v>
      </c>
      <c r="N9291">
        <v>0.23</v>
      </c>
    </row>
    <row r="9292" spans="1:14" x14ac:dyDescent="0.25">
      <c r="A9292" t="s">
        <v>16309</v>
      </c>
      <c r="B9292" t="s">
        <v>5901</v>
      </c>
      <c r="C9292" s="1" t="str">
        <f>HYPERLINK("http://www.genecards.org/cgi-bin/carddisp.pl?gene=CACNB1","GeneCards")</f>
        <v>GeneCards</v>
      </c>
      <c r="D9292" s="1" t="str">
        <f>HYPERLINK("http://genome-euro.ucsc.edu/cgi-bin/hgTracks?position=210967_x_at","UCSC")</f>
        <v>UCSC</v>
      </c>
      <c r="E9292" s="1" t="str">
        <f>HYPERLINK("http://www.ncbi.nlm.nih.gov/gene/?term=CACNB1","NCBI")</f>
        <v>NCBI</v>
      </c>
      <c r="F9292">
        <v>0.18</v>
      </c>
      <c r="G9292">
        <v>0.32</v>
      </c>
      <c r="H9292" s="1" t="str">
        <f>HYPERLINK("http://www.weizmann.ac.il/complex/compphys/software/geview/data/figures/210967_x_at.png","Figure")</f>
        <v>Figure</v>
      </c>
      <c r="I9292">
        <v>1.01</v>
      </c>
      <c r="J9292">
        <v>0.99</v>
      </c>
      <c r="K9292">
        <v>1.1100000000000001</v>
      </c>
      <c r="L9292">
        <v>0.21</v>
      </c>
      <c r="M9292">
        <v>1.1000000000000001</v>
      </c>
      <c r="N9292">
        <v>0.32</v>
      </c>
    </row>
    <row r="9293" spans="1:14" x14ac:dyDescent="0.25">
      <c r="A9293" t="s">
        <v>16310</v>
      </c>
      <c r="B9293" t="s">
        <v>16311</v>
      </c>
      <c r="C9293" s="1" t="str">
        <f>HYPERLINK("http://www.genecards.org/cgi-bin/carddisp.pl?gene=MCM6","GeneCards")</f>
        <v>GeneCards</v>
      </c>
      <c r="D9293" s="1" t="str">
        <f>HYPERLINK("http://genome-euro.ucsc.edu/cgi-bin/hgTracks?position=201930_at","UCSC")</f>
        <v>UCSC</v>
      </c>
      <c r="E9293" s="1" t="str">
        <f>HYPERLINK("http://www.ncbi.nlm.nih.gov/gene/?term=MCM6","NCBI")</f>
        <v>NCBI</v>
      </c>
      <c r="F9293">
        <v>0.18</v>
      </c>
      <c r="G9293">
        <v>0.32</v>
      </c>
      <c r="H9293" s="1" t="str">
        <f>HYPERLINK("http://www.weizmann.ac.il/complex/compphys/software/geview/data/figures/201930_at.png","Figure")</f>
        <v>Figure</v>
      </c>
      <c r="I9293">
        <v>1.06</v>
      </c>
      <c r="J9293">
        <v>0.97</v>
      </c>
      <c r="K9293">
        <v>1.5</v>
      </c>
      <c r="L9293">
        <v>0.2</v>
      </c>
      <c r="M9293">
        <v>1.42</v>
      </c>
      <c r="N9293">
        <v>0.34</v>
      </c>
    </row>
    <row r="9294" spans="1:14" x14ac:dyDescent="0.25">
      <c r="A9294" t="s">
        <v>16312</v>
      </c>
      <c r="B9294" t="s">
        <v>223</v>
      </c>
      <c r="C9294" s="1" t="str">
        <f>HYPERLINK("http://www.genecards.org/cgi-bin/carddisp.pl?gene=THRA","GeneCards")</f>
        <v>GeneCards</v>
      </c>
      <c r="D9294" s="1" t="str">
        <f>HYPERLINK("http://genome-euro.ucsc.edu/cgi-bin/hgTracks?position=214883_at","UCSC")</f>
        <v>UCSC</v>
      </c>
      <c r="E9294" s="1" t="str">
        <f>HYPERLINK("http://www.ncbi.nlm.nih.gov/gene/?term=THRA","NCBI")</f>
        <v>NCBI</v>
      </c>
      <c r="F9294">
        <v>0.18</v>
      </c>
      <c r="G9294">
        <v>0.32</v>
      </c>
      <c r="H9294" s="1" t="str">
        <f>HYPERLINK("http://www.weizmann.ac.il/complex/compphys/software/geview/data/figures/214883_at.png","Figure")</f>
        <v>Figure</v>
      </c>
      <c r="I9294">
        <v>1.1599999999999999</v>
      </c>
      <c r="J9294">
        <v>0.17</v>
      </c>
      <c r="K9294">
        <v>1.04</v>
      </c>
      <c r="L9294">
        <v>0.83</v>
      </c>
      <c r="M9294">
        <v>0.89500000000000002</v>
      </c>
      <c r="N9294">
        <v>0.31</v>
      </c>
    </row>
    <row r="9295" spans="1:14" x14ac:dyDescent="0.25">
      <c r="A9295" t="s">
        <v>16313</v>
      </c>
      <c r="B9295" t="s">
        <v>16314</v>
      </c>
      <c r="C9295" s="1" t="str">
        <f>HYPERLINK("http://www.genecards.org/cgi-bin/carddisp.pl?gene=TMEM140","GeneCards")</f>
        <v>GeneCards</v>
      </c>
      <c r="D9295" s="1" t="str">
        <f>HYPERLINK("http://genome-euro.ucsc.edu/cgi-bin/hgTracks?position=218999_at","UCSC")</f>
        <v>UCSC</v>
      </c>
      <c r="E9295" s="1" t="str">
        <f>HYPERLINK("http://www.ncbi.nlm.nih.gov/gene/?term=TMEM140","NCBI")</f>
        <v>NCBI</v>
      </c>
      <c r="F9295">
        <v>0.18</v>
      </c>
      <c r="G9295">
        <v>0.32</v>
      </c>
      <c r="H9295" s="1" t="str">
        <f>HYPERLINK("http://www.weizmann.ac.il/complex/compphys/software/geview/data/figures/218999_at.png","Figure")</f>
        <v>Figure</v>
      </c>
      <c r="I9295">
        <v>1</v>
      </c>
      <c r="J9295">
        <v>1</v>
      </c>
      <c r="K9295">
        <v>0.88400000000000001</v>
      </c>
      <c r="L9295">
        <v>0.25</v>
      </c>
      <c r="M9295">
        <v>0.88</v>
      </c>
      <c r="N9295">
        <v>0.27</v>
      </c>
    </row>
    <row r="9296" spans="1:14" x14ac:dyDescent="0.25">
      <c r="A9296" t="s">
        <v>16315</v>
      </c>
      <c r="B9296" t="s">
        <v>16316</v>
      </c>
      <c r="C9296" s="1" t="str">
        <f>HYPERLINK("http://www.genecards.org/cgi-bin/carddisp.pl?gene=ITGB7","GeneCards")</f>
        <v>GeneCards</v>
      </c>
      <c r="D9296" s="1" t="str">
        <f>HYPERLINK("http://genome-euro.ucsc.edu/cgi-bin/hgTracks?position=205718_at","UCSC")</f>
        <v>UCSC</v>
      </c>
      <c r="E9296" s="1" t="str">
        <f>HYPERLINK("http://www.ncbi.nlm.nih.gov/gene/?term=ITGB7","NCBI")</f>
        <v>NCBI</v>
      </c>
      <c r="F9296">
        <v>0.18</v>
      </c>
      <c r="G9296">
        <v>0.32</v>
      </c>
      <c r="H9296" s="1" t="str">
        <f>HYPERLINK("http://www.weizmann.ac.il/complex/compphys/software/geview/data/figures/205718_at.png","Figure")</f>
        <v>Figure</v>
      </c>
      <c r="I9296">
        <v>1.1399999999999999</v>
      </c>
      <c r="J9296">
        <v>0.63</v>
      </c>
      <c r="K9296">
        <v>1.27</v>
      </c>
      <c r="L9296">
        <v>0.15</v>
      </c>
      <c r="M9296">
        <v>1.1200000000000001</v>
      </c>
      <c r="N9296">
        <v>0.67</v>
      </c>
    </row>
    <row r="9297" spans="1:14" x14ac:dyDescent="0.25">
      <c r="A9297" t="s">
        <v>16317</v>
      </c>
      <c r="B9297" t="s">
        <v>655</v>
      </c>
      <c r="C9297" s="1" t="str">
        <f>HYPERLINK("http://www.genecards.org/cgi-bin/carddisp.pl?gene=PIK3C3","GeneCards")</f>
        <v>GeneCards</v>
      </c>
      <c r="D9297" s="1" t="str">
        <f>HYPERLINK("http://genome-euro.ucsc.edu/cgi-bin/hgTracks?position=215394_at","UCSC")</f>
        <v>UCSC</v>
      </c>
      <c r="E9297" s="1" t="str">
        <f>HYPERLINK("http://www.ncbi.nlm.nih.gov/gene/?term=PIK3C3","NCBI")</f>
        <v>NCBI</v>
      </c>
      <c r="F9297">
        <v>0.18</v>
      </c>
      <c r="G9297">
        <v>0.32</v>
      </c>
      <c r="H9297" s="1" t="str">
        <f>HYPERLINK("http://www.weizmann.ac.il/complex/compphys/software/geview/data/figures/215394_at.png","Figure")</f>
        <v>Figure</v>
      </c>
      <c r="I9297">
        <v>1.06</v>
      </c>
      <c r="J9297">
        <v>0.8</v>
      </c>
      <c r="K9297">
        <v>0.90300000000000002</v>
      </c>
      <c r="L9297">
        <v>0.43</v>
      </c>
      <c r="M9297">
        <v>0.85099999999999998</v>
      </c>
      <c r="N9297">
        <v>0.18</v>
      </c>
    </row>
    <row r="9298" spans="1:14" x14ac:dyDescent="0.25">
      <c r="A9298" t="s">
        <v>16318</v>
      </c>
      <c r="B9298" t="s">
        <v>16319</v>
      </c>
      <c r="C9298" s="1" t="str">
        <f>HYPERLINK("http://www.genecards.org/cgi-bin/carddisp.pl?gene=ATG7","GeneCards")</f>
        <v>GeneCards</v>
      </c>
      <c r="D9298" s="1" t="str">
        <f>HYPERLINK("http://genome-euro.ucsc.edu/cgi-bin/hgTracks?position=218673_s_at","UCSC")</f>
        <v>UCSC</v>
      </c>
      <c r="E9298" s="1" t="str">
        <f>HYPERLINK("http://www.ncbi.nlm.nih.gov/gene/?term=ATG7","NCBI")</f>
        <v>NCBI</v>
      </c>
      <c r="F9298">
        <v>0.18</v>
      </c>
      <c r="G9298">
        <v>0.32</v>
      </c>
      <c r="H9298" s="1" t="str">
        <f>HYPERLINK("http://www.weizmann.ac.il/complex/compphys/software/geview/data/figures/218673_s_at.png","Figure")</f>
        <v>Figure</v>
      </c>
      <c r="I9298">
        <v>1.0900000000000001</v>
      </c>
      <c r="J9298">
        <v>0.24</v>
      </c>
      <c r="K9298">
        <v>1.08</v>
      </c>
      <c r="L9298">
        <v>0.22</v>
      </c>
      <c r="M9298">
        <v>0.99099999999999999</v>
      </c>
      <c r="N9298">
        <v>0.98</v>
      </c>
    </row>
    <row r="9299" spans="1:14" x14ac:dyDescent="0.25">
      <c r="A9299" t="s">
        <v>16320</v>
      </c>
      <c r="B9299" t="s">
        <v>16321</v>
      </c>
      <c r="C9299" s="1" t="str">
        <f>HYPERLINK("http://www.genecards.org/cgi-bin/carddisp.pl?gene=MTUS1","GeneCards")</f>
        <v>GeneCards</v>
      </c>
      <c r="D9299" s="1" t="str">
        <f>HYPERLINK("http://genome-euro.ucsc.edu/cgi-bin/hgTracks?position=212095_s_at","UCSC")</f>
        <v>UCSC</v>
      </c>
      <c r="E9299" s="1" t="str">
        <f>HYPERLINK("http://www.ncbi.nlm.nih.gov/gene/?term=MTUS1","NCBI")</f>
        <v>NCBI</v>
      </c>
      <c r="F9299">
        <v>0.18</v>
      </c>
      <c r="G9299">
        <v>0.32</v>
      </c>
      <c r="H9299" s="1" t="str">
        <f>HYPERLINK("http://www.weizmann.ac.il/complex/compphys/software/geview/data/figures/212095_s_at.png","Figure")</f>
        <v>Figure</v>
      </c>
      <c r="I9299">
        <v>1.1399999999999999</v>
      </c>
      <c r="J9299">
        <v>0.74</v>
      </c>
      <c r="K9299">
        <v>0.83199999999999996</v>
      </c>
      <c r="L9299">
        <v>0.47</v>
      </c>
      <c r="M9299">
        <v>0.72799999999999998</v>
      </c>
      <c r="N9299">
        <v>0.17</v>
      </c>
    </row>
    <row r="9300" spans="1:14" x14ac:dyDescent="0.25">
      <c r="A9300" t="s">
        <v>16322</v>
      </c>
      <c r="B9300" t="s">
        <v>15630</v>
      </c>
      <c r="C9300" s="1" t="str">
        <f>HYPERLINK("http://www.genecards.org/cgi-bin/carddisp.pl?gene=MUC8","GeneCards")</f>
        <v>GeneCards</v>
      </c>
      <c r="D9300" s="1" t="str">
        <f>HYPERLINK("http://genome-euro.ucsc.edu/cgi-bin/hgTracks?position=216671_x_at","UCSC")</f>
        <v>UCSC</v>
      </c>
      <c r="E9300" s="1" t="str">
        <f>HYPERLINK("http://www.ncbi.nlm.nih.gov/gene/?term=MUC8","NCBI")</f>
        <v>NCBI</v>
      </c>
      <c r="F9300">
        <v>0.18</v>
      </c>
      <c r="G9300">
        <v>0.32</v>
      </c>
      <c r="H9300" s="1" t="str">
        <f>HYPERLINK("http://www.weizmann.ac.il/complex/compphys/software/geview/data/figures/216671_x_at.png","Figure")</f>
        <v>Figure</v>
      </c>
      <c r="I9300">
        <v>1.33</v>
      </c>
      <c r="J9300">
        <v>0.15</v>
      </c>
      <c r="K9300">
        <v>1.1499999999999999</v>
      </c>
      <c r="L9300">
        <v>0.54</v>
      </c>
      <c r="M9300">
        <v>0.86099999999999999</v>
      </c>
      <c r="N9300">
        <v>0.52</v>
      </c>
    </row>
    <row r="9301" spans="1:14" x14ac:dyDescent="0.25">
      <c r="A9301" t="s">
        <v>16323</v>
      </c>
      <c r="B9301" t="s">
        <v>16324</v>
      </c>
      <c r="C9301" s="1" t="str">
        <f>HYPERLINK("http://www.genecards.org/cgi-bin/carddisp.pl?gene=FAM35A","GeneCards")</f>
        <v>GeneCards</v>
      </c>
      <c r="D9301" s="1" t="str">
        <f>HYPERLINK("http://genome-euro.ucsc.edu/cgi-bin/hgTracks?position=220547_s_at","UCSC")</f>
        <v>UCSC</v>
      </c>
      <c r="E9301" s="1" t="str">
        <f>HYPERLINK("http://www.ncbi.nlm.nih.gov/gene/?term=FAM35A","NCBI")</f>
        <v>NCBI</v>
      </c>
      <c r="F9301">
        <v>0.18</v>
      </c>
      <c r="G9301">
        <v>0.32</v>
      </c>
      <c r="H9301" s="1" t="str">
        <f>HYPERLINK("http://www.weizmann.ac.il/complex/compphys/software/geview/data/figures/220547_s_at.png","Figure")</f>
        <v>Figure</v>
      </c>
      <c r="I9301">
        <v>0.63300000000000001</v>
      </c>
      <c r="J9301">
        <v>0.17</v>
      </c>
      <c r="K9301">
        <v>0.88600000000000001</v>
      </c>
      <c r="L9301">
        <v>0.83</v>
      </c>
      <c r="M9301">
        <v>1.4</v>
      </c>
      <c r="N9301">
        <v>0.31</v>
      </c>
    </row>
    <row r="9302" spans="1:14" x14ac:dyDescent="0.25">
      <c r="A9302" t="s">
        <v>16325</v>
      </c>
      <c r="B9302" t="s">
        <v>14792</v>
      </c>
      <c r="C9302" s="1" t="str">
        <f>HYPERLINK("http://www.genecards.org/cgi-bin/carddisp.pl?gene=DICER1","GeneCards")</f>
        <v>GeneCards</v>
      </c>
      <c r="D9302" s="1" t="str">
        <f>HYPERLINK("http://genome-euro.ucsc.edu/cgi-bin/hgTracks?position=206061_s_at","UCSC")</f>
        <v>UCSC</v>
      </c>
      <c r="E9302" s="1" t="str">
        <f>HYPERLINK("http://www.ncbi.nlm.nih.gov/gene/?term=DICER1","NCBI")</f>
        <v>NCBI</v>
      </c>
      <c r="F9302">
        <v>0.18</v>
      </c>
      <c r="G9302">
        <v>0.32</v>
      </c>
      <c r="H9302" s="1" t="str">
        <f>HYPERLINK("http://www.weizmann.ac.il/complex/compphys/software/geview/data/figures/206061_s_at.png","Figure")</f>
        <v>Figure</v>
      </c>
      <c r="I9302">
        <v>0.76800000000000002</v>
      </c>
      <c r="J9302">
        <v>0.49</v>
      </c>
      <c r="K9302">
        <v>1.17</v>
      </c>
      <c r="L9302">
        <v>0.72</v>
      </c>
      <c r="M9302">
        <v>1.52</v>
      </c>
      <c r="N9302">
        <v>0.15</v>
      </c>
    </row>
    <row r="9303" spans="1:14" x14ac:dyDescent="0.25">
      <c r="A9303" t="s">
        <v>16326</v>
      </c>
      <c r="B9303" t="s">
        <v>16327</v>
      </c>
      <c r="C9303" s="1" t="str">
        <f>HYPERLINK("http://www.genecards.org/cgi-bin/carddisp.pl?gene=PANK3","GeneCards")</f>
        <v>GeneCards</v>
      </c>
      <c r="D9303" s="1" t="str">
        <f>HYPERLINK("http://genome-euro.ucsc.edu/cgi-bin/hgTracks?position=218433_at","UCSC")</f>
        <v>UCSC</v>
      </c>
      <c r="E9303" s="1" t="str">
        <f>HYPERLINK("http://www.ncbi.nlm.nih.gov/gene/?term=PANK3","NCBI")</f>
        <v>NCBI</v>
      </c>
      <c r="F9303">
        <v>0.18</v>
      </c>
      <c r="G9303">
        <v>0.32</v>
      </c>
      <c r="H9303" s="1" t="str">
        <f>HYPERLINK("http://www.weizmann.ac.il/complex/compphys/software/geview/data/figures/218433_at.png","Figure")</f>
        <v>Figure</v>
      </c>
      <c r="I9303">
        <v>1.1299999999999999</v>
      </c>
      <c r="J9303">
        <v>0.48</v>
      </c>
      <c r="K9303">
        <v>0.93700000000000006</v>
      </c>
      <c r="L9303">
        <v>0.73</v>
      </c>
      <c r="M9303">
        <v>0.83299999999999996</v>
      </c>
      <c r="N9303">
        <v>0.15</v>
      </c>
    </row>
    <row r="9304" spans="1:14" x14ac:dyDescent="0.25">
      <c r="A9304" t="s">
        <v>16328</v>
      </c>
      <c r="B9304" t="s">
        <v>4905</v>
      </c>
      <c r="C9304" s="1" t="str">
        <f>HYPERLINK("http://www.genecards.org/cgi-bin/carddisp.pl?gene=LOXL2","GeneCards")</f>
        <v>GeneCards</v>
      </c>
      <c r="D9304" s="1" t="str">
        <f>HYPERLINK("http://genome-euro.ucsc.edu/cgi-bin/hgTracks?position=202998_s_at","UCSC")</f>
        <v>UCSC</v>
      </c>
      <c r="E9304" s="1" t="str">
        <f>HYPERLINK("http://www.ncbi.nlm.nih.gov/gene/?term=LOXL2","NCBI")</f>
        <v>NCBI</v>
      </c>
      <c r="F9304">
        <v>0.18</v>
      </c>
      <c r="G9304">
        <v>0.32</v>
      </c>
      <c r="H9304" s="1" t="str">
        <f>HYPERLINK("http://www.weizmann.ac.il/complex/compphys/software/geview/data/figures/202998_s_at.png","Figure")</f>
        <v>Figure</v>
      </c>
      <c r="I9304">
        <v>1.1599999999999999</v>
      </c>
      <c r="J9304">
        <v>0.41</v>
      </c>
      <c r="K9304">
        <v>0.94299999999999995</v>
      </c>
      <c r="L9304">
        <v>0.82</v>
      </c>
      <c r="M9304">
        <v>0.81200000000000006</v>
      </c>
      <c r="N9304">
        <v>0.16</v>
      </c>
    </row>
    <row r="9305" spans="1:14" x14ac:dyDescent="0.25">
      <c r="A9305" t="s">
        <v>16329</v>
      </c>
      <c r="B9305" t="s">
        <v>16330</v>
      </c>
      <c r="C9305" s="1" t="str">
        <f>HYPERLINK("http://www.genecards.org/cgi-bin/carddisp.pl?gene=PIGV","GeneCards")</f>
        <v>GeneCards</v>
      </c>
      <c r="D9305" s="1" t="str">
        <f>HYPERLINK("http://genome-euro.ucsc.edu/cgi-bin/hgTracks?position=219238_at","UCSC")</f>
        <v>UCSC</v>
      </c>
      <c r="E9305" s="1" t="str">
        <f>HYPERLINK("http://www.ncbi.nlm.nih.gov/gene/?term=PIGV","NCBI")</f>
        <v>NCBI</v>
      </c>
      <c r="F9305">
        <v>0.18</v>
      </c>
      <c r="G9305">
        <v>0.32</v>
      </c>
      <c r="H9305" s="1" t="str">
        <f>HYPERLINK("http://www.weizmann.ac.il/complex/compphys/software/geview/data/figures/219238_at.png","Figure")</f>
        <v>Figure</v>
      </c>
      <c r="I9305">
        <v>0.92800000000000005</v>
      </c>
      <c r="J9305">
        <v>0.68</v>
      </c>
      <c r="K9305">
        <v>0.85899999999999999</v>
      </c>
      <c r="L9305">
        <v>0.16</v>
      </c>
      <c r="M9305">
        <v>0.92600000000000005</v>
      </c>
      <c r="N9305">
        <v>0.63</v>
      </c>
    </row>
    <row r="9306" spans="1:14" x14ac:dyDescent="0.25">
      <c r="A9306" t="s">
        <v>16331</v>
      </c>
      <c r="B9306" t="s">
        <v>6305</v>
      </c>
      <c r="C9306" s="1" t="str">
        <f>HYPERLINK("http://www.genecards.org/cgi-bin/carddisp.pl?gene=BCL6","GeneCards")</f>
        <v>GeneCards</v>
      </c>
      <c r="D9306" s="1" t="str">
        <f>HYPERLINK("http://genome-euro.ucsc.edu/cgi-bin/hgTracks?position=215990_s_at","UCSC")</f>
        <v>UCSC</v>
      </c>
      <c r="E9306" s="1" t="str">
        <f>HYPERLINK("http://www.ncbi.nlm.nih.gov/gene/?term=BCL6","NCBI")</f>
        <v>NCBI</v>
      </c>
      <c r="F9306">
        <v>0.18</v>
      </c>
      <c r="G9306">
        <v>0.33</v>
      </c>
      <c r="H9306" s="1" t="str">
        <f>HYPERLINK("http://www.weizmann.ac.il/complex/compphys/software/geview/data/figures/215990_s_at.png","Figure")</f>
        <v>Figure</v>
      </c>
      <c r="I9306">
        <v>1.1599999999999999</v>
      </c>
      <c r="J9306">
        <v>0.28999999999999998</v>
      </c>
      <c r="K9306">
        <v>0.98</v>
      </c>
      <c r="L9306">
        <v>0.97</v>
      </c>
      <c r="M9306">
        <v>0.84799999999999998</v>
      </c>
      <c r="N9306">
        <v>0.17</v>
      </c>
    </row>
    <row r="9307" spans="1:14" x14ac:dyDescent="0.25">
      <c r="A9307" t="s">
        <v>16332</v>
      </c>
      <c r="B9307" t="s">
        <v>7563</v>
      </c>
      <c r="C9307" s="1" t="str">
        <f>HYPERLINK("http://www.genecards.org/cgi-bin/carddisp.pl?gene=SLC7A8","GeneCards")</f>
        <v>GeneCards</v>
      </c>
      <c r="D9307" s="1" t="str">
        <f>HYPERLINK("http://genome-euro.ucsc.edu/cgi-bin/hgTracks?position=216092_s_at","UCSC")</f>
        <v>UCSC</v>
      </c>
      <c r="E9307" s="1" t="str">
        <f>HYPERLINK("http://www.ncbi.nlm.nih.gov/gene/?term=SLC7A8","NCBI")</f>
        <v>NCBI</v>
      </c>
      <c r="F9307">
        <v>0.18</v>
      </c>
      <c r="G9307">
        <v>0.33</v>
      </c>
      <c r="H9307" s="1" t="str">
        <f>HYPERLINK("http://www.weizmann.ac.il/complex/compphys/software/geview/data/figures/216092_s_at.png","Figure")</f>
        <v>Figure</v>
      </c>
      <c r="I9307">
        <v>1.22</v>
      </c>
      <c r="J9307">
        <v>0.18</v>
      </c>
      <c r="K9307">
        <v>1.1499999999999999</v>
      </c>
      <c r="L9307">
        <v>0.32</v>
      </c>
      <c r="M9307">
        <v>0.94099999999999995</v>
      </c>
      <c r="N9307">
        <v>0.82</v>
      </c>
    </row>
    <row r="9308" spans="1:14" x14ac:dyDescent="0.25">
      <c r="A9308" t="s">
        <v>16333</v>
      </c>
      <c r="B9308" t="s">
        <v>16334</v>
      </c>
      <c r="C9308" s="1" t="str">
        <f>HYPERLINK("http://www.genecards.org/cgi-bin/carddisp.pl?gene=ACACB","GeneCards")</f>
        <v>GeneCards</v>
      </c>
      <c r="D9308" s="1" t="str">
        <f>HYPERLINK("http://genome-euro.ucsc.edu/cgi-bin/hgTracks?position=221928_at","UCSC")</f>
        <v>UCSC</v>
      </c>
      <c r="E9308" s="1" t="str">
        <f>HYPERLINK("http://www.ncbi.nlm.nih.gov/gene/?term=ACACB","NCBI")</f>
        <v>NCBI</v>
      </c>
      <c r="F9308">
        <v>0.18</v>
      </c>
      <c r="G9308">
        <v>0.33</v>
      </c>
      <c r="H9308" s="1" t="str">
        <f>HYPERLINK("http://www.weizmann.ac.il/complex/compphys/software/geview/data/figures/221928_at.png","Figure")</f>
        <v>Figure</v>
      </c>
      <c r="I9308">
        <v>1.24</v>
      </c>
      <c r="J9308">
        <v>0.16</v>
      </c>
      <c r="K9308">
        <v>1.08</v>
      </c>
      <c r="L9308">
        <v>0.69</v>
      </c>
      <c r="M9308">
        <v>0.871</v>
      </c>
      <c r="N9308">
        <v>0.4</v>
      </c>
    </row>
    <row r="9309" spans="1:14" x14ac:dyDescent="0.25">
      <c r="A9309" t="s">
        <v>16335</v>
      </c>
      <c r="B9309" t="s">
        <v>16336</v>
      </c>
      <c r="C9309" s="1" t="str">
        <f>HYPERLINK("http://www.genecards.org/cgi-bin/carddisp.pl?gene=TRAPPC3","GeneCards")</f>
        <v>GeneCards</v>
      </c>
      <c r="D9309" s="1" t="str">
        <f>HYPERLINK("http://genome-euro.ucsc.edu/cgi-bin/hgTracks?position=203511_s_at","UCSC")</f>
        <v>UCSC</v>
      </c>
      <c r="E9309" s="1" t="str">
        <f>HYPERLINK("http://www.ncbi.nlm.nih.gov/gene/?term=TRAPPC3","NCBI")</f>
        <v>NCBI</v>
      </c>
      <c r="F9309">
        <v>0.18</v>
      </c>
      <c r="G9309">
        <v>0.33</v>
      </c>
      <c r="H9309" s="1" t="str">
        <f>HYPERLINK("http://www.weizmann.ac.il/complex/compphys/software/geview/data/figures/203511_s_at.png","Figure")</f>
        <v>Figure</v>
      </c>
      <c r="I9309">
        <v>1.31</v>
      </c>
      <c r="J9309">
        <v>0.19</v>
      </c>
      <c r="K9309">
        <v>1.22</v>
      </c>
      <c r="L9309">
        <v>0.28999999999999998</v>
      </c>
      <c r="M9309">
        <v>0.93400000000000005</v>
      </c>
      <c r="N9309">
        <v>0.87</v>
      </c>
    </row>
    <row r="9310" spans="1:14" x14ac:dyDescent="0.25">
      <c r="A9310" t="s">
        <v>16337</v>
      </c>
      <c r="B9310" t="s">
        <v>16338</v>
      </c>
      <c r="C9310" s="1" t="str">
        <f>HYPERLINK("http://www.genecards.org/cgi-bin/carddisp.pl?gene=RIN1","GeneCards")</f>
        <v>GeneCards</v>
      </c>
      <c r="D9310" s="1" t="str">
        <f>HYPERLINK("http://genome-euro.ucsc.edu/cgi-bin/hgTracks?position=205211_s_at","UCSC")</f>
        <v>UCSC</v>
      </c>
      <c r="E9310" s="1" t="str">
        <f>HYPERLINK("http://www.ncbi.nlm.nih.gov/gene/?term=RIN1","NCBI")</f>
        <v>NCBI</v>
      </c>
      <c r="F9310">
        <v>0.18</v>
      </c>
      <c r="G9310">
        <v>0.33</v>
      </c>
      <c r="H9310" s="1" t="str">
        <f>HYPERLINK("http://www.weizmann.ac.il/complex/compphys/software/geview/data/figures/205211_s_at.png","Figure")</f>
        <v>Figure</v>
      </c>
      <c r="I9310">
        <v>1.24</v>
      </c>
      <c r="J9310">
        <v>0.16</v>
      </c>
      <c r="K9310">
        <v>1.1100000000000001</v>
      </c>
      <c r="L9310">
        <v>0.52</v>
      </c>
      <c r="M9310">
        <v>0.89600000000000002</v>
      </c>
      <c r="N9310">
        <v>0.55000000000000004</v>
      </c>
    </row>
    <row r="9311" spans="1:14" x14ac:dyDescent="0.25">
      <c r="A9311" t="s">
        <v>16339</v>
      </c>
      <c r="B9311" t="s">
        <v>16340</v>
      </c>
      <c r="C9311" s="1" t="str">
        <f>HYPERLINK("http://www.genecards.org/cgi-bin/carddisp.pl?gene=OXT","GeneCards")</f>
        <v>GeneCards</v>
      </c>
      <c r="D9311" s="1" t="str">
        <f>HYPERLINK("http://genome-euro.ucsc.edu/cgi-bin/hgTracks?position=207576_x_at","UCSC")</f>
        <v>UCSC</v>
      </c>
      <c r="E9311" s="1" t="str">
        <f>HYPERLINK("http://www.ncbi.nlm.nih.gov/gene/?term=OXT","NCBI")</f>
        <v>NCBI</v>
      </c>
      <c r="F9311">
        <v>0.18</v>
      </c>
      <c r="G9311">
        <v>0.33</v>
      </c>
      <c r="H9311" s="1" t="str">
        <f>HYPERLINK("http://www.weizmann.ac.il/complex/compphys/software/geview/data/figures/207576_x_at.png","Figure")</f>
        <v>Figure</v>
      </c>
      <c r="I9311">
        <v>1.1499999999999999</v>
      </c>
      <c r="J9311">
        <v>0.21</v>
      </c>
      <c r="K9311">
        <v>1.1200000000000001</v>
      </c>
      <c r="L9311">
        <v>0.26</v>
      </c>
      <c r="M9311">
        <v>0.97199999999999998</v>
      </c>
      <c r="N9311">
        <v>0.92</v>
      </c>
    </row>
    <row r="9312" spans="1:14" x14ac:dyDescent="0.25">
      <c r="A9312" t="s">
        <v>16341</v>
      </c>
      <c r="B9312" t="s">
        <v>16342</v>
      </c>
      <c r="C9312" s="1" t="str">
        <f>HYPERLINK("http://www.genecards.org/cgi-bin/carddisp.pl?gene=KIAA0415","GeneCards")</f>
        <v>GeneCards</v>
      </c>
      <c r="D9312" s="1" t="str">
        <f>HYPERLINK("http://genome-euro.ucsc.edu/cgi-bin/hgTracks?position=209913_x_at","UCSC")</f>
        <v>UCSC</v>
      </c>
      <c r="E9312" s="1" t="str">
        <f>HYPERLINK("http://www.ncbi.nlm.nih.gov/gene/?term=KIAA0415","NCBI")</f>
        <v>NCBI</v>
      </c>
      <c r="F9312">
        <v>0.18</v>
      </c>
      <c r="G9312">
        <v>0.33</v>
      </c>
      <c r="H9312" s="1" t="str">
        <f>HYPERLINK("http://www.weizmann.ac.il/complex/compphys/software/geview/data/figures/209913_x_at.png","Figure")</f>
        <v>Figure</v>
      </c>
      <c r="I9312">
        <v>1.01</v>
      </c>
      <c r="J9312">
        <v>0.98</v>
      </c>
      <c r="K9312">
        <v>0.89900000000000002</v>
      </c>
      <c r="L9312">
        <v>0.28000000000000003</v>
      </c>
      <c r="M9312">
        <v>0.88600000000000001</v>
      </c>
      <c r="N9312">
        <v>0.24</v>
      </c>
    </row>
    <row r="9313" spans="1:14" x14ac:dyDescent="0.25">
      <c r="A9313" t="s">
        <v>16343</v>
      </c>
      <c r="B9313" t="s">
        <v>7460</v>
      </c>
      <c r="C9313" s="1" t="str">
        <f>HYPERLINK("http://www.genecards.org/cgi-bin/carddisp.pl?gene=NGDN","GeneCards")</f>
        <v>GeneCards</v>
      </c>
      <c r="D9313" s="1" t="str">
        <f>HYPERLINK("http://genome-euro.ucsc.edu/cgi-bin/hgTracks?position=216263_s_at","UCSC")</f>
        <v>UCSC</v>
      </c>
      <c r="E9313" s="1" t="str">
        <f>HYPERLINK("http://www.ncbi.nlm.nih.gov/gene/?term=NGDN","NCBI")</f>
        <v>NCBI</v>
      </c>
      <c r="F9313">
        <v>0.18</v>
      </c>
      <c r="G9313">
        <v>0.33</v>
      </c>
      <c r="H9313" s="1" t="str">
        <f>HYPERLINK("http://www.weizmann.ac.il/complex/compphys/software/geview/data/figures/216263_s_at.png","Figure")</f>
        <v>Figure</v>
      </c>
      <c r="I9313">
        <v>0.98299999999999998</v>
      </c>
      <c r="J9313">
        <v>0.22</v>
      </c>
      <c r="K9313">
        <v>0.999</v>
      </c>
      <c r="L9313">
        <v>0.99</v>
      </c>
      <c r="M9313">
        <v>1.02</v>
      </c>
      <c r="N9313">
        <v>0.21</v>
      </c>
    </row>
    <row r="9314" spans="1:14" x14ac:dyDescent="0.25">
      <c r="A9314" t="s">
        <v>16344</v>
      </c>
      <c r="B9314" t="s">
        <v>16345</v>
      </c>
      <c r="C9314" s="1" t="str">
        <f>HYPERLINK("http://www.genecards.org/cgi-bin/carddisp.pl?gene=CSTF3","GeneCards")</f>
        <v>GeneCards</v>
      </c>
      <c r="D9314" s="1" t="str">
        <f>HYPERLINK("http://genome-euro.ucsc.edu/cgi-bin/hgTracks?position=203947_at","UCSC")</f>
        <v>UCSC</v>
      </c>
      <c r="E9314" s="1" t="str">
        <f>HYPERLINK("http://www.ncbi.nlm.nih.gov/gene/?term=CSTF3","NCBI")</f>
        <v>NCBI</v>
      </c>
      <c r="F9314">
        <v>0.18</v>
      </c>
      <c r="G9314">
        <v>0.33</v>
      </c>
      <c r="H9314" s="1" t="str">
        <f>HYPERLINK("http://www.weizmann.ac.il/complex/compphys/software/geview/data/figures/203947_at.png","Figure")</f>
        <v>Figure</v>
      </c>
      <c r="I9314">
        <v>0.95799999999999996</v>
      </c>
      <c r="J9314">
        <v>0.94</v>
      </c>
      <c r="K9314">
        <v>1.19</v>
      </c>
      <c r="L9314">
        <v>0.31</v>
      </c>
      <c r="M9314">
        <v>1.24</v>
      </c>
      <c r="N9314">
        <v>0.22</v>
      </c>
    </row>
    <row r="9315" spans="1:14" x14ac:dyDescent="0.25">
      <c r="A9315" t="s">
        <v>16346</v>
      </c>
      <c r="B9315" t="s">
        <v>2650</v>
      </c>
      <c r="C9315" s="1" t="str">
        <f>HYPERLINK("http://www.genecards.org/cgi-bin/carddisp.pl?gene=PEX5","GeneCards")</f>
        <v>GeneCards</v>
      </c>
      <c r="D9315" s="1" t="str">
        <f>HYPERLINK("http://genome-euro.ucsc.edu/cgi-bin/hgTracks?position=215481_s_at","UCSC")</f>
        <v>UCSC</v>
      </c>
      <c r="E9315" s="1" t="str">
        <f>HYPERLINK("http://www.ncbi.nlm.nih.gov/gene/?term=PEX5","NCBI")</f>
        <v>NCBI</v>
      </c>
      <c r="F9315">
        <v>0.18</v>
      </c>
      <c r="G9315">
        <v>0.33</v>
      </c>
      <c r="H9315" s="1" t="str">
        <f>HYPERLINK("http://www.weizmann.ac.il/complex/compphys/software/geview/data/figures/215481_s_at.png","Figure")</f>
        <v>Figure</v>
      </c>
      <c r="I9315">
        <v>1.1100000000000001</v>
      </c>
      <c r="J9315">
        <v>0.16</v>
      </c>
      <c r="K9315">
        <v>1.03</v>
      </c>
      <c r="L9315">
        <v>0.78</v>
      </c>
      <c r="M9315">
        <v>0.93100000000000005</v>
      </c>
      <c r="N9315">
        <v>0.34</v>
      </c>
    </row>
    <row r="9316" spans="1:14" x14ac:dyDescent="0.25">
      <c r="A9316" t="s">
        <v>16347</v>
      </c>
      <c r="B9316" t="s">
        <v>16348</v>
      </c>
      <c r="C9316" s="1" t="str">
        <f>HYPERLINK("http://www.genecards.org/cgi-bin/carddisp.pl?gene=STAB1","GeneCards")</f>
        <v>GeneCards</v>
      </c>
      <c r="D9316" s="1" t="str">
        <f>HYPERLINK("http://genome-euro.ucsc.edu/cgi-bin/hgTracks?position=204150_at","UCSC")</f>
        <v>UCSC</v>
      </c>
      <c r="E9316" s="1" t="str">
        <f>HYPERLINK("http://www.ncbi.nlm.nih.gov/gene/?term=STAB1","NCBI")</f>
        <v>NCBI</v>
      </c>
      <c r="F9316">
        <v>0.18</v>
      </c>
      <c r="G9316">
        <v>0.33</v>
      </c>
      <c r="H9316" s="1" t="str">
        <f>HYPERLINK("http://www.weizmann.ac.il/complex/compphys/software/geview/data/figures/204150_at.png","Figure")</f>
        <v>Figure</v>
      </c>
      <c r="I9316">
        <v>0.65600000000000003</v>
      </c>
      <c r="J9316">
        <v>0.17</v>
      </c>
      <c r="K9316">
        <v>0.90400000000000003</v>
      </c>
      <c r="L9316">
        <v>0.86</v>
      </c>
      <c r="M9316">
        <v>1.38</v>
      </c>
      <c r="N9316">
        <v>0.3</v>
      </c>
    </row>
    <row r="9317" spans="1:14" x14ac:dyDescent="0.25">
      <c r="A9317" t="s">
        <v>16349</v>
      </c>
      <c r="B9317" t="s">
        <v>4205</v>
      </c>
      <c r="C9317" s="1" t="str">
        <f>HYPERLINK("http://www.genecards.org/cgi-bin/carddisp.pl?gene=MCAM","GeneCards")</f>
        <v>GeneCards</v>
      </c>
      <c r="D9317" s="1" t="str">
        <f>HYPERLINK("http://genome-euro.ucsc.edu/cgi-bin/hgTracks?position=210869_s_at","UCSC")</f>
        <v>UCSC</v>
      </c>
      <c r="E9317" s="1" t="str">
        <f>HYPERLINK("http://www.ncbi.nlm.nih.gov/gene/?term=MCAM","NCBI")</f>
        <v>NCBI</v>
      </c>
      <c r="F9317">
        <v>0.18</v>
      </c>
      <c r="G9317">
        <v>0.33</v>
      </c>
      <c r="H9317" s="1" t="str">
        <f>HYPERLINK("http://www.weizmann.ac.il/complex/compphys/software/geview/data/figures/210869_s_at.png","Figure")</f>
        <v>Figure</v>
      </c>
      <c r="I9317">
        <v>1.1100000000000001</v>
      </c>
      <c r="J9317">
        <v>0.73</v>
      </c>
      <c r="K9317">
        <v>0.86599999999999999</v>
      </c>
      <c r="L9317">
        <v>0.48</v>
      </c>
      <c r="M9317">
        <v>0.77900000000000003</v>
      </c>
      <c r="N9317">
        <v>0.17</v>
      </c>
    </row>
    <row r="9318" spans="1:14" x14ac:dyDescent="0.25">
      <c r="A9318" t="s">
        <v>16350</v>
      </c>
      <c r="B9318" t="s">
        <v>16351</v>
      </c>
      <c r="C9318" s="1" t="str">
        <f>HYPERLINK("http://www.genecards.org/cgi-bin/carddisp.pl?gene=TMEM11","GeneCards")</f>
        <v>GeneCards</v>
      </c>
      <c r="D9318" s="1" t="str">
        <f>HYPERLINK("http://genome-euro.ucsc.edu/cgi-bin/hgTracks?position=203437_at","UCSC")</f>
        <v>UCSC</v>
      </c>
      <c r="E9318" s="1" t="str">
        <f>HYPERLINK("http://www.ncbi.nlm.nih.gov/gene/?term=TMEM11","NCBI")</f>
        <v>NCBI</v>
      </c>
      <c r="F9318">
        <v>0.18</v>
      </c>
      <c r="G9318">
        <v>0.33</v>
      </c>
      <c r="H9318" s="1" t="str">
        <f>HYPERLINK("http://www.weizmann.ac.il/complex/compphys/software/geview/data/figures/203437_at.png","Figure")</f>
        <v>Figure</v>
      </c>
      <c r="I9318">
        <v>1.03</v>
      </c>
      <c r="J9318">
        <v>0.97</v>
      </c>
      <c r="K9318">
        <v>0.84699999999999998</v>
      </c>
      <c r="L9318">
        <v>0.28999999999999998</v>
      </c>
      <c r="M9318">
        <v>0.82199999999999995</v>
      </c>
      <c r="N9318">
        <v>0.23</v>
      </c>
    </row>
    <row r="9319" spans="1:14" x14ac:dyDescent="0.25">
      <c r="A9319" t="s">
        <v>16352</v>
      </c>
      <c r="B9319" t="s">
        <v>16353</v>
      </c>
      <c r="C9319" s="1" t="str">
        <f>HYPERLINK("http://www.genecards.org/cgi-bin/carddisp.pl?gene=ZNF562","GeneCards")</f>
        <v>GeneCards</v>
      </c>
      <c r="D9319" s="1" t="str">
        <f>HYPERLINK("http://genome-euro.ucsc.edu/cgi-bin/hgTracks?position=219163_at","UCSC")</f>
        <v>UCSC</v>
      </c>
      <c r="E9319" s="1" t="str">
        <f>HYPERLINK("http://www.ncbi.nlm.nih.gov/gene/?term=ZNF562","NCBI")</f>
        <v>NCBI</v>
      </c>
      <c r="F9319">
        <v>0.18</v>
      </c>
      <c r="G9319">
        <v>0.33</v>
      </c>
      <c r="H9319" s="1" t="str">
        <f>HYPERLINK("http://www.weizmann.ac.il/complex/compphys/software/geview/data/figures/219163_at.png","Figure")</f>
        <v>Figure</v>
      </c>
      <c r="I9319">
        <v>0.86</v>
      </c>
      <c r="J9319">
        <v>0.43</v>
      </c>
      <c r="K9319">
        <v>0.81899999999999995</v>
      </c>
      <c r="L9319">
        <v>0.16</v>
      </c>
      <c r="M9319">
        <v>0.95199999999999996</v>
      </c>
      <c r="N9319">
        <v>0.9</v>
      </c>
    </row>
    <row r="9320" spans="1:14" x14ac:dyDescent="0.25">
      <c r="A9320" t="s">
        <v>16354</v>
      </c>
      <c r="B9320" t="s">
        <v>6353</v>
      </c>
      <c r="C9320" s="1" t="str">
        <f>HYPERLINK("http://www.genecards.org/cgi-bin/carddisp.pl?gene=PTGER1","GeneCards")</f>
        <v>GeneCards</v>
      </c>
      <c r="D9320" s="1" t="str">
        <f>HYPERLINK("http://genome-euro.ucsc.edu/cgi-bin/hgTracks?position=207650_x_at","UCSC")</f>
        <v>UCSC</v>
      </c>
      <c r="E9320" s="1" t="str">
        <f>HYPERLINK("http://www.ncbi.nlm.nih.gov/gene/?term=PTGER1","NCBI")</f>
        <v>NCBI</v>
      </c>
      <c r="F9320">
        <v>0.18</v>
      </c>
      <c r="G9320">
        <v>0.33</v>
      </c>
      <c r="H9320" s="1" t="str">
        <f>HYPERLINK("http://www.weizmann.ac.il/complex/compphys/software/geview/data/figures/207650_x_at.png","Figure")</f>
        <v>Figure</v>
      </c>
      <c r="I9320">
        <v>1.1499999999999999</v>
      </c>
      <c r="J9320">
        <v>0.16</v>
      </c>
      <c r="K9320">
        <v>1.05</v>
      </c>
      <c r="L9320">
        <v>0.73</v>
      </c>
      <c r="M9320">
        <v>0.91</v>
      </c>
      <c r="N9320">
        <v>0.37</v>
      </c>
    </row>
    <row r="9321" spans="1:14" x14ac:dyDescent="0.25">
      <c r="A9321" t="s">
        <v>16355</v>
      </c>
      <c r="B9321" t="s">
        <v>9392</v>
      </c>
      <c r="C9321" s="1" t="str">
        <f>HYPERLINK("http://www.genecards.org/cgi-bin/carddisp.pl?gene=NUFIP1","GeneCards")</f>
        <v>GeneCards</v>
      </c>
      <c r="D9321" s="1" t="str">
        <f>HYPERLINK("http://genome-euro.ucsc.edu/cgi-bin/hgTracks?position=205136_s_at","UCSC")</f>
        <v>UCSC</v>
      </c>
      <c r="E9321" s="1" t="str">
        <f>HYPERLINK("http://www.ncbi.nlm.nih.gov/gene/?term=NUFIP1","NCBI")</f>
        <v>NCBI</v>
      </c>
      <c r="F9321">
        <v>0.18</v>
      </c>
      <c r="G9321">
        <v>0.33</v>
      </c>
      <c r="H9321" s="1" t="str">
        <f>HYPERLINK("http://www.weizmann.ac.il/complex/compphys/software/geview/data/figures/205136_s_at.png","Figure")</f>
        <v>Figure</v>
      </c>
      <c r="I9321">
        <v>1.02</v>
      </c>
      <c r="J9321">
        <v>0.46</v>
      </c>
      <c r="K9321">
        <v>1.02</v>
      </c>
      <c r="L9321">
        <v>0.16</v>
      </c>
      <c r="M9321">
        <v>1.01</v>
      </c>
      <c r="N9321">
        <v>0.86</v>
      </c>
    </row>
    <row r="9322" spans="1:14" x14ac:dyDescent="0.25">
      <c r="A9322" t="s">
        <v>16356</v>
      </c>
      <c r="B9322" t="s">
        <v>4807</v>
      </c>
      <c r="C9322" s="1" t="str">
        <f>HYPERLINK("http://www.genecards.org/cgi-bin/carddisp.pl?gene=RBM26","GeneCards")</f>
        <v>GeneCards</v>
      </c>
      <c r="D9322" s="1" t="str">
        <f>HYPERLINK("http://genome-euro.ucsc.edu/cgi-bin/hgTracks?position=220509_at","UCSC")</f>
        <v>UCSC</v>
      </c>
      <c r="E9322" s="1" t="str">
        <f>HYPERLINK("http://www.ncbi.nlm.nih.gov/gene/?term=RBM26","NCBI")</f>
        <v>NCBI</v>
      </c>
      <c r="F9322">
        <v>0.18</v>
      </c>
      <c r="G9322">
        <v>0.33</v>
      </c>
      <c r="H9322" s="1" t="str">
        <f>HYPERLINK("http://www.weizmann.ac.il/complex/compphys/software/geview/data/figures/220509_at.png","Figure")</f>
        <v>Figure</v>
      </c>
      <c r="I9322">
        <v>1</v>
      </c>
      <c r="J9322">
        <v>1</v>
      </c>
      <c r="K9322">
        <v>0.95099999999999996</v>
      </c>
      <c r="L9322">
        <v>0.24</v>
      </c>
      <c r="M9322">
        <v>0.95099999999999996</v>
      </c>
      <c r="N9322">
        <v>0.28000000000000003</v>
      </c>
    </row>
    <row r="9323" spans="1:14" x14ac:dyDescent="0.25">
      <c r="A9323" t="s">
        <v>16357</v>
      </c>
      <c r="B9323" t="s">
        <v>5381</v>
      </c>
      <c r="C9323" s="1" t="str">
        <f>HYPERLINK("http://www.genecards.org/cgi-bin/carddisp.pl?gene=CAST","GeneCards")</f>
        <v>GeneCards</v>
      </c>
      <c r="D9323" s="1" t="str">
        <f>HYPERLINK("http://genome-euro.ucsc.edu/cgi-bin/hgTracks?position=208908_s_at","UCSC")</f>
        <v>UCSC</v>
      </c>
      <c r="E9323" s="1" t="str">
        <f>HYPERLINK("http://www.ncbi.nlm.nih.gov/gene/?term=CAST","NCBI")</f>
        <v>NCBI</v>
      </c>
      <c r="F9323">
        <v>0.18</v>
      </c>
      <c r="G9323">
        <v>0.33</v>
      </c>
      <c r="H9323" s="1" t="str">
        <f>HYPERLINK("http://www.weizmann.ac.il/complex/compphys/software/geview/data/figures/208908_s_at.png","Figure")</f>
        <v>Figure</v>
      </c>
      <c r="I9323">
        <v>0.97399999999999998</v>
      </c>
      <c r="J9323">
        <v>0.98</v>
      </c>
      <c r="K9323">
        <v>1.24</v>
      </c>
      <c r="L9323">
        <v>0.28000000000000003</v>
      </c>
      <c r="M9323">
        <v>1.27</v>
      </c>
      <c r="N9323">
        <v>0.24</v>
      </c>
    </row>
    <row r="9324" spans="1:14" x14ac:dyDescent="0.25">
      <c r="A9324" t="s">
        <v>16358</v>
      </c>
      <c r="B9324" t="s">
        <v>16359</v>
      </c>
      <c r="C9324" s="1" t="str">
        <f>HYPERLINK("http://www.genecards.org/cgi-bin/carddisp.pl?gene=SEC24C","GeneCards")</f>
        <v>GeneCards</v>
      </c>
      <c r="D9324" s="1" t="str">
        <f>HYPERLINK("http://genome-euro.ucsc.edu/cgi-bin/hgTracks?position=202361_at","UCSC")</f>
        <v>UCSC</v>
      </c>
      <c r="E9324" s="1" t="str">
        <f>HYPERLINK("http://www.ncbi.nlm.nih.gov/gene/?term=SEC24C","NCBI")</f>
        <v>NCBI</v>
      </c>
      <c r="F9324">
        <v>0.18</v>
      </c>
      <c r="G9324">
        <v>0.33</v>
      </c>
      <c r="H9324" s="1" t="str">
        <f>HYPERLINK("http://www.weizmann.ac.il/complex/compphys/software/geview/data/figures/202361_at.png","Figure")</f>
        <v>Figure</v>
      </c>
      <c r="I9324">
        <v>0.92</v>
      </c>
      <c r="J9324">
        <v>0.87</v>
      </c>
      <c r="K9324">
        <v>0.75900000000000001</v>
      </c>
      <c r="L9324">
        <v>0.18</v>
      </c>
      <c r="M9324">
        <v>0.82499999999999996</v>
      </c>
      <c r="N9324">
        <v>0.45</v>
      </c>
    </row>
    <row r="9325" spans="1:14" x14ac:dyDescent="0.25">
      <c r="A9325" t="s">
        <v>16360</v>
      </c>
      <c r="B9325" t="s">
        <v>16361</v>
      </c>
      <c r="C9325" s="1" t="str">
        <f>HYPERLINK("http://www.genecards.org/cgi-bin/carddisp.pl?gene=IMPAD1","GeneCards")</f>
        <v>GeneCards</v>
      </c>
      <c r="D9325" s="1" t="str">
        <f>HYPERLINK("http://genome-euro.ucsc.edu/cgi-bin/hgTracks?position=218516_s_at","UCSC")</f>
        <v>UCSC</v>
      </c>
      <c r="E9325" s="1" t="str">
        <f>HYPERLINK("http://www.ncbi.nlm.nih.gov/gene/?term=IMPAD1","NCBI")</f>
        <v>NCBI</v>
      </c>
      <c r="F9325">
        <v>0.18</v>
      </c>
      <c r="G9325">
        <v>0.33</v>
      </c>
      <c r="H9325" s="1" t="str">
        <f>HYPERLINK("http://www.weizmann.ac.il/complex/compphys/software/geview/data/figures/218516_s_at.png","Figure")</f>
        <v>Figure</v>
      </c>
      <c r="I9325">
        <v>1.06</v>
      </c>
      <c r="J9325">
        <v>0.93</v>
      </c>
      <c r="K9325">
        <v>0.82099999999999995</v>
      </c>
      <c r="L9325">
        <v>0.33</v>
      </c>
      <c r="M9325">
        <v>0.77600000000000002</v>
      </c>
      <c r="N9325">
        <v>0.21</v>
      </c>
    </row>
    <row r="9326" spans="1:14" x14ac:dyDescent="0.25">
      <c r="A9326" t="s">
        <v>16362</v>
      </c>
      <c r="B9326" t="s">
        <v>4438</v>
      </c>
      <c r="C9326" s="1" t="str">
        <f>HYPERLINK("http://www.genecards.org/cgi-bin/carddisp.pl?gene=GALNT10","GeneCards")</f>
        <v>GeneCards</v>
      </c>
      <c r="D9326" s="1" t="str">
        <f>HYPERLINK("http://genome-euro.ucsc.edu/cgi-bin/hgTracks?position=207357_s_at","UCSC")</f>
        <v>UCSC</v>
      </c>
      <c r="E9326" s="1" t="str">
        <f>HYPERLINK("http://www.ncbi.nlm.nih.gov/gene/?term=GALNT10","NCBI")</f>
        <v>NCBI</v>
      </c>
      <c r="F9326">
        <v>0.18</v>
      </c>
      <c r="G9326">
        <v>0.33</v>
      </c>
      <c r="H9326" s="1" t="str">
        <f>HYPERLINK("http://www.weizmann.ac.il/complex/compphys/software/geview/data/figures/207357_s_at.png","Figure")</f>
        <v>Figure</v>
      </c>
      <c r="I9326">
        <v>1.18</v>
      </c>
      <c r="J9326">
        <v>0.17</v>
      </c>
      <c r="K9326">
        <v>1.1000000000000001</v>
      </c>
      <c r="L9326">
        <v>0.41</v>
      </c>
      <c r="M9326">
        <v>0.93700000000000006</v>
      </c>
      <c r="N9326">
        <v>0.68</v>
      </c>
    </row>
    <row r="9327" spans="1:14" x14ac:dyDescent="0.25">
      <c r="A9327" t="s">
        <v>16363</v>
      </c>
      <c r="B9327" t="s">
        <v>16364</v>
      </c>
      <c r="C9327" s="1" t="str">
        <f>HYPERLINK("http://www.genecards.org/cgi-bin/carddisp.pl?gene=TBC1D8B","GeneCards")</f>
        <v>GeneCards</v>
      </c>
      <c r="D9327" s="1" t="str">
        <f>HYPERLINK("http://genome-euro.ucsc.edu/cgi-bin/hgTracks?position=219771_at","UCSC")</f>
        <v>UCSC</v>
      </c>
      <c r="E9327" s="1" t="str">
        <f>HYPERLINK("http://www.ncbi.nlm.nih.gov/gene/?term=TBC1D8B","NCBI")</f>
        <v>NCBI</v>
      </c>
      <c r="F9327">
        <v>0.18</v>
      </c>
      <c r="G9327">
        <v>0.33</v>
      </c>
      <c r="H9327" s="1" t="str">
        <f>HYPERLINK("http://www.weizmann.ac.il/complex/compphys/software/geview/data/figures/219771_at.png","Figure")</f>
        <v>Figure</v>
      </c>
      <c r="I9327">
        <v>0.67</v>
      </c>
      <c r="J9327">
        <v>0.24</v>
      </c>
      <c r="K9327">
        <v>1</v>
      </c>
      <c r="L9327">
        <v>1</v>
      </c>
      <c r="M9327">
        <v>1.5</v>
      </c>
      <c r="N9327">
        <v>0.2</v>
      </c>
    </row>
    <row r="9328" spans="1:14" x14ac:dyDescent="0.25">
      <c r="A9328" t="s">
        <v>16365</v>
      </c>
      <c r="B9328" t="s">
        <v>16366</v>
      </c>
      <c r="C9328" s="1" t="str">
        <f>HYPERLINK("http://www.genecards.org/cgi-bin/carddisp.pl?gene=CSNK1G3","GeneCards")</f>
        <v>GeneCards</v>
      </c>
      <c r="D9328" s="1" t="str">
        <f>HYPERLINK("http://genome-euro.ucsc.edu/cgi-bin/hgTracks?position=220768_s_at","UCSC")</f>
        <v>UCSC</v>
      </c>
      <c r="E9328" s="1" t="str">
        <f>HYPERLINK("http://www.ncbi.nlm.nih.gov/gene/?term=CSNK1G3","NCBI")</f>
        <v>NCBI</v>
      </c>
      <c r="F9328">
        <v>0.18</v>
      </c>
      <c r="G9328">
        <v>0.33</v>
      </c>
      <c r="H9328" s="1" t="str">
        <f>HYPERLINK("http://www.weizmann.ac.il/complex/compphys/software/geview/data/figures/220768_s_at.png","Figure")</f>
        <v>Figure</v>
      </c>
      <c r="I9328">
        <v>0.73599999999999999</v>
      </c>
      <c r="J9328">
        <v>0.42</v>
      </c>
      <c r="K9328">
        <v>0.67</v>
      </c>
      <c r="L9328">
        <v>0.16</v>
      </c>
      <c r="M9328">
        <v>0.91100000000000003</v>
      </c>
      <c r="N9328">
        <v>0.91</v>
      </c>
    </row>
    <row r="9329" spans="1:14" x14ac:dyDescent="0.25">
      <c r="A9329" t="s">
        <v>16367</v>
      </c>
      <c r="B9329" t="s">
        <v>15838</v>
      </c>
      <c r="C9329" s="1" t="str">
        <f>HYPERLINK("http://www.genecards.org/cgi-bin/carddisp.pl?gene=MLX","GeneCards")</f>
        <v>GeneCards</v>
      </c>
      <c r="D9329" s="1" t="str">
        <f>HYPERLINK("http://genome-euro.ucsc.edu/cgi-bin/hgTracks?position=217910_x_at","UCSC")</f>
        <v>UCSC</v>
      </c>
      <c r="E9329" s="1" t="str">
        <f>HYPERLINK("http://www.ncbi.nlm.nih.gov/gene/?term=MLX","NCBI")</f>
        <v>NCBI</v>
      </c>
      <c r="F9329">
        <v>0.18</v>
      </c>
      <c r="G9329">
        <v>0.33</v>
      </c>
      <c r="H9329" s="1" t="str">
        <f>HYPERLINK("http://www.weizmann.ac.il/complex/compphys/software/geview/data/figures/217910_x_at.png","Figure")</f>
        <v>Figure</v>
      </c>
      <c r="I9329">
        <v>1.1299999999999999</v>
      </c>
      <c r="J9329">
        <v>0.4</v>
      </c>
      <c r="K9329">
        <v>1.17</v>
      </c>
      <c r="L9329">
        <v>0.17</v>
      </c>
      <c r="M9329">
        <v>1.03</v>
      </c>
      <c r="N9329">
        <v>0.92</v>
      </c>
    </row>
    <row r="9330" spans="1:14" x14ac:dyDescent="0.25">
      <c r="A9330" t="s">
        <v>16368</v>
      </c>
      <c r="B9330" t="s">
        <v>16369</v>
      </c>
      <c r="C9330" s="1" t="str">
        <f>HYPERLINK("http://www.genecards.org/cgi-bin/carddisp.pl?gene=CDC34","GeneCards")</f>
        <v>GeneCards</v>
      </c>
      <c r="D9330" s="1" t="str">
        <f>HYPERLINK("http://genome-euro.ucsc.edu/cgi-bin/hgTracks?position=212540_at","UCSC")</f>
        <v>UCSC</v>
      </c>
      <c r="E9330" s="1" t="str">
        <f>HYPERLINK("http://www.ncbi.nlm.nih.gov/gene/?term=CDC34","NCBI")</f>
        <v>NCBI</v>
      </c>
      <c r="F9330">
        <v>0.18</v>
      </c>
      <c r="G9330">
        <v>0.33</v>
      </c>
      <c r="H9330" s="1" t="str">
        <f>HYPERLINK("http://www.weizmann.ac.il/complex/compphys/software/geview/data/figures/212540_at.png","Figure")</f>
        <v>Figure</v>
      </c>
      <c r="I9330">
        <v>0.80500000000000005</v>
      </c>
      <c r="J9330">
        <v>0.17</v>
      </c>
      <c r="K9330">
        <v>0.874</v>
      </c>
      <c r="L9330">
        <v>0.38</v>
      </c>
      <c r="M9330">
        <v>1.0900000000000001</v>
      </c>
      <c r="N9330">
        <v>0.72</v>
      </c>
    </row>
    <row r="9331" spans="1:14" x14ac:dyDescent="0.25">
      <c r="A9331" t="s">
        <v>16370</v>
      </c>
      <c r="B9331" t="s">
        <v>16371</v>
      </c>
      <c r="C9331" s="1" t="str">
        <f>HYPERLINK("http://www.genecards.org/cgi-bin/carddisp.pl?gene=CHI3L2","GeneCards")</f>
        <v>GeneCards</v>
      </c>
      <c r="D9331" s="1" t="str">
        <f>HYPERLINK("http://genome-euro.ucsc.edu/cgi-bin/hgTracks?position=213060_s_at","UCSC")</f>
        <v>UCSC</v>
      </c>
      <c r="E9331" s="1" t="str">
        <f>HYPERLINK("http://www.ncbi.nlm.nih.gov/gene/?term=CHI3L2","NCBI")</f>
        <v>NCBI</v>
      </c>
      <c r="F9331">
        <v>0.18</v>
      </c>
      <c r="G9331">
        <v>0.33</v>
      </c>
      <c r="H9331" s="1" t="str">
        <f>HYPERLINK("http://www.weizmann.ac.il/complex/compphys/software/geview/data/figures/213060_s_at.png","Figure")</f>
        <v>Figure</v>
      </c>
      <c r="I9331">
        <v>1.1299999999999999</v>
      </c>
      <c r="J9331">
        <v>0.33</v>
      </c>
      <c r="K9331">
        <v>1.1499999999999999</v>
      </c>
      <c r="L9331">
        <v>0.18</v>
      </c>
      <c r="M9331">
        <v>1.02</v>
      </c>
      <c r="N9331">
        <v>0.98</v>
      </c>
    </row>
    <row r="9332" spans="1:14" x14ac:dyDescent="0.25">
      <c r="A9332" t="s">
        <v>16372</v>
      </c>
      <c r="B9332" t="s">
        <v>16373</v>
      </c>
      <c r="C9332" s="1" t="str">
        <f>HYPERLINK("http://www.genecards.org/cgi-bin/carddisp.pl?gene=TMEM90B","GeneCards")</f>
        <v>GeneCards</v>
      </c>
      <c r="D9332" s="1" t="str">
        <f>HYPERLINK("http://genome-euro.ucsc.edu/cgi-bin/hgTracks?position=219310_at","UCSC")</f>
        <v>UCSC</v>
      </c>
      <c r="E9332" s="1" t="str">
        <f>HYPERLINK("http://www.ncbi.nlm.nih.gov/gene/?term=TMEM90B","NCBI")</f>
        <v>NCBI</v>
      </c>
      <c r="F9332">
        <v>0.18</v>
      </c>
      <c r="G9332">
        <v>0.33</v>
      </c>
      <c r="H9332" s="1" t="str">
        <f>HYPERLINK("http://www.weizmann.ac.il/complex/compphys/software/geview/data/figures/219310_at.png","Figure")</f>
        <v>Figure</v>
      </c>
      <c r="I9332">
        <v>1.02</v>
      </c>
      <c r="J9332">
        <v>0.89</v>
      </c>
      <c r="K9332">
        <v>0.93700000000000006</v>
      </c>
      <c r="L9332">
        <v>0.36</v>
      </c>
      <c r="M9332">
        <v>0.91400000000000003</v>
      </c>
      <c r="N9332">
        <v>0.2</v>
      </c>
    </row>
    <row r="9333" spans="1:14" x14ac:dyDescent="0.25">
      <c r="A9333" t="s">
        <v>16374</v>
      </c>
      <c r="B9333" t="s">
        <v>11852</v>
      </c>
      <c r="C9333" s="1" t="str">
        <f>HYPERLINK("http://www.genecards.org/cgi-bin/carddisp.pl?gene=HNF4A","GeneCards")</f>
        <v>GeneCards</v>
      </c>
      <c r="D9333" s="1" t="str">
        <f>HYPERLINK("http://genome-euro.ucsc.edu/cgi-bin/hgTracks?position=208429_x_at","UCSC")</f>
        <v>UCSC</v>
      </c>
      <c r="E9333" s="1" t="str">
        <f>HYPERLINK("http://www.ncbi.nlm.nih.gov/gene/?term=HNF4A","NCBI")</f>
        <v>NCBI</v>
      </c>
      <c r="F9333">
        <v>0.18</v>
      </c>
      <c r="G9333">
        <v>0.33</v>
      </c>
      <c r="H9333" s="1" t="str">
        <f>HYPERLINK("http://www.weizmann.ac.il/complex/compphys/software/geview/data/figures/208429_x_at.png","Figure")</f>
        <v>Figure</v>
      </c>
      <c r="I9333">
        <v>0.89600000000000002</v>
      </c>
      <c r="J9333">
        <v>0.33</v>
      </c>
      <c r="K9333">
        <v>1.02</v>
      </c>
      <c r="L9333">
        <v>0.93</v>
      </c>
      <c r="M9333">
        <v>1.1399999999999999</v>
      </c>
      <c r="N9333">
        <v>0.17</v>
      </c>
    </row>
    <row r="9334" spans="1:14" x14ac:dyDescent="0.25">
      <c r="A9334" t="s">
        <v>16375</v>
      </c>
      <c r="B9334" t="s">
        <v>16376</v>
      </c>
      <c r="C9334" s="1" t="str">
        <f>HYPERLINK("http://www.genecards.org/cgi-bin/carddisp.pl?gene=EIF2B1","GeneCards")</f>
        <v>GeneCards</v>
      </c>
      <c r="D9334" s="1" t="str">
        <f>HYPERLINK("http://genome-euro.ucsc.edu/cgi-bin/hgTracks?position=201632_at","UCSC")</f>
        <v>UCSC</v>
      </c>
      <c r="E9334" s="1" t="str">
        <f>HYPERLINK("http://www.ncbi.nlm.nih.gov/gene/?term=EIF2B1","NCBI")</f>
        <v>NCBI</v>
      </c>
      <c r="F9334">
        <v>0.18</v>
      </c>
      <c r="G9334">
        <v>0.33</v>
      </c>
      <c r="H9334" s="1" t="str">
        <f>HYPERLINK("http://www.weizmann.ac.il/complex/compphys/software/geview/data/figures/201632_at.png","Figure")</f>
        <v>Figure</v>
      </c>
      <c r="I9334">
        <v>1.1200000000000001</v>
      </c>
      <c r="J9334">
        <v>0.6</v>
      </c>
      <c r="K9334">
        <v>1.22</v>
      </c>
      <c r="L9334">
        <v>0.16</v>
      </c>
      <c r="M9334">
        <v>1.0900000000000001</v>
      </c>
      <c r="N9334">
        <v>0.71</v>
      </c>
    </row>
    <row r="9335" spans="1:14" x14ac:dyDescent="0.25">
      <c r="A9335" t="s">
        <v>16377</v>
      </c>
      <c r="B9335" t="s">
        <v>5282</v>
      </c>
      <c r="C9335" s="1" t="str">
        <f>HYPERLINK("http://www.genecards.org/cgi-bin/carddisp.pl?gene=TMEM161A","GeneCards")</f>
        <v>GeneCards</v>
      </c>
      <c r="D9335" s="1" t="str">
        <f>HYPERLINK("http://genome-euro.ucsc.edu/cgi-bin/hgTracks?position=43977_at","UCSC")</f>
        <v>UCSC</v>
      </c>
      <c r="E9335" s="1" t="str">
        <f>HYPERLINK("http://www.ncbi.nlm.nih.gov/gene/?term=TMEM161A","NCBI")</f>
        <v>NCBI</v>
      </c>
      <c r="F9335">
        <v>0.18</v>
      </c>
      <c r="G9335">
        <v>0.33</v>
      </c>
      <c r="H9335" s="1" t="str">
        <f>HYPERLINK("http://www.weizmann.ac.il/complex/compphys/software/geview/data/figures/43977_at.png","Figure")</f>
        <v>Figure</v>
      </c>
      <c r="I9335">
        <v>0.98599999999999999</v>
      </c>
      <c r="J9335">
        <v>0.99</v>
      </c>
      <c r="K9335">
        <v>1.1499999999999999</v>
      </c>
      <c r="L9335">
        <v>0.27</v>
      </c>
      <c r="M9335">
        <v>1.17</v>
      </c>
      <c r="N9335">
        <v>0.25</v>
      </c>
    </row>
    <row r="9336" spans="1:14" x14ac:dyDescent="0.25">
      <c r="A9336" t="s">
        <v>16378</v>
      </c>
      <c r="B9336" t="s">
        <v>16379</v>
      </c>
      <c r="C9336" s="1" t="str">
        <f>HYPERLINK("http://www.genecards.org/cgi-bin/carddisp.pl?gene=CLMN","GeneCards")</f>
        <v>GeneCards</v>
      </c>
      <c r="D9336" s="1" t="str">
        <f>HYPERLINK("http://genome-euro.ucsc.edu/cgi-bin/hgTracks?position=213839_at","UCSC")</f>
        <v>UCSC</v>
      </c>
      <c r="E9336" s="1" t="str">
        <f>HYPERLINK("http://www.ncbi.nlm.nih.gov/gene/?term=CLMN","NCBI")</f>
        <v>NCBI</v>
      </c>
      <c r="F9336">
        <v>0.18</v>
      </c>
      <c r="G9336">
        <v>0.33</v>
      </c>
      <c r="H9336" s="1" t="str">
        <f>HYPERLINK("http://www.weizmann.ac.il/complex/compphys/software/geview/data/figures/213839_at.png","Figure")</f>
        <v>Figure</v>
      </c>
      <c r="I9336">
        <v>1.03</v>
      </c>
      <c r="J9336">
        <v>1</v>
      </c>
      <c r="K9336">
        <v>0.58699999999999997</v>
      </c>
      <c r="L9336">
        <v>0.26</v>
      </c>
      <c r="M9336">
        <v>0.56999999999999995</v>
      </c>
      <c r="N9336">
        <v>0.26</v>
      </c>
    </row>
    <row r="9337" spans="1:14" x14ac:dyDescent="0.25">
      <c r="A9337" t="s">
        <v>16380</v>
      </c>
      <c r="B9337" t="s">
        <v>16381</v>
      </c>
      <c r="C9337" s="1" t="str">
        <f>HYPERLINK("http://www.genecards.org/cgi-bin/carddisp.pl?gene=MAP3K1","GeneCards")</f>
        <v>GeneCards</v>
      </c>
      <c r="D9337" s="1" t="str">
        <f>HYPERLINK("http://genome-euro.ucsc.edu/cgi-bin/hgTracks?position=214786_at","UCSC")</f>
        <v>UCSC</v>
      </c>
      <c r="E9337" s="1" t="str">
        <f>HYPERLINK("http://www.ncbi.nlm.nih.gov/gene/?term=MAP3K1","NCBI")</f>
        <v>NCBI</v>
      </c>
      <c r="F9337">
        <v>0.18</v>
      </c>
      <c r="G9337">
        <v>0.33</v>
      </c>
      <c r="H9337" s="1" t="str">
        <f>HYPERLINK("http://www.weizmann.ac.il/complex/compphys/software/geview/data/figures/214786_at.png","Figure")</f>
        <v>Figure</v>
      </c>
      <c r="I9337">
        <v>1.17</v>
      </c>
      <c r="J9337">
        <v>0.24</v>
      </c>
      <c r="K9337">
        <v>1.1499999999999999</v>
      </c>
      <c r="L9337">
        <v>0.23</v>
      </c>
      <c r="M9337">
        <v>0.98</v>
      </c>
      <c r="N9337">
        <v>0.97</v>
      </c>
    </row>
    <row r="9338" spans="1:14" x14ac:dyDescent="0.25">
      <c r="A9338" t="s">
        <v>16382</v>
      </c>
      <c r="B9338" t="s">
        <v>15877</v>
      </c>
      <c r="C9338" s="1" t="str">
        <f>HYPERLINK("http://www.genecards.org/cgi-bin/carddisp.pl?gene=CSF2","GeneCards")</f>
        <v>GeneCards</v>
      </c>
      <c r="D9338" s="1" t="str">
        <f>HYPERLINK("http://genome-euro.ucsc.edu/cgi-bin/hgTracks?position=210228_at","UCSC")</f>
        <v>UCSC</v>
      </c>
      <c r="E9338" s="1" t="str">
        <f>HYPERLINK("http://www.ncbi.nlm.nih.gov/gene/?term=CSF2","NCBI")</f>
        <v>NCBI</v>
      </c>
      <c r="F9338">
        <v>0.18</v>
      </c>
      <c r="G9338">
        <v>0.33</v>
      </c>
      <c r="H9338" s="1" t="str">
        <f>HYPERLINK("http://www.weizmann.ac.il/complex/compphys/software/geview/data/figures/210228_at.png","Figure")</f>
        <v>Figure</v>
      </c>
      <c r="I9338">
        <v>1.1599999999999999</v>
      </c>
      <c r="J9338">
        <v>0.16</v>
      </c>
      <c r="K9338">
        <v>1.05</v>
      </c>
      <c r="L9338">
        <v>0.76</v>
      </c>
      <c r="M9338">
        <v>0.90300000000000002</v>
      </c>
      <c r="N9338">
        <v>0.35</v>
      </c>
    </row>
    <row r="9339" spans="1:14" x14ac:dyDescent="0.25">
      <c r="A9339" t="s">
        <v>16383</v>
      </c>
      <c r="B9339" t="s">
        <v>16384</v>
      </c>
      <c r="C9339" s="1" t="str">
        <f>HYPERLINK("http://www.genecards.org/cgi-bin/carddisp.pl?gene=EIF2S3","GeneCards")</f>
        <v>GeneCards</v>
      </c>
      <c r="D9339" s="1" t="str">
        <f>HYPERLINK("http://genome-euro.ucsc.edu/cgi-bin/hgTracks?position=205321_at","UCSC")</f>
        <v>UCSC</v>
      </c>
      <c r="E9339" s="1" t="str">
        <f>HYPERLINK("http://www.ncbi.nlm.nih.gov/gene/?term=EIF2S3","NCBI")</f>
        <v>NCBI</v>
      </c>
      <c r="F9339">
        <v>0.18</v>
      </c>
      <c r="G9339">
        <v>0.33</v>
      </c>
      <c r="H9339" s="1" t="str">
        <f>HYPERLINK("http://www.weizmann.ac.il/complex/compphys/software/geview/data/figures/205321_at.png","Figure")</f>
        <v>Figure</v>
      </c>
      <c r="I9339">
        <v>0.67400000000000004</v>
      </c>
      <c r="J9339">
        <v>0.2</v>
      </c>
      <c r="K9339">
        <v>0.95</v>
      </c>
      <c r="L9339">
        <v>0.96</v>
      </c>
      <c r="M9339">
        <v>1.41</v>
      </c>
      <c r="N9339">
        <v>0.24</v>
      </c>
    </row>
    <row r="9340" spans="1:14" x14ac:dyDescent="0.25">
      <c r="A9340" t="s">
        <v>16385</v>
      </c>
      <c r="B9340" t="s">
        <v>2297</v>
      </c>
      <c r="C9340" s="1" t="str">
        <f>HYPERLINK("http://www.genecards.org/cgi-bin/carddisp.pl?gene=NCBP2","GeneCards")</f>
        <v>GeneCards</v>
      </c>
      <c r="D9340" s="1" t="str">
        <f>HYPERLINK("http://genome-euro.ucsc.edu/cgi-bin/hgTracks?position=201517_at","UCSC")</f>
        <v>UCSC</v>
      </c>
      <c r="E9340" s="1" t="str">
        <f>HYPERLINK("http://www.ncbi.nlm.nih.gov/gene/?term=NCBP2","NCBI")</f>
        <v>NCBI</v>
      </c>
      <c r="F9340">
        <v>0.18</v>
      </c>
      <c r="G9340">
        <v>0.33</v>
      </c>
      <c r="H9340" s="1" t="str">
        <f>HYPERLINK("http://www.weizmann.ac.il/complex/compphys/software/geview/data/figures/201517_at.png","Figure")</f>
        <v>Figure</v>
      </c>
      <c r="I9340">
        <v>1.4</v>
      </c>
      <c r="J9340">
        <v>0.34</v>
      </c>
      <c r="K9340">
        <v>1.47</v>
      </c>
      <c r="L9340">
        <v>0.18</v>
      </c>
      <c r="M9340">
        <v>1.05</v>
      </c>
      <c r="N9340">
        <v>0.98</v>
      </c>
    </row>
    <row r="9341" spans="1:14" x14ac:dyDescent="0.25">
      <c r="A9341" t="s">
        <v>16386</v>
      </c>
      <c r="B9341" t="s">
        <v>12948</v>
      </c>
      <c r="C9341" s="1" t="str">
        <f>HYPERLINK("http://www.genecards.org/cgi-bin/carddisp.pl?gene=PHLPP2","GeneCards")</f>
        <v>GeneCards</v>
      </c>
      <c r="D9341" s="1" t="str">
        <f>HYPERLINK("http://genome-euro.ucsc.edu/cgi-bin/hgTracks?position=213407_at","UCSC")</f>
        <v>UCSC</v>
      </c>
      <c r="E9341" s="1" t="str">
        <f>HYPERLINK("http://www.ncbi.nlm.nih.gov/gene/?term=PHLPP2","NCBI")</f>
        <v>NCBI</v>
      </c>
      <c r="F9341">
        <v>0.18</v>
      </c>
      <c r="G9341">
        <v>0.33</v>
      </c>
      <c r="H9341" s="1" t="str">
        <f>HYPERLINK("http://www.weizmann.ac.il/complex/compphys/software/geview/data/figures/213407_at.png","Figure")</f>
        <v>Figure</v>
      </c>
      <c r="I9341">
        <v>0.94</v>
      </c>
      <c r="J9341">
        <v>0.84</v>
      </c>
      <c r="K9341">
        <v>0.83</v>
      </c>
      <c r="L9341">
        <v>0.17</v>
      </c>
      <c r="M9341">
        <v>0.88300000000000001</v>
      </c>
      <c r="N9341">
        <v>0.47</v>
      </c>
    </row>
    <row r="9342" spans="1:14" x14ac:dyDescent="0.25">
      <c r="A9342" t="s">
        <v>16387</v>
      </c>
      <c r="B9342" t="s">
        <v>15476</v>
      </c>
      <c r="C9342" s="1" t="str">
        <f>HYPERLINK("http://www.genecards.org/cgi-bin/carddisp.pl?gene=ZNF518A","GeneCards")</f>
        <v>GeneCards</v>
      </c>
      <c r="D9342" s="1" t="str">
        <f>HYPERLINK("http://genome-euro.ucsc.edu/cgi-bin/hgTracks?position=215644_at","UCSC")</f>
        <v>UCSC</v>
      </c>
      <c r="E9342" s="1" t="str">
        <f>HYPERLINK("http://www.ncbi.nlm.nih.gov/gene/?term=ZNF518A","NCBI")</f>
        <v>NCBI</v>
      </c>
      <c r="F9342">
        <v>0.18</v>
      </c>
      <c r="G9342">
        <v>0.33</v>
      </c>
      <c r="H9342" s="1" t="str">
        <f>HYPERLINK("http://www.weizmann.ac.il/complex/compphys/software/geview/data/figures/215644_at.png","Figure")</f>
        <v>Figure</v>
      </c>
      <c r="I9342">
        <v>1.21</v>
      </c>
      <c r="J9342">
        <v>0.18</v>
      </c>
      <c r="K9342">
        <v>1.04</v>
      </c>
      <c r="L9342">
        <v>0.88</v>
      </c>
      <c r="M9342">
        <v>0.86199999999999999</v>
      </c>
      <c r="N9342">
        <v>0.28000000000000003</v>
      </c>
    </row>
    <row r="9343" spans="1:14" x14ac:dyDescent="0.25">
      <c r="A9343" t="s">
        <v>16388</v>
      </c>
      <c r="B9343" t="s">
        <v>16389</v>
      </c>
      <c r="C9343" s="1" t="str">
        <f>HYPERLINK("http://www.genecards.org/cgi-bin/carddisp.pl?gene=TBK1","GeneCards")</f>
        <v>GeneCards</v>
      </c>
      <c r="D9343" s="1" t="str">
        <f>HYPERLINK("http://genome-euro.ucsc.edu/cgi-bin/hgTracks?position=218520_at","UCSC")</f>
        <v>UCSC</v>
      </c>
      <c r="E9343" s="1" t="str">
        <f>HYPERLINK("http://www.ncbi.nlm.nih.gov/gene/?term=TBK1","NCBI")</f>
        <v>NCBI</v>
      </c>
      <c r="F9343">
        <v>0.18</v>
      </c>
      <c r="G9343">
        <v>0.33</v>
      </c>
      <c r="H9343" s="1" t="str">
        <f>HYPERLINK("http://www.weizmann.ac.il/complex/compphys/software/geview/data/figures/218520_at.png","Figure")</f>
        <v>Figure</v>
      </c>
      <c r="I9343">
        <v>1.34</v>
      </c>
      <c r="J9343">
        <v>0.21</v>
      </c>
      <c r="K9343">
        <v>1.02</v>
      </c>
      <c r="L9343">
        <v>0.99</v>
      </c>
      <c r="M9343">
        <v>0.76100000000000001</v>
      </c>
      <c r="N9343">
        <v>0.22</v>
      </c>
    </row>
    <row r="9344" spans="1:14" x14ac:dyDescent="0.25">
      <c r="A9344" t="s">
        <v>16390</v>
      </c>
      <c r="B9344" t="s">
        <v>12518</v>
      </c>
      <c r="C9344" s="1" t="str">
        <f>HYPERLINK("http://www.genecards.org/cgi-bin/carddisp.pl?gene=TGFB1","GeneCards")</f>
        <v>GeneCards</v>
      </c>
      <c r="D9344" s="1" t="str">
        <f>HYPERLINK("http://genome-euro.ucsc.edu/cgi-bin/hgTracks?position=203085_s_at","UCSC")</f>
        <v>UCSC</v>
      </c>
      <c r="E9344" s="1" t="str">
        <f>HYPERLINK("http://www.ncbi.nlm.nih.gov/gene/?term=TGFB1","NCBI")</f>
        <v>NCBI</v>
      </c>
      <c r="F9344">
        <v>0.18</v>
      </c>
      <c r="G9344">
        <v>0.33</v>
      </c>
      <c r="H9344" s="1" t="str">
        <f>HYPERLINK("http://www.weizmann.ac.il/complex/compphys/software/geview/data/figures/203085_s_at.png","Figure")</f>
        <v>Figure</v>
      </c>
      <c r="I9344">
        <v>0.74</v>
      </c>
      <c r="J9344">
        <v>0.21</v>
      </c>
      <c r="K9344">
        <v>0.97599999999999998</v>
      </c>
      <c r="L9344">
        <v>0.98</v>
      </c>
      <c r="M9344">
        <v>1.32</v>
      </c>
      <c r="N9344">
        <v>0.22</v>
      </c>
    </row>
    <row r="9345" spans="1:14" x14ac:dyDescent="0.25">
      <c r="A9345" t="s">
        <v>16391</v>
      </c>
      <c r="B9345" t="s">
        <v>5167</v>
      </c>
      <c r="C9345" s="1" t="str">
        <f>HYPERLINK("http://www.genecards.org/cgi-bin/carddisp.pl?gene=MTF2","GeneCards")</f>
        <v>GeneCards</v>
      </c>
      <c r="D9345" s="1" t="str">
        <f>HYPERLINK("http://genome-euro.ucsc.edu/cgi-bin/hgTracks?position=203345_s_at","UCSC")</f>
        <v>UCSC</v>
      </c>
      <c r="E9345" s="1" t="str">
        <f>HYPERLINK("http://www.ncbi.nlm.nih.gov/gene/?term=MTF2","NCBI")</f>
        <v>NCBI</v>
      </c>
      <c r="F9345">
        <v>0.18</v>
      </c>
      <c r="G9345">
        <v>0.33</v>
      </c>
      <c r="H9345" s="1" t="str">
        <f>HYPERLINK("http://www.weizmann.ac.il/complex/compphys/software/geview/data/figures/203345_s_at.png","Figure")</f>
        <v>Figure</v>
      </c>
      <c r="I9345">
        <v>1.04</v>
      </c>
      <c r="J9345">
        <v>0.98</v>
      </c>
      <c r="K9345">
        <v>0.78300000000000003</v>
      </c>
      <c r="L9345">
        <v>0.28000000000000003</v>
      </c>
      <c r="M9345">
        <v>0.75600000000000001</v>
      </c>
      <c r="N9345">
        <v>0.24</v>
      </c>
    </row>
    <row r="9346" spans="1:14" x14ac:dyDescent="0.25">
      <c r="A9346" t="s">
        <v>16392</v>
      </c>
      <c r="B9346" t="s">
        <v>16393</v>
      </c>
      <c r="C9346" s="1" t="str">
        <f>HYPERLINK("http://www.genecards.org/cgi-bin/carddisp.pl?gene=ANKRD27","GeneCards")</f>
        <v>GeneCards</v>
      </c>
      <c r="D9346" s="1" t="str">
        <f>HYPERLINK("http://genome-euro.ucsc.edu/cgi-bin/hgTracks?position=221522_at","UCSC")</f>
        <v>UCSC</v>
      </c>
      <c r="E9346" s="1" t="str">
        <f>HYPERLINK("http://www.ncbi.nlm.nih.gov/gene/?term=ANKRD27","NCBI")</f>
        <v>NCBI</v>
      </c>
      <c r="F9346">
        <v>0.18</v>
      </c>
      <c r="G9346">
        <v>0.33</v>
      </c>
      <c r="H9346" s="1" t="str">
        <f>HYPERLINK("http://www.weizmann.ac.il/complex/compphys/software/geview/data/figures/221522_at.png","Figure")</f>
        <v>Figure</v>
      </c>
      <c r="I9346">
        <v>0.78600000000000003</v>
      </c>
      <c r="J9346">
        <v>0.72</v>
      </c>
      <c r="K9346">
        <v>1.37</v>
      </c>
      <c r="L9346">
        <v>0.49</v>
      </c>
      <c r="M9346">
        <v>1.74</v>
      </c>
      <c r="N9346">
        <v>0.17</v>
      </c>
    </row>
    <row r="9347" spans="1:14" x14ac:dyDescent="0.25">
      <c r="A9347" t="s">
        <v>16394</v>
      </c>
      <c r="B9347" t="s">
        <v>16395</v>
      </c>
      <c r="C9347" s="1" t="str">
        <f>HYPERLINK("http://www.genecards.org/cgi-bin/carddisp.pl?gene=ZNF197","GeneCards")</f>
        <v>GeneCards</v>
      </c>
      <c r="D9347" s="1" t="str">
        <f>HYPERLINK("http://genome-euro.ucsc.edu/cgi-bin/hgTracks?position=205855_at","UCSC")</f>
        <v>UCSC</v>
      </c>
      <c r="E9347" s="1" t="str">
        <f>HYPERLINK("http://www.ncbi.nlm.nih.gov/gene/?term=ZNF197","NCBI")</f>
        <v>NCBI</v>
      </c>
      <c r="F9347">
        <v>0.18</v>
      </c>
      <c r="G9347">
        <v>0.33</v>
      </c>
      <c r="H9347" s="1" t="str">
        <f>HYPERLINK("http://www.weizmann.ac.il/complex/compphys/software/geview/data/figures/205855_at.png","Figure")</f>
        <v>Figure</v>
      </c>
      <c r="I9347">
        <v>1.04</v>
      </c>
      <c r="J9347">
        <v>0.31</v>
      </c>
      <c r="K9347">
        <v>0.99199999999999999</v>
      </c>
      <c r="L9347">
        <v>0.95</v>
      </c>
      <c r="M9347">
        <v>0.95</v>
      </c>
      <c r="N9347">
        <v>0.17</v>
      </c>
    </row>
    <row r="9348" spans="1:14" x14ac:dyDescent="0.25">
      <c r="A9348" t="s">
        <v>16396</v>
      </c>
      <c r="B9348" t="s">
        <v>16397</v>
      </c>
      <c r="C9348" s="1" t="str">
        <f>HYPERLINK("http://www.genecards.org/cgi-bin/carddisp.pl?gene=HSPE1","GeneCards")</f>
        <v>GeneCards</v>
      </c>
      <c r="D9348" s="1" t="str">
        <f>HYPERLINK("http://genome-euro.ucsc.edu/cgi-bin/hgTracks?position=205133_s_at","UCSC")</f>
        <v>UCSC</v>
      </c>
      <c r="E9348" s="1" t="str">
        <f>HYPERLINK("http://www.ncbi.nlm.nih.gov/gene/?term=HSPE1","NCBI")</f>
        <v>NCBI</v>
      </c>
      <c r="F9348">
        <v>0.18</v>
      </c>
      <c r="G9348">
        <v>0.33</v>
      </c>
      <c r="H9348" s="1" t="str">
        <f>HYPERLINK("http://www.weizmann.ac.il/complex/compphys/software/geview/data/figures/205133_s_at.png","Figure")</f>
        <v>Figure</v>
      </c>
      <c r="I9348">
        <v>1.17</v>
      </c>
      <c r="J9348">
        <v>0.72</v>
      </c>
      <c r="K9348">
        <v>1.42</v>
      </c>
      <c r="L9348">
        <v>0.16</v>
      </c>
      <c r="M9348">
        <v>1.21</v>
      </c>
      <c r="N9348">
        <v>0.59</v>
      </c>
    </row>
    <row r="9349" spans="1:14" x14ac:dyDescent="0.25">
      <c r="A9349" t="s">
        <v>16398</v>
      </c>
      <c r="B9349" t="s">
        <v>16399</v>
      </c>
      <c r="C9349" s="1" t="str">
        <f>HYPERLINK("http://www.genecards.org/cgi-bin/carddisp.pl?gene=C19orf21","GeneCards")</f>
        <v>GeneCards</v>
      </c>
      <c r="D9349" s="1" t="str">
        <f>HYPERLINK("http://genome-euro.ucsc.edu/cgi-bin/hgTracks?position=212925_at","UCSC")</f>
        <v>UCSC</v>
      </c>
      <c r="E9349" s="1" t="str">
        <f>HYPERLINK("http://www.ncbi.nlm.nih.gov/gene/?term=C19orf21","NCBI")</f>
        <v>NCBI</v>
      </c>
      <c r="F9349">
        <v>0.18</v>
      </c>
      <c r="G9349">
        <v>0.33</v>
      </c>
      <c r="H9349" s="1" t="str">
        <f>HYPERLINK("http://www.weizmann.ac.il/complex/compphys/software/geview/data/figures/212925_at.png","Figure")</f>
        <v>Figure</v>
      </c>
      <c r="I9349">
        <v>1.36</v>
      </c>
      <c r="J9349">
        <v>0.16</v>
      </c>
      <c r="K9349">
        <v>1.1399999999999999</v>
      </c>
      <c r="L9349">
        <v>0.61</v>
      </c>
      <c r="M9349">
        <v>0.83899999999999997</v>
      </c>
      <c r="N9349">
        <v>0.46</v>
      </c>
    </row>
    <row r="9350" spans="1:14" x14ac:dyDescent="0.25">
      <c r="A9350" t="s">
        <v>16400</v>
      </c>
      <c r="B9350" t="s">
        <v>7081</v>
      </c>
      <c r="C9350" s="1" t="str">
        <f>HYPERLINK("http://www.genecards.org/cgi-bin/carddisp.pl?gene=SRPK2","GeneCards")</f>
        <v>GeneCards</v>
      </c>
      <c r="D9350" s="1" t="str">
        <f>HYPERLINK("http://genome-euro.ucsc.edu/cgi-bin/hgTracks?position=203181_x_at","UCSC")</f>
        <v>UCSC</v>
      </c>
      <c r="E9350" s="1" t="str">
        <f>HYPERLINK("http://www.ncbi.nlm.nih.gov/gene/?term=SRPK2","NCBI")</f>
        <v>NCBI</v>
      </c>
      <c r="F9350">
        <v>0.18</v>
      </c>
      <c r="G9350">
        <v>0.33</v>
      </c>
      <c r="H9350" s="1" t="str">
        <f>HYPERLINK("http://www.weizmann.ac.il/complex/compphys/software/geview/data/figures/203181_x_at.png","Figure")</f>
        <v>Figure</v>
      </c>
      <c r="I9350">
        <v>1.18</v>
      </c>
      <c r="J9350">
        <v>0.36</v>
      </c>
      <c r="K9350">
        <v>0.95199999999999996</v>
      </c>
      <c r="L9350">
        <v>0.88</v>
      </c>
      <c r="M9350">
        <v>0.80700000000000005</v>
      </c>
      <c r="N9350">
        <v>0.16</v>
      </c>
    </row>
    <row r="9351" spans="1:14" x14ac:dyDescent="0.25">
      <c r="A9351" t="s">
        <v>16401</v>
      </c>
      <c r="B9351" t="s">
        <v>16402</v>
      </c>
      <c r="C9351" s="1" t="str">
        <f>HYPERLINK("http://www.genecards.org/cgi-bin/carddisp.pl?gene=WNT10B","GeneCards")</f>
        <v>GeneCards</v>
      </c>
      <c r="D9351" s="1" t="str">
        <f>HYPERLINK("http://genome-euro.ucsc.edu/cgi-bin/hgTracks?position=206213_at","UCSC")</f>
        <v>UCSC</v>
      </c>
      <c r="E9351" s="1" t="str">
        <f>HYPERLINK("http://www.ncbi.nlm.nih.gov/gene/?term=WNT10B","NCBI")</f>
        <v>NCBI</v>
      </c>
      <c r="F9351">
        <v>0.18</v>
      </c>
      <c r="G9351">
        <v>0.33</v>
      </c>
      <c r="H9351" s="1" t="str">
        <f>HYPERLINK("http://www.weizmann.ac.il/complex/compphys/software/geview/data/figures/206213_at.png","Figure")</f>
        <v>Figure</v>
      </c>
      <c r="I9351">
        <v>1.32</v>
      </c>
      <c r="J9351">
        <v>0.16</v>
      </c>
      <c r="K9351">
        <v>1.1100000000000001</v>
      </c>
      <c r="L9351">
        <v>0.69</v>
      </c>
      <c r="M9351">
        <v>0.84</v>
      </c>
      <c r="N9351">
        <v>0.4</v>
      </c>
    </row>
    <row r="9352" spans="1:14" x14ac:dyDescent="0.25">
      <c r="A9352" t="s">
        <v>16403</v>
      </c>
      <c r="B9352" t="s">
        <v>16404</v>
      </c>
      <c r="C9352" s="1" t="str">
        <f>HYPERLINK("http://www.genecards.org/cgi-bin/carddisp.pl?gene=GP1BA","GeneCards")</f>
        <v>GeneCards</v>
      </c>
      <c r="D9352" s="1" t="str">
        <f>HYPERLINK("http://genome-euro.ucsc.edu/cgi-bin/hgTracks?position=207389_at","UCSC")</f>
        <v>UCSC</v>
      </c>
      <c r="E9352" s="1" t="str">
        <f>HYPERLINK("http://www.ncbi.nlm.nih.gov/gene/?term=GP1BA","NCBI")</f>
        <v>NCBI</v>
      </c>
      <c r="F9352">
        <v>0.18</v>
      </c>
      <c r="G9352">
        <v>0.33</v>
      </c>
      <c r="H9352" s="1" t="str">
        <f>HYPERLINK("http://www.weizmann.ac.il/complex/compphys/software/geview/data/figures/207389_at.png","Figure")</f>
        <v>Figure</v>
      </c>
      <c r="I9352">
        <v>1.1200000000000001</v>
      </c>
      <c r="J9352">
        <v>0.39</v>
      </c>
      <c r="K9352">
        <v>0.96</v>
      </c>
      <c r="L9352">
        <v>0.85</v>
      </c>
      <c r="M9352">
        <v>0.85699999999999998</v>
      </c>
      <c r="N9352">
        <v>0.16</v>
      </c>
    </row>
    <row r="9353" spans="1:14" x14ac:dyDescent="0.25">
      <c r="A9353" t="s">
        <v>16405</v>
      </c>
      <c r="B9353" t="s">
        <v>15222</v>
      </c>
      <c r="C9353" s="1" t="str">
        <f>HYPERLINK("http://www.genecards.org/cgi-bin/carddisp.pl?gene=PRB1 /// PRB2","GeneCards")</f>
        <v>GeneCards</v>
      </c>
      <c r="D9353" s="1" t="str">
        <f>HYPERLINK("http://genome-euro.ucsc.edu/cgi-bin/hgTracks?position=207752_x_at","UCSC")</f>
        <v>UCSC</v>
      </c>
      <c r="E9353" s="1" t="str">
        <f>HYPERLINK("http://www.ncbi.nlm.nih.gov/gene/?term=PRB1 /// PRB2","NCBI")</f>
        <v>NCBI</v>
      </c>
      <c r="F9353">
        <v>0.18</v>
      </c>
      <c r="G9353">
        <v>0.33</v>
      </c>
      <c r="H9353" s="1" t="str">
        <f>HYPERLINK("http://www.weizmann.ac.il/complex/compphys/software/geview/data/figures/207752_x_at.png","Figure")</f>
        <v>Figure</v>
      </c>
      <c r="I9353">
        <v>1.24</v>
      </c>
      <c r="J9353">
        <v>0.16</v>
      </c>
      <c r="K9353">
        <v>1.1200000000000001</v>
      </c>
      <c r="L9353">
        <v>0.45</v>
      </c>
      <c r="M9353">
        <v>0.90900000000000003</v>
      </c>
      <c r="N9353">
        <v>0.62</v>
      </c>
    </row>
    <row r="9354" spans="1:14" x14ac:dyDescent="0.25">
      <c r="A9354" t="s">
        <v>16406</v>
      </c>
      <c r="B9354" t="s">
        <v>2598</v>
      </c>
      <c r="C9354" s="1" t="str">
        <f>HYPERLINK("http://www.genecards.org/cgi-bin/carddisp.pl?gene=CEP57","GeneCards")</f>
        <v>GeneCards</v>
      </c>
      <c r="D9354" s="1" t="str">
        <f>HYPERLINK("http://genome-euro.ucsc.edu/cgi-bin/hgTracks?position=209862_s_at","UCSC")</f>
        <v>UCSC</v>
      </c>
      <c r="E9354" s="1" t="str">
        <f>HYPERLINK("http://www.ncbi.nlm.nih.gov/gene/?term=CEP57","NCBI")</f>
        <v>NCBI</v>
      </c>
      <c r="F9354">
        <v>0.18</v>
      </c>
      <c r="G9354">
        <v>0.33</v>
      </c>
      <c r="H9354" s="1" t="str">
        <f>HYPERLINK("http://www.weizmann.ac.il/complex/compphys/software/geview/data/figures/209862_s_at.png","Figure")</f>
        <v>Figure</v>
      </c>
      <c r="I9354">
        <v>0.751</v>
      </c>
      <c r="J9354">
        <v>0.21</v>
      </c>
      <c r="K9354">
        <v>0.97399999999999998</v>
      </c>
      <c r="L9354">
        <v>0.98</v>
      </c>
      <c r="M9354">
        <v>1.3</v>
      </c>
      <c r="N9354">
        <v>0.23</v>
      </c>
    </row>
    <row r="9355" spans="1:14" x14ac:dyDescent="0.25">
      <c r="A9355" t="s">
        <v>16407</v>
      </c>
      <c r="B9355" t="s">
        <v>16408</v>
      </c>
      <c r="C9355" s="1" t="str">
        <f>HYPERLINK("http://www.genecards.org/cgi-bin/carddisp.pl?gene=HMGA1","GeneCards")</f>
        <v>GeneCards</v>
      </c>
      <c r="D9355" s="1" t="str">
        <f>HYPERLINK("http://genome-euro.ucsc.edu/cgi-bin/hgTracks?position=210457_x_at","UCSC")</f>
        <v>UCSC</v>
      </c>
      <c r="E9355" s="1" t="str">
        <f>HYPERLINK("http://www.ncbi.nlm.nih.gov/gene/?term=HMGA1","NCBI")</f>
        <v>NCBI</v>
      </c>
      <c r="F9355">
        <v>0.18</v>
      </c>
      <c r="G9355">
        <v>0.33</v>
      </c>
      <c r="H9355" s="1" t="str">
        <f>HYPERLINK("http://www.weizmann.ac.il/complex/compphys/software/geview/data/figures/210457_x_at.png","Figure")</f>
        <v>Figure</v>
      </c>
      <c r="I9355">
        <v>1.1399999999999999</v>
      </c>
      <c r="J9355">
        <v>0.16</v>
      </c>
      <c r="K9355">
        <v>1.06</v>
      </c>
      <c r="L9355">
        <v>0.56000000000000005</v>
      </c>
      <c r="M9355">
        <v>0.93100000000000005</v>
      </c>
      <c r="N9355">
        <v>0.51</v>
      </c>
    </row>
    <row r="9356" spans="1:14" x14ac:dyDescent="0.25">
      <c r="A9356" t="s">
        <v>16409</v>
      </c>
      <c r="B9356" t="s">
        <v>16410</v>
      </c>
      <c r="C9356" s="1" t="str">
        <f>HYPERLINK("http://www.genecards.org/cgi-bin/carddisp.pl?gene=DCP2","GeneCards")</f>
        <v>GeneCards</v>
      </c>
      <c r="D9356" s="1" t="str">
        <f>HYPERLINK("http://genome-euro.ucsc.edu/cgi-bin/hgTracks?position=212919_at","UCSC")</f>
        <v>UCSC</v>
      </c>
      <c r="E9356" s="1" t="str">
        <f>HYPERLINK("http://www.ncbi.nlm.nih.gov/gene/?term=DCP2","NCBI")</f>
        <v>NCBI</v>
      </c>
      <c r="F9356">
        <v>0.18</v>
      </c>
      <c r="G9356">
        <v>0.33</v>
      </c>
      <c r="H9356" s="1" t="str">
        <f>HYPERLINK("http://www.weizmann.ac.il/complex/compphys/software/geview/data/figures/212919_at.png","Figure")</f>
        <v>Figure</v>
      </c>
      <c r="I9356">
        <v>0.60899999999999999</v>
      </c>
      <c r="J9356">
        <v>0.21</v>
      </c>
      <c r="K9356">
        <v>0.67100000000000004</v>
      </c>
      <c r="L9356">
        <v>0.26</v>
      </c>
      <c r="M9356">
        <v>1.1000000000000001</v>
      </c>
      <c r="N9356">
        <v>0.93</v>
      </c>
    </row>
    <row r="9357" spans="1:14" x14ac:dyDescent="0.25">
      <c r="A9357" t="s">
        <v>16411</v>
      </c>
      <c r="B9357" t="s">
        <v>16412</v>
      </c>
      <c r="C9357" s="1" t="str">
        <f>HYPERLINK("http://www.genecards.org/cgi-bin/carddisp.pl?gene=ZNF160","GeneCards")</f>
        <v>GeneCards</v>
      </c>
      <c r="D9357" s="1" t="str">
        <f>HYPERLINK("http://genome-euro.ucsc.edu/cgi-bin/hgTracks?position=214715_x_at","UCSC")</f>
        <v>UCSC</v>
      </c>
      <c r="E9357" s="1" t="str">
        <f>HYPERLINK("http://www.ncbi.nlm.nih.gov/gene/?term=ZNF160","NCBI")</f>
        <v>NCBI</v>
      </c>
      <c r="F9357">
        <v>0.18</v>
      </c>
      <c r="G9357">
        <v>0.33</v>
      </c>
      <c r="H9357" s="1" t="str">
        <f>HYPERLINK("http://www.weizmann.ac.il/complex/compphys/software/geview/data/figures/214715_x_at.png","Figure")</f>
        <v>Figure</v>
      </c>
      <c r="I9357">
        <v>1.37</v>
      </c>
      <c r="J9357">
        <v>0.54</v>
      </c>
      <c r="K9357">
        <v>0.79800000000000004</v>
      </c>
      <c r="L9357">
        <v>0.66</v>
      </c>
      <c r="M9357">
        <v>0.58199999999999996</v>
      </c>
      <c r="N9357">
        <v>0.16</v>
      </c>
    </row>
    <row r="9358" spans="1:14" x14ac:dyDescent="0.25">
      <c r="A9358" t="s">
        <v>16413</v>
      </c>
      <c r="B9358" t="s">
        <v>16414</v>
      </c>
      <c r="C9358" s="1" t="str">
        <f>HYPERLINK("http://www.genecards.org/cgi-bin/carddisp.pl?gene=DHX35","GeneCards")</f>
        <v>GeneCards</v>
      </c>
      <c r="D9358" s="1" t="str">
        <f>HYPERLINK("http://genome-euro.ucsc.edu/cgi-bin/hgTracks?position=218579_s_at","UCSC")</f>
        <v>UCSC</v>
      </c>
      <c r="E9358" s="1" t="str">
        <f>HYPERLINK("http://www.ncbi.nlm.nih.gov/gene/?term=DHX35","NCBI")</f>
        <v>NCBI</v>
      </c>
      <c r="F9358">
        <v>0.18</v>
      </c>
      <c r="G9358">
        <v>0.33</v>
      </c>
      <c r="H9358" s="1" t="str">
        <f>HYPERLINK("http://www.weizmann.ac.il/complex/compphys/software/geview/data/figures/218579_s_at.png","Figure")</f>
        <v>Figure</v>
      </c>
      <c r="I9358">
        <v>1.02</v>
      </c>
      <c r="J9358">
        <v>0.99</v>
      </c>
      <c r="K9358">
        <v>0.81</v>
      </c>
      <c r="L9358">
        <v>0.27</v>
      </c>
      <c r="M9358">
        <v>0.79100000000000004</v>
      </c>
      <c r="N9358">
        <v>0.25</v>
      </c>
    </row>
    <row r="9359" spans="1:14" x14ac:dyDescent="0.25">
      <c r="A9359" t="s">
        <v>16415</v>
      </c>
      <c r="B9359" t="s">
        <v>16416</v>
      </c>
      <c r="C9359" s="1" t="str">
        <f>HYPERLINK("http://www.genecards.org/cgi-bin/carddisp.pl?gene=UBA52","GeneCards")</f>
        <v>GeneCards</v>
      </c>
      <c r="D9359" s="1" t="str">
        <f>HYPERLINK("http://genome-euro.ucsc.edu/cgi-bin/hgTracks?position=221700_s_at","UCSC")</f>
        <v>UCSC</v>
      </c>
      <c r="E9359" s="1" t="str">
        <f>HYPERLINK("http://www.ncbi.nlm.nih.gov/gene/?term=UBA52","NCBI")</f>
        <v>NCBI</v>
      </c>
      <c r="F9359">
        <v>0.18</v>
      </c>
      <c r="G9359">
        <v>0.33</v>
      </c>
      <c r="H9359" s="1" t="str">
        <f>HYPERLINK("http://www.weizmann.ac.il/complex/compphys/software/geview/data/figures/221700_s_at.png","Figure")</f>
        <v>Figure</v>
      </c>
      <c r="I9359">
        <v>1.23</v>
      </c>
      <c r="J9359">
        <v>0.38</v>
      </c>
      <c r="K9359">
        <v>1.29</v>
      </c>
      <c r="L9359">
        <v>0.17</v>
      </c>
      <c r="M9359">
        <v>1.04</v>
      </c>
      <c r="N9359">
        <v>0.95</v>
      </c>
    </row>
    <row r="9360" spans="1:14" x14ac:dyDescent="0.25">
      <c r="A9360" t="s">
        <v>16417</v>
      </c>
      <c r="B9360" t="s">
        <v>16418</v>
      </c>
      <c r="C9360" s="1" t="str">
        <f>HYPERLINK("http://www.genecards.org/cgi-bin/carddisp.pl?gene=TRIM5","GeneCards")</f>
        <v>GeneCards</v>
      </c>
      <c r="D9360" s="1" t="str">
        <f>HYPERLINK("http://genome-euro.ucsc.edu/cgi-bin/hgTracks?position=210705_s_at","UCSC")</f>
        <v>UCSC</v>
      </c>
      <c r="E9360" s="1" t="str">
        <f>HYPERLINK("http://www.ncbi.nlm.nih.gov/gene/?term=TRIM5","NCBI")</f>
        <v>NCBI</v>
      </c>
      <c r="F9360">
        <v>0.18</v>
      </c>
      <c r="G9360">
        <v>0.33</v>
      </c>
      <c r="H9360" s="1" t="str">
        <f>HYPERLINK("http://www.weizmann.ac.il/complex/compphys/software/geview/data/figures/210705_s_at.png","Figure")</f>
        <v>Figure</v>
      </c>
      <c r="I9360">
        <v>0.84799999999999998</v>
      </c>
      <c r="J9360">
        <v>0.19</v>
      </c>
      <c r="K9360">
        <v>0.97399999999999998</v>
      </c>
      <c r="L9360">
        <v>0.94</v>
      </c>
      <c r="M9360">
        <v>1.1499999999999999</v>
      </c>
      <c r="N9360">
        <v>0.26</v>
      </c>
    </row>
    <row r="9361" spans="1:14" x14ac:dyDescent="0.25">
      <c r="A9361" t="s">
        <v>16419</v>
      </c>
      <c r="B9361" t="s">
        <v>16420</v>
      </c>
      <c r="C9361" s="1" t="str">
        <f>HYPERLINK("http://www.genecards.org/cgi-bin/carddisp.pl?gene=MASP2","GeneCards")</f>
        <v>GeneCards</v>
      </c>
      <c r="D9361" s="1" t="str">
        <f>HYPERLINK("http://genome-euro.ucsc.edu/cgi-bin/hgTracks?position=216968_at","UCSC")</f>
        <v>UCSC</v>
      </c>
      <c r="E9361" s="1" t="str">
        <f>HYPERLINK("http://www.ncbi.nlm.nih.gov/gene/?term=MASP2","NCBI")</f>
        <v>NCBI</v>
      </c>
      <c r="F9361">
        <v>0.18</v>
      </c>
      <c r="G9361">
        <v>0.33</v>
      </c>
      <c r="H9361" s="1" t="str">
        <f>HYPERLINK("http://www.weizmann.ac.il/complex/compphys/software/geview/data/figures/216968_at.png","Figure")</f>
        <v>Figure</v>
      </c>
      <c r="I9361">
        <v>1.21</v>
      </c>
      <c r="J9361">
        <v>0.22</v>
      </c>
      <c r="K9361">
        <v>1.17</v>
      </c>
      <c r="L9361">
        <v>0.26</v>
      </c>
      <c r="M9361">
        <v>0.96499999999999997</v>
      </c>
      <c r="N9361">
        <v>0.93</v>
      </c>
    </row>
    <row r="9362" spans="1:14" x14ac:dyDescent="0.25">
      <c r="A9362" t="s">
        <v>16421</v>
      </c>
      <c r="B9362" t="s">
        <v>16422</v>
      </c>
      <c r="C9362" s="1" t="str">
        <f>HYPERLINK("http://www.genecards.org/cgi-bin/carddisp.pl?gene=SLC12A9","GeneCards")</f>
        <v>GeneCards</v>
      </c>
      <c r="D9362" s="1" t="str">
        <f>HYPERLINK("http://genome-euro.ucsc.edu/cgi-bin/hgTracks?position=220371_s_at","UCSC")</f>
        <v>UCSC</v>
      </c>
      <c r="E9362" s="1" t="str">
        <f>HYPERLINK("http://www.ncbi.nlm.nih.gov/gene/?term=SLC12A9","NCBI")</f>
        <v>NCBI</v>
      </c>
      <c r="F9362">
        <v>0.18</v>
      </c>
      <c r="G9362">
        <v>0.33</v>
      </c>
      <c r="H9362" s="1" t="str">
        <f>HYPERLINK("http://www.weizmann.ac.il/complex/compphys/software/geview/data/figures/220371_s_at.png","Figure")</f>
        <v>Figure</v>
      </c>
      <c r="I9362">
        <v>1.19</v>
      </c>
      <c r="J9362">
        <v>0.17</v>
      </c>
      <c r="K9362">
        <v>1.1100000000000001</v>
      </c>
      <c r="L9362">
        <v>0.4</v>
      </c>
      <c r="M9362">
        <v>0.93300000000000005</v>
      </c>
      <c r="N9362">
        <v>0.7</v>
      </c>
    </row>
    <row r="9363" spans="1:14" x14ac:dyDescent="0.25">
      <c r="A9363" t="s">
        <v>16423</v>
      </c>
      <c r="B9363" t="s">
        <v>16424</v>
      </c>
      <c r="C9363" s="1" t="str">
        <f>HYPERLINK("http://www.genecards.org/cgi-bin/carddisp.pl?gene=DDX6","GeneCards")</f>
        <v>GeneCards</v>
      </c>
      <c r="D9363" s="1" t="str">
        <f>HYPERLINK("http://genome-euro.ucsc.edu/cgi-bin/hgTracks?position=204909_at","UCSC")</f>
        <v>UCSC</v>
      </c>
      <c r="E9363" s="1" t="str">
        <f>HYPERLINK("http://www.ncbi.nlm.nih.gov/gene/?term=DDX6","NCBI")</f>
        <v>NCBI</v>
      </c>
      <c r="F9363">
        <v>0.18</v>
      </c>
      <c r="G9363">
        <v>0.33</v>
      </c>
      <c r="H9363" s="1" t="str">
        <f>HYPERLINK("http://www.weizmann.ac.il/complex/compphys/software/geview/data/figures/204909_at.png","Figure")</f>
        <v>Figure</v>
      </c>
      <c r="I9363">
        <v>0.97799999999999998</v>
      </c>
      <c r="J9363">
        <v>0.9</v>
      </c>
      <c r="K9363">
        <v>0.92</v>
      </c>
      <c r="L9363">
        <v>0.18</v>
      </c>
      <c r="M9363">
        <v>0.94099999999999995</v>
      </c>
      <c r="N9363">
        <v>0.43</v>
      </c>
    </row>
    <row r="9364" spans="1:14" x14ac:dyDescent="0.25">
      <c r="A9364" t="s">
        <v>16425</v>
      </c>
      <c r="B9364" t="s">
        <v>16426</v>
      </c>
      <c r="C9364" s="1" t="str">
        <f>HYPERLINK("http://www.genecards.org/cgi-bin/carddisp.pl?gene=LOC100291464","GeneCards")</f>
        <v>GeneCards</v>
      </c>
      <c r="D9364" s="1" t="str">
        <f>HYPERLINK("http://genome-euro.ucsc.edu/cgi-bin/hgTracks?position=215176_x_at","UCSC")</f>
        <v>UCSC</v>
      </c>
      <c r="E9364" s="1" t="str">
        <f>HYPERLINK("http://www.ncbi.nlm.nih.gov/gene/?term=LOC100291464","NCBI")</f>
        <v>NCBI</v>
      </c>
      <c r="F9364">
        <v>0.18</v>
      </c>
      <c r="G9364">
        <v>0.33</v>
      </c>
      <c r="H9364" s="1" t="str">
        <f>HYPERLINK("http://www.weizmann.ac.il/complex/compphys/software/geview/data/figures/215176_x_at.png","Figure")</f>
        <v>Figure</v>
      </c>
      <c r="I9364">
        <v>0.79200000000000004</v>
      </c>
      <c r="J9364">
        <v>0.61</v>
      </c>
      <c r="K9364">
        <v>0.66</v>
      </c>
      <c r="L9364">
        <v>0.16</v>
      </c>
      <c r="M9364">
        <v>0.83299999999999996</v>
      </c>
      <c r="N9364">
        <v>0.7</v>
      </c>
    </row>
    <row r="9365" spans="1:14" x14ac:dyDescent="0.25">
      <c r="A9365" t="s">
        <v>16427</v>
      </c>
      <c r="B9365" t="s">
        <v>9298</v>
      </c>
      <c r="C9365" s="1" t="str">
        <f>HYPERLINK("http://www.genecards.org/cgi-bin/carddisp.pl?gene=GABARAPL1","GeneCards")</f>
        <v>GeneCards</v>
      </c>
      <c r="D9365" s="1" t="str">
        <f>HYPERLINK("http://genome-euro.ucsc.edu/cgi-bin/hgTracks?position=208869_s_at","UCSC")</f>
        <v>UCSC</v>
      </c>
      <c r="E9365" s="1" t="str">
        <f>HYPERLINK("http://www.ncbi.nlm.nih.gov/gene/?term=GABARAPL1","NCBI")</f>
        <v>NCBI</v>
      </c>
      <c r="F9365">
        <v>0.18</v>
      </c>
      <c r="G9365">
        <v>0.33</v>
      </c>
      <c r="H9365" s="1" t="str">
        <f>HYPERLINK("http://www.weizmann.ac.il/complex/compphys/software/geview/data/figures/208869_s_at.png","Figure")</f>
        <v>Figure</v>
      </c>
      <c r="I9365">
        <v>0.82599999999999996</v>
      </c>
      <c r="J9365">
        <v>0.65</v>
      </c>
      <c r="K9365">
        <v>0.69099999999999995</v>
      </c>
      <c r="L9365">
        <v>0.16</v>
      </c>
      <c r="M9365">
        <v>0.83699999999999997</v>
      </c>
      <c r="N9365">
        <v>0.66</v>
      </c>
    </row>
    <row r="9366" spans="1:14" x14ac:dyDescent="0.25">
      <c r="A9366" t="s">
        <v>16428</v>
      </c>
      <c r="B9366" t="s">
        <v>16429</v>
      </c>
      <c r="C9366" s="1" t="str">
        <f>HYPERLINK("http://www.genecards.org/cgi-bin/carddisp.pl?gene=CYP20A1","GeneCards")</f>
        <v>GeneCards</v>
      </c>
      <c r="D9366" s="1" t="str">
        <f>HYPERLINK("http://genome-euro.ucsc.edu/cgi-bin/hgTracks?position=219565_at","UCSC")</f>
        <v>UCSC</v>
      </c>
      <c r="E9366" s="1" t="str">
        <f>HYPERLINK("http://www.ncbi.nlm.nih.gov/gene/?term=CYP20A1","NCBI")</f>
        <v>NCBI</v>
      </c>
      <c r="F9366">
        <v>0.18</v>
      </c>
      <c r="G9366">
        <v>0.33</v>
      </c>
      <c r="H9366" s="1" t="str">
        <f>HYPERLINK("http://www.weizmann.ac.il/complex/compphys/software/geview/data/figures/219565_at.png","Figure")</f>
        <v>Figure</v>
      </c>
      <c r="I9366">
        <v>0.998</v>
      </c>
      <c r="J9366">
        <v>1</v>
      </c>
      <c r="K9366">
        <v>0.76800000000000002</v>
      </c>
      <c r="L9366">
        <v>0.24</v>
      </c>
      <c r="M9366">
        <v>0.77</v>
      </c>
      <c r="N9366">
        <v>0.28999999999999998</v>
      </c>
    </row>
    <row r="9367" spans="1:14" x14ac:dyDescent="0.25">
      <c r="A9367" t="s">
        <v>16430</v>
      </c>
      <c r="B9367" t="s">
        <v>16431</v>
      </c>
      <c r="C9367" s="1" t="str">
        <f>HYPERLINK("http://www.genecards.org/cgi-bin/carddisp.pl?gene=CCL2","GeneCards")</f>
        <v>GeneCards</v>
      </c>
      <c r="D9367" s="1" t="str">
        <f>HYPERLINK("http://genome-euro.ucsc.edu/cgi-bin/hgTracks?position=216598_s_at","UCSC")</f>
        <v>UCSC</v>
      </c>
      <c r="E9367" s="1" t="str">
        <f>HYPERLINK("http://www.ncbi.nlm.nih.gov/gene/?term=CCL2","NCBI")</f>
        <v>NCBI</v>
      </c>
      <c r="F9367">
        <v>0.18</v>
      </c>
      <c r="G9367">
        <v>0.33</v>
      </c>
      <c r="H9367" s="1" t="str">
        <f>HYPERLINK("http://www.weizmann.ac.il/complex/compphys/software/geview/data/figures/216598_s_at.png","Figure")</f>
        <v>Figure</v>
      </c>
      <c r="I9367">
        <v>1.1499999999999999</v>
      </c>
      <c r="J9367">
        <v>0.17</v>
      </c>
      <c r="K9367">
        <v>1.04</v>
      </c>
      <c r="L9367">
        <v>0.78</v>
      </c>
      <c r="M9367">
        <v>0.90900000000000003</v>
      </c>
      <c r="N9367">
        <v>0.35</v>
      </c>
    </row>
    <row r="9368" spans="1:14" x14ac:dyDescent="0.25">
      <c r="A9368" t="s">
        <v>16432</v>
      </c>
      <c r="B9368" t="s">
        <v>13770</v>
      </c>
      <c r="C9368" s="1" t="str">
        <f>HYPERLINK("http://www.genecards.org/cgi-bin/carddisp.pl?gene=PHACTR2","GeneCards")</f>
        <v>GeneCards</v>
      </c>
      <c r="D9368" s="1" t="str">
        <f>HYPERLINK("http://genome-euro.ucsc.edu/cgi-bin/hgTracks?position=204049_s_at","UCSC")</f>
        <v>UCSC</v>
      </c>
      <c r="E9368" s="1" t="str">
        <f>HYPERLINK("http://www.ncbi.nlm.nih.gov/gene/?term=PHACTR2","NCBI")</f>
        <v>NCBI</v>
      </c>
      <c r="F9368">
        <v>0.18</v>
      </c>
      <c r="G9368">
        <v>0.33</v>
      </c>
      <c r="H9368" s="1" t="str">
        <f>HYPERLINK("http://www.weizmann.ac.il/complex/compphys/software/geview/data/figures/204049_s_at.png","Figure")</f>
        <v>Figure</v>
      </c>
      <c r="I9368">
        <v>1.05</v>
      </c>
      <c r="J9368">
        <v>0.79</v>
      </c>
      <c r="K9368">
        <v>1.1200000000000001</v>
      </c>
      <c r="L9368">
        <v>0.17</v>
      </c>
      <c r="M9368">
        <v>1.07</v>
      </c>
      <c r="N9368">
        <v>0.53</v>
      </c>
    </row>
    <row r="9369" spans="1:14" x14ac:dyDescent="0.25">
      <c r="A9369" t="s">
        <v>16433</v>
      </c>
      <c r="B9369" t="s">
        <v>13672</v>
      </c>
      <c r="C9369" s="1" t="str">
        <f>HYPERLINK("http://www.genecards.org/cgi-bin/carddisp.pl?gene=EIF1AY","GeneCards")</f>
        <v>GeneCards</v>
      </c>
      <c r="D9369" s="1" t="str">
        <f>HYPERLINK("http://genome-euro.ucsc.edu/cgi-bin/hgTracks?position=204409_s_at","UCSC")</f>
        <v>UCSC</v>
      </c>
      <c r="E9369" s="1" t="str">
        <f>HYPERLINK("http://www.ncbi.nlm.nih.gov/gene/?term=EIF1AY","NCBI")</f>
        <v>NCBI</v>
      </c>
      <c r="F9369">
        <v>0.18</v>
      </c>
      <c r="G9369">
        <v>0.33</v>
      </c>
      <c r="H9369" s="1" t="str">
        <f>HYPERLINK("http://www.weizmann.ac.il/complex/compphys/software/geview/data/figures/204409_s_at.png","Figure")</f>
        <v>Figure</v>
      </c>
      <c r="I9369">
        <v>1.38</v>
      </c>
      <c r="J9369">
        <v>0.46</v>
      </c>
      <c r="K9369">
        <v>0.84799999999999998</v>
      </c>
      <c r="L9369">
        <v>0.76</v>
      </c>
      <c r="M9369">
        <v>0.61599999999999999</v>
      </c>
      <c r="N9369">
        <v>0.16</v>
      </c>
    </row>
    <row r="9370" spans="1:14" x14ac:dyDescent="0.25">
      <c r="A9370" t="s">
        <v>16434</v>
      </c>
      <c r="B9370" t="s">
        <v>16435</v>
      </c>
      <c r="C9370" s="1" t="str">
        <f>HYPERLINK("http://www.genecards.org/cgi-bin/carddisp.pl?gene=CD3E","GeneCards")</f>
        <v>GeneCards</v>
      </c>
      <c r="D9370" s="1" t="str">
        <f>HYPERLINK("http://genome-euro.ucsc.edu/cgi-bin/hgTracks?position=205456_at","UCSC")</f>
        <v>UCSC</v>
      </c>
      <c r="E9370" s="1" t="str">
        <f>HYPERLINK("http://www.ncbi.nlm.nih.gov/gene/?term=CD3E","NCBI")</f>
        <v>NCBI</v>
      </c>
      <c r="F9370">
        <v>0.18</v>
      </c>
      <c r="G9370">
        <v>0.33</v>
      </c>
      <c r="H9370" s="1" t="str">
        <f>HYPERLINK("http://www.weizmann.ac.il/complex/compphys/software/geview/data/figures/205456_at.png","Figure")</f>
        <v>Figure</v>
      </c>
      <c r="I9370">
        <v>1.07</v>
      </c>
      <c r="J9370">
        <v>0.77</v>
      </c>
      <c r="K9370">
        <v>0.9</v>
      </c>
      <c r="L9370">
        <v>0.46</v>
      </c>
      <c r="M9370">
        <v>0.84</v>
      </c>
      <c r="N9370">
        <v>0.18</v>
      </c>
    </row>
    <row r="9371" spans="1:14" x14ac:dyDescent="0.25">
      <c r="A9371" t="s">
        <v>16436</v>
      </c>
      <c r="B9371" t="s">
        <v>16437</v>
      </c>
      <c r="C9371" s="1" t="str">
        <f>HYPERLINK("http://www.genecards.org/cgi-bin/carddisp.pl?gene=TREM2","GeneCards")</f>
        <v>GeneCards</v>
      </c>
      <c r="D9371" s="1" t="str">
        <f>HYPERLINK("http://genome-euro.ucsc.edu/cgi-bin/hgTracks?position=219725_at","UCSC")</f>
        <v>UCSC</v>
      </c>
      <c r="E9371" s="1" t="str">
        <f>HYPERLINK("http://www.ncbi.nlm.nih.gov/gene/?term=TREM2","NCBI")</f>
        <v>NCBI</v>
      </c>
      <c r="F9371">
        <v>0.18</v>
      </c>
      <c r="G9371">
        <v>0.33</v>
      </c>
      <c r="H9371" s="1" t="str">
        <f>HYPERLINK("http://www.weizmann.ac.il/complex/compphys/software/geview/data/figures/219725_at.png","Figure")</f>
        <v>Figure</v>
      </c>
      <c r="I9371">
        <v>1.1100000000000001</v>
      </c>
      <c r="J9371">
        <v>0.55000000000000004</v>
      </c>
      <c r="K9371">
        <v>1.18</v>
      </c>
      <c r="L9371">
        <v>0.16</v>
      </c>
      <c r="M9371">
        <v>1.07</v>
      </c>
      <c r="N9371">
        <v>0.76</v>
      </c>
    </row>
    <row r="9372" spans="1:14" x14ac:dyDescent="0.25">
      <c r="A9372" t="s">
        <v>16438</v>
      </c>
      <c r="B9372" t="s">
        <v>16439</v>
      </c>
      <c r="C9372" s="1" t="str">
        <f>HYPERLINK("http://www.genecards.org/cgi-bin/carddisp.pl?gene=GAPVD1","GeneCards")</f>
        <v>GeneCards</v>
      </c>
      <c r="D9372" s="1" t="str">
        <f>HYPERLINK("http://genome-euro.ucsc.edu/cgi-bin/hgTracks?position=214869_x_at","UCSC")</f>
        <v>UCSC</v>
      </c>
      <c r="E9372" s="1" t="str">
        <f>HYPERLINK("http://www.ncbi.nlm.nih.gov/gene/?term=GAPVD1","NCBI")</f>
        <v>NCBI</v>
      </c>
      <c r="F9372">
        <v>0.18</v>
      </c>
      <c r="G9372">
        <v>0.33</v>
      </c>
      <c r="H9372" s="1" t="str">
        <f>HYPERLINK("http://www.weizmann.ac.il/complex/compphys/software/geview/data/figures/214869_x_at.png","Figure")</f>
        <v>Figure</v>
      </c>
      <c r="I9372">
        <v>1.44</v>
      </c>
      <c r="J9372">
        <v>0.18</v>
      </c>
      <c r="K9372">
        <v>1.07</v>
      </c>
      <c r="L9372">
        <v>0.91</v>
      </c>
      <c r="M9372">
        <v>0.747</v>
      </c>
      <c r="N9372">
        <v>0.27</v>
      </c>
    </row>
    <row r="9373" spans="1:14" x14ac:dyDescent="0.25">
      <c r="A9373" t="s">
        <v>16440</v>
      </c>
      <c r="B9373" t="s">
        <v>16441</v>
      </c>
      <c r="C9373" s="1" t="str">
        <f>HYPERLINK("http://www.genecards.org/cgi-bin/carddisp.pl?gene=AGPAT4","GeneCards")</f>
        <v>GeneCards</v>
      </c>
      <c r="D9373" s="1" t="str">
        <f>HYPERLINK("http://genome-euro.ucsc.edu/cgi-bin/hgTracks?position=219693_at","UCSC")</f>
        <v>UCSC</v>
      </c>
      <c r="E9373" s="1" t="str">
        <f>HYPERLINK("http://www.ncbi.nlm.nih.gov/gene/?term=AGPAT4","NCBI")</f>
        <v>NCBI</v>
      </c>
      <c r="F9373">
        <v>0.18</v>
      </c>
      <c r="G9373">
        <v>0.33</v>
      </c>
      <c r="H9373" s="1" t="str">
        <f>HYPERLINK("http://www.weizmann.ac.il/complex/compphys/software/geview/data/figures/219693_at.png","Figure")</f>
        <v>Figure</v>
      </c>
      <c r="I9373">
        <v>1.17</v>
      </c>
      <c r="J9373">
        <v>0.21</v>
      </c>
      <c r="K9373">
        <v>1.1299999999999999</v>
      </c>
      <c r="L9373">
        <v>0.27</v>
      </c>
      <c r="M9373">
        <v>0.96599999999999997</v>
      </c>
      <c r="N9373">
        <v>0.91</v>
      </c>
    </row>
    <row r="9374" spans="1:14" x14ac:dyDescent="0.25">
      <c r="A9374" t="s">
        <v>16442</v>
      </c>
      <c r="B9374" t="s">
        <v>16443</v>
      </c>
      <c r="C9374" s="1" t="str">
        <f>HYPERLINK("http://www.genecards.org/cgi-bin/carddisp.pl?gene=ACRV1","GeneCards")</f>
        <v>GeneCards</v>
      </c>
      <c r="D9374" s="1" t="str">
        <f>HYPERLINK("http://genome-euro.ucsc.edu/cgi-bin/hgTracks?position=207991_x_at","UCSC")</f>
        <v>UCSC</v>
      </c>
      <c r="E9374" s="1" t="str">
        <f>HYPERLINK("http://www.ncbi.nlm.nih.gov/gene/?term=ACRV1","NCBI")</f>
        <v>NCBI</v>
      </c>
      <c r="F9374">
        <v>0.18</v>
      </c>
      <c r="G9374">
        <v>0.33</v>
      </c>
      <c r="H9374" s="1" t="str">
        <f>HYPERLINK("http://www.weizmann.ac.il/complex/compphys/software/geview/data/figures/207991_x_at.png","Figure")</f>
        <v>Figure</v>
      </c>
      <c r="I9374">
        <v>1.02</v>
      </c>
      <c r="J9374">
        <v>0.94</v>
      </c>
      <c r="K9374">
        <v>0.92200000000000004</v>
      </c>
      <c r="L9374">
        <v>0.32</v>
      </c>
      <c r="M9374">
        <v>0.90400000000000003</v>
      </c>
      <c r="N9374">
        <v>0.22</v>
      </c>
    </row>
    <row r="9375" spans="1:14" x14ac:dyDescent="0.25">
      <c r="A9375" t="s">
        <v>16444</v>
      </c>
      <c r="B9375" t="s">
        <v>16445</v>
      </c>
      <c r="C9375" s="1" t="str">
        <f>HYPERLINK("http://www.genecards.org/cgi-bin/carddisp.pl?gene=BDKRB2","GeneCards")</f>
        <v>GeneCards</v>
      </c>
      <c r="D9375" s="1" t="str">
        <f>HYPERLINK("http://genome-euro.ucsc.edu/cgi-bin/hgTracks?position=205870_at","UCSC")</f>
        <v>UCSC</v>
      </c>
      <c r="E9375" s="1" t="str">
        <f>HYPERLINK("http://www.ncbi.nlm.nih.gov/gene/?term=BDKRB2","NCBI")</f>
        <v>NCBI</v>
      </c>
      <c r="F9375">
        <v>0.18</v>
      </c>
      <c r="G9375">
        <v>0.33</v>
      </c>
      <c r="H9375" s="1" t="str">
        <f>HYPERLINK("http://www.weizmann.ac.il/complex/compphys/software/geview/data/figures/205870_at.png","Figure")</f>
        <v>Figure</v>
      </c>
      <c r="I9375">
        <v>1.01</v>
      </c>
      <c r="J9375">
        <v>0.98</v>
      </c>
      <c r="K9375">
        <v>1.1100000000000001</v>
      </c>
      <c r="L9375">
        <v>0.21</v>
      </c>
      <c r="M9375">
        <v>1.0900000000000001</v>
      </c>
      <c r="N9375">
        <v>0.33</v>
      </c>
    </row>
    <row r="9376" spans="1:14" x14ac:dyDescent="0.25">
      <c r="A9376" t="s">
        <v>16446</v>
      </c>
      <c r="B9376" t="s">
        <v>13461</v>
      </c>
      <c r="C9376" s="1" t="str">
        <f>HYPERLINK("http://www.genecards.org/cgi-bin/carddisp.pl?gene=SNX2","GeneCards")</f>
        <v>GeneCards</v>
      </c>
      <c r="D9376" s="1" t="str">
        <f>HYPERLINK("http://genome-euro.ucsc.edu/cgi-bin/hgTracks?position=202113_s_at","UCSC")</f>
        <v>UCSC</v>
      </c>
      <c r="E9376" s="1" t="str">
        <f>HYPERLINK("http://www.ncbi.nlm.nih.gov/gene/?term=SNX2","NCBI")</f>
        <v>NCBI</v>
      </c>
      <c r="F9376">
        <v>0.18</v>
      </c>
      <c r="G9376">
        <v>0.33</v>
      </c>
      <c r="H9376" s="1" t="str">
        <f>HYPERLINK("http://www.weizmann.ac.il/complex/compphys/software/geview/data/figures/202113_s_at.png","Figure")</f>
        <v>Figure</v>
      </c>
      <c r="I9376">
        <v>0.77100000000000002</v>
      </c>
      <c r="J9376">
        <v>0.47</v>
      </c>
      <c r="K9376">
        <v>0.68899999999999995</v>
      </c>
      <c r="L9376">
        <v>0.16</v>
      </c>
      <c r="M9376">
        <v>0.89400000000000002</v>
      </c>
      <c r="N9376">
        <v>0.85</v>
      </c>
    </row>
    <row r="9377" spans="1:14" x14ac:dyDescent="0.25">
      <c r="A9377" t="s">
        <v>16447</v>
      </c>
      <c r="B9377" t="s">
        <v>16448</v>
      </c>
      <c r="C9377" s="1" t="str">
        <f>HYPERLINK("http://www.genecards.org/cgi-bin/carddisp.pl?gene=CDKN1A","GeneCards")</f>
        <v>GeneCards</v>
      </c>
      <c r="D9377" s="1" t="str">
        <f>HYPERLINK("http://genome-euro.ucsc.edu/cgi-bin/hgTracks?position=202284_s_at","UCSC")</f>
        <v>UCSC</v>
      </c>
      <c r="E9377" s="1" t="str">
        <f>HYPERLINK("http://www.ncbi.nlm.nih.gov/gene/?term=CDKN1A","NCBI")</f>
        <v>NCBI</v>
      </c>
      <c r="F9377">
        <v>0.18</v>
      </c>
      <c r="G9377">
        <v>0.33</v>
      </c>
      <c r="H9377" s="1" t="str">
        <f>HYPERLINK("http://www.weizmann.ac.il/complex/compphys/software/geview/data/figures/202284_s_at.png","Figure")</f>
        <v>Figure</v>
      </c>
      <c r="I9377">
        <v>0.67500000000000004</v>
      </c>
      <c r="J9377">
        <v>0.55000000000000004</v>
      </c>
      <c r="K9377">
        <v>1.33</v>
      </c>
      <c r="L9377">
        <v>0.66</v>
      </c>
      <c r="M9377">
        <v>1.97</v>
      </c>
      <c r="N9377">
        <v>0.16</v>
      </c>
    </row>
    <row r="9378" spans="1:14" x14ac:dyDescent="0.25">
      <c r="A9378" t="s">
        <v>16449</v>
      </c>
      <c r="B9378" t="s">
        <v>16450</v>
      </c>
      <c r="C9378" s="1" t="str">
        <f>HYPERLINK("http://www.genecards.org/cgi-bin/carddisp.pl?gene=MAPK6","GeneCards")</f>
        <v>GeneCards</v>
      </c>
      <c r="D9378" s="1" t="str">
        <f>HYPERLINK("http://genome-euro.ucsc.edu/cgi-bin/hgTracks?position=207121_s_at","UCSC")</f>
        <v>UCSC</v>
      </c>
      <c r="E9378" s="1" t="str">
        <f>HYPERLINK("http://www.ncbi.nlm.nih.gov/gene/?term=MAPK6","NCBI")</f>
        <v>NCBI</v>
      </c>
      <c r="F9378">
        <v>0.18</v>
      </c>
      <c r="G9378">
        <v>0.33</v>
      </c>
      <c r="H9378" s="1" t="str">
        <f>HYPERLINK("http://www.weizmann.ac.il/complex/compphys/software/geview/data/figures/207121_s_at.png","Figure")</f>
        <v>Figure</v>
      </c>
      <c r="I9378">
        <v>0.89200000000000002</v>
      </c>
      <c r="J9378">
        <v>0.89</v>
      </c>
      <c r="K9378">
        <v>0.67</v>
      </c>
      <c r="L9378">
        <v>0.18</v>
      </c>
      <c r="M9378">
        <v>0.751</v>
      </c>
      <c r="N9378">
        <v>0.44</v>
      </c>
    </row>
    <row r="9379" spans="1:14" x14ac:dyDescent="0.25">
      <c r="A9379" t="s">
        <v>16451</v>
      </c>
      <c r="B9379" t="s">
        <v>16452</v>
      </c>
      <c r="C9379" s="1" t="str">
        <f>HYPERLINK("http://www.genecards.org/cgi-bin/carddisp.pl?gene=RAB31","GeneCards")</f>
        <v>GeneCards</v>
      </c>
      <c r="D9379" s="1" t="str">
        <f>HYPERLINK("http://genome-euro.ucsc.edu/cgi-bin/hgTracks?position=217763_s_at","UCSC")</f>
        <v>UCSC</v>
      </c>
      <c r="E9379" s="1" t="str">
        <f>HYPERLINK("http://www.ncbi.nlm.nih.gov/gene/?term=RAB31","NCBI")</f>
        <v>NCBI</v>
      </c>
      <c r="F9379">
        <v>0.18</v>
      </c>
      <c r="G9379">
        <v>0.33</v>
      </c>
      <c r="H9379" s="1" t="str">
        <f>HYPERLINK("http://www.weizmann.ac.il/complex/compphys/software/geview/data/figures/217763_s_at.png","Figure")</f>
        <v>Figure</v>
      </c>
      <c r="I9379">
        <v>1.08</v>
      </c>
      <c r="J9379">
        <v>0.2</v>
      </c>
      <c r="K9379">
        <v>1.06</v>
      </c>
      <c r="L9379">
        <v>0.28999999999999998</v>
      </c>
      <c r="M9379">
        <v>0.98</v>
      </c>
      <c r="N9379">
        <v>0.88</v>
      </c>
    </row>
    <row r="9380" spans="1:14" x14ac:dyDescent="0.25">
      <c r="A9380" t="s">
        <v>16453</v>
      </c>
      <c r="B9380" t="s">
        <v>16454</v>
      </c>
      <c r="C9380" s="1" t="str">
        <f>HYPERLINK("http://www.genecards.org/cgi-bin/carddisp.pl?gene=MOCS1","GeneCards")</f>
        <v>GeneCards</v>
      </c>
      <c r="D9380" s="1" t="str">
        <f>HYPERLINK("http://genome-euro.ucsc.edu/cgi-bin/hgTracks?position=211673_s_at","UCSC")</f>
        <v>UCSC</v>
      </c>
      <c r="E9380" s="1" t="str">
        <f>HYPERLINK("http://www.ncbi.nlm.nih.gov/gene/?term=MOCS1","NCBI")</f>
        <v>NCBI</v>
      </c>
      <c r="F9380">
        <v>0.18</v>
      </c>
      <c r="G9380">
        <v>0.33</v>
      </c>
      <c r="H9380" s="1" t="str">
        <f>HYPERLINK("http://www.weizmann.ac.il/complex/compphys/software/geview/data/figures/211673_s_at.png","Figure")</f>
        <v>Figure</v>
      </c>
      <c r="I9380">
        <v>1.1200000000000001</v>
      </c>
      <c r="J9380">
        <v>0.16</v>
      </c>
      <c r="K9380">
        <v>1.06</v>
      </c>
      <c r="L9380">
        <v>0.47</v>
      </c>
      <c r="M9380">
        <v>0.94799999999999995</v>
      </c>
      <c r="N9380">
        <v>0.6</v>
      </c>
    </row>
    <row r="9381" spans="1:14" x14ac:dyDescent="0.25">
      <c r="A9381" t="s">
        <v>16455</v>
      </c>
      <c r="B9381" t="s">
        <v>7417</v>
      </c>
      <c r="C9381" s="1" t="str">
        <f>HYPERLINK("http://www.genecards.org/cgi-bin/carddisp.pl?gene=EWSR1","GeneCards")</f>
        <v>GeneCards</v>
      </c>
      <c r="D9381" s="1" t="str">
        <f>HYPERLINK("http://genome-euro.ucsc.edu/cgi-bin/hgTracks?position=209214_s_at","UCSC")</f>
        <v>UCSC</v>
      </c>
      <c r="E9381" s="1" t="str">
        <f>HYPERLINK("http://www.ncbi.nlm.nih.gov/gene/?term=EWSR1","NCBI")</f>
        <v>NCBI</v>
      </c>
      <c r="F9381">
        <v>0.18</v>
      </c>
      <c r="G9381">
        <v>0.33</v>
      </c>
      <c r="H9381" s="1" t="str">
        <f>HYPERLINK("http://www.weizmann.ac.il/complex/compphys/software/geview/data/figures/209214_s_at.png","Figure")</f>
        <v>Figure</v>
      </c>
      <c r="I9381">
        <v>1.1499999999999999</v>
      </c>
      <c r="J9381">
        <v>0.52</v>
      </c>
      <c r="K9381">
        <v>0.91500000000000004</v>
      </c>
      <c r="L9381">
        <v>0.69</v>
      </c>
      <c r="M9381">
        <v>0.79900000000000004</v>
      </c>
      <c r="N9381">
        <v>0.16</v>
      </c>
    </row>
    <row r="9382" spans="1:14" x14ac:dyDescent="0.25">
      <c r="A9382" t="s">
        <v>16456</v>
      </c>
      <c r="B9382" t="s">
        <v>11054</v>
      </c>
      <c r="C9382" s="1" t="str">
        <f>HYPERLINK("http://www.genecards.org/cgi-bin/carddisp.pl?gene=TEX261","GeneCards")</f>
        <v>GeneCards</v>
      </c>
      <c r="D9382" s="1" t="str">
        <f>HYPERLINK("http://genome-euro.ucsc.edu/cgi-bin/hgTracks?position=212084_at","UCSC")</f>
        <v>UCSC</v>
      </c>
      <c r="E9382" s="1" t="str">
        <f>HYPERLINK("http://www.ncbi.nlm.nih.gov/gene/?term=TEX261","NCBI")</f>
        <v>NCBI</v>
      </c>
      <c r="F9382">
        <v>0.18</v>
      </c>
      <c r="G9382">
        <v>0.33</v>
      </c>
      <c r="H9382" s="1" t="str">
        <f>HYPERLINK("http://www.weizmann.ac.il/complex/compphys/software/geview/data/figures/212084_at.png","Figure")</f>
        <v>Figure</v>
      </c>
      <c r="I9382">
        <v>1.2</v>
      </c>
      <c r="J9382">
        <v>0.19</v>
      </c>
      <c r="K9382">
        <v>1.1399999999999999</v>
      </c>
      <c r="L9382">
        <v>0.31</v>
      </c>
      <c r="M9382">
        <v>0.95199999999999996</v>
      </c>
      <c r="N9382">
        <v>0.85</v>
      </c>
    </row>
    <row r="9383" spans="1:14" x14ac:dyDescent="0.25">
      <c r="A9383" t="s">
        <v>16457</v>
      </c>
      <c r="B9383" t="s">
        <v>16458</v>
      </c>
      <c r="C9383" s="1" t="str">
        <f>HYPERLINK("http://www.genecards.org/cgi-bin/carddisp.pl?gene=LAMA5","GeneCards")</f>
        <v>GeneCards</v>
      </c>
      <c r="D9383" s="1" t="str">
        <f>HYPERLINK("http://genome-euro.ucsc.edu/cgi-bin/hgTracks?position=210150_s_at","UCSC")</f>
        <v>UCSC</v>
      </c>
      <c r="E9383" s="1" t="str">
        <f>HYPERLINK("http://www.ncbi.nlm.nih.gov/gene/?term=LAMA5","NCBI")</f>
        <v>NCBI</v>
      </c>
      <c r="F9383">
        <v>0.18</v>
      </c>
      <c r="G9383">
        <v>0.33</v>
      </c>
      <c r="H9383" s="1" t="str">
        <f>HYPERLINK("http://www.weizmann.ac.il/complex/compphys/software/geview/data/figures/210150_s_at.png","Figure")</f>
        <v>Figure</v>
      </c>
      <c r="I9383">
        <v>1.31</v>
      </c>
      <c r="J9383">
        <v>0.28999999999999998</v>
      </c>
      <c r="K9383">
        <v>1.31</v>
      </c>
      <c r="L9383">
        <v>0.2</v>
      </c>
      <c r="M9383">
        <v>1</v>
      </c>
      <c r="N9383">
        <v>1</v>
      </c>
    </row>
    <row r="9384" spans="1:14" x14ac:dyDescent="0.25">
      <c r="A9384" t="s">
        <v>16459</v>
      </c>
      <c r="B9384" t="s">
        <v>16460</v>
      </c>
      <c r="C9384" s="1" t="str">
        <f>HYPERLINK("http://www.genecards.org/cgi-bin/carddisp.pl?gene=KLHL1","GeneCards")</f>
        <v>GeneCards</v>
      </c>
      <c r="D9384" s="1" t="str">
        <f>HYPERLINK("http://genome-euro.ucsc.edu/cgi-bin/hgTracks?position=216391_s_at","UCSC")</f>
        <v>UCSC</v>
      </c>
      <c r="E9384" s="1" t="str">
        <f>HYPERLINK("http://www.ncbi.nlm.nih.gov/gene/?term=KLHL1","NCBI")</f>
        <v>NCBI</v>
      </c>
      <c r="F9384">
        <v>0.18</v>
      </c>
      <c r="G9384">
        <v>0.33</v>
      </c>
      <c r="H9384" s="1" t="str">
        <f>HYPERLINK("http://www.weizmann.ac.il/complex/compphys/software/geview/data/figures/216391_s_at.png","Figure")</f>
        <v>Figure</v>
      </c>
      <c r="I9384">
        <v>1.1000000000000001</v>
      </c>
      <c r="J9384">
        <v>0.17</v>
      </c>
      <c r="K9384">
        <v>1.06</v>
      </c>
      <c r="L9384">
        <v>0.41</v>
      </c>
      <c r="M9384">
        <v>0.96299999999999997</v>
      </c>
      <c r="N9384">
        <v>0.69</v>
      </c>
    </row>
    <row r="9385" spans="1:14" x14ac:dyDescent="0.25">
      <c r="A9385" t="s">
        <v>16461</v>
      </c>
      <c r="B9385" t="s">
        <v>16462</v>
      </c>
      <c r="C9385" s="1" t="str">
        <f>HYPERLINK("http://www.genecards.org/cgi-bin/carddisp.pl?gene=RAB26","GeneCards")</f>
        <v>GeneCards</v>
      </c>
      <c r="D9385" s="1" t="str">
        <f>HYPERLINK("http://genome-euro.ucsc.edu/cgi-bin/hgTracks?position=50965_at","UCSC")</f>
        <v>UCSC</v>
      </c>
      <c r="E9385" s="1" t="str">
        <f>HYPERLINK("http://www.ncbi.nlm.nih.gov/gene/?term=RAB26","NCBI")</f>
        <v>NCBI</v>
      </c>
      <c r="F9385">
        <v>0.18</v>
      </c>
      <c r="G9385">
        <v>0.33</v>
      </c>
      <c r="H9385" s="1" t="str">
        <f>HYPERLINK("http://www.weizmann.ac.il/complex/compphys/software/geview/data/figures/50965_at.png","Figure")</f>
        <v>Figure</v>
      </c>
      <c r="I9385">
        <v>1.1100000000000001</v>
      </c>
      <c r="J9385">
        <v>0.22</v>
      </c>
      <c r="K9385">
        <v>1.0900000000000001</v>
      </c>
      <c r="L9385">
        <v>0.25</v>
      </c>
      <c r="M9385">
        <v>0.98199999999999998</v>
      </c>
      <c r="N9385">
        <v>0.95</v>
      </c>
    </row>
    <row r="9386" spans="1:14" x14ac:dyDescent="0.25">
      <c r="A9386" t="s">
        <v>16463</v>
      </c>
      <c r="B9386" t="s">
        <v>16464</v>
      </c>
      <c r="C9386" s="1" t="str">
        <f>HYPERLINK("http://www.genecards.org/cgi-bin/carddisp.pl?gene=HDAC4","GeneCards")</f>
        <v>GeneCards</v>
      </c>
      <c r="D9386" s="1" t="str">
        <f>HYPERLINK("http://genome-euro.ucsc.edu/cgi-bin/hgTracks?position=204225_at","UCSC")</f>
        <v>UCSC</v>
      </c>
      <c r="E9386" s="1" t="str">
        <f>HYPERLINK("http://www.ncbi.nlm.nih.gov/gene/?term=HDAC4","NCBI")</f>
        <v>NCBI</v>
      </c>
      <c r="F9386">
        <v>0.18</v>
      </c>
      <c r="G9386">
        <v>0.33</v>
      </c>
      <c r="H9386" s="1" t="str">
        <f>HYPERLINK("http://www.weizmann.ac.il/complex/compphys/software/geview/data/figures/204225_at.png","Figure")</f>
        <v>Figure</v>
      </c>
      <c r="I9386">
        <v>1.42</v>
      </c>
      <c r="J9386">
        <v>0.3</v>
      </c>
      <c r="K9386">
        <v>1.43</v>
      </c>
      <c r="L9386">
        <v>0.2</v>
      </c>
      <c r="M9386">
        <v>1.01</v>
      </c>
      <c r="N9386">
        <v>1</v>
      </c>
    </row>
    <row r="9387" spans="1:14" x14ac:dyDescent="0.25">
      <c r="A9387" t="s">
        <v>16465</v>
      </c>
      <c r="B9387" t="s">
        <v>16466</v>
      </c>
      <c r="C9387" s="1" t="str">
        <f>HYPERLINK("http://www.genecards.org/cgi-bin/carddisp.pl?gene=PTPRN","GeneCards")</f>
        <v>GeneCards</v>
      </c>
      <c r="D9387" s="1" t="str">
        <f>HYPERLINK("http://genome-euro.ucsc.edu/cgi-bin/hgTracks?position=204945_at","UCSC")</f>
        <v>UCSC</v>
      </c>
      <c r="E9387" s="1" t="str">
        <f>HYPERLINK("http://www.ncbi.nlm.nih.gov/gene/?term=PTPRN","NCBI")</f>
        <v>NCBI</v>
      </c>
      <c r="F9387">
        <v>0.18</v>
      </c>
      <c r="G9387">
        <v>0.33</v>
      </c>
      <c r="H9387" s="1" t="str">
        <f>HYPERLINK("http://www.weizmann.ac.il/complex/compphys/software/geview/data/figures/204945_at.png","Figure")</f>
        <v>Figure</v>
      </c>
      <c r="I9387">
        <v>1.05</v>
      </c>
      <c r="J9387">
        <v>0.18</v>
      </c>
      <c r="K9387">
        <v>1.04</v>
      </c>
      <c r="L9387">
        <v>0.33</v>
      </c>
      <c r="M9387">
        <v>0.98399999999999999</v>
      </c>
      <c r="N9387">
        <v>0.81</v>
      </c>
    </row>
    <row r="9388" spans="1:14" x14ac:dyDescent="0.25">
      <c r="A9388" t="s">
        <v>16467</v>
      </c>
      <c r="B9388" t="s">
        <v>16468</v>
      </c>
      <c r="C9388" s="1" t="str">
        <f>HYPERLINK("http://www.genecards.org/cgi-bin/carddisp.pl?gene=PSG7","GeneCards")</f>
        <v>GeneCards</v>
      </c>
      <c r="D9388" s="1" t="str">
        <f>HYPERLINK("http://genome-euro.ucsc.edu/cgi-bin/hgTracks?position=205602_x_at","UCSC")</f>
        <v>UCSC</v>
      </c>
      <c r="E9388" s="1" t="str">
        <f>HYPERLINK("http://www.ncbi.nlm.nih.gov/gene/?term=PSG7","NCBI")</f>
        <v>NCBI</v>
      </c>
      <c r="F9388">
        <v>0.18</v>
      </c>
      <c r="G9388">
        <v>0.33</v>
      </c>
      <c r="H9388" s="1" t="str">
        <f>HYPERLINK("http://www.weizmann.ac.il/complex/compphys/software/geview/data/figures/205602_x_at.png","Figure")</f>
        <v>Figure</v>
      </c>
      <c r="I9388">
        <v>1.17</v>
      </c>
      <c r="J9388">
        <v>0.16</v>
      </c>
      <c r="K9388">
        <v>1.05</v>
      </c>
      <c r="L9388">
        <v>0.73</v>
      </c>
      <c r="M9388">
        <v>0.90400000000000003</v>
      </c>
      <c r="N9388">
        <v>0.38</v>
      </c>
    </row>
    <row r="9389" spans="1:14" x14ac:dyDescent="0.25">
      <c r="A9389" t="s">
        <v>16469</v>
      </c>
      <c r="B9389" t="s">
        <v>16470</v>
      </c>
      <c r="C9389" s="1" t="str">
        <f>HYPERLINK("http://www.genecards.org/cgi-bin/carddisp.pl?gene=HOXC11","GeneCards")</f>
        <v>GeneCards</v>
      </c>
      <c r="D9389" s="1" t="str">
        <f>HYPERLINK("http://genome-euro.ucsc.edu/cgi-bin/hgTracks?position=206745_at","UCSC")</f>
        <v>UCSC</v>
      </c>
      <c r="E9389" s="1" t="str">
        <f>HYPERLINK("http://www.ncbi.nlm.nih.gov/gene/?term=HOXC11","NCBI")</f>
        <v>NCBI</v>
      </c>
      <c r="F9389">
        <v>0.18</v>
      </c>
      <c r="G9389">
        <v>0.33</v>
      </c>
      <c r="H9389" s="1" t="str">
        <f>HYPERLINK("http://www.weizmann.ac.il/complex/compphys/software/geview/data/figures/206745_at.png","Figure")</f>
        <v>Figure</v>
      </c>
      <c r="I9389">
        <v>1.24</v>
      </c>
      <c r="J9389">
        <v>0.26</v>
      </c>
      <c r="K9389">
        <v>0.98899999999999999</v>
      </c>
      <c r="L9389">
        <v>0.99</v>
      </c>
      <c r="M9389">
        <v>0.79600000000000004</v>
      </c>
      <c r="N9389">
        <v>0.19</v>
      </c>
    </row>
    <row r="9390" spans="1:14" x14ac:dyDescent="0.25">
      <c r="A9390" t="s">
        <v>16471</v>
      </c>
      <c r="B9390" s="3">
        <v>42622</v>
      </c>
      <c r="C9390" s="1" t="str">
        <f>HYPERLINK("http://www.genecards.org/cgi-bin/carddisp.pl?gene=9-Sep","GeneCards")</f>
        <v>GeneCards</v>
      </c>
      <c r="D9390" s="1" t="str">
        <f>HYPERLINK("http://genome-euro.ucsc.edu/cgi-bin/hgTracks?position=208657_s_at","UCSC")</f>
        <v>UCSC</v>
      </c>
      <c r="E9390" s="1" t="str">
        <f>HYPERLINK("http://www.ncbi.nlm.nih.gov/gene/?term=9-Sep","NCBI")</f>
        <v>NCBI</v>
      </c>
      <c r="F9390">
        <v>0.18</v>
      </c>
      <c r="G9390">
        <v>0.33</v>
      </c>
      <c r="H9390" s="1" t="str">
        <f>HYPERLINK("http://www.weizmann.ac.il/complex/compphys/software/geview/data/figures/208657_s_at.png","Figure")</f>
        <v>Figure</v>
      </c>
      <c r="I9390">
        <v>0.625</v>
      </c>
      <c r="J9390">
        <v>0.2</v>
      </c>
      <c r="K9390">
        <v>0.94199999999999995</v>
      </c>
      <c r="L9390">
        <v>0.96</v>
      </c>
      <c r="M9390">
        <v>1.51</v>
      </c>
      <c r="N9390">
        <v>0.24</v>
      </c>
    </row>
    <row r="9391" spans="1:14" x14ac:dyDescent="0.25">
      <c r="A9391" t="s">
        <v>16472</v>
      </c>
      <c r="B9391" t="s">
        <v>16473</v>
      </c>
      <c r="C9391" s="1" t="str">
        <f>HYPERLINK("http://www.genecards.org/cgi-bin/carddisp.pl?gene=EFNA3","GeneCards")</f>
        <v>GeneCards</v>
      </c>
      <c r="D9391" s="1" t="str">
        <f>HYPERLINK("http://genome-euro.ucsc.edu/cgi-bin/hgTracks?position=210132_at","UCSC")</f>
        <v>UCSC</v>
      </c>
      <c r="E9391" s="1" t="str">
        <f>HYPERLINK("http://www.ncbi.nlm.nih.gov/gene/?term=EFNA3","NCBI")</f>
        <v>NCBI</v>
      </c>
      <c r="F9391">
        <v>0.18</v>
      </c>
      <c r="G9391">
        <v>0.33</v>
      </c>
      <c r="H9391" s="1" t="str">
        <f>HYPERLINK("http://www.weizmann.ac.il/complex/compphys/software/geview/data/figures/210132_at.png","Figure")</f>
        <v>Figure</v>
      </c>
      <c r="I9391">
        <v>1.26</v>
      </c>
      <c r="J9391">
        <v>0.16</v>
      </c>
      <c r="K9391">
        <v>1.1100000000000001</v>
      </c>
      <c r="L9391">
        <v>0.55000000000000004</v>
      </c>
      <c r="M9391">
        <v>0.88600000000000001</v>
      </c>
      <c r="N9391">
        <v>0.52</v>
      </c>
    </row>
    <row r="9392" spans="1:14" x14ac:dyDescent="0.25">
      <c r="A9392" t="s">
        <v>16474</v>
      </c>
      <c r="B9392" t="s">
        <v>16475</v>
      </c>
      <c r="C9392" s="1" t="str">
        <f>HYPERLINK("http://www.genecards.org/cgi-bin/carddisp.pl?gene=MAP3K7IP2","GeneCards")</f>
        <v>GeneCards</v>
      </c>
      <c r="D9392" s="1" t="str">
        <f>HYPERLINK("http://genome-euro.ucsc.edu/cgi-bin/hgTracks?position=210284_s_at","UCSC")</f>
        <v>UCSC</v>
      </c>
      <c r="E9392" s="1" t="str">
        <f>HYPERLINK("http://www.ncbi.nlm.nih.gov/gene/?term=MAP3K7IP2","NCBI")</f>
        <v>NCBI</v>
      </c>
      <c r="F9392">
        <v>0.18</v>
      </c>
      <c r="G9392">
        <v>0.33</v>
      </c>
      <c r="H9392" s="1" t="str">
        <f>HYPERLINK("http://www.weizmann.ac.il/complex/compphys/software/geview/data/figures/210284_s_at.png","Figure")</f>
        <v>Figure</v>
      </c>
      <c r="I9392">
        <v>1.18</v>
      </c>
      <c r="J9392">
        <v>0.38</v>
      </c>
      <c r="K9392">
        <v>0.94499999999999995</v>
      </c>
      <c r="L9392">
        <v>0.86</v>
      </c>
      <c r="M9392">
        <v>0.79700000000000004</v>
      </c>
      <c r="N9392">
        <v>0.16</v>
      </c>
    </row>
    <row r="9393" spans="1:14" x14ac:dyDescent="0.25">
      <c r="A9393" t="s">
        <v>16476</v>
      </c>
      <c r="B9393" t="s">
        <v>6103</v>
      </c>
      <c r="C9393" s="1" t="str">
        <f>HYPERLINK("http://www.genecards.org/cgi-bin/carddisp.pl?gene=C6orf108","GeneCards")</f>
        <v>GeneCards</v>
      </c>
      <c r="D9393" s="1" t="str">
        <f>HYPERLINK("http://genome-euro.ucsc.edu/cgi-bin/hgTracks?position=213871_s_at","UCSC")</f>
        <v>UCSC</v>
      </c>
      <c r="E9393" s="1" t="str">
        <f>HYPERLINK("http://www.ncbi.nlm.nih.gov/gene/?term=C6orf108","NCBI")</f>
        <v>NCBI</v>
      </c>
      <c r="F9393">
        <v>0.18</v>
      </c>
      <c r="G9393">
        <v>0.33</v>
      </c>
      <c r="H9393" s="1" t="str">
        <f>HYPERLINK("http://www.weizmann.ac.il/complex/compphys/software/geview/data/figures/213871_s_at.png","Figure")</f>
        <v>Figure</v>
      </c>
      <c r="I9393">
        <v>1.24</v>
      </c>
      <c r="J9393">
        <v>0.16</v>
      </c>
      <c r="K9393">
        <v>1.1100000000000001</v>
      </c>
      <c r="L9393">
        <v>0.56999999999999995</v>
      </c>
      <c r="M9393">
        <v>0.88800000000000001</v>
      </c>
      <c r="N9393">
        <v>0.5</v>
      </c>
    </row>
    <row r="9394" spans="1:14" x14ac:dyDescent="0.25">
      <c r="A9394" t="s">
        <v>16477</v>
      </c>
      <c r="B9394" t="s">
        <v>16478</v>
      </c>
      <c r="C9394" s="1" t="str">
        <f>HYPERLINK("http://www.genecards.org/cgi-bin/carddisp.pl?gene=ZNF587","GeneCards")</f>
        <v>GeneCards</v>
      </c>
      <c r="D9394" s="1" t="str">
        <f>HYPERLINK("http://genome-euro.ucsc.edu/cgi-bin/hgTracks?position=219981_x_at","UCSC")</f>
        <v>UCSC</v>
      </c>
      <c r="E9394" s="1" t="str">
        <f>HYPERLINK("http://www.ncbi.nlm.nih.gov/gene/?term=ZNF587","NCBI")</f>
        <v>NCBI</v>
      </c>
      <c r="F9394">
        <v>0.18</v>
      </c>
      <c r="G9394">
        <v>0.33</v>
      </c>
      <c r="H9394" s="1" t="str">
        <f>HYPERLINK("http://www.weizmann.ac.il/complex/compphys/software/geview/data/figures/219981_x_at.png","Figure")</f>
        <v>Figure</v>
      </c>
      <c r="I9394">
        <v>1.1299999999999999</v>
      </c>
      <c r="J9394">
        <v>0.82</v>
      </c>
      <c r="K9394">
        <v>0.79500000000000004</v>
      </c>
      <c r="L9394">
        <v>0.42</v>
      </c>
      <c r="M9394">
        <v>0.70399999999999996</v>
      </c>
      <c r="N9394">
        <v>0.19</v>
      </c>
    </row>
    <row r="9395" spans="1:14" x14ac:dyDescent="0.25">
      <c r="A9395" t="s">
        <v>16479</v>
      </c>
      <c r="B9395" t="s">
        <v>16480</v>
      </c>
      <c r="C9395" s="1" t="str">
        <f>HYPERLINK("http://www.genecards.org/cgi-bin/carddisp.pl?gene=NECAP2","GeneCards")</f>
        <v>GeneCards</v>
      </c>
      <c r="D9395" s="1" t="str">
        <f>HYPERLINK("http://genome-euro.ucsc.edu/cgi-bin/hgTracks?position=220731_s_at","UCSC")</f>
        <v>UCSC</v>
      </c>
      <c r="E9395" s="1" t="str">
        <f>HYPERLINK("http://www.ncbi.nlm.nih.gov/gene/?term=NECAP2","NCBI")</f>
        <v>NCBI</v>
      </c>
      <c r="F9395">
        <v>0.18</v>
      </c>
      <c r="G9395">
        <v>0.33</v>
      </c>
      <c r="H9395" s="1" t="str">
        <f>HYPERLINK("http://www.weizmann.ac.il/complex/compphys/software/geview/data/figures/220731_s_at.png","Figure")</f>
        <v>Figure</v>
      </c>
      <c r="I9395">
        <v>0.97199999999999998</v>
      </c>
      <c r="J9395">
        <v>0.98</v>
      </c>
      <c r="K9395">
        <v>0.79</v>
      </c>
      <c r="L9395">
        <v>0.21</v>
      </c>
      <c r="M9395">
        <v>0.81200000000000006</v>
      </c>
      <c r="N9395">
        <v>0.34</v>
      </c>
    </row>
    <row r="9396" spans="1:14" x14ac:dyDescent="0.25">
      <c r="A9396" t="s">
        <v>16481</v>
      </c>
      <c r="B9396" t="s">
        <v>16482</v>
      </c>
      <c r="C9396" s="1" t="str">
        <f>HYPERLINK("http://www.genecards.org/cgi-bin/carddisp.pl?gene=DFFB","GeneCards")</f>
        <v>GeneCards</v>
      </c>
      <c r="D9396" s="1" t="str">
        <f>HYPERLINK("http://genome-euro.ucsc.edu/cgi-bin/hgTracks?position=206752_s_at","UCSC")</f>
        <v>UCSC</v>
      </c>
      <c r="E9396" s="1" t="str">
        <f>HYPERLINK("http://www.ncbi.nlm.nih.gov/gene/?term=DFFB","NCBI")</f>
        <v>NCBI</v>
      </c>
      <c r="F9396">
        <v>0.18</v>
      </c>
      <c r="G9396">
        <v>0.33</v>
      </c>
      <c r="H9396" s="1" t="str">
        <f>HYPERLINK("http://www.weizmann.ac.il/complex/compphys/software/geview/data/figures/206752_s_at.png","Figure")</f>
        <v>Figure</v>
      </c>
      <c r="I9396">
        <v>0.97399999999999998</v>
      </c>
      <c r="J9396">
        <v>0.24</v>
      </c>
      <c r="K9396">
        <v>1</v>
      </c>
      <c r="L9396">
        <v>1</v>
      </c>
      <c r="M9396">
        <v>1.03</v>
      </c>
      <c r="N9396">
        <v>0.2</v>
      </c>
    </row>
    <row r="9397" spans="1:14" x14ac:dyDescent="0.25">
      <c r="A9397" t="s">
        <v>16483</v>
      </c>
      <c r="B9397" t="s">
        <v>14144</v>
      </c>
      <c r="C9397" s="1" t="str">
        <f>HYPERLINK("http://www.genecards.org/cgi-bin/carddisp.pl?gene=CDC16","GeneCards")</f>
        <v>GeneCards</v>
      </c>
      <c r="D9397" s="1" t="str">
        <f>HYPERLINK("http://genome-euro.ucsc.edu/cgi-bin/hgTracks?position=209659_s_at","UCSC")</f>
        <v>UCSC</v>
      </c>
      <c r="E9397" s="1" t="str">
        <f>HYPERLINK("http://www.ncbi.nlm.nih.gov/gene/?term=CDC16","NCBI")</f>
        <v>NCBI</v>
      </c>
      <c r="F9397">
        <v>0.18</v>
      </c>
      <c r="G9397">
        <v>0.33</v>
      </c>
      <c r="H9397" s="1" t="str">
        <f>HYPERLINK("http://www.weizmann.ac.il/complex/compphys/software/geview/data/figures/209659_s_at.png","Figure")</f>
        <v>Figure</v>
      </c>
      <c r="I9397">
        <v>0.96899999999999997</v>
      </c>
      <c r="J9397">
        <v>0.99</v>
      </c>
      <c r="K9397">
        <v>1.38</v>
      </c>
      <c r="L9397">
        <v>0.27</v>
      </c>
      <c r="M9397">
        <v>1.43</v>
      </c>
      <c r="N9397">
        <v>0.25</v>
      </c>
    </row>
    <row r="9398" spans="1:14" x14ac:dyDescent="0.25">
      <c r="A9398" t="s">
        <v>16484</v>
      </c>
      <c r="B9398" t="s">
        <v>16485</v>
      </c>
      <c r="C9398" s="1" t="str">
        <f>HYPERLINK("http://www.genecards.org/cgi-bin/carddisp.pl?gene=ABCA4","GeneCards")</f>
        <v>GeneCards</v>
      </c>
      <c r="D9398" s="1" t="str">
        <f>HYPERLINK("http://genome-euro.ucsc.edu/cgi-bin/hgTracks?position=210082_at","UCSC")</f>
        <v>UCSC</v>
      </c>
      <c r="E9398" s="1" t="str">
        <f>HYPERLINK("http://www.ncbi.nlm.nih.gov/gene/?term=ABCA4","NCBI")</f>
        <v>NCBI</v>
      </c>
      <c r="F9398">
        <v>0.18</v>
      </c>
      <c r="G9398">
        <v>0.33</v>
      </c>
      <c r="H9398" s="1" t="str">
        <f>HYPERLINK("http://www.weizmann.ac.il/complex/compphys/software/geview/data/figures/210082_at.png","Figure")</f>
        <v>Figure</v>
      </c>
      <c r="I9398">
        <v>1.1000000000000001</v>
      </c>
      <c r="J9398">
        <v>0.37</v>
      </c>
      <c r="K9398">
        <v>0.97199999999999998</v>
      </c>
      <c r="L9398">
        <v>0.88</v>
      </c>
      <c r="M9398">
        <v>0.88300000000000001</v>
      </c>
      <c r="N9398">
        <v>0.16</v>
      </c>
    </row>
    <row r="9399" spans="1:14" x14ac:dyDescent="0.25">
      <c r="A9399" t="s">
        <v>16486</v>
      </c>
      <c r="B9399" t="s">
        <v>10614</v>
      </c>
      <c r="C9399" s="1" t="str">
        <f>HYPERLINK("http://www.genecards.org/cgi-bin/carddisp.pl?gene=MLL","GeneCards")</f>
        <v>GeneCards</v>
      </c>
      <c r="D9399" s="1" t="str">
        <f>HYPERLINK("http://genome-euro.ucsc.edu/cgi-bin/hgTracks?position=212080_at","UCSC")</f>
        <v>UCSC</v>
      </c>
      <c r="E9399" s="1" t="str">
        <f>HYPERLINK("http://www.ncbi.nlm.nih.gov/gene/?term=MLL","NCBI")</f>
        <v>NCBI</v>
      </c>
      <c r="F9399">
        <v>0.18</v>
      </c>
      <c r="G9399">
        <v>0.33</v>
      </c>
      <c r="H9399" s="1" t="str">
        <f>HYPERLINK("http://www.weizmann.ac.il/complex/compphys/software/geview/data/figures/212080_at.png","Figure")</f>
        <v>Figure</v>
      </c>
      <c r="I9399">
        <v>0.97199999999999998</v>
      </c>
      <c r="J9399">
        <v>0.98</v>
      </c>
      <c r="K9399">
        <v>1.27</v>
      </c>
      <c r="L9399">
        <v>0.28000000000000003</v>
      </c>
      <c r="M9399">
        <v>1.3</v>
      </c>
      <c r="N9399">
        <v>0.25</v>
      </c>
    </row>
    <row r="9400" spans="1:14" x14ac:dyDescent="0.25">
      <c r="A9400" t="s">
        <v>16487</v>
      </c>
      <c r="B9400" t="s">
        <v>16488</v>
      </c>
      <c r="C9400" s="1" t="str">
        <f>HYPERLINK("http://www.genecards.org/cgi-bin/carddisp.pl?gene=ASCC1","GeneCards")</f>
        <v>GeneCards</v>
      </c>
      <c r="D9400" s="1" t="str">
        <f>HYPERLINK("http://genome-euro.ucsc.edu/cgi-bin/hgTracks?position=219336_s_at","UCSC")</f>
        <v>UCSC</v>
      </c>
      <c r="E9400" s="1" t="str">
        <f>HYPERLINK("http://www.ncbi.nlm.nih.gov/gene/?term=ASCC1","NCBI")</f>
        <v>NCBI</v>
      </c>
      <c r="F9400">
        <v>0.18</v>
      </c>
      <c r="G9400">
        <v>0.33</v>
      </c>
      <c r="H9400" s="1" t="str">
        <f>HYPERLINK("http://www.weizmann.ac.il/complex/compphys/software/geview/data/figures/219336_s_at.png","Figure")</f>
        <v>Figure</v>
      </c>
      <c r="I9400">
        <v>0.74399999999999999</v>
      </c>
      <c r="J9400">
        <v>0.31</v>
      </c>
      <c r="K9400">
        <v>1.05</v>
      </c>
      <c r="L9400">
        <v>0.95</v>
      </c>
      <c r="M9400">
        <v>1.41</v>
      </c>
      <c r="N9400">
        <v>0.17</v>
      </c>
    </row>
    <row r="9401" spans="1:14" x14ac:dyDescent="0.25">
      <c r="A9401" t="s">
        <v>16489</v>
      </c>
      <c r="B9401" t="s">
        <v>16490</v>
      </c>
      <c r="C9401" s="1" t="str">
        <f>HYPERLINK("http://www.genecards.org/cgi-bin/carddisp.pl?gene=UGP2","GeneCards")</f>
        <v>GeneCards</v>
      </c>
      <c r="D9401" s="1" t="str">
        <f>HYPERLINK("http://genome-euro.ucsc.edu/cgi-bin/hgTracks?position=205480_s_at","UCSC")</f>
        <v>UCSC</v>
      </c>
      <c r="E9401" s="1" t="str">
        <f>HYPERLINK("http://www.ncbi.nlm.nih.gov/gene/?term=UGP2","NCBI")</f>
        <v>NCBI</v>
      </c>
      <c r="F9401">
        <v>0.18</v>
      </c>
      <c r="G9401">
        <v>0.33</v>
      </c>
      <c r="H9401" s="1" t="str">
        <f>HYPERLINK("http://www.weizmann.ac.il/complex/compphys/software/geview/data/figures/205480_s_at.png","Figure")</f>
        <v>Figure</v>
      </c>
      <c r="I9401">
        <v>1.29</v>
      </c>
      <c r="J9401">
        <v>0.63</v>
      </c>
      <c r="K9401">
        <v>1.6</v>
      </c>
      <c r="L9401">
        <v>0.16</v>
      </c>
      <c r="M9401">
        <v>1.24</v>
      </c>
      <c r="N9401">
        <v>0.69</v>
      </c>
    </row>
    <row r="9402" spans="1:14" x14ac:dyDescent="0.25">
      <c r="A9402" t="s">
        <v>16491</v>
      </c>
      <c r="B9402" t="s">
        <v>12943</v>
      </c>
      <c r="C9402" s="1" t="str">
        <f>HYPERLINK("http://www.genecards.org/cgi-bin/carddisp.pl?gene=YTHDC2","GeneCards")</f>
        <v>GeneCards</v>
      </c>
      <c r="D9402" s="1" t="str">
        <f>HYPERLINK("http://genome-euro.ucsc.edu/cgi-bin/hgTracks?position=205836_s_at","UCSC")</f>
        <v>UCSC</v>
      </c>
      <c r="E9402" s="1" t="str">
        <f>HYPERLINK("http://www.ncbi.nlm.nih.gov/gene/?term=YTHDC2","NCBI")</f>
        <v>NCBI</v>
      </c>
      <c r="F9402">
        <v>0.18</v>
      </c>
      <c r="G9402">
        <v>0.33</v>
      </c>
      <c r="H9402" s="1" t="str">
        <f>HYPERLINK("http://www.weizmann.ac.il/complex/compphys/software/geview/data/figures/205836_s_at.png","Figure")</f>
        <v>Figure</v>
      </c>
      <c r="I9402">
        <v>1.02</v>
      </c>
      <c r="J9402">
        <v>0.99</v>
      </c>
      <c r="K9402">
        <v>0.77100000000000002</v>
      </c>
      <c r="L9402">
        <v>0.26</v>
      </c>
      <c r="M9402">
        <v>0.75600000000000001</v>
      </c>
      <c r="N9402">
        <v>0.26</v>
      </c>
    </row>
    <row r="9403" spans="1:14" x14ac:dyDescent="0.25">
      <c r="A9403" t="s">
        <v>16492</v>
      </c>
      <c r="B9403" t="s">
        <v>16493</v>
      </c>
      <c r="C9403" s="1" t="str">
        <f>HYPERLINK("http://www.genecards.org/cgi-bin/carddisp.pl?gene=TNIK","GeneCards")</f>
        <v>GeneCards</v>
      </c>
      <c r="D9403" s="1" t="str">
        <f>HYPERLINK("http://genome-euro.ucsc.edu/cgi-bin/hgTracks?position=213109_at","UCSC")</f>
        <v>UCSC</v>
      </c>
      <c r="E9403" s="1" t="str">
        <f>HYPERLINK("http://www.ncbi.nlm.nih.gov/gene/?term=TNIK","NCBI")</f>
        <v>NCBI</v>
      </c>
      <c r="F9403">
        <v>0.18</v>
      </c>
      <c r="G9403">
        <v>0.33</v>
      </c>
      <c r="H9403" s="1" t="str">
        <f>HYPERLINK("http://www.weizmann.ac.il/complex/compphys/software/geview/data/figures/213109_at.png","Figure")</f>
        <v>Figure</v>
      </c>
      <c r="I9403">
        <v>1.1200000000000001</v>
      </c>
      <c r="J9403">
        <v>0.17</v>
      </c>
      <c r="K9403">
        <v>1.03</v>
      </c>
      <c r="L9403">
        <v>0.82</v>
      </c>
      <c r="M9403">
        <v>0.92300000000000004</v>
      </c>
      <c r="N9403">
        <v>0.32</v>
      </c>
    </row>
    <row r="9404" spans="1:14" x14ac:dyDescent="0.25">
      <c r="A9404" t="s">
        <v>16494</v>
      </c>
      <c r="B9404" t="s">
        <v>16495</v>
      </c>
      <c r="C9404" s="1" t="str">
        <f>HYPERLINK("http://www.genecards.org/cgi-bin/carddisp.pl?gene=IDH3G","GeneCards")</f>
        <v>GeneCards</v>
      </c>
      <c r="D9404" s="1" t="str">
        <f>HYPERLINK("http://genome-euro.ucsc.edu/cgi-bin/hgTracks?position=202471_s_at","UCSC")</f>
        <v>UCSC</v>
      </c>
      <c r="E9404" s="1" t="str">
        <f>HYPERLINK("http://www.ncbi.nlm.nih.gov/gene/?term=IDH3G","NCBI")</f>
        <v>NCBI</v>
      </c>
      <c r="F9404">
        <v>0.18</v>
      </c>
      <c r="G9404">
        <v>0.33</v>
      </c>
      <c r="H9404" s="1" t="str">
        <f>HYPERLINK("http://www.weizmann.ac.il/complex/compphys/software/geview/data/figures/202471_s_at.png","Figure")</f>
        <v>Figure</v>
      </c>
      <c r="I9404">
        <v>0.66900000000000004</v>
      </c>
      <c r="J9404">
        <v>0.23</v>
      </c>
      <c r="K9404">
        <v>0.98</v>
      </c>
      <c r="L9404">
        <v>0.99</v>
      </c>
      <c r="M9404">
        <v>1.47</v>
      </c>
      <c r="N9404">
        <v>0.22</v>
      </c>
    </row>
    <row r="9405" spans="1:14" x14ac:dyDescent="0.25">
      <c r="A9405" t="s">
        <v>16496</v>
      </c>
      <c r="B9405" t="s">
        <v>10390</v>
      </c>
      <c r="C9405" s="1" t="str">
        <f>HYPERLINK("http://www.genecards.org/cgi-bin/carddisp.pl?gene=NQO1","GeneCards")</f>
        <v>GeneCards</v>
      </c>
      <c r="D9405" s="1" t="str">
        <f>HYPERLINK("http://genome-euro.ucsc.edu/cgi-bin/hgTracks?position=201467_s_at","UCSC")</f>
        <v>UCSC</v>
      </c>
      <c r="E9405" s="1" t="str">
        <f>HYPERLINK("http://www.ncbi.nlm.nih.gov/gene/?term=NQO1","NCBI")</f>
        <v>NCBI</v>
      </c>
      <c r="F9405">
        <v>0.18</v>
      </c>
      <c r="G9405">
        <v>0.33</v>
      </c>
      <c r="H9405" s="1" t="str">
        <f>HYPERLINK("http://www.weizmann.ac.il/complex/compphys/software/geview/data/figures/201467_s_at.png","Figure")</f>
        <v>Figure</v>
      </c>
      <c r="I9405">
        <v>1.03</v>
      </c>
      <c r="J9405">
        <v>0.28999999999999998</v>
      </c>
      <c r="K9405">
        <v>1.03</v>
      </c>
      <c r="L9405">
        <v>0.2</v>
      </c>
      <c r="M9405">
        <v>1</v>
      </c>
      <c r="N9405">
        <v>1</v>
      </c>
    </row>
    <row r="9406" spans="1:14" x14ac:dyDescent="0.25">
      <c r="A9406" t="s">
        <v>16497</v>
      </c>
      <c r="B9406" t="s">
        <v>16498</v>
      </c>
      <c r="C9406" s="1" t="str">
        <f>HYPERLINK("http://www.genecards.org/cgi-bin/carddisp.pl?gene=FANCI","GeneCards")</f>
        <v>GeneCards</v>
      </c>
      <c r="D9406" s="1" t="str">
        <f>HYPERLINK("http://genome-euro.ucsc.edu/cgi-bin/hgTracks?position=213008_at","UCSC")</f>
        <v>UCSC</v>
      </c>
      <c r="E9406" s="1" t="str">
        <f>HYPERLINK("http://www.ncbi.nlm.nih.gov/gene/?term=FANCI","NCBI")</f>
        <v>NCBI</v>
      </c>
      <c r="F9406">
        <v>0.18</v>
      </c>
      <c r="G9406">
        <v>0.33</v>
      </c>
      <c r="H9406" s="1" t="str">
        <f>HYPERLINK("http://www.weizmann.ac.il/complex/compphys/software/geview/data/figures/213008_at.png","Figure")</f>
        <v>Figure</v>
      </c>
      <c r="I9406">
        <v>1.2</v>
      </c>
      <c r="J9406">
        <v>0.65</v>
      </c>
      <c r="K9406">
        <v>1.41</v>
      </c>
      <c r="L9406">
        <v>0.16</v>
      </c>
      <c r="M9406">
        <v>1.18</v>
      </c>
      <c r="N9406">
        <v>0.66</v>
      </c>
    </row>
    <row r="9407" spans="1:14" x14ac:dyDescent="0.25">
      <c r="A9407" t="s">
        <v>16499</v>
      </c>
      <c r="B9407" t="s">
        <v>16500</v>
      </c>
      <c r="C9407" s="1" t="str">
        <f>HYPERLINK("http://www.genecards.org/cgi-bin/carddisp.pl?gene=LRRC37A /// LRRC37A2 /// LRRC37A3","GeneCards")</f>
        <v>GeneCards</v>
      </c>
      <c r="D9407" s="1" t="str">
        <f>HYPERLINK("http://genome-euro.ucsc.edu/cgi-bin/hgTracks?position=206088_at","UCSC")</f>
        <v>UCSC</v>
      </c>
      <c r="E9407" s="1" t="str">
        <f>HYPERLINK("http://www.ncbi.nlm.nih.gov/gene/?term=LRRC37A /// LRRC37A2 /// LRRC37A3","NCBI")</f>
        <v>NCBI</v>
      </c>
      <c r="F9407">
        <v>0.18</v>
      </c>
      <c r="G9407">
        <v>0.33</v>
      </c>
      <c r="H9407" s="1" t="str">
        <f>HYPERLINK("http://www.weizmann.ac.il/complex/compphys/software/geview/data/figures/206088_at.png","Figure")</f>
        <v>Figure</v>
      </c>
      <c r="I9407">
        <v>1.05</v>
      </c>
      <c r="J9407">
        <v>0.98</v>
      </c>
      <c r="K9407">
        <v>0.71399999999999997</v>
      </c>
      <c r="L9407">
        <v>0.28000000000000003</v>
      </c>
      <c r="M9407">
        <v>0.68300000000000005</v>
      </c>
      <c r="N9407">
        <v>0.25</v>
      </c>
    </row>
    <row r="9408" spans="1:14" x14ac:dyDescent="0.25">
      <c r="A9408" t="s">
        <v>16501</v>
      </c>
      <c r="B9408" t="s">
        <v>16502</v>
      </c>
      <c r="C9408" s="1" t="str">
        <f>HYPERLINK("http://www.genecards.org/cgi-bin/carddisp.pl?gene=EIF4G2","GeneCards")</f>
        <v>GeneCards</v>
      </c>
      <c r="D9408" s="1" t="str">
        <f>HYPERLINK("http://genome-euro.ucsc.edu/cgi-bin/hgTracks?position=200004_at","UCSC")</f>
        <v>UCSC</v>
      </c>
      <c r="E9408" s="1" t="str">
        <f>HYPERLINK("http://www.ncbi.nlm.nih.gov/gene/?term=EIF4G2","NCBI")</f>
        <v>NCBI</v>
      </c>
      <c r="F9408">
        <v>0.18</v>
      </c>
      <c r="G9408">
        <v>0.33</v>
      </c>
      <c r="H9408" s="1" t="str">
        <f>HYPERLINK("http://www.weizmann.ac.il/complex/compphys/software/geview/data/figures/200004_at.png","Figure")</f>
        <v>Figure</v>
      </c>
      <c r="I9408">
        <v>1.28</v>
      </c>
      <c r="J9408">
        <v>0.18</v>
      </c>
      <c r="K9408">
        <v>1.06</v>
      </c>
      <c r="L9408">
        <v>0.86</v>
      </c>
      <c r="M9408">
        <v>0.82799999999999996</v>
      </c>
      <c r="N9408">
        <v>0.3</v>
      </c>
    </row>
    <row r="9409" spans="1:14" x14ac:dyDescent="0.25">
      <c r="A9409" t="s">
        <v>16503</v>
      </c>
      <c r="B9409" t="s">
        <v>3769</v>
      </c>
      <c r="C9409" s="1" t="str">
        <f>HYPERLINK("http://www.genecards.org/cgi-bin/carddisp.pl?gene=EIF4E2","GeneCards")</f>
        <v>GeneCards</v>
      </c>
      <c r="D9409" s="1" t="str">
        <f>HYPERLINK("http://genome-euro.ucsc.edu/cgi-bin/hgTracks?position=209393_s_at","UCSC")</f>
        <v>UCSC</v>
      </c>
      <c r="E9409" s="1" t="str">
        <f>HYPERLINK("http://www.ncbi.nlm.nih.gov/gene/?term=EIF4E2","NCBI")</f>
        <v>NCBI</v>
      </c>
      <c r="F9409">
        <v>0.18</v>
      </c>
      <c r="G9409">
        <v>0.33</v>
      </c>
      <c r="H9409" s="1" t="str">
        <f>HYPERLINK("http://www.weizmann.ac.il/complex/compphys/software/geview/data/figures/209393_s_at.png","Figure")</f>
        <v>Figure</v>
      </c>
      <c r="I9409">
        <v>0.76400000000000001</v>
      </c>
      <c r="J9409">
        <v>0.17</v>
      </c>
      <c r="K9409">
        <v>0.93</v>
      </c>
      <c r="L9409">
        <v>0.82</v>
      </c>
      <c r="M9409">
        <v>1.22</v>
      </c>
      <c r="N9409">
        <v>0.32</v>
      </c>
    </row>
    <row r="9410" spans="1:14" x14ac:dyDescent="0.25">
      <c r="A9410" t="s">
        <v>16504</v>
      </c>
      <c r="B9410" t="s">
        <v>16505</v>
      </c>
      <c r="C9410" s="1" t="str">
        <f>HYPERLINK("http://www.genecards.org/cgi-bin/carddisp.pl?gene=FAM50B","GeneCards")</f>
        <v>GeneCards</v>
      </c>
      <c r="D9410" s="1" t="str">
        <f>HYPERLINK("http://genome-euro.ucsc.edu/cgi-bin/hgTracks?position=205775_at","UCSC")</f>
        <v>UCSC</v>
      </c>
      <c r="E9410" s="1" t="str">
        <f>HYPERLINK("http://www.ncbi.nlm.nih.gov/gene/?term=FAM50B","NCBI")</f>
        <v>NCBI</v>
      </c>
      <c r="F9410">
        <v>0.18</v>
      </c>
      <c r="G9410">
        <v>0.33</v>
      </c>
      <c r="H9410" s="1" t="str">
        <f>HYPERLINK("http://www.weizmann.ac.il/complex/compphys/software/geview/data/figures/205775_at.png","Figure")</f>
        <v>Figure</v>
      </c>
      <c r="I9410">
        <v>1.1399999999999999</v>
      </c>
      <c r="J9410">
        <v>0.17</v>
      </c>
      <c r="K9410">
        <v>1.03</v>
      </c>
      <c r="L9410">
        <v>0.83</v>
      </c>
      <c r="M9410">
        <v>0.91</v>
      </c>
      <c r="N9410">
        <v>0.32</v>
      </c>
    </row>
    <row r="9411" spans="1:14" x14ac:dyDescent="0.25">
      <c r="A9411" t="s">
        <v>16506</v>
      </c>
      <c r="B9411" t="s">
        <v>6896</v>
      </c>
      <c r="C9411" s="1" t="str">
        <f>HYPERLINK("http://www.genecards.org/cgi-bin/carddisp.pl?gene=ATXN10","GeneCards")</f>
        <v>GeneCards</v>
      </c>
      <c r="D9411" s="1" t="str">
        <f>HYPERLINK("http://genome-euro.ucsc.edu/cgi-bin/hgTracks?position=208832_at","UCSC")</f>
        <v>UCSC</v>
      </c>
      <c r="E9411" s="1" t="str">
        <f>HYPERLINK("http://www.ncbi.nlm.nih.gov/gene/?term=ATXN10","NCBI")</f>
        <v>NCBI</v>
      </c>
      <c r="F9411">
        <v>0.18</v>
      </c>
      <c r="G9411">
        <v>0.33</v>
      </c>
      <c r="H9411" s="1" t="str">
        <f>HYPERLINK("http://www.weizmann.ac.il/complex/compphys/software/geview/data/figures/208832_at.png","Figure")</f>
        <v>Figure</v>
      </c>
      <c r="I9411">
        <v>1.1000000000000001</v>
      </c>
      <c r="J9411">
        <v>0.79</v>
      </c>
      <c r="K9411">
        <v>1.26</v>
      </c>
      <c r="L9411">
        <v>0.17</v>
      </c>
      <c r="M9411">
        <v>1.1499999999999999</v>
      </c>
      <c r="N9411">
        <v>0.54</v>
      </c>
    </row>
    <row r="9412" spans="1:14" x14ac:dyDescent="0.25">
      <c r="A9412" t="s">
        <v>16507</v>
      </c>
      <c r="B9412" t="s">
        <v>16508</v>
      </c>
      <c r="C9412" s="1" t="str">
        <f>HYPERLINK("http://www.genecards.org/cgi-bin/carddisp.pl?gene=NFE2L2","GeneCards")</f>
        <v>GeneCards</v>
      </c>
      <c r="D9412" s="1" t="str">
        <f>HYPERLINK("http://genome-euro.ucsc.edu/cgi-bin/hgTracks?position=201146_at","UCSC")</f>
        <v>UCSC</v>
      </c>
      <c r="E9412" s="1" t="str">
        <f>HYPERLINK("http://www.ncbi.nlm.nih.gov/gene/?term=NFE2L2","NCBI")</f>
        <v>NCBI</v>
      </c>
      <c r="F9412">
        <v>0.18</v>
      </c>
      <c r="G9412">
        <v>0.33</v>
      </c>
      <c r="H9412" s="1" t="str">
        <f>HYPERLINK("http://www.weizmann.ac.il/complex/compphys/software/geview/data/figures/201146_at.png","Figure")</f>
        <v>Figure</v>
      </c>
      <c r="I9412">
        <v>1.06</v>
      </c>
      <c r="J9412">
        <v>0.98</v>
      </c>
      <c r="K9412">
        <v>0.65600000000000003</v>
      </c>
      <c r="L9412">
        <v>0.28000000000000003</v>
      </c>
      <c r="M9412">
        <v>0.62</v>
      </c>
      <c r="N9412">
        <v>0.25</v>
      </c>
    </row>
    <row r="9413" spans="1:14" x14ac:dyDescent="0.25">
      <c r="A9413" t="s">
        <v>16509</v>
      </c>
      <c r="B9413" t="s">
        <v>14950</v>
      </c>
      <c r="C9413" s="1" t="str">
        <f>HYPERLINK("http://www.genecards.org/cgi-bin/carddisp.pl?gene=FXR2","GeneCards")</f>
        <v>GeneCards</v>
      </c>
      <c r="D9413" s="1" t="str">
        <f>HYPERLINK("http://genome-euro.ucsc.edu/cgi-bin/hgTracks?position=203172_at","UCSC")</f>
        <v>UCSC</v>
      </c>
      <c r="E9413" s="1" t="str">
        <f>HYPERLINK("http://www.ncbi.nlm.nih.gov/gene/?term=FXR2","NCBI")</f>
        <v>NCBI</v>
      </c>
      <c r="F9413">
        <v>0.18</v>
      </c>
      <c r="G9413">
        <v>0.33</v>
      </c>
      <c r="H9413" s="1" t="str">
        <f>HYPERLINK("http://www.weizmann.ac.il/complex/compphys/software/geview/data/figures/203172_at.png","Figure")</f>
        <v>Figure</v>
      </c>
      <c r="I9413">
        <v>1.24</v>
      </c>
      <c r="J9413">
        <v>0.17</v>
      </c>
      <c r="K9413">
        <v>1.06</v>
      </c>
      <c r="L9413">
        <v>0.83</v>
      </c>
      <c r="M9413">
        <v>0.85299999999999998</v>
      </c>
      <c r="N9413">
        <v>0.32</v>
      </c>
    </row>
    <row r="9414" spans="1:14" x14ac:dyDescent="0.25">
      <c r="A9414" t="s">
        <v>16510</v>
      </c>
      <c r="B9414" t="s">
        <v>16511</v>
      </c>
      <c r="C9414" s="1" t="str">
        <f>HYPERLINK("http://www.genecards.org/cgi-bin/carddisp.pl?gene=VGLL1","GeneCards")</f>
        <v>GeneCards</v>
      </c>
      <c r="D9414" s="1" t="str">
        <f>HYPERLINK("http://genome-euro.ucsc.edu/cgi-bin/hgTracks?position=205487_s_at","UCSC")</f>
        <v>UCSC</v>
      </c>
      <c r="E9414" s="1" t="str">
        <f>HYPERLINK("http://www.ncbi.nlm.nih.gov/gene/?term=VGLL1","NCBI")</f>
        <v>NCBI</v>
      </c>
      <c r="F9414">
        <v>0.18</v>
      </c>
      <c r="G9414">
        <v>0.33</v>
      </c>
      <c r="H9414" s="1" t="str">
        <f>HYPERLINK("http://www.weizmann.ac.il/complex/compphys/software/geview/data/figures/205487_s_at.png","Figure")</f>
        <v>Figure</v>
      </c>
      <c r="I9414">
        <v>1.06</v>
      </c>
      <c r="J9414">
        <v>0.52</v>
      </c>
      <c r="K9414">
        <v>1.1000000000000001</v>
      </c>
      <c r="L9414">
        <v>0.16</v>
      </c>
      <c r="M9414">
        <v>1.03</v>
      </c>
      <c r="N9414">
        <v>0.81</v>
      </c>
    </row>
    <row r="9415" spans="1:14" x14ac:dyDescent="0.25">
      <c r="A9415" t="s">
        <v>16512</v>
      </c>
      <c r="B9415" t="s">
        <v>3551</v>
      </c>
      <c r="C9415" s="1" t="str">
        <f>HYPERLINK("http://www.genecards.org/cgi-bin/carddisp.pl?gene=DLG3","GeneCards")</f>
        <v>GeneCards</v>
      </c>
      <c r="D9415" s="1" t="str">
        <f>HYPERLINK("http://genome-euro.ucsc.edu/cgi-bin/hgTracks?position=212729_at","UCSC")</f>
        <v>UCSC</v>
      </c>
      <c r="E9415" s="1" t="str">
        <f>HYPERLINK("http://www.ncbi.nlm.nih.gov/gene/?term=DLG3","NCBI")</f>
        <v>NCBI</v>
      </c>
      <c r="F9415">
        <v>0.18</v>
      </c>
      <c r="G9415">
        <v>0.33</v>
      </c>
      <c r="H9415" s="1" t="str">
        <f>HYPERLINK("http://www.weizmann.ac.il/complex/compphys/software/geview/data/figures/212729_at.png","Figure")</f>
        <v>Figure</v>
      </c>
      <c r="I9415">
        <v>0.90500000000000003</v>
      </c>
      <c r="J9415">
        <v>0.57999999999999996</v>
      </c>
      <c r="K9415">
        <v>0.84399999999999997</v>
      </c>
      <c r="L9415">
        <v>0.16</v>
      </c>
      <c r="M9415">
        <v>0.93300000000000005</v>
      </c>
      <c r="N9415">
        <v>0.74</v>
      </c>
    </row>
    <row r="9416" spans="1:14" x14ac:dyDescent="0.25">
      <c r="A9416" t="s">
        <v>16513</v>
      </c>
      <c r="B9416" t="s">
        <v>16514</v>
      </c>
      <c r="C9416" s="1" t="str">
        <f>HYPERLINK("http://www.genecards.org/cgi-bin/carddisp.pl?gene=FIBP","GeneCards")</f>
        <v>GeneCards</v>
      </c>
      <c r="D9416" s="1" t="str">
        <f>HYPERLINK("http://genome-euro.ucsc.edu/cgi-bin/hgTracks?position=202041_s_at","UCSC")</f>
        <v>UCSC</v>
      </c>
      <c r="E9416" s="1" t="str">
        <f>HYPERLINK("http://www.ncbi.nlm.nih.gov/gene/?term=FIBP","NCBI")</f>
        <v>NCBI</v>
      </c>
      <c r="F9416">
        <v>0.18</v>
      </c>
      <c r="G9416">
        <v>0.33</v>
      </c>
      <c r="H9416" s="1" t="str">
        <f>HYPERLINK("http://www.weizmann.ac.il/complex/compphys/software/geview/data/figures/202041_s_at.png","Figure")</f>
        <v>Figure</v>
      </c>
      <c r="I9416">
        <v>1.24</v>
      </c>
      <c r="J9416">
        <v>0.51</v>
      </c>
      <c r="K9416">
        <v>1.38</v>
      </c>
      <c r="L9416">
        <v>0.16</v>
      </c>
      <c r="M9416">
        <v>1.1100000000000001</v>
      </c>
      <c r="N9416">
        <v>0.82</v>
      </c>
    </row>
    <row r="9417" spans="1:14" x14ac:dyDescent="0.25">
      <c r="A9417" t="s">
        <v>16515</v>
      </c>
      <c r="B9417" t="s">
        <v>11326</v>
      </c>
      <c r="C9417" s="1" t="str">
        <f>HYPERLINK("http://www.genecards.org/cgi-bin/carddisp.pl?gene=RIN3","GeneCards")</f>
        <v>GeneCards</v>
      </c>
      <c r="D9417" s="1" t="str">
        <f>HYPERLINK("http://genome-euro.ucsc.edu/cgi-bin/hgTracks?position=60471_at","UCSC")</f>
        <v>UCSC</v>
      </c>
      <c r="E9417" s="1" t="str">
        <f>HYPERLINK("http://www.ncbi.nlm.nih.gov/gene/?term=RIN3","NCBI")</f>
        <v>NCBI</v>
      </c>
      <c r="F9417">
        <v>0.18</v>
      </c>
      <c r="G9417">
        <v>0.33</v>
      </c>
      <c r="H9417" s="1" t="str">
        <f>HYPERLINK("http://www.weizmann.ac.il/complex/compphys/software/geview/data/figures/60471_at.png","Figure")</f>
        <v>Figure</v>
      </c>
      <c r="I9417">
        <v>0.81100000000000005</v>
      </c>
      <c r="J9417">
        <v>0.19</v>
      </c>
      <c r="K9417">
        <v>0.96299999999999997</v>
      </c>
      <c r="L9417">
        <v>0.92</v>
      </c>
      <c r="M9417">
        <v>1.19</v>
      </c>
      <c r="N9417">
        <v>0.27</v>
      </c>
    </row>
    <row r="9418" spans="1:14" x14ac:dyDescent="0.25">
      <c r="A9418" t="s">
        <v>16516</v>
      </c>
      <c r="B9418" t="s">
        <v>6707</v>
      </c>
      <c r="C9418" s="1" t="str">
        <f>HYPERLINK("http://www.genecards.org/cgi-bin/carddisp.pl?gene=SCD","GeneCards")</f>
        <v>GeneCards</v>
      </c>
      <c r="D9418" s="1" t="str">
        <f>HYPERLINK("http://genome-euro.ucsc.edu/cgi-bin/hgTracks?position=200832_s_at","UCSC")</f>
        <v>UCSC</v>
      </c>
      <c r="E9418" s="1" t="str">
        <f>HYPERLINK("http://www.ncbi.nlm.nih.gov/gene/?term=SCD","NCBI")</f>
        <v>NCBI</v>
      </c>
      <c r="F9418">
        <v>0.18</v>
      </c>
      <c r="G9418">
        <v>0.33</v>
      </c>
      <c r="H9418" s="1" t="str">
        <f>HYPERLINK("http://www.weizmann.ac.il/complex/compphys/software/geview/data/figures/200832_s_at.png","Figure")</f>
        <v>Figure</v>
      </c>
      <c r="I9418">
        <v>1</v>
      </c>
      <c r="J9418">
        <v>1</v>
      </c>
      <c r="K9418">
        <v>1.05</v>
      </c>
      <c r="L9418">
        <v>0.24</v>
      </c>
      <c r="M9418">
        <v>1.05</v>
      </c>
      <c r="N9418">
        <v>0.28999999999999998</v>
      </c>
    </row>
    <row r="9419" spans="1:14" x14ac:dyDescent="0.25">
      <c r="A9419" t="s">
        <v>16517</v>
      </c>
      <c r="B9419" t="s">
        <v>16518</v>
      </c>
      <c r="C9419" s="1" t="str">
        <f>HYPERLINK("http://www.genecards.org/cgi-bin/carddisp.pl?gene=MAP3K4","GeneCards")</f>
        <v>GeneCards</v>
      </c>
      <c r="D9419" s="1" t="str">
        <f>HYPERLINK("http://genome-euro.ucsc.edu/cgi-bin/hgTracks?position=216199_s_at","UCSC")</f>
        <v>UCSC</v>
      </c>
      <c r="E9419" s="1" t="str">
        <f>HYPERLINK("http://www.ncbi.nlm.nih.gov/gene/?term=MAP3K4","NCBI")</f>
        <v>NCBI</v>
      </c>
      <c r="F9419">
        <v>0.18</v>
      </c>
      <c r="G9419">
        <v>0.33</v>
      </c>
      <c r="H9419" s="1" t="str">
        <f>HYPERLINK("http://www.weizmann.ac.il/complex/compphys/software/geview/data/figures/216199_s_at.png","Figure")</f>
        <v>Figure</v>
      </c>
      <c r="I9419">
        <v>1.07</v>
      </c>
      <c r="J9419">
        <v>0.95</v>
      </c>
      <c r="K9419">
        <v>1.38</v>
      </c>
      <c r="L9419">
        <v>0.2</v>
      </c>
      <c r="M9419">
        <v>1.3</v>
      </c>
      <c r="N9419">
        <v>0.38</v>
      </c>
    </row>
    <row r="9420" spans="1:14" x14ac:dyDescent="0.25">
      <c r="A9420" t="s">
        <v>16519</v>
      </c>
      <c r="B9420" t="s">
        <v>16520</v>
      </c>
      <c r="C9420" s="1" t="str">
        <f>HYPERLINK("http://www.genecards.org/cgi-bin/carddisp.pl?gene=C8B","GeneCards")</f>
        <v>GeneCards</v>
      </c>
      <c r="D9420" s="1" t="str">
        <f>HYPERLINK("http://genome-euro.ucsc.edu/cgi-bin/hgTracks?position=206979_at","UCSC")</f>
        <v>UCSC</v>
      </c>
      <c r="E9420" s="1" t="str">
        <f>HYPERLINK("http://www.ncbi.nlm.nih.gov/gene/?term=C8B","NCBI")</f>
        <v>NCBI</v>
      </c>
      <c r="F9420">
        <v>0.18</v>
      </c>
      <c r="G9420">
        <v>0.33</v>
      </c>
      <c r="H9420" s="1" t="str">
        <f>HYPERLINK("http://www.weizmann.ac.il/complex/compphys/software/geview/data/figures/206979_at.png","Figure")</f>
        <v>Figure</v>
      </c>
      <c r="I9420">
        <v>1.1499999999999999</v>
      </c>
      <c r="J9420">
        <v>0.2</v>
      </c>
      <c r="K9420">
        <v>1.02</v>
      </c>
      <c r="L9420">
        <v>0.96</v>
      </c>
      <c r="M9420">
        <v>0.88600000000000001</v>
      </c>
      <c r="N9420">
        <v>0.24</v>
      </c>
    </row>
    <row r="9421" spans="1:14" x14ac:dyDescent="0.25">
      <c r="A9421" t="s">
        <v>16521</v>
      </c>
      <c r="B9421" t="s">
        <v>16522</v>
      </c>
      <c r="C9421" s="1" t="str">
        <f>HYPERLINK("http://www.genecards.org/cgi-bin/carddisp.pl?gene=NUP88","GeneCards")</f>
        <v>GeneCards</v>
      </c>
      <c r="D9421" s="1" t="str">
        <f>HYPERLINK("http://genome-euro.ucsc.edu/cgi-bin/hgTracks?position=202900_s_at","UCSC")</f>
        <v>UCSC</v>
      </c>
      <c r="E9421" s="1" t="str">
        <f>HYPERLINK("http://www.ncbi.nlm.nih.gov/gene/?term=NUP88","NCBI")</f>
        <v>NCBI</v>
      </c>
      <c r="F9421">
        <v>0.18</v>
      </c>
      <c r="G9421">
        <v>0.33</v>
      </c>
      <c r="H9421" s="1" t="str">
        <f>HYPERLINK("http://www.weizmann.ac.il/complex/compphys/software/geview/data/figures/202900_s_at.png","Figure")</f>
        <v>Figure</v>
      </c>
      <c r="I9421">
        <v>1.03</v>
      </c>
      <c r="J9421">
        <v>0.99</v>
      </c>
      <c r="K9421">
        <v>0.68400000000000005</v>
      </c>
      <c r="L9421">
        <v>0.27</v>
      </c>
      <c r="M9421">
        <v>0.66500000000000004</v>
      </c>
      <c r="N9421">
        <v>0.26</v>
      </c>
    </row>
    <row r="9422" spans="1:14" x14ac:dyDescent="0.25">
      <c r="A9422" t="s">
        <v>16523</v>
      </c>
      <c r="B9422" t="s">
        <v>16524</v>
      </c>
      <c r="C9422" s="1" t="str">
        <f>HYPERLINK("http://www.genecards.org/cgi-bin/carddisp.pl?gene=MYOD1","GeneCards")</f>
        <v>GeneCards</v>
      </c>
      <c r="D9422" s="1" t="str">
        <f>HYPERLINK("http://genome-euro.ucsc.edu/cgi-bin/hgTracks?position=206657_s_at","UCSC")</f>
        <v>UCSC</v>
      </c>
      <c r="E9422" s="1" t="str">
        <f>HYPERLINK("http://www.ncbi.nlm.nih.gov/gene/?term=MYOD1","NCBI")</f>
        <v>NCBI</v>
      </c>
      <c r="F9422">
        <v>0.18</v>
      </c>
      <c r="G9422">
        <v>0.33</v>
      </c>
      <c r="H9422" s="1" t="str">
        <f>HYPERLINK("http://www.weizmann.ac.il/complex/compphys/software/geview/data/figures/206657_s_at.png","Figure")</f>
        <v>Figure</v>
      </c>
      <c r="I9422">
        <v>1.08</v>
      </c>
      <c r="J9422">
        <v>0.41</v>
      </c>
      <c r="K9422">
        <v>0.97099999999999997</v>
      </c>
      <c r="L9422">
        <v>0.83</v>
      </c>
      <c r="M9422">
        <v>0.90100000000000002</v>
      </c>
      <c r="N9422">
        <v>0.16</v>
      </c>
    </row>
    <row r="9423" spans="1:14" x14ac:dyDescent="0.25">
      <c r="A9423" t="s">
        <v>16525</v>
      </c>
      <c r="B9423" t="s">
        <v>11739</v>
      </c>
      <c r="C9423" s="1" t="str">
        <f>HYPERLINK("http://www.genecards.org/cgi-bin/carddisp.pl?gene=RBM8A","GeneCards")</f>
        <v>GeneCards</v>
      </c>
      <c r="D9423" s="1" t="str">
        <f>HYPERLINK("http://genome-euro.ucsc.edu/cgi-bin/hgTracks?position=217857_s_at","UCSC")</f>
        <v>UCSC</v>
      </c>
      <c r="E9423" s="1" t="str">
        <f>HYPERLINK("http://www.ncbi.nlm.nih.gov/gene/?term=RBM8A","NCBI")</f>
        <v>NCBI</v>
      </c>
      <c r="F9423">
        <v>0.18</v>
      </c>
      <c r="G9423">
        <v>0.33</v>
      </c>
      <c r="H9423" s="1" t="str">
        <f>HYPERLINK("http://www.weizmann.ac.il/complex/compphys/software/geview/data/figures/217857_s_at.png","Figure")</f>
        <v>Figure</v>
      </c>
      <c r="I9423">
        <v>0.93500000000000005</v>
      </c>
      <c r="J9423">
        <v>0.88</v>
      </c>
      <c r="K9423">
        <v>1.18</v>
      </c>
      <c r="L9423">
        <v>0.38</v>
      </c>
      <c r="M9423">
        <v>1.26</v>
      </c>
      <c r="N9423">
        <v>0.2</v>
      </c>
    </row>
    <row r="9424" spans="1:14" x14ac:dyDescent="0.25">
      <c r="A9424" t="s">
        <v>16526</v>
      </c>
      <c r="B9424" t="s">
        <v>16527</v>
      </c>
      <c r="C9424" s="1" t="str">
        <f>HYPERLINK("http://www.genecards.org/cgi-bin/carddisp.pl?gene=SERPINE1","GeneCards")</f>
        <v>GeneCards</v>
      </c>
      <c r="D9424" s="1" t="str">
        <f>HYPERLINK("http://genome-euro.ucsc.edu/cgi-bin/hgTracks?position=202627_s_at","UCSC")</f>
        <v>UCSC</v>
      </c>
      <c r="E9424" s="1" t="str">
        <f>HYPERLINK("http://www.ncbi.nlm.nih.gov/gene/?term=SERPINE1","NCBI")</f>
        <v>NCBI</v>
      </c>
      <c r="F9424">
        <v>0.18</v>
      </c>
      <c r="G9424">
        <v>0.33</v>
      </c>
      <c r="H9424" s="1" t="str">
        <f>HYPERLINK("http://www.weizmann.ac.il/complex/compphys/software/geview/data/figures/202627_s_at.png","Figure")</f>
        <v>Figure</v>
      </c>
      <c r="I9424">
        <v>1.1399999999999999</v>
      </c>
      <c r="J9424">
        <v>0.34</v>
      </c>
      <c r="K9424">
        <v>0.97</v>
      </c>
      <c r="L9424">
        <v>0.92</v>
      </c>
      <c r="M9424">
        <v>0.85299999999999998</v>
      </c>
      <c r="N9424">
        <v>0.17</v>
      </c>
    </row>
    <row r="9425" spans="1:14" x14ac:dyDescent="0.25">
      <c r="A9425" t="s">
        <v>16528</v>
      </c>
      <c r="B9425" t="s">
        <v>16529</v>
      </c>
      <c r="C9425" s="1" t="str">
        <f>HYPERLINK("http://www.genecards.org/cgi-bin/carddisp.pl?gene=SLCO2B1","GeneCards")</f>
        <v>GeneCards</v>
      </c>
      <c r="D9425" s="1" t="str">
        <f>HYPERLINK("http://genome-euro.ucsc.edu/cgi-bin/hgTracks?position=203473_at","UCSC")</f>
        <v>UCSC</v>
      </c>
      <c r="E9425" s="1" t="str">
        <f>HYPERLINK("http://www.ncbi.nlm.nih.gov/gene/?term=SLCO2B1","NCBI")</f>
        <v>NCBI</v>
      </c>
      <c r="F9425">
        <v>0.18</v>
      </c>
      <c r="G9425">
        <v>0.33</v>
      </c>
      <c r="H9425" s="1" t="str">
        <f>HYPERLINK("http://www.weizmann.ac.il/complex/compphys/software/geview/data/figures/203473_at.png","Figure")</f>
        <v>Figure</v>
      </c>
      <c r="I9425">
        <v>1.1100000000000001</v>
      </c>
      <c r="J9425">
        <v>0.33</v>
      </c>
      <c r="K9425">
        <v>0.97799999999999998</v>
      </c>
      <c r="L9425">
        <v>0.93</v>
      </c>
      <c r="M9425">
        <v>0.88100000000000001</v>
      </c>
      <c r="N9425">
        <v>0.17</v>
      </c>
    </row>
    <row r="9426" spans="1:14" x14ac:dyDescent="0.25">
      <c r="A9426" t="s">
        <v>16530</v>
      </c>
      <c r="B9426" t="s">
        <v>3887</v>
      </c>
      <c r="C9426" s="1" t="str">
        <f>HYPERLINK("http://www.genecards.org/cgi-bin/carddisp.pl?gene=CD163","GeneCards")</f>
        <v>GeneCards</v>
      </c>
      <c r="D9426" s="1" t="str">
        <f>HYPERLINK("http://genome-euro.ucsc.edu/cgi-bin/hgTracks?position=203645_s_at","UCSC")</f>
        <v>UCSC</v>
      </c>
      <c r="E9426" s="1" t="str">
        <f>HYPERLINK("http://www.ncbi.nlm.nih.gov/gene/?term=CD163","NCBI")</f>
        <v>NCBI</v>
      </c>
      <c r="F9426">
        <v>0.18</v>
      </c>
      <c r="G9426">
        <v>0.33</v>
      </c>
      <c r="H9426" s="1" t="str">
        <f>HYPERLINK("http://www.weizmann.ac.il/complex/compphys/software/geview/data/figures/203645_s_at.png","Figure")</f>
        <v>Figure</v>
      </c>
      <c r="I9426">
        <v>1.1299999999999999</v>
      </c>
      <c r="J9426">
        <v>0.16</v>
      </c>
      <c r="K9426">
        <v>1.07</v>
      </c>
      <c r="L9426">
        <v>0.47</v>
      </c>
      <c r="M9426">
        <v>0.94699999999999995</v>
      </c>
      <c r="N9426">
        <v>0.61</v>
      </c>
    </row>
    <row r="9427" spans="1:14" x14ac:dyDescent="0.25">
      <c r="A9427" t="s">
        <v>16531</v>
      </c>
      <c r="B9427" t="s">
        <v>16532</v>
      </c>
      <c r="C9427" s="1" t="str">
        <f>HYPERLINK("http://www.genecards.org/cgi-bin/carddisp.pl?gene=PDPR","GeneCards")</f>
        <v>GeneCards</v>
      </c>
      <c r="D9427" s="1" t="str">
        <f>HYPERLINK("http://genome-euro.ucsc.edu/cgi-bin/hgTracks?position=220236_at","UCSC")</f>
        <v>UCSC</v>
      </c>
      <c r="E9427" s="1" t="str">
        <f>HYPERLINK("http://www.ncbi.nlm.nih.gov/gene/?term=PDPR","NCBI")</f>
        <v>NCBI</v>
      </c>
      <c r="F9427">
        <v>0.18</v>
      </c>
      <c r="G9427">
        <v>0.33</v>
      </c>
      <c r="H9427" s="1" t="str">
        <f>HYPERLINK("http://www.weizmann.ac.il/complex/compphys/software/geview/data/figures/220236_at.png","Figure")</f>
        <v>Figure</v>
      </c>
      <c r="I9427">
        <v>1.03</v>
      </c>
      <c r="J9427">
        <v>0.86</v>
      </c>
      <c r="K9427">
        <v>0.94599999999999995</v>
      </c>
      <c r="L9427">
        <v>0.39</v>
      </c>
      <c r="M9427">
        <v>0.92300000000000004</v>
      </c>
      <c r="N9427">
        <v>0.2</v>
      </c>
    </row>
    <row r="9428" spans="1:14" x14ac:dyDescent="0.25">
      <c r="A9428" t="s">
        <v>16533</v>
      </c>
      <c r="B9428" t="s">
        <v>15339</v>
      </c>
      <c r="C9428" s="1" t="str">
        <f>HYPERLINK("http://www.genecards.org/cgi-bin/carddisp.pl?gene=TBCB","GeneCards")</f>
        <v>GeneCards</v>
      </c>
      <c r="D9428" s="1" t="str">
        <f>HYPERLINK("http://genome-euro.ucsc.edu/cgi-bin/hgTracks?position=211759_x_at","UCSC")</f>
        <v>UCSC</v>
      </c>
      <c r="E9428" s="1" t="str">
        <f>HYPERLINK("http://www.ncbi.nlm.nih.gov/gene/?term=TBCB","NCBI")</f>
        <v>NCBI</v>
      </c>
      <c r="F9428">
        <v>0.18</v>
      </c>
      <c r="G9428">
        <v>0.33</v>
      </c>
      <c r="H9428" s="1" t="str">
        <f>HYPERLINK("http://www.weizmann.ac.il/complex/compphys/software/geview/data/figures/211759_x_at.png","Figure")</f>
        <v>Figure</v>
      </c>
      <c r="I9428">
        <v>1.06</v>
      </c>
      <c r="J9428">
        <v>0.94</v>
      </c>
      <c r="K9428">
        <v>0.80800000000000005</v>
      </c>
      <c r="L9428">
        <v>0.32</v>
      </c>
      <c r="M9428">
        <v>0.76600000000000001</v>
      </c>
      <c r="N9428">
        <v>0.22</v>
      </c>
    </row>
    <row r="9429" spans="1:14" x14ac:dyDescent="0.25">
      <c r="A9429" t="s">
        <v>16534</v>
      </c>
      <c r="B9429" t="s">
        <v>16535</v>
      </c>
      <c r="C9429" s="1" t="str">
        <f>HYPERLINK("http://www.genecards.org/cgi-bin/carddisp.pl?gene=UBTD1","GeneCards")</f>
        <v>GeneCards</v>
      </c>
      <c r="D9429" s="1" t="str">
        <f>HYPERLINK("http://genome-euro.ucsc.edu/cgi-bin/hgTracks?position=219172_at","UCSC")</f>
        <v>UCSC</v>
      </c>
      <c r="E9429" s="1" t="str">
        <f>HYPERLINK("http://www.ncbi.nlm.nih.gov/gene/?term=UBTD1","NCBI")</f>
        <v>NCBI</v>
      </c>
      <c r="F9429">
        <v>0.18</v>
      </c>
      <c r="G9429">
        <v>0.33</v>
      </c>
      <c r="H9429" s="1" t="str">
        <f>HYPERLINK("http://www.weizmann.ac.il/complex/compphys/software/geview/data/figures/219172_at.png","Figure")</f>
        <v>Figure</v>
      </c>
      <c r="I9429">
        <v>1.03</v>
      </c>
      <c r="J9429">
        <v>0.26</v>
      </c>
      <c r="K9429">
        <v>1.02</v>
      </c>
      <c r="L9429">
        <v>0.22</v>
      </c>
      <c r="M9429">
        <v>0.998</v>
      </c>
      <c r="N9429">
        <v>0.99</v>
      </c>
    </row>
    <row r="9430" spans="1:14" x14ac:dyDescent="0.25">
      <c r="A9430" t="s">
        <v>16536</v>
      </c>
      <c r="B9430" t="s">
        <v>16537</v>
      </c>
      <c r="C9430" s="1" t="str">
        <f>HYPERLINK("http://www.genecards.org/cgi-bin/carddisp.pl?gene=BCL2L14","GeneCards")</f>
        <v>GeneCards</v>
      </c>
      <c r="D9430" s="1" t="str">
        <f>HYPERLINK("http://genome-euro.ucsc.edu/cgi-bin/hgTracks?position=221241_s_at","UCSC")</f>
        <v>UCSC</v>
      </c>
      <c r="E9430" s="1" t="str">
        <f>HYPERLINK("http://www.ncbi.nlm.nih.gov/gene/?term=BCL2L14","NCBI")</f>
        <v>NCBI</v>
      </c>
      <c r="F9430">
        <v>0.18</v>
      </c>
      <c r="G9430">
        <v>0.33</v>
      </c>
      <c r="H9430" s="1" t="str">
        <f>HYPERLINK("http://www.weizmann.ac.il/complex/compphys/software/geview/data/figures/221241_s_at.png","Figure")</f>
        <v>Figure</v>
      </c>
      <c r="I9430">
        <v>1.1200000000000001</v>
      </c>
      <c r="J9430">
        <v>0.47</v>
      </c>
      <c r="K9430">
        <v>0.94399999999999995</v>
      </c>
      <c r="L9430">
        <v>0.76</v>
      </c>
      <c r="M9430">
        <v>0.84299999999999997</v>
      </c>
      <c r="N9430">
        <v>0.16</v>
      </c>
    </row>
    <row r="9431" spans="1:14" x14ac:dyDescent="0.25">
      <c r="A9431" t="s">
        <v>16538</v>
      </c>
      <c r="B9431" t="s">
        <v>16539</v>
      </c>
      <c r="C9431" s="1" t="str">
        <f>HYPERLINK("http://www.genecards.org/cgi-bin/carddisp.pl?gene=VAPA","GeneCards")</f>
        <v>GeneCards</v>
      </c>
      <c r="D9431" s="1" t="str">
        <f>HYPERLINK("http://genome-euro.ucsc.edu/cgi-bin/hgTracks?position=208780_x_at","UCSC")</f>
        <v>UCSC</v>
      </c>
      <c r="E9431" s="1" t="str">
        <f>HYPERLINK("http://www.ncbi.nlm.nih.gov/gene/?term=VAPA","NCBI")</f>
        <v>NCBI</v>
      </c>
      <c r="F9431">
        <v>0.18</v>
      </c>
      <c r="G9431">
        <v>0.33</v>
      </c>
      <c r="H9431" s="1" t="str">
        <f>HYPERLINK("http://www.weizmann.ac.il/complex/compphys/software/geview/data/figures/208780_x_at.png","Figure")</f>
        <v>Figure</v>
      </c>
      <c r="I9431">
        <v>0.71299999999999997</v>
      </c>
      <c r="J9431">
        <v>0.17</v>
      </c>
      <c r="K9431">
        <v>0.89200000000000002</v>
      </c>
      <c r="L9431">
        <v>0.74</v>
      </c>
      <c r="M9431">
        <v>1.25</v>
      </c>
      <c r="N9431">
        <v>0.38</v>
      </c>
    </row>
    <row r="9432" spans="1:14" x14ac:dyDescent="0.25">
      <c r="A9432" t="s">
        <v>16540</v>
      </c>
      <c r="B9432" t="s">
        <v>16541</v>
      </c>
      <c r="C9432" s="1" t="str">
        <f>HYPERLINK("http://www.genecards.org/cgi-bin/carddisp.pl?gene=ABHD14A","GeneCards")</f>
        <v>GeneCards</v>
      </c>
      <c r="D9432" s="1" t="str">
        <f>HYPERLINK("http://genome-euro.ucsc.edu/cgi-bin/hgTracks?position=210006_at","UCSC")</f>
        <v>UCSC</v>
      </c>
      <c r="E9432" s="1" t="str">
        <f>HYPERLINK("http://www.ncbi.nlm.nih.gov/gene/?term=ABHD14A","NCBI")</f>
        <v>NCBI</v>
      </c>
      <c r="F9432">
        <v>0.18</v>
      </c>
      <c r="G9432">
        <v>0.33</v>
      </c>
      <c r="H9432" s="1" t="str">
        <f>HYPERLINK("http://www.weizmann.ac.il/complex/compphys/software/geview/data/figures/210006_at.png","Figure")</f>
        <v>Figure</v>
      </c>
      <c r="I9432">
        <v>0.85</v>
      </c>
      <c r="J9432">
        <v>0.25</v>
      </c>
      <c r="K9432">
        <v>1</v>
      </c>
      <c r="L9432">
        <v>1</v>
      </c>
      <c r="M9432">
        <v>1.18</v>
      </c>
      <c r="N9432">
        <v>0.2</v>
      </c>
    </row>
    <row r="9433" spans="1:14" x14ac:dyDescent="0.25">
      <c r="A9433" t="s">
        <v>16542</v>
      </c>
      <c r="B9433" t="s">
        <v>883</v>
      </c>
      <c r="C9433" s="1" t="str">
        <f>HYPERLINK("http://www.genecards.org/cgi-bin/carddisp.pl?gene=DHX9","GeneCards")</f>
        <v>GeneCards</v>
      </c>
      <c r="D9433" s="1" t="str">
        <f>HYPERLINK("http://genome-euro.ucsc.edu/cgi-bin/hgTracks?position=212105_s_at","UCSC")</f>
        <v>UCSC</v>
      </c>
      <c r="E9433" s="1" t="str">
        <f>HYPERLINK("http://www.ncbi.nlm.nih.gov/gene/?term=DHX9","NCBI")</f>
        <v>NCBI</v>
      </c>
      <c r="F9433">
        <v>0.18</v>
      </c>
      <c r="G9433">
        <v>0.33</v>
      </c>
      <c r="H9433" s="1" t="str">
        <f>HYPERLINK("http://www.weizmann.ac.il/complex/compphys/software/geview/data/figures/212105_s_at.png","Figure")</f>
        <v>Figure</v>
      </c>
      <c r="I9433">
        <v>1.27</v>
      </c>
      <c r="J9433">
        <v>0.26</v>
      </c>
      <c r="K9433">
        <v>0.98799999999999999</v>
      </c>
      <c r="L9433">
        <v>1</v>
      </c>
      <c r="M9433">
        <v>0.77800000000000002</v>
      </c>
      <c r="N9433">
        <v>0.19</v>
      </c>
    </row>
    <row r="9434" spans="1:14" x14ac:dyDescent="0.25">
      <c r="A9434" t="s">
        <v>16543</v>
      </c>
      <c r="B9434" t="s">
        <v>16544</v>
      </c>
      <c r="C9434" s="1" t="str">
        <f>HYPERLINK("http://www.genecards.org/cgi-bin/carddisp.pl?gene=PTGS1","GeneCards")</f>
        <v>GeneCards</v>
      </c>
      <c r="D9434" s="1" t="str">
        <f>HYPERLINK("http://genome-euro.ucsc.edu/cgi-bin/hgTracks?position=205128_x_at","UCSC")</f>
        <v>UCSC</v>
      </c>
      <c r="E9434" s="1" t="str">
        <f>HYPERLINK("http://www.ncbi.nlm.nih.gov/gene/?term=PTGS1","NCBI")</f>
        <v>NCBI</v>
      </c>
      <c r="F9434">
        <v>0.18</v>
      </c>
      <c r="G9434">
        <v>0.33</v>
      </c>
      <c r="H9434" s="1" t="str">
        <f>HYPERLINK("http://www.weizmann.ac.il/complex/compphys/software/geview/data/figures/205128_x_at.png","Figure")</f>
        <v>Figure</v>
      </c>
      <c r="I9434">
        <v>1.06</v>
      </c>
      <c r="J9434">
        <v>0.74</v>
      </c>
      <c r="K9434">
        <v>0.91700000000000004</v>
      </c>
      <c r="L9434">
        <v>0.48</v>
      </c>
      <c r="M9434">
        <v>0.86199999999999999</v>
      </c>
      <c r="N9434">
        <v>0.18</v>
      </c>
    </row>
    <row r="9435" spans="1:14" x14ac:dyDescent="0.25">
      <c r="A9435" t="s">
        <v>16545</v>
      </c>
      <c r="B9435" t="s">
        <v>16546</v>
      </c>
      <c r="C9435" s="1" t="str">
        <f>HYPERLINK("http://www.genecards.org/cgi-bin/carddisp.pl?gene=KLF5","GeneCards")</f>
        <v>GeneCards</v>
      </c>
      <c r="D9435" s="1" t="str">
        <f>HYPERLINK("http://genome-euro.ucsc.edu/cgi-bin/hgTracks?position=209212_s_at","UCSC")</f>
        <v>UCSC</v>
      </c>
      <c r="E9435" s="1" t="str">
        <f>HYPERLINK("http://www.ncbi.nlm.nih.gov/gene/?term=KLF5","NCBI")</f>
        <v>NCBI</v>
      </c>
      <c r="F9435">
        <v>0.18</v>
      </c>
      <c r="G9435">
        <v>0.33</v>
      </c>
      <c r="H9435" s="1" t="str">
        <f>HYPERLINK("http://www.weizmann.ac.il/complex/compphys/software/geview/data/figures/209212_s_at.png","Figure")</f>
        <v>Figure</v>
      </c>
      <c r="I9435">
        <v>1.0900000000000001</v>
      </c>
      <c r="J9435">
        <v>0.42</v>
      </c>
      <c r="K9435">
        <v>0.96499999999999997</v>
      </c>
      <c r="L9435">
        <v>0.83</v>
      </c>
      <c r="M9435">
        <v>0.88200000000000001</v>
      </c>
      <c r="N9435">
        <v>0.16</v>
      </c>
    </row>
    <row r="9436" spans="1:14" x14ac:dyDescent="0.25">
      <c r="A9436" t="s">
        <v>16547</v>
      </c>
      <c r="B9436" t="s">
        <v>13601</v>
      </c>
      <c r="C9436" s="1" t="str">
        <f>HYPERLINK("http://www.genecards.org/cgi-bin/carddisp.pl?gene=SIRPA","GeneCards")</f>
        <v>GeneCards</v>
      </c>
      <c r="D9436" s="1" t="str">
        <f>HYPERLINK("http://genome-euro.ucsc.edu/cgi-bin/hgTracks?position=217024_x_at","UCSC")</f>
        <v>UCSC</v>
      </c>
      <c r="E9436" s="1" t="str">
        <f>HYPERLINK("http://www.ncbi.nlm.nih.gov/gene/?term=SIRPA","NCBI")</f>
        <v>NCBI</v>
      </c>
      <c r="F9436">
        <v>0.18</v>
      </c>
      <c r="G9436">
        <v>0.33</v>
      </c>
      <c r="H9436" s="1" t="str">
        <f>HYPERLINK("http://www.weizmann.ac.il/complex/compphys/software/geview/data/figures/217024_x_at.png","Figure")</f>
        <v>Figure</v>
      </c>
      <c r="I9436">
        <v>1.17</v>
      </c>
      <c r="J9436">
        <v>0.17</v>
      </c>
      <c r="K9436">
        <v>1.0900000000000001</v>
      </c>
      <c r="L9436">
        <v>0.46</v>
      </c>
      <c r="M9436">
        <v>0.93100000000000005</v>
      </c>
      <c r="N9436">
        <v>0.63</v>
      </c>
    </row>
    <row r="9437" spans="1:14" x14ac:dyDescent="0.25">
      <c r="A9437" t="s">
        <v>16548</v>
      </c>
      <c r="B9437" t="s">
        <v>16549</v>
      </c>
      <c r="C9437" s="1" t="str">
        <f>HYPERLINK("http://www.genecards.org/cgi-bin/carddisp.pl?gene=ALX1","GeneCards")</f>
        <v>GeneCards</v>
      </c>
      <c r="D9437" s="1" t="str">
        <f>HYPERLINK("http://genome-euro.ucsc.edu/cgi-bin/hgTracks?position=206837_at","UCSC")</f>
        <v>UCSC</v>
      </c>
      <c r="E9437" s="1" t="str">
        <f>HYPERLINK("http://www.ncbi.nlm.nih.gov/gene/?term=ALX1","NCBI")</f>
        <v>NCBI</v>
      </c>
      <c r="F9437">
        <v>0.18</v>
      </c>
      <c r="G9437">
        <v>0.33</v>
      </c>
      <c r="H9437" s="1" t="str">
        <f>HYPERLINK("http://www.weizmann.ac.il/complex/compphys/software/geview/data/figures/206837_at.png","Figure")</f>
        <v>Figure</v>
      </c>
      <c r="I9437">
        <v>1.1200000000000001</v>
      </c>
      <c r="J9437">
        <v>0.17</v>
      </c>
      <c r="K9437">
        <v>1.07</v>
      </c>
      <c r="L9437">
        <v>0.4</v>
      </c>
      <c r="M9437">
        <v>0.95699999999999996</v>
      </c>
      <c r="N9437">
        <v>0.71</v>
      </c>
    </row>
    <row r="9438" spans="1:14" x14ac:dyDescent="0.25">
      <c r="A9438" t="s">
        <v>16550</v>
      </c>
      <c r="B9438" t="s">
        <v>16551</v>
      </c>
      <c r="C9438" s="1" t="str">
        <f>HYPERLINK("http://www.genecards.org/cgi-bin/carddisp.pl?gene=SLC13A4","GeneCards")</f>
        <v>GeneCards</v>
      </c>
      <c r="D9438" s="1" t="str">
        <f>HYPERLINK("http://genome-euro.ucsc.edu/cgi-bin/hgTracks?position=219824_at","UCSC")</f>
        <v>UCSC</v>
      </c>
      <c r="E9438" s="1" t="str">
        <f>HYPERLINK("http://www.ncbi.nlm.nih.gov/gene/?term=SLC13A4","NCBI")</f>
        <v>NCBI</v>
      </c>
      <c r="F9438">
        <v>0.18</v>
      </c>
      <c r="G9438">
        <v>0.33</v>
      </c>
      <c r="H9438" s="1" t="str">
        <f>HYPERLINK("http://www.weizmann.ac.il/complex/compphys/software/geview/data/figures/219824_at.png","Figure")</f>
        <v>Figure</v>
      </c>
      <c r="I9438">
        <v>1.23</v>
      </c>
      <c r="J9438">
        <v>0.17</v>
      </c>
      <c r="K9438">
        <v>1.1299999999999999</v>
      </c>
      <c r="L9438">
        <v>0.41</v>
      </c>
      <c r="M9438">
        <v>0.92200000000000004</v>
      </c>
      <c r="N9438">
        <v>0.7</v>
      </c>
    </row>
    <row r="9439" spans="1:14" x14ac:dyDescent="0.25">
      <c r="A9439" t="s">
        <v>16552</v>
      </c>
      <c r="B9439" t="s">
        <v>16553</v>
      </c>
      <c r="C9439" s="1" t="str">
        <f>HYPERLINK("http://www.genecards.org/cgi-bin/carddisp.pl?gene=DDT","GeneCards")</f>
        <v>GeneCards</v>
      </c>
      <c r="D9439" s="1" t="str">
        <f>HYPERLINK("http://genome-euro.ucsc.edu/cgi-bin/hgTracks?position=202929_s_at","UCSC")</f>
        <v>UCSC</v>
      </c>
      <c r="E9439" s="1" t="str">
        <f>HYPERLINK("http://www.ncbi.nlm.nih.gov/gene/?term=DDT","NCBI")</f>
        <v>NCBI</v>
      </c>
      <c r="F9439">
        <v>0.18</v>
      </c>
      <c r="G9439">
        <v>0.33</v>
      </c>
      <c r="H9439" s="1" t="str">
        <f>HYPERLINK("http://www.weizmann.ac.il/complex/compphys/software/geview/data/figures/202929_s_at.png","Figure")</f>
        <v>Figure</v>
      </c>
      <c r="I9439">
        <v>1.2</v>
      </c>
      <c r="J9439">
        <v>0.56000000000000005</v>
      </c>
      <c r="K9439">
        <v>1.35</v>
      </c>
      <c r="L9439">
        <v>0.16</v>
      </c>
      <c r="M9439">
        <v>1.1200000000000001</v>
      </c>
      <c r="N9439">
        <v>0.77</v>
      </c>
    </row>
    <row r="9440" spans="1:14" x14ac:dyDescent="0.25">
      <c r="A9440" t="s">
        <v>16554</v>
      </c>
      <c r="B9440" t="s">
        <v>16555</v>
      </c>
      <c r="C9440" s="1" t="str">
        <f>HYPERLINK("http://www.genecards.org/cgi-bin/carddisp.pl?gene=NEK2","GeneCards")</f>
        <v>GeneCards</v>
      </c>
      <c r="D9440" s="1" t="str">
        <f>HYPERLINK("http://genome-euro.ucsc.edu/cgi-bin/hgTracks?position=204641_at","UCSC")</f>
        <v>UCSC</v>
      </c>
      <c r="E9440" s="1" t="str">
        <f>HYPERLINK("http://www.ncbi.nlm.nih.gov/gene/?term=NEK2","NCBI")</f>
        <v>NCBI</v>
      </c>
      <c r="F9440">
        <v>0.19</v>
      </c>
      <c r="G9440">
        <v>0.33</v>
      </c>
      <c r="H9440" s="1" t="str">
        <f>HYPERLINK("http://www.weizmann.ac.il/complex/compphys/software/geview/data/figures/204641_at.png","Figure")</f>
        <v>Figure</v>
      </c>
      <c r="I9440">
        <v>1.32</v>
      </c>
      <c r="J9440">
        <v>0.51</v>
      </c>
      <c r="K9440">
        <v>1.51</v>
      </c>
      <c r="L9440">
        <v>0.16</v>
      </c>
      <c r="M9440">
        <v>1.1499999999999999</v>
      </c>
      <c r="N9440">
        <v>0.82</v>
      </c>
    </row>
    <row r="9441" spans="1:14" x14ac:dyDescent="0.25">
      <c r="A9441" t="s">
        <v>16556</v>
      </c>
      <c r="B9441" t="s">
        <v>3210</v>
      </c>
      <c r="C9441" s="1" t="str">
        <f>HYPERLINK("http://www.genecards.org/cgi-bin/carddisp.pl?gene=KHK","GeneCards")</f>
        <v>GeneCards</v>
      </c>
      <c r="D9441" s="1" t="str">
        <f>HYPERLINK("http://genome-euro.ucsc.edu/cgi-bin/hgTracks?position=205175_s_at","UCSC")</f>
        <v>UCSC</v>
      </c>
      <c r="E9441" s="1" t="str">
        <f>HYPERLINK("http://www.ncbi.nlm.nih.gov/gene/?term=KHK","NCBI")</f>
        <v>NCBI</v>
      </c>
      <c r="F9441">
        <v>0.19</v>
      </c>
      <c r="G9441">
        <v>0.33</v>
      </c>
      <c r="H9441" s="1" t="str">
        <f>HYPERLINK("http://www.weizmann.ac.il/complex/compphys/software/geview/data/figures/205175_s_at.png","Figure")</f>
        <v>Figure</v>
      </c>
      <c r="I9441">
        <v>1.1000000000000001</v>
      </c>
      <c r="J9441">
        <v>0.21</v>
      </c>
      <c r="K9441">
        <v>1.08</v>
      </c>
      <c r="L9441">
        <v>0.27</v>
      </c>
      <c r="M9441">
        <v>0.98099999999999998</v>
      </c>
      <c r="N9441">
        <v>0.92</v>
      </c>
    </row>
    <row r="9442" spans="1:14" x14ac:dyDescent="0.25">
      <c r="A9442" t="s">
        <v>16557</v>
      </c>
      <c r="B9442" t="s">
        <v>16558</v>
      </c>
      <c r="C9442" s="1" t="str">
        <f>HYPERLINK("http://www.genecards.org/cgi-bin/carddisp.pl?gene=ANAPC13","GeneCards")</f>
        <v>GeneCards</v>
      </c>
      <c r="D9442" s="1" t="str">
        <f>HYPERLINK("http://genome-euro.ucsc.edu/cgi-bin/hgTracks?position=209001_s_at","UCSC")</f>
        <v>UCSC</v>
      </c>
      <c r="E9442" s="1" t="str">
        <f>HYPERLINK("http://www.ncbi.nlm.nih.gov/gene/?term=ANAPC13","NCBI")</f>
        <v>NCBI</v>
      </c>
      <c r="F9442">
        <v>0.19</v>
      </c>
      <c r="G9442">
        <v>0.33</v>
      </c>
      <c r="H9442" s="1" t="str">
        <f>HYPERLINK("http://www.weizmann.ac.il/complex/compphys/software/geview/data/figures/209001_s_at.png","Figure")</f>
        <v>Figure</v>
      </c>
      <c r="I9442">
        <v>0.78800000000000003</v>
      </c>
      <c r="J9442">
        <v>0.17</v>
      </c>
      <c r="K9442">
        <v>0.86399999999999999</v>
      </c>
      <c r="L9442">
        <v>0.4</v>
      </c>
      <c r="M9442">
        <v>1.1000000000000001</v>
      </c>
      <c r="N9442">
        <v>0.71</v>
      </c>
    </row>
    <row r="9443" spans="1:14" x14ac:dyDescent="0.25">
      <c r="A9443" t="s">
        <v>16559</v>
      </c>
      <c r="B9443" t="s">
        <v>12532</v>
      </c>
      <c r="C9443" s="1" t="str">
        <f>HYPERLINK("http://www.genecards.org/cgi-bin/carddisp.pl?gene=HFE","GeneCards")</f>
        <v>GeneCards</v>
      </c>
      <c r="D9443" s="1" t="str">
        <f>HYPERLINK("http://genome-euro.ucsc.edu/cgi-bin/hgTracks?position=211329_x_at","UCSC")</f>
        <v>UCSC</v>
      </c>
      <c r="E9443" s="1" t="str">
        <f>HYPERLINK("http://www.ncbi.nlm.nih.gov/gene/?term=HFE","NCBI")</f>
        <v>NCBI</v>
      </c>
      <c r="F9443">
        <v>0.19</v>
      </c>
      <c r="G9443">
        <v>0.33</v>
      </c>
      <c r="H9443" s="1" t="str">
        <f>HYPERLINK("http://www.weizmann.ac.il/complex/compphys/software/geview/data/figures/211329_x_at.png","Figure")</f>
        <v>Figure</v>
      </c>
      <c r="I9443">
        <v>0.97299999999999998</v>
      </c>
      <c r="J9443">
        <v>0.25</v>
      </c>
      <c r="K9443">
        <v>1</v>
      </c>
      <c r="L9443">
        <v>1</v>
      </c>
      <c r="M9443">
        <v>1.03</v>
      </c>
      <c r="N9443">
        <v>0.21</v>
      </c>
    </row>
    <row r="9444" spans="1:14" x14ac:dyDescent="0.25">
      <c r="A9444" t="s">
        <v>16560</v>
      </c>
      <c r="B9444" t="s">
        <v>16561</v>
      </c>
      <c r="C9444" s="1" t="str">
        <f>HYPERLINK("http://www.genecards.org/cgi-bin/carddisp.pl?gene=MAN1B1","GeneCards")</f>
        <v>GeneCards</v>
      </c>
      <c r="D9444" s="1" t="str">
        <f>HYPERLINK("http://genome-euro.ucsc.edu/cgi-bin/hgTracks?position=218636_s_at","UCSC")</f>
        <v>UCSC</v>
      </c>
      <c r="E9444" s="1" t="str">
        <f>HYPERLINK("http://www.ncbi.nlm.nih.gov/gene/?term=MAN1B1","NCBI")</f>
        <v>NCBI</v>
      </c>
      <c r="F9444">
        <v>0.19</v>
      </c>
      <c r="G9444">
        <v>0.33</v>
      </c>
      <c r="H9444" s="1" t="str">
        <f>HYPERLINK("http://www.weizmann.ac.il/complex/compphys/software/geview/data/figures/218636_s_at.png","Figure")</f>
        <v>Figure</v>
      </c>
      <c r="I9444">
        <v>1.04</v>
      </c>
      <c r="J9444">
        <v>0.92</v>
      </c>
      <c r="K9444">
        <v>0.872</v>
      </c>
      <c r="L9444">
        <v>0.35</v>
      </c>
      <c r="M9444">
        <v>0.83499999999999996</v>
      </c>
      <c r="N9444">
        <v>0.21</v>
      </c>
    </row>
    <row r="9445" spans="1:14" x14ac:dyDescent="0.25">
      <c r="A9445" t="s">
        <v>16562</v>
      </c>
      <c r="B9445" t="s">
        <v>16563</v>
      </c>
      <c r="C9445" s="1" t="str">
        <f>HYPERLINK("http://www.genecards.org/cgi-bin/carddisp.pl?gene=UBB","GeneCards")</f>
        <v>GeneCards</v>
      </c>
      <c r="D9445" s="1" t="str">
        <f>HYPERLINK("http://genome-euro.ucsc.edu/cgi-bin/hgTracks?position=200633_at","UCSC")</f>
        <v>UCSC</v>
      </c>
      <c r="E9445" s="1" t="str">
        <f>HYPERLINK("http://www.ncbi.nlm.nih.gov/gene/?term=UBB","NCBI")</f>
        <v>NCBI</v>
      </c>
      <c r="F9445">
        <v>0.19</v>
      </c>
      <c r="G9445">
        <v>0.33</v>
      </c>
      <c r="H9445" s="1" t="str">
        <f>HYPERLINK("http://www.weizmann.ac.il/complex/compphys/software/geview/data/figures/200633_at.png","Figure")</f>
        <v>Figure</v>
      </c>
      <c r="I9445">
        <v>1.19</v>
      </c>
      <c r="J9445">
        <v>0.22</v>
      </c>
      <c r="K9445">
        <v>1.01</v>
      </c>
      <c r="L9445">
        <v>0.99</v>
      </c>
      <c r="M9445">
        <v>0.85599999999999998</v>
      </c>
      <c r="N9445">
        <v>0.23</v>
      </c>
    </row>
    <row r="9446" spans="1:14" x14ac:dyDescent="0.25">
      <c r="A9446" t="s">
        <v>16564</v>
      </c>
      <c r="B9446" t="s">
        <v>16565</v>
      </c>
      <c r="C9446" s="1" t="str">
        <f>HYPERLINK("http://www.genecards.org/cgi-bin/carddisp.pl?gene=ENTPD7","GeneCards")</f>
        <v>GeneCards</v>
      </c>
      <c r="D9446" s="1" t="str">
        <f>HYPERLINK("http://genome-euro.ucsc.edu/cgi-bin/hgTracks?position=220153_at","UCSC")</f>
        <v>UCSC</v>
      </c>
      <c r="E9446" s="1" t="str">
        <f>HYPERLINK("http://www.ncbi.nlm.nih.gov/gene/?term=ENTPD7","NCBI")</f>
        <v>NCBI</v>
      </c>
      <c r="F9446">
        <v>0.19</v>
      </c>
      <c r="G9446">
        <v>0.33</v>
      </c>
      <c r="H9446" s="1" t="str">
        <f>HYPERLINK("http://www.weizmann.ac.il/complex/compphys/software/geview/data/figures/220153_at.png","Figure")</f>
        <v>Figure</v>
      </c>
      <c r="I9446">
        <v>1.1200000000000001</v>
      </c>
      <c r="J9446">
        <v>0.19</v>
      </c>
      <c r="K9446">
        <v>1.02</v>
      </c>
      <c r="L9446">
        <v>0.93</v>
      </c>
      <c r="M9446">
        <v>0.91</v>
      </c>
      <c r="N9446">
        <v>0.27</v>
      </c>
    </row>
    <row r="9447" spans="1:14" x14ac:dyDescent="0.25">
      <c r="A9447" t="s">
        <v>16566</v>
      </c>
      <c r="B9447" t="s">
        <v>16567</v>
      </c>
      <c r="C9447" s="1" t="str">
        <f>HYPERLINK("http://www.genecards.org/cgi-bin/carddisp.pl?gene=CTRB1 /// CTRB2","GeneCards")</f>
        <v>GeneCards</v>
      </c>
      <c r="D9447" s="1" t="str">
        <f>HYPERLINK("http://genome-euro.ucsc.edu/cgi-bin/hgTracks?position=205971_s_at","UCSC")</f>
        <v>UCSC</v>
      </c>
      <c r="E9447" s="1" t="str">
        <f>HYPERLINK("http://www.ncbi.nlm.nih.gov/gene/?term=CTRB1 /// CTRB2","NCBI")</f>
        <v>NCBI</v>
      </c>
      <c r="F9447">
        <v>0.19</v>
      </c>
      <c r="G9447">
        <v>0.33</v>
      </c>
      <c r="H9447" s="1" t="str">
        <f>HYPERLINK("http://www.weizmann.ac.il/complex/compphys/software/geview/data/figures/205971_s_at.png","Figure")</f>
        <v>Figure</v>
      </c>
      <c r="I9447">
        <v>1.1299999999999999</v>
      </c>
      <c r="J9447">
        <v>0.2</v>
      </c>
      <c r="K9447">
        <v>1.0900000000000001</v>
      </c>
      <c r="L9447">
        <v>0.3</v>
      </c>
      <c r="M9447">
        <v>0.97</v>
      </c>
      <c r="N9447">
        <v>0.87</v>
      </c>
    </row>
    <row r="9448" spans="1:14" x14ac:dyDescent="0.25">
      <c r="A9448" t="s">
        <v>16568</v>
      </c>
      <c r="B9448" t="s">
        <v>16569</v>
      </c>
      <c r="C9448" s="1" t="str">
        <f>HYPERLINK("http://www.genecards.org/cgi-bin/carddisp.pl?gene=TMEM183A","GeneCards")</f>
        <v>GeneCards</v>
      </c>
      <c r="D9448" s="1" t="str">
        <f>HYPERLINK("http://genome-euro.ucsc.edu/cgi-bin/hgTracks?position=212164_at","UCSC")</f>
        <v>UCSC</v>
      </c>
      <c r="E9448" s="1" t="str">
        <f>HYPERLINK("http://www.ncbi.nlm.nih.gov/gene/?term=TMEM183A","NCBI")</f>
        <v>NCBI</v>
      </c>
      <c r="F9448">
        <v>0.19</v>
      </c>
      <c r="G9448">
        <v>0.33</v>
      </c>
      <c r="H9448" s="1" t="str">
        <f>HYPERLINK("http://www.weizmann.ac.il/complex/compphys/software/geview/data/figures/212164_at.png","Figure")</f>
        <v>Figure</v>
      </c>
      <c r="I9448">
        <v>0.97799999999999998</v>
      </c>
      <c r="J9448">
        <v>0.98</v>
      </c>
      <c r="K9448">
        <v>0.81699999999999995</v>
      </c>
      <c r="L9448">
        <v>0.22</v>
      </c>
      <c r="M9448">
        <v>0.83499999999999996</v>
      </c>
      <c r="N9448">
        <v>0.34</v>
      </c>
    </row>
    <row r="9449" spans="1:14" x14ac:dyDescent="0.25">
      <c r="A9449" t="s">
        <v>16570</v>
      </c>
      <c r="B9449" t="s">
        <v>16571</v>
      </c>
      <c r="C9449" s="1" t="str">
        <f>HYPERLINK("http://www.genecards.org/cgi-bin/carddisp.pl?gene=SLC1A3","GeneCards")</f>
        <v>GeneCards</v>
      </c>
      <c r="D9449" s="1" t="str">
        <f>HYPERLINK("http://genome-euro.ucsc.edu/cgi-bin/hgTracks?position=202800_at","UCSC")</f>
        <v>UCSC</v>
      </c>
      <c r="E9449" s="1" t="str">
        <f>HYPERLINK("http://www.ncbi.nlm.nih.gov/gene/?term=SLC1A3","NCBI")</f>
        <v>NCBI</v>
      </c>
      <c r="F9449">
        <v>0.19</v>
      </c>
      <c r="G9449">
        <v>0.33</v>
      </c>
      <c r="H9449" s="1" t="str">
        <f>HYPERLINK("http://www.weizmann.ac.il/complex/compphys/software/geview/data/figures/202800_at.png","Figure")</f>
        <v>Figure</v>
      </c>
      <c r="I9449">
        <v>1.1100000000000001</v>
      </c>
      <c r="J9449">
        <v>0.26</v>
      </c>
      <c r="K9449">
        <v>1.1000000000000001</v>
      </c>
      <c r="L9449">
        <v>0.22</v>
      </c>
      <c r="M9449">
        <v>0.99299999999999999</v>
      </c>
      <c r="N9449">
        <v>0.99</v>
      </c>
    </row>
    <row r="9450" spans="1:14" x14ac:dyDescent="0.25">
      <c r="A9450" t="s">
        <v>16572</v>
      </c>
      <c r="B9450" t="s">
        <v>5078</v>
      </c>
      <c r="C9450" s="1" t="str">
        <f>HYPERLINK("http://www.genecards.org/cgi-bin/carddisp.pl?gene=EGFR","GeneCards")</f>
        <v>GeneCards</v>
      </c>
      <c r="D9450" s="1" t="str">
        <f>HYPERLINK("http://genome-euro.ucsc.edu/cgi-bin/hgTracks?position=210984_x_at","UCSC")</f>
        <v>UCSC</v>
      </c>
      <c r="E9450" s="1" t="str">
        <f>HYPERLINK("http://www.ncbi.nlm.nih.gov/gene/?term=EGFR","NCBI")</f>
        <v>NCBI</v>
      </c>
      <c r="F9450">
        <v>0.19</v>
      </c>
      <c r="G9450">
        <v>0.33</v>
      </c>
      <c r="H9450" s="1" t="str">
        <f>HYPERLINK("http://www.weizmann.ac.il/complex/compphys/software/geview/data/figures/210984_x_at.png","Figure")</f>
        <v>Figure</v>
      </c>
      <c r="I9450">
        <v>1.21</v>
      </c>
      <c r="J9450">
        <v>0.19</v>
      </c>
      <c r="K9450">
        <v>1.1399999999999999</v>
      </c>
      <c r="L9450">
        <v>0.34</v>
      </c>
      <c r="M9450">
        <v>0.94199999999999995</v>
      </c>
      <c r="N9450">
        <v>0.81</v>
      </c>
    </row>
    <row r="9451" spans="1:14" x14ac:dyDescent="0.25">
      <c r="A9451" t="s">
        <v>16573</v>
      </c>
      <c r="B9451" t="s">
        <v>16574</v>
      </c>
      <c r="C9451" s="1" t="str">
        <f>HYPERLINK("http://www.genecards.org/cgi-bin/carddisp.pl?gene=DDHD2","GeneCards")</f>
        <v>GeneCards</v>
      </c>
      <c r="D9451" s="1" t="str">
        <f>HYPERLINK("http://genome-euro.ucsc.edu/cgi-bin/hgTracks?position=212690_at","UCSC")</f>
        <v>UCSC</v>
      </c>
      <c r="E9451" s="1" t="str">
        <f>HYPERLINK("http://www.ncbi.nlm.nih.gov/gene/?term=DDHD2","NCBI")</f>
        <v>NCBI</v>
      </c>
      <c r="F9451">
        <v>0.19</v>
      </c>
      <c r="G9451">
        <v>0.33</v>
      </c>
      <c r="H9451" s="1" t="str">
        <f>HYPERLINK("http://www.weizmann.ac.il/complex/compphys/software/geview/data/figures/212690_at.png","Figure")</f>
        <v>Figure</v>
      </c>
      <c r="I9451">
        <v>1.01</v>
      </c>
      <c r="J9451">
        <v>1</v>
      </c>
      <c r="K9451">
        <v>1.42</v>
      </c>
      <c r="L9451">
        <v>0.24</v>
      </c>
      <c r="M9451">
        <v>1.41</v>
      </c>
      <c r="N9451">
        <v>0.3</v>
      </c>
    </row>
    <row r="9452" spans="1:14" x14ac:dyDescent="0.25">
      <c r="A9452" t="s">
        <v>16575</v>
      </c>
      <c r="B9452" t="s">
        <v>16576</v>
      </c>
      <c r="C9452" s="1" t="str">
        <f>HYPERLINK("http://www.genecards.org/cgi-bin/carddisp.pl?gene=PPM1G","GeneCards")</f>
        <v>GeneCards</v>
      </c>
      <c r="D9452" s="1" t="str">
        <f>HYPERLINK("http://genome-euro.ucsc.edu/cgi-bin/hgTracks?position=200913_at","UCSC")</f>
        <v>UCSC</v>
      </c>
      <c r="E9452" s="1" t="str">
        <f>HYPERLINK("http://www.ncbi.nlm.nih.gov/gene/?term=PPM1G","NCBI")</f>
        <v>NCBI</v>
      </c>
      <c r="F9452">
        <v>0.19</v>
      </c>
      <c r="G9452">
        <v>0.33</v>
      </c>
      <c r="H9452" s="1" t="str">
        <f>HYPERLINK("http://www.weizmann.ac.il/complex/compphys/software/geview/data/figures/200913_at.png","Figure")</f>
        <v>Figure</v>
      </c>
      <c r="I9452">
        <v>1.26</v>
      </c>
      <c r="J9452">
        <v>0.16</v>
      </c>
      <c r="K9452">
        <v>1.1100000000000001</v>
      </c>
      <c r="L9452">
        <v>0.56000000000000005</v>
      </c>
      <c r="M9452">
        <v>0.88400000000000001</v>
      </c>
      <c r="N9452">
        <v>0.52</v>
      </c>
    </row>
    <row r="9453" spans="1:14" x14ac:dyDescent="0.25">
      <c r="A9453" t="s">
        <v>16577</v>
      </c>
      <c r="B9453" t="s">
        <v>15136</v>
      </c>
      <c r="C9453" s="1" t="str">
        <f>HYPERLINK("http://www.genecards.org/cgi-bin/carddisp.pl?gene=RNGTT","GeneCards")</f>
        <v>GeneCards</v>
      </c>
      <c r="D9453" s="1" t="str">
        <f>HYPERLINK("http://genome-euro.ucsc.edu/cgi-bin/hgTracks?position=211387_x_at","UCSC")</f>
        <v>UCSC</v>
      </c>
      <c r="E9453" s="1" t="str">
        <f>HYPERLINK("http://www.ncbi.nlm.nih.gov/gene/?term=RNGTT","NCBI")</f>
        <v>NCBI</v>
      </c>
      <c r="F9453">
        <v>0.19</v>
      </c>
      <c r="G9453">
        <v>0.33</v>
      </c>
      <c r="H9453" s="1" t="str">
        <f>HYPERLINK("http://www.weizmann.ac.il/complex/compphys/software/geview/data/figures/211387_x_at.png","Figure")</f>
        <v>Figure</v>
      </c>
      <c r="I9453">
        <v>1.0900000000000001</v>
      </c>
      <c r="J9453">
        <v>0.88</v>
      </c>
      <c r="K9453">
        <v>0.81299999999999994</v>
      </c>
      <c r="L9453">
        <v>0.38</v>
      </c>
      <c r="M9453">
        <v>0.749</v>
      </c>
      <c r="N9453">
        <v>0.2</v>
      </c>
    </row>
    <row r="9454" spans="1:14" x14ac:dyDescent="0.25">
      <c r="A9454" t="s">
        <v>16578</v>
      </c>
      <c r="B9454" t="s">
        <v>16579</v>
      </c>
      <c r="C9454" s="1" t="str">
        <f>HYPERLINK("http://www.genecards.org/cgi-bin/carddisp.pl?gene=RPL7","GeneCards")</f>
        <v>GeneCards</v>
      </c>
      <c r="D9454" s="1" t="str">
        <f>HYPERLINK("http://genome-euro.ucsc.edu/cgi-bin/hgTracks?position=217092_x_at","UCSC")</f>
        <v>UCSC</v>
      </c>
      <c r="E9454" s="1" t="str">
        <f>HYPERLINK("http://www.ncbi.nlm.nih.gov/gene/?term=RPL7","NCBI")</f>
        <v>NCBI</v>
      </c>
      <c r="F9454">
        <v>0.19</v>
      </c>
      <c r="G9454">
        <v>0.33</v>
      </c>
      <c r="H9454" s="1" t="str">
        <f>HYPERLINK("http://www.weizmann.ac.il/complex/compphys/software/geview/data/figures/217092_x_at.png","Figure")</f>
        <v>Figure</v>
      </c>
      <c r="I9454">
        <v>1.3</v>
      </c>
      <c r="J9454">
        <v>0.17</v>
      </c>
      <c r="K9454">
        <v>1.17</v>
      </c>
      <c r="L9454">
        <v>0.42</v>
      </c>
      <c r="M9454">
        <v>0.89700000000000002</v>
      </c>
      <c r="N9454">
        <v>0.68</v>
      </c>
    </row>
    <row r="9455" spans="1:14" x14ac:dyDescent="0.25">
      <c r="A9455" t="s">
        <v>16580</v>
      </c>
      <c r="B9455" t="s">
        <v>16581</v>
      </c>
      <c r="C9455" s="1" t="str">
        <f>HYPERLINK("http://www.genecards.org/cgi-bin/carddisp.pl?gene=NGB","GeneCards")</f>
        <v>GeneCards</v>
      </c>
      <c r="D9455" s="1" t="str">
        <f>HYPERLINK("http://genome-euro.ucsc.edu/cgi-bin/hgTracks?position=220337_at","UCSC")</f>
        <v>UCSC</v>
      </c>
      <c r="E9455" s="1" t="str">
        <f>HYPERLINK("http://www.ncbi.nlm.nih.gov/gene/?term=NGB","NCBI")</f>
        <v>NCBI</v>
      </c>
      <c r="F9455">
        <v>0.19</v>
      </c>
      <c r="G9455">
        <v>0.33</v>
      </c>
      <c r="H9455" s="1" t="str">
        <f>HYPERLINK("http://www.weizmann.ac.il/complex/compphys/software/geview/data/figures/220337_at.png","Figure")</f>
        <v>Figure</v>
      </c>
      <c r="I9455">
        <v>1.03</v>
      </c>
      <c r="J9455">
        <v>0.9</v>
      </c>
      <c r="K9455">
        <v>0.91300000000000003</v>
      </c>
      <c r="L9455">
        <v>0.36</v>
      </c>
      <c r="M9455">
        <v>0.88500000000000001</v>
      </c>
      <c r="N9455">
        <v>0.21</v>
      </c>
    </row>
    <row r="9456" spans="1:14" x14ac:dyDescent="0.25">
      <c r="A9456" t="s">
        <v>16582</v>
      </c>
      <c r="B9456" t="s">
        <v>8924</v>
      </c>
      <c r="C9456" s="1" t="str">
        <f>HYPERLINK("http://www.genecards.org/cgi-bin/carddisp.pl?gene=DHPS","GeneCards")</f>
        <v>GeneCards</v>
      </c>
      <c r="D9456" s="1" t="str">
        <f>HYPERLINK("http://genome-euro.ucsc.edu/cgi-bin/hgTracks?position=202802_at","UCSC")</f>
        <v>UCSC</v>
      </c>
      <c r="E9456" s="1" t="str">
        <f>HYPERLINK("http://www.ncbi.nlm.nih.gov/gene/?term=DHPS","NCBI")</f>
        <v>NCBI</v>
      </c>
      <c r="F9456">
        <v>0.19</v>
      </c>
      <c r="G9456">
        <v>0.33</v>
      </c>
      <c r="H9456" s="1" t="str">
        <f>HYPERLINK("http://www.weizmann.ac.il/complex/compphys/software/geview/data/figures/202802_at.png","Figure")</f>
        <v>Figure</v>
      </c>
      <c r="I9456">
        <v>0.85499999999999998</v>
      </c>
      <c r="J9456">
        <v>0.77</v>
      </c>
      <c r="K9456">
        <v>1.27</v>
      </c>
      <c r="L9456">
        <v>0.46</v>
      </c>
      <c r="M9456">
        <v>1.49</v>
      </c>
      <c r="N9456">
        <v>0.18</v>
      </c>
    </row>
    <row r="9457" spans="1:14" x14ac:dyDescent="0.25">
      <c r="A9457" t="s">
        <v>16583</v>
      </c>
      <c r="B9457" t="s">
        <v>16584</v>
      </c>
      <c r="C9457" s="1" t="str">
        <f>HYPERLINK("http://www.genecards.org/cgi-bin/carddisp.pl?gene=F13A1","GeneCards")</f>
        <v>GeneCards</v>
      </c>
      <c r="D9457" s="1" t="str">
        <f>HYPERLINK("http://genome-euro.ucsc.edu/cgi-bin/hgTracks?position=203305_at","UCSC")</f>
        <v>UCSC</v>
      </c>
      <c r="E9457" s="1" t="str">
        <f>HYPERLINK("http://www.ncbi.nlm.nih.gov/gene/?term=F13A1","NCBI")</f>
        <v>NCBI</v>
      </c>
      <c r="F9457">
        <v>0.19</v>
      </c>
      <c r="G9457">
        <v>0.33</v>
      </c>
      <c r="H9457" s="1" t="str">
        <f>HYPERLINK("http://www.weizmann.ac.il/complex/compphys/software/geview/data/figures/203305_at.png","Figure")</f>
        <v>Figure</v>
      </c>
      <c r="I9457">
        <v>2.39</v>
      </c>
      <c r="J9457">
        <v>0.16</v>
      </c>
      <c r="K9457">
        <v>1.49</v>
      </c>
      <c r="L9457">
        <v>0.56999999999999995</v>
      </c>
      <c r="M9457">
        <v>0.625</v>
      </c>
      <c r="N9457">
        <v>0.51</v>
      </c>
    </row>
    <row r="9458" spans="1:14" x14ac:dyDescent="0.25">
      <c r="A9458" t="s">
        <v>16585</v>
      </c>
      <c r="B9458" t="s">
        <v>16586</v>
      </c>
      <c r="C9458" s="1" t="str">
        <f>HYPERLINK("http://www.genecards.org/cgi-bin/carddisp.pl?gene=BRS3","GeneCards")</f>
        <v>GeneCards</v>
      </c>
      <c r="D9458" s="1" t="str">
        <f>HYPERLINK("http://genome-euro.ucsc.edu/cgi-bin/hgTracks?position=207369_at","UCSC")</f>
        <v>UCSC</v>
      </c>
      <c r="E9458" s="1" t="str">
        <f>HYPERLINK("http://www.ncbi.nlm.nih.gov/gene/?term=BRS3","NCBI")</f>
        <v>NCBI</v>
      </c>
      <c r="F9458">
        <v>0.19</v>
      </c>
      <c r="G9458">
        <v>0.33</v>
      </c>
      <c r="H9458" s="1" t="str">
        <f>HYPERLINK("http://www.weizmann.ac.il/complex/compphys/software/geview/data/figures/207369_at.png","Figure")</f>
        <v>Figure</v>
      </c>
      <c r="I9458">
        <v>1.1299999999999999</v>
      </c>
      <c r="J9458">
        <v>0.16</v>
      </c>
      <c r="K9458">
        <v>1.06</v>
      </c>
      <c r="L9458">
        <v>0.55000000000000004</v>
      </c>
      <c r="M9458">
        <v>0.94</v>
      </c>
      <c r="N9458">
        <v>0.53</v>
      </c>
    </row>
    <row r="9459" spans="1:14" x14ac:dyDescent="0.25">
      <c r="A9459" t="s">
        <v>16587</v>
      </c>
      <c r="B9459" t="s">
        <v>7980</v>
      </c>
      <c r="C9459" s="1" t="str">
        <f>HYPERLINK("http://www.genecards.org/cgi-bin/carddisp.pl?gene=CHST3","GeneCards")</f>
        <v>GeneCards</v>
      </c>
      <c r="D9459" s="1" t="str">
        <f>HYPERLINK("http://genome-euro.ucsc.edu/cgi-bin/hgTracks?position=209834_at","UCSC")</f>
        <v>UCSC</v>
      </c>
      <c r="E9459" s="1" t="str">
        <f>HYPERLINK("http://www.ncbi.nlm.nih.gov/gene/?term=CHST3","NCBI")</f>
        <v>NCBI</v>
      </c>
      <c r="F9459">
        <v>0.19</v>
      </c>
      <c r="G9459">
        <v>0.33</v>
      </c>
      <c r="H9459" s="1" t="str">
        <f>HYPERLINK("http://www.weizmann.ac.il/complex/compphys/software/geview/data/figures/209834_at.png","Figure")</f>
        <v>Figure</v>
      </c>
      <c r="I9459">
        <v>1.1599999999999999</v>
      </c>
      <c r="J9459">
        <v>0.17</v>
      </c>
      <c r="K9459">
        <v>1.05</v>
      </c>
      <c r="L9459">
        <v>0.74</v>
      </c>
      <c r="M9459">
        <v>0.90400000000000003</v>
      </c>
      <c r="N9459">
        <v>0.38</v>
      </c>
    </row>
    <row r="9460" spans="1:14" x14ac:dyDescent="0.25">
      <c r="A9460" t="s">
        <v>16588</v>
      </c>
      <c r="B9460" t="s">
        <v>12599</v>
      </c>
      <c r="C9460" s="1" t="str">
        <f>HYPERLINK("http://www.genecards.org/cgi-bin/carddisp.pl?gene=KPNA6","GeneCards")</f>
        <v>GeneCards</v>
      </c>
      <c r="D9460" s="1" t="str">
        <f>HYPERLINK("http://genome-euro.ucsc.edu/cgi-bin/hgTracks?position=212103_at","UCSC")</f>
        <v>UCSC</v>
      </c>
      <c r="E9460" s="1" t="str">
        <f>HYPERLINK("http://www.ncbi.nlm.nih.gov/gene/?term=KPNA6","NCBI")</f>
        <v>NCBI</v>
      </c>
      <c r="F9460">
        <v>0.19</v>
      </c>
      <c r="G9460">
        <v>0.33</v>
      </c>
      <c r="H9460" s="1" t="str">
        <f>HYPERLINK("http://www.weizmann.ac.il/complex/compphys/software/geview/data/figures/212103_at.png","Figure")</f>
        <v>Figure</v>
      </c>
      <c r="I9460">
        <v>0.84899999999999998</v>
      </c>
      <c r="J9460">
        <v>0.43</v>
      </c>
      <c r="K9460">
        <v>0.80700000000000005</v>
      </c>
      <c r="L9460">
        <v>0.17</v>
      </c>
      <c r="M9460">
        <v>0.95099999999999996</v>
      </c>
      <c r="N9460">
        <v>0.91</v>
      </c>
    </row>
    <row r="9461" spans="1:14" x14ac:dyDescent="0.25">
      <c r="A9461" t="s">
        <v>16589</v>
      </c>
      <c r="B9461" t="s">
        <v>12816</v>
      </c>
      <c r="C9461" s="1" t="str">
        <f>HYPERLINK("http://www.genecards.org/cgi-bin/carddisp.pl?gene=ZDHHC17","GeneCards")</f>
        <v>GeneCards</v>
      </c>
      <c r="D9461" s="1" t="str">
        <f>HYPERLINK("http://genome-euro.ucsc.edu/cgi-bin/hgTracks?position=212982_at","UCSC")</f>
        <v>UCSC</v>
      </c>
      <c r="E9461" s="1" t="str">
        <f>HYPERLINK("http://www.ncbi.nlm.nih.gov/gene/?term=ZDHHC17","NCBI")</f>
        <v>NCBI</v>
      </c>
      <c r="F9461">
        <v>0.19</v>
      </c>
      <c r="G9461">
        <v>0.33</v>
      </c>
      <c r="H9461" s="1" t="str">
        <f>HYPERLINK("http://www.weizmann.ac.il/complex/compphys/software/geview/data/figures/212982_at.png","Figure")</f>
        <v>Figure</v>
      </c>
      <c r="I9461">
        <v>0.77700000000000002</v>
      </c>
      <c r="J9461">
        <v>0.64</v>
      </c>
      <c r="K9461">
        <v>0.624</v>
      </c>
      <c r="L9461">
        <v>0.16</v>
      </c>
      <c r="M9461">
        <v>0.80300000000000005</v>
      </c>
      <c r="N9461">
        <v>0.68</v>
      </c>
    </row>
    <row r="9462" spans="1:14" x14ac:dyDescent="0.25">
      <c r="A9462" t="s">
        <v>16590</v>
      </c>
      <c r="B9462" t="s">
        <v>16591</v>
      </c>
      <c r="C9462" s="1" t="str">
        <f>HYPERLINK("http://www.genecards.org/cgi-bin/carddisp.pl?gene=MAP1S","GeneCards")</f>
        <v>GeneCards</v>
      </c>
      <c r="D9462" s="1" t="str">
        <f>HYPERLINK("http://genome-euro.ucsc.edu/cgi-bin/hgTracks?position=218522_s_at","UCSC")</f>
        <v>UCSC</v>
      </c>
      <c r="E9462" s="1" t="str">
        <f>HYPERLINK("http://www.ncbi.nlm.nih.gov/gene/?term=MAP1S","NCBI")</f>
        <v>NCBI</v>
      </c>
      <c r="F9462">
        <v>0.19</v>
      </c>
      <c r="G9462">
        <v>0.33</v>
      </c>
      <c r="H9462" s="1" t="str">
        <f>HYPERLINK("http://www.weizmann.ac.il/complex/compphys/software/geview/data/figures/218522_s_at.png","Figure")</f>
        <v>Figure</v>
      </c>
      <c r="I9462">
        <v>0.70899999999999996</v>
      </c>
      <c r="J9462">
        <v>0.44</v>
      </c>
      <c r="K9462">
        <v>1.17</v>
      </c>
      <c r="L9462">
        <v>0.79</v>
      </c>
      <c r="M9462">
        <v>1.65</v>
      </c>
      <c r="N9462">
        <v>0.16</v>
      </c>
    </row>
    <row r="9463" spans="1:14" x14ac:dyDescent="0.25">
      <c r="A9463" t="s">
        <v>16592</v>
      </c>
      <c r="B9463" t="s">
        <v>16593</v>
      </c>
      <c r="C9463" s="1" t="str">
        <f>HYPERLINK("http://www.genecards.org/cgi-bin/carddisp.pl?gene=C5orf4","GeneCards")</f>
        <v>GeneCards</v>
      </c>
      <c r="D9463" s="1" t="str">
        <f>HYPERLINK("http://genome-euro.ucsc.edu/cgi-bin/hgTracks?position=48030_i_at","UCSC")</f>
        <v>UCSC</v>
      </c>
      <c r="E9463" s="1" t="str">
        <f>HYPERLINK("http://www.ncbi.nlm.nih.gov/gene/?term=C5orf4","NCBI")</f>
        <v>NCBI</v>
      </c>
      <c r="F9463">
        <v>0.19</v>
      </c>
      <c r="G9463">
        <v>0.33</v>
      </c>
      <c r="H9463" s="1" t="str">
        <f>HYPERLINK("http://www.weizmann.ac.il/complex/compphys/software/geview/data/figures/48030_i_at.png","Figure")</f>
        <v>Figure</v>
      </c>
      <c r="I9463">
        <v>1.33</v>
      </c>
      <c r="J9463">
        <v>0.16</v>
      </c>
      <c r="K9463">
        <v>1.1200000000000001</v>
      </c>
      <c r="L9463">
        <v>0.66</v>
      </c>
      <c r="M9463">
        <v>0.84299999999999997</v>
      </c>
      <c r="N9463">
        <v>0.44</v>
      </c>
    </row>
    <row r="9464" spans="1:14" x14ac:dyDescent="0.25">
      <c r="A9464" t="s">
        <v>16594</v>
      </c>
      <c r="B9464" t="s">
        <v>5044</v>
      </c>
      <c r="C9464" s="1" t="str">
        <f>HYPERLINK("http://www.genecards.org/cgi-bin/carddisp.pl?gene=N4BP1","GeneCards")</f>
        <v>GeneCards</v>
      </c>
      <c r="D9464" s="1" t="str">
        <f>HYPERLINK("http://genome-euro.ucsc.edu/cgi-bin/hgTracks?position=48612_at","UCSC")</f>
        <v>UCSC</v>
      </c>
      <c r="E9464" s="1" t="str">
        <f>HYPERLINK("http://www.ncbi.nlm.nih.gov/gene/?term=N4BP1","NCBI")</f>
        <v>NCBI</v>
      </c>
      <c r="F9464">
        <v>0.19</v>
      </c>
      <c r="G9464">
        <v>0.33</v>
      </c>
      <c r="H9464" s="1" t="str">
        <f>HYPERLINK("http://www.weizmann.ac.il/complex/compphys/software/geview/data/figures/48612_at.png","Figure")</f>
        <v>Figure</v>
      </c>
      <c r="I9464">
        <v>1.31</v>
      </c>
      <c r="J9464">
        <v>0.19</v>
      </c>
      <c r="K9464">
        <v>1.21</v>
      </c>
      <c r="L9464">
        <v>0.33</v>
      </c>
      <c r="M9464">
        <v>0.92200000000000004</v>
      </c>
      <c r="N9464">
        <v>0.83</v>
      </c>
    </row>
    <row r="9465" spans="1:14" x14ac:dyDescent="0.25">
      <c r="A9465" t="s">
        <v>16595</v>
      </c>
      <c r="B9465" t="s">
        <v>16596</v>
      </c>
      <c r="C9465" s="1" t="str">
        <f>HYPERLINK("http://www.genecards.org/cgi-bin/carddisp.pl?gene=TAP2","GeneCards")</f>
        <v>GeneCards</v>
      </c>
      <c r="D9465" s="1" t="str">
        <f>HYPERLINK("http://genome-euro.ucsc.edu/cgi-bin/hgTracks?position=204770_at","UCSC")</f>
        <v>UCSC</v>
      </c>
      <c r="E9465" s="1" t="str">
        <f>HYPERLINK("http://www.ncbi.nlm.nih.gov/gene/?term=TAP2","NCBI")</f>
        <v>NCBI</v>
      </c>
      <c r="F9465">
        <v>0.19</v>
      </c>
      <c r="G9465">
        <v>0.33</v>
      </c>
      <c r="H9465" s="1" t="str">
        <f>HYPERLINK("http://www.weizmann.ac.il/complex/compphys/software/geview/data/figures/204770_at.png","Figure")</f>
        <v>Figure</v>
      </c>
      <c r="I9465">
        <v>0.84399999999999997</v>
      </c>
      <c r="J9465">
        <v>0.32</v>
      </c>
      <c r="K9465">
        <v>1.03</v>
      </c>
      <c r="L9465">
        <v>0.95</v>
      </c>
      <c r="M9465">
        <v>1.22</v>
      </c>
      <c r="N9465">
        <v>0.18</v>
      </c>
    </row>
    <row r="9466" spans="1:14" x14ac:dyDescent="0.25">
      <c r="A9466" t="s">
        <v>16597</v>
      </c>
      <c r="B9466" t="s">
        <v>16598</v>
      </c>
      <c r="C9466" s="1" t="str">
        <f>HYPERLINK("http://www.genecards.org/cgi-bin/carddisp.pl?gene=BAD","GeneCards")</f>
        <v>GeneCards</v>
      </c>
      <c r="D9466" s="1" t="str">
        <f>HYPERLINK("http://genome-euro.ucsc.edu/cgi-bin/hgTracks?position=209364_at","UCSC")</f>
        <v>UCSC</v>
      </c>
      <c r="E9466" s="1" t="str">
        <f>HYPERLINK("http://www.ncbi.nlm.nih.gov/gene/?term=BAD","NCBI")</f>
        <v>NCBI</v>
      </c>
      <c r="F9466">
        <v>0.19</v>
      </c>
      <c r="G9466">
        <v>0.33</v>
      </c>
      <c r="H9466" s="1" t="str">
        <f>HYPERLINK("http://www.weizmann.ac.il/complex/compphys/software/geview/data/figures/209364_at.png","Figure")</f>
        <v>Figure</v>
      </c>
      <c r="I9466">
        <v>1.18</v>
      </c>
      <c r="J9466">
        <v>0.34</v>
      </c>
      <c r="K9466">
        <v>1.2</v>
      </c>
      <c r="L9466">
        <v>0.19</v>
      </c>
      <c r="M9466">
        <v>1.02</v>
      </c>
      <c r="N9466">
        <v>0.98</v>
      </c>
    </row>
    <row r="9467" spans="1:14" x14ac:dyDescent="0.25">
      <c r="A9467" t="s">
        <v>16599</v>
      </c>
      <c r="B9467" t="s">
        <v>16321</v>
      </c>
      <c r="C9467" s="1" t="str">
        <f>HYPERLINK("http://www.genecards.org/cgi-bin/carddisp.pl?gene=MTUS1","GeneCards")</f>
        <v>GeneCards</v>
      </c>
      <c r="D9467" s="1" t="str">
        <f>HYPERLINK("http://genome-euro.ucsc.edu/cgi-bin/hgTracks?position=212096_s_at","UCSC")</f>
        <v>UCSC</v>
      </c>
      <c r="E9467" s="1" t="str">
        <f>HYPERLINK("http://www.ncbi.nlm.nih.gov/gene/?term=MTUS1","NCBI")</f>
        <v>NCBI</v>
      </c>
      <c r="F9467">
        <v>0.19</v>
      </c>
      <c r="G9467">
        <v>0.33</v>
      </c>
      <c r="H9467" s="1" t="str">
        <f>HYPERLINK("http://www.weizmann.ac.il/complex/compphys/software/geview/data/figures/212096_s_at.png","Figure")</f>
        <v>Figure</v>
      </c>
      <c r="I9467">
        <v>1.06</v>
      </c>
      <c r="J9467">
        <v>0.98</v>
      </c>
      <c r="K9467">
        <v>0.628</v>
      </c>
      <c r="L9467">
        <v>0.28999999999999998</v>
      </c>
      <c r="M9467">
        <v>0.59199999999999997</v>
      </c>
      <c r="N9467">
        <v>0.25</v>
      </c>
    </row>
    <row r="9468" spans="1:14" x14ac:dyDescent="0.25">
      <c r="A9468" t="s">
        <v>16600</v>
      </c>
      <c r="B9468" t="s">
        <v>7590</v>
      </c>
      <c r="C9468" s="1" t="str">
        <f>HYPERLINK("http://www.genecards.org/cgi-bin/carddisp.pl?gene=AHCYL2","GeneCards")</f>
        <v>GeneCards</v>
      </c>
      <c r="D9468" s="1" t="str">
        <f>HYPERLINK("http://genome-euro.ucsc.edu/cgi-bin/hgTracks?position=215672_s_at","UCSC")</f>
        <v>UCSC</v>
      </c>
      <c r="E9468" s="1" t="str">
        <f>HYPERLINK("http://www.ncbi.nlm.nih.gov/gene/?term=AHCYL2","NCBI")</f>
        <v>NCBI</v>
      </c>
      <c r="F9468">
        <v>0.19</v>
      </c>
      <c r="G9468">
        <v>0.33</v>
      </c>
      <c r="H9468" s="1" t="str">
        <f>HYPERLINK("http://www.weizmann.ac.il/complex/compphys/software/geview/data/figures/215672_s_at.png","Figure")</f>
        <v>Figure</v>
      </c>
      <c r="I9468">
        <v>1.1299999999999999</v>
      </c>
      <c r="J9468">
        <v>0.18</v>
      </c>
      <c r="K9468">
        <v>1.08</v>
      </c>
      <c r="L9468">
        <v>0.39</v>
      </c>
      <c r="M9468">
        <v>0.95499999999999996</v>
      </c>
      <c r="N9468">
        <v>0.73</v>
      </c>
    </row>
    <row r="9469" spans="1:14" x14ac:dyDescent="0.25">
      <c r="A9469" t="s">
        <v>16601</v>
      </c>
      <c r="B9469" t="s">
        <v>9659</v>
      </c>
      <c r="C9469" s="1" t="str">
        <f>HYPERLINK("http://www.genecards.org/cgi-bin/carddisp.pl?gene=CYP2C9","GeneCards")</f>
        <v>GeneCards</v>
      </c>
      <c r="D9469" s="1" t="str">
        <f>HYPERLINK("http://genome-euro.ucsc.edu/cgi-bin/hgTracks?position=220017_x_at","UCSC")</f>
        <v>UCSC</v>
      </c>
      <c r="E9469" s="1" t="str">
        <f>HYPERLINK("http://www.ncbi.nlm.nih.gov/gene/?term=CYP2C9","NCBI")</f>
        <v>NCBI</v>
      </c>
      <c r="F9469">
        <v>0.19</v>
      </c>
      <c r="G9469">
        <v>0.33</v>
      </c>
      <c r="H9469" s="1" t="str">
        <f>HYPERLINK("http://www.weizmann.ac.il/complex/compphys/software/geview/data/figures/220017_x_at.png","Figure")</f>
        <v>Figure</v>
      </c>
      <c r="I9469">
        <v>0.98399999999999999</v>
      </c>
      <c r="J9469">
        <v>0.99</v>
      </c>
      <c r="K9469">
        <v>0.85</v>
      </c>
      <c r="L9469">
        <v>0.22</v>
      </c>
      <c r="M9469">
        <v>0.86299999999999999</v>
      </c>
      <c r="N9469">
        <v>0.33</v>
      </c>
    </row>
    <row r="9470" spans="1:14" x14ac:dyDescent="0.25">
      <c r="A9470" t="s">
        <v>16602</v>
      </c>
      <c r="B9470" t="s">
        <v>16603</v>
      </c>
      <c r="C9470" s="1" t="str">
        <f>HYPERLINK("http://www.genecards.org/cgi-bin/carddisp.pl?gene=ECHS1","GeneCards")</f>
        <v>GeneCards</v>
      </c>
      <c r="D9470" s="1" t="str">
        <f>HYPERLINK("http://genome-euro.ucsc.edu/cgi-bin/hgTracks?position=201135_at","UCSC")</f>
        <v>UCSC</v>
      </c>
      <c r="E9470" s="1" t="str">
        <f>HYPERLINK("http://www.ncbi.nlm.nih.gov/gene/?term=ECHS1","NCBI")</f>
        <v>NCBI</v>
      </c>
      <c r="F9470">
        <v>0.19</v>
      </c>
      <c r="G9470">
        <v>0.34</v>
      </c>
      <c r="H9470" s="1" t="str">
        <f>HYPERLINK("http://www.weizmann.ac.il/complex/compphys/software/geview/data/figures/201135_at.png","Figure")</f>
        <v>Figure</v>
      </c>
      <c r="I9470">
        <v>0.877</v>
      </c>
      <c r="J9470">
        <v>0.71</v>
      </c>
      <c r="K9470">
        <v>1.18</v>
      </c>
      <c r="L9470">
        <v>0.51</v>
      </c>
      <c r="M9470">
        <v>1.34</v>
      </c>
      <c r="N9470">
        <v>0.18</v>
      </c>
    </row>
    <row r="9471" spans="1:14" x14ac:dyDescent="0.25">
      <c r="A9471" t="s">
        <v>16604</v>
      </c>
      <c r="B9471" t="s">
        <v>3765</v>
      </c>
      <c r="C9471" s="1" t="str">
        <f>HYPERLINK("http://www.genecards.org/cgi-bin/carddisp.pl?gene=PDE4C","GeneCards")</f>
        <v>GeneCards</v>
      </c>
      <c r="D9471" s="1" t="str">
        <f>HYPERLINK("http://genome-euro.ucsc.edu/cgi-bin/hgTracks?position=211818_s_at","UCSC")</f>
        <v>UCSC</v>
      </c>
      <c r="E9471" s="1" t="str">
        <f>HYPERLINK("http://www.ncbi.nlm.nih.gov/gene/?term=PDE4C","NCBI")</f>
        <v>NCBI</v>
      </c>
      <c r="F9471">
        <v>0.19</v>
      </c>
      <c r="G9471">
        <v>0.34</v>
      </c>
      <c r="H9471" s="1" t="str">
        <f>HYPERLINK("http://www.weizmann.ac.il/complex/compphys/software/geview/data/figures/211818_s_at.png","Figure")</f>
        <v>Figure</v>
      </c>
      <c r="I9471">
        <v>1.18</v>
      </c>
      <c r="J9471">
        <v>0.18</v>
      </c>
      <c r="K9471">
        <v>1.1200000000000001</v>
      </c>
      <c r="L9471">
        <v>0.36</v>
      </c>
      <c r="M9471">
        <v>0.94399999999999995</v>
      </c>
      <c r="N9471">
        <v>0.77</v>
      </c>
    </row>
    <row r="9472" spans="1:14" x14ac:dyDescent="0.25">
      <c r="A9472" t="s">
        <v>16605</v>
      </c>
      <c r="B9472" t="s">
        <v>3082</v>
      </c>
      <c r="C9472" s="1" t="str">
        <f>HYPERLINK("http://www.genecards.org/cgi-bin/carddisp.pl?gene=SAMD4A","GeneCards")</f>
        <v>GeneCards</v>
      </c>
      <c r="D9472" s="1" t="str">
        <f>HYPERLINK("http://genome-euro.ucsc.edu/cgi-bin/hgTracks?position=215496_at","UCSC")</f>
        <v>UCSC</v>
      </c>
      <c r="E9472" s="1" t="str">
        <f>HYPERLINK("http://www.ncbi.nlm.nih.gov/gene/?term=SAMD4A","NCBI")</f>
        <v>NCBI</v>
      </c>
      <c r="F9472">
        <v>0.19</v>
      </c>
      <c r="G9472">
        <v>0.34</v>
      </c>
      <c r="H9472" s="1" t="str">
        <f>HYPERLINK("http://www.weizmann.ac.il/complex/compphys/software/geview/data/figures/215496_at.png","Figure")</f>
        <v>Figure</v>
      </c>
      <c r="I9472">
        <v>1.1200000000000001</v>
      </c>
      <c r="J9472">
        <v>0.28999999999999998</v>
      </c>
      <c r="K9472">
        <v>0.98699999999999999</v>
      </c>
      <c r="L9472">
        <v>0.98</v>
      </c>
      <c r="M9472">
        <v>0.88500000000000001</v>
      </c>
      <c r="N9472">
        <v>0.19</v>
      </c>
    </row>
    <row r="9473" spans="1:14" x14ac:dyDescent="0.25">
      <c r="A9473" t="s">
        <v>16606</v>
      </c>
      <c r="B9473" t="s">
        <v>2610</v>
      </c>
      <c r="C9473" s="1" t="str">
        <f>HYPERLINK("http://www.genecards.org/cgi-bin/carddisp.pl?gene=BAZ2A","GeneCards")</f>
        <v>GeneCards</v>
      </c>
      <c r="D9473" s="1" t="str">
        <f>HYPERLINK("http://genome-euro.ucsc.edu/cgi-bin/hgTracks?position=215437_x_at","UCSC")</f>
        <v>UCSC</v>
      </c>
      <c r="E9473" s="1" t="str">
        <f>HYPERLINK("http://www.ncbi.nlm.nih.gov/gene/?term=BAZ2A","NCBI")</f>
        <v>NCBI</v>
      </c>
      <c r="F9473">
        <v>0.19</v>
      </c>
      <c r="G9473">
        <v>0.34</v>
      </c>
      <c r="H9473" s="1" t="str">
        <f>HYPERLINK("http://www.weizmann.ac.il/complex/compphys/software/geview/data/figures/215437_x_at.png","Figure")</f>
        <v>Figure</v>
      </c>
      <c r="I9473">
        <v>1.01</v>
      </c>
      <c r="J9473">
        <v>0.99</v>
      </c>
      <c r="K9473">
        <v>0.9</v>
      </c>
      <c r="L9473">
        <v>0.28000000000000003</v>
      </c>
      <c r="M9473">
        <v>0.89</v>
      </c>
      <c r="N9473">
        <v>0.26</v>
      </c>
    </row>
    <row r="9474" spans="1:14" x14ac:dyDescent="0.25">
      <c r="A9474" t="s">
        <v>16607</v>
      </c>
      <c r="B9474" t="s">
        <v>16608</v>
      </c>
      <c r="C9474" s="1" t="str">
        <f>HYPERLINK("http://www.genecards.org/cgi-bin/carddisp.pl?gene=ACTN4","GeneCards")</f>
        <v>GeneCards</v>
      </c>
      <c r="D9474" s="1" t="str">
        <f>HYPERLINK("http://genome-euro.ucsc.edu/cgi-bin/hgTracks?position=200601_at","UCSC")</f>
        <v>UCSC</v>
      </c>
      <c r="E9474" s="1" t="str">
        <f>HYPERLINK("http://www.ncbi.nlm.nih.gov/gene/?term=ACTN4","NCBI")</f>
        <v>NCBI</v>
      </c>
      <c r="F9474">
        <v>0.19</v>
      </c>
      <c r="G9474">
        <v>0.34</v>
      </c>
      <c r="H9474" s="1" t="str">
        <f>HYPERLINK("http://www.weizmann.ac.il/complex/compphys/software/geview/data/figures/200601_at.png","Figure")</f>
        <v>Figure</v>
      </c>
      <c r="I9474">
        <v>1.07</v>
      </c>
      <c r="J9474">
        <v>0.87</v>
      </c>
      <c r="K9474">
        <v>1.26</v>
      </c>
      <c r="L9474">
        <v>0.18</v>
      </c>
      <c r="M9474">
        <v>1.17</v>
      </c>
      <c r="N9474">
        <v>0.46</v>
      </c>
    </row>
    <row r="9475" spans="1:14" x14ac:dyDescent="0.25">
      <c r="A9475" t="s">
        <v>16609</v>
      </c>
      <c r="B9475" t="s">
        <v>11817</v>
      </c>
      <c r="C9475" s="1" t="str">
        <f>HYPERLINK("http://www.genecards.org/cgi-bin/carddisp.pl?gene=ZBTB43","GeneCards")</f>
        <v>GeneCards</v>
      </c>
      <c r="D9475" s="1" t="str">
        <f>HYPERLINK("http://genome-euro.ucsc.edu/cgi-bin/hgTracks?position=204180_s_at","UCSC")</f>
        <v>UCSC</v>
      </c>
      <c r="E9475" s="1" t="str">
        <f>HYPERLINK("http://www.ncbi.nlm.nih.gov/gene/?term=ZBTB43","NCBI")</f>
        <v>NCBI</v>
      </c>
      <c r="F9475">
        <v>0.19</v>
      </c>
      <c r="G9475">
        <v>0.34</v>
      </c>
      <c r="H9475" s="1" t="str">
        <f>HYPERLINK("http://www.weizmann.ac.il/complex/compphys/software/geview/data/figures/204180_s_at.png","Figure")</f>
        <v>Figure</v>
      </c>
      <c r="I9475">
        <v>0.78100000000000003</v>
      </c>
      <c r="J9475">
        <v>0.81</v>
      </c>
      <c r="K9475">
        <v>0.51600000000000001</v>
      </c>
      <c r="L9475">
        <v>0.17</v>
      </c>
      <c r="M9475">
        <v>0.66100000000000003</v>
      </c>
      <c r="N9475">
        <v>0.52</v>
      </c>
    </row>
    <row r="9476" spans="1:14" x14ac:dyDescent="0.25">
      <c r="A9476" t="s">
        <v>16610</v>
      </c>
      <c r="B9476" t="s">
        <v>2646</v>
      </c>
      <c r="C9476" s="1" t="str">
        <f>HYPERLINK("http://www.genecards.org/cgi-bin/carddisp.pl?gene=TCF3","GeneCards")</f>
        <v>GeneCards</v>
      </c>
      <c r="D9476" s="1" t="str">
        <f>HYPERLINK("http://genome-euro.ucsc.edu/cgi-bin/hgTracks?position=209152_s_at","UCSC")</f>
        <v>UCSC</v>
      </c>
      <c r="E9476" s="1" t="str">
        <f>HYPERLINK("http://www.ncbi.nlm.nih.gov/gene/?term=TCF3","NCBI")</f>
        <v>NCBI</v>
      </c>
      <c r="F9476">
        <v>0.19</v>
      </c>
      <c r="G9476">
        <v>0.34</v>
      </c>
      <c r="H9476" s="1" t="str">
        <f>HYPERLINK("http://www.weizmann.ac.il/complex/compphys/software/geview/data/figures/209152_s_at.png","Figure")</f>
        <v>Figure</v>
      </c>
      <c r="I9476">
        <v>1.33</v>
      </c>
      <c r="J9476">
        <v>0.17</v>
      </c>
      <c r="K9476">
        <v>1.0900000000000001</v>
      </c>
      <c r="L9476">
        <v>0.77</v>
      </c>
      <c r="M9476">
        <v>0.82099999999999995</v>
      </c>
      <c r="N9476">
        <v>0.36</v>
      </c>
    </row>
    <row r="9477" spans="1:14" x14ac:dyDescent="0.25">
      <c r="A9477" t="s">
        <v>16611</v>
      </c>
      <c r="B9477" t="s">
        <v>14511</v>
      </c>
      <c r="C9477" s="1" t="str">
        <f>HYPERLINK("http://www.genecards.org/cgi-bin/carddisp.pl?gene=ATP5G3","GeneCards")</f>
        <v>GeneCards</v>
      </c>
      <c r="D9477" s="1" t="str">
        <f>HYPERLINK("http://genome-euro.ucsc.edu/cgi-bin/hgTracks?position=207508_at","UCSC")</f>
        <v>UCSC</v>
      </c>
      <c r="E9477" s="1" t="str">
        <f>HYPERLINK("http://www.ncbi.nlm.nih.gov/gene/?term=ATP5G3","NCBI")</f>
        <v>NCBI</v>
      </c>
      <c r="F9477">
        <v>0.19</v>
      </c>
      <c r="G9477">
        <v>0.34</v>
      </c>
      <c r="H9477" s="1" t="str">
        <f>HYPERLINK("http://www.weizmann.ac.il/complex/compphys/software/geview/data/figures/207508_at.png","Figure")</f>
        <v>Figure</v>
      </c>
      <c r="I9477">
        <v>1.23</v>
      </c>
      <c r="J9477">
        <v>0.59</v>
      </c>
      <c r="K9477">
        <v>1.42</v>
      </c>
      <c r="L9477">
        <v>0.16</v>
      </c>
      <c r="M9477">
        <v>1.1599999999999999</v>
      </c>
      <c r="N9477">
        <v>0.74</v>
      </c>
    </row>
    <row r="9478" spans="1:14" x14ac:dyDescent="0.25">
      <c r="A9478" t="s">
        <v>16612</v>
      </c>
      <c r="B9478" t="s">
        <v>13430</v>
      </c>
      <c r="C9478" s="1" t="str">
        <f>HYPERLINK("http://www.genecards.org/cgi-bin/carddisp.pl?gene=PNN","GeneCards")</f>
        <v>GeneCards</v>
      </c>
      <c r="D9478" s="1" t="str">
        <f>HYPERLINK("http://genome-euro.ucsc.edu/cgi-bin/hgTracks?position=212036_s_at","UCSC")</f>
        <v>UCSC</v>
      </c>
      <c r="E9478" s="1" t="str">
        <f>HYPERLINK("http://www.ncbi.nlm.nih.gov/gene/?term=PNN","NCBI")</f>
        <v>NCBI</v>
      </c>
      <c r="F9478">
        <v>0.19</v>
      </c>
      <c r="G9478">
        <v>0.34</v>
      </c>
      <c r="H9478" s="1" t="str">
        <f>HYPERLINK("http://www.weizmann.ac.il/complex/compphys/software/geview/data/figures/212036_s_at.png","Figure")</f>
        <v>Figure</v>
      </c>
      <c r="I9478">
        <v>0.67300000000000004</v>
      </c>
      <c r="J9478">
        <v>0.26</v>
      </c>
      <c r="K9478">
        <v>0.69199999999999995</v>
      </c>
      <c r="L9478">
        <v>0.22</v>
      </c>
      <c r="M9478">
        <v>1.03</v>
      </c>
      <c r="N9478">
        <v>0.99</v>
      </c>
    </row>
    <row r="9479" spans="1:14" x14ac:dyDescent="0.25">
      <c r="A9479" t="s">
        <v>16613</v>
      </c>
      <c r="B9479" t="s">
        <v>16614</v>
      </c>
      <c r="C9479" s="1" t="str">
        <f>HYPERLINK("http://www.genecards.org/cgi-bin/carddisp.pl?gene=ZNF24","GeneCards")</f>
        <v>GeneCards</v>
      </c>
      <c r="D9479" s="1" t="str">
        <f>HYPERLINK("http://genome-euro.ucsc.edu/cgi-bin/hgTracks?position=203248_at","UCSC")</f>
        <v>UCSC</v>
      </c>
      <c r="E9479" s="1" t="str">
        <f>HYPERLINK("http://www.ncbi.nlm.nih.gov/gene/?term=ZNF24","NCBI")</f>
        <v>NCBI</v>
      </c>
      <c r="F9479">
        <v>0.19</v>
      </c>
      <c r="G9479">
        <v>0.34</v>
      </c>
      <c r="H9479" s="1" t="str">
        <f>HYPERLINK("http://www.weizmann.ac.il/complex/compphys/software/geview/data/figures/203248_at.png","Figure")</f>
        <v>Figure</v>
      </c>
      <c r="I9479">
        <v>0.97</v>
      </c>
      <c r="J9479">
        <v>0.97</v>
      </c>
      <c r="K9479">
        <v>0.81699999999999995</v>
      </c>
      <c r="L9479">
        <v>0.21</v>
      </c>
      <c r="M9479">
        <v>0.84299999999999997</v>
      </c>
      <c r="N9479">
        <v>0.36</v>
      </c>
    </row>
    <row r="9480" spans="1:14" x14ac:dyDescent="0.25">
      <c r="A9480" t="s">
        <v>16615</v>
      </c>
      <c r="B9480" t="s">
        <v>16616</v>
      </c>
      <c r="C9480" s="1" t="str">
        <f>HYPERLINK("http://www.genecards.org/cgi-bin/carddisp.pl?gene=ZNF226","GeneCards")</f>
        <v>GeneCards</v>
      </c>
      <c r="D9480" s="1" t="str">
        <f>HYPERLINK("http://genome-euro.ucsc.edu/cgi-bin/hgTracks?position=219603_s_at","UCSC")</f>
        <v>UCSC</v>
      </c>
      <c r="E9480" s="1" t="str">
        <f>HYPERLINK("http://www.ncbi.nlm.nih.gov/gene/?term=ZNF226","NCBI")</f>
        <v>NCBI</v>
      </c>
      <c r="F9480">
        <v>0.19</v>
      </c>
      <c r="G9480">
        <v>0.34</v>
      </c>
      <c r="H9480" s="1" t="str">
        <f>HYPERLINK("http://www.weizmann.ac.il/complex/compphys/software/geview/data/figures/219603_s_at.png","Figure")</f>
        <v>Figure</v>
      </c>
      <c r="I9480">
        <v>0.78900000000000003</v>
      </c>
      <c r="J9480">
        <v>0.33</v>
      </c>
      <c r="K9480">
        <v>0.77100000000000002</v>
      </c>
      <c r="L9480">
        <v>0.19</v>
      </c>
      <c r="M9480">
        <v>0.97699999999999998</v>
      </c>
      <c r="N9480">
        <v>0.99</v>
      </c>
    </row>
    <row r="9481" spans="1:14" x14ac:dyDescent="0.25">
      <c r="A9481" t="s">
        <v>16617</v>
      </c>
      <c r="B9481" t="s">
        <v>16618</v>
      </c>
      <c r="C9481" s="1" t="str">
        <f>HYPERLINK("http://www.genecards.org/cgi-bin/carddisp.pl?gene=CENPN","GeneCards")</f>
        <v>GeneCards</v>
      </c>
      <c r="D9481" s="1" t="str">
        <f>HYPERLINK("http://genome-euro.ucsc.edu/cgi-bin/hgTracks?position=222118_at","UCSC")</f>
        <v>UCSC</v>
      </c>
      <c r="E9481" s="1" t="str">
        <f>HYPERLINK("http://www.ncbi.nlm.nih.gov/gene/?term=CENPN","NCBI")</f>
        <v>NCBI</v>
      </c>
      <c r="F9481">
        <v>0.19</v>
      </c>
      <c r="G9481">
        <v>0.34</v>
      </c>
      <c r="H9481" s="1" t="str">
        <f>HYPERLINK("http://www.weizmann.ac.il/complex/compphys/software/geview/data/figures/222118_at.png","Figure")</f>
        <v>Figure</v>
      </c>
      <c r="I9481">
        <v>0.99</v>
      </c>
      <c r="J9481">
        <v>0.98</v>
      </c>
      <c r="K9481">
        <v>0.91200000000000003</v>
      </c>
      <c r="L9481">
        <v>0.22</v>
      </c>
      <c r="M9481">
        <v>0.92200000000000004</v>
      </c>
      <c r="N9481">
        <v>0.34</v>
      </c>
    </row>
    <row r="9482" spans="1:14" x14ac:dyDescent="0.25">
      <c r="A9482" t="s">
        <v>16619</v>
      </c>
      <c r="B9482" t="s">
        <v>16620</v>
      </c>
      <c r="C9482" s="1" t="str">
        <f>HYPERLINK("http://www.genecards.org/cgi-bin/carddisp.pl?gene=PLEKHB2","GeneCards")</f>
        <v>GeneCards</v>
      </c>
      <c r="D9482" s="1" t="str">
        <f>HYPERLINK("http://genome-euro.ucsc.edu/cgi-bin/hgTracks?position=201411_s_at","UCSC")</f>
        <v>UCSC</v>
      </c>
      <c r="E9482" s="1" t="str">
        <f>HYPERLINK("http://www.ncbi.nlm.nih.gov/gene/?term=PLEKHB2","NCBI")</f>
        <v>NCBI</v>
      </c>
      <c r="F9482">
        <v>0.19</v>
      </c>
      <c r="G9482">
        <v>0.34</v>
      </c>
      <c r="H9482" s="1" t="str">
        <f>HYPERLINK("http://www.weizmann.ac.il/complex/compphys/software/geview/data/figures/201411_s_at.png","Figure")</f>
        <v>Figure</v>
      </c>
      <c r="I9482">
        <v>0.84799999999999998</v>
      </c>
      <c r="J9482">
        <v>0.28999999999999998</v>
      </c>
      <c r="K9482">
        <v>0.85</v>
      </c>
      <c r="L9482">
        <v>0.21</v>
      </c>
      <c r="M9482">
        <v>1</v>
      </c>
      <c r="N9482">
        <v>1</v>
      </c>
    </row>
    <row r="9483" spans="1:14" x14ac:dyDescent="0.25">
      <c r="A9483" t="s">
        <v>16621</v>
      </c>
      <c r="B9483" t="s">
        <v>16622</v>
      </c>
      <c r="C9483" s="1" t="str">
        <f>HYPERLINK("http://www.genecards.org/cgi-bin/carddisp.pl?gene=FAM107A","GeneCards")</f>
        <v>GeneCards</v>
      </c>
      <c r="D9483" s="1" t="str">
        <f>HYPERLINK("http://genome-euro.ucsc.edu/cgi-bin/hgTracks?position=207547_s_at","UCSC")</f>
        <v>UCSC</v>
      </c>
      <c r="E9483" s="1" t="str">
        <f>HYPERLINK("http://www.ncbi.nlm.nih.gov/gene/?term=FAM107A","NCBI")</f>
        <v>NCBI</v>
      </c>
      <c r="F9483">
        <v>0.19</v>
      </c>
      <c r="G9483">
        <v>0.34</v>
      </c>
      <c r="H9483" s="1" t="str">
        <f>HYPERLINK("http://www.weizmann.ac.il/complex/compphys/software/geview/data/figures/207547_s_at.png","Figure")</f>
        <v>Figure</v>
      </c>
      <c r="I9483">
        <v>1.1299999999999999</v>
      </c>
      <c r="J9483">
        <v>0.17</v>
      </c>
      <c r="K9483">
        <v>1.06</v>
      </c>
      <c r="L9483">
        <v>0.5</v>
      </c>
      <c r="M9483">
        <v>0.94499999999999995</v>
      </c>
      <c r="N9483">
        <v>0.59</v>
      </c>
    </row>
    <row r="9484" spans="1:14" x14ac:dyDescent="0.25">
      <c r="A9484" t="s">
        <v>16623</v>
      </c>
      <c r="B9484" t="s">
        <v>16624</v>
      </c>
      <c r="C9484" s="1" t="str">
        <f>HYPERLINK("http://www.genecards.org/cgi-bin/carddisp.pl?gene=NIT1","GeneCards")</f>
        <v>GeneCards</v>
      </c>
      <c r="D9484" s="1" t="str">
        <f>HYPERLINK("http://genome-euro.ucsc.edu/cgi-bin/hgTracks?position=202891_at","UCSC")</f>
        <v>UCSC</v>
      </c>
      <c r="E9484" s="1" t="str">
        <f>HYPERLINK("http://www.ncbi.nlm.nih.gov/gene/?term=NIT1","NCBI")</f>
        <v>NCBI</v>
      </c>
      <c r="F9484">
        <v>0.19</v>
      </c>
      <c r="G9484">
        <v>0.34</v>
      </c>
      <c r="H9484" s="1" t="str">
        <f>HYPERLINK("http://www.weizmann.ac.il/complex/compphys/software/geview/data/figures/202891_at.png","Figure")</f>
        <v>Figure</v>
      </c>
      <c r="I9484">
        <v>1.07</v>
      </c>
      <c r="J9484">
        <v>0.87</v>
      </c>
      <c r="K9484">
        <v>1.25</v>
      </c>
      <c r="L9484">
        <v>0.18</v>
      </c>
      <c r="M9484">
        <v>1.17</v>
      </c>
      <c r="N9484">
        <v>0.47</v>
      </c>
    </row>
    <row r="9485" spans="1:14" x14ac:dyDescent="0.25">
      <c r="A9485" t="s">
        <v>16625</v>
      </c>
      <c r="B9485" t="s">
        <v>16626</v>
      </c>
      <c r="C9485" s="1" t="str">
        <f>HYPERLINK("http://www.genecards.org/cgi-bin/carddisp.pl?gene=KLK3","GeneCards")</f>
        <v>GeneCards</v>
      </c>
      <c r="D9485" s="1" t="str">
        <f>HYPERLINK("http://genome-euro.ucsc.edu/cgi-bin/hgTracks?position=204583_x_at","UCSC")</f>
        <v>UCSC</v>
      </c>
      <c r="E9485" s="1" t="str">
        <f>HYPERLINK("http://www.ncbi.nlm.nih.gov/gene/?term=KLK3","NCBI")</f>
        <v>NCBI</v>
      </c>
      <c r="F9485">
        <v>0.19</v>
      </c>
      <c r="G9485">
        <v>0.34</v>
      </c>
      <c r="H9485" s="1" t="str">
        <f>HYPERLINK("http://www.weizmann.ac.il/complex/compphys/software/geview/data/figures/204583_x_at.png","Figure")</f>
        <v>Figure</v>
      </c>
      <c r="I9485">
        <v>1.1100000000000001</v>
      </c>
      <c r="J9485">
        <v>0.37</v>
      </c>
      <c r="K9485">
        <v>0.96899999999999997</v>
      </c>
      <c r="L9485">
        <v>0.88</v>
      </c>
      <c r="M9485">
        <v>0.873</v>
      </c>
      <c r="N9485">
        <v>0.17</v>
      </c>
    </row>
    <row r="9486" spans="1:14" x14ac:dyDescent="0.25">
      <c r="A9486" t="s">
        <v>16627</v>
      </c>
      <c r="B9486" t="s">
        <v>16628</v>
      </c>
      <c r="C9486" s="1" t="str">
        <f>HYPERLINK("http://www.genecards.org/cgi-bin/carddisp.pl?gene=PLEKHA6","GeneCards")</f>
        <v>GeneCards</v>
      </c>
      <c r="D9486" s="1" t="str">
        <f>HYPERLINK("http://genome-euro.ucsc.edu/cgi-bin/hgTracks?position=205093_at","UCSC")</f>
        <v>UCSC</v>
      </c>
      <c r="E9486" s="1" t="str">
        <f>HYPERLINK("http://www.ncbi.nlm.nih.gov/gene/?term=PLEKHA6","NCBI")</f>
        <v>NCBI</v>
      </c>
      <c r="F9486">
        <v>0.19</v>
      </c>
      <c r="G9486">
        <v>0.34</v>
      </c>
      <c r="H9486" s="1" t="str">
        <f>HYPERLINK("http://www.weizmann.ac.il/complex/compphys/software/geview/data/figures/205093_at.png","Figure")</f>
        <v>Figure</v>
      </c>
      <c r="I9486">
        <v>1.1399999999999999</v>
      </c>
      <c r="J9486">
        <v>0.16</v>
      </c>
      <c r="K9486">
        <v>1.06</v>
      </c>
      <c r="L9486">
        <v>0.57999999999999996</v>
      </c>
      <c r="M9486">
        <v>0.93200000000000005</v>
      </c>
      <c r="N9486">
        <v>0.5</v>
      </c>
    </row>
    <row r="9487" spans="1:14" x14ac:dyDescent="0.25">
      <c r="A9487" t="s">
        <v>16629</v>
      </c>
      <c r="B9487" t="s">
        <v>16630</v>
      </c>
      <c r="C9487" s="1" t="str">
        <f>HYPERLINK("http://www.genecards.org/cgi-bin/carddisp.pl?gene=ABAT","GeneCards")</f>
        <v>GeneCards</v>
      </c>
      <c r="D9487" s="1" t="str">
        <f>HYPERLINK("http://genome-euro.ucsc.edu/cgi-bin/hgTracks?position=209460_at","UCSC")</f>
        <v>UCSC</v>
      </c>
      <c r="E9487" s="1" t="str">
        <f>HYPERLINK("http://www.ncbi.nlm.nih.gov/gene/?term=ABAT","NCBI")</f>
        <v>NCBI</v>
      </c>
      <c r="F9487">
        <v>0.19</v>
      </c>
      <c r="G9487">
        <v>0.34</v>
      </c>
      <c r="H9487" s="1" t="str">
        <f>HYPERLINK("http://www.weizmann.ac.il/complex/compphys/software/geview/data/figures/209460_at.png","Figure")</f>
        <v>Figure</v>
      </c>
      <c r="I9487">
        <v>0.97599999999999998</v>
      </c>
      <c r="J9487">
        <v>0.59</v>
      </c>
      <c r="K9487">
        <v>1.02</v>
      </c>
      <c r="L9487">
        <v>0.63</v>
      </c>
      <c r="M9487">
        <v>1.04</v>
      </c>
      <c r="N9487">
        <v>0.17</v>
      </c>
    </row>
    <row r="9488" spans="1:14" x14ac:dyDescent="0.25">
      <c r="A9488" t="s">
        <v>16631</v>
      </c>
      <c r="B9488" t="s">
        <v>1977</v>
      </c>
      <c r="C9488" s="1" t="str">
        <f>HYPERLINK("http://www.genecards.org/cgi-bin/carddisp.pl?gene=SPTLC2","GeneCards")</f>
        <v>GeneCards</v>
      </c>
      <c r="D9488" s="1" t="str">
        <f>HYPERLINK("http://genome-euro.ucsc.edu/cgi-bin/hgTracks?position=216203_at","UCSC")</f>
        <v>UCSC</v>
      </c>
      <c r="E9488" s="1" t="str">
        <f>HYPERLINK("http://www.ncbi.nlm.nih.gov/gene/?term=SPTLC2","NCBI")</f>
        <v>NCBI</v>
      </c>
      <c r="F9488">
        <v>0.19</v>
      </c>
      <c r="G9488">
        <v>0.34</v>
      </c>
      <c r="H9488" s="1" t="str">
        <f>HYPERLINK("http://www.weizmann.ac.il/complex/compphys/software/geview/data/figures/216203_at.png","Figure")</f>
        <v>Figure</v>
      </c>
      <c r="I9488">
        <v>0.81100000000000005</v>
      </c>
      <c r="J9488">
        <v>0.16</v>
      </c>
      <c r="K9488">
        <v>0.90900000000000003</v>
      </c>
      <c r="L9488">
        <v>0.57999999999999996</v>
      </c>
      <c r="M9488">
        <v>1.1200000000000001</v>
      </c>
      <c r="N9488">
        <v>0.51</v>
      </c>
    </row>
    <row r="9489" spans="1:14" x14ac:dyDescent="0.25">
      <c r="A9489" t="s">
        <v>16632</v>
      </c>
      <c r="B9489" t="s">
        <v>16240</v>
      </c>
      <c r="C9489" s="1" t="str">
        <f>HYPERLINK("http://www.genecards.org/cgi-bin/carddisp.pl?gene=ZNF839","GeneCards")</f>
        <v>GeneCards</v>
      </c>
      <c r="D9489" s="1" t="str">
        <f>HYPERLINK("http://genome-euro.ucsc.edu/cgi-bin/hgTracks?position=221709_s_at","UCSC")</f>
        <v>UCSC</v>
      </c>
      <c r="E9489" s="1" t="str">
        <f>HYPERLINK("http://www.ncbi.nlm.nih.gov/gene/?term=ZNF839","NCBI")</f>
        <v>NCBI</v>
      </c>
      <c r="F9489">
        <v>0.19</v>
      </c>
      <c r="G9489">
        <v>0.34</v>
      </c>
      <c r="H9489" s="1" t="str">
        <f>HYPERLINK("http://www.weizmann.ac.il/complex/compphys/software/geview/data/figures/221709_s_at.png","Figure")</f>
        <v>Figure</v>
      </c>
      <c r="I9489">
        <v>0.93400000000000005</v>
      </c>
      <c r="J9489">
        <v>0.65</v>
      </c>
      <c r="K9489">
        <v>1.07</v>
      </c>
      <c r="L9489">
        <v>0.56999999999999995</v>
      </c>
      <c r="M9489">
        <v>1.1499999999999999</v>
      </c>
      <c r="N9489">
        <v>0.17</v>
      </c>
    </row>
    <row r="9490" spans="1:14" x14ac:dyDescent="0.25">
      <c r="A9490" t="s">
        <v>16633</v>
      </c>
      <c r="B9490" t="s">
        <v>16634</v>
      </c>
      <c r="C9490" s="1" t="str">
        <f>HYPERLINK("http://www.genecards.org/cgi-bin/carddisp.pl?gene=PPIF","GeneCards")</f>
        <v>GeneCards</v>
      </c>
      <c r="D9490" s="1" t="str">
        <f>HYPERLINK("http://genome-euro.ucsc.edu/cgi-bin/hgTracks?position=201490_s_at","UCSC")</f>
        <v>UCSC</v>
      </c>
      <c r="E9490" s="1" t="str">
        <f>HYPERLINK("http://www.ncbi.nlm.nih.gov/gene/?term=PPIF","NCBI")</f>
        <v>NCBI</v>
      </c>
      <c r="F9490">
        <v>0.19</v>
      </c>
      <c r="G9490">
        <v>0.34</v>
      </c>
      <c r="H9490" s="1" t="str">
        <f>HYPERLINK("http://www.weizmann.ac.il/complex/compphys/software/geview/data/figures/201490_s_at.png","Figure")</f>
        <v>Figure</v>
      </c>
      <c r="I9490">
        <v>1.1000000000000001</v>
      </c>
      <c r="J9490">
        <v>0.32</v>
      </c>
      <c r="K9490">
        <v>1.1000000000000001</v>
      </c>
      <c r="L9490">
        <v>0.19</v>
      </c>
      <c r="M9490">
        <v>1.01</v>
      </c>
      <c r="N9490">
        <v>0.99</v>
      </c>
    </row>
    <row r="9491" spans="1:14" x14ac:dyDescent="0.25">
      <c r="A9491" t="s">
        <v>16635</v>
      </c>
      <c r="B9491" t="s">
        <v>16636</v>
      </c>
      <c r="C9491" s="1" t="str">
        <f>HYPERLINK("http://www.genecards.org/cgi-bin/carddisp.pl?gene=PTPN11","GeneCards")</f>
        <v>GeneCards</v>
      </c>
      <c r="D9491" s="1" t="str">
        <f>HYPERLINK("http://genome-euro.ucsc.edu/cgi-bin/hgTracks?position=212610_at","UCSC")</f>
        <v>UCSC</v>
      </c>
      <c r="E9491" s="1" t="str">
        <f>HYPERLINK("http://www.ncbi.nlm.nih.gov/gene/?term=PTPN11","NCBI")</f>
        <v>NCBI</v>
      </c>
      <c r="F9491">
        <v>0.19</v>
      </c>
      <c r="G9491">
        <v>0.34</v>
      </c>
      <c r="H9491" s="1" t="str">
        <f>HYPERLINK("http://www.weizmann.ac.il/complex/compphys/software/geview/data/figures/212610_at.png","Figure")</f>
        <v>Figure</v>
      </c>
      <c r="I9491">
        <v>0.79700000000000004</v>
      </c>
      <c r="J9491">
        <v>0.33</v>
      </c>
      <c r="K9491">
        <v>1.05</v>
      </c>
      <c r="L9491">
        <v>0.94</v>
      </c>
      <c r="M9491">
        <v>1.31</v>
      </c>
      <c r="N9491">
        <v>0.18</v>
      </c>
    </row>
    <row r="9492" spans="1:14" x14ac:dyDescent="0.25">
      <c r="A9492" t="s">
        <v>16637</v>
      </c>
      <c r="B9492" t="s">
        <v>16638</v>
      </c>
      <c r="C9492" s="1" t="str">
        <f>HYPERLINK("http://www.genecards.org/cgi-bin/carddisp.pl?gene=SRBD1","GeneCards")</f>
        <v>GeneCards</v>
      </c>
      <c r="D9492" s="1" t="str">
        <f>HYPERLINK("http://genome-euro.ucsc.edu/cgi-bin/hgTracks?position=219055_at","UCSC")</f>
        <v>UCSC</v>
      </c>
      <c r="E9492" s="1" t="str">
        <f>HYPERLINK("http://www.ncbi.nlm.nih.gov/gene/?term=SRBD1","NCBI")</f>
        <v>NCBI</v>
      </c>
      <c r="F9492">
        <v>0.19</v>
      </c>
      <c r="G9492">
        <v>0.34</v>
      </c>
      <c r="H9492" s="1" t="str">
        <f>HYPERLINK("http://www.weizmann.ac.il/complex/compphys/software/geview/data/figures/219055_at.png","Figure")</f>
        <v>Figure</v>
      </c>
      <c r="I9492">
        <v>0.84599999999999997</v>
      </c>
      <c r="J9492">
        <v>0.66</v>
      </c>
      <c r="K9492">
        <v>0.72199999999999998</v>
      </c>
      <c r="L9492">
        <v>0.16</v>
      </c>
      <c r="M9492">
        <v>0.85399999999999998</v>
      </c>
      <c r="N9492">
        <v>0.66</v>
      </c>
    </row>
    <row r="9493" spans="1:14" x14ac:dyDescent="0.25">
      <c r="A9493" t="s">
        <v>16639</v>
      </c>
      <c r="B9493" t="s">
        <v>16640</v>
      </c>
      <c r="C9493" s="1" t="str">
        <f>HYPERLINK("http://www.genecards.org/cgi-bin/carddisp.pl?gene=LOC157627","GeneCards")</f>
        <v>GeneCards</v>
      </c>
      <c r="D9493" s="1" t="str">
        <f>HYPERLINK("http://genome-euro.ucsc.edu/cgi-bin/hgTracks?position=214839_at","UCSC")</f>
        <v>UCSC</v>
      </c>
      <c r="E9493" s="1" t="str">
        <f>HYPERLINK("http://www.ncbi.nlm.nih.gov/gene/?term=LOC157627","NCBI")</f>
        <v>NCBI</v>
      </c>
      <c r="F9493">
        <v>0.19</v>
      </c>
      <c r="G9493">
        <v>0.34</v>
      </c>
      <c r="H9493" s="1" t="str">
        <f>HYPERLINK("http://www.weizmann.ac.il/complex/compphys/software/geview/data/figures/214839_at.png","Figure")</f>
        <v>Figure</v>
      </c>
      <c r="I9493">
        <v>1.24</v>
      </c>
      <c r="J9493">
        <v>0.22</v>
      </c>
      <c r="K9493">
        <v>1.02</v>
      </c>
      <c r="L9493">
        <v>0.98</v>
      </c>
      <c r="M9493">
        <v>0.82199999999999995</v>
      </c>
      <c r="N9493">
        <v>0.23</v>
      </c>
    </row>
    <row r="9494" spans="1:14" x14ac:dyDescent="0.25">
      <c r="A9494" t="s">
        <v>16641</v>
      </c>
      <c r="B9494" t="s">
        <v>16642</v>
      </c>
      <c r="C9494" s="1" t="str">
        <f>HYPERLINK("http://www.genecards.org/cgi-bin/carddisp.pl?gene=IGLV3-19","GeneCards")</f>
        <v>GeneCards</v>
      </c>
      <c r="D9494" s="1" t="str">
        <f>HYPERLINK("http://genome-euro.ucsc.edu/cgi-bin/hgTracks?position=216853_x_at","UCSC")</f>
        <v>UCSC</v>
      </c>
      <c r="E9494" s="1" t="str">
        <f>HYPERLINK("http://www.ncbi.nlm.nih.gov/gene/?term=IGLV3-19","NCBI")</f>
        <v>NCBI</v>
      </c>
      <c r="F9494">
        <v>0.19</v>
      </c>
      <c r="G9494">
        <v>0.34</v>
      </c>
      <c r="H9494" s="1" t="str">
        <f>HYPERLINK("http://www.weizmann.ac.il/complex/compphys/software/geview/data/figures/216853_x_at.png","Figure")</f>
        <v>Figure</v>
      </c>
      <c r="I9494">
        <v>1.2</v>
      </c>
      <c r="J9494">
        <v>0.19</v>
      </c>
      <c r="K9494">
        <v>1.04</v>
      </c>
      <c r="L9494">
        <v>0.91</v>
      </c>
      <c r="M9494">
        <v>0.86</v>
      </c>
      <c r="N9494">
        <v>0.28000000000000003</v>
      </c>
    </row>
    <row r="9495" spans="1:14" x14ac:dyDescent="0.25">
      <c r="A9495" t="s">
        <v>16643</v>
      </c>
      <c r="B9495" t="s">
        <v>16644</v>
      </c>
      <c r="C9495" s="1" t="str">
        <f>HYPERLINK("http://www.genecards.org/cgi-bin/carddisp.pl?gene=STK38","GeneCards")</f>
        <v>GeneCards</v>
      </c>
      <c r="D9495" s="1" t="str">
        <f>HYPERLINK("http://genome-euro.ucsc.edu/cgi-bin/hgTracks?position=202951_at","UCSC")</f>
        <v>UCSC</v>
      </c>
      <c r="E9495" s="1" t="str">
        <f>HYPERLINK("http://www.ncbi.nlm.nih.gov/gene/?term=STK38","NCBI")</f>
        <v>NCBI</v>
      </c>
      <c r="F9495">
        <v>0.19</v>
      </c>
      <c r="G9495">
        <v>0.34</v>
      </c>
      <c r="H9495" s="1" t="str">
        <f>HYPERLINK("http://www.weizmann.ac.il/complex/compphys/software/geview/data/figures/202951_at.png","Figure")</f>
        <v>Figure</v>
      </c>
      <c r="I9495">
        <v>0.97899999999999998</v>
      </c>
      <c r="J9495">
        <v>1</v>
      </c>
      <c r="K9495">
        <v>1.58</v>
      </c>
      <c r="L9495">
        <v>0.26</v>
      </c>
      <c r="M9495">
        <v>1.61</v>
      </c>
      <c r="N9495">
        <v>0.28000000000000003</v>
      </c>
    </row>
    <row r="9496" spans="1:14" x14ac:dyDescent="0.25">
      <c r="A9496" t="s">
        <v>16645</v>
      </c>
      <c r="B9496" t="s">
        <v>16646</v>
      </c>
      <c r="C9496" s="1" t="str">
        <f>HYPERLINK("http://www.genecards.org/cgi-bin/carddisp.pl?gene=CAMTA2","GeneCards")</f>
        <v>GeneCards</v>
      </c>
      <c r="D9496" s="1" t="str">
        <f>HYPERLINK("http://genome-euro.ucsc.edu/cgi-bin/hgTracks?position=212948_at","UCSC")</f>
        <v>UCSC</v>
      </c>
      <c r="E9496" s="1" t="str">
        <f>HYPERLINK("http://www.ncbi.nlm.nih.gov/gene/?term=CAMTA2","NCBI")</f>
        <v>NCBI</v>
      </c>
      <c r="F9496">
        <v>0.19</v>
      </c>
      <c r="G9496">
        <v>0.34</v>
      </c>
      <c r="H9496" s="1" t="str">
        <f>HYPERLINK("http://www.weizmann.ac.il/complex/compphys/software/geview/data/figures/212948_at.png","Figure")</f>
        <v>Figure</v>
      </c>
      <c r="I9496">
        <v>0.68200000000000005</v>
      </c>
      <c r="J9496">
        <v>0.23</v>
      </c>
      <c r="K9496">
        <v>0.98</v>
      </c>
      <c r="L9496">
        <v>0.99</v>
      </c>
      <c r="M9496">
        <v>1.44</v>
      </c>
      <c r="N9496">
        <v>0.22</v>
      </c>
    </row>
    <row r="9497" spans="1:14" x14ac:dyDescent="0.25">
      <c r="A9497" t="s">
        <v>16647</v>
      </c>
      <c r="B9497" t="s">
        <v>15908</v>
      </c>
      <c r="C9497" s="1" t="str">
        <f>HYPERLINK("http://www.genecards.org/cgi-bin/carddisp.pl?gene=HIST2H2AA3 /// HIST2H2AA4","GeneCards")</f>
        <v>GeneCards</v>
      </c>
      <c r="D9497" s="1" t="str">
        <f>HYPERLINK("http://genome-euro.ucsc.edu/cgi-bin/hgTracks?position=218280_x_at","UCSC")</f>
        <v>UCSC</v>
      </c>
      <c r="E9497" s="1" t="str">
        <f>HYPERLINK("http://www.ncbi.nlm.nih.gov/gene/?term=HIST2H2AA3 /// HIST2H2AA4","NCBI")</f>
        <v>NCBI</v>
      </c>
      <c r="F9497">
        <v>0.19</v>
      </c>
      <c r="G9497">
        <v>0.34</v>
      </c>
      <c r="H9497" s="1" t="str">
        <f>HYPERLINK("http://www.weizmann.ac.il/complex/compphys/software/geview/data/figures/218280_x_at.png","Figure")</f>
        <v>Figure</v>
      </c>
      <c r="I9497">
        <v>1.37</v>
      </c>
      <c r="J9497">
        <v>0.67</v>
      </c>
      <c r="K9497">
        <v>0.71899999999999997</v>
      </c>
      <c r="L9497">
        <v>0.56000000000000005</v>
      </c>
      <c r="M9497">
        <v>0.52700000000000002</v>
      </c>
      <c r="N9497">
        <v>0.17</v>
      </c>
    </row>
    <row r="9498" spans="1:14" x14ac:dyDescent="0.25">
      <c r="A9498" t="s">
        <v>16648</v>
      </c>
      <c r="B9498" t="s">
        <v>16649</v>
      </c>
      <c r="C9498" s="1" t="str">
        <f>HYPERLINK("http://www.genecards.org/cgi-bin/carddisp.pl?gene=FUT1","GeneCards")</f>
        <v>GeneCards</v>
      </c>
      <c r="D9498" s="1" t="str">
        <f>HYPERLINK("http://genome-euro.ucsc.edu/cgi-bin/hgTracks?position=206109_at","UCSC")</f>
        <v>UCSC</v>
      </c>
      <c r="E9498" s="1" t="str">
        <f>HYPERLINK("http://www.ncbi.nlm.nih.gov/gene/?term=FUT1","NCBI")</f>
        <v>NCBI</v>
      </c>
      <c r="F9498">
        <v>0.19</v>
      </c>
      <c r="G9498">
        <v>0.34</v>
      </c>
      <c r="H9498" s="1" t="str">
        <f>HYPERLINK("http://www.weizmann.ac.il/complex/compphys/software/geview/data/figures/206109_at.png","Figure")</f>
        <v>Figure</v>
      </c>
      <c r="I9498">
        <v>1.03</v>
      </c>
      <c r="J9498">
        <v>0.16</v>
      </c>
      <c r="K9498">
        <v>1.01</v>
      </c>
      <c r="L9498">
        <v>0.61</v>
      </c>
      <c r="M9498">
        <v>0.98299999999999998</v>
      </c>
      <c r="N9498">
        <v>0.48</v>
      </c>
    </row>
    <row r="9499" spans="1:14" x14ac:dyDescent="0.25">
      <c r="A9499" t="s">
        <v>16650</v>
      </c>
      <c r="B9499" t="s">
        <v>16651</v>
      </c>
      <c r="C9499" s="1" t="str">
        <f>HYPERLINK("http://www.genecards.org/cgi-bin/carddisp.pl?gene=SYN2","GeneCards")</f>
        <v>GeneCards</v>
      </c>
      <c r="D9499" s="1" t="str">
        <f>HYPERLINK("http://genome-euro.ucsc.edu/cgi-bin/hgTracks?position=210247_at","UCSC")</f>
        <v>UCSC</v>
      </c>
      <c r="E9499" s="1" t="str">
        <f>HYPERLINK("http://www.ncbi.nlm.nih.gov/gene/?term=SYN2","NCBI")</f>
        <v>NCBI</v>
      </c>
      <c r="F9499">
        <v>0.19</v>
      </c>
      <c r="G9499">
        <v>0.34</v>
      </c>
      <c r="H9499" s="1" t="str">
        <f>HYPERLINK("http://www.weizmann.ac.il/complex/compphys/software/geview/data/figures/210247_at.png","Figure")</f>
        <v>Figure</v>
      </c>
      <c r="I9499">
        <v>1.17</v>
      </c>
      <c r="J9499">
        <v>0.16</v>
      </c>
      <c r="K9499">
        <v>1.06</v>
      </c>
      <c r="L9499">
        <v>0.67</v>
      </c>
      <c r="M9499">
        <v>0.90600000000000003</v>
      </c>
      <c r="N9499">
        <v>0.43</v>
      </c>
    </row>
    <row r="9500" spans="1:14" x14ac:dyDescent="0.25">
      <c r="A9500" t="s">
        <v>16652</v>
      </c>
      <c r="B9500" t="s">
        <v>16653</v>
      </c>
      <c r="C9500" s="1" t="str">
        <f>HYPERLINK("http://www.genecards.org/cgi-bin/carddisp.pl?gene=ZNF263","GeneCards")</f>
        <v>GeneCards</v>
      </c>
      <c r="D9500" s="1" t="str">
        <f>HYPERLINK("http://genome-euro.ucsc.edu/cgi-bin/hgTracks?position=203707_at","UCSC")</f>
        <v>UCSC</v>
      </c>
      <c r="E9500" s="1" t="str">
        <f>HYPERLINK("http://www.ncbi.nlm.nih.gov/gene/?term=ZNF263","NCBI")</f>
        <v>NCBI</v>
      </c>
      <c r="F9500">
        <v>0.19</v>
      </c>
      <c r="G9500">
        <v>0.34</v>
      </c>
      <c r="H9500" s="1" t="str">
        <f>HYPERLINK("http://www.weizmann.ac.il/complex/compphys/software/geview/data/figures/203707_at.png","Figure")</f>
        <v>Figure</v>
      </c>
      <c r="I9500">
        <v>0.90900000000000003</v>
      </c>
      <c r="J9500">
        <v>0.85</v>
      </c>
      <c r="K9500">
        <v>0.751</v>
      </c>
      <c r="L9500">
        <v>0.18</v>
      </c>
      <c r="M9500">
        <v>0.82599999999999996</v>
      </c>
      <c r="N9500">
        <v>0.49</v>
      </c>
    </row>
    <row r="9501" spans="1:14" x14ac:dyDescent="0.25">
      <c r="A9501" t="s">
        <v>16654</v>
      </c>
      <c r="B9501" t="s">
        <v>16655</v>
      </c>
      <c r="C9501" s="1" t="str">
        <f>HYPERLINK("http://www.genecards.org/cgi-bin/carddisp.pl?gene=PPP6C","GeneCards")</f>
        <v>GeneCards</v>
      </c>
      <c r="D9501" s="1" t="str">
        <f>HYPERLINK("http://genome-euro.ucsc.edu/cgi-bin/hgTracks?position=206174_s_at","UCSC")</f>
        <v>UCSC</v>
      </c>
      <c r="E9501" s="1" t="str">
        <f>HYPERLINK("http://www.ncbi.nlm.nih.gov/gene/?term=PPP6C","NCBI")</f>
        <v>NCBI</v>
      </c>
      <c r="F9501">
        <v>0.19</v>
      </c>
      <c r="G9501">
        <v>0.34</v>
      </c>
      <c r="H9501" s="1" t="str">
        <f>HYPERLINK("http://www.weizmann.ac.il/complex/compphys/software/geview/data/figures/206174_s_at.png","Figure")</f>
        <v>Figure</v>
      </c>
      <c r="I9501">
        <v>1.17</v>
      </c>
      <c r="J9501">
        <v>0.84</v>
      </c>
      <c r="K9501">
        <v>0.72899999999999998</v>
      </c>
      <c r="L9501">
        <v>0.41</v>
      </c>
      <c r="M9501">
        <v>0.625</v>
      </c>
      <c r="N9501">
        <v>0.2</v>
      </c>
    </row>
    <row r="9502" spans="1:14" x14ac:dyDescent="0.25">
      <c r="A9502" t="s">
        <v>16656</v>
      </c>
      <c r="B9502" t="s">
        <v>16657</v>
      </c>
      <c r="C9502" s="1" t="str">
        <f>HYPERLINK("http://www.genecards.org/cgi-bin/carddisp.pl?gene=RAB21","GeneCards")</f>
        <v>GeneCards</v>
      </c>
      <c r="D9502" s="1" t="str">
        <f>HYPERLINK("http://genome-euro.ucsc.edu/cgi-bin/hgTracks?position=203885_at","UCSC")</f>
        <v>UCSC</v>
      </c>
      <c r="E9502" s="1" t="str">
        <f>HYPERLINK("http://www.ncbi.nlm.nih.gov/gene/?term=RAB21","NCBI")</f>
        <v>NCBI</v>
      </c>
      <c r="F9502">
        <v>0.19</v>
      </c>
      <c r="G9502">
        <v>0.34</v>
      </c>
      <c r="H9502" s="1" t="str">
        <f>HYPERLINK("http://www.weizmann.ac.il/complex/compphys/software/geview/data/figures/203885_at.png","Figure")</f>
        <v>Figure</v>
      </c>
      <c r="I9502">
        <v>0.82599999999999996</v>
      </c>
      <c r="J9502">
        <v>0.77</v>
      </c>
      <c r="K9502">
        <v>0.63200000000000001</v>
      </c>
      <c r="L9502">
        <v>0.17</v>
      </c>
      <c r="M9502">
        <v>0.76500000000000001</v>
      </c>
      <c r="N9502">
        <v>0.56000000000000005</v>
      </c>
    </row>
    <row r="9503" spans="1:14" x14ac:dyDescent="0.25">
      <c r="A9503" t="s">
        <v>16658</v>
      </c>
      <c r="B9503" t="s">
        <v>16659</v>
      </c>
      <c r="C9503" s="1" t="str">
        <f>HYPERLINK("http://www.genecards.org/cgi-bin/carddisp.pl?gene=DGKG","GeneCards")</f>
        <v>GeneCards</v>
      </c>
      <c r="D9503" s="1" t="str">
        <f>HYPERLINK("http://genome-euro.ucsc.edu/cgi-bin/hgTracks?position=206395_at","UCSC")</f>
        <v>UCSC</v>
      </c>
      <c r="E9503" s="1" t="str">
        <f>HYPERLINK("http://www.ncbi.nlm.nih.gov/gene/?term=DGKG","NCBI")</f>
        <v>NCBI</v>
      </c>
      <c r="F9503">
        <v>0.19</v>
      </c>
      <c r="G9503">
        <v>0.34</v>
      </c>
      <c r="H9503" s="1" t="str">
        <f>HYPERLINK("http://www.weizmann.ac.il/complex/compphys/software/geview/data/figures/206395_at.png","Figure")</f>
        <v>Figure</v>
      </c>
      <c r="I9503">
        <v>0.96599999999999997</v>
      </c>
      <c r="J9503">
        <v>0.79</v>
      </c>
      <c r="K9503">
        <v>0.91700000000000004</v>
      </c>
      <c r="L9503">
        <v>0.17</v>
      </c>
      <c r="M9503">
        <v>0.94899999999999995</v>
      </c>
      <c r="N9503">
        <v>0.54</v>
      </c>
    </row>
    <row r="9504" spans="1:14" x14ac:dyDescent="0.25">
      <c r="A9504" t="s">
        <v>16660</v>
      </c>
      <c r="B9504" t="s">
        <v>16661</v>
      </c>
      <c r="C9504" s="1" t="str">
        <f>HYPERLINK("http://www.genecards.org/cgi-bin/carddisp.pl?gene=ACYP2","GeneCards")</f>
        <v>GeneCards</v>
      </c>
      <c r="D9504" s="1" t="str">
        <f>HYPERLINK("http://genome-euro.ucsc.edu/cgi-bin/hgTracks?position=206833_s_at","UCSC")</f>
        <v>UCSC</v>
      </c>
      <c r="E9504" s="1" t="str">
        <f>HYPERLINK("http://www.ncbi.nlm.nih.gov/gene/?term=ACYP2","NCBI")</f>
        <v>NCBI</v>
      </c>
      <c r="F9504">
        <v>0.19</v>
      </c>
      <c r="G9504">
        <v>0.34</v>
      </c>
      <c r="H9504" s="1" t="str">
        <f>HYPERLINK("http://www.weizmann.ac.il/complex/compphys/software/geview/data/figures/206833_s_at.png","Figure")</f>
        <v>Figure</v>
      </c>
      <c r="I9504">
        <v>1.06</v>
      </c>
      <c r="J9504">
        <v>0.87</v>
      </c>
      <c r="K9504">
        <v>1.21</v>
      </c>
      <c r="L9504">
        <v>0.18</v>
      </c>
      <c r="M9504">
        <v>1.1399999999999999</v>
      </c>
      <c r="N9504">
        <v>0.47</v>
      </c>
    </row>
    <row r="9505" spans="1:14" x14ac:dyDescent="0.25">
      <c r="A9505" t="s">
        <v>16662</v>
      </c>
      <c r="B9505" t="s">
        <v>16663</v>
      </c>
      <c r="C9505" s="1" t="str">
        <f>HYPERLINK("http://www.genecards.org/cgi-bin/carddisp.pl?gene=TIMP3","GeneCards")</f>
        <v>GeneCards</v>
      </c>
      <c r="D9505" s="1" t="str">
        <f>HYPERLINK("http://genome-euro.ucsc.edu/cgi-bin/hgTracks?position=201149_s_at","UCSC")</f>
        <v>UCSC</v>
      </c>
      <c r="E9505" s="1" t="str">
        <f>HYPERLINK("http://www.ncbi.nlm.nih.gov/gene/?term=TIMP3","NCBI")</f>
        <v>NCBI</v>
      </c>
      <c r="F9505">
        <v>0.19</v>
      </c>
      <c r="G9505">
        <v>0.34</v>
      </c>
      <c r="H9505" s="1" t="str">
        <f>HYPERLINK("http://www.weizmann.ac.il/complex/compphys/software/geview/data/figures/201149_s_at.png","Figure")</f>
        <v>Figure</v>
      </c>
      <c r="I9505">
        <v>1.08</v>
      </c>
      <c r="J9505">
        <v>0.16</v>
      </c>
      <c r="K9505">
        <v>1.04</v>
      </c>
      <c r="L9505">
        <v>0.54</v>
      </c>
      <c r="M9505">
        <v>0.96199999999999997</v>
      </c>
      <c r="N9505">
        <v>0.54</v>
      </c>
    </row>
    <row r="9506" spans="1:14" x14ac:dyDescent="0.25">
      <c r="A9506" t="s">
        <v>16664</v>
      </c>
      <c r="B9506" t="s">
        <v>16665</v>
      </c>
      <c r="C9506" s="1" t="str">
        <f>HYPERLINK("http://www.genecards.org/cgi-bin/carddisp.pl?gene=ETFA","GeneCards")</f>
        <v>GeneCards</v>
      </c>
      <c r="D9506" s="1" t="str">
        <f>HYPERLINK("http://genome-euro.ucsc.edu/cgi-bin/hgTracks?position=201931_at","UCSC")</f>
        <v>UCSC</v>
      </c>
      <c r="E9506" s="1" t="str">
        <f>HYPERLINK("http://www.ncbi.nlm.nih.gov/gene/?term=ETFA","NCBI")</f>
        <v>NCBI</v>
      </c>
      <c r="F9506">
        <v>0.19</v>
      </c>
      <c r="G9506">
        <v>0.34</v>
      </c>
      <c r="H9506" s="1" t="str">
        <f>HYPERLINK("http://www.weizmann.ac.il/complex/compphys/software/geview/data/figures/201931_at.png","Figure")</f>
        <v>Figure</v>
      </c>
      <c r="I9506">
        <v>0.66</v>
      </c>
      <c r="J9506">
        <v>0.38</v>
      </c>
      <c r="K9506">
        <v>1.1299999999999999</v>
      </c>
      <c r="L9506">
        <v>0.88</v>
      </c>
      <c r="M9506">
        <v>1.72</v>
      </c>
      <c r="N9506">
        <v>0.17</v>
      </c>
    </row>
    <row r="9507" spans="1:14" x14ac:dyDescent="0.25">
      <c r="A9507" t="s">
        <v>16666</v>
      </c>
      <c r="B9507" t="s">
        <v>16667</v>
      </c>
      <c r="C9507" s="1" t="str">
        <f>HYPERLINK("http://www.genecards.org/cgi-bin/carddisp.pl?gene=CD4","GeneCards")</f>
        <v>GeneCards</v>
      </c>
      <c r="D9507" s="1" t="str">
        <f>HYPERLINK("http://genome-euro.ucsc.edu/cgi-bin/hgTracks?position=203547_at","UCSC")</f>
        <v>UCSC</v>
      </c>
      <c r="E9507" s="1" t="str">
        <f>HYPERLINK("http://www.ncbi.nlm.nih.gov/gene/?term=CD4","NCBI")</f>
        <v>NCBI</v>
      </c>
      <c r="F9507">
        <v>0.19</v>
      </c>
      <c r="G9507">
        <v>0.34</v>
      </c>
      <c r="H9507" s="1" t="str">
        <f>HYPERLINK("http://www.weizmann.ac.il/complex/compphys/software/geview/data/figures/203547_at.png","Figure")</f>
        <v>Figure</v>
      </c>
      <c r="I9507">
        <v>1.1499999999999999</v>
      </c>
      <c r="J9507">
        <v>0.18</v>
      </c>
      <c r="K9507">
        <v>1.04</v>
      </c>
      <c r="L9507">
        <v>0.84</v>
      </c>
      <c r="M9507">
        <v>0.89900000000000002</v>
      </c>
      <c r="N9507">
        <v>0.32</v>
      </c>
    </row>
    <row r="9508" spans="1:14" x14ac:dyDescent="0.25">
      <c r="A9508" t="s">
        <v>16668</v>
      </c>
      <c r="B9508" t="s">
        <v>16669</v>
      </c>
      <c r="C9508" s="1" t="str">
        <f>HYPERLINK("http://www.genecards.org/cgi-bin/carddisp.pl?gene=CCR8","GeneCards")</f>
        <v>GeneCards</v>
      </c>
      <c r="D9508" s="1" t="str">
        <f>HYPERLINK("http://genome-euro.ucsc.edu/cgi-bin/hgTracks?position=208059_at","UCSC")</f>
        <v>UCSC</v>
      </c>
      <c r="E9508" s="1" t="str">
        <f>HYPERLINK("http://www.ncbi.nlm.nih.gov/gene/?term=CCR8","NCBI")</f>
        <v>NCBI</v>
      </c>
      <c r="F9508">
        <v>0.19</v>
      </c>
      <c r="G9508">
        <v>0.34</v>
      </c>
      <c r="H9508" s="1" t="str">
        <f>HYPERLINK("http://www.weizmann.ac.il/complex/compphys/software/geview/data/figures/208059_at.png","Figure")</f>
        <v>Figure</v>
      </c>
      <c r="I9508">
        <v>1.1299999999999999</v>
      </c>
      <c r="J9508">
        <v>0.38</v>
      </c>
      <c r="K9508">
        <v>0.96399999999999997</v>
      </c>
      <c r="L9508">
        <v>0.88</v>
      </c>
      <c r="M9508">
        <v>0.85399999999999998</v>
      </c>
      <c r="N9508">
        <v>0.17</v>
      </c>
    </row>
    <row r="9509" spans="1:14" x14ac:dyDescent="0.25">
      <c r="A9509" t="s">
        <v>16670</v>
      </c>
      <c r="B9509" t="s">
        <v>16671</v>
      </c>
      <c r="C9509" s="1" t="str">
        <f>HYPERLINK("http://www.genecards.org/cgi-bin/carddisp.pl?gene=LOC729143 /// MPRIP","GeneCards")</f>
        <v>GeneCards</v>
      </c>
      <c r="D9509" s="1" t="str">
        <f>HYPERLINK("http://genome-euro.ucsc.edu/cgi-bin/hgTracks?position=214694_at","UCSC")</f>
        <v>UCSC</v>
      </c>
      <c r="E9509" s="1" t="str">
        <f>HYPERLINK("http://www.ncbi.nlm.nih.gov/gene/?term=LOC729143 /// MPRIP","NCBI")</f>
        <v>NCBI</v>
      </c>
      <c r="F9509">
        <v>0.19</v>
      </c>
      <c r="G9509">
        <v>0.34</v>
      </c>
      <c r="H9509" s="1" t="str">
        <f>HYPERLINK("http://www.weizmann.ac.il/complex/compphys/software/geview/data/figures/214694_at.png","Figure")</f>
        <v>Figure</v>
      </c>
      <c r="I9509">
        <v>1.1399999999999999</v>
      </c>
      <c r="J9509">
        <v>0.16</v>
      </c>
      <c r="K9509">
        <v>1.06</v>
      </c>
      <c r="L9509">
        <v>0.6</v>
      </c>
      <c r="M9509">
        <v>0.92700000000000005</v>
      </c>
      <c r="N9509">
        <v>0.49</v>
      </c>
    </row>
    <row r="9510" spans="1:14" x14ac:dyDescent="0.25">
      <c r="A9510" t="s">
        <v>16672</v>
      </c>
      <c r="B9510" t="s">
        <v>9659</v>
      </c>
      <c r="C9510" s="1" t="str">
        <f>HYPERLINK("http://www.genecards.org/cgi-bin/carddisp.pl?gene=CYP2C9","GeneCards")</f>
        <v>GeneCards</v>
      </c>
      <c r="D9510" s="1" t="str">
        <f>HYPERLINK("http://genome-euro.ucsc.edu/cgi-bin/hgTracks?position=216025_x_at","UCSC")</f>
        <v>UCSC</v>
      </c>
      <c r="E9510" s="1" t="str">
        <f>HYPERLINK("http://www.ncbi.nlm.nih.gov/gene/?term=CYP2C9","NCBI")</f>
        <v>NCBI</v>
      </c>
      <c r="F9510">
        <v>0.19</v>
      </c>
      <c r="G9510">
        <v>0.34</v>
      </c>
      <c r="H9510" s="1" t="str">
        <f>HYPERLINK("http://www.weizmann.ac.il/complex/compphys/software/geview/data/figures/216025_x_at.png","Figure")</f>
        <v>Figure</v>
      </c>
      <c r="I9510">
        <v>1.06</v>
      </c>
      <c r="J9510">
        <v>0.82</v>
      </c>
      <c r="K9510">
        <v>0.89900000000000002</v>
      </c>
      <c r="L9510">
        <v>0.42</v>
      </c>
      <c r="M9510">
        <v>0.84899999999999998</v>
      </c>
      <c r="N9510">
        <v>0.19</v>
      </c>
    </row>
    <row r="9511" spans="1:14" x14ac:dyDescent="0.25">
      <c r="A9511" t="s">
        <v>16673</v>
      </c>
      <c r="B9511" t="s">
        <v>16674</v>
      </c>
      <c r="C9511" s="1" t="str">
        <f>HYPERLINK("http://www.genecards.org/cgi-bin/carddisp.pl?gene=RPS17","GeneCards")</f>
        <v>GeneCards</v>
      </c>
      <c r="D9511" s="1" t="str">
        <f>HYPERLINK("http://genome-euro.ucsc.edu/cgi-bin/hgTracks?position=201665_x_at","UCSC")</f>
        <v>UCSC</v>
      </c>
      <c r="E9511" s="1" t="str">
        <f>HYPERLINK("http://www.ncbi.nlm.nih.gov/gene/?term=RPS17","NCBI")</f>
        <v>NCBI</v>
      </c>
      <c r="F9511">
        <v>0.19</v>
      </c>
      <c r="G9511">
        <v>0.34</v>
      </c>
      <c r="H9511" s="1" t="str">
        <f>HYPERLINK("http://www.weizmann.ac.il/complex/compphys/software/geview/data/figures/201665_x_at.png","Figure")</f>
        <v>Figure</v>
      </c>
      <c r="I9511">
        <v>1.36</v>
      </c>
      <c r="J9511">
        <v>0.17</v>
      </c>
      <c r="K9511">
        <v>1.17</v>
      </c>
      <c r="L9511">
        <v>0.51</v>
      </c>
      <c r="M9511">
        <v>0.86199999999999999</v>
      </c>
      <c r="N9511">
        <v>0.57999999999999996</v>
      </c>
    </row>
    <row r="9512" spans="1:14" x14ac:dyDescent="0.25">
      <c r="A9512" t="s">
        <v>16675</v>
      </c>
      <c r="B9512" t="s">
        <v>16676</v>
      </c>
      <c r="C9512" s="1" t="str">
        <f>HYPERLINK("http://www.genecards.org/cgi-bin/carddisp.pl?gene=CHRM2","GeneCards")</f>
        <v>GeneCards</v>
      </c>
      <c r="D9512" s="1" t="str">
        <f>HYPERLINK("http://genome-euro.ucsc.edu/cgi-bin/hgTracks?position=221330_at","UCSC")</f>
        <v>UCSC</v>
      </c>
      <c r="E9512" s="1" t="str">
        <f>HYPERLINK("http://www.ncbi.nlm.nih.gov/gene/?term=CHRM2","NCBI")</f>
        <v>NCBI</v>
      </c>
      <c r="F9512">
        <v>0.19</v>
      </c>
      <c r="G9512">
        <v>0.34</v>
      </c>
      <c r="H9512" s="1" t="str">
        <f>HYPERLINK("http://www.weizmann.ac.il/complex/compphys/software/geview/data/figures/221330_at.png","Figure")</f>
        <v>Figure</v>
      </c>
      <c r="I9512">
        <v>1.1399999999999999</v>
      </c>
      <c r="J9512">
        <v>0.27</v>
      </c>
      <c r="K9512">
        <v>0.99299999999999999</v>
      </c>
      <c r="L9512">
        <v>0.99</v>
      </c>
      <c r="M9512">
        <v>0.871</v>
      </c>
      <c r="N9512">
        <v>0.2</v>
      </c>
    </row>
    <row r="9513" spans="1:14" x14ac:dyDescent="0.25">
      <c r="A9513" t="s">
        <v>16677</v>
      </c>
      <c r="B9513" t="s">
        <v>16678</v>
      </c>
      <c r="C9513" s="1" t="str">
        <f>HYPERLINK("http://www.genecards.org/cgi-bin/carddisp.pl?gene=TRAF1","GeneCards")</f>
        <v>GeneCards</v>
      </c>
      <c r="D9513" s="1" t="str">
        <f>HYPERLINK("http://genome-euro.ucsc.edu/cgi-bin/hgTracks?position=205599_at","UCSC")</f>
        <v>UCSC</v>
      </c>
      <c r="E9513" s="1" t="str">
        <f>HYPERLINK("http://www.ncbi.nlm.nih.gov/gene/?term=TRAF1","NCBI")</f>
        <v>NCBI</v>
      </c>
      <c r="F9513">
        <v>0.19</v>
      </c>
      <c r="G9513">
        <v>0.34</v>
      </c>
      <c r="H9513" s="1" t="str">
        <f>HYPERLINK("http://www.weizmann.ac.il/complex/compphys/software/geview/data/figures/205599_at.png","Figure")</f>
        <v>Figure</v>
      </c>
      <c r="I9513">
        <v>1.24</v>
      </c>
      <c r="J9513">
        <v>0.19</v>
      </c>
      <c r="K9513">
        <v>1.1599999999999999</v>
      </c>
      <c r="L9513">
        <v>0.33</v>
      </c>
      <c r="M9513">
        <v>0.94</v>
      </c>
      <c r="N9513">
        <v>0.83</v>
      </c>
    </row>
    <row r="9514" spans="1:14" x14ac:dyDescent="0.25">
      <c r="A9514" t="s">
        <v>16679</v>
      </c>
      <c r="B9514" t="s">
        <v>16680</v>
      </c>
      <c r="C9514" s="1" t="str">
        <f>HYPERLINK("http://www.genecards.org/cgi-bin/carddisp.pl?gene=TDRD12","GeneCards")</f>
        <v>GeneCards</v>
      </c>
      <c r="D9514" s="1" t="str">
        <f>HYPERLINK("http://genome-euro.ucsc.edu/cgi-bin/hgTracks?position=215356_at","UCSC")</f>
        <v>UCSC</v>
      </c>
      <c r="E9514" s="1" t="str">
        <f>HYPERLINK("http://www.ncbi.nlm.nih.gov/gene/?term=TDRD12","NCBI")</f>
        <v>NCBI</v>
      </c>
      <c r="F9514">
        <v>0.19</v>
      </c>
      <c r="G9514">
        <v>0.34</v>
      </c>
      <c r="H9514" s="1" t="str">
        <f>HYPERLINK("http://www.weizmann.ac.il/complex/compphys/software/geview/data/figures/215356_at.png","Figure")</f>
        <v>Figure</v>
      </c>
      <c r="I9514">
        <v>1.1399999999999999</v>
      </c>
      <c r="J9514">
        <v>0.21</v>
      </c>
      <c r="K9514">
        <v>1.02</v>
      </c>
      <c r="L9514">
        <v>0.97</v>
      </c>
      <c r="M9514">
        <v>0.89200000000000002</v>
      </c>
      <c r="N9514">
        <v>0.25</v>
      </c>
    </row>
    <row r="9515" spans="1:14" x14ac:dyDescent="0.25">
      <c r="A9515" t="s">
        <v>16681</v>
      </c>
      <c r="B9515" t="s">
        <v>5435</v>
      </c>
      <c r="C9515" s="1" t="str">
        <f>HYPERLINK("http://www.genecards.org/cgi-bin/carddisp.pl?gene=TLE4","GeneCards")</f>
        <v>GeneCards</v>
      </c>
      <c r="D9515" s="1" t="str">
        <f>HYPERLINK("http://genome-euro.ucsc.edu/cgi-bin/hgTracks?position=216997_x_at","UCSC")</f>
        <v>UCSC</v>
      </c>
      <c r="E9515" s="1" t="str">
        <f>HYPERLINK("http://www.ncbi.nlm.nih.gov/gene/?term=TLE4","NCBI")</f>
        <v>NCBI</v>
      </c>
      <c r="F9515">
        <v>0.19</v>
      </c>
      <c r="G9515">
        <v>0.34</v>
      </c>
      <c r="H9515" s="1" t="str">
        <f>HYPERLINK("http://www.weizmann.ac.il/complex/compphys/software/geview/data/figures/216997_x_at.png","Figure")</f>
        <v>Figure</v>
      </c>
      <c r="I9515">
        <v>0.76100000000000001</v>
      </c>
      <c r="J9515">
        <v>0.55000000000000004</v>
      </c>
      <c r="K9515">
        <v>0.64600000000000002</v>
      </c>
      <c r="L9515">
        <v>0.16</v>
      </c>
      <c r="M9515">
        <v>0.84899999999999998</v>
      </c>
      <c r="N9515">
        <v>0.78</v>
      </c>
    </row>
    <row r="9516" spans="1:14" x14ac:dyDescent="0.25">
      <c r="A9516" t="s">
        <v>16682</v>
      </c>
      <c r="B9516" t="s">
        <v>16683</v>
      </c>
      <c r="C9516" s="1" t="str">
        <f>HYPERLINK("http://www.genecards.org/cgi-bin/carddisp.pl?gene=GADD45GIP1","GeneCards")</f>
        <v>GeneCards</v>
      </c>
      <c r="D9516" s="1" t="str">
        <f>HYPERLINK("http://genome-euro.ucsc.edu/cgi-bin/hgTracks?position=212889_x_at","UCSC")</f>
        <v>UCSC</v>
      </c>
      <c r="E9516" s="1" t="str">
        <f>HYPERLINK("http://www.ncbi.nlm.nih.gov/gene/?term=GADD45GIP1","NCBI")</f>
        <v>NCBI</v>
      </c>
      <c r="F9516">
        <v>0.19</v>
      </c>
      <c r="G9516">
        <v>0.34</v>
      </c>
      <c r="H9516" s="1" t="str">
        <f>HYPERLINK("http://www.weizmann.ac.il/complex/compphys/software/geview/data/figures/212889_x_at.png","Figure")</f>
        <v>Figure</v>
      </c>
      <c r="I9516">
        <v>1.1000000000000001</v>
      </c>
      <c r="J9516">
        <v>0.22</v>
      </c>
      <c r="K9516">
        <v>1.08</v>
      </c>
      <c r="L9516">
        <v>0.28000000000000003</v>
      </c>
      <c r="M9516">
        <v>0.98</v>
      </c>
      <c r="N9516">
        <v>0.92</v>
      </c>
    </row>
    <row r="9517" spans="1:14" x14ac:dyDescent="0.25">
      <c r="A9517" t="s">
        <v>16684</v>
      </c>
      <c r="B9517" t="s">
        <v>16685</v>
      </c>
      <c r="C9517" s="1" t="str">
        <f>HYPERLINK("http://www.genecards.org/cgi-bin/carddisp.pl?gene=RNF44","GeneCards")</f>
        <v>GeneCards</v>
      </c>
      <c r="D9517" s="1" t="str">
        <f>HYPERLINK("http://genome-euro.ucsc.edu/cgi-bin/hgTracks?position=203286_at","UCSC")</f>
        <v>UCSC</v>
      </c>
      <c r="E9517" s="1" t="str">
        <f>HYPERLINK("http://www.ncbi.nlm.nih.gov/gene/?term=RNF44","NCBI")</f>
        <v>NCBI</v>
      </c>
      <c r="F9517">
        <v>0.19</v>
      </c>
      <c r="G9517">
        <v>0.34</v>
      </c>
      <c r="H9517" s="1" t="str">
        <f>HYPERLINK("http://www.weizmann.ac.il/complex/compphys/software/geview/data/figures/203286_at.png","Figure")</f>
        <v>Figure</v>
      </c>
      <c r="I9517">
        <v>1.1499999999999999</v>
      </c>
      <c r="J9517">
        <v>0.48</v>
      </c>
      <c r="K9517">
        <v>1.23</v>
      </c>
      <c r="L9517">
        <v>0.17</v>
      </c>
      <c r="M9517">
        <v>1.06</v>
      </c>
      <c r="N9517">
        <v>0.85</v>
      </c>
    </row>
    <row r="9518" spans="1:14" x14ac:dyDescent="0.25">
      <c r="A9518" t="s">
        <v>16686</v>
      </c>
      <c r="B9518" t="s">
        <v>16687</v>
      </c>
      <c r="C9518" s="1" t="str">
        <f>HYPERLINK("http://www.genecards.org/cgi-bin/carddisp.pl?gene=PRG2","GeneCards")</f>
        <v>GeneCards</v>
      </c>
      <c r="D9518" s="1" t="str">
        <f>HYPERLINK("http://genome-euro.ucsc.edu/cgi-bin/hgTracks?position=211743_s_at","UCSC")</f>
        <v>UCSC</v>
      </c>
      <c r="E9518" s="1" t="str">
        <f>HYPERLINK("http://www.ncbi.nlm.nih.gov/gene/?term=PRG2","NCBI")</f>
        <v>NCBI</v>
      </c>
      <c r="F9518">
        <v>0.19</v>
      </c>
      <c r="G9518">
        <v>0.34</v>
      </c>
      <c r="H9518" s="1" t="str">
        <f>HYPERLINK("http://www.weizmann.ac.il/complex/compphys/software/geview/data/figures/211743_s_at.png","Figure")</f>
        <v>Figure</v>
      </c>
      <c r="I9518">
        <v>1.02</v>
      </c>
      <c r="J9518">
        <v>1</v>
      </c>
      <c r="K9518">
        <v>0.72499999999999998</v>
      </c>
      <c r="L9518">
        <v>0.26</v>
      </c>
      <c r="M9518">
        <v>0.71299999999999997</v>
      </c>
      <c r="N9518">
        <v>0.28000000000000003</v>
      </c>
    </row>
    <row r="9519" spans="1:14" x14ac:dyDescent="0.25">
      <c r="A9519" t="s">
        <v>16688</v>
      </c>
      <c r="B9519" t="s">
        <v>16689</v>
      </c>
      <c r="C9519" s="1" t="str">
        <f>HYPERLINK("http://www.genecards.org/cgi-bin/carddisp.pl?gene=EXOSC6","GeneCards")</f>
        <v>GeneCards</v>
      </c>
      <c r="D9519" s="1" t="str">
        <f>HYPERLINK("http://genome-euro.ucsc.edu/cgi-bin/hgTracks?position=217490_at","UCSC")</f>
        <v>UCSC</v>
      </c>
      <c r="E9519" s="1" t="str">
        <f>HYPERLINK("http://www.ncbi.nlm.nih.gov/gene/?term=EXOSC6","NCBI")</f>
        <v>NCBI</v>
      </c>
      <c r="F9519">
        <v>0.19</v>
      </c>
      <c r="G9519">
        <v>0.34</v>
      </c>
      <c r="H9519" s="1" t="str">
        <f>HYPERLINK("http://www.weizmann.ac.il/complex/compphys/software/geview/data/figures/217490_at.png","Figure")</f>
        <v>Figure</v>
      </c>
      <c r="I9519">
        <v>1.0900000000000001</v>
      </c>
      <c r="J9519">
        <v>0.3</v>
      </c>
      <c r="K9519">
        <v>0.99</v>
      </c>
      <c r="L9519">
        <v>0.98</v>
      </c>
      <c r="M9519">
        <v>0.90600000000000003</v>
      </c>
      <c r="N9519">
        <v>0.19</v>
      </c>
    </row>
    <row r="9520" spans="1:14" x14ac:dyDescent="0.25">
      <c r="A9520" t="s">
        <v>16690</v>
      </c>
      <c r="B9520" t="s">
        <v>16691</v>
      </c>
      <c r="C9520" s="1" t="str">
        <f>HYPERLINK("http://www.genecards.org/cgi-bin/carddisp.pl?gene=ALG3","GeneCards")</f>
        <v>GeneCards</v>
      </c>
      <c r="D9520" s="1" t="str">
        <f>HYPERLINK("http://genome-euro.ucsc.edu/cgi-bin/hgTracks?position=207396_s_at","UCSC")</f>
        <v>UCSC</v>
      </c>
      <c r="E9520" s="1" t="str">
        <f>HYPERLINK("http://www.ncbi.nlm.nih.gov/gene/?term=ALG3","NCBI")</f>
        <v>NCBI</v>
      </c>
      <c r="F9520">
        <v>0.19</v>
      </c>
      <c r="G9520">
        <v>0.34</v>
      </c>
      <c r="H9520" s="1" t="str">
        <f>HYPERLINK("http://www.weizmann.ac.il/complex/compphys/software/geview/data/figures/207396_s_at.png","Figure")</f>
        <v>Figure</v>
      </c>
      <c r="I9520">
        <v>1.1000000000000001</v>
      </c>
      <c r="J9520">
        <v>0.74</v>
      </c>
      <c r="K9520">
        <v>1.23</v>
      </c>
      <c r="L9520">
        <v>0.17</v>
      </c>
      <c r="M9520">
        <v>1.1200000000000001</v>
      </c>
      <c r="N9520">
        <v>0.59</v>
      </c>
    </row>
    <row r="9521" spans="1:14" x14ac:dyDescent="0.25">
      <c r="A9521" t="s">
        <v>16692</v>
      </c>
      <c r="B9521" t="s">
        <v>16693</v>
      </c>
      <c r="C9521" s="1" t="str">
        <f>HYPERLINK("http://www.genecards.org/cgi-bin/carddisp.pl?gene=GTF2H3","GeneCards")</f>
        <v>GeneCards</v>
      </c>
      <c r="D9521" s="1" t="str">
        <f>HYPERLINK("http://genome-euro.ucsc.edu/cgi-bin/hgTracks?position=222104_x_at","UCSC")</f>
        <v>UCSC</v>
      </c>
      <c r="E9521" s="1" t="str">
        <f>HYPERLINK("http://www.ncbi.nlm.nih.gov/gene/?term=GTF2H3","NCBI")</f>
        <v>NCBI</v>
      </c>
      <c r="F9521">
        <v>0.19</v>
      </c>
      <c r="G9521">
        <v>0.34</v>
      </c>
      <c r="H9521" s="1" t="str">
        <f>HYPERLINK("http://www.weizmann.ac.il/complex/compphys/software/geview/data/figures/222104_x_at.png","Figure")</f>
        <v>Figure</v>
      </c>
      <c r="I9521">
        <v>1.31</v>
      </c>
      <c r="J9521">
        <v>0.4</v>
      </c>
      <c r="K9521">
        <v>0.91100000000000003</v>
      </c>
      <c r="L9521">
        <v>0.86</v>
      </c>
      <c r="M9521">
        <v>0.69599999999999995</v>
      </c>
      <c r="N9521">
        <v>0.17</v>
      </c>
    </row>
    <row r="9522" spans="1:14" x14ac:dyDescent="0.25">
      <c r="A9522" t="s">
        <v>16694</v>
      </c>
      <c r="B9522" t="s">
        <v>16695</v>
      </c>
      <c r="C9522" s="1" t="str">
        <f>HYPERLINK("http://www.genecards.org/cgi-bin/carddisp.pl?gene=MYOZ1","GeneCards")</f>
        <v>GeneCards</v>
      </c>
      <c r="D9522" s="1" t="str">
        <f>HYPERLINK("http://genome-euro.ucsc.edu/cgi-bin/hgTracks?position=219509_at","UCSC")</f>
        <v>UCSC</v>
      </c>
      <c r="E9522" s="1" t="str">
        <f>HYPERLINK("http://www.ncbi.nlm.nih.gov/gene/?term=MYOZ1","NCBI")</f>
        <v>NCBI</v>
      </c>
      <c r="F9522">
        <v>0.19</v>
      </c>
      <c r="G9522">
        <v>0.34</v>
      </c>
      <c r="H9522" s="1" t="str">
        <f>HYPERLINK("http://www.weizmann.ac.il/complex/compphys/software/geview/data/figures/219509_at.png","Figure")</f>
        <v>Figure</v>
      </c>
      <c r="I9522">
        <v>1.22</v>
      </c>
      <c r="J9522">
        <v>0.22</v>
      </c>
      <c r="K9522">
        <v>1.02</v>
      </c>
      <c r="L9522">
        <v>0.98</v>
      </c>
      <c r="M9522">
        <v>0.83499999999999996</v>
      </c>
      <c r="N9522">
        <v>0.24</v>
      </c>
    </row>
    <row r="9523" spans="1:14" x14ac:dyDescent="0.25">
      <c r="A9523" t="s">
        <v>16696</v>
      </c>
      <c r="B9523" t="s">
        <v>16697</v>
      </c>
      <c r="C9523" s="1" t="str">
        <f>HYPERLINK("http://www.genecards.org/cgi-bin/carddisp.pl?gene=PCDH17","GeneCards")</f>
        <v>GeneCards</v>
      </c>
      <c r="D9523" s="1" t="str">
        <f>HYPERLINK("http://genome-euro.ucsc.edu/cgi-bin/hgTracks?position=205656_at","UCSC")</f>
        <v>UCSC</v>
      </c>
      <c r="E9523" s="1" t="str">
        <f>HYPERLINK("http://www.ncbi.nlm.nih.gov/gene/?term=PCDH17","NCBI")</f>
        <v>NCBI</v>
      </c>
      <c r="F9523">
        <v>0.19</v>
      </c>
      <c r="G9523">
        <v>0.34</v>
      </c>
      <c r="H9523" s="1" t="str">
        <f>HYPERLINK("http://www.weizmann.ac.il/complex/compphys/software/geview/data/figures/205656_at.png","Figure")</f>
        <v>Figure</v>
      </c>
      <c r="I9523">
        <v>1.1399999999999999</v>
      </c>
      <c r="J9523">
        <v>0.22</v>
      </c>
      <c r="K9523">
        <v>1.01</v>
      </c>
      <c r="L9523">
        <v>0.97</v>
      </c>
      <c r="M9523">
        <v>0.89</v>
      </c>
      <c r="N9523">
        <v>0.24</v>
      </c>
    </row>
    <row r="9524" spans="1:14" x14ac:dyDescent="0.25">
      <c r="A9524" t="s">
        <v>16698</v>
      </c>
      <c r="B9524" t="s">
        <v>16699</v>
      </c>
      <c r="C9524" s="1" t="str">
        <f>HYPERLINK("http://www.genecards.org/cgi-bin/carddisp.pl?gene=LOC157562","GeneCards")</f>
        <v>GeneCards</v>
      </c>
      <c r="D9524" s="1" t="str">
        <f>HYPERLINK("http://genome-euro.ucsc.edu/cgi-bin/hgTracks?position=213776_at","UCSC")</f>
        <v>UCSC</v>
      </c>
      <c r="E9524" s="1" t="str">
        <f>HYPERLINK("http://www.ncbi.nlm.nih.gov/gene/?term=LOC157562","NCBI")</f>
        <v>NCBI</v>
      </c>
      <c r="F9524">
        <v>0.19</v>
      </c>
      <c r="G9524">
        <v>0.34</v>
      </c>
      <c r="H9524" s="1" t="str">
        <f>HYPERLINK("http://www.weizmann.ac.il/complex/compphys/software/geview/data/figures/213776_at.png","Figure")</f>
        <v>Figure</v>
      </c>
      <c r="I9524">
        <v>0.88600000000000001</v>
      </c>
      <c r="J9524">
        <v>0.19</v>
      </c>
      <c r="K9524">
        <v>0.97699999999999998</v>
      </c>
      <c r="L9524">
        <v>0.91</v>
      </c>
      <c r="M9524">
        <v>1.1000000000000001</v>
      </c>
      <c r="N9524">
        <v>0.28000000000000003</v>
      </c>
    </row>
    <row r="9525" spans="1:14" x14ac:dyDescent="0.25">
      <c r="A9525" t="s">
        <v>16700</v>
      </c>
      <c r="B9525" t="s">
        <v>16701</v>
      </c>
      <c r="C9525" s="1" t="str">
        <f>HYPERLINK("http://www.genecards.org/cgi-bin/carddisp.pl?gene=TMEM208","GeneCards")</f>
        <v>GeneCards</v>
      </c>
      <c r="D9525" s="1" t="str">
        <f>HYPERLINK("http://genome-euro.ucsc.edu/cgi-bin/hgTracks?position=221597_s_at","UCSC")</f>
        <v>UCSC</v>
      </c>
      <c r="E9525" s="1" t="str">
        <f>HYPERLINK("http://www.ncbi.nlm.nih.gov/gene/?term=TMEM208","NCBI")</f>
        <v>NCBI</v>
      </c>
      <c r="F9525">
        <v>0.19</v>
      </c>
      <c r="G9525">
        <v>0.34</v>
      </c>
      <c r="H9525" s="1" t="str">
        <f>HYPERLINK("http://www.weizmann.ac.il/complex/compphys/software/geview/data/figures/221597_s_at.png","Figure")</f>
        <v>Figure</v>
      </c>
      <c r="I9525">
        <v>0.86199999999999999</v>
      </c>
      <c r="J9525">
        <v>0.18</v>
      </c>
      <c r="K9525">
        <v>0.95799999999999996</v>
      </c>
      <c r="L9525">
        <v>0.81</v>
      </c>
      <c r="M9525">
        <v>1.1100000000000001</v>
      </c>
      <c r="N9525">
        <v>0.34</v>
      </c>
    </row>
    <row r="9526" spans="1:14" x14ac:dyDescent="0.25">
      <c r="A9526" t="s">
        <v>16702</v>
      </c>
      <c r="B9526" t="s">
        <v>16703</v>
      </c>
      <c r="C9526" s="1" t="str">
        <f>HYPERLINK("http://www.genecards.org/cgi-bin/carddisp.pl?gene=WWTR1","GeneCards")</f>
        <v>GeneCards</v>
      </c>
      <c r="D9526" s="1" t="str">
        <f>HYPERLINK("http://genome-euro.ucsc.edu/cgi-bin/hgTracks?position=202134_s_at","UCSC")</f>
        <v>UCSC</v>
      </c>
      <c r="E9526" s="1" t="str">
        <f>HYPERLINK("http://www.ncbi.nlm.nih.gov/gene/?term=WWTR1","NCBI")</f>
        <v>NCBI</v>
      </c>
      <c r="F9526">
        <v>0.19</v>
      </c>
      <c r="G9526">
        <v>0.34</v>
      </c>
      <c r="H9526" s="1" t="str">
        <f>HYPERLINK("http://www.weizmann.ac.il/complex/compphys/software/geview/data/figures/202134_s_at.png","Figure")</f>
        <v>Figure</v>
      </c>
      <c r="I9526">
        <v>1.1399999999999999</v>
      </c>
      <c r="J9526">
        <v>0.18</v>
      </c>
      <c r="K9526">
        <v>1.08</v>
      </c>
      <c r="L9526">
        <v>0.41</v>
      </c>
      <c r="M9526">
        <v>0.94699999999999995</v>
      </c>
      <c r="N9526">
        <v>0.7</v>
      </c>
    </row>
    <row r="9527" spans="1:14" x14ac:dyDescent="0.25">
      <c r="A9527" t="s">
        <v>16704</v>
      </c>
      <c r="B9527" t="s">
        <v>16705</v>
      </c>
      <c r="C9527" s="1" t="str">
        <f>HYPERLINK("http://www.genecards.org/cgi-bin/carddisp.pl?gene=GPRIN2","GeneCards")</f>
        <v>GeneCards</v>
      </c>
      <c r="D9527" s="1" t="str">
        <f>HYPERLINK("http://genome-euro.ucsc.edu/cgi-bin/hgTracks?position=206747_at","UCSC")</f>
        <v>UCSC</v>
      </c>
      <c r="E9527" s="1" t="str">
        <f>HYPERLINK("http://www.ncbi.nlm.nih.gov/gene/?term=GPRIN2","NCBI")</f>
        <v>NCBI</v>
      </c>
      <c r="F9527">
        <v>0.19</v>
      </c>
      <c r="G9527">
        <v>0.34</v>
      </c>
      <c r="H9527" s="1" t="str">
        <f>HYPERLINK("http://www.weizmann.ac.il/complex/compphys/software/geview/data/figures/206747_at.png","Figure")</f>
        <v>Figure</v>
      </c>
      <c r="I9527">
        <v>1.25</v>
      </c>
      <c r="J9527">
        <v>0.22</v>
      </c>
      <c r="K9527">
        <v>1.02</v>
      </c>
      <c r="L9527">
        <v>0.98</v>
      </c>
      <c r="M9527">
        <v>0.81599999999999995</v>
      </c>
      <c r="N9527">
        <v>0.24</v>
      </c>
    </row>
    <row r="9528" spans="1:14" x14ac:dyDescent="0.25">
      <c r="A9528" t="s">
        <v>16706</v>
      </c>
      <c r="B9528" t="s">
        <v>16707</v>
      </c>
      <c r="C9528" s="1" t="str">
        <f>HYPERLINK("http://www.genecards.org/cgi-bin/carddisp.pl?gene=ARL2","GeneCards")</f>
        <v>GeneCards</v>
      </c>
      <c r="D9528" s="1" t="str">
        <f>HYPERLINK("http://genome-euro.ucsc.edu/cgi-bin/hgTracks?position=202564_x_at","UCSC")</f>
        <v>UCSC</v>
      </c>
      <c r="E9528" s="1" t="str">
        <f>HYPERLINK("http://www.ncbi.nlm.nih.gov/gene/?term=ARL2","NCBI")</f>
        <v>NCBI</v>
      </c>
      <c r="F9528">
        <v>0.19</v>
      </c>
      <c r="G9528">
        <v>0.34</v>
      </c>
      <c r="H9528" s="1" t="str">
        <f>HYPERLINK("http://www.weizmann.ac.il/complex/compphys/software/geview/data/figures/202564_x_at.png","Figure")</f>
        <v>Figure</v>
      </c>
      <c r="I9528">
        <v>1.08</v>
      </c>
      <c r="J9528">
        <v>0.72</v>
      </c>
      <c r="K9528">
        <v>1.17</v>
      </c>
      <c r="L9528">
        <v>0.17</v>
      </c>
      <c r="M9528">
        <v>1.0900000000000001</v>
      </c>
      <c r="N9528">
        <v>0.6</v>
      </c>
    </row>
    <row r="9529" spans="1:14" x14ac:dyDescent="0.25">
      <c r="A9529" t="s">
        <v>16708</v>
      </c>
      <c r="B9529" t="s">
        <v>16709</v>
      </c>
      <c r="C9529" s="1" t="str">
        <f>HYPERLINK("http://www.genecards.org/cgi-bin/carddisp.pl?gene=FCN1","GeneCards")</f>
        <v>GeneCards</v>
      </c>
      <c r="D9529" s="1" t="str">
        <f>HYPERLINK("http://genome-euro.ucsc.edu/cgi-bin/hgTracks?position=205237_at","UCSC")</f>
        <v>UCSC</v>
      </c>
      <c r="E9529" s="1" t="str">
        <f>HYPERLINK("http://www.ncbi.nlm.nih.gov/gene/?term=FCN1","NCBI")</f>
        <v>NCBI</v>
      </c>
      <c r="F9529">
        <v>0.19</v>
      </c>
      <c r="G9529">
        <v>0.34</v>
      </c>
      <c r="H9529" s="1" t="str">
        <f>HYPERLINK("http://www.weizmann.ac.il/complex/compphys/software/geview/data/figures/205237_at.png","Figure")</f>
        <v>Figure</v>
      </c>
      <c r="I9529">
        <v>1.33</v>
      </c>
      <c r="J9529">
        <v>0.2</v>
      </c>
      <c r="K9529">
        <v>1.23</v>
      </c>
      <c r="L9529">
        <v>0.31</v>
      </c>
      <c r="M9529">
        <v>0.92600000000000005</v>
      </c>
      <c r="N9529">
        <v>0.86</v>
      </c>
    </row>
    <row r="9530" spans="1:14" x14ac:dyDescent="0.25">
      <c r="A9530" t="s">
        <v>16710</v>
      </c>
      <c r="B9530" t="s">
        <v>9749</v>
      </c>
      <c r="C9530" s="1" t="str">
        <f>HYPERLINK("http://www.genecards.org/cgi-bin/carddisp.pl?gene=CACNB3","GeneCards")</f>
        <v>GeneCards</v>
      </c>
      <c r="D9530" s="1" t="str">
        <f>HYPERLINK("http://genome-euro.ucsc.edu/cgi-bin/hgTracks?position=34726_at","UCSC")</f>
        <v>UCSC</v>
      </c>
      <c r="E9530" s="1" t="str">
        <f>HYPERLINK("http://www.ncbi.nlm.nih.gov/gene/?term=CACNB3","NCBI")</f>
        <v>NCBI</v>
      </c>
      <c r="F9530">
        <v>0.19</v>
      </c>
      <c r="G9530">
        <v>0.34</v>
      </c>
      <c r="H9530" s="1" t="str">
        <f>HYPERLINK("http://www.weizmann.ac.il/complex/compphys/software/geview/data/figures/34726_at.png","Figure")</f>
        <v>Figure</v>
      </c>
      <c r="I9530">
        <v>1.28</v>
      </c>
      <c r="J9530">
        <v>0.19</v>
      </c>
      <c r="K9530">
        <v>1.18</v>
      </c>
      <c r="L9530">
        <v>0.36</v>
      </c>
      <c r="M9530">
        <v>0.92</v>
      </c>
      <c r="N9530">
        <v>0.79</v>
      </c>
    </row>
    <row r="9531" spans="1:14" x14ac:dyDescent="0.25">
      <c r="A9531" t="s">
        <v>16711</v>
      </c>
      <c r="B9531" t="s">
        <v>16712</v>
      </c>
      <c r="C9531" s="1" t="str">
        <f>HYPERLINK("http://www.genecards.org/cgi-bin/carddisp.pl?gene=CRYBG3","GeneCards")</f>
        <v>GeneCards</v>
      </c>
      <c r="D9531" s="1" t="str">
        <f>HYPERLINK("http://genome-euro.ucsc.edu/cgi-bin/hgTracks?position=214030_at","UCSC")</f>
        <v>UCSC</v>
      </c>
      <c r="E9531" s="1" t="str">
        <f>HYPERLINK("http://www.ncbi.nlm.nih.gov/gene/?term=CRYBG3","NCBI")</f>
        <v>NCBI</v>
      </c>
      <c r="F9531">
        <v>0.19</v>
      </c>
      <c r="G9531">
        <v>0.34</v>
      </c>
      <c r="H9531" s="1" t="str">
        <f>HYPERLINK("http://www.weizmann.ac.il/complex/compphys/software/geview/data/figures/214030_at.png","Figure")</f>
        <v>Figure</v>
      </c>
      <c r="I9531">
        <v>1.18</v>
      </c>
      <c r="J9531">
        <v>0.17</v>
      </c>
      <c r="K9531">
        <v>1.06</v>
      </c>
      <c r="L9531">
        <v>0.75</v>
      </c>
      <c r="M9531">
        <v>0.89300000000000002</v>
      </c>
      <c r="N9531">
        <v>0.38</v>
      </c>
    </row>
    <row r="9532" spans="1:14" x14ac:dyDescent="0.25">
      <c r="A9532" t="s">
        <v>16713</v>
      </c>
      <c r="B9532" t="s">
        <v>16714</v>
      </c>
      <c r="C9532" s="1" t="str">
        <f>HYPERLINK("http://www.genecards.org/cgi-bin/carddisp.pl?gene=TLR6","GeneCards")</f>
        <v>GeneCards</v>
      </c>
      <c r="D9532" s="1" t="str">
        <f>HYPERLINK("http://genome-euro.ucsc.edu/cgi-bin/hgTracks?position=207446_at","UCSC")</f>
        <v>UCSC</v>
      </c>
      <c r="E9532" s="1" t="str">
        <f>HYPERLINK("http://www.ncbi.nlm.nih.gov/gene/?term=TLR6","NCBI")</f>
        <v>NCBI</v>
      </c>
      <c r="F9532">
        <v>0.19</v>
      </c>
      <c r="G9532">
        <v>0.34</v>
      </c>
      <c r="H9532" s="1" t="str">
        <f>HYPERLINK("http://www.weizmann.ac.il/complex/compphys/software/geview/data/figures/207446_at.png","Figure")</f>
        <v>Figure</v>
      </c>
      <c r="I9532">
        <v>0.88900000000000001</v>
      </c>
      <c r="J9532">
        <v>0.26</v>
      </c>
      <c r="K9532">
        <v>0.9</v>
      </c>
      <c r="L9532">
        <v>0.23</v>
      </c>
      <c r="M9532">
        <v>1.01</v>
      </c>
      <c r="N9532">
        <v>0.98</v>
      </c>
    </row>
    <row r="9533" spans="1:14" x14ac:dyDescent="0.25">
      <c r="A9533" t="s">
        <v>16715</v>
      </c>
      <c r="B9533" t="s">
        <v>16716</v>
      </c>
      <c r="C9533" s="1" t="str">
        <f>HYPERLINK("http://www.genecards.org/cgi-bin/carddisp.pl?gene=B3GALT4","GeneCards")</f>
        <v>GeneCards</v>
      </c>
      <c r="D9533" s="1" t="str">
        <f>HYPERLINK("http://genome-euro.ucsc.edu/cgi-bin/hgTracks?position=210205_at","UCSC")</f>
        <v>UCSC</v>
      </c>
      <c r="E9533" s="1" t="str">
        <f>HYPERLINK("http://www.ncbi.nlm.nih.gov/gene/?term=B3GALT4","NCBI")</f>
        <v>NCBI</v>
      </c>
      <c r="F9533">
        <v>0.19</v>
      </c>
      <c r="G9533">
        <v>0.34</v>
      </c>
      <c r="H9533" s="1" t="str">
        <f>HYPERLINK("http://www.weizmann.ac.il/complex/compphys/software/geview/data/figures/210205_at.png","Figure")</f>
        <v>Figure</v>
      </c>
      <c r="I9533">
        <v>0.94399999999999995</v>
      </c>
      <c r="J9533">
        <v>0.87</v>
      </c>
      <c r="K9533">
        <v>1.1399999999999999</v>
      </c>
      <c r="L9533">
        <v>0.39</v>
      </c>
      <c r="M9533">
        <v>1.21</v>
      </c>
      <c r="N9533">
        <v>0.2</v>
      </c>
    </row>
    <row r="9534" spans="1:14" x14ac:dyDescent="0.25">
      <c r="A9534" t="s">
        <v>16717</v>
      </c>
      <c r="B9534" t="s">
        <v>13779</v>
      </c>
      <c r="C9534" s="1" t="str">
        <f>HYPERLINK("http://www.genecards.org/cgi-bin/carddisp.pl?gene=TUBA1B","GeneCards")</f>
        <v>GeneCards</v>
      </c>
      <c r="D9534" s="1" t="str">
        <f>HYPERLINK("http://genome-euro.ucsc.edu/cgi-bin/hgTracks?position=213646_x_at","UCSC")</f>
        <v>UCSC</v>
      </c>
      <c r="E9534" s="1" t="str">
        <f>HYPERLINK("http://www.ncbi.nlm.nih.gov/gene/?term=TUBA1B","NCBI")</f>
        <v>NCBI</v>
      </c>
      <c r="F9534">
        <v>0.19</v>
      </c>
      <c r="G9534">
        <v>0.34</v>
      </c>
      <c r="H9534" s="1" t="str">
        <f>HYPERLINK("http://www.weizmann.ac.il/complex/compphys/software/geview/data/figures/213646_x_at.png","Figure")</f>
        <v>Figure</v>
      </c>
      <c r="I9534">
        <v>1.27</v>
      </c>
      <c r="J9534">
        <v>0.55000000000000004</v>
      </c>
      <c r="K9534">
        <v>1.47</v>
      </c>
      <c r="L9534">
        <v>0.17</v>
      </c>
      <c r="M9534">
        <v>1.1499999999999999</v>
      </c>
      <c r="N9534">
        <v>0.78</v>
      </c>
    </row>
    <row r="9535" spans="1:14" x14ac:dyDescent="0.25">
      <c r="A9535" t="s">
        <v>16718</v>
      </c>
      <c r="B9535" t="s">
        <v>16719</v>
      </c>
      <c r="C9535" s="1" t="str">
        <f>HYPERLINK("http://www.genecards.org/cgi-bin/carddisp.pl?gene=_x001A__x001A__x001A_-07","GeneCards")</f>
        <v>GeneCards</v>
      </c>
      <c r="D9535" s="1" t="str">
        <f>HYPERLINK("http://genome-euro.ucsc.edu/cgi-bin/hgTracks?position=202653_s_at","UCSC")</f>
        <v>UCSC</v>
      </c>
      <c r="E9535" s="1" t="str">
        <f>HYPERLINK("http://www.ncbi.nlm.nih.gov/gene/?term=_x001A__x001A__x001A_-07","NCBI")</f>
        <v>NCBI</v>
      </c>
      <c r="F9535">
        <v>0.19</v>
      </c>
      <c r="G9535">
        <v>0.34</v>
      </c>
      <c r="H9535" s="1" t="str">
        <f>HYPERLINK("http://www.weizmann.ac.il/complex/compphys/software/geview/data/figures/202653_s_at.png","Figure")</f>
        <v>Figure</v>
      </c>
      <c r="I9535">
        <v>0.61</v>
      </c>
      <c r="J9535">
        <v>0.22</v>
      </c>
      <c r="K9535">
        <v>0.67900000000000005</v>
      </c>
      <c r="L9535">
        <v>0.28000000000000003</v>
      </c>
      <c r="M9535">
        <v>1.1100000000000001</v>
      </c>
      <c r="N9535">
        <v>0.91</v>
      </c>
    </row>
    <row r="9536" spans="1:14" x14ac:dyDescent="0.25">
      <c r="A9536" t="s">
        <v>16720</v>
      </c>
      <c r="B9536" t="s">
        <v>16721</v>
      </c>
      <c r="C9536" s="1" t="str">
        <f>HYPERLINK("http://www.genecards.org/cgi-bin/carddisp.pl?gene=ARHGEF5","GeneCards")</f>
        <v>GeneCards</v>
      </c>
      <c r="D9536" s="1" t="str">
        <f>HYPERLINK("http://genome-euro.ucsc.edu/cgi-bin/hgTracks?position=204765_at","UCSC")</f>
        <v>UCSC</v>
      </c>
      <c r="E9536" s="1" t="str">
        <f>HYPERLINK("http://www.ncbi.nlm.nih.gov/gene/?term=ARHGEF5","NCBI")</f>
        <v>NCBI</v>
      </c>
      <c r="F9536">
        <v>0.19</v>
      </c>
      <c r="G9536">
        <v>0.34</v>
      </c>
      <c r="H9536" s="1" t="str">
        <f>HYPERLINK("http://www.weizmann.ac.il/complex/compphys/software/geview/data/figures/204765_at.png","Figure")</f>
        <v>Figure</v>
      </c>
      <c r="I9536">
        <v>1.1499999999999999</v>
      </c>
      <c r="J9536">
        <v>0.18</v>
      </c>
      <c r="K9536">
        <v>1.1000000000000001</v>
      </c>
      <c r="L9536">
        <v>0.38</v>
      </c>
      <c r="M9536">
        <v>0.95</v>
      </c>
      <c r="N9536">
        <v>0.76</v>
      </c>
    </row>
    <row r="9537" spans="1:14" x14ac:dyDescent="0.25">
      <c r="A9537" t="s">
        <v>16722</v>
      </c>
      <c r="B9537" t="s">
        <v>1042</v>
      </c>
      <c r="C9537" s="1" t="str">
        <f>HYPERLINK("http://www.genecards.org/cgi-bin/carddisp.pl?gene=HBS1L","GeneCards")</f>
        <v>GeneCards</v>
      </c>
      <c r="D9537" s="1" t="str">
        <f>HYPERLINK("http://genome-euro.ucsc.edu/cgi-bin/hgTracks?position=209316_s_at","UCSC")</f>
        <v>UCSC</v>
      </c>
      <c r="E9537" s="1" t="str">
        <f>HYPERLINK("http://www.ncbi.nlm.nih.gov/gene/?term=HBS1L","NCBI")</f>
        <v>NCBI</v>
      </c>
      <c r="F9537">
        <v>0.19</v>
      </c>
      <c r="G9537">
        <v>0.34</v>
      </c>
      <c r="H9537" s="1" t="str">
        <f>HYPERLINK("http://www.weizmann.ac.il/complex/compphys/software/geview/data/figures/209316_s_at.png","Figure")</f>
        <v>Figure</v>
      </c>
      <c r="I9537">
        <v>0.7</v>
      </c>
      <c r="J9537">
        <v>0.2</v>
      </c>
      <c r="K9537">
        <v>0.77400000000000002</v>
      </c>
      <c r="L9537">
        <v>0.32</v>
      </c>
      <c r="M9537">
        <v>1.1100000000000001</v>
      </c>
      <c r="N9537">
        <v>0.85</v>
      </c>
    </row>
    <row r="9538" spans="1:14" x14ac:dyDescent="0.25">
      <c r="A9538" t="s">
        <v>16723</v>
      </c>
      <c r="B9538" t="s">
        <v>16724</v>
      </c>
      <c r="C9538" s="1" t="str">
        <f>HYPERLINK("http://www.genecards.org/cgi-bin/carddisp.pl?gene=SIRT3","GeneCards")</f>
        <v>GeneCards</v>
      </c>
      <c r="D9538" s="1" t="str">
        <f>HYPERLINK("http://genome-euro.ucsc.edu/cgi-bin/hgTracks?position=49327_at","UCSC")</f>
        <v>UCSC</v>
      </c>
      <c r="E9538" s="1" t="str">
        <f>HYPERLINK("http://www.ncbi.nlm.nih.gov/gene/?term=SIRT3","NCBI")</f>
        <v>NCBI</v>
      </c>
      <c r="F9538">
        <v>0.19</v>
      </c>
      <c r="G9538">
        <v>0.34</v>
      </c>
      <c r="H9538" s="1" t="str">
        <f>HYPERLINK("http://www.weizmann.ac.il/complex/compphys/software/geview/data/figures/49327_at.png","Figure")</f>
        <v>Figure</v>
      </c>
      <c r="I9538">
        <v>1.37</v>
      </c>
      <c r="J9538">
        <v>0.17</v>
      </c>
      <c r="K9538">
        <v>1.2</v>
      </c>
      <c r="L9538">
        <v>0.44</v>
      </c>
      <c r="M9538">
        <v>0.872</v>
      </c>
      <c r="N9538">
        <v>0.66</v>
      </c>
    </row>
    <row r="9539" spans="1:14" x14ac:dyDescent="0.25">
      <c r="A9539" t="s">
        <v>16725</v>
      </c>
      <c r="B9539" t="s">
        <v>16726</v>
      </c>
      <c r="C9539" s="1" t="str">
        <f>HYPERLINK("http://www.genecards.org/cgi-bin/carddisp.pl?gene=CXorf36","GeneCards")</f>
        <v>GeneCards</v>
      </c>
      <c r="D9539" s="1" t="str">
        <f>HYPERLINK("http://genome-euro.ucsc.edu/cgi-bin/hgTracks?position=219652_s_at","UCSC")</f>
        <v>UCSC</v>
      </c>
      <c r="E9539" s="1" t="str">
        <f>HYPERLINK("http://www.ncbi.nlm.nih.gov/gene/?term=CXorf36","NCBI")</f>
        <v>NCBI</v>
      </c>
      <c r="F9539">
        <v>0.19</v>
      </c>
      <c r="G9539">
        <v>0.34</v>
      </c>
      <c r="H9539" s="1" t="str">
        <f>HYPERLINK("http://www.weizmann.ac.il/complex/compphys/software/geview/data/figures/219652_s_at.png","Figure")</f>
        <v>Figure</v>
      </c>
      <c r="I9539">
        <v>1.1399999999999999</v>
      </c>
      <c r="J9539">
        <v>0.17</v>
      </c>
      <c r="K9539">
        <v>1.05</v>
      </c>
      <c r="L9539">
        <v>0.68</v>
      </c>
      <c r="M9539">
        <v>0.92100000000000004</v>
      </c>
      <c r="N9539">
        <v>0.43</v>
      </c>
    </row>
    <row r="9540" spans="1:14" x14ac:dyDescent="0.25">
      <c r="A9540" t="s">
        <v>16727</v>
      </c>
      <c r="B9540" t="s">
        <v>16728</v>
      </c>
      <c r="C9540" s="1" t="str">
        <f>HYPERLINK("http://www.genecards.org/cgi-bin/carddisp.pl?gene=STK11","GeneCards")</f>
        <v>GeneCards</v>
      </c>
      <c r="D9540" s="1" t="str">
        <f>HYPERLINK("http://genome-euro.ucsc.edu/cgi-bin/hgTracks?position=41657_at","UCSC")</f>
        <v>UCSC</v>
      </c>
      <c r="E9540" s="1" t="str">
        <f>HYPERLINK("http://www.ncbi.nlm.nih.gov/gene/?term=STK11","NCBI")</f>
        <v>NCBI</v>
      </c>
      <c r="F9540">
        <v>0.19</v>
      </c>
      <c r="G9540">
        <v>0.34</v>
      </c>
      <c r="H9540" s="1" t="str">
        <f>HYPERLINK("http://www.weizmann.ac.il/complex/compphys/software/geview/data/figures/41657_at.png","Figure")</f>
        <v>Figure</v>
      </c>
      <c r="I9540">
        <v>1.22</v>
      </c>
      <c r="J9540">
        <v>0.17</v>
      </c>
      <c r="K9540">
        <v>1.07</v>
      </c>
      <c r="L9540">
        <v>0.76</v>
      </c>
      <c r="M9540">
        <v>0.873</v>
      </c>
      <c r="N9540">
        <v>0.37</v>
      </c>
    </row>
    <row r="9541" spans="1:14" x14ac:dyDescent="0.25">
      <c r="A9541" t="s">
        <v>16729</v>
      </c>
      <c r="B9541" t="s">
        <v>16730</v>
      </c>
      <c r="C9541" s="1" t="str">
        <f>HYPERLINK("http://www.genecards.org/cgi-bin/carddisp.pl?gene=CC2D1A","GeneCards")</f>
        <v>GeneCards</v>
      </c>
      <c r="D9541" s="1" t="str">
        <f>HYPERLINK("http://genome-euro.ucsc.edu/cgi-bin/hgTracks?position=58994_at","UCSC")</f>
        <v>UCSC</v>
      </c>
      <c r="E9541" s="1" t="str">
        <f>HYPERLINK("http://www.ncbi.nlm.nih.gov/gene/?term=CC2D1A","NCBI")</f>
        <v>NCBI</v>
      </c>
      <c r="F9541">
        <v>0.19</v>
      </c>
      <c r="G9541">
        <v>0.34</v>
      </c>
      <c r="H9541" s="1" t="str">
        <f>HYPERLINK("http://www.weizmann.ac.il/complex/compphys/software/geview/data/figures/58994_at.png","Figure")</f>
        <v>Figure</v>
      </c>
      <c r="I9541">
        <v>0.93400000000000005</v>
      </c>
      <c r="J9541">
        <v>0.64</v>
      </c>
      <c r="K9541">
        <v>1.07</v>
      </c>
      <c r="L9541">
        <v>0.57999999999999996</v>
      </c>
      <c r="M9541">
        <v>1.1399999999999999</v>
      </c>
      <c r="N9541">
        <v>0.17</v>
      </c>
    </row>
    <row r="9542" spans="1:14" x14ac:dyDescent="0.25">
      <c r="A9542" t="s">
        <v>16731</v>
      </c>
      <c r="B9542" t="s">
        <v>11650</v>
      </c>
      <c r="C9542" s="1" t="str">
        <f>HYPERLINK("http://www.genecards.org/cgi-bin/carddisp.pl?gene=HNRNPA3","GeneCards")</f>
        <v>GeneCards</v>
      </c>
      <c r="D9542" s="1" t="str">
        <f>HYPERLINK("http://genome-euro.ucsc.edu/cgi-bin/hgTracks?position=211930_at","UCSC")</f>
        <v>UCSC</v>
      </c>
      <c r="E9542" s="1" t="str">
        <f>HYPERLINK("http://www.ncbi.nlm.nih.gov/gene/?term=HNRNPA3","NCBI")</f>
        <v>NCBI</v>
      </c>
      <c r="F9542">
        <v>0.19</v>
      </c>
      <c r="G9542">
        <v>0.34</v>
      </c>
      <c r="H9542" s="1" t="str">
        <f>HYPERLINK("http://www.weizmann.ac.il/complex/compphys/software/geview/data/figures/211930_at.png","Figure")</f>
        <v>Figure</v>
      </c>
      <c r="I9542">
        <v>1.21</v>
      </c>
      <c r="J9542">
        <v>0.53</v>
      </c>
      <c r="K9542">
        <v>0.88100000000000001</v>
      </c>
      <c r="L9542">
        <v>0.69</v>
      </c>
      <c r="M9542">
        <v>0.72799999999999998</v>
      </c>
      <c r="N9542">
        <v>0.17</v>
      </c>
    </row>
    <row r="9543" spans="1:14" x14ac:dyDescent="0.25">
      <c r="A9543" t="s">
        <v>16732</v>
      </c>
      <c r="B9543" t="s">
        <v>16733</v>
      </c>
      <c r="C9543" s="1" t="str">
        <f>HYPERLINK("http://www.genecards.org/cgi-bin/carddisp.pl?gene=DGCR6L","GeneCards")</f>
        <v>GeneCards</v>
      </c>
      <c r="D9543" s="1" t="str">
        <f>HYPERLINK("http://genome-euro.ucsc.edu/cgi-bin/hgTracks?position=214024_s_at","UCSC")</f>
        <v>UCSC</v>
      </c>
      <c r="E9543" s="1" t="str">
        <f>HYPERLINK("http://www.ncbi.nlm.nih.gov/gene/?term=DGCR6L","NCBI")</f>
        <v>NCBI</v>
      </c>
      <c r="F9543">
        <v>0.19</v>
      </c>
      <c r="G9543">
        <v>0.34</v>
      </c>
      <c r="H9543" s="1" t="str">
        <f>HYPERLINK("http://www.weizmann.ac.il/complex/compphys/software/geview/data/figures/214024_s_at.png","Figure")</f>
        <v>Figure</v>
      </c>
      <c r="I9543">
        <v>1.08</v>
      </c>
      <c r="J9543">
        <v>0.36</v>
      </c>
      <c r="K9543">
        <v>0.98</v>
      </c>
      <c r="L9543">
        <v>0.91</v>
      </c>
      <c r="M9543">
        <v>0.90600000000000003</v>
      </c>
      <c r="N9543">
        <v>0.17</v>
      </c>
    </row>
    <row r="9544" spans="1:14" x14ac:dyDescent="0.25">
      <c r="A9544" t="s">
        <v>16734</v>
      </c>
      <c r="B9544" t="s">
        <v>16735</v>
      </c>
      <c r="C9544" s="1" t="str">
        <f>HYPERLINK("http://www.genecards.org/cgi-bin/carddisp.pl?gene=MAGOHB","GeneCards")</f>
        <v>GeneCards</v>
      </c>
      <c r="D9544" s="1" t="str">
        <f>HYPERLINK("http://genome-euro.ucsc.edu/cgi-bin/hgTracks?position=218894_s_at","UCSC")</f>
        <v>UCSC</v>
      </c>
      <c r="E9544" s="1" t="str">
        <f>HYPERLINK("http://www.ncbi.nlm.nih.gov/gene/?term=MAGOHB","NCBI")</f>
        <v>NCBI</v>
      </c>
      <c r="F9544">
        <v>0.19</v>
      </c>
      <c r="G9544">
        <v>0.34</v>
      </c>
      <c r="H9544" s="1" t="str">
        <f>HYPERLINK("http://www.weizmann.ac.il/complex/compphys/software/geview/data/figures/218894_s_at.png","Figure")</f>
        <v>Figure</v>
      </c>
      <c r="I9544">
        <v>0.93799999999999994</v>
      </c>
      <c r="J9544">
        <v>0.43</v>
      </c>
      <c r="K9544">
        <v>1.03</v>
      </c>
      <c r="L9544">
        <v>0.82</v>
      </c>
      <c r="M9544">
        <v>1.0900000000000001</v>
      </c>
      <c r="N9544">
        <v>0.17</v>
      </c>
    </row>
    <row r="9545" spans="1:14" x14ac:dyDescent="0.25">
      <c r="A9545" t="s">
        <v>16736</v>
      </c>
      <c r="B9545" t="s">
        <v>16737</v>
      </c>
      <c r="C9545" s="1" t="str">
        <f>HYPERLINK("http://www.genecards.org/cgi-bin/carddisp.pl?gene=KIF26B","GeneCards")</f>
        <v>GeneCards</v>
      </c>
      <c r="D9545" s="1" t="str">
        <f>HYPERLINK("http://genome-euro.ucsc.edu/cgi-bin/hgTracks?position=220002_at","UCSC")</f>
        <v>UCSC</v>
      </c>
      <c r="E9545" s="1" t="str">
        <f>HYPERLINK("http://www.ncbi.nlm.nih.gov/gene/?term=KIF26B","NCBI")</f>
        <v>NCBI</v>
      </c>
      <c r="F9545">
        <v>0.19</v>
      </c>
      <c r="G9545">
        <v>0.34</v>
      </c>
      <c r="H9545" s="1" t="str">
        <f>HYPERLINK("http://www.weizmann.ac.il/complex/compphys/software/geview/data/figures/220002_at.png","Figure")</f>
        <v>Figure</v>
      </c>
      <c r="I9545">
        <v>1</v>
      </c>
      <c r="J9545">
        <v>1</v>
      </c>
      <c r="K9545">
        <v>0.90800000000000003</v>
      </c>
      <c r="L9545">
        <v>0.25</v>
      </c>
      <c r="M9545">
        <v>0.90800000000000003</v>
      </c>
      <c r="N9545">
        <v>0.28999999999999998</v>
      </c>
    </row>
    <row r="9546" spans="1:14" x14ac:dyDescent="0.25">
      <c r="A9546" t="s">
        <v>16738</v>
      </c>
      <c r="B9546" t="s">
        <v>16739</v>
      </c>
      <c r="C9546" s="1" t="str">
        <f>HYPERLINK("http://www.genecards.org/cgi-bin/carddisp.pl?gene=CHRDL1","GeneCards")</f>
        <v>GeneCards</v>
      </c>
      <c r="D9546" s="1" t="str">
        <f>HYPERLINK("http://genome-euro.ucsc.edu/cgi-bin/hgTracks?position=209763_at","UCSC")</f>
        <v>UCSC</v>
      </c>
      <c r="E9546" s="1" t="str">
        <f>HYPERLINK("http://www.ncbi.nlm.nih.gov/gene/?term=CHRDL1","NCBI")</f>
        <v>NCBI</v>
      </c>
      <c r="F9546">
        <v>0.19</v>
      </c>
      <c r="G9546">
        <v>0.34</v>
      </c>
      <c r="H9546" s="1" t="str">
        <f>HYPERLINK("http://www.weizmann.ac.il/complex/compphys/software/geview/data/figures/209763_at.png","Figure")</f>
        <v>Figure</v>
      </c>
      <c r="I9546">
        <v>1.1499999999999999</v>
      </c>
      <c r="J9546">
        <v>0.22</v>
      </c>
      <c r="K9546">
        <v>1.1100000000000001</v>
      </c>
      <c r="L9546">
        <v>0.28000000000000003</v>
      </c>
      <c r="M9546">
        <v>0.97199999999999998</v>
      </c>
      <c r="N9546">
        <v>0.92</v>
      </c>
    </row>
    <row r="9547" spans="1:14" x14ac:dyDescent="0.25">
      <c r="A9547" t="s">
        <v>16740</v>
      </c>
      <c r="B9547" t="s">
        <v>16741</v>
      </c>
      <c r="C9547" s="1" t="str">
        <f>HYPERLINK("http://www.genecards.org/cgi-bin/carddisp.pl?gene=TBP","GeneCards")</f>
        <v>GeneCards</v>
      </c>
      <c r="D9547" s="1" t="str">
        <f>HYPERLINK("http://genome-euro.ucsc.edu/cgi-bin/hgTracks?position=203135_at","UCSC")</f>
        <v>UCSC</v>
      </c>
      <c r="E9547" s="1" t="str">
        <f>HYPERLINK("http://www.ncbi.nlm.nih.gov/gene/?term=TBP","NCBI")</f>
        <v>NCBI</v>
      </c>
      <c r="F9547">
        <v>0.19</v>
      </c>
      <c r="G9547">
        <v>0.34</v>
      </c>
      <c r="H9547" s="1" t="str">
        <f>HYPERLINK("http://www.weizmann.ac.il/complex/compphys/software/geview/data/figures/203135_at.png","Figure")</f>
        <v>Figure</v>
      </c>
      <c r="I9547">
        <v>0.73599999999999999</v>
      </c>
      <c r="J9547">
        <v>0.17</v>
      </c>
      <c r="K9547">
        <v>0.86799999999999999</v>
      </c>
      <c r="L9547">
        <v>0.56999999999999995</v>
      </c>
      <c r="M9547">
        <v>1.18</v>
      </c>
      <c r="N9547">
        <v>0.52</v>
      </c>
    </row>
    <row r="9548" spans="1:14" x14ac:dyDescent="0.25">
      <c r="A9548" t="s">
        <v>16742</v>
      </c>
      <c r="B9548" t="s">
        <v>16743</v>
      </c>
      <c r="C9548" s="1" t="str">
        <f>HYPERLINK("http://www.genecards.org/cgi-bin/carddisp.pl?gene=ABCA5","GeneCards")</f>
        <v>GeneCards</v>
      </c>
      <c r="D9548" s="1" t="str">
        <f>HYPERLINK("http://genome-euro.ucsc.edu/cgi-bin/hgTracks?position=213353_at","UCSC")</f>
        <v>UCSC</v>
      </c>
      <c r="E9548" s="1" t="str">
        <f>HYPERLINK("http://www.ncbi.nlm.nih.gov/gene/?term=ABCA5","NCBI")</f>
        <v>NCBI</v>
      </c>
      <c r="F9548">
        <v>0.19</v>
      </c>
      <c r="G9548">
        <v>0.34</v>
      </c>
      <c r="H9548" s="1" t="str">
        <f>HYPERLINK("http://www.weizmann.ac.il/complex/compphys/software/geview/data/figures/213353_at.png","Figure")</f>
        <v>Figure</v>
      </c>
      <c r="I9548">
        <v>1.01</v>
      </c>
      <c r="J9548">
        <v>0.99</v>
      </c>
      <c r="K9548">
        <v>0.92700000000000005</v>
      </c>
      <c r="L9548">
        <v>0.27</v>
      </c>
      <c r="M9548">
        <v>0.92200000000000004</v>
      </c>
      <c r="N9548">
        <v>0.27</v>
      </c>
    </row>
    <row r="9549" spans="1:14" x14ac:dyDescent="0.25">
      <c r="A9549" t="s">
        <v>16744</v>
      </c>
      <c r="B9549" t="s">
        <v>16745</v>
      </c>
      <c r="C9549" s="1" t="str">
        <f>HYPERLINK("http://www.genecards.org/cgi-bin/carddisp.pl?gene=FBXO41","GeneCards")</f>
        <v>GeneCards</v>
      </c>
      <c r="D9549" s="1" t="str">
        <f>HYPERLINK("http://genome-euro.ucsc.edu/cgi-bin/hgTracks?position=44040_at","UCSC")</f>
        <v>UCSC</v>
      </c>
      <c r="E9549" s="1" t="str">
        <f>HYPERLINK("http://www.ncbi.nlm.nih.gov/gene/?term=FBXO41","NCBI")</f>
        <v>NCBI</v>
      </c>
      <c r="F9549">
        <v>0.19</v>
      </c>
      <c r="G9549">
        <v>0.34</v>
      </c>
      <c r="H9549" s="1" t="str">
        <f>HYPERLINK("http://www.weizmann.ac.il/complex/compphys/software/geview/data/figures/44040_at.png","Figure")</f>
        <v>Figure</v>
      </c>
      <c r="I9549">
        <v>0.91700000000000004</v>
      </c>
      <c r="J9549">
        <v>0.86</v>
      </c>
      <c r="K9549">
        <v>0.76700000000000002</v>
      </c>
      <c r="L9549">
        <v>0.18</v>
      </c>
      <c r="M9549">
        <v>0.83699999999999997</v>
      </c>
      <c r="N9549">
        <v>0.48</v>
      </c>
    </row>
    <row r="9550" spans="1:14" x14ac:dyDescent="0.25">
      <c r="A9550" t="s">
        <v>16746</v>
      </c>
      <c r="B9550" t="s">
        <v>5217</v>
      </c>
      <c r="C9550" s="1" t="str">
        <f>HYPERLINK("http://www.genecards.org/cgi-bin/carddisp.pl?gene=HTATIP2","GeneCards")</f>
        <v>GeneCards</v>
      </c>
      <c r="D9550" s="1" t="str">
        <f>HYPERLINK("http://genome-euro.ucsc.edu/cgi-bin/hgTracks?position=210253_at","UCSC")</f>
        <v>UCSC</v>
      </c>
      <c r="E9550" s="1" t="str">
        <f>HYPERLINK("http://www.ncbi.nlm.nih.gov/gene/?term=HTATIP2","NCBI")</f>
        <v>NCBI</v>
      </c>
      <c r="F9550">
        <v>0.19</v>
      </c>
      <c r="G9550">
        <v>0.34</v>
      </c>
      <c r="H9550" s="1" t="str">
        <f>HYPERLINK("http://www.weizmann.ac.il/complex/compphys/software/geview/data/figures/210253_at.png","Figure")</f>
        <v>Figure</v>
      </c>
      <c r="I9550">
        <v>0.93799999999999994</v>
      </c>
      <c r="J9550">
        <v>0.76</v>
      </c>
      <c r="K9550">
        <v>0.86099999999999999</v>
      </c>
      <c r="L9550">
        <v>0.17</v>
      </c>
      <c r="M9550">
        <v>0.91800000000000004</v>
      </c>
      <c r="N9550">
        <v>0.57999999999999996</v>
      </c>
    </row>
    <row r="9551" spans="1:14" x14ac:dyDescent="0.25">
      <c r="A9551" t="s">
        <v>16747</v>
      </c>
      <c r="B9551" t="s">
        <v>16748</v>
      </c>
      <c r="C9551" s="1" t="str">
        <f>HYPERLINK("http://www.genecards.org/cgi-bin/carddisp.pl?gene=CCDC88A","GeneCards")</f>
        <v>GeneCards</v>
      </c>
      <c r="D9551" s="1" t="str">
        <f>HYPERLINK("http://genome-euro.ucsc.edu/cgi-bin/hgTracks?position=219387_at","UCSC")</f>
        <v>UCSC</v>
      </c>
      <c r="E9551" s="1" t="str">
        <f>HYPERLINK("http://www.ncbi.nlm.nih.gov/gene/?term=CCDC88A","NCBI")</f>
        <v>NCBI</v>
      </c>
      <c r="F9551">
        <v>0.19</v>
      </c>
      <c r="G9551">
        <v>0.34</v>
      </c>
      <c r="H9551" s="1" t="str">
        <f>HYPERLINK("http://www.weizmann.ac.il/complex/compphys/software/geview/data/figures/219387_at.png","Figure")</f>
        <v>Figure</v>
      </c>
      <c r="I9551">
        <v>1.52</v>
      </c>
      <c r="J9551">
        <v>0.23</v>
      </c>
      <c r="K9551">
        <v>1.02</v>
      </c>
      <c r="L9551">
        <v>0.99</v>
      </c>
      <c r="M9551">
        <v>0.67200000000000004</v>
      </c>
      <c r="N9551">
        <v>0.22</v>
      </c>
    </row>
    <row r="9552" spans="1:14" x14ac:dyDescent="0.25">
      <c r="A9552" t="s">
        <v>16749</v>
      </c>
      <c r="B9552" t="s">
        <v>3861</v>
      </c>
      <c r="C9552" s="1" t="str">
        <f>HYPERLINK("http://www.genecards.org/cgi-bin/carddisp.pl?gene=PTGDS","GeneCards")</f>
        <v>GeneCards</v>
      </c>
      <c r="D9552" s="1" t="str">
        <f>HYPERLINK("http://genome-euro.ucsc.edu/cgi-bin/hgTracks?position=211663_x_at","UCSC")</f>
        <v>UCSC</v>
      </c>
      <c r="E9552" s="1" t="str">
        <f>HYPERLINK("http://www.ncbi.nlm.nih.gov/gene/?term=PTGDS","NCBI")</f>
        <v>NCBI</v>
      </c>
      <c r="F9552">
        <v>0.19</v>
      </c>
      <c r="G9552">
        <v>0.34</v>
      </c>
      <c r="H9552" s="1" t="str">
        <f>HYPERLINK("http://www.weizmann.ac.il/complex/compphys/software/geview/data/figures/211663_x_at.png","Figure")</f>
        <v>Figure</v>
      </c>
      <c r="I9552">
        <v>1.04</v>
      </c>
      <c r="J9552">
        <v>0.65</v>
      </c>
      <c r="K9552">
        <v>1.07</v>
      </c>
      <c r="L9552">
        <v>0.17</v>
      </c>
      <c r="M9552">
        <v>1.03</v>
      </c>
      <c r="N9552">
        <v>0.68</v>
      </c>
    </row>
    <row r="9553" spans="1:14" x14ac:dyDescent="0.25">
      <c r="A9553" t="s">
        <v>16750</v>
      </c>
      <c r="B9553" t="s">
        <v>15864</v>
      </c>
      <c r="C9553" s="1" t="str">
        <f>HYPERLINK("http://www.genecards.org/cgi-bin/carddisp.pl?gene=LMNA","GeneCards")</f>
        <v>GeneCards</v>
      </c>
      <c r="D9553" s="1" t="str">
        <f>HYPERLINK("http://genome-euro.ucsc.edu/cgi-bin/hgTracks?position=203411_s_at","UCSC")</f>
        <v>UCSC</v>
      </c>
      <c r="E9553" s="1" t="str">
        <f>HYPERLINK("http://www.ncbi.nlm.nih.gov/gene/?term=LMNA","NCBI")</f>
        <v>NCBI</v>
      </c>
      <c r="F9553">
        <v>0.19</v>
      </c>
      <c r="G9553">
        <v>0.34</v>
      </c>
      <c r="H9553" s="1" t="str">
        <f>HYPERLINK("http://www.weizmann.ac.il/complex/compphys/software/geview/data/figures/203411_s_at.png","Figure")</f>
        <v>Figure</v>
      </c>
      <c r="I9553">
        <v>1.22</v>
      </c>
      <c r="J9553">
        <v>0.42</v>
      </c>
      <c r="K9553">
        <v>0.92500000000000004</v>
      </c>
      <c r="L9553">
        <v>0.83</v>
      </c>
      <c r="M9553">
        <v>0.76100000000000001</v>
      </c>
      <c r="N9553">
        <v>0.17</v>
      </c>
    </row>
    <row r="9554" spans="1:14" x14ac:dyDescent="0.25">
      <c r="A9554" t="s">
        <v>16751</v>
      </c>
      <c r="B9554" t="s">
        <v>11312</v>
      </c>
      <c r="C9554" s="1" t="str">
        <f>HYPERLINK("http://www.genecards.org/cgi-bin/carddisp.pl?gene=ADD3","GeneCards")</f>
        <v>GeneCards</v>
      </c>
      <c r="D9554" s="1" t="str">
        <f>HYPERLINK("http://genome-euro.ucsc.edu/cgi-bin/hgTracks?position=201034_at","UCSC")</f>
        <v>UCSC</v>
      </c>
      <c r="E9554" s="1" t="str">
        <f>HYPERLINK("http://www.ncbi.nlm.nih.gov/gene/?term=ADD3","NCBI")</f>
        <v>NCBI</v>
      </c>
      <c r="F9554">
        <v>0.19</v>
      </c>
      <c r="G9554">
        <v>0.34</v>
      </c>
      <c r="H9554" s="1" t="str">
        <f>HYPERLINK("http://www.weizmann.ac.il/complex/compphys/software/geview/data/figures/201034_at.png","Figure")</f>
        <v>Figure</v>
      </c>
      <c r="I9554">
        <v>0.6</v>
      </c>
      <c r="J9554">
        <v>0.28000000000000003</v>
      </c>
      <c r="K9554">
        <v>0.60799999999999998</v>
      </c>
      <c r="L9554">
        <v>0.22</v>
      </c>
      <c r="M9554">
        <v>1.01</v>
      </c>
      <c r="N9554">
        <v>1</v>
      </c>
    </row>
    <row r="9555" spans="1:14" x14ac:dyDescent="0.25">
      <c r="A9555" t="s">
        <v>16752</v>
      </c>
      <c r="B9555" t="s">
        <v>16753</v>
      </c>
      <c r="C9555" s="1" t="str">
        <f>HYPERLINK("http://www.genecards.org/cgi-bin/carddisp.pl?gene=PIGC","GeneCards")</f>
        <v>GeneCards</v>
      </c>
      <c r="D9555" s="1" t="str">
        <f>HYPERLINK("http://genome-euro.ucsc.edu/cgi-bin/hgTracks?position=202846_s_at","UCSC")</f>
        <v>UCSC</v>
      </c>
      <c r="E9555" s="1" t="str">
        <f>HYPERLINK("http://www.ncbi.nlm.nih.gov/gene/?term=PIGC","NCBI")</f>
        <v>NCBI</v>
      </c>
      <c r="F9555">
        <v>0.19</v>
      </c>
      <c r="G9555">
        <v>0.34</v>
      </c>
      <c r="H9555" s="1" t="str">
        <f>HYPERLINK("http://www.weizmann.ac.il/complex/compphys/software/geview/data/figures/202846_s_at.png","Figure")</f>
        <v>Figure</v>
      </c>
      <c r="I9555">
        <v>1.1200000000000001</v>
      </c>
      <c r="J9555">
        <v>0.47</v>
      </c>
      <c r="K9555">
        <v>0.94399999999999995</v>
      </c>
      <c r="L9555">
        <v>0.77</v>
      </c>
      <c r="M9555">
        <v>0.84299999999999997</v>
      </c>
      <c r="N9555">
        <v>0.17</v>
      </c>
    </row>
    <row r="9556" spans="1:14" x14ac:dyDescent="0.25">
      <c r="A9556" t="s">
        <v>16754</v>
      </c>
      <c r="B9556" t="s">
        <v>16755</v>
      </c>
      <c r="C9556" s="1" t="str">
        <f>HYPERLINK("http://www.genecards.org/cgi-bin/carddisp.pl?gene=NAMPT","GeneCards")</f>
        <v>GeneCards</v>
      </c>
      <c r="D9556" s="1" t="str">
        <f>HYPERLINK("http://genome-euro.ucsc.edu/cgi-bin/hgTracks?position=217738_at","UCSC")</f>
        <v>UCSC</v>
      </c>
      <c r="E9556" s="1" t="str">
        <f>HYPERLINK("http://www.ncbi.nlm.nih.gov/gene/?term=NAMPT","NCBI")</f>
        <v>NCBI</v>
      </c>
      <c r="F9556">
        <v>0.19</v>
      </c>
      <c r="G9556">
        <v>0.34</v>
      </c>
      <c r="H9556" s="1" t="str">
        <f>HYPERLINK("http://www.weizmann.ac.il/complex/compphys/software/geview/data/figures/217738_at.png","Figure")</f>
        <v>Figure</v>
      </c>
      <c r="I9556">
        <v>0.74399999999999999</v>
      </c>
      <c r="J9556">
        <v>0.2</v>
      </c>
      <c r="K9556">
        <v>0.94899999999999995</v>
      </c>
      <c r="L9556">
        <v>0.93</v>
      </c>
      <c r="M9556">
        <v>1.28</v>
      </c>
      <c r="N9556">
        <v>0.27</v>
      </c>
    </row>
    <row r="9557" spans="1:14" x14ac:dyDescent="0.25">
      <c r="A9557" t="s">
        <v>16756</v>
      </c>
      <c r="B9557" t="s">
        <v>16757</v>
      </c>
      <c r="C9557" s="1" t="str">
        <f>HYPERLINK("http://www.genecards.org/cgi-bin/carddisp.pl?gene=PRB1","GeneCards")</f>
        <v>GeneCards</v>
      </c>
      <c r="D9557" s="1" t="str">
        <f>HYPERLINK("http://genome-euro.ucsc.edu/cgi-bin/hgTracks?position=210597_x_at","UCSC")</f>
        <v>UCSC</v>
      </c>
      <c r="E9557" s="1" t="str">
        <f>HYPERLINK("http://www.ncbi.nlm.nih.gov/gene/?term=PRB1","NCBI")</f>
        <v>NCBI</v>
      </c>
      <c r="F9557">
        <v>0.19</v>
      </c>
      <c r="G9557">
        <v>0.34</v>
      </c>
      <c r="H9557" s="1" t="str">
        <f>HYPERLINK("http://www.weizmann.ac.il/complex/compphys/software/geview/data/figures/210597_x_at.png","Figure")</f>
        <v>Figure</v>
      </c>
      <c r="I9557">
        <v>1.29</v>
      </c>
      <c r="J9557">
        <v>0.17</v>
      </c>
      <c r="K9557">
        <v>1.1100000000000001</v>
      </c>
      <c r="L9557">
        <v>0.66</v>
      </c>
      <c r="M9557">
        <v>0.85599999999999998</v>
      </c>
      <c r="N9557">
        <v>0.44</v>
      </c>
    </row>
    <row r="9558" spans="1:14" x14ac:dyDescent="0.25">
      <c r="A9558" t="s">
        <v>16758</v>
      </c>
      <c r="B9558" t="s">
        <v>16759</v>
      </c>
      <c r="C9558" s="1" t="str">
        <f>HYPERLINK("http://www.genecards.org/cgi-bin/carddisp.pl?gene=CDRT1","GeneCards")</f>
        <v>GeneCards</v>
      </c>
      <c r="D9558" s="1" t="str">
        <f>HYPERLINK("http://genome-euro.ucsc.edu/cgi-bin/hgTracks?position=215999_at","UCSC")</f>
        <v>UCSC</v>
      </c>
      <c r="E9558" s="1" t="str">
        <f>HYPERLINK("http://www.ncbi.nlm.nih.gov/gene/?term=CDRT1","NCBI")</f>
        <v>NCBI</v>
      </c>
      <c r="F9558">
        <v>0.19</v>
      </c>
      <c r="G9558">
        <v>0.34</v>
      </c>
      <c r="H9558" s="1" t="str">
        <f>HYPERLINK("http://www.weizmann.ac.il/complex/compphys/software/geview/data/figures/215999_at.png","Figure")</f>
        <v>Figure</v>
      </c>
      <c r="I9558">
        <v>1.1399999999999999</v>
      </c>
      <c r="J9558">
        <v>0.17</v>
      </c>
      <c r="K9558">
        <v>1.06</v>
      </c>
      <c r="L9558">
        <v>0.56000000000000005</v>
      </c>
      <c r="M9558">
        <v>0.93300000000000005</v>
      </c>
      <c r="N9558">
        <v>0.53</v>
      </c>
    </row>
    <row r="9559" spans="1:14" x14ac:dyDescent="0.25">
      <c r="A9559" t="s">
        <v>16760</v>
      </c>
      <c r="B9559" t="s">
        <v>16761</v>
      </c>
      <c r="C9559" s="1" t="str">
        <f>HYPERLINK("http://www.genecards.org/cgi-bin/carddisp.pl?gene=TCOF1","GeneCards")</f>
        <v>GeneCards</v>
      </c>
      <c r="D9559" s="1" t="str">
        <f>HYPERLINK("http://genome-euro.ucsc.edu/cgi-bin/hgTracks?position=202385_s_at","UCSC")</f>
        <v>UCSC</v>
      </c>
      <c r="E9559" s="1" t="str">
        <f>HYPERLINK("http://www.ncbi.nlm.nih.gov/gene/?term=TCOF1","NCBI")</f>
        <v>NCBI</v>
      </c>
      <c r="F9559">
        <v>0.19</v>
      </c>
      <c r="G9559">
        <v>0.34</v>
      </c>
      <c r="H9559" s="1" t="str">
        <f>HYPERLINK("http://www.weizmann.ac.il/complex/compphys/software/geview/data/figures/202385_s_at.png","Figure")</f>
        <v>Figure</v>
      </c>
      <c r="I9559">
        <v>1.05</v>
      </c>
      <c r="J9559">
        <v>0.88</v>
      </c>
      <c r="K9559">
        <v>1.17</v>
      </c>
      <c r="L9559">
        <v>0.19</v>
      </c>
      <c r="M9559">
        <v>1.1200000000000001</v>
      </c>
      <c r="N9559">
        <v>0.46</v>
      </c>
    </row>
    <row r="9560" spans="1:14" x14ac:dyDescent="0.25">
      <c r="A9560" t="s">
        <v>16762</v>
      </c>
      <c r="B9560" t="s">
        <v>8464</v>
      </c>
      <c r="C9560" s="1" t="str">
        <f>HYPERLINK("http://www.genecards.org/cgi-bin/carddisp.pl?gene=HIPK2","GeneCards")</f>
        <v>GeneCards</v>
      </c>
      <c r="D9560" s="1" t="str">
        <f>HYPERLINK("http://genome-euro.ucsc.edu/cgi-bin/hgTracks?position=213763_at","UCSC")</f>
        <v>UCSC</v>
      </c>
      <c r="E9560" s="1" t="str">
        <f>HYPERLINK("http://www.ncbi.nlm.nih.gov/gene/?term=HIPK2","NCBI")</f>
        <v>NCBI</v>
      </c>
      <c r="F9560">
        <v>0.19</v>
      </c>
      <c r="G9560">
        <v>0.34</v>
      </c>
      <c r="H9560" s="1" t="str">
        <f>HYPERLINK("http://www.weizmann.ac.il/complex/compphys/software/geview/data/figures/213763_at.png","Figure")</f>
        <v>Figure</v>
      </c>
      <c r="I9560">
        <v>1.19</v>
      </c>
      <c r="J9560">
        <v>0.17</v>
      </c>
      <c r="K9560">
        <v>1.07</v>
      </c>
      <c r="L9560">
        <v>0.66</v>
      </c>
      <c r="M9560">
        <v>0.90200000000000002</v>
      </c>
      <c r="N9560">
        <v>0.45</v>
      </c>
    </row>
    <row r="9561" spans="1:14" x14ac:dyDescent="0.25">
      <c r="A9561" t="s">
        <v>16763</v>
      </c>
      <c r="B9561" t="s">
        <v>762</v>
      </c>
      <c r="C9561" s="1" t="str">
        <f>HYPERLINK("http://www.genecards.org/cgi-bin/carddisp.pl?gene=FAM125B","GeneCards")</f>
        <v>GeneCards</v>
      </c>
      <c r="D9561" s="1" t="str">
        <f>HYPERLINK("http://genome-euro.ucsc.edu/cgi-bin/hgTracks?position=221828_s_at","UCSC")</f>
        <v>UCSC</v>
      </c>
      <c r="E9561" s="1" t="str">
        <f>HYPERLINK("http://www.ncbi.nlm.nih.gov/gene/?term=FAM125B","NCBI")</f>
        <v>NCBI</v>
      </c>
      <c r="F9561">
        <v>0.19</v>
      </c>
      <c r="G9561">
        <v>0.34</v>
      </c>
      <c r="H9561" s="1" t="str">
        <f>HYPERLINK("http://www.weizmann.ac.il/complex/compphys/software/geview/data/figures/221828_s_at.png","Figure")</f>
        <v>Figure</v>
      </c>
      <c r="I9561">
        <v>1.0900000000000001</v>
      </c>
      <c r="J9561">
        <v>0.56999999999999995</v>
      </c>
      <c r="K9561">
        <v>1.1599999999999999</v>
      </c>
      <c r="L9561">
        <v>0.17</v>
      </c>
      <c r="M9561">
        <v>1.06</v>
      </c>
      <c r="N9561">
        <v>0.76</v>
      </c>
    </row>
    <row r="9562" spans="1:14" x14ac:dyDescent="0.25">
      <c r="A9562" t="s">
        <v>16764</v>
      </c>
      <c r="B9562" t="s">
        <v>16765</v>
      </c>
      <c r="C9562" s="1" t="str">
        <f>HYPERLINK("http://www.genecards.org/cgi-bin/carddisp.pl?gene=TNFAIP8","GeneCards")</f>
        <v>GeneCards</v>
      </c>
      <c r="D9562" s="1" t="str">
        <f>HYPERLINK("http://genome-euro.ucsc.edu/cgi-bin/hgTracks?position=210260_s_at","UCSC")</f>
        <v>UCSC</v>
      </c>
      <c r="E9562" s="1" t="str">
        <f>HYPERLINK("http://www.ncbi.nlm.nih.gov/gene/?term=TNFAIP8","NCBI")</f>
        <v>NCBI</v>
      </c>
      <c r="F9562">
        <v>0.19</v>
      </c>
      <c r="G9562">
        <v>0.34</v>
      </c>
      <c r="H9562" s="1" t="str">
        <f>HYPERLINK("http://www.weizmann.ac.il/complex/compphys/software/geview/data/figures/210260_s_at.png","Figure")</f>
        <v>Figure</v>
      </c>
      <c r="I9562">
        <v>1.08</v>
      </c>
      <c r="J9562">
        <v>0.96</v>
      </c>
      <c r="K9562">
        <v>1.55</v>
      </c>
      <c r="L9562">
        <v>0.21</v>
      </c>
      <c r="M9562">
        <v>1.43</v>
      </c>
      <c r="N9562">
        <v>0.38</v>
      </c>
    </row>
    <row r="9563" spans="1:14" x14ac:dyDescent="0.25">
      <c r="A9563" t="s">
        <v>16766</v>
      </c>
      <c r="B9563" t="s">
        <v>16767</v>
      </c>
      <c r="C9563" s="1" t="str">
        <f>HYPERLINK("http://www.genecards.org/cgi-bin/carddisp.pl?gene=CD40LG","GeneCards")</f>
        <v>GeneCards</v>
      </c>
      <c r="D9563" s="1" t="str">
        <f>HYPERLINK("http://genome-euro.ucsc.edu/cgi-bin/hgTracks?position=207892_at","UCSC")</f>
        <v>UCSC</v>
      </c>
      <c r="E9563" s="1" t="str">
        <f>HYPERLINK("http://www.ncbi.nlm.nih.gov/gene/?term=CD40LG","NCBI")</f>
        <v>NCBI</v>
      </c>
      <c r="F9563">
        <v>0.19</v>
      </c>
      <c r="G9563">
        <v>0.34</v>
      </c>
      <c r="H9563" s="1" t="str">
        <f>HYPERLINK("http://www.weizmann.ac.il/complex/compphys/software/geview/data/figures/207892_at.png","Figure")</f>
        <v>Figure</v>
      </c>
      <c r="I9563">
        <v>1.1399999999999999</v>
      </c>
      <c r="J9563">
        <v>0.34</v>
      </c>
      <c r="K9563">
        <v>0.97299999999999998</v>
      </c>
      <c r="L9563">
        <v>0.94</v>
      </c>
      <c r="M9563">
        <v>0.85199999999999998</v>
      </c>
      <c r="N9563">
        <v>0.18</v>
      </c>
    </row>
    <row r="9564" spans="1:14" x14ac:dyDescent="0.25">
      <c r="A9564" t="s">
        <v>16768</v>
      </c>
      <c r="B9564" t="s">
        <v>16769</v>
      </c>
      <c r="C9564" s="1" t="str">
        <f>HYPERLINK("http://www.genecards.org/cgi-bin/carddisp.pl?gene=ING3","GeneCards")</f>
        <v>GeneCards</v>
      </c>
      <c r="D9564" s="1" t="str">
        <f>HYPERLINK("http://genome-euro.ucsc.edu/cgi-bin/hgTracks?position=205070_at","UCSC")</f>
        <v>UCSC</v>
      </c>
      <c r="E9564" s="1" t="str">
        <f>HYPERLINK("http://www.ncbi.nlm.nih.gov/gene/?term=ING3","NCBI")</f>
        <v>NCBI</v>
      </c>
      <c r="F9564">
        <v>0.19</v>
      </c>
      <c r="G9564">
        <v>0.34</v>
      </c>
      <c r="H9564" s="1" t="str">
        <f>HYPERLINK("http://www.weizmann.ac.il/complex/compphys/software/geview/data/figures/205070_at.png","Figure")</f>
        <v>Figure</v>
      </c>
      <c r="I9564">
        <v>0.92900000000000005</v>
      </c>
      <c r="J9564">
        <v>0.94</v>
      </c>
      <c r="K9564">
        <v>0.71399999999999997</v>
      </c>
      <c r="L9564">
        <v>0.2</v>
      </c>
      <c r="M9564">
        <v>0.76800000000000002</v>
      </c>
      <c r="N9564">
        <v>0.4</v>
      </c>
    </row>
    <row r="9565" spans="1:14" x14ac:dyDescent="0.25">
      <c r="A9565" t="s">
        <v>16770</v>
      </c>
      <c r="B9565" t="s">
        <v>8116</v>
      </c>
      <c r="C9565" s="1" t="str">
        <f>HYPERLINK("http://www.genecards.org/cgi-bin/carddisp.pl?gene=PATZ1","GeneCards")</f>
        <v>GeneCards</v>
      </c>
      <c r="D9565" s="1" t="str">
        <f>HYPERLINK("http://genome-euro.ucsc.edu/cgi-bin/hgTracks?position=209494_s_at","UCSC")</f>
        <v>UCSC</v>
      </c>
      <c r="E9565" s="1" t="str">
        <f>HYPERLINK("http://www.ncbi.nlm.nih.gov/gene/?term=PATZ1","NCBI")</f>
        <v>NCBI</v>
      </c>
      <c r="F9565">
        <v>0.19</v>
      </c>
      <c r="G9565">
        <v>0.34</v>
      </c>
      <c r="H9565" s="1" t="str">
        <f>HYPERLINK("http://www.weizmann.ac.il/complex/compphys/software/geview/data/figures/209494_s_at.png","Figure")</f>
        <v>Figure</v>
      </c>
      <c r="I9565">
        <v>1.19</v>
      </c>
      <c r="J9565">
        <v>0.18</v>
      </c>
      <c r="K9565">
        <v>1.1000000000000001</v>
      </c>
      <c r="L9565">
        <v>0.44</v>
      </c>
      <c r="M9565">
        <v>0.93</v>
      </c>
      <c r="N9565">
        <v>0.67</v>
      </c>
    </row>
    <row r="9566" spans="1:14" x14ac:dyDescent="0.25">
      <c r="A9566" t="s">
        <v>16771</v>
      </c>
      <c r="B9566" t="s">
        <v>16772</v>
      </c>
      <c r="C9566" s="1" t="str">
        <f>HYPERLINK("http://www.genecards.org/cgi-bin/carddisp.pl?gene=RPS17P5","GeneCards")</f>
        <v>GeneCards</v>
      </c>
      <c r="D9566" s="1" t="str">
        <f>HYPERLINK("http://genome-euro.ucsc.edu/cgi-bin/hgTracks?position=216348_at","UCSC")</f>
        <v>UCSC</v>
      </c>
      <c r="E9566" s="1" t="str">
        <f>HYPERLINK("http://www.ncbi.nlm.nih.gov/gene/?term=RPS17P5","NCBI")</f>
        <v>NCBI</v>
      </c>
      <c r="F9566">
        <v>0.19</v>
      </c>
      <c r="G9566">
        <v>0.34</v>
      </c>
      <c r="H9566" s="1" t="str">
        <f>HYPERLINK("http://www.weizmann.ac.il/complex/compphys/software/geview/data/figures/216348_at.png","Figure")</f>
        <v>Figure</v>
      </c>
      <c r="I9566">
        <v>1.17</v>
      </c>
      <c r="J9566">
        <v>0.57999999999999996</v>
      </c>
      <c r="K9566">
        <v>0.88300000000000001</v>
      </c>
      <c r="L9566">
        <v>0.64</v>
      </c>
      <c r="M9566">
        <v>0.754</v>
      </c>
      <c r="N9566">
        <v>0.17</v>
      </c>
    </row>
    <row r="9567" spans="1:14" x14ac:dyDescent="0.25">
      <c r="A9567" t="s">
        <v>16773</v>
      </c>
      <c r="B9567" t="s">
        <v>16774</v>
      </c>
      <c r="C9567" s="1" t="str">
        <f>HYPERLINK("http://www.genecards.org/cgi-bin/carddisp.pl?gene=BUD31","GeneCards")</f>
        <v>GeneCards</v>
      </c>
      <c r="D9567" s="1" t="str">
        <f>HYPERLINK("http://genome-euro.ucsc.edu/cgi-bin/hgTracks?position=215815_at","UCSC")</f>
        <v>UCSC</v>
      </c>
      <c r="E9567" s="1" t="str">
        <f>HYPERLINK("http://www.ncbi.nlm.nih.gov/gene/?term=BUD31","NCBI")</f>
        <v>NCBI</v>
      </c>
      <c r="F9567">
        <v>0.19</v>
      </c>
      <c r="G9567">
        <v>0.34</v>
      </c>
      <c r="H9567" s="1" t="str">
        <f>HYPERLINK("http://www.weizmann.ac.il/complex/compphys/software/geview/data/figures/215815_at.png","Figure")</f>
        <v>Figure</v>
      </c>
      <c r="I9567">
        <v>1.1499999999999999</v>
      </c>
      <c r="J9567">
        <v>0.2</v>
      </c>
      <c r="K9567">
        <v>1.1100000000000001</v>
      </c>
      <c r="L9567">
        <v>0.32</v>
      </c>
      <c r="M9567">
        <v>0.96199999999999997</v>
      </c>
      <c r="N9567">
        <v>0.85</v>
      </c>
    </row>
    <row r="9568" spans="1:14" x14ac:dyDescent="0.25">
      <c r="A9568" t="s">
        <v>16775</v>
      </c>
      <c r="B9568" t="s">
        <v>10864</v>
      </c>
      <c r="C9568" s="1" t="str">
        <f>HYPERLINK("http://www.genecards.org/cgi-bin/carddisp.pl?gene=UBE2D3","GeneCards")</f>
        <v>GeneCards</v>
      </c>
      <c r="D9568" s="1" t="str">
        <f>HYPERLINK("http://genome-euro.ucsc.edu/cgi-bin/hgTracks?position=200667_at","UCSC")</f>
        <v>UCSC</v>
      </c>
      <c r="E9568" s="1" t="str">
        <f>HYPERLINK("http://www.ncbi.nlm.nih.gov/gene/?term=UBE2D3","NCBI")</f>
        <v>NCBI</v>
      </c>
      <c r="F9568">
        <v>0.19</v>
      </c>
      <c r="G9568">
        <v>0.34</v>
      </c>
      <c r="H9568" s="1" t="str">
        <f>HYPERLINK("http://www.weizmann.ac.il/complex/compphys/software/geview/data/figures/200667_at.png","Figure")</f>
        <v>Figure</v>
      </c>
      <c r="I9568">
        <v>0.65600000000000003</v>
      </c>
      <c r="J9568">
        <v>0.24</v>
      </c>
      <c r="K9568">
        <v>0.7</v>
      </c>
      <c r="L9568">
        <v>0.26</v>
      </c>
      <c r="M9568">
        <v>1.07</v>
      </c>
      <c r="N9568">
        <v>0.96</v>
      </c>
    </row>
    <row r="9569" spans="1:14" x14ac:dyDescent="0.25">
      <c r="A9569" t="s">
        <v>16776</v>
      </c>
      <c r="B9569" t="s">
        <v>16777</v>
      </c>
      <c r="C9569" s="1" t="str">
        <f>HYPERLINK("http://www.genecards.org/cgi-bin/carddisp.pl?gene=TBC1D8","GeneCards")</f>
        <v>GeneCards</v>
      </c>
      <c r="D9569" s="1" t="str">
        <f>HYPERLINK("http://genome-euro.ucsc.edu/cgi-bin/hgTracks?position=204526_s_at","UCSC")</f>
        <v>UCSC</v>
      </c>
      <c r="E9569" s="1" t="str">
        <f>HYPERLINK("http://www.ncbi.nlm.nih.gov/gene/?term=TBC1D8","NCBI")</f>
        <v>NCBI</v>
      </c>
      <c r="F9569">
        <v>0.19</v>
      </c>
      <c r="G9569">
        <v>0.34</v>
      </c>
      <c r="H9569" s="1" t="str">
        <f>HYPERLINK("http://www.weizmann.ac.il/complex/compphys/software/geview/data/figures/204526_s_at.png","Figure")</f>
        <v>Figure</v>
      </c>
      <c r="I9569">
        <v>1.04</v>
      </c>
      <c r="J9569">
        <v>0.95</v>
      </c>
      <c r="K9569">
        <v>1.22</v>
      </c>
      <c r="L9569">
        <v>0.21</v>
      </c>
      <c r="M9569">
        <v>1.17</v>
      </c>
      <c r="N9569">
        <v>0.39</v>
      </c>
    </row>
    <row r="9570" spans="1:14" x14ac:dyDescent="0.25">
      <c r="A9570" t="s">
        <v>16778</v>
      </c>
      <c r="B9570" t="s">
        <v>16779</v>
      </c>
      <c r="C9570" s="1" t="str">
        <f>HYPERLINK("http://www.genecards.org/cgi-bin/carddisp.pl?gene=FAM96B","GeneCards")</f>
        <v>GeneCards</v>
      </c>
      <c r="D9570" s="1" t="str">
        <f>HYPERLINK("http://genome-euro.ucsc.edu/cgi-bin/hgTracks?position=218074_at","UCSC")</f>
        <v>UCSC</v>
      </c>
      <c r="E9570" s="1" t="str">
        <f>HYPERLINK("http://www.ncbi.nlm.nih.gov/gene/?term=FAM96B","NCBI")</f>
        <v>NCBI</v>
      </c>
      <c r="F9570">
        <v>0.19</v>
      </c>
      <c r="G9570">
        <v>0.34</v>
      </c>
      <c r="H9570" s="1" t="str">
        <f>HYPERLINK("http://www.weizmann.ac.il/complex/compphys/software/geview/data/figures/218074_at.png","Figure")</f>
        <v>Figure</v>
      </c>
      <c r="I9570">
        <v>0.86</v>
      </c>
      <c r="J9570">
        <v>0.69</v>
      </c>
      <c r="K9570">
        <v>1.19</v>
      </c>
      <c r="L9570">
        <v>0.54</v>
      </c>
      <c r="M9570">
        <v>1.38</v>
      </c>
      <c r="N9570">
        <v>0.18</v>
      </c>
    </row>
    <row r="9571" spans="1:14" x14ac:dyDescent="0.25">
      <c r="A9571" t="s">
        <v>16780</v>
      </c>
      <c r="B9571" t="s">
        <v>16781</v>
      </c>
      <c r="C9571" s="1" t="str">
        <f>HYPERLINK("http://www.genecards.org/cgi-bin/carddisp.pl?gene=CISH","GeneCards")</f>
        <v>GeneCards</v>
      </c>
      <c r="D9571" s="1" t="str">
        <f>HYPERLINK("http://genome-euro.ucsc.edu/cgi-bin/hgTracks?position=221223_x_at","UCSC")</f>
        <v>UCSC</v>
      </c>
      <c r="E9571" s="1" t="str">
        <f>HYPERLINK("http://www.ncbi.nlm.nih.gov/gene/?term=CISH","NCBI")</f>
        <v>NCBI</v>
      </c>
      <c r="F9571">
        <v>0.19</v>
      </c>
      <c r="G9571">
        <v>0.34</v>
      </c>
      <c r="H9571" s="1" t="str">
        <f>HYPERLINK("http://www.weizmann.ac.il/complex/compphys/software/geview/data/figures/221223_x_at.png","Figure")</f>
        <v>Figure</v>
      </c>
      <c r="I9571">
        <v>1.19</v>
      </c>
      <c r="J9571">
        <v>0.18</v>
      </c>
      <c r="K9571">
        <v>1.05</v>
      </c>
      <c r="L9571">
        <v>0.85</v>
      </c>
      <c r="M9571">
        <v>0.877</v>
      </c>
      <c r="N9571">
        <v>0.32</v>
      </c>
    </row>
    <row r="9572" spans="1:14" x14ac:dyDescent="0.25">
      <c r="A9572" t="s">
        <v>16782</v>
      </c>
      <c r="B9572" t="s">
        <v>16783</v>
      </c>
      <c r="C9572" s="1" t="str">
        <f>HYPERLINK("http://www.genecards.org/cgi-bin/carddisp.pl?gene=APPL2","GeneCards")</f>
        <v>GeneCards</v>
      </c>
      <c r="D9572" s="1" t="str">
        <f>HYPERLINK("http://genome-euro.ucsc.edu/cgi-bin/hgTracks?position=218218_at","UCSC")</f>
        <v>UCSC</v>
      </c>
      <c r="E9572" s="1" t="str">
        <f>HYPERLINK("http://www.ncbi.nlm.nih.gov/gene/?term=APPL2","NCBI")</f>
        <v>NCBI</v>
      </c>
      <c r="F9572">
        <v>0.19</v>
      </c>
      <c r="G9572">
        <v>0.34</v>
      </c>
      <c r="H9572" s="1" t="str">
        <f>HYPERLINK("http://www.weizmann.ac.il/complex/compphys/software/geview/data/figures/218218_at.png","Figure")</f>
        <v>Figure</v>
      </c>
      <c r="I9572">
        <v>0.85899999999999999</v>
      </c>
      <c r="J9572">
        <v>0.77</v>
      </c>
      <c r="K9572">
        <v>0.69399999999999995</v>
      </c>
      <c r="L9572">
        <v>0.17</v>
      </c>
      <c r="M9572">
        <v>0.80800000000000005</v>
      </c>
      <c r="N9572">
        <v>0.56999999999999995</v>
      </c>
    </row>
    <row r="9573" spans="1:14" x14ac:dyDescent="0.25">
      <c r="A9573" t="s">
        <v>16784</v>
      </c>
      <c r="B9573" t="s">
        <v>16785</v>
      </c>
      <c r="C9573" s="1" t="str">
        <f>HYPERLINK("http://www.genecards.org/cgi-bin/carddisp.pl?gene=SP140","GeneCards")</f>
        <v>GeneCards</v>
      </c>
      <c r="D9573" s="1" t="str">
        <f>HYPERLINK("http://genome-euro.ucsc.edu/cgi-bin/hgTracks?position=207777_s_at","UCSC")</f>
        <v>UCSC</v>
      </c>
      <c r="E9573" s="1" t="str">
        <f>HYPERLINK("http://www.ncbi.nlm.nih.gov/gene/?term=SP140","NCBI")</f>
        <v>NCBI</v>
      </c>
      <c r="F9573">
        <v>0.19</v>
      </c>
      <c r="G9573">
        <v>0.34</v>
      </c>
      <c r="H9573" s="1" t="str">
        <f>HYPERLINK("http://www.weizmann.ac.il/complex/compphys/software/geview/data/figures/207777_s_at.png","Figure")</f>
        <v>Figure</v>
      </c>
      <c r="I9573">
        <v>0.745</v>
      </c>
      <c r="J9573">
        <v>0.19</v>
      </c>
      <c r="K9573">
        <v>0.93300000000000005</v>
      </c>
      <c r="L9573">
        <v>0.87</v>
      </c>
      <c r="M9573">
        <v>1.25</v>
      </c>
      <c r="N9573">
        <v>0.31</v>
      </c>
    </row>
    <row r="9574" spans="1:14" x14ac:dyDescent="0.25">
      <c r="A9574" t="s">
        <v>16786</v>
      </c>
      <c r="B9574" t="s">
        <v>15864</v>
      </c>
      <c r="C9574" s="1" t="str">
        <f>HYPERLINK("http://www.genecards.org/cgi-bin/carddisp.pl?gene=LMNA","GeneCards")</f>
        <v>GeneCards</v>
      </c>
      <c r="D9574" s="1" t="str">
        <f>HYPERLINK("http://genome-euro.ucsc.edu/cgi-bin/hgTracks?position=212086_x_at","UCSC")</f>
        <v>UCSC</v>
      </c>
      <c r="E9574" s="1" t="str">
        <f>HYPERLINK("http://www.ncbi.nlm.nih.gov/gene/?term=LMNA","NCBI")</f>
        <v>NCBI</v>
      </c>
      <c r="F9574">
        <v>0.19</v>
      </c>
      <c r="G9574">
        <v>0.34</v>
      </c>
      <c r="H9574" s="1" t="str">
        <f>HYPERLINK("http://www.weizmann.ac.il/complex/compphys/software/geview/data/figures/212086_x_at.png","Figure")</f>
        <v>Figure</v>
      </c>
      <c r="I9574">
        <v>1.29</v>
      </c>
      <c r="J9574">
        <v>0.41</v>
      </c>
      <c r="K9574">
        <v>0.90900000000000003</v>
      </c>
      <c r="L9574">
        <v>0.84</v>
      </c>
      <c r="M9574">
        <v>0.70599999999999996</v>
      </c>
      <c r="N9574">
        <v>0.17</v>
      </c>
    </row>
    <row r="9575" spans="1:14" x14ac:dyDescent="0.25">
      <c r="A9575" t="s">
        <v>16787</v>
      </c>
      <c r="B9575" t="s">
        <v>14001</v>
      </c>
      <c r="C9575" s="1" t="str">
        <f>HYPERLINK("http://www.genecards.org/cgi-bin/carddisp.pl?gene=SSX2","GeneCards")</f>
        <v>GeneCards</v>
      </c>
      <c r="D9575" s="1" t="str">
        <f>HYPERLINK("http://genome-euro.ucsc.edu/cgi-bin/hgTracks?position=216471_x_at","UCSC")</f>
        <v>UCSC</v>
      </c>
      <c r="E9575" s="1" t="str">
        <f>HYPERLINK("http://www.ncbi.nlm.nih.gov/gene/?term=SSX2","NCBI")</f>
        <v>NCBI</v>
      </c>
      <c r="F9575">
        <v>0.19</v>
      </c>
      <c r="G9575">
        <v>0.34</v>
      </c>
      <c r="H9575" s="1" t="str">
        <f>HYPERLINK("http://www.weizmann.ac.il/complex/compphys/software/geview/data/figures/216471_x_at.png","Figure")</f>
        <v>Figure</v>
      </c>
      <c r="I9575">
        <v>1.0900000000000001</v>
      </c>
      <c r="J9575">
        <v>0.54</v>
      </c>
      <c r="K9575">
        <v>0.94199999999999995</v>
      </c>
      <c r="L9575">
        <v>0.69</v>
      </c>
      <c r="M9575">
        <v>0.86199999999999999</v>
      </c>
      <c r="N9575">
        <v>0.17</v>
      </c>
    </row>
    <row r="9576" spans="1:14" x14ac:dyDescent="0.25">
      <c r="A9576" t="s">
        <v>16788</v>
      </c>
      <c r="B9576" t="s">
        <v>16789</v>
      </c>
      <c r="C9576" s="1" t="str">
        <f>HYPERLINK("http://www.genecards.org/cgi-bin/carddisp.pl?gene=WBSCR23","GeneCards")</f>
        <v>GeneCards</v>
      </c>
      <c r="D9576" s="1" t="str">
        <f>HYPERLINK("http://genome-euro.ucsc.edu/cgi-bin/hgTracks?position=221176_x_at","UCSC")</f>
        <v>UCSC</v>
      </c>
      <c r="E9576" s="1" t="str">
        <f>HYPERLINK("http://www.ncbi.nlm.nih.gov/gene/?term=WBSCR23","NCBI")</f>
        <v>NCBI</v>
      </c>
      <c r="F9576">
        <v>0.19</v>
      </c>
      <c r="G9576">
        <v>0.34</v>
      </c>
      <c r="H9576" s="1" t="str">
        <f>HYPERLINK("http://www.weizmann.ac.il/complex/compphys/software/geview/data/figures/221176_x_at.png","Figure")</f>
        <v>Figure</v>
      </c>
      <c r="I9576">
        <v>1.28</v>
      </c>
      <c r="J9576">
        <v>0.2</v>
      </c>
      <c r="K9576">
        <v>1.05</v>
      </c>
      <c r="L9576">
        <v>0.91</v>
      </c>
      <c r="M9576">
        <v>0.81799999999999995</v>
      </c>
      <c r="N9576">
        <v>0.28999999999999998</v>
      </c>
    </row>
    <row r="9577" spans="1:14" x14ac:dyDescent="0.25">
      <c r="A9577" t="s">
        <v>16790</v>
      </c>
      <c r="B9577" t="s">
        <v>16791</v>
      </c>
      <c r="C9577" s="1" t="str">
        <f>HYPERLINK("http://www.genecards.org/cgi-bin/carddisp.pl?gene=SLC33A1","GeneCards")</f>
        <v>GeneCards</v>
      </c>
      <c r="D9577" s="1" t="str">
        <f>HYPERLINK("http://genome-euro.ucsc.edu/cgi-bin/hgTracks?position=203164_at","UCSC")</f>
        <v>UCSC</v>
      </c>
      <c r="E9577" s="1" t="str">
        <f>HYPERLINK("http://www.ncbi.nlm.nih.gov/gene/?term=SLC33A1","NCBI")</f>
        <v>NCBI</v>
      </c>
      <c r="F9577">
        <v>0.19</v>
      </c>
      <c r="G9577">
        <v>0.34</v>
      </c>
      <c r="H9577" s="1" t="str">
        <f>HYPERLINK("http://www.weizmann.ac.il/complex/compphys/software/geview/data/figures/203164_at.png","Figure")</f>
        <v>Figure</v>
      </c>
      <c r="I9577">
        <v>0.622</v>
      </c>
      <c r="J9577">
        <v>0.33</v>
      </c>
      <c r="K9577">
        <v>0.60199999999999998</v>
      </c>
      <c r="L9577">
        <v>0.2</v>
      </c>
      <c r="M9577">
        <v>0.96799999999999997</v>
      </c>
      <c r="N9577">
        <v>0.99</v>
      </c>
    </row>
    <row r="9578" spans="1:14" x14ac:dyDescent="0.25">
      <c r="A9578" t="s">
        <v>16792</v>
      </c>
      <c r="B9578" t="s">
        <v>16793</v>
      </c>
      <c r="C9578" s="1" t="str">
        <f>HYPERLINK("http://www.genecards.org/cgi-bin/carddisp.pl?gene=FKBP5","GeneCards")</f>
        <v>GeneCards</v>
      </c>
      <c r="D9578" s="1" t="str">
        <f>HYPERLINK("http://genome-euro.ucsc.edu/cgi-bin/hgTracks?position=204560_at","UCSC")</f>
        <v>UCSC</v>
      </c>
      <c r="E9578" s="1" t="str">
        <f>HYPERLINK("http://www.ncbi.nlm.nih.gov/gene/?term=FKBP5","NCBI")</f>
        <v>NCBI</v>
      </c>
      <c r="F9578">
        <v>0.19</v>
      </c>
      <c r="G9578">
        <v>0.34</v>
      </c>
      <c r="H9578" s="1" t="str">
        <f>HYPERLINK("http://www.weizmann.ac.il/complex/compphys/software/geview/data/figures/204560_at.png","Figure")</f>
        <v>Figure</v>
      </c>
      <c r="I9578">
        <v>0.84699999999999998</v>
      </c>
      <c r="J9578">
        <v>0.2</v>
      </c>
      <c r="K9578">
        <v>0.97</v>
      </c>
      <c r="L9578">
        <v>0.92</v>
      </c>
      <c r="M9578">
        <v>1.1499999999999999</v>
      </c>
      <c r="N9578">
        <v>0.28000000000000003</v>
      </c>
    </row>
    <row r="9579" spans="1:14" x14ac:dyDescent="0.25">
      <c r="A9579" t="s">
        <v>16794</v>
      </c>
      <c r="B9579" t="s">
        <v>14290</v>
      </c>
      <c r="C9579" s="1" t="str">
        <f>HYPERLINK("http://www.genecards.org/cgi-bin/carddisp.pl?gene=MSH3","GeneCards")</f>
        <v>GeneCards</v>
      </c>
      <c r="D9579" s="1" t="str">
        <f>HYPERLINK("http://genome-euro.ucsc.edu/cgi-bin/hgTracks?position=210947_s_at","UCSC")</f>
        <v>UCSC</v>
      </c>
      <c r="E9579" s="1" t="str">
        <f>HYPERLINK("http://www.ncbi.nlm.nih.gov/gene/?term=MSH3","NCBI")</f>
        <v>NCBI</v>
      </c>
      <c r="F9579">
        <v>0.19</v>
      </c>
      <c r="G9579">
        <v>0.34</v>
      </c>
      <c r="H9579" s="1" t="str">
        <f>HYPERLINK("http://www.weizmann.ac.il/complex/compphys/software/geview/data/figures/210947_s_at.png","Figure")</f>
        <v>Figure</v>
      </c>
      <c r="I9579">
        <v>0.92900000000000005</v>
      </c>
      <c r="J9579">
        <v>0.61</v>
      </c>
      <c r="K9579">
        <v>1.07</v>
      </c>
      <c r="L9579">
        <v>0.62</v>
      </c>
      <c r="M9579">
        <v>1.1499999999999999</v>
      </c>
      <c r="N9579">
        <v>0.17</v>
      </c>
    </row>
    <row r="9580" spans="1:14" x14ac:dyDescent="0.25">
      <c r="A9580" t="s">
        <v>16795</v>
      </c>
      <c r="B9580" t="s">
        <v>16796</v>
      </c>
      <c r="C9580" s="1" t="str">
        <f>HYPERLINK("http://www.genecards.org/cgi-bin/carddisp.pl?gene=BTF3","GeneCards")</f>
        <v>GeneCards</v>
      </c>
      <c r="D9580" s="1" t="str">
        <f>HYPERLINK("http://genome-euro.ucsc.edu/cgi-bin/hgTracks?position=208517_x_at","UCSC")</f>
        <v>UCSC</v>
      </c>
      <c r="E9580" s="1" t="str">
        <f>HYPERLINK("http://www.ncbi.nlm.nih.gov/gene/?term=BTF3","NCBI")</f>
        <v>NCBI</v>
      </c>
      <c r="F9580">
        <v>0.19</v>
      </c>
      <c r="G9580">
        <v>0.34</v>
      </c>
      <c r="H9580" s="1" t="str">
        <f>HYPERLINK("http://www.weizmann.ac.il/complex/compphys/software/geview/data/figures/208517_x_at.png","Figure")</f>
        <v>Figure</v>
      </c>
      <c r="I9580">
        <v>1.0900000000000001</v>
      </c>
      <c r="J9580">
        <v>0.94</v>
      </c>
      <c r="K9580">
        <v>1.5</v>
      </c>
      <c r="L9580">
        <v>0.2</v>
      </c>
      <c r="M9580">
        <v>1.38</v>
      </c>
      <c r="N9580">
        <v>0.4</v>
      </c>
    </row>
    <row r="9581" spans="1:14" x14ac:dyDescent="0.25">
      <c r="A9581" t="s">
        <v>16797</v>
      </c>
      <c r="B9581" t="s">
        <v>16798</v>
      </c>
      <c r="C9581" s="1" t="str">
        <f>HYPERLINK("http://www.genecards.org/cgi-bin/carddisp.pl?gene=EBNA1BP2","GeneCards")</f>
        <v>GeneCards</v>
      </c>
      <c r="D9581" s="1" t="str">
        <f>HYPERLINK("http://genome-euro.ucsc.edu/cgi-bin/hgTracks?position=201323_at","UCSC")</f>
        <v>UCSC</v>
      </c>
      <c r="E9581" s="1" t="str">
        <f>HYPERLINK("http://www.ncbi.nlm.nih.gov/gene/?term=EBNA1BP2","NCBI")</f>
        <v>NCBI</v>
      </c>
      <c r="F9581">
        <v>0.19</v>
      </c>
      <c r="G9581">
        <v>0.34</v>
      </c>
      <c r="H9581" s="1" t="str">
        <f>HYPERLINK("http://www.weizmann.ac.il/complex/compphys/software/geview/data/figures/201323_at.png","Figure")</f>
        <v>Figure</v>
      </c>
      <c r="I9581">
        <v>0.81899999999999995</v>
      </c>
      <c r="J9581">
        <v>0.66</v>
      </c>
      <c r="K9581">
        <v>1.23</v>
      </c>
      <c r="L9581">
        <v>0.56999999999999995</v>
      </c>
      <c r="M9581">
        <v>1.5</v>
      </c>
      <c r="N9581">
        <v>0.17</v>
      </c>
    </row>
    <row r="9582" spans="1:14" x14ac:dyDescent="0.25">
      <c r="A9582" t="s">
        <v>16799</v>
      </c>
      <c r="B9582" t="s">
        <v>16800</v>
      </c>
      <c r="C9582" s="1" t="str">
        <f>HYPERLINK("http://www.genecards.org/cgi-bin/carddisp.pl?gene=LEPR","GeneCards")</f>
        <v>GeneCards</v>
      </c>
      <c r="D9582" s="1" t="str">
        <f>HYPERLINK("http://genome-euro.ucsc.edu/cgi-bin/hgTracks?position=211356_x_at","UCSC")</f>
        <v>UCSC</v>
      </c>
      <c r="E9582" s="1" t="str">
        <f>HYPERLINK("http://www.ncbi.nlm.nih.gov/gene/?term=LEPR","NCBI")</f>
        <v>NCBI</v>
      </c>
      <c r="F9582">
        <v>0.19</v>
      </c>
      <c r="G9582">
        <v>0.34</v>
      </c>
      <c r="H9582" s="1" t="str">
        <f>HYPERLINK("http://www.weizmann.ac.il/complex/compphys/software/geview/data/figures/211356_x_at.png","Figure")</f>
        <v>Figure</v>
      </c>
      <c r="I9582">
        <v>0.95399999999999996</v>
      </c>
      <c r="J9582">
        <v>0.28999999999999998</v>
      </c>
      <c r="K9582">
        <v>0.95499999999999996</v>
      </c>
      <c r="L9582">
        <v>0.22</v>
      </c>
      <c r="M9582">
        <v>1</v>
      </c>
      <c r="N9582">
        <v>1</v>
      </c>
    </row>
    <row r="9583" spans="1:14" x14ac:dyDescent="0.25">
      <c r="A9583" t="s">
        <v>16801</v>
      </c>
      <c r="B9583" t="s">
        <v>787</v>
      </c>
      <c r="C9583" s="1" t="str">
        <f>HYPERLINK("http://www.genecards.org/cgi-bin/carddisp.pl?gene=LAGE3","GeneCards")</f>
        <v>GeneCards</v>
      </c>
      <c r="D9583" s="1" t="str">
        <f>HYPERLINK("http://genome-euro.ucsc.edu/cgi-bin/hgTracks?position=221982_x_at","UCSC")</f>
        <v>UCSC</v>
      </c>
      <c r="E9583" s="1" t="str">
        <f>HYPERLINK("http://www.ncbi.nlm.nih.gov/gene/?term=LAGE3","NCBI")</f>
        <v>NCBI</v>
      </c>
      <c r="F9583">
        <v>0.19</v>
      </c>
      <c r="G9583">
        <v>0.34</v>
      </c>
      <c r="H9583" s="1" t="str">
        <f>HYPERLINK("http://www.weizmann.ac.il/complex/compphys/software/geview/data/figures/221982_x_at.png","Figure")</f>
        <v>Figure</v>
      </c>
      <c r="I9583">
        <v>1.26</v>
      </c>
      <c r="J9583">
        <v>0.17</v>
      </c>
      <c r="K9583">
        <v>1.08</v>
      </c>
      <c r="L9583">
        <v>0.74</v>
      </c>
      <c r="M9583">
        <v>0.86</v>
      </c>
      <c r="N9583">
        <v>0.39</v>
      </c>
    </row>
    <row r="9584" spans="1:14" x14ac:dyDescent="0.25">
      <c r="A9584" t="s">
        <v>16802</v>
      </c>
      <c r="B9584" t="s">
        <v>16803</v>
      </c>
      <c r="C9584" s="1" t="str">
        <f>HYPERLINK("http://www.genecards.org/cgi-bin/carddisp.pl?gene=PEX12","GeneCards")</f>
        <v>GeneCards</v>
      </c>
      <c r="D9584" s="1" t="str">
        <f>HYPERLINK("http://genome-euro.ucsc.edu/cgi-bin/hgTracks?position=205094_at","UCSC")</f>
        <v>UCSC</v>
      </c>
      <c r="E9584" s="1" t="str">
        <f>HYPERLINK("http://www.ncbi.nlm.nih.gov/gene/?term=PEX12","NCBI")</f>
        <v>NCBI</v>
      </c>
      <c r="F9584">
        <v>0.19</v>
      </c>
      <c r="G9584">
        <v>0.34</v>
      </c>
      <c r="H9584" s="1" t="str">
        <f>HYPERLINK("http://www.weizmann.ac.il/complex/compphys/software/geview/data/figures/205094_at.png","Figure")</f>
        <v>Figure</v>
      </c>
      <c r="I9584">
        <v>0.91400000000000003</v>
      </c>
      <c r="J9584">
        <v>0.35</v>
      </c>
      <c r="K9584">
        <v>0.90400000000000003</v>
      </c>
      <c r="L9584">
        <v>0.19</v>
      </c>
      <c r="M9584">
        <v>0.98899999999999999</v>
      </c>
      <c r="N9584">
        <v>0.98</v>
      </c>
    </row>
    <row r="9585" spans="1:14" x14ac:dyDescent="0.25">
      <c r="A9585" t="s">
        <v>16804</v>
      </c>
      <c r="B9585" t="s">
        <v>16805</v>
      </c>
      <c r="C9585" s="1" t="str">
        <f>HYPERLINK("http://www.genecards.org/cgi-bin/carddisp.pl?gene=EFCAB1","GeneCards")</f>
        <v>GeneCards</v>
      </c>
      <c r="D9585" s="1" t="str">
        <f>HYPERLINK("http://genome-euro.ucsc.edu/cgi-bin/hgTracks?position=220156_at","UCSC")</f>
        <v>UCSC</v>
      </c>
      <c r="E9585" s="1" t="str">
        <f>HYPERLINK("http://www.ncbi.nlm.nih.gov/gene/?term=EFCAB1","NCBI")</f>
        <v>NCBI</v>
      </c>
      <c r="F9585">
        <v>0.19</v>
      </c>
      <c r="G9585">
        <v>0.34</v>
      </c>
      <c r="H9585" s="1" t="str">
        <f>HYPERLINK("http://www.weizmann.ac.il/complex/compphys/software/geview/data/figures/220156_at.png","Figure")</f>
        <v>Figure</v>
      </c>
      <c r="I9585">
        <v>1.1000000000000001</v>
      </c>
      <c r="J9585">
        <v>0.42</v>
      </c>
      <c r="K9585">
        <v>0.96199999999999997</v>
      </c>
      <c r="L9585">
        <v>0.83</v>
      </c>
      <c r="M9585">
        <v>0.873</v>
      </c>
      <c r="N9585">
        <v>0.17</v>
      </c>
    </row>
    <row r="9586" spans="1:14" x14ac:dyDescent="0.25">
      <c r="A9586" t="s">
        <v>16806</v>
      </c>
      <c r="B9586" t="s">
        <v>2936</v>
      </c>
      <c r="C9586" s="1" t="str">
        <f>HYPERLINK("http://www.genecards.org/cgi-bin/carddisp.pl?gene=MLLT10","GeneCards")</f>
        <v>GeneCards</v>
      </c>
      <c r="D9586" s="1" t="str">
        <f>HYPERLINK("http://genome-euro.ucsc.edu/cgi-bin/hgTracks?position=216503_s_at","UCSC")</f>
        <v>UCSC</v>
      </c>
      <c r="E9586" s="1" t="str">
        <f>HYPERLINK("http://www.ncbi.nlm.nih.gov/gene/?term=MLLT10","NCBI")</f>
        <v>NCBI</v>
      </c>
      <c r="F9586">
        <v>0.19</v>
      </c>
      <c r="G9586">
        <v>0.34</v>
      </c>
      <c r="H9586" s="1" t="str">
        <f>HYPERLINK("http://www.weizmann.ac.il/complex/compphys/software/geview/data/figures/216503_s_at.png","Figure")</f>
        <v>Figure</v>
      </c>
      <c r="I9586">
        <v>0.86899999999999999</v>
      </c>
      <c r="J9586">
        <v>0.18</v>
      </c>
      <c r="K9586">
        <v>0.95799999999999996</v>
      </c>
      <c r="L9586">
        <v>0.78</v>
      </c>
      <c r="M9586">
        <v>1.1000000000000001</v>
      </c>
      <c r="N9586">
        <v>0.36</v>
      </c>
    </row>
    <row r="9587" spans="1:14" x14ac:dyDescent="0.25">
      <c r="A9587" t="s">
        <v>16807</v>
      </c>
      <c r="B9587" t="s">
        <v>16808</v>
      </c>
      <c r="C9587" s="1" t="str">
        <f>HYPERLINK("http://www.genecards.org/cgi-bin/carddisp.pl?gene=KLHDC8A","GeneCards")</f>
        <v>GeneCards</v>
      </c>
      <c r="D9587" s="1" t="str">
        <f>HYPERLINK("http://genome-euro.ucsc.edu/cgi-bin/hgTracks?position=219331_s_at","UCSC")</f>
        <v>UCSC</v>
      </c>
      <c r="E9587" s="1" t="str">
        <f>HYPERLINK("http://www.ncbi.nlm.nih.gov/gene/?term=KLHDC8A","NCBI")</f>
        <v>NCBI</v>
      </c>
      <c r="F9587">
        <v>0.19</v>
      </c>
      <c r="G9587">
        <v>0.34</v>
      </c>
      <c r="H9587" s="1" t="str">
        <f>HYPERLINK("http://www.weizmann.ac.il/complex/compphys/software/geview/data/figures/219331_s_at.png","Figure")</f>
        <v>Figure</v>
      </c>
      <c r="I9587">
        <v>1.19</v>
      </c>
      <c r="J9587">
        <v>0.18</v>
      </c>
      <c r="K9587">
        <v>1.05</v>
      </c>
      <c r="L9587">
        <v>0.8</v>
      </c>
      <c r="M9587">
        <v>0.88600000000000001</v>
      </c>
      <c r="N9587">
        <v>0.36</v>
      </c>
    </row>
    <row r="9588" spans="1:14" x14ac:dyDescent="0.25">
      <c r="A9588" t="s">
        <v>16809</v>
      </c>
      <c r="B9588" t="s">
        <v>392</v>
      </c>
      <c r="C9588" s="1" t="str">
        <f>HYPERLINK("http://www.genecards.org/cgi-bin/carddisp.pl?gene=OGT","GeneCards")</f>
        <v>GeneCards</v>
      </c>
      <c r="D9588" s="1" t="str">
        <f>HYPERLINK("http://genome-euro.ucsc.edu/cgi-bin/hgTracks?position=209240_at","UCSC")</f>
        <v>UCSC</v>
      </c>
      <c r="E9588" s="1" t="str">
        <f>HYPERLINK("http://www.ncbi.nlm.nih.gov/gene/?term=OGT","NCBI")</f>
        <v>NCBI</v>
      </c>
      <c r="F9588">
        <v>0.19</v>
      </c>
      <c r="G9588">
        <v>0.34</v>
      </c>
      <c r="H9588" s="1" t="str">
        <f>HYPERLINK("http://www.weizmann.ac.il/complex/compphys/software/geview/data/figures/209240_at.png","Figure")</f>
        <v>Figure</v>
      </c>
      <c r="I9588">
        <v>0.436</v>
      </c>
      <c r="J9588">
        <v>0.18</v>
      </c>
      <c r="K9588">
        <v>0.79900000000000004</v>
      </c>
      <c r="L9588">
        <v>0.83</v>
      </c>
      <c r="M9588">
        <v>1.83</v>
      </c>
      <c r="N9588">
        <v>0.34</v>
      </c>
    </row>
    <row r="9589" spans="1:14" x14ac:dyDescent="0.25">
      <c r="A9589" t="s">
        <v>16810</v>
      </c>
      <c r="B9589" t="s">
        <v>16811</v>
      </c>
      <c r="C9589" s="1" t="str">
        <f>HYPERLINK("http://www.genecards.org/cgi-bin/carddisp.pl?gene=ARMC1","GeneCards")</f>
        <v>GeneCards</v>
      </c>
      <c r="D9589" s="1" t="str">
        <f>HYPERLINK("http://genome-euro.ucsc.edu/cgi-bin/hgTracks?position=218185_s_at","UCSC")</f>
        <v>UCSC</v>
      </c>
      <c r="E9589" s="1" t="str">
        <f>HYPERLINK("http://www.ncbi.nlm.nih.gov/gene/?term=ARMC1","NCBI")</f>
        <v>NCBI</v>
      </c>
      <c r="F9589">
        <v>0.19</v>
      </c>
      <c r="G9589">
        <v>0.34</v>
      </c>
      <c r="H9589" s="1" t="str">
        <f>HYPERLINK("http://www.weizmann.ac.il/complex/compphys/software/geview/data/figures/218185_s_at.png","Figure")</f>
        <v>Figure</v>
      </c>
      <c r="I9589">
        <v>0.64500000000000002</v>
      </c>
      <c r="J9589">
        <v>0.19</v>
      </c>
      <c r="K9589">
        <v>0.90800000000000003</v>
      </c>
      <c r="L9589">
        <v>0.89</v>
      </c>
      <c r="M9589">
        <v>1.41</v>
      </c>
      <c r="N9589">
        <v>0.3</v>
      </c>
    </row>
    <row r="9590" spans="1:14" x14ac:dyDescent="0.25">
      <c r="A9590" t="s">
        <v>16812</v>
      </c>
      <c r="B9590" t="s">
        <v>12178</v>
      </c>
      <c r="C9590" s="1" t="str">
        <f>HYPERLINK("http://www.genecards.org/cgi-bin/carddisp.pl?gene=NDUFA5","GeneCards")</f>
        <v>GeneCards</v>
      </c>
      <c r="D9590" s="1" t="str">
        <f>HYPERLINK("http://genome-euro.ucsc.edu/cgi-bin/hgTracks?position=201304_at","UCSC")</f>
        <v>UCSC</v>
      </c>
      <c r="E9590" s="1" t="str">
        <f>HYPERLINK("http://www.ncbi.nlm.nih.gov/gene/?term=NDUFA5","NCBI")</f>
        <v>NCBI</v>
      </c>
      <c r="F9590">
        <v>0.19</v>
      </c>
      <c r="G9590">
        <v>0.34</v>
      </c>
      <c r="H9590" s="1" t="str">
        <f>HYPERLINK("http://www.weizmann.ac.il/complex/compphys/software/geview/data/figures/201304_at.png","Figure")</f>
        <v>Figure</v>
      </c>
      <c r="I9590">
        <v>0.63100000000000001</v>
      </c>
      <c r="J9590">
        <v>0.24</v>
      </c>
      <c r="K9590">
        <v>0.67300000000000004</v>
      </c>
      <c r="L9590">
        <v>0.25</v>
      </c>
      <c r="M9590">
        <v>1.07</v>
      </c>
      <c r="N9590">
        <v>0.96</v>
      </c>
    </row>
    <row r="9591" spans="1:14" x14ac:dyDescent="0.25">
      <c r="A9591" t="s">
        <v>16813</v>
      </c>
      <c r="B9591" t="s">
        <v>6525</v>
      </c>
      <c r="C9591" s="1" t="str">
        <f>HYPERLINK("http://www.genecards.org/cgi-bin/carddisp.pl?gene=CHRD","GeneCards")</f>
        <v>GeneCards</v>
      </c>
      <c r="D9591" s="1" t="str">
        <f>HYPERLINK("http://genome-euro.ucsc.edu/cgi-bin/hgTracks?position=211248_s_at","UCSC")</f>
        <v>UCSC</v>
      </c>
      <c r="E9591" s="1" t="str">
        <f>HYPERLINK("http://www.ncbi.nlm.nih.gov/gene/?term=CHRD","NCBI")</f>
        <v>NCBI</v>
      </c>
      <c r="F9591">
        <v>0.19</v>
      </c>
      <c r="G9591">
        <v>0.34</v>
      </c>
      <c r="H9591" s="1" t="str">
        <f>HYPERLINK("http://www.weizmann.ac.il/complex/compphys/software/geview/data/figures/211248_s_at.png","Figure")</f>
        <v>Figure</v>
      </c>
      <c r="I9591">
        <v>1.2</v>
      </c>
      <c r="J9591">
        <v>0.17</v>
      </c>
      <c r="K9591">
        <v>1.08</v>
      </c>
      <c r="L9591">
        <v>0.64</v>
      </c>
      <c r="M9591">
        <v>0.89900000000000002</v>
      </c>
      <c r="N9591">
        <v>0.47</v>
      </c>
    </row>
    <row r="9592" spans="1:14" x14ac:dyDescent="0.25">
      <c r="A9592" t="s">
        <v>16814</v>
      </c>
      <c r="B9592" t="s">
        <v>12427</v>
      </c>
      <c r="C9592" s="1" t="str">
        <f>HYPERLINK("http://www.genecards.org/cgi-bin/carddisp.pl?gene=ESD","GeneCards")</f>
        <v>GeneCards</v>
      </c>
      <c r="D9592" s="1" t="str">
        <f>HYPERLINK("http://genome-euro.ucsc.edu/cgi-bin/hgTracks?position=215096_s_at","UCSC")</f>
        <v>UCSC</v>
      </c>
      <c r="E9592" s="1" t="str">
        <f>HYPERLINK("http://www.ncbi.nlm.nih.gov/gene/?term=ESD","NCBI")</f>
        <v>NCBI</v>
      </c>
      <c r="F9592">
        <v>0.19</v>
      </c>
      <c r="G9592">
        <v>0.34</v>
      </c>
      <c r="H9592" s="1" t="str">
        <f>HYPERLINK("http://www.weizmann.ac.il/complex/compphys/software/geview/data/figures/215096_s_at.png","Figure")</f>
        <v>Figure</v>
      </c>
      <c r="I9592">
        <v>1.22</v>
      </c>
      <c r="J9592">
        <v>0.3</v>
      </c>
      <c r="K9592">
        <v>1.22</v>
      </c>
      <c r="L9592">
        <v>0.21</v>
      </c>
      <c r="M9592">
        <v>1</v>
      </c>
      <c r="N9592">
        <v>1</v>
      </c>
    </row>
    <row r="9593" spans="1:14" x14ac:dyDescent="0.25">
      <c r="A9593" t="s">
        <v>16815</v>
      </c>
      <c r="B9593" t="s">
        <v>16816</v>
      </c>
      <c r="C9593" s="1" t="str">
        <f>HYPERLINK("http://www.genecards.org/cgi-bin/carddisp.pl?gene=ESPL1","GeneCards")</f>
        <v>GeneCards</v>
      </c>
      <c r="D9593" s="1" t="str">
        <f>HYPERLINK("http://genome-euro.ucsc.edu/cgi-bin/hgTracks?position=204817_at","UCSC")</f>
        <v>UCSC</v>
      </c>
      <c r="E9593" s="1" t="str">
        <f>HYPERLINK("http://www.ncbi.nlm.nih.gov/gene/?term=ESPL1","NCBI")</f>
        <v>NCBI</v>
      </c>
      <c r="F9593">
        <v>0.19</v>
      </c>
      <c r="G9593">
        <v>0.34</v>
      </c>
      <c r="H9593" s="1" t="str">
        <f>HYPERLINK("http://www.weizmann.ac.il/complex/compphys/software/geview/data/figures/204817_at.png","Figure")</f>
        <v>Figure</v>
      </c>
      <c r="I9593">
        <v>1.21</v>
      </c>
      <c r="J9593">
        <v>0.25</v>
      </c>
      <c r="K9593">
        <v>1.18</v>
      </c>
      <c r="L9593">
        <v>0.25</v>
      </c>
      <c r="M9593">
        <v>0.97599999999999998</v>
      </c>
      <c r="N9593">
        <v>0.97</v>
      </c>
    </row>
    <row r="9594" spans="1:14" x14ac:dyDescent="0.25">
      <c r="A9594" t="s">
        <v>16817</v>
      </c>
      <c r="B9594" t="s">
        <v>8555</v>
      </c>
      <c r="C9594" s="1" t="str">
        <f>HYPERLINK("http://www.genecards.org/cgi-bin/carddisp.pl?gene=MCF2L","GeneCards")</f>
        <v>GeneCards</v>
      </c>
      <c r="D9594" s="1" t="str">
        <f>HYPERLINK("http://genome-euro.ucsc.edu/cgi-bin/hgTracks?position=35147_at","UCSC")</f>
        <v>UCSC</v>
      </c>
      <c r="E9594" s="1" t="str">
        <f>HYPERLINK("http://www.ncbi.nlm.nih.gov/gene/?term=MCF2L","NCBI")</f>
        <v>NCBI</v>
      </c>
      <c r="F9594">
        <v>0.19</v>
      </c>
      <c r="G9594">
        <v>0.34</v>
      </c>
      <c r="H9594" s="1" t="str">
        <f>HYPERLINK("http://www.weizmann.ac.il/complex/compphys/software/geview/data/figures/35147_at.png","Figure")</f>
        <v>Figure</v>
      </c>
      <c r="I9594">
        <v>1.24</v>
      </c>
      <c r="J9594">
        <v>0.17</v>
      </c>
      <c r="K9594">
        <v>1.0900000000000001</v>
      </c>
      <c r="L9594">
        <v>0.69</v>
      </c>
      <c r="M9594">
        <v>0.873</v>
      </c>
      <c r="N9594">
        <v>0.43</v>
      </c>
    </row>
    <row r="9595" spans="1:14" x14ac:dyDescent="0.25">
      <c r="A9595" t="s">
        <v>16818</v>
      </c>
      <c r="B9595" t="s">
        <v>16819</v>
      </c>
      <c r="C9595" s="1" t="str">
        <f>HYPERLINK("http://www.genecards.org/cgi-bin/carddisp.pl?gene=LSM14B","GeneCards")</f>
        <v>GeneCards</v>
      </c>
      <c r="D9595" s="1" t="str">
        <f>HYPERLINK("http://genome-euro.ucsc.edu/cgi-bin/hgTracks?position=219653_at","UCSC")</f>
        <v>UCSC</v>
      </c>
      <c r="E9595" s="1" t="str">
        <f>HYPERLINK("http://www.ncbi.nlm.nih.gov/gene/?term=LSM14B","NCBI")</f>
        <v>NCBI</v>
      </c>
      <c r="F9595">
        <v>0.19</v>
      </c>
      <c r="G9595">
        <v>0.34</v>
      </c>
      <c r="H9595" s="1" t="str">
        <f>HYPERLINK("http://www.weizmann.ac.il/complex/compphys/software/geview/data/figures/219653_at.png","Figure")</f>
        <v>Figure</v>
      </c>
      <c r="I9595">
        <v>1.22</v>
      </c>
      <c r="J9595">
        <v>0.17</v>
      </c>
      <c r="K9595">
        <v>1.0900000000000001</v>
      </c>
      <c r="L9595">
        <v>0.62</v>
      </c>
      <c r="M9595">
        <v>0.89200000000000002</v>
      </c>
      <c r="N9595">
        <v>0.48</v>
      </c>
    </row>
    <row r="9596" spans="1:14" x14ac:dyDescent="0.25">
      <c r="A9596" t="s">
        <v>16820</v>
      </c>
      <c r="B9596" t="s">
        <v>15864</v>
      </c>
      <c r="C9596" s="1" t="str">
        <f>HYPERLINK("http://www.genecards.org/cgi-bin/carddisp.pl?gene=LMNA","GeneCards")</f>
        <v>GeneCards</v>
      </c>
      <c r="D9596" s="1" t="str">
        <f>HYPERLINK("http://genome-euro.ucsc.edu/cgi-bin/hgTracks?position=214213_x_at","UCSC")</f>
        <v>UCSC</v>
      </c>
      <c r="E9596" s="1" t="str">
        <f>HYPERLINK("http://www.ncbi.nlm.nih.gov/gene/?term=LMNA","NCBI")</f>
        <v>NCBI</v>
      </c>
      <c r="F9596">
        <v>0.19</v>
      </c>
      <c r="G9596">
        <v>0.34</v>
      </c>
      <c r="H9596" s="1" t="str">
        <f>HYPERLINK("http://www.weizmann.ac.il/complex/compphys/software/geview/data/figures/214213_x_at.png","Figure")</f>
        <v>Figure</v>
      </c>
      <c r="I9596">
        <v>1.35</v>
      </c>
      <c r="J9596">
        <v>0.18</v>
      </c>
      <c r="K9596">
        <v>1.0900000000000001</v>
      </c>
      <c r="L9596">
        <v>0.82</v>
      </c>
      <c r="M9596">
        <v>0.80400000000000005</v>
      </c>
      <c r="N9596">
        <v>0.34</v>
      </c>
    </row>
    <row r="9597" spans="1:14" x14ac:dyDescent="0.25">
      <c r="A9597" t="s">
        <v>16821</v>
      </c>
      <c r="B9597" t="s">
        <v>16822</v>
      </c>
      <c r="C9597" s="1" t="str">
        <f>HYPERLINK("http://www.genecards.org/cgi-bin/carddisp.pl?gene=TNIP2","GeneCards")</f>
        <v>GeneCards</v>
      </c>
      <c r="D9597" s="1" t="str">
        <f>HYPERLINK("http://genome-euro.ucsc.edu/cgi-bin/hgTracks?position=48531_at","UCSC")</f>
        <v>UCSC</v>
      </c>
      <c r="E9597" s="1" t="str">
        <f>HYPERLINK("http://www.ncbi.nlm.nih.gov/gene/?term=TNIP2","NCBI")</f>
        <v>NCBI</v>
      </c>
      <c r="F9597">
        <v>0.19</v>
      </c>
      <c r="G9597">
        <v>0.34</v>
      </c>
      <c r="H9597" s="1" t="str">
        <f>HYPERLINK("http://www.weizmann.ac.il/complex/compphys/software/geview/data/figures/48531_at.png","Figure")</f>
        <v>Figure</v>
      </c>
      <c r="I9597">
        <v>0.82499999999999996</v>
      </c>
      <c r="J9597">
        <v>0.46</v>
      </c>
      <c r="K9597">
        <v>1.0900000000000001</v>
      </c>
      <c r="L9597">
        <v>0.79</v>
      </c>
      <c r="M9597">
        <v>1.33</v>
      </c>
      <c r="N9597">
        <v>0.17</v>
      </c>
    </row>
    <row r="9598" spans="1:14" x14ac:dyDescent="0.25">
      <c r="A9598" t="s">
        <v>16823</v>
      </c>
      <c r="B9598" t="s">
        <v>16824</v>
      </c>
      <c r="C9598" s="1" t="str">
        <f>HYPERLINK("http://www.genecards.org/cgi-bin/carddisp.pl?gene=BBC3","GeneCards")</f>
        <v>GeneCards</v>
      </c>
      <c r="D9598" s="1" t="str">
        <f>HYPERLINK("http://genome-euro.ucsc.edu/cgi-bin/hgTracks?position=211692_s_at","UCSC")</f>
        <v>UCSC</v>
      </c>
      <c r="E9598" s="1" t="str">
        <f>HYPERLINK("http://www.ncbi.nlm.nih.gov/gene/?term=BBC3","NCBI")</f>
        <v>NCBI</v>
      </c>
      <c r="F9598">
        <v>0.19</v>
      </c>
      <c r="G9598">
        <v>0.34</v>
      </c>
      <c r="H9598" s="1" t="str">
        <f>HYPERLINK("http://www.weizmann.ac.il/complex/compphys/software/geview/data/figures/211692_s_at.png","Figure")</f>
        <v>Figure</v>
      </c>
      <c r="I9598">
        <v>1.35</v>
      </c>
      <c r="J9598">
        <v>0.17</v>
      </c>
      <c r="K9598">
        <v>1.1100000000000001</v>
      </c>
      <c r="L9598">
        <v>0.75</v>
      </c>
      <c r="M9598">
        <v>0.82</v>
      </c>
      <c r="N9598">
        <v>0.39</v>
      </c>
    </row>
    <row r="9599" spans="1:14" x14ac:dyDescent="0.25">
      <c r="A9599" t="s">
        <v>16825</v>
      </c>
      <c r="B9599" t="s">
        <v>12510</v>
      </c>
      <c r="C9599" s="1" t="str">
        <f>HYPERLINK("http://www.genecards.org/cgi-bin/carddisp.pl?gene=NR3C1","GeneCards")</f>
        <v>GeneCards</v>
      </c>
      <c r="D9599" s="1" t="str">
        <f>HYPERLINK("http://genome-euro.ucsc.edu/cgi-bin/hgTracks?position=201866_s_at","UCSC")</f>
        <v>UCSC</v>
      </c>
      <c r="E9599" s="1" t="str">
        <f>HYPERLINK("http://www.ncbi.nlm.nih.gov/gene/?term=NR3C1","NCBI")</f>
        <v>NCBI</v>
      </c>
      <c r="F9599">
        <v>0.19</v>
      </c>
      <c r="G9599">
        <v>0.34</v>
      </c>
      <c r="H9599" s="1" t="str">
        <f>HYPERLINK("http://www.weizmann.ac.il/complex/compphys/software/geview/data/figures/201866_s_at.png","Figure")</f>
        <v>Figure</v>
      </c>
      <c r="I9599">
        <v>1.1499999999999999</v>
      </c>
      <c r="J9599">
        <v>0.49</v>
      </c>
      <c r="K9599">
        <v>0.92900000000000005</v>
      </c>
      <c r="L9599">
        <v>0.75</v>
      </c>
      <c r="M9599">
        <v>0.81100000000000005</v>
      </c>
      <c r="N9599">
        <v>0.17</v>
      </c>
    </row>
    <row r="9600" spans="1:14" x14ac:dyDescent="0.25">
      <c r="A9600" t="s">
        <v>16826</v>
      </c>
      <c r="B9600" t="s">
        <v>16827</v>
      </c>
      <c r="C9600" s="1" t="str">
        <f>HYPERLINK("http://www.genecards.org/cgi-bin/carddisp.pl?gene=RBMX","GeneCards")</f>
        <v>GeneCards</v>
      </c>
      <c r="D9600" s="1" t="str">
        <f>HYPERLINK("http://genome-euro.ucsc.edu/cgi-bin/hgTracks?position=213762_x_at","UCSC")</f>
        <v>UCSC</v>
      </c>
      <c r="E9600" s="1" t="str">
        <f>HYPERLINK("http://www.ncbi.nlm.nih.gov/gene/?term=RBMX","NCBI")</f>
        <v>NCBI</v>
      </c>
      <c r="F9600">
        <v>0.19</v>
      </c>
      <c r="G9600">
        <v>0.34</v>
      </c>
      <c r="H9600" s="1" t="str">
        <f>HYPERLINK("http://www.weizmann.ac.il/complex/compphys/software/geview/data/figures/213762_x_at.png","Figure")</f>
        <v>Figure</v>
      </c>
      <c r="I9600">
        <v>0.875</v>
      </c>
      <c r="J9600">
        <v>0.72</v>
      </c>
      <c r="K9600">
        <v>1.18</v>
      </c>
      <c r="L9600">
        <v>0.52</v>
      </c>
      <c r="M9600">
        <v>1.35</v>
      </c>
      <c r="N9600">
        <v>0.18</v>
      </c>
    </row>
    <row r="9601" spans="1:14" x14ac:dyDescent="0.25">
      <c r="A9601" t="s">
        <v>16828</v>
      </c>
      <c r="B9601" t="s">
        <v>16829</v>
      </c>
      <c r="C9601" s="1" t="str">
        <f>HYPERLINK("http://www.genecards.org/cgi-bin/carddisp.pl?gene=NID1","GeneCards")</f>
        <v>GeneCards</v>
      </c>
      <c r="D9601" s="1" t="str">
        <f>HYPERLINK("http://genome-euro.ucsc.edu/cgi-bin/hgTracks?position=202008_s_at","UCSC")</f>
        <v>UCSC</v>
      </c>
      <c r="E9601" s="1" t="str">
        <f>HYPERLINK("http://www.ncbi.nlm.nih.gov/gene/?term=NID1","NCBI")</f>
        <v>NCBI</v>
      </c>
      <c r="F9601">
        <v>0.19</v>
      </c>
      <c r="G9601">
        <v>0.34</v>
      </c>
      <c r="H9601" s="1" t="str">
        <f>HYPERLINK("http://www.weizmann.ac.il/complex/compphys/software/geview/data/figures/202008_s_at.png","Figure")</f>
        <v>Figure</v>
      </c>
      <c r="I9601">
        <v>1.17</v>
      </c>
      <c r="J9601">
        <v>0.22</v>
      </c>
      <c r="K9601">
        <v>1.02</v>
      </c>
      <c r="L9601">
        <v>0.97</v>
      </c>
      <c r="M9601">
        <v>0.872</v>
      </c>
      <c r="N9601">
        <v>0.25</v>
      </c>
    </row>
    <row r="9602" spans="1:14" x14ac:dyDescent="0.25">
      <c r="A9602" t="s">
        <v>16830</v>
      </c>
      <c r="B9602" t="s">
        <v>16831</v>
      </c>
      <c r="C9602" s="1" t="str">
        <f>HYPERLINK("http://www.genecards.org/cgi-bin/carddisp.pl?gene=CYP19A1","GeneCards")</f>
        <v>GeneCards</v>
      </c>
      <c r="D9602" s="1" t="str">
        <f>HYPERLINK("http://genome-euro.ucsc.edu/cgi-bin/hgTracks?position=203475_at","UCSC")</f>
        <v>UCSC</v>
      </c>
      <c r="E9602" s="1" t="str">
        <f>HYPERLINK("http://www.ncbi.nlm.nih.gov/gene/?term=CYP19A1","NCBI")</f>
        <v>NCBI</v>
      </c>
      <c r="F9602">
        <v>0.19</v>
      </c>
      <c r="G9602">
        <v>0.34</v>
      </c>
      <c r="H9602" s="1" t="str">
        <f>HYPERLINK("http://www.weizmann.ac.il/complex/compphys/software/geview/data/figures/203475_at.png","Figure")</f>
        <v>Figure</v>
      </c>
      <c r="I9602">
        <v>1.0900000000000001</v>
      </c>
      <c r="J9602">
        <v>0.17</v>
      </c>
      <c r="K9602">
        <v>1.03</v>
      </c>
      <c r="L9602">
        <v>0.73</v>
      </c>
      <c r="M9602">
        <v>0.94699999999999995</v>
      </c>
      <c r="N9602">
        <v>0.4</v>
      </c>
    </row>
    <row r="9603" spans="1:14" x14ac:dyDescent="0.25">
      <c r="A9603" t="s">
        <v>16832</v>
      </c>
      <c r="B9603" t="s">
        <v>16833</v>
      </c>
      <c r="C9603" s="1" t="str">
        <f>HYPERLINK("http://www.genecards.org/cgi-bin/carddisp.pl?gene=LMBRD1","GeneCards")</f>
        <v>GeneCards</v>
      </c>
      <c r="D9603" s="1" t="str">
        <f>HYPERLINK("http://genome-euro.ucsc.edu/cgi-bin/hgTracks?position=218191_s_at","UCSC")</f>
        <v>UCSC</v>
      </c>
      <c r="E9603" s="1" t="str">
        <f>HYPERLINK("http://www.ncbi.nlm.nih.gov/gene/?term=LMBRD1","NCBI")</f>
        <v>NCBI</v>
      </c>
      <c r="F9603">
        <v>0.19</v>
      </c>
      <c r="G9603">
        <v>0.34</v>
      </c>
      <c r="H9603" s="1" t="str">
        <f>HYPERLINK("http://www.weizmann.ac.il/complex/compphys/software/geview/data/figures/218191_s_at.png","Figure")</f>
        <v>Figure</v>
      </c>
      <c r="I9603">
        <v>0.73</v>
      </c>
      <c r="J9603">
        <v>0.27</v>
      </c>
      <c r="K9603">
        <v>0.745</v>
      </c>
      <c r="L9603">
        <v>0.23</v>
      </c>
      <c r="M9603">
        <v>1.02</v>
      </c>
      <c r="N9603">
        <v>0.99</v>
      </c>
    </row>
    <row r="9604" spans="1:14" x14ac:dyDescent="0.25">
      <c r="A9604" t="s">
        <v>16834</v>
      </c>
      <c r="B9604" t="s">
        <v>14628</v>
      </c>
      <c r="C9604" s="1" t="str">
        <f>HYPERLINK("http://www.genecards.org/cgi-bin/carddisp.pl?gene=EXOSC4","GeneCards")</f>
        <v>GeneCards</v>
      </c>
      <c r="D9604" s="1" t="str">
        <f>HYPERLINK("http://genome-euro.ucsc.edu/cgi-bin/hgTracks?position=218695_at","UCSC")</f>
        <v>UCSC</v>
      </c>
      <c r="E9604" s="1" t="str">
        <f>HYPERLINK("http://www.ncbi.nlm.nih.gov/gene/?term=EXOSC4","NCBI")</f>
        <v>NCBI</v>
      </c>
      <c r="F9604">
        <v>0.19</v>
      </c>
      <c r="G9604">
        <v>0.34</v>
      </c>
      <c r="H9604" s="1" t="str">
        <f>HYPERLINK("http://www.weizmann.ac.il/complex/compphys/software/geview/data/figures/218695_at.png","Figure")</f>
        <v>Figure</v>
      </c>
      <c r="I9604">
        <v>0.99399999999999999</v>
      </c>
      <c r="J9604">
        <v>1</v>
      </c>
      <c r="K9604">
        <v>0.78700000000000003</v>
      </c>
      <c r="L9604">
        <v>0.25</v>
      </c>
      <c r="M9604">
        <v>0.79100000000000004</v>
      </c>
      <c r="N9604">
        <v>0.31</v>
      </c>
    </row>
    <row r="9605" spans="1:14" x14ac:dyDescent="0.25">
      <c r="A9605" t="s">
        <v>16835</v>
      </c>
      <c r="B9605" t="s">
        <v>16836</v>
      </c>
      <c r="C9605" s="1" t="str">
        <f>HYPERLINK("http://www.genecards.org/cgi-bin/carddisp.pl?gene=EBI3","GeneCards")</f>
        <v>GeneCards</v>
      </c>
      <c r="D9605" s="1" t="str">
        <f>HYPERLINK("http://genome-euro.ucsc.edu/cgi-bin/hgTracks?position=219424_at","UCSC")</f>
        <v>UCSC</v>
      </c>
      <c r="E9605" s="1" t="str">
        <f>HYPERLINK("http://www.ncbi.nlm.nih.gov/gene/?term=EBI3","NCBI")</f>
        <v>NCBI</v>
      </c>
      <c r="F9605">
        <v>0.19</v>
      </c>
      <c r="G9605">
        <v>0.34</v>
      </c>
      <c r="H9605" s="1" t="str">
        <f>HYPERLINK("http://www.weizmann.ac.il/complex/compphys/software/geview/data/figures/219424_at.png","Figure")</f>
        <v>Figure</v>
      </c>
      <c r="I9605">
        <v>1.1499999999999999</v>
      </c>
      <c r="J9605">
        <v>0.32</v>
      </c>
      <c r="K9605">
        <v>0.97699999999999998</v>
      </c>
      <c r="L9605">
        <v>0.95</v>
      </c>
      <c r="M9605">
        <v>0.85299999999999998</v>
      </c>
      <c r="N9605">
        <v>0.19</v>
      </c>
    </row>
    <row r="9606" spans="1:14" x14ac:dyDescent="0.25">
      <c r="A9606" t="s">
        <v>16837</v>
      </c>
      <c r="B9606" t="s">
        <v>16838</v>
      </c>
      <c r="C9606" s="1" t="str">
        <f>HYPERLINK("http://www.genecards.org/cgi-bin/carddisp.pl?gene=LOC100289473 /// LOC100291000","GeneCards")</f>
        <v>GeneCards</v>
      </c>
      <c r="D9606" s="1" t="str">
        <f>HYPERLINK("http://genome-euro.ucsc.edu/cgi-bin/hgTracks?position=217376_at","UCSC")</f>
        <v>UCSC</v>
      </c>
      <c r="E9606" s="1" t="str">
        <f>HYPERLINK("http://www.ncbi.nlm.nih.gov/gene/?term=LOC100289473 /// LOC100291000","NCBI")</f>
        <v>NCBI</v>
      </c>
      <c r="F9606">
        <v>0.19</v>
      </c>
      <c r="G9606">
        <v>0.34</v>
      </c>
      <c r="H9606" s="1" t="str">
        <f>HYPERLINK("http://www.weizmann.ac.il/complex/compphys/software/geview/data/figures/217376_at.png","Figure")</f>
        <v>Figure</v>
      </c>
      <c r="I9606">
        <v>1.19</v>
      </c>
      <c r="J9606">
        <v>0.21</v>
      </c>
      <c r="K9606">
        <v>1.1399999999999999</v>
      </c>
      <c r="L9606">
        <v>0.31</v>
      </c>
      <c r="M9606">
        <v>0.95499999999999996</v>
      </c>
      <c r="N9606">
        <v>0.88</v>
      </c>
    </row>
    <row r="9607" spans="1:14" x14ac:dyDescent="0.25">
      <c r="A9607" t="s">
        <v>16839</v>
      </c>
      <c r="B9607" t="s">
        <v>16840</v>
      </c>
      <c r="C9607" s="1" t="str">
        <f>HYPERLINK("http://www.genecards.org/cgi-bin/carddisp.pl?gene=CRABP1","GeneCards")</f>
        <v>GeneCards</v>
      </c>
      <c r="D9607" s="1" t="str">
        <f>HYPERLINK("http://genome-euro.ucsc.edu/cgi-bin/hgTracks?position=205350_at","UCSC")</f>
        <v>UCSC</v>
      </c>
      <c r="E9607" s="1" t="str">
        <f>HYPERLINK("http://www.ncbi.nlm.nih.gov/gene/?term=CRABP1","NCBI")</f>
        <v>NCBI</v>
      </c>
      <c r="F9607">
        <v>0.19</v>
      </c>
      <c r="G9607">
        <v>0.34</v>
      </c>
      <c r="H9607" s="1" t="str">
        <f>HYPERLINK("http://www.weizmann.ac.il/complex/compphys/software/geview/data/figures/205350_at.png","Figure")</f>
        <v>Figure</v>
      </c>
      <c r="I9607">
        <v>1.1100000000000001</v>
      </c>
      <c r="J9607">
        <v>0.18</v>
      </c>
      <c r="K9607">
        <v>1.03</v>
      </c>
      <c r="L9607">
        <v>0.76</v>
      </c>
      <c r="M9607">
        <v>0.93200000000000005</v>
      </c>
      <c r="N9607">
        <v>0.38</v>
      </c>
    </row>
    <row r="9608" spans="1:14" x14ac:dyDescent="0.25">
      <c r="A9608" t="s">
        <v>16841</v>
      </c>
      <c r="B9608" t="s">
        <v>16842</v>
      </c>
      <c r="C9608" s="1" t="str">
        <f>HYPERLINK("http://www.genecards.org/cgi-bin/carddisp.pl?gene=LRRC8B","GeneCards")</f>
        <v>GeneCards</v>
      </c>
      <c r="D9608" s="1" t="str">
        <f>HYPERLINK("http://genome-euro.ucsc.edu/cgi-bin/hgTracks?position=212978_at","UCSC")</f>
        <v>UCSC</v>
      </c>
      <c r="E9608" s="1" t="str">
        <f>HYPERLINK("http://www.ncbi.nlm.nih.gov/gene/?term=LRRC8B","NCBI")</f>
        <v>NCBI</v>
      </c>
      <c r="F9608">
        <v>0.19</v>
      </c>
      <c r="G9608">
        <v>0.34</v>
      </c>
      <c r="H9608" s="1" t="str">
        <f>HYPERLINK("http://www.weizmann.ac.il/complex/compphys/software/geview/data/figures/212978_at.png","Figure")</f>
        <v>Figure</v>
      </c>
      <c r="I9608">
        <v>1.63</v>
      </c>
      <c r="J9608">
        <v>0.28999999999999998</v>
      </c>
      <c r="K9608">
        <v>0.96299999999999997</v>
      </c>
      <c r="L9608">
        <v>0.99</v>
      </c>
      <c r="M9608">
        <v>0.59</v>
      </c>
      <c r="N9608">
        <v>0.2</v>
      </c>
    </row>
    <row r="9609" spans="1:14" x14ac:dyDescent="0.25">
      <c r="A9609" t="s">
        <v>16843</v>
      </c>
      <c r="B9609" t="s">
        <v>6158</v>
      </c>
      <c r="C9609" s="1" t="str">
        <f>HYPERLINK("http://www.genecards.org/cgi-bin/carddisp.pl?gene=SNRPD1","GeneCards")</f>
        <v>GeneCards</v>
      </c>
      <c r="D9609" s="1" t="str">
        <f>HYPERLINK("http://genome-euro.ucsc.edu/cgi-bin/hgTracks?position=202690_s_at","UCSC")</f>
        <v>UCSC</v>
      </c>
      <c r="E9609" s="1" t="str">
        <f>HYPERLINK("http://www.ncbi.nlm.nih.gov/gene/?term=SNRPD1","NCBI")</f>
        <v>NCBI</v>
      </c>
      <c r="F9609">
        <v>0.19</v>
      </c>
      <c r="G9609">
        <v>0.34</v>
      </c>
      <c r="H9609" s="1" t="str">
        <f>HYPERLINK("http://www.weizmann.ac.il/complex/compphys/software/geview/data/figures/202690_s_at.png","Figure")</f>
        <v>Figure</v>
      </c>
      <c r="I9609">
        <v>1.01</v>
      </c>
      <c r="J9609">
        <v>1</v>
      </c>
      <c r="K9609">
        <v>1.38</v>
      </c>
      <c r="L9609">
        <v>0.25</v>
      </c>
      <c r="M9609">
        <v>1.37</v>
      </c>
      <c r="N9609">
        <v>0.31</v>
      </c>
    </row>
    <row r="9610" spans="1:14" x14ac:dyDescent="0.25">
      <c r="A9610" t="s">
        <v>16844</v>
      </c>
      <c r="B9610" t="s">
        <v>12919</v>
      </c>
      <c r="C9610" s="1" t="str">
        <f>HYPERLINK("http://www.genecards.org/cgi-bin/carddisp.pl?gene=ARIH2","GeneCards")</f>
        <v>GeneCards</v>
      </c>
      <c r="D9610" s="1" t="str">
        <f>HYPERLINK("http://genome-euro.ucsc.edu/cgi-bin/hgTracks?position=201230_s_at","UCSC")</f>
        <v>UCSC</v>
      </c>
      <c r="E9610" s="1" t="str">
        <f>HYPERLINK("http://www.ncbi.nlm.nih.gov/gene/?term=ARIH2","NCBI")</f>
        <v>NCBI</v>
      </c>
      <c r="F9610">
        <v>0.19</v>
      </c>
      <c r="G9610">
        <v>0.34</v>
      </c>
      <c r="H9610" s="1" t="str">
        <f>HYPERLINK("http://www.weizmann.ac.il/complex/compphys/software/geview/data/figures/201230_s_at.png","Figure")</f>
        <v>Figure</v>
      </c>
      <c r="I9610">
        <v>1.1399999999999999</v>
      </c>
      <c r="J9610">
        <v>0.47</v>
      </c>
      <c r="K9610">
        <v>1.2</v>
      </c>
      <c r="L9610">
        <v>0.17</v>
      </c>
      <c r="M9610">
        <v>1.05</v>
      </c>
      <c r="N9610">
        <v>0.88</v>
      </c>
    </row>
    <row r="9611" spans="1:14" x14ac:dyDescent="0.25">
      <c r="A9611" t="s">
        <v>16845</v>
      </c>
      <c r="B9611" t="s">
        <v>2144</v>
      </c>
      <c r="C9611" s="1" t="str">
        <f>HYPERLINK("http://www.genecards.org/cgi-bin/carddisp.pl?gene=CALM1","GeneCards")</f>
        <v>GeneCards</v>
      </c>
      <c r="D9611" s="1" t="str">
        <f>HYPERLINK("http://genome-euro.ucsc.edu/cgi-bin/hgTracks?position=209563_x_at","UCSC")</f>
        <v>UCSC</v>
      </c>
      <c r="E9611" s="1" t="str">
        <f>HYPERLINK("http://www.ncbi.nlm.nih.gov/gene/?term=CALM1","NCBI")</f>
        <v>NCBI</v>
      </c>
      <c r="F9611">
        <v>0.19</v>
      </c>
      <c r="G9611">
        <v>0.34</v>
      </c>
      <c r="H9611" s="1" t="str">
        <f>HYPERLINK("http://www.weizmann.ac.il/complex/compphys/software/geview/data/figures/209563_x_at.png","Figure")</f>
        <v>Figure</v>
      </c>
      <c r="I9611">
        <v>0.72599999999999998</v>
      </c>
      <c r="J9611">
        <v>0.26</v>
      </c>
      <c r="K9611">
        <v>1</v>
      </c>
      <c r="L9611">
        <v>1</v>
      </c>
      <c r="M9611">
        <v>1.38</v>
      </c>
      <c r="N9611">
        <v>0.21</v>
      </c>
    </row>
    <row r="9612" spans="1:14" x14ac:dyDescent="0.25">
      <c r="A9612" t="s">
        <v>16846</v>
      </c>
      <c r="B9612" t="s">
        <v>4455</v>
      </c>
      <c r="C9612" s="1" t="str">
        <f>HYPERLINK("http://www.genecards.org/cgi-bin/carddisp.pl?gene=UQCRB","GeneCards")</f>
        <v>GeneCards</v>
      </c>
      <c r="D9612" s="1" t="str">
        <f>HYPERLINK("http://genome-euro.ucsc.edu/cgi-bin/hgTracks?position=209066_x_at","UCSC")</f>
        <v>UCSC</v>
      </c>
      <c r="E9612" s="1" t="str">
        <f>HYPERLINK("http://www.ncbi.nlm.nih.gov/gene/?term=UQCRB","NCBI")</f>
        <v>NCBI</v>
      </c>
      <c r="F9612">
        <v>0.19</v>
      </c>
      <c r="G9612">
        <v>0.34</v>
      </c>
      <c r="H9612" s="1" t="str">
        <f>HYPERLINK("http://www.weizmann.ac.il/complex/compphys/software/geview/data/figures/209066_x_at.png","Figure")</f>
        <v>Figure</v>
      </c>
      <c r="I9612">
        <v>1.23</v>
      </c>
      <c r="J9612">
        <v>0.36</v>
      </c>
      <c r="K9612">
        <v>1.27</v>
      </c>
      <c r="L9612">
        <v>0.19</v>
      </c>
      <c r="M9612">
        <v>1.03</v>
      </c>
      <c r="N9612">
        <v>0.98</v>
      </c>
    </row>
    <row r="9613" spans="1:14" x14ac:dyDescent="0.25">
      <c r="A9613" t="s">
        <v>16847</v>
      </c>
      <c r="B9613" t="s">
        <v>16848</v>
      </c>
      <c r="C9613" s="1" t="str">
        <f>HYPERLINK("http://www.genecards.org/cgi-bin/carddisp.pl?gene=DTNB","GeneCards")</f>
        <v>GeneCards</v>
      </c>
      <c r="D9613" s="1" t="str">
        <f>HYPERLINK("http://genome-euro.ucsc.edu/cgi-bin/hgTracks?position=214253_s_at","UCSC")</f>
        <v>UCSC</v>
      </c>
      <c r="E9613" s="1" t="str">
        <f>HYPERLINK("http://www.ncbi.nlm.nih.gov/gene/?term=DTNB","NCBI")</f>
        <v>NCBI</v>
      </c>
      <c r="F9613">
        <v>0.19</v>
      </c>
      <c r="G9613">
        <v>0.34</v>
      </c>
      <c r="H9613" s="1" t="str">
        <f>HYPERLINK("http://www.weizmann.ac.il/complex/compphys/software/geview/data/figures/214253_s_at.png","Figure")</f>
        <v>Figure</v>
      </c>
      <c r="I9613">
        <v>1.08</v>
      </c>
      <c r="J9613">
        <v>0.65</v>
      </c>
      <c r="K9613">
        <v>1.1599999999999999</v>
      </c>
      <c r="L9613">
        <v>0.17</v>
      </c>
      <c r="M9613">
        <v>1.07</v>
      </c>
      <c r="N9613">
        <v>0.68</v>
      </c>
    </row>
    <row r="9614" spans="1:14" x14ac:dyDescent="0.25">
      <c r="A9614" t="s">
        <v>16849</v>
      </c>
      <c r="B9614" t="s">
        <v>16850</v>
      </c>
      <c r="C9614" s="1" t="str">
        <f>HYPERLINK("http://www.genecards.org/cgi-bin/carddisp.pl?gene=KLK10","GeneCards")</f>
        <v>GeneCards</v>
      </c>
      <c r="D9614" s="1" t="str">
        <f>HYPERLINK("http://genome-euro.ucsc.edu/cgi-bin/hgTracks?position=209792_s_at","UCSC")</f>
        <v>UCSC</v>
      </c>
      <c r="E9614" s="1" t="str">
        <f>HYPERLINK("http://www.ncbi.nlm.nih.gov/gene/?term=KLK10","NCBI")</f>
        <v>NCBI</v>
      </c>
      <c r="F9614">
        <v>0.19</v>
      </c>
      <c r="G9614">
        <v>0.34</v>
      </c>
      <c r="H9614" s="1" t="str">
        <f>HYPERLINK("http://www.weizmann.ac.il/complex/compphys/software/geview/data/figures/209792_s_at.png","Figure")</f>
        <v>Figure</v>
      </c>
      <c r="I9614">
        <v>1.1499999999999999</v>
      </c>
      <c r="J9614">
        <v>0.17</v>
      </c>
      <c r="K9614">
        <v>1.06</v>
      </c>
      <c r="L9614">
        <v>0.66</v>
      </c>
      <c r="M9614">
        <v>0.91900000000000004</v>
      </c>
      <c r="N9614">
        <v>0.45</v>
      </c>
    </row>
    <row r="9615" spans="1:14" x14ac:dyDescent="0.25">
      <c r="A9615" t="s">
        <v>16851</v>
      </c>
      <c r="B9615" t="s">
        <v>16852</v>
      </c>
      <c r="C9615" s="1" t="str">
        <f>HYPERLINK("http://www.genecards.org/cgi-bin/carddisp.pl?gene=IQCG","GeneCards")</f>
        <v>GeneCards</v>
      </c>
      <c r="D9615" s="1" t="str">
        <f>HYPERLINK("http://genome-euro.ucsc.edu/cgi-bin/hgTracks?position=221185_s_at","UCSC")</f>
        <v>UCSC</v>
      </c>
      <c r="E9615" s="1" t="str">
        <f>HYPERLINK("http://www.ncbi.nlm.nih.gov/gene/?term=IQCG","NCBI")</f>
        <v>NCBI</v>
      </c>
      <c r="F9615">
        <v>0.19</v>
      </c>
      <c r="G9615">
        <v>0.34</v>
      </c>
      <c r="H9615" s="1" t="str">
        <f>HYPERLINK("http://www.weizmann.ac.il/complex/compphys/software/geview/data/figures/221185_s_at.png","Figure")</f>
        <v>Figure</v>
      </c>
      <c r="I9615">
        <v>0.85899999999999999</v>
      </c>
      <c r="J9615">
        <v>0.2</v>
      </c>
      <c r="K9615">
        <v>0.97</v>
      </c>
      <c r="L9615">
        <v>0.91</v>
      </c>
      <c r="M9615">
        <v>1.1299999999999999</v>
      </c>
      <c r="N9615">
        <v>0.28999999999999998</v>
      </c>
    </row>
    <row r="9616" spans="1:14" x14ac:dyDescent="0.25">
      <c r="A9616" t="s">
        <v>16853</v>
      </c>
      <c r="B9616" t="s">
        <v>6777</v>
      </c>
      <c r="C9616" s="1" t="str">
        <f>HYPERLINK("http://www.genecards.org/cgi-bin/carddisp.pl?gene=NMT1","GeneCards")</f>
        <v>GeneCards</v>
      </c>
      <c r="D9616" s="1" t="str">
        <f>HYPERLINK("http://genome-euro.ucsc.edu/cgi-bin/hgTracks?position=201157_s_at","UCSC")</f>
        <v>UCSC</v>
      </c>
      <c r="E9616" s="1" t="str">
        <f>HYPERLINK("http://www.ncbi.nlm.nih.gov/gene/?term=NMT1","NCBI")</f>
        <v>NCBI</v>
      </c>
      <c r="F9616">
        <v>0.19</v>
      </c>
      <c r="G9616">
        <v>0.34</v>
      </c>
      <c r="H9616" s="1" t="str">
        <f>HYPERLINK("http://www.weizmann.ac.il/complex/compphys/software/geview/data/figures/201157_s_at.png","Figure")</f>
        <v>Figure</v>
      </c>
      <c r="I9616">
        <v>0.59899999999999998</v>
      </c>
      <c r="J9616">
        <v>0.25</v>
      </c>
      <c r="K9616">
        <v>0.63700000000000001</v>
      </c>
      <c r="L9616">
        <v>0.25</v>
      </c>
      <c r="M9616">
        <v>1.06</v>
      </c>
      <c r="N9616">
        <v>0.97</v>
      </c>
    </row>
    <row r="9617" spans="1:14" x14ac:dyDescent="0.25">
      <c r="A9617" t="s">
        <v>16854</v>
      </c>
      <c r="B9617" t="s">
        <v>16855</v>
      </c>
      <c r="C9617" s="1" t="str">
        <f>HYPERLINK("http://www.genecards.org/cgi-bin/carddisp.pl?gene=LMAN1","GeneCards")</f>
        <v>GeneCards</v>
      </c>
      <c r="D9617" s="1" t="str">
        <f>HYPERLINK("http://genome-euro.ucsc.edu/cgi-bin/hgTracks?position=203293_s_at","UCSC")</f>
        <v>UCSC</v>
      </c>
      <c r="E9617" s="1" t="str">
        <f>HYPERLINK("http://www.ncbi.nlm.nih.gov/gene/?term=LMAN1","NCBI")</f>
        <v>NCBI</v>
      </c>
      <c r="F9617">
        <v>0.19</v>
      </c>
      <c r="G9617">
        <v>0.34</v>
      </c>
      <c r="H9617" s="1" t="str">
        <f>HYPERLINK("http://www.weizmann.ac.il/complex/compphys/software/geview/data/figures/203293_s_at.png","Figure")</f>
        <v>Figure</v>
      </c>
      <c r="I9617">
        <v>1.06</v>
      </c>
      <c r="J9617">
        <v>0.69</v>
      </c>
      <c r="K9617">
        <v>1.1299999999999999</v>
      </c>
      <c r="L9617">
        <v>0.17</v>
      </c>
      <c r="M9617">
        <v>1.06</v>
      </c>
      <c r="N9617">
        <v>0.64</v>
      </c>
    </row>
    <row r="9618" spans="1:14" x14ac:dyDescent="0.25">
      <c r="A9618" t="s">
        <v>16856</v>
      </c>
      <c r="B9618" t="s">
        <v>10890</v>
      </c>
      <c r="C9618" s="1" t="str">
        <f>HYPERLINK("http://www.genecards.org/cgi-bin/carddisp.pl?gene=NONO","GeneCards")</f>
        <v>GeneCards</v>
      </c>
      <c r="D9618" s="1" t="str">
        <f>HYPERLINK("http://genome-euro.ucsc.edu/cgi-bin/hgTracks?position=208698_s_at","UCSC")</f>
        <v>UCSC</v>
      </c>
      <c r="E9618" s="1" t="str">
        <f>HYPERLINK("http://www.ncbi.nlm.nih.gov/gene/?term=NONO","NCBI")</f>
        <v>NCBI</v>
      </c>
      <c r="F9618">
        <v>0.19</v>
      </c>
      <c r="G9618">
        <v>0.34</v>
      </c>
      <c r="H9618" s="1" t="str">
        <f>HYPERLINK("http://www.weizmann.ac.il/complex/compphys/software/geview/data/figures/208698_s_at.png","Figure")</f>
        <v>Figure</v>
      </c>
      <c r="I9618">
        <v>0.76500000000000001</v>
      </c>
      <c r="J9618">
        <v>0.17</v>
      </c>
      <c r="K9618">
        <v>0.89600000000000002</v>
      </c>
      <c r="L9618">
        <v>0.65</v>
      </c>
      <c r="M9618">
        <v>1.17</v>
      </c>
      <c r="N9618">
        <v>0.46</v>
      </c>
    </row>
    <row r="9619" spans="1:14" x14ac:dyDescent="0.25">
      <c r="A9619" t="s">
        <v>16857</v>
      </c>
      <c r="B9619" t="s">
        <v>6800</v>
      </c>
      <c r="C9619" s="1" t="str">
        <f>HYPERLINK("http://www.genecards.org/cgi-bin/carddisp.pl?gene=UBR5","GeneCards")</f>
        <v>GeneCards</v>
      </c>
      <c r="D9619" s="1" t="str">
        <f>HYPERLINK("http://genome-euro.ucsc.edu/cgi-bin/hgTracks?position=208884_s_at","UCSC")</f>
        <v>UCSC</v>
      </c>
      <c r="E9619" s="1" t="str">
        <f>HYPERLINK("http://www.ncbi.nlm.nih.gov/gene/?term=UBR5","NCBI")</f>
        <v>NCBI</v>
      </c>
      <c r="F9619">
        <v>0.19</v>
      </c>
      <c r="G9619">
        <v>0.34</v>
      </c>
      <c r="H9619" s="1" t="str">
        <f>HYPERLINK("http://www.weizmann.ac.il/complex/compphys/software/geview/data/figures/208884_s_at.png","Figure")</f>
        <v>Figure</v>
      </c>
      <c r="I9619">
        <v>1.1499999999999999</v>
      </c>
      <c r="J9619">
        <v>0.7</v>
      </c>
      <c r="K9619">
        <v>0.84699999999999998</v>
      </c>
      <c r="L9619">
        <v>0.53</v>
      </c>
      <c r="M9619">
        <v>0.73599999999999999</v>
      </c>
      <c r="N9619">
        <v>0.18</v>
      </c>
    </row>
    <row r="9620" spans="1:14" x14ac:dyDescent="0.25">
      <c r="A9620" t="s">
        <v>16858</v>
      </c>
      <c r="B9620" t="s">
        <v>12532</v>
      </c>
      <c r="C9620" s="1" t="str">
        <f>HYPERLINK("http://www.genecards.org/cgi-bin/carddisp.pl?gene=HFE","GeneCards")</f>
        <v>GeneCards</v>
      </c>
      <c r="D9620" s="1" t="str">
        <f>HYPERLINK("http://genome-euro.ucsc.edu/cgi-bin/hgTracks?position=211326_x_at","UCSC")</f>
        <v>UCSC</v>
      </c>
      <c r="E9620" s="1" t="str">
        <f>HYPERLINK("http://www.ncbi.nlm.nih.gov/gene/?term=HFE","NCBI")</f>
        <v>NCBI</v>
      </c>
      <c r="F9620">
        <v>0.19</v>
      </c>
      <c r="G9620">
        <v>0.34</v>
      </c>
      <c r="H9620" s="1" t="str">
        <f>HYPERLINK("http://www.weizmann.ac.il/complex/compphys/software/geview/data/figures/211326_x_at.png","Figure")</f>
        <v>Figure</v>
      </c>
      <c r="I9620">
        <v>1.1299999999999999</v>
      </c>
      <c r="J9620">
        <v>0.24</v>
      </c>
      <c r="K9620">
        <v>1</v>
      </c>
      <c r="L9620">
        <v>1</v>
      </c>
      <c r="M9620">
        <v>0.88800000000000001</v>
      </c>
      <c r="N9620">
        <v>0.22</v>
      </c>
    </row>
    <row r="9621" spans="1:14" x14ac:dyDescent="0.25">
      <c r="A9621" t="s">
        <v>16859</v>
      </c>
      <c r="B9621" t="s">
        <v>384</v>
      </c>
      <c r="C9621" s="1" t="str">
        <f>HYPERLINK("http://www.genecards.org/cgi-bin/carddisp.pl?gene=RRAGD","GeneCards")</f>
        <v>GeneCards</v>
      </c>
      <c r="D9621" s="1" t="str">
        <f>HYPERLINK("http://genome-euro.ucsc.edu/cgi-bin/hgTracks?position=221524_s_at","UCSC")</f>
        <v>UCSC</v>
      </c>
      <c r="E9621" s="1" t="str">
        <f>HYPERLINK("http://www.ncbi.nlm.nih.gov/gene/?term=RRAGD","NCBI")</f>
        <v>NCBI</v>
      </c>
      <c r="F9621">
        <v>0.19</v>
      </c>
      <c r="G9621">
        <v>0.34</v>
      </c>
      <c r="H9621" s="1" t="str">
        <f>HYPERLINK("http://www.weizmann.ac.il/complex/compphys/software/geview/data/figures/221524_s_at.png","Figure")</f>
        <v>Figure</v>
      </c>
      <c r="I9621">
        <v>0.68400000000000005</v>
      </c>
      <c r="J9621">
        <v>0.23</v>
      </c>
      <c r="K9621">
        <v>0.97099999999999997</v>
      </c>
      <c r="L9621">
        <v>0.99</v>
      </c>
      <c r="M9621">
        <v>1.42</v>
      </c>
      <c r="N9621">
        <v>0.24</v>
      </c>
    </row>
    <row r="9622" spans="1:14" x14ac:dyDescent="0.25">
      <c r="A9622" t="s">
        <v>16860</v>
      </c>
      <c r="B9622" t="s">
        <v>5908</v>
      </c>
      <c r="C9622" s="1" t="str">
        <f>HYPERLINK("http://www.genecards.org/cgi-bin/carddisp.pl?gene=THTPA","GeneCards")</f>
        <v>GeneCards</v>
      </c>
      <c r="D9622" s="1" t="str">
        <f>HYPERLINK("http://genome-euro.ucsc.edu/cgi-bin/hgTracks?position=218540_at","UCSC")</f>
        <v>UCSC</v>
      </c>
      <c r="E9622" s="1" t="str">
        <f>HYPERLINK("http://www.ncbi.nlm.nih.gov/gene/?term=THTPA","NCBI")</f>
        <v>NCBI</v>
      </c>
      <c r="F9622">
        <v>0.19</v>
      </c>
      <c r="G9622">
        <v>0.34</v>
      </c>
      <c r="H9622" s="1" t="str">
        <f>HYPERLINK("http://www.weizmann.ac.il/complex/compphys/software/geview/data/figures/218540_at.png","Figure")</f>
        <v>Figure</v>
      </c>
      <c r="I9622">
        <v>0.98099999999999998</v>
      </c>
      <c r="J9622">
        <v>0.98</v>
      </c>
      <c r="K9622">
        <v>1.1599999999999999</v>
      </c>
      <c r="L9622">
        <v>0.3</v>
      </c>
      <c r="M9622">
        <v>1.18</v>
      </c>
      <c r="N9622">
        <v>0.26</v>
      </c>
    </row>
    <row r="9623" spans="1:14" x14ac:dyDescent="0.25">
      <c r="A9623" t="s">
        <v>16861</v>
      </c>
      <c r="B9623" t="s">
        <v>16862</v>
      </c>
      <c r="C9623" s="1" t="str">
        <f>HYPERLINK("http://www.genecards.org/cgi-bin/carddisp.pl?gene=RPUSD2","GeneCards")</f>
        <v>GeneCards</v>
      </c>
      <c r="D9623" s="1" t="str">
        <f>HYPERLINK("http://genome-euro.ucsc.edu/cgi-bin/hgTracks?position=221940_at","UCSC")</f>
        <v>UCSC</v>
      </c>
      <c r="E9623" s="1" t="str">
        <f>HYPERLINK("http://www.ncbi.nlm.nih.gov/gene/?term=RPUSD2","NCBI")</f>
        <v>NCBI</v>
      </c>
      <c r="F9623">
        <v>0.19</v>
      </c>
      <c r="G9623">
        <v>0.34</v>
      </c>
      <c r="H9623" s="1" t="str">
        <f>HYPERLINK("http://www.weizmann.ac.il/complex/compphys/software/geview/data/figures/221940_at.png","Figure")</f>
        <v>Figure</v>
      </c>
      <c r="I9623">
        <v>1.04</v>
      </c>
      <c r="J9623">
        <v>0.76</v>
      </c>
      <c r="K9623">
        <v>0.94</v>
      </c>
      <c r="L9623">
        <v>0.49</v>
      </c>
      <c r="M9623">
        <v>0.9</v>
      </c>
      <c r="N9623">
        <v>0.19</v>
      </c>
    </row>
    <row r="9624" spans="1:14" x14ac:dyDescent="0.25">
      <c r="A9624" t="s">
        <v>16863</v>
      </c>
      <c r="B9624" t="s">
        <v>16864</v>
      </c>
      <c r="C9624" s="1" t="str">
        <f>HYPERLINK("http://www.genecards.org/cgi-bin/carddisp.pl?gene=GFM1","GeneCards")</f>
        <v>GeneCards</v>
      </c>
      <c r="D9624" s="1" t="str">
        <f>HYPERLINK("http://genome-euro.ucsc.edu/cgi-bin/hgTracks?position=220903_at","UCSC")</f>
        <v>UCSC</v>
      </c>
      <c r="E9624" s="1" t="str">
        <f>HYPERLINK("http://www.ncbi.nlm.nih.gov/gene/?term=GFM1","NCBI")</f>
        <v>NCBI</v>
      </c>
      <c r="F9624">
        <v>0.19</v>
      </c>
      <c r="G9624">
        <v>0.34</v>
      </c>
      <c r="H9624" s="1" t="str">
        <f>HYPERLINK("http://www.weizmann.ac.il/complex/compphys/software/geview/data/figures/220903_at.png","Figure")</f>
        <v>Figure</v>
      </c>
      <c r="I9624">
        <v>1.05</v>
      </c>
      <c r="J9624">
        <v>0.47</v>
      </c>
      <c r="K9624">
        <v>0.97699999999999998</v>
      </c>
      <c r="L9624">
        <v>0.78</v>
      </c>
      <c r="M9624">
        <v>0.93100000000000005</v>
      </c>
      <c r="N9624">
        <v>0.17</v>
      </c>
    </row>
    <row r="9625" spans="1:14" x14ac:dyDescent="0.25">
      <c r="A9625" t="s">
        <v>16865</v>
      </c>
      <c r="B9625" t="s">
        <v>16866</v>
      </c>
      <c r="C9625" s="1" t="str">
        <f>HYPERLINK("http://www.genecards.org/cgi-bin/carddisp.pl?gene=TBC1D2","GeneCards")</f>
        <v>GeneCards</v>
      </c>
      <c r="D9625" s="1" t="str">
        <f>HYPERLINK("http://genome-euro.ucsc.edu/cgi-bin/hgTracks?position=222173_s_at","UCSC")</f>
        <v>UCSC</v>
      </c>
      <c r="E9625" s="1" t="str">
        <f>HYPERLINK("http://www.ncbi.nlm.nih.gov/gene/?term=TBC1D2","NCBI")</f>
        <v>NCBI</v>
      </c>
      <c r="F9625">
        <v>0.19</v>
      </c>
      <c r="G9625">
        <v>0.34</v>
      </c>
      <c r="H9625" s="1" t="str">
        <f>HYPERLINK("http://www.weizmann.ac.il/complex/compphys/software/geview/data/figures/222173_s_at.png","Figure")</f>
        <v>Figure</v>
      </c>
      <c r="I9625">
        <v>1</v>
      </c>
      <c r="J9625">
        <v>0.93</v>
      </c>
      <c r="K9625">
        <v>0.98499999999999999</v>
      </c>
      <c r="L9625">
        <v>0.35</v>
      </c>
      <c r="M9625">
        <v>0.98099999999999998</v>
      </c>
      <c r="N9625">
        <v>0.23</v>
      </c>
    </row>
    <row r="9626" spans="1:14" x14ac:dyDescent="0.25">
      <c r="A9626" t="s">
        <v>16867</v>
      </c>
      <c r="B9626" t="s">
        <v>16868</v>
      </c>
      <c r="C9626" s="1" t="str">
        <f>HYPERLINK("http://www.genecards.org/cgi-bin/carddisp.pl?gene=TRIM23","GeneCards")</f>
        <v>GeneCards</v>
      </c>
      <c r="D9626" s="1" t="str">
        <f>HYPERLINK("http://genome-euro.ucsc.edu/cgi-bin/hgTracks?position=204732_s_at","UCSC")</f>
        <v>UCSC</v>
      </c>
      <c r="E9626" s="1" t="str">
        <f>HYPERLINK("http://www.ncbi.nlm.nih.gov/gene/?term=TRIM23","NCBI")</f>
        <v>NCBI</v>
      </c>
      <c r="F9626">
        <v>0.19</v>
      </c>
      <c r="G9626">
        <v>0.34</v>
      </c>
      <c r="H9626" s="1" t="str">
        <f>HYPERLINK("http://www.weizmann.ac.il/complex/compphys/software/geview/data/figures/204732_s_at.png","Figure")</f>
        <v>Figure</v>
      </c>
      <c r="I9626">
        <v>0.753</v>
      </c>
      <c r="J9626">
        <v>0.6</v>
      </c>
      <c r="K9626">
        <v>0.61299999999999999</v>
      </c>
      <c r="L9626">
        <v>0.17</v>
      </c>
      <c r="M9626">
        <v>0.81399999999999995</v>
      </c>
      <c r="N9626">
        <v>0.73</v>
      </c>
    </row>
    <row r="9627" spans="1:14" x14ac:dyDescent="0.25">
      <c r="A9627" t="s">
        <v>16869</v>
      </c>
      <c r="B9627" t="s">
        <v>12071</v>
      </c>
      <c r="C9627" s="1" t="str">
        <f>HYPERLINK("http://www.genecards.org/cgi-bin/carddisp.pl?gene=CTBP1","GeneCards")</f>
        <v>GeneCards</v>
      </c>
      <c r="D9627" s="1" t="str">
        <f>HYPERLINK("http://genome-euro.ucsc.edu/cgi-bin/hgTracks?position=213980_s_at","UCSC")</f>
        <v>UCSC</v>
      </c>
      <c r="E9627" s="1" t="str">
        <f>HYPERLINK("http://www.ncbi.nlm.nih.gov/gene/?term=CTBP1","NCBI")</f>
        <v>NCBI</v>
      </c>
      <c r="F9627">
        <v>0.19</v>
      </c>
      <c r="G9627">
        <v>0.34</v>
      </c>
      <c r="H9627" s="1" t="str">
        <f>HYPERLINK("http://www.weizmann.ac.il/complex/compphys/software/geview/data/figures/213980_s_at.png","Figure")</f>
        <v>Figure</v>
      </c>
      <c r="I9627">
        <v>0.60699999999999998</v>
      </c>
      <c r="J9627">
        <v>0.32</v>
      </c>
      <c r="K9627">
        <v>1.0900000000000001</v>
      </c>
      <c r="L9627">
        <v>0.96</v>
      </c>
      <c r="M9627">
        <v>1.79</v>
      </c>
      <c r="N9627">
        <v>0.19</v>
      </c>
    </row>
    <row r="9628" spans="1:14" x14ac:dyDescent="0.25">
      <c r="A9628" t="s">
        <v>16870</v>
      </c>
      <c r="B9628" t="s">
        <v>16871</v>
      </c>
      <c r="C9628" s="1" t="str">
        <f>HYPERLINK("http://www.genecards.org/cgi-bin/carddisp.pl?gene=RNMT","GeneCards")</f>
        <v>GeneCards</v>
      </c>
      <c r="D9628" s="1" t="str">
        <f>HYPERLINK("http://genome-euro.ucsc.edu/cgi-bin/hgTracks?position=202683_s_at","UCSC")</f>
        <v>UCSC</v>
      </c>
      <c r="E9628" s="1" t="str">
        <f>HYPERLINK("http://www.ncbi.nlm.nih.gov/gene/?term=RNMT","NCBI")</f>
        <v>NCBI</v>
      </c>
      <c r="F9628">
        <v>0.19</v>
      </c>
      <c r="G9628">
        <v>0.34</v>
      </c>
      <c r="H9628" s="1" t="str">
        <f>HYPERLINK("http://www.weizmann.ac.il/complex/compphys/software/geview/data/figures/202683_s_at.png","Figure")</f>
        <v>Figure</v>
      </c>
      <c r="I9628">
        <v>0.74</v>
      </c>
      <c r="J9628">
        <v>0.28999999999999998</v>
      </c>
      <c r="K9628">
        <v>0.748</v>
      </c>
      <c r="L9628">
        <v>0.22</v>
      </c>
      <c r="M9628">
        <v>1.01</v>
      </c>
      <c r="N9628">
        <v>1</v>
      </c>
    </row>
    <row r="9629" spans="1:14" x14ac:dyDescent="0.25">
      <c r="A9629" t="s">
        <v>16872</v>
      </c>
      <c r="B9629" t="s">
        <v>16873</v>
      </c>
      <c r="C9629" s="1" t="str">
        <f>HYPERLINK("http://www.genecards.org/cgi-bin/carddisp.pl?gene=ITPKA","GeneCards")</f>
        <v>GeneCards</v>
      </c>
      <c r="D9629" s="1" t="str">
        <f>HYPERLINK("http://genome-euro.ucsc.edu/cgi-bin/hgTracks?position=205874_at","UCSC")</f>
        <v>UCSC</v>
      </c>
      <c r="E9629" s="1" t="str">
        <f>HYPERLINK("http://www.ncbi.nlm.nih.gov/gene/?term=ITPKA","NCBI")</f>
        <v>NCBI</v>
      </c>
      <c r="F9629">
        <v>0.19</v>
      </c>
      <c r="G9629">
        <v>0.34</v>
      </c>
      <c r="H9629" s="1" t="str">
        <f>HYPERLINK("http://www.weizmann.ac.il/complex/compphys/software/geview/data/figures/205874_at.png","Figure")</f>
        <v>Figure</v>
      </c>
      <c r="I9629">
        <v>1.03</v>
      </c>
      <c r="J9629">
        <v>0.3</v>
      </c>
      <c r="K9629">
        <v>1.03</v>
      </c>
      <c r="L9629">
        <v>0.22</v>
      </c>
      <c r="M9629">
        <v>1</v>
      </c>
      <c r="N9629">
        <v>1</v>
      </c>
    </row>
    <row r="9630" spans="1:14" x14ac:dyDescent="0.25">
      <c r="A9630" t="s">
        <v>16874</v>
      </c>
      <c r="B9630" t="s">
        <v>16875</v>
      </c>
      <c r="C9630" s="1" t="str">
        <f>HYPERLINK("http://www.genecards.org/cgi-bin/carddisp.pl?gene=ABCB9","GeneCards")</f>
        <v>GeneCards</v>
      </c>
      <c r="D9630" s="1" t="str">
        <f>HYPERLINK("http://genome-euro.ucsc.edu/cgi-bin/hgTracks?position=207321_s_at","UCSC")</f>
        <v>UCSC</v>
      </c>
      <c r="E9630" s="1" t="str">
        <f>HYPERLINK("http://www.ncbi.nlm.nih.gov/gene/?term=ABCB9","NCBI")</f>
        <v>NCBI</v>
      </c>
      <c r="F9630">
        <v>0.19</v>
      </c>
      <c r="G9630">
        <v>0.34</v>
      </c>
      <c r="H9630" s="1" t="str">
        <f>HYPERLINK("http://www.weizmann.ac.il/complex/compphys/software/geview/data/figures/207321_s_at.png","Figure")</f>
        <v>Figure</v>
      </c>
      <c r="I9630">
        <v>1.23</v>
      </c>
      <c r="J9630">
        <v>0.18</v>
      </c>
      <c r="K9630">
        <v>1.06</v>
      </c>
      <c r="L9630">
        <v>0.82</v>
      </c>
      <c r="M9630">
        <v>0.86299999999999999</v>
      </c>
      <c r="N9630">
        <v>0.34</v>
      </c>
    </row>
    <row r="9631" spans="1:14" x14ac:dyDescent="0.25">
      <c r="A9631" t="s">
        <v>16876</v>
      </c>
      <c r="B9631" t="s">
        <v>10586</v>
      </c>
      <c r="C9631" s="1" t="str">
        <f>HYPERLINK("http://www.genecards.org/cgi-bin/carddisp.pl?gene=MAPRE3","GeneCards")</f>
        <v>GeneCards</v>
      </c>
      <c r="D9631" s="1" t="str">
        <f>HYPERLINK("http://genome-euro.ucsc.edu/cgi-bin/hgTracks?position=214270_s_at","UCSC")</f>
        <v>UCSC</v>
      </c>
      <c r="E9631" s="1" t="str">
        <f>HYPERLINK("http://www.ncbi.nlm.nih.gov/gene/?term=MAPRE3","NCBI")</f>
        <v>NCBI</v>
      </c>
      <c r="F9631">
        <v>0.19</v>
      </c>
      <c r="G9631">
        <v>0.34</v>
      </c>
      <c r="H9631" s="1" t="str">
        <f>HYPERLINK("http://www.weizmann.ac.il/complex/compphys/software/geview/data/figures/214270_s_at.png","Figure")</f>
        <v>Figure</v>
      </c>
      <c r="I9631">
        <v>1.01</v>
      </c>
      <c r="J9631">
        <v>0.3</v>
      </c>
      <c r="K9631">
        <v>1.01</v>
      </c>
      <c r="L9631">
        <v>0.22</v>
      </c>
      <c r="M9631">
        <v>1</v>
      </c>
      <c r="N9631">
        <v>1</v>
      </c>
    </row>
    <row r="9632" spans="1:14" x14ac:dyDescent="0.25">
      <c r="A9632" t="s">
        <v>16877</v>
      </c>
      <c r="B9632" t="s">
        <v>16878</v>
      </c>
      <c r="C9632" s="1" t="str">
        <f>HYPERLINK("http://www.genecards.org/cgi-bin/carddisp.pl?gene=OSGEPL1","GeneCards")</f>
        <v>GeneCards</v>
      </c>
      <c r="D9632" s="1" t="str">
        <f>HYPERLINK("http://genome-euro.ucsc.edu/cgi-bin/hgTracks?position=220631_at","UCSC")</f>
        <v>UCSC</v>
      </c>
      <c r="E9632" s="1" t="str">
        <f>HYPERLINK("http://www.ncbi.nlm.nih.gov/gene/?term=OSGEPL1","NCBI")</f>
        <v>NCBI</v>
      </c>
      <c r="F9632">
        <v>0.19</v>
      </c>
      <c r="G9632">
        <v>0.34</v>
      </c>
      <c r="H9632" s="1" t="str">
        <f>HYPERLINK("http://www.weizmann.ac.il/complex/compphys/software/geview/data/figures/220631_at.png","Figure")</f>
        <v>Figure</v>
      </c>
      <c r="I9632">
        <v>0.88500000000000001</v>
      </c>
      <c r="J9632">
        <v>0.2</v>
      </c>
      <c r="K9632">
        <v>0.91900000000000004</v>
      </c>
      <c r="L9632">
        <v>0.34</v>
      </c>
      <c r="M9632">
        <v>1.04</v>
      </c>
      <c r="N9632">
        <v>0.82</v>
      </c>
    </row>
    <row r="9633" spans="1:14" x14ac:dyDescent="0.25">
      <c r="A9633" t="s">
        <v>16879</v>
      </c>
      <c r="B9633" t="s">
        <v>16880</v>
      </c>
      <c r="C9633" s="1" t="str">
        <f>HYPERLINK("http://www.genecards.org/cgi-bin/carddisp.pl?gene=KIF3C","GeneCards")</f>
        <v>GeneCards</v>
      </c>
      <c r="D9633" s="1" t="str">
        <f>HYPERLINK("http://genome-euro.ucsc.edu/cgi-bin/hgTracks?position=203389_at","UCSC")</f>
        <v>UCSC</v>
      </c>
      <c r="E9633" s="1" t="str">
        <f>HYPERLINK("http://www.ncbi.nlm.nih.gov/gene/?term=KIF3C","NCBI")</f>
        <v>NCBI</v>
      </c>
      <c r="F9633">
        <v>0.19</v>
      </c>
      <c r="G9633">
        <v>0.34</v>
      </c>
      <c r="H9633" s="1" t="str">
        <f>HYPERLINK("http://www.weizmann.ac.il/complex/compphys/software/geview/data/figures/203389_at.png","Figure")</f>
        <v>Figure</v>
      </c>
      <c r="I9633">
        <v>0.85899999999999999</v>
      </c>
      <c r="J9633">
        <v>0.23</v>
      </c>
      <c r="K9633">
        <v>0.88200000000000001</v>
      </c>
      <c r="L9633">
        <v>0.27</v>
      </c>
      <c r="M9633">
        <v>1.03</v>
      </c>
      <c r="N9633">
        <v>0.94</v>
      </c>
    </row>
    <row r="9634" spans="1:14" x14ac:dyDescent="0.25">
      <c r="A9634" t="s">
        <v>16881</v>
      </c>
      <c r="B9634" t="s">
        <v>15140</v>
      </c>
      <c r="C9634" s="1" t="str">
        <f>HYPERLINK("http://www.genecards.org/cgi-bin/carddisp.pl?gene=PMS2 /// PMS2CL","GeneCards")</f>
        <v>GeneCards</v>
      </c>
      <c r="D9634" s="1" t="str">
        <f>HYPERLINK("http://genome-euro.ucsc.edu/cgi-bin/hgTracks?position=221206_at","UCSC")</f>
        <v>UCSC</v>
      </c>
      <c r="E9634" s="1" t="str">
        <f>HYPERLINK("http://www.ncbi.nlm.nih.gov/gene/?term=PMS2 /// PMS2CL","NCBI")</f>
        <v>NCBI</v>
      </c>
      <c r="F9634">
        <v>0.19</v>
      </c>
      <c r="G9634">
        <v>0.34</v>
      </c>
      <c r="H9634" s="1" t="str">
        <f>HYPERLINK("http://www.weizmann.ac.il/complex/compphys/software/geview/data/figures/221206_at.png","Figure")</f>
        <v>Figure</v>
      </c>
      <c r="I9634">
        <v>1.02</v>
      </c>
      <c r="J9634">
        <v>0.98</v>
      </c>
      <c r="K9634">
        <v>0.84199999999999997</v>
      </c>
      <c r="L9634">
        <v>0.3</v>
      </c>
      <c r="M9634">
        <v>0.82299999999999995</v>
      </c>
      <c r="N9634">
        <v>0.26</v>
      </c>
    </row>
    <row r="9635" spans="1:14" x14ac:dyDescent="0.25">
      <c r="A9635" t="s">
        <v>16882</v>
      </c>
      <c r="B9635" t="s">
        <v>16883</v>
      </c>
      <c r="C9635" s="1" t="str">
        <f>HYPERLINK("http://www.genecards.org/cgi-bin/carddisp.pl?gene=AHCY","GeneCards")</f>
        <v>GeneCards</v>
      </c>
      <c r="D9635" s="1" t="str">
        <f>HYPERLINK("http://genome-euro.ucsc.edu/cgi-bin/hgTracks?position=200903_s_at","UCSC")</f>
        <v>UCSC</v>
      </c>
      <c r="E9635" s="1" t="str">
        <f>HYPERLINK("http://www.ncbi.nlm.nih.gov/gene/?term=AHCY","NCBI")</f>
        <v>NCBI</v>
      </c>
      <c r="F9635">
        <v>0.19</v>
      </c>
      <c r="G9635">
        <v>0.34</v>
      </c>
      <c r="H9635" s="1" t="str">
        <f>HYPERLINK("http://www.weizmann.ac.il/complex/compphys/software/geview/data/figures/200903_s_at.png","Figure")</f>
        <v>Figure</v>
      </c>
      <c r="I9635">
        <v>0.93300000000000005</v>
      </c>
      <c r="J9635">
        <v>0.96</v>
      </c>
      <c r="K9635">
        <v>1.41</v>
      </c>
      <c r="L9635">
        <v>0.32</v>
      </c>
      <c r="M9635">
        <v>1.51</v>
      </c>
      <c r="N9635">
        <v>0.24</v>
      </c>
    </row>
    <row r="9636" spans="1:14" x14ac:dyDescent="0.25">
      <c r="A9636" t="s">
        <v>16884</v>
      </c>
      <c r="B9636" t="s">
        <v>16885</v>
      </c>
      <c r="C9636" s="1" t="str">
        <f>HYPERLINK("http://www.genecards.org/cgi-bin/carddisp.pl?gene=TCERG1","GeneCards")</f>
        <v>GeneCards</v>
      </c>
      <c r="D9636" s="1" t="str">
        <f>HYPERLINK("http://genome-euro.ucsc.edu/cgi-bin/hgTracks?position=202396_at","UCSC")</f>
        <v>UCSC</v>
      </c>
      <c r="E9636" s="1" t="str">
        <f>HYPERLINK("http://www.ncbi.nlm.nih.gov/gene/?term=TCERG1","NCBI")</f>
        <v>NCBI</v>
      </c>
      <c r="F9636">
        <v>0.19</v>
      </c>
      <c r="G9636">
        <v>0.34</v>
      </c>
      <c r="H9636" s="1" t="str">
        <f>HYPERLINK("http://www.weizmann.ac.il/complex/compphys/software/geview/data/figures/202396_at.png","Figure")</f>
        <v>Figure</v>
      </c>
      <c r="I9636">
        <v>0.89200000000000002</v>
      </c>
      <c r="J9636">
        <v>0.84</v>
      </c>
      <c r="K9636">
        <v>0.72099999999999997</v>
      </c>
      <c r="L9636">
        <v>0.18</v>
      </c>
      <c r="M9636">
        <v>0.80900000000000005</v>
      </c>
      <c r="N9636">
        <v>0.51</v>
      </c>
    </row>
    <row r="9637" spans="1:14" x14ac:dyDescent="0.25">
      <c r="A9637" t="s">
        <v>16886</v>
      </c>
      <c r="B9637" t="s">
        <v>16443</v>
      </c>
      <c r="C9637" s="1" t="str">
        <f>HYPERLINK("http://www.genecards.org/cgi-bin/carddisp.pl?gene=ACRV1","GeneCards")</f>
        <v>GeneCards</v>
      </c>
      <c r="D9637" s="1" t="str">
        <f>HYPERLINK("http://genome-euro.ucsc.edu/cgi-bin/hgTracks?position=208013_s_at","UCSC")</f>
        <v>UCSC</v>
      </c>
      <c r="E9637" s="1" t="str">
        <f>HYPERLINK("http://www.ncbi.nlm.nih.gov/gene/?term=ACRV1","NCBI")</f>
        <v>NCBI</v>
      </c>
      <c r="F9637">
        <v>0.19</v>
      </c>
      <c r="G9637">
        <v>0.34</v>
      </c>
      <c r="H9637" s="1" t="str">
        <f>HYPERLINK("http://www.weizmann.ac.il/complex/compphys/software/geview/data/figures/208013_s_at.png","Figure")</f>
        <v>Figure</v>
      </c>
      <c r="I9637">
        <v>0.96599999999999997</v>
      </c>
      <c r="J9637">
        <v>0.44</v>
      </c>
      <c r="K9637">
        <v>0.95599999999999996</v>
      </c>
      <c r="L9637">
        <v>0.18</v>
      </c>
      <c r="M9637">
        <v>0.98899999999999999</v>
      </c>
      <c r="N9637">
        <v>0.91</v>
      </c>
    </row>
    <row r="9638" spans="1:14" x14ac:dyDescent="0.25">
      <c r="A9638" t="s">
        <v>16887</v>
      </c>
      <c r="B9638" t="s">
        <v>16888</v>
      </c>
      <c r="C9638" s="1" t="str">
        <f>HYPERLINK("http://www.genecards.org/cgi-bin/carddisp.pl?gene=PSMD8","GeneCards")</f>
        <v>GeneCards</v>
      </c>
      <c r="D9638" s="1" t="str">
        <f>HYPERLINK("http://genome-euro.ucsc.edu/cgi-bin/hgTracks?position=200820_at","UCSC")</f>
        <v>UCSC</v>
      </c>
      <c r="E9638" s="1" t="str">
        <f>HYPERLINK("http://www.ncbi.nlm.nih.gov/gene/?term=PSMD8","NCBI")</f>
        <v>NCBI</v>
      </c>
      <c r="F9638">
        <v>0.19</v>
      </c>
      <c r="G9638">
        <v>0.34</v>
      </c>
      <c r="H9638" s="1" t="str">
        <f>HYPERLINK("http://www.weizmann.ac.il/complex/compphys/software/geview/data/figures/200820_at.png","Figure")</f>
        <v>Figure</v>
      </c>
      <c r="I9638">
        <v>1.1599999999999999</v>
      </c>
      <c r="J9638">
        <v>0.61</v>
      </c>
      <c r="K9638">
        <v>1.3</v>
      </c>
      <c r="L9638">
        <v>0.17</v>
      </c>
      <c r="M9638">
        <v>1.1200000000000001</v>
      </c>
      <c r="N9638">
        <v>0.72</v>
      </c>
    </row>
    <row r="9639" spans="1:14" x14ac:dyDescent="0.25">
      <c r="A9639" t="s">
        <v>16889</v>
      </c>
      <c r="B9639" t="s">
        <v>16890</v>
      </c>
      <c r="C9639" s="1" t="str">
        <f>HYPERLINK("http://www.genecards.org/cgi-bin/carddisp.pl?gene=ACP2","GeneCards")</f>
        <v>GeneCards</v>
      </c>
      <c r="D9639" s="1" t="str">
        <f>HYPERLINK("http://genome-euro.ucsc.edu/cgi-bin/hgTracks?position=202767_at","UCSC")</f>
        <v>UCSC</v>
      </c>
      <c r="E9639" s="1" t="str">
        <f>HYPERLINK("http://www.ncbi.nlm.nih.gov/gene/?term=ACP2","NCBI")</f>
        <v>NCBI</v>
      </c>
      <c r="F9639">
        <v>0.19</v>
      </c>
      <c r="G9639">
        <v>0.34</v>
      </c>
      <c r="H9639" s="1" t="str">
        <f>HYPERLINK("http://www.weizmann.ac.il/complex/compphys/software/geview/data/figures/202767_at.png","Figure")</f>
        <v>Figure</v>
      </c>
      <c r="I9639">
        <v>1.1000000000000001</v>
      </c>
      <c r="J9639">
        <v>0.18</v>
      </c>
      <c r="K9639">
        <v>1.03</v>
      </c>
      <c r="L9639">
        <v>0.79</v>
      </c>
      <c r="M9639">
        <v>0.93400000000000005</v>
      </c>
      <c r="N9639">
        <v>0.36</v>
      </c>
    </row>
    <row r="9640" spans="1:14" x14ac:dyDescent="0.25">
      <c r="A9640" t="s">
        <v>16891</v>
      </c>
      <c r="B9640" t="s">
        <v>16892</v>
      </c>
      <c r="C9640" s="1" t="str">
        <f>HYPERLINK("http://www.genecards.org/cgi-bin/carddisp.pl?gene=C4BPA","GeneCards")</f>
        <v>GeneCards</v>
      </c>
      <c r="D9640" s="1" t="str">
        <f>HYPERLINK("http://genome-euro.ucsc.edu/cgi-bin/hgTracks?position=205654_at","UCSC")</f>
        <v>UCSC</v>
      </c>
      <c r="E9640" s="1" t="str">
        <f>HYPERLINK("http://www.ncbi.nlm.nih.gov/gene/?term=C4BPA","NCBI")</f>
        <v>NCBI</v>
      </c>
      <c r="F9640">
        <v>0.19</v>
      </c>
      <c r="G9640">
        <v>0.34</v>
      </c>
      <c r="H9640" s="1" t="str">
        <f>HYPERLINK("http://www.weizmann.ac.il/complex/compphys/software/geview/data/figures/205654_at.png","Figure")</f>
        <v>Figure</v>
      </c>
      <c r="I9640">
        <v>1.24</v>
      </c>
      <c r="J9640">
        <v>0.18</v>
      </c>
      <c r="K9640">
        <v>1.07</v>
      </c>
      <c r="L9640">
        <v>0.75</v>
      </c>
      <c r="M9640">
        <v>0.86499999999999999</v>
      </c>
      <c r="N9640">
        <v>0.39</v>
      </c>
    </row>
    <row r="9641" spans="1:14" x14ac:dyDescent="0.25">
      <c r="A9641" t="s">
        <v>16893</v>
      </c>
      <c r="B9641" t="s">
        <v>6991</v>
      </c>
      <c r="C9641" s="1" t="str">
        <f>HYPERLINK("http://www.genecards.org/cgi-bin/carddisp.pl?gene=RASGRP2","GeneCards")</f>
        <v>GeneCards</v>
      </c>
      <c r="D9641" s="1" t="str">
        <f>HYPERLINK("http://genome-euro.ucsc.edu/cgi-bin/hgTracks?position=208206_s_at","UCSC")</f>
        <v>UCSC</v>
      </c>
      <c r="E9641" s="1" t="str">
        <f>HYPERLINK("http://www.ncbi.nlm.nih.gov/gene/?term=RASGRP2","NCBI")</f>
        <v>NCBI</v>
      </c>
      <c r="F9641">
        <v>0.19</v>
      </c>
      <c r="G9641">
        <v>0.34</v>
      </c>
      <c r="H9641" s="1" t="str">
        <f>HYPERLINK("http://www.weizmann.ac.il/complex/compphys/software/geview/data/figures/208206_s_at.png","Figure")</f>
        <v>Figure</v>
      </c>
      <c r="I9641">
        <v>0.57799999999999996</v>
      </c>
      <c r="J9641">
        <v>0.33</v>
      </c>
      <c r="K9641">
        <v>1.1000000000000001</v>
      </c>
      <c r="L9641">
        <v>0.95</v>
      </c>
      <c r="M9641">
        <v>1.91</v>
      </c>
      <c r="N9641">
        <v>0.19</v>
      </c>
    </row>
    <row r="9642" spans="1:14" x14ac:dyDescent="0.25">
      <c r="A9642" t="s">
        <v>16894</v>
      </c>
      <c r="B9642" t="s">
        <v>3421</v>
      </c>
      <c r="C9642" s="1" t="str">
        <f>HYPERLINK("http://www.genecards.org/cgi-bin/carddisp.pl?gene=MDH2","GeneCards")</f>
        <v>GeneCards</v>
      </c>
      <c r="D9642" s="1" t="str">
        <f>HYPERLINK("http://genome-euro.ucsc.edu/cgi-bin/hgTracks?position=209036_s_at","UCSC")</f>
        <v>UCSC</v>
      </c>
      <c r="E9642" s="1" t="str">
        <f>HYPERLINK("http://www.ncbi.nlm.nih.gov/gene/?term=MDH2","NCBI")</f>
        <v>NCBI</v>
      </c>
      <c r="F9642">
        <v>0.2</v>
      </c>
      <c r="G9642">
        <v>0.34</v>
      </c>
      <c r="H9642" s="1" t="str">
        <f>HYPERLINK("http://www.weizmann.ac.il/complex/compphys/software/geview/data/figures/209036_s_at.png","Figure")</f>
        <v>Figure</v>
      </c>
      <c r="I9642">
        <v>0.95099999999999996</v>
      </c>
      <c r="J9642">
        <v>0.97</v>
      </c>
      <c r="K9642">
        <v>1.34</v>
      </c>
      <c r="L9642">
        <v>0.31</v>
      </c>
      <c r="M9642">
        <v>1.4</v>
      </c>
      <c r="N9642">
        <v>0.25</v>
      </c>
    </row>
    <row r="9643" spans="1:14" x14ac:dyDescent="0.25">
      <c r="A9643" t="s">
        <v>16895</v>
      </c>
      <c r="B9643" t="s">
        <v>8163</v>
      </c>
      <c r="C9643" s="1" t="str">
        <f>HYPERLINK("http://www.genecards.org/cgi-bin/carddisp.pl?gene=UBXN4","GeneCards")</f>
        <v>GeneCards</v>
      </c>
      <c r="D9643" s="1" t="str">
        <f>HYPERLINK("http://genome-euro.ucsc.edu/cgi-bin/hgTracks?position=212007_at","UCSC")</f>
        <v>UCSC</v>
      </c>
      <c r="E9643" s="1" t="str">
        <f>HYPERLINK("http://www.ncbi.nlm.nih.gov/gene/?term=UBXN4","NCBI")</f>
        <v>NCBI</v>
      </c>
      <c r="F9643">
        <v>0.19</v>
      </c>
      <c r="G9643">
        <v>0.34</v>
      </c>
      <c r="H9643" s="1" t="str">
        <f>HYPERLINK("http://www.weizmann.ac.il/complex/compphys/software/geview/data/figures/212007_at.png","Figure")</f>
        <v>Figure</v>
      </c>
      <c r="I9643">
        <v>1.0900000000000001</v>
      </c>
      <c r="J9643">
        <v>0.91</v>
      </c>
      <c r="K9643">
        <v>0.77300000000000002</v>
      </c>
      <c r="L9643">
        <v>0.36</v>
      </c>
      <c r="M9643">
        <v>0.71</v>
      </c>
      <c r="N9643">
        <v>0.22</v>
      </c>
    </row>
    <row r="9644" spans="1:14" x14ac:dyDescent="0.25">
      <c r="A9644" t="s">
        <v>16896</v>
      </c>
      <c r="B9644" t="s">
        <v>16897</v>
      </c>
      <c r="C9644" s="1" t="str">
        <f>HYPERLINK("http://www.genecards.org/cgi-bin/carddisp.pl?gene=CYP21A2","GeneCards")</f>
        <v>GeneCards</v>
      </c>
      <c r="D9644" s="1" t="str">
        <f>HYPERLINK("http://genome-euro.ucsc.edu/cgi-bin/hgTracks?position=214622_at","UCSC")</f>
        <v>UCSC</v>
      </c>
      <c r="E9644" s="1" t="str">
        <f>HYPERLINK("http://www.ncbi.nlm.nih.gov/gene/?term=CYP21A2","NCBI")</f>
        <v>NCBI</v>
      </c>
      <c r="F9644">
        <v>0.2</v>
      </c>
      <c r="G9644">
        <v>0.34</v>
      </c>
      <c r="H9644" s="1" t="str">
        <f>HYPERLINK("http://www.weizmann.ac.il/complex/compphys/software/geview/data/figures/214622_at.png","Figure")</f>
        <v>Figure</v>
      </c>
      <c r="I9644">
        <v>1.19</v>
      </c>
      <c r="J9644">
        <v>0.17</v>
      </c>
      <c r="K9644">
        <v>1.08</v>
      </c>
      <c r="L9644">
        <v>0.59</v>
      </c>
      <c r="M9644">
        <v>0.91200000000000003</v>
      </c>
      <c r="N9644">
        <v>0.52</v>
      </c>
    </row>
    <row r="9645" spans="1:14" x14ac:dyDescent="0.25">
      <c r="A9645" t="s">
        <v>16898</v>
      </c>
      <c r="B9645" t="s">
        <v>6086</v>
      </c>
      <c r="C9645" s="1" t="str">
        <f>HYPERLINK("http://www.genecards.org/cgi-bin/carddisp.pl?gene=TCL6","GeneCards")</f>
        <v>GeneCards</v>
      </c>
      <c r="D9645" s="1" t="str">
        <f>HYPERLINK("http://genome-euro.ucsc.edu/cgi-bin/hgTracks?position=219840_s_at","UCSC")</f>
        <v>UCSC</v>
      </c>
      <c r="E9645" s="1" t="str">
        <f>HYPERLINK("http://www.ncbi.nlm.nih.gov/gene/?term=TCL6","NCBI")</f>
        <v>NCBI</v>
      </c>
      <c r="F9645">
        <v>0.19</v>
      </c>
      <c r="G9645">
        <v>0.34</v>
      </c>
      <c r="H9645" s="1" t="str">
        <f>HYPERLINK("http://www.weizmann.ac.il/complex/compphys/software/geview/data/figures/219840_s_at.png","Figure")</f>
        <v>Figure</v>
      </c>
      <c r="I9645">
        <v>2.39</v>
      </c>
      <c r="J9645">
        <v>0.21</v>
      </c>
      <c r="K9645">
        <v>1.1299999999999999</v>
      </c>
      <c r="L9645">
        <v>0.96</v>
      </c>
      <c r="M9645">
        <v>0.47399999999999998</v>
      </c>
      <c r="N9645">
        <v>0.26</v>
      </c>
    </row>
    <row r="9646" spans="1:14" x14ac:dyDescent="0.25">
      <c r="A9646" t="s">
        <v>16899</v>
      </c>
      <c r="B9646" t="s">
        <v>9646</v>
      </c>
      <c r="C9646" s="1" t="str">
        <f>HYPERLINK("http://www.genecards.org/cgi-bin/carddisp.pl?gene=DOCK6","GeneCards")</f>
        <v>GeneCards</v>
      </c>
      <c r="D9646" s="1" t="str">
        <f>HYPERLINK("http://genome-euro.ucsc.edu/cgi-bin/hgTracks?position=222004_s_at","UCSC")</f>
        <v>UCSC</v>
      </c>
      <c r="E9646" s="1" t="str">
        <f>HYPERLINK("http://www.ncbi.nlm.nih.gov/gene/?term=DOCK6","NCBI")</f>
        <v>NCBI</v>
      </c>
      <c r="F9646">
        <v>0.19</v>
      </c>
      <c r="G9646">
        <v>0.34</v>
      </c>
      <c r="H9646" s="1" t="str">
        <f>HYPERLINK("http://www.weizmann.ac.il/complex/compphys/software/geview/data/figures/222004_s_at.png","Figure")</f>
        <v>Figure</v>
      </c>
      <c r="I9646">
        <v>1.07</v>
      </c>
      <c r="J9646">
        <v>0.19</v>
      </c>
      <c r="K9646">
        <v>1.01</v>
      </c>
      <c r="L9646">
        <v>0.89</v>
      </c>
      <c r="M9646">
        <v>0.95099999999999996</v>
      </c>
      <c r="N9646">
        <v>0.3</v>
      </c>
    </row>
    <row r="9647" spans="1:14" x14ac:dyDescent="0.25">
      <c r="A9647" t="s">
        <v>16900</v>
      </c>
      <c r="B9647" t="s">
        <v>16901</v>
      </c>
      <c r="C9647" s="1" t="str">
        <f>HYPERLINK("http://www.genecards.org/cgi-bin/carddisp.pl?gene=ATF6","GeneCards")</f>
        <v>GeneCards</v>
      </c>
      <c r="D9647" s="1" t="str">
        <f>HYPERLINK("http://genome-euro.ucsc.edu/cgi-bin/hgTracks?position=217550_at","UCSC")</f>
        <v>UCSC</v>
      </c>
      <c r="E9647" s="1" t="str">
        <f>HYPERLINK("http://www.ncbi.nlm.nih.gov/gene/?term=ATF6","NCBI")</f>
        <v>NCBI</v>
      </c>
      <c r="F9647">
        <v>0.2</v>
      </c>
      <c r="G9647">
        <v>0.34</v>
      </c>
      <c r="H9647" s="1" t="str">
        <f>HYPERLINK("http://www.weizmann.ac.il/complex/compphys/software/geview/data/figures/217550_at.png","Figure")</f>
        <v>Figure</v>
      </c>
      <c r="I9647">
        <v>0.95899999999999996</v>
      </c>
      <c r="J9647">
        <v>0.18</v>
      </c>
      <c r="K9647">
        <v>0.98699999999999999</v>
      </c>
      <c r="L9647">
        <v>0.78</v>
      </c>
      <c r="M9647">
        <v>1.03</v>
      </c>
      <c r="N9647">
        <v>0.37</v>
      </c>
    </row>
    <row r="9648" spans="1:14" x14ac:dyDescent="0.25">
      <c r="A9648" t="s">
        <v>16902</v>
      </c>
      <c r="B9648" t="s">
        <v>16903</v>
      </c>
      <c r="C9648" s="1" t="str">
        <f>HYPERLINK("http://www.genecards.org/cgi-bin/carddisp.pl?gene=MTMR11","GeneCards")</f>
        <v>GeneCards</v>
      </c>
      <c r="D9648" s="1" t="str">
        <f>HYPERLINK("http://genome-euro.ucsc.edu/cgi-bin/hgTracks?position=205076_s_at","UCSC")</f>
        <v>UCSC</v>
      </c>
      <c r="E9648" s="1" t="str">
        <f>HYPERLINK("http://www.ncbi.nlm.nih.gov/gene/?term=MTMR11","NCBI")</f>
        <v>NCBI</v>
      </c>
      <c r="F9648">
        <v>0.2</v>
      </c>
      <c r="G9648">
        <v>0.34</v>
      </c>
      <c r="H9648" s="1" t="str">
        <f>HYPERLINK("http://www.weizmann.ac.il/complex/compphys/software/geview/data/figures/205076_s_at.png","Figure")</f>
        <v>Figure</v>
      </c>
      <c r="I9648">
        <v>1.26</v>
      </c>
      <c r="J9648">
        <v>0.17</v>
      </c>
      <c r="K9648">
        <v>1.1200000000000001</v>
      </c>
      <c r="L9648">
        <v>0.53</v>
      </c>
      <c r="M9648">
        <v>0.89200000000000002</v>
      </c>
      <c r="N9648">
        <v>0.56999999999999995</v>
      </c>
    </row>
    <row r="9649" spans="1:14" x14ac:dyDescent="0.25">
      <c r="A9649" t="s">
        <v>16904</v>
      </c>
      <c r="B9649" t="s">
        <v>16905</v>
      </c>
      <c r="C9649" s="1" t="str">
        <f>HYPERLINK("http://www.genecards.org/cgi-bin/carddisp.pl?gene=LASP1","GeneCards")</f>
        <v>GeneCards</v>
      </c>
      <c r="D9649" s="1" t="str">
        <f>HYPERLINK("http://genome-euro.ucsc.edu/cgi-bin/hgTracks?position=200618_at","UCSC")</f>
        <v>UCSC</v>
      </c>
      <c r="E9649" s="1" t="str">
        <f>HYPERLINK("http://www.ncbi.nlm.nih.gov/gene/?term=LASP1","NCBI")</f>
        <v>NCBI</v>
      </c>
      <c r="F9649">
        <v>0.2</v>
      </c>
      <c r="G9649">
        <v>0.34</v>
      </c>
      <c r="H9649" s="1" t="str">
        <f>HYPERLINK("http://www.weizmann.ac.il/complex/compphys/software/geview/data/figures/200618_at.png","Figure")</f>
        <v>Figure</v>
      </c>
      <c r="I9649">
        <v>0.79200000000000004</v>
      </c>
      <c r="J9649">
        <v>0.17</v>
      </c>
      <c r="K9649">
        <v>0.91100000000000003</v>
      </c>
      <c r="L9649">
        <v>0.66</v>
      </c>
      <c r="M9649">
        <v>1.1499999999999999</v>
      </c>
      <c r="N9649">
        <v>0.45</v>
      </c>
    </row>
    <row r="9650" spans="1:14" x14ac:dyDescent="0.25">
      <c r="A9650" t="s">
        <v>16906</v>
      </c>
      <c r="B9650" t="s">
        <v>16907</v>
      </c>
      <c r="C9650" s="1" t="str">
        <f>HYPERLINK("http://www.genecards.org/cgi-bin/carddisp.pl?gene=POLE2","GeneCards")</f>
        <v>GeneCards</v>
      </c>
      <c r="D9650" s="1" t="str">
        <f>HYPERLINK("http://genome-euro.ucsc.edu/cgi-bin/hgTracks?position=205909_at","UCSC")</f>
        <v>UCSC</v>
      </c>
      <c r="E9650" s="1" t="str">
        <f>HYPERLINK("http://www.ncbi.nlm.nih.gov/gene/?term=POLE2","NCBI")</f>
        <v>NCBI</v>
      </c>
      <c r="F9650">
        <v>0.2</v>
      </c>
      <c r="G9650">
        <v>0.34</v>
      </c>
      <c r="H9650" s="1" t="str">
        <f>HYPERLINK("http://www.weizmann.ac.il/complex/compphys/software/geview/data/figures/205909_at.png","Figure")</f>
        <v>Figure</v>
      </c>
      <c r="I9650">
        <v>0.755</v>
      </c>
      <c r="J9650">
        <v>0.25</v>
      </c>
      <c r="K9650">
        <v>0.99099999999999999</v>
      </c>
      <c r="L9650">
        <v>1</v>
      </c>
      <c r="M9650">
        <v>1.31</v>
      </c>
      <c r="N9650">
        <v>0.22</v>
      </c>
    </row>
    <row r="9651" spans="1:14" x14ac:dyDescent="0.25">
      <c r="A9651" t="s">
        <v>16908</v>
      </c>
      <c r="B9651" t="s">
        <v>16909</v>
      </c>
      <c r="C9651" s="1" t="str">
        <f>HYPERLINK("http://www.genecards.org/cgi-bin/carddisp.pl?gene=CIC","GeneCards")</f>
        <v>GeneCards</v>
      </c>
      <c r="D9651" s="1" t="str">
        <f>HYPERLINK("http://genome-euro.ucsc.edu/cgi-bin/hgTracks?position=212784_at","UCSC")</f>
        <v>UCSC</v>
      </c>
      <c r="E9651" s="1" t="str">
        <f>HYPERLINK("http://www.ncbi.nlm.nih.gov/gene/?term=CIC","NCBI")</f>
        <v>NCBI</v>
      </c>
      <c r="F9651">
        <v>0.2</v>
      </c>
      <c r="G9651">
        <v>0.34</v>
      </c>
      <c r="H9651" s="1" t="str">
        <f>HYPERLINK("http://www.weizmann.ac.il/complex/compphys/software/geview/data/figures/212784_at.png","Figure")</f>
        <v>Figure</v>
      </c>
      <c r="I9651">
        <v>1.24</v>
      </c>
      <c r="J9651">
        <v>0.45</v>
      </c>
      <c r="K9651">
        <v>1.33</v>
      </c>
      <c r="L9651">
        <v>0.18</v>
      </c>
      <c r="M9651">
        <v>1.07</v>
      </c>
      <c r="N9651">
        <v>0.9</v>
      </c>
    </row>
    <row r="9652" spans="1:14" x14ac:dyDescent="0.25">
      <c r="A9652" t="s">
        <v>16910</v>
      </c>
      <c r="B9652" t="s">
        <v>2144</v>
      </c>
      <c r="C9652" s="1" t="str">
        <f>HYPERLINK("http://www.genecards.org/cgi-bin/carddisp.pl?gene=CALM1","GeneCards")</f>
        <v>GeneCards</v>
      </c>
      <c r="D9652" s="1" t="str">
        <f>HYPERLINK("http://genome-euro.ucsc.edu/cgi-bin/hgTracks?position=213688_at","UCSC")</f>
        <v>UCSC</v>
      </c>
      <c r="E9652" s="1" t="str">
        <f>HYPERLINK("http://www.ncbi.nlm.nih.gov/gene/?term=CALM1","NCBI")</f>
        <v>NCBI</v>
      </c>
      <c r="F9652">
        <v>0.2</v>
      </c>
      <c r="G9652">
        <v>0.34</v>
      </c>
      <c r="H9652" s="1" t="str">
        <f>HYPERLINK("http://www.weizmann.ac.il/complex/compphys/software/geview/data/figures/213688_at.png","Figure")</f>
        <v>Figure</v>
      </c>
      <c r="I9652">
        <v>1.05</v>
      </c>
      <c r="J9652">
        <v>0.9</v>
      </c>
      <c r="K9652">
        <v>1.19</v>
      </c>
      <c r="L9652">
        <v>0.2</v>
      </c>
      <c r="M9652">
        <v>1.1399999999999999</v>
      </c>
      <c r="N9652">
        <v>0.45</v>
      </c>
    </row>
    <row r="9653" spans="1:14" x14ac:dyDescent="0.25">
      <c r="A9653" t="s">
        <v>16911</v>
      </c>
      <c r="B9653" t="s">
        <v>16912</v>
      </c>
      <c r="C9653" s="1" t="str">
        <f>HYPERLINK("http://www.genecards.org/cgi-bin/carddisp.pl?gene=MRPL23","GeneCards")</f>
        <v>GeneCards</v>
      </c>
      <c r="D9653" s="1" t="str">
        <f>HYPERLINK("http://genome-euro.ucsc.edu/cgi-bin/hgTracks?position=213897_s_at","UCSC")</f>
        <v>UCSC</v>
      </c>
      <c r="E9653" s="1" t="str">
        <f>HYPERLINK("http://www.ncbi.nlm.nih.gov/gene/?term=MRPL23","NCBI")</f>
        <v>NCBI</v>
      </c>
      <c r="F9653">
        <v>0.2</v>
      </c>
      <c r="G9653">
        <v>0.34</v>
      </c>
      <c r="H9653" s="1" t="str">
        <f>HYPERLINK("http://www.weizmann.ac.il/complex/compphys/software/geview/data/figures/213897_s_at.png","Figure")</f>
        <v>Figure</v>
      </c>
      <c r="I9653">
        <v>0.81299999999999994</v>
      </c>
      <c r="J9653">
        <v>0.52</v>
      </c>
      <c r="K9653">
        <v>1.1299999999999999</v>
      </c>
      <c r="L9653">
        <v>0.72</v>
      </c>
      <c r="M9653">
        <v>1.4</v>
      </c>
      <c r="N9653">
        <v>0.17</v>
      </c>
    </row>
    <row r="9654" spans="1:14" x14ac:dyDescent="0.25">
      <c r="A9654" t="s">
        <v>16913</v>
      </c>
      <c r="B9654" t="s">
        <v>16914</v>
      </c>
      <c r="C9654" s="1" t="str">
        <f>HYPERLINK("http://www.genecards.org/cgi-bin/carddisp.pl?gene=MOG","GeneCards")</f>
        <v>GeneCards</v>
      </c>
      <c r="D9654" s="1" t="str">
        <f>HYPERLINK("http://genome-euro.ucsc.edu/cgi-bin/hgTracks?position=214650_x_at","UCSC")</f>
        <v>UCSC</v>
      </c>
      <c r="E9654" s="1" t="str">
        <f>HYPERLINK("http://www.ncbi.nlm.nih.gov/gene/?term=MOG","NCBI")</f>
        <v>NCBI</v>
      </c>
      <c r="F9654">
        <v>0.2</v>
      </c>
      <c r="G9654">
        <v>0.34</v>
      </c>
      <c r="H9654" s="1" t="str">
        <f>HYPERLINK("http://www.weizmann.ac.il/complex/compphys/software/geview/data/figures/214650_x_at.png","Figure")</f>
        <v>Figure</v>
      </c>
      <c r="I9654">
        <v>0.96</v>
      </c>
      <c r="J9654">
        <v>0.26</v>
      </c>
      <c r="K9654">
        <v>1</v>
      </c>
      <c r="L9654">
        <v>1</v>
      </c>
      <c r="M9654">
        <v>1.04</v>
      </c>
      <c r="N9654">
        <v>0.22</v>
      </c>
    </row>
    <row r="9655" spans="1:14" x14ac:dyDescent="0.25">
      <c r="A9655" t="s">
        <v>16915</v>
      </c>
      <c r="B9655" t="s">
        <v>16916</v>
      </c>
      <c r="C9655" s="1" t="str">
        <f>HYPERLINK("http://www.genecards.org/cgi-bin/carddisp.pl?gene=ASXL2","GeneCards")</f>
        <v>GeneCards</v>
      </c>
      <c r="D9655" s="1" t="str">
        <f>HYPERLINK("http://genome-euro.ucsc.edu/cgi-bin/hgTracks?position=218659_at","UCSC")</f>
        <v>UCSC</v>
      </c>
      <c r="E9655" s="1" t="str">
        <f>HYPERLINK("http://www.ncbi.nlm.nih.gov/gene/?term=ASXL2","NCBI")</f>
        <v>NCBI</v>
      </c>
      <c r="F9655">
        <v>0.2</v>
      </c>
      <c r="G9655">
        <v>0.34</v>
      </c>
      <c r="H9655" s="1" t="str">
        <f>HYPERLINK("http://www.weizmann.ac.il/complex/compphys/software/geview/data/figures/218659_at.png","Figure")</f>
        <v>Figure</v>
      </c>
      <c r="I9655">
        <v>0.95499999999999996</v>
      </c>
      <c r="J9655">
        <v>0.97</v>
      </c>
      <c r="K9655">
        <v>1.27</v>
      </c>
      <c r="L9655">
        <v>0.32</v>
      </c>
      <c r="M9655">
        <v>1.33</v>
      </c>
      <c r="N9655">
        <v>0.25</v>
      </c>
    </row>
    <row r="9656" spans="1:14" x14ac:dyDescent="0.25">
      <c r="A9656" t="s">
        <v>16917</v>
      </c>
      <c r="B9656" t="s">
        <v>16918</v>
      </c>
      <c r="C9656" s="1" t="str">
        <f>HYPERLINK("http://www.genecards.org/cgi-bin/carddisp.pl?gene=WDR76","GeneCards")</f>
        <v>GeneCards</v>
      </c>
      <c r="D9656" s="1" t="str">
        <f>HYPERLINK("http://genome-euro.ucsc.edu/cgi-bin/hgTracks?position=205519_at","UCSC")</f>
        <v>UCSC</v>
      </c>
      <c r="E9656" s="1" t="str">
        <f>HYPERLINK("http://www.ncbi.nlm.nih.gov/gene/?term=WDR76","NCBI")</f>
        <v>NCBI</v>
      </c>
      <c r="F9656">
        <v>0.2</v>
      </c>
      <c r="G9656">
        <v>0.34</v>
      </c>
      <c r="H9656" s="1" t="str">
        <f>HYPERLINK("http://www.weizmann.ac.il/complex/compphys/software/geview/data/figures/205519_at.png","Figure")</f>
        <v>Figure</v>
      </c>
      <c r="I9656">
        <v>1.1200000000000001</v>
      </c>
      <c r="J9656">
        <v>0.17</v>
      </c>
      <c r="K9656">
        <v>1.04</v>
      </c>
      <c r="L9656">
        <v>0.71</v>
      </c>
      <c r="M9656">
        <v>0.93300000000000005</v>
      </c>
      <c r="N9656">
        <v>0.42</v>
      </c>
    </row>
    <row r="9657" spans="1:14" x14ac:dyDescent="0.25">
      <c r="A9657" t="s">
        <v>16919</v>
      </c>
      <c r="B9657" t="s">
        <v>11441</v>
      </c>
      <c r="C9657" s="1" t="str">
        <f>HYPERLINK("http://www.genecards.org/cgi-bin/carddisp.pl?gene=CLASP2","GeneCards")</f>
        <v>GeneCards</v>
      </c>
      <c r="D9657" s="1" t="str">
        <f>HYPERLINK("http://genome-euro.ucsc.edu/cgi-bin/hgTracks?position=212308_at","UCSC")</f>
        <v>UCSC</v>
      </c>
      <c r="E9657" s="1" t="str">
        <f>HYPERLINK("http://www.ncbi.nlm.nih.gov/gene/?term=CLASP2","NCBI")</f>
        <v>NCBI</v>
      </c>
      <c r="F9657">
        <v>0.2</v>
      </c>
      <c r="G9657">
        <v>0.34</v>
      </c>
      <c r="H9657" s="1" t="str">
        <f>HYPERLINK("http://www.weizmann.ac.il/complex/compphys/software/geview/data/figures/212308_at.png","Figure")</f>
        <v>Figure</v>
      </c>
      <c r="I9657">
        <v>0.86799999999999999</v>
      </c>
      <c r="J9657">
        <v>0.26</v>
      </c>
      <c r="K9657">
        <v>1</v>
      </c>
      <c r="L9657">
        <v>1</v>
      </c>
      <c r="M9657">
        <v>1.1499999999999999</v>
      </c>
      <c r="N9657">
        <v>0.22</v>
      </c>
    </row>
    <row r="9658" spans="1:14" x14ac:dyDescent="0.25">
      <c r="A9658" t="s">
        <v>16920</v>
      </c>
      <c r="B9658" t="s">
        <v>15606</v>
      </c>
      <c r="C9658" s="1" t="str">
        <f>HYPERLINK("http://www.genecards.org/cgi-bin/carddisp.pl?gene=WARS","GeneCards")</f>
        <v>GeneCards</v>
      </c>
      <c r="D9658" s="1" t="str">
        <f>HYPERLINK("http://genome-euro.ucsc.edu/cgi-bin/hgTracks?position=200628_s_at","UCSC")</f>
        <v>UCSC</v>
      </c>
      <c r="E9658" s="1" t="str">
        <f>HYPERLINK("http://www.ncbi.nlm.nih.gov/gene/?term=WARS","NCBI")</f>
        <v>NCBI</v>
      </c>
      <c r="F9658">
        <v>0.2</v>
      </c>
      <c r="G9658">
        <v>0.34</v>
      </c>
      <c r="H9658" s="1" t="str">
        <f>HYPERLINK("http://www.weizmann.ac.il/complex/compphys/software/geview/data/figures/200628_s_at.png","Figure")</f>
        <v>Figure</v>
      </c>
      <c r="I9658">
        <v>1.1200000000000001</v>
      </c>
      <c r="J9658">
        <v>0.48</v>
      </c>
      <c r="K9658">
        <v>1.17</v>
      </c>
      <c r="L9658">
        <v>0.18</v>
      </c>
      <c r="M9658">
        <v>1.04</v>
      </c>
      <c r="N9658">
        <v>0.87</v>
      </c>
    </row>
    <row r="9659" spans="1:14" x14ac:dyDescent="0.25">
      <c r="A9659" t="s">
        <v>16921</v>
      </c>
      <c r="B9659" t="s">
        <v>16922</v>
      </c>
      <c r="C9659" s="1" t="str">
        <f>HYPERLINK("http://www.genecards.org/cgi-bin/carddisp.pl?gene=NTAN1","GeneCards")</f>
        <v>GeneCards</v>
      </c>
      <c r="D9659" s="1" t="str">
        <f>HYPERLINK("http://genome-euro.ucsc.edu/cgi-bin/hgTracks?position=213062_at","UCSC")</f>
        <v>UCSC</v>
      </c>
      <c r="E9659" s="1" t="str">
        <f>HYPERLINK("http://www.ncbi.nlm.nih.gov/gene/?term=NTAN1","NCBI")</f>
        <v>NCBI</v>
      </c>
      <c r="F9659">
        <v>0.2</v>
      </c>
      <c r="G9659">
        <v>0.34</v>
      </c>
      <c r="H9659" s="1" t="str">
        <f>HYPERLINK("http://www.weizmann.ac.il/complex/compphys/software/geview/data/figures/213062_at.png","Figure")</f>
        <v>Figure</v>
      </c>
      <c r="I9659">
        <v>1.21</v>
      </c>
      <c r="J9659">
        <v>0.7</v>
      </c>
      <c r="K9659">
        <v>0.80200000000000005</v>
      </c>
      <c r="L9659">
        <v>0.54</v>
      </c>
      <c r="M9659">
        <v>0.66500000000000004</v>
      </c>
      <c r="N9659">
        <v>0.18</v>
      </c>
    </row>
    <row r="9660" spans="1:14" x14ac:dyDescent="0.25">
      <c r="A9660" t="s">
        <v>16923</v>
      </c>
      <c r="B9660" t="s">
        <v>16924</v>
      </c>
      <c r="C9660" s="1" t="str">
        <f>HYPERLINK("http://www.genecards.org/cgi-bin/carddisp.pl?gene=UHRF1BP1L","GeneCards")</f>
        <v>GeneCards</v>
      </c>
      <c r="D9660" s="1" t="str">
        <f>HYPERLINK("http://genome-euro.ucsc.edu/cgi-bin/hgTracks?position=213118_at","UCSC")</f>
        <v>UCSC</v>
      </c>
      <c r="E9660" s="1" t="str">
        <f>HYPERLINK("http://www.ncbi.nlm.nih.gov/gene/?term=UHRF1BP1L","NCBI")</f>
        <v>NCBI</v>
      </c>
      <c r="F9660">
        <v>0.2</v>
      </c>
      <c r="G9660">
        <v>0.34</v>
      </c>
      <c r="H9660" s="1" t="str">
        <f>HYPERLINK("http://www.weizmann.ac.il/complex/compphys/software/geview/data/figures/213118_at.png","Figure")</f>
        <v>Figure</v>
      </c>
      <c r="I9660">
        <v>0.58799999999999997</v>
      </c>
      <c r="J9660">
        <v>0.36</v>
      </c>
      <c r="K9660">
        <v>0.54800000000000004</v>
      </c>
      <c r="L9660">
        <v>0.19</v>
      </c>
      <c r="M9660">
        <v>0.93200000000000005</v>
      </c>
      <c r="N9660">
        <v>0.98</v>
      </c>
    </row>
    <row r="9661" spans="1:14" x14ac:dyDescent="0.25">
      <c r="A9661" t="s">
        <v>16925</v>
      </c>
      <c r="B9661" t="s">
        <v>14694</v>
      </c>
      <c r="C9661" s="1" t="str">
        <f>HYPERLINK("http://www.genecards.org/cgi-bin/carddisp.pl?gene=USP22","GeneCards")</f>
        <v>GeneCards</v>
      </c>
      <c r="D9661" s="1" t="str">
        <f>HYPERLINK("http://genome-euro.ucsc.edu/cgi-bin/hgTracks?position=216957_at","UCSC")</f>
        <v>UCSC</v>
      </c>
      <c r="E9661" s="1" t="str">
        <f>HYPERLINK("http://www.ncbi.nlm.nih.gov/gene/?term=USP22","NCBI")</f>
        <v>NCBI</v>
      </c>
      <c r="F9661">
        <v>0.2</v>
      </c>
      <c r="G9661">
        <v>0.34</v>
      </c>
      <c r="H9661" s="1" t="str">
        <f>HYPERLINK("http://www.weizmann.ac.il/complex/compphys/software/geview/data/figures/216957_at.png","Figure")</f>
        <v>Figure</v>
      </c>
      <c r="I9661">
        <v>0.998</v>
      </c>
      <c r="J9661">
        <v>0.99</v>
      </c>
      <c r="K9661">
        <v>0.97699999999999998</v>
      </c>
      <c r="L9661">
        <v>0.24</v>
      </c>
      <c r="M9661">
        <v>0.97799999999999998</v>
      </c>
      <c r="N9661">
        <v>0.33</v>
      </c>
    </row>
    <row r="9662" spans="1:14" x14ac:dyDescent="0.25">
      <c r="A9662" t="s">
        <v>16926</v>
      </c>
      <c r="B9662" t="s">
        <v>16927</v>
      </c>
      <c r="C9662" s="1" t="str">
        <f>HYPERLINK("http://www.genecards.org/cgi-bin/carddisp.pl?gene=LPAR3","GeneCards")</f>
        <v>GeneCards</v>
      </c>
      <c r="D9662" s="1" t="str">
        <f>HYPERLINK("http://genome-euro.ucsc.edu/cgi-bin/hgTracks?position=220816_at","UCSC")</f>
        <v>UCSC</v>
      </c>
      <c r="E9662" s="1" t="str">
        <f>HYPERLINK("http://www.ncbi.nlm.nih.gov/gene/?term=LPAR3","NCBI")</f>
        <v>NCBI</v>
      </c>
      <c r="F9662">
        <v>0.2</v>
      </c>
      <c r="G9662">
        <v>0.34</v>
      </c>
      <c r="H9662" s="1" t="str">
        <f>HYPERLINK("http://www.weizmann.ac.il/complex/compphys/software/geview/data/figures/220816_at.png","Figure")</f>
        <v>Figure</v>
      </c>
      <c r="I9662">
        <v>1.07</v>
      </c>
      <c r="J9662">
        <v>0.61</v>
      </c>
      <c r="K9662">
        <v>0.94799999999999995</v>
      </c>
      <c r="L9662">
        <v>0.63</v>
      </c>
      <c r="M9662">
        <v>0.89</v>
      </c>
      <c r="N9662">
        <v>0.17</v>
      </c>
    </row>
    <row r="9663" spans="1:14" x14ac:dyDescent="0.25">
      <c r="A9663" t="s">
        <v>16928</v>
      </c>
      <c r="B9663" t="s">
        <v>16929</v>
      </c>
      <c r="C9663" s="1" t="str">
        <f>HYPERLINK("http://www.genecards.org/cgi-bin/carddisp.pl?gene=CCDC86","GeneCards")</f>
        <v>GeneCards</v>
      </c>
      <c r="D9663" s="1" t="str">
        <f>HYPERLINK("http://genome-euro.ucsc.edu/cgi-bin/hgTracks?position=203119_at","UCSC")</f>
        <v>UCSC</v>
      </c>
      <c r="E9663" s="1" t="str">
        <f>HYPERLINK("http://www.ncbi.nlm.nih.gov/gene/?term=CCDC86","NCBI")</f>
        <v>NCBI</v>
      </c>
      <c r="F9663">
        <v>0.2</v>
      </c>
      <c r="G9663">
        <v>0.34</v>
      </c>
      <c r="H9663" s="1" t="str">
        <f>HYPERLINK("http://www.weizmann.ac.il/complex/compphys/software/geview/data/figures/203119_at.png","Figure")</f>
        <v>Figure</v>
      </c>
      <c r="I9663">
        <v>0.95899999999999996</v>
      </c>
      <c r="J9663">
        <v>0.92</v>
      </c>
      <c r="K9663">
        <v>1.1399999999999999</v>
      </c>
      <c r="L9663">
        <v>0.36</v>
      </c>
      <c r="M9663">
        <v>1.19</v>
      </c>
      <c r="N9663">
        <v>0.23</v>
      </c>
    </row>
    <row r="9664" spans="1:14" x14ac:dyDescent="0.25">
      <c r="A9664" t="s">
        <v>16930</v>
      </c>
      <c r="B9664" t="s">
        <v>6297</v>
      </c>
      <c r="C9664" s="1" t="str">
        <f>HYPERLINK("http://www.genecards.org/cgi-bin/carddisp.pl?gene=TBC1D9B","GeneCards")</f>
        <v>GeneCards</v>
      </c>
      <c r="D9664" s="1" t="str">
        <f>HYPERLINK("http://genome-euro.ucsc.edu/cgi-bin/hgTracks?position=212054_x_at","UCSC")</f>
        <v>UCSC</v>
      </c>
      <c r="E9664" s="1" t="str">
        <f>HYPERLINK("http://www.ncbi.nlm.nih.gov/gene/?term=TBC1D9B","NCBI")</f>
        <v>NCBI</v>
      </c>
      <c r="F9664">
        <v>0.2</v>
      </c>
      <c r="G9664">
        <v>0.34</v>
      </c>
      <c r="H9664" s="1" t="str">
        <f>HYPERLINK("http://www.weizmann.ac.il/complex/compphys/software/geview/data/figures/212054_x_at.png","Figure")</f>
        <v>Figure</v>
      </c>
      <c r="I9664">
        <v>1.27</v>
      </c>
      <c r="J9664">
        <v>0.19</v>
      </c>
      <c r="K9664">
        <v>1.17</v>
      </c>
      <c r="L9664">
        <v>0.36</v>
      </c>
      <c r="M9664">
        <v>0.92300000000000004</v>
      </c>
      <c r="N9664">
        <v>0.79</v>
      </c>
    </row>
    <row r="9665" spans="1:14" x14ac:dyDescent="0.25">
      <c r="A9665" t="s">
        <v>16931</v>
      </c>
      <c r="B9665" t="s">
        <v>16932</v>
      </c>
      <c r="C9665" s="1" t="str">
        <f>HYPERLINK("http://www.genecards.org/cgi-bin/carddisp.pl?gene=PIAS2","GeneCards")</f>
        <v>GeneCards</v>
      </c>
      <c r="D9665" s="1" t="str">
        <f>HYPERLINK("http://genome-euro.ucsc.edu/cgi-bin/hgTracks?position=214442_s_at","UCSC")</f>
        <v>UCSC</v>
      </c>
      <c r="E9665" s="1" t="str">
        <f>HYPERLINK("http://www.ncbi.nlm.nih.gov/gene/?term=PIAS2","NCBI")</f>
        <v>NCBI</v>
      </c>
      <c r="F9665">
        <v>0.2</v>
      </c>
      <c r="G9665">
        <v>0.34</v>
      </c>
      <c r="H9665" s="1" t="str">
        <f>HYPERLINK("http://www.weizmann.ac.il/complex/compphys/software/geview/data/figures/214442_s_at.png","Figure")</f>
        <v>Figure</v>
      </c>
      <c r="I9665">
        <v>0.92400000000000004</v>
      </c>
      <c r="J9665">
        <v>0.93</v>
      </c>
      <c r="K9665">
        <v>0.70799999999999996</v>
      </c>
      <c r="L9665">
        <v>0.2</v>
      </c>
      <c r="M9665">
        <v>0.76600000000000001</v>
      </c>
      <c r="N9665">
        <v>0.42</v>
      </c>
    </row>
    <row r="9666" spans="1:14" x14ac:dyDescent="0.25">
      <c r="A9666" t="s">
        <v>16933</v>
      </c>
      <c r="B9666" t="s">
        <v>16934</v>
      </c>
      <c r="C9666" s="1" t="str">
        <f>HYPERLINK("http://www.genecards.org/cgi-bin/carddisp.pl?gene=HOXB5","GeneCards")</f>
        <v>GeneCards</v>
      </c>
      <c r="D9666" s="1" t="str">
        <f>HYPERLINK("http://genome-euro.ucsc.edu/cgi-bin/hgTracks?position=205601_s_at","UCSC")</f>
        <v>UCSC</v>
      </c>
      <c r="E9666" s="1" t="str">
        <f>HYPERLINK("http://www.ncbi.nlm.nih.gov/gene/?term=HOXB5","NCBI")</f>
        <v>NCBI</v>
      </c>
      <c r="F9666">
        <v>0.2</v>
      </c>
      <c r="G9666">
        <v>0.34</v>
      </c>
      <c r="H9666" s="1" t="str">
        <f>HYPERLINK("http://www.weizmann.ac.il/complex/compphys/software/geview/data/figures/205601_s_at.png","Figure")</f>
        <v>Figure</v>
      </c>
      <c r="I9666">
        <v>1.22</v>
      </c>
      <c r="J9666">
        <v>0.24</v>
      </c>
      <c r="K9666">
        <v>1.01</v>
      </c>
      <c r="L9666">
        <v>0.99</v>
      </c>
      <c r="M9666">
        <v>0.82599999999999996</v>
      </c>
      <c r="N9666">
        <v>0.23</v>
      </c>
    </row>
    <row r="9667" spans="1:14" x14ac:dyDescent="0.25">
      <c r="A9667" t="s">
        <v>16935</v>
      </c>
      <c r="B9667" t="s">
        <v>16936</v>
      </c>
      <c r="C9667" s="1" t="str">
        <f>HYPERLINK("http://www.genecards.org/cgi-bin/carddisp.pl?gene=MPHOSPH10","GeneCards")</f>
        <v>GeneCards</v>
      </c>
      <c r="D9667" s="1" t="str">
        <f>HYPERLINK("http://genome-euro.ucsc.edu/cgi-bin/hgTracks?position=212885_at","UCSC")</f>
        <v>UCSC</v>
      </c>
      <c r="E9667" s="1" t="str">
        <f>HYPERLINK("http://www.ncbi.nlm.nih.gov/gene/?term=MPHOSPH10","NCBI")</f>
        <v>NCBI</v>
      </c>
      <c r="F9667">
        <v>0.2</v>
      </c>
      <c r="G9667">
        <v>0.34</v>
      </c>
      <c r="H9667" s="1" t="str">
        <f>HYPERLINK("http://www.weizmann.ac.il/complex/compphys/software/geview/data/figures/212885_at.png","Figure")</f>
        <v>Figure</v>
      </c>
      <c r="I9667">
        <v>1.34</v>
      </c>
      <c r="J9667">
        <v>0.24</v>
      </c>
      <c r="K9667">
        <v>1.02</v>
      </c>
      <c r="L9667">
        <v>0.99</v>
      </c>
      <c r="M9667">
        <v>0.75700000000000001</v>
      </c>
      <c r="N9667">
        <v>0.23</v>
      </c>
    </row>
    <row r="9668" spans="1:14" x14ac:dyDescent="0.25">
      <c r="A9668" t="s">
        <v>16937</v>
      </c>
      <c r="B9668" t="s">
        <v>14469</v>
      </c>
      <c r="C9668" s="1" t="str">
        <f>HYPERLINK("http://www.genecards.org/cgi-bin/carddisp.pl?gene=EIF4E","GeneCards")</f>
        <v>GeneCards</v>
      </c>
      <c r="D9668" s="1" t="str">
        <f>HYPERLINK("http://genome-euro.ucsc.edu/cgi-bin/hgTracks?position=201436_at","UCSC")</f>
        <v>UCSC</v>
      </c>
      <c r="E9668" s="1" t="str">
        <f>HYPERLINK("http://www.ncbi.nlm.nih.gov/gene/?term=EIF4E","NCBI")</f>
        <v>NCBI</v>
      </c>
      <c r="F9668">
        <v>0.2</v>
      </c>
      <c r="G9668">
        <v>0.34</v>
      </c>
      <c r="H9668" s="1" t="str">
        <f>HYPERLINK("http://www.weizmann.ac.il/complex/compphys/software/geview/data/figures/201436_at.png","Figure")</f>
        <v>Figure</v>
      </c>
      <c r="I9668">
        <v>0.751</v>
      </c>
      <c r="J9668">
        <v>0.2</v>
      </c>
      <c r="K9668">
        <v>0.94199999999999995</v>
      </c>
      <c r="L9668">
        <v>0.9</v>
      </c>
      <c r="M9668">
        <v>1.25</v>
      </c>
      <c r="N9668">
        <v>0.3</v>
      </c>
    </row>
    <row r="9669" spans="1:14" x14ac:dyDescent="0.25">
      <c r="A9669" t="s">
        <v>16938</v>
      </c>
      <c r="B9669" t="s">
        <v>16939</v>
      </c>
      <c r="C9669" s="1" t="str">
        <f>HYPERLINK("http://www.genecards.org/cgi-bin/carddisp.pl?gene=S100A3","GeneCards")</f>
        <v>GeneCards</v>
      </c>
      <c r="D9669" s="1" t="str">
        <f>HYPERLINK("http://genome-euro.ucsc.edu/cgi-bin/hgTracks?position=206027_at","UCSC")</f>
        <v>UCSC</v>
      </c>
      <c r="E9669" s="1" t="str">
        <f>HYPERLINK("http://www.ncbi.nlm.nih.gov/gene/?term=S100A3","NCBI")</f>
        <v>NCBI</v>
      </c>
      <c r="F9669">
        <v>0.2</v>
      </c>
      <c r="G9669">
        <v>0.34</v>
      </c>
      <c r="H9669" s="1" t="str">
        <f>HYPERLINK("http://www.weizmann.ac.il/complex/compphys/software/geview/data/figures/206027_at.png","Figure")</f>
        <v>Figure</v>
      </c>
      <c r="I9669">
        <v>1.08</v>
      </c>
      <c r="J9669">
        <v>0.18</v>
      </c>
      <c r="K9669">
        <v>1.05</v>
      </c>
      <c r="L9669">
        <v>0.46</v>
      </c>
      <c r="M9669">
        <v>0.96599999999999997</v>
      </c>
      <c r="N9669">
        <v>0.66</v>
      </c>
    </row>
    <row r="9670" spans="1:14" x14ac:dyDescent="0.25">
      <c r="A9670" t="s">
        <v>16940</v>
      </c>
      <c r="B9670" t="s">
        <v>16941</v>
      </c>
      <c r="C9670" s="1" t="str">
        <f>HYPERLINK("http://www.genecards.org/cgi-bin/carddisp.pl?gene=IFT20","GeneCards")</f>
        <v>GeneCards</v>
      </c>
      <c r="D9670" s="1" t="str">
        <f>HYPERLINK("http://genome-euro.ucsc.edu/cgi-bin/hgTracks?position=210312_s_at","UCSC")</f>
        <v>UCSC</v>
      </c>
      <c r="E9670" s="1" t="str">
        <f>HYPERLINK("http://www.ncbi.nlm.nih.gov/gene/?term=IFT20","NCBI")</f>
        <v>NCBI</v>
      </c>
      <c r="F9670">
        <v>0.2</v>
      </c>
      <c r="G9670">
        <v>0.34</v>
      </c>
      <c r="H9670" s="1" t="str">
        <f>HYPERLINK("http://www.weizmann.ac.il/complex/compphys/software/geview/data/figures/210312_s_at.png","Figure")</f>
        <v>Figure</v>
      </c>
      <c r="I9670">
        <v>0.75700000000000001</v>
      </c>
      <c r="J9670">
        <v>0.17</v>
      </c>
      <c r="K9670">
        <v>0.86599999999999999</v>
      </c>
      <c r="L9670">
        <v>0.51</v>
      </c>
      <c r="M9670">
        <v>1.1399999999999999</v>
      </c>
      <c r="N9670">
        <v>0.6</v>
      </c>
    </row>
    <row r="9671" spans="1:14" x14ac:dyDescent="0.25">
      <c r="A9671" t="s">
        <v>16942</v>
      </c>
      <c r="B9671" t="s">
        <v>6398</v>
      </c>
      <c r="C9671" s="1" t="str">
        <f>HYPERLINK("http://www.genecards.org/cgi-bin/carddisp.pl?gene=SFTPB","GeneCards")</f>
        <v>GeneCards</v>
      </c>
      <c r="D9671" s="1" t="str">
        <f>HYPERLINK("http://genome-euro.ucsc.edu/cgi-bin/hgTracks?position=213936_x_at","UCSC")</f>
        <v>UCSC</v>
      </c>
      <c r="E9671" s="1" t="str">
        <f>HYPERLINK("http://www.ncbi.nlm.nih.gov/gene/?term=SFTPB","NCBI")</f>
        <v>NCBI</v>
      </c>
      <c r="F9671">
        <v>0.2</v>
      </c>
      <c r="G9671">
        <v>0.34</v>
      </c>
      <c r="H9671" s="1" t="str">
        <f>HYPERLINK("http://www.weizmann.ac.il/complex/compphys/software/geview/data/figures/213936_x_at.png","Figure")</f>
        <v>Figure</v>
      </c>
      <c r="I9671">
        <v>1.1399999999999999</v>
      </c>
      <c r="J9671">
        <v>0.62</v>
      </c>
      <c r="K9671">
        <v>0.89100000000000001</v>
      </c>
      <c r="L9671">
        <v>0.61</v>
      </c>
      <c r="M9671">
        <v>0.78300000000000003</v>
      </c>
      <c r="N9671">
        <v>0.18</v>
      </c>
    </row>
    <row r="9672" spans="1:14" x14ac:dyDescent="0.25">
      <c r="A9672" t="s">
        <v>16943</v>
      </c>
      <c r="B9672" t="s">
        <v>16944</v>
      </c>
      <c r="C9672" s="1" t="str">
        <f>HYPERLINK("http://www.genecards.org/cgi-bin/carddisp.pl?gene=CDC42","GeneCards")</f>
        <v>GeneCards</v>
      </c>
      <c r="D9672" s="1" t="str">
        <f>HYPERLINK("http://genome-euro.ucsc.edu/cgi-bin/hgTracks?position=214230_at","UCSC")</f>
        <v>UCSC</v>
      </c>
      <c r="E9672" s="1" t="str">
        <f>HYPERLINK("http://www.ncbi.nlm.nih.gov/gene/?term=CDC42","NCBI")</f>
        <v>NCBI</v>
      </c>
      <c r="F9672">
        <v>0.2</v>
      </c>
      <c r="G9672">
        <v>0.34</v>
      </c>
      <c r="H9672" s="1" t="str">
        <f>HYPERLINK("http://www.weizmann.ac.il/complex/compphys/software/geview/data/figures/214230_at.png","Figure")</f>
        <v>Figure</v>
      </c>
      <c r="I9672">
        <v>0.69899999999999995</v>
      </c>
      <c r="J9672">
        <v>0.81</v>
      </c>
      <c r="K9672">
        <v>0.39400000000000002</v>
      </c>
      <c r="L9672">
        <v>0.18</v>
      </c>
      <c r="M9672">
        <v>0.56399999999999995</v>
      </c>
      <c r="N9672">
        <v>0.54</v>
      </c>
    </row>
    <row r="9673" spans="1:14" x14ac:dyDescent="0.25">
      <c r="A9673" t="s">
        <v>16945</v>
      </c>
      <c r="B9673" t="s">
        <v>16946</v>
      </c>
      <c r="C9673" s="1" t="str">
        <f>HYPERLINK("http://www.genecards.org/cgi-bin/carddisp.pl?gene=MTMR12","GeneCards")</f>
        <v>GeneCards</v>
      </c>
      <c r="D9673" s="1" t="str">
        <f>HYPERLINK("http://genome-euro.ucsc.edu/cgi-bin/hgTracks?position=220953_s_at","UCSC")</f>
        <v>UCSC</v>
      </c>
      <c r="E9673" s="1" t="str">
        <f>HYPERLINK("http://www.ncbi.nlm.nih.gov/gene/?term=MTMR12","NCBI")</f>
        <v>NCBI</v>
      </c>
      <c r="F9673">
        <v>0.2</v>
      </c>
      <c r="G9673">
        <v>0.34</v>
      </c>
      <c r="H9673" s="1" t="str">
        <f>HYPERLINK("http://www.weizmann.ac.il/complex/compphys/software/geview/data/figures/220953_s_at.png","Figure")</f>
        <v>Figure</v>
      </c>
      <c r="I9673">
        <v>1.19</v>
      </c>
      <c r="J9673">
        <v>0.53</v>
      </c>
      <c r="K9673">
        <v>0.89600000000000002</v>
      </c>
      <c r="L9673">
        <v>0.72</v>
      </c>
      <c r="M9673">
        <v>0.75</v>
      </c>
      <c r="N9673">
        <v>0.17</v>
      </c>
    </row>
    <row r="9674" spans="1:14" x14ac:dyDescent="0.25">
      <c r="A9674" t="s">
        <v>16947</v>
      </c>
      <c r="B9674" t="s">
        <v>4913</v>
      </c>
      <c r="C9674" s="1" t="str">
        <f>HYPERLINK("http://www.genecards.org/cgi-bin/carddisp.pl?gene=MAP4","GeneCards")</f>
        <v>GeneCards</v>
      </c>
      <c r="D9674" s="1" t="str">
        <f>HYPERLINK("http://genome-euro.ucsc.edu/cgi-bin/hgTracks?position=212566_at","UCSC")</f>
        <v>UCSC</v>
      </c>
      <c r="E9674" s="1" t="str">
        <f>HYPERLINK("http://www.ncbi.nlm.nih.gov/gene/?term=MAP4","NCBI")</f>
        <v>NCBI</v>
      </c>
      <c r="F9674">
        <v>0.2</v>
      </c>
      <c r="G9674">
        <v>0.35</v>
      </c>
      <c r="H9674" s="1" t="str">
        <f>HYPERLINK("http://www.weizmann.ac.il/complex/compphys/software/geview/data/figures/212566_at.png","Figure")</f>
        <v>Figure</v>
      </c>
      <c r="I9674">
        <v>1.01</v>
      </c>
      <c r="J9674">
        <v>1</v>
      </c>
      <c r="K9674">
        <v>1.27</v>
      </c>
      <c r="L9674">
        <v>0.25</v>
      </c>
      <c r="M9674">
        <v>1.26</v>
      </c>
      <c r="N9674">
        <v>0.31</v>
      </c>
    </row>
    <row r="9675" spans="1:14" x14ac:dyDescent="0.25">
      <c r="A9675" t="s">
        <v>16948</v>
      </c>
      <c r="B9675" t="s">
        <v>16949</v>
      </c>
      <c r="C9675" s="1" t="str">
        <f>HYPERLINK("http://www.genecards.org/cgi-bin/carddisp.pl?gene=BRP44","GeneCards")</f>
        <v>GeneCards</v>
      </c>
      <c r="D9675" s="1" t="str">
        <f>HYPERLINK("http://genome-euro.ucsc.edu/cgi-bin/hgTracks?position=202427_s_at","UCSC")</f>
        <v>UCSC</v>
      </c>
      <c r="E9675" s="1" t="str">
        <f>HYPERLINK("http://www.ncbi.nlm.nih.gov/gene/?term=BRP44","NCBI")</f>
        <v>NCBI</v>
      </c>
      <c r="F9675">
        <v>0.2</v>
      </c>
      <c r="G9675">
        <v>0.35</v>
      </c>
      <c r="H9675" s="1" t="str">
        <f>HYPERLINK("http://www.weizmann.ac.il/complex/compphys/software/geview/data/figures/202427_s_at.png","Figure")</f>
        <v>Figure</v>
      </c>
      <c r="I9675">
        <v>1.29</v>
      </c>
      <c r="J9675">
        <v>0.45</v>
      </c>
      <c r="K9675">
        <v>1.41</v>
      </c>
      <c r="L9675">
        <v>0.18</v>
      </c>
      <c r="M9675">
        <v>1.0900000000000001</v>
      </c>
      <c r="N9675">
        <v>0.9</v>
      </c>
    </row>
    <row r="9676" spans="1:14" x14ac:dyDescent="0.25">
      <c r="A9676" t="s">
        <v>16950</v>
      </c>
      <c r="B9676" t="s">
        <v>2067</v>
      </c>
      <c r="C9676" s="1" t="str">
        <f>HYPERLINK("http://www.genecards.org/cgi-bin/carddisp.pl?gene=CD84","GeneCards")</f>
        <v>GeneCards</v>
      </c>
      <c r="D9676" s="1" t="str">
        <f>HYPERLINK("http://genome-euro.ucsc.edu/cgi-bin/hgTracks?position=211189_x_at","UCSC")</f>
        <v>UCSC</v>
      </c>
      <c r="E9676" s="1" t="str">
        <f>HYPERLINK("http://www.ncbi.nlm.nih.gov/gene/?term=CD84","NCBI")</f>
        <v>NCBI</v>
      </c>
      <c r="F9676">
        <v>0.2</v>
      </c>
      <c r="G9676">
        <v>0.35</v>
      </c>
      <c r="H9676" s="1" t="str">
        <f>HYPERLINK("http://www.weizmann.ac.il/complex/compphys/software/geview/data/figures/211189_x_at.png","Figure")</f>
        <v>Figure</v>
      </c>
      <c r="I9676">
        <v>1.17</v>
      </c>
      <c r="J9676">
        <v>0.2</v>
      </c>
      <c r="K9676">
        <v>1.1200000000000001</v>
      </c>
      <c r="L9676">
        <v>0.33</v>
      </c>
      <c r="M9676">
        <v>0.95699999999999996</v>
      </c>
      <c r="N9676">
        <v>0.84</v>
      </c>
    </row>
    <row r="9677" spans="1:14" x14ac:dyDescent="0.25">
      <c r="A9677" t="s">
        <v>16951</v>
      </c>
      <c r="B9677" t="s">
        <v>16952</v>
      </c>
      <c r="C9677" s="1" t="str">
        <f>HYPERLINK("http://www.genecards.org/cgi-bin/carddisp.pl?gene=AARS","GeneCards")</f>
        <v>GeneCards</v>
      </c>
      <c r="D9677" s="1" t="str">
        <f>HYPERLINK("http://genome-euro.ucsc.edu/cgi-bin/hgTracks?position=201000_at","UCSC")</f>
        <v>UCSC</v>
      </c>
      <c r="E9677" s="1" t="str">
        <f>HYPERLINK("http://www.ncbi.nlm.nih.gov/gene/?term=AARS","NCBI")</f>
        <v>NCBI</v>
      </c>
      <c r="F9677">
        <v>0.2</v>
      </c>
      <c r="G9677">
        <v>0.35</v>
      </c>
      <c r="H9677" s="1" t="str">
        <f>HYPERLINK("http://www.weizmann.ac.il/complex/compphys/software/geview/data/figures/201000_at.png","Figure")</f>
        <v>Figure</v>
      </c>
      <c r="I9677">
        <v>1.1499999999999999</v>
      </c>
      <c r="J9677">
        <v>0.77</v>
      </c>
      <c r="K9677">
        <v>1.39</v>
      </c>
      <c r="L9677">
        <v>0.18</v>
      </c>
      <c r="M9677">
        <v>1.21</v>
      </c>
      <c r="N9677">
        <v>0.57999999999999996</v>
      </c>
    </row>
    <row r="9678" spans="1:14" x14ac:dyDescent="0.25">
      <c r="A9678" t="s">
        <v>16953</v>
      </c>
      <c r="B9678" t="s">
        <v>16954</v>
      </c>
      <c r="C9678" s="1" t="str">
        <f>HYPERLINK("http://www.genecards.org/cgi-bin/carddisp.pl?gene=MFAP3L","GeneCards")</f>
        <v>GeneCards</v>
      </c>
      <c r="D9678" s="1" t="str">
        <f>HYPERLINK("http://genome-euro.ucsc.edu/cgi-bin/hgTracks?position=210843_s_at","UCSC")</f>
        <v>UCSC</v>
      </c>
      <c r="E9678" s="1" t="str">
        <f>HYPERLINK("http://www.ncbi.nlm.nih.gov/gene/?term=MFAP3L","NCBI")</f>
        <v>NCBI</v>
      </c>
      <c r="F9678">
        <v>0.2</v>
      </c>
      <c r="G9678">
        <v>0.35</v>
      </c>
      <c r="H9678" s="1" t="str">
        <f>HYPERLINK("http://www.weizmann.ac.il/complex/compphys/software/geview/data/figures/210843_s_at.png","Figure")</f>
        <v>Figure</v>
      </c>
      <c r="I9678">
        <v>1</v>
      </c>
      <c r="J9678">
        <v>1</v>
      </c>
      <c r="K9678">
        <v>0.97699999999999998</v>
      </c>
      <c r="L9678">
        <v>0.26</v>
      </c>
      <c r="M9678">
        <v>0.97699999999999998</v>
      </c>
      <c r="N9678">
        <v>0.3</v>
      </c>
    </row>
    <row r="9679" spans="1:14" x14ac:dyDescent="0.25">
      <c r="A9679" t="s">
        <v>16955</v>
      </c>
      <c r="B9679" t="s">
        <v>9321</v>
      </c>
      <c r="C9679" s="1" t="str">
        <f>HYPERLINK("http://www.genecards.org/cgi-bin/carddisp.pl?gene=CRHR1","GeneCards")</f>
        <v>GeneCards</v>
      </c>
      <c r="D9679" s="1" t="str">
        <f>HYPERLINK("http://genome-euro.ucsc.edu/cgi-bin/hgTracks?position=214619_at","UCSC")</f>
        <v>UCSC</v>
      </c>
      <c r="E9679" s="1" t="str">
        <f>HYPERLINK("http://www.ncbi.nlm.nih.gov/gene/?term=CRHR1","NCBI")</f>
        <v>NCBI</v>
      </c>
      <c r="F9679">
        <v>0.2</v>
      </c>
      <c r="G9679">
        <v>0.35</v>
      </c>
      <c r="H9679" s="1" t="str">
        <f>HYPERLINK("http://www.weizmann.ac.il/complex/compphys/software/geview/data/figures/214619_at.png","Figure")</f>
        <v>Figure</v>
      </c>
      <c r="I9679">
        <v>1.19</v>
      </c>
      <c r="J9679">
        <v>0.18</v>
      </c>
      <c r="K9679">
        <v>1.06</v>
      </c>
      <c r="L9679">
        <v>0.73</v>
      </c>
      <c r="M9679">
        <v>0.89100000000000001</v>
      </c>
      <c r="N9679">
        <v>0.4</v>
      </c>
    </row>
    <row r="9680" spans="1:14" x14ac:dyDescent="0.25">
      <c r="A9680" t="s">
        <v>16956</v>
      </c>
      <c r="B9680" t="s">
        <v>16957</v>
      </c>
      <c r="C9680" s="1" t="str">
        <f>HYPERLINK("http://www.genecards.org/cgi-bin/carddisp.pl?gene=TEX264","GeneCards")</f>
        <v>GeneCards</v>
      </c>
      <c r="D9680" s="1" t="str">
        <f>HYPERLINK("http://genome-euro.ucsc.edu/cgi-bin/hgTracks?position=218548_x_at","UCSC")</f>
        <v>UCSC</v>
      </c>
      <c r="E9680" s="1" t="str">
        <f>HYPERLINK("http://www.ncbi.nlm.nih.gov/gene/?term=TEX264","NCBI")</f>
        <v>NCBI</v>
      </c>
      <c r="F9680">
        <v>0.2</v>
      </c>
      <c r="G9680">
        <v>0.35</v>
      </c>
      <c r="H9680" s="1" t="str">
        <f>HYPERLINK("http://www.weizmann.ac.il/complex/compphys/software/geview/data/figures/218548_x_at.png","Figure")</f>
        <v>Figure</v>
      </c>
      <c r="I9680">
        <v>1.02</v>
      </c>
      <c r="J9680">
        <v>0.97</v>
      </c>
      <c r="K9680">
        <v>1.17</v>
      </c>
      <c r="L9680">
        <v>0.22</v>
      </c>
      <c r="M9680">
        <v>1.1499999999999999</v>
      </c>
      <c r="N9680">
        <v>0.37</v>
      </c>
    </row>
    <row r="9681" spans="1:14" x14ac:dyDescent="0.25">
      <c r="A9681" t="s">
        <v>16958</v>
      </c>
      <c r="B9681" t="s">
        <v>16334</v>
      </c>
      <c r="C9681" s="1" t="str">
        <f>HYPERLINK("http://www.genecards.org/cgi-bin/carddisp.pl?gene=ACACB","GeneCards")</f>
        <v>GeneCards</v>
      </c>
      <c r="D9681" s="1" t="str">
        <f>HYPERLINK("http://genome-euro.ucsc.edu/cgi-bin/hgTracks?position=43427_at","UCSC")</f>
        <v>UCSC</v>
      </c>
      <c r="E9681" s="1" t="str">
        <f>HYPERLINK("http://www.ncbi.nlm.nih.gov/gene/?term=ACACB","NCBI")</f>
        <v>NCBI</v>
      </c>
      <c r="F9681">
        <v>0.2</v>
      </c>
      <c r="G9681">
        <v>0.35</v>
      </c>
      <c r="H9681" s="1" t="str">
        <f>HYPERLINK("http://www.weizmann.ac.il/complex/compphys/software/geview/data/figures/43427_at.png","Figure")</f>
        <v>Figure</v>
      </c>
      <c r="I9681">
        <v>1.05</v>
      </c>
      <c r="J9681">
        <v>0.56999999999999995</v>
      </c>
      <c r="K9681">
        <v>0.96299999999999997</v>
      </c>
      <c r="L9681">
        <v>0.66</v>
      </c>
      <c r="M9681">
        <v>0.91700000000000004</v>
      </c>
      <c r="N9681">
        <v>0.17</v>
      </c>
    </row>
    <row r="9682" spans="1:14" x14ac:dyDescent="0.25">
      <c r="A9682" t="s">
        <v>16959</v>
      </c>
      <c r="B9682" t="s">
        <v>16960</v>
      </c>
      <c r="C9682" s="1" t="str">
        <f>HYPERLINK("http://www.genecards.org/cgi-bin/carddisp.pl?gene=C18orf25","GeneCards")</f>
        <v>GeneCards</v>
      </c>
      <c r="D9682" s="1" t="str">
        <f>HYPERLINK("http://genome-euro.ucsc.edu/cgi-bin/hgTracks?position=217508_s_at","UCSC")</f>
        <v>UCSC</v>
      </c>
      <c r="E9682" s="1" t="str">
        <f>HYPERLINK("http://www.ncbi.nlm.nih.gov/gene/?term=C18orf25","NCBI")</f>
        <v>NCBI</v>
      </c>
      <c r="F9682">
        <v>0.2</v>
      </c>
      <c r="G9682">
        <v>0.35</v>
      </c>
      <c r="H9682" s="1" t="str">
        <f>HYPERLINK("http://www.weizmann.ac.il/complex/compphys/software/geview/data/figures/217508_s_at.png","Figure")</f>
        <v>Figure</v>
      </c>
      <c r="I9682">
        <v>0.81699999999999995</v>
      </c>
      <c r="J9682">
        <v>0.18</v>
      </c>
      <c r="K9682">
        <v>0.93200000000000005</v>
      </c>
      <c r="L9682">
        <v>0.73</v>
      </c>
      <c r="M9682">
        <v>1.1399999999999999</v>
      </c>
      <c r="N9682">
        <v>0.41</v>
      </c>
    </row>
    <row r="9683" spans="1:14" x14ac:dyDescent="0.25">
      <c r="A9683" t="s">
        <v>16961</v>
      </c>
      <c r="B9683" t="s">
        <v>16962</v>
      </c>
      <c r="C9683" s="1" t="str">
        <f>HYPERLINK("http://www.genecards.org/cgi-bin/carddisp.pl?gene=UBN1","GeneCards")</f>
        <v>GeneCards</v>
      </c>
      <c r="D9683" s="1" t="str">
        <f>HYPERLINK("http://genome-euro.ucsc.edu/cgi-bin/hgTracks?position=209088_s_at","UCSC")</f>
        <v>UCSC</v>
      </c>
      <c r="E9683" s="1" t="str">
        <f>HYPERLINK("http://www.ncbi.nlm.nih.gov/gene/?term=UBN1","NCBI")</f>
        <v>NCBI</v>
      </c>
      <c r="F9683">
        <v>0.2</v>
      </c>
      <c r="G9683">
        <v>0.35</v>
      </c>
      <c r="H9683" s="1" t="str">
        <f>HYPERLINK("http://www.weizmann.ac.il/complex/compphys/software/geview/data/figures/209088_s_at.png","Figure")</f>
        <v>Figure</v>
      </c>
      <c r="I9683">
        <v>1.23</v>
      </c>
      <c r="J9683">
        <v>0.39</v>
      </c>
      <c r="K9683">
        <v>0.93899999999999995</v>
      </c>
      <c r="L9683">
        <v>0.88</v>
      </c>
      <c r="M9683">
        <v>0.76500000000000001</v>
      </c>
      <c r="N9683">
        <v>0.18</v>
      </c>
    </row>
    <row r="9684" spans="1:14" x14ac:dyDescent="0.25">
      <c r="A9684" t="s">
        <v>16963</v>
      </c>
      <c r="B9684" t="s">
        <v>16964</v>
      </c>
      <c r="C9684" s="1" t="str">
        <f>HYPERLINK("http://www.genecards.org/cgi-bin/carddisp.pl?gene=MGC87042","GeneCards")</f>
        <v>GeneCards</v>
      </c>
      <c r="D9684" s="1" t="str">
        <f>HYPERLINK("http://genome-euro.ucsc.edu/cgi-bin/hgTracks?position=217553_at","UCSC")</f>
        <v>UCSC</v>
      </c>
      <c r="E9684" s="1" t="str">
        <f>HYPERLINK("http://www.ncbi.nlm.nih.gov/gene/?term=MGC87042","NCBI")</f>
        <v>NCBI</v>
      </c>
      <c r="F9684">
        <v>0.2</v>
      </c>
      <c r="G9684">
        <v>0.35</v>
      </c>
      <c r="H9684" s="1" t="str">
        <f>HYPERLINK("http://www.weizmann.ac.il/complex/compphys/software/geview/data/figures/217553_at.png","Figure")</f>
        <v>Figure</v>
      </c>
      <c r="I9684">
        <v>0.999</v>
      </c>
      <c r="J9684">
        <v>1</v>
      </c>
      <c r="K9684">
        <v>1.08</v>
      </c>
      <c r="L9684">
        <v>0.26</v>
      </c>
      <c r="M9684">
        <v>1.08</v>
      </c>
      <c r="N9684">
        <v>0.3</v>
      </c>
    </row>
    <row r="9685" spans="1:14" x14ac:dyDescent="0.25">
      <c r="A9685" t="s">
        <v>16965</v>
      </c>
      <c r="B9685" t="s">
        <v>16966</v>
      </c>
      <c r="C9685" s="1" t="str">
        <f>HYPERLINK("http://www.genecards.org/cgi-bin/carddisp.pl?gene=LIMD2","GeneCards")</f>
        <v>GeneCards</v>
      </c>
      <c r="D9685" s="1" t="str">
        <f>HYPERLINK("http://genome-euro.ucsc.edu/cgi-bin/hgTracks?position=218600_at","UCSC")</f>
        <v>UCSC</v>
      </c>
      <c r="E9685" s="1" t="str">
        <f>HYPERLINK("http://www.ncbi.nlm.nih.gov/gene/?term=LIMD2","NCBI")</f>
        <v>NCBI</v>
      </c>
      <c r="F9685">
        <v>0.2</v>
      </c>
      <c r="G9685">
        <v>0.35</v>
      </c>
      <c r="H9685" s="1" t="str">
        <f>HYPERLINK("http://www.weizmann.ac.il/complex/compphys/software/geview/data/figures/218600_at.png","Figure")</f>
        <v>Figure</v>
      </c>
      <c r="I9685">
        <v>0.94399999999999995</v>
      </c>
      <c r="J9685">
        <v>0.93</v>
      </c>
      <c r="K9685">
        <v>1.22</v>
      </c>
      <c r="L9685">
        <v>0.35</v>
      </c>
      <c r="M9685">
        <v>1.3</v>
      </c>
      <c r="N9685">
        <v>0.23</v>
      </c>
    </row>
    <row r="9686" spans="1:14" x14ac:dyDescent="0.25">
      <c r="A9686" t="s">
        <v>16967</v>
      </c>
      <c r="B9686" t="s">
        <v>16968</v>
      </c>
      <c r="C9686" s="1" t="str">
        <f>HYPERLINK("http://www.genecards.org/cgi-bin/carddisp.pl?gene=PRSS8","GeneCards")</f>
        <v>GeneCards</v>
      </c>
      <c r="D9686" s="1" t="str">
        <f>HYPERLINK("http://genome-euro.ucsc.edu/cgi-bin/hgTracks?position=202525_at","UCSC")</f>
        <v>UCSC</v>
      </c>
      <c r="E9686" s="1" t="str">
        <f>HYPERLINK("http://www.ncbi.nlm.nih.gov/gene/?term=PRSS8","NCBI")</f>
        <v>NCBI</v>
      </c>
      <c r="F9686">
        <v>0.2</v>
      </c>
      <c r="G9686">
        <v>0.35</v>
      </c>
      <c r="H9686" s="1" t="str">
        <f>HYPERLINK("http://www.weizmann.ac.il/complex/compphys/software/geview/data/figures/202525_at.png","Figure")</f>
        <v>Figure</v>
      </c>
      <c r="I9686">
        <v>1.04</v>
      </c>
      <c r="J9686">
        <v>0.31</v>
      </c>
      <c r="K9686">
        <v>1.04</v>
      </c>
      <c r="L9686">
        <v>0.21</v>
      </c>
      <c r="M9686">
        <v>1</v>
      </c>
      <c r="N9686">
        <v>1</v>
      </c>
    </row>
    <row r="9687" spans="1:14" x14ac:dyDescent="0.25">
      <c r="A9687" t="s">
        <v>16969</v>
      </c>
      <c r="B9687" t="s">
        <v>16970</v>
      </c>
      <c r="C9687" s="1" t="str">
        <f>HYPERLINK("http://www.genecards.org/cgi-bin/carddisp.pl?gene=AMMECR1","GeneCards")</f>
        <v>GeneCards</v>
      </c>
      <c r="D9687" s="1" t="str">
        <f>HYPERLINK("http://genome-euro.ucsc.edu/cgi-bin/hgTracks?position=204976_s_at","UCSC")</f>
        <v>UCSC</v>
      </c>
      <c r="E9687" s="1" t="str">
        <f>HYPERLINK("http://www.ncbi.nlm.nih.gov/gene/?term=AMMECR1","NCBI")</f>
        <v>NCBI</v>
      </c>
      <c r="F9687">
        <v>0.2</v>
      </c>
      <c r="G9687">
        <v>0.35</v>
      </c>
      <c r="H9687" s="1" t="str">
        <f>HYPERLINK("http://www.weizmann.ac.il/complex/compphys/software/geview/data/figures/204976_s_at.png","Figure")</f>
        <v>Figure</v>
      </c>
      <c r="I9687">
        <v>0.91900000000000004</v>
      </c>
      <c r="J9687">
        <v>0.96</v>
      </c>
      <c r="K9687">
        <v>1.54</v>
      </c>
      <c r="L9687">
        <v>0.32</v>
      </c>
      <c r="M9687">
        <v>1.68</v>
      </c>
      <c r="N9687">
        <v>0.25</v>
      </c>
    </row>
    <row r="9688" spans="1:14" x14ac:dyDescent="0.25">
      <c r="A9688" t="s">
        <v>16971</v>
      </c>
      <c r="B9688" t="s">
        <v>16972</v>
      </c>
      <c r="C9688" s="1" t="str">
        <f>HYPERLINK("http://www.genecards.org/cgi-bin/carddisp.pl?gene=CYP4A11","GeneCards")</f>
        <v>GeneCards</v>
      </c>
      <c r="D9688" s="1" t="str">
        <f>HYPERLINK("http://genome-euro.ucsc.edu/cgi-bin/hgTracks?position=211231_x_at","UCSC")</f>
        <v>UCSC</v>
      </c>
      <c r="E9688" s="1" t="str">
        <f>HYPERLINK("http://www.ncbi.nlm.nih.gov/gene/?term=CYP4A11","NCBI")</f>
        <v>NCBI</v>
      </c>
      <c r="F9688">
        <v>0.2</v>
      </c>
      <c r="G9688">
        <v>0.35</v>
      </c>
      <c r="H9688" s="1" t="str">
        <f>HYPERLINK("http://www.weizmann.ac.il/complex/compphys/software/geview/data/figures/211231_x_at.png","Figure")</f>
        <v>Figure</v>
      </c>
      <c r="I9688">
        <v>1.24</v>
      </c>
      <c r="J9688">
        <v>0.17</v>
      </c>
      <c r="K9688">
        <v>1.0900000000000001</v>
      </c>
      <c r="L9688">
        <v>0.63</v>
      </c>
      <c r="M9688">
        <v>0.88400000000000001</v>
      </c>
      <c r="N9688">
        <v>0.48</v>
      </c>
    </row>
    <row r="9689" spans="1:14" x14ac:dyDescent="0.25">
      <c r="A9689" t="s">
        <v>16973</v>
      </c>
      <c r="B9689" t="s">
        <v>16974</v>
      </c>
      <c r="C9689" s="1" t="str">
        <f>HYPERLINK("http://www.genecards.org/cgi-bin/carddisp.pl?gene=SNRPC","GeneCards")</f>
        <v>GeneCards</v>
      </c>
      <c r="D9689" s="1" t="str">
        <f>HYPERLINK("http://genome-euro.ucsc.edu/cgi-bin/hgTracks?position=201342_at","UCSC")</f>
        <v>UCSC</v>
      </c>
      <c r="E9689" s="1" t="str">
        <f>HYPERLINK("http://www.ncbi.nlm.nih.gov/gene/?term=SNRPC","NCBI")</f>
        <v>NCBI</v>
      </c>
      <c r="F9689">
        <v>0.2</v>
      </c>
      <c r="G9689">
        <v>0.35</v>
      </c>
      <c r="H9689" s="1" t="str">
        <f>HYPERLINK("http://www.weizmann.ac.il/complex/compphys/software/geview/data/figures/201342_at.png","Figure")</f>
        <v>Figure</v>
      </c>
      <c r="I9689">
        <v>1.24</v>
      </c>
      <c r="J9689">
        <v>0.3</v>
      </c>
      <c r="K9689">
        <v>1.24</v>
      </c>
      <c r="L9689">
        <v>0.22</v>
      </c>
      <c r="M9689">
        <v>1</v>
      </c>
      <c r="N9689">
        <v>1</v>
      </c>
    </row>
    <row r="9690" spans="1:14" x14ac:dyDescent="0.25">
      <c r="A9690" t="s">
        <v>16975</v>
      </c>
      <c r="B9690" t="s">
        <v>16976</v>
      </c>
      <c r="C9690" s="1" t="str">
        <f>HYPERLINK("http://www.genecards.org/cgi-bin/carddisp.pl?gene=SAMHD1","GeneCards")</f>
        <v>GeneCards</v>
      </c>
      <c r="D9690" s="1" t="str">
        <f>HYPERLINK("http://genome-euro.ucsc.edu/cgi-bin/hgTracks?position=204502_at","UCSC")</f>
        <v>UCSC</v>
      </c>
      <c r="E9690" s="1" t="str">
        <f>HYPERLINK("http://www.ncbi.nlm.nih.gov/gene/?term=SAMHD1","NCBI")</f>
        <v>NCBI</v>
      </c>
      <c r="F9690">
        <v>0.2</v>
      </c>
      <c r="G9690">
        <v>0.35</v>
      </c>
      <c r="H9690" s="1" t="str">
        <f>HYPERLINK("http://www.weizmann.ac.il/complex/compphys/software/geview/data/figures/204502_at.png","Figure")</f>
        <v>Figure</v>
      </c>
      <c r="I9690">
        <v>0.77300000000000002</v>
      </c>
      <c r="J9690">
        <v>0.27</v>
      </c>
      <c r="K9690">
        <v>1.01</v>
      </c>
      <c r="L9690">
        <v>1</v>
      </c>
      <c r="M9690">
        <v>1.31</v>
      </c>
      <c r="N9690">
        <v>0.21</v>
      </c>
    </row>
    <row r="9691" spans="1:14" x14ac:dyDescent="0.25">
      <c r="A9691" t="s">
        <v>16977</v>
      </c>
      <c r="B9691" t="s">
        <v>9449</v>
      </c>
      <c r="C9691" s="1" t="str">
        <f>HYPERLINK("http://www.genecards.org/cgi-bin/carddisp.pl?gene=PDS5B","GeneCards")</f>
        <v>GeneCards</v>
      </c>
      <c r="D9691" s="1" t="str">
        <f>HYPERLINK("http://genome-euro.ucsc.edu/cgi-bin/hgTracks?position=204742_s_at","UCSC")</f>
        <v>UCSC</v>
      </c>
      <c r="E9691" s="1" t="str">
        <f>HYPERLINK("http://www.ncbi.nlm.nih.gov/gene/?term=PDS5B","NCBI")</f>
        <v>NCBI</v>
      </c>
      <c r="F9691">
        <v>0.2</v>
      </c>
      <c r="G9691">
        <v>0.35</v>
      </c>
      <c r="H9691" s="1" t="str">
        <f>HYPERLINK("http://www.weizmann.ac.il/complex/compphys/software/geview/data/figures/204742_s_at.png","Figure")</f>
        <v>Figure</v>
      </c>
      <c r="I9691">
        <v>0.89100000000000001</v>
      </c>
      <c r="J9691">
        <v>0.56999999999999995</v>
      </c>
      <c r="K9691">
        <v>0.83099999999999996</v>
      </c>
      <c r="L9691">
        <v>0.17</v>
      </c>
      <c r="M9691">
        <v>0.93200000000000005</v>
      </c>
      <c r="N9691">
        <v>0.78</v>
      </c>
    </row>
    <row r="9692" spans="1:14" x14ac:dyDescent="0.25">
      <c r="A9692" t="s">
        <v>16978</v>
      </c>
      <c r="B9692" t="s">
        <v>16979</v>
      </c>
      <c r="C9692" s="1" t="str">
        <f>HYPERLINK("http://www.genecards.org/cgi-bin/carddisp.pl?gene=LTC4S","GeneCards")</f>
        <v>GeneCards</v>
      </c>
      <c r="D9692" s="1" t="str">
        <f>HYPERLINK("http://genome-euro.ucsc.edu/cgi-bin/hgTracks?position=206480_at","UCSC")</f>
        <v>UCSC</v>
      </c>
      <c r="E9692" s="1" t="str">
        <f>HYPERLINK("http://www.ncbi.nlm.nih.gov/gene/?term=LTC4S","NCBI")</f>
        <v>NCBI</v>
      </c>
      <c r="F9692">
        <v>0.2</v>
      </c>
      <c r="G9692">
        <v>0.35</v>
      </c>
      <c r="H9692" s="1" t="str">
        <f>HYPERLINK("http://www.weizmann.ac.il/complex/compphys/software/geview/data/figures/206480_at.png","Figure")</f>
        <v>Figure</v>
      </c>
      <c r="I9692">
        <v>1.1100000000000001</v>
      </c>
      <c r="J9692">
        <v>0.17</v>
      </c>
      <c r="K9692">
        <v>1.05</v>
      </c>
      <c r="L9692">
        <v>0.55000000000000004</v>
      </c>
      <c r="M9692">
        <v>0.94699999999999995</v>
      </c>
      <c r="N9692">
        <v>0.56000000000000005</v>
      </c>
    </row>
    <row r="9693" spans="1:14" x14ac:dyDescent="0.25">
      <c r="A9693" t="s">
        <v>16980</v>
      </c>
      <c r="B9693" t="s">
        <v>16981</v>
      </c>
      <c r="C9693" s="1" t="str">
        <f>HYPERLINK("http://www.genecards.org/cgi-bin/carddisp.pl?gene=THPO","GeneCards")</f>
        <v>GeneCards</v>
      </c>
      <c r="D9693" s="1" t="str">
        <f>HYPERLINK("http://genome-euro.ucsc.edu/cgi-bin/hgTracks?position=211831_s_at","UCSC")</f>
        <v>UCSC</v>
      </c>
      <c r="E9693" s="1" t="str">
        <f>HYPERLINK("http://www.ncbi.nlm.nih.gov/gene/?term=THPO","NCBI")</f>
        <v>NCBI</v>
      </c>
      <c r="F9693">
        <v>0.2</v>
      </c>
      <c r="G9693">
        <v>0.35</v>
      </c>
      <c r="H9693" s="1" t="str">
        <f>HYPERLINK("http://www.weizmann.ac.il/complex/compphys/software/geview/data/figures/211831_s_at.png","Figure")</f>
        <v>Figure</v>
      </c>
      <c r="I9693">
        <v>1.1000000000000001</v>
      </c>
      <c r="J9693">
        <v>0.17</v>
      </c>
      <c r="K9693">
        <v>1.03</v>
      </c>
      <c r="L9693">
        <v>0.7</v>
      </c>
      <c r="M9693">
        <v>0.94499999999999995</v>
      </c>
      <c r="N9693">
        <v>0.43</v>
      </c>
    </row>
    <row r="9694" spans="1:14" x14ac:dyDescent="0.25">
      <c r="A9694" t="s">
        <v>16982</v>
      </c>
      <c r="B9694" t="s">
        <v>16983</v>
      </c>
      <c r="C9694" s="1" t="str">
        <f>HYPERLINK("http://www.genecards.org/cgi-bin/carddisp.pl?gene=REPS2","GeneCards")</f>
        <v>GeneCards</v>
      </c>
      <c r="D9694" s="1" t="str">
        <f>HYPERLINK("http://genome-euro.ucsc.edu/cgi-bin/hgTracks?position=205645_at","UCSC")</f>
        <v>UCSC</v>
      </c>
      <c r="E9694" s="1" t="str">
        <f>HYPERLINK("http://www.ncbi.nlm.nih.gov/gene/?term=REPS2","NCBI")</f>
        <v>NCBI</v>
      </c>
      <c r="F9694">
        <v>0.2</v>
      </c>
      <c r="G9694">
        <v>0.35</v>
      </c>
      <c r="H9694" s="1" t="str">
        <f>HYPERLINK("http://www.weizmann.ac.il/complex/compphys/software/geview/data/figures/205645_at.png","Figure")</f>
        <v>Figure</v>
      </c>
      <c r="I9694">
        <v>1.0900000000000001</v>
      </c>
      <c r="J9694">
        <v>0.43</v>
      </c>
      <c r="K9694">
        <v>0.96599999999999997</v>
      </c>
      <c r="L9694">
        <v>0.83</v>
      </c>
      <c r="M9694">
        <v>0.88700000000000001</v>
      </c>
      <c r="N9694">
        <v>0.17</v>
      </c>
    </row>
    <row r="9695" spans="1:14" x14ac:dyDescent="0.25">
      <c r="A9695" t="s">
        <v>16984</v>
      </c>
      <c r="B9695" t="s">
        <v>16985</v>
      </c>
      <c r="C9695" s="1" t="str">
        <f>HYPERLINK("http://www.genecards.org/cgi-bin/carddisp.pl?gene=ANAPC5","GeneCards")</f>
        <v>GeneCards</v>
      </c>
      <c r="D9695" s="1" t="str">
        <f>HYPERLINK("http://genome-euro.ucsc.edu/cgi-bin/hgTracks?position=208721_s_at","UCSC")</f>
        <v>UCSC</v>
      </c>
      <c r="E9695" s="1" t="str">
        <f>HYPERLINK("http://www.ncbi.nlm.nih.gov/gene/?term=ANAPC5","NCBI")</f>
        <v>NCBI</v>
      </c>
      <c r="F9695">
        <v>0.2</v>
      </c>
      <c r="G9695">
        <v>0.35</v>
      </c>
      <c r="H9695" s="1" t="str">
        <f>HYPERLINK("http://www.weizmann.ac.il/complex/compphys/software/geview/data/figures/208721_s_at.png","Figure")</f>
        <v>Figure</v>
      </c>
      <c r="I9695">
        <v>1.1499999999999999</v>
      </c>
      <c r="J9695">
        <v>0.22</v>
      </c>
      <c r="K9695">
        <v>1.1200000000000001</v>
      </c>
      <c r="L9695">
        <v>0.28999999999999998</v>
      </c>
      <c r="M9695">
        <v>0.97</v>
      </c>
      <c r="N9695">
        <v>0.91</v>
      </c>
    </row>
    <row r="9696" spans="1:14" x14ac:dyDescent="0.25">
      <c r="A9696" t="s">
        <v>16986</v>
      </c>
      <c r="B9696" t="s">
        <v>16987</v>
      </c>
      <c r="C9696" s="1" t="str">
        <f>HYPERLINK("http://www.genecards.org/cgi-bin/carddisp.pl?gene=NCOA4","GeneCards")</f>
        <v>GeneCards</v>
      </c>
      <c r="D9696" s="1" t="str">
        <f>HYPERLINK("http://genome-euro.ucsc.edu/cgi-bin/hgTracks?position=210774_s_at","UCSC")</f>
        <v>UCSC</v>
      </c>
      <c r="E9696" s="1" t="str">
        <f>HYPERLINK("http://www.ncbi.nlm.nih.gov/gene/?term=NCOA4","NCBI")</f>
        <v>NCBI</v>
      </c>
      <c r="F9696">
        <v>0.2</v>
      </c>
      <c r="G9696">
        <v>0.35</v>
      </c>
      <c r="H9696" s="1" t="str">
        <f>HYPERLINK("http://www.weizmann.ac.il/complex/compphys/software/geview/data/figures/210774_s_at.png","Figure")</f>
        <v>Figure</v>
      </c>
      <c r="I9696">
        <v>0.71699999999999997</v>
      </c>
      <c r="J9696">
        <v>0.32</v>
      </c>
      <c r="K9696">
        <v>1.05</v>
      </c>
      <c r="L9696">
        <v>0.96</v>
      </c>
      <c r="M9696">
        <v>1.47</v>
      </c>
      <c r="N9696">
        <v>0.19</v>
      </c>
    </row>
    <row r="9697" spans="1:14" x14ac:dyDescent="0.25">
      <c r="A9697" t="s">
        <v>16988</v>
      </c>
      <c r="B9697" t="s">
        <v>6440</v>
      </c>
      <c r="C9697" s="1" t="str">
        <f>HYPERLINK("http://www.genecards.org/cgi-bin/carddisp.pl?gene=MCM3AP","GeneCards")</f>
        <v>GeneCards</v>
      </c>
      <c r="D9697" s="1" t="str">
        <f>HYPERLINK("http://genome-euro.ucsc.edu/cgi-bin/hgTracks?position=212269_s_at","UCSC")</f>
        <v>UCSC</v>
      </c>
      <c r="E9697" s="1" t="str">
        <f>HYPERLINK("http://www.ncbi.nlm.nih.gov/gene/?term=MCM3AP","NCBI")</f>
        <v>NCBI</v>
      </c>
      <c r="F9697">
        <v>0.2</v>
      </c>
      <c r="G9697">
        <v>0.35</v>
      </c>
      <c r="H9697" s="1" t="str">
        <f>HYPERLINK("http://www.weizmann.ac.il/complex/compphys/software/geview/data/figures/212269_s_at.png","Figure")</f>
        <v>Figure</v>
      </c>
      <c r="I9697">
        <v>0.63</v>
      </c>
      <c r="J9697">
        <v>0.21</v>
      </c>
      <c r="K9697">
        <v>0.92500000000000004</v>
      </c>
      <c r="L9697">
        <v>0.94</v>
      </c>
      <c r="M9697">
        <v>1.47</v>
      </c>
      <c r="N9697">
        <v>0.28000000000000003</v>
      </c>
    </row>
    <row r="9698" spans="1:14" x14ac:dyDescent="0.25">
      <c r="A9698" t="s">
        <v>16989</v>
      </c>
      <c r="B9698" t="s">
        <v>16990</v>
      </c>
      <c r="C9698" s="1" t="str">
        <f>HYPERLINK("http://www.genecards.org/cgi-bin/carddisp.pl?gene=RAPGEF5","GeneCards")</f>
        <v>GeneCards</v>
      </c>
      <c r="D9698" s="1" t="str">
        <f>HYPERLINK("http://genome-euro.ucsc.edu/cgi-bin/hgTracks?position=204681_s_at","UCSC")</f>
        <v>UCSC</v>
      </c>
      <c r="E9698" s="1" t="str">
        <f>HYPERLINK("http://www.ncbi.nlm.nih.gov/gene/?term=RAPGEF5","NCBI")</f>
        <v>NCBI</v>
      </c>
      <c r="F9698">
        <v>0.2</v>
      </c>
      <c r="G9698">
        <v>0.35</v>
      </c>
      <c r="H9698" s="1" t="str">
        <f>HYPERLINK("http://www.weizmann.ac.il/complex/compphys/software/geview/data/figures/204681_s_at.png","Figure")</f>
        <v>Figure</v>
      </c>
      <c r="I9698">
        <v>1.24</v>
      </c>
      <c r="J9698">
        <v>0.42</v>
      </c>
      <c r="K9698">
        <v>1.31</v>
      </c>
      <c r="L9698">
        <v>0.18</v>
      </c>
      <c r="M9698">
        <v>1.06</v>
      </c>
      <c r="N9698">
        <v>0.93</v>
      </c>
    </row>
    <row r="9699" spans="1:14" x14ac:dyDescent="0.25">
      <c r="A9699" t="s">
        <v>16991</v>
      </c>
      <c r="B9699" t="s">
        <v>16992</v>
      </c>
      <c r="C9699" s="1" t="str">
        <f>HYPERLINK("http://www.genecards.org/cgi-bin/carddisp.pl?gene=PGM1","GeneCards")</f>
        <v>GeneCards</v>
      </c>
      <c r="D9699" s="1" t="str">
        <f>HYPERLINK("http://genome-euro.ucsc.edu/cgi-bin/hgTracks?position=201968_s_at","UCSC")</f>
        <v>UCSC</v>
      </c>
      <c r="E9699" s="1" t="str">
        <f>HYPERLINK("http://www.ncbi.nlm.nih.gov/gene/?term=PGM1","NCBI")</f>
        <v>NCBI</v>
      </c>
      <c r="F9699">
        <v>0.2</v>
      </c>
      <c r="G9699">
        <v>0.35</v>
      </c>
      <c r="H9699" s="1" t="str">
        <f>HYPERLINK("http://www.weizmann.ac.il/complex/compphys/software/geview/data/figures/201968_s_at.png","Figure")</f>
        <v>Figure</v>
      </c>
      <c r="I9699">
        <v>1.6</v>
      </c>
      <c r="J9699">
        <v>0.18</v>
      </c>
      <c r="K9699">
        <v>1.31</v>
      </c>
      <c r="L9699">
        <v>0.44</v>
      </c>
      <c r="M9699">
        <v>0.82299999999999995</v>
      </c>
      <c r="N9699">
        <v>0.69</v>
      </c>
    </row>
    <row r="9700" spans="1:14" x14ac:dyDescent="0.25">
      <c r="A9700" t="s">
        <v>16993</v>
      </c>
      <c r="B9700" t="s">
        <v>16994</v>
      </c>
      <c r="C9700" s="1" t="str">
        <f>HYPERLINK("http://www.genecards.org/cgi-bin/carddisp.pl?gene=SV2B","GeneCards")</f>
        <v>GeneCards</v>
      </c>
      <c r="D9700" s="1" t="str">
        <f>HYPERLINK("http://genome-euro.ucsc.edu/cgi-bin/hgTracks?position=205551_at","UCSC")</f>
        <v>UCSC</v>
      </c>
      <c r="E9700" s="1" t="str">
        <f>HYPERLINK("http://www.ncbi.nlm.nih.gov/gene/?term=SV2B","NCBI")</f>
        <v>NCBI</v>
      </c>
      <c r="F9700">
        <v>0.2</v>
      </c>
      <c r="G9700">
        <v>0.35</v>
      </c>
      <c r="H9700" s="1" t="str">
        <f>HYPERLINK("http://www.weizmann.ac.il/complex/compphys/software/geview/data/figures/205551_at.png","Figure")</f>
        <v>Figure</v>
      </c>
      <c r="I9700">
        <v>1.1200000000000001</v>
      </c>
      <c r="J9700">
        <v>0.26</v>
      </c>
      <c r="K9700">
        <v>0.999</v>
      </c>
      <c r="L9700">
        <v>1</v>
      </c>
      <c r="M9700">
        <v>0.89300000000000002</v>
      </c>
      <c r="N9700">
        <v>0.22</v>
      </c>
    </row>
    <row r="9701" spans="1:14" x14ac:dyDescent="0.25">
      <c r="A9701" t="s">
        <v>16995</v>
      </c>
      <c r="B9701" t="s">
        <v>838</v>
      </c>
      <c r="C9701" s="1" t="str">
        <f>HYPERLINK("http://www.genecards.org/cgi-bin/carddisp.pl?gene=XPNPEP1","GeneCards")</f>
        <v>GeneCards</v>
      </c>
      <c r="D9701" s="1" t="str">
        <f>HYPERLINK("http://genome-euro.ucsc.edu/cgi-bin/hgTracks?position=208453_s_at","UCSC")</f>
        <v>UCSC</v>
      </c>
      <c r="E9701" s="1" t="str">
        <f>HYPERLINK("http://www.ncbi.nlm.nih.gov/gene/?term=XPNPEP1","NCBI")</f>
        <v>NCBI</v>
      </c>
      <c r="F9701">
        <v>0.2</v>
      </c>
      <c r="G9701">
        <v>0.35</v>
      </c>
      <c r="H9701" s="1" t="str">
        <f>HYPERLINK("http://www.weizmann.ac.il/complex/compphys/software/geview/data/figures/208453_s_at.png","Figure")</f>
        <v>Figure</v>
      </c>
      <c r="I9701">
        <v>0.82</v>
      </c>
      <c r="J9701">
        <v>0.43</v>
      </c>
      <c r="K9701">
        <v>0.77500000000000002</v>
      </c>
      <c r="L9701">
        <v>0.18</v>
      </c>
      <c r="M9701">
        <v>0.94399999999999995</v>
      </c>
      <c r="N9701">
        <v>0.92</v>
      </c>
    </row>
    <row r="9702" spans="1:14" x14ac:dyDescent="0.25">
      <c r="A9702" t="s">
        <v>16996</v>
      </c>
      <c r="B9702" t="s">
        <v>10575</v>
      </c>
      <c r="C9702" s="1" t="str">
        <f>HYPERLINK("http://www.genecards.org/cgi-bin/carddisp.pl?gene=BNIP3","GeneCards")</f>
        <v>GeneCards</v>
      </c>
      <c r="D9702" s="1" t="str">
        <f>HYPERLINK("http://genome-euro.ucsc.edu/cgi-bin/hgTracks?position=201848_s_at","UCSC")</f>
        <v>UCSC</v>
      </c>
      <c r="E9702" s="1" t="str">
        <f>HYPERLINK("http://www.ncbi.nlm.nih.gov/gene/?term=BNIP3","NCBI")</f>
        <v>NCBI</v>
      </c>
      <c r="F9702">
        <v>0.2</v>
      </c>
      <c r="G9702">
        <v>0.35</v>
      </c>
      <c r="H9702" s="1" t="str">
        <f>HYPERLINK("http://www.weizmann.ac.il/complex/compphys/software/geview/data/figures/201848_s_at.png","Figure")</f>
        <v>Figure</v>
      </c>
      <c r="I9702">
        <v>1.1299999999999999</v>
      </c>
      <c r="J9702">
        <v>0.8</v>
      </c>
      <c r="K9702">
        <v>0.81499999999999995</v>
      </c>
      <c r="L9702">
        <v>0.46</v>
      </c>
      <c r="M9702">
        <v>0.72199999999999998</v>
      </c>
      <c r="N9702">
        <v>0.2</v>
      </c>
    </row>
    <row r="9703" spans="1:14" x14ac:dyDescent="0.25">
      <c r="A9703" t="s">
        <v>16997</v>
      </c>
      <c r="B9703" t="s">
        <v>16998</v>
      </c>
      <c r="C9703" s="1" t="str">
        <f>HYPERLINK("http://www.genecards.org/cgi-bin/carddisp.pl?gene=OR2S2","GeneCards")</f>
        <v>GeneCards</v>
      </c>
      <c r="D9703" s="1" t="str">
        <f>HYPERLINK("http://genome-euro.ucsc.edu/cgi-bin/hgTracks?position=221409_at","UCSC")</f>
        <v>UCSC</v>
      </c>
      <c r="E9703" s="1" t="str">
        <f>HYPERLINK("http://www.ncbi.nlm.nih.gov/gene/?term=OR2S2","NCBI")</f>
        <v>NCBI</v>
      </c>
      <c r="F9703">
        <v>0.2</v>
      </c>
      <c r="G9703">
        <v>0.35</v>
      </c>
      <c r="H9703" s="1" t="str">
        <f>HYPERLINK("http://www.weizmann.ac.il/complex/compphys/software/geview/data/figures/221409_at.png","Figure")</f>
        <v>Figure</v>
      </c>
      <c r="I9703">
        <v>1.0900000000000001</v>
      </c>
      <c r="J9703">
        <v>0.5</v>
      </c>
      <c r="K9703">
        <v>0.95199999999999996</v>
      </c>
      <c r="L9703">
        <v>0.75</v>
      </c>
      <c r="M9703">
        <v>0.873</v>
      </c>
      <c r="N9703">
        <v>0.17</v>
      </c>
    </row>
    <row r="9704" spans="1:14" x14ac:dyDescent="0.25">
      <c r="A9704" t="s">
        <v>16999</v>
      </c>
      <c r="B9704" t="s">
        <v>17000</v>
      </c>
      <c r="C9704" s="1" t="str">
        <f>HYPERLINK("http://www.genecards.org/cgi-bin/carddisp.pl?gene=VNN3","GeneCards")</f>
        <v>GeneCards</v>
      </c>
      <c r="D9704" s="1" t="str">
        <f>HYPERLINK("http://genome-euro.ucsc.edu/cgi-bin/hgTracks?position=220528_at","UCSC")</f>
        <v>UCSC</v>
      </c>
      <c r="E9704" s="1" t="str">
        <f>HYPERLINK("http://www.ncbi.nlm.nih.gov/gene/?term=VNN3","NCBI")</f>
        <v>NCBI</v>
      </c>
      <c r="F9704">
        <v>0.2</v>
      </c>
      <c r="G9704">
        <v>0.35</v>
      </c>
      <c r="H9704" s="1" t="str">
        <f>HYPERLINK("http://www.weizmann.ac.il/complex/compphys/software/geview/data/figures/220528_at.png","Figure")</f>
        <v>Figure</v>
      </c>
      <c r="I9704">
        <v>1.18</v>
      </c>
      <c r="J9704">
        <v>0.25</v>
      </c>
      <c r="K9704">
        <v>1</v>
      </c>
      <c r="L9704">
        <v>1</v>
      </c>
      <c r="M9704">
        <v>0.84899999999999998</v>
      </c>
      <c r="N9704">
        <v>0.23</v>
      </c>
    </row>
    <row r="9705" spans="1:14" x14ac:dyDescent="0.25">
      <c r="A9705" t="s">
        <v>17001</v>
      </c>
      <c r="B9705" t="s">
        <v>17002</v>
      </c>
      <c r="C9705" s="1" t="str">
        <f>HYPERLINK("http://www.genecards.org/cgi-bin/carddisp.pl?gene=UCHL5","GeneCards")</f>
        <v>GeneCards</v>
      </c>
      <c r="D9705" s="1" t="str">
        <f>HYPERLINK("http://genome-euro.ucsc.edu/cgi-bin/hgTracks?position=219960_s_at","UCSC")</f>
        <v>UCSC</v>
      </c>
      <c r="E9705" s="1" t="str">
        <f>HYPERLINK("http://www.ncbi.nlm.nih.gov/gene/?term=UCHL5","NCBI")</f>
        <v>NCBI</v>
      </c>
      <c r="F9705">
        <v>0.2</v>
      </c>
      <c r="G9705">
        <v>0.35</v>
      </c>
      <c r="H9705" s="1" t="str">
        <f>HYPERLINK("http://www.weizmann.ac.il/complex/compphys/software/geview/data/figures/219960_s_at.png","Figure")</f>
        <v>Figure</v>
      </c>
      <c r="I9705">
        <v>1.1200000000000001</v>
      </c>
      <c r="J9705">
        <v>0.85</v>
      </c>
      <c r="K9705">
        <v>1.41</v>
      </c>
      <c r="L9705">
        <v>0.19</v>
      </c>
      <c r="M9705">
        <v>1.25</v>
      </c>
      <c r="N9705">
        <v>0.5</v>
      </c>
    </row>
    <row r="9706" spans="1:14" x14ac:dyDescent="0.25">
      <c r="A9706" t="s">
        <v>17003</v>
      </c>
      <c r="B9706" t="s">
        <v>17004</v>
      </c>
      <c r="C9706" s="1" t="str">
        <f>HYPERLINK("http://www.genecards.org/cgi-bin/carddisp.pl?gene=FAIM2","GeneCards")</f>
        <v>GeneCards</v>
      </c>
      <c r="D9706" s="1" t="str">
        <f>HYPERLINK("http://genome-euro.ucsc.edu/cgi-bin/hgTracks?position=203618_at","UCSC")</f>
        <v>UCSC</v>
      </c>
      <c r="E9706" s="1" t="str">
        <f>HYPERLINK("http://www.ncbi.nlm.nih.gov/gene/?term=FAIM2","NCBI")</f>
        <v>NCBI</v>
      </c>
      <c r="F9706">
        <v>0.2</v>
      </c>
      <c r="G9706">
        <v>0.35</v>
      </c>
      <c r="H9706" s="1" t="str">
        <f>HYPERLINK("http://www.weizmann.ac.il/complex/compphys/software/geview/data/figures/203618_at.png","Figure")</f>
        <v>Figure</v>
      </c>
      <c r="I9706">
        <v>1.17</v>
      </c>
      <c r="J9706">
        <v>0.21</v>
      </c>
      <c r="K9706">
        <v>1.1200000000000001</v>
      </c>
      <c r="L9706">
        <v>0.33</v>
      </c>
      <c r="M9706">
        <v>0.95499999999999996</v>
      </c>
      <c r="N9706">
        <v>0.84</v>
      </c>
    </row>
    <row r="9707" spans="1:14" x14ac:dyDescent="0.25">
      <c r="A9707" t="s">
        <v>17005</v>
      </c>
      <c r="B9707" t="s">
        <v>3193</v>
      </c>
      <c r="C9707" s="1" t="str">
        <f>HYPERLINK("http://www.genecards.org/cgi-bin/carddisp.pl?gene=DR1","GeneCards")</f>
        <v>GeneCards</v>
      </c>
      <c r="D9707" s="1" t="str">
        <f>HYPERLINK("http://genome-euro.ucsc.edu/cgi-bin/hgTracks?position=209188_x_at","UCSC")</f>
        <v>UCSC</v>
      </c>
      <c r="E9707" s="1" t="str">
        <f>HYPERLINK("http://www.ncbi.nlm.nih.gov/gene/?term=DR1","NCBI")</f>
        <v>NCBI</v>
      </c>
      <c r="F9707">
        <v>0.2</v>
      </c>
      <c r="G9707">
        <v>0.35</v>
      </c>
      <c r="H9707" s="1" t="str">
        <f>HYPERLINK("http://www.weizmann.ac.il/complex/compphys/software/geview/data/figures/209188_x_at.png","Figure")</f>
        <v>Figure</v>
      </c>
      <c r="I9707">
        <v>0.92100000000000004</v>
      </c>
      <c r="J9707">
        <v>0.71</v>
      </c>
      <c r="K9707">
        <v>0.84099999999999997</v>
      </c>
      <c r="L9707">
        <v>0.18</v>
      </c>
      <c r="M9707">
        <v>0.91300000000000003</v>
      </c>
      <c r="N9707">
        <v>0.63</v>
      </c>
    </row>
    <row r="9708" spans="1:14" x14ac:dyDescent="0.25">
      <c r="A9708" t="s">
        <v>17006</v>
      </c>
      <c r="B9708" t="s">
        <v>16238</v>
      </c>
      <c r="C9708" s="1" t="str">
        <f>HYPERLINK("http://www.genecards.org/cgi-bin/carddisp.pl?gene=TIA1","GeneCards")</f>
        <v>GeneCards</v>
      </c>
      <c r="D9708" s="1" t="str">
        <f>HYPERLINK("http://genome-euro.ucsc.edu/cgi-bin/hgTracks?position=201448_at","UCSC")</f>
        <v>UCSC</v>
      </c>
      <c r="E9708" s="1" t="str">
        <f>HYPERLINK("http://www.ncbi.nlm.nih.gov/gene/?term=TIA1","NCBI")</f>
        <v>NCBI</v>
      </c>
      <c r="F9708">
        <v>0.2</v>
      </c>
      <c r="G9708">
        <v>0.35</v>
      </c>
      <c r="H9708" s="1" t="str">
        <f>HYPERLINK("http://www.weizmann.ac.il/complex/compphys/software/geview/data/figures/201448_at.png","Figure")</f>
        <v>Figure</v>
      </c>
      <c r="I9708">
        <v>0.83199999999999996</v>
      </c>
      <c r="J9708">
        <v>0.92</v>
      </c>
      <c r="K9708">
        <v>1.8</v>
      </c>
      <c r="L9708">
        <v>0.36</v>
      </c>
      <c r="M9708">
        <v>2.17</v>
      </c>
      <c r="N9708">
        <v>0.23</v>
      </c>
    </row>
    <row r="9709" spans="1:14" x14ac:dyDescent="0.25">
      <c r="A9709" t="s">
        <v>17007</v>
      </c>
      <c r="B9709" t="s">
        <v>17008</v>
      </c>
      <c r="C9709" s="1" t="str">
        <f>HYPERLINK("http://www.genecards.org/cgi-bin/carddisp.pl?gene=RPL27","GeneCards")</f>
        <v>GeneCards</v>
      </c>
      <c r="D9709" s="1" t="str">
        <f>HYPERLINK("http://genome-euro.ucsc.edu/cgi-bin/hgTracks?position=200025_s_at","UCSC")</f>
        <v>UCSC</v>
      </c>
      <c r="E9709" s="1" t="str">
        <f>HYPERLINK("http://www.ncbi.nlm.nih.gov/gene/?term=RPL27","NCBI")</f>
        <v>NCBI</v>
      </c>
      <c r="F9709">
        <v>0.2</v>
      </c>
      <c r="G9709">
        <v>0.35</v>
      </c>
      <c r="H9709" s="1" t="str">
        <f>HYPERLINK("http://www.weizmann.ac.il/complex/compphys/software/geview/data/figures/200025_s_at.png","Figure")</f>
        <v>Figure</v>
      </c>
      <c r="I9709">
        <v>0.85299999999999998</v>
      </c>
      <c r="J9709">
        <v>0.35</v>
      </c>
      <c r="K9709">
        <v>1.03</v>
      </c>
      <c r="L9709">
        <v>0.94</v>
      </c>
      <c r="M9709">
        <v>1.21</v>
      </c>
      <c r="N9709">
        <v>0.19</v>
      </c>
    </row>
    <row r="9710" spans="1:14" x14ac:dyDescent="0.25">
      <c r="A9710" t="s">
        <v>17009</v>
      </c>
      <c r="B9710" t="s">
        <v>6136</v>
      </c>
      <c r="C9710" s="1" t="str">
        <f>HYPERLINK("http://www.genecards.org/cgi-bin/carddisp.pl?gene=CYB561","GeneCards")</f>
        <v>GeneCards</v>
      </c>
      <c r="D9710" s="1" t="str">
        <f>HYPERLINK("http://genome-euro.ucsc.edu/cgi-bin/hgTracks?position=209164_s_at","UCSC")</f>
        <v>UCSC</v>
      </c>
      <c r="E9710" s="1" t="str">
        <f>HYPERLINK("http://www.ncbi.nlm.nih.gov/gene/?term=CYB561","NCBI")</f>
        <v>NCBI</v>
      </c>
      <c r="F9710">
        <v>0.2</v>
      </c>
      <c r="G9710">
        <v>0.35</v>
      </c>
      <c r="H9710" s="1" t="str">
        <f>HYPERLINK("http://www.weizmann.ac.il/complex/compphys/software/geview/data/figures/209164_s_at.png","Figure")</f>
        <v>Figure</v>
      </c>
      <c r="I9710">
        <v>0.69399999999999995</v>
      </c>
      <c r="J9710">
        <v>0.24</v>
      </c>
      <c r="K9710">
        <v>0.97899999999999998</v>
      </c>
      <c r="L9710">
        <v>0.99</v>
      </c>
      <c r="M9710">
        <v>1.41</v>
      </c>
      <c r="N9710">
        <v>0.24</v>
      </c>
    </row>
    <row r="9711" spans="1:14" x14ac:dyDescent="0.25">
      <c r="A9711" t="s">
        <v>17010</v>
      </c>
      <c r="B9711" t="s">
        <v>17011</v>
      </c>
      <c r="C9711" s="1" t="str">
        <f>HYPERLINK("http://www.genecards.org/cgi-bin/carddisp.pl?gene=DLAT","GeneCards")</f>
        <v>GeneCards</v>
      </c>
      <c r="D9711" s="1" t="str">
        <f>HYPERLINK("http://genome-euro.ucsc.edu/cgi-bin/hgTracks?position=213149_at","UCSC")</f>
        <v>UCSC</v>
      </c>
      <c r="E9711" s="1" t="str">
        <f>HYPERLINK("http://www.ncbi.nlm.nih.gov/gene/?term=DLAT","NCBI")</f>
        <v>NCBI</v>
      </c>
      <c r="F9711">
        <v>0.2</v>
      </c>
      <c r="G9711">
        <v>0.35</v>
      </c>
      <c r="H9711" s="1" t="str">
        <f>HYPERLINK("http://www.weizmann.ac.il/complex/compphys/software/geview/data/figures/213149_at.png","Figure")</f>
        <v>Figure</v>
      </c>
      <c r="I9711">
        <v>0.877</v>
      </c>
      <c r="J9711">
        <v>0.32</v>
      </c>
      <c r="K9711">
        <v>1.02</v>
      </c>
      <c r="L9711">
        <v>0.96</v>
      </c>
      <c r="M9711">
        <v>1.1599999999999999</v>
      </c>
      <c r="N9711">
        <v>0.19</v>
      </c>
    </row>
    <row r="9712" spans="1:14" x14ac:dyDescent="0.25">
      <c r="A9712" t="s">
        <v>17012</v>
      </c>
      <c r="B9712" t="s">
        <v>17013</v>
      </c>
      <c r="C9712" s="1" t="str">
        <f>HYPERLINK("http://www.genecards.org/cgi-bin/carddisp.pl?gene=YPEL1","GeneCards")</f>
        <v>GeneCards</v>
      </c>
      <c r="D9712" s="1" t="str">
        <f>HYPERLINK("http://genome-euro.ucsc.edu/cgi-bin/hgTracks?position=213996_at","UCSC")</f>
        <v>UCSC</v>
      </c>
      <c r="E9712" s="1" t="str">
        <f>HYPERLINK("http://www.ncbi.nlm.nih.gov/gene/?term=YPEL1","NCBI")</f>
        <v>NCBI</v>
      </c>
      <c r="F9712">
        <v>0.2</v>
      </c>
      <c r="G9712">
        <v>0.35</v>
      </c>
      <c r="H9712" s="1" t="str">
        <f>HYPERLINK("http://www.weizmann.ac.il/complex/compphys/software/geview/data/figures/213996_at.png","Figure")</f>
        <v>Figure</v>
      </c>
      <c r="I9712">
        <v>1.1599999999999999</v>
      </c>
      <c r="J9712">
        <v>0.88</v>
      </c>
      <c r="K9712">
        <v>1.64</v>
      </c>
      <c r="L9712">
        <v>0.19</v>
      </c>
      <c r="M9712">
        <v>1.41</v>
      </c>
      <c r="N9712">
        <v>0.47</v>
      </c>
    </row>
    <row r="9713" spans="1:14" x14ac:dyDescent="0.25">
      <c r="A9713" t="s">
        <v>17014</v>
      </c>
      <c r="B9713" t="s">
        <v>17015</v>
      </c>
      <c r="C9713" s="1" t="str">
        <f>HYPERLINK("http://www.genecards.org/cgi-bin/carddisp.pl?gene=NDUFS5","GeneCards")</f>
        <v>GeneCards</v>
      </c>
      <c r="D9713" s="1" t="str">
        <f>HYPERLINK("http://genome-euro.ucsc.edu/cgi-bin/hgTracks?position=201757_at","UCSC")</f>
        <v>UCSC</v>
      </c>
      <c r="E9713" s="1" t="str">
        <f>HYPERLINK("http://www.ncbi.nlm.nih.gov/gene/?term=NDUFS5","NCBI")</f>
        <v>NCBI</v>
      </c>
      <c r="F9713">
        <v>0.2</v>
      </c>
      <c r="G9713">
        <v>0.35</v>
      </c>
      <c r="H9713" s="1" t="str">
        <f>HYPERLINK("http://www.weizmann.ac.il/complex/compphys/software/geview/data/figures/201757_at.png","Figure")</f>
        <v>Figure</v>
      </c>
      <c r="I9713">
        <v>1.04</v>
      </c>
      <c r="J9713">
        <v>0.98</v>
      </c>
      <c r="K9713">
        <v>1.36</v>
      </c>
      <c r="L9713">
        <v>0.23</v>
      </c>
      <c r="M9713">
        <v>1.31</v>
      </c>
      <c r="N9713">
        <v>0.36</v>
      </c>
    </row>
    <row r="9714" spans="1:14" x14ac:dyDescent="0.25">
      <c r="A9714" t="s">
        <v>17016</v>
      </c>
      <c r="B9714" t="s">
        <v>17017</v>
      </c>
      <c r="C9714" s="1" t="str">
        <f>HYPERLINK("http://www.genecards.org/cgi-bin/carddisp.pl?gene=ROM1","GeneCards")</f>
        <v>GeneCards</v>
      </c>
      <c r="D9714" s="1" t="str">
        <f>HYPERLINK("http://genome-euro.ucsc.edu/cgi-bin/hgTracks?position=205806_at","UCSC")</f>
        <v>UCSC</v>
      </c>
      <c r="E9714" s="1" t="str">
        <f>HYPERLINK("http://www.ncbi.nlm.nih.gov/gene/?term=ROM1","NCBI")</f>
        <v>NCBI</v>
      </c>
      <c r="F9714">
        <v>0.2</v>
      </c>
      <c r="G9714">
        <v>0.35</v>
      </c>
      <c r="H9714" s="1" t="str">
        <f>HYPERLINK("http://www.weizmann.ac.il/complex/compphys/software/geview/data/figures/205806_at.png","Figure")</f>
        <v>Figure</v>
      </c>
      <c r="I9714">
        <v>1.18</v>
      </c>
      <c r="J9714">
        <v>0.18</v>
      </c>
      <c r="K9714">
        <v>1.05</v>
      </c>
      <c r="L9714">
        <v>0.82</v>
      </c>
      <c r="M9714">
        <v>0.88600000000000001</v>
      </c>
      <c r="N9714">
        <v>0.35</v>
      </c>
    </row>
    <row r="9715" spans="1:14" x14ac:dyDescent="0.25">
      <c r="A9715" t="s">
        <v>17018</v>
      </c>
      <c r="B9715" t="s">
        <v>17019</v>
      </c>
      <c r="C9715" s="1" t="str">
        <f>HYPERLINK("http://www.genecards.org/cgi-bin/carddisp.pl?gene=MDC1","GeneCards")</f>
        <v>GeneCards</v>
      </c>
      <c r="D9715" s="1" t="str">
        <f>HYPERLINK("http://genome-euro.ucsc.edu/cgi-bin/hgTracks?position=203061_s_at","UCSC")</f>
        <v>UCSC</v>
      </c>
      <c r="E9715" s="1" t="str">
        <f>HYPERLINK("http://www.ncbi.nlm.nih.gov/gene/?term=MDC1","NCBI")</f>
        <v>NCBI</v>
      </c>
      <c r="F9715">
        <v>0.2</v>
      </c>
      <c r="G9715">
        <v>0.35</v>
      </c>
      <c r="H9715" s="1" t="str">
        <f>HYPERLINK("http://www.weizmann.ac.il/complex/compphys/software/geview/data/figures/203061_s_at.png","Figure")</f>
        <v>Figure</v>
      </c>
      <c r="I9715">
        <v>1.1299999999999999</v>
      </c>
      <c r="J9715">
        <v>0.27</v>
      </c>
      <c r="K9715">
        <v>1.1200000000000001</v>
      </c>
      <c r="L9715">
        <v>0.24</v>
      </c>
      <c r="M9715">
        <v>0.98899999999999999</v>
      </c>
      <c r="N9715">
        <v>0.99</v>
      </c>
    </row>
    <row r="9716" spans="1:14" x14ac:dyDescent="0.25">
      <c r="A9716" t="s">
        <v>17020</v>
      </c>
      <c r="B9716" t="s">
        <v>17021</v>
      </c>
      <c r="C9716" s="1" t="str">
        <f>HYPERLINK("http://www.genecards.org/cgi-bin/carddisp.pl?gene=DHX32","GeneCards")</f>
        <v>GeneCards</v>
      </c>
      <c r="D9716" s="1" t="str">
        <f>HYPERLINK("http://genome-euro.ucsc.edu/cgi-bin/hgTracks?position=218198_at","UCSC")</f>
        <v>UCSC</v>
      </c>
      <c r="E9716" s="1" t="str">
        <f>HYPERLINK("http://www.ncbi.nlm.nih.gov/gene/?term=DHX32","NCBI")</f>
        <v>NCBI</v>
      </c>
      <c r="F9716">
        <v>0.2</v>
      </c>
      <c r="G9716">
        <v>0.35</v>
      </c>
      <c r="H9716" s="1" t="str">
        <f>HYPERLINK("http://www.weizmann.ac.il/complex/compphys/software/geview/data/figures/218198_at.png","Figure")</f>
        <v>Figure</v>
      </c>
      <c r="I9716">
        <v>1.1200000000000001</v>
      </c>
      <c r="J9716">
        <v>0.32</v>
      </c>
      <c r="K9716">
        <v>0.98399999999999999</v>
      </c>
      <c r="L9716">
        <v>0.97</v>
      </c>
      <c r="M9716">
        <v>0.878</v>
      </c>
      <c r="N9716">
        <v>0.19</v>
      </c>
    </row>
    <row r="9717" spans="1:14" x14ac:dyDescent="0.25">
      <c r="A9717" t="s">
        <v>17022</v>
      </c>
      <c r="B9717" t="s">
        <v>17023</v>
      </c>
      <c r="C9717" s="1" t="str">
        <f>HYPERLINK("http://www.genecards.org/cgi-bin/carddisp.pl?gene=ARHGAP10","GeneCards")</f>
        <v>GeneCards</v>
      </c>
      <c r="D9717" s="1" t="str">
        <f>HYPERLINK("http://genome-euro.ucsc.edu/cgi-bin/hgTracks?position=219431_at","UCSC")</f>
        <v>UCSC</v>
      </c>
      <c r="E9717" s="1" t="str">
        <f>HYPERLINK("http://www.ncbi.nlm.nih.gov/gene/?term=ARHGAP10","NCBI")</f>
        <v>NCBI</v>
      </c>
      <c r="F9717">
        <v>0.2</v>
      </c>
      <c r="G9717">
        <v>0.35</v>
      </c>
      <c r="H9717" s="1" t="str">
        <f>HYPERLINK("http://www.weizmann.ac.il/complex/compphys/software/geview/data/figures/219431_at.png","Figure")</f>
        <v>Figure</v>
      </c>
      <c r="I9717">
        <v>0.879</v>
      </c>
      <c r="J9717">
        <v>0.17</v>
      </c>
      <c r="K9717">
        <v>0.94899999999999995</v>
      </c>
      <c r="L9717">
        <v>0.66</v>
      </c>
      <c r="M9717">
        <v>1.08</v>
      </c>
      <c r="N9717">
        <v>0.46</v>
      </c>
    </row>
    <row r="9718" spans="1:14" x14ac:dyDescent="0.25">
      <c r="A9718" t="s">
        <v>17024</v>
      </c>
      <c r="B9718" t="s">
        <v>17025</v>
      </c>
      <c r="C9718" s="1" t="str">
        <f>HYPERLINK("http://www.genecards.org/cgi-bin/carddisp.pl?gene=IKZF2","GeneCards")</f>
        <v>GeneCards</v>
      </c>
      <c r="D9718" s="1" t="str">
        <f>HYPERLINK("http://genome-euro.ucsc.edu/cgi-bin/hgTracks?position=220567_at","UCSC")</f>
        <v>UCSC</v>
      </c>
      <c r="E9718" s="1" t="str">
        <f>HYPERLINK("http://www.ncbi.nlm.nih.gov/gene/?term=IKZF2","NCBI")</f>
        <v>NCBI</v>
      </c>
      <c r="F9718">
        <v>0.2</v>
      </c>
      <c r="G9718">
        <v>0.35</v>
      </c>
      <c r="H9718" s="1" t="str">
        <f>HYPERLINK("http://www.weizmann.ac.il/complex/compphys/software/geview/data/figures/220567_at.png","Figure")</f>
        <v>Figure</v>
      </c>
      <c r="I9718">
        <v>1.08</v>
      </c>
      <c r="J9718">
        <v>0.52</v>
      </c>
      <c r="K9718">
        <v>0.95699999999999996</v>
      </c>
      <c r="L9718">
        <v>0.73</v>
      </c>
      <c r="M9718">
        <v>0.89</v>
      </c>
      <c r="N9718">
        <v>0.17</v>
      </c>
    </row>
    <row r="9719" spans="1:14" x14ac:dyDescent="0.25">
      <c r="A9719" t="s">
        <v>17026</v>
      </c>
      <c r="B9719" t="s">
        <v>17027</v>
      </c>
      <c r="C9719" s="1" t="str">
        <f>HYPERLINK("http://www.genecards.org/cgi-bin/carddisp.pl?gene=FN3KRP","GeneCards")</f>
        <v>GeneCards</v>
      </c>
      <c r="D9719" s="1" t="str">
        <f>HYPERLINK("http://genome-euro.ucsc.edu/cgi-bin/hgTracks?position=218210_at","UCSC")</f>
        <v>UCSC</v>
      </c>
      <c r="E9719" s="1" t="str">
        <f>HYPERLINK("http://www.ncbi.nlm.nih.gov/gene/?term=FN3KRP","NCBI")</f>
        <v>NCBI</v>
      </c>
      <c r="F9719">
        <v>0.2</v>
      </c>
      <c r="G9719">
        <v>0.35</v>
      </c>
      <c r="H9719" s="1" t="str">
        <f>HYPERLINK("http://www.weizmann.ac.il/complex/compphys/software/geview/data/figures/218210_at.png","Figure")</f>
        <v>Figure</v>
      </c>
      <c r="I9719">
        <v>1.06</v>
      </c>
      <c r="J9719">
        <v>0.95</v>
      </c>
      <c r="K9719">
        <v>0.79100000000000004</v>
      </c>
      <c r="L9719">
        <v>0.34</v>
      </c>
      <c r="M9719">
        <v>0.747</v>
      </c>
      <c r="N9719">
        <v>0.24</v>
      </c>
    </row>
    <row r="9720" spans="1:14" x14ac:dyDescent="0.25">
      <c r="A9720" t="s">
        <v>17028</v>
      </c>
      <c r="B9720" t="s">
        <v>17029</v>
      </c>
      <c r="C9720" s="1" t="str">
        <f>HYPERLINK("http://www.genecards.org/cgi-bin/carddisp.pl?gene=GALNS","GeneCards")</f>
        <v>GeneCards</v>
      </c>
      <c r="D9720" s="1" t="str">
        <f>HYPERLINK("http://genome-euro.ucsc.edu/cgi-bin/hgTracks?position=206335_at","UCSC")</f>
        <v>UCSC</v>
      </c>
      <c r="E9720" s="1" t="str">
        <f>HYPERLINK("http://www.ncbi.nlm.nih.gov/gene/?term=GALNS","NCBI")</f>
        <v>NCBI</v>
      </c>
      <c r="F9720">
        <v>0.2</v>
      </c>
      <c r="G9720">
        <v>0.35</v>
      </c>
      <c r="H9720" s="1" t="str">
        <f>HYPERLINK("http://www.weizmann.ac.il/complex/compphys/software/geview/data/figures/206335_at.png","Figure")</f>
        <v>Figure</v>
      </c>
      <c r="I9720">
        <v>1.19</v>
      </c>
      <c r="J9720">
        <v>0.23</v>
      </c>
      <c r="K9720">
        <v>1.02</v>
      </c>
      <c r="L9720">
        <v>0.98</v>
      </c>
      <c r="M9720">
        <v>0.85699999999999998</v>
      </c>
      <c r="N9720">
        <v>0.25</v>
      </c>
    </row>
    <row r="9721" spans="1:14" x14ac:dyDescent="0.25">
      <c r="A9721" t="s">
        <v>17030</v>
      </c>
      <c r="B9721" t="s">
        <v>17031</v>
      </c>
      <c r="C9721" s="1" t="str">
        <f>HYPERLINK("http://www.genecards.org/cgi-bin/carddisp.pl?gene=FZD9","GeneCards")</f>
        <v>GeneCards</v>
      </c>
      <c r="D9721" s="1" t="str">
        <f>HYPERLINK("http://genome-euro.ucsc.edu/cgi-bin/hgTracks?position=207639_at","UCSC")</f>
        <v>UCSC</v>
      </c>
      <c r="E9721" s="1" t="str">
        <f>HYPERLINK("http://www.ncbi.nlm.nih.gov/gene/?term=FZD9","NCBI")</f>
        <v>NCBI</v>
      </c>
      <c r="F9721">
        <v>0.2</v>
      </c>
      <c r="G9721">
        <v>0.35</v>
      </c>
      <c r="H9721" s="1" t="str">
        <f>HYPERLINK("http://www.weizmann.ac.il/complex/compphys/software/geview/data/figures/207639_at.png","Figure")</f>
        <v>Figure</v>
      </c>
      <c r="I9721">
        <v>1.1000000000000001</v>
      </c>
      <c r="J9721">
        <v>0.41</v>
      </c>
      <c r="K9721">
        <v>0.96699999999999997</v>
      </c>
      <c r="L9721">
        <v>0.87</v>
      </c>
      <c r="M9721">
        <v>0.877</v>
      </c>
      <c r="N9721">
        <v>0.18</v>
      </c>
    </row>
    <row r="9722" spans="1:14" x14ac:dyDescent="0.25">
      <c r="A9722" t="s">
        <v>17032</v>
      </c>
      <c r="B9722" t="s">
        <v>2813</v>
      </c>
      <c r="C9722" s="1" t="str">
        <f>HYPERLINK("http://www.genecards.org/cgi-bin/carddisp.pl?gene=SLC25A36","GeneCards")</f>
        <v>GeneCards</v>
      </c>
      <c r="D9722" s="1" t="str">
        <f>HYPERLINK("http://genome-euro.ucsc.edu/cgi-bin/hgTracks?position=201919_at","UCSC")</f>
        <v>UCSC</v>
      </c>
      <c r="E9722" s="1" t="str">
        <f>HYPERLINK("http://www.ncbi.nlm.nih.gov/gene/?term=SLC25A36","NCBI")</f>
        <v>NCBI</v>
      </c>
      <c r="F9722">
        <v>0.2</v>
      </c>
      <c r="G9722">
        <v>0.35</v>
      </c>
      <c r="H9722" s="1" t="str">
        <f>HYPERLINK("http://www.weizmann.ac.il/complex/compphys/software/geview/data/figures/201919_at.png","Figure")</f>
        <v>Figure</v>
      </c>
      <c r="I9722">
        <v>0.96099999999999997</v>
      </c>
      <c r="J9722">
        <v>0.96</v>
      </c>
      <c r="K9722">
        <v>0.78700000000000003</v>
      </c>
      <c r="L9722">
        <v>0.22</v>
      </c>
      <c r="M9722">
        <v>0.82</v>
      </c>
      <c r="N9722">
        <v>0.38</v>
      </c>
    </row>
    <row r="9723" spans="1:14" x14ac:dyDescent="0.25">
      <c r="A9723" t="s">
        <v>17033</v>
      </c>
      <c r="B9723" t="s">
        <v>7493</v>
      </c>
      <c r="C9723" s="1" t="str">
        <f>HYPERLINK("http://www.genecards.org/cgi-bin/carddisp.pl?gene=C19orf29","GeneCards")</f>
        <v>GeneCards</v>
      </c>
      <c r="D9723" s="1" t="str">
        <f>HYPERLINK("http://genome-euro.ucsc.edu/cgi-bin/hgTracks?position=214892_x_at","UCSC")</f>
        <v>UCSC</v>
      </c>
      <c r="E9723" s="1" t="str">
        <f>HYPERLINK("http://www.ncbi.nlm.nih.gov/gene/?term=C19orf29","NCBI")</f>
        <v>NCBI</v>
      </c>
      <c r="F9723">
        <v>0.2</v>
      </c>
      <c r="G9723">
        <v>0.35</v>
      </c>
      <c r="H9723" s="1" t="str">
        <f>HYPERLINK("http://www.weizmann.ac.il/complex/compphys/software/geview/data/figures/214892_x_at.png","Figure")</f>
        <v>Figure</v>
      </c>
      <c r="I9723">
        <v>1.1599999999999999</v>
      </c>
      <c r="J9723">
        <v>0.42</v>
      </c>
      <c r="K9723">
        <v>0.94799999999999995</v>
      </c>
      <c r="L9723">
        <v>0.85</v>
      </c>
      <c r="M9723">
        <v>0.82</v>
      </c>
      <c r="N9723">
        <v>0.18</v>
      </c>
    </row>
    <row r="9724" spans="1:14" x14ac:dyDescent="0.25">
      <c r="A9724" t="s">
        <v>17034</v>
      </c>
      <c r="B9724" t="s">
        <v>17035</v>
      </c>
      <c r="C9724" s="1" t="str">
        <f>HYPERLINK("http://www.genecards.org/cgi-bin/carddisp.pl?gene=RPE","GeneCards")</f>
        <v>GeneCards</v>
      </c>
      <c r="D9724" s="1" t="str">
        <f>HYPERLINK("http://genome-euro.ucsc.edu/cgi-bin/hgTracks?position=221770_at","UCSC")</f>
        <v>UCSC</v>
      </c>
      <c r="E9724" s="1" t="str">
        <f>HYPERLINK("http://www.ncbi.nlm.nih.gov/gene/?term=RPE","NCBI")</f>
        <v>NCBI</v>
      </c>
      <c r="F9724">
        <v>0.2</v>
      </c>
      <c r="G9724">
        <v>0.35</v>
      </c>
      <c r="H9724" s="1" t="str">
        <f>HYPERLINK("http://www.weizmann.ac.il/complex/compphys/software/geview/data/figures/221770_at.png","Figure")</f>
        <v>Figure</v>
      </c>
      <c r="I9724">
        <v>0.97599999999999998</v>
      </c>
      <c r="J9724">
        <v>0.95</v>
      </c>
      <c r="K9724">
        <v>1.1100000000000001</v>
      </c>
      <c r="L9724">
        <v>0.34</v>
      </c>
      <c r="M9724">
        <v>1.1299999999999999</v>
      </c>
      <c r="N9724">
        <v>0.24</v>
      </c>
    </row>
    <row r="9725" spans="1:14" x14ac:dyDescent="0.25">
      <c r="A9725" t="s">
        <v>17036</v>
      </c>
      <c r="B9725" t="s">
        <v>769</v>
      </c>
      <c r="C9725" s="1" t="str">
        <f>HYPERLINK("http://www.genecards.org/cgi-bin/carddisp.pl?gene=SORBS2","GeneCards")</f>
        <v>GeneCards</v>
      </c>
      <c r="D9725" s="1" t="str">
        <f>HYPERLINK("http://genome-euro.ucsc.edu/cgi-bin/hgTracks?position=220858_at","UCSC")</f>
        <v>UCSC</v>
      </c>
      <c r="E9725" s="1" t="str">
        <f>HYPERLINK("http://www.ncbi.nlm.nih.gov/gene/?term=SORBS2","NCBI")</f>
        <v>NCBI</v>
      </c>
      <c r="F9725">
        <v>0.2</v>
      </c>
      <c r="G9725">
        <v>0.35</v>
      </c>
      <c r="H9725" s="1" t="str">
        <f>HYPERLINK("http://www.weizmann.ac.il/complex/compphys/software/geview/data/figures/220858_at.png","Figure")</f>
        <v>Figure</v>
      </c>
      <c r="I9725">
        <v>1.1299999999999999</v>
      </c>
      <c r="J9725">
        <v>0.44</v>
      </c>
      <c r="K9725">
        <v>0.95</v>
      </c>
      <c r="L9725">
        <v>0.82</v>
      </c>
      <c r="M9725">
        <v>0.84</v>
      </c>
      <c r="N9725">
        <v>0.18</v>
      </c>
    </row>
    <row r="9726" spans="1:14" x14ac:dyDescent="0.25">
      <c r="A9726" t="s">
        <v>17037</v>
      </c>
      <c r="B9726" t="s">
        <v>17038</v>
      </c>
      <c r="C9726" s="1" t="str">
        <f>HYPERLINK("http://www.genecards.org/cgi-bin/carddisp.pl?gene=RAD23B","GeneCards")</f>
        <v>GeneCards</v>
      </c>
      <c r="D9726" s="1" t="str">
        <f>HYPERLINK("http://genome-euro.ucsc.edu/cgi-bin/hgTracks?position=201223_s_at","UCSC")</f>
        <v>UCSC</v>
      </c>
      <c r="E9726" s="1" t="str">
        <f>HYPERLINK("http://www.ncbi.nlm.nih.gov/gene/?term=RAD23B","NCBI")</f>
        <v>NCBI</v>
      </c>
      <c r="F9726">
        <v>0.2</v>
      </c>
      <c r="G9726">
        <v>0.35</v>
      </c>
      <c r="H9726" s="1" t="str">
        <f>HYPERLINK("http://www.weizmann.ac.il/complex/compphys/software/geview/data/figures/201223_s_at.png","Figure")</f>
        <v>Figure</v>
      </c>
      <c r="I9726">
        <v>0.85099999999999998</v>
      </c>
      <c r="J9726">
        <v>0.63</v>
      </c>
      <c r="K9726">
        <v>1.1499999999999999</v>
      </c>
      <c r="L9726">
        <v>0.61</v>
      </c>
      <c r="M9726">
        <v>1.36</v>
      </c>
      <c r="N9726">
        <v>0.18</v>
      </c>
    </row>
    <row r="9727" spans="1:14" x14ac:dyDescent="0.25">
      <c r="A9727" t="s">
        <v>17039</v>
      </c>
      <c r="B9727" t="s">
        <v>3539</v>
      </c>
      <c r="C9727" s="1" t="str">
        <f>HYPERLINK("http://www.genecards.org/cgi-bin/carddisp.pl?gene=PI4KB","GeneCards")</f>
        <v>GeneCards</v>
      </c>
      <c r="D9727" s="1" t="str">
        <f>HYPERLINK("http://genome-euro.ucsc.edu/cgi-bin/hgTracks?position=210417_s_at","UCSC")</f>
        <v>UCSC</v>
      </c>
      <c r="E9727" s="1" t="str">
        <f>HYPERLINK("http://www.ncbi.nlm.nih.gov/gene/?term=PI4KB","NCBI")</f>
        <v>NCBI</v>
      </c>
      <c r="F9727">
        <v>0.2</v>
      </c>
      <c r="G9727">
        <v>0.35</v>
      </c>
      <c r="H9727" s="1" t="str">
        <f>HYPERLINK("http://www.weizmann.ac.il/complex/compphys/software/geview/data/figures/210417_s_at.png","Figure")</f>
        <v>Figure</v>
      </c>
      <c r="I9727">
        <v>1.21</v>
      </c>
      <c r="J9727">
        <v>0.18</v>
      </c>
      <c r="K9727">
        <v>1.1100000000000001</v>
      </c>
      <c r="L9727">
        <v>0.49</v>
      </c>
      <c r="M9727">
        <v>0.91700000000000004</v>
      </c>
      <c r="N9727">
        <v>0.63</v>
      </c>
    </row>
    <row r="9728" spans="1:14" x14ac:dyDescent="0.25">
      <c r="A9728" t="s">
        <v>17040</v>
      </c>
      <c r="B9728" t="s">
        <v>17041</v>
      </c>
      <c r="C9728" s="1" t="str">
        <f>HYPERLINK("http://www.genecards.org/cgi-bin/carddisp.pl?gene=PLK4","GeneCards")</f>
        <v>GeneCards</v>
      </c>
      <c r="D9728" s="1" t="str">
        <f>HYPERLINK("http://genome-euro.ucsc.edu/cgi-bin/hgTracks?position=204887_s_at","UCSC")</f>
        <v>UCSC</v>
      </c>
      <c r="E9728" s="1" t="str">
        <f>HYPERLINK("http://www.ncbi.nlm.nih.gov/gene/?term=PLK4","NCBI")</f>
        <v>NCBI</v>
      </c>
      <c r="F9728">
        <v>0.2</v>
      </c>
      <c r="G9728">
        <v>0.35</v>
      </c>
      <c r="H9728" s="1" t="str">
        <f>HYPERLINK("http://www.weizmann.ac.il/complex/compphys/software/geview/data/figures/204887_s_at.png","Figure")</f>
        <v>Figure</v>
      </c>
      <c r="I9728">
        <v>0.73599999999999999</v>
      </c>
      <c r="J9728">
        <v>0.2</v>
      </c>
      <c r="K9728">
        <v>0.93600000000000005</v>
      </c>
      <c r="L9728">
        <v>0.9</v>
      </c>
      <c r="M9728">
        <v>1.27</v>
      </c>
      <c r="N9728">
        <v>0.31</v>
      </c>
    </row>
    <row r="9729" spans="1:14" x14ac:dyDescent="0.25">
      <c r="A9729" t="s">
        <v>17042</v>
      </c>
      <c r="B9729" t="s">
        <v>17043</v>
      </c>
      <c r="C9729" s="1" t="str">
        <f>HYPERLINK("http://www.genecards.org/cgi-bin/carddisp.pl?gene=THRAP3","GeneCards")</f>
        <v>GeneCards</v>
      </c>
      <c r="D9729" s="1" t="str">
        <f>HYPERLINK("http://genome-euro.ucsc.edu/cgi-bin/hgTracks?position=217847_s_at","UCSC")</f>
        <v>UCSC</v>
      </c>
      <c r="E9729" s="1" t="str">
        <f>HYPERLINK("http://www.ncbi.nlm.nih.gov/gene/?term=THRAP3","NCBI")</f>
        <v>NCBI</v>
      </c>
      <c r="F9729">
        <v>0.2</v>
      </c>
      <c r="G9729">
        <v>0.35</v>
      </c>
      <c r="H9729" s="1" t="str">
        <f>HYPERLINK("http://www.weizmann.ac.il/complex/compphys/software/geview/data/figures/217847_s_at.png","Figure")</f>
        <v>Figure</v>
      </c>
      <c r="I9729">
        <v>1.04</v>
      </c>
      <c r="J9729">
        <v>0.31</v>
      </c>
      <c r="K9729">
        <v>1.04</v>
      </c>
      <c r="L9729">
        <v>0.22</v>
      </c>
      <c r="M9729">
        <v>1</v>
      </c>
      <c r="N9729">
        <v>1</v>
      </c>
    </row>
    <row r="9730" spans="1:14" x14ac:dyDescent="0.25">
      <c r="A9730" t="s">
        <v>17044</v>
      </c>
      <c r="B9730" t="s">
        <v>17045</v>
      </c>
      <c r="C9730" s="1" t="str">
        <f>HYPERLINK("http://www.genecards.org/cgi-bin/carddisp.pl?gene=RPL10A","GeneCards")</f>
        <v>GeneCards</v>
      </c>
      <c r="D9730" s="1" t="str">
        <f>HYPERLINK("http://genome-euro.ucsc.edu/cgi-bin/hgTracks?position=200036_s_at","UCSC")</f>
        <v>UCSC</v>
      </c>
      <c r="E9730" s="1" t="str">
        <f>HYPERLINK("http://www.ncbi.nlm.nih.gov/gene/?term=RPL10A","NCBI")</f>
        <v>NCBI</v>
      </c>
      <c r="F9730">
        <v>0.2</v>
      </c>
      <c r="G9730">
        <v>0.35</v>
      </c>
      <c r="H9730" s="1" t="str">
        <f>HYPERLINK("http://www.weizmann.ac.il/complex/compphys/software/geview/data/figures/200036_s_at.png","Figure")</f>
        <v>Figure</v>
      </c>
      <c r="I9730">
        <v>0.99</v>
      </c>
      <c r="J9730">
        <v>1</v>
      </c>
      <c r="K9730">
        <v>1.44</v>
      </c>
      <c r="L9730">
        <v>0.27</v>
      </c>
      <c r="M9730">
        <v>1.46</v>
      </c>
      <c r="N9730">
        <v>0.3</v>
      </c>
    </row>
    <row r="9731" spans="1:14" x14ac:dyDescent="0.25">
      <c r="A9731" t="s">
        <v>17046</v>
      </c>
      <c r="B9731" t="s">
        <v>16871</v>
      </c>
      <c r="C9731" s="1" t="str">
        <f>HYPERLINK("http://www.genecards.org/cgi-bin/carddisp.pl?gene=RNMT","GeneCards")</f>
        <v>GeneCards</v>
      </c>
      <c r="D9731" s="1" t="str">
        <f>HYPERLINK("http://genome-euro.ucsc.edu/cgi-bin/hgTracks?position=202684_s_at","UCSC")</f>
        <v>UCSC</v>
      </c>
      <c r="E9731" s="1" t="str">
        <f>HYPERLINK("http://www.ncbi.nlm.nih.gov/gene/?term=RNMT","NCBI")</f>
        <v>NCBI</v>
      </c>
      <c r="F9731">
        <v>0.2</v>
      </c>
      <c r="G9731">
        <v>0.35</v>
      </c>
      <c r="H9731" s="1" t="str">
        <f>HYPERLINK("http://www.weizmann.ac.il/complex/compphys/software/geview/data/figures/202684_s_at.png","Figure")</f>
        <v>Figure</v>
      </c>
      <c r="I9731">
        <v>0.50900000000000001</v>
      </c>
      <c r="J9731">
        <v>0.22</v>
      </c>
      <c r="K9731">
        <v>0.59699999999999998</v>
      </c>
      <c r="L9731">
        <v>0.3</v>
      </c>
      <c r="M9731">
        <v>1.17</v>
      </c>
      <c r="N9731">
        <v>0.9</v>
      </c>
    </row>
    <row r="9732" spans="1:14" x14ac:dyDescent="0.25">
      <c r="A9732" t="s">
        <v>17047</v>
      </c>
      <c r="B9732" t="s">
        <v>14638</v>
      </c>
      <c r="C9732" s="1" t="str">
        <f>HYPERLINK("http://www.genecards.org/cgi-bin/carddisp.pl?gene=NR6A1","GeneCards")</f>
        <v>GeneCards</v>
      </c>
      <c r="D9732" s="1" t="str">
        <f>HYPERLINK("http://genome-euro.ucsc.edu/cgi-bin/hgTracks?position=211402_x_at","UCSC")</f>
        <v>UCSC</v>
      </c>
      <c r="E9732" s="1" t="str">
        <f>HYPERLINK("http://www.ncbi.nlm.nih.gov/gene/?term=NR6A1","NCBI")</f>
        <v>NCBI</v>
      </c>
      <c r="F9732">
        <v>0.2</v>
      </c>
      <c r="G9732">
        <v>0.35</v>
      </c>
      <c r="H9732" s="1" t="str">
        <f>HYPERLINK("http://www.weizmann.ac.il/complex/compphys/software/geview/data/figures/211402_x_at.png","Figure")</f>
        <v>Figure</v>
      </c>
      <c r="I9732">
        <v>1.0900000000000001</v>
      </c>
      <c r="J9732">
        <v>0.38</v>
      </c>
      <c r="K9732">
        <v>0.97699999999999998</v>
      </c>
      <c r="L9732">
        <v>0.9</v>
      </c>
      <c r="M9732">
        <v>0.9</v>
      </c>
      <c r="N9732">
        <v>0.18</v>
      </c>
    </row>
    <row r="9733" spans="1:14" x14ac:dyDescent="0.25">
      <c r="A9733" t="s">
        <v>17048</v>
      </c>
      <c r="B9733" t="s">
        <v>17049</v>
      </c>
      <c r="C9733" s="1" t="str">
        <f>HYPERLINK("http://www.genecards.org/cgi-bin/carddisp.pl?gene=LOC100132832 /// LOC441259 /// PMS2L1 /// PMS2L2 /// PMS2L3 /// PMS2L5","GeneCards")</f>
        <v>GeneCards</v>
      </c>
      <c r="D9733" s="1" t="str">
        <f>HYPERLINK("http://genome-euro.ucsc.edu/cgi-bin/hgTracks?position=215667_x_at","UCSC")</f>
        <v>UCSC</v>
      </c>
      <c r="E9733" s="1" t="str">
        <f>HYPERLINK("http://www.ncbi.nlm.nih.gov/gene/?term=LOC100132832 /// LOC441259 /// PMS2L1 /// PMS2L2 /// PMS2L3 /// PMS2L5","NCBI")</f>
        <v>NCBI</v>
      </c>
      <c r="F9733">
        <v>0.2</v>
      </c>
      <c r="G9733">
        <v>0.35</v>
      </c>
      <c r="H9733" s="1" t="str">
        <f>HYPERLINK("http://www.weizmann.ac.il/complex/compphys/software/geview/data/figures/215667_x_at.png","Figure")</f>
        <v>Figure</v>
      </c>
      <c r="I9733">
        <v>1.33</v>
      </c>
      <c r="J9733">
        <v>0.17</v>
      </c>
      <c r="K9733">
        <v>1.1499999999999999</v>
      </c>
      <c r="L9733">
        <v>0.55000000000000004</v>
      </c>
      <c r="M9733">
        <v>0.86399999999999999</v>
      </c>
      <c r="N9733">
        <v>0.56000000000000005</v>
      </c>
    </row>
    <row r="9734" spans="1:14" x14ac:dyDescent="0.25">
      <c r="A9734" t="s">
        <v>17050</v>
      </c>
      <c r="B9734" t="s">
        <v>9067</v>
      </c>
      <c r="C9734" s="1" t="str">
        <f>HYPERLINK("http://www.genecards.org/cgi-bin/carddisp.pl?gene=PICALM","GeneCards")</f>
        <v>GeneCards</v>
      </c>
      <c r="D9734" s="1" t="str">
        <f>HYPERLINK("http://genome-euro.ucsc.edu/cgi-bin/hgTracks?position=212506_at","UCSC")</f>
        <v>UCSC</v>
      </c>
      <c r="E9734" s="1" t="str">
        <f>HYPERLINK("http://www.ncbi.nlm.nih.gov/gene/?term=PICALM","NCBI")</f>
        <v>NCBI</v>
      </c>
      <c r="F9734">
        <v>0.2</v>
      </c>
      <c r="G9734">
        <v>0.35</v>
      </c>
      <c r="H9734" s="1" t="str">
        <f>HYPERLINK("http://www.weizmann.ac.il/complex/compphys/software/geview/data/figures/212506_at.png","Figure")</f>
        <v>Figure</v>
      </c>
      <c r="I9734">
        <v>1.2</v>
      </c>
      <c r="J9734">
        <v>0.48</v>
      </c>
      <c r="K9734">
        <v>0.90900000000000003</v>
      </c>
      <c r="L9734">
        <v>0.77</v>
      </c>
      <c r="M9734">
        <v>0.755</v>
      </c>
      <c r="N9734">
        <v>0.17</v>
      </c>
    </row>
    <row r="9735" spans="1:14" x14ac:dyDescent="0.25">
      <c r="A9735" t="s">
        <v>17051</v>
      </c>
      <c r="B9735" t="s">
        <v>15524</v>
      </c>
      <c r="C9735" s="1" t="str">
        <f>HYPERLINK("http://www.genecards.org/cgi-bin/carddisp.pl?gene=ZGPAT","GeneCards")</f>
        <v>GeneCards</v>
      </c>
      <c r="D9735" s="1" t="str">
        <f>HYPERLINK("http://genome-euro.ucsc.edu/cgi-bin/hgTracks?position=221848_at","UCSC")</f>
        <v>UCSC</v>
      </c>
      <c r="E9735" s="1" t="str">
        <f>HYPERLINK("http://www.ncbi.nlm.nih.gov/gene/?term=ZGPAT","NCBI")</f>
        <v>NCBI</v>
      </c>
      <c r="F9735">
        <v>0.2</v>
      </c>
      <c r="G9735">
        <v>0.35</v>
      </c>
      <c r="H9735" s="1" t="str">
        <f>HYPERLINK("http://www.weizmann.ac.il/complex/compphys/software/geview/data/figures/221848_at.png","Figure")</f>
        <v>Figure</v>
      </c>
      <c r="I9735">
        <v>1.26</v>
      </c>
      <c r="J9735">
        <v>0.25</v>
      </c>
      <c r="K9735">
        <v>1.22</v>
      </c>
      <c r="L9735">
        <v>0.27</v>
      </c>
      <c r="M9735">
        <v>0.96499999999999997</v>
      </c>
      <c r="N9735">
        <v>0.96</v>
      </c>
    </row>
    <row r="9736" spans="1:14" x14ac:dyDescent="0.25">
      <c r="A9736" t="s">
        <v>17052</v>
      </c>
      <c r="B9736" t="s">
        <v>7843</v>
      </c>
      <c r="C9736" s="1" t="str">
        <f>HYPERLINK("http://www.genecards.org/cgi-bin/carddisp.pl?gene=NCAPH2","GeneCards")</f>
        <v>GeneCards</v>
      </c>
      <c r="D9736" s="1" t="str">
        <f>HYPERLINK("http://genome-euro.ucsc.edu/cgi-bin/hgTracks?position=221633_at","UCSC")</f>
        <v>UCSC</v>
      </c>
      <c r="E9736" s="1" t="str">
        <f>HYPERLINK("http://www.ncbi.nlm.nih.gov/gene/?term=NCAPH2","NCBI")</f>
        <v>NCBI</v>
      </c>
      <c r="F9736">
        <v>0.2</v>
      </c>
      <c r="G9736">
        <v>0.35</v>
      </c>
      <c r="H9736" s="1" t="str">
        <f>HYPERLINK("http://www.weizmann.ac.il/complex/compphys/software/geview/data/figures/221633_at.png","Figure")</f>
        <v>Figure</v>
      </c>
      <c r="I9736">
        <v>1.1000000000000001</v>
      </c>
      <c r="J9736">
        <v>0.47</v>
      </c>
      <c r="K9736">
        <v>0.95399999999999996</v>
      </c>
      <c r="L9736">
        <v>0.79</v>
      </c>
      <c r="M9736">
        <v>0.86499999999999999</v>
      </c>
      <c r="N9736">
        <v>0.17</v>
      </c>
    </row>
    <row r="9737" spans="1:14" x14ac:dyDescent="0.25">
      <c r="A9737" t="s">
        <v>17053</v>
      </c>
      <c r="B9737" t="s">
        <v>15005</v>
      </c>
      <c r="C9737" s="1" t="str">
        <f>HYPERLINK("http://www.genecards.org/cgi-bin/carddisp.pl?gene=LIMK1","GeneCards")</f>
        <v>GeneCards</v>
      </c>
      <c r="D9737" s="1" t="str">
        <f>HYPERLINK("http://genome-euro.ucsc.edu/cgi-bin/hgTracks?position=208372_s_at","UCSC")</f>
        <v>UCSC</v>
      </c>
      <c r="E9737" s="1" t="str">
        <f>HYPERLINK("http://www.ncbi.nlm.nih.gov/gene/?term=LIMK1","NCBI")</f>
        <v>NCBI</v>
      </c>
      <c r="F9737">
        <v>0.2</v>
      </c>
      <c r="G9737">
        <v>0.35</v>
      </c>
      <c r="H9737" s="1" t="str">
        <f>HYPERLINK("http://www.weizmann.ac.il/complex/compphys/software/geview/data/figures/208372_s_at.png","Figure")</f>
        <v>Figure</v>
      </c>
      <c r="I9737">
        <v>1.0900000000000001</v>
      </c>
      <c r="J9737">
        <v>0.24</v>
      </c>
      <c r="K9737">
        <v>1.01</v>
      </c>
      <c r="L9737">
        <v>0.99</v>
      </c>
      <c r="M9737">
        <v>0.92500000000000004</v>
      </c>
      <c r="N9737">
        <v>0.24</v>
      </c>
    </row>
    <row r="9738" spans="1:14" x14ac:dyDescent="0.25">
      <c r="A9738" t="s">
        <v>17054</v>
      </c>
      <c r="B9738" t="s">
        <v>17055</v>
      </c>
      <c r="C9738" s="1" t="str">
        <f>HYPERLINK("http://www.genecards.org/cgi-bin/carddisp.pl?gene=RNF113A","GeneCards")</f>
        <v>GeneCards</v>
      </c>
      <c r="D9738" s="1" t="str">
        <f>HYPERLINK("http://genome-euro.ucsc.edu/cgi-bin/hgTracks?position=209565_at","UCSC")</f>
        <v>UCSC</v>
      </c>
      <c r="E9738" s="1" t="str">
        <f>HYPERLINK("http://www.ncbi.nlm.nih.gov/gene/?term=RNF113A","NCBI")</f>
        <v>NCBI</v>
      </c>
      <c r="F9738">
        <v>0.2</v>
      </c>
      <c r="G9738">
        <v>0.35</v>
      </c>
      <c r="H9738" s="1" t="str">
        <f>HYPERLINK("http://www.weizmann.ac.il/complex/compphys/software/geview/data/figures/209565_at.png","Figure")</f>
        <v>Figure</v>
      </c>
      <c r="I9738">
        <v>0.75700000000000001</v>
      </c>
      <c r="J9738">
        <v>0.46</v>
      </c>
      <c r="K9738">
        <v>0.68600000000000005</v>
      </c>
      <c r="L9738">
        <v>0.18</v>
      </c>
      <c r="M9738">
        <v>0.90600000000000003</v>
      </c>
      <c r="N9738">
        <v>0.89</v>
      </c>
    </row>
    <row r="9739" spans="1:14" x14ac:dyDescent="0.25">
      <c r="A9739" t="s">
        <v>17056</v>
      </c>
      <c r="B9739" t="s">
        <v>17057</v>
      </c>
      <c r="C9739" s="1" t="str">
        <f>HYPERLINK("http://www.genecards.org/cgi-bin/carddisp.pl?gene=TMED2","GeneCards")</f>
        <v>GeneCards</v>
      </c>
      <c r="D9739" s="1" t="str">
        <f>HYPERLINK("http://genome-euro.ucsc.edu/cgi-bin/hgTracks?position=204427_s_at","UCSC")</f>
        <v>UCSC</v>
      </c>
      <c r="E9739" s="1" t="str">
        <f>HYPERLINK("http://www.ncbi.nlm.nih.gov/gene/?term=TMED2","NCBI")</f>
        <v>NCBI</v>
      </c>
      <c r="F9739">
        <v>0.2</v>
      </c>
      <c r="G9739">
        <v>0.35</v>
      </c>
      <c r="H9739" s="1" t="str">
        <f>HYPERLINK("http://www.weizmann.ac.il/complex/compphys/software/geview/data/figures/204427_s_at.png","Figure")</f>
        <v>Figure</v>
      </c>
      <c r="I9739">
        <v>0.80900000000000005</v>
      </c>
      <c r="J9739">
        <v>0.2</v>
      </c>
      <c r="K9739">
        <v>0.87</v>
      </c>
      <c r="L9739">
        <v>0.38</v>
      </c>
      <c r="M9739">
        <v>1.08</v>
      </c>
      <c r="N9739">
        <v>0.78</v>
      </c>
    </row>
    <row r="9740" spans="1:14" x14ac:dyDescent="0.25">
      <c r="A9740" t="s">
        <v>17058</v>
      </c>
      <c r="B9740" t="s">
        <v>17059</v>
      </c>
      <c r="C9740" s="1" t="str">
        <f>HYPERLINK("http://www.genecards.org/cgi-bin/carddisp.pl?gene=RAI1","GeneCards")</f>
        <v>GeneCards</v>
      </c>
      <c r="D9740" s="1" t="str">
        <f>HYPERLINK("http://genome-euro.ucsc.edu/cgi-bin/hgTracks?position=219830_at","UCSC")</f>
        <v>UCSC</v>
      </c>
      <c r="E9740" s="1" t="str">
        <f>HYPERLINK("http://www.ncbi.nlm.nih.gov/gene/?term=RAI1","NCBI")</f>
        <v>NCBI</v>
      </c>
      <c r="F9740">
        <v>0.2</v>
      </c>
      <c r="G9740">
        <v>0.35</v>
      </c>
      <c r="H9740" s="1" t="str">
        <f>HYPERLINK("http://www.weizmann.ac.il/complex/compphys/software/geview/data/figures/219830_at.png","Figure")</f>
        <v>Figure</v>
      </c>
      <c r="I9740">
        <v>1.1000000000000001</v>
      </c>
      <c r="J9740">
        <v>0.18</v>
      </c>
      <c r="K9740">
        <v>1.06</v>
      </c>
      <c r="L9740">
        <v>0.46</v>
      </c>
      <c r="M9740">
        <v>0.96</v>
      </c>
      <c r="N9740">
        <v>0.67</v>
      </c>
    </row>
    <row r="9741" spans="1:14" x14ac:dyDescent="0.25">
      <c r="A9741" t="s">
        <v>17060</v>
      </c>
      <c r="B9741" t="s">
        <v>10588</v>
      </c>
      <c r="C9741" s="1" t="str">
        <f>HYPERLINK("http://www.genecards.org/cgi-bin/carddisp.pl?gene=NOMO1 /// NOMO2 /// NOMO3","GeneCards")</f>
        <v>GeneCards</v>
      </c>
      <c r="D9741" s="1" t="str">
        <f>HYPERLINK("http://genome-euro.ucsc.edu/cgi-bin/hgTracks?position=217225_x_at","UCSC")</f>
        <v>UCSC</v>
      </c>
      <c r="E9741" s="1" t="str">
        <f>HYPERLINK("http://www.ncbi.nlm.nih.gov/gene/?term=NOMO1 /// NOMO2 /// NOMO3","NCBI")</f>
        <v>NCBI</v>
      </c>
      <c r="F9741">
        <v>0.2</v>
      </c>
      <c r="G9741">
        <v>0.35</v>
      </c>
      <c r="H9741" s="1" t="str">
        <f>HYPERLINK("http://www.weizmann.ac.il/complex/compphys/software/geview/data/figures/217225_x_at.png","Figure")</f>
        <v>Figure</v>
      </c>
      <c r="I9741">
        <v>0.90600000000000003</v>
      </c>
      <c r="J9741">
        <v>0.66</v>
      </c>
      <c r="K9741">
        <v>1.1000000000000001</v>
      </c>
      <c r="L9741">
        <v>0.57999999999999996</v>
      </c>
      <c r="M9741">
        <v>1.22</v>
      </c>
      <c r="N9741">
        <v>0.18</v>
      </c>
    </row>
    <row r="9742" spans="1:14" x14ac:dyDescent="0.25">
      <c r="A9742" t="s">
        <v>17061</v>
      </c>
      <c r="B9742" t="s">
        <v>17062</v>
      </c>
      <c r="C9742" s="1" t="str">
        <f>HYPERLINK("http://www.genecards.org/cgi-bin/carddisp.pl?gene=C15orf5","GeneCards")</f>
        <v>GeneCards</v>
      </c>
      <c r="D9742" s="1" t="str">
        <f>HYPERLINK("http://genome-euro.ucsc.edu/cgi-bin/hgTracks?position=208109_s_at","UCSC")</f>
        <v>UCSC</v>
      </c>
      <c r="E9742" s="1" t="str">
        <f>HYPERLINK("http://www.ncbi.nlm.nih.gov/gene/?term=C15orf5","NCBI")</f>
        <v>NCBI</v>
      </c>
      <c r="F9742">
        <v>0.2</v>
      </c>
      <c r="G9742">
        <v>0.35</v>
      </c>
      <c r="H9742" s="1" t="str">
        <f>HYPERLINK("http://www.weizmann.ac.il/complex/compphys/software/geview/data/figures/208109_s_at.png","Figure")</f>
        <v>Figure</v>
      </c>
      <c r="I9742">
        <v>1</v>
      </c>
      <c r="J9742">
        <v>1</v>
      </c>
      <c r="K9742">
        <v>0.80100000000000005</v>
      </c>
      <c r="L9742">
        <v>0.26</v>
      </c>
      <c r="M9742">
        <v>0.80100000000000005</v>
      </c>
      <c r="N9742">
        <v>0.31</v>
      </c>
    </row>
    <row r="9743" spans="1:14" x14ac:dyDescent="0.25">
      <c r="A9743" t="s">
        <v>17063</v>
      </c>
      <c r="B9743" t="s">
        <v>17064</v>
      </c>
      <c r="C9743" s="1" t="str">
        <f>HYPERLINK("http://www.genecards.org/cgi-bin/carddisp.pl?gene=CA11","GeneCards")</f>
        <v>GeneCards</v>
      </c>
      <c r="D9743" s="1" t="str">
        <f>HYPERLINK("http://genome-euro.ucsc.edu/cgi-bin/hgTracks?position=209726_at","UCSC")</f>
        <v>UCSC</v>
      </c>
      <c r="E9743" s="1" t="str">
        <f>HYPERLINK("http://www.ncbi.nlm.nih.gov/gene/?term=CA11","NCBI")</f>
        <v>NCBI</v>
      </c>
      <c r="F9743">
        <v>0.2</v>
      </c>
      <c r="G9743">
        <v>0.35</v>
      </c>
      <c r="H9743" s="1" t="str">
        <f>HYPERLINK("http://www.weizmann.ac.il/complex/compphys/software/geview/data/figures/209726_at.png","Figure")</f>
        <v>Figure</v>
      </c>
      <c r="I9743">
        <v>1.1499999999999999</v>
      </c>
      <c r="J9743">
        <v>0.18</v>
      </c>
      <c r="K9743">
        <v>1.07</v>
      </c>
      <c r="L9743">
        <v>0.56000000000000005</v>
      </c>
      <c r="M9743">
        <v>0.92800000000000005</v>
      </c>
      <c r="N9743">
        <v>0.55000000000000004</v>
      </c>
    </row>
    <row r="9744" spans="1:14" x14ac:dyDescent="0.25">
      <c r="A9744" t="s">
        <v>17065</v>
      </c>
      <c r="B9744" t="s">
        <v>17066</v>
      </c>
      <c r="C9744" s="1" t="str">
        <f>HYPERLINK("http://www.genecards.org/cgi-bin/carddisp.pl?gene=CDK7","GeneCards")</f>
        <v>GeneCards</v>
      </c>
      <c r="D9744" s="1" t="str">
        <f>HYPERLINK("http://genome-euro.ucsc.edu/cgi-bin/hgTracks?position=211297_s_at","UCSC")</f>
        <v>UCSC</v>
      </c>
      <c r="E9744" s="1" t="str">
        <f>HYPERLINK("http://www.ncbi.nlm.nih.gov/gene/?term=CDK7","NCBI")</f>
        <v>NCBI</v>
      </c>
      <c r="F9744">
        <v>0.2</v>
      </c>
      <c r="G9744">
        <v>0.35</v>
      </c>
      <c r="H9744" s="1" t="str">
        <f>HYPERLINK("http://www.weizmann.ac.il/complex/compphys/software/geview/data/figures/211297_s_at.png","Figure")</f>
        <v>Figure</v>
      </c>
      <c r="I9744">
        <v>0.83099999999999996</v>
      </c>
      <c r="J9744">
        <v>0.82</v>
      </c>
      <c r="K9744">
        <v>0.60699999999999998</v>
      </c>
      <c r="L9744">
        <v>0.19</v>
      </c>
      <c r="M9744">
        <v>0.73099999999999998</v>
      </c>
      <c r="N9744">
        <v>0.53</v>
      </c>
    </row>
    <row r="9745" spans="1:14" x14ac:dyDescent="0.25">
      <c r="A9745" t="s">
        <v>17067</v>
      </c>
      <c r="B9745" t="s">
        <v>17068</v>
      </c>
      <c r="C9745" s="1" t="str">
        <f>HYPERLINK("http://www.genecards.org/cgi-bin/carddisp.pl?gene=CLCNKB","GeneCards")</f>
        <v>GeneCards</v>
      </c>
      <c r="D9745" s="1" t="str">
        <f>HYPERLINK("http://genome-euro.ucsc.edu/cgi-bin/hgTracks?position=205985_x_at","UCSC")</f>
        <v>UCSC</v>
      </c>
      <c r="E9745" s="1" t="str">
        <f>HYPERLINK("http://www.ncbi.nlm.nih.gov/gene/?term=CLCNKB","NCBI")</f>
        <v>NCBI</v>
      </c>
      <c r="F9745">
        <v>0.2</v>
      </c>
      <c r="G9745">
        <v>0.35</v>
      </c>
      <c r="H9745" s="1" t="str">
        <f>HYPERLINK("http://www.weizmann.ac.il/complex/compphys/software/geview/data/figures/205985_x_at.png","Figure")</f>
        <v>Figure</v>
      </c>
      <c r="I9745">
        <v>1.1599999999999999</v>
      </c>
      <c r="J9745">
        <v>0.19</v>
      </c>
      <c r="K9745">
        <v>1.1000000000000001</v>
      </c>
      <c r="L9745">
        <v>0.38</v>
      </c>
      <c r="M9745">
        <v>0.95</v>
      </c>
      <c r="N9745">
        <v>0.77</v>
      </c>
    </row>
    <row r="9746" spans="1:14" x14ac:dyDescent="0.25">
      <c r="A9746" t="s">
        <v>17069</v>
      </c>
      <c r="B9746" t="s">
        <v>5386</v>
      </c>
      <c r="C9746" s="1" t="str">
        <f>HYPERLINK("http://www.genecards.org/cgi-bin/carddisp.pl?gene=INPP4A","GeneCards")</f>
        <v>GeneCards</v>
      </c>
      <c r="D9746" s="1" t="str">
        <f>HYPERLINK("http://genome-euro.ucsc.edu/cgi-bin/hgTracks?position=208364_at","UCSC")</f>
        <v>UCSC</v>
      </c>
      <c r="E9746" s="1" t="str">
        <f>HYPERLINK("http://www.ncbi.nlm.nih.gov/gene/?term=INPP4A","NCBI")</f>
        <v>NCBI</v>
      </c>
      <c r="F9746">
        <v>0.2</v>
      </c>
      <c r="G9746">
        <v>0.35</v>
      </c>
      <c r="H9746" s="1" t="str">
        <f>HYPERLINK("http://www.weizmann.ac.il/complex/compphys/software/geview/data/figures/208364_at.png","Figure")</f>
        <v>Figure</v>
      </c>
      <c r="I9746">
        <v>1.1200000000000001</v>
      </c>
      <c r="J9746">
        <v>0.21</v>
      </c>
      <c r="K9746">
        <v>1.02</v>
      </c>
      <c r="L9746">
        <v>0.93</v>
      </c>
      <c r="M9746">
        <v>0.91100000000000003</v>
      </c>
      <c r="N9746">
        <v>0.28999999999999998</v>
      </c>
    </row>
    <row r="9747" spans="1:14" x14ac:dyDescent="0.25">
      <c r="A9747" t="s">
        <v>17070</v>
      </c>
      <c r="B9747" t="s">
        <v>4074</v>
      </c>
      <c r="C9747" s="1" t="str">
        <f>HYPERLINK("http://www.genecards.org/cgi-bin/carddisp.pl?gene=MTMR3","GeneCards")</f>
        <v>GeneCards</v>
      </c>
      <c r="D9747" s="1" t="str">
        <f>HYPERLINK("http://genome-euro.ucsc.edu/cgi-bin/hgTracks?position=211507_s_at","UCSC")</f>
        <v>UCSC</v>
      </c>
      <c r="E9747" s="1" t="str">
        <f>HYPERLINK("http://www.ncbi.nlm.nih.gov/gene/?term=MTMR3","NCBI")</f>
        <v>NCBI</v>
      </c>
      <c r="F9747">
        <v>0.2</v>
      </c>
      <c r="G9747">
        <v>0.35</v>
      </c>
      <c r="H9747" s="1" t="str">
        <f>HYPERLINK("http://www.weizmann.ac.il/complex/compphys/software/geview/data/figures/211507_s_at.png","Figure")</f>
        <v>Figure</v>
      </c>
      <c r="I9747">
        <v>1.1499999999999999</v>
      </c>
      <c r="J9747">
        <v>0.28000000000000003</v>
      </c>
      <c r="K9747">
        <v>1.1399999999999999</v>
      </c>
      <c r="L9747">
        <v>0.23</v>
      </c>
      <c r="M9747">
        <v>0.99199999999999999</v>
      </c>
      <c r="N9747">
        <v>1</v>
      </c>
    </row>
    <row r="9748" spans="1:14" x14ac:dyDescent="0.25">
      <c r="A9748" t="s">
        <v>17071</v>
      </c>
      <c r="B9748" t="s">
        <v>6086</v>
      </c>
      <c r="C9748" s="1" t="str">
        <f>HYPERLINK("http://www.genecards.org/cgi-bin/carddisp.pl?gene=TCL6","GeneCards")</f>
        <v>GeneCards</v>
      </c>
      <c r="D9748" s="1" t="str">
        <f>HYPERLINK("http://genome-euro.ucsc.edu/cgi-bin/hgTracks?position=219839_x_at","UCSC")</f>
        <v>UCSC</v>
      </c>
      <c r="E9748" s="1" t="str">
        <f>HYPERLINK("http://www.ncbi.nlm.nih.gov/gene/?term=TCL6","NCBI")</f>
        <v>NCBI</v>
      </c>
      <c r="F9748">
        <v>0.2</v>
      </c>
      <c r="G9748">
        <v>0.35</v>
      </c>
      <c r="H9748" s="1" t="str">
        <f>HYPERLINK("http://www.weizmann.ac.il/complex/compphys/software/geview/data/figures/219839_x_at.png","Figure")</f>
        <v>Figure</v>
      </c>
      <c r="I9748">
        <v>1.1299999999999999</v>
      </c>
      <c r="J9748">
        <v>0.44</v>
      </c>
      <c r="K9748">
        <v>0.95</v>
      </c>
      <c r="L9748">
        <v>0.82</v>
      </c>
      <c r="M9748">
        <v>0.83799999999999997</v>
      </c>
      <c r="N9748">
        <v>0.18</v>
      </c>
    </row>
    <row r="9749" spans="1:14" x14ac:dyDescent="0.25">
      <c r="A9749" t="s">
        <v>17072</v>
      </c>
      <c r="B9749" t="s">
        <v>17073</v>
      </c>
      <c r="C9749" s="1" t="str">
        <f>HYPERLINK("http://www.genecards.org/cgi-bin/carddisp.pl?gene=RHOBTB1","GeneCards")</f>
        <v>GeneCards</v>
      </c>
      <c r="D9749" s="1" t="str">
        <f>HYPERLINK("http://genome-euro.ucsc.edu/cgi-bin/hgTracks?position=212651_at","UCSC")</f>
        <v>UCSC</v>
      </c>
      <c r="E9749" s="1" t="str">
        <f>HYPERLINK("http://www.ncbi.nlm.nih.gov/gene/?term=RHOBTB1","NCBI")</f>
        <v>NCBI</v>
      </c>
      <c r="F9749">
        <v>0.2</v>
      </c>
      <c r="G9749">
        <v>0.35</v>
      </c>
      <c r="H9749" s="1" t="str">
        <f>HYPERLINK("http://www.weizmann.ac.il/complex/compphys/software/geview/data/figures/212651_at.png","Figure")</f>
        <v>Figure</v>
      </c>
      <c r="I9749">
        <v>1.06</v>
      </c>
      <c r="J9749">
        <v>0.23</v>
      </c>
      <c r="K9749">
        <v>1.05</v>
      </c>
      <c r="L9749">
        <v>0.28000000000000003</v>
      </c>
      <c r="M9749">
        <v>0.98799999999999999</v>
      </c>
      <c r="N9749">
        <v>0.93</v>
      </c>
    </row>
    <row r="9750" spans="1:14" x14ac:dyDescent="0.25">
      <c r="A9750" t="s">
        <v>17074</v>
      </c>
      <c r="B9750" t="s">
        <v>17075</v>
      </c>
      <c r="C9750" s="1" t="str">
        <f>HYPERLINK("http://www.genecards.org/cgi-bin/carddisp.pl?gene=SNX29","GeneCards")</f>
        <v>GeneCards</v>
      </c>
      <c r="D9750" s="1" t="str">
        <f>HYPERLINK("http://genome-euro.ucsc.edu/cgi-bin/hgTracks?position=215500_at","UCSC")</f>
        <v>UCSC</v>
      </c>
      <c r="E9750" s="1" t="str">
        <f>HYPERLINK("http://www.ncbi.nlm.nih.gov/gene/?term=SNX29","NCBI")</f>
        <v>NCBI</v>
      </c>
      <c r="F9750">
        <v>0.2</v>
      </c>
      <c r="G9750">
        <v>0.35</v>
      </c>
      <c r="H9750" s="1" t="str">
        <f>HYPERLINK("http://www.weizmann.ac.il/complex/compphys/software/geview/data/figures/215500_at.png","Figure")</f>
        <v>Figure</v>
      </c>
      <c r="I9750">
        <v>0.93899999999999995</v>
      </c>
      <c r="J9750">
        <v>0.5</v>
      </c>
      <c r="K9750">
        <v>0.91400000000000003</v>
      </c>
      <c r="L9750">
        <v>0.18</v>
      </c>
      <c r="M9750">
        <v>0.97299999999999998</v>
      </c>
      <c r="N9750">
        <v>0.86</v>
      </c>
    </row>
    <row r="9751" spans="1:14" x14ac:dyDescent="0.25">
      <c r="A9751" t="s">
        <v>17076</v>
      </c>
      <c r="B9751" t="s">
        <v>1680</v>
      </c>
      <c r="C9751" s="1" t="str">
        <f>HYPERLINK("http://www.genecards.org/cgi-bin/carddisp.pl?gene=CACYBP","GeneCards")</f>
        <v>GeneCards</v>
      </c>
      <c r="D9751" s="1" t="str">
        <f>HYPERLINK("http://genome-euro.ucsc.edu/cgi-bin/hgTracks?position=201382_at","UCSC")</f>
        <v>UCSC</v>
      </c>
      <c r="E9751" s="1" t="str">
        <f>HYPERLINK("http://www.ncbi.nlm.nih.gov/gene/?term=CACYBP","NCBI")</f>
        <v>NCBI</v>
      </c>
      <c r="F9751">
        <v>0.2</v>
      </c>
      <c r="G9751">
        <v>0.35</v>
      </c>
      <c r="H9751" s="1" t="str">
        <f>HYPERLINK("http://www.weizmann.ac.il/complex/compphys/software/geview/data/figures/201382_at.png","Figure")</f>
        <v>Figure</v>
      </c>
      <c r="I9751">
        <v>1.1000000000000001</v>
      </c>
      <c r="J9751">
        <v>0.39</v>
      </c>
      <c r="K9751">
        <v>1.1200000000000001</v>
      </c>
      <c r="L9751">
        <v>0.19</v>
      </c>
      <c r="M9751">
        <v>1.02</v>
      </c>
      <c r="N9751">
        <v>0.96</v>
      </c>
    </row>
    <row r="9752" spans="1:14" x14ac:dyDescent="0.25">
      <c r="A9752" t="s">
        <v>17077</v>
      </c>
      <c r="B9752" t="s">
        <v>7380</v>
      </c>
      <c r="C9752" s="1" t="str">
        <f>HYPERLINK("http://www.genecards.org/cgi-bin/carddisp.pl?gene=PHF3","GeneCards")</f>
        <v>GeneCards</v>
      </c>
      <c r="D9752" s="1" t="str">
        <f>HYPERLINK("http://genome-euro.ucsc.edu/cgi-bin/hgTracks?position=217954_s_at","UCSC")</f>
        <v>UCSC</v>
      </c>
      <c r="E9752" s="1" t="str">
        <f>HYPERLINK("http://www.ncbi.nlm.nih.gov/gene/?term=PHF3","NCBI")</f>
        <v>NCBI</v>
      </c>
      <c r="F9752">
        <v>0.2</v>
      </c>
      <c r="G9752">
        <v>0.35</v>
      </c>
      <c r="H9752" s="1" t="str">
        <f>HYPERLINK("http://www.weizmann.ac.il/complex/compphys/software/geview/data/figures/217954_s_at.png","Figure")</f>
        <v>Figure</v>
      </c>
      <c r="I9752">
        <v>0.71799999999999997</v>
      </c>
      <c r="J9752">
        <v>0.43</v>
      </c>
      <c r="K9752">
        <v>0.65800000000000003</v>
      </c>
      <c r="L9752">
        <v>0.19</v>
      </c>
      <c r="M9752">
        <v>0.91500000000000004</v>
      </c>
      <c r="N9752">
        <v>0.93</v>
      </c>
    </row>
    <row r="9753" spans="1:14" x14ac:dyDescent="0.25">
      <c r="A9753" t="s">
        <v>17078</v>
      </c>
      <c r="B9753" t="s">
        <v>17079</v>
      </c>
      <c r="C9753" s="1" t="str">
        <f>HYPERLINK("http://www.genecards.org/cgi-bin/carddisp.pl?gene=FBXO3","GeneCards")</f>
        <v>GeneCards</v>
      </c>
      <c r="D9753" s="1" t="str">
        <f>HYPERLINK("http://genome-euro.ucsc.edu/cgi-bin/hgTracks?position=218432_at","UCSC")</f>
        <v>UCSC</v>
      </c>
      <c r="E9753" s="1" t="str">
        <f>HYPERLINK("http://www.ncbi.nlm.nih.gov/gene/?term=FBXO3","NCBI")</f>
        <v>NCBI</v>
      </c>
      <c r="F9753">
        <v>0.2</v>
      </c>
      <c r="G9753">
        <v>0.35</v>
      </c>
      <c r="H9753" s="1" t="str">
        <f>HYPERLINK("http://www.weizmann.ac.il/complex/compphys/software/geview/data/figures/218432_at.png","Figure")</f>
        <v>Figure</v>
      </c>
      <c r="I9753">
        <v>0.81499999999999995</v>
      </c>
      <c r="J9753">
        <v>0.77</v>
      </c>
      <c r="K9753">
        <v>0.61699999999999999</v>
      </c>
      <c r="L9753">
        <v>0.18</v>
      </c>
      <c r="M9753">
        <v>0.75700000000000001</v>
      </c>
      <c r="N9753">
        <v>0.57999999999999996</v>
      </c>
    </row>
    <row r="9754" spans="1:14" x14ac:dyDescent="0.25">
      <c r="A9754" t="s">
        <v>17080</v>
      </c>
      <c r="B9754" t="s">
        <v>17081</v>
      </c>
      <c r="C9754" s="1" t="str">
        <f>HYPERLINK("http://www.genecards.org/cgi-bin/carddisp.pl?gene=OCEL1","GeneCards")</f>
        <v>GeneCards</v>
      </c>
      <c r="D9754" s="1" t="str">
        <f>HYPERLINK("http://genome-euro.ucsc.edu/cgi-bin/hgTracks?position=205441_at","UCSC")</f>
        <v>UCSC</v>
      </c>
      <c r="E9754" s="1" t="str">
        <f>HYPERLINK("http://www.ncbi.nlm.nih.gov/gene/?term=OCEL1","NCBI")</f>
        <v>NCBI</v>
      </c>
      <c r="F9754">
        <v>0.2</v>
      </c>
      <c r="G9754">
        <v>0.35</v>
      </c>
      <c r="H9754" s="1" t="str">
        <f>HYPERLINK("http://www.weizmann.ac.il/complex/compphys/software/geview/data/figures/205441_at.png","Figure")</f>
        <v>Figure</v>
      </c>
      <c r="I9754">
        <v>1.07</v>
      </c>
      <c r="J9754">
        <v>0.63</v>
      </c>
      <c r="K9754">
        <v>1.1299999999999999</v>
      </c>
      <c r="L9754">
        <v>0.18</v>
      </c>
      <c r="M9754">
        <v>1.06</v>
      </c>
      <c r="N9754">
        <v>0.71</v>
      </c>
    </row>
    <row r="9755" spans="1:14" x14ac:dyDescent="0.25">
      <c r="A9755" t="s">
        <v>17082</v>
      </c>
      <c r="B9755" t="s">
        <v>5252</v>
      </c>
      <c r="C9755" s="1" t="str">
        <f>HYPERLINK("http://www.genecards.org/cgi-bin/carddisp.pl?gene=E2F1","GeneCards")</f>
        <v>GeneCards</v>
      </c>
      <c r="D9755" s="1" t="str">
        <f>HYPERLINK("http://genome-euro.ucsc.edu/cgi-bin/hgTracks?position=2028_s_at","UCSC")</f>
        <v>UCSC</v>
      </c>
      <c r="E9755" s="1" t="str">
        <f>HYPERLINK("http://www.ncbi.nlm.nih.gov/gene/?term=E2F1","NCBI")</f>
        <v>NCBI</v>
      </c>
      <c r="F9755">
        <v>0.2</v>
      </c>
      <c r="G9755">
        <v>0.35</v>
      </c>
      <c r="H9755" s="1" t="str">
        <f>HYPERLINK("http://www.weizmann.ac.il/complex/compphys/software/geview/data/figures/2028_s_at.png","Figure")</f>
        <v>Figure</v>
      </c>
      <c r="I9755">
        <v>1.2</v>
      </c>
      <c r="J9755">
        <v>0.4</v>
      </c>
      <c r="K9755">
        <v>0.94499999999999995</v>
      </c>
      <c r="L9755">
        <v>0.88</v>
      </c>
      <c r="M9755">
        <v>0.79</v>
      </c>
      <c r="N9755">
        <v>0.18</v>
      </c>
    </row>
    <row r="9756" spans="1:14" x14ac:dyDescent="0.25">
      <c r="A9756" t="s">
        <v>17083</v>
      </c>
      <c r="B9756" t="s">
        <v>17084</v>
      </c>
      <c r="C9756" s="1" t="str">
        <f>HYPERLINK("http://www.genecards.org/cgi-bin/carddisp.pl?gene=NDUFA7","GeneCards")</f>
        <v>GeneCards</v>
      </c>
      <c r="D9756" s="1" t="str">
        <f>HYPERLINK("http://genome-euro.ucsc.edu/cgi-bin/hgTracks?position=202785_at","UCSC")</f>
        <v>UCSC</v>
      </c>
      <c r="E9756" s="1" t="str">
        <f>HYPERLINK("http://www.ncbi.nlm.nih.gov/gene/?term=NDUFA7","NCBI")</f>
        <v>NCBI</v>
      </c>
      <c r="F9756">
        <v>0.2</v>
      </c>
      <c r="G9756">
        <v>0.35</v>
      </c>
      <c r="H9756" s="1" t="str">
        <f>HYPERLINK("http://www.weizmann.ac.il/complex/compphys/software/geview/data/figures/202785_at.png","Figure")</f>
        <v>Figure</v>
      </c>
      <c r="I9756">
        <v>0.97</v>
      </c>
      <c r="J9756">
        <v>0.96</v>
      </c>
      <c r="K9756">
        <v>1.1599999999999999</v>
      </c>
      <c r="L9756">
        <v>0.33</v>
      </c>
      <c r="M9756">
        <v>1.19</v>
      </c>
      <c r="N9756">
        <v>0.25</v>
      </c>
    </row>
    <row r="9757" spans="1:14" x14ac:dyDescent="0.25">
      <c r="A9757" t="s">
        <v>17085</v>
      </c>
      <c r="B9757" t="s">
        <v>17086</v>
      </c>
      <c r="C9757" s="1" t="str">
        <f>HYPERLINK("http://www.genecards.org/cgi-bin/carddisp.pl?gene=MAGEA3","GeneCards")</f>
        <v>GeneCards</v>
      </c>
      <c r="D9757" s="1" t="str">
        <f>HYPERLINK("http://genome-euro.ucsc.edu/cgi-bin/hgTracks?position=209942_x_at","UCSC")</f>
        <v>UCSC</v>
      </c>
      <c r="E9757" s="1" t="str">
        <f>HYPERLINK("http://www.ncbi.nlm.nih.gov/gene/?term=MAGEA3","NCBI")</f>
        <v>NCBI</v>
      </c>
      <c r="F9757">
        <v>0.2</v>
      </c>
      <c r="G9757">
        <v>0.35</v>
      </c>
      <c r="H9757" s="1" t="str">
        <f>HYPERLINK("http://www.weizmann.ac.il/complex/compphys/software/geview/data/figures/209942_x_at.png","Figure")</f>
        <v>Figure</v>
      </c>
      <c r="I9757">
        <v>1</v>
      </c>
      <c r="J9757">
        <v>1</v>
      </c>
      <c r="K9757">
        <v>0.95099999999999996</v>
      </c>
      <c r="L9757">
        <v>0.27</v>
      </c>
      <c r="M9757">
        <v>0.95</v>
      </c>
      <c r="N9757">
        <v>0.3</v>
      </c>
    </row>
    <row r="9758" spans="1:14" x14ac:dyDescent="0.25">
      <c r="A9758" t="s">
        <v>17087</v>
      </c>
      <c r="B9758" t="s">
        <v>17088</v>
      </c>
      <c r="C9758" s="1" t="str">
        <f>HYPERLINK("http://www.genecards.org/cgi-bin/carddisp.pl?gene=ATF6B /// TNXB","GeneCards")</f>
        <v>GeneCards</v>
      </c>
      <c r="D9758" s="1" t="str">
        <f>HYPERLINK("http://genome-euro.ucsc.edu/cgi-bin/hgTracks?position=211611_s_at","UCSC")</f>
        <v>UCSC</v>
      </c>
      <c r="E9758" s="1" t="str">
        <f>HYPERLINK("http://www.ncbi.nlm.nih.gov/gene/?term=ATF6B /// TNXB","NCBI")</f>
        <v>NCBI</v>
      </c>
      <c r="F9758">
        <v>0.2</v>
      </c>
      <c r="G9758">
        <v>0.35</v>
      </c>
      <c r="H9758" s="1" t="str">
        <f>HYPERLINK("http://www.weizmann.ac.il/complex/compphys/software/geview/data/figures/211611_s_at.png","Figure")</f>
        <v>Figure</v>
      </c>
      <c r="I9758">
        <v>1.06</v>
      </c>
      <c r="J9758">
        <v>0.31</v>
      </c>
      <c r="K9758">
        <v>0.99399999999999999</v>
      </c>
      <c r="L9758">
        <v>0.98</v>
      </c>
      <c r="M9758">
        <v>0.94</v>
      </c>
      <c r="N9758">
        <v>0.2</v>
      </c>
    </row>
    <row r="9759" spans="1:14" x14ac:dyDescent="0.25">
      <c r="A9759" t="s">
        <v>17089</v>
      </c>
      <c r="B9759" t="s">
        <v>11139</v>
      </c>
      <c r="C9759" s="1" t="str">
        <f>HYPERLINK("http://www.genecards.org/cgi-bin/carddisp.pl?gene=PHF8","GeneCards")</f>
        <v>GeneCards</v>
      </c>
      <c r="D9759" s="1" t="str">
        <f>HYPERLINK("http://genome-euro.ucsc.edu/cgi-bin/hgTracks?position=212916_at","UCSC")</f>
        <v>UCSC</v>
      </c>
      <c r="E9759" s="1" t="str">
        <f>HYPERLINK("http://www.ncbi.nlm.nih.gov/gene/?term=PHF8","NCBI")</f>
        <v>NCBI</v>
      </c>
      <c r="F9759">
        <v>0.2</v>
      </c>
      <c r="G9759">
        <v>0.35</v>
      </c>
      <c r="H9759" s="1" t="str">
        <f>HYPERLINK("http://www.weizmann.ac.il/complex/compphys/software/geview/data/figures/212916_at.png","Figure")</f>
        <v>Figure</v>
      </c>
      <c r="I9759">
        <v>0.88200000000000001</v>
      </c>
      <c r="J9759">
        <v>0.32</v>
      </c>
      <c r="K9759">
        <v>0.88</v>
      </c>
      <c r="L9759">
        <v>0.22</v>
      </c>
      <c r="M9759">
        <v>0.997</v>
      </c>
      <c r="N9759">
        <v>1</v>
      </c>
    </row>
    <row r="9760" spans="1:14" x14ac:dyDescent="0.25">
      <c r="A9760" t="s">
        <v>17090</v>
      </c>
      <c r="B9760" t="s">
        <v>2668</v>
      </c>
      <c r="C9760" s="1" t="str">
        <f>HYPERLINK("http://www.genecards.org/cgi-bin/carddisp.pl?gene=STK24","GeneCards")</f>
        <v>GeneCards</v>
      </c>
      <c r="D9760" s="1" t="str">
        <f>HYPERLINK("http://genome-euro.ucsc.edu/cgi-bin/hgTracks?position=215188_at","UCSC")</f>
        <v>UCSC</v>
      </c>
      <c r="E9760" s="1" t="str">
        <f>HYPERLINK("http://www.ncbi.nlm.nih.gov/gene/?term=STK24","NCBI")</f>
        <v>NCBI</v>
      </c>
      <c r="F9760">
        <v>0.2</v>
      </c>
      <c r="G9760">
        <v>0.35</v>
      </c>
      <c r="H9760" s="1" t="str">
        <f>HYPERLINK("http://www.weizmann.ac.il/complex/compphys/software/geview/data/figures/215188_at.png","Figure")</f>
        <v>Figure</v>
      </c>
      <c r="I9760">
        <v>1.42</v>
      </c>
      <c r="J9760">
        <v>0.28000000000000003</v>
      </c>
      <c r="K9760">
        <v>0.98499999999999999</v>
      </c>
      <c r="L9760">
        <v>1</v>
      </c>
      <c r="M9760">
        <v>0.69299999999999995</v>
      </c>
      <c r="N9760">
        <v>0.21</v>
      </c>
    </row>
    <row r="9761" spans="1:14" x14ac:dyDescent="0.25">
      <c r="A9761" t="s">
        <v>17091</v>
      </c>
      <c r="B9761" t="s">
        <v>17092</v>
      </c>
      <c r="C9761" s="1" t="str">
        <f>HYPERLINK("http://www.genecards.org/cgi-bin/carddisp.pl?gene=C1orf66","GeneCards")</f>
        <v>GeneCards</v>
      </c>
      <c r="D9761" s="1" t="str">
        <f>HYPERLINK("http://genome-euro.ucsc.edu/cgi-bin/hgTracks?position=218914_at","UCSC")</f>
        <v>UCSC</v>
      </c>
      <c r="E9761" s="1" t="str">
        <f>HYPERLINK("http://www.ncbi.nlm.nih.gov/gene/?term=C1orf66","NCBI")</f>
        <v>NCBI</v>
      </c>
      <c r="F9761">
        <v>0.2</v>
      </c>
      <c r="G9761">
        <v>0.35</v>
      </c>
      <c r="H9761" s="1" t="str">
        <f>HYPERLINK("http://www.weizmann.ac.il/complex/compphys/software/geview/data/figures/218914_at.png","Figure")</f>
        <v>Figure</v>
      </c>
      <c r="I9761">
        <v>0.96399999999999997</v>
      </c>
      <c r="J9761">
        <v>0.49</v>
      </c>
      <c r="K9761">
        <v>1.02</v>
      </c>
      <c r="L9761">
        <v>0.77</v>
      </c>
      <c r="M9761">
        <v>1.06</v>
      </c>
      <c r="N9761">
        <v>0.18</v>
      </c>
    </row>
    <row r="9762" spans="1:14" x14ac:dyDescent="0.25">
      <c r="A9762" t="s">
        <v>17093</v>
      </c>
      <c r="B9762" t="s">
        <v>17094</v>
      </c>
      <c r="C9762" s="1" t="str">
        <f>HYPERLINK("http://www.genecards.org/cgi-bin/carddisp.pl?gene=TDP1","GeneCards")</f>
        <v>GeneCards</v>
      </c>
      <c r="D9762" s="1" t="str">
        <f>HYPERLINK("http://genome-euro.ucsc.edu/cgi-bin/hgTracks?position=219715_s_at","UCSC")</f>
        <v>UCSC</v>
      </c>
      <c r="E9762" s="1" t="str">
        <f>HYPERLINK("http://www.ncbi.nlm.nih.gov/gene/?term=TDP1","NCBI")</f>
        <v>NCBI</v>
      </c>
      <c r="F9762">
        <v>0.2</v>
      </c>
      <c r="G9762">
        <v>0.35</v>
      </c>
      <c r="H9762" s="1" t="str">
        <f>HYPERLINK("http://www.weizmann.ac.il/complex/compphys/software/geview/data/figures/219715_s_at.png","Figure")</f>
        <v>Figure</v>
      </c>
      <c r="I9762">
        <v>1.04</v>
      </c>
      <c r="J9762">
        <v>0.94</v>
      </c>
      <c r="K9762">
        <v>1.23</v>
      </c>
      <c r="L9762">
        <v>0.21</v>
      </c>
      <c r="M9762">
        <v>1.18</v>
      </c>
      <c r="N9762">
        <v>0.41</v>
      </c>
    </row>
    <row r="9763" spans="1:14" x14ac:dyDescent="0.25">
      <c r="A9763" t="s">
        <v>17095</v>
      </c>
      <c r="B9763" t="s">
        <v>8364</v>
      </c>
      <c r="C9763" s="1" t="str">
        <f>HYPERLINK("http://www.genecards.org/cgi-bin/carddisp.pl?gene=DHX15","GeneCards")</f>
        <v>GeneCards</v>
      </c>
      <c r="D9763" s="1" t="str">
        <f>HYPERLINK("http://genome-euro.ucsc.edu/cgi-bin/hgTracks?position=201386_s_at","UCSC")</f>
        <v>UCSC</v>
      </c>
      <c r="E9763" s="1" t="str">
        <f>HYPERLINK("http://www.ncbi.nlm.nih.gov/gene/?term=DHX15","NCBI")</f>
        <v>NCBI</v>
      </c>
      <c r="F9763">
        <v>0.2</v>
      </c>
      <c r="G9763">
        <v>0.35</v>
      </c>
      <c r="H9763" s="1" t="str">
        <f>HYPERLINK("http://www.weizmann.ac.il/complex/compphys/software/geview/data/figures/201386_s_at.png","Figure")</f>
        <v>Figure</v>
      </c>
      <c r="I9763">
        <v>1.01</v>
      </c>
      <c r="J9763">
        <v>1</v>
      </c>
      <c r="K9763">
        <v>0.77400000000000002</v>
      </c>
      <c r="L9763">
        <v>0.28000000000000003</v>
      </c>
      <c r="M9763">
        <v>0.76300000000000001</v>
      </c>
      <c r="N9763">
        <v>0.28999999999999998</v>
      </c>
    </row>
    <row r="9764" spans="1:14" x14ac:dyDescent="0.25">
      <c r="A9764" t="s">
        <v>17096</v>
      </c>
      <c r="B9764" t="s">
        <v>9737</v>
      </c>
      <c r="C9764" s="1" t="str">
        <f>HYPERLINK("http://www.genecards.org/cgi-bin/carddisp.pl?gene=SBF1","GeneCards")</f>
        <v>GeneCards</v>
      </c>
      <c r="D9764" s="1" t="str">
        <f>HYPERLINK("http://genome-euro.ucsc.edu/cgi-bin/hgTracks?position=212393_at","UCSC")</f>
        <v>UCSC</v>
      </c>
      <c r="E9764" s="1" t="str">
        <f>HYPERLINK("http://www.ncbi.nlm.nih.gov/gene/?term=SBF1","NCBI")</f>
        <v>NCBI</v>
      </c>
      <c r="F9764">
        <v>0.2</v>
      </c>
      <c r="G9764">
        <v>0.35</v>
      </c>
      <c r="H9764" s="1" t="str">
        <f>HYPERLINK("http://www.weizmann.ac.il/complex/compphys/software/geview/data/figures/212393_at.png","Figure")</f>
        <v>Figure</v>
      </c>
      <c r="I9764">
        <v>0.81399999999999995</v>
      </c>
      <c r="J9764">
        <v>0.47</v>
      </c>
      <c r="K9764">
        <v>1.1000000000000001</v>
      </c>
      <c r="L9764">
        <v>0.8</v>
      </c>
      <c r="M9764">
        <v>1.35</v>
      </c>
      <c r="N9764">
        <v>0.18</v>
      </c>
    </row>
    <row r="9765" spans="1:14" x14ac:dyDescent="0.25">
      <c r="A9765" t="s">
        <v>17097</v>
      </c>
      <c r="B9765" t="s">
        <v>17098</v>
      </c>
      <c r="C9765" s="1" t="str">
        <f>HYPERLINK("http://www.genecards.org/cgi-bin/carddisp.pl?gene=PHC3","GeneCards")</f>
        <v>GeneCards</v>
      </c>
      <c r="D9765" s="1" t="str">
        <f>HYPERLINK("http://genome-euro.ucsc.edu/cgi-bin/hgTracks?position=215521_at","UCSC")</f>
        <v>UCSC</v>
      </c>
      <c r="E9765" s="1" t="str">
        <f>HYPERLINK("http://www.ncbi.nlm.nih.gov/gene/?term=PHC3","NCBI")</f>
        <v>NCBI</v>
      </c>
      <c r="F9765">
        <v>0.2</v>
      </c>
      <c r="G9765">
        <v>0.35</v>
      </c>
      <c r="H9765" s="1" t="str">
        <f>HYPERLINK("http://www.weizmann.ac.il/complex/compphys/software/geview/data/figures/215521_at.png","Figure")</f>
        <v>Figure</v>
      </c>
      <c r="I9765">
        <v>1.06</v>
      </c>
      <c r="J9765">
        <v>0.78</v>
      </c>
      <c r="K9765">
        <v>0.91600000000000004</v>
      </c>
      <c r="L9765">
        <v>0.48</v>
      </c>
      <c r="M9765">
        <v>0.86599999999999999</v>
      </c>
      <c r="N9765">
        <v>0.2</v>
      </c>
    </row>
    <row r="9766" spans="1:14" x14ac:dyDescent="0.25">
      <c r="A9766" t="s">
        <v>17099</v>
      </c>
      <c r="B9766" t="s">
        <v>6015</v>
      </c>
      <c r="C9766" s="1" t="str">
        <f>HYPERLINK("http://www.genecards.org/cgi-bin/carddisp.pl?gene=PRR14","GeneCards")</f>
        <v>GeneCards</v>
      </c>
      <c r="D9766" s="1" t="str">
        <f>HYPERLINK("http://genome-euro.ucsc.edu/cgi-bin/hgTracks?position=218714_at","UCSC")</f>
        <v>UCSC</v>
      </c>
      <c r="E9766" s="1" t="str">
        <f>HYPERLINK("http://www.ncbi.nlm.nih.gov/gene/?term=PRR14","NCBI")</f>
        <v>NCBI</v>
      </c>
      <c r="F9766">
        <v>0.2</v>
      </c>
      <c r="G9766">
        <v>0.35</v>
      </c>
      <c r="H9766" s="1" t="str">
        <f>HYPERLINK("http://www.weizmann.ac.il/complex/compphys/software/geview/data/figures/218714_at.png","Figure")</f>
        <v>Figure</v>
      </c>
      <c r="I9766">
        <v>1.0900000000000001</v>
      </c>
      <c r="J9766">
        <v>0.81</v>
      </c>
      <c r="K9766">
        <v>0.86199999999999999</v>
      </c>
      <c r="L9766">
        <v>0.46</v>
      </c>
      <c r="M9766">
        <v>0.79</v>
      </c>
      <c r="N9766">
        <v>0.2</v>
      </c>
    </row>
    <row r="9767" spans="1:14" x14ac:dyDescent="0.25">
      <c r="A9767" t="s">
        <v>17100</v>
      </c>
      <c r="B9767" t="s">
        <v>17101</v>
      </c>
      <c r="C9767" s="1" t="str">
        <f>HYPERLINK("http://www.genecards.org/cgi-bin/carddisp.pl?gene=CAPN10","GeneCards")</f>
        <v>GeneCards</v>
      </c>
      <c r="D9767" s="1" t="str">
        <f>HYPERLINK("http://genome-euro.ucsc.edu/cgi-bin/hgTracks?position=219333_s_at","UCSC")</f>
        <v>UCSC</v>
      </c>
      <c r="E9767" s="1" t="str">
        <f>HYPERLINK("http://www.ncbi.nlm.nih.gov/gene/?term=CAPN10","NCBI")</f>
        <v>NCBI</v>
      </c>
      <c r="F9767">
        <v>0.2</v>
      </c>
      <c r="G9767">
        <v>0.35</v>
      </c>
      <c r="H9767" s="1" t="str">
        <f>HYPERLINK("http://www.weizmann.ac.il/complex/compphys/software/geview/data/figures/219333_s_at.png","Figure")</f>
        <v>Figure</v>
      </c>
      <c r="I9767">
        <v>1.2</v>
      </c>
      <c r="J9767">
        <v>0.18</v>
      </c>
      <c r="K9767">
        <v>1.08</v>
      </c>
      <c r="L9767">
        <v>0.66</v>
      </c>
      <c r="M9767">
        <v>0.89700000000000002</v>
      </c>
      <c r="N9767">
        <v>0.47</v>
      </c>
    </row>
    <row r="9768" spans="1:14" x14ac:dyDescent="0.25">
      <c r="A9768" t="s">
        <v>17102</v>
      </c>
      <c r="B9768" t="s">
        <v>17103</v>
      </c>
      <c r="C9768" s="1" t="str">
        <f>HYPERLINK("http://www.genecards.org/cgi-bin/carddisp.pl?gene=NUDT15","GeneCards")</f>
        <v>GeneCards</v>
      </c>
      <c r="D9768" s="1" t="str">
        <f>HYPERLINK("http://genome-euro.ucsc.edu/cgi-bin/hgTracks?position=219347_at","UCSC")</f>
        <v>UCSC</v>
      </c>
      <c r="E9768" s="1" t="str">
        <f>HYPERLINK("http://www.ncbi.nlm.nih.gov/gene/?term=NUDT15","NCBI")</f>
        <v>NCBI</v>
      </c>
      <c r="F9768">
        <v>0.2</v>
      </c>
      <c r="G9768">
        <v>0.35</v>
      </c>
      <c r="H9768" s="1" t="str">
        <f>HYPERLINK("http://www.weizmann.ac.il/complex/compphys/software/geview/data/figures/219347_at.png","Figure")</f>
        <v>Figure</v>
      </c>
      <c r="I9768">
        <v>0.67900000000000005</v>
      </c>
      <c r="J9768">
        <v>0.22</v>
      </c>
      <c r="K9768">
        <v>0.748</v>
      </c>
      <c r="L9768">
        <v>0.31</v>
      </c>
      <c r="M9768">
        <v>1.1000000000000001</v>
      </c>
      <c r="N9768">
        <v>0.89</v>
      </c>
    </row>
    <row r="9769" spans="1:14" x14ac:dyDescent="0.25">
      <c r="A9769" t="s">
        <v>17104</v>
      </c>
      <c r="B9769" t="s">
        <v>17105</v>
      </c>
      <c r="C9769" s="1" t="str">
        <f>HYPERLINK("http://www.genecards.org/cgi-bin/carddisp.pl?gene=HHLA1","GeneCards")</f>
        <v>GeneCards</v>
      </c>
      <c r="D9769" s="1" t="str">
        <f>HYPERLINK("http://genome-euro.ucsc.edu/cgi-bin/hgTracks?position=221162_at","UCSC")</f>
        <v>UCSC</v>
      </c>
      <c r="E9769" s="1" t="str">
        <f>HYPERLINK("http://www.ncbi.nlm.nih.gov/gene/?term=HHLA1","NCBI")</f>
        <v>NCBI</v>
      </c>
      <c r="F9769">
        <v>0.2</v>
      </c>
      <c r="G9769">
        <v>0.35</v>
      </c>
      <c r="H9769" s="1" t="str">
        <f>HYPERLINK("http://www.weizmann.ac.il/complex/compphys/software/geview/data/figures/221162_at.png","Figure")</f>
        <v>Figure</v>
      </c>
      <c r="I9769">
        <v>1.28</v>
      </c>
      <c r="J9769">
        <v>0.18</v>
      </c>
      <c r="K9769">
        <v>1.1399999999999999</v>
      </c>
      <c r="L9769">
        <v>0.51</v>
      </c>
      <c r="M9769">
        <v>0.89</v>
      </c>
      <c r="N9769">
        <v>0.61</v>
      </c>
    </row>
    <row r="9770" spans="1:14" x14ac:dyDescent="0.25">
      <c r="A9770" t="s">
        <v>17106</v>
      </c>
      <c r="B9770" t="s">
        <v>17107</v>
      </c>
      <c r="C9770" s="1" t="str">
        <f>HYPERLINK("http://www.genecards.org/cgi-bin/carddisp.pl?gene=APLP1","GeneCards")</f>
        <v>GeneCards</v>
      </c>
      <c r="D9770" s="1" t="str">
        <f>HYPERLINK("http://genome-euro.ucsc.edu/cgi-bin/hgTracks?position=209462_at","UCSC")</f>
        <v>UCSC</v>
      </c>
      <c r="E9770" s="1" t="str">
        <f>HYPERLINK("http://www.ncbi.nlm.nih.gov/gene/?term=APLP1","NCBI")</f>
        <v>NCBI</v>
      </c>
      <c r="F9770">
        <v>0.2</v>
      </c>
      <c r="G9770">
        <v>0.35</v>
      </c>
      <c r="H9770" s="1" t="str">
        <f>HYPERLINK("http://www.weizmann.ac.il/complex/compphys/software/geview/data/figures/209462_at.png","Figure")</f>
        <v>Figure</v>
      </c>
      <c r="I9770">
        <v>1.1100000000000001</v>
      </c>
      <c r="J9770">
        <v>0.41</v>
      </c>
      <c r="K9770">
        <v>1.1399999999999999</v>
      </c>
      <c r="L9770">
        <v>0.19</v>
      </c>
      <c r="M9770">
        <v>1.02</v>
      </c>
      <c r="N9770">
        <v>0.94</v>
      </c>
    </row>
    <row r="9771" spans="1:14" x14ac:dyDescent="0.25">
      <c r="A9771" t="s">
        <v>17108</v>
      </c>
      <c r="B9771" t="s">
        <v>1883</v>
      </c>
      <c r="C9771" s="1" t="str">
        <f>HYPERLINK("http://www.genecards.org/cgi-bin/carddisp.pl?gene=HBEGF","GeneCards")</f>
        <v>GeneCards</v>
      </c>
      <c r="D9771" s="1" t="str">
        <f>HYPERLINK("http://genome-euro.ucsc.edu/cgi-bin/hgTracks?position=222076_at","UCSC")</f>
        <v>UCSC</v>
      </c>
      <c r="E9771" s="1" t="str">
        <f>HYPERLINK("http://www.ncbi.nlm.nih.gov/gene/?term=HBEGF","NCBI")</f>
        <v>NCBI</v>
      </c>
      <c r="F9771">
        <v>0.2</v>
      </c>
      <c r="G9771">
        <v>0.35</v>
      </c>
      <c r="H9771" s="1" t="str">
        <f>HYPERLINK("http://www.weizmann.ac.il/complex/compphys/software/geview/data/figures/222076_at.png","Figure")</f>
        <v>Figure</v>
      </c>
      <c r="I9771">
        <v>1.1100000000000001</v>
      </c>
      <c r="J9771">
        <v>0.32</v>
      </c>
      <c r="K9771">
        <v>0.98499999999999999</v>
      </c>
      <c r="L9771">
        <v>0.96</v>
      </c>
      <c r="M9771">
        <v>0.88900000000000001</v>
      </c>
      <c r="N9771">
        <v>0.2</v>
      </c>
    </row>
    <row r="9772" spans="1:14" x14ac:dyDescent="0.25">
      <c r="A9772" t="s">
        <v>17109</v>
      </c>
      <c r="B9772" t="s">
        <v>8267</v>
      </c>
      <c r="C9772" s="1" t="str">
        <f>HYPERLINK("http://www.genecards.org/cgi-bin/carddisp.pl?gene=RQCD1","GeneCards")</f>
        <v>GeneCards</v>
      </c>
      <c r="D9772" s="1" t="str">
        <f>HYPERLINK("http://genome-euro.ucsc.edu/cgi-bin/hgTracks?position=213098_at","UCSC")</f>
        <v>UCSC</v>
      </c>
      <c r="E9772" s="1" t="str">
        <f>HYPERLINK("http://www.ncbi.nlm.nih.gov/gene/?term=RQCD1","NCBI")</f>
        <v>NCBI</v>
      </c>
      <c r="F9772">
        <v>0.2</v>
      </c>
      <c r="G9772">
        <v>0.35</v>
      </c>
      <c r="H9772" s="1" t="str">
        <f>HYPERLINK("http://www.weizmann.ac.il/complex/compphys/software/geview/data/figures/213098_at.png","Figure")</f>
        <v>Figure</v>
      </c>
      <c r="I9772">
        <v>1.1399999999999999</v>
      </c>
      <c r="J9772">
        <v>0.2</v>
      </c>
      <c r="K9772">
        <v>1.0900000000000001</v>
      </c>
      <c r="L9772">
        <v>0.37</v>
      </c>
      <c r="M9772">
        <v>0.95699999999999996</v>
      </c>
      <c r="N9772">
        <v>0.79</v>
      </c>
    </row>
    <row r="9773" spans="1:14" x14ac:dyDescent="0.25">
      <c r="A9773" t="s">
        <v>17110</v>
      </c>
      <c r="B9773" t="s">
        <v>17111</v>
      </c>
      <c r="C9773" s="1" t="str">
        <f>HYPERLINK("http://www.genecards.org/cgi-bin/carddisp.pl?gene=SDHD","GeneCards")</f>
        <v>GeneCards</v>
      </c>
      <c r="D9773" s="1" t="str">
        <f>HYPERLINK("http://genome-euro.ucsc.edu/cgi-bin/hgTracks?position=202026_at","UCSC")</f>
        <v>UCSC</v>
      </c>
      <c r="E9773" s="1" t="str">
        <f>HYPERLINK("http://www.ncbi.nlm.nih.gov/gene/?term=SDHD","NCBI")</f>
        <v>NCBI</v>
      </c>
      <c r="F9773">
        <v>0.2</v>
      </c>
      <c r="G9773">
        <v>0.35</v>
      </c>
      <c r="H9773" s="1" t="str">
        <f>HYPERLINK("http://www.weizmann.ac.il/complex/compphys/software/geview/data/figures/202026_at.png","Figure")</f>
        <v>Figure</v>
      </c>
      <c r="I9773">
        <v>0.89600000000000002</v>
      </c>
      <c r="J9773">
        <v>0.82</v>
      </c>
      <c r="K9773">
        <v>1.22</v>
      </c>
      <c r="L9773">
        <v>0.44</v>
      </c>
      <c r="M9773">
        <v>1.36</v>
      </c>
      <c r="N9773">
        <v>0.2</v>
      </c>
    </row>
    <row r="9774" spans="1:14" x14ac:dyDescent="0.25">
      <c r="A9774" t="s">
        <v>17112</v>
      </c>
      <c r="B9774" t="s">
        <v>17113</v>
      </c>
      <c r="C9774" s="1" t="str">
        <f>HYPERLINK("http://www.genecards.org/cgi-bin/carddisp.pl?gene=LIG1","GeneCards")</f>
        <v>GeneCards</v>
      </c>
      <c r="D9774" s="1" t="str">
        <f>HYPERLINK("http://genome-euro.ucsc.edu/cgi-bin/hgTracks?position=202726_at","UCSC")</f>
        <v>UCSC</v>
      </c>
      <c r="E9774" s="1" t="str">
        <f>HYPERLINK("http://www.ncbi.nlm.nih.gov/gene/?term=LIG1","NCBI")</f>
        <v>NCBI</v>
      </c>
      <c r="F9774">
        <v>0.2</v>
      </c>
      <c r="G9774">
        <v>0.35</v>
      </c>
      <c r="H9774" s="1" t="str">
        <f>HYPERLINK("http://www.weizmann.ac.il/complex/compphys/software/geview/data/figures/202726_at.png","Figure")</f>
        <v>Figure</v>
      </c>
      <c r="I9774">
        <v>1.29</v>
      </c>
      <c r="J9774">
        <v>0.18</v>
      </c>
      <c r="K9774">
        <v>1.1200000000000001</v>
      </c>
      <c r="L9774">
        <v>0.61</v>
      </c>
      <c r="M9774">
        <v>0.86899999999999999</v>
      </c>
      <c r="N9774">
        <v>0.51</v>
      </c>
    </row>
    <row r="9775" spans="1:14" x14ac:dyDescent="0.25">
      <c r="A9775" t="s">
        <v>17114</v>
      </c>
      <c r="B9775" t="s">
        <v>2176</v>
      </c>
      <c r="C9775" s="1" t="str">
        <f>HYPERLINK("http://www.genecards.org/cgi-bin/carddisp.pl?gene=SLC2A14 /// SLC2A3","GeneCards")</f>
        <v>GeneCards</v>
      </c>
      <c r="D9775" s="1" t="str">
        <f>HYPERLINK("http://genome-euro.ucsc.edu/cgi-bin/hgTracks?position=216236_s_at","UCSC")</f>
        <v>UCSC</v>
      </c>
      <c r="E9775" s="1" t="str">
        <f>HYPERLINK("http://www.ncbi.nlm.nih.gov/gene/?term=SLC2A14 /// SLC2A3","NCBI")</f>
        <v>NCBI</v>
      </c>
      <c r="F9775">
        <v>0.2</v>
      </c>
      <c r="G9775">
        <v>0.35</v>
      </c>
      <c r="H9775" s="1" t="str">
        <f>HYPERLINK("http://www.weizmann.ac.il/complex/compphys/software/geview/data/figures/216236_s_at.png","Figure")</f>
        <v>Figure</v>
      </c>
      <c r="I9775">
        <v>0.65200000000000002</v>
      </c>
      <c r="J9775">
        <v>0.36</v>
      </c>
      <c r="K9775">
        <v>0.622</v>
      </c>
      <c r="L9775">
        <v>0.2</v>
      </c>
      <c r="M9775">
        <v>0.95299999999999996</v>
      </c>
      <c r="N9775">
        <v>0.98</v>
      </c>
    </row>
    <row r="9776" spans="1:14" x14ac:dyDescent="0.25">
      <c r="A9776" t="s">
        <v>17115</v>
      </c>
      <c r="B9776" t="s">
        <v>17116</v>
      </c>
      <c r="C9776" s="1" t="str">
        <f>HYPERLINK("http://www.genecards.org/cgi-bin/carddisp.pl?gene=TIGD1L","GeneCards")</f>
        <v>GeneCards</v>
      </c>
      <c r="D9776" s="1" t="str">
        <f>HYPERLINK("http://genome-euro.ucsc.edu/cgi-bin/hgTracks?position=216679_at","UCSC")</f>
        <v>UCSC</v>
      </c>
      <c r="E9776" s="1" t="str">
        <f>HYPERLINK("http://www.ncbi.nlm.nih.gov/gene/?term=TIGD1L","NCBI")</f>
        <v>NCBI</v>
      </c>
      <c r="F9776">
        <v>0.2</v>
      </c>
      <c r="G9776">
        <v>0.35</v>
      </c>
      <c r="H9776" s="1" t="str">
        <f>HYPERLINK("http://www.weizmann.ac.il/complex/compphys/software/geview/data/figures/216679_at.png","Figure")</f>
        <v>Figure</v>
      </c>
      <c r="I9776">
        <v>1.1100000000000001</v>
      </c>
      <c r="J9776">
        <v>0.19</v>
      </c>
      <c r="K9776">
        <v>1.07</v>
      </c>
      <c r="L9776">
        <v>0.44</v>
      </c>
      <c r="M9776">
        <v>0.95699999999999996</v>
      </c>
      <c r="N9776">
        <v>0.7</v>
      </c>
    </row>
    <row r="9777" spans="1:14" x14ac:dyDescent="0.25">
      <c r="A9777" t="s">
        <v>17117</v>
      </c>
      <c r="B9777" t="s">
        <v>9706</v>
      </c>
      <c r="C9777" s="1" t="str">
        <f>HYPERLINK("http://www.genecards.org/cgi-bin/carddisp.pl?gene=BCL11A","GeneCards")</f>
        <v>GeneCards</v>
      </c>
      <c r="D9777" s="1" t="str">
        <f>HYPERLINK("http://genome-euro.ucsc.edu/cgi-bin/hgTracks?position=219497_s_at","UCSC")</f>
        <v>UCSC</v>
      </c>
      <c r="E9777" s="1" t="str">
        <f>HYPERLINK("http://www.ncbi.nlm.nih.gov/gene/?term=BCL11A","NCBI")</f>
        <v>NCBI</v>
      </c>
      <c r="F9777">
        <v>0.2</v>
      </c>
      <c r="G9777">
        <v>0.35</v>
      </c>
      <c r="H9777" s="1" t="str">
        <f>HYPERLINK("http://www.weizmann.ac.il/complex/compphys/software/geview/data/figures/219497_s_at.png","Figure")</f>
        <v>Figure</v>
      </c>
      <c r="I9777">
        <v>0.65500000000000003</v>
      </c>
      <c r="J9777">
        <v>0.18</v>
      </c>
      <c r="K9777">
        <v>0.84299999999999997</v>
      </c>
      <c r="L9777">
        <v>0.66</v>
      </c>
      <c r="M9777">
        <v>1.29</v>
      </c>
      <c r="N9777">
        <v>0.46</v>
      </c>
    </row>
    <row r="9778" spans="1:14" x14ac:dyDescent="0.25">
      <c r="A9778" t="s">
        <v>17118</v>
      </c>
      <c r="B9778" t="s">
        <v>15215</v>
      </c>
      <c r="C9778" s="1" t="str">
        <f>HYPERLINK("http://www.genecards.org/cgi-bin/carddisp.pl?gene=EEF1A1","GeneCards")</f>
        <v>GeneCards</v>
      </c>
      <c r="D9778" s="1" t="str">
        <f>HYPERLINK("http://genome-euro.ucsc.edu/cgi-bin/hgTracks?position=213477_x_at","UCSC")</f>
        <v>UCSC</v>
      </c>
      <c r="E9778" s="1" t="str">
        <f>HYPERLINK("http://www.ncbi.nlm.nih.gov/gene/?term=EEF1A1","NCBI")</f>
        <v>NCBI</v>
      </c>
      <c r="F9778">
        <v>0.2</v>
      </c>
      <c r="G9778">
        <v>0.35</v>
      </c>
      <c r="H9778" s="1" t="str">
        <f>HYPERLINK("http://www.weizmann.ac.il/complex/compphys/software/geview/data/figures/213477_x_at.png","Figure")</f>
        <v>Figure</v>
      </c>
      <c r="I9778">
        <v>1.1399999999999999</v>
      </c>
      <c r="J9778">
        <v>0.53</v>
      </c>
      <c r="K9778">
        <v>0.92200000000000004</v>
      </c>
      <c r="L9778">
        <v>0.72</v>
      </c>
      <c r="M9778">
        <v>0.80800000000000005</v>
      </c>
      <c r="N9778">
        <v>0.18</v>
      </c>
    </row>
    <row r="9779" spans="1:14" x14ac:dyDescent="0.25">
      <c r="A9779" t="s">
        <v>17119</v>
      </c>
      <c r="B9779" t="s">
        <v>5792</v>
      </c>
      <c r="C9779" s="1" t="str">
        <f>HYPERLINK("http://www.genecards.org/cgi-bin/carddisp.pl?gene=YY1","GeneCards")</f>
        <v>GeneCards</v>
      </c>
      <c r="D9779" s="1" t="str">
        <f>HYPERLINK("http://genome-euro.ucsc.edu/cgi-bin/hgTracks?position=201901_s_at","UCSC")</f>
        <v>UCSC</v>
      </c>
      <c r="E9779" s="1" t="str">
        <f>HYPERLINK("http://www.ncbi.nlm.nih.gov/gene/?term=YY1","NCBI")</f>
        <v>NCBI</v>
      </c>
      <c r="F9779">
        <v>0.2</v>
      </c>
      <c r="G9779">
        <v>0.35</v>
      </c>
      <c r="H9779" s="1" t="str">
        <f>HYPERLINK("http://www.weizmann.ac.il/complex/compphys/software/geview/data/figures/201901_s_at.png","Figure")</f>
        <v>Figure</v>
      </c>
      <c r="I9779">
        <v>0.89600000000000002</v>
      </c>
      <c r="J9779">
        <v>0.59</v>
      </c>
      <c r="K9779">
        <v>1.0900000000000001</v>
      </c>
      <c r="L9779">
        <v>0.65</v>
      </c>
      <c r="M9779">
        <v>1.22</v>
      </c>
      <c r="N9779">
        <v>0.18</v>
      </c>
    </row>
    <row r="9780" spans="1:14" x14ac:dyDescent="0.25">
      <c r="A9780" t="s">
        <v>17120</v>
      </c>
      <c r="B9780" t="s">
        <v>17121</v>
      </c>
      <c r="C9780" s="1" t="str">
        <f>HYPERLINK("http://www.genecards.org/cgi-bin/carddisp.pl?gene=FASLG","GeneCards")</f>
        <v>GeneCards</v>
      </c>
      <c r="D9780" s="1" t="str">
        <f>HYPERLINK("http://genome-euro.ucsc.edu/cgi-bin/hgTracks?position=211333_s_at","UCSC")</f>
        <v>UCSC</v>
      </c>
      <c r="E9780" s="1" t="str">
        <f>HYPERLINK("http://www.ncbi.nlm.nih.gov/gene/?term=FASLG","NCBI")</f>
        <v>NCBI</v>
      </c>
      <c r="F9780">
        <v>0.2</v>
      </c>
      <c r="G9780">
        <v>0.35</v>
      </c>
      <c r="H9780" s="1" t="str">
        <f>HYPERLINK("http://www.weizmann.ac.il/complex/compphys/software/geview/data/figures/211333_s_at.png","Figure")</f>
        <v>Figure</v>
      </c>
      <c r="I9780">
        <v>1.02</v>
      </c>
      <c r="J9780">
        <v>0.46</v>
      </c>
      <c r="K9780">
        <v>1.02</v>
      </c>
      <c r="L9780">
        <v>0.18</v>
      </c>
      <c r="M9780">
        <v>1.01</v>
      </c>
      <c r="N9780">
        <v>0.89</v>
      </c>
    </row>
    <row r="9781" spans="1:14" x14ac:dyDescent="0.25">
      <c r="A9781" t="s">
        <v>17122</v>
      </c>
      <c r="B9781" t="s">
        <v>17123</v>
      </c>
      <c r="C9781" s="1" t="str">
        <f>HYPERLINK("http://www.genecards.org/cgi-bin/carddisp.pl?gene=RABIF","GeneCards")</f>
        <v>GeneCards</v>
      </c>
      <c r="D9781" s="1" t="str">
        <f>HYPERLINK("http://genome-euro.ucsc.edu/cgi-bin/hgTracks?position=204477_at","UCSC")</f>
        <v>UCSC</v>
      </c>
      <c r="E9781" s="1" t="str">
        <f>HYPERLINK("http://www.ncbi.nlm.nih.gov/gene/?term=RABIF","NCBI")</f>
        <v>NCBI</v>
      </c>
      <c r="F9781">
        <v>0.2</v>
      </c>
      <c r="G9781">
        <v>0.35</v>
      </c>
      <c r="H9781" s="1" t="str">
        <f>HYPERLINK("http://www.weizmann.ac.il/complex/compphys/software/geview/data/figures/204477_at.png","Figure")</f>
        <v>Figure</v>
      </c>
      <c r="I9781">
        <v>1.0900000000000001</v>
      </c>
      <c r="J9781">
        <v>0.55000000000000004</v>
      </c>
      <c r="K9781">
        <v>1.1399999999999999</v>
      </c>
      <c r="L9781">
        <v>0.18</v>
      </c>
      <c r="M9781">
        <v>1.05</v>
      </c>
      <c r="N9781">
        <v>0.8</v>
      </c>
    </row>
    <row r="9782" spans="1:14" x14ac:dyDescent="0.25">
      <c r="A9782" t="s">
        <v>17124</v>
      </c>
      <c r="B9782" t="s">
        <v>11548</v>
      </c>
      <c r="C9782" s="1" t="str">
        <f>HYPERLINK("http://www.genecards.org/cgi-bin/carddisp.pl?gene=SCNN1A","GeneCards")</f>
        <v>GeneCards</v>
      </c>
      <c r="D9782" s="1" t="str">
        <f>HYPERLINK("http://genome-euro.ucsc.edu/cgi-bin/hgTracks?position=203453_at","UCSC")</f>
        <v>UCSC</v>
      </c>
      <c r="E9782" s="1" t="str">
        <f>HYPERLINK("http://www.ncbi.nlm.nih.gov/gene/?term=SCNN1A","NCBI")</f>
        <v>NCBI</v>
      </c>
      <c r="F9782">
        <v>0.2</v>
      </c>
      <c r="G9782">
        <v>0.35</v>
      </c>
      <c r="H9782" s="1" t="str">
        <f>HYPERLINK("http://www.weizmann.ac.il/complex/compphys/software/geview/data/figures/203453_at.png","Figure")</f>
        <v>Figure</v>
      </c>
      <c r="I9782">
        <v>1.05</v>
      </c>
      <c r="J9782">
        <v>0.26</v>
      </c>
      <c r="K9782">
        <v>1.04</v>
      </c>
      <c r="L9782">
        <v>0.26</v>
      </c>
      <c r="M9782">
        <v>0.99399999999999999</v>
      </c>
      <c r="N9782">
        <v>0.97</v>
      </c>
    </row>
    <row r="9783" spans="1:14" x14ac:dyDescent="0.25">
      <c r="A9783" t="s">
        <v>17125</v>
      </c>
      <c r="B9783" t="s">
        <v>17126</v>
      </c>
      <c r="C9783" s="1" t="str">
        <f>HYPERLINK("http://www.genecards.org/cgi-bin/carddisp.pl?gene=KIR3DL2 /// LOC727787","GeneCards")</f>
        <v>GeneCards</v>
      </c>
      <c r="D9783" s="1" t="str">
        <f>HYPERLINK("http://genome-euro.ucsc.edu/cgi-bin/hgTracks?position=216907_x_at","UCSC")</f>
        <v>UCSC</v>
      </c>
      <c r="E9783" s="1" t="str">
        <f>HYPERLINK("http://www.ncbi.nlm.nih.gov/gene/?term=KIR3DL2 /// LOC727787","NCBI")</f>
        <v>NCBI</v>
      </c>
      <c r="F9783">
        <v>0.2</v>
      </c>
      <c r="G9783">
        <v>0.35</v>
      </c>
      <c r="H9783" s="1" t="str">
        <f>HYPERLINK("http://www.weizmann.ac.il/complex/compphys/software/geview/data/figures/216907_x_at.png","Figure")</f>
        <v>Figure</v>
      </c>
      <c r="I9783">
        <v>1.02</v>
      </c>
      <c r="J9783">
        <v>0.97</v>
      </c>
      <c r="K9783">
        <v>0.86499999999999999</v>
      </c>
      <c r="L9783">
        <v>0.32</v>
      </c>
      <c r="M9783">
        <v>0.84499999999999997</v>
      </c>
      <c r="N9783">
        <v>0.26</v>
      </c>
    </row>
    <row r="9784" spans="1:14" x14ac:dyDescent="0.25">
      <c r="A9784" t="s">
        <v>17127</v>
      </c>
      <c r="B9784" t="s">
        <v>17128</v>
      </c>
      <c r="C9784" s="1" t="str">
        <f>HYPERLINK("http://www.genecards.org/cgi-bin/carddisp.pl?gene=ARHGAP25","GeneCards")</f>
        <v>GeneCards</v>
      </c>
      <c r="D9784" s="1" t="str">
        <f>HYPERLINK("http://genome-euro.ucsc.edu/cgi-bin/hgTracks?position=204882_at","UCSC")</f>
        <v>UCSC</v>
      </c>
      <c r="E9784" s="1" t="str">
        <f>HYPERLINK("http://www.ncbi.nlm.nih.gov/gene/?term=ARHGAP25","NCBI")</f>
        <v>NCBI</v>
      </c>
      <c r="F9784">
        <v>0.2</v>
      </c>
      <c r="G9784">
        <v>0.35</v>
      </c>
      <c r="H9784" s="1" t="str">
        <f>HYPERLINK("http://www.weizmann.ac.il/complex/compphys/software/geview/data/figures/204882_at.png","Figure")</f>
        <v>Figure</v>
      </c>
      <c r="I9784">
        <v>0.86799999999999999</v>
      </c>
      <c r="J9784">
        <v>0.8</v>
      </c>
      <c r="K9784">
        <v>0.69499999999999995</v>
      </c>
      <c r="L9784">
        <v>0.19</v>
      </c>
      <c r="M9784">
        <v>0.8</v>
      </c>
      <c r="N9784">
        <v>0.55000000000000004</v>
      </c>
    </row>
    <row r="9785" spans="1:14" x14ac:dyDescent="0.25">
      <c r="A9785" t="s">
        <v>17129</v>
      </c>
      <c r="B9785" t="s">
        <v>17130</v>
      </c>
      <c r="C9785" s="1" t="str">
        <f>HYPERLINK("http://www.genecards.org/cgi-bin/carddisp.pl?gene=MYB","GeneCards")</f>
        <v>GeneCards</v>
      </c>
      <c r="D9785" s="1" t="str">
        <f>HYPERLINK("http://genome-euro.ucsc.edu/cgi-bin/hgTracks?position=204798_at","UCSC")</f>
        <v>UCSC</v>
      </c>
      <c r="E9785" s="1" t="str">
        <f>HYPERLINK("http://www.ncbi.nlm.nih.gov/gene/?term=MYB","NCBI")</f>
        <v>NCBI</v>
      </c>
      <c r="F9785">
        <v>0.2</v>
      </c>
      <c r="G9785">
        <v>0.35</v>
      </c>
      <c r="H9785" s="1" t="str">
        <f>HYPERLINK("http://www.weizmann.ac.il/complex/compphys/software/geview/data/figures/204798_at.png","Figure")</f>
        <v>Figure</v>
      </c>
      <c r="I9785">
        <v>1.32</v>
      </c>
      <c r="J9785">
        <v>0.49</v>
      </c>
      <c r="K9785">
        <v>1.48</v>
      </c>
      <c r="L9785">
        <v>0.18</v>
      </c>
      <c r="M9785">
        <v>1.1200000000000001</v>
      </c>
      <c r="N9785">
        <v>0.87</v>
      </c>
    </row>
    <row r="9786" spans="1:14" x14ac:dyDescent="0.25">
      <c r="A9786" t="s">
        <v>17131</v>
      </c>
      <c r="B9786" t="s">
        <v>3718</v>
      </c>
      <c r="C9786" s="1" t="str">
        <f>HYPERLINK("http://www.genecards.org/cgi-bin/carddisp.pl?gene=SGPL1","GeneCards")</f>
        <v>GeneCards</v>
      </c>
      <c r="D9786" s="1" t="str">
        <f>HYPERLINK("http://genome-euro.ucsc.edu/cgi-bin/hgTracks?position=212321_at","UCSC")</f>
        <v>UCSC</v>
      </c>
      <c r="E9786" s="1" t="str">
        <f>HYPERLINK("http://www.ncbi.nlm.nih.gov/gene/?term=SGPL1","NCBI")</f>
        <v>NCBI</v>
      </c>
      <c r="F9786">
        <v>0.2</v>
      </c>
      <c r="G9786">
        <v>0.35</v>
      </c>
      <c r="H9786" s="1" t="str">
        <f>HYPERLINK("http://www.weizmann.ac.il/complex/compphys/software/geview/data/figures/212321_at.png","Figure")</f>
        <v>Figure</v>
      </c>
      <c r="I9786">
        <v>0.82299999999999995</v>
      </c>
      <c r="J9786">
        <v>0.61</v>
      </c>
      <c r="K9786">
        <v>1.18</v>
      </c>
      <c r="L9786">
        <v>0.63</v>
      </c>
      <c r="M9786">
        <v>1.43</v>
      </c>
      <c r="N9786">
        <v>0.18</v>
      </c>
    </row>
    <row r="9787" spans="1:14" x14ac:dyDescent="0.25">
      <c r="A9787" t="s">
        <v>17132</v>
      </c>
      <c r="B9787" t="s">
        <v>17133</v>
      </c>
      <c r="C9787" s="1" t="str">
        <f>HYPERLINK("http://www.genecards.org/cgi-bin/carddisp.pl?gene=DDB2","GeneCards")</f>
        <v>GeneCards</v>
      </c>
      <c r="D9787" s="1" t="str">
        <f>HYPERLINK("http://genome-euro.ucsc.edu/cgi-bin/hgTracks?position=203409_at","UCSC")</f>
        <v>UCSC</v>
      </c>
      <c r="E9787" s="1" t="str">
        <f>HYPERLINK("http://www.ncbi.nlm.nih.gov/gene/?term=DDB2","NCBI")</f>
        <v>NCBI</v>
      </c>
      <c r="F9787">
        <v>0.2</v>
      </c>
      <c r="G9787">
        <v>0.35</v>
      </c>
      <c r="H9787" s="1" t="str">
        <f>HYPERLINK("http://www.weizmann.ac.il/complex/compphys/software/geview/data/figures/203409_at.png","Figure")</f>
        <v>Figure</v>
      </c>
      <c r="I9787">
        <v>1.04</v>
      </c>
      <c r="J9787">
        <v>0.97</v>
      </c>
      <c r="K9787">
        <v>0.81</v>
      </c>
      <c r="L9787">
        <v>0.32</v>
      </c>
      <c r="M9787">
        <v>0.78200000000000003</v>
      </c>
      <c r="N9787">
        <v>0.26</v>
      </c>
    </row>
    <row r="9788" spans="1:14" x14ac:dyDescent="0.25">
      <c r="A9788" t="s">
        <v>17134</v>
      </c>
      <c r="B9788" t="s">
        <v>17135</v>
      </c>
      <c r="C9788" s="1" t="str">
        <f>HYPERLINK("http://www.genecards.org/cgi-bin/carddisp.pl?gene=SULT1B1","GeneCards")</f>
        <v>GeneCards</v>
      </c>
      <c r="D9788" s="1" t="str">
        <f>HYPERLINK("http://genome-euro.ucsc.edu/cgi-bin/hgTracks?position=207601_at","UCSC")</f>
        <v>UCSC</v>
      </c>
      <c r="E9788" s="1" t="str">
        <f>HYPERLINK("http://www.ncbi.nlm.nih.gov/gene/?term=SULT1B1","NCBI")</f>
        <v>NCBI</v>
      </c>
      <c r="F9788">
        <v>0.2</v>
      </c>
      <c r="G9788">
        <v>0.35</v>
      </c>
      <c r="H9788" s="1" t="str">
        <f>HYPERLINK("http://www.weizmann.ac.il/complex/compphys/software/geview/data/figures/207601_at.png","Figure")</f>
        <v>Figure</v>
      </c>
      <c r="I9788">
        <v>1.1399999999999999</v>
      </c>
      <c r="J9788">
        <v>0.39</v>
      </c>
      <c r="K9788">
        <v>0.96199999999999997</v>
      </c>
      <c r="L9788">
        <v>0.89</v>
      </c>
      <c r="M9788">
        <v>0.84199999999999997</v>
      </c>
      <c r="N9788">
        <v>0.18</v>
      </c>
    </row>
    <row r="9789" spans="1:14" x14ac:dyDescent="0.25">
      <c r="A9789" t="s">
        <v>17136</v>
      </c>
      <c r="B9789" t="s">
        <v>17137</v>
      </c>
      <c r="C9789" s="1" t="str">
        <f>HYPERLINK("http://www.genecards.org/cgi-bin/carddisp.pl?gene=GPS1","GeneCards")</f>
        <v>GeneCards</v>
      </c>
      <c r="D9789" s="1" t="str">
        <f>HYPERLINK("http://genome-euro.ucsc.edu/cgi-bin/hgTracks?position=217782_s_at","UCSC")</f>
        <v>UCSC</v>
      </c>
      <c r="E9789" s="1" t="str">
        <f>HYPERLINK("http://www.ncbi.nlm.nih.gov/gene/?term=GPS1","NCBI")</f>
        <v>NCBI</v>
      </c>
      <c r="F9789">
        <v>0.2</v>
      </c>
      <c r="G9789">
        <v>0.35</v>
      </c>
      <c r="H9789" s="1" t="str">
        <f>HYPERLINK("http://www.weizmann.ac.il/complex/compphys/software/geview/data/figures/217782_s_at.png","Figure")</f>
        <v>Figure</v>
      </c>
      <c r="I9789">
        <v>0.89400000000000002</v>
      </c>
      <c r="J9789">
        <v>0.82</v>
      </c>
      <c r="K9789">
        <v>1.23</v>
      </c>
      <c r="L9789">
        <v>0.44</v>
      </c>
      <c r="M9789">
        <v>1.37</v>
      </c>
      <c r="N9789">
        <v>0.21</v>
      </c>
    </row>
    <row r="9790" spans="1:14" x14ac:dyDescent="0.25">
      <c r="A9790" t="s">
        <v>17138</v>
      </c>
      <c r="B9790" t="s">
        <v>17139</v>
      </c>
      <c r="C9790" s="1" t="str">
        <f>HYPERLINK("http://www.genecards.org/cgi-bin/carddisp.pl?gene=CLEC4A","GeneCards")</f>
        <v>GeneCards</v>
      </c>
      <c r="D9790" s="1" t="str">
        <f>HYPERLINK("http://genome-euro.ucsc.edu/cgi-bin/hgTracks?position=219947_at","UCSC")</f>
        <v>UCSC</v>
      </c>
      <c r="E9790" s="1" t="str">
        <f>HYPERLINK("http://www.ncbi.nlm.nih.gov/gene/?term=CLEC4A","NCBI")</f>
        <v>NCBI</v>
      </c>
      <c r="F9790">
        <v>0.2</v>
      </c>
      <c r="G9790">
        <v>0.35</v>
      </c>
      <c r="H9790" s="1" t="str">
        <f>HYPERLINK("http://www.weizmann.ac.il/complex/compphys/software/geview/data/figures/219947_at.png","Figure")</f>
        <v>Figure</v>
      </c>
      <c r="I9790">
        <v>0.65200000000000002</v>
      </c>
      <c r="J9790">
        <v>0.18</v>
      </c>
      <c r="K9790">
        <v>0.872</v>
      </c>
      <c r="L9790">
        <v>0.78</v>
      </c>
      <c r="M9790">
        <v>1.34</v>
      </c>
      <c r="N9790">
        <v>0.38</v>
      </c>
    </row>
    <row r="9791" spans="1:14" x14ac:dyDescent="0.25">
      <c r="A9791" t="s">
        <v>17140</v>
      </c>
      <c r="B9791" t="s">
        <v>17141</v>
      </c>
      <c r="C9791" s="1" t="str">
        <f>HYPERLINK("http://www.genecards.org/cgi-bin/carddisp.pl?gene=SLC25A10","GeneCards")</f>
        <v>GeneCards</v>
      </c>
      <c r="D9791" s="1" t="str">
        <f>HYPERLINK("http://genome-euro.ucsc.edu/cgi-bin/hgTracks?position=218275_at","UCSC")</f>
        <v>UCSC</v>
      </c>
      <c r="E9791" s="1" t="str">
        <f>HYPERLINK("http://www.ncbi.nlm.nih.gov/gene/?term=SLC25A10","NCBI")</f>
        <v>NCBI</v>
      </c>
      <c r="F9791">
        <v>0.2</v>
      </c>
      <c r="G9791">
        <v>0.35</v>
      </c>
      <c r="H9791" s="1" t="str">
        <f>HYPERLINK("http://www.weizmann.ac.il/complex/compphys/software/geview/data/figures/218275_at.png","Figure")</f>
        <v>Figure</v>
      </c>
      <c r="I9791">
        <v>1.1200000000000001</v>
      </c>
      <c r="J9791">
        <v>0.18</v>
      </c>
      <c r="K9791">
        <v>1.04</v>
      </c>
      <c r="L9791">
        <v>0.76</v>
      </c>
      <c r="M9791">
        <v>0.92500000000000004</v>
      </c>
      <c r="N9791">
        <v>0.4</v>
      </c>
    </row>
    <row r="9792" spans="1:14" x14ac:dyDescent="0.25">
      <c r="A9792" t="s">
        <v>17142</v>
      </c>
      <c r="B9792" t="s">
        <v>17143</v>
      </c>
      <c r="C9792" s="1" t="str">
        <f>HYPERLINK("http://www.genecards.org/cgi-bin/carddisp.pl?gene=AZIN1","GeneCards")</f>
        <v>GeneCards</v>
      </c>
      <c r="D9792" s="1" t="str">
        <f>HYPERLINK("http://genome-euro.ucsc.edu/cgi-bin/hgTracks?position=212461_at","UCSC")</f>
        <v>UCSC</v>
      </c>
      <c r="E9792" s="1" t="str">
        <f>HYPERLINK("http://www.ncbi.nlm.nih.gov/gene/?term=AZIN1","NCBI")</f>
        <v>NCBI</v>
      </c>
      <c r="F9792">
        <v>0.2</v>
      </c>
      <c r="G9792">
        <v>0.35</v>
      </c>
      <c r="H9792" s="1" t="str">
        <f>HYPERLINK("http://www.weizmann.ac.il/complex/compphys/software/geview/data/figures/212461_at.png","Figure")</f>
        <v>Figure</v>
      </c>
      <c r="I9792">
        <v>0.66100000000000003</v>
      </c>
      <c r="J9792">
        <v>0.23</v>
      </c>
      <c r="K9792">
        <v>0.72399999999999998</v>
      </c>
      <c r="L9792">
        <v>0.3</v>
      </c>
      <c r="M9792">
        <v>1.1000000000000001</v>
      </c>
      <c r="N9792">
        <v>0.91</v>
      </c>
    </row>
    <row r="9793" spans="1:14" x14ac:dyDescent="0.25">
      <c r="A9793" t="s">
        <v>17144</v>
      </c>
      <c r="B9793" t="s">
        <v>17145</v>
      </c>
      <c r="C9793" s="1" t="str">
        <f>HYPERLINK("http://www.genecards.org/cgi-bin/carddisp.pl?gene=ZW10","GeneCards")</f>
        <v>GeneCards</v>
      </c>
      <c r="D9793" s="1" t="str">
        <f>HYPERLINK("http://genome-euro.ucsc.edu/cgi-bin/hgTracks?position=204812_at","UCSC")</f>
        <v>UCSC</v>
      </c>
      <c r="E9793" s="1" t="str">
        <f>HYPERLINK("http://www.ncbi.nlm.nih.gov/gene/?term=ZW10","NCBI")</f>
        <v>NCBI</v>
      </c>
      <c r="F9793">
        <v>0.2</v>
      </c>
      <c r="G9793">
        <v>0.35</v>
      </c>
      <c r="H9793" s="1" t="str">
        <f>HYPERLINK("http://www.weizmann.ac.il/complex/compphys/software/geview/data/figures/204812_at.png","Figure")</f>
        <v>Figure</v>
      </c>
      <c r="I9793">
        <v>1.1299999999999999</v>
      </c>
      <c r="J9793">
        <v>0.19</v>
      </c>
      <c r="K9793">
        <v>1.08</v>
      </c>
      <c r="L9793">
        <v>0.42</v>
      </c>
      <c r="M9793">
        <v>0.95499999999999996</v>
      </c>
      <c r="N9793">
        <v>0.72</v>
      </c>
    </row>
    <row r="9794" spans="1:14" x14ac:dyDescent="0.25">
      <c r="A9794" t="s">
        <v>17146</v>
      </c>
      <c r="B9794" t="s">
        <v>17147</v>
      </c>
      <c r="C9794" s="1" t="str">
        <f>HYPERLINK("http://www.genecards.org/cgi-bin/carddisp.pl?gene=MBD5","GeneCards")</f>
        <v>GeneCards</v>
      </c>
      <c r="D9794" s="1" t="str">
        <f>HYPERLINK("http://genome-euro.ucsc.edu/cgi-bin/hgTracks?position=220195_at","UCSC")</f>
        <v>UCSC</v>
      </c>
      <c r="E9794" s="1" t="str">
        <f>HYPERLINK("http://www.ncbi.nlm.nih.gov/gene/?term=MBD5","NCBI")</f>
        <v>NCBI</v>
      </c>
      <c r="F9794">
        <v>0.2</v>
      </c>
      <c r="G9794">
        <v>0.35</v>
      </c>
      <c r="H9794" s="1" t="str">
        <f>HYPERLINK("http://www.weizmann.ac.il/complex/compphys/software/geview/data/figures/220195_at.png","Figure")</f>
        <v>Figure</v>
      </c>
      <c r="I9794">
        <v>1.04</v>
      </c>
      <c r="J9794">
        <v>0.81</v>
      </c>
      <c r="K9794">
        <v>0.93899999999999995</v>
      </c>
      <c r="L9794">
        <v>0.46</v>
      </c>
      <c r="M9794">
        <v>0.90500000000000003</v>
      </c>
      <c r="N9794">
        <v>0.2</v>
      </c>
    </row>
    <row r="9795" spans="1:14" x14ac:dyDescent="0.25">
      <c r="A9795" t="s">
        <v>17148</v>
      </c>
      <c r="B9795" t="s">
        <v>12446</v>
      </c>
      <c r="C9795" s="1" t="str">
        <f>HYPERLINK("http://www.genecards.org/cgi-bin/carddisp.pl?gene=STS","GeneCards")</f>
        <v>GeneCards</v>
      </c>
      <c r="D9795" s="1" t="str">
        <f>HYPERLINK("http://genome-euro.ucsc.edu/cgi-bin/hgTracks?position=203768_s_at","UCSC")</f>
        <v>UCSC</v>
      </c>
      <c r="E9795" s="1" t="str">
        <f>HYPERLINK("http://www.ncbi.nlm.nih.gov/gene/?term=STS","NCBI")</f>
        <v>NCBI</v>
      </c>
      <c r="F9795">
        <v>0.2</v>
      </c>
      <c r="G9795">
        <v>0.35</v>
      </c>
      <c r="H9795" s="1" t="str">
        <f>HYPERLINK("http://www.weizmann.ac.il/complex/compphys/software/geview/data/figures/203768_s_at.png","Figure")</f>
        <v>Figure</v>
      </c>
      <c r="I9795">
        <v>1.1200000000000001</v>
      </c>
      <c r="J9795">
        <v>0.56000000000000005</v>
      </c>
      <c r="K9795">
        <v>1.19</v>
      </c>
      <c r="L9795">
        <v>0.18</v>
      </c>
      <c r="M9795">
        <v>1.07</v>
      </c>
      <c r="N9795">
        <v>0.79</v>
      </c>
    </row>
    <row r="9796" spans="1:14" x14ac:dyDescent="0.25">
      <c r="A9796" t="s">
        <v>17149</v>
      </c>
      <c r="B9796" t="s">
        <v>17150</v>
      </c>
      <c r="C9796" s="1" t="str">
        <f>HYPERLINK("http://www.genecards.org/cgi-bin/carddisp.pl?gene=COL4A1","GeneCards")</f>
        <v>GeneCards</v>
      </c>
      <c r="D9796" s="1" t="str">
        <f>HYPERLINK("http://genome-euro.ucsc.edu/cgi-bin/hgTracks?position=211980_at","UCSC")</f>
        <v>UCSC</v>
      </c>
      <c r="E9796" s="1" t="str">
        <f>HYPERLINK("http://www.ncbi.nlm.nih.gov/gene/?term=COL4A1","NCBI")</f>
        <v>NCBI</v>
      </c>
      <c r="F9796">
        <v>0.2</v>
      </c>
      <c r="G9796">
        <v>0.35</v>
      </c>
      <c r="H9796" s="1" t="str">
        <f>HYPERLINK("http://www.weizmann.ac.il/complex/compphys/software/geview/data/figures/211980_at.png","Figure")</f>
        <v>Figure</v>
      </c>
      <c r="I9796">
        <v>1.03</v>
      </c>
      <c r="J9796">
        <v>0.67</v>
      </c>
      <c r="K9796">
        <v>0.96699999999999997</v>
      </c>
      <c r="L9796">
        <v>0.57999999999999996</v>
      </c>
      <c r="M9796">
        <v>0.93500000000000005</v>
      </c>
      <c r="N9796">
        <v>0.18</v>
      </c>
    </row>
    <row r="9797" spans="1:14" x14ac:dyDescent="0.25">
      <c r="A9797" t="s">
        <v>17151</v>
      </c>
      <c r="B9797" t="s">
        <v>17152</v>
      </c>
      <c r="C9797" s="1" t="str">
        <f>HYPERLINK("http://www.genecards.org/cgi-bin/carddisp.pl?gene=TNFRSF4","GeneCards")</f>
        <v>GeneCards</v>
      </c>
      <c r="D9797" s="1" t="str">
        <f>HYPERLINK("http://genome-euro.ucsc.edu/cgi-bin/hgTracks?position=214228_x_at","UCSC")</f>
        <v>UCSC</v>
      </c>
      <c r="E9797" s="1" t="str">
        <f>HYPERLINK("http://www.ncbi.nlm.nih.gov/gene/?term=TNFRSF4","NCBI")</f>
        <v>NCBI</v>
      </c>
      <c r="F9797">
        <v>0.2</v>
      </c>
      <c r="G9797">
        <v>0.35</v>
      </c>
      <c r="H9797" s="1" t="str">
        <f>HYPERLINK("http://www.weizmann.ac.il/complex/compphys/software/geview/data/figures/214228_x_at.png","Figure")</f>
        <v>Figure</v>
      </c>
      <c r="I9797">
        <v>1.18</v>
      </c>
      <c r="J9797">
        <v>0.25</v>
      </c>
      <c r="K9797">
        <v>1.1499999999999999</v>
      </c>
      <c r="L9797">
        <v>0.27</v>
      </c>
      <c r="M9797">
        <v>0.97399999999999998</v>
      </c>
      <c r="N9797">
        <v>0.95</v>
      </c>
    </row>
    <row r="9798" spans="1:14" x14ac:dyDescent="0.25">
      <c r="A9798" t="s">
        <v>17153</v>
      </c>
      <c r="B9798" t="s">
        <v>4048</v>
      </c>
      <c r="C9798" s="1" t="str">
        <f>HYPERLINK("http://www.genecards.org/cgi-bin/carddisp.pl?gene=MIIP","GeneCards")</f>
        <v>GeneCards</v>
      </c>
      <c r="D9798" s="1" t="str">
        <f>HYPERLINK("http://genome-euro.ucsc.edu/cgi-bin/hgTracks?position=218551_at","UCSC")</f>
        <v>UCSC</v>
      </c>
      <c r="E9798" s="1" t="str">
        <f>HYPERLINK("http://www.ncbi.nlm.nih.gov/gene/?term=MIIP","NCBI")</f>
        <v>NCBI</v>
      </c>
      <c r="F9798">
        <v>0.2</v>
      </c>
      <c r="G9798">
        <v>0.35</v>
      </c>
      <c r="H9798" s="1" t="str">
        <f>HYPERLINK("http://www.weizmann.ac.il/complex/compphys/software/geview/data/figures/218551_at.png","Figure")</f>
        <v>Figure</v>
      </c>
      <c r="I9798">
        <v>1.21</v>
      </c>
      <c r="J9798">
        <v>0.18</v>
      </c>
      <c r="K9798">
        <v>1.1100000000000001</v>
      </c>
      <c r="L9798">
        <v>0.48</v>
      </c>
      <c r="M9798">
        <v>0.91800000000000004</v>
      </c>
      <c r="N9798">
        <v>0.65</v>
      </c>
    </row>
    <row r="9799" spans="1:14" x14ac:dyDescent="0.25">
      <c r="A9799" t="s">
        <v>17154</v>
      </c>
      <c r="B9799" t="s">
        <v>5827</v>
      </c>
      <c r="C9799" s="1" t="str">
        <f>HYPERLINK("http://www.genecards.org/cgi-bin/carddisp.pl?gene=SPG7","GeneCards")</f>
        <v>GeneCards</v>
      </c>
      <c r="D9799" s="1" t="str">
        <f>HYPERLINK("http://genome-euro.ucsc.edu/cgi-bin/hgTracks?position=202104_s_at","UCSC")</f>
        <v>UCSC</v>
      </c>
      <c r="E9799" s="1" t="str">
        <f>HYPERLINK("http://www.ncbi.nlm.nih.gov/gene/?term=SPG7","NCBI")</f>
        <v>NCBI</v>
      </c>
      <c r="F9799">
        <v>0.2</v>
      </c>
      <c r="G9799">
        <v>0.35</v>
      </c>
      <c r="H9799" s="1" t="str">
        <f>HYPERLINK("http://www.weizmann.ac.il/complex/compphys/software/geview/data/figures/202104_s_at.png","Figure")</f>
        <v>Figure</v>
      </c>
      <c r="I9799">
        <v>1.22</v>
      </c>
      <c r="J9799">
        <v>0.36</v>
      </c>
      <c r="K9799">
        <v>0.95499999999999996</v>
      </c>
      <c r="L9799">
        <v>0.93</v>
      </c>
      <c r="M9799">
        <v>0.78100000000000003</v>
      </c>
      <c r="N9799">
        <v>0.19</v>
      </c>
    </row>
    <row r="9800" spans="1:14" x14ac:dyDescent="0.25">
      <c r="A9800" t="s">
        <v>17155</v>
      </c>
      <c r="B9800" t="s">
        <v>7743</v>
      </c>
      <c r="C9800" s="1" t="str">
        <f>HYPERLINK("http://www.genecards.org/cgi-bin/carddisp.pl?gene=PDCD4","GeneCards")</f>
        <v>GeneCards</v>
      </c>
      <c r="D9800" s="1" t="str">
        <f>HYPERLINK("http://genome-euro.ucsc.edu/cgi-bin/hgTracks?position=202730_s_at","UCSC")</f>
        <v>UCSC</v>
      </c>
      <c r="E9800" s="1" t="str">
        <f>HYPERLINK("http://www.ncbi.nlm.nih.gov/gene/?term=PDCD4","NCBI")</f>
        <v>NCBI</v>
      </c>
      <c r="F9800">
        <v>0.2</v>
      </c>
      <c r="G9800">
        <v>0.35</v>
      </c>
      <c r="H9800" s="1" t="str">
        <f>HYPERLINK("http://www.weizmann.ac.il/complex/compphys/software/geview/data/figures/202730_s_at.png","Figure")</f>
        <v>Figure</v>
      </c>
      <c r="I9800">
        <v>1.07</v>
      </c>
      <c r="J9800">
        <v>0.87</v>
      </c>
      <c r="K9800">
        <v>0.85699999999999998</v>
      </c>
      <c r="L9800">
        <v>0.41</v>
      </c>
      <c r="M9800">
        <v>0.8</v>
      </c>
      <c r="N9800">
        <v>0.22</v>
      </c>
    </row>
    <row r="9801" spans="1:14" x14ac:dyDescent="0.25">
      <c r="A9801" t="s">
        <v>17156</v>
      </c>
      <c r="B9801" t="s">
        <v>11588</v>
      </c>
      <c r="C9801" s="1" t="str">
        <f>HYPERLINK("http://www.genecards.org/cgi-bin/carddisp.pl?gene=ACTR3","GeneCards")</f>
        <v>GeneCards</v>
      </c>
      <c r="D9801" s="1" t="str">
        <f>HYPERLINK("http://genome-euro.ucsc.edu/cgi-bin/hgTracks?position=200996_at","UCSC")</f>
        <v>UCSC</v>
      </c>
      <c r="E9801" s="1" t="str">
        <f>HYPERLINK("http://www.ncbi.nlm.nih.gov/gene/?term=ACTR3","NCBI")</f>
        <v>NCBI</v>
      </c>
      <c r="F9801">
        <v>0.2</v>
      </c>
      <c r="G9801">
        <v>0.35</v>
      </c>
      <c r="H9801" s="1" t="str">
        <f>HYPERLINK("http://www.weizmann.ac.il/complex/compphys/software/geview/data/figures/200996_at.png","Figure")</f>
        <v>Figure</v>
      </c>
      <c r="I9801">
        <v>0.9</v>
      </c>
      <c r="J9801">
        <v>0.83</v>
      </c>
      <c r="K9801">
        <v>1.22</v>
      </c>
      <c r="L9801">
        <v>0.44</v>
      </c>
      <c r="M9801">
        <v>1.36</v>
      </c>
      <c r="N9801">
        <v>0.21</v>
      </c>
    </row>
    <row r="9802" spans="1:14" x14ac:dyDescent="0.25">
      <c r="A9802" t="s">
        <v>17157</v>
      </c>
      <c r="B9802" t="s">
        <v>1751</v>
      </c>
      <c r="C9802" s="1" t="str">
        <f>HYPERLINK("http://www.genecards.org/cgi-bin/carddisp.pl?gene=HNRNPD","GeneCards")</f>
        <v>GeneCards</v>
      </c>
      <c r="D9802" s="1" t="str">
        <f>HYPERLINK("http://genome-euro.ucsc.edu/cgi-bin/hgTracks?position=200073_s_at","UCSC")</f>
        <v>UCSC</v>
      </c>
      <c r="E9802" s="1" t="str">
        <f>HYPERLINK("http://www.ncbi.nlm.nih.gov/gene/?term=HNRNPD","NCBI")</f>
        <v>NCBI</v>
      </c>
      <c r="F9802">
        <v>0.2</v>
      </c>
      <c r="G9802">
        <v>0.35</v>
      </c>
      <c r="H9802" s="1" t="str">
        <f>HYPERLINK("http://www.weizmann.ac.il/complex/compphys/software/geview/data/figures/200073_s_at.png","Figure")</f>
        <v>Figure</v>
      </c>
      <c r="I9802">
        <v>1.1000000000000001</v>
      </c>
      <c r="J9802">
        <v>0.54</v>
      </c>
      <c r="K9802">
        <v>1.1599999999999999</v>
      </c>
      <c r="L9802">
        <v>0.18</v>
      </c>
      <c r="M9802">
        <v>1.05</v>
      </c>
      <c r="N9802">
        <v>0.81</v>
      </c>
    </row>
    <row r="9803" spans="1:14" x14ac:dyDescent="0.25">
      <c r="A9803" t="s">
        <v>17158</v>
      </c>
      <c r="B9803" t="s">
        <v>17159</v>
      </c>
      <c r="C9803" s="1" t="str">
        <f>HYPERLINK("http://www.genecards.org/cgi-bin/carddisp.pl?gene=LRP6","GeneCards")</f>
        <v>GeneCards</v>
      </c>
      <c r="D9803" s="1" t="str">
        <f>HYPERLINK("http://genome-euro.ucsc.edu/cgi-bin/hgTracks?position=205606_at","UCSC")</f>
        <v>UCSC</v>
      </c>
      <c r="E9803" s="1" t="str">
        <f>HYPERLINK("http://www.ncbi.nlm.nih.gov/gene/?term=LRP6","NCBI")</f>
        <v>NCBI</v>
      </c>
      <c r="F9803">
        <v>0.2</v>
      </c>
      <c r="G9803">
        <v>0.35</v>
      </c>
      <c r="H9803" s="1" t="str">
        <f>HYPERLINK("http://www.weizmann.ac.il/complex/compphys/software/geview/data/figures/205606_at.png","Figure")</f>
        <v>Figure</v>
      </c>
      <c r="I9803">
        <v>1.21</v>
      </c>
      <c r="J9803">
        <v>0.18</v>
      </c>
      <c r="K9803">
        <v>1.1100000000000001</v>
      </c>
      <c r="L9803">
        <v>0.47</v>
      </c>
      <c r="M9803">
        <v>0.92</v>
      </c>
      <c r="N9803">
        <v>0.66</v>
      </c>
    </row>
    <row r="9804" spans="1:14" x14ac:dyDescent="0.25">
      <c r="A9804" t="s">
        <v>17160</v>
      </c>
      <c r="B9804" t="s">
        <v>17161</v>
      </c>
      <c r="C9804" s="1" t="str">
        <f>HYPERLINK("http://www.genecards.org/cgi-bin/carddisp.pl?gene=IFNA21","GeneCards")</f>
        <v>GeneCards</v>
      </c>
      <c r="D9804" s="1" t="str">
        <f>HYPERLINK("http://genome-euro.ucsc.edu/cgi-bin/hgTracks?position=211145_x_at","UCSC")</f>
        <v>UCSC</v>
      </c>
      <c r="E9804" s="1" t="str">
        <f>HYPERLINK("http://www.ncbi.nlm.nih.gov/gene/?term=IFNA21","NCBI")</f>
        <v>NCBI</v>
      </c>
      <c r="F9804">
        <v>0.2</v>
      </c>
      <c r="G9804">
        <v>0.35</v>
      </c>
      <c r="H9804" s="1" t="str">
        <f>HYPERLINK("http://www.weizmann.ac.il/complex/compphys/software/geview/data/figures/211145_x_at.png","Figure")</f>
        <v>Figure</v>
      </c>
      <c r="I9804">
        <v>1.1200000000000001</v>
      </c>
      <c r="J9804">
        <v>0.25</v>
      </c>
      <c r="K9804">
        <v>1</v>
      </c>
      <c r="L9804">
        <v>1</v>
      </c>
      <c r="M9804">
        <v>0.89800000000000002</v>
      </c>
      <c r="N9804">
        <v>0.24</v>
      </c>
    </row>
    <row r="9805" spans="1:14" x14ac:dyDescent="0.25">
      <c r="A9805" t="s">
        <v>17162</v>
      </c>
      <c r="B9805" t="s">
        <v>17163</v>
      </c>
      <c r="C9805" s="1" t="str">
        <f>HYPERLINK("http://www.genecards.org/cgi-bin/carddisp.pl?gene=PLA2G2A","GeneCards")</f>
        <v>GeneCards</v>
      </c>
      <c r="D9805" s="1" t="str">
        <f>HYPERLINK("http://genome-euro.ucsc.edu/cgi-bin/hgTracks?position=203649_s_at","UCSC")</f>
        <v>UCSC</v>
      </c>
      <c r="E9805" s="1" t="str">
        <f>HYPERLINK("http://www.ncbi.nlm.nih.gov/gene/?term=PLA2G2A","NCBI")</f>
        <v>NCBI</v>
      </c>
      <c r="F9805">
        <v>0.2</v>
      </c>
      <c r="G9805">
        <v>0.35</v>
      </c>
      <c r="H9805" s="1" t="str">
        <f>HYPERLINK("http://www.weizmann.ac.il/complex/compphys/software/geview/data/figures/203649_s_at.png","Figure")</f>
        <v>Figure</v>
      </c>
      <c r="I9805">
        <v>1.21</v>
      </c>
      <c r="J9805">
        <v>0.18</v>
      </c>
      <c r="K9805">
        <v>1.0900000000000001</v>
      </c>
      <c r="L9805">
        <v>0.6</v>
      </c>
      <c r="M9805">
        <v>0.9</v>
      </c>
      <c r="N9805">
        <v>0.52</v>
      </c>
    </row>
    <row r="9806" spans="1:14" x14ac:dyDescent="0.25">
      <c r="A9806" t="s">
        <v>17164</v>
      </c>
      <c r="B9806" t="s">
        <v>17165</v>
      </c>
      <c r="C9806" s="1" t="str">
        <f>HYPERLINK("http://www.genecards.org/cgi-bin/carddisp.pl?gene=CDC37L1","GeneCards")</f>
        <v>GeneCards</v>
      </c>
      <c r="D9806" s="1" t="str">
        <f>HYPERLINK("http://genome-euro.ucsc.edu/cgi-bin/hgTracks?position=219343_at","UCSC")</f>
        <v>UCSC</v>
      </c>
      <c r="E9806" s="1" t="str">
        <f>HYPERLINK("http://www.ncbi.nlm.nih.gov/gene/?term=CDC37L1","NCBI")</f>
        <v>NCBI</v>
      </c>
      <c r="F9806">
        <v>0.2</v>
      </c>
      <c r="G9806">
        <v>0.35</v>
      </c>
      <c r="H9806" s="1" t="str">
        <f>HYPERLINK("http://www.weizmann.ac.il/complex/compphys/software/geview/data/figures/219343_at.png","Figure")</f>
        <v>Figure</v>
      </c>
      <c r="I9806">
        <v>0.77900000000000003</v>
      </c>
      <c r="J9806">
        <v>0.28999999999999998</v>
      </c>
      <c r="K9806">
        <v>0.78700000000000003</v>
      </c>
      <c r="L9806">
        <v>0.23</v>
      </c>
      <c r="M9806">
        <v>1.01</v>
      </c>
      <c r="N9806">
        <v>1</v>
      </c>
    </row>
    <row r="9807" spans="1:14" x14ac:dyDescent="0.25">
      <c r="A9807" t="s">
        <v>17166</v>
      </c>
      <c r="B9807" t="s">
        <v>10874</v>
      </c>
      <c r="C9807" s="1" t="str">
        <f>HYPERLINK("http://www.genecards.org/cgi-bin/carddisp.pl?gene=C1orf50","GeneCards")</f>
        <v>GeneCards</v>
      </c>
      <c r="D9807" s="1" t="str">
        <f>HYPERLINK("http://genome-euro.ucsc.edu/cgi-bin/hgTracks?position=219406_at","UCSC")</f>
        <v>UCSC</v>
      </c>
      <c r="E9807" s="1" t="str">
        <f>HYPERLINK("http://www.ncbi.nlm.nih.gov/gene/?term=C1orf50","NCBI")</f>
        <v>NCBI</v>
      </c>
      <c r="F9807">
        <v>0.2</v>
      </c>
      <c r="G9807">
        <v>0.35</v>
      </c>
      <c r="H9807" s="1" t="str">
        <f>HYPERLINK("http://www.weizmann.ac.il/complex/compphys/software/geview/data/figures/219406_at.png","Figure")</f>
        <v>Figure</v>
      </c>
      <c r="I9807">
        <v>0.84499999999999997</v>
      </c>
      <c r="J9807">
        <v>0.23</v>
      </c>
      <c r="K9807">
        <v>0.876</v>
      </c>
      <c r="L9807">
        <v>0.3</v>
      </c>
      <c r="M9807">
        <v>1.04</v>
      </c>
      <c r="N9807">
        <v>0.91</v>
      </c>
    </row>
    <row r="9808" spans="1:14" x14ac:dyDescent="0.25">
      <c r="A9808" t="s">
        <v>17167</v>
      </c>
      <c r="B9808" t="s">
        <v>17168</v>
      </c>
      <c r="C9808" s="1" t="str">
        <f>HYPERLINK("http://www.genecards.org/cgi-bin/carddisp.pl?gene=PLCL2","GeneCards")</f>
        <v>GeneCards</v>
      </c>
      <c r="D9808" s="1" t="str">
        <f>HYPERLINK("http://genome-euro.ucsc.edu/cgi-bin/hgTracks?position=216218_s_at","UCSC")</f>
        <v>UCSC</v>
      </c>
      <c r="E9808" s="1" t="str">
        <f>HYPERLINK("http://www.ncbi.nlm.nih.gov/gene/?term=PLCL2","NCBI")</f>
        <v>NCBI</v>
      </c>
      <c r="F9808">
        <v>0.2</v>
      </c>
      <c r="G9808">
        <v>0.35</v>
      </c>
      <c r="H9808" s="1" t="str">
        <f>HYPERLINK("http://www.weizmann.ac.il/complex/compphys/software/geview/data/figures/216218_s_at.png","Figure")</f>
        <v>Figure</v>
      </c>
      <c r="I9808">
        <v>0.85699999999999998</v>
      </c>
      <c r="J9808">
        <v>0.2</v>
      </c>
      <c r="K9808">
        <v>0.96599999999999997</v>
      </c>
      <c r="L9808">
        <v>0.89</v>
      </c>
      <c r="M9808">
        <v>1.1299999999999999</v>
      </c>
      <c r="N9808">
        <v>0.32</v>
      </c>
    </row>
    <row r="9809" spans="1:14" x14ac:dyDescent="0.25">
      <c r="A9809" t="s">
        <v>17169</v>
      </c>
      <c r="B9809" t="s">
        <v>14039</v>
      </c>
      <c r="C9809" s="1" t="str">
        <f>HYPERLINK("http://www.genecards.org/cgi-bin/carddisp.pl?gene=NIPSNAP1","GeneCards")</f>
        <v>GeneCards</v>
      </c>
      <c r="D9809" s="1" t="str">
        <f>HYPERLINK("http://genome-euro.ucsc.edu/cgi-bin/hgTracks?position=201709_s_at","UCSC")</f>
        <v>UCSC</v>
      </c>
      <c r="E9809" s="1" t="str">
        <f>HYPERLINK("http://www.ncbi.nlm.nih.gov/gene/?term=NIPSNAP1","NCBI")</f>
        <v>NCBI</v>
      </c>
      <c r="F9809">
        <v>0.2</v>
      </c>
      <c r="G9809">
        <v>0.35</v>
      </c>
      <c r="H9809" s="1" t="str">
        <f>HYPERLINK("http://www.weizmann.ac.il/complex/compphys/software/geview/data/figures/201709_s_at.png","Figure")</f>
        <v>Figure</v>
      </c>
      <c r="I9809">
        <v>1.27</v>
      </c>
      <c r="J9809">
        <v>0.28999999999999998</v>
      </c>
      <c r="K9809">
        <v>1.25</v>
      </c>
      <c r="L9809">
        <v>0.24</v>
      </c>
      <c r="M9809">
        <v>0.98799999999999999</v>
      </c>
      <c r="N9809">
        <v>1</v>
      </c>
    </row>
    <row r="9810" spans="1:14" x14ac:dyDescent="0.25">
      <c r="A9810" t="s">
        <v>17170</v>
      </c>
      <c r="B9810" t="s">
        <v>17171</v>
      </c>
      <c r="C9810" s="1" t="str">
        <f>HYPERLINK("http://www.genecards.org/cgi-bin/carddisp.pl?gene=STXBP1","GeneCards")</f>
        <v>GeneCards</v>
      </c>
      <c r="D9810" s="1" t="str">
        <f>HYPERLINK("http://genome-euro.ucsc.edu/cgi-bin/hgTracks?position=202260_s_at","UCSC")</f>
        <v>UCSC</v>
      </c>
      <c r="E9810" s="1" t="str">
        <f>HYPERLINK("http://www.ncbi.nlm.nih.gov/gene/?term=STXBP1","NCBI")</f>
        <v>NCBI</v>
      </c>
      <c r="F9810">
        <v>0.2</v>
      </c>
      <c r="G9810">
        <v>0.35</v>
      </c>
      <c r="H9810" s="1" t="str">
        <f>HYPERLINK("http://www.weizmann.ac.il/complex/compphys/software/geview/data/figures/202260_s_at.png","Figure")</f>
        <v>Figure</v>
      </c>
      <c r="I9810">
        <v>0.83599999999999997</v>
      </c>
      <c r="J9810">
        <v>0.26</v>
      </c>
      <c r="K9810">
        <v>0.99399999999999999</v>
      </c>
      <c r="L9810">
        <v>1</v>
      </c>
      <c r="M9810">
        <v>1.19</v>
      </c>
      <c r="N9810">
        <v>0.23</v>
      </c>
    </row>
    <row r="9811" spans="1:14" x14ac:dyDescent="0.25">
      <c r="A9811" t="s">
        <v>17172</v>
      </c>
      <c r="B9811" t="s">
        <v>17173</v>
      </c>
      <c r="C9811" s="1" t="str">
        <f>HYPERLINK("http://www.genecards.org/cgi-bin/carddisp.pl?gene=RPL35","GeneCards")</f>
        <v>GeneCards</v>
      </c>
      <c r="D9811" s="1" t="str">
        <f>HYPERLINK("http://genome-euro.ucsc.edu/cgi-bin/hgTracks?position=200002_at","UCSC")</f>
        <v>UCSC</v>
      </c>
      <c r="E9811" s="1" t="str">
        <f>HYPERLINK("http://www.ncbi.nlm.nih.gov/gene/?term=RPL35","NCBI")</f>
        <v>NCBI</v>
      </c>
      <c r="F9811">
        <v>0.2</v>
      </c>
      <c r="G9811">
        <v>0.35</v>
      </c>
      <c r="H9811" s="1" t="str">
        <f>HYPERLINK("http://www.weizmann.ac.il/complex/compphys/software/geview/data/figures/200002_at.png","Figure")</f>
        <v>Figure</v>
      </c>
      <c r="I9811">
        <v>1.1000000000000001</v>
      </c>
      <c r="J9811">
        <v>0.94</v>
      </c>
      <c r="K9811">
        <v>1.55</v>
      </c>
      <c r="L9811">
        <v>0.22</v>
      </c>
      <c r="M9811">
        <v>1.41</v>
      </c>
      <c r="N9811">
        <v>0.42</v>
      </c>
    </row>
    <row r="9812" spans="1:14" x14ac:dyDescent="0.25">
      <c r="A9812" t="s">
        <v>17174</v>
      </c>
      <c r="B9812" t="s">
        <v>16172</v>
      </c>
      <c r="C9812" s="1" t="str">
        <f>HYPERLINK("http://www.genecards.org/cgi-bin/carddisp.pl?gene=PARVA","GeneCards")</f>
        <v>GeneCards</v>
      </c>
      <c r="D9812" s="1" t="str">
        <f>HYPERLINK("http://genome-euro.ucsc.edu/cgi-bin/hgTracks?position=215418_at","UCSC")</f>
        <v>UCSC</v>
      </c>
      <c r="E9812" s="1" t="str">
        <f>HYPERLINK("http://www.ncbi.nlm.nih.gov/gene/?term=PARVA","NCBI")</f>
        <v>NCBI</v>
      </c>
      <c r="F9812">
        <v>0.2</v>
      </c>
      <c r="G9812">
        <v>0.35</v>
      </c>
      <c r="H9812" s="1" t="str">
        <f>HYPERLINK("http://www.weizmann.ac.il/complex/compphys/software/geview/data/figures/215418_at.png","Figure")</f>
        <v>Figure</v>
      </c>
      <c r="I9812">
        <v>0.88800000000000001</v>
      </c>
      <c r="J9812">
        <v>0.2</v>
      </c>
      <c r="K9812">
        <v>0.97099999999999997</v>
      </c>
      <c r="L9812">
        <v>0.87</v>
      </c>
      <c r="M9812">
        <v>1.0900000000000001</v>
      </c>
      <c r="N9812">
        <v>0.33</v>
      </c>
    </row>
    <row r="9813" spans="1:14" x14ac:dyDescent="0.25">
      <c r="A9813" t="s">
        <v>17175</v>
      </c>
      <c r="B9813" t="s">
        <v>17176</v>
      </c>
      <c r="C9813" s="1" t="str">
        <f>HYPERLINK("http://www.genecards.org/cgi-bin/carddisp.pl?gene=SCYL2","GeneCards")</f>
        <v>GeneCards</v>
      </c>
      <c r="D9813" s="1" t="str">
        <f>HYPERLINK("http://genome-euro.ucsc.edu/cgi-bin/hgTracks?position=221220_s_at","UCSC")</f>
        <v>UCSC</v>
      </c>
      <c r="E9813" s="1" t="str">
        <f>HYPERLINK("http://www.ncbi.nlm.nih.gov/gene/?term=SCYL2","NCBI")</f>
        <v>NCBI</v>
      </c>
      <c r="F9813">
        <v>0.2</v>
      </c>
      <c r="G9813">
        <v>0.35</v>
      </c>
      <c r="H9813" s="1" t="str">
        <f>HYPERLINK("http://www.weizmann.ac.il/complex/compphys/software/geview/data/figures/221220_s_at.png","Figure")</f>
        <v>Figure</v>
      </c>
      <c r="I9813">
        <v>0.91</v>
      </c>
      <c r="J9813">
        <v>0.92</v>
      </c>
      <c r="K9813">
        <v>0.68400000000000005</v>
      </c>
      <c r="L9813">
        <v>0.21</v>
      </c>
      <c r="M9813">
        <v>0.752</v>
      </c>
      <c r="N9813">
        <v>0.44</v>
      </c>
    </row>
    <row r="9814" spans="1:14" x14ac:dyDescent="0.25">
      <c r="A9814" t="s">
        <v>17177</v>
      </c>
      <c r="B9814" t="s">
        <v>17178</v>
      </c>
      <c r="C9814" s="1" t="str">
        <f>HYPERLINK("http://www.genecards.org/cgi-bin/carddisp.pl?gene=RASSF1","GeneCards")</f>
        <v>GeneCards</v>
      </c>
      <c r="D9814" s="1" t="str">
        <f>HYPERLINK("http://genome-euro.ucsc.edu/cgi-bin/hgTracks?position=204346_s_at","UCSC")</f>
        <v>UCSC</v>
      </c>
      <c r="E9814" s="1" t="str">
        <f>HYPERLINK("http://www.ncbi.nlm.nih.gov/gene/?term=RASSF1","NCBI")</f>
        <v>NCBI</v>
      </c>
      <c r="F9814">
        <v>0.2</v>
      </c>
      <c r="G9814">
        <v>0.35</v>
      </c>
      <c r="H9814" s="1" t="str">
        <f>HYPERLINK("http://www.weizmann.ac.il/complex/compphys/software/geview/data/figures/204346_s_at.png","Figure")</f>
        <v>Figure</v>
      </c>
      <c r="I9814">
        <v>1.2</v>
      </c>
      <c r="J9814">
        <v>0.19</v>
      </c>
      <c r="K9814">
        <v>1.1200000000000001</v>
      </c>
      <c r="L9814">
        <v>0.42</v>
      </c>
      <c r="M9814">
        <v>0.93200000000000005</v>
      </c>
      <c r="N9814">
        <v>0.73</v>
      </c>
    </row>
    <row r="9815" spans="1:14" x14ac:dyDescent="0.25">
      <c r="A9815" t="s">
        <v>17179</v>
      </c>
      <c r="B9815" t="s">
        <v>17180</v>
      </c>
      <c r="C9815" s="1" t="str">
        <f>HYPERLINK("http://www.genecards.org/cgi-bin/carddisp.pl?gene=PFDN2","GeneCards")</f>
        <v>GeneCards</v>
      </c>
      <c r="D9815" s="1" t="str">
        <f>HYPERLINK("http://genome-euro.ucsc.edu/cgi-bin/hgTracks?position=218336_at","UCSC")</f>
        <v>UCSC</v>
      </c>
      <c r="E9815" s="1" t="str">
        <f>HYPERLINK("http://www.ncbi.nlm.nih.gov/gene/?term=PFDN2","NCBI")</f>
        <v>NCBI</v>
      </c>
      <c r="F9815">
        <v>0.2</v>
      </c>
      <c r="G9815">
        <v>0.35</v>
      </c>
      <c r="H9815" s="1" t="str">
        <f>HYPERLINK("http://www.weizmann.ac.il/complex/compphys/software/geview/data/figures/218336_at.png","Figure")</f>
        <v>Figure</v>
      </c>
      <c r="I9815">
        <v>1.17</v>
      </c>
      <c r="J9815">
        <v>0.21</v>
      </c>
      <c r="K9815">
        <v>1.1100000000000001</v>
      </c>
      <c r="L9815">
        <v>0.35</v>
      </c>
      <c r="M9815">
        <v>0.95499999999999996</v>
      </c>
      <c r="N9815">
        <v>0.83</v>
      </c>
    </row>
    <row r="9816" spans="1:14" x14ac:dyDescent="0.25">
      <c r="A9816" t="s">
        <v>17181</v>
      </c>
      <c r="B9816" t="s">
        <v>17182</v>
      </c>
      <c r="C9816" s="1" t="str">
        <f>HYPERLINK("http://www.genecards.org/cgi-bin/carddisp.pl?gene=EHBP1L1","GeneCards")</f>
        <v>GeneCards</v>
      </c>
      <c r="D9816" s="1" t="str">
        <f>HYPERLINK("http://genome-euro.ucsc.edu/cgi-bin/hgTracks?position=221755_at","UCSC")</f>
        <v>UCSC</v>
      </c>
      <c r="E9816" s="1" t="str">
        <f>HYPERLINK("http://www.ncbi.nlm.nih.gov/gene/?term=EHBP1L1","NCBI")</f>
        <v>NCBI</v>
      </c>
      <c r="F9816">
        <v>0.2</v>
      </c>
      <c r="G9816">
        <v>0.35</v>
      </c>
      <c r="H9816" s="1" t="str">
        <f>HYPERLINK("http://www.weizmann.ac.il/complex/compphys/software/geview/data/figures/221755_at.png","Figure")</f>
        <v>Figure</v>
      </c>
      <c r="I9816">
        <v>1.56</v>
      </c>
      <c r="J9816">
        <v>0.24</v>
      </c>
      <c r="K9816">
        <v>1.44</v>
      </c>
      <c r="L9816">
        <v>0.28999999999999998</v>
      </c>
      <c r="M9816">
        <v>0.91900000000000004</v>
      </c>
      <c r="N9816">
        <v>0.94</v>
      </c>
    </row>
    <row r="9817" spans="1:14" x14ac:dyDescent="0.25">
      <c r="A9817" t="s">
        <v>17183</v>
      </c>
      <c r="B9817" t="s">
        <v>15186</v>
      </c>
      <c r="C9817" s="1" t="str">
        <f>HYPERLINK("http://www.genecards.org/cgi-bin/carddisp.pl?gene=SMARCC1","GeneCards")</f>
        <v>GeneCards</v>
      </c>
      <c r="D9817" s="1" t="str">
        <f>HYPERLINK("http://genome-euro.ucsc.edu/cgi-bin/hgTracks?position=201072_s_at","UCSC")</f>
        <v>UCSC</v>
      </c>
      <c r="E9817" s="1" t="str">
        <f>HYPERLINK("http://www.ncbi.nlm.nih.gov/gene/?term=SMARCC1","NCBI")</f>
        <v>NCBI</v>
      </c>
      <c r="F9817">
        <v>0.2</v>
      </c>
      <c r="G9817">
        <v>0.35</v>
      </c>
      <c r="H9817" s="1" t="str">
        <f>HYPERLINK("http://www.weizmann.ac.il/complex/compphys/software/geview/data/figures/201072_s_at.png","Figure")</f>
        <v>Figure</v>
      </c>
      <c r="I9817">
        <v>1.36</v>
      </c>
      <c r="J9817">
        <v>0.19</v>
      </c>
      <c r="K9817">
        <v>1.21</v>
      </c>
      <c r="L9817">
        <v>0.4</v>
      </c>
      <c r="M9817">
        <v>0.89200000000000002</v>
      </c>
      <c r="N9817">
        <v>0.75</v>
      </c>
    </row>
    <row r="9818" spans="1:14" x14ac:dyDescent="0.25">
      <c r="A9818" t="s">
        <v>17184</v>
      </c>
      <c r="B9818" t="s">
        <v>15750</v>
      </c>
      <c r="C9818" s="1" t="str">
        <f>HYPERLINK("http://www.genecards.org/cgi-bin/carddisp.pl?gene=SIGLEC6","GeneCards")</f>
        <v>GeneCards</v>
      </c>
      <c r="D9818" s="1" t="str">
        <f>HYPERLINK("http://genome-euro.ucsc.edu/cgi-bin/hgTracks?position=210796_x_at","UCSC")</f>
        <v>UCSC</v>
      </c>
      <c r="E9818" s="1" t="str">
        <f>HYPERLINK("http://www.ncbi.nlm.nih.gov/gene/?term=SIGLEC6","NCBI")</f>
        <v>NCBI</v>
      </c>
      <c r="F9818">
        <v>0.2</v>
      </c>
      <c r="G9818">
        <v>0.35</v>
      </c>
      <c r="H9818" s="1" t="str">
        <f>HYPERLINK("http://www.weizmann.ac.il/complex/compphys/software/geview/data/figures/210796_x_at.png","Figure")</f>
        <v>Figure</v>
      </c>
      <c r="I9818">
        <v>1.1299999999999999</v>
      </c>
      <c r="J9818">
        <v>0.26</v>
      </c>
      <c r="K9818">
        <v>1</v>
      </c>
      <c r="L9818">
        <v>1</v>
      </c>
      <c r="M9818">
        <v>0.88700000000000001</v>
      </c>
      <c r="N9818">
        <v>0.23</v>
      </c>
    </row>
    <row r="9819" spans="1:14" x14ac:dyDescent="0.25">
      <c r="A9819" t="s">
        <v>17185</v>
      </c>
      <c r="B9819" t="s">
        <v>17186</v>
      </c>
      <c r="C9819" s="1" t="str">
        <f>HYPERLINK("http://www.genecards.org/cgi-bin/carddisp.pl?gene=PFKP","GeneCards")</f>
        <v>GeneCards</v>
      </c>
      <c r="D9819" s="1" t="str">
        <f>HYPERLINK("http://genome-euro.ucsc.edu/cgi-bin/hgTracks?position=201037_at","UCSC")</f>
        <v>UCSC</v>
      </c>
      <c r="E9819" s="1" t="str">
        <f>HYPERLINK("http://www.ncbi.nlm.nih.gov/gene/?term=PFKP","NCBI")</f>
        <v>NCBI</v>
      </c>
      <c r="F9819">
        <v>0.2</v>
      </c>
      <c r="G9819">
        <v>0.35</v>
      </c>
      <c r="H9819" s="1" t="str">
        <f>HYPERLINK("http://www.weizmann.ac.il/complex/compphys/software/geview/data/figures/201037_at.png","Figure")</f>
        <v>Figure</v>
      </c>
      <c r="I9819">
        <v>1.58</v>
      </c>
      <c r="J9819">
        <v>0.18</v>
      </c>
      <c r="K9819">
        <v>1.26</v>
      </c>
      <c r="L9819">
        <v>0.53</v>
      </c>
      <c r="M9819">
        <v>0.79800000000000004</v>
      </c>
      <c r="N9819">
        <v>0.59</v>
      </c>
    </row>
    <row r="9820" spans="1:14" x14ac:dyDescent="0.25">
      <c r="A9820" t="s">
        <v>17187</v>
      </c>
      <c r="B9820" t="s">
        <v>17188</v>
      </c>
      <c r="C9820" s="1" t="str">
        <f>HYPERLINK("http://www.genecards.org/cgi-bin/carddisp.pl?gene=CAPN7","GeneCards")</f>
        <v>GeneCards</v>
      </c>
      <c r="D9820" s="1" t="str">
        <f>HYPERLINK("http://genome-euro.ucsc.edu/cgi-bin/hgTracks?position=203356_at","UCSC")</f>
        <v>UCSC</v>
      </c>
      <c r="E9820" s="1" t="str">
        <f>HYPERLINK("http://www.ncbi.nlm.nih.gov/gene/?term=CAPN7","NCBI")</f>
        <v>NCBI</v>
      </c>
      <c r="F9820">
        <v>0.2</v>
      </c>
      <c r="G9820">
        <v>0.35</v>
      </c>
      <c r="H9820" s="1" t="str">
        <f>HYPERLINK("http://www.weizmann.ac.il/complex/compphys/software/geview/data/figures/203356_at.png","Figure")</f>
        <v>Figure</v>
      </c>
      <c r="I9820">
        <v>0.77600000000000002</v>
      </c>
      <c r="J9820">
        <v>0.47</v>
      </c>
      <c r="K9820">
        <v>0.70899999999999996</v>
      </c>
      <c r="L9820">
        <v>0.19</v>
      </c>
      <c r="M9820">
        <v>0.91300000000000003</v>
      </c>
      <c r="N9820">
        <v>0.89</v>
      </c>
    </row>
    <row r="9821" spans="1:14" x14ac:dyDescent="0.25">
      <c r="A9821" t="s">
        <v>17189</v>
      </c>
      <c r="B9821" t="s">
        <v>2533</v>
      </c>
      <c r="C9821" s="1" t="str">
        <f>HYPERLINK("http://www.genecards.org/cgi-bin/carddisp.pl?gene=MAPK8IP2","GeneCards")</f>
        <v>GeneCards</v>
      </c>
      <c r="D9821" s="1" t="str">
        <f>HYPERLINK("http://genome-euro.ucsc.edu/cgi-bin/hgTracks?position=205050_s_at","UCSC")</f>
        <v>UCSC</v>
      </c>
      <c r="E9821" s="1" t="str">
        <f>HYPERLINK("http://www.ncbi.nlm.nih.gov/gene/?term=MAPK8IP2","NCBI")</f>
        <v>NCBI</v>
      </c>
      <c r="F9821">
        <v>0.2</v>
      </c>
      <c r="G9821">
        <v>0.35</v>
      </c>
      <c r="H9821" s="1" t="str">
        <f>HYPERLINK("http://www.weizmann.ac.il/complex/compphys/software/geview/data/figures/205050_s_at.png","Figure")</f>
        <v>Figure</v>
      </c>
      <c r="I9821">
        <v>1.31</v>
      </c>
      <c r="J9821">
        <v>0.3</v>
      </c>
      <c r="K9821">
        <v>1.3</v>
      </c>
      <c r="L9821">
        <v>0.23</v>
      </c>
      <c r="M9821">
        <v>0.99299999999999999</v>
      </c>
      <c r="N9821">
        <v>1</v>
      </c>
    </row>
    <row r="9822" spans="1:14" x14ac:dyDescent="0.25">
      <c r="A9822" t="s">
        <v>17190</v>
      </c>
      <c r="B9822" t="s">
        <v>17191</v>
      </c>
      <c r="C9822" s="1" t="str">
        <f>HYPERLINK("http://www.genecards.org/cgi-bin/carddisp.pl?gene=F10","GeneCards")</f>
        <v>GeneCards</v>
      </c>
      <c r="D9822" s="1" t="str">
        <f>HYPERLINK("http://genome-euro.ucsc.edu/cgi-bin/hgTracks?position=205620_at","UCSC")</f>
        <v>UCSC</v>
      </c>
      <c r="E9822" s="1" t="str">
        <f>HYPERLINK("http://www.ncbi.nlm.nih.gov/gene/?term=F10","NCBI")</f>
        <v>NCBI</v>
      </c>
      <c r="F9822">
        <v>0.2</v>
      </c>
      <c r="G9822">
        <v>0.35</v>
      </c>
      <c r="H9822" s="1" t="str">
        <f>HYPERLINK("http://www.weizmann.ac.il/complex/compphys/software/geview/data/figures/205620_at.png","Figure")</f>
        <v>Figure</v>
      </c>
      <c r="I9822">
        <v>1.0900000000000001</v>
      </c>
      <c r="J9822">
        <v>0.2</v>
      </c>
      <c r="K9822">
        <v>1.06</v>
      </c>
      <c r="L9822">
        <v>0.37</v>
      </c>
      <c r="M9822">
        <v>0.97199999999999998</v>
      </c>
      <c r="N9822">
        <v>0.8</v>
      </c>
    </row>
    <row r="9823" spans="1:14" x14ac:dyDescent="0.25">
      <c r="A9823" t="s">
        <v>17192</v>
      </c>
      <c r="B9823" t="s">
        <v>8748</v>
      </c>
      <c r="C9823" s="1" t="str">
        <f>HYPERLINK("http://www.genecards.org/cgi-bin/carddisp.pl?gene=ARSD","GeneCards")</f>
        <v>GeneCards</v>
      </c>
      <c r="D9823" s="1" t="str">
        <f>HYPERLINK("http://genome-euro.ucsc.edu/cgi-bin/hgTracks?position=207784_at","UCSC")</f>
        <v>UCSC</v>
      </c>
      <c r="E9823" s="1" t="str">
        <f>HYPERLINK("http://www.ncbi.nlm.nih.gov/gene/?term=ARSD","NCBI")</f>
        <v>NCBI</v>
      </c>
      <c r="F9823">
        <v>0.2</v>
      </c>
      <c r="G9823">
        <v>0.35</v>
      </c>
      <c r="H9823" s="1" t="str">
        <f>HYPERLINK("http://www.weizmann.ac.il/complex/compphys/software/geview/data/figures/207784_at.png","Figure")</f>
        <v>Figure</v>
      </c>
      <c r="I9823">
        <v>1.19</v>
      </c>
      <c r="J9823">
        <v>0.2</v>
      </c>
      <c r="K9823">
        <v>1.1200000000000001</v>
      </c>
      <c r="L9823">
        <v>0.39</v>
      </c>
      <c r="M9823">
        <v>0.94099999999999995</v>
      </c>
      <c r="N9823">
        <v>0.77</v>
      </c>
    </row>
    <row r="9824" spans="1:14" x14ac:dyDescent="0.25">
      <c r="A9824" t="s">
        <v>17193</v>
      </c>
      <c r="B9824" t="s">
        <v>14156</v>
      </c>
      <c r="C9824" s="1" t="str">
        <f>HYPERLINK("http://www.genecards.org/cgi-bin/carddisp.pl?gene=DDAH2","GeneCards")</f>
        <v>GeneCards</v>
      </c>
      <c r="D9824" s="1" t="str">
        <f>HYPERLINK("http://genome-euro.ucsc.edu/cgi-bin/hgTracks?position=215537_x_at","UCSC")</f>
        <v>UCSC</v>
      </c>
      <c r="E9824" s="1" t="str">
        <f>HYPERLINK("http://www.ncbi.nlm.nih.gov/gene/?term=DDAH2","NCBI")</f>
        <v>NCBI</v>
      </c>
      <c r="F9824">
        <v>0.2</v>
      </c>
      <c r="G9824">
        <v>0.35</v>
      </c>
      <c r="H9824" s="1" t="str">
        <f>HYPERLINK("http://www.weizmann.ac.il/complex/compphys/software/geview/data/figures/215537_x_at.png","Figure")</f>
        <v>Figure</v>
      </c>
      <c r="I9824">
        <v>0.78300000000000003</v>
      </c>
      <c r="J9824">
        <v>0.59</v>
      </c>
      <c r="K9824">
        <v>1.21</v>
      </c>
      <c r="L9824">
        <v>0.66</v>
      </c>
      <c r="M9824">
        <v>1.54</v>
      </c>
      <c r="N9824">
        <v>0.18</v>
      </c>
    </row>
    <row r="9825" spans="1:14" x14ac:dyDescent="0.25">
      <c r="A9825" t="s">
        <v>17194</v>
      </c>
      <c r="B9825" t="s">
        <v>17195</v>
      </c>
      <c r="C9825" s="1" t="str">
        <f>HYPERLINK("http://www.genecards.org/cgi-bin/carddisp.pl?gene=PGAP1","GeneCards")</f>
        <v>GeneCards</v>
      </c>
      <c r="D9825" s="1" t="str">
        <f>HYPERLINK("http://genome-euro.ucsc.edu/cgi-bin/hgTracks?position=220576_at","UCSC")</f>
        <v>UCSC</v>
      </c>
      <c r="E9825" s="1" t="str">
        <f>HYPERLINK("http://www.ncbi.nlm.nih.gov/gene/?term=PGAP1","NCBI")</f>
        <v>NCBI</v>
      </c>
      <c r="F9825">
        <v>0.2</v>
      </c>
      <c r="G9825">
        <v>0.35</v>
      </c>
      <c r="H9825" s="1" t="str">
        <f>HYPERLINK("http://www.weizmann.ac.il/complex/compphys/software/geview/data/figures/220576_at.png","Figure")</f>
        <v>Figure</v>
      </c>
      <c r="I9825">
        <v>1</v>
      </c>
      <c r="J9825">
        <v>1</v>
      </c>
      <c r="K9825">
        <v>0.85499999999999998</v>
      </c>
      <c r="L9825">
        <v>0.27</v>
      </c>
      <c r="M9825">
        <v>0.85499999999999998</v>
      </c>
      <c r="N9825">
        <v>0.31</v>
      </c>
    </row>
    <row r="9826" spans="1:14" x14ac:dyDescent="0.25">
      <c r="A9826" t="s">
        <v>17196</v>
      </c>
      <c r="B9826" t="s">
        <v>17197</v>
      </c>
      <c r="C9826" s="1" t="str">
        <f>HYPERLINK("http://www.genecards.org/cgi-bin/carddisp.pl?gene=MACROD1","GeneCards")</f>
        <v>GeneCards</v>
      </c>
      <c r="D9826" s="1" t="str">
        <f>HYPERLINK("http://genome-euro.ucsc.edu/cgi-bin/hgTracks?position=219188_s_at","UCSC")</f>
        <v>UCSC</v>
      </c>
      <c r="E9826" s="1" t="str">
        <f>HYPERLINK("http://www.ncbi.nlm.nih.gov/gene/?term=MACROD1","NCBI")</f>
        <v>NCBI</v>
      </c>
      <c r="F9826">
        <v>0.2</v>
      </c>
      <c r="G9826">
        <v>0.35</v>
      </c>
      <c r="H9826" s="1" t="str">
        <f>HYPERLINK("http://www.weizmann.ac.il/complex/compphys/software/geview/data/figures/219188_s_at.png","Figure")</f>
        <v>Figure</v>
      </c>
      <c r="I9826">
        <v>1.07</v>
      </c>
      <c r="J9826">
        <v>0.87</v>
      </c>
      <c r="K9826">
        <v>1.24</v>
      </c>
      <c r="L9826">
        <v>0.2</v>
      </c>
      <c r="M9826">
        <v>1.1599999999999999</v>
      </c>
      <c r="N9826">
        <v>0.49</v>
      </c>
    </row>
    <row r="9827" spans="1:14" x14ac:dyDescent="0.25">
      <c r="A9827" t="s">
        <v>17198</v>
      </c>
      <c r="B9827" t="s">
        <v>17199</v>
      </c>
      <c r="C9827" s="1" t="str">
        <f>HYPERLINK("http://www.genecards.org/cgi-bin/carddisp.pl?gene=CHST11","GeneCards")</f>
        <v>GeneCards</v>
      </c>
      <c r="D9827" s="1" t="str">
        <f>HYPERLINK("http://genome-euro.ucsc.edu/cgi-bin/hgTracks?position=219634_at","UCSC")</f>
        <v>UCSC</v>
      </c>
      <c r="E9827" s="1" t="str">
        <f>HYPERLINK("http://www.ncbi.nlm.nih.gov/gene/?term=CHST11","NCBI")</f>
        <v>NCBI</v>
      </c>
      <c r="F9827">
        <v>0.2</v>
      </c>
      <c r="G9827">
        <v>0.35</v>
      </c>
      <c r="H9827" s="1" t="str">
        <f>HYPERLINK("http://www.weizmann.ac.il/complex/compphys/software/geview/data/figures/219634_at.png","Figure")</f>
        <v>Figure</v>
      </c>
      <c r="I9827">
        <v>1.05</v>
      </c>
      <c r="J9827">
        <v>0.99</v>
      </c>
      <c r="K9827">
        <v>0.65400000000000003</v>
      </c>
      <c r="L9827">
        <v>0.3</v>
      </c>
      <c r="M9827">
        <v>0.623</v>
      </c>
      <c r="N9827">
        <v>0.28000000000000003</v>
      </c>
    </row>
    <row r="9828" spans="1:14" x14ac:dyDescent="0.25">
      <c r="A9828" t="s">
        <v>17200</v>
      </c>
      <c r="B9828" t="s">
        <v>13568</v>
      </c>
      <c r="C9828" s="1" t="str">
        <f>HYPERLINK("http://www.genecards.org/cgi-bin/carddisp.pl?gene=THY1","GeneCards")</f>
        <v>GeneCards</v>
      </c>
      <c r="D9828" s="1" t="str">
        <f>HYPERLINK("http://genome-euro.ucsc.edu/cgi-bin/hgTracks?position=208850_s_at","UCSC")</f>
        <v>UCSC</v>
      </c>
      <c r="E9828" s="1" t="str">
        <f>HYPERLINK("http://www.ncbi.nlm.nih.gov/gene/?term=THY1","NCBI")</f>
        <v>NCBI</v>
      </c>
      <c r="F9828">
        <v>0.2</v>
      </c>
      <c r="G9828">
        <v>0.35</v>
      </c>
      <c r="H9828" s="1" t="str">
        <f>HYPERLINK("http://www.weizmann.ac.il/complex/compphys/software/geview/data/figures/208850_s_at.png","Figure")</f>
        <v>Figure</v>
      </c>
      <c r="I9828">
        <v>0.95</v>
      </c>
      <c r="J9828">
        <v>0.64</v>
      </c>
      <c r="K9828">
        <v>0.91200000000000003</v>
      </c>
      <c r="L9828">
        <v>0.18</v>
      </c>
      <c r="M9828">
        <v>0.96</v>
      </c>
      <c r="N9828">
        <v>0.72</v>
      </c>
    </row>
    <row r="9829" spans="1:14" x14ac:dyDescent="0.25">
      <c r="A9829" t="s">
        <v>17201</v>
      </c>
      <c r="B9829" t="s">
        <v>17202</v>
      </c>
      <c r="C9829" s="1" t="str">
        <f>HYPERLINK("http://www.genecards.org/cgi-bin/carddisp.pl?gene=TMCC1","GeneCards")</f>
        <v>GeneCards</v>
      </c>
      <c r="D9829" s="1" t="str">
        <f>HYPERLINK("http://genome-euro.ucsc.edu/cgi-bin/hgTracks?position=213351_s_at","UCSC")</f>
        <v>UCSC</v>
      </c>
      <c r="E9829" s="1" t="str">
        <f>HYPERLINK("http://www.ncbi.nlm.nih.gov/gene/?term=TMCC1","NCBI")</f>
        <v>NCBI</v>
      </c>
      <c r="F9829">
        <v>0.2</v>
      </c>
      <c r="G9829">
        <v>0.35</v>
      </c>
      <c r="H9829" s="1" t="str">
        <f>HYPERLINK("http://www.weizmann.ac.il/complex/compphys/software/geview/data/figures/213351_s_at.png","Figure")</f>
        <v>Figure</v>
      </c>
      <c r="I9829">
        <v>0.80400000000000005</v>
      </c>
      <c r="J9829">
        <v>0.34</v>
      </c>
      <c r="K9829">
        <v>0.79100000000000004</v>
      </c>
      <c r="L9829">
        <v>0.21</v>
      </c>
      <c r="M9829">
        <v>0.98399999999999999</v>
      </c>
      <c r="N9829">
        <v>0.99</v>
      </c>
    </row>
    <row r="9830" spans="1:14" x14ac:dyDescent="0.25">
      <c r="A9830" t="s">
        <v>17203</v>
      </c>
      <c r="B9830" t="s">
        <v>17204</v>
      </c>
      <c r="C9830" s="1" t="str">
        <f>HYPERLINK("http://www.genecards.org/cgi-bin/carddisp.pl?gene=IPO5","GeneCards")</f>
        <v>GeneCards</v>
      </c>
      <c r="D9830" s="1" t="str">
        <f>HYPERLINK("http://genome-euro.ucsc.edu/cgi-bin/hgTracks?position=211953_s_at","UCSC")</f>
        <v>UCSC</v>
      </c>
      <c r="E9830" s="1" t="str">
        <f>HYPERLINK("http://www.ncbi.nlm.nih.gov/gene/?term=IPO5","NCBI")</f>
        <v>NCBI</v>
      </c>
      <c r="F9830">
        <v>0.2</v>
      </c>
      <c r="G9830">
        <v>0.35</v>
      </c>
      <c r="H9830" s="1" t="str">
        <f>HYPERLINK("http://www.weizmann.ac.il/complex/compphys/software/geview/data/figures/211953_s_at.png","Figure")</f>
        <v>Figure</v>
      </c>
      <c r="I9830">
        <v>0.626</v>
      </c>
      <c r="J9830">
        <v>0.21</v>
      </c>
      <c r="K9830">
        <v>0.72</v>
      </c>
      <c r="L9830">
        <v>0.35</v>
      </c>
      <c r="M9830">
        <v>1.1499999999999999</v>
      </c>
      <c r="N9830">
        <v>0.84</v>
      </c>
    </row>
    <row r="9831" spans="1:14" x14ac:dyDescent="0.25">
      <c r="A9831" t="s">
        <v>17205</v>
      </c>
      <c r="B9831" t="s">
        <v>17206</v>
      </c>
      <c r="C9831" s="1" t="str">
        <f>HYPERLINK("http://www.genecards.org/cgi-bin/carddisp.pl?gene=POGK","GeneCards")</f>
        <v>GeneCards</v>
      </c>
      <c r="D9831" s="1" t="str">
        <f>HYPERLINK("http://genome-euro.ucsc.edu/cgi-bin/hgTracks?position=218229_s_at","UCSC")</f>
        <v>UCSC</v>
      </c>
      <c r="E9831" s="1" t="str">
        <f>HYPERLINK("http://www.ncbi.nlm.nih.gov/gene/?term=POGK","NCBI")</f>
        <v>NCBI</v>
      </c>
      <c r="F9831">
        <v>0.2</v>
      </c>
      <c r="G9831">
        <v>0.35</v>
      </c>
      <c r="H9831" s="1" t="str">
        <f>HYPERLINK("http://www.weizmann.ac.il/complex/compphys/software/geview/data/figures/218229_s_at.png","Figure")</f>
        <v>Figure</v>
      </c>
      <c r="I9831">
        <v>1.02</v>
      </c>
      <c r="J9831">
        <v>0.99</v>
      </c>
      <c r="K9831">
        <v>1.29</v>
      </c>
      <c r="L9831">
        <v>0.25</v>
      </c>
      <c r="M9831">
        <v>1.27</v>
      </c>
      <c r="N9831">
        <v>0.34</v>
      </c>
    </row>
    <row r="9832" spans="1:14" x14ac:dyDescent="0.25">
      <c r="A9832" t="s">
        <v>17207</v>
      </c>
      <c r="B9832" t="s">
        <v>17208</v>
      </c>
      <c r="C9832" s="1" t="str">
        <f>HYPERLINK("http://www.genecards.org/cgi-bin/carddisp.pl?gene=GPR45","GeneCards")</f>
        <v>GeneCards</v>
      </c>
      <c r="D9832" s="1" t="str">
        <f>HYPERLINK("http://genome-euro.ucsc.edu/cgi-bin/hgTracks?position=211175_at","UCSC")</f>
        <v>UCSC</v>
      </c>
      <c r="E9832" s="1" t="str">
        <f>HYPERLINK("http://www.ncbi.nlm.nih.gov/gene/?term=GPR45","NCBI")</f>
        <v>NCBI</v>
      </c>
      <c r="F9832">
        <v>0.2</v>
      </c>
      <c r="G9832">
        <v>0.35</v>
      </c>
      <c r="H9832" s="1" t="str">
        <f>HYPERLINK("http://www.weizmann.ac.il/complex/compphys/software/geview/data/figures/211175_at.png","Figure")</f>
        <v>Figure</v>
      </c>
      <c r="I9832">
        <v>1.1399999999999999</v>
      </c>
      <c r="J9832">
        <v>0.23</v>
      </c>
      <c r="K9832">
        <v>1.1100000000000001</v>
      </c>
      <c r="L9832">
        <v>0.3</v>
      </c>
      <c r="M9832">
        <v>0.97299999999999998</v>
      </c>
      <c r="N9832">
        <v>0.92</v>
      </c>
    </row>
    <row r="9833" spans="1:14" x14ac:dyDescent="0.25">
      <c r="A9833" t="s">
        <v>17209</v>
      </c>
      <c r="B9833" t="s">
        <v>17210</v>
      </c>
      <c r="C9833" s="1" t="str">
        <f>HYPERLINK("http://www.genecards.org/cgi-bin/carddisp.pl?gene=PEX26","GeneCards")</f>
        <v>GeneCards</v>
      </c>
      <c r="D9833" s="1" t="str">
        <f>HYPERLINK("http://genome-euro.ucsc.edu/cgi-bin/hgTracks?position=219180_s_at","UCSC")</f>
        <v>UCSC</v>
      </c>
      <c r="E9833" s="1" t="str">
        <f>HYPERLINK("http://www.ncbi.nlm.nih.gov/gene/?term=PEX26","NCBI")</f>
        <v>NCBI</v>
      </c>
      <c r="F9833">
        <v>0.2</v>
      </c>
      <c r="G9833">
        <v>0.35</v>
      </c>
      <c r="H9833" s="1" t="str">
        <f>HYPERLINK("http://www.weizmann.ac.il/complex/compphys/software/geview/data/figures/219180_s_at.png","Figure")</f>
        <v>Figure</v>
      </c>
      <c r="I9833">
        <v>1.17</v>
      </c>
      <c r="J9833">
        <v>0.22</v>
      </c>
      <c r="K9833">
        <v>1.03</v>
      </c>
      <c r="L9833">
        <v>0.94</v>
      </c>
      <c r="M9833">
        <v>0.877</v>
      </c>
      <c r="N9833">
        <v>0.28000000000000003</v>
      </c>
    </row>
    <row r="9834" spans="1:14" x14ac:dyDescent="0.25">
      <c r="A9834" t="s">
        <v>17211</v>
      </c>
      <c r="B9834" t="s">
        <v>8655</v>
      </c>
      <c r="C9834" s="1" t="str">
        <f>HYPERLINK("http://www.genecards.org/cgi-bin/carddisp.pl?gene=CADM3","GeneCards")</f>
        <v>GeneCards</v>
      </c>
      <c r="D9834" s="1" t="str">
        <f>HYPERLINK("http://genome-euro.ucsc.edu/cgi-bin/hgTracks?position=216535_at","UCSC")</f>
        <v>UCSC</v>
      </c>
      <c r="E9834" s="1" t="str">
        <f>HYPERLINK("http://www.ncbi.nlm.nih.gov/gene/?term=CADM3","NCBI")</f>
        <v>NCBI</v>
      </c>
      <c r="F9834">
        <v>0.2</v>
      </c>
      <c r="G9834">
        <v>0.35</v>
      </c>
      <c r="H9834" s="1" t="str">
        <f>HYPERLINK("http://www.weizmann.ac.il/complex/compphys/software/geview/data/figures/216535_at.png","Figure")</f>
        <v>Figure</v>
      </c>
      <c r="I9834">
        <v>1.19</v>
      </c>
      <c r="J9834">
        <v>0.32</v>
      </c>
      <c r="K9834">
        <v>0.97799999999999998</v>
      </c>
      <c r="L9834">
        <v>0.97</v>
      </c>
      <c r="M9834">
        <v>0.81899999999999995</v>
      </c>
      <c r="N9834">
        <v>0.2</v>
      </c>
    </row>
    <row r="9835" spans="1:14" x14ac:dyDescent="0.25">
      <c r="A9835" t="s">
        <v>17212</v>
      </c>
      <c r="B9835" t="s">
        <v>17213</v>
      </c>
      <c r="C9835" s="1" t="str">
        <f>HYPERLINK("http://www.genecards.org/cgi-bin/carddisp.pl?gene=TRMT1","GeneCards")</f>
        <v>GeneCards</v>
      </c>
      <c r="D9835" s="1" t="str">
        <f>HYPERLINK("http://genome-euro.ucsc.edu/cgi-bin/hgTracks?position=203701_s_at","UCSC")</f>
        <v>UCSC</v>
      </c>
      <c r="E9835" s="1" t="str">
        <f>HYPERLINK("http://www.ncbi.nlm.nih.gov/gene/?term=TRMT1","NCBI")</f>
        <v>NCBI</v>
      </c>
      <c r="F9835">
        <v>0.2</v>
      </c>
      <c r="G9835">
        <v>0.35</v>
      </c>
      <c r="H9835" s="1" t="str">
        <f>HYPERLINK("http://www.weizmann.ac.il/complex/compphys/software/geview/data/figures/203701_s_at.png","Figure")</f>
        <v>Figure</v>
      </c>
      <c r="I9835">
        <v>0.96099999999999997</v>
      </c>
      <c r="J9835">
        <v>0.95</v>
      </c>
      <c r="K9835">
        <v>1.19</v>
      </c>
      <c r="L9835">
        <v>0.34</v>
      </c>
      <c r="M9835">
        <v>1.24</v>
      </c>
      <c r="N9835">
        <v>0.25</v>
      </c>
    </row>
    <row r="9836" spans="1:14" x14ac:dyDescent="0.25">
      <c r="A9836" t="s">
        <v>17214</v>
      </c>
      <c r="B9836" t="s">
        <v>7341</v>
      </c>
      <c r="C9836" s="1" t="str">
        <f>HYPERLINK("http://www.genecards.org/cgi-bin/carddisp.pl?gene=VAMP2","GeneCards")</f>
        <v>GeneCards</v>
      </c>
      <c r="D9836" s="1" t="str">
        <f>HYPERLINK("http://genome-euro.ucsc.edu/cgi-bin/hgTracks?position=214792_x_at","UCSC")</f>
        <v>UCSC</v>
      </c>
      <c r="E9836" s="1" t="str">
        <f>HYPERLINK("http://www.ncbi.nlm.nih.gov/gene/?term=VAMP2","NCBI")</f>
        <v>NCBI</v>
      </c>
      <c r="F9836">
        <v>0.2</v>
      </c>
      <c r="G9836">
        <v>0.35</v>
      </c>
      <c r="H9836" s="1" t="str">
        <f>HYPERLINK("http://www.weizmann.ac.il/complex/compphys/software/geview/data/figures/214792_x_at.png","Figure")</f>
        <v>Figure</v>
      </c>
      <c r="I9836">
        <v>0.60699999999999998</v>
      </c>
      <c r="J9836">
        <v>0.18</v>
      </c>
      <c r="K9836">
        <v>0.77500000000000002</v>
      </c>
      <c r="L9836">
        <v>0.53</v>
      </c>
      <c r="M9836">
        <v>1.28</v>
      </c>
      <c r="N9836">
        <v>0.6</v>
      </c>
    </row>
    <row r="9837" spans="1:14" x14ac:dyDescent="0.25">
      <c r="A9837" t="s">
        <v>17215</v>
      </c>
      <c r="B9837" t="s">
        <v>17216</v>
      </c>
      <c r="C9837" s="1" t="str">
        <f>HYPERLINK("http://www.genecards.org/cgi-bin/carddisp.pl?gene=RPL29","GeneCards")</f>
        <v>GeneCards</v>
      </c>
      <c r="D9837" s="1" t="str">
        <f>HYPERLINK("http://genome-euro.ucsc.edu/cgi-bin/hgTracks?position=200823_x_at","UCSC")</f>
        <v>UCSC</v>
      </c>
      <c r="E9837" s="1" t="str">
        <f>HYPERLINK("http://www.ncbi.nlm.nih.gov/gene/?term=RPL29","NCBI")</f>
        <v>NCBI</v>
      </c>
      <c r="F9837">
        <v>0.2</v>
      </c>
      <c r="G9837">
        <v>0.35</v>
      </c>
      <c r="H9837" s="1" t="str">
        <f>HYPERLINK("http://www.weizmann.ac.il/complex/compphys/software/geview/data/figures/200823_x_at.png","Figure")</f>
        <v>Figure</v>
      </c>
      <c r="I9837">
        <v>0.748</v>
      </c>
      <c r="J9837">
        <v>0.64</v>
      </c>
      <c r="K9837">
        <v>1.3</v>
      </c>
      <c r="L9837">
        <v>0.62</v>
      </c>
      <c r="M9837">
        <v>1.74</v>
      </c>
      <c r="N9837">
        <v>0.18</v>
      </c>
    </row>
    <row r="9838" spans="1:14" x14ac:dyDescent="0.25">
      <c r="A9838" t="s">
        <v>17217</v>
      </c>
      <c r="B9838" t="s">
        <v>17218</v>
      </c>
      <c r="C9838" s="1" t="str">
        <f>HYPERLINK("http://www.genecards.org/cgi-bin/carddisp.pl?gene=C1orf216","GeneCards")</f>
        <v>GeneCards</v>
      </c>
      <c r="D9838" s="1" t="str">
        <f>HYPERLINK("http://genome-euro.ucsc.edu/cgi-bin/hgTracks?position=212791_at","UCSC")</f>
        <v>UCSC</v>
      </c>
      <c r="E9838" s="1" t="str">
        <f>HYPERLINK("http://www.ncbi.nlm.nih.gov/gene/?term=C1orf216","NCBI")</f>
        <v>NCBI</v>
      </c>
      <c r="F9838">
        <v>0.21</v>
      </c>
      <c r="G9838">
        <v>0.35</v>
      </c>
      <c r="H9838" s="1" t="str">
        <f>HYPERLINK("http://www.weizmann.ac.il/complex/compphys/software/geview/data/figures/212791_at.png","Figure")</f>
        <v>Figure</v>
      </c>
      <c r="I9838">
        <v>0.93400000000000005</v>
      </c>
      <c r="J9838">
        <v>0.65</v>
      </c>
      <c r="K9838">
        <v>1.07</v>
      </c>
      <c r="L9838">
        <v>0.6</v>
      </c>
      <c r="M9838">
        <v>1.1399999999999999</v>
      </c>
      <c r="N9838">
        <v>0.19</v>
      </c>
    </row>
    <row r="9839" spans="1:14" x14ac:dyDescent="0.25">
      <c r="A9839" t="s">
        <v>17219</v>
      </c>
      <c r="B9839" t="s">
        <v>17220</v>
      </c>
      <c r="C9839" s="1" t="str">
        <f>HYPERLINK("http://www.genecards.org/cgi-bin/carddisp.pl?gene=ASB4","GeneCards")</f>
        <v>GeneCards</v>
      </c>
      <c r="D9839" s="1" t="str">
        <f>HYPERLINK("http://genome-euro.ucsc.edu/cgi-bin/hgTracks?position=217228_s_at","UCSC")</f>
        <v>UCSC</v>
      </c>
      <c r="E9839" s="1" t="str">
        <f>HYPERLINK("http://www.ncbi.nlm.nih.gov/gene/?term=ASB4","NCBI")</f>
        <v>NCBI</v>
      </c>
      <c r="F9839">
        <v>0.21</v>
      </c>
      <c r="G9839">
        <v>0.35</v>
      </c>
      <c r="H9839" s="1" t="str">
        <f>HYPERLINK("http://www.weizmann.ac.il/complex/compphys/software/geview/data/figures/217228_s_at.png","Figure")</f>
        <v>Figure</v>
      </c>
      <c r="I9839">
        <v>0.96199999999999997</v>
      </c>
      <c r="J9839">
        <v>0.28000000000000003</v>
      </c>
      <c r="K9839">
        <v>1</v>
      </c>
      <c r="L9839">
        <v>1</v>
      </c>
      <c r="M9839">
        <v>1.04</v>
      </c>
      <c r="N9839">
        <v>0.22</v>
      </c>
    </row>
    <row r="9840" spans="1:14" x14ac:dyDescent="0.25">
      <c r="A9840" t="s">
        <v>17221</v>
      </c>
      <c r="B9840" t="s">
        <v>8767</v>
      </c>
      <c r="C9840" s="1" t="str">
        <f>HYPERLINK("http://www.genecards.org/cgi-bin/carddisp.pl?gene=ALCAM","GeneCards")</f>
        <v>GeneCards</v>
      </c>
      <c r="D9840" s="1" t="str">
        <f>HYPERLINK("http://genome-euro.ucsc.edu/cgi-bin/hgTracks?position=201951_at","UCSC")</f>
        <v>UCSC</v>
      </c>
      <c r="E9840" s="1" t="str">
        <f>HYPERLINK("http://www.ncbi.nlm.nih.gov/gene/?term=ALCAM","NCBI")</f>
        <v>NCBI</v>
      </c>
      <c r="F9840">
        <v>0.21</v>
      </c>
      <c r="G9840">
        <v>0.35</v>
      </c>
      <c r="H9840" s="1" t="str">
        <f>HYPERLINK("http://www.weizmann.ac.il/complex/compphys/software/geview/data/figures/201951_at.png","Figure")</f>
        <v>Figure</v>
      </c>
      <c r="I9840">
        <v>1.1200000000000001</v>
      </c>
      <c r="J9840">
        <v>0.31</v>
      </c>
      <c r="K9840">
        <v>1.1200000000000001</v>
      </c>
      <c r="L9840">
        <v>0.23</v>
      </c>
      <c r="M9840">
        <v>1</v>
      </c>
      <c r="N9840">
        <v>1</v>
      </c>
    </row>
    <row r="9841" spans="1:14" x14ac:dyDescent="0.25">
      <c r="A9841" t="s">
        <v>17222</v>
      </c>
      <c r="B9841" t="s">
        <v>17223</v>
      </c>
      <c r="C9841" s="1" t="str">
        <f>HYPERLINK("http://www.genecards.org/cgi-bin/carddisp.pl?gene=ZKSCAN3","GeneCards")</f>
        <v>GeneCards</v>
      </c>
      <c r="D9841" s="1" t="str">
        <f>HYPERLINK("http://genome-euro.ucsc.edu/cgi-bin/hgTracks?position=211773_s_at","UCSC")</f>
        <v>UCSC</v>
      </c>
      <c r="E9841" s="1" t="str">
        <f>HYPERLINK("http://www.ncbi.nlm.nih.gov/gene/?term=ZKSCAN3","NCBI")</f>
        <v>NCBI</v>
      </c>
      <c r="F9841">
        <v>0.21</v>
      </c>
      <c r="G9841">
        <v>0.35</v>
      </c>
      <c r="H9841" s="1" t="str">
        <f>HYPERLINK("http://www.weizmann.ac.il/complex/compphys/software/geview/data/figures/211773_s_at.png","Figure")</f>
        <v>Figure</v>
      </c>
      <c r="I9841">
        <v>1.23</v>
      </c>
      <c r="J9841">
        <v>0.19</v>
      </c>
      <c r="K9841">
        <v>1.07</v>
      </c>
      <c r="L9841">
        <v>0.78</v>
      </c>
      <c r="M9841">
        <v>0.86599999999999999</v>
      </c>
      <c r="N9841">
        <v>0.39</v>
      </c>
    </row>
    <row r="9842" spans="1:14" x14ac:dyDescent="0.25">
      <c r="A9842" t="s">
        <v>17224</v>
      </c>
      <c r="B9842" t="s">
        <v>6185</v>
      </c>
      <c r="C9842" s="1" t="str">
        <f>HYPERLINK("http://www.genecards.org/cgi-bin/carddisp.pl?gene=APBB2","GeneCards")</f>
        <v>GeneCards</v>
      </c>
      <c r="D9842" s="1" t="str">
        <f>HYPERLINK("http://genome-euro.ucsc.edu/cgi-bin/hgTracks?position=216750_at","UCSC")</f>
        <v>UCSC</v>
      </c>
      <c r="E9842" s="1" t="str">
        <f>HYPERLINK("http://www.ncbi.nlm.nih.gov/gene/?term=APBB2","NCBI")</f>
        <v>NCBI</v>
      </c>
      <c r="F9842">
        <v>0.21</v>
      </c>
      <c r="G9842">
        <v>0.35</v>
      </c>
      <c r="H9842" s="1" t="str">
        <f>HYPERLINK("http://www.weizmann.ac.il/complex/compphys/software/geview/data/figures/216750_at.png","Figure")</f>
        <v>Figure</v>
      </c>
      <c r="I9842">
        <v>1.1499999999999999</v>
      </c>
      <c r="J9842">
        <v>0.31</v>
      </c>
      <c r="K9842">
        <v>0.98699999999999999</v>
      </c>
      <c r="L9842">
        <v>0.98</v>
      </c>
      <c r="M9842">
        <v>0.85899999999999999</v>
      </c>
      <c r="N9842">
        <v>0.21</v>
      </c>
    </row>
    <row r="9843" spans="1:14" x14ac:dyDescent="0.25">
      <c r="A9843" t="s">
        <v>17225</v>
      </c>
      <c r="B9843" t="s">
        <v>17226</v>
      </c>
      <c r="C9843" s="1" t="str">
        <f>HYPERLINK("http://www.genecards.org/cgi-bin/carddisp.pl?gene=MCC","GeneCards")</f>
        <v>GeneCards</v>
      </c>
      <c r="D9843" s="1" t="str">
        <f>HYPERLINK("http://genome-euro.ucsc.edu/cgi-bin/hgTracks?position=206132_at","UCSC")</f>
        <v>UCSC</v>
      </c>
      <c r="E9843" s="1" t="str">
        <f>HYPERLINK("http://www.ncbi.nlm.nih.gov/gene/?term=MCC","NCBI")</f>
        <v>NCBI</v>
      </c>
      <c r="F9843">
        <v>0.21</v>
      </c>
      <c r="G9843">
        <v>0.35</v>
      </c>
      <c r="H9843" s="1" t="str">
        <f>HYPERLINK("http://www.weizmann.ac.il/complex/compphys/software/geview/data/figures/206132_at.png","Figure")</f>
        <v>Figure</v>
      </c>
      <c r="I9843">
        <v>0.95499999999999996</v>
      </c>
      <c r="J9843">
        <v>0.82</v>
      </c>
      <c r="K9843">
        <v>0.88300000000000001</v>
      </c>
      <c r="L9843">
        <v>0.19</v>
      </c>
      <c r="M9843">
        <v>0.92500000000000004</v>
      </c>
      <c r="N9843">
        <v>0.54</v>
      </c>
    </row>
    <row r="9844" spans="1:14" x14ac:dyDescent="0.25">
      <c r="A9844" t="s">
        <v>17227</v>
      </c>
      <c r="B9844" t="s">
        <v>6963</v>
      </c>
      <c r="C9844" s="1" t="str">
        <f>HYPERLINK("http://www.genecards.org/cgi-bin/carddisp.pl?gene=FOXO3 /// FOXO3B","GeneCards")</f>
        <v>GeneCards</v>
      </c>
      <c r="D9844" s="1" t="str">
        <f>HYPERLINK("http://genome-euro.ucsc.edu/cgi-bin/hgTracks?position=217399_s_at","UCSC")</f>
        <v>UCSC</v>
      </c>
      <c r="E9844" s="1" t="str">
        <f>HYPERLINK("http://www.ncbi.nlm.nih.gov/gene/?term=FOXO3 /// FOXO3B","NCBI")</f>
        <v>NCBI</v>
      </c>
      <c r="F9844">
        <v>0.21</v>
      </c>
      <c r="G9844">
        <v>0.35</v>
      </c>
      <c r="H9844" s="1" t="str">
        <f>HYPERLINK("http://www.weizmann.ac.il/complex/compphys/software/geview/data/figures/217399_s_at.png","Figure")</f>
        <v>Figure</v>
      </c>
      <c r="I9844">
        <v>1.18</v>
      </c>
      <c r="J9844">
        <v>0.22</v>
      </c>
      <c r="K9844">
        <v>1.1299999999999999</v>
      </c>
      <c r="L9844">
        <v>0.32</v>
      </c>
      <c r="M9844">
        <v>0.96</v>
      </c>
      <c r="N9844">
        <v>0.89</v>
      </c>
    </row>
    <row r="9845" spans="1:14" x14ac:dyDescent="0.25">
      <c r="A9845" t="s">
        <v>17228</v>
      </c>
      <c r="B9845" t="s">
        <v>17229</v>
      </c>
      <c r="C9845" s="1" t="str">
        <f>HYPERLINK("http://www.genecards.org/cgi-bin/carddisp.pl?gene=CSPG4LYP1 /// CSPG4LYP2","GeneCards")</f>
        <v>GeneCards</v>
      </c>
      <c r="D9845" s="1" t="str">
        <f>HYPERLINK("http://genome-euro.ucsc.edu/cgi-bin/hgTracks?position=211461_at","UCSC")</f>
        <v>UCSC</v>
      </c>
      <c r="E9845" s="1" t="str">
        <f>HYPERLINK("http://www.ncbi.nlm.nih.gov/gene/?term=CSPG4LYP1 /// CSPG4LYP2","NCBI")</f>
        <v>NCBI</v>
      </c>
      <c r="F9845">
        <v>0.21</v>
      </c>
      <c r="G9845">
        <v>0.35</v>
      </c>
      <c r="H9845" s="1" t="str">
        <f>HYPERLINK("http://www.weizmann.ac.il/complex/compphys/software/geview/data/figures/211461_at.png","Figure")</f>
        <v>Figure</v>
      </c>
      <c r="I9845">
        <v>1.07</v>
      </c>
      <c r="J9845">
        <v>0.44</v>
      </c>
      <c r="K9845">
        <v>1.08</v>
      </c>
      <c r="L9845">
        <v>0.19</v>
      </c>
      <c r="M9845">
        <v>1.02</v>
      </c>
      <c r="N9845">
        <v>0.93</v>
      </c>
    </row>
    <row r="9846" spans="1:14" x14ac:dyDescent="0.25">
      <c r="A9846" t="s">
        <v>17230</v>
      </c>
      <c r="B9846" t="s">
        <v>8995</v>
      </c>
      <c r="C9846" s="1" t="str">
        <f>HYPERLINK("http://www.genecards.org/cgi-bin/carddisp.pl?gene=AHNAK","GeneCards")</f>
        <v>GeneCards</v>
      </c>
      <c r="D9846" s="1" t="str">
        <f>HYPERLINK("http://genome-euro.ucsc.edu/cgi-bin/hgTracks?position=220016_at","UCSC")</f>
        <v>UCSC</v>
      </c>
      <c r="E9846" s="1" t="str">
        <f>HYPERLINK("http://www.ncbi.nlm.nih.gov/gene/?term=AHNAK","NCBI")</f>
        <v>NCBI</v>
      </c>
      <c r="F9846">
        <v>0.21</v>
      </c>
      <c r="G9846">
        <v>0.35</v>
      </c>
      <c r="H9846" s="1" t="str">
        <f>HYPERLINK("http://www.weizmann.ac.il/complex/compphys/software/geview/data/figures/220016_at.png","Figure")</f>
        <v>Figure</v>
      </c>
      <c r="I9846">
        <v>1.01</v>
      </c>
      <c r="J9846">
        <v>0.99</v>
      </c>
      <c r="K9846">
        <v>0.85899999999999999</v>
      </c>
      <c r="L9846">
        <v>0.28999999999999998</v>
      </c>
      <c r="M9846">
        <v>0.84799999999999998</v>
      </c>
      <c r="N9846">
        <v>0.28999999999999998</v>
      </c>
    </row>
    <row r="9847" spans="1:14" x14ac:dyDescent="0.25">
      <c r="A9847" t="s">
        <v>17231</v>
      </c>
      <c r="B9847" t="s">
        <v>17232</v>
      </c>
      <c r="C9847" s="1" t="str">
        <f>HYPERLINK("http://www.genecards.org/cgi-bin/carddisp.pl?gene=ACTR1B","GeneCards")</f>
        <v>GeneCards</v>
      </c>
      <c r="D9847" s="1" t="str">
        <f>HYPERLINK("http://genome-euro.ucsc.edu/cgi-bin/hgTracks?position=202135_s_at","UCSC")</f>
        <v>UCSC</v>
      </c>
      <c r="E9847" s="1" t="str">
        <f>HYPERLINK("http://www.ncbi.nlm.nih.gov/gene/?term=ACTR1B","NCBI")</f>
        <v>NCBI</v>
      </c>
      <c r="F9847">
        <v>0.21</v>
      </c>
      <c r="G9847">
        <v>0.35</v>
      </c>
      <c r="H9847" s="1" t="str">
        <f>HYPERLINK("http://www.weizmann.ac.il/complex/compphys/software/geview/data/figures/202135_s_at.png","Figure")</f>
        <v>Figure</v>
      </c>
      <c r="I9847">
        <v>1.06</v>
      </c>
      <c r="J9847">
        <v>0.85</v>
      </c>
      <c r="K9847">
        <v>1.18</v>
      </c>
      <c r="L9847">
        <v>0.2</v>
      </c>
      <c r="M9847">
        <v>1.1200000000000001</v>
      </c>
      <c r="N9847">
        <v>0.52</v>
      </c>
    </row>
    <row r="9848" spans="1:14" x14ac:dyDescent="0.25">
      <c r="A9848" t="s">
        <v>17233</v>
      </c>
      <c r="B9848" t="s">
        <v>13770</v>
      </c>
      <c r="C9848" s="1" t="str">
        <f>HYPERLINK("http://www.genecards.org/cgi-bin/carddisp.pl?gene=PHACTR2","GeneCards")</f>
        <v>GeneCards</v>
      </c>
      <c r="D9848" s="1" t="str">
        <f>HYPERLINK("http://genome-euro.ucsc.edu/cgi-bin/hgTracks?position=204047_s_at","UCSC")</f>
        <v>UCSC</v>
      </c>
      <c r="E9848" s="1" t="str">
        <f>HYPERLINK("http://www.ncbi.nlm.nih.gov/gene/?term=PHACTR2","NCBI")</f>
        <v>NCBI</v>
      </c>
      <c r="F9848">
        <v>0.21</v>
      </c>
      <c r="G9848">
        <v>0.35</v>
      </c>
      <c r="H9848" s="1" t="str">
        <f>HYPERLINK("http://www.weizmann.ac.il/complex/compphys/software/geview/data/figures/204047_s_at.png","Figure")</f>
        <v>Figure</v>
      </c>
      <c r="I9848">
        <v>1.1499999999999999</v>
      </c>
      <c r="J9848">
        <v>0.27</v>
      </c>
      <c r="K9848">
        <v>1.1299999999999999</v>
      </c>
      <c r="L9848">
        <v>0.26</v>
      </c>
      <c r="M9848">
        <v>0.98499999999999999</v>
      </c>
      <c r="N9848">
        <v>0.98</v>
      </c>
    </row>
    <row r="9849" spans="1:14" x14ac:dyDescent="0.25">
      <c r="A9849" t="s">
        <v>17234</v>
      </c>
      <c r="B9849" t="s">
        <v>17235</v>
      </c>
      <c r="C9849" s="1" t="str">
        <f>HYPERLINK("http://www.genecards.org/cgi-bin/carddisp.pl?gene=SKAP2","GeneCards")</f>
        <v>GeneCards</v>
      </c>
      <c r="D9849" s="1" t="str">
        <f>HYPERLINK("http://genome-euro.ucsc.edu/cgi-bin/hgTracks?position=204362_at","UCSC")</f>
        <v>UCSC</v>
      </c>
      <c r="E9849" s="1" t="str">
        <f>HYPERLINK("http://www.ncbi.nlm.nih.gov/gene/?term=SKAP2","NCBI")</f>
        <v>NCBI</v>
      </c>
      <c r="F9849">
        <v>0.21</v>
      </c>
      <c r="G9849">
        <v>0.35</v>
      </c>
      <c r="H9849" s="1" t="str">
        <f>HYPERLINK("http://www.weizmann.ac.il/complex/compphys/software/geview/data/figures/204362_at.png","Figure")</f>
        <v>Figure</v>
      </c>
      <c r="I9849">
        <v>0.54700000000000004</v>
      </c>
      <c r="J9849">
        <v>0.28000000000000003</v>
      </c>
      <c r="K9849">
        <v>0.57399999999999995</v>
      </c>
      <c r="L9849">
        <v>0.25</v>
      </c>
      <c r="M9849">
        <v>1.05</v>
      </c>
      <c r="N9849">
        <v>0.99</v>
      </c>
    </row>
    <row r="9850" spans="1:14" x14ac:dyDescent="0.25">
      <c r="A9850" t="s">
        <v>17236</v>
      </c>
      <c r="B9850" t="s">
        <v>15835</v>
      </c>
      <c r="C9850" s="1" t="str">
        <f>HYPERLINK("http://www.genecards.org/cgi-bin/carddisp.pl?gene=RPLP0","GeneCards")</f>
        <v>GeneCards</v>
      </c>
      <c r="D9850" s="1" t="str">
        <f>HYPERLINK("http://genome-euro.ucsc.edu/cgi-bin/hgTracks?position=211972_x_at","UCSC")</f>
        <v>UCSC</v>
      </c>
      <c r="E9850" s="1" t="str">
        <f>HYPERLINK("http://www.ncbi.nlm.nih.gov/gene/?term=RPLP0","NCBI")</f>
        <v>NCBI</v>
      </c>
      <c r="F9850">
        <v>0.21</v>
      </c>
      <c r="G9850">
        <v>0.35</v>
      </c>
      <c r="H9850" s="1" t="str">
        <f>HYPERLINK("http://www.weizmann.ac.il/complex/compphys/software/geview/data/figures/211972_x_at.png","Figure")</f>
        <v>Figure</v>
      </c>
      <c r="I9850">
        <v>0.88900000000000001</v>
      </c>
      <c r="J9850">
        <v>0.57999999999999996</v>
      </c>
      <c r="K9850">
        <v>1.0900000000000001</v>
      </c>
      <c r="L9850">
        <v>0.68</v>
      </c>
      <c r="M9850">
        <v>1.23</v>
      </c>
      <c r="N9850">
        <v>0.18</v>
      </c>
    </row>
    <row r="9851" spans="1:14" x14ac:dyDescent="0.25">
      <c r="A9851" t="s">
        <v>17237</v>
      </c>
      <c r="B9851" t="s">
        <v>17238</v>
      </c>
      <c r="C9851" s="1" t="str">
        <f>HYPERLINK("http://www.genecards.org/cgi-bin/carddisp.pl?gene=TRIM21","GeneCards")</f>
        <v>GeneCards</v>
      </c>
      <c r="D9851" s="1" t="str">
        <f>HYPERLINK("http://genome-euro.ucsc.edu/cgi-bin/hgTracks?position=204804_at","UCSC")</f>
        <v>UCSC</v>
      </c>
      <c r="E9851" s="1" t="str">
        <f>HYPERLINK("http://www.ncbi.nlm.nih.gov/gene/?term=TRIM21","NCBI")</f>
        <v>NCBI</v>
      </c>
      <c r="F9851">
        <v>0.21</v>
      </c>
      <c r="G9851">
        <v>0.35</v>
      </c>
      <c r="H9851" s="1" t="str">
        <f>HYPERLINK("http://www.weizmann.ac.il/complex/compphys/software/geview/data/figures/204804_at.png","Figure")</f>
        <v>Figure</v>
      </c>
      <c r="I9851">
        <v>1.1299999999999999</v>
      </c>
      <c r="J9851">
        <v>0.28000000000000003</v>
      </c>
      <c r="K9851">
        <v>0.996</v>
      </c>
      <c r="L9851">
        <v>1</v>
      </c>
      <c r="M9851">
        <v>0.88100000000000001</v>
      </c>
      <c r="N9851">
        <v>0.22</v>
      </c>
    </row>
    <row r="9852" spans="1:14" x14ac:dyDescent="0.25">
      <c r="A9852" t="s">
        <v>17239</v>
      </c>
      <c r="B9852" t="s">
        <v>7557</v>
      </c>
      <c r="C9852" s="1" t="str">
        <f>HYPERLINK("http://www.genecards.org/cgi-bin/carddisp.pl?gene=CSNK1A1","GeneCards")</f>
        <v>GeneCards</v>
      </c>
      <c r="D9852" s="1" t="str">
        <f>HYPERLINK("http://genome-euro.ucsc.edu/cgi-bin/hgTracks?position=213086_s_at","UCSC")</f>
        <v>UCSC</v>
      </c>
      <c r="E9852" s="1" t="str">
        <f>HYPERLINK("http://www.ncbi.nlm.nih.gov/gene/?term=CSNK1A1","NCBI")</f>
        <v>NCBI</v>
      </c>
      <c r="F9852">
        <v>0.21</v>
      </c>
      <c r="G9852">
        <v>0.35</v>
      </c>
      <c r="H9852" s="1" t="str">
        <f>HYPERLINK("http://www.weizmann.ac.il/complex/compphys/software/geview/data/figures/213086_s_at.png","Figure")</f>
        <v>Figure</v>
      </c>
      <c r="I9852">
        <v>1.55</v>
      </c>
      <c r="J9852">
        <v>0.26</v>
      </c>
      <c r="K9852">
        <v>1.02</v>
      </c>
      <c r="L9852">
        <v>1</v>
      </c>
      <c r="M9852">
        <v>0.65600000000000003</v>
      </c>
      <c r="N9852">
        <v>0.24</v>
      </c>
    </row>
    <row r="9853" spans="1:14" x14ac:dyDescent="0.25">
      <c r="A9853" t="s">
        <v>17240</v>
      </c>
      <c r="B9853" t="s">
        <v>10645</v>
      </c>
      <c r="C9853" s="1" t="str">
        <f>HYPERLINK("http://www.genecards.org/cgi-bin/carddisp.pl?gene=MEF2C","GeneCards")</f>
        <v>GeneCards</v>
      </c>
      <c r="D9853" s="1" t="str">
        <f>HYPERLINK("http://genome-euro.ucsc.edu/cgi-bin/hgTracks?position=209200_at","UCSC")</f>
        <v>UCSC</v>
      </c>
      <c r="E9853" s="1" t="str">
        <f>HYPERLINK("http://www.ncbi.nlm.nih.gov/gene/?term=MEF2C","NCBI")</f>
        <v>NCBI</v>
      </c>
      <c r="F9853">
        <v>0.21</v>
      </c>
      <c r="G9853">
        <v>0.35</v>
      </c>
      <c r="H9853" s="1" t="str">
        <f>HYPERLINK("http://www.weizmann.ac.il/complex/compphys/software/geview/data/figures/209200_at.png","Figure")</f>
        <v>Figure</v>
      </c>
      <c r="I9853">
        <v>0.60499999999999998</v>
      </c>
      <c r="J9853">
        <v>0.35</v>
      </c>
      <c r="K9853">
        <v>1.1000000000000001</v>
      </c>
      <c r="L9853">
        <v>0.94</v>
      </c>
      <c r="M9853">
        <v>1.83</v>
      </c>
      <c r="N9853">
        <v>0.19</v>
      </c>
    </row>
    <row r="9854" spans="1:14" x14ac:dyDescent="0.25">
      <c r="A9854" t="s">
        <v>17241</v>
      </c>
      <c r="B9854" t="s">
        <v>17242</v>
      </c>
      <c r="C9854" s="1" t="str">
        <f>HYPERLINK("http://www.genecards.org/cgi-bin/carddisp.pl?gene=ICAM1","GeneCards")</f>
        <v>GeneCards</v>
      </c>
      <c r="D9854" s="1" t="str">
        <f>HYPERLINK("http://genome-euro.ucsc.edu/cgi-bin/hgTracks?position=215485_s_at","UCSC")</f>
        <v>UCSC</v>
      </c>
      <c r="E9854" s="1" t="str">
        <f>HYPERLINK("http://www.ncbi.nlm.nih.gov/gene/?term=ICAM1","NCBI")</f>
        <v>NCBI</v>
      </c>
      <c r="F9854">
        <v>0.21</v>
      </c>
      <c r="G9854">
        <v>0.35</v>
      </c>
      <c r="H9854" s="1" t="str">
        <f>HYPERLINK("http://www.weizmann.ac.il/complex/compphys/software/geview/data/figures/215485_s_at.png","Figure")</f>
        <v>Figure</v>
      </c>
      <c r="I9854">
        <v>1.29</v>
      </c>
      <c r="J9854">
        <v>0.21</v>
      </c>
      <c r="K9854">
        <v>1.19</v>
      </c>
      <c r="L9854">
        <v>0.36</v>
      </c>
      <c r="M9854">
        <v>0.92300000000000004</v>
      </c>
      <c r="N9854">
        <v>0.82</v>
      </c>
    </row>
    <row r="9855" spans="1:14" x14ac:dyDescent="0.25">
      <c r="A9855" t="s">
        <v>17243</v>
      </c>
      <c r="B9855" t="s">
        <v>9130</v>
      </c>
      <c r="C9855" s="1" t="str">
        <f>HYPERLINK("http://www.genecards.org/cgi-bin/carddisp.pl?gene=TNXA /// TNXB","GeneCards")</f>
        <v>GeneCards</v>
      </c>
      <c r="D9855" s="1" t="str">
        <f>HYPERLINK("http://genome-euro.ucsc.edu/cgi-bin/hgTracks?position=216333_x_at","UCSC")</f>
        <v>UCSC</v>
      </c>
      <c r="E9855" s="1" t="str">
        <f>HYPERLINK("http://www.ncbi.nlm.nih.gov/gene/?term=TNXA /// TNXB","NCBI")</f>
        <v>NCBI</v>
      </c>
      <c r="F9855">
        <v>0.21</v>
      </c>
      <c r="G9855">
        <v>0.35</v>
      </c>
      <c r="H9855" s="1" t="str">
        <f>HYPERLINK("http://www.weizmann.ac.il/complex/compphys/software/geview/data/figures/216333_x_at.png","Figure")</f>
        <v>Figure</v>
      </c>
      <c r="I9855">
        <v>1.23</v>
      </c>
      <c r="J9855">
        <v>0.18</v>
      </c>
      <c r="K9855">
        <v>1.1200000000000001</v>
      </c>
      <c r="L9855">
        <v>0.5</v>
      </c>
      <c r="M9855">
        <v>0.90800000000000003</v>
      </c>
      <c r="N9855">
        <v>0.63</v>
      </c>
    </row>
    <row r="9856" spans="1:14" x14ac:dyDescent="0.25">
      <c r="A9856" t="s">
        <v>17244</v>
      </c>
      <c r="B9856" t="s">
        <v>17245</v>
      </c>
      <c r="C9856" s="1" t="str">
        <f>HYPERLINK("http://www.genecards.org/cgi-bin/carddisp.pl?gene=RANBP10","GeneCards")</f>
        <v>GeneCards</v>
      </c>
      <c r="D9856" s="1" t="str">
        <f>HYPERLINK("http://genome-euro.ucsc.edu/cgi-bin/hgTracks?position=53987_at","UCSC")</f>
        <v>UCSC</v>
      </c>
      <c r="E9856" s="1" t="str">
        <f>HYPERLINK("http://www.ncbi.nlm.nih.gov/gene/?term=RANBP10","NCBI")</f>
        <v>NCBI</v>
      </c>
      <c r="F9856">
        <v>0.21</v>
      </c>
      <c r="G9856">
        <v>0.35</v>
      </c>
      <c r="H9856" s="1" t="str">
        <f>HYPERLINK("http://www.weizmann.ac.il/complex/compphys/software/geview/data/figures/53987_at.png","Figure")</f>
        <v>Figure</v>
      </c>
      <c r="I9856">
        <v>1.22</v>
      </c>
      <c r="J9856">
        <v>0.18</v>
      </c>
      <c r="K9856">
        <v>1.1100000000000001</v>
      </c>
      <c r="L9856">
        <v>0.53</v>
      </c>
      <c r="M9856">
        <v>0.90700000000000003</v>
      </c>
      <c r="N9856">
        <v>0.59</v>
      </c>
    </row>
    <row r="9857" spans="1:14" x14ac:dyDescent="0.25">
      <c r="A9857" t="s">
        <v>17246</v>
      </c>
      <c r="B9857" t="s">
        <v>17247</v>
      </c>
      <c r="C9857" s="1" t="str">
        <f>HYPERLINK("http://www.genecards.org/cgi-bin/carddisp.pl?gene=ATP5A1","GeneCards")</f>
        <v>GeneCards</v>
      </c>
      <c r="D9857" s="1" t="str">
        <f>HYPERLINK("http://genome-euro.ucsc.edu/cgi-bin/hgTracks?position=213738_s_at","UCSC")</f>
        <v>UCSC</v>
      </c>
      <c r="E9857" s="1" t="str">
        <f>HYPERLINK("http://www.ncbi.nlm.nih.gov/gene/?term=ATP5A1","NCBI")</f>
        <v>NCBI</v>
      </c>
      <c r="F9857">
        <v>0.21</v>
      </c>
      <c r="G9857">
        <v>0.35</v>
      </c>
      <c r="H9857" s="1" t="str">
        <f>HYPERLINK("http://www.weizmann.ac.il/complex/compphys/software/geview/data/figures/213738_s_at.png","Figure")</f>
        <v>Figure</v>
      </c>
      <c r="I9857">
        <v>1.1299999999999999</v>
      </c>
      <c r="J9857">
        <v>0.72</v>
      </c>
      <c r="K9857">
        <v>1.3</v>
      </c>
      <c r="L9857">
        <v>0.18</v>
      </c>
      <c r="M9857">
        <v>1.1499999999999999</v>
      </c>
      <c r="N9857">
        <v>0.63</v>
      </c>
    </row>
    <row r="9858" spans="1:14" x14ac:dyDescent="0.25">
      <c r="A9858" t="s">
        <v>17248</v>
      </c>
      <c r="B9858" t="s">
        <v>17249</v>
      </c>
      <c r="C9858" s="1" t="str">
        <f>HYPERLINK("http://www.genecards.org/cgi-bin/carddisp.pl?gene=GYPB","GeneCards")</f>
        <v>GeneCards</v>
      </c>
      <c r="D9858" s="1" t="str">
        <f>HYPERLINK("http://genome-euro.ucsc.edu/cgi-bin/hgTracks?position=214407_x_at","UCSC")</f>
        <v>UCSC</v>
      </c>
      <c r="E9858" s="1" t="str">
        <f>HYPERLINK("http://www.ncbi.nlm.nih.gov/gene/?term=GYPB","NCBI")</f>
        <v>NCBI</v>
      </c>
      <c r="F9858">
        <v>0.21</v>
      </c>
      <c r="G9858">
        <v>0.35</v>
      </c>
      <c r="H9858" s="1" t="str">
        <f>HYPERLINK("http://www.weizmann.ac.il/complex/compphys/software/geview/data/figures/214407_x_at.png","Figure")</f>
        <v>Figure</v>
      </c>
      <c r="I9858">
        <v>1.37</v>
      </c>
      <c r="J9858">
        <v>0.22</v>
      </c>
      <c r="K9858">
        <v>1.05</v>
      </c>
      <c r="L9858">
        <v>0.95</v>
      </c>
      <c r="M9858">
        <v>0.76500000000000001</v>
      </c>
      <c r="N9858">
        <v>0.28000000000000003</v>
      </c>
    </row>
    <row r="9859" spans="1:14" x14ac:dyDescent="0.25">
      <c r="A9859" t="s">
        <v>17250</v>
      </c>
      <c r="B9859" t="s">
        <v>13010</v>
      </c>
      <c r="C9859" s="1" t="str">
        <f>HYPERLINK("http://www.genecards.org/cgi-bin/carddisp.pl?gene=NCOA1","GeneCards")</f>
        <v>GeneCards</v>
      </c>
      <c r="D9859" s="1" t="str">
        <f>HYPERLINK("http://genome-euro.ucsc.edu/cgi-bin/hgTracks?position=210249_s_at","UCSC")</f>
        <v>UCSC</v>
      </c>
      <c r="E9859" s="1" t="str">
        <f>HYPERLINK("http://www.ncbi.nlm.nih.gov/gene/?term=NCOA1","NCBI")</f>
        <v>NCBI</v>
      </c>
      <c r="F9859">
        <v>0.21</v>
      </c>
      <c r="G9859">
        <v>0.35</v>
      </c>
      <c r="H9859" s="1" t="str">
        <f>HYPERLINK("http://www.weizmann.ac.il/complex/compphys/software/geview/data/figures/210249_s_at.png","Figure")</f>
        <v>Figure</v>
      </c>
      <c r="I9859">
        <v>1.19</v>
      </c>
      <c r="J9859">
        <v>0.18</v>
      </c>
      <c r="K9859">
        <v>1.0900000000000001</v>
      </c>
      <c r="L9859">
        <v>0.55000000000000004</v>
      </c>
      <c r="M9859">
        <v>0.91700000000000004</v>
      </c>
      <c r="N9859">
        <v>0.57999999999999996</v>
      </c>
    </row>
    <row r="9860" spans="1:14" x14ac:dyDescent="0.25">
      <c r="A9860" t="s">
        <v>17251</v>
      </c>
      <c r="B9860" t="s">
        <v>17252</v>
      </c>
      <c r="C9860" s="1" t="str">
        <f>HYPERLINK("http://www.genecards.org/cgi-bin/carddisp.pl?gene=NPHS1","GeneCards")</f>
        <v>GeneCards</v>
      </c>
      <c r="D9860" s="1" t="str">
        <f>HYPERLINK("http://genome-euro.ucsc.edu/cgi-bin/hgTracks?position=207673_at","UCSC")</f>
        <v>UCSC</v>
      </c>
      <c r="E9860" s="1" t="str">
        <f>HYPERLINK("http://www.ncbi.nlm.nih.gov/gene/?term=NPHS1","NCBI")</f>
        <v>NCBI</v>
      </c>
      <c r="F9860">
        <v>0.21</v>
      </c>
      <c r="G9860">
        <v>0.36</v>
      </c>
      <c r="H9860" s="1" t="str">
        <f>HYPERLINK("http://www.weizmann.ac.il/complex/compphys/software/geview/data/figures/207673_at.png","Figure")</f>
        <v>Figure</v>
      </c>
      <c r="I9860">
        <v>1.1299999999999999</v>
      </c>
      <c r="J9860">
        <v>0.18</v>
      </c>
      <c r="K9860">
        <v>1.05</v>
      </c>
      <c r="L9860">
        <v>0.71</v>
      </c>
      <c r="M9860">
        <v>0.92400000000000004</v>
      </c>
      <c r="N9860">
        <v>0.43</v>
      </c>
    </row>
    <row r="9861" spans="1:14" x14ac:dyDescent="0.25">
      <c r="A9861" t="s">
        <v>17253</v>
      </c>
      <c r="B9861" t="s">
        <v>5323</v>
      </c>
      <c r="C9861" s="1" t="str">
        <f>HYPERLINK("http://www.genecards.org/cgi-bin/carddisp.pl?gene=PDCD2","GeneCards")</f>
        <v>GeneCards</v>
      </c>
      <c r="D9861" s="1" t="str">
        <f>HYPERLINK("http://genome-euro.ucsc.edu/cgi-bin/hgTracks?position=213585_s_at","UCSC")</f>
        <v>UCSC</v>
      </c>
      <c r="E9861" s="1" t="str">
        <f>HYPERLINK("http://www.ncbi.nlm.nih.gov/gene/?term=PDCD2","NCBI")</f>
        <v>NCBI</v>
      </c>
      <c r="F9861">
        <v>0.21</v>
      </c>
      <c r="G9861">
        <v>0.36</v>
      </c>
      <c r="H9861" s="1" t="str">
        <f>HYPERLINK("http://www.weizmann.ac.il/complex/compphys/software/geview/data/figures/213585_s_at.png","Figure")</f>
        <v>Figure</v>
      </c>
      <c r="I9861">
        <v>1.18</v>
      </c>
      <c r="J9861">
        <v>0.19</v>
      </c>
      <c r="K9861">
        <v>1.1000000000000001</v>
      </c>
      <c r="L9861">
        <v>0.43</v>
      </c>
      <c r="M9861">
        <v>0.93799999999999994</v>
      </c>
      <c r="N9861">
        <v>0.72</v>
      </c>
    </row>
    <row r="9862" spans="1:14" x14ac:dyDescent="0.25">
      <c r="A9862" t="s">
        <v>17254</v>
      </c>
      <c r="B9862" t="s">
        <v>17255</v>
      </c>
      <c r="C9862" s="1" t="str">
        <f>HYPERLINK("http://www.genecards.org/cgi-bin/carddisp.pl?gene=CORT","GeneCards")</f>
        <v>GeneCards</v>
      </c>
      <c r="D9862" s="1" t="str">
        <f>HYPERLINK("http://genome-euro.ucsc.edu/cgi-bin/hgTracks?position=210182_at","UCSC")</f>
        <v>UCSC</v>
      </c>
      <c r="E9862" s="1" t="str">
        <f>HYPERLINK("http://www.ncbi.nlm.nih.gov/gene/?term=CORT","NCBI")</f>
        <v>NCBI</v>
      </c>
      <c r="F9862">
        <v>0.21</v>
      </c>
      <c r="G9862">
        <v>0.36</v>
      </c>
      <c r="H9862" s="1" t="str">
        <f>HYPERLINK("http://www.weizmann.ac.il/complex/compphys/software/geview/data/figures/210182_at.png","Figure")</f>
        <v>Figure</v>
      </c>
      <c r="I9862">
        <v>1.2</v>
      </c>
      <c r="J9862">
        <v>0.18</v>
      </c>
      <c r="K9862">
        <v>1.0900000000000001</v>
      </c>
      <c r="L9862">
        <v>0.59</v>
      </c>
      <c r="M9862">
        <v>0.90600000000000003</v>
      </c>
      <c r="N9862">
        <v>0.53</v>
      </c>
    </row>
    <row r="9863" spans="1:14" x14ac:dyDescent="0.25">
      <c r="A9863" t="s">
        <v>17256</v>
      </c>
      <c r="B9863" t="s">
        <v>17257</v>
      </c>
      <c r="C9863" s="1" t="str">
        <f>HYPERLINK("http://www.genecards.org/cgi-bin/carddisp.pl?gene=SGCB","GeneCards")</f>
        <v>GeneCards</v>
      </c>
      <c r="D9863" s="1" t="str">
        <f>HYPERLINK("http://genome-euro.ucsc.edu/cgi-bin/hgTracks?position=205120_s_at","UCSC")</f>
        <v>UCSC</v>
      </c>
      <c r="E9863" s="1" t="str">
        <f>HYPERLINK("http://www.ncbi.nlm.nih.gov/gene/?term=SGCB","NCBI")</f>
        <v>NCBI</v>
      </c>
      <c r="F9863">
        <v>0.21</v>
      </c>
      <c r="G9863">
        <v>0.36</v>
      </c>
      <c r="H9863" s="1" t="str">
        <f>HYPERLINK("http://www.weizmann.ac.il/complex/compphys/software/geview/data/figures/205120_s_at.png","Figure")</f>
        <v>Figure</v>
      </c>
      <c r="I9863">
        <v>0.751</v>
      </c>
      <c r="J9863">
        <v>0.47</v>
      </c>
      <c r="K9863">
        <v>1.1399999999999999</v>
      </c>
      <c r="L9863">
        <v>0.8</v>
      </c>
      <c r="M9863">
        <v>1.52</v>
      </c>
      <c r="N9863">
        <v>0.18</v>
      </c>
    </row>
    <row r="9864" spans="1:14" x14ac:dyDescent="0.25">
      <c r="A9864" t="s">
        <v>17258</v>
      </c>
      <c r="B9864" t="s">
        <v>10405</v>
      </c>
      <c r="C9864" s="1" t="str">
        <f>HYPERLINK("http://www.genecards.org/cgi-bin/carddisp.pl?gene=PDIA6","GeneCards")</f>
        <v>GeneCards</v>
      </c>
      <c r="D9864" s="1" t="str">
        <f>HYPERLINK("http://genome-euro.ucsc.edu/cgi-bin/hgTracks?position=216640_s_at","UCSC")</f>
        <v>UCSC</v>
      </c>
      <c r="E9864" s="1" t="str">
        <f>HYPERLINK("http://www.ncbi.nlm.nih.gov/gene/?term=PDIA6","NCBI")</f>
        <v>NCBI</v>
      </c>
      <c r="F9864">
        <v>0.21</v>
      </c>
      <c r="G9864">
        <v>0.36</v>
      </c>
      <c r="H9864" s="1" t="str">
        <f>HYPERLINK("http://www.weizmann.ac.il/complex/compphys/software/geview/data/figures/216640_s_at.png","Figure")</f>
        <v>Figure</v>
      </c>
      <c r="I9864">
        <v>1.18</v>
      </c>
      <c r="J9864">
        <v>0.69</v>
      </c>
      <c r="K9864">
        <v>1.39</v>
      </c>
      <c r="L9864">
        <v>0.18</v>
      </c>
      <c r="M9864">
        <v>1.17</v>
      </c>
      <c r="N9864">
        <v>0.67</v>
      </c>
    </row>
    <row r="9865" spans="1:14" x14ac:dyDescent="0.25">
      <c r="A9865" t="s">
        <v>17259</v>
      </c>
      <c r="B9865" t="s">
        <v>11760</v>
      </c>
      <c r="C9865" s="1" t="str">
        <f>HYPERLINK("http://www.genecards.org/cgi-bin/carddisp.pl?gene=PPP1R12A","GeneCards")</f>
        <v>GeneCards</v>
      </c>
      <c r="D9865" s="1" t="str">
        <f>HYPERLINK("http://genome-euro.ucsc.edu/cgi-bin/hgTracks?position=201603_at","UCSC")</f>
        <v>UCSC</v>
      </c>
      <c r="E9865" s="1" t="str">
        <f>HYPERLINK("http://www.ncbi.nlm.nih.gov/gene/?term=PPP1R12A","NCBI")</f>
        <v>NCBI</v>
      </c>
      <c r="F9865">
        <v>0.21</v>
      </c>
      <c r="G9865">
        <v>0.36</v>
      </c>
      <c r="H9865" s="1" t="str">
        <f>HYPERLINK("http://www.weizmann.ac.il/complex/compphys/software/geview/data/figures/201603_at.png","Figure")</f>
        <v>Figure</v>
      </c>
      <c r="I9865">
        <v>0.97399999999999998</v>
      </c>
      <c r="J9865">
        <v>1</v>
      </c>
      <c r="K9865">
        <v>0.66200000000000003</v>
      </c>
      <c r="L9865">
        <v>0.25</v>
      </c>
      <c r="M9865">
        <v>0.68</v>
      </c>
      <c r="N9865">
        <v>0.34</v>
      </c>
    </row>
    <row r="9866" spans="1:14" x14ac:dyDescent="0.25">
      <c r="A9866" t="s">
        <v>17260</v>
      </c>
      <c r="B9866" t="s">
        <v>17261</v>
      </c>
      <c r="C9866" s="1" t="str">
        <f>HYPERLINK("http://www.genecards.org/cgi-bin/carddisp.pl?gene=KCNAB2","GeneCards")</f>
        <v>GeneCards</v>
      </c>
      <c r="D9866" s="1" t="str">
        <f>HYPERLINK("http://genome-euro.ucsc.edu/cgi-bin/hgTracks?position=203402_at","UCSC")</f>
        <v>UCSC</v>
      </c>
      <c r="E9866" s="1" t="str">
        <f>HYPERLINK("http://www.ncbi.nlm.nih.gov/gene/?term=KCNAB2","NCBI")</f>
        <v>NCBI</v>
      </c>
      <c r="F9866">
        <v>0.21</v>
      </c>
      <c r="G9866">
        <v>0.36</v>
      </c>
      <c r="H9866" s="1" t="str">
        <f>HYPERLINK("http://www.weizmann.ac.il/complex/compphys/software/geview/data/figures/203402_at.png","Figure")</f>
        <v>Figure</v>
      </c>
      <c r="I9866">
        <v>0.94599999999999995</v>
      </c>
      <c r="J9866">
        <v>0.94</v>
      </c>
      <c r="K9866">
        <v>1.23</v>
      </c>
      <c r="L9866">
        <v>0.36</v>
      </c>
      <c r="M9866">
        <v>1.3</v>
      </c>
      <c r="N9866">
        <v>0.24</v>
      </c>
    </row>
    <row r="9867" spans="1:14" x14ac:dyDescent="0.25">
      <c r="A9867" t="s">
        <v>17262</v>
      </c>
      <c r="B9867" t="s">
        <v>17263</v>
      </c>
      <c r="C9867" s="1" t="str">
        <f>HYPERLINK("http://www.genecards.org/cgi-bin/carddisp.pl?gene=ANKHD1-EIF4EBP3 /// EIF4EBP3","GeneCards")</f>
        <v>GeneCards</v>
      </c>
      <c r="D9867" s="1" t="str">
        <f>HYPERLINK("http://genome-euro.ucsc.edu/cgi-bin/hgTracks?position=214919_s_at","UCSC")</f>
        <v>UCSC</v>
      </c>
      <c r="E9867" s="1" t="str">
        <f>HYPERLINK("http://www.ncbi.nlm.nih.gov/gene/?term=ANKHD1-EIF4EBP3 /// EIF4EBP3","NCBI")</f>
        <v>NCBI</v>
      </c>
      <c r="F9867">
        <v>0.21</v>
      </c>
      <c r="G9867">
        <v>0.36</v>
      </c>
      <c r="H9867" s="1" t="str">
        <f>HYPERLINK("http://www.weizmann.ac.il/complex/compphys/software/geview/data/figures/214919_s_at.png","Figure")</f>
        <v>Figure</v>
      </c>
      <c r="I9867">
        <v>1.02</v>
      </c>
      <c r="J9867">
        <v>0.99</v>
      </c>
      <c r="K9867">
        <v>1.35</v>
      </c>
      <c r="L9867">
        <v>0.25</v>
      </c>
      <c r="M9867">
        <v>1.33</v>
      </c>
      <c r="N9867">
        <v>0.34</v>
      </c>
    </row>
    <row r="9868" spans="1:14" x14ac:dyDescent="0.25">
      <c r="A9868" t="s">
        <v>17264</v>
      </c>
      <c r="B9868" t="s">
        <v>17265</v>
      </c>
      <c r="C9868" s="1" t="str">
        <f>HYPERLINK("http://www.genecards.org/cgi-bin/carddisp.pl?gene=TFE3","GeneCards")</f>
        <v>GeneCards</v>
      </c>
      <c r="D9868" s="1" t="str">
        <f>HYPERLINK("http://genome-euro.ucsc.edu/cgi-bin/hgTracks?position=212457_at","UCSC")</f>
        <v>UCSC</v>
      </c>
      <c r="E9868" s="1" t="str">
        <f>HYPERLINK("http://www.ncbi.nlm.nih.gov/gene/?term=TFE3","NCBI")</f>
        <v>NCBI</v>
      </c>
      <c r="F9868">
        <v>0.21</v>
      </c>
      <c r="G9868">
        <v>0.36</v>
      </c>
      <c r="H9868" s="1" t="str">
        <f>HYPERLINK("http://www.weizmann.ac.il/complex/compphys/software/geview/data/figures/212457_at.png","Figure")</f>
        <v>Figure</v>
      </c>
      <c r="I9868">
        <v>0.72799999999999998</v>
      </c>
      <c r="J9868">
        <v>0.19</v>
      </c>
      <c r="K9868">
        <v>0.90800000000000003</v>
      </c>
      <c r="L9868">
        <v>0.8</v>
      </c>
      <c r="M9868">
        <v>1.25</v>
      </c>
      <c r="N9868">
        <v>0.38</v>
      </c>
    </row>
    <row r="9869" spans="1:14" x14ac:dyDescent="0.25">
      <c r="A9869" t="s">
        <v>17266</v>
      </c>
      <c r="B9869" t="s">
        <v>17267</v>
      </c>
      <c r="C9869" s="1" t="str">
        <f>HYPERLINK("http://www.genecards.org/cgi-bin/carddisp.pl?gene=TGFBR3","GeneCards")</f>
        <v>GeneCards</v>
      </c>
      <c r="D9869" s="1" t="str">
        <f>HYPERLINK("http://genome-euro.ucsc.edu/cgi-bin/hgTracks?position=204731_at","UCSC")</f>
        <v>UCSC</v>
      </c>
      <c r="E9869" s="1" t="str">
        <f>HYPERLINK("http://www.ncbi.nlm.nih.gov/gene/?term=TGFBR3","NCBI")</f>
        <v>NCBI</v>
      </c>
      <c r="F9869">
        <v>0.21</v>
      </c>
      <c r="G9869">
        <v>0.36</v>
      </c>
      <c r="H9869" s="1" t="str">
        <f>HYPERLINK("http://www.weizmann.ac.il/complex/compphys/software/geview/data/figures/204731_at.png","Figure")</f>
        <v>Figure</v>
      </c>
      <c r="I9869">
        <v>1.05</v>
      </c>
      <c r="J9869">
        <v>0.98</v>
      </c>
      <c r="K9869">
        <v>0.66800000000000004</v>
      </c>
      <c r="L9869">
        <v>0.31</v>
      </c>
      <c r="M9869">
        <v>0.63400000000000001</v>
      </c>
      <c r="N9869">
        <v>0.27</v>
      </c>
    </row>
    <row r="9870" spans="1:14" x14ac:dyDescent="0.25">
      <c r="A9870" t="s">
        <v>17268</v>
      </c>
      <c r="B9870" t="s">
        <v>17269</v>
      </c>
      <c r="C9870" s="1" t="str">
        <f>HYPERLINK("http://www.genecards.org/cgi-bin/carddisp.pl?gene=PRPS1","GeneCards")</f>
        <v>GeneCards</v>
      </c>
      <c r="D9870" s="1" t="str">
        <f>HYPERLINK("http://genome-euro.ucsc.edu/cgi-bin/hgTracks?position=209440_at","UCSC")</f>
        <v>UCSC</v>
      </c>
      <c r="E9870" s="1" t="str">
        <f>HYPERLINK("http://www.ncbi.nlm.nih.gov/gene/?term=PRPS1","NCBI")</f>
        <v>NCBI</v>
      </c>
      <c r="F9870">
        <v>0.21</v>
      </c>
      <c r="G9870">
        <v>0.36</v>
      </c>
      <c r="H9870" s="1" t="str">
        <f>HYPERLINK("http://www.weizmann.ac.il/complex/compphys/software/geview/data/figures/209440_at.png","Figure")</f>
        <v>Figure</v>
      </c>
      <c r="I9870">
        <v>0.90900000000000003</v>
      </c>
      <c r="J9870">
        <v>0.83</v>
      </c>
      <c r="K9870">
        <v>1.19</v>
      </c>
      <c r="L9870">
        <v>0.45</v>
      </c>
      <c r="M9870">
        <v>1.31</v>
      </c>
      <c r="N9870">
        <v>0.21</v>
      </c>
    </row>
    <row r="9871" spans="1:14" x14ac:dyDescent="0.25">
      <c r="A9871" t="s">
        <v>17270</v>
      </c>
      <c r="B9871" t="s">
        <v>17271</v>
      </c>
      <c r="C9871" s="1" t="str">
        <f>HYPERLINK("http://www.genecards.org/cgi-bin/carddisp.pl?gene=GSPT1","GeneCards")</f>
        <v>GeneCards</v>
      </c>
      <c r="D9871" s="1" t="str">
        <f>HYPERLINK("http://genome-euro.ucsc.edu/cgi-bin/hgTracks?position=215438_x_at","UCSC")</f>
        <v>UCSC</v>
      </c>
      <c r="E9871" s="1" t="str">
        <f>HYPERLINK("http://www.ncbi.nlm.nih.gov/gene/?term=GSPT1","NCBI")</f>
        <v>NCBI</v>
      </c>
      <c r="F9871">
        <v>0.21</v>
      </c>
      <c r="G9871">
        <v>0.36</v>
      </c>
      <c r="H9871" s="1" t="str">
        <f>HYPERLINK("http://www.weizmann.ac.il/complex/compphys/software/geview/data/figures/215438_x_at.png","Figure")</f>
        <v>Figure</v>
      </c>
      <c r="I9871">
        <v>1.1000000000000001</v>
      </c>
      <c r="J9871">
        <v>0.89</v>
      </c>
      <c r="K9871">
        <v>0.79100000000000004</v>
      </c>
      <c r="L9871">
        <v>0.4</v>
      </c>
      <c r="M9871">
        <v>0.72099999999999997</v>
      </c>
      <c r="N9871">
        <v>0.23</v>
      </c>
    </row>
    <row r="9872" spans="1:14" x14ac:dyDescent="0.25">
      <c r="A9872" t="s">
        <v>17272</v>
      </c>
      <c r="B9872" t="s">
        <v>17273</v>
      </c>
      <c r="C9872" s="1" t="str">
        <f>HYPERLINK("http://www.genecards.org/cgi-bin/carddisp.pl?gene=ALG12","GeneCards")</f>
        <v>GeneCards</v>
      </c>
      <c r="D9872" s="1" t="str">
        <f>HYPERLINK("http://genome-euro.ucsc.edu/cgi-bin/hgTracks?position=218444_at","UCSC")</f>
        <v>UCSC</v>
      </c>
      <c r="E9872" s="1" t="str">
        <f>HYPERLINK("http://www.ncbi.nlm.nih.gov/gene/?term=ALG12","NCBI")</f>
        <v>NCBI</v>
      </c>
      <c r="F9872">
        <v>0.21</v>
      </c>
      <c r="G9872">
        <v>0.36</v>
      </c>
      <c r="H9872" s="1" t="str">
        <f>HYPERLINK("http://www.weizmann.ac.il/complex/compphys/software/geview/data/figures/218444_at.png","Figure")</f>
        <v>Figure</v>
      </c>
      <c r="I9872">
        <v>1.01</v>
      </c>
      <c r="J9872">
        <v>0.99</v>
      </c>
      <c r="K9872">
        <v>0.86599999999999999</v>
      </c>
      <c r="L9872">
        <v>0.28999999999999998</v>
      </c>
      <c r="M9872">
        <v>0.85599999999999998</v>
      </c>
      <c r="N9872">
        <v>0.28999999999999998</v>
      </c>
    </row>
    <row r="9873" spans="1:14" x14ac:dyDescent="0.25">
      <c r="A9873" t="s">
        <v>17274</v>
      </c>
      <c r="B9873" t="s">
        <v>6869</v>
      </c>
      <c r="C9873" s="1" t="str">
        <f>HYPERLINK("http://www.genecards.org/cgi-bin/carddisp.pl?gene=EIF5","GeneCards")</f>
        <v>GeneCards</v>
      </c>
      <c r="D9873" s="1" t="str">
        <f>HYPERLINK("http://genome-euro.ucsc.edu/cgi-bin/hgTracks?position=208290_s_at","UCSC")</f>
        <v>UCSC</v>
      </c>
      <c r="E9873" s="1" t="str">
        <f>HYPERLINK("http://www.ncbi.nlm.nih.gov/gene/?term=EIF5","NCBI")</f>
        <v>NCBI</v>
      </c>
      <c r="F9873">
        <v>0.21</v>
      </c>
      <c r="G9873">
        <v>0.36</v>
      </c>
      <c r="H9873" s="1" t="str">
        <f>HYPERLINK("http://www.weizmann.ac.il/complex/compphys/software/geview/data/figures/208290_s_at.png","Figure")</f>
        <v>Figure</v>
      </c>
      <c r="I9873">
        <v>0.73199999999999998</v>
      </c>
      <c r="J9873">
        <v>0.21</v>
      </c>
      <c r="K9873">
        <v>0.93400000000000005</v>
      </c>
      <c r="L9873">
        <v>0.89</v>
      </c>
      <c r="M9873">
        <v>1.28</v>
      </c>
      <c r="N9873">
        <v>0.32</v>
      </c>
    </row>
    <row r="9874" spans="1:14" x14ac:dyDescent="0.25">
      <c r="A9874" t="s">
        <v>17275</v>
      </c>
      <c r="B9874" t="s">
        <v>17276</v>
      </c>
      <c r="C9874" s="1" t="str">
        <f>HYPERLINK("http://www.genecards.org/cgi-bin/carddisp.pl?gene=IPPK","GeneCards")</f>
        <v>GeneCards</v>
      </c>
      <c r="D9874" s="1" t="str">
        <f>HYPERLINK("http://genome-euro.ucsc.edu/cgi-bin/hgTracks?position=219092_s_at","UCSC")</f>
        <v>UCSC</v>
      </c>
      <c r="E9874" s="1" t="str">
        <f>HYPERLINK("http://www.ncbi.nlm.nih.gov/gene/?term=IPPK","NCBI")</f>
        <v>NCBI</v>
      </c>
      <c r="F9874">
        <v>0.21</v>
      </c>
      <c r="G9874">
        <v>0.36</v>
      </c>
      <c r="H9874" s="1" t="str">
        <f>HYPERLINK("http://www.weizmann.ac.il/complex/compphys/software/geview/data/figures/219092_s_at.png","Figure")</f>
        <v>Figure</v>
      </c>
      <c r="I9874">
        <v>1.19</v>
      </c>
      <c r="J9874">
        <v>0.18</v>
      </c>
      <c r="K9874">
        <v>1.07</v>
      </c>
      <c r="L9874">
        <v>0.73</v>
      </c>
      <c r="M9874">
        <v>0.89300000000000002</v>
      </c>
      <c r="N9874">
        <v>0.43</v>
      </c>
    </row>
    <row r="9875" spans="1:14" x14ac:dyDescent="0.25">
      <c r="A9875" t="s">
        <v>17277</v>
      </c>
      <c r="B9875" t="s">
        <v>17278</v>
      </c>
      <c r="C9875" s="1" t="str">
        <f>HYPERLINK("http://www.genecards.org/cgi-bin/carddisp.pl?gene=KLHDC3","GeneCards")</f>
        <v>GeneCards</v>
      </c>
      <c r="D9875" s="1" t="str">
        <f>HYPERLINK("http://genome-euro.ucsc.edu/cgi-bin/hgTracks?position=208784_s_at","UCSC")</f>
        <v>UCSC</v>
      </c>
      <c r="E9875" s="1" t="str">
        <f>HYPERLINK("http://www.ncbi.nlm.nih.gov/gene/?term=KLHDC3","NCBI")</f>
        <v>NCBI</v>
      </c>
      <c r="F9875">
        <v>0.21</v>
      </c>
      <c r="G9875">
        <v>0.36</v>
      </c>
      <c r="H9875" s="1" t="str">
        <f>HYPERLINK("http://www.weizmann.ac.il/complex/compphys/software/geview/data/figures/208784_s_at.png","Figure")</f>
        <v>Figure</v>
      </c>
      <c r="I9875">
        <v>0.99399999999999999</v>
      </c>
      <c r="J9875">
        <v>1</v>
      </c>
      <c r="K9875">
        <v>1.1100000000000001</v>
      </c>
      <c r="L9875">
        <v>0.28999999999999998</v>
      </c>
      <c r="M9875">
        <v>1.1200000000000001</v>
      </c>
      <c r="N9875">
        <v>0.28999999999999998</v>
      </c>
    </row>
    <row r="9876" spans="1:14" x14ac:dyDescent="0.25">
      <c r="A9876" t="s">
        <v>17279</v>
      </c>
      <c r="B9876" t="s">
        <v>17280</v>
      </c>
      <c r="C9876" s="1" t="str">
        <f>HYPERLINK("http://www.genecards.org/cgi-bin/carddisp.pl?gene=CYR61","GeneCards")</f>
        <v>GeneCards</v>
      </c>
      <c r="D9876" s="1" t="str">
        <f>HYPERLINK("http://genome-euro.ucsc.edu/cgi-bin/hgTracks?position=210764_s_at","UCSC")</f>
        <v>UCSC</v>
      </c>
      <c r="E9876" s="1" t="str">
        <f>HYPERLINK("http://www.ncbi.nlm.nih.gov/gene/?term=CYR61","NCBI")</f>
        <v>NCBI</v>
      </c>
      <c r="F9876">
        <v>0.21</v>
      </c>
      <c r="G9876">
        <v>0.36</v>
      </c>
      <c r="H9876" s="1" t="str">
        <f>HYPERLINK("http://www.weizmann.ac.il/complex/compphys/software/geview/data/figures/210764_s_at.png","Figure")</f>
        <v>Figure</v>
      </c>
      <c r="I9876">
        <v>1.1499999999999999</v>
      </c>
      <c r="J9876">
        <v>0.18</v>
      </c>
      <c r="K9876">
        <v>1.08</v>
      </c>
      <c r="L9876">
        <v>0.51</v>
      </c>
      <c r="M9876">
        <v>0.93500000000000005</v>
      </c>
      <c r="N9876">
        <v>0.62</v>
      </c>
    </row>
    <row r="9877" spans="1:14" x14ac:dyDescent="0.25">
      <c r="A9877" t="s">
        <v>17281</v>
      </c>
      <c r="B9877" t="s">
        <v>17282</v>
      </c>
      <c r="C9877" s="1" t="str">
        <f>HYPERLINK("http://www.genecards.org/cgi-bin/carddisp.pl?gene=TCN1","GeneCards")</f>
        <v>GeneCards</v>
      </c>
      <c r="D9877" s="1" t="str">
        <f>HYPERLINK("http://genome-euro.ucsc.edu/cgi-bin/hgTracks?position=205513_at","UCSC")</f>
        <v>UCSC</v>
      </c>
      <c r="E9877" s="1" t="str">
        <f>HYPERLINK("http://www.ncbi.nlm.nih.gov/gene/?term=TCN1","NCBI")</f>
        <v>NCBI</v>
      </c>
      <c r="F9877">
        <v>0.21</v>
      </c>
      <c r="G9877">
        <v>0.36</v>
      </c>
      <c r="H9877" s="1" t="str">
        <f>HYPERLINK("http://www.weizmann.ac.il/complex/compphys/software/geview/data/figures/205513_at.png","Figure")</f>
        <v>Figure</v>
      </c>
      <c r="I9877">
        <v>1.07</v>
      </c>
      <c r="J9877">
        <v>0.76</v>
      </c>
      <c r="K9877">
        <v>0.90900000000000003</v>
      </c>
      <c r="L9877">
        <v>0.51</v>
      </c>
      <c r="M9877">
        <v>0.84899999999999998</v>
      </c>
      <c r="N9877">
        <v>0.2</v>
      </c>
    </row>
    <row r="9878" spans="1:14" x14ac:dyDescent="0.25">
      <c r="A9878" t="s">
        <v>17283</v>
      </c>
      <c r="B9878" t="s">
        <v>15283</v>
      </c>
      <c r="C9878" s="1" t="str">
        <f>HYPERLINK("http://www.genecards.org/cgi-bin/carddisp.pl?gene=TCEB1","GeneCards")</f>
        <v>GeneCards</v>
      </c>
      <c r="D9878" s="1" t="str">
        <f>HYPERLINK("http://genome-euro.ucsc.edu/cgi-bin/hgTracks?position=202824_s_at","UCSC")</f>
        <v>UCSC</v>
      </c>
      <c r="E9878" s="1" t="str">
        <f>HYPERLINK("http://www.ncbi.nlm.nih.gov/gene/?term=TCEB1","NCBI")</f>
        <v>NCBI</v>
      </c>
      <c r="F9878">
        <v>0.21</v>
      </c>
      <c r="G9878">
        <v>0.36</v>
      </c>
      <c r="H9878" s="1" t="str">
        <f>HYPERLINK("http://www.weizmann.ac.il/complex/compphys/software/geview/data/figures/202824_s_at.png","Figure")</f>
        <v>Figure</v>
      </c>
      <c r="I9878">
        <v>0.78300000000000003</v>
      </c>
      <c r="J9878">
        <v>0.19</v>
      </c>
      <c r="K9878">
        <v>0.873</v>
      </c>
      <c r="L9878">
        <v>0.48</v>
      </c>
      <c r="M9878">
        <v>1.1100000000000001</v>
      </c>
      <c r="N9878">
        <v>0.66</v>
      </c>
    </row>
    <row r="9879" spans="1:14" x14ac:dyDescent="0.25">
      <c r="A9879" t="s">
        <v>17284</v>
      </c>
      <c r="B9879" t="s">
        <v>17285</v>
      </c>
      <c r="C9879" s="1" t="str">
        <f>HYPERLINK("http://www.genecards.org/cgi-bin/carddisp.pl?gene=DHX57","GeneCards")</f>
        <v>GeneCards</v>
      </c>
      <c r="D9879" s="1" t="str">
        <f>HYPERLINK("http://genome-euro.ucsc.edu/cgi-bin/hgTracks?position=213420_at","UCSC")</f>
        <v>UCSC</v>
      </c>
      <c r="E9879" s="1" t="str">
        <f>HYPERLINK("http://www.ncbi.nlm.nih.gov/gene/?term=DHX57","NCBI")</f>
        <v>NCBI</v>
      </c>
      <c r="F9879">
        <v>0.21</v>
      </c>
      <c r="G9879">
        <v>0.36</v>
      </c>
      <c r="H9879" s="1" t="str">
        <f>HYPERLINK("http://www.weizmann.ac.il/complex/compphys/software/geview/data/figures/213420_at.png","Figure")</f>
        <v>Figure</v>
      </c>
      <c r="I9879">
        <v>1.1000000000000001</v>
      </c>
      <c r="J9879">
        <v>0.23</v>
      </c>
      <c r="K9879">
        <v>1.01</v>
      </c>
      <c r="L9879">
        <v>0.96</v>
      </c>
      <c r="M9879">
        <v>0.92400000000000004</v>
      </c>
      <c r="N9879">
        <v>0.27</v>
      </c>
    </row>
    <row r="9880" spans="1:14" x14ac:dyDescent="0.25">
      <c r="A9880" t="s">
        <v>17286</v>
      </c>
      <c r="B9880" t="s">
        <v>17287</v>
      </c>
      <c r="C9880" s="1" t="str">
        <f>HYPERLINK("http://www.genecards.org/cgi-bin/carddisp.pl?gene=ADM","GeneCards")</f>
        <v>GeneCards</v>
      </c>
      <c r="D9880" s="1" t="str">
        <f>HYPERLINK("http://genome-euro.ucsc.edu/cgi-bin/hgTracks?position=202912_at","UCSC")</f>
        <v>UCSC</v>
      </c>
      <c r="E9880" s="1" t="str">
        <f>HYPERLINK("http://www.ncbi.nlm.nih.gov/gene/?term=ADM","NCBI")</f>
        <v>NCBI</v>
      </c>
      <c r="F9880">
        <v>0.21</v>
      </c>
      <c r="G9880">
        <v>0.36</v>
      </c>
      <c r="H9880" s="1" t="str">
        <f>HYPERLINK("http://www.weizmann.ac.il/complex/compphys/software/geview/data/figures/202912_at.png","Figure")</f>
        <v>Figure</v>
      </c>
      <c r="I9880">
        <v>0.39500000000000002</v>
      </c>
      <c r="J9880">
        <v>0.19</v>
      </c>
      <c r="K9880">
        <v>0.60399999999999998</v>
      </c>
      <c r="L9880">
        <v>0.49</v>
      </c>
      <c r="M9880">
        <v>1.53</v>
      </c>
      <c r="N9880">
        <v>0.64</v>
      </c>
    </row>
    <row r="9881" spans="1:14" x14ac:dyDescent="0.25">
      <c r="A9881" t="s">
        <v>17288</v>
      </c>
      <c r="B9881" t="s">
        <v>17289</v>
      </c>
      <c r="C9881" s="1" t="str">
        <f>HYPERLINK("http://www.genecards.org/cgi-bin/carddisp.pl?gene=C6","GeneCards")</f>
        <v>GeneCards</v>
      </c>
      <c r="D9881" s="1" t="str">
        <f>HYPERLINK("http://genome-euro.ucsc.edu/cgi-bin/hgTracks?position=210168_at","UCSC")</f>
        <v>UCSC</v>
      </c>
      <c r="E9881" s="1" t="str">
        <f>HYPERLINK("http://www.ncbi.nlm.nih.gov/gene/?term=C6","NCBI")</f>
        <v>NCBI</v>
      </c>
      <c r="F9881">
        <v>0.21</v>
      </c>
      <c r="G9881">
        <v>0.36</v>
      </c>
      <c r="H9881" s="1" t="str">
        <f>HYPERLINK("http://www.weizmann.ac.il/complex/compphys/software/geview/data/figures/210168_at.png","Figure")</f>
        <v>Figure</v>
      </c>
      <c r="I9881">
        <v>1</v>
      </c>
      <c r="J9881">
        <v>1</v>
      </c>
      <c r="K9881">
        <v>0.94499999999999995</v>
      </c>
      <c r="L9881">
        <v>0.27</v>
      </c>
      <c r="M9881">
        <v>0.94599999999999995</v>
      </c>
      <c r="N9881">
        <v>0.32</v>
      </c>
    </row>
    <row r="9882" spans="1:14" x14ac:dyDescent="0.25">
      <c r="A9882" t="s">
        <v>17290</v>
      </c>
      <c r="B9882" t="s">
        <v>17291</v>
      </c>
      <c r="C9882" s="1" t="str">
        <f>HYPERLINK("http://www.genecards.org/cgi-bin/carddisp.pl?gene=ZNF532","GeneCards")</f>
        <v>GeneCards</v>
      </c>
      <c r="D9882" s="1" t="str">
        <f>HYPERLINK("http://genome-euro.ucsc.edu/cgi-bin/hgTracks?position=220617_s_at","UCSC")</f>
        <v>UCSC</v>
      </c>
      <c r="E9882" s="1" t="str">
        <f>HYPERLINK("http://www.ncbi.nlm.nih.gov/gene/?term=ZNF532","NCBI")</f>
        <v>NCBI</v>
      </c>
      <c r="F9882">
        <v>0.21</v>
      </c>
      <c r="G9882">
        <v>0.36</v>
      </c>
      <c r="H9882" s="1" t="str">
        <f>HYPERLINK("http://www.weizmann.ac.il/complex/compphys/software/geview/data/figures/220617_s_at.png","Figure")</f>
        <v>Figure</v>
      </c>
      <c r="I9882">
        <v>1.01</v>
      </c>
      <c r="J9882">
        <v>0.99</v>
      </c>
      <c r="K9882">
        <v>0.91700000000000004</v>
      </c>
      <c r="L9882">
        <v>0.31</v>
      </c>
      <c r="M9882">
        <v>0.90800000000000003</v>
      </c>
      <c r="N9882">
        <v>0.28000000000000003</v>
      </c>
    </row>
    <row r="9883" spans="1:14" x14ac:dyDescent="0.25">
      <c r="A9883" t="s">
        <v>17292</v>
      </c>
      <c r="B9883" t="s">
        <v>17293</v>
      </c>
      <c r="C9883" s="1" t="str">
        <f>HYPERLINK("http://www.genecards.org/cgi-bin/carddisp.pl?gene=DNAH3","GeneCards")</f>
        <v>GeneCards</v>
      </c>
      <c r="D9883" s="1" t="str">
        <f>HYPERLINK("http://genome-euro.ucsc.edu/cgi-bin/hgTracks?position=215266_at","UCSC")</f>
        <v>UCSC</v>
      </c>
      <c r="E9883" s="1" t="str">
        <f>HYPERLINK("http://www.ncbi.nlm.nih.gov/gene/?term=DNAH3","NCBI")</f>
        <v>NCBI</v>
      </c>
      <c r="F9883">
        <v>0.21</v>
      </c>
      <c r="G9883">
        <v>0.36</v>
      </c>
      <c r="H9883" s="1" t="str">
        <f>HYPERLINK("http://www.weizmann.ac.il/complex/compphys/software/geview/data/figures/215266_at.png","Figure")</f>
        <v>Figure</v>
      </c>
      <c r="I9883">
        <v>1.22</v>
      </c>
      <c r="J9883">
        <v>0.19</v>
      </c>
      <c r="K9883">
        <v>1.1200000000000001</v>
      </c>
      <c r="L9883">
        <v>0.45</v>
      </c>
      <c r="M9883">
        <v>0.92</v>
      </c>
      <c r="N9883">
        <v>0.69</v>
      </c>
    </row>
    <row r="9884" spans="1:14" x14ac:dyDescent="0.25">
      <c r="A9884" t="s">
        <v>17294</v>
      </c>
      <c r="B9884" t="s">
        <v>17295</v>
      </c>
      <c r="C9884" s="1" t="str">
        <f>HYPERLINK("http://www.genecards.org/cgi-bin/carddisp.pl?gene=SLC35E2","GeneCards")</f>
        <v>GeneCards</v>
      </c>
      <c r="D9884" s="1" t="str">
        <f>HYPERLINK("http://genome-euro.ucsc.edu/cgi-bin/hgTracks?position=215169_at","UCSC")</f>
        <v>UCSC</v>
      </c>
      <c r="E9884" s="1" t="str">
        <f>HYPERLINK("http://www.ncbi.nlm.nih.gov/gene/?term=SLC35E2","NCBI")</f>
        <v>NCBI</v>
      </c>
      <c r="F9884">
        <v>0.21</v>
      </c>
      <c r="G9884">
        <v>0.36</v>
      </c>
      <c r="H9884" s="1" t="str">
        <f>HYPERLINK("http://www.weizmann.ac.il/complex/compphys/software/geview/data/figures/215169_at.png","Figure")</f>
        <v>Figure</v>
      </c>
      <c r="I9884">
        <v>1.1499999999999999</v>
      </c>
      <c r="J9884">
        <v>0.3</v>
      </c>
      <c r="K9884">
        <v>1.1399999999999999</v>
      </c>
      <c r="L9884">
        <v>0.24</v>
      </c>
      <c r="M9884">
        <v>0.995</v>
      </c>
      <c r="N9884">
        <v>1</v>
      </c>
    </row>
    <row r="9885" spans="1:14" x14ac:dyDescent="0.25">
      <c r="A9885" t="s">
        <v>17296</v>
      </c>
      <c r="B9885" t="s">
        <v>7046</v>
      </c>
      <c r="C9885" s="1" t="str">
        <f>HYPERLINK("http://www.genecards.org/cgi-bin/carddisp.pl?gene=GTSE1","GeneCards")</f>
        <v>GeneCards</v>
      </c>
      <c r="D9885" s="1" t="str">
        <f>HYPERLINK("http://genome-euro.ucsc.edu/cgi-bin/hgTracks?position=204317_at","UCSC")</f>
        <v>UCSC</v>
      </c>
      <c r="E9885" s="1" t="str">
        <f>HYPERLINK("http://www.ncbi.nlm.nih.gov/gene/?term=GTSE1","NCBI")</f>
        <v>NCBI</v>
      </c>
      <c r="F9885">
        <v>0.21</v>
      </c>
      <c r="G9885">
        <v>0.36</v>
      </c>
      <c r="H9885" s="1" t="str">
        <f>HYPERLINK("http://www.weizmann.ac.il/complex/compphys/software/geview/data/figures/204317_at.png","Figure")</f>
        <v>Figure</v>
      </c>
      <c r="I9885">
        <v>1.02</v>
      </c>
      <c r="J9885">
        <v>0.82</v>
      </c>
      <c r="K9885">
        <v>1.04</v>
      </c>
      <c r="L9885">
        <v>0.19</v>
      </c>
      <c r="M9885">
        <v>1.03</v>
      </c>
      <c r="N9885">
        <v>0.54</v>
      </c>
    </row>
    <row r="9886" spans="1:14" x14ac:dyDescent="0.25">
      <c r="A9886" t="s">
        <v>17297</v>
      </c>
      <c r="B9886" t="s">
        <v>17298</v>
      </c>
      <c r="C9886" s="1" t="str">
        <f>HYPERLINK("http://www.genecards.org/cgi-bin/carddisp.pl?gene=HSPC159","GeneCards")</f>
        <v>GeneCards</v>
      </c>
      <c r="D9886" s="1" t="str">
        <f>HYPERLINK("http://genome-euro.ucsc.edu/cgi-bin/hgTracks?position=219998_at","UCSC")</f>
        <v>UCSC</v>
      </c>
      <c r="E9886" s="1" t="str">
        <f>HYPERLINK("http://www.ncbi.nlm.nih.gov/gene/?term=HSPC159","NCBI")</f>
        <v>NCBI</v>
      </c>
      <c r="F9886">
        <v>0.21</v>
      </c>
      <c r="G9886">
        <v>0.36</v>
      </c>
      <c r="H9886" s="1" t="str">
        <f>HYPERLINK("http://www.weizmann.ac.il/complex/compphys/software/geview/data/figures/219998_at.png","Figure")</f>
        <v>Figure</v>
      </c>
      <c r="I9886">
        <v>1.04</v>
      </c>
      <c r="J9886">
        <v>0.19</v>
      </c>
      <c r="K9886">
        <v>1.02</v>
      </c>
      <c r="L9886">
        <v>0.45</v>
      </c>
      <c r="M9886">
        <v>0.98499999999999999</v>
      </c>
      <c r="N9886">
        <v>0.7</v>
      </c>
    </row>
    <row r="9887" spans="1:14" x14ac:dyDescent="0.25">
      <c r="A9887" t="s">
        <v>17299</v>
      </c>
      <c r="B9887" t="s">
        <v>17300</v>
      </c>
      <c r="C9887" s="1" t="str">
        <f>HYPERLINK("http://www.genecards.org/cgi-bin/carddisp.pl?gene=C4orf10","GeneCards")</f>
        <v>GeneCards</v>
      </c>
      <c r="D9887" s="1" t="str">
        <f>HYPERLINK("http://genome-euro.ucsc.edu/cgi-bin/hgTracks?position=215141_at","UCSC")</f>
        <v>UCSC</v>
      </c>
      <c r="E9887" s="1" t="str">
        <f>HYPERLINK("http://www.ncbi.nlm.nih.gov/gene/?term=C4orf10","NCBI")</f>
        <v>NCBI</v>
      </c>
      <c r="F9887">
        <v>0.21</v>
      </c>
      <c r="G9887">
        <v>0.36</v>
      </c>
      <c r="H9887" s="1" t="str">
        <f>HYPERLINK("http://www.weizmann.ac.il/complex/compphys/software/geview/data/figures/215141_at.png","Figure")</f>
        <v>Figure</v>
      </c>
      <c r="I9887">
        <v>1.07</v>
      </c>
      <c r="J9887">
        <v>0.32</v>
      </c>
      <c r="K9887">
        <v>1.07</v>
      </c>
      <c r="L9887">
        <v>0.23</v>
      </c>
      <c r="M9887">
        <v>1</v>
      </c>
      <c r="N9887">
        <v>1</v>
      </c>
    </row>
    <row r="9888" spans="1:14" x14ac:dyDescent="0.25">
      <c r="A9888" t="s">
        <v>17301</v>
      </c>
      <c r="B9888" t="s">
        <v>17302</v>
      </c>
      <c r="C9888" s="1" t="str">
        <f>HYPERLINK("http://www.genecards.org/cgi-bin/carddisp.pl?gene=PIK3CB","GeneCards")</f>
        <v>GeneCards</v>
      </c>
      <c r="D9888" s="1" t="str">
        <f>HYPERLINK("http://genome-euro.ucsc.edu/cgi-bin/hgTracks?position=212688_at","UCSC")</f>
        <v>UCSC</v>
      </c>
      <c r="E9888" s="1" t="str">
        <f>HYPERLINK("http://www.ncbi.nlm.nih.gov/gene/?term=PIK3CB","NCBI")</f>
        <v>NCBI</v>
      </c>
      <c r="F9888">
        <v>0.21</v>
      </c>
      <c r="G9888">
        <v>0.36</v>
      </c>
      <c r="H9888" s="1" t="str">
        <f>HYPERLINK("http://www.weizmann.ac.il/complex/compphys/software/geview/data/figures/212688_at.png","Figure")</f>
        <v>Figure</v>
      </c>
      <c r="I9888">
        <v>0.85599999999999998</v>
      </c>
      <c r="J9888">
        <v>0.27</v>
      </c>
      <c r="K9888">
        <v>1</v>
      </c>
      <c r="L9888">
        <v>1</v>
      </c>
      <c r="M9888">
        <v>1.17</v>
      </c>
      <c r="N9888">
        <v>0.23</v>
      </c>
    </row>
    <row r="9889" spans="1:14" x14ac:dyDescent="0.25">
      <c r="A9889" t="s">
        <v>17303</v>
      </c>
      <c r="B9889" t="s">
        <v>17304</v>
      </c>
      <c r="C9889" s="1" t="str">
        <f>HYPERLINK("http://www.genecards.org/cgi-bin/carddisp.pl?gene=COL4A3BP","GeneCards")</f>
        <v>GeneCards</v>
      </c>
      <c r="D9889" s="1" t="str">
        <f>HYPERLINK("http://genome-euro.ucsc.edu/cgi-bin/hgTracks?position=219625_s_at","UCSC")</f>
        <v>UCSC</v>
      </c>
      <c r="E9889" s="1" t="str">
        <f>HYPERLINK("http://www.ncbi.nlm.nih.gov/gene/?term=COL4A3BP","NCBI")</f>
        <v>NCBI</v>
      </c>
      <c r="F9889">
        <v>0.21</v>
      </c>
      <c r="G9889">
        <v>0.36</v>
      </c>
      <c r="H9889" s="1" t="str">
        <f>HYPERLINK("http://www.weizmann.ac.il/complex/compphys/software/geview/data/figures/219625_s_at.png","Figure")</f>
        <v>Figure</v>
      </c>
      <c r="I9889">
        <v>0.78900000000000003</v>
      </c>
      <c r="J9889">
        <v>0.38</v>
      </c>
      <c r="K9889">
        <v>0.76100000000000001</v>
      </c>
      <c r="L9889">
        <v>0.2</v>
      </c>
      <c r="M9889">
        <v>0.96499999999999997</v>
      </c>
      <c r="N9889">
        <v>0.97</v>
      </c>
    </row>
    <row r="9890" spans="1:14" x14ac:dyDescent="0.25">
      <c r="A9890" t="s">
        <v>17305</v>
      </c>
      <c r="B9890" t="s">
        <v>4873</v>
      </c>
      <c r="C9890" s="1" t="str">
        <f>HYPERLINK("http://www.genecards.org/cgi-bin/carddisp.pl?gene=EHD1","GeneCards")</f>
        <v>GeneCards</v>
      </c>
      <c r="D9890" s="1" t="str">
        <f>HYPERLINK("http://genome-euro.ucsc.edu/cgi-bin/hgTracks?position=222221_x_at","UCSC")</f>
        <v>UCSC</v>
      </c>
      <c r="E9890" s="1" t="str">
        <f>HYPERLINK("http://www.ncbi.nlm.nih.gov/gene/?term=EHD1","NCBI")</f>
        <v>NCBI</v>
      </c>
      <c r="F9890">
        <v>0.21</v>
      </c>
      <c r="G9890">
        <v>0.36</v>
      </c>
      <c r="H9890" s="1" t="str">
        <f>HYPERLINK("http://www.weizmann.ac.il/complex/compphys/software/geview/data/figures/222221_x_at.png","Figure")</f>
        <v>Figure</v>
      </c>
      <c r="I9890">
        <v>1.22</v>
      </c>
      <c r="J9890">
        <v>0.18</v>
      </c>
      <c r="K9890">
        <v>1.0900000000000001</v>
      </c>
      <c r="L9890">
        <v>0.65</v>
      </c>
      <c r="M9890">
        <v>0.89</v>
      </c>
      <c r="N9890">
        <v>0.49</v>
      </c>
    </row>
    <row r="9891" spans="1:14" x14ac:dyDescent="0.25">
      <c r="A9891" t="s">
        <v>17306</v>
      </c>
      <c r="B9891" t="s">
        <v>9092</v>
      </c>
      <c r="C9891" s="1" t="str">
        <f>HYPERLINK("http://www.genecards.org/cgi-bin/carddisp.pl?gene=CACNA1A","GeneCards")</f>
        <v>GeneCards</v>
      </c>
      <c r="D9891" s="1" t="str">
        <f>HYPERLINK("http://genome-euro.ucsc.edu/cgi-bin/hgTracks?position=206399_x_at","UCSC")</f>
        <v>UCSC</v>
      </c>
      <c r="E9891" s="1" t="str">
        <f>HYPERLINK("http://www.ncbi.nlm.nih.gov/gene/?term=CACNA1A","NCBI")</f>
        <v>NCBI</v>
      </c>
      <c r="F9891">
        <v>0.21</v>
      </c>
      <c r="G9891">
        <v>0.36</v>
      </c>
      <c r="H9891" s="1" t="str">
        <f>HYPERLINK("http://www.weizmann.ac.il/complex/compphys/software/geview/data/figures/206399_x_at.png","Figure")</f>
        <v>Figure</v>
      </c>
      <c r="I9891">
        <v>1.21</v>
      </c>
      <c r="J9891">
        <v>0.19</v>
      </c>
      <c r="K9891">
        <v>1.1100000000000001</v>
      </c>
      <c r="L9891">
        <v>0.49</v>
      </c>
      <c r="M9891">
        <v>0.91800000000000004</v>
      </c>
      <c r="N9891">
        <v>0.65</v>
      </c>
    </row>
    <row r="9892" spans="1:14" x14ac:dyDescent="0.25">
      <c r="A9892" t="s">
        <v>17307</v>
      </c>
      <c r="B9892" t="s">
        <v>17308</v>
      </c>
      <c r="C9892" s="1" t="str">
        <f>HYPERLINK("http://www.genecards.org/cgi-bin/carddisp.pl?gene=SAFB2","GeneCards")</f>
        <v>GeneCards</v>
      </c>
      <c r="D9892" s="1" t="str">
        <f>HYPERLINK("http://genome-euro.ucsc.edu/cgi-bin/hgTracks?position=32099_at","UCSC")</f>
        <v>UCSC</v>
      </c>
      <c r="E9892" s="1" t="str">
        <f>HYPERLINK("http://www.ncbi.nlm.nih.gov/gene/?term=SAFB2","NCBI")</f>
        <v>NCBI</v>
      </c>
      <c r="F9892">
        <v>0.21</v>
      </c>
      <c r="G9892">
        <v>0.36</v>
      </c>
      <c r="H9892" s="1" t="str">
        <f>HYPERLINK("http://www.weizmann.ac.il/complex/compphys/software/geview/data/figures/32099_at.png","Figure")</f>
        <v>Figure</v>
      </c>
      <c r="I9892">
        <v>0.78</v>
      </c>
      <c r="J9892">
        <v>0.5</v>
      </c>
      <c r="K9892">
        <v>0.70199999999999996</v>
      </c>
      <c r="L9892">
        <v>0.19</v>
      </c>
      <c r="M9892">
        <v>0.9</v>
      </c>
      <c r="N9892">
        <v>0.86</v>
      </c>
    </row>
    <row r="9893" spans="1:14" x14ac:dyDescent="0.25">
      <c r="A9893" t="s">
        <v>17309</v>
      </c>
      <c r="B9893" t="s">
        <v>17310</v>
      </c>
      <c r="C9893" s="1" t="str">
        <f>HYPERLINK("http://www.genecards.org/cgi-bin/carddisp.pl?gene=MOSC1","GeneCards")</f>
        <v>GeneCards</v>
      </c>
      <c r="D9893" s="1" t="str">
        <f>HYPERLINK("http://genome-euro.ucsc.edu/cgi-bin/hgTracks?position=218865_at","UCSC")</f>
        <v>UCSC</v>
      </c>
      <c r="E9893" s="1" t="str">
        <f>HYPERLINK("http://www.ncbi.nlm.nih.gov/gene/?term=MOSC1","NCBI")</f>
        <v>NCBI</v>
      </c>
      <c r="F9893">
        <v>0.21</v>
      </c>
      <c r="G9893">
        <v>0.36</v>
      </c>
      <c r="H9893" s="1" t="str">
        <f>HYPERLINK("http://www.weizmann.ac.il/complex/compphys/software/geview/data/figures/218865_at.png","Figure")</f>
        <v>Figure</v>
      </c>
      <c r="I9893">
        <v>1.2</v>
      </c>
      <c r="J9893">
        <v>0.18</v>
      </c>
      <c r="K9893">
        <v>1.1000000000000001</v>
      </c>
      <c r="L9893">
        <v>0.54</v>
      </c>
      <c r="M9893">
        <v>0.91300000000000003</v>
      </c>
      <c r="N9893">
        <v>0.59</v>
      </c>
    </row>
    <row r="9894" spans="1:14" x14ac:dyDescent="0.25">
      <c r="A9894" t="s">
        <v>17311</v>
      </c>
      <c r="B9894" t="s">
        <v>17312</v>
      </c>
      <c r="C9894" s="1" t="str">
        <f>HYPERLINK("http://www.genecards.org/cgi-bin/carddisp.pl?gene=HIST1H3E","GeneCards")</f>
        <v>GeneCards</v>
      </c>
      <c r="D9894" s="1" t="str">
        <f>HYPERLINK("http://genome-euro.ucsc.edu/cgi-bin/hgTracks?position=214616_at","UCSC")</f>
        <v>UCSC</v>
      </c>
      <c r="E9894" s="1" t="str">
        <f>HYPERLINK("http://www.ncbi.nlm.nih.gov/gene/?term=HIST1H3E","NCBI")</f>
        <v>NCBI</v>
      </c>
      <c r="F9894">
        <v>0.21</v>
      </c>
      <c r="G9894">
        <v>0.36</v>
      </c>
      <c r="H9894" s="1" t="str">
        <f>HYPERLINK("http://www.weizmann.ac.il/complex/compphys/software/geview/data/figures/214616_at.png","Figure")</f>
        <v>Figure</v>
      </c>
      <c r="I9894">
        <v>1.1599999999999999</v>
      </c>
      <c r="J9894">
        <v>0.19</v>
      </c>
      <c r="K9894">
        <v>1.05</v>
      </c>
      <c r="L9894">
        <v>0.72</v>
      </c>
      <c r="M9894">
        <v>0.91200000000000003</v>
      </c>
      <c r="N9894">
        <v>0.43</v>
      </c>
    </row>
    <row r="9895" spans="1:14" x14ac:dyDescent="0.25">
      <c r="A9895" t="s">
        <v>17313</v>
      </c>
      <c r="B9895" t="s">
        <v>17314</v>
      </c>
      <c r="C9895" s="1" t="str">
        <f>HYPERLINK("http://www.genecards.org/cgi-bin/carddisp.pl?gene=LRRC42","GeneCards")</f>
        <v>GeneCards</v>
      </c>
      <c r="D9895" s="1" t="str">
        <f>HYPERLINK("http://genome-euro.ucsc.edu/cgi-bin/hgTracks?position=215084_s_at","UCSC")</f>
        <v>UCSC</v>
      </c>
      <c r="E9895" s="1" t="str">
        <f>HYPERLINK("http://www.ncbi.nlm.nih.gov/gene/?term=LRRC42","NCBI")</f>
        <v>NCBI</v>
      </c>
      <c r="F9895">
        <v>0.21</v>
      </c>
      <c r="G9895">
        <v>0.36</v>
      </c>
      <c r="H9895" s="1" t="str">
        <f>HYPERLINK("http://www.weizmann.ac.il/complex/compphys/software/geview/data/figures/215084_s_at.png","Figure")</f>
        <v>Figure</v>
      </c>
      <c r="I9895">
        <v>0.98399999999999999</v>
      </c>
      <c r="J9895">
        <v>0.98</v>
      </c>
      <c r="K9895">
        <v>0.876</v>
      </c>
      <c r="L9895">
        <v>0.24</v>
      </c>
      <c r="M9895">
        <v>0.89100000000000001</v>
      </c>
      <c r="N9895">
        <v>0.37</v>
      </c>
    </row>
    <row r="9896" spans="1:14" x14ac:dyDescent="0.25">
      <c r="A9896" t="s">
        <v>17315</v>
      </c>
      <c r="B9896" t="s">
        <v>17316</v>
      </c>
      <c r="C9896" s="1" t="str">
        <f>HYPERLINK("http://www.genecards.org/cgi-bin/carddisp.pl?gene=CA8","GeneCards")</f>
        <v>GeneCards</v>
      </c>
      <c r="D9896" s="1" t="str">
        <f>HYPERLINK("http://genome-euro.ucsc.edu/cgi-bin/hgTracks?position=220234_at","UCSC")</f>
        <v>UCSC</v>
      </c>
      <c r="E9896" s="1" t="str">
        <f>HYPERLINK("http://www.ncbi.nlm.nih.gov/gene/?term=CA8","NCBI")</f>
        <v>NCBI</v>
      </c>
      <c r="F9896">
        <v>0.21</v>
      </c>
      <c r="G9896">
        <v>0.36</v>
      </c>
      <c r="H9896" s="1" t="str">
        <f>HYPERLINK("http://www.weizmann.ac.il/complex/compphys/software/geview/data/figures/220234_at.png","Figure")</f>
        <v>Figure</v>
      </c>
      <c r="I9896">
        <v>1.1599999999999999</v>
      </c>
      <c r="J9896">
        <v>0.18</v>
      </c>
      <c r="K9896">
        <v>1.07</v>
      </c>
      <c r="L9896">
        <v>0.6</v>
      </c>
      <c r="M9896">
        <v>0.92300000000000004</v>
      </c>
      <c r="N9896">
        <v>0.53</v>
      </c>
    </row>
    <row r="9897" spans="1:14" x14ac:dyDescent="0.25">
      <c r="A9897" t="s">
        <v>17317</v>
      </c>
      <c r="B9897" t="s">
        <v>11444</v>
      </c>
      <c r="C9897" s="1" t="str">
        <f>HYPERLINK("http://www.genecards.org/cgi-bin/carddisp.pl?gene=CPSF1","GeneCards")</f>
        <v>GeneCards</v>
      </c>
      <c r="D9897" s="1" t="str">
        <f>HYPERLINK("http://genome-euro.ucsc.edu/cgi-bin/hgTracks?position=201639_s_at","UCSC")</f>
        <v>UCSC</v>
      </c>
      <c r="E9897" s="1" t="str">
        <f>HYPERLINK("http://www.ncbi.nlm.nih.gov/gene/?term=CPSF1","NCBI")</f>
        <v>NCBI</v>
      </c>
      <c r="F9897">
        <v>0.21</v>
      </c>
      <c r="G9897">
        <v>0.36</v>
      </c>
      <c r="H9897" s="1" t="str">
        <f>HYPERLINK("http://www.weizmann.ac.il/complex/compphys/software/geview/data/figures/201639_s_at.png","Figure")</f>
        <v>Figure</v>
      </c>
      <c r="I9897">
        <v>1.0900000000000001</v>
      </c>
      <c r="J9897">
        <v>0.94</v>
      </c>
      <c r="K9897">
        <v>1.48</v>
      </c>
      <c r="L9897">
        <v>0.22</v>
      </c>
      <c r="M9897">
        <v>1.35</v>
      </c>
      <c r="N9897">
        <v>0.43</v>
      </c>
    </row>
    <row r="9898" spans="1:14" x14ac:dyDescent="0.25">
      <c r="A9898" t="s">
        <v>17318</v>
      </c>
      <c r="B9898" t="s">
        <v>4913</v>
      </c>
      <c r="C9898" s="1" t="str">
        <f>HYPERLINK("http://www.genecards.org/cgi-bin/carddisp.pl?gene=MAP4","GeneCards")</f>
        <v>GeneCards</v>
      </c>
      <c r="D9898" s="1" t="str">
        <f>HYPERLINK("http://genome-euro.ucsc.edu/cgi-bin/hgTracks?position=200835_s_at","UCSC")</f>
        <v>UCSC</v>
      </c>
      <c r="E9898" s="1" t="str">
        <f>HYPERLINK("http://www.ncbi.nlm.nih.gov/gene/?term=MAP4","NCBI")</f>
        <v>NCBI</v>
      </c>
      <c r="F9898">
        <v>0.21</v>
      </c>
      <c r="G9898">
        <v>0.36</v>
      </c>
      <c r="H9898" s="1" t="str">
        <f>HYPERLINK("http://www.weizmann.ac.il/complex/compphys/software/geview/data/figures/200835_s_at.png","Figure")</f>
        <v>Figure</v>
      </c>
      <c r="I9898">
        <v>1.3</v>
      </c>
      <c r="J9898">
        <v>0.28000000000000003</v>
      </c>
      <c r="K9898">
        <v>0.99399999999999999</v>
      </c>
      <c r="L9898">
        <v>1</v>
      </c>
      <c r="M9898">
        <v>0.76600000000000001</v>
      </c>
      <c r="N9898">
        <v>0.22</v>
      </c>
    </row>
    <row r="9899" spans="1:14" x14ac:dyDescent="0.25">
      <c r="A9899" t="s">
        <v>17319</v>
      </c>
      <c r="B9899" t="s">
        <v>17320</v>
      </c>
      <c r="C9899" s="1" t="str">
        <f>HYPERLINK("http://www.genecards.org/cgi-bin/carddisp.pl?gene=SLC4A1","GeneCards")</f>
        <v>GeneCards</v>
      </c>
      <c r="D9899" s="1" t="str">
        <f>HYPERLINK("http://genome-euro.ucsc.edu/cgi-bin/hgTracks?position=205592_at","UCSC")</f>
        <v>UCSC</v>
      </c>
      <c r="E9899" s="1" t="str">
        <f>HYPERLINK("http://www.ncbi.nlm.nih.gov/gene/?term=SLC4A1","NCBI")</f>
        <v>NCBI</v>
      </c>
      <c r="F9899">
        <v>0.21</v>
      </c>
      <c r="G9899">
        <v>0.36</v>
      </c>
      <c r="H9899" s="1" t="str">
        <f>HYPERLINK("http://www.weizmann.ac.il/complex/compphys/software/geview/data/figures/205592_at.png","Figure")</f>
        <v>Figure</v>
      </c>
      <c r="I9899">
        <v>1.81</v>
      </c>
      <c r="J9899">
        <v>0.31</v>
      </c>
      <c r="K9899">
        <v>0.94</v>
      </c>
      <c r="L9899">
        <v>0.98</v>
      </c>
      <c r="M9899">
        <v>0.52</v>
      </c>
      <c r="N9899">
        <v>0.21</v>
      </c>
    </row>
    <row r="9900" spans="1:14" x14ac:dyDescent="0.25">
      <c r="A9900" t="s">
        <v>17321</v>
      </c>
      <c r="B9900" t="s">
        <v>17322</v>
      </c>
      <c r="C9900" s="1" t="str">
        <f>HYPERLINK("http://www.genecards.org/cgi-bin/carddisp.pl?gene=PPP1R2P9","GeneCards")</f>
        <v>GeneCards</v>
      </c>
      <c r="D9900" s="1" t="str">
        <f>HYPERLINK("http://genome-euro.ucsc.edu/cgi-bin/hgTracks?position=207377_at","UCSC")</f>
        <v>UCSC</v>
      </c>
      <c r="E9900" s="1" t="str">
        <f>HYPERLINK("http://www.ncbi.nlm.nih.gov/gene/?term=PPP1R2P9","NCBI")</f>
        <v>NCBI</v>
      </c>
      <c r="F9900">
        <v>0.21</v>
      </c>
      <c r="G9900">
        <v>0.36</v>
      </c>
      <c r="H9900" s="1" t="str">
        <f>HYPERLINK("http://www.weizmann.ac.il/complex/compphys/software/geview/data/figures/207377_at.png","Figure")</f>
        <v>Figure</v>
      </c>
      <c r="I9900">
        <v>1.06</v>
      </c>
      <c r="J9900">
        <v>0.31</v>
      </c>
      <c r="K9900">
        <v>1.05</v>
      </c>
      <c r="L9900">
        <v>0.23</v>
      </c>
      <c r="M9900">
        <v>0.999</v>
      </c>
      <c r="N9900">
        <v>1</v>
      </c>
    </row>
    <row r="9901" spans="1:14" x14ac:dyDescent="0.25">
      <c r="A9901" t="s">
        <v>17323</v>
      </c>
      <c r="B9901" t="s">
        <v>17324</v>
      </c>
      <c r="C9901" s="1" t="str">
        <f>HYPERLINK("http://www.genecards.org/cgi-bin/carddisp.pl?gene=ADAM7","GeneCards")</f>
        <v>GeneCards</v>
      </c>
      <c r="D9901" s="1" t="str">
        <f>HYPERLINK("http://genome-euro.ucsc.edu/cgi-bin/hgTracks?position=211238_at","UCSC")</f>
        <v>UCSC</v>
      </c>
      <c r="E9901" s="1" t="str">
        <f>HYPERLINK("http://www.ncbi.nlm.nih.gov/gene/?term=ADAM7","NCBI")</f>
        <v>NCBI</v>
      </c>
      <c r="F9901">
        <v>0.21</v>
      </c>
      <c r="G9901">
        <v>0.36</v>
      </c>
      <c r="H9901" s="1" t="str">
        <f>HYPERLINK("http://www.weizmann.ac.il/complex/compphys/software/geview/data/figures/211238_at.png","Figure")</f>
        <v>Figure</v>
      </c>
      <c r="I9901">
        <v>1.03</v>
      </c>
      <c r="J9901">
        <v>0.2</v>
      </c>
      <c r="K9901">
        <v>1.02</v>
      </c>
      <c r="L9901">
        <v>0.42</v>
      </c>
      <c r="M9901">
        <v>0.98699999999999999</v>
      </c>
      <c r="N9901">
        <v>0.74</v>
      </c>
    </row>
    <row r="9902" spans="1:14" x14ac:dyDescent="0.25">
      <c r="A9902" t="s">
        <v>17325</v>
      </c>
      <c r="B9902" t="s">
        <v>17326</v>
      </c>
      <c r="C9902" s="1" t="str">
        <f>HYPERLINK("http://www.genecards.org/cgi-bin/carddisp.pl?gene=TBL2","GeneCards")</f>
        <v>GeneCards</v>
      </c>
      <c r="D9902" s="1" t="str">
        <f>HYPERLINK("http://genome-euro.ucsc.edu/cgi-bin/hgTracks?position=212685_s_at","UCSC")</f>
        <v>UCSC</v>
      </c>
      <c r="E9902" s="1" t="str">
        <f>HYPERLINK("http://www.ncbi.nlm.nih.gov/gene/?term=TBL2","NCBI")</f>
        <v>NCBI</v>
      </c>
      <c r="F9902">
        <v>0.21</v>
      </c>
      <c r="G9902">
        <v>0.36</v>
      </c>
      <c r="H9902" s="1" t="str">
        <f>HYPERLINK("http://www.weizmann.ac.il/complex/compphys/software/geview/data/figures/212685_s_at.png","Figure")</f>
        <v>Figure</v>
      </c>
      <c r="I9902">
        <v>0.85399999999999998</v>
      </c>
      <c r="J9902">
        <v>0.45</v>
      </c>
      <c r="K9902">
        <v>1.07</v>
      </c>
      <c r="L9902">
        <v>0.83</v>
      </c>
      <c r="M9902">
        <v>1.25</v>
      </c>
      <c r="N9902">
        <v>0.18</v>
      </c>
    </row>
    <row r="9903" spans="1:14" x14ac:dyDescent="0.25">
      <c r="A9903" t="s">
        <v>17327</v>
      </c>
      <c r="B9903" t="s">
        <v>17328</v>
      </c>
      <c r="C9903" s="1" t="str">
        <f>HYPERLINK("http://www.genecards.org/cgi-bin/carddisp.pl?gene=FOXD1","GeneCards")</f>
        <v>GeneCards</v>
      </c>
      <c r="D9903" s="1" t="str">
        <f>HYPERLINK("http://genome-euro.ucsc.edu/cgi-bin/hgTracks?position=213972_at","UCSC")</f>
        <v>UCSC</v>
      </c>
      <c r="E9903" s="1" t="str">
        <f>HYPERLINK("http://www.ncbi.nlm.nih.gov/gene/?term=FOXD1","NCBI")</f>
        <v>NCBI</v>
      </c>
      <c r="F9903">
        <v>0.21</v>
      </c>
      <c r="G9903">
        <v>0.36</v>
      </c>
      <c r="H9903" s="1" t="str">
        <f>HYPERLINK("http://www.weizmann.ac.il/complex/compphys/software/geview/data/figures/213972_at.png","Figure")</f>
        <v>Figure</v>
      </c>
      <c r="I9903">
        <v>1.1399999999999999</v>
      </c>
      <c r="J9903">
        <v>0.18</v>
      </c>
      <c r="K9903">
        <v>1.06</v>
      </c>
      <c r="L9903">
        <v>0.62</v>
      </c>
      <c r="M9903">
        <v>0.93100000000000005</v>
      </c>
      <c r="N9903">
        <v>0.51</v>
      </c>
    </row>
    <row r="9904" spans="1:14" x14ac:dyDescent="0.25">
      <c r="A9904" t="s">
        <v>17329</v>
      </c>
      <c r="B9904" t="s">
        <v>2126</v>
      </c>
      <c r="C9904" s="1" t="str">
        <f>HYPERLINK("http://www.genecards.org/cgi-bin/carddisp.pl?gene=PPIA","GeneCards")</f>
        <v>GeneCards</v>
      </c>
      <c r="D9904" s="1" t="str">
        <f>HYPERLINK("http://genome-euro.ucsc.edu/cgi-bin/hgTracks?position=217602_at","UCSC")</f>
        <v>UCSC</v>
      </c>
      <c r="E9904" s="1" t="str">
        <f>HYPERLINK("http://www.ncbi.nlm.nih.gov/gene/?term=PPIA","NCBI")</f>
        <v>NCBI</v>
      </c>
      <c r="F9904">
        <v>0.21</v>
      </c>
      <c r="G9904">
        <v>0.36</v>
      </c>
      <c r="H9904" s="1" t="str">
        <f>HYPERLINK("http://www.weizmann.ac.il/complex/compphys/software/geview/data/figures/217602_at.png","Figure")</f>
        <v>Figure</v>
      </c>
      <c r="I9904">
        <v>1</v>
      </c>
      <c r="J9904">
        <v>1</v>
      </c>
      <c r="K9904">
        <v>0.83299999999999996</v>
      </c>
      <c r="L9904">
        <v>0.27</v>
      </c>
      <c r="M9904">
        <v>0.83299999999999996</v>
      </c>
      <c r="N9904">
        <v>0.32</v>
      </c>
    </row>
    <row r="9905" spans="1:14" x14ac:dyDescent="0.25">
      <c r="A9905" t="s">
        <v>17330</v>
      </c>
      <c r="B9905" t="s">
        <v>17331</v>
      </c>
      <c r="C9905" s="1" t="str">
        <f>HYPERLINK("http://www.genecards.org/cgi-bin/carddisp.pl?gene=CHML","GeneCards")</f>
        <v>GeneCards</v>
      </c>
      <c r="D9905" s="1" t="str">
        <f>HYPERLINK("http://genome-euro.ucsc.edu/cgi-bin/hgTracks?position=206079_at","UCSC")</f>
        <v>UCSC</v>
      </c>
      <c r="E9905" s="1" t="str">
        <f>HYPERLINK("http://www.ncbi.nlm.nih.gov/gene/?term=CHML","NCBI")</f>
        <v>NCBI</v>
      </c>
      <c r="F9905">
        <v>0.21</v>
      </c>
      <c r="G9905">
        <v>0.36</v>
      </c>
      <c r="H9905" s="1" t="str">
        <f>HYPERLINK("http://www.weizmann.ac.il/complex/compphys/software/geview/data/figures/206079_at.png","Figure")</f>
        <v>Figure</v>
      </c>
      <c r="I9905">
        <v>0.99099999999999999</v>
      </c>
      <c r="J9905">
        <v>0.99</v>
      </c>
      <c r="K9905">
        <v>0.88100000000000001</v>
      </c>
      <c r="L9905">
        <v>0.25</v>
      </c>
      <c r="M9905">
        <v>0.88900000000000001</v>
      </c>
      <c r="N9905">
        <v>0.35</v>
      </c>
    </row>
    <row r="9906" spans="1:14" x14ac:dyDescent="0.25">
      <c r="A9906" t="s">
        <v>17332</v>
      </c>
      <c r="B9906" t="s">
        <v>17333</v>
      </c>
      <c r="C9906" s="1" t="str">
        <f>HYPERLINK("http://www.genecards.org/cgi-bin/carddisp.pl?gene=CRKL","GeneCards")</f>
        <v>GeneCards</v>
      </c>
      <c r="D9906" s="1" t="str">
        <f>HYPERLINK("http://genome-euro.ucsc.edu/cgi-bin/hgTracks?position=212180_at","UCSC")</f>
        <v>UCSC</v>
      </c>
      <c r="E9906" s="1" t="str">
        <f>HYPERLINK("http://www.ncbi.nlm.nih.gov/gene/?term=CRKL","NCBI")</f>
        <v>NCBI</v>
      </c>
      <c r="F9906">
        <v>0.21</v>
      </c>
      <c r="G9906">
        <v>0.36</v>
      </c>
      <c r="H9906" s="1" t="str">
        <f>HYPERLINK("http://www.weizmann.ac.il/complex/compphys/software/geview/data/figures/212180_at.png","Figure")</f>
        <v>Figure</v>
      </c>
      <c r="I9906">
        <v>1.05</v>
      </c>
      <c r="J9906">
        <v>0.98</v>
      </c>
      <c r="K9906">
        <v>0.73099999999999998</v>
      </c>
      <c r="L9906">
        <v>0.32</v>
      </c>
      <c r="M9906">
        <v>0.69699999999999995</v>
      </c>
      <c r="N9906">
        <v>0.27</v>
      </c>
    </row>
    <row r="9907" spans="1:14" x14ac:dyDescent="0.25">
      <c r="A9907" t="s">
        <v>17334</v>
      </c>
      <c r="B9907" t="s">
        <v>17335</v>
      </c>
      <c r="C9907" s="1" t="str">
        <f>HYPERLINK("http://www.genecards.org/cgi-bin/carddisp.pl?gene=SLC2A9","GeneCards")</f>
        <v>GeneCards</v>
      </c>
      <c r="D9907" s="1" t="str">
        <f>HYPERLINK("http://genome-euro.ucsc.edu/cgi-bin/hgTracks?position=219991_at","UCSC")</f>
        <v>UCSC</v>
      </c>
      <c r="E9907" s="1" t="str">
        <f>HYPERLINK("http://www.ncbi.nlm.nih.gov/gene/?term=SLC2A9","NCBI")</f>
        <v>NCBI</v>
      </c>
      <c r="F9907">
        <v>0.21</v>
      </c>
      <c r="G9907">
        <v>0.36</v>
      </c>
      <c r="H9907" s="1" t="str">
        <f>HYPERLINK("http://www.weizmann.ac.il/complex/compphys/software/geview/data/figures/219991_at.png","Figure")</f>
        <v>Figure</v>
      </c>
      <c r="I9907">
        <v>0.96099999999999997</v>
      </c>
      <c r="J9907">
        <v>0.85</v>
      </c>
      <c r="K9907">
        <v>0.89</v>
      </c>
      <c r="L9907">
        <v>0.2</v>
      </c>
      <c r="M9907">
        <v>0.92600000000000005</v>
      </c>
      <c r="N9907">
        <v>0.52</v>
      </c>
    </row>
    <row r="9908" spans="1:14" x14ac:dyDescent="0.25">
      <c r="A9908" t="s">
        <v>17336</v>
      </c>
      <c r="B9908" t="s">
        <v>15929</v>
      </c>
      <c r="C9908" s="1" t="str">
        <f>HYPERLINK("http://www.genecards.org/cgi-bin/carddisp.pl?gene=RCHY1","GeneCards")</f>
        <v>GeneCards</v>
      </c>
      <c r="D9908" s="1" t="str">
        <f>HYPERLINK("http://genome-euro.ucsc.edu/cgi-bin/hgTracks?position=212749_s_at","UCSC")</f>
        <v>UCSC</v>
      </c>
      <c r="E9908" s="1" t="str">
        <f>HYPERLINK("http://www.ncbi.nlm.nih.gov/gene/?term=RCHY1","NCBI")</f>
        <v>NCBI</v>
      </c>
      <c r="F9908">
        <v>0.21</v>
      </c>
      <c r="G9908">
        <v>0.36</v>
      </c>
      <c r="H9908" s="1" t="str">
        <f>HYPERLINK("http://www.weizmann.ac.il/complex/compphys/software/geview/data/figures/212749_s_at.png","Figure")</f>
        <v>Figure</v>
      </c>
      <c r="I9908">
        <v>0.66</v>
      </c>
      <c r="J9908">
        <v>0.35</v>
      </c>
      <c r="K9908">
        <v>0.64100000000000001</v>
      </c>
      <c r="L9908">
        <v>0.22</v>
      </c>
      <c r="M9908">
        <v>0.97</v>
      </c>
      <c r="N9908">
        <v>0.99</v>
      </c>
    </row>
    <row r="9909" spans="1:14" x14ac:dyDescent="0.25">
      <c r="A9909" t="s">
        <v>17337</v>
      </c>
      <c r="B9909" t="s">
        <v>14156</v>
      </c>
      <c r="C9909" s="1" t="str">
        <f>HYPERLINK("http://www.genecards.org/cgi-bin/carddisp.pl?gene=DDAH2","GeneCards")</f>
        <v>GeneCards</v>
      </c>
      <c r="D9909" s="1" t="str">
        <f>HYPERLINK("http://genome-euro.ucsc.edu/cgi-bin/hgTracks?position=214909_s_at","UCSC")</f>
        <v>UCSC</v>
      </c>
      <c r="E9909" s="1" t="str">
        <f>HYPERLINK("http://www.ncbi.nlm.nih.gov/gene/?term=DDAH2","NCBI")</f>
        <v>NCBI</v>
      </c>
      <c r="F9909">
        <v>0.21</v>
      </c>
      <c r="G9909">
        <v>0.36</v>
      </c>
      <c r="H9909" s="1" t="str">
        <f>HYPERLINK("http://www.weizmann.ac.il/complex/compphys/software/geview/data/figures/214909_s_at.png","Figure")</f>
        <v>Figure</v>
      </c>
      <c r="I9909">
        <v>0.84</v>
      </c>
      <c r="J9909">
        <v>0.72</v>
      </c>
      <c r="K9909">
        <v>1.23</v>
      </c>
      <c r="L9909">
        <v>0.55000000000000004</v>
      </c>
      <c r="M9909">
        <v>1.46</v>
      </c>
      <c r="N9909">
        <v>0.19</v>
      </c>
    </row>
    <row r="9910" spans="1:14" x14ac:dyDescent="0.25">
      <c r="A9910" t="s">
        <v>17338</v>
      </c>
      <c r="B9910" t="s">
        <v>2048</v>
      </c>
      <c r="C9910" s="1" t="str">
        <f>HYPERLINK("http://www.genecards.org/cgi-bin/carddisp.pl?gene=APPBP2","GeneCards")</f>
        <v>GeneCards</v>
      </c>
      <c r="D9910" s="1" t="str">
        <f>HYPERLINK("http://genome-euro.ucsc.edu/cgi-bin/hgTracks?position=202631_s_at","UCSC")</f>
        <v>UCSC</v>
      </c>
      <c r="E9910" s="1" t="str">
        <f>HYPERLINK("http://www.ncbi.nlm.nih.gov/gene/?term=APPBP2","NCBI")</f>
        <v>NCBI</v>
      </c>
      <c r="F9910">
        <v>0.21</v>
      </c>
      <c r="G9910">
        <v>0.36</v>
      </c>
      <c r="H9910" s="1" t="str">
        <f>HYPERLINK("http://www.weizmann.ac.il/complex/compphys/software/geview/data/figures/202631_s_at.png","Figure")</f>
        <v>Figure</v>
      </c>
      <c r="I9910">
        <v>0.79900000000000004</v>
      </c>
      <c r="J9910">
        <v>0.2</v>
      </c>
      <c r="K9910">
        <v>0.94299999999999995</v>
      </c>
      <c r="L9910">
        <v>0.85</v>
      </c>
      <c r="M9910">
        <v>1.18</v>
      </c>
      <c r="N9910">
        <v>0.35</v>
      </c>
    </row>
    <row r="9911" spans="1:14" x14ac:dyDescent="0.25">
      <c r="A9911" t="s">
        <v>17339</v>
      </c>
      <c r="B9911" t="s">
        <v>7867</v>
      </c>
      <c r="C9911" s="1" t="str">
        <f>HYPERLINK("http://www.genecards.org/cgi-bin/carddisp.pl?gene=EML3","GeneCards")</f>
        <v>GeneCards</v>
      </c>
      <c r="D9911" s="1" t="str">
        <f>HYPERLINK("http://genome-euro.ucsc.edu/cgi-bin/hgTracks?position=203443_at","UCSC")</f>
        <v>UCSC</v>
      </c>
      <c r="E9911" s="1" t="str">
        <f>HYPERLINK("http://www.ncbi.nlm.nih.gov/gene/?term=EML3","NCBI")</f>
        <v>NCBI</v>
      </c>
      <c r="F9911">
        <v>0.21</v>
      </c>
      <c r="G9911">
        <v>0.36</v>
      </c>
      <c r="H9911" s="1" t="str">
        <f>HYPERLINK("http://www.weizmann.ac.il/complex/compphys/software/geview/data/figures/203443_at.png","Figure")</f>
        <v>Figure</v>
      </c>
      <c r="I9911">
        <v>1.1599999999999999</v>
      </c>
      <c r="J9911">
        <v>0.19</v>
      </c>
      <c r="K9911">
        <v>1.08</v>
      </c>
      <c r="L9911">
        <v>0.51</v>
      </c>
      <c r="M9911">
        <v>0.93500000000000005</v>
      </c>
      <c r="N9911">
        <v>0.63</v>
      </c>
    </row>
    <row r="9912" spans="1:14" x14ac:dyDescent="0.25">
      <c r="A9912" t="s">
        <v>17340</v>
      </c>
      <c r="B9912" t="s">
        <v>17341</v>
      </c>
      <c r="C9912" s="1" t="str">
        <f>HYPERLINK("http://www.genecards.org/cgi-bin/carddisp.pl?gene=CYP3A7","GeneCards")</f>
        <v>GeneCards</v>
      </c>
      <c r="D9912" s="1" t="str">
        <f>HYPERLINK("http://genome-euro.ucsc.edu/cgi-bin/hgTracks?position=205939_at","UCSC")</f>
        <v>UCSC</v>
      </c>
      <c r="E9912" s="1" t="str">
        <f>HYPERLINK("http://www.ncbi.nlm.nih.gov/gene/?term=CYP3A7","NCBI")</f>
        <v>NCBI</v>
      </c>
      <c r="F9912">
        <v>0.21</v>
      </c>
      <c r="G9912">
        <v>0.36</v>
      </c>
      <c r="H9912" s="1" t="str">
        <f>HYPERLINK("http://www.weizmann.ac.il/complex/compphys/software/geview/data/figures/205939_at.png","Figure")</f>
        <v>Figure</v>
      </c>
      <c r="I9912">
        <v>1.1100000000000001</v>
      </c>
      <c r="J9912">
        <v>0.46</v>
      </c>
      <c r="K9912">
        <v>0.95799999999999996</v>
      </c>
      <c r="L9912">
        <v>0.82</v>
      </c>
      <c r="M9912">
        <v>0.86599999999999999</v>
      </c>
      <c r="N9912">
        <v>0.19</v>
      </c>
    </row>
    <row r="9913" spans="1:14" x14ac:dyDescent="0.25">
      <c r="A9913" t="s">
        <v>17342</v>
      </c>
      <c r="B9913" t="s">
        <v>17343</v>
      </c>
      <c r="C9913" s="1" t="str">
        <f>HYPERLINK("http://www.genecards.org/cgi-bin/carddisp.pl?gene=RAP2B","GeneCards")</f>
        <v>GeneCards</v>
      </c>
      <c r="D9913" s="1" t="str">
        <f>HYPERLINK("http://genome-euro.ucsc.edu/cgi-bin/hgTracks?position=213923_at","UCSC")</f>
        <v>UCSC</v>
      </c>
      <c r="E9913" s="1" t="str">
        <f>HYPERLINK("http://www.ncbi.nlm.nih.gov/gene/?term=RAP2B","NCBI")</f>
        <v>NCBI</v>
      </c>
      <c r="F9913">
        <v>0.21</v>
      </c>
      <c r="G9913">
        <v>0.36</v>
      </c>
      <c r="H9913" s="1" t="str">
        <f>HYPERLINK("http://www.weizmann.ac.il/complex/compphys/software/geview/data/figures/213923_at.png","Figure")</f>
        <v>Figure</v>
      </c>
      <c r="I9913">
        <v>0.73099999999999998</v>
      </c>
      <c r="J9913">
        <v>0.3</v>
      </c>
      <c r="K9913">
        <v>1.02</v>
      </c>
      <c r="L9913">
        <v>0.99</v>
      </c>
      <c r="M9913">
        <v>1.4</v>
      </c>
      <c r="N9913">
        <v>0.22</v>
      </c>
    </row>
    <row r="9914" spans="1:14" x14ac:dyDescent="0.25">
      <c r="A9914" t="s">
        <v>17344</v>
      </c>
      <c r="B9914" t="s">
        <v>10760</v>
      </c>
      <c r="C9914" s="1" t="str">
        <f>HYPERLINK("http://www.genecards.org/cgi-bin/carddisp.pl?gene=KLC1","GeneCards")</f>
        <v>GeneCards</v>
      </c>
      <c r="D9914" s="1" t="str">
        <f>HYPERLINK("http://genome-euro.ucsc.edu/cgi-bin/hgTracks?position=212877_at","UCSC")</f>
        <v>UCSC</v>
      </c>
      <c r="E9914" s="1" t="str">
        <f>HYPERLINK("http://www.ncbi.nlm.nih.gov/gene/?term=KLC1","NCBI")</f>
        <v>NCBI</v>
      </c>
      <c r="F9914">
        <v>0.21</v>
      </c>
      <c r="G9914">
        <v>0.36</v>
      </c>
      <c r="H9914" s="1" t="str">
        <f>HYPERLINK("http://www.weizmann.ac.il/complex/compphys/software/geview/data/figures/212877_at.png","Figure")</f>
        <v>Figure</v>
      </c>
      <c r="I9914">
        <v>0.90800000000000003</v>
      </c>
      <c r="J9914">
        <v>0.74</v>
      </c>
      <c r="K9914">
        <v>1.1299999999999999</v>
      </c>
      <c r="L9914">
        <v>0.53</v>
      </c>
      <c r="M9914">
        <v>1.24</v>
      </c>
      <c r="N9914">
        <v>0.2</v>
      </c>
    </row>
    <row r="9915" spans="1:14" x14ac:dyDescent="0.25">
      <c r="A9915" t="s">
        <v>17345</v>
      </c>
      <c r="B9915" t="s">
        <v>17346</v>
      </c>
      <c r="C9915" s="1" t="str">
        <f>HYPERLINK("http://www.genecards.org/cgi-bin/carddisp.pl?gene=PIKFYVE","GeneCards")</f>
        <v>GeneCards</v>
      </c>
      <c r="D9915" s="1" t="str">
        <f>HYPERLINK("http://genome-euro.ucsc.edu/cgi-bin/hgTracks?position=213111_at","UCSC")</f>
        <v>UCSC</v>
      </c>
      <c r="E9915" s="1" t="str">
        <f>HYPERLINK("http://www.ncbi.nlm.nih.gov/gene/?term=PIKFYVE","NCBI")</f>
        <v>NCBI</v>
      </c>
      <c r="F9915">
        <v>0.21</v>
      </c>
      <c r="G9915">
        <v>0.36</v>
      </c>
      <c r="H9915" s="1" t="str">
        <f>HYPERLINK("http://www.weizmann.ac.il/complex/compphys/software/geview/data/figures/213111_at.png","Figure")</f>
        <v>Figure</v>
      </c>
      <c r="I9915">
        <v>0.68899999999999995</v>
      </c>
      <c r="J9915">
        <v>0.25</v>
      </c>
      <c r="K9915">
        <v>0.73499999999999999</v>
      </c>
      <c r="L9915">
        <v>0.28999999999999998</v>
      </c>
      <c r="M9915">
        <v>1.07</v>
      </c>
      <c r="N9915">
        <v>0.95</v>
      </c>
    </row>
    <row r="9916" spans="1:14" x14ac:dyDescent="0.25">
      <c r="A9916" t="s">
        <v>17347</v>
      </c>
      <c r="B9916" t="s">
        <v>17348</v>
      </c>
      <c r="C9916" s="1" t="str">
        <f>HYPERLINK("http://www.genecards.org/cgi-bin/carddisp.pl?gene=GRM6","GeneCards")</f>
        <v>GeneCards</v>
      </c>
      <c r="D9916" s="1" t="str">
        <f>HYPERLINK("http://genome-euro.ucsc.edu/cgi-bin/hgTracks?position=208035_at","UCSC")</f>
        <v>UCSC</v>
      </c>
      <c r="E9916" s="1" t="str">
        <f>HYPERLINK("http://www.ncbi.nlm.nih.gov/gene/?term=GRM6","NCBI")</f>
        <v>NCBI</v>
      </c>
      <c r="F9916">
        <v>0.21</v>
      </c>
      <c r="G9916">
        <v>0.36</v>
      </c>
      <c r="H9916" s="1" t="str">
        <f>HYPERLINK("http://www.weizmann.ac.il/complex/compphys/software/geview/data/figures/208035_at.png","Figure")</f>
        <v>Figure</v>
      </c>
      <c r="I9916">
        <v>1.01</v>
      </c>
      <c r="J9916">
        <v>0.98</v>
      </c>
      <c r="K9916">
        <v>0.90900000000000003</v>
      </c>
      <c r="L9916">
        <v>0.31</v>
      </c>
      <c r="M9916">
        <v>0.89800000000000002</v>
      </c>
      <c r="N9916">
        <v>0.28000000000000003</v>
      </c>
    </row>
    <row r="9917" spans="1:14" x14ac:dyDescent="0.25">
      <c r="A9917" t="s">
        <v>17349</v>
      </c>
      <c r="B9917" t="s">
        <v>17350</v>
      </c>
      <c r="C9917" s="1" t="str">
        <f>HYPERLINK("http://www.genecards.org/cgi-bin/carddisp.pl?gene=ARSE","GeneCards")</f>
        <v>GeneCards</v>
      </c>
      <c r="D9917" s="1" t="str">
        <f>HYPERLINK("http://genome-euro.ucsc.edu/cgi-bin/hgTracks?position=205894_at","UCSC")</f>
        <v>UCSC</v>
      </c>
      <c r="E9917" s="1" t="str">
        <f>HYPERLINK("http://www.ncbi.nlm.nih.gov/gene/?term=ARSE","NCBI")</f>
        <v>NCBI</v>
      </c>
      <c r="F9917">
        <v>0.21</v>
      </c>
      <c r="G9917">
        <v>0.36</v>
      </c>
      <c r="H9917" s="1" t="str">
        <f>HYPERLINK("http://www.weizmann.ac.il/complex/compphys/software/geview/data/figures/205894_at.png","Figure")</f>
        <v>Figure</v>
      </c>
      <c r="I9917">
        <v>1.06</v>
      </c>
      <c r="J9917">
        <v>0.21</v>
      </c>
      <c r="K9917">
        <v>1.04</v>
      </c>
      <c r="L9917">
        <v>0.37</v>
      </c>
      <c r="M9917">
        <v>0.98299999999999998</v>
      </c>
      <c r="N9917">
        <v>0.82</v>
      </c>
    </row>
    <row r="9918" spans="1:14" x14ac:dyDescent="0.25">
      <c r="A9918" t="s">
        <v>17351</v>
      </c>
      <c r="B9918" t="s">
        <v>17352</v>
      </c>
      <c r="C9918" s="1" t="str">
        <f>HYPERLINK("http://www.genecards.org/cgi-bin/carddisp.pl?gene=ANAPC1","GeneCards")</f>
        <v>GeneCards</v>
      </c>
      <c r="D9918" s="1" t="str">
        <f>HYPERLINK("http://genome-euro.ucsc.edu/cgi-bin/hgTracks?position=218575_at","UCSC")</f>
        <v>UCSC</v>
      </c>
      <c r="E9918" s="1" t="str">
        <f>HYPERLINK("http://www.ncbi.nlm.nih.gov/gene/?term=ANAPC1","NCBI")</f>
        <v>NCBI</v>
      </c>
      <c r="F9918">
        <v>0.21</v>
      </c>
      <c r="G9918">
        <v>0.36</v>
      </c>
      <c r="H9918" s="1" t="str">
        <f>HYPERLINK("http://www.weizmann.ac.il/complex/compphys/software/geview/data/figures/218575_at.png","Figure")</f>
        <v>Figure</v>
      </c>
      <c r="I9918">
        <v>1.27</v>
      </c>
      <c r="J9918">
        <v>0.2</v>
      </c>
      <c r="K9918">
        <v>1.1599999999999999</v>
      </c>
      <c r="L9918">
        <v>0.42</v>
      </c>
      <c r="M9918">
        <v>0.91300000000000003</v>
      </c>
      <c r="N9918">
        <v>0.75</v>
      </c>
    </row>
    <row r="9919" spans="1:14" x14ac:dyDescent="0.25">
      <c r="A9919" t="s">
        <v>17353</v>
      </c>
      <c r="B9919" t="s">
        <v>17354</v>
      </c>
      <c r="C9919" s="1" t="str">
        <f>HYPERLINK("http://www.genecards.org/cgi-bin/carddisp.pl?gene=ZNF124","GeneCards")</f>
        <v>GeneCards</v>
      </c>
      <c r="D9919" s="1" t="str">
        <f>HYPERLINK("http://genome-euro.ucsc.edu/cgi-bin/hgTracks?position=206928_at","UCSC")</f>
        <v>UCSC</v>
      </c>
      <c r="E9919" s="1" t="str">
        <f>HYPERLINK("http://www.ncbi.nlm.nih.gov/gene/?term=ZNF124","NCBI")</f>
        <v>NCBI</v>
      </c>
      <c r="F9919">
        <v>0.21</v>
      </c>
      <c r="G9919">
        <v>0.36</v>
      </c>
      <c r="H9919" s="1" t="str">
        <f>HYPERLINK("http://www.weizmann.ac.il/complex/compphys/software/geview/data/figures/206928_at.png","Figure")</f>
        <v>Figure</v>
      </c>
      <c r="I9919">
        <v>1.36</v>
      </c>
      <c r="J9919">
        <v>0.19</v>
      </c>
      <c r="K9919">
        <v>1.18</v>
      </c>
      <c r="L9919">
        <v>0.51</v>
      </c>
      <c r="M9919">
        <v>0.86699999999999999</v>
      </c>
      <c r="N9919">
        <v>0.63</v>
      </c>
    </row>
    <row r="9920" spans="1:14" x14ac:dyDescent="0.25">
      <c r="A9920" t="s">
        <v>17355</v>
      </c>
      <c r="B9920" t="s">
        <v>17356</v>
      </c>
      <c r="C9920" s="1" t="str">
        <f>HYPERLINK("http://www.genecards.org/cgi-bin/carddisp.pl?gene=FCN2","GeneCards")</f>
        <v>GeneCards</v>
      </c>
      <c r="D9920" s="1" t="str">
        <f>HYPERLINK("http://genome-euro.ucsc.edu/cgi-bin/hgTracks?position=208439_s_at","UCSC")</f>
        <v>UCSC</v>
      </c>
      <c r="E9920" s="1" t="str">
        <f>HYPERLINK("http://www.ncbi.nlm.nih.gov/gene/?term=FCN2","NCBI")</f>
        <v>NCBI</v>
      </c>
      <c r="F9920">
        <v>0.21</v>
      </c>
      <c r="G9920">
        <v>0.36</v>
      </c>
      <c r="H9920" s="1" t="str">
        <f>HYPERLINK("http://www.weizmann.ac.il/complex/compphys/software/geview/data/figures/208439_s_at.png","Figure")</f>
        <v>Figure</v>
      </c>
      <c r="I9920">
        <v>1.1000000000000001</v>
      </c>
      <c r="J9920">
        <v>0.31</v>
      </c>
      <c r="K9920">
        <v>1.1000000000000001</v>
      </c>
      <c r="L9920">
        <v>0.24</v>
      </c>
      <c r="M9920">
        <v>0.998</v>
      </c>
      <c r="N9920">
        <v>1</v>
      </c>
    </row>
    <row r="9921" spans="1:14" x14ac:dyDescent="0.25">
      <c r="A9921" t="s">
        <v>17357</v>
      </c>
      <c r="B9921" t="s">
        <v>17358</v>
      </c>
      <c r="C9921" s="1" t="str">
        <f>HYPERLINK("http://www.genecards.org/cgi-bin/carddisp.pl?gene=DCN","GeneCards")</f>
        <v>GeneCards</v>
      </c>
      <c r="D9921" s="1" t="str">
        <f>HYPERLINK("http://genome-euro.ucsc.edu/cgi-bin/hgTracks?position=211813_x_at","UCSC")</f>
        <v>UCSC</v>
      </c>
      <c r="E9921" s="1" t="str">
        <f>HYPERLINK("http://www.ncbi.nlm.nih.gov/gene/?term=DCN","NCBI")</f>
        <v>NCBI</v>
      </c>
      <c r="F9921">
        <v>0.21</v>
      </c>
      <c r="G9921">
        <v>0.36</v>
      </c>
      <c r="H9921" s="1" t="str">
        <f>HYPERLINK("http://www.weizmann.ac.il/complex/compphys/software/geview/data/figures/211813_x_at.png","Figure")</f>
        <v>Figure</v>
      </c>
      <c r="I9921">
        <v>1.1599999999999999</v>
      </c>
      <c r="J9921">
        <v>0.18</v>
      </c>
      <c r="K9921">
        <v>1.07</v>
      </c>
      <c r="L9921">
        <v>0.56000000000000005</v>
      </c>
      <c r="M9921">
        <v>0.92700000000000005</v>
      </c>
      <c r="N9921">
        <v>0.56999999999999995</v>
      </c>
    </row>
    <row r="9922" spans="1:14" x14ac:dyDescent="0.25">
      <c r="A9922" t="s">
        <v>17359</v>
      </c>
      <c r="B9922" t="s">
        <v>2767</v>
      </c>
      <c r="C9922" s="1" t="str">
        <f>HYPERLINK("http://www.genecards.org/cgi-bin/carddisp.pl?gene=OPA1","GeneCards")</f>
        <v>GeneCards</v>
      </c>
      <c r="D9922" s="1" t="str">
        <f>HYPERLINK("http://genome-euro.ucsc.edu/cgi-bin/hgTracks?position=212213_x_at","UCSC")</f>
        <v>UCSC</v>
      </c>
      <c r="E9922" s="1" t="str">
        <f>HYPERLINK("http://www.ncbi.nlm.nih.gov/gene/?term=OPA1","NCBI")</f>
        <v>NCBI</v>
      </c>
      <c r="F9922">
        <v>0.21</v>
      </c>
      <c r="G9922">
        <v>0.36</v>
      </c>
      <c r="H9922" s="1" t="str">
        <f>HYPERLINK("http://www.weizmann.ac.il/complex/compphys/software/geview/data/figures/212213_x_at.png","Figure")</f>
        <v>Figure</v>
      </c>
      <c r="I9922">
        <v>0.70499999999999996</v>
      </c>
      <c r="J9922">
        <v>0.2</v>
      </c>
      <c r="K9922">
        <v>0.91300000000000003</v>
      </c>
      <c r="L9922">
        <v>0.85</v>
      </c>
      <c r="M9922">
        <v>1.3</v>
      </c>
      <c r="N9922">
        <v>0.35</v>
      </c>
    </row>
    <row r="9923" spans="1:14" x14ac:dyDescent="0.25">
      <c r="A9923" t="s">
        <v>17360</v>
      </c>
      <c r="B9923" t="s">
        <v>17361</v>
      </c>
      <c r="C9923" s="1" t="str">
        <f>HYPERLINK("http://www.genecards.org/cgi-bin/carddisp.pl?gene=SSH3","GeneCards")</f>
        <v>GeneCards</v>
      </c>
      <c r="D9923" s="1" t="str">
        <f>HYPERLINK("http://genome-euro.ucsc.edu/cgi-bin/hgTracks?position=219241_x_at","UCSC")</f>
        <v>UCSC</v>
      </c>
      <c r="E9923" s="1" t="str">
        <f>HYPERLINK("http://www.ncbi.nlm.nih.gov/gene/?term=SSH3","NCBI")</f>
        <v>NCBI</v>
      </c>
      <c r="F9923">
        <v>0.21</v>
      </c>
      <c r="G9923">
        <v>0.36</v>
      </c>
      <c r="H9923" s="1" t="str">
        <f>HYPERLINK("http://www.weizmann.ac.il/complex/compphys/software/geview/data/figures/219241_x_at.png","Figure")</f>
        <v>Figure</v>
      </c>
      <c r="I9923">
        <v>0.86199999999999999</v>
      </c>
      <c r="J9923">
        <v>0.22</v>
      </c>
      <c r="K9923">
        <v>0.89800000000000002</v>
      </c>
      <c r="L9923">
        <v>0.34</v>
      </c>
      <c r="M9923">
        <v>1.04</v>
      </c>
      <c r="N9923">
        <v>0.86</v>
      </c>
    </row>
    <row r="9924" spans="1:14" x14ac:dyDescent="0.25">
      <c r="A9924" t="s">
        <v>17362</v>
      </c>
      <c r="B9924" t="s">
        <v>17363</v>
      </c>
      <c r="C9924" s="1" t="str">
        <f>HYPERLINK("http://www.genecards.org/cgi-bin/carddisp.pl?gene=PHIP","GeneCards")</f>
        <v>GeneCards</v>
      </c>
      <c r="D9924" s="1" t="str">
        <f>HYPERLINK("http://genome-euro.ucsc.edu/cgi-bin/hgTracks?position=212542_s_at","UCSC")</f>
        <v>UCSC</v>
      </c>
      <c r="E9924" s="1" t="str">
        <f>HYPERLINK("http://www.ncbi.nlm.nih.gov/gene/?term=PHIP","NCBI")</f>
        <v>NCBI</v>
      </c>
      <c r="F9924">
        <v>0.21</v>
      </c>
      <c r="G9924">
        <v>0.36</v>
      </c>
      <c r="H9924" s="1" t="str">
        <f>HYPERLINK("http://www.weizmann.ac.il/complex/compphys/software/geview/data/figures/212542_s_at.png","Figure")</f>
        <v>Figure</v>
      </c>
      <c r="I9924">
        <v>0.78400000000000003</v>
      </c>
      <c r="J9924">
        <v>0.24</v>
      </c>
      <c r="K9924">
        <v>0.82599999999999996</v>
      </c>
      <c r="L9924">
        <v>0.31</v>
      </c>
      <c r="M9924">
        <v>1.05</v>
      </c>
      <c r="N9924">
        <v>0.92</v>
      </c>
    </row>
    <row r="9925" spans="1:14" x14ac:dyDescent="0.25">
      <c r="A9925" t="s">
        <v>17364</v>
      </c>
      <c r="B9925" t="s">
        <v>7059</v>
      </c>
      <c r="C9925" s="1" t="str">
        <f>HYPERLINK("http://www.genecards.org/cgi-bin/carddisp.pl?gene=ARHGEF15","GeneCards")</f>
        <v>GeneCards</v>
      </c>
      <c r="D9925" s="1" t="str">
        <f>HYPERLINK("http://genome-euro.ucsc.edu/cgi-bin/hgTracks?position=217348_x_at","UCSC")</f>
        <v>UCSC</v>
      </c>
      <c r="E9925" s="1" t="str">
        <f>HYPERLINK("http://www.ncbi.nlm.nih.gov/gene/?term=ARHGEF15","NCBI")</f>
        <v>NCBI</v>
      </c>
      <c r="F9925">
        <v>0.21</v>
      </c>
      <c r="G9925">
        <v>0.36</v>
      </c>
      <c r="H9925" s="1" t="str">
        <f>HYPERLINK("http://www.weizmann.ac.il/complex/compphys/software/geview/data/figures/217348_x_at.png","Figure")</f>
        <v>Figure</v>
      </c>
      <c r="I9925">
        <v>1.1499999999999999</v>
      </c>
      <c r="J9925">
        <v>0.27</v>
      </c>
      <c r="K9925">
        <v>1.1299999999999999</v>
      </c>
      <c r="L9925">
        <v>0.27</v>
      </c>
      <c r="M9925">
        <v>0.98299999999999998</v>
      </c>
      <c r="N9925">
        <v>0.98</v>
      </c>
    </row>
    <row r="9926" spans="1:14" x14ac:dyDescent="0.25">
      <c r="A9926" t="s">
        <v>17365</v>
      </c>
      <c r="B9926" t="s">
        <v>17366</v>
      </c>
      <c r="C9926" s="1" t="str">
        <f>HYPERLINK("http://www.genecards.org/cgi-bin/carddisp.pl?gene=MTX1","GeneCards")</f>
        <v>GeneCards</v>
      </c>
      <c r="D9926" s="1" t="str">
        <f>HYPERLINK("http://genome-euro.ucsc.edu/cgi-bin/hgTracks?position=210386_s_at","UCSC")</f>
        <v>UCSC</v>
      </c>
      <c r="E9926" s="1" t="str">
        <f>HYPERLINK("http://www.ncbi.nlm.nih.gov/gene/?term=MTX1","NCBI")</f>
        <v>NCBI</v>
      </c>
      <c r="F9926">
        <v>0.21</v>
      </c>
      <c r="G9926">
        <v>0.36</v>
      </c>
      <c r="H9926" s="1" t="str">
        <f>HYPERLINK("http://www.weizmann.ac.il/complex/compphys/software/geview/data/figures/210386_s_at.png","Figure")</f>
        <v>Figure</v>
      </c>
      <c r="I9926">
        <v>1.22</v>
      </c>
      <c r="J9926">
        <v>0.19</v>
      </c>
      <c r="K9926">
        <v>1.1000000000000001</v>
      </c>
      <c r="L9926">
        <v>0.54</v>
      </c>
      <c r="M9926">
        <v>0.90900000000000003</v>
      </c>
      <c r="N9926">
        <v>0.6</v>
      </c>
    </row>
    <row r="9927" spans="1:14" x14ac:dyDescent="0.25">
      <c r="A9927" t="s">
        <v>17367</v>
      </c>
      <c r="B9927" t="s">
        <v>17368</v>
      </c>
      <c r="C9927" s="1" t="str">
        <f>HYPERLINK("http://www.genecards.org/cgi-bin/carddisp.pl?gene=RUFY1","GeneCards")</f>
        <v>GeneCards</v>
      </c>
      <c r="D9927" s="1" t="str">
        <f>HYPERLINK("http://genome-euro.ucsc.edu/cgi-bin/hgTracks?position=218243_at","UCSC")</f>
        <v>UCSC</v>
      </c>
      <c r="E9927" s="1" t="str">
        <f>HYPERLINK("http://www.ncbi.nlm.nih.gov/gene/?term=RUFY1","NCBI")</f>
        <v>NCBI</v>
      </c>
      <c r="F9927">
        <v>0.21</v>
      </c>
      <c r="G9927">
        <v>0.36</v>
      </c>
      <c r="H9927" s="1" t="str">
        <f>HYPERLINK("http://www.weizmann.ac.il/complex/compphys/software/geview/data/figures/218243_at.png","Figure")</f>
        <v>Figure</v>
      </c>
      <c r="I9927">
        <v>1.08</v>
      </c>
      <c r="J9927">
        <v>0.82</v>
      </c>
      <c r="K9927">
        <v>1.22</v>
      </c>
      <c r="L9927">
        <v>0.2</v>
      </c>
      <c r="M9927">
        <v>1.1299999999999999</v>
      </c>
      <c r="N9927">
        <v>0.55000000000000004</v>
      </c>
    </row>
    <row r="9928" spans="1:14" x14ac:dyDescent="0.25">
      <c r="A9928" t="s">
        <v>17369</v>
      </c>
      <c r="B9928" t="s">
        <v>15159</v>
      </c>
      <c r="C9928" s="1" t="str">
        <f>HYPERLINK("http://www.genecards.org/cgi-bin/carddisp.pl?gene=CDC2","GeneCards")</f>
        <v>GeneCards</v>
      </c>
      <c r="D9928" s="1" t="str">
        <f>HYPERLINK("http://genome-euro.ucsc.edu/cgi-bin/hgTracks?position=203213_at","UCSC")</f>
        <v>UCSC</v>
      </c>
      <c r="E9928" s="1" t="str">
        <f>HYPERLINK("http://www.ncbi.nlm.nih.gov/gene/?term=CDC2","NCBI")</f>
        <v>NCBI</v>
      </c>
      <c r="F9928">
        <v>0.21</v>
      </c>
      <c r="G9928">
        <v>0.36</v>
      </c>
      <c r="H9928" s="1" t="str">
        <f>HYPERLINK("http://www.weizmann.ac.il/complex/compphys/software/geview/data/figures/203213_at.png","Figure")</f>
        <v>Figure</v>
      </c>
      <c r="I9928">
        <v>0.78700000000000003</v>
      </c>
      <c r="J9928">
        <v>0.3</v>
      </c>
      <c r="K9928">
        <v>1.01</v>
      </c>
      <c r="L9928">
        <v>0.99</v>
      </c>
      <c r="M9928">
        <v>1.29</v>
      </c>
      <c r="N9928">
        <v>0.22</v>
      </c>
    </row>
    <row r="9929" spans="1:14" x14ac:dyDescent="0.25">
      <c r="A9929" t="s">
        <v>17370</v>
      </c>
      <c r="B9929" t="s">
        <v>17371</v>
      </c>
      <c r="C9929" s="1" t="str">
        <f>HYPERLINK("http://www.genecards.org/cgi-bin/carddisp.pl?gene=NDUFS6","GeneCards")</f>
        <v>GeneCards</v>
      </c>
      <c r="D9929" s="1" t="str">
        <f>HYPERLINK("http://genome-euro.ucsc.edu/cgi-bin/hgTracks?position=203606_at","UCSC")</f>
        <v>UCSC</v>
      </c>
      <c r="E9929" s="1" t="str">
        <f>HYPERLINK("http://www.ncbi.nlm.nih.gov/gene/?term=NDUFS6","NCBI")</f>
        <v>NCBI</v>
      </c>
      <c r="F9929">
        <v>0.21</v>
      </c>
      <c r="G9929">
        <v>0.36</v>
      </c>
      <c r="H9929" s="1" t="str">
        <f>HYPERLINK("http://www.weizmann.ac.il/complex/compphys/software/geview/data/figures/203606_at.png","Figure")</f>
        <v>Figure</v>
      </c>
      <c r="I9929">
        <v>1.28</v>
      </c>
      <c r="J9929">
        <v>0.21</v>
      </c>
      <c r="K9929">
        <v>1.05</v>
      </c>
      <c r="L9929">
        <v>0.91</v>
      </c>
      <c r="M9929">
        <v>0.82099999999999995</v>
      </c>
      <c r="N9929">
        <v>0.31</v>
      </c>
    </row>
    <row r="9930" spans="1:14" x14ac:dyDescent="0.25">
      <c r="A9930" t="s">
        <v>17372</v>
      </c>
      <c r="B9930" t="s">
        <v>12397</v>
      </c>
      <c r="C9930" s="1" t="str">
        <f>HYPERLINK("http://www.genecards.org/cgi-bin/carddisp.pl?gene=ATP2B1","GeneCards")</f>
        <v>GeneCards</v>
      </c>
      <c r="D9930" s="1" t="str">
        <f>HYPERLINK("http://genome-euro.ucsc.edu/cgi-bin/hgTracks?position=212930_at","UCSC")</f>
        <v>UCSC</v>
      </c>
      <c r="E9930" s="1" t="str">
        <f>HYPERLINK("http://www.ncbi.nlm.nih.gov/gene/?term=ATP2B1","NCBI")</f>
        <v>NCBI</v>
      </c>
      <c r="F9930">
        <v>0.21</v>
      </c>
      <c r="G9930">
        <v>0.36</v>
      </c>
      <c r="H9930" s="1" t="str">
        <f>HYPERLINK("http://www.weizmann.ac.il/complex/compphys/software/geview/data/figures/212930_at.png","Figure")</f>
        <v>Figure</v>
      </c>
      <c r="I9930">
        <v>1</v>
      </c>
      <c r="J9930">
        <v>1</v>
      </c>
      <c r="K9930">
        <v>0.90800000000000003</v>
      </c>
      <c r="L9930">
        <v>0.27</v>
      </c>
      <c r="M9930">
        <v>0.90800000000000003</v>
      </c>
      <c r="N9930">
        <v>0.32</v>
      </c>
    </row>
    <row r="9931" spans="1:14" x14ac:dyDescent="0.25">
      <c r="A9931" t="s">
        <v>17373</v>
      </c>
      <c r="B9931" t="s">
        <v>17374</v>
      </c>
      <c r="C9931" s="1" t="str">
        <f>HYPERLINK("http://www.genecards.org/cgi-bin/carddisp.pl?gene=DPF2","GeneCards")</f>
        <v>GeneCards</v>
      </c>
      <c r="D9931" s="1" t="str">
        <f>HYPERLINK("http://genome-euro.ucsc.edu/cgi-bin/hgTracks?position=202116_at","UCSC")</f>
        <v>UCSC</v>
      </c>
      <c r="E9931" s="1" t="str">
        <f>HYPERLINK("http://www.ncbi.nlm.nih.gov/gene/?term=DPF2","NCBI")</f>
        <v>NCBI</v>
      </c>
      <c r="F9931">
        <v>0.21</v>
      </c>
      <c r="G9931">
        <v>0.36</v>
      </c>
      <c r="H9931" s="1" t="str">
        <f>HYPERLINK("http://www.weizmann.ac.il/complex/compphys/software/geview/data/figures/202116_at.png","Figure")</f>
        <v>Figure</v>
      </c>
      <c r="I9931">
        <v>1.48</v>
      </c>
      <c r="J9931">
        <v>0.26</v>
      </c>
      <c r="K9931">
        <v>1.39</v>
      </c>
      <c r="L9931">
        <v>0.28000000000000003</v>
      </c>
      <c r="M9931">
        <v>0.93799999999999994</v>
      </c>
      <c r="N9931">
        <v>0.95</v>
      </c>
    </row>
    <row r="9932" spans="1:14" x14ac:dyDescent="0.25">
      <c r="A9932" t="s">
        <v>17375</v>
      </c>
      <c r="B9932" t="s">
        <v>17376</v>
      </c>
      <c r="C9932" s="1" t="str">
        <f>HYPERLINK("http://www.genecards.org/cgi-bin/carddisp.pl?gene=EPHB2","GeneCards")</f>
        <v>GeneCards</v>
      </c>
      <c r="D9932" s="1" t="str">
        <f>HYPERLINK("http://genome-euro.ucsc.edu/cgi-bin/hgTracks?position=210651_s_at","UCSC")</f>
        <v>UCSC</v>
      </c>
      <c r="E9932" s="1" t="str">
        <f>HYPERLINK("http://www.ncbi.nlm.nih.gov/gene/?term=EPHB2","NCBI")</f>
        <v>NCBI</v>
      </c>
      <c r="F9932">
        <v>0.21</v>
      </c>
      <c r="G9932">
        <v>0.36</v>
      </c>
      <c r="H9932" s="1" t="str">
        <f>HYPERLINK("http://www.weizmann.ac.il/complex/compphys/software/geview/data/figures/210651_s_at.png","Figure")</f>
        <v>Figure</v>
      </c>
      <c r="I9932">
        <v>1.26</v>
      </c>
      <c r="J9932">
        <v>0.2</v>
      </c>
      <c r="K9932">
        <v>1.1499999999999999</v>
      </c>
      <c r="L9932">
        <v>0.43</v>
      </c>
      <c r="M9932">
        <v>0.91300000000000003</v>
      </c>
      <c r="N9932">
        <v>0.73</v>
      </c>
    </row>
    <row r="9933" spans="1:14" x14ac:dyDescent="0.25">
      <c r="A9933" t="s">
        <v>17377</v>
      </c>
      <c r="B9933" t="s">
        <v>17378</v>
      </c>
      <c r="C9933" s="1" t="str">
        <f>HYPERLINK("http://www.genecards.org/cgi-bin/carddisp.pl?gene=PTCH2","GeneCards")</f>
        <v>GeneCards</v>
      </c>
      <c r="D9933" s="1" t="str">
        <f>HYPERLINK("http://genome-euro.ucsc.edu/cgi-bin/hgTracks?position=221292_at","UCSC")</f>
        <v>UCSC</v>
      </c>
      <c r="E9933" s="1" t="str">
        <f>HYPERLINK("http://www.ncbi.nlm.nih.gov/gene/?term=PTCH2","NCBI")</f>
        <v>NCBI</v>
      </c>
      <c r="F9933">
        <v>0.21</v>
      </c>
      <c r="G9933">
        <v>0.36</v>
      </c>
      <c r="H9933" s="1" t="str">
        <f>HYPERLINK("http://www.weizmann.ac.il/complex/compphys/software/geview/data/figures/221292_at.png","Figure")</f>
        <v>Figure</v>
      </c>
      <c r="I9933">
        <v>1.1399999999999999</v>
      </c>
      <c r="J9933">
        <v>0.19</v>
      </c>
      <c r="K9933">
        <v>1.07</v>
      </c>
      <c r="L9933">
        <v>0.54</v>
      </c>
      <c r="M9933">
        <v>0.93700000000000006</v>
      </c>
      <c r="N9933">
        <v>0.6</v>
      </c>
    </row>
    <row r="9934" spans="1:14" x14ac:dyDescent="0.25">
      <c r="A9934" t="s">
        <v>17379</v>
      </c>
      <c r="B9934" t="s">
        <v>17380</v>
      </c>
      <c r="C9934" s="1" t="str">
        <f>HYPERLINK("http://www.genecards.org/cgi-bin/carddisp.pl?gene=LAMA1","GeneCards")</f>
        <v>GeneCards</v>
      </c>
      <c r="D9934" s="1" t="str">
        <f>HYPERLINK("http://genome-euro.ucsc.edu/cgi-bin/hgTracks?position=222346_at","UCSC")</f>
        <v>UCSC</v>
      </c>
      <c r="E9934" s="1" t="str">
        <f>HYPERLINK("http://www.ncbi.nlm.nih.gov/gene/?term=LAMA1","NCBI")</f>
        <v>NCBI</v>
      </c>
      <c r="F9934">
        <v>0.21</v>
      </c>
      <c r="G9934">
        <v>0.36</v>
      </c>
      <c r="H9934" s="1" t="str">
        <f>HYPERLINK("http://www.weizmann.ac.il/complex/compphys/software/geview/data/figures/222346_at.png","Figure")</f>
        <v>Figure</v>
      </c>
      <c r="I9934">
        <v>1.08</v>
      </c>
      <c r="J9934">
        <v>0.19</v>
      </c>
      <c r="K9934">
        <v>1.04</v>
      </c>
      <c r="L9934">
        <v>0.55000000000000004</v>
      </c>
      <c r="M9934">
        <v>0.96299999999999997</v>
      </c>
      <c r="N9934">
        <v>0.59</v>
      </c>
    </row>
    <row r="9935" spans="1:14" x14ac:dyDescent="0.25">
      <c r="A9935" t="s">
        <v>17381</v>
      </c>
      <c r="B9935" t="s">
        <v>17382</v>
      </c>
      <c r="C9935" s="1" t="str">
        <f>HYPERLINK("http://www.genecards.org/cgi-bin/carddisp.pl?gene=HK1","GeneCards")</f>
        <v>GeneCards</v>
      </c>
      <c r="D9935" s="1" t="str">
        <f>HYPERLINK("http://genome-euro.ucsc.edu/cgi-bin/hgTracks?position=200697_at","UCSC")</f>
        <v>UCSC</v>
      </c>
      <c r="E9935" s="1" t="str">
        <f>HYPERLINK("http://www.ncbi.nlm.nih.gov/gene/?term=HK1","NCBI")</f>
        <v>NCBI</v>
      </c>
      <c r="F9935">
        <v>0.21</v>
      </c>
      <c r="G9935">
        <v>0.36</v>
      </c>
      <c r="H9935" s="1" t="str">
        <f>HYPERLINK("http://www.weizmann.ac.il/complex/compphys/software/geview/data/figures/200697_at.png","Figure")</f>
        <v>Figure</v>
      </c>
      <c r="I9935">
        <v>1.3</v>
      </c>
      <c r="J9935">
        <v>0.22</v>
      </c>
      <c r="K9935">
        <v>1.05</v>
      </c>
      <c r="L9935">
        <v>0.93</v>
      </c>
      <c r="M9935">
        <v>0.80600000000000005</v>
      </c>
      <c r="N9935">
        <v>0.3</v>
      </c>
    </row>
    <row r="9936" spans="1:14" x14ac:dyDescent="0.25">
      <c r="A9936" t="s">
        <v>17383</v>
      </c>
      <c r="B9936" t="s">
        <v>6341</v>
      </c>
      <c r="C9936" s="1" t="str">
        <f>HYPERLINK("http://www.genecards.org/cgi-bin/carddisp.pl?gene=SH2B1","GeneCards")</f>
        <v>GeneCards</v>
      </c>
      <c r="D9936" s="1" t="str">
        <f>HYPERLINK("http://genome-euro.ucsc.edu/cgi-bin/hgTracks?position=209322_s_at","UCSC")</f>
        <v>UCSC</v>
      </c>
      <c r="E9936" s="1" t="str">
        <f>HYPERLINK("http://www.ncbi.nlm.nih.gov/gene/?term=SH2B1","NCBI")</f>
        <v>NCBI</v>
      </c>
      <c r="F9936">
        <v>0.21</v>
      </c>
      <c r="G9936">
        <v>0.36</v>
      </c>
      <c r="H9936" s="1" t="str">
        <f>HYPERLINK("http://www.weizmann.ac.il/complex/compphys/software/geview/data/figures/209322_s_at.png","Figure")</f>
        <v>Figure</v>
      </c>
      <c r="I9936">
        <v>1.23</v>
      </c>
      <c r="J9936">
        <v>0.19</v>
      </c>
      <c r="K9936">
        <v>1.08</v>
      </c>
      <c r="L9936">
        <v>0.73</v>
      </c>
      <c r="M9936">
        <v>0.874</v>
      </c>
      <c r="N9936">
        <v>0.43</v>
      </c>
    </row>
    <row r="9937" spans="1:14" x14ac:dyDescent="0.25">
      <c r="A9937" t="s">
        <v>17384</v>
      </c>
      <c r="B9937" t="s">
        <v>17385</v>
      </c>
      <c r="C9937" s="1" t="str">
        <f>HYPERLINK("http://www.genecards.org/cgi-bin/carddisp.pl?gene=CARS","GeneCards")</f>
        <v>GeneCards</v>
      </c>
      <c r="D9937" s="1" t="str">
        <f>HYPERLINK("http://genome-euro.ucsc.edu/cgi-bin/hgTracks?position=212971_at","UCSC")</f>
        <v>UCSC</v>
      </c>
      <c r="E9937" s="1" t="str">
        <f>HYPERLINK("http://www.ncbi.nlm.nih.gov/gene/?term=CARS","NCBI")</f>
        <v>NCBI</v>
      </c>
      <c r="F9937">
        <v>0.21</v>
      </c>
      <c r="G9937">
        <v>0.36</v>
      </c>
      <c r="H9937" s="1" t="str">
        <f>HYPERLINK("http://www.weizmann.ac.il/complex/compphys/software/geview/data/figures/212971_at.png","Figure")</f>
        <v>Figure</v>
      </c>
      <c r="I9937">
        <v>1.07</v>
      </c>
      <c r="J9937">
        <v>0.95</v>
      </c>
      <c r="K9937">
        <v>0.77100000000000002</v>
      </c>
      <c r="L9937">
        <v>0.35</v>
      </c>
      <c r="M9937">
        <v>0.72199999999999998</v>
      </c>
      <c r="N9937">
        <v>0.25</v>
      </c>
    </row>
    <row r="9938" spans="1:14" x14ac:dyDescent="0.25">
      <c r="A9938" t="s">
        <v>17386</v>
      </c>
      <c r="B9938" t="s">
        <v>17387</v>
      </c>
      <c r="C9938" s="1" t="str">
        <f>HYPERLINK("http://www.genecards.org/cgi-bin/carddisp.pl?gene=SCMH1","GeneCards")</f>
        <v>GeneCards</v>
      </c>
      <c r="D9938" s="1" t="str">
        <f>HYPERLINK("http://genome-euro.ucsc.edu/cgi-bin/hgTracks?position=221216_s_at","UCSC")</f>
        <v>UCSC</v>
      </c>
      <c r="E9938" s="1" t="str">
        <f>HYPERLINK("http://www.ncbi.nlm.nih.gov/gene/?term=SCMH1","NCBI")</f>
        <v>NCBI</v>
      </c>
      <c r="F9938">
        <v>0.21</v>
      </c>
      <c r="G9938">
        <v>0.36</v>
      </c>
      <c r="H9938" s="1" t="str">
        <f>HYPERLINK("http://www.weizmann.ac.il/complex/compphys/software/geview/data/figures/221216_s_at.png","Figure")</f>
        <v>Figure</v>
      </c>
      <c r="I9938">
        <v>1.19</v>
      </c>
      <c r="J9938">
        <v>0.23</v>
      </c>
      <c r="K9938">
        <v>1.02</v>
      </c>
      <c r="L9938">
        <v>0.96</v>
      </c>
      <c r="M9938">
        <v>0.86399999999999999</v>
      </c>
      <c r="N9938">
        <v>0.28000000000000003</v>
      </c>
    </row>
    <row r="9939" spans="1:14" x14ac:dyDescent="0.25">
      <c r="A9939" t="s">
        <v>17388</v>
      </c>
      <c r="B9939" t="s">
        <v>17389</v>
      </c>
      <c r="C9939" s="1" t="str">
        <f>HYPERLINK("http://www.genecards.org/cgi-bin/carddisp.pl?gene=NOL4","GeneCards")</f>
        <v>GeneCards</v>
      </c>
      <c r="D9939" s="1" t="str">
        <f>HYPERLINK("http://genome-euro.ucsc.edu/cgi-bin/hgTracks?position=206045_s_at","UCSC")</f>
        <v>UCSC</v>
      </c>
      <c r="E9939" s="1" t="str">
        <f>HYPERLINK("http://www.ncbi.nlm.nih.gov/gene/?term=NOL4","NCBI")</f>
        <v>NCBI</v>
      </c>
      <c r="F9939">
        <v>0.21</v>
      </c>
      <c r="G9939">
        <v>0.36</v>
      </c>
      <c r="H9939" s="1" t="str">
        <f>HYPERLINK("http://www.weizmann.ac.il/complex/compphys/software/geview/data/figures/206045_s_at.png","Figure")</f>
        <v>Figure</v>
      </c>
      <c r="I9939">
        <v>1.03</v>
      </c>
      <c r="J9939">
        <v>0.99</v>
      </c>
      <c r="K9939">
        <v>0.752</v>
      </c>
      <c r="L9939">
        <v>0.3</v>
      </c>
      <c r="M9939">
        <v>0.73099999999999998</v>
      </c>
      <c r="N9939">
        <v>0.28999999999999998</v>
      </c>
    </row>
    <row r="9940" spans="1:14" x14ac:dyDescent="0.25">
      <c r="A9940" t="s">
        <v>17390</v>
      </c>
      <c r="B9940" t="s">
        <v>17391</v>
      </c>
      <c r="C9940" s="1" t="str">
        <f>HYPERLINK("http://www.genecards.org/cgi-bin/carddisp.pl?gene=OR10H3","GeneCards")</f>
        <v>GeneCards</v>
      </c>
      <c r="D9940" s="1" t="str">
        <f>HYPERLINK("http://genome-euro.ucsc.edu/cgi-bin/hgTracks?position=208520_at","UCSC")</f>
        <v>UCSC</v>
      </c>
      <c r="E9940" s="1" t="str">
        <f>HYPERLINK("http://www.ncbi.nlm.nih.gov/gene/?term=OR10H3","NCBI")</f>
        <v>NCBI</v>
      </c>
      <c r="F9940">
        <v>0.21</v>
      </c>
      <c r="G9940">
        <v>0.36</v>
      </c>
      <c r="H9940" s="1" t="str">
        <f>HYPERLINK("http://www.weizmann.ac.il/complex/compphys/software/geview/data/figures/208520_at.png","Figure")</f>
        <v>Figure</v>
      </c>
      <c r="I9940">
        <v>1.1599999999999999</v>
      </c>
      <c r="J9940">
        <v>0.26</v>
      </c>
      <c r="K9940">
        <v>1</v>
      </c>
      <c r="L9940">
        <v>1</v>
      </c>
      <c r="M9940">
        <v>0.86699999999999999</v>
      </c>
      <c r="N9940">
        <v>0.24</v>
      </c>
    </row>
    <row r="9941" spans="1:14" x14ac:dyDescent="0.25">
      <c r="A9941" t="s">
        <v>17392</v>
      </c>
      <c r="B9941" t="s">
        <v>17393</v>
      </c>
      <c r="C9941" s="1" t="str">
        <f>HYPERLINK("http://www.genecards.org/cgi-bin/carddisp.pl?gene=STIM1","GeneCards")</f>
        <v>GeneCards</v>
      </c>
      <c r="D9941" s="1" t="str">
        <f>HYPERLINK("http://genome-euro.ucsc.edu/cgi-bin/hgTracks?position=202764_at","UCSC")</f>
        <v>UCSC</v>
      </c>
      <c r="E9941" s="1" t="str">
        <f>HYPERLINK("http://www.ncbi.nlm.nih.gov/gene/?term=STIM1","NCBI")</f>
        <v>NCBI</v>
      </c>
      <c r="F9941">
        <v>0.21</v>
      </c>
      <c r="G9941">
        <v>0.36</v>
      </c>
      <c r="H9941" s="1" t="str">
        <f>HYPERLINK("http://www.weizmann.ac.il/complex/compphys/software/geview/data/figures/202764_at.png","Figure")</f>
        <v>Figure</v>
      </c>
      <c r="I9941">
        <v>0.88500000000000001</v>
      </c>
      <c r="J9941">
        <v>0.51</v>
      </c>
      <c r="K9941">
        <v>0.84</v>
      </c>
      <c r="L9941">
        <v>0.19</v>
      </c>
      <c r="M9941">
        <v>0.94799999999999995</v>
      </c>
      <c r="N9941">
        <v>0.86</v>
      </c>
    </row>
    <row r="9942" spans="1:14" x14ac:dyDescent="0.25">
      <c r="A9942" t="s">
        <v>17394</v>
      </c>
      <c r="B9942" t="s">
        <v>17395</v>
      </c>
      <c r="C9942" s="1" t="str">
        <f>HYPERLINK("http://www.genecards.org/cgi-bin/carddisp.pl?gene=RAD54L","GeneCards")</f>
        <v>GeneCards</v>
      </c>
      <c r="D9942" s="1" t="str">
        <f>HYPERLINK("http://genome-euro.ucsc.edu/cgi-bin/hgTracks?position=204558_at","UCSC")</f>
        <v>UCSC</v>
      </c>
      <c r="E9942" s="1" t="str">
        <f>HYPERLINK("http://www.ncbi.nlm.nih.gov/gene/?term=RAD54L","NCBI")</f>
        <v>NCBI</v>
      </c>
      <c r="F9942">
        <v>0.21</v>
      </c>
      <c r="G9942">
        <v>0.36</v>
      </c>
      <c r="H9942" s="1" t="str">
        <f>HYPERLINK("http://www.weizmann.ac.il/complex/compphys/software/geview/data/figures/204558_at.png","Figure")</f>
        <v>Figure</v>
      </c>
      <c r="I9942">
        <v>1.1599999999999999</v>
      </c>
      <c r="J9942">
        <v>0.23</v>
      </c>
      <c r="K9942">
        <v>1.02</v>
      </c>
      <c r="L9942">
        <v>0.97</v>
      </c>
      <c r="M9942">
        <v>0.879</v>
      </c>
      <c r="N9942">
        <v>0.27</v>
      </c>
    </row>
    <row r="9943" spans="1:14" x14ac:dyDescent="0.25">
      <c r="A9943" t="s">
        <v>17396</v>
      </c>
      <c r="B9943" t="s">
        <v>17397</v>
      </c>
      <c r="C9943" s="1" t="str">
        <f>HYPERLINK("http://www.genecards.org/cgi-bin/carddisp.pl?gene=THSD7A","GeneCards")</f>
        <v>GeneCards</v>
      </c>
      <c r="D9943" s="1" t="str">
        <f>HYPERLINK("http://genome-euro.ucsc.edu/cgi-bin/hgTracks?position=214920_at","UCSC")</f>
        <v>UCSC</v>
      </c>
      <c r="E9943" s="1" t="str">
        <f>HYPERLINK("http://www.ncbi.nlm.nih.gov/gene/?term=THSD7A","NCBI")</f>
        <v>NCBI</v>
      </c>
      <c r="F9943">
        <v>0.21</v>
      </c>
      <c r="G9943">
        <v>0.36</v>
      </c>
      <c r="H9943" s="1" t="str">
        <f>HYPERLINK("http://www.weizmann.ac.il/complex/compphys/software/geview/data/figures/214920_at.png","Figure")</f>
        <v>Figure</v>
      </c>
      <c r="I9943">
        <v>0.61599999999999999</v>
      </c>
      <c r="J9943">
        <v>0.25</v>
      </c>
      <c r="K9943">
        <v>0.97299999999999998</v>
      </c>
      <c r="L9943">
        <v>0.99</v>
      </c>
      <c r="M9943">
        <v>1.58</v>
      </c>
      <c r="N9943">
        <v>0.25</v>
      </c>
    </row>
    <row r="9944" spans="1:14" x14ac:dyDescent="0.25">
      <c r="A9944" t="s">
        <v>17398</v>
      </c>
      <c r="B9944" t="s">
        <v>17399</v>
      </c>
      <c r="C9944" s="1" t="str">
        <f>HYPERLINK("http://www.genecards.org/cgi-bin/carddisp.pl?gene=ZCWPW1","GeneCards")</f>
        <v>GeneCards</v>
      </c>
      <c r="D9944" s="1" t="str">
        <f>HYPERLINK("http://genome-euro.ucsc.edu/cgi-bin/hgTracks?position=220618_s_at","UCSC")</f>
        <v>UCSC</v>
      </c>
      <c r="E9944" s="1" t="str">
        <f>HYPERLINK("http://www.ncbi.nlm.nih.gov/gene/?term=ZCWPW1","NCBI")</f>
        <v>NCBI</v>
      </c>
      <c r="F9944">
        <v>0.21</v>
      </c>
      <c r="G9944">
        <v>0.36</v>
      </c>
      <c r="H9944" s="1" t="str">
        <f>HYPERLINK("http://www.weizmann.ac.il/complex/compphys/software/geview/data/figures/220618_s_at.png","Figure")</f>
        <v>Figure</v>
      </c>
      <c r="I9944">
        <v>1.05</v>
      </c>
      <c r="J9944">
        <v>0.81</v>
      </c>
      <c r="K9944">
        <v>0.92200000000000004</v>
      </c>
      <c r="L9944">
        <v>0.47</v>
      </c>
      <c r="M9944">
        <v>0.879</v>
      </c>
      <c r="N9944">
        <v>0.21</v>
      </c>
    </row>
    <row r="9945" spans="1:14" x14ac:dyDescent="0.25">
      <c r="A9945" t="s">
        <v>17400</v>
      </c>
      <c r="B9945" t="s">
        <v>1296</v>
      </c>
      <c r="C9945" s="1" t="str">
        <f>HYPERLINK("http://www.genecards.org/cgi-bin/carddisp.pl?gene=CSHL1","GeneCards")</f>
        <v>GeneCards</v>
      </c>
      <c r="D9945" s="1" t="str">
        <f>HYPERLINK("http://genome-euro.ucsc.edu/cgi-bin/hgTracks?position=208293_x_at","UCSC")</f>
        <v>UCSC</v>
      </c>
      <c r="E9945" s="1" t="str">
        <f>HYPERLINK("http://www.ncbi.nlm.nih.gov/gene/?term=CSHL1","NCBI")</f>
        <v>NCBI</v>
      </c>
      <c r="F9945">
        <v>0.21</v>
      </c>
      <c r="G9945">
        <v>0.36</v>
      </c>
      <c r="H9945" s="1" t="str">
        <f>HYPERLINK("http://www.weizmann.ac.il/complex/compphys/software/geview/data/figures/208293_x_at.png","Figure")</f>
        <v>Figure</v>
      </c>
      <c r="I9945">
        <v>1.1200000000000001</v>
      </c>
      <c r="J9945">
        <v>0.22</v>
      </c>
      <c r="K9945">
        <v>1.0900000000000001</v>
      </c>
      <c r="L9945">
        <v>0.35</v>
      </c>
      <c r="M9945">
        <v>0.96699999999999997</v>
      </c>
      <c r="N9945">
        <v>0.85</v>
      </c>
    </row>
    <row r="9946" spans="1:14" x14ac:dyDescent="0.25">
      <c r="A9946" t="s">
        <v>17401</v>
      </c>
      <c r="B9946" t="s">
        <v>17402</v>
      </c>
      <c r="C9946" s="1" t="str">
        <f>HYPERLINK("http://www.genecards.org/cgi-bin/carddisp.pl?gene=SS18L1","GeneCards")</f>
        <v>GeneCards</v>
      </c>
      <c r="D9946" s="1" t="str">
        <f>HYPERLINK("http://genome-euro.ucsc.edu/cgi-bin/hgTracks?position=213140_s_at","UCSC")</f>
        <v>UCSC</v>
      </c>
      <c r="E9946" s="1" t="str">
        <f>HYPERLINK("http://www.ncbi.nlm.nih.gov/gene/?term=SS18L1","NCBI")</f>
        <v>NCBI</v>
      </c>
      <c r="F9946">
        <v>0.21</v>
      </c>
      <c r="G9946">
        <v>0.36</v>
      </c>
      <c r="H9946" s="1" t="str">
        <f>HYPERLINK("http://www.weizmann.ac.il/complex/compphys/software/geview/data/figures/213140_s_at.png","Figure")</f>
        <v>Figure</v>
      </c>
      <c r="I9946">
        <v>0.63</v>
      </c>
      <c r="J9946">
        <v>0.23</v>
      </c>
      <c r="K9946">
        <v>0.94199999999999995</v>
      </c>
      <c r="L9946">
        <v>0.96</v>
      </c>
      <c r="M9946">
        <v>1.5</v>
      </c>
      <c r="N9946">
        <v>0.28000000000000003</v>
      </c>
    </row>
    <row r="9947" spans="1:14" x14ac:dyDescent="0.25">
      <c r="A9947" t="s">
        <v>17403</v>
      </c>
      <c r="B9947" t="s">
        <v>7912</v>
      </c>
      <c r="C9947" s="1" t="str">
        <f>HYPERLINK("http://www.genecards.org/cgi-bin/carddisp.pl?gene=SNX13","GeneCards")</f>
        <v>GeneCards</v>
      </c>
      <c r="D9947" s="1" t="str">
        <f>HYPERLINK("http://genome-euro.ucsc.edu/cgi-bin/hgTracks?position=215820_x_at","UCSC")</f>
        <v>UCSC</v>
      </c>
      <c r="E9947" s="1" t="str">
        <f>HYPERLINK("http://www.ncbi.nlm.nih.gov/gene/?term=SNX13","NCBI")</f>
        <v>NCBI</v>
      </c>
      <c r="F9947">
        <v>0.21</v>
      </c>
      <c r="G9947">
        <v>0.36</v>
      </c>
      <c r="H9947" s="1" t="str">
        <f>HYPERLINK("http://www.weizmann.ac.il/complex/compphys/software/geview/data/figures/215820_x_at.png","Figure")</f>
        <v>Figure</v>
      </c>
      <c r="I9947">
        <v>1.01</v>
      </c>
      <c r="J9947">
        <v>0.95</v>
      </c>
      <c r="K9947">
        <v>0.96699999999999997</v>
      </c>
      <c r="L9947">
        <v>0.35</v>
      </c>
      <c r="M9947">
        <v>0.95899999999999996</v>
      </c>
      <c r="N9947">
        <v>0.25</v>
      </c>
    </row>
    <row r="9948" spans="1:14" x14ac:dyDescent="0.25">
      <c r="A9948" t="s">
        <v>17404</v>
      </c>
      <c r="B9948" t="s">
        <v>17405</v>
      </c>
      <c r="C9948" s="1" t="str">
        <f>HYPERLINK("http://www.genecards.org/cgi-bin/carddisp.pl?gene=MFSD10","GeneCards")</f>
        <v>GeneCards</v>
      </c>
      <c r="D9948" s="1" t="str">
        <f>HYPERLINK("http://genome-euro.ucsc.edu/cgi-bin/hgTracks?position=209215_at","UCSC")</f>
        <v>UCSC</v>
      </c>
      <c r="E9948" s="1" t="str">
        <f>HYPERLINK("http://www.ncbi.nlm.nih.gov/gene/?term=MFSD10","NCBI")</f>
        <v>NCBI</v>
      </c>
      <c r="F9948">
        <v>0.21</v>
      </c>
      <c r="G9948">
        <v>0.36</v>
      </c>
      <c r="H9948" s="1" t="str">
        <f>HYPERLINK("http://www.weizmann.ac.il/complex/compphys/software/geview/data/figures/209215_at.png","Figure")</f>
        <v>Figure</v>
      </c>
      <c r="I9948">
        <v>0.78100000000000003</v>
      </c>
      <c r="J9948">
        <v>0.35</v>
      </c>
      <c r="K9948">
        <v>0.76900000000000002</v>
      </c>
      <c r="L9948">
        <v>0.22</v>
      </c>
      <c r="M9948">
        <v>0.98399999999999999</v>
      </c>
      <c r="N9948">
        <v>0.99</v>
      </c>
    </row>
    <row r="9949" spans="1:14" x14ac:dyDescent="0.25">
      <c r="A9949" t="s">
        <v>17406</v>
      </c>
      <c r="B9949" t="s">
        <v>3639</v>
      </c>
      <c r="C9949" s="1" t="str">
        <f>HYPERLINK("http://www.genecards.org/cgi-bin/carddisp.pl?gene=FOXP3","GeneCards")</f>
        <v>GeneCards</v>
      </c>
      <c r="D9949" s="1" t="str">
        <f>HYPERLINK("http://genome-euro.ucsc.edu/cgi-bin/hgTracks?position=221333_at","UCSC")</f>
        <v>UCSC</v>
      </c>
      <c r="E9949" s="1" t="str">
        <f>HYPERLINK("http://www.ncbi.nlm.nih.gov/gene/?term=FOXP3","NCBI")</f>
        <v>NCBI</v>
      </c>
      <c r="F9949">
        <v>0.21</v>
      </c>
      <c r="G9949">
        <v>0.36</v>
      </c>
      <c r="H9949" s="1" t="str">
        <f>HYPERLINK("http://www.weizmann.ac.il/complex/compphys/software/geview/data/figures/221333_at.png","Figure")</f>
        <v>Figure</v>
      </c>
      <c r="I9949">
        <v>1.29</v>
      </c>
      <c r="J9949">
        <v>0.19</v>
      </c>
      <c r="K9949">
        <v>1.08</v>
      </c>
      <c r="L9949">
        <v>0.78</v>
      </c>
      <c r="M9949">
        <v>0.84199999999999997</v>
      </c>
      <c r="N9949">
        <v>0.4</v>
      </c>
    </row>
    <row r="9950" spans="1:14" x14ac:dyDescent="0.25">
      <c r="A9950" t="s">
        <v>17407</v>
      </c>
      <c r="B9950" t="s">
        <v>17408</v>
      </c>
      <c r="C9950" s="1" t="str">
        <f>HYPERLINK("http://www.genecards.org/cgi-bin/carddisp.pl?gene=RAD52","GeneCards")</f>
        <v>GeneCards</v>
      </c>
      <c r="D9950" s="1" t="str">
        <f>HYPERLINK("http://genome-euro.ucsc.edu/cgi-bin/hgTracks?position=211904_x_at","UCSC")</f>
        <v>UCSC</v>
      </c>
      <c r="E9950" s="1" t="str">
        <f>HYPERLINK("http://www.ncbi.nlm.nih.gov/gene/?term=RAD52","NCBI")</f>
        <v>NCBI</v>
      </c>
      <c r="F9950">
        <v>0.21</v>
      </c>
      <c r="G9950">
        <v>0.36</v>
      </c>
      <c r="H9950" s="1" t="str">
        <f>HYPERLINK("http://www.weizmann.ac.il/complex/compphys/software/geview/data/figures/211904_x_at.png","Figure")</f>
        <v>Figure</v>
      </c>
      <c r="I9950">
        <v>1.0900000000000001</v>
      </c>
      <c r="J9950">
        <v>0.32</v>
      </c>
      <c r="K9950">
        <v>0.99099999999999999</v>
      </c>
      <c r="L9950">
        <v>0.98</v>
      </c>
      <c r="M9950">
        <v>0.90500000000000003</v>
      </c>
      <c r="N9950">
        <v>0.21</v>
      </c>
    </row>
    <row r="9951" spans="1:14" x14ac:dyDescent="0.25">
      <c r="A9951" t="s">
        <v>17409</v>
      </c>
      <c r="B9951" t="s">
        <v>17410</v>
      </c>
      <c r="C9951" s="1" t="str">
        <f>HYPERLINK("http://www.genecards.org/cgi-bin/carddisp.pl?gene=C9orf116","GeneCards")</f>
        <v>GeneCards</v>
      </c>
      <c r="D9951" s="1" t="str">
        <f>HYPERLINK("http://genome-euro.ucsc.edu/cgi-bin/hgTracks?position=221946_at","UCSC")</f>
        <v>UCSC</v>
      </c>
      <c r="E9951" s="1" t="str">
        <f>HYPERLINK("http://www.ncbi.nlm.nih.gov/gene/?term=C9orf116","NCBI")</f>
        <v>NCBI</v>
      </c>
      <c r="F9951">
        <v>0.21</v>
      </c>
      <c r="G9951">
        <v>0.36</v>
      </c>
      <c r="H9951" s="1" t="str">
        <f>HYPERLINK("http://www.weizmann.ac.il/complex/compphys/software/geview/data/figures/221946_at.png","Figure")</f>
        <v>Figure</v>
      </c>
      <c r="I9951">
        <v>1.1299999999999999</v>
      </c>
      <c r="J9951">
        <v>0.19</v>
      </c>
      <c r="K9951">
        <v>1.05</v>
      </c>
      <c r="L9951">
        <v>0.67</v>
      </c>
      <c r="M9951">
        <v>0.92800000000000005</v>
      </c>
      <c r="N9951">
        <v>0.48</v>
      </c>
    </row>
    <row r="9952" spans="1:14" x14ac:dyDescent="0.25">
      <c r="A9952" t="s">
        <v>17411</v>
      </c>
      <c r="B9952" t="s">
        <v>17412</v>
      </c>
      <c r="C9952" s="1" t="str">
        <f>HYPERLINK("http://www.genecards.org/cgi-bin/carddisp.pl?gene=KPNA2","GeneCards")</f>
        <v>GeneCards</v>
      </c>
      <c r="D9952" s="1" t="str">
        <f>HYPERLINK("http://genome-euro.ucsc.edu/cgi-bin/hgTracks?position=211762_s_at","UCSC")</f>
        <v>UCSC</v>
      </c>
      <c r="E9952" s="1" t="str">
        <f>HYPERLINK("http://www.ncbi.nlm.nih.gov/gene/?term=KPNA2","NCBI")</f>
        <v>NCBI</v>
      </c>
      <c r="F9952">
        <v>0.21</v>
      </c>
      <c r="G9952">
        <v>0.36</v>
      </c>
      <c r="H9952" s="1" t="str">
        <f>HYPERLINK("http://www.weizmann.ac.il/complex/compphys/software/geview/data/figures/211762_s_at.png","Figure")</f>
        <v>Figure</v>
      </c>
      <c r="I9952">
        <v>0.78600000000000003</v>
      </c>
      <c r="J9952">
        <v>0.37</v>
      </c>
      <c r="K9952">
        <v>0.76500000000000001</v>
      </c>
      <c r="L9952">
        <v>0.21</v>
      </c>
      <c r="M9952">
        <v>0.97299999999999998</v>
      </c>
      <c r="N9952">
        <v>0.98</v>
      </c>
    </row>
    <row r="9953" spans="1:14" x14ac:dyDescent="0.25">
      <c r="A9953" t="s">
        <v>17413</v>
      </c>
      <c r="B9953" t="s">
        <v>12216</v>
      </c>
      <c r="C9953" s="1" t="str">
        <f>HYPERLINK("http://www.genecards.org/cgi-bin/carddisp.pl?gene=ZFP36L1","GeneCards")</f>
        <v>GeneCards</v>
      </c>
      <c r="D9953" s="1" t="str">
        <f>HYPERLINK("http://genome-euro.ucsc.edu/cgi-bin/hgTracks?position=211962_s_at","UCSC")</f>
        <v>UCSC</v>
      </c>
      <c r="E9953" s="1" t="str">
        <f>HYPERLINK("http://www.ncbi.nlm.nih.gov/gene/?term=ZFP36L1","NCBI")</f>
        <v>NCBI</v>
      </c>
      <c r="F9953">
        <v>0.21</v>
      </c>
      <c r="G9953">
        <v>0.36</v>
      </c>
      <c r="H9953" s="1" t="str">
        <f>HYPERLINK("http://www.weizmann.ac.il/complex/compphys/software/geview/data/figures/211962_s_at.png","Figure")</f>
        <v>Figure</v>
      </c>
      <c r="I9953">
        <v>1.54</v>
      </c>
      <c r="J9953">
        <v>0.19</v>
      </c>
      <c r="K9953">
        <v>1.25</v>
      </c>
      <c r="L9953">
        <v>0.53</v>
      </c>
      <c r="M9953">
        <v>0.81299999999999994</v>
      </c>
      <c r="N9953">
        <v>0.61</v>
      </c>
    </row>
    <row r="9954" spans="1:14" x14ac:dyDescent="0.25">
      <c r="A9954" t="s">
        <v>17414</v>
      </c>
      <c r="B9954" t="s">
        <v>17415</v>
      </c>
      <c r="C9954" s="1" t="str">
        <f>HYPERLINK("http://www.genecards.org/cgi-bin/carddisp.pl?gene=STAG3L1","GeneCards")</f>
        <v>GeneCards</v>
      </c>
      <c r="D9954" s="1" t="str">
        <f>HYPERLINK("http://genome-euro.ucsc.edu/cgi-bin/hgTracks?position=221191_at","UCSC")</f>
        <v>UCSC</v>
      </c>
      <c r="E9954" s="1" t="str">
        <f>HYPERLINK("http://www.ncbi.nlm.nih.gov/gene/?term=STAG3L1","NCBI")</f>
        <v>NCBI</v>
      </c>
      <c r="F9954">
        <v>0.21</v>
      </c>
      <c r="G9954">
        <v>0.36</v>
      </c>
      <c r="H9954" s="1" t="str">
        <f>HYPERLINK("http://www.weizmann.ac.il/complex/compphys/software/geview/data/figures/221191_at.png","Figure")</f>
        <v>Figure</v>
      </c>
      <c r="I9954">
        <v>0.60199999999999998</v>
      </c>
      <c r="J9954">
        <v>0.35</v>
      </c>
      <c r="K9954">
        <v>1.1000000000000001</v>
      </c>
      <c r="L9954">
        <v>0.95</v>
      </c>
      <c r="M9954">
        <v>1.83</v>
      </c>
      <c r="N9954">
        <v>0.2</v>
      </c>
    </row>
    <row r="9955" spans="1:14" x14ac:dyDescent="0.25">
      <c r="A9955" t="s">
        <v>17416</v>
      </c>
      <c r="B9955" t="s">
        <v>17417</v>
      </c>
      <c r="C9955" s="1" t="str">
        <f>HYPERLINK("http://www.genecards.org/cgi-bin/carddisp.pl?gene=MAPK12","GeneCards")</f>
        <v>GeneCards</v>
      </c>
      <c r="D9955" s="1" t="str">
        <f>HYPERLINK("http://genome-euro.ucsc.edu/cgi-bin/hgTracks?position=206106_at","UCSC")</f>
        <v>UCSC</v>
      </c>
      <c r="E9955" s="1" t="str">
        <f>HYPERLINK("http://www.ncbi.nlm.nih.gov/gene/?term=MAPK12","NCBI")</f>
        <v>NCBI</v>
      </c>
      <c r="F9955">
        <v>0.21</v>
      </c>
      <c r="G9955">
        <v>0.36</v>
      </c>
      <c r="H9955" s="1" t="str">
        <f>HYPERLINK("http://www.weizmann.ac.il/complex/compphys/software/geview/data/figures/206106_at.png","Figure")</f>
        <v>Figure</v>
      </c>
      <c r="I9955">
        <v>1.04</v>
      </c>
      <c r="J9955">
        <v>0.57999999999999996</v>
      </c>
      <c r="K9955">
        <v>1.06</v>
      </c>
      <c r="L9955">
        <v>0.19</v>
      </c>
      <c r="M9955">
        <v>1.02</v>
      </c>
      <c r="N9955">
        <v>0.79</v>
      </c>
    </row>
    <row r="9956" spans="1:14" x14ac:dyDescent="0.25">
      <c r="A9956" t="s">
        <v>17418</v>
      </c>
      <c r="B9956" t="s">
        <v>17419</v>
      </c>
      <c r="C9956" s="1" t="str">
        <f>HYPERLINK("http://www.genecards.org/cgi-bin/carddisp.pl?gene=GGT1","GeneCards")</f>
        <v>GeneCards</v>
      </c>
      <c r="D9956" s="1" t="str">
        <f>HYPERLINK("http://genome-euro.ucsc.edu/cgi-bin/hgTracks?position=211417_x_at","UCSC")</f>
        <v>UCSC</v>
      </c>
      <c r="E9956" s="1" t="str">
        <f>HYPERLINK("http://www.ncbi.nlm.nih.gov/gene/?term=GGT1","NCBI")</f>
        <v>NCBI</v>
      </c>
      <c r="F9956">
        <v>0.21</v>
      </c>
      <c r="G9956">
        <v>0.36</v>
      </c>
      <c r="H9956" s="1" t="str">
        <f>HYPERLINK("http://www.weizmann.ac.il/complex/compphys/software/geview/data/figures/211417_x_at.png","Figure")</f>
        <v>Figure</v>
      </c>
      <c r="I9956">
        <v>1.1200000000000001</v>
      </c>
      <c r="J9956">
        <v>0.45</v>
      </c>
      <c r="K9956">
        <v>1.1599999999999999</v>
      </c>
      <c r="L9956">
        <v>0.2</v>
      </c>
      <c r="M9956">
        <v>1.03</v>
      </c>
      <c r="N9956">
        <v>0.92</v>
      </c>
    </row>
    <row r="9957" spans="1:14" x14ac:dyDescent="0.25">
      <c r="A9957" t="s">
        <v>17420</v>
      </c>
      <c r="B9957" t="s">
        <v>17421</v>
      </c>
      <c r="C9957" s="1" t="str">
        <f>HYPERLINK("http://www.genecards.org/cgi-bin/carddisp.pl?gene=MRPL35","GeneCards")</f>
        <v>GeneCards</v>
      </c>
      <c r="D9957" s="1" t="str">
        <f>HYPERLINK("http://genome-euro.ucsc.edu/cgi-bin/hgTracks?position=218890_x_at","UCSC")</f>
        <v>UCSC</v>
      </c>
      <c r="E9957" s="1" t="str">
        <f>HYPERLINK("http://www.ncbi.nlm.nih.gov/gene/?term=MRPL35","NCBI")</f>
        <v>NCBI</v>
      </c>
      <c r="F9957">
        <v>0.21</v>
      </c>
      <c r="G9957">
        <v>0.36</v>
      </c>
      <c r="H9957" s="1" t="str">
        <f>HYPERLINK("http://www.weizmann.ac.il/complex/compphys/software/geview/data/figures/218890_x_at.png","Figure")</f>
        <v>Figure</v>
      </c>
      <c r="I9957">
        <v>1.08</v>
      </c>
      <c r="J9957">
        <v>0.89</v>
      </c>
      <c r="K9957">
        <v>1.29</v>
      </c>
      <c r="L9957">
        <v>0.21</v>
      </c>
      <c r="M9957">
        <v>1.2</v>
      </c>
      <c r="N9957">
        <v>0.49</v>
      </c>
    </row>
    <row r="9958" spans="1:14" x14ac:dyDescent="0.25">
      <c r="A9958" t="s">
        <v>17422</v>
      </c>
      <c r="B9958" t="s">
        <v>17423</v>
      </c>
      <c r="C9958" s="1" t="str">
        <f>HYPERLINK("http://www.genecards.org/cgi-bin/carddisp.pl?gene=SNCA","GeneCards")</f>
        <v>GeneCards</v>
      </c>
      <c r="D9958" s="1" t="str">
        <f>HYPERLINK("http://genome-euro.ucsc.edu/cgi-bin/hgTracks?position=204467_s_at","UCSC")</f>
        <v>UCSC</v>
      </c>
      <c r="E9958" s="1" t="str">
        <f>HYPERLINK("http://www.ncbi.nlm.nih.gov/gene/?term=SNCA","NCBI")</f>
        <v>NCBI</v>
      </c>
      <c r="F9958">
        <v>0.21</v>
      </c>
      <c r="G9958">
        <v>0.36</v>
      </c>
      <c r="H9958" s="1" t="str">
        <f>HYPERLINK("http://www.weizmann.ac.il/complex/compphys/software/geview/data/figures/204467_s_at.png","Figure")</f>
        <v>Figure</v>
      </c>
      <c r="I9958">
        <v>1.26</v>
      </c>
      <c r="J9958">
        <v>0.25</v>
      </c>
      <c r="K9958">
        <v>1.21</v>
      </c>
      <c r="L9958">
        <v>0.28999999999999998</v>
      </c>
      <c r="M9958">
        <v>0.95799999999999996</v>
      </c>
      <c r="N9958">
        <v>0.94</v>
      </c>
    </row>
    <row r="9959" spans="1:14" x14ac:dyDescent="0.25">
      <c r="A9959" t="s">
        <v>17424</v>
      </c>
      <c r="B9959" t="s">
        <v>17425</v>
      </c>
      <c r="C9959" s="1" t="str">
        <f>HYPERLINK("http://www.genecards.org/cgi-bin/carddisp.pl?gene=ZNF43","GeneCards")</f>
        <v>GeneCards</v>
      </c>
      <c r="D9959" s="1" t="str">
        <f>HYPERLINK("http://genome-euro.ucsc.edu/cgi-bin/hgTracks?position=206695_x_at","UCSC")</f>
        <v>UCSC</v>
      </c>
      <c r="E9959" s="1" t="str">
        <f>HYPERLINK("http://www.ncbi.nlm.nih.gov/gene/?term=ZNF43","NCBI")</f>
        <v>NCBI</v>
      </c>
      <c r="F9959">
        <v>0.21</v>
      </c>
      <c r="G9959">
        <v>0.36</v>
      </c>
      <c r="H9959" s="1" t="str">
        <f>HYPERLINK("http://www.weizmann.ac.il/complex/compphys/software/geview/data/figures/206695_x_at.png","Figure")</f>
        <v>Figure</v>
      </c>
      <c r="I9959">
        <v>1.27</v>
      </c>
      <c r="J9959">
        <v>0.49</v>
      </c>
      <c r="K9959">
        <v>0.88600000000000001</v>
      </c>
      <c r="L9959">
        <v>0.78</v>
      </c>
      <c r="M9959">
        <v>0.69699999999999995</v>
      </c>
      <c r="N9959">
        <v>0.19</v>
      </c>
    </row>
    <row r="9960" spans="1:14" x14ac:dyDescent="0.25">
      <c r="A9960" t="s">
        <v>17426</v>
      </c>
      <c r="B9960" t="s">
        <v>17427</v>
      </c>
      <c r="C9960" s="1" t="str">
        <f>HYPERLINK("http://www.genecards.org/cgi-bin/carddisp.pl?gene=TCP10","GeneCards")</f>
        <v>GeneCards</v>
      </c>
      <c r="D9960" s="1" t="str">
        <f>HYPERLINK("http://genome-euro.ucsc.edu/cgi-bin/hgTracks?position=207503_at","UCSC")</f>
        <v>UCSC</v>
      </c>
      <c r="E9960" s="1" t="str">
        <f>HYPERLINK("http://www.ncbi.nlm.nih.gov/gene/?term=TCP10","NCBI")</f>
        <v>NCBI</v>
      </c>
      <c r="F9960">
        <v>0.21</v>
      </c>
      <c r="G9960">
        <v>0.36</v>
      </c>
      <c r="H9960" s="1" t="str">
        <f>HYPERLINK("http://www.weizmann.ac.il/complex/compphys/software/geview/data/figures/207503_at.png","Figure")</f>
        <v>Figure</v>
      </c>
      <c r="I9960">
        <v>1.05</v>
      </c>
      <c r="J9960">
        <v>0.62</v>
      </c>
      <c r="K9960">
        <v>0.95799999999999996</v>
      </c>
      <c r="L9960">
        <v>0.65</v>
      </c>
      <c r="M9960">
        <v>0.91</v>
      </c>
      <c r="N9960">
        <v>0.19</v>
      </c>
    </row>
    <row r="9961" spans="1:14" x14ac:dyDescent="0.25">
      <c r="A9961" t="s">
        <v>17428</v>
      </c>
      <c r="B9961" t="s">
        <v>7764</v>
      </c>
      <c r="C9961" s="1" t="str">
        <f>HYPERLINK("http://www.genecards.org/cgi-bin/carddisp.pl?gene=PFDN4","GeneCards")</f>
        <v>GeneCards</v>
      </c>
      <c r="D9961" s="1" t="str">
        <f>HYPERLINK("http://genome-euro.ucsc.edu/cgi-bin/hgTracks?position=205361_s_at","UCSC")</f>
        <v>UCSC</v>
      </c>
      <c r="E9961" s="1" t="str">
        <f>HYPERLINK("http://www.ncbi.nlm.nih.gov/gene/?term=PFDN4","NCBI")</f>
        <v>NCBI</v>
      </c>
      <c r="F9961">
        <v>0.21</v>
      </c>
      <c r="G9961">
        <v>0.36</v>
      </c>
      <c r="H9961" s="1" t="str">
        <f>HYPERLINK("http://www.weizmann.ac.il/complex/compphys/software/geview/data/figures/205361_s_at.png","Figure")</f>
        <v>Figure</v>
      </c>
      <c r="I9961">
        <v>0.67</v>
      </c>
      <c r="J9961">
        <v>0.19</v>
      </c>
      <c r="K9961">
        <v>0.81899999999999995</v>
      </c>
      <c r="L9961">
        <v>0.55000000000000004</v>
      </c>
      <c r="M9961">
        <v>1.22</v>
      </c>
      <c r="N9961">
        <v>0.59</v>
      </c>
    </row>
    <row r="9962" spans="1:14" x14ac:dyDescent="0.25">
      <c r="A9962" t="s">
        <v>17429</v>
      </c>
      <c r="B9962" t="s">
        <v>6484</v>
      </c>
      <c r="C9962" s="1" t="str">
        <f>HYPERLINK("http://www.genecards.org/cgi-bin/carddisp.pl?gene=PCGF2","GeneCards")</f>
        <v>GeneCards</v>
      </c>
      <c r="D9962" s="1" t="str">
        <f>HYPERLINK("http://genome-euro.ucsc.edu/cgi-bin/hgTracks?position=203793_x_at","UCSC")</f>
        <v>UCSC</v>
      </c>
      <c r="E9962" s="1" t="str">
        <f>HYPERLINK("http://www.ncbi.nlm.nih.gov/gene/?term=PCGF2","NCBI")</f>
        <v>NCBI</v>
      </c>
      <c r="F9962">
        <v>0.21</v>
      </c>
      <c r="G9962">
        <v>0.36</v>
      </c>
      <c r="H9962" s="1" t="str">
        <f>HYPERLINK("http://www.weizmann.ac.il/complex/compphys/software/geview/data/figures/203793_x_at.png","Figure")</f>
        <v>Figure</v>
      </c>
      <c r="I9962">
        <v>1.1299999999999999</v>
      </c>
      <c r="J9962">
        <v>0.27</v>
      </c>
      <c r="K9962">
        <v>1</v>
      </c>
      <c r="L9962">
        <v>1</v>
      </c>
      <c r="M9962">
        <v>0.88900000000000001</v>
      </c>
      <c r="N9962">
        <v>0.24</v>
      </c>
    </row>
    <row r="9963" spans="1:14" x14ac:dyDescent="0.25">
      <c r="A9963" t="s">
        <v>17430</v>
      </c>
      <c r="B9963" t="s">
        <v>17431</v>
      </c>
      <c r="C9963" s="1" t="str">
        <f>HYPERLINK("http://www.genecards.org/cgi-bin/carddisp.pl?gene=CYBA","GeneCards")</f>
        <v>GeneCards</v>
      </c>
      <c r="D9963" s="1" t="str">
        <f>HYPERLINK("http://genome-euro.ucsc.edu/cgi-bin/hgTracks?position=203028_s_at","UCSC")</f>
        <v>UCSC</v>
      </c>
      <c r="E9963" s="1" t="str">
        <f>HYPERLINK("http://www.ncbi.nlm.nih.gov/gene/?term=CYBA","NCBI")</f>
        <v>NCBI</v>
      </c>
      <c r="F9963">
        <v>0.21</v>
      </c>
      <c r="G9963">
        <v>0.36</v>
      </c>
      <c r="H9963" s="1" t="str">
        <f>HYPERLINK("http://www.weizmann.ac.il/complex/compphys/software/geview/data/figures/203028_s_at.png","Figure")</f>
        <v>Figure</v>
      </c>
      <c r="I9963">
        <v>1.1000000000000001</v>
      </c>
      <c r="J9963">
        <v>0.82</v>
      </c>
      <c r="K9963">
        <v>1.28</v>
      </c>
      <c r="L9963">
        <v>0.2</v>
      </c>
      <c r="M9963">
        <v>1.1599999999999999</v>
      </c>
      <c r="N9963">
        <v>0.55000000000000004</v>
      </c>
    </row>
    <row r="9964" spans="1:14" x14ac:dyDescent="0.25">
      <c r="A9964" t="s">
        <v>17432</v>
      </c>
      <c r="B9964" t="s">
        <v>15215</v>
      </c>
      <c r="C9964" s="1" t="str">
        <f>HYPERLINK("http://www.genecards.org/cgi-bin/carddisp.pl?gene=EEF1A1","GeneCards")</f>
        <v>GeneCards</v>
      </c>
      <c r="D9964" s="1" t="str">
        <f>HYPERLINK("http://genome-euro.ucsc.edu/cgi-bin/hgTracks?position=204892_x_at","UCSC")</f>
        <v>UCSC</v>
      </c>
      <c r="E9964" s="1" t="str">
        <f>HYPERLINK("http://www.ncbi.nlm.nih.gov/gene/?term=EEF1A1","NCBI")</f>
        <v>NCBI</v>
      </c>
      <c r="F9964">
        <v>0.21</v>
      </c>
      <c r="G9964">
        <v>0.36</v>
      </c>
      <c r="H9964" s="1" t="str">
        <f>HYPERLINK("http://www.weizmann.ac.il/complex/compphys/software/geview/data/figures/204892_x_at.png","Figure")</f>
        <v>Figure</v>
      </c>
      <c r="I9964">
        <v>1.08</v>
      </c>
      <c r="J9964">
        <v>0.64</v>
      </c>
      <c r="K9964">
        <v>0.93100000000000005</v>
      </c>
      <c r="L9964">
        <v>0.63</v>
      </c>
      <c r="M9964">
        <v>0.86</v>
      </c>
      <c r="N9964">
        <v>0.19</v>
      </c>
    </row>
    <row r="9965" spans="1:14" x14ac:dyDescent="0.25">
      <c r="A9965" t="s">
        <v>17433</v>
      </c>
      <c r="B9965" t="s">
        <v>17434</v>
      </c>
      <c r="C9965" s="1" t="str">
        <f>HYPERLINK("http://www.genecards.org/cgi-bin/carddisp.pl?gene=RELB","GeneCards")</f>
        <v>GeneCards</v>
      </c>
      <c r="D9965" s="1" t="str">
        <f>HYPERLINK("http://genome-euro.ucsc.edu/cgi-bin/hgTracks?position=205205_at","UCSC")</f>
        <v>UCSC</v>
      </c>
      <c r="E9965" s="1" t="str">
        <f>HYPERLINK("http://www.ncbi.nlm.nih.gov/gene/?term=RELB","NCBI")</f>
        <v>NCBI</v>
      </c>
      <c r="F9965">
        <v>0.21</v>
      </c>
      <c r="G9965">
        <v>0.36</v>
      </c>
      <c r="H9965" s="1" t="str">
        <f>HYPERLINK("http://www.weizmann.ac.il/complex/compphys/software/geview/data/figures/205205_at.png","Figure")</f>
        <v>Figure</v>
      </c>
      <c r="I9965">
        <v>1.2</v>
      </c>
      <c r="J9965">
        <v>0.42</v>
      </c>
      <c r="K9965">
        <v>0.94</v>
      </c>
      <c r="L9965">
        <v>0.88</v>
      </c>
      <c r="M9965">
        <v>0.78</v>
      </c>
      <c r="N9965">
        <v>0.19</v>
      </c>
    </row>
    <row r="9966" spans="1:14" x14ac:dyDescent="0.25">
      <c r="A9966" t="s">
        <v>17435</v>
      </c>
      <c r="B9966" t="s">
        <v>17436</v>
      </c>
      <c r="C9966" s="1" t="str">
        <f>HYPERLINK("http://www.genecards.org/cgi-bin/carddisp.pl?gene=TCF12","GeneCards")</f>
        <v>GeneCards</v>
      </c>
      <c r="D9966" s="1" t="str">
        <f>HYPERLINK("http://genome-euro.ucsc.edu/cgi-bin/hgTracks?position=208986_at","UCSC")</f>
        <v>UCSC</v>
      </c>
      <c r="E9966" s="1" t="str">
        <f>HYPERLINK("http://www.ncbi.nlm.nih.gov/gene/?term=TCF12","NCBI")</f>
        <v>NCBI</v>
      </c>
      <c r="F9966">
        <v>0.21</v>
      </c>
      <c r="G9966">
        <v>0.36</v>
      </c>
      <c r="H9966" s="1" t="str">
        <f>HYPERLINK("http://www.weizmann.ac.il/complex/compphys/software/geview/data/figures/208986_at.png","Figure")</f>
        <v>Figure</v>
      </c>
      <c r="I9966">
        <v>0.94299999999999995</v>
      </c>
      <c r="J9966">
        <v>0.92</v>
      </c>
      <c r="K9966">
        <v>1.2</v>
      </c>
      <c r="L9966">
        <v>0.38</v>
      </c>
      <c r="M9966">
        <v>1.28</v>
      </c>
      <c r="N9966">
        <v>0.24</v>
      </c>
    </row>
    <row r="9967" spans="1:14" x14ac:dyDescent="0.25">
      <c r="A9967" t="s">
        <v>17437</v>
      </c>
      <c r="B9967" t="s">
        <v>17011</v>
      </c>
      <c r="C9967" s="1" t="str">
        <f>HYPERLINK("http://www.genecards.org/cgi-bin/carddisp.pl?gene=DLAT","GeneCards")</f>
        <v>GeneCards</v>
      </c>
      <c r="D9967" s="1" t="str">
        <f>HYPERLINK("http://genome-euro.ucsc.edu/cgi-bin/hgTracks?position=212568_s_at","UCSC")</f>
        <v>UCSC</v>
      </c>
      <c r="E9967" s="1" t="str">
        <f>HYPERLINK("http://www.ncbi.nlm.nih.gov/gene/?term=DLAT","NCBI")</f>
        <v>NCBI</v>
      </c>
      <c r="F9967">
        <v>0.21</v>
      </c>
      <c r="G9967">
        <v>0.36</v>
      </c>
      <c r="H9967" s="1" t="str">
        <f>HYPERLINK("http://www.weizmann.ac.il/complex/compphys/software/geview/data/figures/212568_s_at.png","Figure")</f>
        <v>Figure</v>
      </c>
      <c r="I9967">
        <v>0.79400000000000004</v>
      </c>
      <c r="J9967">
        <v>0.28000000000000003</v>
      </c>
      <c r="K9967">
        <v>1</v>
      </c>
      <c r="L9967">
        <v>1</v>
      </c>
      <c r="M9967">
        <v>1.26</v>
      </c>
      <c r="N9967">
        <v>0.23</v>
      </c>
    </row>
    <row r="9968" spans="1:14" x14ac:dyDescent="0.25">
      <c r="A9968" t="s">
        <v>17438</v>
      </c>
      <c r="B9968" t="s">
        <v>16321</v>
      </c>
      <c r="C9968" s="1" t="str">
        <f>HYPERLINK("http://www.genecards.org/cgi-bin/carddisp.pl?gene=MTUS1","GeneCards")</f>
        <v>GeneCards</v>
      </c>
      <c r="D9968" s="1" t="str">
        <f>HYPERLINK("http://genome-euro.ucsc.edu/cgi-bin/hgTracks?position=212093_s_at","UCSC")</f>
        <v>UCSC</v>
      </c>
      <c r="E9968" s="1" t="str">
        <f>HYPERLINK("http://www.ncbi.nlm.nih.gov/gene/?term=MTUS1","NCBI")</f>
        <v>NCBI</v>
      </c>
      <c r="F9968">
        <v>0.21</v>
      </c>
      <c r="G9968">
        <v>0.36</v>
      </c>
      <c r="H9968" s="1" t="str">
        <f>HYPERLINK("http://www.weizmann.ac.il/complex/compphys/software/geview/data/figures/212093_s_at.png","Figure")</f>
        <v>Figure</v>
      </c>
      <c r="I9968">
        <v>1.1599999999999999</v>
      </c>
      <c r="J9968">
        <v>0.48</v>
      </c>
      <c r="K9968">
        <v>0.93200000000000005</v>
      </c>
      <c r="L9968">
        <v>0.8</v>
      </c>
      <c r="M9968">
        <v>0.80400000000000005</v>
      </c>
      <c r="N9968">
        <v>0.19</v>
      </c>
    </row>
    <row r="9969" spans="1:14" x14ac:dyDescent="0.25">
      <c r="A9969" t="s">
        <v>17439</v>
      </c>
      <c r="B9969" t="s">
        <v>6454</v>
      </c>
      <c r="C9969" s="1" t="str">
        <f>HYPERLINK("http://www.genecards.org/cgi-bin/carddisp.pl?gene=ZMYM2","GeneCards")</f>
        <v>GeneCards</v>
      </c>
      <c r="D9969" s="1" t="str">
        <f>HYPERLINK("http://genome-euro.ucsc.edu/cgi-bin/hgTracks?position=210282_at","UCSC")</f>
        <v>UCSC</v>
      </c>
      <c r="E9969" s="1" t="str">
        <f>HYPERLINK("http://www.ncbi.nlm.nih.gov/gene/?term=ZMYM2","NCBI")</f>
        <v>NCBI</v>
      </c>
      <c r="F9969">
        <v>0.21</v>
      </c>
      <c r="G9969">
        <v>0.36</v>
      </c>
      <c r="H9969" s="1" t="str">
        <f>HYPERLINK("http://www.weizmann.ac.il/complex/compphys/software/geview/data/figures/210282_at.png","Figure")</f>
        <v>Figure</v>
      </c>
      <c r="I9969">
        <v>0.80600000000000005</v>
      </c>
      <c r="J9969">
        <v>0.79</v>
      </c>
      <c r="K9969">
        <v>0.59299999999999997</v>
      </c>
      <c r="L9969">
        <v>0.19</v>
      </c>
      <c r="M9969">
        <v>0.73599999999999999</v>
      </c>
      <c r="N9969">
        <v>0.57999999999999996</v>
      </c>
    </row>
    <row r="9970" spans="1:14" x14ac:dyDescent="0.25">
      <c r="A9970" t="s">
        <v>17440</v>
      </c>
      <c r="B9970" t="s">
        <v>9868</v>
      </c>
      <c r="C9970" s="1" t="str">
        <f>HYPERLINK("http://www.genecards.org/cgi-bin/carddisp.pl?gene=ZYX","GeneCards")</f>
        <v>GeneCards</v>
      </c>
      <c r="D9970" s="1" t="str">
        <f>HYPERLINK("http://genome-euro.ucsc.edu/cgi-bin/hgTracks?position=215706_x_at","UCSC")</f>
        <v>UCSC</v>
      </c>
      <c r="E9970" s="1" t="str">
        <f>HYPERLINK("http://www.ncbi.nlm.nih.gov/gene/?term=ZYX","NCBI")</f>
        <v>NCBI</v>
      </c>
      <c r="F9970">
        <v>0.21</v>
      </c>
      <c r="G9970">
        <v>0.36</v>
      </c>
      <c r="H9970" s="1" t="str">
        <f>HYPERLINK("http://www.weizmann.ac.il/complex/compphys/software/geview/data/figures/215706_x_at.png","Figure")</f>
        <v>Figure</v>
      </c>
      <c r="I9970">
        <v>0.97299999999999998</v>
      </c>
      <c r="J9970">
        <v>0.97</v>
      </c>
      <c r="K9970">
        <v>1.1499999999999999</v>
      </c>
      <c r="L9970">
        <v>0.34</v>
      </c>
      <c r="M9970">
        <v>1.18</v>
      </c>
      <c r="N9970">
        <v>0.26</v>
      </c>
    </row>
    <row r="9971" spans="1:14" x14ac:dyDescent="0.25">
      <c r="A9971" t="s">
        <v>17441</v>
      </c>
      <c r="B9971" t="s">
        <v>10505</v>
      </c>
      <c r="C9971" s="1" t="str">
        <f>HYPERLINK("http://www.genecards.org/cgi-bin/carddisp.pl?gene=FBXO11","GeneCards")</f>
        <v>GeneCards</v>
      </c>
      <c r="D9971" s="1" t="str">
        <f>HYPERLINK("http://genome-euro.ucsc.edu/cgi-bin/hgTracks?position=219208_at","UCSC")</f>
        <v>UCSC</v>
      </c>
      <c r="E9971" s="1" t="str">
        <f>HYPERLINK("http://www.ncbi.nlm.nih.gov/gene/?term=FBXO11","NCBI")</f>
        <v>NCBI</v>
      </c>
      <c r="F9971">
        <v>0.21</v>
      </c>
      <c r="G9971">
        <v>0.36</v>
      </c>
      <c r="H9971" s="1" t="str">
        <f>HYPERLINK("http://www.weizmann.ac.il/complex/compphys/software/geview/data/figures/219208_at.png","Figure")</f>
        <v>Figure</v>
      </c>
      <c r="I9971">
        <v>0.98799999999999999</v>
      </c>
      <c r="J9971">
        <v>1</v>
      </c>
      <c r="K9971">
        <v>0.65400000000000003</v>
      </c>
      <c r="L9971">
        <v>0.27</v>
      </c>
      <c r="M9971">
        <v>0.66200000000000003</v>
      </c>
      <c r="N9971">
        <v>0.33</v>
      </c>
    </row>
    <row r="9972" spans="1:14" x14ac:dyDescent="0.25">
      <c r="A9972" t="s">
        <v>17442</v>
      </c>
      <c r="B9972" t="s">
        <v>17443</v>
      </c>
      <c r="C9972" s="1" t="str">
        <f>HYPERLINK("http://www.genecards.org/cgi-bin/carddisp.pl?gene=NUBP1","GeneCards")</f>
        <v>GeneCards</v>
      </c>
      <c r="D9972" s="1" t="str">
        <f>HYPERLINK("http://genome-euro.ucsc.edu/cgi-bin/hgTracks?position=203978_at","UCSC")</f>
        <v>UCSC</v>
      </c>
      <c r="E9972" s="1" t="str">
        <f>HYPERLINK("http://www.ncbi.nlm.nih.gov/gene/?term=NUBP1","NCBI")</f>
        <v>NCBI</v>
      </c>
      <c r="F9972">
        <v>0.21</v>
      </c>
      <c r="G9972">
        <v>0.36</v>
      </c>
      <c r="H9972" s="1" t="str">
        <f>HYPERLINK("http://www.weizmann.ac.il/complex/compphys/software/geview/data/figures/203978_at.png","Figure")</f>
        <v>Figure</v>
      </c>
      <c r="I9972">
        <v>0.94599999999999995</v>
      </c>
      <c r="J9972">
        <v>0.98</v>
      </c>
      <c r="K9972">
        <v>0.68100000000000005</v>
      </c>
      <c r="L9972">
        <v>0.24</v>
      </c>
      <c r="M9972">
        <v>0.72</v>
      </c>
      <c r="N9972">
        <v>0.39</v>
      </c>
    </row>
    <row r="9973" spans="1:14" x14ac:dyDescent="0.25">
      <c r="A9973" t="s">
        <v>17444</v>
      </c>
      <c r="B9973" t="s">
        <v>10727</v>
      </c>
      <c r="C9973" s="1" t="str">
        <f>HYPERLINK("http://www.genecards.org/cgi-bin/carddisp.pl?gene=LAMC1","GeneCards")</f>
        <v>GeneCards</v>
      </c>
      <c r="D9973" s="1" t="str">
        <f>HYPERLINK("http://genome-euro.ucsc.edu/cgi-bin/hgTracks?position=200770_s_at","UCSC")</f>
        <v>UCSC</v>
      </c>
      <c r="E9973" s="1" t="str">
        <f>HYPERLINK("http://www.ncbi.nlm.nih.gov/gene/?term=LAMC1","NCBI")</f>
        <v>NCBI</v>
      </c>
      <c r="F9973">
        <v>0.21</v>
      </c>
      <c r="G9973">
        <v>0.36</v>
      </c>
      <c r="H9973" s="1" t="str">
        <f>HYPERLINK("http://www.weizmann.ac.il/complex/compphys/software/geview/data/figures/200770_s_at.png","Figure")</f>
        <v>Figure</v>
      </c>
      <c r="I9973">
        <v>0.81799999999999995</v>
      </c>
      <c r="J9973">
        <v>0.21</v>
      </c>
      <c r="K9973">
        <v>0.95599999999999996</v>
      </c>
      <c r="L9973">
        <v>0.89</v>
      </c>
      <c r="M9973">
        <v>1.17</v>
      </c>
      <c r="N9973">
        <v>0.33</v>
      </c>
    </row>
    <row r="9974" spans="1:14" x14ac:dyDescent="0.25">
      <c r="A9974" t="s">
        <v>17445</v>
      </c>
      <c r="B9974" t="s">
        <v>17446</v>
      </c>
      <c r="C9974" s="1" t="str">
        <f>HYPERLINK("http://www.genecards.org/cgi-bin/carddisp.pl?gene=HOXA11","GeneCards")</f>
        <v>GeneCards</v>
      </c>
      <c r="D9974" s="1" t="str">
        <f>HYPERLINK("http://genome-euro.ucsc.edu/cgi-bin/hgTracks?position=213823_at","UCSC")</f>
        <v>UCSC</v>
      </c>
      <c r="E9974" s="1" t="str">
        <f>HYPERLINK("http://www.ncbi.nlm.nih.gov/gene/?term=HOXA11","NCBI")</f>
        <v>NCBI</v>
      </c>
      <c r="F9974">
        <v>0.21</v>
      </c>
      <c r="G9974">
        <v>0.36</v>
      </c>
      <c r="H9974" s="1" t="str">
        <f>HYPERLINK("http://www.weizmann.ac.il/complex/compphys/software/geview/data/figures/213823_at.png","Figure")</f>
        <v>Figure</v>
      </c>
      <c r="I9974">
        <v>1.18</v>
      </c>
      <c r="J9974">
        <v>0.19</v>
      </c>
      <c r="K9974">
        <v>1.1000000000000001</v>
      </c>
      <c r="L9974">
        <v>0.47</v>
      </c>
      <c r="M9974">
        <v>0.93200000000000005</v>
      </c>
      <c r="N9974">
        <v>0.68</v>
      </c>
    </row>
    <row r="9975" spans="1:14" x14ac:dyDescent="0.25">
      <c r="A9975" t="s">
        <v>17447</v>
      </c>
      <c r="B9975" t="s">
        <v>17448</v>
      </c>
      <c r="C9975" s="1" t="str">
        <f>HYPERLINK("http://www.genecards.org/cgi-bin/carddisp.pl?gene=PMF1","GeneCards")</f>
        <v>GeneCards</v>
      </c>
      <c r="D9975" s="1" t="str">
        <f>HYPERLINK("http://genome-euro.ucsc.edu/cgi-bin/hgTracks?position=202337_at","UCSC")</f>
        <v>UCSC</v>
      </c>
      <c r="E9975" s="1" t="str">
        <f>HYPERLINK("http://www.ncbi.nlm.nih.gov/gene/?term=PMF1","NCBI")</f>
        <v>NCBI</v>
      </c>
      <c r="F9975">
        <v>0.21</v>
      </c>
      <c r="G9975">
        <v>0.36</v>
      </c>
      <c r="H9975" s="1" t="str">
        <f>HYPERLINK("http://www.weizmann.ac.il/complex/compphys/software/geview/data/figures/202337_at.png","Figure")</f>
        <v>Figure</v>
      </c>
      <c r="I9975">
        <v>1.1399999999999999</v>
      </c>
      <c r="J9975">
        <v>0.74</v>
      </c>
      <c r="K9975">
        <v>0.84599999999999997</v>
      </c>
      <c r="L9975">
        <v>0.53</v>
      </c>
      <c r="M9975">
        <v>0.74299999999999999</v>
      </c>
      <c r="N9975">
        <v>0.2</v>
      </c>
    </row>
    <row r="9976" spans="1:14" x14ac:dyDescent="0.25">
      <c r="A9976" t="s">
        <v>17449</v>
      </c>
      <c r="B9976" t="s">
        <v>17450</v>
      </c>
      <c r="C9976" s="1" t="str">
        <f>HYPERLINK("http://www.genecards.org/cgi-bin/carddisp.pl?gene=NR1H2","GeneCards")</f>
        <v>GeneCards</v>
      </c>
      <c r="D9976" s="1" t="str">
        <f>HYPERLINK("http://genome-euro.ucsc.edu/cgi-bin/hgTracks?position=218215_s_at","UCSC")</f>
        <v>UCSC</v>
      </c>
      <c r="E9976" s="1" t="str">
        <f>HYPERLINK("http://www.ncbi.nlm.nih.gov/gene/?term=NR1H2","NCBI")</f>
        <v>NCBI</v>
      </c>
      <c r="F9976">
        <v>0.21</v>
      </c>
      <c r="G9976">
        <v>0.36</v>
      </c>
      <c r="H9976" s="1" t="str">
        <f>HYPERLINK("http://www.weizmann.ac.il/complex/compphys/software/geview/data/figures/218215_s_at.png","Figure")</f>
        <v>Figure</v>
      </c>
      <c r="I9976">
        <v>1.29</v>
      </c>
      <c r="J9976">
        <v>0.19</v>
      </c>
      <c r="K9976">
        <v>1.1399999999999999</v>
      </c>
      <c r="L9976">
        <v>0.53</v>
      </c>
      <c r="M9976">
        <v>0.88500000000000001</v>
      </c>
      <c r="N9976">
        <v>0.62</v>
      </c>
    </row>
    <row r="9977" spans="1:14" x14ac:dyDescent="0.25">
      <c r="A9977" t="s">
        <v>17451</v>
      </c>
      <c r="B9977" t="s">
        <v>17452</v>
      </c>
      <c r="C9977" s="1" t="str">
        <f>HYPERLINK("http://www.genecards.org/cgi-bin/carddisp.pl?gene=ZBTB20","GeneCards")</f>
        <v>GeneCards</v>
      </c>
      <c r="D9977" s="1" t="str">
        <f>HYPERLINK("http://genome-euro.ucsc.edu/cgi-bin/hgTracks?position=205383_s_at","UCSC")</f>
        <v>UCSC</v>
      </c>
      <c r="E9977" s="1" t="str">
        <f>HYPERLINK("http://www.ncbi.nlm.nih.gov/gene/?term=ZBTB20","NCBI")</f>
        <v>NCBI</v>
      </c>
      <c r="F9977">
        <v>0.21</v>
      </c>
      <c r="G9977">
        <v>0.36</v>
      </c>
      <c r="H9977" s="1" t="str">
        <f>HYPERLINK("http://www.weizmann.ac.il/complex/compphys/software/geview/data/figures/205383_s_at.png","Figure")</f>
        <v>Figure</v>
      </c>
      <c r="I9977">
        <v>0.94799999999999995</v>
      </c>
      <c r="J9977">
        <v>0.87</v>
      </c>
      <c r="K9977">
        <v>1.1299999999999999</v>
      </c>
      <c r="L9977">
        <v>0.43</v>
      </c>
      <c r="M9977">
        <v>1.19</v>
      </c>
      <c r="N9977">
        <v>0.23</v>
      </c>
    </row>
    <row r="9978" spans="1:14" x14ac:dyDescent="0.25">
      <c r="A9978" t="s">
        <v>17453</v>
      </c>
      <c r="B9978" t="s">
        <v>17454</v>
      </c>
      <c r="C9978" s="1" t="str">
        <f>HYPERLINK("http://www.genecards.org/cgi-bin/carddisp.pl?gene=OR5I1","GeneCards")</f>
        <v>GeneCards</v>
      </c>
      <c r="D9978" s="1" t="str">
        <f>HYPERLINK("http://genome-euro.ucsc.edu/cgi-bin/hgTracks?position=208521_at","UCSC")</f>
        <v>UCSC</v>
      </c>
      <c r="E9978" s="1" t="str">
        <f>HYPERLINK("http://www.ncbi.nlm.nih.gov/gene/?term=OR5I1","NCBI")</f>
        <v>NCBI</v>
      </c>
      <c r="F9978">
        <v>0.21</v>
      </c>
      <c r="G9978">
        <v>0.36</v>
      </c>
      <c r="H9978" s="1" t="str">
        <f>HYPERLINK("http://www.weizmann.ac.il/complex/compphys/software/geview/data/figures/208521_at.png","Figure")</f>
        <v>Figure</v>
      </c>
      <c r="I9978">
        <v>0.94499999999999995</v>
      </c>
      <c r="J9978">
        <v>0.78</v>
      </c>
      <c r="K9978">
        <v>0.873</v>
      </c>
      <c r="L9978">
        <v>0.2</v>
      </c>
      <c r="M9978">
        <v>0.92400000000000004</v>
      </c>
      <c r="N9978">
        <v>0.59</v>
      </c>
    </row>
    <row r="9979" spans="1:14" x14ac:dyDescent="0.25">
      <c r="A9979" t="s">
        <v>17455</v>
      </c>
      <c r="B9979" t="s">
        <v>17456</v>
      </c>
      <c r="C9979" s="1" t="str">
        <f>HYPERLINK("http://www.genecards.org/cgi-bin/carddisp.pl?gene=MAP3K9","GeneCards")</f>
        <v>GeneCards</v>
      </c>
      <c r="D9979" s="1" t="str">
        <f>HYPERLINK("http://genome-euro.ucsc.edu/cgi-bin/hgTracks?position=214969_at","UCSC")</f>
        <v>UCSC</v>
      </c>
      <c r="E9979" s="1" t="str">
        <f>HYPERLINK("http://www.ncbi.nlm.nih.gov/gene/?term=MAP3K9","NCBI")</f>
        <v>NCBI</v>
      </c>
      <c r="F9979">
        <v>0.21</v>
      </c>
      <c r="G9979">
        <v>0.36</v>
      </c>
      <c r="H9979" s="1" t="str">
        <f>HYPERLINK("http://www.weizmann.ac.il/complex/compphys/software/geview/data/figures/214969_at.png","Figure")</f>
        <v>Figure</v>
      </c>
      <c r="I9979">
        <v>1.05</v>
      </c>
      <c r="J9979">
        <v>0.72</v>
      </c>
      <c r="K9979">
        <v>0.94299999999999995</v>
      </c>
      <c r="L9979">
        <v>0.55000000000000004</v>
      </c>
      <c r="M9979">
        <v>0.89700000000000002</v>
      </c>
      <c r="N9979">
        <v>0.2</v>
      </c>
    </row>
    <row r="9980" spans="1:14" x14ac:dyDescent="0.25">
      <c r="A9980" t="s">
        <v>17457</v>
      </c>
      <c r="B9980" t="s">
        <v>17458</v>
      </c>
      <c r="C9980" s="1" t="str">
        <f>HYPERLINK("http://www.genecards.org/cgi-bin/carddisp.pl?gene=TCN2","GeneCards")</f>
        <v>GeneCards</v>
      </c>
      <c r="D9980" s="1" t="str">
        <f>HYPERLINK("http://genome-euro.ucsc.edu/cgi-bin/hgTracks?position=204043_at","UCSC")</f>
        <v>UCSC</v>
      </c>
      <c r="E9980" s="1" t="str">
        <f>HYPERLINK("http://www.ncbi.nlm.nih.gov/gene/?term=TCN2","NCBI")</f>
        <v>NCBI</v>
      </c>
      <c r="F9980">
        <v>0.21</v>
      </c>
      <c r="G9980">
        <v>0.36</v>
      </c>
      <c r="H9980" s="1" t="str">
        <f>HYPERLINK("http://www.weizmann.ac.il/complex/compphys/software/geview/data/figures/204043_at.png","Figure")</f>
        <v>Figure</v>
      </c>
      <c r="I9980">
        <v>1.1100000000000001</v>
      </c>
      <c r="J9980">
        <v>0.26</v>
      </c>
      <c r="K9980">
        <v>1.0900000000000001</v>
      </c>
      <c r="L9980">
        <v>0.28000000000000003</v>
      </c>
      <c r="M9980">
        <v>0.98399999999999999</v>
      </c>
      <c r="N9980">
        <v>0.96</v>
      </c>
    </row>
    <row r="9981" spans="1:14" x14ac:dyDescent="0.25">
      <c r="A9981" t="s">
        <v>17459</v>
      </c>
      <c r="B9981" t="s">
        <v>17460</v>
      </c>
      <c r="C9981" s="1" t="str">
        <f>HYPERLINK("http://www.genecards.org/cgi-bin/carddisp.pl?gene=LTBP4","GeneCards")</f>
        <v>GeneCards</v>
      </c>
      <c r="D9981" s="1" t="str">
        <f>HYPERLINK("http://genome-euro.ucsc.edu/cgi-bin/hgTracks?position=210628_x_at","UCSC")</f>
        <v>UCSC</v>
      </c>
      <c r="E9981" s="1" t="str">
        <f>HYPERLINK("http://www.ncbi.nlm.nih.gov/gene/?term=LTBP4","NCBI")</f>
        <v>NCBI</v>
      </c>
      <c r="F9981">
        <v>0.21</v>
      </c>
      <c r="G9981">
        <v>0.36</v>
      </c>
      <c r="H9981" s="1" t="str">
        <f>HYPERLINK("http://www.weizmann.ac.il/complex/compphys/software/geview/data/figures/210628_x_at.png","Figure")</f>
        <v>Figure</v>
      </c>
      <c r="I9981">
        <v>1.08</v>
      </c>
      <c r="J9981">
        <v>0.53</v>
      </c>
      <c r="K9981">
        <v>0.95699999999999996</v>
      </c>
      <c r="L9981">
        <v>0.75</v>
      </c>
      <c r="M9981">
        <v>0.88800000000000001</v>
      </c>
      <c r="N9981">
        <v>0.19</v>
      </c>
    </row>
    <row r="9982" spans="1:14" x14ac:dyDescent="0.25">
      <c r="A9982" t="s">
        <v>17461</v>
      </c>
      <c r="B9982" t="s">
        <v>17462</v>
      </c>
      <c r="C9982" s="1" t="str">
        <f>HYPERLINK("http://www.genecards.org/cgi-bin/carddisp.pl?gene=HRH2","GeneCards")</f>
        <v>GeneCards</v>
      </c>
      <c r="D9982" s="1" t="str">
        <f>HYPERLINK("http://genome-euro.ucsc.edu/cgi-bin/hgTracks?position=220805_at","UCSC")</f>
        <v>UCSC</v>
      </c>
      <c r="E9982" s="1" t="str">
        <f>HYPERLINK("http://www.ncbi.nlm.nih.gov/gene/?term=HRH2","NCBI")</f>
        <v>NCBI</v>
      </c>
      <c r="F9982">
        <v>0.21</v>
      </c>
      <c r="G9982">
        <v>0.36</v>
      </c>
      <c r="H9982" s="1" t="str">
        <f>HYPERLINK("http://www.weizmann.ac.il/complex/compphys/software/geview/data/figures/220805_at.png","Figure")</f>
        <v>Figure</v>
      </c>
      <c r="I9982">
        <v>0.99</v>
      </c>
      <c r="J9982">
        <v>0.97</v>
      </c>
      <c r="K9982">
        <v>1.05</v>
      </c>
      <c r="L9982">
        <v>0.33</v>
      </c>
      <c r="M9982">
        <v>1.06</v>
      </c>
      <c r="N9982">
        <v>0.27</v>
      </c>
    </row>
    <row r="9983" spans="1:14" x14ac:dyDescent="0.25">
      <c r="A9983" t="s">
        <v>17463</v>
      </c>
      <c r="B9983" t="s">
        <v>17464</v>
      </c>
      <c r="C9983" s="1" t="str">
        <f>HYPERLINK("http://www.genecards.org/cgi-bin/carddisp.pl?gene=ANKRD26","GeneCards")</f>
        <v>GeneCards</v>
      </c>
      <c r="D9983" s="1" t="str">
        <f>HYPERLINK("http://genome-euro.ucsc.edu/cgi-bin/hgTracks?position=205705_at","UCSC")</f>
        <v>UCSC</v>
      </c>
      <c r="E9983" s="1" t="str">
        <f>HYPERLINK("http://www.ncbi.nlm.nih.gov/gene/?term=ANKRD26","NCBI")</f>
        <v>NCBI</v>
      </c>
      <c r="F9983">
        <v>0.21</v>
      </c>
      <c r="G9983">
        <v>0.36</v>
      </c>
      <c r="H9983" s="1" t="str">
        <f>HYPERLINK("http://www.weizmann.ac.il/complex/compphys/software/geview/data/figures/205705_at.png","Figure")</f>
        <v>Figure</v>
      </c>
      <c r="I9983">
        <v>0.82799999999999996</v>
      </c>
      <c r="J9983">
        <v>0.22</v>
      </c>
      <c r="K9983">
        <v>0.96699999999999997</v>
      </c>
      <c r="L9983">
        <v>0.93</v>
      </c>
      <c r="M9983">
        <v>1.17</v>
      </c>
      <c r="N9983">
        <v>0.3</v>
      </c>
    </row>
    <row r="9984" spans="1:14" x14ac:dyDescent="0.25">
      <c r="A9984" t="s">
        <v>17465</v>
      </c>
      <c r="B9984" t="s">
        <v>8190</v>
      </c>
      <c r="C9984" s="1" t="str">
        <f>HYPERLINK("http://www.genecards.org/cgi-bin/carddisp.pl?gene=CREB1","GeneCards")</f>
        <v>GeneCards</v>
      </c>
      <c r="D9984" s="1" t="str">
        <f>HYPERLINK("http://genome-euro.ucsc.edu/cgi-bin/hgTracks?position=204312_x_at","UCSC")</f>
        <v>UCSC</v>
      </c>
      <c r="E9984" s="1" t="str">
        <f>HYPERLINK("http://www.ncbi.nlm.nih.gov/gene/?term=CREB1","NCBI")</f>
        <v>NCBI</v>
      </c>
      <c r="F9984">
        <v>0.21</v>
      </c>
      <c r="G9984">
        <v>0.36</v>
      </c>
      <c r="H9984" s="1" t="str">
        <f>HYPERLINK("http://www.weizmann.ac.il/complex/compphys/software/geview/data/figures/204312_x_at.png","Figure")</f>
        <v>Figure</v>
      </c>
      <c r="I9984">
        <v>0.91400000000000003</v>
      </c>
      <c r="J9984">
        <v>0.64</v>
      </c>
      <c r="K9984">
        <v>1.08</v>
      </c>
      <c r="L9984">
        <v>0.63</v>
      </c>
      <c r="M9984">
        <v>1.19</v>
      </c>
      <c r="N9984">
        <v>0.19</v>
      </c>
    </row>
    <row r="9985" spans="1:14" x14ac:dyDescent="0.25">
      <c r="A9985" t="s">
        <v>17466</v>
      </c>
      <c r="B9985" t="s">
        <v>17467</v>
      </c>
      <c r="C9985" s="1" t="str">
        <f>HYPERLINK("http://www.genecards.org/cgi-bin/carddisp.pl?gene=NUP153","GeneCards")</f>
        <v>GeneCards</v>
      </c>
      <c r="D9985" s="1" t="str">
        <f>HYPERLINK("http://genome-euro.ucsc.edu/cgi-bin/hgTracks?position=202097_at","UCSC")</f>
        <v>UCSC</v>
      </c>
      <c r="E9985" s="1" t="str">
        <f>HYPERLINK("http://www.ncbi.nlm.nih.gov/gene/?term=NUP153","NCBI")</f>
        <v>NCBI</v>
      </c>
      <c r="F9985">
        <v>0.21</v>
      </c>
      <c r="G9985">
        <v>0.36</v>
      </c>
      <c r="H9985" s="1" t="str">
        <f>HYPERLINK("http://www.weizmann.ac.il/complex/compphys/software/geview/data/figures/202097_at.png","Figure")</f>
        <v>Figure</v>
      </c>
      <c r="I9985">
        <v>0.79700000000000004</v>
      </c>
      <c r="J9985">
        <v>0.62</v>
      </c>
      <c r="K9985">
        <v>0.67700000000000005</v>
      </c>
      <c r="L9985">
        <v>0.19</v>
      </c>
      <c r="M9985">
        <v>0.85</v>
      </c>
      <c r="N9985">
        <v>0.75</v>
      </c>
    </row>
    <row r="9986" spans="1:14" x14ac:dyDescent="0.25">
      <c r="A9986" t="s">
        <v>17468</v>
      </c>
      <c r="B9986" t="s">
        <v>17469</v>
      </c>
      <c r="C9986" s="1" t="str">
        <f>HYPERLINK("http://www.genecards.org/cgi-bin/carddisp.pl?gene=BCS1L","GeneCards")</f>
        <v>GeneCards</v>
      </c>
      <c r="D9986" s="1" t="str">
        <f>HYPERLINK("http://genome-euro.ucsc.edu/cgi-bin/hgTracks?position=207618_s_at","UCSC")</f>
        <v>UCSC</v>
      </c>
      <c r="E9986" s="1" t="str">
        <f>HYPERLINK("http://www.ncbi.nlm.nih.gov/gene/?term=BCS1L","NCBI")</f>
        <v>NCBI</v>
      </c>
      <c r="F9986">
        <v>0.21</v>
      </c>
      <c r="G9986">
        <v>0.36</v>
      </c>
      <c r="H9986" s="1" t="str">
        <f>HYPERLINK("http://www.weizmann.ac.il/complex/compphys/software/geview/data/figures/207618_s_at.png","Figure")</f>
        <v>Figure</v>
      </c>
      <c r="I9986">
        <v>1.1100000000000001</v>
      </c>
      <c r="J9986">
        <v>0.81</v>
      </c>
      <c r="K9986">
        <v>1.31</v>
      </c>
      <c r="L9986">
        <v>0.2</v>
      </c>
      <c r="M9986">
        <v>1.18</v>
      </c>
      <c r="N9986">
        <v>0.56000000000000005</v>
      </c>
    </row>
    <row r="9987" spans="1:14" x14ac:dyDescent="0.25">
      <c r="A9987" t="s">
        <v>17470</v>
      </c>
      <c r="B9987" t="s">
        <v>17471</v>
      </c>
      <c r="C9987" s="1" t="str">
        <f>HYPERLINK("http://www.genecards.org/cgi-bin/carddisp.pl?gene=FLOT1","GeneCards")</f>
        <v>GeneCards</v>
      </c>
      <c r="D9987" s="1" t="str">
        <f>HYPERLINK("http://genome-euro.ucsc.edu/cgi-bin/hgTracks?position=208749_x_at","UCSC")</f>
        <v>UCSC</v>
      </c>
      <c r="E9987" s="1" t="str">
        <f>HYPERLINK("http://www.ncbi.nlm.nih.gov/gene/?term=FLOT1","NCBI")</f>
        <v>NCBI</v>
      </c>
      <c r="F9987">
        <v>0.21</v>
      </c>
      <c r="G9987">
        <v>0.36</v>
      </c>
      <c r="H9987" s="1" t="str">
        <f>HYPERLINK("http://www.weizmann.ac.il/complex/compphys/software/geview/data/figures/208749_x_at.png","Figure")</f>
        <v>Figure</v>
      </c>
      <c r="I9987">
        <v>1.08</v>
      </c>
      <c r="J9987">
        <v>0.77</v>
      </c>
      <c r="K9987">
        <v>1.2</v>
      </c>
      <c r="L9987">
        <v>0.19</v>
      </c>
      <c r="M9987">
        <v>1.1100000000000001</v>
      </c>
      <c r="N9987">
        <v>0.6</v>
      </c>
    </row>
    <row r="9988" spans="1:14" x14ac:dyDescent="0.25">
      <c r="A9988" t="s">
        <v>17472</v>
      </c>
      <c r="B9988" t="s">
        <v>6428</v>
      </c>
      <c r="C9988" s="1" t="str">
        <f>HYPERLINK("http://www.genecards.org/cgi-bin/carddisp.pl?gene=CNPY2","GeneCards")</f>
        <v>GeneCards</v>
      </c>
      <c r="D9988" s="1" t="str">
        <f>HYPERLINK("http://genome-euro.ucsc.edu/cgi-bin/hgTracks?position=209796_s_at","UCSC")</f>
        <v>UCSC</v>
      </c>
      <c r="E9988" s="1" t="str">
        <f>HYPERLINK("http://www.ncbi.nlm.nih.gov/gene/?term=CNPY2","NCBI")</f>
        <v>NCBI</v>
      </c>
      <c r="F9988">
        <v>0.21</v>
      </c>
      <c r="G9988">
        <v>0.36</v>
      </c>
      <c r="H9988" s="1" t="str">
        <f>HYPERLINK("http://www.weizmann.ac.il/complex/compphys/software/geview/data/figures/209796_s_at.png","Figure")</f>
        <v>Figure</v>
      </c>
      <c r="I9988">
        <v>0.73</v>
      </c>
      <c r="J9988">
        <v>0.31</v>
      </c>
      <c r="K9988">
        <v>1.02</v>
      </c>
      <c r="L9988">
        <v>0.99</v>
      </c>
      <c r="M9988">
        <v>1.4</v>
      </c>
      <c r="N9988">
        <v>0.22</v>
      </c>
    </row>
    <row r="9989" spans="1:14" x14ac:dyDescent="0.25">
      <c r="A9989" t="s">
        <v>17473</v>
      </c>
      <c r="B9989" t="s">
        <v>17474</v>
      </c>
      <c r="C9989" s="1" t="str">
        <f>HYPERLINK("http://www.genecards.org/cgi-bin/carddisp.pl?gene=GNB1","GeneCards")</f>
        <v>GeneCards</v>
      </c>
      <c r="D9989" s="1" t="str">
        <f>HYPERLINK("http://genome-euro.ucsc.edu/cgi-bin/hgTracks?position=200744_s_at","UCSC")</f>
        <v>UCSC</v>
      </c>
      <c r="E9989" s="1" t="str">
        <f>HYPERLINK("http://www.ncbi.nlm.nih.gov/gene/?term=GNB1","NCBI")</f>
        <v>NCBI</v>
      </c>
      <c r="F9989">
        <v>0.21</v>
      </c>
      <c r="G9989">
        <v>0.36</v>
      </c>
      <c r="H9989" s="1" t="str">
        <f>HYPERLINK("http://www.weizmann.ac.il/complex/compphys/software/geview/data/figures/200744_s_at.png","Figure")</f>
        <v>Figure</v>
      </c>
      <c r="I9989">
        <v>1.36</v>
      </c>
      <c r="J9989">
        <v>0.28000000000000003</v>
      </c>
      <c r="K9989">
        <v>1.32</v>
      </c>
      <c r="L9989">
        <v>0.27</v>
      </c>
      <c r="M9989">
        <v>0.96399999999999997</v>
      </c>
      <c r="N9989">
        <v>0.98</v>
      </c>
    </row>
    <row r="9990" spans="1:14" x14ac:dyDescent="0.25">
      <c r="A9990" t="s">
        <v>17475</v>
      </c>
      <c r="B9990" t="s">
        <v>17476</v>
      </c>
      <c r="C9990" s="1" t="str">
        <f>HYPERLINK("http://www.genecards.org/cgi-bin/carddisp.pl?gene=AP1G2","GeneCards")</f>
        <v>GeneCards</v>
      </c>
      <c r="D9990" s="1" t="str">
        <f>HYPERLINK("http://genome-euro.ucsc.edu/cgi-bin/hgTracks?position=201613_s_at","UCSC")</f>
        <v>UCSC</v>
      </c>
      <c r="E9990" s="1" t="str">
        <f>HYPERLINK("http://www.ncbi.nlm.nih.gov/gene/?term=AP1G2","NCBI")</f>
        <v>NCBI</v>
      </c>
      <c r="F9990">
        <v>0.21</v>
      </c>
      <c r="G9990">
        <v>0.36</v>
      </c>
      <c r="H9990" s="1" t="str">
        <f>HYPERLINK("http://www.weizmann.ac.il/complex/compphys/software/geview/data/figures/201613_s_at.png","Figure")</f>
        <v>Figure</v>
      </c>
      <c r="I9990">
        <v>0.66700000000000004</v>
      </c>
      <c r="J9990">
        <v>0.3</v>
      </c>
      <c r="K9990">
        <v>1.02</v>
      </c>
      <c r="L9990">
        <v>1</v>
      </c>
      <c r="M9990">
        <v>1.53</v>
      </c>
      <c r="N9990">
        <v>0.23</v>
      </c>
    </row>
    <row r="9991" spans="1:14" x14ac:dyDescent="0.25">
      <c r="A9991" t="s">
        <v>17477</v>
      </c>
      <c r="B9991" t="s">
        <v>17478</v>
      </c>
      <c r="C9991" s="1" t="str">
        <f>HYPERLINK("http://www.genecards.org/cgi-bin/carddisp.pl?gene=CAMK4","GeneCards")</f>
        <v>GeneCards</v>
      </c>
      <c r="D9991" s="1" t="str">
        <f>HYPERLINK("http://genome-euro.ucsc.edu/cgi-bin/hgTracks?position=210349_at","UCSC")</f>
        <v>UCSC</v>
      </c>
      <c r="E9991" s="1" t="str">
        <f>HYPERLINK("http://www.ncbi.nlm.nih.gov/gene/?term=CAMK4","NCBI")</f>
        <v>NCBI</v>
      </c>
      <c r="F9991">
        <v>0.21</v>
      </c>
      <c r="G9991">
        <v>0.36</v>
      </c>
      <c r="H9991" s="1" t="str">
        <f>HYPERLINK("http://www.weizmann.ac.il/complex/compphys/software/geview/data/figures/210349_at.png","Figure")</f>
        <v>Figure</v>
      </c>
      <c r="I9991">
        <v>1.17</v>
      </c>
      <c r="J9991">
        <v>0.26</v>
      </c>
      <c r="K9991">
        <v>1.01</v>
      </c>
      <c r="L9991">
        <v>0.99</v>
      </c>
      <c r="M9991">
        <v>0.86399999999999999</v>
      </c>
      <c r="N9991">
        <v>0.25</v>
      </c>
    </row>
    <row r="9992" spans="1:14" x14ac:dyDescent="0.25">
      <c r="A9992" t="s">
        <v>17479</v>
      </c>
      <c r="B9992" t="s">
        <v>17480</v>
      </c>
      <c r="C9992" s="1" t="str">
        <f>HYPERLINK("http://www.genecards.org/cgi-bin/carddisp.pl?gene=PVRL1","GeneCards")</f>
        <v>GeneCards</v>
      </c>
      <c r="D9992" s="1" t="str">
        <f>HYPERLINK("http://genome-euro.ucsc.edu/cgi-bin/hgTracks?position=211846_s_at","UCSC")</f>
        <v>UCSC</v>
      </c>
      <c r="E9992" s="1" t="str">
        <f>HYPERLINK("http://www.ncbi.nlm.nih.gov/gene/?term=PVRL1","NCBI")</f>
        <v>NCBI</v>
      </c>
      <c r="F9992">
        <v>0.21</v>
      </c>
      <c r="G9992">
        <v>0.36</v>
      </c>
      <c r="H9992" s="1" t="str">
        <f>HYPERLINK("http://www.weizmann.ac.il/complex/compphys/software/geview/data/figures/211846_s_at.png","Figure")</f>
        <v>Figure</v>
      </c>
      <c r="I9992">
        <v>1.18</v>
      </c>
      <c r="J9992">
        <v>0.23</v>
      </c>
      <c r="K9992">
        <v>1.1299999999999999</v>
      </c>
      <c r="L9992">
        <v>0.33</v>
      </c>
      <c r="M9992">
        <v>0.96</v>
      </c>
      <c r="N9992">
        <v>0.89</v>
      </c>
    </row>
    <row r="9993" spans="1:14" x14ac:dyDescent="0.25">
      <c r="A9993" t="s">
        <v>17481</v>
      </c>
      <c r="B9993" t="s">
        <v>14888</v>
      </c>
      <c r="C9993" s="1" t="str">
        <f>HYPERLINK("http://www.genecards.org/cgi-bin/carddisp.pl?gene=PSMF1","GeneCards")</f>
        <v>GeneCards</v>
      </c>
      <c r="D9993" s="1" t="str">
        <f>HYPERLINK("http://genome-euro.ucsc.edu/cgi-bin/hgTracks?position=201053_s_at","UCSC")</f>
        <v>UCSC</v>
      </c>
      <c r="E9993" s="1" t="str">
        <f>HYPERLINK("http://www.ncbi.nlm.nih.gov/gene/?term=PSMF1","NCBI")</f>
        <v>NCBI</v>
      </c>
      <c r="F9993">
        <v>0.21</v>
      </c>
      <c r="G9993">
        <v>0.36</v>
      </c>
      <c r="H9993" s="1" t="str">
        <f>HYPERLINK("http://www.weizmann.ac.il/complex/compphys/software/geview/data/figures/201053_s_at.png","Figure")</f>
        <v>Figure</v>
      </c>
      <c r="I9993">
        <v>0.69699999999999995</v>
      </c>
      <c r="J9993">
        <v>0.19</v>
      </c>
      <c r="K9993">
        <v>0.85899999999999999</v>
      </c>
      <c r="L9993">
        <v>0.65</v>
      </c>
      <c r="M9993">
        <v>1.23</v>
      </c>
      <c r="N9993">
        <v>0.5</v>
      </c>
    </row>
    <row r="9994" spans="1:14" x14ac:dyDescent="0.25">
      <c r="A9994" t="s">
        <v>17482</v>
      </c>
      <c r="B9994" t="s">
        <v>13093</v>
      </c>
      <c r="C9994" s="1" t="str">
        <f>HYPERLINK("http://www.genecards.org/cgi-bin/carddisp.pl?gene=TKT","GeneCards")</f>
        <v>GeneCards</v>
      </c>
      <c r="D9994" s="1" t="str">
        <f>HYPERLINK("http://genome-euro.ucsc.edu/cgi-bin/hgTracks?position=208699_x_at","UCSC")</f>
        <v>UCSC</v>
      </c>
      <c r="E9994" s="1" t="str">
        <f>HYPERLINK("http://www.ncbi.nlm.nih.gov/gene/?term=TKT","NCBI")</f>
        <v>NCBI</v>
      </c>
      <c r="F9994">
        <v>0.21</v>
      </c>
      <c r="G9994">
        <v>0.36</v>
      </c>
      <c r="H9994" s="1" t="str">
        <f>HYPERLINK("http://www.weizmann.ac.il/complex/compphys/software/geview/data/figures/208699_x_at.png","Figure")</f>
        <v>Figure</v>
      </c>
      <c r="I9994">
        <v>0.88400000000000001</v>
      </c>
      <c r="J9994">
        <v>0.87</v>
      </c>
      <c r="K9994">
        <v>0.67700000000000005</v>
      </c>
      <c r="L9994">
        <v>0.21</v>
      </c>
      <c r="M9994">
        <v>0.76500000000000001</v>
      </c>
      <c r="N9994">
        <v>0.5</v>
      </c>
    </row>
    <row r="9995" spans="1:14" x14ac:dyDescent="0.25">
      <c r="A9995" t="s">
        <v>17483</v>
      </c>
      <c r="B9995" t="s">
        <v>17484</v>
      </c>
      <c r="C9995" s="1" t="str">
        <f>HYPERLINK("http://www.genecards.org/cgi-bin/carddisp.pl?gene=LAPTM4B","GeneCards")</f>
        <v>GeneCards</v>
      </c>
      <c r="D9995" s="1" t="str">
        <f>HYPERLINK("http://genome-euro.ucsc.edu/cgi-bin/hgTracks?position=214039_s_at","UCSC")</f>
        <v>UCSC</v>
      </c>
      <c r="E9995" s="1" t="str">
        <f>HYPERLINK("http://www.ncbi.nlm.nih.gov/gene/?term=LAPTM4B","NCBI")</f>
        <v>NCBI</v>
      </c>
      <c r="F9995">
        <v>0.21</v>
      </c>
      <c r="G9995">
        <v>0.36</v>
      </c>
      <c r="H9995" s="1" t="str">
        <f>HYPERLINK("http://www.weizmann.ac.il/complex/compphys/software/geview/data/figures/214039_s_at.png","Figure")</f>
        <v>Figure</v>
      </c>
      <c r="I9995">
        <v>1.87</v>
      </c>
      <c r="J9995">
        <v>0.26</v>
      </c>
      <c r="K9995">
        <v>1.69</v>
      </c>
      <c r="L9995">
        <v>0.28999999999999998</v>
      </c>
      <c r="M9995">
        <v>0.90400000000000003</v>
      </c>
      <c r="N9995">
        <v>0.96</v>
      </c>
    </row>
    <row r="9996" spans="1:14" x14ac:dyDescent="0.25">
      <c r="A9996" t="s">
        <v>17485</v>
      </c>
      <c r="B9996" t="s">
        <v>8985</v>
      </c>
      <c r="C9996" s="1" t="str">
        <f>HYPERLINK("http://www.genecards.org/cgi-bin/carddisp.pl?gene=CBFA2T2","GeneCards")</f>
        <v>GeneCards</v>
      </c>
      <c r="D9996" s="1" t="str">
        <f>HYPERLINK("http://genome-euro.ucsc.edu/cgi-bin/hgTracks?position=209145_s_at","UCSC")</f>
        <v>UCSC</v>
      </c>
      <c r="E9996" s="1" t="str">
        <f>HYPERLINK("http://www.ncbi.nlm.nih.gov/gene/?term=CBFA2T2","NCBI")</f>
        <v>NCBI</v>
      </c>
      <c r="F9996">
        <v>0.21</v>
      </c>
      <c r="G9996">
        <v>0.36</v>
      </c>
      <c r="H9996" s="1" t="str">
        <f>HYPERLINK("http://www.weizmann.ac.il/complex/compphys/software/geview/data/figures/209145_s_at.png","Figure")</f>
        <v>Figure</v>
      </c>
      <c r="I9996">
        <v>1.01</v>
      </c>
      <c r="J9996">
        <v>0.97</v>
      </c>
      <c r="K9996">
        <v>1.05</v>
      </c>
      <c r="L9996">
        <v>0.24</v>
      </c>
      <c r="M9996">
        <v>1.04</v>
      </c>
      <c r="N9996">
        <v>0.39</v>
      </c>
    </row>
    <row r="9997" spans="1:14" x14ac:dyDescent="0.25">
      <c r="A9997" t="s">
        <v>17486</v>
      </c>
      <c r="B9997" t="s">
        <v>2174</v>
      </c>
      <c r="C9997" s="1" t="str">
        <f>HYPERLINK("http://www.genecards.org/cgi-bin/carddisp.pl?gene=BMP1","GeneCards")</f>
        <v>GeneCards</v>
      </c>
      <c r="D9997" s="1" t="str">
        <f>HYPERLINK("http://genome-euro.ucsc.edu/cgi-bin/hgTracks?position=202701_at","UCSC")</f>
        <v>UCSC</v>
      </c>
      <c r="E9997" s="1" t="str">
        <f>HYPERLINK("http://www.ncbi.nlm.nih.gov/gene/?term=BMP1","NCBI")</f>
        <v>NCBI</v>
      </c>
      <c r="F9997">
        <v>0.21</v>
      </c>
      <c r="G9997">
        <v>0.36</v>
      </c>
      <c r="H9997" s="1" t="str">
        <f>HYPERLINK("http://www.weizmann.ac.il/complex/compphys/software/geview/data/figures/202701_at.png","Figure")</f>
        <v>Figure</v>
      </c>
      <c r="I9997">
        <v>1.25</v>
      </c>
      <c r="J9997">
        <v>0.2</v>
      </c>
      <c r="K9997">
        <v>1.06</v>
      </c>
      <c r="L9997">
        <v>0.85</v>
      </c>
      <c r="M9997">
        <v>0.84699999999999998</v>
      </c>
      <c r="N9997">
        <v>0.35</v>
      </c>
    </row>
    <row r="9998" spans="1:14" x14ac:dyDescent="0.25">
      <c r="A9998" t="s">
        <v>17487</v>
      </c>
      <c r="B9998" t="s">
        <v>17488</v>
      </c>
      <c r="C9998" s="1" t="str">
        <f>HYPERLINK("http://www.genecards.org/cgi-bin/carddisp.pl?gene=PMM1","GeneCards")</f>
        <v>GeneCards</v>
      </c>
      <c r="D9998" s="1" t="str">
        <f>HYPERLINK("http://genome-euro.ucsc.edu/cgi-bin/hgTracks?position=203467_at","UCSC")</f>
        <v>UCSC</v>
      </c>
      <c r="E9998" s="1" t="str">
        <f>HYPERLINK("http://www.ncbi.nlm.nih.gov/gene/?term=PMM1","NCBI")</f>
        <v>NCBI</v>
      </c>
      <c r="F9998">
        <v>0.21</v>
      </c>
      <c r="G9998">
        <v>0.36</v>
      </c>
      <c r="H9998" s="1" t="str">
        <f>HYPERLINK("http://www.weizmann.ac.il/complex/compphys/software/geview/data/figures/203467_at.png","Figure")</f>
        <v>Figure</v>
      </c>
      <c r="I9998">
        <v>1.01</v>
      </c>
      <c r="J9998">
        <v>0.98</v>
      </c>
      <c r="K9998">
        <v>0.90100000000000002</v>
      </c>
      <c r="L9998">
        <v>0.32</v>
      </c>
      <c r="M9998">
        <v>0.88900000000000001</v>
      </c>
      <c r="N9998">
        <v>0.28000000000000003</v>
      </c>
    </row>
    <row r="9999" spans="1:14" x14ac:dyDescent="0.25">
      <c r="A9999" t="s">
        <v>17489</v>
      </c>
      <c r="B9999" t="s">
        <v>17490</v>
      </c>
      <c r="C9999" s="1" t="str">
        <f>HYPERLINK("http://www.genecards.org/cgi-bin/carddisp.pl?gene=HIST1H2BI","GeneCards")</f>
        <v>GeneCards</v>
      </c>
      <c r="D9999" s="1" t="str">
        <f>HYPERLINK("http://genome-euro.ucsc.edu/cgi-bin/hgTracks?position=208523_x_at","UCSC")</f>
        <v>UCSC</v>
      </c>
      <c r="E9999" s="1" t="str">
        <f>HYPERLINK("http://www.ncbi.nlm.nih.gov/gene/?term=HIST1H2BI","NCBI")</f>
        <v>NCBI</v>
      </c>
      <c r="F9999">
        <v>0.21</v>
      </c>
      <c r="G9999">
        <v>0.36</v>
      </c>
      <c r="H9999" s="1" t="str">
        <f>HYPERLINK("http://www.weizmann.ac.il/complex/compphys/software/geview/data/figures/208523_x_at.png","Figure")</f>
        <v>Figure</v>
      </c>
      <c r="I9999">
        <v>1.52</v>
      </c>
      <c r="J9999">
        <v>0.24</v>
      </c>
      <c r="K9999">
        <v>1.39</v>
      </c>
      <c r="L9999">
        <v>0.31</v>
      </c>
      <c r="M9999">
        <v>0.91600000000000004</v>
      </c>
      <c r="N9999">
        <v>0.92</v>
      </c>
    </row>
    <row r="10000" spans="1:14" x14ac:dyDescent="0.25">
      <c r="A10000" t="s">
        <v>17491</v>
      </c>
      <c r="B10000" t="s">
        <v>17492</v>
      </c>
      <c r="C10000" s="1" t="str">
        <f>HYPERLINK("http://www.genecards.org/cgi-bin/carddisp.pl?gene=ME1","GeneCards")</f>
        <v>GeneCards</v>
      </c>
      <c r="D10000" s="1" t="str">
        <f>HYPERLINK("http://genome-euro.ucsc.edu/cgi-bin/hgTracks?position=211204_at","UCSC")</f>
        <v>UCSC</v>
      </c>
      <c r="E10000" s="1" t="str">
        <f>HYPERLINK("http://www.ncbi.nlm.nih.gov/gene/?term=ME1","NCBI")</f>
        <v>NCBI</v>
      </c>
      <c r="F10000">
        <v>0.21</v>
      </c>
      <c r="G10000">
        <v>0.36</v>
      </c>
      <c r="H10000" s="1" t="str">
        <f>HYPERLINK("http://www.weizmann.ac.il/complex/compphys/software/geview/data/figures/211204_at.png","Figure")</f>
        <v>Figure</v>
      </c>
      <c r="I10000">
        <v>1.05</v>
      </c>
      <c r="J10000">
        <v>0.63</v>
      </c>
      <c r="K10000">
        <v>0.96099999999999997</v>
      </c>
      <c r="L10000">
        <v>0.64</v>
      </c>
      <c r="M10000">
        <v>0.91800000000000004</v>
      </c>
      <c r="N10000">
        <v>0.19</v>
      </c>
    </row>
    <row r="10001" spans="1:14" x14ac:dyDescent="0.25">
      <c r="A10001" t="s">
        <v>17493</v>
      </c>
      <c r="B10001" t="s">
        <v>17494</v>
      </c>
      <c r="C10001" s="1" t="str">
        <f>HYPERLINK("http://www.genecards.org/cgi-bin/carddisp.pl?gene=SH2D4A","GeneCards")</f>
        <v>GeneCards</v>
      </c>
      <c r="D10001" s="1" t="str">
        <f>HYPERLINK("http://genome-euro.ucsc.edu/cgi-bin/hgTracks?position=219749_at","UCSC")</f>
        <v>UCSC</v>
      </c>
      <c r="E10001" s="1" t="str">
        <f>HYPERLINK("http://www.ncbi.nlm.nih.gov/gene/?term=SH2D4A","NCBI")</f>
        <v>NCBI</v>
      </c>
      <c r="F10001">
        <v>0.21</v>
      </c>
      <c r="G10001">
        <v>0.36</v>
      </c>
      <c r="H10001" s="1" t="str">
        <f>HYPERLINK("http://www.weizmann.ac.il/complex/compphys/software/geview/data/figures/219749_at.png","Figure")</f>
        <v>Figure</v>
      </c>
      <c r="I10001">
        <v>1.1599999999999999</v>
      </c>
      <c r="J10001">
        <v>0.28000000000000003</v>
      </c>
      <c r="K10001">
        <v>0.999</v>
      </c>
      <c r="L10001">
        <v>1</v>
      </c>
      <c r="M10001">
        <v>0.85799999999999998</v>
      </c>
      <c r="N10001">
        <v>0.24</v>
      </c>
    </row>
    <row r="10002" spans="1:14" x14ac:dyDescent="0.25">
      <c r="A10002" t="s">
        <v>17495</v>
      </c>
      <c r="B10002" t="s">
        <v>17496</v>
      </c>
      <c r="C10002" s="1" t="str">
        <f>HYPERLINK("http://www.genecards.org/cgi-bin/carddisp.pl?gene=HBQ1","GeneCards")</f>
        <v>GeneCards</v>
      </c>
      <c r="D10002" s="1" t="str">
        <f>HYPERLINK("http://genome-euro.ucsc.edu/cgi-bin/hgTracks?position=220807_at","UCSC")</f>
        <v>UCSC</v>
      </c>
      <c r="E10002" s="1" t="str">
        <f>HYPERLINK("http://www.ncbi.nlm.nih.gov/gene/?term=HBQ1","NCBI")</f>
        <v>NCBI</v>
      </c>
      <c r="F10002">
        <v>0.21</v>
      </c>
      <c r="G10002">
        <v>0.36</v>
      </c>
      <c r="H10002" s="1" t="str">
        <f>HYPERLINK("http://www.weizmann.ac.il/complex/compphys/software/geview/data/figures/220807_at.png","Figure")</f>
        <v>Figure</v>
      </c>
      <c r="I10002">
        <v>1.23</v>
      </c>
      <c r="J10002">
        <v>0.2</v>
      </c>
      <c r="K10002">
        <v>1.06</v>
      </c>
      <c r="L10002">
        <v>0.83</v>
      </c>
      <c r="M10002">
        <v>0.85899999999999999</v>
      </c>
      <c r="N10002">
        <v>0.37</v>
      </c>
    </row>
    <row r="10003" spans="1:14" x14ac:dyDescent="0.25">
      <c r="A10003" t="s">
        <v>17497</v>
      </c>
      <c r="B10003" t="s">
        <v>8883</v>
      </c>
      <c r="C10003" s="1" t="str">
        <f>HYPERLINK("http://www.genecards.org/cgi-bin/carddisp.pl?gene=PKNOX2","GeneCards")</f>
        <v>GeneCards</v>
      </c>
      <c r="D10003" s="1" t="str">
        <f>HYPERLINK("http://genome-euro.ucsc.edu/cgi-bin/hgTracks?position=222185_at","UCSC")</f>
        <v>UCSC</v>
      </c>
      <c r="E10003" s="1" t="str">
        <f>HYPERLINK("http://www.ncbi.nlm.nih.gov/gene/?term=PKNOX2","NCBI")</f>
        <v>NCBI</v>
      </c>
      <c r="F10003">
        <v>0.21</v>
      </c>
      <c r="G10003">
        <v>0.36</v>
      </c>
      <c r="H10003" s="1" t="str">
        <f>HYPERLINK("http://www.weizmann.ac.il/complex/compphys/software/geview/data/figures/222185_at.png","Figure")</f>
        <v>Figure</v>
      </c>
      <c r="I10003">
        <v>1.18</v>
      </c>
      <c r="J10003">
        <v>0.19</v>
      </c>
      <c r="K10003">
        <v>1.08</v>
      </c>
      <c r="L10003">
        <v>0.56000000000000005</v>
      </c>
      <c r="M10003">
        <v>0.92100000000000004</v>
      </c>
      <c r="N10003">
        <v>0.57999999999999996</v>
      </c>
    </row>
    <row r="10004" spans="1:14" x14ac:dyDescent="0.25">
      <c r="A10004" t="s">
        <v>17498</v>
      </c>
      <c r="B10004" t="s">
        <v>17499</v>
      </c>
      <c r="C10004" s="1" t="str">
        <f>HYPERLINK("http://www.genecards.org/cgi-bin/carddisp.pl?gene=SCAMP4","GeneCards")</f>
        <v>GeneCards</v>
      </c>
      <c r="D10004" s="1" t="str">
        <f>HYPERLINK("http://genome-euro.ucsc.edu/cgi-bin/hgTracks?position=213244_at","UCSC")</f>
        <v>UCSC</v>
      </c>
      <c r="E10004" s="1" t="str">
        <f>HYPERLINK("http://www.ncbi.nlm.nih.gov/gene/?term=SCAMP4","NCBI")</f>
        <v>NCBI</v>
      </c>
      <c r="F10004">
        <v>0.21</v>
      </c>
      <c r="G10004">
        <v>0.36</v>
      </c>
      <c r="H10004" s="1" t="str">
        <f>HYPERLINK("http://www.weizmann.ac.il/complex/compphys/software/geview/data/figures/213244_at.png","Figure")</f>
        <v>Figure</v>
      </c>
      <c r="I10004">
        <v>0.878</v>
      </c>
      <c r="J10004">
        <v>0.43</v>
      </c>
      <c r="K10004">
        <v>1.05</v>
      </c>
      <c r="L10004">
        <v>0.87</v>
      </c>
      <c r="M10004">
        <v>1.19</v>
      </c>
      <c r="N10004">
        <v>0.19</v>
      </c>
    </row>
    <row r="10005" spans="1:14" x14ac:dyDescent="0.25">
      <c r="A10005" t="s">
        <v>17500</v>
      </c>
      <c r="B10005" t="s">
        <v>17501</v>
      </c>
      <c r="C10005" s="1" t="str">
        <f>HYPERLINK("http://www.genecards.org/cgi-bin/carddisp.pl?gene=METT10D","GeneCards")</f>
        <v>GeneCards</v>
      </c>
      <c r="D10005" s="1" t="str">
        <f>HYPERLINK("http://genome-euro.ucsc.edu/cgi-bin/hgTracks?position=220797_at","UCSC")</f>
        <v>UCSC</v>
      </c>
      <c r="E10005" s="1" t="str">
        <f>HYPERLINK("http://www.ncbi.nlm.nih.gov/gene/?term=METT10D","NCBI")</f>
        <v>NCBI</v>
      </c>
      <c r="F10005">
        <v>0.21</v>
      </c>
      <c r="G10005">
        <v>0.37</v>
      </c>
      <c r="H10005" s="1" t="str">
        <f>HYPERLINK("http://www.weizmann.ac.il/complex/compphys/software/geview/data/figures/220797_at.png","Figure")</f>
        <v>Figure</v>
      </c>
      <c r="I10005">
        <v>1</v>
      </c>
      <c r="J10005">
        <v>1</v>
      </c>
      <c r="K10005">
        <v>0.93799999999999994</v>
      </c>
      <c r="L10005">
        <v>0.28000000000000003</v>
      </c>
      <c r="M10005">
        <v>0.93799999999999994</v>
      </c>
      <c r="N10005">
        <v>0.32</v>
      </c>
    </row>
    <row r="10006" spans="1:14" x14ac:dyDescent="0.25">
      <c r="A10006" t="s">
        <v>17502</v>
      </c>
      <c r="B10006" t="s">
        <v>16146</v>
      </c>
      <c r="C10006" s="1" t="str">
        <f>HYPERLINK("http://www.genecards.org/cgi-bin/carddisp.pl?gene=TFEB","GeneCards")</f>
        <v>GeneCards</v>
      </c>
      <c r="D10006" s="1" t="str">
        <f>HYPERLINK("http://genome-euro.ucsc.edu/cgi-bin/hgTracks?position=50221_at","UCSC")</f>
        <v>UCSC</v>
      </c>
      <c r="E10006" s="1" t="str">
        <f>HYPERLINK("http://www.ncbi.nlm.nih.gov/gene/?term=TFEB","NCBI")</f>
        <v>NCBI</v>
      </c>
      <c r="F10006">
        <v>0.21</v>
      </c>
      <c r="G10006">
        <v>0.37</v>
      </c>
      <c r="H10006" s="1" t="str">
        <f>HYPERLINK("http://www.weizmann.ac.il/complex/compphys/software/geview/data/figures/50221_at.png","Figure")</f>
        <v>Figure</v>
      </c>
      <c r="I10006">
        <v>0.754</v>
      </c>
      <c r="J10006">
        <v>0.23</v>
      </c>
      <c r="K10006">
        <v>0.96299999999999997</v>
      </c>
      <c r="L10006">
        <v>0.96</v>
      </c>
      <c r="M10006">
        <v>1.28</v>
      </c>
      <c r="N10006">
        <v>0.28000000000000003</v>
      </c>
    </row>
    <row r="10007" spans="1:14" x14ac:dyDescent="0.25">
      <c r="A10007" t="s">
        <v>17503</v>
      </c>
      <c r="B10007" t="s">
        <v>17504</v>
      </c>
      <c r="C10007" s="1" t="str">
        <f>HYPERLINK("http://www.genecards.org/cgi-bin/carddisp.pl?gene=ACTN2","GeneCards")</f>
        <v>GeneCards</v>
      </c>
      <c r="D10007" s="1" t="str">
        <f>HYPERLINK("http://genome-euro.ucsc.edu/cgi-bin/hgTracks?position=203861_s_at","UCSC")</f>
        <v>UCSC</v>
      </c>
      <c r="E10007" s="1" t="str">
        <f>HYPERLINK("http://www.ncbi.nlm.nih.gov/gene/?term=ACTN2","NCBI")</f>
        <v>NCBI</v>
      </c>
      <c r="F10007">
        <v>0.21</v>
      </c>
      <c r="G10007">
        <v>0.37</v>
      </c>
      <c r="H10007" s="1" t="str">
        <f>HYPERLINK("http://www.weizmann.ac.il/complex/compphys/software/geview/data/figures/203861_s_at.png","Figure")</f>
        <v>Figure</v>
      </c>
      <c r="I10007">
        <v>1.2</v>
      </c>
      <c r="J10007">
        <v>0.25</v>
      </c>
      <c r="K10007">
        <v>1.1599999999999999</v>
      </c>
      <c r="L10007">
        <v>0.3</v>
      </c>
      <c r="M10007">
        <v>0.96799999999999997</v>
      </c>
      <c r="N10007">
        <v>0.94</v>
      </c>
    </row>
    <row r="10008" spans="1:14" x14ac:dyDescent="0.25">
      <c r="A10008" t="s">
        <v>17505</v>
      </c>
      <c r="B10008" t="s">
        <v>17506</v>
      </c>
      <c r="C10008" s="1" t="str">
        <f>HYPERLINK("http://www.genecards.org/cgi-bin/carddisp.pl?gene=RBL2","GeneCards")</f>
        <v>GeneCards</v>
      </c>
      <c r="D10008" s="1" t="str">
        <f>HYPERLINK("http://genome-euro.ucsc.edu/cgi-bin/hgTracks?position=212331_at","UCSC")</f>
        <v>UCSC</v>
      </c>
      <c r="E10008" s="1" t="str">
        <f>HYPERLINK("http://www.ncbi.nlm.nih.gov/gene/?term=RBL2","NCBI")</f>
        <v>NCBI</v>
      </c>
      <c r="F10008">
        <v>0.21</v>
      </c>
      <c r="G10008">
        <v>0.37</v>
      </c>
      <c r="H10008" s="1" t="str">
        <f>HYPERLINK("http://www.weizmann.ac.il/complex/compphys/software/geview/data/figures/212331_at.png","Figure")</f>
        <v>Figure</v>
      </c>
      <c r="I10008">
        <v>0.70299999999999996</v>
      </c>
      <c r="J10008">
        <v>0.22</v>
      </c>
      <c r="K10008">
        <v>0.93700000000000006</v>
      </c>
      <c r="L10008">
        <v>0.93</v>
      </c>
      <c r="M10008">
        <v>1.33</v>
      </c>
      <c r="N10008">
        <v>0.31</v>
      </c>
    </row>
    <row r="10009" spans="1:14" x14ac:dyDescent="0.25">
      <c r="A10009" t="s">
        <v>17507</v>
      </c>
      <c r="B10009" t="s">
        <v>17508</v>
      </c>
      <c r="C10009" s="1" t="str">
        <f>HYPERLINK("http://www.genecards.org/cgi-bin/carddisp.pl?gene=MFSD9","GeneCards")</f>
        <v>GeneCards</v>
      </c>
      <c r="D10009" s="1" t="str">
        <f>HYPERLINK("http://genome-euro.ucsc.edu/cgi-bin/hgTracks?position=213393_at","UCSC")</f>
        <v>UCSC</v>
      </c>
      <c r="E10009" s="1" t="str">
        <f>HYPERLINK("http://www.ncbi.nlm.nih.gov/gene/?term=MFSD9","NCBI")</f>
        <v>NCBI</v>
      </c>
      <c r="F10009">
        <v>0.21</v>
      </c>
      <c r="G10009">
        <v>0.37</v>
      </c>
      <c r="H10009" s="1" t="str">
        <f>HYPERLINK("http://www.weizmann.ac.il/complex/compphys/software/geview/data/figures/213393_at.png","Figure")</f>
        <v>Figure</v>
      </c>
      <c r="I10009">
        <v>1</v>
      </c>
      <c r="J10009">
        <v>1</v>
      </c>
      <c r="K10009">
        <v>0.94199999999999995</v>
      </c>
      <c r="L10009">
        <v>0.28000000000000003</v>
      </c>
      <c r="M10009">
        <v>0.94199999999999995</v>
      </c>
      <c r="N10009">
        <v>0.32</v>
      </c>
    </row>
    <row r="10010" spans="1:14" x14ac:dyDescent="0.25">
      <c r="A10010" t="s">
        <v>17509</v>
      </c>
      <c r="B10010" t="s">
        <v>14109</v>
      </c>
      <c r="C10010" s="1" t="str">
        <f>HYPERLINK("http://www.genecards.org/cgi-bin/carddisp.pl?gene=MUPCDH","GeneCards")</f>
        <v>GeneCards</v>
      </c>
      <c r="D10010" s="1" t="str">
        <f>HYPERLINK("http://genome-euro.ucsc.edu/cgi-bin/hgTracks?position=220074_at","UCSC")</f>
        <v>UCSC</v>
      </c>
      <c r="E10010" s="1" t="str">
        <f>HYPERLINK("http://www.ncbi.nlm.nih.gov/gene/?term=MUPCDH","NCBI")</f>
        <v>NCBI</v>
      </c>
      <c r="F10010">
        <v>0.21</v>
      </c>
      <c r="G10010">
        <v>0.37</v>
      </c>
      <c r="H10010" s="1" t="str">
        <f>HYPERLINK("http://www.weizmann.ac.il/complex/compphys/software/geview/data/figures/220074_at.png","Figure")</f>
        <v>Figure</v>
      </c>
      <c r="I10010">
        <v>1.1599999999999999</v>
      </c>
      <c r="J10010">
        <v>0.28999999999999998</v>
      </c>
      <c r="K10010">
        <v>1.1499999999999999</v>
      </c>
      <c r="L10010">
        <v>0.26</v>
      </c>
      <c r="M10010">
        <v>0.98599999999999999</v>
      </c>
      <c r="N10010">
        <v>0.99</v>
      </c>
    </row>
    <row r="10011" spans="1:14" x14ac:dyDescent="0.25">
      <c r="A10011" t="s">
        <v>17510</v>
      </c>
      <c r="B10011" t="s">
        <v>17511</v>
      </c>
      <c r="C10011" s="1" t="str">
        <f>HYPERLINK("http://www.genecards.org/cgi-bin/carddisp.pl?gene=PRDM12","GeneCards")</f>
        <v>GeneCards</v>
      </c>
      <c r="D10011" s="1" t="str">
        <f>HYPERLINK("http://genome-euro.ucsc.edu/cgi-bin/hgTracks?position=220894_x_at","UCSC")</f>
        <v>UCSC</v>
      </c>
      <c r="E10011" s="1" t="str">
        <f>HYPERLINK("http://www.ncbi.nlm.nih.gov/gene/?term=PRDM12","NCBI")</f>
        <v>NCBI</v>
      </c>
      <c r="F10011">
        <v>0.21</v>
      </c>
      <c r="G10011">
        <v>0.37</v>
      </c>
      <c r="H10011" s="1" t="str">
        <f>HYPERLINK("http://www.weizmann.ac.il/complex/compphys/software/geview/data/figures/220894_x_at.png","Figure")</f>
        <v>Figure</v>
      </c>
      <c r="I10011">
        <v>1.17</v>
      </c>
      <c r="J10011">
        <v>0.4</v>
      </c>
      <c r="K10011">
        <v>1.21</v>
      </c>
      <c r="L10011">
        <v>0.21</v>
      </c>
      <c r="M10011">
        <v>1.03</v>
      </c>
      <c r="N10011">
        <v>0.96</v>
      </c>
    </row>
    <row r="10012" spans="1:14" x14ac:dyDescent="0.25">
      <c r="A10012" t="s">
        <v>17512</v>
      </c>
      <c r="B10012" t="s">
        <v>2922</v>
      </c>
      <c r="C10012" s="1" t="str">
        <f>HYPERLINK("http://www.genecards.org/cgi-bin/carddisp.pl?gene=SRCAP","GeneCards")</f>
        <v>GeneCards</v>
      </c>
      <c r="D10012" s="1" t="str">
        <f>HYPERLINK("http://genome-euro.ucsc.edu/cgi-bin/hgTracks?position=38766_at","UCSC")</f>
        <v>UCSC</v>
      </c>
      <c r="E10012" s="1" t="str">
        <f>HYPERLINK("http://www.ncbi.nlm.nih.gov/gene/?term=SRCAP","NCBI")</f>
        <v>NCBI</v>
      </c>
      <c r="F10012">
        <v>0.22</v>
      </c>
      <c r="G10012">
        <v>0.37</v>
      </c>
      <c r="H10012" s="1" t="str">
        <f>HYPERLINK("http://www.weizmann.ac.il/complex/compphys/software/geview/data/figures/38766_at.png","Figure")</f>
        <v>Figure</v>
      </c>
      <c r="I10012">
        <v>1.17</v>
      </c>
      <c r="J10012">
        <v>0.19</v>
      </c>
      <c r="K10012">
        <v>1.07</v>
      </c>
      <c r="L10012">
        <v>0.61</v>
      </c>
      <c r="M10012">
        <v>0.92</v>
      </c>
      <c r="N10012">
        <v>0.54</v>
      </c>
    </row>
    <row r="10013" spans="1:14" x14ac:dyDescent="0.25">
      <c r="A10013" t="s">
        <v>17513</v>
      </c>
      <c r="B10013" t="s">
        <v>17514</v>
      </c>
      <c r="C10013" s="1" t="str">
        <f>HYPERLINK("http://www.genecards.org/cgi-bin/carddisp.pl?gene=GRB7","GeneCards")</f>
        <v>GeneCards</v>
      </c>
      <c r="D10013" s="1" t="str">
        <f>HYPERLINK("http://genome-euro.ucsc.edu/cgi-bin/hgTracks?position=210761_s_at","UCSC")</f>
        <v>UCSC</v>
      </c>
      <c r="E10013" s="1" t="str">
        <f>HYPERLINK("http://www.ncbi.nlm.nih.gov/gene/?term=GRB7","NCBI")</f>
        <v>NCBI</v>
      </c>
      <c r="F10013">
        <v>0.22</v>
      </c>
      <c r="G10013">
        <v>0.37</v>
      </c>
      <c r="H10013" s="1" t="str">
        <f>HYPERLINK("http://www.weizmann.ac.il/complex/compphys/software/geview/data/figures/210761_s_at.png","Figure")</f>
        <v>Figure</v>
      </c>
      <c r="I10013">
        <v>1.1299999999999999</v>
      </c>
      <c r="J10013">
        <v>0.28000000000000003</v>
      </c>
      <c r="K10013">
        <v>0.999</v>
      </c>
      <c r="L10013">
        <v>1</v>
      </c>
      <c r="M10013">
        <v>0.88600000000000001</v>
      </c>
      <c r="N10013">
        <v>0.24</v>
      </c>
    </row>
    <row r="10014" spans="1:14" x14ac:dyDescent="0.25">
      <c r="A10014" t="s">
        <v>17515</v>
      </c>
      <c r="B10014" t="s">
        <v>17516</v>
      </c>
      <c r="C10014" s="1" t="str">
        <f>HYPERLINK("http://www.genecards.org/cgi-bin/carddisp.pl?gene=RPAP3","GeneCards")</f>
        <v>GeneCards</v>
      </c>
      <c r="D10014" s="1" t="str">
        <f>HYPERLINK("http://genome-euro.ucsc.edu/cgi-bin/hgTracks?position=218842_at","UCSC")</f>
        <v>UCSC</v>
      </c>
      <c r="E10014" s="1" t="str">
        <f>HYPERLINK("http://www.ncbi.nlm.nih.gov/gene/?term=RPAP3","NCBI")</f>
        <v>NCBI</v>
      </c>
      <c r="F10014">
        <v>0.22</v>
      </c>
      <c r="G10014">
        <v>0.37</v>
      </c>
      <c r="H10014" s="1" t="str">
        <f>HYPERLINK("http://www.weizmann.ac.il/complex/compphys/software/geview/data/figures/218842_at.png","Figure")</f>
        <v>Figure</v>
      </c>
      <c r="I10014">
        <v>0.78600000000000003</v>
      </c>
      <c r="J10014">
        <v>0.26</v>
      </c>
      <c r="K10014">
        <v>0.98699999999999999</v>
      </c>
      <c r="L10014">
        <v>0.99</v>
      </c>
      <c r="M10014">
        <v>1.26</v>
      </c>
      <c r="N10014">
        <v>0.25</v>
      </c>
    </row>
    <row r="10015" spans="1:14" x14ac:dyDescent="0.25">
      <c r="A10015" t="s">
        <v>17517</v>
      </c>
      <c r="B10015" t="s">
        <v>17202</v>
      </c>
      <c r="C10015" s="1" t="str">
        <f>HYPERLINK("http://www.genecards.org/cgi-bin/carddisp.pl?gene=TMCC1","GeneCards")</f>
        <v>GeneCards</v>
      </c>
      <c r="D10015" s="1" t="str">
        <f>HYPERLINK("http://genome-euro.ucsc.edu/cgi-bin/hgTracks?position=213349_at","UCSC")</f>
        <v>UCSC</v>
      </c>
      <c r="E10015" s="1" t="str">
        <f>HYPERLINK("http://www.ncbi.nlm.nih.gov/gene/?term=TMCC1","NCBI")</f>
        <v>NCBI</v>
      </c>
      <c r="F10015">
        <v>0.22</v>
      </c>
      <c r="G10015">
        <v>0.37</v>
      </c>
      <c r="H10015" s="1" t="str">
        <f>HYPERLINK("http://www.weizmann.ac.il/complex/compphys/software/geview/data/figures/213349_at.png","Figure")</f>
        <v>Figure</v>
      </c>
      <c r="I10015">
        <v>0.92200000000000004</v>
      </c>
      <c r="J10015">
        <v>0.47</v>
      </c>
      <c r="K10015">
        <v>1.04</v>
      </c>
      <c r="L10015">
        <v>0.82</v>
      </c>
      <c r="M10015">
        <v>1.1200000000000001</v>
      </c>
      <c r="N10015">
        <v>0.19</v>
      </c>
    </row>
    <row r="10016" spans="1:14" x14ac:dyDescent="0.25">
      <c r="A10016" t="s">
        <v>17518</v>
      </c>
      <c r="B10016" t="s">
        <v>17519</v>
      </c>
      <c r="C10016" s="1" t="str">
        <f>HYPERLINK("http://www.genecards.org/cgi-bin/carddisp.pl?gene=SCARA3","GeneCards")</f>
        <v>GeneCards</v>
      </c>
      <c r="D10016" s="1" t="str">
        <f>HYPERLINK("http://genome-euro.ucsc.edu/cgi-bin/hgTracks?position=219416_at","UCSC")</f>
        <v>UCSC</v>
      </c>
      <c r="E10016" s="1" t="str">
        <f>HYPERLINK("http://www.ncbi.nlm.nih.gov/gene/?term=SCARA3","NCBI")</f>
        <v>NCBI</v>
      </c>
      <c r="F10016">
        <v>0.22</v>
      </c>
      <c r="G10016">
        <v>0.37</v>
      </c>
      <c r="H10016" s="1" t="str">
        <f>HYPERLINK("http://www.weizmann.ac.il/complex/compphys/software/geview/data/figures/219416_at.png","Figure")</f>
        <v>Figure</v>
      </c>
      <c r="I10016">
        <v>1.1200000000000001</v>
      </c>
      <c r="J10016">
        <v>0.19</v>
      </c>
      <c r="K10016">
        <v>1.06</v>
      </c>
      <c r="L10016">
        <v>0.55000000000000004</v>
      </c>
      <c r="M10016">
        <v>0.94399999999999995</v>
      </c>
      <c r="N10016">
        <v>0.59</v>
      </c>
    </row>
    <row r="10017" spans="1:14" x14ac:dyDescent="0.25">
      <c r="A10017" t="s">
        <v>17520</v>
      </c>
      <c r="B10017" t="s">
        <v>17521</v>
      </c>
      <c r="C10017" s="1" t="str">
        <f>HYPERLINK("http://www.genecards.org/cgi-bin/carddisp.pl?gene=C2","GeneCards")</f>
        <v>GeneCards</v>
      </c>
      <c r="D10017" s="1" t="str">
        <f>HYPERLINK("http://genome-euro.ucsc.edu/cgi-bin/hgTracks?position=203052_at","UCSC")</f>
        <v>UCSC</v>
      </c>
      <c r="E10017" s="1" t="str">
        <f>HYPERLINK("http://www.ncbi.nlm.nih.gov/gene/?term=C2","NCBI")</f>
        <v>NCBI</v>
      </c>
      <c r="F10017">
        <v>0.22</v>
      </c>
      <c r="G10017">
        <v>0.37</v>
      </c>
      <c r="H10017" s="1" t="str">
        <f>HYPERLINK("http://www.weizmann.ac.il/complex/compphys/software/geview/data/figures/203052_at.png","Figure")</f>
        <v>Figure</v>
      </c>
      <c r="I10017">
        <v>1.1499999999999999</v>
      </c>
      <c r="J10017">
        <v>0.19</v>
      </c>
      <c r="K10017">
        <v>1.06</v>
      </c>
      <c r="L10017">
        <v>0.66</v>
      </c>
      <c r="M10017">
        <v>0.92</v>
      </c>
      <c r="N10017">
        <v>0.49</v>
      </c>
    </row>
    <row r="10018" spans="1:14" x14ac:dyDescent="0.25">
      <c r="A10018" t="s">
        <v>17522</v>
      </c>
      <c r="B10018" t="s">
        <v>17423</v>
      </c>
      <c r="C10018" s="1" t="str">
        <f>HYPERLINK("http://www.genecards.org/cgi-bin/carddisp.pl?gene=SNCA","GeneCards")</f>
        <v>GeneCards</v>
      </c>
      <c r="D10018" s="1" t="str">
        <f>HYPERLINK("http://genome-euro.ucsc.edu/cgi-bin/hgTracks?position=204466_s_at","UCSC")</f>
        <v>UCSC</v>
      </c>
      <c r="E10018" s="1" t="str">
        <f>HYPERLINK("http://www.ncbi.nlm.nih.gov/gene/?term=SNCA","NCBI")</f>
        <v>NCBI</v>
      </c>
      <c r="F10018">
        <v>0.22</v>
      </c>
      <c r="G10018">
        <v>0.37</v>
      </c>
      <c r="H10018" s="1" t="str">
        <f>HYPERLINK("http://www.weizmann.ac.il/complex/compphys/software/geview/data/figures/204466_s_at.png","Figure")</f>
        <v>Figure</v>
      </c>
      <c r="I10018">
        <v>2.12</v>
      </c>
      <c r="J10018">
        <v>0.25</v>
      </c>
      <c r="K10018">
        <v>1.84</v>
      </c>
      <c r="L10018">
        <v>0.3</v>
      </c>
      <c r="M10018">
        <v>0.86799999999999999</v>
      </c>
      <c r="N10018">
        <v>0.94</v>
      </c>
    </row>
    <row r="10019" spans="1:14" x14ac:dyDescent="0.25">
      <c r="A10019" t="s">
        <v>17523</v>
      </c>
      <c r="B10019" t="s">
        <v>17524</v>
      </c>
      <c r="C10019" s="1" t="str">
        <f>HYPERLINK("http://www.genecards.org/cgi-bin/carddisp.pl?gene=AANAT","GeneCards")</f>
        <v>GeneCards</v>
      </c>
      <c r="D10019" s="1" t="str">
        <f>HYPERLINK("http://genome-euro.ucsc.edu/cgi-bin/hgTracks?position=207225_at","UCSC")</f>
        <v>UCSC</v>
      </c>
      <c r="E10019" s="1" t="str">
        <f>HYPERLINK("http://www.ncbi.nlm.nih.gov/gene/?term=AANAT","NCBI")</f>
        <v>NCBI</v>
      </c>
      <c r="F10019">
        <v>0.22</v>
      </c>
      <c r="G10019">
        <v>0.37</v>
      </c>
      <c r="H10019" s="1" t="str">
        <f>HYPERLINK("http://www.weizmann.ac.il/complex/compphys/software/geview/data/figures/207225_at.png","Figure")</f>
        <v>Figure</v>
      </c>
      <c r="I10019">
        <v>1.04</v>
      </c>
      <c r="J10019">
        <v>0.42</v>
      </c>
      <c r="K10019">
        <v>1.05</v>
      </c>
      <c r="L10019">
        <v>0.21</v>
      </c>
      <c r="M10019">
        <v>1.01</v>
      </c>
      <c r="N10019">
        <v>0.95</v>
      </c>
    </row>
    <row r="10020" spans="1:14" x14ac:dyDescent="0.25">
      <c r="A10020" t="s">
        <v>17525</v>
      </c>
      <c r="B10020" t="s">
        <v>16439</v>
      </c>
      <c r="C10020" s="1" t="str">
        <f>HYPERLINK("http://www.genecards.org/cgi-bin/carddisp.pl?gene=GAPVD1","GeneCards")</f>
        <v>GeneCards</v>
      </c>
      <c r="D10020" s="1" t="str">
        <f>HYPERLINK("http://genome-euro.ucsc.edu/cgi-bin/hgTracks?position=212802_s_at","UCSC")</f>
        <v>UCSC</v>
      </c>
      <c r="E10020" s="1" t="str">
        <f>HYPERLINK("http://www.ncbi.nlm.nih.gov/gene/?term=GAPVD1","NCBI")</f>
        <v>NCBI</v>
      </c>
      <c r="F10020">
        <v>0.22</v>
      </c>
      <c r="G10020">
        <v>0.37</v>
      </c>
      <c r="H10020" s="1" t="str">
        <f>HYPERLINK("http://www.weizmann.ac.il/complex/compphys/software/geview/data/figures/212802_s_at.png","Figure")</f>
        <v>Figure</v>
      </c>
      <c r="I10020">
        <v>1.29</v>
      </c>
      <c r="J10020">
        <v>0.39</v>
      </c>
      <c r="K10020">
        <v>1.34</v>
      </c>
      <c r="L10020">
        <v>0.21</v>
      </c>
      <c r="M10020">
        <v>1.04</v>
      </c>
      <c r="N10020">
        <v>0.97</v>
      </c>
    </row>
    <row r="10021" spans="1:14" x14ac:dyDescent="0.25">
      <c r="A10021" t="s">
        <v>17526</v>
      </c>
      <c r="B10021" t="s">
        <v>15157</v>
      </c>
      <c r="C10021" s="1" t="str">
        <f>HYPERLINK("http://www.genecards.org/cgi-bin/carddisp.pl?gene=ULK2","GeneCards")</f>
        <v>GeneCards</v>
      </c>
      <c r="D10021" s="1" t="str">
        <f>HYPERLINK("http://genome-euro.ucsc.edu/cgi-bin/hgTracks?position=215154_at","UCSC")</f>
        <v>UCSC</v>
      </c>
      <c r="E10021" s="1" t="str">
        <f>HYPERLINK("http://www.ncbi.nlm.nih.gov/gene/?term=ULK2","NCBI")</f>
        <v>NCBI</v>
      </c>
      <c r="F10021">
        <v>0.22</v>
      </c>
      <c r="G10021">
        <v>0.37</v>
      </c>
      <c r="H10021" s="1" t="str">
        <f>HYPERLINK("http://www.weizmann.ac.il/complex/compphys/software/geview/data/figures/215154_at.png","Figure")</f>
        <v>Figure</v>
      </c>
      <c r="I10021">
        <v>1.0900000000000001</v>
      </c>
      <c r="J10021">
        <v>0.22</v>
      </c>
      <c r="K10021">
        <v>1.02</v>
      </c>
      <c r="L10021">
        <v>0.93</v>
      </c>
      <c r="M10021">
        <v>0.92900000000000005</v>
      </c>
      <c r="N10021">
        <v>0.3</v>
      </c>
    </row>
    <row r="10022" spans="1:14" x14ac:dyDescent="0.25">
      <c r="A10022" t="s">
        <v>17527</v>
      </c>
      <c r="B10022" t="s">
        <v>17528</v>
      </c>
      <c r="C10022" s="1" t="str">
        <f>HYPERLINK("http://www.genecards.org/cgi-bin/carddisp.pl?gene=TPSAB1 /// TPSB2","GeneCards")</f>
        <v>GeneCards</v>
      </c>
      <c r="D10022" s="1" t="str">
        <f>HYPERLINK("http://genome-euro.ucsc.edu/cgi-bin/hgTracks?position=216474_x_at","UCSC")</f>
        <v>UCSC</v>
      </c>
      <c r="E10022" s="1" t="str">
        <f>HYPERLINK("http://www.ncbi.nlm.nih.gov/gene/?term=TPSAB1 /// TPSB2","NCBI")</f>
        <v>NCBI</v>
      </c>
      <c r="F10022">
        <v>0.22</v>
      </c>
      <c r="G10022">
        <v>0.37</v>
      </c>
      <c r="H10022" s="1" t="str">
        <f>HYPERLINK("http://www.weizmann.ac.il/complex/compphys/software/geview/data/figures/216474_x_at.png","Figure")</f>
        <v>Figure</v>
      </c>
      <c r="I10022">
        <v>1.1299999999999999</v>
      </c>
      <c r="J10022">
        <v>0.2</v>
      </c>
      <c r="K10022">
        <v>1.04</v>
      </c>
      <c r="L10022">
        <v>0.82</v>
      </c>
      <c r="M10022">
        <v>0.91600000000000004</v>
      </c>
      <c r="N10022">
        <v>0.38</v>
      </c>
    </row>
    <row r="10023" spans="1:14" x14ac:dyDescent="0.25">
      <c r="A10023" t="s">
        <v>17529</v>
      </c>
      <c r="B10023" t="s">
        <v>17530</v>
      </c>
      <c r="C10023" s="1" t="str">
        <f>HYPERLINK("http://www.genecards.org/cgi-bin/carddisp.pl?gene=TSR1","GeneCards")</f>
        <v>GeneCards</v>
      </c>
      <c r="D10023" s="1" t="str">
        <f>HYPERLINK("http://genome-euro.ucsc.edu/cgi-bin/hgTracks?position=218155_x_at","UCSC")</f>
        <v>UCSC</v>
      </c>
      <c r="E10023" s="1" t="str">
        <f>HYPERLINK("http://www.ncbi.nlm.nih.gov/gene/?term=TSR1","NCBI")</f>
        <v>NCBI</v>
      </c>
      <c r="F10023">
        <v>0.22</v>
      </c>
      <c r="G10023">
        <v>0.37</v>
      </c>
      <c r="H10023" s="1" t="str">
        <f>HYPERLINK("http://www.weizmann.ac.il/complex/compphys/software/geview/data/figures/218155_x_at.png","Figure")</f>
        <v>Figure</v>
      </c>
      <c r="I10023">
        <v>1.23</v>
      </c>
      <c r="J10023">
        <v>0.49</v>
      </c>
      <c r="K10023">
        <v>0.90400000000000003</v>
      </c>
      <c r="L10023">
        <v>0.8</v>
      </c>
      <c r="M10023">
        <v>0.73299999999999998</v>
      </c>
      <c r="N10023">
        <v>0.19</v>
      </c>
    </row>
    <row r="10024" spans="1:14" x14ac:dyDescent="0.25">
      <c r="A10024" t="s">
        <v>17531</v>
      </c>
      <c r="B10024" t="s">
        <v>17532</v>
      </c>
      <c r="C10024" s="1" t="str">
        <f>HYPERLINK("http://www.genecards.org/cgi-bin/carddisp.pl?gene=CECR5","GeneCards")</f>
        <v>GeneCards</v>
      </c>
      <c r="D10024" s="1" t="str">
        <f>HYPERLINK("http://genome-euro.ucsc.edu/cgi-bin/hgTracks?position=218592_s_at","UCSC")</f>
        <v>UCSC</v>
      </c>
      <c r="E10024" s="1" t="str">
        <f>HYPERLINK("http://www.ncbi.nlm.nih.gov/gene/?term=CECR5","NCBI")</f>
        <v>NCBI</v>
      </c>
      <c r="F10024">
        <v>0.22</v>
      </c>
      <c r="G10024">
        <v>0.37</v>
      </c>
      <c r="H10024" s="1" t="str">
        <f>HYPERLINK("http://www.weizmann.ac.il/complex/compphys/software/geview/data/figures/218592_s_at.png","Figure")</f>
        <v>Figure</v>
      </c>
      <c r="I10024">
        <v>0.74199999999999999</v>
      </c>
      <c r="J10024">
        <v>0.41</v>
      </c>
      <c r="K10024">
        <v>1.0900000000000001</v>
      </c>
      <c r="L10024">
        <v>0.89</v>
      </c>
      <c r="M10024">
        <v>1.47</v>
      </c>
      <c r="N10024">
        <v>0.2</v>
      </c>
    </row>
    <row r="10025" spans="1:14" x14ac:dyDescent="0.25">
      <c r="A10025" t="s">
        <v>17533</v>
      </c>
      <c r="B10025" t="s">
        <v>17534</v>
      </c>
      <c r="C10025" s="1" t="str">
        <f>HYPERLINK("http://www.genecards.org/cgi-bin/carddisp.pl?gene=CORO7","GeneCards")</f>
        <v>GeneCards</v>
      </c>
      <c r="D10025" s="1" t="str">
        <f>HYPERLINK("http://genome-euro.ucsc.edu/cgi-bin/hgTracks?position=219040_at","UCSC")</f>
        <v>UCSC</v>
      </c>
      <c r="E10025" s="1" t="str">
        <f>HYPERLINK("http://www.ncbi.nlm.nih.gov/gene/?term=CORO7","NCBI")</f>
        <v>NCBI</v>
      </c>
      <c r="F10025">
        <v>0.22</v>
      </c>
      <c r="G10025">
        <v>0.37</v>
      </c>
      <c r="H10025" s="1" t="str">
        <f>HYPERLINK("http://www.weizmann.ac.il/complex/compphys/software/geview/data/figures/219040_at.png","Figure")</f>
        <v>Figure</v>
      </c>
      <c r="I10025">
        <v>1.2</v>
      </c>
      <c r="J10025">
        <v>0.34</v>
      </c>
      <c r="K10025">
        <v>0.97499999999999998</v>
      </c>
      <c r="L10025">
        <v>0.97</v>
      </c>
      <c r="M10025">
        <v>0.81</v>
      </c>
      <c r="N10025">
        <v>0.21</v>
      </c>
    </row>
    <row r="10026" spans="1:14" x14ac:dyDescent="0.25">
      <c r="A10026" t="s">
        <v>17535</v>
      </c>
      <c r="B10026" t="s">
        <v>13281</v>
      </c>
      <c r="C10026" s="1" t="str">
        <f>HYPERLINK("http://www.genecards.org/cgi-bin/carddisp.pl?gene=FLT1","GeneCards")</f>
        <v>GeneCards</v>
      </c>
      <c r="D10026" s="1" t="str">
        <f>HYPERLINK("http://genome-euro.ucsc.edu/cgi-bin/hgTracks?position=222033_s_at","UCSC")</f>
        <v>UCSC</v>
      </c>
      <c r="E10026" s="1" t="str">
        <f>HYPERLINK("http://www.ncbi.nlm.nih.gov/gene/?term=FLT1","NCBI")</f>
        <v>NCBI</v>
      </c>
      <c r="F10026">
        <v>0.22</v>
      </c>
      <c r="G10026">
        <v>0.37</v>
      </c>
      <c r="H10026" s="1" t="str">
        <f>HYPERLINK("http://www.weizmann.ac.il/complex/compphys/software/geview/data/figures/222033_s_at.png","Figure")</f>
        <v>Figure</v>
      </c>
      <c r="I10026">
        <v>1.1399999999999999</v>
      </c>
      <c r="J10026">
        <v>0.4</v>
      </c>
      <c r="K10026">
        <v>0.96299999999999997</v>
      </c>
      <c r="L10026">
        <v>0.9</v>
      </c>
      <c r="M10026">
        <v>0.84499999999999997</v>
      </c>
      <c r="N10026">
        <v>0.2</v>
      </c>
    </row>
    <row r="10027" spans="1:14" x14ac:dyDescent="0.25">
      <c r="A10027" t="s">
        <v>17536</v>
      </c>
      <c r="B10027" t="s">
        <v>17537</v>
      </c>
      <c r="C10027" s="1" t="str">
        <f>HYPERLINK("http://www.genecards.org/cgi-bin/carddisp.pl?gene=TAC3","GeneCards")</f>
        <v>GeneCards</v>
      </c>
      <c r="D10027" s="1" t="str">
        <f>HYPERLINK("http://genome-euro.ucsc.edu/cgi-bin/hgTracks?position=219992_at","UCSC")</f>
        <v>UCSC</v>
      </c>
      <c r="E10027" s="1" t="str">
        <f>HYPERLINK("http://www.ncbi.nlm.nih.gov/gene/?term=TAC3","NCBI")</f>
        <v>NCBI</v>
      </c>
      <c r="F10027">
        <v>0.22</v>
      </c>
      <c r="G10027">
        <v>0.37</v>
      </c>
      <c r="H10027" s="1" t="str">
        <f>HYPERLINK("http://www.weizmann.ac.il/complex/compphys/software/geview/data/figures/219992_at.png","Figure")</f>
        <v>Figure</v>
      </c>
      <c r="I10027">
        <v>1.24</v>
      </c>
      <c r="J10027">
        <v>0.21</v>
      </c>
      <c r="K10027">
        <v>1.05</v>
      </c>
      <c r="L10027">
        <v>0.89</v>
      </c>
      <c r="M10027">
        <v>0.84499999999999997</v>
      </c>
      <c r="N10027">
        <v>0.33</v>
      </c>
    </row>
    <row r="10028" spans="1:14" x14ac:dyDescent="0.25">
      <c r="A10028" t="s">
        <v>17538</v>
      </c>
      <c r="B10028" t="s">
        <v>7010</v>
      </c>
      <c r="C10028" s="1" t="str">
        <f>HYPERLINK("http://www.genecards.org/cgi-bin/carddisp.pl?gene=CSH1","GeneCards")</f>
        <v>GeneCards</v>
      </c>
      <c r="D10028" s="1" t="str">
        <f>HYPERLINK("http://genome-euro.ucsc.edu/cgi-bin/hgTracks?position=208356_x_at","UCSC")</f>
        <v>UCSC</v>
      </c>
      <c r="E10028" s="1" t="str">
        <f>HYPERLINK("http://www.ncbi.nlm.nih.gov/gene/?term=CSH1","NCBI")</f>
        <v>NCBI</v>
      </c>
      <c r="F10028">
        <v>0.22</v>
      </c>
      <c r="G10028">
        <v>0.37</v>
      </c>
      <c r="H10028" s="1" t="str">
        <f>HYPERLINK("http://www.weizmann.ac.il/complex/compphys/software/geview/data/figures/208356_x_at.png","Figure")</f>
        <v>Figure</v>
      </c>
      <c r="I10028">
        <v>1.1100000000000001</v>
      </c>
      <c r="J10028">
        <v>0.2</v>
      </c>
      <c r="K10028">
        <v>1.06</v>
      </c>
      <c r="L10028">
        <v>0.49</v>
      </c>
      <c r="M10028">
        <v>0.95499999999999996</v>
      </c>
      <c r="N10028">
        <v>0.67</v>
      </c>
    </row>
    <row r="10029" spans="1:14" x14ac:dyDescent="0.25">
      <c r="A10029" t="s">
        <v>17539</v>
      </c>
      <c r="B10029" t="s">
        <v>17540</v>
      </c>
      <c r="C10029" s="1" t="str">
        <f>HYPERLINK("http://www.genecards.org/cgi-bin/carddisp.pl?gene=SDAD1","GeneCards")</f>
        <v>GeneCards</v>
      </c>
      <c r="D10029" s="1" t="str">
        <f>HYPERLINK("http://genome-euro.ucsc.edu/cgi-bin/hgTracks?position=218607_s_at","UCSC")</f>
        <v>UCSC</v>
      </c>
      <c r="E10029" s="1" t="str">
        <f>HYPERLINK("http://www.ncbi.nlm.nih.gov/gene/?term=SDAD1","NCBI")</f>
        <v>NCBI</v>
      </c>
      <c r="F10029">
        <v>0.22</v>
      </c>
      <c r="G10029">
        <v>0.37</v>
      </c>
      <c r="H10029" s="1" t="str">
        <f>HYPERLINK("http://www.weizmann.ac.il/complex/compphys/software/geview/data/figures/218607_s_at.png","Figure")</f>
        <v>Figure</v>
      </c>
      <c r="I10029">
        <v>0.85799999999999998</v>
      </c>
      <c r="J10029">
        <v>0.33</v>
      </c>
      <c r="K10029">
        <v>1.02</v>
      </c>
      <c r="L10029">
        <v>0.98</v>
      </c>
      <c r="M10029">
        <v>1.19</v>
      </c>
      <c r="N10029">
        <v>0.21</v>
      </c>
    </row>
    <row r="10030" spans="1:14" x14ac:dyDescent="0.25">
      <c r="A10030" t="s">
        <v>17541</v>
      </c>
      <c r="B10030" t="s">
        <v>14994</v>
      </c>
      <c r="C10030" s="1" t="str">
        <f>HYPERLINK("http://www.genecards.org/cgi-bin/carddisp.pl?gene=CD200","GeneCards")</f>
        <v>GeneCards</v>
      </c>
      <c r="D10030" s="1" t="str">
        <f>HYPERLINK("http://genome-euro.ucsc.edu/cgi-bin/hgTracks?position=209582_s_at","UCSC")</f>
        <v>UCSC</v>
      </c>
      <c r="E10030" s="1" t="str">
        <f>HYPERLINK("http://www.ncbi.nlm.nih.gov/gene/?term=CD200","NCBI")</f>
        <v>NCBI</v>
      </c>
      <c r="F10030">
        <v>0.22</v>
      </c>
      <c r="G10030">
        <v>0.37</v>
      </c>
      <c r="H10030" s="1" t="str">
        <f>HYPERLINK("http://www.weizmann.ac.il/complex/compphys/software/geview/data/figures/209582_s_at.png","Figure")</f>
        <v>Figure</v>
      </c>
      <c r="I10030">
        <v>0.71899999999999997</v>
      </c>
      <c r="J10030">
        <v>0.24</v>
      </c>
      <c r="K10030">
        <v>0.95799999999999996</v>
      </c>
      <c r="L10030">
        <v>0.97</v>
      </c>
      <c r="M10030">
        <v>1.33</v>
      </c>
      <c r="N10030">
        <v>0.28000000000000003</v>
      </c>
    </row>
    <row r="10031" spans="1:14" x14ac:dyDescent="0.25">
      <c r="A10031" t="s">
        <v>17542</v>
      </c>
      <c r="B10031" t="s">
        <v>17543</v>
      </c>
      <c r="C10031" s="1" t="str">
        <f>HYPERLINK("http://www.genecards.org/cgi-bin/carddisp.pl?gene=RUNX3","GeneCards")</f>
        <v>GeneCards</v>
      </c>
      <c r="D10031" s="1" t="str">
        <f>HYPERLINK("http://genome-euro.ucsc.edu/cgi-bin/hgTracks?position=204197_s_at","UCSC")</f>
        <v>UCSC</v>
      </c>
      <c r="E10031" s="1" t="str">
        <f>HYPERLINK("http://www.ncbi.nlm.nih.gov/gene/?term=RUNX3","NCBI")</f>
        <v>NCBI</v>
      </c>
      <c r="F10031">
        <v>0.22</v>
      </c>
      <c r="G10031">
        <v>0.37</v>
      </c>
      <c r="H10031" s="1" t="str">
        <f>HYPERLINK("http://www.weizmann.ac.il/complex/compphys/software/geview/data/figures/204197_s_at.png","Figure")</f>
        <v>Figure</v>
      </c>
      <c r="I10031">
        <v>0.60499999999999998</v>
      </c>
      <c r="J10031">
        <v>0.25</v>
      </c>
      <c r="K10031">
        <v>0.67200000000000004</v>
      </c>
      <c r="L10031">
        <v>0.31</v>
      </c>
      <c r="M10031">
        <v>1.1100000000000001</v>
      </c>
      <c r="N10031">
        <v>0.92</v>
      </c>
    </row>
    <row r="10032" spans="1:14" x14ac:dyDescent="0.25">
      <c r="A10032" t="s">
        <v>17544</v>
      </c>
      <c r="B10032" t="s">
        <v>4529</v>
      </c>
      <c r="C10032" s="1" t="str">
        <f>HYPERLINK("http://www.genecards.org/cgi-bin/carddisp.pl?gene=GPM6B","GeneCards")</f>
        <v>GeneCards</v>
      </c>
      <c r="D10032" s="1" t="str">
        <f>HYPERLINK("http://genome-euro.ucsc.edu/cgi-bin/hgTracks?position=209168_at","UCSC")</f>
        <v>UCSC</v>
      </c>
      <c r="E10032" s="1" t="str">
        <f>HYPERLINK("http://www.ncbi.nlm.nih.gov/gene/?term=GPM6B","NCBI")</f>
        <v>NCBI</v>
      </c>
      <c r="F10032">
        <v>0.22</v>
      </c>
      <c r="G10032">
        <v>0.37</v>
      </c>
      <c r="H10032" s="1" t="str">
        <f>HYPERLINK("http://www.weizmann.ac.il/complex/compphys/software/geview/data/figures/209168_at.png","Figure")</f>
        <v>Figure</v>
      </c>
      <c r="I10032">
        <v>0.88700000000000001</v>
      </c>
      <c r="J10032">
        <v>0.78</v>
      </c>
      <c r="K10032">
        <v>1.19</v>
      </c>
      <c r="L10032">
        <v>0.51</v>
      </c>
      <c r="M10032">
        <v>1.35</v>
      </c>
      <c r="N10032">
        <v>0.21</v>
      </c>
    </row>
    <row r="10033" spans="1:14" x14ac:dyDescent="0.25">
      <c r="A10033" t="s">
        <v>17545</v>
      </c>
      <c r="B10033" t="s">
        <v>17546</v>
      </c>
      <c r="C10033" s="1" t="str">
        <f>HYPERLINK("http://www.genecards.org/cgi-bin/carddisp.pl?gene=POLR2G","GeneCards")</f>
        <v>GeneCards</v>
      </c>
      <c r="D10033" s="1" t="str">
        <f>HYPERLINK("http://genome-euro.ucsc.edu/cgi-bin/hgTracks?position=202306_at","UCSC")</f>
        <v>UCSC</v>
      </c>
      <c r="E10033" s="1" t="str">
        <f>HYPERLINK("http://www.ncbi.nlm.nih.gov/gene/?term=POLR2G","NCBI")</f>
        <v>NCBI</v>
      </c>
      <c r="F10033">
        <v>0.22</v>
      </c>
      <c r="G10033">
        <v>0.37</v>
      </c>
      <c r="H10033" s="1" t="str">
        <f>HYPERLINK("http://www.weizmann.ac.il/complex/compphys/software/geview/data/figures/202306_at.png","Figure")</f>
        <v>Figure</v>
      </c>
      <c r="I10033">
        <v>1.29</v>
      </c>
      <c r="J10033">
        <v>0.26</v>
      </c>
      <c r="K10033">
        <v>1.24</v>
      </c>
      <c r="L10033">
        <v>0.28999999999999998</v>
      </c>
      <c r="M10033">
        <v>0.96</v>
      </c>
      <c r="N10033">
        <v>0.96</v>
      </c>
    </row>
    <row r="10034" spans="1:14" x14ac:dyDescent="0.25">
      <c r="A10034" t="s">
        <v>17547</v>
      </c>
      <c r="B10034" t="s">
        <v>17548</v>
      </c>
      <c r="C10034" s="1" t="str">
        <f>HYPERLINK("http://www.genecards.org/cgi-bin/carddisp.pl?gene=CER1","GeneCards")</f>
        <v>GeneCards</v>
      </c>
      <c r="D10034" s="1" t="str">
        <f>HYPERLINK("http://genome-euro.ucsc.edu/cgi-bin/hgTracks?position=221378_at","UCSC")</f>
        <v>UCSC</v>
      </c>
      <c r="E10034" s="1" t="str">
        <f>HYPERLINK("http://www.ncbi.nlm.nih.gov/gene/?term=CER1","NCBI")</f>
        <v>NCBI</v>
      </c>
      <c r="F10034">
        <v>0.22</v>
      </c>
      <c r="G10034">
        <v>0.37</v>
      </c>
      <c r="H10034" s="1" t="str">
        <f>HYPERLINK("http://www.weizmann.ac.il/complex/compphys/software/geview/data/figures/221378_at.png","Figure")</f>
        <v>Figure</v>
      </c>
      <c r="I10034">
        <v>1.1000000000000001</v>
      </c>
      <c r="J10034">
        <v>0.41</v>
      </c>
      <c r="K10034">
        <v>1.1200000000000001</v>
      </c>
      <c r="L10034">
        <v>0.21</v>
      </c>
      <c r="M10034">
        <v>1.02</v>
      </c>
      <c r="N10034">
        <v>0.96</v>
      </c>
    </row>
    <row r="10035" spans="1:14" x14ac:dyDescent="0.25">
      <c r="A10035" t="s">
        <v>17549</v>
      </c>
      <c r="B10035" t="s">
        <v>17550</v>
      </c>
      <c r="C10035" s="1" t="str">
        <f>HYPERLINK("http://www.genecards.org/cgi-bin/carddisp.pl?gene=PPIH","GeneCards")</f>
        <v>GeneCards</v>
      </c>
      <c r="D10035" s="1" t="str">
        <f>HYPERLINK("http://genome-euro.ucsc.edu/cgi-bin/hgTracks?position=204228_at","UCSC")</f>
        <v>UCSC</v>
      </c>
      <c r="E10035" s="1" t="str">
        <f>HYPERLINK("http://www.ncbi.nlm.nih.gov/gene/?term=PPIH","NCBI")</f>
        <v>NCBI</v>
      </c>
      <c r="F10035">
        <v>0.22</v>
      </c>
      <c r="G10035">
        <v>0.37</v>
      </c>
      <c r="H10035" s="1" t="str">
        <f>HYPERLINK("http://www.weizmann.ac.il/complex/compphys/software/geview/data/figures/204228_at.png","Figure")</f>
        <v>Figure</v>
      </c>
      <c r="I10035">
        <v>1.19</v>
      </c>
      <c r="J10035">
        <v>0.35</v>
      </c>
      <c r="K10035">
        <v>1.21</v>
      </c>
      <c r="L10035">
        <v>0.23</v>
      </c>
      <c r="M10035">
        <v>1.01</v>
      </c>
      <c r="N10035">
        <v>1</v>
      </c>
    </row>
    <row r="10036" spans="1:14" x14ac:dyDescent="0.25">
      <c r="A10036" t="s">
        <v>17551</v>
      </c>
      <c r="B10036" t="s">
        <v>5381</v>
      </c>
      <c r="C10036" s="1" t="str">
        <f>HYPERLINK("http://www.genecards.org/cgi-bin/carddisp.pl?gene=CAST","GeneCards")</f>
        <v>GeneCards</v>
      </c>
      <c r="D10036" s="1" t="str">
        <f>HYPERLINK("http://genome-euro.ucsc.edu/cgi-bin/hgTracks?position=207467_x_at","UCSC")</f>
        <v>UCSC</v>
      </c>
      <c r="E10036" s="1" t="str">
        <f>HYPERLINK("http://www.ncbi.nlm.nih.gov/gene/?term=CAST","NCBI")</f>
        <v>NCBI</v>
      </c>
      <c r="F10036">
        <v>0.22</v>
      </c>
      <c r="G10036">
        <v>0.37</v>
      </c>
      <c r="H10036" s="1" t="str">
        <f>HYPERLINK("http://www.weizmann.ac.il/complex/compphys/software/geview/data/figures/207467_x_at.png","Figure")</f>
        <v>Figure</v>
      </c>
      <c r="I10036">
        <v>0.80300000000000005</v>
      </c>
      <c r="J10036">
        <v>0.63</v>
      </c>
      <c r="K10036">
        <v>1.2</v>
      </c>
      <c r="L10036">
        <v>0.65</v>
      </c>
      <c r="M10036">
        <v>1.5</v>
      </c>
      <c r="N10036">
        <v>0.19</v>
      </c>
    </row>
    <row r="10037" spans="1:14" x14ac:dyDescent="0.25">
      <c r="A10037" t="s">
        <v>17552</v>
      </c>
      <c r="B10037" t="s">
        <v>14559</v>
      </c>
      <c r="C10037" s="1" t="str">
        <f>HYPERLINK("http://www.genecards.org/cgi-bin/carddisp.pl?gene=FGFR1","GeneCards")</f>
        <v>GeneCards</v>
      </c>
      <c r="D10037" s="1" t="str">
        <f>HYPERLINK("http://genome-euro.ucsc.edu/cgi-bin/hgTracks?position=207937_x_at","UCSC")</f>
        <v>UCSC</v>
      </c>
      <c r="E10037" s="1" t="str">
        <f>HYPERLINK("http://www.ncbi.nlm.nih.gov/gene/?term=FGFR1","NCBI")</f>
        <v>NCBI</v>
      </c>
      <c r="F10037">
        <v>0.22</v>
      </c>
      <c r="G10037">
        <v>0.37</v>
      </c>
      <c r="H10037" s="1" t="str">
        <f>HYPERLINK("http://www.weizmann.ac.il/complex/compphys/software/geview/data/figures/207937_x_at.png","Figure")</f>
        <v>Figure</v>
      </c>
      <c r="I10037">
        <v>1.22</v>
      </c>
      <c r="J10037">
        <v>0.2</v>
      </c>
      <c r="K10037">
        <v>1.1200000000000001</v>
      </c>
      <c r="L10037">
        <v>0.49</v>
      </c>
      <c r="M10037">
        <v>0.91600000000000004</v>
      </c>
      <c r="N10037">
        <v>0.67</v>
      </c>
    </row>
    <row r="10038" spans="1:14" x14ac:dyDescent="0.25">
      <c r="A10038" t="s">
        <v>17553</v>
      </c>
      <c r="B10038" t="s">
        <v>17554</v>
      </c>
      <c r="C10038" s="1" t="str">
        <f>HYPERLINK("http://www.genecards.org/cgi-bin/carddisp.pl?gene=MAP4K1","GeneCards")</f>
        <v>GeneCards</v>
      </c>
      <c r="D10038" s="1" t="str">
        <f>HYPERLINK("http://genome-euro.ucsc.edu/cgi-bin/hgTracks?position=214339_s_at","UCSC")</f>
        <v>UCSC</v>
      </c>
      <c r="E10038" s="1" t="str">
        <f>HYPERLINK("http://www.ncbi.nlm.nih.gov/gene/?term=MAP4K1","NCBI")</f>
        <v>NCBI</v>
      </c>
      <c r="F10038">
        <v>0.22</v>
      </c>
      <c r="G10038">
        <v>0.37</v>
      </c>
      <c r="H10038" s="1" t="str">
        <f>HYPERLINK("http://www.weizmann.ac.il/complex/compphys/software/geview/data/figures/214339_s_at.png","Figure")</f>
        <v>Figure</v>
      </c>
      <c r="I10038">
        <v>1.01</v>
      </c>
      <c r="J10038">
        <v>1</v>
      </c>
      <c r="K10038">
        <v>1.36</v>
      </c>
      <c r="L10038">
        <v>0.27</v>
      </c>
      <c r="M10038">
        <v>1.34</v>
      </c>
      <c r="N10038">
        <v>0.34</v>
      </c>
    </row>
    <row r="10039" spans="1:14" x14ac:dyDescent="0.25">
      <c r="A10039" t="s">
        <v>17555</v>
      </c>
      <c r="B10039" t="s">
        <v>13711</v>
      </c>
      <c r="C10039" s="1" t="str">
        <f>HYPERLINK("http://www.genecards.org/cgi-bin/carddisp.pl?gene=SUPT7L","GeneCards")</f>
        <v>GeneCards</v>
      </c>
      <c r="D10039" s="1" t="str">
        <f>HYPERLINK("http://genome-euro.ucsc.edu/cgi-bin/hgTracks?position=201836_s_at","UCSC")</f>
        <v>UCSC</v>
      </c>
      <c r="E10039" s="1" t="str">
        <f>HYPERLINK("http://www.ncbi.nlm.nih.gov/gene/?term=SUPT7L","NCBI")</f>
        <v>NCBI</v>
      </c>
      <c r="F10039">
        <v>0.22</v>
      </c>
      <c r="G10039">
        <v>0.37</v>
      </c>
      <c r="H10039" s="1" t="str">
        <f>HYPERLINK("http://www.weizmann.ac.il/complex/compphys/software/geview/data/figures/201836_s_at.png","Figure")</f>
        <v>Figure</v>
      </c>
      <c r="I10039">
        <v>0.63500000000000001</v>
      </c>
      <c r="J10039">
        <v>0.19</v>
      </c>
      <c r="K10039">
        <v>0.79300000000000004</v>
      </c>
      <c r="L10039">
        <v>0.54</v>
      </c>
      <c r="M10039">
        <v>1.25</v>
      </c>
      <c r="N10039">
        <v>0.61</v>
      </c>
    </row>
    <row r="10040" spans="1:14" x14ac:dyDescent="0.25">
      <c r="A10040" t="s">
        <v>17556</v>
      </c>
      <c r="B10040" t="s">
        <v>1688</v>
      </c>
      <c r="C10040" s="1" t="str">
        <f>HYPERLINK("http://www.genecards.org/cgi-bin/carddisp.pl?gene=CD22","GeneCards")</f>
        <v>GeneCards</v>
      </c>
      <c r="D10040" s="1" t="str">
        <f>HYPERLINK("http://genome-euro.ucsc.edu/cgi-bin/hgTracks?position=220674_at","UCSC")</f>
        <v>UCSC</v>
      </c>
      <c r="E10040" s="1" t="str">
        <f>HYPERLINK("http://www.ncbi.nlm.nih.gov/gene/?term=CD22","NCBI")</f>
        <v>NCBI</v>
      </c>
      <c r="F10040">
        <v>0.22</v>
      </c>
      <c r="G10040">
        <v>0.37</v>
      </c>
      <c r="H10040" s="1" t="str">
        <f>HYPERLINK("http://www.weizmann.ac.il/complex/compphys/software/geview/data/figures/220674_at.png","Figure")</f>
        <v>Figure</v>
      </c>
      <c r="I10040">
        <v>1.1200000000000001</v>
      </c>
      <c r="J10040">
        <v>0.24</v>
      </c>
      <c r="K10040">
        <v>1.01</v>
      </c>
      <c r="L10040">
        <v>0.98</v>
      </c>
      <c r="M10040">
        <v>0.90600000000000003</v>
      </c>
      <c r="N10040">
        <v>0.27</v>
      </c>
    </row>
    <row r="10041" spans="1:14" x14ac:dyDescent="0.25">
      <c r="A10041" t="s">
        <v>17557</v>
      </c>
      <c r="B10041" t="s">
        <v>17041</v>
      </c>
      <c r="C10041" s="1" t="str">
        <f>HYPERLINK("http://www.genecards.org/cgi-bin/carddisp.pl?gene=PLK4","GeneCards")</f>
        <v>GeneCards</v>
      </c>
      <c r="D10041" s="1" t="str">
        <f>HYPERLINK("http://genome-euro.ucsc.edu/cgi-bin/hgTracks?position=204886_at","UCSC")</f>
        <v>UCSC</v>
      </c>
      <c r="E10041" s="1" t="str">
        <f>HYPERLINK("http://www.ncbi.nlm.nih.gov/gene/?term=PLK4","NCBI")</f>
        <v>NCBI</v>
      </c>
      <c r="F10041">
        <v>0.22</v>
      </c>
      <c r="G10041">
        <v>0.37</v>
      </c>
      <c r="H10041" s="1" t="str">
        <f>HYPERLINK("http://www.weizmann.ac.il/complex/compphys/software/geview/data/figures/204886_at.png","Figure")</f>
        <v>Figure</v>
      </c>
      <c r="I10041">
        <v>0.9</v>
      </c>
      <c r="J10041">
        <v>0.19</v>
      </c>
      <c r="K10041">
        <v>0.95799999999999996</v>
      </c>
      <c r="L10041">
        <v>0.68</v>
      </c>
      <c r="M10041">
        <v>1.07</v>
      </c>
      <c r="N10041">
        <v>0.48</v>
      </c>
    </row>
    <row r="10042" spans="1:14" x14ac:dyDescent="0.25">
      <c r="A10042" t="s">
        <v>17558</v>
      </c>
      <c r="B10042" t="s">
        <v>1016</v>
      </c>
      <c r="C10042" s="1" t="str">
        <f>HYPERLINK("http://www.genecards.org/cgi-bin/carddisp.pl?gene=ILVBL","GeneCards")</f>
        <v>GeneCards</v>
      </c>
      <c r="D10042" s="1" t="str">
        <f>HYPERLINK("http://genome-euro.ucsc.edu/cgi-bin/hgTracks?position=210624_s_at","UCSC")</f>
        <v>UCSC</v>
      </c>
      <c r="E10042" s="1" t="str">
        <f>HYPERLINK("http://www.ncbi.nlm.nih.gov/gene/?term=ILVBL","NCBI")</f>
        <v>NCBI</v>
      </c>
      <c r="F10042">
        <v>0.22</v>
      </c>
      <c r="G10042">
        <v>0.37</v>
      </c>
      <c r="H10042" s="1" t="str">
        <f>HYPERLINK("http://www.weizmann.ac.il/complex/compphys/software/geview/data/figures/210624_s_at.png","Figure")</f>
        <v>Figure</v>
      </c>
      <c r="I10042">
        <v>1</v>
      </c>
      <c r="J10042">
        <v>1</v>
      </c>
      <c r="K10042">
        <v>0.89900000000000002</v>
      </c>
      <c r="L10042">
        <v>0.28999999999999998</v>
      </c>
      <c r="M10042">
        <v>0.89500000000000002</v>
      </c>
      <c r="N10042">
        <v>0.31</v>
      </c>
    </row>
    <row r="10043" spans="1:14" x14ac:dyDescent="0.25">
      <c r="A10043" t="s">
        <v>17559</v>
      </c>
      <c r="B10043" t="s">
        <v>17560</v>
      </c>
      <c r="C10043" s="1" t="str">
        <f>HYPERLINK("http://www.genecards.org/cgi-bin/carddisp.pl?gene=SORL1","GeneCards")</f>
        <v>GeneCards</v>
      </c>
      <c r="D10043" s="1" t="str">
        <f>HYPERLINK("http://genome-euro.ucsc.edu/cgi-bin/hgTracks?position=203509_at","UCSC")</f>
        <v>UCSC</v>
      </c>
      <c r="E10043" s="1" t="str">
        <f>HYPERLINK("http://www.ncbi.nlm.nih.gov/gene/?term=SORL1","NCBI")</f>
        <v>NCBI</v>
      </c>
      <c r="F10043">
        <v>0.22</v>
      </c>
      <c r="G10043">
        <v>0.37</v>
      </c>
      <c r="H10043" s="1" t="str">
        <f>HYPERLINK("http://www.weizmann.ac.il/complex/compphys/software/geview/data/figures/203509_at.png","Figure")</f>
        <v>Figure</v>
      </c>
      <c r="I10043">
        <v>1.44</v>
      </c>
      <c r="J10043">
        <v>0.19</v>
      </c>
      <c r="K10043">
        <v>1.1499999999999999</v>
      </c>
      <c r="L10043">
        <v>0.69</v>
      </c>
      <c r="M10043">
        <v>0.8</v>
      </c>
      <c r="N10043">
        <v>0.47</v>
      </c>
    </row>
    <row r="10044" spans="1:14" x14ac:dyDescent="0.25">
      <c r="A10044" t="s">
        <v>17561</v>
      </c>
      <c r="B10044" t="s">
        <v>17562</v>
      </c>
      <c r="C10044" s="1" t="str">
        <f>HYPERLINK("http://www.genecards.org/cgi-bin/carddisp.pl?gene=DEXI","GeneCards")</f>
        <v>GeneCards</v>
      </c>
      <c r="D10044" s="1" t="str">
        <f>HYPERLINK("http://genome-euro.ucsc.edu/cgi-bin/hgTracks?position=203733_at","UCSC")</f>
        <v>UCSC</v>
      </c>
      <c r="E10044" s="1" t="str">
        <f>HYPERLINK("http://www.ncbi.nlm.nih.gov/gene/?term=DEXI","NCBI")</f>
        <v>NCBI</v>
      </c>
      <c r="F10044">
        <v>0.22</v>
      </c>
      <c r="G10044">
        <v>0.37</v>
      </c>
      <c r="H10044" s="1" t="str">
        <f>HYPERLINK("http://www.weizmann.ac.il/complex/compphys/software/geview/data/figures/203733_at.png","Figure")</f>
        <v>Figure</v>
      </c>
      <c r="I10044">
        <v>1.18</v>
      </c>
      <c r="J10044">
        <v>0.21</v>
      </c>
      <c r="K10044">
        <v>1.05</v>
      </c>
      <c r="L10044">
        <v>0.85</v>
      </c>
      <c r="M10044">
        <v>0.88500000000000001</v>
      </c>
      <c r="N10044">
        <v>0.36</v>
      </c>
    </row>
    <row r="10045" spans="1:14" x14ac:dyDescent="0.25">
      <c r="A10045" t="s">
        <v>17563</v>
      </c>
      <c r="B10045" t="s">
        <v>14694</v>
      </c>
      <c r="C10045" s="1" t="str">
        <f>HYPERLINK("http://www.genecards.org/cgi-bin/carddisp.pl?gene=USP22","GeneCards")</f>
        <v>GeneCards</v>
      </c>
      <c r="D10045" s="1" t="str">
        <f>HYPERLINK("http://genome-euro.ucsc.edu/cgi-bin/hgTracks?position=220862_s_at","UCSC")</f>
        <v>UCSC</v>
      </c>
      <c r="E10045" s="1" t="str">
        <f>HYPERLINK("http://www.ncbi.nlm.nih.gov/gene/?term=USP22","NCBI")</f>
        <v>NCBI</v>
      </c>
      <c r="F10045">
        <v>0.22</v>
      </c>
      <c r="G10045">
        <v>0.37</v>
      </c>
      <c r="H10045" s="1" t="str">
        <f>HYPERLINK("http://www.weizmann.ac.il/complex/compphys/software/geview/data/figures/220862_s_at.png","Figure")</f>
        <v>Figure</v>
      </c>
      <c r="I10045">
        <v>1.04</v>
      </c>
      <c r="J10045">
        <v>0.91</v>
      </c>
      <c r="K10045">
        <v>0.90900000000000003</v>
      </c>
      <c r="L10045">
        <v>0.4</v>
      </c>
      <c r="M10045">
        <v>0.878</v>
      </c>
      <c r="N10045">
        <v>0.24</v>
      </c>
    </row>
    <row r="10046" spans="1:14" x14ac:dyDescent="0.25">
      <c r="A10046" t="s">
        <v>17564</v>
      </c>
      <c r="B10046" t="s">
        <v>5668</v>
      </c>
      <c r="C10046" s="1" t="str">
        <f>HYPERLINK("http://www.genecards.org/cgi-bin/carddisp.pl?gene=ITGB3","GeneCards")</f>
        <v>GeneCards</v>
      </c>
      <c r="D10046" s="1" t="str">
        <f>HYPERLINK("http://genome-euro.ucsc.edu/cgi-bin/hgTracks?position=216261_at","UCSC")</f>
        <v>UCSC</v>
      </c>
      <c r="E10046" s="1" t="str">
        <f>HYPERLINK("http://www.ncbi.nlm.nih.gov/gene/?term=ITGB3","NCBI")</f>
        <v>NCBI</v>
      </c>
      <c r="F10046">
        <v>0.22</v>
      </c>
      <c r="G10046">
        <v>0.37</v>
      </c>
      <c r="H10046" s="1" t="str">
        <f>HYPERLINK("http://www.weizmann.ac.il/complex/compphys/software/geview/data/figures/216261_at.png","Figure")</f>
        <v>Figure</v>
      </c>
      <c r="I10046">
        <v>0.98</v>
      </c>
      <c r="J10046">
        <v>0.96</v>
      </c>
      <c r="K10046">
        <v>0.89500000000000002</v>
      </c>
      <c r="L10046">
        <v>0.24</v>
      </c>
      <c r="M10046">
        <v>0.91300000000000003</v>
      </c>
      <c r="N10046">
        <v>0.41</v>
      </c>
    </row>
    <row r="10047" spans="1:14" x14ac:dyDescent="0.25">
      <c r="A10047" t="s">
        <v>17565</v>
      </c>
      <c r="B10047" t="s">
        <v>17566</v>
      </c>
      <c r="C10047" s="1" t="str">
        <f>HYPERLINK("http://www.genecards.org/cgi-bin/carddisp.pl?gene=C17orf81","GeneCards")</f>
        <v>GeneCards</v>
      </c>
      <c r="D10047" s="1" t="str">
        <f>HYPERLINK("http://genome-euro.ucsc.edu/cgi-bin/hgTracks?position=219260_s_at","UCSC")</f>
        <v>UCSC</v>
      </c>
      <c r="E10047" s="1" t="str">
        <f>HYPERLINK("http://www.ncbi.nlm.nih.gov/gene/?term=C17orf81","NCBI")</f>
        <v>NCBI</v>
      </c>
      <c r="F10047">
        <v>0.22</v>
      </c>
      <c r="G10047">
        <v>0.37</v>
      </c>
      <c r="H10047" s="1" t="str">
        <f>HYPERLINK("http://www.weizmann.ac.il/complex/compphys/software/geview/data/figures/219260_s_at.png","Figure")</f>
        <v>Figure</v>
      </c>
      <c r="I10047">
        <v>1.96</v>
      </c>
      <c r="J10047">
        <v>0.2</v>
      </c>
      <c r="K10047">
        <v>1.21</v>
      </c>
      <c r="L10047">
        <v>0.83</v>
      </c>
      <c r="M10047">
        <v>0.61699999999999999</v>
      </c>
      <c r="N10047">
        <v>0.37</v>
      </c>
    </row>
    <row r="10048" spans="1:14" x14ac:dyDescent="0.25">
      <c r="A10048" t="s">
        <v>17567</v>
      </c>
      <c r="B10048" t="s">
        <v>14371</v>
      </c>
      <c r="C10048" s="1" t="str">
        <f>HYPERLINK("http://www.genecards.org/cgi-bin/carddisp.pl?gene=PEBP1","GeneCards")</f>
        <v>GeneCards</v>
      </c>
      <c r="D10048" s="1" t="str">
        <f>HYPERLINK("http://genome-euro.ucsc.edu/cgi-bin/hgTracks?position=211941_s_at","UCSC")</f>
        <v>UCSC</v>
      </c>
      <c r="E10048" s="1" t="str">
        <f>HYPERLINK("http://www.ncbi.nlm.nih.gov/gene/?term=PEBP1","NCBI")</f>
        <v>NCBI</v>
      </c>
      <c r="F10048">
        <v>0.22</v>
      </c>
      <c r="G10048">
        <v>0.37</v>
      </c>
      <c r="H10048" s="1" t="str">
        <f>HYPERLINK("http://www.weizmann.ac.il/complex/compphys/software/geview/data/figures/211941_s_at.png","Figure")</f>
        <v>Figure</v>
      </c>
      <c r="I10048">
        <v>1.17</v>
      </c>
      <c r="J10048">
        <v>0.78</v>
      </c>
      <c r="K10048">
        <v>1.43</v>
      </c>
      <c r="L10048">
        <v>0.2</v>
      </c>
      <c r="M10048">
        <v>1.23</v>
      </c>
      <c r="N10048">
        <v>0.6</v>
      </c>
    </row>
    <row r="10049" spans="1:14" x14ac:dyDescent="0.25">
      <c r="A10049" t="s">
        <v>17568</v>
      </c>
      <c r="B10049" t="s">
        <v>4511</v>
      </c>
      <c r="C10049" s="1" t="str">
        <f>HYPERLINK("http://www.genecards.org/cgi-bin/carddisp.pl?gene=SLC25A17","GeneCards")</f>
        <v>GeneCards</v>
      </c>
      <c r="D10049" s="1" t="str">
        <f>HYPERLINK("http://genome-euro.ucsc.edu/cgi-bin/hgTracks?position=214210_at","UCSC")</f>
        <v>UCSC</v>
      </c>
      <c r="E10049" s="1" t="str">
        <f>HYPERLINK("http://www.ncbi.nlm.nih.gov/gene/?term=SLC25A17","NCBI")</f>
        <v>NCBI</v>
      </c>
      <c r="F10049">
        <v>0.22</v>
      </c>
      <c r="G10049">
        <v>0.37</v>
      </c>
      <c r="H10049" s="1" t="str">
        <f>HYPERLINK("http://www.weizmann.ac.il/complex/compphys/software/geview/data/figures/214210_at.png","Figure")</f>
        <v>Figure</v>
      </c>
      <c r="I10049">
        <v>0.95899999999999996</v>
      </c>
      <c r="J10049">
        <v>0.85</v>
      </c>
      <c r="K10049">
        <v>1.0900000000000001</v>
      </c>
      <c r="L10049">
        <v>0.45</v>
      </c>
      <c r="M10049">
        <v>1.1399999999999999</v>
      </c>
      <c r="N10049">
        <v>0.22</v>
      </c>
    </row>
    <row r="10050" spans="1:14" x14ac:dyDescent="0.25">
      <c r="A10050" t="s">
        <v>17569</v>
      </c>
      <c r="B10050" t="s">
        <v>5426</v>
      </c>
      <c r="C10050" s="1" t="str">
        <f>HYPERLINK("http://www.genecards.org/cgi-bin/carddisp.pl?gene=RNF114","GeneCards")</f>
        <v>GeneCards</v>
      </c>
      <c r="D10050" s="1" t="str">
        <f>HYPERLINK("http://genome-euro.ucsc.edu/cgi-bin/hgTracks?position=200867_at","UCSC")</f>
        <v>UCSC</v>
      </c>
      <c r="E10050" s="1" t="str">
        <f>HYPERLINK("http://www.ncbi.nlm.nih.gov/gene/?term=RNF114","NCBI")</f>
        <v>NCBI</v>
      </c>
      <c r="F10050">
        <v>0.22</v>
      </c>
      <c r="G10050">
        <v>0.37</v>
      </c>
      <c r="H10050" s="1" t="str">
        <f>HYPERLINK("http://www.weizmann.ac.il/complex/compphys/software/geview/data/figures/200867_at.png","Figure")</f>
        <v>Figure</v>
      </c>
      <c r="I10050">
        <v>0.68700000000000006</v>
      </c>
      <c r="J10050">
        <v>0.24</v>
      </c>
      <c r="K10050">
        <v>0.751</v>
      </c>
      <c r="L10050">
        <v>0.33</v>
      </c>
      <c r="M10050">
        <v>1.0900000000000001</v>
      </c>
      <c r="N10050">
        <v>0.9</v>
      </c>
    </row>
    <row r="10051" spans="1:14" x14ac:dyDescent="0.25">
      <c r="A10051" t="s">
        <v>17570</v>
      </c>
      <c r="B10051" t="s">
        <v>12775</v>
      </c>
      <c r="C10051" s="1" t="str">
        <f>HYPERLINK("http://www.genecards.org/cgi-bin/carddisp.pl?gene=CHMP2B","GeneCards")</f>
        <v>GeneCards</v>
      </c>
      <c r="D10051" s="1" t="str">
        <f>HYPERLINK("http://genome-euro.ucsc.edu/cgi-bin/hgTracks?position=202538_s_at","UCSC")</f>
        <v>UCSC</v>
      </c>
      <c r="E10051" s="1" t="str">
        <f>HYPERLINK("http://www.ncbi.nlm.nih.gov/gene/?term=CHMP2B","NCBI")</f>
        <v>NCBI</v>
      </c>
      <c r="F10051">
        <v>0.22</v>
      </c>
      <c r="G10051">
        <v>0.37</v>
      </c>
      <c r="H10051" s="1" t="str">
        <f>HYPERLINK("http://www.weizmann.ac.il/complex/compphys/software/geview/data/figures/202538_s_at.png","Figure")</f>
        <v>Figure</v>
      </c>
      <c r="I10051">
        <v>0.81899999999999995</v>
      </c>
      <c r="J10051">
        <v>0.22</v>
      </c>
      <c r="K10051">
        <v>0.875</v>
      </c>
      <c r="L10051">
        <v>0.39</v>
      </c>
      <c r="M10051">
        <v>1.07</v>
      </c>
      <c r="N10051">
        <v>0.81</v>
      </c>
    </row>
    <row r="10052" spans="1:14" x14ac:dyDescent="0.25">
      <c r="A10052" t="s">
        <v>17571</v>
      </c>
      <c r="B10052" t="s">
        <v>17572</v>
      </c>
      <c r="C10052" s="1" t="str">
        <f>HYPERLINK("http://www.genecards.org/cgi-bin/carddisp.pl?gene=POLB","GeneCards")</f>
        <v>GeneCards</v>
      </c>
      <c r="D10052" s="1" t="str">
        <f>HYPERLINK("http://genome-euro.ucsc.edu/cgi-bin/hgTracks?position=203616_at","UCSC")</f>
        <v>UCSC</v>
      </c>
      <c r="E10052" s="1" t="str">
        <f>HYPERLINK("http://www.ncbi.nlm.nih.gov/gene/?term=POLB","NCBI")</f>
        <v>NCBI</v>
      </c>
      <c r="F10052">
        <v>0.22</v>
      </c>
      <c r="G10052">
        <v>0.37</v>
      </c>
      <c r="H10052" s="1" t="str">
        <f>HYPERLINK("http://www.weizmann.ac.il/complex/compphys/software/geview/data/figures/203616_at.png","Figure")</f>
        <v>Figure</v>
      </c>
      <c r="I10052">
        <v>0.876</v>
      </c>
      <c r="J10052">
        <v>0.68</v>
      </c>
      <c r="K10052">
        <v>0.77600000000000002</v>
      </c>
      <c r="L10052">
        <v>0.19</v>
      </c>
      <c r="M10052">
        <v>0.88600000000000001</v>
      </c>
      <c r="N10052">
        <v>0.69</v>
      </c>
    </row>
    <row r="10053" spans="1:14" x14ac:dyDescent="0.25">
      <c r="A10053" t="s">
        <v>17573</v>
      </c>
      <c r="B10053" t="s">
        <v>17574</v>
      </c>
      <c r="C10053" s="1" t="str">
        <f>HYPERLINK("http://www.genecards.org/cgi-bin/carddisp.pl?gene=CTDSP1","GeneCards")</f>
        <v>GeneCards</v>
      </c>
      <c r="D10053" s="1" t="str">
        <f>HYPERLINK("http://genome-euro.ucsc.edu/cgi-bin/hgTracks?position=217844_at","UCSC")</f>
        <v>UCSC</v>
      </c>
      <c r="E10053" s="1" t="str">
        <f>HYPERLINK("http://www.ncbi.nlm.nih.gov/gene/?term=CTDSP1","NCBI")</f>
        <v>NCBI</v>
      </c>
      <c r="F10053">
        <v>0.22</v>
      </c>
      <c r="G10053">
        <v>0.37</v>
      </c>
      <c r="H10053" s="1" t="str">
        <f>HYPERLINK("http://www.weizmann.ac.il/complex/compphys/software/geview/data/figures/217844_at.png","Figure")</f>
        <v>Figure</v>
      </c>
      <c r="I10053">
        <v>1.21</v>
      </c>
      <c r="J10053">
        <v>0.33</v>
      </c>
      <c r="K10053">
        <v>1.21</v>
      </c>
      <c r="L10053">
        <v>0.24</v>
      </c>
      <c r="M10053">
        <v>1</v>
      </c>
      <c r="N10053">
        <v>1</v>
      </c>
    </row>
    <row r="10054" spans="1:14" x14ac:dyDescent="0.25">
      <c r="A10054" t="s">
        <v>17575</v>
      </c>
      <c r="B10054" t="s">
        <v>17576</v>
      </c>
      <c r="C10054" s="1" t="str">
        <f>HYPERLINK("http://www.genecards.org/cgi-bin/carddisp.pl?gene=SPAG4","GeneCards")</f>
        <v>GeneCards</v>
      </c>
      <c r="D10054" s="1" t="str">
        <f>HYPERLINK("http://genome-euro.ucsc.edu/cgi-bin/hgTracks?position=219888_at","UCSC")</f>
        <v>UCSC</v>
      </c>
      <c r="E10054" s="1" t="str">
        <f>HYPERLINK("http://www.ncbi.nlm.nih.gov/gene/?term=SPAG4","NCBI")</f>
        <v>NCBI</v>
      </c>
      <c r="F10054">
        <v>0.22</v>
      </c>
      <c r="G10054">
        <v>0.37</v>
      </c>
      <c r="H10054" s="1" t="str">
        <f>HYPERLINK("http://www.weizmann.ac.il/complex/compphys/software/geview/data/figures/219888_at.png","Figure")</f>
        <v>Figure</v>
      </c>
      <c r="I10054">
        <v>1</v>
      </c>
      <c r="J10054">
        <v>1</v>
      </c>
      <c r="K10054">
        <v>0.93100000000000005</v>
      </c>
      <c r="L10054">
        <v>0.28999999999999998</v>
      </c>
      <c r="M10054">
        <v>0.92900000000000005</v>
      </c>
      <c r="N10054">
        <v>0.32</v>
      </c>
    </row>
    <row r="10055" spans="1:14" x14ac:dyDescent="0.25">
      <c r="A10055" t="s">
        <v>17577</v>
      </c>
      <c r="B10055" t="s">
        <v>12467</v>
      </c>
      <c r="C10055" s="1" t="str">
        <f>HYPERLINK("http://www.genecards.org/cgi-bin/carddisp.pl?gene=SNW1","GeneCards")</f>
        <v>GeneCards</v>
      </c>
      <c r="D10055" s="1" t="str">
        <f>HYPERLINK("http://genome-euro.ucsc.edu/cgi-bin/hgTracks?position=201575_at","UCSC")</f>
        <v>UCSC</v>
      </c>
      <c r="E10055" s="1" t="str">
        <f>HYPERLINK("http://www.ncbi.nlm.nih.gov/gene/?term=SNW1","NCBI")</f>
        <v>NCBI</v>
      </c>
      <c r="F10055">
        <v>0.22</v>
      </c>
      <c r="G10055">
        <v>0.37</v>
      </c>
      <c r="H10055" s="1" t="str">
        <f>HYPERLINK("http://www.weizmann.ac.il/complex/compphys/software/geview/data/figures/201575_at.png","Figure")</f>
        <v>Figure</v>
      </c>
      <c r="I10055">
        <v>0.94599999999999995</v>
      </c>
      <c r="J10055">
        <v>0.89</v>
      </c>
      <c r="K10055">
        <v>0.83299999999999996</v>
      </c>
      <c r="L10055">
        <v>0.21</v>
      </c>
      <c r="M10055">
        <v>0.88</v>
      </c>
      <c r="N10055">
        <v>0.49</v>
      </c>
    </row>
    <row r="10056" spans="1:14" x14ac:dyDescent="0.25">
      <c r="A10056" t="s">
        <v>17578</v>
      </c>
      <c r="B10056" t="s">
        <v>17579</v>
      </c>
      <c r="C10056" s="1" t="str">
        <f>HYPERLINK("http://www.genecards.org/cgi-bin/carddisp.pl?gene=HLF","GeneCards")</f>
        <v>GeneCards</v>
      </c>
      <c r="D10056" s="1" t="str">
        <f>HYPERLINK("http://genome-euro.ucsc.edu/cgi-bin/hgTracks?position=204754_at","UCSC")</f>
        <v>UCSC</v>
      </c>
      <c r="E10056" s="1" t="str">
        <f>HYPERLINK("http://www.ncbi.nlm.nih.gov/gene/?term=HLF","NCBI")</f>
        <v>NCBI</v>
      </c>
      <c r="F10056">
        <v>0.22</v>
      </c>
      <c r="G10056">
        <v>0.37</v>
      </c>
      <c r="H10056" s="1" t="str">
        <f>HYPERLINK("http://www.weizmann.ac.il/complex/compphys/software/geview/data/figures/204754_at.png","Figure")</f>
        <v>Figure</v>
      </c>
      <c r="I10056">
        <v>1.0900000000000001</v>
      </c>
      <c r="J10056">
        <v>0.19</v>
      </c>
      <c r="K10056">
        <v>1.05</v>
      </c>
      <c r="L10056">
        <v>0.53</v>
      </c>
      <c r="M10056">
        <v>0.95899999999999996</v>
      </c>
      <c r="N10056">
        <v>0.62</v>
      </c>
    </row>
    <row r="10057" spans="1:14" x14ac:dyDescent="0.25">
      <c r="A10057" t="s">
        <v>17580</v>
      </c>
      <c r="B10057" t="s">
        <v>1576</v>
      </c>
      <c r="C10057" s="1" t="str">
        <f>HYPERLINK("http://www.genecards.org/cgi-bin/carddisp.pl?gene=KTN1","GeneCards")</f>
        <v>GeneCards</v>
      </c>
      <c r="D10057" s="1" t="str">
        <f>HYPERLINK("http://genome-euro.ucsc.edu/cgi-bin/hgTracks?position=200914_x_at","UCSC")</f>
        <v>UCSC</v>
      </c>
      <c r="E10057" s="1" t="str">
        <f>HYPERLINK("http://www.ncbi.nlm.nih.gov/gene/?term=KTN1","NCBI")</f>
        <v>NCBI</v>
      </c>
      <c r="F10057">
        <v>0.22</v>
      </c>
      <c r="G10057">
        <v>0.37</v>
      </c>
      <c r="H10057" s="1" t="str">
        <f>HYPERLINK("http://www.weizmann.ac.il/complex/compphys/software/geview/data/figures/200914_x_at.png","Figure")</f>
        <v>Figure</v>
      </c>
      <c r="I10057">
        <v>0.60599999999999998</v>
      </c>
      <c r="J10057">
        <v>0.22</v>
      </c>
      <c r="K10057">
        <v>0.90900000000000003</v>
      </c>
      <c r="L10057">
        <v>0.92</v>
      </c>
      <c r="M10057">
        <v>1.5</v>
      </c>
      <c r="N10057">
        <v>0.31</v>
      </c>
    </row>
    <row r="10058" spans="1:14" x14ac:dyDescent="0.25">
      <c r="A10058" t="s">
        <v>17581</v>
      </c>
      <c r="B10058" t="s">
        <v>4782</v>
      </c>
      <c r="C10058" s="1" t="str">
        <f>HYPERLINK("http://www.genecards.org/cgi-bin/carddisp.pl?gene=OGFOD2","GeneCards")</f>
        <v>GeneCards</v>
      </c>
      <c r="D10058" s="1" t="str">
        <f>HYPERLINK("http://genome-euro.ucsc.edu/cgi-bin/hgTracks?position=219245_s_at","UCSC")</f>
        <v>UCSC</v>
      </c>
      <c r="E10058" s="1" t="str">
        <f>HYPERLINK("http://www.ncbi.nlm.nih.gov/gene/?term=OGFOD2","NCBI")</f>
        <v>NCBI</v>
      </c>
      <c r="F10058">
        <v>0.22</v>
      </c>
      <c r="G10058">
        <v>0.37</v>
      </c>
      <c r="H10058" s="1" t="str">
        <f>HYPERLINK("http://www.weizmann.ac.il/complex/compphys/software/geview/data/figures/219245_s_at.png","Figure")</f>
        <v>Figure</v>
      </c>
      <c r="I10058">
        <v>1.1299999999999999</v>
      </c>
      <c r="J10058">
        <v>0.5</v>
      </c>
      <c r="K10058">
        <v>1.19</v>
      </c>
      <c r="L10058">
        <v>0.2</v>
      </c>
      <c r="M10058">
        <v>1.05</v>
      </c>
      <c r="N10058">
        <v>0.89</v>
      </c>
    </row>
    <row r="10059" spans="1:14" x14ac:dyDescent="0.25">
      <c r="A10059" t="s">
        <v>17582</v>
      </c>
      <c r="B10059" t="s">
        <v>17583</v>
      </c>
      <c r="C10059" s="1" t="str">
        <f>HYPERLINK("http://www.genecards.org/cgi-bin/carddisp.pl?gene=MAK10","GeneCards")</f>
        <v>GeneCards</v>
      </c>
      <c r="D10059" s="1" t="str">
        <f>HYPERLINK("http://genome-euro.ucsc.edu/cgi-bin/hgTracks?position=219362_at","UCSC")</f>
        <v>UCSC</v>
      </c>
      <c r="E10059" s="1" t="str">
        <f>HYPERLINK("http://www.ncbi.nlm.nih.gov/gene/?term=MAK10","NCBI")</f>
        <v>NCBI</v>
      </c>
      <c r="F10059">
        <v>0.22</v>
      </c>
      <c r="G10059">
        <v>0.37</v>
      </c>
      <c r="H10059" s="1" t="str">
        <f>HYPERLINK("http://www.weizmann.ac.il/complex/compphys/software/geview/data/figures/219362_at.png","Figure")</f>
        <v>Figure</v>
      </c>
      <c r="I10059">
        <v>1.02</v>
      </c>
      <c r="J10059">
        <v>0.98</v>
      </c>
      <c r="K10059">
        <v>0.91100000000000003</v>
      </c>
      <c r="L10059">
        <v>0.33</v>
      </c>
      <c r="M10059">
        <v>0.89700000000000002</v>
      </c>
      <c r="N10059">
        <v>0.28000000000000003</v>
      </c>
    </row>
    <row r="10060" spans="1:14" x14ac:dyDescent="0.25">
      <c r="A10060" t="s">
        <v>17584</v>
      </c>
      <c r="B10060" t="s">
        <v>11617</v>
      </c>
      <c r="C10060" s="1" t="str">
        <f>HYPERLINK("http://www.genecards.org/cgi-bin/carddisp.pl?gene=C2orf72","GeneCards")</f>
        <v>GeneCards</v>
      </c>
      <c r="D10060" s="1" t="str">
        <f>HYPERLINK("http://genome-euro.ucsc.edu/cgi-bin/hgTracks?position=213148_at","UCSC")</f>
        <v>UCSC</v>
      </c>
      <c r="E10060" s="1" t="str">
        <f>HYPERLINK("http://www.ncbi.nlm.nih.gov/gene/?term=C2orf72","NCBI")</f>
        <v>NCBI</v>
      </c>
      <c r="F10060">
        <v>0.22</v>
      </c>
      <c r="G10060">
        <v>0.37</v>
      </c>
      <c r="H10060" s="1" t="str">
        <f>HYPERLINK("http://www.weizmann.ac.il/complex/compphys/software/geview/data/figures/213148_at.png","Figure")</f>
        <v>Figure</v>
      </c>
      <c r="I10060">
        <v>1.07</v>
      </c>
      <c r="J10060">
        <v>0.22</v>
      </c>
      <c r="K10060">
        <v>1.05</v>
      </c>
      <c r="L10060">
        <v>0.36</v>
      </c>
      <c r="M10060">
        <v>0.98</v>
      </c>
      <c r="N10060">
        <v>0.84</v>
      </c>
    </row>
    <row r="10061" spans="1:14" x14ac:dyDescent="0.25">
      <c r="A10061" t="s">
        <v>17585</v>
      </c>
      <c r="B10061" t="s">
        <v>17586</v>
      </c>
      <c r="C10061" s="1" t="str">
        <f>HYPERLINK("http://www.genecards.org/cgi-bin/carddisp.pl?gene=HIST1H4J /// HIST1H4K","GeneCards")</f>
        <v>GeneCards</v>
      </c>
      <c r="D10061" s="1" t="str">
        <f>HYPERLINK("http://genome-euro.ucsc.edu/cgi-bin/hgTracks?position=208580_x_at","UCSC")</f>
        <v>UCSC</v>
      </c>
      <c r="E10061" s="1" t="str">
        <f>HYPERLINK("http://www.ncbi.nlm.nih.gov/gene/?term=HIST1H4J /// HIST1H4K","NCBI")</f>
        <v>NCBI</v>
      </c>
      <c r="F10061">
        <v>0.22</v>
      </c>
      <c r="G10061">
        <v>0.37</v>
      </c>
      <c r="H10061" s="1" t="str">
        <f>HYPERLINK("http://www.weizmann.ac.il/complex/compphys/software/geview/data/figures/208580_x_at.png","Figure")</f>
        <v>Figure</v>
      </c>
      <c r="I10061">
        <v>1.46</v>
      </c>
      <c r="J10061">
        <v>0.2</v>
      </c>
      <c r="K10061">
        <v>1.23</v>
      </c>
      <c r="L10061">
        <v>0.5</v>
      </c>
      <c r="M10061">
        <v>0.84299999999999997</v>
      </c>
      <c r="N10061">
        <v>0.66</v>
      </c>
    </row>
    <row r="10062" spans="1:14" x14ac:dyDescent="0.25">
      <c r="A10062" t="s">
        <v>17587</v>
      </c>
      <c r="B10062" t="s">
        <v>17588</v>
      </c>
      <c r="C10062" s="1" t="str">
        <f>HYPERLINK("http://www.genecards.org/cgi-bin/carddisp.pl?gene=SECTM1","GeneCards")</f>
        <v>GeneCards</v>
      </c>
      <c r="D10062" s="1" t="str">
        <f>HYPERLINK("http://genome-euro.ucsc.edu/cgi-bin/hgTracks?position=213716_s_at","UCSC")</f>
        <v>UCSC</v>
      </c>
      <c r="E10062" s="1" t="str">
        <f>HYPERLINK("http://www.ncbi.nlm.nih.gov/gene/?term=SECTM1","NCBI")</f>
        <v>NCBI</v>
      </c>
      <c r="F10062">
        <v>0.22</v>
      </c>
      <c r="G10062">
        <v>0.37</v>
      </c>
      <c r="H10062" s="1" t="str">
        <f>HYPERLINK("http://www.weizmann.ac.il/complex/compphys/software/geview/data/figures/213716_s_at.png","Figure")</f>
        <v>Figure</v>
      </c>
      <c r="I10062">
        <v>1.1100000000000001</v>
      </c>
      <c r="J10062">
        <v>0.21</v>
      </c>
      <c r="K10062">
        <v>1.03</v>
      </c>
      <c r="L10062">
        <v>0.85</v>
      </c>
      <c r="M10062">
        <v>0.92400000000000004</v>
      </c>
      <c r="N10062">
        <v>0.36</v>
      </c>
    </row>
    <row r="10063" spans="1:14" x14ac:dyDescent="0.25">
      <c r="A10063" t="s">
        <v>17589</v>
      </c>
      <c r="B10063" t="s">
        <v>12378</v>
      </c>
      <c r="C10063" s="1" t="str">
        <f>HYPERLINK("http://www.genecards.org/cgi-bin/carddisp.pl?gene=NEU3","GeneCards")</f>
        <v>GeneCards</v>
      </c>
      <c r="D10063" s="1" t="str">
        <f>HYPERLINK("http://genome-euro.ucsc.edu/cgi-bin/hgTracks?position=206948_at","UCSC")</f>
        <v>UCSC</v>
      </c>
      <c r="E10063" s="1" t="str">
        <f>HYPERLINK("http://www.ncbi.nlm.nih.gov/gene/?term=NEU3","NCBI")</f>
        <v>NCBI</v>
      </c>
      <c r="F10063">
        <v>0.22</v>
      </c>
      <c r="G10063">
        <v>0.37</v>
      </c>
      <c r="H10063" s="1" t="str">
        <f>HYPERLINK("http://www.weizmann.ac.il/complex/compphys/software/geview/data/figures/206948_at.png","Figure")</f>
        <v>Figure</v>
      </c>
      <c r="I10063">
        <v>1.17</v>
      </c>
      <c r="J10063">
        <v>0.21</v>
      </c>
      <c r="K10063">
        <v>1.1000000000000001</v>
      </c>
      <c r="L10063">
        <v>0.42</v>
      </c>
      <c r="M10063">
        <v>0.94299999999999995</v>
      </c>
      <c r="N10063">
        <v>0.76</v>
      </c>
    </row>
    <row r="10064" spans="1:14" x14ac:dyDescent="0.25">
      <c r="A10064" t="s">
        <v>17590</v>
      </c>
      <c r="B10064" t="s">
        <v>17591</v>
      </c>
      <c r="C10064" s="1" t="str">
        <f>HYPERLINK("http://www.genecards.org/cgi-bin/carddisp.pl?gene=SLC22A7","GeneCards")</f>
        <v>GeneCards</v>
      </c>
      <c r="D10064" s="1" t="str">
        <f>HYPERLINK("http://genome-euro.ucsc.edu/cgi-bin/hgTracks?position=220554_at","UCSC")</f>
        <v>UCSC</v>
      </c>
      <c r="E10064" s="1" t="str">
        <f>HYPERLINK("http://www.ncbi.nlm.nih.gov/gene/?term=SLC22A7","NCBI")</f>
        <v>NCBI</v>
      </c>
      <c r="F10064">
        <v>0.22</v>
      </c>
      <c r="G10064">
        <v>0.37</v>
      </c>
      <c r="H10064" s="1" t="str">
        <f>HYPERLINK("http://www.weizmann.ac.il/complex/compphys/software/geview/data/figures/220554_at.png","Figure")</f>
        <v>Figure</v>
      </c>
      <c r="I10064">
        <v>1.1399999999999999</v>
      </c>
      <c r="J10064">
        <v>0.19</v>
      </c>
      <c r="K10064">
        <v>1.05</v>
      </c>
      <c r="L10064">
        <v>0.7</v>
      </c>
      <c r="M10064">
        <v>0.92100000000000004</v>
      </c>
      <c r="N10064">
        <v>0.47</v>
      </c>
    </row>
    <row r="10065" spans="1:14" x14ac:dyDescent="0.25">
      <c r="A10065" t="s">
        <v>17592</v>
      </c>
      <c r="B10065" t="s">
        <v>2535</v>
      </c>
      <c r="C10065" s="1" t="str">
        <f>HYPERLINK("http://www.genecards.org/cgi-bin/carddisp.pl?gene=CD44","GeneCards")</f>
        <v>GeneCards</v>
      </c>
      <c r="D10065" s="1" t="str">
        <f>HYPERLINK("http://genome-euro.ucsc.edu/cgi-bin/hgTracks?position=204490_s_at","UCSC")</f>
        <v>UCSC</v>
      </c>
      <c r="E10065" s="1" t="str">
        <f>HYPERLINK("http://www.ncbi.nlm.nih.gov/gene/?term=CD44","NCBI")</f>
        <v>NCBI</v>
      </c>
      <c r="F10065">
        <v>0.22</v>
      </c>
      <c r="G10065">
        <v>0.37</v>
      </c>
      <c r="H10065" s="1" t="str">
        <f>HYPERLINK("http://www.weizmann.ac.il/complex/compphys/software/geview/data/figures/204490_s_at.png","Figure")</f>
        <v>Figure</v>
      </c>
      <c r="I10065">
        <v>1.06</v>
      </c>
      <c r="J10065">
        <v>0.97</v>
      </c>
      <c r="K10065">
        <v>1.42</v>
      </c>
      <c r="L10065">
        <v>0.24</v>
      </c>
      <c r="M10065">
        <v>1.34</v>
      </c>
      <c r="N10065">
        <v>0.41</v>
      </c>
    </row>
    <row r="10066" spans="1:14" x14ac:dyDescent="0.25">
      <c r="A10066" t="s">
        <v>17593</v>
      </c>
      <c r="B10066" t="s">
        <v>17594</v>
      </c>
      <c r="C10066" s="1" t="str">
        <f>HYPERLINK("http://www.genecards.org/cgi-bin/carddisp.pl?gene=ENPP2","GeneCards")</f>
        <v>GeneCards</v>
      </c>
      <c r="D10066" s="1" t="str">
        <f>HYPERLINK("http://genome-euro.ucsc.edu/cgi-bin/hgTracks?position=209392_at","UCSC")</f>
        <v>UCSC</v>
      </c>
      <c r="E10066" s="1" t="str">
        <f>HYPERLINK("http://www.ncbi.nlm.nih.gov/gene/?term=ENPP2","NCBI")</f>
        <v>NCBI</v>
      </c>
      <c r="F10066">
        <v>0.22</v>
      </c>
      <c r="G10066">
        <v>0.37</v>
      </c>
      <c r="H10066" s="1" t="str">
        <f>HYPERLINK("http://www.weizmann.ac.il/complex/compphys/software/geview/data/figures/209392_at.png","Figure")</f>
        <v>Figure</v>
      </c>
      <c r="I10066">
        <v>1</v>
      </c>
      <c r="J10066">
        <v>1</v>
      </c>
      <c r="K10066">
        <v>0.66300000000000003</v>
      </c>
      <c r="L10066">
        <v>0.28000000000000003</v>
      </c>
      <c r="M10066">
        <v>0.66300000000000003</v>
      </c>
      <c r="N10066">
        <v>0.33</v>
      </c>
    </row>
    <row r="10067" spans="1:14" x14ac:dyDescent="0.25">
      <c r="A10067" t="s">
        <v>17595</v>
      </c>
      <c r="B10067" t="s">
        <v>319</v>
      </c>
      <c r="C10067" s="1" t="str">
        <f>HYPERLINK("http://www.genecards.org/cgi-bin/carddisp.pl?gene=NOL7","GeneCards")</f>
        <v>GeneCards</v>
      </c>
      <c r="D10067" s="1" t="str">
        <f>HYPERLINK("http://genome-euro.ucsc.edu/cgi-bin/hgTracks?position=210097_s_at","UCSC")</f>
        <v>UCSC</v>
      </c>
      <c r="E10067" s="1" t="str">
        <f>HYPERLINK("http://www.ncbi.nlm.nih.gov/gene/?term=NOL7","NCBI")</f>
        <v>NCBI</v>
      </c>
      <c r="F10067">
        <v>0.22</v>
      </c>
      <c r="G10067">
        <v>0.37</v>
      </c>
      <c r="H10067" s="1" t="str">
        <f>HYPERLINK("http://www.weizmann.ac.il/complex/compphys/software/geview/data/figures/210097_s_at.png","Figure")</f>
        <v>Figure</v>
      </c>
      <c r="I10067">
        <v>0.79900000000000004</v>
      </c>
      <c r="J10067">
        <v>0.28000000000000003</v>
      </c>
      <c r="K10067">
        <v>1</v>
      </c>
      <c r="L10067">
        <v>1</v>
      </c>
      <c r="M10067">
        <v>1.25</v>
      </c>
      <c r="N10067">
        <v>0.24</v>
      </c>
    </row>
    <row r="10068" spans="1:14" x14ac:dyDescent="0.25">
      <c r="A10068" t="s">
        <v>17596</v>
      </c>
      <c r="B10068" t="s">
        <v>17597</v>
      </c>
      <c r="C10068" s="1" t="str">
        <f>HYPERLINK("http://www.genecards.org/cgi-bin/carddisp.pl?gene=QPCTL","GeneCards")</f>
        <v>GeneCards</v>
      </c>
      <c r="D10068" s="1" t="str">
        <f>HYPERLINK("http://genome-euro.ucsc.edu/cgi-bin/hgTracks?position=220438_at","UCSC")</f>
        <v>UCSC</v>
      </c>
      <c r="E10068" s="1" t="str">
        <f>HYPERLINK("http://www.ncbi.nlm.nih.gov/gene/?term=QPCTL","NCBI")</f>
        <v>NCBI</v>
      </c>
      <c r="F10068">
        <v>0.22</v>
      </c>
      <c r="G10068">
        <v>0.37</v>
      </c>
      <c r="H10068" s="1" t="str">
        <f>HYPERLINK("http://www.weizmann.ac.il/complex/compphys/software/geview/data/figures/220438_at.png","Figure")</f>
        <v>Figure</v>
      </c>
      <c r="I10068">
        <v>1.07</v>
      </c>
      <c r="J10068">
        <v>0.44</v>
      </c>
      <c r="K10068">
        <v>0.97699999999999998</v>
      </c>
      <c r="L10068">
        <v>0.86</v>
      </c>
      <c r="M10068">
        <v>0.91700000000000004</v>
      </c>
      <c r="N10068">
        <v>0.2</v>
      </c>
    </row>
    <row r="10069" spans="1:14" x14ac:dyDescent="0.25">
      <c r="A10069" t="s">
        <v>17598</v>
      </c>
      <c r="B10069" t="s">
        <v>14057</v>
      </c>
      <c r="C10069" s="1" t="str">
        <f>HYPERLINK("http://www.genecards.org/cgi-bin/carddisp.pl?gene=PKLR","GeneCards")</f>
        <v>GeneCards</v>
      </c>
      <c r="D10069" s="1" t="str">
        <f>HYPERLINK("http://genome-euro.ucsc.edu/cgi-bin/hgTracks?position=222078_at","UCSC")</f>
        <v>UCSC</v>
      </c>
      <c r="E10069" s="1" t="str">
        <f>HYPERLINK("http://www.ncbi.nlm.nih.gov/gene/?term=PKLR","NCBI")</f>
        <v>NCBI</v>
      </c>
      <c r="F10069">
        <v>0.22</v>
      </c>
      <c r="G10069">
        <v>0.37</v>
      </c>
      <c r="H10069" s="1" t="str">
        <f>HYPERLINK("http://www.weizmann.ac.il/complex/compphys/software/geview/data/figures/222078_at.png","Figure")</f>
        <v>Figure</v>
      </c>
      <c r="I10069">
        <v>1.1599999999999999</v>
      </c>
      <c r="J10069">
        <v>0.2</v>
      </c>
      <c r="K10069">
        <v>1.05</v>
      </c>
      <c r="L10069">
        <v>0.77</v>
      </c>
      <c r="M10069">
        <v>0.90400000000000003</v>
      </c>
      <c r="N10069">
        <v>0.42</v>
      </c>
    </row>
    <row r="10070" spans="1:14" x14ac:dyDescent="0.25">
      <c r="A10070" t="s">
        <v>17599</v>
      </c>
      <c r="B10070" t="s">
        <v>17600</v>
      </c>
      <c r="C10070" s="1" t="str">
        <f>HYPERLINK("http://www.genecards.org/cgi-bin/carddisp.pl?gene=SH3BP4","GeneCards")</f>
        <v>GeneCards</v>
      </c>
      <c r="D10070" s="1" t="str">
        <f>HYPERLINK("http://genome-euro.ucsc.edu/cgi-bin/hgTracks?position=222258_s_at","UCSC")</f>
        <v>UCSC</v>
      </c>
      <c r="E10070" s="1" t="str">
        <f>HYPERLINK("http://www.ncbi.nlm.nih.gov/gene/?term=SH3BP4","NCBI")</f>
        <v>NCBI</v>
      </c>
      <c r="F10070">
        <v>0.22</v>
      </c>
      <c r="G10070">
        <v>0.37</v>
      </c>
      <c r="H10070" s="1" t="str">
        <f>HYPERLINK("http://www.weizmann.ac.il/complex/compphys/software/geview/data/figures/222258_s_at.png","Figure")</f>
        <v>Figure</v>
      </c>
      <c r="I10070">
        <v>1.27</v>
      </c>
      <c r="J10070">
        <v>0.33</v>
      </c>
      <c r="K10070">
        <v>1.27</v>
      </c>
      <c r="L10070">
        <v>0.24</v>
      </c>
      <c r="M10070">
        <v>1</v>
      </c>
      <c r="N10070">
        <v>1</v>
      </c>
    </row>
    <row r="10071" spans="1:14" x14ac:dyDescent="0.25">
      <c r="A10071" t="s">
        <v>17601</v>
      </c>
      <c r="B10071" t="s">
        <v>1781</v>
      </c>
      <c r="C10071" s="1" t="str">
        <f>HYPERLINK("http://www.genecards.org/cgi-bin/carddisp.pl?gene=PDE8A","GeneCards")</f>
        <v>GeneCards</v>
      </c>
      <c r="D10071" s="1" t="str">
        <f>HYPERLINK("http://genome-euro.ucsc.edu/cgi-bin/hgTracks?position=212522_at","UCSC")</f>
        <v>UCSC</v>
      </c>
      <c r="E10071" s="1" t="str">
        <f>HYPERLINK("http://www.ncbi.nlm.nih.gov/gene/?term=PDE8A","NCBI")</f>
        <v>NCBI</v>
      </c>
      <c r="F10071">
        <v>0.22</v>
      </c>
      <c r="G10071">
        <v>0.37</v>
      </c>
      <c r="H10071" s="1" t="str">
        <f>HYPERLINK("http://www.weizmann.ac.il/complex/compphys/software/geview/data/figures/212522_at.png","Figure")</f>
        <v>Figure</v>
      </c>
      <c r="I10071">
        <v>1.41</v>
      </c>
      <c r="J10071">
        <v>0.27</v>
      </c>
      <c r="K10071">
        <v>1.01</v>
      </c>
      <c r="L10071">
        <v>1</v>
      </c>
      <c r="M10071">
        <v>0.72099999999999997</v>
      </c>
      <c r="N10071">
        <v>0.25</v>
      </c>
    </row>
    <row r="10072" spans="1:14" x14ac:dyDescent="0.25">
      <c r="A10072" t="s">
        <v>17602</v>
      </c>
      <c r="B10072" t="s">
        <v>15159</v>
      </c>
      <c r="C10072" s="1" t="str">
        <f>HYPERLINK("http://www.genecards.org/cgi-bin/carddisp.pl?gene=CDC2","GeneCards")</f>
        <v>GeneCards</v>
      </c>
      <c r="D10072" s="1" t="str">
        <f>HYPERLINK("http://genome-euro.ucsc.edu/cgi-bin/hgTracks?position=210559_s_at","UCSC")</f>
        <v>UCSC</v>
      </c>
      <c r="E10072" s="1" t="str">
        <f>HYPERLINK("http://www.ncbi.nlm.nih.gov/gene/?term=CDC2","NCBI")</f>
        <v>NCBI</v>
      </c>
      <c r="F10072">
        <v>0.22</v>
      </c>
      <c r="G10072">
        <v>0.37</v>
      </c>
      <c r="H10072" s="1" t="str">
        <f>HYPERLINK("http://www.weizmann.ac.il/complex/compphys/software/geview/data/figures/210559_s_at.png","Figure")</f>
        <v>Figure</v>
      </c>
      <c r="I10072">
        <v>1.24</v>
      </c>
      <c r="J10072">
        <v>0.48</v>
      </c>
      <c r="K10072">
        <v>1.34</v>
      </c>
      <c r="L10072">
        <v>0.2</v>
      </c>
      <c r="M10072">
        <v>1.08</v>
      </c>
      <c r="N10072">
        <v>0.9</v>
      </c>
    </row>
    <row r="10073" spans="1:14" x14ac:dyDescent="0.25">
      <c r="A10073" t="s">
        <v>17603</v>
      </c>
      <c r="B10073" t="s">
        <v>17604</v>
      </c>
      <c r="C10073" s="1" t="str">
        <f>HYPERLINK("http://www.genecards.org/cgi-bin/carddisp.pl?gene=TFCP2L1","GeneCards")</f>
        <v>GeneCards</v>
      </c>
      <c r="D10073" s="1" t="str">
        <f>HYPERLINK("http://genome-euro.ucsc.edu/cgi-bin/hgTracks?position=219735_s_at","UCSC")</f>
        <v>UCSC</v>
      </c>
      <c r="E10073" s="1" t="str">
        <f>HYPERLINK("http://www.ncbi.nlm.nih.gov/gene/?term=TFCP2L1","NCBI")</f>
        <v>NCBI</v>
      </c>
      <c r="F10073">
        <v>0.22</v>
      </c>
      <c r="G10073">
        <v>0.37</v>
      </c>
      <c r="H10073" s="1" t="str">
        <f>HYPERLINK("http://www.weizmann.ac.il/complex/compphys/software/geview/data/figures/219735_s_at.png","Figure")</f>
        <v>Figure</v>
      </c>
      <c r="I10073">
        <v>1.25</v>
      </c>
      <c r="J10073">
        <v>0.22</v>
      </c>
      <c r="K10073">
        <v>1.05</v>
      </c>
      <c r="L10073">
        <v>0.91</v>
      </c>
      <c r="M10073">
        <v>0.83699999999999997</v>
      </c>
      <c r="N10073">
        <v>0.32</v>
      </c>
    </row>
    <row r="10074" spans="1:14" x14ac:dyDescent="0.25">
      <c r="A10074" t="s">
        <v>17605</v>
      </c>
      <c r="B10074" t="s">
        <v>17606</v>
      </c>
      <c r="C10074" s="1" t="str">
        <f>HYPERLINK("http://www.genecards.org/cgi-bin/carddisp.pl?gene=TOPORS","GeneCards")</f>
        <v>GeneCards</v>
      </c>
      <c r="D10074" s="1" t="str">
        <f>HYPERLINK("http://genome-euro.ucsc.edu/cgi-bin/hgTracks?position=204071_s_at","UCSC")</f>
        <v>UCSC</v>
      </c>
      <c r="E10074" s="1" t="str">
        <f>HYPERLINK("http://www.ncbi.nlm.nih.gov/gene/?term=TOPORS","NCBI")</f>
        <v>NCBI</v>
      </c>
      <c r="F10074">
        <v>0.22</v>
      </c>
      <c r="G10074">
        <v>0.37</v>
      </c>
      <c r="H10074" s="1" t="str">
        <f>HYPERLINK("http://www.weizmann.ac.il/complex/compphys/software/geview/data/figures/204071_s_at.png","Figure")</f>
        <v>Figure</v>
      </c>
      <c r="I10074">
        <v>0.871</v>
      </c>
      <c r="J10074">
        <v>0.43</v>
      </c>
      <c r="K10074">
        <v>0.84299999999999997</v>
      </c>
      <c r="L10074">
        <v>0.21</v>
      </c>
      <c r="M10074">
        <v>0.96799999999999997</v>
      </c>
      <c r="N10074">
        <v>0.94</v>
      </c>
    </row>
    <row r="10075" spans="1:14" x14ac:dyDescent="0.25">
      <c r="A10075" t="s">
        <v>17607</v>
      </c>
      <c r="B10075" t="s">
        <v>17608</v>
      </c>
      <c r="C10075" s="1" t="str">
        <f>HYPERLINK("http://www.genecards.org/cgi-bin/carddisp.pl?gene=C16orf42","GeneCards")</f>
        <v>GeneCards</v>
      </c>
      <c r="D10075" s="1" t="str">
        <f>HYPERLINK("http://genome-euro.ucsc.edu/cgi-bin/hgTracks?position=214067_at","UCSC")</f>
        <v>UCSC</v>
      </c>
      <c r="E10075" s="1" t="str">
        <f>HYPERLINK("http://www.ncbi.nlm.nih.gov/gene/?term=C16orf42","NCBI")</f>
        <v>NCBI</v>
      </c>
      <c r="F10075">
        <v>0.22</v>
      </c>
      <c r="G10075">
        <v>0.37</v>
      </c>
      <c r="H10075" s="1" t="str">
        <f>HYPERLINK("http://www.weizmann.ac.il/complex/compphys/software/geview/data/figures/214067_at.png","Figure")</f>
        <v>Figure</v>
      </c>
      <c r="I10075">
        <v>1.1399999999999999</v>
      </c>
      <c r="J10075">
        <v>0.23</v>
      </c>
      <c r="K10075">
        <v>1.02</v>
      </c>
      <c r="L10075">
        <v>0.94</v>
      </c>
      <c r="M10075">
        <v>0.89400000000000002</v>
      </c>
      <c r="N10075">
        <v>0.3</v>
      </c>
    </row>
    <row r="10076" spans="1:14" x14ac:dyDescent="0.25">
      <c r="A10076" t="s">
        <v>17609</v>
      </c>
      <c r="B10076" t="s">
        <v>17610</v>
      </c>
      <c r="C10076" s="1" t="str">
        <f>HYPERLINK("http://www.genecards.org/cgi-bin/carddisp.pl?gene=RNMTL1","GeneCards")</f>
        <v>GeneCards</v>
      </c>
      <c r="D10076" s="1" t="str">
        <f>HYPERLINK("http://genome-euro.ucsc.edu/cgi-bin/hgTracks?position=218993_at","UCSC")</f>
        <v>UCSC</v>
      </c>
      <c r="E10076" s="1" t="str">
        <f>HYPERLINK("http://www.ncbi.nlm.nih.gov/gene/?term=RNMTL1","NCBI")</f>
        <v>NCBI</v>
      </c>
      <c r="F10076">
        <v>0.22</v>
      </c>
      <c r="G10076">
        <v>0.37</v>
      </c>
      <c r="H10076" s="1" t="str">
        <f>HYPERLINK("http://www.weizmann.ac.il/complex/compphys/software/geview/data/figures/218993_at.png","Figure")</f>
        <v>Figure</v>
      </c>
      <c r="I10076">
        <v>0.745</v>
      </c>
      <c r="J10076">
        <v>0.45</v>
      </c>
      <c r="K10076">
        <v>0.69</v>
      </c>
      <c r="L10076">
        <v>0.2</v>
      </c>
      <c r="M10076">
        <v>0.92600000000000005</v>
      </c>
      <c r="N10076">
        <v>0.93</v>
      </c>
    </row>
    <row r="10077" spans="1:14" x14ac:dyDescent="0.25">
      <c r="A10077" t="s">
        <v>17611</v>
      </c>
      <c r="B10077" t="s">
        <v>17612</v>
      </c>
      <c r="C10077" s="1" t="str">
        <f>HYPERLINK("http://www.genecards.org/cgi-bin/carddisp.pl?gene=CEP110","GeneCards")</f>
        <v>GeneCards</v>
      </c>
      <c r="D10077" s="1" t="str">
        <f>HYPERLINK("http://genome-euro.ucsc.edu/cgi-bin/hgTracks?position=205642_at","UCSC")</f>
        <v>UCSC</v>
      </c>
      <c r="E10077" s="1" t="str">
        <f>HYPERLINK("http://www.ncbi.nlm.nih.gov/gene/?term=CEP110","NCBI")</f>
        <v>NCBI</v>
      </c>
      <c r="F10077">
        <v>0.22</v>
      </c>
      <c r="G10077">
        <v>0.37</v>
      </c>
      <c r="H10077" s="1" t="str">
        <f>HYPERLINK("http://www.weizmann.ac.il/complex/compphys/software/geview/data/figures/205642_at.png","Figure")</f>
        <v>Figure</v>
      </c>
      <c r="I10077">
        <v>1.39</v>
      </c>
      <c r="J10077">
        <v>0.37</v>
      </c>
      <c r="K10077">
        <v>1.43</v>
      </c>
      <c r="L10077">
        <v>0.22</v>
      </c>
      <c r="M10077">
        <v>1.03</v>
      </c>
      <c r="N10077">
        <v>0.99</v>
      </c>
    </row>
    <row r="10078" spans="1:14" x14ac:dyDescent="0.25">
      <c r="A10078" t="s">
        <v>17613</v>
      </c>
      <c r="B10078" t="s">
        <v>7807</v>
      </c>
      <c r="C10078" s="1" t="str">
        <f>HYPERLINK("http://www.genecards.org/cgi-bin/carddisp.pl?gene=UBE3A","GeneCards")</f>
        <v>GeneCards</v>
      </c>
      <c r="D10078" s="1" t="str">
        <f>HYPERLINK("http://genome-euro.ucsc.edu/cgi-bin/hgTracks?position=211285_s_at","UCSC")</f>
        <v>UCSC</v>
      </c>
      <c r="E10078" s="1" t="str">
        <f>HYPERLINK("http://www.ncbi.nlm.nih.gov/gene/?term=UBE3A","NCBI")</f>
        <v>NCBI</v>
      </c>
      <c r="F10078">
        <v>0.22</v>
      </c>
      <c r="G10078">
        <v>0.37</v>
      </c>
      <c r="H10078" s="1" t="str">
        <f>HYPERLINK("http://www.weizmann.ac.il/complex/compphys/software/geview/data/figures/211285_s_at.png","Figure")</f>
        <v>Figure</v>
      </c>
      <c r="I10078">
        <v>0.89400000000000002</v>
      </c>
      <c r="J10078">
        <v>0.84</v>
      </c>
      <c r="K10078">
        <v>0.72899999999999998</v>
      </c>
      <c r="L10078">
        <v>0.21</v>
      </c>
      <c r="M10078">
        <v>0.81599999999999995</v>
      </c>
      <c r="N10078">
        <v>0.54</v>
      </c>
    </row>
    <row r="10079" spans="1:14" x14ac:dyDescent="0.25">
      <c r="A10079" t="s">
        <v>17614</v>
      </c>
      <c r="B10079" t="s">
        <v>17615</v>
      </c>
      <c r="C10079" s="1" t="str">
        <f>HYPERLINK("http://www.genecards.org/cgi-bin/carddisp.pl?gene=VAMP5","GeneCards")</f>
        <v>GeneCards</v>
      </c>
      <c r="D10079" s="1" t="str">
        <f>HYPERLINK("http://genome-euro.ucsc.edu/cgi-bin/hgTracks?position=214115_at","UCSC")</f>
        <v>UCSC</v>
      </c>
      <c r="E10079" s="1" t="str">
        <f>HYPERLINK("http://www.ncbi.nlm.nih.gov/gene/?term=VAMP5","NCBI")</f>
        <v>NCBI</v>
      </c>
      <c r="F10079">
        <v>0.22</v>
      </c>
      <c r="G10079">
        <v>0.37</v>
      </c>
      <c r="H10079" s="1" t="str">
        <f>HYPERLINK("http://www.weizmann.ac.il/complex/compphys/software/geview/data/figures/214115_at.png","Figure")</f>
        <v>Figure</v>
      </c>
      <c r="I10079">
        <v>0.98499999999999999</v>
      </c>
      <c r="J10079">
        <v>0.94</v>
      </c>
      <c r="K10079">
        <v>0.93300000000000005</v>
      </c>
      <c r="L10079">
        <v>0.23</v>
      </c>
      <c r="M10079">
        <v>0.94699999999999995</v>
      </c>
      <c r="N10079">
        <v>0.44</v>
      </c>
    </row>
    <row r="10080" spans="1:14" x14ac:dyDescent="0.25">
      <c r="A10080" t="s">
        <v>17616</v>
      </c>
      <c r="B10080" t="s">
        <v>17617</v>
      </c>
      <c r="C10080" s="1" t="str">
        <f>HYPERLINK("http://www.genecards.org/cgi-bin/carddisp.pl?gene=NCRNA00171","GeneCards")</f>
        <v>GeneCards</v>
      </c>
      <c r="D10080" s="1" t="str">
        <f>HYPERLINK("http://genome-euro.ucsc.edu/cgi-bin/hgTracks?position=215985_at","UCSC")</f>
        <v>UCSC</v>
      </c>
      <c r="E10080" s="1" t="str">
        <f>HYPERLINK("http://www.ncbi.nlm.nih.gov/gene/?term=NCRNA00171","NCBI")</f>
        <v>NCBI</v>
      </c>
      <c r="F10080">
        <v>0.22</v>
      </c>
      <c r="G10080">
        <v>0.37</v>
      </c>
      <c r="H10080" s="1" t="str">
        <f>HYPERLINK("http://www.weizmann.ac.il/complex/compphys/software/geview/data/figures/215985_at.png","Figure")</f>
        <v>Figure</v>
      </c>
      <c r="I10080">
        <v>0.9</v>
      </c>
      <c r="J10080">
        <v>0.6</v>
      </c>
      <c r="K10080">
        <v>1.08</v>
      </c>
      <c r="L10080">
        <v>0.68</v>
      </c>
      <c r="M10080">
        <v>1.2</v>
      </c>
      <c r="N10080">
        <v>0.19</v>
      </c>
    </row>
    <row r="10081" spans="1:14" x14ac:dyDescent="0.25">
      <c r="A10081" t="s">
        <v>17618</v>
      </c>
      <c r="B10081" t="s">
        <v>13309</v>
      </c>
      <c r="C10081" s="1" t="str">
        <f>HYPERLINK("http://www.genecards.org/cgi-bin/carddisp.pl?gene=INO80B","GeneCards")</f>
        <v>GeneCards</v>
      </c>
      <c r="D10081" s="1" t="str">
        <f>HYPERLINK("http://genome-euro.ucsc.edu/cgi-bin/hgTracks?position=221251_x_at","UCSC")</f>
        <v>UCSC</v>
      </c>
      <c r="E10081" s="1" t="str">
        <f>HYPERLINK("http://www.ncbi.nlm.nih.gov/gene/?term=INO80B","NCBI")</f>
        <v>NCBI</v>
      </c>
      <c r="F10081">
        <v>0.22</v>
      </c>
      <c r="G10081">
        <v>0.37</v>
      </c>
      <c r="H10081" s="1" t="str">
        <f>HYPERLINK("http://www.weizmann.ac.il/complex/compphys/software/geview/data/figures/221251_x_at.png","Figure")</f>
        <v>Figure</v>
      </c>
      <c r="I10081">
        <v>1.1499999999999999</v>
      </c>
      <c r="J10081">
        <v>0.26</v>
      </c>
      <c r="K10081">
        <v>1.1200000000000001</v>
      </c>
      <c r="L10081">
        <v>0.3</v>
      </c>
      <c r="M10081">
        <v>0.97599999999999998</v>
      </c>
      <c r="N10081">
        <v>0.95</v>
      </c>
    </row>
    <row r="10082" spans="1:14" x14ac:dyDescent="0.25">
      <c r="A10082" t="s">
        <v>17619</v>
      </c>
      <c r="B10082" t="s">
        <v>17620</v>
      </c>
      <c r="C10082" s="1" t="str">
        <f>HYPERLINK("http://www.genecards.org/cgi-bin/carddisp.pl?gene=CTSK","GeneCards")</f>
        <v>GeneCards</v>
      </c>
      <c r="D10082" s="1" t="str">
        <f>HYPERLINK("http://genome-euro.ucsc.edu/cgi-bin/hgTracks?position=202450_s_at","UCSC")</f>
        <v>UCSC</v>
      </c>
      <c r="E10082" s="1" t="str">
        <f>HYPERLINK("http://www.ncbi.nlm.nih.gov/gene/?term=CTSK","NCBI")</f>
        <v>NCBI</v>
      </c>
      <c r="F10082">
        <v>0.22</v>
      </c>
      <c r="G10082">
        <v>0.37</v>
      </c>
      <c r="H10082" s="1" t="str">
        <f>HYPERLINK("http://www.weizmann.ac.il/complex/compphys/software/geview/data/figures/202450_s_at.png","Figure")</f>
        <v>Figure</v>
      </c>
      <c r="I10082">
        <v>1.18</v>
      </c>
      <c r="J10082">
        <v>0.53</v>
      </c>
      <c r="K10082">
        <v>0.91300000000000003</v>
      </c>
      <c r="L10082">
        <v>0.76</v>
      </c>
      <c r="M10082">
        <v>0.77600000000000002</v>
      </c>
      <c r="N10082">
        <v>0.19</v>
      </c>
    </row>
    <row r="10083" spans="1:14" x14ac:dyDescent="0.25">
      <c r="A10083" t="s">
        <v>17621</v>
      </c>
      <c r="B10083" t="s">
        <v>5970</v>
      </c>
      <c r="C10083" s="1" t="str">
        <f>HYPERLINK("http://www.genecards.org/cgi-bin/carddisp.pl?gene=HNRNPH1","GeneCards")</f>
        <v>GeneCards</v>
      </c>
      <c r="D10083" s="1" t="str">
        <f>HYPERLINK("http://genome-euro.ucsc.edu/cgi-bin/hgTracks?position=213619_at","UCSC")</f>
        <v>UCSC</v>
      </c>
      <c r="E10083" s="1" t="str">
        <f>HYPERLINK("http://www.ncbi.nlm.nih.gov/gene/?term=HNRNPH1","NCBI")</f>
        <v>NCBI</v>
      </c>
      <c r="F10083">
        <v>0.22</v>
      </c>
      <c r="G10083">
        <v>0.37</v>
      </c>
      <c r="H10083" s="1" t="str">
        <f>HYPERLINK("http://www.weizmann.ac.il/complex/compphys/software/geview/data/figures/213619_at.png","Figure")</f>
        <v>Figure</v>
      </c>
      <c r="I10083">
        <v>1.4</v>
      </c>
      <c r="J10083">
        <v>0.31</v>
      </c>
      <c r="K10083">
        <v>1.38</v>
      </c>
      <c r="L10083">
        <v>0.25</v>
      </c>
      <c r="M10083">
        <v>0.98299999999999998</v>
      </c>
      <c r="N10083">
        <v>1</v>
      </c>
    </row>
    <row r="10084" spans="1:14" x14ac:dyDescent="0.25">
      <c r="A10084" t="s">
        <v>17622</v>
      </c>
      <c r="B10084" t="s">
        <v>17623</v>
      </c>
      <c r="C10084" s="1" t="str">
        <f>HYPERLINK("http://www.genecards.org/cgi-bin/carddisp.pl?gene=MPL","GeneCards")</f>
        <v>GeneCards</v>
      </c>
      <c r="D10084" s="1" t="str">
        <f>HYPERLINK("http://genome-euro.ucsc.edu/cgi-bin/hgTracks?position=216825_s_at","UCSC")</f>
        <v>UCSC</v>
      </c>
      <c r="E10084" s="1" t="str">
        <f>HYPERLINK("http://www.ncbi.nlm.nih.gov/gene/?term=MPL","NCBI")</f>
        <v>NCBI</v>
      </c>
      <c r="F10084">
        <v>0.22</v>
      </c>
      <c r="G10084">
        <v>0.37</v>
      </c>
      <c r="H10084" s="1" t="str">
        <f>HYPERLINK("http://www.weizmann.ac.il/complex/compphys/software/geview/data/figures/216825_s_at.png","Figure")</f>
        <v>Figure</v>
      </c>
      <c r="I10084">
        <v>0.89400000000000002</v>
      </c>
      <c r="J10084">
        <v>0.2</v>
      </c>
      <c r="K10084">
        <v>0.96299999999999997</v>
      </c>
      <c r="L10084">
        <v>0.76</v>
      </c>
      <c r="M10084">
        <v>1.08</v>
      </c>
      <c r="N10084">
        <v>0.42</v>
      </c>
    </row>
    <row r="10085" spans="1:14" x14ac:dyDescent="0.25">
      <c r="A10085" t="s">
        <v>17624</v>
      </c>
      <c r="B10085" t="s">
        <v>17625</v>
      </c>
      <c r="C10085" s="1" t="str">
        <f>HYPERLINK("http://www.genecards.org/cgi-bin/carddisp.pl?gene=RNF219","GeneCards")</f>
        <v>GeneCards</v>
      </c>
      <c r="D10085" s="1" t="str">
        <f>HYPERLINK("http://genome-euro.ucsc.edu/cgi-bin/hgTracks?position=219303_at","UCSC")</f>
        <v>UCSC</v>
      </c>
      <c r="E10085" s="1" t="str">
        <f>HYPERLINK("http://www.ncbi.nlm.nih.gov/gene/?term=RNF219","NCBI")</f>
        <v>NCBI</v>
      </c>
      <c r="F10085">
        <v>0.22</v>
      </c>
      <c r="G10085">
        <v>0.37</v>
      </c>
      <c r="H10085" s="1" t="str">
        <f>HYPERLINK("http://www.weizmann.ac.il/complex/compphys/software/geview/data/figures/219303_at.png","Figure")</f>
        <v>Figure</v>
      </c>
      <c r="I10085">
        <v>0.78500000000000003</v>
      </c>
      <c r="J10085">
        <v>0.32</v>
      </c>
      <c r="K10085">
        <v>0.78800000000000003</v>
      </c>
      <c r="L10085">
        <v>0.25</v>
      </c>
      <c r="M10085">
        <v>1</v>
      </c>
      <c r="N10085">
        <v>1</v>
      </c>
    </row>
    <row r="10086" spans="1:14" x14ac:dyDescent="0.25">
      <c r="A10086" t="s">
        <v>17626</v>
      </c>
      <c r="B10086" t="s">
        <v>17627</v>
      </c>
      <c r="C10086" s="1" t="str">
        <f>HYPERLINK("http://www.genecards.org/cgi-bin/carddisp.pl?gene=DHRS2","GeneCards")</f>
        <v>GeneCards</v>
      </c>
      <c r="D10086" s="1" t="str">
        <f>HYPERLINK("http://genome-euro.ucsc.edu/cgi-bin/hgTracks?position=206463_s_at","UCSC")</f>
        <v>UCSC</v>
      </c>
      <c r="E10086" s="1" t="str">
        <f>HYPERLINK("http://www.ncbi.nlm.nih.gov/gene/?term=DHRS2","NCBI")</f>
        <v>NCBI</v>
      </c>
      <c r="F10086">
        <v>0.22</v>
      </c>
      <c r="G10086">
        <v>0.37</v>
      </c>
      <c r="H10086" s="1" t="str">
        <f>HYPERLINK("http://www.weizmann.ac.il/complex/compphys/software/geview/data/figures/206463_s_at.png","Figure")</f>
        <v>Figure</v>
      </c>
      <c r="I10086">
        <v>1.1200000000000001</v>
      </c>
      <c r="J10086">
        <v>0.19</v>
      </c>
      <c r="K10086">
        <v>1.04</v>
      </c>
      <c r="L10086">
        <v>0.7</v>
      </c>
      <c r="M10086">
        <v>0.93500000000000005</v>
      </c>
      <c r="N10086">
        <v>0.47</v>
      </c>
    </row>
    <row r="10087" spans="1:14" x14ac:dyDescent="0.25">
      <c r="A10087" t="s">
        <v>17628</v>
      </c>
      <c r="B10087" t="s">
        <v>16142</v>
      </c>
      <c r="C10087" s="1" t="str">
        <f>HYPERLINK("http://www.genecards.org/cgi-bin/carddisp.pl?gene=PCTK2","GeneCards")</f>
        <v>GeneCards</v>
      </c>
      <c r="D10087" s="1" t="str">
        <f>HYPERLINK("http://genome-euro.ucsc.edu/cgi-bin/hgTracks?position=221918_at","UCSC")</f>
        <v>UCSC</v>
      </c>
      <c r="E10087" s="1" t="str">
        <f>HYPERLINK("http://www.ncbi.nlm.nih.gov/gene/?term=PCTK2","NCBI")</f>
        <v>NCBI</v>
      </c>
      <c r="F10087">
        <v>0.22</v>
      </c>
      <c r="G10087">
        <v>0.37</v>
      </c>
      <c r="H10087" s="1" t="str">
        <f>HYPERLINK("http://www.weizmann.ac.il/complex/compphys/software/geview/data/figures/221918_at.png","Figure")</f>
        <v>Figure</v>
      </c>
      <c r="I10087">
        <v>0.97799999999999998</v>
      </c>
      <c r="J10087">
        <v>1</v>
      </c>
      <c r="K10087">
        <v>0.64500000000000002</v>
      </c>
      <c r="L10087">
        <v>0.27</v>
      </c>
      <c r="M10087">
        <v>0.66</v>
      </c>
      <c r="N10087">
        <v>0.35</v>
      </c>
    </row>
    <row r="10088" spans="1:14" x14ac:dyDescent="0.25">
      <c r="A10088" t="s">
        <v>17629</v>
      </c>
      <c r="B10088" t="s">
        <v>17630</v>
      </c>
      <c r="C10088" s="1" t="str">
        <f>HYPERLINK("http://www.genecards.org/cgi-bin/carddisp.pl?gene=RPS6KA6","GeneCards")</f>
        <v>GeneCards</v>
      </c>
      <c r="D10088" s="1" t="str">
        <f>HYPERLINK("http://genome-euro.ucsc.edu/cgi-bin/hgTracks?position=220737_at","UCSC")</f>
        <v>UCSC</v>
      </c>
      <c r="E10088" s="1" t="str">
        <f>HYPERLINK("http://www.ncbi.nlm.nih.gov/gene/?term=RPS6KA6","NCBI")</f>
        <v>NCBI</v>
      </c>
      <c r="F10088">
        <v>0.22</v>
      </c>
      <c r="G10088">
        <v>0.37</v>
      </c>
      <c r="H10088" s="1" t="str">
        <f>HYPERLINK("http://www.weizmann.ac.il/complex/compphys/software/geview/data/figures/220737_at.png","Figure")</f>
        <v>Figure</v>
      </c>
      <c r="I10088">
        <v>0.997</v>
      </c>
      <c r="J10088">
        <v>1</v>
      </c>
      <c r="K10088">
        <v>0.85499999999999998</v>
      </c>
      <c r="L10088">
        <v>0.28000000000000003</v>
      </c>
      <c r="M10088">
        <v>0.85799999999999998</v>
      </c>
      <c r="N10088">
        <v>0.34</v>
      </c>
    </row>
    <row r="10089" spans="1:14" x14ac:dyDescent="0.25">
      <c r="A10089" t="s">
        <v>17631</v>
      </c>
      <c r="B10089" t="s">
        <v>16022</v>
      </c>
      <c r="C10089" s="1" t="str">
        <f>HYPERLINK("http://www.genecards.org/cgi-bin/carddisp.pl?gene=SSRP1","GeneCards")</f>
        <v>GeneCards</v>
      </c>
      <c r="D10089" s="1" t="str">
        <f>HYPERLINK("http://genome-euro.ucsc.edu/cgi-bin/hgTracks?position=200956_s_at","UCSC")</f>
        <v>UCSC</v>
      </c>
      <c r="E10089" s="1" t="str">
        <f>HYPERLINK("http://www.ncbi.nlm.nih.gov/gene/?term=SSRP1","NCBI")</f>
        <v>NCBI</v>
      </c>
      <c r="F10089">
        <v>0.22</v>
      </c>
      <c r="G10089">
        <v>0.37</v>
      </c>
      <c r="H10089" s="1" t="str">
        <f>HYPERLINK("http://www.weizmann.ac.il/complex/compphys/software/geview/data/figures/200956_s_at.png","Figure")</f>
        <v>Figure</v>
      </c>
      <c r="I10089">
        <v>1.37</v>
      </c>
      <c r="J10089">
        <v>0.41</v>
      </c>
      <c r="K10089">
        <v>1.44</v>
      </c>
      <c r="L10089">
        <v>0.21</v>
      </c>
      <c r="M10089">
        <v>1.06</v>
      </c>
      <c r="N10089">
        <v>0.97</v>
      </c>
    </row>
    <row r="10090" spans="1:14" x14ac:dyDescent="0.25">
      <c r="A10090" t="s">
        <v>17632</v>
      </c>
      <c r="B10090" t="s">
        <v>17633</v>
      </c>
      <c r="C10090" s="1" t="str">
        <f>HYPERLINK("http://www.genecards.org/cgi-bin/carddisp.pl?gene=RPP14","GeneCards")</f>
        <v>GeneCards</v>
      </c>
      <c r="D10090" s="1" t="str">
        <f>HYPERLINK("http://genome-euro.ucsc.edu/cgi-bin/hgTracks?position=204245_s_at","UCSC")</f>
        <v>UCSC</v>
      </c>
      <c r="E10090" s="1" t="str">
        <f>HYPERLINK("http://www.ncbi.nlm.nih.gov/gene/?term=RPP14","NCBI")</f>
        <v>NCBI</v>
      </c>
      <c r="F10090">
        <v>0.22</v>
      </c>
      <c r="G10090">
        <v>0.37</v>
      </c>
      <c r="H10090" s="1" t="str">
        <f>HYPERLINK("http://www.weizmann.ac.il/complex/compphys/software/geview/data/figures/204245_s_at.png","Figure")</f>
        <v>Figure</v>
      </c>
      <c r="I10090">
        <v>0.92400000000000004</v>
      </c>
      <c r="J10090">
        <v>0.84</v>
      </c>
      <c r="K10090">
        <v>0.80100000000000005</v>
      </c>
      <c r="L10090">
        <v>0.21</v>
      </c>
      <c r="M10090">
        <v>0.86599999999999999</v>
      </c>
      <c r="N10090">
        <v>0.54</v>
      </c>
    </row>
    <row r="10091" spans="1:14" x14ac:dyDescent="0.25">
      <c r="A10091" t="s">
        <v>17634</v>
      </c>
      <c r="B10091" t="s">
        <v>6454</v>
      </c>
      <c r="C10091" s="1" t="str">
        <f>HYPERLINK("http://www.genecards.org/cgi-bin/carddisp.pl?gene=ZMYM2","GeneCards")</f>
        <v>GeneCards</v>
      </c>
      <c r="D10091" s="1" t="str">
        <f>HYPERLINK("http://genome-euro.ucsc.edu/cgi-bin/hgTracks?position=202778_s_at","UCSC")</f>
        <v>UCSC</v>
      </c>
      <c r="E10091" s="1" t="str">
        <f>HYPERLINK("http://www.ncbi.nlm.nih.gov/gene/?term=ZMYM2","NCBI")</f>
        <v>NCBI</v>
      </c>
      <c r="F10091">
        <v>0.22</v>
      </c>
      <c r="G10091">
        <v>0.37</v>
      </c>
      <c r="H10091" s="1" t="str">
        <f>HYPERLINK("http://www.weizmann.ac.il/complex/compphys/software/geview/data/figures/202778_s_at.png","Figure")</f>
        <v>Figure</v>
      </c>
      <c r="I10091">
        <v>1.1399999999999999</v>
      </c>
      <c r="J10091">
        <v>0.85</v>
      </c>
      <c r="K10091">
        <v>0.77100000000000002</v>
      </c>
      <c r="L10091">
        <v>0.45</v>
      </c>
      <c r="M10091">
        <v>0.67700000000000005</v>
      </c>
      <c r="N10091">
        <v>0.23</v>
      </c>
    </row>
    <row r="10092" spans="1:14" x14ac:dyDescent="0.25">
      <c r="A10092" t="s">
        <v>17635</v>
      </c>
      <c r="B10092" t="s">
        <v>8188</v>
      </c>
      <c r="C10092" s="1" t="str">
        <f>HYPERLINK("http://www.genecards.org/cgi-bin/carddisp.pl?gene=ANK1","GeneCards")</f>
        <v>GeneCards</v>
      </c>
      <c r="D10092" s="1" t="str">
        <f>HYPERLINK("http://genome-euro.ucsc.edu/cgi-bin/hgTracks?position=207087_x_at","UCSC")</f>
        <v>UCSC</v>
      </c>
      <c r="E10092" s="1" t="str">
        <f>HYPERLINK("http://www.ncbi.nlm.nih.gov/gene/?term=ANK1","NCBI")</f>
        <v>NCBI</v>
      </c>
      <c r="F10092">
        <v>0.22</v>
      </c>
      <c r="G10092">
        <v>0.37</v>
      </c>
      <c r="H10092" s="1" t="str">
        <f>HYPERLINK("http://www.weizmann.ac.il/complex/compphys/software/geview/data/figures/207087_x_at.png","Figure")</f>
        <v>Figure</v>
      </c>
      <c r="I10092">
        <v>1.28</v>
      </c>
      <c r="J10092">
        <v>0.2</v>
      </c>
      <c r="K10092">
        <v>1.1399999999999999</v>
      </c>
      <c r="L10092">
        <v>0.54</v>
      </c>
      <c r="M10092">
        <v>0.88500000000000001</v>
      </c>
      <c r="N10092">
        <v>0.61</v>
      </c>
    </row>
    <row r="10093" spans="1:14" x14ac:dyDescent="0.25">
      <c r="A10093" t="s">
        <v>17636</v>
      </c>
      <c r="B10093" t="s">
        <v>17637</v>
      </c>
      <c r="C10093" s="1" t="str">
        <f>HYPERLINK("http://www.genecards.org/cgi-bin/carddisp.pl?gene=NDUFB8","GeneCards")</f>
        <v>GeneCards</v>
      </c>
      <c r="D10093" s="1" t="str">
        <f>HYPERLINK("http://genome-euro.ucsc.edu/cgi-bin/hgTracks?position=214241_at","UCSC")</f>
        <v>UCSC</v>
      </c>
      <c r="E10093" s="1" t="str">
        <f>HYPERLINK("http://www.ncbi.nlm.nih.gov/gene/?term=NDUFB8","NCBI")</f>
        <v>NCBI</v>
      </c>
      <c r="F10093">
        <v>0.22</v>
      </c>
      <c r="G10093">
        <v>0.37</v>
      </c>
      <c r="H10093" s="1" t="str">
        <f>HYPERLINK("http://www.weizmann.ac.il/complex/compphys/software/geview/data/figures/214241_at.png","Figure")</f>
        <v>Figure</v>
      </c>
      <c r="I10093">
        <v>0.746</v>
      </c>
      <c r="J10093">
        <v>0.25</v>
      </c>
      <c r="K10093">
        <v>0.79600000000000004</v>
      </c>
      <c r="L10093">
        <v>0.32</v>
      </c>
      <c r="M10093">
        <v>1.07</v>
      </c>
      <c r="N10093">
        <v>0.91</v>
      </c>
    </row>
    <row r="10094" spans="1:14" x14ac:dyDescent="0.25">
      <c r="A10094" t="s">
        <v>17638</v>
      </c>
      <c r="B10094" t="s">
        <v>17639</v>
      </c>
      <c r="C10094" s="1" t="str">
        <f>HYPERLINK("http://www.genecards.org/cgi-bin/carddisp.pl?gene=EIF3D","GeneCards")</f>
        <v>GeneCards</v>
      </c>
      <c r="D10094" s="1" t="str">
        <f>HYPERLINK("http://genome-euro.ucsc.edu/cgi-bin/hgTracks?position=200005_at","UCSC")</f>
        <v>UCSC</v>
      </c>
      <c r="E10094" s="1" t="str">
        <f>HYPERLINK("http://www.ncbi.nlm.nih.gov/gene/?term=EIF3D","NCBI")</f>
        <v>NCBI</v>
      </c>
      <c r="F10094">
        <v>0.22</v>
      </c>
      <c r="G10094">
        <v>0.37</v>
      </c>
      <c r="H10094" s="1" t="str">
        <f>HYPERLINK("http://www.weizmann.ac.il/complex/compphys/software/geview/data/figures/200005_at.png","Figure")</f>
        <v>Figure</v>
      </c>
      <c r="I10094">
        <v>1.33</v>
      </c>
      <c r="J10094">
        <v>0.21</v>
      </c>
      <c r="K10094">
        <v>1.2</v>
      </c>
      <c r="L10094">
        <v>0.43</v>
      </c>
      <c r="M10094">
        <v>0.89700000000000002</v>
      </c>
      <c r="N10094">
        <v>0.75</v>
      </c>
    </row>
    <row r="10095" spans="1:14" x14ac:dyDescent="0.25">
      <c r="A10095" t="s">
        <v>17640</v>
      </c>
      <c r="B10095" t="s">
        <v>190</v>
      </c>
      <c r="C10095" s="1" t="str">
        <f>HYPERLINK("http://www.genecards.org/cgi-bin/carddisp.pl?gene=ZC3H14","GeneCards")</f>
        <v>GeneCards</v>
      </c>
      <c r="D10095" s="1" t="str">
        <f>HYPERLINK("http://genome-euro.ucsc.edu/cgi-bin/hgTracks?position=204216_s_at","UCSC")</f>
        <v>UCSC</v>
      </c>
      <c r="E10095" s="1" t="str">
        <f>HYPERLINK("http://www.ncbi.nlm.nih.gov/gene/?term=ZC3H14","NCBI")</f>
        <v>NCBI</v>
      </c>
      <c r="F10095">
        <v>0.22</v>
      </c>
      <c r="G10095">
        <v>0.37</v>
      </c>
      <c r="H10095" s="1" t="str">
        <f>HYPERLINK("http://www.weizmann.ac.il/complex/compphys/software/geview/data/figures/204216_s_at.png","Figure")</f>
        <v>Figure</v>
      </c>
      <c r="I10095">
        <v>0.86899999999999999</v>
      </c>
      <c r="J10095">
        <v>0.27</v>
      </c>
      <c r="K10095">
        <v>0.996</v>
      </c>
      <c r="L10095">
        <v>1</v>
      </c>
      <c r="M10095">
        <v>1.1499999999999999</v>
      </c>
      <c r="N10095">
        <v>0.25</v>
      </c>
    </row>
    <row r="10096" spans="1:14" x14ac:dyDescent="0.25">
      <c r="A10096" t="s">
        <v>17641</v>
      </c>
      <c r="B10096" t="s">
        <v>17642</v>
      </c>
      <c r="C10096" s="1" t="str">
        <f>HYPERLINK("http://www.genecards.org/cgi-bin/carddisp.pl?gene=WHSC1","GeneCards")</f>
        <v>GeneCards</v>
      </c>
      <c r="D10096" s="1" t="str">
        <f>HYPERLINK("http://genome-euro.ucsc.edu/cgi-bin/hgTracks?position=209054_s_at","UCSC")</f>
        <v>UCSC</v>
      </c>
      <c r="E10096" s="1" t="str">
        <f>HYPERLINK("http://www.ncbi.nlm.nih.gov/gene/?term=WHSC1","NCBI")</f>
        <v>NCBI</v>
      </c>
      <c r="F10096">
        <v>0.22</v>
      </c>
      <c r="G10096">
        <v>0.37</v>
      </c>
      <c r="H10096" s="1" t="str">
        <f>HYPERLINK("http://www.weizmann.ac.il/complex/compphys/software/geview/data/figures/209054_s_at.png","Figure")</f>
        <v>Figure</v>
      </c>
      <c r="I10096">
        <v>0.8</v>
      </c>
      <c r="J10096">
        <v>0.35</v>
      </c>
      <c r="K10096">
        <v>1.03</v>
      </c>
      <c r="L10096">
        <v>0.97</v>
      </c>
      <c r="M10096">
        <v>1.29</v>
      </c>
      <c r="N10096">
        <v>0.21</v>
      </c>
    </row>
    <row r="10097" spans="1:14" x14ac:dyDescent="0.25">
      <c r="A10097" t="s">
        <v>17643</v>
      </c>
      <c r="B10097" t="s">
        <v>17644</v>
      </c>
      <c r="C10097" s="1" t="str">
        <f>HYPERLINK("http://www.genecards.org/cgi-bin/carddisp.pl?gene=MAPK3","GeneCards")</f>
        <v>GeneCards</v>
      </c>
      <c r="D10097" s="1" t="str">
        <f>HYPERLINK("http://genome-euro.ucsc.edu/cgi-bin/hgTracks?position=212046_x_at","UCSC")</f>
        <v>UCSC</v>
      </c>
      <c r="E10097" s="1" t="str">
        <f>HYPERLINK("http://www.ncbi.nlm.nih.gov/gene/?term=MAPK3","NCBI")</f>
        <v>NCBI</v>
      </c>
      <c r="F10097">
        <v>0.22</v>
      </c>
      <c r="G10097">
        <v>0.37</v>
      </c>
      <c r="H10097" s="1" t="str">
        <f>HYPERLINK("http://www.weizmann.ac.il/complex/compphys/software/geview/data/figures/212046_x_at.png","Figure")</f>
        <v>Figure</v>
      </c>
      <c r="I10097">
        <v>1.22</v>
      </c>
      <c r="J10097">
        <v>0.21</v>
      </c>
      <c r="K10097">
        <v>1.1299999999999999</v>
      </c>
      <c r="L10097">
        <v>0.44</v>
      </c>
      <c r="M10097">
        <v>0.92600000000000005</v>
      </c>
      <c r="N10097">
        <v>0.74</v>
      </c>
    </row>
    <row r="10098" spans="1:14" x14ac:dyDescent="0.25">
      <c r="A10098" t="s">
        <v>17645</v>
      </c>
      <c r="B10098" t="s">
        <v>17646</v>
      </c>
      <c r="C10098" s="1" t="str">
        <f>HYPERLINK("http://www.genecards.org/cgi-bin/carddisp.pl?gene=LASS6","GeneCards")</f>
        <v>GeneCards</v>
      </c>
      <c r="D10098" s="1" t="str">
        <f>HYPERLINK("http://genome-euro.ucsc.edu/cgi-bin/hgTracks?position=212446_s_at","UCSC")</f>
        <v>UCSC</v>
      </c>
      <c r="E10098" s="1" t="str">
        <f>HYPERLINK("http://www.ncbi.nlm.nih.gov/gene/?term=LASS6","NCBI")</f>
        <v>NCBI</v>
      </c>
      <c r="F10098">
        <v>0.22</v>
      </c>
      <c r="G10098">
        <v>0.37</v>
      </c>
      <c r="H10098" s="1" t="str">
        <f>HYPERLINK("http://www.weizmann.ac.il/complex/compphys/software/geview/data/figures/212446_s_at.png","Figure")</f>
        <v>Figure</v>
      </c>
      <c r="I10098">
        <v>0.90100000000000002</v>
      </c>
      <c r="J10098">
        <v>0.25</v>
      </c>
      <c r="K10098">
        <v>0.98799999999999999</v>
      </c>
      <c r="L10098">
        <v>0.97</v>
      </c>
      <c r="M10098">
        <v>1.1000000000000001</v>
      </c>
      <c r="N10098">
        <v>0.28000000000000003</v>
      </c>
    </row>
    <row r="10099" spans="1:14" x14ac:dyDescent="0.25">
      <c r="A10099" t="s">
        <v>17647</v>
      </c>
      <c r="B10099" t="s">
        <v>17648</v>
      </c>
      <c r="C10099" s="1" t="str">
        <f>HYPERLINK("http://www.genecards.org/cgi-bin/carddisp.pl?gene=XPNPEP2","GeneCards")</f>
        <v>GeneCards</v>
      </c>
      <c r="D10099" s="1" t="str">
        <f>HYPERLINK("http://genome-euro.ucsc.edu/cgi-bin/hgTracks?position=206484_s_at","UCSC")</f>
        <v>UCSC</v>
      </c>
      <c r="E10099" s="1" t="str">
        <f>HYPERLINK("http://www.ncbi.nlm.nih.gov/gene/?term=XPNPEP2","NCBI")</f>
        <v>NCBI</v>
      </c>
      <c r="F10099">
        <v>0.22</v>
      </c>
      <c r="G10099">
        <v>0.37</v>
      </c>
      <c r="H10099" s="1" t="str">
        <f>HYPERLINK("http://www.weizmann.ac.il/complex/compphys/software/geview/data/figures/206484_s_at.png","Figure")</f>
        <v>Figure</v>
      </c>
      <c r="I10099">
        <v>1.19</v>
      </c>
      <c r="J10099">
        <v>0.27</v>
      </c>
      <c r="K10099">
        <v>1.1599999999999999</v>
      </c>
      <c r="L10099">
        <v>0.28000000000000003</v>
      </c>
      <c r="M10099">
        <v>0.97599999999999998</v>
      </c>
      <c r="N10099">
        <v>0.97</v>
      </c>
    </row>
    <row r="10100" spans="1:14" x14ac:dyDescent="0.25">
      <c r="A10100" t="s">
        <v>17649</v>
      </c>
      <c r="B10100" t="s">
        <v>1973</v>
      </c>
      <c r="C10100" s="1" t="str">
        <f>HYPERLINK("http://www.genecards.org/cgi-bin/carddisp.pl?gene=SON","GeneCards")</f>
        <v>GeneCards</v>
      </c>
      <c r="D10100" s="1" t="str">
        <f>HYPERLINK("http://genome-euro.ucsc.edu/cgi-bin/hgTracks?position=214988_s_at","UCSC")</f>
        <v>UCSC</v>
      </c>
      <c r="E10100" s="1" t="str">
        <f>HYPERLINK("http://www.ncbi.nlm.nih.gov/gene/?term=SON","NCBI")</f>
        <v>NCBI</v>
      </c>
      <c r="F10100">
        <v>0.22</v>
      </c>
      <c r="G10100">
        <v>0.37</v>
      </c>
      <c r="H10100" s="1" t="str">
        <f>HYPERLINK("http://www.weizmann.ac.il/complex/compphys/software/geview/data/figures/214988_s_at.png","Figure")</f>
        <v>Figure</v>
      </c>
      <c r="I10100">
        <v>0.625</v>
      </c>
      <c r="J10100">
        <v>0.45</v>
      </c>
      <c r="K10100">
        <v>1.19</v>
      </c>
      <c r="L10100">
        <v>0.86</v>
      </c>
      <c r="M10100">
        <v>1.9</v>
      </c>
      <c r="N10100">
        <v>0.2</v>
      </c>
    </row>
    <row r="10101" spans="1:14" x14ac:dyDescent="0.25">
      <c r="A10101" t="s">
        <v>17650</v>
      </c>
      <c r="B10101" t="s">
        <v>17651</v>
      </c>
      <c r="C10101" s="1" t="str">
        <f>HYPERLINK("http://www.genecards.org/cgi-bin/carddisp.pl?gene=AIDA","GeneCards")</f>
        <v>GeneCards</v>
      </c>
      <c r="D10101" s="1" t="str">
        <f>HYPERLINK("http://genome-euro.ucsc.edu/cgi-bin/hgTracks?position=220199_s_at","UCSC")</f>
        <v>UCSC</v>
      </c>
      <c r="E10101" s="1" t="str">
        <f>HYPERLINK("http://www.ncbi.nlm.nih.gov/gene/?term=AIDA","NCBI")</f>
        <v>NCBI</v>
      </c>
      <c r="F10101">
        <v>0.22</v>
      </c>
      <c r="G10101">
        <v>0.37</v>
      </c>
      <c r="H10101" s="1" t="str">
        <f>HYPERLINK("http://www.weizmann.ac.il/complex/compphys/software/geview/data/figures/220199_s_at.png","Figure")</f>
        <v>Figure</v>
      </c>
      <c r="I10101">
        <v>0.91700000000000004</v>
      </c>
      <c r="J10101">
        <v>0.55000000000000004</v>
      </c>
      <c r="K10101">
        <v>1.06</v>
      </c>
      <c r="L10101">
        <v>0.73</v>
      </c>
      <c r="M10101">
        <v>1.1499999999999999</v>
      </c>
      <c r="N10101">
        <v>0.19</v>
      </c>
    </row>
    <row r="10102" spans="1:14" x14ac:dyDescent="0.25">
      <c r="A10102" t="s">
        <v>17652</v>
      </c>
      <c r="B10102" t="s">
        <v>17642</v>
      </c>
      <c r="C10102" s="1" t="str">
        <f>HYPERLINK("http://www.genecards.org/cgi-bin/carddisp.pl?gene=WHSC1","GeneCards")</f>
        <v>GeneCards</v>
      </c>
      <c r="D10102" s="1" t="str">
        <f>HYPERLINK("http://genome-euro.ucsc.edu/cgi-bin/hgTracks?position=209053_s_at","UCSC")</f>
        <v>UCSC</v>
      </c>
      <c r="E10102" s="1" t="str">
        <f>HYPERLINK("http://www.ncbi.nlm.nih.gov/gene/?term=WHSC1","NCBI")</f>
        <v>NCBI</v>
      </c>
      <c r="F10102">
        <v>0.22</v>
      </c>
      <c r="G10102">
        <v>0.37</v>
      </c>
      <c r="H10102" s="1" t="str">
        <f>HYPERLINK("http://www.weizmann.ac.il/complex/compphys/software/geview/data/figures/209053_s_at.png","Figure")</f>
        <v>Figure</v>
      </c>
      <c r="I10102">
        <v>0.98799999999999999</v>
      </c>
      <c r="J10102">
        <v>0.99</v>
      </c>
      <c r="K10102">
        <v>0.88700000000000001</v>
      </c>
      <c r="L10102">
        <v>0.26</v>
      </c>
      <c r="M10102">
        <v>0.89800000000000002</v>
      </c>
      <c r="N10102">
        <v>0.37</v>
      </c>
    </row>
    <row r="10103" spans="1:14" x14ac:dyDescent="0.25">
      <c r="A10103" t="s">
        <v>17653</v>
      </c>
      <c r="B10103" t="s">
        <v>7248</v>
      </c>
      <c r="C10103" s="1" t="str">
        <f>HYPERLINK("http://www.genecards.org/cgi-bin/carddisp.pl?gene=TMEM80","GeneCards")</f>
        <v>GeneCards</v>
      </c>
      <c r="D10103" s="1" t="str">
        <f>HYPERLINK("http://genome-euro.ucsc.edu/cgi-bin/hgTracks?position=65630_at","UCSC")</f>
        <v>UCSC</v>
      </c>
      <c r="E10103" s="1" t="str">
        <f>HYPERLINK("http://www.ncbi.nlm.nih.gov/gene/?term=TMEM80","NCBI")</f>
        <v>NCBI</v>
      </c>
      <c r="F10103">
        <v>0.22</v>
      </c>
      <c r="G10103">
        <v>0.37</v>
      </c>
      <c r="H10103" s="1" t="str">
        <f>HYPERLINK("http://www.weizmann.ac.il/complex/compphys/software/geview/data/figures/65630_at.png","Figure")</f>
        <v>Figure</v>
      </c>
      <c r="I10103">
        <v>0.93200000000000005</v>
      </c>
      <c r="J10103">
        <v>0.61</v>
      </c>
      <c r="K10103">
        <v>1.06</v>
      </c>
      <c r="L10103">
        <v>0.67</v>
      </c>
      <c r="M10103">
        <v>1.1299999999999999</v>
      </c>
      <c r="N10103">
        <v>0.2</v>
      </c>
    </row>
    <row r="10104" spans="1:14" x14ac:dyDescent="0.25">
      <c r="A10104" t="s">
        <v>17654</v>
      </c>
      <c r="B10104" t="s">
        <v>17655</v>
      </c>
      <c r="C10104" s="1" t="str">
        <f>HYPERLINK("http://www.genecards.org/cgi-bin/carddisp.pl?gene=PPIL6","GeneCards")</f>
        <v>GeneCards</v>
      </c>
      <c r="D10104" s="1" t="str">
        <f>HYPERLINK("http://genome-euro.ucsc.edu/cgi-bin/hgTracks?position=214206_at","UCSC")</f>
        <v>UCSC</v>
      </c>
      <c r="E10104" s="1" t="str">
        <f>HYPERLINK("http://www.ncbi.nlm.nih.gov/gene/?term=PPIL6","NCBI")</f>
        <v>NCBI</v>
      </c>
      <c r="F10104">
        <v>0.22</v>
      </c>
      <c r="G10104">
        <v>0.37</v>
      </c>
      <c r="H10104" s="1" t="str">
        <f>HYPERLINK("http://www.weizmann.ac.il/complex/compphys/software/geview/data/figures/214206_at.png","Figure")</f>
        <v>Figure</v>
      </c>
      <c r="I10104">
        <v>1.1299999999999999</v>
      </c>
      <c r="J10104">
        <v>0.2</v>
      </c>
      <c r="K10104">
        <v>1.04</v>
      </c>
      <c r="L10104">
        <v>0.8</v>
      </c>
      <c r="M10104">
        <v>0.92100000000000004</v>
      </c>
      <c r="N10104">
        <v>0.4</v>
      </c>
    </row>
    <row r="10105" spans="1:14" x14ac:dyDescent="0.25">
      <c r="A10105" t="s">
        <v>17656</v>
      </c>
      <c r="B10105" t="s">
        <v>17657</v>
      </c>
      <c r="C10105" s="1" t="str">
        <f>HYPERLINK("http://www.genecards.org/cgi-bin/carddisp.pl?gene=MAN2B1","GeneCards")</f>
        <v>GeneCards</v>
      </c>
      <c r="D10105" s="1" t="str">
        <f>HYPERLINK("http://genome-euro.ucsc.edu/cgi-bin/hgTracks?position=209166_s_at","UCSC")</f>
        <v>UCSC</v>
      </c>
      <c r="E10105" s="1" t="str">
        <f>HYPERLINK("http://www.ncbi.nlm.nih.gov/gene/?term=MAN2B1","NCBI")</f>
        <v>NCBI</v>
      </c>
      <c r="F10105">
        <v>0.22</v>
      </c>
      <c r="G10105">
        <v>0.37</v>
      </c>
      <c r="H10105" s="1" t="str">
        <f>HYPERLINK("http://www.weizmann.ac.il/complex/compphys/software/geview/data/figures/209166_s_at.png","Figure")</f>
        <v>Figure</v>
      </c>
      <c r="I10105">
        <v>1.01</v>
      </c>
      <c r="J10105">
        <v>1</v>
      </c>
      <c r="K10105">
        <v>1.21</v>
      </c>
      <c r="L10105">
        <v>0.27</v>
      </c>
      <c r="M10105">
        <v>1.21</v>
      </c>
      <c r="N10105">
        <v>0.34</v>
      </c>
    </row>
    <row r="10106" spans="1:14" x14ac:dyDescent="0.25">
      <c r="A10106" t="s">
        <v>17658</v>
      </c>
      <c r="B10106" t="s">
        <v>3443</v>
      </c>
      <c r="C10106" s="1" t="str">
        <f>HYPERLINK("http://www.genecards.org/cgi-bin/carddisp.pl?gene=PRKAR1A","GeneCards")</f>
        <v>GeneCards</v>
      </c>
      <c r="D10106" s="1" t="str">
        <f>HYPERLINK("http://genome-euro.ucsc.edu/cgi-bin/hgTracks?position=200603_at","UCSC")</f>
        <v>UCSC</v>
      </c>
      <c r="E10106" s="1" t="str">
        <f>HYPERLINK("http://www.ncbi.nlm.nih.gov/gene/?term=PRKAR1A","NCBI")</f>
        <v>NCBI</v>
      </c>
      <c r="F10106">
        <v>0.22</v>
      </c>
      <c r="G10106">
        <v>0.37</v>
      </c>
      <c r="H10106" s="1" t="str">
        <f>HYPERLINK("http://www.weizmann.ac.il/complex/compphys/software/geview/data/figures/200603_at.png","Figure")</f>
        <v>Figure</v>
      </c>
      <c r="I10106">
        <v>0.86799999999999999</v>
      </c>
      <c r="J10106">
        <v>0.9</v>
      </c>
      <c r="K10106">
        <v>1.45</v>
      </c>
      <c r="L10106">
        <v>0.41</v>
      </c>
      <c r="M10106">
        <v>1.67</v>
      </c>
      <c r="N10106">
        <v>0.24</v>
      </c>
    </row>
    <row r="10107" spans="1:14" x14ac:dyDescent="0.25">
      <c r="A10107" t="s">
        <v>17659</v>
      </c>
      <c r="B10107" t="s">
        <v>10159</v>
      </c>
      <c r="C10107" s="1" t="str">
        <f>HYPERLINK("http://www.genecards.org/cgi-bin/carddisp.pl?gene=RANBP2","GeneCards")</f>
        <v>GeneCards</v>
      </c>
      <c r="D10107" s="1" t="str">
        <f>HYPERLINK("http://genome-euro.ucsc.edu/cgi-bin/hgTracks?position=201712_s_at","UCSC")</f>
        <v>UCSC</v>
      </c>
      <c r="E10107" s="1" t="str">
        <f>HYPERLINK("http://www.ncbi.nlm.nih.gov/gene/?term=RANBP2","NCBI")</f>
        <v>NCBI</v>
      </c>
      <c r="F10107">
        <v>0.22</v>
      </c>
      <c r="G10107">
        <v>0.37</v>
      </c>
      <c r="H10107" s="1" t="str">
        <f>HYPERLINK("http://www.weizmann.ac.il/complex/compphys/software/geview/data/figures/201712_s_at.png","Figure")</f>
        <v>Figure</v>
      </c>
      <c r="I10107">
        <v>0.88800000000000001</v>
      </c>
      <c r="J10107">
        <v>0.88</v>
      </c>
      <c r="K10107">
        <v>0.67800000000000005</v>
      </c>
      <c r="L10107">
        <v>0.22</v>
      </c>
      <c r="M10107">
        <v>0.76400000000000001</v>
      </c>
      <c r="N10107">
        <v>0.5</v>
      </c>
    </row>
    <row r="10108" spans="1:14" x14ac:dyDescent="0.25">
      <c r="A10108" t="s">
        <v>17660</v>
      </c>
      <c r="B10108" t="s">
        <v>17661</v>
      </c>
      <c r="C10108" s="1" t="str">
        <f>HYPERLINK("http://www.genecards.org/cgi-bin/carddisp.pl?gene=UBE4A","GeneCards")</f>
        <v>GeneCards</v>
      </c>
      <c r="D10108" s="1" t="str">
        <f>HYPERLINK("http://genome-euro.ucsc.edu/cgi-bin/hgTracks?position=202038_at","UCSC")</f>
        <v>UCSC</v>
      </c>
      <c r="E10108" s="1" t="str">
        <f>HYPERLINK("http://www.ncbi.nlm.nih.gov/gene/?term=UBE4A","NCBI")</f>
        <v>NCBI</v>
      </c>
      <c r="F10108">
        <v>0.22</v>
      </c>
      <c r="G10108">
        <v>0.37</v>
      </c>
      <c r="H10108" s="1" t="str">
        <f>HYPERLINK("http://www.weizmann.ac.il/complex/compphys/software/geview/data/figures/202038_at.png","Figure")</f>
        <v>Figure</v>
      </c>
      <c r="I10108">
        <v>0.73199999999999998</v>
      </c>
      <c r="J10108">
        <v>0.3</v>
      </c>
      <c r="K10108">
        <v>1.01</v>
      </c>
      <c r="L10108">
        <v>1</v>
      </c>
      <c r="M10108">
        <v>1.38</v>
      </c>
      <c r="N10108">
        <v>0.23</v>
      </c>
    </row>
    <row r="10109" spans="1:14" x14ac:dyDescent="0.25">
      <c r="A10109" t="s">
        <v>17662</v>
      </c>
      <c r="B10109" t="s">
        <v>17663</v>
      </c>
      <c r="C10109" s="1" t="str">
        <f>HYPERLINK("http://www.genecards.org/cgi-bin/carddisp.pl?gene=TMED1","GeneCards")</f>
        <v>GeneCards</v>
      </c>
      <c r="D10109" s="1" t="str">
        <f>HYPERLINK("http://genome-euro.ucsc.edu/cgi-bin/hgTracks?position=203679_at","UCSC")</f>
        <v>UCSC</v>
      </c>
      <c r="E10109" s="1" t="str">
        <f>HYPERLINK("http://www.ncbi.nlm.nih.gov/gene/?term=TMED1","NCBI")</f>
        <v>NCBI</v>
      </c>
      <c r="F10109">
        <v>0.22</v>
      </c>
      <c r="G10109">
        <v>0.37</v>
      </c>
      <c r="H10109" s="1" t="str">
        <f>HYPERLINK("http://www.weizmann.ac.il/complex/compphys/software/geview/data/figures/203679_at.png","Figure")</f>
        <v>Figure</v>
      </c>
      <c r="I10109">
        <v>1.1000000000000001</v>
      </c>
      <c r="J10109">
        <v>0.76</v>
      </c>
      <c r="K10109">
        <v>0.879</v>
      </c>
      <c r="L10109">
        <v>0.53</v>
      </c>
      <c r="M10109">
        <v>0.8</v>
      </c>
      <c r="N10109">
        <v>0.21</v>
      </c>
    </row>
    <row r="10110" spans="1:14" x14ac:dyDescent="0.25">
      <c r="A10110" t="s">
        <v>17664</v>
      </c>
      <c r="B10110" t="s">
        <v>17665</v>
      </c>
      <c r="C10110" s="1" t="str">
        <f>HYPERLINK("http://www.genecards.org/cgi-bin/carddisp.pl?gene=SOX21","GeneCards")</f>
        <v>GeneCards</v>
      </c>
      <c r="D10110" s="1" t="str">
        <f>HYPERLINK("http://genome-euro.ucsc.edu/cgi-bin/hgTracks?position=208468_at","UCSC")</f>
        <v>UCSC</v>
      </c>
      <c r="E10110" s="1" t="str">
        <f>HYPERLINK("http://www.ncbi.nlm.nih.gov/gene/?term=SOX21","NCBI")</f>
        <v>NCBI</v>
      </c>
      <c r="F10110">
        <v>0.22</v>
      </c>
      <c r="G10110">
        <v>0.37</v>
      </c>
      <c r="H10110" s="1" t="str">
        <f>HYPERLINK("http://www.weizmann.ac.il/complex/compphys/software/geview/data/figures/208468_at.png","Figure")</f>
        <v>Figure</v>
      </c>
      <c r="I10110">
        <v>1.1000000000000001</v>
      </c>
      <c r="J10110">
        <v>0.28000000000000003</v>
      </c>
      <c r="K10110">
        <v>1.0900000000000001</v>
      </c>
      <c r="L10110">
        <v>0.28000000000000003</v>
      </c>
      <c r="M10110">
        <v>0.98699999999999999</v>
      </c>
      <c r="N10110">
        <v>0.97</v>
      </c>
    </row>
    <row r="10111" spans="1:14" x14ac:dyDescent="0.25">
      <c r="A10111" t="s">
        <v>17666</v>
      </c>
      <c r="B10111" t="s">
        <v>13806</v>
      </c>
      <c r="C10111" s="1" t="str">
        <f>HYPERLINK("http://www.genecards.org/cgi-bin/carddisp.pl?gene=RAB2A","GeneCards")</f>
        <v>GeneCards</v>
      </c>
      <c r="D10111" s="1" t="str">
        <f>HYPERLINK("http://genome-euro.ucsc.edu/cgi-bin/hgTracks?position=208731_at","UCSC")</f>
        <v>UCSC</v>
      </c>
      <c r="E10111" s="1" t="str">
        <f>HYPERLINK("http://www.ncbi.nlm.nih.gov/gene/?term=RAB2A","NCBI")</f>
        <v>NCBI</v>
      </c>
      <c r="F10111">
        <v>0.22</v>
      </c>
      <c r="G10111">
        <v>0.37</v>
      </c>
      <c r="H10111" s="1" t="str">
        <f>HYPERLINK("http://www.weizmann.ac.il/complex/compphys/software/geview/data/figures/208731_at.png","Figure")</f>
        <v>Figure</v>
      </c>
      <c r="I10111">
        <v>0.50800000000000001</v>
      </c>
      <c r="J10111">
        <v>0.21</v>
      </c>
      <c r="K10111">
        <v>0.66800000000000004</v>
      </c>
      <c r="L10111">
        <v>0.45</v>
      </c>
      <c r="M10111">
        <v>1.31</v>
      </c>
      <c r="N10111">
        <v>0.72</v>
      </c>
    </row>
    <row r="10112" spans="1:14" x14ac:dyDescent="0.25">
      <c r="A10112" t="s">
        <v>17667</v>
      </c>
      <c r="B10112" t="s">
        <v>17668</v>
      </c>
      <c r="C10112" s="1" t="str">
        <f>HYPERLINK("http://www.genecards.org/cgi-bin/carddisp.pl?gene=LOC161527 /// PML","GeneCards")</f>
        <v>GeneCards</v>
      </c>
      <c r="D10112" s="1" t="str">
        <f>HYPERLINK("http://genome-euro.ucsc.edu/cgi-bin/hgTracks?position=211012_s_at","UCSC")</f>
        <v>UCSC</v>
      </c>
      <c r="E10112" s="1" t="str">
        <f>HYPERLINK("http://www.ncbi.nlm.nih.gov/gene/?term=LOC161527 /// PML","NCBI")</f>
        <v>NCBI</v>
      </c>
      <c r="F10112">
        <v>0.22</v>
      </c>
      <c r="G10112">
        <v>0.37</v>
      </c>
      <c r="H10112" s="1" t="str">
        <f>HYPERLINK("http://www.weizmann.ac.il/complex/compphys/software/geview/data/figures/211012_s_at.png","Figure")</f>
        <v>Figure</v>
      </c>
      <c r="I10112">
        <v>1.1599999999999999</v>
      </c>
      <c r="J10112">
        <v>0.35</v>
      </c>
      <c r="K10112">
        <v>0.97699999999999998</v>
      </c>
      <c r="L10112">
        <v>0.96</v>
      </c>
      <c r="M10112">
        <v>0.84499999999999997</v>
      </c>
      <c r="N10112">
        <v>0.21</v>
      </c>
    </row>
    <row r="10113" spans="1:14" x14ac:dyDescent="0.25">
      <c r="A10113" t="s">
        <v>17669</v>
      </c>
      <c r="B10113" t="s">
        <v>17670</v>
      </c>
      <c r="C10113" s="1" t="str">
        <f>HYPERLINK("http://www.genecards.org/cgi-bin/carddisp.pl?gene=NAB2","GeneCards")</f>
        <v>GeneCards</v>
      </c>
      <c r="D10113" s="1" t="str">
        <f>HYPERLINK("http://genome-euro.ucsc.edu/cgi-bin/hgTracks?position=212803_at","UCSC")</f>
        <v>UCSC</v>
      </c>
      <c r="E10113" s="1" t="str">
        <f>HYPERLINK("http://www.ncbi.nlm.nih.gov/gene/?term=NAB2","NCBI")</f>
        <v>NCBI</v>
      </c>
      <c r="F10113">
        <v>0.22</v>
      </c>
      <c r="G10113">
        <v>0.37</v>
      </c>
      <c r="H10113" s="1" t="str">
        <f>HYPERLINK("http://www.weizmann.ac.il/complex/compphys/software/geview/data/figures/212803_at.png","Figure")</f>
        <v>Figure</v>
      </c>
      <c r="I10113">
        <v>1.1299999999999999</v>
      </c>
      <c r="J10113">
        <v>0.34</v>
      </c>
      <c r="K10113">
        <v>0.98499999999999999</v>
      </c>
      <c r="L10113">
        <v>0.98</v>
      </c>
      <c r="M10113">
        <v>0.86799999999999999</v>
      </c>
      <c r="N10113">
        <v>0.22</v>
      </c>
    </row>
    <row r="10114" spans="1:14" x14ac:dyDescent="0.25">
      <c r="A10114" t="s">
        <v>17671</v>
      </c>
      <c r="B10114" t="s">
        <v>17672</v>
      </c>
      <c r="C10114" s="1" t="str">
        <f>HYPERLINK("http://www.genecards.org/cgi-bin/carddisp.pl?gene=TTC38","GeneCards")</f>
        <v>GeneCards</v>
      </c>
      <c r="D10114" s="1" t="str">
        <f>HYPERLINK("http://genome-euro.ucsc.edu/cgi-bin/hgTracks?position=216434_at","UCSC")</f>
        <v>UCSC</v>
      </c>
      <c r="E10114" s="1" t="str">
        <f>HYPERLINK("http://www.ncbi.nlm.nih.gov/gene/?term=TTC38","NCBI")</f>
        <v>NCBI</v>
      </c>
      <c r="F10114">
        <v>0.22</v>
      </c>
      <c r="G10114">
        <v>0.37</v>
      </c>
      <c r="H10114" s="1" t="str">
        <f>HYPERLINK("http://www.weizmann.ac.il/complex/compphys/software/geview/data/figures/216434_at.png","Figure")</f>
        <v>Figure</v>
      </c>
      <c r="I10114">
        <v>1.32</v>
      </c>
      <c r="J10114">
        <v>0.21</v>
      </c>
      <c r="K10114">
        <v>1.18</v>
      </c>
      <c r="L10114">
        <v>0.45</v>
      </c>
      <c r="M10114">
        <v>0.89500000000000002</v>
      </c>
      <c r="N10114">
        <v>0.72</v>
      </c>
    </row>
    <row r="10115" spans="1:14" x14ac:dyDescent="0.25">
      <c r="A10115" t="s">
        <v>17673</v>
      </c>
      <c r="B10115" t="s">
        <v>17674</v>
      </c>
      <c r="C10115" s="1" t="str">
        <f>HYPERLINK("http://www.genecards.org/cgi-bin/carddisp.pl?gene=DDX54","GeneCards")</f>
        <v>GeneCards</v>
      </c>
      <c r="D10115" s="1" t="str">
        <f>HYPERLINK("http://genome-euro.ucsc.edu/cgi-bin/hgTracks?position=219111_s_at","UCSC")</f>
        <v>UCSC</v>
      </c>
      <c r="E10115" s="1" t="str">
        <f>HYPERLINK("http://www.ncbi.nlm.nih.gov/gene/?term=DDX54","NCBI")</f>
        <v>NCBI</v>
      </c>
      <c r="F10115">
        <v>0.22</v>
      </c>
      <c r="G10115">
        <v>0.37</v>
      </c>
      <c r="H10115" s="1" t="str">
        <f>HYPERLINK("http://www.weizmann.ac.il/complex/compphys/software/geview/data/figures/219111_s_at.png","Figure")</f>
        <v>Figure</v>
      </c>
      <c r="I10115">
        <v>1.27</v>
      </c>
      <c r="J10115">
        <v>0.31</v>
      </c>
      <c r="K10115">
        <v>1.25</v>
      </c>
      <c r="L10115">
        <v>0.26</v>
      </c>
      <c r="M10115">
        <v>0.98699999999999999</v>
      </c>
      <c r="N10115">
        <v>1</v>
      </c>
    </row>
    <row r="10116" spans="1:14" x14ac:dyDescent="0.25">
      <c r="A10116" t="s">
        <v>17675</v>
      </c>
      <c r="B10116" t="s">
        <v>891</v>
      </c>
      <c r="C10116" s="1" t="str">
        <f>HYPERLINK("http://www.genecards.org/cgi-bin/carddisp.pl?gene=HSBP1","GeneCards")</f>
        <v>GeneCards</v>
      </c>
      <c r="D10116" s="1" t="str">
        <f>HYPERLINK("http://genome-euro.ucsc.edu/cgi-bin/hgTracks?position=200941_at","UCSC")</f>
        <v>UCSC</v>
      </c>
      <c r="E10116" s="1" t="str">
        <f>HYPERLINK("http://www.ncbi.nlm.nih.gov/gene/?term=HSBP1","NCBI")</f>
        <v>NCBI</v>
      </c>
      <c r="F10116">
        <v>0.22</v>
      </c>
      <c r="G10116">
        <v>0.37</v>
      </c>
      <c r="H10116" s="1" t="str">
        <f>HYPERLINK("http://www.weizmann.ac.il/complex/compphys/software/geview/data/figures/200941_at.png","Figure")</f>
        <v>Figure</v>
      </c>
      <c r="I10116">
        <v>1.34</v>
      </c>
      <c r="J10116">
        <v>0.22</v>
      </c>
      <c r="K10116">
        <v>1.21</v>
      </c>
      <c r="L10116">
        <v>0.4</v>
      </c>
      <c r="M10116">
        <v>0.90500000000000003</v>
      </c>
      <c r="N10116">
        <v>0.8</v>
      </c>
    </row>
    <row r="10117" spans="1:14" x14ac:dyDescent="0.25">
      <c r="A10117" t="s">
        <v>17676</v>
      </c>
      <c r="B10117" t="s">
        <v>2208</v>
      </c>
      <c r="C10117" s="1" t="str">
        <f>HYPERLINK("http://www.genecards.org/cgi-bin/carddisp.pl?gene=PUM1","GeneCards")</f>
        <v>GeneCards</v>
      </c>
      <c r="D10117" s="1" t="str">
        <f>HYPERLINK("http://genome-euro.ucsc.edu/cgi-bin/hgTracks?position=201166_s_at","UCSC")</f>
        <v>UCSC</v>
      </c>
      <c r="E10117" s="1" t="str">
        <f>HYPERLINK("http://www.ncbi.nlm.nih.gov/gene/?term=PUM1","NCBI")</f>
        <v>NCBI</v>
      </c>
      <c r="F10117">
        <v>0.22</v>
      </c>
      <c r="G10117">
        <v>0.37</v>
      </c>
      <c r="H10117" s="1" t="str">
        <f>HYPERLINK("http://www.weizmann.ac.il/complex/compphys/software/geview/data/figures/201166_s_at.png","Figure")</f>
        <v>Figure</v>
      </c>
      <c r="I10117">
        <v>1.03</v>
      </c>
      <c r="J10117">
        <v>0.99</v>
      </c>
      <c r="K10117">
        <v>0.75800000000000001</v>
      </c>
      <c r="L10117">
        <v>0.32</v>
      </c>
      <c r="M10117">
        <v>0.73599999999999999</v>
      </c>
      <c r="N10117">
        <v>0.3</v>
      </c>
    </row>
    <row r="10118" spans="1:14" x14ac:dyDescent="0.25">
      <c r="A10118" t="s">
        <v>17677</v>
      </c>
      <c r="B10118" t="s">
        <v>17678</v>
      </c>
      <c r="C10118" s="1" t="str">
        <f>HYPERLINK("http://www.genecards.org/cgi-bin/carddisp.pl?gene=SMAD4","GeneCards")</f>
        <v>GeneCards</v>
      </c>
      <c r="D10118" s="1" t="str">
        <f>HYPERLINK("http://genome-euro.ucsc.edu/cgi-bin/hgTracks?position=202527_s_at","UCSC")</f>
        <v>UCSC</v>
      </c>
      <c r="E10118" s="1" t="str">
        <f>HYPERLINK("http://www.ncbi.nlm.nih.gov/gene/?term=SMAD4","NCBI")</f>
        <v>NCBI</v>
      </c>
      <c r="F10118">
        <v>0.22</v>
      </c>
      <c r="G10118">
        <v>0.37</v>
      </c>
      <c r="H10118" s="1" t="str">
        <f>HYPERLINK("http://www.weizmann.ac.il/complex/compphys/software/geview/data/figures/202527_s_at.png","Figure")</f>
        <v>Figure</v>
      </c>
      <c r="I10118">
        <v>0.629</v>
      </c>
      <c r="J10118">
        <v>0.28000000000000003</v>
      </c>
      <c r="K10118">
        <v>0.66300000000000003</v>
      </c>
      <c r="L10118">
        <v>0.27</v>
      </c>
      <c r="M10118">
        <v>1.05</v>
      </c>
      <c r="N10118">
        <v>0.98</v>
      </c>
    </row>
    <row r="10119" spans="1:14" x14ac:dyDescent="0.25">
      <c r="A10119" t="s">
        <v>17679</v>
      </c>
      <c r="B10119" t="s">
        <v>12787</v>
      </c>
      <c r="C10119" s="1" t="str">
        <f>HYPERLINK("http://www.genecards.org/cgi-bin/carddisp.pl?gene=TRIOBP","GeneCards")</f>
        <v>GeneCards</v>
      </c>
      <c r="D10119" s="1" t="str">
        <f>HYPERLINK("http://genome-euro.ucsc.edu/cgi-bin/hgTracks?position=202795_x_at","UCSC")</f>
        <v>UCSC</v>
      </c>
      <c r="E10119" s="1" t="str">
        <f>HYPERLINK("http://www.ncbi.nlm.nih.gov/gene/?term=TRIOBP","NCBI")</f>
        <v>NCBI</v>
      </c>
      <c r="F10119">
        <v>0.22</v>
      </c>
      <c r="G10119">
        <v>0.37</v>
      </c>
      <c r="H10119" s="1" t="str">
        <f>HYPERLINK("http://www.weizmann.ac.il/complex/compphys/software/geview/data/figures/202795_x_at.png","Figure")</f>
        <v>Figure</v>
      </c>
      <c r="I10119">
        <v>1.17</v>
      </c>
      <c r="J10119">
        <v>0.21</v>
      </c>
      <c r="K10119">
        <v>1.1000000000000001</v>
      </c>
      <c r="L10119">
        <v>0.41</v>
      </c>
      <c r="M10119">
        <v>0.94699999999999995</v>
      </c>
      <c r="N10119">
        <v>0.78</v>
      </c>
    </row>
    <row r="10120" spans="1:14" x14ac:dyDescent="0.25">
      <c r="A10120" t="s">
        <v>17680</v>
      </c>
      <c r="B10120" t="s">
        <v>17681</v>
      </c>
      <c r="C10120" s="1" t="str">
        <f>HYPERLINK("http://www.genecards.org/cgi-bin/carddisp.pl?gene=PTPN4","GeneCards")</f>
        <v>GeneCards</v>
      </c>
      <c r="D10120" s="1" t="str">
        <f>HYPERLINK("http://genome-euro.ucsc.edu/cgi-bin/hgTracks?position=205171_at","UCSC")</f>
        <v>UCSC</v>
      </c>
      <c r="E10120" s="1" t="str">
        <f>HYPERLINK("http://www.ncbi.nlm.nih.gov/gene/?term=PTPN4","NCBI")</f>
        <v>NCBI</v>
      </c>
      <c r="F10120">
        <v>0.22</v>
      </c>
      <c r="G10120">
        <v>0.37</v>
      </c>
      <c r="H10120" s="1" t="str">
        <f>HYPERLINK("http://www.weizmann.ac.il/complex/compphys/software/geview/data/figures/205171_at.png","Figure")</f>
        <v>Figure</v>
      </c>
      <c r="I10120">
        <v>1.18</v>
      </c>
      <c r="J10120">
        <v>0.41</v>
      </c>
      <c r="K10120">
        <v>0.95299999999999996</v>
      </c>
      <c r="L10120">
        <v>0.9</v>
      </c>
      <c r="M10120">
        <v>0.80900000000000005</v>
      </c>
      <c r="N10120">
        <v>0.2</v>
      </c>
    </row>
    <row r="10121" spans="1:14" x14ac:dyDescent="0.25">
      <c r="A10121" t="s">
        <v>17682</v>
      </c>
      <c r="B10121" t="s">
        <v>17683</v>
      </c>
      <c r="C10121" s="1" t="str">
        <f>HYPERLINK("http://www.genecards.org/cgi-bin/carddisp.pl?gene=MAT1A","GeneCards")</f>
        <v>GeneCards</v>
      </c>
      <c r="D10121" s="1" t="str">
        <f>HYPERLINK("http://genome-euro.ucsc.edu/cgi-bin/hgTracks?position=205813_s_at","UCSC")</f>
        <v>UCSC</v>
      </c>
      <c r="E10121" s="1" t="str">
        <f>HYPERLINK("http://www.ncbi.nlm.nih.gov/gene/?term=MAT1A","NCBI")</f>
        <v>NCBI</v>
      </c>
      <c r="F10121">
        <v>0.22</v>
      </c>
      <c r="G10121">
        <v>0.37</v>
      </c>
      <c r="H10121" s="1" t="str">
        <f>HYPERLINK("http://www.weizmann.ac.il/complex/compphys/software/geview/data/figures/205813_s_at.png","Figure")</f>
        <v>Figure</v>
      </c>
      <c r="I10121">
        <v>1.1499999999999999</v>
      </c>
      <c r="J10121">
        <v>0.27</v>
      </c>
      <c r="K10121">
        <v>1.01</v>
      </c>
      <c r="L10121">
        <v>0.99</v>
      </c>
      <c r="M10121">
        <v>0.877</v>
      </c>
      <c r="N10121">
        <v>0.26</v>
      </c>
    </row>
    <row r="10122" spans="1:14" x14ac:dyDescent="0.25">
      <c r="A10122" t="s">
        <v>17684</v>
      </c>
      <c r="B10122" t="s">
        <v>17685</v>
      </c>
      <c r="C10122" s="1" t="str">
        <f>HYPERLINK("http://www.genecards.org/cgi-bin/carddisp.pl?gene=TOP1","GeneCards")</f>
        <v>GeneCards</v>
      </c>
      <c r="D10122" s="1" t="str">
        <f>HYPERLINK("http://genome-euro.ucsc.edu/cgi-bin/hgTracks?position=208900_s_at","UCSC")</f>
        <v>UCSC</v>
      </c>
      <c r="E10122" s="1" t="str">
        <f>HYPERLINK("http://www.ncbi.nlm.nih.gov/gene/?term=TOP1","NCBI")</f>
        <v>NCBI</v>
      </c>
      <c r="F10122">
        <v>0.22</v>
      </c>
      <c r="G10122">
        <v>0.37</v>
      </c>
      <c r="H10122" s="1" t="str">
        <f>HYPERLINK("http://www.weizmann.ac.il/complex/compphys/software/geview/data/figures/208900_s_at.png","Figure")</f>
        <v>Figure</v>
      </c>
      <c r="I10122">
        <v>1.26</v>
      </c>
      <c r="J10122">
        <v>0.31</v>
      </c>
      <c r="K10122">
        <v>0.98399999999999999</v>
      </c>
      <c r="L10122">
        <v>0.99</v>
      </c>
      <c r="M10122">
        <v>0.78</v>
      </c>
      <c r="N10122">
        <v>0.23</v>
      </c>
    </row>
    <row r="10123" spans="1:14" x14ac:dyDescent="0.25">
      <c r="A10123" t="s">
        <v>17686</v>
      </c>
      <c r="B10123" t="s">
        <v>17687</v>
      </c>
      <c r="C10123" s="1" t="str">
        <f>HYPERLINK("http://www.genecards.org/cgi-bin/carddisp.pl?gene=WAC","GeneCards")</f>
        <v>GeneCards</v>
      </c>
      <c r="D10123" s="1" t="str">
        <f>HYPERLINK("http://genome-euro.ucsc.edu/cgi-bin/hgTracks?position=219679_s_at","UCSC")</f>
        <v>UCSC</v>
      </c>
      <c r="E10123" s="1" t="str">
        <f>HYPERLINK("http://www.ncbi.nlm.nih.gov/gene/?term=WAC","NCBI")</f>
        <v>NCBI</v>
      </c>
      <c r="F10123">
        <v>0.22</v>
      </c>
      <c r="G10123">
        <v>0.37</v>
      </c>
      <c r="H10123" s="1" t="str">
        <f>HYPERLINK("http://www.weizmann.ac.il/complex/compphys/software/geview/data/figures/219679_s_at.png","Figure")</f>
        <v>Figure</v>
      </c>
      <c r="I10123">
        <v>0.874</v>
      </c>
      <c r="J10123">
        <v>0.85</v>
      </c>
      <c r="K10123">
        <v>0.68500000000000005</v>
      </c>
      <c r="L10123">
        <v>0.21</v>
      </c>
      <c r="M10123">
        <v>0.78300000000000003</v>
      </c>
      <c r="N10123">
        <v>0.54</v>
      </c>
    </row>
    <row r="10124" spans="1:14" x14ac:dyDescent="0.25">
      <c r="A10124" t="s">
        <v>17688</v>
      </c>
      <c r="B10124" t="s">
        <v>4996</v>
      </c>
      <c r="C10124" s="1" t="str">
        <f>HYPERLINK("http://www.genecards.org/cgi-bin/carddisp.pl?gene=APLP2","GeneCards")</f>
        <v>GeneCards</v>
      </c>
      <c r="D10124" s="1" t="str">
        <f>HYPERLINK("http://genome-euro.ucsc.edu/cgi-bin/hgTracks?position=211404_s_at","UCSC")</f>
        <v>UCSC</v>
      </c>
      <c r="E10124" s="1" t="str">
        <f>HYPERLINK("http://www.ncbi.nlm.nih.gov/gene/?term=APLP2","NCBI")</f>
        <v>NCBI</v>
      </c>
      <c r="F10124">
        <v>0.22</v>
      </c>
      <c r="G10124">
        <v>0.37</v>
      </c>
      <c r="H10124" s="1" t="str">
        <f>HYPERLINK("http://www.weizmann.ac.il/complex/compphys/software/geview/data/figures/211404_s_at.png","Figure")</f>
        <v>Figure</v>
      </c>
      <c r="I10124">
        <v>0.77500000000000002</v>
      </c>
      <c r="J10124">
        <v>0.23</v>
      </c>
      <c r="K10124">
        <v>0.83199999999999996</v>
      </c>
      <c r="L10124">
        <v>0.36</v>
      </c>
      <c r="M10124">
        <v>1.07</v>
      </c>
      <c r="N10124">
        <v>0.86</v>
      </c>
    </row>
    <row r="10125" spans="1:14" x14ac:dyDescent="0.25">
      <c r="A10125" t="s">
        <v>17689</v>
      </c>
      <c r="B10125" t="s">
        <v>5606</v>
      </c>
      <c r="C10125" s="1" t="str">
        <f>HYPERLINK("http://www.genecards.org/cgi-bin/carddisp.pl?gene=ZBTB7A","GeneCards")</f>
        <v>GeneCards</v>
      </c>
      <c r="D10125" s="1" t="str">
        <f>HYPERLINK("http://genome-euro.ucsc.edu/cgi-bin/hgTracks?position=219186_at","UCSC")</f>
        <v>UCSC</v>
      </c>
      <c r="E10125" s="1" t="str">
        <f>HYPERLINK("http://www.ncbi.nlm.nih.gov/gene/?term=ZBTB7A","NCBI")</f>
        <v>NCBI</v>
      </c>
      <c r="F10125">
        <v>0.22</v>
      </c>
      <c r="G10125">
        <v>0.37</v>
      </c>
      <c r="H10125" s="1" t="str">
        <f>HYPERLINK("http://www.weizmann.ac.il/complex/compphys/software/geview/data/figures/219186_at.png","Figure")</f>
        <v>Figure</v>
      </c>
      <c r="I10125">
        <v>1.03</v>
      </c>
      <c r="J10125">
        <v>0.94</v>
      </c>
      <c r="K10125">
        <v>0.91</v>
      </c>
      <c r="L10125">
        <v>0.38</v>
      </c>
      <c r="M10125">
        <v>0.88500000000000001</v>
      </c>
      <c r="N10125">
        <v>0.26</v>
      </c>
    </row>
    <row r="10126" spans="1:14" x14ac:dyDescent="0.25">
      <c r="A10126" t="s">
        <v>17690</v>
      </c>
      <c r="B10126" t="s">
        <v>17691</v>
      </c>
      <c r="C10126" s="1" t="str">
        <f>HYPERLINK("http://www.genecards.org/cgi-bin/carddisp.pl?gene=OR12D2","GeneCards")</f>
        <v>GeneCards</v>
      </c>
      <c r="D10126" s="1" t="str">
        <f>HYPERLINK("http://genome-euro.ucsc.edu/cgi-bin/hgTracks?position=221344_at","UCSC")</f>
        <v>UCSC</v>
      </c>
      <c r="E10126" s="1" t="str">
        <f>HYPERLINK("http://www.ncbi.nlm.nih.gov/gene/?term=OR12D2","NCBI")</f>
        <v>NCBI</v>
      </c>
      <c r="F10126">
        <v>0.22</v>
      </c>
      <c r="G10126">
        <v>0.37</v>
      </c>
      <c r="H10126" s="1" t="str">
        <f>HYPERLINK("http://www.weizmann.ac.il/complex/compphys/software/geview/data/figures/221344_at.png","Figure")</f>
        <v>Figure</v>
      </c>
      <c r="I10126">
        <v>1.08</v>
      </c>
      <c r="J10126">
        <v>0.22</v>
      </c>
      <c r="K10126">
        <v>1.02</v>
      </c>
      <c r="L10126">
        <v>0.9</v>
      </c>
      <c r="M10126">
        <v>0.94299999999999995</v>
      </c>
      <c r="N10126">
        <v>0.33</v>
      </c>
    </row>
    <row r="10127" spans="1:14" x14ac:dyDescent="0.25">
      <c r="A10127" t="s">
        <v>17692</v>
      </c>
      <c r="B10127" t="s">
        <v>17693</v>
      </c>
      <c r="C10127" s="1" t="str">
        <f>HYPERLINK("http://www.genecards.org/cgi-bin/carddisp.pl?gene=ACR /// LOC645529","GeneCards")</f>
        <v>GeneCards</v>
      </c>
      <c r="D10127" s="1" t="str">
        <f>HYPERLINK("http://genome-euro.ucsc.edu/cgi-bin/hgTracks?position=207427_at","UCSC")</f>
        <v>UCSC</v>
      </c>
      <c r="E10127" s="1" t="str">
        <f>HYPERLINK("http://www.ncbi.nlm.nih.gov/gene/?term=ACR /// LOC645529","NCBI")</f>
        <v>NCBI</v>
      </c>
      <c r="F10127">
        <v>0.22</v>
      </c>
      <c r="G10127">
        <v>0.37</v>
      </c>
      <c r="H10127" s="1" t="str">
        <f>HYPERLINK("http://www.weizmann.ac.il/complex/compphys/software/geview/data/figures/207427_at.png","Figure")</f>
        <v>Figure</v>
      </c>
      <c r="I10127">
        <v>1.1000000000000001</v>
      </c>
      <c r="J10127">
        <v>0.44</v>
      </c>
      <c r="K10127">
        <v>0.96699999999999997</v>
      </c>
      <c r="L10127">
        <v>0.87</v>
      </c>
      <c r="M10127">
        <v>0.88</v>
      </c>
      <c r="N10127">
        <v>0.2</v>
      </c>
    </row>
    <row r="10128" spans="1:14" x14ac:dyDescent="0.25">
      <c r="A10128" t="s">
        <v>17694</v>
      </c>
      <c r="B10128" t="s">
        <v>17695</v>
      </c>
      <c r="C10128" s="1" t="str">
        <f>HYPERLINK("http://www.genecards.org/cgi-bin/carddisp.pl?gene=MBD3","GeneCards")</f>
        <v>GeneCards</v>
      </c>
      <c r="D10128" s="1" t="str">
        <f>HYPERLINK("http://genome-euro.ucsc.edu/cgi-bin/hgTracks?position=41160_at","UCSC")</f>
        <v>UCSC</v>
      </c>
      <c r="E10128" s="1" t="str">
        <f>HYPERLINK("http://www.ncbi.nlm.nih.gov/gene/?term=MBD3","NCBI")</f>
        <v>NCBI</v>
      </c>
      <c r="F10128">
        <v>0.22</v>
      </c>
      <c r="G10128">
        <v>0.37</v>
      </c>
      <c r="H10128" s="1" t="str">
        <f>HYPERLINK("http://www.weizmann.ac.il/complex/compphys/software/geview/data/figures/41160_at.png","Figure")</f>
        <v>Figure</v>
      </c>
      <c r="I10128">
        <v>1.08</v>
      </c>
      <c r="J10128">
        <v>0.9</v>
      </c>
      <c r="K10128">
        <v>1.28</v>
      </c>
      <c r="L10128">
        <v>0.22</v>
      </c>
      <c r="M10128">
        <v>1.19</v>
      </c>
      <c r="N10128">
        <v>0.49</v>
      </c>
    </row>
    <row r="10129" spans="1:14" x14ac:dyDescent="0.25">
      <c r="A10129" t="s">
        <v>17696</v>
      </c>
      <c r="B10129" t="s">
        <v>17697</v>
      </c>
      <c r="C10129" s="1" t="str">
        <f>HYPERLINK("http://www.genecards.org/cgi-bin/carddisp.pl?gene=LRRFIP1","GeneCards")</f>
        <v>GeneCards</v>
      </c>
      <c r="D10129" s="1" t="str">
        <f>HYPERLINK("http://genome-euro.ucsc.edu/cgi-bin/hgTracks?position=201861_s_at","UCSC")</f>
        <v>UCSC</v>
      </c>
      <c r="E10129" s="1" t="str">
        <f>HYPERLINK("http://www.ncbi.nlm.nih.gov/gene/?term=LRRFIP1","NCBI")</f>
        <v>NCBI</v>
      </c>
      <c r="F10129">
        <v>0.22</v>
      </c>
      <c r="G10129">
        <v>0.37</v>
      </c>
      <c r="H10129" s="1" t="str">
        <f>HYPERLINK("http://www.weizmann.ac.il/complex/compphys/software/geview/data/figures/201861_s_at.png","Figure")</f>
        <v>Figure</v>
      </c>
      <c r="I10129">
        <v>1.47</v>
      </c>
      <c r="J10129">
        <v>0.22</v>
      </c>
      <c r="K10129">
        <v>1.08</v>
      </c>
      <c r="L10129">
        <v>0.92</v>
      </c>
      <c r="M10129">
        <v>0.73399999999999999</v>
      </c>
      <c r="N10129">
        <v>0.32</v>
      </c>
    </row>
    <row r="10130" spans="1:14" x14ac:dyDescent="0.25">
      <c r="A10130" t="s">
        <v>17698</v>
      </c>
      <c r="B10130" t="s">
        <v>17699</v>
      </c>
      <c r="C10130" s="1" t="str">
        <f>HYPERLINK("http://www.genecards.org/cgi-bin/carddisp.pl?gene=RPL39","GeneCards")</f>
        <v>GeneCards</v>
      </c>
      <c r="D10130" s="1" t="str">
        <f>HYPERLINK("http://genome-euro.ucsc.edu/cgi-bin/hgTracks?position=208695_s_at","UCSC")</f>
        <v>UCSC</v>
      </c>
      <c r="E10130" s="1" t="str">
        <f>HYPERLINK("http://www.ncbi.nlm.nih.gov/gene/?term=RPL39","NCBI")</f>
        <v>NCBI</v>
      </c>
      <c r="F10130">
        <v>0.22</v>
      </c>
      <c r="G10130">
        <v>0.37</v>
      </c>
      <c r="H10130" s="1" t="str">
        <f>HYPERLINK("http://www.weizmann.ac.il/complex/compphys/software/geview/data/figures/208695_s_at.png","Figure")</f>
        <v>Figure</v>
      </c>
      <c r="I10130">
        <v>0.86499999999999999</v>
      </c>
      <c r="J10130">
        <v>0.24</v>
      </c>
      <c r="K10130">
        <v>0.89500000000000002</v>
      </c>
      <c r="L10130">
        <v>0.33</v>
      </c>
      <c r="M10130">
        <v>1.04</v>
      </c>
      <c r="N10130">
        <v>0.9</v>
      </c>
    </row>
    <row r="10131" spans="1:14" x14ac:dyDescent="0.25">
      <c r="A10131" t="s">
        <v>17700</v>
      </c>
      <c r="B10131" t="s">
        <v>17701</v>
      </c>
      <c r="C10131" s="1" t="str">
        <f>HYPERLINK("http://www.genecards.org/cgi-bin/carddisp.pl?gene=CLIP2","GeneCards")</f>
        <v>GeneCards</v>
      </c>
      <c r="D10131" s="1" t="str">
        <f>HYPERLINK("http://genome-euro.ucsc.edu/cgi-bin/hgTracks?position=211031_s_at","UCSC")</f>
        <v>UCSC</v>
      </c>
      <c r="E10131" s="1" t="str">
        <f>HYPERLINK("http://www.ncbi.nlm.nih.gov/gene/?term=CLIP2","NCBI")</f>
        <v>NCBI</v>
      </c>
      <c r="F10131">
        <v>0.22</v>
      </c>
      <c r="G10131">
        <v>0.37</v>
      </c>
      <c r="H10131" s="1" t="str">
        <f>HYPERLINK("http://www.weizmann.ac.il/complex/compphys/software/geview/data/figures/211031_s_at.png","Figure")</f>
        <v>Figure</v>
      </c>
      <c r="I10131">
        <v>0.91500000000000004</v>
      </c>
      <c r="J10131">
        <v>0.9</v>
      </c>
      <c r="K10131">
        <v>1.26</v>
      </c>
      <c r="L10131">
        <v>0.41</v>
      </c>
      <c r="M10131">
        <v>1.38</v>
      </c>
      <c r="N10131">
        <v>0.24</v>
      </c>
    </row>
    <row r="10132" spans="1:14" x14ac:dyDescent="0.25">
      <c r="A10132" t="s">
        <v>17702</v>
      </c>
      <c r="B10132" t="s">
        <v>16745</v>
      </c>
      <c r="C10132" s="1" t="str">
        <f>HYPERLINK("http://www.genecards.org/cgi-bin/carddisp.pl?gene=FBXO41","GeneCards")</f>
        <v>GeneCards</v>
      </c>
      <c r="D10132" s="1" t="str">
        <f>HYPERLINK("http://genome-euro.ucsc.edu/cgi-bin/hgTracks?position=221945_at","UCSC")</f>
        <v>UCSC</v>
      </c>
      <c r="E10132" s="1" t="str">
        <f>HYPERLINK("http://www.ncbi.nlm.nih.gov/gene/?term=FBXO41","NCBI")</f>
        <v>NCBI</v>
      </c>
      <c r="F10132">
        <v>0.22</v>
      </c>
      <c r="G10132">
        <v>0.37</v>
      </c>
      <c r="H10132" s="1" t="str">
        <f>HYPERLINK("http://www.weizmann.ac.il/complex/compphys/software/geview/data/figures/221945_at.png","Figure")</f>
        <v>Figure</v>
      </c>
      <c r="I10132">
        <v>0.80700000000000005</v>
      </c>
      <c r="J10132">
        <v>0.27</v>
      </c>
      <c r="K10132">
        <v>0.83499999999999996</v>
      </c>
      <c r="L10132">
        <v>0.28999999999999998</v>
      </c>
      <c r="M10132">
        <v>1.03</v>
      </c>
      <c r="N10132">
        <v>0.96</v>
      </c>
    </row>
    <row r="10133" spans="1:14" x14ac:dyDescent="0.25">
      <c r="A10133" t="s">
        <v>17703</v>
      </c>
      <c r="B10133" t="s">
        <v>17704</v>
      </c>
      <c r="C10133" s="1" t="str">
        <f>HYPERLINK("http://www.genecards.org/cgi-bin/carddisp.pl?gene=PIK3CA","GeneCards")</f>
        <v>GeneCards</v>
      </c>
      <c r="D10133" s="1" t="str">
        <f>HYPERLINK("http://genome-euro.ucsc.edu/cgi-bin/hgTracks?position=204369_at","UCSC")</f>
        <v>UCSC</v>
      </c>
      <c r="E10133" s="1" t="str">
        <f>HYPERLINK("http://www.ncbi.nlm.nih.gov/gene/?term=PIK3CA","NCBI")</f>
        <v>NCBI</v>
      </c>
      <c r="F10133">
        <v>0.22</v>
      </c>
      <c r="G10133">
        <v>0.37</v>
      </c>
      <c r="H10133" s="1" t="str">
        <f>HYPERLINK("http://www.weizmann.ac.il/complex/compphys/software/geview/data/figures/204369_at.png","Figure")</f>
        <v>Figure</v>
      </c>
      <c r="I10133">
        <v>0.98699999999999999</v>
      </c>
      <c r="J10133">
        <v>1</v>
      </c>
      <c r="K10133">
        <v>0.70899999999999996</v>
      </c>
      <c r="L10133">
        <v>0.28000000000000003</v>
      </c>
      <c r="M10133">
        <v>0.71799999999999997</v>
      </c>
      <c r="N10133">
        <v>0.35</v>
      </c>
    </row>
    <row r="10134" spans="1:14" x14ac:dyDescent="0.25">
      <c r="A10134" t="s">
        <v>17705</v>
      </c>
      <c r="B10134" t="s">
        <v>17706</v>
      </c>
      <c r="C10134" s="1" t="str">
        <f>HYPERLINK("http://www.genecards.org/cgi-bin/carddisp.pl?gene=BIN1","GeneCards")</f>
        <v>GeneCards</v>
      </c>
      <c r="D10134" s="1" t="str">
        <f>HYPERLINK("http://genome-euro.ucsc.edu/cgi-bin/hgTracks?position=210202_s_at","UCSC")</f>
        <v>UCSC</v>
      </c>
      <c r="E10134" s="1" t="str">
        <f>HYPERLINK("http://www.ncbi.nlm.nih.gov/gene/?term=BIN1","NCBI")</f>
        <v>NCBI</v>
      </c>
      <c r="F10134">
        <v>0.22</v>
      </c>
      <c r="G10134">
        <v>0.37</v>
      </c>
      <c r="H10134" s="1" t="str">
        <f>HYPERLINK("http://www.weizmann.ac.il/complex/compphys/software/geview/data/figures/210202_s_at.png","Figure")</f>
        <v>Figure</v>
      </c>
      <c r="I10134">
        <v>0.81799999999999995</v>
      </c>
      <c r="J10134">
        <v>0.43</v>
      </c>
      <c r="K10134">
        <v>1.07</v>
      </c>
      <c r="L10134">
        <v>0.88</v>
      </c>
      <c r="M10134">
        <v>1.31</v>
      </c>
      <c r="N10134">
        <v>0.2</v>
      </c>
    </row>
    <row r="10135" spans="1:14" x14ac:dyDescent="0.25">
      <c r="A10135" t="s">
        <v>17707</v>
      </c>
      <c r="B10135" t="s">
        <v>12106</v>
      </c>
      <c r="C10135" s="1" t="str">
        <f>HYPERLINK("http://www.genecards.org/cgi-bin/carddisp.pl?gene=DZIP3","GeneCards")</f>
        <v>GeneCards</v>
      </c>
      <c r="D10135" s="1" t="str">
        <f>HYPERLINK("http://genome-euro.ucsc.edu/cgi-bin/hgTracks?position=213186_at","UCSC")</f>
        <v>UCSC</v>
      </c>
      <c r="E10135" s="1" t="str">
        <f>HYPERLINK("http://www.ncbi.nlm.nih.gov/gene/?term=DZIP3","NCBI")</f>
        <v>NCBI</v>
      </c>
      <c r="F10135">
        <v>0.22</v>
      </c>
      <c r="G10135">
        <v>0.37</v>
      </c>
      <c r="H10135" s="1" t="str">
        <f>HYPERLINK("http://www.weizmann.ac.il/complex/compphys/software/geview/data/figures/213186_at.png","Figure")</f>
        <v>Figure</v>
      </c>
      <c r="I10135">
        <v>0.93</v>
      </c>
      <c r="J10135">
        <v>0.21</v>
      </c>
      <c r="K10135">
        <v>0.98</v>
      </c>
      <c r="L10135">
        <v>0.84</v>
      </c>
      <c r="M10135">
        <v>1.05</v>
      </c>
      <c r="N10135">
        <v>0.37</v>
      </c>
    </row>
    <row r="10136" spans="1:14" x14ac:dyDescent="0.25">
      <c r="A10136" t="s">
        <v>17708</v>
      </c>
      <c r="B10136" t="s">
        <v>17709</v>
      </c>
      <c r="C10136" s="1" t="str">
        <f>HYPERLINK("http://www.genecards.org/cgi-bin/carddisp.pl?gene=ZNF451","GeneCards")</f>
        <v>GeneCards</v>
      </c>
      <c r="D10136" s="1" t="str">
        <f>HYPERLINK("http://genome-euro.ucsc.edu/cgi-bin/hgTracks?position=215012_at","UCSC")</f>
        <v>UCSC</v>
      </c>
      <c r="E10136" s="1" t="str">
        <f>HYPERLINK("http://www.ncbi.nlm.nih.gov/gene/?term=ZNF451","NCBI")</f>
        <v>NCBI</v>
      </c>
      <c r="F10136">
        <v>0.22</v>
      </c>
      <c r="G10136">
        <v>0.37</v>
      </c>
      <c r="H10136" s="1" t="str">
        <f>HYPERLINK("http://www.weizmann.ac.il/complex/compphys/software/geview/data/figures/215012_at.png","Figure")</f>
        <v>Figure</v>
      </c>
      <c r="I10136">
        <v>1.04</v>
      </c>
      <c r="J10136">
        <v>0.98</v>
      </c>
      <c r="K10136">
        <v>0.752</v>
      </c>
      <c r="L10136">
        <v>0.33</v>
      </c>
      <c r="M10136">
        <v>0.72399999999999998</v>
      </c>
      <c r="N10136">
        <v>0.28999999999999998</v>
      </c>
    </row>
    <row r="10137" spans="1:14" x14ac:dyDescent="0.25">
      <c r="A10137" t="s">
        <v>17710</v>
      </c>
      <c r="B10137" t="s">
        <v>17711</v>
      </c>
      <c r="C10137" s="1" t="str">
        <f>HYPERLINK("http://www.genecards.org/cgi-bin/carddisp.pl?gene=PUF60","GeneCards")</f>
        <v>GeneCards</v>
      </c>
      <c r="D10137" s="1" t="str">
        <f>HYPERLINK("http://genome-euro.ucsc.edu/cgi-bin/hgTracks?position=209899_s_at","UCSC")</f>
        <v>UCSC</v>
      </c>
      <c r="E10137" s="1" t="str">
        <f>HYPERLINK("http://www.ncbi.nlm.nih.gov/gene/?term=PUF60","NCBI")</f>
        <v>NCBI</v>
      </c>
      <c r="F10137">
        <v>0.22</v>
      </c>
      <c r="G10137">
        <v>0.37</v>
      </c>
      <c r="H10137" s="1" t="str">
        <f>HYPERLINK("http://www.weizmann.ac.il/complex/compphys/software/geview/data/figures/209899_s_at.png","Figure")</f>
        <v>Figure</v>
      </c>
      <c r="I10137">
        <v>1.32</v>
      </c>
      <c r="J10137">
        <v>0.21</v>
      </c>
      <c r="K10137">
        <v>1.18</v>
      </c>
      <c r="L10137">
        <v>0.45</v>
      </c>
      <c r="M10137">
        <v>0.89800000000000002</v>
      </c>
      <c r="N10137">
        <v>0.73</v>
      </c>
    </row>
    <row r="10138" spans="1:14" x14ac:dyDescent="0.25">
      <c r="A10138" t="s">
        <v>17712</v>
      </c>
      <c r="B10138" t="s">
        <v>17713</v>
      </c>
      <c r="C10138" s="1" t="str">
        <f>HYPERLINK("http://www.genecards.org/cgi-bin/carddisp.pl?gene=HAUS2","GeneCards")</f>
        <v>GeneCards</v>
      </c>
      <c r="D10138" s="1" t="str">
        <f>HYPERLINK("http://genome-euro.ucsc.edu/cgi-bin/hgTracks?position=220071_x_at","UCSC")</f>
        <v>UCSC</v>
      </c>
      <c r="E10138" s="1" t="str">
        <f>HYPERLINK("http://www.ncbi.nlm.nih.gov/gene/?term=HAUS2","NCBI")</f>
        <v>NCBI</v>
      </c>
      <c r="F10138">
        <v>0.22</v>
      </c>
      <c r="G10138">
        <v>0.37</v>
      </c>
      <c r="H10138" s="1" t="str">
        <f>HYPERLINK("http://www.weizmann.ac.il/complex/compphys/software/geview/data/figures/220071_x_at.png","Figure")</f>
        <v>Figure</v>
      </c>
      <c r="I10138">
        <v>1.45</v>
      </c>
      <c r="J10138">
        <v>0.37</v>
      </c>
      <c r="K10138">
        <v>0.92900000000000005</v>
      </c>
      <c r="L10138">
        <v>0.95</v>
      </c>
      <c r="M10138">
        <v>0.63900000000000001</v>
      </c>
      <c r="N10138">
        <v>0.21</v>
      </c>
    </row>
    <row r="10139" spans="1:14" x14ac:dyDescent="0.25">
      <c r="A10139" t="s">
        <v>17714</v>
      </c>
      <c r="B10139" t="s">
        <v>17715</v>
      </c>
      <c r="C10139" s="1" t="str">
        <f>HYPERLINK("http://www.genecards.org/cgi-bin/carddisp.pl?gene=SAFB","GeneCards")</f>
        <v>GeneCards</v>
      </c>
      <c r="D10139" s="1" t="str">
        <f>HYPERLINK("http://genome-euro.ucsc.edu/cgi-bin/hgTracks?position=201748_s_at","UCSC")</f>
        <v>UCSC</v>
      </c>
      <c r="E10139" s="1" t="str">
        <f>HYPERLINK("http://www.ncbi.nlm.nih.gov/gene/?term=SAFB","NCBI")</f>
        <v>NCBI</v>
      </c>
      <c r="F10139">
        <v>0.22</v>
      </c>
      <c r="G10139">
        <v>0.37</v>
      </c>
      <c r="H10139" s="1" t="str">
        <f>HYPERLINK("http://www.weizmann.ac.il/complex/compphys/software/geview/data/figures/201748_s_at.png","Figure")</f>
        <v>Figure</v>
      </c>
      <c r="I10139">
        <v>1.18</v>
      </c>
      <c r="J10139">
        <v>0.5</v>
      </c>
      <c r="K10139">
        <v>0.92</v>
      </c>
      <c r="L10139">
        <v>0.8</v>
      </c>
      <c r="M10139">
        <v>0.77700000000000002</v>
      </c>
      <c r="N10139">
        <v>0.2</v>
      </c>
    </row>
    <row r="10140" spans="1:14" x14ac:dyDescent="0.25">
      <c r="A10140" t="s">
        <v>17716</v>
      </c>
      <c r="B10140" t="s">
        <v>17717</v>
      </c>
      <c r="C10140" s="1" t="str">
        <f>HYPERLINK("http://www.genecards.org/cgi-bin/carddisp.pl?gene=HIST1H2BD","GeneCards")</f>
        <v>GeneCards</v>
      </c>
      <c r="D10140" s="1" t="str">
        <f>HYPERLINK("http://genome-euro.ucsc.edu/cgi-bin/hgTracks?position=222067_x_at","UCSC")</f>
        <v>UCSC</v>
      </c>
      <c r="E10140" s="1" t="str">
        <f>HYPERLINK("http://www.ncbi.nlm.nih.gov/gene/?term=HIST1H2BD","NCBI")</f>
        <v>NCBI</v>
      </c>
      <c r="F10140">
        <v>0.22</v>
      </c>
      <c r="G10140">
        <v>0.37</v>
      </c>
      <c r="H10140" s="1" t="str">
        <f>HYPERLINK("http://www.weizmann.ac.il/complex/compphys/software/geview/data/figures/222067_x_at.png","Figure")</f>
        <v>Figure</v>
      </c>
      <c r="I10140">
        <v>1.66</v>
      </c>
      <c r="J10140">
        <v>0.52</v>
      </c>
      <c r="K10140">
        <v>2.0699999999999998</v>
      </c>
      <c r="L10140">
        <v>0.2</v>
      </c>
      <c r="M10140">
        <v>1.24</v>
      </c>
      <c r="N10140">
        <v>0.87</v>
      </c>
    </row>
    <row r="10141" spans="1:14" x14ac:dyDescent="0.25">
      <c r="A10141" t="s">
        <v>17718</v>
      </c>
      <c r="B10141" t="s">
        <v>16674</v>
      </c>
      <c r="C10141" s="1" t="str">
        <f>HYPERLINK("http://www.genecards.org/cgi-bin/carddisp.pl?gene=RPS17","GeneCards")</f>
        <v>GeneCards</v>
      </c>
      <c r="D10141" s="1" t="str">
        <f>HYPERLINK("http://genome-euro.ucsc.edu/cgi-bin/hgTracks?position=212578_x_at","UCSC")</f>
        <v>UCSC</v>
      </c>
      <c r="E10141" s="1" t="str">
        <f>HYPERLINK("http://www.ncbi.nlm.nih.gov/gene/?term=RPS17","NCBI")</f>
        <v>NCBI</v>
      </c>
      <c r="F10141">
        <v>0.22</v>
      </c>
      <c r="G10141">
        <v>0.37</v>
      </c>
      <c r="H10141" s="1" t="str">
        <f>HYPERLINK("http://www.weizmann.ac.il/complex/compphys/software/geview/data/figures/212578_x_at.png","Figure")</f>
        <v>Figure</v>
      </c>
      <c r="I10141">
        <v>1.31</v>
      </c>
      <c r="J10141">
        <v>0.21</v>
      </c>
      <c r="K10141">
        <v>1.19</v>
      </c>
      <c r="L10141">
        <v>0.43</v>
      </c>
      <c r="M10141">
        <v>0.90300000000000002</v>
      </c>
      <c r="N10141">
        <v>0.76</v>
      </c>
    </row>
    <row r="10142" spans="1:14" x14ac:dyDescent="0.25">
      <c r="A10142" t="s">
        <v>17719</v>
      </c>
      <c r="B10142" t="s">
        <v>3372</v>
      </c>
      <c r="C10142" s="1" t="str">
        <f>HYPERLINK("http://www.genecards.org/cgi-bin/carddisp.pl?gene=BUB3","GeneCards")</f>
        <v>GeneCards</v>
      </c>
      <c r="D10142" s="1" t="str">
        <f>HYPERLINK("http://genome-euro.ucsc.edu/cgi-bin/hgTracks?position=201458_s_at","UCSC")</f>
        <v>UCSC</v>
      </c>
      <c r="E10142" s="1" t="str">
        <f>HYPERLINK("http://www.ncbi.nlm.nih.gov/gene/?term=BUB3","NCBI")</f>
        <v>NCBI</v>
      </c>
      <c r="F10142">
        <v>0.22</v>
      </c>
      <c r="G10142">
        <v>0.37</v>
      </c>
      <c r="H10142" s="1" t="str">
        <f>HYPERLINK("http://www.weizmann.ac.il/complex/compphys/software/geview/data/figures/201458_s_at.png","Figure")</f>
        <v>Figure</v>
      </c>
      <c r="I10142">
        <v>1.39</v>
      </c>
      <c r="J10142">
        <v>0.22</v>
      </c>
      <c r="K10142">
        <v>1.24</v>
      </c>
      <c r="L10142">
        <v>0.41</v>
      </c>
      <c r="M10142">
        <v>0.89</v>
      </c>
      <c r="N10142">
        <v>0.78</v>
      </c>
    </row>
    <row r="10143" spans="1:14" x14ac:dyDescent="0.25">
      <c r="A10143" t="s">
        <v>17720</v>
      </c>
      <c r="B10143" t="s">
        <v>17721</v>
      </c>
      <c r="C10143" s="1" t="str">
        <f>HYPERLINK("http://www.genecards.org/cgi-bin/carddisp.pl?gene=DNAJC7","GeneCards")</f>
        <v>GeneCards</v>
      </c>
      <c r="D10143" s="1" t="str">
        <f>HYPERLINK("http://genome-euro.ucsc.edu/cgi-bin/hgTracks?position=202416_at","UCSC")</f>
        <v>UCSC</v>
      </c>
      <c r="E10143" s="1" t="str">
        <f>HYPERLINK("http://www.ncbi.nlm.nih.gov/gene/?term=DNAJC7","NCBI")</f>
        <v>NCBI</v>
      </c>
      <c r="F10143">
        <v>0.22</v>
      </c>
      <c r="G10143">
        <v>0.37</v>
      </c>
      <c r="H10143" s="1" t="str">
        <f>HYPERLINK("http://www.weizmann.ac.il/complex/compphys/software/geview/data/figures/202416_at.png","Figure")</f>
        <v>Figure</v>
      </c>
      <c r="I10143">
        <v>0.94599999999999995</v>
      </c>
      <c r="J10143">
        <v>0.88</v>
      </c>
      <c r="K10143">
        <v>1.1299999999999999</v>
      </c>
      <c r="L10143">
        <v>0.43</v>
      </c>
      <c r="M10143">
        <v>1.2</v>
      </c>
      <c r="N10143">
        <v>0.24</v>
      </c>
    </row>
    <row r="10144" spans="1:14" x14ac:dyDescent="0.25">
      <c r="A10144" t="s">
        <v>17722</v>
      </c>
      <c r="B10144" t="s">
        <v>14559</v>
      </c>
      <c r="C10144" s="1" t="str">
        <f>HYPERLINK("http://www.genecards.org/cgi-bin/carddisp.pl?gene=FGFR1","GeneCards")</f>
        <v>GeneCards</v>
      </c>
      <c r="D10144" s="1" t="str">
        <f>HYPERLINK("http://genome-euro.ucsc.edu/cgi-bin/hgTracks?position=207822_at","UCSC")</f>
        <v>UCSC</v>
      </c>
      <c r="E10144" s="1" t="str">
        <f>HYPERLINK("http://www.ncbi.nlm.nih.gov/gene/?term=FGFR1","NCBI")</f>
        <v>NCBI</v>
      </c>
      <c r="F10144">
        <v>0.22</v>
      </c>
      <c r="G10144">
        <v>0.37</v>
      </c>
      <c r="H10144" s="1" t="str">
        <f>HYPERLINK("http://www.weizmann.ac.il/complex/compphys/software/geview/data/figures/207822_at.png","Figure")</f>
        <v>Figure</v>
      </c>
      <c r="I10144">
        <v>0.70099999999999996</v>
      </c>
      <c r="J10144">
        <v>0.35</v>
      </c>
      <c r="K10144">
        <v>0.69399999999999995</v>
      </c>
      <c r="L10144">
        <v>0.24</v>
      </c>
      <c r="M10144">
        <v>0.98899999999999999</v>
      </c>
      <c r="N10144">
        <v>1</v>
      </c>
    </row>
    <row r="10145" spans="1:14" x14ac:dyDescent="0.25">
      <c r="A10145" t="s">
        <v>17723</v>
      </c>
      <c r="B10145" t="s">
        <v>17724</v>
      </c>
      <c r="C10145" s="1" t="str">
        <f>HYPERLINK("http://www.genecards.org/cgi-bin/carddisp.pl?gene=UBE2L6","GeneCards")</f>
        <v>GeneCards</v>
      </c>
      <c r="D10145" s="1" t="str">
        <f>HYPERLINK("http://genome-euro.ucsc.edu/cgi-bin/hgTracks?position=201649_at","UCSC")</f>
        <v>UCSC</v>
      </c>
      <c r="E10145" s="1" t="str">
        <f>HYPERLINK("http://www.ncbi.nlm.nih.gov/gene/?term=UBE2L6","NCBI")</f>
        <v>NCBI</v>
      </c>
      <c r="F10145">
        <v>0.22</v>
      </c>
      <c r="G10145">
        <v>0.37</v>
      </c>
      <c r="H10145" s="1" t="str">
        <f>HYPERLINK("http://www.weizmann.ac.il/complex/compphys/software/geview/data/figures/201649_at.png","Figure")</f>
        <v>Figure</v>
      </c>
      <c r="I10145">
        <v>1.07</v>
      </c>
      <c r="J10145">
        <v>0.96</v>
      </c>
      <c r="K10145">
        <v>1.42</v>
      </c>
      <c r="L10145">
        <v>0.24</v>
      </c>
      <c r="M10145">
        <v>1.33</v>
      </c>
      <c r="N10145">
        <v>0.42</v>
      </c>
    </row>
    <row r="10146" spans="1:14" x14ac:dyDescent="0.25">
      <c r="A10146" t="s">
        <v>17725</v>
      </c>
      <c r="B10146" t="s">
        <v>17726</v>
      </c>
      <c r="C10146" s="1" t="str">
        <f>HYPERLINK("http://www.genecards.org/cgi-bin/carddisp.pl?gene=MARCO","GeneCards")</f>
        <v>GeneCards</v>
      </c>
      <c r="D10146" s="1" t="str">
        <f>HYPERLINK("http://genome-euro.ucsc.edu/cgi-bin/hgTracks?position=205819_at","UCSC")</f>
        <v>UCSC</v>
      </c>
      <c r="E10146" s="1" t="str">
        <f>HYPERLINK("http://www.ncbi.nlm.nih.gov/gene/?term=MARCO","NCBI")</f>
        <v>NCBI</v>
      </c>
      <c r="F10146">
        <v>0.22</v>
      </c>
      <c r="G10146">
        <v>0.37</v>
      </c>
      <c r="H10146" s="1" t="str">
        <f>HYPERLINK("http://www.weizmann.ac.il/complex/compphys/software/geview/data/figures/205819_at.png","Figure")</f>
        <v>Figure</v>
      </c>
      <c r="I10146">
        <v>1.1200000000000001</v>
      </c>
      <c r="J10146">
        <v>0.21</v>
      </c>
      <c r="K10146">
        <v>1.07</v>
      </c>
      <c r="L10146">
        <v>0.43</v>
      </c>
      <c r="M10146">
        <v>0.96</v>
      </c>
      <c r="N10146">
        <v>0.76</v>
      </c>
    </row>
    <row r="10147" spans="1:14" x14ac:dyDescent="0.25">
      <c r="A10147" t="s">
        <v>17727</v>
      </c>
      <c r="B10147" t="s">
        <v>17728</v>
      </c>
      <c r="C10147" s="1" t="str">
        <f>HYPERLINK("http://www.genecards.org/cgi-bin/carddisp.pl?gene=IL3RA","GeneCards")</f>
        <v>GeneCards</v>
      </c>
      <c r="D10147" s="1" t="str">
        <f>HYPERLINK("http://genome-euro.ucsc.edu/cgi-bin/hgTracks?position=206148_at","UCSC")</f>
        <v>UCSC</v>
      </c>
      <c r="E10147" s="1" t="str">
        <f>HYPERLINK("http://www.ncbi.nlm.nih.gov/gene/?term=IL3RA","NCBI")</f>
        <v>NCBI</v>
      </c>
      <c r="F10147">
        <v>0.22</v>
      </c>
      <c r="G10147">
        <v>0.37</v>
      </c>
      <c r="H10147" s="1" t="str">
        <f>HYPERLINK("http://www.weizmann.ac.il/complex/compphys/software/geview/data/figures/206148_at.png","Figure")</f>
        <v>Figure</v>
      </c>
      <c r="I10147">
        <v>0.61199999999999999</v>
      </c>
      <c r="J10147">
        <v>0.22</v>
      </c>
      <c r="K10147">
        <v>0.72699999999999998</v>
      </c>
      <c r="L10147">
        <v>0.41</v>
      </c>
      <c r="M10147">
        <v>1.19</v>
      </c>
      <c r="N10147">
        <v>0.79</v>
      </c>
    </row>
    <row r="10148" spans="1:14" x14ac:dyDescent="0.25">
      <c r="A10148" t="s">
        <v>17729</v>
      </c>
      <c r="B10148" t="s">
        <v>10677</v>
      </c>
      <c r="C10148" s="1" t="str">
        <f>HYPERLINK("http://www.genecards.org/cgi-bin/carddisp.pl?gene=KMO","GeneCards")</f>
        <v>GeneCards</v>
      </c>
      <c r="D10148" s="1" t="str">
        <f>HYPERLINK("http://genome-euro.ucsc.edu/cgi-bin/hgTracks?position=211138_s_at","UCSC")</f>
        <v>UCSC</v>
      </c>
      <c r="E10148" s="1" t="str">
        <f>HYPERLINK("http://www.ncbi.nlm.nih.gov/gene/?term=KMO","NCBI")</f>
        <v>NCBI</v>
      </c>
      <c r="F10148">
        <v>0.22</v>
      </c>
      <c r="G10148">
        <v>0.37</v>
      </c>
      <c r="H10148" s="1" t="str">
        <f>HYPERLINK("http://www.weizmann.ac.il/complex/compphys/software/geview/data/figures/211138_s_at.png","Figure")</f>
        <v>Figure</v>
      </c>
      <c r="I10148">
        <v>1.19</v>
      </c>
      <c r="J10148">
        <v>0.38</v>
      </c>
      <c r="K10148">
        <v>1.22</v>
      </c>
      <c r="L10148">
        <v>0.23</v>
      </c>
      <c r="M10148">
        <v>1.02</v>
      </c>
      <c r="N10148">
        <v>0.99</v>
      </c>
    </row>
    <row r="10149" spans="1:14" x14ac:dyDescent="0.25">
      <c r="A10149" t="s">
        <v>17730</v>
      </c>
      <c r="B10149" t="s">
        <v>17731</v>
      </c>
      <c r="C10149" s="1" t="str">
        <f>HYPERLINK("http://www.genecards.org/cgi-bin/carddisp.pl?gene=EIF4A1","GeneCards")</f>
        <v>GeneCards</v>
      </c>
      <c r="D10149" s="1" t="str">
        <f>HYPERLINK("http://genome-euro.ucsc.edu/cgi-bin/hgTracks?position=211787_s_at","UCSC")</f>
        <v>UCSC</v>
      </c>
      <c r="E10149" s="1" t="str">
        <f>HYPERLINK("http://www.ncbi.nlm.nih.gov/gene/?term=EIF4A1","NCBI")</f>
        <v>NCBI</v>
      </c>
      <c r="F10149">
        <v>0.22</v>
      </c>
      <c r="G10149">
        <v>0.37</v>
      </c>
      <c r="H10149" s="1" t="str">
        <f>HYPERLINK("http://www.weizmann.ac.il/complex/compphys/software/geview/data/figures/211787_s_at.png","Figure")</f>
        <v>Figure</v>
      </c>
      <c r="I10149">
        <v>1.08</v>
      </c>
      <c r="J10149">
        <v>0.94</v>
      </c>
      <c r="K10149">
        <v>1.44</v>
      </c>
      <c r="L10149">
        <v>0.23</v>
      </c>
      <c r="M10149">
        <v>1.33</v>
      </c>
      <c r="N10149">
        <v>0.44</v>
      </c>
    </row>
    <row r="10150" spans="1:14" x14ac:dyDescent="0.25">
      <c r="A10150" t="s">
        <v>17732</v>
      </c>
      <c r="B10150" t="s">
        <v>17733</v>
      </c>
      <c r="C10150" s="1" t="str">
        <f>HYPERLINK("http://www.genecards.org/cgi-bin/carddisp.pl?gene=FRYL","GeneCards")</f>
        <v>GeneCards</v>
      </c>
      <c r="D10150" s="1" t="str">
        <f>HYPERLINK("http://genome-euro.ucsc.edu/cgi-bin/hgTracks?position=212546_s_at","UCSC")</f>
        <v>UCSC</v>
      </c>
      <c r="E10150" s="1" t="str">
        <f>HYPERLINK("http://www.ncbi.nlm.nih.gov/gene/?term=FRYL","NCBI")</f>
        <v>NCBI</v>
      </c>
      <c r="F10150">
        <v>0.22</v>
      </c>
      <c r="G10150">
        <v>0.37</v>
      </c>
      <c r="H10150" s="1" t="str">
        <f>HYPERLINK("http://www.weizmann.ac.il/complex/compphys/software/geview/data/figures/212546_s_at.png","Figure")</f>
        <v>Figure</v>
      </c>
      <c r="I10150">
        <v>0.67200000000000004</v>
      </c>
      <c r="J10150">
        <v>0.22</v>
      </c>
      <c r="K10150">
        <v>0.91</v>
      </c>
      <c r="L10150">
        <v>0.88</v>
      </c>
      <c r="M10150">
        <v>1.35</v>
      </c>
      <c r="N10150">
        <v>0.35</v>
      </c>
    </row>
    <row r="10151" spans="1:14" x14ac:dyDescent="0.25">
      <c r="A10151" t="s">
        <v>17734</v>
      </c>
      <c r="B10151" t="s">
        <v>17735</v>
      </c>
      <c r="C10151" s="1" t="str">
        <f>HYPERLINK("http://www.genecards.org/cgi-bin/carddisp.pl?gene=APLNR","GeneCards")</f>
        <v>GeneCards</v>
      </c>
      <c r="D10151" s="1" t="str">
        <f>HYPERLINK("http://genome-euro.ucsc.edu/cgi-bin/hgTracks?position=213592_at","UCSC")</f>
        <v>UCSC</v>
      </c>
      <c r="E10151" s="1" t="str">
        <f>HYPERLINK("http://www.ncbi.nlm.nih.gov/gene/?term=APLNR","NCBI")</f>
        <v>NCBI</v>
      </c>
      <c r="F10151">
        <v>0.22</v>
      </c>
      <c r="G10151">
        <v>0.37</v>
      </c>
      <c r="H10151" s="1" t="str">
        <f>HYPERLINK("http://www.weizmann.ac.il/complex/compphys/software/geview/data/figures/213592_at.png","Figure")</f>
        <v>Figure</v>
      </c>
      <c r="I10151">
        <v>1.07</v>
      </c>
      <c r="J10151">
        <v>0.72</v>
      </c>
      <c r="K10151">
        <v>0.92200000000000004</v>
      </c>
      <c r="L10151">
        <v>0.56999999999999995</v>
      </c>
      <c r="M10151">
        <v>0.85899999999999999</v>
      </c>
      <c r="N10151">
        <v>0.21</v>
      </c>
    </row>
    <row r="10152" spans="1:14" x14ac:dyDescent="0.25">
      <c r="A10152" t="s">
        <v>17736</v>
      </c>
      <c r="B10152" t="s">
        <v>17737</v>
      </c>
      <c r="C10152" s="1" t="str">
        <f>HYPERLINK("http://www.genecards.org/cgi-bin/carddisp.pl?gene=UBL5","GeneCards")</f>
        <v>GeneCards</v>
      </c>
      <c r="D10152" s="1" t="str">
        <f>HYPERLINK("http://genome-euro.ucsc.edu/cgi-bin/hgTracks?position=218011_at","UCSC")</f>
        <v>UCSC</v>
      </c>
      <c r="E10152" s="1" t="str">
        <f>HYPERLINK("http://www.ncbi.nlm.nih.gov/gene/?term=UBL5","NCBI")</f>
        <v>NCBI</v>
      </c>
      <c r="F10152">
        <v>0.22</v>
      </c>
      <c r="G10152">
        <v>0.37</v>
      </c>
      <c r="H10152" s="1" t="str">
        <f>HYPERLINK("http://www.weizmann.ac.il/complex/compphys/software/geview/data/figures/218011_at.png","Figure")</f>
        <v>Figure</v>
      </c>
      <c r="I10152">
        <v>1.1599999999999999</v>
      </c>
      <c r="J10152">
        <v>0.53</v>
      </c>
      <c r="K10152">
        <v>1.24</v>
      </c>
      <c r="L10152">
        <v>0.2</v>
      </c>
      <c r="M10152">
        <v>1.07</v>
      </c>
      <c r="N10152">
        <v>0.86</v>
      </c>
    </row>
    <row r="10153" spans="1:14" x14ac:dyDescent="0.25">
      <c r="A10153" t="s">
        <v>17738</v>
      </c>
      <c r="B10153" t="s">
        <v>17739</v>
      </c>
      <c r="C10153" s="1" t="str">
        <f>HYPERLINK("http://www.genecards.org/cgi-bin/carddisp.pl?gene=FANCF","GeneCards")</f>
        <v>GeneCards</v>
      </c>
      <c r="D10153" s="1" t="str">
        <f>HYPERLINK("http://genome-euro.ucsc.edu/cgi-bin/hgTracks?position=218689_at","UCSC")</f>
        <v>UCSC</v>
      </c>
      <c r="E10153" s="1" t="str">
        <f>HYPERLINK("http://www.ncbi.nlm.nih.gov/gene/?term=FANCF","NCBI")</f>
        <v>NCBI</v>
      </c>
      <c r="F10153">
        <v>0.22</v>
      </c>
      <c r="G10153">
        <v>0.37</v>
      </c>
      <c r="H10153" s="1" t="str">
        <f>HYPERLINK("http://www.weizmann.ac.il/complex/compphys/software/geview/data/figures/218689_at.png","Figure")</f>
        <v>Figure</v>
      </c>
      <c r="I10153">
        <v>1.01</v>
      </c>
      <c r="J10153">
        <v>1</v>
      </c>
      <c r="K10153">
        <v>1.1499999999999999</v>
      </c>
      <c r="L10153">
        <v>0.27</v>
      </c>
      <c r="M10153">
        <v>1.1399999999999999</v>
      </c>
      <c r="N10153">
        <v>0.36</v>
      </c>
    </row>
    <row r="10154" spans="1:14" x14ac:dyDescent="0.25">
      <c r="A10154" t="s">
        <v>17740</v>
      </c>
      <c r="B10154" t="s">
        <v>17741</v>
      </c>
      <c r="C10154" s="1" t="str">
        <f>HYPERLINK("http://www.genecards.org/cgi-bin/carddisp.pl?gene=FBXW4","GeneCards")</f>
        <v>GeneCards</v>
      </c>
      <c r="D10154" s="1" t="str">
        <f>HYPERLINK("http://genome-euro.ucsc.edu/cgi-bin/hgTracks?position=221519_at","UCSC")</f>
        <v>UCSC</v>
      </c>
      <c r="E10154" s="1" t="str">
        <f>HYPERLINK("http://www.ncbi.nlm.nih.gov/gene/?term=FBXW4","NCBI")</f>
        <v>NCBI</v>
      </c>
      <c r="F10154">
        <v>0.22</v>
      </c>
      <c r="G10154">
        <v>0.37</v>
      </c>
      <c r="H10154" s="1" t="str">
        <f>HYPERLINK("http://www.weizmann.ac.il/complex/compphys/software/geview/data/figures/221519_at.png","Figure")</f>
        <v>Figure</v>
      </c>
      <c r="I10154">
        <v>0.874</v>
      </c>
      <c r="J10154">
        <v>0.43</v>
      </c>
      <c r="K10154">
        <v>0.84899999999999998</v>
      </c>
      <c r="L10154">
        <v>0.21</v>
      </c>
      <c r="M10154">
        <v>0.97099999999999997</v>
      </c>
      <c r="N10154">
        <v>0.95</v>
      </c>
    </row>
    <row r="10155" spans="1:14" x14ac:dyDescent="0.25">
      <c r="A10155" t="s">
        <v>17742</v>
      </c>
      <c r="B10155" t="s">
        <v>17743</v>
      </c>
      <c r="C10155" s="1" t="str">
        <f>HYPERLINK("http://www.genecards.org/cgi-bin/carddisp.pl?gene=DRP2","GeneCards")</f>
        <v>GeneCards</v>
      </c>
      <c r="D10155" s="1" t="str">
        <f>HYPERLINK("http://genome-euro.ucsc.edu/cgi-bin/hgTracks?position=207648_at","UCSC")</f>
        <v>UCSC</v>
      </c>
      <c r="E10155" s="1" t="str">
        <f>HYPERLINK("http://www.ncbi.nlm.nih.gov/gene/?term=DRP2","NCBI")</f>
        <v>NCBI</v>
      </c>
      <c r="F10155">
        <v>0.22</v>
      </c>
      <c r="G10155">
        <v>0.37</v>
      </c>
      <c r="H10155" s="1" t="str">
        <f>HYPERLINK("http://www.weizmann.ac.il/complex/compphys/software/geview/data/figures/207648_at.png","Figure")</f>
        <v>Figure</v>
      </c>
      <c r="I10155">
        <v>1.28</v>
      </c>
      <c r="J10155">
        <v>0.2</v>
      </c>
      <c r="K10155">
        <v>1.1100000000000001</v>
      </c>
      <c r="L10155">
        <v>0.65</v>
      </c>
      <c r="M10155">
        <v>0.86799999999999999</v>
      </c>
      <c r="N10155">
        <v>0.52</v>
      </c>
    </row>
    <row r="10156" spans="1:14" x14ac:dyDescent="0.25">
      <c r="A10156" t="s">
        <v>17744</v>
      </c>
      <c r="B10156" t="s">
        <v>17745</v>
      </c>
      <c r="C10156" s="1" t="str">
        <f>HYPERLINK("http://www.genecards.org/cgi-bin/carddisp.pl?gene=ZNF529","GeneCards")</f>
        <v>GeneCards</v>
      </c>
      <c r="D10156" s="1" t="str">
        <f>HYPERLINK("http://genome-euro.ucsc.edu/cgi-bin/hgTracks?position=215307_at","UCSC")</f>
        <v>UCSC</v>
      </c>
      <c r="E10156" s="1" t="str">
        <f>HYPERLINK("http://www.ncbi.nlm.nih.gov/gene/?term=ZNF529","NCBI")</f>
        <v>NCBI</v>
      </c>
      <c r="F10156">
        <v>0.22</v>
      </c>
      <c r="G10156">
        <v>0.37</v>
      </c>
      <c r="H10156" s="1" t="str">
        <f>HYPERLINK("http://www.weizmann.ac.il/complex/compphys/software/geview/data/figures/215307_at.png","Figure")</f>
        <v>Figure</v>
      </c>
      <c r="I10156">
        <v>0.83499999999999996</v>
      </c>
      <c r="J10156">
        <v>0.79</v>
      </c>
      <c r="K10156">
        <v>0.65</v>
      </c>
      <c r="L10156">
        <v>0.2</v>
      </c>
      <c r="M10156">
        <v>0.77800000000000002</v>
      </c>
      <c r="N10156">
        <v>0.6</v>
      </c>
    </row>
    <row r="10157" spans="1:14" x14ac:dyDescent="0.25">
      <c r="A10157" t="s">
        <v>17746</v>
      </c>
      <c r="B10157" t="s">
        <v>3694</v>
      </c>
      <c r="C10157" s="1" t="str">
        <f>HYPERLINK("http://www.genecards.org/cgi-bin/carddisp.pl?gene=AQP6","GeneCards")</f>
        <v>GeneCards</v>
      </c>
      <c r="D10157" s="1" t="str">
        <f>HYPERLINK("http://genome-euro.ucsc.edu/cgi-bin/hgTracks?position=208435_s_at","UCSC")</f>
        <v>UCSC</v>
      </c>
      <c r="E10157" s="1" t="str">
        <f>HYPERLINK("http://www.ncbi.nlm.nih.gov/gene/?term=AQP6","NCBI")</f>
        <v>NCBI</v>
      </c>
      <c r="F10157">
        <v>0.22</v>
      </c>
      <c r="G10157">
        <v>0.37</v>
      </c>
      <c r="H10157" s="1" t="str">
        <f>HYPERLINK("http://www.weizmann.ac.il/complex/compphys/software/geview/data/figures/208435_s_at.png","Figure")</f>
        <v>Figure</v>
      </c>
      <c r="I10157">
        <v>1.03</v>
      </c>
      <c r="J10157">
        <v>0.91</v>
      </c>
      <c r="K10157">
        <v>1.1100000000000001</v>
      </c>
      <c r="L10157">
        <v>0.22</v>
      </c>
      <c r="M10157">
        <v>1.08</v>
      </c>
      <c r="N10157">
        <v>0.48</v>
      </c>
    </row>
    <row r="10158" spans="1:14" x14ac:dyDescent="0.25">
      <c r="A10158" t="s">
        <v>17747</v>
      </c>
      <c r="B10158" t="s">
        <v>17748</v>
      </c>
      <c r="C10158" s="1" t="str">
        <f>HYPERLINK("http://www.genecards.org/cgi-bin/carddisp.pl?gene=CHMP4A","GeneCards")</f>
        <v>GeneCards</v>
      </c>
      <c r="D10158" s="1" t="str">
        <f>HYPERLINK("http://genome-euro.ucsc.edu/cgi-bin/hgTracks?position=218572_at","UCSC")</f>
        <v>UCSC</v>
      </c>
      <c r="E10158" s="1" t="str">
        <f>HYPERLINK("http://www.ncbi.nlm.nih.gov/gene/?term=CHMP4A","NCBI")</f>
        <v>NCBI</v>
      </c>
      <c r="F10158">
        <v>0.22</v>
      </c>
      <c r="G10158">
        <v>0.37</v>
      </c>
      <c r="H10158" s="1" t="str">
        <f>HYPERLINK("http://www.weizmann.ac.il/complex/compphys/software/geview/data/figures/218572_at.png","Figure")</f>
        <v>Figure</v>
      </c>
      <c r="I10158">
        <v>0.85</v>
      </c>
      <c r="J10158">
        <v>0.47</v>
      </c>
      <c r="K10158">
        <v>1.07</v>
      </c>
      <c r="L10158">
        <v>0.83</v>
      </c>
      <c r="M10158">
        <v>1.26</v>
      </c>
      <c r="N10158">
        <v>0.2</v>
      </c>
    </row>
    <row r="10159" spans="1:14" x14ac:dyDescent="0.25">
      <c r="A10159" t="s">
        <v>17749</v>
      </c>
      <c r="B10159" t="s">
        <v>17750</v>
      </c>
      <c r="C10159" s="1" t="str">
        <f>HYPERLINK("http://www.genecards.org/cgi-bin/carddisp.pl?gene=CRELD2","GeneCards")</f>
        <v>GeneCards</v>
      </c>
      <c r="D10159" s="1" t="str">
        <f>HYPERLINK("http://genome-euro.ucsc.edu/cgi-bin/hgTracks?position=218358_at","UCSC")</f>
        <v>UCSC</v>
      </c>
      <c r="E10159" s="1" t="str">
        <f>HYPERLINK("http://www.ncbi.nlm.nih.gov/gene/?term=CRELD2","NCBI")</f>
        <v>NCBI</v>
      </c>
      <c r="F10159">
        <v>0.22</v>
      </c>
      <c r="G10159">
        <v>0.37</v>
      </c>
      <c r="H10159" s="1" t="str">
        <f>HYPERLINK("http://www.weizmann.ac.il/complex/compphys/software/geview/data/figures/218358_at.png","Figure")</f>
        <v>Figure</v>
      </c>
      <c r="I10159">
        <v>1.28</v>
      </c>
      <c r="J10159">
        <v>0.2</v>
      </c>
      <c r="K10159">
        <v>1.1100000000000001</v>
      </c>
      <c r="L10159">
        <v>0.65</v>
      </c>
      <c r="M10159">
        <v>0.87</v>
      </c>
      <c r="N10159">
        <v>0.52</v>
      </c>
    </row>
    <row r="10160" spans="1:14" x14ac:dyDescent="0.25">
      <c r="A10160" t="s">
        <v>17751</v>
      </c>
      <c r="B10160" t="s">
        <v>17752</v>
      </c>
      <c r="C10160" s="1" t="str">
        <f>HYPERLINK("http://www.genecards.org/cgi-bin/carddisp.pl?gene=AFF1","GeneCards")</f>
        <v>GeneCards</v>
      </c>
      <c r="D10160" s="1" t="str">
        <f>HYPERLINK("http://genome-euro.ucsc.edu/cgi-bin/hgTracks?position=215451_s_at","UCSC")</f>
        <v>UCSC</v>
      </c>
      <c r="E10160" s="1" t="str">
        <f>HYPERLINK("http://www.ncbi.nlm.nih.gov/gene/?term=AFF1","NCBI")</f>
        <v>NCBI</v>
      </c>
      <c r="F10160">
        <v>0.22</v>
      </c>
      <c r="G10160">
        <v>0.37</v>
      </c>
      <c r="H10160" s="1" t="str">
        <f>HYPERLINK("http://www.weizmann.ac.il/complex/compphys/software/geview/data/figures/215451_s_at.png","Figure")</f>
        <v>Figure</v>
      </c>
      <c r="I10160">
        <v>1.22</v>
      </c>
      <c r="J10160">
        <v>0.24</v>
      </c>
      <c r="K10160">
        <v>1.03</v>
      </c>
      <c r="L10160">
        <v>0.96</v>
      </c>
      <c r="M10160">
        <v>0.84399999999999997</v>
      </c>
      <c r="N10160">
        <v>0.28999999999999998</v>
      </c>
    </row>
    <row r="10161" spans="1:14" x14ac:dyDescent="0.25">
      <c r="A10161" t="s">
        <v>17753</v>
      </c>
      <c r="B10161" t="s">
        <v>15339</v>
      </c>
      <c r="C10161" s="1" t="str">
        <f>HYPERLINK("http://www.genecards.org/cgi-bin/carddisp.pl?gene=TBCB","GeneCards")</f>
        <v>GeneCards</v>
      </c>
      <c r="D10161" s="1" t="str">
        <f>HYPERLINK("http://genome-euro.ucsc.edu/cgi-bin/hgTracks?position=201804_x_at","UCSC")</f>
        <v>UCSC</v>
      </c>
      <c r="E10161" s="1" t="str">
        <f>HYPERLINK("http://www.ncbi.nlm.nih.gov/gene/?term=TBCB","NCBI")</f>
        <v>NCBI</v>
      </c>
      <c r="F10161">
        <v>0.22</v>
      </c>
      <c r="G10161">
        <v>0.37</v>
      </c>
      <c r="H10161" s="1" t="str">
        <f>HYPERLINK("http://www.weizmann.ac.il/complex/compphys/software/geview/data/figures/201804_x_at.png","Figure")</f>
        <v>Figure</v>
      </c>
      <c r="I10161">
        <v>1.1000000000000001</v>
      </c>
      <c r="J10161">
        <v>0.84</v>
      </c>
      <c r="K10161">
        <v>0.84</v>
      </c>
      <c r="L10161">
        <v>0.47</v>
      </c>
      <c r="M10161">
        <v>0.76400000000000001</v>
      </c>
      <c r="N10161">
        <v>0.23</v>
      </c>
    </row>
    <row r="10162" spans="1:14" x14ac:dyDescent="0.25">
      <c r="A10162" t="s">
        <v>17754</v>
      </c>
      <c r="B10162" t="s">
        <v>17755</v>
      </c>
      <c r="C10162" s="1" t="str">
        <f>HYPERLINK("http://www.genecards.org/cgi-bin/carddisp.pl?gene=CD53","GeneCards")</f>
        <v>GeneCards</v>
      </c>
      <c r="D10162" s="1" t="str">
        <f>HYPERLINK("http://genome-euro.ucsc.edu/cgi-bin/hgTracks?position=203416_at","UCSC")</f>
        <v>UCSC</v>
      </c>
      <c r="E10162" s="1" t="str">
        <f>HYPERLINK("http://www.ncbi.nlm.nih.gov/gene/?term=CD53","NCBI")</f>
        <v>NCBI</v>
      </c>
      <c r="F10162">
        <v>0.22</v>
      </c>
      <c r="G10162">
        <v>0.37</v>
      </c>
      <c r="H10162" s="1" t="str">
        <f>HYPERLINK("http://www.weizmann.ac.il/complex/compphys/software/geview/data/figures/203416_at.png","Figure")</f>
        <v>Figure</v>
      </c>
      <c r="I10162">
        <v>0.72</v>
      </c>
      <c r="J10162">
        <v>0.43</v>
      </c>
      <c r="K10162">
        <v>1.1100000000000001</v>
      </c>
      <c r="L10162">
        <v>0.88</v>
      </c>
      <c r="M10162">
        <v>1.54</v>
      </c>
      <c r="N10162">
        <v>0.2</v>
      </c>
    </row>
    <row r="10163" spans="1:14" x14ac:dyDescent="0.25">
      <c r="A10163" t="s">
        <v>17756</v>
      </c>
      <c r="B10163" t="s">
        <v>17757</v>
      </c>
      <c r="C10163" s="1" t="str">
        <f>HYPERLINK("http://www.genecards.org/cgi-bin/carddisp.pl?gene=TRRAP","GeneCards")</f>
        <v>GeneCards</v>
      </c>
      <c r="D10163" s="1" t="str">
        <f>HYPERLINK("http://genome-euro.ucsc.edu/cgi-bin/hgTracks?position=214908_s_at","UCSC")</f>
        <v>UCSC</v>
      </c>
      <c r="E10163" s="1" t="str">
        <f>HYPERLINK("http://www.ncbi.nlm.nih.gov/gene/?term=TRRAP","NCBI")</f>
        <v>NCBI</v>
      </c>
      <c r="F10163">
        <v>0.22</v>
      </c>
      <c r="G10163">
        <v>0.37</v>
      </c>
      <c r="H10163" s="1" t="str">
        <f>HYPERLINK("http://www.weizmann.ac.il/complex/compphys/software/geview/data/figures/214908_s_at.png","Figure")</f>
        <v>Figure</v>
      </c>
      <c r="I10163">
        <v>1.08</v>
      </c>
      <c r="J10163">
        <v>0.2</v>
      </c>
      <c r="K10163">
        <v>1.04</v>
      </c>
      <c r="L10163">
        <v>0.55000000000000004</v>
      </c>
      <c r="M10163">
        <v>0.96199999999999997</v>
      </c>
      <c r="N10163">
        <v>0.62</v>
      </c>
    </row>
    <row r="10164" spans="1:14" x14ac:dyDescent="0.25">
      <c r="A10164" t="s">
        <v>17758</v>
      </c>
      <c r="B10164" t="s">
        <v>17759</v>
      </c>
      <c r="C10164" s="1" t="str">
        <f>HYPERLINK("http://www.genecards.org/cgi-bin/carddisp.pl?gene=HLA-DQB2","GeneCards")</f>
        <v>GeneCards</v>
      </c>
      <c r="D10164" s="1" t="str">
        <f>HYPERLINK("http://genome-euro.ucsc.edu/cgi-bin/hgTracks?position=215536_at","UCSC")</f>
        <v>UCSC</v>
      </c>
      <c r="E10164" s="1" t="str">
        <f>HYPERLINK("http://www.ncbi.nlm.nih.gov/gene/?term=HLA-DQB2","NCBI")</f>
        <v>NCBI</v>
      </c>
      <c r="F10164">
        <v>0.22</v>
      </c>
      <c r="G10164">
        <v>0.37</v>
      </c>
      <c r="H10164" s="1" t="str">
        <f>HYPERLINK("http://www.weizmann.ac.il/complex/compphys/software/geview/data/figures/215536_at.png","Figure")</f>
        <v>Figure</v>
      </c>
      <c r="I10164">
        <v>1.2</v>
      </c>
      <c r="J10164">
        <v>0.33</v>
      </c>
      <c r="K10164">
        <v>0.98199999999999998</v>
      </c>
      <c r="L10164">
        <v>0.98</v>
      </c>
      <c r="M10164">
        <v>0.82099999999999995</v>
      </c>
      <c r="N10164">
        <v>0.22</v>
      </c>
    </row>
    <row r="10165" spans="1:14" x14ac:dyDescent="0.25">
      <c r="A10165" t="s">
        <v>17760</v>
      </c>
      <c r="B10165" t="s">
        <v>6187</v>
      </c>
      <c r="C10165" s="1" t="str">
        <f>HYPERLINK("http://www.genecards.org/cgi-bin/carddisp.pl?gene=SPTB","GeneCards")</f>
        <v>GeneCards</v>
      </c>
      <c r="D10165" s="1" t="str">
        <f>HYPERLINK("http://genome-euro.ucsc.edu/cgi-bin/hgTracks?position=208416_s_at","UCSC")</f>
        <v>UCSC</v>
      </c>
      <c r="E10165" s="1" t="str">
        <f>HYPERLINK("http://www.ncbi.nlm.nih.gov/gene/?term=SPTB","NCBI")</f>
        <v>NCBI</v>
      </c>
      <c r="F10165">
        <v>0.22</v>
      </c>
      <c r="G10165">
        <v>0.37</v>
      </c>
      <c r="H10165" s="1" t="str">
        <f>HYPERLINK("http://www.weizmann.ac.il/complex/compphys/software/geview/data/figures/208416_s_at.png","Figure")</f>
        <v>Figure</v>
      </c>
      <c r="I10165">
        <v>1.28</v>
      </c>
      <c r="J10165">
        <v>0.28000000000000003</v>
      </c>
      <c r="K10165">
        <v>1.01</v>
      </c>
      <c r="L10165">
        <v>1</v>
      </c>
      <c r="M10165">
        <v>0.78600000000000003</v>
      </c>
      <c r="N10165">
        <v>0.25</v>
      </c>
    </row>
    <row r="10166" spans="1:14" x14ac:dyDescent="0.25">
      <c r="A10166" t="s">
        <v>17761</v>
      </c>
      <c r="B10166" t="s">
        <v>17762</v>
      </c>
      <c r="C10166" s="1" t="str">
        <f>HYPERLINK("http://www.genecards.org/cgi-bin/carddisp.pl?gene=CTR9","GeneCards")</f>
        <v>GeneCards</v>
      </c>
      <c r="D10166" s="1" t="str">
        <f>HYPERLINK("http://genome-euro.ucsc.edu/cgi-bin/hgTracks?position=202060_at","UCSC")</f>
        <v>UCSC</v>
      </c>
      <c r="E10166" s="1" t="str">
        <f>HYPERLINK("http://www.ncbi.nlm.nih.gov/gene/?term=CTR9","NCBI")</f>
        <v>NCBI</v>
      </c>
      <c r="F10166">
        <v>0.22</v>
      </c>
      <c r="G10166">
        <v>0.37</v>
      </c>
      <c r="H10166" s="1" t="str">
        <f>HYPERLINK("http://www.weizmann.ac.il/complex/compphys/software/geview/data/figures/202060_at.png","Figure")</f>
        <v>Figure</v>
      </c>
      <c r="I10166">
        <v>0.67600000000000005</v>
      </c>
      <c r="J10166">
        <v>0.31</v>
      </c>
      <c r="K10166">
        <v>1.02</v>
      </c>
      <c r="L10166">
        <v>1</v>
      </c>
      <c r="M10166">
        <v>1.51</v>
      </c>
      <c r="N10166">
        <v>0.24</v>
      </c>
    </row>
    <row r="10167" spans="1:14" x14ac:dyDescent="0.25">
      <c r="A10167" t="s">
        <v>17763</v>
      </c>
      <c r="B10167" t="s">
        <v>17764</v>
      </c>
      <c r="C10167" s="1" t="str">
        <f>HYPERLINK("http://www.genecards.org/cgi-bin/carddisp.pl?gene=COBRA1","GeneCards")</f>
        <v>GeneCards</v>
      </c>
      <c r="D10167" s="1" t="str">
        <f>HYPERLINK("http://genome-euro.ucsc.edu/cgi-bin/hgTracks?position=202757_at","UCSC")</f>
        <v>UCSC</v>
      </c>
      <c r="E10167" s="1" t="str">
        <f>HYPERLINK("http://www.ncbi.nlm.nih.gov/gene/?term=COBRA1","NCBI")</f>
        <v>NCBI</v>
      </c>
      <c r="F10167">
        <v>0.22</v>
      </c>
      <c r="G10167">
        <v>0.37</v>
      </c>
      <c r="H10167" s="1" t="str">
        <f>HYPERLINK("http://www.weizmann.ac.il/complex/compphys/software/geview/data/figures/202757_at.png","Figure")</f>
        <v>Figure</v>
      </c>
      <c r="I10167">
        <v>1.1200000000000001</v>
      </c>
      <c r="J10167">
        <v>0.89</v>
      </c>
      <c r="K10167">
        <v>1.48</v>
      </c>
      <c r="L10167">
        <v>0.22</v>
      </c>
      <c r="M10167">
        <v>1.32</v>
      </c>
      <c r="N10167">
        <v>0.5</v>
      </c>
    </row>
    <row r="10168" spans="1:14" x14ac:dyDescent="0.25">
      <c r="A10168" t="s">
        <v>17765</v>
      </c>
      <c r="B10168" t="s">
        <v>17766</v>
      </c>
      <c r="C10168" s="1" t="str">
        <f>HYPERLINK("http://www.genecards.org/cgi-bin/carddisp.pl?gene=NOX1","GeneCards")</f>
        <v>GeneCards</v>
      </c>
      <c r="D10168" s="1" t="str">
        <f>HYPERLINK("http://genome-euro.ucsc.edu/cgi-bin/hgTracks?position=207217_s_at","UCSC")</f>
        <v>UCSC</v>
      </c>
      <c r="E10168" s="1" t="str">
        <f>HYPERLINK("http://www.ncbi.nlm.nih.gov/gene/?term=NOX1","NCBI")</f>
        <v>NCBI</v>
      </c>
      <c r="F10168">
        <v>0.22</v>
      </c>
      <c r="G10168">
        <v>0.37</v>
      </c>
      <c r="H10168" s="1" t="str">
        <f>HYPERLINK("http://www.weizmann.ac.il/complex/compphys/software/geview/data/figures/207217_s_at.png","Figure")</f>
        <v>Figure</v>
      </c>
      <c r="I10168">
        <v>1.1599999999999999</v>
      </c>
      <c r="J10168">
        <v>0.23</v>
      </c>
      <c r="K10168">
        <v>1.03</v>
      </c>
      <c r="L10168">
        <v>0.94</v>
      </c>
      <c r="M10168">
        <v>0.88100000000000001</v>
      </c>
      <c r="N10168">
        <v>0.31</v>
      </c>
    </row>
    <row r="10169" spans="1:14" x14ac:dyDescent="0.25">
      <c r="A10169" t="s">
        <v>17767</v>
      </c>
      <c r="B10169" t="s">
        <v>3747</v>
      </c>
      <c r="C10169" s="1" t="str">
        <f>HYPERLINK("http://www.genecards.org/cgi-bin/carddisp.pl?gene=PIP5K1A","GeneCards")</f>
        <v>GeneCards</v>
      </c>
      <c r="D10169" s="1" t="str">
        <f>HYPERLINK("http://genome-euro.ucsc.edu/cgi-bin/hgTracks?position=207391_s_at","UCSC")</f>
        <v>UCSC</v>
      </c>
      <c r="E10169" s="1" t="str">
        <f>HYPERLINK("http://www.ncbi.nlm.nih.gov/gene/?term=PIP5K1A","NCBI")</f>
        <v>NCBI</v>
      </c>
      <c r="F10169">
        <v>0.22</v>
      </c>
      <c r="G10169">
        <v>0.37</v>
      </c>
      <c r="H10169" s="1" t="str">
        <f>HYPERLINK("http://www.weizmann.ac.il/complex/compphys/software/geview/data/figures/207391_s_at.png","Figure")</f>
        <v>Figure</v>
      </c>
      <c r="I10169">
        <v>1.1599999999999999</v>
      </c>
      <c r="J10169">
        <v>0.31</v>
      </c>
      <c r="K10169">
        <v>0.99199999999999999</v>
      </c>
      <c r="L10169">
        <v>1</v>
      </c>
      <c r="M10169">
        <v>0.85899999999999999</v>
      </c>
      <c r="N10169">
        <v>0.23</v>
      </c>
    </row>
    <row r="10170" spans="1:14" x14ac:dyDescent="0.25">
      <c r="A10170" t="s">
        <v>17768</v>
      </c>
      <c r="B10170" t="s">
        <v>17769</v>
      </c>
      <c r="C10170" s="1" t="str">
        <f>HYPERLINK("http://www.genecards.org/cgi-bin/carddisp.pl?gene=METAP2","GeneCards")</f>
        <v>GeneCards</v>
      </c>
      <c r="D10170" s="1" t="str">
        <f>HYPERLINK("http://genome-euro.ucsc.edu/cgi-bin/hgTracks?position=213899_at","UCSC")</f>
        <v>UCSC</v>
      </c>
      <c r="E10170" s="1" t="str">
        <f>HYPERLINK("http://www.ncbi.nlm.nih.gov/gene/?term=METAP2","NCBI")</f>
        <v>NCBI</v>
      </c>
      <c r="F10170">
        <v>0.22</v>
      </c>
      <c r="G10170">
        <v>0.37</v>
      </c>
      <c r="H10170" s="1" t="str">
        <f>HYPERLINK("http://www.weizmann.ac.il/complex/compphys/software/geview/data/figures/213899_at.png","Figure")</f>
        <v>Figure</v>
      </c>
      <c r="I10170">
        <v>0.78900000000000003</v>
      </c>
      <c r="J10170">
        <v>0.24</v>
      </c>
      <c r="K10170">
        <v>0.84099999999999997</v>
      </c>
      <c r="L10170">
        <v>0.35</v>
      </c>
      <c r="M10170">
        <v>1.07</v>
      </c>
      <c r="N10170">
        <v>0.88</v>
      </c>
    </row>
    <row r="10171" spans="1:14" x14ac:dyDescent="0.25">
      <c r="A10171" t="s">
        <v>17770</v>
      </c>
      <c r="B10171" t="s">
        <v>9262</v>
      </c>
      <c r="C10171" s="1" t="str">
        <f>HYPERLINK("http://www.genecards.org/cgi-bin/carddisp.pl?gene=PVT1","GeneCards")</f>
        <v>GeneCards</v>
      </c>
      <c r="D10171" s="1" t="str">
        <f>HYPERLINK("http://genome-euro.ucsc.edu/cgi-bin/hgTracks?position=216249_at","UCSC")</f>
        <v>UCSC</v>
      </c>
      <c r="E10171" s="1" t="str">
        <f>HYPERLINK("http://www.ncbi.nlm.nih.gov/gene/?term=PVT1","NCBI")</f>
        <v>NCBI</v>
      </c>
      <c r="F10171">
        <v>0.22</v>
      </c>
      <c r="G10171">
        <v>0.37</v>
      </c>
      <c r="H10171" s="1" t="str">
        <f>HYPERLINK("http://www.weizmann.ac.il/complex/compphys/software/geview/data/figures/216249_at.png","Figure")</f>
        <v>Figure</v>
      </c>
      <c r="I10171">
        <v>1.1000000000000001</v>
      </c>
      <c r="J10171">
        <v>0.23</v>
      </c>
      <c r="K10171">
        <v>1.02</v>
      </c>
      <c r="L10171">
        <v>0.93</v>
      </c>
      <c r="M10171">
        <v>0.92500000000000004</v>
      </c>
      <c r="N10171">
        <v>0.32</v>
      </c>
    </row>
    <row r="10172" spans="1:14" x14ac:dyDescent="0.25">
      <c r="A10172" t="s">
        <v>17771</v>
      </c>
      <c r="B10172" t="s">
        <v>11679</v>
      </c>
      <c r="C10172" s="1" t="str">
        <f>HYPERLINK("http://www.genecards.org/cgi-bin/carddisp.pl?gene=RPL22","GeneCards")</f>
        <v>GeneCards</v>
      </c>
      <c r="D10172" s="1" t="str">
        <f>HYPERLINK("http://genome-euro.ucsc.edu/cgi-bin/hgTracks?position=221775_x_at","UCSC")</f>
        <v>UCSC</v>
      </c>
      <c r="E10172" s="1" t="str">
        <f>HYPERLINK("http://www.ncbi.nlm.nih.gov/gene/?term=RPL22","NCBI")</f>
        <v>NCBI</v>
      </c>
      <c r="F10172">
        <v>0.22</v>
      </c>
      <c r="G10172">
        <v>0.37</v>
      </c>
      <c r="H10172" s="1" t="str">
        <f>HYPERLINK("http://www.weizmann.ac.il/complex/compphys/software/geview/data/figures/221775_x_at.png","Figure")</f>
        <v>Figure</v>
      </c>
      <c r="I10172">
        <v>1.06</v>
      </c>
      <c r="J10172">
        <v>0.78</v>
      </c>
      <c r="K10172">
        <v>1.1599999999999999</v>
      </c>
      <c r="L10172">
        <v>0.2</v>
      </c>
      <c r="M10172">
        <v>1.0900000000000001</v>
      </c>
      <c r="N10172">
        <v>0.61</v>
      </c>
    </row>
    <row r="10173" spans="1:14" x14ac:dyDescent="0.25">
      <c r="A10173" t="s">
        <v>17772</v>
      </c>
      <c r="B10173" t="s">
        <v>17773</v>
      </c>
      <c r="C10173" s="1" t="str">
        <f>HYPERLINK("http://www.genecards.org/cgi-bin/carddisp.pl?gene=C5orf30","GeneCards")</f>
        <v>GeneCards</v>
      </c>
      <c r="D10173" s="1" t="str">
        <f>HYPERLINK("http://genome-euro.ucsc.edu/cgi-bin/hgTracks?position=221823_at","UCSC")</f>
        <v>UCSC</v>
      </c>
      <c r="E10173" s="1" t="str">
        <f>HYPERLINK("http://www.ncbi.nlm.nih.gov/gene/?term=C5orf30","NCBI")</f>
        <v>NCBI</v>
      </c>
      <c r="F10173">
        <v>0.22</v>
      </c>
      <c r="G10173">
        <v>0.37</v>
      </c>
      <c r="H10173" s="1" t="str">
        <f>HYPERLINK("http://www.weizmann.ac.il/complex/compphys/software/geview/data/figures/221823_at.png","Figure")</f>
        <v>Figure</v>
      </c>
      <c r="I10173">
        <v>0.83199999999999996</v>
      </c>
      <c r="J10173">
        <v>0.24</v>
      </c>
      <c r="K10173">
        <v>0.875</v>
      </c>
      <c r="L10173">
        <v>0.35</v>
      </c>
      <c r="M10173">
        <v>1.05</v>
      </c>
      <c r="N10173">
        <v>0.88</v>
      </c>
    </row>
    <row r="10174" spans="1:14" x14ac:dyDescent="0.25">
      <c r="A10174" t="s">
        <v>17774</v>
      </c>
      <c r="B10174" t="s">
        <v>17775</v>
      </c>
      <c r="C10174" s="1" t="str">
        <f>HYPERLINK("http://www.genecards.org/cgi-bin/carddisp.pl?gene=DPF1","GeneCards")</f>
        <v>GeneCards</v>
      </c>
      <c r="D10174" s="1" t="str">
        <f>HYPERLINK("http://genome-euro.ucsc.edu/cgi-bin/hgTracks?position=206531_at","UCSC")</f>
        <v>UCSC</v>
      </c>
      <c r="E10174" s="1" t="str">
        <f>HYPERLINK("http://www.ncbi.nlm.nih.gov/gene/?term=DPF1","NCBI")</f>
        <v>NCBI</v>
      </c>
      <c r="F10174">
        <v>0.22</v>
      </c>
      <c r="G10174">
        <v>0.37</v>
      </c>
      <c r="H10174" s="1" t="str">
        <f>HYPERLINK("http://www.weizmann.ac.il/complex/compphys/software/geview/data/figures/206531_at.png","Figure")</f>
        <v>Figure</v>
      </c>
      <c r="I10174">
        <v>1.27</v>
      </c>
      <c r="J10174">
        <v>0.21</v>
      </c>
      <c r="K10174">
        <v>1.1599999999999999</v>
      </c>
      <c r="L10174">
        <v>0.43</v>
      </c>
      <c r="M10174">
        <v>0.91400000000000003</v>
      </c>
      <c r="N10174">
        <v>0.75</v>
      </c>
    </row>
    <row r="10175" spans="1:14" x14ac:dyDescent="0.25">
      <c r="A10175" t="s">
        <v>17776</v>
      </c>
      <c r="B10175" t="s">
        <v>17777</v>
      </c>
      <c r="C10175" s="1" t="str">
        <f>HYPERLINK("http://www.genecards.org/cgi-bin/carddisp.pl?gene=UFSP2","GeneCards")</f>
        <v>GeneCards</v>
      </c>
      <c r="D10175" s="1" t="str">
        <f>HYPERLINK("http://genome-euro.ucsc.edu/cgi-bin/hgTracks?position=218449_at","UCSC")</f>
        <v>UCSC</v>
      </c>
      <c r="E10175" s="1" t="str">
        <f>HYPERLINK("http://www.ncbi.nlm.nih.gov/gene/?term=UFSP2","NCBI")</f>
        <v>NCBI</v>
      </c>
      <c r="F10175">
        <v>0.22</v>
      </c>
      <c r="G10175">
        <v>0.37</v>
      </c>
      <c r="H10175" s="1" t="str">
        <f>HYPERLINK("http://www.weizmann.ac.il/complex/compphys/software/geview/data/figures/218449_at.png","Figure")</f>
        <v>Figure</v>
      </c>
      <c r="I10175">
        <v>0.88900000000000001</v>
      </c>
      <c r="J10175">
        <v>0.64</v>
      </c>
      <c r="K10175">
        <v>1.1100000000000001</v>
      </c>
      <c r="L10175">
        <v>0.64</v>
      </c>
      <c r="M10175">
        <v>1.25</v>
      </c>
      <c r="N10175">
        <v>0.2</v>
      </c>
    </row>
    <row r="10176" spans="1:14" x14ac:dyDescent="0.25">
      <c r="A10176" t="s">
        <v>17778</v>
      </c>
      <c r="B10176" t="s">
        <v>11497</v>
      </c>
      <c r="C10176" s="1" t="str">
        <f>HYPERLINK("http://www.genecards.org/cgi-bin/carddisp.pl?gene=ELF4","GeneCards")</f>
        <v>GeneCards</v>
      </c>
      <c r="D10176" s="1" t="str">
        <f>HYPERLINK("http://genome-euro.ucsc.edu/cgi-bin/hgTracks?position=203490_at","UCSC")</f>
        <v>UCSC</v>
      </c>
      <c r="E10176" s="1" t="str">
        <f>HYPERLINK("http://www.ncbi.nlm.nih.gov/gene/?term=ELF4","NCBI")</f>
        <v>NCBI</v>
      </c>
      <c r="F10176">
        <v>0.22</v>
      </c>
      <c r="G10176">
        <v>0.37</v>
      </c>
      <c r="H10176" s="1" t="str">
        <f>HYPERLINK("http://www.weizmann.ac.il/complex/compphys/software/geview/data/figures/203490_at.png","Figure")</f>
        <v>Figure</v>
      </c>
      <c r="I10176">
        <v>0.90800000000000003</v>
      </c>
      <c r="J10176">
        <v>0.74</v>
      </c>
      <c r="K10176">
        <v>1.1299999999999999</v>
      </c>
      <c r="L10176">
        <v>0.55000000000000004</v>
      </c>
      <c r="M10176">
        <v>1.24</v>
      </c>
      <c r="N10176">
        <v>0.21</v>
      </c>
    </row>
    <row r="10177" spans="1:14" x14ac:dyDescent="0.25">
      <c r="A10177" t="s">
        <v>17779</v>
      </c>
      <c r="B10177" t="s">
        <v>17780</v>
      </c>
      <c r="C10177" s="1" t="str">
        <f>HYPERLINK("http://www.genecards.org/cgi-bin/carddisp.pl?gene=ZNF507","GeneCards")</f>
        <v>GeneCards</v>
      </c>
      <c r="D10177" s="1" t="str">
        <f>HYPERLINK("http://genome-euro.ucsc.edu/cgi-bin/hgTracks?position=206225_at","UCSC")</f>
        <v>UCSC</v>
      </c>
      <c r="E10177" s="1" t="str">
        <f>HYPERLINK("http://www.ncbi.nlm.nih.gov/gene/?term=ZNF507","NCBI")</f>
        <v>NCBI</v>
      </c>
      <c r="F10177">
        <v>0.22</v>
      </c>
      <c r="G10177">
        <v>0.37</v>
      </c>
      <c r="H10177" s="1" t="str">
        <f>HYPERLINK("http://www.weizmann.ac.il/complex/compphys/software/geview/data/figures/206225_at.png","Figure")</f>
        <v>Figure</v>
      </c>
      <c r="I10177">
        <v>0.91800000000000004</v>
      </c>
      <c r="J10177">
        <v>0.64</v>
      </c>
      <c r="K10177">
        <v>0.86099999999999999</v>
      </c>
      <c r="L10177">
        <v>0.2</v>
      </c>
      <c r="M10177">
        <v>0.93700000000000006</v>
      </c>
      <c r="N10177">
        <v>0.74</v>
      </c>
    </row>
    <row r="10178" spans="1:14" x14ac:dyDescent="0.25">
      <c r="A10178" t="s">
        <v>17781</v>
      </c>
      <c r="B10178" t="s">
        <v>16128</v>
      </c>
      <c r="C10178" s="1" t="str">
        <f>HYPERLINK("http://www.genecards.org/cgi-bin/carddisp.pl?gene=NPEPPS","GeneCards")</f>
        <v>GeneCards</v>
      </c>
      <c r="D10178" s="1" t="str">
        <f>HYPERLINK("http://genome-euro.ucsc.edu/cgi-bin/hgTracks?position=201455_s_at","UCSC")</f>
        <v>UCSC</v>
      </c>
      <c r="E10178" s="1" t="str">
        <f>HYPERLINK("http://www.ncbi.nlm.nih.gov/gene/?term=NPEPPS","NCBI")</f>
        <v>NCBI</v>
      </c>
      <c r="F10178">
        <v>0.22</v>
      </c>
      <c r="G10178">
        <v>0.37</v>
      </c>
      <c r="H10178" s="1" t="str">
        <f>HYPERLINK("http://www.weizmann.ac.il/complex/compphys/software/geview/data/figures/201455_s_at.png","Figure")</f>
        <v>Figure</v>
      </c>
      <c r="I10178">
        <v>0.72</v>
      </c>
      <c r="J10178">
        <v>0.2</v>
      </c>
      <c r="K10178">
        <v>0.83399999999999996</v>
      </c>
      <c r="L10178">
        <v>0.5</v>
      </c>
      <c r="M10178">
        <v>1.1599999999999999</v>
      </c>
      <c r="N10178">
        <v>0.67</v>
      </c>
    </row>
    <row r="10179" spans="1:14" x14ac:dyDescent="0.25">
      <c r="A10179" t="s">
        <v>17782</v>
      </c>
      <c r="B10179" t="s">
        <v>17783</v>
      </c>
      <c r="C10179" s="1" t="str">
        <f>HYPERLINK("http://www.genecards.org/cgi-bin/carddisp.pl?gene=ZBED4","GeneCards")</f>
        <v>GeneCards</v>
      </c>
      <c r="D10179" s="1" t="str">
        <f>HYPERLINK("http://genome-euro.ucsc.edu/cgi-bin/hgTracks?position=214747_at","UCSC")</f>
        <v>UCSC</v>
      </c>
      <c r="E10179" s="1" t="str">
        <f>HYPERLINK("http://www.ncbi.nlm.nih.gov/gene/?term=ZBED4","NCBI")</f>
        <v>NCBI</v>
      </c>
      <c r="F10179">
        <v>0.22</v>
      </c>
      <c r="G10179">
        <v>0.38</v>
      </c>
      <c r="H10179" s="1" t="str">
        <f>HYPERLINK("http://www.weizmann.ac.il/complex/compphys/software/geview/data/figures/214747_at.png","Figure")</f>
        <v>Figure</v>
      </c>
      <c r="I10179">
        <v>1</v>
      </c>
      <c r="J10179">
        <v>1</v>
      </c>
      <c r="K10179">
        <v>0.91</v>
      </c>
      <c r="L10179">
        <v>0.28999999999999998</v>
      </c>
      <c r="M10179">
        <v>0.90900000000000003</v>
      </c>
      <c r="N10179">
        <v>0.33</v>
      </c>
    </row>
    <row r="10180" spans="1:14" x14ac:dyDescent="0.25">
      <c r="A10180" t="s">
        <v>17784</v>
      </c>
      <c r="B10180" t="s">
        <v>1609</v>
      </c>
      <c r="C10180" s="1" t="str">
        <f>HYPERLINK("http://www.genecards.org/cgi-bin/carddisp.pl?gene=SLC2A3","GeneCards")</f>
        <v>GeneCards</v>
      </c>
      <c r="D10180" s="1" t="str">
        <f>HYPERLINK("http://genome-euro.ucsc.edu/cgi-bin/hgTracks?position=202497_x_at","UCSC")</f>
        <v>UCSC</v>
      </c>
      <c r="E10180" s="1" t="str">
        <f>HYPERLINK("http://www.ncbi.nlm.nih.gov/gene/?term=SLC2A3","NCBI")</f>
        <v>NCBI</v>
      </c>
      <c r="F10180">
        <v>0.22</v>
      </c>
      <c r="G10180">
        <v>0.38</v>
      </c>
      <c r="H10180" s="1" t="str">
        <f>HYPERLINK("http://www.weizmann.ac.il/complex/compphys/software/geview/data/figures/202497_x_at.png","Figure")</f>
        <v>Figure</v>
      </c>
      <c r="I10180">
        <v>0.65200000000000002</v>
      </c>
      <c r="J10180">
        <v>0.3</v>
      </c>
      <c r="K10180">
        <v>0.67700000000000005</v>
      </c>
      <c r="L10180">
        <v>0.27</v>
      </c>
      <c r="M10180">
        <v>1.04</v>
      </c>
      <c r="N10180">
        <v>0.99</v>
      </c>
    </row>
    <row r="10181" spans="1:14" x14ac:dyDescent="0.25">
      <c r="A10181" t="s">
        <v>17785</v>
      </c>
      <c r="B10181" t="s">
        <v>17786</v>
      </c>
      <c r="C10181" s="1" t="str">
        <f>HYPERLINK("http://www.genecards.org/cgi-bin/carddisp.pl?gene=RDH8","GeneCards")</f>
        <v>GeneCards</v>
      </c>
      <c r="D10181" s="1" t="str">
        <f>HYPERLINK("http://genome-euro.ucsc.edu/cgi-bin/hgTracks?position=220683_at","UCSC")</f>
        <v>UCSC</v>
      </c>
      <c r="E10181" s="1" t="str">
        <f>HYPERLINK("http://www.ncbi.nlm.nih.gov/gene/?term=RDH8","NCBI")</f>
        <v>NCBI</v>
      </c>
      <c r="F10181">
        <v>0.22</v>
      </c>
      <c r="G10181">
        <v>0.38</v>
      </c>
      <c r="H10181" s="1" t="str">
        <f>HYPERLINK("http://www.weizmann.ac.il/complex/compphys/software/geview/data/figures/220683_at.png","Figure")</f>
        <v>Figure</v>
      </c>
      <c r="I10181">
        <v>1.1599999999999999</v>
      </c>
      <c r="J10181">
        <v>0.2</v>
      </c>
      <c r="K10181">
        <v>1.07</v>
      </c>
      <c r="L10181">
        <v>0.67</v>
      </c>
      <c r="M10181">
        <v>0.91500000000000004</v>
      </c>
      <c r="N10181">
        <v>0.51</v>
      </c>
    </row>
    <row r="10182" spans="1:14" x14ac:dyDescent="0.25">
      <c r="A10182" t="s">
        <v>17787</v>
      </c>
      <c r="B10182" t="s">
        <v>17788</v>
      </c>
      <c r="C10182" s="1" t="str">
        <f>HYPERLINK("http://www.genecards.org/cgi-bin/carddisp.pl?gene=HSD11B1","GeneCards")</f>
        <v>GeneCards</v>
      </c>
      <c r="D10182" s="1" t="str">
        <f>HYPERLINK("http://genome-euro.ucsc.edu/cgi-bin/hgTracks?position=205404_at","UCSC")</f>
        <v>UCSC</v>
      </c>
      <c r="E10182" s="1" t="str">
        <f>HYPERLINK("http://www.ncbi.nlm.nih.gov/gene/?term=HSD11B1","NCBI")</f>
        <v>NCBI</v>
      </c>
      <c r="F10182">
        <v>0.22</v>
      </c>
      <c r="G10182">
        <v>0.38</v>
      </c>
      <c r="H10182" s="1" t="str">
        <f>HYPERLINK("http://www.weizmann.ac.il/complex/compphys/software/geview/data/figures/205404_at.png","Figure")</f>
        <v>Figure</v>
      </c>
      <c r="I10182">
        <v>0.94199999999999995</v>
      </c>
      <c r="J10182">
        <v>0.81</v>
      </c>
      <c r="K10182">
        <v>1.1000000000000001</v>
      </c>
      <c r="L10182">
        <v>0.5</v>
      </c>
      <c r="M10182">
        <v>1.17</v>
      </c>
      <c r="N10182">
        <v>0.22</v>
      </c>
    </row>
    <row r="10183" spans="1:14" x14ac:dyDescent="0.25">
      <c r="A10183" t="s">
        <v>17789</v>
      </c>
      <c r="B10183" t="s">
        <v>17790</v>
      </c>
      <c r="C10183" s="1" t="str">
        <f>HYPERLINK("http://www.genecards.org/cgi-bin/carddisp.pl?gene=POMP","GeneCards")</f>
        <v>GeneCards</v>
      </c>
      <c r="D10183" s="1" t="str">
        <f>HYPERLINK("http://genome-euro.ucsc.edu/cgi-bin/hgTracks?position=217769_s_at","UCSC")</f>
        <v>UCSC</v>
      </c>
      <c r="E10183" s="1" t="str">
        <f>HYPERLINK("http://www.ncbi.nlm.nih.gov/gene/?term=POMP","NCBI")</f>
        <v>NCBI</v>
      </c>
      <c r="F10183">
        <v>0.22</v>
      </c>
      <c r="G10183">
        <v>0.38</v>
      </c>
      <c r="H10183" s="1" t="str">
        <f>HYPERLINK("http://www.weizmann.ac.il/complex/compphys/software/geview/data/figures/217769_s_at.png","Figure")</f>
        <v>Figure</v>
      </c>
      <c r="I10183">
        <v>1.38</v>
      </c>
      <c r="J10183">
        <v>0.2</v>
      </c>
      <c r="K10183">
        <v>1.2</v>
      </c>
      <c r="L10183">
        <v>0.49</v>
      </c>
      <c r="M10183">
        <v>0.86899999999999999</v>
      </c>
      <c r="N10183">
        <v>0.68</v>
      </c>
    </row>
    <row r="10184" spans="1:14" x14ac:dyDescent="0.25">
      <c r="A10184" t="s">
        <v>17791</v>
      </c>
      <c r="B10184" t="s">
        <v>17792</v>
      </c>
      <c r="C10184" s="1" t="str">
        <f>HYPERLINK("http://www.genecards.org/cgi-bin/carddisp.pl?gene=AMPH","GeneCards")</f>
        <v>GeneCards</v>
      </c>
      <c r="D10184" s="1" t="str">
        <f>HYPERLINK("http://genome-euro.ucsc.edu/cgi-bin/hgTracks?position=205257_s_at","UCSC")</f>
        <v>UCSC</v>
      </c>
      <c r="E10184" s="1" t="str">
        <f>HYPERLINK("http://www.ncbi.nlm.nih.gov/gene/?term=AMPH","NCBI")</f>
        <v>NCBI</v>
      </c>
      <c r="F10184">
        <v>0.22</v>
      </c>
      <c r="G10184">
        <v>0.38</v>
      </c>
      <c r="H10184" s="1" t="str">
        <f>HYPERLINK("http://www.weizmann.ac.il/complex/compphys/software/geview/data/figures/205257_s_at.png","Figure")</f>
        <v>Figure</v>
      </c>
      <c r="I10184">
        <v>0.98099999999999998</v>
      </c>
      <c r="J10184">
        <v>0.95</v>
      </c>
      <c r="K10184">
        <v>0.91300000000000003</v>
      </c>
      <c r="L10184">
        <v>0.24</v>
      </c>
      <c r="M10184">
        <v>0.93</v>
      </c>
      <c r="N10184">
        <v>0.44</v>
      </c>
    </row>
    <row r="10185" spans="1:14" x14ac:dyDescent="0.25">
      <c r="A10185" t="s">
        <v>17793</v>
      </c>
      <c r="B10185" t="s">
        <v>17794</v>
      </c>
      <c r="C10185" s="1" t="str">
        <f>HYPERLINK("http://www.genecards.org/cgi-bin/carddisp.pl?gene=LTF","GeneCards")</f>
        <v>GeneCards</v>
      </c>
      <c r="D10185" s="1" t="str">
        <f>HYPERLINK("http://genome-euro.ucsc.edu/cgi-bin/hgTracks?position=202018_s_at","UCSC")</f>
        <v>UCSC</v>
      </c>
      <c r="E10185" s="1" t="str">
        <f>HYPERLINK("http://www.ncbi.nlm.nih.gov/gene/?term=LTF","NCBI")</f>
        <v>NCBI</v>
      </c>
      <c r="F10185">
        <v>0.22</v>
      </c>
      <c r="G10185">
        <v>0.38</v>
      </c>
      <c r="H10185" s="1" t="str">
        <f>HYPERLINK("http://www.weizmann.ac.il/complex/compphys/software/geview/data/figures/202018_s_at.png","Figure")</f>
        <v>Figure</v>
      </c>
      <c r="I10185">
        <v>1.0900000000000001</v>
      </c>
      <c r="J10185">
        <v>0.93</v>
      </c>
      <c r="K10185">
        <v>0.74</v>
      </c>
      <c r="L10185">
        <v>0.38</v>
      </c>
      <c r="M10185">
        <v>0.67700000000000005</v>
      </c>
      <c r="N10185">
        <v>0.26</v>
      </c>
    </row>
    <row r="10186" spans="1:14" x14ac:dyDescent="0.25">
      <c r="A10186" t="s">
        <v>17795</v>
      </c>
      <c r="B10186" t="s">
        <v>14559</v>
      </c>
      <c r="C10186" s="1" t="str">
        <f>HYPERLINK("http://www.genecards.org/cgi-bin/carddisp.pl?gene=FGFR1","GeneCards")</f>
        <v>GeneCards</v>
      </c>
      <c r="D10186" s="1" t="str">
        <f>HYPERLINK("http://genome-euro.ucsc.edu/cgi-bin/hgTracks?position=211535_s_at","UCSC")</f>
        <v>UCSC</v>
      </c>
      <c r="E10186" s="1" t="str">
        <f>HYPERLINK("http://www.ncbi.nlm.nih.gov/gene/?term=FGFR1","NCBI")</f>
        <v>NCBI</v>
      </c>
      <c r="F10186">
        <v>0.22</v>
      </c>
      <c r="G10186">
        <v>0.38</v>
      </c>
      <c r="H10186" s="1" t="str">
        <f>HYPERLINK("http://www.weizmann.ac.il/complex/compphys/software/geview/data/figures/211535_s_at.png","Figure")</f>
        <v>Figure</v>
      </c>
      <c r="I10186">
        <v>0.64100000000000001</v>
      </c>
      <c r="J10186">
        <v>0.21</v>
      </c>
      <c r="K10186">
        <v>0.77400000000000002</v>
      </c>
      <c r="L10186">
        <v>0.48</v>
      </c>
      <c r="M10186">
        <v>1.21</v>
      </c>
      <c r="N10186">
        <v>0.7</v>
      </c>
    </row>
    <row r="10187" spans="1:14" x14ac:dyDescent="0.25">
      <c r="A10187" t="s">
        <v>17796</v>
      </c>
      <c r="B10187" t="s">
        <v>17797</v>
      </c>
      <c r="C10187" s="1" t="str">
        <f>HYPERLINK("http://www.genecards.org/cgi-bin/carddisp.pl?gene=PGPEP1","GeneCards")</f>
        <v>GeneCards</v>
      </c>
      <c r="D10187" s="1" t="str">
        <f>HYPERLINK("http://genome-euro.ucsc.edu/cgi-bin/hgTracks?position=219891_at","UCSC")</f>
        <v>UCSC</v>
      </c>
      <c r="E10187" s="1" t="str">
        <f>HYPERLINK("http://www.ncbi.nlm.nih.gov/gene/?term=PGPEP1","NCBI")</f>
        <v>NCBI</v>
      </c>
      <c r="F10187">
        <v>0.22</v>
      </c>
      <c r="G10187">
        <v>0.38</v>
      </c>
      <c r="H10187" s="1" t="str">
        <f>HYPERLINK("http://www.weizmann.ac.il/complex/compphys/software/geview/data/figures/219891_at.png","Figure")</f>
        <v>Figure</v>
      </c>
      <c r="I10187">
        <v>1.1200000000000001</v>
      </c>
      <c r="J10187">
        <v>0.38</v>
      </c>
      <c r="K10187">
        <v>0.97699999999999998</v>
      </c>
      <c r="L10187">
        <v>0.94</v>
      </c>
      <c r="M10187">
        <v>0.874</v>
      </c>
      <c r="N10187">
        <v>0.21</v>
      </c>
    </row>
    <row r="10188" spans="1:14" x14ac:dyDescent="0.25">
      <c r="A10188" t="s">
        <v>17798</v>
      </c>
      <c r="B10188" t="s">
        <v>17799</v>
      </c>
      <c r="C10188" s="1" t="str">
        <f>HYPERLINK("http://www.genecards.org/cgi-bin/carddisp.pl?gene=ACAP1","GeneCards")</f>
        <v>GeneCards</v>
      </c>
      <c r="D10188" s="1" t="str">
        <f>HYPERLINK("http://genome-euro.ucsc.edu/cgi-bin/hgTracks?position=205212_s_at","UCSC")</f>
        <v>UCSC</v>
      </c>
      <c r="E10188" s="1" t="str">
        <f>HYPERLINK("http://www.ncbi.nlm.nih.gov/gene/?term=ACAP1","NCBI")</f>
        <v>NCBI</v>
      </c>
      <c r="F10188">
        <v>0.23</v>
      </c>
      <c r="G10188">
        <v>0.38</v>
      </c>
      <c r="H10188" s="1" t="str">
        <f>HYPERLINK("http://www.weizmann.ac.il/complex/compphys/software/geview/data/figures/205212_s_at.png","Figure")</f>
        <v>Figure</v>
      </c>
      <c r="I10188">
        <v>1.39</v>
      </c>
      <c r="J10188">
        <v>0.26</v>
      </c>
      <c r="K10188">
        <v>1.31</v>
      </c>
      <c r="L10188">
        <v>0.31</v>
      </c>
      <c r="M10188">
        <v>0.94199999999999995</v>
      </c>
      <c r="N10188">
        <v>0.95</v>
      </c>
    </row>
    <row r="10189" spans="1:14" x14ac:dyDescent="0.25">
      <c r="A10189" t="s">
        <v>17800</v>
      </c>
      <c r="B10189" t="s">
        <v>17801</v>
      </c>
      <c r="C10189" s="1" t="str">
        <f>HYPERLINK("http://www.genecards.org/cgi-bin/carddisp.pl?gene=SIP1","GeneCards")</f>
        <v>GeneCards</v>
      </c>
      <c r="D10189" s="1" t="str">
        <f>HYPERLINK("http://genome-euro.ucsc.edu/cgi-bin/hgTracks?position=211115_x_at","UCSC")</f>
        <v>UCSC</v>
      </c>
      <c r="E10189" s="1" t="str">
        <f>HYPERLINK("http://www.ncbi.nlm.nih.gov/gene/?term=SIP1","NCBI")</f>
        <v>NCBI</v>
      </c>
      <c r="F10189">
        <v>0.23</v>
      </c>
      <c r="G10189">
        <v>0.38</v>
      </c>
      <c r="H10189" s="1" t="str">
        <f>HYPERLINK("http://www.weizmann.ac.il/complex/compphys/software/geview/data/figures/211115_x_at.png","Figure")</f>
        <v>Figure</v>
      </c>
      <c r="I10189">
        <v>0.88300000000000001</v>
      </c>
      <c r="J10189">
        <v>0.4</v>
      </c>
      <c r="K10189">
        <v>1.03</v>
      </c>
      <c r="L10189">
        <v>0.92</v>
      </c>
      <c r="M10189">
        <v>1.17</v>
      </c>
      <c r="N10189">
        <v>0.21</v>
      </c>
    </row>
    <row r="10190" spans="1:14" x14ac:dyDescent="0.25">
      <c r="A10190" t="s">
        <v>17802</v>
      </c>
      <c r="B10190" t="s">
        <v>17803</v>
      </c>
      <c r="C10190" s="1" t="str">
        <f>HYPERLINK("http://www.genecards.org/cgi-bin/carddisp.pl?gene=ZNF238","GeneCards")</f>
        <v>GeneCards</v>
      </c>
      <c r="D10190" s="1" t="str">
        <f>HYPERLINK("http://genome-euro.ucsc.edu/cgi-bin/hgTracks?position=212774_at","UCSC")</f>
        <v>UCSC</v>
      </c>
      <c r="E10190" s="1" t="str">
        <f>HYPERLINK("http://www.ncbi.nlm.nih.gov/gene/?term=ZNF238","NCBI")</f>
        <v>NCBI</v>
      </c>
      <c r="F10190">
        <v>0.23</v>
      </c>
      <c r="G10190">
        <v>0.38</v>
      </c>
      <c r="H10190" s="1" t="str">
        <f>HYPERLINK("http://www.weizmann.ac.il/complex/compphys/software/geview/data/figures/212774_at.png","Figure")</f>
        <v>Figure</v>
      </c>
      <c r="I10190">
        <v>1.36</v>
      </c>
      <c r="J10190">
        <v>0.27</v>
      </c>
      <c r="K10190">
        <v>1.01</v>
      </c>
      <c r="L10190">
        <v>1</v>
      </c>
      <c r="M10190">
        <v>0.748</v>
      </c>
      <c r="N10190">
        <v>0.26</v>
      </c>
    </row>
    <row r="10191" spans="1:14" x14ac:dyDescent="0.25">
      <c r="A10191" t="s">
        <v>17804</v>
      </c>
      <c r="B10191" t="s">
        <v>17805</v>
      </c>
      <c r="C10191" s="1" t="str">
        <f>HYPERLINK("http://www.genecards.org/cgi-bin/carddisp.pl?gene=ADIPOR1","GeneCards")</f>
        <v>GeneCards</v>
      </c>
      <c r="D10191" s="1" t="str">
        <f>HYPERLINK("http://genome-euro.ucsc.edu/cgi-bin/hgTracks?position=217748_at","UCSC")</f>
        <v>UCSC</v>
      </c>
      <c r="E10191" s="1" t="str">
        <f>HYPERLINK("http://www.ncbi.nlm.nih.gov/gene/?term=ADIPOR1","NCBI")</f>
        <v>NCBI</v>
      </c>
      <c r="F10191">
        <v>0.23</v>
      </c>
      <c r="G10191">
        <v>0.38</v>
      </c>
      <c r="H10191" s="1" t="str">
        <f>HYPERLINK("http://www.weizmann.ac.il/complex/compphys/software/geview/data/figures/217748_at.png","Figure")</f>
        <v>Figure</v>
      </c>
      <c r="I10191">
        <v>1.28</v>
      </c>
      <c r="J10191">
        <v>0.5</v>
      </c>
      <c r="K10191">
        <v>0.88500000000000001</v>
      </c>
      <c r="L10191">
        <v>0.8</v>
      </c>
      <c r="M10191">
        <v>0.68899999999999995</v>
      </c>
      <c r="N10191">
        <v>0.2</v>
      </c>
    </row>
    <row r="10192" spans="1:14" x14ac:dyDescent="0.25">
      <c r="A10192" t="s">
        <v>17806</v>
      </c>
      <c r="B10192" t="s">
        <v>15210</v>
      </c>
      <c r="C10192" s="1" t="str">
        <f>HYPERLINK("http://www.genecards.org/cgi-bin/carddisp.pl?gene=MCCC2","GeneCards")</f>
        <v>GeneCards</v>
      </c>
      <c r="D10192" s="1" t="str">
        <f>HYPERLINK("http://genome-euro.ucsc.edu/cgi-bin/hgTracks?position=209624_s_at","UCSC")</f>
        <v>UCSC</v>
      </c>
      <c r="E10192" s="1" t="str">
        <f>HYPERLINK("http://www.ncbi.nlm.nih.gov/gene/?term=MCCC2","NCBI")</f>
        <v>NCBI</v>
      </c>
      <c r="F10192">
        <v>0.23</v>
      </c>
      <c r="G10192">
        <v>0.38</v>
      </c>
      <c r="H10192" s="1" t="str">
        <f>HYPERLINK("http://www.weizmann.ac.il/complex/compphys/software/geview/data/figures/209624_s_at.png","Figure")</f>
        <v>Figure</v>
      </c>
      <c r="I10192">
        <v>1.08</v>
      </c>
      <c r="J10192">
        <v>0.46</v>
      </c>
      <c r="K10192">
        <v>1.1000000000000001</v>
      </c>
      <c r="L10192">
        <v>0.21</v>
      </c>
      <c r="M10192">
        <v>1.02</v>
      </c>
      <c r="N10192">
        <v>0.93</v>
      </c>
    </row>
    <row r="10193" spans="1:14" x14ac:dyDescent="0.25">
      <c r="A10193" t="s">
        <v>17807</v>
      </c>
      <c r="B10193" t="s">
        <v>17808</v>
      </c>
      <c r="C10193" s="1" t="str">
        <f>HYPERLINK("http://www.genecards.org/cgi-bin/carddisp.pl?gene=ZNF44","GeneCards")</f>
        <v>GeneCards</v>
      </c>
      <c r="D10193" s="1" t="str">
        <f>HYPERLINK("http://genome-euro.ucsc.edu/cgi-bin/hgTracks?position=215359_x_at","UCSC")</f>
        <v>UCSC</v>
      </c>
      <c r="E10193" s="1" t="str">
        <f>HYPERLINK("http://www.ncbi.nlm.nih.gov/gene/?term=ZNF44","NCBI")</f>
        <v>NCBI</v>
      </c>
      <c r="F10193">
        <v>0.23</v>
      </c>
      <c r="G10193">
        <v>0.38</v>
      </c>
      <c r="H10193" s="1" t="str">
        <f>HYPERLINK("http://www.weizmann.ac.il/complex/compphys/software/geview/data/figures/215359_x_at.png","Figure")</f>
        <v>Figure</v>
      </c>
      <c r="I10193">
        <v>0.92300000000000004</v>
      </c>
      <c r="J10193">
        <v>0.95</v>
      </c>
      <c r="K10193">
        <v>0.67300000000000004</v>
      </c>
      <c r="L10193">
        <v>0.24</v>
      </c>
      <c r="M10193">
        <v>0.72899999999999998</v>
      </c>
      <c r="N10193">
        <v>0.43</v>
      </c>
    </row>
    <row r="10194" spans="1:14" x14ac:dyDescent="0.25">
      <c r="A10194" t="s">
        <v>17809</v>
      </c>
      <c r="B10194" t="s">
        <v>17810</v>
      </c>
      <c r="C10194" s="1" t="str">
        <f>HYPERLINK("http://www.genecards.org/cgi-bin/carddisp.pl?gene=LOC220594","GeneCards")</f>
        <v>GeneCards</v>
      </c>
      <c r="D10194" s="1" t="str">
        <f>HYPERLINK("http://genome-euro.ucsc.edu/cgi-bin/hgTracks?position=213510_x_at","UCSC")</f>
        <v>UCSC</v>
      </c>
      <c r="E10194" s="1" t="str">
        <f>HYPERLINK("http://www.ncbi.nlm.nih.gov/gene/?term=LOC220594","NCBI")</f>
        <v>NCBI</v>
      </c>
      <c r="F10194">
        <v>0.23</v>
      </c>
      <c r="G10194">
        <v>0.38</v>
      </c>
      <c r="H10194" s="1" t="str">
        <f>HYPERLINK("http://www.weizmann.ac.il/complex/compphys/software/geview/data/figures/213510_x_at.png","Figure")</f>
        <v>Figure</v>
      </c>
      <c r="I10194">
        <v>0.49399999999999999</v>
      </c>
      <c r="J10194">
        <v>0.2</v>
      </c>
      <c r="K10194">
        <v>0.75</v>
      </c>
      <c r="L10194">
        <v>0.68</v>
      </c>
      <c r="M10194">
        <v>1.52</v>
      </c>
      <c r="N10194">
        <v>0.5</v>
      </c>
    </row>
    <row r="10195" spans="1:14" x14ac:dyDescent="0.25">
      <c r="A10195" t="s">
        <v>17811</v>
      </c>
      <c r="B10195" t="s">
        <v>10607</v>
      </c>
      <c r="C10195" s="1" t="str">
        <f>HYPERLINK("http://www.genecards.org/cgi-bin/carddisp.pl?gene=RET","GeneCards")</f>
        <v>GeneCards</v>
      </c>
      <c r="D10195" s="1" t="str">
        <f>HYPERLINK("http://genome-euro.ucsc.edu/cgi-bin/hgTracks?position=215771_x_at","UCSC")</f>
        <v>UCSC</v>
      </c>
      <c r="E10195" s="1" t="str">
        <f>HYPERLINK("http://www.ncbi.nlm.nih.gov/gene/?term=RET","NCBI")</f>
        <v>NCBI</v>
      </c>
      <c r="F10195">
        <v>0.23</v>
      </c>
      <c r="G10195">
        <v>0.38</v>
      </c>
      <c r="H10195" s="1" t="str">
        <f>HYPERLINK("http://www.weizmann.ac.il/complex/compphys/software/geview/data/figures/215771_x_at.png","Figure")</f>
        <v>Figure</v>
      </c>
      <c r="I10195">
        <v>1.05</v>
      </c>
      <c r="J10195">
        <v>0.89</v>
      </c>
      <c r="K10195">
        <v>0.88300000000000001</v>
      </c>
      <c r="L10195">
        <v>0.43</v>
      </c>
      <c r="M10195">
        <v>0.83799999999999997</v>
      </c>
      <c r="N10195">
        <v>0.24</v>
      </c>
    </row>
    <row r="10196" spans="1:14" x14ac:dyDescent="0.25">
      <c r="A10196" t="s">
        <v>17812</v>
      </c>
      <c r="B10196" t="s">
        <v>17813</v>
      </c>
      <c r="C10196" s="1" t="str">
        <f>HYPERLINK("http://www.genecards.org/cgi-bin/carddisp.pl?gene=WBP11","GeneCards")</f>
        <v>GeneCards</v>
      </c>
      <c r="D10196" s="1" t="str">
        <f>HYPERLINK("http://genome-euro.ucsc.edu/cgi-bin/hgTracks?position=217822_at","UCSC")</f>
        <v>UCSC</v>
      </c>
      <c r="E10196" s="1" t="str">
        <f>HYPERLINK("http://www.ncbi.nlm.nih.gov/gene/?term=WBP11","NCBI")</f>
        <v>NCBI</v>
      </c>
      <c r="F10196">
        <v>0.23</v>
      </c>
      <c r="G10196">
        <v>0.38</v>
      </c>
      <c r="H10196" s="1" t="str">
        <f>HYPERLINK("http://www.weizmann.ac.il/complex/compphys/software/geview/data/figures/217822_at.png","Figure")</f>
        <v>Figure</v>
      </c>
      <c r="I10196">
        <v>0.82099999999999995</v>
      </c>
      <c r="J10196">
        <v>0.53</v>
      </c>
      <c r="K10196">
        <v>0.754</v>
      </c>
      <c r="L10196">
        <v>0.2</v>
      </c>
      <c r="M10196">
        <v>0.91800000000000004</v>
      </c>
      <c r="N10196">
        <v>0.87</v>
      </c>
    </row>
    <row r="10197" spans="1:14" x14ac:dyDescent="0.25">
      <c r="A10197" t="s">
        <v>17814</v>
      </c>
      <c r="B10197" t="s">
        <v>17815</v>
      </c>
      <c r="C10197" s="1" t="str">
        <f>HYPERLINK("http://www.genecards.org/cgi-bin/carddisp.pl?gene=SIX1","GeneCards")</f>
        <v>GeneCards</v>
      </c>
      <c r="D10197" s="1" t="str">
        <f>HYPERLINK("http://genome-euro.ucsc.edu/cgi-bin/hgTracks?position=205817_at","UCSC")</f>
        <v>UCSC</v>
      </c>
      <c r="E10197" s="1" t="str">
        <f>HYPERLINK("http://www.ncbi.nlm.nih.gov/gene/?term=SIX1","NCBI")</f>
        <v>NCBI</v>
      </c>
      <c r="F10197">
        <v>0.23</v>
      </c>
      <c r="G10197">
        <v>0.38</v>
      </c>
      <c r="H10197" s="1" t="str">
        <f>HYPERLINK("http://www.weizmann.ac.il/complex/compphys/software/geview/data/figures/205817_at.png","Figure")</f>
        <v>Figure</v>
      </c>
      <c r="I10197">
        <v>1.03</v>
      </c>
      <c r="J10197">
        <v>0.34</v>
      </c>
      <c r="K10197">
        <v>1.03</v>
      </c>
      <c r="L10197">
        <v>0.25</v>
      </c>
      <c r="M10197">
        <v>1</v>
      </c>
      <c r="N10197">
        <v>1</v>
      </c>
    </row>
    <row r="10198" spans="1:14" x14ac:dyDescent="0.25">
      <c r="A10198" t="s">
        <v>17816</v>
      </c>
      <c r="B10198" t="s">
        <v>4287</v>
      </c>
      <c r="C10198" s="1" t="str">
        <f>HYPERLINK("http://www.genecards.org/cgi-bin/carddisp.pl?gene=CDC42EP2","GeneCards")</f>
        <v>GeneCards</v>
      </c>
      <c r="D10198" s="1" t="str">
        <f>HYPERLINK("http://genome-euro.ucsc.edu/cgi-bin/hgTracks?position=209850_s_at","UCSC")</f>
        <v>UCSC</v>
      </c>
      <c r="E10198" s="1" t="str">
        <f>HYPERLINK("http://www.ncbi.nlm.nih.gov/gene/?term=CDC42EP2","NCBI")</f>
        <v>NCBI</v>
      </c>
      <c r="F10198">
        <v>0.23</v>
      </c>
      <c r="G10198">
        <v>0.38</v>
      </c>
      <c r="H10198" s="1" t="str">
        <f>HYPERLINK("http://www.weizmann.ac.il/complex/compphys/software/geview/data/figures/209850_s_at.png","Figure")</f>
        <v>Figure</v>
      </c>
      <c r="I10198">
        <v>1.23</v>
      </c>
      <c r="J10198">
        <v>0.2</v>
      </c>
      <c r="K10198">
        <v>1.1100000000000001</v>
      </c>
      <c r="L10198">
        <v>0.56000000000000005</v>
      </c>
      <c r="M10198">
        <v>0.90300000000000002</v>
      </c>
      <c r="N10198">
        <v>0.61</v>
      </c>
    </row>
    <row r="10199" spans="1:14" x14ac:dyDescent="0.25">
      <c r="A10199" t="s">
        <v>17817</v>
      </c>
      <c r="B10199" t="s">
        <v>10130</v>
      </c>
      <c r="C10199" s="1" t="str">
        <f>HYPERLINK("http://www.genecards.org/cgi-bin/carddisp.pl?gene=CREBZF","GeneCards")</f>
        <v>GeneCards</v>
      </c>
      <c r="D10199" s="1" t="str">
        <f>HYPERLINK("http://genome-euro.ucsc.edu/cgi-bin/hgTracks?position=202978_s_at","UCSC")</f>
        <v>UCSC</v>
      </c>
      <c r="E10199" s="1" t="str">
        <f>HYPERLINK("http://www.ncbi.nlm.nih.gov/gene/?term=CREBZF","NCBI")</f>
        <v>NCBI</v>
      </c>
      <c r="F10199">
        <v>0.23</v>
      </c>
      <c r="G10199">
        <v>0.38</v>
      </c>
      <c r="H10199" s="1" t="str">
        <f>HYPERLINK("http://www.weizmann.ac.il/complex/compphys/software/geview/data/figures/202978_s_at.png","Figure")</f>
        <v>Figure</v>
      </c>
      <c r="I10199">
        <v>0.92</v>
      </c>
      <c r="J10199">
        <v>0.96</v>
      </c>
      <c r="K10199">
        <v>0.63</v>
      </c>
      <c r="L10199">
        <v>0.24</v>
      </c>
      <c r="M10199">
        <v>0.68400000000000005</v>
      </c>
      <c r="N10199">
        <v>0.42</v>
      </c>
    </row>
    <row r="10200" spans="1:14" x14ac:dyDescent="0.25">
      <c r="A10200" t="s">
        <v>17818</v>
      </c>
      <c r="B10200" t="s">
        <v>14849</v>
      </c>
      <c r="C10200" s="1" t="str">
        <f>HYPERLINK("http://www.genecards.org/cgi-bin/carddisp.pl?gene=WTAP","GeneCards")</f>
        <v>GeneCards</v>
      </c>
      <c r="D10200" s="1" t="str">
        <f>HYPERLINK("http://genome-euro.ucsc.edu/cgi-bin/hgTracks?position=210285_x_at","UCSC")</f>
        <v>UCSC</v>
      </c>
      <c r="E10200" s="1" t="str">
        <f>HYPERLINK("http://www.ncbi.nlm.nih.gov/gene/?term=WTAP","NCBI")</f>
        <v>NCBI</v>
      </c>
      <c r="F10200">
        <v>0.23</v>
      </c>
      <c r="G10200">
        <v>0.38</v>
      </c>
      <c r="H10200" s="1" t="str">
        <f>HYPERLINK("http://www.weizmann.ac.il/complex/compphys/software/geview/data/figures/210285_x_at.png","Figure")</f>
        <v>Figure</v>
      </c>
      <c r="I10200">
        <v>1.17</v>
      </c>
      <c r="J10200">
        <v>0.89</v>
      </c>
      <c r="K10200">
        <v>0.68100000000000005</v>
      </c>
      <c r="L10200">
        <v>0.42</v>
      </c>
      <c r="M10200">
        <v>0.58399999999999996</v>
      </c>
      <c r="N10200">
        <v>0.24</v>
      </c>
    </row>
    <row r="10201" spans="1:14" x14ac:dyDescent="0.25">
      <c r="A10201" t="s">
        <v>17819</v>
      </c>
      <c r="B10201" t="s">
        <v>17820</v>
      </c>
      <c r="C10201" s="1" t="str">
        <f>HYPERLINK("http://www.genecards.org/cgi-bin/carddisp.pl?gene=CYP2A6 /// CYP2A7","GeneCards")</f>
        <v>GeneCards</v>
      </c>
      <c r="D10201" s="1" t="str">
        <f>HYPERLINK("http://genome-euro.ucsc.edu/cgi-bin/hgTracks?position=207244_x_at","UCSC")</f>
        <v>UCSC</v>
      </c>
      <c r="E10201" s="1" t="str">
        <f>HYPERLINK("http://www.ncbi.nlm.nih.gov/gene/?term=CYP2A6 /// CYP2A7","NCBI")</f>
        <v>NCBI</v>
      </c>
      <c r="F10201">
        <v>0.23</v>
      </c>
      <c r="G10201">
        <v>0.38</v>
      </c>
      <c r="H10201" s="1" t="str">
        <f>HYPERLINK("http://www.weizmann.ac.il/complex/compphys/software/geview/data/figures/207244_x_at.png","Figure")</f>
        <v>Figure</v>
      </c>
      <c r="I10201">
        <v>1.28</v>
      </c>
      <c r="J10201">
        <v>0.24</v>
      </c>
      <c r="K10201">
        <v>1.04</v>
      </c>
      <c r="L10201">
        <v>0.94</v>
      </c>
      <c r="M10201">
        <v>0.81299999999999994</v>
      </c>
      <c r="N10201">
        <v>0.31</v>
      </c>
    </row>
    <row r="10202" spans="1:14" x14ac:dyDescent="0.25">
      <c r="A10202" t="s">
        <v>17821</v>
      </c>
      <c r="B10202" t="s">
        <v>5796</v>
      </c>
      <c r="C10202" s="1" t="str">
        <f>HYPERLINK("http://www.genecards.org/cgi-bin/carddisp.pl?gene=TTC37","GeneCards")</f>
        <v>GeneCards</v>
      </c>
      <c r="D10202" s="1" t="str">
        <f>HYPERLINK("http://genome-euro.ucsc.edu/cgi-bin/hgTracks?position=203048_s_at","UCSC")</f>
        <v>UCSC</v>
      </c>
      <c r="E10202" s="1" t="str">
        <f>HYPERLINK("http://www.ncbi.nlm.nih.gov/gene/?term=TTC37","NCBI")</f>
        <v>NCBI</v>
      </c>
      <c r="F10202">
        <v>0.23</v>
      </c>
      <c r="G10202">
        <v>0.38</v>
      </c>
      <c r="H10202" s="1" t="str">
        <f>HYPERLINK("http://www.weizmann.ac.il/complex/compphys/software/geview/data/figures/203048_s_at.png","Figure")</f>
        <v>Figure</v>
      </c>
      <c r="I10202">
        <v>0.83299999999999996</v>
      </c>
      <c r="J10202">
        <v>0.65</v>
      </c>
      <c r="K10202">
        <v>1.17</v>
      </c>
      <c r="L10202">
        <v>0.65</v>
      </c>
      <c r="M10202">
        <v>1.41</v>
      </c>
      <c r="N10202">
        <v>0.2</v>
      </c>
    </row>
    <row r="10203" spans="1:14" x14ac:dyDescent="0.25">
      <c r="A10203" t="s">
        <v>17822</v>
      </c>
      <c r="B10203" t="s">
        <v>17823</v>
      </c>
      <c r="C10203" s="1" t="str">
        <f>HYPERLINK("http://www.genecards.org/cgi-bin/carddisp.pl?gene=NEDD8","GeneCards")</f>
        <v>GeneCards</v>
      </c>
      <c r="D10203" s="1" t="str">
        <f>HYPERLINK("http://genome-euro.ucsc.edu/cgi-bin/hgTracks?position=201840_at","UCSC")</f>
        <v>UCSC</v>
      </c>
      <c r="E10203" s="1" t="str">
        <f>HYPERLINK("http://www.ncbi.nlm.nih.gov/gene/?term=NEDD8","NCBI")</f>
        <v>NCBI</v>
      </c>
      <c r="F10203">
        <v>0.23</v>
      </c>
      <c r="G10203">
        <v>0.38</v>
      </c>
      <c r="H10203" s="1" t="str">
        <f>HYPERLINK("http://www.weizmann.ac.il/complex/compphys/software/geview/data/figures/201840_at.png","Figure")</f>
        <v>Figure</v>
      </c>
      <c r="I10203">
        <v>0.99399999999999999</v>
      </c>
      <c r="J10203">
        <v>1</v>
      </c>
      <c r="K10203">
        <v>1.24</v>
      </c>
      <c r="L10203">
        <v>0.3</v>
      </c>
      <c r="M10203">
        <v>1.25</v>
      </c>
      <c r="N10203">
        <v>0.33</v>
      </c>
    </row>
    <row r="10204" spans="1:14" x14ac:dyDescent="0.25">
      <c r="A10204" t="s">
        <v>17824</v>
      </c>
      <c r="B10204" t="s">
        <v>17825</v>
      </c>
      <c r="C10204" s="1" t="str">
        <f>HYPERLINK("http://www.genecards.org/cgi-bin/carddisp.pl?gene=EIF4G3","GeneCards")</f>
        <v>GeneCards</v>
      </c>
      <c r="D10204" s="1" t="str">
        <f>HYPERLINK("http://genome-euro.ucsc.edu/cgi-bin/hgTracks?position=201935_s_at","UCSC")</f>
        <v>UCSC</v>
      </c>
      <c r="E10204" s="1" t="str">
        <f>HYPERLINK("http://www.ncbi.nlm.nih.gov/gene/?term=EIF4G3","NCBI")</f>
        <v>NCBI</v>
      </c>
      <c r="F10204">
        <v>0.23</v>
      </c>
      <c r="G10204">
        <v>0.38</v>
      </c>
      <c r="H10204" s="1" t="str">
        <f>HYPERLINK("http://www.weizmann.ac.il/complex/compphys/software/geview/data/figures/201935_s_at.png","Figure")</f>
        <v>Figure</v>
      </c>
      <c r="I10204">
        <v>0.69</v>
      </c>
      <c r="J10204">
        <v>0.34</v>
      </c>
      <c r="K10204">
        <v>1.04</v>
      </c>
      <c r="L10204">
        <v>0.98</v>
      </c>
      <c r="M10204">
        <v>1.51</v>
      </c>
      <c r="N10204">
        <v>0.22</v>
      </c>
    </row>
    <row r="10205" spans="1:14" x14ac:dyDescent="0.25">
      <c r="A10205" t="s">
        <v>17826</v>
      </c>
      <c r="B10205" t="s">
        <v>13961</v>
      </c>
      <c r="C10205" s="1" t="str">
        <f>HYPERLINK("http://www.genecards.org/cgi-bin/carddisp.pl?gene=IGF1R","GeneCards")</f>
        <v>GeneCards</v>
      </c>
      <c r="D10205" s="1" t="str">
        <f>HYPERLINK("http://genome-euro.ucsc.edu/cgi-bin/hgTracks?position=203627_at","UCSC")</f>
        <v>UCSC</v>
      </c>
      <c r="E10205" s="1" t="str">
        <f>HYPERLINK("http://www.ncbi.nlm.nih.gov/gene/?term=IGF1R","NCBI")</f>
        <v>NCBI</v>
      </c>
      <c r="F10205">
        <v>0.23</v>
      </c>
      <c r="G10205">
        <v>0.38</v>
      </c>
      <c r="H10205" s="1" t="str">
        <f>HYPERLINK("http://www.weizmann.ac.il/complex/compphys/software/geview/data/figures/203627_at.png","Figure")</f>
        <v>Figure</v>
      </c>
      <c r="I10205">
        <v>1</v>
      </c>
      <c r="J10205">
        <v>1</v>
      </c>
      <c r="K10205">
        <v>0.97699999999999998</v>
      </c>
      <c r="L10205">
        <v>0.28999999999999998</v>
      </c>
      <c r="M10205">
        <v>0.97699999999999998</v>
      </c>
      <c r="N10205">
        <v>0.34</v>
      </c>
    </row>
    <row r="10206" spans="1:14" x14ac:dyDescent="0.25">
      <c r="A10206" t="s">
        <v>17827</v>
      </c>
      <c r="B10206" t="s">
        <v>13833</v>
      </c>
      <c r="C10206" s="1" t="str">
        <f>HYPERLINK("http://www.genecards.org/cgi-bin/carddisp.pl?gene=CDC25A","GeneCards")</f>
        <v>GeneCards</v>
      </c>
      <c r="D10206" s="1" t="str">
        <f>HYPERLINK("http://genome-euro.ucsc.edu/cgi-bin/hgTracks?position=204695_at","UCSC")</f>
        <v>UCSC</v>
      </c>
      <c r="E10206" s="1" t="str">
        <f>HYPERLINK("http://www.ncbi.nlm.nih.gov/gene/?term=CDC25A","NCBI")</f>
        <v>NCBI</v>
      </c>
      <c r="F10206">
        <v>0.23</v>
      </c>
      <c r="G10206">
        <v>0.38</v>
      </c>
      <c r="H10206" s="1" t="str">
        <f>HYPERLINK("http://www.weizmann.ac.il/complex/compphys/software/geview/data/figures/204695_at.png","Figure")</f>
        <v>Figure</v>
      </c>
      <c r="I10206">
        <v>1.45</v>
      </c>
      <c r="J10206">
        <v>0.24</v>
      </c>
      <c r="K10206">
        <v>1.06</v>
      </c>
      <c r="L10206">
        <v>0.95</v>
      </c>
      <c r="M10206">
        <v>0.73</v>
      </c>
      <c r="N10206">
        <v>0.3</v>
      </c>
    </row>
    <row r="10207" spans="1:14" x14ac:dyDescent="0.25">
      <c r="A10207" t="s">
        <v>17828</v>
      </c>
      <c r="B10207" t="s">
        <v>17829</v>
      </c>
      <c r="C10207" s="1" t="str">
        <f>HYPERLINK("http://www.genecards.org/cgi-bin/carddisp.pl?gene=CDX1","GeneCards")</f>
        <v>GeneCards</v>
      </c>
      <c r="D10207" s="1" t="str">
        <f>HYPERLINK("http://genome-euro.ucsc.edu/cgi-bin/hgTracks?position=206430_at","UCSC")</f>
        <v>UCSC</v>
      </c>
      <c r="E10207" s="1" t="str">
        <f>HYPERLINK("http://www.ncbi.nlm.nih.gov/gene/?term=CDX1","NCBI")</f>
        <v>NCBI</v>
      </c>
      <c r="F10207">
        <v>0.23</v>
      </c>
      <c r="G10207">
        <v>0.38</v>
      </c>
      <c r="H10207" s="1" t="str">
        <f>HYPERLINK("http://www.weizmann.ac.il/complex/compphys/software/geview/data/figures/206430_at.png","Figure")</f>
        <v>Figure</v>
      </c>
      <c r="I10207">
        <v>1.18</v>
      </c>
      <c r="J10207">
        <v>0.32</v>
      </c>
      <c r="K10207">
        <v>1.17</v>
      </c>
      <c r="L10207">
        <v>0.26</v>
      </c>
      <c r="M10207">
        <v>0.995</v>
      </c>
      <c r="N10207">
        <v>1</v>
      </c>
    </row>
    <row r="10208" spans="1:14" x14ac:dyDescent="0.25">
      <c r="A10208" t="s">
        <v>17830</v>
      </c>
      <c r="B10208" t="s">
        <v>17831</v>
      </c>
      <c r="C10208" s="1" t="str">
        <f>HYPERLINK("http://www.genecards.org/cgi-bin/carddisp.pl?gene=NRL","GeneCards")</f>
        <v>GeneCards</v>
      </c>
      <c r="D10208" s="1" t="str">
        <f>HYPERLINK("http://genome-euro.ucsc.edu/cgi-bin/hgTracks?position=206597_at","UCSC")</f>
        <v>UCSC</v>
      </c>
      <c r="E10208" s="1" t="str">
        <f>HYPERLINK("http://www.ncbi.nlm.nih.gov/gene/?term=NRL","NCBI")</f>
        <v>NCBI</v>
      </c>
      <c r="F10208">
        <v>0.23</v>
      </c>
      <c r="G10208">
        <v>0.38</v>
      </c>
      <c r="H10208" s="1" t="str">
        <f>HYPERLINK("http://www.weizmann.ac.il/complex/compphys/software/geview/data/figures/206597_at.png","Figure")</f>
        <v>Figure</v>
      </c>
      <c r="I10208">
        <v>1.1100000000000001</v>
      </c>
      <c r="J10208">
        <v>0.2</v>
      </c>
      <c r="K10208">
        <v>1.05</v>
      </c>
      <c r="L10208">
        <v>0.65</v>
      </c>
      <c r="M10208">
        <v>0.94</v>
      </c>
      <c r="N10208">
        <v>0.52</v>
      </c>
    </row>
    <row r="10209" spans="1:14" x14ac:dyDescent="0.25">
      <c r="A10209" t="s">
        <v>17832</v>
      </c>
      <c r="B10209" t="s">
        <v>17833</v>
      </c>
      <c r="C10209" s="1" t="str">
        <f>HYPERLINK("http://www.genecards.org/cgi-bin/carddisp.pl?gene=KRT81","GeneCards")</f>
        <v>GeneCards</v>
      </c>
      <c r="D10209" s="1" t="str">
        <f>HYPERLINK("http://genome-euro.ucsc.edu/cgi-bin/hgTracks?position=213711_at","UCSC")</f>
        <v>UCSC</v>
      </c>
      <c r="E10209" s="1" t="str">
        <f>HYPERLINK("http://www.ncbi.nlm.nih.gov/gene/?term=KRT81","NCBI")</f>
        <v>NCBI</v>
      </c>
      <c r="F10209">
        <v>0.23</v>
      </c>
      <c r="G10209">
        <v>0.38</v>
      </c>
      <c r="H10209" s="1" t="str">
        <f>HYPERLINK("http://www.weizmann.ac.il/complex/compphys/software/geview/data/figures/213711_at.png","Figure")</f>
        <v>Figure</v>
      </c>
      <c r="I10209">
        <v>1.1399999999999999</v>
      </c>
      <c r="J10209">
        <v>0.27</v>
      </c>
      <c r="K10209">
        <v>1.01</v>
      </c>
      <c r="L10209">
        <v>0.99</v>
      </c>
      <c r="M10209">
        <v>0.88600000000000001</v>
      </c>
      <c r="N10209">
        <v>0.27</v>
      </c>
    </row>
    <row r="10210" spans="1:14" x14ac:dyDescent="0.25">
      <c r="A10210" t="s">
        <v>17834</v>
      </c>
      <c r="B10210" t="s">
        <v>5851</v>
      </c>
      <c r="C10210" s="1" t="str">
        <f>HYPERLINK("http://www.genecards.org/cgi-bin/carddisp.pl?gene=BCR","GeneCards")</f>
        <v>GeneCards</v>
      </c>
      <c r="D10210" s="1" t="str">
        <f>HYPERLINK("http://genome-euro.ucsc.edu/cgi-bin/hgTracks?position=217223_s_at","UCSC")</f>
        <v>UCSC</v>
      </c>
      <c r="E10210" s="1" t="str">
        <f>HYPERLINK("http://www.ncbi.nlm.nih.gov/gene/?term=BCR","NCBI")</f>
        <v>NCBI</v>
      </c>
      <c r="F10210">
        <v>0.23</v>
      </c>
      <c r="G10210">
        <v>0.38</v>
      </c>
      <c r="H10210" s="1" t="str">
        <f>HYPERLINK("http://www.weizmann.ac.il/complex/compphys/software/geview/data/figures/217223_s_at.png","Figure")</f>
        <v>Figure</v>
      </c>
      <c r="I10210">
        <v>1.22</v>
      </c>
      <c r="J10210">
        <v>0.31</v>
      </c>
      <c r="K10210">
        <v>1.2</v>
      </c>
      <c r="L10210">
        <v>0.26</v>
      </c>
      <c r="M10210">
        <v>0.98799999999999999</v>
      </c>
      <c r="N10210">
        <v>0.99</v>
      </c>
    </row>
    <row r="10211" spans="1:14" x14ac:dyDescent="0.25">
      <c r="A10211" t="s">
        <v>17835</v>
      </c>
      <c r="B10211" t="s">
        <v>17836</v>
      </c>
      <c r="C10211" s="1" t="str">
        <f>HYPERLINK("http://www.genecards.org/cgi-bin/carddisp.pl?gene=BEND5","GeneCards")</f>
        <v>GeneCards</v>
      </c>
      <c r="D10211" s="1" t="str">
        <f>HYPERLINK("http://genome-euro.ucsc.edu/cgi-bin/hgTracks?position=219670_at","UCSC")</f>
        <v>UCSC</v>
      </c>
      <c r="E10211" s="1" t="str">
        <f>HYPERLINK("http://www.ncbi.nlm.nih.gov/gene/?term=BEND5","NCBI")</f>
        <v>NCBI</v>
      </c>
      <c r="F10211">
        <v>0.23</v>
      </c>
      <c r="G10211">
        <v>0.38</v>
      </c>
      <c r="H10211" s="1" t="str">
        <f>HYPERLINK("http://www.weizmann.ac.il/complex/compphys/software/geview/data/figures/219670_at.png","Figure")</f>
        <v>Figure</v>
      </c>
      <c r="I10211">
        <v>0.73</v>
      </c>
      <c r="J10211">
        <v>0.28999999999999998</v>
      </c>
      <c r="K10211">
        <v>1</v>
      </c>
      <c r="L10211">
        <v>1</v>
      </c>
      <c r="M10211">
        <v>1.37</v>
      </c>
      <c r="N10211">
        <v>0.25</v>
      </c>
    </row>
    <row r="10212" spans="1:14" x14ac:dyDescent="0.25">
      <c r="A10212" t="s">
        <v>17837</v>
      </c>
      <c r="B10212" t="s">
        <v>14654</v>
      </c>
      <c r="C10212" s="1" t="str">
        <f>HYPERLINK("http://www.genecards.org/cgi-bin/carddisp.pl?gene=LSM14A","GeneCards")</f>
        <v>GeneCards</v>
      </c>
      <c r="D10212" s="1" t="str">
        <f>HYPERLINK("http://genome-euro.ucsc.edu/cgi-bin/hgTracks?position=222099_s_at","UCSC")</f>
        <v>UCSC</v>
      </c>
      <c r="E10212" s="1" t="str">
        <f>HYPERLINK("http://www.ncbi.nlm.nih.gov/gene/?term=LSM14A","NCBI")</f>
        <v>NCBI</v>
      </c>
      <c r="F10212">
        <v>0.23</v>
      </c>
      <c r="G10212">
        <v>0.38</v>
      </c>
      <c r="H10212" s="1" t="str">
        <f>HYPERLINK("http://www.weizmann.ac.il/complex/compphys/software/geview/data/figures/222099_s_at.png","Figure")</f>
        <v>Figure</v>
      </c>
      <c r="I10212">
        <v>1.37</v>
      </c>
      <c r="J10212">
        <v>0.26</v>
      </c>
      <c r="K10212">
        <v>1.03</v>
      </c>
      <c r="L10212">
        <v>0.98</v>
      </c>
      <c r="M10212">
        <v>0.75</v>
      </c>
      <c r="N10212">
        <v>0.28000000000000003</v>
      </c>
    </row>
    <row r="10213" spans="1:14" x14ac:dyDescent="0.25">
      <c r="A10213" t="s">
        <v>17838</v>
      </c>
      <c r="B10213" t="s">
        <v>17839</v>
      </c>
      <c r="C10213" s="1" t="str">
        <f>HYPERLINK("http://www.genecards.org/cgi-bin/carddisp.pl?gene=ADAM5P","GeneCards")</f>
        <v>GeneCards</v>
      </c>
      <c r="D10213" s="1" t="str">
        <f>HYPERLINK("http://genome-euro.ucsc.edu/cgi-bin/hgTracks?position=216998_s_at","UCSC")</f>
        <v>UCSC</v>
      </c>
      <c r="E10213" s="1" t="str">
        <f>HYPERLINK("http://www.ncbi.nlm.nih.gov/gene/?term=ADAM5P","NCBI")</f>
        <v>NCBI</v>
      </c>
      <c r="F10213">
        <v>0.23</v>
      </c>
      <c r="G10213">
        <v>0.38</v>
      </c>
      <c r="H10213" s="1" t="str">
        <f>HYPERLINK("http://www.weizmann.ac.il/complex/compphys/software/geview/data/figures/216998_s_at.png","Figure")</f>
        <v>Figure</v>
      </c>
      <c r="I10213">
        <v>1.04</v>
      </c>
      <c r="J10213">
        <v>0.24</v>
      </c>
      <c r="K10213">
        <v>1.03</v>
      </c>
      <c r="L10213">
        <v>0.35</v>
      </c>
      <c r="M10213">
        <v>0.98899999999999999</v>
      </c>
      <c r="N10213">
        <v>0.89</v>
      </c>
    </row>
    <row r="10214" spans="1:14" x14ac:dyDescent="0.25">
      <c r="A10214" t="s">
        <v>17840</v>
      </c>
      <c r="B10214" t="s">
        <v>17841</v>
      </c>
      <c r="C10214" s="1" t="str">
        <f>HYPERLINK("http://www.genecards.org/cgi-bin/carddisp.pl?gene=HAND1","GeneCards")</f>
        <v>GeneCards</v>
      </c>
      <c r="D10214" s="1" t="str">
        <f>HYPERLINK("http://genome-euro.ucsc.edu/cgi-bin/hgTracks?position=220138_at","UCSC")</f>
        <v>UCSC</v>
      </c>
      <c r="E10214" s="1" t="str">
        <f>HYPERLINK("http://www.ncbi.nlm.nih.gov/gene/?term=HAND1","NCBI")</f>
        <v>NCBI</v>
      </c>
      <c r="F10214">
        <v>0.23</v>
      </c>
      <c r="G10214">
        <v>0.38</v>
      </c>
      <c r="H10214" s="1" t="str">
        <f>HYPERLINK("http://www.weizmann.ac.il/complex/compphys/software/geview/data/figures/220138_at.png","Figure")</f>
        <v>Figure</v>
      </c>
      <c r="I10214">
        <v>1.03</v>
      </c>
      <c r="J10214">
        <v>0.86</v>
      </c>
      <c r="K10214">
        <v>1.0900000000000001</v>
      </c>
      <c r="L10214">
        <v>0.22</v>
      </c>
      <c r="M10214">
        <v>1.06</v>
      </c>
      <c r="N10214">
        <v>0.53</v>
      </c>
    </row>
    <row r="10215" spans="1:14" x14ac:dyDescent="0.25">
      <c r="A10215" t="s">
        <v>17842</v>
      </c>
      <c r="B10215" t="s">
        <v>8207</v>
      </c>
      <c r="C10215" s="1" t="str">
        <f>HYPERLINK("http://www.genecards.org/cgi-bin/carddisp.pl?gene=C11orf67","GeneCards")</f>
        <v>GeneCards</v>
      </c>
      <c r="D10215" s="1" t="str">
        <f>HYPERLINK("http://genome-euro.ucsc.edu/cgi-bin/hgTracks?position=221600_s_at","UCSC")</f>
        <v>UCSC</v>
      </c>
      <c r="E10215" s="1" t="str">
        <f>HYPERLINK("http://www.ncbi.nlm.nih.gov/gene/?term=C11orf67","NCBI")</f>
        <v>NCBI</v>
      </c>
      <c r="F10215">
        <v>0.23</v>
      </c>
      <c r="G10215">
        <v>0.38</v>
      </c>
      <c r="H10215" s="1" t="str">
        <f>HYPERLINK("http://www.weizmann.ac.il/complex/compphys/software/geview/data/figures/221600_s_at.png","Figure")</f>
        <v>Figure</v>
      </c>
      <c r="I10215">
        <v>1.1299999999999999</v>
      </c>
      <c r="J10215">
        <v>0.38</v>
      </c>
      <c r="K10215">
        <v>1.1499999999999999</v>
      </c>
      <c r="L10215">
        <v>0.23</v>
      </c>
      <c r="M10215">
        <v>1.01</v>
      </c>
      <c r="N10215">
        <v>0.99</v>
      </c>
    </row>
    <row r="10216" spans="1:14" x14ac:dyDescent="0.25">
      <c r="A10216" t="s">
        <v>17843</v>
      </c>
      <c r="B10216" t="s">
        <v>809</v>
      </c>
      <c r="C10216" s="1" t="str">
        <f>HYPERLINK("http://www.genecards.org/cgi-bin/carddisp.pl?gene=DENND2A","GeneCards")</f>
        <v>GeneCards</v>
      </c>
      <c r="D10216" s="1" t="str">
        <f>HYPERLINK("http://genome-euro.ucsc.edu/cgi-bin/hgTracks?position=221885_at","UCSC")</f>
        <v>UCSC</v>
      </c>
      <c r="E10216" s="1" t="str">
        <f>HYPERLINK("http://www.ncbi.nlm.nih.gov/gene/?term=DENND2A","NCBI")</f>
        <v>NCBI</v>
      </c>
      <c r="F10216">
        <v>0.23</v>
      </c>
      <c r="G10216">
        <v>0.38</v>
      </c>
      <c r="H10216" s="1" t="str">
        <f>HYPERLINK("http://www.weizmann.ac.il/complex/compphys/software/geview/data/figures/221885_at.png","Figure")</f>
        <v>Figure</v>
      </c>
      <c r="I10216">
        <v>1.08</v>
      </c>
      <c r="J10216">
        <v>0.24</v>
      </c>
      <c r="K10216">
        <v>1.05</v>
      </c>
      <c r="L10216">
        <v>0.36</v>
      </c>
      <c r="M10216">
        <v>0.98</v>
      </c>
      <c r="N10216">
        <v>0.87</v>
      </c>
    </row>
    <row r="10217" spans="1:14" x14ac:dyDescent="0.25">
      <c r="A10217" t="s">
        <v>17844</v>
      </c>
      <c r="B10217" t="s">
        <v>6432</v>
      </c>
      <c r="C10217" s="1" t="str">
        <f>HYPERLINK("http://www.genecards.org/cgi-bin/carddisp.pl?gene=ATP2B4","GeneCards")</f>
        <v>GeneCards</v>
      </c>
      <c r="D10217" s="1" t="str">
        <f>HYPERLINK("http://genome-euro.ucsc.edu/cgi-bin/hgTracks?position=212135_s_at","UCSC")</f>
        <v>UCSC</v>
      </c>
      <c r="E10217" s="1" t="str">
        <f>HYPERLINK("http://www.ncbi.nlm.nih.gov/gene/?term=ATP2B4","NCBI")</f>
        <v>NCBI</v>
      </c>
      <c r="F10217">
        <v>0.23</v>
      </c>
      <c r="G10217">
        <v>0.38</v>
      </c>
      <c r="H10217" s="1" t="str">
        <f>HYPERLINK("http://www.weizmann.ac.il/complex/compphys/software/geview/data/figures/212135_s_at.png","Figure")</f>
        <v>Figure</v>
      </c>
      <c r="I10217">
        <v>0.90800000000000003</v>
      </c>
      <c r="J10217">
        <v>0.94</v>
      </c>
      <c r="K10217">
        <v>1.39</v>
      </c>
      <c r="L10217">
        <v>0.39</v>
      </c>
      <c r="M10217">
        <v>1.53</v>
      </c>
      <c r="N10217">
        <v>0.26</v>
      </c>
    </row>
    <row r="10218" spans="1:14" x14ac:dyDescent="0.25">
      <c r="A10218" t="s">
        <v>17845</v>
      </c>
      <c r="B10218" t="s">
        <v>17846</v>
      </c>
      <c r="C10218" s="1" t="str">
        <f>HYPERLINK("http://www.genecards.org/cgi-bin/carddisp.pl?gene=HCLS1","GeneCards")</f>
        <v>GeneCards</v>
      </c>
      <c r="D10218" s="1" t="str">
        <f>HYPERLINK("http://genome-euro.ucsc.edu/cgi-bin/hgTracks?position=202957_at","UCSC")</f>
        <v>UCSC</v>
      </c>
      <c r="E10218" s="1" t="str">
        <f>HYPERLINK("http://www.ncbi.nlm.nih.gov/gene/?term=HCLS1","NCBI")</f>
        <v>NCBI</v>
      </c>
      <c r="F10218">
        <v>0.23</v>
      </c>
      <c r="G10218">
        <v>0.38</v>
      </c>
      <c r="H10218" s="1" t="str">
        <f>HYPERLINK("http://www.weizmann.ac.il/complex/compphys/software/geview/data/figures/202957_at.png","Figure")</f>
        <v>Figure</v>
      </c>
      <c r="I10218">
        <v>0.79</v>
      </c>
      <c r="J10218">
        <v>0.63</v>
      </c>
      <c r="K10218">
        <v>1.21</v>
      </c>
      <c r="L10218">
        <v>0.67</v>
      </c>
      <c r="M10218">
        <v>1.53</v>
      </c>
      <c r="N10218">
        <v>0.2</v>
      </c>
    </row>
    <row r="10219" spans="1:14" x14ac:dyDescent="0.25">
      <c r="A10219" t="s">
        <v>17847</v>
      </c>
      <c r="B10219" t="s">
        <v>7106</v>
      </c>
      <c r="C10219" s="1" t="str">
        <f>HYPERLINK("http://www.genecards.org/cgi-bin/carddisp.pl?gene=DNAJC8","GeneCards")</f>
        <v>GeneCards</v>
      </c>
      <c r="D10219" s="1" t="str">
        <f>HYPERLINK("http://genome-euro.ucsc.edu/cgi-bin/hgTracks?position=205545_x_at","UCSC")</f>
        <v>UCSC</v>
      </c>
      <c r="E10219" s="1" t="str">
        <f>HYPERLINK("http://www.ncbi.nlm.nih.gov/gene/?term=DNAJC8","NCBI")</f>
        <v>NCBI</v>
      </c>
      <c r="F10219">
        <v>0.23</v>
      </c>
      <c r="G10219">
        <v>0.38</v>
      </c>
      <c r="H10219" s="1" t="str">
        <f>HYPERLINK("http://www.weizmann.ac.il/complex/compphys/software/geview/data/figures/205545_x_at.png","Figure")</f>
        <v>Figure</v>
      </c>
      <c r="I10219">
        <v>1.1299999999999999</v>
      </c>
      <c r="J10219">
        <v>0.39</v>
      </c>
      <c r="K10219">
        <v>0.97299999999999998</v>
      </c>
      <c r="L10219">
        <v>0.93</v>
      </c>
      <c r="M10219">
        <v>0.86499999999999999</v>
      </c>
      <c r="N10219">
        <v>0.21</v>
      </c>
    </row>
    <row r="10220" spans="1:14" x14ac:dyDescent="0.25">
      <c r="A10220" t="s">
        <v>17848</v>
      </c>
      <c r="B10220" t="s">
        <v>17849</v>
      </c>
      <c r="C10220" s="1" t="str">
        <f>HYPERLINK("http://www.genecards.org/cgi-bin/carddisp.pl?gene=EPM2AIP1","GeneCards")</f>
        <v>GeneCards</v>
      </c>
      <c r="D10220" s="1" t="str">
        <f>HYPERLINK("http://genome-euro.ucsc.edu/cgi-bin/hgTracks?position=202909_at","UCSC")</f>
        <v>UCSC</v>
      </c>
      <c r="E10220" s="1" t="str">
        <f>HYPERLINK("http://www.ncbi.nlm.nih.gov/gene/?term=EPM2AIP1","NCBI")</f>
        <v>NCBI</v>
      </c>
      <c r="F10220">
        <v>0.23</v>
      </c>
      <c r="G10220">
        <v>0.38</v>
      </c>
      <c r="H10220" s="1" t="str">
        <f>HYPERLINK("http://www.weizmann.ac.il/complex/compphys/software/geview/data/figures/202909_at.png","Figure")</f>
        <v>Figure</v>
      </c>
      <c r="I10220">
        <v>1.2</v>
      </c>
      <c r="J10220">
        <v>0.41</v>
      </c>
      <c r="K10220">
        <v>1.24</v>
      </c>
      <c r="L10220">
        <v>0.22</v>
      </c>
      <c r="M10220">
        <v>1.03</v>
      </c>
      <c r="N10220">
        <v>0.97</v>
      </c>
    </row>
    <row r="10221" spans="1:14" x14ac:dyDescent="0.25">
      <c r="A10221" t="s">
        <v>17850</v>
      </c>
      <c r="B10221" t="s">
        <v>9687</v>
      </c>
      <c r="C10221" s="1" t="str">
        <f>HYPERLINK("http://www.genecards.org/cgi-bin/carddisp.pl?gene=GIGYF2","GeneCards")</f>
        <v>GeneCards</v>
      </c>
      <c r="D10221" s="1" t="str">
        <f>HYPERLINK("http://genome-euro.ucsc.edu/cgi-bin/hgTracks?position=212260_at","UCSC")</f>
        <v>UCSC</v>
      </c>
      <c r="E10221" s="1" t="str">
        <f>HYPERLINK("http://www.ncbi.nlm.nih.gov/gene/?term=GIGYF2","NCBI")</f>
        <v>NCBI</v>
      </c>
      <c r="F10221">
        <v>0.23</v>
      </c>
      <c r="G10221">
        <v>0.38</v>
      </c>
      <c r="H10221" s="1" t="str">
        <f>HYPERLINK("http://www.weizmann.ac.il/complex/compphys/software/geview/data/figures/212260_at.png","Figure")</f>
        <v>Figure</v>
      </c>
      <c r="I10221">
        <v>0.94399999999999995</v>
      </c>
      <c r="J10221">
        <v>0.92</v>
      </c>
      <c r="K10221">
        <v>0.8</v>
      </c>
      <c r="L10221">
        <v>0.23</v>
      </c>
      <c r="M10221">
        <v>0.84699999999999998</v>
      </c>
      <c r="N10221">
        <v>0.47</v>
      </c>
    </row>
    <row r="10222" spans="1:14" x14ac:dyDescent="0.25">
      <c r="A10222" t="s">
        <v>17851</v>
      </c>
      <c r="B10222" t="s">
        <v>9774</v>
      </c>
      <c r="C10222" s="1" t="str">
        <f>HYPERLINK("http://www.genecards.org/cgi-bin/carddisp.pl?gene=GNAO1","GeneCards")</f>
        <v>GeneCards</v>
      </c>
      <c r="D10222" s="1" t="str">
        <f>HYPERLINK("http://genome-euro.ucsc.edu/cgi-bin/hgTracks?position=204762_s_at","UCSC")</f>
        <v>UCSC</v>
      </c>
      <c r="E10222" s="1" t="str">
        <f>HYPERLINK("http://www.ncbi.nlm.nih.gov/gene/?term=GNAO1","NCBI")</f>
        <v>NCBI</v>
      </c>
      <c r="F10222">
        <v>0.23</v>
      </c>
      <c r="G10222">
        <v>0.38</v>
      </c>
      <c r="H10222" s="1" t="str">
        <f>HYPERLINK("http://www.weizmann.ac.il/complex/compphys/software/geview/data/figures/204762_s_at.png","Figure")</f>
        <v>Figure</v>
      </c>
      <c r="I10222">
        <v>1</v>
      </c>
      <c r="J10222">
        <v>1</v>
      </c>
      <c r="K10222">
        <v>0.96799999999999997</v>
      </c>
      <c r="L10222">
        <v>0.28999999999999998</v>
      </c>
      <c r="M10222">
        <v>0.96799999999999997</v>
      </c>
      <c r="N10222">
        <v>0.34</v>
      </c>
    </row>
    <row r="10223" spans="1:14" x14ac:dyDescent="0.25">
      <c r="A10223" t="s">
        <v>17852</v>
      </c>
      <c r="B10223" t="s">
        <v>17853</v>
      </c>
      <c r="C10223" s="1" t="str">
        <f>HYPERLINK("http://www.genecards.org/cgi-bin/carddisp.pl?gene=MAPK10","GeneCards")</f>
        <v>GeneCards</v>
      </c>
      <c r="D10223" s="1" t="str">
        <f>HYPERLINK("http://genome-euro.ucsc.edu/cgi-bin/hgTracks?position=204813_at","UCSC")</f>
        <v>UCSC</v>
      </c>
      <c r="E10223" s="1" t="str">
        <f>HYPERLINK("http://www.ncbi.nlm.nih.gov/gene/?term=MAPK10","NCBI")</f>
        <v>NCBI</v>
      </c>
      <c r="F10223">
        <v>0.23</v>
      </c>
      <c r="G10223">
        <v>0.38</v>
      </c>
      <c r="H10223" s="1" t="str">
        <f>HYPERLINK("http://www.weizmann.ac.il/complex/compphys/software/geview/data/figures/204813_at.png","Figure")</f>
        <v>Figure</v>
      </c>
      <c r="I10223">
        <v>1.1499999999999999</v>
      </c>
      <c r="J10223">
        <v>0.2</v>
      </c>
      <c r="K10223">
        <v>1.06</v>
      </c>
      <c r="L10223">
        <v>0.65</v>
      </c>
      <c r="M10223">
        <v>0.92200000000000004</v>
      </c>
      <c r="N10223">
        <v>0.53</v>
      </c>
    </row>
    <row r="10224" spans="1:14" x14ac:dyDescent="0.25">
      <c r="A10224" t="s">
        <v>17854</v>
      </c>
      <c r="B10224" t="s">
        <v>17855</v>
      </c>
      <c r="C10224" s="1" t="str">
        <f>HYPERLINK("http://www.genecards.org/cgi-bin/carddisp.pl?gene=KIF14","GeneCards")</f>
        <v>GeneCards</v>
      </c>
      <c r="D10224" s="1" t="str">
        <f>HYPERLINK("http://genome-euro.ucsc.edu/cgi-bin/hgTracks?position=206364_at","UCSC")</f>
        <v>UCSC</v>
      </c>
      <c r="E10224" s="1" t="str">
        <f>HYPERLINK("http://www.ncbi.nlm.nih.gov/gene/?term=KIF14","NCBI")</f>
        <v>NCBI</v>
      </c>
      <c r="F10224">
        <v>0.23</v>
      </c>
      <c r="G10224">
        <v>0.38</v>
      </c>
      <c r="H10224" s="1" t="str">
        <f>HYPERLINK("http://www.weizmann.ac.il/complex/compphys/software/geview/data/figures/206364_at.png","Figure")</f>
        <v>Figure</v>
      </c>
      <c r="I10224">
        <v>1.24</v>
      </c>
      <c r="J10224">
        <v>0.56000000000000005</v>
      </c>
      <c r="K10224">
        <v>1.39</v>
      </c>
      <c r="L10224">
        <v>0.2</v>
      </c>
      <c r="M10224">
        <v>1.1200000000000001</v>
      </c>
      <c r="N10224">
        <v>0.84</v>
      </c>
    </row>
    <row r="10225" spans="1:14" x14ac:dyDescent="0.25">
      <c r="A10225" t="s">
        <v>17856</v>
      </c>
      <c r="B10225" t="s">
        <v>4865</v>
      </c>
      <c r="C10225" s="1" t="str">
        <f>HYPERLINK("http://www.genecards.org/cgi-bin/carddisp.pl?gene=RBMS1","GeneCards")</f>
        <v>GeneCards</v>
      </c>
      <c r="D10225" s="1" t="str">
        <f>HYPERLINK("http://genome-euro.ucsc.edu/cgi-bin/hgTracks?position=207266_x_at","UCSC")</f>
        <v>UCSC</v>
      </c>
      <c r="E10225" s="1" t="str">
        <f>HYPERLINK("http://www.ncbi.nlm.nih.gov/gene/?term=RBMS1","NCBI")</f>
        <v>NCBI</v>
      </c>
      <c r="F10225">
        <v>0.23</v>
      </c>
      <c r="G10225">
        <v>0.38</v>
      </c>
      <c r="H10225" s="1" t="str">
        <f>HYPERLINK("http://www.weizmann.ac.il/complex/compphys/software/geview/data/figures/207266_x_at.png","Figure")</f>
        <v>Figure</v>
      </c>
      <c r="I10225">
        <v>1.19</v>
      </c>
      <c r="J10225">
        <v>0.75</v>
      </c>
      <c r="K10225">
        <v>0.79800000000000004</v>
      </c>
      <c r="L10225">
        <v>0.55000000000000004</v>
      </c>
      <c r="M10225">
        <v>0.67100000000000004</v>
      </c>
      <c r="N10225">
        <v>0.22</v>
      </c>
    </row>
    <row r="10226" spans="1:14" x14ac:dyDescent="0.25">
      <c r="A10226" t="s">
        <v>17857</v>
      </c>
      <c r="B10226" t="s">
        <v>17858</v>
      </c>
      <c r="C10226" s="1" t="str">
        <f>HYPERLINK("http://www.genecards.org/cgi-bin/carddisp.pl?gene=LOC100291176","GeneCards")</f>
        <v>GeneCards</v>
      </c>
      <c r="D10226" s="1" t="str">
        <f>HYPERLINK("http://genome-euro.ucsc.edu/cgi-bin/hgTracks?position=210332_at","UCSC")</f>
        <v>UCSC</v>
      </c>
      <c r="E10226" s="1" t="str">
        <f>HYPERLINK("http://www.ncbi.nlm.nih.gov/gene/?term=LOC100291176","NCBI")</f>
        <v>NCBI</v>
      </c>
      <c r="F10226">
        <v>0.23</v>
      </c>
      <c r="G10226">
        <v>0.38</v>
      </c>
      <c r="H10226" s="1" t="str">
        <f>HYPERLINK("http://www.weizmann.ac.il/complex/compphys/software/geview/data/figures/210332_at.png","Figure")</f>
        <v>Figure</v>
      </c>
      <c r="I10226">
        <v>1.2</v>
      </c>
      <c r="J10226">
        <v>0.2</v>
      </c>
      <c r="K10226">
        <v>1.0900000000000001</v>
      </c>
      <c r="L10226">
        <v>0.62</v>
      </c>
      <c r="M10226">
        <v>0.90300000000000002</v>
      </c>
      <c r="N10226">
        <v>0.55000000000000004</v>
      </c>
    </row>
    <row r="10227" spans="1:14" x14ac:dyDescent="0.25">
      <c r="A10227" t="s">
        <v>17859</v>
      </c>
      <c r="B10227" t="s">
        <v>17860</v>
      </c>
      <c r="C10227" s="1" t="str">
        <f>HYPERLINK("http://www.genecards.org/cgi-bin/carddisp.pl?gene=PROP1","GeneCards")</f>
        <v>GeneCards</v>
      </c>
      <c r="D10227" s="1" t="str">
        <f>HYPERLINK("http://genome-euro.ucsc.edu/cgi-bin/hgTracks?position=211223_at","UCSC")</f>
        <v>UCSC</v>
      </c>
      <c r="E10227" s="1" t="str">
        <f>HYPERLINK("http://www.ncbi.nlm.nih.gov/gene/?term=PROP1","NCBI")</f>
        <v>NCBI</v>
      </c>
      <c r="F10227">
        <v>0.23</v>
      </c>
      <c r="G10227">
        <v>0.38</v>
      </c>
      <c r="H10227" s="1" t="str">
        <f>HYPERLINK("http://www.weizmann.ac.il/complex/compphys/software/geview/data/figures/211223_at.png","Figure")</f>
        <v>Figure</v>
      </c>
      <c r="I10227">
        <v>1.18</v>
      </c>
      <c r="J10227">
        <v>0.2</v>
      </c>
      <c r="K10227">
        <v>1.08</v>
      </c>
      <c r="L10227">
        <v>0.61</v>
      </c>
      <c r="M10227">
        <v>0.91300000000000003</v>
      </c>
      <c r="N10227">
        <v>0.56000000000000005</v>
      </c>
    </row>
    <row r="10228" spans="1:14" x14ac:dyDescent="0.25">
      <c r="A10228" t="s">
        <v>17861</v>
      </c>
      <c r="B10228" t="s">
        <v>17862</v>
      </c>
      <c r="C10228" s="1" t="str">
        <f>HYPERLINK("http://www.genecards.org/cgi-bin/carddisp.pl?gene=PCYOX1L","GeneCards")</f>
        <v>GeneCards</v>
      </c>
      <c r="D10228" s="1" t="str">
        <f>HYPERLINK("http://genome-euro.ucsc.edu/cgi-bin/hgTracks?position=218953_s_at","UCSC")</f>
        <v>UCSC</v>
      </c>
      <c r="E10228" s="1" t="str">
        <f>HYPERLINK("http://www.ncbi.nlm.nih.gov/gene/?term=PCYOX1L","NCBI")</f>
        <v>NCBI</v>
      </c>
      <c r="F10228">
        <v>0.23</v>
      </c>
      <c r="G10228">
        <v>0.38</v>
      </c>
      <c r="H10228" s="1" t="str">
        <f>HYPERLINK("http://www.weizmann.ac.il/complex/compphys/software/geview/data/figures/218953_s_at.png","Figure")</f>
        <v>Figure</v>
      </c>
      <c r="I10228">
        <v>1.1000000000000001</v>
      </c>
      <c r="J10228">
        <v>0.73</v>
      </c>
      <c r="K10228">
        <v>1.23</v>
      </c>
      <c r="L10228">
        <v>0.2</v>
      </c>
      <c r="M10228">
        <v>1.1100000000000001</v>
      </c>
      <c r="N10228">
        <v>0.66</v>
      </c>
    </row>
    <row r="10229" spans="1:14" x14ac:dyDescent="0.25">
      <c r="A10229" t="s">
        <v>17863</v>
      </c>
      <c r="B10229" t="s">
        <v>17864</v>
      </c>
      <c r="C10229" s="1" t="str">
        <f>HYPERLINK("http://www.genecards.org/cgi-bin/carddisp.pl?gene=SLC17A5","GeneCards")</f>
        <v>GeneCards</v>
      </c>
      <c r="D10229" s="1" t="str">
        <f>HYPERLINK("http://genome-euro.ucsc.edu/cgi-bin/hgTracks?position=221041_s_at","UCSC")</f>
        <v>UCSC</v>
      </c>
      <c r="E10229" s="1" t="str">
        <f>HYPERLINK("http://www.ncbi.nlm.nih.gov/gene/?term=SLC17A5","NCBI")</f>
        <v>NCBI</v>
      </c>
      <c r="F10229">
        <v>0.23</v>
      </c>
      <c r="G10229">
        <v>0.38</v>
      </c>
      <c r="H10229" s="1" t="str">
        <f>HYPERLINK("http://www.weizmann.ac.il/complex/compphys/software/geview/data/figures/221041_s_at.png","Figure")</f>
        <v>Figure</v>
      </c>
      <c r="I10229">
        <v>1.01</v>
      </c>
      <c r="J10229">
        <v>1</v>
      </c>
      <c r="K10229">
        <v>0.85799999999999998</v>
      </c>
      <c r="L10229">
        <v>0.3</v>
      </c>
      <c r="M10229">
        <v>0.85299999999999998</v>
      </c>
      <c r="N10229">
        <v>0.32</v>
      </c>
    </row>
    <row r="10230" spans="1:14" x14ac:dyDescent="0.25">
      <c r="A10230" t="s">
        <v>17865</v>
      </c>
      <c r="B10230" t="s">
        <v>17866</v>
      </c>
      <c r="C10230" s="1" t="str">
        <f>HYPERLINK("http://www.genecards.org/cgi-bin/carddisp.pl?gene=TM4SF4","GeneCards")</f>
        <v>GeneCards</v>
      </c>
      <c r="D10230" s="1" t="str">
        <f>HYPERLINK("http://genome-euro.ucsc.edu/cgi-bin/hgTracks?position=209937_at","UCSC")</f>
        <v>UCSC</v>
      </c>
      <c r="E10230" s="1" t="str">
        <f>HYPERLINK("http://www.ncbi.nlm.nih.gov/gene/?term=TM4SF4","NCBI")</f>
        <v>NCBI</v>
      </c>
      <c r="F10230">
        <v>0.23</v>
      </c>
      <c r="G10230">
        <v>0.38</v>
      </c>
      <c r="H10230" s="1" t="str">
        <f>HYPERLINK("http://www.weizmann.ac.il/complex/compphys/software/geview/data/figures/209937_at.png","Figure")</f>
        <v>Figure</v>
      </c>
      <c r="I10230">
        <v>1.1299999999999999</v>
      </c>
      <c r="J10230">
        <v>0.2</v>
      </c>
      <c r="K10230">
        <v>1.05</v>
      </c>
      <c r="L10230">
        <v>0.71</v>
      </c>
      <c r="M10230">
        <v>0.92500000000000004</v>
      </c>
      <c r="N10230">
        <v>0.47</v>
      </c>
    </row>
    <row r="10231" spans="1:14" x14ac:dyDescent="0.25">
      <c r="A10231" t="s">
        <v>17867</v>
      </c>
      <c r="B10231" t="s">
        <v>17868</v>
      </c>
      <c r="C10231" s="1" t="str">
        <f>HYPERLINK("http://www.genecards.org/cgi-bin/carddisp.pl?gene=LOC100293792","GeneCards")</f>
        <v>GeneCards</v>
      </c>
      <c r="D10231" s="1" t="str">
        <f>HYPERLINK("http://genome-euro.ucsc.edu/cgi-bin/hgTracks?position=221947_at","UCSC")</f>
        <v>UCSC</v>
      </c>
      <c r="E10231" s="1" t="str">
        <f>HYPERLINK("http://www.ncbi.nlm.nih.gov/gene/?term=LOC100293792","NCBI")</f>
        <v>NCBI</v>
      </c>
      <c r="F10231">
        <v>0.23</v>
      </c>
      <c r="G10231">
        <v>0.38</v>
      </c>
      <c r="H10231" s="1" t="str">
        <f>HYPERLINK("http://www.weizmann.ac.il/complex/compphys/software/geview/data/figures/221947_at.png","Figure")</f>
        <v>Figure</v>
      </c>
      <c r="I10231">
        <v>1.1000000000000001</v>
      </c>
      <c r="J10231">
        <v>0.23</v>
      </c>
      <c r="K10231">
        <v>1.07</v>
      </c>
      <c r="L10231">
        <v>0.39</v>
      </c>
      <c r="M10231">
        <v>0.97</v>
      </c>
      <c r="N10231">
        <v>0.82</v>
      </c>
    </row>
    <row r="10232" spans="1:14" x14ac:dyDescent="0.25">
      <c r="A10232" t="s">
        <v>17869</v>
      </c>
      <c r="B10232" t="s">
        <v>17870</v>
      </c>
      <c r="C10232" s="1" t="str">
        <f>HYPERLINK("http://www.genecards.org/cgi-bin/carddisp.pl?gene=CALCRL","GeneCards")</f>
        <v>GeneCards</v>
      </c>
      <c r="D10232" s="1" t="str">
        <f>HYPERLINK("http://genome-euro.ucsc.edu/cgi-bin/hgTracks?position=206331_at","UCSC")</f>
        <v>UCSC</v>
      </c>
      <c r="E10232" s="1" t="str">
        <f>HYPERLINK("http://www.ncbi.nlm.nih.gov/gene/?term=CALCRL","NCBI")</f>
        <v>NCBI</v>
      </c>
      <c r="F10232">
        <v>0.23</v>
      </c>
      <c r="G10232">
        <v>0.38</v>
      </c>
      <c r="H10232" s="1" t="str">
        <f>HYPERLINK("http://www.weizmann.ac.il/complex/compphys/software/geview/data/figures/206331_at.png","Figure")</f>
        <v>Figure</v>
      </c>
      <c r="I10232">
        <v>1.1499999999999999</v>
      </c>
      <c r="J10232">
        <v>0.2</v>
      </c>
      <c r="K10232">
        <v>1.06</v>
      </c>
      <c r="L10232">
        <v>0.64</v>
      </c>
      <c r="M10232">
        <v>0.92400000000000004</v>
      </c>
      <c r="N10232">
        <v>0.53</v>
      </c>
    </row>
    <row r="10233" spans="1:14" x14ac:dyDescent="0.25">
      <c r="A10233" t="s">
        <v>17871</v>
      </c>
      <c r="B10233" t="s">
        <v>6978</v>
      </c>
      <c r="C10233" s="1" t="str">
        <f>HYPERLINK("http://www.genecards.org/cgi-bin/carddisp.pl?gene=LYPLA2","GeneCards")</f>
        <v>GeneCards</v>
      </c>
      <c r="D10233" s="1" t="str">
        <f>HYPERLINK("http://genome-euro.ucsc.edu/cgi-bin/hgTracks?position=202292_x_at","UCSC")</f>
        <v>UCSC</v>
      </c>
      <c r="E10233" s="1" t="str">
        <f>HYPERLINK("http://www.ncbi.nlm.nih.gov/gene/?term=LYPLA2","NCBI")</f>
        <v>NCBI</v>
      </c>
      <c r="F10233">
        <v>0.23</v>
      </c>
      <c r="G10233">
        <v>0.38</v>
      </c>
      <c r="H10233" s="1" t="str">
        <f>HYPERLINK("http://www.weizmann.ac.il/complex/compphys/software/geview/data/figures/202292_x_at.png","Figure")</f>
        <v>Figure</v>
      </c>
      <c r="I10233">
        <v>1.22</v>
      </c>
      <c r="J10233">
        <v>0.22</v>
      </c>
      <c r="K10233">
        <v>1.1299999999999999</v>
      </c>
      <c r="L10233">
        <v>0.44</v>
      </c>
      <c r="M10233">
        <v>0.92900000000000005</v>
      </c>
      <c r="N10233">
        <v>0.76</v>
      </c>
    </row>
    <row r="10234" spans="1:14" x14ac:dyDescent="0.25">
      <c r="A10234" t="s">
        <v>17872</v>
      </c>
      <c r="B10234" t="s">
        <v>4650</v>
      </c>
      <c r="C10234" s="1" t="str">
        <f>HYPERLINK("http://www.genecards.org/cgi-bin/carddisp.pl?gene=POLR2E","GeneCards")</f>
        <v>GeneCards</v>
      </c>
      <c r="D10234" s="1" t="str">
        <f>HYPERLINK("http://genome-euro.ucsc.edu/cgi-bin/hgTracks?position=217854_s_at","UCSC")</f>
        <v>UCSC</v>
      </c>
      <c r="E10234" s="1" t="str">
        <f>HYPERLINK("http://www.ncbi.nlm.nih.gov/gene/?term=POLR2E","NCBI")</f>
        <v>NCBI</v>
      </c>
      <c r="F10234">
        <v>0.23</v>
      </c>
      <c r="G10234">
        <v>0.38</v>
      </c>
      <c r="H10234" s="1" t="str">
        <f>HYPERLINK("http://www.weizmann.ac.il/complex/compphys/software/geview/data/figures/217854_s_at.png","Figure")</f>
        <v>Figure</v>
      </c>
      <c r="I10234">
        <v>0.76900000000000002</v>
      </c>
      <c r="J10234">
        <v>0.33</v>
      </c>
      <c r="K10234">
        <v>1.02</v>
      </c>
      <c r="L10234">
        <v>0.99</v>
      </c>
      <c r="M10234">
        <v>1.33</v>
      </c>
      <c r="N10234">
        <v>0.23</v>
      </c>
    </row>
    <row r="10235" spans="1:14" x14ac:dyDescent="0.25">
      <c r="A10235" t="s">
        <v>17873</v>
      </c>
      <c r="B10235" t="s">
        <v>17874</v>
      </c>
      <c r="C10235" s="1" t="str">
        <f>HYPERLINK("http://www.genecards.org/cgi-bin/carddisp.pl?gene=FLOT2","GeneCards")</f>
        <v>GeneCards</v>
      </c>
      <c r="D10235" s="1" t="str">
        <f>HYPERLINK("http://genome-euro.ucsc.edu/cgi-bin/hgTracks?position=201350_at","UCSC")</f>
        <v>UCSC</v>
      </c>
      <c r="E10235" s="1" t="str">
        <f>HYPERLINK("http://www.ncbi.nlm.nih.gov/gene/?term=FLOT2","NCBI")</f>
        <v>NCBI</v>
      </c>
      <c r="F10235">
        <v>0.23</v>
      </c>
      <c r="G10235">
        <v>0.38</v>
      </c>
      <c r="H10235" s="1" t="str">
        <f>HYPERLINK("http://www.weizmann.ac.il/complex/compphys/software/geview/data/figures/201350_at.png","Figure")</f>
        <v>Figure</v>
      </c>
      <c r="I10235">
        <v>1.0900000000000001</v>
      </c>
      <c r="J10235">
        <v>0.87</v>
      </c>
      <c r="K10235">
        <v>1.28</v>
      </c>
      <c r="L10235">
        <v>0.22</v>
      </c>
      <c r="M10235">
        <v>1.18</v>
      </c>
      <c r="N10235">
        <v>0.53</v>
      </c>
    </row>
    <row r="10236" spans="1:14" x14ac:dyDescent="0.25">
      <c r="A10236" t="s">
        <v>17875</v>
      </c>
      <c r="B10236" t="s">
        <v>17876</v>
      </c>
      <c r="C10236" s="1" t="str">
        <f>HYPERLINK("http://www.genecards.org/cgi-bin/carddisp.pl?gene=RABL3","GeneCards")</f>
        <v>GeneCards</v>
      </c>
      <c r="D10236" s="1" t="str">
        <f>HYPERLINK("http://genome-euro.ucsc.edu/cgi-bin/hgTracks?position=213970_at","UCSC")</f>
        <v>UCSC</v>
      </c>
      <c r="E10236" s="1" t="str">
        <f>HYPERLINK("http://www.ncbi.nlm.nih.gov/gene/?term=RABL3","NCBI")</f>
        <v>NCBI</v>
      </c>
      <c r="F10236">
        <v>0.23</v>
      </c>
      <c r="G10236">
        <v>0.38</v>
      </c>
      <c r="H10236" s="1" t="str">
        <f>HYPERLINK("http://www.weizmann.ac.il/complex/compphys/software/geview/data/figures/213970_at.png","Figure")</f>
        <v>Figure</v>
      </c>
      <c r="I10236">
        <v>0.83899999999999997</v>
      </c>
      <c r="J10236">
        <v>0.53</v>
      </c>
      <c r="K10236">
        <v>0.77700000000000002</v>
      </c>
      <c r="L10236">
        <v>0.2</v>
      </c>
      <c r="M10236">
        <v>0.92500000000000004</v>
      </c>
      <c r="N10236">
        <v>0.86</v>
      </c>
    </row>
    <row r="10237" spans="1:14" x14ac:dyDescent="0.25">
      <c r="A10237" t="s">
        <v>17877</v>
      </c>
      <c r="B10237" t="s">
        <v>17878</v>
      </c>
      <c r="C10237" s="1" t="str">
        <f>HYPERLINK("http://www.genecards.org/cgi-bin/carddisp.pl?gene=C3orf75","GeneCards")</f>
        <v>GeneCards</v>
      </c>
      <c r="D10237" s="1" t="str">
        <f>HYPERLINK("http://genome-euro.ucsc.edu/cgi-bin/hgTracks?position=220600_at","UCSC")</f>
        <v>UCSC</v>
      </c>
      <c r="E10237" s="1" t="str">
        <f>HYPERLINK("http://www.ncbi.nlm.nih.gov/gene/?term=C3orf75","NCBI")</f>
        <v>NCBI</v>
      </c>
      <c r="F10237">
        <v>0.23</v>
      </c>
      <c r="G10237">
        <v>0.38</v>
      </c>
      <c r="H10237" s="1" t="str">
        <f>HYPERLINK("http://www.weizmann.ac.il/complex/compphys/software/geview/data/figures/220600_at.png","Figure")</f>
        <v>Figure</v>
      </c>
      <c r="I10237">
        <v>1.0900000000000001</v>
      </c>
      <c r="J10237">
        <v>0.35</v>
      </c>
      <c r="K10237">
        <v>1.1000000000000001</v>
      </c>
      <c r="L10237">
        <v>0.24</v>
      </c>
      <c r="M10237">
        <v>1</v>
      </c>
      <c r="N10237">
        <v>1</v>
      </c>
    </row>
    <row r="10238" spans="1:14" x14ac:dyDescent="0.25">
      <c r="A10238" t="s">
        <v>17879</v>
      </c>
      <c r="B10238" t="s">
        <v>17880</v>
      </c>
      <c r="C10238" s="1" t="str">
        <f>HYPERLINK("http://www.genecards.org/cgi-bin/carddisp.pl?gene=EXOSC7","GeneCards")</f>
        <v>GeneCards</v>
      </c>
      <c r="D10238" s="1" t="str">
        <f>HYPERLINK("http://genome-euro.ucsc.edu/cgi-bin/hgTracks?position=213648_at","UCSC")</f>
        <v>UCSC</v>
      </c>
      <c r="E10238" s="1" t="str">
        <f>HYPERLINK("http://www.ncbi.nlm.nih.gov/gene/?term=EXOSC7","NCBI")</f>
        <v>NCBI</v>
      </c>
      <c r="F10238">
        <v>0.23</v>
      </c>
      <c r="G10238">
        <v>0.38</v>
      </c>
      <c r="H10238" s="1" t="str">
        <f>HYPERLINK("http://www.weizmann.ac.il/complex/compphys/software/geview/data/figures/213648_at.png","Figure")</f>
        <v>Figure</v>
      </c>
      <c r="I10238">
        <v>1.07</v>
      </c>
      <c r="J10238">
        <v>0.64</v>
      </c>
      <c r="K10238">
        <v>0.94399999999999995</v>
      </c>
      <c r="L10238">
        <v>0.65</v>
      </c>
      <c r="M10238">
        <v>0.88200000000000001</v>
      </c>
      <c r="N10238">
        <v>0.2</v>
      </c>
    </row>
    <row r="10239" spans="1:14" x14ac:dyDescent="0.25">
      <c r="A10239" t="s">
        <v>17881</v>
      </c>
      <c r="B10239" t="s">
        <v>17882</v>
      </c>
      <c r="C10239" s="1" t="str">
        <f>HYPERLINK("http://www.genecards.org/cgi-bin/carddisp.pl?gene=C3orf18","GeneCards")</f>
        <v>GeneCards</v>
      </c>
      <c r="D10239" s="1" t="str">
        <f>HYPERLINK("http://genome-euro.ucsc.edu/cgi-bin/hgTracks?position=219114_at","UCSC")</f>
        <v>UCSC</v>
      </c>
      <c r="E10239" s="1" t="str">
        <f>HYPERLINK("http://www.ncbi.nlm.nih.gov/gene/?term=C3orf18","NCBI")</f>
        <v>NCBI</v>
      </c>
      <c r="F10239">
        <v>0.23</v>
      </c>
      <c r="G10239">
        <v>0.38</v>
      </c>
      <c r="H10239" s="1" t="str">
        <f>HYPERLINK("http://www.weizmann.ac.il/complex/compphys/software/geview/data/figures/219114_at.png","Figure")</f>
        <v>Figure</v>
      </c>
      <c r="I10239">
        <v>1.25</v>
      </c>
      <c r="J10239">
        <v>0.2</v>
      </c>
      <c r="K10239">
        <v>1.1200000000000001</v>
      </c>
      <c r="L10239">
        <v>0.56000000000000005</v>
      </c>
      <c r="M10239">
        <v>0.89600000000000002</v>
      </c>
      <c r="N10239">
        <v>0.61</v>
      </c>
    </row>
    <row r="10240" spans="1:14" x14ac:dyDescent="0.25">
      <c r="A10240" t="s">
        <v>17883</v>
      </c>
      <c r="B10240" t="s">
        <v>7081</v>
      </c>
      <c r="C10240" s="1" t="str">
        <f>HYPERLINK("http://www.genecards.org/cgi-bin/carddisp.pl?gene=SRPK2","GeneCards")</f>
        <v>GeneCards</v>
      </c>
      <c r="D10240" s="1" t="str">
        <f>HYPERLINK("http://genome-euro.ucsc.edu/cgi-bin/hgTracks?position=217517_x_at","UCSC")</f>
        <v>UCSC</v>
      </c>
      <c r="E10240" s="1" t="str">
        <f>HYPERLINK("http://www.ncbi.nlm.nih.gov/gene/?term=SRPK2","NCBI")</f>
        <v>NCBI</v>
      </c>
      <c r="F10240">
        <v>0.23</v>
      </c>
      <c r="G10240">
        <v>0.38</v>
      </c>
      <c r="H10240" s="1" t="str">
        <f>HYPERLINK("http://www.weizmann.ac.il/complex/compphys/software/geview/data/figures/217517_x_at.png","Figure")</f>
        <v>Figure</v>
      </c>
      <c r="I10240">
        <v>1.0900000000000001</v>
      </c>
      <c r="J10240">
        <v>0.46</v>
      </c>
      <c r="K10240">
        <v>0.96599999999999997</v>
      </c>
      <c r="L10240">
        <v>0.85</v>
      </c>
      <c r="M10240">
        <v>0.88300000000000001</v>
      </c>
      <c r="N10240">
        <v>0.2</v>
      </c>
    </row>
    <row r="10241" spans="1:14" x14ac:dyDescent="0.25">
      <c r="A10241" t="s">
        <v>17884</v>
      </c>
      <c r="B10241" t="s">
        <v>12979</v>
      </c>
      <c r="C10241" s="1" t="str">
        <f>HYPERLINK("http://www.genecards.org/cgi-bin/carddisp.pl?gene=ATF5","GeneCards")</f>
        <v>GeneCards</v>
      </c>
      <c r="D10241" s="1" t="str">
        <f>HYPERLINK("http://genome-euro.ucsc.edu/cgi-bin/hgTracks?position=204998_s_at","UCSC")</f>
        <v>UCSC</v>
      </c>
      <c r="E10241" s="1" t="str">
        <f>HYPERLINK("http://www.ncbi.nlm.nih.gov/gene/?term=ATF5","NCBI")</f>
        <v>NCBI</v>
      </c>
      <c r="F10241">
        <v>0.23</v>
      </c>
      <c r="G10241">
        <v>0.38</v>
      </c>
      <c r="H10241" s="1" t="str">
        <f>HYPERLINK("http://www.weizmann.ac.il/complex/compphys/software/geview/data/figures/204998_s_at.png","Figure")</f>
        <v>Figure</v>
      </c>
      <c r="I10241">
        <v>0.95799999999999996</v>
      </c>
      <c r="J10241">
        <v>0.97</v>
      </c>
      <c r="K10241">
        <v>0.77200000000000002</v>
      </c>
      <c r="L10241">
        <v>0.25</v>
      </c>
      <c r="M10241">
        <v>0.80600000000000005</v>
      </c>
      <c r="N10241">
        <v>0.41</v>
      </c>
    </row>
    <row r="10242" spans="1:14" x14ac:dyDescent="0.25">
      <c r="A10242" t="s">
        <v>17885</v>
      </c>
      <c r="B10242" t="s">
        <v>5678</v>
      </c>
      <c r="C10242" s="1" t="str">
        <f>HYPERLINK("http://www.genecards.org/cgi-bin/carddisp.pl?gene=SFRS3","GeneCards")</f>
        <v>GeneCards</v>
      </c>
      <c r="D10242" s="1" t="str">
        <f>HYPERLINK("http://genome-euro.ucsc.edu/cgi-bin/hgTracks?position=208673_s_at","UCSC")</f>
        <v>UCSC</v>
      </c>
      <c r="E10242" s="1" t="str">
        <f>HYPERLINK("http://www.ncbi.nlm.nih.gov/gene/?term=SFRS3","NCBI")</f>
        <v>NCBI</v>
      </c>
      <c r="F10242">
        <v>0.23</v>
      </c>
      <c r="G10242">
        <v>0.38</v>
      </c>
      <c r="H10242" s="1" t="str">
        <f>HYPERLINK("http://www.weizmann.ac.il/complex/compphys/software/geview/data/figures/208673_s_at.png","Figure")</f>
        <v>Figure</v>
      </c>
      <c r="I10242">
        <v>0.68100000000000005</v>
      </c>
      <c r="J10242">
        <v>0.42</v>
      </c>
      <c r="K10242">
        <v>1.1200000000000001</v>
      </c>
      <c r="L10242">
        <v>0.9</v>
      </c>
      <c r="M10242">
        <v>1.65</v>
      </c>
      <c r="N10242">
        <v>0.21</v>
      </c>
    </row>
    <row r="10243" spans="1:14" x14ac:dyDescent="0.25">
      <c r="A10243" t="s">
        <v>17886</v>
      </c>
      <c r="B10243" t="s">
        <v>17887</v>
      </c>
      <c r="C10243" s="1" t="str">
        <f>HYPERLINK("http://www.genecards.org/cgi-bin/carddisp.pl?gene=POLR2J","GeneCards")</f>
        <v>GeneCards</v>
      </c>
      <c r="D10243" s="1" t="str">
        <f>HYPERLINK("http://genome-euro.ucsc.edu/cgi-bin/hgTracks?position=212782_x_at","UCSC")</f>
        <v>UCSC</v>
      </c>
      <c r="E10243" s="1" t="str">
        <f>HYPERLINK("http://www.ncbi.nlm.nih.gov/gene/?term=POLR2J","NCBI")</f>
        <v>NCBI</v>
      </c>
      <c r="F10243">
        <v>0.23</v>
      </c>
      <c r="G10243">
        <v>0.38</v>
      </c>
      <c r="H10243" s="1" t="str">
        <f>HYPERLINK("http://www.weizmann.ac.il/complex/compphys/software/geview/data/figures/212782_x_at.png","Figure")</f>
        <v>Figure</v>
      </c>
      <c r="I10243">
        <v>1.23</v>
      </c>
      <c r="J10243">
        <v>0.44</v>
      </c>
      <c r="K10243">
        <v>1.3</v>
      </c>
      <c r="L10243">
        <v>0.22</v>
      </c>
      <c r="M10243">
        <v>1.05</v>
      </c>
      <c r="N10243">
        <v>0.95</v>
      </c>
    </row>
    <row r="10244" spans="1:14" x14ac:dyDescent="0.25">
      <c r="A10244" t="s">
        <v>17888</v>
      </c>
      <c r="B10244" t="s">
        <v>17889</v>
      </c>
      <c r="C10244" s="1" t="str">
        <f>HYPERLINK("http://www.genecards.org/cgi-bin/carddisp.pl?gene=CCDC40","GeneCards")</f>
        <v>GeneCards</v>
      </c>
      <c r="D10244" s="1" t="str">
        <f>HYPERLINK("http://genome-euro.ucsc.edu/cgi-bin/hgTracks?position=220592_at","UCSC")</f>
        <v>UCSC</v>
      </c>
      <c r="E10244" s="1" t="str">
        <f>HYPERLINK("http://www.ncbi.nlm.nih.gov/gene/?term=CCDC40","NCBI")</f>
        <v>NCBI</v>
      </c>
      <c r="F10244">
        <v>0.23</v>
      </c>
      <c r="G10244">
        <v>0.38</v>
      </c>
      <c r="H10244" s="1" t="str">
        <f>HYPERLINK("http://www.weizmann.ac.il/complex/compphys/software/geview/data/figures/220592_at.png","Figure")</f>
        <v>Figure</v>
      </c>
      <c r="I10244">
        <v>1.06</v>
      </c>
      <c r="J10244">
        <v>0.2</v>
      </c>
      <c r="K10244">
        <v>1.02</v>
      </c>
      <c r="L10244">
        <v>0.74</v>
      </c>
      <c r="M10244">
        <v>0.96299999999999997</v>
      </c>
      <c r="N10244">
        <v>0.45</v>
      </c>
    </row>
    <row r="10245" spans="1:14" x14ac:dyDescent="0.25">
      <c r="A10245" t="s">
        <v>17890</v>
      </c>
      <c r="B10245" t="s">
        <v>17891</v>
      </c>
      <c r="C10245" s="1" t="str">
        <f>HYPERLINK("http://www.genecards.org/cgi-bin/carddisp.pl?gene=MPHOSPH8","GeneCards")</f>
        <v>GeneCards</v>
      </c>
      <c r="D10245" s="1" t="str">
        <f>HYPERLINK("http://genome-euro.ucsc.edu/cgi-bin/hgTracks?position=221771_s_at","UCSC")</f>
        <v>UCSC</v>
      </c>
      <c r="E10245" s="1" t="str">
        <f>HYPERLINK("http://www.ncbi.nlm.nih.gov/gene/?term=MPHOSPH8","NCBI")</f>
        <v>NCBI</v>
      </c>
      <c r="F10245">
        <v>0.23</v>
      </c>
      <c r="G10245">
        <v>0.38</v>
      </c>
      <c r="H10245" s="1" t="str">
        <f>HYPERLINK("http://www.weizmann.ac.il/complex/compphys/software/geview/data/figures/221771_s_at.png","Figure")</f>
        <v>Figure</v>
      </c>
      <c r="I10245">
        <v>0.80800000000000005</v>
      </c>
      <c r="J10245">
        <v>0.65</v>
      </c>
      <c r="K10245">
        <v>1.2</v>
      </c>
      <c r="L10245">
        <v>0.65</v>
      </c>
      <c r="M10245">
        <v>1.49</v>
      </c>
      <c r="N10245">
        <v>0.2</v>
      </c>
    </row>
    <row r="10246" spans="1:14" x14ac:dyDescent="0.25">
      <c r="A10246" t="s">
        <v>17892</v>
      </c>
      <c r="B10246" t="s">
        <v>3520</v>
      </c>
      <c r="C10246" s="1" t="str">
        <f>HYPERLINK("http://www.genecards.org/cgi-bin/carddisp.pl?gene=CA12","GeneCards")</f>
        <v>GeneCards</v>
      </c>
      <c r="D10246" s="1" t="str">
        <f>HYPERLINK("http://genome-euro.ucsc.edu/cgi-bin/hgTracks?position=215867_x_at","UCSC")</f>
        <v>UCSC</v>
      </c>
      <c r="E10246" s="1" t="str">
        <f>HYPERLINK("http://www.ncbi.nlm.nih.gov/gene/?term=CA12","NCBI")</f>
        <v>NCBI</v>
      </c>
      <c r="F10246">
        <v>0.23</v>
      </c>
      <c r="G10246">
        <v>0.38</v>
      </c>
      <c r="H10246" s="1" t="str">
        <f>HYPERLINK("http://www.weizmann.ac.il/complex/compphys/software/geview/data/figures/215867_x_at.png","Figure")</f>
        <v>Figure</v>
      </c>
      <c r="I10246">
        <v>0.92700000000000005</v>
      </c>
      <c r="J10246">
        <v>0.23</v>
      </c>
      <c r="K10246">
        <v>0.95</v>
      </c>
      <c r="L10246">
        <v>0.4</v>
      </c>
      <c r="M10246">
        <v>1.03</v>
      </c>
      <c r="N10246">
        <v>0.82</v>
      </c>
    </row>
    <row r="10247" spans="1:14" x14ac:dyDescent="0.25">
      <c r="A10247" t="s">
        <v>17893</v>
      </c>
      <c r="B10247" t="s">
        <v>4621</v>
      </c>
      <c r="C10247" s="1" t="str">
        <f>HYPERLINK("http://www.genecards.org/cgi-bin/carddisp.pl?gene=NPFF","GeneCards")</f>
        <v>GeneCards</v>
      </c>
      <c r="D10247" s="1" t="str">
        <f>HYPERLINK("http://genome-euro.ucsc.edu/cgi-bin/hgTracks?position=206402_s_at","UCSC")</f>
        <v>UCSC</v>
      </c>
      <c r="E10247" s="1" t="str">
        <f>HYPERLINK("http://www.ncbi.nlm.nih.gov/gene/?term=NPFF","NCBI")</f>
        <v>NCBI</v>
      </c>
      <c r="F10247">
        <v>0.23</v>
      </c>
      <c r="G10247">
        <v>0.38</v>
      </c>
      <c r="H10247" s="1" t="str">
        <f>HYPERLINK("http://www.weizmann.ac.il/complex/compphys/software/geview/data/figures/206402_s_at.png","Figure")</f>
        <v>Figure</v>
      </c>
      <c r="I10247">
        <v>1.1200000000000001</v>
      </c>
      <c r="J10247">
        <v>0.36</v>
      </c>
      <c r="K10247">
        <v>1.1299999999999999</v>
      </c>
      <c r="L10247">
        <v>0.24</v>
      </c>
      <c r="M10247">
        <v>1</v>
      </c>
      <c r="N10247">
        <v>1</v>
      </c>
    </row>
    <row r="10248" spans="1:14" x14ac:dyDescent="0.25">
      <c r="A10248" t="s">
        <v>17894</v>
      </c>
      <c r="B10248" t="s">
        <v>17895</v>
      </c>
      <c r="C10248" s="1" t="str">
        <f>HYPERLINK("http://www.genecards.org/cgi-bin/carddisp.pl?gene=DENND1A","GeneCards")</f>
        <v>GeneCards</v>
      </c>
      <c r="D10248" s="1" t="str">
        <f>HYPERLINK("http://genome-euro.ucsc.edu/cgi-bin/hgTracks?position=219763_at","UCSC")</f>
        <v>UCSC</v>
      </c>
      <c r="E10248" s="1" t="str">
        <f>HYPERLINK("http://www.ncbi.nlm.nih.gov/gene/?term=DENND1A","NCBI")</f>
        <v>NCBI</v>
      </c>
      <c r="F10248">
        <v>0.23</v>
      </c>
      <c r="G10248">
        <v>0.38</v>
      </c>
      <c r="H10248" s="1" t="str">
        <f>HYPERLINK("http://www.weizmann.ac.il/complex/compphys/software/geview/data/figures/219763_at.png","Figure")</f>
        <v>Figure</v>
      </c>
      <c r="I10248">
        <v>1.06</v>
      </c>
      <c r="J10248">
        <v>0.32</v>
      </c>
      <c r="K10248">
        <v>1.06</v>
      </c>
      <c r="L10248">
        <v>0.26</v>
      </c>
      <c r="M10248">
        <v>0.997</v>
      </c>
      <c r="N10248">
        <v>1</v>
      </c>
    </row>
    <row r="10249" spans="1:14" x14ac:dyDescent="0.25">
      <c r="A10249" t="s">
        <v>17896</v>
      </c>
      <c r="B10249" t="s">
        <v>14262</v>
      </c>
      <c r="C10249" s="1" t="str">
        <f>HYPERLINK("http://www.genecards.org/cgi-bin/carddisp.pl?gene=RUNX2","GeneCards")</f>
        <v>GeneCards</v>
      </c>
      <c r="D10249" s="1" t="str">
        <f>HYPERLINK("http://genome-euro.ucsc.edu/cgi-bin/hgTracks?position=221282_x_at","UCSC")</f>
        <v>UCSC</v>
      </c>
      <c r="E10249" s="1" t="str">
        <f>HYPERLINK("http://www.ncbi.nlm.nih.gov/gene/?term=RUNX2","NCBI")</f>
        <v>NCBI</v>
      </c>
      <c r="F10249">
        <v>0.23</v>
      </c>
      <c r="G10249">
        <v>0.38</v>
      </c>
      <c r="H10249" s="1" t="str">
        <f>HYPERLINK("http://www.weizmann.ac.il/complex/compphys/software/geview/data/figures/221282_x_at.png","Figure")</f>
        <v>Figure</v>
      </c>
      <c r="I10249">
        <v>1.1399999999999999</v>
      </c>
      <c r="J10249">
        <v>0.22</v>
      </c>
      <c r="K10249">
        <v>1.03</v>
      </c>
      <c r="L10249">
        <v>0.89</v>
      </c>
      <c r="M10249">
        <v>0.90400000000000003</v>
      </c>
      <c r="N10249">
        <v>0.35</v>
      </c>
    </row>
    <row r="10250" spans="1:14" x14ac:dyDescent="0.25">
      <c r="A10250" t="s">
        <v>17897</v>
      </c>
      <c r="B10250" t="s">
        <v>5167</v>
      </c>
      <c r="C10250" s="1" t="str">
        <f>HYPERLINK("http://www.genecards.org/cgi-bin/carddisp.pl?gene=MTF2","GeneCards")</f>
        <v>GeneCards</v>
      </c>
      <c r="D10250" s="1" t="str">
        <f>HYPERLINK("http://genome-euro.ucsc.edu/cgi-bin/hgTracks?position=203347_s_at","UCSC")</f>
        <v>UCSC</v>
      </c>
      <c r="E10250" s="1" t="str">
        <f>HYPERLINK("http://www.ncbi.nlm.nih.gov/gene/?term=MTF2","NCBI")</f>
        <v>NCBI</v>
      </c>
      <c r="F10250">
        <v>0.23</v>
      </c>
      <c r="G10250">
        <v>0.38</v>
      </c>
      <c r="H10250" s="1" t="str">
        <f>HYPERLINK("http://www.weizmann.ac.il/complex/compphys/software/geview/data/figures/203347_s_at.png","Figure")</f>
        <v>Figure</v>
      </c>
      <c r="I10250">
        <v>0.94399999999999995</v>
      </c>
      <c r="J10250">
        <v>0.91</v>
      </c>
      <c r="K10250">
        <v>0.81100000000000005</v>
      </c>
      <c r="L10250">
        <v>0.23</v>
      </c>
      <c r="M10250">
        <v>0.85799999999999998</v>
      </c>
      <c r="N10250">
        <v>0.48</v>
      </c>
    </row>
    <row r="10251" spans="1:14" x14ac:dyDescent="0.25">
      <c r="A10251" t="s">
        <v>17898</v>
      </c>
      <c r="B10251" t="s">
        <v>17899</v>
      </c>
      <c r="C10251" s="1" t="str">
        <f>HYPERLINK("http://www.genecards.org/cgi-bin/carddisp.pl?gene=IRGQ","GeneCards")</f>
        <v>GeneCards</v>
      </c>
      <c r="D10251" s="1" t="str">
        <f>HYPERLINK("http://genome-euro.ucsc.edu/cgi-bin/hgTracks?position=64488_at","UCSC")</f>
        <v>UCSC</v>
      </c>
      <c r="E10251" s="1" t="str">
        <f>HYPERLINK("http://www.ncbi.nlm.nih.gov/gene/?term=IRGQ","NCBI")</f>
        <v>NCBI</v>
      </c>
      <c r="F10251">
        <v>0.23</v>
      </c>
      <c r="G10251">
        <v>0.38</v>
      </c>
      <c r="H10251" s="1" t="str">
        <f>HYPERLINK("http://www.weizmann.ac.il/complex/compphys/software/geview/data/figures/64488_at.png","Figure")</f>
        <v>Figure</v>
      </c>
      <c r="I10251">
        <v>0.97299999999999998</v>
      </c>
      <c r="J10251">
        <v>0.94</v>
      </c>
      <c r="K10251">
        <v>0.88800000000000001</v>
      </c>
      <c r="L10251">
        <v>0.24</v>
      </c>
      <c r="M10251">
        <v>0.91300000000000003</v>
      </c>
      <c r="N10251">
        <v>0.46</v>
      </c>
    </row>
    <row r="10252" spans="1:14" x14ac:dyDescent="0.25">
      <c r="A10252" t="s">
        <v>17900</v>
      </c>
      <c r="B10252" t="s">
        <v>8431</v>
      </c>
      <c r="C10252" s="1" t="str">
        <f>HYPERLINK("http://www.genecards.org/cgi-bin/carddisp.pl?gene=CEACAM1","GeneCards")</f>
        <v>GeneCards</v>
      </c>
      <c r="D10252" s="1" t="str">
        <f>HYPERLINK("http://genome-euro.ucsc.edu/cgi-bin/hgTracks?position=209498_at","UCSC")</f>
        <v>UCSC</v>
      </c>
      <c r="E10252" s="1" t="str">
        <f>HYPERLINK("http://www.ncbi.nlm.nih.gov/gene/?term=CEACAM1","NCBI")</f>
        <v>NCBI</v>
      </c>
      <c r="F10252">
        <v>0.23</v>
      </c>
      <c r="G10252">
        <v>0.38</v>
      </c>
      <c r="H10252" s="1" t="str">
        <f>HYPERLINK("http://www.weizmann.ac.il/complex/compphys/software/geview/data/figures/209498_at.png","Figure")</f>
        <v>Figure</v>
      </c>
      <c r="I10252">
        <v>1</v>
      </c>
      <c r="J10252">
        <v>1</v>
      </c>
      <c r="K10252">
        <v>0.95499999999999996</v>
      </c>
      <c r="L10252">
        <v>0.28999999999999998</v>
      </c>
      <c r="M10252">
        <v>0.95499999999999996</v>
      </c>
      <c r="N10252">
        <v>0.34</v>
      </c>
    </row>
    <row r="10253" spans="1:14" x14ac:dyDescent="0.25">
      <c r="A10253" t="s">
        <v>17901</v>
      </c>
      <c r="B10253" t="s">
        <v>17902</v>
      </c>
      <c r="C10253" s="1" t="str">
        <f>HYPERLINK("http://www.genecards.org/cgi-bin/carddisp.pl?gene=RGNEF","GeneCards")</f>
        <v>GeneCards</v>
      </c>
      <c r="D10253" s="1" t="str">
        <f>HYPERLINK("http://genome-euro.ucsc.edu/cgi-bin/hgTracks?position=219610_at","UCSC")</f>
        <v>UCSC</v>
      </c>
      <c r="E10253" s="1" t="str">
        <f>HYPERLINK("http://www.ncbi.nlm.nih.gov/gene/?term=RGNEF","NCBI")</f>
        <v>NCBI</v>
      </c>
      <c r="F10253">
        <v>0.23</v>
      </c>
      <c r="G10253">
        <v>0.38</v>
      </c>
      <c r="H10253" s="1" t="str">
        <f>HYPERLINK("http://www.weizmann.ac.il/complex/compphys/software/geview/data/figures/219610_at.png","Figure")</f>
        <v>Figure</v>
      </c>
      <c r="I10253">
        <v>1.2</v>
      </c>
      <c r="J10253">
        <v>0.24</v>
      </c>
      <c r="K10253">
        <v>1.03</v>
      </c>
      <c r="L10253">
        <v>0.94</v>
      </c>
      <c r="M10253">
        <v>0.86</v>
      </c>
      <c r="N10253">
        <v>0.31</v>
      </c>
    </row>
    <row r="10254" spans="1:14" x14ac:dyDescent="0.25">
      <c r="A10254" t="s">
        <v>17903</v>
      </c>
      <c r="B10254" t="s">
        <v>10571</v>
      </c>
      <c r="C10254" s="1" t="str">
        <f>HYPERLINK("http://www.genecards.org/cgi-bin/carddisp.pl?gene=VPS13D","GeneCards")</f>
        <v>GeneCards</v>
      </c>
      <c r="D10254" s="1" t="str">
        <f>HYPERLINK("http://genome-euro.ucsc.edu/cgi-bin/hgTracks?position=212324_s_at","UCSC")</f>
        <v>UCSC</v>
      </c>
      <c r="E10254" s="1" t="str">
        <f>HYPERLINK("http://www.ncbi.nlm.nih.gov/gene/?term=VPS13D","NCBI")</f>
        <v>NCBI</v>
      </c>
      <c r="F10254">
        <v>0.23</v>
      </c>
      <c r="G10254">
        <v>0.38</v>
      </c>
      <c r="H10254" s="1" t="str">
        <f>HYPERLINK("http://www.weizmann.ac.il/complex/compphys/software/geview/data/figures/212324_s_at.png","Figure")</f>
        <v>Figure</v>
      </c>
      <c r="I10254">
        <v>0.90600000000000003</v>
      </c>
      <c r="J10254">
        <v>0.39</v>
      </c>
      <c r="K10254">
        <v>0.89600000000000002</v>
      </c>
      <c r="L10254">
        <v>0.23</v>
      </c>
      <c r="M10254">
        <v>0.98899999999999999</v>
      </c>
      <c r="N10254">
        <v>0.99</v>
      </c>
    </row>
    <row r="10255" spans="1:14" x14ac:dyDescent="0.25">
      <c r="A10255" t="s">
        <v>17904</v>
      </c>
      <c r="B10255" t="s">
        <v>2094</v>
      </c>
      <c r="C10255" s="1" t="str">
        <f>HYPERLINK("http://www.genecards.org/cgi-bin/carddisp.pl?gene=UBAP2L","GeneCards")</f>
        <v>GeneCards</v>
      </c>
      <c r="D10255" s="1" t="str">
        <f>HYPERLINK("http://genome-euro.ucsc.edu/cgi-bin/hgTracks?position=214695_at","UCSC")</f>
        <v>UCSC</v>
      </c>
      <c r="E10255" s="1" t="str">
        <f>HYPERLINK("http://www.ncbi.nlm.nih.gov/gene/?term=UBAP2L","NCBI")</f>
        <v>NCBI</v>
      </c>
      <c r="F10255">
        <v>0.23</v>
      </c>
      <c r="G10255">
        <v>0.38</v>
      </c>
      <c r="H10255" s="1" t="str">
        <f>HYPERLINK("http://www.weizmann.ac.il/complex/compphys/software/geview/data/figures/214695_at.png","Figure")</f>
        <v>Figure</v>
      </c>
      <c r="I10255">
        <v>1.02</v>
      </c>
      <c r="J10255">
        <v>0.89</v>
      </c>
      <c r="K10255">
        <v>1.07</v>
      </c>
      <c r="L10255">
        <v>0.22</v>
      </c>
      <c r="M10255">
        <v>1.05</v>
      </c>
      <c r="N10255">
        <v>0.51</v>
      </c>
    </row>
    <row r="10256" spans="1:14" x14ac:dyDescent="0.25">
      <c r="A10256" t="s">
        <v>17905</v>
      </c>
      <c r="B10256" t="s">
        <v>12644</v>
      </c>
      <c r="C10256" s="1" t="str">
        <f>HYPERLINK("http://www.genecards.org/cgi-bin/carddisp.pl?gene=ST13","GeneCards")</f>
        <v>GeneCards</v>
      </c>
      <c r="D10256" s="1" t="str">
        <f>HYPERLINK("http://genome-euro.ucsc.edu/cgi-bin/hgTracks?position=208666_s_at","UCSC")</f>
        <v>UCSC</v>
      </c>
      <c r="E10256" s="1" t="str">
        <f>HYPERLINK("http://www.ncbi.nlm.nih.gov/gene/?term=ST13","NCBI")</f>
        <v>NCBI</v>
      </c>
      <c r="F10256">
        <v>0.23</v>
      </c>
      <c r="G10256">
        <v>0.38</v>
      </c>
      <c r="H10256" s="1" t="str">
        <f>HYPERLINK("http://www.weizmann.ac.il/complex/compphys/software/geview/data/figures/208666_s_at.png","Figure")</f>
        <v>Figure</v>
      </c>
      <c r="I10256">
        <v>0.65700000000000003</v>
      </c>
      <c r="J10256">
        <v>0.2</v>
      </c>
      <c r="K10256">
        <v>0.81100000000000005</v>
      </c>
      <c r="L10256">
        <v>0.56999999999999995</v>
      </c>
      <c r="M10256">
        <v>1.23</v>
      </c>
      <c r="N10256">
        <v>0.61</v>
      </c>
    </row>
    <row r="10257" spans="1:14" x14ac:dyDescent="0.25">
      <c r="A10257" t="s">
        <v>17906</v>
      </c>
      <c r="B10257" t="s">
        <v>17907</v>
      </c>
      <c r="C10257" s="1" t="str">
        <f>HYPERLINK("http://www.genecards.org/cgi-bin/carddisp.pl?gene=PCDHGA1","GeneCards")</f>
        <v>GeneCards</v>
      </c>
      <c r="D10257" s="1" t="str">
        <f>HYPERLINK("http://genome-euro.ucsc.edu/cgi-bin/hgTracks?position=211880_x_at","UCSC")</f>
        <v>UCSC</v>
      </c>
      <c r="E10257" s="1" t="str">
        <f>HYPERLINK("http://www.ncbi.nlm.nih.gov/gene/?term=PCDHGA1","NCBI")</f>
        <v>NCBI</v>
      </c>
      <c r="F10257">
        <v>0.23</v>
      </c>
      <c r="G10257">
        <v>0.38</v>
      </c>
      <c r="H10257" s="1" t="str">
        <f>HYPERLINK("http://www.weizmann.ac.il/complex/compphys/software/geview/data/figures/211880_x_at.png","Figure")</f>
        <v>Figure</v>
      </c>
      <c r="I10257">
        <v>1.01</v>
      </c>
      <c r="J10257">
        <v>0.97</v>
      </c>
      <c r="K10257">
        <v>0.94299999999999995</v>
      </c>
      <c r="L10257">
        <v>0.35</v>
      </c>
      <c r="M10257">
        <v>0.93200000000000005</v>
      </c>
      <c r="N10257">
        <v>0.28000000000000003</v>
      </c>
    </row>
    <row r="10258" spans="1:14" x14ac:dyDescent="0.25">
      <c r="A10258" t="s">
        <v>17908</v>
      </c>
      <c r="B10258" t="s">
        <v>17909</v>
      </c>
      <c r="C10258" s="1" t="str">
        <f>HYPERLINK("http://www.genecards.org/cgi-bin/carddisp.pl?gene=GPATCH2","GeneCards")</f>
        <v>GeneCards</v>
      </c>
      <c r="D10258" s="1" t="str">
        <f>HYPERLINK("http://genome-euro.ucsc.edu/cgi-bin/hgTracks?position=219078_at","UCSC")</f>
        <v>UCSC</v>
      </c>
      <c r="E10258" s="1" t="str">
        <f>HYPERLINK("http://www.ncbi.nlm.nih.gov/gene/?term=GPATCH2","NCBI")</f>
        <v>NCBI</v>
      </c>
      <c r="F10258">
        <v>0.23</v>
      </c>
      <c r="G10258">
        <v>0.38</v>
      </c>
      <c r="H10258" s="1" t="str">
        <f>HYPERLINK("http://www.weizmann.ac.il/complex/compphys/software/geview/data/figures/219078_at.png","Figure")</f>
        <v>Figure</v>
      </c>
      <c r="I10258">
        <v>1.47</v>
      </c>
      <c r="J10258">
        <v>0.28000000000000003</v>
      </c>
      <c r="K10258">
        <v>1.39</v>
      </c>
      <c r="L10258">
        <v>0.3</v>
      </c>
      <c r="M10258">
        <v>0.94599999999999995</v>
      </c>
      <c r="N10258">
        <v>0.97</v>
      </c>
    </row>
    <row r="10259" spans="1:14" x14ac:dyDescent="0.25">
      <c r="A10259" t="s">
        <v>17910</v>
      </c>
      <c r="B10259" t="s">
        <v>9491</v>
      </c>
      <c r="C10259" s="1" t="str">
        <f>HYPERLINK("http://www.genecards.org/cgi-bin/carddisp.pl?gene=AKAP13","GeneCards")</f>
        <v>GeneCards</v>
      </c>
      <c r="D10259" s="1" t="str">
        <f>HYPERLINK("http://genome-euro.ucsc.edu/cgi-bin/hgTracks?position=222024_s_at","UCSC")</f>
        <v>UCSC</v>
      </c>
      <c r="E10259" s="1" t="str">
        <f>HYPERLINK("http://www.ncbi.nlm.nih.gov/gene/?term=AKAP13","NCBI")</f>
        <v>NCBI</v>
      </c>
      <c r="F10259">
        <v>0.23</v>
      </c>
      <c r="G10259">
        <v>0.38</v>
      </c>
      <c r="H10259" s="1" t="str">
        <f>HYPERLINK("http://www.weizmann.ac.il/complex/compphys/software/geview/data/figures/222024_s_at.png","Figure")</f>
        <v>Figure</v>
      </c>
      <c r="I10259">
        <v>1.26</v>
      </c>
      <c r="J10259">
        <v>0.68</v>
      </c>
      <c r="K10259">
        <v>0.79600000000000004</v>
      </c>
      <c r="L10259">
        <v>0.61</v>
      </c>
      <c r="M10259">
        <v>0.63300000000000001</v>
      </c>
      <c r="N10259">
        <v>0.21</v>
      </c>
    </row>
    <row r="10260" spans="1:14" x14ac:dyDescent="0.25">
      <c r="A10260" t="s">
        <v>17911</v>
      </c>
      <c r="B10260" t="s">
        <v>17912</v>
      </c>
      <c r="C10260" s="1" t="str">
        <f>HYPERLINK("http://www.genecards.org/cgi-bin/carddisp.pl?gene=CAPNS1","GeneCards")</f>
        <v>GeneCards</v>
      </c>
      <c r="D10260" s="1" t="str">
        <f>HYPERLINK("http://genome-euro.ucsc.edu/cgi-bin/hgTracks?position=200001_at","UCSC")</f>
        <v>UCSC</v>
      </c>
      <c r="E10260" s="1" t="str">
        <f>HYPERLINK("http://www.ncbi.nlm.nih.gov/gene/?term=CAPNS1","NCBI")</f>
        <v>NCBI</v>
      </c>
      <c r="F10260">
        <v>0.23</v>
      </c>
      <c r="G10260">
        <v>0.38</v>
      </c>
      <c r="H10260" s="1" t="str">
        <f>HYPERLINK("http://www.weizmann.ac.il/complex/compphys/software/geview/data/figures/200001_at.png","Figure")</f>
        <v>Figure</v>
      </c>
      <c r="I10260">
        <v>0.94199999999999995</v>
      </c>
      <c r="J10260">
        <v>0.95</v>
      </c>
      <c r="K10260">
        <v>1.28</v>
      </c>
      <c r="L10260">
        <v>0.38</v>
      </c>
      <c r="M10260">
        <v>1.36</v>
      </c>
      <c r="N10260">
        <v>0.28000000000000003</v>
      </c>
    </row>
    <row r="10261" spans="1:14" x14ac:dyDescent="0.25">
      <c r="A10261" t="s">
        <v>17913</v>
      </c>
      <c r="B10261" t="s">
        <v>17914</v>
      </c>
      <c r="C10261" s="1" t="str">
        <f>HYPERLINK("http://www.genecards.org/cgi-bin/carddisp.pl?gene=RPL17","GeneCards")</f>
        <v>GeneCards</v>
      </c>
      <c r="D10261" s="1" t="str">
        <f>HYPERLINK("http://genome-euro.ucsc.edu/cgi-bin/hgTracks?position=200038_s_at","UCSC")</f>
        <v>UCSC</v>
      </c>
      <c r="E10261" s="1" t="str">
        <f>HYPERLINK("http://www.ncbi.nlm.nih.gov/gene/?term=RPL17","NCBI")</f>
        <v>NCBI</v>
      </c>
      <c r="F10261">
        <v>0.23</v>
      </c>
      <c r="G10261">
        <v>0.38</v>
      </c>
      <c r="H10261" s="1" t="str">
        <f>HYPERLINK("http://www.weizmann.ac.il/complex/compphys/software/geview/data/figures/200038_s_at.png","Figure")</f>
        <v>Figure</v>
      </c>
      <c r="I10261">
        <v>0.69699999999999995</v>
      </c>
      <c r="J10261">
        <v>0.23</v>
      </c>
      <c r="K10261">
        <v>0.92900000000000005</v>
      </c>
      <c r="L10261">
        <v>0.92</v>
      </c>
      <c r="M10261">
        <v>1.33</v>
      </c>
      <c r="N10261">
        <v>0.33</v>
      </c>
    </row>
    <row r="10262" spans="1:14" x14ac:dyDescent="0.25">
      <c r="A10262" t="s">
        <v>17915</v>
      </c>
      <c r="B10262" t="s">
        <v>17159</v>
      </c>
      <c r="C10262" s="1" t="str">
        <f>HYPERLINK("http://www.genecards.org/cgi-bin/carddisp.pl?gene=LRP6","GeneCards")</f>
        <v>GeneCards</v>
      </c>
      <c r="D10262" s="1" t="str">
        <f>HYPERLINK("http://genome-euro.ucsc.edu/cgi-bin/hgTracks?position=34697_at","UCSC")</f>
        <v>UCSC</v>
      </c>
      <c r="E10262" s="1" t="str">
        <f>HYPERLINK("http://www.ncbi.nlm.nih.gov/gene/?term=LRP6","NCBI")</f>
        <v>NCBI</v>
      </c>
      <c r="F10262">
        <v>0.23</v>
      </c>
      <c r="G10262">
        <v>0.38</v>
      </c>
      <c r="H10262" s="1" t="str">
        <f>HYPERLINK("http://www.weizmann.ac.il/complex/compphys/software/geview/data/figures/34697_at.png","Figure")</f>
        <v>Figure</v>
      </c>
      <c r="I10262">
        <v>0.99099999999999999</v>
      </c>
      <c r="J10262">
        <v>0.3</v>
      </c>
      <c r="K10262">
        <v>1</v>
      </c>
      <c r="L10262">
        <v>1</v>
      </c>
      <c r="M10262">
        <v>1.01</v>
      </c>
      <c r="N10262">
        <v>0.26</v>
      </c>
    </row>
    <row r="10263" spans="1:14" x14ac:dyDescent="0.25">
      <c r="A10263" t="s">
        <v>17916</v>
      </c>
      <c r="B10263" t="s">
        <v>364</v>
      </c>
      <c r="C10263" s="1" t="str">
        <f>HYPERLINK("http://www.genecards.org/cgi-bin/carddisp.pl?gene=BMP2K","GeneCards")</f>
        <v>GeneCards</v>
      </c>
      <c r="D10263" s="1" t="str">
        <f>HYPERLINK("http://genome-euro.ucsc.edu/cgi-bin/hgTracks?position=37170_at","UCSC")</f>
        <v>UCSC</v>
      </c>
      <c r="E10263" s="1" t="str">
        <f>HYPERLINK("http://www.ncbi.nlm.nih.gov/gene/?term=BMP2K","NCBI")</f>
        <v>NCBI</v>
      </c>
      <c r="F10263">
        <v>0.23</v>
      </c>
      <c r="G10263">
        <v>0.38</v>
      </c>
      <c r="H10263" s="1" t="str">
        <f>HYPERLINK("http://www.weizmann.ac.il/complex/compphys/software/geview/data/figures/37170_at.png","Figure")</f>
        <v>Figure</v>
      </c>
      <c r="I10263">
        <v>0.96399999999999997</v>
      </c>
      <c r="J10263">
        <v>0.3</v>
      </c>
      <c r="K10263">
        <v>1</v>
      </c>
      <c r="L10263">
        <v>1</v>
      </c>
      <c r="M10263">
        <v>1.04</v>
      </c>
      <c r="N10263">
        <v>0.26</v>
      </c>
    </row>
    <row r="10264" spans="1:14" x14ac:dyDescent="0.25">
      <c r="A10264" t="s">
        <v>17917</v>
      </c>
      <c r="B10264" t="s">
        <v>17918</v>
      </c>
      <c r="C10264" s="1" t="str">
        <f>HYPERLINK("http://www.genecards.org/cgi-bin/carddisp.pl?gene=BBS9","GeneCards")</f>
        <v>GeneCards</v>
      </c>
      <c r="D10264" s="1" t="str">
        <f>HYPERLINK("http://genome-euro.ucsc.edu/cgi-bin/hgTracks?position=37549_g_at","UCSC")</f>
        <v>UCSC</v>
      </c>
      <c r="E10264" s="1" t="str">
        <f>HYPERLINK("http://www.ncbi.nlm.nih.gov/gene/?term=BBS9","NCBI")</f>
        <v>NCBI</v>
      </c>
      <c r="F10264">
        <v>0.23</v>
      </c>
      <c r="G10264">
        <v>0.38</v>
      </c>
      <c r="H10264" s="1" t="str">
        <f>HYPERLINK("http://www.weizmann.ac.il/complex/compphys/software/geview/data/figures/37549_g_at.png","Figure")</f>
        <v>Figure</v>
      </c>
      <c r="I10264">
        <v>1.01</v>
      </c>
      <c r="J10264">
        <v>0.99</v>
      </c>
      <c r="K10264">
        <v>1.0900000000000001</v>
      </c>
      <c r="L10264">
        <v>0.28000000000000003</v>
      </c>
      <c r="M10264">
        <v>1.08</v>
      </c>
      <c r="N10264">
        <v>0.37</v>
      </c>
    </row>
    <row r="10265" spans="1:14" x14ac:dyDescent="0.25">
      <c r="A10265" t="s">
        <v>17919</v>
      </c>
      <c r="B10265" t="s">
        <v>15643</v>
      </c>
      <c r="C10265" s="1" t="str">
        <f>HYPERLINK("http://www.genecards.org/cgi-bin/carddisp.pl?gene=WNK1","GeneCards")</f>
        <v>GeneCards</v>
      </c>
      <c r="D10265" s="1" t="str">
        <f>HYPERLINK("http://genome-euro.ucsc.edu/cgi-bin/hgTracks?position=39313_at","UCSC")</f>
        <v>UCSC</v>
      </c>
      <c r="E10265" s="1" t="str">
        <f>HYPERLINK("http://www.ncbi.nlm.nih.gov/gene/?term=WNK1","NCBI")</f>
        <v>NCBI</v>
      </c>
      <c r="F10265">
        <v>0.23</v>
      </c>
      <c r="G10265">
        <v>0.38</v>
      </c>
      <c r="H10265" s="1" t="str">
        <f>HYPERLINK("http://www.weizmann.ac.il/complex/compphys/software/geview/data/figures/39313_at.png","Figure")</f>
        <v>Figure</v>
      </c>
      <c r="I10265">
        <v>0.998</v>
      </c>
      <c r="J10265">
        <v>0.3</v>
      </c>
      <c r="K10265">
        <v>1</v>
      </c>
      <c r="L10265">
        <v>1</v>
      </c>
      <c r="M10265">
        <v>1</v>
      </c>
      <c r="N10265">
        <v>0.26</v>
      </c>
    </row>
    <row r="10266" spans="1:14" x14ac:dyDescent="0.25">
      <c r="A10266" t="s">
        <v>17920</v>
      </c>
      <c r="B10266" t="s">
        <v>14771</v>
      </c>
      <c r="C10266" s="1" t="str">
        <f>HYPERLINK("http://www.genecards.org/cgi-bin/carddisp.pl?gene=RBM12B","GeneCards")</f>
        <v>GeneCards</v>
      </c>
      <c r="D10266" s="1" t="str">
        <f>HYPERLINK("http://genome-euro.ucsc.edu/cgi-bin/hgTracks?position=51228_at","UCSC")</f>
        <v>UCSC</v>
      </c>
      <c r="E10266" s="1" t="str">
        <f>HYPERLINK("http://www.ncbi.nlm.nih.gov/gene/?term=RBM12B","NCBI")</f>
        <v>NCBI</v>
      </c>
      <c r="F10266">
        <v>0.23</v>
      </c>
      <c r="G10266">
        <v>0.38</v>
      </c>
      <c r="H10266" s="1" t="str">
        <f>HYPERLINK("http://www.weizmann.ac.il/complex/compphys/software/geview/data/figures/51228_at.png","Figure")</f>
        <v>Figure</v>
      </c>
      <c r="I10266">
        <v>0.98299999999999998</v>
      </c>
      <c r="J10266">
        <v>0.3</v>
      </c>
      <c r="K10266">
        <v>1</v>
      </c>
      <c r="L10266">
        <v>1</v>
      </c>
      <c r="M10266">
        <v>1.02</v>
      </c>
      <c r="N10266">
        <v>0.26</v>
      </c>
    </row>
    <row r="10267" spans="1:14" x14ac:dyDescent="0.25">
      <c r="A10267" t="s">
        <v>17921</v>
      </c>
      <c r="B10267" t="s">
        <v>17922</v>
      </c>
      <c r="C10267" s="1" t="str">
        <f>HYPERLINK("http://www.genecards.org/cgi-bin/carddisp.pl?gene=CEP76","GeneCards")</f>
        <v>GeneCards</v>
      </c>
      <c r="D10267" s="1" t="str">
        <f>HYPERLINK("http://genome-euro.ucsc.edu/cgi-bin/hgTracks?position=52285_f_at","UCSC")</f>
        <v>UCSC</v>
      </c>
      <c r="E10267" s="1" t="str">
        <f>HYPERLINK("http://www.ncbi.nlm.nih.gov/gene/?term=CEP76","NCBI")</f>
        <v>NCBI</v>
      </c>
      <c r="F10267">
        <v>0.23</v>
      </c>
      <c r="G10267">
        <v>0.38</v>
      </c>
      <c r="H10267" s="1" t="str">
        <f>HYPERLINK("http://www.weizmann.ac.il/complex/compphys/software/geview/data/figures/52285_f_at.png","Figure")</f>
        <v>Figure</v>
      </c>
      <c r="I10267">
        <v>0.86199999999999999</v>
      </c>
      <c r="J10267">
        <v>0.3</v>
      </c>
      <c r="K10267">
        <v>1</v>
      </c>
      <c r="L10267">
        <v>1</v>
      </c>
      <c r="M10267">
        <v>1.1599999999999999</v>
      </c>
      <c r="N10267">
        <v>0.26</v>
      </c>
    </row>
    <row r="10268" spans="1:14" x14ac:dyDescent="0.25">
      <c r="A10268" t="s">
        <v>17923</v>
      </c>
      <c r="B10268" t="s">
        <v>17924</v>
      </c>
      <c r="C10268" s="1" t="str">
        <f>HYPERLINK("http://www.genecards.org/cgi-bin/carddisp.pl?gene=C2orf68","GeneCards")</f>
        <v>GeneCards</v>
      </c>
      <c r="D10268" s="1" t="str">
        <f>HYPERLINK("http://genome-euro.ucsc.edu/cgi-bin/hgTracks?position=65472_at","UCSC")</f>
        <v>UCSC</v>
      </c>
      <c r="E10268" s="1" t="str">
        <f>HYPERLINK("http://www.ncbi.nlm.nih.gov/gene/?term=C2orf68","NCBI")</f>
        <v>NCBI</v>
      </c>
      <c r="F10268">
        <v>0.23</v>
      </c>
      <c r="G10268">
        <v>0.38</v>
      </c>
      <c r="H10268" s="1" t="str">
        <f>HYPERLINK("http://www.weizmann.ac.il/complex/compphys/software/geview/data/figures/65472_at.png","Figure")</f>
        <v>Figure</v>
      </c>
      <c r="I10268">
        <v>0.875</v>
      </c>
      <c r="J10268">
        <v>0.3</v>
      </c>
      <c r="K10268">
        <v>1</v>
      </c>
      <c r="L10268">
        <v>1</v>
      </c>
      <c r="M10268">
        <v>1.1399999999999999</v>
      </c>
      <c r="N10268">
        <v>0.26</v>
      </c>
    </row>
    <row r="10269" spans="1:14" x14ac:dyDescent="0.25">
      <c r="A10269" t="s">
        <v>17925</v>
      </c>
      <c r="B10269" t="s">
        <v>9018</v>
      </c>
      <c r="C10269" s="1" t="str">
        <f>HYPERLINK("http://www.genecards.org/cgi-bin/carddisp.pl?gene=WNT6","GeneCards")</f>
        <v>GeneCards</v>
      </c>
      <c r="D10269" s="1" t="str">
        <f>HYPERLINK("http://genome-euro.ucsc.edu/cgi-bin/hgTracks?position=71933_at","UCSC")</f>
        <v>UCSC</v>
      </c>
      <c r="E10269" s="1" t="str">
        <f>HYPERLINK("http://www.ncbi.nlm.nih.gov/gene/?term=WNT6","NCBI")</f>
        <v>NCBI</v>
      </c>
      <c r="F10269">
        <v>0.23</v>
      </c>
      <c r="G10269">
        <v>0.38</v>
      </c>
      <c r="H10269" s="1" t="str">
        <f>HYPERLINK("http://www.weizmann.ac.il/complex/compphys/software/geview/data/figures/71933_at.png","Figure")</f>
        <v>Figure</v>
      </c>
      <c r="I10269">
        <v>1.29</v>
      </c>
      <c r="J10269">
        <v>0.23</v>
      </c>
      <c r="K10269">
        <v>1.06</v>
      </c>
      <c r="L10269">
        <v>0.89</v>
      </c>
      <c r="M10269">
        <v>0.82399999999999995</v>
      </c>
      <c r="N10269">
        <v>0.35</v>
      </c>
    </row>
    <row r="10270" spans="1:14" x14ac:dyDescent="0.25">
      <c r="A10270" t="s">
        <v>17926</v>
      </c>
      <c r="B10270" t="s">
        <v>17927</v>
      </c>
      <c r="C10270" s="1" t="str">
        <f>HYPERLINK("http://www.genecards.org/cgi-bin/carddisp.pl?gene=PTGES3","GeneCards")</f>
        <v>GeneCards</v>
      </c>
      <c r="D10270" s="1" t="str">
        <f>HYPERLINK("http://genome-euro.ucsc.edu/cgi-bin/hgTracks?position=200627_at","UCSC")</f>
        <v>UCSC</v>
      </c>
      <c r="E10270" s="1" t="str">
        <f>HYPERLINK("http://www.ncbi.nlm.nih.gov/gene/?term=PTGES3","NCBI")</f>
        <v>NCBI</v>
      </c>
      <c r="F10270">
        <v>0.23</v>
      </c>
      <c r="G10270">
        <v>0.38</v>
      </c>
      <c r="H10270" s="1" t="str">
        <f>HYPERLINK("http://www.weizmann.ac.il/complex/compphys/software/geview/data/figures/200627_at.png","Figure")</f>
        <v>Figure</v>
      </c>
      <c r="I10270">
        <v>0.93700000000000006</v>
      </c>
      <c r="J10270">
        <v>0.93</v>
      </c>
      <c r="K10270">
        <v>1.23</v>
      </c>
      <c r="L10270">
        <v>0.4</v>
      </c>
      <c r="M10270">
        <v>1.31</v>
      </c>
      <c r="N10270">
        <v>0.26</v>
      </c>
    </row>
    <row r="10271" spans="1:14" x14ac:dyDescent="0.25">
      <c r="A10271" t="s">
        <v>17928</v>
      </c>
      <c r="B10271" t="s">
        <v>10957</v>
      </c>
      <c r="C10271" s="1" t="str">
        <f>HYPERLINK("http://www.genecards.org/cgi-bin/carddisp.pl?gene=RPL31","GeneCards")</f>
        <v>GeneCards</v>
      </c>
      <c r="D10271" s="1" t="str">
        <f>HYPERLINK("http://genome-euro.ucsc.edu/cgi-bin/hgTracks?position=200962_at","UCSC")</f>
        <v>UCSC</v>
      </c>
      <c r="E10271" s="1" t="str">
        <f>HYPERLINK("http://www.ncbi.nlm.nih.gov/gene/?term=RPL31","NCBI")</f>
        <v>NCBI</v>
      </c>
      <c r="F10271">
        <v>0.23</v>
      </c>
      <c r="G10271">
        <v>0.38</v>
      </c>
      <c r="H10271" s="1" t="str">
        <f>HYPERLINK("http://www.weizmann.ac.il/complex/compphys/software/geview/data/figures/200962_at.png","Figure")</f>
        <v>Figure</v>
      </c>
      <c r="I10271">
        <v>0.85</v>
      </c>
      <c r="J10271">
        <v>0.86</v>
      </c>
      <c r="K10271">
        <v>1.38</v>
      </c>
      <c r="L10271">
        <v>0.47</v>
      </c>
      <c r="M10271">
        <v>1.62</v>
      </c>
      <c r="N10271">
        <v>0.24</v>
      </c>
    </row>
    <row r="10272" spans="1:14" x14ac:dyDescent="0.25">
      <c r="A10272" t="s">
        <v>17929</v>
      </c>
      <c r="B10272" t="s">
        <v>12414</v>
      </c>
      <c r="C10272" s="1" t="str">
        <f>HYPERLINK("http://www.genecards.org/cgi-bin/carddisp.pl?gene=RAB6A","GeneCards")</f>
        <v>GeneCards</v>
      </c>
      <c r="D10272" s="1" t="str">
        <f>HYPERLINK("http://genome-euro.ucsc.edu/cgi-bin/hgTracks?position=201047_x_at","UCSC")</f>
        <v>UCSC</v>
      </c>
      <c r="E10272" s="1" t="str">
        <f>HYPERLINK("http://www.ncbi.nlm.nih.gov/gene/?term=RAB6A","NCBI")</f>
        <v>NCBI</v>
      </c>
      <c r="F10272">
        <v>0.23</v>
      </c>
      <c r="G10272">
        <v>0.38</v>
      </c>
      <c r="H10272" s="1" t="str">
        <f>HYPERLINK("http://www.weizmann.ac.il/complex/compphys/software/geview/data/figures/201047_x_at.png","Figure")</f>
        <v>Figure</v>
      </c>
      <c r="I10272">
        <v>0.86099999999999999</v>
      </c>
      <c r="J10272">
        <v>0.61</v>
      </c>
      <c r="K10272">
        <v>1.1200000000000001</v>
      </c>
      <c r="L10272">
        <v>0.69</v>
      </c>
      <c r="M10272">
        <v>1.3</v>
      </c>
      <c r="N10272">
        <v>0.21</v>
      </c>
    </row>
    <row r="10273" spans="1:14" x14ac:dyDescent="0.25">
      <c r="A10273" t="s">
        <v>17930</v>
      </c>
      <c r="B10273" t="s">
        <v>2991</v>
      </c>
      <c r="C10273" s="1" t="str">
        <f>HYPERLINK("http://www.genecards.org/cgi-bin/carddisp.pl?gene=BHLHE40","GeneCards")</f>
        <v>GeneCards</v>
      </c>
      <c r="D10273" s="1" t="str">
        <f>HYPERLINK("http://genome-euro.ucsc.edu/cgi-bin/hgTracks?position=201169_s_at","UCSC")</f>
        <v>UCSC</v>
      </c>
      <c r="E10273" s="1" t="str">
        <f>HYPERLINK("http://www.ncbi.nlm.nih.gov/gene/?term=BHLHE40","NCBI")</f>
        <v>NCBI</v>
      </c>
      <c r="F10273">
        <v>0.23</v>
      </c>
      <c r="G10273">
        <v>0.38</v>
      </c>
      <c r="H10273" s="1" t="str">
        <f>HYPERLINK("http://www.weizmann.ac.il/complex/compphys/software/geview/data/figures/201169_s_at.png","Figure")</f>
        <v>Figure</v>
      </c>
      <c r="I10273">
        <v>0.98799999999999999</v>
      </c>
      <c r="J10273">
        <v>0.3</v>
      </c>
      <c r="K10273">
        <v>1</v>
      </c>
      <c r="L10273">
        <v>1</v>
      </c>
      <c r="M10273">
        <v>1.01</v>
      </c>
      <c r="N10273">
        <v>0.26</v>
      </c>
    </row>
    <row r="10274" spans="1:14" x14ac:dyDescent="0.25">
      <c r="A10274" t="s">
        <v>17931</v>
      </c>
      <c r="B10274" t="s">
        <v>17932</v>
      </c>
      <c r="C10274" s="1" t="str">
        <f>HYPERLINK("http://www.genecards.org/cgi-bin/carddisp.pl?gene=LRP10","GeneCards")</f>
        <v>GeneCards</v>
      </c>
      <c r="D10274" s="1" t="str">
        <f>HYPERLINK("http://genome-euro.ucsc.edu/cgi-bin/hgTracks?position=201412_at","UCSC")</f>
        <v>UCSC</v>
      </c>
      <c r="E10274" s="1" t="str">
        <f>HYPERLINK("http://www.ncbi.nlm.nih.gov/gene/?term=LRP10","NCBI")</f>
        <v>NCBI</v>
      </c>
      <c r="F10274">
        <v>0.23</v>
      </c>
      <c r="G10274">
        <v>0.38</v>
      </c>
      <c r="H10274" s="1" t="str">
        <f>HYPERLINK("http://www.weizmann.ac.il/complex/compphys/software/geview/data/figures/201412_at.png","Figure")</f>
        <v>Figure</v>
      </c>
      <c r="I10274">
        <v>0.86299999999999999</v>
      </c>
      <c r="J10274">
        <v>0.56000000000000005</v>
      </c>
      <c r="K10274">
        <v>1.0900000000000001</v>
      </c>
      <c r="L10274">
        <v>0.75</v>
      </c>
      <c r="M10274">
        <v>1.27</v>
      </c>
      <c r="N10274">
        <v>0.21</v>
      </c>
    </row>
    <row r="10275" spans="1:14" x14ac:dyDescent="0.25">
      <c r="A10275" t="s">
        <v>17933</v>
      </c>
      <c r="B10275" t="s">
        <v>17934</v>
      </c>
      <c r="C10275" s="1" t="str">
        <f>HYPERLINK("http://www.genecards.org/cgi-bin/carddisp.pl?gene=SEPP1","GeneCards")</f>
        <v>GeneCards</v>
      </c>
      <c r="D10275" s="1" t="str">
        <f>HYPERLINK("http://genome-euro.ucsc.edu/cgi-bin/hgTracks?position=201427_s_at","UCSC")</f>
        <v>UCSC</v>
      </c>
      <c r="E10275" s="1" t="str">
        <f>HYPERLINK("http://www.ncbi.nlm.nih.gov/gene/?term=SEPP1","NCBI")</f>
        <v>NCBI</v>
      </c>
      <c r="F10275">
        <v>0.23</v>
      </c>
      <c r="G10275">
        <v>0.38</v>
      </c>
      <c r="H10275" s="1" t="str">
        <f>HYPERLINK("http://www.weizmann.ac.il/complex/compphys/software/geview/data/figures/201427_s_at.png","Figure")</f>
        <v>Figure</v>
      </c>
      <c r="I10275">
        <v>0.89</v>
      </c>
      <c r="J10275">
        <v>0.3</v>
      </c>
      <c r="K10275">
        <v>1</v>
      </c>
      <c r="L10275">
        <v>1</v>
      </c>
      <c r="M10275">
        <v>1.1200000000000001</v>
      </c>
      <c r="N10275">
        <v>0.26</v>
      </c>
    </row>
    <row r="10276" spans="1:14" x14ac:dyDescent="0.25">
      <c r="A10276" t="s">
        <v>17935</v>
      </c>
      <c r="B10276" t="s">
        <v>5298</v>
      </c>
      <c r="C10276" s="1" t="str">
        <f>HYPERLINK("http://www.genecards.org/cgi-bin/carddisp.pl?gene=IDH3A","GeneCards")</f>
        <v>GeneCards</v>
      </c>
      <c r="D10276" s="1" t="str">
        <f>HYPERLINK("http://genome-euro.ucsc.edu/cgi-bin/hgTracks?position=202069_s_at","UCSC")</f>
        <v>UCSC</v>
      </c>
      <c r="E10276" s="1" t="str">
        <f>HYPERLINK("http://www.ncbi.nlm.nih.gov/gene/?term=IDH3A","NCBI")</f>
        <v>NCBI</v>
      </c>
      <c r="F10276">
        <v>0.23</v>
      </c>
      <c r="G10276">
        <v>0.38</v>
      </c>
      <c r="H10276" s="1" t="str">
        <f>HYPERLINK("http://www.weizmann.ac.il/complex/compphys/software/geview/data/figures/202069_s_at.png","Figure")</f>
        <v>Figure</v>
      </c>
      <c r="I10276">
        <v>0.92200000000000004</v>
      </c>
      <c r="J10276">
        <v>0.3</v>
      </c>
      <c r="K10276">
        <v>1</v>
      </c>
      <c r="L10276">
        <v>1</v>
      </c>
      <c r="M10276">
        <v>1.08</v>
      </c>
      <c r="N10276">
        <v>0.26</v>
      </c>
    </row>
    <row r="10277" spans="1:14" x14ac:dyDescent="0.25">
      <c r="A10277" t="s">
        <v>17936</v>
      </c>
      <c r="B10277" t="s">
        <v>6781</v>
      </c>
      <c r="C10277" s="1" t="str">
        <f>HYPERLINK("http://www.genecards.org/cgi-bin/carddisp.pl?gene=SENP6","GeneCards")</f>
        <v>GeneCards</v>
      </c>
      <c r="D10277" s="1" t="str">
        <f>HYPERLINK("http://genome-euro.ucsc.edu/cgi-bin/hgTracks?position=202319_at","UCSC")</f>
        <v>UCSC</v>
      </c>
      <c r="E10277" s="1" t="str">
        <f>HYPERLINK("http://www.ncbi.nlm.nih.gov/gene/?term=SENP6","NCBI")</f>
        <v>NCBI</v>
      </c>
      <c r="F10277">
        <v>0.23</v>
      </c>
      <c r="G10277">
        <v>0.38</v>
      </c>
      <c r="H10277" s="1" t="str">
        <f>HYPERLINK("http://www.weizmann.ac.il/complex/compphys/software/geview/data/figures/202319_at.png","Figure")</f>
        <v>Figure</v>
      </c>
      <c r="I10277">
        <v>0.877</v>
      </c>
      <c r="J10277">
        <v>0.3</v>
      </c>
      <c r="K10277">
        <v>1</v>
      </c>
      <c r="L10277">
        <v>1</v>
      </c>
      <c r="M10277">
        <v>1.1399999999999999</v>
      </c>
      <c r="N10277">
        <v>0.26</v>
      </c>
    </row>
    <row r="10278" spans="1:14" x14ac:dyDescent="0.25">
      <c r="A10278" t="s">
        <v>17937</v>
      </c>
      <c r="B10278" t="s">
        <v>4757</v>
      </c>
      <c r="C10278" s="1" t="str">
        <f>HYPERLINK("http://www.genecards.org/cgi-bin/carddisp.pl?gene=TRIM2","GeneCards")</f>
        <v>GeneCards</v>
      </c>
      <c r="D10278" s="1" t="str">
        <f>HYPERLINK("http://genome-euro.ucsc.edu/cgi-bin/hgTracks?position=202342_s_at","UCSC")</f>
        <v>UCSC</v>
      </c>
      <c r="E10278" s="1" t="str">
        <f>HYPERLINK("http://www.ncbi.nlm.nih.gov/gene/?term=TRIM2","NCBI")</f>
        <v>NCBI</v>
      </c>
      <c r="F10278">
        <v>0.23</v>
      </c>
      <c r="G10278">
        <v>0.38</v>
      </c>
      <c r="H10278" s="1" t="str">
        <f>HYPERLINK("http://www.weizmann.ac.il/complex/compphys/software/geview/data/figures/202342_s_at.png","Figure")</f>
        <v>Figure</v>
      </c>
      <c r="I10278">
        <v>0.96399999999999997</v>
      </c>
      <c r="J10278">
        <v>0.3</v>
      </c>
      <c r="K10278">
        <v>1</v>
      </c>
      <c r="L10278">
        <v>1</v>
      </c>
      <c r="M10278">
        <v>1.04</v>
      </c>
      <c r="N10278">
        <v>0.26</v>
      </c>
    </row>
    <row r="10279" spans="1:14" x14ac:dyDescent="0.25">
      <c r="A10279" t="s">
        <v>17938</v>
      </c>
      <c r="B10279" t="s">
        <v>17939</v>
      </c>
      <c r="C10279" s="1" t="str">
        <f>HYPERLINK("http://www.genecards.org/cgi-bin/carddisp.pl?gene=TOR1A","GeneCards")</f>
        <v>GeneCards</v>
      </c>
      <c r="D10279" s="1" t="str">
        <f>HYPERLINK("http://genome-euro.ucsc.edu/cgi-bin/hgTracks?position=202349_at","UCSC")</f>
        <v>UCSC</v>
      </c>
      <c r="E10279" s="1" t="str">
        <f>HYPERLINK("http://www.ncbi.nlm.nih.gov/gene/?term=TOR1A","NCBI")</f>
        <v>NCBI</v>
      </c>
      <c r="F10279">
        <v>0.23</v>
      </c>
      <c r="G10279">
        <v>0.38</v>
      </c>
      <c r="H10279" s="1" t="str">
        <f>HYPERLINK("http://www.weizmann.ac.il/complex/compphys/software/geview/data/figures/202349_at.png","Figure")</f>
        <v>Figure</v>
      </c>
      <c r="I10279">
        <v>1.05</v>
      </c>
      <c r="J10279">
        <v>0.94</v>
      </c>
      <c r="K10279">
        <v>1.25</v>
      </c>
      <c r="L10279">
        <v>0.24</v>
      </c>
      <c r="M10279">
        <v>1.19</v>
      </c>
      <c r="N10279">
        <v>0.45</v>
      </c>
    </row>
    <row r="10280" spans="1:14" x14ac:dyDescent="0.25">
      <c r="A10280" t="s">
        <v>17940</v>
      </c>
      <c r="B10280" t="s">
        <v>17941</v>
      </c>
      <c r="C10280" s="1" t="str">
        <f>HYPERLINK("http://www.genecards.org/cgi-bin/carddisp.pl?gene=TYMS","GeneCards")</f>
        <v>GeneCards</v>
      </c>
      <c r="D10280" s="1" t="str">
        <f>HYPERLINK("http://genome-euro.ucsc.edu/cgi-bin/hgTracks?position=202589_at","UCSC")</f>
        <v>UCSC</v>
      </c>
      <c r="E10280" s="1" t="str">
        <f>HYPERLINK("http://www.ncbi.nlm.nih.gov/gene/?term=TYMS","NCBI")</f>
        <v>NCBI</v>
      </c>
      <c r="F10280">
        <v>0.23</v>
      </c>
      <c r="G10280">
        <v>0.38</v>
      </c>
      <c r="H10280" s="1" t="str">
        <f>HYPERLINK("http://www.weizmann.ac.il/complex/compphys/software/geview/data/figures/202589_at.png","Figure")</f>
        <v>Figure</v>
      </c>
      <c r="I10280">
        <v>0.76300000000000001</v>
      </c>
      <c r="J10280">
        <v>0.51</v>
      </c>
      <c r="K10280">
        <v>1.1399999999999999</v>
      </c>
      <c r="L10280">
        <v>0.8</v>
      </c>
      <c r="M10280">
        <v>1.5</v>
      </c>
      <c r="N10280">
        <v>0.21</v>
      </c>
    </row>
    <row r="10281" spans="1:14" x14ac:dyDescent="0.25">
      <c r="A10281" t="s">
        <v>17942</v>
      </c>
      <c r="B10281" t="s">
        <v>17943</v>
      </c>
      <c r="C10281" s="1" t="str">
        <f>HYPERLINK("http://www.genecards.org/cgi-bin/carddisp.pl?gene=INPP5K","GeneCards")</f>
        <v>GeneCards</v>
      </c>
      <c r="D10281" s="1" t="str">
        <f>HYPERLINK("http://genome-euro.ucsc.edu/cgi-bin/hgTracks?position=202782_s_at","UCSC")</f>
        <v>UCSC</v>
      </c>
      <c r="E10281" s="1" t="str">
        <f>HYPERLINK("http://www.ncbi.nlm.nih.gov/gene/?term=INPP5K","NCBI")</f>
        <v>NCBI</v>
      </c>
      <c r="F10281">
        <v>0.23</v>
      </c>
      <c r="G10281">
        <v>0.38</v>
      </c>
      <c r="H10281" s="1" t="str">
        <f>HYPERLINK("http://www.weizmann.ac.il/complex/compphys/software/geview/data/figures/202782_s_at.png","Figure")</f>
        <v>Figure</v>
      </c>
      <c r="I10281">
        <v>1.37</v>
      </c>
      <c r="J10281">
        <v>0.22</v>
      </c>
      <c r="K10281">
        <v>1.08</v>
      </c>
      <c r="L10281">
        <v>0.87</v>
      </c>
      <c r="M10281">
        <v>0.78900000000000003</v>
      </c>
      <c r="N10281">
        <v>0.37</v>
      </c>
    </row>
    <row r="10282" spans="1:14" x14ac:dyDescent="0.25">
      <c r="A10282" t="s">
        <v>17944</v>
      </c>
      <c r="B10282" t="s">
        <v>17945</v>
      </c>
      <c r="C10282" s="1" t="str">
        <f>HYPERLINK("http://www.genecards.org/cgi-bin/carddisp.pl?gene=CTSS","GeneCards")</f>
        <v>GeneCards</v>
      </c>
      <c r="D10282" s="1" t="str">
        <f>HYPERLINK("http://genome-euro.ucsc.edu/cgi-bin/hgTracks?position=202901_x_at","UCSC")</f>
        <v>UCSC</v>
      </c>
      <c r="E10282" s="1" t="str">
        <f>HYPERLINK("http://www.ncbi.nlm.nih.gov/gene/?term=CTSS","NCBI")</f>
        <v>NCBI</v>
      </c>
      <c r="F10282">
        <v>0.23</v>
      </c>
      <c r="G10282">
        <v>0.38</v>
      </c>
      <c r="H10282" s="1" t="str">
        <f>HYPERLINK("http://www.weizmann.ac.il/complex/compphys/software/geview/data/figures/202901_x_at.png","Figure")</f>
        <v>Figure</v>
      </c>
      <c r="I10282">
        <v>0.96099999999999997</v>
      </c>
      <c r="J10282">
        <v>0.3</v>
      </c>
      <c r="K10282">
        <v>1</v>
      </c>
      <c r="L10282">
        <v>1</v>
      </c>
      <c r="M10282">
        <v>1.04</v>
      </c>
      <c r="N10282">
        <v>0.26</v>
      </c>
    </row>
    <row r="10283" spans="1:14" x14ac:dyDescent="0.25">
      <c r="A10283" t="s">
        <v>17946</v>
      </c>
      <c r="B10283" t="s">
        <v>15637</v>
      </c>
      <c r="C10283" s="1" t="str">
        <f>HYPERLINK("http://www.genecards.org/cgi-bin/carddisp.pl?gene=TIMM44","GeneCards")</f>
        <v>GeneCards</v>
      </c>
      <c r="D10283" s="1" t="str">
        <f>HYPERLINK("http://genome-euro.ucsc.edu/cgi-bin/hgTracks?position=203093_s_at","UCSC")</f>
        <v>UCSC</v>
      </c>
      <c r="E10283" s="1" t="str">
        <f>HYPERLINK("http://www.ncbi.nlm.nih.gov/gene/?term=TIMM44","NCBI")</f>
        <v>NCBI</v>
      </c>
      <c r="F10283">
        <v>0.23</v>
      </c>
      <c r="G10283">
        <v>0.38</v>
      </c>
      <c r="H10283" s="1" t="str">
        <f>HYPERLINK("http://www.weizmann.ac.il/complex/compphys/software/geview/data/figures/203093_s_at.png","Figure")</f>
        <v>Figure</v>
      </c>
      <c r="I10283">
        <v>1.1299999999999999</v>
      </c>
      <c r="J10283">
        <v>0.24</v>
      </c>
      <c r="K10283">
        <v>1.02</v>
      </c>
      <c r="L10283">
        <v>0.93</v>
      </c>
      <c r="M10283">
        <v>0.90600000000000003</v>
      </c>
      <c r="N10283">
        <v>0.33</v>
      </c>
    </row>
    <row r="10284" spans="1:14" x14ac:dyDescent="0.25">
      <c r="A10284" t="s">
        <v>17947</v>
      </c>
      <c r="B10284" t="s">
        <v>17948</v>
      </c>
      <c r="C10284" s="1" t="str">
        <f>HYPERLINK("http://www.genecards.org/cgi-bin/carddisp.pl?gene=FECH","GeneCards")</f>
        <v>GeneCards</v>
      </c>
      <c r="D10284" s="1" t="str">
        <f>HYPERLINK("http://genome-euro.ucsc.edu/cgi-bin/hgTracks?position=203115_at","UCSC")</f>
        <v>UCSC</v>
      </c>
      <c r="E10284" s="1" t="str">
        <f>HYPERLINK("http://www.ncbi.nlm.nih.gov/gene/?term=FECH","NCBI")</f>
        <v>NCBI</v>
      </c>
      <c r="F10284">
        <v>0.23</v>
      </c>
      <c r="G10284">
        <v>0.38</v>
      </c>
      <c r="H10284" s="1" t="str">
        <f>HYPERLINK("http://www.weizmann.ac.il/complex/compphys/software/geview/data/figures/203115_at.png","Figure")</f>
        <v>Figure</v>
      </c>
      <c r="I10284">
        <v>0.99</v>
      </c>
      <c r="J10284">
        <v>0.3</v>
      </c>
      <c r="K10284">
        <v>1</v>
      </c>
      <c r="L10284">
        <v>1</v>
      </c>
      <c r="M10284">
        <v>1.01</v>
      </c>
      <c r="N10284">
        <v>0.26</v>
      </c>
    </row>
    <row r="10285" spans="1:14" x14ac:dyDescent="0.25">
      <c r="A10285" t="s">
        <v>17949</v>
      </c>
      <c r="B10285" t="s">
        <v>17950</v>
      </c>
      <c r="C10285" s="1" t="str">
        <f>HYPERLINK("http://www.genecards.org/cgi-bin/carddisp.pl?gene=ATXN1","GeneCards")</f>
        <v>GeneCards</v>
      </c>
      <c r="D10285" s="1" t="str">
        <f>HYPERLINK("http://genome-euro.ucsc.edu/cgi-bin/hgTracks?position=203231_s_at","UCSC")</f>
        <v>UCSC</v>
      </c>
      <c r="E10285" s="1" t="str">
        <f>HYPERLINK("http://www.ncbi.nlm.nih.gov/gene/?term=ATXN1","NCBI")</f>
        <v>NCBI</v>
      </c>
      <c r="F10285">
        <v>0.23</v>
      </c>
      <c r="G10285">
        <v>0.38</v>
      </c>
      <c r="H10285" s="1" t="str">
        <f>HYPERLINK("http://www.weizmann.ac.il/complex/compphys/software/geview/data/figures/203231_s_at.png","Figure")</f>
        <v>Figure</v>
      </c>
      <c r="I10285">
        <v>0.94299999999999995</v>
      </c>
      <c r="J10285">
        <v>0.3</v>
      </c>
      <c r="K10285">
        <v>1</v>
      </c>
      <c r="L10285">
        <v>1</v>
      </c>
      <c r="M10285">
        <v>1.06</v>
      </c>
      <c r="N10285">
        <v>0.26</v>
      </c>
    </row>
    <row r="10286" spans="1:14" x14ac:dyDescent="0.25">
      <c r="A10286" t="s">
        <v>17951</v>
      </c>
      <c r="B10286" t="s">
        <v>17950</v>
      </c>
      <c r="C10286" s="1" t="str">
        <f>HYPERLINK("http://www.genecards.org/cgi-bin/carddisp.pl?gene=ATXN1","GeneCards")</f>
        <v>GeneCards</v>
      </c>
      <c r="D10286" s="1" t="str">
        <f>HYPERLINK("http://genome-euro.ucsc.edu/cgi-bin/hgTracks?position=203232_s_at","UCSC")</f>
        <v>UCSC</v>
      </c>
      <c r="E10286" s="1" t="str">
        <f>HYPERLINK("http://www.ncbi.nlm.nih.gov/gene/?term=ATXN1","NCBI")</f>
        <v>NCBI</v>
      </c>
      <c r="F10286">
        <v>0.23</v>
      </c>
      <c r="G10286">
        <v>0.38</v>
      </c>
      <c r="H10286" s="1" t="str">
        <f>HYPERLINK("http://www.weizmann.ac.il/complex/compphys/software/geview/data/figures/203232_s_at.png","Figure")</f>
        <v>Figure</v>
      </c>
      <c r="I10286">
        <v>0.80200000000000005</v>
      </c>
      <c r="J10286">
        <v>0.3</v>
      </c>
      <c r="K10286">
        <v>1</v>
      </c>
      <c r="L10286">
        <v>1</v>
      </c>
      <c r="M10286">
        <v>1.25</v>
      </c>
      <c r="N10286">
        <v>0.26</v>
      </c>
    </row>
    <row r="10287" spans="1:14" x14ac:dyDescent="0.25">
      <c r="A10287" t="s">
        <v>17952</v>
      </c>
      <c r="B10287" t="s">
        <v>17953</v>
      </c>
      <c r="C10287" s="1" t="str">
        <f>HYPERLINK("http://www.genecards.org/cgi-bin/carddisp.pl?gene=CNOT3","GeneCards")</f>
        <v>GeneCards</v>
      </c>
      <c r="D10287" s="1" t="str">
        <f>HYPERLINK("http://genome-euro.ucsc.edu/cgi-bin/hgTracks?position=203239_s_at","UCSC")</f>
        <v>UCSC</v>
      </c>
      <c r="E10287" s="1" t="str">
        <f>HYPERLINK("http://www.ncbi.nlm.nih.gov/gene/?term=CNOT3","NCBI")</f>
        <v>NCBI</v>
      </c>
      <c r="F10287">
        <v>0.23</v>
      </c>
      <c r="G10287">
        <v>0.38</v>
      </c>
      <c r="H10287" s="1" t="str">
        <f>HYPERLINK("http://www.weizmann.ac.il/complex/compphys/software/geview/data/figures/203239_s_at.png","Figure")</f>
        <v>Figure</v>
      </c>
      <c r="I10287">
        <v>0.995</v>
      </c>
      <c r="J10287">
        <v>0.3</v>
      </c>
      <c r="K10287">
        <v>1</v>
      </c>
      <c r="L10287">
        <v>1</v>
      </c>
      <c r="M10287">
        <v>1.01</v>
      </c>
      <c r="N10287">
        <v>0.26</v>
      </c>
    </row>
    <row r="10288" spans="1:14" x14ac:dyDescent="0.25">
      <c r="A10288" t="s">
        <v>17954</v>
      </c>
      <c r="B10288" t="s">
        <v>2598</v>
      </c>
      <c r="C10288" s="1" t="str">
        <f>HYPERLINK("http://www.genecards.org/cgi-bin/carddisp.pl?gene=CEP57","GeneCards")</f>
        <v>GeneCards</v>
      </c>
      <c r="D10288" s="1" t="str">
        <f>HYPERLINK("http://genome-euro.ucsc.edu/cgi-bin/hgTracks?position=203491_s_at","UCSC")</f>
        <v>UCSC</v>
      </c>
      <c r="E10288" s="1" t="str">
        <f>HYPERLINK("http://www.ncbi.nlm.nih.gov/gene/?term=CEP57","NCBI")</f>
        <v>NCBI</v>
      </c>
      <c r="F10288">
        <v>0.23</v>
      </c>
      <c r="G10288">
        <v>0.38</v>
      </c>
      <c r="H10288" s="1" t="str">
        <f>HYPERLINK("http://www.weizmann.ac.il/complex/compphys/software/geview/data/figures/203491_s_at.png","Figure")</f>
        <v>Figure</v>
      </c>
      <c r="I10288">
        <v>0.63700000000000001</v>
      </c>
      <c r="J10288">
        <v>0.2</v>
      </c>
      <c r="K10288">
        <v>0.81499999999999995</v>
      </c>
      <c r="L10288">
        <v>0.62</v>
      </c>
      <c r="M10288">
        <v>1.28</v>
      </c>
      <c r="N10288">
        <v>0.55000000000000004</v>
      </c>
    </row>
    <row r="10289" spans="1:14" x14ac:dyDescent="0.25">
      <c r="A10289" t="s">
        <v>17955</v>
      </c>
      <c r="B10289" t="s">
        <v>17956</v>
      </c>
      <c r="C10289" s="1" t="str">
        <f>HYPERLINK("http://www.genecards.org/cgi-bin/carddisp.pl?gene=AGL","GeneCards")</f>
        <v>GeneCards</v>
      </c>
      <c r="D10289" s="1" t="str">
        <f>HYPERLINK("http://genome-euro.ucsc.edu/cgi-bin/hgTracks?position=203566_s_at","UCSC")</f>
        <v>UCSC</v>
      </c>
      <c r="E10289" s="1" t="str">
        <f>HYPERLINK("http://www.ncbi.nlm.nih.gov/gene/?term=AGL","NCBI")</f>
        <v>NCBI</v>
      </c>
      <c r="F10289">
        <v>0.23</v>
      </c>
      <c r="G10289">
        <v>0.38</v>
      </c>
      <c r="H10289" s="1" t="str">
        <f>HYPERLINK("http://www.weizmann.ac.il/complex/compphys/software/geview/data/figures/203566_s_at.png","Figure")</f>
        <v>Figure</v>
      </c>
      <c r="I10289">
        <v>0.99099999999999999</v>
      </c>
      <c r="J10289">
        <v>0.3</v>
      </c>
      <c r="K10289">
        <v>1</v>
      </c>
      <c r="L10289">
        <v>1</v>
      </c>
      <c r="M10289">
        <v>1.01</v>
      </c>
      <c r="N10289">
        <v>0.26</v>
      </c>
    </row>
    <row r="10290" spans="1:14" x14ac:dyDescent="0.25">
      <c r="A10290" t="s">
        <v>17957</v>
      </c>
      <c r="B10290" t="s">
        <v>17958</v>
      </c>
      <c r="C10290" s="1" t="str">
        <f>HYPERLINK("http://www.genecards.org/cgi-bin/carddisp.pl?gene=TRIM38","GeneCards")</f>
        <v>GeneCards</v>
      </c>
      <c r="D10290" s="1" t="str">
        <f>HYPERLINK("http://genome-euro.ucsc.edu/cgi-bin/hgTracks?position=203568_s_at","UCSC")</f>
        <v>UCSC</v>
      </c>
      <c r="E10290" s="1" t="str">
        <f>HYPERLINK("http://www.ncbi.nlm.nih.gov/gene/?term=TRIM38","NCBI")</f>
        <v>NCBI</v>
      </c>
      <c r="F10290">
        <v>0.23</v>
      </c>
      <c r="G10290">
        <v>0.38</v>
      </c>
      <c r="H10290" s="1" t="str">
        <f>HYPERLINK("http://www.weizmann.ac.il/complex/compphys/software/geview/data/figures/203568_s_at.png","Figure")</f>
        <v>Figure</v>
      </c>
      <c r="I10290">
        <v>0.60799999999999998</v>
      </c>
      <c r="J10290">
        <v>0.2</v>
      </c>
      <c r="K10290">
        <v>0.80900000000000005</v>
      </c>
      <c r="L10290">
        <v>0.66</v>
      </c>
      <c r="M10290">
        <v>1.33</v>
      </c>
      <c r="N10290">
        <v>0.52</v>
      </c>
    </row>
    <row r="10291" spans="1:14" x14ac:dyDescent="0.25">
      <c r="A10291" t="s">
        <v>17959</v>
      </c>
      <c r="B10291" t="s">
        <v>17960</v>
      </c>
      <c r="C10291" s="1" t="str">
        <f>HYPERLINK("http://www.genecards.org/cgi-bin/carddisp.pl?gene=TTC35","GeneCards")</f>
        <v>GeneCards</v>
      </c>
      <c r="D10291" s="1" t="str">
        <f>HYPERLINK("http://genome-euro.ucsc.edu/cgi-bin/hgTracks?position=203584_at","UCSC")</f>
        <v>UCSC</v>
      </c>
      <c r="E10291" s="1" t="str">
        <f>HYPERLINK("http://www.ncbi.nlm.nih.gov/gene/?term=TTC35","NCBI")</f>
        <v>NCBI</v>
      </c>
      <c r="F10291">
        <v>0.23</v>
      </c>
      <c r="G10291">
        <v>0.38</v>
      </c>
      <c r="H10291" s="1" t="str">
        <f>HYPERLINK("http://www.weizmann.ac.il/complex/compphys/software/geview/data/figures/203584_at.png","Figure")</f>
        <v>Figure</v>
      </c>
      <c r="I10291">
        <v>0.97799999999999998</v>
      </c>
      <c r="J10291">
        <v>0.3</v>
      </c>
      <c r="K10291">
        <v>1</v>
      </c>
      <c r="L10291">
        <v>1</v>
      </c>
      <c r="M10291">
        <v>1.02</v>
      </c>
      <c r="N10291">
        <v>0.26</v>
      </c>
    </row>
    <row r="10292" spans="1:14" x14ac:dyDescent="0.25">
      <c r="A10292" t="s">
        <v>17961</v>
      </c>
      <c r="B10292" t="s">
        <v>17962</v>
      </c>
      <c r="C10292" s="1" t="str">
        <f>HYPERLINK("http://www.genecards.org/cgi-bin/carddisp.pl?gene=CTSF","GeneCards")</f>
        <v>GeneCards</v>
      </c>
      <c r="D10292" s="1" t="str">
        <f>HYPERLINK("http://genome-euro.ucsc.edu/cgi-bin/hgTracks?position=203657_s_at","UCSC")</f>
        <v>UCSC</v>
      </c>
      <c r="E10292" s="1" t="str">
        <f>HYPERLINK("http://www.ncbi.nlm.nih.gov/gene/?term=CTSF","NCBI")</f>
        <v>NCBI</v>
      </c>
      <c r="F10292">
        <v>0.23</v>
      </c>
      <c r="G10292">
        <v>0.38</v>
      </c>
      <c r="H10292" s="1" t="str">
        <f>HYPERLINK("http://www.weizmann.ac.il/complex/compphys/software/geview/data/figures/203657_s_at.png","Figure")</f>
        <v>Figure</v>
      </c>
      <c r="I10292">
        <v>1.06</v>
      </c>
      <c r="J10292">
        <v>0.77</v>
      </c>
      <c r="K10292">
        <v>1.1299999999999999</v>
      </c>
      <c r="L10292">
        <v>0.21</v>
      </c>
      <c r="M10292">
        <v>1.07</v>
      </c>
      <c r="N10292">
        <v>0.63</v>
      </c>
    </row>
    <row r="10293" spans="1:14" x14ac:dyDescent="0.25">
      <c r="A10293" t="s">
        <v>17963</v>
      </c>
      <c r="B10293" t="s">
        <v>8668</v>
      </c>
      <c r="C10293" s="1" t="str">
        <f>HYPERLINK("http://www.genecards.org/cgi-bin/carddisp.pl?gene=HIBCH","GeneCards")</f>
        <v>GeneCards</v>
      </c>
      <c r="D10293" s="1" t="str">
        <f>HYPERLINK("http://genome-euro.ucsc.edu/cgi-bin/hgTracks?position=203711_s_at","UCSC")</f>
        <v>UCSC</v>
      </c>
      <c r="E10293" s="1" t="str">
        <f>HYPERLINK("http://www.ncbi.nlm.nih.gov/gene/?term=HIBCH","NCBI")</f>
        <v>NCBI</v>
      </c>
      <c r="F10293">
        <v>0.23</v>
      </c>
      <c r="G10293">
        <v>0.38</v>
      </c>
      <c r="H10293" s="1" t="str">
        <f>HYPERLINK("http://www.weizmann.ac.il/complex/compphys/software/geview/data/figures/203711_s_at.png","Figure")</f>
        <v>Figure</v>
      </c>
      <c r="I10293">
        <v>0.99</v>
      </c>
      <c r="J10293">
        <v>0.3</v>
      </c>
      <c r="K10293">
        <v>1</v>
      </c>
      <c r="L10293">
        <v>1</v>
      </c>
      <c r="M10293">
        <v>1.01</v>
      </c>
      <c r="N10293">
        <v>0.26</v>
      </c>
    </row>
    <row r="10294" spans="1:14" x14ac:dyDescent="0.25">
      <c r="A10294" t="s">
        <v>17964</v>
      </c>
      <c r="B10294" t="s">
        <v>12446</v>
      </c>
      <c r="C10294" s="1" t="str">
        <f>HYPERLINK("http://www.genecards.org/cgi-bin/carddisp.pl?gene=STS","GeneCards")</f>
        <v>GeneCards</v>
      </c>
      <c r="D10294" s="1" t="str">
        <f>HYPERLINK("http://genome-euro.ucsc.edu/cgi-bin/hgTracks?position=203767_s_at","UCSC")</f>
        <v>UCSC</v>
      </c>
      <c r="E10294" s="1" t="str">
        <f>HYPERLINK("http://www.ncbi.nlm.nih.gov/gene/?term=STS","NCBI")</f>
        <v>NCBI</v>
      </c>
      <c r="F10294">
        <v>0.23</v>
      </c>
      <c r="G10294">
        <v>0.38</v>
      </c>
      <c r="H10294" s="1" t="str">
        <f>HYPERLINK("http://www.weizmann.ac.il/complex/compphys/software/geview/data/figures/203767_s_at.png","Figure")</f>
        <v>Figure</v>
      </c>
      <c r="I10294">
        <v>0.84399999999999997</v>
      </c>
      <c r="J10294">
        <v>0.3</v>
      </c>
      <c r="K10294">
        <v>1</v>
      </c>
      <c r="L10294">
        <v>1</v>
      </c>
      <c r="M10294">
        <v>1.19</v>
      </c>
      <c r="N10294">
        <v>0.26</v>
      </c>
    </row>
    <row r="10295" spans="1:14" x14ac:dyDescent="0.25">
      <c r="A10295" t="s">
        <v>17965</v>
      </c>
      <c r="B10295" t="s">
        <v>17966</v>
      </c>
      <c r="C10295" s="1" t="str">
        <f>HYPERLINK("http://www.genecards.org/cgi-bin/carddisp.pl?gene=CD302","GeneCards")</f>
        <v>GeneCards</v>
      </c>
      <c r="D10295" s="1" t="str">
        <f>HYPERLINK("http://genome-euro.ucsc.edu/cgi-bin/hgTracks?position=203799_at","UCSC")</f>
        <v>UCSC</v>
      </c>
      <c r="E10295" s="1" t="str">
        <f>HYPERLINK("http://www.ncbi.nlm.nih.gov/gene/?term=CD302","NCBI")</f>
        <v>NCBI</v>
      </c>
      <c r="F10295">
        <v>0.23</v>
      </c>
      <c r="G10295">
        <v>0.38</v>
      </c>
      <c r="H10295" s="1" t="str">
        <f>HYPERLINK("http://www.weizmann.ac.il/complex/compphys/software/geview/data/figures/203799_at.png","Figure")</f>
        <v>Figure</v>
      </c>
      <c r="I10295">
        <v>0.95599999999999996</v>
      </c>
      <c r="J10295">
        <v>0.3</v>
      </c>
      <c r="K10295">
        <v>1</v>
      </c>
      <c r="L10295">
        <v>1</v>
      </c>
      <c r="M10295">
        <v>1.05</v>
      </c>
      <c r="N10295">
        <v>0.26</v>
      </c>
    </row>
    <row r="10296" spans="1:14" x14ac:dyDescent="0.25">
      <c r="A10296" t="s">
        <v>17967</v>
      </c>
      <c r="B10296" t="s">
        <v>17968</v>
      </c>
      <c r="C10296" s="1" t="str">
        <f>HYPERLINK("http://www.genecards.org/cgi-bin/carddisp.pl?gene=USP46","GeneCards")</f>
        <v>GeneCards</v>
      </c>
      <c r="D10296" s="1" t="str">
        <f>HYPERLINK("http://genome-euro.ucsc.edu/cgi-bin/hgTracks?position=203870_at","UCSC")</f>
        <v>UCSC</v>
      </c>
      <c r="E10296" s="1" t="str">
        <f>HYPERLINK("http://www.ncbi.nlm.nih.gov/gene/?term=USP46","NCBI")</f>
        <v>NCBI</v>
      </c>
      <c r="F10296">
        <v>0.23</v>
      </c>
      <c r="G10296">
        <v>0.38</v>
      </c>
      <c r="H10296" s="1" t="str">
        <f>HYPERLINK("http://www.weizmann.ac.il/complex/compphys/software/geview/data/figures/203870_at.png","Figure")</f>
        <v>Figure</v>
      </c>
      <c r="I10296">
        <v>0.95099999999999996</v>
      </c>
      <c r="J10296">
        <v>0.3</v>
      </c>
      <c r="K10296">
        <v>1</v>
      </c>
      <c r="L10296">
        <v>1</v>
      </c>
      <c r="M10296">
        <v>1.05</v>
      </c>
      <c r="N10296">
        <v>0.26</v>
      </c>
    </row>
    <row r="10297" spans="1:14" x14ac:dyDescent="0.25">
      <c r="A10297" t="s">
        <v>17969</v>
      </c>
      <c r="B10297" t="s">
        <v>17970</v>
      </c>
      <c r="C10297" s="1" t="str">
        <f>HYPERLINK("http://www.genecards.org/cgi-bin/carddisp.pl?gene=CXCL9","GeneCards")</f>
        <v>GeneCards</v>
      </c>
      <c r="D10297" s="1" t="str">
        <f>HYPERLINK("http://genome-euro.ucsc.edu/cgi-bin/hgTracks?position=203915_at","UCSC")</f>
        <v>UCSC</v>
      </c>
      <c r="E10297" s="1" t="str">
        <f>HYPERLINK("http://www.ncbi.nlm.nih.gov/gene/?term=CXCL9","NCBI")</f>
        <v>NCBI</v>
      </c>
      <c r="F10297">
        <v>0.23</v>
      </c>
      <c r="G10297">
        <v>0.38</v>
      </c>
      <c r="H10297" s="1" t="str">
        <f>HYPERLINK("http://www.weizmann.ac.il/complex/compphys/software/geview/data/figures/203915_at.png","Figure")</f>
        <v>Figure</v>
      </c>
      <c r="I10297">
        <v>1.07</v>
      </c>
      <c r="J10297">
        <v>0.65</v>
      </c>
      <c r="K10297">
        <v>0.94199999999999995</v>
      </c>
      <c r="L10297">
        <v>0.65</v>
      </c>
      <c r="M10297">
        <v>0.879</v>
      </c>
      <c r="N10297">
        <v>0.21</v>
      </c>
    </row>
    <row r="10298" spans="1:14" x14ac:dyDescent="0.25">
      <c r="A10298" t="s">
        <v>17971</v>
      </c>
      <c r="B10298" t="s">
        <v>17972</v>
      </c>
      <c r="C10298" s="1" t="str">
        <f>HYPERLINK("http://www.genecards.org/cgi-bin/carddisp.pl?gene=KIF3B","GeneCards")</f>
        <v>GeneCards</v>
      </c>
      <c r="D10298" s="1" t="str">
        <f>HYPERLINK("http://genome-euro.ucsc.edu/cgi-bin/hgTracks?position=203943_at","UCSC")</f>
        <v>UCSC</v>
      </c>
      <c r="E10298" s="1" t="str">
        <f>HYPERLINK("http://www.ncbi.nlm.nih.gov/gene/?term=KIF3B","NCBI")</f>
        <v>NCBI</v>
      </c>
      <c r="F10298">
        <v>0.23</v>
      </c>
      <c r="G10298">
        <v>0.38</v>
      </c>
      <c r="H10298" s="1" t="str">
        <f>HYPERLINK("http://www.weizmann.ac.il/complex/compphys/software/geview/data/figures/203943_at.png","Figure")</f>
        <v>Figure</v>
      </c>
      <c r="I10298">
        <v>0.996</v>
      </c>
      <c r="J10298">
        <v>1</v>
      </c>
      <c r="K10298">
        <v>0.83499999999999996</v>
      </c>
      <c r="L10298">
        <v>0.28999999999999998</v>
      </c>
      <c r="M10298">
        <v>0.83899999999999997</v>
      </c>
      <c r="N10298">
        <v>0.35</v>
      </c>
    </row>
    <row r="10299" spans="1:14" x14ac:dyDescent="0.25">
      <c r="A10299" t="s">
        <v>17973</v>
      </c>
      <c r="B10299" t="s">
        <v>17974</v>
      </c>
      <c r="C10299" s="1" t="str">
        <f>HYPERLINK("http://www.genecards.org/cgi-bin/carddisp.pl?gene=ARG2","GeneCards")</f>
        <v>GeneCards</v>
      </c>
      <c r="D10299" s="1" t="str">
        <f>HYPERLINK("http://genome-euro.ucsc.edu/cgi-bin/hgTracks?position=203945_at","UCSC")</f>
        <v>UCSC</v>
      </c>
      <c r="E10299" s="1" t="str">
        <f>HYPERLINK("http://www.ncbi.nlm.nih.gov/gene/?term=ARG2","NCBI")</f>
        <v>NCBI</v>
      </c>
      <c r="F10299">
        <v>0.23</v>
      </c>
      <c r="G10299">
        <v>0.38</v>
      </c>
      <c r="H10299" s="1" t="str">
        <f>HYPERLINK("http://www.weizmann.ac.il/complex/compphys/software/geview/data/figures/203945_at.png","Figure")</f>
        <v>Figure</v>
      </c>
      <c r="I10299">
        <v>0.92100000000000004</v>
      </c>
      <c r="J10299">
        <v>0.33</v>
      </c>
      <c r="K10299">
        <v>0.92300000000000004</v>
      </c>
      <c r="L10299">
        <v>0.26</v>
      </c>
      <c r="M10299">
        <v>1</v>
      </c>
      <c r="N10299">
        <v>1</v>
      </c>
    </row>
    <row r="10300" spans="1:14" x14ac:dyDescent="0.25">
      <c r="A10300" t="s">
        <v>17975</v>
      </c>
      <c r="B10300" t="s">
        <v>11208</v>
      </c>
      <c r="C10300" s="1" t="str">
        <f>HYPERLINK("http://www.genecards.org/cgi-bin/carddisp.pl?gene=KDM6A","GeneCards")</f>
        <v>GeneCards</v>
      </c>
      <c r="D10300" s="1" t="str">
        <f>HYPERLINK("http://genome-euro.ucsc.edu/cgi-bin/hgTracks?position=203991_s_at","UCSC")</f>
        <v>UCSC</v>
      </c>
      <c r="E10300" s="1" t="str">
        <f>HYPERLINK("http://www.ncbi.nlm.nih.gov/gene/?term=KDM6A","NCBI")</f>
        <v>NCBI</v>
      </c>
      <c r="F10300">
        <v>0.23</v>
      </c>
      <c r="G10300">
        <v>0.38</v>
      </c>
      <c r="H10300" s="1" t="str">
        <f>HYPERLINK("http://www.weizmann.ac.il/complex/compphys/software/geview/data/figures/203991_s_at.png","Figure")</f>
        <v>Figure</v>
      </c>
      <c r="I10300">
        <v>0.84199999999999997</v>
      </c>
      <c r="J10300">
        <v>0.3</v>
      </c>
      <c r="K10300">
        <v>1</v>
      </c>
      <c r="L10300">
        <v>1</v>
      </c>
      <c r="M10300">
        <v>1.19</v>
      </c>
      <c r="N10300">
        <v>0.26</v>
      </c>
    </row>
    <row r="10301" spans="1:14" x14ac:dyDescent="0.25">
      <c r="A10301" t="s">
        <v>17976</v>
      </c>
      <c r="B10301" t="s">
        <v>10815</v>
      </c>
      <c r="C10301" s="1" t="str">
        <f>HYPERLINK("http://www.genecards.org/cgi-bin/carddisp.pl?gene=CTAGE5","GeneCards")</f>
        <v>GeneCards</v>
      </c>
      <c r="D10301" s="1" t="str">
        <f>HYPERLINK("http://genome-euro.ucsc.edu/cgi-bin/hgTracks?position=204055_s_at","UCSC")</f>
        <v>UCSC</v>
      </c>
      <c r="E10301" s="1" t="str">
        <f>HYPERLINK("http://www.ncbi.nlm.nih.gov/gene/?term=CTAGE5","NCBI")</f>
        <v>NCBI</v>
      </c>
      <c r="F10301">
        <v>0.23</v>
      </c>
      <c r="G10301">
        <v>0.38</v>
      </c>
      <c r="H10301" s="1" t="str">
        <f>HYPERLINK("http://www.weizmann.ac.il/complex/compphys/software/geview/data/figures/204055_s_at.png","Figure")</f>
        <v>Figure</v>
      </c>
      <c r="I10301">
        <v>0.92200000000000004</v>
      </c>
      <c r="J10301">
        <v>0.3</v>
      </c>
      <c r="K10301">
        <v>1</v>
      </c>
      <c r="L10301">
        <v>1</v>
      </c>
      <c r="M10301">
        <v>1.08</v>
      </c>
      <c r="N10301">
        <v>0.26</v>
      </c>
    </row>
    <row r="10302" spans="1:14" x14ac:dyDescent="0.25">
      <c r="A10302" t="s">
        <v>17977</v>
      </c>
      <c r="B10302" t="s">
        <v>17978</v>
      </c>
      <c r="C10302" s="1" t="str">
        <f>HYPERLINK("http://www.genecards.org/cgi-bin/carddisp.pl?gene=RFC3","GeneCards")</f>
        <v>GeneCards</v>
      </c>
      <c r="D10302" s="1" t="str">
        <f>HYPERLINK("http://genome-euro.ucsc.edu/cgi-bin/hgTracks?position=204128_s_at","UCSC")</f>
        <v>UCSC</v>
      </c>
      <c r="E10302" s="1" t="str">
        <f>HYPERLINK("http://www.ncbi.nlm.nih.gov/gene/?term=RFC3","NCBI")</f>
        <v>NCBI</v>
      </c>
      <c r="F10302">
        <v>0.23</v>
      </c>
      <c r="G10302">
        <v>0.38</v>
      </c>
      <c r="H10302" s="1" t="str">
        <f>HYPERLINK("http://www.weizmann.ac.il/complex/compphys/software/geview/data/figures/204128_s_at.png","Figure")</f>
        <v>Figure</v>
      </c>
      <c r="I10302">
        <v>0.998</v>
      </c>
      <c r="J10302">
        <v>0.3</v>
      </c>
      <c r="K10302">
        <v>1</v>
      </c>
      <c r="L10302">
        <v>1</v>
      </c>
      <c r="M10302">
        <v>1</v>
      </c>
      <c r="N10302">
        <v>0.26</v>
      </c>
    </row>
    <row r="10303" spans="1:14" x14ac:dyDescent="0.25">
      <c r="A10303" t="s">
        <v>17979</v>
      </c>
      <c r="B10303" t="s">
        <v>17980</v>
      </c>
      <c r="C10303" s="1" t="str">
        <f>HYPERLINK("http://www.genecards.org/cgi-bin/carddisp.pl?gene=SBNO2","GeneCards")</f>
        <v>GeneCards</v>
      </c>
      <c r="D10303" s="1" t="str">
        <f>HYPERLINK("http://genome-euro.ucsc.edu/cgi-bin/hgTracks?position=204166_at","UCSC")</f>
        <v>UCSC</v>
      </c>
      <c r="E10303" s="1" t="str">
        <f>HYPERLINK("http://www.ncbi.nlm.nih.gov/gene/?term=SBNO2","NCBI")</f>
        <v>NCBI</v>
      </c>
      <c r="F10303">
        <v>0.23</v>
      </c>
      <c r="G10303">
        <v>0.38</v>
      </c>
      <c r="H10303" s="1" t="str">
        <f>HYPERLINK("http://www.weizmann.ac.il/complex/compphys/software/geview/data/figures/204166_at.png","Figure")</f>
        <v>Figure</v>
      </c>
      <c r="I10303">
        <v>1.19</v>
      </c>
      <c r="J10303">
        <v>0.22</v>
      </c>
      <c r="K10303">
        <v>1.1100000000000001</v>
      </c>
      <c r="L10303">
        <v>0.46</v>
      </c>
      <c r="M10303">
        <v>0.93200000000000005</v>
      </c>
      <c r="N10303">
        <v>0.73</v>
      </c>
    </row>
    <row r="10304" spans="1:14" x14ac:dyDescent="0.25">
      <c r="A10304" t="s">
        <v>17981</v>
      </c>
      <c r="B10304" t="s">
        <v>6567</v>
      </c>
      <c r="C10304" s="1" t="str">
        <f>HYPERLINK("http://www.genecards.org/cgi-bin/carddisp.pl?gene=SLC17A7","GeneCards")</f>
        <v>GeneCards</v>
      </c>
      <c r="D10304" s="1" t="str">
        <f>HYPERLINK("http://genome-euro.ucsc.edu/cgi-bin/hgTracks?position=204230_s_at","UCSC")</f>
        <v>UCSC</v>
      </c>
      <c r="E10304" s="1" t="str">
        <f>HYPERLINK("http://www.ncbi.nlm.nih.gov/gene/?term=SLC17A7","NCBI")</f>
        <v>NCBI</v>
      </c>
      <c r="F10304">
        <v>0.23</v>
      </c>
      <c r="G10304">
        <v>0.38</v>
      </c>
      <c r="H10304" s="1" t="str">
        <f>HYPERLINK("http://www.weizmann.ac.il/complex/compphys/software/geview/data/figures/204230_s_at.png","Figure")</f>
        <v>Figure</v>
      </c>
      <c r="I10304">
        <v>0.92900000000000005</v>
      </c>
      <c r="J10304">
        <v>0.68</v>
      </c>
      <c r="K10304">
        <v>0.873</v>
      </c>
      <c r="L10304">
        <v>0.21</v>
      </c>
      <c r="M10304">
        <v>0.93899999999999995</v>
      </c>
      <c r="N10304">
        <v>0.72</v>
      </c>
    </row>
    <row r="10305" spans="1:14" x14ac:dyDescent="0.25">
      <c r="A10305" t="s">
        <v>17982</v>
      </c>
      <c r="B10305" t="s">
        <v>17983</v>
      </c>
      <c r="C10305" s="1" t="str">
        <f>HYPERLINK("http://www.genecards.org/cgi-bin/carddisp.pl?gene=S100A2","GeneCards")</f>
        <v>GeneCards</v>
      </c>
      <c r="D10305" s="1" t="str">
        <f>HYPERLINK("http://genome-euro.ucsc.edu/cgi-bin/hgTracks?position=204268_at","UCSC")</f>
        <v>UCSC</v>
      </c>
      <c r="E10305" s="1" t="str">
        <f>HYPERLINK("http://www.ncbi.nlm.nih.gov/gene/?term=S100A2","NCBI")</f>
        <v>NCBI</v>
      </c>
      <c r="F10305">
        <v>0.23</v>
      </c>
      <c r="G10305">
        <v>0.38</v>
      </c>
      <c r="H10305" s="1" t="str">
        <f>HYPERLINK("http://www.weizmann.ac.il/complex/compphys/software/geview/data/figures/204268_at.png","Figure")</f>
        <v>Figure</v>
      </c>
      <c r="I10305">
        <v>0.995</v>
      </c>
      <c r="J10305">
        <v>0.3</v>
      </c>
      <c r="K10305">
        <v>1</v>
      </c>
      <c r="L10305">
        <v>1</v>
      </c>
      <c r="M10305">
        <v>1.01</v>
      </c>
      <c r="N10305">
        <v>0.26</v>
      </c>
    </row>
    <row r="10306" spans="1:14" x14ac:dyDescent="0.25">
      <c r="A10306" t="s">
        <v>17984</v>
      </c>
      <c r="B10306" t="s">
        <v>4374</v>
      </c>
      <c r="C10306" s="1" t="str">
        <f>HYPERLINK("http://www.genecards.org/cgi-bin/carddisp.pl?gene=AGA","GeneCards")</f>
        <v>GeneCards</v>
      </c>
      <c r="D10306" s="1" t="str">
        <f>HYPERLINK("http://genome-euro.ucsc.edu/cgi-bin/hgTracks?position=204333_s_at","UCSC")</f>
        <v>UCSC</v>
      </c>
      <c r="E10306" s="1" t="str">
        <f>HYPERLINK("http://www.ncbi.nlm.nih.gov/gene/?term=AGA","NCBI")</f>
        <v>NCBI</v>
      </c>
      <c r="F10306">
        <v>0.23</v>
      </c>
      <c r="G10306">
        <v>0.38</v>
      </c>
      <c r="H10306" s="1" t="str">
        <f>HYPERLINK("http://www.weizmann.ac.il/complex/compphys/software/geview/data/figures/204333_s_at.png","Figure")</f>
        <v>Figure</v>
      </c>
      <c r="I10306">
        <v>0.76200000000000001</v>
      </c>
      <c r="J10306">
        <v>0.3</v>
      </c>
      <c r="K10306">
        <v>1</v>
      </c>
      <c r="L10306">
        <v>1</v>
      </c>
      <c r="M10306">
        <v>1.31</v>
      </c>
      <c r="N10306">
        <v>0.26</v>
      </c>
    </row>
    <row r="10307" spans="1:14" x14ac:dyDescent="0.25">
      <c r="A10307" t="s">
        <v>17985</v>
      </c>
      <c r="B10307" t="s">
        <v>17986</v>
      </c>
      <c r="C10307" s="1" t="str">
        <f>HYPERLINK("http://www.genecards.org/cgi-bin/carddisp.pl?gene=ICK","GeneCards")</f>
        <v>GeneCards</v>
      </c>
      <c r="D10307" s="1" t="str">
        <f>HYPERLINK("http://genome-euro.ucsc.edu/cgi-bin/hgTracks?position=204569_at","UCSC")</f>
        <v>UCSC</v>
      </c>
      <c r="E10307" s="1" t="str">
        <f>HYPERLINK("http://www.ncbi.nlm.nih.gov/gene/?term=ICK","NCBI")</f>
        <v>NCBI</v>
      </c>
      <c r="F10307">
        <v>0.23</v>
      </c>
      <c r="G10307">
        <v>0.38</v>
      </c>
      <c r="H10307" s="1" t="str">
        <f>HYPERLINK("http://www.weizmann.ac.il/complex/compphys/software/geview/data/figures/204569_at.png","Figure")</f>
        <v>Figure</v>
      </c>
      <c r="I10307">
        <v>0.96599999999999997</v>
      </c>
      <c r="J10307">
        <v>0.3</v>
      </c>
      <c r="K10307">
        <v>1</v>
      </c>
      <c r="L10307">
        <v>1</v>
      </c>
      <c r="M10307">
        <v>1.04</v>
      </c>
      <c r="N10307">
        <v>0.26</v>
      </c>
    </row>
    <row r="10308" spans="1:14" x14ac:dyDescent="0.25">
      <c r="A10308" t="s">
        <v>17987</v>
      </c>
      <c r="B10308" t="s">
        <v>17988</v>
      </c>
      <c r="C10308" s="1" t="str">
        <f>HYPERLINK("http://www.genecards.org/cgi-bin/carddisp.pl?gene=UCHL3","GeneCards")</f>
        <v>GeneCards</v>
      </c>
      <c r="D10308" s="1" t="str">
        <f>HYPERLINK("http://genome-euro.ucsc.edu/cgi-bin/hgTracks?position=204616_at","UCSC")</f>
        <v>UCSC</v>
      </c>
      <c r="E10308" s="1" t="str">
        <f>HYPERLINK("http://www.ncbi.nlm.nih.gov/gene/?term=UCHL3","NCBI")</f>
        <v>NCBI</v>
      </c>
      <c r="F10308">
        <v>0.23</v>
      </c>
      <c r="G10308">
        <v>0.38</v>
      </c>
      <c r="H10308" s="1" t="str">
        <f>HYPERLINK("http://www.weizmann.ac.il/complex/compphys/software/geview/data/figures/204616_at.png","Figure")</f>
        <v>Figure</v>
      </c>
      <c r="I10308">
        <v>0.90900000000000003</v>
      </c>
      <c r="J10308">
        <v>0.89</v>
      </c>
      <c r="K10308">
        <v>1.26</v>
      </c>
      <c r="L10308">
        <v>0.43</v>
      </c>
      <c r="M10308">
        <v>1.39</v>
      </c>
      <c r="N10308">
        <v>0.25</v>
      </c>
    </row>
    <row r="10309" spans="1:14" x14ac:dyDescent="0.25">
      <c r="A10309" t="s">
        <v>17989</v>
      </c>
      <c r="B10309" t="s">
        <v>17990</v>
      </c>
      <c r="C10309" s="1" t="str">
        <f>HYPERLINK("http://www.genecards.org/cgi-bin/carddisp.pl?gene=ANKRD6","GeneCards")</f>
        <v>GeneCards</v>
      </c>
      <c r="D10309" s="1" t="str">
        <f>HYPERLINK("http://genome-euro.ucsc.edu/cgi-bin/hgTracks?position=204671_s_at","UCSC")</f>
        <v>UCSC</v>
      </c>
      <c r="E10309" s="1" t="str">
        <f>HYPERLINK("http://www.ncbi.nlm.nih.gov/gene/?term=ANKRD6","NCBI")</f>
        <v>NCBI</v>
      </c>
      <c r="F10309">
        <v>0.23</v>
      </c>
      <c r="G10309">
        <v>0.38</v>
      </c>
      <c r="H10309" s="1" t="str">
        <f>HYPERLINK("http://www.weizmann.ac.il/complex/compphys/software/geview/data/figures/204671_s_at.png","Figure")</f>
        <v>Figure</v>
      </c>
      <c r="I10309">
        <v>0.96799999999999997</v>
      </c>
      <c r="J10309">
        <v>0.3</v>
      </c>
      <c r="K10309">
        <v>1</v>
      </c>
      <c r="L10309">
        <v>1</v>
      </c>
      <c r="M10309">
        <v>1.03</v>
      </c>
      <c r="N10309">
        <v>0.26</v>
      </c>
    </row>
    <row r="10310" spans="1:14" x14ac:dyDescent="0.25">
      <c r="A10310" t="s">
        <v>17991</v>
      </c>
      <c r="B10310" t="s">
        <v>17992</v>
      </c>
      <c r="C10310" s="1" t="str">
        <f>HYPERLINK("http://www.genecards.org/cgi-bin/carddisp.pl?gene=MLF1","GeneCards")</f>
        <v>GeneCards</v>
      </c>
      <c r="D10310" s="1" t="str">
        <f>HYPERLINK("http://genome-euro.ucsc.edu/cgi-bin/hgTracks?position=204783_at","UCSC")</f>
        <v>UCSC</v>
      </c>
      <c r="E10310" s="1" t="str">
        <f>HYPERLINK("http://www.ncbi.nlm.nih.gov/gene/?term=MLF1","NCBI")</f>
        <v>NCBI</v>
      </c>
      <c r="F10310">
        <v>0.23</v>
      </c>
      <c r="G10310">
        <v>0.38</v>
      </c>
      <c r="H10310" s="1" t="str">
        <f>HYPERLINK("http://www.weizmann.ac.il/complex/compphys/software/geview/data/figures/204783_at.png","Figure")</f>
        <v>Figure</v>
      </c>
      <c r="I10310">
        <v>0.88600000000000001</v>
      </c>
      <c r="J10310">
        <v>0.3</v>
      </c>
      <c r="K10310">
        <v>1</v>
      </c>
      <c r="L10310">
        <v>1</v>
      </c>
      <c r="M10310">
        <v>1.1299999999999999</v>
      </c>
      <c r="N10310">
        <v>0.26</v>
      </c>
    </row>
    <row r="10311" spans="1:14" x14ac:dyDescent="0.25">
      <c r="A10311" t="s">
        <v>17993</v>
      </c>
      <c r="B10311" t="s">
        <v>17992</v>
      </c>
      <c r="C10311" s="1" t="str">
        <f>HYPERLINK("http://www.genecards.org/cgi-bin/carddisp.pl?gene=MLF1","GeneCards")</f>
        <v>GeneCards</v>
      </c>
      <c r="D10311" s="1" t="str">
        <f>HYPERLINK("http://genome-euro.ucsc.edu/cgi-bin/hgTracks?position=204784_s_at","UCSC")</f>
        <v>UCSC</v>
      </c>
      <c r="E10311" s="1" t="str">
        <f>HYPERLINK("http://www.ncbi.nlm.nih.gov/gene/?term=MLF1","NCBI")</f>
        <v>NCBI</v>
      </c>
      <c r="F10311">
        <v>0.23</v>
      </c>
      <c r="G10311">
        <v>0.38</v>
      </c>
      <c r="H10311" s="1" t="str">
        <f>HYPERLINK("http://www.weizmann.ac.il/complex/compphys/software/geview/data/figures/204784_s_at.png","Figure")</f>
        <v>Figure</v>
      </c>
      <c r="I10311">
        <v>0.84499999999999997</v>
      </c>
      <c r="J10311">
        <v>0.3</v>
      </c>
      <c r="K10311">
        <v>1</v>
      </c>
      <c r="L10311">
        <v>1</v>
      </c>
      <c r="M10311">
        <v>1.18</v>
      </c>
      <c r="N10311">
        <v>0.26</v>
      </c>
    </row>
    <row r="10312" spans="1:14" x14ac:dyDescent="0.25">
      <c r="A10312" t="s">
        <v>17994</v>
      </c>
      <c r="B10312" t="s">
        <v>17995</v>
      </c>
      <c r="C10312" s="1" t="str">
        <f>HYPERLINK("http://www.genecards.org/cgi-bin/carddisp.pl?gene=POP5","GeneCards")</f>
        <v>GeneCards</v>
      </c>
      <c r="D10312" s="1" t="str">
        <f>HYPERLINK("http://genome-euro.ucsc.edu/cgi-bin/hgTracks?position=204839_at","UCSC")</f>
        <v>UCSC</v>
      </c>
      <c r="E10312" s="1" t="str">
        <f>HYPERLINK("http://www.ncbi.nlm.nih.gov/gene/?term=POP5","NCBI")</f>
        <v>NCBI</v>
      </c>
      <c r="F10312">
        <v>0.23</v>
      </c>
      <c r="G10312">
        <v>0.38</v>
      </c>
      <c r="H10312" s="1" t="str">
        <f>HYPERLINK("http://www.weizmann.ac.il/complex/compphys/software/geview/data/figures/204839_at.png","Figure")</f>
        <v>Figure</v>
      </c>
      <c r="I10312">
        <v>0.85699999999999998</v>
      </c>
      <c r="J10312">
        <v>0.86</v>
      </c>
      <c r="K10312">
        <v>1.37</v>
      </c>
      <c r="L10312">
        <v>0.46</v>
      </c>
      <c r="M10312">
        <v>1.6</v>
      </c>
      <c r="N10312">
        <v>0.24</v>
      </c>
    </row>
    <row r="10313" spans="1:14" x14ac:dyDescent="0.25">
      <c r="A10313" t="s">
        <v>17996</v>
      </c>
      <c r="B10313" t="s">
        <v>17997</v>
      </c>
      <c r="C10313" s="1" t="str">
        <f>HYPERLINK("http://www.genecards.org/cgi-bin/carddisp.pl?gene=GCHFR","GeneCards")</f>
        <v>GeneCards</v>
      </c>
      <c r="D10313" s="1" t="str">
        <f>HYPERLINK("http://genome-euro.ucsc.edu/cgi-bin/hgTracks?position=204867_at","UCSC")</f>
        <v>UCSC</v>
      </c>
      <c r="E10313" s="1" t="str">
        <f>HYPERLINK("http://www.ncbi.nlm.nih.gov/gene/?term=GCHFR","NCBI")</f>
        <v>NCBI</v>
      </c>
      <c r="F10313">
        <v>0.23</v>
      </c>
      <c r="G10313">
        <v>0.38</v>
      </c>
      <c r="H10313" s="1" t="str">
        <f>HYPERLINK("http://www.weizmann.ac.il/complex/compphys/software/geview/data/figures/204867_at.png","Figure")</f>
        <v>Figure</v>
      </c>
      <c r="I10313">
        <v>1.08</v>
      </c>
      <c r="J10313">
        <v>0.8</v>
      </c>
      <c r="K10313">
        <v>1.2</v>
      </c>
      <c r="L10313">
        <v>0.21</v>
      </c>
      <c r="M10313">
        <v>1.1200000000000001</v>
      </c>
      <c r="N10313">
        <v>0.6</v>
      </c>
    </row>
    <row r="10314" spans="1:14" x14ac:dyDescent="0.25">
      <c r="A10314" t="s">
        <v>17998</v>
      </c>
      <c r="B10314" t="s">
        <v>7004</v>
      </c>
      <c r="C10314" s="1" t="str">
        <f>HYPERLINK("http://www.genecards.org/cgi-bin/carddisp.pl?gene=TOP3A","GeneCards")</f>
        <v>GeneCards</v>
      </c>
      <c r="D10314" s="1" t="str">
        <f>HYPERLINK("http://genome-euro.ucsc.edu/cgi-bin/hgTracks?position=204946_s_at","UCSC")</f>
        <v>UCSC</v>
      </c>
      <c r="E10314" s="1" t="str">
        <f>HYPERLINK("http://www.ncbi.nlm.nih.gov/gene/?term=TOP3A","NCBI")</f>
        <v>NCBI</v>
      </c>
      <c r="F10314">
        <v>0.23</v>
      </c>
      <c r="G10314">
        <v>0.38</v>
      </c>
      <c r="H10314" s="1" t="str">
        <f>HYPERLINK("http://www.weizmann.ac.il/complex/compphys/software/geview/data/figures/204946_s_at.png","Figure")</f>
        <v>Figure</v>
      </c>
      <c r="I10314">
        <v>1.1100000000000001</v>
      </c>
      <c r="J10314">
        <v>0.35</v>
      </c>
      <c r="K10314">
        <v>1.1200000000000001</v>
      </c>
      <c r="L10314">
        <v>0.25</v>
      </c>
      <c r="M10314">
        <v>1</v>
      </c>
      <c r="N10314">
        <v>1</v>
      </c>
    </row>
    <row r="10315" spans="1:14" x14ac:dyDescent="0.25">
      <c r="A10315" t="s">
        <v>17999</v>
      </c>
      <c r="B10315" t="s">
        <v>18000</v>
      </c>
      <c r="C10315" s="1" t="str">
        <f>HYPERLINK("http://www.genecards.org/cgi-bin/carddisp.pl?gene=SNAP91","GeneCards")</f>
        <v>GeneCards</v>
      </c>
      <c r="D10315" s="1" t="str">
        <f>HYPERLINK("http://genome-euro.ucsc.edu/cgi-bin/hgTracks?position=204953_at","UCSC")</f>
        <v>UCSC</v>
      </c>
      <c r="E10315" s="1" t="str">
        <f>HYPERLINK("http://www.ncbi.nlm.nih.gov/gene/?term=SNAP91","NCBI")</f>
        <v>NCBI</v>
      </c>
      <c r="F10315">
        <v>0.23</v>
      </c>
      <c r="G10315">
        <v>0.38</v>
      </c>
      <c r="H10315" s="1" t="str">
        <f>HYPERLINK("http://www.weizmann.ac.il/complex/compphys/software/geview/data/figures/204953_at.png","Figure")</f>
        <v>Figure</v>
      </c>
      <c r="I10315">
        <v>0.94</v>
      </c>
      <c r="J10315">
        <v>0.3</v>
      </c>
      <c r="K10315">
        <v>1</v>
      </c>
      <c r="L10315">
        <v>1</v>
      </c>
      <c r="M10315">
        <v>1.06</v>
      </c>
      <c r="N10315">
        <v>0.26</v>
      </c>
    </row>
    <row r="10316" spans="1:14" x14ac:dyDescent="0.25">
      <c r="A10316" t="s">
        <v>18001</v>
      </c>
      <c r="B10316" t="s">
        <v>18002</v>
      </c>
      <c r="C10316" s="1" t="str">
        <f>HYPERLINK("http://www.genecards.org/cgi-bin/carddisp.pl?gene=XRCC4","GeneCards")</f>
        <v>GeneCards</v>
      </c>
      <c r="D10316" s="1" t="str">
        <f>HYPERLINK("http://genome-euro.ucsc.edu/cgi-bin/hgTracks?position=205071_x_at","UCSC")</f>
        <v>UCSC</v>
      </c>
      <c r="E10316" s="1" t="str">
        <f>HYPERLINK("http://www.ncbi.nlm.nih.gov/gene/?term=XRCC4","NCBI")</f>
        <v>NCBI</v>
      </c>
      <c r="F10316">
        <v>0.23</v>
      </c>
      <c r="G10316">
        <v>0.38</v>
      </c>
      <c r="H10316" s="1" t="str">
        <f>HYPERLINK("http://www.weizmann.ac.il/complex/compphys/software/geview/data/figures/205071_x_at.png","Figure")</f>
        <v>Figure</v>
      </c>
      <c r="I10316">
        <v>0.99</v>
      </c>
      <c r="J10316">
        <v>0.3</v>
      </c>
      <c r="K10316">
        <v>1</v>
      </c>
      <c r="L10316">
        <v>1</v>
      </c>
      <c r="M10316">
        <v>1.01</v>
      </c>
      <c r="N10316">
        <v>0.26</v>
      </c>
    </row>
    <row r="10317" spans="1:14" x14ac:dyDescent="0.25">
      <c r="A10317" t="s">
        <v>18003</v>
      </c>
      <c r="B10317" t="s">
        <v>9191</v>
      </c>
      <c r="C10317" s="1" t="str">
        <f>HYPERLINK("http://www.genecards.org/cgi-bin/carddisp.pl?gene=PIGF","GeneCards")</f>
        <v>GeneCards</v>
      </c>
      <c r="D10317" s="1" t="str">
        <f>HYPERLINK("http://genome-euro.ucsc.edu/cgi-bin/hgTracks?position=205078_at","UCSC")</f>
        <v>UCSC</v>
      </c>
      <c r="E10317" s="1" t="str">
        <f>HYPERLINK("http://www.ncbi.nlm.nih.gov/gene/?term=PIGF","NCBI")</f>
        <v>NCBI</v>
      </c>
      <c r="F10317">
        <v>0.23</v>
      </c>
      <c r="G10317">
        <v>0.38</v>
      </c>
      <c r="H10317" s="1" t="str">
        <f>HYPERLINK("http://www.weizmann.ac.il/complex/compphys/software/geview/data/figures/205078_at.png","Figure")</f>
        <v>Figure</v>
      </c>
      <c r="I10317">
        <v>0.93799999999999994</v>
      </c>
      <c r="J10317">
        <v>0.3</v>
      </c>
      <c r="K10317">
        <v>1</v>
      </c>
      <c r="L10317">
        <v>1</v>
      </c>
      <c r="M10317">
        <v>1.07</v>
      </c>
      <c r="N10317">
        <v>0.26</v>
      </c>
    </row>
    <row r="10318" spans="1:14" x14ac:dyDescent="0.25">
      <c r="A10318" t="s">
        <v>18004</v>
      </c>
      <c r="B10318" t="s">
        <v>18005</v>
      </c>
      <c r="C10318" s="1" t="str">
        <f>HYPERLINK("http://www.genecards.org/cgi-bin/carddisp.pl?gene=MTCP1","GeneCards")</f>
        <v>GeneCards</v>
      </c>
      <c r="D10318" s="1" t="str">
        <f>HYPERLINK("http://genome-euro.ucsc.edu/cgi-bin/hgTracks?position=205106_at","UCSC")</f>
        <v>UCSC</v>
      </c>
      <c r="E10318" s="1" t="str">
        <f>HYPERLINK("http://www.ncbi.nlm.nih.gov/gene/?term=MTCP1","NCBI")</f>
        <v>NCBI</v>
      </c>
      <c r="F10318">
        <v>0.23</v>
      </c>
      <c r="G10318">
        <v>0.38</v>
      </c>
      <c r="H10318" s="1" t="str">
        <f>HYPERLINK("http://www.weizmann.ac.il/complex/compphys/software/geview/data/figures/205106_at.png","Figure")</f>
        <v>Figure</v>
      </c>
      <c r="I10318">
        <v>0.99099999999999999</v>
      </c>
      <c r="J10318">
        <v>0.3</v>
      </c>
      <c r="K10318">
        <v>1</v>
      </c>
      <c r="L10318">
        <v>1</v>
      </c>
      <c r="M10318">
        <v>1.01</v>
      </c>
      <c r="N10318">
        <v>0.26</v>
      </c>
    </row>
    <row r="10319" spans="1:14" x14ac:dyDescent="0.25">
      <c r="A10319" t="s">
        <v>18006</v>
      </c>
      <c r="B10319" t="s">
        <v>18007</v>
      </c>
      <c r="C10319" s="1" t="str">
        <f>HYPERLINK("http://www.genecards.org/cgi-bin/carddisp.pl?gene=FGF13","GeneCards")</f>
        <v>GeneCards</v>
      </c>
      <c r="D10319" s="1" t="str">
        <f>HYPERLINK("http://genome-euro.ucsc.edu/cgi-bin/hgTracks?position=205110_s_at","UCSC")</f>
        <v>UCSC</v>
      </c>
      <c r="E10319" s="1" t="str">
        <f>HYPERLINK("http://www.ncbi.nlm.nih.gov/gene/?term=FGF13","NCBI")</f>
        <v>NCBI</v>
      </c>
      <c r="F10319">
        <v>0.23</v>
      </c>
      <c r="G10319">
        <v>0.38</v>
      </c>
      <c r="H10319" s="1" t="str">
        <f>HYPERLINK("http://www.weizmann.ac.il/complex/compphys/software/geview/data/figures/205110_s_at.png","Figure")</f>
        <v>Figure</v>
      </c>
      <c r="I10319">
        <v>0.78100000000000003</v>
      </c>
      <c r="J10319">
        <v>0.3</v>
      </c>
      <c r="K10319">
        <v>1</v>
      </c>
      <c r="L10319">
        <v>1</v>
      </c>
      <c r="M10319">
        <v>1.28</v>
      </c>
      <c r="N10319">
        <v>0.26</v>
      </c>
    </row>
    <row r="10320" spans="1:14" x14ac:dyDescent="0.25">
      <c r="A10320" t="s">
        <v>18008</v>
      </c>
      <c r="B10320" t="s">
        <v>18009</v>
      </c>
      <c r="C10320" s="1" t="str">
        <f>HYPERLINK("http://www.genecards.org/cgi-bin/carddisp.pl?gene=ABCD1","GeneCards")</f>
        <v>GeneCards</v>
      </c>
      <c r="D10320" s="1" t="str">
        <f>HYPERLINK("http://genome-euro.ucsc.edu/cgi-bin/hgTracks?position=205142_x_at","UCSC")</f>
        <v>UCSC</v>
      </c>
      <c r="E10320" s="1" t="str">
        <f>HYPERLINK("http://www.ncbi.nlm.nih.gov/gene/?term=ABCD1","NCBI")</f>
        <v>NCBI</v>
      </c>
      <c r="F10320">
        <v>0.23</v>
      </c>
      <c r="G10320">
        <v>0.38</v>
      </c>
      <c r="H10320" s="1" t="str">
        <f>HYPERLINK("http://www.weizmann.ac.il/complex/compphys/software/geview/data/figures/205142_x_at.png","Figure")</f>
        <v>Figure</v>
      </c>
      <c r="I10320">
        <v>1.01</v>
      </c>
      <c r="J10320">
        <v>1</v>
      </c>
      <c r="K10320">
        <v>1.22</v>
      </c>
      <c r="L10320">
        <v>0.28000000000000003</v>
      </c>
      <c r="M10320">
        <v>1.21</v>
      </c>
      <c r="N10320">
        <v>0.36</v>
      </c>
    </row>
    <row r="10321" spans="1:14" x14ac:dyDescent="0.25">
      <c r="A10321" t="s">
        <v>18010</v>
      </c>
      <c r="B10321" t="s">
        <v>18011</v>
      </c>
      <c r="C10321" s="1" t="str">
        <f>HYPERLINK("http://www.genecards.org/cgi-bin/carddisp.pl?gene=CDC25C","GeneCards")</f>
        <v>GeneCards</v>
      </c>
      <c r="D10321" s="1" t="str">
        <f>HYPERLINK("http://genome-euro.ucsc.edu/cgi-bin/hgTracks?position=205167_s_at","UCSC")</f>
        <v>UCSC</v>
      </c>
      <c r="E10321" s="1" t="str">
        <f>HYPERLINK("http://www.ncbi.nlm.nih.gov/gene/?term=CDC25C","NCBI")</f>
        <v>NCBI</v>
      </c>
      <c r="F10321">
        <v>0.23</v>
      </c>
      <c r="G10321">
        <v>0.38</v>
      </c>
      <c r="H10321" s="1" t="str">
        <f>HYPERLINK("http://www.weizmann.ac.il/complex/compphys/software/geview/data/figures/205167_s_at.png","Figure")</f>
        <v>Figure</v>
      </c>
      <c r="I10321">
        <v>0.99099999999999999</v>
      </c>
      <c r="J10321">
        <v>0.3</v>
      </c>
      <c r="K10321">
        <v>1</v>
      </c>
      <c r="L10321">
        <v>1</v>
      </c>
      <c r="M10321">
        <v>1.01</v>
      </c>
      <c r="N10321">
        <v>0.26</v>
      </c>
    </row>
    <row r="10322" spans="1:14" x14ac:dyDescent="0.25">
      <c r="A10322" t="s">
        <v>18012</v>
      </c>
      <c r="B10322" t="s">
        <v>18013</v>
      </c>
      <c r="C10322" s="1" t="str">
        <f>HYPERLINK("http://www.genecards.org/cgi-bin/carddisp.pl?gene=ATP7A","GeneCards")</f>
        <v>GeneCards</v>
      </c>
      <c r="D10322" s="1" t="str">
        <f>HYPERLINK("http://genome-euro.ucsc.edu/cgi-bin/hgTracks?position=205198_s_at","UCSC")</f>
        <v>UCSC</v>
      </c>
      <c r="E10322" s="1" t="str">
        <f>HYPERLINK("http://www.ncbi.nlm.nih.gov/gene/?term=ATP7A","NCBI")</f>
        <v>NCBI</v>
      </c>
      <c r="F10322">
        <v>0.23</v>
      </c>
      <c r="G10322">
        <v>0.38</v>
      </c>
      <c r="H10322" s="1" t="str">
        <f>HYPERLINK("http://www.weizmann.ac.il/complex/compphys/software/geview/data/figures/205198_s_at.png","Figure")</f>
        <v>Figure</v>
      </c>
      <c r="I10322">
        <v>0.998</v>
      </c>
      <c r="J10322">
        <v>0.3</v>
      </c>
      <c r="K10322">
        <v>1</v>
      </c>
      <c r="L10322">
        <v>1</v>
      </c>
      <c r="M10322">
        <v>1</v>
      </c>
      <c r="N10322">
        <v>0.26</v>
      </c>
    </row>
    <row r="10323" spans="1:14" x14ac:dyDescent="0.25">
      <c r="A10323" t="s">
        <v>18014</v>
      </c>
      <c r="B10323" t="s">
        <v>18015</v>
      </c>
      <c r="C10323" s="1" t="str">
        <f>HYPERLINK("http://www.genecards.org/cgi-bin/carddisp.pl?gene=RBL1","GeneCards")</f>
        <v>GeneCards</v>
      </c>
      <c r="D10323" s="1" t="str">
        <f>HYPERLINK("http://genome-euro.ucsc.edu/cgi-bin/hgTracks?position=205296_at","UCSC")</f>
        <v>UCSC</v>
      </c>
      <c r="E10323" s="1" t="str">
        <f>HYPERLINK("http://www.ncbi.nlm.nih.gov/gene/?term=RBL1","NCBI")</f>
        <v>NCBI</v>
      </c>
      <c r="F10323">
        <v>0.23</v>
      </c>
      <c r="G10323">
        <v>0.38</v>
      </c>
      <c r="H10323" s="1" t="str">
        <f>HYPERLINK("http://www.weizmann.ac.il/complex/compphys/software/geview/data/figures/205296_at.png","Figure")</f>
        <v>Figure</v>
      </c>
      <c r="I10323">
        <v>0.998</v>
      </c>
      <c r="J10323">
        <v>0.3</v>
      </c>
      <c r="K10323">
        <v>1</v>
      </c>
      <c r="L10323">
        <v>1</v>
      </c>
      <c r="M10323">
        <v>1</v>
      </c>
      <c r="N10323">
        <v>0.26</v>
      </c>
    </row>
    <row r="10324" spans="1:14" x14ac:dyDescent="0.25">
      <c r="A10324" t="s">
        <v>18016</v>
      </c>
      <c r="B10324" t="s">
        <v>9855</v>
      </c>
      <c r="C10324" s="1" t="str">
        <f>HYPERLINK("http://www.genecards.org/cgi-bin/carddisp.pl?gene=PEX7","GeneCards")</f>
        <v>GeneCards</v>
      </c>
      <c r="D10324" s="1" t="str">
        <f>HYPERLINK("http://genome-euro.ucsc.edu/cgi-bin/hgTracks?position=205420_at","UCSC")</f>
        <v>UCSC</v>
      </c>
      <c r="E10324" s="1" t="str">
        <f>HYPERLINK("http://www.ncbi.nlm.nih.gov/gene/?term=PEX7","NCBI")</f>
        <v>NCBI</v>
      </c>
      <c r="F10324">
        <v>0.23</v>
      </c>
      <c r="G10324">
        <v>0.38</v>
      </c>
      <c r="H10324" s="1" t="str">
        <f>HYPERLINK("http://www.weizmann.ac.il/complex/compphys/software/geview/data/figures/205420_at.png","Figure")</f>
        <v>Figure</v>
      </c>
      <c r="I10324">
        <v>0.95099999999999996</v>
      </c>
      <c r="J10324">
        <v>0.3</v>
      </c>
      <c r="K10324">
        <v>1</v>
      </c>
      <c r="L10324">
        <v>1</v>
      </c>
      <c r="M10324">
        <v>1.05</v>
      </c>
      <c r="N10324">
        <v>0.26</v>
      </c>
    </row>
    <row r="10325" spans="1:14" x14ac:dyDescent="0.25">
      <c r="A10325" t="s">
        <v>18017</v>
      </c>
      <c r="B10325" t="s">
        <v>18018</v>
      </c>
      <c r="C10325" s="1" t="str">
        <f>HYPERLINK("http://www.genecards.org/cgi-bin/carddisp.pl?gene=HPCA","GeneCards")</f>
        <v>GeneCards</v>
      </c>
      <c r="D10325" s="1" t="str">
        <f>HYPERLINK("http://genome-euro.ucsc.edu/cgi-bin/hgTracks?position=205454_at","UCSC")</f>
        <v>UCSC</v>
      </c>
      <c r="E10325" s="1" t="str">
        <f>HYPERLINK("http://www.ncbi.nlm.nih.gov/gene/?term=HPCA","NCBI")</f>
        <v>NCBI</v>
      </c>
      <c r="F10325">
        <v>0.23</v>
      </c>
      <c r="G10325">
        <v>0.38</v>
      </c>
      <c r="H10325" s="1" t="str">
        <f>HYPERLINK("http://www.weizmann.ac.il/complex/compphys/software/geview/data/figures/205454_at.png","Figure")</f>
        <v>Figure</v>
      </c>
      <c r="I10325">
        <v>1.08</v>
      </c>
      <c r="J10325">
        <v>0.22</v>
      </c>
      <c r="K10325">
        <v>1.02</v>
      </c>
      <c r="L10325">
        <v>0.82</v>
      </c>
      <c r="M10325">
        <v>0.94899999999999995</v>
      </c>
      <c r="N10325">
        <v>0.4</v>
      </c>
    </row>
    <row r="10326" spans="1:14" x14ac:dyDescent="0.25">
      <c r="A10326" t="s">
        <v>18019</v>
      </c>
      <c r="B10326" t="s">
        <v>18020</v>
      </c>
      <c r="C10326" s="1" t="str">
        <f>HYPERLINK("http://www.genecards.org/cgi-bin/carddisp.pl?gene=HPCAL1","GeneCards")</f>
        <v>GeneCards</v>
      </c>
      <c r="D10326" s="1" t="str">
        <f>HYPERLINK("http://genome-euro.ucsc.edu/cgi-bin/hgTracks?position=205462_s_at","UCSC")</f>
        <v>UCSC</v>
      </c>
      <c r="E10326" s="1" t="str">
        <f>HYPERLINK("http://www.ncbi.nlm.nih.gov/gene/?term=HPCAL1","NCBI")</f>
        <v>NCBI</v>
      </c>
      <c r="F10326">
        <v>0.23</v>
      </c>
      <c r="G10326">
        <v>0.38</v>
      </c>
      <c r="H10326" s="1" t="str">
        <f>HYPERLINK("http://www.weizmann.ac.il/complex/compphys/software/geview/data/figures/205462_s_at.png","Figure")</f>
        <v>Figure</v>
      </c>
      <c r="I10326">
        <v>0.98299999999999998</v>
      </c>
      <c r="J10326">
        <v>0.3</v>
      </c>
      <c r="K10326">
        <v>1</v>
      </c>
      <c r="L10326">
        <v>1</v>
      </c>
      <c r="M10326">
        <v>1.02</v>
      </c>
      <c r="N10326">
        <v>0.26</v>
      </c>
    </row>
    <row r="10327" spans="1:14" x14ac:dyDescent="0.25">
      <c r="A10327" t="s">
        <v>18021</v>
      </c>
      <c r="B10327" t="s">
        <v>18022</v>
      </c>
      <c r="C10327" s="1" t="str">
        <f>HYPERLINK("http://www.genecards.org/cgi-bin/carddisp.pl?gene=DACH1","GeneCards")</f>
        <v>GeneCards</v>
      </c>
      <c r="D10327" s="1" t="str">
        <f>HYPERLINK("http://genome-euro.ucsc.edu/cgi-bin/hgTracks?position=205472_s_at","UCSC")</f>
        <v>UCSC</v>
      </c>
      <c r="E10327" s="1" t="str">
        <f>HYPERLINK("http://www.ncbi.nlm.nih.gov/gene/?term=DACH1","NCBI")</f>
        <v>NCBI</v>
      </c>
      <c r="F10327">
        <v>0.23</v>
      </c>
      <c r="G10327">
        <v>0.38</v>
      </c>
      <c r="H10327" s="1" t="str">
        <f>HYPERLINK("http://www.weizmann.ac.il/complex/compphys/software/geview/data/figures/205472_s_at.png","Figure")</f>
        <v>Figure</v>
      </c>
      <c r="I10327">
        <v>0.99099999999999999</v>
      </c>
      <c r="J10327">
        <v>0.3</v>
      </c>
      <c r="K10327">
        <v>1</v>
      </c>
      <c r="L10327">
        <v>1</v>
      </c>
      <c r="M10327">
        <v>1.01</v>
      </c>
      <c r="N10327">
        <v>0.26</v>
      </c>
    </row>
    <row r="10328" spans="1:14" x14ac:dyDescent="0.25">
      <c r="A10328" t="s">
        <v>18023</v>
      </c>
      <c r="B10328" t="s">
        <v>18024</v>
      </c>
      <c r="C10328" s="1" t="str">
        <f>HYPERLINK("http://www.genecards.org/cgi-bin/carddisp.pl?gene=TTLL1","GeneCards")</f>
        <v>GeneCards</v>
      </c>
      <c r="D10328" s="1" t="str">
        <f>HYPERLINK("http://genome-euro.ucsc.edu/cgi-bin/hgTracks?position=205652_s_at","UCSC")</f>
        <v>UCSC</v>
      </c>
      <c r="E10328" s="1" t="str">
        <f>HYPERLINK("http://www.ncbi.nlm.nih.gov/gene/?term=TTLL1","NCBI")</f>
        <v>NCBI</v>
      </c>
      <c r="F10328">
        <v>0.23</v>
      </c>
      <c r="G10328">
        <v>0.38</v>
      </c>
      <c r="H10328" s="1" t="str">
        <f>HYPERLINK("http://www.weizmann.ac.il/complex/compphys/software/geview/data/figures/205652_s_at.png","Figure")</f>
        <v>Figure</v>
      </c>
      <c r="I10328">
        <v>0.97399999999999998</v>
      </c>
      <c r="J10328">
        <v>0.3</v>
      </c>
      <c r="K10328">
        <v>1</v>
      </c>
      <c r="L10328">
        <v>1</v>
      </c>
      <c r="M10328">
        <v>1.03</v>
      </c>
      <c r="N10328">
        <v>0.26</v>
      </c>
    </row>
    <row r="10329" spans="1:14" x14ac:dyDescent="0.25">
      <c r="A10329" t="s">
        <v>18025</v>
      </c>
      <c r="B10329" t="s">
        <v>18026</v>
      </c>
      <c r="C10329" s="1" t="str">
        <f>HYPERLINK("http://www.genecards.org/cgi-bin/carddisp.pl?gene=ACAN","GeneCards")</f>
        <v>GeneCards</v>
      </c>
      <c r="D10329" s="1" t="str">
        <f>HYPERLINK("http://genome-euro.ucsc.edu/cgi-bin/hgTracks?position=205679_x_at","UCSC")</f>
        <v>UCSC</v>
      </c>
      <c r="E10329" s="1" t="str">
        <f>HYPERLINK("http://www.ncbi.nlm.nih.gov/gene/?term=ACAN","NCBI")</f>
        <v>NCBI</v>
      </c>
      <c r="F10329">
        <v>0.23</v>
      </c>
      <c r="G10329">
        <v>0.38</v>
      </c>
      <c r="H10329" s="1" t="str">
        <f>HYPERLINK("http://www.weizmann.ac.il/complex/compphys/software/geview/data/figures/205679_x_at.png","Figure")</f>
        <v>Figure</v>
      </c>
      <c r="I10329">
        <v>1.23</v>
      </c>
      <c r="J10329">
        <v>0.21</v>
      </c>
      <c r="K10329">
        <v>1.0900000000000001</v>
      </c>
      <c r="L10329">
        <v>0.68</v>
      </c>
      <c r="M10329">
        <v>0.88600000000000001</v>
      </c>
      <c r="N10329">
        <v>0.51</v>
      </c>
    </row>
    <row r="10330" spans="1:14" x14ac:dyDescent="0.25">
      <c r="A10330" t="s">
        <v>18027</v>
      </c>
      <c r="B10330" t="s">
        <v>17464</v>
      </c>
      <c r="C10330" s="1" t="str">
        <f>HYPERLINK("http://www.genecards.org/cgi-bin/carddisp.pl?gene=ANKRD26","GeneCards")</f>
        <v>GeneCards</v>
      </c>
      <c r="D10330" s="1" t="str">
        <f>HYPERLINK("http://genome-euro.ucsc.edu/cgi-bin/hgTracks?position=205706_s_at","UCSC")</f>
        <v>UCSC</v>
      </c>
      <c r="E10330" s="1" t="str">
        <f>HYPERLINK("http://www.ncbi.nlm.nih.gov/gene/?term=ANKRD26","NCBI")</f>
        <v>NCBI</v>
      </c>
      <c r="F10330">
        <v>0.23</v>
      </c>
      <c r="G10330">
        <v>0.38</v>
      </c>
      <c r="H10330" s="1" t="str">
        <f>HYPERLINK("http://www.weizmann.ac.il/complex/compphys/software/geview/data/figures/205706_s_at.png","Figure")</f>
        <v>Figure</v>
      </c>
      <c r="I10330">
        <v>0.97299999999999998</v>
      </c>
      <c r="J10330">
        <v>0.3</v>
      </c>
      <c r="K10330">
        <v>1</v>
      </c>
      <c r="L10330">
        <v>1</v>
      </c>
      <c r="M10330">
        <v>1.03</v>
      </c>
      <c r="N10330">
        <v>0.26</v>
      </c>
    </row>
    <row r="10331" spans="1:14" x14ac:dyDescent="0.25">
      <c r="A10331" t="s">
        <v>18028</v>
      </c>
      <c r="B10331" t="s">
        <v>10151</v>
      </c>
      <c r="C10331" s="1" t="str">
        <f>HYPERLINK("http://www.genecards.org/cgi-bin/carddisp.pl?gene=JAK2","GeneCards")</f>
        <v>GeneCards</v>
      </c>
      <c r="D10331" s="1" t="str">
        <f>HYPERLINK("http://genome-euro.ucsc.edu/cgi-bin/hgTracks?position=205841_at","UCSC")</f>
        <v>UCSC</v>
      </c>
      <c r="E10331" s="1" t="str">
        <f>HYPERLINK("http://www.ncbi.nlm.nih.gov/gene/?term=JAK2","NCBI")</f>
        <v>NCBI</v>
      </c>
      <c r="F10331">
        <v>0.23</v>
      </c>
      <c r="G10331">
        <v>0.38</v>
      </c>
      <c r="H10331" s="1" t="str">
        <f>HYPERLINK("http://www.weizmann.ac.il/complex/compphys/software/geview/data/figures/205841_at.png","Figure")</f>
        <v>Figure</v>
      </c>
      <c r="I10331">
        <v>0.97399999999999998</v>
      </c>
      <c r="J10331">
        <v>0.3</v>
      </c>
      <c r="K10331">
        <v>1</v>
      </c>
      <c r="L10331">
        <v>1</v>
      </c>
      <c r="M10331">
        <v>1.03</v>
      </c>
      <c r="N10331">
        <v>0.26</v>
      </c>
    </row>
    <row r="10332" spans="1:14" x14ac:dyDescent="0.25">
      <c r="A10332" t="s">
        <v>18029</v>
      </c>
      <c r="B10332" t="s">
        <v>18030</v>
      </c>
      <c r="C10332" s="1" t="str">
        <f>HYPERLINK("http://www.genecards.org/cgi-bin/carddisp.pl?gene=VNN1","GeneCards")</f>
        <v>GeneCards</v>
      </c>
      <c r="D10332" s="1" t="str">
        <f>HYPERLINK("http://genome-euro.ucsc.edu/cgi-bin/hgTracks?position=205844_at","UCSC")</f>
        <v>UCSC</v>
      </c>
      <c r="E10332" s="1" t="str">
        <f>HYPERLINK("http://www.ncbi.nlm.nih.gov/gene/?term=VNN1","NCBI")</f>
        <v>NCBI</v>
      </c>
      <c r="F10332">
        <v>0.23</v>
      </c>
      <c r="G10332">
        <v>0.38</v>
      </c>
      <c r="H10332" s="1" t="str">
        <f>HYPERLINK("http://www.weizmann.ac.il/complex/compphys/software/geview/data/figures/205844_at.png","Figure")</f>
        <v>Figure</v>
      </c>
      <c r="I10332">
        <v>0.88100000000000001</v>
      </c>
      <c r="J10332">
        <v>0.3</v>
      </c>
      <c r="K10332">
        <v>1</v>
      </c>
      <c r="L10332">
        <v>1</v>
      </c>
      <c r="M10332">
        <v>1.1299999999999999</v>
      </c>
      <c r="N10332">
        <v>0.26</v>
      </c>
    </row>
    <row r="10333" spans="1:14" x14ac:dyDescent="0.25">
      <c r="A10333" t="s">
        <v>18031</v>
      </c>
      <c r="B10333" t="s">
        <v>18032</v>
      </c>
      <c r="C10333" s="1" t="str">
        <f>HYPERLINK("http://www.genecards.org/cgi-bin/carddisp.pl?gene=ADORA2B","GeneCards")</f>
        <v>GeneCards</v>
      </c>
      <c r="D10333" s="1" t="str">
        <f>HYPERLINK("http://genome-euro.ucsc.edu/cgi-bin/hgTracks?position=205891_at","UCSC")</f>
        <v>UCSC</v>
      </c>
      <c r="E10333" s="1" t="str">
        <f>HYPERLINK("http://www.ncbi.nlm.nih.gov/gene/?term=ADORA2B","NCBI")</f>
        <v>NCBI</v>
      </c>
      <c r="F10333">
        <v>0.23</v>
      </c>
      <c r="G10333">
        <v>0.38</v>
      </c>
      <c r="H10333" s="1" t="str">
        <f>HYPERLINK("http://www.weizmann.ac.il/complex/compphys/software/geview/data/figures/205891_at.png","Figure")</f>
        <v>Figure</v>
      </c>
      <c r="I10333">
        <v>0.97899999999999998</v>
      </c>
      <c r="J10333">
        <v>0.3</v>
      </c>
      <c r="K10333">
        <v>1</v>
      </c>
      <c r="L10333">
        <v>1</v>
      </c>
      <c r="M10333">
        <v>1.02</v>
      </c>
      <c r="N10333">
        <v>0.26</v>
      </c>
    </row>
    <row r="10334" spans="1:14" x14ac:dyDescent="0.25">
      <c r="A10334" t="s">
        <v>18033</v>
      </c>
      <c r="B10334" t="s">
        <v>18034</v>
      </c>
      <c r="C10334" s="1" t="str">
        <f>HYPERLINK("http://www.genecards.org/cgi-bin/carddisp.pl?gene=RELN","GeneCards")</f>
        <v>GeneCards</v>
      </c>
      <c r="D10334" s="1" t="str">
        <f>HYPERLINK("http://genome-euro.ucsc.edu/cgi-bin/hgTracks?position=205923_at","UCSC")</f>
        <v>UCSC</v>
      </c>
      <c r="E10334" s="1" t="str">
        <f>HYPERLINK("http://www.ncbi.nlm.nih.gov/gene/?term=RELN","NCBI")</f>
        <v>NCBI</v>
      </c>
      <c r="F10334">
        <v>0.23</v>
      </c>
      <c r="G10334">
        <v>0.38</v>
      </c>
      <c r="H10334" s="1" t="str">
        <f>HYPERLINK("http://www.weizmann.ac.il/complex/compphys/software/geview/data/figures/205923_at.png","Figure")</f>
        <v>Figure</v>
      </c>
      <c r="I10334">
        <v>1.1499999999999999</v>
      </c>
      <c r="J10334">
        <v>0.35</v>
      </c>
      <c r="K10334">
        <v>0.98099999999999998</v>
      </c>
      <c r="L10334">
        <v>0.97</v>
      </c>
      <c r="M10334">
        <v>0.85099999999999998</v>
      </c>
      <c r="N10334">
        <v>0.23</v>
      </c>
    </row>
    <row r="10335" spans="1:14" x14ac:dyDescent="0.25">
      <c r="A10335" t="s">
        <v>18035</v>
      </c>
      <c r="B10335" t="s">
        <v>18036</v>
      </c>
      <c r="C10335" s="1" t="str">
        <f>HYPERLINK("http://www.genecards.org/cgi-bin/carddisp.pl?gene=MYH3","GeneCards")</f>
        <v>GeneCards</v>
      </c>
      <c r="D10335" s="1" t="str">
        <f>HYPERLINK("http://genome-euro.ucsc.edu/cgi-bin/hgTracks?position=205940_at","UCSC")</f>
        <v>UCSC</v>
      </c>
      <c r="E10335" s="1" t="str">
        <f>HYPERLINK("http://www.ncbi.nlm.nih.gov/gene/?term=MYH3","NCBI")</f>
        <v>NCBI</v>
      </c>
      <c r="F10335">
        <v>0.23</v>
      </c>
      <c r="G10335">
        <v>0.38</v>
      </c>
      <c r="H10335" s="1" t="str">
        <f>HYPERLINK("http://www.weizmann.ac.il/complex/compphys/software/geview/data/figures/205940_at.png","Figure")</f>
        <v>Figure</v>
      </c>
      <c r="I10335">
        <v>0.99</v>
      </c>
      <c r="J10335">
        <v>0.3</v>
      </c>
      <c r="K10335">
        <v>1</v>
      </c>
      <c r="L10335">
        <v>1</v>
      </c>
      <c r="M10335">
        <v>1.01</v>
      </c>
      <c r="N10335">
        <v>0.26</v>
      </c>
    </row>
    <row r="10336" spans="1:14" x14ac:dyDescent="0.25">
      <c r="A10336" t="s">
        <v>18037</v>
      </c>
      <c r="B10336" t="s">
        <v>18038</v>
      </c>
      <c r="C10336" s="1" t="str">
        <f>HYPERLINK("http://www.genecards.org/cgi-bin/carddisp.pl?gene=NMU","GeneCards")</f>
        <v>GeneCards</v>
      </c>
      <c r="D10336" s="1" t="str">
        <f>HYPERLINK("http://genome-euro.ucsc.edu/cgi-bin/hgTracks?position=206023_at","UCSC")</f>
        <v>UCSC</v>
      </c>
      <c r="E10336" s="1" t="str">
        <f>HYPERLINK("http://www.ncbi.nlm.nih.gov/gene/?term=NMU","NCBI")</f>
        <v>NCBI</v>
      </c>
      <c r="F10336">
        <v>0.23</v>
      </c>
      <c r="G10336">
        <v>0.38</v>
      </c>
      <c r="H10336" s="1" t="str">
        <f>HYPERLINK("http://www.weizmann.ac.il/complex/compphys/software/geview/data/figures/206023_at.png","Figure")</f>
        <v>Figure</v>
      </c>
      <c r="I10336">
        <v>0.998</v>
      </c>
      <c r="J10336">
        <v>0.3</v>
      </c>
      <c r="K10336">
        <v>1</v>
      </c>
      <c r="L10336">
        <v>1</v>
      </c>
      <c r="M10336">
        <v>1</v>
      </c>
      <c r="N10336">
        <v>0.26</v>
      </c>
    </row>
    <row r="10337" spans="1:14" x14ac:dyDescent="0.25">
      <c r="A10337" t="s">
        <v>18039</v>
      </c>
      <c r="B10337" t="s">
        <v>18040</v>
      </c>
      <c r="C10337" s="1" t="str">
        <f>HYPERLINK("http://www.genecards.org/cgi-bin/carddisp.pl?gene=PTPN22","GeneCards")</f>
        <v>GeneCards</v>
      </c>
      <c r="D10337" s="1" t="str">
        <f>HYPERLINK("http://genome-euro.ucsc.edu/cgi-bin/hgTracks?position=206060_s_at","UCSC")</f>
        <v>UCSC</v>
      </c>
      <c r="E10337" s="1" t="str">
        <f>HYPERLINK("http://www.ncbi.nlm.nih.gov/gene/?term=PTPN22","NCBI")</f>
        <v>NCBI</v>
      </c>
      <c r="F10337">
        <v>0.23</v>
      </c>
      <c r="G10337">
        <v>0.38</v>
      </c>
      <c r="H10337" s="1" t="str">
        <f>HYPERLINK("http://www.weizmann.ac.il/complex/compphys/software/geview/data/figures/206060_s_at.png","Figure")</f>
        <v>Figure</v>
      </c>
      <c r="I10337">
        <v>0.96</v>
      </c>
      <c r="J10337">
        <v>0.38</v>
      </c>
      <c r="K10337">
        <v>1.01</v>
      </c>
      <c r="L10337">
        <v>0.95</v>
      </c>
      <c r="M10337">
        <v>1.05</v>
      </c>
      <c r="N10337">
        <v>0.22</v>
      </c>
    </row>
    <row r="10338" spans="1:14" x14ac:dyDescent="0.25">
      <c r="A10338" t="s">
        <v>18041</v>
      </c>
      <c r="B10338" t="s">
        <v>18042</v>
      </c>
      <c r="C10338" s="1" t="str">
        <f>HYPERLINK("http://www.genecards.org/cgi-bin/carddisp.pl?gene=CLPS","GeneCards")</f>
        <v>GeneCards</v>
      </c>
      <c r="D10338" s="1" t="str">
        <f>HYPERLINK("http://genome-euro.ucsc.edu/cgi-bin/hgTracks?position=206131_at","UCSC")</f>
        <v>UCSC</v>
      </c>
      <c r="E10338" s="1" t="str">
        <f>HYPERLINK("http://www.ncbi.nlm.nih.gov/gene/?term=CLPS","NCBI")</f>
        <v>NCBI</v>
      </c>
      <c r="F10338">
        <v>0.23</v>
      </c>
      <c r="G10338">
        <v>0.38</v>
      </c>
      <c r="H10338" s="1" t="str">
        <f>HYPERLINK("http://www.weizmann.ac.il/complex/compphys/software/geview/data/figures/206131_at.png","Figure")</f>
        <v>Figure</v>
      </c>
      <c r="I10338">
        <v>0.98099999999999998</v>
      </c>
      <c r="J10338">
        <v>0.3</v>
      </c>
      <c r="K10338">
        <v>1</v>
      </c>
      <c r="L10338">
        <v>1</v>
      </c>
      <c r="M10338">
        <v>1.02</v>
      </c>
      <c r="N10338">
        <v>0.26</v>
      </c>
    </row>
    <row r="10339" spans="1:14" x14ac:dyDescent="0.25">
      <c r="A10339" t="s">
        <v>18043</v>
      </c>
      <c r="B10339" t="s">
        <v>18044</v>
      </c>
      <c r="C10339" s="1" t="str">
        <f>HYPERLINK("http://www.genecards.org/cgi-bin/carddisp.pl?gene=ADCYAP1","GeneCards")</f>
        <v>GeneCards</v>
      </c>
      <c r="D10339" s="1" t="str">
        <f>HYPERLINK("http://genome-euro.ucsc.edu/cgi-bin/hgTracks?position=206281_at","UCSC")</f>
        <v>UCSC</v>
      </c>
      <c r="E10339" s="1" t="str">
        <f>HYPERLINK("http://www.ncbi.nlm.nih.gov/gene/?term=ADCYAP1","NCBI")</f>
        <v>NCBI</v>
      </c>
      <c r="F10339">
        <v>0.23</v>
      </c>
      <c r="G10339">
        <v>0.38</v>
      </c>
      <c r="H10339" s="1" t="str">
        <f>HYPERLINK("http://www.weizmann.ac.il/complex/compphys/software/geview/data/figures/206281_at.png","Figure")</f>
        <v>Figure</v>
      </c>
      <c r="I10339">
        <v>1.07</v>
      </c>
      <c r="J10339">
        <v>0.44</v>
      </c>
      <c r="K10339">
        <v>0.97799999999999998</v>
      </c>
      <c r="L10339">
        <v>0.88</v>
      </c>
      <c r="M10339">
        <v>0.91600000000000004</v>
      </c>
      <c r="N10339">
        <v>0.21</v>
      </c>
    </row>
    <row r="10340" spans="1:14" x14ac:dyDescent="0.25">
      <c r="A10340" t="s">
        <v>18045</v>
      </c>
      <c r="B10340" t="s">
        <v>18046</v>
      </c>
      <c r="C10340" s="1" t="str">
        <f>HYPERLINK("http://www.genecards.org/cgi-bin/carddisp.pl?gene=TBCCD1","GeneCards")</f>
        <v>GeneCards</v>
      </c>
      <c r="D10340" s="1" t="str">
        <f>HYPERLINK("http://genome-euro.ucsc.edu/cgi-bin/hgTracks?position=206451_at","UCSC")</f>
        <v>UCSC</v>
      </c>
      <c r="E10340" s="1" t="str">
        <f>HYPERLINK("http://www.ncbi.nlm.nih.gov/gene/?term=TBCCD1","NCBI")</f>
        <v>NCBI</v>
      </c>
      <c r="F10340">
        <v>0.23</v>
      </c>
      <c r="G10340">
        <v>0.38</v>
      </c>
      <c r="H10340" s="1" t="str">
        <f>HYPERLINK("http://www.weizmann.ac.il/complex/compphys/software/geview/data/figures/206451_at.png","Figure")</f>
        <v>Figure</v>
      </c>
      <c r="I10340">
        <v>0.98599999999999999</v>
      </c>
      <c r="J10340">
        <v>0.3</v>
      </c>
      <c r="K10340">
        <v>1</v>
      </c>
      <c r="L10340">
        <v>1</v>
      </c>
      <c r="M10340">
        <v>1.01</v>
      </c>
      <c r="N10340">
        <v>0.26</v>
      </c>
    </row>
    <row r="10341" spans="1:14" x14ac:dyDescent="0.25">
      <c r="A10341" t="s">
        <v>18047</v>
      </c>
      <c r="B10341" t="s">
        <v>18048</v>
      </c>
      <c r="C10341" s="1" t="str">
        <f>HYPERLINK("http://www.genecards.org/cgi-bin/carddisp.pl?gene=RHO","GeneCards")</f>
        <v>GeneCards</v>
      </c>
      <c r="D10341" s="1" t="str">
        <f>HYPERLINK("http://genome-euro.ucsc.edu/cgi-bin/hgTracks?position=206454_s_at","UCSC")</f>
        <v>UCSC</v>
      </c>
      <c r="E10341" s="1" t="str">
        <f>HYPERLINK("http://www.ncbi.nlm.nih.gov/gene/?term=RHO","NCBI")</f>
        <v>NCBI</v>
      </c>
      <c r="F10341">
        <v>0.23</v>
      </c>
      <c r="G10341">
        <v>0.38</v>
      </c>
      <c r="H10341" s="1" t="str">
        <f>HYPERLINK("http://www.weizmann.ac.il/complex/compphys/software/geview/data/figures/206454_s_at.png","Figure")</f>
        <v>Figure</v>
      </c>
      <c r="I10341">
        <v>1.1000000000000001</v>
      </c>
      <c r="J10341">
        <v>0.27</v>
      </c>
      <c r="K10341">
        <v>1.08</v>
      </c>
      <c r="L10341">
        <v>0.32</v>
      </c>
      <c r="M10341">
        <v>0.98199999999999998</v>
      </c>
      <c r="N10341">
        <v>0.94</v>
      </c>
    </row>
    <row r="10342" spans="1:14" x14ac:dyDescent="0.25">
      <c r="A10342" t="s">
        <v>18049</v>
      </c>
      <c r="B10342" t="s">
        <v>18050</v>
      </c>
      <c r="C10342" s="1" t="str">
        <f>HYPERLINK("http://www.genecards.org/cgi-bin/carddisp.pl?gene=LRRC6","GeneCards")</f>
        <v>GeneCards</v>
      </c>
      <c r="D10342" s="1" t="str">
        <f>HYPERLINK("http://genome-euro.ucsc.edu/cgi-bin/hgTracks?position=206483_at","UCSC")</f>
        <v>UCSC</v>
      </c>
      <c r="E10342" s="1" t="str">
        <f>HYPERLINK("http://www.ncbi.nlm.nih.gov/gene/?term=LRRC6","NCBI")</f>
        <v>NCBI</v>
      </c>
      <c r="F10342">
        <v>0.23</v>
      </c>
      <c r="G10342">
        <v>0.38</v>
      </c>
      <c r="H10342" s="1" t="str">
        <f>HYPERLINK("http://www.weizmann.ac.il/complex/compphys/software/geview/data/figures/206483_at.png","Figure")</f>
        <v>Figure</v>
      </c>
      <c r="I10342">
        <v>0.99099999999999999</v>
      </c>
      <c r="J10342">
        <v>0.3</v>
      </c>
      <c r="K10342">
        <v>1</v>
      </c>
      <c r="L10342">
        <v>1</v>
      </c>
      <c r="M10342">
        <v>1.01</v>
      </c>
      <c r="N10342">
        <v>0.26</v>
      </c>
    </row>
    <row r="10343" spans="1:14" x14ac:dyDescent="0.25">
      <c r="A10343" t="s">
        <v>18051</v>
      </c>
      <c r="B10343" t="s">
        <v>18052</v>
      </c>
      <c r="C10343" s="1" t="str">
        <f>HYPERLINK("http://www.genecards.org/cgi-bin/carddisp.pl?gene=UNC84A","GeneCards")</f>
        <v>GeneCards</v>
      </c>
      <c r="D10343" s="1" t="str">
        <f>HYPERLINK("http://genome-euro.ucsc.edu/cgi-bin/hgTracks?position=206487_at","UCSC")</f>
        <v>UCSC</v>
      </c>
      <c r="E10343" s="1" t="str">
        <f>HYPERLINK("http://www.ncbi.nlm.nih.gov/gene/?term=UNC84A","NCBI")</f>
        <v>NCBI</v>
      </c>
      <c r="F10343">
        <v>0.23</v>
      </c>
      <c r="G10343">
        <v>0.38</v>
      </c>
      <c r="H10343" s="1" t="str">
        <f>HYPERLINK("http://www.weizmann.ac.il/complex/compphys/software/geview/data/figures/206487_at.png","Figure")</f>
        <v>Figure</v>
      </c>
      <c r="I10343">
        <v>0.99099999999999999</v>
      </c>
      <c r="J10343">
        <v>0.3</v>
      </c>
      <c r="K10343">
        <v>1</v>
      </c>
      <c r="L10343">
        <v>1</v>
      </c>
      <c r="M10343">
        <v>1.01</v>
      </c>
      <c r="N10343">
        <v>0.26</v>
      </c>
    </row>
    <row r="10344" spans="1:14" x14ac:dyDescent="0.25">
      <c r="A10344" t="s">
        <v>18053</v>
      </c>
      <c r="B10344" t="s">
        <v>18054</v>
      </c>
      <c r="C10344" s="1" t="str">
        <f>HYPERLINK("http://www.genecards.org/cgi-bin/carddisp.pl?gene=CHRNA1","GeneCards")</f>
        <v>GeneCards</v>
      </c>
      <c r="D10344" s="1" t="str">
        <f>HYPERLINK("http://genome-euro.ucsc.edu/cgi-bin/hgTracks?position=206633_at","UCSC")</f>
        <v>UCSC</v>
      </c>
      <c r="E10344" s="1" t="str">
        <f>HYPERLINK("http://www.ncbi.nlm.nih.gov/gene/?term=CHRNA1","NCBI")</f>
        <v>NCBI</v>
      </c>
      <c r="F10344">
        <v>0.23</v>
      </c>
      <c r="G10344">
        <v>0.38</v>
      </c>
      <c r="H10344" s="1" t="str">
        <f>HYPERLINK("http://www.weizmann.ac.il/complex/compphys/software/geview/data/figures/206633_at.png","Figure")</f>
        <v>Figure</v>
      </c>
      <c r="I10344">
        <v>1.0900000000000001</v>
      </c>
      <c r="J10344">
        <v>0.39</v>
      </c>
      <c r="K10344">
        <v>1.1100000000000001</v>
      </c>
      <c r="L10344">
        <v>0.24</v>
      </c>
      <c r="M10344">
        <v>1.01</v>
      </c>
      <c r="N10344">
        <v>0.99</v>
      </c>
    </row>
    <row r="10345" spans="1:14" x14ac:dyDescent="0.25">
      <c r="A10345" t="s">
        <v>18055</v>
      </c>
      <c r="B10345" t="s">
        <v>18056</v>
      </c>
      <c r="C10345" s="1" t="str">
        <f>HYPERLINK("http://www.genecards.org/cgi-bin/carddisp.pl?gene=POLR3G","GeneCards")</f>
        <v>GeneCards</v>
      </c>
      <c r="D10345" s="1" t="str">
        <f>HYPERLINK("http://genome-euro.ucsc.edu/cgi-bin/hgTracks?position=206653_at","UCSC")</f>
        <v>UCSC</v>
      </c>
      <c r="E10345" s="1" t="str">
        <f>HYPERLINK("http://www.ncbi.nlm.nih.gov/gene/?term=POLR3G","NCBI")</f>
        <v>NCBI</v>
      </c>
      <c r="F10345">
        <v>0.23</v>
      </c>
      <c r="G10345">
        <v>0.38</v>
      </c>
      <c r="H10345" s="1" t="str">
        <f>HYPERLINK("http://www.weizmann.ac.il/complex/compphys/software/geview/data/figures/206653_at.png","Figure")</f>
        <v>Figure</v>
      </c>
      <c r="I10345">
        <v>0.96299999999999997</v>
      </c>
      <c r="J10345">
        <v>0.3</v>
      </c>
      <c r="K10345">
        <v>1</v>
      </c>
      <c r="L10345">
        <v>1</v>
      </c>
      <c r="M10345">
        <v>1.04</v>
      </c>
      <c r="N10345">
        <v>0.26</v>
      </c>
    </row>
    <row r="10346" spans="1:14" x14ac:dyDescent="0.25">
      <c r="A10346" t="s">
        <v>18057</v>
      </c>
      <c r="B10346" t="s">
        <v>18058</v>
      </c>
      <c r="C10346" s="1" t="str">
        <f>HYPERLINK("http://www.genecards.org/cgi-bin/carddisp.pl?gene=KRT31","GeneCards")</f>
        <v>GeneCards</v>
      </c>
      <c r="D10346" s="1" t="str">
        <f>HYPERLINK("http://genome-euro.ucsc.edu/cgi-bin/hgTracks?position=206677_at","UCSC")</f>
        <v>UCSC</v>
      </c>
      <c r="E10346" s="1" t="str">
        <f>HYPERLINK("http://www.ncbi.nlm.nih.gov/gene/?term=KRT31","NCBI")</f>
        <v>NCBI</v>
      </c>
      <c r="F10346">
        <v>0.23</v>
      </c>
      <c r="G10346">
        <v>0.38</v>
      </c>
      <c r="H10346" s="1" t="str">
        <f>HYPERLINK("http://www.weizmann.ac.il/complex/compphys/software/geview/data/figures/206677_at.png","Figure")</f>
        <v>Figure</v>
      </c>
      <c r="I10346">
        <v>1.1499999999999999</v>
      </c>
      <c r="J10346">
        <v>0.21</v>
      </c>
      <c r="K10346">
        <v>1.08</v>
      </c>
      <c r="L10346">
        <v>0.53</v>
      </c>
      <c r="M10346">
        <v>0.93600000000000005</v>
      </c>
      <c r="N10346">
        <v>0.65</v>
      </c>
    </row>
    <row r="10347" spans="1:14" x14ac:dyDescent="0.25">
      <c r="A10347" t="s">
        <v>18059</v>
      </c>
      <c r="B10347" t="s">
        <v>18060</v>
      </c>
      <c r="C10347" s="1" t="str">
        <f>HYPERLINK("http://www.genecards.org/cgi-bin/carddisp.pl?gene=TFEC","GeneCards")</f>
        <v>GeneCards</v>
      </c>
      <c r="D10347" s="1" t="str">
        <f>HYPERLINK("http://genome-euro.ucsc.edu/cgi-bin/hgTracks?position=206715_at","UCSC")</f>
        <v>UCSC</v>
      </c>
      <c r="E10347" s="1" t="str">
        <f>HYPERLINK("http://www.ncbi.nlm.nih.gov/gene/?term=TFEC","NCBI")</f>
        <v>NCBI</v>
      </c>
      <c r="F10347">
        <v>0.23</v>
      </c>
      <c r="G10347">
        <v>0.38</v>
      </c>
      <c r="H10347" s="1" t="str">
        <f>HYPERLINK("http://www.weizmann.ac.il/complex/compphys/software/geview/data/figures/206715_at.png","Figure")</f>
        <v>Figure</v>
      </c>
      <c r="I10347">
        <v>0.74</v>
      </c>
      <c r="J10347">
        <v>0.3</v>
      </c>
      <c r="K10347">
        <v>1</v>
      </c>
      <c r="L10347">
        <v>1</v>
      </c>
      <c r="M10347">
        <v>1.35</v>
      </c>
      <c r="N10347">
        <v>0.26</v>
      </c>
    </row>
    <row r="10348" spans="1:14" x14ac:dyDescent="0.25">
      <c r="A10348" t="s">
        <v>18061</v>
      </c>
      <c r="B10348" t="s">
        <v>18062</v>
      </c>
      <c r="C10348" s="1" t="str">
        <f>HYPERLINK("http://www.genecards.org/cgi-bin/carddisp.pl?gene=RDH16","GeneCards")</f>
        <v>GeneCards</v>
      </c>
      <c r="D10348" s="1" t="str">
        <f>HYPERLINK("http://genome-euro.ucsc.edu/cgi-bin/hgTracks?position=206753_at","UCSC")</f>
        <v>UCSC</v>
      </c>
      <c r="E10348" s="1" t="str">
        <f>HYPERLINK("http://www.ncbi.nlm.nih.gov/gene/?term=RDH16","NCBI")</f>
        <v>NCBI</v>
      </c>
      <c r="F10348">
        <v>0.23</v>
      </c>
      <c r="G10348">
        <v>0.38</v>
      </c>
      <c r="H10348" s="1" t="str">
        <f>HYPERLINK("http://www.weizmann.ac.il/complex/compphys/software/geview/data/figures/206753_at.png","Figure")</f>
        <v>Figure</v>
      </c>
      <c r="I10348">
        <v>1.1499999999999999</v>
      </c>
      <c r="J10348">
        <v>0.23</v>
      </c>
      <c r="K10348">
        <v>1.03</v>
      </c>
      <c r="L10348">
        <v>0.91</v>
      </c>
      <c r="M10348">
        <v>0.89600000000000002</v>
      </c>
      <c r="N10348">
        <v>0.34</v>
      </c>
    </row>
    <row r="10349" spans="1:14" x14ac:dyDescent="0.25">
      <c r="A10349" t="s">
        <v>18063</v>
      </c>
      <c r="B10349" t="s">
        <v>18064</v>
      </c>
      <c r="C10349" s="1" t="str">
        <f>HYPERLINK("http://www.genecards.org/cgi-bin/carddisp.pl?gene=LY6H","GeneCards")</f>
        <v>GeneCards</v>
      </c>
      <c r="D10349" s="1" t="str">
        <f>HYPERLINK("http://genome-euro.ucsc.edu/cgi-bin/hgTracks?position=206773_at","UCSC")</f>
        <v>UCSC</v>
      </c>
      <c r="E10349" s="1" t="str">
        <f>HYPERLINK("http://www.ncbi.nlm.nih.gov/gene/?term=LY6H","NCBI")</f>
        <v>NCBI</v>
      </c>
      <c r="F10349">
        <v>0.23</v>
      </c>
      <c r="G10349">
        <v>0.38</v>
      </c>
      <c r="H10349" s="1" t="str">
        <f>HYPERLINK("http://www.weizmann.ac.il/complex/compphys/software/geview/data/figures/206773_at.png","Figure")</f>
        <v>Figure</v>
      </c>
      <c r="I10349">
        <v>0.81799999999999995</v>
      </c>
      <c r="J10349">
        <v>0.3</v>
      </c>
      <c r="K10349">
        <v>1</v>
      </c>
      <c r="L10349">
        <v>1</v>
      </c>
      <c r="M10349">
        <v>1.22</v>
      </c>
      <c r="N10349">
        <v>0.26</v>
      </c>
    </row>
    <row r="10350" spans="1:14" x14ac:dyDescent="0.25">
      <c r="A10350" t="s">
        <v>18065</v>
      </c>
      <c r="B10350" t="s">
        <v>18066</v>
      </c>
      <c r="C10350" s="1" t="str">
        <f>HYPERLINK("http://www.genecards.org/cgi-bin/carddisp.pl?gene=PLA2G10","GeneCards")</f>
        <v>GeneCards</v>
      </c>
      <c r="D10350" s="1" t="str">
        <f>HYPERLINK("http://genome-euro.ucsc.edu/cgi-bin/hgTracks?position=207222_at","UCSC")</f>
        <v>UCSC</v>
      </c>
      <c r="E10350" s="1" t="str">
        <f>HYPERLINK("http://www.ncbi.nlm.nih.gov/gene/?term=PLA2G10","NCBI")</f>
        <v>NCBI</v>
      </c>
      <c r="F10350">
        <v>0.23</v>
      </c>
      <c r="G10350">
        <v>0.38</v>
      </c>
      <c r="H10350" s="1" t="str">
        <f>HYPERLINK("http://www.weizmann.ac.il/complex/compphys/software/geview/data/figures/207222_at.png","Figure")</f>
        <v>Figure</v>
      </c>
      <c r="I10350">
        <v>0.92500000000000004</v>
      </c>
      <c r="J10350">
        <v>0.3</v>
      </c>
      <c r="K10350">
        <v>1</v>
      </c>
      <c r="L10350">
        <v>1</v>
      </c>
      <c r="M10350">
        <v>1.08</v>
      </c>
      <c r="N10350">
        <v>0.26</v>
      </c>
    </row>
    <row r="10351" spans="1:14" x14ac:dyDescent="0.25">
      <c r="A10351" t="s">
        <v>18067</v>
      </c>
      <c r="B10351" t="s">
        <v>18068</v>
      </c>
      <c r="C10351" s="1" t="str">
        <f>HYPERLINK("http://www.genecards.org/cgi-bin/carddisp.pl?gene=FABP2","GeneCards")</f>
        <v>GeneCards</v>
      </c>
      <c r="D10351" s="1" t="str">
        <f>HYPERLINK("http://genome-euro.ucsc.edu/cgi-bin/hgTracks?position=207475_at","UCSC")</f>
        <v>UCSC</v>
      </c>
      <c r="E10351" s="1" t="str">
        <f>HYPERLINK("http://www.ncbi.nlm.nih.gov/gene/?term=FABP2","NCBI")</f>
        <v>NCBI</v>
      </c>
      <c r="F10351">
        <v>0.23</v>
      </c>
      <c r="G10351">
        <v>0.38</v>
      </c>
      <c r="H10351" s="1" t="str">
        <f>HYPERLINK("http://www.weizmann.ac.il/complex/compphys/software/geview/data/figures/207475_at.png","Figure")</f>
        <v>Figure</v>
      </c>
      <c r="I10351">
        <v>1.07</v>
      </c>
      <c r="J10351">
        <v>0.28999999999999998</v>
      </c>
      <c r="K10351">
        <v>1.06</v>
      </c>
      <c r="L10351">
        <v>0.3</v>
      </c>
      <c r="M10351">
        <v>0.99</v>
      </c>
      <c r="N10351">
        <v>0.97</v>
      </c>
    </row>
    <row r="10352" spans="1:14" x14ac:dyDescent="0.25">
      <c r="A10352" t="s">
        <v>18069</v>
      </c>
      <c r="B10352" t="s">
        <v>4966</v>
      </c>
      <c r="C10352" s="1" t="str">
        <f>HYPERLINK("http://www.genecards.org/cgi-bin/carddisp.pl?gene=TFCP2","GeneCards")</f>
        <v>GeneCards</v>
      </c>
      <c r="D10352" s="1" t="str">
        <f>HYPERLINK("http://genome-euro.ucsc.edu/cgi-bin/hgTracks?position=207627_s_at","UCSC")</f>
        <v>UCSC</v>
      </c>
      <c r="E10352" s="1" t="str">
        <f>HYPERLINK("http://www.ncbi.nlm.nih.gov/gene/?term=TFCP2","NCBI")</f>
        <v>NCBI</v>
      </c>
      <c r="F10352">
        <v>0.23</v>
      </c>
      <c r="G10352">
        <v>0.38</v>
      </c>
      <c r="H10352" s="1" t="str">
        <f>HYPERLINK("http://www.weizmann.ac.il/complex/compphys/software/geview/data/figures/207627_s_at.png","Figure")</f>
        <v>Figure</v>
      </c>
      <c r="I10352">
        <v>0.97099999999999997</v>
      </c>
      <c r="J10352">
        <v>0.3</v>
      </c>
      <c r="K10352">
        <v>1</v>
      </c>
      <c r="L10352">
        <v>1</v>
      </c>
      <c r="M10352">
        <v>1.03</v>
      </c>
      <c r="N10352">
        <v>0.26</v>
      </c>
    </row>
    <row r="10353" spans="1:14" x14ac:dyDescent="0.25">
      <c r="A10353" t="s">
        <v>18070</v>
      </c>
      <c r="B10353" t="s">
        <v>13871</v>
      </c>
      <c r="C10353" s="1" t="str">
        <f>HYPERLINK("http://www.genecards.org/cgi-bin/carddisp.pl?gene=ENTPD1","GeneCards")</f>
        <v>GeneCards</v>
      </c>
      <c r="D10353" s="1" t="str">
        <f>HYPERLINK("http://genome-euro.ucsc.edu/cgi-bin/hgTracks?position=207691_x_at","UCSC")</f>
        <v>UCSC</v>
      </c>
      <c r="E10353" s="1" t="str">
        <f>HYPERLINK("http://www.ncbi.nlm.nih.gov/gene/?term=ENTPD1","NCBI")</f>
        <v>NCBI</v>
      </c>
      <c r="F10353">
        <v>0.23</v>
      </c>
      <c r="G10353">
        <v>0.38</v>
      </c>
      <c r="H10353" s="1" t="str">
        <f>HYPERLINK("http://www.weizmann.ac.il/complex/compphys/software/geview/data/figures/207691_x_at.png","Figure")</f>
        <v>Figure</v>
      </c>
      <c r="I10353">
        <v>0.95599999999999996</v>
      </c>
      <c r="J10353">
        <v>0.3</v>
      </c>
      <c r="K10353">
        <v>1</v>
      </c>
      <c r="L10353">
        <v>1</v>
      </c>
      <c r="M10353">
        <v>1.05</v>
      </c>
      <c r="N10353">
        <v>0.26</v>
      </c>
    </row>
    <row r="10354" spans="1:14" x14ac:dyDescent="0.25">
      <c r="A10354" t="s">
        <v>18071</v>
      </c>
      <c r="B10354" t="s">
        <v>18072</v>
      </c>
      <c r="C10354" s="1" t="str">
        <f>HYPERLINK("http://www.genecards.org/cgi-bin/carddisp.pl?gene=KRT12","GeneCards")</f>
        <v>GeneCards</v>
      </c>
      <c r="D10354" s="1" t="str">
        <f>HYPERLINK("http://genome-euro.ucsc.edu/cgi-bin/hgTracks?position=207811_at","UCSC")</f>
        <v>UCSC</v>
      </c>
      <c r="E10354" s="1" t="str">
        <f>HYPERLINK("http://www.ncbi.nlm.nih.gov/gene/?term=KRT12","NCBI")</f>
        <v>NCBI</v>
      </c>
      <c r="F10354">
        <v>0.23</v>
      </c>
      <c r="G10354">
        <v>0.38</v>
      </c>
      <c r="H10354" s="1" t="str">
        <f>HYPERLINK("http://www.weizmann.ac.il/complex/compphys/software/geview/data/figures/207811_at.png","Figure")</f>
        <v>Figure</v>
      </c>
      <c r="I10354">
        <v>0.995</v>
      </c>
      <c r="J10354">
        <v>0.3</v>
      </c>
      <c r="K10354">
        <v>1</v>
      </c>
      <c r="L10354">
        <v>1</v>
      </c>
      <c r="M10354">
        <v>1.01</v>
      </c>
      <c r="N10354">
        <v>0.26</v>
      </c>
    </row>
    <row r="10355" spans="1:14" x14ac:dyDescent="0.25">
      <c r="A10355" t="s">
        <v>18073</v>
      </c>
      <c r="B10355" t="s">
        <v>18074</v>
      </c>
      <c r="C10355" s="1" t="str">
        <f>HYPERLINK("http://www.genecards.org/cgi-bin/carddisp.pl?gene=CALCR","GeneCards")</f>
        <v>GeneCards</v>
      </c>
      <c r="D10355" s="1" t="str">
        <f>HYPERLINK("http://genome-euro.ucsc.edu/cgi-bin/hgTracks?position=207887_s_at","UCSC")</f>
        <v>UCSC</v>
      </c>
      <c r="E10355" s="1" t="str">
        <f>HYPERLINK("http://www.ncbi.nlm.nih.gov/gene/?term=CALCR","NCBI")</f>
        <v>NCBI</v>
      </c>
      <c r="F10355">
        <v>0.23</v>
      </c>
      <c r="G10355">
        <v>0.38</v>
      </c>
      <c r="H10355" s="1" t="str">
        <f>HYPERLINK("http://www.weizmann.ac.il/complex/compphys/software/geview/data/figures/207887_s_at.png","Figure")</f>
        <v>Figure</v>
      </c>
      <c r="I10355">
        <v>1.1000000000000001</v>
      </c>
      <c r="J10355">
        <v>0.24</v>
      </c>
      <c r="K10355">
        <v>1.02</v>
      </c>
      <c r="L10355">
        <v>0.94</v>
      </c>
      <c r="M10355">
        <v>0.92100000000000004</v>
      </c>
      <c r="N10355">
        <v>0.32</v>
      </c>
    </row>
    <row r="10356" spans="1:14" x14ac:dyDescent="0.25">
      <c r="A10356" t="s">
        <v>18075</v>
      </c>
      <c r="B10356" t="s">
        <v>7154</v>
      </c>
      <c r="C10356" s="1" t="str">
        <f>HYPERLINK("http://www.genecards.org/cgi-bin/carddisp.pl?gene=PLAGL1","GeneCards")</f>
        <v>GeneCards</v>
      </c>
      <c r="D10356" s="1" t="str">
        <f>HYPERLINK("http://genome-euro.ucsc.edu/cgi-bin/hgTracks?position=207943_x_at","UCSC")</f>
        <v>UCSC</v>
      </c>
      <c r="E10356" s="1" t="str">
        <f>HYPERLINK("http://www.ncbi.nlm.nih.gov/gene/?term=PLAGL1","NCBI")</f>
        <v>NCBI</v>
      </c>
      <c r="F10356">
        <v>0.23</v>
      </c>
      <c r="G10356">
        <v>0.38</v>
      </c>
      <c r="H10356" s="1" t="str">
        <f>HYPERLINK("http://www.weizmann.ac.il/complex/compphys/software/geview/data/figures/207943_x_at.png","Figure")</f>
        <v>Figure</v>
      </c>
      <c r="I10356">
        <v>0.998</v>
      </c>
      <c r="J10356">
        <v>0.3</v>
      </c>
      <c r="K10356">
        <v>1</v>
      </c>
      <c r="L10356">
        <v>1</v>
      </c>
      <c r="M10356">
        <v>1</v>
      </c>
      <c r="N10356">
        <v>0.26</v>
      </c>
    </row>
    <row r="10357" spans="1:14" x14ac:dyDescent="0.25">
      <c r="A10357" t="s">
        <v>18076</v>
      </c>
      <c r="B10357" t="s">
        <v>18077</v>
      </c>
      <c r="C10357" s="1" t="str">
        <f>HYPERLINK("http://www.genecards.org/cgi-bin/carddisp.pl?gene=MCF2","GeneCards")</f>
        <v>GeneCards</v>
      </c>
      <c r="D10357" s="1" t="str">
        <f>HYPERLINK("http://genome-euro.ucsc.edu/cgi-bin/hgTracks?position=208017_s_at","UCSC")</f>
        <v>UCSC</v>
      </c>
      <c r="E10357" s="1" t="str">
        <f>HYPERLINK("http://www.ncbi.nlm.nih.gov/gene/?term=MCF2","NCBI")</f>
        <v>NCBI</v>
      </c>
      <c r="F10357">
        <v>0.23</v>
      </c>
      <c r="G10357">
        <v>0.38</v>
      </c>
      <c r="H10357" s="1" t="str">
        <f>HYPERLINK("http://www.weizmann.ac.il/complex/compphys/software/geview/data/figures/208017_s_at.png","Figure")</f>
        <v>Figure</v>
      </c>
      <c r="I10357">
        <v>0.98599999999999999</v>
      </c>
      <c r="J10357">
        <v>0.3</v>
      </c>
      <c r="K10357">
        <v>1</v>
      </c>
      <c r="L10357">
        <v>1</v>
      </c>
      <c r="M10357">
        <v>1.01</v>
      </c>
      <c r="N10357">
        <v>0.26</v>
      </c>
    </row>
    <row r="10358" spans="1:14" x14ac:dyDescent="0.25">
      <c r="A10358" t="s">
        <v>18078</v>
      </c>
      <c r="B10358" t="s">
        <v>18079</v>
      </c>
      <c r="C10358" s="1" t="str">
        <f>HYPERLINK("http://www.genecards.org/cgi-bin/carddisp.pl?gene=HIST1H4F","GeneCards")</f>
        <v>GeneCards</v>
      </c>
      <c r="D10358" s="1" t="str">
        <f>HYPERLINK("http://genome-euro.ucsc.edu/cgi-bin/hgTracks?position=208026_at","UCSC")</f>
        <v>UCSC</v>
      </c>
      <c r="E10358" s="1" t="str">
        <f>HYPERLINK("http://www.ncbi.nlm.nih.gov/gene/?term=HIST1H4F","NCBI")</f>
        <v>NCBI</v>
      </c>
      <c r="F10358">
        <v>0.23</v>
      </c>
      <c r="G10358">
        <v>0.38</v>
      </c>
      <c r="H10358" s="1" t="str">
        <f>HYPERLINK("http://www.weizmann.ac.il/complex/compphys/software/geview/data/figures/208026_at.png","Figure")</f>
        <v>Figure</v>
      </c>
      <c r="I10358">
        <v>0.97299999999999998</v>
      </c>
      <c r="J10358">
        <v>0.3</v>
      </c>
      <c r="K10358">
        <v>1</v>
      </c>
      <c r="L10358">
        <v>1</v>
      </c>
      <c r="M10358">
        <v>1.03</v>
      </c>
      <c r="N10358">
        <v>0.26</v>
      </c>
    </row>
    <row r="10359" spans="1:14" x14ac:dyDescent="0.25">
      <c r="A10359" t="s">
        <v>18080</v>
      </c>
      <c r="B10359" t="s">
        <v>18081</v>
      </c>
      <c r="C10359" s="1" t="str">
        <f>HYPERLINK("http://www.genecards.org/cgi-bin/carddisp.pl?gene=NRG2","GeneCards")</f>
        <v>GeneCards</v>
      </c>
      <c r="D10359" s="1" t="str">
        <f>HYPERLINK("http://genome-euro.ucsc.edu/cgi-bin/hgTracks?position=208062_s_at","UCSC")</f>
        <v>UCSC</v>
      </c>
      <c r="E10359" s="1" t="str">
        <f>HYPERLINK("http://www.ncbi.nlm.nih.gov/gene/?term=NRG2","NCBI")</f>
        <v>NCBI</v>
      </c>
      <c r="F10359">
        <v>0.23</v>
      </c>
      <c r="G10359">
        <v>0.38</v>
      </c>
      <c r="H10359" s="1" t="str">
        <f>HYPERLINK("http://www.weizmann.ac.il/complex/compphys/software/geview/data/figures/208062_s_at.png","Figure")</f>
        <v>Figure</v>
      </c>
      <c r="I10359">
        <v>0.97799999999999998</v>
      </c>
      <c r="J10359">
        <v>0.3</v>
      </c>
      <c r="K10359">
        <v>1</v>
      </c>
      <c r="L10359">
        <v>1</v>
      </c>
      <c r="M10359">
        <v>1.02</v>
      </c>
      <c r="N10359">
        <v>0.26</v>
      </c>
    </row>
    <row r="10360" spans="1:14" x14ac:dyDescent="0.25">
      <c r="A10360" t="s">
        <v>18082</v>
      </c>
      <c r="B10360" t="s">
        <v>4666</v>
      </c>
      <c r="C10360" s="1" t="str">
        <f>HYPERLINK("http://www.genecards.org/cgi-bin/carddisp.pl?gene=C10orf137","GeneCards")</f>
        <v>GeneCards</v>
      </c>
      <c r="D10360" s="1" t="str">
        <f>HYPERLINK("http://genome-euro.ucsc.edu/cgi-bin/hgTracks?position=208115_x_at","UCSC")</f>
        <v>UCSC</v>
      </c>
      <c r="E10360" s="1" t="str">
        <f>HYPERLINK("http://www.ncbi.nlm.nih.gov/gene/?term=C10orf137","NCBI")</f>
        <v>NCBI</v>
      </c>
      <c r="F10360">
        <v>0.23</v>
      </c>
      <c r="G10360">
        <v>0.38</v>
      </c>
      <c r="H10360" s="1" t="str">
        <f>HYPERLINK("http://www.weizmann.ac.il/complex/compphys/software/geview/data/figures/208115_x_at.png","Figure")</f>
        <v>Figure</v>
      </c>
      <c r="I10360">
        <v>0.995</v>
      </c>
      <c r="J10360">
        <v>0.3</v>
      </c>
      <c r="K10360">
        <v>1</v>
      </c>
      <c r="L10360">
        <v>1</v>
      </c>
      <c r="M10360">
        <v>1.01</v>
      </c>
      <c r="N10360">
        <v>0.26</v>
      </c>
    </row>
    <row r="10361" spans="1:14" x14ac:dyDescent="0.25">
      <c r="A10361" t="s">
        <v>18083</v>
      </c>
      <c r="B10361" t="s">
        <v>18084</v>
      </c>
      <c r="C10361" s="1" t="str">
        <f>HYPERLINK("http://www.genecards.org/cgi-bin/carddisp.pl?gene=PTPRO","GeneCards")</f>
        <v>GeneCards</v>
      </c>
      <c r="D10361" s="1" t="str">
        <f>HYPERLINK("http://genome-euro.ucsc.edu/cgi-bin/hgTracks?position=208121_s_at","UCSC")</f>
        <v>UCSC</v>
      </c>
      <c r="E10361" s="1" t="str">
        <f>HYPERLINK("http://www.ncbi.nlm.nih.gov/gene/?term=PTPRO","NCBI")</f>
        <v>NCBI</v>
      </c>
      <c r="F10361">
        <v>0.23</v>
      </c>
      <c r="G10361">
        <v>0.38</v>
      </c>
      <c r="H10361" s="1" t="str">
        <f>HYPERLINK("http://www.weizmann.ac.il/complex/compphys/software/geview/data/figures/208121_s_at.png","Figure")</f>
        <v>Figure</v>
      </c>
      <c r="I10361">
        <v>0.97899999999999998</v>
      </c>
      <c r="J10361">
        <v>0.3</v>
      </c>
      <c r="K10361">
        <v>1</v>
      </c>
      <c r="L10361">
        <v>1</v>
      </c>
      <c r="M10361">
        <v>1.02</v>
      </c>
      <c r="N10361">
        <v>0.26</v>
      </c>
    </row>
    <row r="10362" spans="1:14" x14ac:dyDescent="0.25">
      <c r="A10362" t="s">
        <v>18085</v>
      </c>
      <c r="B10362" t="s">
        <v>9234</v>
      </c>
      <c r="C10362" s="1" t="str">
        <f>HYPERLINK("http://www.genecards.org/cgi-bin/carddisp.pl?gene=GAS2L1","GeneCards")</f>
        <v>GeneCards</v>
      </c>
      <c r="D10362" s="1" t="str">
        <f>HYPERLINK("http://genome-euro.ucsc.edu/cgi-bin/hgTracks?position=208258_s_at","UCSC")</f>
        <v>UCSC</v>
      </c>
      <c r="E10362" s="1" t="str">
        <f>HYPERLINK("http://www.ncbi.nlm.nih.gov/gene/?term=GAS2L1","NCBI")</f>
        <v>NCBI</v>
      </c>
      <c r="F10362">
        <v>0.23</v>
      </c>
      <c r="G10362">
        <v>0.38</v>
      </c>
      <c r="H10362" s="1" t="str">
        <f>HYPERLINK("http://www.weizmann.ac.il/complex/compphys/software/geview/data/figures/208258_s_at.png","Figure")</f>
        <v>Figure</v>
      </c>
      <c r="I10362">
        <v>0.99099999999999999</v>
      </c>
      <c r="J10362">
        <v>0.3</v>
      </c>
      <c r="K10362">
        <v>1</v>
      </c>
      <c r="L10362">
        <v>1</v>
      </c>
      <c r="M10362">
        <v>1.01</v>
      </c>
      <c r="N10362">
        <v>0.26</v>
      </c>
    </row>
    <row r="10363" spans="1:14" x14ac:dyDescent="0.25">
      <c r="A10363" t="s">
        <v>18086</v>
      </c>
      <c r="B10363" t="s">
        <v>18087</v>
      </c>
      <c r="C10363" s="1" t="str">
        <f>HYPERLINK("http://www.genecards.org/cgi-bin/carddisp.pl?gene=TECR","GeneCards")</f>
        <v>GeneCards</v>
      </c>
      <c r="D10363" s="1" t="str">
        <f>HYPERLINK("http://genome-euro.ucsc.edu/cgi-bin/hgTracks?position=208336_s_at","UCSC")</f>
        <v>UCSC</v>
      </c>
      <c r="E10363" s="1" t="str">
        <f>HYPERLINK("http://www.ncbi.nlm.nih.gov/gene/?term=TECR","NCBI")</f>
        <v>NCBI</v>
      </c>
      <c r="F10363">
        <v>0.23</v>
      </c>
      <c r="G10363">
        <v>0.38</v>
      </c>
      <c r="H10363" s="1" t="str">
        <f>HYPERLINK("http://www.weizmann.ac.il/complex/compphys/software/geview/data/figures/208336_s_at.png","Figure")</f>
        <v>Figure</v>
      </c>
      <c r="I10363">
        <v>0.88400000000000001</v>
      </c>
      <c r="J10363">
        <v>0.74</v>
      </c>
      <c r="K10363">
        <v>1.1599999999999999</v>
      </c>
      <c r="L10363">
        <v>0.56999999999999995</v>
      </c>
      <c r="M10363">
        <v>1.31</v>
      </c>
      <c r="N10363">
        <v>0.22</v>
      </c>
    </row>
    <row r="10364" spans="1:14" x14ac:dyDescent="0.25">
      <c r="A10364" t="s">
        <v>18088</v>
      </c>
      <c r="B10364" t="s">
        <v>18089</v>
      </c>
      <c r="C10364" s="1" t="str">
        <f>HYPERLINK("http://www.genecards.org/cgi-bin/carddisp.pl?gene=SLC1A2","GeneCards")</f>
        <v>GeneCards</v>
      </c>
      <c r="D10364" s="1" t="str">
        <f>HYPERLINK("http://genome-euro.ucsc.edu/cgi-bin/hgTracks?position=208389_s_at","UCSC")</f>
        <v>UCSC</v>
      </c>
      <c r="E10364" s="1" t="str">
        <f>HYPERLINK("http://www.ncbi.nlm.nih.gov/gene/?term=SLC1A2","NCBI")</f>
        <v>NCBI</v>
      </c>
      <c r="F10364">
        <v>0.23</v>
      </c>
      <c r="G10364">
        <v>0.38</v>
      </c>
      <c r="H10364" s="1" t="str">
        <f>HYPERLINK("http://www.weizmann.ac.il/complex/compphys/software/geview/data/figures/208389_s_at.png","Figure")</f>
        <v>Figure</v>
      </c>
      <c r="I10364">
        <v>1.08</v>
      </c>
      <c r="J10364">
        <v>0.22</v>
      </c>
      <c r="K10364">
        <v>1.05</v>
      </c>
      <c r="L10364">
        <v>0.46</v>
      </c>
      <c r="M10364">
        <v>0.97099999999999997</v>
      </c>
      <c r="N10364">
        <v>0.74</v>
      </c>
    </row>
    <row r="10365" spans="1:14" x14ac:dyDescent="0.25">
      <c r="A10365" t="s">
        <v>18090</v>
      </c>
      <c r="B10365" t="s">
        <v>18091</v>
      </c>
      <c r="C10365" s="1" t="str">
        <f>HYPERLINK("http://www.genecards.org/cgi-bin/carddisp.pl?gene=SCNN1D","GeneCards")</f>
        <v>GeneCards</v>
      </c>
      <c r="D10365" s="1" t="str">
        <f>HYPERLINK("http://genome-euro.ucsc.edu/cgi-bin/hgTracks?position=208458_at","UCSC")</f>
        <v>UCSC</v>
      </c>
      <c r="E10365" s="1" t="str">
        <f>HYPERLINK("http://www.ncbi.nlm.nih.gov/gene/?term=SCNN1D","NCBI")</f>
        <v>NCBI</v>
      </c>
      <c r="F10365">
        <v>0.23</v>
      </c>
      <c r="G10365">
        <v>0.38</v>
      </c>
      <c r="H10365" s="1" t="str">
        <f>HYPERLINK("http://www.weizmann.ac.il/complex/compphys/software/geview/data/figures/208458_at.png","Figure")</f>
        <v>Figure</v>
      </c>
      <c r="I10365">
        <v>1.03</v>
      </c>
      <c r="J10365">
        <v>0.54</v>
      </c>
      <c r="K10365">
        <v>1.05</v>
      </c>
      <c r="L10365">
        <v>0.21</v>
      </c>
      <c r="M10365">
        <v>1.01</v>
      </c>
      <c r="N10365">
        <v>0.86</v>
      </c>
    </row>
    <row r="10366" spans="1:14" x14ac:dyDescent="0.25">
      <c r="A10366" t="s">
        <v>18092</v>
      </c>
      <c r="B10366" t="s">
        <v>18093</v>
      </c>
      <c r="C10366" s="1" t="str">
        <f>HYPERLINK("http://www.genecards.org/cgi-bin/carddisp.pl?gene=BTN2A3","GeneCards")</f>
        <v>GeneCards</v>
      </c>
      <c r="D10366" s="1" t="str">
        <f>HYPERLINK("http://genome-euro.ucsc.edu/cgi-bin/hgTracks?position=208585_at","UCSC")</f>
        <v>UCSC</v>
      </c>
      <c r="E10366" s="1" t="str">
        <f>HYPERLINK("http://www.ncbi.nlm.nih.gov/gene/?term=BTN2A3","NCBI")</f>
        <v>NCBI</v>
      </c>
      <c r="F10366">
        <v>0.23</v>
      </c>
      <c r="G10366">
        <v>0.38</v>
      </c>
      <c r="H10366" s="1" t="str">
        <f>HYPERLINK("http://www.weizmann.ac.il/complex/compphys/software/geview/data/figures/208585_at.png","Figure")</f>
        <v>Figure</v>
      </c>
      <c r="I10366">
        <v>1.1200000000000001</v>
      </c>
      <c r="J10366">
        <v>0.21</v>
      </c>
      <c r="K10366">
        <v>1.04</v>
      </c>
      <c r="L10366">
        <v>0.81</v>
      </c>
      <c r="M10366">
        <v>0.92400000000000004</v>
      </c>
      <c r="N10366">
        <v>0.41</v>
      </c>
    </row>
    <row r="10367" spans="1:14" x14ac:dyDescent="0.25">
      <c r="A10367" t="s">
        <v>18094</v>
      </c>
      <c r="B10367" t="s">
        <v>18095</v>
      </c>
      <c r="C10367" s="1" t="str">
        <f>HYPERLINK("http://www.genecards.org/cgi-bin/carddisp.pl?gene=OR1E1 /// OR1E2","GeneCards")</f>
        <v>GeneCards</v>
      </c>
      <c r="D10367" s="1" t="str">
        <f>HYPERLINK("http://genome-euro.ucsc.edu/cgi-bin/hgTracks?position=208587_s_at","UCSC")</f>
        <v>UCSC</v>
      </c>
      <c r="E10367" s="1" t="str">
        <f>HYPERLINK("http://www.ncbi.nlm.nih.gov/gene/?term=OR1E1 /// OR1E2","NCBI")</f>
        <v>NCBI</v>
      </c>
      <c r="F10367">
        <v>0.23</v>
      </c>
      <c r="G10367">
        <v>0.38</v>
      </c>
      <c r="H10367" s="1" t="str">
        <f>HYPERLINK("http://www.weizmann.ac.il/complex/compphys/software/geview/data/figures/208587_s_at.png","Figure")</f>
        <v>Figure</v>
      </c>
      <c r="I10367">
        <v>1.1100000000000001</v>
      </c>
      <c r="J10367">
        <v>0.23</v>
      </c>
      <c r="K10367">
        <v>1.07</v>
      </c>
      <c r="L10367">
        <v>0.4</v>
      </c>
      <c r="M10367">
        <v>0.96799999999999997</v>
      </c>
      <c r="N10367">
        <v>0.82</v>
      </c>
    </row>
    <row r="10368" spans="1:14" x14ac:dyDescent="0.25">
      <c r="A10368" t="s">
        <v>18096</v>
      </c>
      <c r="B10368" t="s">
        <v>340</v>
      </c>
      <c r="C10368" s="1" t="str">
        <f>HYPERLINK("http://www.genecards.org/cgi-bin/carddisp.pl?gene=CD164","GeneCards")</f>
        <v>GeneCards</v>
      </c>
      <c r="D10368" s="1" t="str">
        <f>HYPERLINK("http://genome-euro.ucsc.edu/cgi-bin/hgTracks?position=208653_s_at","UCSC")</f>
        <v>UCSC</v>
      </c>
      <c r="E10368" s="1" t="str">
        <f>HYPERLINK("http://www.ncbi.nlm.nih.gov/gene/?term=CD164","NCBI")</f>
        <v>NCBI</v>
      </c>
      <c r="F10368">
        <v>0.23</v>
      </c>
      <c r="G10368">
        <v>0.38</v>
      </c>
      <c r="H10368" s="1" t="str">
        <f>HYPERLINK("http://www.weizmann.ac.il/complex/compphys/software/geview/data/figures/208653_s_at.png","Figure")</f>
        <v>Figure</v>
      </c>
      <c r="I10368">
        <v>0.86599999999999999</v>
      </c>
      <c r="J10368">
        <v>0.3</v>
      </c>
      <c r="K10368">
        <v>1</v>
      </c>
      <c r="L10368">
        <v>1</v>
      </c>
      <c r="M10368">
        <v>1.1499999999999999</v>
      </c>
      <c r="N10368">
        <v>0.26</v>
      </c>
    </row>
    <row r="10369" spans="1:14" x14ac:dyDescent="0.25">
      <c r="A10369" t="s">
        <v>18097</v>
      </c>
      <c r="B10369" t="s">
        <v>4562</v>
      </c>
      <c r="C10369" s="1" t="str">
        <f>HYPERLINK("http://www.genecards.org/cgi-bin/carddisp.pl?gene=CCND1","GeneCards")</f>
        <v>GeneCards</v>
      </c>
      <c r="D10369" s="1" t="str">
        <f>HYPERLINK("http://genome-euro.ucsc.edu/cgi-bin/hgTracks?position=208712_at","UCSC")</f>
        <v>UCSC</v>
      </c>
      <c r="E10369" s="1" t="str">
        <f>HYPERLINK("http://www.ncbi.nlm.nih.gov/gene/?term=CCND1","NCBI")</f>
        <v>NCBI</v>
      </c>
      <c r="F10369">
        <v>0.23</v>
      </c>
      <c r="G10369">
        <v>0.38</v>
      </c>
      <c r="H10369" s="1" t="str">
        <f>HYPERLINK("http://www.weizmann.ac.il/complex/compphys/software/geview/data/figures/208712_at.png","Figure")</f>
        <v>Figure</v>
      </c>
      <c r="I10369">
        <v>0.755</v>
      </c>
      <c r="J10369">
        <v>0.3</v>
      </c>
      <c r="K10369">
        <v>1</v>
      </c>
      <c r="L10369">
        <v>1</v>
      </c>
      <c r="M10369">
        <v>1.32</v>
      </c>
      <c r="N10369">
        <v>0.26</v>
      </c>
    </row>
    <row r="10370" spans="1:14" x14ac:dyDescent="0.25">
      <c r="A10370" t="s">
        <v>18098</v>
      </c>
      <c r="B10370" t="s">
        <v>18099</v>
      </c>
      <c r="C10370" s="1" t="str">
        <f>HYPERLINK("http://www.genecards.org/cgi-bin/carddisp.pl?gene=NXF1","GeneCards")</f>
        <v>GeneCards</v>
      </c>
      <c r="D10370" s="1" t="str">
        <f>HYPERLINK("http://genome-euro.ucsc.edu/cgi-bin/hgTracks?position=208922_s_at","UCSC")</f>
        <v>UCSC</v>
      </c>
      <c r="E10370" s="1" t="str">
        <f>HYPERLINK("http://www.ncbi.nlm.nih.gov/gene/?term=NXF1","NCBI")</f>
        <v>NCBI</v>
      </c>
      <c r="F10370">
        <v>0.23</v>
      </c>
      <c r="G10370">
        <v>0.38</v>
      </c>
      <c r="H10370" s="1" t="str">
        <f>HYPERLINK("http://www.weizmann.ac.il/complex/compphys/software/geview/data/figures/208922_s_at.png","Figure")</f>
        <v>Figure</v>
      </c>
      <c r="I10370">
        <v>1.01</v>
      </c>
      <c r="J10370">
        <v>1</v>
      </c>
      <c r="K10370">
        <v>0.77900000000000003</v>
      </c>
      <c r="L10370">
        <v>0.31</v>
      </c>
      <c r="M10370">
        <v>0.76700000000000002</v>
      </c>
      <c r="N10370">
        <v>0.32</v>
      </c>
    </row>
    <row r="10371" spans="1:14" x14ac:dyDescent="0.25">
      <c r="A10371" t="s">
        <v>18100</v>
      </c>
      <c r="B10371" t="s">
        <v>3113</v>
      </c>
      <c r="C10371" s="1" t="str">
        <f>HYPERLINK("http://www.genecards.org/cgi-bin/carddisp.pl?gene=SEC23IP","GeneCards")</f>
        <v>GeneCards</v>
      </c>
      <c r="D10371" s="1" t="str">
        <f>HYPERLINK("http://genome-euro.ucsc.edu/cgi-bin/hgTracks?position=209176_at","UCSC")</f>
        <v>UCSC</v>
      </c>
      <c r="E10371" s="1" t="str">
        <f>HYPERLINK("http://www.ncbi.nlm.nih.gov/gene/?term=SEC23IP","NCBI")</f>
        <v>NCBI</v>
      </c>
      <c r="F10371">
        <v>0.23</v>
      </c>
      <c r="G10371">
        <v>0.38</v>
      </c>
      <c r="H10371" s="1" t="str">
        <f>HYPERLINK("http://www.weizmann.ac.il/complex/compphys/software/geview/data/figures/209176_at.png","Figure")</f>
        <v>Figure</v>
      </c>
      <c r="I10371">
        <v>0.97299999999999998</v>
      </c>
      <c r="J10371">
        <v>0.3</v>
      </c>
      <c r="K10371">
        <v>1</v>
      </c>
      <c r="L10371">
        <v>1</v>
      </c>
      <c r="M10371">
        <v>1.03</v>
      </c>
      <c r="N10371">
        <v>0.26</v>
      </c>
    </row>
    <row r="10372" spans="1:14" x14ac:dyDescent="0.25">
      <c r="A10372" t="s">
        <v>18101</v>
      </c>
      <c r="B10372" t="s">
        <v>4690</v>
      </c>
      <c r="C10372" s="1" t="str">
        <f>HYPERLINK("http://www.genecards.org/cgi-bin/carddisp.pl?gene=SYT11","GeneCards")</f>
        <v>GeneCards</v>
      </c>
      <c r="D10372" s="1" t="str">
        <f>HYPERLINK("http://genome-euro.ucsc.edu/cgi-bin/hgTracks?position=209198_s_at","UCSC")</f>
        <v>UCSC</v>
      </c>
      <c r="E10372" s="1" t="str">
        <f>HYPERLINK("http://www.ncbi.nlm.nih.gov/gene/?term=SYT11","NCBI")</f>
        <v>NCBI</v>
      </c>
      <c r="F10372">
        <v>0.23</v>
      </c>
      <c r="G10372">
        <v>0.38</v>
      </c>
      <c r="H10372" s="1" t="str">
        <f>HYPERLINK("http://www.weizmann.ac.il/complex/compphys/software/geview/data/figures/209198_s_at.png","Figure")</f>
        <v>Figure</v>
      </c>
      <c r="I10372">
        <v>0.97399999999999998</v>
      </c>
      <c r="J10372">
        <v>0.3</v>
      </c>
      <c r="K10372">
        <v>1</v>
      </c>
      <c r="L10372">
        <v>1</v>
      </c>
      <c r="M10372">
        <v>1.03</v>
      </c>
      <c r="N10372">
        <v>0.26</v>
      </c>
    </row>
    <row r="10373" spans="1:14" x14ac:dyDescent="0.25">
      <c r="A10373" t="s">
        <v>18102</v>
      </c>
      <c r="B10373" t="s">
        <v>2449</v>
      </c>
      <c r="C10373" s="1" t="str">
        <f>HYPERLINK("http://www.genecards.org/cgi-bin/carddisp.pl?gene=SH3BP2","GeneCards")</f>
        <v>GeneCards</v>
      </c>
      <c r="D10373" s="1" t="str">
        <f>HYPERLINK("http://genome-euro.ucsc.edu/cgi-bin/hgTracks?position=209371_s_at","UCSC")</f>
        <v>UCSC</v>
      </c>
      <c r="E10373" s="1" t="str">
        <f>HYPERLINK("http://www.ncbi.nlm.nih.gov/gene/?term=SH3BP2","NCBI")</f>
        <v>NCBI</v>
      </c>
      <c r="F10373">
        <v>0.23</v>
      </c>
      <c r="G10373">
        <v>0.38</v>
      </c>
      <c r="H10373" s="1" t="str">
        <f>HYPERLINK("http://www.weizmann.ac.il/complex/compphys/software/geview/data/figures/209371_s_at.png","Figure")</f>
        <v>Figure</v>
      </c>
      <c r="I10373">
        <v>1.06</v>
      </c>
      <c r="J10373">
        <v>0.85</v>
      </c>
      <c r="K10373">
        <v>1.19</v>
      </c>
      <c r="L10373">
        <v>0.22</v>
      </c>
      <c r="M10373">
        <v>1.1200000000000001</v>
      </c>
      <c r="N10373">
        <v>0.55000000000000004</v>
      </c>
    </row>
    <row r="10374" spans="1:14" x14ac:dyDescent="0.25">
      <c r="A10374" t="s">
        <v>18103</v>
      </c>
      <c r="B10374" t="s">
        <v>13871</v>
      </c>
      <c r="C10374" s="1" t="str">
        <f>HYPERLINK("http://www.genecards.org/cgi-bin/carddisp.pl?gene=ENTPD1","GeneCards")</f>
        <v>GeneCards</v>
      </c>
      <c r="D10374" s="1" t="str">
        <f>HYPERLINK("http://genome-euro.ucsc.edu/cgi-bin/hgTracks?position=209474_s_at","UCSC")</f>
        <v>UCSC</v>
      </c>
      <c r="E10374" s="1" t="str">
        <f>HYPERLINK("http://www.ncbi.nlm.nih.gov/gene/?term=ENTPD1","NCBI")</f>
        <v>NCBI</v>
      </c>
      <c r="F10374">
        <v>0.23</v>
      </c>
      <c r="G10374">
        <v>0.38</v>
      </c>
      <c r="H10374" s="1" t="str">
        <f>HYPERLINK("http://www.weizmann.ac.il/complex/compphys/software/geview/data/figures/209474_s_at.png","Figure")</f>
        <v>Figure</v>
      </c>
      <c r="I10374">
        <v>0.98799999999999999</v>
      </c>
      <c r="J10374">
        <v>0.3</v>
      </c>
      <c r="K10374">
        <v>1</v>
      </c>
      <c r="L10374">
        <v>1</v>
      </c>
      <c r="M10374">
        <v>1.01</v>
      </c>
      <c r="N10374">
        <v>0.26</v>
      </c>
    </row>
    <row r="10375" spans="1:14" x14ac:dyDescent="0.25">
      <c r="A10375" t="s">
        <v>18104</v>
      </c>
      <c r="B10375" t="s">
        <v>8392</v>
      </c>
      <c r="C10375" s="1" t="str">
        <f>HYPERLINK("http://www.genecards.org/cgi-bin/carddisp.pl?gene=OSBPL1A","GeneCards")</f>
        <v>GeneCards</v>
      </c>
      <c r="D10375" s="1" t="str">
        <f>HYPERLINK("http://genome-euro.ucsc.edu/cgi-bin/hgTracks?position=209485_s_at","UCSC")</f>
        <v>UCSC</v>
      </c>
      <c r="E10375" s="1" t="str">
        <f>HYPERLINK("http://www.ncbi.nlm.nih.gov/gene/?term=OSBPL1A","NCBI")</f>
        <v>NCBI</v>
      </c>
      <c r="F10375">
        <v>0.23</v>
      </c>
      <c r="G10375">
        <v>0.38</v>
      </c>
      <c r="H10375" s="1" t="str">
        <f>HYPERLINK("http://www.weizmann.ac.il/complex/compphys/software/geview/data/figures/209485_s_at.png","Figure")</f>
        <v>Figure</v>
      </c>
      <c r="I10375">
        <v>0.79</v>
      </c>
      <c r="J10375">
        <v>0.3</v>
      </c>
      <c r="K10375">
        <v>1</v>
      </c>
      <c r="L10375">
        <v>1</v>
      </c>
      <c r="M10375">
        <v>1.27</v>
      </c>
      <c r="N10375">
        <v>0.26</v>
      </c>
    </row>
    <row r="10376" spans="1:14" x14ac:dyDescent="0.25">
      <c r="A10376" t="s">
        <v>18105</v>
      </c>
      <c r="B10376" t="s">
        <v>18106</v>
      </c>
      <c r="C10376" s="1" t="str">
        <f>HYPERLINK("http://www.genecards.org/cgi-bin/carddisp.pl?gene=PLEKHB1","GeneCards")</f>
        <v>GeneCards</v>
      </c>
      <c r="D10376" s="1" t="str">
        <f>HYPERLINK("http://genome-euro.ucsc.edu/cgi-bin/hgTracks?position=209504_s_at","UCSC")</f>
        <v>UCSC</v>
      </c>
      <c r="E10376" s="1" t="str">
        <f>HYPERLINK("http://www.ncbi.nlm.nih.gov/gene/?term=PLEKHB1","NCBI")</f>
        <v>NCBI</v>
      </c>
      <c r="F10376">
        <v>0.23</v>
      </c>
      <c r="G10376">
        <v>0.38</v>
      </c>
      <c r="H10376" s="1" t="str">
        <f>HYPERLINK("http://www.weizmann.ac.il/complex/compphys/software/geview/data/figures/209504_s_at.png","Figure")</f>
        <v>Figure</v>
      </c>
      <c r="I10376">
        <v>0.99099999999999999</v>
      </c>
      <c r="J10376">
        <v>0.3</v>
      </c>
      <c r="K10376">
        <v>1</v>
      </c>
      <c r="L10376">
        <v>1</v>
      </c>
      <c r="M10376">
        <v>1.01</v>
      </c>
      <c r="N10376">
        <v>0.26</v>
      </c>
    </row>
    <row r="10377" spans="1:14" x14ac:dyDescent="0.25">
      <c r="A10377" t="s">
        <v>18107</v>
      </c>
      <c r="B10377" t="s">
        <v>1493</v>
      </c>
      <c r="C10377" s="1" t="str">
        <f>HYPERLINK("http://www.genecards.org/cgi-bin/carddisp.pl?gene=HSDL2","GeneCards")</f>
        <v>GeneCards</v>
      </c>
      <c r="D10377" s="1" t="str">
        <f>HYPERLINK("http://genome-euro.ucsc.edu/cgi-bin/hgTracks?position=209512_at","UCSC")</f>
        <v>UCSC</v>
      </c>
      <c r="E10377" s="1" t="str">
        <f>HYPERLINK("http://www.ncbi.nlm.nih.gov/gene/?term=HSDL2","NCBI")</f>
        <v>NCBI</v>
      </c>
      <c r="F10377">
        <v>0.23</v>
      </c>
      <c r="G10377">
        <v>0.38</v>
      </c>
      <c r="H10377" s="1" t="str">
        <f>HYPERLINK("http://www.weizmann.ac.il/complex/compphys/software/geview/data/figures/209512_at.png","Figure")</f>
        <v>Figure</v>
      </c>
      <c r="I10377">
        <v>0.98499999999999999</v>
      </c>
      <c r="J10377">
        <v>0.3</v>
      </c>
      <c r="K10377">
        <v>1</v>
      </c>
      <c r="L10377">
        <v>1</v>
      </c>
      <c r="M10377">
        <v>1.02</v>
      </c>
      <c r="N10377">
        <v>0.26</v>
      </c>
    </row>
    <row r="10378" spans="1:14" x14ac:dyDescent="0.25">
      <c r="A10378" t="s">
        <v>18108</v>
      </c>
      <c r="B10378" t="s">
        <v>18109</v>
      </c>
      <c r="C10378" s="1" t="str">
        <f>HYPERLINK("http://www.genecards.org/cgi-bin/carddisp.pl?gene=GNAI1","GeneCards")</f>
        <v>GeneCards</v>
      </c>
      <c r="D10378" s="1" t="str">
        <f>HYPERLINK("http://genome-euro.ucsc.edu/cgi-bin/hgTracks?position=209576_at","UCSC")</f>
        <v>UCSC</v>
      </c>
      <c r="E10378" s="1" t="str">
        <f>HYPERLINK("http://www.ncbi.nlm.nih.gov/gene/?term=GNAI1","NCBI")</f>
        <v>NCBI</v>
      </c>
      <c r="F10378">
        <v>0.23</v>
      </c>
      <c r="G10378">
        <v>0.38</v>
      </c>
      <c r="H10378" s="1" t="str">
        <f>HYPERLINK("http://www.weizmann.ac.il/complex/compphys/software/geview/data/figures/209576_at.png","Figure")</f>
        <v>Figure</v>
      </c>
      <c r="I10378">
        <v>0.95399999999999996</v>
      </c>
      <c r="J10378">
        <v>0.3</v>
      </c>
      <c r="K10378">
        <v>1</v>
      </c>
      <c r="L10378">
        <v>1</v>
      </c>
      <c r="M10378">
        <v>1.05</v>
      </c>
      <c r="N10378">
        <v>0.26</v>
      </c>
    </row>
    <row r="10379" spans="1:14" x14ac:dyDescent="0.25">
      <c r="A10379" t="s">
        <v>18110</v>
      </c>
      <c r="B10379" t="s">
        <v>18111</v>
      </c>
      <c r="C10379" s="1" t="str">
        <f>HYPERLINK("http://www.genecards.org/cgi-bin/carddisp.pl?gene=MINPP1","GeneCards")</f>
        <v>GeneCards</v>
      </c>
      <c r="D10379" s="1" t="str">
        <f>HYPERLINK("http://genome-euro.ucsc.edu/cgi-bin/hgTracks?position=209585_s_at","UCSC")</f>
        <v>UCSC</v>
      </c>
      <c r="E10379" s="1" t="str">
        <f>HYPERLINK("http://www.ncbi.nlm.nih.gov/gene/?term=MINPP1","NCBI")</f>
        <v>NCBI</v>
      </c>
      <c r="F10379">
        <v>0.23</v>
      </c>
      <c r="G10379">
        <v>0.38</v>
      </c>
      <c r="H10379" s="1" t="str">
        <f>HYPERLINK("http://www.weizmann.ac.il/complex/compphys/software/geview/data/figures/209585_s_at.png","Figure")</f>
        <v>Figure</v>
      </c>
      <c r="I10379">
        <v>0.94299999999999995</v>
      </c>
      <c r="J10379">
        <v>0.3</v>
      </c>
      <c r="K10379">
        <v>1</v>
      </c>
      <c r="L10379">
        <v>1</v>
      </c>
      <c r="M10379">
        <v>1.06</v>
      </c>
      <c r="N10379">
        <v>0.26</v>
      </c>
    </row>
    <row r="10380" spans="1:14" x14ac:dyDescent="0.25">
      <c r="A10380" t="s">
        <v>18112</v>
      </c>
      <c r="B10380" t="s">
        <v>8763</v>
      </c>
      <c r="C10380" s="1" t="str">
        <f>HYPERLINK("http://www.genecards.org/cgi-bin/carddisp.pl?gene=ACOX1","GeneCards")</f>
        <v>GeneCards</v>
      </c>
      <c r="D10380" s="1" t="str">
        <f>HYPERLINK("http://genome-euro.ucsc.edu/cgi-bin/hgTracks?position=209600_s_at","UCSC")</f>
        <v>UCSC</v>
      </c>
      <c r="E10380" s="1" t="str">
        <f>HYPERLINK("http://www.ncbi.nlm.nih.gov/gene/?term=ACOX1","NCBI")</f>
        <v>NCBI</v>
      </c>
      <c r="F10380">
        <v>0.23</v>
      </c>
      <c r="G10380">
        <v>0.38</v>
      </c>
      <c r="H10380" s="1" t="str">
        <f>HYPERLINK("http://www.weizmann.ac.il/complex/compphys/software/geview/data/figures/209600_s_at.png","Figure")</f>
        <v>Figure</v>
      </c>
      <c r="I10380">
        <v>0.91900000000000004</v>
      </c>
      <c r="J10380">
        <v>0.3</v>
      </c>
      <c r="K10380">
        <v>1</v>
      </c>
      <c r="L10380">
        <v>1</v>
      </c>
      <c r="M10380">
        <v>1.0900000000000001</v>
      </c>
      <c r="N10380">
        <v>0.26</v>
      </c>
    </row>
    <row r="10381" spans="1:14" x14ac:dyDescent="0.25">
      <c r="A10381" t="s">
        <v>18113</v>
      </c>
      <c r="B10381" t="s">
        <v>18114</v>
      </c>
      <c r="C10381" s="1" t="str">
        <f>HYPERLINK("http://www.genecards.org/cgi-bin/carddisp.pl?gene=PML","GeneCards")</f>
        <v>GeneCards</v>
      </c>
      <c r="D10381" s="1" t="str">
        <f>HYPERLINK("http://genome-euro.ucsc.edu/cgi-bin/hgTracks?position=209640_at","UCSC")</f>
        <v>UCSC</v>
      </c>
      <c r="E10381" s="1" t="str">
        <f>HYPERLINK("http://www.ncbi.nlm.nih.gov/gene/?term=PML","NCBI")</f>
        <v>NCBI</v>
      </c>
      <c r="F10381">
        <v>0.23</v>
      </c>
      <c r="G10381">
        <v>0.38</v>
      </c>
      <c r="H10381" s="1" t="str">
        <f>HYPERLINK("http://www.weizmann.ac.il/complex/compphys/software/geview/data/figures/209640_at.png","Figure")</f>
        <v>Figure</v>
      </c>
      <c r="I10381">
        <v>0.99299999999999999</v>
      </c>
      <c r="J10381">
        <v>0.3</v>
      </c>
      <c r="K10381">
        <v>1</v>
      </c>
      <c r="L10381">
        <v>1</v>
      </c>
      <c r="M10381">
        <v>1.01</v>
      </c>
      <c r="N10381">
        <v>0.26</v>
      </c>
    </row>
    <row r="10382" spans="1:14" x14ac:dyDescent="0.25">
      <c r="A10382" t="s">
        <v>18115</v>
      </c>
      <c r="B10382" t="s">
        <v>18116</v>
      </c>
      <c r="C10382" s="1" t="str">
        <f>HYPERLINK("http://www.genecards.org/cgi-bin/carddisp.pl?gene=STAM2","GeneCards")</f>
        <v>GeneCards</v>
      </c>
      <c r="D10382" s="1" t="str">
        <f>HYPERLINK("http://genome-euro.ucsc.edu/cgi-bin/hgTracks?position=209649_at","UCSC")</f>
        <v>UCSC</v>
      </c>
      <c r="E10382" s="1" t="str">
        <f>HYPERLINK("http://www.ncbi.nlm.nih.gov/gene/?term=STAM2","NCBI")</f>
        <v>NCBI</v>
      </c>
      <c r="F10382">
        <v>0.23</v>
      </c>
      <c r="G10382">
        <v>0.38</v>
      </c>
      <c r="H10382" s="1" t="str">
        <f>HYPERLINK("http://www.weizmann.ac.il/complex/compphys/software/geview/data/figures/209649_at.png","Figure")</f>
        <v>Figure</v>
      </c>
      <c r="I10382">
        <v>0.99099999999999999</v>
      </c>
      <c r="J10382">
        <v>0.3</v>
      </c>
      <c r="K10382">
        <v>1</v>
      </c>
      <c r="L10382">
        <v>1</v>
      </c>
      <c r="M10382">
        <v>1.01</v>
      </c>
      <c r="N10382">
        <v>0.26</v>
      </c>
    </row>
    <row r="10383" spans="1:14" x14ac:dyDescent="0.25">
      <c r="A10383" t="s">
        <v>18117</v>
      </c>
      <c r="B10383" t="s">
        <v>18118</v>
      </c>
      <c r="C10383" s="1" t="str">
        <f>HYPERLINK("http://www.genecards.org/cgi-bin/carddisp.pl?gene=FTO","GeneCards")</f>
        <v>GeneCards</v>
      </c>
      <c r="D10383" s="1" t="str">
        <f>HYPERLINK("http://genome-euro.ucsc.edu/cgi-bin/hgTracks?position=209702_at","UCSC")</f>
        <v>UCSC</v>
      </c>
      <c r="E10383" s="1" t="str">
        <f>HYPERLINK("http://www.ncbi.nlm.nih.gov/gene/?term=FTO","NCBI")</f>
        <v>NCBI</v>
      </c>
      <c r="F10383">
        <v>0.23</v>
      </c>
      <c r="G10383">
        <v>0.38</v>
      </c>
      <c r="H10383" s="1" t="str">
        <f>HYPERLINK("http://www.weizmann.ac.il/complex/compphys/software/geview/data/figures/209702_at.png","Figure")</f>
        <v>Figure</v>
      </c>
      <c r="I10383">
        <v>1.2</v>
      </c>
      <c r="J10383">
        <v>0.21</v>
      </c>
      <c r="K10383">
        <v>1.1000000000000001</v>
      </c>
      <c r="L10383">
        <v>0.53</v>
      </c>
      <c r="M10383">
        <v>0.91900000000000004</v>
      </c>
      <c r="N10383">
        <v>0.65</v>
      </c>
    </row>
    <row r="10384" spans="1:14" x14ac:dyDescent="0.25">
      <c r="A10384" t="s">
        <v>18119</v>
      </c>
      <c r="B10384" t="s">
        <v>18120</v>
      </c>
      <c r="C10384" s="1" t="str">
        <f>HYPERLINK("http://www.genecards.org/cgi-bin/carddisp.pl?gene=MAGI2","GeneCards")</f>
        <v>GeneCards</v>
      </c>
      <c r="D10384" s="1" t="str">
        <f>HYPERLINK("http://genome-euro.ucsc.edu/cgi-bin/hgTracks?position=209737_at","UCSC")</f>
        <v>UCSC</v>
      </c>
      <c r="E10384" s="1" t="str">
        <f>HYPERLINK("http://www.ncbi.nlm.nih.gov/gene/?term=MAGI2","NCBI")</f>
        <v>NCBI</v>
      </c>
      <c r="F10384">
        <v>0.23</v>
      </c>
      <c r="G10384">
        <v>0.38</v>
      </c>
      <c r="H10384" s="1" t="str">
        <f>HYPERLINK("http://www.weizmann.ac.il/complex/compphys/software/geview/data/figures/209737_at.png","Figure")</f>
        <v>Figure</v>
      </c>
      <c r="I10384">
        <v>0.94</v>
      </c>
      <c r="J10384">
        <v>0.3</v>
      </c>
      <c r="K10384">
        <v>1</v>
      </c>
      <c r="L10384">
        <v>1</v>
      </c>
      <c r="M10384">
        <v>1.06</v>
      </c>
      <c r="N10384">
        <v>0.26</v>
      </c>
    </row>
    <row r="10385" spans="1:14" x14ac:dyDescent="0.25">
      <c r="A10385" t="s">
        <v>18121</v>
      </c>
      <c r="B10385" t="s">
        <v>18122</v>
      </c>
      <c r="C10385" s="1" t="str">
        <f>HYPERLINK("http://www.genecards.org/cgi-bin/carddisp.pl?gene=MFAP5","GeneCards")</f>
        <v>GeneCards</v>
      </c>
      <c r="D10385" s="1" t="str">
        <f>HYPERLINK("http://genome-euro.ucsc.edu/cgi-bin/hgTracks?position=209758_s_at","UCSC")</f>
        <v>UCSC</v>
      </c>
      <c r="E10385" s="1" t="str">
        <f>HYPERLINK("http://www.ncbi.nlm.nih.gov/gene/?term=MFAP5","NCBI")</f>
        <v>NCBI</v>
      </c>
      <c r="F10385">
        <v>0.23</v>
      </c>
      <c r="G10385">
        <v>0.38</v>
      </c>
      <c r="H10385" s="1" t="str">
        <f>HYPERLINK("http://www.weizmann.ac.il/complex/compphys/software/geview/data/figures/209758_s_at.png","Figure")</f>
        <v>Figure</v>
      </c>
      <c r="I10385">
        <v>0.94599999999999995</v>
      </c>
      <c r="J10385">
        <v>0.3</v>
      </c>
      <c r="K10385">
        <v>1</v>
      </c>
      <c r="L10385">
        <v>1</v>
      </c>
      <c r="M10385">
        <v>1.06</v>
      </c>
      <c r="N10385">
        <v>0.26</v>
      </c>
    </row>
    <row r="10386" spans="1:14" x14ac:dyDescent="0.25">
      <c r="A10386" t="s">
        <v>18123</v>
      </c>
      <c r="B10386" t="s">
        <v>18124</v>
      </c>
      <c r="C10386" s="1" t="str">
        <f>HYPERLINK("http://www.genecards.org/cgi-bin/carddisp.pl?gene=GLT25D2","GeneCards")</f>
        <v>GeneCards</v>
      </c>
      <c r="D10386" s="1" t="str">
        <f>HYPERLINK("http://genome-euro.ucsc.edu/cgi-bin/hgTracks?position=209883_at","UCSC")</f>
        <v>UCSC</v>
      </c>
      <c r="E10386" s="1" t="str">
        <f>HYPERLINK("http://www.ncbi.nlm.nih.gov/gene/?term=GLT25D2","NCBI")</f>
        <v>NCBI</v>
      </c>
      <c r="F10386">
        <v>0.23</v>
      </c>
      <c r="G10386">
        <v>0.38</v>
      </c>
      <c r="H10386" s="1" t="str">
        <f>HYPERLINK("http://www.weizmann.ac.il/complex/compphys/software/geview/data/figures/209883_at.png","Figure")</f>
        <v>Figure</v>
      </c>
      <c r="I10386">
        <v>1.01</v>
      </c>
      <c r="J10386">
        <v>0.9</v>
      </c>
      <c r="K10386">
        <v>0.97</v>
      </c>
      <c r="L10386">
        <v>0.42</v>
      </c>
      <c r="M10386">
        <v>0.95799999999999996</v>
      </c>
      <c r="N10386">
        <v>0.25</v>
      </c>
    </row>
    <row r="10387" spans="1:14" x14ac:dyDescent="0.25">
      <c r="A10387" t="s">
        <v>18125</v>
      </c>
      <c r="B10387" t="s">
        <v>16636</v>
      </c>
      <c r="C10387" s="1" t="str">
        <f>HYPERLINK("http://www.genecards.org/cgi-bin/carddisp.pl?gene=PTPN11","GeneCards")</f>
        <v>GeneCards</v>
      </c>
      <c r="D10387" s="1" t="str">
        <f>HYPERLINK("http://genome-euro.ucsc.edu/cgi-bin/hgTracks?position=209895_at","UCSC")</f>
        <v>UCSC</v>
      </c>
      <c r="E10387" s="1" t="str">
        <f>HYPERLINK("http://www.ncbi.nlm.nih.gov/gene/?term=PTPN11","NCBI")</f>
        <v>NCBI</v>
      </c>
      <c r="F10387">
        <v>0.23</v>
      </c>
      <c r="G10387">
        <v>0.38</v>
      </c>
      <c r="H10387" s="1" t="str">
        <f>HYPERLINK("http://www.weizmann.ac.il/complex/compphys/software/geview/data/figures/209895_at.png","Figure")</f>
        <v>Figure</v>
      </c>
      <c r="I10387">
        <v>0.82399999999999995</v>
      </c>
      <c r="J10387">
        <v>0.2</v>
      </c>
      <c r="K10387">
        <v>0.91900000000000004</v>
      </c>
      <c r="L10387">
        <v>0.65</v>
      </c>
      <c r="M10387">
        <v>1.1200000000000001</v>
      </c>
      <c r="N10387">
        <v>0.53</v>
      </c>
    </row>
    <row r="10388" spans="1:14" x14ac:dyDescent="0.25">
      <c r="A10388" t="s">
        <v>18126</v>
      </c>
      <c r="B10388" t="s">
        <v>18127</v>
      </c>
      <c r="C10388" s="1" t="str">
        <f>HYPERLINK("http://www.genecards.org/cgi-bin/carddisp.pl?gene=LYL1","GeneCards")</f>
        <v>GeneCards</v>
      </c>
      <c r="D10388" s="1" t="str">
        <f>HYPERLINK("http://genome-euro.ucsc.edu/cgi-bin/hgTracks?position=210044_s_at","UCSC")</f>
        <v>UCSC</v>
      </c>
      <c r="E10388" s="1" t="str">
        <f>HYPERLINK("http://www.ncbi.nlm.nih.gov/gene/?term=LYL1","NCBI")</f>
        <v>NCBI</v>
      </c>
      <c r="F10388">
        <v>0.23</v>
      </c>
      <c r="G10388">
        <v>0.38</v>
      </c>
      <c r="H10388" s="1" t="str">
        <f>HYPERLINK("http://www.weizmann.ac.il/complex/compphys/software/geview/data/figures/210044_s_at.png","Figure")</f>
        <v>Figure</v>
      </c>
      <c r="I10388">
        <v>1.23</v>
      </c>
      <c r="J10388">
        <v>0.33</v>
      </c>
      <c r="K10388">
        <v>1.23</v>
      </c>
      <c r="L10388">
        <v>0.26</v>
      </c>
      <c r="M10388">
        <v>0.99399999999999999</v>
      </c>
      <c r="N10388">
        <v>1</v>
      </c>
    </row>
    <row r="10389" spans="1:14" x14ac:dyDescent="0.25">
      <c r="A10389" t="s">
        <v>18128</v>
      </c>
      <c r="B10389" t="s">
        <v>18129</v>
      </c>
      <c r="C10389" s="1" t="str">
        <f>HYPERLINK("http://www.genecards.org/cgi-bin/carddisp.pl?gene=LOC100289878","GeneCards")</f>
        <v>GeneCards</v>
      </c>
      <c r="D10389" s="1" t="str">
        <f>HYPERLINK("http://genome-euro.ucsc.edu/cgi-bin/hgTracks?position=210144_at","UCSC")</f>
        <v>UCSC</v>
      </c>
      <c r="E10389" s="1" t="str">
        <f>HYPERLINK("http://www.ncbi.nlm.nih.gov/gene/?term=LOC100289878","NCBI")</f>
        <v>NCBI</v>
      </c>
      <c r="F10389">
        <v>0.23</v>
      </c>
      <c r="G10389">
        <v>0.38</v>
      </c>
      <c r="H10389" s="1" t="str">
        <f>HYPERLINK("http://www.weizmann.ac.il/complex/compphys/software/geview/data/figures/210144_at.png","Figure")</f>
        <v>Figure</v>
      </c>
      <c r="I10389">
        <v>1.06</v>
      </c>
      <c r="J10389">
        <v>0.69</v>
      </c>
      <c r="K10389">
        <v>1.1200000000000001</v>
      </c>
      <c r="L10389">
        <v>0.2</v>
      </c>
      <c r="M10389">
        <v>1.06</v>
      </c>
      <c r="N10389">
        <v>0.7</v>
      </c>
    </row>
    <row r="10390" spans="1:14" x14ac:dyDescent="0.25">
      <c r="A10390" t="s">
        <v>18130</v>
      </c>
      <c r="B10390" t="s">
        <v>18131</v>
      </c>
      <c r="C10390" s="1" t="str">
        <f>HYPERLINK("http://www.genecards.org/cgi-bin/carddisp.pl?gene=RAD51L1","GeneCards")</f>
        <v>GeneCards</v>
      </c>
      <c r="D10390" s="1" t="str">
        <f>HYPERLINK("http://genome-euro.ucsc.edu/cgi-bin/hgTracks?position=210255_at","UCSC")</f>
        <v>UCSC</v>
      </c>
      <c r="E10390" s="1" t="str">
        <f>HYPERLINK("http://www.ncbi.nlm.nih.gov/gene/?term=RAD51L1","NCBI")</f>
        <v>NCBI</v>
      </c>
      <c r="F10390">
        <v>0.23</v>
      </c>
      <c r="G10390">
        <v>0.38</v>
      </c>
      <c r="H10390" s="1" t="str">
        <f>HYPERLINK("http://www.weizmann.ac.il/complex/compphys/software/geview/data/figures/210255_at.png","Figure")</f>
        <v>Figure</v>
      </c>
      <c r="I10390">
        <v>0.997</v>
      </c>
      <c r="J10390">
        <v>0.3</v>
      </c>
      <c r="K10390">
        <v>1</v>
      </c>
      <c r="L10390">
        <v>1</v>
      </c>
      <c r="M10390">
        <v>1</v>
      </c>
      <c r="N10390">
        <v>0.26</v>
      </c>
    </row>
    <row r="10391" spans="1:14" x14ac:dyDescent="0.25">
      <c r="A10391" t="s">
        <v>18132</v>
      </c>
      <c r="B10391" t="s">
        <v>18133</v>
      </c>
      <c r="C10391" s="1" t="str">
        <f>HYPERLINK("http://www.genecards.org/cgi-bin/carddisp.pl?gene=KLF1","GeneCards")</f>
        <v>GeneCards</v>
      </c>
      <c r="D10391" s="1" t="str">
        <f>HYPERLINK("http://genome-euro.ucsc.edu/cgi-bin/hgTracks?position=210504_at","UCSC")</f>
        <v>UCSC</v>
      </c>
      <c r="E10391" s="1" t="str">
        <f>HYPERLINK("http://www.ncbi.nlm.nih.gov/gene/?term=KLF1","NCBI")</f>
        <v>NCBI</v>
      </c>
      <c r="F10391">
        <v>0.23</v>
      </c>
      <c r="G10391">
        <v>0.38</v>
      </c>
      <c r="H10391" s="1" t="str">
        <f>HYPERLINK("http://www.weizmann.ac.il/complex/compphys/software/geview/data/figures/210504_at.png","Figure")</f>
        <v>Figure</v>
      </c>
      <c r="I10391">
        <v>1.1599999999999999</v>
      </c>
      <c r="J10391">
        <v>0.21</v>
      </c>
      <c r="K10391">
        <v>1.08</v>
      </c>
      <c r="L10391">
        <v>0.54</v>
      </c>
      <c r="M10391">
        <v>0.93100000000000005</v>
      </c>
      <c r="N10391">
        <v>0.64</v>
      </c>
    </row>
    <row r="10392" spans="1:14" x14ac:dyDescent="0.25">
      <c r="A10392" t="s">
        <v>18134</v>
      </c>
      <c r="B10392" t="s">
        <v>5770</v>
      </c>
      <c r="C10392" s="1" t="str">
        <f>HYPERLINK("http://www.genecards.org/cgi-bin/carddisp.pl?gene=TTLL5","GeneCards")</f>
        <v>GeneCards</v>
      </c>
      <c r="D10392" s="1" t="str">
        <f>HYPERLINK("http://genome-euro.ucsc.edu/cgi-bin/hgTracks?position=210539_at","UCSC")</f>
        <v>UCSC</v>
      </c>
      <c r="E10392" s="1" t="str">
        <f>HYPERLINK("http://www.ncbi.nlm.nih.gov/gene/?term=TTLL5","NCBI")</f>
        <v>NCBI</v>
      </c>
      <c r="F10392">
        <v>0.23</v>
      </c>
      <c r="G10392">
        <v>0.38</v>
      </c>
      <c r="H10392" s="1" t="str">
        <f>HYPERLINK("http://www.weizmann.ac.il/complex/compphys/software/geview/data/figures/210539_at.png","Figure")</f>
        <v>Figure</v>
      </c>
      <c r="I10392">
        <v>1.17</v>
      </c>
      <c r="J10392">
        <v>0.24</v>
      </c>
      <c r="K10392">
        <v>1.03</v>
      </c>
      <c r="L10392">
        <v>0.93</v>
      </c>
      <c r="M10392">
        <v>0.878</v>
      </c>
      <c r="N10392">
        <v>0.33</v>
      </c>
    </row>
    <row r="10393" spans="1:14" x14ac:dyDescent="0.25">
      <c r="A10393" t="s">
        <v>18135</v>
      </c>
      <c r="B10393" t="s">
        <v>3347</v>
      </c>
      <c r="C10393" s="1" t="str">
        <f>HYPERLINK("http://www.genecards.org/cgi-bin/carddisp.pl?gene=CAPN9","GeneCards")</f>
        <v>GeneCards</v>
      </c>
      <c r="D10393" s="1" t="str">
        <f>HYPERLINK("http://genome-euro.ucsc.edu/cgi-bin/hgTracks?position=210641_at","UCSC")</f>
        <v>UCSC</v>
      </c>
      <c r="E10393" s="1" t="str">
        <f>HYPERLINK("http://www.ncbi.nlm.nih.gov/gene/?term=CAPN9","NCBI")</f>
        <v>NCBI</v>
      </c>
      <c r="F10393">
        <v>0.23</v>
      </c>
      <c r="G10393">
        <v>0.38</v>
      </c>
      <c r="H10393" s="1" t="str">
        <f>HYPERLINK("http://www.weizmann.ac.il/complex/compphys/software/geview/data/figures/210641_at.png","Figure")</f>
        <v>Figure</v>
      </c>
      <c r="I10393">
        <v>0.98799999999999999</v>
      </c>
      <c r="J10393">
        <v>0.3</v>
      </c>
      <c r="K10393">
        <v>1</v>
      </c>
      <c r="L10393">
        <v>1</v>
      </c>
      <c r="M10393">
        <v>1.01</v>
      </c>
      <c r="N10393">
        <v>0.26</v>
      </c>
    </row>
    <row r="10394" spans="1:14" x14ac:dyDescent="0.25">
      <c r="A10394" t="s">
        <v>18136</v>
      </c>
      <c r="B10394" t="s">
        <v>18137</v>
      </c>
      <c r="C10394" s="1" t="str">
        <f>HYPERLINK("http://www.genecards.org/cgi-bin/carddisp.pl?gene=CASP10","GeneCards")</f>
        <v>GeneCards</v>
      </c>
      <c r="D10394" s="1" t="str">
        <f>HYPERLINK("http://genome-euro.ucsc.edu/cgi-bin/hgTracks?position=210708_x_at","UCSC")</f>
        <v>UCSC</v>
      </c>
      <c r="E10394" s="1" t="str">
        <f>HYPERLINK("http://www.ncbi.nlm.nih.gov/gene/?term=CASP10","NCBI")</f>
        <v>NCBI</v>
      </c>
      <c r="F10394">
        <v>0.23</v>
      </c>
      <c r="G10394">
        <v>0.38</v>
      </c>
      <c r="H10394" s="1" t="str">
        <f>HYPERLINK("http://www.weizmann.ac.il/complex/compphys/software/geview/data/figures/210708_x_at.png","Figure")</f>
        <v>Figure</v>
      </c>
      <c r="I10394">
        <v>1.18</v>
      </c>
      <c r="J10394">
        <v>0.21</v>
      </c>
      <c r="K10394">
        <v>1.06</v>
      </c>
      <c r="L10394">
        <v>0.77</v>
      </c>
      <c r="M10394">
        <v>0.89600000000000002</v>
      </c>
      <c r="N10394">
        <v>0.44</v>
      </c>
    </row>
    <row r="10395" spans="1:14" x14ac:dyDescent="0.25">
      <c r="A10395" t="s">
        <v>18138</v>
      </c>
      <c r="B10395" t="s">
        <v>18139</v>
      </c>
      <c r="C10395" s="1" t="str">
        <f>HYPERLINK("http://www.genecards.org/cgi-bin/carddisp.pl?gene=CASP9","GeneCards")</f>
        <v>GeneCards</v>
      </c>
      <c r="D10395" s="1" t="str">
        <f>HYPERLINK("http://genome-euro.ucsc.edu/cgi-bin/hgTracks?position=210775_x_at","UCSC")</f>
        <v>UCSC</v>
      </c>
      <c r="E10395" s="1" t="str">
        <f>HYPERLINK("http://www.ncbi.nlm.nih.gov/gene/?term=CASP9","NCBI")</f>
        <v>NCBI</v>
      </c>
      <c r="F10395">
        <v>0.23</v>
      </c>
      <c r="G10395">
        <v>0.38</v>
      </c>
      <c r="H10395" s="1" t="str">
        <f>HYPERLINK("http://www.weizmann.ac.il/complex/compphys/software/geview/data/figures/210775_x_at.png","Figure")</f>
        <v>Figure</v>
      </c>
      <c r="I10395">
        <v>1.04</v>
      </c>
      <c r="J10395">
        <v>0.89</v>
      </c>
      <c r="K10395">
        <v>0.91200000000000003</v>
      </c>
      <c r="L10395">
        <v>0.44</v>
      </c>
      <c r="M10395">
        <v>0.877</v>
      </c>
      <c r="N10395">
        <v>0.25</v>
      </c>
    </row>
    <row r="10396" spans="1:14" x14ac:dyDescent="0.25">
      <c r="A10396" t="s">
        <v>18140</v>
      </c>
      <c r="B10396" t="s">
        <v>13224</v>
      </c>
      <c r="C10396" s="1" t="str">
        <f>HYPERLINK("http://www.genecards.org/cgi-bin/carddisp.pl?gene=SLC16A7","GeneCards")</f>
        <v>GeneCards</v>
      </c>
      <c r="D10396" s="1" t="str">
        <f>HYPERLINK("http://genome-euro.ucsc.edu/cgi-bin/hgTracks?position=210807_s_at","UCSC")</f>
        <v>UCSC</v>
      </c>
      <c r="E10396" s="1" t="str">
        <f>HYPERLINK("http://www.ncbi.nlm.nih.gov/gene/?term=SLC16A7","NCBI")</f>
        <v>NCBI</v>
      </c>
      <c r="F10396">
        <v>0.23</v>
      </c>
      <c r="G10396">
        <v>0.38</v>
      </c>
      <c r="H10396" s="1" t="str">
        <f>HYPERLINK("http://www.weizmann.ac.il/complex/compphys/software/geview/data/figures/210807_s_at.png","Figure")</f>
        <v>Figure</v>
      </c>
      <c r="I10396">
        <v>0.93100000000000005</v>
      </c>
      <c r="J10396">
        <v>0.3</v>
      </c>
      <c r="K10396">
        <v>1</v>
      </c>
      <c r="L10396">
        <v>1</v>
      </c>
      <c r="M10396">
        <v>1.07</v>
      </c>
      <c r="N10396">
        <v>0.26</v>
      </c>
    </row>
    <row r="10397" spans="1:14" x14ac:dyDescent="0.25">
      <c r="A10397" t="s">
        <v>18141</v>
      </c>
      <c r="B10397" t="s">
        <v>9221</v>
      </c>
      <c r="C10397" s="1" t="str">
        <f>HYPERLINK("http://www.genecards.org/cgi-bin/carddisp.pl?gene=DDX49","GeneCards")</f>
        <v>GeneCards</v>
      </c>
      <c r="D10397" s="1" t="str">
        <f>HYPERLINK("http://genome-euro.ucsc.edu/cgi-bin/hgTracks?position=210811_s_at","UCSC")</f>
        <v>UCSC</v>
      </c>
      <c r="E10397" s="1" t="str">
        <f>HYPERLINK("http://www.ncbi.nlm.nih.gov/gene/?term=DDX49","NCBI")</f>
        <v>NCBI</v>
      </c>
      <c r="F10397">
        <v>0.23</v>
      </c>
      <c r="G10397">
        <v>0.38</v>
      </c>
      <c r="H10397" s="1" t="str">
        <f>HYPERLINK("http://www.weizmann.ac.il/complex/compphys/software/geview/data/figures/210811_s_at.png","Figure")</f>
        <v>Figure</v>
      </c>
      <c r="I10397">
        <v>0.96599999999999997</v>
      </c>
      <c r="J10397">
        <v>0.3</v>
      </c>
      <c r="K10397">
        <v>1</v>
      </c>
      <c r="L10397">
        <v>1</v>
      </c>
      <c r="M10397">
        <v>1.04</v>
      </c>
      <c r="N10397">
        <v>0.26</v>
      </c>
    </row>
    <row r="10398" spans="1:14" x14ac:dyDescent="0.25">
      <c r="A10398" t="s">
        <v>18142</v>
      </c>
      <c r="B10398" t="s">
        <v>11177</v>
      </c>
      <c r="C10398" s="1" t="str">
        <f>HYPERLINK("http://www.genecards.org/cgi-bin/carddisp.pl?gene=TRO","GeneCards")</f>
        <v>GeneCards</v>
      </c>
      <c r="D10398" s="1" t="str">
        <f>HYPERLINK("http://genome-euro.ucsc.edu/cgi-bin/hgTracks?position=210882_s_at","UCSC")</f>
        <v>UCSC</v>
      </c>
      <c r="E10398" s="1" t="str">
        <f>HYPERLINK("http://www.ncbi.nlm.nih.gov/gene/?term=TRO","NCBI")</f>
        <v>NCBI</v>
      </c>
      <c r="F10398">
        <v>0.23</v>
      </c>
      <c r="G10398">
        <v>0.38</v>
      </c>
      <c r="H10398" s="1" t="str">
        <f>HYPERLINK("http://www.weizmann.ac.il/complex/compphys/software/geview/data/figures/210882_s_at.png","Figure")</f>
        <v>Figure</v>
      </c>
      <c r="I10398">
        <v>0.88300000000000001</v>
      </c>
      <c r="J10398">
        <v>0.3</v>
      </c>
      <c r="K10398">
        <v>1</v>
      </c>
      <c r="L10398">
        <v>1</v>
      </c>
      <c r="M10398">
        <v>1.1299999999999999</v>
      </c>
      <c r="N10398">
        <v>0.26</v>
      </c>
    </row>
    <row r="10399" spans="1:14" x14ac:dyDescent="0.25">
      <c r="A10399" t="s">
        <v>18143</v>
      </c>
      <c r="B10399" t="s">
        <v>14127</v>
      </c>
      <c r="C10399" s="1" t="str">
        <f>HYPERLINK("http://www.genecards.org/cgi-bin/carddisp.pl?gene=GRM1","GeneCards")</f>
        <v>GeneCards</v>
      </c>
      <c r="D10399" s="1" t="str">
        <f>HYPERLINK("http://genome-euro.ucsc.edu/cgi-bin/hgTracks?position=210940_s_at","UCSC")</f>
        <v>UCSC</v>
      </c>
      <c r="E10399" s="1" t="str">
        <f>HYPERLINK("http://www.ncbi.nlm.nih.gov/gene/?term=GRM1","NCBI")</f>
        <v>NCBI</v>
      </c>
      <c r="F10399">
        <v>0.23</v>
      </c>
      <c r="G10399">
        <v>0.38</v>
      </c>
      <c r="H10399" s="1" t="str">
        <f>HYPERLINK("http://www.weizmann.ac.il/complex/compphys/software/geview/data/figures/210940_s_at.png","Figure")</f>
        <v>Figure</v>
      </c>
      <c r="I10399">
        <v>0.99299999999999999</v>
      </c>
      <c r="J10399">
        <v>0.3</v>
      </c>
      <c r="K10399">
        <v>1</v>
      </c>
      <c r="L10399">
        <v>1</v>
      </c>
      <c r="M10399">
        <v>1.01</v>
      </c>
      <c r="N10399">
        <v>0.26</v>
      </c>
    </row>
    <row r="10400" spans="1:14" x14ac:dyDescent="0.25">
      <c r="A10400" t="s">
        <v>18144</v>
      </c>
      <c r="B10400" t="s">
        <v>11699</v>
      </c>
      <c r="C10400" s="1" t="str">
        <f>HYPERLINK("http://www.genecards.org/cgi-bin/carddisp.pl?gene=TRIM14","GeneCards")</f>
        <v>GeneCards</v>
      </c>
      <c r="D10400" s="1" t="str">
        <f>HYPERLINK("http://genome-euro.ucsc.edu/cgi-bin/hgTracks?position=211044_at","UCSC")</f>
        <v>UCSC</v>
      </c>
      <c r="E10400" s="1" t="str">
        <f>HYPERLINK("http://www.ncbi.nlm.nih.gov/gene/?term=TRIM14","NCBI")</f>
        <v>NCBI</v>
      </c>
      <c r="F10400">
        <v>0.23</v>
      </c>
      <c r="G10400">
        <v>0.38</v>
      </c>
      <c r="H10400" s="1" t="str">
        <f>HYPERLINK("http://www.weizmann.ac.il/complex/compphys/software/geview/data/figures/211044_at.png","Figure")</f>
        <v>Figure</v>
      </c>
      <c r="I10400">
        <v>0.98499999999999999</v>
      </c>
      <c r="J10400">
        <v>0.3</v>
      </c>
      <c r="K10400">
        <v>1</v>
      </c>
      <c r="L10400">
        <v>1</v>
      </c>
      <c r="M10400">
        <v>1.02</v>
      </c>
      <c r="N10400">
        <v>0.26</v>
      </c>
    </row>
    <row r="10401" spans="1:14" x14ac:dyDescent="0.25">
      <c r="A10401" t="s">
        <v>18145</v>
      </c>
      <c r="B10401" t="s">
        <v>18146</v>
      </c>
      <c r="C10401" s="1" t="str">
        <f>HYPERLINK("http://www.genecards.org/cgi-bin/carddisp.pl?gene=EFCAB2","GeneCards")</f>
        <v>GeneCards</v>
      </c>
      <c r="D10401" s="1" t="str">
        <f>HYPERLINK("http://genome-euro.ucsc.edu/cgi-bin/hgTracks?position=211200_s_at","UCSC")</f>
        <v>UCSC</v>
      </c>
      <c r="E10401" s="1" t="str">
        <f>HYPERLINK("http://www.ncbi.nlm.nih.gov/gene/?term=EFCAB2","NCBI")</f>
        <v>NCBI</v>
      </c>
      <c r="F10401">
        <v>0.23</v>
      </c>
      <c r="G10401">
        <v>0.38</v>
      </c>
      <c r="H10401" s="1" t="str">
        <f>HYPERLINK("http://www.weizmann.ac.il/complex/compphys/software/geview/data/figures/211200_s_at.png","Figure")</f>
        <v>Figure</v>
      </c>
      <c r="I10401">
        <v>0.83799999999999997</v>
      </c>
      <c r="J10401">
        <v>0.3</v>
      </c>
      <c r="K10401">
        <v>1</v>
      </c>
      <c r="L10401">
        <v>1</v>
      </c>
      <c r="M10401">
        <v>1.19</v>
      </c>
      <c r="N10401">
        <v>0.26</v>
      </c>
    </row>
    <row r="10402" spans="1:14" x14ac:dyDescent="0.25">
      <c r="A10402" t="s">
        <v>18147</v>
      </c>
      <c r="B10402" t="s">
        <v>8761</v>
      </c>
      <c r="C10402" s="1" t="str">
        <f>HYPERLINK("http://www.genecards.org/cgi-bin/carddisp.pl?gene=CFLAR","GeneCards")</f>
        <v>GeneCards</v>
      </c>
      <c r="D10402" s="1" t="str">
        <f>HYPERLINK("http://genome-euro.ucsc.edu/cgi-bin/hgTracks?position=211317_s_at","UCSC")</f>
        <v>UCSC</v>
      </c>
      <c r="E10402" s="1" t="str">
        <f>HYPERLINK("http://www.ncbi.nlm.nih.gov/gene/?term=CFLAR","NCBI")</f>
        <v>NCBI</v>
      </c>
      <c r="F10402">
        <v>0.23</v>
      </c>
      <c r="G10402">
        <v>0.38</v>
      </c>
      <c r="H10402" s="1" t="str">
        <f>HYPERLINK("http://www.weizmann.ac.il/complex/compphys/software/geview/data/figures/211317_s_at.png","Figure")</f>
        <v>Figure</v>
      </c>
      <c r="I10402">
        <v>0.99299999999999999</v>
      </c>
      <c r="J10402">
        <v>0.3</v>
      </c>
      <c r="K10402">
        <v>1</v>
      </c>
      <c r="L10402">
        <v>1</v>
      </c>
      <c r="M10402">
        <v>1.01</v>
      </c>
      <c r="N10402">
        <v>0.26</v>
      </c>
    </row>
    <row r="10403" spans="1:14" x14ac:dyDescent="0.25">
      <c r="A10403" t="s">
        <v>18148</v>
      </c>
      <c r="B10403" t="s">
        <v>14239</v>
      </c>
      <c r="C10403" s="1" t="str">
        <f>HYPERLINK("http://www.genecards.org/cgi-bin/carddisp.pl?gene=VEGFA","GeneCards")</f>
        <v>GeneCards</v>
      </c>
      <c r="D10403" s="1" t="str">
        <f>HYPERLINK("http://genome-euro.ucsc.edu/cgi-bin/hgTracks?position=211527_x_at","UCSC")</f>
        <v>UCSC</v>
      </c>
      <c r="E10403" s="1" t="str">
        <f>HYPERLINK("http://www.ncbi.nlm.nih.gov/gene/?term=VEGFA","NCBI")</f>
        <v>NCBI</v>
      </c>
      <c r="F10403">
        <v>0.23</v>
      </c>
      <c r="G10403">
        <v>0.38</v>
      </c>
      <c r="H10403" s="1" t="str">
        <f>HYPERLINK("http://www.weizmann.ac.il/complex/compphys/software/geview/data/figures/211527_x_at.png","Figure")</f>
        <v>Figure</v>
      </c>
      <c r="I10403">
        <v>1.08</v>
      </c>
      <c r="J10403">
        <v>0.25</v>
      </c>
      <c r="K10403">
        <v>1.01</v>
      </c>
      <c r="L10403">
        <v>0.96</v>
      </c>
      <c r="M10403">
        <v>0.93400000000000005</v>
      </c>
      <c r="N10403">
        <v>0.3</v>
      </c>
    </row>
    <row r="10404" spans="1:14" x14ac:dyDescent="0.25">
      <c r="A10404" t="s">
        <v>18149</v>
      </c>
      <c r="B10404" t="s">
        <v>12212</v>
      </c>
      <c r="C10404" s="1" t="str">
        <f>HYPERLINK("http://www.genecards.org/cgi-bin/carddisp.pl?gene=CCNE2","GeneCards")</f>
        <v>GeneCards</v>
      </c>
      <c r="D10404" s="1" t="str">
        <f>HYPERLINK("http://genome-euro.ucsc.edu/cgi-bin/hgTracks?position=211814_s_at","UCSC")</f>
        <v>UCSC</v>
      </c>
      <c r="E10404" s="1" t="str">
        <f>HYPERLINK("http://www.ncbi.nlm.nih.gov/gene/?term=CCNE2","NCBI")</f>
        <v>NCBI</v>
      </c>
      <c r="F10404">
        <v>0.23</v>
      </c>
      <c r="G10404">
        <v>0.38</v>
      </c>
      <c r="H10404" s="1" t="str">
        <f>HYPERLINK("http://www.weizmann.ac.il/complex/compphys/software/geview/data/figures/211814_s_at.png","Figure")</f>
        <v>Figure</v>
      </c>
      <c r="I10404">
        <v>0.96299999999999997</v>
      </c>
      <c r="J10404">
        <v>0.3</v>
      </c>
      <c r="K10404">
        <v>1</v>
      </c>
      <c r="L10404">
        <v>1</v>
      </c>
      <c r="M10404">
        <v>1.04</v>
      </c>
      <c r="N10404">
        <v>0.26</v>
      </c>
    </row>
    <row r="10405" spans="1:14" x14ac:dyDescent="0.25">
      <c r="A10405" t="s">
        <v>18150</v>
      </c>
      <c r="B10405" t="s">
        <v>10614</v>
      </c>
      <c r="C10405" s="1" t="str">
        <f>HYPERLINK("http://www.genecards.org/cgi-bin/carddisp.pl?gene=MLL","GeneCards")</f>
        <v>GeneCards</v>
      </c>
      <c r="D10405" s="1" t="str">
        <f>HYPERLINK("http://genome-euro.ucsc.edu/cgi-bin/hgTracks?position=212078_s_at","UCSC")</f>
        <v>UCSC</v>
      </c>
      <c r="E10405" s="1" t="str">
        <f>HYPERLINK("http://www.ncbi.nlm.nih.gov/gene/?term=MLL","NCBI")</f>
        <v>NCBI</v>
      </c>
      <c r="F10405">
        <v>0.23</v>
      </c>
      <c r="G10405">
        <v>0.38</v>
      </c>
      <c r="H10405" s="1" t="str">
        <f>HYPERLINK("http://www.weizmann.ac.il/complex/compphys/software/geview/data/figures/212078_s_at.png","Figure")</f>
        <v>Figure</v>
      </c>
      <c r="I10405">
        <v>1.23</v>
      </c>
      <c r="J10405">
        <v>0.3</v>
      </c>
      <c r="K10405">
        <v>1</v>
      </c>
      <c r="L10405">
        <v>1</v>
      </c>
      <c r="M10405">
        <v>0.81</v>
      </c>
      <c r="N10405">
        <v>0.25</v>
      </c>
    </row>
    <row r="10406" spans="1:14" x14ac:dyDescent="0.25">
      <c r="A10406" t="s">
        <v>18151</v>
      </c>
      <c r="B10406" t="s">
        <v>1865</v>
      </c>
      <c r="C10406" s="1" t="str">
        <f>HYPERLINK("http://www.genecards.org/cgi-bin/carddisp.pl?gene=AK2","GeneCards")</f>
        <v>GeneCards</v>
      </c>
      <c r="D10406" s="1" t="str">
        <f>HYPERLINK("http://genome-euro.ucsc.edu/cgi-bin/hgTracks?position=212172_at","UCSC")</f>
        <v>UCSC</v>
      </c>
      <c r="E10406" s="1" t="str">
        <f>HYPERLINK("http://www.ncbi.nlm.nih.gov/gene/?term=AK2","NCBI")</f>
        <v>NCBI</v>
      </c>
      <c r="F10406">
        <v>0.23</v>
      </c>
      <c r="G10406">
        <v>0.38</v>
      </c>
      <c r="H10406" s="1" t="str">
        <f>HYPERLINK("http://www.weizmann.ac.il/complex/compphys/software/geview/data/figures/212172_at.png","Figure")</f>
        <v>Figure</v>
      </c>
      <c r="I10406">
        <v>0.98299999999999998</v>
      </c>
      <c r="J10406">
        <v>0.3</v>
      </c>
      <c r="K10406">
        <v>1</v>
      </c>
      <c r="L10406">
        <v>1</v>
      </c>
      <c r="M10406">
        <v>1.02</v>
      </c>
      <c r="N10406">
        <v>0.26</v>
      </c>
    </row>
    <row r="10407" spans="1:14" x14ac:dyDescent="0.25">
      <c r="A10407" t="s">
        <v>18152</v>
      </c>
      <c r="B10407" t="s">
        <v>18153</v>
      </c>
      <c r="C10407" s="1" t="str">
        <f>HYPERLINK("http://www.genecards.org/cgi-bin/carddisp.pl?gene=MRFAP1L1","GeneCards")</f>
        <v>GeneCards</v>
      </c>
      <c r="D10407" s="1" t="str">
        <f>HYPERLINK("http://genome-euro.ucsc.edu/cgi-bin/hgTracks?position=212199_at","UCSC")</f>
        <v>UCSC</v>
      </c>
      <c r="E10407" s="1" t="str">
        <f>HYPERLINK("http://www.ncbi.nlm.nih.gov/gene/?term=MRFAP1L1","NCBI")</f>
        <v>NCBI</v>
      </c>
      <c r="F10407">
        <v>0.23</v>
      </c>
      <c r="G10407">
        <v>0.38</v>
      </c>
      <c r="H10407" s="1" t="str">
        <f>HYPERLINK("http://www.weizmann.ac.il/complex/compphys/software/geview/data/figures/212199_at.png","Figure")</f>
        <v>Figure</v>
      </c>
      <c r="I10407">
        <v>0.64100000000000001</v>
      </c>
      <c r="J10407">
        <v>0.28999999999999998</v>
      </c>
      <c r="K10407">
        <v>0.67800000000000005</v>
      </c>
      <c r="L10407">
        <v>0.28999999999999998</v>
      </c>
      <c r="M10407">
        <v>1.06</v>
      </c>
      <c r="N10407">
        <v>0.98</v>
      </c>
    </row>
    <row r="10408" spans="1:14" x14ac:dyDescent="0.25">
      <c r="A10408" t="s">
        <v>18154</v>
      </c>
      <c r="B10408" t="s">
        <v>10203</v>
      </c>
      <c r="C10408" s="1" t="str">
        <f>HYPERLINK("http://www.genecards.org/cgi-bin/carddisp.pl?gene=PREPL","GeneCards")</f>
        <v>GeneCards</v>
      </c>
      <c r="D10408" s="1" t="str">
        <f>HYPERLINK("http://genome-euro.ucsc.edu/cgi-bin/hgTracks?position=212217_at","UCSC")</f>
        <v>UCSC</v>
      </c>
      <c r="E10408" s="1" t="str">
        <f>HYPERLINK("http://www.ncbi.nlm.nih.gov/gene/?term=PREPL","NCBI")</f>
        <v>NCBI</v>
      </c>
      <c r="F10408">
        <v>0.23</v>
      </c>
      <c r="G10408">
        <v>0.38</v>
      </c>
      <c r="H10408" s="1" t="str">
        <f>HYPERLINK("http://www.weizmann.ac.il/complex/compphys/software/geview/data/figures/212217_at.png","Figure")</f>
        <v>Figure</v>
      </c>
      <c r="I10408">
        <v>0.95299999999999996</v>
      </c>
      <c r="J10408">
        <v>0.3</v>
      </c>
      <c r="K10408">
        <v>1</v>
      </c>
      <c r="L10408">
        <v>1</v>
      </c>
      <c r="M10408">
        <v>1.05</v>
      </c>
      <c r="N10408">
        <v>0.26</v>
      </c>
    </row>
    <row r="10409" spans="1:14" x14ac:dyDescent="0.25">
      <c r="A10409" t="s">
        <v>18155</v>
      </c>
      <c r="B10409" t="s">
        <v>7496</v>
      </c>
      <c r="C10409" s="1" t="str">
        <f>HYPERLINK("http://www.genecards.org/cgi-bin/carddisp.pl?gene=ANKRD12","GeneCards")</f>
        <v>GeneCards</v>
      </c>
      <c r="D10409" s="1" t="str">
        <f>HYPERLINK("http://genome-euro.ucsc.edu/cgi-bin/hgTracks?position=212289_at","UCSC")</f>
        <v>UCSC</v>
      </c>
      <c r="E10409" s="1" t="str">
        <f>HYPERLINK("http://www.ncbi.nlm.nih.gov/gene/?term=ANKRD12","NCBI")</f>
        <v>NCBI</v>
      </c>
      <c r="F10409">
        <v>0.23</v>
      </c>
      <c r="G10409">
        <v>0.38</v>
      </c>
      <c r="H10409" s="1" t="str">
        <f>HYPERLINK("http://www.weizmann.ac.il/complex/compphys/software/geview/data/figures/212289_at.png","Figure")</f>
        <v>Figure</v>
      </c>
      <c r="I10409">
        <v>0.73099999999999998</v>
      </c>
      <c r="J10409">
        <v>0.34</v>
      </c>
      <c r="K10409">
        <v>0.73099999999999998</v>
      </c>
      <c r="L10409">
        <v>0.25</v>
      </c>
      <c r="M10409">
        <v>1</v>
      </c>
      <c r="N10409">
        <v>1</v>
      </c>
    </row>
    <row r="10410" spans="1:14" x14ac:dyDescent="0.25">
      <c r="A10410" t="s">
        <v>18156</v>
      </c>
      <c r="B10410" t="s">
        <v>14631</v>
      </c>
      <c r="C10410" s="1" t="str">
        <f>HYPERLINK("http://www.genecards.org/cgi-bin/carddisp.pl?gene=RTF1","GeneCards")</f>
        <v>GeneCards</v>
      </c>
      <c r="D10410" s="1" t="str">
        <f>HYPERLINK("http://genome-euro.ucsc.edu/cgi-bin/hgTracks?position=212302_at","UCSC")</f>
        <v>UCSC</v>
      </c>
      <c r="E10410" s="1" t="str">
        <f>HYPERLINK("http://www.ncbi.nlm.nih.gov/gene/?term=RTF1","NCBI")</f>
        <v>NCBI</v>
      </c>
      <c r="F10410">
        <v>0.23</v>
      </c>
      <c r="G10410">
        <v>0.38</v>
      </c>
      <c r="H10410" s="1" t="str">
        <f>HYPERLINK("http://www.weizmann.ac.il/complex/compphys/software/geview/data/figures/212302_at.png","Figure")</f>
        <v>Figure</v>
      </c>
      <c r="I10410">
        <v>1.1299999999999999</v>
      </c>
      <c r="J10410">
        <v>0.68</v>
      </c>
      <c r="K10410">
        <v>1.25</v>
      </c>
      <c r="L10410">
        <v>0.2</v>
      </c>
      <c r="M10410">
        <v>1.1100000000000001</v>
      </c>
      <c r="N10410">
        <v>0.72</v>
      </c>
    </row>
    <row r="10411" spans="1:14" x14ac:dyDescent="0.25">
      <c r="A10411" t="s">
        <v>18157</v>
      </c>
      <c r="B10411" t="s">
        <v>16013</v>
      </c>
      <c r="C10411" s="1" t="str">
        <f>HYPERLINK("http://www.genecards.org/cgi-bin/carddisp.pl?gene=GNS","GeneCards")</f>
        <v>GeneCards</v>
      </c>
      <c r="D10411" s="1" t="str">
        <f>HYPERLINK("http://genome-euro.ucsc.edu/cgi-bin/hgTracks?position=212335_at","UCSC")</f>
        <v>UCSC</v>
      </c>
      <c r="E10411" s="1" t="str">
        <f>HYPERLINK("http://www.ncbi.nlm.nih.gov/gene/?term=GNS","NCBI")</f>
        <v>NCBI</v>
      </c>
      <c r="F10411">
        <v>0.23</v>
      </c>
      <c r="G10411">
        <v>0.38</v>
      </c>
      <c r="H10411" s="1" t="str">
        <f>HYPERLINK("http://www.weizmann.ac.il/complex/compphys/software/geview/data/figures/212335_at.png","Figure")</f>
        <v>Figure</v>
      </c>
      <c r="I10411">
        <v>0.97399999999999998</v>
      </c>
      <c r="J10411">
        <v>0.3</v>
      </c>
      <c r="K10411">
        <v>1</v>
      </c>
      <c r="L10411">
        <v>1</v>
      </c>
      <c r="M10411">
        <v>1.03</v>
      </c>
      <c r="N10411">
        <v>0.26</v>
      </c>
    </row>
    <row r="10412" spans="1:14" x14ac:dyDescent="0.25">
      <c r="A10412" t="s">
        <v>18158</v>
      </c>
      <c r="B10412" t="s">
        <v>15367</v>
      </c>
      <c r="C10412" s="1" t="str">
        <f>HYPERLINK("http://www.genecards.org/cgi-bin/carddisp.pl?gene=HMGXB4","GeneCards")</f>
        <v>GeneCards</v>
      </c>
      <c r="D10412" s="1" t="str">
        <f>HYPERLINK("http://genome-euro.ucsc.edu/cgi-bin/hgTracks?position=212597_s_at","UCSC")</f>
        <v>UCSC</v>
      </c>
      <c r="E10412" s="1" t="str">
        <f>HYPERLINK("http://www.ncbi.nlm.nih.gov/gene/?term=HMGXB4","NCBI")</f>
        <v>NCBI</v>
      </c>
      <c r="F10412">
        <v>0.23</v>
      </c>
      <c r="G10412">
        <v>0.38</v>
      </c>
      <c r="H10412" s="1" t="str">
        <f>HYPERLINK("http://www.weizmann.ac.il/complex/compphys/software/geview/data/figures/212597_s_at.png","Figure")</f>
        <v>Figure</v>
      </c>
      <c r="I10412">
        <v>0.72199999999999998</v>
      </c>
      <c r="J10412">
        <v>0.44</v>
      </c>
      <c r="K10412">
        <v>0.67300000000000004</v>
      </c>
      <c r="L10412">
        <v>0.22</v>
      </c>
      <c r="M10412">
        <v>0.93300000000000005</v>
      </c>
      <c r="N10412">
        <v>0.96</v>
      </c>
    </row>
    <row r="10413" spans="1:14" x14ac:dyDescent="0.25">
      <c r="A10413" t="s">
        <v>18159</v>
      </c>
      <c r="B10413" t="s">
        <v>16015</v>
      </c>
      <c r="C10413" s="1" t="str">
        <f>HYPERLINK("http://www.genecards.org/cgi-bin/carddisp.pl?gene=AKT3","GeneCards")</f>
        <v>GeneCards</v>
      </c>
      <c r="D10413" s="1" t="str">
        <f>HYPERLINK("http://genome-euro.ucsc.edu/cgi-bin/hgTracks?position=212609_s_at","UCSC")</f>
        <v>UCSC</v>
      </c>
      <c r="E10413" s="1" t="str">
        <f>HYPERLINK("http://www.ncbi.nlm.nih.gov/gene/?term=AKT3","NCBI")</f>
        <v>NCBI</v>
      </c>
      <c r="F10413">
        <v>0.23</v>
      </c>
      <c r="G10413">
        <v>0.38</v>
      </c>
      <c r="H10413" s="1" t="str">
        <f>HYPERLINK("http://www.weizmann.ac.il/complex/compphys/software/geview/data/figures/212609_s_at.png","Figure")</f>
        <v>Figure</v>
      </c>
      <c r="I10413">
        <v>0.97299999999999998</v>
      </c>
      <c r="J10413">
        <v>0.3</v>
      </c>
      <c r="K10413">
        <v>1</v>
      </c>
      <c r="L10413">
        <v>1</v>
      </c>
      <c r="M10413">
        <v>1.03</v>
      </c>
      <c r="N10413">
        <v>0.26</v>
      </c>
    </row>
    <row r="10414" spans="1:14" x14ac:dyDescent="0.25">
      <c r="A10414" t="s">
        <v>18160</v>
      </c>
      <c r="B10414" t="s">
        <v>18161</v>
      </c>
      <c r="C10414" s="1" t="str">
        <f>HYPERLINK("http://www.genecards.org/cgi-bin/carddisp.pl?gene=RRAS","GeneCards")</f>
        <v>GeneCards</v>
      </c>
      <c r="D10414" s="1" t="str">
        <f>HYPERLINK("http://genome-euro.ucsc.edu/cgi-bin/hgTracks?position=212647_at","UCSC")</f>
        <v>UCSC</v>
      </c>
      <c r="E10414" s="1" t="str">
        <f>HYPERLINK("http://www.ncbi.nlm.nih.gov/gene/?term=RRAS","NCBI")</f>
        <v>NCBI</v>
      </c>
      <c r="F10414">
        <v>0.23</v>
      </c>
      <c r="G10414">
        <v>0.38</v>
      </c>
      <c r="H10414" s="1" t="str">
        <f>HYPERLINK("http://www.weizmann.ac.il/complex/compphys/software/geview/data/figures/212647_at.png","Figure")</f>
        <v>Figure</v>
      </c>
      <c r="I10414">
        <v>0.96399999999999997</v>
      </c>
      <c r="J10414">
        <v>0.3</v>
      </c>
      <c r="K10414">
        <v>1</v>
      </c>
      <c r="L10414">
        <v>1</v>
      </c>
      <c r="M10414">
        <v>1.04</v>
      </c>
      <c r="N10414">
        <v>0.26</v>
      </c>
    </row>
    <row r="10415" spans="1:14" x14ac:dyDescent="0.25">
      <c r="A10415" t="s">
        <v>18162</v>
      </c>
      <c r="B10415" t="s">
        <v>18163</v>
      </c>
      <c r="C10415" s="1" t="str">
        <f>HYPERLINK("http://www.genecards.org/cgi-bin/carddisp.pl?gene=PPM1H","GeneCards")</f>
        <v>GeneCards</v>
      </c>
      <c r="D10415" s="1" t="str">
        <f>HYPERLINK("http://genome-euro.ucsc.edu/cgi-bin/hgTracks?position=212686_at","UCSC")</f>
        <v>UCSC</v>
      </c>
      <c r="E10415" s="1" t="str">
        <f>HYPERLINK("http://www.ncbi.nlm.nih.gov/gene/?term=PPM1H","NCBI")</f>
        <v>NCBI</v>
      </c>
      <c r="F10415">
        <v>0.23</v>
      </c>
      <c r="G10415">
        <v>0.38</v>
      </c>
      <c r="H10415" s="1" t="str">
        <f>HYPERLINK("http://www.weizmann.ac.il/complex/compphys/software/geview/data/figures/212686_at.png","Figure")</f>
        <v>Figure</v>
      </c>
      <c r="I10415">
        <v>0.89300000000000002</v>
      </c>
      <c r="J10415">
        <v>0.3</v>
      </c>
      <c r="K10415">
        <v>1</v>
      </c>
      <c r="L10415">
        <v>1</v>
      </c>
      <c r="M10415">
        <v>1.1200000000000001</v>
      </c>
      <c r="N10415">
        <v>0.26</v>
      </c>
    </row>
    <row r="10416" spans="1:14" x14ac:dyDescent="0.25">
      <c r="A10416" t="s">
        <v>18164</v>
      </c>
      <c r="B10416" t="s">
        <v>18165</v>
      </c>
      <c r="C10416" s="1" t="str">
        <f>HYPERLINK("http://www.genecards.org/cgi-bin/carddisp.pl?gene=FAM134C","GeneCards")</f>
        <v>GeneCards</v>
      </c>
      <c r="D10416" s="1" t="str">
        <f>HYPERLINK("http://genome-euro.ucsc.edu/cgi-bin/hgTracks?position=212697_at","UCSC")</f>
        <v>UCSC</v>
      </c>
      <c r="E10416" s="1" t="str">
        <f>HYPERLINK("http://www.ncbi.nlm.nih.gov/gene/?term=FAM134C","NCBI")</f>
        <v>NCBI</v>
      </c>
      <c r="F10416">
        <v>0.23</v>
      </c>
      <c r="G10416">
        <v>0.38</v>
      </c>
      <c r="H10416" s="1" t="str">
        <f>HYPERLINK("http://www.weizmann.ac.il/complex/compphys/software/geview/data/figures/212697_at.png","Figure")</f>
        <v>Figure</v>
      </c>
      <c r="I10416">
        <v>0.72</v>
      </c>
      <c r="J10416">
        <v>0.27</v>
      </c>
      <c r="K10416">
        <v>0.97499999999999998</v>
      </c>
      <c r="L10416">
        <v>0.99</v>
      </c>
      <c r="M10416">
        <v>1.35</v>
      </c>
      <c r="N10416">
        <v>0.28000000000000003</v>
      </c>
    </row>
    <row r="10417" spans="1:14" x14ac:dyDescent="0.25">
      <c r="A10417" t="s">
        <v>18166</v>
      </c>
      <c r="B10417" t="s">
        <v>3397</v>
      </c>
      <c r="C10417" s="1" t="str">
        <f>HYPERLINK("http://www.genecards.org/cgi-bin/carddisp.pl?gene=TCF7L2","GeneCards")</f>
        <v>GeneCards</v>
      </c>
      <c r="D10417" s="1" t="str">
        <f>HYPERLINK("http://genome-euro.ucsc.edu/cgi-bin/hgTracks?position=212759_s_at","UCSC")</f>
        <v>UCSC</v>
      </c>
      <c r="E10417" s="1" t="str">
        <f>HYPERLINK("http://www.ncbi.nlm.nih.gov/gene/?term=TCF7L2","NCBI")</f>
        <v>NCBI</v>
      </c>
      <c r="F10417">
        <v>0.23</v>
      </c>
      <c r="G10417">
        <v>0.38</v>
      </c>
      <c r="H10417" s="1" t="str">
        <f>HYPERLINK("http://www.weizmann.ac.il/complex/compphys/software/geview/data/figures/212759_s_at.png","Figure")</f>
        <v>Figure</v>
      </c>
      <c r="I10417">
        <v>0.91500000000000004</v>
      </c>
      <c r="J10417">
        <v>0.86</v>
      </c>
      <c r="K10417">
        <v>0.77500000000000002</v>
      </c>
      <c r="L10417">
        <v>0.22</v>
      </c>
      <c r="M10417">
        <v>0.84599999999999997</v>
      </c>
      <c r="N10417">
        <v>0.54</v>
      </c>
    </row>
    <row r="10418" spans="1:14" x14ac:dyDescent="0.25">
      <c r="A10418" t="s">
        <v>18167</v>
      </c>
      <c r="B10418" t="s">
        <v>18168</v>
      </c>
      <c r="C10418" s="1" t="str">
        <f>HYPERLINK("http://www.genecards.org/cgi-bin/carddisp.pl?gene=DPY19L1","GeneCards")</f>
        <v>GeneCards</v>
      </c>
      <c r="D10418" s="1" t="str">
        <f>HYPERLINK("http://genome-euro.ucsc.edu/cgi-bin/hgTracks?position=212792_at","UCSC")</f>
        <v>UCSC</v>
      </c>
      <c r="E10418" s="1" t="str">
        <f>HYPERLINK("http://www.ncbi.nlm.nih.gov/gene/?term=DPY19L1","NCBI")</f>
        <v>NCBI</v>
      </c>
      <c r="F10418">
        <v>0.23</v>
      </c>
      <c r="G10418">
        <v>0.38</v>
      </c>
      <c r="H10418" s="1" t="str">
        <f>HYPERLINK("http://www.weizmann.ac.il/complex/compphys/software/geview/data/figures/212792_at.png","Figure")</f>
        <v>Figure</v>
      </c>
      <c r="I10418">
        <v>0.98099999999999998</v>
      </c>
      <c r="J10418">
        <v>0.3</v>
      </c>
      <c r="K10418">
        <v>1</v>
      </c>
      <c r="L10418">
        <v>1</v>
      </c>
      <c r="M10418">
        <v>1.02</v>
      </c>
      <c r="N10418">
        <v>0.26</v>
      </c>
    </row>
    <row r="10419" spans="1:14" x14ac:dyDescent="0.25">
      <c r="A10419" t="s">
        <v>18169</v>
      </c>
      <c r="B10419" t="s">
        <v>18170</v>
      </c>
      <c r="C10419" s="1" t="str">
        <f>HYPERLINK("http://www.genecards.org/cgi-bin/carddisp.pl?gene=ZZZ3","GeneCards")</f>
        <v>GeneCards</v>
      </c>
      <c r="D10419" s="1" t="str">
        <f>HYPERLINK("http://genome-euro.ucsc.edu/cgi-bin/hgTracks?position=212893_at","UCSC")</f>
        <v>UCSC</v>
      </c>
      <c r="E10419" s="1" t="str">
        <f>HYPERLINK("http://www.ncbi.nlm.nih.gov/gene/?term=ZZZ3","NCBI")</f>
        <v>NCBI</v>
      </c>
      <c r="F10419">
        <v>0.23</v>
      </c>
      <c r="G10419">
        <v>0.38</v>
      </c>
      <c r="H10419" s="1" t="str">
        <f>HYPERLINK("http://www.weizmann.ac.il/complex/compphys/software/geview/data/figures/212893_at.png","Figure")</f>
        <v>Figure</v>
      </c>
      <c r="I10419">
        <v>0.67200000000000004</v>
      </c>
      <c r="J10419">
        <v>0.22</v>
      </c>
      <c r="K10419">
        <v>0.89400000000000002</v>
      </c>
      <c r="L10419">
        <v>0.84</v>
      </c>
      <c r="M10419">
        <v>1.33</v>
      </c>
      <c r="N10419">
        <v>0.39</v>
      </c>
    </row>
    <row r="10420" spans="1:14" x14ac:dyDescent="0.25">
      <c r="A10420" t="s">
        <v>18171</v>
      </c>
      <c r="B10420" t="s">
        <v>18172</v>
      </c>
      <c r="C10420" s="1" t="str">
        <f>HYPERLINK("http://www.genecards.org/cgi-bin/carddisp.pl?gene=UBXN2B","GeneCards")</f>
        <v>GeneCards</v>
      </c>
      <c r="D10420" s="1" t="str">
        <f>HYPERLINK("http://genome-euro.ucsc.edu/cgi-bin/hgTracks?position=212934_at","UCSC")</f>
        <v>UCSC</v>
      </c>
      <c r="E10420" s="1" t="str">
        <f>HYPERLINK("http://www.ncbi.nlm.nih.gov/gene/?term=UBXN2B","NCBI")</f>
        <v>NCBI</v>
      </c>
      <c r="F10420">
        <v>0.23</v>
      </c>
      <c r="G10420">
        <v>0.38</v>
      </c>
      <c r="H10420" s="1" t="str">
        <f>HYPERLINK("http://www.weizmann.ac.il/complex/compphys/software/geview/data/figures/212934_at.png","Figure")</f>
        <v>Figure</v>
      </c>
      <c r="I10420">
        <v>0.84099999999999997</v>
      </c>
      <c r="J10420">
        <v>0.3</v>
      </c>
      <c r="K10420">
        <v>1</v>
      </c>
      <c r="L10420">
        <v>1</v>
      </c>
      <c r="M10420">
        <v>1.19</v>
      </c>
      <c r="N10420">
        <v>0.26</v>
      </c>
    </row>
    <row r="10421" spans="1:14" x14ac:dyDescent="0.25">
      <c r="A10421" t="s">
        <v>18173</v>
      </c>
      <c r="B10421" t="s">
        <v>2633</v>
      </c>
      <c r="C10421" s="1" t="str">
        <f>HYPERLINK("http://www.genecards.org/cgi-bin/carddisp.pl?gene=FAM115A","GeneCards")</f>
        <v>GeneCards</v>
      </c>
      <c r="D10421" s="1" t="str">
        <f>HYPERLINK("http://genome-euro.ucsc.edu/cgi-bin/hgTracks?position=212981_s_at","UCSC")</f>
        <v>UCSC</v>
      </c>
      <c r="E10421" s="1" t="str">
        <f>HYPERLINK("http://www.ncbi.nlm.nih.gov/gene/?term=FAM115A","NCBI")</f>
        <v>NCBI</v>
      </c>
      <c r="F10421">
        <v>0.23</v>
      </c>
      <c r="G10421">
        <v>0.38</v>
      </c>
      <c r="H10421" s="1" t="str">
        <f>HYPERLINK("http://www.weizmann.ac.il/complex/compphys/software/geview/data/figures/212981_s_at.png","Figure")</f>
        <v>Figure</v>
      </c>
      <c r="I10421">
        <v>0.90300000000000002</v>
      </c>
      <c r="J10421">
        <v>0.3</v>
      </c>
      <c r="K10421">
        <v>1</v>
      </c>
      <c r="L10421">
        <v>1</v>
      </c>
      <c r="M10421">
        <v>1.1100000000000001</v>
      </c>
      <c r="N10421">
        <v>0.26</v>
      </c>
    </row>
    <row r="10422" spans="1:14" x14ac:dyDescent="0.25">
      <c r="A10422" t="s">
        <v>18174</v>
      </c>
      <c r="B10422" t="s">
        <v>18175</v>
      </c>
      <c r="C10422" s="1" t="str">
        <f>HYPERLINK("http://www.genecards.org/cgi-bin/carddisp.pl?gene=NEK3","GeneCards")</f>
        <v>GeneCards</v>
      </c>
      <c r="D10422" s="1" t="str">
        <f>HYPERLINK("http://genome-euro.ucsc.edu/cgi-bin/hgTracks?position=213116_at","UCSC")</f>
        <v>UCSC</v>
      </c>
      <c r="E10422" s="1" t="str">
        <f>HYPERLINK("http://www.ncbi.nlm.nih.gov/gene/?term=NEK3","NCBI")</f>
        <v>NCBI</v>
      </c>
      <c r="F10422">
        <v>0.23</v>
      </c>
      <c r="G10422">
        <v>0.38</v>
      </c>
      <c r="H10422" s="1" t="str">
        <f>HYPERLINK("http://www.weizmann.ac.il/complex/compphys/software/geview/data/figures/213116_at.png","Figure")</f>
        <v>Figure</v>
      </c>
      <c r="I10422">
        <v>0.82699999999999996</v>
      </c>
      <c r="J10422">
        <v>0.83</v>
      </c>
      <c r="K10422">
        <v>0.60499999999999998</v>
      </c>
      <c r="L10422">
        <v>0.21</v>
      </c>
      <c r="M10422">
        <v>0.73199999999999998</v>
      </c>
      <c r="N10422">
        <v>0.56999999999999995</v>
      </c>
    </row>
    <row r="10423" spans="1:14" x14ac:dyDescent="0.25">
      <c r="A10423" t="s">
        <v>18176</v>
      </c>
      <c r="B10423" t="s">
        <v>12542</v>
      </c>
      <c r="C10423" s="1" t="str">
        <f>HYPERLINK("http://www.genecards.org/cgi-bin/carddisp.pl?gene=SFRS2B","GeneCards")</f>
        <v>GeneCards</v>
      </c>
      <c r="D10423" s="1" t="str">
        <f>HYPERLINK("http://genome-euro.ucsc.edu/cgi-bin/hgTracks?position=213152_s_at","UCSC")</f>
        <v>UCSC</v>
      </c>
      <c r="E10423" s="1" t="str">
        <f>HYPERLINK("http://www.ncbi.nlm.nih.gov/gene/?term=SFRS2B","NCBI")</f>
        <v>NCBI</v>
      </c>
      <c r="F10423">
        <v>0.23</v>
      </c>
      <c r="G10423">
        <v>0.38</v>
      </c>
      <c r="H10423" s="1" t="str">
        <f>HYPERLINK("http://www.weizmann.ac.il/complex/compphys/software/geview/data/figures/213152_s_at.png","Figure")</f>
        <v>Figure</v>
      </c>
      <c r="I10423">
        <v>1.1599999999999999</v>
      </c>
      <c r="J10423">
        <v>0.3</v>
      </c>
      <c r="K10423">
        <v>1.1499999999999999</v>
      </c>
      <c r="L10423">
        <v>0.28000000000000003</v>
      </c>
      <c r="M10423">
        <v>0.98499999999999999</v>
      </c>
      <c r="N10423">
        <v>0.99</v>
      </c>
    </row>
    <row r="10424" spans="1:14" x14ac:dyDescent="0.25">
      <c r="A10424" t="s">
        <v>18177</v>
      </c>
      <c r="B10424" t="s">
        <v>4201</v>
      </c>
      <c r="C10424" s="1" t="str">
        <f>HYPERLINK("http://www.genecards.org/cgi-bin/carddisp.pl?gene=ACVR1B","GeneCards")</f>
        <v>GeneCards</v>
      </c>
      <c r="D10424" s="1" t="str">
        <f>HYPERLINK("http://genome-euro.ucsc.edu/cgi-bin/hgTracks?position=213198_at","UCSC")</f>
        <v>UCSC</v>
      </c>
      <c r="E10424" s="1" t="str">
        <f>HYPERLINK("http://www.ncbi.nlm.nih.gov/gene/?term=ACVR1B","NCBI")</f>
        <v>NCBI</v>
      </c>
      <c r="F10424">
        <v>0.23</v>
      </c>
      <c r="G10424">
        <v>0.38</v>
      </c>
      <c r="H10424" s="1" t="str">
        <f>HYPERLINK("http://www.weizmann.ac.il/complex/compphys/software/geview/data/figures/213198_at.png","Figure")</f>
        <v>Figure</v>
      </c>
      <c r="I10424">
        <v>0.96399999999999997</v>
      </c>
      <c r="J10424">
        <v>0.95</v>
      </c>
      <c r="K10424">
        <v>1.1599999999999999</v>
      </c>
      <c r="L10424">
        <v>0.37</v>
      </c>
      <c r="M10424">
        <v>1.21</v>
      </c>
      <c r="N10424">
        <v>0.27</v>
      </c>
    </row>
    <row r="10425" spans="1:14" x14ac:dyDescent="0.25">
      <c r="A10425" t="s">
        <v>18178</v>
      </c>
      <c r="B10425" t="s">
        <v>18179</v>
      </c>
      <c r="C10425" s="1" t="str">
        <f>HYPERLINK("http://www.genecards.org/cgi-bin/carddisp.pl?gene=KIAA0284","GeneCards")</f>
        <v>GeneCards</v>
      </c>
      <c r="D10425" s="1" t="str">
        <f>HYPERLINK("http://genome-euro.ucsc.edu/cgi-bin/hgTracks?position=213242_x_at","UCSC")</f>
        <v>UCSC</v>
      </c>
      <c r="E10425" s="1" t="str">
        <f>HYPERLINK("http://www.ncbi.nlm.nih.gov/gene/?term=KIAA0284","NCBI")</f>
        <v>NCBI</v>
      </c>
      <c r="F10425">
        <v>0.23</v>
      </c>
      <c r="G10425">
        <v>0.38</v>
      </c>
      <c r="H10425" s="1" t="str">
        <f>HYPERLINK("http://www.weizmann.ac.il/complex/compphys/software/geview/data/figures/213242_x_at.png","Figure")</f>
        <v>Figure</v>
      </c>
      <c r="I10425">
        <v>1.05</v>
      </c>
      <c r="J10425">
        <v>0.83</v>
      </c>
      <c r="K10425">
        <v>0.91900000000000004</v>
      </c>
      <c r="L10425">
        <v>0.48</v>
      </c>
      <c r="M10425">
        <v>0.876</v>
      </c>
      <c r="N10425">
        <v>0.23</v>
      </c>
    </row>
    <row r="10426" spans="1:14" x14ac:dyDescent="0.25">
      <c r="A10426" t="s">
        <v>18180</v>
      </c>
      <c r="B10426" t="s">
        <v>18181</v>
      </c>
      <c r="C10426" s="1" t="str">
        <f>HYPERLINK("http://www.genecards.org/cgi-bin/carddisp.pl?gene=KIAA1462","GeneCards")</f>
        <v>GeneCards</v>
      </c>
      <c r="D10426" s="1" t="str">
        <f>HYPERLINK("http://genome-euro.ucsc.edu/cgi-bin/hgTracks?position=213316_at","UCSC")</f>
        <v>UCSC</v>
      </c>
      <c r="E10426" s="1" t="str">
        <f>HYPERLINK("http://www.ncbi.nlm.nih.gov/gene/?term=KIAA1462","NCBI")</f>
        <v>NCBI</v>
      </c>
      <c r="F10426">
        <v>0.23</v>
      </c>
      <c r="G10426">
        <v>0.38</v>
      </c>
      <c r="H10426" s="1" t="str">
        <f>HYPERLINK("http://www.weizmann.ac.il/complex/compphys/software/geview/data/figures/213316_at.png","Figure")</f>
        <v>Figure</v>
      </c>
      <c r="I10426">
        <v>0.84399999999999997</v>
      </c>
      <c r="J10426">
        <v>0.3</v>
      </c>
      <c r="K10426">
        <v>1</v>
      </c>
      <c r="L10426">
        <v>1</v>
      </c>
      <c r="M10426">
        <v>1.19</v>
      </c>
      <c r="N10426">
        <v>0.26</v>
      </c>
    </row>
    <row r="10427" spans="1:14" x14ac:dyDescent="0.25">
      <c r="A10427" t="s">
        <v>18182</v>
      </c>
      <c r="B10427" t="s">
        <v>7857</v>
      </c>
      <c r="C10427" s="1" t="str">
        <f>HYPERLINK("http://www.genecards.org/cgi-bin/carddisp.pl?gene=TBX2","GeneCards")</f>
        <v>GeneCards</v>
      </c>
      <c r="D10427" s="1" t="str">
        <f>HYPERLINK("http://genome-euro.ucsc.edu/cgi-bin/hgTracks?position=213417_at","UCSC")</f>
        <v>UCSC</v>
      </c>
      <c r="E10427" s="1" t="str">
        <f>HYPERLINK("http://www.ncbi.nlm.nih.gov/gene/?term=TBX2","NCBI")</f>
        <v>NCBI</v>
      </c>
      <c r="F10427">
        <v>0.23</v>
      </c>
      <c r="G10427">
        <v>0.38</v>
      </c>
      <c r="H10427" s="1" t="str">
        <f>HYPERLINK("http://www.weizmann.ac.il/complex/compphys/software/geview/data/figures/213417_at.png","Figure")</f>
        <v>Figure</v>
      </c>
      <c r="I10427">
        <v>0.98299999999999998</v>
      </c>
      <c r="J10427">
        <v>0.3</v>
      </c>
      <c r="K10427">
        <v>1</v>
      </c>
      <c r="L10427">
        <v>1</v>
      </c>
      <c r="M10427">
        <v>1.02</v>
      </c>
      <c r="N10427">
        <v>0.26</v>
      </c>
    </row>
    <row r="10428" spans="1:14" x14ac:dyDescent="0.25">
      <c r="A10428" t="s">
        <v>18183</v>
      </c>
      <c r="B10428" t="s">
        <v>18184</v>
      </c>
      <c r="C10428" s="1" t="str">
        <f>HYPERLINK("http://www.genecards.org/cgi-bin/carddisp.pl?gene=NUDT21","GeneCards")</f>
        <v>GeneCards</v>
      </c>
      <c r="D10428" s="1" t="str">
        <f>HYPERLINK("http://genome-euro.ucsc.edu/cgi-bin/hgTracks?position=213461_at","UCSC")</f>
        <v>UCSC</v>
      </c>
      <c r="E10428" s="1" t="str">
        <f>HYPERLINK("http://www.ncbi.nlm.nih.gov/gene/?term=NUDT21","NCBI")</f>
        <v>NCBI</v>
      </c>
      <c r="F10428">
        <v>0.23</v>
      </c>
      <c r="G10428">
        <v>0.38</v>
      </c>
      <c r="H10428" s="1" t="str">
        <f>HYPERLINK("http://www.weizmann.ac.il/complex/compphys/software/geview/data/figures/213461_at.png","Figure")</f>
        <v>Figure</v>
      </c>
      <c r="I10428">
        <v>0.94299999999999995</v>
      </c>
      <c r="J10428">
        <v>0.3</v>
      </c>
      <c r="K10428">
        <v>1</v>
      </c>
      <c r="L10428">
        <v>1</v>
      </c>
      <c r="M10428">
        <v>1.06</v>
      </c>
      <c r="N10428">
        <v>0.26</v>
      </c>
    </row>
    <row r="10429" spans="1:14" x14ac:dyDescent="0.25">
      <c r="A10429" t="s">
        <v>18185</v>
      </c>
      <c r="B10429" t="s">
        <v>5970</v>
      </c>
      <c r="C10429" s="1" t="str">
        <f>HYPERLINK("http://www.genecards.org/cgi-bin/carddisp.pl?gene=HNRNPH1","GeneCards")</f>
        <v>GeneCards</v>
      </c>
      <c r="D10429" s="1" t="str">
        <f>HYPERLINK("http://genome-euro.ucsc.edu/cgi-bin/hgTracks?position=213470_s_at","UCSC")</f>
        <v>UCSC</v>
      </c>
      <c r="E10429" s="1" t="str">
        <f>HYPERLINK("http://www.ncbi.nlm.nih.gov/gene/?term=HNRNPH1","NCBI")</f>
        <v>NCBI</v>
      </c>
      <c r="F10429">
        <v>0.23</v>
      </c>
      <c r="G10429">
        <v>0.38</v>
      </c>
      <c r="H10429" s="1" t="str">
        <f>HYPERLINK("http://www.weizmann.ac.il/complex/compphys/software/geview/data/figures/213470_s_at.png","Figure")</f>
        <v>Figure</v>
      </c>
      <c r="I10429">
        <v>1.19</v>
      </c>
      <c r="J10429">
        <v>0.25</v>
      </c>
      <c r="K10429">
        <v>1.02</v>
      </c>
      <c r="L10429">
        <v>0.97</v>
      </c>
      <c r="M10429">
        <v>0.85399999999999998</v>
      </c>
      <c r="N10429">
        <v>0.28999999999999998</v>
      </c>
    </row>
    <row r="10430" spans="1:14" x14ac:dyDescent="0.25">
      <c r="A10430" t="s">
        <v>18186</v>
      </c>
      <c r="B10430" t="s">
        <v>14983</v>
      </c>
      <c r="C10430" s="1" t="str">
        <f>HYPERLINK("http://www.genecards.org/cgi-bin/carddisp.pl?gene=F2RL1","GeneCards")</f>
        <v>GeneCards</v>
      </c>
      <c r="D10430" s="1" t="str">
        <f>HYPERLINK("http://genome-euro.ucsc.edu/cgi-bin/hgTracks?position=213506_at","UCSC")</f>
        <v>UCSC</v>
      </c>
      <c r="E10430" s="1" t="str">
        <f>HYPERLINK("http://www.ncbi.nlm.nih.gov/gene/?term=F2RL1","NCBI")</f>
        <v>NCBI</v>
      </c>
      <c r="F10430">
        <v>0.23</v>
      </c>
      <c r="G10430">
        <v>0.38</v>
      </c>
      <c r="H10430" s="1" t="str">
        <f>HYPERLINK("http://www.weizmann.ac.il/complex/compphys/software/geview/data/figures/213506_at.png","Figure")</f>
        <v>Figure</v>
      </c>
      <c r="I10430">
        <v>0.875</v>
      </c>
      <c r="J10430">
        <v>0.3</v>
      </c>
      <c r="K10430">
        <v>1</v>
      </c>
      <c r="L10430">
        <v>1</v>
      </c>
      <c r="M10430">
        <v>1.1399999999999999</v>
      </c>
      <c r="N10430">
        <v>0.26</v>
      </c>
    </row>
    <row r="10431" spans="1:14" x14ac:dyDescent="0.25">
      <c r="A10431" t="s">
        <v>18187</v>
      </c>
      <c r="B10431" t="s">
        <v>18188</v>
      </c>
      <c r="C10431" s="1" t="str">
        <f>HYPERLINK("http://www.genecards.org/cgi-bin/carddisp.pl?gene=LIN37","GeneCards")</f>
        <v>GeneCards</v>
      </c>
      <c r="D10431" s="1" t="str">
        <f>HYPERLINK("http://genome-euro.ucsc.edu/cgi-bin/hgTracks?position=213526_s_at","UCSC")</f>
        <v>UCSC</v>
      </c>
      <c r="E10431" s="1" t="str">
        <f>HYPERLINK("http://www.ncbi.nlm.nih.gov/gene/?term=LIN37","NCBI")</f>
        <v>NCBI</v>
      </c>
      <c r="F10431">
        <v>0.23</v>
      </c>
      <c r="G10431">
        <v>0.38</v>
      </c>
      <c r="H10431" s="1" t="str">
        <f>HYPERLINK("http://www.weizmann.ac.il/complex/compphys/software/geview/data/figures/213526_s_at.png","Figure")</f>
        <v>Figure</v>
      </c>
      <c r="I10431">
        <v>0.995</v>
      </c>
      <c r="J10431">
        <v>0.3</v>
      </c>
      <c r="K10431">
        <v>1</v>
      </c>
      <c r="L10431">
        <v>1</v>
      </c>
      <c r="M10431">
        <v>1.01</v>
      </c>
      <c r="N10431">
        <v>0.26</v>
      </c>
    </row>
    <row r="10432" spans="1:14" x14ac:dyDescent="0.25">
      <c r="A10432" t="s">
        <v>18189</v>
      </c>
      <c r="B10432" t="s">
        <v>18190</v>
      </c>
      <c r="C10432" s="1" t="str">
        <f>HYPERLINK("http://www.genecards.org/cgi-bin/carddisp.pl?gene=BHLHB9","GeneCards")</f>
        <v>GeneCards</v>
      </c>
      <c r="D10432" s="1" t="str">
        <f>HYPERLINK("http://genome-euro.ucsc.edu/cgi-bin/hgTracks?position=213709_at","UCSC")</f>
        <v>UCSC</v>
      </c>
      <c r="E10432" s="1" t="str">
        <f>HYPERLINK("http://www.ncbi.nlm.nih.gov/gene/?term=BHLHB9","NCBI")</f>
        <v>NCBI</v>
      </c>
      <c r="F10432">
        <v>0.23</v>
      </c>
      <c r="G10432">
        <v>0.38</v>
      </c>
      <c r="H10432" s="1" t="str">
        <f>HYPERLINK("http://www.weizmann.ac.il/complex/compphys/software/geview/data/figures/213709_at.png","Figure")</f>
        <v>Figure</v>
      </c>
      <c r="I10432">
        <v>0.93</v>
      </c>
      <c r="J10432">
        <v>0.3</v>
      </c>
      <c r="K10432">
        <v>1</v>
      </c>
      <c r="L10432">
        <v>1</v>
      </c>
      <c r="M10432">
        <v>1.08</v>
      </c>
      <c r="N10432">
        <v>0.26</v>
      </c>
    </row>
    <row r="10433" spans="1:14" x14ac:dyDescent="0.25">
      <c r="A10433" t="s">
        <v>18191</v>
      </c>
      <c r="B10433" t="s">
        <v>18192</v>
      </c>
      <c r="C10433" s="1" t="str">
        <f>HYPERLINK("http://www.genecards.org/cgi-bin/carddisp.pl?gene=MDM1","GeneCards")</f>
        <v>GeneCards</v>
      </c>
      <c r="D10433" s="1" t="str">
        <f>HYPERLINK("http://genome-euro.ucsc.edu/cgi-bin/hgTracks?position=213761_at","UCSC")</f>
        <v>UCSC</v>
      </c>
      <c r="E10433" s="1" t="str">
        <f>HYPERLINK("http://www.ncbi.nlm.nih.gov/gene/?term=MDM1","NCBI")</f>
        <v>NCBI</v>
      </c>
      <c r="F10433">
        <v>0.23</v>
      </c>
      <c r="G10433">
        <v>0.38</v>
      </c>
      <c r="H10433" s="1" t="str">
        <f>HYPERLINK("http://www.weizmann.ac.il/complex/compphys/software/geview/data/figures/213761_at.png","Figure")</f>
        <v>Figure</v>
      </c>
      <c r="I10433">
        <v>0.97599999999999998</v>
      </c>
      <c r="J10433">
        <v>1</v>
      </c>
      <c r="K10433">
        <v>1.47</v>
      </c>
      <c r="L10433">
        <v>0.31</v>
      </c>
      <c r="M10433">
        <v>1.51</v>
      </c>
      <c r="N10433">
        <v>0.32</v>
      </c>
    </row>
    <row r="10434" spans="1:14" x14ac:dyDescent="0.25">
      <c r="A10434" t="s">
        <v>18193</v>
      </c>
      <c r="B10434" t="s">
        <v>1678</v>
      </c>
      <c r="C10434" s="1" t="str">
        <f>HYPERLINK("http://www.genecards.org/cgi-bin/carddisp.pl?gene=SMARCA5","GeneCards")</f>
        <v>GeneCards</v>
      </c>
      <c r="D10434" s="1" t="str">
        <f>HYPERLINK("http://genome-euro.ucsc.edu/cgi-bin/hgTracks?position=213859_x_at","UCSC")</f>
        <v>UCSC</v>
      </c>
      <c r="E10434" s="1" t="str">
        <f>HYPERLINK("http://www.ncbi.nlm.nih.gov/gene/?term=SMARCA5","NCBI")</f>
        <v>NCBI</v>
      </c>
      <c r="F10434">
        <v>0.23</v>
      </c>
      <c r="G10434">
        <v>0.38</v>
      </c>
      <c r="H10434" s="1" t="str">
        <f>HYPERLINK("http://www.weizmann.ac.il/complex/compphys/software/geview/data/figures/213859_x_at.png","Figure")</f>
        <v>Figure</v>
      </c>
      <c r="I10434">
        <v>0.82899999999999996</v>
      </c>
      <c r="J10434">
        <v>0.3</v>
      </c>
      <c r="K10434">
        <v>1</v>
      </c>
      <c r="L10434">
        <v>1</v>
      </c>
      <c r="M10434">
        <v>1.21</v>
      </c>
      <c r="N10434">
        <v>0.26</v>
      </c>
    </row>
    <row r="10435" spans="1:14" x14ac:dyDescent="0.25">
      <c r="A10435" t="s">
        <v>18194</v>
      </c>
      <c r="B10435" t="s">
        <v>3760</v>
      </c>
      <c r="C10435" s="1" t="str">
        <f>HYPERLINK("http://www.genecards.org/cgi-bin/carddisp.pl?gene=EMP1","GeneCards")</f>
        <v>GeneCards</v>
      </c>
      <c r="D10435" s="1" t="str">
        <f>HYPERLINK("http://genome-euro.ucsc.edu/cgi-bin/hgTracks?position=213895_at","UCSC")</f>
        <v>UCSC</v>
      </c>
      <c r="E10435" s="1" t="str">
        <f>HYPERLINK("http://www.ncbi.nlm.nih.gov/gene/?term=EMP1","NCBI")</f>
        <v>NCBI</v>
      </c>
      <c r="F10435">
        <v>0.23</v>
      </c>
      <c r="G10435">
        <v>0.38</v>
      </c>
      <c r="H10435" s="1" t="str">
        <f>HYPERLINK("http://www.weizmann.ac.il/complex/compphys/software/geview/data/figures/213895_at.png","Figure")</f>
        <v>Figure</v>
      </c>
      <c r="I10435">
        <v>0.95799999999999996</v>
      </c>
      <c r="J10435">
        <v>0.3</v>
      </c>
      <c r="K10435">
        <v>1</v>
      </c>
      <c r="L10435">
        <v>1</v>
      </c>
      <c r="M10435">
        <v>1.04</v>
      </c>
      <c r="N10435">
        <v>0.26</v>
      </c>
    </row>
    <row r="10436" spans="1:14" x14ac:dyDescent="0.25">
      <c r="A10436" t="s">
        <v>18195</v>
      </c>
      <c r="B10436" t="s">
        <v>18196</v>
      </c>
      <c r="C10436" s="1" t="str">
        <f>HYPERLINK("http://www.genecards.org/cgi-bin/carddisp.pl?gene=ASAH1","GeneCards")</f>
        <v>GeneCards</v>
      </c>
      <c r="D10436" s="1" t="str">
        <f>HYPERLINK("http://genome-euro.ucsc.edu/cgi-bin/hgTracks?position=213902_at","UCSC")</f>
        <v>UCSC</v>
      </c>
      <c r="E10436" s="1" t="str">
        <f>HYPERLINK("http://www.ncbi.nlm.nih.gov/gene/?term=ASAH1","NCBI")</f>
        <v>NCBI</v>
      </c>
      <c r="F10436">
        <v>0.23</v>
      </c>
      <c r="G10436">
        <v>0.38</v>
      </c>
      <c r="H10436" s="1" t="str">
        <f>HYPERLINK("http://www.weizmann.ac.il/complex/compphys/software/geview/data/figures/213902_at.png","Figure")</f>
        <v>Figure</v>
      </c>
      <c r="I10436">
        <v>1.1000000000000001</v>
      </c>
      <c r="J10436">
        <v>0.89</v>
      </c>
      <c r="K10436">
        <v>0.79200000000000004</v>
      </c>
      <c r="L10436">
        <v>0.44</v>
      </c>
      <c r="M10436">
        <v>0.71899999999999997</v>
      </c>
      <c r="N10436">
        <v>0.25</v>
      </c>
    </row>
    <row r="10437" spans="1:14" x14ac:dyDescent="0.25">
      <c r="A10437" t="s">
        <v>18197</v>
      </c>
      <c r="B10437" t="s">
        <v>18198</v>
      </c>
      <c r="C10437" s="1" t="str">
        <f>HYPERLINK("http://www.genecards.org/cgi-bin/carddisp.pl?gene=MYBL1","GeneCards")</f>
        <v>GeneCards</v>
      </c>
      <c r="D10437" s="1" t="str">
        <f>HYPERLINK("http://genome-euro.ucsc.edu/cgi-bin/hgTracks?position=213906_at","UCSC")</f>
        <v>UCSC</v>
      </c>
      <c r="E10437" s="1" t="str">
        <f>HYPERLINK("http://www.ncbi.nlm.nih.gov/gene/?term=MYBL1","NCBI")</f>
        <v>NCBI</v>
      </c>
      <c r="F10437">
        <v>0.23</v>
      </c>
      <c r="G10437">
        <v>0.38</v>
      </c>
      <c r="H10437" s="1" t="str">
        <f>HYPERLINK("http://www.weizmann.ac.il/complex/compphys/software/geview/data/figures/213906_at.png","Figure")</f>
        <v>Figure</v>
      </c>
      <c r="I10437">
        <v>0.94899999999999995</v>
      </c>
      <c r="J10437">
        <v>0.3</v>
      </c>
      <c r="K10437">
        <v>1</v>
      </c>
      <c r="L10437">
        <v>1</v>
      </c>
      <c r="M10437">
        <v>1.05</v>
      </c>
      <c r="N10437">
        <v>0.26</v>
      </c>
    </row>
    <row r="10438" spans="1:14" x14ac:dyDescent="0.25">
      <c r="A10438" t="s">
        <v>18199</v>
      </c>
      <c r="B10438" t="s">
        <v>18200</v>
      </c>
      <c r="C10438" s="1" t="str">
        <f>HYPERLINK("http://www.genecards.org/cgi-bin/carddisp.pl?gene=ZNF20 /// ZNF625","GeneCards")</f>
        <v>GeneCards</v>
      </c>
      <c r="D10438" s="1" t="str">
        <f>HYPERLINK("http://genome-euro.ucsc.edu/cgi-bin/hgTracks?position=213916_at","UCSC")</f>
        <v>UCSC</v>
      </c>
      <c r="E10438" s="1" t="str">
        <f>HYPERLINK("http://www.ncbi.nlm.nih.gov/gene/?term=ZNF20 /// ZNF625","NCBI")</f>
        <v>NCBI</v>
      </c>
      <c r="F10438">
        <v>0.23</v>
      </c>
      <c r="G10438">
        <v>0.38</v>
      </c>
      <c r="H10438" s="1" t="str">
        <f>HYPERLINK("http://www.weizmann.ac.il/complex/compphys/software/geview/data/figures/213916_at.png","Figure")</f>
        <v>Figure</v>
      </c>
      <c r="I10438">
        <v>0.98299999999999998</v>
      </c>
      <c r="J10438">
        <v>0.3</v>
      </c>
      <c r="K10438">
        <v>1</v>
      </c>
      <c r="L10438">
        <v>1</v>
      </c>
      <c r="M10438">
        <v>1.02</v>
      </c>
      <c r="N10438">
        <v>0.26</v>
      </c>
    </row>
    <row r="10439" spans="1:14" x14ac:dyDescent="0.25">
      <c r="A10439" t="s">
        <v>18201</v>
      </c>
      <c r="B10439" t="s">
        <v>11110</v>
      </c>
      <c r="C10439" s="1" t="str">
        <f>HYPERLINK("http://www.genecards.org/cgi-bin/carddisp.pl?gene=MCL1","GeneCards")</f>
        <v>GeneCards</v>
      </c>
      <c r="D10439" s="1" t="str">
        <f>HYPERLINK("http://genome-euro.ucsc.edu/cgi-bin/hgTracks?position=214056_at","UCSC")</f>
        <v>UCSC</v>
      </c>
      <c r="E10439" s="1" t="str">
        <f>HYPERLINK("http://www.ncbi.nlm.nih.gov/gene/?term=MCL1","NCBI")</f>
        <v>NCBI</v>
      </c>
      <c r="F10439">
        <v>0.23</v>
      </c>
      <c r="G10439">
        <v>0.38</v>
      </c>
      <c r="H10439" s="1" t="str">
        <f>HYPERLINK("http://www.weizmann.ac.il/complex/compphys/software/geview/data/figures/214056_at.png","Figure")</f>
        <v>Figure</v>
      </c>
      <c r="I10439">
        <v>0.86899999999999999</v>
      </c>
      <c r="J10439">
        <v>0.3</v>
      </c>
      <c r="K10439">
        <v>0.88400000000000001</v>
      </c>
      <c r="L10439">
        <v>0.28999999999999998</v>
      </c>
      <c r="M10439">
        <v>1.02</v>
      </c>
      <c r="N10439">
        <v>0.98</v>
      </c>
    </row>
    <row r="10440" spans="1:14" x14ac:dyDescent="0.25">
      <c r="A10440" t="s">
        <v>18202</v>
      </c>
      <c r="B10440" t="s">
        <v>18203</v>
      </c>
      <c r="C10440" s="1" t="str">
        <f>HYPERLINK("http://www.genecards.org/cgi-bin/carddisp.pl?gene=SFTPD","GeneCards")</f>
        <v>GeneCards</v>
      </c>
      <c r="D10440" s="1" t="str">
        <f>HYPERLINK("http://genome-euro.ucsc.edu/cgi-bin/hgTracks?position=214199_at","UCSC")</f>
        <v>UCSC</v>
      </c>
      <c r="E10440" s="1" t="str">
        <f>HYPERLINK("http://www.ncbi.nlm.nih.gov/gene/?term=SFTPD","NCBI")</f>
        <v>NCBI</v>
      </c>
      <c r="F10440">
        <v>0.23</v>
      </c>
      <c r="G10440">
        <v>0.38</v>
      </c>
      <c r="H10440" s="1" t="str">
        <f>HYPERLINK("http://www.weizmann.ac.il/complex/compphys/software/geview/data/figures/214199_at.png","Figure")</f>
        <v>Figure</v>
      </c>
      <c r="I10440">
        <v>0.997</v>
      </c>
      <c r="J10440">
        <v>0.3</v>
      </c>
      <c r="K10440">
        <v>1</v>
      </c>
      <c r="L10440">
        <v>1</v>
      </c>
      <c r="M10440">
        <v>1</v>
      </c>
      <c r="N10440">
        <v>0.26</v>
      </c>
    </row>
    <row r="10441" spans="1:14" x14ac:dyDescent="0.25">
      <c r="A10441" t="s">
        <v>18204</v>
      </c>
      <c r="B10441" t="s">
        <v>11524</v>
      </c>
      <c r="C10441" s="1" t="str">
        <f>HYPERLINK("http://www.genecards.org/cgi-bin/carddisp.pl?gene=ALMS1","GeneCards")</f>
        <v>GeneCards</v>
      </c>
      <c r="D10441" s="1" t="str">
        <f>HYPERLINK("http://genome-euro.ucsc.edu/cgi-bin/hgTracks?position=214220_s_at","UCSC")</f>
        <v>UCSC</v>
      </c>
      <c r="E10441" s="1" t="str">
        <f>HYPERLINK("http://www.ncbi.nlm.nih.gov/gene/?term=ALMS1","NCBI")</f>
        <v>NCBI</v>
      </c>
      <c r="F10441">
        <v>0.23</v>
      </c>
      <c r="G10441">
        <v>0.38</v>
      </c>
      <c r="H10441" s="1" t="str">
        <f>HYPERLINK("http://www.weizmann.ac.il/complex/compphys/software/geview/data/figures/214220_s_at.png","Figure")</f>
        <v>Figure</v>
      </c>
      <c r="I10441">
        <v>0.85399999999999998</v>
      </c>
      <c r="J10441">
        <v>0.4</v>
      </c>
      <c r="K10441">
        <v>1.04</v>
      </c>
      <c r="L10441">
        <v>0.93</v>
      </c>
      <c r="M10441">
        <v>1.22</v>
      </c>
      <c r="N10441">
        <v>0.22</v>
      </c>
    </row>
    <row r="10442" spans="1:14" x14ac:dyDescent="0.25">
      <c r="A10442" t="s">
        <v>18205</v>
      </c>
      <c r="B10442" t="s">
        <v>4757</v>
      </c>
      <c r="C10442" s="1" t="str">
        <f>HYPERLINK("http://www.genecards.org/cgi-bin/carddisp.pl?gene=TRIM2","GeneCards")</f>
        <v>GeneCards</v>
      </c>
      <c r="D10442" s="1" t="str">
        <f>HYPERLINK("http://genome-euro.ucsc.edu/cgi-bin/hgTracks?position=214248_s_at","UCSC")</f>
        <v>UCSC</v>
      </c>
      <c r="E10442" s="1" t="str">
        <f>HYPERLINK("http://www.ncbi.nlm.nih.gov/gene/?term=TRIM2","NCBI")</f>
        <v>NCBI</v>
      </c>
      <c r="F10442">
        <v>0.23</v>
      </c>
      <c r="G10442">
        <v>0.38</v>
      </c>
      <c r="H10442" s="1" t="str">
        <f>HYPERLINK("http://www.weizmann.ac.il/complex/compphys/software/geview/data/figures/214248_s_at.png","Figure")</f>
        <v>Figure</v>
      </c>
      <c r="I10442">
        <v>0.99</v>
      </c>
      <c r="J10442">
        <v>0.3</v>
      </c>
      <c r="K10442">
        <v>1</v>
      </c>
      <c r="L10442">
        <v>1</v>
      </c>
      <c r="M10442">
        <v>1.01</v>
      </c>
      <c r="N10442">
        <v>0.26</v>
      </c>
    </row>
    <row r="10443" spans="1:14" x14ac:dyDescent="0.25">
      <c r="A10443" t="s">
        <v>18206</v>
      </c>
      <c r="B10443" t="s">
        <v>13919</v>
      </c>
      <c r="C10443" s="1" t="str">
        <f>HYPERLINK("http://www.genecards.org/cgi-bin/carddisp.pl?gene=CLN5","GeneCards")</f>
        <v>GeneCards</v>
      </c>
      <c r="D10443" s="1" t="str">
        <f>HYPERLINK("http://genome-euro.ucsc.edu/cgi-bin/hgTracks?position=214252_s_at","UCSC")</f>
        <v>UCSC</v>
      </c>
      <c r="E10443" s="1" t="str">
        <f>HYPERLINK("http://www.ncbi.nlm.nih.gov/gene/?term=CLN5","NCBI")</f>
        <v>NCBI</v>
      </c>
      <c r="F10443">
        <v>0.23</v>
      </c>
      <c r="G10443">
        <v>0.38</v>
      </c>
      <c r="H10443" s="1" t="str">
        <f>HYPERLINK("http://www.weizmann.ac.il/complex/compphys/software/geview/data/figures/214252_s_at.png","Figure")</f>
        <v>Figure</v>
      </c>
      <c r="I10443">
        <v>0.997</v>
      </c>
      <c r="J10443">
        <v>0.3</v>
      </c>
      <c r="K10443">
        <v>1</v>
      </c>
      <c r="L10443">
        <v>1</v>
      </c>
      <c r="M10443">
        <v>1</v>
      </c>
      <c r="N10443">
        <v>0.26</v>
      </c>
    </row>
    <row r="10444" spans="1:14" x14ac:dyDescent="0.25">
      <c r="A10444" t="s">
        <v>18207</v>
      </c>
      <c r="B10444" t="s">
        <v>15551</v>
      </c>
      <c r="C10444" s="1" t="str">
        <f>HYPERLINK("http://www.genecards.org/cgi-bin/carddisp.pl?gene=RPL12","GeneCards")</f>
        <v>GeneCards</v>
      </c>
      <c r="D10444" s="1" t="str">
        <f>HYPERLINK("http://genome-euro.ucsc.edu/cgi-bin/hgTracks?position=214271_x_at","UCSC")</f>
        <v>UCSC</v>
      </c>
      <c r="E10444" s="1" t="str">
        <f>HYPERLINK("http://www.ncbi.nlm.nih.gov/gene/?term=RPL12","NCBI")</f>
        <v>NCBI</v>
      </c>
      <c r="F10444">
        <v>0.23</v>
      </c>
      <c r="G10444">
        <v>0.38</v>
      </c>
      <c r="H10444" s="1" t="str">
        <f>HYPERLINK("http://www.weizmann.ac.il/complex/compphys/software/geview/data/figures/214271_x_at.png","Figure")</f>
        <v>Figure</v>
      </c>
      <c r="I10444">
        <v>1.18</v>
      </c>
      <c r="J10444">
        <v>0.67</v>
      </c>
      <c r="K10444">
        <v>1.34</v>
      </c>
      <c r="L10444">
        <v>0.21</v>
      </c>
      <c r="M10444">
        <v>1.1399999999999999</v>
      </c>
      <c r="N10444">
        <v>0.73</v>
      </c>
    </row>
    <row r="10445" spans="1:14" x14ac:dyDescent="0.25">
      <c r="A10445" t="s">
        <v>18208</v>
      </c>
      <c r="B10445" t="s">
        <v>6891</v>
      </c>
      <c r="C10445" s="1" t="str">
        <f>HYPERLINK("http://www.genecards.org/cgi-bin/carddisp.pl?gene=MBD2","GeneCards")</f>
        <v>GeneCards</v>
      </c>
      <c r="D10445" s="1" t="str">
        <f>HYPERLINK("http://genome-euro.ucsc.edu/cgi-bin/hgTracks?position=214397_at","UCSC")</f>
        <v>UCSC</v>
      </c>
      <c r="E10445" s="1" t="str">
        <f>HYPERLINK("http://www.ncbi.nlm.nih.gov/gene/?term=MBD2","NCBI")</f>
        <v>NCBI</v>
      </c>
      <c r="F10445">
        <v>0.23</v>
      </c>
      <c r="G10445">
        <v>0.38</v>
      </c>
      <c r="H10445" s="1" t="str">
        <f>HYPERLINK("http://www.weizmann.ac.il/complex/compphys/software/geview/data/figures/214397_at.png","Figure")</f>
        <v>Figure</v>
      </c>
      <c r="I10445">
        <v>0.93300000000000005</v>
      </c>
      <c r="J10445">
        <v>0.3</v>
      </c>
      <c r="K10445">
        <v>1</v>
      </c>
      <c r="L10445">
        <v>1</v>
      </c>
      <c r="M10445">
        <v>1.07</v>
      </c>
      <c r="N10445">
        <v>0.26</v>
      </c>
    </row>
    <row r="10446" spans="1:14" x14ac:dyDescent="0.25">
      <c r="A10446" t="s">
        <v>18209</v>
      </c>
      <c r="B10446" t="s">
        <v>18210</v>
      </c>
      <c r="C10446" s="1" t="str">
        <f>HYPERLINK("http://www.genecards.org/cgi-bin/carddisp.pl?gene=P2RY10","GeneCards")</f>
        <v>GeneCards</v>
      </c>
      <c r="D10446" s="1" t="str">
        <f>HYPERLINK("http://genome-euro.ucsc.edu/cgi-bin/hgTracks?position=214615_at","UCSC")</f>
        <v>UCSC</v>
      </c>
      <c r="E10446" s="1" t="str">
        <f>HYPERLINK("http://www.ncbi.nlm.nih.gov/gene/?term=P2RY10","NCBI")</f>
        <v>NCBI</v>
      </c>
      <c r="F10446">
        <v>0.23</v>
      </c>
      <c r="G10446">
        <v>0.38</v>
      </c>
      <c r="H10446" s="1" t="str">
        <f>HYPERLINK("http://www.weizmann.ac.il/complex/compphys/software/geview/data/figures/214615_at.png","Figure")</f>
        <v>Figure</v>
      </c>
      <c r="I10446">
        <v>0.94099999999999995</v>
      </c>
      <c r="J10446">
        <v>0.3</v>
      </c>
      <c r="K10446">
        <v>1</v>
      </c>
      <c r="L10446">
        <v>1</v>
      </c>
      <c r="M10446">
        <v>1.06</v>
      </c>
      <c r="N10446">
        <v>0.26</v>
      </c>
    </row>
    <row r="10447" spans="1:14" x14ac:dyDescent="0.25">
      <c r="A10447" t="s">
        <v>18211</v>
      </c>
      <c r="B10447" t="s">
        <v>18212</v>
      </c>
      <c r="C10447" s="1" t="str">
        <f>HYPERLINK("http://www.genecards.org/cgi-bin/carddisp.pl?gene=ZNF200","GeneCards")</f>
        <v>GeneCards</v>
      </c>
      <c r="D10447" s="1" t="str">
        <f>HYPERLINK("http://genome-euro.ucsc.edu/cgi-bin/hgTracks?position=214706_at","UCSC")</f>
        <v>UCSC</v>
      </c>
      <c r="E10447" s="1" t="str">
        <f>HYPERLINK("http://www.ncbi.nlm.nih.gov/gene/?term=ZNF200","NCBI")</f>
        <v>NCBI</v>
      </c>
      <c r="F10447">
        <v>0.23</v>
      </c>
      <c r="G10447">
        <v>0.38</v>
      </c>
      <c r="H10447" s="1" t="str">
        <f>HYPERLINK("http://www.weizmann.ac.il/complex/compphys/software/geview/data/figures/214706_at.png","Figure")</f>
        <v>Figure</v>
      </c>
      <c r="I10447">
        <v>0.88600000000000001</v>
      </c>
      <c r="J10447">
        <v>0.3</v>
      </c>
      <c r="K10447">
        <v>1</v>
      </c>
      <c r="L10447">
        <v>1</v>
      </c>
      <c r="M10447">
        <v>1.1299999999999999</v>
      </c>
      <c r="N10447">
        <v>0.26</v>
      </c>
    </row>
    <row r="10448" spans="1:14" x14ac:dyDescent="0.25">
      <c r="A10448" t="s">
        <v>18213</v>
      </c>
      <c r="B10448" t="s">
        <v>18214</v>
      </c>
      <c r="C10448" s="1" t="str">
        <f>HYPERLINK("http://www.genecards.org/cgi-bin/carddisp.pl?gene=UAP1L1","GeneCards")</f>
        <v>GeneCards</v>
      </c>
      <c r="D10448" s="1" t="str">
        <f>HYPERLINK("http://genome-euro.ucsc.edu/cgi-bin/hgTracks?position=214755_at","UCSC")</f>
        <v>UCSC</v>
      </c>
      <c r="E10448" s="1" t="str">
        <f>HYPERLINK("http://www.ncbi.nlm.nih.gov/gene/?term=UAP1L1","NCBI")</f>
        <v>NCBI</v>
      </c>
      <c r="F10448">
        <v>0.23</v>
      </c>
      <c r="G10448">
        <v>0.38</v>
      </c>
      <c r="H10448" s="1" t="str">
        <f>HYPERLINK("http://www.weizmann.ac.il/complex/compphys/software/geview/data/figures/214755_at.png","Figure")</f>
        <v>Figure</v>
      </c>
      <c r="I10448">
        <v>1.04</v>
      </c>
      <c r="J10448">
        <v>0.52</v>
      </c>
      <c r="K10448">
        <v>0.98199999999999998</v>
      </c>
      <c r="L10448">
        <v>0.79</v>
      </c>
      <c r="M10448">
        <v>0.94699999999999995</v>
      </c>
      <c r="N10448">
        <v>0.2</v>
      </c>
    </row>
    <row r="10449" spans="1:14" x14ac:dyDescent="0.25">
      <c r="A10449" t="s">
        <v>18215</v>
      </c>
      <c r="B10449" t="s">
        <v>8812</v>
      </c>
      <c r="C10449" s="1" t="str">
        <f>HYPERLINK("http://www.genecards.org/cgi-bin/carddisp.pl?gene=EXT1","GeneCards")</f>
        <v>GeneCards</v>
      </c>
      <c r="D10449" s="1" t="str">
        <f>HYPERLINK("http://genome-euro.ucsc.edu/cgi-bin/hgTracks?position=214985_at","UCSC")</f>
        <v>UCSC</v>
      </c>
      <c r="E10449" s="1" t="str">
        <f>HYPERLINK("http://www.ncbi.nlm.nih.gov/gene/?term=EXT1","NCBI")</f>
        <v>NCBI</v>
      </c>
      <c r="F10449">
        <v>0.23</v>
      </c>
      <c r="G10449">
        <v>0.38</v>
      </c>
      <c r="H10449" s="1" t="str">
        <f>HYPERLINK("http://www.weizmann.ac.il/complex/compphys/software/geview/data/figures/214985_at.png","Figure")</f>
        <v>Figure</v>
      </c>
      <c r="I10449">
        <v>0.98499999999999999</v>
      </c>
      <c r="J10449">
        <v>0.3</v>
      </c>
      <c r="K10449">
        <v>1</v>
      </c>
      <c r="L10449">
        <v>1</v>
      </c>
      <c r="M10449">
        <v>1.02</v>
      </c>
      <c r="N10449">
        <v>0.26</v>
      </c>
    </row>
    <row r="10450" spans="1:14" x14ac:dyDescent="0.25">
      <c r="A10450" t="s">
        <v>18216</v>
      </c>
      <c r="B10450" t="s">
        <v>1646</v>
      </c>
      <c r="C10450" s="1" t="str">
        <f>HYPERLINK("http://www.genecards.org/cgi-bin/carddisp.pl?gene=AAK1","GeneCards")</f>
        <v>GeneCards</v>
      </c>
      <c r="D10450" s="1" t="str">
        <f>HYPERLINK("http://genome-euro.ucsc.edu/cgi-bin/hgTracks?position=214998_at","UCSC")</f>
        <v>UCSC</v>
      </c>
      <c r="E10450" s="1" t="str">
        <f>HYPERLINK("http://www.ncbi.nlm.nih.gov/gene/?term=AAK1","NCBI")</f>
        <v>NCBI</v>
      </c>
      <c r="F10450">
        <v>0.23</v>
      </c>
      <c r="G10450">
        <v>0.38</v>
      </c>
      <c r="H10450" s="1" t="str">
        <f>HYPERLINK("http://www.weizmann.ac.il/complex/compphys/software/geview/data/figures/214998_at.png","Figure")</f>
        <v>Figure</v>
      </c>
      <c r="I10450">
        <v>0.97599999999999998</v>
      </c>
      <c r="J10450">
        <v>0.3</v>
      </c>
      <c r="K10450">
        <v>1</v>
      </c>
      <c r="L10450">
        <v>1</v>
      </c>
      <c r="M10450">
        <v>1.02</v>
      </c>
      <c r="N10450">
        <v>0.26</v>
      </c>
    </row>
    <row r="10451" spans="1:14" x14ac:dyDescent="0.25">
      <c r="A10451" t="s">
        <v>18217</v>
      </c>
      <c r="B10451" t="s">
        <v>18218</v>
      </c>
      <c r="C10451" s="1" t="str">
        <f>HYPERLINK("http://www.genecards.org/cgi-bin/carddisp.pl?gene=KIAA1731","GeneCards")</f>
        <v>GeneCards</v>
      </c>
      <c r="D10451" s="1" t="str">
        <f>HYPERLINK("http://genome-euro.ucsc.edu/cgi-bin/hgTracks?position=215018_at","UCSC")</f>
        <v>UCSC</v>
      </c>
      <c r="E10451" s="1" t="str">
        <f>HYPERLINK("http://www.ncbi.nlm.nih.gov/gene/?term=KIAA1731","NCBI")</f>
        <v>NCBI</v>
      </c>
      <c r="F10451">
        <v>0.23</v>
      </c>
      <c r="G10451">
        <v>0.38</v>
      </c>
      <c r="H10451" s="1" t="str">
        <f>HYPERLINK("http://www.weizmann.ac.il/complex/compphys/software/geview/data/figures/215018_at.png","Figure")</f>
        <v>Figure</v>
      </c>
      <c r="I10451">
        <v>0.98499999999999999</v>
      </c>
      <c r="J10451">
        <v>0.3</v>
      </c>
      <c r="K10451">
        <v>1</v>
      </c>
      <c r="L10451">
        <v>1</v>
      </c>
      <c r="M10451">
        <v>1.02</v>
      </c>
      <c r="N10451">
        <v>0.26</v>
      </c>
    </row>
    <row r="10452" spans="1:14" x14ac:dyDescent="0.25">
      <c r="A10452" t="s">
        <v>18219</v>
      </c>
      <c r="B10452" t="s">
        <v>18220</v>
      </c>
      <c r="C10452" s="1" t="str">
        <f>HYPERLINK("http://www.genecards.org/cgi-bin/carddisp.pl?gene=NUS1 /// YDD19","GeneCards")</f>
        <v>GeneCards</v>
      </c>
      <c r="D10452" s="1" t="str">
        <f>HYPERLINK("http://genome-euro.ucsc.edu/cgi-bin/hgTracks?position=215207_x_at","UCSC")</f>
        <v>UCSC</v>
      </c>
      <c r="E10452" s="1" t="str">
        <f>HYPERLINK("http://www.ncbi.nlm.nih.gov/gene/?term=NUS1 /// YDD19","NCBI")</f>
        <v>NCBI</v>
      </c>
      <c r="F10452">
        <v>0.23</v>
      </c>
      <c r="G10452">
        <v>0.38</v>
      </c>
      <c r="H10452" s="1" t="str">
        <f>HYPERLINK("http://www.weizmann.ac.il/complex/compphys/software/geview/data/figures/215207_x_at.png","Figure")</f>
        <v>Figure</v>
      </c>
      <c r="I10452">
        <v>0.85299999999999998</v>
      </c>
      <c r="J10452">
        <v>0.3</v>
      </c>
      <c r="K10452">
        <v>1</v>
      </c>
      <c r="L10452">
        <v>1</v>
      </c>
      <c r="M10452">
        <v>1.17</v>
      </c>
      <c r="N10452">
        <v>0.26</v>
      </c>
    </row>
    <row r="10453" spans="1:14" x14ac:dyDescent="0.25">
      <c r="A10453" t="s">
        <v>18221</v>
      </c>
      <c r="B10453" t="s">
        <v>8534</v>
      </c>
      <c r="C10453" s="1" t="str">
        <f>HYPERLINK("http://www.genecards.org/cgi-bin/carddisp.pl?gene=TPSAB1","GeneCards")</f>
        <v>GeneCards</v>
      </c>
      <c r="D10453" s="1" t="str">
        <f>HYPERLINK("http://genome-euro.ucsc.edu/cgi-bin/hgTracks?position=215382_x_at","UCSC")</f>
        <v>UCSC</v>
      </c>
      <c r="E10453" s="1" t="str">
        <f>HYPERLINK("http://www.ncbi.nlm.nih.gov/gene/?term=TPSAB1","NCBI")</f>
        <v>NCBI</v>
      </c>
      <c r="F10453">
        <v>0.23</v>
      </c>
      <c r="G10453">
        <v>0.38</v>
      </c>
      <c r="H10453" s="1" t="str">
        <f>HYPERLINK("http://www.weizmann.ac.il/complex/compphys/software/geview/data/figures/215382_x_at.png","Figure")</f>
        <v>Figure</v>
      </c>
      <c r="I10453">
        <v>0.997</v>
      </c>
      <c r="J10453">
        <v>0.3</v>
      </c>
      <c r="K10453">
        <v>1</v>
      </c>
      <c r="L10453">
        <v>1</v>
      </c>
      <c r="M10453">
        <v>1</v>
      </c>
      <c r="N10453">
        <v>0.26</v>
      </c>
    </row>
    <row r="10454" spans="1:14" x14ac:dyDescent="0.25">
      <c r="A10454" t="s">
        <v>18222</v>
      </c>
      <c r="B10454" t="s">
        <v>18223</v>
      </c>
      <c r="C10454" s="1" t="str">
        <f>HYPERLINK("http://www.genecards.org/cgi-bin/carddisp.pl?gene=ADCY9","GeneCards")</f>
        <v>GeneCards</v>
      </c>
      <c r="D10454" s="1" t="str">
        <f>HYPERLINK("http://genome-euro.ucsc.edu/cgi-bin/hgTracks?position=215400_x_at","UCSC")</f>
        <v>UCSC</v>
      </c>
      <c r="E10454" s="1" t="str">
        <f>HYPERLINK("http://www.ncbi.nlm.nih.gov/gene/?term=ADCY9","NCBI")</f>
        <v>NCBI</v>
      </c>
      <c r="F10454">
        <v>0.23</v>
      </c>
      <c r="G10454">
        <v>0.38</v>
      </c>
      <c r="H10454" s="1" t="str">
        <f>HYPERLINK("http://www.weizmann.ac.il/complex/compphys/software/geview/data/figures/215400_x_at.png","Figure")</f>
        <v>Figure</v>
      </c>
      <c r="I10454">
        <v>1.1399999999999999</v>
      </c>
      <c r="J10454">
        <v>0.32</v>
      </c>
      <c r="K10454">
        <v>0.99099999999999999</v>
      </c>
      <c r="L10454">
        <v>0.99</v>
      </c>
      <c r="M10454">
        <v>0.871</v>
      </c>
      <c r="N10454">
        <v>0.24</v>
      </c>
    </row>
    <row r="10455" spans="1:14" x14ac:dyDescent="0.25">
      <c r="A10455" t="s">
        <v>18224</v>
      </c>
      <c r="B10455" t="s">
        <v>18225</v>
      </c>
      <c r="C10455" s="1" t="str">
        <f>HYPERLINK("http://www.genecards.org/cgi-bin/carddisp.pl?gene=LOC100131510","GeneCards")</f>
        <v>GeneCards</v>
      </c>
      <c r="D10455" s="1" t="str">
        <f>HYPERLINK("http://genome-euro.ucsc.edu/cgi-bin/hgTracks?position=215421_at","UCSC")</f>
        <v>UCSC</v>
      </c>
      <c r="E10455" s="1" t="str">
        <f>HYPERLINK("http://www.ncbi.nlm.nih.gov/gene/?term=LOC100131510","NCBI")</f>
        <v>NCBI</v>
      </c>
      <c r="F10455">
        <v>0.23</v>
      </c>
      <c r="G10455">
        <v>0.38</v>
      </c>
      <c r="H10455" s="1" t="str">
        <f>HYPERLINK("http://www.weizmann.ac.il/complex/compphys/software/geview/data/figures/215421_at.png","Figure")</f>
        <v>Figure</v>
      </c>
      <c r="I10455">
        <v>1.01</v>
      </c>
      <c r="J10455">
        <v>0.99</v>
      </c>
      <c r="K10455">
        <v>0.93400000000000005</v>
      </c>
      <c r="L10455">
        <v>0.33</v>
      </c>
      <c r="M10455">
        <v>0.92600000000000005</v>
      </c>
      <c r="N10455">
        <v>0.31</v>
      </c>
    </row>
    <row r="10456" spans="1:14" x14ac:dyDescent="0.25">
      <c r="A10456" t="s">
        <v>18226</v>
      </c>
      <c r="B10456" t="s">
        <v>17980</v>
      </c>
      <c r="C10456" s="1" t="str">
        <f>HYPERLINK("http://www.genecards.org/cgi-bin/carddisp.pl?gene=SBNO2","GeneCards")</f>
        <v>GeneCards</v>
      </c>
      <c r="D10456" s="1" t="str">
        <f>HYPERLINK("http://genome-euro.ucsc.edu/cgi-bin/hgTracks?position=215760_s_at","UCSC")</f>
        <v>UCSC</v>
      </c>
      <c r="E10456" s="1" t="str">
        <f>HYPERLINK("http://www.ncbi.nlm.nih.gov/gene/?term=SBNO2","NCBI")</f>
        <v>NCBI</v>
      </c>
      <c r="F10456">
        <v>0.23</v>
      </c>
      <c r="G10456">
        <v>0.38</v>
      </c>
      <c r="H10456" s="1" t="str">
        <f>HYPERLINK("http://www.weizmann.ac.il/complex/compphys/software/geview/data/figures/215760_s_at.png","Figure")</f>
        <v>Figure</v>
      </c>
      <c r="I10456">
        <v>0.99</v>
      </c>
      <c r="J10456">
        <v>0.3</v>
      </c>
      <c r="K10456">
        <v>1</v>
      </c>
      <c r="L10456">
        <v>1</v>
      </c>
      <c r="M10456">
        <v>1.01</v>
      </c>
      <c r="N10456">
        <v>0.26</v>
      </c>
    </row>
    <row r="10457" spans="1:14" x14ac:dyDescent="0.25">
      <c r="A10457" t="s">
        <v>18227</v>
      </c>
      <c r="B10457" t="s">
        <v>16066</v>
      </c>
      <c r="C10457" s="1" t="str">
        <f>HYPERLINK("http://www.genecards.org/cgi-bin/carddisp.pl?gene=MTMR1","GeneCards")</f>
        <v>GeneCards</v>
      </c>
      <c r="D10457" s="1" t="str">
        <f>HYPERLINK("http://genome-euro.ucsc.edu/cgi-bin/hgTracks?position=216095_x_at","UCSC")</f>
        <v>UCSC</v>
      </c>
      <c r="E10457" s="1" t="str">
        <f>HYPERLINK("http://www.ncbi.nlm.nih.gov/gene/?term=MTMR1","NCBI")</f>
        <v>NCBI</v>
      </c>
      <c r="F10457">
        <v>0.23</v>
      </c>
      <c r="G10457">
        <v>0.38</v>
      </c>
      <c r="H10457" s="1" t="str">
        <f>HYPERLINK("http://www.weizmann.ac.il/complex/compphys/software/geview/data/figures/216095_x_at.png","Figure")</f>
        <v>Figure</v>
      </c>
      <c r="I10457">
        <v>0.73799999999999999</v>
      </c>
      <c r="J10457">
        <v>0.3</v>
      </c>
      <c r="K10457">
        <v>1</v>
      </c>
      <c r="L10457">
        <v>1</v>
      </c>
      <c r="M10457">
        <v>1.36</v>
      </c>
      <c r="N10457">
        <v>0.25</v>
      </c>
    </row>
    <row r="10458" spans="1:14" x14ac:dyDescent="0.25">
      <c r="A10458" t="s">
        <v>18228</v>
      </c>
      <c r="B10458" t="s">
        <v>18229</v>
      </c>
      <c r="C10458" s="1" t="str">
        <f>HYPERLINK("http://www.genecards.org/cgi-bin/carddisp.pl?gene=TRA@ /// TRD@","GeneCards")</f>
        <v>GeneCards</v>
      </c>
      <c r="D10458" s="1" t="str">
        <f>HYPERLINK("http://genome-euro.ucsc.edu/cgi-bin/hgTracks?position=216191_s_at","UCSC")</f>
        <v>UCSC</v>
      </c>
      <c r="E10458" s="1" t="str">
        <f>HYPERLINK("http://www.ncbi.nlm.nih.gov/gene/?term=TRA@ /// TRD@","NCBI")</f>
        <v>NCBI</v>
      </c>
      <c r="F10458">
        <v>0.23</v>
      </c>
      <c r="G10458">
        <v>0.38</v>
      </c>
      <c r="H10458" s="1" t="str">
        <f>HYPERLINK("http://www.weizmann.ac.il/complex/compphys/software/geview/data/figures/216191_s_at.png","Figure")</f>
        <v>Figure</v>
      </c>
      <c r="I10458">
        <v>0.995</v>
      </c>
      <c r="J10458">
        <v>0.3</v>
      </c>
      <c r="K10458">
        <v>1</v>
      </c>
      <c r="L10458">
        <v>1</v>
      </c>
      <c r="M10458">
        <v>1.01</v>
      </c>
      <c r="N10458">
        <v>0.26</v>
      </c>
    </row>
    <row r="10459" spans="1:14" x14ac:dyDescent="0.25">
      <c r="A10459" t="s">
        <v>18230</v>
      </c>
      <c r="B10459" t="s">
        <v>18231</v>
      </c>
      <c r="C10459" s="1" t="str">
        <f>HYPERLINK("http://www.genecards.org/cgi-bin/carddisp.pl?gene=LAMB2","GeneCards")</f>
        <v>GeneCards</v>
      </c>
      <c r="D10459" s="1" t="str">
        <f>HYPERLINK("http://genome-euro.ucsc.edu/cgi-bin/hgTracks?position=216264_s_at","UCSC")</f>
        <v>UCSC</v>
      </c>
      <c r="E10459" s="1" t="str">
        <f>HYPERLINK("http://www.ncbi.nlm.nih.gov/gene/?term=LAMB2","NCBI")</f>
        <v>NCBI</v>
      </c>
      <c r="F10459">
        <v>0.23</v>
      </c>
      <c r="G10459">
        <v>0.38</v>
      </c>
      <c r="H10459" s="1" t="str">
        <f>HYPERLINK("http://www.weizmann.ac.il/complex/compphys/software/geview/data/figures/216264_s_at.png","Figure")</f>
        <v>Figure</v>
      </c>
      <c r="I10459">
        <v>0.90900000000000003</v>
      </c>
      <c r="J10459">
        <v>0.3</v>
      </c>
      <c r="K10459">
        <v>1</v>
      </c>
      <c r="L10459">
        <v>1</v>
      </c>
      <c r="M10459">
        <v>1.1000000000000001</v>
      </c>
      <c r="N10459">
        <v>0.26</v>
      </c>
    </row>
    <row r="10460" spans="1:14" x14ac:dyDescent="0.25">
      <c r="A10460" t="s">
        <v>18232</v>
      </c>
      <c r="B10460" t="s">
        <v>18233</v>
      </c>
      <c r="C10460" s="1" t="str">
        <f>HYPERLINK("http://www.genecards.org/cgi-bin/carddisp.pl?gene=GALK2","GeneCards")</f>
        <v>GeneCards</v>
      </c>
      <c r="D10460" s="1" t="str">
        <f>HYPERLINK("http://genome-euro.ucsc.edu/cgi-bin/hgTracks?position=216411_s_at","UCSC")</f>
        <v>UCSC</v>
      </c>
      <c r="E10460" s="1" t="str">
        <f>HYPERLINK("http://www.ncbi.nlm.nih.gov/gene/?term=GALK2","NCBI")</f>
        <v>NCBI</v>
      </c>
      <c r="F10460">
        <v>0.23</v>
      </c>
      <c r="G10460">
        <v>0.38</v>
      </c>
      <c r="H10460" s="1" t="str">
        <f>HYPERLINK("http://www.weizmann.ac.il/complex/compphys/software/geview/data/figures/216411_s_at.png","Figure")</f>
        <v>Figure</v>
      </c>
      <c r="I10460">
        <v>0.91400000000000003</v>
      </c>
      <c r="J10460">
        <v>0.3</v>
      </c>
      <c r="K10460">
        <v>1</v>
      </c>
      <c r="L10460">
        <v>1</v>
      </c>
      <c r="M10460">
        <v>1.0900000000000001</v>
      </c>
      <c r="N10460">
        <v>0.26</v>
      </c>
    </row>
    <row r="10461" spans="1:14" x14ac:dyDescent="0.25">
      <c r="A10461" t="s">
        <v>18234</v>
      </c>
      <c r="B10461" t="s">
        <v>10375</v>
      </c>
      <c r="C10461" s="1" t="str">
        <f>HYPERLINK("http://www.genecards.org/cgi-bin/carddisp.pl?gene=FLJ00049","GeneCards")</f>
        <v>GeneCards</v>
      </c>
      <c r="D10461" s="1" t="str">
        <f>HYPERLINK("http://genome-euro.ucsc.edu/cgi-bin/hgTracks?position=216460_at","UCSC")</f>
        <v>UCSC</v>
      </c>
      <c r="E10461" s="1" t="str">
        <f>HYPERLINK("http://www.ncbi.nlm.nih.gov/gene/?term=FLJ00049","NCBI")</f>
        <v>NCBI</v>
      </c>
      <c r="F10461">
        <v>0.23</v>
      </c>
      <c r="G10461">
        <v>0.38</v>
      </c>
      <c r="H10461" s="1" t="str">
        <f>HYPERLINK("http://www.weizmann.ac.il/complex/compphys/software/geview/data/figures/216460_at.png","Figure")</f>
        <v>Figure</v>
      </c>
      <c r="I10461">
        <v>1.1200000000000001</v>
      </c>
      <c r="J10461">
        <v>0.38</v>
      </c>
      <c r="K10461">
        <v>1.1299999999999999</v>
      </c>
      <c r="L10461">
        <v>0.24</v>
      </c>
      <c r="M10461">
        <v>1.01</v>
      </c>
      <c r="N10461">
        <v>0.99</v>
      </c>
    </row>
    <row r="10462" spans="1:14" x14ac:dyDescent="0.25">
      <c r="A10462" t="s">
        <v>18235</v>
      </c>
      <c r="B10462" t="s">
        <v>15676</v>
      </c>
      <c r="C10462" s="1" t="str">
        <f>HYPERLINK("http://www.genecards.org/cgi-bin/carddisp.pl?gene=KRIT1","GeneCards")</f>
        <v>GeneCards</v>
      </c>
      <c r="D10462" s="1" t="str">
        <f>HYPERLINK("http://genome-euro.ucsc.edu/cgi-bin/hgTracks?position=216713_at","UCSC")</f>
        <v>UCSC</v>
      </c>
      <c r="E10462" s="1" t="str">
        <f>HYPERLINK("http://www.ncbi.nlm.nih.gov/gene/?term=KRIT1","NCBI")</f>
        <v>NCBI</v>
      </c>
      <c r="F10462">
        <v>0.23</v>
      </c>
      <c r="G10462">
        <v>0.38</v>
      </c>
      <c r="H10462" s="1" t="str">
        <f>HYPERLINK("http://www.weizmann.ac.il/complex/compphys/software/geview/data/figures/216713_at.png","Figure")</f>
        <v>Figure</v>
      </c>
      <c r="I10462">
        <v>0.94899999999999995</v>
      </c>
      <c r="J10462">
        <v>0.3</v>
      </c>
      <c r="K10462">
        <v>1</v>
      </c>
      <c r="L10462">
        <v>1</v>
      </c>
      <c r="M10462">
        <v>1.05</v>
      </c>
      <c r="N10462">
        <v>0.26</v>
      </c>
    </row>
    <row r="10463" spans="1:14" x14ac:dyDescent="0.25">
      <c r="A10463" t="s">
        <v>18236</v>
      </c>
      <c r="B10463" t="s">
        <v>17648</v>
      </c>
      <c r="C10463" s="1" t="str">
        <f>HYPERLINK("http://www.genecards.org/cgi-bin/carddisp.pl?gene=XPNPEP2","GeneCards")</f>
        <v>GeneCards</v>
      </c>
      <c r="D10463" s="1" t="str">
        <f>HYPERLINK("http://genome-euro.ucsc.edu/cgi-bin/hgTracks?position=216910_at","UCSC")</f>
        <v>UCSC</v>
      </c>
      <c r="E10463" s="1" t="str">
        <f>HYPERLINK("http://www.ncbi.nlm.nih.gov/gene/?term=XPNPEP2","NCBI")</f>
        <v>NCBI</v>
      </c>
      <c r="F10463">
        <v>0.23</v>
      </c>
      <c r="G10463">
        <v>0.38</v>
      </c>
      <c r="H10463" s="1" t="str">
        <f>HYPERLINK("http://www.weizmann.ac.il/complex/compphys/software/geview/data/figures/216910_at.png","Figure")</f>
        <v>Figure</v>
      </c>
      <c r="I10463">
        <v>1.1000000000000001</v>
      </c>
      <c r="J10463">
        <v>0.24</v>
      </c>
      <c r="K10463">
        <v>1.02</v>
      </c>
      <c r="L10463">
        <v>0.92</v>
      </c>
      <c r="M10463">
        <v>0.92500000000000004</v>
      </c>
      <c r="N10463">
        <v>0.33</v>
      </c>
    </row>
    <row r="10464" spans="1:14" x14ac:dyDescent="0.25">
      <c r="A10464" t="s">
        <v>18237</v>
      </c>
      <c r="B10464" t="s">
        <v>18238</v>
      </c>
      <c r="C10464" s="1" t="str">
        <f>HYPERLINK("http://www.genecards.org/cgi-bin/carddisp.pl?gene=KRT35","GeneCards")</f>
        <v>GeneCards</v>
      </c>
      <c r="D10464" s="1" t="str">
        <f>HYPERLINK("http://genome-euro.ucsc.edu/cgi-bin/hgTracks?position=216921_s_at","UCSC")</f>
        <v>UCSC</v>
      </c>
      <c r="E10464" s="1" t="str">
        <f>HYPERLINK("http://www.ncbi.nlm.nih.gov/gene/?term=KRT35","NCBI")</f>
        <v>NCBI</v>
      </c>
      <c r="F10464">
        <v>0.23</v>
      </c>
      <c r="G10464">
        <v>0.38</v>
      </c>
      <c r="H10464" s="1" t="str">
        <f>HYPERLINK("http://www.weizmann.ac.il/complex/compphys/software/geview/data/figures/216921_s_at.png","Figure")</f>
        <v>Figure</v>
      </c>
      <c r="I10464">
        <v>0.995</v>
      </c>
      <c r="J10464">
        <v>0.3</v>
      </c>
      <c r="K10464">
        <v>1</v>
      </c>
      <c r="L10464">
        <v>1</v>
      </c>
      <c r="M10464">
        <v>1.01</v>
      </c>
      <c r="N10464">
        <v>0.26</v>
      </c>
    </row>
    <row r="10465" spans="1:14" x14ac:dyDescent="0.25">
      <c r="A10465" t="s">
        <v>18239</v>
      </c>
      <c r="B10465" t="s">
        <v>15077</v>
      </c>
      <c r="C10465" s="1" t="str">
        <f>HYPERLINK("http://www.genecards.org/cgi-bin/carddisp.pl?gene=MTAP","GeneCards")</f>
        <v>GeneCards</v>
      </c>
      <c r="D10465" s="1" t="str">
        <f>HYPERLINK("http://genome-euro.ucsc.edu/cgi-bin/hgTracks?position=217134_at","UCSC")</f>
        <v>UCSC</v>
      </c>
      <c r="E10465" s="1" t="str">
        <f>HYPERLINK("http://www.ncbi.nlm.nih.gov/gene/?term=MTAP","NCBI")</f>
        <v>NCBI</v>
      </c>
      <c r="F10465">
        <v>0.23</v>
      </c>
      <c r="G10465">
        <v>0.38</v>
      </c>
      <c r="H10465" s="1" t="str">
        <f>HYPERLINK("http://www.weizmann.ac.il/complex/compphys/software/geview/data/figures/217134_at.png","Figure")</f>
        <v>Figure</v>
      </c>
      <c r="I10465">
        <v>0.997</v>
      </c>
      <c r="J10465">
        <v>0.3</v>
      </c>
      <c r="K10465">
        <v>1</v>
      </c>
      <c r="L10465">
        <v>1</v>
      </c>
      <c r="M10465">
        <v>1</v>
      </c>
      <c r="N10465">
        <v>0.26</v>
      </c>
    </row>
    <row r="10466" spans="1:14" x14ac:dyDescent="0.25">
      <c r="A10466" t="s">
        <v>18240</v>
      </c>
      <c r="B10466" t="s">
        <v>18241</v>
      </c>
      <c r="C10466" s="1" t="str">
        <f>HYPERLINK("http://www.genecards.org/cgi-bin/carddisp.pl?gene=IGH@ /// IGHA1 /// IGHA2 /// IGHD /// IGHG1 /// IGHG3 /// IGHG4 /// IGHM /// LOC100126583 /// LOC100","GeneCards")</f>
        <v>GeneCards</v>
      </c>
      <c r="D10466" s="1" t="str">
        <f>HYPERLINK("http://genome-euro.ucsc.edu/cgi-bin/hgTracks?position=217236_x_at","UCSC")</f>
        <v>UCSC</v>
      </c>
      <c r="E10466" s="1" t="str">
        <f>HYPERLINK("http://www.ncbi.nlm.nih.gov/gene/?term=IGH@ /// IGHA1 /// IGHA2 /// IGHD /// IGHG1 /// IGHG3 /// IGHG4 /// IGHM /// LOC100126583 /// LOC100","NCBI")</f>
        <v>NCBI</v>
      </c>
      <c r="F10466">
        <v>0.23</v>
      </c>
      <c r="G10466">
        <v>0.38</v>
      </c>
      <c r="H10466" s="1" t="str">
        <f>HYPERLINK("http://www.weizmann.ac.il/complex/compphys/software/geview/data/figures/217236_x_at.png","Figure")</f>
        <v>Figure</v>
      </c>
      <c r="I10466">
        <v>0.98299999999999998</v>
      </c>
      <c r="J10466">
        <v>0.3</v>
      </c>
      <c r="K10466">
        <v>1</v>
      </c>
      <c r="L10466">
        <v>1</v>
      </c>
      <c r="M10466">
        <v>1.02</v>
      </c>
      <c r="N10466">
        <v>0.26</v>
      </c>
    </row>
    <row r="10467" spans="1:14" x14ac:dyDescent="0.25">
      <c r="A10467" t="s">
        <v>18242</v>
      </c>
      <c r="B10467" t="s">
        <v>18243</v>
      </c>
      <c r="C10467" s="1" t="str">
        <f>HYPERLINK("http://www.genecards.org/cgi-bin/carddisp.pl?gene=PRICKLE3","GeneCards")</f>
        <v>GeneCards</v>
      </c>
      <c r="D10467" s="1" t="str">
        <f>HYPERLINK("http://genome-euro.ucsc.edu/cgi-bin/hgTracks?position=217349_s_at","UCSC")</f>
        <v>UCSC</v>
      </c>
      <c r="E10467" s="1" t="str">
        <f>HYPERLINK("http://www.ncbi.nlm.nih.gov/gene/?term=PRICKLE3","NCBI")</f>
        <v>NCBI</v>
      </c>
      <c r="F10467">
        <v>0.23</v>
      </c>
      <c r="G10467">
        <v>0.38</v>
      </c>
      <c r="H10467" s="1" t="str">
        <f>HYPERLINK("http://www.weizmann.ac.il/complex/compphys/software/geview/data/figures/217349_s_at.png","Figure")</f>
        <v>Figure</v>
      </c>
      <c r="I10467">
        <v>0.98499999999999999</v>
      </c>
      <c r="J10467">
        <v>0.3</v>
      </c>
      <c r="K10467">
        <v>1</v>
      </c>
      <c r="L10467">
        <v>1</v>
      </c>
      <c r="M10467">
        <v>1.02</v>
      </c>
      <c r="N10467">
        <v>0.26</v>
      </c>
    </row>
    <row r="10468" spans="1:14" x14ac:dyDescent="0.25">
      <c r="A10468" t="s">
        <v>18244</v>
      </c>
      <c r="B10468" t="s">
        <v>18245</v>
      </c>
      <c r="C10468" s="1" t="str">
        <f>HYPERLINK("http://www.genecards.org/cgi-bin/carddisp.pl?gene=HNRNPA1 /// HNRNPA1L2 /// HNRPA1L-2 /// HNRPA1P5 /// LOC120364 /// LOC642817 /// LOC644037 /// LOC72","GeneCards")</f>
        <v>GeneCards</v>
      </c>
      <c r="D10468" s="1" t="str">
        <f>HYPERLINK("http://genome-euro.ucsc.edu/cgi-bin/hgTracks?position=217353_at","UCSC")</f>
        <v>UCSC</v>
      </c>
      <c r="E10468" s="1" t="str">
        <f>HYPERLINK("http://www.ncbi.nlm.nih.gov/gene/?term=HNRNPA1 /// HNRNPA1L2 /// HNRPA1L-2 /// HNRPA1P5 /// LOC120364 /// LOC642817 /// LOC644037 /// LOC72","NCBI")</f>
        <v>NCBI</v>
      </c>
      <c r="F10468">
        <v>0.23</v>
      </c>
      <c r="G10468">
        <v>0.38</v>
      </c>
      <c r="H10468" s="1" t="str">
        <f>HYPERLINK("http://www.weizmann.ac.il/complex/compphys/software/geview/data/figures/217353_at.png","Figure")</f>
        <v>Figure</v>
      </c>
      <c r="I10468">
        <v>0.98799999999999999</v>
      </c>
      <c r="J10468">
        <v>0.3</v>
      </c>
      <c r="K10468">
        <v>1</v>
      </c>
      <c r="L10468">
        <v>1</v>
      </c>
      <c r="M10468">
        <v>1.01</v>
      </c>
      <c r="N10468">
        <v>0.26</v>
      </c>
    </row>
    <row r="10469" spans="1:14" x14ac:dyDescent="0.25">
      <c r="A10469" t="s">
        <v>18246</v>
      </c>
      <c r="B10469" t="s">
        <v>18247</v>
      </c>
      <c r="C10469" s="1" t="str">
        <f>HYPERLINK("http://www.genecards.org/cgi-bin/carddisp.pl?gene=FAM55C","GeneCards")</f>
        <v>GeneCards</v>
      </c>
      <c r="D10469" s="1" t="str">
        <f>HYPERLINK("http://genome-euro.ucsc.edu/cgi-bin/hgTracks?position=217540_at","UCSC")</f>
        <v>UCSC</v>
      </c>
      <c r="E10469" s="1" t="str">
        <f>HYPERLINK("http://www.ncbi.nlm.nih.gov/gene/?term=FAM55C","NCBI")</f>
        <v>NCBI</v>
      </c>
      <c r="F10469">
        <v>0.23</v>
      </c>
      <c r="G10469">
        <v>0.38</v>
      </c>
      <c r="H10469" s="1" t="str">
        <f>HYPERLINK("http://www.weizmann.ac.il/complex/compphys/software/geview/data/figures/217540_at.png","Figure")</f>
        <v>Figure</v>
      </c>
      <c r="I10469">
        <v>0.98499999999999999</v>
      </c>
      <c r="J10469">
        <v>0.3</v>
      </c>
      <c r="K10469">
        <v>1</v>
      </c>
      <c r="L10469">
        <v>1</v>
      </c>
      <c r="M10469">
        <v>1.02</v>
      </c>
      <c r="N10469">
        <v>0.26</v>
      </c>
    </row>
    <row r="10470" spans="1:14" x14ac:dyDescent="0.25">
      <c r="A10470" t="s">
        <v>18248</v>
      </c>
      <c r="B10470" t="s">
        <v>2462</v>
      </c>
      <c r="C10470" s="1" t="str">
        <f>HYPERLINK("http://www.genecards.org/cgi-bin/carddisp.pl?gene=ZFAND5","GeneCards")</f>
        <v>GeneCards</v>
      </c>
      <c r="D10470" s="1" t="str">
        <f>HYPERLINK("http://genome-euro.ucsc.edu/cgi-bin/hgTracks?position=217649_at","UCSC")</f>
        <v>UCSC</v>
      </c>
      <c r="E10470" s="1" t="str">
        <f>HYPERLINK("http://www.ncbi.nlm.nih.gov/gene/?term=ZFAND5","NCBI")</f>
        <v>NCBI</v>
      </c>
      <c r="F10470">
        <v>0.23</v>
      </c>
      <c r="G10470">
        <v>0.38</v>
      </c>
      <c r="H10470" s="1" t="str">
        <f>HYPERLINK("http://www.weizmann.ac.il/complex/compphys/software/geview/data/figures/217649_at.png","Figure")</f>
        <v>Figure</v>
      </c>
      <c r="I10470">
        <v>0.89300000000000002</v>
      </c>
      <c r="J10470">
        <v>0.3</v>
      </c>
      <c r="K10470">
        <v>1</v>
      </c>
      <c r="L10470">
        <v>1</v>
      </c>
      <c r="M10470">
        <v>1.1200000000000001</v>
      </c>
      <c r="N10470">
        <v>0.26</v>
      </c>
    </row>
    <row r="10471" spans="1:14" x14ac:dyDescent="0.25">
      <c r="A10471" t="s">
        <v>18249</v>
      </c>
      <c r="B10471" t="s">
        <v>18250</v>
      </c>
      <c r="C10471" s="1" t="str">
        <f>HYPERLINK("http://www.genecards.org/cgi-bin/carddisp.pl?gene=LOC389906","GeneCards")</f>
        <v>GeneCards</v>
      </c>
      <c r="D10471" s="1" t="str">
        <f>HYPERLINK("http://genome-euro.ucsc.edu/cgi-bin/hgTracks?position=217712_at","UCSC")</f>
        <v>UCSC</v>
      </c>
      <c r="E10471" s="1" t="str">
        <f>HYPERLINK("http://www.ncbi.nlm.nih.gov/gene/?term=LOC389906","NCBI")</f>
        <v>NCBI</v>
      </c>
      <c r="F10471">
        <v>0.23</v>
      </c>
      <c r="G10471">
        <v>0.38</v>
      </c>
      <c r="H10471" s="1" t="str">
        <f>HYPERLINK("http://www.weizmann.ac.il/complex/compphys/software/geview/data/figures/217712_at.png","Figure")</f>
        <v>Figure</v>
      </c>
      <c r="I10471">
        <v>0.96099999999999997</v>
      </c>
      <c r="J10471">
        <v>0.3</v>
      </c>
      <c r="K10471">
        <v>1</v>
      </c>
      <c r="L10471">
        <v>1</v>
      </c>
      <c r="M10471">
        <v>1.04</v>
      </c>
      <c r="N10471">
        <v>0.26</v>
      </c>
    </row>
    <row r="10472" spans="1:14" x14ac:dyDescent="0.25">
      <c r="A10472" t="s">
        <v>18251</v>
      </c>
      <c r="B10472" t="s">
        <v>18252</v>
      </c>
      <c r="C10472" s="1" t="str">
        <f>HYPERLINK("http://www.genecards.org/cgi-bin/carddisp.pl?gene=CAB39","GeneCards")</f>
        <v>GeneCards</v>
      </c>
      <c r="D10472" s="1" t="str">
        <f>HYPERLINK("http://genome-euro.ucsc.edu/cgi-bin/hgTracks?position=217873_at","UCSC")</f>
        <v>UCSC</v>
      </c>
      <c r="E10472" s="1" t="str">
        <f>HYPERLINK("http://www.ncbi.nlm.nih.gov/gene/?term=CAB39","NCBI")</f>
        <v>NCBI</v>
      </c>
      <c r="F10472">
        <v>0.23</v>
      </c>
      <c r="G10472">
        <v>0.38</v>
      </c>
      <c r="H10472" s="1" t="str">
        <f>HYPERLINK("http://www.weizmann.ac.il/complex/compphys/software/geview/data/figures/217873_at.png","Figure")</f>
        <v>Figure</v>
      </c>
      <c r="I10472">
        <v>0.96799999999999997</v>
      </c>
      <c r="J10472">
        <v>0.99</v>
      </c>
      <c r="K10472">
        <v>0.75600000000000001</v>
      </c>
      <c r="L10472">
        <v>0.26</v>
      </c>
      <c r="M10472">
        <v>0.78100000000000003</v>
      </c>
      <c r="N10472">
        <v>0.39</v>
      </c>
    </row>
    <row r="10473" spans="1:14" x14ac:dyDescent="0.25">
      <c r="A10473" t="s">
        <v>18253</v>
      </c>
      <c r="B10473" t="s">
        <v>18254</v>
      </c>
      <c r="C10473" s="1" t="str">
        <f>HYPERLINK("http://www.genecards.org/cgi-bin/carddisp.pl?gene=BTBD1","GeneCards")</f>
        <v>GeneCards</v>
      </c>
      <c r="D10473" s="1" t="str">
        <f>HYPERLINK("http://genome-euro.ucsc.edu/cgi-bin/hgTracks?position=217945_at","UCSC")</f>
        <v>UCSC</v>
      </c>
      <c r="E10473" s="1" t="str">
        <f>HYPERLINK("http://www.ncbi.nlm.nih.gov/gene/?term=BTBD1","NCBI")</f>
        <v>NCBI</v>
      </c>
      <c r="F10473">
        <v>0.23</v>
      </c>
      <c r="G10473">
        <v>0.38</v>
      </c>
      <c r="H10473" s="1" t="str">
        <f>HYPERLINK("http://www.weizmann.ac.il/complex/compphys/software/geview/data/figures/217945_at.png","Figure")</f>
        <v>Figure</v>
      </c>
      <c r="I10473">
        <v>0.86399999999999999</v>
      </c>
      <c r="J10473">
        <v>0.82</v>
      </c>
      <c r="K10473">
        <v>0.68600000000000005</v>
      </c>
      <c r="L10473">
        <v>0.21</v>
      </c>
      <c r="M10473">
        <v>0.79400000000000004</v>
      </c>
      <c r="N10473">
        <v>0.57999999999999996</v>
      </c>
    </row>
    <row r="10474" spans="1:14" x14ac:dyDescent="0.25">
      <c r="A10474" t="s">
        <v>18255</v>
      </c>
      <c r="B10474" t="s">
        <v>18256</v>
      </c>
      <c r="C10474" s="1" t="str">
        <f>HYPERLINK("http://www.genecards.org/cgi-bin/carddisp.pl?gene=CMAS","GeneCards")</f>
        <v>GeneCards</v>
      </c>
      <c r="D10474" s="1" t="str">
        <f>HYPERLINK("http://genome-euro.ucsc.edu/cgi-bin/hgTracks?position=218111_s_at","UCSC")</f>
        <v>UCSC</v>
      </c>
      <c r="E10474" s="1" t="str">
        <f>HYPERLINK("http://www.ncbi.nlm.nih.gov/gene/?term=CMAS","NCBI")</f>
        <v>NCBI</v>
      </c>
      <c r="F10474">
        <v>0.23</v>
      </c>
      <c r="G10474">
        <v>0.38</v>
      </c>
      <c r="H10474" s="1" t="str">
        <f>HYPERLINK("http://www.weizmann.ac.il/complex/compphys/software/geview/data/figures/218111_s_at.png","Figure")</f>
        <v>Figure</v>
      </c>
      <c r="I10474">
        <v>0.86299999999999999</v>
      </c>
      <c r="J10474">
        <v>0.3</v>
      </c>
      <c r="K10474">
        <v>1</v>
      </c>
      <c r="L10474">
        <v>1</v>
      </c>
      <c r="M10474">
        <v>1.1599999999999999</v>
      </c>
      <c r="N10474">
        <v>0.26</v>
      </c>
    </row>
    <row r="10475" spans="1:14" x14ac:dyDescent="0.25">
      <c r="A10475" t="s">
        <v>18257</v>
      </c>
      <c r="B10475" t="s">
        <v>6744</v>
      </c>
      <c r="C10475" s="1" t="str">
        <f>HYPERLINK("http://www.genecards.org/cgi-bin/carddisp.pl?gene=NFYB","GeneCards")</f>
        <v>GeneCards</v>
      </c>
      <c r="D10475" s="1" t="str">
        <f>HYPERLINK("http://genome-euro.ucsc.edu/cgi-bin/hgTracks?position=218128_at","UCSC")</f>
        <v>UCSC</v>
      </c>
      <c r="E10475" s="1" t="str">
        <f>HYPERLINK("http://www.ncbi.nlm.nih.gov/gene/?term=NFYB","NCBI")</f>
        <v>NCBI</v>
      </c>
      <c r="F10475">
        <v>0.23</v>
      </c>
      <c r="G10475">
        <v>0.38</v>
      </c>
      <c r="H10475" s="1" t="str">
        <f>HYPERLINK("http://www.weizmann.ac.il/complex/compphys/software/geview/data/figures/218128_at.png","Figure")</f>
        <v>Figure</v>
      </c>
      <c r="I10475">
        <v>0.92</v>
      </c>
      <c r="J10475">
        <v>0.3</v>
      </c>
      <c r="K10475">
        <v>1</v>
      </c>
      <c r="L10475">
        <v>1</v>
      </c>
      <c r="M10475">
        <v>1.0900000000000001</v>
      </c>
      <c r="N10475">
        <v>0.26</v>
      </c>
    </row>
    <row r="10476" spans="1:14" x14ac:dyDescent="0.25">
      <c r="A10476" t="s">
        <v>18258</v>
      </c>
      <c r="B10476" t="s">
        <v>3945</v>
      </c>
      <c r="C10476" s="1" t="str">
        <f>HYPERLINK("http://www.genecards.org/cgi-bin/carddisp.pl?gene=GLT8D1","GeneCards")</f>
        <v>GeneCards</v>
      </c>
      <c r="D10476" s="1" t="str">
        <f>HYPERLINK("http://genome-euro.ucsc.edu/cgi-bin/hgTracks?position=218147_s_at","UCSC")</f>
        <v>UCSC</v>
      </c>
      <c r="E10476" s="1" t="str">
        <f>HYPERLINK("http://www.ncbi.nlm.nih.gov/gene/?term=GLT8D1","NCBI")</f>
        <v>NCBI</v>
      </c>
      <c r="F10476">
        <v>0.23</v>
      </c>
      <c r="G10476">
        <v>0.38</v>
      </c>
      <c r="H10476" s="1" t="str">
        <f>HYPERLINK("http://www.weizmann.ac.il/complex/compphys/software/geview/data/figures/218147_s_at.png","Figure")</f>
        <v>Figure</v>
      </c>
      <c r="I10476">
        <v>0.97799999999999998</v>
      </c>
      <c r="J10476">
        <v>0.3</v>
      </c>
      <c r="K10476">
        <v>1</v>
      </c>
      <c r="L10476">
        <v>1</v>
      </c>
      <c r="M10476">
        <v>1.02</v>
      </c>
      <c r="N10476">
        <v>0.26</v>
      </c>
    </row>
    <row r="10477" spans="1:14" x14ac:dyDescent="0.25">
      <c r="A10477" t="s">
        <v>18259</v>
      </c>
      <c r="B10477" t="s">
        <v>18260</v>
      </c>
      <c r="C10477" s="1" t="str">
        <f>HYPERLINK("http://www.genecards.org/cgi-bin/carddisp.pl?gene=C14orf159","GeneCards")</f>
        <v>GeneCards</v>
      </c>
      <c r="D10477" s="1" t="str">
        <f>HYPERLINK("http://genome-euro.ucsc.edu/cgi-bin/hgTracks?position=218298_s_at","UCSC")</f>
        <v>UCSC</v>
      </c>
      <c r="E10477" s="1" t="str">
        <f>HYPERLINK("http://www.ncbi.nlm.nih.gov/gene/?term=C14orf159","NCBI")</f>
        <v>NCBI</v>
      </c>
      <c r="F10477">
        <v>0.23</v>
      </c>
      <c r="G10477">
        <v>0.38</v>
      </c>
      <c r="H10477" s="1" t="str">
        <f>HYPERLINK("http://www.weizmann.ac.il/complex/compphys/software/geview/data/figures/218298_s_at.png","Figure")</f>
        <v>Figure</v>
      </c>
      <c r="I10477">
        <v>0.79300000000000004</v>
      </c>
      <c r="J10477">
        <v>0.66</v>
      </c>
      <c r="K10477">
        <v>1.23</v>
      </c>
      <c r="L10477">
        <v>0.65</v>
      </c>
      <c r="M10477">
        <v>1.55</v>
      </c>
      <c r="N10477">
        <v>0.21</v>
      </c>
    </row>
    <row r="10478" spans="1:14" x14ac:dyDescent="0.25">
      <c r="A10478" t="s">
        <v>18261</v>
      </c>
      <c r="B10478" t="s">
        <v>18262</v>
      </c>
      <c r="C10478" s="1" t="str">
        <f>HYPERLINK("http://www.genecards.org/cgi-bin/carddisp.pl?gene=RCOR3","GeneCards")</f>
        <v>GeneCards</v>
      </c>
      <c r="D10478" s="1" t="str">
        <f>HYPERLINK("http://genome-euro.ucsc.edu/cgi-bin/hgTracks?position=218344_s_at","UCSC")</f>
        <v>UCSC</v>
      </c>
      <c r="E10478" s="1" t="str">
        <f>HYPERLINK("http://www.ncbi.nlm.nih.gov/gene/?term=RCOR3","NCBI")</f>
        <v>NCBI</v>
      </c>
      <c r="F10478">
        <v>0.23</v>
      </c>
      <c r="G10478">
        <v>0.38</v>
      </c>
      <c r="H10478" s="1" t="str">
        <f>HYPERLINK("http://www.weizmann.ac.il/complex/compphys/software/geview/data/figures/218344_s_at.png","Figure")</f>
        <v>Figure</v>
      </c>
      <c r="I10478">
        <v>1.53</v>
      </c>
      <c r="J10478">
        <v>0.32</v>
      </c>
      <c r="K10478">
        <v>0.98299999999999998</v>
      </c>
      <c r="L10478">
        <v>1</v>
      </c>
      <c r="M10478">
        <v>0.64300000000000002</v>
      </c>
      <c r="N10478">
        <v>0.25</v>
      </c>
    </row>
    <row r="10479" spans="1:14" x14ac:dyDescent="0.25">
      <c r="A10479" t="s">
        <v>18263</v>
      </c>
      <c r="B10479" t="s">
        <v>18264</v>
      </c>
      <c r="C10479" s="1" t="str">
        <f>HYPERLINK("http://www.genecards.org/cgi-bin/carddisp.pl?gene=C10orf84","GeneCards")</f>
        <v>GeneCards</v>
      </c>
      <c r="D10479" s="1" t="str">
        <f>HYPERLINK("http://genome-euro.ucsc.edu/cgi-bin/hgTracks?position=218390_s_at","UCSC")</f>
        <v>UCSC</v>
      </c>
      <c r="E10479" s="1" t="str">
        <f>HYPERLINK("http://www.ncbi.nlm.nih.gov/gene/?term=C10orf84","NCBI")</f>
        <v>NCBI</v>
      </c>
      <c r="F10479">
        <v>0.23</v>
      </c>
      <c r="G10479">
        <v>0.38</v>
      </c>
      <c r="H10479" s="1" t="str">
        <f>HYPERLINK("http://www.weizmann.ac.il/complex/compphys/software/geview/data/figures/218390_s_at.png","Figure")</f>
        <v>Figure</v>
      </c>
      <c r="I10479">
        <v>0.98799999999999999</v>
      </c>
      <c r="J10479">
        <v>0.3</v>
      </c>
      <c r="K10479">
        <v>1</v>
      </c>
      <c r="L10479">
        <v>1</v>
      </c>
      <c r="M10479">
        <v>1.01</v>
      </c>
      <c r="N10479">
        <v>0.26</v>
      </c>
    </row>
    <row r="10480" spans="1:14" x14ac:dyDescent="0.25">
      <c r="A10480" t="s">
        <v>18265</v>
      </c>
      <c r="B10480" t="s">
        <v>18266</v>
      </c>
      <c r="C10480" s="1" t="str">
        <f>HYPERLINK("http://www.genecards.org/cgi-bin/carddisp.pl?gene=GREM1","GeneCards")</f>
        <v>GeneCards</v>
      </c>
      <c r="D10480" s="1" t="str">
        <f>HYPERLINK("http://genome-euro.ucsc.edu/cgi-bin/hgTracks?position=218468_s_at","UCSC")</f>
        <v>UCSC</v>
      </c>
      <c r="E10480" s="1" t="str">
        <f>HYPERLINK("http://www.ncbi.nlm.nih.gov/gene/?term=GREM1","NCBI")</f>
        <v>NCBI</v>
      </c>
      <c r="F10480">
        <v>0.23</v>
      </c>
      <c r="G10480">
        <v>0.38</v>
      </c>
      <c r="H10480" s="1" t="str">
        <f>HYPERLINK("http://www.weizmann.ac.il/complex/compphys/software/geview/data/figures/218468_s_at.png","Figure")</f>
        <v>Figure</v>
      </c>
      <c r="I10480">
        <v>0.74</v>
      </c>
      <c r="J10480">
        <v>0.3</v>
      </c>
      <c r="K10480">
        <v>1</v>
      </c>
      <c r="L10480">
        <v>1</v>
      </c>
      <c r="M10480">
        <v>1.35</v>
      </c>
      <c r="N10480">
        <v>0.26</v>
      </c>
    </row>
    <row r="10481" spans="1:14" x14ac:dyDescent="0.25">
      <c r="A10481" t="s">
        <v>18267</v>
      </c>
      <c r="B10481" t="s">
        <v>18268</v>
      </c>
      <c r="C10481" s="1" t="str">
        <f>HYPERLINK("http://www.genecards.org/cgi-bin/carddisp.pl?gene=UXT","GeneCards")</f>
        <v>GeneCards</v>
      </c>
      <c r="D10481" s="1" t="str">
        <f>HYPERLINK("http://genome-euro.ucsc.edu/cgi-bin/hgTracks?position=218495_at","UCSC")</f>
        <v>UCSC</v>
      </c>
      <c r="E10481" s="1" t="str">
        <f>HYPERLINK("http://www.ncbi.nlm.nih.gov/gene/?term=UXT","NCBI")</f>
        <v>NCBI</v>
      </c>
      <c r="F10481">
        <v>0.23</v>
      </c>
      <c r="G10481">
        <v>0.38</v>
      </c>
      <c r="H10481" s="1" t="str">
        <f>HYPERLINK("http://www.weizmann.ac.il/complex/compphys/software/geview/data/figures/218495_at.png","Figure")</f>
        <v>Figure</v>
      </c>
      <c r="I10481">
        <v>0.81899999999999995</v>
      </c>
      <c r="J10481">
        <v>0.65</v>
      </c>
      <c r="K10481">
        <v>1.19</v>
      </c>
      <c r="L10481">
        <v>0.65</v>
      </c>
      <c r="M10481">
        <v>1.46</v>
      </c>
      <c r="N10481">
        <v>0.21</v>
      </c>
    </row>
    <row r="10482" spans="1:14" x14ac:dyDescent="0.25">
      <c r="A10482" t="s">
        <v>18269</v>
      </c>
      <c r="B10482" t="s">
        <v>18270</v>
      </c>
      <c r="C10482" s="1" t="str">
        <f>HYPERLINK("http://www.genecards.org/cgi-bin/carddisp.pl?gene=SLC35A5","GeneCards")</f>
        <v>GeneCards</v>
      </c>
      <c r="D10482" s="1" t="str">
        <f>HYPERLINK("http://genome-euro.ucsc.edu/cgi-bin/hgTracks?position=218519_at","UCSC")</f>
        <v>UCSC</v>
      </c>
      <c r="E10482" s="1" t="str">
        <f>HYPERLINK("http://www.ncbi.nlm.nih.gov/gene/?term=SLC35A5","NCBI")</f>
        <v>NCBI</v>
      </c>
      <c r="F10482">
        <v>0.23</v>
      </c>
      <c r="G10482">
        <v>0.38</v>
      </c>
      <c r="H10482" s="1" t="str">
        <f>HYPERLINK("http://www.weizmann.ac.il/complex/compphys/software/geview/data/figures/218519_at.png","Figure")</f>
        <v>Figure</v>
      </c>
      <c r="I10482">
        <v>0.86599999999999999</v>
      </c>
      <c r="J10482">
        <v>0.3</v>
      </c>
      <c r="K10482">
        <v>1</v>
      </c>
      <c r="L10482">
        <v>1</v>
      </c>
      <c r="M10482">
        <v>1.1499999999999999</v>
      </c>
      <c r="N10482">
        <v>0.26</v>
      </c>
    </row>
    <row r="10483" spans="1:14" x14ac:dyDescent="0.25">
      <c r="A10483" t="s">
        <v>18271</v>
      </c>
      <c r="B10483" t="s">
        <v>18272</v>
      </c>
      <c r="C10483" s="1" t="str">
        <f>HYPERLINK("http://www.genecards.org/cgi-bin/carddisp.pl?gene=CRIPT","GeneCards")</f>
        <v>GeneCards</v>
      </c>
      <c r="D10483" s="1" t="str">
        <f>HYPERLINK("http://genome-euro.ucsc.edu/cgi-bin/hgTracks?position=218643_s_at","UCSC")</f>
        <v>UCSC</v>
      </c>
      <c r="E10483" s="1" t="str">
        <f>HYPERLINK("http://www.ncbi.nlm.nih.gov/gene/?term=CRIPT","NCBI")</f>
        <v>NCBI</v>
      </c>
      <c r="F10483">
        <v>0.23</v>
      </c>
      <c r="G10483">
        <v>0.38</v>
      </c>
      <c r="H10483" s="1" t="str">
        <f>HYPERLINK("http://www.weizmann.ac.il/complex/compphys/software/geview/data/figures/218643_s_at.png","Figure")</f>
        <v>Figure</v>
      </c>
      <c r="I10483">
        <v>0.97899999999999998</v>
      </c>
      <c r="J10483">
        <v>0.3</v>
      </c>
      <c r="K10483">
        <v>1</v>
      </c>
      <c r="L10483">
        <v>1</v>
      </c>
      <c r="M10483">
        <v>1.02</v>
      </c>
      <c r="N10483">
        <v>0.26</v>
      </c>
    </row>
    <row r="10484" spans="1:14" x14ac:dyDescent="0.25">
      <c r="A10484" t="s">
        <v>18273</v>
      </c>
      <c r="B10484" t="s">
        <v>18274</v>
      </c>
      <c r="C10484" s="1" t="str">
        <f>HYPERLINK("http://www.genecards.org/cgi-bin/carddisp.pl?gene=LACTB2","GeneCards")</f>
        <v>GeneCards</v>
      </c>
      <c r="D10484" s="1" t="str">
        <f>HYPERLINK("http://genome-euro.ucsc.edu/cgi-bin/hgTracks?position=218701_at","UCSC")</f>
        <v>UCSC</v>
      </c>
      <c r="E10484" s="1" t="str">
        <f>HYPERLINK("http://www.ncbi.nlm.nih.gov/gene/?term=LACTB2","NCBI")</f>
        <v>NCBI</v>
      </c>
      <c r="F10484">
        <v>0.23</v>
      </c>
      <c r="G10484">
        <v>0.38</v>
      </c>
      <c r="H10484" s="1" t="str">
        <f>HYPERLINK("http://www.weizmann.ac.il/complex/compphys/software/geview/data/figures/218701_at.png","Figure")</f>
        <v>Figure</v>
      </c>
      <c r="I10484">
        <v>0.98799999999999999</v>
      </c>
      <c r="J10484">
        <v>0.3</v>
      </c>
      <c r="K10484">
        <v>1</v>
      </c>
      <c r="L10484">
        <v>1</v>
      </c>
      <c r="M10484">
        <v>1.01</v>
      </c>
      <c r="N10484">
        <v>0.26</v>
      </c>
    </row>
    <row r="10485" spans="1:14" x14ac:dyDescent="0.25">
      <c r="A10485" t="s">
        <v>18275</v>
      </c>
      <c r="B10485" t="s">
        <v>18276</v>
      </c>
      <c r="C10485" s="1" t="str">
        <f>HYPERLINK("http://www.genecards.org/cgi-bin/carddisp.pl?gene=DVL2","GeneCards")</f>
        <v>GeneCards</v>
      </c>
      <c r="D10485" s="1" t="str">
        <f>HYPERLINK("http://genome-euro.ucsc.edu/cgi-bin/hgTracks?position=218759_at","UCSC")</f>
        <v>UCSC</v>
      </c>
      <c r="E10485" s="1" t="str">
        <f>HYPERLINK("http://www.ncbi.nlm.nih.gov/gene/?term=DVL2","NCBI")</f>
        <v>NCBI</v>
      </c>
      <c r="F10485">
        <v>0.23</v>
      </c>
      <c r="G10485">
        <v>0.38</v>
      </c>
      <c r="H10485" s="1" t="str">
        <f>HYPERLINK("http://www.weizmann.ac.il/complex/compphys/software/geview/data/figures/218759_at.png","Figure")</f>
        <v>Figure</v>
      </c>
      <c r="I10485">
        <v>1.24</v>
      </c>
      <c r="J10485">
        <v>0.22</v>
      </c>
      <c r="K10485">
        <v>1.1499999999999999</v>
      </c>
      <c r="L10485">
        <v>0.43</v>
      </c>
      <c r="M10485">
        <v>0.92500000000000004</v>
      </c>
      <c r="N10485">
        <v>0.78</v>
      </c>
    </row>
    <row r="10486" spans="1:14" x14ac:dyDescent="0.25">
      <c r="A10486" t="s">
        <v>18277</v>
      </c>
      <c r="B10486" t="s">
        <v>18278</v>
      </c>
      <c r="C10486" s="1" t="str">
        <f>HYPERLINK("http://www.genecards.org/cgi-bin/carddisp.pl?gene=TMEM106B","GeneCards")</f>
        <v>GeneCards</v>
      </c>
      <c r="D10486" s="1" t="str">
        <f>HYPERLINK("http://genome-euro.ucsc.edu/cgi-bin/hgTracks?position=218930_s_at","UCSC")</f>
        <v>UCSC</v>
      </c>
      <c r="E10486" s="1" t="str">
        <f>HYPERLINK("http://www.ncbi.nlm.nih.gov/gene/?term=TMEM106B","NCBI")</f>
        <v>NCBI</v>
      </c>
      <c r="F10486">
        <v>0.23</v>
      </c>
      <c r="G10486">
        <v>0.38</v>
      </c>
      <c r="H10486" s="1" t="str">
        <f>HYPERLINK("http://www.weizmann.ac.il/complex/compphys/software/geview/data/figures/218930_s_at.png","Figure")</f>
        <v>Figure</v>
      </c>
      <c r="I10486">
        <v>0.85699999999999998</v>
      </c>
      <c r="J10486">
        <v>0.3</v>
      </c>
      <c r="K10486">
        <v>1</v>
      </c>
      <c r="L10486">
        <v>1</v>
      </c>
      <c r="M10486">
        <v>1.17</v>
      </c>
      <c r="N10486">
        <v>0.26</v>
      </c>
    </row>
    <row r="10487" spans="1:14" x14ac:dyDescent="0.25">
      <c r="A10487" t="s">
        <v>18279</v>
      </c>
      <c r="B10487" t="s">
        <v>18280</v>
      </c>
      <c r="C10487" s="1" t="str">
        <f>HYPERLINK("http://www.genecards.org/cgi-bin/carddisp.pl?gene=RAB17","GeneCards")</f>
        <v>GeneCards</v>
      </c>
      <c r="D10487" s="1" t="str">
        <f>HYPERLINK("http://genome-euro.ucsc.edu/cgi-bin/hgTracks?position=218931_at","UCSC")</f>
        <v>UCSC</v>
      </c>
      <c r="E10487" s="1" t="str">
        <f>HYPERLINK("http://www.ncbi.nlm.nih.gov/gene/?term=RAB17","NCBI")</f>
        <v>NCBI</v>
      </c>
      <c r="F10487">
        <v>0.23</v>
      </c>
      <c r="G10487">
        <v>0.38</v>
      </c>
      <c r="H10487" s="1" t="str">
        <f>HYPERLINK("http://www.weizmann.ac.il/complex/compphys/software/geview/data/figures/218931_at.png","Figure")</f>
        <v>Figure</v>
      </c>
      <c r="I10487">
        <v>1.19</v>
      </c>
      <c r="J10487">
        <v>0.45</v>
      </c>
      <c r="K10487">
        <v>0.94099999999999995</v>
      </c>
      <c r="L10487">
        <v>0.87</v>
      </c>
      <c r="M10487">
        <v>0.79100000000000004</v>
      </c>
      <c r="N10487">
        <v>0.21</v>
      </c>
    </row>
    <row r="10488" spans="1:14" x14ac:dyDescent="0.25">
      <c r="A10488" t="s">
        <v>18281</v>
      </c>
      <c r="B10488" t="s">
        <v>18282</v>
      </c>
      <c r="C10488" s="1" t="str">
        <f>HYPERLINK("http://www.genecards.org/cgi-bin/carddisp.pl?gene=ACN9","GeneCards")</f>
        <v>GeneCards</v>
      </c>
      <c r="D10488" s="1" t="str">
        <f>HYPERLINK("http://genome-euro.ucsc.edu/cgi-bin/hgTracks?position=218981_at","UCSC")</f>
        <v>UCSC</v>
      </c>
      <c r="E10488" s="1" t="str">
        <f>HYPERLINK("http://www.ncbi.nlm.nih.gov/gene/?term=ACN9","NCBI")</f>
        <v>NCBI</v>
      </c>
      <c r="F10488">
        <v>0.23</v>
      </c>
      <c r="G10488">
        <v>0.38</v>
      </c>
      <c r="H10488" s="1" t="str">
        <f>HYPERLINK("http://www.weizmann.ac.il/complex/compphys/software/geview/data/figures/218981_at.png","Figure")</f>
        <v>Figure</v>
      </c>
      <c r="I10488">
        <v>0.99299999999999999</v>
      </c>
      <c r="J10488">
        <v>0.3</v>
      </c>
      <c r="K10488">
        <v>1</v>
      </c>
      <c r="L10488">
        <v>1</v>
      </c>
      <c r="M10488">
        <v>1.01</v>
      </c>
      <c r="N10488">
        <v>0.26</v>
      </c>
    </row>
    <row r="10489" spans="1:14" x14ac:dyDescent="0.25">
      <c r="A10489" t="s">
        <v>18283</v>
      </c>
      <c r="B10489" t="s">
        <v>18284</v>
      </c>
      <c r="C10489" s="1" t="str">
        <f>HYPERLINK("http://www.genecards.org/cgi-bin/carddisp.pl?gene=CTPS2","GeneCards")</f>
        <v>GeneCards</v>
      </c>
      <c r="D10489" s="1" t="str">
        <f>HYPERLINK("http://genome-euro.ucsc.edu/cgi-bin/hgTracks?position=219080_s_at","UCSC")</f>
        <v>UCSC</v>
      </c>
      <c r="E10489" s="1" t="str">
        <f>HYPERLINK("http://www.ncbi.nlm.nih.gov/gene/?term=CTPS2","NCBI")</f>
        <v>NCBI</v>
      </c>
      <c r="F10489">
        <v>0.23</v>
      </c>
      <c r="G10489">
        <v>0.38</v>
      </c>
      <c r="H10489" s="1" t="str">
        <f>HYPERLINK("http://www.weizmann.ac.il/complex/compphys/software/geview/data/figures/219080_s_at.png","Figure")</f>
        <v>Figure</v>
      </c>
      <c r="I10489">
        <v>0.94099999999999995</v>
      </c>
      <c r="J10489">
        <v>0.3</v>
      </c>
      <c r="K10489">
        <v>1</v>
      </c>
      <c r="L10489">
        <v>1</v>
      </c>
      <c r="M10489">
        <v>1.06</v>
      </c>
      <c r="N10489">
        <v>0.26</v>
      </c>
    </row>
    <row r="10490" spans="1:14" x14ac:dyDescent="0.25">
      <c r="A10490" t="s">
        <v>18285</v>
      </c>
      <c r="B10490" t="s">
        <v>18286</v>
      </c>
      <c r="C10490" s="1" t="str">
        <f>HYPERLINK("http://www.genecards.org/cgi-bin/carddisp.pl?gene=SYNJ2BP","GeneCards")</f>
        <v>GeneCards</v>
      </c>
      <c r="D10490" s="1" t="str">
        <f>HYPERLINK("http://genome-euro.ucsc.edu/cgi-bin/hgTracks?position=219156_at","UCSC")</f>
        <v>UCSC</v>
      </c>
      <c r="E10490" s="1" t="str">
        <f>HYPERLINK("http://www.ncbi.nlm.nih.gov/gene/?term=SYNJ2BP","NCBI")</f>
        <v>NCBI</v>
      </c>
      <c r="F10490">
        <v>0.23</v>
      </c>
      <c r="G10490">
        <v>0.38</v>
      </c>
      <c r="H10490" s="1" t="str">
        <f>HYPERLINK("http://www.weizmann.ac.il/complex/compphys/software/geview/data/figures/219156_at.png","Figure")</f>
        <v>Figure</v>
      </c>
      <c r="I10490">
        <v>0.93799999999999994</v>
      </c>
      <c r="J10490">
        <v>0.3</v>
      </c>
      <c r="K10490">
        <v>1</v>
      </c>
      <c r="L10490">
        <v>1</v>
      </c>
      <c r="M10490">
        <v>1.07</v>
      </c>
      <c r="N10490">
        <v>0.26</v>
      </c>
    </row>
    <row r="10491" spans="1:14" x14ac:dyDescent="0.25">
      <c r="A10491" t="s">
        <v>18287</v>
      </c>
      <c r="B10491" t="s">
        <v>6965</v>
      </c>
      <c r="C10491" s="1" t="str">
        <f>HYPERLINK("http://www.genecards.org/cgi-bin/carddisp.pl?gene=ZNF236","GeneCards")</f>
        <v>GeneCards</v>
      </c>
      <c r="D10491" s="1" t="str">
        <f>HYPERLINK("http://genome-euro.ucsc.edu/cgi-bin/hgTracks?position=219171_s_at","UCSC")</f>
        <v>UCSC</v>
      </c>
      <c r="E10491" s="1" t="str">
        <f>HYPERLINK("http://www.ncbi.nlm.nih.gov/gene/?term=ZNF236","NCBI")</f>
        <v>NCBI</v>
      </c>
      <c r="F10491">
        <v>0.23</v>
      </c>
      <c r="G10491">
        <v>0.38</v>
      </c>
      <c r="H10491" s="1" t="str">
        <f>HYPERLINK("http://www.weizmann.ac.il/complex/compphys/software/geview/data/figures/219171_s_at.png","Figure")</f>
        <v>Figure</v>
      </c>
      <c r="I10491">
        <v>0.98099999999999998</v>
      </c>
      <c r="J10491">
        <v>0.3</v>
      </c>
      <c r="K10491">
        <v>1</v>
      </c>
      <c r="L10491">
        <v>1</v>
      </c>
      <c r="M10491">
        <v>1.02</v>
      </c>
      <c r="N10491">
        <v>0.26</v>
      </c>
    </row>
    <row r="10492" spans="1:14" x14ac:dyDescent="0.25">
      <c r="A10492" t="s">
        <v>18288</v>
      </c>
      <c r="B10492" t="s">
        <v>18289</v>
      </c>
      <c r="C10492" s="1" t="str">
        <f>HYPERLINK("http://www.genecards.org/cgi-bin/carddisp.pl?gene=QTRTD1","GeneCards")</f>
        <v>GeneCards</v>
      </c>
      <c r="D10492" s="1" t="str">
        <f>HYPERLINK("http://genome-euro.ucsc.edu/cgi-bin/hgTracks?position=219178_at","UCSC")</f>
        <v>UCSC</v>
      </c>
      <c r="E10492" s="1" t="str">
        <f>HYPERLINK("http://www.ncbi.nlm.nih.gov/gene/?term=QTRTD1","NCBI")</f>
        <v>NCBI</v>
      </c>
      <c r="F10492">
        <v>0.23</v>
      </c>
      <c r="G10492">
        <v>0.38</v>
      </c>
      <c r="H10492" s="1" t="str">
        <f>HYPERLINK("http://www.weizmann.ac.il/complex/compphys/software/geview/data/figures/219178_at.png","Figure")</f>
        <v>Figure</v>
      </c>
      <c r="I10492">
        <v>1.08</v>
      </c>
      <c r="J10492">
        <v>0.89</v>
      </c>
      <c r="K10492">
        <v>0.82399999999999995</v>
      </c>
      <c r="L10492">
        <v>0.44</v>
      </c>
      <c r="M10492">
        <v>0.76</v>
      </c>
      <c r="N10492">
        <v>0.25</v>
      </c>
    </row>
    <row r="10493" spans="1:14" x14ac:dyDescent="0.25">
      <c r="A10493" t="s">
        <v>18290</v>
      </c>
      <c r="B10493" t="s">
        <v>18291</v>
      </c>
      <c r="C10493" s="1" t="str">
        <f>HYPERLINK("http://www.genecards.org/cgi-bin/carddisp.pl?gene=CNTNAP2","GeneCards")</f>
        <v>GeneCards</v>
      </c>
      <c r="D10493" s="1" t="str">
        <f>HYPERLINK("http://genome-euro.ucsc.edu/cgi-bin/hgTracks?position=219300_s_at","UCSC")</f>
        <v>UCSC</v>
      </c>
      <c r="E10493" s="1" t="str">
        <f>HYPERLINK("http://www.ncbi.nlm.nih.gov/gene/?term=CNTNAP2","NCBI")</f>
        <v>NCBI</v>
      </c>
      <c r="F10493">
        <v>0.23</v>
      </c>
      <c r="G10493">
        <v>0.38</v>
      </c>
      <c r="H10493" s="1" t="str">
        <f>HYPERLINK("http://www.weizmann.ac.il/complex/compphys/software/geview/data/figures/219300_s_at.png","Figure")</f>
        <v>Figure</v>
      </c>
      <c r="I10493">
        <v>1.08</v>
      </c>
      <c r="J10493">
        <v>0.21</v>
      </c>
      <c r="K10493">
        <v>1.03</v>
      </c>
      <c r="L10493">
        <v>0.67</v>
      </c>
      <c r="M10493">
        <v>0.95699999999999996</v>
      </c>
      <c r="N10493">
        <v>0.51</v>
      </c>
    </row>
    <row r="10494" spans="1:14" x14ac:dyDescent="0.25">
      <c r="A10494" t="s">
        <v>18292</v>
      </c>
      <c r="B10494" t="s">
        <v>18293</v>
      </c>
      <c r="C10494" s="1" t="str">
        <f>HYPERLINK("http://www.genecards.org/cgi-bin/carddisp.pl?gene=PDGFD","GeneCards")</f>
        <v>GeneCards</v>
      </c>
      <c r="D10494" s="1" t="str">
        <f>HYPERLINK("http://genome-euro.ucsc.edu/cgi-bin/hgTracks?position=219304_s_at","UCSC")</f>
        <v>UCSC</v>
      </c>
      <c r="E10494" s="1" t="str">
        <f>HYPERLINK("http://www.ncbi.nlm.nih.gov/gene/?term=PDGFD","NCBI")</f>
        <v>NCBI</v>
      </c>
      <c r="F10494">
        <v>0.23</v>
      </c>
      <c r="G10494">
        <v>0.38</v>
      </c>
      <c r="H10494" s="1" t="str">
        <f>HYPERLINK("http://www.weizmann.ac.il/complex/compphys/software/geview/data/figures/219304_s_at.png","Figure")</f>
        <v>Figure</v>
      </c>
      <c r="I10494">
        <v>0.99099999999999999</v>
      </c>
      <c r="J10494">
        <v>0.3</v>
      </c>
      <c r="K10494">
        <v>1</v>
      </c>
      <c r="L10494">
        <v>1</v>
      </c>
      <c r="M10494">
        <v>1.01</v>
      </c>
      <c r="N10494">
        <v>0.26</v>
      </c>
    </row>
    <row r="10495" spans="1:14" x14ac:dyDescent="0.25">
      <c r="A10495" t="s">
        <v>18294</v>
      </c>
      <c r="B10495" t="s">
        <v>18295</v>
      </c>
      <c r="C10495" s="1" t="str">
        <f>HYPERLINK("http://www.genecards.org/cgi-bin/carddisp.pl?gene=IFT81","GeneCards")</f>
        <v>GeneCards</v>
      </c>
      <c r="D10495" s="1" t="str">
        <f>HYPERLINK("http://genome-euro.ucsc.edu/cgi-bin/hgTracks?position=219372_at","UCSC")</f>
        <v>UCSC</v>
      </c>
      <c r="E10495" s="1" t="str">
        <f>HYPERLINK("http://www.ncbi.nlm.nih.gov/gene/?term=IFT81","NCBI")</f>
        <v>NCBI</v>
      </c>
      <c r="F10495">
        <v>0.23</v>
      </c>
      <c r="G10495">
        <v>0.38</v>
      </c>
      <c r="H10495" s="1" t="str">
        <f>HYPERLINK("http://www.weizmann.ac.il/complex/compphys/software/geview/data/figures/219372_at.png","Figure")</f>
        <v>Figure</v>
      </c>
      <c r="I10495">
        <v>0.878</v>
      </c>
      <c r="J10495">
        <v>0.3</v>
      </c>
      <c r="K10495">
        <v>1</v>
      </c>
      <c r="L10495">
        <v>1</v>
      </c>
      <c r="M10495">
        <v>1.1399999999999999</v>
      </c>
      <c r="N10495">
        <v>0.26</v>
      </c>
    </row>
    <row r="10496" spans="1:14" x14ac:dyDescent="0.25">
      <c r="A10496" t="s">
        <v>18296</v>
      </c>
      <c r="B10496" t="s">
        <v>18297</v>
      </c>
      <c r="C10496" s="1" t="str">
        <f>HYPERLINK("http://www.genecards.org/cgi-bin/carddisp.pl?gene=C5orf42","GeneCards")</f>
        <v>GeneCards</v>
      </c>
      <c r="D10496" s="1" t="str">
        <f>HYPERLINK("http://genome-euro.ucsc.edu/cgi-bin/hgTracks?position=219381_at","UCSC")</f>
        <v>UCSC</v>
      </c>
      <c r="E10496" s="1" t="str">
        <f>HYPERLINK("http://www.ncbi.nlm.nih.gov/gene/?term=C5orf42","NCBI")</f>
        <v>NCBI</v>
      </c>
      <c r="F10496">
        <v>0.23</v>
      </c>
      <c r="G10496">
        <v>0.38</v>
      </c>
      <c r="H10496" s="1" t="str">
        <f>HYPERLINK("http://www.weizmann.ac.il/complex/compphys/software/geview/data/figures/219381_at.png","Figure")</f>
        <v>Figure</v>
      </c>
      <c r="I10496">
        <v>0.90300000000000002</v>
      </c>
      <c r="J10496">
        <v>0.3</v>
      </c>
      <c r="K10496">
        <v>1</v>
      </c>
      <c r="L10496">
        <v>1</v>
      </c>
      <c r="M10496">
        <v>1.1100000000000001</v>
      </c>
      <c r="N10496">
        <v>0.26</v>
      </c>
    </row>
    <row r="10497" spans="1:14" x14ac:dyDescent="0.25">
      <c r="A10497" t="s">
        <v>18298</v>
      </c>
      <c r="B10497" t="s">
        <v>18299</v>
      </c>
      <c r="C10497" s="1" t="str">
        <f>HYPERLINK("http://www.genecards.org/cgi-bin/carddisp.pl?gene=TTC33","GeneCards")</f>
        <v>GeneCards</v>
      </c>
      <c r="D10497" s="1" t="str">
        <f>HYPERLINK("http://genome-euro.ucsc.edu/cgi-bin/hgTracks?position=219421_at","UCSC")</f>
        <v>UCSC</v>
      </c>
      <c r="E10497" s="1" t="str">
        <f>HYPERLINK("http://www.ncbi.nlm.nih.gov/gene/?term=TTC33","NCBI")</f>
        <v>NCBI</v>
      </c>
      <c r="F10497">
        <v>0.23</v>
      </c>
      <c r="G10497">
        <v>0.38</v>
      </c>
      <c r="H10497" s="1" t="str">
        <f>HYPERLINK("http://www.weizmann.ac.il/complex/compphys/software/geview/data/figures/219421_at.png","Figure")</f>
        <v>Figure</v>
      </c>
      <c r="I10497">
        <v>0.874</v>
      </c>
      <c r="J10497">
        <v>0.3</v>
      </c>
      <c r="K10497">
        <v>1</v>
      </c>
      <c r="L10497">
        <v>1</v>
      </c>
      <c r="M10497">
        <v>1.1399999999999999</v>
      </c>
      <c r="N10497">
        <v>0.26</v>
      </c>
    </row>
    <row r="10498" spans="1:14" x14ac:dyDescent="0.25">
      <c r="A10498" t="s">
        <v>18300</v>
      </c>
      <c r="B10498" t="s">
        <v>2085</v>
      </c>
      <c r="C10498" s="1" t="str">
        <f>HYPERLINK("http://www.genecards.org/cgi-bin/carddisp.pl?gene=ZNF3","GeneCards")</f>
        <v>GeneCards</v>
      </c>
      <c r="D10498" s="1" t="str">
        <f>HYPERLINK("http://genome-euro.ucsc.edu/cgi-bin/hgTracks?position=219604_s_at","UCSC")</f>
        <v>UCSC</v>
      </c>
      <c r="E10498" s="1" t="str">
        <f>HYPERLINK("http://www.ncbi.nlm.nih.gov/gene/?term=ZNF3","NCBI")</f>
        <v>NCBI</v>
      </c>
      <c r="F10498">
        <v>0.23</v>
      </c>
      <c r="G10498">
        <v>0.38</v>
      </c>
      <c r="H10498" s="1" t="str">
        <f>HYPERLINK("http://www.weizmann.ac.il/complex/compphys/software/geview/data/figures/219604_s_at.png","Figure")</f>
        <v>Figure</v>
      </c>
      <c r="I10498">
        <v>0.98799999999999999</v>
      </c>
      <c r="J10498">
        <v>0.3</v>
      </c>
      <c r="K10498">
        <v>1</v>
      </c>
      <c r="L10498">
        <v>1</v>
      </c>
      <c r="M10498">
        <v>1.01</v>
      </c>
      <c r="N10498">
        <v>0.26</v>
      </c>
    </row>
    <row r="10499" spans="1:14" x14ac:dyDescent="0.25">
      <c r="A10499" t="s">
        <v>18301</v>
      </c>
      <c r="B10499" t="s">
        <v>18302</v>
      </c>
      <c r="C10499" s="1" t="str">
        <f>HYPERLINK("http://www.genecards.org/cgi-bin/carddisp.pl?gene=MS4A4A","GeneCards")</f>
        <v>GeneCards</v>
      </c>
      <c r="D10499" s="1" t="str">
        <f>HYPERLINK("http://genome-euro.ucsc.edu/cgi-bin/hgTracks?position=219607_s_at","UCSC")</f>
        <v>UCSC</v>
      </c>
      <c r="E10499" s="1" t="str">
        <f>HYPERLINK("http://www.ncbi.nlm.nih.gov/gene/?term=MS4A4A","NCBI")</f>
        <v>NCBI</v>
      </c>
      <c r="F10499">
        <v>0.23</v>
      </c>
      <c r="G10499">
        <v>0.38</v>
      </c>
      <c r="H10499" s="1" t="str">
        <f>HYPERLINK("http://www.weizmann.ac.il/complex/compphys/software/geview/data/figures/219607_s_at.png","Figure")</f>
        <v>Figure</v>
      </c>
      <c r="I10499">
        <v>0.88600000000000001</v>
      </c>
      <c r="J10499">
        <v>0.3</v>
      </c>
      <c r="K10499">
        <v>1</v>
      </c>
      <c r="L10499">
        <v>1</v>
      </c>
      <c r="M10499">
        <v>1.1299999999999999</v>
      </c>
      <c r="N10499">
        <v>0.26</v>
      </c>
    </row>
    <row r="10500" spans="1:14" x14ac:dyDescent="0.25">
      <c r="A10500" t="s">
        <v>18303</v>
      </c>
      <c r="B10500" t="s">
        <v>18304</v>
      </c>
      <c r="C10500" s="1" t="str">
        <f>HYPERLINK("http://www.genecards.org/cgi-bin/carddisp.pl?gene=MORN1","GeneCards")</f>
        <v>GeneCards</v>
      </c>
      <c r="D10500" s="1" t="str">
        <f>HYPERLINK("http://genome-euro.ucsc.edu/cgi-bin/hgTracks?position=219852_s_at","UCSC")</f>
        <v>UCSC</v>
      </c>
      <c r="E10500" s="1" t="str">
        <f>HYPERLINK("http://www.ncbi.nlm.nih.gov/gene/?term=MORN1","NCBI")</f>
        <v>NCBI</v>
      </c>
      <c r="F10500">
        <v>0.23</v>
      </c>
      <c r="G10500">
        <v>0.38</v>
      </c>
      <c r="H10500" s="1" t="str">
        <f>HYPERLINK("http://www.weizmann.ac.il/complex/compphys/software/geview/data/figures/219852_s_at.png","Figure")</f>
        <v>Figure</v>
      </c>
      <c r="I10500">
        <v>1.21</v>
      </c>
      <c r="J10500">
        <v>0.25</v>
      </c>
      <c r="K10500">
        <v>1.03</v>
      </c>
      <c r="L10500">
        <v>0.96</v>
      </c>
      <c r="M10500">
        <v>0.85099999999999998</v>
      </c>
      <c r="N10500">
        <v>0.3</v>
      </c>
    </row>
    <row r="10501" spans="1:14" x14ac:dyDescent="0.25">
      <c r="A10501" t="s">
        <v>18305</v>
      </c>
      <c r="B10501" t="s">
        <v>18306</v>
      </c>
      <c r="C10501" s="1" t="str">
        <f>HYPERLINK("http://www.genecards.org/cgi-bin/carddisp.pl?gene=CLEC5A","GeneCards")</f>
        <v>GeneCards</v>
      </c>
      <c r="D10501" s="1" t="str">
        <f>HYPERLINK("http://genome-euro.ucsc.edu/cgi-bin/hgTracks?position=219890_at","UCSC")</f>
        <v>UCSC</v>
      </c>
      <c r="E10501" s="1" t="str">
        <f>HYPERLINK("http://www.ncbi.nlm.nih.gov/gene/?term=CLEC5A","NCBI")</f>
        <v>NCBI</v>
      </c>
      <c r="F10501">
        <v>0.23</v>
      </c>
      <c r="G10501">
        <v>0.38</v>
      </c>
      <c r="H10501" s="1" t="str">
        <f>HYPERLINK("http://www.weizmann.ac.il/complex/compphys/software/geview/data/figures/219890_at.png","Figure")</f>
        <v>Figure</v>
      </c>
      <c r="I10501">
        <v>0.95799999999999996</v>
      </c>
      <c r="J10501">
        <v>0.3</v>
      </c>
      <c r="K10501">
        <v>1</v>
      </c>
      <c r="L10501">
        <v>1</v>
      </c>
      <c r="M10501">
        <v>1.04</v>
      </c>
      <c r="N10501">
        <v>0.26</v>
      </c>
    </row>
    <row r="10502" spans="1:14" x14ac:dyDescent="0.25">
      <c r="A10502" t="s">
        <v>18307</v>
      </c>
      <c r="B10502" t="s">
        <v>18308</v>
      </c>
      <c r="C10502" s="1" t="str">
        <f>HYPERLINK("http://www.genecards.org/cgi-bin/carddisp.pl?gene=LONRF3","GeneCards")</f>
        <v>GeneCards</v>
      </c>
      <c r="D10502" s="1" t="str">
        <f>HYPERLINK("http://genome-euro.ucsc.edu/cgi-bin/hgTracks?position=220009_at","UCSC")</f>
        <v>UCSC</v>
      </c>
      <c r="E10502" s="1" t="str">
        <f>HYPERLINK("http://www.ncbi.nlm.nih.gov/gene/?term=LONRF3","NCBI")</f>
        <v>NCBI</v>
      </c>
      <c r="F10502">
        <v>0.23</v>
      </c>
      <c r="G10502">
        <v>0.38</v>
      </c>
      <c r="H10502" s="1" t="str">
        <f>HYPERLINK("http://www.weizmann.ac.il/complex/compphys/software/geview/data/figures/220009_at.png","Figure")</f>
        <v>Figure</v>
      </c>
      <c r="I10502">
        <v>1.07</v>
      </c>
      <c r="J10502">
        <v>0.61</v>
      </c>
      <c r="K10502">
        <v>0.94799999999999995</v>
      </c>
      <c r="L10502">
        <v>0.69</v>
      </c>
      <c r="M10502">
        <v>0.88400000000000001</v>
      </c>
      <c r="N10502">
        <v>0.2</v>
      </c>
    </row>
    <row r="10503" spans="1:14" x14ac:dyDescent="0.25">
      <c r="A10503" t="s">
        <v>18309</v>
      </c>
      <c r="B10503" t="s">
        <v>18310</v>
      </c>
      <c r="C10503" s="1" t="str">
        <f>HYPERLINK("http://www.genecards.org/cgi-bin/carddisp.pl?gene=STYK1","GeneCards")</f>
        <v>GeneCards</v>
      </c>
      <c r="D10503" s="1" t="str">
        <f>HYPERLINK("http://genome-euro.ucsc.edu/cgi-bin/hgTracks?position=220030_at","UCSC")</f>
        <v>UCSC</v>
      </c>
      <c r="E10503" s="1" t="str">
        <f>HYPERLINK("http://www.ncbi.nlm.nih.gov/gene/?term=STYK1","NCBI")</f>
        <v>NCBI</v>
      </c>
      <c r="F10503">
        <v>0.23</v>
      </c>
      <c r="G10503">
        <v>0.38</v>
      </c>
      <c r="H10503" s="1" t="str">
        <f>HYPERLINK("http://www.weizmann.ac.il/complex/compphys/software/geview/data/figures/220030_at.png","Figure")</f>
        <v>Figure</v>
      </c>
      <c r="I10503">
        <v>0.88700000000000001</v>
      </c>
      <c r="J10503">
        <v>0.3</v>
      </c>
      <c r="K10503">
        <v>1</v>
      </c>
      <c r="L10503">
        <v>1</v>
      </c>
      <c r="M10503">
        <v>1.1299999999999999</v>
      </c>
      <c r="N10503">
        <v>0.26</v>
      </c>
    </row>
    <row r="10504" spans="1:14" x14ac:dyDescent="0.25">
      <c r="A10504" t="s">
        <v>18311</v>
      </c>
      <c r="B10504" t="s">
        <v>18312</v>
      </c>
      <c r="C10504" s="1" t="str">
        <f>HYPERLINK("http://www.genecards.org/cgi-bin/carddisp.pl?gene=ATP6V0A4","GeneCards")</f>
        <v>GeneCards</v>
      </c>
      <c r="D10504" s="1" t="str">
        <f>HYPERLINK("http://genome-euro.ucsc.edu/cgi-bin/hgTracks?position=220197_at","UCSC")</f>
        <v>UCSC</v>
      </c>
      <c r="E10504" s="1" t="str">
        <f>HYPERLINK("http://www.ncbi.nlm.nih.gov/gene/?term=ATP6V0A4","NCBI")</f>
        <v>NCBI</v>
      </c>
      <c r="F10504">
        <v>0.23</v>
      </c>
      <c r="G10504">
        <v>0.38</v>
      </c>
      <c r="H10504" s="1" t="str">
        <f>HYPERLINK("http://www.weizmann.ac.il/complex/compphys/software/geview/data/figures/220197_at.png","Figure")</f>
        <v>Figure</v>
      </c>
      <c r="I10504">
        <v>1</v>
      </c>
      <c r="J10504">
        <v>1</v>
      </c>
      <c r="K10504">
        <v>0.80600000000000005</v>
      </c>
      <c r="L10504">
        <v>0.3</v>
      </c>
      <c r="M10504">
        <v>0.80600000000000005</v>
      </c>
      <c r="N10504">
        <v>0.34</v>
      </c>
    </row>
    <row r="10505" spans="1:14" x14ac:dyDescent="0.25">
      <c r="A10505" t="s">
        <v>18313</v>
      </c>
      <c r="B10505" t="s">
        <v>18314</v>
      </c>
      <c r="C10505" s="1" t="str">
        <f>HYPERLINK("http://www.genecards.org/cgi-bin/carddisp.pl?gene=C1orf103","GeneCards")</f>
        <v>GeneCards</v>
      </c>
      <c r="D10505" s="1" t="str">
        <f>HYPERLINK("http://genome-euro.ucsc.edu/cgi-bin/hgTracks?position=220235_s_at","UCSC")</f>
        <v>UCSC</v>
      </c>
      <c r="E10505" s="1" t="str">
        <f>HYPERLINK("http://www.ncbi.nlm.nih.gov/gene/?term=C1orf103","NCBI")</f>
        <v>NCBI</v>
      </c>
      <c r="F10505">
        <v>0.23</v>
      </c>
      <c r="G10505">
        <v>0.38</v>
      </c>
      <c r="H10505" s="1" t="str">
        <f>HYPERLINK("http://www.weizmann.ac.il/complex/compphys/software/geview/data/figures/220235_s_at.png","Figure")</f>
        <v>Figure</v>
      </c>
      <c r="I10505">
        <v>0.99299999999999999</v>
      </c>
      <c r="J10505">
        <v>0.3</v>
      </c>
      <c r="K10505">
        <v>1</v>
      </c>
      <c r="L10505">
        <v>1</v>
      </c>
      <c r="M10505">
        <v>1.01</v>
      </c>
      <c r="N10505">
        <v>0.26</v>
      </c>
    </row>
    <row r="10506" spans="1:14" x14ac:dyDescent="0.25">
      <c r="A10506" t="s">
        <v>18315</v>
      </c>
      <c r="B10506" t="s">
        <v>18316</v>
      </c>
      <c r="C10506" s="1" t="str">
        <f>HYPERLINK("http://www.genecards.org/cgi-bin/carddisp.pl?gene=EFCAB6","GeneCards")</f>
        <v>GeneCards</v>
      </c>
      <c r="D10506" s="1" t="str">
        <f>HYPERLINK("http://genome-euro.ucsc.edu/cgi-bin/hgTracks?position=220271_x_at","UCSC")</f>
        <v>UCSC</v>
      </c>
      <c r="E10506" s="1" t="str">
        <f>HYPERLINK("http://www.ncbi.nlm.nih.gov/gene/?term=EFCAB6","NCBI")</f>
        <v>NCBI</v>
      </c>
      <c r="F10506">
        <v>0.23</v>
      </c>
      <c r="G10506">
        <v>0.38</v>
      </c>
      <c r="H10506" s="1" t="str">
        <f>HYPERLINK("http://www.weizmann.ac.il/complex/compphys/software/geview/data/figures/220271_x_at.png","Figure")</f>
        <v>Figure</v>
      </c>
      <c r="I10506">
        <v>0.96399999999999997</v>
      </c>
      <c r="J10506">
        <v>0.3</v>
      </c>
      <c r="K10506">
        <v>1</v>
      </c>
      <c r="L10506">
        <v>1</v>
      </c>
      <c r="M10506">
        <v>1.04</v>
      </c>
      <c r="N10506">
        <v>0.26</v>
      </c>
    </row>
    <row r="10507" spans="1:14" x14ac:dyDescent="0.25">
      <c r="A10507" t="s">
        <v>18317</v>
      </c>
      <c r="B10507" t="s">
        <v>18318</v>
      </c>
      <c r="C10507" s="1" t="str">
        <f>HYPERLINK("http://www.genecards.org/cgi-bin/carddisp.pl?gene=FAM86C","GeneCards")</f>
        <v>GeneCards</v>
      </c>
      <c r="D10507" s="1" t="str">
        <f>HYPERLINK("http://genome-euro.ucsc.edu/cgi-bin/hgTracks?position=220353_at","UCSC")</f>
        <v>UCSC</v>
      </c>
      <c r="E10507" s="1" t="str">
        <f>HYPERLINK("http://www.ncbi.nlm.nih.gov/gene/?term=FAM86C","NCBI")</f>
        <v>NCBI</v>
      </c>
      <c r="F10507">
        <v>0.23</v>
      </c>
      <c r="G10507">
        <v>0.38</v>
      </c>
      <c r="H10507" s="1" t="str">
        <f>HYPERLINK("http://www.weizmann.ac.il/complex/compphys/software/geview/data/figures/220353_at.png","Figure")</f>
        <v>Figure</v>
      </c>
      <c r="I10507">
        <v>0.98299999999999998</v>
      </c>
      <c r="J10507">
        <v>0.3</v>
      </c>
      <c r="K10507">
        <v>1</v>
      </c>
      <c r="L10507">
        <v>1</v>
      </c>
      <c r="M10507">
        <v>1.02</v>
      </c>
      <c r="N10507">
        <v>0.26</v>
      </c>
    </row>
    <row r="10508" spans="1:14" x14ac:dyDescent="0.25">
      <c r="A10508" t="s">
        <v>18319</v>
      </c>
      <c r="B10508" t="s">
        <v>18192</v>
      </c>
      <c r="C10508" s="1" t="str">
        <f>HYPERLINK("http://www.genecards.org/cgi-bin/carddisp.pl?gene=MDM1","GeneCards")</f>
        <v>GeneCards</v>
      </c>
      <c r="D10508" s="1" t="str">
        <f>HYPERLINK("http://genome-euro.ucsc.edu/cgi-bin/hgTracks?position=220397_at","UCSC")</f>
        <v>UCSC</v>
      </c>
      <c r="E10508" s="1" t="str">
        <f>HYPERLINK("http://www.ncbi.nlm.nih.gov/gene/?term=MDM1","NCBI")</f>
        <v>NCBI</v>
      </c>
      <c r="F10508">
        <v>0.23</v>
      </c>
      <c r="G10508">
        <v>0.38</v>
      </c>
      <c r="H10508" s="1" t="str">
        <f>HYPERLINK("http://www.weizmann.ac.il/complex/compphys/software/geview/data/figures/220397_at.png","Figure")</f>
        <v>Figure</v>
      </c>
      <c r="I10508">
        <v>0.98299999999999998</v>
      </c>
      <c r="J10508">
        <v>0.3</v>
      </c>
      <c r="K10508">
        <v>1</v>
      </c>
      <c r="L10508">
        <v>1</v>
      </c>
      <c r="M10508">
        <v>1.02</v>
      </c>
      <c r="N10508">
        <v>0.26</v>
      </c>
    </row>
    <row r="10509" spans="1:14" x14ac:dyDescent="0.25">
      <c r="A10509" t="s">
        <v>18320</v>
      </c>
      <c r="B10509" t="s">
        <v>18321</v>
      </c>
      <c r="C10509" s="1" t="str">
        <f>HYPERLINK("http://www.genecards.org/cgi-bin/carddisp.pl?gene=SLC39A2","GeneCards")</f>
        <v>GeneCards</v>
      </c>
      <c r="D10509" s="1" t="str">
        <f>HYPERLINK("http://genome-euro.ucsc.edu/cgi-bin/hgTracks?position=220413_at","UCSC")</f>
        <v>UCSC</v>
      </c>
      <c r="E10509" s="1" t="str">
        <f>HYPERLINK("http://www.ncbi.nlm.nih.gov/gene/?term=SLC39A2","NCBI")</f>
        <v>NCBI</v>
      </c>
      <c r="F10509">
        <v>0.23</v>
      </c>
      <c r="G10509">
        <v>0.38</v>
      </c>
      <c r="H10509" s="1" t="str">
        <f>HYPERLINK("http://www.weizmann.ac.il/complex/compphys/software/geview/data/figures/220413_at.png","Figure")</f>
        <v>Figure</v>
      </c>
      <c r="I10509">
        <v>1.18</v>
      </c>
      <c r="J10509">
        <v>0.26</v>
      </c>
      <c r="K10509">
        <v>1.02</v>
      </c>
      <c r="L10509">
        <v>0.97</v>
      </c>
      <c r="M10509">
        <v>0.86299999999999999</v>
      </c>
      <c r="N10509">
        <v>0.28999999999999998</v>
      </c>
    </row>
    <row r="10510" spans="1:14" x14ac:dyDescent="0.25">
      <c r="A10510" t="s">
        <v>18322</v>
      </c>
      <c r="B10510" t="s">
        <v>18323</v>
      </c>
      <c r="C10510" s="1" t="str">
        <f>HYPERLINK("http://www.genecards.org/cgi-bin/carddisp.pl?gene=UEVLD","GeneCards")</f>
        <v>GeneCards</v>
      </c>
      <c r="D10510" s="1" t="str">
        <f>HYPERLINK("http://genome-euro.ucsc.edu/cgi-bin/hgTracks?position=220775_s_at","UCSC")</f>
        <v>UCSC</v>
      </c>
      <c r="E10510" s="1" t="str">
        <f>HYPERLINK("http://www.ncbi.nlm.nih.gov/gene/?term=UEVLD","NCBI")</f>
        <v>NCBI</v>
      </c>
      <c r="F10510">
        <v>0.23</v>
      </c>
      <c r="G10510">
        <v>0.38</v>
      </c>
      <c r="H10510" s="1" t="str">
        <f>HYPERLINK("http://www.weizmann.ac.il/complex/compphys/software/geview/data/figures/220775_s_at.png","Figure")</f>
        <v>Figure</v>
      </c>
      <c r="I10510">
        <v>0.97899999999999998</v>
      </c>
      <c r="J10510">
        <v>0.3</v>
      </c>
      <c r="K10510">
        <v>1</v>
      </c>
      <c r="L10510">
        <v>1</v>
      </c>
      <c r="M10510">
        <v>1.02</v>
      </c>
      <c r="N10510">
        <v>0.26</v>
      </c>
    </row>
    <row r="10511" spans="1:14" x14ac:dyDescent="0.25">
      <c r="A10511" t="s">
        <v>18324</v>
      </c>
      <c r="B10511" t="s">
        <v>18325</v>
      </c>
      <c r="C10511" s="1" t="str">
        <f>HYPERLINK("http://www.genecards.org/cgi-bin/carddisp.pl?gene=SPANXB1 /// SPANXB2 /// SPANXF1","GeneCards")</f>
        <v>GeneCards</v>
      </c>
      <c r="D10511" s="1" t="str">
        <f>HYPERLINK("http://genome-euro.ucsc.edu/cgi-bin/hgTracks?position=220921_at","UCSC")</f>
        <v>UCSC</v>
      </c>
      <c r="E10511" s="1" t="str">
        <f>HYPERLINK("http://www.ncbi.nlm.nih.gov/gene/?term=SPANXB1 /// SPANXB2 /// SPANXF1","NCBI")</f>
        <v>NCBI</v>
      </c>
      <c r="F10511">
        <v>0.23</v>
      </c>
      <c r="G10511">
        <v>0.38</v>
      </c>
      <c r="H10511" s="1" t="str">
        <f>HYPERLINK("http://www.weizmann.ac.il/complex/compphys/software/geview/data/figures/220921_at.png","Figure")</f>
        <v>Figure</v>
      </c>
      <c r="I10511">
        <v>0.95299999999999996</v>
      </c>
      <c r="J10511">
        <v>0.3</v>
      </c>
      <c r="K10511">
        <v>1</v>
      </c>
      <c r="L10511">
        <v>1</v>
      </c>
      <c r="M10511">
        <v>1.05</v>
      </c>
      <c r="N10511">
        <v>0.26</v>
      </c>
    </row>
    <row r="10512" spans="1:14" x14ac:dyDescent="0.25">
      <c r="A10512" t="s">
        <v>18326</v>
      </c>
      <c r="B10512" t="s">
        <v>18327</v>
      </c>
      <c r="C10512" s="1" t="str">
        <f>HYPERLINK("http://www.genecards.org/cgi-bin/carddisp.pl?gene=ULK4","GeneCards")</f>
        <v>GeneCards</v>
      </c>
      <c r="D10512" s="1" t="str">
        <f>HYPERLINK("http://genome-euro.ucsc.edu/cgi-bin/hgTracks?position=220958_at","UCSC")</f>
        <v>UCSC</v>
      </c>
      <c r="E10512" s="1" t="str">
        <f>HYPERLINK("http://www.ncbi.nlm.nih.gov/gene/?term=ULK4","NCBI")</f>
        <v>NCBI</v>
      </c>
      <c r="F10512">
        <v>0.23</v>
      </c>
      <c r="G10512">
        <v>0.38</v>
      </c>
      <c r="H10512" s="1" t="str">
        <f>HYPERLINK("http://www.weizmann.ac.il/complex/compphys/software/geview/data/figures/220958_at.png","Figure")</f>
        <v>Figure</v>
      </c>
      <c r="I10512">
        <v>0.995</v>
      </c>
      <c r="J10512">
        <v>0.3</v>
      </c>
      <c r="K10512">
        <v>1</v>
      </c>
      <c r="L10512">
        <v>1</v>
      </c>
      <c r="M10512">
        <v>1.01</v>
      </c>
      <c r="N10512">
        <v>0.26</v>
      </c>
    </row>
    <row r="10513" spans="1:14" x14ac:dyDescent="0.25">
      <c r="A10513" t="s">
        <v>18328</v>
      </c>
      <c r="B10513" t="s">
        <v>18329</v>
      </c>
      <c r="C10513" s="1" t="str">
        <f>HYPERLINK("http://www.genecards.org/cgi-bin/carddisp.pl?gene=TDRD1","GeneCards")</f>
        <v>GeneCards</v>
      </c>
      <c r="D10513" s="1" t="str">
        <f>HYPERLINK("http://genome-euro.ucsc.edu/cgi-bin/hgTracks?position=221018_s_at","UCSC")</f>
        <v>UCSC</v>
      </c>
      <c r="E10513" s="1" t="str">
        <f>HYPERLINK("http://www.ncbi.nlm.nih.gov/gene/?term=TDRD1","NCBI")</f>
        <v>NCBI</v>
      </c>
      <c r="F10513">
        <v>0.23</v>
      </c>
      <c r="G10513">
        <v>0.38</v>
      </c>
      <c r="H10513" s="1" t="str">
        <f>HYPERLINK("http://www.weizmann.ac.il/complex/compphys/software/geview/data/figures/221018_s_at.png","Figure")</f>
        <v>Figure</v>
      </c>
      <c r="I10513">
        <v>0.97899999999999998</v>
      </c>
      <c r="J10513">
        <v>0.3</v>
      </c>
      <c r="K10513">
        <v>1</v>
      </c>
      <c r="L10513">
        <v>1</v>
      </c>
      <c r="M10513">
        <v>1.02</v>
      </c>
      <c r="N10513">
        <v>0.26</v>
      </c>
    </row>
    <row r="10514" spans="1:14" x14ac:dyDescent="0.25">
      <c r="A10514" t="s">
        <v>18330</v>
      </c>
      <c r="B10514" t="s">
        <v>18331</v>
      </c>
      <c r="C10514" s="1" t="str">
        <f>HYPERLINK("http://www.genecards.org/cgi-bin/carddisp.pl?gene=C17orf88","GeneCards")</f>
        <v>GeneCards</v>
      </c>
      <c r="D10514" s="1" t="str">
        <f>HYPERLINK("http://genome-euro.ucsc.edu/cgi-bin/hgTracks?position=221129_at","UCSC")</f>
        <v>UCSC</v>
      </c>
      <c r="E10514" s="1" t="str">
        <f>HYPERLINK("http://www.ncbi.nlm.nih.gov/gene/?term=C17orf88","NCBI")</f>
        <v>NCBI</v>
      </c>
      <c r="F10514">
        <v>0.23</v>
      </c>
      <c r="G10514">
        <v>0.38</v>
      </c>
      <c r="H10514" s="1" t="str">
        <f>HYPERLINK("http://www.weizmann.ac.il/complex/compphys/software/geview/data/figures/221129_at.png","Figure")</f>
        <v>Figure</v>
      </c>
      <c r="I10514">
        <v>0.99099999999999999</v>
      </c>
      <c r="J10514">
        <v>0.3</v>
      </c>
      <c r="K10514">
        <v>1</v>
      </c>
      <c r="L10514">
        <v>1</v>
      </c>
      <c r="M10514">
        <v>1.01</v>
      </c>
      <c r="N10514">
        <v>0.26</v>
      </c>
    </row>
    <row r="10515" spans="1:14" x14ac:dyDescent="0.25">
      <c r="A10515" t="s">
        <v>18332</v>
      </c>
      <c r="B10515" t="s">
        <v>18333</v>
      </c>
      <c r="C10515" s="1" t="str">
        <f>HYPERLINK("http://www.genecards.org/cgi-bin/carddisp.pl?gene=NBEA","GeneCards")</f>
        <v>GeneCards</v>
      </c>
      <c r="D10515" s="1" t="str">
        <f>HYPERLINK("http://genome-euro.ucsc.edu/cgi-bin/hgTracks?position=221207_s_at","UCSC")</f>
        <v>UCSC</v>
      </c>
      <c r="E10515" s="1" t="str">
        <f>HYPERLINK("http://www.ncbi.nlm.nih.gov/gene/?term=NBEA","NCBI")</f>
        <v>NCBI</v>
      </c>
      <c r="F10515">
        <v>0.23</v>
      </c>
      <c r="G10515">
        <v>0.38</v>
      </c>
      <c r="H10515" s="1" t="str">
        <f>HYPERLINK("http://www.weizmann.ac.il/complex/compphys/software/geview/data/figures/221207_s_at.png","Figure")</f>
        <v>Figure</v>
      </c>
      <c r="I10515">
        <v>0.92700000000000005</v>
      </c>
      <c r="J10515">
        <v>0.3</v>
      </c>
      <c r="K10515">
        <v>1</v>
      </c>
      <c r="L10515">
        <v>1</v>
      </c>
      <c r="M10515">
        <v>1.08</v>
      </c>
      <c r="N10515">
        <v>0.26</v>
      </c>
    </row>
    <row r="10516" spans="1:14" x14ac:dyDescent="0.25">
      <c r="A10516" t="s">
        <v>18334</v>
      </c>
      <c r="B10516" t="s">
        <v>12553</v>
      </c>
      <c r="C10516" s="1" t="str">
        <f>HYPERLINK("http://www.genecards.org/cgi-bin/carddisp.pl?gene=EHD2","GeneCards")</f>
        <v>GeneCards</v>
      </c>
      <c r="D10516" s="1" t="str">
        <f>HYPERLINK("http://genome-euro.ucsc.edu/cgi-bin/hgTracks?position=221870_at","UCSC")</f>
        <v>UCSC</v>
      </c>
      <c r="E10516" s="1" t="str">
        <f>HYPERLINK("http://www.ncbi.nlm.nih.gov/gene/?term=EHD2","NCBI")</f>
        <v>NCBI</v>
      </c>
      <c r="F10516">
        <v>0.23</v>
      </c>
      <c r="G10516">
        <v>0.38</v>
      </c>
      <c r="H10516" s="1" t="str">
        <f>HYPERLINK("http://www.weizmann.ac.il/complex/compphys/software/geview/data/figures/221870_at.png","Figure")</f>
        <v>Figure</v>
      </c>
      <c r="I10516">
        <v>1.28</v>
      </c>
      <c r="J10516">
        <v>0.28000000000000003</v>
      </c>
      <c r="K10516">
        <v>1.01</v>
      </c>
      <c r="L10516">
        <v>1</v>
      </c>
      <c r="M10516">
        <v>0.79</v>
      </c>
      <c r="N10516">
        <v>0.27</v>
      </c>
    </row>
    <row r="10517" spans="1:14" x14ac:dyDescent="0.25">
      <c r="A10517" t="s">
        <v>18335</v>
      </c>
      <c r="B10517" t="s">
        <v>18336</v>
      </c>
      <c r="C10517" s="1" t="str">
        <f>HYPERLINK("http://www.genecards.org/cgi-bin/carddisp.pl?gene=TMEM8A","GeneCards")</f>
        <v>GeneCards</v>
      </c>
      <c r="D10517" s="1" t="str">
        <f>HYPERLINK("http://genome-euro.ucsc.edu/cgi-bin/hgTracks?position=221882_s_at","UCSC")</f>
        <v>UCSC</v>
      </c>
      <c r="E10517" s="1" t="str">
        <f>HYPERLINK("http://www.ncbi.nlm.nih.gov/gene/?term=TMEM8A","NCBI")</f>
        <v>NCBI</v>
      </c>
      <c r="F10517">
        <v>0.23</v>
      </c>
      <c r="G10517">
        <v>0.38</v>
      </c>
      <c r="H10517" s="1" t="str">
        <f>HYPERLINK("http://www.weizmann.ac.il/complex/compphys/software/geview/data/figures/221882_s_at.png","Figure")</f>
        <v>Figure</v>
      </c>
      <c r="I10517">
        <v>1.1299999999999999</v>
      </c>
      <c r="J10517">
        <v>0.42</v>
      </c>
      <c r="K10517">
        <v>0.96499999999999997</v>
      </c>
      <c r="L10517">
        <v>0.9</v>
      </c>
      <c r="M10517">
        <v>0.85499999999999998</v>
      </c>
      <c r="N10517">
        <v>0.21</v>
      </c>
    </row>
    <row r="10518" spans="1:14" x14ac:dyDescent="0.25">
      <c r="A10518" t="s">
        <v>18337</v>
      </c>
      <c r="B10518" t="s">
        <v>18338</v>
      </c>
      <c r="C10518" s="1" t="str">
        <f>HYPERLINK("http://www.genecards.org/cgi-bin/carddisp.pl?gene=MECOM","GeneCards")</f>
        <v>GeneCards</v>
      </c>
      <c r="D10518" s="1" t="str">
        <f>HYPERLINK("http://genome-euro.ucsc.edu/cgi-bin/hgTracks?position=221884_at","UCSC")</f>
        <v>UCSC</v>
      </c>
      <c r="E10518" s="1" t="str">
        <f>HYPERLINK("http://www.ncbi.nlm.nih.gov/gene/?term=MECOM","NCBI")</f>
        <v>NCBI</v>
      </c>
      <c r="F10518">
        <v>0.23</v>
      </c>
      <c r="G10518">
        <v>0.38</v>
      </c>
      <c r="H10518" s="1" t="str">
        <f>HYPERLINK("http://www.weizmann.ac.il/complex/compphys/software/geview/data/figures/221884_at.png","Figure")</f>
        <v>Figure</v>
      </c>
      <c r="I10518">
        <v>0.755</v>
      </c>
      <c r="J10518">
        <v>0.3</v>
      </c>
      <c r="K10518">
        <v>1</v>
      </c>
      <c r="L10518">
        <v>1</v>
      </c>
      <c r="M10518">
        <v>1.32</v>
      </c>
      <c r="N10518">
        <v>0.26</v>
      </c>
    </row>
    <row r="10519" spans="1:14" x14ac:dyDescent="0.25">
      <c r="A10519" t="s">
        <v>18339</v>
      </c>
      <c r="B10519" t="s">
        <v>13095</v>
      </c>
      <c r="C10519" s="1" t="str">
        <f>HYPERLINK("http://www.genecards.org/cgi-bin/carddisp.pl?gene=C20orf111","GeneCards")</f>
        <v>GeneCards</v>
      </c>
      <c r="D10519" s="1" t="str">
        <f>HYPERLINK("http://genome-euro.ucsc.edu/cgi-bin/hgTracks?position=221954_at","UCSC")</f>
        <v>UCSC</v>
      </c>
      <c r="E10519" s="1" t="str">
        <f>HYPERLINK("http://www.ncbi.nlm.nih.gov/gene/?term=C20orf111","NCBI")</f>
        <v>NCBI</v>
      </c>
      <c r="F10519">
        <v>0.23</v>
      </c>
      <c r="G10519">
        <v>0.38</v>
      </c>
      <c r="H10519" s="1" t="str">
        <f>HYPERLINK("http://www.weizmann.ac.il/complex/compphys/software/geview/data/figures/221954_at.png","Figure")</f>
        <v>Figure</v>
      </c>
      <c r="I10519">
        <v>1.03</v>
      </c>
      <c r="J10519">
        <v>0.96</v>
      </c>
      <c r="K10519">
        <v>0.88700000000000001</v>
      </c>
      <c r="L10519">
        <v>0.37</v>
      </c>
      <c r="M10519">
        <v>0.86199999999999999</v>
      </c>
      <c r="N10519">
        <v>0.28000000000000003</v>
      </c>
    </row>
    <row r="10520" spans="1:14" x14ac:dyDescent="0.25">
      <c r="A10520" t="s">
        <v>18340</v>
      </c>
      <c r="B10520" t="s">
        <v>18341</v>
      </c>
      <c r="C10520" s="1" t="str">
        <f>HYPERLINK("http://www.genecards.org/cgi-bin/carddisp.pl?gene=AGAP10 /// AGAP4 /// AGAP5 /// AGAP9","GeneCards")</f>
        <v>GeneCards</v>
      </c>
      <c r="D10520" s="1" t="str">
        <f>HYPERLINK("http://genome-euro.ucsc.edu/cgi-bin/hgTracks?position=221971_x_at","UCSC")</f>
        <v>UCSC</v>
      </c>
      <c r="E10520" s="1" t="str">
        <f>HYPERLINK("http://www.ncbi.nlm.nih.gov/gene/?term=AGAP10 /// AGAP4 /// AGAP5 /// AGAP9","NCBI")</f>
        <v>NCBI</v>
      </c>
      <c r="F10520">
        <v>0.23</v>
      </c>
      <c r="G10520">
        <v>0.38</v>
      </c>
      <c r="H10520" s="1" t="str">
        <f>HYPERLINK("http://www.weizmann.ac.il/complex/compphys/software/geview/data/figures/221971_x_at.png","Figure")</f>
        <v>Figure</v>
      </c>
      <c r="I10520">
        <v>1.27</v>
      </c>
      <c r="J10520">
        <v>0.53</v>
      </c>
      <c r="K10520">
        <v>1.4</v>
      </c>
      <c r="L10520">
        <v>0.21</v>
      </c>
      <c r="M10520">
        <v>1.1100000000000001</v>
      </c>
      <c r="N10520">
        <v>0.87</v>
      </c>
    </row>
    <row r="10521" spans="1:14" x14ac:dyDescent="0.25">
      <c r="A10521" t="s">
        <v>18342</v>
      </c>
      <c r="B10521" t="s">
        <v>11035</v>
      </c>
      <c r="C10521" s="1" t="str">
        <f>HYPERLINK("http://www.genecards.org/cgi-bin/carddisp.pl?gene=SDF4","GeneCards")</f>
        <v>GeneCards</v>
      </c>
      <c r="D10521" s="1" t="str">
        <f>HYPERLINK("http://genome-euro.ucsc.edu/cgi-bin/hgTracks?position=221972_s_at","UCSC")</f>
        <v>UCSC</v>
      </c>
      <c r="E10521" s="1" t="str">
        <f>HYPERLINK("http://www.ncbi.nlm.nih.gov/gene/?term=SDF4","NCBI")</f>
        <v>NCBI</v>
      </c>
      <c r="F10521">
        <v>0.23</v>
      </c>
      <c r="G10521">
        <v>0.38</v>
      </c>
      <c r="H10521" s="1" t="str">
        <f>HYPERLINK("http://www.weizmann.ac.il/complex/compphys/software/geview/data/figures/221972_s_at.png","Figure")</f>
        <v>Figure</v>
      </c>
      <c r="I10521">
        <v>0.97599999999999998</v>
      </c>
      <c r="J10521">
        <v>0.3</v>
      </c>
      <c r="K10521">
        <v>1</v>
      </c>
      <c r="L10521">
        <v>1</v>
      </c>
      <c r="M10521">
        <v>1.02</v>
      </c>
      <c r="N10521">
        <v>0.26</v>
      </c>
    </row>
    <row r="10522" spans="1:14" x14ac:dyDescent="0.25">
      <c r="A10522" t="s">
        <v>18343</v>
      </c>
      <c r="B10522" t="s">
        <v>18344</v>
      </c>
      <c r="C10522" s="1" t="str">
        <f>HYPERLINK("http://www.genecards.org/cgi-bin/carddisp.pl?gene=IL27RA","GeneCards")</f>
        <v>GeneCards</v>
      </c>
      <c r="D10522" s="1" t="str">
        <f>HYPERLINK("http://genome-euro.ucsc.edu/cgi-bin/hgTracks?position=222062_at","UCSC")</f>
        <v>UCSC</v>
      </c>
      <c r="E10522" s="1" t="str">
        <f>HYPERLINK("http://www.ncbi.nlm.nih.gov/gene/?term=IL27RA","NCBI")</f>
        <v>NCBI</v>
      </c>
      <c r="F10522">
        <v>0.23</v>
      </c>
      <c r="G10522">
        <v>0.38</v>
      </c>
      <c r="H10522" s="1" t="str">
        <f>HYPERLINK("http://www.weizmann.ac.il/complex/compphys/software/geview/data/figures/222062_at.png","Figure")</f>
        <v>Figure</v>
      </c>
      <c r="I10522">
        <v>0.998</v>
      </c>
      <c r="J10522">
        <v>0.3</v>
      </c>
      <c r="K10522">
        <v>1</v>
      </c>
      <c r="L10522">
        <v>1</v>
      </c>
      <c r="M10522">
        <v>1</v>
      </c>
      <c r="N10522">
        <v>0.26</v>
      </c>
    </row>
    <row r="10523" spans="1:14" x14ac:dyDescent="0.25">
      <c r="A10523" t="s">
        <v>18345</v>
      </c>
      <c r="B10523" t="s">
        <v>991</v>
      </c>
      <c r="C10523" s="1" t="str">
        <f>HYPERLINK("http://www.genecards.org/cgi-bin/carddisp.pl?gene=SIRT5","GeneCards")</f>
        <v>GeneCards</v>
      </c>
      <c r="D10523" s="1" t="str">
        <f>HYPERLINK("http://genome-euro.ucsc.edu/cgi-bin/hgTracks?position=222080_s_at","UCSC")</f>
        <v>UCSC</v>
      </c>
      <c r="E10523" s="1" t="str">
        <f>HYPERLINK("http://www.ncbi.nlm.nih.gov/gene/?term=SIRT5","NCBI")</f>
        <v>NCBI</v>
      </c>
      <c r="F10523">
        <v>0.23</v>
      </c>
      <c r="G10523">
        <v>0.38</v>
      </c>
      <c r="H10523" s="1" t="str">
        <f>HYPERLINK("http://www.weizmann.ac.il/complex/compphys/software/geview/data/figures/222080_s_at.png","Figure")</f>
        <v>Figure</v>
      </c>
      <c r="I10523">
        <v>1.08</v>
      </c>
      <c r="J10523">
        <v>0.25</v>
      </c>
      <c r="K10523">
        <v>1.06</v>
      </c>
      <c r="L10523">
        <v>0.34</v>
      </c>
      <c r="M10523">
        <v>0.98199999999999998</v>
      </c>
      <c r="N10523">
        <v>0.9</v>
      </c>
    </row>
    <row r="10524" spans="1:14" x14ac:dyDescent="0.25">
      <c r="A10524" t="s">
        <v>18346</v>
      </c>
      <c r="B10524" t="s">
        <v>12423</v>
      </c>
      <c r="C10524" s="1" t="str">
        <f>HYPERLINK("http://www.genecards.org/cgi-bin/carddisp.pl?gene=LZTS1","GeneCards")</f>
        <v>GeneCards</v>
      </c>
      <c r="D10524" s="1" t="str">
        <f>HYPERLINK("http://genome-euro.ucsc.edu/cgi-bin/hgTracks?position=222107_x_at","UCSC")</f>
        <v>UCSC</v>
      </c>
      <c r="E10524" s="1" t="str">
        <f>HYPERLINK("http://www.ncbi.nlm.nih.gov/gene/?term=LZTS1","NCBI")</f>
        <v>NCBI</v>
      </c>
      <c r="F10524">
        <v>0.23</v>
      </c>
      <c r="G10524">
        <v>0.38</v>
      </c>
      <c r="H10524" s="1" t="str">
        <f>HYPERLINK("http://www.weizmann.ac.il/complex/compphys/software/geview/data/figures/222107_x_at.png","Figure")</f>
        <v>Figure</v>
      </c>
      <c r="I10524">
        <v>1.17</v>
      </c>
      <c r="J10524">
        <v>0.23</v>
      </c>
      <c r="K10524">
        <v>1.1100000000000001</v>
      </c>
      <c r="L10524">
        <v>0.42</v>
      </c>
      <c r="M10524">
        <v>0.94799999999999995</v>
      </c>
      <c r="N10524">
        <v>0.8</v>
      </c>
    </row>
    <row r="10525" spans="1:14" x14ac:dyDescent="0.25">
      <c r="A10525" t="s">
        <v>18347</v>
      </c>
      <c r="B10525" t="s">
        <v>18348</v>
      </c>
      <c r="C10525" s="1" t="str">
        <f>HYPERLINK("http://www.genecards.org/cgi-bin/carddisp.pl?gene=DDO","GeneCards")</f>
        <v>GeneCards</v>
      </c>
      <c r="D10525" s="1" t="str">
        <f>HYPERLINK("http://genome-euro.ucsc.edu/cgi-bin/hgTracks?position=222134_at","UCSC")</f>
        <v>UCSC</v>
      </c>
      <c r="E10525" s="1" t="str">
        <f>HYPERLINK("http://www.ncbi.nlm.nih.gov/gene/?term=DDO","NCBI")</f>
        <v>NCBI</v>
      </c>
      <c r="F10525">
        <v>0.23</v>
      </c>
      <c r="G10525">
        <v>0.38</v>
      </c>
      <c r="H10525" s="1" t="str">
        <f>HYPERLINK("http://www.weizmann.ac.il/complex/compphys/software/geview/data/figures/222134_at.png","Figure")</f>
        <v>Figure</v>
      </c>
      <c r="I10525">
        <v>0.93799999999999994</v>
      </c>
      <c r="J10525">
        <v>0.3</v>
      </c>
      <c r="K10525">
        <v>1</v>
      </c>
      <c r="L10525">
        <v>1</v>
      </c>
      <c r="M10525">
        <v>1.07</v>
      </c>
      <c r="N10525">
        <v>0.26</v>
      </c>
    </row>
    <row r="10526" spans="1:14" x14ac:dyDescent="0.25">
      <c r="A10526" t="s">
        <v>18349</v>
      </c>
      <c r="B10526" t="s">
        <v>14559</v>
      </c>
      <c r="C10526" s="1" t="str">
        <f>HYPERLINK("http://www.genecards.org/cgi-bin/carddisp.pl?gene=FGFR1","GeneCards")</f>
        <v>GeneCards</v>
      </c>
      <c r="D10526" s="1" t="str">
        <f>HYPERLINK("http://genome-euro.ucsc.edu/cgi-bin/hgTracks?position=222164_at","UCSC")</f>
        <v>UCSC</v>
      </c>
      <c r="E10526" s="1" t="str">
        <f>HYPERLINK("http://www.ncbi.nlm.nih.gov/gene/?term=FGFR1","NCBI")</f>
        <v>NCBI</v>
      </c>
      <c r="F10526">
        <v>0.23</v>
      </c>
      <c r="G10526">
        <v>0.38</v>
      </c>
      <c r="H10526" s="1" t="str">
        <f>HYPERLINK("http://www.weizmann.ac.il/complex/compphys/software/geview/data/figures/222164_at.png","Figure")</f>
        <v>Figure</v>
      </c>
      <c r="I10526">
        <v>0.49299999999999999</v>
      </c>
      <c r="J10526">
        <v>0.24</v>
      </c>
      <c r="K10526">
        <v>0.60499999999999998</v>
      </c>
      <c r="L10526">
        <v>0.37</v>
      </c>
      <c r="M10526">
        <v>1.23</v>
      </c>
      <c r="N10526">
        <v>0.86</v>
      </c>
    </row>
    <row r="10527" spans="1:14" x14ac:dyDescent="0.25">
      <c r="A10527" t="s">
        <v>18350</v>
      </c>
      <c r="B10527" t="s">
        <v>18351</v>
      </c>
      <c r="C10527" s="1" t="str">
        <f>HYPERLINK("http://www.genecards.org/cgi-bin/carddisp.pl?gene=ETNK1","GeneCards")</f>
        <v>GeneCards</v>
      </c>
      <c r="D10527" s="1" t="str">
        <f>HYPERLINK("http://genome-euro.ucsc.edu/cgi-bin/hgTracks?position=222262_s_at","UCSC")</f>
        <v>UCSC</v>
      </c>
      <c r="E10527" s="1" t="str">
        <f>HYPERLINK("http://www.ncbi.nlm.nih.gov/gene/?term=ETNK1","NCBI")</f>
        <v>NCBI</v>
      </c>
      <c r="F10527">
        <v>0.23</v>
      </c>
      <c r="G10527">
        <v>0.38</v>
      </c>
      <c r="H10527" s="1" t="str">
        <f>HYPERLINK("http://www.weizmann.ac.il/complex/compphys/software/geview/data/figures/222262_s_at.png","Figure")</f>
        <v>Figure</v>
      </c>
      <c r="I10527">
        <v>0.96599999999999997</v>
      </c>
      <c r="J10527">
        <v>0.3</v>
      </c>
      <c r="K10527">
        <v>1</v>
      </c>
      <c r="L10527">
        <v>1</v>
      </c>
      <c r="M10527">
        <v>1.04</v>
      </c>
      <c r="N10527">
        <v>0.26</v>
      </c>
    </row>
    <row r="10528" spans="1:14" x14ac:dyDescent="0.25">
      <c r="A10528" t="s">
        <v>18352</v>
      </c>
      <c r="B10528" t="s">
        <v>2687</v>
      </c>
      <c r="C10528" s="1" t="str">
        <f>HYPERLINK("http://www.genecards.org/cgi-bin/carddisp.pl?gene=RUNX1","GeneCards")</f>
        <v>GeneCards</v>
      </c>
      <c r="D10528" s="1" t="str">
        <f>HYPERLINK("http://genome-euro.ucsc.edu/cgi-bin/hgTracks?position=210365_at","UCSC")</f>
        <v>UCSC</v>
      </c>
      <c r="E10528" s="1" t="str">
        <f>HYPERLINK("http://www.ncbi.nlm.nih.gov/gene/?term=RUNX1","NCBI")</f>
        <v>NCBI</v>
      </c>
      <c r="F10528">
        <v>0.23</v>
      </c>
      <c r="G10528">
        <v>0.38</v>
      </c>
      <c r="H10528" s="1" t="str">
        <f>HYPERLINK("http://www.weizmann.ac.il/complex/compphys/software/geview/data/figures/210365_at.png","Figure")</f>
        <v>Figure</v>
      </c>
      <c r="I10528">
        <v>0.90500000000000003</v>
      </c>
      <c r="J10528">
        <v>0.94</v>
      </c>
      <c r="K10528">
        <v>0.64900000000000002</v>
      </c>
      <c r="L10528">
        <v>0.24</v>
      </c>
      <c r="M10528">
        <v>0.71699999999999997</v>
      </c>
      <c r="N10528">
        <v>0.46</v>
      </c>
    </row>
    <row r="10529" spans="1:14" x14ac:dyDescent="0.25">
      <c r="A10529" t="s">
        <v>18353</v>
      </c>
      <c r="B10529" t="s">
        <v>18354</v>
      </c>
      <c r="C10529" s="1" t="str">
        <f>HYPERLINK("http://www.genecards.org/cgi-bin/carddisp.pl?gene=C6orf26 /// MSH5","GeneCards")</f>
        <v>GeneCards</v>
      </c>
      <c r="D10529" s="1" t="str">
        <f>HYPERLINK("http://genome-euro.ucsc.edu/cgi-bin/hgTracks?position=210410_s_at","UCSC")</f>
        <v>UCSC</v>
      </c>
      <c r="E10529" s="1" t="str">
        <f>HYPERLINK("http://www.ncbi.nlm.nih.gov/gene/?term=C6orf26 /// MSH5","NCBI")</f>
        <v>NCBI</v>
      </c>
      <c r="F10529">
        <v>0.23</v>
      </c>
      <c r="G10529">
        <v>0.38</v>
      </c>
      <c r="H10529" s="1" t="str">
        <f>HYPERLINK("http://www.weizmann.ac.il/complex/compphys/software/geview/data/figures/210410_s_at.png","Figure")</f>
        <v>Figure</v>
      </c>
      <c r="I10529">
        <v>0.83099999999999996</v>
      </c>
      <c r="J10529">
        <v>0.61</v>
      </c>
      <c r="K10529">
        <v>1.1499999999999999</v>
      </c>
      <c r="L10529">
        <v>0.7</v>
      </c>
      <c r="M10529">
        <v>1.38</v>
      </c>
      <c r="N10529">
        <v>0.21</v>
      </c>
    </row>
    <row r="10530" spans="1:14" x14ac:dyDescent="0.25">
      <c r="A10530" t="s">
        <v>18355</v>
      </c>
      <c r="B10530" t="s">
        <v>15099</v>
      </c>
      <c r="C10530" s="1" t="str">
        <f>HYPERLINK("http://www.genecards.org/cgi-bin/carddisp.pl?gene=RECQL","GeneCards")</f>
        <v>GeneCards</v>
      </c>
      <c r="D10530" s="1" t="str">
        <f>HYPERLINK("http://genome-euro.ucsc.edu/cgi-bin/hgTracks?position=212918_at","UCSC")</f>
        <v>UCSC</v>
      </c>
      <c r="E10530" s="1" t="str">
        <f>HYPERLINK("http://www.ncbi.nlm.nih.gov/gene/?term=RECQL","NCBI")</f>
        <v>NCBI</v>
      </c>
      <c r="F10530">
        <v>0.23</v>
      </c>
      <c r="G10530">
        <v>0.38</v>
      </c>
      <c r="H10530" s="1" t="str">
        <f>HYPERLINK("http://www.weizmann.ac.il/complex/compphys/software/geview/data/figures/212918_at.png","Figure")</f>
        <v>Figure</v>
      </c>
      <c r="I10530">
        <v>0.623</v>
      </c>
      <c r="J10530">
        <v>0.25</v>
      </c>
      <c r="K10530">
        <v>0.92700000000000005</v>
      </c>
      <c r="L10530">
        <v>0.95</v>
      </c>
      <c r="M10530">
        <v>1.49</v>
      </c>
      <c r="N10530">
        <v>0.32</v>
      </c>
    </row>
    <row r="10531" spans="1:14" x14ac:dyDescent="0.25">
      <c r="A10531" t="s">
        <v>18356</v>
      </c>
      <c r="B10531" t="s">
        <v>18357</v>
      </c>
      <c r="C10531" s="1" t="str">
        <f>HYPERLINK("http://www.genecards.org/cgi-bin/carddisp.pl?gene=RUFY2","GeneCards")</f>
        <v>GeneCards</v>
      </c>
      <c r="D10531" s="1" t="str">
        <f>HYPERLINK("http://genome-euro.ucsc.edu/cgi-bin/hgTracks?position=219957_at","UCSC")</f>
        <v>UCSC</v>
      </c>
      <c r="E10531" s="1" t="str">
        <f>HYPERLINK("http://www.ncbi.nlm.nih.gov/gene/?term=RUFY2","NCBI")</f>
        <v>NCBI</v>
      </c>
      <c r="F10531">
        <v>0.23</v>
      </c>
      <c r="G10531">
        <v>0.38</v>
      </c>
      <c r="H10531" s="1" t="str">
        <f>HYPERLINK("http://www.weizmann.ac.il/complex/compphys/software/geview/data/figures/219957_at.png","Figure")</f>
        <v>Figure</v>
      </c>
      <c r="I10531">
        <v>1.79</v>
      </c>
      <c r="J10531">
        <v>0.21</v>
      </c>
      <c r="K10531">
        <v>1.34</v>
      </c>
      <c r="L10531">
        <v>0.56999999999999995</v>
      </c>
      <c r="M10531">
        <v>0.748</v>
      </c>
      <c r="N10531">
        <v>0.61</v>
      </c>
    </row>
    <row r="10532" spans="1:14" x14ac:dyDescent="0.25">
      <c r="A10532" t="s">
        <v>18358</v>
      </c>
      <c r="B10532" t="s">
        <v>1751</v>
      </c>
      <c r="C10532" s="1" t="str">
        <f>HYPERLINK("http://www.genecards.org/cgi-bin/carddisp.pl?gene=HNRNPD","GeneCards")</f>
        <v>GeneCards</v>
      </c>
      <c r="D10532" s="1" t="str">
        <f>HYPERLINK("http://genome-euro.ucsc.edu/cgi-bin/hgTracks?position=221480_at","UCSC")</f>
        <v>UCSC</v>
      </c>
      <c r="E10532" s="1" t="str">
        <f>HYPERLINK("http://www.ncbi.nlm.nih.gov/gene/?term=HNRNPD","NCBI")</f>
        <v>NCBI</v>
      </c>
      <c r="F10532">
        <v>0.23</v>
      </c>
      <c r="G10532">
        <v>0.38</v>
      </c>
      <c r="H10532" s="1" t="str">
        <f>HYPERLINK("http://www.weizmann.ac.il/complex/compphys/software/geview/data/figures/221480_at.png","Figure")</f>
        <v>Figure</v>
      </c>
      <c r="I10532">
        <v>0.65200000000000002</v>
      </c>
      <c r="J10532">
        <v>0.3</v>
      </c>
      <c r="K10532">
        <v>0.68200000000000005</v>
      </c>
      <c r="L10532">
        <v>0.28999999999999998</v>
      </c>
      <c r="M10532">
        <v>1.05</v>
      </c>
      <c r="N10532">
        <v>0.98</v>
      </c>
    </row>
    <row r="10533" spans="1:14" x14ac:dyDescent="0.25">
      <c r="A10533" t="s">
        <v>18359</v>
      </c>
      <c r="B10533" t="s">
        <v>14559</v>
      </c>
      <c r="C10533" s="1" t="str">
        <f>HYPERLINK("http://www.genecards.org/cgi-bin/carddisp.pl?gene=FGFR1","GeneCards")</f>
        <v>GeneCards</v>
      </c>
      <c r="D10533" s="1" t="str">
        <f>HYPERLINK("http://genome-euro.ucsc.edu/cgi-bin/hgTracks?position=215404_x_at","UCSC")</f>
        <v>UCSC</v>
      </c>
      <c r="E10533" s="1" t="str">
        <f>HYPERLINK("http://www.ncbi.nlm.nih.gov/gene/?term=FGFR1","NCBI")</f>
        <v>NCBI</v>
      </c>
      <c r="F10533">
        <v>0.23</v>
      </c>
      <c r="G10533">
        <v>0.38</v>
      </c>
      <c r="H10533" s="1" t="str">
        <f>HYPERLINK("http://www.weizmann.ac.il/complex/compphys/software/geview/data/figures/215404_x_at.png","Figure")</f>
        <v>Figure</v>
      </c>
      <c r="I10533">
        <v>1.33</v>
      </c>
      <c r="J10533">
        <v>0.42</v>
      </c>
      <c r="K10533">
        <v>0.92300000000000004</v>
      </c>
      <c r="L10533">
        <v>0.91</v>
      </c>
      <c r="M10533">
        <v>0.69199999999999995</v>
      </c>
      <c r="N10533">
        <v>0.22</v>
      </c>
    </row>
    <row r="10534" spans="1:14" x14ac:dyDescent="0.25">
      <c r="A10534" t="s">
        <v>18360</v>
      </c>
      <c r="B10534" t="s">
        <v>18361</v>
      </c>
      <c r="C10534" s="1" t="str">
        <f>HYPERLINK("http://www.genecards.org/cgi-bin/carddisp.pl?gene=PPARD","GeneCards")</f>
        <v>GeneCards</v>
      </c>
      <c r="D10534" s="1" t="str">
        <f>HYPERLINK("http://genome-euro.ucsc.edu/cgi-bin/hgTracks?position=208044_s_at","UCSC")</f>
        <v>UCSC</v>
      </c>
      <c r="E10534" s="1" t="str">
        <f>HYPERLINK("http://www.ncbi.nlm.nih.gov/gene/?term=PPARD","NCBI")</f>
        <v>NCBI</v>
      </c>
      <c r="F10534">
        <v>0.23</v>
      </c>
      <c r="G10534">
        <v>0.38</v>
      </c>
      <c r="H10534" s="1" t="str">
        <f>HYPERLINK("http://www.weizmann.ac.il/complex/compphys/software/geview/data/figures/208044_s_at.png","Figure")</f>
        <v>Figure</v>
      </c>
      <c r="I10534">
        <v>1.0900000000000001</v>
      </c>
      <c r="J10534">
        <v>0.41</v>
      </c>
      <c r="K10534">
        <v>1.1000000000000001</v>
      </c>
      <c r="L10534">
        <v>0.23</v>
      </c>
      <c r="M10534">
        <v>1.01</v>
      </c>
      <c r="N10534">
        <v>0.98</v>
      </c>
    </row>
    <row r="10535" spans="1:14" x14ac:dyDescent="0.25">
      <c r="A10535" t="s">
        <v>18362</v>
      </c>
      <c r="B10535" t="s">
        <v>11503</v>
      </c>
      <c r="C10535" s="1" t="str">
        <f>HYPERLINK("http://www.genecards.org/cgi-bin/carddisp.pl?gene=MXD4","GeneCards")</f>
        <v>GeneCards</v>
      </c>
      <c r="D10535" s="1" t="str">
        <f>HYPERLINK("http://genome-euro.ucsc.edu/cgi-bin/hgTracks?position=212347_x_at","UCSC")</f>
        <v>UCSC</v>
      </c>
      <c r="E10535" s="1" t="str">
        <f>HYPERLINK("http://www.ncbi.nlm.nih.gov/gene/?term=MXD4","NCBI")</f>
        <v>NCBI</v>
      </c>
      <c r="F10535">
        <v>0.23</v>
      </c>
      <c r="G10535">
        <v>0.38</v>
      </c>
      <c r="H10535" s="1" t="str">
        <f>HYPERLINK("http://www.weizmann.ac.il/complex/compphys/software/geview/data/figures/212347_x_at.png","Figure")</f>
        <v>Figure</v>
      </c>
      <c r="I10535">
        <v>0.96799999999999997</v>
      </c>
      <c r="J10535">
        <v>0.95</v>
      </c>
      <c r="K10535">
        <v>0.85299999999999998</v>
      </c>
      <c r="L10535">
        <v>0.25</v>
      </c>
      <c r="M10535">
        <v>0.88200000000000001</v>
      </c>
      <c r="N10535">
        <v>0.45</v>
      </c>
    </row>
    <row r="10536" spans="1:14" x14ac:dyDescent="0.25">
      <c r="A10536" t="s">
        <v>18363</v>
      </c>
      <c r="B10536" t="s">
        <v>4149</v>
      </c>
      <c r="C10536" s="1" t="str">
        <f>HYPERLINK("http://www.genecards.org/cgi-bin/carddisp.pl?gene=DLEC1","GeneCards")</f>
        <v>GeneCards</v>
      </c>
      <c r="D10536" s="1" t="str">
        <f>HYPERLINK("http://genome-euro.ucsc.edu/cgi-bin/hgTracks?position=215085_x_at","UCSC")</f>
        <v>UCSC</v>
      </c>
      <c r="E10536" s="1" t="str">
        <f>HYPERLINK("http://www.ncbi.nlm.nih.gov/gene/?term=DLEC1","NCBI")</f>
        <v>NCBI</v>
      </c>
      <c r="F10536">
        <v>0.23</v>
      </c>
      <c r="G10536">
        <v>0.38</v>
      </c>
      <c r="H10536" s="1" t="str">
        <f>HYPERLINK("http://www.weizmann.ac.il/complex/compphys/software/geview/data/figures/215085_x_at.png","Figure")</f>
        <v>Figure</v>
      </c>
      <c r="I10536">
        <v>1.24</v>
      </c>
      <c r="J10536">
        <v>0.21</v>
      </c>
      <c r="K10536">
        <v>1.0900000000000001</v>
      </c>
      <c r="L10536">
        <v>0.7</v>
      </c>
      <c r="M10536">
        <v>0.879</v>
      </c>
      <c r="N10536">
        <v>0.49</v>
      </c>
    </row>
    <row r="10537" spans="1:14" x14ac:dyDescent="0.25">
      <c r="A10537" t="s">
        <v>18364</v>
      </c>
      <c r="B10537" t="s">
        <v>14122</v>
      </c>
      <c r="C10537" s="1" t="str">
        <f>HYPERLINK("http://www.genecards.org/cgi-bin/carddisp.pl?gene=NR4A3","GeneCards")</f>
        <v>GeneCards</v>
      </c>
      <c r="D10537" s="1" t="str">
        <f>HYPERLINK("http://genome-euro.ucsc.edu/cgi-bin/hgTracks?position=216979_at","UCSC")</f>
        <v>UCSC</v>
      </c>
      <c r="E10537" s="1" t="str">
        <f>HYPERLINK("http://www.ncbi.nlm.nih.gov/gene/?term=NR4A3","NCBI")</f>
        <v>NCBI</v>
      </c>
      <c r="F10537">
        <v>0.23</v>
      </c>
      <c r="G10537">
        <v>0.38</v>
      </c>
      <c r="H10537" s="1" t="str">
        <f>HYPERLINK("http://www.weizmann.ac.il/complex/compphys/software/geview/data/figures/216979_at.png","Figure")</f>
        <v>Figure</v>
      </c>
      <c r="I10537">
        <v>0.69</v>
      </c>
      <c r="J10537">
        <v>0.22</v>
      </c>
      <c r="K10537">
        <v>0.89200000000000002</v>
      </c>
      <c r="L10537">
        <v>0.81</v>
      </c>
      <c r="M10537">
        <v>1.29</v>
      </c>
      <c r="N10537">
        <v>0.41</v>
      </c>
    </row>
    <row r="10538" spans="1:14" x14ac:dyDescent="0.25">
      <c r="A10538" t="s">
        <v>18365</v>
      </c>
      <c r="B10538" t="s">
        <v>18366</v>
      </c>
      <c r="C10538" s="1" t="str">
        <f>HYPERLINK("http://www.genecards.org/cgi-bin/carddisp.pl?gene=BAI1","GeneCards")</f>
        <v>GeneCards</v>
      </c>
      <c r="D10538" s="1" t="str">
        <f>HYPERLINK("http://genome-euro.ucsc.edu/cgi-bin/hgTracks?position=206083_at","UCSC")</f>
        <v>UCSC</v>
      </c>
      <c r="E10538" s="1" t="str">
        <f>HYPERLINK("http://www.ncbi.nlm.nih.gov/gene/?term=BAI1","NCBI")</f>
        <v>NCBI</v>
      </c>
      <c r="F10538">
        <v>0.23</v>
      </c>
      <c r="G10538">
        <v>0.38</v>
      </c>
      <c r="H10538" s="1" t="str">
        <f>HYPERLINK("http://www.weizmann.ac.il/complex/compphys/software/geview/data/figures/206083_at.png","Figure")</f>
        <v>Figure</v>
      </c>
      <c r="I10538">
        <v>1.1399999999999999</v>
      </c>
      <c r="J10538">
        <v>0.25</v>
      </c>
      <c r="K10538">
        <v>1.1000000000000001</v>
      </c>
      <c r="L10538">
        <v>0.36</v>
      </c>
      <c r="M10538">
        <v>0.96699999999999997</v>
      </c>
      <c r="N10538">
        <v>0.89</v>
      </c>
    </row>
    <row r="10539" spans="1:14" x14ac:dyDescent="0.25">
      <c r="A10539" t="s">
        <v>18367</v>
      </c>
      <c r="B10539" t="s">
        <v>17397</v>
      </c>
      <c r="C10539" s="1" t="str">
        <f>HYPERLINK("http://www.genecards.org/cgi-bin/carddisp.pl?gene=THSD7A","GeneCards")</f>
        <v>GeneCards</v>
      </c>
      <c r="D10539" s="1" t="str">
        <f>HYPERLINK("http://genome-euro.ucsc.edu/cgi-bin/hgTracks?position=213894_at","UCSC")</f>
        <v>UCSC</v>
      </c>
      <c r="E10539" s="1" t="str">
        <f>HYPERLINK("http://www.ncbi.nlm.nih.gov/gene/?term=THSD7A","NCBI")</f>
        <v>NCBI</v>
      </c>
      <c r="F10539">
        <v>0.24</v>
      </c>
      <c r="G10539">
        <v>0.38</v>
      </c>
      <c r="H10539" s="1" t="str">
        <f>HYPERLINK("http://www.weizmann.ac.il/complex/compphys/software/geview/data/figures/213894_at.png","Figure")</f>
        <v>Figure</v>
      </c>
      <c r="I10539">
        <v>0.56299999999999994</v>
      </c>
      <c r="J10539">
        <v>0.3</v>
      </c>
      <c r="K10539">
        <v>0.59799999999999998</v>
      </c>
      <c r="L10539">
        <v>0.28999999999999998</v>
      </c>
      <c r="M10539">
        <v>1.06</v>
      </c>
      <c r="N10539">
        <v>0.98</v>
      </c>
    </row>
    <row r="10540" spans="1:14" x14ac:dyDescent="0.25">
      <c r="A10540" t="s">
        <v>18368</v>
      </c>
      <c r="B10540" t="s">
        <v>18369</v>
      </c>
      <c r="C10540" s="1" t="str">
        <f>HYPERLINK("http://www.genecards.org/cgi-bin/carddisp.pl?gene=ABHD8","GeneCards")</f>
        <v>GeneCards</v>
      </c>
      <c r="D10540" s="1" t="str">
        <f>HYPERLINK("http://genome-euro.ucsc.edu/cgi-bin/hgTracks?position=219101_x_at","UCSC")</f>
        <v>UCSC</v>
      </c>
      <c r="E10540" s="1" t="str">
        <f>HYPERLINK("http://www.ncbi.nlm.nih.gov/gene/?term=ABHD8","NCBI")</f>
        <v>NCBI</v>
      </c>
      <c r="F10540">
        <v>0.24</v>
      </c>
      <c r="G10540">
        <v>0.38</v>
      </c>
      <c r="H10540" s="1" t="str">
        <f>HYPERLINK("http://www.weizmann.ac.il/complex/compphys/software/geview/data/figures/219101_x_at.png","Figure")</f>
        <v>Figure</v>
      </c>
      <c r="I10540">
        <v>0.92</v>
      </c>
      <c r="J10540">
        <v>0.34</v>
      </c>
      <c r="K10540">
        <v>1.01</v>
      </c>
      <c r="L10540">
        <v>0.99</v>
      </c>
      <c r="M10540">
        <v>1.1000000000000001</v>
      </c>
      <c r="N10540">
        <v>0.24</v>
      </c>
    </row>
    <row r="10541" spans="1:14" x14ac:dyDescent="0.25">
      <c r="A10541" t="s">
        <v>18370</v>
      </c>
      <c r="B10541" t="s">
        <v>18371</v>
      </c>
      <c r="C10541" s="1" t="str">
        <f>HYPERLINK("http://www.genecards.org/cgi-bin/carddisp.pl?gene=SPTAN1","GeneCards")</f>
        <v>GeneCards</v>
      </c>
      <c r="D10541" s="1" t="str">
        <f>HYPERLINK("http://genome-euro.ucsc.edu/cgi-bin/hgTracks?position=214925_s_at","UCSC")</f>
        <v>UCSC</v>
      </c>
      <c r="E10541" s="1" t="str">
        <f>HYPERLINK("http://www.ncbi.nlm.nih.gov/gene/?term=SPTAN1","NCBI")</f>
        <v>NCBI</v>
      </c>
      <c r="F10541">
        <v>0.24</v>
      </c>
      <c r="G10541">
        <v>0.38</v>
      </c>
      <c r="H10541" s="1" t="str">
        <f>HYPERLINK("http://www.weizmann.ac.il/complex/compphys/software/geview/data/figures/214925_s_at.png","Figure")</f>
        <v>Figure</v>
      </c>
      <c r="I10541">
        <v>1.1299999999999999</v>
      </c>
      <c r="J10541">
        <v>0.43</v>
      </c>
      <c r="K10541">
        <v>0.96399999999999997</v>
      </c>
      <c r="L10541">
        <v>0.9</v>
      </c>
      <c r="M10541">
        <v>0.85199999999999998</v>
      </c>
      <c r="N10541">
        <v>0.21</v>
      </c>
    </row>
    <row r="10542" spans="1:14" x14ac:dyDescent="0.25">
      <c r="A10542" t="s">
        <v>18372</v>
      </c>
      <c r="B10542" t="s">
        <v>18373</v>
      </c>
      <c r="C10542" s="1" t="str">
        <f>HYPERLINK("http://www.genecards.org/cgi-bin/carddisp.pl?gene=GPLD1","GeneCards")</f>
        <v>GeneCards</v>
      </c>
      <c r="D10542" s="1" t="str">
        <f>HYPERLINK("http://genome-euro.ucsc.edu/cgi-bin/hgTracks?position=217405_x_at","UCSC")</f>
        <v>UCSC</v>
      </c>
      <c r="E10542" s="1" t="str">
        <f>HYPERLINK("http://www.ncbi.nlm.nih.gov/gene/?term=GPLD1","NCBI")</f>
        <v>NCBI</v>
      </c>
      <c r="F10542">
        <v>0.24</v>
      </c>
      <c r="G10542">
        <v>0.38</v>
      </c>
      <c r="H10542" s="1" t="str">
        <f>HYPERLINK("http://www.weizmann.ac.il/complex/compphys/software/geview/data/figures/217405_x_at.png","Figure")</f>
        <v>Figure</v>
      </c>
      <c r="I10542">
        <v>1.1200000000000001</v>
      </c>
      <c r="J10542">
        <v>0.22</v>
      </c>
      <c r="K10542">
        <v>1.04</v>
      </c>
      <c r="L10542">
        <v>0.79</v>
      </c>
      <c r="M10542">
        <v>0.92700000000000005</v>
      </c>
      <c r="N10542">
        <v>0.42</v>
      </c>
    </row>
    <row r="10543" spans="1:14" x14ac:dyDescent="0.25">
      <c r="A10543" t="s">
        <v>18374</v>
      </c>
      <c r="B10543" t="s">
        <v>18375</v>
      </c>
      <c r="C10543" s="1" t="str">
        <f>HYPERLINK("http://www.genecards.org/cgi-bin/carddisp.pl?gene=PLAC1","GeneCards")</f>
        <v>GeneCards</v>
      </c>
      <c r="D10543" s="1" t="str">
        <f>HYPERLINK("http://genome-euro.ucsc.edu/cgi-bin/hgTracks?position=219702_at","UCSC")</f>
        <v>UCSC</v>
      </c>
      <c r="E10543" s="1" t="str">
        <f>HYPERLINK("http://www.ncbi.nlm.nih.gov/gene/?term=PLAC1","NCBI")</f>
        <v>NCBI</v>
      </c>
      <c r="F10543">
        <v>0.24</v>
      </c>
      <c r="G10543">
        <v>0.38</v>
      </c>
      <c r="H10543" s="1" t="str">
        <f>HYPERLINK("http://www.weizmann.ac.il/complex/compphys/software/geview/data/figures/219702_at.png","Figure")</f>
        <v>Figure</v>
      </c>
      <c r="I10543">
        <v>1.03</v>
      </c>
      <c r="J10543">
        <v>0.22</v>
      </c>
      <c r="K10543">
        <v>1.02</v>
      </c>
      <c r="L10543">
        <v>0.49</v>
      </c>
      <c r="M10543">
        <v>0.98699999999999999</v>
      </c>
      <c r="N10543">
        <v>0.71</v>
      </c>
    </row>
    <row r="10544" spans="1:14" x14ac:dyDescent="0.25">
      <c r="A10544" t="s">
        <v>18376</v>
      </c>
      <c r="B10544" t="s">
        <v>18026</v>
      </c>
      <c r="C10544" s="1" t="str">
        <f>HYPERLINK("http://www.genecards.org/cgi-bin/carddisp.pl?gene=ACAN","GeneCards")</f>
        <v>GeneCards</v>
      </c>
      <c r="D10544" s="1" t="str">
        <f>HYPERLINK("http://genome-euro.ucsc.edu/cgi-bin/hgTracks?position=207692_s_at","UCSC")</f>
        <v>UCSC</v>
      </c>
      <c r="E10544" s="1" t="str">
        <f>HYPERLINK("http://www.ncbi.nlm.nih.gov/gene/?term=ACAN","NCBI")</f>
        <v>NCBI</v>
      </c>
      <c r="F10544">
        <v>0.24</v>
      </c>
      <c r="G10544">
        <v>0.38</v>
      </c>
      <c r="H10544" s="1" t="str">
        <f>HYPERLINK("http://www.weizmann.ac.il/complex/compphys/software/geview/data/figures/207692_s_at.png","Figure")</f>
        <v>Figure</v>
      </c>
      <c r="I10544">
        <v>1.1100000000000001</v>
      </c>
      <c r="J10544">
        <v>0.23</v>
      </c>
      <c r="K10544">
        <v>1.02</v>
      </c>
      <c r="L10544">
        <v>0.9</v>
      </c>
      <c r="M10544">
        <v>0.92400000000000004</v>
      </c>
      <c r="N10544">
        <v>0.35</v>
      </c>
    </row>
    <row r="10545" spans="1:14" x14ac:dyDescent="0.25">
      <c r="A10545" t="s">
        <v>18377</v>
      </c>
      <c r="B10545" t="s">
        <v>18378</v>
      </c>
      <c r="C10545" s="1" t="str">
        <f>HYPERLINK("http://www.genecards.org/cgi-bin/carddisp.pl?gene=C14orf162","GeneCards")</f>
        <v>GeneCards</v>
      </c>
      <c r="D10545" s="1" t="str">
        <f>HYPERLINK("http://genome-euro.ucsc.edu/cgi-bin/hgTracks?position=220887_at","UCSC")</f>
        <v>UCSC</v>
      </c>
      <c r="E10545" s="1" t="str">
        <f>HYPERLINK("http://www.ncbi.nlm.nih.gov/gene/?term=C14orf162","NCBI")</f>
        <v>NCBI</v>
      </c>
      <c r="F10545">
        <v>0.24</v>
      </c>
      <c r="G10545">
        <v>0.38</v>
      </c>
      <c r="H10545" s="1" t="str">
        <f>HYPERLINK("http://www.weizmann.ac.il/complex/compphys/software/geview/data/figures/220887_at.png","Figure")</f>
        <v>Figure</v>
      </c>
      <c r="I10545">
        <v>1.04</v>
      </c>
      <c r="J10545">
        <v>0.74</v>
      </c>
      <c r="K10545">
        <v>0.95399999999999996</v>
      </c>
      <c r="L10545">
        <v>0.56999999999999995</v>
      </c>
      <c r="M10545">
        <v>0.91600000000000004</v>
      </c>
      <c r="N10545">
        <v>0.22</v>
      </c>
    </row>
    <row r="10546" spans="1:14" x14ac:dyDescent="0.25">
      <c r="A10546" t="s">
        <v>18379</v>
      </c>
      <c r="B10546" t="s">
        <v>18380</v>
      </c>
      <c r="C10546" s="1" t="str">
        <f>HYPERLINK("http://www.genecards.org/cgi-bin/carddisp.pl?gene=TMED7","GeneCards")</f>
        <v>GeneCards</v>
      </c>
      <c r="D10546" s="1" t="str">
        <f>HYPERLINK("http://genome-euro.ucsc.edu/cgi-bin/hgTracks?position=209404_s_at","UCSC")</f>
        <v>UCSC</v>
      </c>
      <c r="E10546" s="1" t="str">
        <f>HYPERLINK("http://www.ncbi.nlm.nih.gov/gene/?term=TMED7","NCBI")</f>
        <v>NCBI</v>
      </c>
      <c r="F10546">
        <v>0.24</v>
      </c>
      <c r="G10546">
        <v>0.38</v>
      </c>
      <c r="H10546" s="1" t="str">
        <f>HYPERLINK("http://www.weizmann.ac.il/complex/compphys/software/geview/data/figures/209404_s_at.png","Figure")</f>
        <v>Figure</v>
      </c>
      <c r="I10546">
        <v>1.2</v>
      </c>
      <c r="J10546">
        <v>0.21</v>
      </c>
      <c r="K10546">
        <v>1.0900000000000001</v>
      </c>
      <c r="L10546">
        <v>0.62</v>
      </c>
      <c r="M10546">
        <v>0.90500000000000003</v>
      </c>
      <c r="N10546">
        <v>0.56999999999999995</v>
      </c>
    </row>
    <row r="10547" spans="1:14" x14ac:dyDescent="0.25">
      <c r="A10547" t="s">
        <v>18381</v>
      </c>
      <c r="B10547" t="s">
        <v>18382</v>
      </c>
      <c r="C10547" s="1" t="str">
        <f>HYPERLINK("http://www.genecards.org/cgi-bin/carddisp.pl?gene=PSMB5","GeneCards")</f>
        <v>GeneCards</v>
      </c>
      <c r="D10547" s="1" t="str">
        <f>HYPERLINK("http://genome-euro.ucsc.edu/cgi-bin/hgTracks?position=208799_at","UCSC")</f>
        <v>UCSC</v>
      </c>
      <c r="E10547" s="1" t="str">
        <f>HYPERLINK("http://www.ncbi.nlm.nih.gov/gene/?term=PSMB5","NCBI")</f>
        <v>NCBI</v>
      </c>
      <c r="F10547">
        <v>0.24</v>
      </c>
      <c r="G10547">
        <v>0.38</v>
      </c>
      <c r="H10547" s="1" t="str">
        <f>HYPERLINK("http://www.weizmann.ac.il/complex/compphys/software/geview/data/figures/208799_at.png","Figure")</f>
        <v>Figure</v>
      </c>
      <c r="I10547">
        <v>0.78600000000000003</v>
      </c>
      <c r="J10547">
        <v>0.31</v>
      </c>
      <c r="K10547">
        <v>0.80400000000000005</v>
      </c>
      <c r="L10547">
        <v>0.28000000000000003</v>
      </c>
      <c r="M10547">
        <v>1.02</v>
      </c>
      <c r="N10547">
        <v>0.99</v>
      </c>
    </row>
    <row r="10548" spans="1:14" x14ac:dyDescent="0.25">
      <c r="A10548" t="s">
        <v>18383</v>
      </c>
      <c r="B10548" t="s">
        <v>18384</v>
      </c>
      <c r="C10548" s="1" t="str">
        <f>HYPERLINK("http://www.genecards.org/cgi-bin/carddisp.pl?gene=ORC1L","GeneCards")</f>
        <v>GeneCards</v>
      </c>
      <c r="D10548" s="1" t="str">
        <f>HYPERLINK("http://genome-euro.ucsc.edu/cgi-bin/hgTracks?position=205085_at","UCSC")</f>
        <v>UCSC</v>
      </c>
      <c r="E10548" s="1" t="str">
        <f>HYPERLINK("http://www.ncbi.nlm.nih.gov/gene/?term=ORC1L","NCBI")</f>
        <v>NCBI</v>
      </c>
      <c r="F10548">
        <v>0.24</v>
      </c>
      <c r="G10548">
        <v>0.38</v>
      </c>
      <c r="H10548" s="1" t="str">
        <f>HYPERLINK("http://www.weizmann.ac.il/complex/compphys/software/geview/data/figures/205085_at.png","Figure")</f>
        <v>Figure</v>
      </c>
      <c r="I10548">
        <v>1.07</v>
      </c>
      <c r="J10548">
        <v>0.3</v>
      </c>
      <c r="K10548">
        <v>1.06</v>
      </c>
      <c r="L10548">
        <v>0.28999999999999998</v>
      </c>
      <c r="M10548">
        <v>0.99199999999999999</v>
      </c>
      <c r="N10548">
        <v>0.98</v>
      </c>
    </row>
    <row r="10549" spans="1:14" x14ac:dyDescent="0.25">
      <c r="A10549" t="s">
        <v>18385</v>
      </c>
      <c r="B10549" t="s">
        <v>18386</v>
      </c>
      <c r="C10549" s="1" t="str">
        <f>HYPERLINK("http://www.genecards.org/cgi-bin/carddisp.pl?gene=FLJ11292","GeneCards")</f>
        <v>GeneCards</v>
      </c>
      <c r="D10549" s="1" t="str">
        <f>HYPERLINK("http://genome-euro.ucsc.edu/cgi-bin/hgTracks?position=217342_x_at","UCSC")</f>
        <v>UCSC</v>
      </c>
      <c r="E10549" s="1" t="str">
        <f>HYPERLINK("http://www.ncbi.nlm.nih.gov/gene/?term=FLJ11292","NCBI")</f>
        <v>NCBI</v>
      </c>
      <c r="F10549">
        <v>0.24</v>
      </c>
      <c r="G10549">
        <v>0.38</v>
      </c>
      <c r="H10549" s="1" t="str">
        <f>HYPERLINK("http://www.weizmann.ac.il/complex/compphys/software/geview/data/figures/217342_x_at.png","Figure")</f>
        <v>Figure</v>
      </c>
      <c r="I10549">
        <v>1.1599999999999999</v>
      </c>
      <c r="J10549">
        <v>0.24</v>
      </c>
      <c r="K10549">
        <v>1.03</v>
      </c>
      <c r="L10549">
        <v>0.93</v>
      </c>
      <c r="M10549">
        <v>0.88900000000000001</v>
      </c>
      <c r="N10549">
        <v>0.33</v>
      </c>
    </row>
    <row r="10550" spans="1:14" x14ac:dyDescent="0.25">
      <c r="A10550" t="s">
        <v>18387</v>
      </c>
      <c r="B10550" t="s">
        <v>18388</v>
      </c>
      <c r="C10550" s="1" t="str">
        <f>HYPERLINK("http://www.genecards.org/cgi-bin/carddisp.pl?gene=NSD1","GeneCards")</f>
        <v>GeneCards</v>
      </c>
      <c r="D10550" s="1" t="str">
        <f>HYPERLINK("http://genome-euro.ucsc.edu/cgi-bin/hgTracks?position=219084_at","UCSC")</f>
        <v>UCSC</v>
      </c>
      <c r="E10550" s="1" t="str">
        <f>HYPERLINK("http://www.ncbi.nlm.nih.gov/gene/?term=NSD1","NCBI")</f>
        <v>NCBI</v>
      </c>
      <c r="F10550">
        <v>0.24</v>
      </c>
      <c r="G10550">
        <v>0.38</v>
      </c>
      <c r="H10550" s="1" t="str">
        <f>HYPERLINK("http://www.weizmann.ac.il/complex/compphys/software/geview/data/figures/219084_at.png","Figure")</f>
        <v>Figure</v>
      </c>
      <c r="I10550">
        <v>1.05</v>
      </c>
      <c r="J10550">
        <v>0.76</v>
      </c>
      <c r="K10550">
        <v>1.1200000000000001</v>
      </c>
      <c r="L10550">
        <v>0.21</v>
      </c>
      <c r="M10550">
        <v>1.06</v>
      </c>
      <c r="N10550">
        <v>0.64</v>
      </c>
    </row>
    <row r="10551" spans="1:14" x14ac:dyDescent="0.25">
      <c r="A10551" t="s">
        <v>18389</v>
      </c>
      <c r="B10551" t="s">
        <v>5300</v>
      </c>
      <c r="C10551" s="1" t="str">
        <f>HYPERLINK("http://www.genecards.org/cgi-bin/carddisp.pl?gene=PHF20","GeneCards")</f>
        <v>GeneCards</v>
      </c>
      <c r="D10551" s="1" t="str">
        <f>HYPERLINK("http://genome-euro.ucsc.edu/cgi-bin/hgTracks?position=209422_at","UCSC")</f>
        <v>UCSC</v>
      </c>
      <c r="E10551" s="1" t="str">
        <f>HYPERLINK("http://www.ncbi.nlm.nih.gov/gene/?term=PHF20","NCBI")</f>
        <v>NCBI</v>
      </c>
      <c r="F10551">
        <v>0.24</v>
      </c>
      <c r="G10551">
        <v>0.38</v>
      </c>
      <c r="H10551" s="1" t="str">
        <f>HYPERLINK("http://www.weizmann.ac.il/complex/compphys/software/geview/data/figures/209422_at.png","Figure")</f>
        <v>Figure</v>
      </c>
      <c r="I10551">
        <v>0.85599999999999998</v>
      </c>
      <c r="J10551">
        <v>0.9</v>
      </c>
      <c r="K10551">
        <v>0.58099999999999996</v>
      </c>
      <c r="L10551">
        <v>0.23</v>
      </c>
      <c r="M10551">
        <v>0.67800000000000005</v>
      </c>
      <c r="N10551">
        <v>0.5</v>
      </c>
    </row>
    <row r="10552" spans="1:14" x14ac:dyDescent="0.25">
      <c r="A10552" t="s">
        <v>18390</v>
      </c>
      <c r="B10552" t="s">
        <v>6510</v>
      </c>
      <c r="C10552" s="1" t="str">
        <f>HYPERLINK("http://www.genecards.org/cgi-bin/carddisp.pl?gene=SPN","GeneCards")</f>
        <v>GeneCards</v>
      </c>
      <c r="D10552" s="1" t="str">
        <f>HYPERLINK("http://genome-euro.ucsc.edu/cgi-bin/hgTracks?position=206056_x_at","UCSC")</f>
        <v>UCSC</v>
      </c>
      <c r="E10552" s="1" t="str">
        <f>HYPERLINK("http://www.ncbi.nlm.nih.gov/gene/?term=SPN","NCBI")</f>
        <v>NCBI</v>
      </c>
      <c r="F10552">
        <v>0.24</v>
      </c>
      <c r="G10552">
        <v>0.38</v>
      </c>
      <c r="H10552" s="1" t="str">
        <f>HYPERLINK("http://www.weizmann.ac.il/complex/compphys/software/geview/data/figures/206056_x_at.png","Figure")</f>
        <v>Figure</v>
      </c>
      <c r="I10552">
        <v>1.21</v>
      </c>
      <c r="J10552">
        <v>0.34</v>
      </c>
      <c r="K10552">
        <v>0.98399999999999999</v>
      </c>
      <c r="L10552">
        <v>0.99</v>
      </c>
      <c r="M10552">
        <v>0.81299999999999994</v>
      </c>
      <c r="N10552">
        <v>0.24</v>
      </c>
    </row>
    <row r="10553" spans="1:14" x14ac:dyDescent="0.25">
      <c r="A10553" t="s">
        <v>18391</v>
      </c>
      <c r="B10553" t="s">
        <v>18392</v>
      </c>
      <c r="C10553" s="1" t="str">
        <f>HYPERLINK("http://www.genecards.org/cgi-bin/carddisp.pl?gene=CNOT7","GeneCards")</f>
        <v>GeneCards</v>
      </c>
      <c r="D10553" s="1" t="str">
        <f>HYPERLINK("http://genome-euro.ucsc.edu/cgi-bin/hgTracks?position=218250_s_at","UCSC")</f>
        <v>UCSC</v>
      </c>
      <c r="E10553" s="1" t="str">
        <f>HYPERLINK("http://www.ncbi.nlm.nih.gov/gene/?term=CNOT7","NCBI")</f>
        <v>NCBI</v>
      </c>
      <c r="F10553">
        <v>0.24</v>
      </c>
      <c r="G10553">
        <v>0.38</v>
      </c>
      <c r="H10553" s="1" t="str">
        <f>HYPERLINK("http://www.weizmann.ac.il/complex/compphys/software/geview/data/figures/218250_s_at.png","Figure")</f>
        <v>Figure</v>
      </c>
      <c r="I10553">
        <v>0.93300000000000005</v>
      </c>
      <c r="J10553">
        <v>0.75</v>
      </c>
      <c r="K10553">
        <v>1.0900000000000001</v>
      </c>
      <c r="L10553">
        <v>0.56999999999999995</v>
      </c>
      <c r="M10553">
        <v>1.17</v>
      </c>
      <c r="N10553">
        <v>0.22</v>
      </c>
    </row>
    <row r="10554" spans="1:14" x14ac:dyDescent="0.25">
      <c r="A10554" t="s">
        <v>18393</v>
      </c>
      <c r="B10554" t="s">
        <v>17731</v>
      </c>
      <c r="C10554" s="1" t="str">
        <f>HYPERLINK("http://www.genecards.org/cgi-bin/carddisp.pl?gene=EIF4A1","GeneCards")</f>
        <v>GeneCards</v>
      </c>
      <c r="D10554" s="1" t="str">
        <f>HYPERLINK("http://genome-euro.ucsc.edu/cgi-bin/hgTracks?position=201530_x_at","UCSC")</f>
        <v>UCSC</v>
      </c>
      <c r="E10554" s="1" t="str">
        <f>HYPERLINK("http://www.ncbi.nlm.nih.gov/gene/?term=EIF4A1","NCBI")</f>
        <v>NCBI</v>
      </c>
      <c r="F10554">
        <v>0.24</v>
      </c>
      <c r="G10554">
        <v>0.38</v>
      </c>
      <c r="H10554" s="1" t="str">
        <f>HYPERLINK("http://www.weizmann.ac.il/complex/compphys/software/geview/data/figures/201530_x_at.png","Figure")</f>
        <v>Figure</v>
      </c>
      <c r="I10554">
        <v>0.90900000000000003</v>
      </c>
      <c r="J10554">
        <v>0.91</v>
      </c>
      <c r="K10554">
        <v>1.3</v>
      </c>
      <c r="L10554">
        <v>0.42</v>
      </c>
      <c r="M10554">
        <v>1.43</v>
      </c>
      <c r="N10554">
        <v>0.26</v>
      </c>
    </row>
    <row r="10555" spans="1:14" x14ac:dyDescent="0.25">
      <c r="A10555" t="s">
        <v>18394</v>
      </c>
      <c r="B10555" t="s">
        <v>6312</v>
      </c>
      <c r="C10555" s="1" t="str">
        <f>HYPERLINK("http://www.genecards.org/cgi-bin/carddisp.pl?gene=CREM","GeneCards")</f>
        <v>GeneCards</v>
      </c>
      <c r="D10555" s="1" t="str">
        <f>HYPERLINK("http://genome-euro.ucsc.edu/cgi-bin/hgTracks?position=214508_x_at","UCSC")</f>
        <v>UCSC</v>
      </c>
      <c r="E10555" s="1" t="str">
        <f>HYPERLINK("http://www.ncbi.nlm.nih.gov/gene/?term=CREM","NCBI")</f>
        <v>NCBI</v>
      </c>
      <c r="F10555">
        <v>0.24</v>
      </c>
      <c r="G10555">
        <v>0.38</v>
      </c>
      <c r="H10555" s="1" t="str">
        <f>HYPERLINK("http://www.weizmann.ac.il/complex/compphys/software/geview/data/figures/214508_x_at.png","Figure")</f>
        <v>Figure</v>
      </c>
      <c r="I10555">
        <v>0.89300000000000002</v>
      </c>
      <c r="J10555">
        <v>0.47</v>
      </c>
      <c r="K10555">
        <v>0.86599999999999999</v>
      </c>
      <c r="L10555">
        <v>0.22</v>
      </c>
      <c r="M10555">
        <v>0.96899999999999997</v>
      </c>
      <c r="N10555">
        <v>0.93</v>
      </c>
    </row>
    <row r="10556" spans="1:14" x14ac:dyDescent="0.25">
      <c r="A10556" t="s">
        <v>18395</v>
      </c>
      <c r="B10556" t="s">
        <v>13303</v>
      </c>
      <c r="C10556" s="1" t="str">
        <f>HYPERLINK("http://www.genecards.org/cgi-bin/carddisp.pl?gene=MTFR1","GeneCards")</f>
        <v>GeneCards</v>
      </c>
      <c r="D10556" s="1" t="str">
        <f>HYPERLINK("http://genome-euro.ucsc.edu/cgi-bin/hgTracks?position=203207_s_at","UCSC")</f>
        <v>UCSC</v>
      </c>
      <c r="E10556" s="1" t="str">
        <f>HYPERLINK("http://www.ncbi.nlm.nih.gov/gene/?term=MTFR1","NCBI")</f>
        <v>NCBI</v>
      </c>
      <c r="F10556">
        <v>0.24</v>
      </c>
      <c r="G10556">
        <v>0.38</v>
      </c>
      <c r="H10556" s="1" t="str">
        <f>HYPERLINK("http://www.weizmann.ac.il/complex/compphys/software/geview/data/figures/203207_s_at.png","Figure")</f>
        <v>Figure</v>
      </c>
      <c r="I10556">
        <v>0.95699999999999996</v>
      </c>
      <c r="J10556">
        <v>0.6</v>
      </c>
      <c r="K10556">
        <v>1.03</v>
      </c>
      <c r="L10556">
        <v>0.71</v>
      </c>
      <c r="M10556">
        <v>1.08</v>
      </c>
      <c r="N10556">
        <v>0.21</v>
      </c>
    </row>
    <row r="10557" spans="1:14" x14ac:dyDescent="0.25">
      <c r="A10557" t="s">
        <v>18396</v>
      </c>
      <c r="B10557" t="s">
        <v>8540</v>
      </c>
      <c r="C10557" s="1" t="str">
        <f>HYPERLINK("http://www.genecards.org/cgi-bin/carddisp.pl?gene=SPDEF","GeneCards")</f>
        <v>GeneCards</v>
      </c>
      <c r="D10557" s="1" t="str">
        <f>HYPERLINK("http://genome-euro.ucsc.edu/cgi-bin/hgTracks?position=213442_x_at","UCSC")</f>
        <v>UCSC</v>
      </c>
      <c r="E10557" s="1" t="str">
        <f>HYPERLINK("http://www.ncbi.nlm.nih.gov/gene/?term=SPDEF","NCBI")</f>
        <v>NCBI</v>
      </c>
      <c r="F10557">
        <v>0.24</v>
      </c>
      <c r="G10557">
        <v>0.38</v>
      </c>
      <c r="H10557" s="1" t="str">
        <f>HYPERLINK("http://www.weizmann.ac.il/complex/compphys/software/geview/data/figures/213442_x_at.png","Figure")</f>
        <v>Figure</v>
      </c>
      <c r="I10557">
        <v>1.21</v>
      </c>
      <c r="J10557">
        <v>0.21</v>
      </c>
      <c r="K10557">
        <v>1.0900000000000001</v>
      </c>
      <c r="L10557">
        <v>0.59</v>
      </c>
      <c r="M10557">
        <v>0.90800000000000003</v>
      </c>
      <c r="N10557">
        <v>0.6</v>
      </c>
    </row>
    <row r="10558" spans="1:14" x14ac:dyDescent="0.25">
      <c r="A10558" t="s">
        <v>18397</v>
      </c>
      <c r="B10558" t="s">
        <v>18398</v>
      </c>
      <c r="C10558" s="1" t="str">
        <f>HYPERLINK("http://www.genecards.org/cgi-bin/carddisp.pl?gene=NBPF10","GeneCards")</f>
        <v>GeneCards</v>
      </c>
      <c r="D10558" s="1" t="str">
        <f>HYPERLINK("http://genome-euro.ucsc.edu/cgi-bin/hgTracks?position=214693_x_at","UCSC")</f>
        <v>UCSC</v>
      </c>
      <c r="E10558" s="1" t="str">
        <f>HYPERLINK("http://www.ncbi.nlm.nih.gov/gene/?term=NBPF10","NCBI")</f>
        <v>NCBI</v>
      </c>
      <c r="F10558">
        <v>0.24</v>
      </c>
      <c r="G10558">
        <v>0.38</v>
      </c>
      <c r="H10558" s="1" t="str">
        <f>HYPERLINK("http://www.weizmann.ac.il/complex/compphys/software/geview/data/figures/214693_x_at.png","Figure")</f>
        <v>Figure</v>
      </c>
      <c r="I10558">
        <v>1.7</v>
      </c>
      <c r="J10558">
        <v>0.21</v>
      </c>
      <c r="K10558">
        <v>1.24</v>
      </c>
      <c r="L10558">
        <v>0.69</v>
      </c>
      <c r="M10558">
        <v>0.72799999999999998</v>
      </c>
      <c r="N10558">
        <v>0.5</v>
      </c>
    </row>
    <row r="10559" spans="1:14" x14ac:dyDescent="0.25">
      <c r="A10559" t="s">
        <v>18399</v>
      </c>
      <c r="B10559" t="s">
        <v>18400</v>
      </c>
      <c r="C10559" s="1" t="str">
        <f>HYPERLINK("http://www.genecards.org/cgi-bin/carddisp.pl?gene=ZNF282","GeneCards")</f>
        <v>GeneCards</v>
      </c>
      <c r="D10559" s="1" t="str">
        <f>HYPERLINK("http://genome-euro.ucsc.edu/cgi-bin/hgTracks?position=212892_at","UCSC")</f>
        <v>UCSC</v>
      </c>
      <c r="E10559" s="1" t="str">
        <f>HYPERLINK("http://www.ncbi.nlm.nih.gov/gene/?term=ZNF282","NCBI")</f>
        <v>NCBI</v>
      </c>
      <c r="F10559">
        <v>0.24</v>
      </c>
      <c r="G10559">
        <v>0.38</v>
      </c>
      <c r="H10559" s="1" t="str">
        <f>HYPERLINK("http://www.weizmann.ac.il/complex/compphys/software/geview/data/figures/212892_at.png","Figure")</f>
        <v>Figure</v>
      </c>
      <c r="I10559">
        <v>1.05</v>
      </c>
      <c r="J10559">
        <v>0.84</v>
      </c>
      <c r="K10559">
        <v>1.1399999999999999</v>
      </c>
      <c r="L10559">
        <v>0.22</v>
      </c>
      <c r="M10559">
        <v>1.08</v>
      </c>
      <c r="N10559">
        <v>0.56999999999999995</v>
      </c>
    </row>
    <row r="10560" spans="1:14" x14ac:dyDescent="0.25">
      <c r="A10560" t="s">
        <v>18401</v>
      </c>
      <c r="B10560" t="s">
        <v>16475</v>
      </c>
      <c r="C10560" s="1" t="str">
        <f>HYPERLINK("http://www.genecards.org/cgi-bin/carddisp.pl?gene=MAP3K7IP2","GeneCards")</f>
        <v>GeneCards</v>
      </c>
      <c r="D10560" s="1" t="str">
        <f>HYPERLINK("http://genome-euro.ucsc.edu/cgi-bin/hgTracks?position=212184_s_at","UCSC")</f>
        <v>UCSC</v>
      </c>
      <c r="E10560" s="1" t="str">
        <f>HYPERLINK("http://www.ncbi.nlm.nih.gov/gene/?term=MAP3K7IP2","NCBI")</f>
        <v>NCBI</v>
      </c>
      <c r="F10560">
        <v>0.24</v>
      </c>
      <c r="G10560">
        <v>0.38</v>
      </c>
      <c r="H10560" s="1" t="str">
        <f>HYPERLINK("http://www.weizmann.ac.il/complex/compphys/software/geview/data/figures/212184_s_at.png","Figure")</f>
        <v>Figure</v>
      </c>
      <c r="I10560">
        <v>0.83699999999999997</v>
      </c>
      <c r="J10560">
        <v>0.86</v>
      </c>
      <c r="K10560">
        <v>0.59199999999999997</v>
      </c>
      <c r="L10560">
        <v>0.23</v>
      </c>
      <c r="M10560">
        <v>0.70699999999999996</v>
      </c>
      <c r="N10560">
        <v>0.55000000000000004</v>
      </c>
    </row>
    <row r="10561" spans="1:14" x14ac:dyDescent="0.25">
      <c r="A10561" t="s">
        <v>18402</v>
      </c>
      <c r="B10561" t="s">
        <v>16238</v>
      </c>
      <c r="C10561" s="1" t="str">
        <f>HYPERLINK("http://www.genecards.org/cgi-bin/carddisp.pl?gene=TIA1","GeneCards")</f>
        <v>GeneCards</v>
      </c>
      <c r="D10561" s="1" t="str">
        <f>HYPERLINK("http://genome-euro.ucsc.edu/cgi-bin/hgTracks?position=201446_s_at","UCSC")</f>
        <v>UCSC</v>
      </c>
      <c r="E10561" s="1" t="str">
        <f>HYPERLINK("http://www.ncbi.nlm.nih.gov/gene/?term=TIA1","NCBI")</f>
        <v>NCBI</v>
      </c>
      <c r="F10561">
        <v>0.24</v>
      </c>
      <c r="G10561">
        <v>0.38</v>
      </c>
      <c r="H10561" s="1" t="str">
        <f>HYPERLINK("http://www.weizmann.ac.il/complex/compphys/software/geview/data/figures/201446_s_at.png","Figure")</f>
        <v>Figure</v>
      </c>
      <c r="I10561">
        <v>1.48</v>
      </c>
      <c r="J10561">
        <v>0.21</v>
      </c>
      <c r="K10561">
        <v>1.23</v>
      </c>
      <c r="L10561">
        <v>0.55000000000000004</v>
      </c>
      <c r="M10561">
        <v>0.83</v>
      </c>
      <c r="N10561">
        <v>0.64</v>
      </c>
    </row>
    <row r="10562" spans="1:14" x14ac:dyDescent="0.25">
      <c r="A10562" t="s">
        <v>18403</v>
      </c>
      <c r="B10562" t="s">
        <v>5439</v>
      </c>
      <c r="C10562" s="1" t="str">
        <f>HYPERLINK("http://www.genecards.org/cgi-bin/carddisp.pl?gene=RPL27A","GeneCards")</f>
        <v>GeneCards</v>
      </c>
      <c r="D10562" s="1" t="str">
        <f>HYPERLINK("http://genome-euro.ucsc.edu/cgi-bin/hgTracks?position=203034_s_at","UCSC")</f>
        <v>UCSC</v>
      </c>
      <c r="E10562" s="1" t="str">
        <f>HYPERLINK("http://www.ncbi.nlm.nih.gov/gene/?term=RPL27A","NCBI")</f>
        <v>NCBI</v>
      </c>
      <c r="F10562">
        <v>0.24</v>
      </c>
      <c r="G10562">
        <v>0.38</v>
      </c>
      <c r="H10562" s="1" t="str">
        <f>HYPERLINK("http://www.weizmann.ac.il/complex/compphys/software/geview/data/figures/203034_s_at.png","Figure")</f>
        <v>Figure</v>
      </c>
      <c r="I10562">
        <v>0.83499999999999996</v>
      </c>
      <c r="J10562">
        <v>0.69</v>
      </c>
      <c r="K10562">
        <v>1.19</v>
      </c>
      <c r="L10562">
        <v>0.63</v>
      </c>
      <c r="M10562">
        <v>1.43</v>
      </c>
      <c r="N10562">
        <v>0.22</v>
      </c>
    </row>
    <row r="10563" spans="1:14" x14ac:dyDescent="0.25">
      <c r="A10563" t="s">
        <v>18404</v>
      </c>
      <c r="B10563" t="s">
        <v>18405</v>
      </c>
      <c r="C10563" s="1" t="str">
        <f>HYPERLINK("http://www.genecards.org/cgi-bin/carddisp.pl?gene=LRRTM2","GeneCards")</f>
        <v>GeneCards</v>
      </c>
      <c r="D10563" s="1" t="str">
        <f>HYPERLINK("http://genome-euro.ucsc.edu/cgi-bin/hgTracks?position=206408_at","UCSC")</f>
        <v>UCSC</v>
      </c>
      <c r="E10563" s="1" t="str">
        <f>HYPERLINK("http://www.ncbi.nlm.nih.gov/gene/?term=LRRTM2","NCBI")</f>
        <v>NCBI</v>
      </c>
      <c r="F10563">
        <v>0.24</v>
      </c>
      <c r="G10563">
        <v>0.38</v>
      </c>
      <c r="H10563" s="1" t="str">
        <f>HYPERLINK("http://www.weizmann.ac.il/complex/compphys/software/geview/data/figures/206408_at.png","Figure")</f>
        <v>Figure</v>
      </c>
      <c r="I10563">
        <v>1.01</v>
      </c>
      <c r="J10563">
        <v>0.35</v>
      </c>
      <c r="K10563">
        <v>1.01</v>
      </c>
      <c r="L10563">
        <v>0.26</v>
      </c>
      <c r="M10563">
        <v>1</v>
      </c>
      <c r="N10563">
        <v>1</v>
      </c>
    </row>
    <row r="10564" spans="1:14" x14ac:dyDescent="0.25">
      <c r="A10564" t="s">
        <v>18406</v>
      </c>
      <c r="B10564" t="s">
        <v>18407</v>
      </c>
      <c r="C10564" s="1" t="str">
        <f>HYPERLINK("http://www.genecards.org/cgi-bin/carddisp.pl?gene=GRM5","GeneCards")</f>
        <v>GeneCards</v>
      </c>
      <c r="D10564" s="1" t="str">
        <f>HYPERLINK("http://genome-euro.ucsc.edu/cgi-bin/hgTracks?position=207235_s_at","UCSC")</f>
        <v>UCSC</v>
      </c>
      <c r="E10564" s="1" t="str">
        <f>HYPERLINK("http://www.ncbi.nlm.nih.gov/gene/?term=GRM5","NCBI")</f>
        <v>NCBI</v>
      </c>
      <c r="F10564">
        <v>0.24</v>
      </c>
      <c r="G10564">
        <v>0.38</v>
      </c>
      <c r="H10564" s="1" t="str">
        <f>HYPERLINK("http://www.weizmann.ac.il/complex/compphys/software/geview/data/figures/207235_s_at.png","Figure")</f>
        <v>Figure</v>
      </c>
      <c r="I10564">
        <v>1.04</v>
      </c>
      <c r="J10564">
        <v>0.26</v>
      </c>
      <c r="K10564">
        <v>1.03</v>
      </c>
      <c r="L10564">
        <v>0.34</v>
      </c>
      <c r="M10564">
        <v>0.99</v>
      </c>
      <c r="N10564">
        <v>0.91</v>
      </c>
    </row>
    <row r="10565" spans="1:14" x14ac:dyDescent="0.25">
      <c r="A10565" t="s">
        <v>18408</v>
      </c>
      <c r="B10565" t="s">
        <v>18409</v>
      </c>
      <c r="C10565" s="1" t="str">
        <f>HYPERLINK("http://www.genecards.org/cgi-bin/carddisp.pl?gene=ZBP1","GeneCards")</f>
        <v>GeneCards</v>
      </c>
      <c r="D10565" s="1" t="str">
        <f>HYPERLINK("http://genome-euro.ucsc.edu/cgi-bin/hgTracks?position=208087_s_at","UCSC")</f>
        <v>UCSC</v>
      </c>
      <c r="E10565" s="1" t="str">
        <f>HYPERLINK("http://www.ncbi.nlm.nih.gov/gene/?term=ZBP1","NCBI")</f>
        <v>NCBI</v>
      </c>
      <c r="F10565">
        <v>0.24</v>
      </c>
      <c r="G10565">
        <v>0.38</v>
      </c>
      <c r="H10565" s="1" t="str">
        <f>HYPERLINK("http://www.weizmann.ac.il/complex/compphys/software/geview/data/figures/208087_s_at.png","Figure")</f>
        <v>Figure</v>
      </c>
      <c r="I10565">
        <v>1.04</v>
      </c>
      <c r="J10565">
        <v>0.35</v>
      </c>
      <c r="K10565">
        <v>1.04</v>
      </c>
      <c r="L10565">
        <v>0.26</v>
      </c>
      <c r="M10565">
        <v>1</v>
      </c>
      <c r="N10565">
        <v>1</v>
      </c>
    </row>
    <row r="10566" spans="1:14" x14ac:dyDescent="0.25">
      <c r="A10566" t="s">
        <v>18410</v>
      </c>
      <c r="B10566" t="s">
        <v>18411</v>
      </c>
      <c r="C10566" s="1" t="str">
        <f>HYPERLINK("http://www.genecards.org/cgi-bin/carddisp.pl?gene=GABRD","GeneCards")</f>
        <v>GeneCards</v>
      </c>
      <c r="D10566" s="1" t="str">
        <f>HYPERLINK("http://genome-euro.ucsc.edu/cgi-bin/hgTracks?position=208457_at","UCSC")</f>
        <v>UCSC</v>
      </c>
      <c r="E10566" s="1" t="str">
        <f>HYPERLINK("http://www.ncbi.nlm.nih.gov/gene/?term=GABRD","NCBI")</f>
        <v>NCBI</v>
      </c>
      <c r="F10566">
        <v>0.24</v>
      </c>
      <c r="G10566">
        <v>0.38</v>
      </c>
      <c r="H10566" s="1" t="str">
        <f>HYPERLINK("http://www.weizmann.ac.il/complex/compphys/software/geview/data/figures/208457_at.png","Figure")</f>
        <v>Figure</v>
      </c>
      <c r="I10566">
        <v>1.1000000000000001</v>
      </c>
      <c r="J10566">
        <v>0.24</v>
      </c>
      <c r="K10566">
        <v>1.02</v>
      </c>
      <c r="L10566">
        <v>0.92</v>
      </c>
      <c r="M10566">
        <v>0.92300000000000004</v>
      </c>
      <c r="N10566">
        <v>0.34</v>
      </c>
    </row>
    <row r="10567" spans="1:14" x14ac:dyDescent="0.25">
      <c r="A10567" t="s">
        <v>18412</v>
      </c>
      <c r="B10567" t="s">
        <v>18413</v>
      </c>
      <c r="C10567" s="1" t="str">
        <f>HYPERLINK("http://www.genecards.org/cgi-bin/carddisp.pl?gene=RALGDS","GeneCards")</f>
        <v>GeneCards</v>
      </c>
      <c r="D10567" s="1" t="str">
        <f>HYPERLINK("http://genome-euro.ucsc.edu/cgi-bin/hgTracks?position=209051_s_at","UCSC")</f>
        <v>UCSC</v>
      </c>
      <c r="E10567" s="1" t="str">
        <f>HYPERLINK("http://www.ncbi.nlm.nih.gov/gene/?term=RALGDS","NCBI")</f>
        <v>NCBI</v>
      </c>
      <c r="F10567">
        <v>0.24</v>
      </c>
      <c r="G10567">
        <v>0.38</v>
      </c>
      <c r="H10567" s="1" t="str">
        <f>HYPERLINK("http://www.weizmann.ac.il/complex/compphys/software/geview/data/figures/209051_s_at.png","Figure")</f>
        <v>Figure</v>
      </c>
      <c r="I10567">
        <v>0.85599999999999998</v>
      </c>
      <c r="J10567">
        <v>0.3</v>
      </c>
      <c r="K10567">
        <v>0.873</v>
      </c>
      <c r="L10567">
        <v>0.3</v>
      </c>
      <c r="M10567">
        <v>1.02</v>
      </c>
      <c r="N10567">
        <v>0.98</v>
      </c>
    </row>
    <row r="10568" spans="1:14" x14ac:dyDescent="0.25">
      <c r="A10568" t="s">
        <v>18414</v>
      </c>
      <c r="B10568" t="s">
        <v>18415</v>
      </c>
      <c r="C10568" s="1" t="str">
        <f>HYPERLINK("http://www.genecards.org/cgi-bin/carddisp.pl?gene=COL18A1","GeneCards")</f>
        <v>GeneCards</v>
      </c>
      <c r="D10568" s="1" t="str">
        <f>HYPERLINK("http://genome-euro.ucsc.edu/cgi-bin/hgTracks?position=209081_s_at","UCSC")</f>
        <v>UCSC</v>
      </c>
      <c r="E10568" s="1" t="str">
        <f>HYPERLINK("http://www.ncbi.nlm.nih.gov/gene/?term=COL18A1","NCBI")</f>
        <v>NCBI</v>
      </c>
      <c r="F10568">
        <v>0.24</v>
      </c>
      <c r="G10568">
        <v>0.38</v>
      </c>
      <c r="H10568" s="1" t="str">
        <f>HYPERLINK("http://www.weizmann.ac.il/complex/compphys/software/geview/data/figures/209081_s_at.png","Figure")</f>
        <v>Figure</v>
      </c>
      <c r="I10568">
        <v>0.98399999999999999</v>
      </c>
      <c r="J10568">
        <v>0.95</v>
      </c>
      <c r="K10568">
        <v>1.06</v>
      </c>
      <c r="L10568">
        <v>0.39</v>
      </c>
      <c r="M10568">
        <v>1.08</v>
      </c>
      <c r="N10568">
        <v>0.28000000000000003</v>
      </c>
    </row>
    <row r="10569" spans="1:14" x14ac:dyDescent="0.25">
      <c r="A10569" t="s">
        <v>18416</v>
      </c>
      <c r="B10569" t="s">
        <v>1826</v>
      </c>
      <c r="C10569" s="1" t="str">
        <f>HYPERLINK("http://www.genecards.org/cgi-bin/carddisp.pl?gene=EXTL3","GeneCards")</f>
        <v>GeneCards</v>
      </c>
      <c r="D10569" s="1" t="str">
        <f>HYPERLINK("http://genome-euro.ucsc.edu/cgi-bin/hgTracks?position=211051_s_at","UCSC")</f>
        <v>UCSC</v>
      </c>
      <c r="E10569" s="1" t="str">
        <f>HYPERLINK("http://www.ncbi.nlm.nih.gov/gene/?term=EXTL3","NCBI")</f>
        <v>NCBI</v>
      </c>
      <c r="F10569">
        <v>0.24</v>
      </c>
      <c r="G10569">
        <v>0.38</v>
      </c>
      <c r="H10569" s="1" t="str">
        <f>HYPERLINK("http://www.weizmann.ac.il/complex/compphys/software/geview/data/figures/211051_s_at.png","Figure")</f>
        <v>Figure</v>
      </c>
      <c r="I10569">
        <v>1.02</v>
      </c>
      <c r="J10569">
        <v>0.43</v>
      </c>
      <c r="K10569">
        <v>1.02</v>
      </c>
      <c r="L10569">
        <v>0.23</v>
      </c>
      <c r="M10569">
        <v>1</v>
      </c>
      <c r="N10569">
        <v>0.97</v>
      </c>
    </row>
    <row r="10570" spans="1:14" x14ac:dyDescent="0.25">
      <c r="A10570" t="s">
        <v>18417</v>
      </c>
      <c r="B10570" t="s">
        <v>18418</v>
      </c>
      <c r="C10570" s="1" t="str">
        <f>HYPERLINK("http://www.genecards.org/cgi-bin/carddisp.pl?gene=GALNT11","GeneCards")</f>
        <v>GeneCards</v>
      </c>
      <c r="D10570" s="1" t="str">
        <f>HYPERLINK("http://genome-euro.ucsc.edu/cgi-bin/hgTracks?position=219013_at","UCSC")</f>
        <v>UCSC</v>
      </c>
      <c r="E10570" s="1" t="str">
        <f>HYPERLINK("http://www.ncbi.nlm.nih.gov/gene/?term=GALNT11","NCBI")</f>
        <v>NCBI</v>
      </c>
      <c r="F10570">
        <v>0.24</v>
      </c>
      <c r="G10570">
        <v>0.38</v>
      </c>
      <c r="H10570" s="1" t="str">
        <f>HYPERLINK("http://www.weizmann.ac.il/complex/compphys/software/geview/data/figures/219013_at.png","Figure")</f>
        <v>Figure</v>
      </c>
      <c r="I10570">
        <v>1</v>
      </c>
      <c r="J10570">
        <v>1</v>
      </c>
      <c r="K10570">
        <v>0.80900000000000005</v>
      </c>
      <c r="L10570">
        <v>0.3</v>
      </c>
      <c r="M10570">
        <v>0.80900000000000005</v>
      </c>
      <c r="N10570">
        <v>0.35</v>
      </c>
    </row>
    <row r="10571" spans="1:14" x14ac:dyDescent="0.25">
      <c r="A10571" t="s">
        <v>18419</v>
      </c>
      <c r="B10571" t="s">
        <v>11433</v>
      </c>
      <c r="C10571" s="1" t="str">
        <f>HYPERLINK("http://www.genecards.org/cgi-bin/carddisp.pl?gene=NGLY1","GeneCards")</f>
        <v>GeneCards</v>
      </c>
      <c r="D10571" s="1" t="str">
        <f>HYPERLINK("http://genome-euro.ucsc.edu/cgi-bin/hgTracks?position=220742_s_at","UCSC")</f>
        <v>UCSC</v>
      </c>
      <c r="E10571" s="1" t="str">
        <f>HYPERLINK("http://www.ncbi.nlm.nih.gov/gene/?term=NGLY1","NCBI")</f>
        <v>NCBI</v>
      </c>
      <c r="F10571">
        <v>0.24</v>
      </c>
      <c r="G10571">
        <v>0.38</v>
      </c>
      <c r="H10571" s="1" t="str">
        <f>HYPERLINK("http://www.weizmann.ac.il/complex/compphys/software/geview/data/figures/220742_s_at.png","Figure")</f>
        <v>Figure</v>
      </c>
      <c r="I10571">
        <v>1.4</v>
      </c>
      <c r="J10571">
        <v>0.26</v>
      </c>
      <c r="K10571">
        <v>1.04</v>
      </c>
      <c r="L10571">
        <v>0.97</v>
      </c>
      <c r="M10571">
        <v>0.74399999999999999</v>
      </c>
      <c r="N10571">
        <v>0.3</v>
      </c>
    </row>
    <row r="10572" spans="1:14" x14ac:dyDescent="0.25">
      <c r="A10572" t="s">
        <v>18420</v>
      </c>
      <c r="B10572" t="s">
        <v>18421</v>
      </c>
      <c r="C10572" s="1" t="str">
        <f>HYPERLINK("http://www.genecards.org/cgi-bin/carddisp.pl?gene=ECSIT","GeneCards")</f>
        <v>GeneCards</v>
      </c>
      <c r="D10572" s="1" t="str">
        <f>HYPERLINK("http://genome-euro.ucsc.edu/cgi-bin/hgTracks?position=218225_at","UCSC")</f>
        <v>UCSC</v>
      </c>
      <c r="E10572" s="1" t="str">
        <f>HYPERLINK("http://www.ncbi.nlm.nih.gov/gene/?term=ECSIT","NCBI")</f>
        <v>NCBI</v>
      </c>
      <c r="F10572">
        <v>0.24</v>
      </c>
      <c r="G10572">
        <v>0.38</v>
      </c>
      <c r="H10572" s="1" t="str">
        <f>HYPERLINK("http://www.weizmann.ac.il/complex/compphys/software/geview/data/figures/218225_at.png","Figure")</f>
        <v>Figure</v>
      </c>
      <c r="I10572">
        <v>1.24</v>
      </c>
      <c r="J10572">
        <v>0.23</v>
      </c>
      <c r="K10572">
        <v>1.1499999999999999</v>
      </c>
      <c r="L10572">
        <v>0.41</v>
      </c>
      <c r="M10572">
        <v>0.93100000000000005</v>
      </c>
      <c r="N10572">
        <v>0.82</v>
      </c>
    </row>
    <row r="10573" spans="1:14" x14ac:dyDescent="0.25">
      <c r="A10573" t="s">
        <v>18422</v>
      </c>
      <c r="B10573" t="s">
        <v>18423</v>
      </c>
      <c r="C10573" s="1" t="str">
        <f>HYPERLINK("http://www.genecards.org/cgi-bin/carddisp.pl?gene=CD247","GeneCards")</f>
        <v>GeneCards</v>
      </c>
      <c r="D10573" s="1" t="str">
        <f>HYPERLINK("http://genome-euro.ucsc.edu/cgi-bin/hgTracks?position=210031_at","UCSC")</f>
        <v>UCSC</v>
      </c>
      <c r="E10573" s="1" t="str">
        <f>HYPERLINK("http://www.ncbi.nlm.nih.gov/gene/?term=CD247","NCBI")</f>
        <v>NCBI</v>
      </c>
      <c r="F10573">
        <v>0.24</v>
      </c>
      <c r="G10573">
        <v>0.38</v>
      </c>
      <c r="H10573" s="1" t="str">
        <f>HYPERLINK("http://www.weizmann.ac.il/complex/compphys/software/geview/data/figures/210031_at.png","Figure")</f>
        <v>Figure</v>
      </c>
      <c r="I10573">
        <v>1.44</v>
      </c>
      <c r="J10573">
        <v>0.28000000000000003</v>
      </c>
      <c r="K10573">
        <v>1.02</v>
      </c>
      <c r="L10573">
        <v>0.99</v>
      </c>
      <c r="M10573">
        <v>0.70699999999999996</v>
      </c>
      <c r="N10573">
        <v>0.28000000000000003</v>
      </c>
    </row>
    <row r="10574" spans="1:14" x14ac:dyDescent="0.25">
      <c r="A10574" t="s">
        <v>18424</v>
      </c>
      <c r="B10574" t="s">
        <v>18425</v>
      </c>
      <c r="C10574" s="1" t="str">
        <f>HYPERLINK("http://www.genecards.org/cgi-bin/carddisp.pl?gene=KCNJ2","GeneCards")</f>
        <v>GeneCards</v>
      </c>
      <c r="D10574" s="1" t="str">
        <f>HYPERLINK("http://genome-euro.ucsc.edu/cgi-bin/hgTracks?position=206765_at","UCSC")</f>
        <v>UCSC</v>
      </c>
      <c r="E10574" s="1" t="str">
        <f>HYPERLINK("http://www.ncbi.nlm.nih.gov/gene/?term=KCNJ2","NCBI")</f>
        <v>NCBI</v>
      </c>
      <c r="F10574">
        <v>0.24</v>
      </c>
      <c r="G10574">
        <v>0.38</v>
      </c>
      <c r="H10574" s="1" t="str">
        <f>HYPERLINK("http://www.weizmann.ac.il/complex/compphys/software/geview/data/figures/206765_at.png","Figure")</f>
        <v>Figure</v>
      </c>
      <c r="I10574">
        <v>1.0900000000000001</v>
      </c>
      <c r="J10574">
        <v>0.98</v>
      </c>
      <c r="K10574">
        <v>0.58599999999999997</v>
      </c>
      <c r="L10574">
        <v>0.35</v>
      </c>
      <c r="M10574">
        <v>0.53900000000000003</v>
      </c>
      <c r="N10574">
        <v>0.3</v>
      </c>
    </row>
    <row r="10575" spans="1:14" x14ac:dyDescent="0.25">
      <c r="A10575" t="s">
        <v>18426</v>
      </c>
      <c r="B10575" t="s">
        <v>18427</v>
      </c>
      <c r="C10575" s="1" t="str">
        <f>HYPERLINK("http://www.genecards.org/cgi-bin/carddisp.pl?gene=EMD","GeneCards")</f>
        <v>GeneCards</v>
      </c>
      <c r="D10575" s="1" t="str">
        <f>HYPERLINK("http://genome-euro.ucsc.edu/cgi-bin/hgTracks?position=209477_at","UCSC")</f>
        <v>UCSC</v>
      </c>
      <c r="E10575" s="1" t="str">
        <f>HYPERLINK("http://www.ncbi.nlm.nih.gov/gene/?term=EMD","NCBI")</f>
        <v>NCBI</v>
      </c>
      <c r="F10575">
        <v>0.24</v>
      </c>
      <c r="G10575">
        <v>0.38</v>
      </c>
      <c r="H10575" s="1" t="str">
        <f>HYPERLINK("http://www.weizmann.ac.il/complex/compphys/software/geview/data/figures/209477_at.png","Figure")</f>
        <v>Figure</v>
      </c>
      <c r="I10575">
        <v>0.89200000000000002</v>
      </c>
      <c r="J10575">
        <v>0.38</v>
      </c>
      <c r="K10575">
        <v>0.88500000000000001</v>
      </c>
      <c r="L10575">
        <v>0.25</v>
      </c>
      <c r="M10575">
        <v>0.99299999999999999</v>
      </c>
      <c r="N10575">
        <v>0.99</v>
      </c>
    </row>
    <row r="10576" spans="1:14" x14ac:dyDescent="0.25">
      <c r="A10576" t="s">
        <v>18428</v>
      </c>
      <c r="B10576" t="s">
        <v>5536</v>
      </c>
      <c r="C10576" s="1" t="str">
        <f>HYPERLINK("http://www.genecards.org/cgi-bin/carddisp.pl?gene=MAX","GeneCards")</f>
        <v>GeneCards</v>
      </c>
      <c r="D10576" s="1" t="str">
        <f>HYPERLINK("http://genome-euro.ucsc.edu/cgi-bin/hgTracks?position=210734_x_at","UCSC")</f>
        <v>UCSC</v>
      </c>
      <c r="E10576" s="1" t="str">
        <f>HYPERLINK("http://www.ncbi.nlm.nih.gov/gene/?term=MAX","NCBI")</f>
        <v>NCBI</v>
      </c>
      <c r="F10576">
        <v>0.24</v>
      </c>
      <c r="G10576">
        <v>0.38</v>
      </c>
      <c r="H10576" s="1" t="str">
        <f>HYPERLINK("http://www.weizmann.ac.il/complex/compphys/software/geview/data/figures/210734_x_at.png","Figure")</f>
        <v>Figure</v>
      </c>
      <c r="I10576">
        <v>0.996</v>
      </c>
      <c r="J10576">
        <v>1</v>
      </c>
      <c r="K10576">
        <v>0.85699999999999998</v>
      </c>
      <c r="L10576">
        <v>0.3</v>
      </c>
      <c r="M10576">
        <v>0.86</v>
      </c>
      <c r="N10576">
        <v>0.36</v>
      </c>
    </row>
    <row r="10577" spans="1:14" x14ac:dyDescent="0.25">
      <c r="A10577" t="s">
        <v>18429</v>
      </c>
      <c r="B10577" t="s">
        <v>16105</v>
      </c>
      <c r="C10577" s="1" t="str">
        <f>HYPERLINK("http://www.genecards.org/cgi-bin/carddisp.pl?gene=FOLH1","GeneCards")</f>
        <v>GeneCards</v>
      </c>
      <c r="D10577" s="1" t="str">
        <f>HYPERLINK("http://genome-euro.ucsc.edu/cgi-bin/hgTracks?position=217487_x_at","UCSC")</f>
        <v>UCSC</v>
      </c>
      <c r="E10577" s="1" t="str">
        <f>HYPERLINK("http://www.ncbi.nlm.nih.gov/gene/?term=FOLH1","NCBI")</f>
        <v>NCBI</v>
      </c>
      <c r="F10577">
        <v>0.24</v>
      </c>
      <c r="G10577">
        <v>0.38</v>
      </c>
      <c r="H10577" s="1" t="str">
        <f>HYPERLINK("http://www.weizmann.ac.il/complex/compphys/software/geview/data/figures/217487_x_at.png","Figure")</f>
        <v>Figure</v>
      </c>
      <c r="I10577">
        <v>1.1100000000000001</v>
      </c>
      <c r="J10577">
        <v>0.31</v>
      </c>
      <c r="K10577">
        <v>0.998</v>
      </c>
      <c r="L10577">
        <v>1</v>
      </c>
      <c r="M10577">
        <v>0.90100000000000002</v>
      </c>
      <c r="N10577">
        <v>0.26</v>
      </c>
    </row>
    <row r="10578" spans="1:14" x14ac:dyDescent="0.25">
      <c r="A10578" t="s">
        <v>18430</v>
      </c>
      <c r="B10578" t="s">
        <v>18431</v>
      </c>
      <c r="C10578" s="1" t="str">
        <f>HYPERLINK("http://www.genecards.org/cgi-bin/carddisp.pl?gene=FAM108B1","GeneCards")</f>
        <v>GeneCards</v>
      </c>
      <c r="D10578" s="1" t="str">
        <f>HYPERLINK("http://genome-euro.ucsc.edu/cgi-bin/hgTracks?position=220285_at","UCSC")</f>
        <v>UCSC</v>
      </c>
      <c r="E10578" s="1" t="str">
        <f>HYPERLINK("http://www.ncbi.nlm.nih.gov/gene/?term=FAM108B1","NCBI")</f>
        <v>NCBI</v>
      </c>
      <c r="F10578">
        <v>0.24</v>
      </c>
      <c r="G10578">
        <v>0.38</v>
      </c>
      <c r="H10578" s="1" t="str">
        <f>HYPERLINK("http://www.weizmann.ac.il/complex/compphys/software/geview/data/figures/220285_at.png","Figure")</f>
        <v>Figure</v>
      </c>
      <c r="I10578">
        <v>0.85499999999999998</v>
      </c>
      <c r="J10578">
        <v>0.68</v>
      </c>
      <c r="K10578">
        <v>0.751</v>
      </c>
      <c r="L10578">
        <v>0.21</v>
      </c>
      <c r="M10578">
        <v>0.878</v>
      </c>
      <c r="N10578">
        <v>0.73</v>
      </c>
    </row>
    <row r="10579" spans="1:14" x14ac:dyDescent="0.25">
      <c r="A10579" t="s">
        <v>18432</v>
      </c>
      <c r="B10579" t="s">
        <v>18433</v>
      </c>
      <c r="C10579" s="1" t="str">
        <f>HYPERLINK("http://www.genecards.org/cgi-bin/carddisp.pl?gene=ERBB3","GeneCards")</f>
        <v>GeneCards</v>
      </c>
      <c r="D10579" s="1" t="str">
        <f>HYPERLINK("http://genome-euro.ucsc.edu/cgi-bin/hgTracks?position=202454_s_at","UCSC")</f>
        <v>UCSC</v>
      </c>
      <c r="E10579" s="1" t="str">
        <f>HYPERLINK("http://www.ncbi.nlm.nih.gov/gene/?term=ERBB3","NCBI")</f>
        <v>NCBI</v>
      </c>
      <c r="F10579">
        <v>0.24</v>
      </c>
      <c r="G10579">
        <v>0.38</v>
      </c>
      <c r="H10579" s="1" t="str">
        <f>HYPERLINK("http://www.weizmann.ac.il/complex/compphys/software/geview/data/figures/202454_s_at.png","Figure")</f>
        <v>Figure</v>
      </c>
      <c r="I10579">
        <v>0.93700000000000006</v>
      </c>
      <c r="J10579">
        <v>0.24</v>
      </c>
      <c r="K10579">
        <v>0.98699999999999999</v>
      </c>
      <c r="L10579">
        <v>0.92</v>
      </c>
      <c r="M10579">
        <v>1.05</v>
      </c>
      <c r="N10579">
        <v>0.34</v>
      </c>
    </row>
    <row r="10580" spans="1:14" x14ac:dyDescent="0.25">
      <c r="A10580" t="s">
        <v>18434</v>
      </c>
      <c r="B10580" t="s">
        <v>18435</v>
      </c>
      <c r="C10580" s="1" t="str">
        <f>HYPERLINK("http://www.genecards.org/cgi-bin/carddisp.pl?gene=WDR47","GeneCards")</f>
        <v>GeneCards</v>
      </c>
      <c r="D10580" s="1" t="str">
        <f>HYPERLINK("http://genome-euro.ucsc.edu/cgi-bin/hgTracks?position=203855_at","UCSC")</f>
        <v>UCSC</v>
      </c>
      <c r="E10580" s="1" t="str">
        <f>HYPERLINK("http://www.ncbi.nlm.nih.gov/gene/?term=WDR47","NCBI")</f>
        <v>NCBI</v>
      </c>
      <c r="F10580">
        <v>0.24</v>
      </c>
      <c r="G10580">
        <v>0.38</v>
      </c>
      <c r="H10580" s="1" t="str">
        <f>HYPERLINK("http://www.weizmann.ac.il/complex/compphys/software/geview/data/figures/203855_at.png","Figure")</f>
        <v>Figure</v>
      </c>
      <c r="I10580">
        <v>0.61899999999999999</v>
      </c>
      <c r="J10580">
        <v>0.22</v>
      </c>
      <c r="K10580">
        <v>0.76300000000000001</v>
      </c>
      <c r="L10580">
        <v>0.51</v>
      </c>
      <c r="M10580">
        <v>1.23</v>
      </c>
      <c r="N10580">
        <v>0.69</v>
      </c>
    </row>
    <row r="10581" spans="1:14" x14ac:dyDescent="0.25">
      <c r="A10581" t="s">
        <v>18436</v>
      </c>
      <c r="B10581" t="s">
        <v>18437</v>
      </c>
      <c r="C10581" s="1" t="str">
        <f>HYPERLINK("http://www.genecards.org/cgi-bin/carddisp.pl?gene=HK2","GeneCards")</f>
        <v>GeneCards</v>
      </c>
      <c r="D10581" s="1" t="str">
        <f>HYPERLINK("http://genome-euro.ucsc.edu/cgi-bin/hgTracks?position=222305_at","UCSC")</f>
        <v>UCSC</v>
      </c>
      <c r="E10581" s="1" t="str">
        <f>HYPERLINK("http://www.ncbi.nlm.nih.gov/gene/?term=HK2","NCBI")</f>
        <v>NCBI</v>
      </c>
      <c r="F10581">
        <v>0.24</v>
      </c>
      <c r="G10581">
        <v>0.38</v>
      </c>
      <c r="H10581" s="1" t="str">
        <f>HYPERLINK("http://www.weizmann.ac.il/complex/compphys/software/geview/data/figures/222305_at.png","Figure")</f>
        <v>Figure</v>
      </c>
      <c r="I10581">
        <v>1.03</v>
      </c>
      <c r="J10581">
        <v>0.9</v>
      </c>
      <c r="K10581">
        <v>1.1000000000000001</v>
      </c>
      <c r="L10581">
        <v>0.24</v>
      </c>
      <c r="M10581">
        <v>1.07</v>
      </c>
      <c r="N10581">
        <v>0.51</v>
      </c>
    </row>
    <row r="10582" spans="1:14" x14ac:dyDescent="0.25">
      <c r="A10582" t="s">
        <v>18438</v>
      </c>
      <c r="B10582" t="s">
        <v>18439</v>
      </c>
      <c r="C10582" s="1" t="str">
        <f>HYPERLINK("http://www.genecards.org/cgi-bin/carddisp.pl?gene=CDC2L5","GeneCards")</f>
        <v>GeneCards</v>
      </c>
      <c r="D10582" s="1" t="str">
        <f>HYPERLINK("http://genome-euro.ucsc.edu/cgi-bin/hgTracks?position=213987_s_at","UCSC")</f>
        <v>UCSC</v>
      </c>
      <c r="E10582" s="1" t="str">
        <f>HYPERLINK("http://www.ncbi.nlm.nih.gov/gene/?term=CDC2L5","NCBI")</f>
        <v>NCBI</v>
      </c>
      <c r="F10582">
        <v>0.24</v>
      </c>
      <c r="G10582">
        <v>0.38</v>
      </c>
      <c r="H10582" s="1" t="str">
        <f>HYPERLINK("http://www.weizmann.ac.il/complex/compphys/software/geview/data/figures/213987_s_at.png","Figure")</f>
        <v>Figure</v>
      </c>
      <c r="I10582">
        <v>1.07</v>
      </c>
      <c r="J10582">
        <v>0.46</v>
      </c>
      <c r="K10582">
        <v>1.08</v>
      </c>
      <c r="L10582">
        <v>0.22</v>
      </c>
      <c r="M10582">
        <v>1.02</v>
      </c>
      <c r="N10582">
        <v>0.94</v>
      </c>
    </row>
    <row r="10583" spans="1:14" x14ac:dyDescent="0.25">
      <c r="A10583" t="s">
        <v>18440</v>
      </c>
      <c r="B10583" t="s">
        <v>6400</v>
      </c>
      <c r="C10583" s="1" t="str">
        <f>HYPERLINK("http://www.genecards.org/cgi-bin/carddisp.pl?gene=TRIM10","GeneCards")</f>
        <v>GeneCards</v>
      </c>
      <c r="D10583" s="1" t="str">
        <f>HYPERLINK("http://genome-euro.ucsc.edu/cgi-bin/hgTracks?position=221627_at","UCSC")</f>
        <v>UCSC</v>
      </c>
      <c r="E10583" s="1" t="str">
        <f>HYPERLINK("http://www.ncbi.nlm.nih.gov/gene/?term=TRIM10","NCBI")</f>
        <v>NCBI</v>
      </c>
      <c r="F10583">
        <v>0.24</v>
      </c>
      <c r="G10583">
        <v>0.38</v>
      </c>
      <c r="H10583" s="1" t="str">
        <f>HYPERLINK("http://www.weizmann.ac.il/complex/compphys/software/geview/data/figures/221627_at.png","Figure")</f>
        <v>Figure</v>
      </c>
      <c r="I10583">
        <v>1.23</v>
      </c>
      <c r="J10583">
        <v>0.24</v>
      </c>
      <c r="K10583">
        <v>1.04</v>
      </c>
      <c r="L10583">
        <v>0.93</v>
      </c>
      <c r="M10583">
        <v>0.84499999999999997</v>
      </c>
      <c r="N10583">
        <v>0.33</v>
      </c>
    </row>
    <row r="10584" spans="1:14" x14ac:dyDescent="0.25">
      <c r="A10584" t="s">
        <v>18441</v>
      </c>
      <c r="B10584" t="s">
        <v>18442</v>
      </c>
      <c r="C10584" s="1" t="str">
        <f>HYPERLINK("http://www.genecards.org/cgi-bin/carddisp.pl?gene=SUPT4H1","GeneCards")</f>
        <v>GeneCards</v>
      </c>
      <c r="D10584" s="1" t="str">
        <f>HYPERLINK("http://genome-euro.ucsc.edu/cgi-bin/hgTracks?position=201483_s_at","UCSC")</f>
        <v>UCSC</v>
      </c>
      <c r="E10584" s="1" t="str">
        <f>HYPERLINK("http://www.ncbi.nlm.nih.gov/gene/?term=SUPT4H1","NCBI")</f>
        <v>NCBI</v>
      </c>
      <c r="F10584">
        <v>0.24</v>
      </c>
      <c r="G10584">
        <v>0.38</v>
      </c>
      <c r="H10584" s="1" t="str">
        <f>HYPERLINK("http://www.weizmann.ac.il/complex/compphys/software/geview/data/figures/201483_s_at.png","Figure")</f>
        <v>Figure</v>
      </c>
      <c r="I10584">
        <v>0.88600000000000001</v>
      </c>
      <c r="J10584">
        <v>0.78</v>
      </c>
      <c r="K10584">
        <v>1.18</v>
      </c>
      <c r="L10584">
        <v>0.54</v>
      </c>
      <c r="M10584">
        <v>1.34</v>
      </c>
      <c r="N10584">
        <v>0.23</v>
      </c>
    </row>
    <row r="10585" spans="1:14" x14ac:dyDescent="0.25">
      <c r="A10585" t="s">
        <v>18443</v>
      </c>
      <c r="B10585" t="s">
        <v>18444</v>
      </c>
      <c r="C10585" s="1" t="str">
        <f>HYPERLINK("http://www.genecards.org/cgi-bin/carddisp.pl?gene=CARD8","GeneCards")</f>
        <v>GeneCards</v>
      </c>
      <c r="D10585" s="1" t="str">
        <f>HYPERLINK("http://genome-euro.ucsc.edu/cgi-bin/hgTracks?position=204950_at","UCSC")</f>
        <v>UCSC</v>
      </c>
      <c r="E10585" s="1" t="str">
        <f>HYPERLINK("http://www.ncbi.nlm.nih.gov/gene/?term=CARD8","NCBI")</f>
        <v>NCBI</v>
      </c>
      <c r="F10585">
        <v>0.24</v>
      </c>
      <c r="G10585">
        <v>0.38</v>
      </c>
      <c r="H10585" s="1" t="str">
        <f>HYPERLINK("http://www.weizmann.ac.il/complex/compphys/software/geview/data/figures/204950_at.png","Figure")</f>
        <v>Figure</v>
      </c>
      <c r="I10585">
        <v>0.66500000000000004</v>
      </c>
      <c r="J10585">
        <v>0.28999999999999998</v>
      </c>
      <c r="K10585">
        <v>0.98199999999999998</v>
      </c>
      <c r="L10585">
        <v>1</v>
      </c>
      <c r="M10585">
        <v>1.48</v>
      </c>
      <c r="N10585">
        <v>0.27</v>
      </c>
    </row>
    <row r="10586" spans="1:14" x14ac:dyDescent="0.25">
      <c r="A10586" t="s">
        <v>18445</v>
      </c>
      <c r="B10586" t="s">
        <v>18446</v>
      </c>
      <c r="C10586" s="1" t="str">
        <f>HYPERLINK("http://www.genecards.org/cgi-bin/carddisp.pl?gene=SNAPC3","GeneCards")</f>
        <v>GeneCards</v>
      </c>
      <c r="D10586" s="1" t="str">
        <f>HYPERLINK("http://genome-euro.ucsc.edu/cgi-bin/hgTracks?position=204001_at","UCSC")</f>
        <v>UCSC</v>
      </c>
      <c r="E10586" s="1" t="str">
        <f>HYPERLINK("http://www.ncbi.nlm.nih.gov/gene/?term=SNAPC3","NCBI")</f>
        <v>NCBI</v>
      </c>
      <c r="F10586">
        <v>0.24</v>
      </c>
      <c r="G10586">
        <v>0.38</v>
      </c>
      <c r="H10586" s="1" t="str">
        <f>HYPERLINK("http://www.weizmann.ac.il/complex/compphys/software/geview/data/figures/204001_at.png","Figure")</f>
        <v>Figure</v>
      </c>
      <c r="I10586">
        <v>0.91100000000000003</v>
      </c>
      <c r="J10586">
        <v>0.3</v>
      </c>
      <c r="K10586">
        <v>0.999</v>
      </c>
      <c r="L10586">
        <v>1</v>
      </c>
      <c r="M10586">
        <v>1.1000000000000001</v>
      </c>
      <c r="N10586">
        <v>0.26</v>
      </c>
    </row>
    <row r="10587" spans="1:14" x14ac:dyDescent="0.25">
      <c r="A10587" t="s">
        <v>18447</v>
      </c>
      <c r="B10587" t="s">
        <v>18448</v>
      </c>
      <c r="C10587" s="1" t="str">
        <f>HYPERLINK("http://www.genecards.org/cgi-bin/carddisp.pl?gene=SEC14L1","GeneCards")</f>
        <v>GeneCards</v>
      </c>
      <c r="D10587" s="1" t="str">
        <f>HYPERLINK("http://genome-euro.ucsc.edu/cgi-bin/hgTracks?position=202084_s_at","UCSC")</f>
        <v>UCSC</v>
      </c>
      <c r="E10587" s="1" t="str">
        <f>HYPERLINK("http://www.ncbi.nlm.nih.gov/gene/?term=SEC14L1","NCBI")</f>
        <v>NCBI</v>
      </c>
      <c r="F10587">
        <v>0.24</v>
      </c>
      <c r="G10587">
        <v>0.38</v>
      </c>
      <c r="H10587" s="1" t="str">
        <f>HYPERLINK("http://www.weizmann.ac.il/complex/compphys/software/geview/data/figures/202084_s_at.png","Figure")</f>
        <v>Figure</v>
      </c>
      <c r="I10587">
        <v>0.93200000000000005</v>
      </c>
      <c r="J10587">
        <v>0.9</v>
      </c>
      <c r="K10587">
        <v>1.2</v>
      </c>
      <c r="L10587">
        <v>0.43</v>
      </c>
      <c r="M10587">
        <v>1.29</v>
      </c>
      <c r="N10587">
        <v>0.26</v>
      </c>
    </row>
    <row r="10588" spans="1:14" x14ac:dyDescent="0.25">
      <c r="A10588" t="s">
        <v>18449</v>
      </c>
      <c r="B10588" t="s">
        <v>1554</v>
      </c>
      <c r="C10588" s="1" t="str">
        <f>HYPERLINK("http://www.genecards.org/cgi-bin/carddisp.pl?gene=SSX2IP","GeneCards")</f>
        <v>GeneCards</v>
      </c>
      <c r="D10588" s="1" t="str">
        <f>HYPERLINK("http://genome-euro.ucsc.edu/cgi-bin/hgTracks?position=203017_s_at","UCSC")</f>
        <v>UCSC</v>
      </c>
      <c r="E10588" s="1" t="str">
        <f>HYPERLINK("http://www.ncbi.nlm.nih.gov/gene/?term=SSX2IP","NCBI")</f>
        <v>NCBI</v>
      </c>
      <c r="F10588">
        <v>0.24</v>
      </c>
      <c r="G10588">
        <v>0.38</v>
      </c>
      <c r="H10588" s="1" t="str">
        <f>HYPERLINK("http://www.weizmann.ac.il/complex/compphys/software/geview/data/figures/203017_s_at.png","Figure")</f>
        <v>Figure</v>
      </c>
      <c r="I10588">
        <v>1.04</v>
      </c>
      <c r="J10588">
        <v>0.96</v>
      </c>
      <c r="K10588">
        <v>0.85799999999999998</v>
      </c>
      <c r="L10588">
        <v>0.38</v>
      </c>
      <c r="M10588">
        <v>0.82799999999999996</v>
      </c>
      <c r="N10588">
        <v>0.28000000000000003</v>
      </c>
    </row>
    <row r="10589" spans="1:14" x14ac:dyDescent="0.25">
      <c r="A10589" t="s">
        <v>18450</v>
      </c>
      <c r="B10589" t="s">
        <v>18451</v>
      </c>
      <c r="C10589" s="1" t="str">
        <f>HYPERLINK("http://www.genecards.org/cgi-bin/carddisp.pl?gene=MAP3K3","GeneCards")</f>
        <v>GeneCards</v>
      </c>
      <c r="D10589" s="1" t="str">
        <f>HYPERLINK("http://genome-euro.ucsc.edu/cgi-bin/hgTracks?position=203514_at","UCSC")</f>
        <v>UCSC</v>
      </c>
      <c r="E10589" s="1" t="str">
        <f>HYPERLINK("http://www.ncbi.nlm.nih.gov/gene/?term=MAP3K3","NCBI")</f>
        <v>NCBI</v>
      </c>
      <c r="F10589">
        <v>0.24</v>
      </c>
      <c r="G10589">
        <v>0.38</v>
      </c>
      <c r="H10589" s="1" t="str">
        <f>HYPERLINK("http://www.weizmann.ac.il/complex/compphys/software/geview/data/figures/203514_at.png","Figure")</f>
        <v>Figure</v>
      </c>
      <c r="I10589">
        <v>0.86099999999999999</v>
      </c>
      <c r="J10589">
        <v>0.53</v>
      </c>
      <c r="K10589">
        <v>0.80900000000000005</v>
      </c>
      <c r="L10589">
        <v>0.22</v>
      </c>
      <c r="M10589">
        <v>0.94</v>
      </c>
      <c r="N10589">
        <v>0.88</v>
      </c>
    </row>
    <row r="10590" spans="1:14" x14ac:dyDescent="0.25">
      <c r="A10590" t="s">
        <v>18452</v>
      </c>
      <c r="B10590" t="s">
        <v>18453</v>
      </c>
      <c r="C10590" s="1" t="str">
        <f>HYPERLINK("http://www.genecards.org/cgi-bin/carddisp.pl?gene=JUND","GeneCards")</f>
        <v>GeneCards</v>
      </c>
      <c r="D10590" s="1" t="str">
        <f>HYPERLINK("http://genome-euro.ucsc.edu/cgi-bin/hgTracks?position=203751_x_at","UCSC")</f>
        <v>UCSC</v>
      </c>
      <c r="E10590" s="1" t="str">
        <f>HYPERLINK("http://www.ncbi.nlm.nih.gov/gene/?term=JUND","NCBI")</f>
        <v>NCBI</v>
      </c>
      <c r="F10590">
        <v>0.24</v>
      </c>
      <c r="G10590">
        <v>0.38</v>
      </c>
      <c r="H10590" s="1" t="str">
        <f>HYPERLINK("http://www.weizmann.ac.il/complex/compphys/software/geview/data/figures/203751_x_at.png","Figure")</f>
        <v>Figure</v>
      </c>
      <c r="I10590">
        <v>0.9</v>
      </c>
      <c r="J10590">
        <v>0.46</v>
      </c>
      <c r="K10590">
        <v>1.04</v>
      </c>
      <c r="L10590">
        <v>0.88</v>
      </c>
      <c r="M10590">
        <v>1.1499999999999999</v>
      </c>
      <c r="N10590">
        <v>0.22</v>
      </c>
    </row>
    <row r="10591" spans="1:14" x14ac:dyDescent="0.25">
      <c r="A10591" t="s">
        <v>18454</v>
      </c>
      <c r="B10591" t="s">
        <v>18455</v>
      </c>
      <c r="C10591" s="1" t="str">
        <f>HYPERLINK("http://www.genecards.org/cgi-bin/carddisp.pl?gene=CHN2","GeneCards")</f>
        <v>GeneCards</v>
      </c>
      <c r="D10591" s="1" t="str">
        <f>HYPERLINK("http://genome-euro.ucsc.edu/cgi-bin/hgTracks?position=213385_at","UCSC")</f>
        <v>UCSC</v>
      </c>
      <c r="E10591" s="1" t="str">
        <f>HYPERLINK("http://www.ncbi.nlm.nih.gov/gene/?term=CHN2","NCBI")</f>
        <v>NCBI</v>
      </c>
      <c r="F10591">
        <v>0.24</v>
      </c>
      <c r="G10591">
        <v>0.38</v>
      </c>
      <c r="H10591" s="1" t="str">
        <f>HYPERLINK("http://www.weizmann.ac.il/complex/compphys/software/geview/data/figures/213385_at.png","Figure")</f>
        <v>Figure</v>
      </c>
      <c r="I10591">
        <v>1.27</v>
      </c>
      <c r="J10591">
        <v>0.24</v>
      </c>
      <c r="K10591">
        <v>1.17</v>
      </c>
      <c r="L10591">
        <v>0.42</v>
      </c>
      <c r="M10591">
        <v>0.92200000000000004</v>
      </c>
      <c r="N10591">
        <v>0.81</v>
      </c>
    </row>
    <row r="10592" spans="1:14" x14ac:dyDescent="0.25">
      <c r="A10592" t="s">
        <v>18456</v>
      </c>
      <c r="B10592" t="s">
        <v>17748</v>
      </c>
      <c r="C10592" s="1" t="str">
        <f>HYPERLINK("http://www.genecards.org/cgi-bin/carddisp.pl?gene=CHMP4A","GeneCards")</f>
        <v>GeneCards</v>
      </c>
      <c r="D10592" s="1" t="str">
        <f>HYPERLINK("http://genome-euro.ucsc.edu/cgi-bin/hgTracks?position=218571_s_at","UCSC")</f>
        <v>UCSC</v>
      </c>
      <c r="E10592" s="1" t="str">
        <f>HYPERLINK("http://www.ncbi.nlm.nih.gov/gene/?term=CHMP4A","NCBI")</f>
        <v>NCBI</v>
      </c>
      <c r="F10592">
        <v>0.24</v>
      </c>
      <c r="G10592">
        <v>0.38</v>
      </c>
      <c r="H10592" s="1" t="str">
        <f>HYPERLINK("http://www.weizmann.ac.il/complex/compphys/software/geview/data/figures/218571_s_at.png","Figure")</f>
        <v>Figure</v>
      </c>
      <c r="I10592">
        <v>1.05</v>
      </c>
      <c r="J10592">
        <v>0.94</v>
      </c>
      <c r="K10592">
        <v>1.24</v>
      </c>
      <c r="L10592">
        <v>0.25</v>
      </c>
      <c r="M10592">
        <v>1.18</v>
      </c>
      <c r="N10592">
        <v>0.47</v>
      </c>
    </row>
    <row r="10593" spans="1:14" x14ac:dyDescent="0.25">
      <c r="A10593" t="s">
        <v>18457</v>
      </c>
      <c r="B10593" t="s">
        <v>16579</v>
      </c>
      <c r="C10593" s="1" t="str">
        <f>HYPERLINK("http://www.genecards.org/cgi-bin/carddisp.pl?gene=RPL7","GeneCards")</f>
        <v>GeneCards</v>
      </c>
      <c r="D10593" s="1" t="str">
        <f>HYPERLINK("http://genome-euro.ucsc.edu/cgi-bin/hgTracks?position=200717_x_at","UCSC")</f>
        <v>UCSC</v>
      </c>
      <c r="E10593" s="1" t="str">
        <f>HYPERLINK("http://www.ncbi.nlm.nih.gov/gene/?term=RPL7","NCBI")</f>
        <v>NCBI</v>
      </c>
      <c r="F10593">
        <v>0.24</v>
      </c>
      <c r="G10593">
        <v>0.38</v>
      </c>
      <c r="H10593" s="1" t="str">
        <f>HYPERLINK("http://www.weizmann.ac.il/complex/compphys/software/geview/data/figures/200717_x_at.png","Figure")</f>
        <v>Figure</v>
      </c>
      <c r="I10593">
        <v>1</v>
      </c>
      <c r="J10593">
        <v>1</v>
      </c>
      <c r="K10593">
        <v>0.92400000000000004</v>
      </c>
      <c r="L10593">
        <v>0.3</v>
      </c>
      <c r="M10593">
        <v>0.92400000000000004</v>
      </c>
      <c r="N10593">
        <v>0.35</v>
      </c>
    </row>
    <row r="10594" spans="1:14" x14ac:dyDescent="0.25">
      <c r="A10594" t="s">
        <v>18458</v>
      </c>
      <c r="B10594" t="s">
        <v>18459</v>
      </c>
      <c r="C10594" s="1" t="str">
        <f>HYPERLINK("http://www.genecards.org/cgi-bin/carddisp.pl?gene=ACOT1 /// ACOT2","GeneCards")</f>
        <v>GeneCards</v>
      </c>
      <c r="D10594" s="1" t="str">
        <f>HYPERLINK("http://genome-euro.ucsc.edu/cgi-bin/hgTracks?position=202982_s_at","UCSC")</f>
        <v>UCSC</v>
      </c>
      <c r="E10594" s="1" t="str">
        <f>HYPERLINK("http://www.ncbi.nlm.nih.gov/gene/?term=ACOT1 /// ACOT2","NCBI")</f>
        <v>NCBI</v>
      </c>
      <c r="F10594">
        <v>0.24</v>
      </c>
      <c r="G10594">
        <v>0.38</v>
      </c>
      <c r="H10594" s="1" t="str">
        <f>HYPERLINK("http://www.weizmann.ac.il/complex/compphys/software/geview/data/figures/202982_s_at.png","Figure")</f>
        <v>Figure</v>
      </c>
      <c r="I10594">
        <v>0.80400000000000005</v>
      </c>
      <c r="J10594">
        <v>0.24</v>
      </c>
      <c r="K10594">
        <v>0.95399999999999996</v>
      </c>
      <c r="L10594">
        <v>0.91</v>
      </c>
      <c r="M10594">
        <v>1.19</v>
      </c>
      <c r="N10594">
        <v>0.35</v>
      </c>
    </row>
    <row r="10595" spans="1:14" x14ac:dyDescent="0.25">
      <c r="A10595" t="s">
        <v>18460</v>
      </c>
      <c r="B10595" t="s">
        <v>3991</v>
      </c>
      <c r="C10595" s="1" t="str">
        <f>HYPERLINK("http://www.genecards.org/cgi-bin/carddisp.pl?gene=RARB","GeneCards")</f>
        <v>GeneCards</v>
      </c>
      <c r="D10595" s="1" t="str">
        <f>HYPERLINK("http://genome-euro.ucsc.edu/cgi-bin/hgTracks?position=205080_at","UCSC")</f>
        <v>UCSC</v>
      </c>
      <c r="E10595" s="1" t="str">
        <f>HYPERLINK("http://www.ncbi.nlm.nih.gov/gene/?term=RARB","NCBI")</f>
        <v>NCBI</v>
      </c>
      <c r="F10595">
        <v>0.24</v>
      </c>
      <c r="G10595">
        <v>0.38</v>
      </c>
      <c r="H10595" s="1" t="str">
        <f>HYPERLINK("http://www.weizmann.ac.il/complex/compphys/software/geview/data/figures/205080_at.png","Figure")</f>
        <v>Figure</v>
      </c>
      <c r="I10595">
        <v>1.1000000000000001</v>
      </c>
      <c r="J10595">
        <v>0.3</v>
      </c>
      <c r="K10595">
        <v>1</v>
      </c>
      <c r="L10595">
        <v>1</v>
      </c>
      <c r="M10595">
        <v>0.91</v>
      </c>
      <c r="N10595">
        <v>0.26</v>
      </c>
    </row>
    <row r="10596" spans="1:14" x14ac:dyDescent="0.25">
      <c r="A10596" t="s">
        <v>18461</v>
      </c>
      <c r="B10596" t="s">
        <v>6854</v>
      </c>
      <c r="C10596" s="1" t="str">
        <f>HYPERLINK("http://www.genecards.org/cgi-bin/carddisp.pl?gene=LEPROTL1","GeneCards")</f>
        <v>GeneCards</v>
      </c>
      <c r="D10596" s="1" t="str">
        <f>HYPERLINK("http://genome-euro.ucsc.edu/cgi-bin/hgTracks?position=202595_s_at","UCSC")</f>
        <v>UCSC</v>
      </c>
      <c r="E10596" s="1" t="str">
        <f>HYPERLINK("http://www.ncbi.nlm.nih.gov/gene/?term=LEPROTL1","NCBI")</f>
        <v>NCBI</v>
      </c>
      <c r="F10596">
        <v>0.24</v>
      </c>
      <c r="G10596">
        <v>0.38</v>
      </c>
      <c r="H10596" s="1" t="str">
        <f>HYPERLINK("http://www.weizmann.ac.il/complex/compphys/software/geview/data/figures/202595_s_at.png","Figure")</f>
        <v>Figure</v>
      </c>
      <c r="I10596">
        <v>0.97399999999999998</v>
      </c>
      <c r="J10596">
        <v>0.99</v>
      </c>
      <c r="K10596">
        <v>0.71599999999999997</v>
      </c>
      <c r="L10596">
        <v>0.28000000000000003</v>
      </c>
      <c r="M10596">
        <v>0.73499999999999999</v>
      </c>
      <c r="N10596">
        <v>0.38</v>
      </c>
    </row>
    <row r="10597" spans="1:14" x14ac:dyDescent="0.25">
      <c r="A10597" t="s">
        <v>18462</v>
      </c>
      <c r="B10597" t="s">
        <v>18463</v>
      </c>
      <c r="C10597" s="1" t="str">
        <f>HYPERLINK("http://www.genecards.org/cgi-bin/carddisp.pl?gene=SLC23A2","GeneCards")</f>
        <v>GeneCards</v>
      </c>
      <c r="D10597" s="1" t="str">
        <f>HYPERLINK("http://genome-euro.ucsc.edu/cgi-bin/hgTracks?position=209237_s_at","UCSC")</f>
        <v>UCSC</v>
      </c>
      <c r="E10597" s="1" t="str">
        <f>HYPERLINK("http://www.ncbi.nlm.nih.gov/gene/?term=SLC23A2","NCBI")</f>
        <v>NCBI</v>
      </c>
      <c r="F10597">
        <v>0.24</v>
      </c>
      <c r="G10597">
        <v>0.38</v>
      </c>
      <c r="H10597" s="1" t="str">
        <f>HYPERLINK("http://www.weizmann.ac.il/complex/compphys/software/geview/data/figures/209237_s_at.png","Figure")</f>
        <v>Figure</v>
      </c>
      <c r="I10597">
        <v>1.1200000000000001</v>
      </c>
      <c r="J10597">
        <v>0.21</v>
      </c>
      <c r="K10597">
        <v>1.05</v>
      </c>
      <c r="L10597">
        <v>0.62</v>
      </c>
      <c r="M10597">
        <v>0.94099999999999995</v>
      </c>
      <c r="N10597">
        <v>0.56999999999999995</v>
      </c>
    </row>
    <row r="10598" spans="1:14" x14ac:dyDescent="0.25">
      <c r="A10598" t="s">
        <v>18464</v>
      </c>
      <c r="B10598" t="s">
        <v>5783</v>
      </c>
      <c r="C10598" s="1" t="str">
        <f>HYPERLINK("http://www.genecards.org/cgi-bin/carddisp.pl?gene=AKR1C1","GeneCards")</f>
        <v>GeneCards</v>
      </c>
      <c r="D10598" s="1" t="str">
        <f>HYPERLINK("http://genome-euro.ucsc.edu/cgi-bin/hgTracks?position=216594_x_at","UCSC")</f>
        <v>UCSC</v>
      </c>
      <c r="E10598" s="1" t="str">
        <f>HYPERLINK("http://www.ncbi.nlm.nih.gov/gene/?term=AKR1C1","NCBI")</f>
        <v>NCBI</v>
      </c>
      <c r="F10598">
        <v>0.24</v>
      </c>
      <c r="G10598">
        <v>0.38</v>
      </c>
      <c r="H10598" s="1" t="str">
        <f>HYPERLINK("http://www.weizmann.ac.il/complex/compphys/software/geview/data/figures/216594_x_at.png","Figure")</f>
        <v>Figure</v>
      </c>
      <c r="I10598">
        <v>1.2</v>
      </c>
      <c r="J10598">
        <v>0.22</v>
      </c>
      <c r="K10598">
        <v>1.06</v>
      </c>
      <c r="L10598">
        <v>0.78</v>
      </c>
      <c r="M10598">
        <v>0.88600000000000001</v>
      </c>
      <c r="N10598">
        <v>0.44</v>
      </c>
    </row>
    <row r="10599" spans="1:14" x14ac:dyDescent="0.25">
      <c r="A10599" t="s">
        <v>18465</v>
      </c>
      <c r="B10599" t="s">
        <v>10006</v>
      </c>
      <c r="C10599" s="1" t="str">
        <f>HYPERLINK("http://www.genecards.org/cgi-bin/carddisp.pl?gene=CNNM2","GeneCards")</f>
        <v>GeneCards</v>
      </c>
      <c r="D10599" s="1" t="str">
        <f>HYPERLINK("http://genome-euro.ucsc.edu/cgi-bin/hgTracks?position=206818_s_at","UCSC")</f>
        <v>UCSC</v>
      </c>
      <c r="E10599" s="1" t="str">
        <f>HYPERLINK("http://www.ncbi.nlm.nih.gov/gene/?term=CNNM2","NCBI")</f>
        <v>NCBI</v>
      </c>
      <c r="F10599">
        <v>0.24</v>
      </c>
      <c r="G10599">
        <v>0.38</v>
      </c>
      <c r="H10599" s="1" t="str">
        <f>HYPERLINK("http://www.weizmann.ac.il/complex/compphys/software/geview/data/figures/206818_s_at.png","Figure")</f>
        <v>Figure</v>
      </c>
      <c r="I10599">
        <v>1.1200000000000001</v>
      </c>
      <c r="J10599">
        <v>0.24</v>
      </c>
      <c r="K10599">
        <v>1.02</v>
      </c>
      <c r="L10599">
        <v>0.93</v>
      </c>
      <c r="M10599">
        <v>0.90900000000000003</v>
      </c>
      <c r="N10599">
        <v>0.34</v>
      </c>
    </row>
    <row r="10600" spans="1:14" x14ac:dyDescent="0.25">
      <c r="A10600" t="s">
        <v>18466</v>
      </c>
      <c r="B10600" t="s">
        <v>1439</v>
      </c>
      <c r="C10600" s="1" t="str">
        <f>HYPERLINK("http://www.genecards.org/cgi-bin/carddisp.pl?gene=ICMT","GeneCards")</f>
        <v>GeneCards</v>
      </c>
      <c r="D10600" s="1" t="str">
        <f>HYPERLINK("http://genome-euro.ucsc.edu/cgi-bin/hgTracks?position=201609_x_at","UCSC")</f>
        <v>UCSC</v>
      </c>
      <c r="E10600" s="1" t="str">
        <f>HYPERLINK("http://www.ncbi.nlm.nih.gov/gene/?term=ICMT","NCBI")</f>
        <v>NCBI</v>
      </c>
      <c r="F10600">
        <v>0.24</v>
      </c>
      <c r="G10600">
        <v>0.38</v>
      </c>
      <c r="H10600" s="1" t="str">
        <f>HYPERLINK("http://www.weizmann.ac.il/complex/compphys/software/geview/data/figures/201609_x_at.png","Figure")</f>
        <v>Figure</v>
      </c>
      <c r="I10600">
        <v>0.91700000000000004</v>
      </c>
      <c r="J10600">
        <v>0.39</v>
      </c>
      <c r="K10600">
        <v>1.02</v>
      </c>
      <c r="L10600">
        <v>0.94</v>
      </c>
      <c r="M10600">
        <v>1.1100000000000001</v>
      </c>
      <c r="N10600">
        <v>0.23</v>
      </c>
    </row>
    <row r="10601" spans="1:14" x14ac:dyDescent="0.25">
      <c r="A10601" t="s">
        <v>18467</v>
      </c>
      <c r="B10601" t="s">
        <v>18468</v>
      </c>
      <c r="C10601" s="1" t="str">
        <f>HYPERLINK("http://www.genecards.org/cgi-bin/carddisp.pl?gene=NTNG1","GeneCards")</f>
        <v>GeneCards</v>
      </c>
      <c r="D10601" s="1" t="str">
        <f>HYPERLINK("http://genome-euro.ucsc.edu/cgi-bin/hgTracks?position=206713_at","UCSC")</f>
        <v>UCSC</v>
      </c>
      <c r="E10601" s="1" t="str">
        <f>HYPERLINK("http://www.ncbi.nlm.nih.gov/gene/?term=NTNG1","NCBI")</f>
        <v>NCBI</v>
      </c>
      <c r="F10601">
        <v>0.24</v>
      </c>
      <c r="G10601">
        <v>0.38</v>
      </c>
      <c r="H10601" s="1" t="str">
        <f>HYPERLINK("http://www.weizmann.ac.il/complex/compphys/software/geview/data/figures/206713_at.png","Figure")</f>
        <v>Figure</v>
      </c>
      <c r="I10601">
        <v>1.1200000000000001</v>
      </c>
      <c r="J10601">
        <v>0.38</v>
      </c>
      <c r="K10601">
        <v>0.98199999999999998</v>
      </c>
      <c r="L10601">
        <v>0.96</v>
      </c>
      <c r="M10601">
        <v>0.879</v>
      </c>
      <c r="N10601">
        <v>0.23</v>
      </c>
    </row>
    <row r="10602" spans="1:14" x14ac:dyDescent="0.25">
      <c r="A10602" t="s">
        <v>18469</v>
      </c>
      <c r="B10602" t="s">
        <v>5804</v>
      </c>
      <c r="C10602" s="1" t="str">
        <f>HYPERLINK("http://www.genecards.org/cgi-bin/carddisp.pl?gene=PSIP1","GeneCards")</f>
        <v>GeneCards</v>
      </c>
      <c r="D10602" s="1" t="str">
        <f>HYPERLINK("http://genome-euro.ucsc.edu/cgi-bin/hgTracks?position=210758_at","UCSC")</f>
        <v>UCSC</v>
      </c>
      <c r="E10602" s="1" t="str">
        <f>HYPERLINK("http://www.ncbi.nlm.nih.gov/gene/?term=PSIP1","NCBI")</f>
        <v>NCBI</v>
      </c>
      <c r="F10602">
        <v>0.24</v>
      </c>
      <c r="G10602">
        <v>0.38</v>
      </c>
      <c r="H10602" s="1" t="str">
        <f>HYPERLINK("http://www.weizmann.ac.il/complex/compphys/software/geview/data/figures/210758_at.png","Figure")</f>
        <v>Figure</v>
      </c>
      <c r="I10602">
        <v>0.94299999999999995</v>
      </c>
      <c r="J10602">
        <v>0.21</v>
      </c>
      <c r="K10602">
        <v>0.97499999999999998</v>
      </c>
      <c r="L10602">
        <v>0.65</v>
      </c>
      <c r="M10602">
        <v>1.03</v>
      </c>
      <c r="N10602">
        <v>0.54</v>
      </c>
    </row>
    <row r="10603" spans="1:14" x14ac:dyDescent="0.25">
      <c r="A10603" t="s">
        <v>18470</v>
      </c>
      <c r="B10603" t="s">
        <v>18471</v>
      </c>
      <c r="C10603" s="1" t="str">
        <f>HYPERLINK("http://www.genecards.org/cgi-bin/carddisp.pl?gene=IFI27","GeneCards")</f>
        <v>GeneCards</v>
      </c>
      <c r="D10603" s="1" t="str">
        <f>HYPERLINK("http://genome-euro.ucsc.edu/cgi-bin/hgTracks?position=202411_at","UCSC")</f>
        <v>UCSC</v>
      </c>
      <c r="E10603" s="1" t="str">
        <f>HYPERLINK("http://www.ncbi.nlm.nih.gov/gene/?term=IFI27","NCBI")</f>
        <v>NCBI</v>
      </c>
      <c r="F10603">
        <v>0.24</v>
      </c>
      <c r="G10603">
        <v>0.38</v>
      </c>
      <c r="H10603" s="1" t="str">
        <f>HYPERLINK("http://www.weizmann.ac.il/complex/compphys/software/geview/data/figures/202411_at.png","Figure")</f>
        <v>Figure</v>
      </c>
      <c r="I10603">
        <v>0.53400000000000003</v>
      </c>
      <c r="J10603">
        <v>0.26</v>
      </c>
      <c r="K10603">
        <v>0.91300000000000003</v>
      </c>
      <c r="L10603">
        <v>0.96</v>
      </c>
      <c r="M10603">
        <v>1.71</v>
      </c>
      <c r="N10603">
        <v>0.31</v>
      </c>
    </row>
    <row r="10604" spans="1:14" x14ac:dyDescent="0.25">
      <c r="A10604" t="s">
        <v>18472</v>
      </c>
      <c r="B10604" t="s">
        <v>15498</v>
      </c>
      <c r="C10604" s="1" t="str">
        <f>HYPERLINK("http://www.genecards.org/cgi-bin/carddisp.pl?gene=TRIM29","GeneCards")</f>
        <v>GeneCards</v>
      </c>
      <c r="D10604" s="1" t="str">
        <f>HYPERLINK("http://genome-euro.ucsc.edu/cgi-bin/hgTracks?position=211001_at","UCSC")</f>
        <v>UCSC</v>
      </c>
      <c r="E10604" s="1" t="str">
        <f>HYPERLINK("http://www.ncbi.nlm.nih.gov/gene/?term=TRIM29","NCBI")</f>
        <v>NCBI</v>
      </c>
      <c r="F10604">
        <v>0.24</v>
      </c>
      <c r="G10604">
        <v>0.38</v>
      </c>
      <c r="H10604" s="1" t="str">
        <f>HYPERLINK("http://www.weizmann.ac.il/complex/compphys/software/geview/data/figures/211001_at.png","Figure")</f>
        <v>Figure</v>
      </c>
      <c r="I10604">
        <v>1.1200000000000001</v>
      </c>
      <c r="J10604">
        <v>0.3</v>
      </c>
      <c r="K10604">
        <v>1</v>
      </c>
      <c r="L10604">
        <v>1</v>
      </c>
      <c r="M10604">
        <v>0.89800000000000002</v>
      </c>
      <c r="N10604">
        <v>0.27</v>
      </c>
    </row>
    <row r="10605" spans="1:14" x14ac:dyDescent="0.25">
      <c r="A10605" t="s">
        <v>18473</v>
      </c>
      <c r="B10605" t="s">
        <v>18474</v>
      </c>
      <c r="C10605" s="1" t="str">
        <f>HYPERLINK("http://www.genecards.org/cgi-bin/carddisp.pl?gene=TTC17","GeneCards")</f>
        <v>GeneCards</v>
      </c>
      <c r="D10605" s="1" t="str">
        <f>HYPERLINK("http://genome-euro.ucsc.edu/cgi-bin/hgTracks?position=218972_at","UCSC")</f>
        <v>UCSC</v>
      </c>
      <c r="E10605" s="1" t="str">
        <f>HYPERLINK("http://www.ncbi.nlm.nih.gov/gene/?term=TTC17","NCBI")</f>
        <v>NCBI</v>
      </c>
      <c r="F10605">
        <v>0.24</v>
      </c>
      <c r="G10605">
        <v>0.38</v>
      </c>
      <c r="H10605" s="1" t="str">
        <f>HYPERLINK("http://www.weizmann.ac.il/complex/compphys/software/geview/data/figures/218972_at.png","Figure")</f>
        <v>Figure</v>
      </c>
      <c r="I10605">
        <v>0.90800000000000003</v>
      </c>
      <c r="J10605">
        <v>0.88</v>
      </c>
      <c r="K10605">
        <v>0.745</v>
      </c>
      <c r="L10605">
        <v>0.23</v>
      </c>
      <c r="M10605">
        <v>0.82</v>
      </c>
      <c r="N10605">
        <v>0.54</v>
      </c>
    </row>
    <row r="10606" spans="1:14" x14ac:dyDescent="0.25">
      <c r="A10606" t="s">
        <v>18475</v>
      </c>
      <c r="B10606" t="s">
        <v>18476</v>
      </c>
      <c r="C10606" s="1" t="str">
        <f>HYPERLINK("http://www.genecards.org/cgi-bin/carddisp.pl?gene=AEN","GeneCards")</f>
        <v>GeneCards</v>
      </c>
      <c r="D10606" s="1" t="str">
        <f>HYPERLINK("http://genome-euro.ucsc.edu/cgi-bin/hgTracks?position=219361_s_at","UCSC")</f>
        <v>UCSC</v>
      </c>
      <c r="E10606" s="1" t="str">
        <f>HYPERLINK("http://www.ncbi.nlm.nih.gov/gene/?term=AEN","NCBI")</f>
        <v>NCBI</v>
      </c>
      <c r="F10606">
        <v>0.24</v>
      </c>
      <c r="G10606">
        <v>0.38</v>
      </c>
      <c r="H10606" s="1" t="str">
        <f>HYPERLINK("http://www.weizmann.ac.il/complex/compphys/software/geview/data/figures/219361_s_at.png","Figure")</f>
        <v>Figure</v>
      </c>
      <c r="I10606">
        <v>1.05</v>
      </c>
      <c r="J10606">
        <v>0.92</v>
      </c>
      <c r="K10606">
        <v>0.878</v>
      </c>
      <c r="L10606">
        <v>0.42</v>
      </c>
      <c r="M10606">
        <v>0.83899999999999997</v>
      </c>
      <c r="N10606">
        <v>0.27</v>
      </c>
    </row>
    <row r="10607" spans="1:14" x14ac:dyDescent="0.25">
      <c r="A10607" t="s">
        <v>18477</v>
      </c>
      <c r="B10607" t="s">
        <v>18478</v>
      </c>
      <c r="C10607" s="1" t="str">
        <f>HYPERLINK("http://www.genecards.org/cgi-bin/carddisp.pl?gene=PLUNC","GeneCards")</f>
        <v>GeneCards</v>
      </c>
      <c r="D10607" s="1" t="str">
        <f>HYPERLINK("http://genome-euro.ucsc.edu/cgi-bin/hgTracks?position=220542_s_at","UCSC")</f>
        <v>UCSC</v>
      </c>
      <c r="E10607" s="1" t="str">
        <f>HYPERLINK("http://www.ncbi.nlm.nih.gov/gene/?term=PLUNC","NCBI")</f>
        <v>NCBI</v>
      </c>
      <c r="F10607">
        <v>0.24</v>
      </c>
      <c r="G10607">
        <v>0.38</v>
      </c>
      <c r="H10607" s="1" t="str">
        <f>HYPERLINK("http://www.weizmann.ac.il/complex/compphys/software/geview/data/figures/220542_s_at.png","Figure")</f>
        <v>Figure</v>
      </c>
      <c r="I10607">
        <v>1.05</v>
      </c>
      <c r="J10607">
        <v>0.89</v>
      </c>
      <c r="K10607">
        <v>0.89500000000000002</v>
      </c>
      <c r="L10607">
        <v>0.44</v>
      </c>
      <c r="M10607">
        <v>0.85499999999999998</v>
      </c>
      <c r="N10607">
        <v>0.26</v>
      </c>
    </row>
    <row r="10608" spans="1:14" x14ac:dyDescent="0.25">
      <c r="A10608" t="s">
        <v>18479</v>
      </c>
      <c r="B10608" t="s">
        <v>18480</v>
      </c>
      <c r="C10608" s="1" t="str">
        <f>HYPERLINK("http://www.genecards.org/cgi-bin/carddisp.pl?gene=FAM134A","GeneCards")</f>
        <v>GeneCards</v>
      </c>
      <c r="D10608" s="1" t="str">
        <f>HYPERLINK("http://genome-euro.ucsc.edu/cgi-bin/hgTracks?position=221983_at","UCSC")</f>
        <v>UCSC</v>
      </c>
      <c r="E10608" s="1" t="str">
        <f>HYPERLINK("http://www.ncbi.nlm.nih.gov/gene/?term=FAM134A","NCBI")</f>
        <v>NCBI</v>
      </c>
      <c r="F10608">
        <v>0.24</v>
      </c>
      <c r="G10608">
        <v>0.38</v>
      </c>
      <c r="H10608" s="1" t="str">
        <f>HYPERLINK("http://www.weizmann.ac.il/complex/compphys/software/geview/data/figures/221983_at.png","Figure")</f>
        <v>Figure</v>
      </c>
      <c r="I10608">
        <v>0.98899999999999999</v>
      </c>
      <c r="J10608">
        <v>0.99</v>
      </c>
      <c r="K10608">
        <v>0.89700000000000002</v>
      </c>
      <c r="L10608">
        <v>0.28000000000000003</v>
      </c>
      <c r="M10608">
        <v>0.90700000000000003</v>
      </c>
      <c r="N10608">
        <v>0.39</v>
      </c>
    </row>
    <row r="10609" spans="1:14" x14ac:dyDescent="0.25">
      <c r="A10609" t="s">
        <v>18481</v>
      </c>
      <c r="B10609" t="s">
        <v>18482</v>
      </c>
      <c r="C10609" s="1" t="str">
        <f>HYPERLINK("http://www.genecards.org/cgi-bin/carddisp.pl?gene=FAM66D","GeneCards")</f>
        <v>GeneCards</v>
      </c>
      <c r="D10609" s="1" t="str">
        <f>HYPERLINK("http://genome-euro.ucsc.edu/cgi-bin/hgTracks?position=222194_at","UCSC")</f>
        <v>UCSC</v>
      </c>
      <c r="E10609" s="1" t="str">
        <f>HYPERLINK("http://www.ncbi.nlm.nih.gov/gene/?term=FAM66D","NCBI")</f>
        <v>NCBI</v>
      </c>
      <c r="F10609">
        <v>0.24</v>
      </c>
      <c r="G10609">
        <v>0.38</v>
      </c>
      <c r="H10609" s="1" t="str">
        <f>HYPERLINK("http://www.weizmann.ac.il/complex/compphys/software/geview/data/figures/222194_at.png","Figure")</f>
        <v>Figure</v>
      </c>
      <c r="I10609">
        <v>1.0900000000000001</v>
      </c>
      <c r="J10609">
        <v>0.38</v>
      </c>
      <c r="K10609">
        <v>0.98599999999999999</v>
      </c>
      <c r="L10609">
        <v>0.96</v>
      </c>
      <c r="M10609">
        <v>0.90600000000000003</v>
      </c>
      <c r="N10609">
        <v>0.23</v>
      </c>
    </row>
    <row r="10610" spans="1:14" x14ac:dyDescent="0.25">
      <c r="A10610" t="s">
        <v>18483</v>
      </c>
      <c r="B10610" t="s">
        <v>12188</v>
      </c>
      <c r="C10610" s="1" t="str">
        <f>HYPERLINK("http://www.genecards.org/cgi-bin/carddisp.pl?gene=KLF6","GeneCards")</f>
        <v>GeneCards</v>
      </c>
      <c r="D10610" s="1" t="str">
        <f>HYPERLINK("http://genome-euro.ucsc.edu/cgi-bin/hgTracks?position=211610_at","UCSC")</f>
        <v>UCSC</v>
      </c>
      <c r="E10610" s="1" t="str">
        <f>HYPERLINK("http://www.ncbi.nlm.nih.gov/gene/?term=KLF6","NCBI")</f>
        <v>NCBI</v>
      </c>
      <c r="F10610">
        <v>0.24</v>
      </c>
      <c r="G10610">
        <v>0.38</v>
      </c>
      <c r="H10610" s="1" t="str">
        <f>HYPERLINK("http://www.weizmann.ac.il/complex/compphys/software/geview/data/figures/211610_at.png","Figure")</f>
        <v>Figure</v>
      </c>
      <c r="I10610">
        <v>1.1499999999999999</v>
      </c>
      <c r="J10610">
        <v>0.5</v>
      </c>
      <c r="K10610">
        <v>1.2</v>
      </c>
      <c r="L10610">
        <v>0.22</v>
      </c>
      <c r="M10610">
        <v>1.05</v>
      </c>
      <c r="N10610">
        <v>0.91</v>
      </c>
    </row>
    <row r="10611" spans="1:14" x14ac:dyDescent="0.25">
      <c r="A10611" t="s">
        <v>18484</v>
      </c>
      <c r="B10611" t="s">
        <v>18485</v>
      </c>
      <c r="C10611" s="1" t="str">
        <f>HYPERLINK("http://www.genecards.org/cgi-bin/carddisp.pl?gene=ATOX1","GeneCards")</f>
        <v>GeneCards</v>
      </c>
      <c r="D10611" s="1" t="str">
        <f>HYPERLINK("http://genome-euro.ucsc.edu/cgi-bin/hgTracks?position=203454_s_at","UCSC")</f>
        <v>UCSC</v>
      </c>
      <c r="E10611" s="1" t="str">
        <f>HYPERLINK("http://www.ncbi.nlm.nih.gov/gene/?term=ATOX1","NCBI")</f>
        <v>NCBI</v>
      </c>
      <c r="F10611">
        <v>0.24</v>
      </c>
      <c r="G10611">
        <v>0.38</v>
      </c>
      <c r="H10611" s="1" t="str">
        <f>HYPERLINK("http://www.weizmann.ac.il/complex/compphys/software/geview/data/figures/203454_s_at.png","Figure")</f>
        <v>Figure</v>
      </c>
      <c r="I10611">
        <v>0.98899999999999999</v>
      </c>
      <c r="J10611">
        <v>1</v>
      </c>
      <c r="K10611">
        <v>1.19</v>
      </c>
      <c r="L10611">
        <v>0.33</v>
      </c>
      <c r="M10611">
        <v>1.2</v>
      </c>
      <c r="N10611">
        <v>0.33</v>
      </c>
    </row>
    <row r="10612" spans="1:14" x14ac:dyDescent="0.25">
      <c r="A10612" t="s">
        <v>18486</v>
      </c>
      <c r="B10612" t="s">
        <v>3180</v>
      </c>
      <c r="C10612" s="1" t="str">
        <f>HYPERLINK("http://www.genecards.org/cgi-bin/carddisp.pl?gene=ISCA1","GeneCards")</f>
        <v>GeneCards</v>
      </c>
      <c r="D10612" s="1" t="str">
        <f>HYPERLINK("http://genome-euro.ucsc.edu/cgi-bin/hgTracks?position=209273_s_at","UCSC")</f>
        <v>UCSC</v>
      </c>
      <c r="E10612" s="1" t="str">
        <f>HYPERLINK("http://www.ncbi.nlm.nih.gov/gene/?term=ISCA1","NCBI")</f>
        <v>NCBI</v>
      </c>
      <c r="F10612">
        <v>0.24</v>
      </c>
      <c r="G10612">
        <v>0.38</v>
      </c>
      <c r="H10612" s="1" t="str">
        <f>HYPERLINK("http://www.weizmann.ac.il/complex/compphys/software/geview/data/figures/209273_s_at.png","Figure")</f>
        <v>Figure</v>
      </c>
      <c r="I10612">
        <v>0.77800000000000002</v>
      </c>
      <c r="J10612">
        <v>0.48</v>
      </c>
      <c r="K10612">
        <v>0.72399999999999998</v>
      </c>
      <c r="L10612">
        <v>0.22</v>
      </c>
      <c r="M10612">
        <v>0.93200000000000005</v>
      </c>
      <c r="N10612">
        <v>0.93</v>
      </c>
    </row>
    <row r="10613" spans="1:14" x14ac:dyDescent="0.25">
      <c r="A10613" t="s">
        <v>18487</v>
      </c>
      <c r="B10613" t="s">
        <v>17121</v>
      </c>
      <c r="C10613" s="1" t="str">
        <f>HYPERLINK("http://www.genecards.org/cgi-bin/carddisp.pl?gene=FASLG","GeneCards")</f>
        <v>GeneCards</v>
      </c>
      <c r="D10613" s="1" t="str">
        <f>HYPERLINK("http://genome-euro.ucsc.edu/cgi-bin/hgTracks?position=210865_at","UCSC")</f>
        <v>UCSC</v>
      </c>
      <c r="E10613" s="1" t="str">
        <f>HYPERLINK("http://www.ncbi.nlm.nih.gov/gene/?term=FASLG","NCBI")</f>
        <v>NCBI</v>
      </c>
      <c r="F10613">
        <v>0.24</v>
      </c>
      <c r="G10613">
        <v>0.38</v>
      </c>
      <c r="H10613" s="1" t="str">
        <f>HYPERLINK("http://www.weizmann.ac.il/complex/compphys/software/geview/data/figures/210865_at.png","Figure")</f>
        <v>Figure</v>
      </c>
      <c r="I10613">
        <v>1.1499999999999999</v>
      </c>
      <c r="J10613">
        <v>0.22</v>
      </c>
      <c r="K10613">
        <v>1.05</v>
      </c>
      <c r="L10613">
        <v>0.81</v>
      </c>
      <c r="M10613">
        <v>0.90600000000000003</v>
      </c>
      <c r="N10613">
        <v>0.42</v>
      </c>
    </row>
    <row r="10614" spans="1:14" x14ac:dyDescent="0.25">
      <c r="A10614" t="s">
        <v>18488</v>
      </c>
      <c r="B10614" t="s">
        <v>5736</v>
      </c>
      <c r="C10614" s="1" t="str">
        <f>HYPERLINK("http://www.genecards.org/cgi-bin/carddisp.pl?gene=SLC35E1","GeneCards")</f>
        <v>GeneCards</v>
      </c>
      <c r="D10614" s="1" t="str">
        <f>HYPERLINK("http://genome-euro.ucsc.edu/cgi-bin/hgTracks?position=220796_x_at","UCSC")</f>
        <v>UCSC</v>
      </c>
      <c r="E10614" s="1" t="str">
        <f>HYPERLINK("http://www.ncbi.nlm.nih.gov/gene/?term=SLC35E1","NCBI")</f>
        <v>NCBI</v>
      </c>
      <c r="F10614">
        <v>0.24</v>
      </c>
      <c r="G10614">
        <v>0.38</v>
      </c>
      <c r="H10614" s="1" t="str">
        <f>HYPERLINK("http://www.weizmann.ac.il/complex/compphys/software/geview/data/figures/220796_x_at.png","Figure")</f>
        <v>Figure</v>
      </c>
      <c r="I10614">
        <v>1.18</v>
      </c>
      <c r="J10614">
        <v>0.83</v>
      </c>
      <c r="K10614">
        <v>0.75</v>
      </c>
      <c r="L10614">
        <v>0.5</v>
      </c>
      <c r="M10614">
        <v>0.63500000000000001</v>
      </c>
      <c r="N10614">
        <v>0.24</v>
      </c>
    </row>
    <row r="10615" spans="1:14" x14ac:dyDescent="0.25">
      <c r="A10615" t="s">
        <v>18489</v>
      </c>
      <c r="B10615" t="s">
        <v>14849</v>
      </c>
      <c r="C10615" s="1" t="str">
        <f>HYPERLINK("http://www.genecards.org/cgi-bin/carddisp.pl?gene=WTAP","GeneCards")</f>
        <v>GeneCards</v>
      </c>
      <c r="D10615" s="1" t="str">
        <f>HYPERLINK("http://genome-euro.ucsc.edu/cgi-bin/hgTracks?position=214759_at","UCSC")</f>
        <v>UCSC</v>
      </c>
      <c r="E10615" s="1" t="str">
        <f>HYPERLINK("http://www.ncbi.nlm.nih.gov/gene/?term=WTAP","NCBI")</f>
        <v>NCBI</v>
      </c>
      <c r="F10615">
        <v>0.24</v>
      </c>
      <c r="G10615">
        <v>0.38</v>
      </c>
      <c r="H10615" s="1" t="str">
        <f>HYPERLINK("http://www.weizmann.ac.il/complex/compphys/software/geview/data/figures/214759_at.png","Figure")</f>
        <v>Figure</v>
      </c>
      <c r="I10615">
        <v>0.998</v>
      </c>
      <c r="J10615">
        <v>0.99</v>
      </c>
      <c r="K10615">
        <v>0.97599999999999998</v>
      </c>
      <c r="L10615">
        <v>0.28999999999999998</v>
      </c>
      <c r="M10615">
        <v>0.97699999999999998</v>
      </c>
      <c r="N10615">
        <v>0.38</v>
      </c>
    </row>
    <row r="10616" spans="1:14" x14ac:dyDescent="0.25">
      <c r="A10616" t="s">
        <v>18490</v>
      </c>
      <c r="B10616" t="s">
        <v>12782</v>
      </c>
      <c r="C10616" s="1" t="str">
        <f>HYPERLINK("http://www.genecards.org/cgi-bin/carddisp.pl?gene=ESR1","GeneCards")</f>
        <v>GeneCards</v>
      </c>
      <c r="D10616" s="1" t="str">
        <f>HYPERLINK("http://genome-euro.ucsc.edu/cgi-bin/hgTracks?position=211234_x_at","UCSC")</f>
        <v>UCSC</v>
      </c>
      <c r="E10616" s="1" t="str">
        <f>HYPERLINK("http://www.ncbi.nlm.nih.gov/gene/?term=ESR1","NCBI")</f>
        <v>NCBI</v>
      </c>
      <c r="F10616">
        <v>0.24</v>
      </c>
      <c r="G10616">
        <v>0.38</v>
      </c>
      <c r="H10616" s="1" t="str">
        <f>HYPERLINK("http://www.weizmann.ac.il/complex/compphys/software/geview/data/figures/211234_x_at.png","Figure")</f>
        <v>Figure</v>
      </c>
      <c r="I10616">
        <v>1.1000000000000001</v>
      </c>
      <c r="J10616">
        <v>0.22</v>
      </c>
      <c r="K10616">
        <v>1.05</v>
      </c>
      <c r="L10616">
        <v>0.56000000000000005</v>
      </c>
      <c r="M10616">
        <v>0.95599999999999996</v>
      </c>
      <c r="N10616">
        <v>0.64</v>
      </c>
    </row>
    <row r="10617" spans="1:14" x14ac:dyDescent="0.25">
      <c r="A10617" t="s">
        <v>18491</v>
      </c>
      <c r="B10617" t="s">
        <v>13700</v>
      </c>
      <c r="C10617" s="1" t="str">
        <f>HYPERLINK("http://www.genecards.org/cgi-bin/carddisp.pl?gene=PKD1","GeneCards")</f>
        <v>GeneCards</v>
      </c>
      <c r="D10617" s="1" t="str">
        <f>HYPERLINK("http://genome-euro.ucsc.edu/cgi-bin/hgTracks?position=202327_s_at","UCSC")</f>
        <v>UCSC</v>
      </c>
      <c r="E10617" s="1" t="str">
        <f>HYPERLINK("http://www.ncbi.nlm.nih.gov/gene/?term=PKD1","NCBI")</f>
        <v>NCBI</v>
      </c>
      <c r="F10617">
        <v>0.24</v>
      </c>
      <c r="G10617">
        <v>0.38</v>
      </c>
      <c r="H10617" s="1" t="str">
        <f>HYPERLINK("http://www.weizmann.ac.il/complex/compphys/software/geview/data/figures/202327_s_at.png","Figure")</f>
        <v>Figure</v>
      </c>
      <c r="I10617">
        <v>1.1499999999999999</v>
      </c>
      <c r="J10617">
        <v>0.22</v>
      </c>
      <c r="K10617">
        <v>1.08</v>
      </c>
      <c r="L10617">
        <v>0.51</v>
      </c>
      <c r="M10617">
        <v>0.94</v>
      </c>
      <c r="N10617">
        <v>0.7</v>
      </c>
    </row>
    <row r="10618" spans="1:14" x14ac:dyDescent="0.25">
      <c r="A10618" t="s">
        <v>18492</v>
      </c>
      <c r="B10618" t="s">
        <v>18493</v>
      </c>
      <c r="C10618" s="1" t="str">
        <f>HYPERLINK("http://www.genecards.org/cgi-bin/carddisp.pl?gene=TGFB1I1","GeneCards")</f>
        <v>GeneCards</v>
      </c>
      <c r="D10618" s="1" t="str">
        <f>HYPERLINK("http://genome-euro.ucsc.edu/cgi-bin/hgTracks?position=209651_at","UCSC")</f>
        <v>UCSC</v>
      </c>
      <c r="E10618" s="1" t="str">
        <f>HYPERLINK("http://www.ncbi.nlm.nih.gov/gene/?term=TGFB1I1","NCBI")</f>
        <v>NCBI</v>
      </c>
      <c r="F10618">
        <v>0.24</v>
      </c>
      <c r="G10618">
        <v>0.38</v>
      </c>
      <c r="H10618" s="1" t="str">
        <f>HYPERLINK("http://www.weizmann.ac.il/complex/compphys/software/geview/data/figures/209651_at.png","Figure")</f>
        <v>Figure</v>
      </c>
      <c r="I10618">
        <v>0.88800000000000001</v>
      </c>
      <c r="J10618">
        <v>0.91</v>
      </c>
      <c r="K10618">
        <v>0.65600000000000003</v>
      </c>
      <c r="L10618">
        <v>0.24</v>
      </c>
      <c r="M10618">
        <v>0.73899999999999999</v>
      </c>
      <c r="N10618">
        <v>0.51</v>
      </c>
    </row>
    <row r="10619" spans="1:14" x14ac:dyDescent="0.25">
      <c r="A10619" t="s">
        <v>18494</v>
      </c>
      <c r="B10619" t="s">
        <v>8453</v>
      </c>
      <c r="C10619" s="1" t="str">
        <f>HYPERLINK("http://www.genecards.org/cgi-bin/carddisp.pl?gene=DEDD","GeneCards")</f>
        <v>GeneCards</v>
      </c>
      <c r="D10619" s="1" t="str">
        <f>HYPERLINK("http://genome-euro.ucsc.edu/cgi-bin/hgTracks?position=215158_s_at","UCSC")</f>
        <v>UCSC</v>
      </c>
      <c r="E10619" s="1" t="str">
        <f>HYPERLINK("http://www.ncbi.nlm.nih.gov/gene/?term=DEDD","NCBI")</f>
        <v>NCBI</v>
      </c>
      <c r="F10619">
        <v>0.24</v>
      </c>
      <c r="G10619">
        <v>0.38</v>
      </c>
      <c r="H10619" s="1" t="str">
        <f>HYPERLINK("http://www.weizmann.ac.il/complex/compphys/software/geview/data/figures/215158_s_at.png","Figure")</f>
        <v>Figure</v>
      </c>
      <c r="I10619">
        <v>1.1200000000000001</v>
      </c>
      <c r="J10619">
        <v>0.53</v>
      </c>
      <c r="K10619">
        <v>0.94399999999999995</v>
      </c>
      <c r="L10619">
        <v>0.8</v>
      </c>
      <c r="M10619">
        <v>0.84399999999999997</v>
      </c>
      <c r="N10619">
        <v>0.21</v>
      </c>
    </row>
    <row r="10620" spans="1:14" x14ac:dyDescent="0.25">
      <c r="A10620" t="s">
        <v>18495</v>
      </c>
      <c r="B10620" t="s">
        <v>18496</v>
      </c>
      <c r="C10620" s="1" t="str">
        <f>HYPERLINK("http://www.genecards.org/cgi-bin/carddisp.pl?gene=GPR183","GeneCards")</f>
        <v>GeneCards</v>
      </c>
      <c r="D10620" s="1" t="str">
        <f>HYPERLINK("http://genome-euro.ucsc.edu/cgi-bin/hgTracks?position=205419_at","UCSC")</f>
        <v>UCSC</v>
      </c>
      <c r="E10620" s="1" t="str">
        <f>HYPERLINK("http://www.ncbi.nlm.nih.gov/gene/?term=GPR183","NCBI")</f>
        <v>NCBI</v>
      </c>
      <c r="F10620">
        <v>0.24</v>
      </c>
      <c r="G10620">
        <v>0.38</v>
      </c>
      <c r="H10620" s="1" t="str">
        <f>HYPERLINK("http://www.weizmann.ac.il/complex/compphys/software/geview/data/figures/205419_at.png","Figure")</f>
        <v>Figure</v>
      </c>
      <c r="I10620">
        <v>0.77400000000000002</v>
      </c>
      <c r="J10620">
        <v>0.3</v>
      </c>
      <c r="K10620">
        <v>0.996</v>
      </c>
      <c r="L10620">
        <v>1</v>
      </c>
      <c r="M10620">
        <v>1.29</v>
      </c>
      <c r="N10620">
        <v>0.27</v>
      </c>
    </row>
    <row r="10621" spans="1:14" x14ac:dyDescent="0.25">
      <c r="A10621" t="s">
        <v>18497</v>
      </c>
      <c r="B10621" t="s">
        <v>18498</v>
      </c>
      <c r="C10621" s="1" t="str">
        <f>HYPERLINK("http://www.genecards.org/cgi-bin/carddisp.pl?gene=RPLP0 /// RPLP0P6","GeneCards")</f>
        <v>GeneCards</v>
      </c>
      <c r="D10621" s="1" t="str">
        <f>HYPERLINK("http://genome-euro.ucsc.edu/cgi-bin/hgTracks?position=214167_s_at","UCSC")</f>
        <v>UCSC</v>
      </c>
      <c r="E10621" s="1" t="str">
        <f>HYPERLINK("http://www.ncbi.nlm.nih.gov/gene/?term=RPLP0 /// RPLP0P6","NCBI")</f>
        <v>NCBI</v>
      </c>
      <c r="F10621">
        <v>0.24</v>
      </c>
      <c r="G10621">
        <v>0.38</v>
      </c>
      <c r="H10621" s="1" t="str">
        <f>HYPERLINK("http://www.weizmann.ac.il/complex/compphys/software/geview/data/figures/214167_s_at.png","Figure")</f>
        <v>Figure</v>
      </c>
      <c r="I10621">
        <v>1.05</v>
      </c>
      <c r="J10621">
        <v>0.98</v>
      </c>
      <c r="K10621">
        <v>1.47</v>
      </c>
      <c r="L10621">
        <v>0.27</v>
      </c>
      <c r="M10621">
        <v>1.4</v>
      </c>
      <c r="N10621">
        <v>0.41</v>
      </c>
    </row>
    <row r="10622" spans="1:14" x14ac:dyDescent="0.25">
      <c r="A10622" t="s">
        <v>18499</v>
      </c>
      <c r="B10622" t="s">
        <v>10550</v>
      </c>
      <c r="C10622" s="1" t="str">
        <f>HYPERLINK("http://www.genecards.org/cgi-bin/carddisp.pl?gene=ACACA","GeneCards")</f>
        <v>GeneCards</v>
      </c>
      <c r="D10622" s="1" t="str">
        <f>HYPERLINK("http://genome-euro.ucsc.edu/cgi-bin/hgTracks?position=214358_at","UCSC")</f>
        <v>UCSC</v>
      </c>
      <c r="E10622" s="1" t="str">
        <f>HYPERLINK("http://www.ncbi.nlm.nih.gov/gene/?term=ACACA","NCBI")</f>
        <v>NCBI</v>
      </c>
      <c r="F10622">
        <v>0.24</v>
      </c>
      <c r="G10622">
        <v>0.38</v>
      </c>
      <c r="H10622" s="1" t="str">
        <f>HYPERLINK("http://www.weizmann.ac.il/complex/compphys/software/geview/data/figures/214358_at.png","Figure")</f>
        <v>Figure</v>
      </c>
      <c r="I10622">
        <v>1.1200000000000001</v>
      </c>
      <c r="J10622">
        <v>0.23</v>
      </c>
      <c r="K10622">
        <v>1.07</v>
      </c>
      <c r="L10622">
        <v>0.46</v>
      </c>
      <c r="M10622">
        <v>0.95699999999999996</v>
      </c>
      <c r="N10622">
        <v>0.76</v>
      </c>
    </row>
    <row r="10623" spans="1:14" x14ac:dyDescent="0.25">
      <c r="A10623" t="s">
        <v>18500</v>
      </c>
      <c r="B10623" t="s">
        <v>18116</v>
      </c>
      <c r="C10623" s="1" t="str">
        <f>HYPERLINK("http://www.genecards.org/cgi-bin/carddisp.pl?gene=STAM2","GeneCards")</f>
        <v>GeneCards</v>
      </c>
      <c r="D10623" s="1" t="str">
        <f>HYPERLINK("http://genome-euro.ucsc.edu/cgi-bin/hgTracks?position=215044_s_at","UCSC")</f>
        <v>UCSC</v>
      </c>
      <c r="E10623" s="1" t="str">
        <f>HYPERLINK("http://www.ncbi.nlm.nih.gov/gene/?term=STAM2","NCBI")</f>
        <v>NCBI</v>
      </c>
      <c r="F10623">
        <v>0.24</v>
      </c>
      <c r="G10623">
        <v>0.38</v>
      </c>
      <c r="H10623" s="1" t="str">
        <f>HYPERLINK("http://www.weizmann.ac.il/complex/compphys/software/geview/data/figures/215044_s_at.png","Figure")</f>
        <v>Figure</v>
      </c>
      <c r="I10623">
        <v>1.1000000000000001</v>
      </c>
      <c r="J10623">
        <v>0.27</v>
      </c>
      <c r="K10623">
        <v>1.08</v>
      </c>
      <c r="L10623">
        <v>0.34</v>
      </c>
      <c r="M10623">
        <v>0.97799999999999998</v>
      </c>
      <c r="N10623">
        <v>0.92</v>
      </c>
    </row>
    <row r="10624" spans="1:14" x14ac:dyDescent="0.25">
      <c r="A10624" t="s">
        <v>18501</v>
      </c>
      <c r="B10624" t="s">
        <v>7978</v>
      </c>
      <c r="C10624" s="1" t="str">
        <f>HYPERLINK("http://www.genecards.org/cgi-bin/carddisp.pl?gene=KLK13","GeneCards")</f>
        <v>GeneCards</v>
      </c>
      <c r="D10624" s="1" t="str">
        <f>HYPERLINK("http://genome-euro.ucsc.edu/cgi-bin/hgTracks?position=217315_s_at","UCSC")</f>
        <v>UCSC</v>
      </c>
      <c r="E10624" s="1" t="str">
        <f>HYPERLINK("http://www.ncbi.nlm.nih.gov/gene/?term=KLK13","NCBI")</f>
        <v>NCBI</v>
      </c>
      <c r="F10624">
        <v>0.24</v>
      </c>
      <c r="G10624">
        <v>0.38</v>
      </c>
      <c r="H10624" s="1" t="str">
        <f>HYPERLINK("http://www.weizmann.ac.il/complex/compphys/software/geview/data/figures/217315_s_at.png","Figure")</f>
        <v>Figure</v>
      </c>
      <c r="I10624">
        <v>1.1399999999999999</v>
      </c>
      <c r="J10624">
        <v>0.33</v>
      </c>
      <c r="K10624">
        <v>1.1299999999999999</v>
      </c>
      <c r="L10624">
        <v>0.27</v>
      </c>
      <c r="M10624">
        <v>0.99399999999999999</v>
      </c>
      <c r="N10624">
        <v>1</v>
      </c>
    </row>
    <row r="10625" spans="1:14" x14ac:dyDescent="0.25">
      <c r="A10625" t="s">
        <v>18502</v>
      </c>
      <c r="B10625" t="s">
        <v>12479</v>
      </c>
      <c r="C10625" s="1" t="str">
        <f>HYPERLINK("http://www.genecards.org/cgi-bin/carddisp.pl?gene=MDM2","GeneCards")</f>
        <v>GeneCards</v>
      </c>
      <c r="D10625" s="1" t="str">
        <f>HYPERLINK("http://genome-euro.ucsc.edu/cgi-bin/hgTracks?position=211832_s_at","UCSC")</f>
        <v>UCSC</v>
      </c>
      <c r="E10625" s="1" t="str">
        <f>HYPERLINK("http://www.ncbi.nlm.nih.gov/gene/?term=MDM2","NCBI")</f>
        <v>NCBI</v>
      </c>
      <c r="F10625">
        <v>0.24</v>
      </c>
      <c r="G10625">
        <v>0.38</v>
      </c>
      <c r="H10625" s="1" t="str">
        <f>HYPERLINK("http://www.weizmann.ac.il/complex/compphys/software/geview/data/figures/211832_s_at.png","Figure")</f>
        <v>Figure</v>
      </c>
      <c r="I10625">
        <v>1.03</v>
      </c>
      <c r="J10625">
        <v>0.94</v>
      </c>
      <c r="K10625">
        <v>0.91700000000000004</v>
      </c>
      <c r="L10625">
        <v>0.4</v>
      </c>
      <c r="M10625">
        <v>0.89400000000000002</v>
      </c>
      <c r="N10625">
        <v>0.28000000000000003</v>
      </c>
    </row>
    <row r="10626" spans="1:14" x14ac:dyDescent="0.25">
      <c r="A10626" t="s">
        <v>18503</v>
      </c>
      <c r="B10626" t="s">
        <v>12071</v>
      </c>
      <c r="C10626" s="1" t="str">
        <f>HYPERLINK("http://www.genecards.org/cgi-bin/carddisp.pl?gene=CTBP1","GeneCards")</f>
        <v>GeneCards</v>
      </c>
      <c r="D10626" s="1" t="str">
        <f>HYPERLINK("http://genome-euro.ucsc.edu/cgi-bin/hgTracks?position=212863_x_at","UCSC")</f>
        <v>UCSC</v>
      </c>
      <c r="E10626" s="1" t="str">
        <f>HYPERLINK("http://www.ncbi.nlm.nih.gov/gene/?term=CTBP1","NCBI")</f>
        <v>NCBI</v>
      </c>
      <c r="F10626">
        <v>0.24</v>
      </c>
      <c r="G10626">
        <v>0.38</v>
      </c>
      <c r="H10626" s="1" t="str">
        <f>HYPERLINK("http://www.weizmann.ac.il/complex/compphys/software/geview/data/figures/212863_x_at.png","Figure")</f>
        <v>Figure</v>
      </c>
      <c r="I10626">
        <v>0.999</v>
      </c>
      <c r="J10626">
        <v>1</v>
      </c>
      <c r="K10626">
        <v>1.37</v>
      </c>
      <c r="L10626">
        <v>0.31</v>
      </c>
      <c r="M10626">
        <v>1.37</v>
      </c>
      <c r="N10626">
        <v>0.35</v>
      </c>
    </row>
    <row r="10627" spans="1:14" x14ac:dyDescent="0.25">
      <c r="A10627" t="s">
        <v>18504</v>
      </c>
      <c r="B10627" t="s">
        <v>13538</v>
      </c>
      <c r="C10627" s="1" t="str">
        <f>HYPERLINK("http://www.genecards.org/cgi-bin/carddisp.pl?gene=SLC4A4","GeneCards")</f>
        <v>GeneCards</v>
      </c>
      <c r="D10627" s="1" t="str">
        <f>HYPERLINK("http://genome-euro.ucsc.edu/cgi-bin/hgTracks?position=210739_x_at","UCSC")</f>
        <v>UCSC</v>
      </c>
      <c r="E10627" s="1" t="str">
        <f>HYPERLINK("http://www.ncbi.nlm.nih.gov/gene/?term=SLC4A4","NCBI")</f>
        <v>NCBI</v>
      </c>
      <c r="F10627">
        <v>0.24</v>
      </c>
      <c r="G10627">
        <v>0.38</v>
      </c>
      <c r="H10627" s="1" t="str">
        <f>HYPERLINK("http://www.weizmann.ac.il/complex/compphys/software/geview/data/figures/210739_x_at.png","Figure")</f>
        <v>Figure</v>
      </c>
      <c r="I10627">
        <v>1.07</v>
      </c>
      <c r="J10627">
        <v>0.77</v>
      </c>
      <c r="K10627">
        <v>0.91800000000000004</v>
      </c>
      <c r="L10627">
        <v>0.56000000000000005</v>
      </c>
      <c r="M10627">
        <v>0.86</v>
      </c>
      <c r="N10627">
        <v>0.23</v>
      </c>
    </row>
    <row r="10628" spans="1:14" x14ac:dyDescent="0.25">
      <c r="A10628" t="s">
        <v>18505</v>
      </c>
      <c r="B10628" t="s">
        <v>18506</v>
      </c>
      <c r="C10628" s="1" t="str">
        <f>HYPERLINK("http://www.genecards.org/cgi-bin/carddisp.pl?gene=HEXIM1","GeneCards")</f>
        <v>GeneCards</v>
      </c>
      <c r="D10628" s="1" t="str">
        <f>HYPERLINK("http://genome-euro.ucsc.edu/cgi-bin/hgTracks?position=202814_s_at","UCSC")</f>
        <v>UCSC</v>
      </c>
      <c r="E10628" s="1" t="str">
        <f>HYPERLINK("http://www.ncbi.nlm.nih.gov/gene/?term=HEXIM1","NCBI")</f>
        <v>NCBI</v>
      </c>
      <c r="F10628">
        <v>0.24</v>
      </c>
      <c r="G10628">
        <v>0.39</v>
      </c>
      <c r="H10628" s="1" t="str">
        <f>HYPERLINK("http://www.weizmann.ac.il/complex/compphys/software/geview/data/figures/202814_s_at.png","Figure")</f>
        <v>Figure</v>
      </c>
      <c r="I10628">
        <v>0.64700000000000002</v>
      </c>
      <c r="J10628">
        <v>0.25</v>
      </c>
      <c r="K10628">
        <v>0.73099999999999998</v>
      </c>
      <c r="L10628">
        <v>0.38</v>
      </c>
      <c r="M10628">
        <v>1.1299999999999999</v>
      </c>
      <c r="N10628">
        <v>0.87</v>
      </c>
    </row>
    <row r="10629" spans="1:14" x14ac:dyDescent="0.25">
      <c r="A10629" t="s">
        <v>18507</v>
      </c>
      <c r="B10629" t="s">
        <v>18508</v>
      </c>
      <c r="C10629" s="1" t="str">
        <f>HYPERLINK("http://www.genecards.org/cgi-bin/carddisp.pl?gene=PNPLA3","GeneCards")</f>
        <v>GeneCards</v>
      </c>
      <c r="D10629" s="1" t="str">
        <f>HYPERLINK("http://genome-euro.ucsc.edu/cgi-bin/hgTracks?position=220675_s_at","UCSC")</f>
        <v>UCSC</v>
      </c>
      <c r="E10629" s="1" t="str">
        <f>HYPERLINK("http://www.ncbi.nlm.nih.gov/gene/?term=PNPLA3","NCBI")</f>
        <v>NCBI</v>
      </c>
      <c r="F10629">
        <v>0.24</v>
      </c>
      <c r="G10629">
        <v>0.39</v>
      </c>
      <c r="H10629" s="1" t="str">
        <f>HYPERLINK("http://www.weizmann.ac.il/complex/compphys/software/geview/data/figures/220675_s_at.png","Figure")</f>
        <v>Figure</v>
      </c>
      <c r="I10629">
        <v>1.08</v>
      </c>
      <c r="J10629">
        <v>0.36</v>
      </c>
      <c r="K10629">
        <v>0.99</v>
      </c>
      <c r="L10629">
        <v>0.98</v>
      </c>
      <c r="M10629">
        <v>0.91900000000000004</v>
      </c>
      <c r="N10629">
        <v>0.24</v>
      </c>
    </row>
    <row r="10630" spans="1:14" x14ac:dyDescent="0.25">
      <c r="A10630" t="s">
        <v>18509</v>
      </c>
      <c r="B10630" t="s">
        <v>18510</v>
      </c>
      <c r="C10630" s="1" t="str">
        <f>HYPERLINK("http://www.genecards.org/cgi-bin/carddisp.pl?gene=PNLIPRP1","GeneCards")</f>
        <v>GeneCards</v>
      </c>
      <c r="D10630" s="1" t="str">
        <f>HYPERLINK("http://genome-euro.ucsc.edu/cgi-bin/hgTracks?position=206694_at","UCSC")</f>
        <v>UCSC</v>
      </c>
      <c r="E10630" s="1" t="str">
        <f>HYPERLINK("http://www.ncbi.nlm.nih.gov/gene/?term=PNLIPRP1","NCBI")</f>
        <v>NCBI</v>
      </c>
      <c r="F10630">
        <v>0.24</v>
      </c>
      <c r="G10630">
        <v>0.39</v>
      </c>
      <c r="H10630" s="1" t="str">
        <f>HYPERLINK("http://www.weizmann.ac.il/complex/compphys/software/geview/data/figures/206694_at.png","Figure")</f>
        <v>Figure</v>
      </c>
      <c r="I10630">
        <v>1.1299999999999999</v>
      </c>
      <c r="J10630">
        <v>0.28000000000000003</v>
      </c>
      <c r="K10630">
        <v>1.1000000000000001</v>
      </c>
      <c r="L10630">
        <v>0.33</v>
      </c>
      <c r="M10630">
        <v>0.97599999999999998</v>
      </c>
      <c r="N10630">
        <v>0.94</v>
      </c>
    </row>
    <row r="10631" spans="1:14" x14ac:dyDescent="0.25">
      <c r="A10631" t="s">
        <v>18511</v>
      </c>
      <c r="B10631" t="s">
        <v>8704</v>
      </c>
      <c r="C10631" s="1" t="str">
        <f>HYPERLINK("http://www.genecards.org/cgi-bin/carddisp.pl?gene=SAA1 /// SAA2","GeneCards")</f>
        <v>GeneCards</v>
      </c>
      <c r="D10631" s="1" t="str">
        <f>HYPERLINK("http://genome-euro.ucsc.edu/cgi-bin/hgTracks?position=214456_x_at","UCSC")</f>
        <v>UCSC</v>
      </c>
      <c r="E10631" s="1" t="str">
        <f>HYPERLINK("http://www.ncbi.nlm.nih.gov/gene/?term=SAA1 /// SAA2","NCBI")</f>
        <v>NCBI</v>
      </c>
      <c r="F10631">
        <v>0.24</v>
      </c>
      <c r="G10631">
        <v>0.39</v>
      </c>
      <c r="H10631" s="1" t="str">
        <f>HYPERLINK("http://www.weizmann.ac.il/complex/compphys/software/geview/data/figures/214456_x_at.png","Figure")</f>
        <v>Figure</v>
      </c>
      <c r="I10631">
        <v>1.1200000000000001</v>
      </c>
      <c r="J10631">
        <v>0.22</v>
      </c>
      <c r="K10631">
        <v>1.04</v>
      </c>
      <c r="L10631">
        <v>0.73</v>
      </c>
      <c r="M10631">
        <v>0.93400000000000005</v>
      </c>
      <c r="N10631">
        <v>0.49</v>
      </c>
    </row>
    <row r="10632" spans="1:14" x14ac:dyDescent="0.25">
      <c r="A10632" t="s">
        <v>18512</v>
      </c>
      <c r="B10632" t="s">
        <v>16724</v>
      </c>
      <c r="C10632" s="1" t="str">
        <f>HYPERLINK("http://www.genecards.org/cgi-bin/carddisp.pl?gene=SIRT3","GeneCards")</f>
        <v>GeneCards</v>
      </c>
      <c r="D10632" s="1" t="str">
        <f>HYPERLINK("http://genome-euro.ucsc.edu/cgi-bin/hgTracks?position=221913_at","UCSC")</f>
        <v>UCSC</v>
      </c>
      <c r="E10632" s="1" t="str">
        <f>HYPERLINK("http://www.ncbi.nlm.nih.gov/gene/?term=SIRT3","NCBI")</f>
        <v>NCBI</v>
      </c>
      <c r="F10632">
        <v>0.24</v>
      </c>
      <c r="G10632">
        <v>0.39</v>
      </c>
      <c r="H10632" s="1" t="str">
        <f>HYPERLINK("http://www.weizmann.ac.il/complex/compphys/software/geview/data/figures/221913_at.png","Figure")</f>
        <v>Figure</v>
      </c>
      <c r="I10632">
        <v>0.87</v>
      </c>
      <c r="J10632">
        <v>0.21</v>
      </c>
      <c r="K10632">
        <v>0.93899999999999995</v>
      </c>
      <c r="L10632">
        <v>0.64</v>
      </c>
      <c r="M10632">
        <v>1.08</v>
      </c>
      <c r="N10632">
        <v>0.56000000000000005</v>
      </c>
    </row>
    <row r="10633" spans="1:14" x14ac:dyDescent="0.25">
      <c r="A10633" t="s">
        <v>18513</v>
      </c>
      <c r="B10633" t="s">
        <v>6282</v>
      </c>
      <c r="C10633" s="1" t="str">
        <f>HYPERLINK("http://www.genecards.org/cgi-bin/carddisp.pl?gene=EPS8L1","GeneCards")</f>
        <v>GeneCards</v>
      </c>
      <c r="D10633" s="1" t="str">
        <f>HYPERLINK("http://genome-euro.ucsc.edu/cgi-bin/hgTracks?position=218779_x_at","UCSC")</f>
        <v>UCSC</v>
      </c>
      <c r="E10633" s="1" t="str">
        <f>HYPERLINK("http://www.ncbi.nlm.nih.gov/gene/?term=EPS8L1","NCBI")</f>
        <v>NCBI</v>
      </c>
      <c r="F10633">
        <v>0.24</v>
      </c>
      <c r="G10633">
        <v>0.39</v>
      </c>
      <c r="H10633" s="1" t="str">
        <f>HYPERLINK("http://www.weizmann.ac.il/complex/compphys/software/geview/data/figures/218779_x_at.png","Figure")</f>
        <v>Figure</v>
      </c>
      <c r="I10633">
        <v>1.1399999999999999</v>
      </c>
      <c r="J10633">
        <v>0.21</v>
      </c>
      <c r="K10633">
        <v>1.06</v>
      </c>
      <c r="L10633">
        <v>0.59</v>
      </c>
      <c r="M10633">
        <v>0.93600000000000005</v>
      </c>
      <c r="N10633">
        <v>0.6</v>
      </c>
    </row>
    <row r="10634" spans="1:14" x14ac:dyDescent="0.25">
      <c r="A10634" t="s">
        <v>18514</v>
      </c>
      <c r="B10634" t="s">
        <v>13711</v>
      </c>
      <c r="C10634" s="1" t="str">
        <f>HYPERLINK("http://www.genecards.org/cgi-bin/carddisp.pl?gene=SUPT7L","GeneCards")</f>
        <v>GeneCards</v>
      </c>
      <c r="D10634" s="1" t="str">
        <f>HYPERLINK("http://genome-euro.ucsc.edu/cgi-bin/hgTracks?position=201837_s_at","UCSC")</f>
        <v>UCSC</v>
      </c>
      <c r="E10634" s="1" t="str">
        <f>HYPERLINK("http://www.ncbi.nlm.nih.gov/gene/?term=SUPT7L","NCBI")</f>
        <v>NCBI</v>
      </c>
      <c r="F10634">
        <v>0.24</v>
      </c>
      <c r="G10634">
        <v>0.39</v>
      </c>
      <c r="H10634" s="1" t="str">
        <f>HYPERLINK("http://www.weizmann.ac.il/complex/compphys/software/geview/data/figures/201837_s_at.png","Figure")</f>
        <v>Figure</v>
      </c>
      <c r="I10634">
        <v>1.07</v>
      </c>
      <c r="J10634">
        <v>0.92</v>
      </c>
      <c r="K10634">
        <v>0.82299999999999995</v>
      </c>
      <c r="L10634">
        <v>0.42</v>
      </c>
      <c r="M10634">
        <v>0.77</v>
      </c>
      <c r="N10634">
        <v>0.27</v>
      </c>
    </row>
    <row r="10635" spans="1:14" x14ac:dyDescent="0.25">
      <c r="A10635" t="s">
        <v>18515</v>
      </c>
      <c r="B10635" t="s">
        <v>18516</v>
      </c>
      <c r="C10635" s="1" t="str">
        <f>HYPERLINK("http://www.genecards.org/cgi-bin/carddisp.pl?gene=ZC3H7A","GeneCards")</f>
        <v>GeneCards</v>
      </c>
      <c r="D10635" s="1" t="str">
        <f>HYPERLINK("http://genome-euro.ucsc.edu/cgi-bin/hgTracks?position=218348_s_at","UCSC")</f>
        <v>UCSC</v>
      </c>
      <c r="E10635" s="1" t="str">
        <f>HYPERLINK("http://www.ncbi.nlm.nih.gov/gene/?term=ZC3H7A","NCBI")</f>
        <v>NCBI</v>
      </c>
      <c r="F10635">
        <v>0.24</v>
      </c>
      <c r="G10635">
        <v>0.39</v>
      </c>
      <c r="H10635" s="1" t="str">
        <f>HYPERLINK("http://www.weizmann.ac.il/complex/compphys/software/geview/data/figures/218348_s_at.png","Figure")</f>
        <v>Figure</v>
      </c>
      <c r="I10635">
        <v>1.05</v>
      </c>
      <c r="J10635">
        <v>0.98</v>
      </c>
      <c r="K10635">
        <v>0.76400000000000001</v>
      </c>
      <c r="L10635">
        <v>0.36</v>
      </c>
      <c r="M10635">
        <v>0.73</v>
      </c>
      <c r="N10635">
        <v>0.3</v>
      </c>
    </row>
    <row r="10636" spans="1:14" x14ac:dyDescent="0.25">
      <c r="A10636" t="s">
        <v>18517</v>
      </c>
      <c r="B10636" t="s">
        <v>18518</v>
      </c>
      <c r="C10636" s="1" t="str">
        <f>HYPERLINK("http://www.genecards.org/cgi-bin/carddisp.pl?gene=POMZP3 /// ZP3","GeneCards")</f>
        <v>GeneCards</v>
      </c>
      <c r="D10636" s="1" t="str">
        <f>HYPERLINK("http://genome-euro.ucsc.edu/cgi-bin/hgTracks?position=204148_s_at","UCSC")</f>
        <v>UCSC</v>
      </c>
      <c r="E10636" s="1" t="str">
        <f>HYPERLINK("http://www.ncbi.nlm.nih.gov/gene/?term=POMZP3 /// ZP3","NCBI")</f>
        <v>NCBI</v>
      </c>
      <c r="F10636">
        <v>0.24</v>
      </c>
      <c r="G10636">
        <v>0.39</v>
      </c>
      <c r="H10636" s="1" t="str">
        <f>HYPERLINK("http://www.weizmann.ac.il/complex/compphys/software/geview/data/figures/204148_s_at.png","Figure")</f>
        <v>Figure</v>
      </c>
      <c r="I10636">
        <v>1</v>
      </c>
      <c r="J10636">
        <v>1</v>
      </c>
      <c r="K10636">
        <v>0.87</v>
      </c>
      <c r="L10636">
        <v>0.31</v>
      </c>
      <c r="M10636">
        <v>0.86799999999999999</v>
      </c>
      <c r="N10636">
        <v>0.35</v>
      </c>
    </row>
    <row r="10637" spans="1:14" x14ac:dyDescent="0.25">
      <c r="A10637" t="s">
        <v>18519</v>
      </c>
      <c r="B10637" t="s">
        <v>18520</v>
      </c>
      <c r="C10637" s="1" t="str">
        <f>HYPERLINK("http://www.genecards.org/cgi-bin/carddisp.pl?gene=CYB5R4","GeneCards")</f>
        <v>GeneCards</v>
      </c>
      <c r="D10637" s="1" t="str">
        <f>HYPERLINK("http://genome-euro.ucsc.edu/cgi-bin/hgTracks?position=219079_at","UCSC")</f>
        <v>UCSC</v>
      </c>
      <c r="E10637" s="1" t="str">
        <f>HYPERLINK("http://www.ncbi.nlm.nih.gov/gene/?term=CYB5R4","NCBI")</f>
        <v>NCBI</v>
      </c>
      <c r="F10637">
        <v>0.24</v>
      </c>
      <c r="G10637">
        <v>0.39</v>
      </c>
      <c r="H10637" s="1" t="str">
        <f>HYPERLINK("http://www.weizmann.ac.il/complex/compphys/software/geview/data/figures/219079_at.png","Figure")</f>
        <v>Figure</v>
      </c>
      <c r="I10637">
        <v>0.63600000000000001</v>
      </c>
      <c r="J10637">
        <v>0.22</v>
      </c>
      <c r="K10637">
        <v>0.79900000000000004</v>
      </c>
      <c r="L10637">
        <v>0.57999999999999996</v>
      </c>
      <c r="M10637">
        <v>1.26</v>
      </c>
      <c r="N10637">
        <v>0.61</v>
      </c>
    </row>
    <row r="10638" spans="1:14" x14ac:dyDescent="0.25">
      <c r="A10638" t="s">
        <v>18521</v>
      </c>
      <c r="B10638" t="s">
        <v>17242</v>
      </c>
      <c r="C10638" s="1" t="str">
        <f>HYPERLINK("http://www.genecards.org/cgi-bin/carddisp.pl?gene=ICAM1","GeneCards")</f>
        <v>GeneCards</v>
      </c>
      <c r="D10638" s="1" t="str">
        <f>HYPERLINK("http://genome-euro.ucsc.edu/cgi-bin/hgTracks?position=202638_s_at","UCSC")</f>
        <v>UCSC</v>
      </c>
      <c r="E10638" s="1" t="str">
        <f>HYPERLINK("http://www.ncbi.nlm.nih.gov/gene/?term=ICAM1","NCBI")</f>
        <v>NCBI</v>
      </c>
      <c r="F10638">
        <v>0.24</v>
      </c>
      <c r="G10638">
        <v>0.39</v>
      </c>
      <c r="H10638" s="1" t="str">
        <f>HYPERLINK("http://www.weizmann.ac.il/complex/compphys/software/geview/data/figures/202638_s_at.png","Figure")</f>
        <v>Figure</v>
      </c>
      <c r="I10638">
        <v>0.76400000000000001</v>
      </c>
      <c r="J10638">
        <v>0.3</v>
      </c>
      <c r="K10638">
        <v>0.995</v>
      </c>
      <c r="L10638">
        <v>1</v>
      </c>
      <c r="M10638">
        <v>1.3</v>
      </c>
      <c r="N10638">
        <v>0.27</v>
      </c>
    </row>
    <row r="10639" spans="1:14" x14ac:dyDescent="0.25">
      <c r="A10639" t="s">
        <v>18522</v>
      </c>
      <c r="B10639" t="s">
        <v>18523</v>
      </c>
      <c r="C10639" s="1" t="str">
        <f>HYPERLINK("http://www.genecards.org/cgi-bin/carddisp.pl?gene=CHODL","GeneCards")</f>
        <v>GeneCards</v>
      </c>
      <c r="D10639" s="1" t="str">
        <f>HYPERLINK("http://genome-euro.ucsc.edu/cgi-bin/hgTracks?position=219867_at","UCSC")</f>
        <v>UCSC</v>
      </c>
      <c r="E10639" s="1" t="str">
        <f>HYPERLINK("http://www.ncbi.nlm.nih.gov/gene/?term=CHODL","NCBI")</f>
        <v>NCBI</v>
      </c>
      <c r="F10639">
        <v>0.24</v>
      </c>
      <c r="G10639">
        <v>0.39</v>
      </c>
      <c r="H10639" s="1" t="str">
        <f>HYPERLINK("http://www.weizmann.ac.il/complex/compphys/software/geview/data/figures/219867_at.png","Figure")</f>
        <v>Figure</v>
      </c>
      <c r="I10639">
        <v>1.02</v>
      </c>
      <c r="J10639">
        <v>0.91</v>
      </c>
      <c r="K10639">
        <v>0.94299999999999995</v>
      </c>
      <c r="L10639">
        <v>0.43</v>
      </c>
      <c r="M10639">
        <v>0.92300000000000004</v>
      </c>
      <c r="N10639">
        <v>0.27</v>
      </c>
    </row>
    <row r="10640" spans="1:14" x14ac:dyDescent="0.25">
      <c r="A10640" t="s">
        <v>18524</v>
      </c>
      <c r="B10640" t="s">
        <v>18525</v>
      </c>
      <c r="C10640" s="1" t="str">
        <f>HYPERLINK("http://www.genecards.org/cgi-bin/carddisp.pl?gene=PRDM10","GeneCards")</f>
        <v>GeneCards</v>
      </c>
      <c r="D10640" s="1" t="str">
        <f>HYPERLINK("http://genome-euro.ucsc.edu/cgi-bin/hgTracks?position=219515_at","UCSC")</f>
        <v>UCSC</v>
      </c>
      <c r="E10640" s="1" t="str">
        <f>HYPERLINK("http://www.ncbi.nlm.nih.gov/gene/?term=PRDM10","NCBI")</f>
        <v>NCBI</v>
      </c>
      <c r="F10640">
        <v>0.24</v>
      </c>
      <c r="G10640">
        <v>0.39</v>
      </c>
      <c r="H10640" s="1" t="str">
        <f>HYPERLINK("http://www.weizmann.ac.il/complex/compphys/software/geview/data/figures/219515_at.png","Figure")</f>
        <v>Figure</v>
      </c>
      <c r="I10640">
        <v>0.79500000000000004</v>
      </c>
      <c r="J10640">
        <v>0.46</v>
      </c>
      <c r="K10640">
        <v>0.753</v>
      </c>
      <c r="L10640">
        <v>0.23</v>
      </c>
      <c r="M10640">
        <v>0.94699999999999995</v>
      </c>
      <c r="N10640">
        <v>0.95</v>
      </c>
    </row>
    <row r="10641" spans="1:14" x14ac:dyDescent="0.25">
      <c r="A10641" t="s">
        <v>18526</v>
      </c>
      <c r="B10641" t="s">
        <v>17150</v>
      </c>
      <c r="C10641" s="1" t="str">
        <f>HYPERLINK("http://www.genecards.org/cgi-bin/carddisp.pl?gene=COL4A1","GeneCards")</f>
        <v>GeneCards</v>
      </c>
      <c r="D10641" s="1" t="str">
        <f>HYPERLINK("http://genome-euro.ucsc.edu/cgi-bin/hgTracks?position=211981_at","UCSC")</f>
        <v>UCSC</v>
      </c>
      <c r="E10641" s="1" t="str">
        <f>HYPERLINK("http://www.ncbi.nlm.nih.gov/gene/?term=COL4A1","NCBI")</f>
        <v>NCBI</v>
      </c>
      <c r="F10641">
        <v>0.24</v>
      </c>
      <c r="G10641">
        <v>0.39</v>
      </c>
      <c r="H10641" s="1" t="str">
        <f>HYPERLINK("http://www.weizmann.ac.il/complex/compphys/software/geview/data/figures/211981_at.png","Figure")</f>
        <v>Figure</v>
      </c>
      <c r="I10641">
        <v>1.1000000000000001</v>
      </c>
      <c r="J10641">
        <v>0.31</v>
      </c>
      <c r="K10641">
        <v>0.999</v>
      </c>
      <c r="L10641">
        <v>1</v>
      </c>
      <c r="M10641">
        <v>0.91100000000000003</v>
      </c>
      <c r="N10641">
        <v>0.26</v>
      </c>
    </row>
    <row r="10642" spans="1:14" x14ac:dyDescent="0.25">
      <c r="A10642" t="s">
        <v>18527</v>
      </c>
      <c r="B10642" t="s">
        <v>2425</v>
      </c>
      <c r="C10642" s="1" t="str">
        <f>HYPERLINK("http://www.genecards.org/cgi-bin/carddisp.pl?gene=COL5A1","GeneCards")</f>
        <v>GeneCards</v>
      </c>
      <c r="D10642" s="1" t="str">
        <f>HYPERLINK("http://genome-euro.ucsc.edu/cgi-bin/hgTracks?position=203325_s_at","UCSC")</f>
        <v>UCSC</v>
      </c>
      <c r="E10642" s="1" t="str">
        <f>HYPERLINK("http://www.ncbi.nlm.nih.gov/gene/?term=COL5A1","NCBI")</f>
        <v>NCBI</v>
      </c>
      <c r="F10642">
        <v>0.24</v>
      </c>
      <c r="G10642">
        <v>0.39</v>
      </c>
      <c r="H10642" s="1" t="str">
        <f>HYPERLINK("http://www.weizmann.ac.il/complex/compphys/software/geview/data/figures/203325_s_at.png","Figure")</f>
        <v>Figure</v>
      </c>
      <c r="I10642">
        <v>0.70299999999999996</v>
      </c>
      <c r="J10642">
        <v>0.26</v>
      </c>
      <c r="K10642">
        <v>0.95499999999999996</v>
      </c>
      <c r="L10642">
        <v>0.97</v>
      </c>
      <c r="M10642">
        <v>1.36</v>
      </c>
      <c r="N10642">
        <v>0.31</v>
      </c>
    </row>
    <row r="10643" spans="1:14" x14ac:dyDescent="0.25">
      <c r="A10643" t="s">
        <v>18528</v>
      </c>
      <c r="B10643" t="s">
        <v>18529</v>
      </c>
      <c r="C10643" s="1" t="str">
        <f>HYPERLINK("http://www.genecards.org/cgi-bin/carddisp.pl?gene=GTPBP3","GeneCards")</f>
        <v>GeneCards</v>
      </c>
      <c r="D10643" s="1" t="str">
        <f>HYPERLINK("http://genome-euro.ucsc.edu/cgi-bin/hgTracks?position=213835_x_at","UCSC")</f>
        <v>UCSC</v>
      </c>
      <c r="E10643" s="1" t="str">
        <f>HYPERLINK("http://www.ncbi.nlm.nih.gov/gene/?term=GTPBP3","NCBI")</f>
        <v>NCBI</v>
      </c>
      <c r="F10643">
        <v>0.24</v>
      </c>
      <c r="G10643">
        <v>0.39</v>
      </c>
      <c r="H10643" s="1" t="str">
        <f>HYPERLINK("http://www.weizmann.ac.il/complex/compphys/software/geview/data/figures/213835_x_at.png","Figure")</f>
        <v>Figure</v>
      </c>
      <c r="I10643">
        <v>0.95799999999999996</v>
      </c>
      <c r="J10643">
        <v>0.64</v>
      </c>
      <c r="K10643">
        <v>1.04</v>
      </c>
      <c r="L10643">
        <v>0.68</v>
      </c>
      <c r="M10643">
        <v>1.08</v>
      </c>
      <c r="N10643">
        <v>0.22</v>
      </c>
    </row>
    <row r="10644" spans="1:14" x14ac:dyDescent="0.25">
      <c r="A10644" t="s">
        <v>18530</v>
      </c>
      <c r="B10644" t="s">
        <v>2866</v>
      </c>
      <c r="C10644" s="1" t="str">
        <f>HYPERLINK("http://www.genecards.org/cgi-bin/carddisp.pl?gene=RFX5","GeneCards")</f>
        <v>GeneCards</v>
      </c>
      <c r="D10644" s="1" t="str">
        <f>HYPERLINK("http://genome-euro.ucsc.edu/cgi-bin/hgTracks?position=202963_at","UCSC")</f>
        <v>UCSC</v>
      </c>
      <c r="E10644" s="1" t="str">
        <f>HYPERLINK("http://www.ncbi.nlm.nih.gov/gene/?term=RFX5","NCBI")</f>
        <v>NCBI</v>
      </c>
      <c r="F10644">
        <v>0.24</v>
      </c>
      <c r="G10644">
        <v>0.39</v>
      </c>
      <c r="H10644" s="1" t="str">
        <f>HYPERLINK("http://www.weizmann.ac.il/complex/compphys/software/geview/data/figures/202963_at.png","Figure")</f>
        <v>Figure</v>
      </c>
      <c r="I10644">
        <v>1.46</v>
      </c>
      <c r="J10644">
        <v>0.3</v>
      </c>
      <c r="K10644">
        <v>1.38</v>
      </c>
      <c r="L10644">
        <v>0.31</v>
      </c>
      <c r="M10644">
        <v>0.94699999999999995</v>
      </c>
      <c r="N10644">
        <v>0.97</v>
      </c>
    </row>
    <row r="10645" spans="1:14" x14ac:dyDescent="0.25">
      <c r="A10645" t="s">
        <v>18531</v>
      </c>
      <c r="B10645" t="s">
        <v>18532</v>
      </c>
      <c r="C10645" s="1" t="str">
        <f>HYPERLINK("http://www.genecards.org/cgi-bin/carddisp.pl?gene=TMEM123","GeneCards")</f>
        <v>GeneCards</v>
      </c>
      <c r="D10645" s="1" t="str">
        <f>HYPERLINK("http://genome-euro.ucsc.edu/cgi-bin/hgTracks?position=211967_at","UCSC")</f>
        <v>UCSC</v>
      </c>
      <c r="E10645" s="1" t="str">
        <f>HYPERLINK("http://www.ncbi.nlm.nih.gov/gene/?term=TMEM123","NCBI")</f>
        <v>NCBI</v>
      </c>
      <c r="F10645">
        <v>0.24</v>
      </c>
      <c r="G10645">
        <v>0.39</v>
      </c>
      <c r="H10645" s="1" t="str">
        <f>HYPERLINK("http://www.weizmann.ac.il/complex/compphys/software/geview/data/figures/211967_at.png","Figure")</f>
        <v>Figure</v>
      </c>
      <c r="I10645">
        <v>0.71599999999999997</v>
      </c>
      <c r="J10645">
        <v>0.28000000000000003</v>
      </c>
      <c r="K10645">
        <v>0.76100000000000001</v>
      </c>
      <c r="L10645">
        <v>0.32</v>
      </c>
      <c r="M10645">
        <v>1.06</v>
      </c>
      <c r="N10645">
        <v>0.95</v>
      </c>
    </row>
    <row r="10646" spans="1:14" x14ac:dyDescent="0.25">
      <c r="A10646" t="s">
        <v>18533</v>
      </c>
      <c r="B10646" t="s">
        <v>18534</v>
      </c>
      <c r="C10646" s="1" t="str">
        <f>HYPERLINK("http://www.genecards.org/cgi-bin/carddisp.pl?gene=RNF41","GeneCards")</f>
        <v>GeneCards</v>
      </c>
      <c r="D10646" s="1" t="str">
        <f>HYPERLINK("http://genome-euro.ucsc.edu/cgi-bin/hgTracks?position=201962_s_at","UCSC")</f>
        <v>UCSC</v>
      </c>
      <c r="E10646" s="1" t="str">
        <f>HYPERLINK("http://www.ncbi.nlm.nih.gov/gene/?term=RNF41","NCBI")</f>
        <v>NCBI</v>
      </c>
      <c r="F10646">
        <v>0.24</v>
      </c>
      <c r="G10646">
        <v>0.39</v>
      </c>
      <c r="H10646" s="1" t="str">
        <f>HYPERLINK("http://www.weizmann.ac.il/complex/compphys/software/geview/data/figures/201962_s_at.png","Figure")</f>
        <v>Figure</v>
      </c>
      <c r="I10646">
        <v>1.24</v>
      </c>
      <c r="J10646">
        <v>0.33</v>
      </c>
      <c r="K10646">
        <v>0.98699999999999999</v>
      </c>
      <c r="L10646">
        <v>0.99</v>
      </c>
      <c r="M10646">
        <v>0.79400000000000004</v>
      </c>
      <c r="N10646">
        <v>0.25</v>
      </c>
    </row>
    <row r="10647" spans="1:14" x14ac:dyDescent="0.25">
      <c r="A10647" t="s">
        <v>18535</v>
      </c>
      <c r="B10647" t="s">
        <v>15388</v>
      </c>
      <c r="C10647" s="1" t="str">
        <f>HYPERLINK("http://www.genecards.org/cgi-bin/carddisp.pl?gene=LTBP1","GeneCards")</f>
        <v>GeneCards</v>
      </c>
      <c r="D10647" s="1" t="str">
        <f>HYPERLINK("http://genome-euro.ucsc.edu/cgi-bin/hgTracks?position=202729_s_at","UCSC")</f>
        <v>UCSC</v>
      </c>
      <c r="E10647" s="1" t="str">
        <f>HYPERLINK("http://www.ncbi.nlm.nih.gov/gene/?term=LTBP1","NCBI")</f>
        <v>NCBI</v>
      </c>
      <c r="F10647">
        <v>0.24</v>
      </c>
      <c r="G10647">
        <v>0.39</v>
      </c>
      <c r="H10647" s="1" t="str">
        <f>HYPERLINK("http://www.weizmann.ac.il/complex/compphys/software/geview/data/figures/202729_s_at.png","Figure")</f>
        <v>Figure</v>
      </c>
      <c r="I10647">
        <v>1.1200000000000001</v>
      </c>
      <c r="J10647">
        <v>0.68</v>
      </c>
      <c r="K10647">
        <v>0.90100000000000002</v>
      </c>
      <c r="L10647">
        <v>0.64</v>
      </c>
      <c r="M10647">
        <v>0.80600000000000005</v>
      </c>
      <c r="N10647">
        <v>0.22</v>
      </c>
    </row>
    <row r="10648" spans="1:14" x14ac:dyDescent="0.25">
      <c r="A10648" t="s">
        <v>18536</v>
      </c>
      <c r="B10648" t="s">
        <v>2956</v>
      </c>
      <c r="C10648" s="1" t="str">
        <f>HYPERLINK("http://www.genecards.org/cgi-bin/carddisp.pl?gene=MGAT2","GeneCards")</f>
        <v>GeneCards</v>
      </c>
      <c r="D10648" s="1" t="str">
        <f>HYPERLINK("http://genome-euro.ucsc.edu/cgi-bin/hgTracks?position=203101_s_at","UCSC")</f>
        <v>UCSC</v>
      </c>
      <c r="E10648" s="1" t="str">
        <f>HYPERLINK("http://www.ncbi.nlm.nih.gov/gene/?term=MGAT2","NCBI")</f>
        <v>NCBI</v>
      </c>
      <c r="F10648">
        <v>0.24</v>
      </c>
      <c r="G10648">
        <v>0.39</v>
      </c>
      <c r="H10648" s="1" t="str">
        <f>HYPERLINK("http://www.weizmann.ac.il/complex/compphys/software/geview/data/figures/203101_s_at.png","Figure")</f>
        <v>Figure</v>
      </c>
      <c r="I10648">
        <v>1.19</v>
      </c>
      <c r="J10648">
        <v>0.22</v>
      </c>
      <c r="K10648">
        <v>1.07</v>
      </c>
      <c r="L10648">
        <v>0.68</v>
      </c>
      <c r="M10648">
        <v>0.90500000000000003</v>
      </c>
      <c r="N10648">
        <v>0.52</v>
      </c>
    </row>
    <row r="10649" spans="1:14" x14ac:dyDescent="0.25">
      <c r="A10649" t="s">
        <v>18537</v>
      </c>
      <c r="B10649" t="s">
        <v>18538</v>
      </c>
      <c r="C10649" s="1" t="str">
        <f>HYPERLINK("http://www.genecards.org/cgi-bin/carddisp.pl?gene=ACVR2A","GeneCards")</f>
        <v>GeneCards</v>
      </c>
      <c r="D10649" s="1" t="str">
        <f>HYPERLINK("http://genome-euro.ucsc.edu/cgi-bin/hgTracks?position=205327_s_at","UCSC")</f>
        <v>UCSC</v>
      </c>
      <c r="E10649" s="1" t="str">
        <f>HYPERLINK("http://www.ncbi.nlm.nih.gov/gene/?term=ACVR2A","NCBI")</f>
        <v>NCBI</v>
      </c>
      <c r="F10649">
        <v>0.24</v>
      </c>
      <c r="G10649">
        <v>0.39</v>
      </c>
      <c r="H10649" s="1" t="str">
        <f>HYPERLINK("http://www.weizmann.ac.il/complex/compphys/software/geview/data/figures/205327_s_at.png","Figure")</f>
        <v>Figure</v>
      </c>
      <c r="I10649">
        <v>1.1299999999999999</v>
      </c>
      <c r="J10649">
        <v>0.48</v>
      </c>
      <c r="K10649">
        <v>0.95199999999999996</v>
      </c>
      <c r="L10649">
        <v>0.86</v>
      </c>
      <c r="M10649">
        <v>0.84</v>
      </c>
      <c r="N10649">
        <v>0.22</v>
      </c>
    </row>
    <row r="10650" spans="1:14" x14ac:dyDescent="0.25">
      <c r="A10650" t="s">
        <v>18539</v>
      </c>
      <c r="B10650" t="s">
        <v>18137</v>
      </c>
      <c r="C10650" s="1" t="str">
        <f>HYPERLINK("http://www.genecards.org/cgi-bin/carddisp.pl?gene=CASP10","GeneCards")</f>
        <v>GeneCards</v>
      </c>
      <c r="D10650" s="1" t="str">
        <f>HYPERLINK("http://genome-euro.ucsc.edu/cgi-bin/hgTracks?position=211888_x_at","UCSC")</f>
        <v>UCSC</v>
      </c>
      <c r="E10650" s="1" t="str">
        <f>HYPERLINK("http://www.ncbi.nlm.nih.gov/gene/?term=CASP10","NCBI")</f>
        <v>NCBI</v>
      </c>
      <c r="F10650">
        <v>0.24</v>
      </c>
      <c r="G10650">
        <v>0.39</v>
      </c>
      <c r="H10650" s="1" t="str">
        <f>HYPERLINK("http://www.weizmann.ac.il/complex/compphys/software/geview/data/figures/211888_x_at.png","Figure")</f>
        <v>Figure</v>
      </c>
      <c r="I10650">
        <v>1.18</v>
      </c>
      <c r="J10650">
        <v>0.23</v>
      </c>
      <c r="K10650">
        <v>1.1100000000000001</v>
      </c>
      <c r="L10650">
        <v>0.47</v>
      </c>
      <c r="M10650">
        <v>0.93500000000000005</v>
      </c>
      <c r="N10650">
        <v>0.74</v>
      </c>
    </row>
    <row r="10651" spans="1:14" x14ac:dyDescent="0.25">
      <c r="A10651" t="s">
        <v>18540</v>
      </c>
      <c r="B10651" t="s">
        <v>18541</v>
      </c>
      <c r="C10651" s="1" t="str">
        <f>HYPERLINK("http://www.genecards.org/cgi-bin/carddisp.pl?gene=KIF21B","GeneCards")</f>
        <v>GeneCards</v>
      </c>
      <c r="D10651" s="1" t="str">
        <f>HYPERLINK("http://genome-euro.ucsc.edu/cgi-bin/hgTracks?position=204411_at","UCSC")</f>
        <v>UCSC</v>
      </c>
      <c r="E10651" s="1" t="str">
        <f>HYPERLINK("http://www.ncbi.nlm.nih.gov/gene/?term=KIF21B","NCBI")</f>
        <v>NCBI</v>
      </c>
      <c r="F10651">
        <v>0.24</v>
      </c>
      <c r="G10651">
        <v>0.39</v>
      </c>
      <c r="H10651" s="1" t="str">
        <f>HYPERLINK("http://www.weizmann.ac.il/complex/compphys/software/geview/data/figures/204411_at.png","Figure")</f>
        <v>Figure</v>
      </c>
      <c r="I10651">
        <v>1.2</v>
      </c>
      <c r="J10651">
        <v>0.22</v>
      </c>
      <c r="K10651">
        <v>1.06</v>
      </c>
      <c r="L10651">
        <v>0.79</v>
      </c>
      <c r="M10651">
        <v>0.88600000000000001</v>
      </c>
      <c r="N10651">
        <v>0.44</v>
      </c>
    </row>
    <row r="10652" spans="1:14" x14ac:dyDescent="0.25">
      <c r="A10652" t="s">
        <v>18542</v>
      </c>
      <c r="B10652" t="s">
        <v>1497</v>
      </c>
      <c r="C10652" s="1" t="str">
        <f>HYPERLINK("http://www.genecards.org/cgi-bin/carddisp.pl?gene=ZNF330","GeneCards")</f>
        <v>GeneCards</v>
      </c>
      <c r="D10652" s="1" t="str">
        <f>HYPERLINK("http://genome-euro.ucsc.edu/cgi-bin/hgTracks?position=213760_s_at","UCSC")</f>
        <v>UCSC</v>
      </c>
      <c r="E10652" s="1" t="str">
        <f>HYPERLINK("http://www.ncbi.nlm.nih.gov/gene/?term=ZNF330","NCBI")</f>
        <v>NCBI</v>
      </c>
      <c r="F10652">
        <v>0.24</v>
      </c>
      <c r="G10652">
        <v>0.39</v>
      </c>
      <c r="H10652" s="1" t="str">
        <f>HYPERLINK("http://www.weizmann.ac.il/complex/compphys/software/geview/data/figures/213760_s_at.png","Figure")</f>
        <v>Figure</v>
      </c>
      <c r="I10652">
        <v>1.1100000000000001</v>
      </c>
      <c r="J10652">
        <v>0.22</v>
      </c>
      <c r="K10652">
        <v>1.03</v>
      </c>
      <c r="L10652">
        <v>0.81</v>
      </c>
      <c r="M10652">
        <v>0.93200000000000005</v>
      </c>
      <c r="N10652">
        <v>0.42</v>
      </c>
    </row>
    <row r="10653" spans="1:14" x14ac:dyDescent="0.25">
      <c r="A10653" t="s">
        <v>18543</v>
      </c>
      <c r="B10653" t="s">
        <v>18544</v>
      </c>
      <c r="C10653" s="1" t="str">
        <f>HYPERLINK("http://www.genecards.org/cgi-bin/carddisp.pl?gene=CXorf56","GeneCards")</f>
        <v>GeneCards</v>
      </c>
      <c r="D10653" s="1" t="str">
        <f>HYPERLINK("http://genome-euro.ucsc.edu/cgi-bin/hgTracks?position=219805_at","UCSC")</f>
        <v>UCSC</v>
      </c>
      <c r="E10653" s="1" t="str">
        <f>HYPERLINK("http://www.ncbi.nlm.nih.gov/gene/?term=CXorf56","NCBI")</f>
        <v>NCBI</v>
      </c>
      <c r="F10653">
        <v>0.24</v>
      </c>
      <c r="G10653">
        <v>0.39</v>
      </c>
      <c r="H10653" s="1" t="str">
        <f>HYPERLINK("http://www.weizmann.ac.il/complex/compphys/software/geview/data/figures/219805_at.png","Figure")</f>
        <v>Figure</v>
      </c>
      <c r="I10653">
        <v>0.86</v>
      </c>
      <c r="J10653">
        <v>0.46</v>
      </c>
      <c r="K10653">
        <v>0.82899999999999996</v>
      </c>
      <c r="L10653">
        <v>0.23</v>
      </c>
      <c r="M10653">
        <v>0.96399999999999997</v>
      </c>
      <c r="N10653">
        <v>0.95</v>
      </c>
    </row>
    <row r="10654" spans="1:14" x14ac:dyDescent="0.25">
      <c r="A10654" t="s">
        <v>18545</v>
      </c>
      <c r="B10654" t="s">
        <v>633</v>
      </c>
      <c r="C10654" s="1" t="str">
        <f>HYPERLINK("http://www.genecards.org/cgi-bin/carddisp.pl?gene=DYNC1LI2","GeneCards")</f>
        <v>GeneCards</v>
      </c>
      <c r="D10654" s="1" t="str">
        <f>HYPERLINK("http://genome-euro.ucsc.edu/cgi-bin/hgTracks?position=213162_at","UCSC")</f>
        <v>UCSC</v>
      </c>
      <c r="E10654" s="1" t="str">
        <f>HYPERLINK("http://www.ncbi.nlm.nih.gov/gene/?term=DYNC1LI2","NCBI")</f>
        <v>NCBI</v>
      </c>
      <c r="F10654">
        <v>0.24</v>
      </c>
      <c r="G10654">
        <v>0.39</v>
      </c>
      <c r="H10654" s="1" t="str">
        <f>HYPERLINK("http://www.weizmann.ac.il/complex/compphys/software/geview/data/figures/213162_at.png","Figure")</f>
        <v>Figure</v>
      </c>
      <c r="I10654">
        <v>1.1200000000000001</v>
      </c>
      <c r="J10654">
        <v>0.25</v>
      </c>
      <c r="K10654">
        <v>1.02</v>
      </c>
      <c r="L10654">
        <v>0.95</v>
      </c>
      <c r="M10654">
        <v>0.91100000000000003</v>
      </c>
      <c r="N10654">
        <v>0.33</v>
      </c>
    </row>
    <row r="10655" spans="1:14" x14ac:dyDescent="0.25">
      <c r="A10655" t="s">
        <v>18546</v>
      </c>
      <c r="B10655" t="s">
        <v>18547</v>
      </c>
      <c r="C10655" s="1" t="str">
        <f>HYPERLINK("http://www.genecards.org/cgi-bin/carddisp.pl?gene=CDK6","GeneCards")</f>
        <v>GeneCards</v>
      </c>
      <c r="D10655" s="1" t="str">
        <f>HYPERLINK("http://genome-euro.ucsc.edu/cgi-bin/hgTracks?position=207143_at","UCSC")</f>
        <v>UCSC</v>
      </c>
      <c r="E10655" s="1" t="str">
        <f>HYPERLINK("http://www.ncbi.nlm.nih.gov/gene/?term=CDK6","NCBI")</f>
        <v>NCBI</v>
      </c>
      <c r="F10655">
        <v>0.24</v>
      </c>
      <c r="G10655">
        <v>0.39</v>
      </c>
      <c r="H10655" s="1" t="str">
        <f>HYPERLINK("http://www.weizmann.ac.il/complex/compphys/software/geview/data/figures/207143_at.png","Figure")</f>
        <v>Figure</v>
      </c>
      <c r="I10655">
        <v>0.93200000000000005</v>
      </c>
      <c r="J10655">
        <v>0.76</v>
      </c>
      <c r="K10655">
        <v>0.85799999999999998</v>
      </c>
      <c r="L10655">
        <v>0.22</v>
      </c>
      <c r="M10655">
        <v>0.92100000000000004</v>
      </c>
      <c r="N10655">
        <v>0.65</v>
      </c>
    </row>
    <row r="10656" spans="1:14" x14ac:dyDescent="0.25">
      <c r="A10656" t="s">
        <v>18548</v>
      </c>
      <c r="B10656" t="s">
        <v>7106</v>
      </c>
      <c r="C10656" s="1" t="str">
        <f>HYPERLINK("http://www.genecards.org/cgi-bin/carddisp.pl?gene=DNAJC8","GeneCards")</f>
        <v>GeneCards</v>
      </c>
      <c r="D10656" s="1" t="str">
        <f>HYPERLINK("http://genome-euro.ucsc.edu/cgi-bin/hgTracks?position=212490_at","UCSC")</f>
        <v>UCSC</v>
      </c>
      <c r="E10656" s="1" t="str">
        <f>HYPERLINK("http://www.ncbi.nlm.nih.gov/gene/?term=DNAJC8","NCBI")</f>
        <v>NCBI</v>
      </c>
      <c r="F10656">
        <v>0.24</v>
      </c>
      <c r="G10656">
        <v>0.39</v>
      </c>
      <c r="H10656" s="1" t="str">
        <f>HYPERLINK("http://www.weizmann.ac.il/complex/compphys/software/geview/data/figures/212490_at.png","Figure")</f>
        <v>Figure</v>
      </c>
      <c r="I10656">
        <v>0.755</v>
      </c>
      <c r="J10656">
        <v>0.22</v>
      </c>
      <c r="K10656">
        <v>0.86499999999999999</v>
      </c>
      <c r="L10656">
        <v>0.56000000000000005</v>
      </c>
      <c r="M10656">
        <v>1.1399999999999999</v>
      </c>
      <c r="N10656">
        <v>0.64</v>
      </c>
    </row>
    <row r="10657" spans="1:14" x14ac:dyDescent="0.25">
      <c r="A10657" t="s">
        <v>18549</v>
      </c>
      <c r="B10657" t="s">
        <v>18550</v>
      </c>
      <c r="C10657" s="1" t="str">
        <f>HYPERLINK("http://www.genecards.org/cgi-bin/carddisp.pl?gene=CCL22","GeneCards")</f>
        <v>GeneCards</v>
      </c>
      <c r="D10657" s="1" t="str">
        <f>HYPERLINK("http://genome-euro.ucsc.edu/cgi-bin/hgTracks?position=207861_at","UCSC")</f>
        <v>UCSC</v>
      </c>
      <c r="E10657" s="1" t="str">
        <f>HYPERLINK("http://www.ncbi.nlm.nih.gov/gene/?term=CCL22","NCBI")</f>
        <v>NCBI</v>
      </c>
      <c r="F10657">
        <v>0.24</v>
      </c>
      <c r="G10657">
        <v>0.39</v>
      </c>
      <c r="H10657" s="1" t="str">
        <f>HYPERLINK("http://www.weizmann.ac.il/complex/compphys/software/geview/data/figures/207861_at.png","Figure")</f>
        <v>Figure</v>
      </c>
      <c r="I10657">
        <v>1.18</v>
      </c>
      <c r="J10657">
        <v>0.22</v>
      </c>
      <c r="K10657">
        <v>1.06</v>
      </c>
      <c r="L10657">
        <v>0.76</v>
      </c>
      <c r="M10657">
        <v>0.89800000000000002</v>
      </c>
      <c r="N10657">
        <v>0.46</v>
      </c>
    </row>
    <row r="10658" spans="1:14" x14ac:dyDescent="0.25">
      <c r="A10658" t="s">
        <v>18551</v>
      </c>
      <c r="B10658" t="s">
        <v>18552</v>
      </c>
      <c r="C10658" s="1" t="str">
        <f>HYPERLINK("http://www.genecards.org/cgi-bin/carddisp.pl?gene=TSN","GeneCards")</f>
        <v>GeneCards</v>
      </c>
      <c r="D10658" s="1" t="str">
        <f>HYPERLINK("http://genome-euro.ucsc.edu/cgi-bin/hgTracks?position=201504_s_at","UCSC")</f>
        <v>UCSC</v>
      </c>
      <c r="E10658" s="1" t="str">
        <f>HYPERLINK("http://www.ncbi.nlm.nih.gov/gene/?term=TSN","NCBI")</f>
        <v>NCBI</v>
      </c>
      <c r="F10658">
        <v>0.24</v>
      </c>
      <c r="G10658">
        <v>0.39</v>
      </c>
      <c r="H10658" s="1" t="str">
        <f>HYPERLINK("http://www.weizmann.ac.il/complex/compphys/software/geview/data/figures/201504_s_at.png","Figure")</f>
        <v>Figure</v>
      </c>
      <c r="I10658">
        <v>0.91500000000000004</v>
      </c>
      <c r="J10658">
        <v>0.84</v>
      </c>
      <c r="K10658">
        <v>0.79</v>
      </c>
      <c r="L10658">
        <v>0.23</v>
      </c>
      <c r="M10658">
        <v>0.86399999999999999</v>
      </c>
      <c r="N10658">
        <v>0.57999999999999996</v>
      </c>
    </row>
    <row r="10659" spans="1:14" x14ac:dyDescent="0.25">
      <c r="A10659" t="s">
        <v>18553</v>
      </c>
      <c r="B10659" t="s">
        <v>18554</v>
      </c>
      <c r="C10659" s="1" t="str">
        <f>HYPERLINK("http://www.genecards.org/cgi-bin/carddisp.pl?gene=LIF","GeneCards")</f>
        <v>GeneCards</v>
      </c>
      <c r="D10659" s="1" t="str">
        <f>HYPERLINK("http://genome-euro.ucsc.edu/cgi-bin/hgTracks?position=205266_at","UCSC")</f>
        <v>UCSC</v>
      </c>
      <c r="E10659" s="1" t="str">
        <f>HYPERLINK("http://www.ncbi.nlm.nih.gov/gene/?term=LIF","NCBI")</f>
        <v>NCBI</v>
      </c>
      <c r="F10659">
        <v>0.24</v>
      </c>
      <c r="G10659">
        <v>0.39</v>
      </c>
      <c r="H10659" s="1" t="str">
        <f>HYPERLINK("http://www.weizmann.ac.il/complex/compphys/software/geview/data/figures/205266_at.png","Figure")</f>
        <v>Figure</v>
      </c>
      <c r="I10659">
        <v>1.18</v>
      </c>
      <c r="J10659">
        <v>0.24</v>
      </c>
      <c r="K10659">
        <v>1.1100000000000001</v>
      </c>
      <c r="L10659">
        <v>0.43</v>
      </c>
      <c r="M10659">
        <v>0.94399999999999995</v>
      </c>
      <c r="N10659">
        <v>0.8</v>
      </c>
    </row>
    <row r="10660" spans="1:14" x14ac:dyDescent="0.25">
      <c r="A10660" t="s">
        <v>18555</v>
      </c>
      <c r="B10660" t="s">
        <v>18556</v>
      </c>
      <c r="C10660" s="1" t="str">
        <f>HYPERLINK("http://www.genecards.org/cgi-bin/carddisp.pl?gene=SPAG16","GeneCards")</f>
        <v>GeneCards</v>
      </c>
      <c r="D10660" s="1" t="str">
        <f>HYPERLINK("http://genome-euro.ucsc.edu/cgi-bin/hgTracks?position=219109_at","UCSC")</f>
        <v>UCSC</v>
      </c>
      <c r="E10660" s="1" t="str">
        <f>HYPERLINK("http://www.ncbi.nlm.nih.gov/gene/?term=SPAG16","NCBI")</f>
        <v>NCBI</v>
      </c>
      <c r="F10660">
        <v>0.24</v>
      </c>
      <c r="G10660">
        <v>0.39</v>
      </c>
      <c r="H10660" s="1" t="str">
        <f>HYPERLINK("http://www.weizmann.ac.il/complex/compphys/software/geview/data/figures/219109_at.png","Figure")</f>
        <v>Figure</v>
      </c>
      <c r="I10660">
        <v>0.80900000000000005</v>
      </c>
      <c r="J10660">
        <v>0.3</v>
      </c>
      <c r="K10660">
        <v>0.995</v>
      </c>
      <c r="L10660">
        <v>1</v>
      </c>
      <c r="M10660">
        <v>1.23</v>
      </c>
      <c r="N10660">
        <v>0.27</v>
      </c>
    </row>
    <row r="10661" spans="1:14" x14ac:dyDescent="0.25">
      <c r="A10661" t="s">
        <v>18557</v>
      </c>
      <c r="B10661" t="s">
        <v>18558</v>
      </c>
      <c r="C10661" s="1" t="str">
        <f>HYPERLINK("http://www.genecards.org/cgi-bin/carddisp.pl?gene=DCTN4","GeneCards")</f>
        <v>GeneCards</v>
      </c>
      <c r="D10661" s="1" t="str">
        <f>HYPERLINK("http://genome-euro.ucsc.edu/cgi-bin/hgTracks?position=218013_x_at","UCSC")</f>
        <v>UCSC</v>
      </c>
      <c r="E10661" s="1" t="str">
        <f>HYPERLINK("http://www.ncbi.nlm.nih.gov/gene/?term=DCTN4","NCBI")</f>
        <v>NCBI</v>
      </c>
      <c r="F10661">
        <v>0.24</v>
      </c>
      <c r="G10661">
        <v>0.39</v>
      </c>
      <c r="H10661" s="1" t="str">
        <f>HYPERLINK("http://www.weizmann.ac.il/complex/compphys/software/geview/data/figures/218013_x_at.png","Figure")</f>
        <v>Figure</v>
      </c>
      <c r="I10661">
        <v>0.79800000000000004</v>
      </c>
      <c r="J10661">
        <v>0.47</v>
      </c>
      <c r="K10661">
        <v>0.752</v>
      </c>
      <c r="L10661">
        <v>0.23</v>
      </c>
      <c r="M10661">
        <v>0.94299999999999995</v>
      </c>
      <c r="N10661">
        <v>0.94</v>
      </c>
    </row>
    <row r="10662" spans="1:14" x14ac:dyDescent="0.25">
      <c r="A10662" t="s">
        <v>18559</v>
      </c>
      <c r="B10662" t="s">
        <v>14105</v>
      </c>
      <c r="C10662" s="1" t="str">
        <f>HYPERLINK("http://www.genecards.org/cgi-bin/carddisp.pl?gene=CDS2","GeneCards")</f>
        <v>GeneCards</v>
      </c>
      <c r="D10662" s="1" t="str">
        <f>HYPERLINK("http://genome-euro.ucsc.edu/cgi-bin/hgTracks?position=212864_at","UCSC")</f>
        <v>UCSC</v>
      </c>
      <c r="E10662" s="1" t="str">
        <f>HYPERLINK("http://www.ncbi.nlm.nih.gov/gene/?term=CDS2","NCBI")</f>
        <v>NCBI</v>
      </c>
      <c r="F10662">
        <v>0.24</v>
      </c>
      <c r="G10662">
        <v>0.39</v>
      </c>
      <c r="H10662" s="1" t="str">
        <f>HYPERLINK("http://www.weizmann.ac.il/complex/compphys/software/geview/data/figures/212864_at.png","Figure")</f>
        <v>Figure</v>
      </c>
      <c r="I10662">
        <v>1.01</v>
      </c>
      <c r="J10662">
        <v>1</v>
      </c>
      <c r="K10662">
        <v>0.74399999999999999</v>
      </c>
      <c r="L10662">
        <v>0.32</v>
      </c>
      <c r="M10662">
        <v>0.73499999999999999</v>
      </c>
      <c r="N10662">
        <v>0.34</v>
      </c>
    </row>
    <row r="10663" spans="1:14" x14ac:dyDescent="0.25">
      <c r="A10663" t="s">
        <v>18560</v>
      </c>
      <c r="B10663" t="s">
        <v>11988</v>
      </c>
      <c r="C10663" s="1" t="str">
        <f>HYPERLINK("http://www.genecards.org/cgi-bin/carddisp.pl?gene=UNC45A","GeneCards")</f>
        <v>GeneCards</v>
      </c>
      <c r="D10663" s="1" t="str">
        <f>HYPERLINK("http://genome-euro.ucsc.edu/cgi-bin/hgTracks?position=221708_s_at","UCSC")</f>
        <v>UCSC</v>
      </c>
      <c r="E10663" s="1" t="str">
        <f>HYPERLINK("http://www.ncbi.nlm.nih.gov/gene/?term=UNC45A","NCBI")</f>
        <v>NCBI</v>
      </c>
      <c r="F10663">
        <v>0.24</v>
      </c>
      <c r="G10663">
        <v>0.39</v>
      </c>
      <c r="H10663" s="1" t="str">
        <f>HYPERLINK("http://www.weizmann.ac.il/complex/compphys/software/geview/data/figures/221708_s_at.png","Figure")</f>
        <v>Figure</v>
      </c>
      <c r="I10663">
        <v>1.1200000000000001</v>
      </c>
      <c r="J10663">
        <v>0.56000000000000005</v>
      </c>
      <c r="K10663">
        <v>1.18</v>
      </c>
      <c r="L10663">
        <v>0.22</v>
      </c>
      <c r="M10663">
        <v>1.05</v>
      </c>
      <c r="N10663">
        <v>0.86</v>
      </c>
    </row>
    <row r="10664" spans="1:14" x14ac:dyDescent="0.25">
      <c r="A10664" t="s">
        <v>18561</v>
      </c>
      <c r="B10664" t="s">
        <v>18562</v>
      </c>
      <c r="C10664" s="1" t="str">
        <f>HYPERLINK("http://www.genecards.org/cgi-bin/carddisp.pl?gene=EDAR","GeneCards")</f>
        <v>GeneCards</v>
      </c>
      <c r="D10664" s="1" t="str">
        <f>HYPERLINK("http://genome-euro.ucsc.edu/cgi-bin/hgTracks?position=220048_at","UCSC")</f>
        <v>UCSC</v>
      </c>
      <c r="E10664" s="1" t="str">
        <f>HYPERLINK("http://www.ncbi.nlm.nih.gov/gene/?term=EDAR","NCBI")</f>
        <v>NCBI</v>
      </c>
      <c r="F10664">
        <v>0.24</v>
      </c>
      <c r="G10664">
        <v>0.39</v>
      </c>
      <c r="H10664" s="1" t="str">
        <f>HYPERLINK("http://www.weizmann.ac.il/complex/compphys/software/geview/data/figures/220048_at.png","Figure")</f>
        <v>Figure</v>
      </c>
      <c r="I10664">
        <v>1.1399999999999999</v>
      </c>
      <c r="J10664">
        <v>0.22</v>
      </c>
      <c r="K10664">
        <v>1.04</v>
      </c>
      <c r="L10664">
        <v>0.8</v>
      </c>
      <c r="M10664">
        <v>0.91500000000000004</v>
      </c>
      <c r="N10664">
        <v>0.44</v>
      </c>
    </row>
    <row r="10665" spans="1:14" x14ac:dyDescent="0.25">
      <c r="A10665" t="s">
        <v>18563</v>
      </c>
      <c r="B10665" t="s">
        <v>7366</v>
      </c>
      <c r="C10665" s="1" t="str">
        <f>HYPERLINK("http://www.genecards.org/cgi-bin/carddisp.pl?gene=ARFRP1","GeneCards")</f>
        <v>GeneCards</v>
      </c>
      <c r="D10665" s="1" t="str">
        <f>HYPERLINK("http://genome-euro.ucsc.edu/cgi-bin/hgTracks?position=215984_s_at","UCSC")</f>
        <v>UCSC</v>
      </c>
      <c r="E10665" s="1" t="str">
        <f>HYPERLINK("http://www.ncbi.nlm.nih.gov/gene/?term=ARFRP1","NCBI")</f>
        <v>NCBI</v>
      </c>
      <c r="F10665">
        <v>0.24</v>
      </c>
      <c r="G10665">
        <v>0.39</v>
      </c>
      <c r="H10665" s="1" t="str">
        <f>HYPERLINK("http://www.weizmann.ac.il/complex/compphys/software/geview/data/figures/215984_s_at.png","Figure")</f>
        <v>Figure</v>
      </c>
      <c r="I10665">
        <v>1.1100000000000001</v>
      </c>
      <c r="J10665">
        <v>0.27</v>
      </c>
      <c r="K10665">
        <v>1.0900000000000001</v>
      </c>
      <c r="L10665">
        <v>0.34</v>
      </c>
      <c r="M10665">
        <v>0.97799999999999998</v>
      </c>
      <c r="N10665">
        <v>0.93</v>
      </c>
    </row>
    <row r="10666" spans="1:14" x14ac:dyDescent="0.25">
      <c r="A10666" t="s">
        <v>18564</v>
      </c>
      <c r="B10666" t="s">
        <v>18565</v>
      </c>
      <c r="C10666" s="1" t="str">
        <f>HYPERLINK("http://www.genecards.org/cgi-bin/carddisp.pl?gene=ZNF33B","GeneCards")</f>
        <v>GeneCards</v>
      </c>
      <c r="D10666" s="1" t="str">
        <f>HYPERLINK("http://genome-euro.ucsc.edu/cgi-bin/hgTracks?position=215022_x_at","UCSC")</f>
        <v>UCSC</v>
      </c>
      <c r="E10666" s="1" t="str">
        <f>HYPERLINK("http://www.ncbi.nlm.nih.gov/gene/?term=ZNF33B","NCBI")</f>
        <v>NCBI</v>
      </c>
      <c r="F10666">
        <v>0.24</v>
      </c>
      <c r="G10666">
        <v>0.39</v>
      </c>
      <c r="H10666" s="1" t="str">
        <f>HYPERLINK("http://www.weizmann.ac.il/complex/compphys/software/geview/data/figures/215022_x_at.png","Figure")</f>
        <v>Figure</v>
      </c>
      <c r="I10666">
        <v>1</v>
      </c>
      <c r="J10666">
        <v>1</v>
      </c>
      <c r="K10666">
        <v>1.07</v>
      </c>
      <c r="L10666">
        <v>0.31</v>
      </c>
      <c r="M10666">
        <v>1.07</v>
      </c>
      <c r="N10666">
        <v>0.36</v>
      </c>
    </row>
    <row r="10667" spans="1:14" x14ac:dyDescent="0.25">
      <c r="A10667" t="s">
        <v>18566</v>
      </c>
      <c r="B10667" t="s">
        <v>18567</v>
      </c>
      <c r="C10667" s="1" t="str">
        <f>HYPERLINK("http://www.genecards.org/cgi-bin/carddisp.pl?gene=SHOX","GeneCards")</f>
        <v>GeneCards</v>
      </c>
      <c r="D10667" s="1" t="str">
        <f>HYPERLINK("http://genome-euro.ucsc.edu/cgi-bin/hgTracks?position=207570_at","UCSC")</f>
        <v>UCSC</v>
      </c>
      <c r="E10667" s="1" t="str">
        <f>HYPERLINK("http://www.ncbi.nlm.nih.gov/gene/?term=SHOX","NCBI")</f>
        <v>NCBI</v>
      </c>
      <c r="F10667">
        <v>0.24</v>
      </c>
      <c r="G10667">
        <v>0.39</v>
      </c>
      <c r="H10667" s="1" t="str">
        <f>HYPERLINK("http://www.weizmann.ac.il/complex/compphys/software/geview/data/figures/207570_at.png","Figure")</f>
        <v>Figure</v>
      </c>
      <c r="I10667">
        <v>1.1200000000000001</v>
      </c>
      <c r="J10667">
        <v>0.34</v>
      </c>
      <c r="K10667">
        <v>0.99099999999999999</v>
      </c>
      <c r="L10667">
        <v>0.99</v>
      </c>
      <c r="M10667">
        <v>0.88100000000000001</v>
      </c>
      <c r="N10667">
        <v>0.25</v>
      </c>
    </row>
    <row r="10668" spans="1:14" x14ac:dyDescent="0.25">
      <c r="A10668" t="s">
        <v>18568</v>
      </c>
      <c r="B10668" t="s">
        <v>18569</v>
      </c>
      <c r="C10668" s="1" t="str">
        <f>HYPERLINK("http://www.genecards.org/cgi-bin/carddisp.pl?gene=CCT6B","GeneCards")</f>
        <v>GeneCards</v>
      </c>
      <c r="D10668" s="1" t="str">
        <f>HYPERLINK("http://genome-euro.ucsc.edu/cgi-bin/hgTracks?position=206587_at","UCSC")</f>
        <v>UCSC</v>
      </c>
      <c r="E10668" s="1" t="str">
        <f>HYPERLINK("http://www.ncbi.nlm.nih.gov/gene/?term=CCT6B","NCBI")</f>
        <v>NCBI</v>
      </c>
      <c r="F10668">
        <v>0.24</v>
      </c>
      <c r="G10668">
        <v>0.39</v>
      </c>
      <c r="H10668" s="1" t="str">
        <f>HYPERLINK("http://www.weizmann.ac.il/complex/compphys/software/geview/data/figures/206587_at.png","Figure")</f>
        <v>Figure</v>
      </c>
      <c r="I10668">
        <v>0.86499999999999999</v>
      </c>
      <c r="J10668">
        <v>0.44</v>
      </c>
      <c r="K10668">
        <v>0.84199999999999997</v>
      </c>
      <c r="L10668">
        <v>0.24</v>
      </c>
      <c r="M10668">
        <v>0.97299999999999998</v>
      </c>
      <c r="N10668">
        <v>0.97</v>
      </c>
    </row>
    <row r="10669" spans="1:14" x14ac:dyDescent="0.25">
      <c r="A10669" t="s">
        <v>18570</v>
      </c>
      <c r="B10669" t="s">
        <v>18571</v>
      </c>
      <c r="C10669" s="1" t="str">
        <f>HYPERLINK("http://www.genecards.org/cgi-bin/carddisp.pl?gene=MTMR2","GeneCards")</f>
        <v>GeneCards</v>
      </c>
      <c r="D10669" s="1" t="str">
        <f>HYPERLINK("http://genome-euro.ucsc.edu/cgi-bin/hgTracks?position=203211_s_at","UCSC")</f>
        <v>UCSC</v>
      </c>
      <c r="E10669" s="1" t="str">
        <f>HYPERLINK("http://www.ncbi.nlm.nih.gov/gene/?term=MTMR2","NCBI")</f>
        <v>NCBI</v>
      </c>
      <c r="F10669">
        <v>0.24</v>
      </c>
      <c r="G10669">
        <v>0.39</v>
      </c>
      <c r="H10669" s="1" t="str">
        <f>HYPERLINK("http://www.weizmann.ac.il/complex/compphys/software/geview/data/figures/203211_s_at.png","Figure")</f>
        <v>Figure</v>
      </c>
      <c r="I10669">
        <v>0.86799999999999999</v>
      </c>
      <c r="J10669">
        <v>0.33</v>
      </c>
      <c r="K10669">
        <v>1.01</v>
      </c>
      <c r="L10669">
        <v>1</v>
      </c>
      <c r="M10669">
        <v>1.1599999999999999</v>
      </c>
      <c r="N10669">
        <v>0.26</v>
      </c>
    </row>
    <row r="10670" spans="1:14" x14ac:dyDescent="0.25">
      <c r="A10670" t="s">
        <v>18572</v>
      </c>
      <c r="B10670" t="s">
        <v>18573</v>
      </c>
      <c r="C10670" s="1" t="str">
        <f>HYPERLINK("http://www.genecards.org/cgi-bin/carddisp.pl?gene=RGS17","GeneCards")</f>
        <v>GeneCards</v>
      </c>
      <c r="D10670" s="1" t="str">
        <f>HYPERLINK("http://genome-euro.ucsc.edu/cgi-bin/hgTracks?position=220334_at","UCSC")</f>
        <v>UCSC</v>
      </c>
      <c r="E10670" s="1" t="str">
        <f>HYPERLINK("http://www.ncbi.nlm.nih.gov/gene/?term=RGS17","NCBI")</f>
        <v>NCBI</v>
      </c>
      <c r="F10670">
        <v>0.24</v>
      </c>
      <c r="G10670">
        <v>0.39</v>
      </c>
      <c r="H10670" s="1" t="str">
        <f>HYPERLINK("http://www.weizmann.ac.il/complex/compphys/software/geview/data/figures/220334_at.png","Figure")</f>
        <v>Figure</v>
      </c>
      <c r="I10670">
        <v>1.1100000000000001</v>
      </c>
      <c r="J10670">
        <v>0.22</v>
      </c>
      <c r="K10670">
        <v>1.04</v>
      </c>
      <c r="L10670">
        <v>0.7</v>
      </c>
      <c r="M10670">
        <v>0.94</v>
      </c>
      <c r="N10670">
        <v>0.51</v>
      </c>
    </row>
    <row r="10671" spans="1:14" x14ac:dyDescent="0.25">
      <c r="A10671" t="s">
        <v>18574</v>
      </c>
      <c r="B10671" t="s">
        <v>13979</v>
      </c>
      <c r="C10671" s="1" t="str">
        <f>HYPERLINK("http://www.genecards.org/cgi-bin/carddisp.pl?gene=CREB3L1","GeneCards")</f>
        <v>GeneCards</v>
      </c>
      <c r="D10671" s="1" t="str">
        <f>HYPERLINK("http://genome-euro.ucsc.edu/cgi-bin/hgTracks?position=213059_at","UCSC")</f>
        <v>UCSC</v>
      </c>
      <c r="E10671" s="1" t="str">
        <f>HYPERLINK("http://www.ncbi.nlm.nih.gov/gene/?term=CREB3L1","NCBI")</f>
        <v>NCBI</v>
      </c>
      <c r="F10671">
        <v>0.24</v>
      </c>
      <c r="G10671">
        <v>0.39</v>
      </c>
      <c r="H10671" s="1" t="str">
        <f>HYPERLINK("http://www.weizmann.ac.il/complex/compphys/software/geview/data/figures/213059_at.png","Figure")</f>
        <v>Figure</v>
      </c>
      <c r="I10671">
        <v>1.26</v>
      </c>
      <c r="J10671">
        <v>0.22</v>
      </c>
      <c r="K10671">
        <v>1.1100000000000001</v>
      </c>
      <c r="L10671">
        <v>0.62</v>
      </c>
      <c r="M10671">
        <v>0.88500000000000001</v>
      </c>
      <c r="N10671">
        <v>0.59</v>
      </c>
    </row>
    <row r="10672" spans="1:14" x14ac:dyDescent="0.25">
      <c r="A10672" t="s">
        <v>18575</v>
      </c>
      <c r="B10672" t="s">
        <v>9406</v>
      </c>
      <c r="C10672" s="1" t="str">
        <f>HYPERLINK("http://www.genecards.org/cgi-bin/carddisp.pl?gene=GOSR2","GeneCards")</f>
        <v>GeneCards</v>
      </c>
      <c r="D10672" s="1" t="str">
        <f>HYPERLINK("http://genome-euro.ucsc.edu/cgi-bin/hgTracks?position=210009_s_at","UCSC")</f>
        <v>UCSC</v>
      </c>
      <c r="E10672" s="1" t="str">
        <f>HYPERLINK("http://www.ncbi.nlm.nih.gov/gene/?term=GOSR2","NCBI")</f>
        <v>NCBI</v>
      </c>
      <c r="F10672">
        <v>0.24</v>
      </c>
      <c r="G10672">
        <v>0.39</v>
      </c>
      <c r="H10672" s="1" t="str">
        <f>HYPERLINK("http://www.weizmann.ac.il/complex/compphys/software/geview/data/figures/210009_s_at.png","Figure")</f>
        <v>Figure</v>
      </c>
      <c r="I10672">
        <v>1.07</v>
      </c>
      <c r="J10672">
        <v>0.37</v>
      </c>
      <c r="K10672">
        <v>1.08</v>
      </c>
      <c r="L10672">
        <v>0.26</v>
      </c>
      <c r="M10672">
        <v>1</v>
      </c>
      <c r="N10672">
        <v>1</v>
      </c>
    </row>
    <row r="10673" spans="1:14" x14ac:dyDescent="0.25">
      <c r="A10673" t="s">
        <v>18576</v>
      </c>
      <c r="B10673" t="s">
        <v>18577</v>
      </c>
      <c r="C10673" s="1" t="str">
        <f>HYPERLINK("http://www.genecards.org/cgi-bin/carddisp.pl?gene=UPF2","GeneCards")</f>
        <v>GeneCards</v>
      </c>
      <c r="D10673" s="1" t="str">
        <f>HYPERLINK("http://genome-euro.ucsc.edu/cgi-bin/hgTracks?position=203519_s_at","UCSC")</f>
        <v>UCSC</v>
      </c>
      <c r="E10673" s="1" t="str">
        <f>HYPERLINK("http://www.ncbi.nlm.nih.gov/gene/?term=UPF2","NCBI")</f>
        <v>NCBI</v>
      </c>
      <c r="F10673">
        <v>0.24</v>
      </c>
      <c r="G10673">
        <v>0.39</v>
      </c>
      <c r="H10673" s="1" t="str">
        <f>HYPERLINK("http://www.weizmann.ac.il/complex/compphys/software/geview/data/figures/203519_s_at.png","Figure")</f>
        <v>Figure</v>
      </c>
      <c r="I10673">
        <v>0.71599999999999997</v>
      </c>
      <c r="J10673">
        <v>0.36</v>
      </c>
      <c r="K10673">
        <v>0.71699999999999997</v>
      </c>
      <c r="L10673">
        <v>0.27</v>
      </c>
      <c r="M10673">
        <v>1</v>
      </c>
      <c r="N10673">
        <v>1</v>
      </c>
    </row>
    <row r="10674" spans="1:14" x14ac:dyDescent="0.25">
      <c r="A10674" t="s">
        <v>18578</v>
      </c>
      <c r="B10674" t="s">
        <v>10201</v>
      </c>
      <c r="C10674" s="1" t="str">
        <f>HYPERLINK("http://www.genecards.org/cgi-bin/carddisp.pl?gene=SULT1A3 /// SULT1A4","GeneCards")</f>
        <v>GeneCards</v>
      </c>
      <c r="D10674" s="1" t="str">
        <f>HYPERLINK("http://genome-euro.ucsc.edu/cgi-bin/hgTracks?position=210580_x_at","UCSC")</f>
        <v>UCSC</v>
      </c>
      <c r="E10674" s="1" t="str">
        <f>HYPERLINK("http://www.ncbi.nlm.nih.gov/gene/?term=SULT1A3 /// SULT1A4","NCBI")</f>
        <v>NCBI</v>
      </c>
      <c r="F10674">
        <v>0.24</v>
      </c>
      <c r="G10674">
        <v>0.39</v>
      </c>
      <c r="H10674" s="1" t="str">
        <f>HYPERLINK("http://www.weizmann.ac.il/complex/compphys/software/geview/data/figures/210580_x_at.png","Figure")</f>
        <v>Figure</v>
      </c>
      <c r="I10674">
        <v>1.4</v>
      </c>
      <c r="J10674">
        <v>0.31</v>
      </c>
      <c r="K10674">
        <v>1.35</v>
      </c>
      <c r="L10674">
        <v>0.3</v>
      </c>
      <c r="M10674">
        <v>0.96199999999999997</v>
      </c>
      <c r="N10674">
        <v>0.98</v>
      </c>
    </row>
    <row r="10675" spans="1:14" x14ac:dyDescent="0.25">
      <c r="A10675" t="s">
        <v>18579</v>
      </c>
      <c r="B10675" t="s">
        <v>18580</v>
      </c>
      <c r="C10675" s="1" t="str">
        <f>HYPERLINK("http://www.genecards.org/cgi-bin/carddisp.pl?gene=FAM127B","GeneCards")</f>
        <v>GeneCards</v>
      </c>
      <c r="D10675" s="1" t="str">
        <f>HYPERLINK("http://genome-euro.ucsc.edu/cgi-bin/hgTracks?position=217948_at","UCSC")</f>
        <v>UCSC</v>
      </c>
      <c r="E10675" s="1" t="str">
        <f>HYPERLINK("http://www.ncbi.nlm.nih.gov/gene/?term=FAM127B","NCBI")</f>
        <v>NCBI</v>
      </c>
      <c r="F10675">
        <v>0.24</v>
      </c>
      <c r="G10675">
        <v>0.39</v>
      </c>
      <c r="H10675" s="1" t="str">
        <f>HYPERLINK("http://www.weizmann.ac.il/complex/compphys/software/geview/data/figures/217948_at.png","Figure")</f>
        <v>Figure</v>
      </c>
      <c r="I10675">
        <v>0.88800000000000001</v>
      </c>
      <c r="J10675">
        <v>0.26</v>
      </c>
      <c r="K10675">
        <v>0.98399999999999999</v>
      </c>
      <c r="L10675">
        <v>0.96</v>
      </c>
      <c r="M10675">
        <v>1.1100000000000001</v>
      </c>
      <c r="N10675">
        <v>0.32</v>
      </c>
    </row>
    <row r="10676" spans="1:14" x14ac:dyDescent="0.25">
      <c r="A10676" t="s">
        <v>18581</v>
      </c>
      <c r="B10676" t="s">
        <v>18582</v>
      </c>
      <c r="C10676" s="1" t="str">
        <f>HYPERLINK("http://www.genecards.org/cgi-bin/carddisp.pl?gene=UVRAG","GeneCards")</f>
        <v>GeneCards</v>
      </c>
      <c r="D10676" s="1" t="str">
        <f>HYPERLINK("http://genome-euro.ucsc.edu/cgi-bin/hgTracks?position=203241_at","UCSC")</f>
        <v>UCSC</v>
      </c>
      <c r="E10676" s="1" t="str">
        <f>HYPERLINK("http://www.ncbi.nlm.nih.gov/gene/?term=UVRAG","NCBI")</f>
        <v>NCBI</v>
      </c>
      <c r="F10676">
        <v>0.24</v>
      </c>
      <c r="G10676">
        <v>0.39</v>
      </c>
      <c r="H10676" s="1" t="str">
        <f>HYPERLINK("http://www.weizmann.ac.il/complex/compphys/software/geview/data/figures/203241_at.png","Figure")</f>
        <v>Figure</v>
      </c>
      <c r="I10676">
        <v>1.39</v>
      </c>
      <c r="J10676">
        <v>0.22</v>
      </c>
      <c r="K10676">
        <v>1.1599999999999999</v>
      </c>
      <c r="L10676">
        <v>0.65</v>
      </c>
      <c r="M10676">
        <v>0.83299999999999996</v>
      </c>
      <c r="N10676">
        <v>0.56000000000000005</v>
      </c>
    </row>
    <row r="10677" spans="1:14" x14ac:dyDescent="0.25">
      <c r="A10677" t="s">
        <v>18583</v>
      </c>
      <c r="B10677" t="s">
        <v>2924</v>
      </c>
      <c r="C10677" s="1" t="str">
        <f>HYPERLINK("http://www.genecards.org/cgi-bin/carddisp.pl?gene=USP7","GeneCards")</f>
        <v>GeneCards</v>
      </c>
      <c r="D10677" s="1" t="str">
        <f>HYPERLINK("http://genome-euro.ucsc.edu/cgi-bin/hgTracks?position=201498_at","UCSC")</f>
        <v>UCSC</v>
      </c>
      <c r="E10677" s="1" t="str">
        <f>HYPERLINK("http://www.ncbi.nlm.nih.gov/gene/?term=USP7","NCBI")</f>
        <v>NCBI</v>
      </c>
      <c r="F10677">
        <v>0.24</v>
      </c>
      <c r="G10677">
        <v>0.39</v>
      </c>
      <c r="H10677" s="1" t="str">
        <f>HYPERLINK("http://www.weizmann.ac.il/complex/compphys/software/geview/data/figures/201498_at.png","Figure")</f>
        <v>Figure</v>
      </c>
      <c r="I10677">
        <v>1.26</v>
      </c>
      <c r="J10677">
        <v>0.57999999999999996</v>
      </c>
      <c r="K10677">
        <v>0.86499999999999999</v>
      </c>
      <c r="L10677">
        <v>0.75</v>
      </c>
      <c r="M10677">
        <v>0.68799999999999994</v>
      </c>
      <c r="N10677">
        <v>0.22</v>
      </c>
    </row>
    <row r="10678" spans="1:14" x14ac:dyDescent="0.25">
      <c r="A10678" t="s">
        <v>18584</v>
      </c>
      <c r="B10678" t="s">
        <v>2594</v>
      </c>
      <c r="C10678" s="1" t="str">
        <f>HYPERLINK("http://www.genecards.org/cgi-bin/carddisp.pl?gene=LPP","GeneCards")</f>
        <v>GeneCards</v>
      </c>
      <c r="D10678" s="1" t="str">
        <f>HYPERLINK("http://genome-euro.ucsc.edu/cgi-bin/hgTracks?position=202821_s_at","UCSC")</f>
        <v>UCSC</v>
      </c>
      <c r="E10678" s="1" t="str">
        <f>HYPERLINK("http://www.ncbi.nlm.nih.gov/gene/?term=LPP","NCBI")</f>
        <v>NCBI</v>
      </c>
      <c r="F10678">
        <v>0.24</v>
      </c>
      <c r="G10678">
        <v>0.39</v>
      </c>
      <c r="H10678" s="1" t="str">
        <f>HYPERLINK("http://www.weizmann.ac.il/complex/compphys/software/geview/data/figures/202821_s_at.png","Figure")</f>
        <v>Figure</v>
      </c>
      <c r="I10678">
        <v>1.0900000000000001</v>
      </c>
      <c r="J10678">
        <v>0.55000000000000004</v>
      </c>
      <c r="K10678">
        <v>0.95199999999999996</v>
      </c>
      <c r="L10678">
        <v>0.78</v>
      </c>
      <c r="M10678">
        <v>0.872</v>
      </c>
      <c r="N10678">
        <v>0.22</v>
      </c>
    </row>
    <row r="10679" spans="1:14" x14ac:dyDescent="0.25">
      <c r="A10679" t="s">
        <v>18585</v>
      </c>
      <c r="B10679" t="s">
        <v>18586</v>
      </c>
      <c r="C10679" s="1" t="str">
        <f>HYPERLINK("http://www.genecards.org/cgi-bin/carddisp.pl?gene=KIR2DS1","GeneCards")</f>
        <v>GeneCards</v>
      </c>
      <c r="D10679" s="1" t="str">
        <f>HYPERLINK("http://genome-euro.ucsc.edu/cgi-bin/hgTracks?position=208198_x_at","UCSC")</f>
        <v>UCSC</v>
      </c>
      <c r="E10679" s="1" t="str">
        <f>HYPERLINK("http://www.ncbi.nlm.nih.gov/gene/?term=KIR2DS1","NCBI")</f>
        <v>NCBI</v>
      </c>
      <c r="F10679">
        <v>0.24</v>
      </c>
      <c r="G10679">
        <v>0.39</v>
      </c>
      <c r="H10679" s="1" t="str">
        <f>HYPERLINK("http://www.weizmann.ac.il/complex/compphys/software/geview/data/figures/208198_x_at.png","Figure")</f>
        <v>Figure</v>
      </c>
      <c r="I10679">
        <v>1.2</v>
      </c>
      <c r="J10679">
        <v>0.31</v>
      </c>
      <c r="K10679">
        <v>1</v>
      </c>
      <c r="L10679">
        <v>1</v>
      </c>
      <c r="M10679">
        <v>0.83599999999999997</v>
      </c>
      <c r="N10679">
        <v>0.27</v>
      </c>
    </row>
    <row r="10680" spans="1:14" x14ac:dyDescent="0.25">
      <c r="A10680" t="s">
        <v>18587</v>
      </c>
      <c r="B10680" t="s">
        <v>14953</v>
      </c>
      <c r="C10680" s="1" t="str">
        <f>HYPERLINK("http://www.genecards.org/cgi-bin/carddisp.pl?gene=BRD2","GeneCards")</f>
        <v>GeneCards</v>
      </c>
      <c r="D10680" s="1" t="str">
        <f>HYPERLINK("http://genome-euro.ucsc.edu/cgi-bin/hgTracks?position=208685_x_at","UCSC")</f>
        <v>UCSC</v>
      </c>
      <c r="E10680" s="1" t="str">
        <f>HYPERLINK("http://www.ncbi.nlm.nih.gov/gene/?term=BRD2","NCBI")</f>
        <v>NCBI</v>
      </c>
      <c r="F10680">
        <v>0.24</v>
      </c>
      <c r="G10680">
        <v>0.39</v>
      </c>
      <c r="H10680" s="1" t="str">
        <f>HYPERLINK("http://www.weizmann.ac.il/complex/compphys/software/geview/data/figures/208685_x_at.png","Figure")</f>
        <v>Figure</v>
      </c>
      <c r="I10680">
        <v>1.3</v>
      </c>
      <c r="J10680">
        <v>0.55000000000000004</v>
      </c>
      <c r="K10680">
        <v>0.86399999999999999</v>
      </c>
      <c r="L10680">
        <v>0.78</v>
      </c>
      <c r="M10680">
        <v>0.66600000000000004</v>
      </c>
      <c r="N10680">
        <v>0.22</v>
      </c>
    </row>
    <row r="10681" spans="1:14" x14ac:dyDescent="0.25">
      <c r="A10681" t="s">
        <v>18588</v>
      </c>
      <c r="B10681" t="s">
        <v>15540</v>
      </c>
      <c r="C10681" s="1" t="str">
        <f>HYPERLINK("http://www.genecards.org/cgi-bin/carddisp.pl?gene=GAPDH","GeneCards")</f>
        <v>GeneCards</v>
      </c>
      <c r="D10681" s="1" t="str">
        <f>HYPERLINK("http://genome-euro.ucsc.edu/cgi-bin/hgTracks?position=AFFX-HUMGAPDH/M33197_5_at","UCSC")</f>
        <v>UCSC</v>
      </c>
      <c r="E10681" s="1" t="str">
        <f>HYPERLINK("http://www.ncbi.nlm.nih.gov/gene/?term=GAPDH","NCBI")</f>
        <v>NCBI</v>
      </c>
      <c r="F10681">
        <v>0.24</v>
      </c>
      <c r="G10681">
        <v>0.39</v>
      </c>
      <c r="H10681" s="1" t="str">
        <f>HYPERLINK("http://www.weizmann.ac.il/complex/compphys/software/geview/data/figures/AFFX-HUMGAPDH/M33197_5_at.png","Figure")</f>
        <v>Figure</v>
      </c>
      <c r="I10681">
        <v>0.88</v>
      </c>
      <c r="J10681">
        <v>0.88</v>
      </c>
      <c r="K10681">
        <v>1.32</v>
      </c>
      <c r="L10681">
        <v>0.47</v>
      </c>
      <c r="M10681">
        <v>1.5</v>
      </c>
      <c r="N10681">
        <v>0.26</v>
      </c>
    </row>
    <row r="10682" spans="1:14" x14ac:dyDescent="0.25">
      <c r="A10682" t="s">
        <v>18589</v>
      </c>
      <c r="B10682" t="s">
        <v>8445</v>
      </c>
      <c r="C10682" s="1" t="str">
        <f>HYPERLINK("http://www.genecards.org/cgi-bin/carddisp.pl?gene=PON2","GeneCards")</f>
        <v>GeneCards</v>
      </c>
      <c r="D10682" s="1" t="str">
        <f>HYPERLINK("http://genome-euro.ucsc.edu/cgi-bin/hgTracks?position=201876_at","UCSC")</f>
        <v>UCSC</v>
      </c>
      <c r="E10682" s="1" t="str">
        <f>HYPERLINK("http://www.ncbi.nlm.nih.gov/gene/?term=PON2","NCBI")</f>
        <v>NCBI</v>
      </c>
      <c r="F10682">
        <v>0.24</v>
      </c>
      <c r="G10682">
        <v>0.39</v>
      </c>
      <c r="H10682" s="1" t="str">
        <f>HYPERLINK("http://www.weizmann.ac.il/complex/compphys/software/geview/data/figures/201876_at.png","Figure")</f>
        <v>Figure</v>
      </c>
      <c r="I10682">
        <v>0.74</v>
      </c>
      <c r="J10682">
        <v>0.27</v>
      </c>
      <c r="K10682">
        <v>0.96799999999999997</v>
      </c>
      <c r="L10682">
        <v>0.98</v>
      </c>
      <c r="M10682">
        <v>1.31</v>
      </c>
      <c r="N10682">
        <v>0.3</v>
      </c>
    </row>
    <row r="10683" spans="1:14" x14ac:dyDescent="0.25">
      <c r="A10683" t="s">
        <v>18590</v>
      </c>
      <c r="B10683" t="s">
        <v>18591</v>
      </c>
      <c r="C10683" s="1" t="str">
        <f>HYPERLINK("http://www.genecards.org/cgi-bin/carddisp.pl?gene=ZIM2","GeneCards")</f>
        <v>GeneCards</v>
      </c>
      <c r="D10683" s="1" t="str">
        <f>HYPERLINK("http://genome-euro.ucsc.edu/cgi-bin/hgTracks?position=220653_at","UCSC")</f>
        <v>UCSC</v>
      </c>
      <c r="E10683" s="1" t="str">
        <f>HYPERLINK("http://www.ncbi.nlm.nih.gov/gene/?term=ZIM2","NCBI")</f>
        <v>NCBI</v>
      </c>
      <c r="F10683">
        <v>0.24</v>
      </c>
      <c r="G10683">
        <v>0.39</v>
      </c>
      <c r="H10683" s="1" t="str">
        <f>HYPERLINK("http://www.weizmann.ac.il/complex/compphys/software/geview/data/figures/220653_at.png","Figure")</f>
        <v>Figure</v>
      </c>
      <c r="I10683">
        <v>1.1100000000000001</v>
      </c>
      <c r="J10683">
        <v>0.48</v>
      </c>
      <c r="K10683">
        <v>0.95899999999999996</v>
      </c>
      <c r="L10683">
        <v>0.86</v>
      </c>
      <c r="M10683">
        <v>0.86299999999999999</v>
      </c>
      <c r="N10683">
        <v>0.22</v>
      </c>
    </row>
    <row r="10684" spans="1:14" x14ac:dyDescent="0.25">
      <c r="A10684" t="s">
        <v>18592</v>
      </c>
      <c r="B10684" t="s">
        <v>18593</v>
      </c>
      <c r="C10684" s="1" t="str">
        <f>HYPERLINK("http://www.genecards.org/cgi-bin/carddisp.pl?gene=ARPC3","GeneCards")</f>
        <v>GeneCards</v>
      </c>
      <c r="D10684" s="1" t="str">
        <f>HYPERLINK("http://genome-euro.ucsc.edu/cgi-bin/hgTracks?position=208736_at","UCSC")</f>
        <v>UCSC</v>
      </c>
      <c r="E10684" s="1" t="str">
        <f>HYPERLINK("http://www.ncbi.nlm.nih.gov/gene/?term=ARPC3","NCBI")</f>
        <v>NCBI</v>
      </c>
      <c r="F10684">
        <v>0.24</v>
      </c>
      <c r="G10684">
        <v>0.39</v>
      </c>
      <c r="H10684" s="1" t="str">
        <f>HYPERLINK("http://www.weizmann.ac.il/complex/compphys/software/geview/data/figures/208736_at.png","Figure")</f>
        <v>Figure</v>
      </c>
      <c r="I10684">
        <v>0.76300000000000001</v>
      </c>
      <c r="J10684">
        <v>0.45</v>
      </c>
      <c r="K10684">
        <v>1.0900000000000001</v>
      </c>
      <c r="L10684">
        <v>0.89</v>
      </c>
      <c r="M10684">
        <v>1.43</v>
      </c>
      <c r="N10684">
        <v>0.22</v>
      </c>
    </row>
    <row r="10685" spans="1:14" x14ac:dyDescent="0.25">
      <c r="A10685" t="s">
        <v>18594</v>
      </c>
      <c r="B10685" t="s">
        <v>11942</v>
      </c>
      <c r="C10685" s="1" t="str">
        <f>HYPERLINK("http://www.genecards.org/cgi-bin/carddisp.pl?gene=LLGL1","GeneCards")</f>
        <v>GeneCards</v>
      </c>
      <c r="D10685" s="1" t="str">
        <f>HYPERLINK("http://genome-euro.ucsc.edu/cgi-bin/hgTracks?position=206123_at","UCSC")</f>
        <v>UCSC</v>
      </c>
      <c r="E10685" s="1" t="str">
        <f>HYPERLINK("http://www.ncbi.nlm.nih.gov/gene/?term=LLGL1","NCBI")</f>
        <v>NCBI</v>
      </c>
      <c r="F10685">
        <v>0.24</v>
      </c>
      <c r="G10685">
        <v>0.39</v>
      </c>
      <c r="H10685" s="1" t="str">
        <f>HYPERLINK("http://www.weizmann.ac.il/complex/compphys/software/geview/data/figures/206123_at.png","Figure")</f>
        <v>Figure</v>
      </c>
      <c r="I10685">
        <v>1.19</v>
      </c>
      <c r="J10685">
        <v>0.22</v>
      </c>
      <c r="K10685">
        <v>1.0900000000000001</v>
      </c>
      <c r="L10685">
        <v>0.56999999999999995</v>
      </c>
      <c r="M10685">
        <v>0.92</v>
      </c>
      <c r="N10685">
        <v>0.64</v>
      </c>
    </row>
    <row r="10686" spans="1:14" x14ac:dyDescent="0.25">
      <c r="A10686" t="s">
        <v>18595</v>
      </c>
      <c r="B10686" t="s">
        <v>18453</v>
      </c>
      <c r="C10686" s="1" t="str">
        <f>HYPERLINK("http://www.genecards.org/cgi-bin/carddisp.pl?gene=JUND","GeneCards")</f>
        <v>GeneCards</v>
      </c>
      <c r="D10686" s="1" t="str">
        <f>HYPERLINK("http://genome-euro.ucsc.edu/cgi-bin/hgTracks?position=214326_x_at","UCSC")</f>
        <v>UCSC</v>
      </c>
      <c r="E10686" s="1" t="str">
        <f>HYPERLINK("http://www.ncbi.nlm.nih.gov/gene/?term=JUND","NCBI")</f>
        <v>NCBI</v>
      </c>
      <c r="F10686">
        <v>0.25</v>
      </c>
      <c r="G10686">
        <v>0.39</v>
      </c>
      <c r="H10686" s="1" t="str">
        <f>HYPERLINK("http://www.weizmann.ac.il/complex/compphys/software/geview/data/figures/214326_x_at.png","Figure")</f>
        <v>Figure</v>
      </c>
      <c r="I10686">
        <v>0.90200000000000002</v>
      </c>
      <c r="J10686">
        <v>0.45</v>
      </c>
      <c r="K10686">
        <v>1.03</v>
      </c>
      <c r="L10686">
        <v>0.89</v>
      </c>
      <c r="M10686">
        <v>1.1499999999999999</v>
      </c>
      <c r="N10686">
        <v>0.22</v>
      </c>
    </row>
    <row r="10687" spans="1:14" x14ac:dyDescent="0.25">
      <c r="A10687" t="s">
        <v>18596</v>
      </c>
      <c r="B10687" t="s">
        <v>6858</v>
      </c>
      <c r="C10687" s="1" t="str">
        <f>HYPERLINK("http://www.genecards.org/cgi-bin/carddisp.pl?gene=SAP18","GeneCards")</f>
        <v>GeneCards</v>
      </c>
      <c r="D10687" s="1" t="str">
        <f>HYPERLINK("http://genome-euro.ucsc.edu/cgi-bin/hgTracks?position=208742_s_at","UCSC")</f>
        <v>UCSC</v>
      </c>
      <c r="E10687" s="1" t="str">
        <f>HYPERLINK("http://www.ncbi.nlm.nih.gov/gene/?term=SAP18","NCBI")</f>
        <v>NCBI</v>
      </c>
      <c r="F10687">
        <v>0.25</v>
      </c>
      <c r="G10687">
        <v>0.39</v>
      </c>
      <c r="H10687" s="1" t="str">
        <f>HYPERLINK("http://www.weizmann.ac.il/complex/compphys/software/geview/data/figures/208742_s_at.png","Figure")</f>
        <v>Figure</v>
      </c>
      <c r="I10687">
        <v>1.08</v>
      </c>
      <c r="J10687">
        <v>0.85</v>
      </c>
      <c r="K10687">
        <v>0.85699999999999998</v>
      </c>
      <c r="L10687">
        <v>0.49</v>
      </c>
      <c r="M10687">
        <v>0.79</v>
      </c>
      <c r="N10687">
        <v>0.25</v>
      </c>
    </row>
    <row r="10688" spans="1:14" x14ac:dyDescent="0.25">
      <c r="A10688" t="s">
        <v>18597</v>
      </c>
      <c r="B10688" t="s">
        <v>18598</v>
      </c>
      <c r="C10688" s="1" t="str">
        <f>HYPERLINK("http://www.genecards.org/cgi-bin/carddisp.pl?gene=PFTK1","GeneCards")</f>
        <v>GeneCards</v>
      </c>
      <c r="D10688" s="1" t="str">
        <f>HYPERLINK("http://genome-euro.ucsc.edu/cgi-bin/hgTracks?position=211502_s_at","UCSC")</f>
        <v>UCSC</v>
      </c>
      <c r="E10688" s="1" t="str">
        <f>HYPERLINK("http://www.ncbi.nlm.nih.gov/gene/?term=PFTK1","NCBI")</f>
        <v>NCBI</v>
      </c>
      <c r="F10688">
        <v>0.25</v>
      </c>
      <c r="G10688">
        <v>0.39</v>
      </c>
      <c r="H10688" s="1" t="str">
        <f>HYPERLINK("http://www.weizmann.ac.il/complex/compphys/software/geview/data/figures/211502_s_at.png","Figure")</f>
        <v>Figure</v>
      </c>
      <c r="I10688">
        <v>0.70099999999999996</v>
      </c>
      <c r="J10688">
        <v>0.22</v>
      </c>
      <c r="K10688">
        <v>0.84</v>
      </c>
      <c r="L10688">
        <v>0.59</v>
      </c>
      <c r="M10688">
        <v>1.2</v>
      </c>
      <c r="N10688">
        <v>0.61</v>
      </c>
    </row>
    <row r="10689" spans="1:14" x14ac:dyDescent="0.25">
      <c r="A10689" t="s">
        <v>18599</v>
      </c>
      <c r="B10689" t="s">
        <v>18600</v>
      </c>
      <c r="C10689" s="1" t="str">
        <f>HYPERLINK("http://www.genecards.org/cgi-bin/carddisp.pl?gene=TCEB3","GeneCards")</f>
        <v>GeneCards</v>
      </c>
      <c r="D10689" s="1" t="str">
        <f>HYPERLINK("http://genome-euro.ucsc.edu/cgi-bin/hgTracks?position=213604_at","UCSC")</f>
        <v>UCSC</v>
      </c>
      <c r="E10689" s="1" t="str">
        <f>HYPERLINK("http://www.ncbi.nlm.nih.gov/gene/?term=TCEB3","NCBI")</f>
        <v>NCBI</v>
      </c>
      <c r="F10689">
        <v>0.25</v>
      </c>
      <c r="G10689">
        <v>0.39</v>
      </c>
      <c r="H10689" s="1" t="str">
        <f>HYPERLINK("http://www.weizmann.ac.il/complex/compphys/software/geview/data/figures/213604_at.png","Figure")</f>
        <v>Figure</v>
      </c>
      <c r="I10689">
        <v>1.07</v>
      </c>
      <c r="J10689">
        <v>0.74</v>
      </c>
      <c r="K10689">
        <v>0.92300000000000004</v>
      </c>
      <c r="L10689">
        <v>0.59</v>
      </c>
      <c r="M10689">
        <v>0.86299999999999999</v>
      </c>
      <c r="N10689">
        <v>0.23</v>
      </c>
    </row>
    <row r="10690" spans="1:14" x14ac:dyDescent="0.25">
      <c r="A10690" t="s">
        <v>18601</v>
      </c>
      <c r="B10690" t="s">
        <v>18602</v>
      </c>
      <c r="C10690" s="1" t="str">
        <f>HYPERLINK("http://www.genecards.org/cgi-bin/carddisp.pl?gene=DCAF6","GeneCards")</f>
        <v>GeneCards</v>
      </c>
      <c r="D10690" s="1" t="str">
        <f>HYPERLINK("http://genome-euro.ucsc.edu/cgi-bin/hgTracks?position=217908_s_at","UCSC")</f>
        <v>UCSC</v>
      </c>
      <c r="E10690" s="1" t="str">
        <f>HYPERLINK("http://www.ncbi.nlm.nih.gov/gene/?term=DCAF6","NCBI")</f>
        <v>NCBI</v>
      </c>
      <c r="F10690">
        <v>0.25</v>
      </c>
      <c r="G10690">
        <v>0.39</v>
      </c>
      <c r="H10690" s="1" t="str">
        <f>HYPERLINK("http://www.weizmann.ac.il/complex/compphys/software/geview/data/figures/217908_s_at.png","Figure")</f>
        <v>Figure</v>
      </c>
      <c r="I10690">
        <v>1.06</v>
      </c>
      <c r="J10690">
        <v>0.92</v>
      </c>
      <c r="K10690">
        <v>1.24</v>
      </c>
      <c r="L10690">
        <v>0.25</v>
      </c>
      <c r="M10690">
        <v>1.17</v>
      </c>
      <c r="N10690">
        <v>0.5</v>
      </c>
    </row>
    <row r="10691" spans="1:14" x14ac:dyDescent="0.25">
      <c r="A10691" t="s">
        <v>18603</v>
      </c>
      <c r="B10691" t="s">
        <v>2687</v>
      </c>
      <c r="C10691" s="1" t="str">
        <f>HYPERLINK("http://www.genecards.org/cgi-bin/carddisp.pl?gene=RUNX1","GeneCards")</f>
        <v>GeneCards</v>
      </c>
      <c r="D10691" s="1" t="str">
        <f>HYPERLINK("http://genome-euro.ucsc.edu/cgi-bin/hgTracks?position=211182_x_at","UCSC")</f>
        <v>UCSC</v>
      </c>
      <c r="E10691" s="1" t="str">
        <f>HYPERLINK("http://www.ncbi.nlm.nih.gov/gene/?term=RUNX1","NCBI")</f>
        <v>NCBI</v>
      </c>
      <c r="F10691">
        <v>0.25</v>
      </c>
      <c r="G10691">
        <v>0.39</v>
      </c>
      <c r="H10691" s="1" t="str">
        <f>HYPERLINK("http://www.weizmann.ac.il/complex/compphys/software/geview/data/figures/211182_x_at.png","Figure")</f>
        <v>Figure</v>
      </c>
      <c r="I10691">
        <v>1.19</v>
      </c>
      <c r="J10691">
        <v>0.22</v>
      </c>
      <c r="K10691">
        <v>1.08</v>
      </c>
      <c r="L10691">
        <v>0.67</v>
      </c>
      <c r="M10691">
        <v>0.90700000000000003</v>
      </c>
      <c r="N10691">
        <v>0.54</v>
      </c>
    </row>
    <row r="10692" spans="1:14" x14ac:dyDescent="0.25">
      <c r="A10692" t="s">
        <v>18604</v>
      </c>
      <c r="B10692" t="s">
        <v>18605</v>
      </c>
      <c r="C10692" s="1" t="str">
        <f>HYPERLINK("http://www.genecards.org/cgi-bin/carddisp.pl?gene=SMA4","GeneCards")</f>
        <v>GeneCards</v>
      </c>
      <c r="D10692" s="1" t="str">
        <f>HYPERLINK("http://genome-euro.ucsc.edu/cgi-bin/hgTracks?position=206565_x_at","UCSC")</f>
        <v>UCSC</v>
      </c>
      <c r="E10692" s="1" t="str">
        <f>HYPERLINK("http://www.ncbi.nlm.nih.gov/gene/?term=SMA4","NCBI")</f>
        <v>NCBI</v>
      </c>
      <c r="F10692">
        <v>0.25</v>
      </c>
      <c r="G10692">
        <v>0.39</v>
      </c>
      <c r="H10692" s="1" t="str">
        <f>HYPERLINK("http://www.weizmann.ac.il/complex/compphys/software/geview/data/figures/206565_x_at.png","Figure")</f>
        <v>Figure</v>
      </c>
      <c r="I10692">
        <v>1.0900000000000001</v>
      </c>
      <c r="J10692">
        <v>0.91</v>
      </c>
      <c r="K10692">
        <v>0.80400000000000005</v>
      </c>
      <c r="L10692">
        <v>0.44</v>
      </c>
      <c r="M10692">
        <v>0.73899999999999999</v>
      </c>
      <c r="N10692">
        <v>0.27</v>
      </c>
    </row>
    <row r="10693" spans="1:14" x14ac:dyDescent="0.25">
      <c r="A10693" t="s">
        <v>18606</v>
      </c>
      <c r="B10693" t="s">
        <v>18607</v>
      </c>
      <c r="C10693" s="1" t="str">
        <f>HYPERLINK("http://www.genecards.org/cgi-bin/carddisp.pl?gene=BCL9","GeneCards")</f>
        <v>GeneCards</v>
      </c>
      <c r="D10693" s="1" t="str">
        <f>HYPERLINK("http://genome-euro.ucsc.edu/cgi-bin/hgTracks?position=204129_at","UCSC")</f>
        <v>UCSC</v>
      </c>
      <c r="E10693" s="1" t="str">
        <f>HYPERLINK("http://www.ncbi.nlm.nih.gov/gene/?term=BCL9","NCBI")</f>
        <v>NCBI</v>
      </c>
      <c r="F10693">
        <v>0.25</v>
      </c>
      <c r="G10693">
        <v>0.39</v>
      </c>
      <c r="H10693" s="1" t="str">
        <f>HYPERLINK("http://www.weizmann.ac.il/complex/compphys/software/geview/data/figures/204129_at.png","Figure")</f>
        <v>Figure</v>
      </c>
      <c r="I10693">
        <v>1.1000000000000001</v>
      </c>
      <c r="J10693">
        <v>0.33</v>
      </c>
      <c r="K10693">
        <v>0.996</v>
      </c>
      <c r="L10693">
        <v>1</v>
      </c>
      <c r="M10693">
        <v>0.90700000000000003</v>
      </c>
      <c r="N10693">
        <v>0.26</v>
      </c>
    </row>
    <row r="10694" spans="1:14" x14ac:dyDescent="0.25">
      <c r="A10694" t="s">
        <v>18608</v>
      </c>
      <c r="B10694" t="s">
        <v>9047</v>
      </c>
      <c r="C10694" s="1" t="str">
        <f>HYPERLINK("http://www.genecards.org/cgi-bin/carddisp.pl?gene=SF1","GeneCards")</f>
        <v>GeneCards</v>
      </c>
      <c r="D10694" s="1" t="str">
        <f>HYPERLINK("http://genome-euro.ucsc.edu/cgi-bin/hgTracks?position=210172_at","UCSC")</f>
        <v>UCSC</v>
      </c>
      <c r="E10694" s="1" t="str">
        <f>HYPERLINK("http://www.ncbi.nlm.nih.gov/gene/?term=SF1","NCBI")</f>
        <v>NCBI</v>
      </c>
      <c r="F10694">
        <v>0.25</v>
      </c>
      <c r="G10694">
        <v>0.39</v>
      </c>
      <c r="H10694" s="1" t="str">
        <f>HYPERLINK("http://www.weizmann.ac.il/complex/compphys/software/geview/data/figures/210172_at.png","Figure")</f>
        <v>Figure</v>
      </c>
      <c r="I10694">
        <v>1.8</v>
      </c>
      <c r="J10694">
        <v>0.28999999999999998</v>
      </c>
      <c r="K10694">
        <v>1.04</v>
      </c>
      <c r="L10694">
        <v>0.99</v>
      </c>
      <c r="M10694">
        <v>0.57899999999999996</v>
      </c>
      <c r="N10694">
        <v>0.28999999999999998</v>
      </c>
    </row>
    <row r="10695" spans="1:14" x14ac:dyDescent="0.25">
      <c r="A10695" t="s">
        <v>18609</v>
      </c>
      <c r="B10695" t="s">
        <v>18610</v>
      </c>
      <c r="C10695" s="1" t="str">
        <f>HYPERLINK("http://www.genecards.org/cgi-bin/carddisp.pl?gene=HIST1H4J","GeneCards")</f>
        <v>GeneCards</v>
      </c>
      <c r="D10695" s="1" t="str">
        <f>HYPERLINK("http://genome-euro.ucsc.edu/cgi-bin/hgTracks?position=214463_x_at","UCSC")</f>
        <v>UCSC</v>
      </c>
      <c r="E10695" s="1" t="str">
        <f>HYPERLINK("http://www.ncbi.nlm.nih.gov/gene/?term=HIST1H4J","NCBI")</f>
        <v>NCBI</v>
      </c>
      <c r="F10695">
        <v>0.25</v>
      </c>
      <c r="G10695">
        <v>0.39</v>
      </c>
      <c r="H10695" s="1" t="str">
        <f>HYPERLINK("http://www.weizmann.ac.il/complex/compphys/software/geview/data/figures/214463_x_at.png","Figure")</f>
        <v>Figure</v>
      </c>
      <c r="I10695">
        <v>1.38</v>
      </c>
      <c r="J10695">
        <v>0.24</v>
      </c>
      <c r="K10695">
        <v>1.22</v>
      </c>
      <c r="L10695">
        <v>0.45</v>
      </c>
      <c r="M10695">
        <v>0.88800000000000001</v>
      </c>
      <c r="N10695">
        <v>0.78</v>
      </c>
    </row>
    <row r="10696" spans="1:14" x14ac:dyDescent="0.25">
      <c r="A10696" t="s">
        <v>18611</v>
      </c>
      <c r="B10696" t="s">
        <v>18612</v>
      </c>
      <c r="C10696" s="1" t="str">
        <f>HYPERLINK("http://www.genecards.org/cgi-bin/carddisp.pl?gene=NAV2","GeneCards")</f>
        <v>GeneCards</v>
      </c>
      <c r="D10696" s="1" t="str">
        <f>HYPERLINK("http://genome-euro.ucsc.edu/cgi-bin/hgTracks?position=218330_s_at","UCSC")</f>
        <v>UCSC</v>
      </c>
      <c r="E10696" s="1" t="str">
        <f>HYPERLINK("http://www.ncbi.nlm.nih.gov/gene/?term=NAV2","NCBI")</f>
        <v>NCBI</v>
      </c>
      <c r="F10696">
        <v>0.25</v>
      </c>
      <c r="G10696">
        <v>0.39</v>
      </c>
      <c r="H10696" s="1" t="str">
        <f>HYPERLINK("http://www.weizmann.ac.il/complex/compphys/software/geview/data/figures/218330_s_at.png","Figure")</f>
        <v>Figure</v>
      </c>
      <c r="I10696">
        <v>1.1599999999999999</v>
      </c>
      <c r="J10696">
        <v>0.36</v>
      </c>
      <c r="K10696">
        <v>1.1599999999999999</v>
      </c>
      <c r="L10696">
        <v>0.27</v>
      </c>
      <c r="M10696">
        <v>1</v>
      </c>
      <c r="N10696">
        <v>1</v>
      </c>
    </row>
    <row r="10697" spans="1:14" x14ac:dyDescent="0.25">
      <c r="A10697" t="s">
        <v>18613</v>
      </c>
      <c r="B10697" t="s">
        <v>18614</v>
      </c>
      <c r="C10697" s="1" t="str">
        <f>HYPERLINK("http://www.genecards.org/cgi-bin/carddisp.pl?gene=RAB6A /// RAB6C","GeneCards")</f>
        <v>GeneCards</v>
      </c>
      <c r="D10697" s="1" t="str">
        <f>HYPERLINK("http://genome-euro.ucsc.edu/cgi-bin/hgTracks?position=210406_s_at","UCSC")</f>
        <v>UCSC</v>
      </c>
      <c r="E10697" s="1" t="str">
        <f>HYPERLINK("http://www.ncbi.nlm.nih.gov/gene/?term=RAB6A /// RAB6C","NCBI")</f>
        <v>NCBI</v>
      </c>
      <c r="F10697">
        <v>0.25</v>
      </c>
      <c r="G10697">
        <v>0.39</v>
      </c>
      <c r="H10697" s="1" t="str">
        <f>HYPERLINK("http://www.weizmann.ac.il/complex/compphys/software/geview/data/figures/210406_s_at.png","Figure")</f>
        <v>Figure</v>
      </c>
      <c r="I10697">
        <v>0.76800000000000002</v>
      </c>
      <c r="J10697">
        <v>0.26</v>
      </c>
      <c r="K10697">
        <v>0.95599999999999996</v>
      </c>
      <c r="L10697">
        <v>0.94</v>
      </c>
      <c r="M10697">
        <v>1.25</v>
      </c>
      <c r="N10697">
        <v>0.33</v>
      </c>
    </row>
    <row r="10698" spans="1:14" x14ac:dyDescent="0.25">
      <c r="A10698" t="s">
        <v>18615</v>
      </c>
      <c r="B10698" t="s">
        <v>18616</v>
      </c>
      <c r="C10698" s="1" t="str">
        <f>HYPERLINK("http://www.genecards.org/cgi-bin/carddisp.pl?gene=MTMR9","GeneCards")</f>
        <v>GeneCards</v>
      </c>
      <c r="D10698" s="1" t="str">
        <f>HYPERLINK("http://genome-euro.ucsc.edu/cgi-bin/hgTracks?position=204837_at","UCSC")</f>
        <v>UCSC</v>
      </c>
      <c r="E10698" s="1" t="str">
        <f>HYPERLINK("http://www.ncbi.nlm.nih.gov/gene/?term=MTMR9","NCBI")</f>
        <v>NCBI</v>
      </c>
      <c r="F10698">
        <v>0.25</v>
      </c>
      <c r="G10698">
        <v>0.39</v>
      </c>
      <c r="H10698" s="1" t="str">
        <f>HYPERLINK("http://www.weizmann.ac.il/complex/compphys/software/geview/data/figures/204837_at.png","Figure")</f>
        <v>Figure</v>
      </c>
      <c r="I10698">
        <v>1.2</v>
      </c>
      <c r="J10698">
        <v>0.54</v>
      </c>
      <c r="K10698">
        <v>0.91200000000000003</v>
      </c>
      <c r="L10698">
        <v>0.8</v>
      </c>
      <c r="M10698">
        <v>0.76200000000000001</v>
      </c>
      <c r="N10698">
        <v>0.22</v>
      </c>
    </row>
    <row r="10699" spans="1:14" x14ac:dyDescent="0.25">
      <c r="A10699" t="s">
        <v>18617</v>
      </c>
      <c r="B10699" t="s">
        <v>18618</v>
      </c>
      <c r="C10699" s="1" t="str">
        <f>HYPERLINK("http://www.genecards.org/cgi-bin/carddisp.pl?gene=TRIM34 /// TRIM6-TRIM34","GeneCards")</f>
        <v>GeneCards</v>
      </c>
      <c r="D10699" s="1" t="str">
        <f>HYPERLINK("http://genome-euro.ucsc.edu/cgi-bin/hgTracks?position=221044_s_at","UCSC")</f>
        <v>UCSC</v>
      </c>
      <c r="E10699" s="1" t="str">
        <f>HYPERLINK("http://www.ncbi.nlm.nih.gov/gene/?term=TRIM34 /// TRIM6-TRIM34","NCBI")</f>
        <v>NCBI</v>
      </c>
      <c r="F10699">
        <v>0.25</v>
      </c>
      <c r="G10699">
        <v>0.39</v>
      </c>
      <c r="H10699" s="1" t="str">
        <f>HYPERLINK("http://www.weizmann.ac.il/complex/compphys/software/geview/data/figures/221044_s_at.png","Figure")</f>
        <v>Figure</v>
      </c>
      <c r="I10699">
        <v>0.88900000000000001</v>
      </c>
      <c r="J10699">
        <v>0.82</v>
      </c>
      <c r="K10699">
        <v>1.21</v>
      </c>
      <c r="L10699">
        <v>0.52</v>
      </c>
      <c r="M10699">
        <v>1.36</v>
      </c>
      <c r="N10699">
        <v>0.24</v>
      </c>
    </row>
    <row r="10700" spans="1:14" x14ac:dyDescent="0.25">
      <c r="A10700" t="s">
        <v>18619</v>
      </c>
      <c r="B10700" t="s">
        <v>18620</v>
      </c>
      <c r="C10700" s="1" t="str">
        <f>HYPERLINK("http://www.genecards.org/cgi-bin/carddisp.pl?gene=DHTKD1","GeneCards")</f>
        <v>GeneCards</v>
      </c>
      <c r="D10700" s="1" t="str">
        <f>HYPERLINK("http://genome-euro.ucsc.edu/cgi-bin/hgTracks?position=209916_at","UCSC")</f>
        <v>UCSC</v>
      </c>
      <c r="E10700" s="1" t="str">
        <f>HYPERLINK("http://www.ncbi.nlm.nih.gov/gene/?term=DHTKD1","NCBI")</f>
        <v>NCBI</v>
      </c>
      <c r="F10700">
        <v>0.25</v>
      </c>
      <c r="G10700">
        <v>0.39</v>
      </c>
      <c r="H10700" s="1" t="str">
        <f>HYPERLINK("http://www.weizmann.ac.il/complex/compphys/software/geview/data/figures/209916_at.png","Figure")</f>
        <v>Figure</v>
      </c>
      <c r="I10700">
        <v>0.71899999999999997</v>
      </c>
      <c r="J10700">
        <v>0.27</v>
      </c>
      <c r="K10700">
        <v>0.77400000000000002</v>
      </c>
      <c r="L10700">
        <v>0.35</v>
      </c>
      <c r="M10700">
        <v>1.08</v>
      </c>
      <c r="N10700">
        <v>0.92</v>
      </c>
    </row>
    <row r="10701" spans="1:14" x14ac:dyDescent="0.25">
      <c r="A10701" t="s">
        <v>18621</v>
      </c>
      <c r="B10701" t="s">
        <v>12782</v>
      </c>
      <c r="C10701" s="1" t="str">
        <f>HYPERLINK("http://www.genecards.org/cgi-bin/carddisp.pl?gene=ESR1","GeneCards")</f>
        <v>GeneCards</v>
      </c>
      <c r="D10701" s="1" t="str">
        <f>HYPERLINK("http://genome-euro.ucsc.edu/cgi-bin/hgTracks?position=215551_at","UCSC")</f>
        <v>UCSC</v>
      </c>
      <c r="E10701" s="1" t="str">
        <f>HYPERLINK("http://www.ncbi.nlm.nih.gov/gene/?term=ESR1","NCBI")</f>
        <v>NCBI</v>
      </c>
      <c r="F10701">
        <v>0.25</v>
      </c>
      <c r="G10701">
        <v>0.39</v>
      </c>
      <c r="H10701" s="1" t="str">
        <f>HYPERLINK("http://www.weizmann.ac.il/complex/compphys/software/geview/data/figures/215551_at.png","Figure")</f>
        <v>Figure</v>
      </c>
      <c r="I10701">
        <v>1</v>
      </c>
      <c r="J10701">
        <v>1</v>
      </c>
      <c r="K10701">
        <v>0.96499999999999997</v>
      </c>
      <c r="L10701">
        <v>0.31</v>
      </c>
      <c r="M10701">
        <v>0.96499999999999997</v>
      </c>
      <c r="N10701">
        <v>0.36</v>
      </c>
    </row>
    <row r="10702" spans="1:14" x14ac:dyDescent="0.25">
      <c r="A10702" t="s">
        <v>18622</v>
      </c>
      <c r="B10702" t="s">
        <v>18623</v>
      </c>
      <c r="C10702" s="1" t="str">
        <f>HYPERLINK("http://www.genecards.org/cgi-bin/carddisp.pl?gene=NDUFA1","GeneCards")</f>
        <v>GeneCards</v>
      </c>
      <c r="D10702" s="1" t="str">
        <f>HYPERLINK("http://genome-euro.ucsc.edu/cgi-bin/hgTracks?position=202298_at","UCSC")</f>
        <v>UCSC</v>
      </c>
      <c r="E10702" s="1" t="str">
        <f>HYPERLINK("http://www.ncbi.nlm.nih.gov/gene/?term=NDUFA1","NCBI")</f>
        <v>NCBI</v>
      </c>
      <c r="F10702">
        <v>0.25</v>
      </c>
      <c r="G10702">
        <v>0.39</v>
      </c>
      <c r="H10702" s="1" t="str">
        <f>HYPERLINK("http://www.weizmann.ac.il/complex/compphys/software/geview/data/figures/202298_at.png","Figure")</f>
        <v>Figure</v>
      </c>
      <c r="I10702">
        <v>0.99399999999999999</v>
      </c>
      <c r="J10702">
        <v>1</v>
      </c>
      <c r="K10702">
        <v>1.36</v>
      </c>
      <c r="L10702">
        <v>0.32</v>
      </c>
      <c r="M10702">
        <v>1.37</v>
      </c>
      <c r="N10702">
        <v>0.35</v>
      </c>
    </row>
    <row r="10703" spans="1:14" x14ac:dyDescent="0.25">
      <c r="A10703" t="s">
        <v>18624</v>
      </c>
      <c r="B10703" t="s">
        <v>18625</v>
      </c>
      <c r="C10703" s="1" t="str">
        <f>HYPERLINK("http://www.genecards.org/cgi-bin/carddisp.pl?gene=SPATA20","GeneCards")</f>
        <v>GeneCards</v>
      </c>
      <c r="D10703" s="1" t="str">
        <f>HYPERLINK("http://genome-euro.ucsc.edu/cgi-bin/hgTracks?position=218164_at","UCSC")</f>
        <v>UCSC</v>
      </c>
      <c r="E10703" s="1" t="str">
        <f>HYPERLINK("http://www.ncbi.nlm.nih.gov/gene/?term=SPATA20","NCBI")</f>
        <v>NCBI</v>
      </c>
      <c r="F10703">
        <v>0.25</v>
      </c>
      <c r="G10703">
        <v>0.39</v>
      </c>
      <c r="H10703" s="1" t="str">
        <f>HYPERLINK("http://www.weizmann.ac.il/complex/compphys/software/geview/data/figures/218164_at.png","Figure")</f>
        <v>Figure</v>
      </c>
      <c r="I10703">
        <v>0.91800000000000004</v>
      </c>
      <c r="J10703">
        <v>0.88</v>
      </c>
      <c r="K10703">
        <v>1.21</v>
      </c>
      <c r="L10703">
        <v>0.46</v>
      </c>
      <c r="M10703">
        <v>1.32</v>
      </c>
      <c r="N10703">
        <v>0.26</v>
      </c>
    </row>
    <row r="10704" spans="1:14" x14ac:dyDescent="0.25">
      <c r="A10704" t="s">
        <v>18626</v>
      </c>
      <c r="B10704" t="s">
        <v>18627</v>
      </c>
      <c r="C10704" s="1" t="str">
        <f>HYPERLINK("http://www.genecards.org/cgi-bin/carddisp.pl?gene=KDM3B","GeneCards")</f>
        <v>GeneCards</v>
      </c>
      <c r="D10704" s="1" t="str">
        <f>HYPERLINK("http://genome-euro.ucsc.edu/cgi-bin/hgTracks?position=201643_x_at","UCSC")</f>
        <v>UCSC</v>
      </c>
      <c r="E10704" s="1" t="str">
        <f>HYPERLINK("http://www.ncbi.nlm.nih.gov/gene/?term=KDM3B","NCBI")</f>
        <v>NCBI</v>
      </c>
      <c r="F10704">
        <v>0.25</v>
      </c>
      <c r="G10704">
        <v>0.39</v>
      </c>
      <c r="H10704" s="1" t="str">
        <f>HYPERLINK("http://www.weizmann.ac.il/complex/compphys/software/geview/data/figures/201643_x_at.png","Figure")</f>
        <v>Figure</v>
      </c>
      <c r="I10704">
        <v>0.97299999999999998</v>
      </c>
      <c r="J10704">
        <v>0.98</v>
      </c>
      <c r="K10704">
        <v>0.79900000000000004</v>
      </c>
      <c r="L10704">
        <v>0.28000000000000003</v>
      </c>
      <c r="M10704">
        <v>0.82199999999999995</v>
      </c>
      <c r="N10704">
        <v>0.41</v>
      </c>
    </row>
    <row r="10705" spans="1:14" x14ac:dyDescent="0.25">
      <c r="A10705" t="s">
        <v>18628</v>
      </c>
      <c r="B10705" t="s">
        <v>18629</v>
      </c>
      <c r="C10705" s="1" t="str">
        <f>HYPERLINK("http://www.genecards.org/cgi-bin/carddisp.pl?gene=ZNF571","GeneCards")</f>
        <v>GeneCards</v>
      </c>
      <c r="D10705" s="1" t="str">
        <f>HYPERLINK("http://genome-euro.ucsc.edu/cgi-bin/hgTracks?position=206648_at","UCSC")</f>
        <v>UCSC</v>
      </c>
      <c r="E10705" s="1" t="str">
        <f>HYPERLINK("http://www.ncbi.nlm.nih.gov/gene/?term=ZNF571","NCBI")</f>
        <v>NCBI</v>
      </c>
      <c r="F10705">
        <v>0.25</v>
      </c>
      <c r="G10705">
        <v>0.39</v>
      </c>
      <c r="H10705" s="1" t="str">
        <f>HYPERLINK("http://www.weizmann.ac.il/complex/compphys/software/geview/data/figures/206648_at.png","Figure")</f>
        <v>Figure</v>
      </c>
      <c r="I10705">
        <v>0.91700000000000004</v>
      </c>
      <c r="J10705">
        <v>0.25</v>
      </c>
      <c r="K10705">
        <v>0.98199999999999998</v>
      </c>
      <c r="L10705">
        <v>0.92</v>
      </c>
      <c r="M10705">
        <v>1.07</v>
      </c>
      <c r="N10705">
        <v>0.35</v>
      </c>
    </row>
    <row r="10706" spans="1:14" x14ac:dyDescent="0.25">
      <c r="A10706" t="s">
        <v>18630</v>
      </c>
      <c r="B10706" t="s">
        <v>5398</v>
      </c>
      <c r="C10706" s="1" t="str">
        <f>HYPERLINK("http://www.genecards.org/cgi-bin/carddisp.pl?gene=TP63","GeneCards")</f>
        <v>GeneCards</v>
      </c>
      <c r="D10706" s="1" t="str">
        <f>HYPERLINK("http://genome-euro.ucsc.edu/cgi-bin/hgTracks?position=211195_s_at","UCSC")</f>
        <v>UCSC</v>
      </c>
      <c r="E10706" s="1" t="str">
        <f>HYPERLINK("http://www.ncbi.nlm.nih.gov/gene/?term=TP63","NCBI")</f>
        <v>NCBI</v>
      </c>
      <c r="F10706">
        <v>0.25</v>
      </c>
      <c r="G10706">
        <v>0.39</v>
      </c>
      <c r="H10706" s="1" t="str">
        <f>HYPERLINK("http://www.weizmann.ac.il/complex/compphys/software/geview/data/figures/211195_s_at.png","Figure")</f>
        <v>Figure</v>
      </c>
      <c r="I10706">
        <v>1.07</v>
      </c>
      <c r="J10706">
        <v>0.72</v>
      </c>
      <c r="K10706">
        <v>0.92700000000000005</v>
      </c>
      <c r="L10706">
        <v>0.61</v>
      </c>
      <c r="M10706">
        <v>0.86299999999999999</v>
      </c>
      <c r="N10706">
        <v>0.23</v>
      </c>
    </row>
    <row r="10707" spans="1:14" x14ac:dyDescent="0.25">
      <c r="A10707" t="s">
        <v>18631</v>
      </c>
      <c r="B10707" t="s">
        <v>18632</v>
      </c>
      <c r="C10707" s="1" t="str">
        <f>HYPERLINK("http://www.genecards.org/cgi-bin/carddisp.pl?gene=MFN1","GeneCards")</f>
        <v>GeneCards</v>
      </c>
      <c r="D10707" s="1" t="str">
        <f>HYPERLINK("http://genome-euro.ucsc.edu/cgi-bin/hgTracks?position=211801_x_at","UCSC")</f>
        <v>UCSC</v>
      </c>
      <c r="E10707" s="1" t="str">
        <f>HYPERLINK("http://www.ncbi.nlm.nih.gov/gene/?term=MFN1","NCBI")</f>
        <v>NCBI</v>
      </c>
      <c r="F10707">
        <v>0.25</v>
      </c>
      <c r="G10707">
        <v>0.39</v>
      </c>
      <c r="H10707" s="1" t="str">
        <f>HYPERLINK("http://www.weizmann.ac.il/complex/compphys/software/geview/data/figures/211801_x_at.png","Figure")</f>
        <v>Figure</v>
      </c>
      <c r="I10707">
        <v>1.05</v>
      </c>
      <c r="J10707">
        <v>0.77</v>
      </c>
      <c r="K10707">
        <v>0.93799999999999994</v>
      </c>
      <c r="L10707">
        <v>0.56000000000000005</v>
      </c>
      <c r="M10707">
        <v>0.89300000000000002</v>
      </c>
      <c r="N10707">
        <v>0.24</v>
      </c>
    </row>
    <row r="10708" spans="1:14" x14ac:dyDescent="0.25">
      <c r="A10708" t="s">
        <v>18633</v>
      </c>
      <c r="B10708" t="s">
        <v>18634</v>
      </c>
      <c r="C10708" s="1" t="str">
        <f>HYPERLINK("http://www.genecards.org/cgi-bin/carddisp.pl?gene=MARK4","GeneCards")</f>
        <v>GeneCards</v>
      </c>
      <c r="D10708" s="1" t="str">
        <f>HYPERLINK("http://genome-euro.ucsc.edu/cgi-bin/hgTracks?position=221560_at","UCSC")</f>
        <v>UCSC</v>
      </c>
      <c r="E10708" s="1" t="str">
        <f>HYPERLINK("http://www.ncbi.nlm.nih.gov/gene/?term=MARK4","NCBI")</f>
        <v>NCBI</v>
      </c>
      <c r="F10708">
        <v>0.25</v>
      </c>
      <c r="G10708">
        <v>0.39</v>
      </c>
      <c r="H10708" s="1" t="str">
        <f>HYPERLINK("http://www.weizmann.ac.il/complex/compphys/software/geview/data/figures/221560_at.png","Figure")</f>
        <v>Figure</v>
      </c>
      <c r="I10708">
        <v>1.1599999999999999</v>
      </c>
      <c r="J10708">
        <v>0.4</v>
      </c>
      <c r="K10708">
        <v>1.17</v>
      </c>
      <c r="L10708">
        <v>0.25</v>
      </c>
      <c r="M10708">
        <v>1.01</v>
      </c>
      <c r="N10708">
        <v>0.99</v>
      </c>
    </row>
    <row r="10709" spans="1:14" x14ac:dyDescent="0.25">
      <c r="A10709" t="s">
        <v>18635</v>
      </c>
      <c r="B10709" t="s">
        <v>16561</v>
      </c>
      <c r="C10709" s="1" t="str">
        <f>HYPERLINK("http://www.genecards.org/cgi-bin/carddisp.pl?gene=MAN1B1","GeneCards")</f>
        <v>GeneCards</v>
      </c>
      <c r="D10709" s="1" t="str">
        <f>HYPERLINK("http://genome-euro.ucsc.edu/cgi-bin/hgTracks?position=65884_at","UCSC")</f>
        <v>UCSC</v>
      </c>
      <c r="E10709" s="1" t="str">
        <f>HYPERLINK("http://www.ncbi.nlm.nih.gov/gene/?term=MAN1B1","NCBI")</f>
        <v>NCBI</v>
      </c>
      <c r="F10709">
        <v>0.25</v>
      </c>
      <c r="G10709">
        <v>0.39</v>
      </c>
      <c r="H10709" s="1" t="str">
        <f>HYPERLINK("http://www.weizmann.ac.il/complex/compphys/software/geview/data/figures/65884_at.png","Figure")</f>
        <v>Figure</v>
      </c>
      <c r="I10709">
        <v>0.872</v>
      </c>
      <c r="J10709">
        <v>0.4</v>
      </c>
      <c r="K10709">
        <v>0.86099999999999999</v>
      </c>
      <c r="L10709">
        <v>0.25</v>
      </c>
      <c r="M10709">
        <v>0.98799999999999999</v>
      </c>
      <c r="N10709">
        <v>0.99</v>
      </c>
    </row>
    <row r="10710" spans="1:14" x14ac:dyDescent="0.25">
      <c r="A10710" t="s">
        <v>18636</v>
      </c>
      <c r="B10710" t="s">
        <v>11275</v>
      </c>
      <c r="C10710" s="1" t="str">
        <f>HYPERLINK("http://www.genecards.org/cgi-bin/carddisp.pl?gene=SNX19","GeneCards")</f>
        <v>GeneCards</v>
      </c>
      <c r="D10710" s="1" t="str">
        <f>HYPERLINK("http://genome-euro.ucsc.edu/cgi-bin/hgTracks?position=202359_s_at","UCSC")</f>
        <v>UCSC</v>
      </c>
      <c r="E10710" s="1" t="str">
        <f>HYPERLINK("http://www.ncbi.nlm.nih.gov/gene/?term=SNX19","NCBI")</f>
        <v>NCBI</v>
      </c>
      <c r="F10710">
        <v>0.25</v>
      </c>
      <c r="G10710">
        <v>0.39</v>
      </c>
      <c r="H10710" s="1" t="str">
        <f>HYPERLINK("http://www.weizmann.ac.il/complex/compphys/software/geview/data/figures/202359_s_at.png","Figure")</f>
        <v>Figure</v>
      </c>
      <c r="I10710">
        <v>0.88400000000000001</v>
      </c>
      <c r="J10710">
        <v>0.54</v>
      </c>
      <c r="K10710">
        <v>1.07</v>
      </c>
      <c r="L10710">
        <v>0.8</v>
      </c>
      <c r="M10710">
        <v>1.21</v>
      </c>
      <c r="N10710">
        <v>0.22</v>
      </c>
    </row>
    <row r="10711" spans="1:14" x14ac:dyDescent="0.25">
      <c r="A10711" t="s">
        <v>18637</v>
      </c>
      <c r="B10711" t="s">
        <v>18638</v>
      </c>
      <c r="C10711" s="1" t="str">
        <f>HYPERLINK("http://www.genecards.org/cgi-bin/carddisp.pl?gene=OPN3","GeneCards")</f>
        <v>GeneCards</v>
      </c>
      <c r="D10711" s="1" t="str">
        <f>HYPERLINK("http://genome-euro.ucsc.edu/cgi-bin/hgTracks?position=219032_x_at","UCSC")</f>
        <v>UCSC</v>
      </c>
      <c r="E10711" s="1" t="str">
        <f>HYPERLINK("http://www.ncbi.nlm.nih.gov/gene/?term=OPN3","NCBI")</f>
        <v>NCBI</v>
      </c>
      <c r="F10711">
        <v>0.25</v>
      </c>
      <c r="G10711">
        <v>0.39</v>
      </c>
      <c r="H10711" s="1" t="str">
        <f>HYPERLINK("http://www.weizmann.ac.il/complex/compphys/software/geview/data/figures/219032_x_at.png","Figure")</f>
        <v>Figure</v>
      </c>
      <c r="I10711">
        <v>1.6</v>
      </c>
      <c r="J10711">
        <v>0.48</v>
      </c>
      <c r="K10711">
        <v>1.82</v>
      </c>
      <c r="L10711">
        <v>0.23</v>
      </c>
      <c r="M10711">
        <v>1.1399999999999999</v>
      </c>
      <c r="N10711">
        <v>0.93</v>
      </c>
    </row>
    <row r="10712" spans="1:14" x14ac:dyDescent="0.25">
      <c r="A10712" t="s">
        <v>18639</v>
      </c>
      <c r="B10712" t="s">
        <v>18640</v>
      </c>
      <c r="C10712" s="1" t="str">
        <f>HYPERLINK("http://www.genecards.org/cgi-bin/carddisp.pl?gene=ARHGAP5","GeneCards")</f>
        <v>GeneCards</v>
      </c>
      <c r="D10712" s="1" t="str">
        <f>HYPERLINK("http://genome-euro.ucsc.edu/cgi-bin/hgTracks?position=217936_at","UCSC")</f>
        <v>UCSC</v>
      </c>
      <c r="E10712" s="1" t="str">
        <f>HYPERLINK("http://www.ncbi.nlm.nih.gov/gene/?term=ARHGAP5","NCBI")</f>
        <v>NCBI</v>
      </c>
      <c r="F10712">
        <v>0.25</v>
      </c>
      <c r="G10712">
        <v>0.39</v>
      </c>
      <c r="H10712" s="1" t="str">
        <f>HYPERLINK("http://www.weizmann.ac.il/complex/compphys/software/geview/data/figures/217936_at.png","Figure")</f>
        <v>Figure</v>
      </c>
      <c r="I10712">
        <v>0.80600000000000005</v>
      </c>
      <c r="J10712">
        <v>0.23</v>
      </c>
      <c r="K10712">
        <v>0.93899999999999995</v>
      </c>
      <c r="L10712">
        <v>0.84</v>
      </c>
      <c r="M10712">
        <v>1.17</v>
      </c>
      <c r="N10712">
        <v>0.41</v>
      </c>
    </row>
    <row r="10713" spans="1:14" x14ac:dyDescent="0.25">
      <c r="A10713" t="s">
        <v>18641</v>
      </c>
      <c r="B10713" t="s">
        <v>2631</v>
      </c>
      <c r="C10713" s="1" t="str">
        <f>HYPERLINK("http://www.genecards.org/cgi-bin/carddisp.pl?gene=GGA2","GeneCards")</f>
        <v>GeneCards</v>
      </c>
      <c r="D10713" s="1" t="str">
        <f>HYPERLINK("http://genome-euro.ucsc.edu/cgi-bin/hgTracks?position=208913_at","UCSC")</f>
        <v>UCSC</v>
      </c>
      <c r="E10713" s="1" t="str">
        <f>HYPERLINK("http://www.ncbi.nlm.nih.gov/gene/?term=GGA2","NCBI")</f>
        <v>NCBI</v>
      </c>
      <c r="F10713">
        <v>0.25</v>
      </c>
      <c r="G10713">
        <v>0.39</v>
      </c>
      <c r="H10713" s="1" t="str">
        <f>HYPERLINK("http://www.weizmann.ac.il/complex/compphys/software/geview/data/figures/208913_at.png","Figure")</f>
        <v>Figure</v>
      </c>
      <c r="I10713">
        <v>0.85899999999999999</v>
      </c>
      <c r="J10713">
        <v>0.78</v>
      </c>
      <c r="K10713">
        <v>0.71099999999999997</v>
      </c>
      <c r="L10713">
        <v>0.22</v>
      </c>
      <c r="M10713">
        <v>0.82799999999999996</v>
      </c>
      <c r="N10713">
        <v>0.65</v>
      </c>
    </row>
    <row r="10714" spans="1:14" x14ac:dyDescent="0.25">
      <c r="A10714" t="s">
        <v>18642</v>
      </c>
      <c r="B10714" t="s">
        <v>18643</v>
      </c>
      <c r="C10714" s="1" t="str">
        <f>HYPERLINK("http://www.genecards.org/cgi-bin/carddisp.pl?gene=SEC24A","GeneCards")</f>
        <v>GeneCards</v>
      </c>
      <c r="D10714" s="1" t="str">
        <f>HYPERLINK("http://genome-euro.ucsc.edu/cgi-bin/hgTracks?position=212900_at","UCSC")</f>
        <v>UCSC</v>
      </c>
      <c r="E10714" s="1" t="str">
        <f>HYPERLINK("http://www.ncbi.nlm.nih.gov/gene/?term=SEC24A","NCBI")</f>
        <v>NCBI</v>
      </c>
      <c r="F10714">
        <v>0.25</v>
      </c>
      <c r="G10714">
        <v>0.39</v>
      </c>
      <c r="H10714" s="1" t="str">
        <f>HYPERLINK("http://www.weizmann.ac.il/complex/compphys/software/geview/data/figures/212900_at.png","Figure")</f>
        <v>Figure</v>
      </c>
      <c r="I10714">
        <v>0.71</v>
      </c>
      <c r="J10714">
        <v>0.37</v>
      </c>
      <c r="K10714">
        <v>0.70299999999999996</v>
      </c>
      <c r="L10714">
        <v>0.26</v>
      </c>
      <c r="M10714">
        <v>0.99</v>
      </c>
      <c r="N10714">
        <v>1</v>
      </c>
    </row>
    <row r="10715" spans="1:14" x14ac:dyDescent="0.25">
      <c r="A10715" t="s">
        <v>18644</v>
      </c>
      <c r="B10715" t="s">
        <v>18266</v>
      </c>
      <c r="C10715" s="1" t="str">
        <f>HYPERLINK("http://www.genecards.org/cgi-bin/carddisp.pl?gene=GREM1","GeneCards")</f>
        <v>GeneCards</v>
      </c>
      <c r="D10715" s="1" t="str">
        <f>HYPERLINK("http://genome-euro.ucsc.edu/cgi-bin/hgTracks?position=218469_at","UCSC")</f>
        <v>UCSC</v>
      </c>
      <c r="E10715" s="1" t="str">
        <f>HYPERLINK("http://www.ncbi.nlm.nih.gov/gene/?term=GREM1","NCBI")</f>
        <v>NCBI</v>
      </c>
      <c r="F10715">
        <v>0.25</v>
      </c>
      <c r="G10715">
        <v>0.39</v>
      </c>
      <c r="H10715" s="1" t="str">
        <f>HYPERLINK("http://www.weizmann.ac.il/complex/compphys/software/geview/data/figures/218469_at.png","Figure")</f>
        <v>Figure</v>
      </c>
      <c r="I10715">
        <v>0.63900000000000001</v>
      </c>
      <c r="J10715">
        <v>0.33</v>
      </c>
      <c r="K10715">
        <v>1.02</v>
      </c>
      <c r="L10715">
        <v>1</v>
      </c>
      <c r="M10715">
        <v>1.6</v>
      </c>
      <c r="N10715">
        <v>0.26</v>
      </c>
    </row>
    <row r="10716" spans="1:14" x14ac:dyDescent="0.25">
      <c r="A10716" t="s">
        <v>18645</v>
      </c>
      <c r="B10716" t="s">
        <v>18646</v>
      </c>
      <c r="C10716" s="1" t="str">
        <f>HYPERLINK("http://www.genecards.org/cgi-bin/carddisp.pl?gene=ERAF","GeneCards")</f>
        <v>GeneCards</v>
      </c>
      <c r="D10716" s="1" t="str">
        <f>HYPERLINK("http://genome-euro.ucsc.edu/cgi-bin/hgTracks?position=219672_at","UCSC")</f>
        <v>UCSC</v>
      </c>
      <c r="E10716" s="1" t="str">
        <f>HYPERLINK("http://www.ncbi.nlm.nih.gov/gene/?term=ERAF","NCBI")</f>
        <v>NCBI</v>
      </c>
      <c r="F10716">
        <v>0.25</v>
      </c>
      <c r="G10716">
        <v>0.39</v>
      </c>
      <c r="H10716" s="1" t="str">
        <f>HYPERLINK("http://www.weizmann.ac.il/complex/compphys/software/geview/data/figures/219672_at.png","Figure")</f>
        <v>Figure</v>
      </c>
      <c r="I10716">
        <v>1.61</v>
      </c>
      <c r="J10716">
        <v>0.42</v>
      </c>
      <c r="K10716">
        <v>0.89300000000000002</v>
      </c>
      <c r="L10716">
        <v>0.93</v>
      </c>
      <c r="M10716">
        <v>0.55400000000000005</v>
      </c>
      <c r="N10716">
        <v>0.23</v>
      </c>
    </row>
    <row r="10717" spans="1:14" x14ac:dyDescent="0.25">
      <c r="A10717" t="s">
        <v>18647</v>
      </c>
      <c r="B10717" t="s">
        <v>18648</v>
      </c>
      <c r="C10717" s="1" t="str">
        <f>HYPERLINK("http://www.genecards.org/cgi-bin/carddisp.pl?gene=GSTTP1","GeneCards")</f>
        <v>GeneCards</v>
      </c>
      <c r="D10717" s="1" t="str">
        <f>HYPERLINK("http://genome-euro.ucsc.edu/cgi-bin/hgTracks?position=207215_at","UCSC")</f>
        <v>UCSC</v>
      </c>
      <c r="E10717" s="1" t="str">
        <f>HYPERLINK("http://www.ncbi.nlm.nih.gov/gene/?term=GSTTP1","NCBI")</f>
        <v>NCBI</v>
      </c>
      <c r="F10717">
        <v>0.25</v>
      </c>
      <c r="G10717">
        <v>0.39</v>
      </c>
      <c r="H10717" s="1" t="str">
        <f>HYPERLINK("http://www.weizmann.ac.il/complex/compphys/software/geview/data/figures/207215_at.png","Figure")</f>
        <v>Figure</v>
      </c>
      <c r="I10717">
        <v>1.1000000000000001</v>
      </c>
      <c r="J10717">
        <v>0.28999999999999998</v>
      </c>
      <c r="K10717">
        <v>1.01</v>
      </c>
      <c r="L10717">
        <v>0.99</v>
      </c>
      <c r="M10717">
        <v>0.91200000000000003</v>
      </c>
      <c r="N10717">
        <v>0.28999999999999998</v>
      </c>
    </row>
    <row r="10718" spans="1:14" x14ac:dyDescent="0.25">
      <c r="A10718" t="s">
        <v>18649</v>
      </c>
      <c r="B10718" t="s">
        <v>16985</v>
      </c>
      <c r="C10718" s="1" t="str">
        <f>HYPERLINK("http://www.genecards.org/cgi-bin/carddisp.pl?gene=ANAPC5","GeneCards")</f>
        <v>GeneCards</v>
      </c>
      <c r="D10718" s="1" t="str">
        <f>HYPERLINK("http://genome-euro.ucsc.edu/cgi-bin/hgTracks?position=211036_x_at","UCSC")</f>
        <v>UCSC</v>
      </c>
      <c r="E10718" s="1" t="str">
        <f>HYPERLINK("http://www.ncbi.nlm.nih.gov/gene/?term=ANAPC5","NCBI")</f>
        <v>NCBI</v>
      </c>
      <c r="F10718">
        <v>0.25</v>
      </c>
      <c r="G10718">
        <v>0.39</v>
      </c>
      <c r="H10718" s="1" t="str">
        <f>HYPERLINK("http://www.weizmann.ac.il/complex/compphys/software/geview/data/figures/211036_x_at.png","Figure")</f>
        <v>Figure</v>
      </c>
      <c r="I10718">
        <v>1.22</v>
      </c>
      <c r="J10718">
        <v>0.36</v>
      </c>
      <c r="K10718">
        <v>1.22</v>
      </c>
      <c r="L10718">
        <v>0.27</v>
      </c>
      <c r="M10718">
        <v>1</v>
      </c>
      <c r="N10718">
        <v>1</v>
      </c>
    </row>
    <row r="10719" spans="1:14" x14ac:dyDescent="0.25">
      <c r="A10719" t="s">
        <v>18650</v>
      </c>
      <c r="B10719" t="s">
        <v>18651</v>
      </c>
      <c r="C10719" s="1" t="str">
        <f>HYPERLINK("http://www.genecards.org/cgi-bin/carddisp.pl?gene=TNNT1","GeneCards")</f>
        <v>GeneCards</v>
      </c>
      <c r="D10719" s="1" t="str">
        <f>HYPERLINK("http://genome-euro.ucsc.edu/cgi-bin/hgTracks?position=213201_s_at","UCSC")</f>
        <v>UCSC</v>
      </c>
      <c r="E10719" s="1" t="str">
        <f>HYPERLINK("http://www.ncbi.nlm.nih.gov/gene/?term=TNNT1","NCBI")</f>
        <v>NCBI</v>
      </c>
      <c r="F10719">
        <v>0.25</v>
      </c>
      <c r="G10719">
        <v>0.39</v>
      </c>
      <c r="H10719" s="1" t="str">
        <f>HYPERLINK("http://www.weizmann.ac.il/complex/compphys/software/geview/data/figures/213201_s_at.png","Figure")</f>
        <v>Figure</v>
      </c>
      <c r="I10719">
        <v>1.1399999999999999</v>
      </c>
      <c r="J10719">
        <v>0.22</v>
      </c>
      <c r="K10719">
        <v>1.06</v>
      </c>
      <c r="L10719">
        <v>0.69</v>
      </c>
      <c r="M10719">
        <v>0.92700000000000005</v>
      </c>
      <c r="N10719">
        <v>0.53</v>
      </c>
    </row>
    <row r="10720" spans="1:14" x14ac:dyDescent="0.25">
      <c r="A10720" t="s">
        <v>18652</v>
      </c>
      <c r="B10720" t="s">
        <v>18653</v>
      </c>
      <c r="C10720" s="1" t="str">
        <f>HYPERLINK("http://www.genecards.org/cgi-bin/carddisp.pl?gene=TMEM194A","GeneCards")</f>
        <v>GeneCards</v>
      </c>
      <c r="D10720" s="1" t="str">
        <f>HYPERLINK("http://genome-euro.ucsc.edu/cgi-bin/hgTracks?position=212621_at","UCSC")</f>
        <v>UCSC</v>
      </c>
      <c r="E10720" s="1" t="str">
        <f>HYPERLINK("http://www.ncbi.nlm.nih.gov/gene/?term=TMEM194A","NCBI")</f>
        <v>NCBI</v>
      </c>
      <c r="F10720">
        <v>0.25</v>
      </c>
      <c r="G10720">
        <v>0.39</v>
      </c>
      <c r="H10720" s="1" t="str">
        <f>HYPERLINK("http://www.weizmann.ac.il/complex/compphys/software/geview/data/figures/212621_at.png","Figure")</f>
        <v>Figure</v>
      </c>
      <c r="I10720">
        <v>0.88800000000000001</v>
      </c>
      <c r="J10720">
        <v>0.89</v>
      </c>
      <c r="K10720">
        <v>1.32</v>
      </c>
      <c r="L10720">
        <v>0.46</v>
      </c>
      <c r="M10720">
        <v>1.49</v>
      </c>
      <c r="N10720">
        <v>0.26</v>
      </c>
    </row>
    <row r="10721" spans="1:14" x14ac:dyDescent="0.25">
      <c r="A10721" t="s">
        <v>18654</v>
      </c>
      <c r="B10721" t="s">
        <v>5792</v>
      </c>
      <c r="C10721" s="1" t="str">
        <f>HYPERLINK("http://www.genecards.org/cgi-bin/carddisp.pl?gene=YY1","GeneCards")</f>
        <v>GeneCards</v>
      </c>
      <c r="D10721" s="1" t="str">
        <f>HYPERLINK("http://genome-euro.ucsc.edu/cgi-bin/hgTracks?position=213494_s_at","UCSC")</f>
        <v>UCSC</v>
      </c>
      <c r="E10721" s="1" t="str">
        <f>HYPERLINK("http://www.ncbi.nlm.nih.gov/gene/?term=YY1","NCBI")</f>
        <v>NCBI</v>
      </c>
      <c r="F10721">
        <v>0.25</v>
      </c>
      <c r="G10721">
        <v>0.39</v>
      </c>
      <c r="H10721" s="1" t="str">
        <f>HYPERLINK("http://www.weizmann.ac.il/complex/compphys/software/geview/data/figures/213494_s_at.png","Figure")</f>
        <v>Figure</v>
      </c>
      <c r="I10721">
        <v>1.0900000000000001</v>
      </c>
      <c r="J10721">
        <v>0.83</v>
      </c>
      <c r="K10721">
        <v>1.24</v>
      </c>
      <c r="L10721">
        <v>0.23</v>
      </c>
      <c r="M10721">
        <v>1.1399999999999999</v>
      </c>
      <c r="N10721">
        <v>0.59</v>
      </c>
    </row>
    <row r="10722" spans="1:14" x14ac:dyDescent="0.25">
      <c r="A10722" t="s">
        <v>18655</v>
      </c>
      <c r="B10722" t="s">
        <v>18656</v>
      </c>
      <c r="C10722" s="1" t="str">
        <f>HYPERLINK("http://www.genecards.org/cgi-bin/carddisp.pl?gene=RPS13","GeneCards")</f>
        <v>GeneCards</v>
      </c>
      <c r="D10722" s="1" t="str">
        <f>HYPERLINK("http://genome-euro.ucsc.edu/cgi-bin/hgTracks?position=200018_at","UCSC")</f>
        <v>UCSC</v>
      </c>
      <c r="E10722" s="1" t="str">
        <f>HYPERLINK("http://www.ncbi.nlm.nih.gov/gene/?term=RPS13","NCBI")</f>
        <v>NCBI</v>
      </c>
      <c r="F10722">
        <v>0.25</v>
      </c>
      <c r="G10722">
        <v>0.39</v>
      </c>
      <c r="H10722" s="1" t="str">
        <f>HYPERLINK("http://www.weizmann.ac.il/complex/compphys/software/geview/data/figures/200018_at.png","Figure")</f>
        <v>Figure</v>
      </c>
      <c r="I10722">
        <v>1.03</v>
      </c>
      <c r="J10722">
        <v>0.97</v>
      </c>
      <c r="K10722">
        <v>1.22</v>
      </c>
      <c r="L10722">
        <v>0.27</v>
      </c>
      <c r="M10722">
        <v>1.19</v>
      </c>
      <c r="N10722">
        <v>0.43</v>
      </c>
    </row>
    <row r="10723" spans="1:14" x14ac:dyDescent="0.25">
      <c r="A10723" t="s">
        <v>18657</v>
      </c>
      <c r="B10723" t="s">
        <v>18658</v>
      </c>
      <c r="C10723" s="1" t="str">
        <f>HYPERLINK("http://www.genecards.org/cgi-bin/carddisp.pl?gene=SASH1","GeneCards")</f>
        <v>GeneCards</v>
      </c>
      <c r="D10723" s="1" t="str">
        <f>HYPERLINK("http://genome-euro.ucsc.edu/cgi-bin/hgTracks?position=41644_at","UCSC")</f>
        <v>UCSC</v>
      </c>
      <c r="E10723" s="1" t="str">
        <f>HYPERLINK("http://www.ncbi.nlm.nih.gov/gene/?term=SASH1","NCBI")</f>
        <v>NCBI</v>
      </c>
      <c r="F10723">
        <v>0.25</v>
      </c>
      <c r="G10723">
        <v>0.39</v>
      </c>
      <c r="H10723" s="1" t="str">
        <f>HYPERLINK("http://www.weizmann.ac.il/complex/compphys/software/geview/data/figures/41644_at.png","Figure")</f>
        <v>Figure</v>
      </c>
      <c r="I10723">
        <v>1.1499999999999999</v>
      </c>
      <c r="J10723">
        <v>0.38</v>
      </c>
      <c r="K10723">
        <v>0.97799999999999998</v>
      </c>
      <c r="L10723">
        <v>0.97</v>
      </c>
      <c r="M10723">
        <v>0.84799999999999998</v>
      </c>
      <c r="N10723">
        <v>0.24</v>
      </c>
    </row>
    <row r="10724" spans="1:14" x14ac:dyDescent="0.25">
      <c r="A10724" t="s">
        <v>18659</v>
      </c>
      <c r="B10724" t="s">
        <v>15349</v>
      </c>
      <c r="C10724" s="1" t="str">
        <f>HYPERLINK("http://www.genecards.org/cgi-bin/carddisp.pl?gene=PSEN1","GeneCards")</f>
        <v>GeneCards</v>
      </c>
      <c r="D10724" s="1" t="str">
        <f>HYPERLINK("http://genome-euro.ucsc.edu/cgi-bin/hgTracks?position=207782_s_at","UCSC")</f>
        <v>UCSC</v>
      </c>
      <c r="E10724" s="1" t="str">
        <f>HYPERLINK("http://www.ncbi.nlm.nih.gov/gene/?term=PSEN1","NCBI")</f>
        <v>NCBI</v>
      </c>
      <c r="F10724">
        <v>0.25</v>
      </c>
      <c r="G10724">
        <v>0.39</v>
      </c>
      <c r="H10724" s="1" t="str">
        <f>HYPERLINK("http://www.weizmann.ac.il/complex/compphys/software/geview/data/figures/207782_s_at.png","Figure")</f>
        <v>Figure</v>
      </c>
      <c r="I10724">
        <v>0.89600000000000002</v>
      </c>
      <c r="J10724">
        <v>0.51</v>
      </c>
      <c r="K10724">
        <v>1.05</v>
      </c>
      <c r="L10724">
        <v>0.83</v>
      </c>
      <c r="M10724">
        <v>1.17</v>
      </c>
      <c r="N10724">
        <v>0.22</v>
      </c>
    </row>
    <row r="10725" spans="1:14" x14ac:dyDescent="0.25">
      <c r="A10725" t="s">
        <v>18660</v>
      </c>
      <c r="B10725" t="s">
        <v>18661</v>
      </c>
      <c r="C10725" s="1" t="str">
        <f>HYPERLINK("http://www.genecards.org/cgi-bin/carddisp.pl?gene=NEDD4L","GeneCards")</f>
        <v>GeneCards</v>
      </c>
      <c r="D10725" s="1" t="str">
        <f>HYPERLINK("http://genome-euro.ucsc.edu/cgi-bin/hgTracks?position=212448_at","UCSC")</f>
        <v>UCSC</v>
      </c>
      <c r="E10725" s="1" t="str">
        <f>HYPERLINK("http://www.ncbi.nlm.nih.gov/gene/?term=NEDD4L","NCBI")</f>
        <v>NCBI</v>
      </c>
      <c r="F10725">
        <v>0.25</v>
      </c>
      <c r="G10725">
        <v>0.39</v>
      </c>
      <c r="H10725" s="1" t="str">
        <f>HYPERLINK("http://www.weizmann.ac.il/complex/compphys/software/geview/data/figures/212448_at.png","Figure")</f>
        <v>Figure</v>
      </c>
      <c r="I10725">
        <v>0.90500000000000003</v>
      </c>
      <c r="J10725">
        <v>0.24</v>
      </c>
      <c r="K10725">
        <v>0.97599999999999998</v>
      </c>
      <c r="L10725">
        <v>0.89</v>
      </c>
      <c r="M10725">
        <v>1.08</v>
      </c>
      <c r="N10725">
        <v>0.38</v>
      </c>
    </row>
    <row r="10726" spans="1:14" x14ac:dyDescent="0.25">
      <c r="A10726" t="s">
        <v>18662</v>
      </c>
      <c r="B10726" t="s">
        <v>13611</v>
      </c>
      <c r="C10726" s="1" t="str">
        <f>HYPERLINK("http://www.genecards.org/cgi-bin/carddisp.pl?gene=NFKBIB","GeneCards")</f>
        <v>GeneCards</v>
      </c>
      <c r="D10726" s="1" t="str">
        <f>HYPERLINK("http://genome-euro.ucsc.edu/cgi-bin/hgTracks?position=214448_x_at","UCSC")</f>
        <v>UCSC</v>
      </c>
      <c r="E10726" s="1" t="str">
        <f>HYPERLINK("http://www.ncbi.nlm.nih.gov/gene/?term=NFKBIB","NCBI")</f>
        <v>NCBI</v>
      </c>
      <c r="F10726">
        <v>0.25</v>
      </c>
      <c r="G10726">
        <v>0.39</v>
      </c>
      <c r="H10726" s="1" t="str">
        <f>HYPERLINK("http://www.weizmann.ac.il/complex/compphys/software/geview/data/figures/214448_x_at.png","Figure")</f>
        <v>Figure</v>
      </c>
      <c r="I10726">
        <v>1.03</v>
      </c>
      <c r="J10726">
        <v>0.94</v>
      </c>
      <c r="K10726">
        <v>0.88700000000000001</v>
      </c>
      <c r="L10726">
        <v>0.41</v>
      </c>
      <c r="M10726">
        <v>0.85799999999999998</v>
      </c>
      <c r="N10726">
        <v>0.28999999999999998</v>
      </c>
    </row>
    <row r="10727" spans="1:14" x14ac:dyDescent="0.25">
      <c r="A10727" t="s">
        <v>18663</v>
      </c>
      <c r="B10727" t="s">
        <v>18664</v>
      </c>
      <c r="C10727" s="1" t="str">
        <f>HYPERLINK("http://www.genecards.org/cgi-bin/carddisp.pl?gene=ADAM30","GeneCards")</f>
        <v>GeneCards</v>
      </c>
      <c r="D10727" s="1" t="str">
        <f>HYPERLINK("http://genome-euro.ucsc.edu/cgi-bin/hgTracks?position=221446_at","UCSC")</f>
        <v>UCSC</v>
      </c>
      <c r="E10727" s="1" t="str">
        <f>HYPERLINK("http://www.ncbi.nlm.nih.gov/gene/?term=ADAM30","NCBI")</f>
        <v>NCBI</v>
      </c>
      <c r="F10727">
        <v>0.25</v>
      </c>
      <c r="G10727">
        <v>0.39</v>
      </c>
      <c r="H10727" s="1" t="str">
        <f>HYPERLINK("http://www.weizmann.ac.il/complex/compphys/software/geview/data/figures/221446_at.png","Figure")</f>
        <v>Figure</v>
      </c>
      <c r="I10727">
        <v>1.18</v>
      </c>
      <c r="J10727">
        <v>0.27</v>
      </c>
      <c r="K10727">
        <v>1.02</v>
      </c>
      <c r="L10727">
        <v>0.97</v>
      </c>
      <c r="M10727">
        <v>0.86399999999999999</v>
      </c>
      <c r="N10727">
        <v>0.31</v>
      </c>
    </row>
    <row r="10728" spans="1:14" x14ac:dyDescent="0.25">
      <c r="A10728" t="s">
        <v>18665</v>
      </c>
      <c r="B10728" t="s">
        <v>12681</v>
      </c>
      <c r="C10728" s="1" t="str">
        <f>HYPERLINK("http://www.genecards.org/cgi-bin/carddisp.pl?gene=SEC23B","GeneCards")</f>
        <v>GeneCards</v>
      </c>
      <c r="D10728" s="1" t="str">
        <f>HYPERLINK("http://genome-euro.ucsc.edu/cgi-bin/hgTracks?position=201583_s_at","UCSC")</f>
        <v>UCSC</v>
      </c>
      <c r="E10728" s="1" t="str">
        <f>HYPERLINK("http://www.ncbi.nlm.nih.gov/gene/?term=SEC23B","NCBI")</f>
        <v>NCBI</v>
      </c>
      <c r="F10728">
        <v>0.25</v>
      </c>
      <c r="G10728">
        <v>0.39</v>
      </c>
      <c r="H10728" s="1" t="str">
        <f>HYPERLINK("http://www.weizmann.ac.il/complex/compphys/software/geview/data/figures/201583_s_at.png","Figure")</f>
        <v>Figure</v>
      </c>
      <c r="I10728">
        <v>1.1200000000000001</v>
      </c>
      <c r="J10728">
        <v>0.82</v>
      </c>
      <c r="K10728">
        <v>1.34</v>
      </c>
      <c r="L10728">
        <v>0.23</v>
      </c>
      <c r="M10728">
        <v>1.19</v>
      </c>
      <c r="N10728">
        <v>0.6</v>
      </c>
    </row>
    <row r="10729" spans="1:14" x14ac:dyDescent="0.25">
      <c r="A10729" t="s">
        <v>18666</v>
      </c>
      <c r="B10729" t="s">
        <v>18667</v>
      </c>
      <c r="C10729" s="1" t="str">
        <f>HYPERLINK("http://www.genecards.org/cgi-bin/carddisp.pl?gene=FOXG1","GeneCards")</f>
        <v>GeneCards</v>
      </c>
      <c r="D10729" s="1" t="str">
        <f>HYPERLINK("http://genome-euro.ucsc.edu/cgi-bin/hgTracks?position=207658_s_at","UCSC")</f>
        <v>UCSC</v>
      </c>
      <c r="E10729" s="1" t="str">
        <f>HYPERLINK("http://www.ncbi.nlm.nih.gov/gene/?term=FOXG1","NCBI")</f>
        <v>NCBI</v>
      </c>
      <c r="F10729">
        <v>0.25</v>
      </c>
      <c r="G10729">
        <v>0.39</v>
      </c>
      <c r="H10729" s="1" t="str">
        <f>HYPERLINK("http://www.weizmann.ac.il/complex/compphys/software/geview/data/figures/207658_s_at.png","Figure")</f>
        <v>Figure</v>
      </c>
      <c r="I10729">
        <v>1.17</v>
      </c>
      <c r="J10729">
        <v>0.23</v>
      </c>
      <c r="K10729">
        <v>1.0900000000000001</v>
      </c>
      <c r="L10729">
        <v>0.52</v>
      </c>
      <c r="M10729">
        <v>0.93400000000000005</v>
      </c>
      <c r="N10729">
        <v>0.7</v>
      </c>
    </row>
    <row r="10730" spans="1:14" x14ac:dyDescent="0.25">
      <c r="A10730" t="s">
        <v>18668</v>
      </c>
      <c r="B10730" t="s">
        <v>18669</v>
      </c>
      <c r="C10730" s="1" t="str">
        <f>HYPERLINK("http://www.genecards.org/cgi-bin/carddisp.pl?gene=PANK4","GeneCards")</f>
        <v>GeneCards</v>
      </c>
      <c r="D10730" s="1" t="str">
        <f>HYPERLINK("http://genome-euro.ucsc.edu/cgi-bin/hgTracks?position=218771_at","UCSC")</f>
        <v>UCSC</v>
      </c>
      <c r="E10730" s="1" t="str">
        <f>HYPERLINK("http://www.ncbi.nlm.nih.gov/gene/?term=PANK4","NCBI")</f>
        <v>NCBI</v>
      </c>
      <c r="F10730">
        <v>0.25</v>
      </c>
      <c r="G10730">
        <v>0.39</v>
      </c>
      <c r="H10730" s="1" t="str">
        <f>HYPERLINK("http://www.weizmann.ac.il/complex/compphys/software/geview/data/figures/218771_at.png","Figure")</f>
        <v>Figure</v>
      </c>
      <c r="I10730">
        <v>0.82799999999999996</v>
      </c>
      <c r="J10730">
        <v>0.31</v>
      </c>
      <c r="K10730">
        <v>0.996</v>
      </c>
      <c r="L10730">
        <v>1</v>
      </c>
      <c r="M10730">
        <v>1.2</v>
      </c>
      <c r="N10730">
        <v>0.28000000000000003</v>
      </c>
    </row>
    <row r="10731" spans="1:14" x14ac:dyDescent="0.25">
      <c r="A10731" t="s">
        <v>18670</v>
      </c>
      <c r="B10731" t="s">
        <v>18671</v>
      </c>
      <c r="C10731" s="1" t="str">
        <f>HYPERLINK("http://www.genecards.org/cgi-bin/carddisp.pl?gene=CTSL2","GeneCards")</f>
        <v>GeneCards</v>
      </c>
      <c r="D10731" s="1" t="str">
        <f>HYPERLINK("http://genome-euro.ucsc.edu/cgi-bin/hgTracks?position=210074_at","UCSC")</f>
        <v>UCSC</v>
      </c>
      <c r="E10731" s="1" t="str">
        <f>HYPERLINK("http://www.ncbi.nlm.nih.gov/gene/?term=CTSL2","NCBI")</f>
        <v>NCBI</v>
      </c>
      <c r="F10731">
        <v>0.25</v>
      </c>
      <c r="G10731">
        <v>0.39</v>
      </c>
      <c r="H10731" s="1" t="str">
        <f>HYPERLINK("http://www.weizmann.ac.il/complex/compphys/software/geview/data/figures/210074_at.png","Figure")</f>
        <v>Figure</v>
      </c>
      <c r="I10731">
        <v>1.1200000000000001</v>
      </c>
      <c r="J10731">
        <v>0.22</v>
      </c>
      <c r="K10731">
        <v>1.06</v>
      </c>
      <c r="L10731">
        <v>0.59</v>
      </c>
      <c r="M10731">
        <v>0.94299999999999995</v>
      </c>
      <c r="N10731">
        <v>0.62</v>
      </c>
    </row>
    <row r="10732" spans="1:14" x14ac:dyDescent="0.25">
      <c r="A10732" t="s">
        <v>18672</v>
      </c>
      <c r="B10732" t="s">
        <v>18673</v>
      </c>
      <c r="C10732" s="1" t="str">
        <f>HYPERLINK("http://www.genecards.org/cgi-bin/carddisp.pl?gene=FLJ40113 /// LOC440295","GeneCards")</f>
        <v>GeneCards</v>
      </c>
      <c r="D10732" s="1" t="str">
        <f>HYPERLINK("http://genome-euro.ucsc.edu/cgi-bin/hgTracks?position=213212_x_at","UCSC")</f>
        <v>UCSC</v>
      </c>
      <c r="E10732" s="1" t="str">
        <f>HYPERLINK("http://www.ncbi.nlm.nih.gov/gene/?term=FLJ40113 /// LOC440295","NCBI")</f>
        <v>NCBI</v>
      </c>
      <c r="F10732">
        <v>0.25</v>
      </c>
      <c r="G10732">
        <v>0.39</v>
      </c>
      <c r="H10732" s="1" t="str">
        <f>HYPERLINK("http://www.weizmann.ac.il/complex/compphys/software/geview/data/figures/213212_x_at.png","Figure")</f>
        <v>Figure</v>
      </c>
      <c r="I10732">
        <v>0.65400000000000003</v>
      </c>
      <c r="J10732">
        <v>0.23</v>
      </c>
      <c r="K10732">
        <v>0.88200000000000001</v>
      </c>
      <c r="L10732">
        <v>0.83</v>
      </c>
      <c r="M10732">
        <v>1.35</v>
      </c>
      <c r="N10732">
        <v>0.42</v>
      </c>
    </row>
    <row r="10733" spans="1:14" x14ac:dyDescent="0.25">
      <c r="A10733" t="s">
        <v>18674</v>
      </c>
      <c r="B10733" t="s">
        <v>7608</v>
      </c>
      <c r="C10733" s="1" t="str">
        <f>HYPERLINK("http://www.genecards.org/cgi-bin/carddisp.pl?gene=FBXL5","GeneCards")</f>
        <v>GeneCards</v>
      </c>
      <c r="D10733" s="1" t="str">
        <f>HYPERLINK("http://genome-euro.ucsc.edu/cgi-bin/hgTracks?position=209005_at","UCSC")</f>
        <v>UCSC</v>
      </c>
      <c r="E10733" s="1" t="str">
        <f>HYPERLINK("http://www.ncbi.nlm.nih.gov/gene/?term=FBXL5","NCBI")</f>
        <v>NCBI</v>
      </c>
      <c r="F10733">
        <v>0.25</v>
      </c>
      <c r="G10733">
        <v>0.39</v>
      </c>
      <c r="H10733" s="1" t="str">
        <f>HYPERLINK("http://www.weizmann.ac.il/complex/compphys/software/geview/data/figures/209005_at.png","Figure")</f>
        <v>Figure</v>
      </c>
      <c r="I10733">
        <v>0.88100000000000001</v>
      </c>
      <c r="J10733">
        <v>0.76</v>
      </c>
      <c r="K10733">
        <v>0.76500000000000001</v>
      </c>
      <c r="L10733">
        <v>0.22</v>
      </c>
      <c r="M10733">
        <v>0.86799999999999999</v>
      </c>
      <c r="N10733">
        <v>0.67</v>
      </c>
    </row>
    <row r="10734" spans="1:14" x14ac:dyDescent="0.25">
      <c r="A10734" t="s">
        <v>18675</v>
      </c>
      <c r="B10734" t="s">
        <v>12100</v>
      </c>
      <c r="C10734" s="1" t="str">
        <f>HYPERLINK("http://www.genecards.org/cgi-bin/carddisp.pl?gene=AJAP1","GeneCards")</f>
        <v>GeneCards</v>
      </c>
      <c r="D10734" s="1" t="str">
        <f>HYPERLINK("http://genome-euro.ucsc.edu/cgi-bin/hgTracks?position=215790_at","UCSC")</f>
        <v>UCSC</v>
      </c>
      <c r="E10734" s="1" t="str">
        <f>HYPERLINK("http://www.ncbi.nlm.nih.gov/gene/?term=AJAP1","NCBI")</f>
        <v>NCBI</v>
      </c>
      <c r="F10734">
        <v>0.25</v>
      </c>
      <c r="G10734">
        <v>0.39</v>
      </c>
      <c r="H10734" s="1" t="str">
        <f>HYPERLINK("http://www.weizmann.ac.il/complex/compphys/software/geview/data/figures/215790_at.png","Figure")</f>
        <v>Figure</v>
      </c>
      <c r="I10734">
        <v>1</v>
      </c>
      <c r="J10734">
        <v>1</v>
      </c>
      <c r="K10734">
        <v>0.93300000000000005</v>
      </c>
      <c r="L10734">
        <v>0.31</v>
      </c>
      <c r="M10734">
        <v>0.93300000000000005</v>
      </c>
      <c r="N10734">
        <v>0.36</v>
      </c>
    </row>
    <row r="10735" spans="1:14" x14ac:dyDescent="0.25">
      <c r="A10735" t="s">
        <v>18676</v>
      </c>
      <c r="B10735" t="s">
        <v>18677</v>
      </c>
      <c r="C10735" s="1" t="str">
        <f>HYPERLINK("http://www.genecards.org/cgi-bin/carddisp.pl?gene=RDBP","GeneCards")</f>
        <v>GeneCards</v>
      </c>
      <c r="D10735" s="1" t="str">
        <f>HYPERLINK("http://genome-euro.ucsc.edu/cgi-bin/hgTracks?position=209219_at","UCSC")</f>
        <v>UCSC</v>
      </c>
      <c r="E10735" s="1" t="str">
        <f>HYPERLINK("http://www.ncbi.nlm.nih.gov/gene/?term=RDBP","NCBI")</f>
        <v>NCBI</v>
      </c>
      <c r="F10735">
        <v>0.25</v>
      </c>
      <c r="G10735">
        <v>0.39</v>
      </c>
      <c r="H10735" s="1" t="str">
        <f>HYPERLINK("http://www.weizmann.ac.il/complex/compphys/software/geview/data/figures/209219_at.png","Figure")</f>
        <v>Figure</v>
      </c>
      <c r="I10735">
        <v>0.94</v>
      </c>
      <c r="J10735">
        <v>0.94</v>
      </c>
      <c r="K10735">
        <v>1.25</v>
      </c>
      <c r="L10735">
        <v>0.41</v>
      </c>
      <c r="M10735">
        <v>1.33</v>
      </c>
      <c r="N10735">
        <v>0.28999999999999998</v>
      </c>
    </row>
    <row r="10736" spans="1:14" x14ac:dyDescent="0.25">
      <c r="A10736" t="s">
        <v>18678</v>
      </c>
      <c r="B10736" t="s">
        <v>18679</v>
      </c>
      <c r="C10736" s="1" t="str">
        <f>HYPERLINK("http://www.genecards.org/cgi-bin/carddisp.pl?gene=CDC14A","GeneCards")</f>
        <v>GeneCards</v>
      </c>
      <c r="D10736" s="1" t="str">
        <f>HYPERLINK("http://genome-euro.ucsc.edu/cgi-bin/hgTracks?position=210441_at","UCSC")</f>
        <v>UCSC</v>
      </c>
      <c r="E10736" s="1" t="str">
        <f>HYPERLINK("http://www.ncbi.nlm.nih.gov/gene/?term=CDC14A","NCBI")</f>
        <v>NCBI</v>
      </c>
      <c r="F10736">
        <v>0.25</v>
      </c>
      <c r="G10736">
        <v>0.39</v>
      </c>
      <c r="H10736" s="1" t="str">
        <f>HYPERLINK("http://www.weizmann.ac.il/complex/compphys/software/geview/data/figures/210441_at.png","Figure")</f>
        <v>Figure</v>
      </c>
      <c r="I10736">
        <v>1.1000000000000001</v>
      </c>
      <c r="J10736">
        <v>0.32</v>
      </c>
      <c r="K10736">
        <v>0.998</v>
      </c>
      <c r="L10736">
        <v>1</v>
      </c>
      <c r="M10736">
        <v>0.91100000000000003</v>
      </c>
      <c r="N10736">
        <v>0.27</v>
      </c>
    </row>
    <row r="10737" spans="1:14" x14ac:dyDescent="0.25">
      <c r="A10737" t="s">
        <v>18680</v>
      </c>
      <c r="B10737" t="s">
        <v>14465</v>
      </c>
      <c r="C10737" s="1" t="str">
        <f>HYPERLINK("http://www.genecards.org/cgi-bin/carddisp.pl?gene=RAP1GDS1","GeneCards")</f>
        <v>GeneCards</v>
      </c>
      <c r="D10737" s="1" t="str">
        <f>HYPERLINK("http://genome-euro.ucsc.edu/cgi-bin/hgTracks?position=217457_s_at","UCSC")</f>
        <v>UCSC</v>
      </c>
      <c r="E10737" s="1" t="str">
        <f>HYPERLINK("http://www.ncbi.nlm.nih.gov/gene/?term=RAP1GDS1","NCBI")</f>
        <v>NCBI</v>
      </c>
      <c r="F10737">
        <v>0.25</v>
      </c>
      <c r="G10737">
        <v>0.39</v>
      </c>
      <c r="H10737" s="1" t="str">
        <f>HYPERLINK("http://www.weizmann.ac.il/complex/compphys/software/geview/data/figures/217457_s_at.png","Figure")</f>
        <v>Figure</v>
      </c>
      <c r="I10737">
        <v>0.83699999999999997</v>
      </c>
      <c r="J10737">
        <v>0.27</v>
      </c>
      <c r="K10737">
        <v>0.97899999999999998</v>
      </c>
      <c r="L10737">
        <v>0.97</v>
      </c>
      <c r="M10737">
        <v>1.17</v>
      </c>
      <c r="N10737">
        <v>0.31</v>
      </c>
    </row>
    <row r="10738" spans="1:14" x14ac:dyDescent="0.25">
      <c r="A10738" t="s">
        <v>18681</v>
      </c>
      <c r="B10738" t="s">
        <v>18682</v>
      </c>
      <c r="C10738" s="1" t="str">
        <f>HYPERLINK("http://www.genecards.org/cgi-bin/carddisp.pl?gene=POLR2A","GeneCards")</f>
        <v>GeneCards</v>
      </c>
      <c r="D10738" s="1" t="str">
        <f>HYPERLINK("http://genome-euro.ucsc.edu/cgi-bin/hgTracks?position=202725_at","UCSC")</f>
        <v>UCSC</v>
      </c>
      <c r="E10738" s="1" t="str">
        <f>HYPERLINK("http://www.ncbi.nlm.nih.gov/gene/?term=POLR2A","NCBI")</f>
        <v>NCBI</v>
      </c>
      <c r="F10738">
        <v>0.25</v>
      </c>
      <c r="G10738">
        <v>0.39</v>
      </c>
      <c r="H10738" s="1" t="str">
        <f>HYPERLINK("http://www.weizmann.ac.il/complex/compphys/software/geview/data/figures/202725_at.png","Figure")</f>
        <v>Figure</v>
      </c>
      <c r="I10738">
        <v>1.38</v>
      </c>
      <c r="J10738">
        <v>0.22</v>
      </c>
      <c r="K10738">
        <v>1.1399999999999999</v>
      </c>
      <c r="L10738">
        <v>0.7</v>
      </c>
      <c r="M10738">
        <v>0.82499999999999996</v>
      </c>
      <c r="N10738">
        <v>0.51</v>
      </c>
    </row>
    <row r="10739" spans="1:14" x14ac:dyDescent="0.25">
      <c r="A10739" t="s">
        <v>18683</v>
      </c>
      <c r="B10739" t="s">
        <v>18684</v>
      </c>
      <c r="C10739" s="1" t="str">
        <f>HYPERLINK("http://www.genecards.org/cgi-bin/carddisp.pl?gene=ELK1","GeneCards")</f>
        <v>GeneCards</v>
      </c>
      <c r="D10739" s="1" t="str">
        <f>HYPERLINK("http://genome-euro.ucsc.edu/cgi-bin/hgTracks?position=210376_x_at","UCSC")</f>
        <v>UCSC</v>
      </c>
      <c r="E10739" s="1" t="str">
        <f>HYPERLINK("http://www.ncbi.nlm.nih.gov/gene/?term=ELK1","NCBI")</f>
        <v>NCBI</v>
      </c>
      <c r="F10739">
        <v>0.25</v>
      </c>
      <c r="G10739">
        <v>0.39</v>
      </c>
      <c r="H10739" s="1" t="str">
        <f>HYPERLINK("http://www.weizmann.ac.il/complex/compphys/software/geview/data/figures/210376_x_at.png","Figure")</f>
        <v>Figure</v>
      </c>
      <c r="I10739">
        <v>1.24</v>
      </c>
      <c r="J10739">
        <v>0.22</v>
      </c>
      <c r="K10739">
        <v>1.08</v>
      </c>
      <c r="L10739">
        <v>0.75</v>
      </c>
      <c r="M10739">
        <v>0.873</v>
      </c>
      <c r="N10739">
        <v>0.48</v>
      </c>
    </row>
    <row r="10740" spans="1:14" x14ac:dyDescent="0.25">
      <c r="A10740" t="s">
        <v>18685</v>
      </c>
      <c r="B10740" t="s">
        <v>5078</v>
      </c>
      <c r="C10740" s="1" t="str">
        <f>HYPERLINK("http://www.genecards.org/cgi-bin/carddisp.pl?gene=EGFR","GeneCards")</f>
        <v>GeneCards</v>
      </c>
      <c r="D10740" s="1" t="str">
        <f>HYPERLINK("http://genome-euro.ucsc.edu/cgi-bin/hgTracks?position=211607_x_at","UCSC")</f>
        <v>UCSC</v>
      </c>
      <c r="E10740" s="1" t="str">
        <f>HYPERLINK("http://www.ncbi.nlm.nih.gov/gene/?term=EGFR","NCBI")</f>
        <v>NCBI</v>
      </c>
      <c r="F10740">
        <v>0.25</v>
      </c>
      <c r="G10740">
        <v>0.39</v>
      </c>
      <c r="H10740" s="1" t="str">
        <f>HYPERLINK("http://www.weizmann.ac.il/complex/compphys/software/geview/data/figures/211607_x_at.png","Figure")</f>
        <v>Figure</v>
      </c>
      <c r="I10740">
        <v>1.21</v>
      </c>
      <c r="J10740">
        <v>0.23</v>
      </c>
      <c r="K10740">
        <v>1.1100000000000001</v>
      </c>
      <c r="L10740">
        <v>0.51</v>
      </c>
      <c r="M10740">
        <v>0.92200000000000004</v>
      </c>
      <c r="N10740">
        <v>0.71</v>
      </c>
    </row>
    <row r="10741" spans="1:14" x14ac:dyDescent="0.25">
      <c r="A10741" t="s">
        <v>18686</v>
      </c>
      <c r="B10741" t="s">
        <v>18687</v>
      </c>
      <c r="C10741" s="1" t="str">
        <f>HYPERLINK("http://www.genecards.org/cgi-bin/carddisp.pl?gene=SF3A3","GeneCards")</f>
        <v>GeneCards</v>
      </c>
      <c r="D10741" s="1" t="str">
        <f>HYPERLINK("http://genome-euro.ucsc.edu/cgi-bin/hgTracks?position=203818_s_at","UCSC")</f>
        <v>UCSC</v>
      </c>
      <c r="E10741" s="1" t="str">
        <f>HYPERLINK("http://www.ncbi.nlm.nih.gov/gene/?term=SF3A3","NCBI")</f>
        <v>NCBI</v>
      </c>
      <c r="F10741">
        <v>0.25</v>
      </c>
      <c r="G10741">
        <v>0.39</v>
      </c>
      <c r="H10741" s="1" t="str">
        <f>HYPERLINK("http://www.weizmann.ac.il/complex/compphys/software/geview/data/figures/203818_s_at.png","Figure")</f>
        <v>Figure</v>
      </c>
      <c r="I10741">
        <v>0.96599999999999997</v>
      </c>
      <c r="J10741">
        <v>0.97</v>
      </c>
      <c r="K10741">
        <v>1.21</v>
      </c>
      <c r="L10741">
        <v>0.37</v>
      </c>
      <c r="M10741">
        <v>1.25</v>
      </c>
      <c r="N10741">
        <v>0.31</v>
      </c>
    </row>
    <row r="10742" spans="1:14" x14ac:dyDescent="0.25">
      <c r="A10742" t="s">
        <v>18688</v>
      </c>
      <c r="B10742" t="s">
        <v>18689</v>
      </c>
      <c r="C10742" s="1" t="str">
        <f>HYPERLINK("http://www.genecards.org/cgi-bin/carddisp.pl?gene=COPS7A","GeneCards")</f>
        <v>GeneCards</v>
      </c>
      <c r="D10742" s="1" t="str">
        <f>HYPERLINK("http://genome-euro.ucsc.edu/cgi-bin/hgTracks?position=209029_at","UCSC")</f>
        <v>UCSC</v>
      </c>
      <c r="E10742" s="1" t="str">
        <f>HYPERLINK("http://www.ncbi.nlm.nih.gov/gene/?term=COPS7A","NCBI")</f>
        <v>NCBI</v>
      </c>
      <c r="F10742">
        <v>0.25</v>
      </c>
      <c r="G10742">
        <v>0.39</v>
      </c>
      <c r="H10742" s="1" t="str">
        <f>HYPERLINK("http://www.weizmann.ac.il/complex/compphys/software/geview/data/figures/209029_at.png","Figure")</f>
        <v>Figure</v>
      </c>
      <c r="I10742">
        <v>0.94899999999999995</v>
      </c>
      <c r="J10742">
        <v>0.84</v>
      </c>
      <c r="K10742">
        <v>1.1000000000000001</v>
      </c>
      <c r="L10742">
        <v>0.5</v>
      </c>
      <c r="M10742">
        <v>1.1599999999999999</v>
      </c>
      <c r="N10742">
        <v>0.25</v>
      </c>
    </row>
    <row r="10743" spans="1:14" x14ac:dyDescent="0.25">
      <c r="A10743" t="s">
        <v>18690</v>
      </c>
      <c r="B10743" t="s">
        <v>18691</v>
      </c>
      <c r="C10743" s="1" t="str">
        <f>HYPERLINK("http://www.genecards.org/cgi-bin/carddisp.pl?gene=TUBA1A","GeneCards")</f>
        <v>GeneCards</v>
      </c>
      <c r="D10743" s="1" t="str">
        <f>HYPERLINK("http://genome-euro.ucsc.edu/cgi-bin/hgTracks?position=209118_s_at","UCSC")</f>
        <v>UCSC</v>
      </c>
      <c r="E10743" s="1" t="str">
        <f>HYPERLINK("http://www.ncbi.nlm.nih.gov/gene/?term=TUBA1A","NCBI")</f>
        <v>NCBI</v>
      </c>
      <c r="F10743">
        <v>0.25</v>
      </c>
      <c r="G10743">
        <v>0.39</v>
      </c>
      <c r="H10743" s="1" t="str">
        <f>HYPERLINK("http://www.weizmann.ac.il/complex/compphys/software/geview/data/figures/209118_s_at.png","Figure")</f>
        <v>Figure</v>
      </c>
      <c r="I10743">
        <v>1.37</v>
      </c>
      <c r="J10743">
        <v>0.22</v>
      </c>
      <c r="K10743">
        <v>1.1200000000000001</v>
      </c>
      <c r="L10743">
        <v>0.76</v>
      </c>
      <c r="M10743">
        <v>0.81599999999999995</v>
      </c>
      <c r="N10743">
        <v>0.47</v>
      </c>
    </row>
    <row r="10744" spans="1:14" x14ac:dyDescent="0.25">
      <c r="A10744" t="s">
        <v>18692</v>
      </c>
      <c r="B10744" t="s">
        <v>12687</v>
      </c>
      <c r="C10744" s="1" t="str">
        <f>HYPERLINK("http://www.genecards.org/cgi-bin/carddisp.pl?gene=SDHC","GeneCards")</f>
        <v>GeneCards</v>
      </c>
      <c r="D10744" s="1" t="str">
        <f>HYPERLINK("http://genome-euro.ucsc.edu/cgi-bin/hgTracks?position=202004_x_at","UCSC")</f>
        <v>UCSC</v>
      </c>
      <c r="E10744" s="1" t="str">
        <f>HYPERLINK("http://www.ncbi.nlm.nih.gov/gene/?term=SDHC","NCBI")</f>
        <v>NCBI</v>
      </c>
      <c r="F10744">
        <v>0.25</v>
      </c>
      <c r="G10744">
        <v>0.39</v>
      </c>
      <c r="H10744" s="1" t="str">
        <f>HYPERLINK("http://www.weizmann.ac.il/complex/compphys/software/geview/data/figures/202004_x_at.png","Figure")</f>
        <v>Figure</v>
      </c>
      <c r="I10744">
        <v>1.1399999999999999</v>
      </c>
      <c r="J10744">
        <v>0.53</v>
      </c>
      <c r="K10744">
        <v>1.2</v>
      </c>
      <c r="L10744">
        <v>0.23</v>
      </c>
      <c r="M10744">
        <v>1.05</v>
      </c>
      <c r="N10744">
        <v>0.89</v>
      </c>
    </row>
    <row r="10745" spans="1:14" x14ac:dyDescent="0.25">
      <c r="A10745" t="s">
        <v>18693</v>
      </c>
      <c r="B10745" t="s">
        <v>6963</v>
      </c>
      <c r="C10745" s="1" t="str">
        <f>HYPERLINK("http://www.genecards.org/cgi-bin/carddisp.pl?gene=FOXO3 /// FOXO3B","GeneCards")</f>
        <v>GeneCards</v>
      </c>
      <c r="D10745" s="1" t="str">
        <f>HYPERLINK("http://genome-euro.ucsc.edu/cgi-bin/hgTracks?position=210655_s_at","UCSC")</f>
        <v>UCSC</v>
      </c>
      <c r="E10745" s="1" t="str">
        <f>HYPERLINK("http://www.ncbi.nlm.nih.gov/gene/?term=FOXO3 /// FOXO3B","NCBI")</f>
        <v>NCBI</v>
      </c>
      <c r="F10745">
        <v>0.25</v>
      </c>
      <c r="G10745">
        <v>0.39</v>
      </c>
      <c r="H10745" s="1" t="str">
        <f>HYPERLINK("http://www.weizmann.ac.il/complex/compphys/software/geview/data/figures/210655_s_at.png","Figure")</f>
        <v>Figure</v>
      </c>
      <c r="I10745">
        <v>0.81599999999999995</v>
      </c>
      <c r="J10745">
        <v>0.26</v>
      </c>
      <c r="K10745">
        <v>0.86499999999999999</v>
      </c>
      <c r="L10745">
        <v>0.39</v>
      </c>
      <c r="M10745">
        <v>1.06</v>
      </c>
      <c r="N10745">
        <v>0.87</v>
      </c>
    </row>
    <row r="10746" spans="1:14" x14ac:dyDescent="0.25">
      <c r="A10746" t="s">
        <v>18694</v>
      </c>
      <c r="B10746" t="s">
        <v>12030</v>
      </c>
      <c r="C10746" s="1" t="str">
        <f>HYPERLINK("http://www.genecards.org/cgi-bin/carddisp.pl?gene=ARTN","GeneCards")</f>
        <v>GeneCards</v>
      </c>
      <c r="D10746" s="1" t="str">
        <f>HYPERLINK("http://genome-euro.ucsc.edu/cgi-bin/hgTracks?position=207675_x_at","UCSC")</f>
        <v>UCSC</v>
      </c>
      <c r="E10746" s="1" t="str">
        <f>HYPERLINK("http://www.ncbi.nlm.nih.gov/gene/?term=ARTN","NCBI")</f>
        <v>NCBI</v>
      </c>
      <c r="F10746">
        <v>0.25</v>
      </c>
      <c r="G10746">
        <v>0.39</v>
      </c>
      <c r="H10746" s="1" t="str">
        <f>HYPERLINK("http://www.weizmann.ac.il/complex/compphys/software/geview/data/figures/207675_x_at.png","Figure")</f>
        <v>Figure</v>
      </c>
      <c r="I10746">
        <v>0.96499999999999997</v>
      </c>
      <c r="J10746">
        <v>0.64</v>
      </c>
      <c r="K10746">
        <v>1.03</v>
      </c>
      <c r="L10746">
        <v>0.7</v>
      </c>
      <c r="M10746">
        <v>1.06</v>
      </c>
      <c r="N10746">
        <v>0.22</v>
      </c>
    </row>
    <row r="10747" spans="1:14" x14ac:dyDescent="0.25">
      <c r="A10747" t="s">
        <v>18695</v>
      </c>
      <c r="B10747" t="s">
        <v>4365</v>
      </c>
      <c r="C10747" s="1" t="str">
        <f>HYPERLINK("http://www.genecards.org/cgi-bin/carddisp.pl?gene=DCTD","GeneCards")</f>
        <v>GeneCards</v>
      </c>
      <c r="D10747" s="1" t="str">
        <f>HYPERLINK("http://genome-euro.ucsc.edu/cgi-bin/hgTracks?position=210137_s_at","UCSC")</f>
        <v>UCSC</v>
      </c>
      <c r="E10747" s="1" t="str">
        <f>HYPERLINK("http://www.ncbi.nlm.nih.gov/gene/?term=DCTD","NCBI")</f>
        <v>NCBI</v>
      </c>
      <c r="F10747">
        <v>0.25</v>
      </c>
      <c r="G10747">
        <v>0.39</v>
      </c>
      <c r="H10747" s="1" t="str">
        <f>HYPERLINK("http://www.weizmann.ac.il/complex/compphys/software/geview/data/figures/210137_s_at.png","Figure")</f>
        <v>Figure</v>
      </c>
      <c r="I10747">
        <v>0.82</v>
      </c>
      <c r="J10747">
        <v>0.25</v>
      </c>
      <c r="K10747">
        <v>0.95899999999999996</v>
      </c>
      <c r="L10747">
        <v>0.91</v>
      </c>
      <c r="M10747">
        <v>1.17</v>
      </c>
      <c r="N10747">
        <v>0.36</v>
      </c>
    </row>
    <row r="10748" spans="1:14" x14ac:dyDescent="0.25">
      <c r="A10748" t="s">
        <v>18696</v>
      </c>
      <c r="B10748" t="s">
        <v>13500</v>
      </c>
      <c r="C10748" s="1" t="str">
        <f>HYPERLINK("http://www.genecards.org/cgi-bin/carddisp.pl?gene=HIC2","GeneCards")</f>
        <v>GeneCards</v>
      </c>
      <c r="D10748" s="1" t="str">
        <f>HYPERLINK("http://genome-euro.ucsc.edu/cgi-bin/hgTracks?position=216911_s_at","UCSC")</f>
        <v>UCSC</v>
      </c>
      <c r="E10748" s="1" t="str">
        <f>HYPERLINK("http://www.ncbi.nlm.nih.gov/gene/?term=HIC2","NCBI")</f>
        <v>NCBI</v>
      </c>
      <c r="F10748">
        <v>0.25</v>
      </c>
      <c r="G10748">
        <v>0.39</v>
      </c>
      <c r="H10748" s="1" t="str">
        <f>HYPERLINK("http://www.weizmann.ac.il/complex/compphys/software/geview/data/figures/216911_s_at.png","Figure")</f>
        <v>Figure</v>
      </c>
      <c r="I10748">
        <v>1.02</v>
      </c>
      <c r="J10748">
        <v>0.35</v>
      </c>
      <c r="K10748">
        <v>1.02</v>
      </c>
      <c r="L10748">
        <v>0.28000000000000003</v>
      </c>
      <c r="M10748">
        <v>1</v>
      </c>
      <c r="N10748">
        <v>1</v>
      </c>
    </row>
    <row r="10749" spans="1:14" x14ac:dyDescent="0.25">
      <c r="A10749" t="s">
        <v>18697</v>
      </c>
      <c r="B10749" t="s">
        <v>410</v>
      </c>
      <c r="C10749" s="1" t="str">
        <f>HYPERLINK("http://www.genecards.org/cgi-bin/carddisp.pl?gene=GALC","GeneCards")</f>
        <v>GeneCards</v>
      </c>
      <c r="D10749" s="1" t="str">
        <f>HYPERLINK("http://genome-euro.ucsc.edu/cgi-bin/hgTracks?position=211810_s_at","UCSC")</f>
        <v>UCSC</v>
      </c>
      <c r="E10749" s="1" t="str">
        <f>HYPERLINK("http://www.ncbi.nlm.nih.gov/gene/?term=GALC","NCBI")</f>
        <v>NCBI</v>
      </c>
      <c r="F10749">
        <v>0.25</v>
      </c>
      <c r="G10749">
        <v>0.39</v>
      </c>
      <c r="H10749" s="1" t="str">
        <f>HYPERLINK("http://www.weizmann.ac.il/complex/compphys/software/geview/data/figures/211810_s_at.png","Figure")</f>
        <v>Figure</v>
      </c>
      <c r="I10749">
        <v>0.871</v>
      </c>
      <c r="J10749">
        <v>0.47</v>
      </c>
      <c r="K10749">
        <v>0.84399999999999997</v>
      </c>
      <c r="L10749">
        <v>0.24</v>
      </c>
      <c r="M10749">
        <v>0.96799999999999997</v>
      </c>
      <c r="N10749">
        <v>0.95</v>
      </c>
    </row>
    <row r="10750" spans="1:14" x14ac:dyDescent="0.25">
      <c r="A10750" t="s">
        <v>18698</v>
      </c>
      <c r="B10750" t="s">
        <v>10886</v>
      </c>
      <c r="C10750" s="1" t="str">
        <f>HYPERLINK("http://www.genecards.org/cgi-bin/carddisp.pl?gene=BAT2D1","GeneCards")</f>
        <v>GeneCards</v>
      </c>
      <c r="D10750" s="1" t="str">
        <f>HYPERLINK("http://genome-euro.ucsc.edu/cgi-bin/hgTracks?position=211947_s_at","UCSC")</f>
        <v>UCSC</v>
      </c>
      <c r="E10750" s="1" t="str">
        <f>HYPERLINK("http://www.ncbi.nlm.nih.gov/gene/?term=BAT2D1","NCBI")</f>
        <v>NCBI</v>
      </c>
      <c r="F10750">
        <v>0.25</v>
      </c>
      <c r="G10750">
        <v>0.39</v>
      </c>
      <c r="H10750" s="1" t="str">
        <f>HYPERLINK("http://www.weizmann.ac.il/complex/compphys/software/geview/data/figures/211947_s_at.png","Figure")</f>
        <v>Figure</v>
      </c>
      <c r="I10750">
        <v>1.5</v>
      </c>
      <c r="J10750">
        <v>0.25</v>
      </c>
      <c r="K10750">
        <v>1.08</v>
      </c>
      <c r="L10750">
        <v>0.92</v>
      </c>
      <c r="M10750">
        <v>0.72099999999999997</v>
      </c>
      <c r="N10750">
        <v>0.35</v>
      </c>
    </row>
    <row r="10751" spans="1:14" x14ac:dyDescent="0.25">
      <c r="A10751" t="s">
        <v>18699</v>
      </c>
      <c r="B10751" t="s">
        <v>18700</v>
      </c>
      <c r="C10751" s="1" t="str">
        <f>HYPERLINK("http://www.genecards.org/cgi-bin/carddisp.pl?gene=MYCL1","GeneCards")</f>
        <v>GeneCards</v>
      </c>
      <c r="D10751" s="1" t="str">
        <f>HYPERLINK("http://genome-euro.ucsc.edu/cgi-bin/hgTracks?position=214058_at","UCSC")</f>
        <v>UCSC</v>
      </c>
      <c r="E10751" s="1" t="str">
        <f>HYPERLINK("http://www.ncbi.nlm.nih.gov/gene/?term=MYCL1","NCBI")</f>
        <v>NCBI</v>
      </c>
      <c r="F10751">
        <v>0.25</v>
      </c>
      <c r="G10751">
        <v>0.39</v>
      </c>
      <c r="H10751" s="1" t="str">
        <f>HYPERLINK("http://www.weizmann.ac.il/complex/compphys/software/geview/data/figures/214058_at.png","Figure")</f>
        <v>Figure</v>
      </c>
      <c r="I10751">
        <v>1.05</v>
      </c>
      <c r="J10751">
        <v>0.41</v>
      </c>
      <c r="K10751">
        <v>0.99</v>
      </c>
      <c r="L10751">
        <v>0.95</v>
      </c>
      <c r="M10751">
        <v>0.94299999999999995</v>
      </c>
      <c r="N10751">
        <v>0.24</v>
      </c>
    </row>
    <row r="10752" spans="1:14" x14ac:dyDescent="0.25">
      <c r="A10752" t="s">
        <v>18701</v>
      </c>
      <c r="B10752" t="s">
        <v>12532</v>
      </c>
      <c r="C10752" s="1" t="str">
        <f>HYPERLINK("http://www.genecards.org/cgi-bin/carddisp.pl?gene=HFE","GeneCards")</f>
        <v>GeneCards</v>
      </c>
      <c r="D10752" s="1" t="str">
        <f>HYPERLINK("http://genome-euro.ucsc.edu/cgi-bin/hgTracks?position=211332_x_at","UCSC")</f>
        <v>UCSC</v>
      </c>
      <c r="E10752" s="1" t="str">
        <f>HYPERLINK("http://www.ncbi.nlm.nih.gov/gene/?term=HFE","NCBI")</f>
        <v>NCBI</v>
      </c>
      <c r="F10752">
        <v>0.25</v>
      </c>
      <c r="G10752">
        <v>0.39</v>
      </c>
      <c r="H10752" s="1" t="str">
        <f>HYPERLINK("http://www.weizmann.ac.il/complex/compphys/software/geview/data/figures/211332_x_at.png","Figure")</f>
        <v>Figure</v>
      </c>
      <c r="I10752">
        <v>1.19</v>
      </c>
      <c r="J10752">
        <v>0.22</v>
      </c>
      <c r="K10752">
        <v>1.08</v>
      </c>
      <c r="L10752">
        <v>0.68</v>
      </c>
      <c r="M10752">
        <v>0.90500000000000003</v>
      </c>
      <c r="N10752">
        <v>0.54</v>
      </c>
    </row>
    <row r="10753" spans="1:14" x14ac:dyDescent="0.25">
      <c r="A10753" t="s">
        <v>18702</v>
      </c>
      <c r="B10753" t="s">
        <v>12223</v>
      </c>
      <c r="C10753" s="1" t="str">
        <f>HYPERLINK("http://www.genecards.org/cgi-bin/carddisp.pl?gene=NUP54","GeneCards")</f>
        <v>GeneCards</v>
      </c>
      <c r="D10753" s="1" t="str">
        <f>HYPERLINK("http://genome-euro.ucsc.edu/cgi-bin/hgTracks?position=215213_at","UCSC")</f>
        <v>UCSC</v>
      </c>
      <c r="E10753" s="1" t="str">
        <f>HYPERLINK("http://www.ncbi.nlm.nih.gov/gene/?term=NUP54","NCBI")</f>
        <v>NCBI</v>
      </c>
      <c r="F10753">
        <v>0.25</v>
      </c>
      <c r="G10753">
        <v>0.39</v>
      </c>
      <c r="H10753" s="1" t="str">
        <f>HYPERLINK("http://www.weizmann.ac.il/complex/compphys/software/geview/data/figures/215213_at.png","Figure")</f>
        <v>Figure</v>
      </c>
      <c r="I10753">
        <v>0.88300000000000001</v>
      </c>
      <c r="J10753">
        <v>0.67</v>
      </c>
      <c r="K10753">
        <v>0.80200000000000005</v>
      </c>
      <c r="L10753">
        <v>0.22</v>
      </c>
      <c r="M10753">
        <v>0.90800000000000003</v>
      </c>
      <c r="N10753">
        <v>0.76</v>
      </c>
    </row>
    <row r="10754" spans="1:14" x14ac:dyDescent="0.25">
      <c r="A10754" t="s">
        <v>18703</v>
      </c>
      <c r="B10754" t="s">
        <v>16755</v>
      </c>
      <c r="C10754" s="1" t="str">
        <f>HYPERLINK("http://www.genecards.org/cgi-bin/carddisp.pl?gene=NAMPT","GeneCards")</f>
        <v>GeneCards</v>
      </c>
      <c r="D10754" s="1" t="str">
        <f>HYPERLINK("http://genome-euro.ucsc.edu/cgi-bin/hgTracks?position=217739_s_at","UCSC")</f>
        <v>UCSC</v>
      </c>
      <c r="E10754" s="1" t="str">
        <f>HYPERLINK("http://www.ncbi.nlm.nih.gov/gene/?term=NAMPT","NCBI")</f>
        <v>NCBI</v>
      </c>
      <c r="F10754">
        <v>0.25</v>
      </c>
      <c r="G10754">
        <v>0.39</v>
      </c>
      <c r="H10754" s="1" t="str">
        <f>HYPERLINK("http://www.weizmann.ac.il/complex/compphys/software/geview/data/figures/217739_s_at.png","Figure")</f>
        <v>Figure</v>
      </c>
      <c r="I10754">
        <v>0.69399999999999995</v>
      </c>
      <c r="J10754">
        <v>0.71</v>
      </c>
      <c r="K10754">
        <v>0.49399999999999999</v>
      </c>
      <c r="L10754">
        <v>0.22</v>
      </c>
      <c r="M10754">
        <v>0.71199999999999997</v>
      </c>
      <c r="N10754">
        <v>0.72</v>
      </c>
    </row>
    <row r="10755" spans="1:14" x14ac:dyDescent="0.25">
      <c r="A10755" t="s">
        <v>18704</v>
      </c>
      <c r="B10755" t="s">
        <v>18705</v>
      </c>
      <c r="C10755" s="1" t="str">
        <f>HYPERLINK("http://www.genecards.org/cgi-bin/carddisp.pl?gene=MTERFD1","GeneCards")</f>
        <v>GeneCards</v>
      </c>
      <c r="D10755" s="1" t="str">
        <f>HYPERLINK("http://genome-euro.ucsc.edu/cgi-bin/hgTracks?position=219363_s_at","UCSC")</f>
        <v>UCSC</v>
      </c>
      <c r="E10755" s="1" t="str">
        <f>HYPERLINK("http://www.ncbi.nlm.nih.gov/gene/?term=MTERFD1","NCBI")</f>
        <v>NCBI</v>
      </c>
      <c r="F10755">
        <v>0.25</v>
      </c>
      <c r="G10755">
        <v>0.39</v>
      </c>
      <c r="H10755" s="1" t="str">
        <f>HYPERLINK("http://www.weizmann.ac.il/complex/compphys/software/geview/data/figures/219363_s_at.png","Figure")</f>
        <v>Figure</v>
      </c>
      <c r="I10755">
        <v>0.63</v>
      </c>
      <c r="J10755">
        <v>0.27</v>
      </c>
      <c r="K10755">
        <v>0.69899999999999995</v>
      </c>
      <c r="L10755">
        <v>0.36</v>
      </c>
      <c r="M10755">
        <v>1.1100000000000001</v>
      </c>
      <c r="N10755">
        <v>0.92</v>
      </c>
    </row>
    <row r="10756" spans="1:14" x14ac:dyDescent="0.25">
      <c r="A10756" t="s">
        <v>18706</v>
      </c>
      <c r="B10756" t="s">
        <v>18552</v>
      </c>
      <c r="C10756" s="1" t="str">
        <f>HYPERLINK("http://www.genecards.org/cgi-bin/carddisp.pl?gene=TSN","GeneCards")</f>
        <v>GeneCards</v>
      </c>
      <c r="D10756" s="1" t="str">
        <f>HYPERLINK("http://genome-euro.ucsc.edu/cgi-bin/hgTracks?position=201513_at","UCSC")</f>
        <v>UCSC</v>
      </c>
      <c r="E10756" s="1" t="str">
        <f>HYPERLINK("http://www.ncbi.nlm.nih.gov/gene/?term=TSN","NCBI")</f>
        <v>NCBI</v>
      </c>
      <c r="F10756">
        <v>0.25</v>
      </c>
      <c r="G10756">
        <v>0.39</v>
      </c>
      <c r="H10756" s="1" t="str">
        <f>HYPERLINK("http://www.weizmann.ac.il/complex/compphys/software/geview/data/figures/201513_at.png","Figure")</f>
        <v>Figure</v>
      </c>
      <c r="I10756">
        <v>0.79300000000000004</v>
      </c>
      <c r="J10756">
        <v>0.67</v>
      </c>
      <c r="K10756">
        <v>0.66100000000000003</v>
      </c>
      <c r="L10756">
        <v>0.22</v>
      </c>
      <c r="M10756">
        <v>0.83299999999999996</v>
      </c>
      <c r="N10756">
        <v>0.75</v>
      </c>
    </row>
    <row r="10757" spans="1:14" x14ac:dyDescent="0.25">
      <c r="A10757" t="s">
        <v>18707</v>
      </c>
      <c r="B10757" t="s">
        <v>12532</v>
      </c>
      <c r="C10757" s="1" t="str">
        <f>HYPERLINK("http://www.genecards.org/cgi-bin/carddisp.pl?gene=HFE","GeneCards")</f>
        <v>GeneCards</v>
      </c>
      <c r="D10757" s="1" t="str">
        <f>HYPERLINK("http://genome-euro.ucsc.edu/cgi-bin/hgTracks?position=206086_x_at","UCSC")</f>
        <v>UCSC</v>
      </c>
      <c r="E10757" s="1" t="str">
        <f>HYPERLINK("http://www.ncbi.nlm.nih.gov/gene/?term=HFE","NCBI")</f>
        <v>NCBI</v>
      </c>
      <c r="F10757">
        <v>0.25</v>
      </c>
      <c r="G10757">
        <v>0.39</v>
      </c>
      <c r="H10757" s="1" t="str">
        <f>HYPERLINK("http://www.weizmann.ac.il/complex/compphys/software/geview/data/figures/206086_x_at.png","Figure")</f>
        <v>Figure</v>
      </c>
      <c r="I10757">
        <v>1.19</v>
      </c>
      <c r="J10757">
        <v>0.24</v>
      </c>
      <c r="K10757">
        <v>1.05</v>
      </c>
      <c r="L10757">
        <v>0.87</v>
      </c>
      <c r="M10757">
        <v>0.88100000000000001</v>
      </c>
      <c r="N10757">
        <v>0.39</v>
      </c>
    </row>
    <row r="10758" spans="1:14" x14ac:dyDescent="0.25">
      <c r="A10758" t="s">
        <v>18708</v>
      </c>
      <c r="B10758" t="s">
        <v>18709</v>
      </c>
      <c r="C10758" s="1" t="str">
        <f>HYPERLINK("http://www.genecards.org/cgi-bin/carddisp.pl?gene=PYY2","GeneCards")</f>
        <v>GeneCards</v>
      </c>
      <c r="D10758" s="1" t="str">
        <f>HYPERLINK("http://genome-euro.ucsc.edu/cgi-bin/hgTracks?position=220209_at","UCSC")</f>
        <v>UCSC</v>
      </c>
      <c r="E10758" s="1" t="str">
        <f>HYPERLINK("http://www.ncbi.nlm.nih.gov/gene/?term=PYY2","NCBI")</f>
        <v>NCBI</v>
      </c>
      <c r="F10758">
        <v>0.25</v>
      </c>
      <c r="G10758">
        <v>0.39</v>
      </c>
      <c r="H10758" s="1" t="str">
        <f>HYPERLINK("http://www.weizmann.ac.il/complex/compphys/software/geview/data/figures/220209_at.png","Figure")</f>
        <v>Figure</v>
      </c>
      <c r="I10758">
        <v>1.18</v>
      </c>
      <c r="J10758">
        <v>0.25</v>
      </c>
      <c r="K10758">
        <v>1.03</v>
      </c>
      <c r="L10758">
        <v>0.91</v>
      </c>
      <c r="M10758">
        <v>0.879</v>
      </c>
      <c r="N10758">
        <v>0.36</v>
      </c>
    </row>
    <row r="10759" spans="1:14" x14ac:dyDescent="0.25">
      <c r="A10759" t="s">
        <v>18710</v>
      </c>
      <c r="B10759" t="s">
        <v>18711</v>
      </c>
      <c r="C10759" s="1" t="str">
        <f>HYPERLINK("http://www.genecards.org/cgi-bin/carddisp.pl?gene=RIPK4","GeneCards")</f>
        <v>GeneCards</v>
      </c>
      <c r="D10759" s="1" t="str">
        <f>HYPERLINK("http://genome-euro.ucsc.edu/cgi-bin/hgTracks?position=221215_s_at","UCSC")</f>
        <v>UCSC</v>
      </c>
      <c r="E10759" s="1" t="str">
        <f>HYPERLINK("http://www.ncbi.nlm.nih.gov/gene/?term=RIPK4","NCBI")</f>
        <v>NCBI</v>
      </c>
      <c r="F10759">
        <v>0.25</v>
      </c>
      <c r="G10759">
        <v>0.39</v>
      </c>
      <c r="H10759" s="1" t="str">
        <f>HYPERLINK("http://www.weizmann.ac.il/complex/compphys/software/geview/data/figures/221215_s_at.png","Figure")</f>
        <v>Figure</v>
      </c>
      <c r="I10759">
        <v>1.1000000000000001</v>
      </c>
      <c r="J10759">
        <v>0.31</v>
      </c>
      <c r="K10759">
        <v>1.0900000000000001</v>
      </c>
      <c r="L10759">
        <v>0.31</v>
      </c>
      <c r="M10759">
        <v>0.98799999999999999</v>
      </c>
      <c r="N10759">
        <v>0.98</v>
      </c>
    </row>
    <row r="10760" spans="1:14" x14ac:dyDescent="0.25">
      <c r="A10760" t="s">
        <v>18712</v>
      </c>
      <c r="B10760" t="s">
        <v>742</v>
      </c>
      <c r="C10760" s="1" t="str">
        <f>HYPERLINK("http://www.genecards.org/cgi-bin/carddisp.pl?gene=SF3A1","GeneCards")</f>
        <v>GeneCards</v>
      </c>
      <c r="D10760" s="1" t="str">
        <f>HYPERLINK("http://genome-euro.ucsc.edu/cgi-bin/hgTracks?position=201357_s_at","UCSC")</f>
        <v>UCSC</v>
      </c>
      <c r="E10760" s="1" t="str">
        <f>HYPERLINK("http://www.ncbi.nlm.nih.gov/gene/?term=SF3A1","NCBI")</f>
        <v>NCBI</v>
      </c>
      <c r="F10760">
        <v>0.25</v>
      </c>
      <c r="G10760">
        <v>0.39</v>
      </c>
      <c r="H10760" s="1" t="str">
        <f>HYPERLINK("http://www.weizmann.ac.il/complex/compphys/software/geview/data/figures/201357_s_at.png","Figure")</f>
        <v>Figure</v>
      </c>
      <c r="I10760">
        <v>1.2</v>
      </c>
      <c r="J10760">
        <v>0.38</v>
      </c>
      <c r="K10760">
        <v>1.22</v>
      </c>
      <c r="L10760">
        <v>0.26</v>
      </c>
      <c r="M10760">
        <v>1.01</v>
      </c>
      <c r="N10760">
        <v>1</v>
      </c>
    </row>
    <row r="10761" spans="1:14" x14ac:dyDescent="0.25">
      <c r="A10761" t="s">
        <v>18713</v>
      </c>
      <c r="B10761" t="s">
        <v>17126</v>
      </c>
      <c r="C10761" s="1" t="str">
        <f>HYPERLINK("http://www.genecards.org/cgi-bin/carddisp.pl?gene=KIR3DL2 /// LOC727787","GeneCards")</f>
        <v>GeneCards</v>
      </c>
      <c r="D10761" s="1" t="str">
        <f>HYPERLINK("http://genome-euro.ucsc.edu/cgi-bin/hgTracks?position=207314_x_at","UCSC")</f>
        <v>UCSC</v>
      </c>
      <c r="E10761" s="1" t="str">
        <f>HYPERLINK("http://www.ncbi.nlm.nih.gov/gene/?term=KIR3DL2 /// LOC727787","NCBI")</f>
        <v>NCBI</v>
      </c>
      <c r="F10761">
        <v>0.25</v>
      </c>
      <c r="G10761">
        <v>0.39</v>
      </c>
      <c r="H10761" s="1" t="str">
        <f>HYPERLINK("http://www.weizmann.ac.il/complex/compphys/software/geview/data/figures/207314_x_at.png","Figure")</f>
        <v>Figure</v>
      </c>
      <c r="I10761">
        <v>0.76500000000000001</v>
      </c>
      <c r="J10761">
        <v>0.47</v>
      </c>
      <c r="K10761">
        <v>0.71599999999999997</v>
      </c>
      <c r="L10761">
        <v>0.24</v>
      </c>
      <c r="M10761">
        <v>0.93600000000000005</v>
      </c>
      <c r="N10761">
        <v>0.95</v>
      </c>
    </row>
    <row r="10762" spans="1:14" x14ac:dyDescent="0.25">
      <c r="A10762" t="s">
        <v>18714</v>
      </c>
      <c r="B10762" t="s">
        <v>17130</v>
      </c>
      <c r="C10762" s="1" t="str">
        <f>HYPERLINK("http://www.genecards.org/cgi-bin/carddisp.pl?gene=MYB","GeneCards")</f>
        <v>GeneCards</v>
      </c>
      <c r="D10762" s="1" t="str">
        <f>HYPERLINK("http://genome-euro.ucsc.edu/cgi-bin/hgTracks?position=215152_at","UCSC")</f>
        <v>UCSC</v>
      </c>
      <c r="E10762" s="1" t="str">
        <f>HYPERLINK("http://www.ncbi.nlm.nih.gov/gene/?term=MYB","NCBI")</f>
        <v>NCBI</v>
      </c>
      <c r="F10762">
        <v>0.25</v>
      </c>
      <c r="G10762">
        <v>0.39</v>
      </c>
      <c r="H10762" s="1" t="str">
        <f>HYPERLINK("http://www.weizmann.ac.il/complex/compphys/software/geview/data/figures/215152_at.png","Figure")</f>
        <v>Figure</v>
      </c>
      <c r="I10762">
        <v>0.93</v>
      </c>
      <c r="J10762">
        <v>0.9</v>
      </c>
      <c r="K10762">
        <v>0.78700000000000003</v>
      </c>
      <c r="L10762">
        <v>0.24</v>
      </c>
      <c r="M10762">
        <v>0.84599999999999997</v>
      </c>
      <c r="N10762">
        <v>0.53</v>
      </c>
    </row>
    <row r="10763" spans="1:14" x14ac:dyDescent="0.25">
      <c r="A10763" t="s">
        <v>18715</v>
      </c>
      <c r="B10763" t="s">
        <v>18716</v>
      </c>
      <c r="C10763" s="1" t="str">
        <f>HYPERLINK("http://www.genecards.org/cgi-bin/carddisp.pl?gene=FNTA","GeneCards")</f>
        <v>GeneCards</v>
      </c>
      <c r="D10763" s="1" t="str">
        <f>HYPERLINK("http://genome-euro.ucsc.edu/cgi-bin/hgTracks?position=209471_s_at","UCSC")</f>
        <v>UCSC</v>
      </c>
      <c r="E10763" s="1" t="str">
        <f>HYPERLINK("http://www.ncbi.nlm.nih.gov/gene/?term=FNTA","NCBI")</f>
        <v>NCBI</v>
      </c>
      <c r="F10763">
        <v>0.25</v>
      </c>
      <c r="G10763">
        <v>0.39</v>
      </c>
      <c r="H10763" s="1" t="str">
        <f>HYPERLINK("http://www.weizmann.ac.il/complex/compphys/software/geview/data/figures/209471_s_at.png","Figure")</f>
        <v>Figure</v>
      </c>
      <c r="I10763">
        <v>0.746</v>
      </c>
      <c r="J10763">
        <v>0.25</v>
      </c>
      <c r="K10763">
        <v>0.82199999999999995</v>
      </c>
      <c r="L10763">
        <v>0.42</v>
      </c>
      <c r="M10763">
        <v>1.1000000000000001</v>
      </c>
      <c r="N10763">
        <v>0.83</v>
      </c>
    </row>
    <row r="10764" spans="1:14" x14ac:dyDescent="0.25">
      <c r="A10764" t="s">
        <v>18717</v>
      </c>
      <c r="B10764" t="s">
        <v>8534</v>
      </c>
      <c r="C10764" s="1" t="str">
        <f>HYPERLINK("http://www.genecards.org/cgi-bin/carddisp.pl?gene=TPSAB1","GeneCards")</f>
        <v>GeneCards</v>
      </c>
      <c r="D10764" s="1" t="str">
        <f>HYPERLINK("http://genome-euro.ucsc.edu/cgi-bin/hgTracks?position=205683_x_at","UCSC")</f>
        <v>UCSC</v>
      </c>
      <c r="E10764" s="1" t="str">
        <f>HYPERLINK("http://www.ncbi.nlm.nih.gov/gene/?term=TPSAB1","NCBI")</f>
        <v>NCBI</v>
      </c>
      <c r="F10764">
        <v>0.25</v>
      </c>
      <c r="G10764">
        <v>0.39</v>
      </c>
      <c r="H10764" s="1" t="str">
        <f>HYPERLINK("http://www.weizmann.ac.il/complex/compphys/software/geview/data/figures/205683_x_at.png","Figure")</f>
        <v>Figure</v>
      </c>
      <c r="I10764">
        <v>1.18</v>
      </c>
      <c r="J10764">
        <v>0.22</v>
      </c>
      <c r="K10764">
        <v>1.07</v>
      </c>
      <c r="L10764">
        <v>0.72</v>
      </c>
      <c r="M10764">
        <v>0.90100000000000002</v>
      </c>
      <c r="N10764">
        <v>0.5</v>
      </c>
    </row>
    <row r="10765" spans="1:14" x14ac:dyDescent="0.25">
      <c r="A10765" t="s">
        <v>18718</v>
      </c>
      <c r="B10765" t="s">
        <v>18719</v>
      </c>
      <c r="C10765" s="1" t="str">
        <f>HYPERLINK("http://www.genecards.org/cgi-bin/carddisp.pl?gene=C10orf12","GeneCards")</f>
        <v>GeneCards</v>
      </c>
      <c r="D10765" s="1" t="str">
        <f>HYPERLINK("http://genome-euro.ucsc.edu/cgi-bin/hgTracks?position=216393_at","UCSC")</f>
        <v>UCSC</v>
      </c>
      <c r="E10765" s="1" t="str">
        <f>HYPERLINK("http://www.ncbi.nlm.nih.gov/gene/?term=C10orf12","NCBI")</f>
        <v>NCBI</v>
      </c>
      <c r="F10765">
        <v>0.25</v>
      </c>
      <c r="G10765">
        <v>0.39</v>
      </c>
      <c r="H10765" s="1" t="str">
        <f>HYPERLINK("http://www.weizmann.ac.il/complex/compphys/software/geview/data/figures/216393_at.png","Figure")</f>
        <v>Figure</v>
      </c>
      <c r="I10765">
        <v>1.07</v>
      </c>
      <c r="J10765">
        <v>0.42</v>
      </c>
      <c r="K10765">
        <v>0.98499999999999999</v>
      </c>
      <c r="L10765">
        <v>0.94</v>
      </c>
      <c r="M10765">
        <v>0.92200000000000004</v>
      </c>
      <c r="N10765">
        <v>0.23</v>
      </c>
    </row>
    <row r="10766" spans="1:14" x14ac:dyDescent="0.25">
      <c r="A10766" t="s">
        <v>18720</v>
      </c>
      <c r="B10766" t="s">
        <v>10039</v>
      </c>
      <c r="C10766" s="1" t="str">
        <f>HYPERLINK("http://www.genecards.org/cgi-bin/carddisp.pl?gene=TAPBP","GeneCards")</f>
        <v>GeneCards</v>
      </c>
      <c r="D10766" s="1" t="str">
        <f>HYPERLINK("http://genome-euro.ucsc.edu/cgi-bin/hgTracks?position=210294_at","UCSC")</f>
        <v>UCSC</v>
      </c>
      <c r="E10766" s="1" t="str">
        <f>HYPERLINK("http://www.ncbi.nlm.nih.gov/gene/?term=TAPBP","NCBI")</f>
        <v>NCBI</v>
      </c>
      <c r="F10766">
        <v>0.25</v>
      </c>
      <c r="G10766">
        <v>0.39</v>
      </c>
      <c r="H10766" s="1" t="str">
        <f>HYPERLINK("http://www.weizmann.ac.il/complex/compphys/software/geview/data/figures/210294_at.png","Figure")</f>
        <v>Figure</v>
      </c>
      <c r="I10766">
        <v>0.95299999999999996</v>
      </c>
      <c r="J10766">
        <v>0.6</v>
      </c>
      <c r="K10766">
        <v>0.92700000000000005</v>
      </c>
      <c r="L10766">
        <v>0.22</v>
      </c>
      <c r="M10766">
        <v>0.97299999999999998</v>
      </c>
      <c r="N10766">
        <v>0.82</v>
      </c>
    </row>
    <row r="10767" spans="1:14" x14ac:dyDescent="0.25">
      <c r="A10767" t="s">
        <v>18721</v>
      </c>
      <c r="B10767" t="s">
        <v>18722</v>
      </c>
      <c r="C10767" s="1" t="str">
        <f>HYPERLINK("http://www.genecards.org/cgi-bin/carddisp.pl?gene=GNAI3","GeneCards")</f>
        <v>GeneCards</v>
      </c>
      <c r="D10767" s="1" t="str">
        <f>HYPERLINK("http://genome-euro.ucsc.edu/cgi-bin/hgTracks?position=201181_at","UCSC")</f>
        <v>UCSC</v>
      </c>
      <c r="E10767" s="1" t="str">
        <f>HYPERLINK("http://www.ncbi.nlm.nih.gov/gene/?term=GNAI3","NCBI")</f>
        <v>NCBI</v>
      </c>
      <c r="F10767">
        <v>0.25</v>
      </c>
      <c r="G10767">
        <v>0.39</v>
      </c>
      <c r="H10767" s="1" t="str">
        <f>HYPERLINK("http://www.weizmann.ac.il/complex/compphys/software/geview/data/figures/201181_at.png","Figure")</f>
        <v>Figure</v>
      </c>
      <c r="I10767">
        <v>0.65300000000000002</v>
      </c>
      <c r="J10767">
        <v>0.43</v>
      </c>
      <c r="K10767">
        <v>0.61399999999999999</v>
      </c>
      <c r="L10767">
        <v>0.25</v>
      </c>
      <c r="M10767">
        <v>0.94</v>
      </c>
      <c r="N10767">
        <v>0.98</v>
      </c>
    </row>
    <row r="10768" spans="1:14" x14ac:dyDescent="0.25">
      <c r="A10768" t="s">
        <v>18723</v>
      </c>
      <c r="B10768" t="s">
        <v>18724</v>
      </c>
      <c r="C10768" s="1" t="str">
        <f>HYPERLINK("http://www.genecards.org/cgi-bin/carddisp.pl?gene=ANGPT4","GeneCards")</f>
        <v>GeneCards</v>
      </c>
      <c r="D10768" s="1" t="str">
        <f>HYPERLINK("http://genome-euro.ucsc.edu/cgi-bin/hgTracks?position=221134_at","UCSC")</f>
        <v>UCSC</v>
      </c>
      <c r="E10768" s="1" t="str">
        <f>HYPERLINK("http://www.ncbi.nlm.nih.gov/gene/?term=ANGPT4","NCBI")</f>
        <v>NCBI</v>
      </c>
      <c r="F10768">
        <v>0.25</v>
      </c>
      <c r="G10768">
        <v>0.39</v>
      </c>
      <c r="H10768" s="1" t="str">
        <f>HYPERLINK("http://www.weizmann.ac.il/complex/compphys/software/geview/data/figures/221134_at.png","Figure")</f>
        <v>Figure</v>
      </c>
      <c r="I10768">
        <v>1.1399999999999999</v>
      </c>
      <c r="J10768">
        <v>0.36</v>
      </c>
      <c r="K10768">
        <v>0.98499999999999999</v>
      </c>
      <c r="L10768">
        <v>0.98</v>
      </c>
      <c r="M10768">
        <v>0.86799999999999999</v>
      </c>
      <c r="N10768">
        <v>0.25</v>
      </c>
    </row>
    <row r="10769" spans="1:14" x14ac:dyDescent="0.25">
      <c r="A10769" t="s">
        <v>18725</v>
      </c>
      <c r="B10769" t="s">
        <v>9908</v>
      </c>
      <c r="C10769" s="1" t="str">
        <f>HYPERLINK("http://www.genecards.org/cgi-bin/carddisp.pl?gene=NF1","GeneCards")</f>
        <v>GeneCards</v>
      </c>
      <c r="D10769" s="1" t="str">
        <f>HYPERLINK("http://genome-euro.ucsc.edu/cgi-bin/hgTracks?position=204325_s_at","UCSC")</f>
        <v>UCSC</v>
      </c>
      <c r="E10769" s="1" t="str">
        <f>HYPERLINK("http://www.ncbi.nlm.nih.gov/gene/?term=NF1","NCBI")</f>
        <v>NCBI</v>
      </c>
      <c r="F10769">
        <v>0.25</v>
      </c>
      <c r="G10769">
        <v>0.39</v>
      </c>
      <c r="H10769" s="1" t="str">
        <f>HYPERLINK("http://www.weizmann.ac.il/complex/compphys/software/geview/data/figures/204325_s_at.png","Figure")</f>
        <v>Figure</v>
      </c>
      <c r="I10769">
        <v>0.96</v>
      </c>
      <c r="J10769">
        <v>0.42</v>
      </c>
      <c r="K10769">
        <v>1.01</v>
      </c>
      <c r="L10769">
        <v>0.93</v>
      </c>
      <c r="M10769">
        <v>1.05</v>
      </c>
      <c r="N10769">
        <v>0.23</v>
      </c>
    </row>
    <row r="10770" spans="1:14" x14ac:dyDescent="0.25">
      <c r="A10770" t="s">
        <v>18726</v>
      </c>
      <c r="B10770" t="s">
        <v>18727</v>
      </c>
      <c r="C10770" s="1" t="str">
        <f>HYPERLINK("http://www.genecards.org/cgi-bin/carddisp.pl?gene=AKAP9","GeneCards")</f>
        <v>GeneCards</v>
      </c>
      <c r="D10770" s="1" t="str">
        <f>HYPERLINK("http://genome-euro.ucsc.edu/cgi-bin/hgTracks?position=210962_s_at","UCSC")</f>
        <v>UCSC</v>
      </c>
      <c r="E10770" s="1" t="str">
        <f>HYPERLINK("http://www.ncbi.nlm.nih.gov/gene/?term=AKAP9","NCBI")</f>
        <v>NCBI</v>
      </c>
      <c r="F10770">
        <v>0.25</v>
      </c>
      <c r="G10770">
        <v>0.39</v>
      </c>
      <c r="H10770" s="1" t="str">
        <f>HYPERLINK("http://www.weizmann.ac.il/complex/compphys/software/geview/data/figures/210962_s_at.png","Figure")</f>
        <v>Figure</v>
      </c>
      <c r="I10770">
        <v>1.47</v>
      </c>
      <c r="J10770">
        <v>0.27</v>
      </c>
      <c r="K10770">
        <v>1.34</v>
      </c>
      <c r="L10770">
        <v>0.37</v>
      </c>
      <c r="M10770">
        <v>0.90800000000000003</v>
      </c>
      <c r="N10770">
        <v>0.9</v>
      </c>
    </row>
    <row r="10771" spans="1:14" x14ac:dyDescent="0.25">
      <c r="A10771" t="s">
        <v>18728</v>
      </c>
      <c r="B10771" t="s">
        <v>18729</v>
      </c>
      <c r="C10771" s="1" t="str">
        <f>HYPERLINK("http://www.genecards.org/cgi-bin/carddisp.pl?gene=LOC100294050 /// LOC646652 /// LOC729915 /// POM121L10P /// POM121L1P /// POM121L4P /// POM121L8P //","GeneCards")</f>
        <v>GeneCards</v>
      </c>
      <c r="D10771" s="1" t="str">
        <f>HYPERLINK("http://genome-euro.ucsc.edu/cgi-bin/hgTracks?position=214570_x_at","UCSC")</f>
        <v>UCSC</v>
      </c>
      <c r="E10771" s="1" t="str">
        <f>HYPERLINK("http://www.ncbi.nlm.nih.gov/gene/?term=LOC100294050 /// LOC646652 /// LOC729915 /// POM121L10P /// POM121L1P /// POM121L4P /// POM121L8P //","NCBI")</f>
        <v>NCBI</v>
      </c>
      <c r="F10771">
        <v>0.25</v>
      </c>
      <c r="G10771">
        <v>0.39</v>
      </c>
      <c r="H10771" s="1" t="str">
        <f>HYPERLINK("http://www.weizmann.ac.il/complex/compphys/software/geview/data/figures/214570_x_at.png","Figure")</f>
        <v>Figure</v>
      </c>
      <c r="I10771">
        <v>1.1399999999999999</v>
      </c>
      <c r="J10771">
        <v>0.28000000000000003</v>
      </c>
      <c r="K10771">
        <v>1.1100000000000001</v>
      </c>
      <c r="L10771">
        <v>0.35</v>
      </c>
      <c r="M10771">
        <v>0.97299999999999998</v>
      </c>
      <c r="N10771">
        <v>0.93</v>
      </c>
    </row>
    <row r="10772" spans="1:14" x14ac:dyDescent="0.25">
      <c r="A10772" t="s">
        <v>18730</v>
      </c>
      <c r="B10772" t="s">
        <v>18731</v>
      </c>
      <c r="C10772" s="1" t="str">
        <f>HYPERLINK("http://www.genecards.org/cgi-bin/carddisp.pl?gene=HNRNPA3 /// HNRNPA3P1","GeneCards")</f>
        <v>GeneCards</v>
      </c>
      <c r="D10772" s="1" t="str">
        <f>HYPERLINK("http://genome-euro.ucsc.edu/cgi-bin/hgTracks?position=206809_s_at","UCSC")</f>
        <v>UCSC</v>
      </c>
      <c r="E10772" s="1" t="str">
        <f>HYPERLINK("http://www.ncbi.nlm.nih.gov/gene/?term=HNRNPA3 /// HNRNPA3P1","NCBI")</f>
        <v>NCBI</v>
      </c>
      <c r="F10772">
        <v>0.25</v>
      </c>
      <c r="G10772">
        <v>0.4</v>
      </c>
      <c r="H10772" s="1" t="str">
        <f>HYPERLINK("http://www.weizmann.ac.il/complex/compphys/software/geview/data/figures/206809_s_at.png","Figure")</f>
        <v>Figure</v>
      </c>
      <c r="I10772">
        <v>0.97099999999999997</v>
      </c>
      <c r="J10772">
        <v>0.98</v>
      </c>
      <c r="K10772">
        <v>1.21</v>
      </c>
      <c r="L10772">
        <v>0.37</v>
      </c>
      <c r="M10772">
        <v>1.25</v>
      </c>
      <c r="N10772">
        <v>0.32</v>
      </c>
    </row>
    <row r="10773" spans="1:14" x14ac:dyDescent="0.25">
      <c r="A10773" t="s">
        <v>18732</v>
      </c>
      <c r="B10773" t="s">
        <v>18733</v>
      </c>
      <c r="C10773" s="1" t="str">
        <f>HYPERLINK("http://www.genecards.org/cgi-bin/carddisp.pl?gene=HNRNPA2B1","GeneCards")</f>
        <v>GeneCards</v>
      </c>
      <c r="D10773" s="1" t="str">
        <f>HYPERLINK("http://genome-euro.ucsc.edu/cgi-bin/hgTracks?position=205292_s_at","UCSC")</f>
        <v>UCSC</v>
      </c>
      <c r="E10773" s="1" t="str">
        <f>HYPERLINK("http://www.ncbi.nlm.nih.gov/gene/?term=HNRNPA2B1","NCBI")</f>
        <v>NCBI</v>
      </c>
      <c r="F10773">
        <v>0.25</v>
      </c>
      <c r="G10773">
        <v>0.4</v>
      </c>
      <c r="H10773" s="1" t="str">
        <f>HYPERLINK("http://www.weizmann.ac.il/complex/compphys/software/geview/data/figures/205292_s_at.png","Figure")</f>
        <v>Figure</v>
      </c>
      <c r="I10773">
        <v>1.1200000000000001</v>
      </c>
      <c r="J10773">
        <v>0.91</v>
      </c>
      <c r="K10773">
        <v>1.48</v>
      </c>
      <c r="L10773">
        <v>0.25</v>
      </c>
      <c r="M10773">
        <v>1.32</v>
      </c>
      <c r="N10773">
        <v>0.52</v>
      </c>
    </row>
    <row r="10774" spans="1:14" x14ac:dyDescent="0.25">
      <c r="A10774" t="s">
        <v>18734</v>
      </c>
      <c r="B10774" t="s">
        <v>15996</v>
      </c>
      <c r="C10774" s="1" t="str">
        <f>HYPERLINK("http://www.genecards.org/cgi-bin/carddisp.pl?gene=ACSL1","GeneCards")</f>
        <v>GeneCards</v>
      </c>
      <c r="D10774" s="1" t="str">
        <f>HYPERLINK("http://genome-euro.ucsc.edu/cgi-bin/hgTracks?position=207275_s_at","UCSC")</f>
        <v>UCSC</v>
      </c>
      <c r="E10774" s="1" t="str">
        <f>HYPERLINK("http://www.ncbi.nlm.nih.gov/gene/?term=ACSL1","NCBI")</f>
        <v>NCBI</v>
      </c>
      <c r="F10774">
        <v>0.25</v>
      </c>
      <c r="G10774">
        <v>0.4</v>
      </c>
      <c r="H10774" s="1" t="str">
        <f>HYPERLINK("http://www.weizmann.ac.il/complex/compphys/software/geview/data/figures/207275_s_at.png","Figure")</f>
        <v>Figure</v>
      </c>
      <c r="I10774">
        <v>1.08</v>
      </c>
      <c r="J10774">
        <v>0.98</v>
      </c>
      <c r="K10774">
        <v>0.629</v>
      </c>
      <c r="L10774">
        <v>0.37</v>
      </c>
      <c r="M10774">
        <v>0.58399999999999996</v>
      </c>
      <c r="N10774">
        <v>0.31</v>
      </c>
    </row>
    <row r="10775" spans="1:14" x14ac:dyDescent="0.25">
      <c r="A10775" t="s">
        <v>18735</v>
      </c>
      <c r="B10775" t="s">
        <v>18736</v>
      </c>
      <c r="C10775" s="1" t="str">
        <f>HYPERLINK("http://www.genecards.org/cgi-bin/carddisp.pl?gene=TDRKH","GeneCards")</f>
        <v>GeneCards</v>
      </c>
      <c r="D10775" s="1" t="str">
        <f>HYPERLINK("http://genome-euro.ucsc.edu/cgi-bin/hgTracks?position=221053_s_at","UCSC")</f>
        <v>UCSC</v>
      </c>
      <c r="E10775" s="1" t="str">
        <f>HYPERLINK("http://www.ncbi.nlm.nih.gov/gene/?term=TDRKH","NCBI")</f>
        <v>NCBI</v>
      </c>
      <c r="F10775">
        <v>0.25</v>
      </c>
      <c r="G10775">
        <v>0.4</v>
      </c>
      <c r="H10775" s="1" t="str">
        <f>HYPERLINK("http://www.weizmann.ac.il/complex/compphys/software/geview/data/figures/221053_s_at.png","Figure")</f>
        <v>Figure</v>
      </c>
      <c r="I10775">
        <v>1.01</v>
      </c>
      <c r="J10775">
        <v>0.87</v>
      </c>
      <c r="K10775">
        <v>1.03</v>
      </c>
      <c r="L10775">
        <v>0.24</v>
      </c>
      <c r="M10775">
        <v>1.02</v>
      </c>
      <c r="N10775">
        <v>0.56000000000000005</v>
      </c>
    </row>
    <row r="10776" spans="1:14" x14ac:dyDescent="0.25">
      <c r="A10776" t="s">
        <v>18737</v>
      </c>
      <c r="B10776" t="s">
        <v>18738</v>
      </c>
      <c r="C10776" s="1" t="str">
        <f>HYPERLINK("http://www.genecards.org/cgi-bin/carddisp.pl?gene=TGFBR1","GeneCards")</f>
        <v>GeneCards</v>
      </c>
      <c r="D10776" s="1" t="str">
        <f>HYPERLINK("http://genome-euro.ucsc.edu/cgi-bin/hgTracks?position=206943_at","UCSC")</f>
        <v>UCSC</v>
      </c>
      <c r="E10776" s="1" t="str">
        <f>HYPERLINK("http://www.ncbi.nlm.nih.gov/gene/?term=TGFBR1","NCBI")</f>
        <v>NCBI</v>
      </c>
      <c r="F10776">
        <v>0.25</v>
      </c>
      <c r="G10776">
        <v>0.4</v>
      </c>
      <c r="H10776" s="1" t="str">
        <f>HYPERLINK("http://www.weizmann.ac.il/complex/compphys/software/geview/data/figures/206943_at.png","Figure")</f>
        <v>Figure</v>
      </c>
      <c r="I10776">
        <v>1.02</v>
      </c>
      <c r="J10776">
        <v>0.63</v>
      </c>
      <c r="K10776">
        <v>0.98299999999999998</v>
      </c>
      <c r="L10776">
        <v>0.71</v>
      </c>
      <c r="M10776">
        <v>0.96099999999999997</v>
      </c>
      <c r="N10776">
        <v>0.22</v>
      </c>
    </row>
    <row r="10777" spans="1:14" x14ac:dyDescent="0.25">
      <c r="A10777" t="s">
        <v>18739</v>
      </c>
      <c r="B10777" t="s">
        <v>18740</v>
      </c>
      <c r="C10777" s="1" t="str">
        <f>HYPERLINK("http://www.genecards.org/cgi-bin/carddisp.pl?gene=C19orf62","GeneCards")</f>
        <v>GeneCards</v>
      </c>
      <c r="D10777" s="1" t="str">
        <f>HYPERLINK("http://genome-euro.ucsc.edu/cgi-bin/hgTracks?position=221711_s_at","UCSC")</f>
        <v>UCSC</v>
      </c>
      <c r="E10777" s="1" t="str">
        <f>HYPERLINK("http://www.ncbi.nlm.nih.gov/gene/?term=C19orf62","NCBI")</f>
        <v>NCBI</v>
      </c>
      <c r="F10777">
        <v>0.25</v>
      </c>
      <c r="G10777">
        <v>0.4</v>
      </c>
      <c r="H10777" s="1" t="str">
        <f>HYPERLINK("http://www.weizmann.ac.il/complex/compphys/software/geview/data/figures/221711_s_at.png","Figure")</f>
        <v>Figure</v>
      </c>
      <c r="I10777">
        <v>0.77400000000000002</v>
      </c>
      <c r="J10777">
        <v>0.24</v>
      </c>
      <c r="K10777">
        <v>0.93700000000000006</v>
      </c>
      <c r="L10777">
        <v>0.88</v>
      </c>
      <c r="M10777">
        <v>1.21</v>
      </c>
      <c r="N10777">
        <v>0.39</v>
      </c>
    </row>
    <row r="10778" spans="1:14" x14ac:dyDescent="0.25">
      <c r="A10778" t="s">
        <v>18741</v>
      </c>
      <c r="B10778" t="s">
        <v>18742</v>
      </c>
      <c r="C10778" s="1" t="str">
        <f>HYPERLINK("http://www.genecards.org/cgi-bin/carddisp.pl?gene=BZW1 /// BZW1L1","GeneCards")</f>
        <v>GeneCards</v>
      </c>
      <c r="D10778" s="1" t="str">
        <f>HYPERLINK("http://genome-euro.ucsc.edu/cgi-bin/hgTracks?position=200776_s_at","UCSC")</f>
        <v>UCSC</v>
      </c>
      <c r="E10778" s="1" t="str">
        <f>HYPERLINK("http://www.ncbi.nlm.nih.gov/gene/?term=BZW1 /// BZW1L1","NCBI")</f>
        <v>NCBI</v>
      </c>
      <c r="F10778">
        <v>0.25</v>
      </c>
      <c r="G10778">
        <v>0.4</v>
      </c>
      <c r="H10778" s="1" t="str">
        <f>HYPERLINK("http://www.weizmann.ac.il/complex/compphys/software/geview/data/figures/200776_s_at.png","Figure")</f>
        <v>Figure</v>
      </c>
      <c r="I10778">
        <v>1.34</v>
      </c>
      <c r="J10778">
        <v>0.45</v>
      </c>
      <c r="K10778">
        <v>0.91700000000000004</v>
      </c>
      <c r="L10778">
        <v>0.91</v>
      </c>
      <c r="M10778">
        <v>0.68600000000000005</v>
      </c>
      <c r="N10778">
        <v>0.23</v>
      </c>
    </row>
    <row r="10779" spans="1:14" x14ac:dyDescent="0.25">
      <c r="A10779" t="s">
        <v>18743</v>
      </c>
      <c r="B10779" t="s">
        <v>18744</v>
      </c>
      <c r="C10779" s="1" t="str">
        <f>HYPERLINK("http://www.genecards.org/cgi-bin/carddisp.pl?gene=STAT6","GeneCards")</f>
        <v>GeneCards</v>
      </c>
      <c r="D10779" s="1" t="str">
        <f>HYPERLINK("http://genome-euro.ucsc.edu/cgi-bin/hgTracks?position=201332_s_at","UCSC")</f>
        <v>UCSC</v>
      </c>
      <c r="E10779" s="1" t="str">
        <f>HYPERLINK("http://www.ncbi.nlm.nih.gov/gene/?term=STAT6","NCBI")</f>
        <v>NCBI</v>
      </c>
      <c r="F10779">
        <v>0.25</v>
      </c>
      <c r="G10779">
        <v>0.4</v>
      </c>
      <c r="H10779" s="1" t="str">
        <f>HYPERLINK("http://www.weizmann.ac.il/complex/compphys/software/geview/data/figures/201332_s_at.png","Figure")</f>
        <v>Figure</v>
      </c>
      <c r="I10779">
        <v>1.1599999999999999</v>
      </c>
      <c r="J10779">
        <v>0.26</v>
      </c>
      <c r="K10779">
        <v>1.1100000000000001</v>
      </c>
      <c r="L10779">
        <v>0.4</v>
      </c>
      <c r="M10779">
        <v>0.95699999999999996</v>
      </c>
      <c r="N10779">
        <v>0.86</v>
      </c>
    </row>
    <row r="10780" spans="1:14" x14ac:dyDescent="0.25">
      <c r="A10780" t="s">
        <v>18745</v>
      </c>
      <c r="B10780" t="s">
        <v>13940</v>
      </c>
      <c r="C10780" s="1" t="str">
        <f>HYPERLINK("http://www.genecards.org/cgi-bin/carddisp.pl?gene=NET1","GeneCards")</f>
        <v>GeneCards</v>
      </c>
      <c r="D10780" s="1" t="str">
        <f>HYPERLINK("http://genome-euro.ucsc.edu/cgi-bin/hgTracks?position=201830_s_at","UCSC")</f>
        <v>UCSC</v>
      </c>
      <c r="E10780" s="1" t="str">
        <f>HYPERLINK("http://www.ncbi.nlm.nih.gov/gene/?term=NET1","NCBI")</f>
        <v>NCBI</v>
      </c>
      <c r="F10780">
        <v>0.25</v>
      </c>
      <c r="G10780">
        <v>0.4</v>
      </c>
      <c r="H10780" s="1" t="str">
        <f>HYPERLINK("http://www.weizmann.ac.il/complex/compphys/software/geview/data/figures/201830_s_at.png","Figure")</f>
        <v>Figure</v>
      </c>
      <c r="I10780">
        <v>0.49399999999999999</v>
      </c>
      <c r="J10780">
        <v>0.26</v>
      </c>
      <c r="K10780">
        <v>0.60799999999999998</v>
      </c>
      <c r="L10780">
        <v>0.4</v>
      </c>
      <c r="M10780">
        <v>1.23</v>
      </c>
      <c r="N10780">
        <v>0.86</v>
      </c>
    </row>
    <row r="10781" spans="1:14" x14ac:dyDescent="0.25">
      <c r="A10781" t="s">
        <v>18746</v>
      </c>
      <c r="B10781" t="s">
        <v>13275</v>
      </c>
      <c r="C10781" s="1" t="str">
        <f>HYPERLINK("http://www.genecards.org/cgi-bin/carddisp.pl?gene=SEMA4G","GeneCards")</f>
        <v>GeneCards</v>
      </c>
      <c r="D10781" s="1" t="str">
        <f>HYPERLINK("http://genome-euro.ucsc.edu/cgi-bin/hgTracks?position=203483_at","UCSC")</f>
        <v>UCSC</v>
      </c>
      <c r="E10781" s="1" t="str">
        <f>HYPERLINK("http://www.ncbi.nlm.nih.gov/gene/?term=SEMA4G","NCBI")</f>
        <v>NCBI</v>
      </c>
      <c r="F10781">
        <v>0.25</v>
      </c>
      <c r="G10781">
        <v>0.4</v>
      </c>
      <c r="H10781" s="1" t="str">
        <f>HYPERLINK("http://www.weizmann.ac.il/complex/compphys/software/geview/data/figures/203483_at.png","Figure")</f>
        <v>Figure</v>
      </c>
      <c r="I10781">
        <v>1.1000000000000001</v>
      </c>
      <c r="J10781">
        <v>0.26</v>
      </c>
      <c r="K10781">
        <v>1.07</v>
      </c>
      <c r="L10781">
        <v>0.41</v>
      </c>
      <c r="M10781">
        <v>0.97099999999999997</v>
      </c>
      <c r="N10781">
        <v>0.85</v>
      </c>
    </row>
    <row r="10782" spans="1:14" x14ac:dyDescent="0.25">
      <c r="A10782" t="s">
        <v>18747</v>
      </c>
      <c r="B10782" t="s">
        <v>18748</v>
      </c>
      <c r="C10782" s="1" t="str">
        <f>HYPERLINK("http://www.genecards.org/cgi-bin/carddisp.pl?gene=T","GeneCards")</f>
        <v>GeneCards</v>
      </c>
      <c r="D10782" s="1" t="str">
        <f>HYPERLINK("http://genome-euro.ucsc.edu/cgi-bin/hgTracks?position=206524_at","UCSC")</f>
        <v>UCSC</v>
      </c>
      <c r="E10782" s="1" t="str">
        <f>HYPERLINK("http://www.ncbi.nlm.nih.gov/gene/?term=T","NCBI")</f>
        <v>NCBI</v>
      </c>
      <c r="F10782">
        <v>0.25</v>
      </c>
      <c r="G10782">
        <v>0.4</v>
      </c>
      <c r="H10782" s="1" t="str">
        <f>HYPERLINK("http://www.weizmann.ac.il/complex/compphys/software/geview/data/figures/206524_at.png","Figure")</f>
        <v>Figure</v>
      </c>
      <c r="I10782">
        <v>1.18</v>
      </c>
      <c r="J10782">
        <v>0.35</v>
      </c>
      <c r="K10782">
        <v>0.98799999999999999</v>
      </c>
      <c r="L10782">
        <v>0.99</v>
      </c>
      <c r="M10782">
        <v>0.83699999999999997</v>
      </c>
      <c r="N10782">
        <v>0.26</v>
      </c>
    </row>
    <row r="10783" spans="1:14" x14ac:dyDescent="0.25">
      <c r="A10783" t="s">
        <v>18749</v>
      </c>
      <c r="B10783" t="s">
        <v>18750</v>
      </c>
      <c r="C10783" s="1" t="str">
        <f>HYPERLINK("http://www.genecards.org/cgi-bin/carddisp.pl?gene=IRS4","GeneCards")</f>
        <v>GeneCards</v>
      </c>
      <c r="D10783" s="1" t="str">
        <f>HYPERLINK("http://genome-euro.ucsc.edu/cgi-bin/hgTracks?position=207403_at","UCSC")</f>
        <v>UCSC</v>
      </c>
      <c r="E10783" s="1" t="str">
        <f>HYPERLINK("http://www.ncbi.nlm.nih.gov/gene/?term=IRS4","NCBI")</f>
        <v>NCBI</v>
      </c>
      <c r="F10783">
        <v>0.25</v>
      </c>
      <c r="G10783">
        <v>0.4</v>
      </c>
      <c r="H10783" s="1" t="str">
        <f>HYPERLINK("http://www.weizmann.ac.il/complex/compphys/software/geview/data/figures/207403_at.png","Figure")</f>
        <v>Figure</v>
      </c>
      <c r="I10783">
        <v>1.1000000000000001</v>
      </c>
      <c r="J10783">
        <v>0.5</v>
      </c>
      <c r="K10783">
        <v>0.96099999999999997</v>
      </c>
      <c r="L10783">
        <v>0.84</v>
      </c>
      <c r="M10783">
        <v>0.876</v>
      </c>
      <c r="N10783">
        <v>0.22</v>
      </c>
    </row>
    <row r="10784" spans="1:14" x14ac:dyDescent="0.25">
      <c r="A10784" t="s">
        <v>18751</v>
      </c>
      <c r="B10784" t="s">
        <v>18752</v>
      </c>
      <c r="C10784" s="1" t="str">
        <f>HYPERLINK("http://www.genecards.org/cgi-bin/carddisp.pl?gene=KCNC3","GeneCards")</f>
        <v>GeneCards</v>
      </c>
      <c r="D10784" s="1" t="str">
        <f>HYPERLINK("http://genome-euro.ucsc.edu/cgi-bin/hgTracks?position=207600_at","UCSC")</f>
        <v>UCSC</v>
      </c>
      <c r="E10784" s="1" t="str">
        <f>HYPERLINK("http://www.ncbi.nlm.nih.gov/gene/?term=KCNC3","NCBI")</f>
        <v>NCBI</v>
      </c>
      <c r="F10784">
        <v>0.25</v>
      </c>
      <c r="G10784">
        <v>0.4</v>
      </c>
      <c r="H10784" s="1" t="str">
        <f>HYPERLINK("http://www.weizmann.ac.il/complex/compphys/software/geview/data/figures/207600_at.png","Figure")</f>
        <v>Figure</v>
      </c>
      <c r="I10784">
        <v>0.92700000000000005</v>
      </c>
      <c r="J10784">
        <v>0.22</v>
      </c>
      <c r="K10784">
        <v>0.96599999999999997</v>
      </c>
      <c r="L10784">
        <v>0.64</v>
      </c>
      <c r="M10784">
        <v>1.04</v>
      </c>
      <c r="N10784">
        <v>0.57999999999999996</v>
      </c>
    </row>
    <row r="10785" spans="1:14" x14ac:dyDescent="0.25">
      <c r="A10785" t="s">
        <v>18753</v>
      </c>
      <c r="B10785" t="s">
        <v>17484</v>
      </c>
      <c r="C10785" s="1" t="str">
        <f>HYPERLINK("http://www.genecards.org/cgi-bin/carddisp.pl?gene=LAPTM4B","GeneCards")</f>
        <v>GeneCards</v>
      </c>
      <c r="D10785" s="1" t="str">
        <f>HYPERLINK("http://genome-euro.ucsc.edu/cgi-bin/hgTracks?position=208029_s_at","UCSC")</f>
        <v>UCSC</v>
      </c>
      <c r="E10785" s="1" t="str">
        <f>HYPERLINK("http://www.ncbi.nlm.nih.gov/gene/?term=LAPTM4B","NCBI")</f>
        <v>NCBI</v>
      </c>
      <c r="F10785">
        <v>0.25</v>
      </c>
      <c r="G10785">
        <v>0.4</v>
      </c>
      <c r="H10785" s="1" t="str">
        <f>HYPERLINK("http://www.weizmann.ac.il/complex/compphys/software/geview/data/figures/208029_s_at.png","Figure")</f>
        <v>Figure</v>
      </c>
      <c r="I10785">
        <v>1.31</v>
      </c>
      <c r="J10785">
        <v>0.25</v>
      </c>
      <c r="K10785">
        <v>1.19</v>
      </c>
      <c r="L10785">
        <v>0.43</v>
      </c>
      <c r="M10785">
        <v>0.91300000000000003</v>
      </c>
      <c r="N10785">
        <v>0.81</v>
      </c>
    </row>
    <row r="10786" spans="1:14" x14ac:dyDescent="0.25">
      <c r="A10786" t="s">
        <v>18754</v>
      </c>
      <c r="B10786" t="s">
        <v>14969</v>
      </c>
      <c r="C10786" s="1" t="str">
        <f>HYPERLINK("http://www.genecards.org/cgi-bin/carddisp.pl?gene=POU2F2","GeneCards")</f>
        <v>GeneCards</v>
      </c>
      <c r="D10786" s="1" t="str">
        <f>HYPERLINK("http://genome-euro.ucsc.edu/cgi-bin/hgTracks?position=211660_at","UCSC")</f>
        <v>UCSC</v>
      </c>
      <c r="E10786" s="1" t="str">
        <f>HYPERLINK("http://www.ncbi.nlm.nih.gov/gene/?term=POU2F2","NCBI")</f>
        <v>NCBI</v>
      </c>
      <c r="F10786">
        <v>0.25</v>
      </c>
      <c r="G10786">
        <v>0.4</v>
      </c>
      <c r="H10786" s="1" t="str">
        <f>HYPERLINK("http://www.weizmann.ac.il/complex/compphys/software/geview/data/figures/211660_at.png","Figure")</f>
        <v>Figure</v>
      </c>
      <c r="I10786">
        <v>1.19</v>
      </c>
      <c r="J10786">
        <v>0.37</v>
      </c>
      <c r="K10786">
        <v>1.19</v>
      </c>
      <c r="L10786">
        <v>0.27</v>
      </c>
      <c r="M10786">
        <v>1</v>
      </c>
      <c r="N10786">
        <v>1</v>
      </c>
    </row>
    <row r="10787" spans="1:14" x14ac:dyDescent="0.25">
      <c r="A10787" t="s">
        <v>18755</v>
      </c>
      <c r="B10787" t="s">
        <v>14953</v>
      </c>
      <c r="C10787" s="1" t="str">
        <f>HYPERLINK("http://www.genecards.org/cgi-bin/carddisp.pl?gene=BRD2","GeneCards")</f>
        <v>GeneCards</v>
      </c>
      <c r="D10787" s="1" t="str">
        <f>HYPERLINK("http://genome-euro.ucsc.edu/cgi-bin/hgTracks?position=214911_s_at","UCSC")</f>
        <v>UCSC</v>
      </c>
      <c r="E10787" s="1" t="str">
        <f>HYPERLINK("http://www.ncbi.nlm.nih.gov/gene/?term=BRD2","NCBI")</f>
        <v>NCBI</v>
      </c>
      <c r="F10787">
        <v>0.25</v>
      </c>
      <c r="G10787">
        <v>0.4</v>
      </c>
      <c r="H10787" s="1" t="str">
        <f>HYPERLINK("http://www.weizmann.ac.il/complex/compphys/software/geview/data/figures/214911_s_at.png","Figure")</f>
        <v>Figure</v>
      </c>
      <c r="I10787">
        <v>1.29</v>
      </c>
      <c r="J10787">
        <v>0.6</v>
      </c>
      <c r="K10787">
        <v>0.84099999999999997</v>
      </c>
      <c r="L10787">
        <v>0.73</v>
      </c>
      <c r="M10787">
        <v>0.65</v>
      </c>
      <c r="N10787">
        <v>0.22</v>
      </c>
    </row>
    <row r="10788" spans="1:14" x14ac:dyDescent="0.25">
      <c r="A10788" t="s">
        <v>18756</v>
      </c>
      <c r="B10788" t="s">
        <v>18757</v>
      </c>
      <c r="C10788" s="1" t="str">
        <f>HYPERLINK("http://www.genecards.org/cgi-bin/carddisp.pl?gene=ETAA1","GeneCards")</f>
        <v>GeneCards</v>
      </c>
      <c r="D10788" s="1" t="str">
        <f>HYPERLINK("http://genome-euro.ucsc.edu/cgi-bin/hgTracks?position=219216_at","UCSC")</f>
        <v>UCSC</v>
      </c>
      <c r="E10788" s="1" t="str">
        <f>HYPERLINK("http://www.ncbi.nlm.nih.gov/gene/?term=ETAA1","NCBI")</f>
        <v>NCBI</v>
      </c>
      <c r="F10788">
        <v>0.25</v>
      </c>
      <c r="G10788">
        <v>0.4</v>
      </c>
      <c r="H10788" s="1" t="str">
        <f>HYPERLINK("http://www.weizmann.ac.il/complex/compphys/software/geview/data/figures/219216_at.png","Figure")</f>
        <v>Figure</v>
      </c>
      <c r="I10788">
        <v>1</v>
      </c>
      <c r="J10788">
        <v>1</v>
      </c>
      <c r="K10788">
        <v>0.95399999999999996</v>
      </c>
      <c r="L10788">
        <v>0.32</v>
      </c>
      <c r="M10788">
        <v>0.95399999999999996</v>
      </c>
      <c r="N10788">
        <v>0.36</v>
      </c>
    </row>
    <row r="10789" spans="1:14" x14ac:dyDescent="0.25">
      <c r="A10789" t="s">
        <v>18758</v>
      </c>
      <c r="B10789" t="s">
        <v>11789</v>
      </c>
      <c r="C10789" s="1" t="str">
        <f>HYPERLINK("http://www.genecards.org/cgi-bin/carddisp.pl?gene=BIRC5","GeneCards")</f>
        <v>GeneCards</v>
      </c>
      <c r="D10789" s="1" t="str">
        <f>HYPERLINK("http://genome-euro.ucsc.edu/cgi-bin/hgTracks?position=202095_s_at","UCSC")</f>
        <v>UCSC</v>
      </c>
      <c r="E10789" s="1" t="str">
        <f>HYPERLINK("http://www.ncbi.nlm.nih.gov/gene/?term=BIRC5","NCBI")</f>
        <v>NCBI</v>
      </c>
      <c r="F10789">
        <v>0.25</v>
      </c>
      <c r="G10789">
        <v>0.4</v>
      </c>
      <c r="H10789" s="1" t="str">
        <f>HYPERLINK("http://www.weizmann.ac.il/complex/compphys/software/geview/data/figures/202095_s_at.png","Figure")</f>
        <v>Figure</v>
      </c>
      <c r="I10789">
        <v>1.0900000000000001</v>
      </c>
      <c r="J10789">
        <v>0.84</v>
      </c>
      <c r="K10789">
        <v>1.25</v>
      </c>
      <c r="L10789">
        <v>0.23</v>
      </c>
      <c r="M10789">
        <v>1.1499999999999999</v>
      </c>
      <c r="N10789">
        <v>0.6</v>
      </c>
    </row>
    <row r="10790" spans="1:14" x14ac:dyDescent="0.25">
      <c r="A10790" t="s">
        <v>18759</v>
      </c>
      <c r="B10790" t="s">
        <v>17706</v>
      </c>
      <c r="C10790" s="1" t="str">
        <f>HYPERLINK("http://www.genecards.org/cgi-bin/carddisp.pl?gene=BIN1","GeneCards")</f>
        <v>GeneCards</v>
      </c>
      <c r="D10790" s="1" t="str">
        <f>HYPERLINK("http://genome-euro.ucsc.edu/cgi-bin/hgTracks?position=202931_x_at","UCSC")</f>
        <v>UCSC</v>
      </c>
      <c r="E10790" s="1" t="str">
        <f>HYPERLINK("http://www.ncbi.nlm.nih.gov/gene/?term=BIN1","NCBI")</f>
        <v>NCBI</v>
      </c>
      <c r="F10790">
        <v>0.25</v>
      </c>
      <c r="G10790">
        <v>0.4</v>
      </c>
      <c r="H10790" s="1" t="str">
        <f>HYPERLINK("http://www.weizmann.ac.il/complex/compphys/software/geview/data/figures/202931_x_at.png","Figure")</f>
        <v>Figure</v>
      </c>
      <c r="I10790">
        <v>0.98899999999999999</v>
      </c>
      <c r="J10790">
        <v>1</v>
      </c>
      <c r="K10790">
        <v>1.36</v>
      </c>
      <c r="L10790">
        <v>0.33</v>
      </c>
      <c r="M10790">
        <v>1.37</v>
      </c>
      <c r="N10790">
        <v>0.35</v>
      </c>
    </row>
    <row r="10791" spans="1:14" x14ac:dyDescent="0.25">
      <c r="A10791" t="s">
        <v>18760</v>
      </c>
      <c r="B10791" t="s">
        <v>15835</v>
      </c>
      <c r="C10791" s="1" t="str">
        <f>HYPERLINK("http://www.genecards.org/cgi-bin/carddisp.pl?gene=RPLP0","GeneCards")</f>
        <v>GeneCards</v>
      </c>
      <c r="D10791" s="1" t="str">
        <f>HYPERLINK("http://genome-euro.ucsc.edu/cgi-bin/hgTracks?position=208856_x_at","UCSC")</f>
        <v>UCSC</v>
      </c>
      <c r="E10791" s="1" t="str">
        <f>HYPERLINK("http://www.ncbi.nlm.nih.gov/gene/?term=RPLP0","NCBI")</f>
        <v>NCBI</v>
      </c>
      <c r="F10791">
        <v>0.25</v>
      </c>
      <c r="G10791">
        <v>0.4</v>
      </c>
      <c r="H10791" s="1" t="str">
        <f>HYPERLINK("http://www.weizmann.ac.il/complex/compphys/software/geview/data/figures/208856_x_at.png","Figure")</f>
        <v>Figure</v>
      </c>
      <c r="I10791">
        <v>0.99</v>
      </c>
      <c r="J10791">
        <v>0.99</v>
      </c>
      <c r="K10791">
        <v>1.1100000000000001</v>
      </c>
      <c r="L10791">
        <v>0.35</v>
      </c>
      <c r="M10791">
        <v>1.1200000000000001</v>
      </c>
      <c r="N10791">
        <v>0.33</v>
      </c>
    </row>
    <row r="10792" spans="1:14" x14ac:dyDescent="0.25">
      <c r="A10792" t="s">
        <v>18761</v>
      </c>
      <c r="B10792" t="s">
        <v>18762</v>
      </c>
      <c r="C10792" s="1" t="str">
        <f>HYPERLINK("http://www.genecards.org/cgi-bin/carddisp.pl?gene=ACTA2","GeneCards")</f>
        <v>GeneCards</v>
      </c>
      <c r="D10792" s="1" t="str">
        <f>HYPERLINK("http://genome-euro.ucsc.edu/cgi-bin/hgTracks?position=215787_at","UCSC")</f>
        <v>UCSC</v>
      </c>
      <c r="E10792" s="1" t="str">
        <f>HYPERLINK("http://www.ncbi.nlm.nih.gov/gene/?term=ACTA2","NCBI")</f>
        <v>NCBI</v>
      </c>
      <c r="F10792">
        <v>0.25</v>
      </c>
      <c r="G10792">
        <v>0.4</v>
      </c>
      <c r="H10792" s="1" t="str">
        <f>HYPERLINK("http://www.weizmann.ac.il/complex/compphys/software/geview/data/figures/215787_at.png","Figure")</f>
        <v>Figure</v>
      </c>
      <c r="I10792">
        <v>0.94699999999999995</v>
      </c>
      <c r="J10792">
        <v>0.79</v>
      </c>
      <c r="K10792">
        <v>0.88300000000000001</v>
      </c>
      <c r="L10792">
        <v>0.23</v>
      </c>
      <c r="M10792">
        <v>0.93200000000000005</v>
      </c>
      <c r="N10792">
        <v>0.64</v>
      </c>
    </row>
    <row r="10793" spans="1:14" x14ac:dyDescent="0.25">
      <c r="A10793" t="s">
        <v>18763</v>
      </c>
      <c r="B10793" t="s">
        <v>18764</v>
      </c>
      <c r="C10793" s="1" t="str">
        <f>HYPERLINK("http://www.genecards.org/cgi-bin/carddisp.pl?gene=CNN3","GeneCards")</f>
        <v>GeneCards</v>
      </c>
      <c r="D10793" s="1" t="str">
        <f>HYPERLINK("http://genome-euro.ucsc.edu/cgi-bin/hgTracks?position=201445_at","UCSC")</f>
        <v>UCSC</v>
      </c>
      <c r="E10793" s="1" t="str">
        <f>HYPERLINK("http://www.ncbi.nlm.nih.gov/gene/?term=CNN3","NCBI")</f>
        <v>NCBI</v>
      </c>
      <c r="F10793">
        <v>0.25</v>
      </c>
      <c r="G10793">
        <v>0.4</v>
      </c>
      <c r="H10793" s="1" t="str">
        <f>HYPERLINK("http://www.weizmann.ac.il/complex/compphys/software/geview/data/figures/201445_at.png","Figure")</f>
        <v>Figure</v>
      </c>
      <c r="I10793">
        <v>1</v>
      </c>
      <c r="J10793">
        <v>1</v>
      </c>
      <c r="K10793">
        <v>0.91300000000000003</v>
      </c>
      <c r="L10793">
        <v>0.32</v>
      </c>
      <c r="M10793">
        <v>0.91300000000000003</v>
      </c>
      <c r="N10793">
        <v>0.36</v>
      </c>
    </row>
    <row r="10794" spans="1:14" x14ac:dyDescent="0.25">
      <c r="A10794" t="s">
        <v>18765</v>
      </c>
      <c r="B10794" t="s">
        <v>3520</v>
      </c>
      <c r="C10794" s="1" t="str">
        <f>HYPERLINK("http://www.genecards.org/cgi-bin/carddisp.pl?gene=CA12","GeneCards")</f>
        <v>GeneCards</v>
      </c>
      <c r="D10794" s="1" t="str">
        <f>HYPERLINK("http://genome-euro.ucsc.edu/cgi-bin/hgTracks?position=204509_at","UCSC")</f>
        <v>UCSC</v>
      </c>
      <c r="E10794" s="1" t="str">
        <f>HYPERLINK("http://www.ncbi.nlm.nih.gov/gene/?term=CA12","NCBI")</f>
        <v>NCBI</v>
      </c>
      <c r="F10794">
        <v>0.25</v>
      </c>
      <c r="G10794">
        <v>0.4</v>
      </c>
      <c r="H10794" s="1" t="str">
        <f>HYPERLINK("http://www.weizmann.ac.il/complex/compphys/software/geview/data/figures/204509_at.png","Figure")</f>
        <v>Figure</v>
      </c>
      <c r="I10794">
        <v>1.1299999999999999</v>
      </c>
      <c r="J10794">
        <v>0.27</v>
      </c>
      <c r="K10794">
        <v>1.02</v>
      </c>
      <c r="L10794">
        <v>0.97</v>
      </c>
      <c r="M10794">
        <v>0.9</v>
      </c>
      <c r="N10794">
        <v>0.32</v>
      </c>
    </row>
    <row r="10795" spans="1:14" x14ac:dyDescent="0.25">
      <c r="A10795" t="s">
        <v>18766</v>
      </c>
      <c r="B10795" t="s">
        <v>11746</v>
      </c>
      <c r="C10795" s="1" t="str">
        <f>HYPERLINK("http://www.genecards.org/cgi-bin/carddisp.pl?gene=IL9R","GeneCards")</f>
        <v>GeneCards</v>
      </c>
      <c r="D10795" s="1" t="str">
        <f>HYPERLINK("http://genome-euro.ucsc.edu/cgi-bin/hgTracks?position=208164_s_at","UCSC")</f>
        <v>UCSC</v>
      </c>
      <c r="E10795" s="1" t="str">
        <f>HYPERLINK("http://www.ncbi.nlm.nih.gov/gene/?term=IL9R","NCBI")</f>
        <v>NCBI</v>
      </c>
      <c r="F10795">
        <v>0.25</v>
      </c>
      <c r="G10795">
        <v>0.4</v>
      </c>
      <c r="H10795" s="1" t="str">
        <f>HYPERLINK("http://www.weizmann.ac.il/complex/compphys/software/geview/data/figures/208164_s_at.png","Figure")</f>
        <v>Figure</v>
      </c>
      <c r="I10795">
        <v>1.1499999999999999</v>
      </c>
      <c r="J10795">
        <v>0.25</v>
      </c>
      <c r="K10795">
        <v>1.03</v>
      </c>
      <c r="L10795">
        <v>0.89</v>
      </c>
      <c r="M10795">
        <v>0.89800000000000002</v>
      </c>
      <c r="N10795">
        <v>0.38</v>
      </c>
    </row>
    <row r="10796" spans="1:14" x14ac:dyDescent="0.25">
      <c r="A10796" t="s">
        <v>18767</v>
      </c>
      <c r="B10796" t="s">
        <v>18768</v>
      </c>
      <c r="C10796" s="1" t="str">
        <f>HYPERLINK("http://www.genecards.org/cgi-bin/carddisp.pl?gene=NR2F1","GeneCards")</f>
        <v>GeneCards</v>
      </c>
      <c r="D10796" s="1" t="str">
        <f>HYPERLINK("http://genome-euro.ucsc.edu/cgi-bin/hgTracks?position=209506_s_at","UCSC")</f>
        <v>UCSC</v>
      </c>
      <c r="E10796" s="1" t="str">
        <f>HYPERLINK("http://www.ncbi.nlm.nih.gov/gene/?term=NR2F1","NCBI")</f>
        <v>NCBI</v>
      </c>
      <c r="F10796">
        <v>0.25</v>
      </c>
      <c r="G10796">
        <v>0.4</v>
      </c>
      <c r="H10796" s="1" t="str">
        <f>HYPERLINK("http://www.weizmann.ac.il/complex/compphys/software/geview/data/figures/209506_s_at.png","Figure")</f>
        <v>Figure</v>
      </c>
      <c r="I10796">
        <v>1.0900000000000001</v>
      </c>
      <c r="J10796">
        <v>0.22</v>
      </c>
      <c r="K10796">
        <v>1.04</v>
      </c>
      <c r="L10796">
        <v>0.67</v>
      </c>
      <c r="M10796">
        <v>0.95199999999999996</v>
      </c>
      <c r="N10796">
        <v>0.55000000000000004</v>
      </c>
    </row>
    <row r="10797" spans="1:14" x14ac:dyDescent="0.25">
      <c r="A10797" t="s">
        <v>18769</v>
      </c>
      <c r="B10797" t="s">
        <v>4599</v>
      </c>
      <c r="C10797" s="1" t="str">
        <f>HYPERLINK("http://www.genecards.org/cgi-bin/carddisp.pl?gene=PDCD11","GeneCards")</f>
        <v>GeneCards</v>
      </c>
      <c r="D10797" s="1" t="str">
        <f>HYPERLINK("http://genome-euro.ucsc.edu/cgi-bin/hgTracks?position=212422_at","UCSC")</f>
        <v>UCSC</v>
      </c>
      <c r="E10797" s="1" t="str">
        <f>HYPERLINK("http://www.ncbi.nlm.nih.gov/gene/?term=PDCD11","NCBI")</f>
        <v>NCBI</v>
      </c>
      <c r="F10797">
        <v>0.25</v>
      </c>
      <c r="G10797">
        <v>0.4</v>
      </c>
      <c r="H10797" s="1" t="str">
        <f>HYPERLINK("http://www.weizmann.ac.il/complex/compphys/software/geview/data/figures/212422_at.png","Figure")</f>
        <v>Figure</v>
      </c>
      <c r="I10797">
        <v>0.878</v>
      </c>
      <c r="J10797">
        <v>0.49</v>
      </c>
      <c r="K10797">
        <v>1.05</v>
      </c>
      <c r="L10797">
        <v>0.86</v>
      </c>
      <c r="M10797">
        <v>1.2</v>
      </c>
      <c r="N10797">
        <v>0.23</v>
      </c>
    </row>
    <row r="10798" spans="1:14" x14ac:dyDescent="0.25">
      <c r="A10798" t="s">
        <v>18770</v>
      </c>
      <c r="B10798" t="s">
        <v>18771</v>
      </c>
      <c r="C10798" s="1" t="str">
        <f>HYPERLINK("http://www.genecards.org/cgi-bin/carddisp.pl?gene=MFHAS1","GeneCards")</f>
        <v>GeneCards</v>
      </c>
      <c r="D10798" s="1" t="str">
        <f>HYPERLINK("http://genome-euro.ucsc.edu/cgi-bin/hgTracks?position=213457_at","UCSC")</f>
        <v>UCSC</v>
      </c>
      <c r="E10798" s="1" t="str">
        <f>HYPERLINK("http://www.ncbi.nlm.nih.gov/gene/?term=MFHAS1","NCBI")</f>
        <v>NCBI</v>
      </c>
      <c r="F10798">
        <v>0.25</v>
      </c>
      <c r="G10798">
        <v>0.4</v>
      </c>
      <c r="H10798" s="1" t="str">
        <f>HYPERLINK("http://www.weizmann.ac.il/complex/compphys/software/geview/data/figures/213457_at.png","Figure")</f>
        <v>Figure</v>
      </c>
      <c r="I10798">
        <v>1.03</v>
      </c>
      <c r="J10798">
        <v>0.99</v>
      </c>
      <c r="K10798">
        <v>0.755</v>
      </c>
      <c r="L10798">
        <v>0.35</v>
      </c>
      <c r="M10798">
        <v>0.73499999999999999</v>
      </c>
      <c r="N10798">
        <v>0.33</v>
      </c>
    </row>
    <row r="10799" spans="1:14" x14ac:dyDescent="0.25">
      <c r="A10799" t="s">
        <v>18772</v>
      </c>
      <c r="B10799" t="s">
        <v>18480</v>
      </c>
      <c r="C10799" s="1" t="str">
        <f>HYPERLINK("http://www.genecards.org/cgi-bin/carddisp.pl?gene=FAM134A","GeneCards")</f>
        <v>GeneCards</v>
      </c>
      <c r="D10799" s="1" t="str">
        <f>HYPERLINK("http://genome-euro.ucsc.edu/cgi-bin/hgTracks?position=222129_at","UCSC")</f>
        <v>UCSC</v>
      </c>
      <c r="E10799" s="1" t="str">
        <f>HYPERLINK("http://www.ncbi.nlm.nih.gov/gene/?term=FAM134A","NCBI")</f>
        <v>NCBI</v>
      </c>
      <c r="F10799">
        <v>0.25</v>
      </c>
      <c r="G10799">
        <v>0.4</v>
      </c>
      <c r="H10799" s="1" t="str">
        <f>HYPERLINK("http://www.weizmann.ac.il/complex/compphys/software/geview/data/figures/222129_at.png","Figure")</f>
        <v>Figure</v>
      </c>
      <c r="I10799">
        <v>0.73099999999999998</v>
      </c>
      <c r="J10799">
        <v>0.22</v>
      </c>
      <c r="K10799">
        <v>0.86</v>
      </c>
      <c r="L10799">
        <v>0.61</v>
      </c>
      <c r="M10799">
        <v>1.18</v>
      </c>
      <c r="N10799">
        <v>0.6</v>
      </c>
    </row>
    <row r="10800" spans="1:14" x14ac:dyDescent="0.25">
      <c r="A10800" t="s">
        <v>18773</v>
      </c>
      <c r="B10800" t="s">
        <v>18774</v>
      </c>
      <c r="C10800" s="1" t="str">
        <f>HYPERLINK("http://www.genecards.org/cgi-bin/carddisp.pl?gene=C19orf6","GeneCards")</f>
        <v>GeneCards</v>
      </c>
      <c r="D10800" s="1" t="str">
        <f>HYPERLINK("http://genome-euro.ucsc.edu/cgi-bin/hgTracks?position=213985_s_at","UCSC")</f>
        <v>UCSC</v>
      </c>
      <c r="E10800" s="1" t="str">
        <f>HYPERLINK("http://www.ncbi.nlm.nih.gov/gene/?term=C19orf6","NCBI")</f>
        <v>NCBI</v>
      </c>
      <c r="F10800">
        <v>0.25</v>
      </c>
      <c r="G10800">
        <v>0.4</v>
      </c>
      <c r="H10800" s="1" t="str">
        <f>HYPERLINK("http://www.weizmann.ac.il/complex/compphys/software/geview/data/figures/213985_s_at.png","Figure")</f>
        <v>Figure</v>
      </c>
      <c r="I10800">
        <v>1.02</v>
      </c>
      <c r="J10800">
        <v>0.67</v>
      </c>
      <c r="K10800">
        <v>1.04</v>
      </c>
      <c r="L10800">
        <v>0.22</v>
      </c>
      <c r="M10800">
        <v>1.02</v>
      </c>
      <c r="N10800">
        <v>0.76</v>
      </c>
    </row>
    <row r="10801" spans="1:14" x14ac:dyDescent="0.25">
      <c r="A10801" t="s">
        <v>18775</v>
      </c>
      <c r="B10801" t="s">
        <v>18776</v>
      </c>
      <c r="C10801" s="1" t="str">
        <f>HYPERLINK("http://www.genecards.org/cgi-bin/carddisp.pl?gene=NKX6-1","GeneCards")</f>
        <v>GeneCards</v>
      </c>
      <c r="D10801" s="1" t="str">
        <f>HYPERLINK("http://genome-euro.ucsc.edu/cgi-bin/hgTracks?position=221366_at","UCSC")</f>
        <v>UCSC</v>
      </c>
      <c r="E10801" s="1" t="str">
        <f>HYPERLINK("http://www.ncbi.nlm.nih.gov/gene/?term=NKX6-1","NCBI")</f>
        <v>NCBI</v>
      </c>
      <c r="F10801">
        <v>0.25</v>
      </c>
      <c r="G10801">
        <v>0.4</v>
      </c>
      <c r="H10801" s="1" t="str">
        <f>HYPERLINK("http://www.weizmann.ac.il/complex/compphys/software/geview/data/figures/221366_at.png","Figure")</f>
        <v>Figure</v>
      </c>
      <c r="I10801">
        <v>1.03</v>
      </c>
      <c r="J10801">
        <v>0.38</v>
      </c>
      <c r="K10801">
        <v>1.03</v>
      </c>
      <c r="L10801">
        <v>0.27</v>
      </c>
      <c r="M10801">
        <v>1</v>
      </c>
      <c r="N10801">
        <v>1</v>
      </c>
    </row>
    <row r="10802" spans="1:14" x14ac:dyDescent="0.25">
      <c r="A10802" t="s">
        <v>18777</v>
      </c>
      <c r="B10802" t="s">
        <v>18778</v>
      </c>
      <c r="C10802" s="1" t="str">
        <f>HYPERLINK("http://www.genecards.org/cgi-bin/carddisp.pl?gene=PCDHGA8","GeneCards")</f>
        <v>GeneCards</v>
      </c>
      <c r="D10802" s="1" t="str">
        <f>HYPERLINK("http://genome-euro.ucsc.edu/cgi-bin/hgTracks?position=210368_at","UCSC")</f>
        <v>UCSC</v>
      </c>
      <c r="E10802" s="1" t="str">
        <f>HYPERLINK("http://www.ncbi.nlm.nih.gov/gene/?term=PCDHGA8","NCBI")</f>
        <v>NCBI</v>
      </c>
      <c r="F10802">
        <v>0.25</v>
      </c>
      <c r="G10802">
        <v>0.4</v>
      </c>
      <c r="H10802" s="1" t="str">
        <f>HYPERLINK("http://www.weizmann.ac.il/complex/compphys/software/geview/data/figures/210368_at.png","Figure")</f>
        <v>Figure</v>
      </c>
      <c r="I10802">
        <v>1</v>
      </c>
      <c r="J10802">
        <v>1</v>
      </c>
      <c r="K10802">
        <v>0.84899999999999998</v>
      </c>
      <c r="L10802">
        <v>0.32</v>
      </c>
      <c r="M10802">
        <v>0.84899999999999998</v>
      </c>
      <c r="N10802">
        <v>0.36</v>
      </c>
    </row>
    <row r="10803" spans="1:14" x14ac:dyDescent="0.25">
      <c r="A10803" t="s">
        <v>18779</v>
      </c>
      <c r="B10803" t="s">
        <v>18780</v>
      </c>
      <c r="C10803" s="1" t="str">
        <f>HYPERLINK("http://www.genecards.org/cgi-bin/carddisp.pl?gene=GINS3","GeneCards")</f>
        <v>GeneCards</v>
      </c>
      <c r="D10803" s="1" t="str">
        <f>HYPERLINK("http://genome-euro.ucsc.edu/cgi-bin/hgTracks?position=45633_at","UCSC")</f>
        <v>UCSC</v>
      </c>
      <c r="E10803" s="1" t="str">
        <f>HYPERLINK("http://www.ncbi.nlm.nih.gov/gene/?term=GINS3","NCBI")</f>
        <v>NCBI</v>
      </c>
      <c r="F10803">
        <v>0.25</v>
      </c>
      <c r="G10803">
        <v>0.4</v>
      </c>
      <c r="H10803" s="1" t="str">
        <f>HYPERLINK("http://www.weizmann.ac.il/complex/compphys/software/geview/data/figures/45633_at.png","Figure")</f>
        <v>Figure</v>
      </c>
      <c r="I10803">
        <v>0.85299999999999998</v>
      </c>
      <c r="J10803">
        <v>0.49</v>
      </c>
      <c r="K10803">
        <v>1.06</v>
      </c>
      <c r="L10803">
        <v>0.86</v>
      </c>
      <c r="M10803">
        <v>1.25</v>
      </c>
      <c r="N10803">
        <v>0.23</v>
      </c>
    </row>
    <row r="10804" spans="1:14" x14ac:dyDescent="0.25">
      <c r="A10804" t="s">
        <v>18781</v>
      </c>
      <c r="B10804" t="s">
        <v>18782</v>
      </c>
      <c r="C10804" s="1" t="str">
        <f>HYPERLINK("http://www.genecards.org/cgi-bin/carddisp.pl?gene=NAT8 /// NAT8B","GeneCards")</f>
        <v>GeneCards</v>
      </c>
      <c r="D10804" s="1" t="str">
        <f>HYPERLINK("http://genome-euro.ucsc.edu/cgi-bin/hgTracks?position=206963_s_at","UCSC")</f>
        <v>UCSC</v>
      </c>
      <c r="E10804" s="1" t="str">
        <f>HYPERLINK("http://www.ncbi.nlm.nih.gov/gene/?term=NAT8 /// NAT8B","NCBI")</f>
        <v>NCBI</v>
      </c>
      <c r="F10804">
        <v>0.25</v>
      </c>
      <c r="G10804">
        <v>0.4</v>
      </c>
      <c r="H10804" s="1" t="str">
        <f>HYPERLINK("http://www.weizmann.ac.il/complex/compphys/software/geview/data/figures/206963_s_at.png","Figure")</f>
        <v>Figure</v>
      </c>
      <c r="I10804">
        <v>1.01</v>
      </c>
      <c r="J10804">
        <v>0.36</v>
      </c>
      <c r="K10804">
        <v>1.01</v>
      </c>
      <c r="L10804">
        <v>0.27</v>
      </c>
      <c r="M10804">
        <v>1</v>
      </c>
      <c r="N10804">
        <v>1</v>
      </c>
    </row>
    <row r="10805" spans="1:14" x14ac:dyDescent="0.25">
      <c r="A10805" t="s">
        <v>18783</v>
      </c>
      <c r="B10805" t="s">
        <v>900</v>
      </c>
      <c r="C10805" s="1" t="str">
        <f>HYPERLINK("http://www.genecards.org/cgi-bin/carddisp.pl?gene=IGFBP7","GeneCards")</f>
        <v>GeneCards</v>
      </c>
      <c r="D10805" s="1" t="str">
        <f>HYPERLINK("http://genome-euro.ucsc.edu/cgi-bin/hgTracks?position=213910_at","UCSC")</f>
        <v>UCSC</v>
      </c>
      <c r="E10805" s="1" t="str">
        <f>HYPERLINK("http://www.ncbi.nlm.nih.gov/gene/?term=IGFBP7","NCBI")</f>
        <v>NCBI</v>
      </c>
      <c r="F10805">
        <v>0.25</v>
      </c>
      <c r="G10805">
        <v>0.4</v>
      </c>
      <c r="H10805" s="1" t="str">
        <f>HYPERLINK("http://www.weizmann.ac.il/complex/compphys/software/geview/data/figures/213910_at.png","Figure")</f>
        <v>Figure</v>
      </c>
      <c r="I10805">
        <v>1.03</v>
      </c>
      <c r="J10805">
        <v>0.36</v>
      </c>
      <c r="K10805">
        <v>1.03</v>
      </c>
      <c r="L10805">
        <v>0.27</v>
      </c>
      <c r="M10805">
        <v>1</v>
      </c>
      <c r="N10805">
        <v>1</v>
      </c>
    </row>
    <row r="10806" spans="1:14" x14ac:dyDescent="0.25">
      <c r="A10806" t="s">
        <v>18784</v>
      </c>
      <c r="B10806" t="s">
        <v>14943</v>
      </c>
      <c r="C10806" s="1" t="str">
        <f>HYPERLINK("http://www.genecards.org/cgi-bin/carddisp.pl?gene=KLF4","GeneCards")</f>
        <v>GeneCards</v>
      </c>
      <c r="D10806" s="1" t="str">
        <f>HYPERLINK("http://genome-euro.ucsc.edu/cgi-bin/hgTracks?position=220266_s_at","UCSC")</f>
        <v>UCSC</v>
      </c>
      <c r="E10806" s="1" t="str">
        <f>HYPERLINK("http://www.ncbi.nlm.nih.gov/gene/?term=KLF4","NCBI")</f>
        <v>NCBI</v>
      </c>
      <c r="F10806">
        <v>0.25</v>
      </c>
      <c r="G10806">
        <v>0.4</v>
      </c>
      <c r="H10806" s="1" t="str">
        <f>HYPERLINK("http://www.weizmann.ac.il/complex/compphys/software/geview/data/figures/220266_s_at.png","Figure")</f>
        <v>Figure</v>
      </c>
      <c r="I10806">
        <v>1.94</v>
      </c>
      <c r="J10806">
        <v>0.25</v>
      </c>
      <c r="K10806">
        <v>1.54</v>
      </c>
      <c r="L10806">
        <v>0.44</v>
      </c>
      <c r="M10806">
        <v>0.79200000000000004</v>
      </c>
      <c r="N10806">
        <v>0.8</v>
      </c>
    </row>
    <row r="10807" spans="1:14" x14ac:dyDescent="0.25">
      <c r="A10807" t="s">
        <v>18785</v>
      </c>
      <c r="B10807" t="s">
        <v>17425</v>
      </c>
      <c r="C10807" s="1" t="str">
        <f>HYPERLINK("http://www.genecards.org/cgi-bin/carddisp.pl?gene=ZNF43","GeneCards")</f>
        <v>GeneCards</v>
      </c>
      <c r="D10807" s="1" t="str">
        <f>HYPERLINK("http://genome-euro.ucsc.edu/cgi-bin/hgTracks?position=222136_x_at","UCSC")</f>
        <v>UCSC</v>
      </c>
      <c r="E10807" s="1" t="str">
        <f>HYPERLINK("http://www.ncbi.nlm.nih.gov/gene/?term=ZNF43","NCBI")</f>
        <v>NCBI</v>
      </c>
      <c r="F10807">
        <v>0.25</v>
      </c>
      <c r="G10807">
        <v>0.4</v>
      </c>
      <c r="H10807" s="1" t="str">
        <f>HYPERLINK("http://www.weizmann.ac.il/complex/compphys/software/geview/data/figures/222136_x_at.png","Figure")</f>
        <v>Figure</v>
      </c>
      <c r="I10807">
        <v>1.34</v>
      </c>
      <c r="J10807">
        <v>0.24</v>
      </c>
      <c r="K10807">
        <v>1.19</v>
      </c>
      <c r="L10807">
        <v>0.49</v>
      </c>
      <c r="M10807">
        <v>0.88900000000000001</v>
      </c>
      <c r="N10807">
        <v>0.75</v>
      </c>
    </row>
    <row r="10808" spans="1:14" x14ac:dyDescent="0.25">
      <c r="A10808" t="s">
        <v>18786</v>
      </c>
      <c r="B10808" t="s">
        <v>18787</v>
      </c>
      <c r="C10808" s="1" t="str">
        <f>HYPERLINK("http://www.genecards.org/cgi-bin/carddisp.pl?gene=CBX3","GeneCards")</f>
        <v>GeneCards</v>
      </c>
      <c r="D10808" s="1" t="str">
        <f>HYPERLINK("http://genome-euro.ucsc.edu/cgi-bin/hgTracks?position=201091_s_at","UCSC")</f>
        <v>UCSC</v>
      </c>
      <c r="E10808" s="1" t="str">
        <f>HYPERLINK("http://www.ncbi.nlm.nih.gov/gene/?term=CBX3","NCBI")</f>
        <v>NCBI</v>
      </c>
      <c r="F10808">
        <v>0.25</v>
      </c>
      <c r="G10808">
        <v>0.4</v>
      </c>
      <c r="H10808" s="1" t="str">
        <f>HYPERLINK("http://www.weizmann.ac.il/complex/compphys/software/geview/data/figures/201091_s_at.png","Figure")</f>
        <v>Figure</v>
      </c>
      <c r="I10808">
        <v>1.04</v>
      </c>
      <c r="J10808">
        <v>0.92</v>
      </c>
      <c r="K10808">
        <v>1.17</v>
      </c>
      <c r="L10808">
        <v>0.25</v>
      </c>
      <c r="M10808">
        <v>1.1200000000000001</v>
      </c>
      <c r="N10808">
        <v>0.5</v>
      </c>
    </row>
    <row r="10809" spans="1:14" x14ac:dyDescent="0.25">
      <c r="A10809" t="s">
        <v>18788</v>
      </c>
      <c r="B10809" t="s">
        <v>18789</v>
      </c>
      <c r="C10809" s="1" t="str">
        <f>HYPERLINK("http://www.genecards.org/cgi-bin/carddisp.pl?gene=CHIC2","GeneCards")</f>
        <v>GeneCards</v>
      </c>
      <c r="D10809" s="1" t="str">
        <f>HYPERLINK("http://genome-euro.ucsc.edu/cgi-bin/hgTracks?position=219492_at","UCSC")</f>
        <v>UCSC</v>
      </c>
      <c r="E10809" s="1" t="str">
        <f>HYPERLINK("http://www.ncbi.nlm.nih.gov/gene/?term=CHIC2","NCBI")</f>
        <v>NCBI</v>
      </c>
      <c r="F10809">
        <v>0.25</v>
      </c>
      <c r="G10809">
        <v>0.4</v>
      </c>
      <c r="H10809" s="1" t="str">
        <f>HYPERLINK("http://www.weizmann.ac.il/complex/compphys/software/geview/data/figures/219492_at.png","Figure")</f>
        <v>Figure</v>
      </c>
      <c r="I10809">
        <v>0.74299999999999999</v>
      </c>
      <c r="J10809">
        <v>0.42</v>
      </c>
      <c r="K10809">
        <v>0.71399999999999997</v>
      </c>
      <c r="L10809">
        <v>0.25</v>
      </c>
      <c r="M10809">
        <v>0.96099999999999997</v>
      </c>
      <c r="N10809">
        <v>0.98</v>
      </c>
    </row>
    <row r="10810" spans="1:14" x14ac:dyDescent="0.25">
      <c r="A10810" t="s">
        <v>18790</v>
      </c>
      <c r="B10810" t="s">
        <v>15540</v>
      </c>
      <c r="C10810" s="1" t="str">
        <f>HYPERLINK("http://www.genecards.org/cgi-bin/carddisp.pl?gene=GAPDH","GeneCards")</f>
        <v>GeneCards</v>
      </c>
      <c r="D10810" s="1" t="str">
        <f>HYPERLINK("http://genome-euro.ucsc.edu/cgi-bin/hgTracks?position=AFFX-HUMGAPDH/M33197_M_at","UCSC")</f>
        <v>UCSC</v>
      </c>
      <c r="E10810" s="1" t="str">
        <f>HYPERLINK("http://www.ncbi.nlm.nih.gov/gene/?term=GAPDH","NCBI")</f>
        <v>NCBI</v>
      </c>
      <c r="F10810">
        <v>0.25</v>
      </c>
      <c r="G10810">
        <v>0.4</v>
      </c>
      <c r="H10810" s="1" t="str">
        <f>HYPERLINK("http://www.weizmann.ac.il/complex/compphys/software/geview/data/figures/AFFX-HUMGAPDH/M33197_M_at.png","Figure")</f>
        <v>Figure</v>
      </c>
      <c r="I10810">
        <v>0.93</v>
      </c>
      <c r="J10810">
        <v>0.93</v>
      </c>
      <c r="K10810">
        <v>1.26</v>
      </c>
      <c r="L10810">
        <v>0.42</v>
      </c>
      <c r="M10810">
        <v>1.35</v>
      </c>
      <c r="N10810">
        <v>0.28000000000000003</v>
      </c>
    </row>
    <row r="10811" spans="1:14" x14ac:dyDescent="0.25">
      <c r="A10811" t="s">
        <v>18791</v>
      </c>
      <c r="B10811" t="s">
        <v>18792</v>
      </c>
      <c r="C10811" s="1" t="str">
        <f>HYPERLINK("http://www.genecards.org/cgi-bin/carddisp.pl?gene=SLC16A2","GeneCards")</f>
        <v>GeneCards</v>
      </c>
      <c r="D10811" s="1" t="str">
        <f>HYPERLINK("http://genome-euro.ucsc.edu/cgi-bin/hgTracks?position=204462_s_at","UCSC")</f>
        <v>UCSC</v>
      </c>
      <c r="E10811" s="1" t="str">
        <f>HYPERLINK("http://www.ncbi.nlm.nih.gov/gene/?term=SLC16A2","NCBI")</f>
        <v>NCBI</v>
      </c>
      <c r="F10811">
        <v>0.25</v>
      </c>
      <c r="G10811">
        <v>0.4</v>
      </c>
      <c r="H10811" s="1" t="str">
        <f>HYPERLINK("http://www.weizmann.ac.il/complex/compphys/software/geview/data/figures/204462_s_at.png","Figure")</f>
        <v>Figure</v>
      </c>
      <c r="I10811">
        <v>0.9</v>
      </c>
      <c r="J10811">
        <v>0.49</v>
      </c>
      <c r="K10811">
        <v>1.04</v>
      </c>
      <c r="L10811">
        <v>0.86</v>
      </c>
      <c r="M10811">
        <v>1.1599999999999999</v>
      </c>
      <c r="N10811">
        <v>0.23</v>
      </c>
    </row>
    <row r="10812" spans="1:14" x14ac:dyDescent="0.25">
      <c r="A10812" t="s">
        <v>18793</v>
      </c>
      <c r="B10812" t="s">
        <v>10167</v>
      </c>
      <c r="C10812" s="1" t="str">
        <f>HYPERLINK("http://www.genecards.org/cgi-bin/carddisp.pl?gene=BCL2L1","GeneCards")</f>
        <v>GeneCards</v>
      </c>
      <c r="D10812" s="1" t="str">
        <f>HYPERLINK("http://genome-euro.ucsc.edu/cgi-bin/hgTracks?position=212312_at","UCSC")</f>
        <v>UCSC</v>
      </c>
      <c r="E10812" s="1" t="str">
        <f>HYPERLINK("http://www.ncbi.nlm.nih.gov/gene/?term=BCL2L1","NCBI")</f>
        <v>NCBI</v>
      </c>
      <c r="F10812">
        <v>0.25</v>
      </c>
      <c r="G10812">
        <v>0.4</v>
      </c>
      <c r="H10812" s="1" t="str">
        <f>HYPERLINK("http://www.weizmann.ac.il/complex/compphys/software/geview/data/figures/212312_at.png","Figure")</f>
        <v>Figure</v>
      </c>
      <c r="I10812">
        <v>1.34</v>
      </c>
      <c r="J10812">
        <v>0.24</v>
      </c>
      <c r="K10812">
        <v>1.08</v>
      </c>
      <c r="L10812">
        <v>0.87</v>
      </c>
      <c r="M10812">
        <v>0.80400000000000005</v>
      </c>
      <c r="N10812">
        <v>0.4</v>
      </c>
    </row>
    <row r="10813" spans="1:14" x14ac:dyDescent="0.25">
      <c r="A10813" t="s">
        <v>18794</v>
      </c>
      <c r="B10813" t="s">
        <v>18727</v>
      </c>
      <c r="C10813" s="1" t="str">
        <f>HYPERLINK("http://www.genecards.org/cgi-bin/carddisp.pl?gene=AKAP9","GeneCards")</f>
        <v>GeneCards</v>
      </c>
      <c r="D10813" s="1" t="str">
        <f>HYPERLINK("http://genome-euro.ucsc.edu/cgi-bin/hgTracks?position=215483_at","UCSC")</f>
        <v>UCSC</v>
      </c>
      <c r="E10813" s="1" t="str">
        <f>HYPERLINK("http://www.ncbi.nlm.nih.gov/gene/?term=AKAP9","NCBI")</f>
        <v>NCBI</v>
      </c>
      <c r="F10813">
        <v>0.25</v>
      </c>
      <c r="G10813">
        <v>0.4</v>
      </c>
      <c r="H10813" s="1" t="str">
        <f>HYPERLINK("http://www.weizmann.ac.il/complex/compphys/software/geview/data/figures/215483_at.png","Figure")</f>
        <v>Figure</v>
      </c>
      <c r="I10813">
        <v>1.48</v>
      </c>
      <c r="J10813">
        <v>0.3</v>
      </c>
      <c r="K10813">
        <v>1.38</v>
      </c>
      <c r="L10813">
        <v>0.33</v>
      </c>
      <c r="M10813">
        <v>0.93500000000000005</v>
      </c>
      <c r="N10813">
        <v>0.96</v>
      </c>
    </row>
    <row r="10814" spans="1:14" x14ac:dyDescent="0.25">
      <c r="A10814" t="s">
        <v>18795</v>
      </c>
      <c r="B10814" t="s">
        <v>8297</v>
      </c>
      <c r="C10814" s="1" t="str">
        <f>HYPERLINK("http://www.genecards.org/cgi-bin/carddisp.pl?gene=SEC11A","GeneCards")</f>
        <v>GeneCards</v>
      </c>
      <c r="D10814" s="1" t="str">
        <f>HYPERLINK("http://genome-euro.ucsc.edu/cgi-bin/hgTracks?position=216274_s_at","UCSC")</f>
        <v>UCSC</v>
      </c>
      <c r="E10814" s="1" t="str">
        <f>HYPERLINK("http://www.ncbi.nlm.nih.gov/gene/?term=SEC11A","NCBI")</f>
        <v>NCBI</v>
      </c>
      <c r="F10814">
        <v>0.25</v>
      </c>
      <c r="G10814">
        <v>0.4</v>
      </c>
      <c r="H10814" s="1" t="str">
        <f>HYPERLINK("http://www.weizmann.ac.il/complex/compphys/software/geview/data/figures/216274_s_at.png","Figure")</f>
        <v>Figure</v>
      </c>
      <c r="I10814">
        <v>0.95299999999999996</v>
      </c>
      <c r="J10814">
        <v>0.96</v>
      </c>
      <c r="K10814">
        <v>1.22</v>
      </c>
      <c r="L10814">
        <v>0.4</v>
      </c>
      <c r="M10814">
        <v>1.28</v>
      </c>
      <c r="N10814">
        <v>0.3</v>
      </c>
    </row>
    <row r="10815" spans="1:14" x14ac:dyDescent="0.25">
      <c r="A10815" t="s">
        <v>18796</v>
      </c>
      <c r="B10815" t="s">
        <v>18797</v>
      </c>
      <c r="C10815" s="1" t="str">
        <f>HYPERLINK("http://www.genecards.org/cgi-bin/carddisp.pl?gene=C12orf39","GeneCards")</f>
        <v>GeneCards</v>
      </c>
      <c r="D10815" s="1" t="str">
        <f>HYPERLINK("http://genome-euro.ucsc.edu/cgi-bin/hgTracks?position=221067_s_at","UCSC")</f>
        <v>UCSC</v>
      </c>
      <c r="E10815" s="1" t="str">
        <f>HYPERLINK("http://www.ncbi.nlm.nih.gov/gene/?term=C12orf39","NCBI")</f>
        <v>NCBI</v>
      </c>
      <c r="F10815">
        <v>0.25</v>
      </c>
      <c r="G10815">
        <v>0.4</v>
      </c>
      <c r="H10815" s="1" t="str">
        <f>HYPERLINK("http://www.weizmann.ac.il/complex/compphys/software/geview/data/figures/221067_s_at.png","Figure")</f>
        <v>Figure</v>
      </c>
      <c r="I10815">
        <v>1.21</v>
      </c>
      <c r="J10815">
        <v>0.22</v>
      </c>
      <c r="K10815">
        <v>1.08</v>
      </c>
      <c r="L10815">
        <v>0.68</v>
      </c>
      <c r="M10815">
        <v>0.89600000000000002</v>
      </c>
      <c r="N10815">
        <v>0.54</v>
      </c>
    </row>
    <row r="10816" spans="1:14" x14ac:dyDescent="0.25">
      <c r="A10816" t="s">
        <v>18798</v>
      </c>
      <c r="B10816" t="s">
        <v>18799</v>
      </c>
      <c r="C10816" s="1" t="str">
        <f>HYPERLINK("http://www.genecards.org/cgi-bin/carddisp.pl?gene=PPP1R2","GeneCards")</f>
        <v>GeneCards</v>
      </c>
      <c r="D10816" s="1" t="str">
        <f>HYPERLINK("http://genome-euro.ucsc.edu/cgi-bin/hgTracks?position=202166_s_at","UCSC")</f>
        <v>UCSC</v>
      </c>
      <c r="E10816" s="1" t="str">
        <f>HYPERLINK("http://www.ncbi.nlm.nih.gov/gene/?term=PPP1R2","NCBI")</f>
        <v>NCBI</v>
      </c>
      <c r="F10816">
        <v>0.25</v>
      </c>
      <c r="G10816">
        <v>0.4</v>
      </c>
      <c r="H10816" s="1" t="str">
        <f>HYPERLINK("http://www.weizmann.ac.il/complex/compphys/software/geview/data/figures/202166_s_at.png","Figure")</f>
        <v>Figure</v>
      </c>
      <c r="I10816">
        <v>1.02</v>
      </c>
      <c r="J10816">
        <v>1</v>
      </c>
      <c r="K10816">
        <v>1.53</v>
      </c>
      <c r="L10816">
        <v>0.31</v>
      </c>
      <c r="M10816">
        <v>1.5</v>
      </c>
      <c r="N10816">
        <v>0.39</v>
      </c>
    </row>
    <row r="10817" spans="1:14" x14ac:dyDescent="0.25">
      <c r="A10817" t="s">
        <v>18800</v>
      </c>
      <c r="B10817" t="s">
        <v>18801</v>
      </c>
      <c r="C10817" s="1" t="str">
        <f>HYPERLINK("http://www.genecards.org/cgi-bin/carddisp.pl?gene=ZFC3H1","GeneCards")</f>
        <v>GeneCards</v>
      </c>
      <c r="D10817" s="1" t="str">
        <f>HYPERLINK("http://genome-euro.ucsc.edu/cgi-bin/hgTracks?position=213065_at","UCSC")</f>
        <v>UCSC</v>
      </c>
      <c r="E10817" s="1" t="str">
        <f>HYPERLINK("http://www.ncbi.nlm.nih.gov/gene/?term=ZFC3H1","NCBI")</f>
        <v>NCBI</v>
      </c>
      <c r="F10817">
        <v>0.25</v>
      </c>
      <c r="G10817">
        <v>0.4</v>
      </c>
      <c r="H10817" s="1" t="str">
        <f>HYPERLINK("http://www.weizmann.ac.il/complex/compphys/software/geview/data/figures/213065_at.png","Figure")</f>
        <v>Figure</v>
      </c>
      <c r="I10817">
        <v>0.79800000000000004</v>
      </c>
      <c r="J10817">
        <v>0.56999999999999995</v>
      </c>
      <c r="K10817">
        <v>0.71799999999999997</v>
      </c>
      <c r="L10817">
        <v>0.23</v>
      </c>
      <c r="M10817">
        <v>0.89900000000000002</v>
      </c>
      <c r="N10817">
        <v>0.86</v>
      </c>
    </row>
    <row r="10818" spans="1:14" x14ac:dyDescent="0.25">
      <c r="A10818" t="s">
        <v>18802</v>
      </c>
      <c r="B10818" t="s">
        <v>4851</v>
      </c>
      <c r="C10818" s="1" t="str">
        <f>HYPERLINK("http://www.genecards.org/cgi-bin/carddisp.pl?gene=INSIG1","GeneCards")</f>
        <v>GeneCards</v>
      </c>
      <c r="D10818" s="1" t="str">
        <f>HYPERLINK("http://genome-euro.ucsc.edu/cgi-bin/hgTracks?position=201627_s_at","UCSC")</f>
        <v>UCSC</v>
      </c>
      <c r="E10818" s="1" t="str">
        <f>HYPERLINK("http://www.ncbi.nlm.nih.gov/gene/?term=INSIG1","NCBI")</f>
        <v>NCBI</v>
      </c>
      <c r="F10818">
        <v>0.25</v>
      </c>
      <c r="G10818">
        <v>0.4</v>
      </c>
      <c r="H10818" s="1" t="str">
        <f>HYPERLINK("http://www.weizmann.ac.il/complex/compphys/software/geview/data/figures/201627_s_at.png","Figure")</f>
        <v>Figure</v>
      </c>
      <c r="I10818">
        <v>1.3</v>
      </c>
      <c r="J10818">
        <v>0.24</v>
      </c>
      <c r="K10818">
        <v>1.18</v>
      </c>
      <c r="L10818">
        <v>0.47</v>
      </c>
      <c r="M10818">
        <v>0.90400000000000003</v>
      </c>
      <c r="N10818">
        <v>0.77</v>
      </c>
    </row>
    <row r="10819" spans="1:14" x14ac:dyDescent="0.25">
      <c r="A10819" t="s">
        <v>18803</v>
      </c>
      <c r="B10819" t="s">
        <v>408</v>
      </c>
      <c r="C10819" s="1" t="str">
        <f>HYPERLINK("http://www.genecards.org/cgi-bin/carddisp.pl?gene=NMT2","GeneCards")</f>
        <v>GeneCards</v>
      </c>
      <c r="D10819" s="1" t="str">
        <f>HYPERLINK("http://genome-euro.ucsc.edu/cgi-bin/hgTracks?position=215743_at","UCSC")</f>
        <v>UCSC</v>
      </c>
      <c r="E10819" s="1" t="str">
        <f>HYPERLINK("http://www.ncbi.nlm.nih.gov/gene/?term=NMT2","NCBI")</f>
        <v>NCBI</v>
      </c>
      <c r="F10819">
        <v>0.25</v>
      </c>
      <c r="G10819">
        <v>0.4</v>
      </c>
      <c r="H10819" s="1" t="str">
        <f>HYPERLINK("http://www.weizmann.ac.il/complex/compphys/software/geview/data/figures/215743_at.png","Figure")</f>
        <v>Figure</v>
      </c>
      <c r="I10819">
        <v>0.97399999999999998</v>
      </c>
      <c r="J10819">
        <v>0.97</v>
      </c>
      <c r="K10819">
        <v>0.85299999999999998</v>
      </c>
      <c r="L10819">
        <v>0.28000000000000003</v>
      </c>
      <c r="M10819">
        <v>0.876</v>
      </c>
      <c r="N10819">
        <v>0.44</v>
      </c>
    </row>
    <row r="10820" spans="1:14" x14ac:dyDescent="0.25">
      <c r="A10820" t="s">
        <v>18804</v>
      </c>
      <c r="B10820" t="s">
        <v>18805</v>
      </c>
      <c r="C10820" s="1" t="str">
        <f>HYPERLINK("http://www.genecards.org/cgi-bin/carddisp.pl?gene=PCCB","GeneCards")</f>
        <v>GeneCards</v>
      </c>
      <c r="D10820" s="1" t="str">
        <f>HYPERLINK("http://genome-euro.ucsc.edu/cgi-bin/hgTracks?position=212694_s_at","UCSC")</f>
        <v>UCSC</v>
      </c>
      <c r="E10820" s="1" t="str">
        <f>HYPERLINK("http://www.ncbi.nlm.nih.gov/gene/?term=PCCB","NCBI")</f>
        <v>NCBI</v>
      </c>
      <c r="F10820">
        <v>0.25</v>
      </c>
      <c r="G10820">
        <v>0.4</v>
      </c>
      <c r="H10820" s="1" t="str">
        <f>HYPERLINK("http://www.weizmann.ac.il/complex/compphys/software/geview/data/figures/212694_s_at.png","Figure")</f>
        <v>Figure</v>
      </c>
      <c r="I10820">
        <v>0.91200000000000003</v>
      </c>
      <c r="J10820">
        <v>0.88</v>
      </c>
      <c r="K10820">
        <v>1.22</v>
      </c>
      <c r="L10820">
        <v>0.48</v>
      </c>
      <c r="M10820">
        <v>1.33</v>
      </c>
      <c r="N10820">
        <v>0.26</v>
      </c>
    </row>
    <row r="10821" spans="1:14" x14ac:dyDescent="0.25">
      <c r="A10821" t="s">
        <v>18806</v>
      </c>
      <c r="B10821" t="s">
        <v>8188</v>
      </c>
      <c r="C10821" s="1" t="str">
        <f>HYPERLINK("http://www.genecards.org/cgi-bin/carddisp.pl?gene=ANK1","GeneCards")</f>
        <v>GeneCards</v>
      </c>
      <c r="D10821" s="1" t="str">
        <f>HYPERLINK("http://genome-euro.ucsc.edu/cgi-bin/hgTracks?position=205390_s_at","UCSC")</f>
        <v>UCSC</v>
      </c>
      <c r="E10821" s="1" t="str">
        <f>HYPERLINK("http://www.ncbi.nlm.nih.gov/gene/?term=ANK1","NCBI")</f>
        <v>NCBI</v>
      </c>
      <c r="F10821">
        <v>0.25</v>
      </c>
      <c r="G10821">
        <v>0.4</v>
      </c>
      <c r="H10821" s="1" t="str">
        <f>HYPERLINK("http://www.weizmann.ac.il/complex/compphys/software/geview/data/figures/205390_s_at.png","Figure")</f>
        <v>Figure</v>
      </c>
      <c r="I10821">
        <v>1.19</v>
      </c>
      <c r="J10821">
        <v>0.23</v>
      </c>
      <c r="K10821">
        <v>1.06</v>
      </c>
      <c r="L10821">
        <v>0.79</v>
      </c>
      <c r="M10821">
        <v>0.89100000000000001</v>
      </c>
      <c r="N10821">
        <v>0.45</v>
      </c>
    </row>
    <row r="10822" spans="1:14" x14ac:dyDescent="0.25">
      <c r="A10822" t="s">
        <v>18807</v>
      </c>
      <c r="B10822" t="s">
        <v>13776</v>
      </c>
      <c r="C10822" s="1" t="str">
        <f>HYPERLINK("http://www.genecards.org/cgi-bin/carddisp.pl?gene=C10orf10","GeneCards")</f>
        <v>GeneCards</v>
      </c>
      <c r="D10822" s="1" t="str">
        <f>HYPERLINK("http://genome-euro.ucsc.edu/cgi-bin/hgTracks?position=209183_s_at","UCSC")</f>
        <v>UCSC</v>
      </c>
      <c r="E10822" s="1" t="str">
        <f>HYPERLINK("http://www.ncbi.nlm.nih.gov/gene/?term=C10orf10","NCBI")</f>
        <v>NCBI</v>
      </c>
      <c r="F10822">
        <v>0.25</v>
      </c>
      <c r="G10822">
        <v>0.4</v>
      </c>
      <c r="H10822" s="1" t="str">
        <f>HYPERLINK("http://www.weizmann.ac.il/complex/compphys/software/geview/data/figures/209183_s_at.png","Figure")</f>
        <v>Figure</v>
      </c>
      <c r="I10822">
        <v>0.96699999999999997</v>
      </c>
      <c r="J10822">
        <v>0.99</v>
      </c>
      <c r="K10822">
        <v>1.47</v>
      </c>
      <c r="L10822">
        <v>0.35</v>
      </c>
      <c r="M10822">
        <v>1.52</v>
      </c>
      <c r="N10822">
        <v>0.34</v>
      </c>
    </row>
    <row r="10823" spans="1:14" x14ac:dyDescent="0.25">
      <c r="A10823" t="s">
        <v>18808</v>
      </c>
      <c r="B10823" t="s">
        <v>18809</v>
      </c>
      <c r="C10823" s="1" t="str">
        <f>HYPERLINK("http://www.genecards.org/cgi-bin/carddisp.pl?gene=TCTA","GeneCards")</f>
        <v>GeneCards</v>
      </c>
      <c r="D10823" s="1" t="str">
        <f>HYPERLINK("http://genome-euro.ucsc.edu/cgi-bin/hgTracks?position=203054_s_at","UCSC")</f>
        <v>UCSC</v>
      </c>
      <c r="E10823" s="1" t="str">
        <f>HYPERLINK("http://www.ncbi.nlm.nih.gov/gene/?term=TCTA","NCBI")</f>
        <v>NCBI</v>
      </c>
      <c r="F10823">
        <v>0.25</v>
      </c>
      <c r="G10823">
        <v>0.4</v>
      </c>
      <c r="H10823" s="1" t="str">
        <f>HYPERLINK("http://www.weizmann.ac.il/complex/compphys/software/geview/data/figures/203054_s_at.png","Figure")</f>
        <v>Figure</v>
      </c>
      <c r="I10823">
        <v>0.998</v>
      </c>
      <c r="J10823">
        <v>1</v>
      </c>
      <c r="K10823">
        <v>1.24</v>
      </c>
      <c r="L10823">
        <v>0.32</v>
      </c>
      <c r="M10823">
        <v>1.24</v>
      </c>
      <c r="N10823">
        <v>0.36</v>
      </c>
    </row>
    <row r="10824" spans="1:14" x14ac:dyDescent="0.25">
      <c r="A10824" t="s">
        <v>18810</v>
      </c>
      <c r="B10824" t="s">
        <v>16502</v>
      </c>
      <c r="C10824" s="1" t="str">
        <f>HYPERLINK("http://www.genecards.org/cgi-bin/carddisp.pl?gene=EIF4G2","GeneCards")</f>
        <v>GeneCards</v>
      </c>
      <c r="D10824" s="1" t="str">
        <f>HYPERLINK("http://genome-euro.ucsc.edu/cgi-bin/hgTracks?position=217607_x_at","UCSC")</f>
        <v>UCSC</v>
      </c>
      <c r="E10824" s="1" t="str">
        <f>HYPERLINK("http://www.ncbi.nlm.nih.gov/gene/?term=EIF4G2","NCBI")</f>
        <v>NCBI</v>
      </c>
      <c r="F10824">
        <v>0.25</v>
      </c>
      <c r="G10824">
        <v>0.4</v>
      </c>
      <c r="H10824" s="1" t="str">
        <f>HYPERLINK("http://www.weizmann.ac.il/complex/compphys/software/geview/data/figures/217607_x_at.png","Figure")</f>
        <v>Figure</v>
      </c>
      <c r="I10824">
        <v>1.03</v>
      </c>
      <c r="J10824">
        <v>0.36</v>
      </c>
      <c r="K10824">
        <v>0.997</v>
      </c>
      <c r="L10824">
        <v>0.98</v>
      </c>
      <c r="M10824">
        <v>0.96699999999999997</v>
      </c>
      <c r="N10824">
        <v>0.25</v>
      </c>
    </row>
    <row r="10825" spans="1:14" x14ac:dyDescent="0.25">
      <c r="A10825" t="s">
        <v>18811</v>
      </c>
      <c r="B10825" t="s">
        <v>18812</v>
      </c>
      <c r="C10825" s="1" t="str">
        <f>HYPERLINK("http://www.genecards.org/cgi-bin/carddisp.pl?gene=OR7E156P","GeneCards")</f>
        <v>GeneCards</v>
      </c>
      <c r="D10825" s="1" t="str">
        <f>HYPERLINK("http://genome-euro.ucsc.edu/cgi-bin/hgTracks?position=222327_x_at","UCSC")</f>
        <v>UCSC</v>
      </c>
      <c r="E10825" s="1" t="str">
        <f>HYPERLINK("http://www.ncbi.nlm.nih.gov/gene/?term=OR7E156P","NCBI")</f>
        <v>NCBI</v>
      </c>
      <c r="F10825">
        <v>0.25</v>
      </c>
      <c r="G10825">
        <v>0.4</v>
      </c>
      <c r="H10825" s="1" t="str">
        <f>HYPERLINK("http://www.weizmann.ac.il/complex/compphys/software/geview/data/figures/222327_x_at.png","Figure")</f>
        <v>Figure</v>
      </c>
      <c r="I10825">
        <v>1.1200000000000001</v>
      </c>
      <c r="J10825">
        <v>0.24</v>
      </c>
      <c r="K10825">
        <v>1.03</v>
      </c>
      <c r="L10825">
        <v>0.86</v>
      </c>
      <c r="M10825">
        <v>0.92</v>
      </c>
      <c r="N10825">
        <v>0.4</v>
      </c>
    </row>
    <row r="10826" spans="1:14" x14ac:dyDescent="0.25">
      <c r="A10826" t="s">
        <v>18813</v>
      </c>
      <c r="B10826" t="s">
        <v>18814</v>
      </c>
      <c r="C10826" s="1" t="str">
        <f>HYPERLINK("http://www.genecards.org/cgi-bin/carddisp.pl?gene=VENTX","GeneCards")</f>
        <v>GeneCards</v>
      </c>
      <c r="D10826" s="1" t="str">
        <f>HYPERLINK("http://genome-euro.ucsc.edu/cgi-bin/hgTracks?position=207376_at","UCSC")</f>
        <v>UCSC</v>
      </c>
      <c r="E10826" s="1" t="str">
        <f>HYPERLINK("http://www.ncbi.nlm.nih.gov/gene/?term=VENTX","NCBI")</f>
        <v>NCBI</v>
      </c>
      <c r="F10826">
        <v>0.25</v>
      </c>
      <c r="G10826">
        <v>0.4</v>
      </c>
      <c r="H10826" s="1" t="str">
        <f>HYPERLINK("http://www.weizmann.ac.il/complex/compphys/software/geview/data/figures/207376_at.png","Figure")</f>
        <v>Figure</v>
      </c>
      <c r="I10826">
        <v>1.04</v>
      </c>
      <c r="J10826">
        <v>0.23</v>
      </c>
      <c r="K10826">
        <v>1.02</v>
      </c>
      <c r="L10826">
        <v>0.59</v>
      </c>
      <c r="M10826">
        <v>0.98099999999999998</v>
      </c>
      <c r="N10826">
        <v>0.63</v>
      </c>
    </row>
    <row r="10827" spans="1:14" x14ac:dyDescent="0.25">
      <c r="A10827" t="s">
        <v>18815</v>
      </c>
      <c r="B10827" t="s">
        <v>18816</v>
      </c>
      <c r="C10827" s="1" t="str">
        <f>HYPERLINK("http://www.genecards.org/cgi-bin/carddisp.pl?gene=GTF2IRD1","GeneCards")</f>
        <v>GeneCards</v>
      </c>
      <c r="D10827" s="1" t="str">
        <f>HYPERLINK("http://genome-euro.ucsc.edu/cgi-bin/hgTracks?position=218412_s_at","UCSC")</f>
        <v>UCSC</v>
      </c>
      <c r="E10827" s="1" t="str">
        <f>HYPERLINK("http://www.ncbi.nlm.nih.gov/gene/?term=GTF2IRD1","NCBI")</f>
        <v>NCBI</v>
      </c>
      <c r="F10827">
        <v>0.25</v>
      </c>
      <c r="G10827">
        <v>0.4</v>
      </c>
      <c r="H10827" s="1" t="str">
        <f>HYPERLINK("http://www.weizmann.ac.il/complex/compphys/software/geview/data/figures/218412_s_at.png","Figure")</f>
        <v>Figure</v>
      </c>
      <c r="I10827">
        <v>0.752</v>
      </c>
      <c r="J10827">
        <v>0.28000000000000003</v>
      </c>
      <c r="K10827">
        <v>0.97</v>
      </c>
      <c r="L10827">
        <v>0.98</v>
      </c>
      <c r="M10827">
        <v>1.29</v>
      </c>
      <c r="N10827">
        <v>0.31</v>
      </c>
    </row>
    <row r="10828" spans="1:14" x14ac:dyDescent="0.25">
      <c r="A10828" t="s">
        <v>18817</v>
      </c>
      <c r="B10828" t="s">
        <v>18818</v>
      </c>
      <c r="C10828" s="1" t="str">
        <f>HYPERLINK("http://www.genecards.org/cgi-bin/carddisp.pl?gene=TMX2","GeneCards")</f>
        <v>GeneCards</v>
      </c>
      <c r="D10828" s="1" t="str">
        <f>HYPERLINK("http://genome-euro.ucsc.edu/cgi-bin/hgTracks?position=201175_at","UCSC")</f>
        <v>UCSC</v>
      </c>
      <c r="E10828" s="1" t="str">
        <f>HYPERLINK("http://www.ncbi.nlm.nih.gov/gene/?term=TMX2","NCBI")</f>
        <v>NCBI</v>
      </c>
      <c r="F10828">
        <v>0.25</v>
      </c>
      <c r="G10828">
        <v>0.4</v>
      </c>
      <c r="H10828" s="1" t="str">
        <f>HYPERLINK("http://www.weizmann.ac.il/complex/compphys/software/geview/data/figures/201175_at.png","Figure")</f>
        <v>Figure</v>
      </c>
      <c r="I10828">
        <v>0.96099999999999997</v>
      </c>
      <c r="J10828">
        <v>0.98</v>
      </c>
      <c r="K10828">
        <v>0.77</v>
      </c>
      <c r="L10828">
        <v>0.28000000000000003</v>
      </c>
      <c r="M10828">
        <v>0.80100000000000005</v>
      </c>
      <c r="N10828">
        <v>0.44</v>
      </c>
    </row>
    <row r="10829" spans="1:14" x14ac:dyDescent="0.25">
      <c r="A10829" t="s">
        <v>18819</v>
      </c>
      <c r="B10829" t="s">
        <v>18820</v>
      </c>
      <c r="C10829" s="1" t="str">
        <f>HYPERLINK("http://www.genecards.org/cgi-bin/carddisp.pl?gene=SDCBP","GeneCards")</f>
        <v>GeneCards</v>
      </c>
      <c r="D10829" s="1" t="str">
        <f>HYPERLINK("http://genome-euro.ucsc.edu/cgi-bin/hgTracks?position=200958_s_at","UCSC")</f>
        <v>UCSC</v>
      </c>
      <c r="E10829" s="1" t="str">
        <f>HYPERLINK("http://www.ncbi.nlm.nih.gov/gene/?term=SDCBP","NCBI")</f>
        <v>NCBI</v>
      </c>
      <c r="F10829">
        <v>0.25</v>
      </c>
      <c r="G10829">
        <v>0.4</v>
      </c>
      <c r="H10829" s="1" t="str">
        <f>HYPERLINK("http://www.weizmann.ac.il/complex/compphys/software/geview/data/figures/200958_s_at.png","Figure")</f>
        <v>Figure</v>
      </c>
      <c r="I10829">
        <v>0.68100000000000005</v>
      </c>
      <c r="J10829">
        <v>0.3</v>
      </c>
      <c r="K10829">
        <v>0.72299999999999998</v>
      </c>
      <c r="L10829">
        <v>0.33</v>
      </c>
      <c r="M10829">
        <v>1.06</v>
      </c>
      <c r="N10829">
        <v>0.96</v>
      </c>
    </row>
    <row r="10830" spans="1:14" x14ac:dyDescent="0.25">
      <c r="A10830" t="s">
        <v>18821</v>
      </c>
      <c r="B10830" t="s">
        <v>18822</v>
      </c>
      <c r="C10830" s="1" t="str">
        <f>HYPERLINK("http://www.genecards.org/cgi-bin/carddisp.pl?gene=RIPK2","GeneCards")</f>
        <v>GeneCards</v>
      </c>
      <c r="D10830" s="1" t="str">
        <f>HYPERLINK("http://genome-euro.ucsc.edu/cgi-bin/hgTracks?position=209545_s_at","UCSC")</f>
        <v>UCSC</v>
      </c>
      <c r="E10830" s="1" t="str">
        <f>HYPERLINK("http://www.ncbi.nlm.nih.gov/gene/?term=RIPK2","NCBI")</f>
        <v>NCBI</v>
      </c>
      <c r="F10830">
        <v>0.25</v>
      </c>
      <c r="G10830">
        <v>0.4</v>
      </c>
      <c r="H10830" s="1" t="str">
        <f>HYPERLINK("http://www.weizmann.ac.il/complex/compphys/software/geview/data/figures/209545_s_at.png","Figure")</f>
        <v>Figure</v>
      </c>
      <c r="I10830">
        <v>0.73899999999999999</v>
      </c>
      <c r="J10830">
        <v>0.3</v>
      </c>
      <c r="K10830">
        <v>0.77500000000000002</v>
      </c>
      <c r="L10830">
        <v>0.33</v>
      </c>
      <c r="M10830">
        <v>1.05</v>
      </c>
      <c r="N10830">
        <v>0.96</v>
      </c>
    </row>
    <row r="10831" spans="1:14" x14ac:dyDescent="0.25">
      <c r="A10831" t="s">
        <v>18823</v>
      </c>
      <c r="B10831" t="s">
        <v>18824</v>
      </c>
      <c r="C10831" s="1" t="str">
        <f>HYPERLINK("http://www.genecards.org/cgi-bin/carddisp.pl?gene=MUM1","GeneCards")</f>
        <v>GeneCards</v>
      </c>
      <c r="D10831" s="1" t="str">
        <f>HYPERLINK("http://genome-euro.ucsc.edu/cgi-bin/hgTracks?position=221290_s_at","UCSC")</f>
        <v>UCSC</v>
      </c>
      <c r="E10831" s="1" t="str">
        <f>HYPERLINK("http://www.ncbi.nlm.nih.gov/gene/?term=MUM1","NCBI")</f>
        <v>NCBI</v>
      </c>
      <c r="F10831">
        <v>0.25</v>
      </c>
      <c r="G10831">
        <v>0.4</v>
      </c>
      <c r="H10831" s="1" t="str">
        <f>HYPERLINK("http://www.weizmann.ac.il/complex/compphys/software/geview/data/figures/221290_s_at.png","Figure")</f>
        <v>Figure</v>
      </c>
      <c r="I10831">
        <v>0.97899999999999998</v>
      </c>
      <c r="J10831">
        <v>0.3</v>
      </c>
      <c r="K10831">
        <v>0.999</v>
      </c>
      <c r="L10831">
        <v>1</v>
      </c>
      <c r="M10831">
        <v>1.02</v>
      </c>
      <c r="N10831">
        <v>0.28999999999999998</v>
      </c>
    </row>
    <row r="10832" spans="1:14" x14ac:dyDescent="0.25">
      <c r="A10832" t="s">
        <v>18825</v>
      </c>
      <c r="B10832" t="s">
        <v>18371</v>
      </c>
      <c r="C10832" s="1" t="str">
        <f>HYPERLINK("http://www.genecards.org/cgi-bin/carddisp.pl?gene=SPTAN1","GeneCards")</f>
        <v>GeneCards</v>
      </c>
      <c r="D10832" s="1" t="str">
        <f>HYPERLINK("http://genome-euro.ucsc.edu/cgi-bin/hgTracks?position=214926_at","UCSC")</f>
        <v>UCSC</v>
      </c>
      <c r="E10832" s="1" t="str">
        <f>HYPERLINK("http://www.ncbi.nlm.nih.gov/gene/?term=SPTAN1","NCBI")</f>
        <v>NCBI</v>
      </c>
      <c r="F10832">
        <v>0.25</v>
      </c>
      <c r="G10832">
        <v>0.4</v>
      </c>
      <c r="H10832" s="1" t="str">
        <f>HYPERLINK("http://www.weizmann.ac.il/complex/compphys/software/geview/data/figures/214926_at.png","Figure")</f>
        <v>Figure</v>
      </c>
      <c r="I10832">
        <v>1.1100000000000001</v>
      </c>
      <c r="J10832">
        <v>0.25</v>
      </c>
      <c r="K10832">
        <v>1.02</v>
      </c>
      <c r="L10832">
        <v>0.9</v>
      </c>
      <c r="M10832">
        <v>0.92400000000000004</v>
      </c>
      <c r="N10832">
        <v>0.38</v>
      </c>
    </row>
    <row r="10833" spans="1:14" x14ac:dyDescent="0.25">
      <c r="A10833" t="s">
        <v>18826</v>
      </c>
      <c r="B10833" t="s">
        <v>7201</v>
      </c>
      <c r="C10833" s="1" t="str">
        <f>HYPERLINK("http://www.genecards.org/cgi-bin/carddisp.pl?gene=ACTR2","GeneCards")</f>
        <v>GeneCards</v>
      </c>
      <c r="D10833" s="1" t="str">
        <f>HYPERLINK("http://genome-euro.ucsc.edu/cgi-bin/hgTracks?position=200728_at","UCSC")</f>
        <v>UCSC</v>
      </c>
      <c r="E10833" s="1" t="str">
        <f>HYPERLINK("http://www.ncbi.nlm.nih.gov/gene/?term=ACTR2","NCBI")</f>
        <v>NCBI</v>
      </c>
      <c r="F10833">
        <v>0.25</v>
      </c>
      <c r="G10833">
        <v>0.4</v>
      </c>
      <c r="H10833" s="1" t="str">
        <f>HYPERLINK("http://www.weizmann.ac.il/complex/compphys/software/geview/data/figures/200728_at.png","Figure")</f>
        <v>Figure</v>
      </c>
      <c r="I10833">
        <v>0.94799999999999995</v>
      </c>
      <c r="J10833">
        <v>0.97</v>
      </c>
      <c r="K10833">
        <v>1.33</v>
      </c>
      <c r="L10833">
        <v>0.38</v>
      </c>
      <c r="M10833">
        <v>1.41</v>
      </c>
      <c r="N10833">
        <v>0.31</v>
      </c>
    </row>
    <row r="10834" spans="1:14" x14ac:dyDescent="0.25">
      <c r="A10834" t="s">
        <v>18827</v>
      </c>
      <c r="B10834" t="s">
        <v>12132</v>
      </c>
      <c r="C10834" s="1" t="str">
        <f>HYPERLINK("http://www.genecards.org/cgi-bin/carddisp.pl?gene=GNB2L1","GeneCards")</f>
        <v>GeneCards</v>
      </c>
      <c r="D10834" s="1" t="str">
        <f>HYPERLINK("http://genome-euro.ucsc.edu/cgi-bin/hgTracks?position=200651_at","UCSC")</f>
        <v>UCSC</v>
      </c>
      <c r="E10834" s="1" t="str">
        <f>HYPERLINK("http://www.ncbi.nlm.nih.gov/gene/?term=GNB2L1","NCBI")</f>
        <v>NCBI</v>
      </c>
      <c r="F10834">
        <v>0.25</v>
      </c>
      <c r="G10834">
        <v>0.4</v>
      </c>
      <c r="H10834" s="1" t="str">
        <f>HYPERLINK("http://www.weizmann.ac.il/complex/compphys/software/geview/data/figures/200651_at.png","Figure")</f>
        <v>Figure</v>
      </c>
      <c r="I10834">
        <v>0.92</v>
      </c>
      <c r="J10834">
        <v>0.96</v>
      </c>
      <c r="K10834">
        <v>1.47</v>
      </c>
      <c r="L10834">
        <v>0.39</v>
      </c>
      <c r="M10834">
        <v>1.6</v>
      </c>
      <c r="N10834">
        <v>0.3</v>
      </c>
    </row>
    <row r="10835" spans="1:14" x14ac:dyDescent="0.25">
      <c r="A10835" t="s">
        <v>18828</v>
      </c>
      <c r="B10835" t="s">
        <v>18829</v>
      </c>
      <c r="C10835" s="1" t="str">
        <f>HYPERLINK("http://www.genecards.org/cgi-bin/carddisp.pl?gene=MEF2A","GeneCards")</f>
        <v>GeneCards</v>
      </c>
      <c r="D10835" s="1" t="str">
        <f>HYPERLINK("http://genome-euro.ucsc.edu/cgi-bin/hgTracks?position=214684_at","UCSC")</f>
        <v>UCSC</v>
      </c>
      <c r="E10835" s="1" t="str">
        <f>HYPERLINK("http://www.ncbi.nlm.nih.gov/gene/?term=MEF2A","NCBI")</f>
        <v>NCBI</v>
      </c>
      <c r="F10835">
        <v>0.25</v>
      </c>
      <c r="G10835">
        <v>0.4</v>
      </c>
      <c r="H10835" s="1" t="str">
        <f>HYPERLINK("http://www.weizmann.ac.il/complex/compphys/software/geview/data/figures/214684_at.png","Figure")</f>
        <v>Figure</v>
      </c>
      <c r="I10835">
        <v>0.68100000000000005</v>
      </c>
      <c r="J10835">
        <v>0.26</v>
      </c>
      <c r="K10835">
        <v>0.76100000000000001</v>
      </c>
      <c r="L10835">
        <v>0.4</v>
      </c>
      <c r="M10835">
        <v>1.1200000000000001</v>
      </c>
      <c r="N10835">
        <v>0.87</v>
      </c>
    </row>
    <row r="10836" spans="1:14" x14ac:dyDescent="0.25">
      <c r="A10836" t="s">
        <v>18830</v>
      </c>
      <c r="B10836" t="s">
        <v>18831</v>
      </c>
      <c r="C10836" s="1" t="str">
        <f>HYPERLINK("http://www.genecards.org/cgi-bin/carddisp.pl?gene=VPS16","GeneCards")</f>
        <v>GeneCards</v>
      </c>
      <c r="D10836" s="1" t="str">
        <f>HYPERLINK("http://genome-euro.ucsc.edu/cgi-bin/hgTracks?position=203459_s_at","UCSC")</f>
        <v>UCSC</v>
      </c>
      <c r="E10836" s="1" t="str">
        <f>HYPERLINK("http://www.ncbi.nlm.nih.gov/gene/?term=VPS16","NCBI")</f>
        <v>NCBI</v>
      </c>
      <c r="F10836">
        <v>0.25</v>
      </c>
      <c r="G10836">
        <v>0.4</v>
      </c>
      <c r="H10836" s="1" t="str">
        <f>HYPERLINK("http://www.weizmann.ac.il/complex/compphys/software/geview/data/figures/203459_s_at.png","Figure")</f>
        <v>Figure</v>
      </c>
      <c r="I10836">
        <v>1.31</v>
      </c>
      <c r="J10836">
        <v>0.24</v>
      </c>
      <c r="K10836">
        <v>1.18</v>
      </c>
      <c r="L10836">
        <v>0.47</v>
      </c>
      <c r="M10836">
        <v>0.90100000000000002</v>
      </c>
      <c r="N10836">
        <v>0.77</v>
      </c>
    </row>
    <row r="10837" spans="1:14" x14ac:dyDescent="0.25">
      <c r="A10837" t="s">
        <v>18832</v>
      </c>
      <c r="B10837" t="s">
        <v>9512</v>
      </c>
      <c r="C10837" s="1" t="str">
        <f>HYPERLINK("http://www.genecards.org/cgi-bin/carddisp.pl?gene=CAMKK2","GeneCards")</f>
        <v>GeneCards</v>
      </c>
      <c r="D10837" s="1" t="str">
        <f>HYPERLINK("http://genome-euro.ucsc.edu/cgi-bin/hgTracks?position=212252_at","UCSC")</f>
        <v>UCSC</v>
      </c>
      <c r="E10837" s="1" t="str">
        <f>HYPERLINK("http://www.ncbi.nlm.nih.gov/gene/?term=CAMKK2","NCBI")</f>
        <v>NCBI</v>
      </c>
      <c r="F10837">
        <v>0.25</v>
      </c>
      <c r="G10837">
        <v>0.4</v>
      </c>
      <c r="H10837" s="1" t="str">
        <f>HYPERLINK("http://www.weizmann.ac.il/complex/compphys/software/geview/data/figures/212252_at.png","Figure")</f>
        <v>Figure</v>
      </c>
      <c r="I10837">
        <v>1.03</v>
      </c>
      <c r="J10837">
        <v>0.94</v>
      </c>
      <c r="K10837">
        <v>1.1299999999999999</v>
      </c>
      <c r="L10837">
        <v>0.26</v>
      </c>
      <c r="M10837">
        <v>1.1000000000000001</v>
      </c>
      <c r="N10837">
        <v>0.49</v>
      </c>
    </row>
    <row r="10838" spans="1:14" x14ac:dyDescent="0.25">
      <c r="A10838" t="s">
        <v>18833</v>
      </c>
      <c r="B10838" t="s">
        <v>18834</v>
      </c>
      <c r="C10838" s="1" t="str">
        <f>HYPERLINK("http://www.genecards.org/cgi-bin/carddisp.pl?gene=CMKLR1","GeneCards")</f>
        <v>GeneCards</v>
      </c>
      <c r="D10838" s="1" t="str">
        <f>HYPERLINK("http://genome-euro.ucsc.edu/cgi-bin/hgTracks?position=207652_s_at","UCSC")</f>
        <v>UCSC</v>
      </c>
      <c r="E10838" s="1" t="str">
        <f>HYPERLINK("http://www.ncbi.nlm.nih.gov/gene/?term=CMKLR1","NCBI")</f>
        <v>NCBI</v>
      </c>
      <c r="F10838">
        <v>0.25</v>
      </c>
      <c r="G10838">
        <v>0.4</v>
      </c>
      <c r="H10838" s="1" t="str">
        <f>HYPERLINK("http://www.weizmann.ac.il/complex/compphys/software/geview/data/figures/207652_s_at.png","Figure")</f>
        <v>Figure</v>
      </c>
      <c r="I10838">
        <v>1.04</v>
      </c>
      <c r="J10838">
        <v>0.28999999999999998</v>
      </c>
      <c r="K10838">
        <v>1.03</v>
      </c>
      <c r="L10838">
        <v>0.35</v>
      </c>
      <c r="M10838">
        <v>0.99199999999999999</v>
      </c>
      <c r="N10838">
        <v>0.93</v>
      </c>
    </row>
    <row r="10839" spans="1:14" x14ac:dyDescent="0.25">
      <c r="A10839" t="s">
        <v>18835</v>
      </c>
      <c r="B10839" t="s">
        <v>18836</v>
      </c>
      <c r="C10839" s="1" t="str">
        <f>HYPERLINK("http://www.genecards.org/cgi-bin/carddisp.pl?gene=SLC4A7","GeneCards")</f>
        <v>GeneCards</v>
      </c>
      <c r="D10839" s="1" t="str">
        <f>HYPERLINK("http://genome-euro.ucsc.edu/cgi-bin/hgTracks?position=207604_s_at","UCSC")</f>
        <v>UCSC</v>
      </c>
      <c r="E10839" s="1" t="str">
        <f>HYPERLINK("http://www.ncbi.nlm.nih.gov/gene/?term=SLC4A7","NCBI")</f>
        <v>NCBI</v>
      </c>
      <c r="F10839">
        <v>0.25</v>
      </c>
      <c r="G10839">
        <v>0.4</v>
      </c>
      <c r="H10839" s="1" t="str">
        <f>HYPERLINK("http://www.weizmann.ac.il/complex/compphys/software/geview/data/figures/207604_s_at.png","Figure")</f>
        <v>Figure</v>
      </c>
      <c r="I10839">
        <v>1.2</v>
      </c>
      <c r="J10839">
        <v>0.53</v>
      </c>
      <c r="K10839">
        <v>0.91600000000000004</v>
      </c>
      <c r="L10839">
        <v>0.82</v>
      </c>
      <c r="M10839">
        <v>0.76300000000000001</v>
      </c>
      <c r="N10839">
        <v>0.23</v>
      </c>
    </row>
    <row r="10840" spans="1:14" x14ac:dyDescent="0.25">
      <c r="A10840" t="s">
        <v>18837</v>
      </c>
      <c r="B10840" t="s">
        <v>18838</v>
      </c>
      <c r="C10840" s="1" t="str">
        <f>HYPERLINK("http://www.genecards.org/cgi-bin/carddisp.pl?gene=FAM30A","GeneCards")</f>
        <v>GeneCards</v>
      </c>
      <c r="D10840" s="1" t="str">
        <f>HYPERLINK("http://genome-euro.ucsc.edu/cgi-bin/hgTracks?position=220377_at","UCSC")</f>
        <v>UCSC</v>
      </c>
      <c r="E10840" s="1" t="str">
        <f>HYPERLINK("http://www.ncbi.nlm.nih.gov/gene/?term=FAM30A","NCBI")</f>
        <v>NCBI</v>
      </c>
      <c r="F10840">
        <v>0.25</v>
      </c>
      <c r="G10840">
        <v>0.4</v>
      </c>
      <c r="H10840" s="1" t="str">
        <f>HYPERLINK("http://www.weizmann.ac.il/complex/compphys/software/geview/data/figures/220377_at.png","Figure")</f>
        <v>Figure</v>
      </c>
      <c r="I10840">
        <v>1.05</v>
      </c>
      <c r="J10840">
        <v>0.97</v>
      </c>
      <c r="K10840">
        <v>1.37</v>
      </c>
      <c r="L10840">
        <v>0.28000000000000003</v>
      </c>
      <c r="M10840">
        <v>1.3</v>
      </c>
      <c r="N10840">
        <v>0.45</v>
      </c>
    </row>
    <row r="10841" spans="1:14" x14ac:dyDescent="0.25">
      <c r="A10841" t="s">
        <v>18839</v>
      </c>
      <c r="B10841" t="s">
        <v>18840</v>
      </c>
      <c r="C10841" s="1" t="str">
        <f>HYPERLINK("http://www.genecards.org/cgi-bin/carddisp.pl?gene=UMOD","GeneCards")</f>
        <v>GeneCards</v>
      </c>
      <c r="D10841" s="1" t="str">
        <f>HYPERLINK("http://genome-euro.ucsc.edu/cgi-bin/hgTracks?position=206716_at","UCSC")</f>
        <v>UCSC</v>
      </c>
      <c r="E10841" s="1" t="str">
        <f>HYPERLINK("http://www.ncbi.nlm.nih.gov/gene/?term=UMOD","NCBI")</f>
        <v>NCBI</v>
      </c>
      <c r="F10841">
        <v>0.25</v>
      </c>
      <c r="G10841">
        <v>0.4</v>
      </c>
      <c r="H10841" s="1" t="str">
        <f>HYPERLINK("http://www.weizmann.ac.il/complex/compphys/software/geview/data/figures/206716_at.png","Figure")</f>
        <v>Figure</v>
      </c>
      <c r="I10841">
        <v>1.1599999999999999</v>
      </c>
      <c r="J10841">
        <v>0.25</v>
      </c>
      <c r="K10841">
        <v>1.03</v>
      </c>
      <c r="L10841">
        <v>0.9</v>
      </c>
      <c r="M10841">
        <v>0.88900000000000001</v>
      </c>
      <c r="N10841">
        <v>0.37</v>
      </c>
    </row>
    <row r="10842" spans="1:14" x14ac:dyDescent="0.25">
      <c r="A10842" t="s">
        <v>18841</v>
      </c>
      <c r="B10842" t="s">
        <v>18842</v>
      </c>
      <c r="C10842" s="1" t="str">
        <f>HYPERLINK("http://www.genecards.org/cgi-bin/carddisp.pl?gene=RPL35A","GeneCards")</f>
        <v>GeneCards</v>
      </c>
      <c r="D10842" s="1" t="str">
        <f>HYPERLINK("http://genome-euro.ucsc.edu/cgi-bin/hgTracks?position=215208_x_at","UCSC")</f>
        <v>UCSC</v>
      </c>
      <c r="E10842" s="1" t="str">
        <f>HYPERLINK("http://www.ncbi.nlm.nih.gov/gene/?term=RPL35A","NCBI")</f>
        <v>NCBI</v>
      </c>
      <c r="F10842">
        <v>0.25</v>
      </c>
      <c r="G10842">
        <v>0.4</v>
      </c>
      <c r="H10842" s="1" t="str">
        <f>HYPERLINK("http://www.weizmann.ac.il/complex/compphys/software/geview/data/figures/215208_x_at.png","Figure")</f>
        <v>Figure</v>
      </c>
      <c r="I10842">
        <v>0.93100000000000005</v>
      </c>
      <c r="J10842">
        <v>0.93</v>
      </c>
      <c r="K10842">
        <v>0.753</v>
      </c>
      <c r="L10842">
        <v>0.26</v>
      </c>
      <c r="M10842">
        <v>0.80900000000000005</v>
      </c>
      <c r="N10842">
        <v>0.5</v>
      </c>
    </row>
    <row r="10843" spans="1:14" x14ac:dyDescent="0.25">
      <c r="A10843" t="s">
        <v>18843</v>
      </c>
      <c r="B10843" t="s">
        <v>18844</v>
      </c>
      <c r="C10843" s="1" t="str">
        <f>HYPERLINK("http://www.genecards.org/cgi-bin/carddisp.pl?gene=IQSEC3","GeneCards")</f>
        <v>GeneCards</v>
      </c>
      <c r="D10843" s="1" t="str">
        <f>HYPERLINK("http://genome-euro.ucsc.edu/cgi-bin/hgTracks?position=213834_at","UCSC")</f>
        <v>UCSC</v>
      </c>
      <c r="E10843" s="1" t="str">
        <f>HYPERLINK("http://www.ncbi.nlm.nih.gov/gene/?term=IQSEC3","NCBI")</f>
        <v>NCBI</v>
      </c>
      <c r="F10843">
        <v>0.25</v>
      </c>
      <c r="G10843">
        <v>0.4</v>
      </c>
      <c r="H10843" s="1" t="str">
        <f>HYPERLINK("http://www.weizmann.ac.il/complex/compphys/software/geview/data/figures/213834_at.png","Figure")</f>
        <v>Figure</v>
      </c>
      <c r="I10843">
        <v>1.1000000000000001</v>
      </c>
      <c r="J10843">
        <v>0.26</v>
      </c>
      <c r="K10843">
        <v>1.07</v>
      </c>
      <c r="L10843">
        <v>0.4</v>
      </c>
      <c r="M10843">
        <v>0.97299999999999998</v>
      </c>
      <c r="N10843">
        <v>0.87</v>
      </c>
    </row>
    <row r="10844" spans="1:14" x14ac:dyDescent="0.25">
      <c r="A10844" t="s">
        <v>18845</v>
      </c>
      <c r="B10844" t="s">
        <v>18846</v>
      </c>
      <c r="C10844" s="1" t="str">
        <f>HYPERLINK("http://www.genecards.org/cgi-bin/carddisp.pl?gene=GFPT1","GeneCards")</f>
        <v>GeneCards</v>
      </c>
      <c r="D10844" s="1" t="str">
        <f>HYPERLINK("http://genome-euro.ucsc.edu/cgi-bin/hgTracks?position=202721_s_at","UCSC")</f>
        <v>UCSC</v>
      </c>
      <c r="E10844" s="1" t="str">
        <f>HYPERLINK("http://www.ncbi.nlm.nih.gov/gene/?term=GFPT1","NCBI")</f>
        <v>NCBI</v>
      </c>
      <c r="F10844">
        <v>0.25</v>
      </c>
      <c r="G10844">
        <v>0.4</v>
      </c>
      <c r="H10844" s="1" t="str">
        <f>HYPERLINK("http://www.weizmann.ac.il/complex/compphys/software/geview/data/figures/202721_s_at.png","Figure")</f>
        <v>Figure</v>
      </c>
      <c r="I10844">
        <v>1.25</v>
      </c>
      <c r="J10844">
        <v>0.23</v>
      </c>
      <c r="K10844">
        <v>1.07</v>
      </c>
      <c r="L10844">
        <v>0.8</v>
      </c>
      <c r="M10844">
        <v>0.86099999999999999</v>
      </c>
      <c r="N10844">
        <v>0.45</v>
      </c>
    </row>
    <row r="10845" spans="1:14" x14ac:dyDescent="0.25">
      <c r="A10845" t="s">
        <v>18847</v>
      </c>
      <c r="B10845" t="s">
        <v>7417</v>
      </c>
      <c r="C10845" s="1" t="str">
        <f>HYPERLINK("http://www.genecards.org/cgi-bin/carddisp.pl?gene=EWSR1","GeneCards")</f>
        <v>GeneCards</v>
      </c>
      <c r="D10845" s="1" t="str">
        <f>HYPERLINK("http://genome-euro.ucsc.edu/cgi-bin/hgTracks?position=210012_s_at","UCSC")</f>
        <v>UCSC</v>
      </c>
      <c r="E10845" s="1" t="str">
        <f>HYPERLINK("http://www.ncbi.nlm.nih.gov/gene/?term=EWSR1","NCBI")</f>
        <v>NCBI</v>
      </c>
      <c r="F10845">
        <v>0.25</v>
      </c>
      <c r="G10845">
        <v>0.4</v>
      </c>
      <c r="H10845" s="1" t="str">
        <f>HYPERLINK("http://www.weizmann.ac.il/complex/compphys/software/geview/data/figures/210012_s_at.png","Figure")</f>
        <v>Figure</v>
      </c>
      <c r="I10845">
        <v>1</v>
      </c>
      <c r="J10845">
        <v>1</v>
      </c>
      <c r="K10845">
        <v>0.87</v>
      </c>
      <c r="L10845">
        <v>0.32</v>
      </c>
      <c r="M10845">
        <v>0.87</v>
      </c>
      <c r="N10845">
        <v>0.37</v>
      </c>
    </row>
    <row r="10846" spans="1:14" x14ac:dyDescent="0.25">
      <c r="A10846" t="s">
        <v>18848</v>
      </c>
      <c r="B10846" t="s">
        <v>4763</v>
      </c>
      <c r="C10846" s="1" t="str">
        <f>HYPERLINK("http://www.genecards.org/cgi-bin/carddisp.pl?gene=AVL9","GeneCards")</f>
        <v>GeneCards</v>
      </c>
      <c r="D10846" s="1" t="str">
        <f>HYPERLINK("http://genome-euro.ucsc.edu/cgi-bin/hgTracks?position=212475_at","UCSC")</f>
        <v>UCSC</v>
      </c>
      <c r="E10846" s="1" t="str">
        <f>HYPERLINK("http://www.ncbi.nlm.nih.gov/gene/?term=AVL9","NCBI")</f>
        <v>NCBI</v>
      </c>
      <c r="F10846">
        <v>0.26</v>
      </c>
      <c r="G10846">
        <v>0.4</v>
      </c>
      <c r="H10846" s="1" t="str">
        <f>HYPERLINK("http://www.weizmann.ac.il/complex/compphys/software/geview/data/figures/212475_at.png","Figure")</f>
        <v>Figure</v>
      </c>
      <c r="I10846">
        <v>1.1599999999999999</v>
      </c>
      <c r="J10846">
        <v>0.27</v>
      </c>
      <c r="K10846">
        <v>1.02</v>
      </c>
      <c r="L10846">
        <v>0.96</v>
      </c>
      <c r="M10846">
        <v>0.88100000000000001</v>
      </c>
      <c r="N10846">
        <v>0.33</v>
      </c>
    </row>
    <row r="10847" spans="1:14" x14ac:dyDescent="0.25">
      <c r="A10847" t="s">
        <v>18849</v>
      </c>
      <c r="B10847" t="s">
        <v>18850</v>
      </c>
      <c r="C10847" s="1" t="str">
        <f>HYPERLINK("http://www.genecards.org/cgi-bin/carddisp.pl?gene=MSRA","GeneCards")</f>
        <v>GeneCards</v>
      </c>
      <c r="D10847" s="1" t="str">
        <f>HYPERLINK("http://genome-euro.ucsc.edu/cgi-bin/hgTracks?position=219281_at","UCSC")</f>
        <v>UCSC</v>
      </c>
      <c r="E10847" s="1" t="str">
        <f>HYPERLINK("http://www.ncbi.nlm.nih.gov/gene/?term=MSRA","NCBI")</f>
        <v>NCBI</v>
      </c>
      <c r="F10847">
        <v>0.26</v>
      </c>
      <c r="G10847">
        <v>0.4</v>
      </c>
      <c r="H10847" s="1" t="str">
        <f>HYPERLINK("http://www.weizmann.ac.il/complex/compphys/software/geview/data/figures/219281_at.png","Figure")</f>
        <v>Figure</v>
      </c>
      <c r="I10847">
        <v>1.04</v>
      </c>
      <c r="J10847">
        <v>0.96</v>
      </c>
      <c r="K10847">
        <v>1.2</v>
      </c>
      <c r="L10847">
        <v>0.27</v>
      </c>
      <c r="M10847">
        <v>1.1599999999999999</v>
      </c>
      <c r="N10847">
        <v>0.47</v>
      </c>
    </row>
    <row r="10848" spans="1:14" x14ac:dyDescent="0.25">
      <c r="A10848" t="s">
        <v>18851</v>
      </c>
      <c r="B10848" t="s">
        <v>944</v>
      </c>
      <c r="C10848" s="1" t="str">
        <f>HYPERLINK("http://www.genecards.org/cgi-bin/carddisp.pl?gene=RAB1A","GeneCards")</f>
        <v>GeneCards</v>
      </c>
      <c r="D10848" s="1" t="str">
        <f>HYPERLINK("http://genome-euro.ucsc.edu/cgi-bin/hgTracks?position=207791_s_at","UCSC")</f>
        <v>UCSC</v>
      </c>
      <c r="E10848" s="1" t="str">
        <f>HYPERLINK("http://www.ncbi.nlm.nih.gov/gene/?term=RAB1A","NCBI")</f>
        <v>NCBI</v>
      </c>
      <c r="F10848">
        <v>0.26</v>
      </c>
      <c r="G10848">
        <v>0.4</v>
      </c>
      <c r="H10848" s="1" t="str">
        <f>HYPERLINK("http://www.weizmann.ac.il/complex/compphys/software/geview/data/figures/207791_s_at.png","Figure")</f>
        <v>Figure</v>
      </c>
      <c r="I10848">
        <v>0.95399999999999996</v>
      </c>
      <c r="J10848">
        <v>0.97</v>
      </c>
      <c r="K10848">
        <v>0.75600000000000001</v>
      </c>
      <c r="L10848">
        <v>0.28000000000000003</v>
      </c>
      <c r="M10848">
        <v>0.79200000000000004</v>
      </c>
      <c r="N10848">
        <v>0.45</v>
      </c>
    </row>
    <row r="10849" spans="1:14" x14ac:dyDescent="0.25">
      <c r="A10849" t="s">
        <v>18852</v>
      </c>
      <c r="B10849" t="s">
        <v>17594</v>
      </c>
      <c r="C10849" s="1" t="str">
        <f>HYPERLINK("http://www.genecards.org/cgi-bin/carddisp.pl?gene=ENPP2","GeneCards")</f>
        <v>GeneCards</v>
      </c>
      <c r="D10849" s="1" t="str">
        <f>HYPERLINK("http://genome-euro.ucsc.edu/cgi-bin/hgTracks?position=210839_s_at","UCSC")</f>
        <v>UCSC</v>
      </c>
      <c r="E10849" s="1" t="str">
        <f>HYPERLINK("http://www.ncbi.nlm.nih.gov/gene/?term=ENPP2","NCBI")</f>
        <v>NCBI</v>
      </c>
      <c r="F10849">
        <v>0.26</v>
      </c>
      <c r="G10849">
        <v>0.4</v>
      </c>
      <c r="H10849" s="1" t="str">
        <f>HYPERLINK("http://www.weizmann.ac.il/complex/compphys/software/geview/data/figures/210839_s_at.png","Figure")</f>
        <v>Figure</v>
      </c>
      <c r="I10849">
        <v>1</v>
      </c>
      <c r="J10849">
        <v>1</v>
      </c>
      <c r="K10849">
        <v>0.82099999999999995</v>
      </c>
      <c r="L10849">
        <v>0.32</v>
      </c>
      <c r="M10849">
        <v>0.82099999999999995</v>
      </c>
      <c r="N10849">
        <v>0.37</v>
      </c>
    </row>
    <row r="10850" spans="1:14" x14ac:dyDescent="0.25">
      <c r="A10850" t="s">
        <v>18853</v>
      </c>
      <c r="B10850" t="s">
        <v>18854</v>
      </c>
      <c r="C10850" s="1" t="str">
        <f>HYPERLINK("http://www.genecards.org/cgi-bin/carddisp.pl?gene=CSDC2","GeneCards")</f>
        <v>GeneCards</v>
      </c>
      <c r="D10850" s="1" t="str">
        <f>HYPERLINK("http://genome-euro.ucsc.edu/cgi-bin/hgTracks?position=209981_at","UCSC")</f>
        <v>UCSC</v>
      </c>
      <c r="E10850" s="1" t="str">
        <f>HYPERLINK("http://www.ncbi.nlm.nih.gov/gene/?term=CSDC2","NCBI")</f>
        <v>NCBI</v>
      </c>
      <c r="F10850">
        <v>0.26</v>
      </c>
      <c r="G10850">
        <v>0.4</v>
      </c>
      <c r="H10850" s="1" t="str">
        <f>HYPERLINK("http://www.weizmann.ac.il/complex/compphys/software/geview/data/figures/209981_at.png","Figure")</f>
        <v>Figure</v>
      </c>
      <c r="I10850">
        <v>1.05</v>
      </c>
      <c r="J10850">
        <v>0.71</v>
      </c>
      <c r="K10850">
        <v>0.95499999999999996</v>
      </c>
      <c r="L10850">
        <v>0.64</v>
      </c>
      <c r="M10850">
        <v>0.91200000000000003</v>
      </c>
      <c r="N10850">
        <v>0.23</v>
      </c>
    </row>
    <row r="10851" spans="1:14" x14ac:dyDescent="0.25">
      <c r="A10851" t="s">
        <v>18855</v>
      </c>
      <c r="B10851" t="s">
        <v>6297</v>
      </c>
      <c r="C10851" s="1" t="str">
        <f>HYPERLINK("http://www.genecards.org/cgi-bin/carddisp.pl?gene=TBC1D9B","GeneCards")</f>
        <v>GeneCards</v>
      </c>
      <c r="D10851" s="1" t="str">
        <f>HYPERLINK("http://genome-euro.ucsc.edu/cgi-bin/hgTracks?position=212052_s_at","UCSC")</f>
        <v>UCSC</v>
      </c>
      <c r="E10851" s="1" t="str">
        <f>HYPERLINK("http://www.ncbi.nlm.nih.gov/gene/?term=TBC1D9B","NCBI")</f>
        <v>NCBI</v>
      </c>
      <c r="F10851">
        <v>0.26</v>
      </c>
      <c r="G10851">
        <v>0.4</v>
      </c>
      <c r="H10851" s="1" t="str">
        <f>HYPERLINK("http://www.weizmann.ac.il/complex/compphys/software/geview/data/figures/212052_s_at.png","Figure")</f>
        <v>Figure</v>
      </c>
      <c r="I10851">
        <v>1.28</v>
      </c>
      <c r="J10851">
        <v>0.35</v>
      </c>
      <c r="K10851">
        <v>1.26</v>
      </c>
      <c r="L10851">
        <v>0.28999999999999998</v>
      </c>
      <c r="M10851">
        <v>0.98699999999999999</v>
      </c>
      <c r="N10851">
        <v>1</v>
      </c>
    </row>
    <row r="10852" spans="1:14" x14ac:dyDescent="0.25">
      <c r="A10852" t="s">
        <v>18856</v>
      </c>
      <c r="B10852" t="s">
        <v>15987</v>
      </c>
      <c r="C10852" s="1" t="str">
        <f>HYPERLINK("http://www.genecards.org/cgi-bin/carddisp.pl?gene=YWHAZ","GeneCards")</f>
        <v>GeneCards</v>
      </c>
      <c r="D10852" s="1" t="str">
        <f>HYPERLINK("http://genome-euro.ucsc.edu/cgi-bin/hgTracks?position=200641_s_at","UCSC")</f>
        <v>UCSC</v>
      </c>
      <c r="E10852" s="1" t="str">
        <f>HYPERLINK("http://www.ncbi.nlm.nih.gov/gene/?term=YWHAZ","NCBI")</f>
        <v>NCBI</v>
      </c>
      <c r="F10852">
        <v>0.26</v>
      </c>
      <c r="G10852">
        <v>0.4</v>
      </c>
      <c r="H10852" s="1" t="str">
        <f>HYPERLINK("http://www.weizmann.ac.il/complex/compphys/software/geview/data/figures/200641_s_at.png","Figure")</f>
        <v>Figure</v>
      </c>
      <c r="I10852">
        <v>1.18</v>
      </c>
      <c r="J10852">
        <v>0.6</v>
      </c>
      <c r="K10852">
        <v>1.29</v>
      </c>
      <c r="L10852">
        <v>0.23</v>
      </c>
      <c r="M10852">
        <v>1.0900000000000001</v>
      </c>
      <c r="N10852">
        <v>0.84</v>
      </c>
    </row>
    <row r="10853" spans="1:14" x14ac:dyDescent="0.25">
      <c r="A10853" t="s">
        <v>18857</v>
      </c>
      <c r="B10853" t="s">
        <v>1977</v>
      </c>
      <c r="C10853" s="1" t="str">
        <f>HYPERLINK("http://www.genecards.org/cgi-bin/carddisp.pl?gene=SPTLC2","GeneCards")</f>
        <v>GeneCards</v>
      </c>
      <c r="D10853" s="1" t="str">
        <f>HYPERLINK("http://genome-euro.ucsc.edu/cgi-bin/hgTracks?position=203127_s_at","UCSC")</f>
        <v>UCSC</v>
      </c>
      <c r="E10853" s="1" t="str">
        <f>HYPERLINK("http://www.ncbi.nlm.nih.gov/gene/?term=SPTLC2","NCBI")</f>
        <v>NCBI</v>
      </c>
      <c r="F10853">
        <v>0.26</v>
      </c>
      <c r="G10853">
        <v>0.4</v>
      </c>
      <c r="H10853" s="1" t="str">
        <f>HYPERLINK("http://www.weizmann.ac.il/complex/compphys/software/geview/data/figures/203127_s_at.png","Figure")</f>
        <v>Figure</v>
      </c>
      <c r="I10853">
        <v>0.61299999999999999</v>
      </c>
      <c r="J10853">
        <v>0.28000000000000003</v>
      </c>
      <c r="K10853">
        <v>0.94199999999999995</v>
      </c>
      <c r="L10853">
        <v>0.97</v>
      </c>
      <c r="M10853">
        <v>1.54</v>
      </c>
      <c r="N10853">
        <v>0.32</v>
      </c>
    </row>
    <row r="10854" spans="1:14" x14ac:dyDescent="0.25">
      <c r="A10854" t="s">
        <v>18858</v>
      </c>
      <c r="B10854" t="s">
        <v>18859</v>
      </c>
      <c r="C10854" s="1" t="str">
        <f>HYPERLINK("http://www.genecards.org/cgi-bin/carddisp.pl?gene=KLK6","GeneCards")</f>
        <v>GeneCards</v>
      </c>
      <c r="D10854" s="1" t="str">
        <f>HYPERLINK("http://genome-euro.ucsc.edu/cgi-bin/hgTracks?position=204733_at","UCSC")</f>
        <v>UCSC</v>
      </c>
      <c r="E10854" s="1" t="str">
        <f>HYPERLINK("http://www.ncbi.nlm.nih.gov/gene/?term=KLK6","NCBI")</f>
        <v>NCBI</v>
      </c>
      <c r="F10854">
        <v>0.26</v>
      </c>
      <c r="G10854">
        <v>0.4</v>
      </c>
      <c r="H10854" s="1" t="str">
        <f>HYPERLINK("http://www.weizmann.ac.il/complex/compphys/software/geview/data/figures/204733_at.png","Figure")</f>
        <v>Figure</v>
      </c>
      <c r="I10854">
        <v>1.08</v>
      </c>
      <c r="J10854">
        <v>0.32</v>
      </c>
      <c r="K10854">
        <v>1.07</v>
      </c>
      <c r="L10854">
        <v>0.32</v>
      </c>
      <c r="M10854">
        <v>0.99</v>
      </c>
      <c r="N10854">
        <v>0.98</v>
      </c>
    </row>
    <row r="10855" spans="1:14" x14ac:dyDescent="0.25">
      <c r="A10855" t="s">
        <v>18860</v>
      </c>
      <c r="B10855" t="s">
        <v>18048</v>
      </c>
      <c r="C10855" s="1" t="str">
        <f>HYPERLINK("http://www.genecards.org/cgi-bin/carddisp.pl?gene=RHO","GeneCards")</f>
        <v>GeneCards</v>
      </c>
      <c r="D10855" s="1" t="str">
        <f>HYPERLINK("http://genome-euro.ucsc.edu/cgi-bin/hgTracks?position=206455_s_at","UCSC")</f>
        <v>UCSC</v>
      </c>
      <c r="E10855" s="1" t="str">
        <f>HYPERLINK("http://www.ncbi.nlm.nih.gov/gene/?term=RHO","NCBI")</f>
        <v>NCBI</v>
      </c>
      <c r="F10855">
        <v>0.26</v>
      </c>
      <c r="G10855">
        <v>0.4</v>
      </c>
      <c r="H10855" s="1" t="str">
        <f>HYPERLINK("http://www.weizmann.ac.il/complex/compphys/software/geview/data/figures/206455_s_at.png","Figure")</f>
        <v>Figure</v>
      </c>
      <c r="I10855">
        <v>1.0900000000000001</v>
      </c>
      <c r="J10855">
        <v>0.38</v>
      </c>
      <c r="K10855">
        <v>0.98899999999999999</v>
      </c>
      <c r="L10855">
        <v>0.98</v>
      </c>
      <c r="M10855">
        <v>0.90800000000000003</v>
      </c>
      <c r="N10855">
        <v>0.25</v>
      </c>
    </row>
    <row r="10856" spans="1:14" x14ac:dyDescent="0.25">
      <c r="A10856" t="s">
        <v>18861</v>
      </c>
      <c r="B10856" t="s">
        <v>18862</v>
      </c>
      <c r="C10856" s="1" t="str">
        <f>HYPERLINK("http://www.genecards.org/cgi-bin/carddisp.pl?gene=TNFSF12-TNFSF13 /// TNFSF13","GeneCards")</f>
        <v>GeneCards</v>
      </c>
      <c r="D10856" s="1" t="str">
        <f>HYPERLINK("http://genome-euro.ucsc.edu/cgi-bin/hgTracks?position=209499_x_at","UCSC")</f>
        <v>UCSC</v>
      </c>
      <c r="E10856" s="1" t="str">
        <f>HYPERLINK("http://www.ncbi.nlm.nih.gov/gene/?term=TNFSF12-TNFSF13 /// TNFSF13","NCBI")</f>
        <v>NCBI</v>
      </c>
      <c r="F10856">
        <v>0.26</v>
      </c>
      <c r="G10856">
        <v>0.4</v>
      </c>
      <c r="H10856" s="1" t="str">
        <f>HYPERLINK("http://www.weizmann.ac.il/complex/compphys/software/geview/data/figures/209499_x_at.png","Figure")</f>
        <v>Figure</v>
      </c>
      <c r="I10856">
        <v>0.88500000000000001</v>
      </c>
      <c r="J10856">
        <v>0.42</v>
      </c>
      <c r="K10856">
        <v>0.873</v>
      </c>
      <c r="L10856">
        <v>0.26</v>
      </c>
      <c r="M10856">
        <v>0.98699999999999999</v>
      </c>
      <c r="N10856">
        <v>0.99</v>
      </c>
    </row>
    <row r="10857" spans="1:14" x14ac:dyDescent="0.25">
      <c r="A10857" t="s">
        <v>18863</v>
      </c>
      <c r="B10857" t="s">
        <v>18864</v>
      </c>
      <c r="C10857" s="1" t="str">
        <f>HYPERLINK("http://www.genecards.org/cgi-bin/carddisp.pl?gene=OVOL2","GeneCards")</f>
        <v>GeneCards</v>
      </c>
      <c r="D10857" s="1" t="str">
        <f>HYPERLINK("http://genome-euro.ucsc.edu/cgi-bin/hgTracks?position=211778_s_at","UCSC")</f>
        <v>UCSC</v>
      </c>
      <c r="E10857" s="1" t="str">
        <f>HYPERLINK("http://www.ncbi.nlm.nih.gov/gene/?term=OVOL2","NCBI")</f>
        <v>NCBI</v>
      </c>
      <c r="F10857">
        <v>0.26</v>
      </c>
      <c r="G10857">
        <v>0.4</v>
      </c>
      <c r="H10857" s="1" t="str">
        <f>HYPERLINK("http://www.weizmann.ac.il/complex/compphys/software/geview/data/figures/211778_s_at.png","Figure")</f>
        <v>Figure</v>
      </c>
      <c r="I10857">
        <v>1.1499999999999999</v>
      </c>
      <c r="J10857">
        <v>0.23</v>
      </c>
      <c r="K10857">
        <v>1.06</v>
      </c>
      <c r="L10857">
        <v>0.7</v>
      </c>
      <c r="M10857">
        <v>0.91900000000000004</v>
      </c>
      <c r="N10857">
        <v>0.53</v>
      </c>
    </row>
    <row r="10858" spans="1:14" x14ac:dyDescent="0.25">
      <c r="A10858" t="s">
        <v>18865</v>
      </c>
      <c r="B10858" t="s">
        <v>18866</v>
      </c>
      <c r="C10858" s="1" t="str">
        <f>HYPERLINK("http://www.genecards.org/cgi-bin/carddisp.pl?gene=TNPO1","GeneCards")</f>
        <v>GeneCards</v>
      </c>
      <c r="D10858" s="1" t="str">
        <f>HYPERLINK("http://genome-euro.ucsc.edu/cgi-bin/hgTracks?position=212635_at","UCSC")</f>
        <v>UCSC</v>
      </c>
      <c r="E10858" s="1" t="str">
        <f>HYPERLINK("http://www.ncbi.nlm.nih.gov/gene/?term=TNPO1","NCBI")</f>
        <v>NCBI</v>
      </c>
      <c r="F10858">
        <v>0.26</v>
      </c>
      <c r="G10858">
        <v>0.4</v>
      </c>
      <c r="H10858" s="1" t="str">
        <f>HYPERLINK("http://www.weizmann.ac.il/complex/compphys/software/geview/data/figures/212635_at.png","Figure")</f>
        <v>Figure</v>
      </c>
      <c r="I10858">
        <v>0.68899999999999995</v>
      </c>
      <c r="J10858">
        <v>0.23</v>
      </c>
      <c r="K10858">
        <v>0.878</v>
      </c>
      <c r="L10858">
        <v>0.77</v>
      </c>
      <c r="M10858">
        <v>1.27</v>
      </c>
      <c r="N10858">
        <v>0.47</v>
      </c>
    </row>
    <row r="10859" spans="1:14" x14ac:dyDescent="0.25">
      <c r="A10859" t="s">
        <v>18867</v>
      </c>
      <c r="B10859" t="s">
        <v>12138</v>
      </c>
      <c r="C10859" s="1" t="str">
        <f>HYPERLINK("http://www.genecards.org/cgi-bin/carddisp.pl?gene=RTN4","GeneCards")</f>
        <v>GeneCards</v>
      </c>
      <c r="D10859" s="1" t="str">
        <f>HYPERLINK("http://genome-euro.ucsc.edu/cgi-bin/hgTracks?position=214629_x_at","UCSC")</f>
        <v>UCSC</v>
      </c>
      <c r="E10859" s="1" t="str">
        <f>HYPERLINK("http://www.ncbi.nlm.nih.gov/gene/?term=RTN4","NCBI")</f>
        <v>NCBI</v>
      </c>
      <c r="F10859">
        <v>0.26</v>
      </c>
      <c r="G10859">
        <v>0.4</v>
      </c>
      <c r="H10859" s="1" t="str">
        <f>HYPERLINK("http://www.weizmann.ac.il/complex/compphys/software/geview/data/figures/214629_x_at.png","Figure")</f>
        <v>Figure</v>
      </c>
      <c r="I10859">
        <v>0.85</v>
      </c>
      <c r="J10859">
        <v>0.33</v>
      </c>
      <c r="K10859">
        <v>1</v>
      </c>
      <c r="L10859">
        <v>1</v>
      </c>
      <c r="M10859">
        <v>1.18</v>
      </c>
      <c r="N10859">
        <v>0.27</v>
      </c>
    </row>
    <row r="10860" spans="1:14" x14ac:dyDescent="0.25">
      <c r="A10860" t="s">
        <v>18868</v>
      </c>
      <c r="B10860" t="s">
        <v>18869</v>
      </c>
      <c r="C10860" s="1" t="str">
        <f>HYPERLINK("http://www.genecards.org/cgi-bin/carddisp.pl?gene=LOC652493 /// LOC652694","GeneCards")</f>
        <v>GeneCards</v>
      </c>
      <c r="D10860" s="1" t="str">
        <f>HYPERLINK("http://genome-euro.ucsc.edu/cgi-bin/hgTracks?position=216401_x_at","UCSC")</f>
        <v>UCSC</v>
      </c>
      <c r="E10860" s="1" t="str">
        <f>HYPERLINK("http://www.ncbi.nlm.nih.gov/gene/?term=LOC652493 /// LOC652694","NCBI")</f>
        <v>NCBI</v>
      </c>
      <c r="F10860">
        <v>0.26</v>
      </c>
      <c r="G10860">
        <v>0.4</v>
      </c>
      <c r="H10860" s="1" t="str">
        <f>HYPERLINK("http://www.weizmann.ac.il/complex/compphys/software/geview/data/figures/216401_x_at.png","Figure")</f>
        <v>Figure</v>
      </c>
      <c r="I10860">
        <v>0.81699999999999995</v>
      </c>
      <c r="J10860">
        <v>0.56999999999999995</v>
      </c>
      <c r="K10860">
        <v>0.74199999999999999</v>
      </c>
      <c r="L10860">
        <v>0.23</v>
      </c>
      <c r="M10860">
        <v>0.90900000000000003</v>
      </c>
      <c r="N10860">
        <v>0.86</v>
      </c>
    </row>
    <row r="10861" spans="1:14" x14ac:dyDescent="0.25">
      <c r="A10861" t="s">
        <v>18870</v>
      </c>
      <c r="B10861" t="s">
        <v>18871</v>
      </c>
      <c r="C10861" s="1" t="str">
        <f>HYPERLINK("http://www.genecards.org/cgi-bin/carddisp.pl?gene=C9orf27","GeneCards")</f>
        <v>GeneCards</v>
      </c>
      <c r="D10861" s="1" t="str">
        <f>HYPERLINK("http://genome-euro.ucsc.edu/cgi-bin/hgTracks?position=220660_at","UCSC")</f>
        <v>UCSC</v>
      </c>
      <c r="E10861" s="1" t="str">
        <f>HYPERLINK("http://www.ncbi.nlm.nih.gov/gene/?term=C9orf27","NCBI")</f>
        <v>NCBI</v>
      </c>
      <c r="F10861">
        <v>0.26</v>
      </c>
      <c r="G10861">
        <v>0.4</v>
      </c>
      <c r="H10861" s="1" t="str">
        <f>HYPERLINK("http://www.weizmann.ac.il/complex/compphys/software/geview/data/figures/220660_at.png","Figure")</f>
        <v>Figure</v>
      </c>
      <c r="I10861">
        <v>0.98099999999999998</v>
      </c>
      <c r="J10861">
        <v>0.3</v>
      </c>
      <c r="K10861">
        <v>0.999</v>
      </c>
      <c r="L10861">
        <v>1</v>
      </c>
      <c r="M10861">
        <v>1.02</v>
      </c>
      <c r="N10861">
        <v>0.28999999999999998</v>
      </c>
    </row>
    <row r="10862" spans="1:14" x14ac:dyDescent="0.25">
      <c r="A10862" t="s">
        <v>18872</v>
      </c>
      <c r="B10862" t="s">
        <v>18873</v>
      </c>
      <c r="C10862" s="1" t="str">
        <f>HYPERLINK("http://www.genecards.org/cgi-bin/carddisp.pl?gene=SLC25A37","GeneCards")</f>
        <v>GeneCards</v>
      </c>
      <c r="D10862" s="1" t="str">
        <f>HYPERLINK("http://genome-euro.ucsc.edu/cgi-bin/hgTracks?position=221920_s_at","UCSC")</f>
        <v>UCSC</v>
      </c>
      <c r="E10862" s="1" t="str">
        <f>HYPERLINK("http://www.ncbi.nlm.nih.gov/gene/?term=SLC25A37","NCBI")</f>
        <v>NCBI</v>
      </c>
      <c r="F10862">
        <v>0.26</v>
      </c>
      <c r="G10862">
        <v>0.4</v>
      </c>
      <c r="H10862" s="1" t="str">
        <f>HYPERLINK("http://www.weizmann.ac.il/complex/compphys/software/geview/data/figures/221920_s_at.png","Figure")</f>
        <v>Figure</v>
      </c>
      <c r="I10862">
        <v>0.57299999999999995</v>
      </c>
      <c r="J10862">
        <v>0.24</v>
      </c>
      <c r="K10862">
        <v>0.84099999999999997</v>
      </c>
      <c r="L10862">
        <v>0.82</v>
      </c>
      <c r="M10862">
        <v>1.47</v>
      </c>
      <c r="N10862">
        <v>0.44</v>
      </c>
    </row>
    <row r="10863" spans="1:14" x14ac:dyDescent="0.25">
      <c r="A10863" t="s">
        <v>18874</v>
      </c>
      <c r="B10863" t="s">
        <v>3466</v>
      </c>
      <c r="C10863" s="1" t="str">
        <f>HYPERLINK("http://www.genecards.org/cgi-bin/carddisp.pl?gene=NOP56","GeneCards")</f>
        <v>GeneCards</v>
      </c>
      <c r="D10863" s="1" t="str">
        <f>HYPERLINK("http://genome-euro.ucsc.edu/cgi-bin/hgTracks?position=200875_s_at","UCSC")</f>
        <v>UCSC</v>
      </c>
      <c r="E10863" s="1" t="str">
        <f>HYPERLINK("http://www.ncbi.nlm.nih.gov/gene/?term=NOP56","NCBI")</f>
        <v>NCBI</v>
      </c>
      <c r="F10863">
        <v>0.26</v>
      </c>
      <c r="G10863">
        <v>0.4</v>
      </c>
      <c r="H10863" s="1" t="str">
        <f>HYPERLINK("http://www.weizmann.ac.il/complex/compphys/software/geview/data/figures/200875_s_at.png","Figure")</f>
        <v>Figure</v>
      </c>
      <c r="I10863">
        <v>1.35</v>
      </c>
      <c r="J10863">
        <v>0.28999999999999998</v>
      </c>
      <c r="K10863">
        <v>1.27</v>
      </c>
      <c r="L10863">
        <v>0.35</v>
      </c>
      <c r="M10863">
        <v>0.93899999999999995</v>
      </c>
      <c r="N10863">
        <v>0.94</v>
      </c>
    </row>
    <row r="10864" spans="1:14" x14ac:dyDescent="0.25">
      <c r="A10864" t="s">
        <v>18875</v>
      </c>
      <c r="B10864" t="s">
        <v>18876</v>
      </c>
      <c r="C10864" s="1" t="str">
        <f>HYPERLINK("http://www.genecards.org/cgi-bin/carddisp.pl?gene=KPNA4","GeneCards")</f>
        <v>GeneCards</v>
      </c>
      <c r="D10864" s="1" t="str">
        <f>HYPERLINK("http://genome-euro.ucsc.edu/cgi-bin/hgTracks?position=209653_at","UCSC")</f>
        <v>UCSC</v>
      </c>
      <c r="E10864" s="1" t="str">
        <f>HYPERLINK("http://www.ncbi.nlm.nih.gov/gene/?term=KPNA4","NCBI")</f>
        <v>NCBI</v>
      </c>
      <c r="F10864">
        <v>0.26</v>
      </c>
      <c r="G10864">
        <v>0.4</v>
      </c>
      <c r="H10864" s="1" t="str">
        <f>HYPERLINK("http://www.weizmann.ac.il/complex/compphys/software/geview/data/figures/209653_at.png","Figure")</f>
        <v>Figure</v>
      </c>
      <c r="I10864">
        <v>0.94599999999999995</v>
      </c>
      <c r="J10864">
        <v>0.87</v>
      </c>
      <c r="K10864">
        <v>0.84799999999999998</v>
      </c>
      <c r="L10864">
        <v>0.25</v>
      </c>
      <c r="M10864">
        <v>0.89700000000000002</v>
      </c>
      <c r="N10864">
        <v>0.56000000000000005</v>
      </c>
    </row>
    <row r="10865" spans="1:14" x14ac:dyDescent="0.25">
      <c r="A10865" t="s">
        <v>18877</v>
      </c>
      <c r="B10865" t="s">
        <v>3765</v>
      </c>
      <c r="C10865" s="1" t="str">
        <f>HYPERLINK("http://www.genecards.org/cgi-bin/carddisp.pl?gene=PDE4C","GeneCards")</f>
        <v>GeneCards</v>
      </c>
      <c r="D10865" s="1" t="str">
        <f>HYPERLINK("http://genome-euro.ucsc.edu/cgi-bin/hgTracks?position=206792_x_at","UCSC")</f>
        <v>UCSC</v>
      </c>
      <c r="E10865" s="1" t="str">
        <f>HYPERLINK("http://www.ncbi.nlm.nih.gov/gene/?term=PDE4C","NCBI")</f>
        <v>NCBI</v>
      </c>
      <c r="F10865">
        <v>0.26</v>
      </c>
      <c r="G10865">
        <v>0.4</v>
      </c>
      <c r="H10865" s="1" t="str">
        <f>HYPERLINK("http://www.weizmann.ac.il/complex/compphys/software/geview/data/figures/206792_x_at.png","Figure")</f>
        <v>Figure</v>
      </c>
      <c r="I10865">
        <v>1.4</v>
      </c>
      <c r="J10865">
        <v>0.5</v>
      </c>
      <c r="K10865">
        <v>0.874</v>
      </c>
      <c r="L10865">
        <v>0.86</v>
      </c>
      <c r="M10865">
        <v>0.623</v>
      </c>
      <c r="N10865">
        <v>0.23</v>
      </c>
    </row>
    <row r="10866" spans="1:14" x14ac:dyDescent="0.25">
      <c r="A10866" t="s">
        <v>18878</v>
      </c>
      <c r="B10866" t="s">
        <v>11456</v>
      </c>
      <c r="C10866" s="1" t="str">
        <f>HYPERLINK("http://www.genecards.org/cgi-bin/carddisp.pl?gene=RAD51L3","GeneCards")</f>
        <v>GeneCards</v>
      </c>
      <c r="D10866" s="1" t="str">
        <f>HYPERLINK("http://genome-euro.ucsc.edu/cgi-bin/hgTracks?position=37793_r_at","UCSC")</f>
        <v>UCSC</v>
      </c>
      <c r="E10866" s="1" t="str">
        <f>HYPERLINK("http://www.ncbi.nlm.nih.gov/gene/?term=RAD51L3","NCBI")</f>
        <v>NCBI</v>
      </c>
      <c r="F10866">
        <v>0.26</v>
      </c>
      <c r="G10866">
        <v>0.4</v>
      </c>
      <c r="H10866" s="1" t="str">
        <f>HYPERLINK("http://www.weizmann.ac.il/complex/compphys/software/geview/data/figures/37793_r_at.png","Figure")</f>
        <v>Figure</v>
      </c>
      <c r="I10866">
        <v>0.82699999999999996</v>
      </c>
      <c r="J10866">
        <v>0.32</v>
      </c>
      <c r="K10866">
        <v>0.84399999999999997</v>
      </c>
      <c r="L10866">
        <v>0.31</v>
      </c>
      <c r="M10866">
        <v>1.02</v>
      </c>
      <c r="N10866">
        <v>0.98</v>
      </c>
    </row>
    <row r="10867" spans="1:14" x14ac:dyDescent="0.25">
      <c r="A10867" t="s">
        <v>18879</v>
      </c>
      <c r="B10867" t="s">
        <v>11720</v>
      </c>
      <c r="C10867" s="1" t="str">
        <f>HYPERLINK("http://www.genecards.org/cgi-bin/carddisp.pl?gene=LSM5","GeneCards")</f>
        <v>GeneCards</v>
      </c>
      <c r="D10867" s="1" t="str">
        <f>HYPERLINK("http://genome-euro.ucsc.edu/cgi-bin/hgTracks?position=202903_at","UCSC")</f>
        <v>UCSC</v>
      </c>
      <c r="E10867" s="1" t="str">
        <f>HYPERLINK("http://www.ncbi.nlm.nih.gov/gene/?term=LSM5","NCBI")</f>
        <v>NCBI</v>
      </c>
      <c r="F10867">
        <v>0.26</v>
      </c>
      <c r="G10867">
        <v>0.4</v>
      </c>
      <c r="H10867" s="1" t="str">
        <f>HYPERLINK("http://www.weizmann.ac.il/complex/compphys/software/geview/data/figures/202903_at.png","Figure")</f>
        <v>Figure</v>
      </c>
      <c r="I10867">
        <v>0.95599999999999996</v>
      </c>
      <c r="J10867">
        <v>0.23</v>
      </c>
      <c r="K10867">
        <v>0.98499999999999999</v>
      </c>
      <c r="L10867">
        <v>0.8</v>
      </c>
      <c r="M10867">
        <v>1.03</v>
      </c>
      <c r="N10867">
        <v>0.45</v>
      </c>
    </row>
    <row r="10868" spans="1:14" x14ac:dyDescent="0.25">
      <c r="A10868" t="s">
        <v>18880</v>
      </c>
      <c r="B10868" t="s">
        <v>18881</v>
      </c>
      <c r="C10868" s="1" t="str">
        <f>HYPERLINK("http://www.genecards.org/cgi-bin/carddisp.pl?gene=LARS2","GeneCards")</f>
        <v>GeneCards</v>
      </c>
      <c r="D10868" s="1" t="str">
        <f>HYPERLINK("http://genome-euro.ucsc.edu/cgi-bin/hgTracks?position=204016_at","UCSC")</f>
        <v>UCSC</v>
      </c>
      <c r="E10868" s="1" t="str">
        <f>HYPERLINK("http://www.ncbi.nlm.nih.gov/gene/?term=LARS2","NCBI")</f>
        <v>NCBI</v>
      </c>
      <c r="F10868">
        <v>0.26</v>
      </c>
      <c r="G10868">
        <v>0.4</v>
      </c>
      <c r="H10868" s="1" t="str">
        <f>HYPERLINK("http://www.weizmann.ac.il/complex/compphys/software/geview/data/figures/204016_at.png","Figure")</f>
        <v>Figure</v>
      </c>
      <c r="I10868">
        <v>1.19</v>
      </c>
      <c r="J10868">
        <v>0.25</v>
      </c>
      <c r="K10868">
        <v>1.1200000000000001</v>
      </c>
      <c r="L10868">
        <v>0.43</v>
      </c>
      <c r="M10868">
        <v>0.94299999999999995</v>
      </c>
      <c r="N10868">
        <v>0.82</v>
      </c>
    </row>
    <row r="10869" spans="1:14" x14ac:dyDescent="0.25">
      <c r="A10869" t="s">
        <v>18882</v>
      </c>
      <c r="B10869" t="s">
        <v>18883</v>
      </c>
      <c r="C10869" s="1" t="str">
        <f>HYPERLINK("http://www.genecards.org/cgi-bin/carddisp.pl?gene=SLC18A2","GeneCards")</f>
        <v>GeneCards</v>
      </c>
      <c r="D10869" s="1" t="str">
        <f>HYPERLINK("http://genome-euro.ucsc.edu/cgi-bin/hgTracks?position=205857_at","UCSC")</f>
        <v>UCSC</v>
      </c>
      <c r="E10869" s="1" t="str">
        <f>HYPERLINK("http://www.ncbi.nlm.nih.gov/gene/?term=SLC18A2","NCBI")</f>
        <v>NCBI</v>
      </c>
      <c r="F10869">
        <v>0.26</v>
      </c>
      <c r="G10869">
        <v>0.4</v>
      </c>
      <c r="H10869" s="1" t="str">
        <f>HYPERLINK("http://www.weizmann.ac.il/complex/compphys/software/geview/data/figures/205857_at.png","Figure")</f>
        <v>Figure</v>
      </c>
      <c r="I10869">
        <v>0.57699999999999996</v>
      </c>
      <c r="J10869">
        <v>0.27</v>
      </c>
      <c r="K10869">
        <v>0.91800000000000004</v>
      </c>
      <c r="L10869">
        <v>0.96</v>
      </c>
      <c r="M10869">
        <v>1.59</v>
      </c>
      <c r="N10869">
        <v>0.34</v>
      </c>
    </row>
    <row r="10870" spans="1:14" x14ac:dyDescent="0.25">
      <c r="A10870" t="s">
        <v>18884</v>
      </c>
      <c r="B10870" t="s">
        <v>18885</v>
      </c>
      <c r="C10870" s="1" t="str">
        <f>HYPERLINK("http://www.genecards.org/cgi-bin/carddisp.pl?gene=CYSLTR2","GeneCards")</f>
        <v>GeneCards</v>
      </c>
      <c r="D10870" s="1" t="str">
        <f>HYPERLINK("http://genome-euro.ucsc.edu/cgi-bin/hgTracks?position=220813_at","UCSC")</f>
        <v>UCSC</v>
      </c>
      <c r="E10870" s="1" t="str">
        <f>HYPERLINK("http://www.ncbi.nlm.nih.gov/gene/?term=CYSLTR2","NCBI")</f>
        <v>NCBI</v>
      </c>
      <c r="F10870">
        <v>0.26</v>
      </c>
      <c r="G10870">
        <v>0.4</v>
      </c>
      <c r="H10870" s="1" t="str">
        <f>HYPERLINK("http://www.weizmann.ac.il/complex/compphys/software/geview/data/figures/220813_at.png","Figure")</f>
        <v>Figure</v>
      </c>
      <c r="I10870">
        <v>1.1299999999999999</v>
      </c>
      <c r="J10870">
        <v>0.38</v>
      </c>
      <c r="K10870">
        <v>0.98499999999999999</v>
      </c>
      <c r="L10870">
        <v>0.98</v>
      </c>
      <c r="M10870">
        <v>0.874</v>
      </c>
      <c r="N10870">
        <v>0.25</v>
      </c>
    </row>
    <row r="10871" spans="1:14" x14ac:dyDescent="0.25">
      <c r="A10871" t="s">
        <v>18886</v>
      </c>
      <c r="B10871" t="s">
        <v>18887</v>
      </c>
      <c r="C10871" s="1" t="str">
        <f>HYPERLINK("http://www.genecards.org/cgi-bin/carddisp.pl?gene=LPCAT3","GeneCards")</f>
        <v>GeneCards</v>
      </c>
      <c r="D10871" s="1" t="str">
        <f>HYPERLINK("http://genome-euro.ucsc.edu/cgi-bin/hgTracks?position=202793_at","UCSC")</f>
        <v>UCSC</v>
      </c>
      <c r="E10871" s="1" t="str">
        <f>HYPERLINK("http://www.ncbi.nlm.nih.gov/gene/?term=LPCAT3","NCBI")</f>
        <v>NCBI</v>
      </c>
      <c r="F10871">
        <v>0.26</v>
      </c>
      <c r="G10871">
        <v>0.4</v>
      </c>
      <c r="H10871" s="1" t="str">
        <f>HYPERLINK("http://www.weizmann.ac.il/complex/compphys/software/geview/data/figures/202793_at.png","Figure")</f>
        <v>Figure</v>
      </c>
      <c r="I10871">
        <v>0.96</v>
      </c>
      <c r="J10871">
        <v>0.78</v>
      </c>
      <c r="K10871">
        <v>1.06</v>
      </c>
      <c r="L10871">
        <v>0.56999999999999995</v>
      </c>
      <c r="M10871">
        <v>1.1000000000000001</v>
      </c>
      <c r="N10871">
        <v>0.25</v>
      </c>
    </row>
    <row r="10872" spans="1:14" x14ac:dyDescent="0.25">
      <c r="A10872" t="s">
        <v>18888</v>
      </c>
      <c r="B10872" t="s">
        <v>9167</v>
      </c>
      <c r="C10872" s="1" t="str">
        <f>HYPERLINK("http://www.genecards.org/cgi-bin/carddisp.pl?gene=CSNK1D","GeneCards")</f>
        <v>GeneCards</v>
      </c>
      <c r="D10872" s="1" t="str">
        <f>HYPERLINK("http://genome-euro.ucsc.edu/cgi-bin/hgTracks?position=208774_at","UCSC")</f>
        <v>UCSC</v>
      </c>
      <c r="E10872" s="1" t="str">
        <f>HYPERLINK("http://www.ncbi.nlm.nih.gov/gene/?term=CSNK1D","NCBI")</f>
        <v>NCBI</v>
      </c>
      <c r="F10872">
        <v>0.26</v>
      </c>
      <c r="G10872">
        <v>0.4</v>
      </c>
      <c r="H10872" s="1" t="str">
        <f>HYPERLINK("http://www.weizmann.ac.il/complex/compphys/software/geview/data/figures/208774_at.png","Figure")</f>
        <v>Figure</v>
      </c>
      <c r="I10872">
        <v>0.879</v>
      </c>
      <c r="J10872">
        <v>0.9</v>
      </c>
      <c r="K10872">
        <v>0.65</v>
      </c>
      <c r="L10872">
        <v>0.25</v>
      </c>
      <c r="M10872">
        <v>0.74</v>
      </c>
      <c r="N10872">
        <v>0.53</v>
      </c>
    </row>
    <row r="10873" spans="1:14" x14ac:dyDescent="0.25">
      <c r="A10873" t="s">
        <v>18889</v>
      </c>
      <c r="B10873" t="s">
        <v>1330</v>
      </c>
      <c r="C10873" s="1" t="str">
        <f>HYPERLINK("http://www.genecards.org/cgi-bin/carddisp.pl?gene=PRKAA1","GeneCards")</f>
        <v>GeneCards</v>
      </c>
      <c r="D10873" s="1" t="str">
        <f>HYPERLINK("http://genome-euro.ucsc.edu/cgi-bin/hgTracks?position=214917_at","UCSC")</f>
        <v>UCSC</v>
      </c>
      <c r="E10873" s="1" t="str">
        <f>HYPERLINK("http://www.ncbi.nlm.nih.gov/gene/?term=PRKAA1","NCBI")</f>
        <v>NCBI</v>
      </c>
      <c r="F10873">
        <v>0.26</v>
      </c>
      <c r="G10873">
        <v>0.4</v>
      </c>
      <c r="H10873" s="1" t="str">
        <f>HYPERLINK("http://www.weizmann.ac.il/complex/compphys/software/geview/data/figures/214917_at.png","Figure")</f>
        <v>Figure</v>
      </c>
      <c r="I10873">
        <v>0.63500000000000001</v>
      </c>
      <c r="J10873">
        <v>0.28000000000000003</v>
      </c>
      <c r="K10873">
        <v>0.70599999999999996</v>
      </c>
      <c r="L10873">
        <v>0.37</v>
      </c>
      <c r="M10873">
        <v>1.1100000000000001</v>
      </c>
      <c r="N10873">
        <v>0.92</v>
      </c>
    </row>
    <row r="10874" spans="1:14" x14ac:dyDescent="0.25">
      <c r="A10874" t="s">
        <v>18890</v>
      </c>
      <c r="B10874" t="s">
        <v>14956</v>
      </c>
      <c r="C10874" s="1" t="str">
        <f>HYPERLINK("http://www.genecards.org/cgi-bin/carddisp.pl?gene=CD59","GeneCards")</f>
        <v>GeneCards</v>
      </c>
      <c r="D10874" s="1" t="str">
        <f>HYPERLINK("http://genome-euro.ucsc.edu/cgi-bin/hgTracks?position=200983_x_at","UCSC")</f>
        <v>UCSC</v>
      </c>
      <c r="E10874" s="1" t="str">
        <f>HYPERLINK("http://www.ncbi.nlm.nih.gov/gene/?term=CD59","NCBI")</f>
        <v>NCBI</v>
      </c>
      <c r="F10874">
        <v>0.26</v>
      </c>
      <c r="G10874">
        <v>0.4</v>
      </c>
      <c r="H10874" s="1" t="str">
        <f>HYPERLINK("http://www.weizmann.ac.il/complex/compphys/software/geview/data/figures/200983_x_at.png","Figure")</f>
        <v>Figure</v>
      </c>
      <c r="I10874">
        <v>1.18</v>
      </c>
      <c r="J10874">
        <v>0.25</v>
      </c>
      <c r="K10874">
        <v>1.1100000000000001</v>
      </c>
      <c r="L10874">
        <v>0.46</v>
      </c>
      <c r="M10874">
        <v>0.94299999999999995</v>
      </c>
      <c r="N10874">
        <v>0.8</v>
      </c>
    </row>
    <row r="10875" spans="1:14" x14ac:dyDescent="0.25">
      <c r="A10875" t="s">
        <v>18891</v>
      </c>
      <c r="B10875" t="s">
        <v>9894</v>
      </c>
      <c r="C10875" s="1" t="str">
        <f>HYPERLINK("http://www.genecards.org/cgi-bin/carddisp.pl?gene=MED13","GeneCards")</f>
        <v>GeneCards</v>
      </c>
      <c r="D10875" s="1" t="str">
        <f>HYPERLINK("http://genome-euro.ucsc.edu/cgi-bin/hgTracks?position=201986_at","UCSC")</f>
        <v>UCSC</v>
      </c>
      <c r="E10875" s="1" t="str">
        <f>HYPERLINK("http://www.ncbi.nlm.nih.gov/gene/?term=MED13","NCBI")</f>
        <v>NCBI</v>
      </c>
      <c r="F10875">
        <v>0.26</v>
      </c>
      <c r="G10875">
        <v>0.4</v>
      </c>
      <c r="H10875" s="1" t="str">
        <f>HYPERLINK("http://www.weizmann.ac.il/complex/compphys/software/geview/data/figures/201986_at.png","Figure")</f>
        <v>Figure</v>
      </c>
      <c r="I10875">
        <v>0.72899999999999998</v>
      </c>
      <c r="J10875">
        <v>0.35</v>
      </c>
      <c r="K10875">
        <v>1.02</v>
      </c>
      <c r="L10875">
        <v>0.99</v>
      </c>
      <c r="M10875">
        <v>1.4</v>
      </c>
      <c r="N10875">
        <v>0.26</v>
      </c>
    </row>
    <row r="10876" spans="1:14" x14ac:dyDescent="0.25">
      <c r="A10876" t="s">
        <v>18892</v>
      </c>
      <c r="B10876" t="s">
        <v>18893</v>
      </c>
      <c r="C10876" s="1" t="str">
        <f>HYPERLINK("http://www.genecards.org/cgi-bin/carddisp.pl?gene=IRS1","GeneCards")</f>
        <v>GeneCards</v>
      </c>
      <c r="D10876" s="1" t="str">
        <f>HYPERLINK("http://genome-euro.ucsc.edu/cgi-bin/hgTracks?position=204686_at","UCSC")</f>
        <v>UCSC</v>
      </c>
      <c r="E10876" s="1" t="str">
        <f>HYPERLINK("http://www.ncbi.nlm.nih.gov/gene/?term=IRS1","NCBI")</f>
        <v>NCBI</v>
      </c>
      <c r="F10876">
        <v>0.26</v>
      </c>
      <c r="G10876">
        <v>0.4</v>
      </c>
      <c r="H10876" s="1" t="str">
        <f>HYPERLINK("http://www.weizmann.ac.il/complex/compphys/software/geview/data/figures/204686_at.png","Figure")</f>
        <v>Figure</v>
      </c>
      <c r="I10876">
        <v>0.92800000000000005</v>
      </c>
      <c r="J10876">
        <v>0.99</v>
      </c>
      <c r="K10876">
        <v>0.49199999999999999</v>
      </c>
      <c r="L10876">
        <v>0.28999999999999998</v>
      </c>
      <c r="M10876">
        <v>0.53</v>
      </c>
      <c r="N10876">
        <v>0.42</v>
      </c>
    </row>
    <row r="10877" spans="1:14" x14ac:dyDescent="0.25">
      <c r="A10877" t="s">
        <v>18894</v>
      </c>
      <c r="B10877" t="s">
        <v>18895</v>
      </c>
      <c r="C10877" s="1" t="str">
        <f>HYPERLINK("http://www.genecards.org/cgi-bin/carddisp.pl?gene=ERP44","GeneCards")</f>
        <v>GeneCards</v>
      </c>
      <c r="D10877" s="1" t="str">
        <f>HYPERLINK("http://genome-euro.ucsc.edu/cgi-bin/hgTracks?position=208957_at","UCSC")</f>
        <v>UCSC</v>
      </c>
      <c r="E10877" s="1" t="str">
        <f>HYPERLINK("http://www.ncbi.nlm.nih.gov/gene/?term=ERP44","NCBI")</f>
        <v>NCBI</v>
      </c>
      <c r="F10877">
        <v>0.26</v>
      </c>
      <c r="G10877">
        <v>0.4</v>
      </c>
      <c r="H10877" s="1" t="str">
        <f>HYPERLINK("http://www.weizmann.ac.il/complex/compphys/software/geview/data/figures/208957_at.png","Figure")</f>
        <v>Figure</v>
      </c>
      <c r="I10877">
        <v>1.06</v>
      </c>
      <c r="J10877">
        <v>0.82</v>
      </c>
      <c r="K10877">
        <v>0.91900000000000004</v>
      </c>
      <c r="L10877">
        <v>0.54</v>
      </c>
      <c r="M10877">
        <v>0.871</v>
      </c>
      <c r="N10877">
        <v>0.25</v>
      </c>
    </row>
    <row r="10878" spans="1:14" x14ac:dyDescent="0.25">
      <c r="A10878" t="s">
        <v>18896</v>
      </c>
      <c r="B10878" t="s">
        <v>6878</v>
      </c>
      <c r="C10878" s="1" t="str">
        <f>HYPERLINK("http://www.genecards.org/cgi-bin/carddisp.pl?gene=ANXA11","GeneCards")</f>
        <v>GeneCards</v>
      </c>
      <c r="D10878" s="1" t="str">
        <f>HYPERLINK("http://genome-euro.ucsc.edu/cgi-bin/hgTracks?position=206200_s_at","UCSC")</f>
        <v>UCSC</v>
      </c>
      <c r="E10878" s="1" t="str">
        <f>HYPERLINK("http://www.ncbi.nlm.nih.gov/gene/?term=ANXA11","NCBI")</f>
        <v>NCBI</v>
      </c>
      <c r="F10878">
        <v>0.26</v>
      </c>
      <c r="G10878">
        <v>0.4</v>
      </c>
      <c r="H10878" s="1" t="str">
        <f>HYPERLINK("http://www.weizmann.ac.il/complex/compphys/software/geview/data/figures/206200_s_at.png","Figure")</f>
        <v>Figure</v>
      </c>
      <c r="I10878">
        <v>0.81100000000000005</v>
      </c>
      <c r="J10878">
        <v>0.46</v>
      </c>
      <c r="K10878">
        <v>1.07</v>
      </c>
      <c r="L10878">
        <v>0.9</v>
      </c>
      <c r="M10878">
        <v>1.32</v>
      </c>
      <c r="N10878">
        <v>0.23</v>
      </c>
    </row>
    <row r="10879" spans="1:14" x14ac:dyDescent="0.25">
      <c r="A10879" t="s">
        <v>18897</v>
      </c>
      <c r="B10879" t="s">
        <v>342</v>
      </c>
      <c r="C10879" s="1" t="str">
        <f>HYPERLINK("http://www.genecards.org/cgi-bin/carddisp.pl?gene=SRP72","GeneCards")</f>
        <v>GeneCards</v>
      </c>
      <c r="D10879" s="1" t="str">
        <f>HYPERLINK("http://genome-euro.ucsc.edu/cgi-bin/hgTracks?position=208803_s_at","UCSC")</f>
        <v>UCSC</v>
      </c>
      <c r="E10879" s="1" t="str">
        <f>HYPERLINK("http://www.ncbi.nlm.nih.gov/gene/?term=SRP72","NCBI")</f>
        <v>NCBI</v>
      </c>
      <c r="F10879">
        <v>0.26</v>
      </c>
      <c r="G10879">
        <v>0.4</v>
      </c>
      <c r="H10879" s="1" t="str">
        <f>HYPERLINK("http://www.weizmann.ac.il/complex/compphys/software/geview/data/figures/208803_s_at.png","Figure")</f>
        <v>Figure</v>
      </c>
      <c r="I10879">
        <v>0.80400000000000005</v>
      </c>
      <c r="J10879">
        <v>0.66</v>
      </c>
      <c r="K10879">
        <v>1.2</v>
      </c>
      <c r="L10879">
        <v>0.68</v>
      </c>
      <c r="M10879">
        <v>1.5</v>
      </c>
      <c r="N10879">
        <v>0.23</v>
      </c>
    </row>
    <row r="10880" spans="1:14" x14ac:dyDescent="0.25">
      <c r="A10880" t="s">
        <v>18898</v>
      </c>
      <c r="B10880" t="s">
        <v>2687</v>
      </c>
      <c r="C10880" s="1" t="str">
        <f>HYPERLINK("http://www.genecards.org/cgi-bin/carddisp.pl?gene=RUNX1","GeneCards")</f>
        <v>GeneCards</v>
      </c>
      <c r="D10880" s="1" t="str">
        <f>HYPERLINK("http://genome-euro.ucsc.edu/cgi-bin/hgTracks?position=209360_s_at","UCSC")</f>
        <v>UCSC</v>
      </c>
      <c r="E10880" s="1" t="str">
        <f>HYPERLINK("http://www.ncbi.nlm.nih.gov/gene/?term=RUNX1","NCBI")</f>
        <v>NCBI</v>
      </c>
      <c r="F10880">
        <v>0.26</v>
      </c>
      <c r="G10880">
        <v>0.4</v>
      </c>
      <c r="H10880" s="1" t="str">
        <f>HYPERLINK("http://www.weizmann.ac.il/complex/compphys/software/geview/data/figures/209360_s_at.png","Figure")</f>
        <v>Figure</v>
      </c>
      <c r="I10880">
        <v>1.69</v>
      </c>
      <c r="J10880">
        <v>0.24</v>
      </c>
      <c r="K10880">
        <v>1.38</v>
      </c>
      <c r="L10880">
        <v>0.48</v>
      </c>
      <c r="M10880">
        <v>0.81399999999999995</v>
      </c>
      <c r="N10880">
        <v>0.76</v>
      </c>
    </row>
    <row r="10881" spans="1:14" x14ac:dyDescent="0.25">
      <c r="A10881" t="s">
        <v>18899</v>
      </c>
      <c r="B10881" t="s">
        <v>18900</v>
      </c>
      <c r="C10881" s="1" t="str">
        <f>HYPERLINK("http://www.genecards.org/cgi-bin/carddisp.pl?gene=CDR2","GeneCards")</f>
        <v>GeneCards</v>
      </c>
      <c r="D10881" s="1" t="str">
        <f>HYPERLINK("http://genome-euro.ucsc.edu/cgi-bin/hgTracks?position=209501_at","UCSC")</f>
        <v>UCSC</v>
      </c>
      <c r="E10881" s="1" t="str">
        <f>HYPERLINK("http://www.ncbi.nlm.nih.gov/gene/?term=CDR2","NCBI")</f>
        <v>NCBI</v>
      </c>
      <c r="F10881">
        <v>0.26</v>
      </c>
      <c r="G10881">
        <v>0.4</v>
      </c>
      <c r="H10881" s="1" t="str">
        <f>HYPERLINK("http://www.weizmann.ac.il/complex/compphys/software/geview/data/figures/209501_at.png","Figure")</f>
        <v>Figure</v>
      </c>
      <c r="I10881">
        <v>1.02</v>
      </c>
      <c r="J10881">
        <v>1</v>
      </c>
      <c r="K10881">
        <v>0.68</v>
      </c>
      <c r="L10881">
        <v>0.34</v>
      </c>
      <c r="M10881">
        <v>0.66400000000000003</v>
      </c>
      <c r="N10881">
        <v>0.35</v>
      </c>
    </row>
    <row r="10882" spans="1:14" x14ac:dyDescent="0.25">
      <c r="A10882" t="s">
        <v>18901</v>
      </c>
      <c r="B10882" t="s">
        <v>3454</v>
      </c>
      <c r="C10882" s="1" t="str">
        <f>HYPERLINK("http://www.genecards.org/cgi-bin/carddisp.pl?gene=C19orf42","GeneCards")</f>
        <v>GeneCards</v>
      </c>
      <c r="D10882" s="1" t="str">
        <f>HYPERLINK("http://genome-euro.ucsc.edu/cgi-bin/hgTracks?position=221988_at","UCSC")</f>
        <v>UCSC</v>
      </c>
      <c r="E10882" s="1" t="str">
        <f>HYPERLINK("http://www.ncbi.nlm.nih.gov/gene/?term=C19orf42","NCBI")</f>
        <v>NCBI</v>
      </c>
      <c r="F10882">
        <v>0.26</v>
      </c>
      <c r="G10882">
        <v>0.4</v>
      </c>
      <c r="H10882" s="1" t="str">
        <f>HYPERLINK("http://www.weizmann.ac.il/complex/compphys/software/geview/data/figures/221988_at.png","Figure")</f>
        <v>Figure</v>
      </c>
      <c r="I10882">
        <v>0.72099999999999997</v>
      </c>
      <c r="J10882">
        <v>0.23</v>
      </c>
      <c r="K10882">
        <v>0.85299999999999998</v>
      </c>
      <c r="L10882">
        <v>0.61</v>
      </c>
      <c r="M10882">
        <v>1.18</v>
      </c>
      <c r="N10882">
        <v>0.61</v>
      </c>
    </row>
    <row r="10883" spans="1:14" x14ac:dyDescent="0.25">
      <c r="A10883" t="s">
        <v>18902</v>
      </c>
      <c r="B10883" t="s">
        <v>18903</v>
      </c>
      <c r="C10883" s="1" t="str">
        <f>HYPERLINK("http://www.genecards.org/cgi-bin/carddisp.pl?gene=TCP1","GeneCards")</f>
        <v>GeneCards</v>
      </c>
      <c r="D10883" s="1" t="str">
        <f>HYPERLINK("http://genome-euro.ucsc.edu/cgi-bin/hgTracks?position=222011_s_at","UCSC")</f>
        <v>UCSC</v>
      </c>
      <c r="E10883" s="1" t="str">
        <f>HYPERLINK("http://www.ncbi.nlm.nih.gov/gene/?term=TCP1","NCBI")</f>
        <v>NCBI</v>
      </c>
      <c r="F10883">
        <v>0.26</v>
      </c>
      <c r="G10883">
        <v>0.4</v>
      </c>
      <c r="H10883" s="1" t="str">
        <f>HYPERLINK("http://www.weizmann.ac.il/complex/compphys/software/geview/data/figures/222011_s_at.png","Figure")</f>
        <v>Figure</v>
      </c>
      <c r="I10883">
        <v>0.64400000000000002</v>
      </c>
      <c r="J10883">
        <v>0.24</v>
      </c>
      <c r="K10883">
        <v>0.872</v>
      </c>
      <c r="L10883">
        <v>0.82</v>
      </c>
      <c r="M10883">
        <v>1.35</v>
      </c>
      <c r="N10883">
        <v>0.44</v>
      </c>
    </row>
    <row r="10884" spans="1:14" x14ac:dyDescent="0.25">
      <c r="A10884" t="s">
        <v>18904</v>
      </c>
      <c r="B10884" t="s">
        <v>18905</v>
      </c>
      <c r="C10884" s="1" t="str">
        <f>HYPERLINK("http://www.genecards.org/cgi-bin/carddisp.pl?gene=TBX10","GeneCards")</f>
        <v>GeneCards</v>
      </c>
      <c r="D10884" s="1" t="str">
        <f>HYPERLINK("http://genome-euro.ucsc.edu/cgi-bin/hgTracks?position=222377_at","UCSC")</f>
        <v>UCSC</v>
      </c>
      <c r="E10884" s="1" t="str">
        <f>HYPERLINK("http://www.ncbi.nlm.nih.gov/gene/?term=TBX10","NCBI")</f>
        <v>NCBI</v>
      </c>
      <c r="F10884">
        <v>0.26</v>
      </c>
      <c r="G10884">
        <v>0.4</v>
      </c>
      <c r="H10884" s="1" t="str">
        <f>HYPERLINK("http://www.weizmann.ac.il/complex/compphys/software/geview/data/figures/222377_at.png","Figure")</f>
        <v>Figure</v>
      </c>
      <c r="I10884">
        <v>1.17</v>
      </c>
      <c r="J10884">
        <v>0.27</v>
      </c>
      <c r="K10884">
        <v>1.03</v>
      </c>
      <c r="L10884">
        <v>0.95</v>
      </c>
      <c r="M10884">
        <v>0.88</v>
      </c>
      <c r="N10884">
        <v>0.34</v>
      </c>
    </row>
    <row r="10885" spans="1:14" x14ac:dyDescent="0.25">
      <c r="A10885" t="s">
        <v>18906</v>
      </c>
      <c r="B10885" t="s">
        <v>18907</v>
      </c>
      <c r="C10885" s="1" t="str">
        <f>HYPERLINK("http://www.genecards.org/cgi-bin/carddisp.pl?gene=ASTE1","GeneCards")</f>
        <v>GeneCards</v>
      </c>
      <c r="D10885" s="1" t="str">
        <f>HYPERLINK("http://genome-euro.ucsc.edu/cgi-bin/hgTracks?position=221135_s_at","UCSC")</f>
        <v>UCSC</v>
      </c>
      <c r="E10885" s="1" t="str">
        <f>HYPERLINK("http://www.ncbi.nlm.nih.gov/gene/?term=ASTE1","NCBI")</f>
        <v>NCBI</v>
      </c>
      <c r="F10885">
        <v>0.26</v>
      </c>
      <c r="G10885">
        <v>0.4</v>
      </c>
      <c r="H10885" s="1" t="str">
        <f>HYPERLINK("http://www.weizmann.ac.il/complex/compphys/software/geview/data/figures/221135_s_at.png","Figure")</f>
        <v>Figure</v>
      </c>
      <c r="I10885">
        <v>1.0900000000000001</v>
      </c>
      <c r="J10885">
        <v>0.79</v>
      </c>
      <c r="K10885">
        <v>0.88700000000000001</v>
      </c>
      <c r="L10885">
        <v>0.56000000000000005</v>
      </c>
      <c r="M10885">
        <v>0.81299999999999994</v>
      </c>
      <c r="N10885">
        <v>0.25</v>
      </c>
    </row>
    <row r="10886" spans="1:14" x14ac:dyDescent="0.25">
      <c r="A10886" t="s">
        <v>18908</v>
      </c>
      <c r="B10886" t="s">
        <v>5572</v>
      </c>
      <c r="C10886" s="1" t="str">
        <f>HYPERLINK("http://www.genecards.org/cgi-bin/carddisp.pl?gene=SIPA1L1","GeneCards")</f>
        <v>GeneCards</v>
      </c>
      <c r="D10886" s="1" t="str">
        <f>HYPERLINK("http://genome-euro.ucsc.edu/cgi-bin/hgTracks?position=202255_s_at","UCSC")</f>
        <v>UCSC</v>
      </c>
      <c r="E10886" s="1" t="str">
        <f>HYPERLINK("http://www.ncbi.nlm.nih.gov/gene/?term=SIPA1L1","NCBI")</f>
        <v>NCBI</v>
      </c>
      <c r="F10886">
        <v>0.26</v>
      </c>
      <c r="G10886">
        <v>0.4</v>
      </c>
      <c r="H10886" s="1" t="str">
        <f>HYPERLINK("http://www.weizmann.ac.il/complex/compphys/software/geview/data/figures/202255_s_at.png","Figure")</f>
        <v>Figure</v>
      </c>
      <c r="I10886">
        <v>1.1499999999999999</v>
      </c>
      <c r="J10886">
        <v>0.69</v>
      </c>
      <c r="K10886">
        <v>0.873</v>
      </c>
      <c r="L10886">
        <v>0.65</v>
      </c>
      <c r="M10886">
        <v>0.75700000000000001</v>
      </c>
      <c r="N10886">
        <v>0.23</v>
      </c>
    </row>
    <row r="10887" spans="1:14" x14ac:dyDescent="0.25">
      <c r="A10887" t="s">
        <v>18909</v>
      </c>
      <c r="B10887" s="3">
        <v>42622</v>
      </c>
      <c r="C10887" s="1" t="str">
        <f>HYPERLINK("http://www.genecards.org/cgi-bin/carddisp.pl?gene=9-Sep","GeneCards")</f>
        <v>GeneCards</v>
      </c>
      <c r="D10887" s="1" t="str">
        <f>HYPERLINK("http://genome-euro.ucsc.edu/cgi-bin/hgTracks?position=41220_at","UCSC")</f>
        <v>UCSC</v>
      </c>
      <c r="E10887" s="1" t="str">
        <f>HYPERLINK("http://www.ncbi.nlm.nih.gov/gene/?term=9-Sep","NCBI")</f>
        <v>NCBI</v>
      </c>
      <c r="F10887">
        <v>0.26</v>
      </c>
      <c r="G10887">
        <v>0.4</v>
      </c>
      <c r="H10887" s="1" t="str">
        <f>HYPERLINK("http://www.weizmann.ac.il/complex/compphys/software/geview/data/figures/41220_at.png","Figure")</f>
        <v>Figure</v>
      </c>
      <c r="I10887">
        <v>0.74199999999999999</v>
      </c>
      <c r="J10887">
        <v>0.32</v>
      </c>
      <c r="K10887">
        <v>0.99399999999999999</v>
      </c>
      <c r="L10887">
        <v>1</v>
      </c>
      <c r="M10887">
        <v>1.34</v>
      </c>
      <c r="N10887">
        <v>0.28999999999999998</v>
      </c>
    </row>
    <row r="10888" spans="1:14" x14ac:dyDescent="0.25">
      <c r="A10888" t="s">
        <v>18910</v>
      </c>
      <c r="B10888" t="s">
        <v>18911</v>
      </c>
      <c r="C10888" s="1" t="str">
        <f>HYPERLINK("http://www.genecards.org/cgi-bin/carddisp.pl?gene=MBD1","GeneCards")</f>
        <v>GeneCards</v>
      </c>
      <c r="D10888" s="1" t="str">
        <f>HYPERLINK("http://genome-euro.ucsc.edu/cgi-bin/hgTracks?position=208595_s_at","UCSC")</f>
        <v>UCSC</v>
      </c>
      <c r="E10888" s="1" t="str">
        <f>HYPERLINK("http://www.ncbi.nlm.nih.gov/gene/?term=MBD1","NCBI")</f>
        <v>NCBI</v>
      </c>
      <c r="F10888">
        <v>0.26</v>
      </c>
      <c r="G10888">
        <v>0.4</v>
      </c>
      <c r="H10888" s="1" t="str">
        <f>HYPERLINK("http://www.weizmann.ac.il/complex/compphys/software/geview/data/figures/208595_s_at.png","Figure")</f>
        <v>Figure</v>
      </c>
      <c r="I10888">
        <v>1.04</v>
      </c>
      <c r="J10888">
        <v>0.9</v>
      </c>
      <c r="K10888">
        <v>0.91600000000000004</v>
      </c>
      <c r="L10888">
        <v>0.46</v>
      </c>
      <c r="M10888">
        <v>0.88300000000000001</v>
      </c>
      <c r="N10888">
        <v>0.27</v>
      </c>
    </row>
    <row r="10889" spans="1:14" x14ac:dyDescent="0.25">
      <c r="A10889" t="s">
        <v>18912</v>
      </c>
      <c r="B10889" t="s">
        <v>18913</v>
      </c>
      <c r="C10889" s="1" t="str">
        <f>HYPERLINK("http://www.genecards.org/cgi-bin/carddisp.pl?gene=CALR","GeneCards")</f>
        <v>GeneCards</v>
      </c>
      <c r="D10889" s="1" t="str">
        <f>HYPERLINK("http://genome-euro.ucsc.edu/cgi-bin/hgTracks?position=200935_at","UCSC")</f>
        <v>UCSC</v>
      </c>
      <c r="E10889" s="1" t="str">
        <f>HYPERLINK("http://www.ncbi.nlm.nih.gov/gene/?term=CALR","NCBI")</f>
        <v>NCBI</v>
      </c>
      <c r="F10889">
        <v>0.26</v>
      </c>
      <c r="G10889">
        <v>0.4</v>
      </c>
      <c r="H10889" s="1" t="str">
        <f>HYPERLINK("http://www.weizmann.ac.il/complex/compphys/software/geview/data/figures/200935_at.png","Figure")</f>
        <v>Figure</v>
      </c>
      <c r="I10889">
        <v>1.05</v>
      </c>
      <c r="J10889">
        <v>0.89</v>
      </c>
      <c r="K10889">
        <v>1.1499999999999999</v>
      </c>
      <c r="L10889">
        <v>0.25</v>
      </c>
      <c r="M10889">
        <v>1.1000000000000001</v>
      </c>
      <c r="N10889">
        <v>0.55000000000000004</v>
      </c>
    </row>
    <row r="10890" spans="1:14" x14ac:dyDescent="0.25">
      <c r="A10890" t="s">
        <v>18914</v>
      </c>
      <c r="B10890" t="s">
        <v>18915</v>
      </c>
      <c r="C10890" s="1" t="str">
        <f>HYPERLINK("http://www.genecards.org/cgi-bin/carddisp.pl?gene=TPD52","GeneCards")</f>
        <v>GeneCards</v>
      </c>
      <c r="D10890" s="1" t="str">
        <f>HYPERLINK("http://genome-euro.ucsc.edu/cgi-bin/hgTracks?position=201690_s_at","UCSC")</f>
        <v>UCSC</v>
      </c>
      <c r="E10890" s="1" t="str">
        <f>HYPERLINK("http://www.ncbi.nlm.nih.gov/gene/?term=TPD52","NCBI")</f>
        <v>NCBI</v>
      </c>
      <c r="F10890">
        <v>0.26</v>
      </c>
      <c r="G10890">
        <v>0.4</v>
      </c>
      <c r="H10890" s="1" t="str">
        <f>HYPERLINK("http://www.weizmann.ac.il/complex/compphys/software/geview/data/figures/201690_s_at.png","Figure")</f>
        <v>Figure</v>
      </c>
      <c r="I10890">
        <v>1.57</v>
      </c>
      <c r="J10890">
        <v>0.63</v>
      </c>
      <c r="K10890">
        <v>0.71299999999999997</v>
      </c>
      <c r="L10890">
        <v>0.71</v>
      </c>
      <c r="M10890">
        <v>0.45400000000000001</v>
      </c>
      <c r="N10890">
        <v>0.23</v>
      </c>
    </row>
    <row r="10891" spans="1:14" x14ac:dyDescent="0.25">
      <c r="A10891" t="s">
        <v>18916</v>
      </c>
      <c r="B10891" t="s">
        <v>18917</v>
      </c>
      <c r="C10891" s="1" t="str">
        <f>HYPERLINK("http://www.genecards.org/cgi-bin/carddisp.pl?gene=CRYAB","GeneCards")</f>
        <v>GeneCards</v>
      </c>
      <c r="D10891" s="1" t="str">
        <f>HYPERLINK("http://genome-euro.ucsc.edu/cgi-bin/hgTracks?position=209283_at","UCSC")</f>
        <v>UCSC</v>
      </c>
      <c r="E10891" s="1" t="str">
        <f>HYPERLINK("http://www.ncbi.nlm.nih.gov/gene/?term=CRYAB","NCBI")</f>
        <v>NCBI</v>
      </c>
      <c r="F10891">
        <v>0.26</v>
      </c>
      <c r="G10891">
        <v>0.4</v>
      </c>
      <c r="H10891" s="1" t="str">
        <f>HYPERLINK("http://www.weizmann.ac.il/complex/compphys/software/geview/data/figures/209283_at.png","Figure")</f>
        <v>Figure</v>
      </c>
      <c r="I10891">
        <v>1.1200000000000001</v>
      </c>
      <c r="J10891">
        <v>0.27</v>
      </c>
      <c r="K10891">
        <v>1.02</v>
      </c>
      <c r="L10891">
        <v>0.96</v>
      </c>
      <c r="M10891">
        <v>0.90600000000000003</v>
      </c>
      <c r="N10891">
        <v>0.34</v>
      </c>
    </row>
    <row r="10892" spans="1:14" x14ac:dyDescent="0.25">
      <c r="A10892" t="s">
        <v>18918</v>
      </c>
      <c r="B10892" t="s">
        <v>18919</v>
      </c>
      <c r="C10892" s="1" t="str">
        <f>HYPERLINK("http://www.genecards.org/cgi-bin/carddisp.pl?gene=LUZP1","GeneCards")</f>
        <v>GeneCards</v>
      </c>
      <c r="D10892" s="1" t="str">
        <f>HYPERLINK("http://genome-euro.ucsc.edu/cgi-bin/hgTracks?position=221832_s_at","UCSC")</f>
        <v>UCSC</v>
      </c>
      <c r="E10892" s="1" t="str">
        <f>HYPERLINK("http://www.ncbi.nlm.nih.gov/gene/?term=LUZP1","NCBI")</f>
        <v>NCBI</v>
      </c>
      <c r="F10892">
        <v>0.26</v>
      </c>
      <c r="G10892">
        <v>0.4</v>
      </c>
      <c r="H10892" s="1" t="str">
        <f>HYPERLINK("http://www.weizmann.ac.il/complex/compphys/software/geview/data/figures/221832_s_at.png","Figure")</f>
        <v>Figure</v>
      </c>
      <c r="I10892">
        <v>0.60799999999999998</v>
      </c>
      <c r="J10892">
        <v>0.23</v>
      </c>
      <c r="K10892">
        <v>0.83899999999999997</v>
      </c>
      <c r="L10892">
        <v>0.77</v>
      </c>
      <c r="M10892">
        <v>1.38</v>
      </c>
      <c r="N10892">
        <v>0.48</v>
      </c>
    </row>
    <row r="10893" spans="1:14" x14ac:dyDescent="0.25">
      <c r="A10893" t="s">
        <v>18920</v>
      </c>
      <c r="B10893" t="s">
        <v>18921</v>
      </c>
      <c r="C10893" s="1" t="str">
        <f>HYPERLINK("http://www.genecards.org/cgi-bin/carddisp.pl?gene=RPS2","GeneCards")</f>
        <v>GeneCards</v>
      </c>
      <c r="D10893" s="1" t="str">
        <f>HYPERLINK("http://genome-euro.ucsc.edu/cgi-bin/hgTracks?position=203107_x_at","UCSC")</f>
        <v>UCSC</v>
      </c>
      <c r="E10893" s="1" t="str">
        <f>HYPERLINK("http://www.ncbi.nlm.nih.gov/gene/?term=RPS2","NCBI")</f>
        <v>NCBI</v>
      </c>
      <c r="F10893">
        <v>0.26</v>
      </c>
      <c r="G10893">
        <v>0.4</v>
      </c>
      <c r="H10893" s="1" t="str">
        <f>HYPERLINK("http://www.weizmann.ac.il/complex/compphys/software/geview/data/figures/203107_x_at.png","Figure")</f>
        <v>Figure</v>
      </c>
      <c r="I10893">
        <v>0.93600000000000005</v>
      </c>
      <c r="J10893">
        <v>0.8</v>
      </c>
      <c r="K10893">
        <v>1.1000000000000001</v>
      </c>
      <c r="L10893">
        <v>0.55000000000000004</v>
      </c>
      <c r="M10893">
        <v>1.17</v>
      </c>
      <c r="N10893">
        <v>0.25</v>
      </c>
    </row>
    <row r="10894" spans="1:14" x14ac:dyDescent="0.25">
      <c r="A10894" t="s">
        <v>18922</v>
      </c>
      <c r="B10894" t="s">
        <v>17530</v>
      </c>
      <c r="C10894" s="1" t="str">
        <f>HYPERLINK("http://www.genecards.org/cgi-bin/carddisp.pl?gene=TSR1","GeneCards")</f>
        <v>GeneCards</v>
      </c>
      <c r="D10894" s="1" t="str">
        <f>HYPERLINK("http://genome-euro.ucsc.edu/cgi-bin/hgTracks?position=221987_s_at","UCSC")</f>
        <v>UCSC</v>
      </c>
      <c r="E10894" s="1" t="str">
        <f>HYPERLINK("http://www.ncbi.nlm.nih.gov/gene/?term=TSR1","NCBI")</f>
        <v>NCBI</v>
      </c>
      <c r="F10894">
        <v>0.26</v>
      </c>
      <c r="G10894">
        <v>0.4</v>
      </c>
      <c r="H10894" s="1" t="str">
        <f>HYPERLINK("http://www.weizmann.ac.il/complex/compphys/software/geview/data/figures/221987_s_at.png","Figure")</f>
        <v>Figure</v>
      </c>
      <c r="I10894">
        <v>0.98899999999999999</v>
      </c>
      <c r="J10894">
        <v>0.96</v>
      </c>
      <c r="K10894">
        <v>1.05</v>
      </c>
      <c r="L10894">
        <v>0.41</v>
      </c>
      <c r="M10894">
        <v>1.06</v>
      </c>
      <c r="N10894">
        <v>0.3</v>
      </c>
    </row>
    <row r="10895" spans="1:14" x14ac:dyDescent="0.25">
      <c r="A10895" t="s">
        <v>18923</v>
      </c>
      <c r="B10895" t="s">
        <v>18924</v>
      </c>
      <c r="C10895" s="1" t="str">
        <f>HYPERLINK("http://www.genecards.org/cgi-bin/carddisp.pl?gene=IFT57","GeneCards")</f>
        <v>GeneCards</v>
      </c>
      <c r="D10895" s="1" t="str">
        <f>HYPERLINK("http://genome-euro.ucsc.edu/cgi-bin/hgTracks?position=218100_s_at","UCSC")</f>
        <v>UCSC</v>
      </c>
      <c r="E10895" s="1" t="str">
        <f>HYPERLINK("http://www.ncbi.nlm.nih.gov/gene/?term=IFT57","NCBI")</f>
        <v>NCBI</v>
      </c>
      <c r="F10895">
        <v>0.26</v>
      </c>
      <c r="G10895">
        <v>0.4</v>
      </c>
      <c r="H10895" s="1" t="str">
        <f>HYPERLINK("http://www.weizmann.ac.il/complex/compphys/software/geview/data/figures/218100_s_at.png","Figure")</f>
        <v>Figure</v>
      </c>
      <c r="I10895">
        <v>0.73299999999999998</v>
      </c>
      <c r="J10895">
        <v>0.59</v>
      </c>
      <c r="K10895">
        <v>0.625</v>
      </c>
      <c r="L10895">
        <v>0.23</v>
      </c>
      <c r="M10895">
        <v>0.85299999999999998</v>
      </c>
      <c r="N10895">
        <v>0.85</v>
      </c>
    </row>
    <row r="10896" spans="1:14" x14ac:dyDescent="0.25">
      <c r="A10896" t="s">
        <v>18925</v>
      </c>
      <c r="B10896" t="s">
        <v>8851</v>
      </c>
      <c r="C10896" s="1" t="str">
        <f>HYPERLINK("http://www.genecards.org/cgi-bin/carddisp.pl?gene=KIDINS220","GeneCards")</f>
        <v>GeneCards</v>
      </c>
      <c r="D10896" s="1" t="str">
        <f>HYPERLINK("http://genome-euro.ucsc.edu/cgi-bin/hgTracks?position=212163_at","UCSC")</f>
        <v>UCSC</v>
      </c>
      <c r="E10896" s="1" t="str">
        <f>HYPERLINK("http://www.ncbi.nlm.nih.gov/gene/?term=KIDINS220","NCBI")</f>
        <v>NCBI</v>
      </c>
      <c r="F10896">
        <v>0.26</v>
      </c>
      <c r="G10896">
        <v>0.4</v>
      </c>
      <c r="H10896" s="1" t="str">
        <f>HYPERLINK("http://www.weizmann.ac.il/complex/compphys/software/geview/data/figures/212163_at.png","Figure")</f>
        <v>Figure</v>
      </c>
      <c r="I10896">
        <v>0.627</v>
      </c>
      <c r="J10896">
        <v>0.24</v>
      </c>
      <c r="K10896">
        <v>0.86</v>
      </c>
      <c r="L10896">
        <v>0.8</v>
      </c>
      <c r="M10896">
        <v>1.37</v>
      </c>
      <c r="N10896">
        <v>0.45</v>
      </c>
    </row>
    <row r="10897" spans="1:14" x14ac:dyDescent="0.25">
      <c r="A10897" t="s">
        <v>18926</v>
      </c>
      <c r="B10897" t="s">
        <v>18927</v>
      </c>
      <c r="C10897" s="1" t="str">
        <f>HYPERLINK("http://www.genecards.org/cgi-bin/carddisp.pl?gene=STMN4","GeneCards")</f>
        <v>GeneCards</v>
      </c>
      <c r="D10897" s="1" t="str">
        <f>HYPERLINK("http://genome-euro.ucsc.edu/cgi-bin/hgTracks?position=221236_s_at","UCSC")</f>
        <v>UCSC</v>
      </c>
      <c r="E10897" s="1" t="str">
        <f>HYPERLINK("http://www.ncbi.nlm.nih.gov/gene/?term=STMN4","NCBI")</f>
        <v>NCBI</v>
      </c>
      <c r="F10897">
        <v>0.26</v>
      </c>
      <c r="G10897">
        <v>0.4</v>
      </c>
      <c r="H10897" s="1" t="str">
        <f>HYPERLINK("http://www.weizmann.ac.il/complex/compphys/software/geview/data/figures/221236_s_at.png","Figure")</f>
        <v>Figure</v>
      </c>
      <c r="I10897">
        <v>1.1000000000000001</v>
      </c>
      <c r="J10897">
        <v>0.42</v>
      </c>
      <c r="K10897">
        <v>0.97899999999999998</v>
      </c>
      <c r="L10897">
        <v>0.94</v>
      </c>
      <c r="M10897">
        <v>0.89400000000000002</v>
      </c>
      <c r="N10897">
        <v>0.24</v>
      </c>
    </row>
    <row r="10898" spans="1:14" x14ac:dyDescent="0.25">
      <c r="A10898" t="s">
        <v>18928</v>
      </c>
      <c r="B10898" t="s">
        <v>6495</v>
      </c>
      <c r="C10898" s="1" t="str">
        <f>HYPERLINK("http://www.genecards.org/cgi-bin/carddisp.pl?gene=MYCBP","GeneCards")</f>
        <v>GeneCards</v>
      </c>
      <c r="D10898" s="1" t="str">
        <f>HYPERLINK("http://genome-euro.ucsc.edu/cgi-bin/hgTracks?position=203360_s_at","UCSC")</f>
        <v>UCSC</v>
      </c>
      <c r="E10898" s="1" t="str">
        <f>HYPERLINK("http://www.ncbi.nlm.nih.gov/gene/?term=MYCBP","NCBI")</f>
        <v>NCBI</v>
      </c>
      <c r="F10898">
        <v>0.26</v>
      </c>
      <c r="G10898">
        <v>0.4</v>
      </c>
      <c r="H10898" s="1" t="str">
        <f>HYPERLINK("http://www.weizmann.ac.il/complex/compphys/software/geview/data/figures/203360_s_at.png","Figure")</f>
        <v>Figure</v>
      </c>
      <c r="I10898">
        <v>1.08</v>
      </c>
      <c r="J10898">
        <v>0.67</v>
      </c>
      <c r="K10898">
        <v>1.1399999999999999</v>
      </c>
      <c r="L10898">
        <v>0.23</v>
      </c>
      <c r="M10898">
        <v>1.06</v>
      </c>
      <c r="N10898">
        <v>0.77</v>
      </c>
    </row>
    <row r="10899" spans="1:14" x14ac:dyDescent="0.25">
      <c r="A10899" t="s">
        <v>18929</v>
      </c>
      <c r="B10899" t="s">
        <v>18930</v>
      </c>
      <c r="C10899" s="1" t="str">
        <f>HYPERLINK("http://www.genecards.org/cgi-bin/carddisp.pl?gene=DMD","GeneCards")</f>
        <v>GeneCards</v>
      </c>
      <c r="D10899" s="1" t="str">
        <f>HYPERLINK("http://genome-euro.ucsc.edu/cgi-bin/hgTracks?position=207660_at","UCSC")</f>
        <v>UCSC</v>
      </c>
      <c r="E10899" s="1" t="str">
        <f>HYPERLINK("http://www.ncbi.nlm.nih.gov/gene/?term=DMD","NCBI")</f>
        <v>NCBI</v>
      </c>
      <c r="F10899">
        <v>0.26</v>
      </c>
      <c r="G10899">
        <v>0.4</v>
      </c>
      <c r="H10899" s="1" t="str">
        <f>HYPERLINK("http://www.weizmann.ac.il/complex/compphys/software/geview/data/figures/207660_at.png","Figure")</f>
        <v>Figure</v>
      </c>
      <c r="I10899">
        <v>1.08</v>
      </c>
      <c r="J10899">
        <v>0.77</v>
      </c>
      <c r="K10899">
        <v>0.90700000000000003</v>
      </c>
      <c r="L10899">
        <v>0.57999999999999996</v>
      </c>
      <c r="M10899">
        <v>0.84</v>
      </c>
      <c r="N10899">
        <v>0.25</v>
      </c>
    </row>
    <row r="10900" spans="1:14" x14ac:dyDescent="0.25">
      <c r="A10900" t="s">
        <v>18931</v>
      </c>
      <c r="B10900" t="s">
        <v>10673</v>
      </c>
      <c r="C10900" s="1" t="str">
        <f>HYPERLINK("http://www.genecards.org/cgi-bin/carddisp.pl?gene=MAPK9","GeneCards")</f>
        <v>GeneCards</v>
      </c>
      <c r="D10900" s="1" t="str">
        <f>HYPERLINK("http://genome-euro.ucsc.edu/cgi-bin/hgTracks?position=210570_x_at","UCSC")</f>
        <v>UCSC</v>
      </c>
      <c r="E10900" s="1" t="str">
        <f>HYPERLINK("http://www.ncbi.nlm.nih.gov/gene/?term=MAPK9","NCBI")</f>
        <v>NCBI</v>
      </c>
      <c r="F10900">
        <v>0.26</v>
      </c>
      <c r="G10900">
        <v>0.4</v>
      </c>
      <c r="H10900" s="1" t="str">
        <f>HYPERLINK("http://www.weizmann.ac.il/complex/compphys/software/geview/data/figures/210570_x_at.png","Figure")</f>
        <v>Figure</v>
      </c>
      <c r="I10900">
        <v>0.95799999999999996</v>
      </c>
      <c r="J10900">
        <v>0.92</v>
      </c>
      <c r="K10900">
        <v>1.1299999999999999</v>
      </c>
      <c r="L10900">
        <v>0.44</v>
      </c>
      <c r="M10900">
        <v>1.18</v>
      </c>
      <c r="N10900">
        <v>0.28000000000000003</v>
      </c>
    </row>
    <row r="10901" spans="1:14" x14ac:dyDescent="0.25">
      <c r="A10901" t="s">
        <v>18932</v>
      </c>
      <c r="B10901" t="s">
        <v>17363</v>
      </c>
      <c r="C10901" s="1" t="str">
        <f>HYPERLINK("http://www.genecards.org/cgi-bin/carddisp.pl?gene=PHIP","GeneCards")</f>
        <v>GeneCards</v>
      </c>
      <c r="D10901" s="1" t="str">
        <f>HYPERLINK("http://genome-euro.ucsc.edu/cgi-bin/hgTracks?position=213074_at","UCSC")</f>
        <v>UCSC</v>
      </c>
      <c r="E10901" s="1" t="str">
        <f>HYPERLINK("http://www.ncbi.nlm.nih.gov/gene/?term=PHIP","NCBI")</f>
        <v>NCBI</v>
      </c>
      <c r="F10901">
        <v>0.26</v>
      </c>
      <c r="G10901">
        <v>0.4</v>
      </c>
      <c r="H10901" s="1" t="str">
        <f>HYPERLINK("http://www.weizmann.ac.il/complex/compphys/software/geview/data/figures/213074_at.png","Figure")</f>
        <v>Figure</v>
      </c>
      <c r="I10901">
        <v>0.78500000000000003</v>
      </c>
      <c r="J10901">
        <v>0.25</v>
      </c>
      <c r="K10901">
        <v>0.85899999999999999</v>
      </c>
      <c r="L10901">
        <v>0.47</v>
      </c>
      <c r="M10901">
        <v>1.1000000000000001</v>
      </c>
      <c r="N10901">
        <v>0.78</v>
      </c>
    </row>
    <row r="10902" spans="1:14" x14ac:dyDescent="0.25">
      <c r="A10902" t="s">
        <v>18933</v>
      </c>
      <c r="B10902" t="s">
        <v>18934</v>
      </c>
      <c r="C10902" s="1" t="str">
        <f>HYPERLINK("http://www.genecards.org/cgi-bin/carddisp.pl?gene=E2F8","GeneCards")</f>
        <v>GeneCards</v>
      </c>
      <c r="D10902" s="1" t="str">
        <f>HYPERLINK("http://genome-euro.ucsc.edu/cgi-bin/hgTracks?position=219990_at","UCSC")</f>
        <v>UCSC</v>
      </c>
      <c r="E10902" s="1" t="str">
        <f>HYPERLINK("http://www.ncbi.nlm.nih.gov/gene/?term=E2F8","NCBI")</f>
        <v>NCBI</v>
      </c>
      <c r="F10902">
        <v>0.26</v>
      </c>
      <c r="G10902">
        <v>0.4</v>
      </c>
      <c r="H10902" s="1" t="str">
        <f>HYPERLINK("http://www.weizmann.ac.il/complex/compphys/software/geview/data/figures/219990_at.png","Figure")</f>
        <v>Figure</v>
      </c>
      <c r="I10902">
        <v>1.18</v>
      </c>
      <c r="J10902">
        <v>0.75</v>
      </c>
      <c r="K10902">
        <v>1.41</v>
      </c>
      <c r="L10902">
        <v>0.23</v>
      </c>
      <c r="M10902">
        <v>1.2</v>
      </c>
      <c r="N10902">
        <v>0.69</v>
      </c>
    </row>
    <row r="10903" spans="1:14" x14ac:dyDescent="0.25">
      <c r="A10903" t="s">
        <v>18935</v>
      </c>
      <c r="B10903" t="s">
        <v>6959</v>
      </c>
      <c r="C10903" s="1" t="str">
        <f>HYPERLINK("http://www.genecards.org/cgi-bin/carddisp.pl?gene=HRASLS2","GeneCards")</f>
        <v>GeneCards</v>
      </c>
      <c r="D10903" s="1" t="str">
        <f>HYPERLINK("http://genome-euro.ucsc.edu/cgi-bin/hgTracks?position=221122_at","UCSC")</f>
        <v>UCSC</v>
      </c>
      <c r="E10903" s="1" t="str">
        <f>HYPERLINK("http://www.ncbi.nlm.nih.gov/gene/?term=HRASLS2","NCBI")</f>
        <v>NCBI</v>
      </c>
      <c r="F10903">
        <v>0.26</v>
      </c>
      <c r="G10903">
        <v>0.4</v>
      </c>
      <c r="H10903" s="1" t="str">
        <f>HYPERLINK("http://www.weizmann.ac.il/complex/compphys/software/geview/data/figures/221122_at.png","Figure")</f>
        <v>Figure</v>
      </c>
      <c r="I10903">
        <v>1.03</v>
      </c>
      <c r="J10903">
        <v>0.24</v>
      </c>
      <c r="K10903">
        <v>1.01</v>
      </c>
      <c r="L10903">
        <v>0.85</v>
      </c>
      <c r="M10903">
        <v>0.97799999999999998</v>
      </c>
      <c r="N10903">
        <v>0.42</v>
      </c>
    </row>
    <row r="10904" spans="1:14" x14ac:dyDescent="0.25">
      <c r="A10904" t="s">
        <v>18936</v>
      </c>
      <c r="B10904" t="s">
        <v>18937</v>
      </c>
      <c r="C10904" s="1" t="str">
        <f>HYPERLINK("http://www.genecards.org/cgi-bin/carddisp.pl?gene=TRIAP1","GeneCards")</f>
        <v>GeneCards</v>
      </c>
      <c r="D10904" s="1" t="str">
        <f>HYPERLINK("http://genome-euro.ucsc.edu/cgi-bin/hgTracks?position=218403_at","UCSC")</f>
        <v>UCSC</v>
      </c>
      <c r="E10904" s="1" t="str">
        <f>HYPERLINK("http://www.ncbi.nlm.nih.gov/gene/?term=TRIAP1","NCBI")</f>
        <v>NCBI</v>
      </c>
      <c r="F10904">
        <v>0.26</v>
      </c>
      <c r="G10904">
        <v>0.4</v>
      </c>
      <c r="H10904" s="1" t="str">
        <f>HYPERLINK("http://www.weizmann.ac.il/complex/compphys/software/geview/data/figures/218403_at.png","Figure")</f>
        <v>Figure</v>
      </c>
      <c r="I10904">
        <v>1.03</v>
      </c>
      <c r="J10904">
        <v>0.99</v>
      </c>
      <c r="K10904">
        <v>0.79800000000000004</v>
      </c>
      <c r="L10904">
        <v>0.37</v>
      </c>
      <c r="M10904">
        <v>0.77400000000000002</v>
      </c>
      <c r="N10904">
        <v>0.33</v>
      </c>
    </row>
    <row r="10905" spans="1:14" x14ac:dyDescent="0.25">
      <c r="A10905" t="s">
        <v>18938</v>
      </c>
      <c r="B10905" t="s">
        <v>8104</v>
      </c>
      <c r="C10905" s="1" t="str">
        <f>HYPERLINK("http://www.genecards.org/cgi-bin/carddisp.pl?gene=B4GALT1","GeneCards")</f>
        <v>GeneCards</v>
      </c>
      <c r="D10905" s="1" t="str">
        <f>HYPERLINK("http://genome-euro.ucsc.edu/cgi-bin/hgTracks?position=201883_s_at","UCSC")</f>
        <v>UCSC</v>
      </c>
      <c r="E10905" s="1" t="str">
        <f>HYPERLINK("http://www.ncbi.nlm.nih.gov/gene/?term=B4GALT1","NCBI")</f>
        <v>NCBI</v>
      </c>
      <c r="F10905">
        <v>0.26</v>
      </c>
      <c r="G10905">
        <v>0.4</v>
      </c>
      <c r="H10905" s="1" t="str">
        <f>HYPERLINK("http://www.weizmann.ac.il/complex/compphys/software/geview/data/figures/201883_s_at.png","Figure")</f>
        <v>Figure</v>
      </c>
      <c r="I10905">
        <v>1.43</v>
      </c>
      <c r="J10905">
        <v>0.26</v>
      </c>
      <c r="K10905">
        <v>1.28</v>
      </c>
      <c r="L10905">
        <v>0.41</v>
      </c>
      <c r="M10905">
        <v>0.89900000000000002</v>
      </c>
      <c r="N10905">
        <v>0.86</v>
      </c>
    </row>
    <row r="10906" spans="1:14" x14ac:dyDescent="0.25">
      <c r="A10906" t="s">
        <v>18939</v>
      </c>
      <c r="B10906" t="s">
        <v>18940</v>
      </c>
      <c r="C10906" s="1" t="str">
        <f>HYPERLINK("http://www.genecards.org/cgi-bin/carddisp.pl?gene=IFI6","GeneCards")</f>
        <v>GeneCards</v>
      </c>
      <c r="D10906" s="1" t="str">
        <f>HYPERLINK("http://genome-euro.ucsc.edu/cgi-bin/hgTracks?position=204415_at","UCSC")</f>
        <v>UCSC</v>
      </c>
      <c r="E10906" s="1" t="str">
        <f>HYPERLINK("http://www.ncbi.nlm.nih.gov/gene/?term=IFI6","NCBI")</f>
        <v>NCBI</v>
      </c>
      <c r="F10906">
        <v>0.26</v>
      </c>
      <c r="G10906">
        <v>0.4</v>
      </c>
      <c r="H10906" s="1" t="str">
        <f>HYPERLINK("http://www.weizmann.ac.il/complex/compphys/software/geview/data/figures/204415_at.png","Figure")</f>
        <v>Figure</v>
      </c>
      <c r="I10906">
        <v>0.78700000000000003</v>
      </c>
      <c r="J10906">
        <v>0.54</v>
      </c>
      <c r="K10906">
        <v>0.71699999999999997</v>
      </c>
      <c r="L10906">
        <v>0.24</v>
      </c>
      <c r="M10906">
        <v>0.91100000000000003</v>
      </c>
      <c r="N10906">
        <v>0.9</v>
      </c>
    </row>
    <row r="10907" spans="1:14" x14ac:dyDescent="0.25">
      <c r="A10907" t="s">
        <v>18941</v>
      </c>
      <c r="B10907" t="s">
        <v>18942</v>
      </c>
      <c r="C10907" s="1" t="str">
        <f>HYPERLINK("http://www.genecards.org/cgi-bin/carddisp.pl?gene=GGT1 /// GGT2 /// GGT3P /// GGTLC2 /// GGTLC3","GeneCards")</f>
        <v>GeneCards</v>
      </c>
      <c r="D10907" s="1" t="str">
        <f>HYPERLINK("http://genome-euro.ucsc.edu/cgi-bin/hgTracks?position=215603_x_at","UCSC")</f>
        <v>UCSC</v>
      </c>
      <c r="E10907" s="1" t="str">
        <f>HYPERLINK("http://www.ncbi.nlm.nih.gov/gene/?term=GGT1 /// GGT2 /// GGT3P /// GGTLC2 /// GGTLC3","NCBI")</f>
        <v>NCBI</v>
      </c>
      <c r="F10907">
        <v>0.26</v>
      </c>
      <c r="G10907">
        <v>0.4</v>
      </c>
      <c r="H10907" s="1" t="str">
        <f>HYPERLINK("http://www.weizmann.ac.il/complex/compphys/software/geview/data/figures/215603_x_at.png","Figure")</f>
        <v>Figure</v>
      </c>
      <c r="I10907">
        <v>1.1299999999999999</v>
      </c>
      <c r="J10907">
        <v>0.28999999999999998</v>
      </c>
      <c r="K10907">
        <v>1.1000000000000001</v>
      </c>
      <c r="L10907">
        <v>0.35</v>
      </c>
      <c r="M10907">
        <v>0.97599999999999998</v>
      </c>
      <c r="N10907">
        <v>0.94</v>
      </c>
    </row>
    <row r="10908" spans="1:14" x14ac:dyDescent="0.25">
      <c r="A10908" t="s">
        <v>18943</v>
      </c>
      <c r="B10908" t="s">
        <v>8515</v>
      </c>
      <c r="C10908" s="1" t="str">
        <f>HYPERLINK("http://www.genecards.org/cgi-bin/carddisp.pl?gene=HAP1","GeneCards")</f>
        <v>GeneCards</v>
      </c>
      <c r="D10908" s="1" t="str">
        <f>HYPERLINK("http://genome-euro.ucsc.edu/cgi-bin/hgTracks?position=211222_s_at","UCSC")</f>
        <v>UCSC</v>
      </c>
      <c r="E10908" s="1" t="str">
        <f>HYPERLINK("http://www.ncbi.nlm.nih.gov/gene/?term=HAP1","NCBI")</f>
        <v>NCBI</v>
      </c>
      <c r="F10908">
        <v>0.26</v>
      </c>
      <c r="G10908">
        <v>0.4</v>
      </c>
      <c r="H10908" s="1" t="str">
        <f>HYPERLINK("http://www.weizmann.ac.il/complex/compphys/software/geview/data/figures/211222_s_at.png","Figure")</f>
        <v>Figure</v>
      </c>
      <c r="I10908">
        <v>1.23</v>
      </c>
      <c r="J10908">
        <v>0.37</v>
      </c>
      <c r="K10908">
        <v>0.98</v>
      </c>
      <c r="L10908">
        <v>0.99</v>
      </c>
      <c r="M10908">
        <v>0.79800000000000004</v>
      </c>
      <c r="N10908">
        <v>0.26</v>
      </c>
    </row>
    <row r="10909" spans="1:14" x14ac:dyDescent="0.25">
      <c r="A10909" t="s">
        <v>18944</v>
      </c>
      <c r="B10909" t="s">
        <v>18351</v>
      </c>
      <c r="C10909" s="1" t="str">
        <f>HYPERLINK("http://www.genecards.org/cgi-bin/carddisp.pl?gene=ETNK1","GeneCards")</f>
        <v>GeneCards</v>
      </c>
      <c r="D10909" s="1" t="str">
        <f>HYPERLINK("http://genome-euro.ucsc.edu/cgi-bin/hgTracks?position=219017_at","UCSC")</f>
        <v>UCSC</v>
      </c>
      <c r="E10909" s="1" t="str">
        <f>HYPERLINK("http://www.ncbi.nlm.nih.gov/gene/?term=ETNK1","NCBI")</f>
        <v>NCBI</v>
      </c>
      <c r="F10909">
        <v>0.26</v>
      </c>
      <c r="G10909">
        <v>0.4</v>
      </c>
      <c r="H10909" s="1" t="str">
        <f>HYPERLINK("http://www.weizmann.ac.il/complex/compphys/software/geview/data/figures/219017_at.png","Figure")</f>
        <v>Figure</v>
      </c>
      <c r="I10909">
        <v>0.83199999999999996</v>
      </c>
      <c r="J10909">
        <v>0.44</v>
      </c>
      <c r="K10909">
        <v>1.05</v>
      </c>
      <c r="L10909">
        <v>0.93</v>
      </c>
      <c r="M10909">
        <v>1.26</v>
      </c>
      <c r="N10909">
        <v>0.24</v>
      </c>
    </row>
    <row r="10910" spans="1:14" x14ac:dyDescent="0.25">
      <c r="A10910" t="s">
        <v>18945</v>
      </c>
      <c r="B10910" t="s">
        <v>18946</v>
      </c>
      <c r="C10910" s="1" t="str">
        <f>HYPERLINK("http://www.genecards.org/cgi-bin/carddisp.pl?gene=SETD2","GeneCards")</f>
        <v>GeneCards</v>
      </c>
      <c r="D10910" s="1" t="str">
        <f>HYPERLINK("http://genome-euro.ucsc.edu/cgi-bin/hgTracks?position=220946_s_at","UCSC")</f>
        <v>UCSC</v>
      </c>
      <c r="E10910" s="1" t="str">
        <f>HYPERLINK("http://www.ncbi.nlm.nih.gov/gene/?term=SETD2","NCBI")</f>
        <v>NCBI</v>
      </c>
      <c r="F10910">
        <v>0.26</v>
      </c>
      <c r="G10910">
        <v>0.4</v>
      </c>
      <c r="H10910" s="1" t="str">
        <f>HYPERLINK("http://www.weizmann.ac.il/complex/compphys/software/geview/data/figures/220946_s_at.png","Figure")</f>
        <v>Figure</v>
      </c>
      <c r="I10910">
        <v>1.04</v>
      </c>
      <c r="J10910">
        <v>0.9</v>
      </c>
      <c r="K10910">
        <v>0.91500000000000004</v>
      </c>
      <c r="L10910">
        <v>0.46</v>
      </c>
      <c r="M10910">
        <v>0.88300000000000001</v>
      </c>
      <c r="N10910">
        <v>0.28000000000000003</v>
      </c>
    </row>
    <row r="10911" spans="1:14" x14ac:dyDescent="0.25">
      <c r="A10911" t="s">
        <v>18947</v>
      </c>
      <c r="B10911" t="s">
        <v>18948</v>
      </c>
      <c r="C10911" s="1" t="str">
        <f>HYPERLINK("http://www.genecards.org/cgi-bin/carddisp.pl?gene=IGJ","GeneCards")</f>
        <v>GeneCards</v>
      </c>
      <c r="D10911" s="1" t="str">
        <f>HYPERLINK("http://genome-euro.ucsc.edu/cgi-bin/hgTracks?position=212592_at","UCSC")</f>
        <v>UCSC</v>
      </c>
      <c r="E10911" s="1" t="str">
        <f>HYPERLINK("http://www.ncbi.nlm.nih.gov/gene/?term=IGJ","NCBI")</f>
        <v>NCBI</v>
      </c>
      <c r="F10911">
        <v>0.26</v>
      </c>
      <c r="G10911">
        <v>0.4</v>
      </c>
      <c r="H10911" s="1" t="str">
        <f>HYPERLINK("http://www.weizmann.ac.il/complex/compphys/software/geview/data/figures/212592_at.png","Figure")</f>
        <v>Figure</v>
      </c>
      <c r="I10911">
        <v>0.86</v>
      </c>
      <c r="J10911">
        <v>0.23</v>
      </c>
      <c r="K10911">
        <v>0.92400000000000004</v>
      </c>
      <c r="L10911">
        <v>0.56999999999999995</v>
      </c>
      <c r="M10911">
        <v>1.07</v>
      </c>
      <c r="N10911">
        <v>0.66</v>
      </c>
    </row>
    <row r="10912" spans="1:14" x14ac:dyDescent="0.25">
      <c r="A10912" t="s">
        <v>18949</v>
      </c>
      <c r="B10912" t="s">
        <v>18950</v>
      </c>
      <c r="C10912" s="1" t="str">
        <f>HYPERLINK("http://www.genecards.org/cgi-bin/carddisp.pl?gene=HELLS","GeneCards")</f>
        <v>GeneCards</v>
      </c>
      <c r="D10912" s="1" t="str">
        <f>HYPERLINK("http://genome-euro.ucsc.edu/cgi-bin/hgTracks?position=220085_at","UCSC")</f>
        <v>UCSC</v>
      </c>
      <c r="E10912" s="1" t="str">
        <f>HYPERLINK("http://www.ncbi.nlm.nih.gov/gene/?term=HELLS","NCBI")</f>
        <v>NCBI</v>
      </c>
      <c r="F10912">
        <v>0.26</v>
      </c>
      <c r="G10912">
        <v>0.4</v>
      </c>
      <c r="H10912" s="1" t="str">
        <f>HYPERLINK("http://www.weizmann.ac.il/complex/compphys/software/geview/data/figures/220085_at.png","Figure")</f>
        <v>Figure</v>
      </c>
      <c r="I10912">
        <v>0.63100000000000001</v>
      </c>
      <c r="J10912">
        <v>0.23</v>
      </c>
      <c r="K10912">
        <v>0.82199999999999995</v>
      </c>
      <c r="L10912">
        <v>0.68</v>
      </c>
      <c r="M10912">
        <v>1.3</v>
      </c>
      <c r="N10912">
        <v>0.55000000000000004</v>
      </c>
    </row>
    <row r="10913" spans="1:14" x14ac:dyDescent="0.25">
      <c r="A10913" t="s">
        <v>18951</v>
      </c>
      <c r="B10913" t="s">
        <v>18952</v>
      </c>
      <c r="C10913" s="1" t="str">
        <f>HYPERLINK("http://www.genecards.org/cgi-bin/carddisp.pl?gene=EIF3H","GeneCards")</f>
        <v>GeneCards</v>
      </c>
      <c r="D10913" s="1" t="str">
        <f>HYPERLINK("http://genome-euro.ucsc.edu/cgi-bin/hgTracks?position=201592_at","UCSC")</f>
        <v>UCSC</v>
      </c>
      <c r="E10913" s="1" t="str">
        <f>HYPERLINK("http://www.ncbi.nlm.nih.gov/gene/?term=EIF3H","NCBI")</f>
        <v>NCBI</v>
      </c>
      <c r="F10913">
        <v>0.26</v>
      </c>
      <c r="G10913">
        <v>0.4</v>
      </c>
      <c r="H10913" s="1" t="str">
        <f>HYPERLINK("http://www.weizmann.ac.il/complex/compphys/software/geview/data/figures/201592_at.png","Figure")</f>
        <v>Figure</v>
      </c>
      <c r="I10913">
        <v>1.0900000000000001</v>
      </c>
      <c r="J10913">
        <v>0.84</v>
      </c>
      <c r="K10913">
        <v>1.25</v>
      </c>
      <c r="L10913">
        <v>0.24</v>
      </c>
      <c r="M10913">
        <v>1.1499999999999999</v>
      </c>
      <c r="N10913">
        <v>0.6</v>
      </c>
    </row>
    <row r="10914" spans="1:14" x14ac:dyDescent="0.25">
      <c r="A10914" t="s">
        <v>18953</v>
      </c>
      <c r="B10914" t="s">
        <v>18954</v>
      </c>
      <c r="C10914" s="1" t="str">
        <f>HYPERLINK("http://www.genecards.org/cgi-bin/carddisp.pl?gene=VCY /// VCY1B","GeneCards")</f>
        <v>GeneCards</v>
      </c>
      <c r="D10914" s="1" t="str">
        <f>HYPERLINK("http://genome-euro.ucsc.edu/cgi-bin/hgTracks?position=206922_at","UCSC")</f>
        <v>UCSC</v>
      </c>
      <c r="E10914" s="1" t="str">
        <f>HYPERLINK("http://www.ncbi.nlm.nih.gov/gene/?term=VCY /// VCY1B","NCBI")</f>
        <v>NCBI</v>
      </c>
      <c r="F10914">
        <v>0.26</v>
      </c>
      <c r="G10914">
        <v>0.4</v>
      </c>
      <c r="H10914" s="1" t="str">
        <f>HYPERLINK("http://www.weizmann.ac.il/complex/compphys/software/geview/data/figures/206922_at.png","Figure")</f>
        <v>Figure</v>
      </c>
      <c r="I10914">
        <v>1.17</v>
      </c>
      <c r="J10914">
        <v>0.23</v>
      </c>
      <c r="K10914">
        <v>1.06</v>
      </c>
      <c r="L10914">
        <v>0.73</v>
      </c>
      <c r="M10914">
        <v>0.90900000000000003</v>
      </c>
      <c r="N10914">
        <v>0.51</v>
      </c>
    </row>
    <row r="10915" spans="1:14" x14ac:dyDescent="0.25">
      <c r="A10915" t="s">
        <v>18955</v>
      </c>
      <c r="B10915" t="s">
        <v>18956</v>
      </c>
      <c r="C10915" s="1" t="str">
        <f>HYPERLINK("http://www.genecards.org/cgi-bin/carddisp.pl?gene=NPPA","GeneCards")</f>
        <v>GeneCards</v>
      </c>
      <c r="D10915" s="1" t="str">
        <f>HYPERLINK("http://genome-euro.ucsc.edu/cgi-bin/hgTracks?position=209957_s_at","UCSC")</f>
        <v>UCSC</v>
      </c>
      <c r="E10915" s="1" t="str">
        <f>HYPERLINK("http://www.ncbi.nlm.nih.gov/gene/?term=NPPA","NCBI")</f>
        <v>NCBI</v>
      </c>
      <c r="F10915">
        <v>0.26</v>
      </c>
      <c r="G10915">
        <v>0.4</v>
      </c>
      <c r="H10915" s="1" t="str">
        <f>HYPERLINK("http://www.weizmann.ac.il/complex/compphys/software/geview/data/figures/209957_s_at.png","Figure")</f>
        <v>Figure</v>
      </c>
      <c r="I10915">
        <v>1.21</v>
      </c>
      <c r="J10915">
        <v>0.24</v>
      </c>
      <c r="K10915">
        <v>1.1100000000000001</v>
      </c>
      <c r="L10915">
        <v>0.54</v>
      </c>
      <c r="M10915">
        <v>0.91800000000000004</v>
      </c>
      <c r="N10915">
        <v>0.7</v>
      </c>
    </row>
    <row r="10916" spans="1:14" x14ac:dyDescent="0.25">
      <c r="A10916" t="s">
        <v>18957</v>
      </c>
      <c r="B10916" t="s">
        <v>3433</v>
      </c>
      <c r="C10916" s="1" t="str">
        <f>HYPERLINK("http://www.genecards.org/cgi-bin/carddisp.pl?gene=LRRC23","GeneCards")</f>
        <v>GeneCards</v>
      </c>
      <c r="D10916" s="1" t="str">
        <f>HYPERLINK("http://genome-euro.ucsc.edu/cgi-bin/hgTracks?position=217609_at","UCSC")</f>
        <v>UCSC</v>
      </c>
      <c r="E10916" s="1" t="str">
        <f>HYPERLINK("http://www.ncbi.nlm.nih.gov/gene/?term=LRRC23","NCBI")</f>
        <v>NCBI</v>
      </c>
      <c r="F10916">
        <v>0.26</v>
      </c>
      <c r="G10916">
        <v>0.4</v>
      </c>
      <c r="H10916" s="1" t="str">
        <f>HYPERLINK("http://www.weizmann.ac.il/complex/compphys/software/geview/data/figures/217609_at.png","Figure")</f>
        <v>Figure</v>
      </c>
      <c r="I10916">
        <v>1.05</v>
      </c>
      <c r="J10916">
        <v>0.4</v>
      </c>
      <c r="K10916">
        <v>1.06</v>
      </c>
      <c r="L10916">
        <v>0.27</v>
      </c>
      <c r="M10916">
        <v>1</v>
      </c>
      <c r="N10916">
        <v>1</v>
      </c>
    </row>
    <row r="10917" spans="1:14" x14ac:dyDescent="0.25">
      <c r="A10917" t="s">
        <v>18958</v>
      </c>
      <c r="B10917" t="s">
        <v>17583</v>
      </c>
      <c r="C10917" s="1" t="str">
        <f>HYPERLINK("http://www.genecards.org/cgi-bin/carddisp.pl?gene=MAK10","GeneCards")</f>
        <v>GeneCards</v>
      </c>
      <c r="D10917" s="1" t="str">
        <f>HYPERLINK("http://genome-euro.ucsc.edu/cgi-bin/hgTracks?position=220925_at","UCSC")</f>
        <v>UCSC</v>
      </c>
      <c r="E10917" s="1" t="str">
        <f>HYPERLINK("http://www.ncbi.nlm.nih.gov/gene/?term=MAK10","NCBI")</f>
        <v>NCBI</v>
      </c>
      <c r="F10917">
        <v>0.26</v>
      </c>
      <c r="G10917">
        <v>0.4</v>
      </c>
      <c r="H10917" s="1" t="str">
        <f>HYPERLINK("http://www.weizmann.ac.il/complex/compphys/software/geview/data/figures/220925_at.png","Figure")</f>
        <v>Figure</v>
      </c>
      <c r="I10917">
        <v>0.68899999999999995</v>
      </c>
      <c r="J10917">
        <v>0.39</v>
      </c>
      <c r="K10917">
        <v>0.67600000000000005</v>
      </c>
      <c r="L10917">
        <v>0.27</v>
      </c>
      <c r="M10917">
        <v>0.98099999999999998</v>
      </c>
      <c r="N10917">
        <v>1</v>
      </c>
    </row>
    <row r="10918" spans="1:14" x14ac:dyDescent="0.25">
      <c r="A10918" t="s">
        <v>18959</v>
      </c>
      <c r="B10918" t="s">
        <v>18960</v>
      </c>
      <c r="C10918" s="1" t="str">
        <f>HYPERLINK("http://www.genecards.org/cgi-bin/carddisp.pl?gene=CENPE","GeneCards")</f>
        <v>GeneCards</v>
      </c>
      <c r="D10918" s="1" t="str">
        <f>HYPERLINK("http://genome-euro.ucsc.edu/cgi-bin/hgTracks?position=205046_at","UCSC")</f>
        <v>UCSC</v>
      </c>
      <c r="E10918" s="1" t="str">
        <f>HYPERLINK("http://www.ncbi.nlm.nih.gov/gene/?term=CENPE","NCBI")</f>
        <v>NCBI</v>
      </c>
      <c r="F10918">
        <v>0.26</v>
      </c>
      <c r="G10918">
        <v>0.4</v>
      </c>
      <c r="H10918" s="1" t="str">
        <f>HYPERLINK("http://www.weizmann.ac.il/complex/compphys/software/geview/data/figures/205046_at.png","Figure")</f>
        <v>Figure</v>
      </c>
      <c r="I10918">
        <v>0.76300000000000001</v>
      </c>
      <c r="J10918">
        <v>0.25</v>
      </c>
      <c r="K10918">
        <v>0.93400000000000005</v>
      </c>
      <c r="L10918">
        <v>0.88</v>
      </c>
      <c r="M10918">
        <v>1.22</v>
      </c>
      <c r="N10918">
        <v>0.4</v>
      </c>
    </row>
    <row r="10919" spans="1:14" x14ac:dyDescent="0.25">
      <c r="A10919" t="s">
        <v>18961</v>
      </c>
      <c r="B10919" t="s">
        <v>18962</v>
      </c>
      <c r="C10919" s="1" t="str">
        <f>HYPERLINK("http://www.genecards.org/cgi-bin/carddisp.pl?gene=MED7","GeneCards")</f>
        <v>GeneCards</v>
      </c>
      <c r="D10919" s="1" t="str">
        <f>HYPERLINK("http://genome-euro.ucsc.edu/cgi-bin/hgTracks?position=204350_s_at","UCSC")</f>
        <v>UCSC</v>
      </c>
      <c r="E10919" s="1" t="str">
        <f>HYPERLINK("http://www.ncbi.nlm.nih.gov/gene/?term=MED7","NCBI")</f>
        <v>NCBI</v>
      </c>
      <c r="F10919">
        <v>0.26</v>
      </c>
      <c r="G10919">
        <v>0.4</v>
      </c>
      <c r="H10919" s="1" t="str">
        <f>HYPERLINK("http://www.weizmann.ac.il/complex/compphys/software/geview/data/figures/204350_s_at.png","Figure")</f>
        <v>Figure</v>
      </c>
      <c r="I10919">
        <v>1.04</v>
      </c>
      <c r="J10919">
        <v>0.83</v>
      </c>
      <c r="K10919">
        <v>0.94</v>
      </c>
      <c r="L10919">
        <v>0.53</v>
      </c>
      <c r="M10919">
        <v>0.90500000000000003</v>
      </c>
      <c r="N10919">
        <v>0.26</v>
      </c>
    </row>
    <row r="10920" spans="1:14" x14ac:dyDescent="0.25">
      <c r="A10920" t="s">
        <v>18963</v>
      </c>
      <c r="B10920" t="s">
        <v>18964</v>
      </c>
      <c r="C10920" s="1" t="str">
        <f>HYPERLINK("http://www.genecards.org/cgi-bin/carddisp.pl?gene=IGK@ /// IGKC","GeneCards")</f>
        <v>GeneCards</v>
      </c>
      <c r="D10920" s="1" t="str">
        <f>HYPERLINK("http://genome-euro.ucsc.edu/cgi-bin/hgTracks?position=221671_x_at","UCSC")</f>
        <v>UCSC</v>
      </c>
      <c r="E10920" s="1" t="str">
        <f>HYPERLINK("http://www.ncbi.nlm.nih.gov/gene/?term=IGK@ /// IGKC","NCBI")</f>
        <v>NCBI</v>
      </c>
      <c r="F10920">
        <v>0.26</v>
      </c>
      <c r="G10920">
        <v>0.4</v>
      </c>
      <c r="H10920" s="1" t="str">
        <f>HYPERLINK("http://www.weizmann.ac.il/complex/compphys/software/geview/data/figures/221671_x_at.png","Figure")</f>
        <v>Figure</v>
      </c>
      <c r="I10920">
        <v>0.60299999999999998</v>
      </c>
      <c r="J10920">
        <v>0.41</v>
      </c>
      <c r="K10920">
        <v>0.57899999999999996</v>
      </c>
      <c r="L10920">
        <v>0.27</v>
      </c>
      <c r="M10920">
        <v>0.96</v>
      </c>
      <c r="N10920">
        <v>0.99</v>
      </c>
    </row>
    <row r="10921" spans="1:14" x14ac:dyDescent="0.25">
      <c r="A10921" t="s">
        <v>18965</v>
      </c>
      <c r="B10921" t="s">
        <v>8956</v>
      </c>
      <c r="C10921" s="1" t="str">
        <f>HYPERLINK("http://www.genecards.org/cgi-bin/carddisp.pl?gene=SPOCK2","GeneCards")</f>
        <v>GeneCards</v>
      </c>
      <c r="D10921" s="1" t="str">
        <f>HYPERLINK("http://genome-euro.ucsc.edu/cgi-bin/hgTracks?position=202524_s_at","UCSC")</f>
        <v>UCSC</v>
      </c>
      <c r="E10921" s="1" t="str">
        <f>HYPERLINK("http://www.ncbi.nlm.nih.gov/gene/?term=SPOCK2","NCBI")</f>
        <v>NCBI</v>
      </c>
      <c r="F10921">
        <v>0.26</v>
      </c>
      <c r="G10921">
        <v>0.4</v>
      </c>
      <c r="H10921" s="1" t="str">
        <f>HYPERLINK("http://www.weizmann.ac.il/complex/compphys/software/geview/data/figures/202524_s_at.png","Figure")</f>
        <v>Figure</v>
      </c>
      <c r="I10921">
        <v>0.61699999999999999</v>
      </c>
      <c r="J10921">
        <v>0.28999999999999998</v>
      </c>
      <c r="K10921">
        <v>0.69</v>
      </c>
      <c r="L10921">
        <v>0.37</v>
      </c>
      <c r="M10921">
        <v>1.1200000000000001</v>
      </c>
      <c r="N10921">
        <v>0.92</v>
      </c>
    </row>
    <row r="10922" spans="1:14" x14ac:dyDescent="0.25">
      <c r="A10922" t="s">
        <v>18966</v>
      </c>
      <c r="B10922" t="s">
        <v>18967</v>
      </c>
      <c r="C10922" s="1" t="str">
        <f>HYPERLINK("http://www.genecards.org/cgi-bin/carddisp.pl?gene=TRPM4","GeneCards")</f>
        <v>GeneCards</v>
      </c>
      <c r="D10922" s="1" t="str">
        <f>HYPERLINK("http://genome-euro.ucsc.edu/cgi-bin/hgTracks?position=219360_s_at","UCSC")</f>
        <v>UCSC</v>
      </c>
      <c r="E10922" s="1" t="str">
        <f>HYPERLINK("http://www.ncbi.nlm.nih.gov/gene/?term=TRPM4","NCBI")</f>
        <v>NCBI</v>
      </c>
      <c r="F10922">
        <v>0.26</v>
      </c>
      <c r="G10922">
        <v>0.4</v>
      </c>
      <c r="H10922" s="1" t="str">
        <f>HYPERLINK("http://www.weizmann.ac.il/complex/compphys/software/geview/data/figures/219360_s_at.png","Figure")</f>
        <v>Figure</v>
      </c>
      <c r="I10922">
        <v>1</v>
      </c>
      <c r="J10922">
        <v>1</v>
      </c>
      <c r="K10922">
        <v>0.70499999999999996</v>
      </c>
      <c r="L10922">
        <v>0.33</v>
      </c>
      <c r="M10922">
        <v>0.70199999999999996</v>
      </c>
      <c r="N10922">
        <v>0.37</v>
      </c>
    </row>
    <row r="10923" spans="1:14" x14ac:dyDescent="0.25">
      <c r="A10923" t="s">
        <v>18968</v>
      </c>
      <c r="B10923" t="s">
        <v>5104</v>
      </c>
      <c r="C10923" s="1" t="str">
        <f>HYPERLINK("http://www.genecards.org/cgi-bin/carddisp.pl?gene=VEZF1","GeneCards")</f>
        <v>GeneCards</v>
      </c>
      <c r="D10923" s="1" t="str">
        <f>HYPERLINK("http://genome-euro.ucsc.edu/cgi-bin/hgTracks?position=202173_s_at","UCSC")</f>
        <v>UCSC</v>
      </c>
      <c r="E10923" s="1" t="str">
        <f>HYPERLINK("http://www.ncbi.nlm.nih.gov/gene/?term=VEZF1","NCBI")</f>
        <v>NCBI</v>
      </c>
      <c r="F10923">
        <v>0.26</v>
      </c>
      <c r="G10923">
        <v>0.4</v>
      </c>
      <c r="H10923" s="1" t="str">
        <f>HYPERLINK("http://www.weizmann.ac.il/complex/compphys/software/geview/data/figures/202173_s_at.png","Figure")</f>
        <v>Figure</v>
      </c>
      <c r="I10923">
        <v>0.82499999999999996</v>
      </c>
      <c r="J10923">
        <v>0.7</v>
      </c>
      <c r="K10923">
        <v>1.2</v>
      </c>
      <c r="L10923">
        <v>0.65</v>
      </c>
      <c r="M10923">
        <v>1.46</v>
      </c>
      <c r="N10923">
        <v>0.24</v>
      </c>
    </row>
    <row r="10924" spans="1:14" x14ac:dyDescent="0.25">
      <c r="A10924" t="s">
        <v>18969</v>
      </c>
      <c r="B10924" t="s">
        <v>18970</v>
      </c>
      <c r="C10924" s="1" t="str">
        <f>HYPERLINK("http://www.genecards.org/cgi-bin/carddisp.pl?gene=BBX","GeneCards")</f>
        <v>GeneCards</v>
      </c>
      <c r="D10924" s="1" t="str">
        <f>HYPERLINK("http://genome-euro.ucsc.edu/cgi-bin/hgTracks?position=213016_at","UCSC")</f>
        <v>UCSC</v>
      </c>
      <c r="E10924" s="1" t="str">
        <f>HYPERLINK("http://www.ncbi.nlm.nih.gov/gene/?term=BBX","NCBI")</f>
        <v>NCBI</v>
      </c>
      <c r="F10924">
        <v>0.26</v>
      </c>
      <c r="G10924">
        <v>0.4</v>
      </c>
      <c r="H10924" s="1" t="str">
        <f>HYPERLINK("http://www.weizmann.ac.il/complex/compphys/software/geview/data/figures/213016_at.png","Figure")</f>
        <v>Figure</v>
      </c>
      <c r="I10924">
        <v>0.90600000000000003</v>
      </c>
      <c r="J10924">
        <v>0.95</v>
      </c>
      <c r="K10924">
        <v>1.45</v>
      </c>
      <c r="L10924">
        <v>0.41</v>
      </c>
      <c r="M10924">
        <v>1.61</v>
      </c>
      <c r="N10924">
        <v>0.3</v>
      </c>
    </row>
    <row r="10925" spans="1:14" x14ac:dyDescent="0.25">
      <c r="A10925" t="s">
        <v>18971</v>
      </c>
      <c r="B10925" t="s">
        <v>14441</v>
      </c>
      <c r="C10925" s="1" t="str">
        <f>HYPERLINK("http://www.genecards.org/cgi-bin/carddisp.pl?gene=SPOP","GeneCards")</f>
        <v>GeneCards</v>
      </c>
      <c r="D10925" s="1" t="str">
        <f>HYPERLINK("http://genome-euro.ucsc.edu/cgi-bin/hgTracks?position=204640_s_at","UCSC")</f>
        <v>UCSC</v>
      </c>
      <c r="E10925" s="1" t="str">
        <f>HYPERLINK("http://www.ncbi.nlm.nih.gov/gene/?term=SPOP","NCBI")</f>
        <v>NCBI</v>
      </c>
      <c r="F10925">
        <v>0.26</v>
      </c>
      <c r="G10925">
        <v>0.41</v>
      </c>
      <c r="H10925" s="1" t="str">
        <f>HYPERLINK("http://www.weizmann.ac.il/complex/compphys/software/geview/data/figures/204640_s_at.png","Figure")</f>
        <v>Figure</v>
      </c>
      <c r="I10925">
        <v>0.81899999999999995</v>
      </c>
      <c r="J10925">
        <v>0.71</v>
      </c>
      <c r="K10925">
        <v>1.22</v>
      </c>
      <c r="L10925">
        <v>0.65</v>
      </c>
      <c r="M10925">
        <v>1.49</v>
      </c>
      <c r="N10925">
        <v>0.24</v>
      </c>
    </row>
    <row r="10926" spans="1:14" x14ac:dyDescent="0.25">
      <c r="A10926" t="s">
        <v>18972</v>
      </c>
      <c r="B10926" t="s">
        <v>18973</v>
      </c>
      <c r="C10926" s="1" t="str">
        <f>HYPERLINK("http://www.genecards.org/cgi-bin/carddisp.pl?gene=PRR11","GeneCards")</f>
        <v>GeneCards</v>
      </c>
      <c r="D10926" s="1" t="str">
        <f>HYPERLINK("http://genome-euro.ucsc.edu/cgi-bin/hgTracks?position=219392_x_at","UCSC")</f>
        <v>UCSC</v>
      </c>
      <c r="E10926" s="1" t="str">
        <f>HYPERLINK("http://www.ncbi.nlm.nih.gov/gene/?term=PRR11","NCBI")</f>
        <v>NCBI</v>
      </c>
      <c r="F10926">
        <v>0.26</v>
      </c>
      <c r="G10926">
        <v>0.41</v>
      </c>
      <c r="H10926" s="1" t="str">
        <f>HYPERLINK("http://www.weizmann.ac.il/complex/compphys/software/geview/data/figures/219392_x_at.png","Figure")</f>
        <v>Figure</v>
      </c>
      <c r="I10926">
        <v>1.29</v>
      </c>
      <c r="J10926">
        <v>0.52</v>
      </c>
      <c r="K10926">
        <v>0.89300000000000002</v>
      </c>
      <c r="L10926">
        <v>0.84</v>
      </c>
      <c r="M10926">
        <v>0.69099999999999995</v>
      </c>
      <c r="N10926">
        <v>0.23</v>
      </c>
    </row>
    <row r="10927" spans="1:14" x14ac:dyDescent="0.25">
      <c r="A10927" t="s">
        <v>18974</v>
      </c>
      <c r="B10927" t="s">
        <v>18975</v>
      </c>
      <c r="C10927" s="1" t="str">
        <f>HYPERLINK("http://www.genecards.org/cgi-bin/carddisp.pl?gene=IPO8","GeneCards")</f>
        <v>GeneCards</v>
      </c>
      <c r="D10927" s="1" t="str">
        <f>HYPERLINK("http://genome-euro.ucsc.edu/cgi-bin/hgTracks?position=205701_at","UCSC")</f>
        <v>UCSC</v>
      </c>
      <c r="E10927" s="1" t="str">
        <f>HYPERLINK("http://www.ncbi.nlm.nih.gov/gene/?term=IPO8","NCBI")</f>
        <v>NCBI</v>
      </c>
      <c r="F10927">
        <v>0.26</v>
      </c>
      <c r="G10927">
        <v>0.41</v>
      </c>
      <c r="H10927" s="1" t="str">
        <f>HYPERLINK("http://www.weizmann.ac.il/complex/compphys/software/geview/data/figures/205701_at.png","Figure")</f>
        <v>Figure</v>
      </c>
      <c r="I10927">
        <v>1.08</v>
      </c>
      <c r="J10927">
        <v>0.4</v>
      </c>
      <c r="K10927">
        <v>1.0900000000000001</v>
      </c>
      <c r="L10927">
        <v>0.27</v>
      </c>
      <c r="M10927">
        <v>1.01</v>
      </c>
      <c r="N10927">
        <v>0.99</v>
      </c>
    </row>
    <row r="10928" spans="1:14" x14ac:dyDescent="0.25">
      <c r="A10928" t="s">
        <v>18976</v>
      </c>
      <c r="B10928" t="s">
        <v>18977</v>
      </c>
      <c r="C10928" s="1" t="str">
        <f>HYPERLINK("http://www.genecards.org/cgi-bin/carddisp.pl?gene=USP2","GeneCards")</f>
        <v>GeneCards</v>
      </c>
      <c r="D10928" s="1" t="str">
        <f>HYPERLINK("http://genome-euro.ucsc.edu/cgi-bin/hgTracks?position=207211_at","UCSC")</f>
        <v>UCSC</v>
      </c>
      <c r="E10928" s="1" t="str">
        <f>HYPERLINK("http://www.ncbi.nlm.nih.gov/gene/?term=USP2","NCBI")</f>
        <v>NCBI</v>
      </c>
      <c r="F10928">
        <v>0.26</v>
      </c>
      <c r="G10928">
        <v>0.41</v>
      </c>
      <c r="H10928" s="1" t="str">
        <f>HYPERLINK("http://www.weizmann.ac.il/complex/compphys/software/geview/data/figures/207211_at.png","Figure")</f>
        <v>Figure</v>
      </c>
      <c r="I10928">
        <v>1.01</v>
      </c>
      <c r="J10928">
        <v>0.98</v>
      </c>
      <c r="K10928">
        <v>0.93799999999999994</v>
      </c>
      <c r="L10928">
        <v>0.38</v>
      </c>
      <c r="M10928">
        <v>0.92800000000000005</v>
      </c>
      <c r="N10928">
        <v>0.32</v>
      </c>
    </row>
    <row r="10929" spans="1:14" x14ac:dyDescent="0.25">
      <c r="A10929" t="s">
        <v>18978</v>
      </c>
      <c r="B10929" t="s">
        <v>18979</v>
      </c>
      <c r="C10929" s="1" t="str">
        <f>HYPERLINK("http://www.genecards.org/cgi-bin/carddisp.pl?gene=FBXO31","GeneCards")</f>
        <v>GeneCards</v>
      </c>
      <c r="D10929" s="1" t="str">
        <f>HYPERLINK("http://genome-euro.ucsc.edu/cgi-bin/hgTracks?position=219784_at","UCSC")</f>
        <v>UCSC</v>
      </c>
      <c r="E10929" s="1" t="str">
        <f>HYPERLINK("http://www.ncbi.nlm.nih.gov/gene/?term=FBXO31","NCBI")</f>
        <v>NCBI</v>
      </c>
      <c r="F10929">
        <v>0.26</v>
      </c>
      <c r="G10929">
        <v>0.41</v>
      </c>
      <c r="H10929" s="1" t="str">
        <f>HYPERLINK("http://www.weizmann.ac.il/complex/compphys/software/geview/data/figures/219784_at.png","Figure")</f>
        <v>Figure</v>
      </c>
      <c r="I10929">
        <v>1.17</v>
      </c>
      <c r="J10929">
        <v>0.23</v>
      </c>
      <c r="K10929">
        <v>1.07</v>
      </c>
      <c r="L10929">
        <v>0.67</v>
      </c>
      <c r="M10929">
        <v>0.91700000000000004</v>
      </c>
      <c r="N10929">
        <v>0.56000000000000005</v>
      </c>
    </row>
    <row r="10930" spans="1:14" x14ac:dyDescent="0.25">
      <c r="A10930" t="s">
        <v>18980</v>
      </c>
      <c r="B10930" t="s">
        <v>18981</v>
      </c>
      <c r="C10930" s="1" t="str">
        <f>HYPERLINK("http://www.genecards.org/cgi-bin/carddisp.pl?gene=PACSIN2","GeneCards")</f>
        <v>GeneCards</v>
      </c>
      <c r="D10930" s="1" t="str">
        <f>HYPERLINK("http://genome-euro.ucsc.edu/cgi-bin/hgTracks?position=201651_s_at","UCSC")</f>
        <v>UCSC</v>
      </c>
      <c r="E10930" s="1" t="str">
        <f>HYPERLINK("http://www.ncbi.nlm.nih.gov/gene/?term=PACSIN2","NCBI")</f>
        <v>NCBI</v>
      </c>
      <c r="F10930">
        <v>0.26</v>
      </c>
      <c r="G10930">
        <v>0.41</v>
      </c>
      <c r="H10930" s="1" t="str">
        <f>HYPERLINK("http://www.weizmann.ac.il/complex/compphys/software/geview/data/figures/201651_s_at.png","Figure")</f>
        <v>Figure</v>
      </c>
      <c r="I10930">
        <v>0.7</v>
      </c>
      <c r="J10930">
        <v>0.26</v>
      </c>
      <c r="K10930">
        <v>0.78800000000000003</v>
      </c>
      <c r="L10930">
        <v>0.44</v>
      </c>
      <c r="M10930">
        <v>1.1299999999999999</v>
      </c>
      <c r="N10930">
        <v>0.83</v>
      </c>
    </row>
    <row r="10931" spans="1:14" x14ac:dyDescent="0.25">
      <c r="A10931" t="s">
        <v>18982</v>
      </c>
      <c r="B10931" t="s">
        <v>18983</v>
      </c>
      <c r="C10931" s="1" t="str">
        <f>HYPERLINK("http://www.genecards.org/cgi-bin/carddisp.pl?gene=SERPINB8","GeneCards")</f>
        <v>GeneCards</v>
      </c>
      <c r="D10931" s="1" t="str">
        <f>HYPERLINK("http://genome-euro.ucsc.edu/cgi-bin/hgTracks?position=206034_at","UCSC")</f>
        <v>UCSC</v>
      </c>
      <c r="E10931" s="1" t="str">
        <f>HYPERLINK("http://www.ncbi.nlm.nih.gov/gene/?term=SERPINB8","NCBI")</f>
        <v>NCBI</v>
      </c>
      <c r="F10931">
        <v>0.26</v>
      </c>
      <c r="G10931">
        <v>0.41</v>
      </c>
      <c r="H10931" s="1" t="str">
        <f>HYPERLINK("http://www.weizmann.ac.il/complex/compphys/software/geview/data/figures/206034_at.png","Figure")</f>
        <v>Figure</v>
      </c>
      <c r="I10931">
        <v>1.1100000000000001</v>
      </c>
      <c r="J10931">
        <v>0.68</v>
      </c>
      <c r="K10931">
        <v>1.21</v>
      </c>
      <c r="L10931">
        <v>0.23</v>
      </c>
      <c r="M10931">
        <v>1.08</v>
      </c>
      <c r="N10931">
        <v>0.77</v>
      </c>
    </row>
    <row r="10932" spans="1:14" x14ac:dyDescent="0.25">
      <c r="A10932" t="s">
        <v>18984</v>
      </c>
      <c r="B10932" t="s">
        <v>18985</v>
      </c>
      <c r="C10932" s="1" t="str">
        <f>HYPERLINK("http://www.genecards.org/cgi-bin/carddisp.pl?gene=CIAO1","GeneCards")</f>
        <v>GeneCards</v>
      </c>
      <c r="D10932" s="1" t="str">
        <f>HYPERLINK("http://genome-euro.ucsc.edu/cgi-bin/hgTracks?position=217501_at","UCSC")</f>
        <v>UCSC</v>
      </c>
      <c r="E10932" s="1" t="str">
        <f>HYPERLINK("http://www.ncbi.nlm.nih.gov/gene/?term=CIAO1","NCBI")</f>
        <v>NCBI</v>
      </c>
      <c r="F10932">
        <v>0.26</v>
      </c>
      <c r="G10932">
        <v>0.41</v>
      </c>
      <c r="H10932" s="1" t="str">
        <f>HYPERLINK("http://www.weizmann.ac.il/complex/compphys/software/geview/data/figures/217501_at.png","Figure")</f>
        <v>Figure</v>
      </c>
      <c r="I10932">
        <v>0.77900000000000003</v>
      </c>
      <c r="J10932">
        <v>0.23</v>
      </c>
      <c r="K10932">
        <v>0.9</v>
      </c>
      <c r="L10932">
        <v>0.69</v>
      </c>
      <c r="M10932">
        <v>1.1599999999999999</v>
      </c>
      <c r="N10932">
        <v>0.55000000000000004</v>
      </c>
    </row>
    <row r="10933" spans="1:14" x14ac:dyDescent="0.25">
      <c r="A10933" t="s">
        <v>18986</v>
      </c>
      <c r="B10933" t="s">
        <v>18987</v>
      </c>
      <c r="C10933" s="1" t="str">
        <f>HYPERLINK("http://www.genecards.org/cgi-bin/carddisp.pl?gene=CCDC90B","GeneCards")</f>
        <v>GeneCards</v>
      </c>
      <c r="D10933" s="1" t="str">
        <f>HYPERLINK("http://genome-euro.ucsc.edu/cgi-bin/hgTracks?position=218288_s_at","UCSC")</f>
        <v>UCSC</v>
      </c>
      <c r="E10933" s="1" t="str">
        <f>HYPERLINK("http://www.ncbi.nlm.nih.gov/gene/?term=CCDC90B","NCBI")</f>
        <v>NCBI</v>
      </c>
      <c r="F10933">
        <v>0.26</v>
      </c>
      <c r="G10933">
        <v>0.41</v>
      </c>
      <c r="H10933" s="1" t="str">
        <f>HYPERLINK("http://www.weizmann.ac.il/complex/compphys/software/geview/data/figures/218288_s_at.png","Figure")</f>
        <v>Figure</v>
      </c>
      <c r="I10933">
        <v>0.82699999999999996</v>
      </c>
      <c r="J10933">
        <v>0.62</v>
      </c>
      <c r="K10933">
        <v>1.1399999999999999</v>
      </c>
      <c r="L10933">
        <v>0.74</v>
      </c>
      <c r="M10933">
        <v>1.38</v>
      </c>
      <c r="N10933">
        <v>0.23</v>
      </c>
    </row>
    <row r="10934" spans="1:14" x14ac:dyDescent="0.25">
      <c r="A10934" t="s">
        <v>18988</v>
      </c>
      <c r="B10934" t="s">
        <v>18989</v>
      </c>
      <c r="C10934" s="1" t="str">
        <f>HYPERLINK("http://www.genecards.org/cgi-bin/carddisp.pl?gene=STXBP3","GeneCards")</f>
        <v>GeneCards</v>
      </c>
      <c r="D10934" s="1" t="str">
        <f>HYPERLINK("http://genome-euro.ucsc.edu/cgi-bin/hgTracks?position=203310_at","UCSC")</f>
        <v>UCSC</v>
      </c>
      <c r="E10934" s="1" t="str">
        <f>HYPERLINK("http://www.ncbi.nlm.nih.gov/gene/?term=STXBP3","NCBI")</f>
        <v>NCBI</v>
      </c>
      <c r="F10934">
        <v>0.26</v>
      </c>
      <c r="G10934">
        <v>0.41</v>
      </c>
      <c r="H10934" s="1" t="str">
        <f>HYPERLINK("http://www.weizmann.ac.il/complex/compphys/software/geview/data/figures/203310_at.png","Figure")</f>
        <v>Figure</v>
      </c>
      <c r="I10934">
        <v>0.68</v>
      </c>
      <c r="J10934">
        <v>0.3</v>
      </c>
      <c r="K10934">
        <v>0.96699999999999997</v>
      </c>
      <c r="L10934">
        <v>0.99</v>
      </c>
      <c r="M10934">
        <v>1.42</v>
      </c>
      <c r="N10934">
        <v>0.31</v>
      </c>
    </row>
    <row r="10935" spans="1:14" x14ac:dyDescent="0.25">
      <c r="A10935" t="s">
        <v>18990</v>
      </c>
      <c r="B10935" t="s">
        <v>11199</v>
      </c>
      <c r="C10935" s="1" t="str">
        <f>HYPERLINK("http://www.genecards.org/cgi-bin/carddisp.pl?gene=PRDX6","GeneCards")</f>
        <v>GeneCards</v>
      </c>
      <c r="D10935" s="1" t="str">
        <f>HYPERLINK("http://genome-euro.ucsc.edu/cgi-bin/hgTracks?position=200844_s_at","UCSC")</f>
        <v>UCSC</v>
      </c>
      <c r="E10935" s="1" t="str">
        <f>HYPERLINK("http://www.ncbi.nlm.nih.gov/gene/?term=PRDX6","NCBI")</f>
        <v>NCBI</v>
      </c>
      <c r="F10935">
        <v>0.26</v>
      </c>
      <c r="G10935">
        <v>0.41</v>
      </c>
      <c r="H10935" s="1" t="str">
        <f>HYPERLINK("http://www.weizmann.ac.il/complex/compphys/software/geview/data/figures/200844_s_at.png","Figure")</f>
        <v>Figure</v>
      </c>
      <c r="I10935">
        <v>1.29</v>
      </c>
      <c r="J10935">
        <v>0.24</v>
      </c>
      <c r="K10935">
        <v>1.1000000000000001</v>
      </c>
      <c r="L10935">
        <v>0.75</v>
      </c>
      <c r="M10935">
        <v>0.85299999999999998</v>
      </c>
      <c r="N10935">
        <v>0.5</v>
      </c>
    </row>
    <row r="10936" spans="1:14" x14ac:dyDescent="0.25">
      <c r="A10936" t="s">
        <v>18991</v>
      </c>
      <c r="B10936" t="s">
        <v>2579</v>
      </c>
      <c r="C10936" s="1" t="str">
        <f>HYPERLINK("http://www.genecards.org/cgi-bin/carddisp.pl?gene=SMAD3","GeneCards")</f>
        <v>GeneCards</v>
      </c>
      <c r="D10936" s="1" t="str">
        <f>HYPERLINK("http://genome-euro.ucsc.edu/cgi-bin/hgTracks?position=205397_x_at","UCSC")</f>
        <v>UCSC</v>
      </c>
      <c r="E10936" s="1" t="str">
        <f>HYPERLINK("http://www.ncbi.nlm.nih.gov/gene/?term=SMAD3","NCBI")</f>
        <v>NCBI</v>
      </c>
      <c r="F10936">
        <v>0.26</v>
      </c>
      <c r="G10936">
        <v>0.41</v>
      </c>
      <c r="H10936" s="1" t="str">
        <f>HYPERLINK("http://www.weizmann.ac.il/complex/compphys/software/geview/data/figures/205397_x_at.png","Figure")</f>
        <v>Figure</v>
      </c>
      <c r="I10936">
        <v>1.1200000000000001</v>
      </c>
      <c r="J10936">
        <v>0.31</v>
      </c>
      <c r="K10936">
        <v>1.1000000000000001</v>
      </c>
      <c r="L10936">
        <v>0.34</v>
      </c>
      <c r="M10936">
        <v>0.98099999999999998</v>
      </c>
      <c r="N10936">
        <v>0.96</v>
      </c>
    </row>
    <row r="10937" spans="1:14" x14ac:dyDescent="0.25">
      <c r="A10937" t="s">
        <v>18992</v>
      </c>
      <c r="B10937" t="s">
        <v>9859</v>
      </c>
      <c r="C10937" s="1" t="str">
        <f>HYPERLINK("http://www.genecards.org/cgi-bin/carddisp.pl?gene=RNF24","GeneCards")</f>
        <v>GeneCards</v>
      </c>
      <c r="D10937" s="1" t="str">
        <f>HYPERLINK("http://genome-euro.ucsc.edu/cgi-bin/hgTracks?position=204668_at","UCSC")</f>
        <v>UCSC</v>
      </c>
      <c r="E10937" s="1" t="str">
        <f>HYPERLINK("http://www.ncbi.nlm.nih.gov/gene/?term=RNF24","NCBI")</f>
        <v>NCBI</v>
      </c>
      <c r="F10937">
        <v>0.26</v>
      </c>
      <c r="G10937">
        <v>0.41</v>
      </c>
      <c r="H10937" s="1" t="str">
        <f>HYPERLINK("http://www.weizmann.ac.il/complex/compphys/software/geview/data/figures/204668_at.png","Figure")</f>
        <v>Figure</v>
      </c>
      <c r="I10937">
        <v>0.90900000000000003</v>
      </c>
      <c r="J10937">
        <v>0.38</v>
      </c>
      <c r="K10937">
        <v>0.90800000000000003</v>
      </c>
      <c r="L10937">
        <v>0.28000000000000003</v>
      </c>
      <c r="M10937">
        <v>0.999</v>
      </c>
      <c r="N10937">
        <v>1</v>
      </c>
    </row>
    <row r="10938" spans="1:14" x14ac:dyDescent="0.25">
      <c r="A10938" t="s">
        <v>18993</v>
      </c>
      <c r="B10938" t="s">
        <v>15406</v>
      </c>
      <c r="C10938" s="1" t="str">
        <f>HYPERLINK("http://www.genecards.org/cgi-bin/carddisp.pl?gene=ZFPL1","GeneCards")</f>
        <v>GeneCards</v>
      </c>
      <c r="D10938" s="1" t="str">
        <f>HYPERLINK("http://genome-euro.ucsc.edu/cgi-bin/hgTracks?position=209428_s_at","UCSC")</f>
        <v>UCSC</v>
      </c>
      <c r="E10938" s="1" t="str">
        <f>HYPERLINK("http://www.ncbi.nlm.nih.gov/gene/?term=ZFPL1","NCBI")</f>
        <v>NCBI</v>
      </c>
      <c r="F10938">
        <v>0.26</v>
      </c>
      <c r="G10938">
        <v>0.41</v>
      </c>
      <c r="H10938" s="1" t="str">
        <f>HYPERLINK("http://www.weizmann.ac.il/complex/compphys/software/geview/data/figures/209428_s_at.png","Figure")</f>
        <v>Figure</v>
      </c>
      <c r="I10938">
        <v>1.1100000000000001</v>
      </c>
      <c r="J10938">
        <v>0.41</v>
      </c>
      <c r="K10938">
        <v>0.98099999999999998</v>
      </c>
      <c r="L10938">
        <v>0.95</v>
      </c>
      <c r="M10938">
        <v>0.88600000000000001</v>
      </c>
      <c r="N10938">
        <v>0.25</v>
      </c>
    </row>
    <row r="10939" spans="1:14" x14ac:dyDescent="0.25">
      <c r="A10939" t="s">
        <v>18994</v>
      </c>
      <c r="B10939" t="s">
        <v>14144</v>
      </c>
      <c r="C10939" s="1" t="str">
        <f>HYPERLINK("http://www.genecards.org/cgi-bin/carddisp.pl?gene=CDC16","GeneCards")</f>
        <v>GeneCards</v>
      </c>
      <c r="D10939" s="1" t="str">
        <f>HYPERLINK("http://genome-euro.ucsc.edu/cgi-bin/hgTracks?position=209658_at","UCSC")</f>
        <v>UCSC</v>
      </c>
      <c r="E10939" s="1" t="str">
        <f>HYPERLINK("http://www.ncbi.nlm.nih.gov/gene/?term=CDC16","NCBI")</f>
        <v>NCBI</v>
      </c>
      <c r="F10939">
        <v>0.26</v>
      </c>
      <c r="G10939">
        <v>0.41</v>
      </c>
      <c r="H10939" s="1" t="str">
        <f>HYPERLINK("http://www.weizmann.ac.il/complex/compphys/software/geview/data/figures/209658_at.png","Figure")</f>
        <v>Figure</v>
      </c>
      <c r="I10939">
        <v>0.96399999999999997</v>
      </c>
      <c r="J10939">
        <v>0.98</v>
      </c>
      <c r="K10939">
        <v>1.29</v>
      </c>
      <c r="L10939">
        <v>0.38</v>
      </c>
      <c r="M10939">
        <v>1.33</v>
      </c>
      <c r="N10939">
        <v>0.33</v>
      </c>
    </row>
    <row r="10940" spans="1:14" x14ac:dyDescent="0.25">
      <c r="A10940" t="s">
        <v>18995</v>
      </c>
      <c r="B10940" t="s">
        <v>1308</v>
      </c>
      <c r="C10940" s="1" t="str">
        <f>HYPERLINK("http://www.genecards.org/cgi-bin/carddisp.pl?gene=CSDA","GeneCards")</f>
        <v>GeneCards</v>
      </c>
      <c r="D10940" s="1" t="str">
        <f>HYPERLINK("http://genome-euro.ucsc.edu/cgi-bin/hgTracks?position=213319_s_at","UCSC")</f>
        <v>UCSC</v>
      </c>
      <c r="E10940" s="1" t="str">
        <f>HYPERLINK("http://www.ncbi.nlm.nih.gov/gene/?term=CSDA","NCBI")</f>
        <v>NCBI</v>
      </c>
      <c r="F10940">
        <v>0.26</v>
      </c>
      <c r="G10940">
        <v>0.41</v>
      </c>
      <c r="H10940" s="1" t="str">
        <f>HYPERLINK("http://www.weizmann.ac.il/complex/compphys/software/geview/data/figures/213319_s_at.png","Figure")</f>
        <v>Figure</v>
      </c>
      <c r="I10940">
        <v>1.25</v>
      </c>
      <c r="J10940">
        <v>0.23</v>
      </c>
      <c r="K10940">
        <v>1.1100000000000001</v>
      </c>
      <c r="L10940">
        <v>0.62</v>
      </c>
      <c r="M10940">
        <v>0.89</v>
      </c>
      <c r="N10940">
        <v>0.61</v>
      </c>
    </row>
    <row r="10941" spans="1:14" x14ac:dyDescent="0.25">
      <c r="A10941" t="s">
        <v>18996</v>
      </c>
      <c r="B10941" t="s">
        <v>18997</v>
      </c>
      <c r="C10941" s="1" t="str">
        <f>HYPERLINK("http://www.genecards.org/cgi-bin/carddisp.pl?gene=LOC100293983 /// MUC5AC","GeneCards")</f>
        <v>GeneCards</v>
      </c>
      <c r="D10941" s="1" t="str">
        <f>HYPERLINK("http://genome-euro.ucsc.edu/cgi-bin/hgTracks?position=214385_s_at","UCSC")</f>
        <v>UCSC</v>
      </c>
      <c r="E10941" s="1" t="str">
        <f>HYPERLINK("http://www.ncbi.nlm.nih.gov/gene/?term=LOC100293983 /// MUC5AC","NCBI")</f>
        <v>NCBI</v>
      </c>
      <c r="F10941">
        <v>0.26</v>
      </c>
      <c r="G10941">
        <v>0.41</v>
      </c>
      <c r="H10941" s="1" t="str">
        <f>HYPERLINK("http://www.weizmann.ac.il/complex/compphys/software/geview/data/figures/214385_s_at.png","Figure")</f>
        <v>Figure</v>
      </c>
      <c r="I10941">
        <v>1.04</v>
      </c>
      <c r="J10941">
        <v>0.23</v>
      </c>
      <c r="K10941">
        <v>1.02</v>
      </c>
      <c r="L10941">
        <v>0.74</v>
      </c>
      <c r="M10941">
        <v>0.97499999999999998</v>
      </c>
      <c r="N10941">
        <v>0.51</v>
      </c>
    </row>
    <row r="10942" spans="1:14" x14ac:dyDescent="0.25">
      <c r="A10942" t="s">
        <v>18998</v>
      </c>
      <c r="B10942" t="s">
        <v>18999</v>
      </c>
      <c r="C10942" s="1" t="str">
        <f>HYPERLINK("http://www.genecards.org/cgi-bin/carddisp.pl?gene=USP21","GeneCards")</f>
        <v>GeneCards</v>
      </c>
      <c r="D10942" s="1" t="str">
        <f>HYPERLINK("http://genome-euro.ucsc.edu/cgi-bin/hgTracks?position=218367_x_at","UCSC")</f>
        <v>UCSC</v>
      </c>
      <c r="E10942" s="1" t="str">
        <f>HYPERLINK("http://www.ncbi.nlm.nih.gov/gene/?term=USP21","NCBI")</f>
        <v>NCBI</v>
      </c>
      <c r="F10942">
        <v>0.26</v>
      </c>
      <c r="G10942">
        <v>0.41</v>
      </c>
      <c r="H10942" s="1" t="str">
        <f>HYPERLINK("http://www.weizmann.ac.il/complex/compphys/software/geview/data/figures/218367_x_at.png","Figure")</f>
        <v>Figure</v>
      </c>
      <c r="I10942">
        <v>1.04</v>
      </c>
      <c r="J10942">
        <v>0.89</v>
      </c>
      <c r="K10942">
        <v>0.91400000000000003</v>
      </c>
      <c r="L10942">
        <v>0.48</v>
      </c>
      <c r="M10942">
        <v>0.878</v>
      </c>
      <c r="N10942">
        <v>0.27</v>
      </c>
    </row>
    <row r="10943" spans="1:14" x14ac:dyDescent="0.25">
      <c r="A10943" t="s">
        <v>19000</v>
      </c>
      <c r="B10943" t="s">
        <v>10614</v>
      </c>
      <c r="C10943" s="1" t="str">
        <f>HYPERLINK("http://www.genecards.org/cgi-bin/carddisp.pl?gene=MLL","GeneCards")</f>
        <v>GeneCards</v>
      </c>
      <c r="D10943" s="1" t="str">
        <f>HYPERLINK("http://genome-euro.ucsc.edu/cgi-bin/hgTracks?position=220546_at","UCSC")</f>
        <v>UCSC</v>
      </c>
      <c r="E10943" s="1" t="str">
        <f>HYPERLINK("http://www.ncbi.nlm.nih.gov/gene/?term=MLL","NCBI")</f>
        <v>NCBI</v>
      </c>
      <c r="F10943">
        <v>0.26</v>
      </c>
      <c r="G10943">
        <v>0.41</v>
      </c>
      <c r="H10943" s="1" t="str">
        <f>HYPERLINK("http://www.weizmann.ac.il/complex/compphys/software/geview/data/figures/220546_at.png","Figure")</f>
        <v>Figure</v>
      </c>
      <c r="I10943">
        <v>0.89600000000000002</v>
      </c>
      <c r="J10943">
        <v>0.81</v>
      </c>
      <c r="K10943">
        <v>0.77</v>
      </c>
      <c r="L10943">
        <v>0.24</v>
      </c>
      <c r="M10943">
        <v>0.86</v>
      </c>
      <c r="N10943">
        <v>0.64</v>
      </c>
    </row>
    <row r="10944" spans="1:14" x14ac:dyDescent="0.25">
      <c r="A10944" t="s">
        <v>19001</v>
      </c>
      <c r="B10944" t="s">
        <v>17245</v>
      </c>
      <c r="C10944" s="1" t="str">
        <f>HYPERLINK("http://www.genecards.org/cgi-bin/carddisp.pl?gene=RANBP10","GeneCards")</f>
        <v>GeneCards</v>
      </c>
      <c r="D10944" s="1" t="str">
        <f>HYPERLINK("http://genome-euro.ucsc.edu/cgi-bin/hgTracks?position=221809_at","UCSC")</f>
        <v>UCSC</v>
      </c>
      <c r="E10944" s="1" t="str">
        <f>HYPERLINK("http://www.ncbi.nlm.nih.gov/gene/?term=RANBP10","NCBI")</f>
        <v>NCBI</v>
      </c>
      <c r="F10944">
        <v>0.26</v>
      </c>
      <c r="G10944">
        <v>0.41</v>
      </c>
      <c r="H10944" s="1" t="str">
        <f>HYPERLINK("http://www.weizmann.ac.il/complex/compphys/software/geview/data/figures/221809_at.png","Figure")</f>
        <v>Figure</v>
      </c>
      <c r="I10944">
        <v>1.17</v>
      </c>
      <c r="J10944">
        <v>0.26</v>
      </c>
      <c r="K10944">
        <v>1.04</v>
      </c>
      <c r="L10944">
        <v>0.9</v>
      </c>
      <c r="M10944">
        <v>0.88800000000000001</v>
      </c>
      <c r="N10944">
        <v>0.38</v>
      </c>
    </row>
    <row r="10945" spans="1:14" x14ac:dyDescent="0.25">
      <c r="A10945" t="s">
        <v>19002</v>
      </c>
      <c r="B10945" t="s">
        <v>19003</v>
      </c>
      <c r="C10945" s="1" t="str">
        <f>HYPERLINK("http://www.genecards.org/cgi-bin/carddisp.pl?gene=INPP5E","GeneCards")</f>
        <v>GeneCards</v>
      </c>
      <c r="D10945" s="1" t="str">
        <f>HYPERLINK("http://genome-euro.ucsc.edu/cgi-bin/hgTracks?position=204706_at","UCSC")</f>
        <v>UCSC</v>
      </c>
      <c r="E10945" s="1" t="str">
        <f>HYPERLINK("http://www.ncbi.nlm.nih.gov/gene/?term=INPP5E","NCBI")</f>
        <v>NCBI</v>
      </c>
      <c r="F10945">
        <v>0.26</v>
      </c>
      <c r="G10945">
        <v>0.41</v>
      </c>
      <c r="H10945" s="1" t="str">
        <f>HYPERLINK("http://www.weizmann.ac.il/complex/compphys/software/geview/data/figures/204706_at.png","Figure")</f>
        <v>Figure</v>
      </c>
      <c r="I10945">
        <v>1.39</v>
      </c>
      <c r="J10945">
        <v>0.24</v>
      </c>
      <c r="K10945">
        <v>1.18</v>
      </c>
      <c r="L10945">
        <v>0.59</v>
      </c>
      <c r="M10945">
        <v>0.85299999999999998</v>
      </c>
      <c r="N10945">
        <v>0.65</v>
      </c>
    </row>
    <row r="10946" spans="1:14" x14ac:dyDescent="0.25">
      <c r="A10946" t="s">
        <v>19004</v>
      </c>
      <c r="B10946" t="s">
        <v>10314</v>
      </c>
      <c r="C10946" s="1" t="str">
        <f>HYPERLINK("http://www.genecards.org/cgi-bin/carddisp.pl?gene=KLHL9","GeneCards")</f>
        <v>GeneCards</v>
      </c>
      <c r="D10946" s="1" t="str">
        <f>HYPERLINK("http://genome-euro.ucsc.edu/cgi-bin/hgTracks?position=213117_at","UCSC")</f>
        <v>UCSC</v>
      </c>
      <c r="E10946" s="1" t="str">
        <f>HYPERLINK("http://www.ncbi.nlm.nih.gov/gene/?term=KLHL9","NCBI")</f>
        <v>NCBI</v>
      </c>
      <c r="F10946">
        <v>0.26</v>
      </c>
      <c r="G10946">
        <v>0.41</v>
      </c>
      <c r="H10946" s="1" t="str">
        <f>HYPERLINK("http://www.weizmann.ac.il/complex/compphys/software/geview/data/figures/213117_at.png","Figure")</f>
        <v>Figure</v>
      </c>
      <c r="I10946">
        <v>0.98699999999999999</v>
      </c>
      <c r="J10946">
        <v>0.99</v>
      </c>
      <c r="K10946">
        <v>0.88200000000000001</v>
      </c>
      <c r="L10946">
        <v>0.3</v>
      </c>
      <c r="M10946">
        <v>0.89400000000000002</v>
      </c>
      <c r="N10946">
        <v>0.42</v>
      </c>
    </row>
    <row r="10947" spans="1:14" x14ac:dyDescent="0.25">
      <c r="A10947" t="s">
        <v>19005</v>
      </c>
      <c r="B10947" t="s">
        <v>19006</v>
      </c>
      <c r="C10947" s="1" t="str">
        <f>HYPERLINK("http://www.genecards.org/cgi-bin/carddisp.pl?gene=CYB5B","GeneCards")</f>
        <v>GeneCards</v>
      </c>
      <c r="D10947" s="1" t="str">
        <f>HYPERLINK("http://genome-euro.ucsc.edu/cgi-bin/hgTracks?position=201633_s_at","UCSC")</f>
        <v>UCSC</v>
      </c>
      <c r="E10947" s="1" t="str">
        <f>HYPERLINK("http://www.ncbi.nlm.nih.gov/gene/?term=CYB5B","NCBI")</f>
        <v>NCBI</v>
      </c>
      <c r="F10947">
        <v>0.26</v>
      </c>
      <c r="G10947">
        <v>0.41</v>
      </c>
      <c r="H10947" s="1" t="str">
        <f>HYPERLINK("http://www.weizmann.ac.il/complex/compphys/software/geview/data/figures/201633_s_at.png","Figure")</f>
        <v>Figure</v>
      </c>
      <c r="I10947">
        <v>1.18</v>
      </c>
      <c r="J10947">
        <v>0.24</v>
      </c>
      <c r="K10947">
        <v>1.0900000000000001</v>
      </c>
      <c r="L10947">
        <v>0.56000000000000005</v>
      </c>
      <c r="M10947">
        <v>0.92800000000000005</v>
      </c>
      <c r="N10947">
        <v>0.68</v>
      </c>
    </row>
    <row r="10948" spans="1:14" x14ac:dyDescent="0.25">
      <c r="A10948" t="s">
        <v>19007</v>
      </c>
      <c r="B10948" t="s">
        <v>15540</v>
      </c>
      <c r="C10948" s="1" t="str">
        <f>HYPERLINK("http://www.genecards.org/cgi-bin/carddisp.pl?gene=GAPDH","GeneCards")</f>
        <v>GeneCards</v>
      </c>
      <c r="D10948" s="1" t="str">
        <f>HYPERLINK("http://genome-euro.ucsc.edu/cgi-bin/hgTracks?position=212581_x_at","UCSC")</f>
        <v>UCSC</v>
      </c>
      <c r="E10948" s="1" t="str">
        <f>HYPERLINK("http://www.ncbi.nlm.nih.gov/gene/?term=GAPDH","NCBI")</f>
        <v>NCBI</v>
      </c>
      <c r="F10948">
        <v>0.26</v>
      </c>
      <c r="G10948">
        <v>0.41</v>
      </c>
      <c r="H10948" s="1" t="str">
        <f>HYPERLINK("http://www.weizmann.ac.il/complex/compphys/software/geview/data/figures/212581_x_at.png","Figure")</f>
        <v>Figure</v>
      </c>
      <c r="I10948">
        <v>0.80900000000000005</v>
      </c>
      <c r="J10948">
        <v>0.54</v>
      </c>
      <c r="K10948">
        <v>1.1100000000000001</v>
      </c>
      <c r="L10948">
        <v>0.82</v>
      </c>
      <c r="M10948">
        <v>1.37</v>
      </c>
      <c r="N10948">
        <v>0.23</v>
      </c>
    </row>
    <row r="10949" spans="1:14" x14ac:dyDescent="0.25">
      <c r="A10949" t="s">
        <v>19008</v>
      </c>
      <c r="B10949" t="s">
        <v>19009</v>
      </c>
      <c r="C10949" s="1" t="str">
        <f>HYPERLINK("http://www.genecards.org/cgi-bin/carddisp.pl?gene=SLC47A1","GeneCards")</f>
        <v>GeneCards</v>
      </c>
      <c r="D10949" s="1" t="str">
        <f>HYPERLINK("http://genome-euro.ucsc.edu/cgi-bin/hgTracks?position=219525_at","UCSC")</f>
        <v>UCSC</v>
      </c>
      <c r="E10949" s="1" t="str">
        <f>HYPERLINK("http://www.ncbi.nlm.nih.gov/gene/?term=SLC47A1","NCBI")</f>
        <v>NCBI</v>
      </c>
      <c r="F10949">
        <v>0.26</v>
      </c>
      <c r="G10949">
        <v>0.41</v>
      </c>
      <c r="H10949" s="1" t="str">
        <f>HYPERLINK("http://www.weizmann.ac.il/complex/compphys/software/geview/data/figures/219525_at.png","Figure")</f>
        <v>Figure</v>
      </c>
      <c r="I10949">
        <v>1.02</v>
      </c>
      <c r="J10949">
        <v>0.86</v>
      </c>
      <c r="K10949">
        <v>1.05</v>
      </c>
      <c r="L10949">
        <v>0.25</v>
      </c>
      <c r="M10949">
        <v>1.03</v>
      </c>
      <c r="N10949">
        <v>0.57999999999999996</v>
      </c>
    </row>
    <row r="10950" spans="1:14" x14ac:dyDescent="0.25">
      <c r="A10950" t="s">
        <v>19010</v>
      </c>
      <c r="B10950" t="s">
        <v>19011</v>
      </c>
      <c r="C10950" s="1" t="str">
        <f>HYPERLINK("http://www.genecards.org/cgi-bin/carddisp.pl?gene=TMEM59","GeneCards")</f>
        <v>GeneCards</v>
      </c>
      <c r="D10950" s="1" t="str">
        <f>HYPERLINK("http://genome-euro.ucsc.edu/cgi-bin/hgTracks?position=200620_at","UCSC")</f>
        <v>UCSC</v>
      </c>
      <c r="E10950" s="1" t="str">
        <f>HYPERLINK("http://www.ncbi.nlm.nih.gov/gene/?term=TMEM59","NCBI")</f>
        <v>NCBI</v>
      </c>
      <c r="F10950">
        <v>0.26</v>
      </c>
      <c r="G10950">
        <v>0.41</v>
      </c>
      <c r="H10950" s="1" t="str">
        <f>HYPERLINK("http://www.weizmann.ac.il/complex/compphys/software/geview/data/figures/200620_at.png","Figure")</f>
        <v>Figure</v>
      </c>
      <c r="I10950">
        <v>0.80800000000000005</v>
      </c>
      <c r="J10950">
        <v>0.39</v>
      </c>
      <c r="K10950">
        <v>0.80100000000000005</v>
      </c>
      <c r="L10950">
        <v>0.28000000000000003</v>
      </c>
      <c r="M10950">
        <v>0.99199999999999999</v>
      </c>
      <c r="N10950">
        <v>1</v>
      </c>
    </row>
    <row r="10951" spans="1:14" x14ac:dyDescent="0.25">
      <c r="A10951" t="s">
        <v>19012</v>
      </c>
      <c r="B10951" t="s">
        <v>19013</v>
      </c>
      <c r="C10951" s="1" t="str">
        <f>HYPERLINK("http://www.genecards.org/cgi-bin/carddisp.pl?gene=UBA2","GeneCards")</f>
        <v>GeneCards</v>
      </c>
      <c r="D10951" s="1" t="str">
        <f>HYPERLINK("http://genome-euro.ucsc.edu/cgi-bin/hgTracks?position=201177_s_at","UCSC")</f>
        <v>UCSC</v>
      </c>
      <c r="E10951" s="1" t="str">
        <f>HYPERLINK("http://www.ncbi.nlm.nih.gov/gene/?term=UBA2","NCBI")</f>
        <v>NCBI</v>
      </c>
      <c r="F10951">
        <v>0.26</v>
      </c>
      <c r="G10951">
        <v>0.41</v>
      </c>
      <c r="H10951" s="1" t="str">
        <f>HYPERLINK("http://www.weizmann.ac.il/complex/compphys/software/geview/data/figures/201177_s_at.png","Figure")</f>
        <v>Figure</v>
      </c>
      <c r="I10951">
        <v>0.79500000000000004</v>
      </c>
      <c r="J10951">
        <v>0.27</v>
      </c>
      <c r="K10951">
        <v>0.96299999999999997</v>
      </c>
      <c r="L10951">
        <v>0.95</v>
      </c>
      <c r="M10951">
        <v>1.21</v>
      </c>
      <c r="N10951">
        <v>0.35</v>
      </c>
    </row>
    <row r="10952" spans="1:14" x14ac:dyDescent="0.25">
      <c r="A10952" t="s">
        <v>19014</v>
      </c>
      <c r="B10952" t="s">
        <v>19015</v>
      </c>
      <c r="C10952" s="1" t="str">
        <f>HYPERLINK("http://www.genecards.org/cgi-bin/carddisp.pl?gene=ACTL6A","GeneCards")</f>
        <v>GeneCards</v>
      </c>
      <c r="D10952" s="1" t="str">
        <f>HYPERLINK("http://genome-euro.ucsc.edu/cgi-bin/hgTracks?position=202666_s_at","UCSC")</f>
        <v>UCSC</v>
      </c>
      <c r="E10952" s="1" t="str">
        <f>HYPERLINK("http://www.ncbi.nlm.nih.gov/gene/?term=ACTL6A","NCBI")</f>
        <v>NCBI</v>
      </c>
      <c r="F10952">
        <v>0.26</v>
      </c>
      <c r="G10952">
        <v>0.41</v>
      </c>
      <c r="H10952" s="1" t="str">
        <f>HYPERLINK("http://www.weizmann.ac.il/complex/compphys/software/geview/data/figures/202666_s_at.png","Figure")</f>
        <v>Figure</v>
      </c>
      <c r="I10952">
        <v>1.01</v>
      </c>
      <c r="J10952">
        <v>1</v>
      </c>
      <c r="K10952">
        <v>1.19</v>
      </c>
      <c r="L10952">
        <v>0.31</v>
      </c>
      <c r="M10952">
        <v>1.18</v>
      </c>
      <c r="N10952">
        <v>0.4</v>
      </c>
    </row>
    <row r="10953" spans="1:14" x14ac:dyDescent="0.25">
      <c r="A10953" t="s">
        <v>19016</v>
      </c>
      <c r="B10953" t="s">
        <v>19017</v>
      </c>
      <c r="C10953" s="1" t="str">
        <f>HYPERLINK("http://www.genecards.org/cgi-bin/carddisp.pl?gene=EDNRB","GeneCards")</f>
        <v>GeneCards</v>
      </c>
      <c r="D10953" s="1" t="str">
        <f>HYPERLINK("http://genome-euro.ucsc.edu/cgi-bin/hgTracks?position=204271_s_at","UCSC")</f>
        <v>UCSC</v>
      </c>
      <c r="E10953" s="1" t="str">
        <f>HYPERLINK("http://www.ncbi.nlm.nih.gov/gene/?term=EDNRB","NCBI")</f>
        <v>NCBI</v>
      </c>
      <c r="F10953">
        <v>0.26</v>
      </c>
      <c r="G10953">
        <v>0.41</v>
      </c>
      <c r="H10953" s="1" t="str">
        <f>HYPERLINK("http://www.weizmann.ac.il/complex/compphys/software/geview/data/figures/204271_s_at.png","Figure")</f>
        <v>Figure</v>
      </c>
      <c r="I10953">
        <v>1</v>
      </c>
      <c r="J10953">
        <v>1</v>
      </c>
      <c r="K10953">
        <v>0.78300000000000003</v>
      </c>
      <c r="L10953">
        <v>0.33</v>
      </c>
      <c r="M10953">
        <v>0.78300000000000003</v>
      </c>
      <c r="N10953">
        <v>0.38</v>
      </c>
    </row>
    <row r="10954" spans="1:14" x14ac:dyDescent="0.25">
      <c r="A10954" t="s">
        <v>19018</v>
      </c>
      <c r="B10954" t="s">
        <v>19019</v>
      </c>
      <c r="C10954" s="1" t="str">
        <f>HYPERLINK("http://www.genecards.org/cgi-bin/carddisp.pl?gene=TRIP6","GeneCards")</f>
        <v>GeneCards</v>
      </c>
      <c r="D10954" s="1" t="str">
        <f>HYPERLINK("http://genome-euro.ucsc.edu/cgi-bin/hgTracks?position=209129_at","UCSC")</f>
        <v>UCSC</v>
      </c>
      <c r="E10954" s="1" t="str">
        <f>HYPERLINK("http://www.ncbi.nlm.nih.gov/gene/?term=TRIP6","NCBI")</f>
        <v>NCBI</v>
      </c>
      <c r="F10954">
        <v>0.26</v>
      </c>
      <c r="G10954">
        <v>0.41</v>
      </c>
      <c r="H10954" s="1" t="str">
        <f>HYPERLINK("http://www.weizmann.ac.il/complex/compphys/software/geview/data/figures/209129_at.png","Figure")</f>
        <v>Figure</v>
      </c>
      <c r="I10954">
        <v>1.27</v>
      </c>
      <c r="J10954">
        <v>0.24</v>
      </c>
      <c r="K10954">
        <v>1.1000000000000001</v>
      </c>
      <c r="L10954">
        <v>0.74</v>
      </c>
      <c r="M10954">
        <v>0.86299999999999999</v>
      </c>
      <c r="N10954">
        <v>0.51</v>
      </c>
    </row>
    <row r="10955" spans="1:14" x14ac:dyDescent="0.25">
      <c r="A10955" t="s">
        <v>19020</v>
      </c>
      <c r="B10955" t="s">
        <v>19021</v>
      </c>
      <c r="C10955" s="1" t="str">
        <f>HYPERLINK("http://www.genecards.org/cgi-bin/carddisp.pl?gene=SMARCA1","GeneCards")</f>
        <v>GeneCards</v>
      </c>
      <c r="D10955" s="1" t="str">
        <f>HYPERLINK("http://genome-euro.ucsc.edu/cgi-bin/hgTracks?position=203873_at","UCSC")</f>
        <v>UCSC</v>
      </c>
      <c r="E10955" s="1" t="str">
        <f>HYPERLINK("http://www.ncbi.nlm.nih.gov/gene/?term=SMARCA1","NCBI")</f>
        <v>NCBI</v>
      </c>
      <c r="F10955">
        <v>0.26</v>
      </c>
      <c r="G10955">
        <v>0.41</v>
      </c>
      <c r="H10955" s="1" t="str">
        <f>HYPERLINK("http://www.weizmann.ac.il/complex/compphys/software/geview/data/figures/203873_at.png","Figure")</f>
        <v>Figure</v>
      </c>
      <c r="I10955">
        <v>1.06</v>
      </c>
      <c r="J10955">
        <v>0.51</v>
      </c>
      <c r="K10955">
        <v>0.97499999999999998</v>
      </c>
      <c r="L10955">
        <v>0.85</v>
      </c>
      <c r="M10955">
        <v>0.91700000000000004</v>
      </c>
      <c r="N10955">
        <v>0.24</v>
      </c>
    </row>
    <row r="10956" spans="1:14" x14ac:dyDescent="0.25">
      <c r="A10956" t="s">
        <v>19022</v>
      </c>
      <c r="B10956" t="s">
        <v>826</v>
      </c>
      <c r="C10956" s="1" t="str">
        <f>HYPERLINK("http://www.genecards.org/cgi-bin/carddisp.pl?gene=FOXN3","GeneCards")</f>
        <v>GeneCards</v>
      </c>
      <c r="D10956" s="1" t="str">
        <f>HYPERLINK("http://genome-euro.ucsc.edu/cgi-bin/hgTracks?position=205021_s_at","UCSC")</f>
        <v>UCSC</v>
      </c>
      <c r="E10956" s="1" t="str">
        <f>HYPERLINK("http://www.ncbi.nlm.nih.gov/gene/?term=FOXN3","NCBI")</f>
        <v>NCBI</v>
      </c>
      <c r="F10956">
        <v>0.26</v>
      </c>
      <c r="G10956">
        <v>0.41</v>
      </c>
      <c r="H10956" s="1" t="str">
        <f>HYPERLINK("http://www.weizmann.ac.il/complex/compphys/software/geview/data/figures/205021_s_at.png","Figure")</f>
        <v>Figure</v>
      </c>
      <c r="I10956">
        <v>1.22</v>
      </c>
      <c r="J10956">
        <v>0.31</v>
      </c>
      <c r="K10956">
        <v>1.18</v>
      </c>
      <c r="L10956">
        <v>0.34</v>
      </c>
      <c r="M10956">
        <v>0.96799999999999997</v>
      </c>
      <c r="N10956">
        <v>0.96</v>
      </c>
    </row>
    <row r="10957" spans="1:14" x14ac:dyDescent="0.25">
      <c r="A10957" t="s">
        <v>19023</v>
      </c>
      <c r="B10957" t="s">
        <v>19024</v>
      </c>
      <c r="C10957" s="1" t="str">
        <f>HYPERLINK("http://www.genecards.org/cgi-bin/carddisp.pl?gene=SYT13","GeneCards")</f>
        <v>GeneCards</v>
      </c>
      <c r="D10957" s="1" t="str">
        <f>HYPERLINK("http://genome-euro.ucsc.edu/cgi-bin/hgTracks?position=221859_at","UCSC")</f>
        <v>UCSC</v>
      </c>
      <c r="E10957" s="1" t="str">
        <f>HYPERLINK("http://www.ncbi.nlm.nih.gov/gene/?term=SYT13","NCBI")</f>
        <v>NCBI</v>
      </c>
      <c r="F10957">
        <v>0.26</v>
      </c>
      <c r="G10957">
        <v>0.41</v>
      </c>
      <c r="H10957" s="1" t="str">
        <f>HYPERLINK("http://www.weizmann.ac.il/complex/compphys/software/geview/data/figures/221859_at.png","Figure")</f>
        <v>Figure</v>
      </c>
      <c r="I10957">
        <v>1.1100000000000001</v>
      </c>
      <c r="J10957">
        <v>0.49</v>
      </c>
      <c r="K10957">
        <v>0.96199999999999997</v>
      </c>
      <c r="L10957">
        <v>0.88</v>
      </c>
      <c r="M10957">
        <v>0.86299999999999999</v>
      </c>
      <c r="N10957">
        <v>0.24</v>
      </c>
    </row>
    <row r="10958" spans="1:14" x14ac:dyDescent="0.25">
      <c r="A10958" t="s">
        <v>19025</v>
      </c>
      <c r="B10958" t="s">
        <v>19026</v>
      </c>
      <c r="C10958" s="1" t="str">
        <f>HYPERLINK("http://www.genecards.org/cgi-bin/carddisp.pl?gene=UBAP2","GeneCards")</f>
        <v>GeneCards</v>
      </c>
      <c r="D10958" s="1" t="str">
        <f>HYPERLINK("http://genome-euro.ucsc.edu/cgi-bin/hgTracks?position=221839_s_at","UCSC")</f>
        <v>UCSC</v>
      </c>
      <c r="E10958" s="1" t="str">
        <f>HYPERLINK("http://www.ncbi.nlm.nih.gov/gene/?term=UBAP2","NCBI")</f>
        <v>NCBI</v>
      </c>
      <c r="F10958">
        <v>0.26</v>
      </c>
      <c r="G10958">
        <v>0.41</v>
      </c>
      <c r="H10958" s="1" t="str">
        <f>HYPERLINK("http://www.weizmann.ac.il/complex/compphys/software/geview/data/figures/221839_s_at.png","Figure")</f>
        <v>Figure</v>
      </c>
      <c r="I10958">
        <v>1.1200000000000001</v>
      </c>
      <c r="J10958">
        <v>0.72</v>
      </c>
      <c r="K10958">
        <v>1.24</v>
      </c>
      <c r="L10958">
        <v>0.23</v>
      </c>
      <c r="M10958">
        <v>1.1100000000000001</v>
      </c>
      <c r="N10958">
        <v>0.73</v>
      </c>
    </row>
    <row r="10959" spans="1:14" x14ac:dyDescent="0.25">
      <c r="A10959" t="s">
        <v>19027</v>
      </c>
      <c r="B10959" t="s">
        <v>19028</v>
      </c>
      <c r="C10959" s="1" t="str">
        <f>HYPERLINK("http://www.genecards.org/cgi-bin/carddisp.pl?gene=TSC1","GeneCards")</f>
        <v>GeneCards</v>
      </c>
      <c r="D10959" s="1" t="str">
        <f>HYPERLINK("http://genome-euro.ucsc.edu/cgi-bin/hgTracks?position=209390_at","UCSC")</f>
        <v>UCSC</v>
      </c>
      <c r="E10959" s="1" t="str">
        <f>HYPERLINK("http://www.ncbi.nlm.nih.gov/gene/?term=TSC1","NCBI")</f>
        <v>NCBI</v>
      </c>
      <c r="F10959">
        <v>0.26</v>
      </c>
      <c r="G10959">
        <v>0.41</v>
      </c>
      <c r="H10959" s="1" t="str">
        <f>HYPERLINK("http://www.weizmann.ac.il/complex/compphys/software/geview/data/figures/209390_at.png","Figure")</f>
        <v>Figure</v>
      </c>
      <c r="I10959">
        <v>1.24</v>
      </c>
      <c r="J10959">
        <v>0.31</v>
      </c>
      <c r="K10959">
        <v>1.19</v>
      </c>
      <c r="L10959">
        <v>0.34</v>
      </c>
      <c r="M10959">
        <v>0.96299999999999997</v>
      </c>
      <c r="N10959">
        <v>0.96</v>
      </c>
    </row>
    <row r="10960" spans="1:14" x14ac:dyDescent="0.25">
      <c r="A10960" t="s">
        <v>19029</v>
      </c>
      <c r="B10960" t="s">
        <v>19030</v>
      </c>
      <c r="C10960" s="1" t="str">
        <f>HYPERLINK("http://www.genecards.org/cgi-bin/carddisp.pl?gene=PEA15","GeneCards")</f>
        <v>GeneCards</v>
      </c>
      <c r="D10960" s="1" t="str">
        <f>HYPERLINK("http://genome-euro.ucsc.edu/cgi-bin/hgTracks?position=200787_s_at","UCSC")</f>
        <v>UCSC</v>
      </c>
      <c r="E10960" s="1" t="str">
        <f>HYPERLINK("http://www.ncbi.nlm.nih.gov/gene/?term=PEA15","NCBI")</f>
        <v>NCBI</v>
      </c>
      <c r="F10960">
        <v>0.26</v>
      </c>
      <c r="G10960">
        <v>0.41</v>
      </c>
      <c r="H10960" s="1" t="str">
        <f>HYPERLINK("http://www.weizmann.ac.il/complex/compphys/software/geview/data/figures/200787_s_at.png","Figure")</f>
        <v>Figure</v>
      </c>
      <c r="I10960">
        <v>1.08</v>
      </c>
      <c r="J10960">
        <v>0.6</v>
      </c>
      <c r="K10960">
        <v>1.1200000000000001</v>
      </c>
      <c r="L10960">
        <v>0.24</v>
      </c>
      <c r="M10960">
        <v>1.04</v>
      </c>
      <c r="N10960">
        <v>0.85</v>
      </c>
    </row>
    <row r="10961" spans="1:14" x14ac:dyDescent="0.25">
      <c r="A10961" t="s">
        <v>19031</v>
      </c>
      <c r="B10961" t="s">
        <v>19032</v>
      </c>
      <c r="C10961" s="1" t="str">
        <f>HYPERLINK("http://www.genecards.org/cgi-bin/carddisp.pl?gene=MTX2","GeneCards")</f>
        <v>GeneCards</v>
      </c>
      <c r="D10961" s="1" t="str">
        <f>HYPERLINK("http://genome-euro.ucsc.edu/cgi-bin/hgTracks?position=203517_at","UCSC")</f>
        <v>UCSC</v>
      </c>
      <c r="E10961" s="1" t="str">
        <f>HYPERLINK("http://www.ncbi.nlm.nih.gov/gene/?term=MTX2","NCBI")</f>
        <v>NCBI</v>
      </c>
      <c r="F10961">
        <v>0.26</v>
      </c>
      <c r="G10961">
        <v>0.41</v>
      </c>
      <c r="H10961" s="1" t="str">
        <f>HYPERLINK("http://www.weizmann.ac.il/complex/compphys/software/geview/data/figures/203517_at.png","Figure")</f>
        <v>Figure</v>
      </c>
      <c r="I10961">
        <v>0.76200000000000001</v>
      </c>
      <c r="J10961">
        <v>0.32</v>
      </c>
      <c r="K10961">
        <v>0.99299999999999999</v>
      </c>
      <c r="L10961">
        <v>1</v>
      </c>
      <c r="M10961">
        <v>1.3</v>
      </c>
      <c r="N10961">
        <v>0.28999999999999998</v>
      </c>
    </row>
    <row r="10962" spans="1:14" x14ac:dyDescent="0.25">
      <c r="A10962" t="s">
        <v>19033</v>
      </c>
      <c r="B10962" t="s">
        <v>11213</v>
      </c>
      <c r="C10962" s="1" t="str">
        <f>HYPERLINK("http://www.genecards.org/cgi-bin/carddisp.pl?gene=FANCA","GeneCards")</f>
        <v>GeneCards</v>
      </c>
      <c r="D10962" s="1" t="str">
        <f>HYPERLINK("http://genome-euro.ucsc.edu/cgi-bin/hgTracks?position=203805_s_at","UCSC")</f>
        <v>UCSC</v>
      </c>
      <c r="E10962" s="1" t="str">
        <f>HYPERLINK("http://www.ncbi.nlm.nih.gov/gene/?term=FANCA","NCBI")</f>
        <v>NCBI</v>
      </c>
      <c r="F10962">
        <v>0.26</v>
      </c>
      <c r="G10962">
        <v>0.41</v>
      </c>
      <c r="H10962" s="1" t="str">
        <f>HYPERLINK("http://www.weizmann.ac.il/complex/compphys/software/geview/data/figures/203805_s_at.png","Figure")</f>
        <v>Figure</v>
      </c>
      <c r="I10962">
        <v>1.2</v>
      </c>
      <c r="J10962">
        <v>0.23</v>
      </c>
      <c r="K10962">
        <v>1.08</v>
      </c>
      <c r="L10962">
        <v>0.72</v>
      </c>
      <c r="M10962">
        <v>0.89500000000000002</v>
      </c>
      <c r="N10962">
        <v>0.52</v>
      </c>
    </row>
    <row r="10963" spans="1:14" x14ac:dyDescent="0.25">
      <c r="A10963" t="s">
        <v>19034</v>
      </c>
      <c r="B10963" t="s">
        <v>16761</v>
      </c>
      <c r="C10963" s="1" t="str">
        <f>HYPERLINK("http://www.genecards.org/cgi-bin/carddisp.pl?gene=TCOF1","GeneCards")</f>
        <v>GeneCards</v>
      </c>
      <c r="D10963" s="1" t="str">
        <f>HYPERLINK("http://genome-euro.ucsc.edu/cgi-bin/hgTracks?position=202384_s_at","UCSC")</f>
        <v>UCSC</v>
      </c>
      <c r="E10963" s="1" t="str">
        <f>HYPERLINK("http://www.ncbi.nlm.nih.gov/gene/?term=TCOF1","NCBI")</f>
        <v>NCBI</v>
      </c>
      <c r="F10963">
        <v>0.26</v>
      </c>
      <c r="G10963">
        <v>0.41</v>
      </c>
      <c r="H10963" s="1" t="str">
        <f>HYPERLINK("http://www.weizmann.ac.il/complex/compphys/software/geview/data/figures/202384_s_at.png","Figure")</f>
        <v>Figure</v>
      </c>
      <c r="I10963">
        <v>1.02</v>
      </c>
      <c r="J10963">
        <v>0.99</v>
      </c>
      <c r="K10963">
        <v>1.22</v>
      </c>
      <c r="L10963">
        <v>0.3</v>
      </c>
      <c r="M10963">
        <v>1.2</v>
      </c>
      <c r="N10963">
        <v>0.41</v>
      </c>
    </row>
    <row r="10964" spans="1:14" x14ac:dyDescent="0.25">
      <c r="A10964" t="s">
        <v>19035</v>
      </c>
      <c r="B10964" t="s">
        <v>19036</v>
      </c>
      <c r="C10964" s="1" t="str">
        <f>HYPERLINK("http://www.genecards.org/cgi-bin/carddisp.pl?gene=MAN2B2","GeneCards")</f>
        <v>GeneCards</v>
      </c>
      <c r="D10964" s="1" t="str">
        <f>HYPERLINK("http://genome-euro.ucsc.edu/cgi-bin/hgTracks?position=214703_s_at","UCSC")</f>
        <v>UCSC</v>
      </c>
      <c r="E10964" s="1" t="str">
        <f>HYPERLINK("http://www.ncbi.nlm.nih.gov/gene/?term=MAN2B2","NCBI")</f>
        <v>NCBI</v>
      </c>
      <c r="F10964">
        <v>0.26</v>
      </c>
      <c r="G10964">
        <v>0.41</v>
      </c>
      <c r="H10964" s="1" t="str">
        <f>HYPERLINK("http://www.weizmann.ac.il/complex/compphys/software/geview/data/figures/214703_s_at.png","Figure")</f>
        <v>Figure</v>
      </c>
      <c r="I10964">
        <v>0.77700000000000002</v>
      </c>
      <c r="J10964">
        <v>0.23</v>
      </c>
      <c r="K10964">
        <v>0.90100000000000002</v>
      </c>
      <c r="L10964">
        <v>0.7</v>
      </c>
      <c r="M10964">
        <v>1.1599999999999999</v>
      </c>
      <c r="N10964">
        <v>0.54</v>
      </c>
    </row>
    <row r="10965" spans="1:14" x14ac:dyDescent="0.25">
      <c r="A10965" t="s">
        <v>19037</v>
      </c>
      <c r="B10965" t="s">
        <v>19038</v>
      </c>
      <c r="C10965" s="1" t="str">
        <f>HYPERLINK("http://www.genecards.org/cgi-bin/carddisp.pl?gene=SLC39A9","GeneCards")</f>
        <v>GeneCards</v>
      </c>
      <c r="D10965" s="1" t="str">
        <f>HYPERLINK("http://genome-euro.ucsc.edu/cgi-bin/hgTracks?position=216009_at","UCSC")</f>
        <v>UCSC</v>
      </c>
      <c r="E10965" s="1" t="str">
        <f>HYPERLINK("http://www.ncbi.nlm.nih.gov/gene/?term=SLC39A9","NCBI")</f>
        <v>NCBI</v>
      </c>
      <c r="F10965">
        <v>0.26</v>
      </c>
      <c r="G10965">
        <v>0.41</v>
      </c>
      <c r="H10965" s="1" t="str">
        <f>HYPERLINK("http://www.weizmann.ac.il/complex/compphys/software/geview/data/figures/216009_at.png","Figure")</f>
        <v>Figure</v>
      </c>
      <c r="I10965">
        <v>1.1000000000000001</v>
      </c>
      <c r="J10965">
        <v>0.42</v>
      </c>
      <c r="K10965">
        <v>0.98099999999999998</v>
      </c>
      <c r="L10965">
        <v>0.95</v>
      </c>
      <c r="M10965">
        <v>0.89400000000000002</v>
      </c>
      <c r="N10965">
        <v>0.25</v>
      </c>
    </row>
    <row r="10966" spans="1:14" x14ac:dyDescent="0.25">
      <c r="A10966" t="s">
        <v>19039</v>
      </c>
      <c r="B10966" t="s">
        <v>19040</v>
      </c>
      <c r="C10966" s="1" t="str">
        <f>HYPERLINK("http://www.genecards.org/cgi-bin/carddisp.pl?gene=EPHX2","GeneCards")</f>
        <v>GeneCards</v>
      </c>
      <c r="D10966" s="1" t="str">
        <f>HYPERLINK("http://genome-euro.ucsc.edu/cgi-bin/hgTracks?position=209368_at","UCSC")</f>
        <v>UCSC</v>
      </c>
      <c r="E10966" s="1" t="str">
        <f>HYPERLINK("http://www.ncbi.nlm.nih.gov/gene/?term=EPHX2","NCBI")</f>
        <v>NCBI</v>
      </c>
      <c r="F10966">
        <v>0.26</v>
      </c>
      <c r="G10966">
        <v>0.41</v>
      </c>
      <c r="H10966" s="1" t="str">
        <f>HYPERLINK("http://www.weizmann.ac.il/complex/compphys/software/geview/data/figures/209368_at.png","Figure")</f>
        <v>Figure</v>
      </c>
      <c r="I10966">
        <v>1.04</v>
      </c>
      <c r="J10966">
        <v>0.24</v>
      </c>
      <c r="K10966">
        <v>1.02</v>
      </c>
      <c r="L10966">
        <v>0.54</v>
      </c>
      <c r="M10966">
        <v>0.98199999999999998</v>
      </c>
      <c r="N10966">
        <v>0.7</v>
      </c>
    </row>
    <row r="10967" spans="1:14" x14ac:dyDescent="0.25">
      <c r="A10967" t="s">
        <v>19041</v>
      </c>
      <c r="B10967" t="s">
        <v>19042</v>
      </c>
      <c r="C10967" s="1" t="str">
        <f>HYPERLINK("http://www.genecards.org/cgi-bin/carddisp.pl?gene=FGFBP1","GeneCards")</f>
        <v>GeneCards</v>
      </c>
      <c r="D10967" s="1" t="str">
        <f>HYPERLINK("http://genome-euro.ucsc.edu/cgi-bin/hgTracks?position=205014_at","UCSC")</f>
        <v>UCSC</v>
      </c>
      <c r="E10967" s="1" t="str">
        <f>HYPERLINK("http://www.ncbi.nlm.nih.gov/gene/?term=FGFBP1","NCBI")</f>
        <v>NCBI</v>
      </c>
      <c r="F10967">
        <v>0.26</v>
      </c>
      <c r="G10967">
        <v>0.41</v>
      </c>
      <c r="H10967" s="1" t="str">
        <f>HYPERLINK("http://www.weizmann.ac.il/complex/compphys/software/geview/data/figures/205014_at.png","Figure")</f>
        <v>Figure</v>
      </c>
      <c r="I10967">
        <v>1.1000000000000001</v>
      </c>
      <c r="J10967">
        <v>0.28000000000000003</v>
      </c>
      <c r="K10967">
        <v>1.08</v>
      </c>
      <c r="L10967">
        <v>0.38</v>
      </c>
      <c r="M10967">
        <v>0.97599999999999998</v>
      </c>
      <c r="N10967">
        <v>0.9</v>
      </c>
    </row>
    <row r="10968" spans="1:14" x14ac:dyDescent="0.25">
      <c r="A10968" t="s">
        <v>19043</v>
      </c>
      <c r="B10968" t="s">
        <v>19044</v>
      </c>
      <c r="C10968" s="1" t="str">
        <f>HYPERLINK("http://www.genecards.org/cgi-bin/carddisp.pl?gene=BTN2A2","GeneCards")</f>
        <v>GeneCards</v>
      </c>
      <c r="D10968" s="1" t="str">
        <f>HYPERLINK("http://genome-euro.ucsc.edu/cgi-bin/hgTracks?position=205298_s_at","UCSC")</f>
        <v>UCSC</v>
      </c>
      <c r="E10968" s="1" t="str">
        <f>HYPERLINK("http://www.ncbi.nlm.nih.gov/gene/?term=BTN2A2","NCBI")</f>
        <v>NCBI</v>
      </c>
      <c r="F10968">
        <v>0.26</v>
      </c>
      <c r="G10968">
        <v>0.41</v>
      </c>
      <c r="H10968" s="1" t="str">
        <f>HYPERLINK("http://www.weizmann.ac.il/complex/compphys/software/geview/data/figures/205298_s_at.png","Figure")</f>
        <v>Figure</v>
      </c>
      <c r="I10968">
        <v>1.1100000000000001</v>
      </c>
      <c r="J10968">
        <v>0.89</v>
      </c>
      <c r="K10968">
        <v>0.79200000000000004</v>
      </c>
      <c r="L10968">
        <v>0.48</v>
      </c>
      <c r="M10968">
        <v>0.71299999999999997</v>
      </c>
      <c r="N10968">
        <v>0.28000000000000003</v>
      </c>
    </row>
    <row r="10969" spans="1:14" x14ac:dyDescent="0.25">
      <c r="A10969" t="s">
        <v>19045</v>
      </c>
      <c r="B10969" t="s">
        <v>10964</v>
      </c>
      <c r="C10969" s="1" t="str">
        <f>HYPERLINK("http://www.genecards.org/cgi-bin/carddisp.pl?gene=CTDSPL","GeneCards")</f>
        <v>GeneCards</v>
      </c>
      <c r="D10969" s="1" t="str">
        <f>HYPERLINK("http://genome-euro.ucsc.edu/cgi-bin/hgTracks?position=214187_x_at","UCSC")</f>
        <v>UCSC</v>
      </c>
      <c r="E10969" s="1" t="str">
        <f>HYPERLINK("http://www.ncbi.nlm.nih.gov/gene/?term=CTDSPL","NCBI")</f>
        <v>NCBI</v>
      </c>
      <c r="F10969">
        <v>0.26</v>
      </c>
      <c r="G10969">
        <v>0.41</v>
      </c>
      <c r="H10969" s="1" t="str">
        <f>HYPERLINK("http://www.weizmann.ac.il/complex/compphys/software/geview/data/figures/214187_x_at.png","Figure")</f>
        <v>Figure</v>
      </c>
      <c r="I10969">
        <v>1.07</v>
      </c>
      <c r="J10969">
        <v>0.28999999999999998</v>
      </c>
      <c r="K10969">
        <v>1.05</v>
      </c>
      <c r="L10969">
        <v>0.36</v>
      </c>
      <c r="M10969">
        <v>0.98599999999999999</v>
      </c>
      <c r="N10969">
        <v>0.93</v>
      </c>
    </row>
    <row r="10970" spans="1:14" x14ac:dyDescent="0.25">
      <c r="A10970" t="s">
        <v>19046</v>
      </c>
      <c r="B10970" t="s">
        <v>19047</v>
      </c>
      <c r="C10970" s="1" t="str">
        <f>HYPERLINK("http://www.genecards.org/cgi-bin/carddisp.pl?gene=CDH22","GeneCards")</f>
        <v>GeneCards</v>
      </c>
      <c r="D10970" s="1" t="str">
        <f>HYPERLINK("http://genome-euro.ucsc.edu/cgi-bin/hgTracks?position=215181_at","UCSC")</f>
        <v>UCSC</v>
      </c>
      <c r="E10970" s="1" t="str">
        <f>HYPERLINK("http://www.ncbi.nlm.nih.gov/gene/?term=CDH22","NCBI")</f>
        <v>NCBI</v>
      </c>
      <c r="F10970">
        <v>0.26</v>
      </c>
      <c r="G10970">
        <v>0.41</v>
      </c>
      <c r="H10970" s="1" t="str">
        <f>HYPERLINK("http://www.weizmann.ac.il/complex/compphys/software/geview/data/figures/215181_at.png","Figure")</f>
        <v>Figure</v>
      </c>
      <c r="I10970">
        <v>1.05</v>
      </c>
      <c r="J10970">
        <v>0.72</v>
      </c>
      <c r="K10970">
        <v>0.95399999999999996</v>
      </c>
      <c r="L10970">
        <v>0.64</v>
      </c>
      <c r="M10970">
        <v>0.91100000000000003</v>
      </c>
      <c r="N10970">
        <v>0.24</v>
      </c>
    </row>
    <row r="10971" spans="1:14" x14ac:dyDescent="0.25">
      <c r="A10971" t="s">
        <v>19048</v>
      </c>
      <c r="B10971" t="s">
        <v>19049</v>
      </c>
      <c r="C10971" s="1" t="str">
        <f>HYPERLINK("http://www.genecards.org/cgi-bin/carddisp.pl?gene=HNRNPA1 /// HNRNPA1L2 /// HNRPA1L-2 /// LOC100290205 /// LOC120364 /// LOC642817 /// LOC644037 /// L","GeneCards")</f>
        <v>GeneCards</v>
      </c>
      <c r="D10971" s="1" t="str">
        <f>HYPERLINK("http://genome-euro.ucsc.edu/cgi-bin/hgTracks?position=216559_x_at","UCSC")</f>
        <v>UCSC</v>
      </c>
      <c r="E10971" s="1" t="str">
        <f>HYPERLINK("http://www.ncbi.nlm.nih.gov/gene/?term=HNRNPA1 /// HNRNPA1L2 /// HNRPA1L-2 /// LOC100290205 /// LOC120364 /// LOC642817 /// LOC644037 /// L","NCBI")</f>
        <v>NCBI</v>
      </c>
      <c r="F10971">
        <v>0.26</v>
      </c>
      <c r="G10971">
        <v>0.41</v>
      </c>
      <c r="H10971" s="1" t="str">
        <f>HYPERLINK("http://www.weizmann.ac.il/complex/compphys/software/geview/data/figures/216559_x_at.png","Figure")</f>
        <v>Figure</v>
      </c>
      <c r="I10971">
        <v>1.34</v>
      </c>
      <c r="J10971">
        <v>0.24</v>
      </c>
      <c r="K10971">
        <v>1.1100000000000001</v>
      </c>
      <c r="L10971">
        <v>0.78</v>
      </c>
      <c r="M10971">
        <v>0.82399999999999995</v>
      </c>
      <c r="N10971">
        <v>0.47</v>
      </c>
    </row>
    <row r="10972" spans="1:14" x14ac:dyDescent="0.25">
      <c r="A10972" t="s">
        <v>19050</v>
      </c>
      <c r="B10972" t="s">
        <v>11915</v>
      </c>
      <c r="C10972" s="1" t="str">
        <f>HYPERLINK("http://www.genecards.org/cgi-bin/carddisp.pl?gene=FKBP8","GeneCards")</f>
        <v>GeneCards</v>
      </c>
      <c r="D10972" s="1" t="str">
        <f>HYPERLINK("http://genome-euro.ucsc.edu/cgi-bin/hgTracks?position=40850_at","UCSC")</f>
        <v>UCSC</v>
      </c>
      <c r="E10972" s="1" t="str">
        <f>HYPERLINK("http://www.ncbi.nlm.nih.gov/gene/?term=FKBP8","NCBI")</f>
        <v>NCBI</v>
      </c>
      <c r="F10972">
        <v>0.26</v>
      </c>
      <c r="G10972">
        <v>0.41</v>
      </c>
      <c r="H10972" s="1" t="str">
        <f>HYPERLINK("http://www.weizmann.ac.il/complex/compphys/software/geview/data/figures/40850_at.png","Figure")</f>
        <v>Figure</v>
      </c>
      <c r="I10972">
        <v>1.0900000000000001</v>
      </c>
      <c r="J10972">
        <v>0.74</v>
      </c>
      <c r="K10972">
        <v>1.19</v>
      </c>
      <c r="L10972">
        <v>0.24</v>
      </c>
      <c r="M10972">
        <v>1.0900000000000001</v>
      </c>
      <c r="N10972">
        <v>0.71</v>
      </c>
    </row>
    <row r="10973" spans="1:14" x14ac:dyDescent="0.25">
      <c r="A10973" t="s">
        <v>19051</v>
      </c>
      <c r="B10973" t="s">
        <v>12373</v>
      </c>
      <c r="C10973" s="1" t="str">
        <f>HYPERLINK("http://www.genecards.org/cgi-bin/carddisp.pl?gene=EXOC7","GeneCards")</f>
        <v>GeneCards</v>
      </c>
      <c r="D10973" s="1" t="str">
        <f>HYPERLINK("http://genome-euro.ucsc.edu/cgi-bin/hgTracks?position=212026_s_at","UCSC")</f>
        <v>UCSC</v>
      </c>
      <c r="E10973" s="1" t="str">
        <f>HYPERLINK("http://www.ncbi.nlm.nih.gov/gene/?term=EXOC7","NCBI")</f>
        <v>NCBI</v>
      </c>
      <c r="F10973">
        <v>0.26</v>
      </c>
      <c r="G10973">
        <v>0.41</v>
      </c>
      <c r="H10973" s="1" t="str">
        <f>HYPERLINK("http://www.weizmann.ac.il/complex/compphys/software/geview/data/figures/212026_s_at.png","Figure")</f>
        <v>Figure</v>
      </c>
      <c r="I10973">
        <v>0.83599999999999997</v>
      </c>
      <c r="J10973">
        <v>0.24</v>
      </c>
      <c r="K10973">
        <v>0.93400000000000005</v>
      </c>
      <c r="L10973">
        <v>0.74</v>
      </c>
      <c r="M10973">
        <v>1.1200000000000001</v>
      </c>
      <c r="N10973">
        <v>0.51</v>
      </c>
    </row>
    <row r="10974" spans="1:14" x14ac:dyDescent="0.25">
      <c r="A10974" t="s">
        <v>19052</v>
      </c>
      <c r="B10974" t="s">
        <v>19053</v>
      </c>
      <c r="C10974" s="1" t="str">
        <f>HYPERLINK("http://www.genecards.org/cgi-bin/carddisp.pl?gene=KIF25","GeneCards")</f>
        <v>GeneCards</v>
      </c>
      <c r="D10974" s="1" t="str">
        <f>HYPERLINK("http://genome-euro.ucsc.edu/cgi-bin/hgTracks?position=208128_x_at","UCSC")</f>
        <v>UCSC</v>
      </c>
      <c r="E10974" s="1" t="str">
        <f>HYPERLINK("http://www.ncbi.nlm.nih.gov/gene/?term=KIF25","NCBI")</f>
        <v>NCBI</v>
      </c>
      <c r="F10974">
        <v>0.26</v>
      </c>
      <c r="G10974">
        <v>0.41</v>
      </c>
      <c r="H10974" s="1" t="str">
        <f>HYPERLINK("http://www.weizmann.ac.il/complex/compphys/software/geview/data/figures/208128_x_at.png","Figure")</f>
        <v>Figure</v>
      </c>
      <c r="I10974">
        <v>1.1299999999999999</v>
      </c>
      <c r="J10974">
        <v>0.36</v>
      </c>
      <c r="K10974">
        <v>0.99199999999999999</v>
      </c>
      <c r="L10974">
        <v>0.99</v>
      </c>
      <c r="M10974">
        <v>0.88100000000000001</v>
      </c>
      <c r="N10974">
        <v>0.27</v>
      </c>
    </row>
    <row r="10975" spans="1:14" x14ac:dyDescent="0.25">
      <c r="A10975" t="s">
        <v>19054</v>
      </c>
      <c r="B10975" t="s">
        <v>19055</v>
      </c>
      <c r="C10975" s="1" t="str">
        <f>HYPERLINK("http://www.genecards.org/cgi-bin/carddisp.pl?gene=PRCP","GeneCards")</f>
        <v>GeneCards</v>
      </c>
      <c r="D10975" s="1" t="str">
        <f>HYPERLINK("http://genome-euro.ucsc.edu/cgi-bin/hgTracks?position=201494_at","UCSC")</f>
        <v>UCSC</v>
      </c>
      <c r="E10975" s="1" t="str">
        <f>HYPERLINK("http://www.ncbi.nlm.nih.gov/gene/?term=PRCP","NCBI")</f>
        <v>NCBI</v>
      </c>
      <c r="F10975">
        <v>0.26</v>
      </c>
      <c r="G10975">
        <v>0.41</v>
      </c>
      <c r="H10975" s="1" t="str">
        <f>HYPERLINK("http://www.weizmann.ac.il/complex/compphys/software/geview/data/figures/201494_at.png","Figure")</f>
        <v>Figure</v>
      </c>
      <c r="I10975">
        <v>0.91</v>
      </c>
      <c r="J10975">
        <v>0.85</v>
      </c>
      <c r="K10975">
        <v>1.18</v>
      </c>
      <c r="L10975">
        <v>0.52</v>
      </c>
      <c r="M10975">
        <v>1.3</v>
      </c>
      <c r="N10975">
        <v>0.26</v>
      </c>
    </row>
    <row r="10976" spans="1:14" x14ac:dyDescent="0.25">
      <c r="A10976" t="s">
        <v>19056</v>
      </c>
      <c r="B10976" t="s">
        <v>19057</v>
      </c>
      <c r="C10976" s="1" t="str">
        <f>HYPERLINK("http://www.genecards.org/cgi-bin/carddisp.pl?gene=COL1A2","GeneCards")</f>
        <v>GeneCards</v>
      </c>
      <c r="D10976" s="1" t="str">
        <f>HYPERLINK("http://genome-euro.ucsc.edu/cgi-bin/hgTracks?position=202403_s_at","UCSC")</f>
        <v>UCSC</v>
      </c>
      <c r="E10976" s="1" t="str">
        <f>HYPERLINK("http://www.ncbi.nlm.nih.gov/gene/?term=COL1A2","NCBI")</f>
        <v>NCBI</v>
      </c>
      <c r="F10976">
        <v>0.26</v>
      </c>
      <c r="G10976">
        <v>0.41</v>
      </c>
      <c r="H10976" s="1" t="str">
        <f>HYPERLINK("http://www.weizmann.ac.il/complex/compphys/software/geview/data/figures/202403_s_at.png","Figure")</f>
        <v>Figure</v>
      </c>
      <c r="I10976">
        <v>1.05</v>
      </c>
      <c r="J10976">
        <v>0.79</v>
      </c>
      <c r="K10976">
        <v>0.94</v>
      </c>
      <c r="L10976">
        <v>0.56999999999999995</v>
      </c>
      <c r="M10976">
        <v>0.89900000000000002</v>
      </c>
      <c r="N10976">
        <v>0.25</v>
      </c>
    </row>
    <row r="10977" spans="1:14" x14ac:dyDescent="0.25">
      <c r="A10977" t="s">
        <v>19058</v>
      </c>
      <c r="B10977" t="s">
        <v>11118</v>
      </c>
      <c r="C10977" s="1" t="str">
        <f>HYPERLINK("http://www.genecards.org/cgi-bin/carddisp.pl?gene=SLC12A4","GeneCards")</f>
        <v>GeneCards</v>
      </c>
      <c r="D10977" s="1" t="str">
        <f>HYPERLINK("http://genome-euro.ucsc.edu/cgi-bin/hgTracks?position=211112_at","UCSC")</f>
        <v>UCSC</v>
      </c>
      <c r="E10977" s="1" t="str">
        <f>HYPERLINK("http://www.ncbi.nlm.nih.gov/gene/?term=SLC12A4","NCBI")</f>
        <v>NCBI</v>
      </c>
      <c r="F10977">
        <v>0.26</v>
      </c>
      <c r="G10977">
        <v>0.41</v>
      </c>
      <c r="H10977" s="1" t="str">
        <f>HYPERLINK("http://www.weizmann.ac.il/complex/compphys/software/geview/data/figures/211112_at.png","Figure")</f>
        <v>Figure</v>
      </c>
      <c r="I10977">
        <v>1.26</v>
      </c>
      <c r="J10977">
        <v>0.25</v>
      </c>
      <c r="K10977">
        <v>1.07</v>
      </c>
      <c r="L10977">
        <v>0.83</v>
      </c>
      <c r="M10977">
        <v>0.85299999999999998</v>
      </c>
      <c r="N10977">
        <v>0.44</v>
      </c>
    </row>
    <row r="10978" spans="1:14" x14ac:dyDescent="0.25">
      <c r="A10978" t="s">
        <v>19059</v>
      </c>
      <c r="B10978" t="s">
        <v>19060</v>
      </c>
      <c r="C10978" s="1" t="str">
        <f>HYPERLINK("http://www.genecards.org/cgi-bin/carddisp.pl?gene=KLHL29","GeneCards")</f>
        <v>GeneCards</v>
      </c>
      <c r="D10978" s="1" t="str">
        <f>HYPERLINK("http://genome-euro.ucsc.edu/cgi-bin/hgTracks?position=220348_at","UCSC")</f>
        <v>UCSC</v>
      </c>
      <c r="E10978" s="1" t="str">
        <f>HYPERLINK("http://www.ncbi.nlm.nih.gov/gene/?term=KLHL29","NCBI")</f>
        <v>NCBI</v>
      </c>
      <c r="F10978">
        <v>0.26</v>
      </c>
      <c r="G10978">
        <v>0.41</v>
      </c>
      <c r="H10978" s="1" t="str">
        <f>HYPERLINK("http://www.weizmann.ac.il/complex/compphys/software/geview/data/figures/220348_at.png","Figure")</f>
        <v>Figure</v>
      </c>
      <c r="I10978">
        <v>1</v>
      </c>
      <c r="J10978">
        <v>1</v>
      </c>
      <c r="K10978">
        <v>0.97099999999999997</v>
      </c>
      <c r="L10978">
        <v>0.33</v>
      </c>
      <c r="M10978">
        <v>0.97099999999999997</v>
      </c>
      <c r="N10978">
        <v>0.38</v>
      </c>
    </row>
    <row r="10979" spans="1:14" x14ac:dyDescent="0.25">
      <c r="A10979" t="s">
        <v>19061</v>
      </c>
      <c r="B10979" t="s">
        <v>19062</v>
      </c>
      <c r="C10979" s="1" t="str">
        <f>HYPERLINK("http://www.genecards.org/cgi-bin/carddisp.pl?gene=ATOH1","GeneCards")</f>
        <v>GeneCards</v>
      </c>
      <c r="D10979" s="1" t="str">
        <f>HYPERLINK("http://genome-euro.ucsc.edu/cgi-bin/hgTracks?position=221336_at","UCSC")</f>
        <v>UCSC</v>
      </c>
      <c r="E10979" s="1" t="str">
        <f>HYPERLINK("http://www.ncbi.nlm.nih.gov/gene/?term=ATOH1","NCBI")</f>
        <v>NCBI</v>
      </c>
      <c r="F10979">
        <v>0.26</v>
      </c>
      <c r="G10979">
        <v>0.41</v>
      </c>
      <c r="H10979" s="1" t="str">
        <f>HYPERLINK("http://www.weizmann.ac.il/complex/compphys/software/geview/data/figures/221336_at.png","Figure")</f>
        <v>Figure</v>
      </c>
      <c r="I10979">
        <v>1.1000000000000001</v>
      </c>
      <c r="J10979">
        <v>0.54</v>
      </c>
      <c r="K10979">
        <v>1.1299999999999999</v>
      </c>
      <c r="L10979">
        <v>0.24</v>
      </c>
      <c r="M10979">
        <v>1.03</v>
      </c>
      <c r="N10979">
        <v>0.91</v>
      </c>
    </row>
    <row r="10980" spans="1:14" x14ac:dyDescent="0.25">
      <c r="A10980" t="s">
        <v>19063</v>
      </c>
      <c r="B10980" t="s">
        <v>19064</v>
      </c>
      <c r="C10980" s="1" t="str">
        <f>HYPERLINK("http://www.genecards.org/cgi-bin/carddisp.pl?gene=PSG11","GeneCards")</f>
        <v>GeneCards</v>
      </c>
      <c r="D10980" s="1" t="str">
        <f>HYPERLINK("http://genome-euro.ucsc.edu/cgi-bin/hgTracks?position=206570_s_at","UCSC")</f>
        <v>UCSC</v>
      </c>
      <c r="E10980" s="1" t="str">
        <f>HYPERLINK("http://www.ncbi.nlm.nih.gov/gene/?term=PSG11","NCBI")</f>
        <v>NCBI</v>
      </c>
      <c r="F10980">
        <v>0.26</v>
      </c>
      <c r="G10980">
        <v>0.41</v>
      </c>
      <c r="H10980" s="1" t="str">
        <f>HYPERLINK("http://www.weizmann.ac.il/complex/compphys/software/geview/data/figures/206570_s_at.png","Figure")</f>
        <v>Figure</v>
      </c>
      <c r="I10980">
        <v>1.1299999999999999</v>
      </c>
      <c r="J10980">
        <v>0.24</v>
      </c>
      <c r="K10980">
        <v>1.05</v>
      </c>
      <c r="L10980">
        <v>0.71</v>
      </c>
      <c r="M10980">
        <v>0.93</v>
      </c>
      <c r="N10980">
        <v>0.53</v>
      </c>
    </row>
    <row r="10981" spans="1:14" x14ac:dyDescent="0.25">
      <c r="A10981" t="s">
        <v>19065</v>
      </c>
      <c r="B10981" t="s">
        <v>9986</v>
      </c>
      <c r="C10981" s="1" t="str">
        <f>HYPERLINK("http://www.genecards.org/cgi-bin/carddisp.pl?gene=SERINC3","GeneCards")</f>
        <v>GeneCards</v>
      </c>
      <c r="D10981" s="1" t="str">
        <f>HYPERLINK("http://genome-euro.ucsc.edu/cgi-bin/hgTracks?position=221471_at","UCSC")</f>
        <v>UCSC</v>
      </c>
      <c r="E10981" s="1" t="str">
        <f>HYPERLINK("http://www.ncbi.nlm.nih.gov/gene/?term=SERINC3","NCBI")</f>
        <v>NCBI</v>
      </c>
      <c r="F10981">
        <v>0.26</v>
      </c>
      <c r="G10981">
        <v>0.41</v>
      </c>
      <c r="H10981" s="1" t="str">
        <f>HYPERLINK("http://www.weizmann.ac.il/complex/compphys/software/geview/data/figures/221471_at.png","Figure")</f>
        <v>Figure</v>
      </c>
      <c r="I10981">
        <v>0.84299999999999997</v>
      </c>
      <c r="J10981">
        <v>0.76</v>
      </c>
      <c r="K10981">
        <v>1.23</v>
      </c>
      <c r="L10981">
        <v>0.6</v>
      </c>
      <c r="M10981">
        <v>1.46</v>
      </c>
      <c r="N10981">
        <v>0.25</v>
      </c>
    </row>
    <row r="10982" spans="1:14" x14ac:dyDescent="0.25">
      <c r="A10982" t="s">
        <v>19066</v>
      </c>
      <c r="B10982" t="s">
        <v>19067</v>
      </c>
      <c r="C10982" s="1" t="str">
        <f>HYPERLINK("http://www.genecards.org/cgi-bin/carddisp.pl?gene=C7orf63","GeneCards")</f>
        <v>GeneCards</v>
      </c>
      <c r="D10982" s="1" t="str">
        <f>HYPERLINK("http://genome-euro.ucsc.edu/cgi-bin/hgTracks?position=219455_at","UCSC")</f>
        <v>UCSC</v>
      </c>
      <c r="E10982" s="1" t="str">
        <f>HYPERLINK("http://www.ncbi.nlm.nih.gov/gene/?term=C7orf63","NCBI")</f>
        <v>NCBI</v>
      </c>
      <c r="F10982">
        <v>0.26</v>
      </c>
      <c r="G10982">
        <v>0.41</v>
      </c>
      <c r="H10982" s="1" t="str">
        <f>HYPERLINK("http://www.weizmann.ac.il/complex/compphys/software/geview/data/figures/219455_at.png","Figure")</f>
        <v>Figure</v>
      </c>
      <c r="I10982">
        <v>1.1299999999999999</v>
      </c>
      <c r="J10982">
        <v>0.24</v>
      </c>
      <c r="K10982">
        <v>1.06</v>
      </c>
      <c r="L10982">
        <v>0.61</v>
      </c>
      <c r="M10982">
        <v>0.94</v>
      </c>
      <c r="N10982">
        <v>0.63</v>
      </c>
    </row>
    <row r="10983" spans="1:14" x14ac:dyDescent="0.25">
      <c r="A10983" t="s">
        <v>19068</v>
      </c>
      <c r="B10983" t="s">
        <v>19069</v>
      </c>
      <c r="C10983" s="1" t="str">
        <f>HYPERLINK("http://www.genecards.org/cgi-bin/carddisp.pl?gene=CDSN","GeneCards")</f>
        <v>GeneCards</v>
      </c>
      <c r="D10983" s="1" t="str">
        <f>HYPERLINK("http://genome-euro.ucsc.edu/cgi-bin/hgTracks?position=206192_at","UCSC")</f>
        <v>UCSC</v>
      </c>
      <c r="E10983" s="1" t="str">
        <f>HYPERLINK("http://www.ncbi.nlm.nih.gov/gene/?term=CDSN","NCBI")</f>
        <v>NCBI</v>
      </c>
      <c r="F10983">
        <v>0.26</v>
      </c>
      <c r="G10983">
        <v>0.41</v>
      </c>
      <c r="H10983" s="1" t="str">
        <f>HYPERLINK("http://www.weizmann.ac.il/complex/compphys/software/geview/data/figures/206192_at.png","Figure")</f>
        <v>Figure</v>
      </c>
      <c r="I10983">
        <v>1.1299999999999999</v>
      </c>
      <c r="J10983">
        <v>0.31</v>
      </c>
      <c r="K10983">
        <v>1.1100000000000001</v>
      </c>
      <c r="L10983">
        <v>0.34</v>
      </c>
      <c r="M10983">
        <v>0.97899999999999998</v>
      </c>
      <c r="N10983">
        <v>0.96</v>
      </c>
    </row>
    <row r="10984" spans="1:14" x14ac:dyDescent="0.25">
      <c r="A10984" t="s">
        <v>19070</v>
      </c>
      <c r="B10984" t="s">
        <v>19071</v>
      </c>
      <c r="C10984" s="1" t="str">
        <f>HYPERLINK("http://www.genecards.org/cgi-bin/carddisp.pl?gene=RGS4","GeneCards")</f>
        <v>GeneCards</v>
      </c>
      <c r="D10984" s="1" t="str">
        <f>HYPERLINK("http://genome-euro.ucsc.edu/cgi-bin/hgTracks?position=204339_s_at","UCSC")</f>
        <v>UCSC</v>
      </c>
      <c r="E10984" s="1" t="str">
        <f>HYPERLINK("http://www.ncbi.nlm.nih.gov/gene/?term=RGS4","NCBI")</f>
        <v>NCBI</v>
      </c>
      <c r="F10984">
        <v>0.26</v>
      </c>
      <c r="G10984">
        <v>0.41</v>
      </c>
      <c r="H10984" s="1" t="str">
        <f>HYPERLINK("http://www.weizmann.ac.il/complex/compphys/software/geview/data/figures/204339_s_at.png","Figure")</f>
        <v>Figure</v>
      </c>
      <c r="I10984">
        <v>1.05</v>
      </c>
      <c r="J10984">
        <v>0.88</v>
      </c>
      <c r="K10984">
        <v>0.91100000000000003</v>
      </c>
      <c r="L10984">
        <v>0.49</v>
      </c>
      <c r="M10984">
        <v>0.871</v>
      </c>
      <c r="N10984">
        <v>0.27</v>
      </c>
    </row>
    <row r="10985" spans="1:14" x14ac:dyDescent="0.25">
      <c r="A10985" t="s">
        <v>19072</v>
      </c>
      <c r="B10985" t="s">
        <v>9159</v>
      </c>
      <c r="C10985" s="1" t="str">
        <f>HYPERLINK("http://www.genecards.org/cgi-bin/carddisp.pl?gene=CD47","GeneCards")</f>
        <v>GeneCards</v>
      </c>
      <c r="D10985" s="1" t="str">
        <f>HYPERLINK("http://genome-euro.ucsc.edu/cgi-bin/hgTracks?position=213857_s_at","UCSC")</f>
        <v>UCSC</v>
      </c>
      <c r="E10985" s="1" t="str">
        <f>HYPERLINK("http://www.ncbi.nlm.nih.gov/gene/?term=CD47","NCBI")</f>
        <v>NCBI</v>
      </c>
      <c r="F10985">
        <v>0.26</v>
      </c>
      <c r="G10985">
        <v>0.41</v>
      </c>
      <c r="H10985" s="1" t="str">
        <f>HYPERLINK("http://www.weizmann.ac.il/complex/compphys/software/geview/data/figures/213857_s_at.png","Figure")</f>
        <v>Figure</v>
      </c>
      <c r="I10985">
        <v>1.24</v>
      </c>
      <c r="J10985">
        <v>0.34</v>
      </c>
      <c r="K10985">
        <v>0.99399999999999999</v>
      </c>
      <c r="L10985">
        <v>1</v>
      </c>
      <c r="M10985">
        <v>0.79900000000000004</v>
      </c>
      <c r="N10985">
        <v>0.28000000000000003</v>
      </c>
    </row>
    <row r="10986" spans="1:14" x14ac:dyDescent="0.25">
      <c r="A10986" t="s">
        <v>19073</v>
      </c>
      <c r="B10986" t="s">
        <v>19074</v>
      </c>
      <c r="C10986" s="1" t="str">
        <f>HYPERLINK("http://www.genecards.org/cgi-bin/carddisp.pl?gene=NAT11","GeneCards")</f>
        <v>GeneCards</v>
      </c>
      <c r="D10986" s="1" t="str">
        <f>HYPERLINK("http://genome-euro.ucsc.edu/cgi-bin/hgTracks?position=218734_at","UCSC")</f>
        <v>UCSC</v>
      </c>
      <c r="E10986" s="1" t="str">
        <f>HYPERLINK("http://www.ncbi.nlm.nih.gov/gene/?term=NAT11","NCBI")</f>
        <v>NCBI</v>
      </c>
      <c r="F10986">
        <v>0.26</v>
      </c>
      <c r="G10986">
        <v>0.41</v>
      </c>
      <c r="H10986" s="1" t="str">
        <f>HYPERLINK("http://www.weizmann.ac.il/complex/compphys/software/geview/data/figures/218734_at.png","Figure")</f>
        <v>Figure</v>
      </c>
      <c r="I10986">
        <v>1.28</v>
      </c>
      <c r="J10986">
        <v>0.26</v>
      </c>
      <c r="K10986">
        <v>1.17</v>
      </c>
      <c r="L10986">
        <v>0.46</v>
      </c>
      <c r="M10986">
        <v>0.91700000000000004</v>
      </c>
      <c r="N10986">
        <v>0.81</v>
      </c>
    </row>
    <row r="10987" spans="1:14" x14ac:dyDescent="0.25">
      <c r="A10987" t="s">
        <v>19075</v>
      </c>
      <c r="B10987" t="s">
        <v>8310</v>
      </c>
      <c r="C10987" s="1" t="str">
        <f>HYPERLINK("http://www.genecards.org/cgi-bin/carddisp.pl?gene=ZHX3","GeneCards")</f>
        <v>GeneCards</v>
      </c>
      <c r="D10987" s="1" t="str">
        <f>HYPERLINK("http://genome-euro.ucsc.edu/cgi-bin/hgTracks?position=217367_s_at","UCSC")</f>
        <v>UCSC</v>
      </c>
      <c r="E10987" s="1" t="str">
        <f>HYPERLINK("http://www.ncbi.nlm.nih.gov/gene/?term=ZHX3","NCBI")</f>
        <v>NCBI</v>
      </c>
      <c r="F10987">
        <v>0.26</v>
      </c>
      <c r="G10987">
        <v>0.41</v>
      </c>
      <c r="H10987" s="1" t="str">
        <f>HYPERLINK("http://www.weizmann.ac.il/complex/compphys/software/geview/data/figures/217367_s_at.png","Figure")</f>
        <v>Figure</v>
      </c>
      <c r="I10987">
        <v>0.94099999999999995</v>
      </c>
      <c r="J10987">
        <v>0.71</v>
      </c>
      <c r="K10987">
        <v>0.89300000000000002</v>
      </c>
      <c r="L10987">
        <v>0.24</v>
      </c>
      <c r="M10987">
        <v>0.94799999999999995</v>
      </c>
      <c r="N10987">
        <v>0.74</v>
      </c>
    </row>
    <row r="10988" spans="1:14" x14ac:dyDescent="0.25">
      <c r="A10988" t="s">
        <v>19076</v>
      </c>
      <c r="B10988" t="s">
        <v>15540</v>
      </c>
      <c r="C10988" s="1" t="str">
        <f>HYPERLINK("http://www.genecards.org/cgi-bin/carddisp.pl?gene=GAPDH","GeneCards")</f>
        <v>GeneCards</v>
      </c>
      <c r="D10988" s="1" t="str">
        <f>HYPERLINK("http://genome-euro.ucsc.edu/cgi-bin/hgTracks?position=217398_x_at","UCSC")</f>
        <v>UCSC</v>
      </c>
      <c r="E10988" s="1" t="str">
        <f>HYPERLINK("http://www.ncbi.nlm.nih.gov/gene/?term=GAPDH","NCBI")</f>
        <v>NCBI</v>
      </c>
      <c r="F10988">
        <v>0.26</v>
      </c>
      <c r="G10988">
        <v>0.41</v>
      </c>
      <c r="H10988" s="1" t="str">
        <f>HYPERLINK("http://www.weizmann.ac.il/complex/compphys/software/geview/data/figures/217398_x_at.png","Figure")</f>
        <v>Figure</v>
      </c>
      <c r="I10988">
        <v>0.88300000000000001</v>
      </c>
      <c r="J10988">
        <v>0.82</v>
      </c>
      <c r="K10988">
        <v>1.21</v>
      </c>
      <c r="L10988">
        <v>0.55000000000000004</v>
      </c>
      <c r="M10988">
        <v>1.37</v>
      </c>
      <c r="N10988">
        <v>0.26</v>
      </c>
    </row>
    <row r="10989" spans="1:14" x14ac:dyDescent="0.25">
      <c r="A10989" t="s">
        <v>19077</v>
      </c>
      <c r="B10989" t="s">
        <v>19078</v>
      </c>
      <c r="C10989" s="1" t="str">
        <f>HYPERLINK("http://www.genecards.org/cgi-bin/carddisp.pl?gene=EXOC1","GeneCards")</f>
        <v>GeneCards</v>
      </c>
      <c r="D10989" s="1" t="str">
        <f>HYPERLINK("http://genome-euro.ucsc.edu/cgi-bin/hgTracks?position=222127_s_at","UCSC")</f>
        <v>UCSC</v>
      </c>
      <c r="E10989" s="1" t="str">
        <f>HYPERLINK("http://www.ncbi.nlm.nih.gov/gene/?term=EXOC1","NCBI")</f>
        <v>NCBI</v>
      </c>
      <c r="F10989">
        <v>0.26</v>
      </c>
      <c r="G10989">
        <v>0.41</v>
      </c>
      <c r="H10989" s="1" t="str">
        <f>HYPERLINK("http://www.weizmann.ac.il/complex/compphys/software/geview/data/figures/222127_s_at.png","Figure")</f>
        <v>Figure</v>
      </c>
      <c r="I10989">
        <v>0.63500000000000001</v>
      </c>
      <c r="J10989">
        <v>0.24</v>
      </c>
      <c r="K10989">
        <v>0.81</v>
      </c>
      <c r="L10989">
        <v>0.64</v>
      </c>
      <c r="M10989">
        <v>1.28</v>
      </c>
      <c r="N10989">
        <v>0.6</v>
      </c>
    </row>
    <row r="10990" spans="1:14" x14ac:dyDescent="0.25">
      <c r="A10990" t="s">
        <v>19079</v>
      </c>
      <c r="B10990" t="s">
        <v>19080</v>
      </c>
      <c r="C10990" s="1" t="str">
        <f>HYPERLINK("http://www.genecards.org/cgi-bin/carddisp.pl?gene=PDE6G","GeneCards")</f>
        <v>GeneCards</v>
      </c>
      <c r="D10990" s="1" t="str">
        <f>HYPERLINK("http://genome-euro.ucsc.edu/cgi-bin/hgTracks?position=210060_at","UCSC")</f>
        <v>UCSC</v>
      </c>
      <c r="E10990" s="1" t="str">
        <f>HYPERLINK("http://www.ncbi.nlm.nih.gov/gene/?term=PDE6G","NCBI")</f>
        <v>NCBI</v>
      </c>
      <c r="F10990">
        <v>0.26</v>
      </c>
      <c r="G10990">
        <v>0.41</v>
      </c>
      <c r="H10990" s="1" t="str">
        <f>HYPERLINK("http://www.weizmann.ac.il/complex/compphys/software/geview/data/figures/210060_at.png","Figure")</f>
        <v>Figure</v>
      </c>
      <c r="I10990">
        <v>1.19</v>
      </c>
      <c r="J10990">
        <v>0.3</v>
      </c>
      <c r="K10990">
        <v>1.01</v>
      </c>
      <c r="L10990">
        <v>0.99</v>
      </c>
      <c r="M10990">
        <v>0.85</v>
      </c>
      <c r="N10990">
        <v>0.31</v>
      </c>
    </row>
    <row r="10991" spans="1:14" x14ac:dyDescent="0.25">
      <c r="A10991" t="s">
        <v>19081</v>
      </c>
      <c r="B10991" t="s">
        <v>16944</v>
      </c>
      <c r="C10991" s="1" t="str">
        <f>HYPERLINK("http://www.genecards.org/cgi-bin/carddisp.pl?gene=CDC42","GeneCards")</f>
        <v>GeneCards</v>
      </c>
      <c r="D10991" s="1" t="str">
        <f>HYPERLINK("http://genome-euro.ucsc.edu/cgi-bin/hgTracks?position=210232_at","UCSC")</f>
        <v>UCSC</v>
      </c>
      <c r="E10991" s="1" t="str">
        <f>HYPERLINK("http://www.ncbi.nlm.nih.gov/gene/?term=CDC42","NCBI")</f>
        <v>NCBI</v>
      </c>
      <c r="F10991">
        <v>0.26</v>
      </c>
      <c r="G10991">
        <v>0.41</v>
      </c>
      <c r="H10991" s="1" t="str">
        <f>HYPERLINK("http://www.weizmann.ac.il/complex/compphys/software/geview/data/figures/210232_at.png","Figure")</f>
        <v>Figure</v>
      </c>
      <c r="I10991">
        <v>0.93500000000000005</v>
      </c>
      <c r="J10991">
        <v>0.98</v>
      </c>
      <c r="K10991">
        <v>0.61199999999999999</v>
      </c>
      <c r="L10991">
        <v>0.28999999999999998</v>
      </c>
      <c r="M10991">
        <v>0.65400000000000003</v>
      </c>
      <c r="N10991">
        <v>0.44</v>
      </c>
    </row>
    <row r="10992" spans="1:14" x14ac:dyDescent="0.25">
      <c r="A10992" t="s">
        <v>19082</v>
      </c>
      <c r="B10992" t="s">
        <v>19083</v>
      </c>
      <c r="C10992" s="1" t="str">
        <f>HYPERLINK("http://www.genecards.org/cgi-bin/carddisp.pl?gene=LOC100292793","GeneCards")</f>
        <v>GeneCards</v>
      </c>
      <c r="D10992" s="1" t="str">
        <f>HYPERLINK("http://genome-euro.ucsc.edu/cgi-bin/hgTracks?position=213586_at","UCSC")</f>
        <v>UCSC</v>
      </c>
      <c r="E10992" s="1" t="str">
        <f>HYPERLINK("http://www.ncbi.nlm.nih.gov/gene/?term=LOC100292793","NCBI")</f>
        <v>NCBI</v>
      </c>
      <c r="F10992">
        <v>0.26</v>
      </c>
      <c r="G10992">
        <v>0.41</v>
      </c>
      <c r="H10992" s="1" t="str">
        <f>HYPERLINK("http://www.weizmann.ac.il/complex/compphys/software/geview/data/figures/213586_at.png","Figure")</f>
        <v>Figure</v>
      </c>
      <c r="I10992">
        <v>1.1200000000000001</v>
      </c>
      <c r="J10992">
        <v>0.27</v>
      </c>
      <c r="K10992">
        <v>1.08</v>
      </c>
      <c r="L10992">
        <v>0.42</v>
      </c>
      <c r="M10992">
        <v>0.96499999999999997</v>
      </c>
      <c r="N10992">
        <v>0.85</v>
      </c>
    </row>
    <row r="10993" spans="1:14" x14ac:dyDescent="0.25">
      <c r="A10993" t="s">
        <v>19084</v>
      </c>
      <c r="B10993" t="s">
        <v>19085</v>
      </c>
      <c r="C10993" s="1" t="str">
        <f>HYPERLINK("http://www.genecards.org/cgi-bin/carddisp.pl?gene=AGAP1","GeneCards")</f>
        <v>GeneCards</v>
      </c>
      <c r="D10993" s="1" t="str">
        <f>HYPERLINK("http://genome-euro.ucsc.edu/cgi-bin/hgTracks?position=204066_s_at","UCSC")</f>
        <v>UCSC</v>
      </c>
      <c r="E10993" s="1" t="str">
        <f>HYPERLINK("http://www.ncbi.nlm.nih.gov/gene/?term=AGAP1","NCBI")</f>
        <v>NCBI</v>
      </c>
      <c r="F10993">
        <v>0.26</v>
      </c>
      <c r="G10993">
        <v>0.41</v>
      </c>
      <c r="H10993" s="1" t="str">
        <f>HYPERLINK("http://www.weizmann.ac.il/complex/compphys/software/geview/data/figures/204066_s_at.png","Figure")</f>
        <v>Figure</v>
      </c>
      <c r="I10993">
        <v>1.31</v>
      </c>
      <c r="J10993">
        <v>0.32</v>
      </c>
      <c r="K10993">
        <v>1.26</v>
      </c>
      <c r="L10993">
        <v>0.33</v>
      </c>
      <c r="M10993">
        <v>0.96599999999999997</v>
      </c>
      <c r="N10993">
        <v>0.98</v>
      </c>
    </row>
    <row r="10994" spans="1:14" x14ac:dyDescent="0.25">
      <c r="A10994" t="s">
        <v>19086</v>
      </c>
      <c r="B10994" t="s">
        <v>12893</v>
      </c>
      <c r="C10994" s="1" t="str">
        <f>HYPERLINK("http://www.genecards.org/cgi-bin/carddisp.pl?gene=C1orf61","GeneCards")</f>
        <v>GeneCards</v>
      </c>
      <c r="D10994" s="1" t="str">
        <f>HYPERLINK("http://genome-euro.ucsc.edu/cgi-bin/hgTracks?position=222301_at","UCSC")</f>
        <v>UCSC</v>
      </c>
      <c r="E10994" s="1" t="str">
        <f>HYPERLINK("http://www.ncbi.nlm.nih.gov/gene/?term=C1orf61","NCBI")</f>
        <v>NCBI</v>
      </c>
      <c r="F10994">
        <v>0.26</v>
      </c>
      <c r="G10994">
        <v>0.41</v>
      </c>
      <c r="H10994" s="1" t="str">
        <f>HYPERLINK("http://www.weizmann.ac.il/complex/compphys/software/geview/data/figures/222301_at.png","Figure")</f>
        <v>Figure</v>
      </c>
      <c r="I10994">
        <v>1.1200000000000001</v>
      </c>
      <c r="J10994">
        <v>0.28000000000000003</v>
      </c>
      <c r="K10994">
        <v>1.0900000000000001</v>
      </c>
      <c r="L10994">
        <v>0.39</v>
      </c>
      <c r="M10994">
        <v>0.97299999999999998</v>
      </c>
      <c r="N10994">
        <v>0.91</v>
      </c>
    </row>
    <row r="10995" spans="1:14" x14ac:dyDescent="0.25">
      <c r="A10995" t="s">
        <v>19087</v>
      </c>
      <c r="B10995" t="s">
        <v>16634</v>
      </c>
      <c r="C10995" s="1" t="str">
        <f>HYPERLINK("http://www.genecards.org/cgi-bin/carddisp.pl?gene=PPIF","GeneCards")</f>
        <v>GeneCards</v>
      </c>
      <c r="D10995" s="1" t="str">
        <f>HYPERLINK("http://genome-euro.ucsc.edu/cgi-bin/hgTracks?position=201489_at","UCSC")</f>
        <v>UCSC</v>
      </c>
      <c r="E10995" s="1" t="str">
        <f>HYPERLINK("http://www.ncbi.nlm.nih.gov/gene/?term=PPIF","NCBI")</f>
        <v>NCBI</v>
      </c>
      <c r="F10995">
        <v>0.26</v>
      </c>
      <c r="G10995">
        <v>0.41</v>
      </c>
      <c r="H10995" s="1" t="str">
        <f>HYPERLINK("http://www.weizmann.ac.il/complex/compphys/software/geview/data/figures/201489_at.png","Figure")</f>
        <v>Figure</v>
      </c>
      <c r="I10995">
        <v>1.32</v>
      </c>
      <c r="J10995">
        <v>0.24</v>
      </c>
      <c r="K10995">
        <v>1.1399999999999999</v>
      </c>
      <c r="L10995">
        <v>0.61</v>
      </c>
      <c r="M10995">
        <v>0.86799999999999999</v>
      </c>
      <c r="N10995">
        <v>0.63</v>
      </c>
    </row>
    <row r="10996" spans="1:14" x14ac:dyDescent="0.25">
      <c r="A10996" t="s">
        <v>19088</v>
      </c>
      <c r="B10996" t="s">
        <v>9130</v>
      </c>
      <c r="C10996" s="1" t="str">
        <f>HYPERLINK("http://www.genecards.org/cgi-bin/carddisp.pl?gene=TNXA /// TNXB","GeneCards")</f>
        <v>GeneCards</v>
      </c>
      <c r="D10996" s="1" t="str">
        <f>HYPERLINK("http://genome-euro.ucsc.edu/cgi-bin/hgTracks?position=213451_x_at","UCSC")</f>
        <v>UCSC</v>
      </c>
      <c r="E10996" s="1" t="str">
        <f>HYPERLINK("http://www.ncbi.nlm.nih.gov/gene/?term=TNXA /// TNXB","NCBI")</f>
        <v>NCBI</v>
      </c>
      <c r="F10996">
        <v>0.26</v>
      </c>
      <c r="G10996">
        <v>0.41</v>
      </c>
      <c r="H10996" s="1" t="str">
        <f>HYPERLINK("http://www.weizmann.ac.il/complex/compphys/software/geview/data/figures/213451_x_at.png","Figure")</f>
        <v>Figure</v>
      </c>
      <c r="I10996">
        <v>1.21</v>
      </c>
      <c r="J10996">
        <v>0.24</v>
      </c>
      <c r="K10996">
        <v>1.1000000000000001</v>
      </c>
      <c r="L10996">
        <v>0.57999999999999996</v>
      </c>
      <c r="M10996">
        <v>0.91200000000000003</v>
      </c>
      <c r="N10996">
        <v>0.66</v>
      </c>
    </row>
    <row r="10997" spans="1:14" x14ac:dyDescent="0.25">
      <c r="A10997" t="s">
        <v>19089</v>
      </c>
      <c r="B10997" t="s">
        <v>19090</v>
      </c>
      <c r="C10997" s="1" t="str">
        <f>HYPERLINK("http://www.genecards.org/cgi-bin/carddisp.pl?gene=P2RY4","GeneCards")</f>
        <v>GeneCards</v>
      </c>
      <c r="D10997" s="1" t="str">
        <f>HYPERLINK("http://genome-euro.ucsc.edu/cgi-bin/hgTracks?position=221466_at","UCSC")</f>
        <v>UCSC</v>
      </c>
      <c r="E10997" s="1" t="str">
        <f>HYPERLINK("http://www.ncbi.nlm.nih.gov/gene/?term=P2RY4","NCBI")</f>
        <v>NCBI</v>
      </c>
      <c r="F10997">
        <v>0.26</v>
      </c>
      <c r="G10997">
        <v>0.41</v>
      </c>
      <c r="H10997" s="1" t="str">
        <f>HYPERLINK("http://www.weizmann.ac.il/complex/compphys/software/geview/data/figures/221466_at.png","Figure")</f>
        <v>Figure</v>
      </c>
      <c r="I10997">
        <v>1.06</v>
      </c>
      <c r="J10997">
        <v>0.33</v>
      </c>
      <c r="K10997">
        <v>1.05</v>
      </c>
      <c r="L10997">
        <v>0.32</v>
      </c>
      <c r="M10997">
        <v>0.99399999999999999</v>
      </c>
      <c r="N10997">
        <v>0.98</v>
      </c>
    </row>
    <row r="10998" spans="1:14" x14ac:dyDescent="0.25">
      <c r="A10998" t="s">
        <v>19091</v>
      </c>
      <c r="B10998" t="s">
        <v>19092</v>
      </c>
      <c r="C10998" s="1" t="str">
        <f>HYPERLINK("http://www.genecards.org/cgi-bin/carddisp.pl?gene=SLC27A5","GeneCards")</f>
        <v>GeneCards</v>
      </c>
      <c r="D10998" s="1" t="str">
        <f>HYPERLINK("http://genome-euro.ucsc.edu/cgi-bin/hgTracks?position=219733_s_at","UCSC")</f>
        <v>UCSC</v>
      </c>
      <c r="E10998" s="1" t="str">
        <f>HYPERLINK("http://www.ncbi.nlm.nih.gov/gene/?term=SLC27A5","NCBI")</f>
        <v>NCBI</v>
      </c>
      <c r="F10998">
        <v>0.26</v>
      </c>
      <c r="G10998">
        <v>0.41</v>
      </c>
      <c r="H10998" s="1" t="str">
        <f>HYPERLINK("http://www.weizmann.ac.il/complex/compphys/software/geview/data/figures/219733_s_at.png","Figure")</f>
        <v>Figure</v>
      </c>
      <c r="I10998">
        <v>1.1100000000000001</v>
      </c>
      <c r="J10998">
        <v>0.31</v>
      </c>
      <c r="K10998">
        <v>1.01</v>
      </c>
      <c r="L10998">
        <v>0.99</v>
      </c>
      <c r="M10998">
        <v>0.90500000000000003</v>
      </c>
      <c r="N10998">
        <v>0.3</v>
      </c>
    </row>
    <row r="10999" spans="1:14" x14ac:dyDescent="0.25">
      <c r="A10999" t="s">
        <v>19093</v>
      </c>
      <c r="B10999" t="s">
        <v>10344</v>
      </c>
      <c r="C10999" s="1" t="str">
        <f>HYPERLINK("http://www.genecards.org/cgi-bin/carddisp.pl?gene=PKNOX1","GeneCards")</f>
        <v>GeneCards</v>
      </c>
      <c r="D10999" s="1" t="str">
        <f>HYPERLINK("http://genome-euro.ucsc.edu/cgi-bin/hgTracks?position=221883_at","UCSC")</f>
        <v>UCSC</v>
      </c>
      <c r="E10999" s="1" t="str">
        <f>HYPERLINK("http://www.ncbi.nlm.nih.gov/gene/?term=PKNOX1","NCBI")</f>
        <v>NCBI</v>
      </c>
      <c r="F10999">
        <v>0.26</v>
      </c>
      <c r="G10999">
        <v>0.41</v>
      </c>
      <c r="H10999" s="1" t="str">
        <f>HYPERLINK("http://www.weizmann.ac.il/complex/compphys/software/geview/data/figures/221883_at.png","Figure")</f>
        <v>Figure</v>
      </c>
      <c r="I10999">
        <v>0.82799999999999996</v>
      </c>
      <c r="J10999">
        <v>0.38</v>
      </c>
      <c r="K10999">
        <v>1.02</v>
      </c>
      <c r="L10999">
        <v>0.98</v>
      </c>
      <c r="M10999">
        <v>1.24</v>
      </c>
      <c r="N10999">
        <v>0.26</v>
      </c>
    </row>
    <row r="11000" spans="1:14" x14ac:dyDescent="0.25">
      <c r="A11000" t="s">
        <v>19094</v>
      </c>
      <c r="B11000" t="s">
        <v>12913</v>
      </c>
      <c r="C11000" s="1" t="str">
        <f>HYPERLINK("http://www.genecards.org/cgi-bin/carddisp.pl?gene=MLL2","GeneCards")</f>
        <v>GeneCards</v>
      </c>
      <c r="D11000" s="1" t="str">
        <f>HYPERLINK("http://genome-euro.ucsc.edu/cgi-bin/hgTracks?position=216382_s_at","UCSC")</f>
        <v>UCSC</v>
      </c>
      <c r="E11000" s="1" t="str">
        <f>HYPERLINK("http://www.ncbi.nlm.nih.gov/gene/?term=MLL2","NCBI")</f>
        <v>NCBI</v>
      </c>
      <c r="F11000">
        <v>0.26</v>
      </c>
      <c r="G11000">
        <v>0.41</v>
      </c>
      <c r="H11000" s="1" t="str">
        <f>HYPERLINK("http://www.weizmann.ac.il/complex/compphys/software/geview/data/figures/216382_s_at.png","Figure")</f>
        <v>Figure</v>
      </c>
      <c r="I11000">
        <v>1.2</v>
      </c>
      <c r="J11000">
        <v>0.5</v>
      </c>
      <c r="K11000">
        <v>0.93</v>
      </c>
      <c r="L11000">
        <v>0.87</v>
      </c>
      <c r="M11000">
        <v>0.77300000000000002</v>
      </c>
      <c r="N11000">
        <v>0.24</v>
      </c>
    </row>
    <row r="11001" spans="1:14" x14ac:dyDescent="0.25">
      <c r="A11001" t="s">
        <v>19095</v>
      </c>
      <c r="B11001" t="s">
        <v>17269</v>
      </c>
      <c r="C11001" s="1" t="str">
        <f>HYPERLINK("http://www.genecards.org/cgi-bin/carddisp.pl?gene=PRPS1","GeneCards")</f>
        <v>GeneCards</v>
      </c>
      <c r="D11001" s="1" t="str">
        <f>HYPERLINK("http://genome-euro.ucsc.edu/cgi-bin/hgTracks?position=208447_s_at","UCSC")</f>
        <v>UCSC</v>
      </c>
      <c r="E11001" s="1" t="str">
        <f>HYPERLINK("http://www.ncbi.nlm.nih.gov/gene/?term=PRPS1","NCBI")</f>
        <v>NCBI</v>
      </c>
      <c r="F11001">
        <v>0.26</v>
      </c>
      <c r="G11001">
        <v>0.41</v>
      </c>
      <c r="H11001" s="1" t="str">
        <f>HYPERLINK("http://www.weizmann.ac.il/complex/compphys/software/geview/data/figures/208447_s_at.png","Figure")</f>
        <v>Figure</v>
      </c>
      <c r="I11001">
        <v>0.68300000000000005</v>
      </c>
      <c r="J11001">
        <v>0.24</v>
      </c>
      <c r="K11001">
        <v>0.874</v>
      </c>
      <c r="L11001">
        <v>0.77</v>
      </c>
      <c r="M11001">
        <v>1.28</v>
      </c>
      <c r="N11001">
        <v>0.49</v>
      </c>
    </row>
    <row r="11002" spans="1:14" x14ac:dyDescent="0.25">
      <c r="A11002" t="s">
        <v>19096</v>
      </c>
      <c r="B11002" t="s">
        <v>12955</v>
      </c>
      <c r="C11002" s="1" t="str">
        <f>HYPERLINK("http://www.genecards.org/cgi-bin/carddisp.pl?gene=PHTF1","GeneCards")</f>
        <v>GeneCards</v>
      </c>
      <c r="D11002" s="1" t="str">
        <f>HYPERLINK("http://genome-euro.ucsc.edu/cgi-bin/hgTracks?position=210191_s_at","UCSC")</f>
        <v>UCSC</v>
      </c>
      <c r="E11002" s="1" t="str">
        <f>HYPERLINK("http://www.ncbi.nlm.nih.gov/gene/?term=PHTF1","NCBI")</f>
        <v>NCBI</v>
      </c>
      <c r="F11002">
        <v>0.26</v>
      </c>
      <c r="G11002">
        <v>0.41</v>
      </c>
      <c r="H11002" s="1" t="str">
        <f>HYPERLINK("http://www.weizmann.ac.il/complex/compphys/software/geview/data/figures/210191_s_at.png","Figure")</f>
        <v>Figure</v>
      </c>
      <c r="I11002">
        <v>0.68700000000000006</v>
      </c>
      <c r="J11002">
        <v>0.26</v>
      </c>
      <c r="K11002">
        <v>0.91200000000000003</v>
      </c>
      <c r="L11002">
        <v>0.89</v>
      </c>
      <c r="M11002">
        <v>1.33</v>
      </c>
      <c r="N11002">
        <v>0.4</v>
      </c>
    </row>
    <row r="11003" spans="1:14" x14ac:dyDescent="0.25">
      <c r="A11003" t="s">
        <v>19097</v>
      </c>
      <c r="B11003" t="s">
        <v>15963</v>
      </c>
      <c r="C11003" s="1" t="str">
        <f>HYPERLINK("http://www.genecards.org/cgi-bin/carddisp.pl?gene=FAF2","GeneCards")</f>
        <v>GeneCards</v>
      </c>
      <c r="D11003" s="1" t="str">
        <f>HYPERLINK("http://genome-euro.ucsc.edu/cgi-bin/hgTracks?position=212106_at","UCSC")</f>
        <v>UCSC</v>
      </c>
      <c r="E11003" s="1" t="str">
        <f>HYPERLINK("http://www.ncbi.nlm.nih.gov/gene/?term=FAF2","NCBI")</f>
        <v>NCBI</v>
      </c>
      <c r="F11003">
        <v>0.26</v>
      </c>
      <c r="G11003">
        <v>0.41</v>
      </c>
      <c r="H11003" s="1" t="str">
        <f>HYPERLINK("http://www.weizmann.ac.il/complex/compphys/software/geview/data/figures/212106_at.png","Figure")</f>
        <v>Figure</v>
      </c>
      <c r="I11003">
        <v>1.26</v>
      </c>
      <c r="J11003">
        <v>0.25</v>
      </c>
      <c r="K11003">
        <v>1.07</v>
      </c>
      <c r="L11003">
        <v>0.82</v>
      </c>
      <c r="M11003">
        <v>0.85399999999999998</v>
      </c>
      <c r="N11003">
        <v>0.45</v>
      </c>
    </row>
    <row r="11004" spans="1:14" x14ac:dyDescent="0.25">
      <c r="A11004" t="s">
        <v>19098</v>
      </c>
      <c r="B11004" t="s">
        <v>16644</v>
      </c>
      <c r="C11004" s="1" t="str">
        <f>HYPERLINK("http://www.genecards.org/cgi-bin/carddisp.pl?gene=STK38","GeneCards")</f>
        <v>GeneCards</v>
      </c>
      <c r="D11004" s="1" t="str">
        <f>HYPERLINK("http://genome-euro.ucsc.edu/cgi-bin/hgTracks?position=216451_at","UCSC")</f>
        <v>UCSC</v>
      </c>
      <c r="E11004" s="1" t="str">
        <f>HYPERLINK("http://www.ncbi.nlm.nih.gov/gene/?term=STK38","NCBI")</f>
        <v>NCBI</v>
      </c>
      <c r="F11004">
        <v>0.27</v>
      </c>
      <c r="G11004">
        <v>0.41</v>
      </c>
      <c r="H11004" s="1" t="str">
        <f>HYPERLINK("http://www.weizmann.ac.il/complex/compphys/software/geview/data/figures/216451_at.png","Figure")</f>
        <v>Figure</v>
      </c>
      <c r="I11004">
        <v>1.1599999999999999</v>
      </c>
      <c r="J11004">
        <v>0.24</v>
      </c>
      <c r="K11004">
        <v>1.06</v>
      </c>
      <c r="L11004">
        <v>0.74</v>
      </c>
      <c r="M11004">
        <v>0.91300000000000003</v>
      </c>
      <c r="N11004">
        <v>0.51</v>
      </c>
    </row>
    <row r="11005" spans="1:14" x14ac:dyDescent="0.25">
      <c r="A11005" t="s">
        <v>19099</v>
      </c>
      <c r="B11005" t="s">
        <v>19100</v>
      </c>
      <c r="C11005" s="1" t="str">
        <f>HYPERLINK("http://www.genecards.org/cgi-bin/carddisp.pl?gene=CTNNA1","GeneCards")</f>
        <v>GeneCards</v>
      </c>
      <c r="D11005" s="1" t="str">
        <f>HYPERLINK("http://genome-euro.ucsc.edu/cgi-bin/hgTracks?position=200765_x_at","UCSC")</f>
        <v>UCSC</v>
      </c>
      <c r="E11005" s="1" t="str">
        <f>HYPERLINK("http://www.ncbi.nlm.nih.gov/gene/?term=CTNNA1","NCBI")</f>
        <v>NCBI</v>
      </c>
      <c r="F11005">
        <v>0.27</v>
      </c>
      <c r="G11005">
        <v>0.41</v>
      </c>
      <c r="H11005" s="1" t="str">
        <f>HYPERLINK("http://www.weizmann.ac.il/complex/compphys/software/geview/data/figures/200765_x_at.png","Figure")</f>
        <v>Figure</v>
      </c>
      <c r="I11005">
        <v>1.1299999999999999</v>
      </c>
      <c r="J11005">
        <v>0.88</v>
      </c>
      <c r="K11005">
        <v>1.44</v>
      </c>
      <c r="L11005">
        <v>0.25</v>
      </c>
      <c r="M11005">
        <v>1.27</v>
      </c>
      <c r="N11005">
        <v>0.56999999999999995</v>
      </c>
    </row>
    <row r="11006" spans="1:14" x14ac:dyDescent="0.25">
      <c r="A11006" t="s">
        <v>19101</v>
      </c>
      <c r="B11006" t="s">
        <v>8761</v>
      </c>
      <c r="C11006" s="1" t="str">
        <f>HYPERLINK("http://www.genecards.org/cgi-bin/carddisp.pl?gene=CFLAR","GeneCards")</f>
        <v>GeneCards</v>
      </c>
      <c r="D11006" s="1" t="str">
        <f>HYPERLINK("http://genome-euro.ucsc.edu/cgi-bin/hgTracks?position=210563_x_at","UCSC")</f>
        <v>UCSC</v>
      </c>
      <c r="E11006" s="1" t="str">
        <f>HYPERLINK("http://www.ncbi.nlm.nih.gov/gene/?term=CFLAR","NCBI")</f>
        <v>NCBI</v>
      </c>
      <c r="F11006">
        <v>0.27</v>
      </c>
      <c r="G11006">
        <v>0.41</v>
      </c>
      <c r="H11006" s="1" t="str">
        <f>HYPERLINK("http://www.weizmann.ac.il/complex/compphys/software/geview/data/figures/210563_x_at.png","Figure")</f>
        <v>Figure</v>
      </c>
      <c r="I11006">
        <v>1.1299999999999999</v>
      </c>
      <c r="J11006">
        <v>0.86</v>
      </c>
      <c r="K11006">
        <v>0.79700000000000004</v>
      </c>
      <c r="L11006">
        <v>0.51</v>
      </c>
      <c r="M11006">
        <v>0.70799999999999996</v>
      </c>
      <c r="N11006">
        <v>0.27</v>
      </c>
    </row>
    <row r="11007" spans="1:14" x14ac:dyDescent="0.25">
      <c r="A11007" t="s">
        <v>19102</v>
      </c>
      <c r="B11007" t="s">
        <v>19103</v>
      </c>
      <c r="C11007" s="1" t="str">
        <f>HYPERLINK("http://www.genecards.org/cgi-bin/carddisp.pl?gene=BNIP1","GeneCards")</f>
        <v>GeneCards</v>
      </c>
      <c r="D11007" s="1" t="str">
        <f>HYPERLINK("http://genome-euro.ucsc.edu/cgi-bin/hgTracks?position=204930_s_at","UCSC")</f>
        <v>UCSC</v>
      </c>
      <c r="E11007" s="1" t="str">
        <f>HYPERLINK("http://www.ncbi.nlm.nih.gov/gene/?term=BNIP1","NCBI")</f>
        <v>NCBI</v>
      </c>
      <c r="F11007">
        <v>0.27</v>
      </c>
      <c r="G11007">
        <v>0.41</v>
      </c>
      <c r="H11007" s="1" t="str">
        <f>HYPERLINK("http://www.weizmann.ac.il/complex/compphys/software/geview/data/figures/204930_s_at.png","Figure")</f>
        <v>Figure</v>
      </c>
      <c r="I11007">
        <v>1.1299999999999999</v>
      </c>
      <c r="J11007">
        <v>0.39</v>
      </c>
      <c r="K11007">
        <v>0.98299999999999998</v>
      </c>
      <c r="L11007">
        <v>0.97</v>
      </c>
      <c r="M11007">
        <v>0.871</v>
      </c>
      <c r="N11007">
        <v>0.26</v>
      </c>
    </row>
    <row r="11008" spans="1:14" x14ac:dyDescent="0.25">
      <c r="A11008" t="s">
        <v>19104</v>
      </c>
      <c r="B11008" t="s">
        <v>19105</v>
      </c>
      <c r="C11008" s="1" t="str">
        <f>HYPERLINK("http://www.genecards.org/cgi-bin/carddisp.pl?gene=ZNF606","GeneCards")</f>
        <v>GeneCards</v>
      </c>
      <c r="D11008" s="1" t="str">
        <f>HYPERLINK("http://genome-euro.ucsc.edu/cgi-bin/hgTracks?position=219635_at","UCSC")</f>
        <v>UCSC</v>
      </c>
      <c r="E11008" s="1" t="str">
        <f>HYPERLINK("http://www.ncbi.nlm.nih.gov/gene/?term=ZNF606","NCBI")</f>
        <v>NCBI</v>
      </c>
      <c r="F11008">
        <v>0.27</v>
      </c>
      <c r="G11008">
        <v>0.41</v>
      </c>
      <c r="H11008" s="1" t="str">
        <f>HYPERLINK("http://www.weizmann.ac.il/complex/compphys/software/geview/data/figures/219635_at.png","Figure")</f>
        <v>Figure</v>
      </c>
      <c r="I11008">
        <v>1.1000000000000001</v>
      </c>
      <c r="J11008">
        <v>0.52</v>
      </c>
      <c r="K11008">
        <v>0.96199999999999997</v>
      </c>
      <c r="L11008">
        <v>0.85</v>
      </c>
      <c r="M11008">
        <v>0.878</v>
      </c>
      <c r="N11008">
        <v>0.24</v>
      </c>
    </row>
    <row r="11009" spans="1:14" x14ac:dyDescent="0.25">
      <c r="A11009" t="s">
        <v>19106</v>
      </c>
      <c r="B11009" t="s">
        <v>643</v>
      </c>
      <c r="C11009" s="1" t="str">
        <f>HYPERLINK("http://www.genecards.org/cgi-bin/carddisp.pl?gene=EIF1","GeneCards")</f>
        <v>GeneCards</v>
      </c>
      <c r="D11009" s="1" t="str">
        <f>HYPERLINK("http://genome-euro.ucsc.edu/cgi-bin/hgTracks?position=217672_x_at","UCSC")</f>
        <v>UCSC</v>
      </c>
      <c r="E11009" s="1" t="str">
        <f>HYPERLINK("http://www.ncbi.nlm.nih.gov/gene/?term=EIF1","NCBI")</f>
        <v>NCBI</v>
      </c>
      <c r="F11009">
        <v>0.27</v>
      </c>
      <c r="G11009">
        <v>0.41</v>
      </c>
      <c r="H11009" s="1" t="str">
        <f>HYPERLINK("http://www.weizmann.ac.il/complex/compphys/software/geview/data/figures/217672_x_at.png","Figure")</f>
        <v>Figure</v>
      </c>
      <c r="I11009">
        <v>0.79300000000000004</v>
      </c>
      <c r="J11009">
        <v>0.34</v>
      </c>
      <c r="K11009">
        <v>0.81100000000000005</v>
      </c>
      <c r="L11009">
        <v>0.32</v>
      </c>
      <c r="M11009">
        <v>1.02</v>
      </c>
      <c r="N11009">
        <v>0.99</v>
      </c>
    </row>
    <row r="11010" spans="1:14" x14ac:dyDescent="0.25">
      <c r="A11010" t="s">
        <v>19107</v>
      </c>
      <c r="B11010" t="s">
        <v>15870</v>
      </c>
      <c r="C11010" s="1" t="str">
        <f>HYPERLINK("http://www.genecards.org/cgi-bin/carddisp.pl?gene=ATP5L","GeneCards")</f>
        <v>GeneCards</v>
      </c>
      <c r="D11010" s="1" t="str">
        <f>HYPERLINK("http://genome-euro.ucsc.edu/cgi-bin/hgTracks?position=208746_x_at","UCSC")</f>
        <v>UCSC</v>
      </c>
      <c r="E11010" s="1" t="str">
        <f>HYPERLINK("http://www.ncbi.nlm.nih.gov/gene/?term=ATP5L","NCBI")</f>
        <v>NCBI</v>
      </c>
      <c r="F11010">
        <v>0.27</v>
      </c>
      <c r="G11010">
        <v>0.41</v>
      </c>
      <c r="H11010" s="1" t="str">
        <f>HYPERLINK("http://www.weizmann.ac.il/complex/compphys/software/geview/data/figures/208746_x_at.png","Figure")</f>
        <v>Figure</v>
      </c>
      <c r="I11010">
        <v>1.3</v>
      </c>
      <c r="J11010">
        <v>0.3</v>
      </c>
      <c r="K11010">
        <v>1.23</v>
      </c>
      <c r="L11010">
        <v>0.36</v>
      </c>
      <c r="M11010">
        <v>0.95</v>
      </c>
      <c r="N11010">
        <v>0.94</v>
      </c>
    </row>
    <row r="11011" spans="1:14" x14ac:dyDescent="0.25">
      <c r="A11011" t="s">
        <v>19108</v>
      </c>
      <c r="B11011" t="s">
        <v>5167</v>
      </c>
      <c r="C11011" s="1" t="str">
        <f>HYPERLINK("http://www.genecards.org/cgi-bin/carddisp.pl?gene=MTF2","GeneCards")</f>
        <v>GeneCards</v>
      </c>
      <c r="D11011" s="1" t="str">
        <f>HYPERLINK("http://genome-euro.ucsc.edu/cgi-bin/hgTracks?position=209704_at","UCSC")</f>
        <v>UCSC</v>
      </c>
      <c r="E11011" s="1" t="str">
        <f>HYPERLINK("http://www.ncbi.nlm.nih.gov/gene/?term=MTF2","NCBI")</f>
        <v>NCBI</v>
      </c>
      <c r="F11011">
        <v>0.27</v>
      </c>
      <c r="G11011">
        <v>0.41</v>
      </c>
      <c r="H11011" s="1" t="str">
        <f>HYPERLINK("http://www.weizmann.ac.il/complex/compphys/software/geview/data/figures/209704_at.png","Figure")</f>
        <v>Figure</v>
      </c>
      <c r="I11011">
        <v>0.91400000000000003</v>
      </c>
      <c r="J11011">
        <v>0.92</v>
      </c>
      <c r="K11011">
        <v>0.71899999999999997</v>
      </c>
      <c r="L11011">
        <v>0.27</v>
      </c>
      <c r="M11011">
        <v>0.78600000000000003</v>
      </c>
      <c r="N11011">
        <v>0.52</v>
      </c>
    </row>
    <row r="11012" spans="1:14" x14ac:dyDescent="0.25">
      <c r="A11012" t="s">
        <v>19109</v>
      </c>
      <c r="B11012" t="s">
        <v>8872</v>
      </c>
      <c r="C11012" s="1" t="str">
        <f>HYPERLINK("http://www.genecards.org/cgi-bin/carddisp.pl?gene=DLGAP4","GeneCards")</f>
        <v>GeneCards</v>
      </c>
      <c r="D11012" s="1" t="str">
        <f>HYPERLINK("http://genome-euro.ucsc.edu/cgi-bin/hgTracks?position=202570_s_at","UCSC")</f>
        <v>UCSC</v>
      </c>
      <c r="E11012" s="1" t="str">
        <f>HYPERLINK("http://www.ncbi.nlm.nih.gov/gene/?term=DLGAP4","NCBI")</f>
        <v>NCBI</v>
      </c>
      <c r="F11012">
        <v>0.27</v>
      </c>
      <c r="G11012">
        <v>0.41</v>
      </c>
      <c r="H11012" s="1" t="str">
        <f>HYPERLINK("http://www.weizmann.ac.il/complex/compphys/software/geview/data/figures/202570_s_at.png","Figure")</f>
        <v>Figure</v>
      </c>
      <c r="I11012">
        <v>0.93400000000000005</v>
      </c>
      <c r="J11012">
        <v>0.83</v>
      </c>
      <c r="K11012">
        <v>0.84299999999999997</v>
      </c>
      <c r="L11012">
        <v>0.25</v>
      </c>
      <c r="M11012">
        <v>0.90300000000000002</v>
      </c>
      <c r="N11012">
        <v>0.62</v>
      </c>
    </row>
    <row r="11013" spans="1:14" x14ac:dyDescent="0.25">
      <c r="A11013" t="s">
        <v>19110</v>
      </c>
      <c r="B11013" t="s">
        <v>18463</v>
      </c>
      <c r="C11013" s="1" t="str">
        <f>HYPERLINK("http://www.genecards.org/cgi-bin/carddisp.pl?gene=SLC23A2","GeneCards")</f>
        <v>GeneCards</v>
      </c>
      <c r="D11013" s="1" t="str">
        <f>HYPERLINK("http://genome-euro.ucsc.edu/cgi-bin/hgTracks?position=211572_s_at","UCSC")</f>
        <v>UCSC</v>
      </c>
      <c r="E11013" s="1" t="str">
        <f>HYPERLINK("http://www.ncbi.nlm.nih.gov/gene/?term=SLC23A2","NCBI")</f>
        <v>NCBI</v>
      </c>
      <c r="F11013">
        <v>0.27</v>
      </c>
      <c r="G11013">
        <v>0.41</v>
      </c>
      <c r="H11013" s="1" t="str">
        <f>HYPERLINK("http://www.weizmann.ac.il/complex/compphys/software/geview/data/figures/211572_s_at.png","Figure")</f>
        <v>Figure</v>
      </c>
      <c r="I11013">
        <v>0.98199999999999998</v>
      </c>
      <c r="J11013">
        <v>0.99</v>
      </c>
      <c r="K11013">
        <v>0.84599999999999997</v>
      </c>
      <c r="L11013">
        <v>0.3</v>
      </c>
      <c r="M11013">
        <v>0.86099999999999999</v>
      </c>
      <c r="N11013">
        <v>0.43</v>
      </c>
    </row>
    <row r="11014" spans="1:14" x14ac:dyDescent="0.25">
      <c r="A11014" t="s">
        <v>19111</v>
      </c>
      <c r="B11014" t="s">
        <v>19112</v>
      </c>
      <c r="C11014" s="1" t="str">
        <f>HYPERLINK("http://www.genecards.org/cgi-bin/carddisp.pl?gene=SERHL /// SERHL2","GeneCards")</f>
        <v>GeneCards</v>
      </c>
      <c r="D11014" s="1" t="str">
        <f>HYPERLINK("http://genome-euro.ucsc.edu/cgi-bin/hgTracks?position=214243_s_at","UCSC")</f>
        <v>UCSC</v>
      </c>
      <c r="E11014" s="1" t="str">
        <f>HYPERLINK("http://www.ncbi.nlm.nih.gov/gene/?term=SERHL /// SERHL2","NCBI")</f>
        <v>NCBI</v>
      </c>
      <c r="F11014">
        <v>0.27</v>
      </c>
      <c r="G11014">
        <v>0.41</v>
      </c>
      <c r="H11014" s="1" t="str">
        <f>HYPERLINK("http://www.weizmann.ac.il/complex/compphys/software/geview/data/figures/214243_s_at.png","Figure")</f>
        <v>Figure</v>
      </c>
      <c r="I11014">
        <v>1.34</v>
      </c>
      <c r="J11014">
        <v>0.24</v>
      </c>
      <c r="K11014">
        <v>1.17</v>
      </c>
      <c r="L11014">
        <v>0.56000000000000005</v>
      </c>
      <c r="M11014">
        <v>0.874</v>
      </c>
      <c r="N11014">
        <v>0.69</v>
      </c>
    </row>
    <row r="11015" spans="1:14" x14ac:dyDescent="0.25">
      <c r="A11015" t="s">
        <v>19113</v>
      </c>
      <c r="B11015" t="s">
        <v>19114</v>
      </c>
      <c r="C11015" s="1" t="str">
        <f>HYPERLINK("http://www.genecards.org/cgi-bin/carddisp.pl?gene=CWF19L1","GeneCards")</f>
        <v>GeneCards</v>
      </c>
      <c r="D11015" s="1" t="str">
        <f>HYPERLINK("http://genome-euro.ucsc.edu/cgi-bin/hgTracks?position=218787_x_at","UCSC")</f>
        <v>UCSC</v>
      </c>
      <c r="E11015" s="1" t="str">
        <f>HYPERLINK("http://www.ncbi.nlm.nih.gov/gene/?term=CWF19L1","NCBI")</f>
        <v>NCBI</v>
      </c>
      <c r="F11015">
        <v>0.27</v>
      </c>
      <c r="G11015">
        <v>0.41</v>
      </c>
      <c r="H11015" s="1" t="str">
        <f>HYPERLINK("http://www.weizmann.ac.il/complex/compphys/software/geview/data/figures/218787_x_at.png","Figure")</f>
        <v>Figure</v>
      </c>
      <c r="I11015">
        <v>1.1100000000000001</v>
      </c>
      <c r="J11015">
        <v>0.68</v>
      </c>
      <c r="K11015">
        <v>0.91300000000000003</v>
      </c>
      <c r="L11015">
        <v>0.68</v>
      </c>
      <c r="M11015">
        <v>0.82299999999999995</v>
      </c>
      <c r="N11015">
        <v>0.24</v>
      </c>
    </row>
    <row r="11016" spans="1:14" x14ac:dyDescent="0.25">
      <c r="A11016" t="s">
        <v>19115</v>
      </c>
      <c r="B11016" t="s">
        <v>3257</v>
      </c>
      <c r="C11016" s="1" t="str">
        <f>HYPERLINK("http://www.genecards.org/cgi-bin/carddisp.pl?gene=IGL@","GeneCards")</f>
        <v>GeneCards</v>
      </c>
      <c r="D11016" s="1" t="str">
        <f>HYPERLINK("http://genome-euro.ucsc.edu/cgi-bin/hgTracks?position=216852_x_at","UCSC")</f>
        <v>UCSC</v>
      </c>
      <c r="E11016" s="1" t="str">
        <f>HYPERLINK("http://www.ncbi.nlm.nih.gov/gene/?term=IGL@","NCBI")</f>
        <v>NCBI</v>
      </c>
      <c r="F11016">
        <v>0.27</v>
      </c>
      <c r="G11016">
        <v>0.41</v>
      </c>
      <c r="H11016" s="1" t="str">
        <f>HYPERLINK("http://www.weizmann.ac.il/complex/compphys/software/geview/data/figures/216852_x_at.png","Figure")</f>
        <v>Figure</v>
      </c>
      <c r="I11016">
        <v>1.25</v>
      </c>
      <c r="J11016">
        <v>0.25</v>
      </c>
      <c r="K11016">
        <v>1.06</v>
      </c>
      <c r="L11016">
        <v>0.86</v>
      </c>
      <c r="M11016">
        <v>0.85199999999999998</v>
      </c>
      <c r="N11016">
        <v>0.42</v>
      </c>
    </row>
    <row r="11017" spans="1:14" x14ac:dyDescent="0.25">
      <c r="A11017" t="s">
        <v>19116</v>
      </c>
      <c r="B11017" t="s">
        <v>19117</v>
      </c>
      <c r="C11017" s="1" t="str">
        <f>HYPERLINK("http://www.genecards.org/cgi-bin/carddisp.pl?gene=SECISBP2","GeneCards")</f>
        <v>GeneCards</v>
      </c>
      <c r="D11017" s="1" t="str">
        <f>HYPERLINK("http://genome-euro.ucsc.edu/cgi-bin/hgTracks?position=218265_at","UCSC")</f>
        <v>UCSC</v>
      </c>
      <c r="E11017" s="1" t="str">
        <f>HYPERLINK("http://www.ncbi.nlm.nih.gov/gene/?term=SECISBP2","NCBI")</f>
        <v>NCBI</v>
      </c>
      <c r="F11017">
        <v>0.27</v>
      </c>
      <c r="G11017">
        <v>0.41</v>
      </c>
      <c r="H11017" s="1" t="str">
        <f>HYPERLINK("http://www.weizmann.ac.il/complex/compphys/software/geview/data/figures/218265_at.png","Figure")</f>
        <v>Figure</v>
      </c>
      <c r="I11017">
        <v>1.04</v>
      </c>
      <c r="J11017">
        <v>0.99</v>
      </c>
      <c r="K11017">
        <v>0.69</v>
      </c>
      <c r="L11017">
        <v>0.36</v>
      </c>
      <c r="M11017">
        <v>0.66500000000000004</v>
      </c>
      <c r="N11017">
        <v>0.35</v>
      </c>
    </row>
    <row r="11018" spans="1:14" x14ac:dyDescent="0.25">
      <c r="A11018" t="s">
        <v>19118</v>
      </c>
      <c r="B11018" t="s">
        <v>19119</v>
      </c>
      <c r="C11018" s="1" t="str">
        <f>HYPERLINK("http://www.genecards.org/cgi-bin/carddisp.pl?gene=HLA-DQA1","GeneCards")</f>
        <v>GeneCards</v>
      </c>
      <c r="D11018" s="1" t="str">
        <f>HYPERLINK("http://genome-euro.ucsc.edu/cgi-bin/hgTracks?position=203290_at","UCSC")</f>
        <v>UCSC</v>
      </c>
      <c r="E11018" s="1" t="str">
        <f>HYPERLINK("http://www.ncbi.nlm.nih.gov/gene/?term=HLA-DQA1","NCBI")</f>
        <v>NCBI</v>
      </c>
      <c r="F11018">
        <v>0.27</v>
      </c>
      <c r="G11018">
        <v>0.41</v>
      </c>
      <c r="H11018" s="1" t="str">
        <f>HYPERLINK("http://www.weizmann.ac.il/complex/compphys/software/geview/data/figures/203290_at.png","Figure")</f>
        <v>Figure</v>
      </c>
      <c r="I11018">
        <v>1.1599999999999999</v>
      </c>
      <c r="J11018">
        <v>0.96</v>
      </c>
      <c r="K11018">
        <v>0.52100000000000002</v>
      </c>
      <c r="L11018">
        <v>0.41</v>
      </c>
      <c r="M11018">
        <v>0.44700000000000001</v>
      </c>
      <c r="N11018">
        <v>0.31</v>
      </c>
    </row>
    <row r="11019" spans="1:14" x14ac:dyDescent="0.25">
      <c r="A11019" t="s">
        <v>19120</v>
      </c>
      <c r="B11019" t="s">
        <v>6138</v>
      </c>
      <c r="C11019" s="1" t="str">
        <f>HYPERLINK("http://www.genecards.org/cgi-bin/carddisp.pl?gene=MYH11","GeneCards")</f>
        <v>GeneCards</v>
      </c>
      <c r="D11019" s="1" t="str">
        <f>HYPERLINK("http://genome-euro.ucsc.edu/cgi-bin/hgTracks?position=207961_x_at","UCSC")</f>
        <v>UCSC</v>
      </c>
      <c r="E11019" s="1" t="str">
        <f>HYPERLINK("http://www.ncbi.nlm.nih.gov/gene/?term=MYH11","NCBI")</f>
        <v>NCBI</v>
      </c>
      <c r="F11019">
        <v>0.27</v>
      </c>
      <c r="G11019">
        <v>0.41</v>
      </c>
      <c r="H11019" s="1" t="str">
        <f>HYPERLINK("http://www.weizmann.ac.il/complex/compphys/software/geview/data/figures/207961_x_at.png","Figure")</f>
        <v>Figure</v>
      </c>
      <c r="I11019">
        <v>1.1499999999999999</v>
      </c>
      <c r="J11019">
        <v>0.32</v>
      </c>
      <c r="K11019">
        <v>1.01</v>
      </c>
      <c r="L11019">
        <v>1</v>
      </c>
      <c r="M11019">
        <v>0.874</v>
      </c>
      <c r="N11019">
        <v>0.3</v>
      </c>
    </row>
    <row r="11020" spans="1:14" x14ac:dyDescent="0.25">
      <c r="A11020" t="s">
        <v>19121</v>
      </c>
      <c r="B11020" t="s">
        <v>19122</v>
      </c>
      <c r="C11020" s="1" t="str">
        <f>HYPERLINK("http://www.genecards.org/cgi-bin/carddisp.pl?gene=CASP4","GeneCards")</f>
        <v>GeneCards</v>
      </c>
      <c r="D11020" s="1" t="str">
        <f>HYPERLINK("http://genome-euro.ucsc.edu/cgi-bin/hgTracks?position=209310_s_at","UCSC")</f>
        <v>UCSC</v>
      </c>
      <c r="E11020" s="1" t="str">
        <f>HYPERLINK("http://www.ncbi.nlm.nih.gov/gene/?term=CASP4","NCBI")</f>
        <v>NCBI</v>
      </c>
      <c r="F11020">
        <v>0.27</v>
      </c>
      <c r="G11020">
        <v>0.41</v>
      </c>
      <c r="H11020" s="1" t="str">
        <f>HYPERLINK("http://www.weizmann.ac.il/complex/compphys/software/geview/data/figures/209310_s_at.png","Figure")</f>
        <v>Figure</v>
      </c>
      <c r="I11020">
        <v>1.07</v>
      </c>
      <c r="J11020">
        <v>0.9</v>
      </c>
      <c r="K11020">
        <v>1.25</v>
      </c>
      <c r="L11020">
        <v>0.26</v>
      </c>
      <c r="M11020">
        <v>1.17</v>
      </c>
      <c r="N11020">
        <v>0.55000000000000004</v>
      </c>
    </row>
    <row r="11021" spans="1:14" x14ac:dyDescent="0.25">
      <c r="A11021" t="s">
        <v>19123</v>
      </c>
      <c r="B11021" t="s">
        <v>19124</v>
      </c>
      <c r="C11021" s="1" t="str">
        <f>HYPERLINK("http://www.genecards.org/cgi-bin/carddisp.pl?gene=CDCA8","GeneCards")</f>
        <v>GeneCards</v>
      </c>
      <c r="D11021" s="1" t="str">
        <f>HYPERLINK("http://genome-euro.ucsc.edu/cgi-bin/hgTracks?position=221520_s_at","UCSC")</f>
        <v>UCSC</v>
      </c>
      <c r="E11021" s="1" t="str">
        <f>HYPERLINK("http://www.ncbi.nlm.nih.gov/gene/?term=CDCA8","NCBI")</f>
        <v>NCBI</v>
      </c>
      <c r="F11021">
        <v>0.27</v>
      </c>
      <c r="G11021">
        <v>0.41</v>
      </c>
      <c r="H11021" s="1" t="str">
        <f>HYPERLINK("http://www.weizmann.ac.il/complex/compphys/software/geview/data/figures/221520_s_at.png","Figure")</f>
        <v>Figure</v>
      </c>
      <c r="I11021">
        <v>1.19</v>
      </c>
      <c r="J11021">
        <v>0.27</v>
      </c>
      <c r="K11021">
        <v>1.1299999999999999</v>
      </c>
      <c r="L11021">
        <v>0.42</v>
      </c>
      <c r="M11021">
        <v>0.94799999999999995</v>
      </c>
      <c r="N11021">
        <v>0.87</v>
      </c>
    </row>
    <row r="11022" spans="1:14" x14ac:dyDescent="0.25">
      <c r="A11022" t="s">
        <v>19125</v>
      </c>
      <c r="B11022" t="s">
        <v>15674</v>
      </c>
      <c r="C11022" s="1" t="str">
        <f>HYPERLINK("http://www.genecards.org/cgi-bin/carddisp.pl?gene=LSG1","GeneCards")</f>
        <v>GeneCards</v>
      </c>
      <c r="D11022" s="1" t="str">
        <f>HYPERLINK("http://genome-euro.ucsc.edu/cgi-bin/hgTracks?position=221535_at","UCSC")</f>
        <v>UCSC</v>
      </c>
      <c r="E11022" s="1" t="str">
        <f>HYPERLINK("http://www.ncbi.nlm.nih.gov/gene/?term=LSG1","NCBI")</f>
        <v>NCBI</v>
      </c>
      <c r="F11022">
        <v>0.27</v>
      </c>
      <c r="G11022">
        <v>0.41</v>
      </c>
      <c r="H11022" s="1" t="str">
        <f>HYPERLINK("http://www.weizmann.ac.il/complex/compphys/software/geview/data/figures/221535_at.png","Figure")</f>
        <v>Figure</v>
      </c>
      <c r="I11022">
        <v>0.85399999999999998</v>
      </c>
      <c r="J11022">
        <v>0.65</v>
      </c>
      <c r="K11022">
        <v>0.76800000000000002</v>
      </c>
      <c r="L11022">
        <v>0.24</v>
      </c>
      <c r="M11022">
        <v>0.89900000000000002</v>
      </c>
      <c r="N11022">
        <v>0.8</v>
      </c>
    </row>
    <row r="11023" spans="1:14" x14ac:dyDescent="0.25">
      <c r="A11023" t="s">
        <v>19126</v>
      </c>
      <c r="B11023" t="s">
        <v>19127</v>
      </c>
      <c r="C11023" s="1" t="str">
        <f>HYPERLINK("http://www.genecards.org/cgi-bin/carddisp.pl?gene=HERC3","GeneCards")</f>
        <v>GeneCards</v>
      </c>
      <c r="D11023" s="1" t="str">
        <f>HYPERLINK("http://genome-euro.ucsc.edu/cgi-bin/hgTracks?position=206183_s_at","UCSC")</f>
        <v>UCSC</v>
      </c>
      <c r="E11023" s="1" t="str">
        <f>HYPERLINK("http://www.ncbi.nlm.nih.gov/gene/?term=HERC3","NCBI")</f>
        <v>NCBI</v>
      </c>
      <c r="F11023">
        <v>0.27</v>
      </c>
      <c r="G11023">
        <v>0.41</v>
      </c>
      <c r="H11023" s="1" t="str">
        <f>HYPERLINK("http://www.weizmann.ac.il/complex/compphys/software/geview/data/figures/206183_s_at.png","Figure")</f>
        <v>Figure</v>
      </c>
      <c r="I11023">
        <v>0.88</v>
      </c>
      <c r="J11023">
        <v>0.24</v>
      </c>
      <c r="K11023">
        <v>0.94499999999999995</v>
      </c>
      <c r="L11023">
        <v>0.67</v>
      </c>
      <c r="M11023">
        <v>1.07</v>
      </c>
      <c r="N11023">
        <v>0.56999999999999995</v>
      </c>
    </row>
    <row r="11024" spans="1:14" x14ac:dyDescent="0.25">
      <c r="A11024" t="s">
        <v>19128</v>
      </c>
      <c r="B11024" t="s">
        <v>17216</v>
      </c>
      <c r="C11024" s="1" t="str">
        <f>HYPERLINK("http://www.genecards.org/cgi-bin/carddisp.pl?gene=RPL29","GeneCards")</f>
        <v>GeneCards</v>
      </c>
      <c r="D11024" s="1" t="str">
        <f>HYPERLINK("http://genome-euro.ucsc.edu/cgi-bin/hgTracks?position=213969_x_at","UCSC")</f>
        <v>UCSC</v>
      </c>
      <c r="E11024" s="1" t="str">
        <f>HYPERLINK("http://www.ncbi.nlm.nih.gov/gene/?term=RPL29","NCBI")</f>
        <v>NCBI</v>
      </c>
      <c r="F11024">
        <v>0.27</v>
      </c>
      <c r="G11024">
        <v>0.41</v>
      </c>
      <c r="H11024" s="1" t="str">
        <f>HYPERLINK("http://www.weizmann.ac.il/complex/compphys/software/geview/data/figures/213969_x_at.png","Figure")</f>
        <v>Figure</v>
      </c>
      <c r="I11024">
        <v>0.73699999999999999</v>
      </c>
      <c r="J11024">
        <v>0.47</v>
      </c>
      <c r="K11024">
        <v>1.1000000000000001</v>
      </c>
      <c r="L11024">
        <v>0.9</v>
      </c>
      <c r="M11024">
        <v>1.49</v>
      </c>
      <c r="N11024">
        <v>0.24</v>
      </c>
    </row>
    <row r="11025" spans="1:14" x14ac:dyDescent="0.25">
      <c r="A11025" t="s">
        <v>19129</v>
      </c>
      <c r="B11025" t="s">
        <v>936</v>
      </c>
      <c r="C11025" s="1" t="str">
        <f>HYPERLINK("http://www.genecards.org/cgi-bin/carddisp.pl?gene=OTUD4","GeneCards")</f>
        <v>GeneCards</v>
      </c>
      <c r="D11025" s="1" t="str">
        <f>HYPERLINK("http://genome-euro.ucsc.edu/cgi-bin/hgTracks?position=220669_at","UCSC")</f>
        <v>UCSC</v>
      </c>
      <c r="E11025" s="1" t="str">
        <f>HYPERLINK("http://www.ncbi.nlm.nih.gov/gene/?term=OTUD4","NCBI")</f>
        <v>NCBI</v>
      </c>
      <c r="F11025">
        <v>0.27</v>
      </c>
      <c r="G11025">
        <v>0.41</v>
      </c>
      <c r="H11025" s="1" t="str">
        <f>HYPERLINK("http://www.weizmann.ac.il/complex/compphys/software/geview/data/figures/220669_at.png","Figure")</f>
        <v>Figure</v>
      </c>
      <c r="I11025">
        <v>0.86799999999999999</v>
      </c>
      <c r="J11025">
        <v>0.31</v>
      </c>
      <c r="K11025">
        <v>0.98899999999999999</v>
      </c>
      <c r="L11025">
        <v>0.99</v>
      </c>
      <c r="M11025">
        <v>1.1399999999999999</v>
      </c>
      <c r="N11025">
        <v>0.31</v>
      </c>
    </row>
    <row r="11026" spans="1:14" x14ac:dyDescent="0.25">
      <c r="A11026" t="s">
        <v>19130</v>
      </c>
      <c r="B11026" t="s">
        <v>19131</v>
      </c>
      <c r="C11026" s="1" t="str">
        <f>HYPERLINK("http://www.genecards.org/cgi-bin/carddisp.pl?gene=CHRNA4","GeneCards")</f>
        <v>GeneCards</v>
      </c>
      <c r="D11026" s="1" t="str">
        <f>HYPERLINK("http://genome-euro.ucsc.edu/cgi-bin/hgTracks?position=206736_x_at","UCSC")</f>
        <v>UCSC</v>
      </c>
      <c r="E11026" s="1" t="str">
        <f>HYPERLINK("http://www.ncbi.nlm.nih.gov/gene/?term=CHRNA4","NCBI")</f>
        <v>NCBI</v>
      </c>
      <c r="F11026">
        <v>0.27</v>
      </c>
      <c r="G11026">
        <v>0.41</v>
      </c>
      <c r="H11026" s="1" t="str">
        <f>HYPERLINK("http://www.weizmann.ac.il/complex/compphys/software/geview/data/figures/206736_x_at.png","Figure")</f>
        <v>Figure</v>
      </c>
      <c r="I11026">
        <v>1.05</v>
      </c>
      <c r="J11026">
        <v>0.24</v>
      </c>
      <c r="K11026">
        <v>1.02</v>
      </c>
      <c r="L11026">
        <v>0.63</v>
      </c>
      <c r="M11026">
        <v>0.97399999999999998</v>
      </c>
      <c r="N11026">
        <v>0.62</v>
      </c>
    </row>
    <row r="11027" spans="1:14" x14ac:dyDescent="0.25">
      <c r="A11027" t="s">
        <v>19132</v>
      </c>
      <c r="B11027" t="s">
        <v>10952</v>
      </c>
      <c r="C11027" s="1" t="str">
        <f>HYPERLINK("http://www.genecards.org/cgi-bin/carddisp.pl?gene=PDE3B","GeneCards")</f>
        <v>GeneCards</v>
      </c>
      <c r="D11027" s="1" t="str">
        <f>HYPERLINK("http://genome-euro.ucsc.edu/cgi-bin/hgTracks?position=214582_at","UCSC")</f>
        <v>UCSC</v>
      </c>
      <c r="E11027" s="1" t="str">
        <f>HYPERLINK("http://www.ncbi.nlm.nih.gov/gene/?term=PDE3B","NCBI")</f>
        <v>NCBI</v>
      </c>
      <c r="F11027">
        <v>0.27</v>
      </c>
      <c r="G11027">
        <v>0.41</v>
      </c>
      <c r="H11027" s="1" t="str">
        <f>HYPERLINK("http://www.weizmann.ac.il/complex/compphys/software/geview/data/figures/214582_at.png","Figure")</f>
        <v>Figure</v>
      </c>
      <c r="I11027">
        <v>0.89500000000000002</v>
      </c>
      <c r="J11027">
        <v>0.84</v>
      </c>
      <c r="K11027">
        <v>0.75</v>
      </c>
      <c r="L11027">
        <v>0.25</v>
      </c>
      <c r="M11027">
        <v>0.83799999999999997</v>
      </c>
      <c r="N11027">
        <v>0.61</v>
      </c>
    </row>
    <row r="11028" spans="1:14" x14ac:dyDescent="0.25">
      <c r="A11028" t="s">
        <v>19133</v>
      </c>
      <c r="B11028" t="s">
        <v>6146</v>
      </c>
      <c r="C11028" s="1" t="str">
        <f>HYPERLINK("http://www.genecards.org/cgi-bin/carddisp.pl?gene=FUT6","GeneCards")</f>
        <v>GeneCards</v>
      </c>
      <c r="D11028" s="1" t="str">
        <f>HYPERLINK("http://genome-euro.ucsc.edu/cgi-bin/hgTracks?position=211465_x_at","UCSC")</f>
        <v>UCSC</v>
      </c>
      <c r="E11028" s="1" t="str">
        <f>HYPERLINK("http://www.ncbi.nlm.nih.gov/gene/?term=FUT6","NCBI")</f>
        <v>NCBI</v>
      </c>
      <c r="F11028">
        <v>0.27</v>
      </c>
      <c r="G11028">
        <v>0.41</v>
      </c>
      <c r="H11028" s="1" t="str">
        <f>HYPERLINK("http://www.weizmann.ac.il/complex/compphys/software/geview/data/figures/211465_x_at.png","Figure")</f>
        <v>Figure</v>
      </c>
      <c r="I11028">
        <v>1.22</v>
      </c>
      <c r="J11028">
        <v>0.3</v>
      </c>
      <c r="K11028">
        <v>1.02</v>
      </c>
      <c r="L11028">
        <v>0.99</v>
      </c>
      <c r="M11028">
        <v>0.83599999999999997</v>
      </c>
      <c r="N11028">
        <v>0.32</v>
      </c>
    </row>
    <row r="11029" spans="1:14" x14ac:dyDescent="0.25">
      <c r="A11029" t="s">
        <v>19134</v>
      </c>
      <c r="B11029" t="s">
        <v>19135</v>
      </c>
      <c r="C11029" s="1" t="str">
        <f>HYPERLINK("http://www.genecards.org/cgi-bin/carddisp.pl?gene=FANCL","GeneCards")</f>
        <v>GeneCards</v>
      </c>
      <c r="D11029" s="1" t="str">
        <f>HYPERLINK("http://genome-euro.ucsc.edu/cgi-bin/hgTracks?position=218397_at","UCSC")</f>
        <v>UCSC</v>
      </c>
      <c r="E11029" s="1" t="str">
        <f>HYPERLINK("http://www.ncbi.nlm.nih.gov/gene/?term=FANCL","NCBI")</f>
        <v>NCBI</v>
      </c>
      <c r="F11029">
        <v>0.27</v>
      </c>
      <c r="G11029">
        <v>0.41</v>
      </c>
      <c r="H11029" s="1" t="str">
        <f>HYPERLINK("http://www.weizmann.ac.il/complex/compphys/software/geview/data/figures/218397_at.png","Figure")</f>
        <v>Figure</v>
      </c>
      <c r="I11029">
        <v>0.50600000000000001</v>
      </c>
      <c r="J11029">
        <v>0.24</v>
      </c>
      <c r="K11029">
        <v>0.76200000000000001</v>
      </c>
      <c r="L11029">
        <v>0.72</v>
      </c>
      <c r="M11029">
        <v>1.51</v>
      </c>
      <c r="N11029">
        <v>0.53</v>
      </c>
    </row>
    <row r="11030" spans="1:14" x14ac:dyDescent="0.25">
      <c r="A11030" t="s">
        <v>19136</v>
      </c>
      <c r="B11030" t="s">
        <v>19137</v>
      </c>
      <c r="C11030" s="1" t="str">
        <f>HYPERLINK("http://www.genecards.org/cgi-bin/carddisp.pl?gene=MARCKSL1","GeneCards")</f>
        <v>GeneCards</v>
      </c>
      <c r="D11030" s="1" t="str">
        <f>HYPERLINK("http://genome-euro.ucsc.edu/cgi-bin/hgTracks?position=200644_at","UCSC")</f>
        <v>UCSC</v>
      </c>
      <c r="E11030" s="1" t="str">
        <f>HYPERLINK("http://www.ncbi.nlm.nih.gov/gene/?term=MARCKSL1","NCBI")</f>
        <v>NCBI</v>
      </c>
      <c r="F11030">
        <v>0.27</v>
      </c>
      <c r="G11030">
        <v>0.41</v>
      </c>
      <c r="H11030" s="1" t="str">
        <f>HYPERLINK("http://www.weizmann.ac.il/complex/compphys/software/geview/data/figures/200644_at.png","Figure")</f>
        <v>Figure</v>
      </c>
      <c r="I11030">
        <v>0.78300000000000003</v>
      </c>
      <c r="J11030">
        <v>0.5</v>
      </c>
      <c r="K11030">
        <v>1.1000000000000001</v>
      </c>
      <c r="L11030">
        <v>0.88</v>
      </c>
      <c r="M11030">
        <v>1.4</v>
      </c>
      <c r="N11030">
        <v>0.24</v>
      </c>
    </row>
    <row r="11031" spans="1:14" x14ac:dyDescent="0.25">
      <c r="A11031" t="s">
        <v>19138</v>
      </c>
      <c r="B11031" t="s">
        <v>15145</v>
      </c>
      <c r="C11031" s="1" t="str">
        <f>HYPERLINK("http://www.genecards.org/cgi-bin/carddisp.pl?gene=MBD4","GeneCards")</f>
        <v>GeneCards</v>
      </c>
      <c r="D11031" s="1" t="str">
        <f>HYPERLINK("http://genome-euro.ucsc.edu/cgi-bin/hgTracks?position=209579_s_at","UCSC")</f>
        <v>UCSC</v>
      </c>
      <c r="E11031" s="1" t="str">
        <f>HYPERLINK("http://www.ncbi.nlm.nih.gov/gene/?term=MBD4","NCBI")</f>
        <v>NCBI</v>
      </c>
      <c r="F11031">
        <v>0.27</v>
      </c>
      <c r="G11031">
        <v>0.41</v>
      </c>
      <c r="H11031" s="1" t="str">
        <f>HYPERLINK("http://www.weizmann.ac.il/complex/compphys/software/geview/data/figures/209579_s_at.png","Figure")</f>
        <v>Figure</v>
      </c>
      <c r="I11031">
        <v>1.1599999999999999</v>
      </c>
      <c r="J11031">
        <v>0.56000000000000005</v>
      </c>
      <c r="K11031">
        <v>0.92500000000000004</v>
      </c>
      <c r="L11031">
        <v>0.81</v>
      </c>
      <c r="M11031">
        <v>0.79600000000000004</v>
      </c>
      <c r="N11031">
        <v>0.24</v>
      </c>
    </row>
    <row r="11032" spans="1:14" x14ac:dyDescent="0.25">
      <c r="A11032" t="s">
        <v>19139</v>
      </c>
      <c r="B11032" t="s">
        <v>11234</v>
      </c>
      <c r="C11032" s="1" t="str">
        <f>HYPERLINK("http://www.genecards.org/cgi-bin/carddisp.pl?gene=NBR1","GeneCards")</f>
        <v>GeneCards</v>
      </c>
      <c r="D11032" s="1" t="str">
        <f>HYPERLINK("http://genome-euro.ucsc.edu/cgi-bin/hgTracks?position=201384_s_at","UCSC")</f>
        <v>UCSC</v>
      </c>
      <c r="E11032" s="1" t="str">
        <f>HYPERLINK("http://www.ncbi.nlm.nih.gov/gene/?term=NBR1","NCBI")</f>
        <v>NCBI</v>
      </c>
      <c r="F11032">
        <v>0.27</v>
      </c>
      <c r="G11032">
        <v>0.41</v>
      </c>
      <c r="H11032" s="1" t="str">
        <f>HYPERLINK("http://www.weizmann.ac.il/complex/compphys/software/geview/data/figures/201384_s_at.png","Figure")</f>
        <v>Figure</v>
      </c>
      <c r="I11032">
        <v>0.78800000000000003</v>
      </c>
      <c r="J11032">
        <v>0.56000000000000005</v>
      </c>
      <c r="K11032">
        <v>1.1299999999999999</v>
      </c>
      <c r="L11032">
        <v>0.8</v>
      </c>
      <c r="M11032">
        <v>1.44</v>
      </c>
      <c r="N11032">
        <v>0.24</v>
      </c>
    </row>
    <row r="11033" spans="1:14" x14ac:dyDescent="0.25">
      <c r="A11033" t="s">
        <v>19140</v>
      </c>
      <c r="B11033" t="s">
        <v>1646</v>
      </c>
      <c r="C11033" s="1" t="str">
        <f>HYPERLINK("http://www.genecards.org/cgi-bin/carddisp.pl?gene=AAK1","GeneCards")</f>
        <v>GeneCards</v>
      </c>
      <c r="D11033" s="1" t="str">
        <f>HYPERLINK("http://genome-euro.ucsc.edu/cgi-bin/hgTracks?position=214956_at","UCSC")</f>
        <v>UCSC</v>
      </c>
      <c r="E11033" s="1" t="str">
        <f>HYPERLINK("http://www.ncbi.nlm.nih.gov/gene/?term=AAK1","NCBI")</f>
        <v>NCBI</v>
      </c>
      <c r="F11033">
        <v>0.27</v>
      </c>
      <c r="G11033">
        <v>0.41</v>
      </c>
      <c r="H11033" s="1" t="str">
        <f>HYPERLINK("http://www.weizmann.ac.il/complex/compphys/software/geview/data/figures/214956_at.png","Figure")</f>
        <v>Figure</v>
      </c>
      <c r="I11033">
        <v>0.91900000000000004</v>
      </c>
      <c r="J11033">
        <v>0.68</v>
      </c>
      <c r="K11033">
        <v>0.86099999999999999</v>
      </c>
      <c r="L11033">
        <v>0.24</v>
      </c>
      <c r="M11033">
        <v>0.93700000000000006</v>
      </c>
      <c r="N11033">
        <v>0.77</v>
      </c>
    </row>
    <row r="11034" spans="1:14" x14ac:dyDescent="0.25">
      <c r="A11034" t="s">
        <v>19141</v>
      </c>
      <c r="B11034" t="s">
        <v>12865</v>
      </c>
      <c r="C11034" s="1" t="str">
        <f>HYPERLINK("http://www.genecards.org/cgi-bin/carddisp.pl?gene=THADA","GeneCards")</f>
        <v>GeneCards</v>
      </c>
      <c r="D11034" s="1" t="str">
        <f>HYPERLINK("http://genome-euro.ucsc.edu/cgi-bin/hgTracks?position=54632_at","UCSC")</f>
        <v>UCSC</v>
      </c>
      <c r="E11034" s="1" t="str">
        <f>HYPERLINK("http://www.ncbi.nlm.nih.gov/gene/?term=THADA","NCBI")</f>
        <v>NCBI</v>
      </c>
      <c r="F11034">
        <v>0.27</v>
      </c>
      <c r="G11034">
        <v>0.41</v>
      </c>
      <c r="H11034" s="1" t="str">
        <f>HYPERLINK("http://www.weizmann.ac.il/complex/compphys/software/geview/data/figures/54632_at.png","Figure")</f>
        <v>Figure</v>
      </c>
      <c r="I11034">
        <v>1.31</v>
      </c>
      <c r="J11034">
        <v>0.25</v>
      </c>
      <c r="K11034">
        <v>1.17</v>
      </c>
      <c r="L11034">
        <v>0.52</v>
      </c>
      <c r="M11034">
        <v>0.89100000000000001</v>
      </c>
      <c r="N11034">
        <v>0.73</v>
      </c>
    </row>
    <row r="11035" spans="1:14" x14ac:dyDescent="0.25">
      <c r="A11035" t="s">
        <v>19142</v>
      </c>
      <c r="B11035" t="s">
        <v>19143</v>
      </c>
      <c r="C11035" s="1" t="str">
        <f>HYPERLINK("http://www.genecards.org/cgi-bin/carddisp.pl?gene=PITPNB","GeneCards")</f>
        <v>GeneCards</v>
      </c>
      <c r="D11035" s="1" t="str">
        <f>HYPERLINK("http://genome-euro.ucsc.edu/cgi-bin/hgTracks?position=202522_at","UCSC")</f>
        <v>UCSC</v>
      </c>
      <c r="E11035" s="1" t="str">
        <f>HYPERLINK("http://www.ncbi.nlm.nih.gov/gene/?term=PITPNB","NCBI")</f>
        <v>NCBI</v>
      </c>
      <c r="F11035">
        <v>0.27</v>
      </c>
      <c r="G11035">
        <v>0.41</v>
      </c>
      <c r="H11035" s="1" t="str">
        <f>HYPERLINK("http://www.weizmann.ac.il/complex/compphys/software/geview/data/figures/202522_at.png","Figure")</f>
        <v>Figure</v>
      </c>
      <c r="I11035">
        <v>0.99</v>
      </c>
      <c r="J11035">
        <v>1</v>
      </c>
      <c r="K11035">
        <v>1.18</v>
      </c>
      <c r="L11035">
        <v>0.35</v>
      </c>
      <c r="M11035">
        <v>1.19</v>
      </c>
      <c r="N11035">
        <v>0.36</v>
      </c>
    </row>
    <row r="11036" spans="1:14" x14ac:dyDescent="0.25">
      <c r="A11036" t="s">
        <v>19144</v>
      </c>
      <c r="B11036" t="s">
        <v>19145</v>
      </c>
      <c r="C11036" s="1" t="str">
        <f>HYPERLINK("http://www.genecards.org/cgi-bin/carddisp.pl?gene=APEX2","GeneCards")</f>
        <v>GeneCards</v>
      </c>
      <c r="D11036" s="1" t="str">
        <f>HYPERLINK("http://genome-euro.ucsc.edu/cgi-bin/hgTracks?position=204408_at","UCSC")</f>
        <v>UCSC</v>
      </c>
      <c r="E11036" s="1" t="str">
        <f>HYPERLINK("http://www.ncbi.nlm.nih.gov/gene/?term=APEX2","NCBI")</f>
        <v>NCBI</v>
      </c>
      <c r="F11036">
        <v>0.27</v>
      </c>
      <c r="G11036">
        <v>0.41</v>
      </c>
      <c r="H11036" s="1" t="str">
        <f>HYPERLINK("http://www.weizmann.ac.il/complex/compphys/software/geview/data/figures/204408_at.png","Figure")</f>
        <v>Figure</v>
      </c>
      <c r="I11036">
        <v>1.05</v>
      </c>
      <c r="J11036">
        <v>0.88</v>
      </c>
      <c r="K11036">
        <v>1.17</v>
      </c>
      <c r="L11036">
        <v>0.26</v>
      </c>
      <c r="M11036">
        <v>1.1100000000000001</v>
      </c>
      <c r="N11036">
        <v>0.56999999999999995</v>
      </c>
    </row>
    <row r="11037" spans="1:14" x14ac:dyDescent="0.25">
      <c r="A11037" t="s">
        <v>19146</v>
      </c>
      <c r="B11037" t="s">
        <v>19147</v>
      </c>
      <c r="C11037" s="1" t="str">
        <f>HYPERLINK("http://www.genecards.org/cgi-bin/carddisp.pl?gene=FZD1","GeneCards")</f>
        <v>GeneCards</v>
      </c>
      <c r="D11037" s="1" t="str">
        <f>HYPERLINK("http://genome-euro.ucsc.edu/cgi-bin/hgTracks?position=204451_at","UCSC")</f>
        <v>UCSC</v>
      </c>
      <c r="E11037" s="1" t="str">
        <f>HYPERLINK("http://www.ncbi.nlm.nih.gov/gene/?term=FZD1","NCBI")</f>
        <v>NCBI</v>
      </c>
      <c r="F11037">
        <v>0.27</v>
      </c>
      <c r="G11037">
        <v>0.41</v>
      </c>
      <c r="H11037" s="1" t="str">
        <f>HYPERLINK("http://www.weizmann.ac.il/complex/compphys/software/geview/data/figures/204451_at.png","Figure")</f>
        <v>Figure</v>
      </c>
      <c r="I11037">
        <v>0.97399999999999998</v>
      </c>
      <c r="J11037">
        <v>0.31</v>
      </c>
      <c r="K11037">
        <v>0.998</v>
      </c>
      <c r="L11037">
        <v>0.99</v>
      </c>
      <c r="M11037">
        <v>1.02</v>
      </c>
      <c r="N11037">
        <v>0.31</v>
      </c>
    </row>
    <row r="11038" spans="1:14" x14ac:dyDescent="0.25">
      <c r="A11038" t="s">
        <v>19148</v>
      </c>
      <c r="B11038" t="s">
        <v>19149</v>
      </c>
      <c r="C11038" s="1" t="str">
        <f>HYPERLINK("http://www.genecards.org/cgi-bin/carddisp.pl?gene=MLN","GeneCards")</f>
        <v>GeneCards</v>
      </c>
      <c r="D11038" s="1" t="str">
        <f>HYPERLINK("http://genome-euro.ucsc.edu/cgi-bin/hgTracks?position=207473_at","UCSC")</f>
        <v>UCSC</v>
      </c>
      <c r="E11038" s="1" t="str">
        <f>HYPERLINK("http://www.ncbi.nlm.nih.gov/gene/?term=MLN","NCBI")</f>
        <v>NCBI</v>
      </c>
      <c r="F11038">
        <v>0.27</v>
      </c>
      <c r="G11038">
        <v>0.41</v>
      </c>
      <c r="H11038" s="1" t="str">
        <f>HYPERLINK("http://www.weizmann.ac.il/complex/compphys/software/geview/data/figures/207473_at.png","Figure")</f>
        <v>Figure</v>
      </c>
      <c r="I11038">
        <v>1.1399999999999999</v>
      </c>
      <c r="J11038">
        <v>0.28000000000000003</v>
      </c>
      <c r="K11038">
        <v>1.02</v>
      </c>
      <c r="L11038">
        <v>0.95</v>
      </c>
      <c r="M11038">
        <v>0.89500000000000002</v>
      </c>
      <c r="N11038">
        <v>0.35</v>
      </c>
    </row>
    <row r="11039" spans="1:14" x14ac:dyDescent="0.25">
      <c r="A11039" t="s">
        <v>19150</v>
      </c>
      <c r="B11039" t="s">
        <v>19151</v>
      </c>
      <c r="C11039" s="1" t="str">
        <f>HYPERLINK("http://www.genecards.org/cgi-bin/carddisp.pl?gene=SORBS3","GeneCards")</f>
        <v>GeneCards</v>
      </c>
      <c r="D11039" s="1" t="str">
        <f>HYPERLINK("http://genome-euro.ucsc.edu/cgi-bin/hgTracks?position=209253_at","UCSC")</f>
        <v>UCSC</v>
      </c>
      <c r="E11039" s="1" t="str">
        <f>HYPERLINK("http://www.ncbi.nlm.nih.gov/gene/?term=SORBS3","NCBI")</f>
        <v>NCBI</v>
      </c>
      <c r="F11039">
        <v>0.27</v>
      </c>
      <c r="G11039">
        <v>0.41</v>
      </c>
      <c r="H11039" s="1" t="str">
        <f>HYPERLINK("http://www.weizmann.ac.il/complex/compphys/software/geview/data/figures/209253_at.png","Figure")</f>
        <v>Figure</v>
      </c>
      <c r="I11039">
        <v>1.19</v>
      </c>
      <c r="J11039">
        <v>0.55000000000000004</v>
      </c>
      <c r="K11039">
        <v>1.27</v>
      </c>
      <c r="L11039">
        <v>0.24</v>
      </c>
      <c r="M11039">
        <v>1.07</v>
      </c>
      <c r="N11039">
        <v>0.9</v>
      </c>
    </row>
    <row r="11040" spans="1:14" x14ac:dyDescent="0.25">
      <c r="A11040" t="s">
        <v>19152</v>
      </c>
      <c r="B11040" t="s">
        <v>10076</v>
      </c>
      <c r="C11040" s="1" t="str">
        <f>HYPERLINK("http://www.genecards.org/cgi-bin/carddisp.pl?gene=PMS2L3","GeneCards")</f>
        <v>GeneCards</v>
      </c>
      <c r="D11040" s="1" t="str">
        <f>HYPERLINK("http://genome-euro.ucsc.edu/cgi-bin/hgTracks?position=214473_x_at","UCSC")</f>
        <v>UCSC</v>
      </c>
      <c r="E11040" s="1" t="str">
        <f>HYPERLINK("http://www.ncbi.nlm.nih.gov/gene/?term=PMS2L3","NCBI")</f>
        <v>NCBI</v>
      </c>
      <c r="F11040">
        <v>0.27</v>
      </c>
      <c r="G11040">
        <v>0.41</v>
      </c>
      <c r="H11040" s="1" t="str">
        <f>HYPERLINK("http://www.weizmann.ac.il/complex/compphys/software/geview/data/figures/214473_x_at.png","Figure")</f>
        <v>Figure</v>
      </c>
      <c r="I11040">
        <v>1.37</v>
      </c>
      <c r="J11040">
        <v>0.28999999999999998</v>
      </c>
      <c r="K11040">
        <v>1.04</v>
      </c>
      <c r="L11040">
        <v>0.97</v>
      </c>
      <c r="M11040">
        <v>0.76200000000000001</v>
      </c>
      <c r="N11040">
        <v>0.34</v>
      </c>
    </row>
    <row r="11041" spans="1:14" x14ac:dyDescent="0.25">
      <c r="A11041" t="s">
        <v>19153</v>
      </c>
      <c r="B11041" t="s">
        <v>19154</v>
      </c>
      <c r="C11041" s="1" t="str">
        <f>HYPERLINK("http://www.genecards.org/cgi-bin/carddisp.pl?gene=LYRM4","GeneCards")</f>
        <v>GeneCards</v>
      </c>
      <c r="D11041" s="1" t="str">
        <f>HYPERLINK("http://genome-euro.ucsc.edu/cgi-bin/hgTracks?position=218561_s_at","UCSC")</f>
        <v>UCSC</v>
      </c>
      <c r="E11041" s="1" t="str">
        <f>HYPERLINK("http://www.ncbi.nlm.nih.gov/gene/?term=LYRM4","NCBI")</f>
        <v>NCBI</v>
      </c>
      <c r="F11041">
        <v>0.27</v>
      </c>
      <c r="G11041">
        <v>0.41</v>
      </c>
      <c r="H11041" s="1" t="str">
        <f>HYPERLINK("http://www.weizmann.ac.il/complex/compphys/software/geview/data/figures/218561_s_at.png","Figure")</f>
        <v>Figure</v>
      </c>
      <c r="I11041">
        <v>1.27</v>
      </c>
      <c r="J11041">
        <v>0.52</v>
      </c>
      <c r="K11041">
        <v>0.90300000000000002</v>
      </c>
      <c r="L11041">
        <v>0.85</v>
      </c>
      <c r="M11041">
        <v>0.71199999999999997</v>
      </c>
      <c r="N11041">
        <v>0.24</v>
      </c>
    </row>
    <row r="11042" spans="1:14" x14ac:dyDescent="0.25">
      <c r="A11042" t="s">
        <v>19155</v>
      </c>
      <c r="B11042" t="s">
        <v>19156</v>
      </c>
      <c r="C11042" s="1" t="str">
        <f>HYPERLINK("http://www.genecards.org/cgi-bin/carddisp.pl?gene=GDPD5","GeneCards")</f>
        <v>GeneCards</v>
      </c>
      <c r="D11042" s="1" t="str">
        <f>HYPERLINK("http://genome-euro.ucsc.edu/cgi-bin/hgTracks?position=32502_at","UCSC")</f>
        <v>UCSC</v>
      </c>
      <c r="E11042" s="1" t="str">
        <f>HYPERLINK("http://www.ncbi.nlm.nih.gov/gene/?term=GDPD5","NCBI")</f>
        <v>NCBI</v>
      </c>
      <c r="F11042">
        <v>0.27</v>
      </c>
      <c r="G11042">
        <v>0.41</v>
      </c>
      <c r="H11042" s="1" t="str">
        <f>HYPERLINK("http://www.weizmann.ac.il/complex/compphys/software/geview/data/figures/32502_at.png","Figure")</f>
        <v>Figure</v>
      </c>
      <c r="I11042">
        <v>1.23</v>
      </c>
      <c r="J11042">
        <v>0.28000000000000003</v>
      </c>
      <c r="K11042">
        <v>1.1599999999999999</v>
      </c>
      <c r="L11042">
        <v>0.41</v>
      </c>
      <c r="M11042">
        <v>0.94399999999999995</v>
      </c>
      <c r="N11042">
        <v>0.88</v>
      </c>
    </row>
    <row r="11043" spans="1:14" x14ac:dyDescent="0.25">
      <c r="A11043" t="s">
        <v>19157</v>
      </c>
      <c r="B11043" t="s">
        <v>19158</v>
      </c>
      <c r="C11043" s="1" t="str">
        <f>HYPERLINK("http://www.genecards.org/cgi-bin/carddisp.pl?gene=GNAI2","GeneCards")</f>
        <v>GeneCards</v>
      </c>
      <c r="D11043" s="1" t="str">
        <f>HYPERLINK("http://genome-euro.ucsc.edu/cgi-bin/hgTracks?position=201040_at","UCSC")</f>
        <v>UCSC</v>
      </c>
      <c r="E11043" s="1" t="str">
        <f>HYPERLINK("http://www.ncbi.nlm.nih.gov/gene/?term=GNAI2","NCBI")</f>
        <v>NCBI</v>
      </c>
      <c r="F11043">
        <v>0.27</v>
      </c>
      <c r="G11043">
        <v>0.41</v>
      </c>
      <c r="H11043" s="1" t="str">
        <f>HYPERLINK("http://www.weizmann.ac.il/complex/compphys/software/geview/data/figures/201040_at.png","Figure")</f>
        <v>Figure</v>
      </c>
      <c r="I11043">
        <v>1.3</v>
      </c>
      <c r="J11043">
        <v>0.3</v>
      </c>
      <c r="K11043">
        <v>1.24</v>
      </c>
      <c r="L11043">
        <v>0.36</v>
      </c>
      <c r="M11043">
        <v>0.94699999999999995</v>
      </c>
      <c r="N11043">
        <v>0.94</v>
      </c>
    </row>
    <row r="11044" spans="1:14" x14ac:dyDescent="0.25">
      <c r="A11044" t="s">
        <v>19159</v>
      </c>
      <c r="B11044" t="s">
        <v>19160</v>
      </c>
      <c r="C11044" s="1" t="str">
        <f>HYPERLINK("http://www.genecards.org/cgi-bin/carddisp.pl?gene=TRAF4","GeneCards")</f>
        <v>GeneCards</v>
      </c>
      <c r="D11044" s="1" t="str">
        <f>HYPERLINK("http://genome-euro.ucsc.edu/cgi-bin/hgTracks?position=202871_at","UCSC")</f>
        <v>UCSC</v>
      </c>
      <c r="E11044" s="1" t="str">
        <f>HYPERLINK("http://www.ncbi.nlm.nih.gov/gene/?term=TRAF4","NCBI")</f>
        <v>NCBI</v>
      </c>
      <c r="F11044">
        <v>0.27</v>
      </c>
      <c r="G11044">
        <v>0.41</v>
      </c>
      <c r="H11044" s="1" t="str">
        <f>HYPERLINK("http://www.weizmann.ac.il/complex/compphys/software/geview/data/figures/202871_at.png","Figure")</f>
        <v>Figure</v>
      </c>
      <c r="I11044">
        <v>1.17</v>
      </c>
      <c r="J11044">
        <v>0.78</v>
      </c>
      <c r="K11044">
        <v>0.81599999999999995</v>
      </c>
      <c r="L11044">
        <v>0.57999999999999996</v>
      </c>
      <c r="M11044">
        <v>0.69899999999999995</v>
      </c>
      <c r="N11044">
        <v>0.26</v>
      </c>
    </row>
    <row r="11045" spans="1:14" x14ac:dyDescent="0.25">
      <c r="A11045" t="s">
        <v>19161</v>
      </c>
      <c r="B11045" t="s">
        <v>19162</v>
      </c>
      <c r="C11045" s="1" t="str">
        <f>HYPERLINK("http://www.genecards.org/cgi-bin/carddisp.pl?gene=PYGL","GeneCards")</f>
        <v>GeneCards</v>
      </c>
      <c r="D11045" s="1" t="str">
        <f>HYPERLINK("http://genome-euro.ucsc.edu/cgi-bin/hgTracks?position=202990_at","UCSC")</f>
        <v>UCSC</v>
      </c>
      <c r="E11045" s="1" t="str">
        <f>HYPERLINK("http://www.ncbi.nlm.nih.gov/gene/?term=PYGL","NCBI")</f>
        <v>NCBI</v>
      </c>
      <c r="F11045">
        <v>0.27</v>
      </c>
      <c r="G11045">
        <v>0.41</v>
      </c>
      <c r="H11045" s="1" t="str">
        <f>HYPERLINK("http://www.weizmann.ac.il/complex/compphys/software/geview/data/figures/202990_at.png","Figure")</f>
        <v>Figure</v>
      </c>
      <c r="I11045">
        <v>0.97899999999999998</v>
      </c>
      <c r="J11045">
        <v>0.39</v>
      </c>
      <c r="K11045">
        <v>1</v>
      </c>
      <c r="L11045">
        <v>0.98</v>
      </c>
      <c r="M11045">
        <v>1.02</v>
      </c>
      <c r="N11045">
        <v>0.26</v>
      </c>
    </row>
    <row r="11046" spans="1:14" x14ac:dyDescent="0.25">
      <c r="A11046" t="s">
        <v>19163</v>
      </c>
      <c r="B11046" t="s">
        <v>4455</v>
      </c>
      <c r="C11046" s="1" t="str">
        <f>HYPERLINK("http://www.genecards.org/cgi-bin/carddisp.pl?gene=UQCRB","GeneCards")</f>
        <v>GeneCards</v>
      </c>
      <c r="D11046" s="1" t="str">
        <f>HYPERLINK("http://genome-euro.ucsc.edu/cgi-bin/hgTracks?position=205849_s_at","UCSC")</f>
        <v>UCSC</v>
      </c>
      <c r="E11046" s="1" t="str">
        <f>HYPERLINK("http://www.ncbi.nlm.nih.gov/gene/?term=UQCRB","NCBI")</f>
        <v>NCBI</v>
      </c>
      <c r="F11046">
        <v>0.27</v>
      </c>
      <c r="G11046">
        <v>0.41</v>
      </c>
      <c r="H11046" s="1" t="str">
        <f>HYPERLINK("http://www.weizmann.ac.il/complex/compphys/software/geview/data/figures/205849_s_at.png","Figure")</f>
        <v>Figure</v>
      </c>
      <c r="I11046">
        <v>0.89600000000000002</v>
      </c>
      <c r="J11046">
        <v>0.7</v>
      </c>
      <c r="K11046">
        <v>1.1100000000000001</v>
      </c>
      <c r="L11046">
        <v>0.66</v>
      </c>
      <c r="M11046">
        <v>1.24</v>
      </c>
      <c r="N11046">
        <v>0.24</v>
      </c>
    </row>
    <row r="11047" spans="1:14" x14ac:dyDescent="0.25">
      <c r="A11047" t="s">
        <v>19164</v>
      </c>
      <c r="B11047" t="s">
        <v>19165</v>
      </c>
      <c r="C11047" s="1" t="str">
        <f>HYPERLINK("http://www.genecards.org/cgi-bin/carddisp.pl?gene=GIPC1","GeneCards")</f>
        <v>GeneCards</v>
      </c>
      <c r="D11047" s="1" t="str">
        <f>HYPERLINK("http://genome-euro.ucsc.edu/cgi-bin/hgTracks?position=207525_s_at","UCSC")</f>
        <v>UCSC</v>
      </c>
      <c r="E11047" s="1" t="str">
        <f>HYPERLINK("http://www.ncbi.nlm.nih.gov/gene/?term=GIPC1","NCBI")</f>
        <v>NCBI</v>
      </c>
      <c r="F11047">
        <v>0.27</v>
      </c>
      <c r="G11047">
        <v>0.41</v>
      </c>
      <c r="H11047" s="1" t="str">
        <f>HYPERLINK("http://www.weizmann.ac.il/complex/compphys/software/geview/data/figures/207525_s_at.png","Figure")</f>
        <v>Figure</v>
      </c>
      <c r="I11047">
        <v>1.1599999999999999</v>
      </c>
      <c r="J11047">
        <v>0.4</v>
      </c>
      <c r="K11047">
        <v>0.97799999999999998</v>
      </c>
      <c r="L11047">
        <v>0.97</v>
      </c>
      <c r="M11047">
        <v>0.84099999999999997</v>
      </c>
      <c r="N11047">
        <v>0.26</v>
      </c>
    </row>
    <row r="11048" spans="1:14" x14ac:dyDescent="0.25">
      <c r="A11048" t="s">
        <v>19166</v>
      </c>
      <c r="B11048" t="s">
        <v>19167</v>
      </c>
      <c r="C11048" s="1" t="str">
        <f>HYPERLINK("http://www.genecards.org/cgi-bin/carddisp.pl?gene=TMEM160","GeneCards")</f>
        <v>GeneCards</v>
      </c>
      <c r="D11048" s="1" t="str">
        <f>HYPERLINK("http://genome-euro.ucsc.edu/cgi-bin/hgTracks?position=219219_at","UCSC")</f>
        <v>UCSC</v>
      </c>
      <c r="E11048" s="1" t="str">
        <f>HYPERLINK("http://www.ncbi.nlm.nih.gov/gene/?term=TMEM160","NCBI")</f>
        <v>NCBI</v>
      </c>
      <c r="F11048">
        <v>0.27</v>
      </c>
      <c r="G11048">
        <v>0.41</v>
      </c>
      <c r="H11048" s="1" t="str">
        <f>HYPERLINK("http://www.weizmann.ac.il/complex/compphys/software/geview/data/figures/219219_at.png","Figure")</f>
        <v>Figure</v>
      </c>
      <c r="I11048">
        <v>1.1299999999999999</v>
      </c>
      <c r="J11048">
        <v>0.54</v>
      </c>
      <c r="K11048">
        <v>1.17</v>
      </c>
      <c r="L11048">
        <v>0.25</v>
      </c>
      <c r="M11048">
        <v>1.04</v>
      </c>
      <c r="N11048">
        <v>0.91</v>
      </c>
    </row>
    <row r="11049" spans="1:14" x14ac:dyDescent="0.25">
      <c r="A11049" t="s">
        <v>19168</v>
      </c>
      <c r="B11049" t="s">
        <v>19169</v>
      </c>
      <c r="C11049" s="1" t="str">
        <f>HYPERLINK("http://www.genecards.org/cgi-bin/carddisp.pl?gene=HAO1","GeneCards")</f>
        <v>GeneCards</v>
      </c>
      <c r="D11049" s="1" t="str">
        <f>HYPERLINK("http://genome-euro.ucsc.edu/cgi-bin/hgTracks?position=220224_at","UCSC")</f>
        <v>UCSC</v>
      </c>
      <c r="E11049" s="1" t="str">
        <f>HYPERLINK("http://www.ncbi.nlm.nih.gov/gene/?term=HAO1","NCBI")</f>
        <v>NCBI</v>
      </c>
      <c r="F11049">
        <v>0.27</v>
      </c>
      <c r="G11049">
        <v>0.41</v>
      </c>
      <c r="H11049" s="1" t="str">
        <f>HYPERLINK("http://www.weizmann.ac.il/complex/compphys/software/geview/data/figures/220224_at.png","Figure")</f>
        <v>Figure</v>
      </c>
      <c r="I11049">
        <v>1</v>
      </c>
      <c r="J11049">
        <v>1</v>
      </c>
      <c r="K11049">
        <v>0.99</v>
      </c>
      <c r="L11049">
        <v>0.34</v>
      </c>
      <c r="M11049">
        <v>0.99</v>
      </c>
      <c r="N11049">
        <v>0.38</v>
      </c>
    </row>
    <row r="11050" spans="1:14" x14ac:dyDescent="0.25">
      <c r="A11050" t="s">
        <v>19170</v>
      </c>
      <c r="B11050" t="s">
        <v>1802</v>
      </c>
      <c r="C11050" s="1" t="str">
        <f>HYPERLINK("http://www.genecards.org/cgi-bin/carddisp.pl?gene=IL1RAP","GeneCards")</f>
        <v>GeneCards</v>
      </c>
      <c r="D11050" s="1" t="str">
        <f>HYPERLINK("http://genome-euro.ucsc.edu/cgi-bin/hgTracks?position=210233_at","UCSC")</f>
        <v>UCSC</v>
      </c>
      <c r="E11050" s="1" t="str">
        <f>HYPERLINK("http://www.ncbi.nlm.nih.gov/gene/?term=IL1RAP","NCBI")</f>
        <v>NCBI</v>
      </c>
      <c r="F11050">
        <v>0.27</v>
      </c>
      <c r="G11050">
        <v>0.41</v>
      </c>
      <c r="H11050" s="1" t="str">
        <f>HYPERLINK("http://www.weizmann.ac.il/complex/compphys/software/geview/data/figures/210233_at.png","Figure")</f>
        <v>Figure</v>
      </c>
      <c r="I11050">
        <v>1</v>
      </c>
      <c r="J11050">
        <v>1</v>
      </c>
      <c r="K11050">
        <v>0.94499999999999995</v>
      </c>
      <c r="L11050">
        <v>0.34</v>
      </c>
      <c r="M11050">
        <v>0.94499999999999995</v>
      </c>
      <c r="N11050">
        <v>0.38</v>
      </c>
    </row>
    <row r="11051" spans="1:14" x14ac:dyDescent="0.25">
      <c r="A11051" t="s">
        <v>19171</v>
      </c>
      <c r="B11051" t="s">
        <v>3221</v>
      </c>
      <c r="C11051" s="1" t="str">
        <f>HYPERLINK("http://www.genecards.org/cgi-bin/carddisp.pl?gene=PPFIA1","GeneCards")</f>
        <v>GeneCards</v>
      </c>
      <c r="D11051" s="1" t="str">
        <f>HYPERLINK("http://genome-euro.ucsc.edu/cgi-bin/hgTracks?position=210236_at","UCSC")</f>
        <v>UCSC</v>
      </c>
      <c r="E11051" s="1" t="str">
        <f>HYPERLINK("http://www.ncbi.nlm.nih.gov/gene/?term=PPFIA1","NCBI")</f>
        <v>NCBI</v>
      </c>
      <c r="F11051">
        <v>0.27</v>
      </c>
      <c r="G11051">
        <v>0.41</v>
      </c>
      <c r="H11051" s="1" t="str">
        <f>HYPERLINK("http://www.weizmann.ac.il/complex/compphys/software/geview/data/figures/210236_at.png","Figure")</f>
        <v>Figure</v>
      </c>
      <c r="I11051">
        <v>1</v>
      </c>
      <c r="J11051">
        <v>1</v>
      </c>
      <c r="K11051">
        <v>0.94699999999999995</v>
      </c>
      <c r="L11051">
        <v>0.34</v>
      </c>
      <c r="M11051">
        <v>0.94699999999999995</v>
      </c>
      <c r="N11051">
        <v>0.38</v>
      </c>
    </row>
    <row r="11052" spans="1:14" x14ac:dyDescent="0.25">
      <c r="A11052" t="s">
        <v>19172</v>
      </c>
      <c r="B11052" t="s">
        <v>19173</v>
      </c>
      <c r="C11052" s="1" t="str">
        <f>HYPERLINK("http://www.genecards.org/cgi-bin/carddisp.pl?gene=SLC7A10","GeneCards")</f>
        <v>GeneCards</v>
      </c>
      <c r="D11052" s="1" t="str">
        <f>HYPERLINK("http://genome-euro.ucsc.edu/cgi-bin/hgTracks?position=220868_s_at","UCSC")</f>
        <v>UCSC</v>
      </c>
      <c r="E11052" s="1" t="str">
        <f>HYPERLINK("http://www.ncbi.nlm.nih.gov/gene/?term=SLC7A10","NCBI")</f>
        <v>NCBI</v>
      </c>
      <c r="F11052">
        <v>0.27</v>
      </c>
      <c r="G11052">
        <v>0.41</v>
      </c>
      <c r="H11052" s="1" t="str">
        <f>HYPERLINK("http://www.weizmann.ac.il/complex/compphys/software/geview/data/figures/220868_s_at.png","Figure")</f>
        <v>Figure</v>
      </c>
      <c r="I11052">
        <v>1.06</v>
      </c>
      <c r="J11052">
        <v>0.24</v>
      </c>
      <c r="K11052">
        <v>1.03</v>
      </c>
      <c r="L11052">
        <v>0.57999999999999996</v>
      </c>
      <c r="M11052">
        <v>0.97299999999999998</v>
      </c>
      <c r="N11052">
        <v>0.67</v>
      </c>
    </row>
    <row r="11053" spans="1:14" x14ac:dyDescent="0.25">
      <c r="A11053" t="s">
        <v>19174</v>
      </c>
      <c r="B11053" t="s">
        <v>19175</v>
      </c>
      <c r="C11053" s="1" t="str">
        <f>HYPERLINK("http://www.genecards.org/cgi-bin/carddisp.pl?gene=ISG20L2","GeneCards")</f>
        <v>GeneCards</v>
      </c>
      <c r="D11053" s="1" t="str">
        <f>HYPERLINK("http://genome-euro.ucsc.edu/cgi-bin/hgTracks?position=212766_s_at","UCSC")</f>
        <v>UCSC</v>
      </c>
      <c r="E11053" s="1" t="str">
        <f>HYPERLINK("http://www.ncbi.nlm.nih.gov/gene/?term=ISG20L2","NCBI")</f>
        <v>NCBI</v>
      </c>
      <c r="F11053">
        <v>0.27</v>
      </c>
      <c r="G11053">
        <v>0.41</v>
      </c>
      <c r="H11053" s="1" t="str">
        <f>HYPERLINK("http://www.weizmann.ac.il/complex/compphys/software/geview/data/figures/212766_s_at.png","Figure")</f>
        <v>Figure</v>
      </c>
      <c r="I11053">
        <v>0.83</v>
      </c>
      <c r="J11053">
        <v>0.53</v>
      </c>
      <c r="K11053">
        <v>0.77800000000000002</v>
      </c>
      <c r="L11053">
        <v>0.25</v>
      </c>
      <c r="M11053">
        <v>0.93700000000000006</v>
      </c>
      <c r="N11053">
        <v>0.91</v>
      </c>
    </row>
    <row r="11054" spans="1:14" x14ac:dyDescent="0.25">
      <c r="A11054" t="s">
        <v>19176</v>
      </c>
      <c r="B11054" t="s">
        <v>1391</v>
      </c>
      <c r="C11054" s="1" t="str">
        <f>HYPERLINK("http://www.genecards.org/cgi-bin/carddisp.pl?gene=GLE1","GeneCards")</f>
        <v>GeneCards</v>
      </c>
      <c r="D11054" s="1" t="str">
        <f>HYPERLINK("http://genome-euro.ucsc.edu/cgi-bin/hgTracks?position=206921_at","UCSC")</f>
        <v>UCSC</v>
      </c>
      <c r="E11054" s="1" t="str">
        <f>HYPERLINK("http://www.ncbi.nlm.nih.gov/gene/?term=GLE1","NCBI")</f>
        <v>NCBI</v>
      </c>
      <c r="F11054">
        <v>0.27</v>
      </c>
      <c r="G11054">
        <v>0.41</v>
      </c>
      <c r="H11054" s="1" t="str">
        <f>HYPERLINK("http://www.weizmann.ac.il/complex/compphys/software/geview/data/figures/206921_at.png","Figure")</f>
        <v>Figure</v>
      </c>
      <c r="I11054">
        <v>1</v>
      </c>
      <c r="J11054">
        <v>1</v>
      </c>
      <c r="K11054">
        <v>0.80900000000000005</v>
      </c>
      <c r="L11054">
        <v>0.34</v>
      </c>
      <c r="M11054">
        <v>0.80900000000000005</v>
      </c>
      <c r="N11054">
        <v>0.38</v>
      </c>
    </row>
    <row r="11055" spans="1:14" x14ac:dyDescent="0.25">
      <c r="A11055" t="s">
        <v>19177</v>
      </c>
      <c r="B11055" t="s">
        <v>6164</v>
      </c>
      <c r="C11055" s="1" t="str">
        <f>HYPERLINK("http://www.genecards.org/cgi-bin/carddisp.pl?gene=PAK2","GeneCards")</f>
        <v>GeneCards</v>
      </c>
      <c r="D11055" s="1" t="str">
        <f>HYPERLINK("http://genome-euro.ucsc.edu/cgi-bin/hgTracks?position=208878_s_at","UCSC")</f>
        <v>UCSC</v>
      </c>
      <c r="E11055" s="1" t="str">
        <f>HYPERLINK("http://www.ncbi.nlm.nih.gov/gene/?term=PAK2","NCBI")</f>
        <v>NCBI</v>
      </c>
      <c r="F11055">
        <v>0.27</v>
      </c>
      <c r="G11055">
        <v>0.41</v>
      </c>
      <c r="H11055" s="1" t="str">
        <f>HYPERLINK("http://www.weizmann.ac.il/complex/compphys/software/geview/data/figures/208878_s_at.png","Figure")</f>
        <v>Figure</v>
      </c>
      <c r="I11055">
        <v>0.79900000000000004</v>
      </c>
      <c r="J11055">
        <v>0.36</v>
      </c>
      <c r="K11055">
        <v>0.81</v>
      </c>
      <c r="L11055">
        <v>0.31</v>
      </c>
      <c r="M11055">
        <v>1.01</v>
      </c>
      <c r="N11055">
        <v>1</v>
      </c>
    </row>
    <row r="11056" spans="1:14" x14ac:dyDescent="0.25">
      <c r="A11056" t="s">
        <v>19178</v>
      </c>
      <c r="B11056" t="s">
        <v>19179</v>
      </c>
      <c r="C11056" s="1" t="str">
        <f>HYPERLINK("http://www.genecards.org/cgi-bin/carddisp.pl?gene=RASGRP1","GeneCards")</f>
        <v>GeneCards</v>
      </c>
      <c r="D11056" s="1" t="str">
        <f>HYPERLINK("http://genome-euro.ucsc.edu/cgi-bin/hgTracks?position=205590_at","UCSC")</f>
        <v>UCSC</v>
      </c>
      <c r="E11056" s="1" t="str">
        <f>HYPERLINK("http://www.ncbi.nlm.nih.gov/gene/?term=RASGRP1","NCBI")</f>
        <v>NCBI</v>
      </c>
      <c r="F11056">
        <v>0.27</v>
      </c>
      <c r="G11056">
        <v>0.41</v>
      </c>
      <c r="H11056" s="1" t="str">
        <f>HYPERLINK("http://www.weizmann.ac.il/complex/compphys/software/geview/data/figures/205590_at.png","Figure")</f>
        <v>Figure</v>
      </c>
      <c r="I11056">
        <v>1.83</v>
      </c>
      <c r="J11056">
        <v>0.26</v>
      </c>
      <c r="K11056">
        <v>1.1599999999999999</v>
      </c>
      <c r="L11056">
        <v>0.89</v>
      </c>
      <c r="M11056">
        <v>0.63300000000000001</v>
      </c>
      <c r="N11056">
        <v>0.4</v>
      </c>
    </row>
    <row r="11057" spans="1:14" x14ac:dyDescent="0.25">
      <c r="A11057" t="s">
        <v>19180</v>
      </c>
      <c r="B11057" t="s">
        <v>19181</v>
      </c>
      <c r="C11057" s="1" t="str">
        <f>HYPERLINK("http://www.genecards.org/cgi-bin/carddisp.pl?gene=SLC22A13","GeneCards")</f>
        <v>GeneCards</v>
      </c>
      <c r="D11057" s="1" t="str">
        <f>HYPERLINK("http://genome-euro.ucsc.edu/cgi-bin/hgTracks?position=207444_at","UCSC")</f>
        <v>UCSC</v>
      </c>
      <c r="E11057" s="1" t="str">
        <f>HYPERLINK("http://www.ncbi.nlm.nih.gov/gene/?term=SLC22A13","NCBI")</f>
        <v>NCBI</v>
      </c>
      <c r="F11057">
        <v>0.27</v>
      </c>
      <c r="G11057">
        <v>0.41</v>
      </c>
      <c r="H11057" s="1" t="str">
        <f>HYPERLINK("http://www.weizmann.ac.il/complex/compphys/software/geview/data/figures/207444_at.png","Figure")</f>
        <v>Figure</v>
      </c>
      <c r="I11057">
        <v>0.998</v>
      </c>
      <c r="J11057">
        <v>1</v>
      </c>
      <c r="K11057">
        <v>0.92100000000000004</v>
      </c>
      <c r="L11057">
        <v>0.33</v>
      </c>
      <c r="M11057">
        <v>0.92300000000000004</v>
      </c>
      <c r="N11057">
        <v>0.39</v>
      </c>
    </row>
    <row r="11058" spans="1:14" x14ac:dyDescent="0.25">
      <c r="A11058" t="s">
        <v>19182</v>
      </c>
      <c r="B11058" t="s">
        <v>19183</v>
      </c>
      <c r="C11058" s="1" t="str">
        <f>HYPERLINK("http://www.genecards.org/cgi-bin/carddisp.pl?gene=NUP214","GeneCards")</f>
        <v>GeneCards</v>
      </c>
      <c r="D11058" s="1" t="str">
        <f>HYPERLINK("http://genome-euro.ucsc.edu/cgi-bin/hgTracks?position=202155_s_at","UCSC")</f>
        <v>UCSC</v>
      </c>
      <c r="E11058" s="1" t="str">
        <f>HYPERLINK("http://www.ncbi.nlm.nih.gov/gene/?term=NUP214","NCBI")</f>
        <v>NCBI</v>
      </c>
      <c r="F11058">
        <v>0.27</v>
      </c>
      <c r="G11058">
        <v>0.41</v>
      </c>
      <c r="H11058" s="1" t="str">
        <f>HYPERLINK("http://www.weizmann.ac.il/complex/compphys/software/geview/data/figures/202155_s_at.png","Figure")</f>
        <v>Figure</v>
      </c>
      <c r="I11058">
        <v>0.8</v>
      </c>
      <c r="J11058">
        <v>0.25</v>
      </c>
      <c r="K11058">
        <v>0.93500000000000005</v>
      </c>
      <c r="L11058">
        <v>0.83</v>
      </c>
      <c r="M11058">
        <v>1.17</v>
      </c>
      <c r="N11058">
        <v>0.44</v>
      </c>
    </row>
    <row r="11059" spans="1:14" x14ac:dyDescent="0.25">
      <c r="A11059" t="s">
        <v>19184</v>
      </c>
      <c r="B11059" t="s">
        <v>1071</v>
      </c>
      <c r="C11059" s="1" t="str">
        <f>HYPERLINK("http://www.genecards.org/cgi-bin/carddisp.pl?gene=ENPP4","GeneCards")</f>
        <v>GeneCards</v>
      </c>
      <c r="D11059" s="1" t="str">
        <f>HYPERLINK("http://genome-euro.ucsc.edu/cgi-bin/hgTracks?position=204161_s_at","UCSC")</f>
        <v>UCSC</v>
      </c>
      <c r="E11059" s="1" t="str">
        <f>HYPERLINK("http://www.ncbi.nlm.nih.gov/gene/?term=ENPP4","NCBI")</f>
        <v>NCBI</v>
      </c>
      <c r="F11059">
        <v>0.27</v>
      </c>
      <c r="G11059">
        <v>0.41</v>
      </c>
      <c r="H11059" s="1" t="str">
        <f>HYPERLINK("http://www.weizmann.ac.il/complex/compphys/software/geview/data/figures/204161_s_at.png","Figure")</f>
        <v>Figure</v>
      </c>
      <c r="I11059">
        <v>1</v>
      </c>
      <c r="J11059">
        <v>1</v>
      </c>
      <c r="K11059">
        <v>0.86499999999999999</v>
      </c>
      <c r="L11059">
        <v>0.34</v>
      </c>
      <c r="M11059">
        <v>0.86499999999999999</v>
      </c>
      <c r="N11059">
        <v>0.38</v>
      </c>
    </row>
    <row r="11060" spans="1:14" x14ac:dyDescent="0.25">
      <c r="A11060" t="s">
        <v>19185</v>
      </c>
      <c r="B11060" t="s">
        <v>19186</v>
      </c>
      <c r="C11060" s="1" t="str">
        <f>HYPERLINK("http://www.genecards.org/cgi-bin/carddisp.pl?gene=EHD4","GeneCards")</f>
        <v>GeneCards</v>
      </c>
      <c r="D11060" s="1" t="str">
        <f>HYPERLINK("http://genome-euro.ucsc.edu/cgi-bin/hgTracks?position=209536_s_at","UCSC")</f>
        <v>UCSC</v>
      </c>
      <c r="E11060" s="1" t="str">
        <f>HYPERLINK("http://www.ncbi.nlm.nih.gov/gene/?term=EHD4","NCBI")</f>
        <v>NCBI</v>
      </c>
      <c r="F11060">
        <v>0.27</v>
      </c>
      <c r="G11060">
        <v>0.41</v>
      </c>
      <c r="H11060" s="1" t="str">
        <f>HYPERLINK("http://www.weizmann.ac.il/complex/compphys/software/geview/data/figures/209536_s_at.png","Figure")</f>
        <v>Figure</v>
      </c>
      <c r="I11060">
        <v>0.81599999999999995</v>
      </c>
      <c r="J11060">
        <v>0.34</v>
      </c>
      <c r="K11060">
        <v>1</v>
      </c>
      <c r="L11060">
        <v>1</v>
      </c>
      <c r="M11060">
        <v>1.23</v>
      </c>
      <c r="N11060">
        <v>0.28999999999999998</v>
      </c>
    </row>
    <row r="11061" spans="1:14" x14ac:dyDescent="0.25">
      <c r="A11061" t="s">
        <v>19187</v>
      </c>
      <c r="B11061" t="s">
        <v>6040</v>
      </c>
      <c r="C11061" s="1" t="str">
        <f>HYPERLINK("http://www.genecards.org/cgi-bin/carddisp.pl?gene=DIAPH1","GeneCards")</f>
        <v>GeneCards</v>
      </c>
      <c r="D11061" s="1" t="str">
        <f>HYPERLINK("http://genome-euro.ucsc.edu/cgi-bin/hgTracks?position=209190_s_at","UCSC")</f>
        <v>UCSC</v>
      </c>
      <c r="E11061" s="1" t="str">
        <f>HYPERLINK("http://www.ncbi.nlm.nih.gov/gene/?term=DIAPH1","NCBI")</f>
        <v>NCBI</v>
      </c>
      <c r="F11061">
        <v>0.27</v>
      </c>
      <c r="G11061">
        <v>0.41</v>
      </c>
      <c r="H11061" s="1" t="str">
        <f>HYPERLINK("http://www.weizmann.ac.il/complex/compphys/software/geview/data/figures/209190_s_at.png","Figure")</f>
        <v>Figure</v>
      </c>
      <c r="I11061">
        <v>1.18</v>
      </c>
      <c r="J11061">
        <v>0.3</v>
      </c>
      <c r="K11061">
        <v>1.02</v>
      </c>
      <c r="L11061">
        <v>0.98</v>
      </c>
      <c r="M11061">
        <v>0.86099999999999999</v>
      </c>
      <c r="N11061">
        <v>0.32</v>
      </c>
    </row>
    <row r="11062" spans="1:14" x14ac:dyDescent="0.25">
      <c r="A11062" t="s">
        <v>19188</v>
      </c>
      <c r="B11062" t="s">
        <v>10244</v>
      </c>
      <c r="C11062" s="1" t="str">
        <f>HYPERLINK("http://www.genecards.org/cgi-bin/carddisp.pl?gene=HPGD","GeneCards")</f>
        <v>GeneCards</v>
      </c>
      <c r="D11062" s="1" t="str">
        <f>HYPERLINK("http://genome-euro.ucsc.edu/cgi-bin/hgTracks?position=211548_s_at","UCSC")</f>
        <v>UCSC</v>
      </c>
      <c r="E11062" s="1" t="str">
        <f>HYPERLINK("http://www.ncbi.nlm.nih.gov/gene/?term=HPGD","NCBI")</f>
        <v>NCBI</v>
      </c>
      <c r="F11062">
        <v>0.27</v>
      </c>
      <c r="G11062">
        <v>0.41</v>
      </c>
      <c r="H11062" s="1" t="str">
        <f>HYPERLINK("http://www.weizmann.ac.il/complex/compphys/software/geview/data/figures/211548_s_at.png","Figure")</f>
        <v>Figure</v>
      </c>
      <c r="I11062">
        <v>1</v>
      </c>
      <c r="J11062">
        <v>1</v>
      </c>
      <c r="K11062">
        <v>0.79200000000000004</v>
      </c>
      <c r="L11062">
        <v>0.34</v>
      </c>
      <c r="M11062">
        <v>0.79200000000000004</v>
      </c>
      <c r="N11062">
        <v>0.38</v>
      </c>
    </row>
    <row r="11063" spans="1:14" x14ac:dyDescent="0.25">
      <c r="A11063" t="s">
        <v>19189</v>
      </c>
      <c r="B11063" t="s">
        <v>19190</v>
      </c>
      <c r="C11063" s="1" t="str">
        <f>HYPERLINK("http://www.genecards.org/cgi-bin/carddisp.pl?gene=CA9","GeneCards")</f>
        <v>GeneCards</v>
      </c>
      <c r="D11063" s="1" t="str">
        <f>HYPERLINK("http://genome-euro.ucsc.edu/cgi-bin/hgTracks?position=205199_at","UCSC")</f>
        <v>UCSC</v>
      </c>
      <c r="E11063" s="1" t="str">
        <f>HYPERLINK("http://www.ncbi.nlm.nih.gov/gene/?term=CA9","NCBI")</f>
        <v>NCBI</v>
      </c>
      <c r="F11063">
        <v>0.27</v>
      </c>
      <c r="G11063">
        <v>0.41</v>
      </c>
      <c r="H11063" s="1" t="str">
        <f>HYPERLINK("http://www.weizmann.ac.il/complex/compphys/software/geview/data/figures/205199_at.png","Figure")</f>
        <v>Figure</v>
      </c>
      <c r="I11063">
        <v>1.07</v>
      </c>
      <c r="J11063">
        <v>0.8</v>
      </c>
      <c r="K11063">
        <v>0.91100000000000003</v>
      </c>
      <c r="L11063">
        <v>0.56999999999999995</v>
      </c>
      <c r="M11063">
        <v>0.85299999999999998</v>
      </c>
      <c r="N11063">
        <v>0.26</v>
      </c>
    </row>
    <row r="11064" spans="1:14" x14ac:dyDescent="0.25">
      <c r="A11064" t="s">
        <v>19191</v>
      </c>
      <c r="B11064" t="s">
        <v>16765</v>
      </c>
      <c r="C11064" s="1" t="str">
        <f>HYPERLINK("http://www.genecards.org/cgi-bin/carddisp.pl?gene=TNFAIP8","GeneCards")</f>
        <v>GeneCards</v>
      </c>
      <c r="D11064" s="1" t="str">
        <f>HYPERLINK("http://genome-euro.ucsc.edu/cgi-bin/hgTracks?position=208296_x_at","UCSC")</f>
        <v>UCSC</v>
      </c>
      <c r="E11064" s="1" t="str">
        <f>HYPERLINK("http://www.ncbi.nlm.nih.gov/gene/?term=TNFAIP8","NCBI")</f>
        <v>NCBI</v>
      </c>
      <c r="F11064">
        <v>0.27</v>
      </c>
      <c r="G11064">
        <v>0.41</v>
      </c>
      <c r="H11064" s="1" t="str">
        <f>HYPERLINK("http://www.weizmann.ac.il/complex/compphys/software/geview/data/figures/208296_x_at.png","Figure")</f>
        <v>Figure</v>
      </c>
      <c r="I11064">
        <v>1.21</v>
      </c>
      <c r="J11064">
        <v>0.83</v>
      </c>
      <c r="K11064">
        <v>1.62</v>
      </c>
      <c r="L11064">
        <v>0.25</v>
      </c>
      <c r="M11064">
        <v>1.34</v>
      </c>
      <c r="N11064">
        <v>0.63</v>
      </c>
    </row>
    <row r="11065" spans="1:14" x14ac:dyDescent="0.25">
      <c r="A11065" t="s">
        <v>19192</v>
      </c>
      <c r="B11065" t="s">
        <v>13338</v>
      </c>
      <c r="C11065" s="1" t="str">
        <f>HYPERLINK("http://www.genecards.org/cgi-bin/carddisp.pl?gene=NCAM1","GeneCards")</f>
        <v>GeneCards</v>
      </c>
      <c r="D11065" s="1" t="str">
        <f>HYPERLINK("http://genome-euro.ucsc.edu/cgi-bin/hgTracks?position=209968_s_at","UCSC")</f>
        <v>UCSC</v>
      </c>
      <c r="E11065" s="1" t="str">
        <f>HYPERLINK("http://www.ncbi.nlm.nih.gov/gene/?term=NCAM1","NCBI")</f>
        <v>NCBI</v>
      </c>
      <c r="F11065">
        <v>0.27</v>
      </c>
      <c r="G11065">
        <v>0.41</v>
      </c>
      <c r="H11065" s="1" t="str">
        <f>HYPERLINK("http://www.weizmann.ac.il/complex/compphys/software/geview/data/figures/209968_s_at.png","Figure")</f>
        <v>Figure</v>
      </c>
      <c r="I11065">
        <v>1.1299999999999999</v>
      </c>
      <c r="J11065">
        <v>0.28000000000000003</v>
      </c>
      <c r="K11065">
        <v>1.0900000000000001</v>
      </c>
      <c r="L11065">
        <v>0.42</v>
      </c>
      <c r="M11065">
        <v>0.96399999999999997</v>
      </c>
      <c r="N11065">
        <v>0.87</v>
      </c>
    </row>
    <row r="11066" spans="1:14" x14ac:dyDescent="0.25">
      <c r="A11066" t="s">
        <v>19193</v>
      </c>
      <c r="B11066" t="s">
        <v>19194</v>
      </c>
      <c r="C11066" s="1" t="str">
        <f>HYPERLINK("http://www.genecards.org/cgi-bin/carddisp.pl?gene=TMEM40","GeneCards")</f>
        <v>GeneCards</v>
      </c>
      <c r="D11066" s="1" t="str">
        <f>HYPERLINK("http://genome-euro.ucsc.edu/cgi-bin/hgTracks?position=219503_s_at","UCSC")</f>
        <v>UCSC</v>
      </c>
      <c r="E11066" s="1" t="str">
        <f>HYPERLINK("http://www.ncbi.nlm.nih.gov/gene/?term=TMEM40","NCBI")</f>
        <v>NCBI</v>
      </c>
      <c r="F11066">
        <v>0.27</v>
      </c>
      <c r="G11066">
        <v>0.41</v>
      </c>
      <c r="H11066" s="1" t="str">
        <f>HYPERLINK("http://www.weizmann.ac.il/complex/compphys/software/geview/data/figures/219503_s_at.png","Figure")</f>
        <v>Figure</v>
      </c>
      <c r="I11066">
        <v>1.02</v>
      </c>
      <c r="J11066">
        <v>0.72</v>
      </c>
      <c r="K11066">
        <v>0.98499999999999999</v>
      </c>
      <c r="L11066">
        <v>0.65</v>
      </c>
      <c r="M11066">
        <v>0.97</v>
      </c>
      <c r="N11066">
        <v>0.25</v>
      </c>
    </row>
    <row r="11067" spans="1:14" x14ac:dyDescent="0.25">
      <c r="A11067" t="s">
        <v>19195</v>
      </c>
      <c r="B11067" t="s">
        <v>19196</v>
      </c>
      <c r="C11067" s="1" t="str">
        <f>HYPERLINK("http://www.genecards.org/cgi-bin/carddisp.pl?gene=PID1","GeneCards")</f>
        <v>GeneCards</v>
      </c>
      <c r="D11067" s="1" t="str">
        <f>HYPERLINK("http://genome-euro.ucsc.edu/cgi-bin/hgTracks?position=219093_at","UCSC")</f>
        <v>UCSC</v>
      </c>
      <c r="E11067" s="1" t="str">
        <f>HYPERLINK("http://www.ncbi.nlm.nih.gov/gene/?term=PID1","NCBI")</f>
        <v>NCBI</v>
      </c>
      <c r="F11067">
        <v>0.27</v>
      </c>
      <c r="G11067">
        <v>0.41</v>
      </c>
      <c r="H11067" s="1" t="str">
        <f>HYPERLINK("http://www.weizmann.ac.il/complex/compphys/software/geview/data/figures/219093_at.png","Figure")</f>
        <v>Figure</v>
      </c>
      <c r="I11067">
        <v>1</v>
      </c>
      <c r="J11067">
        <v>1</v>
      </c>
      <c r="K11067">
        <v>0.85899999999999999</v>
      </c>
      <c r="L11067">
        <v>0.34</v>
      </c>
      <c r="M11067">
        <v>0.85899999999999999</v>
      </c>
      <c r="N11067">
        <v>0.38</v>
      </c>
    </row>
    <row r="11068" spans="1:14" x14ac:dyDescent="0.25">
      <c r="A11068" t="s">
        <v>19197</v>
      </c>
      <c r="B11068" t="s">
        <v>16748</v>
      </c>
      <c r="C11068" s="1" t="str">
        <f>HYPERLINK("http://www.genecards.org/cgi-bin/carddisp.pl?gene=CCDC88A","GeneCards")</f>
        <v>GeneCards</v>
      </c>
      <c r="D11068" s="1" t="str">
        <f>HYPERLINK("http://genome-euro.ucsc.edu/cgi-bin/hgTracks?position=221078_s_at","UCSC")</f>
        <v>UCSC</v>
      </c>
      <c r="E11068" s="1" t="str">
        <f>HYPERLINK("http://www.ncbi.nlm.nih.gov/gene/?term=CCDC88A","NCBI")</f>
        <v>NCBI</v>
      </c>
      <c r="F11068">
        <v>0.27</v>
      </c>
      <c r="G11068">
        <v>0.41</v>
      </c>
      <c r="H11068" s="1" t="str">
        <f>HYPERLINK("http://www.weizmann.ac.il/complex/compphys/software/geview/data/figures/221078_s_at.png","Figure")</f>
        <v>Figure</v>
      </c>
      <c r="I11068">
        <v>1.1499999999999999</v>
      </c>
      <c r="J11068">
        <v>0.45</v>
      </c>
      <c r="K11068">
        <v>0.96499999999999997</v>
      </c>
      <c r="L11068">
        <v>0.93</v>
      </c>
      <c r="M11068">
        <v>0.84199999999999997</v>
      </c>
      <c r="N11068">
        <v>0.25</v>
      </c>
    </row>
    <row r="11069" spans="1:14" x14ac:dyDescent="0.25">
      <c r="A11069" t="s">
        <v>19198</v>
      </c>
      <c r="B11069" t="s">
        <v>5994</v>
      </c>
      <c r="C11069" s="1" t="str">
        <f>HYPERLINK("http://www.genecards.org/cgi-bin/carddisp.pl?gene=MRPS12","GeneCards")</f>
        <v>GeneCards</v>
      </c>
      <c r="D11069" s="1" t="str">
        <f>HYPERLINK("http://genome-euro.ucsc.edu/cgi-bin/hgTracks?position=204331_s_at","UCSC")</f>
        <v>UCSC</v>
      </c>
      <c r="E11069" s="1" t="str">
        <f>HYPERLINK("http://www.ncbi.nlm.nih.gov/gene/?term=MRPS12","NCBI")</f>
        <v>NCBI</v>
      </c>
      <c r="F11069">
        <v>0.27</v>
      </c>
      <c r="G11069">
        <v>0.41</v>
      </c>
      <c r="H11069" s="1" t="str">
        <f>HYPERLINK("http://www.weizmann.ac.il/complex/compphys/software/geview/data/figures/204331_s_at.png","Figure")</f>
        <v>Figure</v>
      </c>
      <c r="I11069">
        <v>0.92500000000000004</v>
      </c>
      <c r="J11069">
        <v>0.76</v>
      </c>
      <c r="K11069">
        <v>1.0900000000000001</v>
      </c>
      <c r="L11069">
        <v>0.61</v>
      </c>
      <c r="M11069">
        <v>1.18</v>
      </c>
      <c r="N11069">
        <v>0.25</v>
      </c>
    </row>
    <row r="11070" spans="1:14" x14ac:dyDescent="0.25">
      <c r="A11070" t="s">
        <v>19199</v>
      </c>
      <c r="B11070" t="s">
        <v>19200</v>
      </c>
      <c r="C11070" s="1" t="str">
        <f>HYPERLINK("http://www.genecards.org/cgi-bin/carddisp.pl?gene=BCL3","GeneCards")</f>
        <v>GeneCards</v>
      </c>
      <c r="D11070" s="1" t="str">
        <f>HYPERLINK("http://genome-euro.ucsc.edu/cgi-bin/hgTracks?position=204908_s_at","UCSC")</f>
        <v>UCSC</v>
      </c>
      <c r="E11070" s="1" t="str">
        <f>HYPERLINK("http://www.ncbi.nlm.nih.gov/gene/?term=BCL3","NCBI")</f>
        <v>NCBI</v>
      </c>
      <c r="F11070">
        <v>0.27</v>
      </c>
      <c r="G11070">
        <v>0.41</v>
      </c>
      <c r="H11070" s="1" t="str">
        <f>HYPERLINK("http://www.weizmann.ac.il/complex/compphys/software/geview/data/figures/204908_s_at.png","Figure")</f>
        <v>Figure</v>
      </c>
      <c r="I11070">
        <v>0.749</v>
      </c>
      <c r="J11070">
        <v>0.64</v>
      </c>
      <c r="K11070">
        <v>0.623</v>
      </c>
      <c r="L11070">
        <v>0.24</v>
      </c>
      <c r="M11070">
        <v>0.83199999999999996</v>
      </c>
      <c r="N11070">
        <v>0.81</v>
      </c>
    </row>
    <row r="11071" spans="1:14" x14ac:dyDescent="0.25">
      <c r="A11071" t="s">
        <v>19201</v>
      </c>
      <c r="B11071" t="s">
        <v>1242</v>
      </c>
      <c r="C11071" s="1" t="str">
        <f>HYPERLINK("http://www.genecards.org/cgi-bin/carddisp.pl?gene=KLHL20","GeneCards")</f>
        <v>GeneCards</v>
      </c>
      <c r="D11071" s="1" t="str">
        <f>HYPERLINK("http://genome-euro.ucsc.edu/cgi-bin/hgTracks?position=204176_at","UCSC")</f>
        <v>UCSC</v>
      </c>
      <c r="E11071" s="1" t="str">
        <f>HYPERLINK("http://www.ncbi.nlm.nih.gov/gene/?term=KLHL20","NCBI")</f>
        <v>NCBI</v>
      </c>
      <c r="F11071">
        <v>0.27</v>
      </c>
      <c r="G11071">
        <v>0.41</v>
      </c>
      <c r="H11071" s="1" t="str">
        <f>HYPERLINK("http://www.weizmann.ac.il/complex/compphys/software/geview/data/figures/204176_at.png","Figure")</f>
        <v>Figure</v>
      </c>
      <c r="I11071">
        <v>1</v>
      </c>
      <c r="J11071">
        <v>1</v>
      </c>
      <c r="K11071">
        <v>0.91700000000000004</v>
      </c>
      <c r="L11071">
        <v>0.34</v>
      </c>
      <c r="M11071">
        <v>0.91700000000000004</v>
      </c>
      <c r="N11071">
        <v>0.38</v>
      </c>
    </row>
    <row r="11072" spans="1:14" x14ac:dyDescent="0.25">
      <c r="A11072" t="s">
        <v>19202</v>
      </c>
      <c r="B11072" t="s">
        <v>1048</v>
      </c>
      <c r="C11072" s="1" t="str">
        <f>HYPERLINK("http://www.genecards.org/cgi-bin/carddisp.pl?gene=CYFIP1","GeneCards")</f>
        <v>GeneCards</v>
      </c>
      <c r="D11072" s="1" t="str">
        <f>HYPERLINK("http://genome-euro.ucsc.edu/cgi-bin/hgTracks?position=212133_at","UCSC")</f>
        <v>UCSC</v>
      </c>
      <c r="E11072" s="1" t="str">
        <f>HYPERLINK("http://www.ncbi.nlm.nih.gov/gene/?term=CYFIP1","NCBI")</f>
        <v>NCBI</v>
      </c>
      <c r="F11072">
        <v>0.27</v>
      </c>
      <c r="G11072">
        <v>0.41</v>
      </c>
      <c r="H11072" s="1" t="str">
        <f>HYPERLINK("http://www.weizmann.ac.il/complex/compphys/software/geview/data/figures/212133_at.png","Figure")</f>
        <v>Figure</v>
      </c>
      <c r="I11072">
        <v>1</v>
      </c>
      <c r="J11072">
        <v>1</v>
      </c>
      <c r="K11072">
        <v>0.88900000000000001</v>
      </c>
      <c r="L11072">
        <v>0.34</v>
      </c>
      <c r="M11072">
        <v>0.88900000000000001</v>
      </c>
      <c r="N11072">
        <v>0.38</v>
      </c>
    </row>
    <row r="11073" spans="1:14" x14ac:dyDescent="0.25">
      <c r="A11073" t="s">
        <v>19203</v>
      </c>
      <c r="B11073" t="s">
        <v>17128</v>
      </c>
      <c r="C11073" s="1" t="str">
        <f>HYPERLINK("http://www.genecards.org/cgi-bin/carddisp.pl?gene=ARHGAP25","GeneCards")</f>
        <v>GeneCards</v>
      </c>
      <c r="D11073" s="1" t="str">
        <f>HYPERLINK("http://genome-euro.ucsc.edu/cgi-bin/hgTracks?position=38149_at","UCSC")</f>
        <v>UCSC</v>
      </c>
      <c r="E11073" s="1" t="str">
        <f>HYPERLINK("http://www.ncbi.nlm.nih.gov/gene/?term=ARHGAP25","NCBI")</f>
        <v>NCBI</v>
      </c>
      <c r="F11073">
        <v>0.27</v>
      </c>
      <c r="G11073">
        <v>0.41</v>
      </c>
      <c r="H11073" s="1" t="str">
        <f>HYPERLINK("http://www.weizmann.ac.il/complex/compphys/software/geview/data/figures/38149_at.png","Figure")</f>
        <v>Figure</v>
      </c>
      <c r="I11073">
        <v>0.92100000000000004</v>
      </c>
      <c r="J11073">
        <v>0.91</v>
      </c>
      <c r="K11073">
        <v>0.754</v>
      </c>
      <c r="L11073">
        <v>0.27</v>
      </c>
      <c r="M11073">
        <v>0.81899999999999995</v>
      </c>
      <c r="N11073">
        <v>0.54</v>
      </c>
    </row>
    <row r="11074" spans="1:14" x14ac:dyDescent="0.25">
      <c r="A11074" t="s">
        <v>19204</v>
      </c>
      <c r="B11074" t="s">
        <v>19205</v>
      </c>
      <c r="C11074" s="1" t="str">
        <f>HYPERLINK("http://www.genecards.org/cgi-bin/carddisp.pl?gene=SERPINA3","GeneCards")</f>
        <v>GeneCards</v>
      </c>
      <c r="D11074" s="1" t="str">
        <f>HYPERLINK("http://genome-euro.ucsc.edu/cgi-bin/hgTracks?position=202376_at","UCSC")</f>
        <v>UCSC</v>
      </c>
      <c r="E11074" s="1" t="str">
        <f>HYPERLINK("http://www.ncbi.nlm.nih.gov/gene/?term=SERPINA3","NCBI")</f>
        <v>NCBI</v>
      </c>
      <c r="F11074">
        <v>0.27</v>
      </c>
      <c r="G11074">
        <v>0.41</v>
      </c>
      <c r="H11074" s="1" t="str">
        <f>HYPERLINK("http://www.weizmann.ac.il/complex/compphys/software/geview/data/figures/202376_at.png","Figure")</f>
        <v>Figure</v>
      </c>
      <c r="I11074">
        <v>1.17</v>
      </c>
      <c r="J11074">
        <v>0.25</v>
      </c>
      <c r="K11074">
        <v>1.1000000000000001</v>
      </c>
      <c r="L11074">
        <v>0.5</v>
      </c>
      <c r="M11074">
        <v>0.93899999999999995</v>
      </c>
      <c r="N11074">
        <v>0.76</v>
      </c>
    </row>
    <row r="11075" spans="1:14" x14ac:dyDescent="0.25">
      <c r="A11075" t="s">
        <v>19206</v>
      </c>
      <c r="B11075" t="s">
        <v>19207</v>
      </c>
      <c r="C11075" s="1" t="str">
        <f>HYPERLINK("http://www.genecards.org/cgi-bin/carddisp.pl?gene=TRIL","GeneCards")</f>
        <v>GeneCards</v>
      </c>
      <c r="D11075" s="1" t="str">
        <f>HYPERLINK("http://genome-euro.ucsc.edu/cgi-bin/hgTracks?position=205151_s_at","UCSC")</f>
        <v>UCSC</v>
      </c>
      <c r="E11075" s="1" t="str">
        <f>HYPERLINK("http://www.ncbi.nlm.nih.gov/gene/?term=TRIL","NCBI")</f>
        <v>NCBI</v>
      </c>
      <c r="F11075">
        <v>0.27</v>
      </c>
      <c r="G11075">
        <v>0.41</v>
      </c>
      <c r="H11075" s="1" t="str">
        <f>HYPERLINK("http://www.weizmann.ac.il/complex/compphys/software/geview/data/figures/205151_s_at.png","Figure")</f>
        <v>Figure</v>
      </c>
      <c r="I11075">
        <v>1.1000000000000001</v>
      </c>
      <c r="J11075">
        <v>0.28000000000000003</v>
      </c>
      <c r="K11075">
        <v>1.02</v>
      </c>
      <c r="L11075">
        <v>0.95</v>
      </c>
      <c r="M11075">
        <v>0.92</v>
      </c>
      <c r="N11075">
        <v>0.35</v>
      </c>
    </row>
    <row r="11076" spans="1:14" x14ac:dyDescent="0.25">
      <c r="A11076" t="s">
        <v>19208</v>
      </c>
      <c r="B11076" t="s">
        <v>19209</v>
      </c>
      <c r="C11076" s="1" t="str">
        <f>HYPERLINK("http://www.genecards.org/cgi-bin/carddisp.pl?gene=MATN4","GeneCards")</f>
        <v>GeneCards</v>
      </c>
      <c r="D11076" s="1" t="str">
        <f>HYPERLINK("http://genome-euro.ucsc.edu/cgi-bin/hgTracks?position=207123_s_at","UCSC")</f>
        <v>UCSC</v>
      </c>
      <c r="E11076" s="1" t="str">
        <f>HYPERLINK("http://www.ncbi.nlm.nih.gov/gene/?term=MATN4","NCBI")</f>
        <v>NCBI</v>
      </c>
      <c r="F11076">
        <v>0.27</v>
      </c>
      <c r="G11076">
        <v>0.41</v>
      </c>
      <c r="H11076" s="1" t="str">
        <f>HYPERLINK("http://www.weizmann.ac.il/complex/compphys/software/geview/data/figures/207123_s_at.png","Figure")</f>
        <v>Figure</v>
      </c>
      <c r="I11076">
        <v>1.06</v>
      </c>
      <c r="J11076">
        <v>0.36</v>
      </c>
      <c r="K11076">
        <v>1.05</v>
      </c>
      <c r="L11076">
        <v>0.31</v>
      </c>
      <c r="M11076">
        <v>0.997</v>
      </c>
      <c r="N11076">
        <v>1</v>
      </c>
    </row>
    <row r="11077" spans="1:14" x14ac:dyDescent="0.25">
      <c r="A11077" t="s">
        <v>19210</v>
      </c>
      <c r="B11077" t="s">
        <v>17769</v>
      </c>
      <c r="C11077" s="1" t="str">
        <f>HYPERLINK("http://www.genecards.org/cgi-bin/carddisp.pl?gene=METAP2","GeneCards")</f>
        <v>GeneCards</v>
      </c>
      <c r="D11077" s="1" t="str">
        <f>HYPERLINK("http://genome-euro.ucsc.edu/cgi-bin/hgTracks?position=209861_s_at","UCSC")</f>
        <v>UCSC</v>
      </c>
      <c r="E11077" s="1" t="str">
        <f>HYPERLINK("http://www.ncbi.nlm.nih.gov/gene/?term=METAP2","NCBI")</f>
        <v>NCBI</v>
      </c>
      <c r="F11077">
        <v>0.27</v>
      </c>
      <c r="G11077">
        <v>0.41</v>
      </c>
      <c r="H11077" s="1" t="str">
        <f>HYPERLINK("http://www.weizmann.ac.il/complex/compphys/software/geview/data/figures/209861_s_at.png","Figure")</f>
        <v>Figure</v>
      </c>
      <c r="I11077">
        <v>0.753</v>
      </c>
      <c r="J11077">
        <v>0.3</v>
      </c>
      <c r="K11077">
        <v>0.80400000000000005</v>
      </c>
      <c r="L11077">
        <v>0.38</v>
      </c>
      <c r="M11077">
        <v>1.07</v>
      </c>
      <c r="N11077">
        <v>0.92</v>
      </c>
    </row>
    <row r="11078" spans="1:14" x14ac:dyDescent="0.25">
      <c r="A11078" t="s">
        <v>19211</v>
      </c>
      <c r="B11078" t="s">
        <v>12356</v>
      </c>
      <c r="C11078" s="1" t="str">
        <f>HYPERLINK("http://www.genecards.org/cgi-bin/carddisp.pl?gene=TFPI","GeneCards")</f>
        <v>GeneCards</v>
      </c>
      <c r="D11078" s="1" t="str">
        <f>HYPERLINK("http://genome-euro.ucsc.edu/cgi-bin/hgTracks?position=213258_at","UCSC")</f>
        <v>UCSC</v>
      </c>
      <c r="E11078" s="1" t="str">
        <f>HYPERLINK("http://www.ncbi.nlm.nih.gov/gene/?term=TFPI","NCBI")</f>
        <v>NCBI</v>
      </c>
      <c r="F11078">
        <v>0.27</v>
      </c>
      <c r="G11078">
        <v>0.41</v>
      </c>
      <c r="H11078" s="1" t="str">
        <f>HYPERLINK("http://www.weizmann.ac.il/complex/compphys/software/geview/data/figures/213258_at.png","Figure")</f>
        <v>Figure</v>
      </c>
      <c r="I11078">
        <v>1</v>
      </c>
      <c r="J11078">
        <v>1</v>
      </c>
      <c r="K11078">
        <v>0.73799999999999999</v>
      </c>
      <c r="L11078">
        <v>0.34</v>
      </c>
      <c r="M11078">
        <v>0.73799999999999999</v>
      </c>
      <c r="N11078">
        <v>0.38</v>
      </c>
    </row>
    <row r="11079" spans="1:14" x14ac:dyDescent="0.25">
      <c r="A11079" t="s">
        <v>19212</v>
      </c>
      <c r="B11079" t="s">
        <v>19213</v>
      </c>
      <c r="C11079" s="1" t="str">
        <f>HYPERLINK("http://www.genecards.org/cgi-bin/carddisp.pl?gene=HSP90B1","GeneCards")</f>
        <v>GeneCards</v>
      </c>
      <c r="D11079" s="1" t="str">
        <f>HYPERLINK("http://genome-euro.ucsc.edu/cgi-bin/hgTracks?position=200599_s_at","UCSC")</f>
        <v>UCSC</v>
      </c>
      <c r="E11079" s="1" t="str">
        <f>HYPERLINK("http://www.ncbi.nlm.nih.gov/gene/?term=HSP90B1","NCBI")</f>
        <v>NCBI</v>
      </c>
      <c r="F11079">
        <v>0.27</v>
      </c>
      <c r="G11079">
        <v>0.41</v>
      </c>
      <c r="H11079" s="1" t="str">
        <f>HYPERLINK("http://www.weizmann.ac.il/complex/compphys/software/geview/data/figures/200599_s_at.png","Figure")</f>
        <v>Figure</v>
      </c>
      <c r="I11079">
        <v>0.68400000000000005</v>
      </c>
      <c r="J11079">
        <v>0.24</v>
      </c>
      <c r="K11079">
        <v>0.83899999999999997</v>
      </c>
      <c r="L11079">
        <v>0.65</v>
      </c>
      <c r="M11079">
        <v>1.23</v>
      </c>
      <c r="N11079">
        <v>0.6</v>
      </c>
    </row>
    <row r="11080" spans="1:14" x14ac:dyDescent="0.25">
      <c r="A11080" t="s">
        <v>19214</v>
      </c>
      <c r="B11080" t="s">
        <v>4116</v>
      </c>
      <c r="C11080" s="1" t="str">
        <f>HYPERLINK("http://www.genecards.org/cgi-bin/carddisp.pl?gene=ALDH3A2","GeneCards")</f>
        <v>GeneCards</v>
      </c>
      <c r="D11080" s="1" t="str">
        <f>HYPERLINK("http://genome-euro.ucsc.edu/cgi-bin/hgTracks?position=210544_s_at","UCSC")</f>
        <v>UCSC</v>
      </c>
      <c r="E11080" s="1" t="str">
        <f>HYPERLINK("http://www.ncbi.nlm.nih.gov/gene/?term=ALDH3A2","NCBI")</f>
        <v>NCBI</v>
      </c>
      <c r="F11080">
        <v>0.27</v>
      </c>
      <c r="G11080">
        <v>0.41</v>
      </c>
      <c r="H11080" s="1" t="str">
        <f>HYPERLINK("http://www.weizmann.ac.il/complex/compphys/software/geview/data/figures/210544_s_at.png","Figure")</f>
        <v>Figure</v>
      </c>
      <c r="I11080">
        <v>1.02</v>
      </c>
      <c r="J11080">
        <v>0.95</v>
      </c>
      <c r="K11080">
        <v>0.91300000000000003</v>
      </c>
      <c r="L11080">
        <v>0.43</v>
      </c>
      <c r="M11080">
        <v>0.89</v>
      </c>
      <c r="N11080">
        <v>0.31</v>
      </c>
    </row>
    <row r="11081" spans="1:14" x14ac:dyDescent="0.25">
      <c r="A11081" t="s">
        <v>19215</v>
      </c>
      <c r="B11081" t="s">
        <v>19216</v>
      </c>
      <c r="C11081" s="1" t="str">
        <f>HYPERLINK("http://www.genecards.org/cgi-bin/carddisp.pl?gene=CHFR","GeneCards")</f>
        <v>GeneCards</v>
      </c>
      <c r="D11081" s="1" t="str">
        <f>HYPERLINK("http://genome-euro.ucsc.edu/cgi-bin/hgTracks?position=218803_at","UCSC")</f>
        <v>UCSC</v>
      </c>
      <c r="E11081" s="1" t="str">
        <f>HYPERLINK("http://www.ncbi.nlm.nih.gov/gene/?term=CHFR","NCBI")</f>
        <v>NCBI</v>
      </c>
      <c r="F11081">
        <v>0.27</v>
      </c>
      <c r="G11081">
        <v>0.41</v>
      </c>
      <c r="H11081" s="1" t="str">
        <f>HYPERLINK("http://www.weizmann.ac.il/complex/compphys/software/geview/data/figures/218803_at.png","Figure")</f>
        <v>Figure</v>
      </c>
      <c r="I11081">
        <v>1.4</v>
      </c>
      <c r="J11081">
        <v>0.4</v>
      </c>
      <c r="K11081">
        <v>1.42</v>
      </c>
      <c r="L11081">
        <v>0.28000000000000003</v>
      </c>
      <c r="M11081">
        <v>1.01</v>
      </c>
      <c r="N11081">
        <v>1</v>
      </c>
    </row>
    <row r="11082" spans="1:14" x14ac:dyDescent="0.25">
      <c r="A11082" t="s">
        <v>19217</v>
      </c>
      <c r="B11082" t="s">
        <v>19218</v>
      </c>
      <c r="C11082" s="1" t="str">
        <f>HYPERLINK("http://www.genecards.org/cgi-bin/carddisp.pl?gene=UBL4A","GeneCards")</f>
        <v>GeneCards</v>
      </c>
      <c r="D11082" s="1" t="str">
        <f>HYPERLINK("http://genome-euro.ucsc.edu/cgi-bin/hgTracks?position=221746_at","UCSC")</f>
        <v>UCSC</v>
      </c>
      <c r="E11082" s="1" t="str">
        <f>HYPERLINK("http://www.ncbi.nlm.nih.gov/gene/?term=UBL4A","NCBI")</f>
        <v>NCBI</v>
      </c>
      <c r="F11082">
        <v>0.27</v>
      </c>
      <c r="G11082">
        <v>0.41</v>
      </c>
      <c r="H11082" s="1" t="str">
        <f>HYPERLINK("http://www.weizmann.ac.il/complex/compphys/software/geview/data/figures/221746_at.png","Figure")</f>
        <v>Figure</v>
      </c>
      <c r="I11082">
        <v>1.04</v>
      </c>
      <c r="J11082">
        <v>0.89</v>
      </c>
      <c r="K11082">
        <v>1.1299999999999999</v>
      </c>
      <c r="L11082">
        <v>0.26</v>
      </c>
      <c r="M11082">
        <v>1.0900000000000001</v>
      </c>
      <c r="N11082">
        <v>0.56999999999999995</v>
      </c>
    </row>
    <row r="11083" spans="1:14" x14ac:dyDescent="0.25">
      <c r="A11083" t="s">
        <v>19219</v>
      </c>
      <c r="B11083" t="s">
        <v>19220</v>
      </c>
      <c r="C11083" s="1" t="str">
        <f>HYPERLINK("http://www.genecards.org/cgi-bin/carddisp.pl?gene=DKFZP434B2016 /// LOC643313","GeneCards")</f>
        <v>GeneCards</v>
      </c>
      <c r="D11083" s="1" t="str">
        <f>HYPERLINK("http://genome-euro.ucsc.edu/cgi-bin/hgTracks?position=211050_x_at","UCSC")</f>
        <v>UCSC</v>
      </c>
      <c r="E11083" s="1" t="str">
        <f>HYPERLINK("http://www.ncbi.nlm.nih.gov/gene/?term=DKFZP434B2016 /// LOC643313","NCBI")</f>
        <v>NCBI</v>
      </c>
      <c r="F11083">
        <v>0.27</v>
      </c>
      <c r="G11083">
        <v>0.41</v>
      </c>
      <c r="H11083" s="1" t="str">
        <f>HYPERLINK("http://www.weizmann.ac.il/complex/compphys/software/geview/data/figures/211050_x_at.png","Figure")</f>
        <v>Figure</v>
      </c>
      <c r="I11083">
        <v>1.07</v>
      </c>
      <c r="J11083">
        <v>0.68</v>
      </c>
      <c r="K11083">
        <v>0.94499999999999995</v>
      </c>
      <c r="L11083">
        <v>0.68</v>
      </c>
      <c r="M11083">
        <v>0.88700000000000001</v>
      </c>
      <c r="N11083">
        <v>0.25</v>
      </c>
    </row>
    <row r="11084" spans="1:14" x14ac:dyDescent="0.25">
      <c r="A11084" t="s">
        <v>19221</v>
      </c>
      <c r="B11084" t="s">
        <v>19222</v>
      </c>
      <c r="C11084" s="1" t="str">
        <f>HYPERLINK("http://www.genecards.org/cgi-bin/carddisp.pl?gene=DCUN1D2","GeneCards")</f>
        <v>GeneCards</v>
      </c>
      <c r="D11084" s="1" t="str">
        <f>HYPERLINK("http://genome-euro.ucsc.edu/cgi-bin/hgTracks?position=219116_s_at","UCSC")</f>
        <v>UCSC</v>
      </c>
      <c r="E11084" s="1" t="str">
        <f>HYPERLINK("http://www.ncbi.nlm.nih.gov/gene/?term=DCUN1D2","NCBI")</f>
        <v>NCBI</v>
      </c>
      <c r="F11084">
        <v>0.27</v>
      </c>
      <c r="G11084">
        <v>0.41</v>
      </c>
      <c r="H11084" s="1" t="str">
        <f>HYPERLINK("http://www.weizmann.ac.il/complex/compphys/software/geview/data/figures/219116_s_at.png","Figure")</f>
        <v>Figure</v>
      </c>
      <c r="I11084">
        <v>0.80300000000000005</v>
      </c>
      <c r="J11084">
        <v>0.47</v>
      </c>
      <c r="K11084">
        <v>0.76800000000000002</v>
      </c>
      <c r="L11084">
        <v>0.26</v>
      </c>
      <c r="M11084">
        <v>0.95599999999999996</v>
      </c>
      <c r="N11084">
        <v>0.96</v>
      </c>
    </row>
    <row r="11085" spans="1:14" x14ac:dyDescent="0.25">
      <c r="A11085" t="s">
        <v>19223</v>
      </c>
      <c r="B11085" t="s">
        <v>19224</v>
      </c>
      <c r="C11085" s="1" t="str">
        <f>HYPERLINK("http://www.genecards.org/cgi-bin/carddisp.pl?gene=NRCAM","GeneCards")</f>
        <v>GeneCards</v>
      </c>
      <c r="D11085" s="1" t="str">
        <f>HYPERLINK("http://genome-euro.ucsc.edu/cgi-bin/hgTracks?position=216959_x_at","UCSC")</f>
        <v>UCSC</v>
      </c>
      <c r="E11085" s="1" t="str">
        <f>HYPERLINK("http://www.ncbi.nlm.nih.gov/gene/?term=NRCAM","NCBI")</f>
        <v>NCBI</v>
      </c>
      <c r="F11085">
        <v>0.27</v>
      </c>
      <c r="G11085">
        <v>0.41</v>
      </c>
      <c r="H11085" s="1" t="str">
        <f>HYPERLINK("http://www.weizmann.ac.il/complex/compphys/software/geview/data/figures/216959_x_at.png","Figure")</f>
        <v>Figure</v>
      </c>
      <c r="I11085">
        <v>1.07</v>
      </c>
      <c r="J11085">
        <v>0.25</v>
      </c>
      <c r="K11085">
        <v>1.02</v>
      </c>
      <c r="L11085">
        <v>0.81</v>
      </c>
      <c r="M11085">
        <v>0.95599999999999996</v>
      </c>
      <c r="N11085">
        <v>0.46</v>
      </c>
    </row>
    <row r="11086" spans="1:14" x14ac:dyDescent="0.25">
      <c r="A11086" t="s">
        <v>19225</v>
      </c>
      <c r="B11086" t="s">
        <v>19226</v>
      </c>
      <c r="C11086" s="1" t="str">
        <f>HYPERLINK("http://www.genecards.org/cgi-bin/carddisp.pl?gene=OMG","GeneCards")</f>
        <v>GeneCards</v>
      </c>
      <c r="D11086" s="1" t="str">
        <f>HYPERLINK("http://genome-euro.ucsc.edu/cgi-bin/hgTracks?position=207093_s_at","UCSC")</f>
        <v>UCSC</v>
      </c>
      <c r="E11086" s="1" t="str">
        <f>HYPERLINK("http://www.ncbi.nlm.nih.gov/gene/?term=OMG","NCBI")</f>
        <v>NCBI</v>
      </c>
      <c r="F11086">
        <v>0.27</v>
      </c>
      <c r="G11086">
        <v>0.41</v>
      </c>
      <c r="H11086" s="1" t="str">
        <f>HYPERLINK("http://www.weizmann.ac.il/complex/compphys/software/geview/data/figures/207093_s_at.png","Figure")</f>
        <v>Figure</v>
      </c>
      <c r="I11086">
        <v>0.94499999999999995</v>
      </c>
      <c r="J11086">
        <v>0.79</v>
      </c>
      <c r="K11086">
        <v>0.88200000000000001</v>
      </c>
      <c r="L11086">
        <v>0.25</v>
      </c>
      <c r="M11086">
        <v>0.93300000000000005</v>
      </c>
      <c r="N11086">
        <v>0.67</v>
      </c>
    </row>
    <row r="11087" spans="1:14" x14ac:dyDescent="0.25">
      <c r="A11087" t="s">
        <v>19227</v>
      </c>
      <c r="B11087" t="s">
        <v>19228</v>
      </c>
      <c r="C11087" s="1" t="str">
        <f>HYPERLINK("http://www.genecards.org/cgi-bin/carddisp.pl?gene=FNTB","GeneCards")</f>
        <v>GeneCards</v>
      </c>
      <c r="D11087" s="1" t="str">
        <f>HYPERLINK("http://genome-euro.ucsc.edu/cgi-bin/hgTracks?position=1773_at","UCSC")</f>
        <v>UCSC</v>
      </c>
      <c r="E11087" s="1" t="str">
        <f>HYPERLINK("http://www.ncbi.nlm.nih.gov/gene/?term=FNTB","NCBI")</f>
        <v>NCBI</v>
      </c>
      <c r="F11087">
        <v>0.27</v>
      </c>
      <c r="G11087">
        <v>0.41</v>
      </c>
      <c r="H11087" s="1" t="str">
        <f>HYPERLINK("http://www.weizmann.ac.il/complex/compphys/software/geview/data/figures/1773_at.png","Figure")</f>
        <v>Figure</v>
      </c>
      <c r="I11087">
        <v>0.96099999999999997</v>
      </c>
      <c r="J11087">
        <v>0.25</v>
      </c>
      <c r="K11087">
        <v>0.98699999999999999</v>
      </c>
      <c r="L11087">
        <v>0.81</v>
      </c>
      <c r="M11087">
        <v>1.03</v>
      </c>
      <c r="N11087">
        <v>0.46</v>
      </c>
    </row>
    <row r="11088" spans="1:14" x14ac:dyDescent="0.25">
      <c r="A11088" t="s">
        <v>19229</v>
      </c>
      <c r="B11088" t="s">
        <v>3151</v>
      </c>
      <c r="C11088" s="1" t="str">
        <f>HYPERLINK("http://www.genecards.org/cgi-bin/carddisp.pl?gene=PLSCR1","GeneCards")</f>
        <v>GeneCards</v>
      </c>
      <c r="D11088" s="1" t="str">
        <f>HYPERLINK("http://genome-euro.ucsc.edu/cgi-bin/hgTracks?position=202430_s_at","UCSC")</f>
        <v>UCSC</v>
      </c>
      <c r="E11088" s="1" t="str">
        <f>HYPERLINK("http://www.ncbi.nlm.nih.gov/gene/?term=PLSCR1","NCBI")</f>
        <v>NCBI</v>
      </c>
      <c r="F11088">
        <v>0.27</v>
      </c>
      <c r="G11088">
        <v>0.41</v>
      </c>
      <c r="H11088" s="1" t="str">
        <f>HYPERLINK("http://www.weizmann.ac.il/complex/compphys/software/geview/data/figures/202430_s_at.png","Figure")</f>
        <v>Figure</v>
      </c>
      <c r="I11088">
        <v>0.79600000000000004</v>
      </c>
      <c r="J11088">
        <v>0.24</v>
      </c>
      <c r="K11088">
        <v>0.89400000000000002</v>
      </c>
      <c r="L11088">
        <v>0.62</v>
      </c>
      <c r="M11088">
        <v>1.1200000000000001</v>
      </c>
      <c r="N11088">
        <v>0.63</v>
      </c>
    </row>
    <row r="11089" spans="1:14" x14ac:dyDescent="0.25">
      <c r="A11089" t="s">
        <v>19230</v>
      </c>
      <c r="B11089" t="s">
        <v>3029</v>
      </c>
      <c r="C11089" s="1" t="str">
        <f>HYPERLINK("http://www.genecards.org/cgi-bin/carddisp.pl?gene=COIL","GeneCards")</f>
        <v>GeneCards</v>
      </c>
      <c r="D11089" s="1" t="str">
        <f>HYPERLINK("http://genome-euro.ucsc.edu/cgi-bin/hgTracks?position=203653_s_at","UCSC")</f>
        <v>UCSC</v>
      </c>
      <c r="E11089" s="1" t="str">
        <f>HYPERLINK("http://www.ncbi.nlm.nih.gov/gene/?term=COIL","NCBI")</f>
        <v>NCBI</v>
      </c>
      <c r="F11089">
        <v>0.27</v>
      </c>
      <c r="G11089">
        <v>0.41</v>
      </c>
      <c r="H11089" s="1" t="str">
        <f>HYPERLINK("http://www.weizmann.ac.il/complex/compphys/software/geview/data/figures/203653_s_at.png","Figure")</f>
        <v>Figure</v>
      </c>
      <c r="I11089">
        <v>0.78800000000000003</v>
      </c>
      <c r="J11089">
        <v>0.28999999999999998</v>
      </c>
      <c r="K11089">
        <v>0.83599999999999997</v>
      </c>
      <c r="L11089">
        <v>0.39</v>
      </c>
      <c r="M11089">
        <v>1.06</v>
      </c>
      <c r="N11089">
        <v>0.91</v>
      </c>
    </row>
    <row r="11090" spans="1:14" x14ac:dyDescent="0.25">
      <c r="A11090" t="s">
        <v>19231</v>
      </c>
      <c r="B11090" t="s">
        <v>19232</v>
      </c>
      <c r="C11090" s="1" t="str">
        <f>HYPERLINK("http://www.genecards.org/cgi-bin/carddisp.pl?gene=SLC25A20","GeneCards")</f>
        <v>GeneCards</v>
      </c>
      <c r="D11090" s="1" t="str">
        <f>HYPERLINK("http://genome-euro.ucsc.edu/cgi-bin/hgTracks?position=203658_at","UCSC")</f>
        <v>UCSC</v>
      </c>
      <c r="E11090" s="1" t="str">
        <f>HYPERLINK("http://www.ncbi.nlm.nih.gov/gene/?term=SLC25A20","NCBI")</f>
        <v>NCBI</v>
      </c>
      <c r="F11090">
        <v>0.27</v>
      </c>
      <c r="G11090">
        <v>0.41</v>
      </c>
      <c r="H11090" s="1" t="str">
        <f>HYPERLINK("http://www.weizmann.ac.il/complex/compphys/software/geview/data/figures/203658_at.png","Figure")</f>
        <v>Figure</v>
      </c>
      <c r="I11090">
        <v>1.1499999999999999</v>
      </c>
      <c r="J11090">
        <v>0.54</v>
      </c>
      <c r="K11090">
        <v>1.21</v>
      </c>
      <c r="L11090">
        <v>0.25</v>
      </c>
      <c r="M11090">
        <v>1.05</v>
      </c>
      <c r="N11090">
        <v>0.91</v>
      </c>
    </row>
    <row r="11091" spans="1:14" x14ac:dyDescent="0.25">
      <c r="A11091" t="s">
        <v>19233</v>
      </c>
      <c r="B11091" t="s">
        <v>19234</v>
      </c>
      <c r="C11091" s="1" t="str">
        <f>HYPERLINK("http://www.genecards.org/cgi-bin/carddisp.pl?gene=PCP4","GeneCards")</f>
        <v>GeneCards</v>
      </c>
      <c r="D11091" s="1" t="str">
        <f>HYPERLINK("http://genome-euro.ucsc.edu/cgi-bin/hgTracks?position=205549_at","UCSC")</f>
        <v>UCSC</v>
      </c>
      <c r="E11091" s="1" t="str">
        <f>HYPERLINK("http://www.ncbi.nlm.nih.gov/gene/?term=PCP4","NCBI")</f>
        <v>NCBI</v>
      </c>
      <c r="F11091">
        <v>0.27</v>
      </c>
      <c r="G11091">
        <v>0.41</v>
      </c>
      <c r="H11091" s="1" t="str">
        <f>HYPERLINK("http://www.weizmann.ac.il/complex/compphys/software/geview/data/figures/205549_at.png","Figure")</f>
        <v>Figure</v>
      </c>
      <c r="I11091">
        <v>0.96399999999999997</v>
      </c>
      <c r="J11091">
        <v>0.31</v>
      </c>
      <c r="K11091">
        <v>0.997</v>
      </c>
      <c r="L11091">
        <v>0.99</v>
      </c>
      <c r="M11091">
        <v>1.03</v>
      </c>
      <c r="N11091">
        <v>0.32</v>
      </c>
    </row>
    <row r="11092" spans="1:14" x14ac:dyDescent="0.25">
      <c r="A11092" t="s">
        <v>19235</v>
      </c>
      <c r="B11092" t="s">
        <v>13492</v>
      </c>
      <c r="C11092" s="1" t="str">
        <f>HYPERLINK("http://www.genecards.org/cgi-bin/carddisp.pl?gene=LAMA4","GeneCards")</f>
        <v>GeneCards</v>
      </c>
      <c r="D11092" s="1" t="str">
        <f>HYPERLINK("http://genome-euro.ucsc.edu/cgi-bin/hgTracks?position=210990_s_at","UCSC")</f>
        <v>UCSC</v>
      </c>
      <c r="E11092" s="1" t="str">
        <f>HYPERLINK("http://www.ncbi.nlm.nih.gov/gene/?term=LAMA4","NCBI")</f>
        <v>NCBI</v>
      </c>
      <c r="F11092">
        <v>0.27</v>
      </c>
      <c r="G11092">
        <v>0.41</v>
      </c>
      <c r="H11092" s="1" t="str">
        <f>HYPERLINK("http://www.weizmann.ac.il/complex/compphys/software/geview/data/figures/210990_s_at.png","Figure")</f>
        <v>Figure</v>
      </c>
      <c r="I11092">
        <v>1.0900000000000001</v>
      </c>
      <c r="J11092">
        <v>0.28000000000000003</v>
      </c>
      <c r="K11092">
        <v>1.01</v>
      </c>
      <c r="L11092">
        <v>0.95</v>
      </c>
      <c r="M11092">
        <v>0.93</v>
      </c>
      <c r="N11092">
        <v>0.36</v>
      </c>
    </row>
    <row r="11093" spans="1:14" x14ac:dyDescent="0.25">
      <c r="A11093" t="s">
        <v>19236</v>
      </c>
      <c r="B11093" t="s">
        <v>19237</v>
      </c>
      <c r="C11093" s="1" t="str">
        <f>HYPERLINK("http://www.genecards.org/cgi-bin/carddisp.pl?gene=ELMO3","GeneCards")</f>
        <v>GeneCards</v>
      </c>
      <c r="D11093" s="1" t="str">
        <f>HYPERLINK("http://genome-euro.ucsc.edu/cgi-bin/hgTracks?position=219411_at","UCSC")</f>
        <v>UCSC</v>
      </c>
      <c r="E11093" s="1" t="str">
        <f>HYPERLINK("http://www.ncbi.nlm.nih.gov/gene/?term=ELMO3","NCBI")</f>
        <v>NCBI</v>
      </c>
      <c r="F11093">
        <v>0.27</v>
      </c>
      <c r="G11093">
        <v>0.41</v>
      </c>
      <c r="H11093" s="1" t="str">
        <f>HYPERLINK("http://www.weizmann.ac.il/complex/compphys/software/geview/data/figures/219411_at.png","Figure")</f>
        <v>Figure</v>
      </c>
      <c r="I11093">
        <v>0.97599999999999998</v>
      </c>
      <c r="J11093">
        <v>0.31</v>
      </c>
      <c r="K11093">
        <v>0.998</v>
      </c>
      <c r="L11093">
        <v>0.99</v>
      </c>
      <c r="M11093">
        <v>1.02</v>
      </c>
      <c r="N11093">
        <v>0.32</v>
      </c>
    </row>
    <row r="11094" spans="1:14" x14ac:dyDescent="0.25">
      <c r="A11094" t="s">
        <v>19238</v>
      </c>
      <c r="B11094" t="s">
        <v>19239</v>
      </c>
      <c r="C11094" s="1" t="str">
        <f>HYPERLINK("http://www.genecards.org/cgi-bin/carddisp.pl?gene=ALG6","GeneCards")</f>
        <v>GeneCards</v>
      </c>
      <c r="D11094" s="1" t="str">
        <f>HYPERLINK("http://genome-euro.ucsc.edu/cgi-bin/hgTracks?position=219649_at","UCSC")</f>
        <v>UCSC</v>
      </c>
      <c r="E11094" s="1" t="str">
        <f>HYPERLINK("http://www.ncbi.nlm.nih.gov/gene/?term=ALG6","NCBI")</f>
        <v>NCBI</v>
      </c>
      <c r="F11094">
        <v>0.27</v>
      </c>
      <c r="G11094">
        <v>0.41</v>
      </c>
      <c r="H11094" s="1" t="str">
        <f>HYPERLINK("http://www.weizmann.ac.il/complex/compphys/software/geview/data/figures/219649_at.png","Figure")</f>
        <v>Figure</v>
      </c>
      <c r="I11094">
        <v>0.66400000000000003</v>
      </c>
      <c r="J11094">
        <v>0.26</v>
      </c>
      <c r="K11094">
        <v>0.90100000000000002</v>
      </c>
      <c r="L11094">
        <v>0.88</v>
      </c>
      <c r="M11094">
        <v>1.36</v>
      </c>
      <c r="N11094">
        <v>0.41</v>
      </c>
    </row>
    <row r="11095" spans="1:14" x14ac:dyDescent="0.25">
      <c r="A11095" t="s">
        <v>19240</v>
      </c>
      <c r="B11095" t="s">
        <v>19241</v>
      </c>
      <c r="C11095" s="1" t="str">
        <f>HYPERLINK("http://www.genecards.org/cgi-bin/carddisp.pl?gene=MCTP1","GeneCards")</f>
        <v>GeneCards</v>
      </c>
      <c r="D11095" s="1" t="str">
        <f>HYPERLINK("http://genome-euro.ucsc.edu/cgi-bin/hgTracks?position=220122_at","UCSC")</f>
        <v>UCSC</v>
      </c>
      <c r="E11095" s="1" t="str">
        <f>HYPERLINK("http://www.ncbi.nlm.nih.gov/gene/?term=MCTP1","NCBI")</f>
        <v>NCBI</v>
      </c>
      <c r="F11095">
        <v>0.27</v>
      </c>
      <c r="G11095">
        <v>0.41</v>
      </c>
      <c r="H11095" s="1" t="str">
        <f>HYPERLINK("http://www.weizmann.ac.il/complex/compphys/software/geview/data/figures/220122_at.png","Figure")</f>
        <v>Figure</v>
      </c>
      <c r="I11095">
        <v>0.91900000000000004</v>
      </c>
      <c r="J11095">
        <v>0.31</v>
      </c>
      <c r="K11095">
        <v>0.99299999999999999</v>
      </c>
      <c r="L11095">
        <v>0.99</v>
      </c>
      <c r="M11095">
        <v>1.08</v>
      </c>
      <c r="N11095">
        <v>0.32</v>
      </c>
    </row>
    <row r="11096" spans="1:14" x14ac:dyDescent="0.25">
      <c r="A11096" t="s">
        <v>19242</v>
      </c>
      <c r="B11096" t="s">
        <v>19243</v>
      </c>
      <c r="C11096" s="1" t="str">
        <f>HYPERLINK("http://www.genecards.org/cgi-bin/carddisp.pl?gene=KCNJ8","GeneCards")</f>
        <v>GeneCards</v>
      </c>
      <c r="D11096" s="1" t="str">
        <f>HYPERLINK("http://genome-euro.ucsc.edu/cgi-bin/hgTracks?position=205303_at","UCSC")</f>
        <v>UCSC</v>
      </c>
      <c r="E11096" s="1" t="str">
        <f>HYPERLINK("http://www.ncbi.nlm.nih.gov/gene/?term=KCNJ8","NCBI")</f>
        <v>NCBI</v>
      </c>
      <c r="F11096">
        <v>0.27</v>
      </c>
      <c r="G11096">
        <v>0.41</v>
      </c>
      <c r="H11096" s="1" t="str">
        <f>HYPERLINK("http://www.weizmann.ac.il/complex/compphys/software/geview/data/figures/205303_at.png","Figure")</f>
        <v>Figure</v>
      </c>
      <c r="I11096">
        <v>1.03</v>
      </c>
      <c r="J11096">
        <v>0.71</v>
      </c>
      <c r="K11096">
        <v>0.97099999999999997</v>
      </c>
      <c r="L11096">
        <v>0.66</v>
      </c>
      <c r="M11096">
        <v>0.94199999999999995</v>
      </c>
      <c r="N11096">
        <v>0.25</v>
      </c>
    </row>
    <row r="11097" spans="1:14" x14ac:dyDescent="0.25">
      <c r="A11097" t="s">
        <v>19244</v>
      </c>
      <c r="B11097" t="s">
        <v>19245</v>
      </c>
      <c r="C11097" s="1" t="str">
        <f>HYPERLINK("http://www.genecards.org/cgi-bin/carddisp.pl?gene=ABTB2","GeneCards")</f>
        <v>GeneCards</v>
      </c>
      <c r="D11097" s="1" t="str">
        <f>HYPERLINK("http://genome-euro.ucsc.edu/cgi-bin/hgTracks?position=213497_at","UCSC")</f>
        <v>UCSC</v>
      </c>
      <c r="E11097" s="1" t="str">
        <f>HYPERLINK("http://www.ncbi.nlm.nih.gov/gene/?term=ABTB2","NCBI")</f>
        <v>NCBI</v>
      </c>
      <c r="F11097">
        <v>0.27</v>
      </c>
      <c r="G11097">
        <v>0.41</v>
      </c>
      <c r="H11097" s="1" t="str">
        <f>HYPERLINK("http://www.weizmann.ac.il/complex/compphys/software/geview/data/figures/213497_at.png","Figure")</f>
        <v>Figure</v>
      </c>
      <c r="I11097">
        <v>1.18</v>
      </c>
      <c r="J11097">
        <v>0.25</v>
      </c>
      <c r="K11097">
        <v>1.1000000000000001</v>
      </c>
      <c r="L11097">
        <v>0.53</v>
      </c>
      <c r="M11097">
        <v>0.93400000000000005</v>
      </c>
      <c r="N11097">
        <v>0.73</v>
      </c>
    </row>
    <row r="11098" spans="1:14" x14ac:dyDescent="0.25">
      <c r="A11098" t="s">
        <v>19246</v>
      </c>
      <c r="B11098" t="s">
        <v>19247</v>
      </c>
      <c r="C11098" s="1" t="str">
        <f>HYPERLINK("http://www.genecards.org/cgi-bin/carddisp.pl?gene=DNM1L","GeneCards")</f>
        <v>GeneCards</v>
      </c>
      <c r="D11098" s="1" t="str">
        <f>HYPERLINK("http://genome-euro.ucsc.edu/cgi-bin/hgTracks?position=203105_s_at","UCSC")</f>
        <v>UCSC</v>
      </c>
      <c r="E11098" s="1" t="str">
        <f>HYPERLINK("http://www.ncbi.nlm.nih.gov/gene/?term=DNM1L","NCBI")</f>
        <v>NCBI</v>
      </c>
      <c r="F11098">
        <v>0.27</v>
      </c>
      <c r="G11098">
        <v>0.41</v>
      </c>
      <c r="H11098" s="1" t="str">
        <f>HYPERLINK("http://www.weizmann.ac.il/complex/compphys/software/geview/data/figures/203105_s_at.png","Figure")</f>
        <v>Figure</v>
      </c>
      <c r="I11098">
        <v>0.90800000000000003</v>
      </c>
      <c r="J11098">
        <v>0.89</v>
      </c>
      <c r="K11098">
        <v>1.24</v>
      </c>
      <c r="L11098">
        <v>0.49</v>
      </c>
      <c r="M11098">
        <v>1.37</v>
      </c>
      <c r="N11098">
        <v>0.28000000000000003</v>
      </c>
    </row>
    <row r="11099" spans="1:14" x14ac:dyDescent="0.25">
      <c r="A11099" t="s">
        <v>19248</v>
      </c>
      <c r="B11099" t="s">
        <v>19249</v>
      </c>
      <c r="C11099" s="1" t="str">
        <f>HYPERLINK("http://www.genecards.org/cgi-bin/carddisp.pl?gene=PPP4R1","GeneCards")</f>
        <v>GeneCards</v>
      </c>
      <c r="D11099" s="1" t="str">
        <f>HYPERLINK("http://genome-euro.ucsc.edu/cgi-bin/hgTracks?position=201594_s_at","UCSC")</f>
        <v>UCSC</v>
      </c>
      <c r="E11099" s="1" t="str">
        <f>HYPERLINK("http://www.ncbi.nlm.nih.gov/gene/?term=PPP4R1","NCBI")</f>
        <v>NCBI</v>
      </c>
      <c r="F11099">
        <v>0.27</v>
      </c>
      <c r="G11099">
        <v>0.41</v>
      </c>
      <c r="H11099" s="1" t="str">
        <f>HYPERLINK("http://www.weizmann.ac.il/complex/compphys/software/geview/data/figures/201594_s_at.png","Figure")</f>
        <v>Figure</v>
      </c>
      <c r="I11099">
        <v>0.78900000000000003</v>
      </c>
      <c r="J11099">
        <v>0.34</v>
      </c>
      <c r="K11099">
        <v>0.998</v>
      </c>
      <c r="L11099">
        <v>1</v>
      </c>
      <c r="M11099">
        <v>1.27</v>
      </c>
      <c r="N11099">
        <v>0.3</v>
      </c>
    </row>
    <row r="11100" spans="1:14" x14ac:dyDescent="0.25">
      <c r="A11100" t="s">
        <v>19250</v>
      </c>
      <c r="B11100" t="s">
        <v>19251</v>
      </c>
      <c r="C11100" s="1" t="str">
        <f>HYPERLINK("http://www.genecards.org/cgi-bin/carddisp.pl?gene=RAC1","GeneCards")</f>
        <v>GeneCards</v>
      </c>
      <c r="D11100" s="1" t="str">
        <f>HYPERLINK("http://genome-euro.ucsc.edu/cgi-bin/hgTracks?position=208640_at","UCSC")</f>
        <v>UCSC</v>
      </c>
      <c r="E11100" s="1" t="str">
        <f>HYPERLINK("http://www.ncbi.nlm.nih.gov/gene/?term=RAC1","NCBI")</f>
        <v>NCBI</v>
      </c>
      <c r="F11100">
        <v>0.27</v>
      </c>
      <c r="G11100">
        <v>0.41</v>
      </c>
      <c r="H11100" s="1" t="str">
        <f>HYPERLINK("http://www.weizmann.ac.il/complex/compphys/software/geview/data/figures/208640_at.png","Figure")</f>
        <v>Figure</v>
      </c>
      <c r="I11100">
        <v>1.26</v>
      </c>
      <c r="J11100">
        <v>0.36</v>
      </c>
      <c r="K11100">
        <v>0.99</v>
      </c>
      <c r="L11100">
        <v>1</v>
      </c>
      <c r="M11100">
        <v>0.78800000000000003</v>
      </c>
      <c r="N11100">
        <v>0.28000000000000003</v>
      </c>
    </row>
    <row r="11101" spans="1:14" x14ac:dyDescent="0.25">
      <c r="A11101" t="s">
        <v>19252</v>
      </c>
      <c r="B11101" t="s">
        <v>19253</v>
      </c>
      <c r="C11101" s="1" t="str">
        <f>HYPERLINK("http://www.genecards.org/cgi-bin/carddisp.pl?gene=SART3","GeneCards")</f>
        <v>GeneCards</v>
      </c>
      <c r="D11101" s="1" t="str">
        <f>HYPERLINK("http://genome-euro.ucsc.edu/cgi-bin/hgTracks?position=209128_s_at","UCSC")</f>
        <v>UCSC</v>
      </c>
      <c r="E11101" s="1" t="str">
        <f>HYPERLINK("http://www.ncbi.nlm.nih.gov/gene/?term=SART3","NCBI")</f>
        <v>NCBI</v>
      </c>
      <c r="F11101">
        <v>0.27</v>
      </c>
      <c r="G11101">
        <v>0.41</v>
      </c>
      <c r="H11101" s="1" t="str">
        <f>HYPERLINK("http://www.weizmann.ac.il/complex/compphys/software/geview/data/figures/209128_s_at.png","Figure")</f>
        <v>Figure</v>
      </c>
      <c r="I11101">
        <v>1.1499999999999999</v>
      </c>
      <c r="J11101">
        <v>0.53</v>
      </c>
      <c r="K11101">
        <v>0.93899999999999995</v>
      </c>
      <c r="L11101">
        <v>0.84</v>
      </c>
      <c r="M11101">
        <v>0.81399999999999995</v>
      </c>
      <c r="N11101">
        <v>0.24</v>
      </c>
    </row>
    <row r="11102" spans="1:14" x14ac:dyDescent="0.25">
      <c r="A11102" t="s">
        <v>19254</v>
      </c>
      <c r="B11102" t="s">
        <v>19255</v>
      </c>
      <c r="C11102" s="1" t="str">
        <f>HYPERLINK("http://www.genecards.org/cgi-bin/carddisp.pl?gene=LARP4","GeneCards")</f>
        <v>GeneCards</v>
      </c>
      <c r="D11102" s="1" t="str">
        <f>HYPERLINK("http://genome-euro.ucsc.edu/cgi-bin/hgTracks?position=212714_at","UCSC")</f>
        <v>UCSC</v>
      </c>
      <c r="E11102" s="1" t="str">
        <f>HYPERLINK("http://www.ncbi.nlm.nih.gov/gene/?term=LARP4","NCBI")</f>
        <v>NCBI</v>
      </c>
      <c r="F11102">
        <v>0.27</v>
      </c>
      <c r="G11102">
        <v>0.41</v>
      </c>
      <c r="H11102" s="1" t="str">
        <f>HYPERLINK("http://www.weizmann.ac.il/complex/compphys/software/geview/data/figures/212714_at.png","Figure")</f>
        <v>Figure</v>
      </c>
      <c r="I11102">
        <v>1.0900000000000001</v>
      </c>
      <c r="J11102">
        <v>0.82</v>
      </c>
      <c r="K11102">
        <v>1.23</v>
      </c>
      <c r="L11102">
        <v>0.25</v>
      </c>
      <c r="M11102">
        <v>1.1299999999999999</v>
      </c>
      <c r="N11102">
        <v>0.64</v>
      </c>
    </row>
    <row r="11103" spans="1:14" x14ac:dyDescent="0.25">
      <c r="A11103" t="s">
        <v>19256</v>
      </c>
      <c r="B11103" t="s">
        <v>19257</v>
      </c>
      <c r="C11103" s="1" t="str">
        <f>HYPERLINK("http://www.genecards.org/cgi-bin/carddisp.pl?gene=RSL24D1","GeneCards")</f>
        <v>GeneCards</v>
      </c>
      <c r="D11103" s="1" t="str">
        <f>HYPERLINK("http://genome-euro.ucsc.edu/cgi-bin/hgTracks?position=217915_s_at","UCSC")</f>
        <v>UCSC</v>
      </c>
      <c r="E11103" s="1" t="str">
        <f>HYPERLINK("http://www.ncbi.nlm.nih.gov/gene/?term=RSL24D1","NCBI")</f>
        <v>NCBI</v>
      </c>
      <c r="F11103">
        <v>0.27</v>
      </c>
      <c r="G11103">
        <v>0.41</v>
      </c>
      <c r="H11103" s="1" t="str">
        <f>HYPERLINK("http://www.weizmann.ac.il/complex/compphys/software/geview/data/figures/217915_s_at.png","Figure")</f>
        <v>Figure</v>
      </c>
      <c r="I11103">
        <v>0.76100000000000001</v>
      </c>
      <c r="J11103">
        <v>0.28999999999999998</v>
      </c>
      <c r="K11103">
        <v>0.81799999999999995</v>
      </c>
      <c r="L11103">
        <v>0.4</v>
      </c>
      <c r="M11103">
        <v>1.08</v>
      </c>
      <c r="N11103">
        <v>0.89</v>
      </c>
    </row>
    <row r="11104" spans="1:14" x14ac:dyDescent="0.25">
      <c r="A11104" t="s">
        <v>19258</v>
      </c>
      <c r="B11104" t="s">
        <v>19259</v>
      </c>
      <c r="C11104" s="1" t="str">
        <f>HYPERLINK("http://www.genecards.org/cgi-bin/carddisp.pl?gene=RFX7","GeneCards")</f>
        <v>GeneCards</v>
      </c>
      <c r="D11104" s="1" t="str">
        <f>HYPERLINK("http://genome-euro.ucsc.edu/cgi-bin/hgTracks?position=218430_s_at","UCSC")</f>
        <v>UCSC</v>
      </c>
      <c r="E11104" s="1" t="str">
        <f>HYPERLINK("http://www.ncbi.nlm.nih.gov/gene/?term=RFX7","NCBI")</f>
        <v>NCBI</v>
      </c>
      <c r="F11104">
        <v>0.27</v>
      </c>
      <c r="G11104">
        <v>0.41</v>
      </c>
      <c r="H11104" s="1" t="str">
        <f>HYPERLINK("http://www.weizmann.ac.il/complex/compphys/software/geview/data/figures/218430_s_at.png","Figure")</f>
        <v>Figure</v>
      </c>
      <c r="I11104">
        <v>1</v>
      </c>
      <c r="J11104">
        <v>1</v>
      </c>
      <c r="K11104">
        <v>0.91500000000000004</v>
      </c>
      <c r="L11104">
        <v>0.34</v>
      </c>
      <c r="M11104">
        <v>0.91500000000000004</v>
      </c>
      <c r="N11104">
        <v>0.39</v>
      </c>
    </row>
    <row r="11105" spans="1:14" x14ac:dyDescent="0.25">
      <c r="A11105" t="s">
        <v>19260</v>
      </c>
      <c r="B11105" t="s">
        <v>19261</v>
      </c>
      <c r="C11105" s="1" t="str">
        <f>HYPERLINK("http://www.genecards.org/cgi-bin/carddisp.pl?gene=AAMP","GeneCards")</f>
        <v>GeneCards</v>
      </c>
      <c r="D11105" s="1" t="str">
        <f>HYPERLINK("http://genome-euro.ucsc.edu/cgi-bin/hgTracks?position=201511_at","UCSC")</f>
        <v>UCSC</v>
      </c>
      <c r="E11105" s="1" t="str">
        <f>HYPERLINK("http://www.ncbi.nlm.nih.gov/gene/?term=AAMP","NCBI")</f>
        <v>NCBI</v>
      </c>
      <c r="F11105">
        <v>0.27</v>
      </c>
      <c r="G11105">
        <v>0.41</v>
      </c>
      <c r="H11105" s="1" t="str">
        <f>HYPERLINK("http://www.weizmann.ac.il/complex/compphys/software/geview/data/figures/201511_at.png","Figure")</f>
        <v>Figure</v>
      </c>
      <c r="I11105">
        <v>1.1200000000000001</v>
      </c>
      <c r="J11105">
        <v>0.24</v>
      </c>
      <c r="K11105">
        <v>1.05</v>
      </c>
      <c r="L11105">
        <v>0.69</v>
      </c>
      <c r="M11105">
        <v>0.93799999999999994</v>
      </c>
      <c r="N11105">
        <v>0.56999999999999995</v>
      </c>
    </row>
    <row r="11106" spans="1:14" x14ac:dyDescent="0.25">
      <c r="A11106" t="s">
        <v>19262</v>
      </c>
      <c r="B11106" t="s">
        <v>19263</v>
      </c>
      <c r="C11106" s="1" t="str">
        <f>HYPERLINK("http://www.genecards.org/cgi-bin/carddisp.pl?gene=CHD9","GeneCards")</f>
        <v>GeneCards</v>
      </c>
      <c r="D11106" s="1" t="str">
        <f>HYPERLINK("http://genome-euro.ucsc.edu/cgi-bin/hgTracks?position=220586_at","UCSC")</f>
        <v>UCSC</v>
      </c>
      <c r="E11106" s="1" t="str">
        <f>HYPERLINK("http://www.ncbi.nlm.nih.gov/gene/?term=CHD9","NCBI")</f>
        <v>NCBI</v>
      </c>
      <c r="F11106">
        <v>0.27</v>
      </c>
      <c r="G11106">
        <v>0.41</v>
      </c>
      <c r="H11106" s="1" t="str">
        <f>HYPERLINK("http://www.weizmann.ac.il/complex/compphys/software/geview/data/figures/220586_at.png","Figure")</f>
        <v>Figure</v>
      </c>
      <c r="I11106">
        <v>0.84099999999999997</v>
      </c>
      <c r="J11106">
        <v>0.37</v>
      </c>
      <c r="K11106">
        <v>0.84699999999999998</v>
      </c>
      <c r="L11106">
        <v>0.3</v>
      </c>
      <c r="M11106">
        <v>1.01</v>
      </c>
      <c r="N11106">
        <v>1</v>
      </c>
    </row>
    <row r="11107" spans="1:14" x14ac:dyDescent="0.25">
      <c r="A11107" t="s">
        <v>19264</v>
      </c>
      <c r="B11107" t="s">
        <v>19265</v>
      </c>
      <c r="C11107" s="1" t="str">
        <f>HYPERLINK("http://www.genecards.org/cgi-bin/carddisp.pl?gene=EMID1","GeneCards")</f>
        <v>GeneCards</v>
      </c>
      <c r="D11107" s="1" t="str">
        <f>HYPERLINK("http://genome-euro.ucsc.edu/cgi-bin/hgTracks?position=213779_at","UCSC")</f>
        <v>UCSC</v>
      </c>
      <c r="E11107" s="1" t="str">
        <f>HYPERLINK("http://www.ncbi.nlm.nih.gov/gene/?term=EMID1","NCBI")</f>
        <v>NCBI</v>
      </c>
      <c r="F11107">
        <v>0.27</v>
      </c>
      <c r="G11107">
        <v>0.41</v>
      </c>
      <c r="H11107" s="1" t="str">
        <f>HYPERLINK("http://www.weizmann.ac.il/complex/compphys/software/geview/data/figures/213779_at.png","Figure")</f>
        <v>Figure</v>
      </c>
      <c r="I11107">
        <v>1.19</v>
      </c>
      <c r="J11107">
        <v>0.28000000000000003</v>
      </c>
      <c r="K11107">
        <v>1.1299999999999999</v>
      </c>
      <c r="L11107">
        <v>0.43</v>
      </c>
      <c r="M11107">
        <v>0.94899999999999995</v>
      </c>
      <c r="N11107">
        <v>0.86</v>
      </c>
    </row>
    <row r="11108" spans="1:14" x14ac:dyDescent="0.25">
      <c r="A11108" t="s">
        <v>19266</v>
      </c>
      <c r="B11108" t="s">
        <v>19267</v>
      </c>
      <c r="C11108" s="1" t="str">
        <f>HYPERLINK("http://www.genecards.org/cgi-bin/carddisp.pl?gene=TNFRSF8","GeneCards")</f>
        <v>GeneCards</v>
      </c>
      <c r="D11108" s="1" t="str">
        <f>HYPERLINK("http://genome-euro.ucsc.edu/cgi-bin/hgTracks?position=206729_at","UCSC")</f>
        <v>UCSC</v>
      </c>
      <c r="E11108" s="1" t="str">
        <f>HYPERLINK("http://www.ncbi.nlm.nih.gov/gene/?term=TNFRSF8","NCBI")</f>
        <v>NCBI</v>
      </c>
      <c r="F11108">
        <v>0.27</v>
      </c>
      <c r="G11108">
        <v>0.41</v>
      </c>
      <c r="H11108" s="1" t="str">
        <f>HYPERLINK("http://www.weizmann.ac.il/complex/compphys/software/geview/data/figures/206729_at.png","Figure")</f>
        <v>Figure</v>
      </c>
      <c r="I11108">
        <v>1.1100000000000001</v>
      </c>
      <c r="J11108">
        <v>0.27</v>
      </c>
      <c r="K11108">
        <v>1.08</v>
      </c>
      <c r="L11108">
        <v>0.43</v>
      </c>
      <c r="M11108">
        <v>0.96799999999999997</v>
      </c>
      <c r="N11108">
        <v>0.86</v>
      </c>
    </row>
    <row r="11109" spans="1:14" x14ac:dyDescent="0.25">
      <c r="A11109" t="s">
        <v>19268</v>
      </c>
      <c r="B11109" t="s">
        <v>19269</v>
      </c>
      <c r="C11109" s="1" t="str">
        <f>HYPERLINK("http://www.genecards.org/cgi-bin/carddisp.pl?gene=ATG10","GeneCards")</f>
        <v>GeneCards</v>
      </c>
      <c r="D11109" s="1" t="str">
        <f>HYPERLINK("http://genome-euro.ucsc.edu/cgi-bin/hgTracks?position=207774_at","UCSC")</f>
        <v>UCSC</v>
      </c>
      <c r="E11109" s="1" t="str">
        <f>HYPERLINK("http://www.ncbi.nlm.nih.gov/gene/?term=ATG10","NCBI")</f>
        <v>NCBI</v>
      </c>
      <c r="F11109">
        <v>0.27</v>
      </c>
      <c r="G11109">
        <v>0.41</v>
      </c>
      <c r="H11109" s="1" t="str">
        <f>HYPERLINK("http://www.weizmann.ac.il/complex/compphys/software/geview/data/figures/207774_at.png","Figure")</f>
        <v>Figure</v>
      </c>
      <c r="I11109">
        <v>1.1000000000000001</v>
      </c>
      <c r="J11109">
        <v>0.34</v>
      </c>
      <c r="K11109">
        <v>1.0900000000000001</v>
      </c>
      <c r="L11109">
        <v>0.33</v>
      </c>
      <c r="M11109">
        <v>0.99</v>
      </c>
      <c r="N11109">
        <v>0.98</v>
      </c>
    </row>
    <row r="11110" spans="1:14" x14ac:dyDescent="0.25">
      <c r="A11110" t="s">
        <v>19270</v>
      </c>
      <c r="B11110" t="s">
        <v>15444</v>
      </c>
      <c r="C11110" s="1" t="str">
        <f>HYPERLINK("http://www.genecards.org/cgi-bin/carddisp.pl?gene=DMXL2","GeneCards")</f>
        <v>GeneCards</v>
      </c>
      <c r="D11110" s="1" t="str">
        <f>HYPERLINK("http://genome-euro.ucsc.edu/cgi-bin/hgTracks?position=215761_at","UCSC")</f>
        <v>UCSC</v>
      </c>
      <c r="E11110" s="1" t="str">
        <f>HYPERLINK("http://www.ncbi.nlm.nih.gov/gene/?term=DMXL2","NCBI")</f>
        <v>NCBI</v>
      </c>
      <c r="F11110">
        <v>0.27</v>
      </c>
      <c r="G11110">
        <v>0.41</v>
      </c>
      <c r="H11110" s="1" t="str">
        <f>HYPERLINK("http://www.weizmann.ac.il/complex/compphys/software/geview/data/figures/215761_at.png","Figure")</f>
        <v>Figure</v>
      </c>
      <c r="I11110">
        <v>1.17</v>
      </c>
      <c r="J11110">
        <v>0.28000000000000003</v>
      </c>
      <c r="K11110">
        <v>1.03</v>
      </c>
      <c r="L11110">
        <v>0.95</v>
      </c>
      <c r="M11110">
        <v>0.879</v>
      </c>
      <c r="N11110">
        <v>0.36</v>
      </c>
    </row>
    <row r="11111" spans="1:14" x14ac:dyDescent="0.25">
      <c r="A11111" t="s">
        <v>19271</v>
      </c>
      <c r="B11111" t="s">
        <v>19272</v>
      </c>
      <c r="C11111" s="1" t="str">
        <f>HYPERLINK("http://www.genecards.org/cgi-bin/carddisp.pl?gene=IGK@ /// IGKC /// IGKV3-20 /// IGKV3D-11 /// IGKV3D-15 /// LOC440871","GeneCards")</f>
        <v>GeneCards</v>
      </c>
      <c r="D11111" s="1" t="str">
        <f>HYPERLINK("http://genome-euro.ucsc.edu/cgi-bin/hgTracks?position=211643_x_at","UCSC")</f>
        <v>UCSC</v>
      </c>
      <c r="E11111" s="1" t="str">
        <f>HYPERLINK("http://www.ncbi.nlm.nih.gov/gene/?term=IGK@ /// IGKC /// IGKV3-20 /// IGKV3D-11 /// IGKV3D-15 /// LOC440871","NCBI")</f>
        <v>NCBI</v>
      </c>
      <c r="F11111">
        <v>0.27</v>
      </c>
      <c r="G11111">
        <v>0.42</v>
      </c>
      <c r="H11111" s="1" t="str">
        <f>HYPERLINK("http://www.weizmann.ac.il/complex/compphys/software/geview/data/figures/211643_x_at.png","Figure")</f>
        <v>Figure</v>
      </c>
      <c r="I11111">
        <v>1.04</v>
      </c>
      <c r="J11111">
        <v>0.89</v>
      </c>
      <c r="K11111">
        <v>0.92500000000000004</v>
      </c>
      <c r="L11111">
        <v>0.49</v>
      </c>
      <c r="M11111">
        <v>0.89300000000000002</v>
      </c>
      <c r="N11111">
        <v>0.28000000000000003</v>
      </c>
    </row>
    <row r="11112" spans="1:14" x14ac:dyDescent="0.25">
      <c r="A11112" t="s">
        <v>19273</v>
      </c>
      <c r="B11112" t="s">
        <v>19274</v>
      </c>
      <c r="C11112" s="1" t="str">
        <f>HYPERLINK("http://www.genecards.org/cgi-bin/carddisp.pl?gene=TRNAU1AP","GeneCards")</f>
        <v>GeneCards</v>
      </c>
      <c r="D11112" s="1" t="str">
        <f>HYPERLINK("http://genome-euro.ucsc.edu/cgi-bin/hgTracks?position=218977_s_at","UCSC")</f>
        <v>UCSC</v>
      </c>
      <c r="E11112" s="1" t="str">
        <f>HYPERLINK("http://www.ncbi.nlm.nih.gov/gene/?term=TRNAU1AP","NCBI")</f>
        <v>NCBI</v>
      </c>
      <c r="F11112">
        <v>0.27</v>
      </c>
      <c r="G11112">
        <v>0.42</v>
      </c>
      <c r="H11112" s="1" t="str">
        <f>HYPERLINK("http://www.weizmann.ac.il/complex/compphys/software/geview/data/figures/218977_s_at.png","Figure")</f>
        <v>Figure</v>
      </c>
      <c r="I11112">
        <v>1.1100000000000001</v>
      </c>
      <c r="J11112">
        <v>0.62</v>
      </c>
      <c r="K11112">
        <v>1.18</v>
      </c>
      <c r="L11112">
        <v>0.24</v>
      </c>
      <c r="M11112">
        <v>1.06</v>
      </c>
      <c r="N11112">
        <v>0.84</v>
      </c>
    </row>
    <row r="11113" spans="1:14" x14ac:dyDescent="0.25">
      <c r="A11113" t="s">
        <v>19275</v>
      </c>
      <c r="B11113" t="s">
        <v>7061</v>
      </c>
      <c r="C11113" s="1" t="str">
        <f>HYPERLINK("http://www.genecards.org/cgi-bin/carddisp.pl?gene=NUDT4 /// NUDT4P1","GeneCards")</f>
        <v>GeneCards</v>
      </c>
      <c r="D11113" s="1" t="str">
        <f>HYPERLINK("http://genome-euro.ucsc.edu/cgi-bin/hgTracks?position=212181_s_at","UCSC")</f>
        <v>UCSC</v>
      </c>
      <c r="E11113" s="1" t="str">
        <f>HYPERLINK("http://www.ncbi.nlm.nih.gov/gene/?term=NUDT4 /// NUDT4P1","NCBI")</f>
        <v>NCBI</v>
      </c>
      <c r="F11113">
        <v>0.27</v>
      </c>
      <c r="G11113">
        <v>0.42</v>
      </c>
      <c r="H11113" s="1" t="str">
        <f>HYPERLINK("http://www.weizmann.ac.il/complex/compphys/software/geview/data/figures/212181_s_at.png","Figure")</f>
        <v>Figure</v>
      </c>
      <c r="I11113">
        <v>0.95</v>
      </c>
      <c r="J11113">
        <v>0.9</v>
      </c>
      <c r="K11113">
        <v>0.84699999999999998</v>
      </c>
      <c r="L11113">
        <v>0.27</v>
      </c>
      <c r="M11113">
        <v>0.89200000000000002</v>
      </c>
      <c r="N11113">
        <v>0.55000000000000004</v>
      </c>
    </row>
    <row r="11114" spans="1:14" x14ac:dyDescent="0.25">
      <c r="A11114" t="s">
        <v>19276</v>
      </c>
      <c r="B11114" t="s">
        <v>19277</v>
      </c>
      <c r="C11114" s="1" t="str">
        <f>HYPERLINK("http://www.genecards.org/cgi-bin/carddisp.pl?gene=RHOA","GeneCards")</f>
        <v>GeneCards</v>
      </c>
      <c r="D11114" s="1" t="str">
        <f>HYPERLINK("http://genome-euro.ucsc.edu/cgi-bin/hgTracks?position=200059_s_at","UCSC")</f>
        <v>UCSC</v>
      </c>
      <c r="E11114" s="1" t="str">
        <f>HYPERLINK("http://www.ncbi.nlm.nih.gov/gene/?term=RHOA","NCBI")</f>
        <v>NCBI</v>
      </c>
      <c r="F11114">
        <v>0.27</v>
      </c>
      <c r="G11114">
        <v>0.42</v>
      </c>
      <c r="H11114" s="1" t="str">
        <f>HYPERLINK("http://www.weizmann.ac.il/complex/compphys/software/geview/data/figures/200059_s_at.png","Figure")</f>
        <v>Figure</v>
      </c>
      <c r="I11114">
        <v>1.07</v>
      </c>
      <c r="J11114">
        <v>0.93</v>
      </c>
      <c r="K11114">
        <v>1.29</v>
      </c>
      <c r="L11114">
        <v>0.27</v>
      </c>
      <c r="M11114">
        <v>1.2</v>
      </c>
      <c r="N11114">
        <v>0.52</v>
      </c>
    </row>
    <row r="11115" spans="1:14" x14ac:dyDescent="0.25">
      <c r="A11115" t="s">
        <v>19278</v>
      </c>
      <c r="B11115" t="s">
        <v>6707</v>
      </c>
      <c r="C11115" s="1" t="str">
        <f>HYPERLINK("http://www.genecards.org/cgi-bin/carddisp.pl?gene=SCD","GeneCards")</f>
        <v>GeneCards</v>
      </c>
      <c r="D11115" s="1" t="str">
        <f>HYPERLINK("http://genome-euro.ucsc.edu/cgi-bin/hgTracks?position=211708_s_at","UCSC")</f>
        <v>UCSC</v>
      </c>
      <c r="E11115" s="1" t="str">
        <f>HYPERLINK("http://www.ncbi.nlm.nih.gov/gene/?term=SCD","NCBI")</f>
        <v>NCBI</v>
      </c>
      <c r="F11115">
        <v>0.27</v>
      </c>
      <c r="G11115">
        <v>0.42</v>
      </c>
      <c r="H11115" s="1" t="str">
        <f>HYPERLINK("http://www.weizmann.ac.il/complex/compphys/software/geview/data/figures/211708_s_at.png","Figure")</f>
        <v>Figure</v>
      </c>
      <c r="I11115">
        <v>1.1000000000000001</v>
      </c>
      <c r="J11115">
        <v>0.32</v>
      </c>
      <c r="K11115">
        <v>1.01</v>
      </c>
      <c r="L11115">
        <v>0.99</v>
      </c>
      <c r="M11115">
        <v>0.91100000000000003</v>
      </c>
      <c r="N11115">
        <v>0.31</v>
      </c>
    </row>
    <row r="11116" spans="1:14" x14ac:dyDescent="0.25">
      <c r="A11116" t="s">
        <v>19279</v>
      </c>
      <c r="B11116" t="s">
        <v>7456</v>
      </c>
      <c r="C11116" s="1" t="str">
        <f>HYPERLINK("http://www.genecards.org/cgi-bin/carddisp.pl?gene=DDR1","GeneCards")</f>
        <v>GeneCards</v>
      </c>
      <c r="D11116" s="1" t="str">
        <f>HYPERLINK("http://genome-euro.ucsc.edu/cgi-bin/hgTracks?position=207169_x_at","UCSC")</f>
        <v>UCSC</v>
      </c>
      <c r="E11116" s="1" t="str">
        <f>HYPERLINK("http://www.ncbi.nlm.nih.gov/gene/?term=DDR1","NCBI")</f>
        <v>NCBI</v>
      </c>
      <c r="F11116">
        <v>0.27</v>
      </c>
      <c r="G11116">
        <v>0.42</v>
      </c>
      <c r="H11116" s="1" t="str">
        <f>HYPERLINK("http://www.weizmann.ac.il/complex/compphys/software/geview/data/figures/207169_x_at.png","Figure")</f>
        <v>Figure</v>
      </c>
      <c r="I11116">
        <v>1.27</v>
      </c>
      <c r="J11116">
        <v>0.31</v>
      </c>
      <c r="K11116">
        <v>1.02</v>
      </c>
      <c r="L11116">
        <v>0.99</v>
      </c>
      <c r="M11116">
        <v>0.79900000000000004</v>
      </c>
      <c r="N11116">
        <v>0.32</v>
      </c>
    </row>
    <row r="11117" spans="1:14" x14ac:dyDescent="0.25">
      <c r="A11117" t="s">
        <v>19280</v>
      </c>
      <c r="B11117" t="s">
        <v>19281</v>
      </c>
      <c r="C11117" s="1" t="str">
        <f>HYPERLINK("http://www.genecards.org/cgi-bin/carddisp.pl?gene=PRKACA","GeneCards")</f>
        <v>GeneCards</v>
      </c>
      <c r="D11117" s="1" t="str">
        <f>HYPERLINK("http://genome-euro.ucsc.edu/cgi-bin/hgTracks?position=202801_at","UCSC")</f>
        <v>UCSC</v>
      </c>
      <c r="E11117" s="1" t="str">
        <f>HYPERLINK("http://www.ncbi.nlm.nih.gov/gene/?term=PRKACA","NCBI")</f>
        <v>NCBI</v>
      </c>
      <c r="F11117">
        <v>0.27</v>
      </c>
      <c r="G11117">
        <v>0.42</v>
      </c>
      <c r="H11117" s="1" t="str">
        <f>HYPERLINK("http://www.weizmann.ac.il/complex/compphys/software/geview/data/figures/202801_at.png","Figure")</f>
        <v>Figure</v>
      </c>
      <c r="I11117">
        <v>1.01</v>
      </c>
      <c r="J11117">
        <v>0.98</v>
      </c>
      <c r="K11117">
        <v>0.91900000000000004</v>
      </c>
      <c r="L11117">
        <v>0.39</v>
      </c>
      <c r="M11117">
        <v>0.90700000000000003</v>
      </c>
      <c r="N11117">
        <v>0.34</v>
      </c>
    </row>
    <row r="11118" spans="1:14" x14ac:dyDescent="0.25">
      <c r="A11118" t="s">
        <v>19282</v>
      </c>
      <c r="B11118" t="s">
        <v>11084</v>
      </c>
      <c r="C11118" s="1" t="str">
        <f>HYPERLINK("http://www.genecards.org/cgi-bin/carddisp.pl?gene=TPP1","GeneCards")</f>
        <v>GeneCards</v>
      </c>
      <c r="D11118" s="1" t="str">
        <f>HYPERLINK("http://genome-euro.ucsc.edu/cgi-bin/hgTracks?position=200743_s_at","UCSC")</f>
        <v>UCSC</v>
      </c>
      <c r="E11118" s="1" t="str">
        <f>HYPERLINK("http://www.ncbi.nlm.nih.gov/gene/?term=TPP1","NCBI")</f>
        <v>NCBI</v>
      </c>
      <c r="F11118">
        <v>0.27</v>
      </c>
      <c r="G11118">
        <v>0.42</v>
      </c>
      <c r="H11118" s="1" t="str">
        <f>HYPERLINK("http://www.weizmann.ac.il/complex/compphys/software/geview/data/figures/200743_s_at.png","Figure")</f>
        <v>Figure</v>
      </c>
      <c r="I11118">
        <v>0.76600000000000001</v>
      </c>
      <c r="J11118">
        <v>0.28999999999999998</v>
      </c>
      <c r="K11118">
        <v>0.82199999999999995</v>
      </c>
      <c r="L11118">
        <v>0.4</v>
      </c>
      <c r="M11118">
        <v>1.07</v>
      </c>
      <c r="N11118">
        <v>0.89</v>
      </c>
    </row>
    <row r="11119" spans="1:14" x14ac:dyDescent="0.25">
      <c r="A11119" t="s">
        <v>19283</v>
      </c>
      <c r="B11119" t="s">
        <v>19284</v>
      </c>
      <c r="C11119" s="1" t="str">
        <f>HYPERLINK("http://www.genecards.org/cgi-bin/carddisp.pl?gene=PFDN5","GeneCards")</f>
        <v>GeneCards</v>
      </c>
      <c r="D11119" s="1" t="str">
        <f>HYPERLINK("http://genome-euro.ucsc.edu/cgi-bin/hgTracks?position=207132_x_at","UCSC")</f>
        <v>UCSC</v>
      </c>
      <c r="E11119" s="1" t="str">
        <f>HYPERLINK("http://www.ncbi.nlm.nih.gov/gene/?term=PFDN5","NCBI")</f>
        <v>NCBI</v>
      </c>
      <c r="F11119">
        <v>0.27</v>
      </c>
      <c r="G11119">
        <v>0.42</v>
      </c>
      <c r="H11119" s="1" t="str">
        <f>HYPERLINK("http://www.weizmann.ac.il/complex/compphys/software/geview/data/figures/207132_x_at.png","Figure")</f>
        <v>Figure</v>
      </c>
      <c r="I11119">
        <v>1.43</v>
      </c>
      <c r="J11119">
        <v>0.3</v>
      </c>
      <c r="K11119">
        <v>1.32</v>
      </c>
      <c r="L11119">
        <v>0.38</v>
      </c>
      <c r="M11119">
        <v>0.92300000000000004</v>
      </c>
      <c r="N11119">
        <v>0.93</v>
      </c>
    </row>
    <row r="11120" spans="1:14" x14ac:dyDescent="0.25">
      <c r="A11120" t="s">
        <v>19285</v>
      </c>
      <c r="B11120" t="s">
        <v>19286</v>
      </c>
      <c r="C11120" s="1" t="str">
        <f>HYPERLINK("http://www.genecards.org/cgi-bin/carddisp.pl?gene=LUZP2","GeneCards")</f>
        <v>GeneCards</v>
      </c>
      <c r="D11120" s="1" t="str">
        <f>HYPERLINK("http://genome-euro.ucsc.edu/cgi-bin/hgTracks?position=215323_at","UCSC")</f>
        <v>UCSC</v>
      </c>
      <c r="E11120" s="1" t="str">
        <f>HYPERLINK("http://www.ncbi.nlm.nih.gov/gene/?term=LUZP2","NCBI")</f>
        <v>NCBI</v>
      </c>
      <c r="F11120">
        <v>0.27</v>
      </c>
      <c r="G11120">
        <v>0.42</v>
      </c>
      <c r="H11120" s="1" t="str">
        <f>HYPERLINK("http://www.weizmann.ac.il/complex/compphys/software/geview/data/figures/215323_at.png","Figure")</f>
        <v>Figure</v>
      </c>
      <c r="I11120">
        <v>1.04</v>
      </c>
      <c r="J11120">
        <v>0.69</v>
      </c>
      <c r="K11120">
        <v>0.96799999999999997</v>
      </c>
      <c r="L11120">
        <v>0.68</v>
      </c>
      <c r="M11120">
        <v>0.93200000000000005</v>
      </c>
      <c r="N11120">
        <v>0.25</v>
      </c>
    </row>
    <row r="11121" spans="1:14" x14ac:dyDescent="0.25">
      <c r="A11121" t="s">
        <v>19287</v>
      </c>
      <c r="B11121" t="s">
        <v>13664</v>
      </c>
      <c r="C11121" s="1" t="str">
        <f>HYPERLINK("http://www.genecards.org/cgi-bin/carddisp.pl?gene=ELOVL1","GeneCards")</f>
        <v>GeneCards</v>
      </c>
      <c r="D11121" s="1" t="str">
        <f>HYPERLINK("http://genome-euro.ucsc.edu/cgi-bin/hgTracks?position=218028_at","UCSC")</f>
        <v>UCSC</v>
      </c>
      <c r="E11121" s="1" t="str">
        <f>HYPERLINK("http://www.ncbi.nlm.nih.gov/gene/?term=ELOVL1","NCBI")</f>
        <v>NCBI</v>
      </c>
      <c r="F11121">
        <v>0.27</v>
      </c>
      <c r="G11121">
        <v>0.42</v>
      </c>
      <c r="H11121" s="1" t="str">
        <f>HYPERLINK("http://www.weizmann.ac.il/complex/compphys/software/geview/data/figures/218028_at.png","Figure")</f>
        <v>Figure</v>
      </c>
      <c r="I11121">
        <v>0.98399999999999999</v>
      </c>
      <c r="J11121">
        <v>0.98</v>
      </c>
      <c r="K11121">
        <v>1.1200000000000001</v>
      </c>
      <c r="L11121">
        <v>0.39</v>
      </c>
      <c r="M11121">
        <v>1.1399999999999999</v>
      </c>
      <c r="N11121">
        <v>0.34</v>
      </c>
    </row>
    <row r="11122" spans="1:14" x14ac:dyDescent="0.25">
      <c r="A11122" t="s">
        <v>19288</v>
      </c>
      <c r="B11122" t="s">
        <v>19289</v>
      </c>
      <c r="C11122" s="1" t="str">
        <f>HYPERLINK("http://www.genecards.org/cgi-bin/carddisp.pl?gene=SMEK2","GeneCards")</f>
        <v>GeneCards</v>
      </c>
      <c r="D11122" s="1" t="str">
        <f>HYPERLINK("http://genome-euro.ucsc.edu/cgi-bin/hgTracks?position=222270_at","UCSC")</f>
        <v>UCSC</v>
      </c>
      <c r="E11122" s="1" t="str">
        <f>HYPERLINK("http://www.ncbi.nlm.nih.gov/gene/?term=SMEK2","NCBI")</f>
        <v>NCBI</v>
      </c>
      <c r="F11122">
        <v>0.27</v>
      </c>
      <c r="G11122">
        <v>0.42</v>
      </c>
      <c r="H11122" s="1" t="str">
        <f>HYPERLINK("http://www.weizmann.ac.il/complex/compphys/software/geview/data/figures/222270_at.png","Figure")</f>
        <v>Figure</v>
      </c>
      <c r="I11122">
        <v>1</v>
      </c>
      <c r="J11122">
        <v>1</v>
      </c>
      <c r="K11122">
        <v>0.97199999999999998</v>
      </c>
      <c r="L11122">
        <v>0.34</v>
      </c>
      <c r="M11122">
        <v>0.97199999999999998</v>
      </c>
      <c r="N11122">
        <v>0.39</v>
      </c>
    </row>
    <row r="11123" spans="1:14" x14ac:dyDescent="0.25">
      <c r="A11123" t="s">
        <v>19290</v>
      </c>
      <c r="B11123" t="s">
        <v>883</v>
      </c>
      <c r="C11123" s="1" t="str">
        <f>HYPERLINK("http://www.genecards.org/cgi-bin/carddisp.pl?gene=DHX9","GeneCards")</f>
        <v>GeneCards</v>
      </c>
      <c r="D11123" s="1" t="str">
        <f>HYPERLINK("http://genome-euro.ucsc.edu/cgi-bin/hgTracks?position=212107_s_at","UCSC")</f>
        <v>UCSC</v>
      </c>
      <c r="E11123" s="1" t="str">
        <f>HYPERLINK("http://www.ncbi.nlm.nih.gov/gene/?term=DHX9","NCBI")</f>
        <v>NCBI</v>
      </c>
      <c r="F11123">
        <v>0.27</v>
      </c>
      <c r="G11123">
        <v>0.42</v>
      </c>
      <c r="H11123" s="1" t="str">
        <f>HYPERLINK("http://www.weizmann.ac.il/complex/compphys/software/geview/data/figures/212107_s_at.png","Figure")</f>
        <v>Figure</v>
      </c>
      <c r="I11123">
        <v>1.64</v>
      </c>
      <c r="J11123">
        <v>0.25</v>
      </c>
      <c r="K11123">
        <v>1.19</v>
      </c>
      <c r="L11123">
        <v>0.78</v>
      </c>
      <c r="M11123">
        <v>0.72299999999999998</v>
      </c>
      <c r="N11123">
        <v>0.49</v>
      </c>
    </row>
    <row r="11124" spans="1:14" x14ac:dyDescent="0.25">
      <c r="A11124" t="s">
        <v>19291</v>
      </c>
      <c r="B11124" t="s">
        <v>1028</v>
      </c>
      <c r="C11124" s="1" t="str">
        <f>HYPERLINK("http://www.genecards.org/cgi-bin/carddisp.pl?gene=SLC7A4","GeneCards")</f>
        <v>GeneCards</v>
      </c>
      <c r="D11124" s="1" t="str">
        <f>HYPERLINK("http://genome-euro.ucsc.edu/cgi-bin/hgTracks?position=214406_s_at","UCSC")</f>
        <v>UCSC</v>
      </c>
      <c r="E11124" s="1" t="str">
        <f>HYPERLINK("http://www.ncbi.nlm.nih.gov/gene/?term=SLC7A4","NCBI")</f>
        <v>NCBI</v>
      </c>
      <c r="F11124">
        <v>0.27</v>
      </c>
      <c r="G11124">
        <v>0.42</v>
      </c>
      <c r="H11124" s="1" t="str">
        <f>HYPERLINK("http://www.weizmann.ac.il/complex/compphys/software/geview/data/figures/214406_s_at.png","Figure")</f>
        <v>Figure</v>
      </c>
      <c r="I11124">
        <v>1.1499999999999999</v>
      </c>
      <c r="J11124">
        <v>0.24</v>
      </c>
      <c r="K11124">
        <v>1.07</v>
      </c>
      <c r="L11124">
        <v>0.62</v>
      </c>
      <c r="M11124">
        <v>0.93100000000000005</v>
      </c>
      <c r="N11124">
        <v>0.64</v>
      </c>
    </row>
    <row r="11125" spans="1:14" x14ac:dyDescent="0.25">
      <c r="A11125" t="s">
        <v>19292</v>
      </c>
      <c r="B11125" t="s">
        <v>19293</v>
      </c>
      <c r="C11125" s="1" t="str">
        <f>HYPERLINK("http://www.genecards.org/cgi-bin/carddisp.pl?gene=UCP2","GeneCards")</f>
        <v>GeneCards</v>
      </c>
      <c r="D11125" s="1" t="str">
        <f>HYPERLINK("http://genome-euro.ucsc.edu/cgi-bin/hgTracks?position=208998_at","UCSC")</f>
        <v>UCSC</v>
      </c>
      <c r="E11125" s="1" t="str">
        <f>HYPERLINK("http://www.ncbi.nlm.nih.gov/gene/?term=UCP2","NCBI")</f>
        <v>NCBI</v>
      </c>
      <c r="F11125">
        <v>0.27</v>
      </c>
      <c r="G11125">
        <v>0.42</v>
      </c>
      <c r="H11125" s="1" t="str">
        <f>HYPERLINK("http://www.weizmann.ac.il/complex/compphys/software/geview/data/figures/208998_at.png","Figure")</f>
        <v>Figure</v>
      </c>
      <c r="I11125">
        <v>1.1299999999999999</v>
      </c>
      <c r="J11125">
        <v>0.93</v>
      </c>
      <c r="K11125">
        <v>1.59</v>
      </c>
      <c r="L11125">
        <v>0.28000000000000003</v>
      </c>
      <c r="M11125">
        <v>1.41</v>
      </c>
      <c r="N11125">
        <v>0.52</v>
      </c>
    </row>
    <row r="11126" spans="1:14" x14ac:dyDescent="0.25">
      <c r="A11126" t="s">
        <v>19294</v>
      </c>
      <c r="B11126" t="s">
        <v>19295</v>
      </c>
      <c r="C11126" s="1" t="str">
        <f>HYPERLINK("http://www.genecards.org/cgi-bin/carddisp.pl?gene=SLC9A8","GeneCards")</f>
        <v>GeneCards</v>
      </c>
      <c r="D11126" s="1" t="str">
        <f>HYPERLINK("http://genome-euro.ucsc.edu/cgi-bin/hgTracks?position=212947_at","UCSC")</f>
        <v>UCSC</v>
      </c>
      <c r="E11126" s="1" t="str">
        <f>HYPERLINK("http://www.ncbi.nlm.nih.gov/gene/?term=SLC9A8","NCBI")</f>
        <v>NCBI</v>
      </c>
      <c r="F11126">
        <v>0.27</v>
      </c>
      <c r="G11126">
        <v>0.42</v>
      </c>
      <c r="H11126" s="1" t="str">
        <f>HYPERLINK("http://www.weizmann.ac.il/complex/compphys/software/geview/data/figures/212947_at.png","Figure")</f>
        <v>Figure</v>
      </c>
      <c r="I11126">
        <v>1.08</v>
      </c>
      <c r="J11126">
        <v>0.86</v>
      </c>
      <c r="K11126">
        <v>0.86199999999999999</v>
      </c>
      <c r="L11126">
        <v>0.52</v>
      </c>
      <c r="M11126">
        <v>0.79500000000000004</v>
      </c>
      <c r="N11126">
        <v>0.28000000000000003</v>
      </c>
    </row>
    <row r="11127" spans="1:14" x14ac:dyDescent="0.25">
      <c r="A11127" t="s">
        <v>19296</v>
      </c>
      <c r="B11127" t="s">
        <v>19297</v>
      </c>
      <c r="C11127" s="1" t="str">
        <f>HYPERLINK("http://www.genecards.org/cgi-bin/carddisp.pl?gene=GTF2H2 /// GTF2H2B /// GTF2H2C /// GTF2H2D","GeneCards")</f>
        <v>GeneCards</v>
      </c>
      <c r="D11127" s="1" t="str">
        <f>HYPERLINK("http://genome-euro.ucsc.edu/cgi-bin/hgTracks?position=221540_x_at","UCSC")</f>
        <v>UCSC</v>
      </c>
      <c r="E11127" s="1" t="str">
        <f>HYPERLINK("http://www.ncbi.nlm.nih.gov/gene/?term=GTF2H2 /// GTF2H2B /// GTF2H2C /// GTF2H2D","NCBI")</f>
        <v>NCBI</v>
      </c>
      <c r="F11127">
        <v>0.27</v>
      </c>
      <c r="G11127">
        <v>0.42</v>
      </c>
      <c r="H11127" s="1" t="str">
        <f>HYPERLINK("http://www.weizmann.ac.il/complex/compphys/software/geview/data/figures/221540_x_at.png","Figure")</f>
        <v>Figure</v>
      </c>
      <c r="I11127">
        <v>0.67200000000000004</v>
      </c>
      <c r="J11127">
        <v>0.26</v>
      </c>
      <c r="K11127">
        <v>0.78400000000000003</v>
      </c>
      <c r="L11127">
        <v>0.49</v>
      </c>
      <c r="M11127">
        <v>1.17</v>
      </c>
      <c r="N11127">
        <v>0.78</v>
      </c>
    </row>
    <row r="11128" spans="1:14" x14ac:dyDescent="0.25">
      <c r="A11128" t="s">
        <v>19298</v>
      </c>
      <c r="B11128" t="s">
        <v>12027</v>
      </c>
      <c r="C11128" s="1" t="str">
        <f>HYPERLINK("http://www.genecards.org/cgi-bin/carddisp.pl?gene=CHRNA3","GeneCards")</f>
        <v>GeneCards</v>
      </c>
      <c r="D11128" s="1" t="str">
        <f>HYPERLINK("http://genome-euro.ucsc.edu/cgi-bin/hgTracks?position=210221_at","UCSC")</f>
        <v>UCSC</v>
      </c>
      <c r="E11128" s="1" t="str">
        <f>HYPERLINK("http://www.ncbi.nlm.nih.gov/gene/?term=CHRNA3","NCBI")</f>
        <v>NCBI</v>
      </c>
      <c r="F11128">
        <v>0.27</v>
      </c>
      <c r="G11128">
        <v>0.42</v>
      </c>
      <c r="H11128" s="1" t="str">
        <f>HYPERLINK("http://www.weizmann.ac.il/complex/compphys/software/geview/data/figures/210221_at.png","Figure")</f>
        <v>Figure</v>
      </c>
      <c r="I11128">
        <v>1.17</v>
      </c>
      <c r="J11128">
        <v>0.26</v>
      </c>
      <c r="K11128">
        <v>1.1000000000000001</v>
      </c>
      <c r="L11128">
        <v>0.48</v>
      </c>
      <c r="M11128">
        <v>0.94499999999999995</v>
      </c>
      <c r="N11128">
        <v>0.8</v>
      </c>
    </row>
    <row r="11129" spans="1:14" x14ac:dyDescent="0.25">
      <c r="A11129" t="s">
        <v>19299</v>
      </c>
      <c r="B11129" t="s">
        <v>15193</v>
      </c>
      <c r="C11129" s="1" t="str">
        <f>HYPERLINK("http://www.genecards.org/cgi-bin/carddisp.pl?gene=MST1","GeneCards")</f>
        <v>GeneCards</v>
      </c>
      <c r="D11129" s="1" t="str">
        <f>HYPERLINK("http://genome-euro.ucsc.edu/cgi-bin/hgTracks?position=205614_x_at","UCSC")</f>
        <v>UCSC</v>
      </c>
      <c r="E11129" s="1" t="str">
        <f>HYPERLINK("http://www.ncbi.nlm.nih.gov/gene/?term=MST1","NCBI")</f>
        <v>NCBI</v>
      </c>
      <c r="F11129">
        <v>0.27</v>
      </c>
      <c r="G11129">
        <v>0.42</v>
      </c>
      <c r="H11129" s="1" t="str">
        <f>HYPERLINK("http://www.weizmann.ac.il/complex/compphys/software/geview/data/figures/205614_x_at.png","Figure")</f>
        <v>Figure</v>
      </c>
      <c r="I11129">
        <v>1.1599999999999999</v>
      </c>
      <c r="J11129">
        <v>0.25</v>
      </c>
      <c r="K11129">
        <v>1.05</v>
      </c>
      <c r="L11129">
        <v>0.81</v>
      </c>
      <c r="M11129">
        <v>0.90500000000000003</v>
      </c>
      <c r="N11129">
        <v>0.47</v>
      </c>
    </row>
    <row r="11130" spans="1:14" x14ac:dyDescent="0.25">
      <c r="A11130" t="s">
        <v>19300</v>
      </c>
      <c r="B11130" t="s">
        <v>10297</v>
      </c>
      <c r="C11130" s="1" t="str">
        <f>HYPERLINK("http://www.genecards.org/cgi-bin/carddisp.pl?gene=CANX","GeneCards")</f>
        <v>GeneCards</v>
      </c>
      <c r="D11130" s="1" t="str">
        <f>HYPERLINK("http://genome-euro.ucsc.edu/cgi-bin/hgTracks?position=208852_s_at","UCSC")</f>
        <v>UCSC</v>
      </c>
      <c r="E11130" s="1" t="str">
        <f>HYPERLINK("http://www.ncbi.nlm.nih.gov/gene/?term=CANX","NCBI")</f>
        <v>NCBI</v>
      </c>
      <c r="F11130">
        <v>0.27</v>
      </c>
      <c r="G11130">
        <v>0.42</v>
      </c>
      <c r="H11130" s="1" t="str">
        <f>HYPERLINK("http://www.weizmann.ac.il/complex/compphys/software/geview/data/figures/208852_s_at.png","Figure")</f>
        <v>Figure</v>
      </c>
      <c r="I11130">
        <v>0.82899999999999996</v>
      </c>
      <c r="J11130">
        <v>0.67</v>
      </c>
      <c r="K11130">
        <v>1.1599999999999999</v>
      </c>
      <c r="L11130">
        <v>0.71</v>
      </c>
      <c r="M11130">
        <v>1.4</v>
      </c>
      <c r="N11130">
        <v>0.25</v>
      </c>
    </row>
    <row r="11131" spans="1:14" x14ac:dyDescent="0.25">
      <c r="A11131" t="s">
        <v>19301</v>
      </c>
      <c r="B11131" t="s">
        <v>14961</v>
      </c>
      <c r="C11131" s="1" t="str">
        <f>HYPERLINK("http://www.genecards.org/cgi-bin/carddisp.pl?gene=ADCY1","GeneCards")</f>
        <v>GeneCards</v>
      </c>
      <c r="D11131" s="1" t="str">
        <f>HYPERLINK("http://genome-euro.ucsc.edu/cgi-bin/hgTracks?position=215340_at","UCSC")</f>
        <v>UCSC</v>
      </c>
      <c r="E11131" s="1" t="str">
        <f>HYPERLINK("http://www.ncbi.nlm.nih.gov/gene/?term=ADCY1","NCBI")</f>
        <v>NCBI</v>
      </c>
      <c r="F11131">
        <v>0.27</v>
      </c>
      <c r="G11131">
        <v>0.42</v>
      </c>
      <c r="H11131" s="1" t="str">
        <f>HYPERLINK("http://www.weizmann.ac.il/complex/compphys/software/geview/data/figures/215340_at.png","Figure")</f>
        <v>Figure</v>
      </c>
      <c r="I11131">
        <v>1.1299999999999999</v>
      </c>
      <c r="J11131">
        <v>0.28999999999999998</v>
      </c>
      <c r="K11131">
        <v>1.0900000000000001</v>
      </c>
      <c r="L11131">
        <v>0.41</v>
      </c>
      <c r="M11131">
        <v>0.96899999999999997</v>
      </c>
      <c r="N11131">
        <v>0.89</v>
      </c>
    </row>
    <row r="11132" spans="1:14" x14ac:dyDescent="0.25">
      <c r="A11132" t="s">
        <v>19302</v>
      </c>
      <c r="B11132" t="s">
        <v>6136</v>
      </c>
      <c r="C11132" s="1" t="str">
        <f>HYPERLINK("http://www.genecards.org/cgi-bin/carddisp.pl?gene=CYB561","GeneCards")</f>
        <v>GeneCards</v>
      </c>
      <c r="D11132" s="1" t="str">
        <f>HYPERLINK("http://genome-euro.ucsc.edu/cgi-bin/hgTracks?position=217200_x_at","UCSC")</f>
        <v>UCSC</v>
      </c>
      <c r="E11132" s="1" t="str">
        <f>HYPERLINK("http://www.ncbi.nlm.nih.gov/gene/?term=CYB561","NCBI")</f>
        <v>NCBI</v>
      </c>
      <c r="F11132">
        <v>0.27</v>
      </c>
      <c r="G11132">
        <v>0.42</v>
      </c>
      <c r="H11132" s="1" t="str">
        <f>HYPERLINK("http://www.weizmann.ac.il/complex/compphys/software/geview/data/figures/217200_x_at.png","Figure")</f>
        <v>Figure</v>
      </c>
      <c r="I11132">
        <v>0.96099999999999997</v>
      </c>
      <c r="J11132">
        <v>0.79</v>
      </c>
      <c r="K11132">
        <v>0.91600000000000004</v>
      </c>
      <c r="L11132">
        <v>0.25</v>
      </c>
      <c r="M11132">
        <v>0.95299999999999996</v>
      </c>
      <c r="N11132">
        <v>0.67</v>
      </c>
    </row>
    <row r="11133" spans="1:14" x14ac:dyDescent="0.25">
      <c r="A11133" t="s">
        <v>19303</v>
      </c>
      <c r="B11133" t="s">
        <v>3656</v>
      </c>
      <c r="C11133" s="1" t="str">
        <f>HYPERLINK("http://www.genecards.org/cgi-bin/carddisp.pl?gene=RAP2A","GeneCards")</f>
        <v>GeneCards</v>
      </c>
      <c r="D11133" s="1" t="str">
        <f>HYPERLINK("http://genome-euro.ucsc.edu/cgi-bin/hgTracks?position=214103_s_at","UCSC")</f>
        <v>UCSC</v>
      </c>
      <c r="E11133" s="1" t="str">
        <f>HYPERLINK("http://www.ncbi.nlm.nih.gov/gene/?term=RAP2A","NCBI")</f>
        <v>NCBI</v>
      </c>
      <c r="F11133">
        <v>0.27</v>
      </c>
      <c r="G11133">
        <v>0.42</v>
      </c>
      <c r="H11133" s="1" t="str">
        <f>HYPERLINK("http://www.weizmann.ac.il/complex/compphys/software/geview/data/figures/214103_s_at.png","Figure")</f>
        <v>Figure</v>
      </c>
      <c r="I11133">
        <v>1.1200000000000001</v>
      </c>
      <c r="J11133">
        <v>0.24</v>
      </c>
      <c r="K11133">
        <v>1.05</v>
      </c>
      <c r="L11133">
        <v>0.66</v>
      </c>
      <c r="M11133">
        <v>0.94199999999999995</v>
      </c>
      <c r="N11133">
        <v>0.6</v>
      </c>
    </row>
    <row r="11134" spans="1:14" x14ac:dyDescent="0.25">
      <c r="A11134" t="s">
        <v>19304</v>
      </c>
      <c r="B11134" t="s">
        <v>19305</v>
      </c>
      <c r="C11134" s="1" t="str">
        <f>HYPERLINK("http://www.genecards.org/cgi-bin/carddisp.pl?gene=OR10J1","GeneCards")</f>
        <v>GeneCards</v>
      </c>
      <c r="D11134" s="1" t="str">
        <f>HYPERLINK("http://genome-euro.ucsc.edu/cgi-bin/hgTracks?position=221346_at","UCSC")</f>
        <v>UCSC</v>
      </c>
      <c r="E11134" s="1" t="str">
        <f>HYPERLINK("http://www.ncbi.nlm.nih.gov/gene/?term=OR10J1","NCBI")</f>
        <v>NCBI</v>
      </c>
      <c r="F11134">
        <v>0.27</v>
      </c>
      <c r="G11134">
        <v>0.42</v>
      </c>
      <c r="H11134" s="1" t="str">
        <f>HYPERLINK("http://www.weizmann.ac.il/complex/compphys/software/geview/data/figures/221346_at.png","Figure")</f>
        <v>Figure</v>
      </c>
      <c r="I11134">
        <v>1.18</v>
      </c>
      <c r="J11134">
        <v>0.26</v>
      </c>
      <c r="K11134">
        <v>1.05</v>
      </c>
      <c r="L11134">
        <v>0.86</v>
      </c>
      <c r="M11134">
        <v>0.88500000000000001</v>
      </c>
      <c r="N11134">
        <v>0.43</v>
      </c>
    </row>
    <row r="11135" spans="1:14" x14ac:dyDescent="0.25">
      <c r="A11135" t="s">
        <v>19306</v>
      </c>
      <c r="B11135" t="s">
        <v>19307</v>
      </c>
      <c r="C11135" s="1" t="str">
        <f>HYPERLINK("http://www.genecards.org/cgi-bin/carddisp.pl?gene=HCRTR2","GeneCards")</f>
        <v>GeneCards</v>
      </c>
      <c r="D11135" s="1" t="str">
        <f>HYPERLINK("http://genome-euro.ucsc.edu/cgi-bin/hgTracks?position=207393_at","UCSC")</f>
        <v>UCSC</v>
      </c>
      <c r="E11135" s="1" t="str">
        <f>HYPERLINK("http://www.ncbi.nlm.nih.gov/gene/?term=HCRTR2","NCBI")</f>
        <v>NCBI</v>
      </c>
      <c r="F11135">
        <v>0.27</v>
      </c>
      <c r="G11135">
        <v>0.42</v>
      </c>
      <c r="H11135" s="1" t="str">
        <f>HYPERLINK("http://www.weizmann.ac.il/complex/compphys/software/geview/data/figures/207393_at.png","Figure")</f>
        <v>Figure</v>
      </c>
      <c r="I11135">
        <v>0.97799999999999998</v>
      </c>
      <c r="J11135">
        <v>0.31</v>
      </c>
      <c r="K11135">
        <v>0.998</v>
      </c>
      <c r="L11135">
        <v>0.99</v>
      </c>
      <c r="M11135">
        <v>1.02</v>
      </c>
      <c r="N11135">
        <v>0.33</v>
      </c>
    </row>
    <row r="11136" spans="1:14" x14ac:dyDescent="0.25">
      <c r="A11136" t="s">
        <v>19308</v>
      </c>
      <c r="B11136" t="s">
        <v>9835</v>
      </c>
      <c r="C11136" s="1" t="str">
        <f>HYPERLINK("http://www.genecards.org/cgi-bin/carddisp.pl?gene=ZFX","GeneCards")</f>
        <v>GeneCards</v>
      </c>
      <c r="D11136" s="1" t="str">
        <f>HYPERLINK("http://genome-euro.ucsc.edu/cgi-bin/hgTracks?position=217176_s_at","UCSC")</f>
        <v>UCSC</v>
      </c>
      <c r="E11136" s="1" t="str">
        <f>HYPERLINK("http://www.ncbi.nlm.nih.gov/gene/?term=ZFX","NCBI")</f>
        <v>NCBI</v>
      </c>
      <c r="F11136">
        <v>0.27</v>
      </c>
      <c r="G11136">
        <v>0.42</v>
      </c>
      <c r="H11136" s="1" t="str">
        <f>HYPERLINK("http://www.weizmann.ac.il/complex/compphys/software/geview/data/figures/217176_s_at.png","Figure")</f>
        <v>Figure</v>
      </c>
      <c r="I11136">
        <v>0.874</v>
      </c>
      <c r="J11136">
        <v>0.31</v>
      </c>
      <c r="K11136">
        <v>0.98799999999999999</v>
      </c>
      <c r="L11136">
        <v>0.99</v>
      </c>
      <c r="M11136">
        <v>1.1299999999999999</v>
      </c>
      <c r="N11136">
        <v>0.33</v>
      </c>
    </row>
    <row r="11137" spans="1:14" x14ac:dyDescent="0.25">
      <c r="A11137" t="s">
        <v>19309</v>
      </c>
      <c r="B11137" t="s">
        <v>17436</v>
      </c>
      <c r="C11137" s="1" t="str">
        <f>HYPERLINK("http://www.genecards.org/cgi-bin/carddisp.pl?gene=TCF12","GeneCards")</f>
        <v>GeneCards</v>
      </c>
      <c r="D11137" s="1" t="str">
        <f>HYPERLINK("http://genome-euro.ucsc.edu/cgi-bin/hgTracks?position=215611_at","UCSC")</f>
        <v>UCSC</v>
      </c>
      <c r="E11137" s="1" t="str">
        <f>HYPERLINK("http://www.ncbi.nlm.nih.gov/gene/?term=TCF12","NCBI")</f>
        <v>NCBI</v>
      </c>
      <c r="F11137">
        <v>0.27</v>
      </c>
      <c r="G11137">
        <v>0.42</v>
      </c>
      <c r="H11137" s="1" t="str">
        <f>HYPERLINK("http://www.weizmann.ac.il/complex/compphys/software/geview/data/figures/215611_at.png","Figure")</f>
        <v>Figure</v>
      </c>
      <c r="I11137">
        <v>1.1299999999999999</v>
      </c>
      <c r="J11137">
        <v>0.77</v>
      </c>
      <c r="K11137">
        <v>0.85699999999999998</v>
      </c>
      <c r="L11137">
        <v>0.6</v>
      </c>
      <c r="M11137">
        <v>0.75600000000000001</v>
      </c>
      <c r="N11137">
        <v>0.26</v>
      </c>
    </row>
    <row r="11138" spans="1:14" x14ac:dyDescent="0.25">
      <c r="A11138" t="s">
        <v>19310</v>
      </c>
      <c r="B11138" t="s">
        <v>19311</v>
      </c>
      <c r="C11138" s="1" t="str">
        <f>HYPERLINK("http://www.genecards.org/cgi-bin/carddisp.pl?gene=ATG5","GeneCards")</f>
        <v>GeneCards</v>
      </c>
      <c r="D11138" s="1" t="str">
        <f>HYPERLINK("http://genome-euro.ucsc.edu/cgi-bin/hgTracks?position=202512_s_at","UCSC")</f>
        <v>UCSC</v>
      </c>
      <c r="E11138" s="1" t="str">
        <f>HYPERLINK("http://www.ncbi.nlm.nih.gov/gene/?term=ATG5","NCBI")</f>
        <v>NCBI</v>
      </c>
      <c r="F11138">
        <v>0.27</v>
      </c>
      <c r="G11138">
        <v>0.42</v>
      </c>
      <c r="H11138" s="1" t="str">
        <f>HYPERLINK("http://www.weizmann.ac.il/complex/compphys/software/geview/data/figures/202512_s_at.png","Figure")</f>
        <v>Figure</v>
      </c>
      <c r="I11138">
        <v>0.89300000000000002</v>
      </c>
      <c r="J11138">
        <v>0.55000000000000004</v>
      </c>
      <c r="K11138">
        <v>0.85799999999999998</v>
      </c>
      <c r="L11138">
        <v>0.25</v>
      </c>
      <c r="M11138">
        <v>0.96</v>
      </c>
      <c r="N11138">
        <v>0.91</v>
      </c>
    </row>
    <row r="11139" spans="1:14" x14ac:dyDescent="0.25">
      <c r="A11139" t="s">
        <v>19312</v>
      </c>
      <c r="B11139" t="s">
        <v>19313</v>
      </c>
      <c r="C11139" s="1" t="str">
        <f>HYPERLINK("http://www.genecards.org/cgi-bin/carddisp.pl?gene=CELA3A","GeneCards")</f>
        <v>GeneCards</v>
      </c>
      <c r="D11139" s="1" t="str">
        <f>HYPERLINK("http://genome-euro.ucsc.edu/cgi-bin/hgTracks?position=210080_x_at","UCSC")</f>
        <v>UCSC</v>
      </c>
      <c r="E11139" s="1" t="str">
        <f>HYPERLINK("http://www.ncbi.nlm.nih.gov/gene/?term=CELA3A","NCBI")</f>
        <v>NCBI</v>
      </c>
      <c r="F11139">
        <v>0.27</v>
      </c>
      <c r="G11139">
        <v>0.42</v>
      </c>
      <c r="H11139" s="1" t="str">
        <f>HYPERLINK("http://www.weizmann.ac.il/complex/compphys/software/geview/data/figures/210080_x_at.png","Figure")</f>
        <v>Figure</v>
      </c>
      <c r="I11139">
        <v>0.98199999999999998</v>
      </c>
      <c r="J11139">
        <v>0.41</v>
      </c>
      <c r="K11139">
        <v>1</v>
      </c>
      <c r="L11139">
        <v>0.97</v>
      </c>
      <c r="M11139">
        <v>1.02</v>
      </c>
      <c r="N11139">
        <v>0.27</v>
      </c>
    </row>
    <row r="11140" spans="1:14" x14ac:dyDescent="0.25">
      <c r="A11140" t="s">
        <v>19314</v>
      </c>
      <c r="B11140" t="s">
        <v>17530</v>
      </c>
      <c r="C11140" s="1" t="str">
        <f>HYPERLINK("http://www.genecards.org/cgi-bin/carddisp.pl?gene=TSR1","GeneCards")</f>
        <v>GeneCards</v>
      </c>
      <c r="D11140" s="1" t="str">
        <f>HYPERLINK("http://genome-euro.ucsc.edu/cgi-bin/hgTracks?position=218156_s_at","UCSC")</f>
        <v>UCSC</v>
      </c>
      <c r="E11140" s="1" t="str">
        <f>HYPERLINK("http://www.ncbi.nlm.nih.gov/gene/?term=TSR1","NCBI")</f>
        <v>NCBI</v>
      </c>
      <c r="F11140">
        <v>0.27</v>
      </c>
      <c r="G11140">
        <v>0.42</v>
      </c>
      <c r="H11140" s="1" t="str">
        <f>HYPERLINK("http://www.weizmann.ac.il/complex/compphys/software/geview/data/figures/218156_s_at.png","Figure")</f>
        <v>Figure</v>
      </c>
      <c r="I11140">
        <v>0.93899999999999995</v>
      </c>
      <c r="J11140">
        <v>0.41</v>
      </c>
      <c r="K11140">
        <v>1.01</v>
      </c>
      <c r="L11140">
        <v>0.97</v>
      </c>
      <c r="M11140">
        <v>1.08</v>
      </c>
      <c r="N11140">
        <v>0.27</v>
      </c>
    </row>
    <row r="11141" spans="1:14" x14ac:dyDescent="0.25">
      <c r="A11141" t="s">
        <v>19315</v>
      </c>
      <c r="B11141" t="s">
        <v>11400</v>
      </c>
      <c r="C11141" s="1" t="str">
        <f>HYPERLINK("http://www.genecards.org/cgi-bin/carddisp.pl?gene=CYP2D6","GeneCards")</f>
        <v>GeneCards</v>
      </c>
      <c r="D11141" s="1" t="str">
        <f>HYPERLINK("http://genome-euro.ucsc.edu/cgi-bin/hgTracks?position=217468_at","UCSC")</f>
        <v>UCSC</v>
      </c>
      <c r="E11141" s="1" t="str">
        <f>HYPERLINK("http://www.ncbi.nlm.nih.gov/gene/?term=CYP2D6","NCBI")</f>
        <v>NCBI</v>
      </c>
      <c r="F11141">
        <v>0.27</v>
      </c>
      <c r="G11141">
        <v>0.42</v>
      </c>
      <c r="H11141" s="1" t="str">
        <f>HYPERLINK("http://www.weizmann.ac.il/complex/compphys/software/geview/data/figures/217468_at.png","Figure")</f>
        <v>Figure</v>
      </c>
      <c r="I11141">
        <v>1.1000000000000001</v>
      </c>
      <c r="J11141">
        <v>0.64</v>
      </c>
      <c r="K11141">
        <v>1.17</v>
      </c>
      <c r="L11141">
        <v>0.24</v>
      </c>
      <c r="M11141">
        <v>1.06</v>
      </c>
      <c r="N11141">
        <v>0.82</v>
      </c>
    </row>
    <row r="11142" spans="1:14" x14ac:dyDescent="0.25">
      <c r="A11142" t="s">
        <v>19316</v>
      </c>
      <c r="B11142" t="s">
        <v>19317</v>
      </c>
      <c r="C11142" s="1" t="str">
        <f>HYPERLINK("http://www.genecards.org/cgi-bin/carddisp.pl?gene=PTMS","GeneCards")</f>
        <v>GeneCards</v>
      </c>
      <c r="D11142" s="1" t="str">
        <f>HYPERLINK("http://genome-euro.ucsc.edu/cgi-bin/hgTracks?position=218045_x_at","UCSC")</f>
        <v>UCSC</v>
      </c>
      <c r="E11142" s="1" t="str">
        <f>HYPERLINK("http://www.ncbi.nlm.nih.gov/gene/?term=PTMS","NCBI")</f>
        <v>NCBI</v>
      </c>
      <c r="F11142">
        <v>0.27</v>
      </c>
      <c r="G11142">
        <v>0.42</v>
      </c>
      <c r="H11142" s="1" t="str">
        <f>HYPERLINK("http://www.weizmann.ac.il/complex/compphys/software/geview/data/figures/218045_x_at.png","Figure")</f>
        <v>Figure</v>
      </c>
      <c r="I11142">
        <v>1.06</v>
      </c>
      <c r="J11142">
        <v>0.25</v>
      </c>
      <c r="K11142">
        <v>1.04</v>
      </c>
      <c r="L11142">
        <v>0.53</v>
      </c>
      <c r="M11142">
        <v>0.97499999999999998</v>
      </c>
      <c r="N11142">
        <v>0.74</v>
      </c>
    </row>
    <row r="11143" spans="1:14" x14ac:dyDescent="0.25">
      <c r="A11143" t="s">
        <v>19318</v>
      </c>
      <c r="B11143" t="s">
        <v>19319</v>
      </c>
      <c r="C11143" s="1" t="str">
        <f>HYPERLINK("http://www.genecards.org/cgi-bin/carddisp.pl?gene=CASP7","GeneCards")</f>
        <v>GeneCards</v>
      </c>
      <c r="D11143" s="1" t="str">
        <f>HYPERLINK("http://genome-euro.ucsc.edu/cgi-bin/hgTracks?position=207181_s_at","UCSC")</f>
        <v>UCSC</v>
      </c>
      <c r="E11143" s="1" t="str">
        <f>HYPERLINK("http://www.ncbi.nlm.nih.gov/gene/?term=CASP7","NCBI")</f>
        <v>NCBI</v>
      </c>
      <c r="F11143">
        <v>0.27</v>
      </c>
      <c r="G11143">
        <v>0.42</v>
      </c>
      <c r="H11143" s="1" t="str">
        <f>HYPERLINK("http://www.weizmann.ac.il/complex/compphys/software/geview/data/figures/207181_s_at.png","Figure")</f>
        <v>Figure</v>
      </c>
      <c r="I11143">
        <v>0.623</v>
      </c>
      <c r="J11143">
        <v>0.35</v>
      </c>
      <c r="K11143">
        <v>0.65100000000000002</v>
      </c>
      <c r="L11143">
        <v>0.32</v>
      </c>
      <c r="M11143">
        <v>1.05</v>
      </c>
      <c r="N11143">
        <v>0.99</v>
      </c>
    </row>
    <row r="11144" spans="1:14" x14ac:dyDescent="0.25">
      <c r="A11144" t="s">
        <v>19320</v>
      </c>
      <c r="B11144" t="s">
        <v>14275</v>
      </c>
      <c r="C11144" s="1" t="str">
        <f>HYPERLINK("http://www.genecards.org/cgi-bin/carddisp.pl?gene=SMCR7L","GeneCards")</f>
        <v>GeneCards</v>
      </c>
      <c r="D11144" s="1" t="str">
        <f>HYPERLINK("http://genome-euro.ucsc.edu/cgi-bin/hgTracks?position=221516_s_at","UCSC")</f>
        <v>UCSC</v>
      </c>
      <c r="E11144" s="1" t="str">
        <f>HYPERLINK("http://www.ncbi.nlm.nih.gov/gene/?term=SMCR7L","NCBI")</f>
        <v>NCBI</v>
      </c>
      <c r="F11144">
        <v>0.27</v>
      </c>
      <c r="G11144">
        <v>0.42</v>
      </c>
      <c r="H11144" s="1" t="str">
        <f>HYPERLINK("http://www.weizmann.ac.il/complex/compphys/software/geview/data/figures/221516_s_at.png","Figure")</f>
        <v>Figure</v>
      </c>
      <c r="I11144">
        <v>0.872</v>
      </c>
      <c r="J11144">
        <v>0.72</v>
      </c>
      <c r="K11144">
        <v>0.77300000000000002</v>
      </c>
      <c r="L11144">
        <v>0.25</v>
      </c>
      <c r="M11144">
        <v>0.88600000000000001</v>
      </c>
      <c r="N11144">
        <v>0.74</v>
      </c>
    </row>
    <row r="11145" spans="1:14" x14ac:dyDescent="0.25">
      <c r="A11145" t="s">
        <v>19321</v>
      </c>
      <c r="B11145" t="s">
        <v>10682</v>
      </c>
      <c r="C11145" s="1" t="str">
        <f>HYPERLINK("http://www.genecards.org/cgi-bin/carddisp.pl?gene=PTBP1","GeneCards")</f>
        <v>GeneCards</v>
      </c>
      <c r="D11145" s="1" t="str">
        <f>HYPERLINK("http://genome-euro.ucsc.edu/cgi-bin/hgTracks?position=216306_x_at","UCSC")</f>
        <v>UCSC</v>
      </c>
      <c r="E11145" s="1" t="str">
        <f>HYPERLINK("http://www.ncbi.nlm.nih.gov/gene/?term=PTBP1","NCBI")</f>
        <v>NCBI</v>
      </c>
      <c r="F11145">
        <v>0.27</v>
      </c>
      <c r="G11145">
        <v>0.42</v>
      </c>
      <c r="H11145" s="1" t="str">
        <f>HYPERLINK("http://www.weizmann.ac.il/complex/compphys/software/geview/data/figures/216306_x_at.png","Figure")</f>
        <v>Figure</v>
      </c>
      <c r="I11145">
        <v>0.71899999999999997</v>
      </c>
      <c r="J11145">
        <v>0.25</v>
      </c>
      <c r="K11145">
        <v>0.84</v>
      </c>
      <c r="L11145">
        <v>0.57999999999999996</v>
      </c>
      <c r="M11145">
        <v>1.17</v>
      </c>
      <c r="N11145">
        <v>0.68</v>
      </c>
    </row>
    <row r="11146" spans="1:14" x14ac:dyDescent="0.25">
      <c r="A11146" t="s">
        <v>19322</v>
      </c>
      <c r="B11146" t="s">
        <v>19323</v>
      </c>
      <c r="C11146" s="1" t="str">
        <f>HYPERLINK("http://www.genecards.org/cgi-bin/carddisp.pl?gene=LIN7B","GeneCards")</f>
        <v>GeneCards</v>
      </c>
      <c r="D11146" s="1" t="str">
        <f>HYPERLINK("http://genome-euro.ucsc.edu/cgi-bin/hgTracks?position=219760_at","UCSC")</f>
        <v>UCSC</v>
      </c>
      <c r="E11146" s="1" t="str">
        <f>HYPERLINK("http://www.ncbi.nlm.nih.gov/gene/?term=LIN7B","NCBI")</f>
        <v>NCBI</v>
      </c>
      <c r="F11146">
        <v>0.27</v>
      </c>
      <c r="G11146">
        <v>0.42</v>
      </c>
      <c r="H11146" s="1" t="str">
        <f>HYPERLINK("http://www.weizmann.ac.il/complex/compphys/software/geview/data/figures/219760_at.png","Figure")</f>
        <v>Figure</v>
      </c>
      <c r="I11146">
        <v>0.995</v>
      </c>
      <c r="J11146">
        <v>1</v>
      </c>
      <c r="K11146">
        <v>1.1200000000000001</v>
      </c>
      <c r="L11146">
        <v>0.36</v>
      </c>
      <c r="M11146">
        <v>1.1200000000000001</v>
      </c>
      <c r="N11146">
        <v>0.37</v>
      </c>
    </row>
    <row r="11147" spans="1:14" x14ac:dyDescent="0.25">
      <c r="A11147" t="s">
        <v>19324</v>
      </c>
      <c r="B11147" t="s">
        <v>19325</v>
      </c>
      <c r="C11147" s="1" t="str">
        <f>HYPERLINK("http://www.genecards.org/cgi-bin/carddisp.pl?gene=MLL4","GeneCards")</f>
        <v>GeneCards</v>
      </c>
      <c r="D11147" s="1" t="str">
        <f>HYPERLINK("http://genome-euro.ucsc.edu/cgi-bin/hgTracks?position=203419_at","UCSC")</f>
        <v>UCSC</v>
      </c>
      <c r="E11147" s="1" t="str">
        <f>HYPERLINK("http://www.ncbi.nlm.nih.gov/gene/?term=MLL4","NCBI")</f>
        <v>NCBI</v>
      </c>
      <c r="F11147">
        <v>0.27</v>
      </c>
      <c r="G11147">
        <v>0.42</v>
      </c>
      <c r="H11147" s="1" t="str">
        <f>HYPERLINK("http://www.weizmann.ac.il/complex/compphys/software/geview/data/figures/203419_at.png","Figure")</f>
        <v>Figure</v>
      </c>
      <c r="I11147">
        <v>0.97699999999999998</v>
      </c>
      <c r="J11147">
        <v>0.99</v>
      </c>
      <c r="K11147">
        <v>0.80100000000000005</v>
      </c>
      <c r="L11147">
        <v>0.31</v>
      </c>
      <c r="M11147">
        <v>0.82</v>
      </c>
      <c r="N11147">
        <v>0.43</v>
      </c>
    </row>
    <row r="11148" spans="1:14" x14ac:dyDescent="0.25">
      <c r="A11148" t="s">
        <v>19326</v>
      </c>
      <c r="B11148" t="s">
        <v>9493</v>
      </c>
      <c r="C11148" s="1" t="str">
        <f>HYPERLINK("http://www.genecards.org/cgi-bin/carddisp.pl?gene=HLA-DOA","GeneCards")</f>
        <v>GeneCards</v>
      </c>
      <c r="D11148" s="1" t="str">
        <f>HYPERLINK("http://genome-euro.ucsc.edu/cgi-bin/hgTracks?position=217001_x_at","UCSC")</f>
        <v>UCSC</v>
      </c>
      <c r="E11148" s="1" t="str">
        <f>HYPERLINK("http://www.ncbi.nlm.nih.gov/gene/?term=HLA-DOA","NCBI")</f>
        <v>NCBI</v>
      </c>
      <c r="F11148">
        <v>0.27</v>
      </c>
      <c r="G11148">
        <v>0.42</v>
      </c>
      <c r="H11148" s="1" t="str">
        <f>HYPERLINK("http://www.weizmann.ac.il/complex/compphys/software/geview/data/figures/217001_x_at.png","Figure")</f>
        <v>Figure</v>
      </c>
      <c r="I11148">
        <v>1.1599999999999999</v>
      </c>
      <c r="J11148">
        <v>0.33</v>
      </c>
      <c r="K11148">
        <v>1.01</v>
      </c>
      <c r="L11148">
        <v>1</v>
      </c>
      <c r="M11148">
        <v>0.86599999999999999</v>
      </c>
      <c r="N11148">
        <v>0.31</v>
      </c>
    </row>
    <row r="11149" spans="1:14" x14ac:dyDescent="0.25">
      <c r="A11149" t="s">
        <v>19327</v>
      </c>
      <c r="B11149" t="s">
        <v>13961</v>
      </c>
      <c r="C11149" s="1" t="str">
        <f>HYPERLINK("http://www.genecards.org/cgi-bin/carddisp.pl?gene=IGF1R","GeneCards")</f>
        <v>GeneCards</v>
      </c>
      <c r="D11149" s="1" t="str">
        <f>HYPERLINK("http://genome-euro.ucsc.edu/cgi-bin/hgTracks?position=208441_at","UCSC")</f>
        <v>UCSC</v>
      </c>
      <c r="E11149" s="1" t="str">
        <f>HYPERLINK("http://www.ncbi.nlm.nih.gov/gene/?term=IGF1R","NCBI")</f>
        <v>NCBI</v>
      </c>
      <c r="F11149">
        <v>0.27</v>
      </c>
      <c r="G11149">
        <v>0.42</v>
      </c>
      <c r="H11149" s="1" t="str">
        <f>HYPERLINK("http://www.weizmann.ac.il/complex/compphys/software/geview/data/figures/208441_at.png","Figure")</f>
        <v>Figure</v>
      </c>
      <c r="I11149">
        <v>1.01</v>
      </c>
      <c r="J11149">
        <v>0.97</v>
      </c>
      <c r="K11149">
        <v>0.95799999999999996</v>
      </c>
      <c r="L11149">
        <v>0.41</v>
      </c>
      <c r="M11149">
        <v>0.94899999999999995</v>
      </c>
      <c r="N11149">
        <v>0.33</v>
      </c>
    </row>
    <row r="11150" spans="1:14" x14ac:dyDescent="0.25">
      <c r="A11150" t="s">
        <v>19328</v>
      </c>
      <c r="B11150" t="s">
        <v>11789</v>
      </c>
      <c r="C11150" s="1" t="str">
        <f>HYPERLINK("http://www.genecards.org/cgi-bin/carddisp.pl?gene=BIRC5","GeneCards")</f>
        <v>GeneCards</v>
      </c>
      <c r="D11150" s="1" t="str">
        <f>HYPERLINK("http://genome-euro.ucsc.edu/cgi-bin/hgTracks?position=210334_x_at","UCSC")</f>
        <v>UCSC</v>
      </c>
      <c r="E11150" s="1" t="str">
        <f>HYPERLINK("http://www.ncbi.nlm.nih.gov/gene/?term=BIRC5","NCBI")</f>
        <v>NCBI</v>
      </c>
      <c r="F11150">
        <v>0.27</v>
      </c>
      <c r="G11150">
        <v>0.42</v>
      </c>
      <c r="H11150" s="1" t="str">
        <f>HYPERLINK("http://www.weizmann.ac.il/complex/compphys/software/geview/data/figures/210334_x_at.png","Figure")</f>
        <v>Figure</v>
      </c>
      <c r="I11150">
        <v>1.21</v>
      </c>
      <c r="J11150">
        <v>0.25</v>
      </c>
      <c r="K11150">
        <v>1.0900000000000001</v>
      </c>
      <c r="L11150">
        <v>0.64</v>
      </c>
      <c r="M11150">
        <v>0.90300000000000002</v>
      </c>
      <c r="N11150">
        <v>0.62</v>
      </c>
    </row>
    <row r="11151" spans="1:14" x14ac:dyDescent="0.25">
      <c r="A11151" t="s">
        <v>19329</v>
      </c>
      <c r="B11151" t="s">
        <v>19330</v>
      </c>
      <c r="C11151" s="1" t="str">
        <f>HYPERLINK("http://www.genecards.org/cgi-bin/carddisp.pl?gene=TAF1C","GeneCards")</f>
        <v>GeneCards</v>
      </c>
      <c r="D11151" s="1" t="str">
        <f>HYPERLINK("http://genome-euro.ucsc.edu/cgi-bin/hgTracks?position=203938_s_at","UCSC")</f>
        <v>UCSC</v>
      </c>
      <c r="E11151" s="1" t="str">
        <f>HYPERLINK("http://www.ncbi.nlm.nih.gov/gene/?term=TAF1C","NCBI")</f>
        <v>NCBI</v>
      </c>
      <c r="F11151">
        <v>0.27</v>
      </c>
      <c r="G11151">
        <v>0.42</v>
      </c>
      <c r="H11151" s="1" t="str">
        <f>HYPERLINK("http://www.weizmann.ac.il/complex/compphys/software/geview/data/figures/203938_s_at.png","Figure")</f>
        <v>Figure</v>
      </c>
      <c r="I11151">
        <v>1.38</v>
      </c>
      <c r="J11151">
        <v>0.37</v>
      </c>
      <c r="K11151">
        <v>0.98199999999999998</v>
      </c>
      <c r="L11151">
        <v>1</v>
      </c>
      <c r="M11151">
        <v>0.70899999999999996</v>
      </c>
      <c r="N11151">
        <v>0.28000000000000003</v>
      </c>
    </row>
    <row r="11152" spans="1:14" x14ac:dyDescent="0.25">
      <c r="A11152" t="s">
        <v>19331</v>
      </c>
      <c r="B11152" t="s">
        <v>19332</v>
      </c>
      <c r="C11152" s="1" t="str">
        <f>HYPERLINK("http://www.genecards.org/cgi-bin/carddisp.pl?gene=RPA1","GeneCards")</f>
        <v>GeneCards</v>
      </c>
      <c r="D11152" s="1" t="str">
        <f>HYPERLINK("http://genome-euro.ucsc.edu/cgi-bin/hgTracks?position=201528_at","UCSC")</f>
        <v>UCSC</v>
      </c>
      <c r="E11152" s="1" t="str">
        <f>HYPERLINK("http://www.ncbi.nlm.nih.gov/gene/?term=RPA1","NCBI")</f>
        <v>NCBI</v>
      </c>
      <c r="F11152">
        <v>0.27</v>
      </c>
      <c r="G11152">
        <v>0.42</v>
      </c>
      <c r="H11152" s="1" t="str">
        <f>HYPERLINK("http://www.weizmann.ac.il/complex/compphys/software/geview/data/figures/201528_at.png","Figure")</f>
        <v>Figure</v>
      </c>
      <c r="I11152">
        <v>0.72399999999999998</v>
      </c>
      <c r="J11152">
        <v>0.68</v>
      </c>
      <c r="K11152">
        <v>1.32</v>
      </c>
      <c r="L11152">
        <v>0.69</v>
      </c>
      <c r="M11152">
        <v>1.82</v>
      </c>
      <c r="N11152">
        <v>0.25</v>
      </c>
    </row>
    <row r="11153" spans="1:14" x14ac:dyDescent="0.25">
      <c r="A11153" t="s">
        <v>19333</v>
      </c>
      <c r="B11153" t="s">
        <v>5480</v>
      </c>
      <c r="C11153" s="1" t="str">
        <f>HYPERLINK("http://www.genecards.org/cgi-bin/carddisp.pl?gene=C21orf66","GeneCards")</f>
        <v>GeneCards</v>
      </c>
      <c r="D11153" s="1" t="str">
        <f>HYPERLINK("http://genome-euro.ucsc.edu/cgi-bin/hgTracks?position=218515_at","UCSC")</f>
        <v>UCSC</v>
      </c>
      <c r="E11153" s="1" t="str">
        <f>HYPERLINK("http://www.ncbi.nlm.nih.gov/gene/?term=C21orf66","NCBI")</f>
        <v>NCBI</v>
      </c>
      <c r="F11153">
        <v>0.27</v>
      </c>
      <c r="G11153">
        <v>0.42</v>
      </c>
      <c r="H11153" s="1" t="str">
        <f>HYPERLINK("http://www.weizmann.ac.il/complex/compphys/software/geview/data/figures/218515_at.png","Figure")</f>
        <v>Figure</v>
      </c>
      <c r="I11153">
        <v>0.60099999999999998</v>
      </c>
      <c r="J11153">
        <v>0.26</v>
      </c>
      <c r="K11153">
        <v>0.86</v>
      </c>
      <c r="L11153">
        <v>0.84</v>
      </c>
      <c r="M11153">
        <v>1.43</v>
      </c>
      <c r="N11153">
        <v>0.45</v>
      </c>
    </row>
    <row r="11154" spans="1:14" x14ac:dyDescent="0.25">
      <c r="A11154" t="s">
        <v>19334</v>
      </c>
      <c r="B11154" t="s">
        <v>17057</v>
      </c>
      <c r="C11154" s="1" t="str">
        <f>HYPERLINK("http://www.genecards.org/cgi-bin/carddisp.pl?gene=TMED2","GeneCards")</f>
        <v>GeneCards</v>
      </c>
      <c r="D11154" s="1" t="str">
        <f>HYPERLINK("http://genome-euro.ucsc.edu/cgi-bin/hgTracks?position=200087_s_at","UCSC")</f>
        <v>UCSC</v>
      </c>
      <c r="E11154" s="1" t="str">
        <f>HYPERLINK("http://www.ncbi.nlm.nih.gov/gene/?term=TMED2","NCBI")</f>
        <v>NCBI</v>
      </c>
      <c r="F11154">
        <v>0.27</v>
      </c>
      <c r="G11154">
        <v>0.42</v>
      </c>
      <c r="H11154" s="1" t="str">
        <f>HYPERLINK("http://www.weizmann.ac.il/complex/compphys/software/geview/data/figures/200087_s_at.png","Figure")</f>
        <v>Figure</v>
      </c>
      <c r="I11154">
        <v>0.71399999999999997</v>
      </c>
      <c r="J11154">
        <v>0.31</v>
      </c>
      <c r="K11154">
        <v>0.76800000000000002</v>
      </c>
      <c r="L11154">
        <v>0.38</v>
      </c>
      <c r="M11154">
        <v>1.08</v>
      </c>
      <c r="N11154">
        <v>0.93</v>
      </c>
    </row>
    <row r="11155" spans="1:14" x14ac:dyDescent="0.25">
      <c r="A11155" t="s">
        <v>19335</v>
      </c>
      <c r="B11155" t="s">
        <v>19336</v>
      </c>
      <c r="C11155" s="1" t="str">
        <f>HYPERLINK("http://www.genecards.org/cgi-bin/carddisp.pl?gene=SUOX","GeneCards")</f>
        <v>GeneCards</v>
      </c>
      <c r="D11155" s="1" t="str">
        <f>HYPERLINK("http://genome-euro.ucsc.edu/cgi-bin/hgTracks?position=204067_at","UCSC")</f>
        <v>UCSC</v>
      </c>
      <c r="E11155" s="1" t="str">
        <f>HYPERLINK("http://www.ncbi.nlm.nih.gov/gene/?term=SUOX","NCBI")</f>
        <v>NCBI</v>
      </c>
      <c r="F11155">
        <v>0.27</v>
      </c>
      <c r="G11155">
        <v>0.42</v>
      </c>
      <c r="H11155" s="1" t="str">
        <f>HYPERLINK("http://www.weizmann.ac.il/complex/compphys/software/geview/data/figures/204067_at.png","Figure")</f>
        <v>Figure</v>
      </c>
      <c r="I11155">
        <v>0.90400000000000003</v>
      </c>
      <c r="J11155">
        <v>0.44</v>
      </c>
      <c r="K11155">
        <v>0.89300000000000002</v>
      </c>
      <c r="L11155">
        <v>0.27</v>
      </c>
      <c r="M11155">
        <v>0.98799999999999999</v>
      </c>
      <c r="N11155">
        <v>0.99</v>
      </c>
    </row>
    <row r="11156" spans="1:14" x14ac:dyDescent="0.25">
      <c r="A11156" t="s">
        <v>19337</v>
      </c>
      <c r="B11156" t="s">
        <v>19338</v>
      </c>
      <c r="C11156" s="1" t="str">
        <f>HYPERLINK("http://www.genecards.org/cgi-bin/carddisp.pl?gene=XIAP","GeneCards")</f>
        <v>GeneCards</v>
      </c>
      <c r="D11156" s="1" t="str">
        <f>HYPERLINK("http://genome-euro.ucsc.edu/cgi-bin/hgTracks?position=206537_at","UCSC")</f>
        <v>UCSC</v>
      </c>
      <c r="E11156" s="1" t="str">
        <f>HYPERLINK("http://www.ncbi.nlm.nih.gov/gene/?term=XIAP","NCBI")</f>
        <v>NCBI</v>
      </c>
      <c r="F11156">
        <v>0.27</v>
      </c>
      <c r="G11156">
        <v>0.42</v>
      </c>
      <c r="H11156" s="1" t="str">
        <f>HYPERLINK("http://www.weizmann.ac.il/complex/compphys/software/geview/data/figures/206537_at.png","Figure")</f>
        <v>Figure</v>
      </c>
      <c r="I11156">
        <v>0.95599999999999996</v>
      </c>
      <c r="J11156">
        <v>0.25</v>
      </c>
      <c r="K11156">
        <v>0.98299999999999998</v>
      </c>
      <c r="L11156">
        <v>0.76</v>
      </c>
      <c r="M11156">
        <v>1.03</v>
      </c>
      <c r="N11156">
        <v>0.51</v>
      </c>
    </row>
    <row r="11157" spans="1:14" x14ac:dyDescent="0.25">
      <c r="A11157" t="s">
        <v>19339</v>
      </c>
      <c r="B11157" t="s">
        <v>19340</v>
      </c>
      <c r="C11157" s="1" t="str">
        <f>HYPERLINK("http://www.genecards.org/cgi-bin/carddisp.pl?gene=ART1","GeneCards")</f>
        <v>GeneCards</v>
      </c>
      <c r="D11157" s="1" t="str">
        <f>HYPERLINK("http://genome-euro.ucsc.edu/cgi-bin/hgTracks?position=207919_at","UCSC")</f>
        <v>UCSC</v>
      </c>
      <c r="E11157" s="1" t="str">
        <f>HYPERLINK("http://www.ncbi.nlm.nih.gov/gene/?term=ART1","NCBI")</f>
        <v>NCBI</v>
      </c>
      <c r="F11157">
        <v>0.27</v>
      </c>
      <c r="G11157">
        <v>0.42</v>
      </c>
      <c r="H11157" s="1" t="str">
        <f>HYPERLINK("http://www.weizmann.ac.il/complex/compphys/software/geview/data/figures/207919_at.png","Figure")</f>
        <v>Figure</v>
      </c>
      <c r="I11157">
        <v>1.1100000000000001</v>
      </c>
      <c r="J11157">
        <v>0.32</v>
      </c>
      <c r="K11157">
        <v>1.01</v>
      </c>
      <c r="L11157">
        <v>1</v>
      </c>
      <c r="M11157">
        <v>0.90500000000000003</v>
      </c>
      <c r="N11157">
        <v>0.31</v>
      </c>
    </row>
    <row r="11158" spans="1:14" x14ac:dyDescent="0.25">
      <c r="A11158" t="s">
        <v>19341</v>
      </c>
      <c r="B11158" t="s">
        <v>19342</v>
      </c>
      <c r="C11158" s="1" t="str">
        <f>HYPERLINK("http://www.genecards.org/cgi-bin/carddisp.pl?gene=ATP5I","GeneCards")</f>
        <v>GeneCards</v>
      </c>
      <c r="D11158" s="1" t="str">
        <f>HYPERLINK("http://genome-euro.ucsc.edu/cgi-bin/hgTracks?position=209492_x_at","UCSC")</f>
        <v>UCSC</v>
      </c>
      <c r="E11158" s="1" t="str">
        <f>HYPERLINK("http://www.ncbi.nlm.nih.gov/gene/?term=ATP5I","NCBI")</f>
        <v>NCBI</v>
      </c>
      <c r="F11158">
        <v>0.27</v>
      </c>
      <c r="G11158">
        <v>0.42</v>
      </c>
      <c r="H11158" s="1" t="str">
        <f>HYPERLINK("http://www.weizmann.ac.il/complex/compphys/software/geview/data/figures/209492_x_at.png","Figure")</f>
        <v>Figure</v>
      </c>
      <c r="I11158">
        <v>1.58</v>
      </c>
      <c r="J11158">
        <v>0.28000000000000003</v>
      </c>
      <c r="K11158">
        <v>1.38</v>
      </c>
      <c r="L11158">
        <v>0.42</v>
      </c>
      <c r="M11158">
        <v>0.875</v>
      </c>
      <c r="N11158">
        <v>0.87</v>
      </c>
    </row>
    <row r="11159" spans="1:14" x14ac:dyDescent="0.25">
      <c r="A11159" t="s">
        <v>19343</v>
      </c>
      <c r="B11159" t="s">
        <v>5956</v>
      </c>
      <c r="C11159" s="1" t="str">
        <f>HYPERLINK("http://www.genecards.org/cgi-bin/carddisp.pl?gene=GGA1","GeneCards")</f>
        <v>GeneCards</v>
      </c>
      <c r="D11159" s="1" t="str">
        <f>HYPERLINK("http://genome-euro.ucsc.edu/cgi-bin/hgTracks?position=45572_s_at","UCSC")</f>
        <v>UCSC</v>
      </c>
      <c r="E11159" s="1" t="str">
        <f>HYPERLINK("http://www.ncbi.nlm.nih.gov/gene/?term=GGA1","NCBI")</f>
        <v>NCBI</v>
      </c>
      <c r="F11159">
        <v>0.27</v>
      </c>
      <c r="G11159">
        <v>0.42</v>
      </c>
      <c r="H11159" s="1" t="str">
        <f>HYPERLINK("http://www.weizmann.ac.il/complex/compphys/software/geview/data/figures/45572_s_at.png","Figure")</f>
        <v>Figure</v>
      </c>
      <c r="I11159">
        <v>1.36</v>
      </c>
      <c r="J11159">
        <v>0.3</v>
      </c>
      <c r="K11159">
        <v>1.26</v>
      </c>
      <c r="L11159">
        <v>0.39</v>
      </c>
      <c r="M11159">
        <v>0.93</v>
      </c>
      <c r="N11159">
        <v>0.92</v>
      </c>
    </row>
    <row r="11160" spans="1:14" x14ac:dyDescent="0.25">
      <c r="A11160" t="s">
        <v>19344</v>
      </c>
      <c r="B11160" t="s">
        <v>19345</v>
      </c>
      <c r="C11160" s="1" t="str">
        <f>HYPERLINK("http://www.genecards.org/cgi-bin/carddisp.pl?gene=GYPB /// GYPE","GeneCards")</f>
        <v>GeneCards</v>
      </c>
      <c r="D11160" s="1" t="str">
        <f>HYPERLINK("http://genome-euro.ucsc.edu/cgi-bin/hgTracks?position=216833_x_at","UCSC")</f>
        <v>UCSC</v>
      </c>
      <c r="E11160" s="1" t="str">
        <f>HYPERLINK("http://www.ncbi.nlm.nih.gov/gene/?term=GYPB /// GYPE","NCBI")</f>
        <v>NCBI</v>
      </c>
      <c r="F11160">
        <v>0.27</v>
      </c>
      <c r="G11160">
        <v>0.42</v>
      </c>
      <c r="H11160" s="1" t="str">
        <f>HYPERLINK("http://www.weizmann.ac.il/complex/compphys/software/geview/data/figures/216833_x_at.png","Figure")</f>
        <v>Figure</v>
      </c>
      <c r="I11160">
        <v>1.23</v>
      </c>
      <c r="J11160">
        <v>0.27</v>
      </c>
      <c r="K11160">
        <v>1.05</v>
      </c>
      <c r="L11160">
        <v>0.92</v>
      </c>
      <c r="M11160">
        <v>0.84799999999999998</v>
      </c>
      <c r="N11160">
        <v>0.39</v>
      </c>
    </row>
    <row r="11161" spans="1:14" x14ac:dyDescent="0.25">
      <c r="A11161" t="s">
        <v>19346</v>
      </c>
      <c r="B11161" t="s">
        <v>19347</v>
      </c>
      <c r="C11161" s="1" t="str">
        <f>HYPERLINK("http://www.genecards.org/cgi-bin/carddisp.pl?gene=IFNA14","GeneCards")</f>
        <v>GeneCards</v>
      </c>
      <c r="D11161" s="1" t="str">
        <f>HYPERLINK("http://genome-euro.ucsc.edu/cgi-bin/hgTracks?position=208182_x_at","UCSC")</f>
        <v>UCSC</v>
      </c>
      <c r="E11161" s="1" t="str">
        <f>HYPERLINK("http://www.ncbi.nlm.nih.gov/gene/?term=IFNA14","NCBI")</f>
        <v>NCBI</v>
      </c>
      <c r="F11161">
        <v>0.27</v>
      </c>
      <c r="G11161">
        <v>0.42</v>
      </c>
      <c r="H11161" s="1" t="str">
        <f>HYPERLINK("http://www.weizmann.ac.il/complex/compphys/software/geview/data/figures/208182_x_at.png","Figure")</f>
        <v>Figure</v>
      </c>
      <c r="I11161">
        <v>1.04</v>
      </c>
      <c r="J11161">
        <v>0.67</v>
      </c>
      <c r="K11161">
        <v>0.96699999999999997</v>
      </c>
      <c r="L11161">
        <v>0.7</v>
      </c>
      <c r="M11161">
        <v>0.92800000000000005</v>
      </c>
      <c r="N11161">
        <v>0.25</v>
      </c>
    </row>
    <row r="11162" spans="1:14" x14ac:dyDescent="0.25">
      <c r="A11162" t="s">
        <v>19348</v>
      </c>
      <c r="B11162" t="s">
        <v>19349</v>
      </c>
      <c r="C11162" s="1" t="str">
        <f>HYPERLINK("http://www.genecards.org/cgi-bin/carddisp.pl?gene=RAB11FIP5","GeneCards")</f>
        <v>GeneCards</v>
      </c>
      <c r="D11162" s="1" t="str">
        <f>HYPERLINK("http://genome-euro.ucsc.edu/cgi-bin/hgTracks?position=210879_s_at","UCSC")</f>
        <v>UCSC</v>
      </c>
      <c r="E11162" s="1" t="str">
        <f>HYPERLINK("http://www.ncbi.nlm.nih.gov/gene/?term=RAB11FIP5","NCBI")</f>
        <v>NCBI</v>
      </c>
      <c r="F11162">
        <v>0.27</v>
      </c>
      <c r="G11162">
        <v>0.42</v>
      </c>
      <c r="H11162" s="1" t="str">
        <f>HYPERLINK("http://www.weizmann.ac.il/complex/compphys/software/geview/data/figures/210879_s_at.png","Figure")</f>
        <v>Figure</v>
      </c>
      <c r="I11162">
        <v>1.1100000000000001</v>
      </c>
      <c r="J11162">
        <v>0.75</v>
      </c>
      <c r="K11162">
        <v>0.88700000000000001</v>
      </c>
      <c r="L11162">
        <v>0.62</v>
      </c>
      <c r="M11162">
        <v>0.79800000000000004</v>
      </c>
      <c r="N11162">
        <v>0.26</v>
      </c>
    </row>
    <row r="11163" spans="1:14" x14ac:dyDescent="0.25">
      <c r="A11163" t="s">
        <v>19350</v>
      </c>
      <c r="B11163" t="s">
        <v>19351</v>
      </c>
      <c r="C11163" s="1" t="str">
        <f>HYPERLINK("http://www.genecards.org/cgi-bin/carddisp.pl?gene=INSL3 /// JAK3","GeneCards")</f>
        <v>GeneCards</v>
      </c>
      <c r="D11163" s="1" t="str">
        <f>HYPERLINK("http://genome-euro.ucsc.edu/cgi-bin/hgTracks?position=214572_s_at","UCSC")</f>
        <v>UCSC</v>
      </c>
      <c r="E11163" s="1" t="str">
        <f>HYPERLINK("http://www.ncbi.nlm.nih.gov/gene/?term=INSL3 /// JAK3","NCBI")</f>
        <v>NCBI</v>
      </c>
      <c r="F11163">
        <v>0.28000000000000003</v>
      </c>
      <c r="G11163">
        <v>0.42</v>
      </c>
      <c r="H11163" s="1" t="str">
        <f>HYPERLINK("http://www.weizmann.ac.il/complex/compphys/software/geview/data/figures/214572_s_at.png","Figure")</f>
        <v>Figure</v>
      </c>
      <c r="I11163">
        <v>0.86099999999999999</v>
      </c>
      <c r="J11163">
        <v>0.38</v>
      </c>
      <c r="K11163">
        <v>0.86399999999999999</v>
      </c>
      <c r="L11163">
        <v>0.3</v>
      </c>
      <c r="M11163">
        <v>1</v>
      </c>
      <c r="N11163">
        <v>1</v>
      </c>
    </row>
    <row r="11164" spans="1:14" x14ac:dyDescent="0.25">
      <c r="A11164" t="s">
        <v>19352</v>
      </c>
      <c r="B11164" t="s">
        <v>19353</v>
      </c>
      <c r="C11164" s="1" t="str">
        <f>HYPERLINK("http://www.genecards.org/cgi-bin/carddisp.pl?gene=FFAR3","GeneCards")</f>
        <v>GeneCards</v>
      </c>
      <c r="D11164" s="1" t="str">
        <f>HYPERLINK("http://genome-euro.ucsc.edu/cgi-bin/hgTracks?position=221385_s_at","UCSC")</f>
        <v>UCSC</v>
      </c>
      <c r="E11164" s="1" t="str">
        <f>HYPERLINK("http://www.ncbi.nlm.nih.gov/gene/?term=FFAR3","NCBI")</f>
        <v>NCBI</v>
      </c>
      <c r="F11164">
        <v>0.28000000000000003</v>
      </c>
      <c r="G11164">
        <v>0.42</v>
      </c>
      <c r="H11164" s="1" t="str">
        <f>HYPERLINK("http://www.weizmann.ac.il/complex/compphys/software/geview/data/figures/221385_s_at.png","Figure")</f>
        <v>Figure</v>
      </c>
      <c r="I11164">
        <v>1.1499999999999999</v>
      </c>
      <c r="J11164">
        <v>0.25</v>
      </c>
      <c r="K11164">
        <v>1.07</v>
      </c>
      <c r="L11164">
        <v>0.59</v>
      </c>
      <c r="M11164">
        <v>0.93600000000000005</v>
      </c>
      <c r="N11164">
        <v>0.67</v>
      </c>
    </row>
    <row r="11165" spans="1:14" x14ac:dyDescent="0.25">
      <c r="A11165" t="s">
        <v>19354</v>
      </c>
      <c r="B11165" t="s">
        <v>6688</v>
      </c>
      <c r="C11165" s="1" t="str">
        <f>HYPERLINK("http://www.genecards.org/cgi-bin/carddisp.pl?gene=PDE4A","GeneCards")</f>
        <v>GeneCards</v>
      </c>
      <c r="D11165" s="1" t="str">
        <f>HYPERLINK("http://genome-euro.ucsc.edu/cgi-bin/hgTracks?position=211901_s_at","UCSC")</f>
        <v>UCSC</v>
      </c>
      <c r="E11165" s="1" t="str">
        <f>HYPERLINK("http://www.ncbi.nlm.nih.gov/gene/?term=PDE4A","NCBI")</f>
        <v>NCBI</v>
      </c>
      <c r="F11165">
        <v>0.28000000000000003</v>
      </c>
      <c r="G11165">
        <v>0.42</v>
      </c>
      <c r="H11165" s="1" t="str">
        <f>HYPERLINK("http://www.weizmann.ac.il/complex/compphys/software/geview/data/figures/211901_s_at.png","Figure")</f>
        <v>Figure</v>
      </c>
      <c r="I11165">
        <v>1.0900000000000001</v>
      </c>
      <c r="J11165">
        <v>0.26</v>
      </c>
      <c r="K11165">
        <v>1.05</v>
      </c>
      <c r="L11165">
        <v>0.53</v>
      </c>
      <c r="M11165">
        <v>0.96499999999999997</v>
      </c>
      <c r="N11165">
        <v>0.73</v>
      </c>
    </row>
    <row r="11166" spans="1:14" x14ac:dyDescent="0.25">
      <c r="A11166" t="s">
        <v>19355</v>
      </c>
      <c r="B11166" t="s">
        <v>19356</v>
      </c>
      <c r="C11166" s="1" t="str">
        <f>HYPERLINK("http://www.genecards.org/cgi-bin/carddisp.pl?gene=NDST1","GeneCards")</f>
        <v>GeneCards</v>
      </c>
      <c r="D11166" s="1" t="str">
        <f>HYPERLINK("http://genome-euro.ucsc.edu/cgi-bin/hgTracks?position=202608_s_at","UCSC")</f>
        <v>UCSC</v>
      </c>
      <c r="E11166" s="1" t="str">
        <f>HYPERLINK("http://www.ncbi.nlm.nih.gov/gene/?term=NDST1","NCBI")</f>
        <v>NCBI</v>
      </c>
      <c r="F11166">
        <v>0.28000000000000003</v>
      </c>
      <c r="G11166">
        <v>0.42</v>
      </c>
      <c r="H11166" s="1" t="str">
        <f>HYPERLINK("http://www.weizmann.ac.il/complex/compphys/software/geview/data/figures/202608_s_at.png","Figure")</f>
        <v>Figure</v>
      </c>
      <c r="I11166">
        <v>1.0900000000000001</v>
      </c>
      <c r="J11166">
        <v>0.36</v>
      </c>
      <c r="K11166">
        <v>1.08</v>
      </c>
      <c r="L11166">
        <v>0.32</v>
      </c>
      <c r="M11166">
        <v>0.99299999999999999</v>
      </c>
      <c r="N11166">
        <v>0.99</v>
      </c>
    </row>
    <row r="11167" spans="1:14" x14ac:dyDescent="0.25">
      <c r="A11167" t="s">
        <v>19357</v>
      </c>
      <c r="B11167" t="s">
        <v>18446</v>
      </c>
      <c r="C11167" s="1" t="str">
        <f>HYPERLINK("http://www.genecards.org/cgi-bin/carddisp.pl?gene=SNAPC3","GeneCards")</f>
        <v>GeneCards</v>
      </c>
      <c r="D11167" s="1" t="str">
        <f>HYPERLINK("http://genome-euro.ucsc.edu/cgi-bin/hgTracks?position=210465_s_at","UCSC")</f>
        <v>UCSC</v>
      </c>
      <c r="E11167" s="1" t="str">
        <f>HYPERLINK("http://www.ncbi.nlm.nih.gov/gene/?term=SNAPC3","NCBI")</f>
        <v>NCBI</v>
      </c>
      <c r="F11167">
        <v>0.28000000000000003</v>
      </c>
      <c r="G11167">
        <v>0.42</v>
      </c>
      <c r="H11167" s="1" t="str">
        <f>HYPERLINK("http://www.weizmann.ac.il/complex/compphys/software/geview/data/figures/210465_s_at.png","Figure")</f>
        <v>Figure</v>
      </c>
      <c r="I11167">
        <v>0.93400000000000005</v>
      </c>
      <c r="J11167">
        <v>0.41</v>
      </c>
      <c r="K11167">
        <v>1.01</v>
      </c>
      <c r="L11167">
        <v>0.97</v>
      </c>
      <c r="M11167">
        <v>1.08</v>
      </c>
      <c r="N11167">
        <v>0.27</v>
      </c>
    </row>
    <row r="11168" spans="1:14" x14ac:dyDescent="0.25">
      <c r="A11168" t="s">
        <v>19358</v>
      </c>
      <c r="B11168" t="s">
        <v>1194</v>
      </c>
      <c r="C11168" s="1" t="str">
        <f>HYPERLINK("http://www.genecards.org/cgi-bin/carddisp.pl?gene=MAP1A","GeneCards")</f>
        <v>GeneCards</v>
      </c>
      <c r="D11168" s="1" t="str">
        <f>HYPERLINK("http://genome-euro.ucsc.edu/cgi-bin/hgTracks?position=215384_s_at","UCSC")</f>
        <v>UCSC</v>
      </c>
      <c r="E11168" s="1" t="str">
        <f>HYPERLINK("http://www.ncbi.nlm.nih.gov/gene/?term=MAP1A","NCBI")</f>
        <v>NCBI</v>
      </c>
      <c r="F11168">
        <v>0.28000000000000003</v>
      </c>
      <c r="G11168">
        <v>0.42</v>
      </c>
      <c r="H11168" s="1" t="str">
        <f>HYPERLINK("http://www.weizmann.ac.il/complex/compphys/software/geview/data/figures/215384_s_at.png","Figure")</f>
        <v>Figure</v>
      </c>
      <c r="I11168">
        <v>1.1200000000000001</v>
      </c>
      <c r="J11168">
        <v>0.26</v>
      </c>
      <c r="K11168">
        <v>1.03</v>
      </c>
      <c r="L11168">
        <v>0.85</v>
      </c>
      <c r="M11168">
        <v>0.92</v>
      </c>
      <c r="N11168">
        <v>0.44</v>
      </c>
    </row>
    <row r="11169" spans="1:14" x14ac:dyDescent="0.25">
      <c r="A11169" t="s">
        <v>19359</v>
      </c>
      <c r="B11169" t="s">
        <v>19175</v>
      </c>
      <c r="C11169" s="1" t="str">
        <f>HYPERLINK("http://www.genecards.org/cgi-bin/carddisp.pl?gene=ISG20L2","GeneCards")</f>
        <v>GeneCards</v>
      </c>
      <c r="D11169" s="1" t="str">
        <f>HYPERLINK("http://genome-euro.ucsc.edu/cgi-bin/hgTracks?position=208114_s_at","UCSC")</f>
        <v>UCSC</v>
      </c>
      <c r="E11169" s="1" t="str">
        <f>HYPERLINK("http://www.ncbi.nlm.nih.gov/gene/?term=ISG20L2","NCBI")</f>
        <v>NCBI</v>
      </c>
      <c r="F11169">
        <v>0.28000000000000003</v>
      </c>
      <c r="G11169">
        <v>0.42</v>
      </c>
      <c r="H11169" s="1" t="str">
        <f>HYPERLINK("http://www.weizmann.ac.il/complex/compphys/software/geview/data/figures/208114_s_at.png","Figure")</f>
        <v>Figure</v>
      </c>
      <c r="I11169">
        <v>1.03</v>
      </c>
      <c r="J11169">
        <v>0.97</v>
      </c>
      <c r="K11169">
        <v>0.84499999999999997</v>
      </c>
      <c r="L11169">
        <v>0.41</v>
      </c>
      <c r="M11169">
        <v>0.81899999999999995</v>
      </c>
      <c r="N11169">
        <v>0.33</v>
      </c>
    </row>
    <row r="11170" spans="1:14" x14ac:dyDescent="0.25">
      <c r="A11170" t="s">
        <v>19360</v>
      </c>
      <c r="B11170" t="s">
        <v>19361</v>
      </c>
      <c r="C11170" s="1" t="str">
        <f>HYPERLINK("http://www.genecards.org/cgi-bin/carddisp.pl?gene=ARMC4","GeneCards")</f>
        <v>GeneCards</v>
      </c>
      <c r="D11170" s="1" t="str">
        <f>HYPERLINK("http://genome-euro.ucsc.edu/cgi-bin/hgTracks?position=221077_at","UCSC")</f>
        <v>UCSC</v>
      </c>
      <c r="E11170" s="1" t="str">
        <f>HYPERLINK("http://www.ncbi.nlm.nih.gov/gene/?term=ARMC4","NCBI")</f>
        <v>NCBI</v>
      </c>
      <c r="F11170">
        <v>0.28000000000000003</v>
      </c>
      <c r="G11170">
        <v>0.42</v>
      </c>
      <c r="H11170" s="1" t="str">
        <f>HYPERLINK("http://www.weizmann.ac.il/complex/compphys/software/geview/data/figures/221077_at.png","Figure")</f>
        <v>Figure</v>
      </c>
      <c r="I11170">
        <v>1.1000000000000001</v>
      </c>
      <c r="J11170">
        <v>0.37</v>
      </c>
      <c r="K11170">
        <v>0.99399999999999999</v>
      </c>
      <c r="L11170">
        <v>0.99</v>
      </c>
      <c r="M11170">
        <v>0.90100000000000002</v>
      </c>
      <c r="N11170">
        <v>0.28000000000000003</v>
      </c>
    </row>
    <row r="11171" spans="1:14" x14ac:dyDescent="0.25">
      <c r="A11171" t="s">
        <v>19362</v>
      </c>
      <c r="B11171" t="s">
        <v>10496</v>
      </c>
      <c r="C11171" s="1" t="str">
        <f>HYPERLINK("http://www.genecards.org/cgi-bin/carddisp.pl?gene=EIF2S2","GeneCards")</f>
        <v>GeneCards</v>
      </c>
      <c r="D11171" s="1" t="str">
        <f>HYPERLINK("http://genome-euro.ucsc.edu/cgi-bin/hgTracks?position=208726_s_at","UCSC")</f>
        <v>UCSC</v>
      </c>
      <c r="E11171" s="1" t="str">
        <f>HYPERLINK("http://www.ncbi.nlm.nih.gov/gene/?term=EIF2S2","NCBI")</f>
        <v>NCBI</v>
      </c>
      <c r="F11171">
        <v>0.28000000000000003</v>
      </c>
      <c r="G11171">
        <v>0.42</v>
      </c>
      <c r="H11171" s="1" t="str">
        <f>HYPERLINK("http://www.weizmann.ac.il/complex/compphys/software/geview/data/figures/208726_s_at.png","Figure")</f>
        <v>Figure</v>
      </c>
      <c r="I11171">
        <v>1.21</v>
      </c>
      <c r="J11171">
        <v>0.63</v>
      </c>
      <c r="K11171">
        <v>1.35</v>
      </c>
      <c r="L11171">
        <v>0.25</v>
      </c>
      <c r="M11171">
        <v>1.1200000000000001</v>
      </c>
      <c r="N11171">
        <v>0.84</v>
      </c>
    </row>
    <row r="11172" spans="1:14" x14ac:dyDescent="0.25">
      <c r="A11172" t="s">
        <v>19363</v>
      </c>
      <c r="B11172" t="s">
        <v>4794</v>
      </c>
      <c r="C11172" s="1" t="str">
        <f>HYPERLINK("http://www.genecards.org/cgi-bin/carddisp.pl?gene=SLC16A3","GeneCards")</f>
        <v>GeneCards</v>
      </c>
      <c r="D11172" s="1" t="str">
        <f>HYPERLINK("http://genome-euro.ucsc.edu/cgi-bin/hgTracks?position=213522_s_at","UCSC")</f>
        <v>UCSC</v>
      </c>
      <c r="E11172" s="1" t="str">
        <f>HYPERLINK("http://www.ncbi.nlm.nih.gov/gene/?term=SLC16A3","NCBI")</f>
        <v>NCBI</v>
      </c>
      <c r="F11172">
        <v>0.28000000000000003</v>
      </c>
      <c r="G11172">
        <v>0.42</v>
      </c>
      <c r="H11172" s="1" t="str">
        <f>HYPERLINK("http://www.weizmann.ac.il/complex/compphys/software/geview/data/figures/213522_s_at.png","Figure")</f>
        <v>Figure</v>
      </c>
      <c r="I11172">
        <v>1.03</v>
      </c>
      <c r="J11172">
        <v>0.39</v>
      </c>
      <c r="K11172">
        <v>1.03</v>
      </c>
      <c r="L11172">
        <v>0.3</v>
      </c>
      <c r="M11172">
        <v>1</v>
      </c>
      <c r="N11172">
        <v>1</v>
      </c>
    </row>
    <row r="11173" spans="1:14" x14ac:dyDescent="0.25">
      <c r="A11173" t="s">
        <v>19364</v>
      </c>
      <c r="B11173" t="s">
        <v>4697</v>
      </c>
      <c r="C11173" s="1" t="str">
        <f>HYPERLINK("http://www.genecards.org/cgi-bin/carddisp.pl?gene=YLPM1","GeneCards")</f>
        <v>GeneCards</v>
      </c>
      <c r="D11173" s="1" t="str">
        <f>HYPERLINK("http://genome-euro.ucsc.edu/cgi-bin/hgTracks?position=214659_x_at","UCSC")</f>
        <v>UCSC</v>
      </c>
      <c r="E11173" s="1" t="str">
        <f>HYPERLINK("http://www.ncbi.nlm.nih.gov/gene/?term=YLPM1","NCBI")</f>
        <v>NCBI</v>
      </c>
      <c r="F11173">
        <v>0.28000000000000003</v>
      </c>
      <c r="G11173">
        <v>0.42</v>
      </c>
      <c r="H11173" s="1" t="str">
        <f>HYPERLINK("http://www.weizmann.ac.il/complex/compphys/software/geview/data/figures/214659_x_at.png","Figure")</f>
        <v>Figure</v>
      </c>
      <c r="I11173">
        <v>0.95099999999999996</v>
      </c>
      <c r="J11173">
        <v>0.97</v>
      </c>
      <c r="K11173">
        <v>0.74399999999999999</v>
      </c>
      <c r="L11173">
        <v>0.3</v>
      </c>
      <c r="M11173">
        <v>0.78300000000000003</v>
      </c>
      <c r="N11173">
        <v>0.47</v>
      </c>
    </row>
    <row r="11174" spans="1:14" x14ac:dyDescent="0.25">
      <c r="A11174" t="s">
        <v>19365</v>
      </c>
      <c r="B11174" t="s">
        <v>19366</v>
      </c>
      <c r="C11174" s="1" t="str">
        <f>HYPERLINK("http://www.genecards.org/cgi-bin/carddisp.pl?gene=CHAD","GeneCards")</f>
        <v>GeneCards</v>
      </c>
      <c r="D11174" s="1" t="str">
        <f>HYPERLINK("http://genome-euro.ucsc.edu/cgi-bin/hgTracks?position=206869_at","UCSC")</f>
        <v>UCSC</v>
      </c>
      <c r="E11174" s="1" t="str">
        <f>HYPERLINK("http://www.ncbi.nlm.nih.gov/gene/?term=CHAD","NCBI")</f>
        <v>NCBI</v>
      </c>
      <c r="F11174">
        <v>0.28000000000000003</v>
      </c>
      <c r="G11174">
        <v>0.42</v>
      </c>
      <c r="H11174" s="1" t="str">
        <f>HYPERLINK("http://www.weizmann.ac.il/complex/compphys/software/geview/data/figures/206869_at.png","Figure")</f>
        <v>Figure</v>
      </c>
      <c r="I11174">
        <v>0.998</v>
      </c>
      <c r="J11174">
        <v>1</v>
      </c>
      <c r="K11174">
        <v>1.05</v>
      </c>
      <c r="L11174">
        <v>0.36</v>
      </c>
      <c r="M11174">
        <v>1.05</v>
      </c>
      <c r="N11174">
        <v>0.38</v>
      </c>
    </row>
    <row r="11175" spans="1:14" x14ac:dyDescent="0.25">
      <c r="A11175" t="s">
        <v>19367</v>
      </c>
      <c r="B11175" t="s">
        <v>19368</v>
      </c>
      <c r="C11175" s="1" t="str">
        <f>HYPERLINK("http://www.genecards.org/cgi-bin/carddisp.pl?gene=BRF2","GeneCards")</f>
        <v>GeneCards</v>
      </c>
      <c r="D11175" s="1" t="str">
        <f>HYPERLINK("http://genome-euro.ucsc.edu/cgi-bin/hgTracks?position=218954_s_at","UCSC")</f>
        <v>UCSC</v>
      </c>
      <c r="E11175" s="1" t="str">
        <f>HYPERLINK("http://www.ncbi.nlm.nih.gov/gene/?term=BRF2","NCBI")</f>
        <v>NCBI</v>
      </c>
      <c r="F11175">
        <v>0.28000000000000003</v>
      </c>
      <c r="G11175">
        <v>0.42</v>
      </c>
      <c r="H11175" s="1" t="str">
        <f>HYPERLINK("http://www.weizmann.ac.il/complex/compphys/software/geview/data/figures/218954_s_at.png","Figure")</f>
        <v>Figure</v>
      </c>
      <c r="I11175">
        <v>1.1200000000000001</v>
      </c>
      <c r="J11175">
        <v>0.36</v>
      </c>
      <c r="K11175">
        <v>0.996</v>
      </c>
      <c r="L11175">
        <v>1</v>
      </c>
      <c r="M11175">
        <v>0.89</v>
      </c>
      <c r="N11175">
        <v>0.28999999999999998</v>
      </c>
    </row>
    <row r="11176" spans="1:14" x14ac:dyDescent="0.25">
      <c r="A11176" t="s">
        <v>19369</v>
      </c>
      <c r="B11176" t="s">
        <v>19370</v>
      </c>
      <c r="C11176" s="1" t="str">
        <f>HYPERLINK("http://www.genecards.org/cgi-bin/carddisp.pl?gene=NISCH","GeneCards")</f>
        <v>GeneCards</v>
      </c>
      <c r="D11176" s="1" t="str">
        <f>HYPERLINK("http://genome-euro.ucsc.edu/cgi-bin/hgTracks?position=201591_s_at","UCSC")</f>
        <v>UCSC</v>
      </c>
      <c r="E11176" s="1" t="str">
        <f>HYPERLINK("http://www.ncbi.nlm.nih.gov/gene/?term=NISCH","NCBI")</f>
        <v>NCBI</v>
      </c>
      <c r="F11176">
        <v>0.28000000000000003</v>
      </c>
      <c r="G11176">
        <v>0.42</v>
      </c>
      <c r="H11176" s="1" t="str">
        <f>HYPERLINK("http://www.weizmann.ac.il/complex/compphys/software/geview/data/figures/201591_s_at.png","Figure")</f>
        <v>Figure</v>
      </c>
      <c r="I11176">
        <v>1.24</v>
      </c>
      <c r="J11176">
        <v>0.28000000000000003</v>
      </c>
      <c r="K11176">
        <v>1.04</v>
      </c>
      <c r="L11176">
        <v>0.94</v>
      </c>
      <c r="M11176">
        <v>0.83699999999999997</v>
      </c>
      <c r="N11176">
        <v>0.37</v>
      </c>
    </row>
    <row r="11177" spans="1:14" x14ac:dyDescent="0.25">
      <c r="A11177" t="s">
        <v>19371</v>
      </c>
      <c r="B11177" t="s">
        <v>19372</v>
      </c>
      <c r="C11177" s="1" t="str">
        <f>HYPERLINK("http://www.genecards.org/cgi-bin/carddisp.pl?gene=GSTM3","GeneCards")</f>
        <v>GeneCards</v>
      </c>
      <c r="D11177" s="1" t="str">
        <f>HYPERLINK("http://genome-euro.ucsc.edu/cgi-bin/hgTracks?position=202554_s_at","UCSC")</f>
        <v>UCSC</v>
      </c>
      <c r="E11177" s="1" t="str">
        <f>HYPERLINK("http://www.ncbi.nlm.nih.gov/gene/?term=GSTM3","NCBI")</f>
        <v>NCBI</v>
      </c>
      <c r="F11177">
        <v>0.28000000000000003</v>
      </c>
      <c r="G11177">
        <v>0.42</v>
      </c>
      <c r="H11177" s="1" t="str">
        <f>HYPERLINK("http://www.weizmann.ac.il/complex/compphys/software/geview/data/figures/202554_s_at.png","Figure")</f>
        <v>Figure</v>
      </c>
      <c r="I11177">
        <v>1.0900000000000001</v>
      </c>
      <c r="J11177">
        <v>0.85</v>
      </c>
      <c r="K11177">
        <v>1.24</v>
      </c>
      <c r="L11177">
        <v>0.26</v>
      </c>
      <c r="M11177">
        <v>1.1399999999999999</v>
      </c>
      <c r="N11177">
        <v>0.62</v>
      </c>
    </row>
    <row r="11178" spans="1:14" x14ac:dyDescent="0.25">
      <c r="A11178" t="s">
        <v>19373</v>
      </c>
      <c r="B11178" t="s">
        <v>19374</v>
      </c>
      <c r="C11178" s="1" t="str">
        <f>HYPERLINK("http://www.genecards.org/cgi-bin/carddisp.pl?gene=CHI3L1","GeneCards")</f>
        <v>GeneCards</v>
      </c>
      <c r="D11178" s="1" t="str">
        <f>HYPERLINK("http://genome-euro.ucsc.edu/cgi-bin/hgTracks?position=216546_s_at","UCSC")</f>
        <v>UCSC</v>
      </c>
      <c r="E11178" s="1" t="str">
        <f>HYPERLINK("http://www.ncbi.nlm.nih.gov/gene/?term=CHI3L1","NCBI")</f>
        <v>NCBI</v>
      </c>
      <c r="F11178">
        <v>0.28000000000000003</v>
      </c>
      <c r="G11178">
        <v>0.42</v>
      </c>
      <c r="H11178" s="1" t="str">
        <f>HYPERLINK("http://www.weizmann.ac.il/complex/compphys/software/geview/data/figures/216546_s_at.png","Figure")</f>
        <v>Figure</v>
      </c>
      <c r="I11178">
        <v>1.1200000000000001</v>
      </c>
      <c r="J11178">
        <v>0.71</v>
      </c>
      <c r="K11178">
        <v>0.90100000000000002</v>
      </c>
      <c r="L11178">
        <v>0.67</v>
      </c>
      <c r="M11178">
        <v>0.80600000000000005</v>
      </c>
      <c r="N11178">
        <v>0.25</v>
      </c>
    </row>
    <row r="11179" spans="1:14" x14ac:dyDescent="0.25">
      <c r="A11179" t="s">
        <v>19375</v>
      </c>
      <c r="B11179" t="s">
        <v>19376</v>
      </c>
      <c r="C11179" s="1" t="str">
        <f>HYPERLINK("http://www.genecards.org/cgi-bin/carddisp.pl?gene=ADFP","GeneCards")</f>
        <v>GeneCards</v>
      </c>
      <c r="D11179" s="1" t="str">
        <f>HYPERLINK("http://genome-euro.ucsc.edu/cgi-bin/hgTracks?position=215895_x_at","UCSC")</f>
        <v>UCSC</v>
      </c>
      <c r="E11179" s="1" t="str">
        <f>HYPERLINK("http://www.ncbi.nlm.nih.gov/gene/?term=ADFP","NCBI")</f>
        <v>NCBI</v>
      </c>
      <c r="F11179">
        <v>0.28000000000000003</v>
      </c>
      <c r="G11179">
        <v>0.42</v>
      </c>
      <c r="H11179" s="1" t="str">
        <f>HYPERLINK("http://www.weizmann.ac.il/complex/compphys/software/geview/data/figures/215895_x_at.png","Figure")</f>
        <v>Figure</v>
      </c>
      <c r="I11179">
        <v>1</v>
      </c>
      <c r="J11179">
        <v>1</v>
      </c>
      <c r="K11179">
        <v>0.98599999999999999</v>
      </c>
      <c r="L11179">
        <v>0.34</v>
      </c>
      <c r="M11179">
        <v>0.98599999999999999</v>
      </c>
      <c r="N11179">
        <v>0.39</v>
      </c>
    </row>
    <row r="11180" spans="1:14" x14ac:dyDescent="0.25">
      <c r="A11180" t="s">
        <v>19377</v>
      </c>
      <c r="B11180" t="s">
        <v>19378</v>
      </c>
      <c r="C11180" s="1" t="str">
        <f>HYPERLINK("http://www.genecards.org/cgi-bin/carddisp.pl?gene=TLR8","GeneCards")</f>
        <v>GeneCards</v>
      </c>
      <c r="D11180" s="1" t="str">
        <f>HYPERLINK("http://genome-euro.ucsc.edu/cgi-bin/hgTracks?position=220832_at","UCSC")</f>
        <v>UCSC</v>
      </c>
      <c r="E11180" s="1" t="str">
        <f>HYPERLINK("http://www.ncbi.nlm.nih.gov/gene/?term=TLR8","NCBI")</f>
        <v>NCBI</v>
      </c>
      <c r="F11180">
        <v>0.28000000000000003</v>
      </c>
      <c r="G11180">
        <v>0.42</v>
      </c>
      <c r="H11180" s="1" t="str">
        <f>HYPERLINK("http://www.weizmann.ac.il/complex/compphys/software/geview/data/figures/220832_at.png","Figure")</f>
        <v>Figure</v>
      </c>
      <c r="I11180">
        <v>1</v>
      </c>
      <c r="J11180">
        <v>1</v>
      </c>
      <c r="K11180">
        <v>0.98599999999999999</v>
      </c>
      <c r="L11180">
        <v>0.34</v>
      </c>
      <c r="M11180">
        <v>0.98599999999999999</v>
      </c>
      <c r="N11180">
        <v>0.39</v>
      </c>
    </row>
    <row r="11181" spans="1:14" x14ac:dyDescent="0.25">
      <c r="A11181" t="s">
        <v>19379</v>
      </c>
      <c r="B11181" t="s">
        <v>19380</v>
      </c>
      <c r="C11181" s="1" t="str">
        <f>HYPERLINK("http://www.genecards.org/cgi-bin/carddisp.pl?gene=PIGG","GeneCards")</f>
        <v>GeneCards</v>
      </c>
      <c r="D11181" s="1" t="str">
        <f>HYPERLINK("http://genome-euro.ucsc.edu/cgi-bin/hgTracks?position=218652_s_at","UCSC")</f>
        <v>UCSC</v>
      </c>
      <c r="E11181" s="1" t="str">
        <f>HYPERLINK("http://www.ncbi.nlm.nih.gov/gene/?term=PIGG","NCBI")</f>
        <v>NCBI</v>
      </c>
      <c r="F11181">
        <v>0.28000000000000003</v>
      </c>
      <c r="G11181">
        <v>0.42</v>
      </c>
      <c r="H11181" s="1" t="str">
        <f>HYPERLINK("http://www.weizmann.ac.il/complex/compphys/software/geview/data/figures/218652_s_at.png","Figure")</f>
        <v>Figure</v>
      </c>
      <c r="I11181">
        <v>0.624</v>
      </c>
      <c r="J11181">
        <v>0.26</v>
      </c>
      <c r="K11181">
        <v>0.754</v>
      </c>
      <c r="L11181">
        <v>0.51</v>
      </c>
      <c r="M11181">
        <v>1.21</v>
      </c>
      <c r="N11181">
        <v>0.76</v>
      </c>
    </row>
    <row r="11182" spans="1:14" x14ac:dyDescent="0.25">
      <c r="A11182" t="s">
        <v>19381</v>
      </c>
      <c r="B11182" t="s">
        <v>19382</v>
      </c>
      <c r="C11182" s="1" t="str">
        <f>HYPERLINK("http://www.genecards.org/cgi-bin/carddisp.pl?gene=DRG1","GeneCards")</f>
        <v>GeneCards</v>
      </c>
      <c r="D11182" s="1" t="str">
        <f>HYPERLINK("http://genome-euro.ucsc.edu/cgi-bin/hgTracks?position=202810_at","UCSC")</f>
        <v>UCSC</v>
      </c>
      <c r="E11182" s="1" t="str">
        <f>HYPERLINK("http://www.ncbi.nlm.nih.gov/gene/?term=DRG1","NCBI")</f>
        <v>NCBI</v>
      </c>
      <c r="F11182">
        <v>0.28000000000000003</v>
      </c>
      <c r="G11182">
        <v>0.42</v>
      </c>
      <c r="H11182" s="1" t="str">
        <f>HYPERLINK("http://www.weizmann.ac.il/complex/compphys/software/geview/data/figures/202810_at.png","Figure")</f>
        <v>Figure</v>
      </c>
      <c r="I11182">
        <v>1.24</v>
      </c>
      <c r="J11182">
        <v>0.28000000000000003</v>
      </c>
      <c r="K11182">
        <v>1.1599999999999999</v>
      </c>
      <c r="L11182">
        <v>0.44</v>
      </c>
      <c r="M11182">
        <v>0.93600000000000005</v>
      </c>
      <c r="N11182">
        <v>0.86</v>
      </c>
    </row>
    <row r="11183" spans="1:14" x14ac:dyDescent="0.25">
      <c r="A11183" t="s">
        <v>19383</v>
      </c>
      <c r="B11183" t="s">
        <v>11059</v>
      </c>
      <c r="C11183" s="1" t="str">
        <f>HYPERLINK("http://www.genecards.org/cgi-bin/carddisp.pl?gene=MINK1","GeneCards")</f>
        <v>GeneCards</v>
      </c>
      <c r="D11183" s="1" t="str">
        <f>HYPERLINK("http://genome-euro.ucsc.edu/cgi-bin/hgTracks?position=209241_x_at","UCSC")</f>
        <v>UCSC</v>
      </c>
      <c r="E11183" s="1" t="str">
        <f>HYPERLINK("http://www.ncbi.nlm.nih.gov/gene/?term=MINK1","NCBI")</f>
        <v>NCBI</v>
      </c>
      <c r="F11183">
        <v>0.28000000000000003</v>
      </c>
      <c r="G11183">
        <v>0.42</v>
      </c>
      <c r="H11183" s="1" t="str">
        <f>HYPERLINK("http://www.weizmann.ac.il/complex/compphys/software/geview/data/figures/209241_x_at.png","Figure")</f>
        <v>Figure</v>
      </c>
      <c r="I11183">
        <v>1.18</v>
      </c>
      <c r="J11183">
        <v>0.28999999999999998</v>
      </c>
      <c r="K11183">
        <v>1.03</v>
      </c>
      <c r="L11183">
        <v>0.95</v>
      </c>
      <c r="M11183">
        <v>0.86899999999999999</v>
      </c>
      <c r="N11183">
        <v>0.36</v>
      </c>
    </row>
    <row r="11184" spans="1:14" x14ac:dyDescent="0.25">
      <c r="A11184" t="s">
        <v>19384</v>
      </c>
      <c r="B11184" t="s">
        <v>5363</v>
      </c>
      <c r="C11184" s="1" t="str">
        <f>HYPERLINK("http://www.genecards.org/cgi-bin/carddisp.pl?gene=ANP32A","GeneCards")</f>
        <v>GeneCards</v>
      </c>
      <c r="D11184" s="1" t="str">
        <f>HYPERLINK("http://genome-euro.ucsc.edu/cgi-bin/hgTracks?position=201038_s_at","UCSC")</f>
        <v>UCSC</v>
      </c>
      <c r="E11184" s="1" t="str">
        <f>HYPERLINK("http://www.ncbi.nlm.nih.gov/gene/?term=ANP32A","NCBI")</f>
        <v>NCBI</v>
      </c>
      <c r="F11184">
        <v>0.28000000000000003</v>
      </c>
      <c r="G11184">
        <v>0.42</v>
      </c>
      <c r="H11184" s="1" t="str">
        <f>HYPERLINK("http://www.weizmann.ac.il/complex/compphys/software/geview/data/figures/201038_s_at.png","Figure")</f>
        <v>Figure</v>
      </c>
      <c r="I11184">
        <v>0.78600000000000003</v>
      </c>
      <c r="J11184">
        <v>0.45</v>
      </c>
      <c r="K11184">
        <v>1.06</v>
      </c>
      <c r="L11184">
        <v>0.93</v>
      </c>
      <c r="M11184">
        <v>1.35</v>
      </c>
      <c r="N11184">
        <v>0.26</v>
      </c>
    </row>
    <row r="11185" spans="1:14" x14ac:dyDescent="0.25">
      <c r="A11185" t="s">
        <v>19385</v>
      </c>
      <c r="B11185" t="s">
        <v>15180</v>
      </c>
      <c r="C11185" s="1" t="str">
        <f>HYPERLINK("http://www.genecards.org/cgi-bin/carddisp.pl?gene=PIP5K1B","GeneCards")</f>
        <v>GeneCards</v>
      </c>
      <c r="D11185" s="1" t="str">
        <f>HYPERLINK("http://genome-euro.ucsc.edu/cgi-bin/hgTracks?position=217477_at","UCSC")</f>
        <v>UCSC</v>
      </c>
      <c r="E11185" s="1" t="str">
        <f>HYPERLINK("http://www.ncbi.nlm.nih.gov/gene/?term=PIP5K1B","NCBI")</f>
        <v>NCBI</v>
      </c>
      <c r="F11185">
        <v>0.28000000000000003</v>
      </c>
      <c r="G11185">
        <v>0.42</v>
      </c>
      <c r="H11185" s="1" t="str">
        <f>HYPERLINK("http://www.weizmann.ac.il/complex/compphys/software/geview/data/figures/217477_at.png","Figure")</f>
        <v>Figure</v>
      </c>
      <c r="I11185">
        <v>0.99</v>
      </c>
      <c r="J11185">
        <v>0.31</v>
      </c>
      <c r="K11185">
        <v>0.999</v>
      </c>
      <c r="L11185">
        <v>0.98</v>
      </c>
      <c r="M11185">
        <v>1.01</v>
      </c>
      <c r="N11185">
        <v>0.33</v>
      </c>
    </row>
    <row r="11186" spans="1:14" x14ac:dyDescent="0.25">
      <c r="A11186" t="s">
        <v>19386</v>
      </c>
      <c r="B11186" t="s">
        <v>19387</v>
      </c>
      <c r="C11186" s="1" t="str">
        <f>HYPERLINK("http://www.genecards.org/cgi-bin/carddisp.pl?gene=PARP4","GeneCards")</f>
        <v>GeneCards</v>
      </c>
      <c r="D11186" s="1" t="str">
        <f>HYPERLINK("http://genome-euro.ucsc.edu/cgi-bin/hgTracks?position=202239_at","UCSC")</f>
        <v>UCSC</v>
      </c>
      <c r="E11186" s="1" t="str">
        <f>HYPERLINK("http://www.ncbi.nlm.nih.gov/gene/?term=PARP4","NCBI")</f>
        <v>NCBI</v>
      </c>
      <c r="F11186">
        <v>0.28000000000000003</v>
      </c>
      <c r="G11186">
        <v>0.42</v>
      </c>
      <c r="H11186" s="1" t="str">
        <f>HYPERLINK("http://www.weizmann.ac.il/complex/compphys/software/geview/data/figures/202239_at.png","Figure")</f>
        <v>Figure</v>
      </c>
      <c r="I11186">
        <v>1.03</v>
      </c>
      <c r="J11186">
        <v>0.99</v>
      </c>
      <c r="K11186">
        <v>1.29</v>
      </c>
      <c r="L11186">
        <v>0.32</v>
      </c>
      <c r="M11186">
        <v>1.25</v>
      </c>
      <c r="N11186">
        <v>0.44</v>
      </c>
    </row>
    <row r="11187" spans="1:14" x14ac:dyDescent="0.25">
      <c r="A11187" t="s">
        <v>19388</v>
      </c>
      <c r="B11187" t="s">
        <v>19389</v>
      </c>
      <c r="C11187" s="1" t="str">
        <f>HYPERLINK("http://www.genecards.org/cgi-bin/carddisp.pl?gene=RFC2","GeneCards")</f>
        <v>GeneCards</v>
      </c>
      <c r="D11187" s="1" t="str">
        <f>HYPERLINK("http://genome-euro.ucsc.edu/cgi-bin/hgTracks?position=203696_s_at","UCSC")</f>
        <v>UCSC</v>
      </c>
      <c r="E11187" s="1" t="str">
        <f>HYPERLINK("http://www.ncbi.nlm.nih.gov/gene/?term=RFC2","NCBI")</f>
        <v>NCBI</v>
      </c>
      <c r="F11187">
        <v>0.28000000000000003</v>
      </c>
      <c r="G11187">
        <v>0.42</v>
      </c>
      <c r="H11187" s="1" t="str">
        <f>HYPERLINK("http://www.weizmann.ac.il/complex/compphys/software/geview/data/figures/203696_s_at.png","Figure")</f>
        <v>Figure</v>
      </c>
      <c r="I11187">
        <v>0.97399999999999998</v>
      </c>
      <c r="J11187">
        <v>0.97</v>
      </c>
      <c r="K11187">
        <v>1.1299999999999999</v>
      </c>
      <c r="L11187">
        <v>0.41</v>
      </c>
      <c r="M11187">
        <v>1.1599999999999999</v>
      </c>
      <c r="N11187">
        <v>0.33</v>
      </c>
    </row>
    <row r="11188" spans="1:14" x14ac:dyDescent="0.25">
      <c r="A11188" t="s">
        <v>19390</v>
      </c>
      <c r="B11188" t="s">
        <v>19071</v>
      </c>
      <c r="C11188" s="1" t="str">
        <f>HYPERLINK("http://www.genecards.org/cgi-bin/carddisp.pl?gene=RGS4","GeneCards")</f>
        <v>GeneCards</v>
      </c>
      <c r="D11188" s="1" t="str">
        <f>HYPERLINK("http://genome-euro.ucsc.edu/cgi-bin/hgTracks?position=204337_at","UCSC")</f>
        <v>UCSC</v>
      </c>
      <c r="E11188" s="1" t="str">
        <f>HYPERLINK("http://www.ncbi.nlm.nih.gov/gene/?term=RGS4","NCBI")</f>
        <v>NCBI</v>
      </c>
      <c r="F11188">
        <v>0.28000000000000003</v>
      </c>
      <c r="G11188">
        <v>0.42</v>
      </c>
      <c r="H11188" s="1" t="str">
        <f>HYPERLINK("http://www.weizmann.ac.il/complex/compphys/software/geview/data/figures/204337_at.png","Figure")</f>
        <v>Figure</v>
      </c>
      <c r="I11188">
        <v>1.04</v>
      </c>
      <c r="J11188">
        <v>0.87</v>
      </c>
      <c r="K11188">
        <v>0.92400000000000004</v>
      </c>
      <c r="L11188">
        <v>0.52</v>
      </c>
      <c r="M11188">
        <v>0.88700000000000001</v>
      </c>
      <c r="N11188">
        <v>0.28000000000000003</v>
      </c>
    </row>
    <row r="11189" spans="1:14" x14ac:dyDescent="0.25">
      <c r="A11189" t="s">
        <v>19391</v>
      </c>
      <c r="B11189" t="s">
        <v>5964</v>
      </c>
      <c r="C11189" s="1" t="str">
        <f>HYPERLINK("http://www.genecards.org/cgi-bin/carddisp.pl?gene=RB1","GeneCards")</f>
        <v>GeneCards</v>
      </c>
      <c r="D11189" s="1" t="str">
        <f>HYPERLINK("http://genome-euro.ucsc.edu/cgi-bin/hgTracks?position=211540_s_at","UCSC")</f>
        <v>UCSC</v>
      </c>
      <c r="E11189" s="1" t="str">
        <f>HYPERLINK("http://www.ncbi.nlm.nih.gov/gene/?term=RB1","NCBI")</f>
        <v>NCBI</v>
      </c>
      <c r="F11189">
        <v>0.28000000000000003</v>
      </c>
      <c r="G11189">
        <v>0.42</v>
      </c>
      <c r="H11189" s="1" t="str">
        <f>HYPERLINK("http://www.weizmann.ac.il/complex/compphys/software/geview/data/figures/211540_s_at.png","Figure")</f>
        <v>Figure</v>
      </c>
      <c r="I11189">
        <v>1.02</v>
      </c>
      <c r="J11189">
        <v>0.98</v>
      </c>
      <c r="K11189">
        <v>1.1200000000000001</v>
      </c>
      <c r="L11189">
        <v>0.3</v>
      </c>
      <c r="M11189">
        <v>1.1000000000000001</v>
      </c>
      <c r="N11189">
        <v>0.46</v>
      </c>
    </row>
    <row r="11190" spans="1:14" x14ac:dyDescent="0.25">
      <c r="A11190" t="s">
        <v>19392</v>
      </c>
      <c r="B11190" t="s">
        <v>13808</v>
      </c>
      <c r="C11190" s="1" t="str">
        <f>HYPERLINK("http://www.genecards.org/cgi-bin/carddisp.pl?gene=FLAD1","GeneCards")</f>
        <v>GeneCards</v>
      </c>
      <c r="D11190" s="1" t="str">
        <f>HYPERLINK("http://genome-euro.ucsc.edu/cgi-bin/hgTracks?position=212541_at","UCSC")</f>
        <v>UCSC</v>
      </c>
      <c r="E11190" s="1" t="str">
        <f>HYPERLINK("http://www.ncbi.nlm.nih.gov/gene/?term=FLAD1","NCBI")</f>
        <v>NCBI</v>
      </c>
      <c r="F11190">
        <v>0.28000000000000003</v>
      </c>
      <c r="G11190">
        <v>0.42</v>
      </c>
      <c r="H11190" s="1" t="str">
        <f>HYPERLINK("http://www.weizmann.ac.il/complex/compphys/software/geview/data/figures/212541_at.png","Figure")</f>
        <v>Figure</v>
      </c>
      <c r="I11190">
        <v>1.05</v>
      </c>
      <c r="J11190">
        <v>0.91</v>
      </c>
      <c r="K11190">
        <v>1.1599999999999999</v>
      </c>
      <c r="L11190">
        <v>0.27</v>
      </c>
      <c r="M11190">
        <v>1.1100000000000001</v>
      </c>
      <c r="N11190">
        <v>0.56000000000000005</v>
      </c>
    </row>
    <row r="11191" spans="1:14" x14ac:dyDescent="0.25">
      <c r="A11191" t="s">
        <v>19393</v>
      </c>
      <c r="B11191" t="s">
        <v>19394</v>
      </c>
      <c r="C11191" s="1" t="str">
        <f>HYPERLINK("http://www.genecards.org/cgi-bin/carddisp.pl?gene=LOC728395 /// TSPY1 /// TSPY3","GeneCards")</f>
        <v>GeneCards</v>
      </c>
      <c r="D11191" s="1" t="str">
        <f>HYPERLINK("http://genome-euro.ucsc.edu/cgi-bin/hgTracks?position=216374_at","UCSC")</f>
        <v>UCSC</v>
      </c>
      <c r="E11191" s="1" t="str">
        <f>HYPERLINK("http://www.ncbi.nlm.nih.gov/gene/?term=LOC728395 /// TSPY1 /// TSPY3","NCBI")</f>
        <v>NCBI</v>
      </c>
      <c r="F11191">
        <v>0.28000000000000003</v>
      </c>
      <c r="G11191">
        <v>0.42</v>
      </c>
      <c r="H11191" s="1" t="str">
        <f>HYPERLINK("http://www.weizmann.ac.il/complex/compphys/software/geview/data/figures/216374_at.png","Figure")</f>
        <v>Figure</v>
      </c>
      <c r="I11191">
        <v>1.05</v>
      </c>
      <c r="J11191">
        <v>0.28000000000000003</v>
      </c>
      <c r="K11191">
        <v>1.04</v>
      </c>
      <c r="L11191">
        <v>0.44</v>
      </c>
      <c r="M11191">
        <v>0.98399999999999999</v>
      </c>
      <c r="N11191">
        <v>0.86</v>
      </c>
    </row>
    <row r="11192" spans="1:14" x14ac:dyDescent="0.25">
      <c r="A11192" t="s">
        <v>19395</v>
      </c>
      <c r="B11192" t="s">
        <v>19396</v>
      </c>
      <c r="C11192" s="1" t="str">
        <f>HYPERLINK("http://www.genecards.org/cgi-bin/carddisp.pl?gene=VEZT","GeneCards")</f>
        <v>GeneCards</v>
      </c>
      <c r="D11192" s="1" t="str">
        <f>HYPERLINK("http://genome-euro.ucsc.edu/cgi-bin/hgTracks?position=207263_x_at","UCSC")</f>
        <v>UCSC</v>
      </c>
      <c r="E11192" s="1" t="str">
        <f>HYPERLINK("http://www.ncbi.nlm.nih.gov/gene/?term=VEZT","NCBI")</f>
        <v>NCBI</v>
      </c>
      <c r="F11192">
        <v>0.28000000000000003</v>
      </c>
      <c r="G11192">
        <v>0.42</v>
      </c>
      <c r="H11192" s="1" t="str">
        <f>HYPERLINK("http://www.weizmann.ac.il/complex/compphys/software/geview/data/figures/207263_x_at.png","Figure")</f>
        <v>Figure</v>
      </c>
      <c r="I11192">
        <v>1</v>
      </c>
      <c r="J11192">
        <v>1</v>
      </c>
      <c r="K11192">
        <v>0.89400000000000002</v>
      </c>
      <c r="L11192">
        <v>0.35</v>
      </c>
      <c r="M11192">
        <v>0.89400000000000002</v>
      </c>
      <c r="N11192">
        <v>0.39</v>
      </c>
    </row>
    <row r="11193" spans="1:14" x14ac:dyDescent="0.25">
      <c r="A11193" t="s">
        <v>19397</v>
      </c>
      <c r="B11193" t="s">
        <v>17385</v>
      </c>
      <c r="C11193" s="1" t="str">
        <f>HYPERLINK("http://www.genecards.org/cgi-bin/carddisp.pl?gene=CARS","GeneCards")</f>
        <v>GeneCards</v>
      </c>
      <c r="D11193" s="1" t="str">
        <f>HYPERLINK("http://genome-euro.ucsc.edu/cgi-bin/hgTracks?position=202402_s_at","UCSC")</f>
        <v>UCSC</v>
      </c>
      <c r="E11193" s="1" t="str">
        <f>HYPERLINK("http://www.ncbi.nlm.nih.gov/gene/?term=CARS","NCBI")</f>
        <v>NCBI</v>
      </c>
      <c r="F11193">
        <v>0.28000000000000003</v>
      </c>
      <c r="G11193">
        <v>0.42</v>
      </c>
      <c r="H11193" s="1" t="str">
        <f>HYPERLINK("http://www.weizmann.ac.il/complex/compphys/software/geview/data/figures/202402_s_at.png","Figure")</f>
        <v>Figure</v>
      </c>
      <c r="I11193">
        <v>1.02</v>
      </c>
      <c r="J11193">
        <v>0.95</v>
      </c>
      <c r="K11193">
        <v>0.92100000000000004</v>
      </c>
      <c r="L11193">
        <v>0.43</v>
      </c>
      <c r="M11193">
        <v>0.9</v>
      </c>
      <c r="N11193">
        <v>0.32</v>
      </c>
    </row>
    <row r="11194" spans="1:14" x14ac:dyDescent="0.25">
      <c r="A11194" t="s">
        <v>19398</v>
      </c>
      <c r="B11194" t="s">
        <v>19399</v>
      </c>
      <c r="C11194" s="1" t="str">
        <f>HYPERLINK("http://www.genecards.org/cgi-bin/carddisp.pl?gene=MAP7","GeneCards")</f>
        <v>GeneCards</v>
      </c>
      <c r="D11194" s="1" t="str">
        <f>HYPERLINK("http://genome-euro.ucsc.edu/cgi-bin/hgTracks?position=215471_s_at","UCSC")</f>
        <v>UCSC</v>
      </c>
      <c r="E11194" s="1" t="str">
        <f>HYPERLINK("http://www.ncbi.nlm.nih.gov/gene/?term=MAP7","NCBI")</f>
        <v>NCBI</v>
      </c>
      <c r="F11194">
        <v>0.28000000000000003</v>
      </c>
      <c r="G11194">
        <v>0.42</v>
      </c>
      <c r="H11194" s="1" t="str">
        <f>HYPERLINK("http://www.weizmann.ac.il/complex/compphys/software/geview/data/figures/215471_s_at.png","Figure")</f>
        <v>Figure</v>
      </c>
      <c r="I11194">
        <v>1.1399999999999999</v>
      </c>
      <c r="J11194">
        <v>0.25</v>
      </c>
      <c r="K11194">
        <v>1.06</v>
      </c>
      <c r="L11194">
        <v>0.67</v>
      </c>
      <c r="M11194">
        <v>0.93</v>
      </c>
      <c r="N11194">
        <v>0.59</v>
      </c>
    </row>
    <row r="11195" spans="1:14" x14ac:dyDescent="0.25">
      <c r="A11195" t="s">
        <v>19400</v>
      </c>
      <c r="B11195" t="s">
        <v>19401</v>
      </c>
      <c r="C11195" s="1" t="str">
        <f>HYPERLINK("http://www.genecards.org/cgi-bin/carddisp.pl?gene=LRRK1","GeneCards")</f>
        <v>GeneCards</v>
      </c>
      <c r="D11195" s="1" t="str">
        <f>HYPERLINK("http://genome-euro.ucsc.edu/cgi-bin/hgTracks?position=219441_s_at","UCSC")</f>
        <v>UCSC</v>
      </c>
      <c r="E11195" s="1" t="str">
        <f>HYPERLINK("http://www.ncbi.nlm.nih.gov/gene/?term=LRRK1","NCBI")</f>
        <v>NCBI</v>
      </c>
      <c r="F11195">
        <v>0.28000000000000003</v>
      </c>
      <c r="G11195">
        <v>0.42</v>
      </c>
      <c r="H11195" s="1" t="str">
        <f>HYPERLINK("http://www.weizmann.ac.il/complex/compphys/software/geview/data/figures/219441_s_at.png","Figure")</f>
        <v>Figure</v>
      </c>
      <c r="I11195">
        <v>1.1200000000000001</v>
      </c>
      <c r="J11195">
        <v>0.25</v>
      </c>
      <c r="K11195">
        <v>1.05</v>
      </c>
      <c r="L11195">
        <v>0.68</v>
      </c>
      <c r="M11195">
        <v>0.94</v>
      </c>
      <c r="N11195">
        <v>0.59</v>
      </c>
    </row>
    <row r="11196" spans="1:14" x14ac:dyDescent="0.25">
      <c r="A11196" t="s">
        <v>19402</v>
      </c>
      <c r="B11196" t="s">
        <v>19403</v>
      </c>
      <c r="C11196" s="1" t="str">
        <f>HYPERLINK("http://www.genecards.org/cgi-bin/carddisp.pl?gene=CLDN16","GeneCards")</f>
        <v>GeneCards</v>
      </c>
      <c r="D11196" s="1" t="str">
        <f>HYPERLINK("http://genome-euro.ucsc.edu/cgi-bin/hgTracks?position=220332_at","UCSC")</f>
        <v>UCSC</v>
      </c>
      <c r="E11196" s="1" t="str">
        <f>HYPERLINK("http://www.ncbi.nlm.nih.gov/gene/?term=CLDN16","NCBI")</f>
        <v>NCBI</v>
      </c>
      <c r="F11196">
        <v>0.28000000000000003</v>
      </c>
      <c r="G11196">
        <v>0.42</v>
      </c>
      <c r="H11196" s="1" t="str">
        <f>HYPERLINK("http://www.weizmann.ac.il/complex/compphys/software/geview/data/figures/220332_at.png","Figure")</f>
        <v>Figure</v>
      </c>
      <c r="I11196">
        <v>0.98699999999999999</v>
      </c>
      <c r="J11196">
        <v>0.98</v>
      </c>
      <c r="K11196">
        <v>0.90100000000000002</v>
      </c>
      <c r="L11196">
        <v>0.31</v>
      </c>
      <c r="M11196">
        <v>0.91200000000000003</v>
      </c>
      <c r="N11196">
        <v>0.45</v>
      </c>
    </row>
    <row r="11197" spans="1:14" x14ac:dyDescent="0.25">
      <c r="A11197" t="s">
        <v>19404</v>
      </c>
      <c r="B11197" t="s">
        <v>19405</v>
      </c>
      <c r="C11197" s="1" t="str">
        <f>HYPERLINK("http://www.genecards.org/cgi-bin/carddisp.pl?gene=NOTCH4","GeneCards")</f>
        <v>GeneCards</v>
      </c>
      <c r="D11197" s="1" t="str">
        <f>HYPERLINK("http://genome-euro.ucsc.edu/cgi-bin/hgTracks?position=205247_at","UCSC")</f>
        <v>UCSC</v>
      </c>
      <c r="E11197" s="1" t="str">
        <f>HYPERLINK("http://www.ncbi.nlm.nih.gov/gene/?term=NOTCH4","NCBI")</f>
        <v>NCBI</v>
      </c>
      <c r="F11197">
        <v>0.28000000000000003</v>
      </c>
      <c r="G11197">
        <v>0.42</v>
      </c>
      <c r="H11197" s="1" t="str">
        <f>HYPERLINK("http://www.weizmann.ac.il/complex/compphys/software/geview/data/figures/205247_at.png","Figure")</f>
        <v>Figure</v>
      </c>
      <c r="I11197">
        <v>1.1100000000000001</v>
      </c>
      <c r="J11197">
        <v>0.37</v>
      </c>
      <c r="K11197">
        <v>1.1100000000000001</v>
      </c>
      <c r="L11197">
        <v>0.31</v>
      </c>
      <c r="M11197">
        <v>0.995</v>
      </c>
      <c r="N11197">
        <v>1</v>
      </c>
    </row>
    <row r="11198" spans="1:14" x14ac:dyDescent="0.25">
      <c r="A11198" t="s">
        <v>19406</v>
      </c>
      <c r="B11198" t="s">
        <v>19407</v>
      </c>
      <c r="C11198" s="1" t="str">
        <f>HYPERLINK("http://www.genecards.org/cgi-bin/carddisp.pl?gene=RUNX1 /// SH3D19","GeneCards")</f>
        <v>GeneCards</v>
      </c>
      <c r="D11198" s="1" t="str">
        <f>HYPERLINK("http://genome-euro.ucsc.edu/cgi-bin/hgTracks?position=211620_x_at","UCSC")</f>
        <v>UCSC</v>
      </c>
      <c r="E11198" s="1" t="str">
        <f>HYPERLINK("http://www.ncbi.nlm.nih.gov/gene/?term=RUNX1 /// SH3D19","NCBI")</f>
        <v>NCBI</v>
      </c>
      <c r="F11198">
        <v>0.28000000000000003</v>
      </c>
      <c r="G11198">
        <v>0.42</v>
      </c>
      <c r="H11198" s="1" t="str">
        <f>HYPERLINK("http://www.weizmann.ac.il/complex/compphys/software/geview/data/figures/211620_x_at.png","Figure")</f>
        <v>Figure</v>
      </c>
      <c r="I11198">
        <v>1.1599999999999999</v>
      </c>
      <c r="J11198">
        <v>0.26</v>
      </c>
      <c r="K11198">
        <v>1.1000000000000001</v>
      </c>
      <c r="L11198">
        <v>0.5</v>
      </c>
      <c r="M11198">
        <v>0.94299999999999995</v>
      </c>
      <c r="N11198">
        <v>0.78</v>
      </c>
    </row>
    <row r="11199" spans="1:14" x14ac:dyDescent="0.25">
      <c r="A11199" t="s">
        <v>19408</v>
      </c>
      <c r="B11199" t="s">
        <v>13129</v>
      </c>
      <c r="C11199" s="1" t="str">
        <f>HYPERLINK("http://www.genecards.org/cgi-bin/carddisp.pl?gene=MCM4","GeneCards")</f>
        <v>GeneCards</v>
      </c>
      <c r="D11199" s="1" t="str">
        <f>HYPERLINK("http://genome-euro.ucsc.edu/cgi-bin/hgTracks?position=222036_s_at","UCSC")</f>
        <v>UCSC</v>
      </c>
      <c r="E11199" s="1" t="str">
        <f>HYPERLINK("http://www.ncbi.nlm.nih.gov/gene/?term=MCM4","NCBI")</f>
        <v>NCBI</v>
      </c>
      <c r="F11199">
        <v>0.28000000000000003</v>
      </c>
      <c r="G11199">
        <v>0.42</v>
      </c>
      <c r="H11199" s="1" t="str">
        <f>HYPERLINK("http://www.weizmann.ac.il/complex/compphys/software/geview/data/figures/222036_s_at.png","Figure")</f>
        <v>Figure</v>
      </c>
      <c r="I11199">
        <v>0.86799999999999999</v>
      </c>
      <c r="J11199">
        <v>0.68</v>
      </c>
      <c r="K11199">
        <v>1.1299999999999999</v>
      </c>
      <c r="L11199">
        <v>0.7</v>
      </c>
      <c r="M11199">
        <v>1.3</v>
      </c>
      <c r="N11199">
        <v>0.25</v>
      </c>
    </row>
    <row r="11200" spans="1:14" x14ac:dyDescent="0.25">
      <c r="A11200" t="s">
        <v>19409</v>
      </c>
      <c r="B11200" t="s">
        <v>19263</v>
      </c>
      <c r="C11200" s="1" t="str">
        <f>HYPERLINK("http://www.genecards.org/cgi-bin/carddisp.pl?gene=CHD9","GeneCards")</f>
        <v>GeneCards</v>
      </c>
      <c r="D11200" s="1" t="str">
        <f>HYPERLINK("http://genome-euro.ucsc.edu/cgi-bin/hgTracks?position=212615_at","UCSC")</f>
        <v>UCSC</v>
      </c>
      <c r="E11200" s="1" t="str">
        <f>HYPERLINK("http://www.ncbi.nlm.nih.gov/gene/?term=CHD9","NCBI")</f>
        <v>NCBI</v>
      </c>
      <c r="F11200">
        <v>0.28000000000000003</v>
      </c>
      <c r="G11200">
        <v>0.42</v>
      </c>
      <c r="H11200" s="1" t="str">
        <f>HYPERLINK("http://www.weizmann.ac.il/complex/compphys/software/geview/data/figures/212615_at.png","Figure")</f>
        <v>Figure</v>
      </c>
      <c r="I11200">
        <v>0.69</v>
      </c>
      <c r="J11200">
        <v>0.31</v>
      </c>
      <c r="K11200">
        <v>0.74299999999999999</v>
      </c>
      <c r="L11200">
        <v>0.37</v>
      </c>
      <c r="M11200">
        <v>1.08</v>
      </c>
      <c r="N11200">
        <v>0.94</v>
      </c>
    </row>
    <row r="11201" spans="1:14" x14ac:dyDescent="0.25">
      <c r="A11201" t="s">
        <v>19410</v>
      </c>
      <c r="B11201" t="s">
        <v>19411</v>
      </c>
      <c r="C11201" s="1" t="str">
        <f>HYPERLINK("http://www.genecards.org/cgi-bin/carddisp.pl?gene=TSHB","GeneCards")</f>
        <v>GeneCards</v>
      </c>
      <c r="D11201" s="1" t="str">
        <f>HYPERLINK("http://genome-euro.ucsc.edu/cgi-bin/hgTracks?position=214529_at","UCSC")</f>
        <v>UCSC</v>
      </c>
      <c r="E11201" s="1" t="str">
        <f>HYPERLINK("http://www.ncbi.nlm.nih.gov/gene/?term=TSHB","NCBI")</f>
        <v>NCBI</v>
      </c>
      <c r="F11201">
        <v>0.28000000000000003</v>
      </c>
      <c r="G11201">
        <v>0.42</v>
      </c>
      <c r="H11201" s="1" t="str">
        <f>HYPERLINK("http://www.weizmann.ac.il/complex/compphys/software/geview/data/figures/214529_at.png","Figure")</f>
        <v>Figure</v>
      </c>
      <c r="I11201">
        <v>1.1100000000000001</v>
      </c>
      <c r="J11201">
        <v>0.28000000000000003</v>
      </c>
      <c r="K11201">
        <v>1.02</v>
      </c>
      <c r="L11201">
        <v>0.91</v>
      </c>
      <c r="M11201">
        <v>0.92400000000000004</v>
      </c>
      <c r="N11201">
        <v>0.4</v>
      </c>
    </row>
    <row r="11202" spans="1:14" x14ac:dyDescent="0.25">
      <c r="A11202" t="s">
        <v>19412</v>
      </c>
      <c r="B11202" t="s">
        <v>19413</v>
      </c>
      <c r="C11202" s="1" t="str">
        <f>HYPERLINK("http://www.genecards.org/cgi-bin/carddisp.pl?gene=C17orf90","GeneCards")</f>
        <v>GeneCards</v>
      </c>
      <c r="D11202" s="1" t="str">
        <f>HYPERLINK("http://genome-euro.ucsc.edu/cgi-bin/hgTracks?position=50374_at","UCSC")</f>
        <v>UCSC</v>
      </c>
      <c r="E11202" s="1" t="str">
        <f>HYPERLINK("http://www.ncbi.nlm.nih.gov/gene/?term=C17orf90","NCBI")</f>
        <v>NCBI</v>
      </c>
      <c r="F11202">
        <v>0.28000000000000003</v>
      </c>
      <c r="G11202">
        <v>0.42</v>
      </c>
      <c r="H11202" s="1" t="str">
        <f>HYPERLINK("http://www.weizmann.ac.il/complex/compphys/software/geview/data/figures/50374_at.png","Figure")</f>
        <v>Figure</v>
      </c>
      <c r="I11202">
        <v>0.77900000000000003</v>
      </c>
      <c r="J11202">
        <v>0.26</v>
      </c>
      <c r="K11202">
        <v>0.92600000000000005</v>
      </c>
      <c r="L11202">
        <v>0.83</v>
      </c>
      <c r="M11202">
        <v>1.19</v>
      </c>
      <c r="N11202">
        <v>0.46</v>
      </c>
    </row>
    <row r="11203" spans="1:14" x14ac:dyDescent="0.25">
      <c r="A11203" t="s">
        <v>19414</v>
      </c>
      <c r="B11203" t="s">
        <v>19415</v>
      </c>
      <c r="C11203" s="1" t="str">
        <f>HYPERLINK("http://www.genecards.org/cgi-bin/carddisp.pl?gene=JRK","GeneCards")</f>
        <v>GeneCards</v>
      </c>
      <c r="D11203" s="1" t="str">
        <f>HYPERLINK("http://genome-euro.ucsc.edu/cgi-bin/hgTracks?position=214692_s_at","UCSC")</f>
        <v>UCSC</v>
      </c>
      <c r="E11203" s="1" t="str">
        <f>HYPERLINK("http://www.ncbi.nlm.nih.gov/gene/?term=JRK","NCBI")</f>
        <v>NCBI</v>
      </c>
      <c r="F11203">
        <v>0.28000000000000003</v>
      </c>
      <c r="G11203">
        <v>0.42</v>
      </c>
      <c r="H11203" s="1" t="str">
        <f>HYPERLINK("http://www.weizmann.ac.il/complex/compphys/software/geview/data/figures/214692_s_at.png","Figure")</f>
        <v>Figure</v>
      </c>
      <c r="I11203">
        <v>1.1399999999999999</v>
      </c>
      <c r="J11203">
        <v>0.41</v>
      </c>
      <c r="K11203">
        <v>0.98</v>
      </c>
      <c r="L11203">
        <v>0.97</v>
      </c>
      <c r="M11203">
        <v>0.86</v>
      </c>
      <c r="N11203">
        <v>0.27</v>
      </c>
    </row>
    <row r="11204" spans="1:14" x14ac:dyDescent="0.25">
      <c r="A11204" t="s">
        <v>19416</v>
      </c>
      <c r="B11204" t="s">
        <v>19417</v>
      </c>
      <c r="C11204" s="1" t="str">
        <f>HYPERLINK("http://www.genecards.org/cgi-bin/carddisp.pl?gene=KIAA1012","GeneCards")</f>
        <v>GeneCards</v>
      </c>
      <c r="D11204" s="1" t="str">
        <f>HYPERLINK("http://genome-euro.ucsc.edu/cgi-bin/hgTracks?position=207305_s_at","UCSC")</f>
        <v>UCSC</v>
      </c>
      <c r="E11204" s="1" t="str">
        <f>HYPERLINK("http://www.ncbi.nlm.nih.gov/gene/?term=KIAA1012","NCBI")</f>
        <v>NCBI</v>
      </c>
      <c r="F11204">
        <v>0.28000000000000003</v>
      </c>
      <c r="G11204">
        <v>0.42</v>
      </c>
      <c r="H11204" s="1" t="str">
        <f>HYPERLINK("http://www.weizmann.ac.il/complex/compphys/software/geview/data/figures/207305_s_at.png","Figure")</f>
        <v>Figure</v>
      </c>
      <c r="I11204">
        <v>1.22</v>
      </c>
      <c r="J11204">
        <v>0.79</v>
      </c>
      <c r="K11204">
        <v>1.55</v>
      </c>
      <c r="L11204">
        <v>0.25</v>
      </c>
      <c r="M11204">
        <v>1.28</v>
      </c>
      <c r="N11204">
        <v>0.67</v>
      </c>
    </row>
    <row r="11205" spans="1:14" x14ac:dyDescent="0.25">
      <c r="A11205" t="s">
        <v>19418</v>
      </c>
      <c r="B11205" t="s">
        <v>19419</v>
      </c>
      <c r="C11205" s="1" t="str">
        <f>HYPERLINK("http://www.genecards.org/cgi-bin/carddisp.pl?gene=C11orf48","GeneCards")</f>
        <v>GeneCards</v>
      </c>
      <c r="D11205" s="1" t="str">
        <f>HYPERLINK("http://genome-euro.ucsc.edu/cgi-bin/hgTracks?position=221637_s_at","UCSC")</f>
        <v>UCSC</v>
      </c>
      <c r="E11205" s="1" t="str">
        <f>HYPERLINK("http://www.ncbi.nlm.nih.gov/gene/?term=C11orf48","NCBI")</f>
        <v>NCBI</v>
      </c>
      <c r="F11205">
        <v>0.28000000000000003</v>
      </c>
      <c r="G11205">
        <v>0.42</v>
      </c>
      <c r="H11205" s="1" t="str">
        <f>HYPERLINK("http://www.weizmann.ac.il/complex/compphys/software/geview/data/figures/221637_s_at.png","Figure")</f>
        <v>Figure</v>
      </c>
      <c r="I11205">
        <v>1.07</v>
      </c>
      <c r="J11205">
        <v>0.62</v>
      </c>
      <c r="K11205">
        <v>1.1200000000000001</v>
      </c>
      <c r="L11205">
        <v>0.25</v>
      </c>
      <c r="M11205">
        <v>1.04</v>
      </c>
      <c r="N11205">
        <v>0.85</v>
      </c>
    </row>
    <row r="11206" spans="1:14" x14ac:dyDescent="0.25">
      <c r="A11206" t="s">
        <v>19420</v>
      </c>
      <c r="B11206" t="s">
        <v>19421</v>
      </c>
      <c r="C11206" s="1" t="str">
        <f>HYPERLINK("http://www.genecards.org/cgi-bin/carddisp.pl?gene=LOC728564","GeneCards")</f>
        <v>GeneCards</v>
      </c>
      <c r="D11206" s="1" t="str">
        <f>HYPERLINK("http://genome-euro.ucsc.edu/cgi-bin/hgTracks?position=216688_at","UCSC")</f>
        <v>UCSC</v>
      </c>
      <c r="E11206" s="1" t="str">
        <f>HYPERLINK("http://www.ncbi.nlm.nih.gov/gene/?term=LOC728564","NCBI")</f>
        <v>NCBI</v>
      </c>
      <c r="F11206">
        <v>0.28000000000000003</v>
      </c>
      <c r="G11206">
        <v>0.42</v>
      </c>
      <c r="H11206" s="1" t="str">
        <f>HYPERLINK("http://www.weizmann.ac.il/complex/compphys/software/geview/data/figures/216688_at.png","Figure")</f>
        <v>Figure</v>
      </c>
      <c r="I11206">
        <v>1.1200000000000001</v>
      </c>
      <c r="J11206">
        <v>0.41</v>
      </c>
      <c r="K11206">
        <v>0.98399999999999999</v>
      </c>
      <c r="L11206">
        <v>0.98</v>
      </c>
      <c r="M11206">
        <v>0.878</v>
      </c>
      <c r="N11206">
        <v>0.27</v>
      </c>
    </row>
    <row r="11207" spans="1:14" x14ac:dyDescent="0.25">
      <c r="A11207" t="s">
        <v>19422</v>
      </c>
      <c r="B11207" t="s">
        <v>19423</v>
      </c>
      <c r="C11207" s="1" t="str">
        <f>HYPERLINK("http://www.genecards.org/cgi-bin/carddisp.pl?gene=TRPC7","GeneCards")</f>
        <v>GeneCards</v>
      </c>
      <c r="D11207" s="1" t="str">
        <f>HYPERLINK("http://genome-euro.ucsc.edu/cgi-bin/hgTracks?position=208589_at","UCSC")</f>
        <v>UCSC</v>
      </c>
      <c r="E11207" s="1" t="str">
        <f>HYPERLINK("http://www.ncbi.nlm.nih.gov/gene/?term=TRPC7","NCBI")</f>
        <v>NCBI</v>
      </c>
      <c r="F11207">
        <v>0.28000000000000003</v>
      </c>
      <c r="G11207">
        <v>0.42</v>
      </c>
      <c r="H11207" s="1" t="str">
        <f>HYPERLINK("http://www.weizmann.ac.il/complex/compphys/software/geview/data/figures/208589_at.png","Figure")</f>
        <v>Figure</v>
      </c>
      <c r="I11207">
        <v>0.97199999999999998</v>
      </c>
      <c r="J11207">
        <v>0.34</v>
      </c>
      <c r="K11207">
        <v>0.999</v>
      </c>
      <c r="L11207">
        <v>1</v>
      </c>
      <c r="M11207">
        <v>1.03</v>
      </c>
      <c r="N11207">
        <v>0.31</v>
      </c>
    </row>
    <row r="11208" spans="1:14" x14ac:dyDescent="0.25">
      <c r="A11208" t="s">
        <v>19424</v>
      </c>
      <c r="B11208" t="s">
        <v>19425</v>
      </c>
      <c r="C11208" s="1" t="str">
        <f>HYPERLINK("http://www.genecards.org/cgi-bin/carddisp.pl?gene=C12orf43","GeneCards")</f>
        <v>GeneCards</v>
      </c>
      <c r="D11208" s="1" t="str">
        <f>HYPERLINK("http://genome-euro.ucsc.edu/cgi-bin/hgTracks?position=219022_at","UCSC")</f>
        <v>UCSC</v>
      </c>
      <c r="E11208" s="1" t="str">
        <f>HYPERLINK("http://www.ncbi.nlm.nih.gov/gene/?term=C12orf43","NCBI")</f>
        <v>NCBI</v>
      </c>
      <c r="F11208">
        <v>0.28000000000000003</v>
      </c>
      <c r="G11208">
        <v>0.42</v>
      </c>
      <c r="H11208" s="1" t="str">
        <f>HYPERLINK("http://www.weizmann.ac.il/complex/compphys/software/geview/data/figures/219022_at.png","Figure")</f>
        <v>Figure</v>
      </c>
      <c r="I11208">
        <v>0.88900000000000001</v>
      </c>
      <c r="J11208">
        <v>0.41</v>
      </c>
      <c r="K11208">
        <v>0.88600000000000001</v>
      </c>
      <c r="L11208">
        <v>0.3</v>
      </c>
      <c r="M11208">
        <v>0.997</v>
      </c>
      <c r="N11208">
        <v>1</v>
      </c>
    </row>
    <row r="11209" spans="1:14" x14ac:dyDescent="0.25">
      <c r="A11209" t="s">
        <v>19426</v>
      </c>
      <c r="B11209" t="s">
        <v>12190</v>
      </c>
      <c r="C11209" s="1" t="str">
        <f>HYPERLINK("http://www.genecards.org/cgi-bin/carddisp.pl?gene=UBE2I","GeneCards")</f>
        <v>GeneCards</v>
      </c>
      <c r="D11209" s="1" t="str">
        <f>HYPERLINK("http://genome-euro.ucsc.edu/cgi-bin/hgTracks?position=208760_at","UCSC")</f>
        <v>UCSC</v>
      </c>
      <c r="E11209" s="1" t="str">
        <f>HYPERLINK("http://www.ncbi.nlm.nih.gov/gene/?term=UBE2I","NCBI")</f>
        <v>NCBI</v>
      </c>
      <c r="F11209">
        <v>0.28000000000000003</v>
      </c>
      <c r="G11209">
        <v>0.42</v>
      </c>
      <c r="H11209" s="1" t="str">
        <f>HYPERLINK("http://www.weizmann.ac.il/complex/compphys/software/geview/data/figures/208760_at.png","Figure")</f>
        <v>Figure</v>
      </c>
      <c r="I11209">
        <v>0.91300000000000003</v>
      </c>
      <c r="J11209">
        <v>0.7</v>
      </c>
      <c r="K11209">
        <v>1.0900000000000001</v>
      </c>
      <c r="L11209">
        <v>0.68</v>
      </c>
      <c r="M11209">
        <v>1.19</v>
      </c>
      <c r="N11209">
        <v>0.25</v>
      </c>
    </row>
    <row r="11210" spans="1:14" x14ac:dyDescent="0.25">
      <c r="A11210" t="s">
        <v>19427</v>
      </c>
      <c r="B11210" t="s">
        <v>19428</v>
      </c>
      <c r="C11210" s="1" t="str">
        <f>HYPERLINK("http://www.genecards.org/cgi-bin/carddisp.pl?gene=TNNT3","GeneCards")</f>
        <v>GeneCards</v>
      </c>
      <c r="D11210" s="1" t="str">
        <f>HYPERLINK("http://genome-euro.ucsc.edu/cgi-bin/hgTracks?position=205693_at","UCSC")</f>
        <v>UCSC</v>
      </c>
      <c r="E11210" s="1" t="str">
        <f>HYPERLINK("http://www.ncbi.nlm.nih.gov/gene/?term=TNNT3","NCBI")</f>
        <v>NCBI</v>
      </c>
      <c r="F11210">
        <v>0.28000000000000003</v>
      </c>
      <c r="G11210">
        <v>0.42</v>
      </c>
      <c r="H11210" s="1" t="str">
        <f>HYPERLINK("http://www.weizmann.ac.il/complex/compphys/software/geview/data/figures/205693_at.png","Figure")</f>
        <v>Figure</v>
      </c>
      <c r="I11210">
        <v>1.1000000000000001</v>
      </c>
      <c r="J11210">
        <v>0.31</v>
      </c>
      <c r="K11210">
        <v>1.07</v>
      </c>
      <c r="L11210">
        <v>0.39</v>
      </c>
      <c r="M11210">
        <v>0.97899999999999998</v>
      </c>
      <c r="N11210">
        <v>0.93</v>
      </c>
    </row>
    <row r="11211" spans="1:14" x14ac:dyDescent="0.25">
      <c r="A11211" t="s">
        <v>19429</v>
      </c>
      <c r="B11211" t="s">
        <v>19430</v>
      </c>
      <c r="C11211" s="1" t="str">
        <f>HYPERLINK("http://www.genecards.org/cgi-bin/carddisp.pl?gene=PSTPIP1","GeneCards")</f>
        <v>GeneCards</v>
      </c>
      <c r="D11211" s="1" t="str">
        <f>HYPERLINK("http://genome-euro.ucsc.edu/cgi-bin/hgTracks?position=211178_s_at","UCSC")</f>
        <v>UCSC</v>
      </c>
      <c r="E11211" s="1" t="str">
        <f>HYPERLINK("http://www.ncbi.nlm.nih.gov/gene/?term=PSTPIP1","NCBI")</f>
        <v>NCBI</v>
      </c>
      <c r="F11211">
        <v>0.28000000000000003</v>
      </c>
      <c r="G11211">
        <v>0.42</v>
      </c>
      <c r="H11211" s="1" t="str">
        <f>HYPERLINK("http://www.weizmann.ac.il/complex/compphys/software/geview/data/figures/211178_s_at.png","Figure")</f>
        <v>Figure</v>
      </c>
      <c r="I11211">
        <v>0.79100000000000004</v>
      </c>
      <c r="J11211">
        <v>0.28000000000000003</v>
      </c>
      <c r="K11211">
        <v>0.95399999999999996</v>
      </c>
      <c r="L11211">
        <v>0.93</v>
      </c>
      <c r="M11211">
        <v>1.2</v>
      </c>
      <c r="N11211">
        <v>0.39</v>
      </c>
    </row>
    <row r="11212" spans="1:14" x14ac:dyDescent="0.25">
      <c r="A11212" t="s">
        <v>19431</v>
      </c>
      <c r="B11212" t="s">
        <v>19432</v>
      </c>
      <c r="C11212" s="1" t="str">
        <f>HYPERLINK("http://www.genecards.org/cgi-bin/carddisp.pl?gene=ATP1A3","GeneCards")</f>
        <v>GeneCards</v>
      </c>
      <c r="D11212" s="1" t="str">
        <f>HYPERLINK("http://genome-euro.ucsc.edu/cgi-bin/hgTracks?position=214432_at","UCSC")</f>
        <v>UCSC</v>
      </c>
      <c r="E11212" s="1" t="str">
        <f>HYPERLINK("http://www.ncbi.nlm.nih.gov/gene/?term=ATP1A3","NCBI")</f>
        <v>NCBI</v>
      </c>
      <c r="F11212">
        <v>0.28000000000000003</v>
      </c>
      <c r="G11212">
        <v>0.42</v>
      </c>
      <c r="H11212" s="1" t="str">
        <f>HYPERLINK("http://www.weizmann.ac.il/complex/compphys/software/geview/data/figures/214432_at.png","Figure")</f>
        <v>Figure</v>
      </c>
      <c r="I11212">
        <v>1.05</v>
      </c>
      <c r="J11212">
        <v>0.39</v>
      </c>
      <c r="K11212">
        <v>1.05</v>
      </c>
      <c r="L11212">
        <v>0.3</v>
      </c>
      <c r="M11212">
        <v>1</v>
      </c>
      <c r="N11212">
        <v>1</v>
      </c>
    </row>
    <row r="11213" spans="1:14" x14ac:dyDescent="0.25">
      <c r="A11213" t="s">
        <v>19433</v>
      </c>
      <c r="B11213" t="s">
        <v>19434</v>
      </c>
      <c r="C11213" s="1" t="str">
        <f>HYPERLINK("http://www.genecards.org/cgi-bin/carddisp.pl?gene=SQRDL","GeneCards")</f>
        <v>GeneCards</v>
      </c>
      <c r="D11213" s="1" t="str">
        <f>HYPERLINK("http://genome-euro.ucsc.edu/cgi-bin/hgTracks?position=217995_at","UCSC")</f>
        <v>UCSC</v>
      </c>
      <c r="E11213" s="1" t="str">
        <f>HYPERLINK("http://www.ncbi.nlm.nih.gov/gene/?term=SQRDL","NCBI")</f>
        <v>NCBI</v>
      </c>
      <c r="F11213">
        <v>0.28000000000000003</v>
      </c>
      <c r="G11213">
        <v>0.42</v>
      </c>
      <c r="H11213" s="1" t="str">
        <f>HYPERLINK("http://www.weizmann.ac.il/complex/compphys/software/geview/data/figures/217995_at.png","Figure")</f>
        <v>Figure</v>
      </c>
      <c r="I11213">
        <v>1.25</v>
      </c>
      <c r="J11213">
        <v>0.67</v>
      </c>
      <c r="K11213">
        <v>1.45</v>
      </c>
      <c r="L11213">
        <v>0.25</v>
      </c>
      <c r="M11213">
        <v>1.1599999999999999</v>
      </c>
      <c r="N11213">
        <v>0.8</v>
      </c>
    </row>
    <row r="11214" spans="1:14" x14ac:dyDescent="0.25">
      <c r="A11214" t="s">
        <v>19435</v>
      </c>
      <c r="B11214" t="s">
        <v>19436</v>
      </c>
      <c r="C11214" s="1" t="str">
        <f>HYPERLINK("http://www.genecards.org/cgi-bin/carddisp.pl?gene=HTR3B","GeneCards")</f>
        <v>GeneCards</v>
      </c>
      <c r="D11214" s="1" t="str">
        <f>HYPERLINK("http://genome-euro.ucsc.edu/cgi-bin/hgTracks?position=221084_at","UCSC")</f>
        <v>UCSC</v>
      </c>
      <c r="E11214" s="1" t="str">
        <f>HYPERLINK("http://www.ncbi.nlm.nih.gov/gene/?term=HTR3B","NCBI")</f>
        <v>NCBI</v>
      </c>
      <c r="F11214">
        <v>0.28000000000000003</v>
      </c>
      <c r="G11214">
        <v>0.42</v>
      </c>
      <c r="H11214" s="1" t="str">
        <f>HYPERLINK("http://www.weizmann.ac.il/complex/compphys/software/geview/data/figures/221084_at.png","Figure")</f>
        <v>Figure</v>
      </c>
      <c r="I11214">
        <v>1.1499999999999999</v>
      </c>
      <c r="J11214">
        <v>0.26</v>
      </c>
      <c r="K11214">
        <v>1.04</v>
      </c>
      <c r="L11214">
        <v>0.84</v>
      </c>
      <c r="M11214">
        <v>0.90400000000000003</v>
      </c>
      <c r="N11214">
        <v>0.45</v>
      </c>
    </row>
    <row r="11215" spans="1:14" x14ac:dyDescent="0.25">
      <c r="A11215" t="s">
        <v>19437</v>
      </c>
      <c r="B11215" t="s">
        <v>19438</v>
      </c>
      <c r="C11215" s="1" t="str">
        <f>HYPERLINK("http://www.genecards.org/cgi-bin/carddisp.pl?gene=UCN","GeneCards")</f>
        <v>GeneCards</v>
      </c>
      <c r="D11215" s="1" t="str">
        <f>HYPERLINK("http://genome-euro.ucsc.edu/cgi-bin/hgTracks?position=206072_at","UCSC")</f>
        <v>UCSC</v>
      </c>
      <c r="E11215" s="1" t="str">
        <f>HYPERLINK("http://www.ncbi.nlm.nih.gov/gene/?term=UCN","NCBI")</f>
        <v>NCBI</v>
      </c>
      <c r="F11215">
        <v>0.28000000000000003</v>
      </c>
      <c r="G11215">
        <v>0.42</v>
      </c>
      <c r="H11215" s="1" t="str">
        <f>HYPERLINK("http://www.weizmann.ac.il/complex/compphys/software/geview/data/figures/206072_at.png","Figure")</f>
        <v>Figure</v>
      </c>
      <c r="I11215">
        <v>0.94199999999999995</v>
      </c>
      <c r="J11215">
        <v>0.56000000000000005</v>
      </c>
      <c r="K11215">
        <v>1.03</v>
      </c>
      <c r="L11215">
        <v>0.83</v>
      </c>
      <c r="M11215">
        <v>1.0900000000000001</v>
      </c>
      <c r="N11215">
        <v>0.25</v>
      </c>
    </row>
    <row r="11216" spans="1:14" x14ac:dyDescent="0.25">
      <c r="A11216" t="s">
        <v>19439</v>
      </c>
      <c r="B11216" t="s">
        <v>11956</v>
      </c>
      <c r="C11216" s="1" t="str">
        <f>HYPERLINK("http://www.genecards.org/cgi-bin/carddisp.pl?gene=PDGFB","GeneCards")</f>
        <v>GeneCards</v>
      </c>
      <c r="D11216" s="1" t="str">
        <f>HYPERLINK("http://genome-euro.ucsc.edu/cgi-bin/hgTracks?position=217112_at","UCSC")</f>
        <v>UCSC</v>
      </c>
      <c r="E11216" s="1" t="str">
        <f>HYPERLINK("http://www.ncbi.nlm.nih.gov/gene/?term=PDGFB","NCBI")</f>
        <v>NCBI</v>
      </c>
      <c r="F11216">
        <v>0.28000000000000003</v>
      </c>
      <c r="G11216">
        <v>0.42</v>
      </c>
      <c r="H11216" s="1" t="str">
        <f>HYPERLINK("http://www.weizmann.ac.il/complex/compphys/software/geview/data/figures/217112_at.png","Figure")</f>
        <v>Figure</v>
      </c>
      <c r="I11216">
        <v>0.96599999999999997</v>
      </c>
      <c r="J11216">
        <v>0.31</v>
      </c>
      <c r="K11216">
        <v>0.996</v>
      </c>
      <c r="L11216">
        <v>0.98</v>
      </c>
      <c r="M11216">
        <v>1.03</v>
      </c>
      <c r="N11216">
        <v>0.34</v>
      </c>
    </row>
    <row r="11217" spans="1:14" x14ac:dyDescent="0.25">
      <c r="A11217" t="s">
        <v>19440</v>
      </c>
      <c r="B11217" t="s">
        <v>11098</v>
      </c>
      <c r="C11217" s="1" t="str">
        <f>HYPERLINK("http://www.genecards.org/cgi-bin/carddisp.pl?gene=DIMT1L","GeneCards")</f>
        <v>GeneCards</v>
      </c>
      <c r="D11217" s="1" t="str">
        <f>HYPERLINK("http://genome-euro.ucsc.edu/cgi-bin/hgTracks?position=204405_x_at","UCSC")</f>
        <v>UCSC</v>
      </c>
      <c r="E11217" s="1" t="str">
        <f>HYPERLINK("http://www.ncbi.nlm.nih.gov/gene/?term=DIMT1L","NCBI")</f>
        <v>NCBI</v>
      </c>
      <c r="F11217">
        <v>0.28000000000000003</v>
      </c>
      <c r="G11217">
        <v>0.42</v>
      </c>
      <c r="H11217" s="1" t="str">
        <f>HYPERLINK("http://www.weizmann.ac.il/complex/compphys/software/geview/data/figures/204405_x_at.png","Figure")</f>
        <v>Figure</v>
      </c>
      <c r="I11217">
        <v>0.92500000000000004</v>
      </c>
      <c r="J11217">
        <v>0.9</v>
      </c>
      <c r="K11217">
        <v>1.2</v>
      </c>
      <c r="L11217">
        <v>0.49</v>
      </c>
      <c r="M11217">
        <v>1.29</v>
      </c>
      <c r="N11217">
        <v>0.28999999999999998</v>
      </c>
    </row>
    <row r="11218" spans="1:14" x14ac:dyDescent="0.25">
      <c r="A11218" t="s">
        <v>19441</v>
      </c>
      <c r="B11218" t="s">
        <v>19442</v>
      </c>
      <c r="C11218" s="1" t="str">
        <f>HYPERLINK("http://www.genecards.org/cgi-bin/carddisp.pl?gene=GLTSCR1","GeneCards")</f>
        <v>GeneCards</v>
      </c>
      <c r="D11218" s="1" t="str">
        <f>HYPERLINK("http://genome-euro.ucsc.edu/cgi-bin/hgTracks?position=219445_at","UCSC")</f>
        <v>UCSC</v>
      </c>
      <c r="E11218" s="1" t="str">
        <f>HYPERLINK("http://www.ncbi.nlm.nih.gov/gene/?term=GLTSCR1","NCBI")</f>
        <v>NCBI</v>
      </c>
      <c r="F11218">
        <v>0.28000000000000003</v>
      </c>
      <c r="G11218">
        <v>0.42</v>
      </c>
      <c r="H11218" s="1" t="str">
        <f>HYPERLINK("http://www.weizmann.ac.il/complex/compphys/software/geview/data/figures/219445_at.png","Figure")</f>
        <v>Figure</v>
      </c>
      <c r="I11218">
        <v>1.1599999999999999</v>
      </c>
      <c r="J11218">
        <v>0.25</v>
      </c>
      <c r="K11218">
        <v>1.06</v>
      </c>
      <c r="L11218">
        <v>0.72</v>
      </c>
      <c r="M11218">
        <v>0.91700000000000004</v>
      </c>
      <c r="N11218">
        <v>0.55000000000000004</v>
      </c>
    </row>
    <row r="11219" spans="1:14" x14ac:dyDescent="0.25">
      <c r="A11219" t="s">
        <v>19443</v>
      </c>
      <c r="B11219" t="s">
        <v>19444</v>
      </c>
      <c r="C11219" s="1" t="str">
        <f>HYPERLINK("http://www.genecards.org/cgi-bin/carddisp.pl?gene=C8orf30A","GeneCards")</f>
        <v>GeneCards</v>
      </c>
      <c r="D11219" s="1" t="str">
        <f>HYPERLINK("http://genome-euro.ucsc.edu/cgi-bin/hgTracks?position=221629_x_at","UCSC")</f>
        <v>UCSC</v>
      </c>
      <c r="E11219" s="1" t="str">
        <f>HYPERLINK("http://www.ncbi.nlm.nih.gov/gene/?term=C8orf30A","NCBI")</f>
        <v>NCBI</v>
      </c>
      <c r="F11219">
        <v>0.28000000000000003</v>
      </c>
      <c r="G11219">
        <v>0.42</v>
      </c>
      <c r="H11219" s="1" t="str">
        <f>HYPERLINK("http://www.weizmann.ac.il/complex/compphys/software/geview/data/figures/221629_x_at.png","Figure")</f>
        <v>Figure</v>
      </c>
      <c r="I11219">
        <v>1.19</v>
      </c>
      <c r="J11219">
        <v>0.28000000000000003</v>
      </c>
      <c r="K11219">
        <v>1.04</v>
      </c>
      <c r="L11219">
        <v>0.91</v>
      </c>
      <c r="M11219">
        <v>0.873</v>
      </c>
      <c r="N11219">
        <v>0.4</v>
      </c>
    </row>
    <row r="11220" spans="1:14" x14ac:dyDescent="0.25">
      <c r="A11220" t="s">
        <v>19445</v>
      </c>
      <c r="B11220" t="s">
        <v>19446</v>
      </c>
      <c r="C11220" s="1" t="str">
        <f>HYPERLINK("http://www.genecards.org/cgi-bin/carddisp.pl?gene=ADAMTS9","GeneCards")</f>
        <v>GeneCards</v>
      </c>
      <c r="D11220" s="1" t="str">
        <f>HYPERLINK("http://genome-euro.ucsc.edu/cgi-bin/hgTracks?position=220287_at","UCSC")</f>
        <v>UCSC</v>
      </c>
      <c r="E11220" s="1" t="str">
        <f>HYPERLINK("http://www.ncbi.nlm.nih.gov/gene/?term=ADAMTS9","NCBI")</f>
        <v>NCBI</v>
      </c>
      <c r="F11220">
        <v>0.28000000000000003</v>
      </c>
      <c r="G11220">
        <v>0.42</v>
      </c>
      <c r="H11220" s="1" t="str">
        <f>HYPERLINK("http://www.weizmann.ac.il/complex/compphys/software/geview/data/figures/220287_at.png","Figure")</f>
        <v>Figure</v>
      </c>
      <c r="I11220">
        <v>1.08</v>
      </c>
      <c r="J11220">
        <v>0.42</v>
      </c>
      <c r="K11220">
        <v>0.98599999999999999</v>
      </c>
      <c r="L11220">
        <v>0.96</v>
      </c>
      <c r="M11220">
        <v>0.91</v>
      </c>
      <c r="N11220">
        <v>0.27</v>
      </c>
    </row>
    <row r="11221" spans="1:14" x14ac:dyDescent="0.25">
      <c r="A11221" t="s">
        <v>19447</v>
      </c>
      <c r="B11221" t="s">
        <v>17038</v>
      </c>
      <c r="C11221" s="1" t="str">
        <f>HYPERLINK("http://www.genecards.org/cgi-bin/carddisp.pl?gene=RAD23B","GeneCards")</f>
        <v>GeneCards</v>
      </c>
      <c r="D11221" s="1" t="str">
        <f>HYPERLINK("http://genome-euro.ucsc.edu/cgi-bin/hgTracks?position=201222_s_at","UCSC")</f>
        <v>UCSC</v>
      </c>
      <c r="E11221" s="1" t="str">
        <f>HYPERLINK("http://www.ncbi.nlm.nih.gov/gene/?term=RAD23B","NCBI")</f>
        <v>NCBI</v>
      </c>
      <c r="F11221">
        <v>0.28000000000000003</v>
      </c>
      <c r="G11221">
        <v>0.42</v>
      </c>
      <c r="H11221" s="1" t="str">
        <f>HYPERLINK("http://www.weizmann.ac.il/complex/compphys/software/geview/data/figures/201222_s_at.png","Figure")</f>
        <v>Figure</v>
      </c>
      <c r="I11221">
        <v>0.82399999999999995</v>
      </c>
      <c r="J11221">
        <v>0.5</v>
      </c>
      <c r="K11221">
        <v>1.07</v>
      </c>
      <c r="L11221">
        <v>0.89</v>
      </c>
      <c r="M11221">
        <v>1.3</v>
      </c>
      <c r="N11221">
        <v>0.25</v>
      </c>
    </row>
    <row r="11222" spans="1:14" x14ac:dyDescent="0.25">
      <c r="A11222" t="s">
        <v>19448</v>
      </c>
      <c r="B11222" t="s">
        <v>10078</v>
      </c>
      <c r="C11222" s="1" t="str">
        <f>HYPERLINK("http://www.genecards.org/cgi-bin/carddisp.pl?gene=MRPS18A","GeneCards")</f>
        <v>GeneCards</v>
      </c>
      <c r="D11222" s="1" t="str">
        <f>HYPERLINK("http://genome-euro.ucsc.edu/cgi-bin/hgTracks?position=218385_at","UCSC")</f>
        <v>UCSC</v>
      </c>
      <c r="E11222" s="1" t="str">
        <f>HYPERLINK("http://www.ncbi.nlm.nih.gov/gene/?term=MRPS18A","NCBI")</f>
        <v>NCBI</v>
      </c>
      <c r="F11222">
        <v>0.28000000000000003</v>
      </c>
      <c r="G11222">
        <v>0.42</v>
      </c>
      <c r="H11222" s="1" t="str">
        <f>HYPERLINK("http://www.weizmann.ac.il/complex/compphys/software/geview/data/figures/218385_at.png","Figure")</f>
        <v>Figure</v>
      </c>
      <c r="I11222">
        <v>0.98199999999999998</v>
      </c>
      <c r="J11222">
        <v>0.99</v>
      </c>
      <c r="K11222">
        <v>1.1599999999999999</v>
      </c>
      <c r="L11222">
        <v>0.39</v>
      </c>
      <c r="M11222">
        <v>1.18</v>
      </c>
      <c r="N11222">
        <v>0.36</v>
      </c>
    </row>
    <row r="11223" spans="1:14" x14ac:dyDescent="0.25">
      <c r="A11223" t="s">
        <v>19449</v>
      </c>
      <c r="B11223" t="s">
        <v>10767</v>
      </c>
      <c r="C11223" s="1" t="str">
        <f>HYPERLINK("http://www.genecards.org/cgi-bin/carddisp.pl?gene=RAB3GAP2","GeneCards")</f>
        <v>GeneCards</v>
      </c>
      <c r="D11223" s="1" t="str">
        <f>HYPERLINK("http://genome-euro.ucsc.edu/cgi-bin/hgTracks?position=202374_s_at","UCSC")</f>
        <v>UCSC</v>
      </c>
      <c r="E11223" s="1" t="str">
        <f>HYPERLINK("http://www.ncbi.nlm.nih.gov/gene/?term=RAB3GAP2","NCBI")</f>
        <v>NCBI</v>
      </c>
      <c r="F11223">
        <v>0.28000000000000003</v>
      </c>
      <c r="G11223">
        <v>0.42</v>
      </c>
      <c r="H11223" s="1" t="str">
        <f>HYPERLINK("http://www.weizmann.ac.il/complex/compphys/software/geview/data/figures/202374_s_at.png","Figure")</f>
        <v>Figure</v>
      </c>
      <c r="I11223">
        <v>1.26</v>
      </c>
      <c r="J11223">
        <v>0.3</v>
      </c>
      <c r="K11223">
        <v>1.03</v>
      </c>
      <c r="L11223">
        <v>0.97</v>
      </c>
      <c r="M11223">
        <v>0.81799999999999995</v>
      </c>
      <c r="N11223">
        <v>0.35</v>
      </c>
    </row>
    <row r="11224" spans="1:14" x14ac:dyDescent="0.25">
      <c r="A11224" t="s">
        <v>19450</v>
      </c>
      <c r="B11224" t="s">
        <v>6006</v>
      </c>
      <c r="C11224" s="1" t="str">
        <f>HYPERLINK("http://www.genecards.org/cgi-bin/carddisp.pl?gene=DDOST","GeneCards")</f>
        <v>GeneCards</v>
      </c>
      <c r="D11224" s="1" t="str">
        <f>HYPERLINK("http://genome-euro.ucsc.edu/cgi-bin/hgTracks?position=208675_s_at","UCSC")</f>
        <v>UCSC</v>
      </c>
      <c r="E11224" s="1" t="str">
        <f>HYPERLINK("http://www.ncbi.nlm.nih.gov/gene/?term=DDOST","NCBI")</f>
        <v>NCBI</v>
      </c>
      <c r="F11224">
        <v>0.28000000000000003</v>
      </c>
      <c r="G11224">
        <v>0.42</v>
      </c>
      <c r="H11224" s="1" t="str">
        <f>HYPERLINK("http://www.weizmann.ac.il/complex/compphys/software/geview/data/figures/208675_s_at.png","Figure")</f>
        <v>Figure</v>
      </c>
      <c r="I11224">
        <v>0.80700000000000005</v>
      </c>
      <c r="J11224">
        <v>0.25</v>
      </c>
      <c r="K11224">
        <v>0.92500000000000004</v>
      </c>
      <c r="L11224">
        <v>0.77</v>
      </c>
      <c r="M11224">
        <v>1.1499999999999999</v>
      </c>
      <c r="N11224">
        <v>0.51</v>
      </c>
    </row>
    <row r="11225" spans="1:14" x14ac:dyDescent="0.25">
      <c r="A11225" t="s">
        <v>19451</v>
      </c>
      <c r="B11225" t="s">
        <v>10034</v>
      </c>
      <c r="C11225" s="1" t="str">
        <f>HYPERLINK("http://www.genecards.org/cgi-bin/carddisp.pl?gene=ACLY","GeneCards")</f>
        <v>GeneCards</v>
      </c>
      <c r="D11225" s="1" t="str">
        <f>HYPERLINK("http://genome-euro.ucsc.edu/cgi-bin/hgTracks?position=201128_s_at","UCSC")</f>
        <v>UCSC</v>
      </c>
      <c r="E11225" s="1" t="str">
        <f>HYPERLINK("http://www.ncbi.nlm.nih.gov/gene/?term=ACLY","NCBI")</f>
        <v>NCBI</v>
      </c>
      <c r="F11225">
        <v>0.28000000000000003</v>
      </c>
      <c r="G11225">
        <v>0.42</v>
      </c>
      <c r="H11225" s="1" t="str">
        <f>HYPERLINK("http://www.weizmann.ac.il/complex/compphys/software/geview/data/figures/201128_s_at.png","Figure")</f>
        <v>Figure</v>
      </c>
      <c r="I11225">
        <v>0.89800000000000002</v>
      </c>
      <c r="J11225">
        <v>0.88</v>
      </c>
      <c r="K11225">
        <v>1.25</v>
      </c>
      <c r="L11225">
        <v>0.51</v>
      </c>
      <c r="M11225">
        <v>1.4</v>
      </c>
      <c r="N11225">
        <v>0.28999999999999998</v>
      </c>
    </row>
    <row r="11226" spans="1:14" x14ac:dyDescent="0.25">
      <c r="A11226" t="s">
        <v>19452</v>
      </c>
      <c r="B11226" t="s">
        <v>19453</v>
      </c>
      <c r="C11226" s="1" t="str">
        <f>HYPERLINK("http://www.genecards.org/cgi-bin/carddisp.pl?gene=PRPF19","GeneCards")</f>
        <v>GeneCards</v>
      </c>
      <c r="D11226" s="1" t="str">
        <f>HYPERLINK("http://genome-euro.ucsc.edu/cgi-bin/hgTracks?position=203103_s_at","UCSC")</f>
        <v>UCSC</v>
      </c>
      <c r="E11226" s="1" t="str">
        <f>HYPERLINK("http://www.ncbi.nlm.nih.gov/gene/?term=PRPF19","NCBI")</f>
        <v>NCBI</v>
      </c>
      <c r="F11226">
        <v>0.28000000000000003</v>
      </c>
      <c r="G11226">
        <v>0.42</v>
      </c>
      <c r="H11226" s="1" t="str">
        <f>HYPERLINK("http://www.weizmann.ac.il/complex/compphys/software/geview/data/figures/203103_s_at.png","Figure")</f>
        <v>Figure</v>
      </c>
      <c r="I11226">
        <v>1.1100000000000001</v>
      </c>
      <c r="J11226">
        <v>0.52</v>
      </c>
      <c r="K11226">
        <v>1.1499999999999999</v>
      </c>
      <c r="L11226">
        <v>0.26</v>
      </c>
      <c r="M11226">
        <v>1.03</v>
      </c>
      <c r="N11226">
        <v>0.94</v>
      </c>
    </row>
    <row r="11227" spans="1:14" x14ac:dyDescent="0.25">
      <c r="A11227" t="s">
        <v>19454</v>
      </c>
      <c r="B11227" t="s">
        <v>19455</v>
      </c>
      <c r="C11227" s="1" t="str">
        <f>HYPERLINK("http://www.genecards.org/cgi-bin/carddisp.pl?gene=AHR","GeneCards")</f>
        <v>GeneCards</v>
      </c>
      <c r="D11227" s="1" t="str">
        <f>HYPERLINK("http://genome-euro.ucsc.edu/cgi-bin/hgTracks?position=202820_at","UCSC")</f>
        <v>UCSC</v>
      </c>
      <c r="E11227" s="1" t="str">
        <f>HYPERLINK("http://www.ncbi.nlm.nih.gov/gene/?term=AHR","NCBI")</f>
        <v>NCBI</v>
      </c>
      <c r="F11227">
        <v>0.28000000000000003</v>
      </c>
      <c r="G11227">
        <v>0.42</v>
      </c>
      <c r="H11227" s="1" t="str">
        <f>HYPERLINK("http://www.weizmann.ac.il/complex/compphys/software/geview/data/figures/202820_at.png","Figure")</f>
        <v>Figure</v>
      </c>
      <c r="I11227">
        <v>0.69699999999999995</v>
      </c>
      <c r="J11227">
        <v>0.36</v>
      </c>
      <c r="K11227">
        <v>0.72099999999999997</v>
      </c>
      <c r="L11227">
        <v>0.33</v>
      </c>
      <c r="M11227">
        <v>1.03</v>
      </c>
      <c r="N11227">
        <v>0.99</v>
      </c>
    </row>
    <row r="11228" spans="1:14" x14ac:dyDescent="0.25">
      <c r="A11228" t="s">
        <v>19456</v>
      </c>
      <c r="B11228" t="s">
        <v>19457</v>
      </c>
      <c r="C11228" s="1" t="str">
        <f>HYPERLINK("http://www.genecards.org/cgi-bin/carddisp.pl?gene=OVGP1","GeneCards")</f>
        <v>GeneCards</v>
      </c>
      <c r="D11228" s="1" t="str">
        <f>HYPERLINK("http://genome-euro.ucsc.edu/cgi-bin/hgTracks?position=205432_at","UCSC")</f>
        <v>UCSC</v>
      </c>
      <c r="E11228" s="1" t="str">
        <f>HYPERLINK("http://www.ncbi.nlm.nih.gov/gene/?term=OVGP1","NCBI")</f>
        <v>NCBI</v>
      </c>
      <c r="F11228">
        <v>0.28000000000000003</v>
      </c>
      <c r="G11228">
        <v>0.42</v>
      </c>
      <c r="H11228" s="1" t="str">
        <f>HYPERLINK("http://www.weizmann.ac.il/complex/compphys/software/geview/data/figures/205432_at.png","Figure")</f>
        <v>Figure</v>
      </c>
      <c r="I11228">
        <v>1.23</v>
      </c>
      <c r="J11228">
        <v>0.25</v>
      </c>
      <c r="K11228">
        <v>1.1000000000000001</v>
      </c>
      <c r="L11228">
        <v>0.68</v>
      </c>
      <c r="M11228">
        <v>0.88900000000000001</v>
      </c>
      <c r="N11228">
        <v>0.59</v>
      </c>
    </row>
    <row r="11229" spans="1:14" x14ac:dyDescent="0.25">
      <c r="A11229" t="s">
        <v>19458</v>
      </c>
      <c r="B11229" t="s">
        <v>19459</v>
      </c>
      <c r="C11229" s="1" t="str">
        <f>HYPERLINK("http://www.genecards.org/cgi-bin/carddisp.pl?gene=TOPBP1","GeneCards")</f>
        <v>GeneCards</v>
      </c>
      <c r="D11229" s="1" t="str">
        <f>HYPERLINK("http://genome-euro.ucsc.edu/cgi-bin/hgTracks?position=202633_at","UCSC")</f>
        <v>UCSC</v>
      </c>
      <c r="E11229" s="1" t="str">
        <f>HYPERLINK("http://www.ncbi.nlm.nih.gov/gene/?term=TOPBP1","NCBI")</f>
        <v>NCBI</v>
      </c>
      <c r="F11229">
        <v>0.28000000000000003</v>
      </c>
      <c r="G11229">
        <v>0.42</v>
      </c>
      <c r="H11229" s="1" t="str">
        <f>HYPERLINK("http://www.weizmann.ac.il/complex/compphys/software/geview/data/figures/202633_at.png","Figure")</f>
        <v>Figure</v>
      </c>
      <c r="I11229">
        <v>1.08</v>
      </c>
      <c r="J11229">
        <v>0.88</v>
      </c>
      <c r="K11229">
        <v>1.25</v>
      </c>
      <c r="L11229">
        <v>0.27</v>
      </c>
      <c r="M11229">
        <v>1.1599999999999999</v>
      </c>
      <c r="N11229">
        <v>0.57999999999999996</v>
      </c>
    </row>
    <row r="11230" spans="1:14" x14ac:dyDescent="0.25">
      <c r="A11230" t="s">
        <v>19460</v>
      </c>
      <c r="B11230" t="s">
        <v>19461</v>
      </c>
      <c r="C11230" s="1" t="str">
        <f>HYPERLINK("http://www.genecards.org/cgi-bin/carddisp.pl?gene=ZNF365","GeneCards")</f>
        <v>GeneCards</v>
      </c>
      <c r="D11230" s="1" t="str">
        <f>HYPERLINK("http://genome-euro.ucsc.edu/cgi-bin/hgTracks?position=206448_at","UCSC")</f>
        <v>UCSC</v>
      </c>
      <c r="E11230" s="1" t="str">
        <f>HYPERLINK("http://www.ncbi.nlm.nih.gov/gene/?term=ZNF365","NCBI")</f>
        <v>NCBI</v>
      </c>
      <c r="F11230">
        <v>0.28000000000000003</v>
      </c>
      <c r="G11230">
        <v>0.42</v>
      </c>
      <c r="H11230" s="1" t="str">
        <f>HYPERLINK("http://www.weizmann.ac.il/complex/compphys/software/geview/data/figures/206448_at.png","Figure")</f>
        <v>Figure</v>
      </c>
      <c r="I11230">
        <v>0.97099999999999997</v>
      </c>
      <c r="J11230">
        <v>0.31</v>
      </c>
      <c r="K11230">
        <v>0.997</v>
      </c>
      <c r="L11230">
        <v>0.98</v>
      </c>
      <c r="M11230">
        <v>1.03</v>
      </c>
      <c r="N11230">
        <v>0.34</v>
      </c>
    </row>
    <row r="11231" spans="1:14" x14ac:dyDescent="0.25">
      <c r="A11231" t="s">
        <v>19462</v>
      </c>
      <c r="B11231" t="s">
        <v>15215</v>
      </c>
      <c r="C11231" s="1" t="str">
        <f>HYPERLINK("http://www.genecards.org/cgi-bin/carddisp.pl?gene=EEF1A1","GeneCards")</f>
        <v>GeneCards</v>
      </c>
      <c r="D11231" s="1" t="str">
        <f>HYPERLINK("http://genome-euro.ucsc.edu/cgi-bin/hgTracks?position=206559_x_at","UCSC")</f>
        <v>UCSC</v>
      </c>
      <c r="E11231" s="1" t="str">
        <f>HYPERLINK("http://www.ncbi.nlm.nih.gov/gene/?term=EEF1A1","NCBI")</f>
        <v>NCBI</v>
      </c>
      <c r="F11231">
        <v>0.28000000000000003</v>
      </c>
      <c r="G11231">
        <v>0.42</v>
      </c>
      <c r="H11231" s="1" t="str">
        <f>HYPERLINK("http://www.weizmann.ac.il/complex/compphys/software/geview/data/figures/206559_x_at.png","Figure")</f>
        <v>Figure</v>
      </c>
      <c r="I11231">
        <v>1.03</v>
      </c>
      <c r="J11231">
        <v>0.96</v>
      </c>
      <c r="K11231">
        <v>0.89500000000000002</v>
      </c>
      <c r="L11231">
        <v>0.43</v>
      </c>
      <c r="M11231">
        <v>0.871</v>
      </c>
      <c r="N11231">
        <v>0.32</v>
      </c>
    </row>
    <row r="11232" spans="1:14" x14ac:dyDescent="0.25">
      <c r="A11232" t="s">
        <v>19463</v>
      </c>
      <c r="B11232" t="s">
        <v>325</v>
      </c>
      <c r="C11232" s="1" t="str">
        <f>HYPERLINK("http://www.genecards.org/cgi-bin/carddisp.pl?gene=PCDH9","GeneCards")</f>
        <v>GeneCards</v>
      </c>
      <c r="D11232" s="1" t="str">
        <f>HYPERLINK("http://genome-euro.ucsc.edu/cgi-bin/hgTracks?position=219738_s_at","UCSC")</f>
        <v>UCSC</v>
      </c>
      <c r="E11232" s="1" t="str">
        <f>HYPERLINK("http://www.ncbi.nlm.nih.gov/gene/?term=PCDH9","NCBI")</f>
        <v>NCBI</v>
      </c>
      <c r="F11232">
        <v>0.28000000000000003</v>
      </c>
      <c r="G11232">
        <v>0.42</v>
      </c>
      <c r="H11232" s="1" t="str">
        <f>HYPERLINK("http://www.weizmann.ac.il/complex/compphys/software/geview/data/figures/219738_s_at.png","Figure")</f>
        <v>Figure</v>
      </c>
      <c r="I11232">
        <v>1.27</v>
      </c>
      <c r="J11232">
        <v>0.28000000000000003</v>
      </c>
      <c r="K11232">
        <v>1.18</v>
      </c>
      <c r="L11232">
        <v>0.45</v>
      </c>
      <c r="M11232">
        <v>0.92600000000000005</v>
      </c>
      <c r="N11232">
        <v>0.85</v>
      </c>
    </row>
    <row r="11233" spans="1:14" x14ac:dyDescent="0.25">
      <c r="A11233" t="s">
        <v>19464</v>
      </c>
      <c r="B11233" t="s">
        <v>19465</v>
      </c>
      <c r="C11233" s="1" t="str">
        <f>HYPERLINK("http://www.genecards.org/cgi-bin/carddisp.pl?gene=PNRC1","GeneCards")</f>
        <v>GeneCards</v>
      </c>
      <c r="D11233" s="1" t="str">
        <f>HYPERLINK("http://genome-euro.ucsc.edu/cgi-bin/hgTracks?position=209034_at","UCSC")</f>
        <v>UCSC</v>
      </c>
      <c r="E11233" s="1" t="str">
        <f>HYPERLINK("http://www.ncbi.nlm.nih.gov/gene/?term=PNRC1","NCBI")</f>
        <v>NCBI</v>
      </c>
      <c r="F11233">
        <v>0.28000000000000003</v>
      </c>
      <c r="G11233">
        <v>0.42</v>
      </c>
      <c r="H11233" s="1" t="str">
        <f>HYPERLINK("http://www.weizmann.ac.il/complex/compphys/software/geview/data/figures/209034_at.png","Figure")</f>
        <v>Figure</v>
      </c>
      <c r="I11233">
        <v>0.96599999999999997</v>
      </c>
      <c r="J11233">
        <v>0.97</v>
      </c>
      <c r="K11233">
        <v>0.81499999999999995</v>
      </c>
      <c r="L11233">
        <v>0.3</v>
      </c>
      <c r="M11233">
        <v>0.84399999999999997</v>
      </c>
      <c r="N11233">
        <v>0.47</v>
      </c>
    </row>
    <row r="11234" spans="1:14" x14ac:dyDescent="0.25">
      <c r="A11234" t="s">
        <v>19466</v>
      </c>
      <c r="B11234" t="s">
        <v>6517</v>
      </c>
      <c r="C11234" s="1" t="str">
        <f>HYPERLINK("http://www.genecards.org/cgi-bin/carddisp.pl?gene=NADK","GeneCards")</f>
        <v>GeneCards</v>
      </c>
      <c r="D11234" s="1" t="str">
        <f>HYPERLINK("http://genome-euro.ucsc.edu/cgi-bin/hgTracks?position=215159_s_at","UCSC")</f>
        <v>UCSC</v>
      </c>
      <c r="E11234" s="1" t="str">
        <f>HYPERLINK("http://www.ncbi.nlm.nih.gov/gene/?term=NADK","NCBI")</f>
        <v>NCBI</v>
      </c>
      <c r="F11234">
        <v>0.28000000000000003</v>
      </c>
      <c r="G11234">
        <v>0.42</v>
      </c>
      <c r="H11234" s="1" t="str">
        <f>HYPERLINK("http://www.weizmann.ac.il/complex/compphys/software/geview/data/figures/215159_s_at.png","Figure")</f>
        <v>Figure</v>
      </c>
      <c r="I11234">
        <v>1.04</v>
      </c>
      <c r="J11234">
        <v>0.35</v>
      </c>
      <c r="K11234">
        <v>1.03</v>
      </c>
      <c r="L11234">
        <v>0.34</v>
      </c>
      <c r="M11234">
        <v>0.996</v>
      </c>
      <c r="N11234">
        <v>0.98</v>
      </c>
    </row>
    <row r="11235" spans="1:14" x14ac:dyDescent="0.25">
      <c r="A11235" t="s">
        <v>19467</v>
      </c>
      <c r="B11235" t="s">
        <v>19468</v>
      </c>
      <c r="C11235" s="1" t="str">
        <f>HYPERLINK("http://www.genecards.org/cgi-bin/carddisp.pl?gene=STAB2","GeneCards")</f>
        <v>GeneCards</v>
      </c>
      <c r="D11235" s="1" t="str">
        <f>HYPERLINK("http://genome-euro.ucsc.edu/cgi-bin/hgTracks?position=220114_s_at","UCSC")</f>
        <v>UCSC</v>
      </c>
      <c r="E11235" s="1" t="str">
        <f>HYPERLINK("http://www.ncbi.nlm.nih.gov/gene/?term=STAB2","NCBI")</f>
        <v>NCBI</v>
      </c>
      <c r="F11235">
        <v>0.28000000000000003</v>
      </c>
      <c r="G11235">
        <v>0.42</v>
      </c>
      <c r="H11235" s="1" t="str">
        <f>HYPERLINK("http://www.weizmann.ac.il/complex/compphys/software/geview/data/figures/220114_s_at.png","Figure")</f>
        <v>Figure</v>
      </c>
      <c r="I11235">
        <v>1.1299999999999999</v>
      </c>
      <c r="J11235">
        <v>0.28000000000000003</v>
      </c>
      <c r="K11235">
        <v>1.03</v>
      </c>
      <c r="L11235">
        <v>0.93</v>
      </c>
      <c r="M11235">
        <v>0.90800000000000003</v>
      </c>
      <c r="N11235">
        <v>0.39</v>
      </c>
    </row>
    <row r="11236" spans="1:14" x14ac:dyDescent="0.25">
      <c r="A11236" t="s">
        <v>19469</v>
      </c>
      <c r="B11236" t="s">
        <v>19470</v>
      </c>
      <c r="C11236" s="1" t="str">
        <f>HYPERLINK("http://www.genecards.org/cgi-bin/carddisp.pl?gene=ERO1LB","GeneCards")</f>
        <v>GeneCards</v>
      </c>
      <c r="D11236" s="1" t="str">
        <f>HYPERLINK("http://genome-euro.ucsc.edu/cgi-bin/hgTracks?position=220012_at","UCSC")</f>
        <v>UCSC</v>
      </c>
      <c r="E11236" s="1" t="str">
        <f>HYPERLINK("http://www.ncbi.nlm.nih.gov/gene/?term=ERO1LB","NCBI")</f>
        <v>NCBI</v>
      </c>
      <c r="F11236">
        <v>0.28000000000000003</v>
      </c>
      <c r="G11236">
        <v>0.42</v>
      </c>
      <c r="H11236" s="1" t="str">
        <f>HYPERLINK("http://www.weizmann.ac.il/complex/compphys/software/geview/data/figures/220012_at.png","Figure")</f>
        <v>Figure</v>
      </c>
      <c r="I11236">
        <v>1.17</v>
      </c>
      <c r="J11236">
        <v>0.78</v>
      </c>
      <c r="K11236">
        <v>0.81499999999999995</v>
      </c>
      <c r="L11236">
        <v>0.6</v>
      </c>
      <c r="M11236">
        <v>0.69399999999999995</v>
      </c>
      <c r="N11236">
        <v>0.27</v>
      </c>
    </row>
    <row r="11237" spans="1:14" x14ac:dyDescent="0.25">
      <c r="A11237" t="s">
        <v>19471</v>
      </c>
      <c r="B11237" t="s">
        <v>17706</v>
      </c>
      <c r="C11237" s="1" t="str">
        <f>HYPERLINK("http://www.genecards.org/cgi-bin/carddisp.pl?gene=BIN1","GeneCards")</f>
        <v>GeneCards</v>
      </c>
      <c r="D11237" s="1" t="str">
        <f>HYPERLINK("http://genome-euro.ucsc.edu/cgi-bin/hgTracks?position=214439_x_at","UCSC")</f>
        <v>UCSC</v>
      </c>
      <c r="E11237" s="1" t="str">
        <f>HYPERLINK("http://www.ncbi.nlm.nih.gov/gene/?term=BIN1","NCBI")</f>
        <v>NCBI</v>
      </c>
      <c r="F11237">
        <v>0.28000000000000003</v>
      </c>
      <c r="G11237">
        <v>0.42</v>
      </c>
      <c r="H11237" s="1" t="str">
        <f>HYPERLINK("http://www.weizmann.ac.il/complex/compphys/software/geview/data/figures/214439_x_at.png","Figure")</f>
        <v>Figure</v>
      </c>
      <c r="I11237">
        <v>1.01</v>
      </c>
      <c r="J11237">
        <v>1</v>
      </c>
      <c r="K11237">
        <v>1.37</v>
      </c>
      <c r="L11237">
        <v>0.34</v>
      </c>
      <c r="M11237">
        <v>1.35</v>
      </c>
      <c r="N11237">
        <v>0.41</v>
      </c>
    </row>
    <row r="11238" spans="1:14" x14ac:dyDescent="0.25">
      <c r="A11238" t="s">
        <v>19472</v>
      </c>
      <c r="B11238" t="s">
        <v>19399</v>
      </c>
      <c r="C11238" s="1" t="str">
        <f>HYPERLINK("http://www.genecards.org/cgi-bin/carddisp.pl?gene=MAP7","GeneCards")</f>
        <v>GeneCards</v>
      </c>
      <c r="D11238" s="1" t="str">
        <f>HYPERLINK("http://genome-euro.ucsc.edu/cgi-bin/hgTracks?position=202889_x_at","UCSC")</f>
        <v>UCSC</v>
      </c>
      <c r="E11238" s="1" t="str">
        <f>HYPERLINK("http://www.ncbi.nlm.nih.gov/gene/?term=MAP7","NCBI")</f>
        <v>NCBI</v>
      </c>
      <c r="F11238">
        <v>0.28000000000000003</v>
      </c>
      <c r="G11238">
        <v>0.42</v>
      </c>
      <c r="H11238" s="1" t="str">
        <f>HYPERLINK("http://www.weizmann.ac.il/complex/compphys/software/geview/data/figures/202889_x_at.png","Figure")</f>
        <v>Figure</v>
      </c>
      <c r="I11238">
        <v>1.07</v>
      </c>
      <c r="J11238">
        <v>0.32</v>
      </c>
      <c r="K11238">
        <v>1.06</v>
      </c>
      <c r="L11238">
        <v>0.36</v>
      </c>
      <c r="M11238">
        <v>0.98699999999999999</v>
      </c>
      <c r="N11238">
        <v>0.96</v>
      </c>
    </row>
    <row r="11239" spans="1:14" x14ac:dyDescent="0.25">
      <c r="A11239" t="s">
        <v>19473</v>
      </c>
      <c r="B11239" t="s">
        <v>14208</v>
      </c>
      <c r="C11239" s="1" t="str">
        <f>HYPERLINK("http://www.genecards.org/cgi-bin/carddisp.pl?gene=RRBP1","GeneCards")</f>
        <v>GeneCards</v>
      </c>
      <c r="D11239" s="1" t="str">
        <f>HYPERLINK("http://genome-euro.ucsc.edu/cgi-bin/hgTracks?position=201206_s_at","UCSC")</f>
        <v>UCSC</v>
      </c>
      <c r="E11239" s="1" t="str">
        <f>HYPERLINK("http://www.ncbi.nlm.nih.gov/gene/?term=RRBP1","NCBI")</f>
        <v>NCBI</v>
      </c>
      <c r="F11239">
        <v>0.28000000000000003</v>
      </c>
      <c r="G11239">
        <v>0.42</v>
      </c>
      <c r="H11239" s="1" t="str">
        <f>HYPERLINK("http://www.weizmann.ac.il/complex/compphys/software/geview/data/figures/201206_s_at.png","Figure")</f>
        <v>Figure</v>
      </c>
      <c r="I11239">
        <v>1.1200000000000001</v>
      </c>
      <c r="J11239">
        <v>0.8</v>
      </c>
      <c r="K11239">
        <v>1.29</v>
      </c>
      <c r="L11239">
        <v>0.26</v>
      </c>
      <c r="M11239">
        <v>1.1499999999999999</v>
      </c>
      <c r="N11239">
        <v>0.68</v>
      </c>
    </row>
    <row r="11240" spans="1:14" x14ac:dyDescent="0.25">
      <c r="A11240" t="s">
        <v>19474</v>
      </c>
      <c r="B11240" t="s">
        <v>19475</v>
      </c>
      <c r="C11240" s="1" t="str">
        <f>HYPERLINK("http://www.genecards.org/cgi-bin/carddisp.pl?gene=MYO1A","GeneCards")</f>
        <v>GeneCards</v>
      </c>
      <c r="D11240" s="1" t="str">
        <f>HYPERLINK("http://genome-euro.ucsc.edu/cgi-bin/hgTracks?position=211916_s_at","UCSC")</f>
        <v>UCSC</v>
      </c>
      <c r="E11240" s="1" t="str">
        <f>HYPERLINK("http://www.ncbi.nlm.nih.gov/gene/?term=MYO1A","NCBI")</f>
        <v>NCBI</v>
      </c>
      <c r="F11240">
        <v>0.28000000000000003</v>
      </c>
      <c r="G11240">
        <v>0.43</v>
      </c>
      <c r="H11240" s="1" t="str">
        <f>HYPERLINK("http://www.weizmann.ac.il/complex/compphys/software/geview/data/figures/211916_s_at.png","Figure")</f>
        <v>Figure</v>
      </c>
      <c r="I11240">
        <v>1.03</v>
      </c>
      <c r="J11240">
        <v>0.86</v>
      </c>
      <c r="K11240">
        <v>1.08</v>
      </c>
      <c r="L11240">
        <v>0.27</v>
      </c>
      <c r="M11240">
        <v>1.05</v>
      </c>
      <c r="N11240">
        <v>0.61</v>
      </c>
    </row>
    <row r="11241" spans="1:14" x14ac:dyDescent="0.25">
      <c r="A11241" t="s">
        <v>19476</v>
      </c>
      <c r="B11241" t="s">
        <v>8324</v>
      </c>
      <c r="C11241" s="1" t="str">
        <f>HYPERLINK("http://www.genecards.org/cgi-bin/carddisp.pl?gene=EDA","GeneCards")</f>
        <v>GeneCards</v>
      </c>
      <c r="D11241" s="1" t="str">
        <f>HYPERLINK("http://genome-euro.ucsc.edu/cgi-bin/hgTracks?position=211129_x_at","UCSC")</f>
        <v>UCSC</v>
      </c>
      <c r="E11241" s="1" t="str">
        <f>HYPERLINK("http://www.ncbi.nlm.nih.gov/gene/?term=EDA","NCBI")</f>
        <v>NCBI</v>
      </c>
      <c r="F11241">
        <v>0.28000000000000003</v>
      </c>
      <c r="G11241">
        <v>0.43</v>
      </c>
      <c r="H11241" s="1" t="str">
        <f>HYPERLINK("http://www.weizmann.ac.il/complex/compphys/software/geview/data/figures/211129_x_at.png","Figure")</f>
        <v>Figure</v>
      </c>
      <c r="I11241">
        <v>1.07</v>
      </c>
      <c r="J11241">
        <v>0.26</v>
      </c>
      <c r="K11241">
        <v>1.03</v>
      </c>
      <c r="L11241">
        <v>0.59</v>
      </c>
      <c r="M11241">
        <v>0.97</v>
      </c>
      <c r="N11241">
        <v>0.68</v>
      </c>
    </row>
    <row r="11242" spans="1:14" x14ac:dyDescent="0.25">
      <c r="A11242" t="s">
        <v>19477</v>
      </c>
      <c r="B11242" t="s">
        <v>12534</v>
      </c>
      <c r="C11242" s="1" t="str">
        <f>HYPERLINK("http://www.genecards.org/cgi-bin/carddisp.pl?gene=AGER","GeneCards")</f>
        <v>GeneCards</v>
      </c>
      <c r="D11242" s="1" t="str">
        <f>HYPERLINK("http://genome-euro.ucsc.edu/cgi-bin/hgTracks?position=210081_at","UCSC")</f>
        <v>UCSC</v>
      </c>
      <c r="E11242" s="1" t="str">
        <f>HYPERLINK("http://www.ncbi.nlm.nih.gov/gene/?term=AGER","NCBI")</f>
        <v>NCBI</v>
      </c>
      <c r="F11242">
        <v>0.28000000000000003</v>
      </c>
      <c r="G11242">
        <v>0.43</v>
      </c>
      <c r="H11242" s="1" t="str">
        <f>HYPERLINK("http://www.weizmann.ac.il/complex/compphys/software/geview/data/figures/210081_at.png","Figure")</f>
        <v>Figure</v>
      </c>
      <c r="I11242">
        <v>0.9</v>
      </c>
      <c r="J11242">
        <v>0.36</v>
      </c>
      <c r="K11242">
        <v>1</v>
      </c>
      <c r="L11242">
        <v>1</v>
      </c>
      <c r="M11242">
        <v>1.1100000000000001</v>
      </c>
      <c r="N11242">
        <v>0.3</v>
      </c>
    </row>
    <row r="11243" spans="1:14" x14ac:dyDescent="0.25">
      <c r="A11243" t="s">
        <v>19478</v>
      </c>
      <c r="B11243" t="s">
        <v>19479</v>
      </c>
      <c r="C11243" s="1" t="str">
        <f>HYPERLINK("http://www.genecards.org/cgi-bin/carddisp.pl?gene=HDAC5","GeneCards")</f>
        <v>GeneCards</v>
      </c>
      <c r="D11243" s="1" t="str">
        <f>HYPERLINK("http://genome-euro.ucsc.edu/cgi-bin/hgTracks?position=202455_at","UCSC")</f>
        <v>UCSC</v>
      </c>
      <c r="E11243" s="1" t="str">
        <f>HYPERLINK("http://www.ncbi.nlm.nih.gov/gene/?term=HDAC5","NCBI")</f>
        <v>NCBI</v>
      </c>
      <c r="F11243">
        <v>0.28000000000000003</v>
      </c>
      <c r="G11243">
        <v>0.43</v>
      </c>
      <c r="H11243" s="1" t="str">
        <f>HYPERLINK("http://www.weizmann.ac.il/complex/compphys/software/geview/data/figures/202455_at.png","Figure")</f>
        <v>Figure</v>
      </c>
      <c r="I11243">
        <v>1.01</v>
      </c>
      <c r="J11243">
        <v>1</v>
      </c>
      <c r="K11243">
        <v>0.85</v>
      </c>
      <c r="L11243">
        <v>0.37</v>
      </c>
      <c r="M11243">
        <v>0.84</v>
      </c>
      <c r="N11243">
        <v>0.37</v>
      </c>
    </row>
    <row r="11244" spans="1:14" x14ac:dyDescent="0.25">
      <c r="A11244" t="s">
        <v>19480</v>
      </c>
      <c r="B11244" t="s">
        <v>19481</v>
      </c>
      <c r="C11244" s="1" t="str">
        <f>HYPERLINK("http://www.genecards.org/cgi-bin/carddisp.pl?gene=GPR176","GeneCards")</f>
        <v>GeneCards</v>
      </c>
      <c r="D11244" s="1" t="str">
        <f>HYPERLINK("http://genome-euro.ucsc.edu/cgi-bin/hgTracks?position=206673_at","UCSC")</f>
        <v>UCSC</v>
      </c>
      <c r="E11244" s="1" t="str">
        <f>HYPERLINK("http://www.ncbi.nlm.nih.gov/gene/?term=GPR176","NCBI")</f>
        <v>NCBI</v>
      </c>
      <c r="F11244">
        <v>0.28000000000000003</v>
      </c>
      <c r="G11244">
        <v>0.43</v>
      </c>
      <c r="H11244" s="1" t="str">
        <f>HYPERLINK("http://www.weizmann.ac.il/complex/compphys/software/geview/data/figures/206673_at.png","Figure")</f>
        <v>Figure</v>
      </c>
      <c r="I11244">
        <v>0.99099999999999999</v>
      </c>
      <c r="J11244">
        <v>0.96</v>
      </c>
      <c r="K11244">
        <v>0.95199999999999996</v>
      </c>
      <c r="L11244">
        <v>0.3</v>
      </c>
      <c r="M11244">
        <v>0.96099999999999997</v>
      </c>
      <c r="N11244">
        <v>0.49</v>
      </c>
    </row>
    <row r="11245" spans="1:14" x14ac:dyDescent="0.25">
      <c r="A11245" t="s">
        <v>19482</v>
      </c>
      <c r="B11245" t="s">
        <v>19483</v>
      </c>
      <c r="C11245" s="1" t="str">
        <f>HYPERLINK("http://www.genecards.org/cgi-bin/carddisp.pl?gene=RRAGA","GeneCards")</f>
        <v>GeneCards</v>
      </c>
      <c r="D11245" s="1" t="str">
        <f>HYPERLINK("http://genome-euro.ucsc.edu/cgi-bin/hgTracks?position=201628_s_at","UCSC")</f>
        <v>UCSC</v>
      </c>
      <c r="E11245" s="1" t="str">
        <f>HYPERLINK("http://www.ncbi.nlm.nih.gov/gene/?term=RRAGA","NCBI")</f>
        <v>NCBI</v>
      </c>
      <c r="F11245">
        <v>0.28000000000000003</v>
      </c>
      <c r="G11245">
        <v>0.43</v>
      </c>
      <c r="H11245" s="1" t="str">
        <f>HYPERLINK("http://www.weizmann.ac.il/complex/compphys/software/geview/data/figures/201628_s_at.png","Figure")</f>
        <v>Figure</v>
      </c>
      <c r="I11245">
        <v>0.85299999999999998</v>
      </c>
      <c r="J11245">
        <v>0.47</v>
      </c>
      <c r="K11245">
        <v>0.83</v>
      </c>
      <c r="L11245">
        <v>0.27</v>
      </c>
      <c r="M11245">
        <v>0.97299999999999998</v>
      </c>
      <c r="N11245">
        <v>0.97</v>
      </c>
    </row>
    <row r="11246" spans="1:14" x14ac:dyDescent="0.25">
      <c r="A11246" t="s">
        <v>19484</v>
      </c>
      <c r="B11246" t="s">
        <v>19485</v>
      </c>
      <c r="C11246" s="1" t="str">
        <f>HYPERLINK("http://www.genecards.org/cgi-bin/carddisp.pl?gene=ANKRD11","GeneCards")</f>
        <v>GeneCards</v>
      </c>
      <c r="D11246" s="1" t="str">
        <f>HYPERLINK("http://genome-euro.ucsc.edu/cgi-bin/hgTracks?position=219437_s_at","UCSC")</f>
        <v>UCSC</v>
      </c>
      <c r="E11246" s="1" t="str">
        <f>HYPERLINK("http://www.ncbi.nlm.nih.gov/gene/?term=ANKRD11","NCBI")</f>
        <v>NCBI</v>
      </c>
      <c r="F11246">
        <v>0.28000000000000003</v>
      </c>
      <c r="G11246">
        <v>0.43</v>
      </c>
      <c r="H11246" s="1" t="str">
        <f>HYPERLINK("http://www.weizmann.ac.il/complex/compphys/software/geview/data/figures/219437_s_at.png","Figure")</f>
        <v>Figure</v>
      </c>
      <c r="I11246">
        <v>1.21</v>
      </c>
      <c r="J11246">
        <v>0.8</v>
      </c>
      <c r="K11246">
        <v>0.77100000000000002</v>
      </c>
      <c r="L11246">
        <v>0.57999999999999996</v>
      </c>
      <c r="M11246">
        <v>0.64</v>
      </c>
      <c r="N11246">
        <v>0.27</v>
      </c>
    </row>
    <row r="11247" spans="1:14" x14ac:dyDescent="0.25">
      <c r="A11247" t="s">
        <v>19486</v>
      </c>
      <c r="B11247" t="s">
        <v>17139</v>
      </c>
      <c r="C11247" s="1" t="str">
        <f>HYPERLINK("http://www.genecards.org/cgi-bin/carddisp.pl?gene=CLEC4A","GeneCards")</f>
        <v>GeneCards</v>
      </c>
      <c r="D11247" s="1" t="str">
        <f>HYPERLINK("http://genome-euro.ucsc.edu/cgi-bin/hgTracks?position=221724_s_at","UCSC")</f>
        <v>UCSC</v>
      </c>
      <c r="E11247" s="1" t="str">
        <f>HYPERLINK("http://www.ncbi.nlm.nih.gov/gene/?term=CLEC4A","NCBI")</f>
        <v>NCBI</v>
      </c>
      <c r="F11247">
        <v>0.28000000000000003</v>
      </c>
      <c r="G11247">
        <v>0.43</v>
      </c>
      <c r="H11247" s="1" t="str">
        <f>HYPERLINK("http://www.weizmann.ac.il/complex/compphys/software/geview/data/figures/221724_s_at.png","Figure")</f>
        <v>Figure</v>
      </c>
      <c r="I11247">
        <v>0.874</v>
      </c>
      <c r="J11247">
        <v>0.28000000000000003</v>
      </c>
      <c r="K11247">
        <v>0.96899999999999997</v>
      </c>
      <c r="L11247">
        <v>0.9</v>
      </c>
      <c r="M11247">
        <v>1.1100000000000001</v>
      </c>
      <c r="N11247">
        <v>0.41</v>
      </c>
    </row>
    <row r="11248" spans="1:14" x14ac:dyDescent="0.25">
      <c r="A11248" t="s">
        <v>19487</v>
      </c>
      <c r="B11248" t="s">
        <v>7832</v>
      </c>
      <c r="C11248" s="1" t="str">
        <f>HYPERLINK("http://www.genecards.org/cgi-bin/carddisp.pl?gene=EIF4B","GeneCards")</f>
        <v>GeneCards</v>
      </c>
      <c r="D11248" s="1" t="str">
        <f>HYPERLINK("http://genome-euro.ucsc.edu/cgi-bin/hgTracks?position=211938_at","UCSC")</f>
        <v>UCSC</v>
      </c>
      <c r="E11248" s="1" t="str">
        <f>HYPERLINK("http://www.ncbi.nlm.nih.gov/gene/?term=EIF4B","NCBI")</f>
        <v>NCBI</v>
      </c>
      <c r="F11248">
        <v>0.28000000000000003</v>
      </c>
      <c r="G11248">
        <v>0.43</v>
      </c>
      <c r="H11248" s="1" t="str">
        <f>HYPERLINK("http://www.weizmann.ac.il/complex/compphys/software/geview/data/figures/211938_at.png","Figure")</f>
        <v>Figure</v>
      </c>
      <c r="I11248">
        <v>0.90800000000000003</v>
      </c>
      <c r="J11248">
        <v>0.73</v>
      </c>
      <c r="K11248">
        <v>1.1000000000000001</v>
      </c>
      <c r="L11248">
        <v>0.66</v>
      </c>
      <c r="M11248">
        <v>1.21</v>
      </c>
      <c r="N11248">
        <v>0.26</v>
      </c>
    </row>
    <row r="11249" spans="1:14" x14ac:dyDescent="0.25">
      <c r="A11249" t="s">
        <v>19488</v>
      </c>
      <c r="B11249" t="s">
        <v>11230</v>
      </c>
      <c r="C11249" s="1" t="str">
        <f>HYPERLINK("http://www.genecards.org/cgi-bin/carddisp.pl?gene=TRIM33","GeneCards")</f>
        <v>GeneCards</v>
      </c>
      <c r="D11249" s="1" t="str">
        <f>HYPERLINK("http://genome-euro.ucsc.edu/cgi-bin/hgTracks?position=212435_at","UCSC")</f>
        <v>UCSC</v>
      </c>
      <c r="E11249" s="1" t="str">
        <f>HYPERLINK("http://www.ncbi.nlm.nih.gov/gene/?term=TRIM33","NCBI")</f>
        <v>NCBI</v>
      </c>
      <c r="F11249">
        <v>0.28000000000000003</v>
      </c>
      <c r="G11249">
        <v>0.43</v>
      </c>
      <c r="H11249" s="1" t="str">
        <f>HYPERLINK("http://www.weizmann.ac.il/complex/compphys/software/geview/data/figures/212435_at.png","Figure")</f>
        <v>Figure</v>
      </c>
      <c r="I11249">
        <v>0.79800000000000004</v>
      </c>
      <c r="J11249">
        <v>0.31</v>
      </c>
      <c r="K11249">
        <v>0.84099999999999997</v>
      </c>
      <c r="L11249">
        <v>0.39</v>
      </c>
      <c r="M11249">
        <v>1.05</v>
      </c>
      <c r="N11249">
        <v>0.92</v>
      </c>
    </row>
    <row r="11250" spans="1:14" x14ac:dyDescent="0.25">
      <c r="A11250" t="s">
        <v>19489</v>
      </c>
      <c r="B11250" t="s">
        <v>19490</v>
      </c>
      <c r="C11250" s="1" t="str">
        <f>HYPERLINK("http://www.genecards.org/cgi-bin/carddisp.pl?gene=NEO1","GeneCards")</f>
        <v>GeneCards</v>
      </c>
      <c r="D11250" s="1" t="str">
        <f>HYPERLINK("http://genome-euro.ucsc.edu/cgi-bin/hgTracks?position=204321_at","UCSC")</f>
        <v>UCSC</v>
      </c>
      <c r="E11250" s="1" t="str">
        <f>HYPERLINK("http://www.ncbi.nlm.nih.gov/gene/?term=NEO1","NCBI")</f>
        <v>NCBI</v>
      </c>
      <c r="F11250">
        <v>0.28000000000000003</v>
      </c>
      <c r="G11250">
        <v>0.43</v>
      </c>
      <c r="H11250" s="1" t="str">
        <f>HYPERLINK("http://www.weizmann.ac.il/complex/compphys/software/geview/data/figures/204321_at.png","Figure")</f>
        <v>Figure</v>
      </c>
      <c r="I11250">
        <v>0.94599999999999995</v>
      </c>
      <c r="J11250">
        <v>0.26</v>
      </c>
      <c r="K11250">
        <v>0.98099999999999998</v>
      </c>
      <c r="L11250">
        <v>0.8</v>
      </c>
      <c r="M11250">
        <v>1.04</v>
      </c>
      <c r="N11250">
        <v>0.49</v>
      </c>
    </row>
    <row r="11251" spans="1:14" x14ac:dyDescent="0.25">
      <c r="A11251" t="s">
        <v>19491</v>
      </c>
      <c r="B11251" t="s">
        <v>19492</v>
      </c>
      <c r="C11251" s="1" t="str">
        <f>HYPERLINK("http://www.genecards.org/cgi-bin/carddisp.pl?gene=VILL","GeneCards")</f>
        <v>GeneCards</v>
      </c>
      <c r="D11251" s="1" t="str">
        <f>HYPERLINK("http://genome-euro.ucsc.edu/cgi-bin/hgTracks?position=209950_s_at","UCSC")</f>
        <v>UCSC</v>
      </c>
      <c r="E11251" s="1" t="str">
        <f>HYPERLINK("http://www.ncbi.nlm.nih.gov/gene/?term=VILL","NCBI")</f>
        <v>NCBI</v>
      </c>
      <c r="F11251">
        <v>0.28000000000000003</v>
      </c>
      <c r="G11251">
        <v>0.43</v>
      </c>
      <c r="H11251" s="1" t="str">
        <f>HYPERLINK("http://www.weizmann.ac.il/complex/compphys/software/geview/data/figures/209950_s_at.png","Figure")</f>
        <v>Figure</v>
      </c>
      <c r="I11251">
        <v>1.08</v>
      </c>
      <c r="J11251">
        <v>0.71</v>
      </c>
      <c r="K11251">
        <v>1.1399999999999999</v>
      </c>
      <c r="L11251">
        <v>0.25</v>
      </c>
      <c r="M11251">
        <v>1.06</v>
      </c>
      <c r="N11251">
        <v>0.77</v>
      </c>
    </row>
    <row r="11252" spans="1:14" x14ac:dyDescent="0.25">
      <c r="A11252" t="s">
        <v>19493</v>
      </c>
      <c r="B11252" t="s">
        <v>18013</v>
      </c>
      <c r="C11252" s="1" t="str">
        <f>HYPERLINK("http://www.genecards.org/cgi-bin/carddisp.pl?gene=ATP7A","GeneCards")</f>
        <v>GeneCards</v>
      </c>
      <c r="D11252" s="1" t="str">
        <f>HYPERLINK("http://genome-euro.ucsc.edu/cgi-bin/hgTracks?position=205197_s_at","UCSC")</f>
        <v>UCSC</v>
      </c>
      <c r="E11252" s="1" t="str">
        <f>HYPERLINK("http://www.ncbi.nlm.nih.gov/gene/?term=ATP7A","NCBI")</f>
        <v>NCBI</v>
      </c>
      <c r="F11252">
        <v>0.28000000000000003</v>
      </c>
      <c r="G11252">
        <v>0.43</v>
      </c>
      <c r="H11252" s="1" t="str">
        <f>HYPERLINK("http://www.weizmann.ac.il/complex/compphys/software/geview/data/figures/205197_s_at.png","Figure")</f>
        <v>Figure</v>
      </c>
      <c r="I11252">
        <v>0.80100000000000005</v>
      </c>
      <c r="J11252">
        <v>0.35</v>
      </c>
      <c r="K11252">
        <v>0.999</v>
      </c>
      <c r="L11252">
        <v>1</v>
      </c>
      <c r="M11252">
        <v>1.25</v>
      </c>
      <c r="N11252">
        <v>0.31</v>
      </c>
    </row>
    <row r="11253" spans="1:14" x14ac:dyDescent="0.25">
      <c r="A11253" t="s">
        <v>19494</v>
      </c>
      <c r="B11253" t="s">
        <v>19495</v>
      </c>
      <c r="C11253" s="1" t="str">
        <f>HYPERLINK("http://www.genecards.org/cgi-bin/carddisp.pl?gene=RHBG","GeneCards")</f>
        <v>GeneCards</v>
      </c>
      <c r="D11253" s="1" t="str">
        <f>HYPERLINK("http://genome-euro.ucsc.edu/cgi-bin/hgTracks?position=220510_at","UCSC")</f>
        <v>UCSC</v>
      </c>
      <c r="E11253" s="1" t="str">
        <f>HYPERLINK("http://www.ncbi.nlm.nih.gov/gene/?term=RHBG","NCBI")</f>
        <v>NCBI</v>
      </c>
      <c r="F11253">
        <v>0.28000000000000003</v>
      </c>
      <c r="G11253">
        <v>0.43</v>
      </c>
      <c r="H11253" s="1" t="str">
        <f>HYPERLINK("http://www.weizmann.ac.il/complex/compphys/software/geview/data/figures/220510_at.png","Figure")</f>
        <v>Figure</v>
      </c>
      <c r="I11253">
        <v>1.1599999999999999</v>
      </c>
      <c r="J11253">
        <v>0.25</v>
      </c>
      <c r="K11253">
        <v>1.07</v>
      </c>
      <c r="L11253">
        <v>0.68</v>
      </c>
      <c r="M11253">
        <v>0.92100000000000004</v>
      </c>
      <c r="N11253">
        <v>0.59</v>
      </c>
    </row>
    <row r="11254" spans="1:14" x14ac:dyDescent="0.25">
      <c r="A11254" t="s">
        <v>19496</v>
      </c>
      <c r="B11254" t="s">
        <v>19497</v>
      </c>
      <c r="C11254" s="1" t="str">
        <f>HYPERLINK("http://www.genecards.org/cgi-bin/carddisp.pl?gene=RPL26","GeneCards")</f>
        <v>GeneCards</v>
      </c>
      <c r="D11254" s="1" t="str">
        <f>HYPERLINK("http://genome-euro.ucsc.edu/cgi-bin/hgTracks?position=222229_x_at","UCSC")</f>
        <v>UCSC</v>
      </c>
      <c r="E11254" s="1" t="str">
        <f>HYPERLINK("http://www.ncbi.nlm.nih.gov/gene/?term=RPL26","NCBI")</f>
        <v>NCBI</v>
      </c>
      <c r="F11254">
        <v>0.28000000000000003</v>
      </c>
      <c r="G11254">
        <v>0.43</v>
      </c>
      <c r="H11254" s="1" t="str">
        <f>HYPERLINK("http://www.weizmann.ac.il/complex/compphys/software/geview/data/figures/222229_x_at.png","Figure")</f>
        <v>Figure</v>
      </c>
      <c r="I11254">
        <v>1.27</v>
      </c>
      <c r="J11254">
        <v>0.34</v>
      </c>
      <c r="K11254">
        <v>1.24</v>
      </c>
      <c r="L11254">
        <v>0.34</v>
      </c>
      <c r="M11254">
        <v>0.97</v>
      </c>
      <c r="N11254">
        <v>0.98</v>
      </c>
    </row>
    <row r="11255" spans="1:14" x14ac:dyDescent="0.25">
      <c r="A11255" t="s">
        <v>19498</v>
      </c>
      <c r="B11255" t="s">
        <v>19499</v>
      </c>
      <c r="C11255" s="1" t="str">
        <f>HYPERLINK("http://www.genecards.org/cgi-bin/carddisp.pl?gene=CYP2W1","GeneCards")</f>
        <v>GeneCards</v>
      </c>
      <c r="D11255" s="1" t="str">
        <f>HYPERLINK("http://genome-euro.ucsc.edu/cgi-bin/hgTracks?position=220562_at","UCSC")</f>
        <v>UCSC</v>
      </c>
      <c r="E11255" s="1" t="str">
        <f>HYPERLINK("http://www.ncbi.nlm.nih.gov/gene/?term=CYP2W1","NCBI")</f>
        <v>NCBI</v>
      </c>
      <c r="F11255">
        <v>0.28000000000000003</v>
      </c>
      <c r="G11255">
        <v>0.43</v>
      </c>
      <c r="H11255" s="1" t="str">
        <f>HYPERLINK("http://www.weizmann.ac.il/complex/compphys/software/geview/data/figures/220562_at.png","Figure")</f>
        <v>Figure</v>
      </c>
      <c r="I11255">
        <v>1.05</v>
      </c>
      <c r="J11255">
        <v>0.53</v>
      </c>
      <c r="K11255">
        <v>1.07</v>
      </c>
      <c r="L11255">
        <v>0.26</v>
      </c>
      <c r="M11255">
        <v>1.02</v>
      </c>
      <c r="N11255">
        <v>0.93</v>
      </c>
    </row>
    <row r="11256" spans="1:14" x14ac:dyDescent="0.25">
      <c r="A11256" t="s">
        <v>19500</v>
      </c>
      <c r="B11256" t="s">
        <v>19501</v>
      </c>
      <c r="C11256" s="1" t="str">
        <f>HYPERLINK("http://www.genecards.org/cgi-bin/carddisp.pl?gene=KLRF1","GeneCards")</f>
        <v>GeneCards</v>
      </c>
      <c r="D11256" s="1" t="str">
        <f>HYPERLINK("http://genome-euro.ucsc.edu/cgi-bin/hgTracks?position=220646_s_at","UCSC")</f>
        <v>UCSC</v>
      </c>
      <c r="E11256" s="1" t="str">
        <f>HYPERLINK("http://www.ncbi.nlm.nih.gov/gene/?term=KLRF1","NCBI")</f>
        <v>NCBI</v>
      </c>
      <c r="F11256">
        <v>0.28000000000000003</v>
      </c>
      <c r="G11256">
        <v>0.43</v>
      </c>
      <c r="H11256" s="1" t="str">
        <f>HYPERLINK("http://www.weizmann.ac.il/complex/compphys/software/geview/data/figures/220646_s_at.png","Figure")</f>
        <v>Figure</v>
      </c>
      <c r="I11256">
        <v>0.77900000000000003</v>
      </c>
      <c r="J11256">
        <v>0.64</v>
      </c>
      <c r="K11256">
        <v>0.67400000000000004</v>
      </c>
      <c r="L11256">
        <v>0.25</v>
      </c>
      <c r="M11256">
        <v>0.86499999999999999</v>
      </c>
      <c r="N11256">
        <v>0.84</v>
      </c>
    </row>
    <row r="11257" spans="1:14" x14ac:dyDescent="0.25">
      <c r="A11257" t="s">
        <v>19502</v>
      </c>
      <c r="B11257" t="s">
        <v>19503</v>
      </c>
      <c r="C11257" s="1" t="str">
        <f>HYPERLINK("http://www.genecards.org/cgi-bin/carddisp.pl?gene=SLCO2A1","GeneCards")</f>
        <v>GeneCards</v>
      </c>
      <c r="D11257" s="1" t="str">
        <f>HYPERLINK("http://genome-euro.ucsc.edu/cgi-bin/hgTracks?position=204368_at","UCSC")</f>
        <v>UCSC</v>
      </c>
      <c r="E11257" s="1" t="str">
        <f>HYPERLINK("http://www.ncbi.nlm.nih.gov/gene/?term=SLCO2A1","NCBI")</f>
        <v>NCBI</v>
      </c>
      <c r="F11257">
        <v>0.28000000000000003</v>
      </c>
      <c r="G11257">
        <v>0.43</v>
      </c>
      <c r="H11257" s="1" t="str">
        <f>HYPERLINK("http://www.weizmann.ac.il/complex/compphys/software/geview/data/figures/204368_at.png","Figure")</f>
        <v>Figure</v>
      </c>
      <c r="I11257">
        <v>1.1299999999999999</v>
      </c>
      <c r="J11257">
        <v>0.26</v>
      </c>
      <c r="K11257">
        <v>1.07</v>
      </c>
      <c r="L11257">
        <v>0.52</v>
      </c>
      <c r="M11257">
        <v>0.95299999999999996</v>
      </c>
      <c r="N11257">
        <v>0.76</v>
      </c>
    </row>
    <row r="11258" spans="1:14" x14ac:dyDescent="0.25">
      <c r="A11258" t="s">
        <v>19504</v>
      </c>
      <c r="B11258" t="s">
        <v>19505</v>
      </c>
      <c r="C11258" s="1" t="str">
        <f>HYPERLINK("http://www.genecards.org/cgi-bin/carddisp.pl?gene=ULBP1","GeneCards")</f>
        <v>GeneCards</v>
      </c>
      <c r="D11258" s="1" t="str">
        <f>HYPERLINK("http://genome-euro.ucsc.edu/cgi-bin/hgTracks?position=221323_at","UCSC")</f>
        <v>UCSC</v>
      </c>
      <c r="E11258" s="1" t="str">
        <f>HYPERLINK("http://www.ncbi.nlm.nih.gov/gene/?term=ULBP1","NCBI")</f>
        <v>NCBI</v>
      </c>
      <c r="F11258">
        <v>0.28000000000000003</v>
      </c>
      <c r="G11258">
        <v>0.43</v>
      </c>
      <c r="H11258" s="1" t="str">
        <f>HYPERLINK("http://www.weizmann.ac.il/complex/compphys/software/geview/data/figures/221323_at.png","Figure")</f>
        <v>Figure</v>
      </c>
      <c r="I11258">
        <v>1</v>
      </c>
      <c r="J11258">
        <v>1</v>
      </c>
      <c r="K11258">
        <v>0.97799999999999998</v>
      </c>
      <c r="L11258">
        <v>0.35</v>
      </c>
      <c r="M11258">
        <v>0.97799999999999998</v>
      </c>
      <c r="N11258">
        <v>0.4</v>
      </c>
    </row>
    <row r="11259" spans="1:14" x14ac:dyDescent="0.25">
      <c r="A11259" t="s">
        <v>19506</v>
      </c>
      <c r="B11259" t="s">
        <v>19507</v>
      </c>
      <c r="C11259" s="1" t="str">
        <f>HYPERLINK("http://www.genecards.org/cgi-bin/carddisp.pl?gene=ASNA1","GeneCards")</f>
        <v>GeneCards</v>
      </c>
      <c r="D11259" s="1" t="str">
        <f>HYPERLINK("http://genome-euro.ucsc.edu/cgi-bin/hgTracks?position=202024_at","UCSC")</f>
        <v>UCSC</v>
      </c>
      <c r="E11259" s="1" t="str">
        <f>HYPERLINK("http://www.ncbi.nlm.nih.gov/gene/?term=ASNA1","NCBI")</f>
        <v>NCBI</v>
      </c>
      <c r="F11259">
        <v>0.28000000000000003</v>
      </c>
      <c r="G11259">
        <v>0.43</v>
      </c>
      <c r="H11259" s="1" t="str">
        <f>HYPERLINK("http://www.weizmann.ac.il/complex/compphys/software/geview/data/figures/202024_at.png","Figure")</f>
        <v>Figure</v>
      </c>
      <c r="I11259">
        <v>0.93799999999999994</v>
      </c>
      <c r="J11259">
        <v>0.93</v>
      </c>
      <c r="K11259">
        <v>1.2</v>
      </c>
      <c r="L11259">
        <v>0.47</v>
      </c>
      <c r="M11259">
        <v>1.28</v>
      </c>
      <c r="N11259">
        <v>0.31</v>
      </c>
    </row>
    <row r="11260" spans="1:14" x14ac:dyDescent="0.25">
      <c r="A11260" t="s">
        <v>19508</v>
      </c>
      <c r="B11260" t="s">
        <v>19509</v>
      </c>
      <c r="C11260" s="1" t="str">
        <f>HYPERLINK("http://www.genecards.org/cgi-bin/carddisp.pl?gene=DDX17","GeneCards")</f>
        <v>GeneCards</v>
      </c>
      <c r="D11260" s="1" t="str">
        <f>HYPERLINK("http://genome-euro.ucsc.edu/cgi-bin/hgTracks?position=208719_s_at","UCSC")</f>
        <v>UCSC</v>
      </c>
      <c r="E11260" s="1" t="str">
        <f>HYPERLINK("http://www.ncbi.nlm.nih.gov/gene/?term=DDX17","NCBI")</f>
        <v>NCBI</v>
      </c>
      <c r="F11260">
        <v>0.28000000000000003</v>
      </c>
      <c r="G11260">
        <v>0.43</v>
      </c>
      <c r="H11260" s="1" t="str">
        <f>HYPERLINK("http://www.weizmann.ac.il/complex/compphys/software/geview/data/figures/208719_s_at.png","Figure")</f>
        <v>Figure</v>
      </c>
      <c r="I11260">
        <v>0.89500000000000002</v>
      </c>
      <c r="J11260">
        <v>0.65</v>
      </c>
      <c r="K11260">
        <v>1.08</v>
      </c>
      <c r="L11260">
        <v>0.74</v>
      </c>
      <c r="M11260">
        <v>1.21</v>
      </c>
      <c r="N11260">
        <v>0.25</v>
      </c>
    </row>
    <row r="11261" spans="1:14" x14ac:dyDescent="0.25">
      <c r="A11261" t="s">
        <v>19510</v>
      </c>
      <c r="B11261" t="s">
        <v>8607</v>
      </c>
      <c r="C11261" s="1" t="str">
        <f>HYPERLINK("http://www.genecards.org/cgi-bin/carddisp.pl?gene=FUT2","GeneCards")</f>
        <v>GeneCards</v>
      </c>
      <c r="D11261" s="1" t="str">
        <f>HYPERLINK("http://genome-euro.ucsc.edu/cgi-bin/hgTracks?position=210608_s_at","UCSC")</f>
        <v>UCSC</v>
      </c>
      <c r="E11261" s="1" t="str">
        <f>HYPERLINK("http://www.ncbi.nlm.nih.gov/gene/?term=FUT2","NCBI")</f>
        <v>NCBI</v>
      </c>
      <c r="F11261">
        <v>0.28000000000000003</v>
      </c>
      <c r="G11261">
        <v>0.43</v>
      </c>
      <c r="H11261" s="1" t="str">
        <f>HYPERLINK("http://www.weizmann.ac.il/complex/compphys/software/geview/data/figures/210608_s_at.png","Figure")</f>
        <v>Figure</v>
      </c>
      <c r="I11261">
        <v>1.08</v>
      </c>
      <c r="J11261">
        <v>0.47</v>
      </c>
      <c r="K11261">
        <v>0.97899999999999998</v>
      </c>
      <c r="L11261">
        <v>0.92</v>
      </c>
      <c r="M11261">
        <v>0.90600000000000003</v>
      </c>
      <c r="N11261">
        <v>0.26</v>
      </c>
    </row>
    <row r="11262" spans="1:14" x14ac:dyDescent="0.25">
      <c r="A11262" t="s">
        <v>19511</v>
      </c>
      <c r="B11262" t="s">
        <v>19512</v>
      </c>
      <c r="C11262" s="1" t="str">
        <f>HYPERLINK("http://www.genecards.org/cgi-bin/carddisp.pl?gene=NR1D1 /// THRA","GeneCards")</f>
        <v>GeneCards</v>
      </c>
      <c r="D11262" s="1" t="str">
        <f>HYPERLINK("http://genome-euro.ucsc.edu/cgi-bin/hgTracks?position=31637_s_at","UCSC")</f>
        <v>UCSC</v>
      </c>
      <c r="E11262" s="1" t="str">
        <f>HYPERLINK("http://www.ncbi.nlm.nih.gov/gene/?term=NR1D1 /// THRA","NCBI")</f>
        <v>NCBI</v>
      </c>
      <c r="F11262">
        <v>0.28000000000000003</v>
      </c>
      <c r="G11262">
        <v>0.43</v>
      </c>
      <c r="H11262" s="1" t="str">
        <f>HYPERLINK("http://www.weizmann.ac.il/complex/compphys/software/geview/data/figures/31637_s_at.png","Figure")</f>
        <v>Figure</v>
      </c>
      <c r="I11262">
        <v>1.25</v>
      </c>
      <c r="J11262">
        <v>0.25</v>
      </c>
      <c r="K11262">
        <v>1.1200000000000001</v>
      </c>
      <c r="L11262">
        <v>0.63</v>
      </c>
      <c r="M11262">
        <v>0.89100000000000001</v>
      </c>
      <c r="N11262">
        <v>0.64</v>
      </c>
    </row>
    <row r="11263" spans="1:14" x14ac:dyDescent="0.25">
      <c r="A11263" t="s">
        <v>19513</v>
      </c>
      <c r="B11263" t="s">
        <v>1084</v>
      </c>
      <c r="C11263" s="1" t="str">
        <f>HYPERLINK("http://www.genecards.org/cgi-bin/carddisp.pl?gene=RABGGTB","GeneCards")</f>
        <v>GeneCards</v>
      </c>
      <c r="D11263" s="1" t="str">
        <f>HYPERLINK("http://genome-euro.ucsc.edu/cgi-bin/hgTracks?position=209180_at","UCSC")</f>
        <v>UCSC</v>
      </c>
      <c r="E11263" s="1" t="str">
        <f>HYPERLINK("http://www.ncbi.nlm.nih.gov/gene/?term=RABGGTB","NCBI")</f>
        <v>NCBI</v>
      </c>
      <c r="F11263">
        <v>0.28000000000000003</v>
      </c>
      <c r="G11263">
        <v>0.43</v>
      </c>
      <c r="H11263" s="1" t="str">
        <f>HYPERLINK("http://www.weizmann.ac.il/complex/compphys/software/geview/data/figures/209180_at.png","Figure")</f>
        <v>Figure</v>
      </c>
      <c r="I11263">
        <v>0.875</v>
      </c>
      <c r="J11263">
        <v>0.63</v>
      </c>
      <c r="K11263">
        <v>0.81200000000000006</v>
      </c>
      <c r="L11263">
        <v>0.25</v>
      </c>
      <c r="M11263">
        <v>0.92800000000000005</v>
      </c>
      <c r="N11263">
        <v>0.84</v>
      </c>
    </row>
    <row r="11264" spans="1:14" x14ac:dyDescent="0.25">
      <c r="A11264" t="s">
        <v>19514</v>
      </c>
      <c r="B11264" t="s">
        <v>19515</v>
      </c>
      <c r="C11264" s="1" t="str">
        <f>HYPERLINK("http://www.genecards.org/cgi-bin/carddisp.pl?gene=SIRPG","GeneCards")</f>
        <v>GeneCards</v>
      </c>
      <c r="D11264" s="1" t="str">
        <f>HYPERLINK("http://genome-euro.ucsc.edu/cgi-bin/hgTracks?position=220485_s_at","UCSC")</f>
        <v>UCSC</v>
      </c>
      <c r="E11264" s="1" t="str">
        <f>HYPERLINK("http://www.ncbi.nlm.nih.gov/gene/?term=SIRPG","NCBI")</f>
        <v>NCBI</v>
      </c>
      <c r="F11264">
        <v>0.28000000000000003</v>
      </c>
      <c r="G11264">
        <v>0.43</v>
      </c>
      <c r="H11264" s="1" t="str">
        <f>HYPERLINK("http://www.weizmann.ac.il/complex/compphys/software/geview/data/figures/220485_s_at.png","Figure")</f>
        <v>Figure</v>
      </c>
      <c r="I11264">
        <v>1.04</v>
      </c>
      <c r="J11264">
        <v>0.77</v>
      </c>
      <c r="K11264">
        <v>0.95099999999999996</v>
      </c>
      <c r="L11264">
        <v>0.61</v>
      </c>
      <c r="M11264">
        <v>0.91200000000000003</v>
      </c>
      <c r="N11264">
        <v>0.27</v>
      </c>
    </row>
    <row r="11265" spans="1:14" x14ac:dyDescent="0.25">
      <c r="A11265" t="s">
        <v>19516</v>
      </c>
      <c r="B11265" t="s">
        <v>19517</v>
      </c>
      <c r="C11265" s="1" t="str">
        <f>HYPERLINK("http://www.genecards.org/cgi-bin/carddisp.pl?gene=DENND3","GeneCards")</f>
        <v>GeneCards</v>
      </c>
      <c r="D11265" s="1" t="str">
        <f>HYPERLINK("http://genome-euro.ucsc.edu/cgi-bin/hgTracks?position=212974_at","UCSC")</f>
        <v>UCSC</v>
      </c>
      <c r="E11265" s="1" t="str">
        <f>HYPERLINK("http://www.ncbi.nlm.nih.gov/gene/?term=DENND3","NCBI")</f>
        <v>NCBI</v>
      </c>
      <c r="F11265">
        <v>0.28000000000000003</v>
      </c>
      <c r="G11265">
        <v>0.43</v>
      </c>
      <c r="H11265" s="1" t="str">
        <f>HYPERLINK("http://www.weizmann.ac.il/complex/compphys/software/geview/data/figures/212974_at.png","Figure")</f>
        <v>Figure</v>
      </c>
      <c r="I11265">
        <v>0.92600000000000005</v>
      </c>
      <c r="J11265">
        <v>0.79</v>
      </c>
      <c r="K11265">
        <v>0.84399999999999997</v>
      </c>
      <c r="L11265">
        <v>0.26</v>
      </c>
      <c r="M11265">
        <v>0.91200000000000003</v>
      </c>
      <c r="N11265">
        <v>0.69</v>
      </c>
    </row>
    <row r="11266" spans="1:14" x14ac:dyDescent="0.25">
      <c r="A11266" t="s">
        <v>19518</v>
      </c>
      <c r="B11266" t="s">
        <v>19519</v>
      </c>
      <c r="C11266" s="1" t="str">
        <f>HYPERLINK("http://www.genecards.org/cgi-bin/carddisp.pl?gene=BEX1","GeneCards")</f>
        <v>GeneCards</v>
      </c>
      <c r="D11266" s="1" t="str">
        <f>HYPERLINK("http://genome-euro.ucsc.edu/cgi-bin/hgTracks?position=218332_at","UCSC")</f>
        <v>UCSC</v>
      </c>
      <c r="E11266" s="1" t="str">
        <f>HYPERLINK("http://www.ncbi.nlm.nih.gov/gene/?term=BEX1","NCBI")</f>
        <v>NCBI</v>
      </c>
      <c r="F11266">
        <v>0.28000000000000003</v>
      </c>
      <c r="G11266">
        <v>0.43</v>
      </c>
      <c r="H11266" s="1" t="str">
        <f>HYPERLINK("http://www.weizmann.ac.il/complex/compphys/software/geview/data/figures/218332_at.png","Figure")</f>
        <v>Figure</v>
      </c>
      <c r="I11266">
        <v>1.05</v>
      </c>
      <c r="J11266">
        <v>0.73</v>
      </c>
      <c r="K11266">
        <v>0.94799999999999995</v>
      </c>
      <c r="L11266">
        <v>0.65</v>
      </c>
      <c r="M11266">
        <v>0.89900000000000002</v>
      </c>
      <c r="N11266">
        <v>0.26</v>
      </c>
    </row>
    <row r="11267" spans="1:14" x14ac:dyDescent="0.25">
      <c r="A11267" t="s">
        <v>19520</v>
      </c>
      <c r="B11267" t="s">
        <v>19521</v>
      </c>
      <c r="C11267" s="1" t="str">
        <f>HYPERLINK("http://www.genecards.org/cgi-bin/carddisp.pl?gene=PKD2","GeneCards")</f>
        <v>GeneCards</v>
      </c>
      <c r="D11267" s="1" t="str">
        <f>HYPERLINK("http://genome-euro.ucsc.edu/cgi-bin/hgTracks?position=203688_at","UCSC")</f>
        <v>UCSC</v>
      </c>
      <c r="E11267" s="1" t="str">
        <f>HYPERLINK("http://www.ncbi.nlm.nih.gov/gene/?term=PKD2","NCBI")</f>
        <v>NCBI</v>
      </c>
      <c r="F11267">
        <v>0.28000000000000003</v>
      </c>
      <c r="G11267">
        <v>0.43</v>
      </c>
      <c r="H11267" s="1" t="str">
        <f>HYPERLINK("http://www.weizmann.ac.il/complex/compphys/software/geview/data/figures/203688_at.png","Figure")</f>
        <v>Figure</v>
      </c>
      <c r="I11267">
        <v>0.58799999999999997</v>
      </c>
      <c r="J11267">
        <v>0.35</v>
      </c>
      <c r="K11267">
        <v>1</v>
      </c>
      <c r="L11267">
        <v>1</v>
      </c>
      <c r="M11267">
        <v>1.71</v>
      </c>
      <c r="N11267">
        <v>0.3</v>
      </c>
    </row>
    <row r="11268" spans="1:14" x14ac:dyDescent="0.25">
      <c r="A11268" t="s">
        <v>19522</v>
      </c>
      <c r="B11268" t="s">
        <v>19523</v>
      </c>
      <c r="C11268" s="1" t="str">
        <f>HYPERLINK("http://www.genecards.org/cgi-bin/carddisp.pl?gene=HDGFRP3","GeneCards")</f>
        <v>GeneCards</v>
      </c>
      <c r="D11268" s="1" t="str">
        <f>HYPERLINK("http://genome-euro.ucsc.edu/cgi-bin/hgTracks?position=209524_at","UCSC")</f>
        <v>UCSC</v>
      </c>
      <c r="E11268" s="1" t="str">
        <f>HYPERLINK("http://www.ncbi.nlm.nih.gov/gene/?term=HDGFRP3","NCBI")</f>
        <v>NCBI</v>
      </c>
      <c r="F11268">
        <v>0.28000000000000003</v>
      </c>
      <c r="G11268">
        <v>0.43</v>
      </c>
      <c r="H11268" s="1" t="str">
        <f>HYPERLINK("http://www.weizmann.ac.il/complex/compphys/software/geview/data/figures/209524_at.png","Figure")</f>
        <v>Figure</v>
      </c>
      <c r="I11268">
        <v>0.38800000000000001</v>
      </c>
      <c r="J11268">
        <v>0.25</v>
      </c>
      <c r="K11268">
        <v>0.63100000000000001</v>
      </c>
      <c r="L11268">
        <v>0.63</v>
      </c>
      <c r="M11268">
        <v>1.63</v>
      </c>
      <c r="N11268">
        <v>0.64</v>
      </c>
    </row>
    <row r="11269" spans="1:14" x14ac:dyDescent="0.25">
      <c r="A11269" t="s">
        <v>19524</v>
      </c>
      <c r="B11269" t="s">
        <v>9510</v>
      </c>
      <c r="C11269" s="1" t="str">
        <f>HYPERLINK("http://www.genecards.org/cgi-bin/carddisp.pl?gene=COMMD4","GeneCards")</f>
        <v>GeneCards</v>
      </c>
      <c r="D11269" s="1" t="str">
        <f>HYPERLINK("http://genome-euro.ucsc.edu/cgi-bin/hgTracks?position=206441_s_at","UCSC")</f>
        <v>UCSC</v>
      </c>
      <c r="E11269" s="1" t="str">
        <f>HYPERLINK("http://www.ncbi.nlm.nih.gov/gene/?term=COMMD4","NCBI")</f>
        <v>NCBI</v>
      </c>
      <c r="F11269">
        <v>0.28000000000000003</v>
      </c>
      <c r="G11269">
        <v>0.43</v>
      </c>
      <c r="H11269" s="1" t="str">
        <f>HYPERLINK("http://www.weizmann.ac.il/complex/compphys/software/geview/data/figures/206441_s_at.png","Figure")</f>
        <v>Figure</v>
      </c>
      <c r="I11269">
        <v>1.3</v>
      </c>
      <c r="J11269">
        <v>0.26</v>
      </c>
      <c r="K11269">
        <v>1.1499999999999999</v>
      </c>
      <c r="L11269">
        <v>0.56999999999999995</v>
      </c>
      <c r="M11269">
        <v>0.88600000000000001</v>
      </c>
      <c r="N11269">
        <v>0.7</v>
      </c>
    </row>
    <row r="11270" spans="1:14" x14ac:dyDescent="0.25">
      <c r="A11270" t="s">
        <v>19525</v>
      </c>
      <c r="B11270" t="s">
        <v>19526</v>
      </c>
      <c r="C11270" s="1" t="str">
        <f>HYPERLINK("http://www.genecards.org/cgi-bin/carddisp.pl?gene=BAX","GeneCards")</f>
        <v>GeneCards</v>
      </c>
      <c r="D11270" s="1" t="str">
        <f>HYPERLINK("http://genome-euro.ucsc.edu/cgi-bin/hgTracks?position=211833_s_at","UCSC")</f>
        <v>UCSC</v>
      </c>
      <c r="E11270" s="1" t="str">
        <f>HYPERLINK("http://www.ncbi.nlm.nih.gov/gene/?term=BAX","NCBI")</f>
        <v>NCBI</v>
      </c>
      <c r="F11270">
        <v>0.28000000000000003</v>
      </c>
      <c r="G11270">
        <v>0.43</v>
      </c>
      <c r="H11270" s="1" t="str">
        <f>HYPERLINK("http://www.weizmann.ac.il/complex/compphys/software/geview/data/figures/211833_s_at.png","Figure")</f>
        <v>Figure</v>
      </c>
      <c r="I11270">
        <v>0.84699999999999998</v>
      </c>
      <c r="J11270">
        <v>0.25</v>
      </c>
      <c r="K11270">
        <v>0.93100000000000005</v>
      </c>
      <c r="L11270">
        <v>0.7</v>
      </c>
      <c r="M11270">
        <v>1.1000000000000001</v>
      </c>
      <c r="N11270">
        <v>0.57999999999999996</v>
      </c>
    </row>
    <row r="11271" spans="1:14" x14ac:dyDescent="0.25">
      <c r="A11271" t="s">
        <v>19527</v>
      </c>
      <c r="B11271" t="s">
        <v>19528</v>
      </c>
      <c r="C11271" s="1" t="str">
        <f>HYPERLINK("http://www.genecards.org/cgi-bin/carddisp.pl?gene=TES","GeneCards")</f>
        <v>GeneCards</v>
      </c>
      <c r="D11271" s="1" t="str">
        <f>HYPERLINK("http://genome-euro.ucsc.edu/cgi-bin/hgTracks?position=202719_s_at","UCSC")</f>
        <v>UCSC</v>
      </c>
      <c r="E11271" s="1" t="str">
        <f>HYPERLINK("http://www.ncbi.nlm.nih.gov/gene/?term=TES","NCBI")</f>
        <v>NCBI</v>
      </c>
      <c r="F11271">
        <v>0.28000000000000003</v>
      </c>
      <c r="G11271">
        <v>0.43</v>
      </c>
      <c r="H11271" s="1" t="str">
        <f>HYPERLINK("http://www.weizmann.ac.il/complex/compphys/software/geview/data/figures/202719_s_at.png","Figure")</f>
        <v>Figure</v>
      </c>
      <c r="I11271">
        <v>1.31</v>
      </c>
      <c r="J11271">
        <v>0.27</v>
      </c>
      <c r="K11271">
        <v>1.19</v>
      </c>
      <c r="L11271">
        <v>0.49</v>
      </c>
      <c r="M11271">
        <v>0.90400000000000003</v>
      </c>
      <c r="N11271">
        <v>0.8</v>
      </c>
    </row>
    <row r="11272" spans="1:14" x14ac:dyDescent="0.25">
      <c r="A11272" t="s">
        <v>19529</v>
      </c>
      <c r="B11272" t="s">
        <v>1525</v>
      </c>
      <c r="C11272" s="1" t="str">
        <f>HYPERLINK("http://www.genecards.org/cgi-bin/carddisp.pl?gene=NCKIPSD","GeneCards")</f>
        <v>GeneCards</v>
      </c>
      <c r="D11272" s="1" t="str">
        <f>HYPERLINK("http://genome-euro.ucsc.edu/cgi-bin/hgTracks?position=216114_at","UCSC")</f>
        <v>UCSC</v>
      </c>
      <c r="E11272" s="1" t="str">
        <f>HYPERLINK("http://www.ncbi.nlm.nih.gov/gene/?term=NCKIPSD","NCBI")</f>
        <v>NCBI</v>
      </c>
      <c r="F11272">
        <v>0.28000000000000003</v>
      </c>
      <c r="G11272">
        <v>0.43</v>
      </c>
      <c r="H11272" s="1" t="str">
        <f>HYPERLINK("http://www.weizmann.ac.il/complex/compphys/software/geview/data/figures/216114_at.png","Figure")</f>
        <v>Figure</v>
      </c>
      <c r="I11272">
        <v>1.1200000000000001</v>
      </c>
      <c r="J11272">
        <v>0.36</v>
      </c>
      <c r="K11272">
        <v>0.996</v>
      </c>
      <c r="L11272">
        <v>1</v>
      </c>
      <c r="M11272">
        <v>0.89</v>
      </c>
      <c r="N11272">
        <v>0.3</v>
      </c>
    </row>
    <row r="11273" spans="1:14" x14ac:dyDescent="0.25">
      <c r="A11273" t="s">
        <v>19530</v>
      </c>
      <c r="B11273" t="s">
        <v>19531</v>
      </c>
      <c r="C11273" s="1" t="str">
        <f>HYPERLINK("http://www.genecards.org/cgi-bin/carddisp.pl?gene=POPDC3","GeneCards")</f>
        <v>GeneCards</v>
      </c>
      <c r="D11273" s="1" t="str">
        <f>HYPERLINK("http://genome-euro.ucsc.edu/cgi-bin/hgTracks?position=219926_at","UCSC")</f>
        <v>UCSC</v>
      </c>
      <c r="E11273" s="1" t="str">
        <f>HYPERLINK("http://www.ncbi.nlm.nih.gov/gene/?term=POPDC3","NCBI")</f>
        <v>NCBI</v>
      </c>
      <c r="F11273">
        <v>0.28000000000000003</v>
      </c>
      <c r="G11273">
        <v>0.43</v>
      </c>
      <c r="H11273" s="1" t="str">
        <f>HYPERLINK("http://www.weizmann.ac.il/complex/compphys/software/geview/data/figures/219926_at.png","Figure")</f>
        <v>Figure</v>
      </c>
      <c r="I11273">
        <v>1.04</v>
      </c>
      <c r="J11273">
        <v>0.56000000000000005</v>
      </c>
      <c r="K11273">
        <v>0.98299999999999998</v>
      </c>
      <c r="L11273">
        <v>0.84</v>
      </c>
      <c r="M11273">
        <v>0.94699999999999995</v>
      </c>
      <c r="N11273">
        <v>0.25</v>
      </c>
    </row>
    <row r="11274" spans="1:14" x14ac:dyDescent="0.25">
      <c r="A11274" t="s">
        <v>19532</v>
      </c>
      <c r="B11274" t="s">
        <v>16796</v>
      </c>
      <c r="C11274" s="1" t="str">
        <f>HYPERLINK("http://www.genecards.org/cgi-bin/carddisp.pl?gene=BTF3","GeneCards")</f>
        <v>GeneCards</v>
      </c>
      <c r="D11274" s="1" t="str">
        <f>HYPERLINK("http://genome-euro.ucsc.edu/cgi-bin/hgTracks?position=214800_x_at","UCSC")</f>
        <v>UCSC</v>
      </c>
      <c r="E11274" s="1" t="str">
        <f>HYPERLINK("http://www.ncbi.nlm.nih.gov/gene/?term=BTF3","NCBI")</f>
        <v>NCBI</v>
      </c>
      <c r="F11274">
        <v>0.28000000000000003</v>
      </c>
      <c r="G11274">
        <v>0.43</v>
      </c>
      <c r="H11274" s="1" t="str">
        <f>HYPERLINK("http://www.weizmann.ac.il/complex/compphys/software/geview/data/figures/214800_x_at.png","Figure")</f>
        <v>Figure</v>
      </c>
      <c r="I11274">
        <v>0.82699999999999996</v>
      </c>
      <c r="J11274">
        <v>0.49</v>
      </c>
      <c r="K11274">
        <v>1.06</v>
      </c>
      <c r="L11274">
        <v>0.9</v>
      </c>
      <c r="M11274">
        <v>1.29</v>
      </c>
      <c r="N11274">
        <v>0.26</v>
      </c>
    </row>
    <row r="11275" spans="1:14" x14ac:dyDescent="0.25">
      <c r="A11275" t="s">
        <v>19533</v>
      </c>
      <c r="B11275" t="s">
        <v>19534</v>
      </c>
      <c r="C11275" s="1" t="str">
        <f>HYPERLINK("http://www.genecards.org/cgi-bin/carddisp.pl?gene=NLE1","GeneCards")</f>
        <v>GeneCards</v>
      </c>
      <c r="D11275" s="1" t="str">
        <f>HYPERLINK("http://genome-euro.ucsc.edu/cgi-bin/hgTracks?position=203867_s_at","UCSC")</f>
        <v>UCSC</v>
      </c>
      <c r="E11275" s="1" t="str">
        <f>HYPERLINK("http://www.ncbi.nlm.nih.gov/gene/?term=NLE1","NCBI")</f>
        <v>NCBI</v>
      </c>
      <c r="F11275">
        <v>0.28000000000000003</v>
      </c>
      <c r="G11275">
        <v>0.43</v>
      </c>
      <c r="H11275" s="1" t="str">
        <f>HYPERLINK("http://www.weizmann.ac.il/complex/compphys/software/geview/data/figures/203867_s_at.png","Figure")</f>
        <v>Figure</v>
      </c>
      <c r="I11275">
        <v>1</v>
      </c>
      <c r="J11275">
        <v>1</v>
      </c>
      <c r="K11275">
        <v>1.0900000000000001</v>
      </c>
      <c r="L11275">
        <v>0.35</v>
      </c>
      <c r="M11275">
        <v>1.0900000000000001</v>
      </c>
      <c r="N11275">
        <v>0.4</v>
      </c>
    </row>
    <row r="11276" spans="1:14" x14ac:dyDescent="0.25">
      <c r="A11276" t="s">
        <v>19535</v>
      </c>
      <c r="B11276" t="s">
        <v>19151</v>
      </c>
      <c r="C11276" s="1" t="str">
        <f>HYPERLINK("http://www.genecards.org/cgi-bin/carddisp.pl?gene=SORBS3","GeneCards")</f>
        <v>GeneCards</v>
      </c>
      <c r="D11276" s="1" t="str">
        <f>HYPERLINK("http://genome-euro.ucsc.edu/cgi-bin/hgTracks?position=207788_s_at","UCSC")</f>
        <v>UCSC</v>
      </c>
      <c r="E11276" s="1" t="str">
        <f>HYPERLINK("http://www.ncbi.nlm.nih.gov/gene/?term=SORBS3","NCBI")</f>
        <v>NCBI</v>
      </c>
      <c r="F11276">
        <v>0.28000000000000003</v>
      </c>
      <c r="G11276">
        <v>0.43</v>
      </c>
      <c r="H11276" s="1" t="str">
        <f>HYPERLINK("http://www.weizmann.ac.il/complex/compphys/software/geview/data/figures/207788_s_at.png","Figure")</f>
        <v>Figure</v>
      </c>
      <c r="I11276">
        <v>1.08</v>
      </c>
      <c r="J11276">
        <v>0.72</v>
      </c>
      <c r="K11276">
        <v>1.1599999999999999</v>
      </c>
      <c r="L11276">
        <v>0.25</v>
      </c>
      <c r="M11276">
        <v>1.07</v>
      </c>
      <c r="N11276">
        <v>0.75</v>
      </c>
    </row>
    <row r="11277" spans="1:14" x14ac:dyDescent="0.25">
      <c r="A11277" t="s">
        <v>19536</v>
      </c>
      <c r="B11277" t="s">
        <v>19537</v>
      </c>
      <c r="C11277" s="1" t="str">
        <f>HYPERLINK("http://www.genecards.org/cgi-bin/carddisp.pl?gene=EPS8L2","GeneCards")</f>
        <v>GeneCards</v>
      </c>
      <c r="D11277" s="1" t="str">
        <f>HYPERLINK("http://genome-euro.ucsc.edu/cgi-bin/hgTracks?position=218180_s_at","UCSC")</f>
        <v>UCSC</v>
      </c>
      <c r="E11277" s="1" t="str">
        <f>HYPERLINK("http://www.ncbi.nlm.nih.gov/gene/?term=EPS8L2","NCBI")</f>
        <v>NCBI</v>
      </c>
      <c r="F11277">
        <v>0.28000000000000003</v>
      </c>
      <c r="G11277">
        <v>0.43</v>
      </c>
      <c r="H11277" s="1" t="str">
        <f>HYPERLINK("http://www.weizmann.ac.il/complex/compphys/software/geview/data/figures/218180_s_at.png","Figure")</f>
        <v>Figure</v>
      </c>
      <c r="I11277">
        <v>1.03</v>
      </c>
      <c r="J11277">
        <v>0.69</v>
      </c>
      <c r="K11277">
        <v>0.97099999999999997</v>
      </c>
      <c r="L11277">
        <v>0.69</v>
      </c>
      <c r="M11277">
        <v>0.93899999999999995</v>
      </c>
      <c r="N11277">
        <v>0.26</v>
      </c>
    </row>
    <row r="11278" spans="1:14" x14ac:dyDescent="0.25">
      <c r="A11278" t="s">
        <v>19538</v>
      </c>
      <c r="B11278" t="s">
        <v>12532</v>
      </c>
      <c r="C11278" s="1" t="str">
        <f>HYPERLINK("http://www.genecards.org/cgi-bin/carddisp.pl?gene=HFE","GeneCards")</f>
        <v>GeneCards</v>
      </c>
      <c r="D11278" s="1" t="str">
        <f>HYPERLINK("http://genome-euro.ucsc.edu/cgi-bin/hgTracks?position=211331_x_at","UCSC")</f>
        <v>UCSC</v>
      </c>
      <c r="E11278" s="1" t="str">
        <f>HYPERLINK("http://www.ncbi.nlm.nih.gov/gene/?term=HFE","NCBI")</f>
        <v>NCBI</v>
      </c>
      <c r="F11278">
        <v>0.28000000000000003</v>
      </c>
      <c r="G11278">
        <v>0.43</v>
      </c>
      <c r="H11278" s="1" t="str">
        <f>HYPERLINK("http://www.weizmann.ac.il/complex/compphys/software/geview/data/figures/211331_x_at.png","Figure")</f>
        <v>Figure</v>
      </c>
      <c r="I11278">
        <v>1.1399999999999999</v>
      </c>
      <c r="J11278">
        <v>0.26</v>
      </c>
      <c r="K11278">
        <v>1.07</v>
      </c>
      <c r="L11278">
        <v>0.57999999999999996</v>
      </c>
      <c r="M11278">
        <v>0.94299999999999995</v>
      </c>
      <c r="N11278">
        <v>0.7</v>
      </c>
    </row>
    <row r="11279" spans="1:14" x14ac:dyDescent="0.25">
      <c r="A11279" t="s">
        <v>19539</v>
      </c>
      <c r="B11279" t="s">
        <v>19540</v>
      </c>
      <c r="C11279" s="1" t="str">
        <f>HYPERLINK("http://www.genecards.org/cgi-bin/carddisp.pl?gene=LRFN4","GeneCards")</f>
        <v>GeneCards</v>
      </c>
      <c r="D11279" s="1" t="str">
        <f>HYPERLINK("http://genome-euro.ucsc.edu/cgi-bin/hgTracks?position=219491_at","UCSC")</f>
        <v>UCSC</v>
      </c>
      <c r="E11279" s="1" t="str">
        <f>HYPERLINK("http://www.ncbi.nlm.nih.gov/gene/?term=LRFN4","NCBI")</f>
        <v>NCBI</v>
      </c>
      <c r="F11279">
        <v>0.28000000000000003</v>
      </c>
      <c r="G11279">
        <v>0.43</v>
      </c>
      <c r="H11279" s="1" t="str">
        <f>HYPERLINK("http://www.weizmann.ac.il/complex/compphys/software/geview/data/figures/219491_at.png","Figure")</f>
        <v>Figure</v>
      </c>
      <c r="I11279">
        <v>0.93300000000000005</v>
      </c>
      <c r="J11279">
        <v>0.83</v>
      </c>
      <c r="K11279">
        <v>1.1100000000000001</v>
      </c>
      <c r="L11279">
        <v>0.56000000000000005</v>
      </c>
      <c r="M11279">
        <v>1.19</v>
      </c>
      <c r="N11279">
        <v>0.28000000000000003</v>
      </c>
    </row>
    <row r="11280" spans="1:14" x14ac:dyDescent="0.25">
      <c r="A11280" t="s">
        <v>19541</v>
      </c>
      <c r="B11280" t="s">
        <v>19542</v>
      </c>
      <c r="C11280" s="1" t="str">
        <f>HYPERLINK("http://www.genecards.org/cgi-bin/carddisp.pl?gene=ZNF180","GeneCards")</f>
        <v>GeneCards</v>
      </c>
      <c r="D11280" s="1" t="str">
        <f>HYPERLINK("http://genome-euro.ucsc.edu/cgi-bin/hgTracks?position=219495_s_at","UCSC")</f>
        <v>UCSC</v>
      </c>
      <c r="E11280" s="1" t="str">
        <f>HYPERLINK("http://www.ncbi.nlm.nih.gov/gene/?term=ZNF180","NCBI")</f>
        <v>NCBI</v>
      </c>
      <c r="F11280">
        <v>0.28000000000000003</v>
      </c>
      <c r="G11280">
        <v>0.43</v>
      </c>
      <c r="H11280" s="1" t="str">
        <f>HYPERLINK("http://www.weizmann.ac.il/complex/compphys/software/geview/data/figures/219495_s_at.png","Figure")</f>
        <v>Figure</v>
      </c>
      <c r="I11280">
        <v>0.97899999999999998</v>
      </c>
      <c r="J11280">
        <v>0.98</v>
      </c>
      <c r="K11280">
        <v>0.86</v>
      </c>
      <c r="L11280">
        <v>0.31</v>
      </c>
      <c r="M11280">
        <v>0.878</v>
      </c>
      <c r="N11280">
        <v>0.46</v>
      </c>
    </row>
    <row r="11281" spans="1:14" x14ac:dyDescent="0.25">
      <c r="A11281" t="s">
        <v>19543</v>
      </c>
      <c r="B11281" t="s">
        <v>18634</v>
      </c>
      <c r="C11281" s="1" t="str">
        <f>HYPERLINK("http://www.genecards.org/cgi-bin/carddisp.pl?gene=MARK4","GeneCards")</f>
        <v>GeneCards</v>
      </c>
      <c r="D11281" s="1" t="str">
        <f>HYPERLINK("http://genome-euro.ucsc.edu/cgi-bin/hgTracks?position=55065_at","UCSC")</f>
        <v>UCSC</v>
      </c>
      <c r="E11281" s="1" t="str">
        <f>HYPERLINK("http://www.ncbi.nlm.nih.gov/gene/?term=MARK4","NCBI")</f>
        <v>NCBI</v>
      </c>
      <c r="F11281">
        <v>0.28000000000000003</v>
      </c>
      <c r="G11281">
        <v>0.43</v>
      </c>
      <c r="H11281" s="1" t="str">
        <f>HYPERLINK("http://www.weizmann.ac.il/complex/compphys/software/geview/data/figures/55065_at.png","Figure")</f>
        <v>Figure</v>
      </c>
      <c r="I11281">
        <v>0.96399999999999997</v>
      </c>
      <c r="J11281">
        <v>0.98</v>
      </c>
      <c r="K11281">
        <v>1.22</v>
      </c>
      <c r="L11281">
        <v>0.41</v>
      </c>
      <c r="M11281">
        <v>1.26</v>
      </c>
      <c r="N11281">
        <v>0.34</v>
      </c>
    </row>
    <row r="11282" spans="1:14" x14ac:dyDescent="0.25">
      <c r="A11282" t="s">
        <v>19544</v>
      </c>
      <c r="B11282" t="s">
        <v>19545</v>
      </c>
      <c r="C11282" s="1" t="str">
        <f>HYPERLINK("http://www.genecards.org/cgi-bin/carddisp.pl?gene=CD209","GeneCards")</f>
        <v>GeneCards</v>
      </c>
      <c r="D11282" s="1" t="str">
        <f>HYPERLINK("http://genome-euro.ucsc.edu/cgi-bin/hgTracks?position=207277_at","UCSC")</f>
        <v>UCSC</v>
      </c>
      <c r="E11282" s="1" t="str">
        <f>HYPERLINK("http://www.ncbi.nlm.nih.gov/gene/?term=CD209","NCBI")</f>
        <v>NCBI</v>
      </c>
      <c r="F11282">
        <v>0.28000000000000003</v>
      </c>
      <c r="G11282">
        <v>0.43</v>
      </c>
      <c r="H11282" s="1" t="str">
        <f>HYPERLINK("http://www.weizmann.ac.il/complex/compphys/software/geview/data/figures/207277_at.png","Figure")</f>
        <v>Figure</v>
      </c>
      <c r="I11282">
        <v>1.1100000000000001</v>
      </c>
      <c r="J11282">
        <v>0.27</v>
      </c>
      <c r="K11282">
        <v>1.07</v>
      </c>
      <c r="L11282">
        <v>0.5</v>
      </c>
      <c r="M11282">
        <v>0.96199999999999997</v>
      </c>
      <c r="N11282">
        <v>0.79</v>
      </c>
    </row>
    <row r="11283" spans="1:14" x14ac:dyDescent="0.25">
      <c r="A11283" t="s">
        <v>19546</v>
      </c>
      <c r="B11283" t="s">
        <v>9677</v>
      </c>
      <c r="C11283" s="1" t="str">
        <f>HYPERLINK("http://www.genecards.org/cgi-bin/carddisp.pl?gene=NR2C1","GeneCards")</f>
        <v>GeneCards</v>
      </c>
      <c r="D11283" s="1" t="str">
        <f>HYPERLINK("http://genome-euro.ucsc.edu/cgi-bin/hgTracks?position=210530_s_at","UCSC")</f>
        <v>UCSC</v>
      </c>
      <c r="E11283" s="1" t="str">
        <f>HYPERLINK("http://www.ncbi.nlm.nih.gov/gene/?term=NR2C1","NCBI")</f>
        <v>NCBI</v>
      </c>
      <c r="F11283">
        <v>0.28000000000000003</v>
      </c>
      <c r="G11283">
        <v>0.43</v>
      </c>
      <c r="H11283" s="1" t="str">
        <f>HYPERLINK("http://www.weizmann.ac.il/complex/compphys/software/geview/data/figures/210530_s_at.png","Figure")</f>
        <v>Figure</v>
      </c>
      <c r="I11283">
        <v>0.79700000000000004</v>
      </c>
      <c r="J11283">
        <v>0.44</v>
      </c>
      <c r="K11283">
        <v>0.77800000000000002</v>
      </c>
      <c r="L11283">
        <v>0.28999999999999998</v>
      </c>
      <c r="M11283">
        <v>0.97699999999999998</v>
      </c>
      <c r="N11283">
        <v>0.99</v>
      </c>
    </row>
    <row r="11284" spans="1:14" x14ac:dyDescent="0.25">
      <c r="A11284" t="s">
        <v>19547</v>
      </c>
      <c r="B11284" t="s">
        <v>19548</v>
      </c>
      <c r="C11284" s="1" t="str">
        <f>HYPERLINK("http://www.genecards.org/cgi-bin/carddisp.pl?gene=KLHL7","GeneCards")</f>
        <v>GeneCards</v>
      </c>
      <c r="D11284" s="1" t="str">
        <f>HYPERLINK("http://genome-euro.ucsc.edu/cgi-bin/hgTracks?position=220239_at","UCSC")</f>
        <v>UCSC</v>
      </c>
      <c r="E11284" s="1" t="str">
        <f>HYPERLINK("http://www.ncbi.nlm.nih.gov/gene/?term=KLHL7","NCBI")</f>
        <v>NCBI</v>
      </c>
      <c r="F11284">
        <v>0.28000000000000003</v>
      </c>
      <c r="G11284">
        <v>0.43</v>
      </c>
      <c r="H11284" s="1" t="str">
        <f>HYPERLINK("http://www.weizmann.ac.il/complex/compphys/software/geview/data/figures/220239_at.png","Figure")</f>
        <v>Figure</v>
      </c>
      <c r="I11284">
        <v>0.84</v>
      </c>
      <c r="J11284">
        <v>0.87</v>
      </c>
      <c r="K11284">
        <v>0.61899999999999999</v>
      </c>
      <c r="L11284">
        <v>0.27</v>
      </c>
      <c r="M11284">
        <v>0.73599999999999999</v>
      </c>
      <c r="N11284">
        <v>0.61</v>
      </c>
    </row>
    <row r="11285" spans="1:14" x14ac:dyDescent="0.25">
      <c r="A11285" t="s">
        <v>19549</v>
      </c>
      <c r="B11285" t="s">
        <v>13043</v>
      </c>
      <c r="C11285" s="1" t="str">
        <f>HYPERLINK("http://www.genecards.org/cgi-bin/carddisp.pl?gene=GUK1","GeneCards")</f>
        <v>GeneCards</v>
      </c>
      <c r="D11285" s="1" t="str">
        <f>HYPERLINK("http://genome-euro.ucsc.edu/cgi-bin/hgTracks?position=200075_s_at","UCSC")</f>
        <v>UCSC</v>
      </c>
      <c r="E11285" s="1" t="str">
        <f>HYPERLINK("http://www.ncbi.nlm.nih.gov/gene/?term=GUK1","NCBI")</f>
        <v>NCBI</v>
      </c>
      <c r="F11285">
        <v>0.28000000000000003</v>
      </c>
      <c r="G11285">
        <v>0.43</v>
      </c>
      <c r="H11285" s="1" t="str">
        <f>HYPERLINK("http://www.weizmann.ac.il/complex/compphys/software/geview/data/figures/200075_s_at.png","Figure")</f>
        <v>Figure</v>
      </c>
      <c r="I11285">
        <v>1.17</v>
      </c>
      <c r="J11285">
        <v>0.26</v>
      </c>
      <c r="K11285">
        <v>1.05</v>
      </c>
      <c r="L11285">
        <v>0.84</v>
      </c>
      <c r="M11285">
        <v>0.89600000000000002</v>
      </c>
      <c r="N11285">
        <v>0.46</v>
      </c>
    </row>
    <row r="11286" spans="1:14" x14ac:dyDescent="0.25">
      <c r="A11286" t="s">
        <v>19550</v>
      </c>
      <c r="B11286" t="s">
        <v>19551</v>
      </c>
      <c r="C11286" s="1" t="str">
        <f>HYPERLINK("http://www.genecards.org/cgi-bin/carddisp.pl?gene=PIM2","GeneCards")</f>
        <v>GeneCards</v>
      </c>
      <c r="D11286" s="1" t="str">
        <f>HYPERLINK("http://genome-euro.ucsc.edu/cgi-bin/hgTracks?position=204269_at","UCSC")</f>
        <v>UCSC</v>
      </c>
      <c r="E11286" s="1" t="str">
        <f>HYPERLINK("http://www.ncbi.nlm.nih.gov/gene/?term=PIM2","NCBI")</f>
        <v>NCBI</v>
      </c>
      <c r="F11286">
        <v>0.28000000000000003</v>
      </c>
      <c r="G11286">
        <v>0.43</v>
      </c>
      <c r="H11286" s="1" t="str">
        <f>HYPERLINK("http://www.weizmann.ac.il/complex/compphys/software/geview/data/figures/204269_at.png","Figure")</f>
        <v>Figure</v>
      </c>
      <c r="I11286">
        <v>1.0900000000000001</v>
      </c>
      <c r="J11286">
        <v>0.71</v>
      </c>
      <c r="K11286">
        <v>0.92</v>
      </c>
      <c r="L11286">
        <v>0.67</v>
      </c>
      <c r="M11286">
        <v>0.84299999999999997</v>
      </c>
      <c r="N11286">
        <v>0.26</v>
      </c>
    </row>
    <row r="11287" spans="1:14" x14ac:dyDescent="0.25">
      <c r="A11287" t="s">
        <v>19552</v>
      </c>
      <c r="B11287" t="s">
        <v>19553</v>
      </c>
      <c r="C11287" s="1" t="str">
        <f>HYPERLINK("http://www.genecards.org/cgi-bin/carddisp.pl?gene=C2orf27A","GeneCards")</f>
        <v>GeneCards</v>
      </c>
      <c r="D11287" s="1" t="str">
        <f>HYPERLINK("http://genome-euro.ucsc.edu/cgi-bin/hgTracks?position=206611_at","UCSC")</f>
        <v>UCSC</v>
      </c>
      <c r="E11287" s="1" t="str">
        <f>HYPERLINK("http://www.ncbi.nlm.nih.gov/gene/?term=C2orf27A","NCBI")</f>
        <v>NCBI</v>
      </c>
      <c r="F11287">
        <v>0.28000000000000003</v>
      </c>
      <c r="G11287">
        <v>0.43</v>
      </c>
      <c r="H11287" s="1" t="str">
        <f>HYPERLINK("http://www.weizmann.ac.il/complex/compphys/software/geview/data/figures/206611_at.png","Figure")</f>
        <v>Figure</v>
      </c>
      <c r="I11287">
        <v>1.28</v>
      </c>
      <c r="J11287">
        <v>0.3</v>
      </c>
      <c r="K11287">
        <v>1.2</v>
      </c>
      <c r="L11287">
        <v>0.41</v>
      </c>
      <c r="M11287">
        <v>0.93700000000000006</v>
      </c>
      <c r="N11287">
        <v>0.9</v>
      </c>
    </row>
    <row r="11288" spans="1:14" x14ac:dyDescent="0.25">
      <c r="A11288" t="s">
        <v>19554</v>
      </c>
      <c r="B11288" t="s">
        <v>14652</v>
      </c>
      <c r="C11288" s="1" t="str">
        <f>HYPERLINK("http://www.genecards.org/cgi-bin/carddisp.pl?gene=AVPR2","GeneCards")</f>
        <v>GeneCards</v>
      </c>
      <c r="D11288" s="1" t="str">
        <f>HYPERLINK("http://genome-euro.ucsc.edu/cgi-bin/hgTracks?position=208108_s_at","UCSC")</f>
        <v>UCSC</v>
      </c>
      <c r="E11288" s="1" t="str">
        <f>HYPERLINK("http://www.ncbi.nlm.nih.gov/gene/?term=AVPR2","NCBI")</f>
        <v>NCBI</v>
      </c>
      <c r="F11288">
        <v>0.28000000000000003</v>
      </c>
      <c r="G11288">
        <v>0.43</v>
      </c>
      <c r="H11288" s="1" t="str">
        <f>HYPERLINK("http://www.weizmann.ac.il/complex/compphys/software/geview/data/figures/208108_s_at.png","Figure")</f>
        <v>Figure</v>
      </c>
      <c r="I11288">
        <v>0.95399999999999996</v>
      </c>
      <c r="J11288">
        <v>0.41</v>
      </c>
      <c r="K11288">
        <v>0.95199999999999996</v>
      </c>
      <c r="L11288">
        <v>0.3</v>
      </c>
      <c r="M11288">
        <v>0.999</v>
      </c>
      <c r="N11288">
        <v>1</v>
      </c>
    </row>
    <row r="11289" spans="1:14" x14ac:dyDescent="0.25">
      <c r="A11289" t="s">
        <v>19555</v>
      </c>
      <c r="B11289" t="s">
        <v>19556</v>
      </c>
      <c r="C11289" s="1" t="str">
        <f>HYPERLINK("http://www.genecards.org/cgi-bin/carddisp.pl?gene=KIFC3","GeneCards")</f>
        <v>GeneCards</v>
      </c>
      <c r="D11289" s="1" t="str">
        <f>HYPERLINK("http://genome-euro.ucsc.edu/cgi-bin/hgTracks?position=209661_at","UCSC")</f>
        <v>UCSC</v>
      </c>
      <c r="E11289" s="1" t="str">
        <f>HYPERLINK("http://www.ncbi.nlm.nih.gov/gene/?term=KIFC3","NCBI")</f>
        <v>NCBI</v>
      </c>
      <c r="F11289">
        <v>0.28000000000000003</v>
      </c>
      <c r="G11289">
        <v>0.43</v>
      </c>
      <c r="H11289" s="1" t="str">
        <f>HYPERLINK("http://www.weizmann.ac.il/complex/compphys/software/geview/data/figures/209661_at.png","Figure")</f>
        <v>Figure</v>
      </c>
      <c r="I11289">
        <v>1.23</v>
      </c>
      <c r="J11289">
        <v>0.35</v>
      </c>
      <c r="K11289">
        <v>1</v>
      </c>
      <c r="L11289">
        <v>1</v>
      </c>
      <c r="M11289">
        <v>0.81899999999999995</v>
      </c>
      <c r="N11289">
        <v>0.31</v>
      </c>
    </row>
    <row r="11290" spans="1:14" x14ac:dyDescent="0.25">
      <c r="A11290" t="s">
        <v>19557</v>
      </c>
      <c r="B11290" t="s">
        <v>19558</v>
      </c>
      <c r="C11290" s="1" t="str">
        <f>HYPERLINK("http://www.genecards.org/cgi-bin/carddisp.pl?gene=PCDHB17","GeneCards")</f>
        <v>GeneCards</v>
      </c>
      <c r="D11290" s="1" t="str">
        <f>HYPERLINK("http://genome-euro.ucsc.edu/cgi-bin/hgTracks?position=216355_at","UCSC")</f>
        <v>UCSC</v>
      </c>
      <c r="E11290" s="1" t="str">
        <f>HYPERLINK("http://www.ncbi.nlm.nih.gov/gene/?term=PCDHB17","NCBI")</f>
        <v>NCBI</v>
      </c>
      <c r="F11290">
        <v>0.28000000000000003</v>
      </c>
      <c r="G11290">
        <v>0.43</v>
      </c>
      <c r="H11290" s="1" t="str">
        <f>HYPERLINK("http://www.weizmann.ac.il/complex/compphys/software/geview/data/figures/216355_at.png","Figure")</f>
        <v>Figure</v>
      </c>
      <c r="I11290">
        <v>0.97299999999999998</v>
      </c>
      <c r="J11290">
        <v>0.31</v>
      </c>
      <c r="K11290">
        <v>0.997</v>
      </c>
      <c r="L11290">
        <v>0.98</v>
      </c>
      <c r="M11290">
        <v>1.03</v>
      </c>
      <c r="N11290">
        <v>0.34</v>
      </c>
    </row>
    <row r="11291" spans="1:14" x14ac:dyDescent="0.25">
      <c r="A11291" t="s">
        <v>19559</v>
      </c>
      <c r="B11291" t="s">
        <v>19560</v>
      </c>
      <c r="C11291" s="1" t="str">
        <f>HYPERLINK("http://www.genecards.org/cgi-bin/carddisp.pl?gene=TYW1","GeneCards")</f>
        <v>GeneCards</v>
      </c>
      <c r="D11291" s="1" t="str">
        <f>HYPERLINK("http://genome-euro.ucsc.edu/cgi-bin/hgTracks?position=218347_at","UCSC")</f>
        <v>UCSC</v>
      </c>
      <c r="E11291" s="1" t="str">
        <f>HYPERLINK("http://www.ncbi.nlm.nih.gov/gene/?term=TYW1","NCBI")</f>
        <v>NCBI</v>
      </c>
      <c r="F11291">
        <v>0.28000000000000003</v>
      </c>
      <c r="G11291">
        <v>0.43</v>
      </c>
      <c r="H11291" s="1" t="str">
        <f>HYPERLINK("http://www.weizmann.ac.il/complex/compphys/software/geview/data/figures/218347_at.png","Figure")</f>
        <v>Figure</v>
      </c>
      <c r="I11291">
        <v>1.1000000000000001</v>
      </c>
      <c r="J11291">
        <v>0.72</v>
      </c>
      <c r="K11291">
        <v>0.91500000000000004</v>
      </c>
      <c r="L11291">
        <v>0.67</v>
      </c>
      <c r="M11291">
        <v>0.83399999999999996</v>
      </c>
      <c r="N11291">
        <v>0.26</v>
      </c>
    </row>
    <row r="11292" spans="1:14" x14ac:dyDescent="0.25">
      <c r="A11292" t="s">
        <v>19561</v>
      </c>
      <c r="B11292" t="s">
        <v>19562</v>
      </c>
      <c r="C11292" s="1" t="str">
        <f>HYPERLINK("http://www.genecards.org/cgi-bin/carddisp.pl?gene=TBC1D17","GeneCards")</f>
        <v>GeneCards</v>
      </c>
      <c r="D11292" s="1" t="str">
        <f>HYPERLINK("http://genome-euro.ucsc.edu/cgi-bin/hgTracks?position=218466_at","UCSC")</f>
        <v>UCSC</v>
      </c>
      <c r="E11292" s="1" t="str">
        <f>HYPERLINK("http://www.ncbi.nlm.nih.gov/gene/?term=TBC1D17","NCBI")</f>
        <v>NCBI</v>
      </c>
      <c r="F11292">
        <v>0.28000000000000003</v>
      </c>
      <c r="G11292">
        <v>0.43</v>
      </c>
      <c r="H11292" s="1" t="str">
        <f>HYPERLINK("http://www.weizmann.ac.il/complex/compphys/software/geview/data/figures/218466_at.png","Figure")</f>
        <v>Figure</v>
      </c>
      <c r="I11292">
        <v>1.04</v>
      </c>
      <c r="J11292">
        <v>0.81</v>
      </c>
      <c r="K11292">
        <v>0.94199999999999995</v>
      </c>
      <c r="L11292">
        <v>0.57999999999999996</v>
      </c>
      <c r="M11292">
        <v>0.90300000000000002</v>
      </c>
      <c r="N11292">
        <v>0.27</v>
      </c>
    </row>
    <row r="11293" spans="1:14" x14ac:dyDescent="0.25">
      <c r="A11293" t="s">
        <v>19563</v>
      </c>
      <c r="B11293" t="s">
        <v>19564</v>
      </c>
      <c r="C11293" s="1" t="str">
        <f>HYPERLINK("http://www.genecards.org/cgi-bin/carddisp.pl?gene=POLR1E","GeneCards")</f>
        <v>GeneCards</v>
      </c>
      <c r="D11293" s="1" t="str">
        <f>HYPERLINK("http://genome-euro.ucsc.edu/cgi-bin/hgTracks?position=218997_at","UCSC")</f>
        <v>UCSC</v>
      </c>
      <c r="E11293" s="1" t="str">
        <f>HYPERLINK("http://www.ncbi.nlm.nih.gov/gene/?term=POLR1E","NCBI")</f>
        <v>NCBI</v>
      </c>
      <c r="F11293">
        <v>0.28000000000000003</v>
      </c>
      <c r="G11293">
        <v>0.43</v>
      </c>
      <c r="H11293" s="1" t="str">
        <f>HYPERLINK("http://www.weizmann.ac.il/complex/compphys/software/geview/data/figures/218997_at.png","Figure")</f>
        <v>Figure</v>
      </c>
      <c r="I11293">
        <v>0.97199999999999998</v>
      </c>
      <c r="J11293">
        <v>0.96</v>
      </c>
      <c r="K11293">
        <v>1.1100000000000001</v>
      </c>
      <c r="L11293">
        <v>0.44</v>
      </c>
      <c r="M11293">
        <v>1.1499999999999999</v>
      </c>
      <c r="N11293">
        <v>0.33</v>
      </c>
    </row>
    <row r="11294" spans="1:14" x14ac:dyDescent="0.25">
      <c r="A11294" t="s">
        <v>19565</v>
      </c>
      <c r="B11294" t="s">
        <v>19566</v>
      </c>
      <c r="C11294" s="1" t="str">
        <f>HYPERLINK("http://www.genecards.org/cgi-bin/carddisp.pl?gene=PBLD","GeneCards")</f>
        <v>GeneCards</v>
      </c>
      <c r="D11294" s="1" t="str">
        <f>HYPERLINK("http://genome-euro.ucsc.edu/cgi-bin/hgTracks?position=219543_at","UCSC")</f>
        <v>UCSC</v>
      </c>
      <c r="E11294" s="1" t="str">
        <f>HYPERLINK("http://www.ncbi.nlm.nih.gov/gene/?term=PBLD","NCBI")</f>
        <v>NCBI</v>
      </c>
      <c r="F11294">
        <v>0.28000000000000003</v>
      </c>
      <c r="G11294">
        <v>0.43</v>
      </c>
      <c r="H11294" s="1" t="str">
        <f>HYPERLINK("http://www.weizmann.ac.il/complex/compphys/software/geview/data/figures/219543_at.png","Figure")</f>
        <v>Figure</v>
      </c>
      <c r="I11294">
        <v>0.97299999999999998</v>
      </c>
      <c r="J11294">
        <v>0.31</v>
      </c>
      <c r="K11294">
        <v>0.997</v>
      </c>
      <c r="L11294">
        <v>0.98</v>
      </c>
      <c r="M11294">
        <v>1.03</v>
      </c>
      <c r="N11294">
        <v>0.34</v>
      </c>
    </row>
    <row r="11295" spans="1:14" x14ac:dyDescent="0.25">
      <c r="A11295" t="s">
        <v>19567</v>
      </c>
      <c r="B11295" t="s">
        <v>1417</v>
      </c>
      <c r="C11295" s="1" t="str">
        <f>HYPERLINK("http://www.genecards.org/cgi-bin/carddisp.pl?gene=ELK3","GeneCards")</f>
        <v>GeneCards</v>
      </c>
      <c r="D11295" s="1" t="str">
        <f>HYPERLINK("http://genome-euro.ucsc.edu/cgi-bin/hgTracks?position=206127_at","UCSC")</f>
        <v>UCSC</v>
      </c>
      <c r="E11295" s="1" t="str">
        <f>HYPERLINK("http://www.ncbi.nlm.nih.gov/gene/?term=ELK3","NCBI")</f>
        <v>NCBI</v>
      </c>
      <c r="F11295">
        <v>0.28000000000000003</v>
      </c>
      <c r="G11295">
        <v>0.43</v>
      </c>
      <c r="H11295" s="1" t="str">
        <f>HYPERLINK("http://www.weizmann.ac.il/complex/compphys/software/geview/data/figures/206127_at.png","Figure")</f>
        <v>Figure</v>
      </c>
      <c r="I11295">
        <v>0.98799999999999999</v>
      </c>
      <c r="J11295">
        <v>0.99</v>
      </c>
      <c r="K11295">
        <v>0.90500000000000003</v>
      </c>
      <c r="L11295">
        <v>0.32</v>
      </c>
      <c r="M11295">
        <v>0.91600000000000004</v>
      </c>
      <c r="N11295">
        <v>0.45</v>
      </c>
    </row>
    <row r="11296" spans="1:14" x14ac:dyDescent="0.25">
      <c r="A11296" t="s">
        <v>19568</v>
      </c>
      <c r="B11296" t="s">
        <v>19569</v>
      </c>
      <c r="C11296" s="1" t="str">
        <f>HYPERLINK("http://www.genecards.org/cgi-bin/carddisp.pl?gene=TNFSF4","GeneCards")</f>
        <v>GeneCards</v>
      </c>
      <c r="D11296" s="1" t="str">
        <f>HYPERLINK("http://genome-euro.ucsc.edu/cgi-bin/hgTracks?position=207426_s_at","UCSC")</f>
        <v>UCSC</v>
      </c>
      <c r="E11296" s="1" t="str">
        <f>HYPERLINK("http://www.ncbi.nlm.nih.gov/gene/?term=TNFSF4","NCBI")</f>
        <v>NCBI</v>
      </c>
      <c r="F11296">
        <v>0.28000000000000003</v>
      </c>
      <c r="G11296">
        <v>0.43</v>
      </c>
      <c r="H11296" s="1" t="str">
        <f>HYPERLINK("http://www.weizmann.ac.il/complex/compphys/software/geview/data/figures/207426_s_at.png","Figure")</f>
        <v>Figure</v>
      </c>
      <c r="I11296">
        <v>0.83799999999999997</v>
      </c>
      <c r="J11296">
        <v>0.8</v>
      </c>
      <c r="K11296">
        <v>0.67500000000000004</v>
      </c>
      <c r="L11296">
        <v>0.26</v>
      </c>
      <c r="M11296">
        <v>0.80500000000000005</v>
      </c>
      <c r="N11296">
        <v>0.68</v>
      </c>
    </row>
    <row r="11297" spans="1:14" x14ac:dyDescent="0.25">
      <c r="A11297" t="s">
        <v>19570</v>
      </c>
      <c r="B11297" t="s">
        <v>2178</v>
      </c>
      <c r="C11297" s="1" t="str">
        <f>HYPERLINK("http://www.genecards.org/cgi-bin/carddisp.pl?gene=SLC24A1","GeneCards")</f>
        <v>GeneCards</v>
      </c>
      <c r="D11297" s="1" t="str">
        <f>HYPERLINK("http://genome-euro.ucsc.edu/cgi-bin/hgTracks?position=210420_at","UCSC")</f>
        <v>UCSC</v>
      </c>
      <c r="E11297" s="1" t="str">
        <f>HYPERLINK("http://www.ncbi.nlm.nih.gov/gene/?term=SLC24A1","NCBI")</f>
        <v>NCBI</v>
      </c>
      <c r="F11297">
        <v>0.28000000000000003</v>
      </c>
      <c r="G11297">
        <v>0.43</v>
      </c>
      <c r="H11297" s="1" t="str">
        <f>HYPERLINK("http://www.weizmann.ac.il/complex/compphys/software/geview/data/figures/210420_at.png","Figure")</f>
        <v>Figure</v>
      </c>
      <c r="I11297">
        <v>0.99</v>
      </c>
      <c r="J11297">
        <v>0.92</v>
      </c>
      <c r="K11297">
        <v>1.03</v>
      </c>
      <c r="L11297">
        <v>0.48</v>
      </c>
      <c r="M11297">
        <v>1.04</v>
      </c>
      <c r="N11297">
        <v>0.31</v>
      </c>
    </row>
    <row r="11298" spans="1:14" x14ac:dyDescent="0.25">
      <c r="A11298" t="s">
        <v>19571</v>
      </c>
      <c r="B11298" t="s">
        <v>12186</v>
      </c>
      <c r="C11298" s="1" t="str">
        <f>HYPERLINK("http://www.genecards.org/cgi-bin/carddisp.pl?gene=RPS3A","GeneCards")</f>
        <v>GeneCards</v>
      </c>
      <c r="D11298" s="1" t="str">
        <f>HYPERLINK("http://genome-euro.ucsc.edu/cgi-bin/hgTracks?position=216823_at","UCSC")</f>
        <v>UCSC</v>
      </c>
      <c r="E11298" s="1" t="str">
        <f>HYPERLINK("http://www.ncbi.nlm.nih.gov/gene/?term=RPS3A","NCBI")</f>
        <v>NCBI</v>
      </c>
      <c r="F11298">
        <v>0.28000000000000003</v>
      </c>
      <c r="G11298">
        <v>0.43</v>
      </c>
      <c r="H11298" s="1" t="str">
        <f>HYPERLINK("http://www.weizmann.ac.il/complex/compphys/software/geview/data/figures/216823_at.png","Figure")</f>
        <v>Figure</v>
      </c>
      <c r="I11298">
        <v>0.95099999999999996</v>
      </c>
      <c r="J11298">
        <v>0.48</v>
      </c>
      <c r="K11298">
        <v>1.02</v>
      </c>
      <c r="L11298">
        <v>0.91</v>
      </c>
      <c r="M11298">
        <v>1.07</v>
      </c>
      <c r="N11298">
        <v>0.26</v>
      </c>
    </row>
    <row r="11299" spans="1:14" x14ac:dyDescent="0.25">
      <c r="A11299" t="s">
        <v>19572</v>
      </c>
      <c r="B11299" t="s">
        <v>5773</v>
      </c>
      <c r="C11299" s="1" t="str">
        <f>HYPERLINK("http://www.genecards.org/cgi-bin/carddisp.pl?gene=NRF1","GeneCards")</f>
        <v>GeneCards</v>
      </c>
      <c r="D11299" s="1" t="str">
        <f>HYPERLINK("http://genome-euro.ucsc.edu/cgi-bin/hgTracks?position=204652_s_at","UCSC")</f>
        <v>UCSC</v>
      </c>
      <c r="E11299" s="1" t="str">
        <f>HYPERLINK("http://www.ncbi.nlm.nih.gov/gene/?term=NRF1","NCBI")</f>
        <v>NCBI</v>
      </c>
      <c r="F11299">
        <v>0.28000000000000003</v>
      </c>
      <c r="G11299">
        <v>0.43</v>
      </c>
      <c r="H11299" s="1" t="str">
        <f>HYPERLINK("http://www.weizmann.ac.il/complex/compphys/software/geview/data/figures/204652_s_at.png","Figure")</f>
        <v>Figure</v>
      </c>
      <c r="I11299">
        <v>1.1399999999999999</v>
      </c>
      <c r="J11299">
        <v>0.32</v>
      </c>
      <c r="K11299">
        <v>1.1100000000000001</v>
      </c>
      <c r="L11299">
        <v>0.38</v>
      </c>
      <c r="M11299">
        <v>0.97399999999999998</v>
      </c>
      <c r="N11299">
        <v>0.95</v>
      </c>
    </row>
    <row r="11300" spans="1:14" x14ac:dyDescent="0.25">
      <c r="A11300" t="s">
        <v>19573</v>
      </c>
      <c r="B11300" t="s">
        <v>885</v>
      </c>
      <c r="C11300" s="1" t="str">
        <f>HYPERLINK("http://www.genecards.org/cgi-bin/carddisp.pl?gene=PRPF4B","GeneCards")</f>
        <v>GeneCards</v>
      </c>
      <c r="D11300" s="1" t="str">
        <f>HYPERLINK("http://genome-euro.ucsc.edu/cgi-bin/hgTracks?position=202126_at","UCSC")</f>
        <v>UCSC</v>
      </c>
      <c r="E11300" s="1" t="str">
        <f>HYPERLINK("http://www.ncbi.nlm.nih.gov/gene/?term=PRPF4B","NCBI")</f>
        <v>NCBI</v>
      </c>
      <c r="F11300">
        <v>0.28000000000000003</v>
      </c>
      <c r="G11300">
        <v>0.43</v>
      </c>
      <c r="H11300" s="1" t="str">
        <f>HYPERLINK("http://www.weizmann.ac.il/complex/compphys/software/geview/data/figures/202126_at.png","Figure")</f>
        <v>Figure</v>
      </c>
      <c r="I11300">
        <v>1.29</v>
      </c>
      <c r="J11300">
        <v>0.48</v>
      </c>
      <c r="K11300">
        <v>0.92900000000000005</v>
      </c>
      <c r="L11300">
        <v>0.92</v>
      </c>
      <c r="M11300">
        <v>0.71899999999999997</v>
      </c>
      <c r="N11300">
        <v>0.26</v>
      </c>
    </row>
    <row r="11301" spans="1:14" x14ac:dyDescent="0.25">
      <c r="A11301" t="s">
        <v>19574</v>
      </c>
      <c r="B11301" t="s">
        <v>19575</v>
      </c>
      <c r="C11301" s="1" t="str">
        <f>HYPERLINK("http://www.genecards.org/cgi-bin/carddisp.pl?gene=PDXDC1","GeneCards")</f>
        <v>GeneCards</v>
      </c>
      <c r="D11301" s="1" t="str">
        <f>HYPERLINK("http://genome-euro.ucsc.edu/cgi-bin/hgTracks?position=212053_at","UCSC")</f>
        <v>UCSC</v>
      </c>
      <c r="E11301" s="1" t="str">
        <f>HYPERLINK("http://www.ncbi.nlm.nih.gov/gene/?term=PDXDC1","NCBI")</f>
        <v>NCBI</v>
      </c>
      <c r="F11301">
        <v>0.28000000000000003</v>
      </c>
      <c r="G11301">
        <v>0.43</v>
      </c>
      <c r="H11301" s="1" t="str">
        <f>HYPERLINK("http://www.weizmann.ac.il/complex/compphys/software/geview/data/figures/212053_at.png","Figure")</f>
        <v>Figure</v>
      </c>
      <c r="I11301">
        <v>1.17</v>
      </c>
      <c r="J11301">
        <v>0.52</v>
      </c>
      <c r="K11301">
        <v>0.93899999999999995</v>
      </c>
      <c r="L11301">
        <v>0.87</v>
      </c>
      <c r="M11301">
        <v>0.80100000000000005</v>
      </c>
      <c r="N11301">
        <v>0.26</v>
      </c>
    </row>
    <row r="11302" spans="1:14" x14ac:dyDescent="0.25">
      <c r="A11302" t="s">
        <v>19576</v>
      </c>
      <c r="B11302" t="s">
        <v>19577</v>
      </c>
      <c r="C11302" s="1" t="str">
        <f>HYPERLINK("http://www.genecards.org/cgi-bin/carddisp.pl?gene=MMP27","GeneCards")</f>
        <v>GeneCards</v>
      </c>
      <c r="D11302" s="1" t="str">
        <f>HYPERLINK("http://genome-euro.ucsc.edu/cgi-bin/hgTracks?position=220783_at","UCSC")</f>
        <v>UCSC</v>
      </c>
      <c r="E11302" s="1" t="str">
        <f>HYPERLINK("http://www.ncbi.nlm.nih.gov/gene/?term=MMP27","NCBI")</f>
        <v>NCBI</v>
      </c>
      <c r="F11302">
        <v>0.28000000000000003</v>
      </c>
      <c r="G11302">
        <v>0.43</v>
      </c>
      <c r="H11302" s="1" t="str">
        <f>HYPERLINK("http://www.weizmann.ac.il/complex/compphys/software/geview/data/figures/220783_at.png","Figure")</f>
        <v>Figure</v>
      </c>
      <c r="I11302">
        <v>1.02</v>
      </c>
      <c r="J11302">
        <v>0.64</v>
      </c>
      <c r="K11302">
        <v>1.03</v>
      </c>
      <c r="L11302">
        <v>0.26</v>
      </c>
      <c r="M11302">
        <v>1.01</v>
      </c>
      <c r="N11302">
        <v>0.83</v>
      </c>
    </row>
    <row r="11303" spans="1:14" x14ac:dyDescent="0.25">
      <c r="A11303" t="s">
        <v>19578</v>
      </c>
      <c r="B11303" t="s">
        <v>10392</v>
      </c>
      <c r="C11303" s="1" t="str">
        <f>HYPERLINK("http://www.genecards.org/cgi-bin/carddisp.pl?gene=P4HB","GeneCards")</f>
        <v>GeneCards</v>
      </c>
      <c r="D11303" s="1" t="str">
        <f>HYPERLINK("http://genome-euro.ucsc.edu/cgi-bin/hgTracks?position=200654_at","UCSC")</f>
        <v>UCSC</v>
      </c>
      <c r="E11303" s="1" t="str">
        <f>HYPERLINK("http://www.ncbi.nlm.nih.gov/gene/?term=P4HB","NCBI")</f>
        <v>NCBI</v>
      </c>
      <c r="F11303">
        <v>0.28000000000000003</v>
      </c>
      <c r="G11303">
        <v>0.43</v>
      </c>
      <c r="H11303" s="1" t="str">
        <f>HYPERLINK("http://www.weizmann.ac.il/complex/compphys/software/geview/data/figures/200654_at.png","Figure")</f>
        <v>Figure</v>
      </c>
      <c r="I11303">
        <v>0.76100000000000001</v>
      </c>
      <c r="J11303">
        <v>0.25</v>
      </c>
      <c r="K11303">
        <v>0.88200000000000001</v>
      </c>
      <c r="L11303">
        <v>0.67</v>
      </c>
      <c r="M11303">
        <v>1.1599999999999999</v>
      </c>
      <c r="N11303">
        <v>0.61</v>
      </c>
    </row>
    <row r="11304" spans="1:14" x14ac:dyDescent="0.25">
      <c r="A11304" t="s">
        <v>19579</v>
      </c>
      <c r="B11304" t="s">
        <v>13311</v>
      </c>
      <c r="C11304" s="1" t="str">
        <f>HYPERLINK("http://www.genecards.org/cgi-bin/carddisp.pl?gene=PRKAB1","GeneCards")</f>
        <v>GeneCards</v>
      </c>
      <c r="D11304" s="1" t="str">
        <f>HYPERLINK("http://genome-euro.ucsc.edu/cgi-bin/hgTracks?position=201834_at","UCSC")</f>
        <v>UCSC</v>
      </c>
      <c r="E11304" s="1" t="str">
        <f>HYPERLINK("http://www.ncbi.nlm.nih.gov/gene/?term=PRKAB1","NCBI")</f>
        <v>NCBI</v>
      </c>
      <c r="F11304">
        <v>0.28000000000000003</v>
      </c>
      <c r="G11304">
        <v>0.43</v>
      </c>
      <c r="H11304" s="1" t="str">
        <f>HYPERLINK("http://www.weizmann.ac.il/complex/compphys/software/geview/data/figures/201834_at.png","Figure")</f>
        <v>Figure</v>
      </c>
      <c r="I11304">
        <v>1.01</v>
      </c>
      <c r="J11304">
        <v>1</v>
      </c>
      <c r="K11304">
        <v>0.8</v>
      </c>
      <c r="L11304">
        <v>0.37</v>
      </c>
      <c r="M11304">
        <v>0.79100000000000004</v>
      </c>
      <c r="N11304">
        <v>0.38</v>
      </c>
    </row>
    <row r="11305" spans="1:14" x14ac:dyDescent="0.25">
      <c r="A11305" t="s">
        <v>19580</v>
      </c>
      <c r="B11305" t="s">
        <v>7634</v>
      </c>
      <c r="C11305" s="1" t="str">
        <f>HYPERLINK("http://www.genecards.org/cgi-bin/carddisp.pl?gene=MECP2","GeneCards")</f>
        <v>GeneCards</v>
      </c>
      <c r="D11305" s="1" t="str">
        <f>HYPERLINK("http://genome-euro.ucsc.edu/cgi-bin/hgTracks?position=202618_s_at","UCSC")</f>
        <v>UCSC</v>
      </c>
      <c r="E11305" s="1" t="str">
        <f>HYPERLINK("http://www.ncbi.nlm.nih.gov/gene/?term=MECP2","NCBI")</f>
        <v>NCBI</v>
      </c>
      <c r="F11305">
        <v>0.28000000000000003</v>
      </c>
      <c r="G11305">
        <v>0.43</v>
      </c>
      <c r="H11305" s="1" t="str">
        <f>HYPERLINK("http://www.weizmann.ac.il/complex/compphys/software/geview/data/figures/202618_s_at.png","Figure")</f>
        <v>Figure</v>
      </c>
      <c r="I11305">
        <v>1.1200000000000001</v>
      </c>
      <c r="J11305">
        <v>0.47</v>
      </c>
      <c r="K11305">
        <v>0.97</v>
      </c>
      <c r="L11305">
        <v>0.93</v>
      </c>
      <c r="M11305">
        <v>0.86599999999999999</v>
      </c>
      <c r="N11305">
        <v>0.26</v>
      </c>
    </row>
    <row r="11306" spans="1:14" x14ac:dyDescent="0.25">
      <c r="A11306" t="s">
        <v>19581</v>
      </c>
      <c r="B11306" t="s">
        <v>19582</v>
      </c>
      <c r="C11306" s="1" t="str">
        <f>HYPERLINK("http://www.genecards.org/cgi-bin/carddisp.pl?gene=PRRX1","GeneCards")</f>
        <v>GeneCards</v>
      </c>
      <c r="D11306" s="1" t="str">
        <f>HYPERLINK("http://genome-euro.ucsc.edu/cgi-bin/hgTracks?position=205991_s_at","UCSC")</f>
        <v>UCSC</v>
      </c>
      <c r="E11306" s="1" t="str">
        <f>HYPERLINK("http://www.ncbi.nlm.nih.gov/gene/?term=PRRX1","NCBI")</f>
        <v>NCBI</v>
      </c>
      <c r="F11306">
        <v>0.28000000000000003</v>
      </c>
      <c r="G11306">
        <v>0.43</v>
      </c>
      <c r="H11306" s="1" t="str">
        <f>HYPERLINK("http://www.weizmann.ac.il/complex/compphys/software/geview/data/figures/205991_s_at.png","Figure")</f>
        <v>Figure</v>
      </c>
      <c r="I11306">
        <v>1.03</v>
      </c>
      <c r="J11306">
        <v>0.67</v>
      </c>
      <c r="K11306">
        <v>0.98099999999999998</v>
      </c>
      <c r="L11306">
        <v>0.72</v>
      </c>
      <c r="M11306">
        <v>0.95599999999999996</v>
      </c>
      <c r="N11306">
        <v>0.26</v>
      </c>
    </row>
    <row r="11307" spans="1:14" x14ac:dyDescent="0.25">
      <c r="A11307" t="s">
        <v>19583</v>
      </c>
      <c r="B11307" t="s">
        <v>10177</v>
      </c>
      <c r="C11307" s="1" t="str">
        <f>HYPERLINK("http://www.genecards.org/cgi-bin/carddisp.pl?gene=CCL13","GeneCards")</f>
        <v>GeneCards</v>
      </c>
      <c r="D11307" s="1" t="str">
        <f>HYPERLINK("http://genome-euro.ucsc.edu/cgi-bin/hgTracks?position=206407_s_at","UCSC")</f>
        <v>UCSC</v>
      </c>
      <c r="E11307" s="1" t="str">
        <f>HYPERLINK("http://www.ncbi.nlm.nih.gov/gene/?term=CCL13","NCBI")</f>
        <v>NCBI</v>
      </c>
      <c r="F11307">
        <v>0.28000000000000003</v>
      </c>
      <c r="G11307">
        <v>0.43</v>
      </c>
      <c r="H11307" s="1" t="str">
        <f>HYPERLINK("http://www.weizmann.ac.il/complex/compphys/software/geview/data/figures/206407_s_at.png","Figure")</f>
        <v>Figure</v>
      </c>
      <c r="I11307">
        <v>1.07</v>
      </c>
      <c r="J11307">
        <v>0.41</v>
      </c>
      <c r="K11307">
        <v>1.07</v>
      </c>
      <c r="L11307">
        <v>0.3</v>
      </c>
      <c r="M11307">
        <v>1</v>
      </c>
      <c r="N11307">
        <v>1</v>
      </c>
    </row>
    <row r="11308" spans="1:14" x14ac:dyDescent="0.25">
      <c r="A11308" t="s">
        <v>19584</v>
      </c>
      <c r="B11308" t="s">
        <v>19585</v>
      </c>
      <c r="C11308" s="1" t="str">
        <f>HYPERLINK("http://www.genecards.org/cgi-bin/carddisp.pl?gene=GULP1","GeneCards")</f>
        <v>GeneCards</v>
      </c>
      <c r="D11308" s="1" t="str">
        <f>HYPERLINK("http://genome-euro.ucsc.edu/cgi-bin/hgTracks?position=215913_s_at","UCSC")</f>
        <v>UCSC</v>
      </c>
      <c r="E11308" s="1" t="str">
        <f>HYPERLINK("http://www.ncbi.nlm.nih.gov/gene/?term=GULP1","NCBI")</f>
        <v>NCBI</v>
      </c>
      <c r="F11308">
        <v>0.28000000000000003</v>
      </c>
      <c r="G11308">
        <v>0.43</v>
      </c>
      <c r="H11308" s="1" t="str">
        <f>HYPERLINK("http://www.weizmann.ac.il/complex/compphys/software/geview/data/figures/215913_s_at.png","Figure")</f>
        <v>Figure</v>
      </c>
      <c r="I11308">
        <v>1</v>
      </c>
      <c r="J11308">
        <v>1</v>
      </c>
      <c r="K11308">
        <v>0.91800000000000004</v>
      </c>
      <c r="L11308">
        <v>0.36</v>
      </c>
      <c r="M11308">
        <v>0.91500000000000004</v>
      </c>
      <c r="N11308">
        <v>0.39</v>
      </c>
    </row>
    <row r="11309" spans="1:14" x14ac:dyDescent="0.25">
      <c r="A11309" t="s">
        <v>19586</v>
      </c>
      <c r="B11309" t="s">
        <v>19587</v>
      </c>
      <c r="C11309" s="1" t="str">
        <f>HYPERLINK("http://www.genecards.org/cgi-bin/carddisp.pl?gene=ATG2B","GeneCards")</f>
        <v>GeneCards</v>
      </c>
      <c r="D11309" s="1" t="str">
        <f>HYPERLINK("http://genome-euro.ucsc.edu/cgi-bin/hgTracks?position=219164_s_at","UCSC")</f>
        <v>UCSC</v>
      </c>
      <c r="E11309" s="1" t="str">
        <f>HYPERLINK("http://www.ncbi.nlm.nih.gov/gene/?term=ATG2B","NCBI")</f>
        <v>NCBI</v>
      </c>
      <c r="F11309">
        <v>0.28000000000000003</v>
      </c>
      <c r="G11309">
        <v>0.43</v>
      </c>
      <c r="H11309" s="1" t="str">
        <f>HYPERLINK("http://www.weizmann.ac.il/complex/compphys/software/geview/data/figures/219164_s_at.png","Figure")</f>
        <v>Figure</v>
      </c>
      <c r="I11309">
        <v>0.77800000000000002</v>
      </c>
      <c r="J11309">
        <v>0.26</v>
      </c>
      <c r="K11309">
        <v>0.91</v>
      </c>
      <c r="L11309">
        <v>0.76</v>
      </c>
      <c r="M11309">
        <v>1.17</v>
      </c>
      <c r="N11309">
        <v>0.52</v>
      </c>
    </row>
    <row r="11310" spans="1:14" x14ac:dyDescent="0.25">
      <c r="A11310" t="s">
        <v>19588</v>
      </c>
      <c r="B11310" t="s">
        <v>19589</v>
      </c>
      <c r="C11310" s="1" t="str">
        <f>HYPERLINK("http://www.genecards.org/cgi-bin/carddisp.pl?gene=MYO5A","GeneCards")</f>
        <v>GeneCards</v>
      </c>
      <c r="D11310" s="1" t="str">
        <f>HYPERLINK("http://genome-euro.ucsc.edu/cgi-bin/hgTracks?position=204527_at","UCSC")</f>
        <v>UCSC</v>
      </c>
      <c r="E11310" s="1" t="str">
        <f>HYPERLINK("http://www.ncbi.nlm.nih.gov/gene/?term=MYO5A","NCBI")</f>
        <v>NCBI</v>
      </c>
      <c r="F11310">
        <v>0.28000000000000003</v>
      </c>
      <c r="G11310">
        <v>0.43</v>
      </c>
      <c r="H11310" s="1" t="str">
        <f>HYPERLINK("http://www.weizmann.ac.il/complex/compphys/software/geview/data/figures/204527_at.png","Figure")</f>
        <v>Figure</v>
      </c>
      <c r="I11310">
        <v>1.03</v>
      </c>
      <c r="J11310">
        <v>0.97</v>
      </c>
      <c r="K11310">
        <v>0.872</v>
      </c>
      <c r="L11310">
        <v>0.42</v>
      </c>
      <c r="M11310">
        <v>0.84799999999999998</v>
      </c>
      <c r="N11310">
        <v>0.34</v>
      </c>
    </row>
    <row r="11311" spans="1:14" x14ac:dyDescent="0.25">
      <c r="A11311" t="s">
        <v>19590</v>
      </c>
      <c r="B11311" t="s">
        <v>19591</v>
      </c>
      <c r="C11311" s="1" t="str">
        <f>HYPERLINK("http://www.genecards.org/cgi-bin/carddisp.pl?gene=LOC390998","GeneCards")</f>
        <v>GeneCards</v>
      </c>
      <c r="D11311" s="1" t="str">
        <f>HYPERLINK("http://genome-euro.ucsc.edu/cgi-bin/hgTracks?position=216589_at","UCSC")</f>
        <v>UCSC</v>
      </c>
      <c r="E11311" s="1" t="str">
        <f>HYPERLINK("http://www.ncbi.nlm.nih.gov/gene/?term=LOC390998","NCBI")</f>
        <v>NCBI</v>
      </c>
      <c r="F11311">
        <v>0.28000000000000003</v>
      </c>
      <c r="G11311">
        <v>0.43</v>
      </c>
      <c r="H11311" s="1" t="str">
        <f>HYPERLINK("http://www.weizmann.ac.il/complex/compphys/software/geview/data/figures/216589_at.png","Figure")</f>
        <v>Figure</v>
      </c>
      <c r="I11311">
        <v>0.86399999999999999</v>
      </c>
      <c r="J11311">
        <v>0.28000000000000003</v>
      </c>
      <c r="K11311">
        <v>0.96599999999999997</v>
      </c>
      <c r="L11311">
        <v>0.9</v>
      </c>
      <c r="M11311">
        <v>1.1200000000000001</v>
      </c>
      <c r="N11311">
        <v>0.41</v>
      </c>
    </row>
    <row r="11312" spans="1:14" x14ac:dyDescent="0.25">
      <c r="A11312" t="s">
        <v>19592</v>
      </c>
      <c r="B11312" t="s">
        <v>19593</v>
      </c>
      <c r="C11312" s="1" t="str">
        <f>HYPERLINK("http://www.genecards.org/cgi-bin/carddisp.pl?gene=SLC25A44","GeneCards")</f>
        <v>GeneCards</v>
      </c>
      <c r="D11312" s="1" t="str">
        <f>HYPERLINK("http://genome-euro.ucsc.edu/cgi-bin/hgTracks?position=32091_at","UCSC")</f>
        <v>UCSC</v>
      </c>
      <c r="E11312" s="1" t="str">
        <f>HYPERLINK("http://www.ncbi.nlm.nih.gov/gene/?term=SLC25A44","NCBI")</f>
        <v>NCBI</v>
      </c>
      <c r="F11312">
        <v>0.28000000000000003</v>
      </c>
      <c r="G11312">
        <v>0.43</v>
      </c>
      <c r="H11312" s="1" t="str">
        <f>HYPERLINK("http://www.weizmann.ac.il/complex/compphys/software/geview/data/figures/32091_at.png","Figure")</f>
        <v>Figure</v>
      </c>
      <c r="I11312">
        <v>0.84099999999999997</v>
      </c>
      <c r="J11312">
        <v>0.79</v>
      </c>
      <c r="K11312">
        <v>0.68700000000000006</v>
      </c>
      <c r="L11312">
        <v>0.26</v>
      </c>
      <c r="M11312">
        <v>0.81599999999999995</v>
      </c>
      <c r="N11312">
        <v>0.69</v>
      </c>
    </row>
    <row r="11313" spans="1:14" x14ac:dyDescent="0.25">
      <c r="A11313" t="s">
        <v>19594</v>
      </c>
      <c r="B11313" t="s">
        <v>19595</v>
      </c>
      <c r="C11313" s="1" t="str">
        <f>HYPERLINK("http://www.genecards.org/cgi-bin/carddisp.pl?gene=NCRNA00105","GeneCards")</f>
        <v>GeneCards</v>
      </c>
      <c r="D11313" s="1" t="str">
        <f>HYPERLINK("http://genome-euro.ucsc.edu/cgi-bin/hgTracks?position=207288_at","UCSC")</f>
        <v>UCSC</v>
      </c>
      <c r="E11313" s="1" t="str">
        <f>HYPERLINK("http://www.ncbi.nlm.nih.gov/gene/?term=NCRNA00105","NCBI")</f>
        <v>NCBI</v>
      </c>
      <c r="F11313">
        <v>0.28000000000000003</v>
      </c>
      <c r="G11313">
        <v>0.43</v>
      </c>
      <c r="H11313" s="1" t="str">
        <f>HYPERLINK("http://www.weizmann.ac.il/complex/compphys/software/geview/data/figures/207288_at.png","Figure")</f>
        <v>Figure</v>
      </c>
      <c r="I11313">
        <v>0.95799999999999996</v>
      </c>
      <c r="J11313">
        <v>0.31</v>
      </c>
      <c r="K11313">
        <v>0.99399999999999999</v>
      </c>
      <c r="L11313">
        <v>0.97</v>
      </c>
      <c r="M11313">
        <v>1.04</v>
      </c>
      <c r="N11313">
        <v>0.36</v>
      </c>
    </row>
    <row r="11314" spans="1:14" x14ac:dyDescent="0.25">
      <c r="A11314" t="s">
        <v>19596</v>
      </c>
      <c r="B11314" t="s">
        <v>4630</v>
      </c>
      <c r="C11314" s="1" t="str">
        <f>HYPERLINK("http://www.genecards.org/cgi-bin/carddisp.pl?gene=CENPF","GeneCards")</f>
        <v>GeneCards</v>
      </c>
      <c r="D11314" s="1" t="str">
        <f>HYPERLINK("http://genome-euro.ucsc.edu/cgi-bin/hgTracks?position=209172_s_at","UCSC")</f>
        <v>UCSC</v>
      </c>
      <c r="E11314" s="1" t="str">
        <f>HYPERLINK("http://www.ncbi.nlm.nih.gov/gene/?term=CENPF","NCBI")</f>
        <v>NCBI</v>
      </c>
      <c r="F11314">
        <v>0.28999999999999998</v>
      </c>
      <c r="G11314">
        <v>0.43</v>
      </c>
      <c r="H11314" s="1" t="str">
        <f>HYPERLINK("http://www.weizmann.ac.il/complex/compphys/software/geview/data/figures/209172_s_at.png","Figure")</f>
        <v>Figure</v>
      </c>
      <c r="I11314">
        <v>1.06</v>
      </c>
      <c r="J11314">
        <v>0.84</v>
      </c>
      <c r="K11314">
        <v>1.1499999999999999</v>
      </c>
      <c r="L11314">
        <v>0.27</v>
      </c>
      <c r="M11314">
        <v>1.0900000000000001</v>
      </c>
      <c r="N11314">
        <v>0.64</v>
      </c>
    </row>
    <row r="11315" spans="1:14" x14ac:dyDescent="0.25">
      <c r="A11315" t="s">
        <v>19597</v>
      </c>
      <c r="B11315" t="s">
        <v>8144</v>
      </c>
      <c r="C11315" s="1" t="str">
        <f>HYPERLINK("http://www.genecards.org/cgi-bin/carddisp.pl?gene=SLC35D1","GeneCards")</f>
        <v>GeneCards</v>
      </c>
      <c r="D11315" s="1" t="str">
        <f>HYPERLINK("http://genome-euro.ucsc.edu/cgi-bin/hgTracks?position=209713_s_at","UCSC")</f>
        <v>UCSC</v>
      </c>
      <c r="E11315" s="1" t="str">
        <f>HYPERLINK("http://www.ncbi.nlm.nih.gov/gene/?term=SLC35D1","NCBI")</f>
        <v>NCBI</v>
      </c>
      <c r="F11315">
        <v>0.28000000000000003</v>
      </c>
      <c r="G11315">
        <v>0.43</v>
      </c>
      <c r="H11315" s="1" t="str">
        <f>HYPERLINK("http://www.weizmann.ac.il/complex/compphys/software/geview/data/figures/209713_s_at.png","Figure")</f>
        <v>Figure</v>
      </c>
      <c r="I11315">
        <v>1</v>
      </c>
      <c r="J11315">
        <v>1</v>
      </c>
      <c r="K11315">
        <v>0.995</v>
      </c>
      <c r="L11315">
        <v>0.35</v>
      </c>
      <c r="M11315">
        <v>0.995</v>
      </c>
      <c r="N11315">
        <v>0.4</v>
      </c>
    </row>
    <row r="11316" spans="1:14" x14ac:dyDescent="0.25">
      <c r="A11316" t="s">
        <v>19598</v>
      </c>
      <c r="B11316" t="s">
        <v>19599</v>
      </c>
      <c r="C11316" s="1" t="str">
        <f>HYPERLINK("http://www.genecards.org/cgi-bin/carddisp.pl?gene=ZXDB","GeneCards")</f>
        <v>GeneCards</v>
      </c>
      <c r="D11316" s="1" t="str">
        <f>HYPERLINK("http://genome-euro.ucsc.edu/cgi-bin/hgTracks?position=216013_at","UCSC")</f>
        <v>UCSC</v>
      </c>
      <c r="E11316" s="1" t="str">
        <f>HYPERLINK("http://www.ncbi.nlm.nih.gov/gene/?term=ZXDB","NCBI")</f>
        <v>NCBI</v>
      </c>
      <c r="F11316">
        <v>0.28000000000000003</v>
      </c>
      <c r="G11316">
        <v>0.43</v>
      </c>
      <c r="H11316" s="1" t="str">
        <f>HYPERLINK("http://www.weizmann.ac.il/complex/compphys/software/geview/data/figures/216013_at.png","Figure")</f>
        <v>Figure</v>
      </c>
      <c r="I11316">
        <v>1</v>
      </c>
      <c r="J11316">
        <v>1</v>
      </c>
      <c r="K11316">
        <v>0.99</v>
      </c>
      <c r="L11316">
        <v>0.35</v>
      </c>
      <c r="M11316">
        <v>0.99</v>
      </c>
      <c r="N11316">
        <v>0.4</v>
      </c>
    </row>
    <row r="11317" spans="1:14" x14ac:dyDescent="0.25">
      <c r="A11317" t="s">
        <v>19600</v>
      </c>
      <c r="B11317" t="s">
        <v>19601</v>
      </c>
      <c r="C11317" s="1" t="str">
        <f>HYPERLINK("http://www.genecards.org/cgi-bin/carddisp.pl?gene=ASPSCR1","GeneCards")</f>
        <v>GeneCards</v>
      </c>
      <c r="D11317" s="1" t="str">
        <f>HYPERLINK("http://genome-euro.ucsc.edu/cgi-bin/hgTracks?position=218908_at","UCSC")</f>
        <v>UCSC</v>
      </c>
      <c r="E11317" s="1" t="str">
        <f>HYPERLINK("http://www.ncbi.nlm.nih.gov/gene/?term=ASPSCR1","NCBI")</f>
        <v>NCBI</v>
      </c>
      <c r="F11317">
        <v>0.28999999999999998</v>
      </c>
      <c r="G11317">
        <v>0.43</v>
      </c>
      <c r="H11317" s="1" t="str">
        <f>HYPERLINK("http://www.weizmann.ac.il/complex/compphys/software/geview/data/figures/218908_at.png","Figure")</f>
        <v>Figure</v>
      </c>
      <c r="I11317">
        <v>0.86399999999999999</v>
      </c>
      <c r="J11317">
        <v>0.47</v>
      </c>
      <c r="K11317">
        <v>1.04</v>
      </c>
      <c r="L11317">
        <v>0.93</v>
      </c>
      <c r="M11317">
        <v>1.2</v>
      </c>
      <c r="N11317">
        <v>0.26</v>
      </c>
    </row>
    <row r="11318" spans="1:14" x14ac:dyDescent="0.25">
      <c r="A11318" t="s">
        <v>19602</v>
      </c>
      <c r="B11318" t="s">
        <v>19603</v>
      </c>
      <c r="C11318" s="1" t="str">
        <f>HYPERLINK("http://www.genecards.org/cgi-bin/carddisp.pl?gene=HCP5","GeneCards")</f>
        <v>GeneCards</v>
      </c>
      <c r="D11318" s="1" t="str">
        <f>HYPERLINK("http://genome-euro.ucsc.edu/cgi-bin/hgTracks?position=206082_at","UCSC")</f>
        <v>UCSC</v>
      </c>
      <c r="E11318" s="1" t="str">
        <f>HYPERLINK("http://www.ncbi.nlm.nih.gov/gene/?term=HCP5","NCBI")</f>
        <v>NCBI</v>
      </c>
      <c r="F11318">
        <v>0.28999999999999998</v>
      </c>
      <c r="G11318">
        <v>0.43</v>
      </c>
      <c r="H11318" s="1" t="str">
        <f>HYPERLINK("http://www.weizmann.ac.il/complex/compphys/software/geview/data/figures/206082_at.png","Figure")</f>
        <v>Figure</v>
      </c>
      <c r="I11318">
        <v>0.79700000000000004</v>
      </c>
      <c r="J11318">
        <v>0.62</v>
      </c>
      <c r="K11318">
        <v>1.1599999999999999</v>
      </c>
      <c r="L11318">
        <v>0.77</v>
      </c>
      <c r="M11318">
        <v>1.45</v>
      </c>
      <c r="N11318">
        <v>0.26</v>
      </c>
    </row>
    <row r="11319" spans="1:14" x14ac:dyDescent="0.25">
      <c r="A11319" t="s">
        <v>19604</v>
      </c>
      <c r="B11319" t="s">
        <v>19605</v>
      </c>
      <c r="C11319" s="1" t="str">
        <f>HYPERLINK("http://www.genecards.org/cgi-bin/carddisp.pl?gene=C2orf34","GeneCards")</f>
        <v>GeneCards</v>
      </c>
      <c r="D11319" s="1" t="str">
        <f>HYPERLINK("http://genome-euro.ucsc.edu/cgi-bin/hgTracks?position=219617_at","UCSC")</f>
        <v>UCSC</v>
      </c>
      <c r="E11319" s="1" t="str">
        <f>HYPERLINK("http://www.ncbi.nlm.nih.gov/gene/?term=C2orf34","NCBI")</f>
        <v>NCBI</v>
      </c>
      <c r="F11319">
        <v>0.28999999999999998</v>
      </c>
      <c r="G11319">
        <v>0.43</v>
      </c>
      <c r="H11319" s="1" t="str">
        <f>HYPERLINK("http://www.weizmann.ac.il/complex/compphys/software/geview/data/figures/219617_at.png","Figure")</f>
        <v>Figure</v>
      </c>
      <c r="I11319">
        <v>0.97699999999999998</v>
      </c>
      <c r="J11319">
        <v>0.9</v>
      </c>
      <c r="K11319">
        <v>0.92900000000000005</v>
      </c>
      <c r="L11319">
        <v>0.28000000000000003</v>
      </c>
      <c r="M11319">
        <v>0.95099999999999996</v>
      </c>
      <c r="N11319">
        <v>0.56999999999999995</v>
      </c>
    </row>
    <row r="11320" spans="1:14" x14ac:dyDescent="0.25">
      <c r="A11320" t="s">
        <v>19606</v>
      </c>
      <c r="B11320" t="s">
        <v>19607</v>
      </c>
      <c r="C11320" s="1" t="str">
        <f>HYPERLINK("http://www.genecards.org/cgi-bin/carddisp.pl?gene=CLEC16A","GeneCards")</f>
        <v>GeneCards</v>
      </c>
      <c r="D11320" s="1" t="str">
        <f>HYPERLINK("http://genome-euro.ucsc.edu/cgi-bin/hgTracks?position=212786_at","UCSC")</f>
        <v>UCSC</v>
      </c>
      <c r="E11320" s="1" t="str">
        <f>HYPERLINK("http://www.ncbi.nlm.nih.gov/gene/?term=CLEC16A","NCBI")</f>
        <v>NCBI</v>
      </c>
      <c r="F11320">
        <v>0.28999999999999998</v>
      </c>
      <c r="G11320">
        <v>0.43</v>
      </c>
      <c r="H11320" s="1" t="str">
        <f>HYPERLINK("http://www.weizmann.ac.il/complex/compphys/software/geview/data/figures/212786_at.png","Figure")</f>
        <v>Figure</v>
      </c>
      <c r="I11320">
        <v>0.98299999999999998</v>
      </c>
      <c r="J11320">
        <v>0.98</v>
      </c>
      <c r="K11320">
        <v>1.1100000000000001</v>
      </c>
      <c r="L11320">
        <v>0.41</v>
      </c>
      <c r="M11320">
        <v>1.1299999999999999</v>
      </c>
      <c r="N11320">
        <v>0.35</v>
      </c>
    </row>
    <row r="11321" spans="1:14" x14ac:dyDescent="0.25">
      <c r="A11321" t="s">
        <v>19608</v>
      </c>
      <c r="B11321" t="s">
        <v>5777</v>
      </c>
      <c r="C11321" s="1" t="str">
        <f>HYPERLINK("http://www.genecards.org/cgi-bin/carddisp.pl?gene=PTP4A1","GeneCards")</f>
        <v>GeneCards</v>
      </c>
      <c r="D11321" s="1" t="str">
        <f>HYPERLINK("http://genome-euro.ucsc.edu/cgi-bin/hgTracks?position=200731_s_at","UCSC")</f>
        <v>UCSC</v>
      </c>
      <c r="E11321" s="1" t="str">
        <f>HYPERLINK("http://www.ncbi.nlm.nih.gov/gene/?term=PTP4A1","NCBI")</f>
        <v>NCBI</v>
      </c>
      <c r="F11321">
        <v>0.28999999999999998</v>
      </c>
      <c r="G11321">
        <v>0.43</v>
      </c>
      <c r="H11321" s="1" t="str">
        <f>HYPERLINK("http://www.weizmann.ac.il/complex/compphys/software/geview/data/figures/200731_s_at.png","Figure")</f>
        <v>Figure</v>
      </c>
      <c r="I11321">
        <v>0.67</v>
      </c>
      <c r="J11321">
        <v>0.27</v>
      </c>
      <c r="K11321">
        <v>0.78</v>
      </c>
      <c r="L11321">
        <v>0.5</v>
      </c>
      <c r="M11321">
        <v>1.1599999999999999</v>
      </c>
      <c r="N11321">
        <v>0.79</v>
      </c>
    </row>
    <row r="11322" spans="1:14" x14ac:dyDescent="0.25">
      <c r="A11322" t="s">
        <v>19609</v>
      </c>
      <c r="B11322" t="s">
        <v>17825</v>
      </c>
      <c r="C11322" s="1" t="str">
        <f>HYPERLINK("http://www.genecards.org/cgi-bin/carddisp.pl?gene=EIF4G3","GeneCards")</f>
        <v>GeneCards</v>
      </c>
      <c r="D11322" s="1" t="str">
        <f>HYPERLINK("http://genome-euro.ucsc.edu/cgi-bin/hgTracks?position=201936_s_at","UCSC")</f>
        <v>UCSC</v>
      </c>
      <c r="E11322" s="1" t="str">
        <f>HYPERLINK("http://www.ncbi.nlm.nih.gov/gene/?term=EIF4G3","NCBI")</f>
        <v>NCBI</v>
      </c>
      <c r="F11322">
        <v>0.28999999999999998</v>
      </c>
      <c r="G11322">
        <v>0.43</v>
      </c>
      <c r="H11322" s="1" t="str">
        <f>HYPERLINK("http://www.weizmann.ac.il/complex/compphys/software/geview/data/figures/201936_s_at.png","Figure")</f>
        <v>Figure</v>
      </c>
      <c r="I11322">
        <v>0.84199999999999997</v>
      </c>
      <c r="J11322">
        <v>0.41</v>
      </c>
      <c r="K11322">
        <v>1.02</v>
      </c>
      <c r="L11322">
        <v>0.98</v>
      </c>
      <c r="M11322">
        <v>1.21</v>
      </c>
      <c r="N11322">
        <v>0.28000000000000003</v>
      </c>
    </row>
    <row r="11323" spans="1:14" x14ac:dyDescent="0.25">
      <c r="A11323" t="s">
        <v>19610</v>
      </c>
      <c r="B11323" t="s">
        <v>19611</v>
      </c>
      <c r="C11323" s="1" t="str">
        <f>HYPERLINK("http://www.genecards.org/cgi-bin/carddisp.pl?gene=RBM15B","GeneCards")</f>
        <v>GeneCards</v>
      </c>
      <c r="D11323" s="1" t="str">
        <f>HYPERLINK("http://genome-euro.ucsc.edu/cgi-bin/hgTracks?position=202689_at","UCSC")</f>
        <v>UCSC</v>
      </c>
      <c r="E11323" s="1" t="str">
        <f>HYPERLINK("http://www.ncbi.nlm.nih.gov/gene/?term=RBM15B","NCBI")</f>
        <v>NCBI</v>
      </c>
      <c r="F11323">
        <v>0.28999999999999998</v>
      </c>
      <c r="G11323">
        <v>0.43</v>
      </c>
      <c r="H11323" s="1" t="str">
        <f>HYPERLINK("http://www.weizmann.ac.il/complex/compphys/software/geview/data/figures/202689_at.png","Figure")</f>
        <v>Figure</v>
      </c>
      <c r="I11323">
        <v>1.1200000000000001</v>
      </c>
      <c r="J11323">
        <v>0.56000000000000005</v>
      </c>
      <c r="K11323">
        <v>0.94799999999999995</v>
      </c>
      <c r="L11323">
        <v>0.83</v>
      </c>
      <c r="M11323">
        <v>0.84899999999999998</v>
      </c>
      <c r="N11323">
        <v>0.26</v>
      </c>
    </row>
    <row r="11324" spans="1:14" x14ac:dyDescent="0.25">
      <c r="A11324" t="s">
        <v>19612</v>
      </c>
      <c r="B11324" t="s">
        <v>19613</v>
      </c>
      <c r="C11324" s="1" t="str">
        <f>HYPERLINK("http://www.genecards.org/cgi-bin/carddisp.pl?gene=HIVEP1","GeneCards")</f>
        <v>GeneCards</v>
      </c>
      <c r="D11324" s="1" t="str">
        <f>HYPERLINK("http://genome-euro.ucsc.edu/cgi-bin/hgTracks?position=204512_at","UCSC")</f>
        <v>UCSC</v>
      </c>
      <c r="E11324" s="1" t="str">
        <f>HYPERLINK("http://www.ncbi.nlm.nih.gov/gene/?term=HIVEP1","NCBI")</f>
        <v>NCBI</v>
      </c>
      <c r="F11324">
        <v>0.28999999999999998</v>
      </c>
      <c r="G11324">
        <v>0.43</v>
      </c>
      <c r="H11324" s="1" t="str">
        <f>HYPERLINK("http://www.weizmann.ac.il/complex/compphys/software/geview/data/figures/204512_at.png","Figure")</f>
        <v>Figure</v>
      </c>
      <c r="I11324">
        <v>1</v>
      </c>
      <c r="J11324">
        <v>1</v>
      </c>
      <c r="K11324">
        <v>0.872</v>
      </c>
      <c r="L11324">
        <v>0.35</v>
      </c>
      <c r="M11324">
        <v>0.872</v>
      </c>
      <c r="N11324">
        <v>0.4</v>
      </c>
    </row>
    <row r="11325" spans="1:14" x14ac:dyDescent="0.25">
      <c r="A11325" t="s">
        <v>19614</v>
      </c>
      <c r="B11325" t="s">
        <v>13806</v>
      </c>
      <c r="C11325" s="1" t="str">
        <f>HYPERLINK("http://www.genecards.org/cgi-bin/carddisp.pl?gene=RAB2A","GeneCards")</f>
        <v>GeneCards</v>
      </c>
      <c r="D11325" s="1" t="str">
        <f>HYPERLINK("http://genome-euro.ucsc.edu/cgi-bin/hgTracks?position=208732_at","UCSC")</f>
        <v>UCSC</v>
      </c>
      <c r="E11325" s="1" t="str">
        <f>HYPERLINK("http://www.ncbi.nlm.nih.gov/gene/?term=RAB2A","NCBI")</f>
        <v>NCBI</v>
      </c>
      <c r="F11325">
        <v>0.28999999999999998</v>
      </c>
      <c r="G11325">
        <v>0.43</v>
      </c>
      <c r="H11325" s="1" t="str">
        <f>HYPERLINK("http://www.weizmann.ac.il/complex/compphys/software/geview/data/figures/208732_at.png","Figure")</f>
        <v>Figure</v>
      </c>
      <c r="I11325">
        <v>0.72299999999999998</v>
      </c>
      <c r="J11325">
        <v>0.4</v>
      </c>
      <c r="K11325">
        <v>0.72499999999999998</v>
      </c>
      <c r="L11325">
        <v>0.31</v>
      </c>
      <c r="M11325">
        <v>1</v>
      </c>
      <c r="N11325">
        <v>1</v>
      </c>
    </row>
    <row r="11326" spans="1:14" x14ac:dyDescent="0.25">
      <c r="A11326" t="s">
        <v>19615</v>
      </c>
      <c r="B11326" t="s">
        <v>19616</v>
      </c>
      <c r="C11326" s="1" t="str">
        <f>HYPERLINK("http://www.genecards.org/cgi-bin/carddisp.pl?gene=PRSS1 /// PRSS2 /// PRSS3 /// TRY6","GeneCards")</f>
        <v>GeneCards</v>
      </c>
      <c r="D11326" s="1" t="str">
        <f>HYPERLINK("http://genome-euro.ucsc.edu/cgi-bin/hgTracks?position=216470_x_at","UCSC")</f>
        <v>UCSC</v>
      </c>
      <c r="E11326" s="1" t="str">
        <f>HYPERLINK("http://www.ncbi.nlm.nih.gov/gene/?term=PRSS1 /// PRSS2 /// PRSS3 /// TRY6","NCBI")</f>
        <v>NCBI</v>
      </c>
      <c r="F11326">
        <v>0.28999999999999998</v>
      </c>
      <c r="G11326">
        <v>0.43</v>
      </c>
      <c r="H11326" s="1" t="str">
        <f>HYPERLINK("http://www.weizmann.ac.il/complex/compphys/software/geview/data/figures/216470_x_at.png","Figure")</f>
        <v>Figure</v>
      </c>
      <c r="I11326">
        <v>1</v>
      </c>
      <c r="J11326">
        <v>1</v>
      </c>
      <c r="K11326">
        <v>0.78</v>
      </c>
      <c r="L11326">
        <v>0.35</v>
      </c>
      <c r="M11326">
        <v>0.78</v>
      </c>
      <c r="N11326">
        <v>0.4</v>
      </c>
    </row>
    <row r="11327" spans="1:14" x14ac:dyDescent="0.25">
      <c r="A11327" t="s">
        <v>19617</v>
      </c>
      <c r="B11327" t="s">
        <v>6414</v>
      </c>
      <c r="C11327" s="1" t="str">
        <f>HYPERLINK("http://www.genecards.org/cgi-bin/carddisp.pl?gene=TACC1","GeneCards")</f>
        <v>GeneCards</v>
      </c>
      <c r="D11327" s="1" t="str">
        <f>HYPERLINK("http://genome-euro.ucsc.edu/cgi-bin/hgTracks?position=217437_s_at","UCSC")</f>
        <v>UCSC</v>
      </c>
      <c r="E11327" s="1" t="str">
        <f>HYPERLINK("http://www.ncbi.nlm.nih.gov/gene/?term=TACC1","NCBI")</f>
        <v>NCBI</v>
      </c>
      <c r="F11327">
        <v>0.28999999999999998</v>
      </c>
      <c r="G11327">
        <v>0.43</v>
      </c>
      <c r="H11327" s="1" t="str">
        <f>HYPERLINK("http://www.weizmann.ac.il/complex/compphys/software/geview/data/figures/217437_s_at.png","Figure")</f>
        <v>Figure</v>
      </c>
      <c r="I11327">
        <v>0.73499999999999999</v>
      </c>
      <c r="J11327">
        <v>0.56000000000000005</v>
      </c>
      <c r="K11327">
        <v>0.65600000000000003</v>
      </c>
      <c r="L11327">
        <v>0.26</v>
      </c>
      <c r="M11327">
        <v>0.89300000000000002</v>
      </c>
      <c r="N11327">
        <v>0.91</v>
      </c>
    </row>
    <row r="11328" spans="1:14" x14ac:dyDescent="0.25">
      <c r="A11328" t="s">
        <v>19618</v>
      </c>
      <c r="B11328" t="s">
        <v>19619</v>
      </c>
      <c r="C11328" s="1" t="str">
        <f>HYPERLINK("http://www.genecards.org/cgi-bin/carddisp.pl?gene=KCNE2","GeneCards")</f>
        <v>GeneCards</v>
      </c>
      <c r="D11328" s="1" t="str">
        <f>HYPERLINK("http://genome-euro.ucsc.edu/cgi-bin/hgTracks?position=221095_s_at","UCSC")</f>
        <v>UCSC</v>
      </c>
      <c r="E11328" s="1" t="str">
        <f>HYPERLINK("http://www.ncbi.nlm.nih.gov/gene/?term=KCNE2","NCBI")</f>
        <v>NCBI</v>
      </c>
      <c r="F11328">
        <v>0.28999999999999998</v>
      </c>
      <c r="G11328">
        <v>0.43</v>
      </c>
      <c r="H11328" s="1" t="str">
        <f>HYPERLINK("http://www.weizmann.ac.il/complex/compphys/software/geview/data/figures/221095_s_at.png","Figure")</f>
        <v>Figure</v>
      </c>
      <c r="I11328">
        <v>1.1399999999999999</v>
      </c>
      <c r="J11328">
        <v>0.27</v>
      </c>
      <c r="K11328">
        <v>1.04</v>
      </c>
      <c r="L11328">
        <v>0.85</v>
      </c>
      <c r="M11328">
        <v>0.91</v>
      </c>
      <c r="N11328">
        <v>0.45</v>
      </c>
    </row>
    <row r="11329" spans="1:14" x14ac:dyDescent="0.25">
      <c r="A11329" t="s">
        <v>19620</v>
      </c>
      <c r="B11329" t="s">
        <v>10778</v>
      </c>
      <c r="C11329" s="1" t="str">
        <f>HYPERLINK("http://www.genecards.org/cgi-bin/carddisp.pl?gene=PTPRC","GeneCards")</f>
        <v>GeneCards</v>
      </c>
      <c r="D11329" s="1" t="str">
        <f>HYPERLINK("http://genome-euro.ucsc.edu/cgi-bin/hgTracks?position=212588_at","UCSC")</f>
        <v>UCSC</v>
      </c>
      <c r="E11329" s="1" t="str">
        <f>HYPERLINK("http://www.ncbi.nlm.nih.gov/gene/?term=PTPRC","NCBI")</f>
        <v>NCBI</v>
      </c>
      <c r="F11329">
        <v>0.28999999999999998</v>
      </c>
      <c r="G11329">
        <v>0.43</v>
      </c>
      <c r="H11329" s="1" t="str">
        <f>HYPERLINK("http://www.weizmann.ac.il/complex/compphys/software/geview/data/figures/212588_at.png","Figure")</f>
        <v>Figure</v>
      </c>
      <c r="I11329">
        <v>1.87</v>
      </c>
      <c r="J11329">
        <v>0.43</v>
      </c>
      <c r="K11329">
        <v>0.89400000000000002</v>
      </c>
      <c r="L11329">
        <v>0.96</v>
      </c>
      <c r="M11329">
        <v>0.47699999999999998</v>
      </c>
      <c r="N11329">
        <v>0.27</v>
      </c>
    </row>
    <row r="11330" spans="1:14" x14ac:dyDescent="0.25">
      <c r="A11330" t="s">
        <v>19621</v>
      </c>
      <c r="B11330" t="s">
        <v>12773</v>
      </c>
      <c r="C11330" s="1" t="str">
        <f>HYPERLINK("http://www.genecards.org/cgi-bin/carddisp.pl?gene=RGS12","GeneCards")</f>
        <v>GeneCards</v>
      </c>
      <c r="D11330" s="1" t="str">
        <f>HYPERLINK("http://genome-euro.ucsc.edu/cgi-bin/hgTracks?position=214361_s_at","UCSC")</f>
        <v>UCSC</v>
      </c>
      <c r="E11330" s="1" t="str">
        <f>HYPERLINK("http://www.ncbi.nlm.nih.gov/gene/?term=RGS12","NCBI")</f>
        <v>NCBI</v>
      </c>
      <c r="F11330">
        <v>0.28999999999999998</v>
      </c>
      <c r="G11330">
        <v>0.43</v>
      </c>
      <c r="H11330" s="1" t="str">
        <f>HYPERLINK("http://www.weizmann.ac.il/complex/compphys/software/geview/data/figures/214361_s_at.png","Figure")</f>
        <v>Figure</v>
      </c>
      <c r="I11330">
        <v>1.04</v>
      </c>
      <c r="J11330">
        <v>0.82</v>
      </c>
      <c r="K11330">
        <v>1.1000000000000001</v>
      </c>
      <c r="L11330">
        <v>0.26</v>
      </c>
      <c r="M11330">
        <v>1.06</v>
      </c>
      <c r="N11330">
        <v>0.66</v>
      </c>
    </row>
    <row r="11331" spans="1:14" x14ac:dyDescent="0.25">
      <c r="A11331" t="s">
        <v>19622</v>
      </c>
      <c r="B11331" t="s">
        <v>19623</v>
      </c>
      <c r="C11331" s="1" t="str">
        <f>HYPERLINK("http://www.genecards.org/cgi-bin/carddisp.pl?gene=HTR3A","GeneCards")</f>
        <v>GeneCards</v>
      </c>
      <c r="D11331" s="1" t="str">
        <f>HYPERLINK("http://genome-euro.ucsc.edu/cgi-bin/hgTracks?position=216615_s_at","UCSC")</f>
        <v>UCSC</v>
      </c>
      <c r="E11331" s="1" t="str">
        <f>HYPERLINK("http://www.ncbi.nlm.nih.gov/gene/?term=HTR3A","NCBI")</f>
        <v>NCBI</v>
      </c>
      <c r="F11331">
        <v>0.28999999999999998</v>
      </c>
      <c r="G11331">
        <v>0.43</v>
      </c>
      <c r="H11331" s="1" t="str">
        <f>HYPERLINK("http://www.weizmann.ac.il/complex/compphys/software/geview/data/figures/216615_s_at.png","Figure")</f>
        <v>Figure</v>
      </c>
      <c r="I11331">
        <v>1.1499999999999999</v>
      </c>
      <c r="J11331">
        <v>0.28000000000000003</v>
      </c>
      <c r="K11331">
        <v>1.0900000000000001</v>
      </c>
      <c r="L11331">
        <v>0.48</v>
      </c>
      <c r="M11331">
        <v>0.95299999999999996</v>
      </c>
      <c r="N11331">
        <v>0.82</v>
      </c>
    </row>
    <row r="11332" spans="1:14" x14ac:dyDescent="0.25">
      <c r="A11332" t="s">
        <v>19624</v>
      </c>
      <c r="B11332" t="s">
        <v>19625</v>
      </c>
      <c r="C11332" s="1" t="str">
        <f>HYPERLINK("http://www.genecards.org/cgi-bin/carddisp.pl?gene=THRB","GeneCards")</f>
        <v>GeneCards</v>
      </c>
      <c r="D11332" s="1" t="str">
        <f>HYPERLINK("http://genome-euro.ucsc.edu/cgi-bin/hgTracks?position=207044_at","UCSC")</f>
        <v>UCSC</v>
      </c>
      <c r="E11332" s="1" t="str">
        <f>HYPERLINK("http://www.ncbi.nlm.nih.gov/gene/?term=THRB","NCBI")</f>
        <v>NCBI</v>
      </c>
      <c r="F11332">
        <v>0.28999999999999998</v>
      </c>
      <c r="G11332">
        <v>0.43</v>
      </c>
      <c r="H11332" s="1" t="str">
        <f>HYPERLINK("http://www.weizmann.ac.il/complex/compphys/software/geview/data/figures/207044_at.png","Figure")</f>
        <v>Figure</v>
      </c>
      <c r="I11332">
        <v>1.0900000000000001</v>
      </c>
      <c r="J11332">
        <v>0.56000000000000005</v>
      </c>
      <c r="K11332">
        <v>0.96199999999999997</v>
      </c>
      <c r="L11332">
        <v>0.84</v>
      </c>
      <c r="M11332">
        <v>0.88600000000000001</v>
      </c>
      <c r="N11332">
        <v>0.26</v>
      </c>
    </row>
    <row r="11333" spans="1:14" x14ac:dyDescent="0.25">
      <c r="A11333" t="s">
        <v>19626</v>
      </c>
      <c r="B11333" t="s">
        <v>6894</v>
      </c>
      <c r="C11333" s="1" t="str">
        <f>HYPERLINK("http://www.genecards.org/cgi-bin/carddisp.pl?gene=CD6","GeneCards")</f>
        <v>GeneCards</v>
      </c>
      <c r="D11333" s="1" t="str">
        <f>HYPERLINK("http://genome-euro.ucsc.edu/cgi-bin/hgTracks?position=211900_x_at","UCSC")</f>
        <v>UCSC</v>
      </c>
      <c r="E11333" s="1" t="str">
        <f>HYPERLINK("http://www.ncbi.nlm.nih.gov/gene/?term=CD6","NCBI")</f>
        <v>NCBI</v>
      </c>
      <c r="F11333">
        <v>0.28999999999999998</v>
      </c>
      <c r="G11333">
        <v>0.43</v>
      </c>
      <c r="H11333" s="1" t="str">
        <f>HYPERLINK("http://www.weizmann.ac.il/complex/compphys/software/geview/data/figures/211900_x_at.png","Figure")</f>
        <v>Figure</v>
      </c>
      <c r="I11333">
        <v>1.06</v>
      </c>
      <c r="J11333">
        <v>0.71</v>
      </c>
      <c r="K11333">
        <v>0.94799999999999995</v>
      </c>
      <c r="L11333">
        <v>0.69</v>
      </c>
      <c r="M11333">
        <v>0.89400000000000002</v>
      </c>
      <c r="N11333">
        <v>0.26</v>
      </c>
    </row>
    <row r="11334" spans="1:14" x14ac:dyDescent="0.25">
      <c r="A11334" t="s">
        <v>19627</v>
      </c>
      <c r="B11334" t="s">
        <v>19628</v>
      </c>
      <c r="C11334" s="1" t="str">
        <f>HYPERLINK("http://www.genecards.org/cgi-bin/carddisp.pl?gene=SMARCE1","GeneCards")</f>
        <v>GeneCards</v>
      </c>
      <c r="D11334" s="1" t="str">
        <f>HYPERLINK("http://genome-euro.ucsc.edu/cgi-bin/hgTracks?position=211988_at","UCSC")</f>
        <v>UCSC</v>
      </c>
      <c r="E11334" s="1" t="str">
        <f>HYPERLINK("http://www.ncbi.nlm.nih.gov/gene/?term=SMARCE1","NCBI")</f>
        <v>NCBI</v>
      </c>
      <c r="F11334">
        <v>0.28999999999999998</v>
      </c>
      <c r="G11334">
        <v>0.43</v>
      </c>
      <c r="H11334" s="1" t="str">
        <f>HYPERLINK("http://www.weizmann.ac.il/complex/compphys/software/geview/data/figures/211988_at.png","Figure")</f>
        <v>Figure</v>
      </c>
      <c r="I11334">
        <v>0.72599999999999998</v>
      </c>
      <c r="J11334">
        <v>0.3</v>
      </c>
      <c r="K11334">
        <v>0.94699999999999995</v>
      </c>
      <c r="L11334">
        <v>0.95</v>
      </c>
      <c r="M11334">
        <v>1.3</v>
      </c>
      <c r="N11334">
        <v>0.38</v>
      </c>
    </row>
    <row r="11335" spans="1:14" x14ac:dyDescent="0.25">
      <c r="A11335" t="s">
        <v>19629</v>
      </c>
      <c r="B11335" t="s">
        <v>19630</v>
      </c>
      <c r="C11335" s="1" t="str">
        <f>HYPERLINK("http://www.genecards.org/cgi-bin/carddisp.pl?gene=TKTL1","GeneCards")</f>
        <v>GeneCards</v>
      </c>
      <c r="D11335" s="1" t="str">
        <f>HYPERLINK("http://genome-euro.ucsc.edu/cgi-bin/hgTracks?position=214183_s_at","UCSC")</f>
        <v>UCSC</v>
      </c>
      <c r="E11335" s="1" t="str">
        <f>HYPERLINK("http://www.ncbi.nlm.nih.gov/gene/?term=TKTL1","NCBI")</f>
        <v>NCBI</v>
      </c>
      <c r="F11335">
        <v>0.28999999999999998</v>
      </c>
      <c r="G11335">
        <v>0.43</v>
      </c>
      <c r="H11335" s="1" t="str">
        <f>HYPERLINK("http://www.weizmann.ac.il/complex/compphys/software/geview/data/figures/214183_s_at.png","Figure")</f>
        <v>Figure</v>
      </c>
      <c r="I11335">
        <v>0.94</v>
      </c>
      <c r="J11335">
        <v>0.3</v>
      </c>
      <c r="K11335">
        <v>0.99</v>
      </c>
      <c r="L11335">
        <v>0.96</v>
      </c>
      <c r="M11335">
        <v>1.05</v>
      </c>
      <c r="N11335">
        <v>0.37</v>
      </c>
    </row>
    <row r="11336" spans="1:14" x14ac:dyDescent="0.25">
      <c r="A11336" t="s">
        <v>19631</v>
      </c>
      <c r="B11336" t="s">
        <v>19632</v>
      </c>
      <c r="C11336" s="1" t="str">
        <f>HYPERLINK("http://www.genecards.org/cgi-bin/carddisp.pl?gene=SF3B5","GeneCards")</f>
        <v>GeneCards</v>
      </c>
      <c r="D11336" s="1" t="str">
        <f>HYPERLINK("http://genome-euro.ucsc.edu/cgi-bin/hgTracks?position=221263_s_at","UCSC")</f>
        <v>UCSC</v>
      </c>
      <c r="E11336" s="1" t="str">
        <f>HYPERLINK("http://www.ncbi.nlm.nih.gov/gene/?term=SF3B5","NCBI")</f>
        <v>NCBI</v>
      </c>
      <c r="F11336">
        <v>0.28999999999999998</v>
      </c>
      <c r="G11336">
        <v>0.43</v>
      </c>
      <c r="H11336" s="1" t="str">
        <f>HYPERLINK("http://www.weizmann.ac.il/complex/compphys/software/geview/data/figures/221263_s_at.png","Figure")</f>
        <v>Figure</v>
      </c>
      <c r="I11336">
        <v>1.03</v>
      </c>
      <c r="J11336">
        <v>0.99</v>
      </c>
      <c r="K11336">
        <v>1.38</v>
      </c>
      <c r="L11336">
        <v>0.32</v>
      </c>
      <c r="M11336">
        <v>1.34</v>
      </c>
      <c r="N11336">
        <v>0.45</v>
      </c>
    </row>
    <row r="11337" spans="1:14" x14ac:dyDescent="0.25">
      <c r="A11337" t="s">
        <v>19633</v>
      </c>
      <c r="B11337" t="s">
        <v>19634</v>
      </c>
      <c r="C11337" s="1" t="str">
        <f>HYPERLINK("http://www.genecards.org/cgi-bin/carddisp.pl?gene=COL17A1","GeneCards")</f>
        <v>GeneCards</v>
      </c>
      <c r="D11337" s="1" t="str">
        <f>HYPERLINK("http://genome-euro.ucsc.edu/cgi-bin/hgTracks?position=204636_at","UCSC")</f>
        <v>UCSC</v>
      </c>
      <c r="E11337" s="1" t="str">
        <f>HYPERLINK("http://www.ncbi.nlm.nih.gov/gene/?term=COL17A1","NCBI")</f>
        <v>NCBI</v>
      </c>
      <c r="F11337">
        <v>0.28999999999999998</v>
      </c>
      <c r="G11337">
        <v>0.43</v>
      </c>
      <c r="H11337" s="1" t="str">
        <f>HYPERLINK("http://www.weizmann.ac.il/complex/compphys/software/geview/data/figures/204636_at.png","Figure")</f>
        <v>Figure</v>
      </c>
      <c r="I11337">
        <v>1.1200000000000001</v>
      </c>
      <c r="J11337">
        <v>0.28999999999999998</v>
      </c>
      <c r="K11337">
        <v>1.02</v>
      </c>
      <c r="L11337">
        <v>0.93</v>
      </c>
      <c r="M11337">
        <v>0.91700000000000004</v>
      </c>
      <c r="N11337">
        <v>0.4</v>
      </c>
    </row>
    <row r="11338" spans="1:14" x14ac:dyDescent="0.25">
      <c r="A11338" t="s">
        <v>19635</v>
      </c>
      <c r="B11338" t="s">
        <v>19636</v>
      </c>
      <c r="C11338" s="1" t="str">
        <f>HYPERLINK("http://www.genecards.org/cgi-bin/carddisp.pl?gene=CRYGD","GeneCards")</f>
        <v>GeneCards</v>
      </c>
      <c r="D11338" s="1" t="str">
        <f>HYPERLINK("http://genome-euro.ucsc.edu/cgi-bin/hgTracks?position=207532_at","UCSC")</f>
        <v>UCSC</v>
      </c>
      <c r="E11338" s="1" t="str">
        <f>HYPERLINK("http://www.ncbi.nlm.nih.gov/gene/?term=CRYGD","NCBI")</f>
        <v>NCBI</v>
      </c>
      <c r="F11338">
        <v>0.28999999999999998</v>
      </c>
      <c r="G11338">
        <v>0.43</v>
      </c>
      <c r="H11338" s="1" t="str">
        <f>HYPERLINK("http://www.weizmann.ac.il/complex/compphys/software/geview/data/figures/207532_at.png","Figure")</f>
        <v>Figure</v>
      </c>
      <c r="I11338">
        <v>1.1200000000000001</v>
      </c>
      <c r="J11338">
        <v>0.28999999999999998</v>
      </c>
      <c r="K11338">
        <v>1.08</v>
      </c>
      <c r="L11338">
        <v>0.43</v>
      </c>
      <c r="M11338">
        <v>0.96799999999999997</v>
      </c>
      <c r="N11338">
        <v>0.88</v>
      </c>
    </row>
    <row r="11339" spans="1:14" x14ac:dyDescent="0.25">
      <c r="A11339" t="s">
        <v>19637</v>
      </c>
      <c r="B11339" t="s">
        <v>10694</v>
      </c>
      <c r="C11339" s="1" t="str">
        <f>HYPERLINK("http://www.genecards.org/cgi-bin/carddisp.pl?gene=CLDN18","GeneCards")</f>
        <v>GeneCards</v>
      </c>
      <c r="D11339" s="1" t="str">
        <f>HYPERLINK("http://genome-euro.ucsc.edu/cgi-bin/hgTracks?position=221132_at","UCSC")</f>
        <v>UCSC</v>
      </c>
      <c r="E11339" s="1" t="str">
        <f>HYPERLINK("http://www.ncbi.nlm.nih.gov/gene/?term=CLDN18","NCBI")</f>
        <v>NCBI</v>
      </c>
      <c r="F11339">
        <v>0.28999999999999998</v>
      </c>
      <c r="G11339">
        <v>0.43</v>
      </c>
      <c r="H11339" s="1" t="str">
        <f>HYPERLINK("http://www.weizmann.ac.il/complex/compphys/software/geview/data/figures/221132_at.png","Figure")</f>
        <v>Figure</v>
      </c>
      <c r="I11339">
        <v>1.02</v>
      </c>
      <c r="J11339">
        <v>0.42</v>
      </c>
      <c r="K11339">
        <v>1.02</v>
      </c>
      <c r="L11339">
        <v>0.3</v>
      </c>
      <c r="M11339">
        <v>1</v>
      </c>
      <c r="N11339">
        <v>1</v>
      </c>
    </row>
    <row r="11340" spans="1:14" x14ac:dyDescent="0.25">
      <c r="A11340" t="s">
        <v>19638</v>
      </c>
      <c r="B11340" t="s">
        <v>19639</v>
      </c>
      <c r="C11340" s="1" t="str">
        <f>HYPERLINK("http://www.genecards.org/cgi-bin/carddisp.pl?gene=STARD3","GeneCards")</f>
        <v>GeneCards</v>
      </c>
      <c r="D11340" s="1" t="str">
        <f>HYPERLINK("http://genome-euro.ucsc.edu/cgi-bin/hgTracks?position=202991_at","UCSC")</f>
        <v>UCSC</v>
      </c>
      <c r="E11340" s="1" t="str">
        <f>HYPERLINK("http://www.ncbi.nlm.nih.gov/gene/?term=STARD3","NCBI")</f>
        <v>NCBI</v>
      </c>
      <c r="F11340">
        <v>0.28999999999999998</v>
      </c>
      <c r="G11340">
        <v>0.43</v>
      </c>
      <c r="H11340" s="1" t="str">
        <f>HYPERLINK("http://www.weizmann.ac.il/complex/compphys/software/geview/data/figures/202991_at.png","Figure")</f>
        <v>Figure</v>
      </c>
      <c r="I11340">
        <v>1.18</v>
      </c>
      <c r="J11340">
        <v>0.26</v>
      </c>
      <c r="K11340">
        <v>1.05</v>
      </c>
      <c r="L11340">
        <v>0.82</v>
      </c>
      <c r="M11340">
        <v>0.89400000000000002</v>
      </c>
      <c r="N11340">
        <v>0.48</v>
      </c>
    </row>
    <row r="11341" spans="1:14" x14ac:dyDescent="0.25">
      <c r="A11341" t="s">
        <v>19640</v>
      </c>
      <c r="B11341" t="s">
        <v>19641</v>
      </c>
      <c r="C11341" s="1" t="str">
        <f>HYPERLINK("http://www.genecards.org/cgi-bin/carddisp.pl?gene=NTN3","GeneCards")</f>
        <v>GeneCards</v>
      </c>
      <c r="D11341" s="1" t="str">
        <f>HYPERLINK("http://genome-euro.ucsc.edu/cgi-bin/hgTracks?position=217034_at","UCSC")</f>
        <v>UCSC</v>
      </c>
      <c r="E11341" s="1" t="str">
        <f>HYPERLINK("http://www.ncbi.nlm.nih.gov/gene/?term=NTN3","NCBI")</f>
        <v>NCBI</v>
      </c>
      <c r="F11341">
        <v>0.28999999999999998</v>
      </c>
      <c r="G11341">
        <v>0.43</v>
      </c>
      <c r="H11341" s="1" t="str">
        <f>HYPERLINK("http://www.weizmann.ac.il/complex/compphys/software/geview/data/figures/217034_at.png","Figure")</f>
        <v>Figure</v>
      </c>
      <c r="I11341">
        <v>1.1599999999999999</v>
      </c>
      <c r="J11341">
        <v>0.26</v>
      </c>
      <c r="K11341">
        <v>1.05</v>
      </c>
      <c r="L11341">
        <v>0.8</v>
      </c>
      <c r="M11341">
        <v>0.90700000000000003</v>
      </c>
      <c r="N11341">
        <v>0.5</v>
      </c>
    </row>
    <row r="11342" spans="1:14" x14ac:dyDescent="0.25">
      <c r="A11342" t="s">
        <v>19642</v>
      </c>
      <c r="B11342" t="s">
        <v>4580</v>
      </c>
      <c r="C11342" s="1" t="str">
        <f>HYPERLINK("http://www.genecards.org/cgi-bin/carddisp.pl?gene=MKRN1","GeneCards")</f>
        <v>GeneCards</v>
      </c>
      <c r="D11342" s="1" t="str">
        <f>HYPERLINK("http://genome-euro.ucsc.edu/cgi-bin/hgTracks?position=209845_at","UCSC")</f>
        <v>UCSC</v>
      </c>
      <c r="E11342" s="1" t="str">
        <f>HYPERLINK("http://www.ncbi.nlm.nih.gov/gene/?term=MKRN1","NCBI")</f>
        <v>NCBI</v>
      </c>
      <c r="F11342">
        <v>0.28999999999999998</v>
      </c>
      <c r="G11342">
        <v>0.43</v>
      </c>
      <c r="H11342" s="1" t="str">
        <f>HYPERLINK("http://www.weizmann.ac.il/complex/compphys/software/geview/data/figures/209845_at.png","Figure")</f>
        <v>Figure</v>
      </c>
      <c r="I11342">
        <v>0.88600000000000001</v>
      </c>
      <c r="J11342">
        <v>0.78</v>
      </c>
      <c r="K11342">
        <v>0.77400000000000002</v>
      </c>
      <c r="L11342">
        <v>0.26</v>
      </c>
      <c r="M11342">
        <v>0.874</v>
      </c>
      <c r="N11342">
        <v>0.7</v>
      </c>
    </row>
    <row r="11343" spans="1:14" x14ac:dyDescent="0.25">
      <c r="A11343" t="s">
        <v>19643</v>
      </c>
      <c r="B11343" t="s">
        <v>10329</v>
      </c>
      <c r="C11343" s="1" t="str">
        <f>HYPERLINK("http://www.genecards.org/cgi-bin/carddisp.pl?gene=LILRA2","GeneCards")</f>
        <v>GeneCards</v>
      </c>
      <c r="D11343" s="1" t="str">
        <f>HYPERLINK("http://genome-euro.ucsc.edu/cgi-bin/hgTracks?position=211100_x_at","UCSC")</f>
        <v>UCSC</v>
      </c>
      <c r="E11343" s="1" t="str">
        <f>HYPERLINK("http://www.ncbi.nlm.nih.gov/gene/?term=LILRA2","NCBI")</f>
        <v>NCBI</v>
      </c>
      <c r="F11343">
        <v>0.28999999999999998</v>
      </c>
      <c r="G11343">
        <v>0.43</v>
      </c>
      <c r="H11343" s="1" t="str">
        <f>HYPERLINK("http://www.weizmann.ac.il/complex/compphys/software/geview/data/figures/211100_x_at.png","Figure")</f>
        <v>Figure</v>
      </c>
      <c r="I11343">
        <v>0.70499999999999996</v>
      </c>
      <c r="J11343">
        <v>0.3</v>
      </c>
      <c r="K11343">
        <v>0.77400000000000002</v>
      </c>
      <c r="L11343">
        <v>0.42</v>
      </c>
      <c r="M11343">
        <v>1.1000000000000001</v>
      </c>
      <c r="N11343">
        <v>0.9</v>
      </c>
    </row>
    <row r="11344" spans="1:14" x14ac:dyDescent="0.25">
      <c r="A11344" t="s">
        <v>19644</v>
      </c>
      <c r="B11344" t="s">
        <v>19645</v>
      </c>
      <c r="C11344" s="1" t="str">
        <f>HYPERLINK("http://www.genecards.org/cgi-bin/carddisp.pl?gene=ZNF460","GeneCards")</f>
        <v>GeneCards</v>
      </c>
      <c r="D11344" s="1" t="str">
        <f>HYPERLINK("http://genome-euro.ucsc.edu/cgi-bin/hgTracks?position=216273_at","UCSC")</f>
        <v>UCSC</v>
      </c>
      <c r="E11344" s="1" t="str">
        <f>HYPERLINK("http://www.ncbi.nlm.nih.gov/gene/?term=ZNF460","NCBI")</f>
        <v>NCBI</v>
      </c>
      <c r="F11344">
        <v>0.28999999999999998</v>
      </c>
      <c r="G11344">
        <v>0.43</v>
      </c>
      <c r="H11344" s="1" t="str">
        <f>HYPERLINK("http://www.weizmann.ac.il/complex/compphys/software/geview/data/figures/216273_at.png","Figure")</f>
        <v>Figure</v>
      </c>
      <c r="I11344">
        <v>1.1499999999999999</v>
      </c>
      <c r="J11344">
        <v>0.26</v>
      </c>
      <c r="K11344">
        <v>1.07</v>
      </c>
      <c r="L11344">
        <v>0.64</v>
      </c>
      <c r="M11344">
        <v>0.93</v>
      </c>
      <c r="N11344">
        <v>0.64</v>
      </c>
    </row>
    <row r="11345" spans="1:14" x14ac:dyDescent="0.25">
      <c r="A11345" t="s">
        <v>19646</v>
      </c>
      <c r="B11345" t="s">
        <v>19647</v>
      </c>
      <c r="C11345" s="1" t="str">
        <f>HYPERLINK("http://www.genecards.org/cgi-bin/carddisp.pl?gene=ARPC4 /// TTLL3","GeneCards")</f>
        <v>GeneCards</v>
      </c>
      <c r="D11345" s="1" t="str">
        <f>HYPERLINK("http://genome-euro.ucsc.edu/cgi-bin/hgTracks?position=217818_s_at","UCSC")</f>
        <v>UCSC</v>
      </c>
      <c r="E11345" s="1" t="str">
        <f>HYPERLINK("http://www.ncbi.nlm.nih.gov/gene/?term=ARPC4 /// TTLL3","NCBI")</f>
        <v>NCBI</v>
      </c>
      <c r="F11345">
        <v>0.28999999999999998</v>
      </c>
      <c r="G11345">
        <v>0.43</v>
      </c>
      <c r="H11345" s="1" t="str">
        <f>HYPERLINK("http://www.weizmann.ac.il/complex/compphys/software/geview/data/figures/217818_s_at.png","Figure")</f>
        <v>Figure</v>
      </c>
      <c r="I11345">
        <v>1.1299999999999999</v>
      </c>
      <c r="J11345">
        <v>0.35</v>
      </c>
      <c r="K11345">
        <v>1.1100000000000001</v>
      </c>
      <c r="L11345">
        <v>0.35</v>
      </c>
      <c r="M11345">
        <v>0.98399999999999999</v>
      </c>
      <c r="N11345">
        <v>0.98</v>
      </c>
    </row>
    <row r="11346" spans="1:14" x14ac:dyDescent="0.25">
      <c r="A11346" t="s">
        <v>19648</v>
      </c>
      <c r="B11346" t="s">
        <v>13629</v>
      </c>
      <c r="C11346" s="1" t="str">
        <f>HYPERLINK("http://www.genecards.org/cgi-bin/carddisp.pl?gene=NCLN","GeneCards")</f>
        <v>GeneCards</v>
      </c>
      <c r="D11346" s="1" t="str">
        <f>HYPERLINK("http://genome-euro.ucsc.edu/cgi-bin/hgTracks?position=222206_s_at","UCSC")</f>
        <v>UCSC</v>
      </c>
      <c r="E11346" s="1" t="str">
        <f>HYPERLINK("http://www.ncbi.nlm.nih.gov/gene/?term=NCLN","NCBI")</f>
        <v>NCBI</v>
      </c>
      <c r="F11346">
        <v>0.28999999999999998</v>
      </c>
      <c r="G11346">
        <v>0.43</v>
      </c>
      <c r="H11346" s="1" t="str">
        <f>HYPERLINK("http://www.weizmann.ac.il/complex/compphys/software/geview/data/figures/222206_s_at.png","Figure")</f>
        <v>Figure</v>
      </c>
      <c r="I11346">
        <v>0.89400000000000002</v>
      </c>
      <c r="J11346">
        <v>0.55000000000000004</v>
      </c>
      <c r="K11346">
        <v>1.05</v>
      </c>
      <c r="L11346">
        <v>0.85</v>
      </c>
      <c r="M11346">
        <v>1.18</v>
      </c>
      <c r="N11346">
        <v>0.26</v>
      </c>
    </row>
    <row r="11347" spans="1:14" x14ac:dyDescent="0.25">
      <c r="A11347" t="s">
        <v>19649</v>
      </c>
      <c r="B11347" t="s">
        <v>8933</v>
      </c>
      <c r="C11347" s="1" t="str">
        <f>HYPERLINK("http://www.genecards.org/cgi-bin/carddisp.pl?gene=ZNF609","GeneCards")</f>
        <v>GeneCards</v>
      </c>
      <c r="D11347" s="1" t="str">
        <f>HYPERLINK("http://genome-euro.ucsc.edu/cgi-bin/hgTracks?position=212618_at","UCSC")</f>
        <v>UCSC</v>
      </c>
      <c r="E11347" s="1" t="str">
        <f>HYPERLINK("http://www.ncbi.nlm.nih.gov/gene/?term=ZNF609","NCBI")</f>
        <v>NCBI</v>
      </c>
      <c r="F11347">
        <v>0.28999999999999998</v>
      </c>
      <c r="G11347">
        <v>0.43</v>
      </c>
      <c r="H11347" s="1" t="str">
        <f>HYPERLINK("http://www.weizmann.ac.il/complex/compphys/software/geview/data/figures/212618_at.png","Figure")</f>
        <v>Figure</v>
      </c>
      <c r="I11347">
        <v>1.0900000000000001</v>
      </c>
      <c r="J11347">
        <v>0.3</v>
      </c>
      <c r="K11347">
        <v>1.07</v>
      </c>
      <c r="L11347">
        <v>0.41</v>
      </c>
      <c r="M11347">
        <v>0.97899999999999998</v>
      </c>
      <c r="N11347">
        <v>0.91</v>
      </c>
    </row>
    <row r="11348" spans="1:14" x14ac:dyDescent="0.25">
      <c r="A11348" t="s">
        <v>19650</v>
      </c>
      <c r="B11348" t="s">
        <v>19651</v>
      </c>
      <c r="C11348" s="1" t="str">
        <f>HYPERLINK("http://www.genecards.org/cgi-bin/carddisp.pl?gene=SLC4A5","GeneCards")</f>
        <v>GeneCards</v>
      </c>
      <c r="D11348" s="1" t="str">
        <f>HYPERLINK("http://genome-euro.ucsc.edu/cgi-bin/hgTracks?position=221723_s_at","UCSC")</f>
        <v>UCSC</v>
      </c>
      <c r="E11348" s="1" t="str">
        <f>HYPERLINK("http://www.ncbi.nlm.nih.gov/gene/?term=SLC4A5","NCBI")</f>
        <v>NCBI</v>
      </c>
      <c r="F11348">
        <v>0.28999999999999998</v>
      </c>
      <c r="G11348">
        <v>0.43</v>
      </c>
      <c r="H11348" s="1" t="str">
        <f>HYPERLINK("http://www.weizmann.ac.il/complex/compphys/software/geview/data/figures/221723_s_at.png","Figure")</f>
        <v>Figure</v>
      </c>
      <c r="I11348">
        <v>1.1200000000000001</v>
      </c>
      <c r="J11348">
        <v>0.26</v>
      </c>
      <c r="K11348">
        <v>1.05</v>
      </c>
      <c r="L11348">
        <v>0.7</v>
      </c>
      <c r="M11348">
        <v>0.93700000000000006</v>
      </c>
      <c r="N11348">
        <v>0.57999999999999996</v>
      </c>
    </row>
    <row r="11349" spans="1:14" x14ac:dyDescent="0.25">
      <c r="A11349" t="s">
        <v>19652</v>
      </c>
      <c r="B11349" t="s">
        <v>7943</v>
      </c>
      <c r="C11349" s="1" t="str">
        <f>HYPERLINK("http://www.genecards.org/cgi-bin/carddisp.pl?gene=EIF3A","GeneCards")</f>
        <v>GeneCards</v>
      </c>
      <c r="D11349" s="1" t="str">
        <f>HYPERLINK("http://genome-euro.ucsc.edu/cgi-bin/hgTracks?position=200595_s_at","UCSC")</f>
        <v>UCSC</v>
      </c>
      <c r="E11349" s="1" t="str">
        <f>HYPERLINK("http://www.ncbi.nlm.nih.gov/gene/?term=EIF3A","NCBI")</f>
        <v>NCBI</v>
      </c>
      <c r="F11349">
        <v>0.28999999999999998</v>
      </c>
      <c r="G11349">
        <v>0.43</v>
      </c>
      <c r="H11349" s="1" t="str">
        <f>HYPERLINK("http://www.weizmann.ac.il/complex/compphys/software/geview/data/figures/200595_s_at.png","Figure")</f>
        <v>Figure</v>
      </c>
      <c r="I11349">
        <v>0.70899999999999996</v>
      </c>
      <c r="J11349">
        <v>0.26</v>
      </c>
      <c r="K11349">
        <v>0.84399999999999997</v>
      </c>
      <c r="L11349">
        <v>0.63</v>
      </c>
      <c r="M11349">
        <v>1.19</v>
      </c>
      <c r="N11349">
        <v>0.65</v>
      </c>
    </row>
    <row r="11350" spans="1:14" x14ac:dyDescent="0.25">
      <c r="A11350" t="s">
        <v>19653</v>
      </c>
      <c r="B11350" t="s">
        <v>19654</v>
      </c>
      <c r="C11350" s="1" t="str">
        <f>HYPERLINK("http://www.genecards.org/cgi-bin/carddisp.pl?gene=TP53TG3 /// TP53TG3","GeneCards")</f>
        <v>GeneCards</v>
      </c>
      <c r="D11350" s="1" t="str">
        <f>HYPERLINK("http://genome-euro.ucsc.edu/cgi-bin/hgTracks?position=220167_s_at","UCSC")</f>
        <v>UCSC</v>
      </c>
      <c r="E11350" s="1" t="str">
        <f>HYPERLINK("http://www.ncbi.nlm.nih.gov/gene/?term=TP53TG3 /// TP53TG3","NCBI")</f>
        <v>NCBI</v>
      </c>
      <c r="F11350">
        <v>0.28999999999999998</v>
      </c>
      <c r="G11350">
        <v>0.43</v>
      </c>
      <c r="H11350" s="1" t="str">
        <f>HYPERLINK("http://www.weizmann.ac.il/complex/compphys/software/geview/data/figures/220167_s_at.png","Figure")</f>
        <v>Figure</v>
      </c>
      <c r="I11350">
        <v>0.88400000000000001</v>
      </c>
      <c r="J11350">
        <v>0.6</v>
      </c>
      <c r="K11350">
        <v>0.83299999999999996</v>
      </c>
      <c r="L11350">
        <v>0.26</v>
      </c>
      <c r="M11350">
        <v>0.94299999999999995</v>
      </c>
      <c r="N11350">
        <v>0.87</v>
      </c>
    </row>
    <row r="11351" spans="1:14" x14ac:dyDescent="0.25">
      <c r="A11351" t="s">
        <v>19655</v>
      </c>
      <c r="B11351" t="s">
        <v>3349</v>
      </c>
      <c r="C11351" s="1" t="str">
        <f>HYPERLINK("http://www.genecards.org/cgi-bin/carddisp.pl?gene=EEF1D","GeneCards")</f>
        <v>GeneCards</v>
      </c>
      <c r="D11351" s="1" t="str">
        <f>HYPERLINK("http://genome-euro.ucsc.edu/cgi-bin/hgTracks?position=214394_x_at","UCSC")</f>
        <v>UCSC</v>
      </c>
      <c r="E11351" s="1" t="str">
        <f>HYPERLINK("http://www.ncbi.nlm.nih.gov/gene/?term=EEF1D","NCBI")</f>
        <v>NCBI</v>
      </c>
      <c r="F11351">
        <v>0.28999999999999998</v>
      </c>
      <c r="G11351">
        <v>0.43</v>
      </c>
      <c r="H11351" s="1" t="str">
        <f>HYPERLINK("http://www.weizmann.ac.il/complex/compphys/software/geview/data/figures/214394_x_at.png","Figure")</f>
        <v>Figure</v>
      </c>
      <c r="I11351">
        <v>1.03</v>
      </c>
      <c r="J11351">
        <v>0.89</v>
      </c>
      <c r="K11351">
        <v>0.93700000000000006</v>
      </c>
      <c r="L11351">
        <v>0.51</v>
      </c>
      <c r="M11351">
        <v>0.90800000000000003</v>
      </c>
      <c r="N11351">
        <v>0.3</v>
      </c>
    </row>
    <row r="11352" spans="1:14" x14ac:dyDescent="0.25">
      <c r="A11352" t="s">
        <v>19656</v>
      </c>
      <c r="B11352" t="s">
        <v>19657</v>
      </c>
      <c r="C11352" s="1" t="str">
        <f>HYPERLINK("http://www.genecards.org/cgi-bin/carddisp.pl?gene=DDX23","GeneCards")</f>
        <v>GeneCards</v>
      </c>
      <c r="D11352" s="1" t="str">
        <f>HYPERLINK("http://genome-euro.ucsc.edu/cgi-bin/hgTracks?position=201440_at","UCSC")</f>
        <v>UCSC</v>
      </c>
      <c r="E11352" s="1" t="str">
        <f>HYPERLINK("http://www.ncbi.nlm.nih.gov/gene/?term=DDX23","NCBI")</f>
        <v>NCBI</v>
      </c>
      <c r="F11352">
        <v>0.28999999999999998</v>
      </c>
      <c r="G11352">
        <v>0.43</v>
      </c>
      <c r="H11352" s="1" t="str">
        <f>HYPERLINK("http://www.weizmann.ac.il/complex/compphys/software/geview/data/figures/201440_at.png","Figure")</f>
        <v>Figure</v>
      </c>
      <c r="I11352">
        <v>1.23</v>
      </c>
      <c r="J11352">
        <v>0.31</v>
      </c>
      <c r="K11352">
        <v>1.17</v>
      </c>
      <c r="L11352">
        <v>0.4</v>
      </c>
      <c r="M11352">
        <v>0.95299999999999996</v>
      </c>
      <c r="N11352">
        <v>0.92</v>
      </c>
    </row>
    <row r="11353" spans="1:14" x14ac:dyDescent="0.25">
      <c r="A11353" t="s">
        <v>19658</v>
      </c>
      <c r="B11353" t="s">
        <v>10292</v>
      </c>
      <c r="C11353" s="1" t="str">
        <f>HYPERLINK("http://www.genecards.org/cgi-bin/carddisp.pl?gene=ETF1","GeneCards")</f>
        <v>GeneCards</v>
      </c>
      <c r="D11353" s="1" t="str">
        <f>HYPERLINK("http://genome-euro.ucsc.edu/cgi-bin/hgTracks?position=201574_at","UCSC")</f>
        <v>UCSC</v>
      </c>
      <c r="E11353" s="1" t="str">
        <f>HYPERLINK("http://www.ncbi.nlm.nih.gov/gene/?term=ETF1","NCBI")</f>
        <v>NCBI</v>
      </c>
      <c r="F11353">
        <v>0.28999999999999998</v>
      </c>
      <c r="G11353">
        <v>0.43</v>
      </c>
      <c r="H11353" s="1" t="str">
        <f>HYPERLINK("http://www.weizmann.ac.il/complex/compphys/software/geview/data/figures/201574_at.png","Figure")</f>
        <v>Figure</v>
      </c>
      <c r="I11353">
        <v>0.72699999999999998</v>
      </c>
      <c r="J11353">
        <v>0.4</v>
      </c>
      <c r="K11353">
        <v>0.73099999999999998</v>
      </c>
      <c r="L11353">
        <v>0.31</v>
      </c>
      <c r="M11353">
        <v>1</v>
      </c>
      <c r="N11353">
        <v>1</v>
      </c>
    </row>
    <row r="11354" spans="1:14" x14ac:dyDescent="0.25">
      <c r="A11354" t="s">
        <v>19659</v>
      </c>
      <c r="B11354" t="s">
        <v>11852</v>
      </c>
      <c r="C11354" s="1" t="str">
        <f>HYPERLINK("http://www.genecards.org/cgi-bin/carddisp.pl?gene=HNF4A","GeneCards")</f>
        <v>GeneCards</v>
      </c>
      <c r="D11354" s="1" t="str">
        <f>HYPERLINK("http://genome-euro.ucsc.edu/cgi-bin/hgTracks?position=214851_at","UCSC")</f>
        <v>UCSC</v>
      </c>
      <c r="E11354" s="1" t="str">
        <f>HYPERLINK("http://www.ncbi.nlm.nih.gov/gene/?term=HNF4A","NCBI")</f>
        <v>NCBI</v>
      </c>
      <c r="F11354">
        <v>0.28999999999999998</v>
      </c>
      <c r="G11354">
        <v>0.43</v>
      </c>
      <c r="H11354" s="1" t="str">
        <f>HYPERLINK("http://www.weizmann.ac.il/complex/compphys/software/geview/data/figures/214851_at.png","Figure")</f>
        <v>Figure</v>
      </c>
      <c r="I11354">
        <v>1.0900000000000001</v>
      </c>
      <c r="J11354">
        <v>0.67</v>
      </c>
      <c r="K11354">
        <v>0.93400000000000005</v>
      </c>
      <c r="L11354">
        <v>0.72</v>
      </c>
      <c r="M11354">
        <v>0.85599999999999998</v>
      </c>
      <c r="N11354">
        <v>0.26</v>
      </c>
    </row>
    <row r="11355" spans="1:14" x14ac:dyDescent="0.25">
      <c r="A11355" t="s">
        <v>19660</v>
      </c>
      <c r="B11355" t="s">
        <v>19661</v>
      </c>
      <c r="C11355" s="1" t="str">
        <f>HYPERLINK("http://www.genecards.org/cgi-bin/carddisp.pl?gene=UBE2G1","GeneCards")</f>
        <v>GeneCards</v>
      </c>
      <c r="D11355" s="1" t="str">
        <f>HYPERLINK("http://genome-euro.ucsc.edu/cgi-bin/hgTracks?position=209141_at","UCSC")</f>
        <v>UCSC</v>
      </c>
      <c r="E11355" s="1" t="str">
        <f>HYPERLINK("http://www.ncbi.nlm.nih.gov/gene/?term=UBE2G1","NCBI")</f>
        <v>NCBI</v>
      </c>
      <c r="F11355">
        <v>0.28999999999999998</v>
      </c>
      <c r="G11355">
        <v>0.43</v>
      </c>
      <c r="H11355" s="1" t="str">
        <f>HYPERLINK("http://www.weizmann.ac.il/complex/compphys/software/geview/data/figures/209141_at.png","Figure")</f>
        <v>Figure</v>
      </c>
      <c r="I11355">
        <v>0.73599999999999999</v>
      </c>
      <c r="J11355">
        <v>0.26</v>
      </c>
      <c r="K11355">
        <v>0.86399999999999999</v>
      </c>
      <c r="L11355">
        <v>0.65</v>
      </c>
      <c r="M11355">
        <v>1.17</v>
      </c>
      <c r="N11355">
        <v>0.63</v>
      </c>
    </row>
    <row r="11356" spans="1:14" x14ac:dyDescent="0.25">
      <c r="A11356" t="s">
        <v>19662</v>
      </c>
      <c r="B11356" t="s">
        <v>15835</v>
      </c>
      <c r="C11356" s="1" t="str">
        <f>HYPERLINK("http://www.genecards.org/cgi-bin/carddisp.pl?gene=RPLP0","GeneCards")</f>
        <v>GeneCards</v>
      </c>
      <c r="D11356" s="1" t="str">
        <f>HYPERLINK("http://genome-euro.ucsc.edu/cgi-bin/hgTracks?position=201033_x_at","UCSC")</f>
        <v>UCSC</v>
      </c>
      <c r="E11356" s="1" t="str">
        <f>HYPERLINK("http://www.ncbi.nlm.nih.gov/gene/?term=RPLP0","NCBI")</f>
        <v>NCBI</v>
      </c>
      <c r="F11356">
        <v>0.28999999999999998</v>
      </c>
      <c r="G11356">
        <v>0.43</v>
      </c>
      <c r="H11356" s="1" t="str">
        <f>HYPERLINK("http://www.weizmann.ac.il/complex/compphys/software/geview/data/figures/201033_x_at.png","Figure")</f>
        <v>Figure</v>
      </c>
      <c r="I11356">
        <v>1.02</v>
      </c>
      <c r="J11356">
        <v>0.94</v>
      </c>
      <c r="K11356">
        <v>1.1100000000000001</v>
      </c>
      <c r="L11356">
        <v>0.28999999999999998</v>
      </c>
      <c r="M11356">
        <v>1.08</v>
      </c>
      <c r="N11356">
        <v>0.52</v>
      </c>
    </row>
    <row r="11357" spans="1:14" x14ac:dyDescent="0.25">
      <c r="A11357" t="s">
        <v>19663</v>
      </c>
      <c r="B11357" t="s">
        <v>19664</v>
      </c>
      <c r="C11357" s="1" t="str">
        <f>HYPERLINK("http://www.genecards.org/cgi-bin/carddisp.pl?gene=POLQ","GeneCards")</f>
        <v>GeneCards</v>
      </c>
      <c r="D11357" s="1" t="str">
        <f>HYPERLINK("http://genome-euro.ucsc.edu/cgi-bin/hgTracks?position=219510_at","UCSC")</f>
        <v>UCSC</v>
      </c>
      <c r="E11357" s="1" t="str">
        <f>HYPERLINK("http://www.ncbi.nlm.nih.gov/gene/?term=POLQ","NCBI")</f>
        <v>NCBI</v>
      </c>
      <c r="F11357">
        <v>0.28999999999999998</v>
      </c>
      <c r="G11357">
        <v>0.43</v>
      </c>
      <c r="H11357" s="1" t="str">
        <f>HYPERLINK("http://www.weizmann.ac.il/complex/compphys/software/geview/data/figures/219510_at.png","Figure")</f>
        <v>Figure</v>
      </c>
      <c r="I11357">
        <v>1.18</v>
      </c>
      <c r="J11357">
        <v>0.39</v>
      </c>
      <c r="K11357">
        <v>0.98599999999999999</v>
      </c>
      <c r="L11357">
        <v>0.99</v>
      </c>
      <c r="M11357">
        <v>0.83799999999999997</v>
      </c>
      <c r="N11357">
        <v>0.28999999999999998</v>
      </c>
    </row>
    <row r="11358" spans="1:14" x14ac:dyDescent="0.25">
      <c r="A11358" t="s">
        <v>19665</v>
      </c>
      <c r="B11358" t="s">
        <v>2413</v>
      </c>
      <c r="C11358" s="1" t="str">
        <f>HYPERLINK("http://www.genecards.org/cgi-bin/carddisp.pl?gene=ADAM19","GeneCards")</f>
        <v>GeneCards</v>
      </c>
      <c r="D11358" s="1" t="str">
        <f>HYPERLINK("http://genome-euro.ucsc.edu/cgi-bin/hgTracks?position=209765_at","UCSC")</f>
        <v>UCSC</v>
      </c>
      <c r="E11358" s="1" t="str">
        <f>HYPERLINK("http://www.ncbi.nlm.nih.gov/gene/?term=ADAM19","NCBI")</f>
        <v>NCBI</v>
      </c>
      <c r="F11358">
        <v>0.28999999999999998</v>
      </c>
      <c r="G11358">
        <v>0.43</v>
      </c>
      <c r="H11358" s="1" t="str">
        <f>HYPERLINK("http://www.weizmann.ac.il/complex/compphys/software/geview/data/figures/209765_at.png","Figure")</f>
        <v>Figure</v>
      </c>
      <c r="I11358">
        <v>1.4</v>
      </c>
      <c r="J11358">
        <v>0.35</v>
      </c>
      <c r="K11358">
        <v>1</v>
      </c>
      <c r="L11358">
        <v>1</v>
      </c>
      <c r="M11358">
        <v>0.71799999999999997</v>
      </c>
      <c r="N11358">
        <v>0.31</v>
      </c>
    </row>
    <row r="11359" spans="1:14" x14ac:dyDescent="0.25">
      <c r="A11359" t="s">
        <v>19666</v>
      </c>
      <c r="B11359" t="s">
        <v>19667</v>
      </c>
      <c r="C11359" s="1" t="str">
        <f>HYPERLINK("http://www.genecards.org/cgi-bin/carddisp.pl?gene=GPR31","GeneCards")</f>
        <v>GeneCards</v>
      </c>
      <c r="D11359" s="1" t="str">
        <f>HYPERLINK("http://genome-euro.ucsc.edu/cgi-bin/hgTracks?position=208556_at","UCSC")</f>
        <v>UCSC</v>
      </c>
      <c r="E11359" s="1" t="str">
        <f>HYPERLINK("http://www.ncbi.nlm.nih.gov/gene/?term=GPR31","NCBI")</f>
        <v>NCBI</v>
      </c>
      <c r="F11359">
        <v>0.28999999999999998</v>
      </c>
      <c r="G11359">
        <v>0.43</v>
      </c>
      <c r="H11359" s="1" t="str">
        <f>HYPERLINK("http://www.weizmann.ac.il/complex/compphys/software/geview/data/figures/208556_at.png","Figure")</f>
        <v>Figure</v>
      </c>
      <c r="I11359">
        <v>1.06</v>
      </c>
      <c r="J11359">
        <v>0.57999999999999996</v>
      </c>
      <c r="K11359">
        <v>1.08</v>
      </c>
      <c r="L11359">
        <v>0.26</v>
      </c>
      <c r="M11359">
        <v>1.02</v>
      </c>
      <c r="N11359">
        <v>0.89</v>
      </c>
    </row>
    <row r="11360" spans="1:14" x14ac:dyDescent="0.25">
      <c r="A11360" t="s">
        <v>19668</v>
      </c>
      <c r="B11360" t="s">
        <v>19669</v>
      </c>
      <c r="C11360" s="1" t="str">
        <f>HYPERLINK("http://www.genecards.org/cgi-bin/carddisp.pl?gene=CD2","GeneCards")</f>
        <v>GeneCards</v>
      </c>
      <c r="D11360" s="1" t="str">
        <f>HYPERLINK("http://genome-euro.ucsc.edu/cgi-bin/hgTracks?position=205831_at","UCSC")</f>
        <v>UCSC</v>
      </c>
      <c r="E11360" s="1" t="str">
        <f>HYPERLINK("http://www.ncbi.nlm.nih.gov/gene/?term=CD2","NCBI")</f>
        <v>NCBI</v>
      </c>
      <c r="F11360">
        <v>0.28999999999999998</v>
      </c>
      <c r="G11360">
        <v>0.43</v>
      </c>
      <c r="H11360" s="1" t="str">
        <f>HYPERLINK("http://www.weizmann.ac.il/complex/compphys/software/geview/data/figures/205831_at.png","Figure")</f>
        <v>Figure</v>
      </c>
      <c r="I11360">
        <v>0.95399999999999996</v>
      </c>
      <c r="J11360">
        <v>0.96</v>
      </c>
      <c r="K11360">
        <v>0.79700000000000004</v>
      </c>
      <c r="L11360">
        <v>0.3</v>
      </c>
      <c r="M11360">
        <v>0.83499999999999996</v>
      </c>
      <c r="N11360">
        <v>0.5</v>
      </c>
    </row>
    <row r="11361" spans="1:14" x14ac:dyDescent="0.25">
      <c r="A11361" t="s">
        <v>19670</v>
      </c>
      <c r="B11361" t="s">
        <v>2958</v>
      </c>
      <c r="C11361" s="1" t="str">
        <f>HYPERLINK("http://www.genecards.org/cgi-bin/carddisp.pl?gene=FGFR2","GeneCards")</f>
        <v>GeneCards</v>
      </c>
      <c r="D11361" s="1" t="str">
        <f>HYPERLINK("http://genome-euro.ucsc.edu/cgi-bin/hgTracks?position=208234_x_at","UCSC")</f>
        <v>UCSC</v>
      </c>
      <c r="E11361" s="1" t="str">
        <f>HYPERLINK("http://www.ncbi.nlm.nih.gov/gene/?term=FGFR2","NCBI")</f>
        <v>NCBI</v>
      </c>
      <c r="F11361">
        <v>0.28999999999999998</v>
      </c>
      <c r="G11361">
        <v>0.43</v>
      </c>
      <c r="H11361" s="1" t="str">
        <f>HYPERLINK("http://www.weizmann.ac.il/complex/compphys/software/geview/data/figures/208234_x_at.png","Figure")</f>
        <v>Figure</v>
      </c>
      <c r="I11361">
        <v>1.17</v>
      </c>
      <c r="J11361">
        <v>0.26</v>
      </c>
      <c r="K11361">
        <v>1.06</v>
      </c>
      <c r="L11361">
        <v>0.74</v>
      </c>
      <c r="M11361">
        <v>0.90800000000000003</v>
      </c>
      <c r="N11361">
        <v>0.55000000000000004</v>
      </c>
    </row>
    <row r="11362" spans="1:14" x14ac:dyDescent="0.25">
      <c r="A11362" t="s">
        <v>19671</v>
      </c>
      <c r="B11362" t="s">
        <v>7785</v>
      </c>
      <c r="C11362" s="1" t="str">
        <f>HYPERLINK("http://www.genecards.org/cgi-bin/carddisp.pl?gene=HLA-DQB1 /// LOC100294318","GeneCards")</f>
        <v>GeneCards</v>
      </c>
      <c r="D11362" s="1" t="str">
        <f>HYPERLINK("http://genome-euro.ucsc.edu/cgi-bin/hgTracks?position=212998_x_at","UCSC")</f>
        <v>UCSC</v>
      </c>
      <c r="E11362" s="1" t="str">
        <f>HYPERLINK("http://www.ncbi.nlm.nih.gov/gene/?term=HLA-DQB1 /// LOC100294318","NCBI")</f>
        <v>NCBI</v>
      </c>
      <c r="F11362">
        <v>0.28999999999999998</v>
      </c>
      <c r="G11362">
        <v>0.43</v>
      </c>
      <c r="H11362" s="1" t="str">
        <f>HYPERLINK("http://www.weizmann.ac.il/complex/compphys/software/geview/data/figures/212998_x_at.png","Figure")</f>
        <v>Figure</v>
      </c>
      <c r="I11362">
        <v>1.51</v>
      </c>
      <c r="J11362">
        <v>0.62</v>
      </c>
      <c r="K11362">
        <v>0.76700000000000002</v>
      </c>
      <c r="L11362">
        <v>0.77</v>
      </c>
      <c r="M11362">
        <v>0.50700000000000001</v>
      </c>
      <c r="N11362">
        <v>0.26</v>
      </c>
    </row>
    <row r="11363" spans="1:14" x14ac:dyDescent="0.25">
      <c r="A11363" t="s">
        <v>19672</v>
      </c>
      <c r="B11363" t="s">
        <v>16922</v>
      </c>
      <c r="C11363" s="1" t="str">
        <f>HYPERLINK("http://www.genecards.org/cgi-bin/carddisp.pl?gene=NTAN1","GeneCards")</f>
        <v>GeneCards</v>
      </c>
      <c r="D11363" s="1" t="str">
        <f>HYPERLINK("http://genome-euro.ucsc.edu/cgi-bin/hgTracks?position=213061_s_at","UCSC")</f>
        <v>UCSC</v>
      </c>
      <c r="E11363" s="1" t="str">
        <f>HYPERLINK("http://www.ncbi.nlm.nih.gov/gene/?term=NTAN1","NCBI")</f>
        <v>NCBI</v>
      </c>
      <c r="F11363">
        <v>0.28999999999999998</v>
      </c>
      <c r="G11363">
        <v>0.43</v>
      </c>
      <c r="H11363" s="1" t="str">
        <f>HYPERLINK("http://www.weizmann.ac.il/complex/compphys/software/geview/data/figures/213061_s_at.png","Figure")</f>
        <v>Figure</v>
      </c>
      <c r="I11363">
        <v>0.79600000000000004</v>
      </c>
      <c r="J11363">
        <v>0.65</v>
      </c>
      <c r="K11363">
        <v>0.69499999999999995</v>
      </c>
      <c r="L11363">
        <v>0.26</v>
      </c>
      <c r="M11363">
        <v>0.873</v>
      </c>
      <c r="N11363">
        <v>0.83</v>
      </c>
    </row>
    <row r="11364" spans="1:14" x14ac:dyDescent="0.25">
      <c r="A11364" t="s">
        <v>19673</v>
      </c>
      <c r="B11364" t="s">
        <v>19674</v>
      </c>
      <c r="C11364" s="1" t="str">
        <f>HYPERLINK("http://www.genecards.org/cgi-bin/carddisp.pl?gene=PIK3C2A","GeneCards")</f>
        <v>GeneCards</v>
      </c>
      <c r="D11364" s="1" t="str">
        <f>HYPERLINK("http://genome-euro.ucsc.edu/cgi-bin/hgTracks?position=213070_at","UCSC")</f>
        <v>UCSC</v>
      </c>
      <c r="E11364" s="1" t="str">
        <f>HYPERLINK("http://www.ncbi.nlm.nih.gov/gene/?term=PIK3C2A","NCBI")</f>
        <v>NCBI</v>
      </c>
      <c r="F11364">
        <v>0.28999999999999998</v>
      </c>
      <c r="G11364">
        <v>0.43</v>
      </c>
      <c r="H11364" s="1" t="str">
        <f>HYPERLINK("http://www.weizmann.ac.il/complex/compphys/software/geview/data/figures/213070_at.png","Figure")</f>
        <v>Figure</v>
      </c>
      <c r="I11364">
        <v>0.745</v>
      </c>
      <c r="J11364">
        <v>0.44</v>
      </c>
      <c r="K11364">
        <v>0.72599999999999998</v>
      </c>
      <c r="L11364">
        <v>0.28999999999999998</v>
      </c>
      <c r="M11364">
        <v>0.97399999999999998</v>
      </c>
      <c r="N11364">
        <v>0.99</v>
      </c>
    </row>
    <row r="11365" spans="1:14" x14ac:dyDescent="0.25">
      <c r="A11365" t="s">
        <v>19675</v>
      </c>
      <c r="B11365" t="s">
        <v>19676</v>
      </c>
      <c r="C11365" s="1" t="str">
        <f>HYPERLINK("http://www.genecards.org/cgi-bin/carddisp.pl?gene=FAM155A","GeneCards")</f>
        <v>GeneCards</v>
      </c>
      <c r="D11365" s="1" t="str">
        <f>HYPERLINK("http://genome-euro.ucsc.edu/cgi-bin/hgTracks?position=214825_at","UCSC")</f>
        <v>UCSC</v>
      </c>
      <c r="E11365" s="1" t="str">
        <f>HYPERLINK("http://www.ncbi.nlm.nih.gov/gene/?term=FAM155A","NCBI")</f>
        <v>NCBI</v>
      </c>
      <c r="F11365">
        <v>0.28999999999999998</v>
      </c>
      <c r="G11365">
        <v>0.43</v>
      </c>
      <c r="H11365" s="1" t="str">
        <f>HYPERLINK("http://www.weizmann.ac.il/complex/compphys/software/geview/data/figures/214825_at.png","Figure")</f>
        <v>Figure</v>
      </c>
      <c r="I11365">
        <v>1.1200000000000001</v>
      </c>
      <c r="J11365">
        <v>0.26</v>
      </c>
      <c r="K11365">
        <v>1.04</v>
      </c>
      <c r="L11365">
        <v>0.74</v>
      </c>
      <c r="M11365">
        <v>0.93600000000000005</v>
      </c>
      <c r="N11365">
        <v>0.55000000000000004</v>
      </c>
    </row>
    <row r="11366" spans="1:14" x14ac:dyDescent="0.25">
      <c r="A11366" t="s">
        <v>19677</v>
      </c>
      <c r="B11366" t="s">
        <v>19678</v>
      </c>
      <c r="C11366" s="1" t="str">
        <f>HYPERLINK("http://www.genecards.org/cgi-bin/carddisp.pl?gene=MRPS17 /// ZNF713","GeneCards")</f>
        <v>GeneCards</v>
      </c>
      <c r="D11366" s="1" t="str">
        <f>HYPERLINK("http://genome-euro.ucsc.edu/cgi-bin/hgTracks?position=218982_s_at","UCSC")</f>
        <v>UCSC</v>
      </c>
      <c r="E11366" s="1" t="str">
        <f>HYPERLINK("http://www.ncbi.nlm.nih.gov/gene/?term=MRPS17 /// ZNF713","NCBI")</f>
        <v>NCBI</v>
      </c>
      <c r="F11366">
        <v>0.28999999999999998</v>
      </c>
      <c r="G11366">
        <v>0.43</v>
      </c>
      <c r="H11366" s="1" t="str">
        <f>HYPERLINK("http://www.weizmann.ac.il/complex/compphys/software/geview/data/figures/218982_s_at.png","Figure")</f>
        <v>Figure</v>
      </c>
      <c r="I11366">
        <v>0.99399999999999999</v>
      </c>
      <c r="J11366">
        <v>1</v>
      </c>
      <c r="K11366">
        <v>1.18</v>
      </c>
      <c r="L11366">
        <v>0.37</v>
      </c>
      <c r="M11366">
        <v>1.18</v>
      </c>
      <c r="N11366">
        <v>0.39</v>
      </c>
    </row>
    <row r="11367" spans="1:14" x14ac:dyDescent="0.25">
      <c r="A11367" t="s">
        <v>19679</v>
      </c>
      <c r="B11367" t="s">
        <v>19680</v>
      </c>
      <c r="C11367" s="1" t="str">
        <f>HYPERLINK("http://www.genecards.org/cgi-bin/carddisp.pl?gene=RPL39L","GeneCards")</f>
        <v>GeneCards</v>
      </c>
      <c r="D11367" s="1" t="str">
        <f>HYPERLINK("http://genome-euro.ucsc.edu/cgi-bin/hgTracks?position=210115_at","UCSC")</f>
        <v>UCSC</v>
      </c>
      <c r="E11367" s="1" t="str">
        <f>HYPERLINK("http://www.ncbi.nlm.nih.gov/gene/?term=RPL39L","NCBI")</f>
        <v>NCBI</v>
      </c>
      <c r="F11367">
        <v>0.28999999999999998</v>
      </c>
      <c r="G11367">
        <v>0.43</v>
      </c>
      <c r="H11367" s="1" t="str">
        <f>HYPERLINK("http://www.weizmann.ac.il/complex/compphys/software/geview/data/figures/210115_at.png","Figure")</f>
        <v>Figure</v>
      </c>
      <c r="I11367">
        <v>1.03</v>
      </c>
      <c r="J11367">
        <v>0.99</v>
      </c>
      <c r="K11367">
        <v>1.26</v>
      </c>
      <c r="L11367">
        <v>0.32</v>
      </c>
      <c r="M11367">
        <v>1.22</v>
      </c>
      <c r="N11367">
        <v>0.45</v>
      </c>
    </row>
    <row r="11368" spans="1:14" x14ac:dyDescent="0.25">
      <c r="A11368" t="s">
        <v>19681</v>
      </c>
      <c r="B11368" t="s">
        <v>19682</v>
      </c>
      <c r="C11368" s="1" t="str">
        <f>HYPERLINK("http://www.genecards.org/cgi-bin/carddisp.pl?gene=TTBK2","GeneCards")</f>
        <v>GeneCards</v>
      </c>
      <c r="D11368" s="1" t="str">
        <f>HYPERLINK("http://genome-euro.ucsc.edu/cgi-bin/hgTracks?position=213922_at","UCSC")</f>
        <v>UCSC</v>
      </c>
      <c r="E11368" s="1" t="str">
        <f>HYPERLINK("http://www.ncbi.nlm.nih.gov/gene/?term=TTBK2","NCBI")</f>
        <v>NCBI</v>
      </c>
      <c r="F11368">
        <v>0.28999999999999998</v>
      </c>
      <c r="G11368">
        <v>0.43</v>
      </c>
      <c r="H11368" s="1" t="str">
        <f>HYPERLINK("http://www.weizmann.ac.il/complex/compphys/software/geview/data/figures/213922_at.png","Figure")</f>
        <v>Figure</v>
      </c>
      <c r="I11368">
        <v>0.79800000000000004</v>
      </c>
      <c r="J11368">
        <v>0.67</v>
      </c>
      <c r="K11368">
        <v>1.19</v>
      </c>
      <c r="L11368">
        <v>0.73</v>
      </c>
      <c r="M11368">
        <v>1.49</v>
      </c>
      <c r="N11368">
        <v>0.26</v>
      </c>
    </row>
    <row r="11369" spans="1:14" x14ac:dyDescent="0.25">
      <c r="A11369" t="s">
        <v>19683</v>
      </c>
      <c r="B11369" t="s">
        <v>19684</v>
      </c>
      <c r="C11369" s="1" t="str">
        <f>HYPERLINK("http://www.genecards.org/cgi-bin/carddisp.pl?gene=RNF7","GeneCards")</f>
        <v>GeneCards</v>
      </c>
      <c r="D11369" s="1" t="str">
        <f>HYPERLINK("http://genome-euro.ucsc.edu/cgi-bin/hgTracks?position=218286_s_at","UCSC")</f>
        <v>UCSC</v>
      </c>
      <c r="E11369" s="1" t="str">
        <f>HYPERLINK("http://www.ncbi.nlm.nih.gov/gene/?term=RNF7","NCBI")</f>
        <v>NCBI</v>
      </c>
      <c r="F11369">
        <v>0.28999999999999998</v>
      </c>
      <c r="G11369">
        <v>0.43</v>
      </c>
      <c r="H11369" s="1" t="str">
        <f>HYPERLINK("http://www.weizmann.ac.il/complex/compphys/software/geview/data/figures/218286_s_at.png","Figure")</f>
        <v>Figure</v>
      </c>
      <c r="I11369">
        <v>0.78900000000000003</v>
      </c>
      <c r="J11369">
        <v>0.68</v>
      </c>
      <c r="K11369">
        <v>0.67100000000000004</v>
      </c>
      <c r="L11369">
        <v>0.26</v>
      </c>
      <c r="M11369">
        <v>0.85</v>
      </c>
      <c r="N11369">
        <v>0.81</v>
      </c>
    </row>
    <row r="11370" spans="1:14" x14ac:dyDescent="0.25">
      <c r="A11370" t="s">
        <v>19685</v>
      </c>
      <c r="B11370" t="s">
        <v>19686</v>
      </c>
      <c r="C11370" s="1" t="str">
        <f>HYPERLINK("http://www.genecards.org/cgi-bin/carddisp.pl?gene=NOC3L","GeneCards")</f>
        <v>GeneCards</v>
      </c>
      <c r="D11370" s="1" t="str">
        <f>HYPERLINK("http://genome-euro.ucsc.edu/cgi-bin/hgTracks?position=218889_at","UCSC")</f>
        <v>UCSC</v>
      </c>
      <c r="E11370" s="1" t="str">
        <f>HYPERLINK("http://www.ncbi.nlm.nih.gov/gene/?term=NOC3L","NCBI")</f>
        <v>NCBI</v>
      </c>
      <c r="F11370">
        <v>0.28999999999999998</v>
      </c>
      <c r="G11370">
        <v>0.43</v>
      </c>
      <c r="H11370" s="1" t="str">
        <f>HYPERLINK("http://www.weizmann.ac.il/complex/compphys/software/geview/data/figures/218889_at.png","Figure")</f>
        <v>Figure</v>
      </c>
      <c r="I11370">
        <v>1.01</v>
      </c>
      <c r="J11370">
        <v>1</v>
      </c>
      <c r="K11370">
        <v>1.35</v>
      </c>
      <c r="L11370">
        <v>0.35</v>
      </c>
      <c r="M11370">
        <v>1.34</v>
      </c>
      <c r="N11370">
        <v>0.41</v>
      </c>
    </row>
    <row r="11371" spans="1:14" x14ac:dyDescent="0.25">
      <c r="A11371" t="s">
        <v>19687</v>
      </c>
      <c r="B11371" t="s">
        <v>19688</v>
      </c>
      <c r="C11371" s="1" t="str">
        <f>HYPERLINK("http://www.genecards.org/cgi-bin/carddisp.pl?gene=GBF1","GeneCards")</f>
        <v>GeneCards</v>
      </c>
      <c r="D11371" s="1" t="str">
        <f>HYPERLINK("http://genome-euro.ucsc.edu/cgi-bin/hgTracks?position=201439_at","UCSC")</f>
        <v>UCSC</v>
      </c>
      <c r="E11371" s="1" t="str">
        <f>HYPERLINK("http://www.ncbi.nlm.nih.gov/gene/?term=GBF1","NCBI")</f>
        <v>NCBI</v>
      </c>
      <c r="F11371">
        <v>0.28999999999999998</v>
      </c>
      <c r="G11371">
        <v>0.43</v>
      </c>
      <c r="H11371" s="1" t="str">
        <f>HYPERLINK("http://www.weizmann.ac.il/complex/compphys/software/geview/data/figures/201439_at.png","Figure")</f>
        <v>Figure</v>
      </c>
      <c r="I11371">
        <v>1.1299999999999999</v>
      </c>
      <c r="J11371">
        <v>0.28000000000000003</v>
      </c>
      <c r="K11371">
        <v>1.08</v>
      </c>
      <c r="L11371">
        <v>0.49</v>
      </c>
      <c r="M11371">
        <v>0.95699999999999996</v>
      </c>
      <c r="N11371">
        <v>0.81</v>
      </c>
    </row>
    <row r="11372" spans="1:14" x14ac:dyDescent="0.25">
      <c r="A11372" t="s">
        <v>19689</v>
      </c>
      <c r="B11372" t="s">
        <v>5946</v>
      </c>
      <c r="C11372" s="1" t="str">
        <f>HYPERLINK("http://www.genecards.org/cgi-bin/carddisp.pl?gene=ITSN1","GeneCards")</f>
        <v>GeneCards</v>
      </c>
      <c r="D11372" s="1" t="str">
        <f>HYPERLINK("http://genome-euro.ucsc.edu/cgi-bin/hgTracks?position=35776_at","UCSC")</f>
        <v>UCSC</v>
      </c>
      <c r="E11372" s="1" t="str">
        <f>HYPERLINK("http://www.ncbi.nlm.nih.gov/gene/?term=ITSN1","NCBI")</f>
        <v>NCBI</v>
      </c>
      <c r="F11372">
        <v>0.28999999999999998</v>
      </c>
      <c r="G11372">
        <v>0.43</v>
      </c>
      <c r="H11372" s="1" t="str">
        <f>HYPERLINK("http://www.weizmann.ac.il/complex/compphys/software/geview/data/figures/35776_at.png","Figure")</f>
        <v>Figure</v>
      </c>
      <c r="I11372">
        <v>0.749</v>
      </c>
      <c r="J11372">
        <v>0.28000000000000003</v>
      </c>
      <c r="K11372">
        <v>0.92500000000000004</v>
      </c>
      <c r="L11372">
        <v>0.87</v>
      </c>
      <c r="M11372">
        <v>1.23</v>
      </c>
      <c r="N11372">
        <v>0.44</v>
      </c>
    </row>
    <row r="11373" spans="1:14" x14ac:dyDescent="0.25">
      <c r="A11373" t="s">
        <v>19690</v>
      </c>
      <c r="B11373" t="s">
        <v>19691</v>
      </c>
      <c r="C11373" s="1" t="str">
        <f>HYPERLINK("http://www.genecards.org/cgi-bin/carddisp.pl?gene=SCN3B","GeneCards")</f>
        <v>GeneCards</v>
      </c>
      <c r="D11373" s="1" t="str">
        <f>HYPERLINK("http://genome-euro.ucsc.edu/cgi-bin/hgTracks?position=204723_at","UCSC")</f>
        <v>UCSC</v>
      </c>
      <c r="E11373" s="1" t="str">
        <f>HYPERLINK("http://www.ncbi.nlm.nih.gov/gene/?term=SCN3B","NCBI")</f>
        <v>NCBI</v>
      </c>
      <c r="F11373">
        <v>0.28999999999999998</v>
      </c>
      <c r="G11373">
        <v>0.43</v>
      </c>
      <c r="H11373" s="1" t="str">
        <f>HYPERLINK("http://www.weizmann.ac.il/complex/compphys/software/geview/data/figures/204723_at.png","Figure")</f>
        <v>Figure</v>
      </c>
      <c r="I11373">
        <v>0.86499999999999999</v>
      </c>
      <c r="J11373">
        <v>0.38</v>
      </c>
      <c r="K11373">
        <v>0.871</v>
      </c>
      <c r="L11373">
        <v>0.32</v>
      </c>
      <c r="M11373">
        <v>1.01</v>
      </c>
      <c r="N11373">
        <v>1</v>
      </c>
    </row>
    <row r="11374" spans="1:14" x14ac:dyDescent="0.25">
      <c r="A11374" t="s">
        <v>19692</v>
      </c>
      <c r="B11374" t="s">
        <v>19693</v>
      </c>
      <c r="C11374" s="1" t="str">
        <f>HYPERLINK("http://www.genecards.org/cgi-bin/carddisp.pl?gene=FRAT2","GeneCards")</f>
        <v>GeneCards</v>
      </c>
      <c r="D11374" s="1" t="str">
        <f>HYPERLINK("http://genome-euro.ucsc.edu/cgi-bin/hgTracks?position=209864_at","UCSC")</f>
        <v>UCSC</v>
      </c>
      <c r="E11374" s="1" t="str">
        <f>HYPERLINK("http://www.ncbi.nlm.nih.gov/gene/?term=FRAT2","NCBI")</f>
        <v>NCBI</v>
      </c>
      <c r="F11374">
        <v>0.28999999999999998</v>
      </c>
      <c r="G11374">
        <v>0.43</v>
      </c>
      <c r="H11374" s="1" t="str">
        <f>HYPERLINK("http://www.weizmann.ac.il/complex/compphys/software/geview/data/figures/209864_at.png","Figure")</f>
        <v>Figure</v>
      </c>
      <c r="I11374">
        <v>0.90500000000000003</v>
      </c>
      <c r="J11374">
        <v>0.28999999999999998</v>
      </c>
      <c r="K11374">
        <v>0.98099999999999998</v>
      </c>
      <c r="L11374">
        <v>0.94</v>
      </c>
      <c r="M11374">
        <v>1.08</v>
      </c>
      <c r="N11374">
        <v>0.39</v>
      </c>
    </row>
    <row r="11375" spans="1:14" x14ac:dyDescent="0.25">
      <c r="A11375" t="s">
        <v>19694</v>
      </c>
      <c r="B11375" t="s">
        <v>12977</v>
      </c>
      <c r="C11375" s="1" t="str">
        <f>HYPERLINK("http://www.genecards.org/cgi-bin/carddisp.pl?gene=FN1","GeneCards")</f>
        <v>GeneCards</v>
      </c>
      <c r="D11375" s="1" t="str">
        <f>HYPERLINK("http://genome-euro.ucsc.edu/cgi-bin/hgTracks?position=210495_x_at","UCSC")</f>
        <v>UCSC</v>
      </c>
      <c r="E11375" s="1" t="str">
        <f>HYPERLINK("http://www.ncbi.nlm.nih.gov/gene/?term=FN1","NCBI")</f>
        <v>NCBI</v>
      </c>
      <c r="F11375">
        <v>0.28999999999999998</v>
      </c>
      <c r="G11375">
        <v>0.43</v>
      </c>
      <c r="H11375" s="1" t="str">
        <f>HYPERLINK("http://www.weizmann.ac.il/complex/compphys/software/geview/data/figures/210495_x_at.png","Figure")</f>
        <v>Figure</v>
      </c>
      <c r="I11375">
        <v>1.1000000000000001</v>
      </c>
      <c r="J11375">
        <v>0.27</v>
      </c>
      <c r="K11375">
        <v>1.03</v>
      </c>
      <c r="L11375">
        <v>0.83</v>
      </c>
      <c r="M11375">
        <v>0.93700000000000006</v>
      </c>
      <c r="N11375">
        <v>0.47</v>
      </c>
    </row>
    <row r="11376" spans="1:14" x14ac:dyDescent="0.25">
      <c r="A11376" t="s">
        <v>19695</v>
      </c>
      <c r="B11376" t="s">
        <v>19696</v>
      </c>
      <c r="C11376" s="1" t="str">
        <f>HYPERLINK("http://www.genecards.org/cgi-bin/carddisp.pl?gene=GNL2","GeneCards")</f>
        <v>GeneCards</v>
      </c>
      <c r="D11376" s="1" t="str">
        <f>HYPERLINK("http://genome-euro.ucsc.edu/cgi-bin/hgTracks?position=201948_at","UCSC")</f>
        <v>UCSC</v>
      </c>
      <c r="E11376" s="1" t="str">
        <f>HYPERLINK("http://www.ncbi.nlm.nih.gov/gene/?term=GNL2","NCBI")</f>
        <v>NCBI</v>
      </c>
      <c r="F11376">
        <v>0.28999999999999998</v>
      </c>
      <c r="G11376">
        <v>0.43</v>
      </c>
      <c r="H11376" s="1" t="str">
        <f>HYPERLINK("http://www.weizmann.ac.il/complex/compphys/software/geview/data/figures/201948_at.png","Figure")</f>
        <v>Figure</v>
      </c>
      <c r="I11376">
        <v>0.65400000000000003</v>
      </c>
      <c r="J11376">
        <v>0.27</v>
      </c>
      <c r="K11376">
        <v>0.77100000000000002</v>
      </c>
      <c r="L11376">
        <v>0.51</v>
      </c>
      <c r="M11376">
        <v>1.18</v>
      </c>
      <c r="N11376">
        <v>0.79</v>
      </c>
    </row>
    <row r="11377" spans="1:14" x14ac:dyDescent="0.25">
      <c r="A11377" t="s">
        <v>19697</v>
      </c>
      <c r="B11377" t="s">
        <v>19698</v>
      </c>
      <c r="C11377" s="1" t="str">
        <f>HYPERLINK("http://www.genecards.org/cgi-bin/carddisp.pl?gene=TAS2R1","GeneCards")</f>
        <v>GeneCards</v>
      </c>
      <c r="D11377" s="1" t="str">
        <f>HYPERLINK("http://genome-euro.ucsc.edu/cgi-bin/hgTracks?position=221324_at","UCSC")</f>
        <v>UCSC</v>
      </c>
      <c r="E11377" s="1" t="str">
        <f>HYPERLINK("http://www.ncbi.nlm.nih.gov/gene/?term=TAS2R1","NCBI")</f>
        <v>NCBI</v>
      </c>
      <c r="F11377">
        <v>0.28999999999999998</v>
      </c>
      <c r="G11377">
        <v>0.43</v>
      </c>
      <c r="H11377" s="1" t="str">
        <f>HYPERLINK("http://www.weizmann.ac.il/complex/compphys/software/geview/data/figures/221324_at.png","Figure")</f>
        <v>Figure</v>
      </c>
      <c r="I11377">
        <v>1.17</v>
      </c>
      <c r="J11377">
        <v>0.31</v>
      </c>
      <c r="K11377">
        <v>1.1200000000000001</v>
      </c>
      <c r="L11377">
        <v>0.41</v>
      </c>
      <c r="M11377">
        <v>0.96099999999999997</v>
      </c>
      <c r="N11377">
        <v>0.91</v>
      </c>
    </row>
    <row r="11378" spans="1:14" x14ac:dyDescent="0.25">
      <c r="A11378" t="s">
        <v>19699</v>
      </c>
      <c r="B11378" t="s">
        <v>19700</v>
      </c>
      <c r="C11378" s="1" t="str">
        <f>HYPERLINK("http://www.genecards.org/cgi-bin/carddisp.pl?gene=ELMO1","GeneCards")</f>
        <v>GeneCards</v>
      </c>
      <c r="D11378" s="1" t="str">
        <f>HYPERLINK("http://genome-euro.ucsc.edu/cgi-bin/hgTracks?position=204513_s_at","UCSC")</f>
        <v>UCSC</v>
      </c>
      <c r="E11378" s="1" t="str">
        <f>HYPERLINK("http://www.ncbi.nlm.nih.gov/gene/?term=ELMO1","NCBI")</f>
        <v>NCBI</v>
      </c>
      <c r="F11378">
        <v>0.28999999999999998</v>
      </c>
      <c r="G11378">
        <v>0.43</v>
      </c>
      <c r="H11378" s="1" t="str">
        <f>HYPERLINK("http://www.weizmann.ac.il/complex/compphys/software/geview/data/figures/204513_s_at.png","Figure")</f>
        <v>Figure</v>
      </c>
      <c r="I11378">
        <v>0.76400000000000001</v>
      </c>
      <c r="J11378">
        <v>0.26</v>
      </c>
      <c r="K11378">
        <v>0.872</v>
      </c>
      <c r="L11378">
        <v>0.61</v>
      </c>
      <c r="M11378">
        <v>1.1399999999999999</v>
      </c>
      <c r="N11378">
        <v>0.67</v>
      </c>
    </row>
    <row r="11379" spans="1:14" x14ac:dyDescent="0.25">
      <c r="A11379" t="s">
        <v>19701</v>
      </c>
      <c r="B11379" t="s">
        <v>19702</v>
      </c>
      <c r="C11379" s="1" t="str">
        <f>HYPERLINK("http://www.genecards.org/cgi-bin/carddisp.pl?gene=ERAP1","GeneCards")</f>
        <v>GeneCards</v>
      </c>
      <c r="D11379" s="1" t="str">
        <f>HYPERLINK("http://genome-euro.ucsc.edu/cgi-bin/hgTracks?position=214012_at","UCSC")</f>
        <v>UCSC</v>
      </c>
      <c r="E11379" s="1" t="str">
        <f>HYPERLINK("http://www.ncbi.nlm.nih.gov/gene/?term=ERAP1","NCBI")</f>
        <v>NCBI</v>
      </c>
      <c r="F11379">
        <v>0.28999999999999998</v>
      </c>
      <c r="G11379">
        <v>0.43</v>
      </c>
      <c r="H11379" s="1" t="str">
        <f>HYPERLINK("http://www.weizmann.ac.il/complex/compphys/software/geview/data/figures/214012_at.png","Figure")</f>
        <v>Figure</v>
      </c>
      <c r="I11379">
        <v>0.71099999999999997</v>
      </c>
      <c r="J11379">
        <v>0.32</v>
      </c>
      <c r="K11379">
        <v>0.96099999999999997</v>
      </c>
      <c r="L11379">
        <v>0.98</v>
      </c>
      <c r="M11379">
        <v>1.35</v>
      </c>
      <c r="N11379">
        <v>0.35</v>
      </c>
    </row>
    <row r="11380" spans="1:14" x14ac:dyDescent="0.25">
      <c r="A11380" t="s">
        <v>19703</v>
      </c>
      <c r="B11380" t="s">
        <v>1932</v>
      </c>
      <c r="C11380" s="1" t="str">
        <f>HYPERLINK("http://www.genecards.org/cgi-bin/carddisp.pl?gene=B3GNTL1","GeneCards")</f>
        <v>GeneCards</v>
      </c>
      <c r="D11380" s="1" t="str">
        <f>HYPERLINK("http://genome-euro.ucsc.edu/cgi-bin/hgTracks?position=215055_at","UCSC")</f>
        <v>UCSC</v>
      </c>
      <c r="E11380" s="1" t="str">
        <f>HYPERLINK("http://www.ncbi.nlm.nih.gov/gene/?term=B3GNTL1","NCBI")</f>
        <v>NCBI</v>
      </c>
      <c r="F11380">
        <v>0.28999999999999998</v>
      </c>
      <c r="G11380">
        <v>0.43</v>
      </c>
      <c r="H11380" s="1" t="str">
        <f>HYPERLINK("http://www.weizmann.ac.il/complex/compphys/software/geview/data/figures/215055_at.png","Figure")</f>
        <v>Figure</v>
      </c>
      <c r="I11380">
        <v>0.89700000000000002</v>
      </c>
      <c r="J11380">
        <v>0.31</v>
      </c>
      <c r="K11380">
        <v>0.98599999999999999</v>
      </c>
      <c r="L11380">
        <v>0.97</v>
      </c>
      <c r="M11380">
        <v>1.1000000000000001</v>
      </c>
      <c r="N11380">
        <v>0.36</v>
      </c>
    </row>
    <row r="11381" spans="1:14" x14ac:dyDescent="0.25">
      <c r="A11381" t="s">
        <v>19704</v>
      </c>
      <c r="B11381" t="s">
        <v>19705</v>
      </c>
      <c r="C11381" s="1" t="str">
        <f>HYPERLINK("http://www.genecards.org/cgi-bin/carddisp.pl?gene=ADAMTS6","GeneCards")</f>
        <v>GeneCards</v>
      </c>
      <c r="D11381" s="1" t="str">
        <f>HYPERLINK("http://genome-euro.ucsc.edu/cgi-bin/hgTracks?position=220866_at","UCSC")</f>
        <v>UCSC</v>
      </c>
      <c r="E11381" s="1" t="str">
        <f>HYPERLINK("http://www.ncbi.nlm.nih.gov/gene/?term=ADAMTS6","NCBI")</f>
        <v>NCBI</v>
      </c>
      <c r="F11381">
        <v>0.28999999999999998</v>
      </c>
      <c r="G11381">
        <v>0.43</v>
      </c>
      <c r="H11381" s="1" t="str">
        <f>HYPERLINK("http://www.weizmann.ac.il/complex/compphys/software/geview/data/figures/220866_at.png","Figure")</f>
        <v>Figure</v>
      </c>
      <c r="I11381">
        <v>1.07</v>
      </c>
      <c r="J11381">
        <v>0.26</v>
      </c>
      <c r="K11381">
        <v>1.03</v>
      </c>
      <c r="L11381">
        <v>0.74</v>
      </c>
      <c r="M11381">
        <v>0.96099999999999997</v>
      </c>
      <c r="N11381">
        <v>0.55000000000000004</v>
      </c>
    </row>
    <row r="11382" spans="1:14" x14ac:dyDescent="0.25">
      <c r="A11382" t="s">
        <v>19706</v>
      </c>
      <c r="B11382" t="s">
        <v>19707</v>
      </c>
      <c r="C11382" s="1" t="str">
        <f>HYPERLINK("http://www.genecards.org/cgi-bin/carddisp.pl?gene=MOGAT2","GeneCards")</f>
        <v>GeneCards</v>
      </c>
      <c r="D11382" s="1" t="str">
        <f>HYPERLINK("http://genome-euro.ucsc.edu/cgi-bin/hgTracks?position=207491_at","UCSC")</f>
        <v>UCSC</v>
      </c>
      <c r="E11382" s="1" t="str">
        <f>HYPERLINK("http://www.ncbi.nlm.nih.gov/gene/?term=MOGAT2","NCBI")</f>
        <v>NCBI</v>
      </c>
      <c r="F11382">
        <v>0.28999999999999998</v>
      </c>
      <c r="G11382">
        <v>0.43</v>
      </c>
      <c r="H11382" s="1" t="str">
        <f>HYPERLINK("http://www.weizmann.ac.il/complex/compphys/software/geview/data/figures/207491_at.png","Figure")</f>
        <v>Figure</v>
      </c>
      <c r="I11382">
        <v>1.1399999999999999</v>
      </c>
      <c r="J11382">
        <v>0.27</v>
      </c>
      <c r="K11382">
        <v>1.08</v>
      </c>
      <c r="L11382">
        <v>0.53</v>
      </c>
      <c r="M11382">
        <v>0.94699999999999995</v>
      </c>
      <c r="N11382">
        <v>0.76</v>
      </c>
    </row>
    <row r="11383" spans="1:14" x14ac:dyDescent="0.25">
      <c r="A11383" t="s">
        <v>19708</v>
      </c>
      <c r="B11383" t="s">
        <v>2902</v>
      </c>
      <c r="C11383" s="1" t="str">
        <f>HYPERLINK("http://www.genecards.org/cgi-bin/carddisp.pl?gene=ATMIN","GeneCards")</f>
        <v>GeneCards</v>
      </c>
      <c r="D11383" s="1" t="str">
        <f>HYPERLINK("http://genome-euro.ucsc.edu/cgi-bin/hgTracks?position=201854_s_at","UCSC")</f>
        <v>UCSC</v>
      </c>
      <c r="E11383" s="1" t="str">
        <f>HYPERLINK("http://www.ncbi.nlm.nih.gov/gene/?term=ATMIN","NCBI")</f>
        <v>NCBI</v>
      </c>
      <c r="F11383">
        <v>0.28999999999999998</v>
      </c>
      <c r="G11383">
        <v>0.43</v>
      </c>
      <c r="H11383" s="1" t="str">
        <f>HYPERLINK("http://www.weizmann.ac.il/complex/compphys/software/geview/data/figures/201854_s_at.png","Figure")</f>
        <v>Figure</v>
      </c>
      <c r="I11383">
        <v>0.92100000000000004</v>
      </c>
      <c r="J11383">
        <v>0.88</v>
      </c>
      <c r="K11383">
        <v>0.78800000000000003</v>
      </c>
      <c r="L11383">
        <v>0.28000000000000003</v>
      </c>
      <c r="M11383">
        <v>0.85499999999999998</v>
      </c>
      <c r="N11383">
        <v>0.6</v>
      </c>
    </row>
    <row r="11384" spans="1:14" x14ac:dyDescent="0.25">
      <c r="A11384" t="s">
        <v>19709</v>
      </c>
      <c r="B11384" t="s">
        <v>19710</v>
      </c>
      <c r="C11384" s="1" t="str">
        <f>HYPERLINK("http://www.genecards.org/cgi-bin/carddisp.pl?gene=HNRNPA0","GeneCards")</f>
        <v>GeneCards</v>
      </c>
      <c r="D11384" s="1" t="str">
        <f>HYPERLINK("http://genome-euro.ucsc.edu/cgi-bin/hgTracks?position=201055_s_at","UCSC")</f>
        <v>UCSC</v>
      </c>
      <c r="E11384" s="1" t="str">
        <f>HYPERLINK("http://www.ncbi.nlm.nih.gov/gene/?term=HNRNPA0","NCBI")</f>
        <v>NCBI</v>
      </c>
      <c r="F11384">
        <v>0.28999999999999998</v>
      </c>
      <c r="G11384">
        <v>0.43</v>
      </c>
      <c r="H11384" s="1" t="str">
        <f>HYPERLINK("http://www.weizmann.ac.il/complex/compphys/software/geview/data/figures/201055_s_at.png","Figure")</f>
        <v>Figure</v>
      </c>
      <c r="I11384">
        <v>1.43</v>
      </c>
      <c r="J11384">
        <v>0.28000000000000003</v>
      </c>
      <c r="K11384">
        <v>1.1000000000000001</v>
      </c>
      <c r="L11384">
        <v>0.88</v>
      </c>
      <c r="M11384">
        <v>0.76800000000000002</v>
      </c>
      <c r="N11384">
        <v>0.43</v>
      </c>
    </row>
    <row r="11385" spans="1:14" x14ac:dyDescent="0.25">
      <c r="A11385" t="s">
        <v>19711</v>
      </c>
      <c r="B11385" t="s">
        <v>19712</v>
      </c>
      <c r="C11385" s="1" t="str">
        <f>HYPERLINK("http://www.genecards.org/cgi-bin/carddisp.pl?gene=RPS14","GeneCards")</f>
        <v>GeneCards</v>
      </c>
      <c r="D11385" s="1" t="str">
        <f>HYPERLINK("http://genome-euro.ucsc.edu/cgi-bin/hgTracks?position=208645_s_at","UCSC")</f>
        <v>UCSC</v>
      </c>
      <c r="E11385" s="1" t="str">
        <f>HYPERLINK("http://www.ncbi.nlm.nih.gov/gene/?term=RPS14","NCBI")</f>
        <v>NCBI</v>
      </c>
      <c r="F11385">
        <v>0.28999999999999998</v>
      </c>
      <c r="G11385">
        <v>0.43</v>
      </c>
      <c r="H11385" s="1" t="str">
        <f>HYPERLINK("http://www.weizmann.ac.il/complex/compphys/software/geview/data/figures/208645_s_at.png","Figure")</f>
        <v>Figure</v>
      </c>
      <c r="I11385">
        <v>0.86199999999999999</v>
      </c>
      <c r="J11385">
        <v>0.79</v>
      </c>
      <c r="K11385">
        <v>1.21</v>
      </c>
      <c r="L11385">
        <v>0.61</v>
      </c>
      <c r="M11385">
        <v>1.4</v>
      </c>
      <c r="N11385">
        <v>0.28000000000000003</v>
      </c>
    </row>
    <row r="11386" spans="1:14" x14ac:dyDescent="0.25">
      <c r="A11386" t="s">
        <v>19713</v>
      </c>
      <c r="B11386" t="s">
        <v>5998</v>
      </c>
      <c r="C11386" s="1" t="str">
        <f>HYPERLINK("http://www.genecards.org/cgi-bin/carddisp.pl?gene=NAP1L1","GeneCards")</f>
        <v>GeneCards</v>
      </c>
      <c r="D11386" s="1" t="str">
        <f>HYPERLINK("http://genome-euro.ucsc.edu/cgi-bin/hgTracks?position=208754_s_at","UCSC")</f>
        <v>UCSC</v>
      </c>
      <c r="E11386" s="1" t="str">
        <f>HYPERLINK("http://www.ncbi.nlm.nih.gov/gene/?term=NAP1L1","NCBI")</f>
        <v>NCBI</v>
      </c>
      <c r="F11386">
        <v>0.28999999999999998</v>
      </c>
      <c r="G11386">
        <v>0.43</v>
      </c>
      <c r="H11386" s="1" t="str">
        <f>HYPERLINK("http://www.weizmann.ac.il/complex/compphys/software/geview/data/figures/208754_s_at.png","Figure")</f>
        <v>Figure</v>
      </c>
      <c r="I11386">
        <v>0.91400000000000003</v>
      </c>
      <c r="J11386">
        <v>0.94</v>
      </c>
      <c r="K11386">
        <v>1.35</v>
      </c>
      <c r="L11386">
        <v>0.46</v>
      </c>
      <c r="M11386">
        <v>1.47</v>
      </c>
      <c r="N11386">
        <v>0.32</v>
      </c>
    </row>
    <row r="11387" spans="1:14" x14ac:dyDescent="0.25">
      <c r="A11387" t="s">
        <v>19714</v>
      </c>
      <c r="B11387" t="s">
        <v>2876</v>
      </c>
      <c r="C11387" s="1" t="str">
        <f>HYPERLINK("http://www.genecards.org/cgi-bin/carddisp.pl?gene=HN1L","GeneCards")</f>
        <v>GeneCards</v>
      </c>
      <c r="D11387" s="1" t="str">
        <f>HYPERLINK("http://genome-euro.ucsc.edu/cgi-bin/hgTracks?position=216031_x_at","UCSC")</f>
        <v>UCSC</v>
      </c>
      <c r="E11387" s="1" t="str">
        <f>HYPERLINK("http://www.ncbi.nlm.nih.gov/gene/?term=HN1L","NCBI")</f>
        <v>NCBI</v>
      </c>
      <c r="F11387">
        <v>0.28999999999999998</v>
      </c>
      <c r="G11387">
        <v>0.43</v>
      </c>
      <c r="H11387" s="1" t="str">
        <f>HYPERLINK("http://www.weizmann.ac.il/complex/compphys/software/geview/data/figures/216031_x_at.png","Figure")</f>
        <v>Figure</v>
      </c>
      <c r="I11387">
        <v>1.1599999999999999</v>
      </c>
      <c r="J11387">
        <v>0.26</v>
      </c>
      <c r="K11387">
        <v>1.06</v>
      </c>
      <c r="L11387">
        <v>0.76</v>
      </c>
      <c r="M11387">
        <v>0.91300000000000003</v>
      </c>
      <c r="N11387">
        <v>0.53</v>
      </c>
    </row>
    <row r="11388" spans="1:14" x14ac:dyDescent="0.25">
      <c r="A11388" t="s">
        <v>19715</v>
      </c>
      <c r="B11388" t="s">
        <v>8655</v>
      </c>
      <c r="C11388" s="1" t="str">
        <f>HYPERLINK("http://www.genecards.org/cgi-bin/carddisp.pl?gene=CADM3","GeneCards")</f>
        <v>GeneCards</v>
      </c>
      <c r="D11388" s="1" t="str">
        <f>HYPERLINK("http://genome-euro.ucsc.edu/cgi-bin/hgTracks?position=211677_x_at","UCSC")</f>
        <v>UCSC</v>
      </c>
      <c r="E11388" s="1" t="str">
        <f>HYPERLINK("http://www.ncbi.nlm.nih.gov/gene/?term=CADM3","NCBI")</f>
        <v>NCBI</v>
      </c>
      <c r="F11388">
        <v>0.28999999999999998</v>
      </c>
      <c r="G11388">
        <v>0.43</v>
      </c>
      <c r="H11388" s="1" t="str">
        <f>HYPERLINK("http://www.weizmann.ac.il/complex/compphys/software/geview/data/figures/211677_x_at.png","Figure")</f>
        <v>Figure</v>
      </c>
      <c r="I11388">
        <v>1.1399999999999999</v>
      </c>
      <c r="J11388">
        <v>0.33</v>
      </c>
      <c r="K11388">
        <v>1.01</v>
      </c>
      <c r="L11388">
        <v>0.99</v>
      </c>
      <c r="M11388">
        <v>0.88900000000000001</v>
      </c>
      <c r="N11388">
        <v>0.34</v>
      </c>
    </row>
    <row r="11389" spans="1:14" x14ac:dyDescent="0.25">
      <c r="A11389" t="s">
        <v>19716</v>
      </c>
      <c r="B11389" t="s">
        <v>15870</v>
      </c>
      <c r="C11389" s="1" t="str">
        <f>HYPERLINK("http://www.genecards.org/cgi-bin/carddisp.pl?gene=ATP5L","GeneCards")</f>
        <v>GeneCards</v>
      </c>
      <c r="D11389" s="1" t="str">
        <f>HYPERLINK("http://genome-euro.ucsc.edu/cgi-bin/hgTracks?position=208745_at","UCSC")</f>
        <v>UCSC</v>
      </c>
      <c r="E11389" s="1" t="str">
        <f>HYPERLINK("http://www.ncbi.nlm.nih.gov/gene/?term=ATP5L","NCBI")</f>
        <v>NCBI</v>
      </c>
      <c r="F11389">
        <v>0.28999999999999998</v>
      </c>
      <c r="G11389">
        <v>0.43</v>
      </c>
      <c r="H11389" s="1" t="str">
        <f>HYPERLINK("http://www.weizmann.ac.il/complex/compphys/software/geview/data/figures/208745_at.png","Figure")</f>
        <v>Figure</v>
      </c>
      <c r="I11389">
        <v>0.81299999999999994</v>
      </c>
      <c r="J11389">
        <v>0.57999999999999996</v>
      </c>
      <c r="K11389">
        <v>1.1200000000000001</v>
      </c>
      <c r="L11389">
        <v>0.82</v>
      </c>
      <c r="M11389">
        <v>1.37</v>
      </c>
      <c r="N11389">
        <v>0.26</v>
      </c>
    </row>
    <row r="11390" spans="1:14" x14ac:dyDescent="0.25">
      <c r="A11390" t="s">
        <v>19717</v>
      </c>
      <c r="B11390" t="s">
        <v>19718</v>
      </c>
      <c r="C11390" s="1" t="str">
        <f>HYPERLINK("http://www.genecards.org/cgi-bin/carddisp.pl?gene=SCRN1","GeneCards")</f>
        <v>GeneCards</v>
      </c>
      <c r="D11390" s="1" t="str">
        <f>HYPERLINK("http://genome-euro.ucsc.edu/cgi-bin/hgTracks?position=201462_at","UCSC")</f>
        <v>UCSC</v>
      </c>
      <c r="E11390" s="1" t="str">
        <f>HYPERLINK("http://www.ncbi.nlm.nih.gov/gene/?term=SCRN1","NCBI")</f>
        <v>NCBI</v>
      </c>
      <c r="F11390">
        <v>0.28999999999999998</v>
      </c>
      <c r="G11390">
        <v>0.43</v>
      </c>
      <c r="H11390" s="1" t="str">
        <f>HYPERLINK("http://www.weizmann.ac.il/complex/compphys/software/geview/data/figures/201462_at.png","Figure")</f>
        <v>Figure</v>
      </c>
      <c r="I11390">
        <v>1.31</v>
      </c>
      <c r="J11390">
        <v>0.36</v>
      </c>
      <c r="K11390">
        <v>0.998</v>
      </c>
      <c r="L11390">
        <v>1</v>
      </c>
      <c r="M11390">
        <v>0.76200000000000001</v>
      </c>
      <c r="N11390">
        <v>0.31</v>
      </c>
    </row>
    <row r="11391" spans="1:14" x14ac:dyDescent="0.25">
      <c r="A11391" t="s">
        <v>19719</v>
      </c>
      <c r="B11391" t="s">
        <v>19720</v>
      </c>
      <c r="C11391" s="1" t="str">
        <f>HYPERLINK("http://www.genecards.org/cgi-bin/carddisp.pl?gene=NFKB1","GeneCards")</f>
        <v>GeneCards</v>
      </c>
      <c r="D11391" s="1" t="str">
        <f>HYPERLINK("http://genome-euro.ucsc.edu/cgi-bin/hgTracks?position=209239_at","UCSC")</f>
        <v>UCSC</v>
      </c>
      <c r="E11391" s="1" t="str">
        <f>HYPERLINK("http://www.ncbi.nlm.nih.gov/gene/?term=NFKB1","NCBI")</f>
        <v>NCBI</v>
      </c>
      <c r="F11391">
        <v>0.28999999999999998</v>
      </c>
      <c r="G11391">
        <v>0.43</v>
      </c>
      <c r="H11391" s="1" t="str">
        <f>HYPERLINK("http://www.weizmann.ac.il/complex/compphys/software/geview/data/figures/209239_at.png","Figure")</f>
        <v>Figure</v>
      </c>
      <c r="I11391">
        <v>1.38</v>
      </c>
      <c r="J11391">
        <v>0.27</v>
      </c>
      <c r="K11391">
        <v>1.2</v>
      </c>
      <c r="L11391">
        <v>0.56000000000000005</v>
      </c>
      <c r="M11391">
        <v>0.87</v>
      </c>
      <c r="N11391">
        <v>0.73</v>
      </c>
    </row>
    <row r="11392" spans="1:14" x14ac:dyDescent="0.25">
      <c r="A11392" t="s">
        <v>19721</v>
      </c>
      <c r="B11392" t="s">
        <v>19722</v>
      </c>
      <c r="C11392" s="1" t="str">
        <f>HYPERLINK("http://www.genecards.org/cgi-bin/carddisp.pl?gene=SOBP","GeneCards")</f>
        <v>GeneCards</v>
      </c>
      <c r="D11392" s="1" t="str">
        <f>HYPERLINK("http://genome-euro.ucsc.edu/cgi-bin/hgTracks?position=218974_at","UCSC")</f>
        <v>UCSC</v>
      </c>
      <c r="E11392" s="1" t="str">
        <f>HYPERLINK("http://www.ncbi.nlm.nih.gov/gene/?term=SOBP","NCBI")</f>
        <v>NCBI</v>
      </c>
      <c r="F11392">
        <v>0.28999999999999998</v>
      </c>
      <c r="G11392">
        <v>0.43</v>
      </c>
      <c r="H11392" s="1" t="str">
        <f>HYPERLINK("http://www.weizmann.ac.il/complex/compphys/software/geview/data/figures/218974_at.png","Figure")</f>
        <v>Figure</v>
      </c>
      <c r="I11392">
        <v>0.84299999999999997</v>
      </c>
      <c r="J11392">
        <v>0.69</v>
      </c>
      <c r="K11392">
        <v>1.1599999999999999</v>
      </c>
      <c r="L11392">
        <v>0.71</v>
      </c>
      <c r="M11392">
        <v>1.37</v>
      </c>
      <c r="N11392">
        <v>0.26</v>
      </c>
    </row>
    <row r="11393" spans="1:14" x14ac:dyDescent="0.25">
      <c r="A11393" t="s">
        <v>19723</v>
      </c>
      <c r="B11393" t="s">
        <v>19724</v>
      </c>
      <c r="C11393" s="1" t="str">
        <f>HYPERLINK("http://www.genecards.org/cgi-bin/carddisp.pl?gene=LOR","GeneCards")</f>
        <v>GeneCards</v>
      </c>
      <c r="D11393" s="1" t="str">
        <f>HYPERLINK("http://genome-euro.ucsc.edu/cgi-bin/hgTracks?position=207720_at","UCSC")</f>
        <v>UCSC</v>
      </c>
      <c r="E11393" s="1" t="str">
        <f>HYPERLINK("http://www.ncbi.nlm.nih.gov/gene/?term=LOR","NCBI")</f>
        <v>NCBI</v>
      </c>
      <c r="F11393">
        <v>0.28999999999999998</v>
      </c>
      <c r="G11393">
        <v>0.43</v>
      </c>
      <c r="H11393" s="1" t="str">
        <f>HYPERLINK("http://www.weizmann.ac.il/complex/compphys/software/geview/data/figures/207720_at.png","Figure")</f>
        <v>Figure</v>
      </c>
      <c r="I11393">
        <v>0.97599999999999998</v>
      </c>
      <c r="J11393">
        <v>0.96</v>
      </c>
      <c r="K11393">
        <v>0.89300000000000002</v>
      </c>
      <c r="L11393">
        <v>0.3</v>
      </c>
      <c r="M11393">
        <v>0.91500000000000004</v>
      </c>
      <c r="N11393">
        <v>0.51</v>
      </c>
    </row>
    <row r="11394" spans="1:14" x14ac:dyDescent="0.25">
      <c r="A11394" t="s">
        <v>19725</v>
      </c>
      <c r="B11394" t="s">
        <v>19224</v>
      </c>
      <c r="C11394" s="1" t="str">
        <f>HYPERLINK("http://www.genecards.org/cgi-bin/carddisp.pl?gene=NRCAM","GeneCards")</f>
        <v>GeneCards</v>
      </c>
      <c r="D11394" s="1" t="str">
        <f>HYPERLINK("http://genome-euro.ucsc.edu/cgi-bin/hgTracks?position=204105_s_at","UCSC")</f>
        <v>UCSC</v>
      </c>
      <c r="E11394" s="1" t="str">
        <f>HYPERLINK("http://www.ncbi.nlm.nih.gov/gene/?term=NRCAM","NCBI")</f>
        <v>NCBI</v>
      </c>
      <c r="F11394">
        <v>0.28999999999999998</v>
      </c>
      <c r="G11394">
        <v>0.43</v>
      </c>
      <c r="H11394" s="1" t="str">
        <f>HYPERLINK("http://www.weizmann.ac.il/complex/compphys/software/geview/data/figures/204105_s_at.png","Figure")</f>
        <v>Figure</v>
      </c>
      <c r="I11394">
        <v>1.06</v>
      </c>
      <c r="J11394">
        <v>0.35</v>
      </c>
      <c r="K11394">
        <v>1.05</v>
      </c>
      <c r="L11394">
        <v>0.36</v>
      </c>
      <c r="M11394">
        <v>0.99199999999999999</v>
      </c>
      <c r="N11394">
        <v>0.98</v>
      </c>
    </row>
    <row r="11395" spans="1:14" x14ac:dyDescent="0.25">
      <c r="A11395" t="s">
        <v>19726</v>
      </c>
      <c r="B11395" t="s">
        <v>7547</v>
      </c>
      <c r="C11395" s="1" t="str">
        <f>HYPERLINK("http://www.genecards.org/cgi-bin/carddisp.pl?gene=MAST2","GeneCards")</f>
        <v>GeneCards</v>
      </c>
      <c r="D11395" s="1" t="str">
        <f>HYPERLINK("http://genome-euro.ucsc.edu/cgi-bin/hgTracks?position=215903_s_at","UCSC")</f>
        <v>UCSC</v>
      </c>
      <c r="E11395" s="1" t="str">
        <f>HYPERLINK("http://www.ncbi.nlm.nih.gov/gene/?term=MAST2","NCBI")</f>
        <v>NCBI</v>
      </c>
      <c r="F11395">
        <v>0.28999999999999998</v>
      </c>
      <c r="G11395">
        <v>0.43</v>
      </c>
      <c r="H11395" s="1" t="str">
        <f>HYPERLINK("http://www.weizmann.ac.il/complex/compphys/software/geview/data/figures/215903_s_at.png","Figure")</f>
        <v>Figure</v>
      </c>
      <c r="I11395">
        <v>1.07</v>
      </c>
      <c r="J11395">
        <v>0.61</v>
      </c>
      <c r="K11395">
        <v>1.1000000000000001</v>
      </c>
      <c r="L11395">
        <v>0.26</v>
      </c>
      <c r="M11395">
        <v>1.03</v>
      </c>
      <c r="N11395">
        <v>0.87</v>
      </c>
    </row>
    <row r="11396" spans="1:14" x14ac:dyDescent="0.25">
      <c r="A11396" t="s">
        <v>19727</v>
      </c>
      <c r="B11396" t="s">
        <v>12773</v>
      </c>
      <c r="C11396" s="1" t="str">
        <f>HYPERLINK("http://www.genecards.org/cgi-bin/carddisp.pl?gene=RGS12","GeneCards")</f>
        <v>GeneCards</v>
      </c>
      <c r="D11396" s="1" t="str">
        <f>HYPERLINK("http://genome-euro.ucsc.edu/cgi-bin/hgTracks?position=209639_s_at","UCSC")</f>
        <v>UCSC</v>
      </c>
      <c r="E11396" s="1" t="str">
        <f>HYPERLINK("http://www.ncbi.nlm.nih.gov/gene/?term=RGS12","NCBI")</f>
        <v>NCBI</v>
      </c>
      <c r="F11396">
        <v>0.28999999999999998</v>
      </c>
      <c r="G11396">
        <v>0.43</v>
      </c>
      <c r="H11396" s="1" t="str">
        <f>HYPERLINK("http://www.weizmann.ac.il/complex/compphys/software/geview/data/figures/209639_s_at.png","Figure")</f>
        <v>Figure</v>
      </c>
      <c r="I11396">
        <v>1.1499999999999999</v>
      </c>
      <c r="J11396">
        <v>0.26</v>
      </c>
      <c r="K11396">
        <v>1.07</v>
      </c>
      <c r="L11396">
        <v>0.62</v>
      </c>
      <c r="M11396">
        <v>0.93300000000000005</v>
      </c>
      <c r="N11396">
        <v>0.66</v>
      </c>
    </row>
    <row r="11397" spans="1:14" x14ac:dyDescent="0.25">
      <c r="A11397" t="s">
        <v>19728</v>
      </c>
      <c r="B11397" t="s">
        <v>5099</v>
      </c>
      <c r="C11397" s="1" t="str">
        <f>HYPERLINK("http://www.genecards.org/cgi-bin/carddisp.pl?gene=IL17RC","GeneCards")</f>
        <v>GeneCards</v>
      </c>
      <c r="D11397" s="1" t="str">
        <f>HYPERLINK("http://genome-euro.ucsc.edu/cgi-bin/hgTracks?position=221926_s_at","UCSC")</f>
        <v>UCSC</v>
      </c>
      <c r="E11397" s="1" t="str">
        <f>HYPERLINK("http://www.ncbi.nlm.nih.gov/gene/?term=IL17RC","NCBI")</f>
        <v>NCBI</v>
      </c>
      <c r="F11397">
        <v>0.28999999999999998</v>
      </c>
      <c r="G11397">
        <v>0.43</v>
      </c>
      <c r="H11397" s="1" t="str">
        <f>HYPERLINK("http://www.weizmann.ac.il/complex/compphys/software/geview/data/figures/221926_s_at.png","Figure")</f>
        <v>Figure</v>
      </c>
      <c r="I11397">
        <v>1.0900000000000001</v>
      </c>
      <c r="J11397">
        <v>0.26</v>
      </c>
      <c r="K11397">
        <v>1.04</v>
      </c>
      <c r="L11397">
        <v>0.6</v>
      </c>
      <c r="M11397">
        <v>0.96099999999999997</v>
      </c>
      <c r="N11397">
        <v>0.68</v>
      </c>
    </row>
    <row r="11398" spans="1:14" x14ac:dyDescent="0.25">
      <c r="A11398" t="s">
        <v>19729</v>
      </c>
      <c r="B11398" t="s">
        <v>15099</v>
      </c>
      <c r="C11398" s="1" t="str">
        <f>HYPERLINK("http://www.genecards.org/cgi-bin/carddisp.pl?gene=RECQL","GeneCards")</f>
        <v>GeneCards</v>
      </c>
      <c r="D11398" s="1" t="str">
        <f>HYPERLINK("http://genome-euro.ucsc.edu/cgi-bin/hgTracks?position=205091_x_at","UCSC")</f>
        <v>UCSC</v>
      </c>
      <c r="E11398" s="1" t="str">
        <f>HYPERLINK("http://www.ncbi.nlm.nih.gov/gene/?term=RECQL","NCBI")</f>
        <v>NCBI</v>
      </c>
      <c r="F11398">
        <v>0.28999999999999998</v>
      </c>
      <c r="G11398">
        <v>0.43</v>
      </c>
      <c r="H11398" s="1" t="str">
        <f>HYPERLINK("http://www.weizmann.ac.il/complex/compphys/software/geview/data/figures/205091_x_at.png","Figure")</f>
        <v>Figure</v>
      </c>
      <c r="I11398">
        <v>0.79</v>
      </c>
      <c r="J11398">
        <v>0.27</v>
      </c>
      <c r="K11398">
        <v>0.93</v>
      </c>
      <c r="L11398">
        <v>0.84</v>
      </c>
      <c r="M11398">
        <v>1.18</v>
      </c>
      <c r="N11398">
        <v>0.47</v>
      </c>
    </row>
    <row r="11399" spans="1:14" x14ac:dyDescent="0.25">
      <c r="A11399" t="s">
        <v>19730</v>
      </c>
      <c r="B11399" t="s">
        <v>8722</v>
      </c>
      <c r="C11399" s="1" t="str">
        <f>HYPERLINK("http://www.genecards.org/cgi-bin/carddisp.pl?gene=INTS7","GeneCards")</f>
        <v>GeneCards</v>
      </c>
      <c r="D11399" s="1" t="str">
        <f>HYPERLINK("http://genome-euro.ucsc.edu/cgi-bin/hgTracks?position=218783_at","UCSC")</f>
        <v>UCSC</v>
      </c>
      <c r="E11399" s="1" t="str">
        <f>HYPERLINK("http://www.ncbi.nlm.nih.gov/gene/?term=INTS7","NCBI")</f>
        <v>NCBI</v>
      </c>
      <c r="F11399">
        <v>0.28999999999999998</v>
      </c>
      <c r="G11399">
        <v>0.43</v>
      </c>
      <c r="H11399" s="1" t="str">
        <f>HYPERLINK("http://www.weizmann.ac.il/complex/compphys/software/geview/data/figures/218783_at.png","Figure")</f>
        <v>Figure</v>
      </c>
      <c r="I11399">
        <v>1.02</v>
      </c>
      <c r="J11399">
        <v>0.88</v>
      </c>
      <c r="K11399">
        <v>1.06</v>
      </c>
      <c r="L11399">
        <v>0.28000000000000003</v>
      </c>
      <c r="M11399">
        <v>1.04</v>
      </c>
      <c r="N11399">
        <v>0.6</v>
      </c>
    </row>
    <row r="11400" spans="1:14" x14ac:dyDescent="0.25">
      <c r="A11400" t="s">
        <v>19731</v>
      </c>
      <c r="B11400" t="s">
        <v>6777</v>
      </c>
      <c r="C11400" s="1" t="str">
        <f>HYPERLINK("http://www.genecards.org/cgi-bin/carddisp.pl?gene=NMT1","GeneCards")</f>
        <v>GeneCards</v>
      </c>
      <c r="D11400" s="1" t="str">
        <f>HYPERLINK("http://genome-euro.ucsc.edu/cgi-bin/hgTracks?position=201159_s_at","UCSC")</f>
        <v>UCSC</v>
      </c>
      <c r="E11400" s="1" t="str">
        <f>HYPERLINK("http://www.ncbi.nlm.nih.gov/gene/?term=NMT1","NCBI")</f>
        <v>NCBI</v>
      </c>
      <c r="F11400">
        <v>0.28999999999999998</v>
      </c>
      <c r="G11400">
        <v>0.43</v>
      </c>
      <c r="H11400" s="1" t="str">
        <f>HYPERLINK("http://www.weizmann.ac.il/complex/compphys/software/geview/data/figures/201159_s_at.png","Figure")</f>
        <v>Figure</v>
      </c>
      <c r="I11400">
        <v>0.93500000000000005</v>
      </c>
      <c r="J11400">
        <v>0.61</v>
      </c>
      <c r="K11400">
        <v>0.90400000000000003</v>
      </c>
      <c r="L11400">
        <v>0.26</v>
      </c>
      <c r="M11400">
        <v>0.96699999999999997</v>
      </c>
      <c r="N11400">
        <v>0.87</v>
      </c>
    </row>
    <row r="11401" spans="1:14" x14ac:dyDescent="0.25">
      <c r="A11401" t="s">
        <v>19732</v>
      </c>
      <c r="B11401" t="s">
        <v>9228</v>
      </c>
      <c r="C11401" s="1" t="str">
        <f>HYPERLINK("http://www.genecards.org/cgi-bin/carddisp.pl?gene=SVIL","GeneCards")</f>
        <v>GeneCards</v>
      </c>
      <c r="D11401" s="1" t="str">
        <f>HYPERLINK("http://genome-euro.ucsc.edu/cgi-bin/hgTracks?position=202566_s_at","UCSC")</f>
        <v>UCSC</v>
      </c>
      <c r="E11401" s="1" t="str">
        <f>HYPERLINK("http://www.ncbi.nlm.nih.gov/gene/?term=SVIL","NCBI")</f>
        <v>NCBI</v>
      </c>
      <c r="F11401">
        <v>0.28999999999999998</v>
      </c>
      <c r="G11401">
        <v>0.43</v>
      </c>
      <c r="H11401" s="1" t="str">
        <f>HYPERLINK("http://www.weizmann.ac.il/complex/compphys/software/geview/data/figures/202566_s_at.png","Figure")</f>
        <v>Figure</v>
      </c>
      <c r="I11401">
        <v>1.0900000000000001</v>
      </c>
      <c r="J11401">
        <v>0.48</v>
      </c>
      <c r="K11401">
        <v>1.1000000000000001</v>
      </c>
      <c r="L11401">
        <v>0.28000000000000003</v>
      </c>
      <c r="M11401">
        <v>1.01</v>
      </c>
      <c r="N11401">
        <v>0.97</v>
      </c>
    </row>
    <row r="11402" spans="1:14" x14ac:dyDescent="0.25">
      <c r="A11402" t="s">
        <v>19733</v>
      </c>
      <c r="B11402" t="s">
        <v>19734</v>
      </c>
      <c r="C11402" s="1" t="str">
        <f>HYPERLINK("http://www.genecards.org/cgi-bin/carddisp.pl?gene=INS","GeneCards")</f>
        <v>GeneCards</v>
      </c>
      <c r="D11402" s="1" t="str">
        <f>HYPERLINK("http://genome-euro.ucsc.edu/cgi-bin/hgTracks?position=206598_at","UCSC")</f>
        <v>UCSC</v>
      </c>
      <c r="E11402" s="1" t="str">
        <f>HYPERLINK("http://www.ncbi.nlm.nih.gov/gene/?term=INS","NCBI")</f>
        <v>NCBI</v>
      </c>
      <c r="F11402">
        <v>0.28999999999999998</v>
      </c>
      <c r="G11402">
        <v>0.43</v>
      </c>
      <c r="H11402" s="1" t="str">
        <f>HYPERLINK("http://www.weizmann.ac.il/complex/compphys/software/geview/data/figures/206598_at.png","Figure")</f>
        <v>Figure</v>
      </c>
      <c r="I11402">
        <v>1.05</v>
      </c>
      <c r="J11402">
        <v>0.33</v>
      </c>
      <c r="K11402">
        <v>1</v>
      </c>
      <c r="L11402">
        <v>0.99</v>
      </c>
      <c r="M11402">
        <v>0.95899999999999996</v>
      </c>
      <c r="N11402">
        <v>0.34</v>
      </c>
    </row>
    <row r="11403" spans="1:14" x14ac:dyDescent="0.25">
      <c r="A11403" t="s">
        <v>19735</v>
      </c>
      <c r="B11403" t="s">
        <v>19736</v>
      </c>
      <c r="C11403" s="1" t="str">
        <f>HYPERLINK("http://www.genecards.org/cgi-bin/carddisp.pl?gene=ARF1","GeneCards")</f>
        <v>GeneCards</v>
      </c>
      <c r="D11403" s="1" t="str">
        <f>HYPERLINK("http://genome-euro.ucsc.edu/cgi-bin/hgTracks?position=200065_s_at","UCSC")</f>
        <v>UCSC</v>
      </c>
      <c r="E11403" s="1" t="str">
        <f>HYPERLINK("http://www.ncbi.nlm.nih.gov/gene/?term=ARF1","NCBI")</f>
        <v>NCBI</v>
      </c>
      <c r="F11403">
        <v>0.28999999999999998</v>
      </c>
      <c r="G11403">
        <v>0.43</v>
      </c>
      <c r="H11403" s="1" t="str">
        <f>HYPERLINK("http://www.weizmann.ac.il/complex/compphys/software/geview/data/figures/200065_s_at.png","Figure")</f>
        <v>Figure</v>
      </c>
      <c r="I11403">
        <v>1.06</v>
      </c>
      <c r="J11403">
        <v>0.93</v>
      </c>
      <c r="K11403">
        <v>0.85399999999999998</v>
      </c>
      <c r="L11403">
        <v>0.47</v>
      </c>
      <c r="M11403">
        <v>0.80900000000000005</v>
      </c>
      <c r="N11403">
        <v>0.32</v>
      </c>
    </row>
    <row r="11404" spans="1:14" x14ac:dyDescent="0.25">
      <c r="A11404" t="s">
        <v>19737</v>
      </c>
      <c r="B11404" t="s">
        <v>19738</v>
      </c>
      <c r="C11404" s="1" t="str">
        <f>HYPERLINK("http://www.genecards.org/cgi-bin/carddisp.pl?gene=KAT2A","GeneCards")</f>
        <v>GeneCards</v>
      </c>
      <c r="D11404" s="1" t="str">
        <f>HYPERLINK("http://genome-euro.ucsc.edu/cgi-bin/hgTracks?position=202182_at","UCSC")</f>
        <v>UCSC</v>
      </c>
      <c r="E11404" s="1" t="str">
        <f>HYPERLINK("http://www.ncbi.nlm.nih.gov/gene/?term=KAT2A","NCBI")</f>
        <v>NCBI</v>
      </c>
      <c r="F11404">
        <v>0.28999999999999998</v>
      </c>
      <c r="G11404">
        <v>0.43</v>
      </c>
      <c r="H11404" s="1" t="str">
        <f>HYPERLINK("http://www.weizmann.ac.il/complex/compphys/software/geview/data/figures/202182_at.png","Figure")</f>
        <v>Figure</v>
      </c>
      <c r="I11404">
        <v>0.77300000000000002</v>
      </c>
      <c r="J11404">
        <v>0.28999999999999998</v>
      </c>
      <c r="K11404">
        <v>0.94399999999999995</v>
      </c>
      <c r="L11404">
        <v>0.91</v>
      </c>
      <c r="M11404">
        <v>1.22</v>
      </c>
      <c r="N11404">
        <v>0.41</v>
      </c>
    </row>
    <row r="11405" spans="1:14" x14ac:dyDescent="0.25">
      <c r="A11405" t="s">
        <v>19739</v>
      </c>
      <c r="B11405" t="s">
        <v>5339</v>
      </c>
      <c r="C11405" s="1" t="str">
        <f>HYPERLINK("http://www.genecards.org/cgi-bin/carddisp.pl?gene=PCSK6","GeneCards")</f>
        <v>GeneCards</v>
      </c>
      <c r="D11405" s="1" t="str">
        <f>HYPERLINK("http://genome-euro.ucsc.edu/cgi-bin/hgTracks?position=207414_s_at","UCSC")</f>
        <v>UCSC</v>
      </c>
      <c r="E11405" s="1" t="str">
        <f>HYPERLINK("http://www.ncbi.nlm.nih.gov/gene/?term=PCSK6","NCBI")</f>
        <v>NCBI</v>
      </c>
      <c r="F11405">
        <v>0.28999999999999998</v>
      </c>
      <c r="G11405">
        <v>0.43</v>
      </c>
      <c r="H11405" s="1" t="str">
        <f>HYPERLINK("http://www.weizmann.ac.il/complex/compphys/software/geview/data/figures/207414_s_at.png","Figure")</f>
        <v>Figure</v>
      </c>
      <c r="I11405">
        <v>0.98199999999999998</v>
      </c>
      <c r="J11405">
        <v>0.46</v>
      </c>
      <c r="K11405">
        <v>1</v>
      </c>
      <c r="L11405">
        <v>0.95</v>
      </c>
      <c r="M11405">
        <v>1.02</v>
      </c>
      <c r="N11405">
        <v>0.27</v>
      </c>
    </row>
    <row r="11406" spans="1:14" x14ac:dyDescent="0.25">
      <c r="A11406" t="s">
        <v>19740</v>
      </c>
      <c r="B11406" t="s">
        <v>19741</v>
      </c>
      <c r="C11406" s="1" t="str">
        <f>HYPERLINK("http://www.genecards.org/cgi-bin/carddisp.pl?gene=ZNF552","GeneCards")</f>
        <v>GeneCards</v>
      </c>
      <c r="D11406" s="1" t="str">
        <f>HYPERLINK("http://genome-euro.ucsc.edu/cgi-bin/hgTracks?position=219741_x_at","UCSC")</f>
        <v>UCSC</v>
      </c>
      <c r="E11406" s="1" t="str">
        <f>HYPERLINK("http://www.ncbi.nlm.nih.gov/gene/?term=ZNF552","NCBI")</f>
        <v>NCBI</v>
      </c>
      <c r="F11406">
        <v>0.28999999999999998</v>
      </c>
      <c r="G11406">
        <v>0.43</v>
      </c>
      <c r="H11406" s="1" t="str">
        <f>HYPERLINK("http://www.weizmann.ac.il/complex/compphys/software/geview/data/figures/219741_x_at.png","Figure")</f>
        <v>Figure</v>
      </c>
      <c r="I11406">
        <v>1.05</v>
      </c>
      <c r="J11406">
        <v>0.77</v>
      </c>
      <c r="K11406">
        <v>0.94799999999999995</v>
      </c>
      <c r="L11406">
        <v>0.63</v>
      </c>
      <c r="M11406">
        <v>0.90500000000000003</v>
      </c>
      <c r="N11406">
        <v>0.27</v>
      </c>
    </row>
    <row r="11407" spans="1:14" x14ac:dyDescent="0.25">
      <c r="A11407" t="s">
        <v>19742</v>
      </c>
      <c r="B11407" t="s">
        <v>19743</v>
      </c>
      <c r="C11407" s="1" t="str">
        <f>HYPERLINK("http://www.genecards.org/cgi-bin/carddisp.pl?gene=FOLR2","GeneCards")</f>
        <v>GeneCards</v>
      </c>
      <c r="D11407" s="1" t="str">
        <f>HYPERLINK("http://genome-euro.ucsc.edu/cgi-bin/hgTracks?position=204829_s_at","UCSC")</f>
        <v>UCSC</v>
      </c>
      <c r="E11407" s="1" t="str">
        <f>HYPERLINK("http://www.ncbi.nlm.nih.gov/gene/?term=FOLR2","NCBI")</f>
        <v>NCBI</v>
      </c>
      <c r="F11407">
        <v>0.28999999999999998</v>
      </c>
      <c r="G11407">
        <v>0.43</v>
      </c>
      <c r="H11407" s="1" t="str">
        <f>HYPERLINK("http://www.weizmann.ac.il/complex/compphys/software/geview/data/figures/204829_s_at.png","Figure")</f>
        <v>Figure</v>
      </c>
      <c r="I11407">
        <v>1.1599999999999999</v>
      </c>
      <c r="J11407">
        <v>0.42</v>
      </c>
      <c r="K11407">
        <v>0.97799999999999998</v>
      </c>
      <c r="L11407">
        <v>0.97</v>
      </c>
      <c r="M11407">
        <v>0.84199999999999997</v>
      </c>
      <c r="N11407">
        <v>0.28000000000000003</v>
      </c>
    </row>
    <row r="11408" spans="1:14" x14ac:dyDescent="0.25">
      <c r="A11408" t="s">
        <v>19744</v>
      </c>
      <c r="B11408" t="s">
        <v>10283</v>
      </c>
      <c r="C11408" s="1" t="str">
        <f>HYPERLINK("http://www.genecards.org/cgi-bin/carddisp.pl?gene=GNB5","GeneCards")</f>
        <v>GeneCards</v>
      </c>
      <c r="D11408" s="1" t="str">
        <f>HYPERLINK("http://genome-euro.ucsc.edu/cgi-bin/hgTracks?position=204000_at","UCSC")</f>
        <v>UCSC</v>
      </c>
      <c r="E11408" s="1" t="str">
        <f>HYPERLINK("http://www.ncbi.nlm.nih.gov/gene/?term=GNB5","NCBI")</f>
        <v>NCBI</v>
      </c>
      <c r="F11408">
        <v>0.28999999999999998</v>
      </c>
      <c r="G11408">
        <v>0.43</v>
      </c>
      <c r="H11408" s="1" t="str">
        <f>HYPERLINK("http://www.weizmann.ac.il/complex/compphys/software/geview/data/figures/204000_at.png","Figure")</f>
        <v>Figure</v>
      </c>
      <c r="I11408">
        <v>1.1299999999999999</v>
      </c>
      <c r="J11408">
        <v>0.53</v>
      </c>
      <c r="K11408">
        <v>1.1599999999999999</v>
      </c>
      <c r="L11408">
        <v>0.27</v>
      </c>
      <c r="M11408">
        <v>1.03</v>
      </c>
      <c r="N11408">
        <v>0.94</v>
      </c>
    </row>
    <row r="11409" spans="1:14" x14ac:dyDescent="0.25">
      <c r="A11409" t="s">
        <v>19745</v>
      </c>
      <c r="B11409" t="s">
        <v>19746</v>
      </c>
      <c r="C11409" s="1" t="str">
        <f>HYPERLINK("http://www.genecards.org/cgi-bin/carddisp.pl?gene=CHAT","GeneCards")</f>
        <v>GeneCards</v>
      </c>
      <c r="D11409" s="1" t="str">
        <f>HYPERLINK("http://genome-euro.ucsc.edu/cgi-bin/hgTracks?position=221197_s_at","UCSC")</f>
        <v>UCSC</v>
      </c>
      <c r="E11409" s="1" t="str">
        <f>HYPERLINK("http://www.ncbi.nlm.nih.gov/gene/?term=CHAT","NCBI")</f>
        <v>NCBI</v>
      </c>
      <c r="F11409">
        <v>0.28999999999999998</v>
      </c>
      <c r="G11409">
        <v>0.43</v>
      </c>
      <c r="H11409" s="1" t="str">
        <f>HYPERLINK("http://www.weizmann.ac.il/complex/compphys/software/geview/data/figures/221197_s_at.png","Figure")</f>
        <v>Figure</v>
      </c>
      <c r="I11409">
        <v>1.04</v>
      </c>
      <c r="J11409">
        <v>0.76</v>
      </c>
      <c r="K11409">
        <v>0.95799999999999996</v>
      </c>
      <c r="L11409">
        <v>0.64</v>
      </c>
      <c r="M11409">
        <v>0.92200000000000004</v>
      </c>
      <c r="N11409">
        <v>0.27</v>
      </c>
    </row>
    <row r="11410" spans="1:14" x14ac:dyDescent="0.25">
      <c r="A11410" t="s">
        <v>19747</v>
      </c>
      <c r="B11410" t="s">
        <v>16816</v>
      </c>
      <c r="C11410" s="1" t="str">
        <f>HYPERLINK("http://www.genecards.org/cgi-bin/carddisp.pl?gene=ESPL1","GeneCards")</f>
        <v>GeneCards</v>
      </c>
      <c r="D11410" s="1" t="str">
        <f>HYPERLINK("http://genome-euro.ucsc.edu/cgi-bin/hgTracks?position=38158_at","UCSC")</f>
        <v>UCSC</v>
      </c>
      <c r="E11410" s="1" t="str">
        <f>HYPERLINK("http://www.ncbi.nlm.nih.gov/gene/?term=ESPL1","NCBI")</f>
        <v>NCBI</v>
      </c>
      <c r="F11410">
        <v>0.28999999999999998</v>
      </c>
      <c r="G11410">
        <v>0.43</v>
      </c>
      <c r="H11410" s="1" t="str">
        <f>HYPERLINK("http://www.weizmann.ac.il/complex/compphys/software/geview/data/figures/38158_at.png","Figure")</f>
        <v>Figure</v>
      </c>
      <c r="I11410">
        <v>1.26</v>
      </c>
      <c r="J11410">
        <v>0.28000000000000003</v>
      </c>
      <c r="K11410">
        <v>1.1599999999999999</v>
      </c>
      <c r="L11410">
        <v>0.49</v>
      </c>
      <c r="M11410">
        <v>0.92200000000000004</v>
      </c>
      <c r="N11410">
        <v>0.82</v>
      </c>
    </row>
    <row r="11411" spans="1:14" x14ac:dyDescent="0.25">
      <c r="A11411" t="s">
        <v>19748</v>
      </c>
      <c r="B11411" t="s">
        <v>18371</v>
      </c>
      <c r="C11411" s="1" t="str">
        <f>HYPERLINK("http://www.genecards.org/cgi-bin/carddisp.pl?gene=SPTAN1","GeneCards")</f>
        <v>GeneCards</v>
      </c>
      <c r="D11411" s="1" t="str">
        <f>HYPERLINK("http://genome-euro.ucsc.edu/cgi-bin/hgTracks?position=208611_s_at","UCSC")</f>
        <v>UCSC</v>
      </c>
      <c r="E11411" s="1" t="str">
        <f>HYPERLINK("http://www.ncbi.nlm.nih.gov/gene/?term=SPTAN1","NCBI")</f>
        <v>NCBI</v>
      </c>
      <c r="F11411">
        <v>0.28999999999999998</v>
      </c>
      <c r="G11411">
        <v>0.43</v>
      </c>
      <c r="H11411" s="1" t="str">
        <f>HYPERLINK("http://www.weizmann.ac.il/complex/compphys/software/geview/data/figures/208611_s_at.png","Figure")</f>
        <v>Figure</v>
      </c>
      <c r="I11411">
        <v>1.36</v>
      </c>
      <c r="J11411">
        <v>0.28000000000000003</v>
      </c>
      <c r="K11411">
        <v>1.22</v>
      </c>
      <c r="L11411">
        <v>0.5</v>
      </c>
      <c r="M11411">
        <v>0.89200000000000002</v>
      </c>
      <c r="N11411">
        <v>0.81</v>
      </c>
    </row>
    <row r="11412" spans="1:14" x14ac:dyDescent="0.25">
      <c r="A11412" t="s">
        <v>19749</v>
      </c>
      <c r="B11412" t="s">
        <v>11739</v>
      </c>
      <c r="C11412" s="1" t="str">
        <f>HYPERLINK("http://www.genecards.org/cgi-bin/carddisp.pl?gene=RBM8A","GeneCards")</f>
        <v>GeneCards</v>
      </c>
      <c r="D11412" s="1" t="str">
        <f>HYPERLINK("http://genome-euro.ucsc.edu/cgi-bin/hgTracks?position=214113_s_at","UCSC")</f>
        <v>UCSC</v>
      </c>
      <c r="E11412" s="1" t="str">
        <f>HYPERLINK("http://www.ncbi.nlm.nih.gov/gene/?term=RBM8A","NCBI")</f>
        <v>NCBI</v>
      </c>
      <c r="F11412">
        <v>0.28999999999999998</v>
      </c>
      <c r="G11412">
        <v>0.43</v>
      </c>
      <c r="H11412" s="1" t="str">
        <f>HYPERLINK("http://www.weizmann.ac.il/complex/compphys/software/geview/data/figures/214113_s_at.png","Figure")</f>
        <v>Figure</v>
      </c>
      <c r="I11412">
        <v>0.79</v>
      </c>
      <c r="J11412">
        <v>0.66</v>
      </c>
      <c r="K11412">
        <v>1.19</v>
      </c>
      <c r="L11412">
        <v>0.74</v>
      </c>
      <c r="M11412">
        <v>1.5</v>
      </c>
      <c r="N11412">
        <v>0.26</v>
      </c>
    </row>
    <row r="11413" spans="1:14" x14ac:dyDescent="0.25">
      <c r="A11413" t="s">
        <v>19750</v>
      </c>
      <c r="B11413" t="s">
        <v>19751</v>
      </c>
      <c r="C11413" s="1" t="str">
        <f>HYPERLINK("http://www.genecards.org/cgi-bin/carddisp.pl?gene=DDX47","GeneCards")</f>
        <v>GeneCards</v>
      </c>
      <c r="D11413" s="1" t="str">
        <f>HYPERLINK("http://genome-euro.ucsc.edu/cgi-bin/hgTracks?position=220890_s_at","UCSC")</f>
        <v>UCSC</v>
      </c>
      <c r="E11413" s="1" t="str">
        <f>HYPERLINK("http://www.ncbi.nlm.nih.gov/gene/?term=DDX47","NCBI")</f>
        <v>NCBI</v>
      </c>
      <c r="F11413">
        <v>0.28999999999999998</v>
      </c>
      <c r="G11413">
        <v>0.43</v>
      </c>
      <c r="H11413" s="1" t="str">
        <f>HYPERLINK("http://www.weizmann.ac.il/complex/compphys/software/geview/data/figures/220890_s_at.png","Figure")</f>
        <v>Figure</v>
      </c>
      <c r="I11413">
        <v>1.1499999999999999</v>
      </c>
      <c r="J11413">
        <v>0.8</v>
      </c>
      <c r="K11413">
        <v>0.83199999999999996</v>
      </c>
      <c r="L11413">
        <v>0.6</v>
      </c>
      <c r="M11413">
        <v>0.72599999999999998</v>
      </c>
      <c r="N11413">
        <v>0.28000000000000003</v>
      </c>
    </row>
    <row r="11414" spans="1:14" x14ac:dyDescent="0.25">
      <c r="A11414" t="s">
        <v>19752</v>
      </c>
      <c r="B11414" t="s">
        <v>19753</v>
      </c>
      <c r="C11414" s="1" t="str">
        <f>HYPERLINK("http://www.genecards.org/cgi-bin/carddisp.pl?gene=MAP3K2","GeneCards")</f>
        <v>GeneCards</v>
      </c>
      <c r="D11414" s="1" t="str">
        <f>HYPERLINK("http://genome-euro.ucsc.edu/cgi-bin/hgTracks?position=221695_s_at","UCSC")</f>
        <v>UCSC</v>
      </c>
      <c r="E11414" s="1" t="str">
        <f>HYPERLINK("http://www.ncbi.nlm.nih.gov/gene/?term=MAP3K2","NCBI")</f>
        <v>NCBI</v>
      </c>
      <c r="F11414">
        <v>0.28999999999999998</v>
      </c>
      <c r="G11414">
        <v>0.43</v>
      </c>
      <c r="H11414" s="1" t="str">
        <f>HYPERLINK("http://www.weizmann.ac.il/complex/compphys/software/geview/data/figures/221695_s_at.png","Figure")</f>
        <v>Figure</v>
      </c>
      <c r="I11414">
        <v>0.98</v>
      </c>
      <c r="J11414">
        <v>0.98</v>
      </c>
      <c r="K11414">
        <v>0.85799999999999998</v>
      </c>
      <c r="L11414">
        <v>0.32</v>
      </c>
      <c r="M11414">
        <v>0.875</v>
      </c>
      <c r="N11414">
        <v>0.46</v>
      </c>
    </row>
    <row r="11415" spans="1:14" x14ac:dyDescent="0.25">
      <c r="A11415" t="s">
        <v>19754</v>
      </c>
      <c r="B11415" t="s">
        <v>19755</v>
      </c>
      <c r="C11415" s="1" t="str">
        <f>HYPERLINK("http://www.genecards.org/cgi-bin/carddisp.pl?gene=GCN1L1","GeneCards")</f>
        <v>GeneCards</v>
      </c>
      <c r="D11415" s="1" t="str">
        <f>HYPERLINK("http://genome-euro.ucsc.edu/cgi-bin/hgTracks?position=212139_at","UCSC")</f>
        <v>UCSC</v>
      </c>
      <c r="E11415" s="1" t="str">
        <f>HYPERLINK("http://www.ncbi.nlm.nih.gov/gene/?term=GCN1L1","NCBI")</f>
        <v>NCBI</v>
      </c>
      <c r="F11415">
        <v>0.28999999999999998</v>
      </c>
      <c r="G11415">
        <v>0.43</v>
      </c>
      <c r="H11415" s="1" t="str">
        <f>HYPERLINK("http://www.weizmann.ac.il/complex/compphys/software/geview/data/figures/212139_at.png","Figure")</f>
        <v>Figure</v>
      </c>
      <c r="I11415">
        <v>0.86499999999999999</v>
      </c>
      <c r="J11415">
        <v>0.34</v>
      </c>
      <c r="K11415">
        <v>0.88600000000000001</v>
      </c>
      <c r="L11415">
        <v>0.37</v>
      </c>
      <c r="M11415">
        <v>1.02</v>
      </c>
      <c r="N11415">
        <v>0.96</v>
      </c>
    </row>
    <row r="11416" spans="1:14" x14ac:dyDescent="0.25">
      <c r="A11416" t="s">
        <v>19756</v>
      </c>
      <c r="B11416" t="s">
        <v>19757</v>
      </c>
      <c r="C11416" s="1" t="str">
        <f>HYPERLINK("http://www.genecards.org/cgi-bin/carddisp.pl?gene=TRIM52","GeneCards")</f>
        <v>GeneCards</v>
      </c>
      <c r="D11416" s="1" t="str">
        <f>HYPERLINK("http://genome-euro.ucsc.edu/cgi-bin/hgTracks?position=221897_at","UCSC")</f>
        <v>UCSC</v>
      </c>
      <c r="E11416" s="1" t="str">
        <f>HYPERLINK("http://www.ncbi.nlm.nih.gov/gene/?term=TRIM52","NCBI")</f>
        <v>NCBI</v>
      </c>
      <c r="F11416">
        <v>0.28999999999999998</v>
      </c>
      <c r="G11416">
        <v>0.43</v>
      </c>
      <c r="H11416" s="1" t="str">
        <f>HYPERLINK("http://www.weizmann.ac.il/complex/compphys/software/geview/data/figures/221897_at.png","Figure")</f>
        <v>Figure</v>
      </c>
      <c r="I11416">
        <v>0.91</v>
      </c>
      <c r="J11416">
        <v>0.52</v>
      </c>
      <c r="K11416">
        <v>0.88800000000000001</v>
      </c>
      <c r="L11416">
        <v>0.28000000000000003</v>
      </c>
      <c r="M11416">
        <v>0.97599999999999998</v>
      </c>
      <c r="N11416">
        <v>0.95</v>
      </c>
    </row>
    <row r="11417" spans="1:14" x14ac:dyDescent="0.25">
      <c r="A11417" t="s">
        <v>19758</v>
      </c>
      <c r="B11417" t="s">
        <v>19759</v>
      </c>
      <c r="C11417" s="1" t="str">
        <f>HYPERLINK("http://www.genecards.org/cgi-bin/carddisp.pl?gene=VPS33A","GeneCards")</f>
        <v>GeneCards</v>
      </c>
      <c r="D11417" s="1" t="str">
        <f>HYPERLINK("http://genome-euro.ucsc.edu/cgi-bin/hgTracks?position=204590_x_at","UCSC")</f>
        <v>UCSC</v>
      </c>
      <c r="E11417" s="1" t="str">
        <f>HYPERLINK("http://www.ncbi.nlm.nih.gov/gene/?term=VPS33A","NCBI")</f>
        <v>NCBI</v>
      </c>
      <c r="F11417">
        <v>0.28999999999999998</v>
      </c>
      <c r="G11417">
        <v>0.43</v>
      </c>
      <c r="H11417" s="1" t="str">
        <f>HYPERLINK("http://www.weizmann.ac.il/complex/compphys/software/geview/data/figures/204590_x_at.png","Figure")</f>
        <v>Figure</v>
      </c>
      <c r="I11417">
        <v>1.04</v>
      </c>
      <c r="J11417">
        <v>0.47</v>
      </c>
      <c r="K11417">
        <v>1.05</v>
      </c>
      <c r="L11417">
        <v>0.28999999999999998</v>
      </c>
      <c r="M11417">
        <v>1.01</v>
      </c>
      <c r="N11417">
        <v>0.98</v>
      </c>
    </row>
    <row r="11418" spans="1:14" x14ac:dyDescent="0.25">
      <c r="A11418" t="s">
        <v>19760</v>
      </c>
      <c r="B11418" t="s">
        <v>19761</v>
      </c>
      <c r="C11418" s="1" t="str">
        <f>HYPERLINK("http://www.genecards.org/cgi-bin/carddisp.pl?gene=MIPEP","GeneCards")</f>
        <v>GeneCards</v>
      </c>
      <c r="D11418" s="1" t="str">
        <f>HYPERLINK("http://genome-euro.ucsc.edu/cgi-bin/hgTracks?position=204305_at","UCSC")</f>
        <v>UCSC</v>
      </c>
      <c r="E11418" s="1" t="str">
        <f>HYPERLINK("http://www.ncbi.nlm.nih.gov/gene/?term=MIPEP","NCBI")</f>
        <v>NCBI</v>
      </c>
      <c r="F11418">
        <v>0.28999999999999998</v>
      </c>
      <c r="G11418">
        <v>0.43</v>
      </c>
      <c r="H11418" s="1" t="str">
        <f>HYPERLINK("http://www.weizmann.ac.il/complex/compphys/software/geview/data/figures/204305_at.png","Figure")</f>
        <v>Figure</v>
      </c>
      <c r="I11418">
        <v>0.97099999999999997</v>
      </c>
      <c r="J11418">
        <v>0.83</v>
      </c>
      <c r="K11418">
        <v>1.05</v>
      </c>
      <c r="L11418">
        <v>0.56999999999999995</v>
      </c>
      <c r="M11418">
        <v>1.08</v>
      </c>
      <c r="N11418">
        <v>0.28999999999999998</v>
      </c>
    </row>
    <row r="11419" spans="1:14" x14ac:dyDescent="0.25">
      <c r="A11419" t="s">
        <v>19762</v>
      </c>
      <c r="B11419" t="s">
        <v>19763</v>
      </c>
      <c r="C11419" s="1" t="str">
        <f>HYPERLINK("http://www.genecards.org/cgi-bin/carddisp.pl?gene=TEX10","GeneCards")</f>
        <v>GeneCards</v>
      </c>
      <c r="D11419" s="1" t="str">
        <f>HYPERLINK("http://genome-euro.ucsc.edu/cgi-bin/hgTracks?position=218104_at","UCSC")</f>
        <v>UCSC</v>
      </c>
      <c r="E11419" s="1" t="str">
        <f>HYPERLINK("http://www.ncbi.nlm.nih.gov/gene/?term=TEX10","NCBI")</f>
        <v>NCBI</v>
      </c>
      <c r="F11419">
        <v>0.28999999999999998</v>
      </c>
      <c r="G11419">
        <v>0.43</v>
      </c>
      <c r="H11419" s="1" t="str">
        <f>HYPERLINK("http://www.weizmann.ac.il/complex/compphys/software/geview/data/figures/218104_at.png","Figure")</f>
        <v>Figure</v>
      </c>
      <c r="I11419">
        <v>1.3</v>
      </c>
      <c r="J11419">
        <v>0.36</v>
      </c>
      <c r="K11419">
        <v>1.26</v>
      </c>
      <c r="L11419">
        <v>0.35</v>
      </c>
      <c r="M11419">
        <v>0.96899999999999997</v>
      </c>
      <c r="N11419">
        <v>0.98</v>
      </c>
    </row>
    <row r="11420" spans="1:14" x14ac:dyDescent="0.25">
      <c r="A11420" t="s">
        <v>19764</v>
      </c>
      <c r="B11420" t="s">
        <v>8217</v>
      </c>
      <c r="C11420" s="1" t="str">
        <f>HYPERLINK("http://www.genecards.org/cgi-bin/carddisp.pl?gene=RECQL5","GeneCards")</f>
        <v>GeneCards</v>
      </c>
      <c r="D11420" s="1" t="str">
        <f>HYPERLINK("http://genome-euro.ucsc.edu/cgi-bin/hgTracks?position=210309_at","UCSC")</f>
        <v>UCSC</v>
      </c>
      <c r="E11420" s="1" t="str">
        <f>HYPERLINK("http://www.ncbi.nlm.nih.gov/gene/?term=RECQL5","NCBI")</f>
        <v>NCBI</v>
      </c>
      <c r="F11420">
        <v>0.28999999999999998</v>
      </c>
      <c r="G11420">
        <v>0.43</v>
      </c>
      <c r="H11420" s="1" t="str">
        <f>HYPERLINK("http://www.weizmann.ac.il/complex/compphys/software/geview/data/figures/210309_at.png","Figure")</f>
        <v>Figure</v>
      </c>
      <c r="I11420">
        <v>1.1399999999999999</v>
      </c>
      <c r="J11420">
        <v>0.26</v>
      </c>
      <c r="K11420">
        <v>1.06</v>
      </c>
      <c r="L11420">
        <v>0.7</v>
      </c>
      <c r="M11420">
        <v>0.92800000000000005</v>
      </c>
      <c r="N11420">
        <v>0.59</v>
      </c>
    </row>
    <row r="11421" spans="1:14" x14ac:dyDescent="0.25">
      <c r="A11421" t="s">
        <v>19765</v>
      </c>
      <c r="B11421" t="s">
        <v>14208</v>
      </c>
      <c r="C11421" s="1" t="str">
        <f>HYPERLINK("http://www.genecards.org/cgi-bin/carddisp.pl?gene=RRBP1","GeneCards")</f>
        <v>GeneCards</v>
      </c>
      <c r="D11421" s="1" t="str">
        <f>HYPERLINK("http://genome-euro.ucsc.edu/cgi-bin/hgTracks?position=213973_at","UCSC")</f>
        <v>UCSC</v>
      </c>
      <c r="E11421" s="1" t="str">
        <f>HYPERLINK("http://www.ncbi.nlm.nih.gov/gene/?term=RRBP1","NCBI")</f>
        <v>NCBI</v>
      </c>
      <c r="F11421">
        <v>0.28999999999999998</v>
      </c>
      <c r="G11421">
        <v>0.43</v>
      </c>
      <c r="H11421" s="1" t="str">
        <f>HYPERLINK("http://www.weizmann.ac.il/complex/compphys/software/geview/data/figures/213973_at.png","Figure")</f>
        <v>Figure</v>
      </c>
      <c r="I11421">
        <v>0.98299999999999998</v>
      </c>
      <c r="J11421">
        <v>0.98</v>
      </c>
      <c r="K11421">
        <v>0.89600000000000002</v>
      </c>
      <c r="L11421">
        <v>0.32</v>
      </c>
      <c r="M11421">
        <v>0.91100000000000003</v>
      </c>
      <c r="N11421">
        <v>0.48</v>
      </c>
    </row>
    <row r="11422" spans="1:14" x14ac:dyDescent="0.25">
      <c r="A11422" t="s">
        <v>19766</v>
      </c>
      <c r="B11422" t="s">
        <v>4194</v>
      </c>
      <c r="C11422" s="1" t="str">
        <f>HYPERLINK("http://www.genecards.org/cgi-bin/carddisp.pl?gene=G3BP1","GeneCards")</f>
        <v>GeneCards</v>
      </c>
      <c r="D11422" s="1" t="str">
        <f>HYPERLINK("http://genome-euro.ucsc.edu/cgi-bin/hgTracks?position=201514_s_at","UCSC")</f>
        <v>UCSC</v>
      </c>
      <c r="E11422" s="1" t="str">
        <f>HYPERLINK("http://www.ncbi.nlm.nih.gov/gene/?term=G3BP1","NCBI")</f>
        <v>NCBI</v>
      </c>
      <c r="F11422">
        <v>0.28999999999999998</v>
      </c>
      <c r="G11422">
        <v>0.43</v>
      </c>
      <c r="H11422" s="1" t="str">
        <f>HYPERLINK("http://www.weizmann.ac.il/complex/compphys/software/geview/data/figures/201514_s_at.png","Figure")</f>
        <v>Figure</v>
      </c>
      <c r="I11422">
        <v>1.1399999999999999</v>
      </c>
      <c r="J11422">
        <v>0.47</v>
      </c>
      <c r="K11422">
        <v>1.1599999999999999</v>
      </c>
      <c r="L11422">
        <v>0.28999999999999998</v>
      </c>
      <c r="M11422">
        <v>1.02</v>
      </c>
      <c r="N11422">
        <v>0.98</v>
      </c>
    </row>
    <row r="11423" spans="1:14" x14ac:dyDescent="0.25">
      <c r="A11423" t="s">
        <v>19767</v>
      </c>
      <c r="B11423" t="s">
        <v>12493</v>
      </c>
      <c r="C11423" s="1" t="str">
        <f>HYPERLINK("http://www.genecards.org/cgi-bin/carddisp.pl?gene=ARIH1","GeneCards")</f>
        <v>GeneCards</v>
      </c>
      <c r="D11423" s="1" t="str">
        <f>HYPERLINK("http://genome-euro.ucsc.edu/cgi-bin/hgTracks?position=201880_at","UCSC")</f>
        <v>UCSC</v>
      </c>
      <c r="E11423" s="1" t="str">
        <f>HYPERLINK("http://www.ncbi.nlm.nih.gov/gene/?term=ARIH1","NCBI")</f>
        <v>NCBI</v>
      </c>
      <c r="F11423">
        <v>0.28999999999999998</v>
      </c>
      <c r="G11423">
        <v>0.43</v>
      </c>
      <c r="H11423" s="1" t="str">
        <f>HYPERLINK("http://www.weizmann.ac.il/complex/compphys/software/geview/data/figures/201880_at.png","Figure")</f>
        <v>Figure</v>
      </c>
      <c r="I11423">
        <v>0.72099999999999997</v>
      </c>
      <c r="J11423">
        <v>0.45</v>
      </c>
      <c r="K11423">
        <v>0.69699999999999995</v>
      </c>
      <c r="L11423">
        <v>0.28999999999999998</v>
      </c>
      <c r="M11423">
        <v>0.96599999999999997</v>
      </c>
      <c r="N11423">
        <v>0.99</v>
      </c>
    </row>
    <row r="11424" spans="1:14" x14ac:dyDescent="0.25">
      <c r="A11424" t="s">
        <v>19768</v>
      </c>
      <c r="B11424" t="s">
        <v>15765</v>
      </c>
      <c r="C11424" s="1" t="str">
        <f>HYPERLINK("http://www.genecards.org/cgi-bin/carddisp.pl?gene=ERCC1","GeneCards")</f>
        <v>GeneCards</v>
      </c>
      <c r="D11424" s="1" t="str">
        <f>HYPERLINK("http://genome-euro.ucsc.edu/cgi-bin/hgTracks?position=203720_s_at","UCSC")</f>
        <v>UCSC</v>
      </c>
      <c r="E11424" s="1" t="str">
        <f>HYPERLINK("http://www.ncbi.nlm.nih.gov/gene/?term=ERCC1","NCBI")</f>
        <v>NCBI</v>
      </c>
      <c r="F11424">
        <v>0.28999999999999998</v>
      </c>
      <c r="G11424">
        <v>0.43</v>
      </c>
      <c r="H11424" s="1" t="str">
        <f>HYPERLINK("http://www.weizmann.ac.il/complex/compphys/software/geview/data/figures/203720_s_at.png","Figure")</f>
        <v>Figure</v>
      </c>
      <c r="I11424">
        <v>1.1100000000000001</v>
      </c>
      <c r="J11424">
        <v>0.83</v>
      </c>
      <c r="K11424">
        <v>1.28</v>
      </c>
      <c r="L11424">
        <v>0.27</v>
      </c>
      <c r="M11424">
        <v>1.1599999999999999</v>
      </c>
      <c r="N11424">
        <v>0.66</v>
      </c>
    </row>
    <row r="11425" spans="1:14" x14ac:dyDescent="0.25">
      <c r="A11425" t="s">
        <v>19769</v>
      </c>
      <c r="B11425" t="s">
        <v>3403</v>
      </c>
      <c r="C11425" s="1" t="str">
        <f>HYPERLINK("http://www.genecards.org/cgi-bin/carddisp.pl?gene=PSMD11","GeneCards")</f>
        <v>GeneCards</v>
      </c>
      <c r="D11425" s="1" t="str">
        <f>HYPERLINK("http://genome-euro.ucsc.edu/cgi-bin/hgTracks?position=208777_s_at","UCSC")</f>
        <v>UCSC</v>
      </c>
      <c r="E11425" s="1" t="str">
        <f>HYPERLINK("http://www.ncbi.nlm.nih.gov/gene/?term=PSMD11","NCBI")</f>
        <v>NCBI</v>
      </c>
      <c r="F11425">
        <v>0.28999999999999998</v>
      </c>
      <c r="G11425">
        <v>0.43</v>
      </c>
      <c r="H11425" s="1" t="str">
        <f>HYPERLINK("http://www.weizmann.ac.il/complex/compphys/software/geview/data/figures/208777_s_at.png","Figure")</f>
        <v>Figure</v>
      </c>
      <c r="I11425">
        <v>1.07</v>
      </c>
      <c r="J11425">
        <v>0.88</v>
      </c>
      <c r="K11425">
        <v>0.875</v>
      </c>
      <c r="L11425">
        <v>0.53</v>
      </c>
      <c r="M11425">
        <v>0.81699999999999995</v>
      </c>
      <c r="N11425">
        <v>0.3</v>
      </c>
    </row>
    <row r="11426" spans="1:14" x14ac:dyDescent="0.25">
      <c r="A11426" t="s">
        <v>19770</v>
      </c>
      <c r="B11426" t="s">
        <v>19771</v>
      </c>
      <c r="C11426" s="1" t="str">
        <f>HYPERLINK("http://www.genecards.org/cgi-bin/carddisp.pl?gene=KBTBD4","GeneCards")</f>
        <v>GeneCards</v>
      </c>
      <c r="D11426" s="1" t="str">
        <f>HYPERLINK("http://genome-euro.ucsc.edu/cgi-bin/hgTracks?position=218569_s_at","UCSC")</f>
        <v>UCSC</v>
      </c>
      <c r="E11426" s="1" t="str">
        <f>HYPERLINK("http://www.ncbi.nlm.nih.gov/gene/?term=KBTBD4","NCBI")</f>
        <v>NCBI</v>
      </c>
      <c r="F11426">
        <v>0.28999999999999998</v>
      </c>
      <c r="G11426">
        <v>0.43</v>
      </c>
      <c r="H11426" s="1" t="str">
        <f>HYPERLINK("http://www.weizmann.ac.il/complex/compphys/software/geview/data/figures/218569_s_at.png","Figure")</f>
        <v>Figure</v>
      </c>
      <c r="I11426">
        <v>0.92600000000000005</v>
      </c>
      <c r="J11426">
        <v>0.79</v>
      </c>
      <c r="K11426">
        <v>0.84799999999999998</v>
      </c>
      <c r="L11426">
        <v>0.27</v>
      </c>
      <c r="M11426">
        <v>0.91600000000000004</v>
      </c>
      <c r="N11426">
        <v>0.7</v>
      </c>
    </row>
    <row r="11427" spans="1:14" x14ac:dyDescent="0.25">
      <c r="A11427" t="s">
        <v>19772</v>
      </c>
      <c r="B11427" t="s">
        <v>19773</v>
      </c>
      <c r="C11427" s="1" t="str">
        <f>HYPERLINK("http://www.genecards.org/cgi-bin/carddisp.pl?gene=DFFA","GeneCards")</f>
        <v>GeneCards</v>
      </c>
      <c r="D11427" s="1" t="str">
        <f>HYPERLINK("http://genome-euro.ucsc.edu/cgi-bin/hgTracks?position=203277_at","UCSC")</f>
        <v>UCSC</v>
      </c>
      <c r="E11427" s="1" t="str">
        <f>HYPERLINK("http://www.ncbi.nlm.nih.gov/gene/?term=DFFA","NCBI")</f>
        <v>NCBI</v>
      </c>
      <c r="F11427">
        <v>0.28999999999999998</v>
      </c>
      <c r="G11427">
        <v>0.43</v>
      </c>
      <c r="H11427" s="1" t="str">
        <f>HYPERLINK("http://www.weizmann.ac.il/complex/compphys/software/geview/data/figures/203277_at.png","Figure")</f>
        <v>Figure</v>
      </c>
      <c r="I11427">
        <v>0.90700000000000003</v>
      </c>
      <c r="J11427">
        <v>0.54</v>
      </c>
      <c r="K11427">
        <v>1.04</v>
      </c>
      <c r="L11427">
        <v>0.87</v>
      </c>
      <c r="M11427">
        <v>1.1499999999999999</v>
      </c>
      <c r="N11427">
        <v>0.26</v>
      </c>
    </row>
    <row r="11428" spans="1:14" x14ac:dyDescent="0.25">
      <c r="A11428" t="s">
        <v>19774</v>
      </c>
      <c r="B11428" t="s">
        <v>563</v>
      </c>
      <c r="C11428" s="1" t="str">
        <f>HYPERLINK("http://www.genecards.org/cgi-bin/carddisp.pl?gene=CALD1","GeneCards")</f>
        <v>GeneCards</v>
      </c>
      <c r="D11428" s="1" t="str">
        <f>HYPERLINK("http://genome-euro.ucsc.edu/cgi-bin/hgTracks?position=215199_at","UCSC")</f>
        <v>UCSC</v>
      </c>
      <c r="E11428" s="1" t="str">
        <f>HYPERLINK("http://www.ncbi.nlm.nih.gov/gene/?term=CALD1","NCBI")</f>
        <v>NCBI</v>
      </c>
      <c r="F11428">
        <v>0.28999999999999998</v>
      </c>
      <c r="G11428">
        <v>0.43</v>
      </c>
      <c r="H11428" s="1" t="str">
        <f>HYPERLINK("http://www.weizmann.ac.il/complex/compphys/software/geview/data/figures/215199_at.png","Figure")</f>
        <v>Figure</v>
      </c>
      <c r="I11428">
        <v>1.02</v>
      </c>
      <c r="J11428">
        <v>0.78</v>
      </c>
      <c r="K11428">
        <v>0.97299999999999998</v>
      </c>
      <c r="L11428">
        <v>0.62</v>
      </c>
      <c r="M11428">
        <v>0.95199999999999996</v>
      </c>
      <c r="N11428">
        <v>0.28000000000000003</v>
      </c>
    </row>
    <row r="11429" spans="1:14" x14ac:dyDescent="0.25">
      <c r="A11429" t="s">
        <v>19775</v>
      </c>
      <c r="B11429" t="s">
        <v>6174</v>
      </c>
      <c r="C11429" s="1" t="str">
        <f>HYPERLINK("http://www.genecards.org/cgi-bin/carddisp.pl?gene=GOLGB1","GeneCards")</f>
        <v>GeneCards</v>
      </c>
      <c r="D11429" s="1" t="str">
        <f>HYPERLINK("http://genome-euro.ucsc.edu/cgi-bin/hgTracks?position=201056_at","UCSC")</f>
        <v>UCSC</v>
      </c>
      <c r="E11429" s="1" t="str">
        <f>HYPERLINK("http://www.ncbi.nlm.nih.gov/gene/?term=GOLGB1","NCBI")</f>
        <v>NCBI</v>
      </c>
      <c r="F11429">
        <v>0.28999999999999998</v>
      </c>
      <c r="G11429">
        <v>0.43</v>
      </c>
      <c r="H11429" s="1" t="str">
        <f>HYPERLINK("http://www.weizmann.ac.il/complex/compphys/software/geview/data/figures/201056_at.png","Figure")</f>
        <v>Figure</v>
      </c>
      <c r="I11429">
        <v>0.878</v>
      </c>
      <c r="J11429">
        <v>0.72</v>
      </c>
      <c r="K11429">
        <v>0.78900000000000003</v>
      </c>
      <c r="L11429">
        <v>0.26</v>
      </c>
      <c r="M11429">
        <v>0.89900000000000002</v>
      </c>
      <c r="N11429">
        <v>0.77</v>
      </c>
    </row>
    <row r="11430" spans="1:14" x14ac:dyDescent="0.25">
      <c r="A11430" t="s">
        <v>19776</v>
      </c>
      <c r="B11430" t="s">
        <v>19777</v>
      </c>
      <c r="C11430" s="1" t="str">
        <f>HYPERLINK("http://www.genecards.org/cgi-bin/carddisp.pl?gene=KLRD1","GeneCards")</f>
        <v>GeneCards</v>
      </c>
      <c r="D11430" s="1" t="str">
        <f>HYPERLINK("http://genome-euro.ucsc.edu/cgi-bin/hgTracks?position=210606_x_at","UCSC")</f>
        <v>UCSC</v>
      </c>
      <c r="E11430" s="1" t="str">
        <f>HYPERLINK("http://www.ncbi.nlm.nih.gov/gene/?term=KLRD1","NCBI")</f>
        <v>NCBI</v>
      </c>
      <c r="F11430">
        <v>0.28999999999999998</v>
      </c>
      <c r="G11430">
        <v>0.43</v>
      </c>
      <c r="H11430" s="1" t="str">
        <f>HYPERLINK("http://www.weizmann.ac.il/complex/compphys/software/geview/data/figures/210606_x_at.png","Figure")</f>
        <v>Figure</v>
      </c>
      <c r="I11430">
        <v>0.89600000000000002</v>
      </c>
      <c r="J11430">
        <v>0.78</v>
      </c>
      <c r="K11430">
        <v>0.79600000000000004</v>
      </c>
      <c r="L11430">
        <v>0.27</v>
      </c>
      <c r="M11430">
        <v>0.88800000000000001</v>
      </c>
      <c r="N11430">
        <v>0.71</v>
      </c>
    </row>
    <row r="11431" spans="1:14" x14ac:dyDescent="0.25">
      <c r="A11431" t="s">
        <v>19778</v>
      </c>
      <c r="B11431" t="s">
        <v>19779</v>
      </c>
      <c r="C11431" s="1" t="str">
        <f>HYPERLINK("http://www.genecards.org/cgi-bin/carddisp.pl?gene=ZNF506","GeneCards")</f>
        <v>GeneCards</v>
      </c>
      <c r="D11431" s="1" t="str">
        <f>HYPERLINK("http://genome-euro.ucsc.edu/cgi-bin/hgTracks?position=221626_at","UCSC")</f>
        <v>UCSC</v>
      </c>
      <c r="E11431" s="1" t="str">
        <f>HYPERLINK("http://www.ncbi.nlm.nih.gov/gene/?term=ZNF506","NCBI")</f>
        <v>NCBI</v>
      </c>
      <c r="F11431">
        <v>0.28999999999999998</v>
      </c>
      <c r="G11431">
        <v>0.43</v>
      </c>
      <c r="H11431" s="1" t="str">
        <f>HYPERLINK("http://www.weizmann.ac.il/complex/compphys/software/geview/data/figures/221626_at.png","Figure")</f>
        <v>Figure</v>
      </c>
      <c r="I11431">
        <v>0.88500000000000001</v>
      </c>
      <c r="J11431">
        <v>0.49</v>
      </c>
      <c r="K11431">
        <v>0.86599999999999999</v>
      </c>
      <c r="L11431">
        <v>0.28000000000000003</v>
      </c>
      <c r="M11431">
        <v>0.97799999999999998</v>
      </c>
      <c r="N11431">
        <v>0.97</v>
      </c>
    </row>
    <row r="11432" spans="1:14" x14ac:dyDescent="0.25">
      <c r="A11432" t="s">
        <v>19780</v>
      </c>
      <c r="B11432" t="s">
        <v>13273</v>
      </c>
      <c r="C11432" s="1" t="str">
        <f>HYPERLINK("http://www.genecards.org/cgi-bin/carddisp.pl?gene=SQLE","GeneCards")</f>
        <v>GeneCards</v>
      </c>
      <c r="D11432" s="1" t="str">
        <f>HYPERLINK("http://genome-euro.ucsc.edu/cgi-bin/hgTracks?position=209218_at","UCSC")</f>
        <v>UCSC</v>
      </c>
      <c r="E11432" s="1" t="str">
        <f>HYPERLINK("http://www.ncbi.nlm.nih.gov/gene/?term=SQLE","NCBI")</f>
        <v>NCBI</v>
      </c>
      <c r="F11432">
        <v>0.28999999999999998</v>
      </c>
      <c r="G11432">
        <v>0.43</v>
      </c>
      <c r="H11432" s="1" t="str">
        <f>HYPERLINK("http://www.weizmann.ac.il/complex/compphys/software/geview/data/figures/209218_at.png","Figure")</f>
        <v>Figure</v>
      </c>
      <c r="I11432">
        <v>0.74399999999999999</v>
      </c>
      <c r="J11432">
        <v>0.4</v>
      </c>
      <c r="K11432">
        <v>1.03</v>
      </c>
      <c r="L11432">
        <v>0.99</v>
      </c>
      <c r="M11432">
        <v>1.38</v>
      </c>
      <c r="N11432">
        <v>0.28999999999999998</v>
      </c>
    </row>
    <row r="11433" spans="1:14" x14ac:dyDescent="0.25">
      <c r="A11433" t="s">
        <v>19781</v>
      </c>
      <c r="B11433" t="s">
        <v>5061</v>
      </c>
      <c r="C11433" s="1" t="str">
        <f>HYPERLINK("http://www.genecards.org/cgi-bin/carddisp.pl?gene=FARS2","GeneCards")</f>
        <v>GeneCards</v>
      </c>
      <c r="D11433" s="1" t="str">
        <f>HYPERLINK("http://genome-euro.ucsc.edu/cgi-bin/hgTracks?position=204283_at","UCSC")</f>
        <v>UCSC</v>
      </c>
      <c r="E11433" s="1" t="str">
        <f>HYPERLINK("http://www.ncbi.nlm.nih.gov/gene/?term=FARS2","NCBI")</f>
        <v>NCBI</v>
      </c>
      <c r="F11433">
        <v>0.28999999999999998</v>
      </c>
      <c r="G11433">
        <v>0.43</v>
      </c>
      <c r="H11433" s="1" t="str">
        <f>HYPERLINK("http://www.weizmann.ac.il/complex/compphys/software/geview/data/figures/204283_at.png","Figure")</f>
        <v>Figure</v>
      </c>
      <c r="I11433">
        <v>0.88800000000000001</v>
      </c>
      <c r="J11433">
        <v>0.56000000000000005</v>
      </c>
      <c r="K11433">
        <v>1.06</v>
      </c>
      <c r="L11433">
        <v>0.85</v>
      </c>
      <c r="M11433">
        <v>1.19</v>
      </c>
      <c r="N11433">
        <v>0.26</v>
      </c>
    </row>
    <row r="11434" spans="1:14" x14ac:dyDescent="0.25">
      <c r="A11434" t="s">
        <v>19782</v>
      </c>
      <c r="B11434" t="s">
        <v>19783</v>
      </c>
      <c r="C11434" s="1" t="str">
        <f>HYPERLINK("http://www.genecards.org/cgi-bin/carddisp.pl?gene=C7orf44","GeneCards")</f>
        <v>GeneCards</v>
      </c>
      <c r="D11434" s="1" t="str">
        <f>HYPERLINK("http://genome-euro.ucsc.edu/cgi-bin/hgTracks?position=209445_x_at","UCSC")</f>
        <v>UCSC</v>
      </c>
      <c r="E11434" s="1" t="str">
        <f>HYPERLINK("http://www.ncbi.nlm.nih.gov/gene/?term=C7orf44","NCBI")</f>
        <v>NCBI</v>
      </c>
      <c r="F11434">
        <v>0.28999999999999998</v>
      </c>
      <c r="G11434">
        <v>0.43</v>
      </c>
      <c r="H11434" s="1" t="str">
        <f>HYPERLINK("http://www.weizmann.ac.il/complex/compphys/software/geview/data/figures/209445_x_at.png","Figure")</f>
        <v>Figure</v>
      </c>
      <c r="I11434">
        <v>1.1399999999999999</v>
      </c>
      <c r="J11434">
        <v>0.48</v>
      </c>
      <c r="K11434">
        <v>1.17</v>
      </c>
      <c r="L11434">
        <v>0.28999999999999998</v>
      </c>
      <c r="M11434">
        <v>1.02</v>
      </c>
      <c r="N11434">
        <v>0.97</v>
      </c>
    </row>
    <row r="11435" spans="1:14" x14ac:dyDescent="0.25">
      <c r="A11435" t="s">
        <v>19784</v>
      </c>
      <c r="B11435" t="s">
        <v>19785</v>
      </c>
      <c r="C11435" s="1" t="str">
        <f>HYPERLINK("http://www.genecards.org/cgi-bin/carddisp.pl?gene=NCKAP1L","GeneCards")</f>
        <v>GeneCards</v>
      </c>
      <c r="D11435" s="1" t="str">
        <f>HYPERLINK("http://genome-euro.ucsc.edu/cgi-bin/hgTracks?position=209734_at","UCSC")</f>
        <v>UCSC</v>
      </c>
      <c r="E11435" s="1" t="str">
        <f>HYPERLINK("http://www.ncbi.nlm.nih.gov/gene/?term=NCKAP1L","NCBI")</f>
        <v>NCBI</v>
      </c>
      <c r="F11435">
        <v>0.28999999999999998</v>
      </c>
      <c r="G11435">
        <v>0.43</v>
      </c>
      <c r="H11435" s="1" t="str">
        <f>HYPERLINK("http://www.weizmann.ac.il/complex/compphys/software/geview/data/figures/209734_at.png","Figure")</f>
        <v>Figure</v>
      </c>
      <c r="I11435">
        <v>1.06</v>
      </c>
      <c r="J11435">
        <v>0.9</v>
      </c>
      <c r="K11435">
        <v>1.21</v>
      </c>
      <c r="L11435">
        <v>0.28000000000000003</v>
      </c>
      <c r="M11435">
        <v>1.1299999999999999</v>
      </c>
      <c r="N11435">
        <v>0.59</v>
      </c>
    </row>
    <row r="11436" spans="1:14" x14ac:dyDescent="0.25">
      <c r="A11436" t="s">
        <v>19786</v>
      </c>
      <c r="B11436" t="s">
        <v>6312</v>
      </c>
      <c r="C11436" s="1" t="str">
        <f>HYPERLINK("http://www.genecards.org/cgi-bin/carddisp.pl?gene=CREM","GeneCards")</f>
        <v>GeneCards</v>
      </c>
      <c r="D11436" s="1" t="str">
        <f>HYPERLINK("http://genome-euro.ucsc.edu/cgi-bin/hgTracks?position=209967_s_at","UCSC")</f>
        <v>UCSC</v>
      </c>
      <c r="E11436" s="1" t="str">
        <f>HYPERLINK("http://www.ncbi.nlm.nih.gov/gene/?term=CREM","NCBI")</f>
        <v>NCBI</v>
      </c>
      <c r="F11436">
        <v>0.28999999999999998</v>
      </c>
      <c r="G11436">
        <v>0.44</v>
      </c>
      <c r="H11436" s="1" t="str">
        <f>HYPERLINK("http://www.weizmann.ac.il/complex/compphys/software/geview/data/figures/209967_s_at.png","Figure")</f>
        <v>Figure</v>
      </c>
      <c r="I11436">
        <v>0.81799999999999995</v>
      </c>
      <c r="J11436">
        <v>0.27</v>
      </c>
      <c r="K11436">
        <v>0.89100000000000001</v>
      </c>
      <c r="L11436">
        <v>0.55000000000000004</v>
      </c>
      <c r="M11436">
        <v>1.0900000000000001</v>
      </c>
      <c r="N11436">
        <v>0.74</v>
      </c>
    </row>
    <row r="11437" spans="1:14" x14ac:dyDescent="0.25">
      <c r="A11437" t="s">
        <v>19787</v>
      </c>
      <c r="B11437" t="s">
        <v>19788</v>
      </c>
      <c r="C11437" s="1" t="str">
        <f>HYPERLINK("http://www.genecards.org/cgi-bin/carddisp.pl?gene=CD86","GeneCards")</f>
        <v>GeneCards</v>
      </c>
      <c r="D11437" s="1" t="str">
        <f>HYPERLINK("http://genome-euro.ucsc.edu/cgi-bin/hgTracks?position=205685_at","UCSC")</f>
        <v>UCSC</v>
      </c>
      <c r="E11437" s="1" t="str">
        <f>HYPERLINK("http://www.ncbi.nlm.nih.gov/gene/?term=CD86","NCBI")</f>
        <v>NCBI</v>
      </c>
      <c r="F11437">
        <v>0.28999999999999998</v>
      </c>
      <c r="G11437">
        <v>0.44</v>
      </c>
      <c r="H11437" s="1" t="str">
        <f>HYPERLINK("http://www.weizmann.ac.il/complex/compphys/software/geview/data/figures/205685_at.png","Figure")</f>
        <v>Figure</v>
      </c>
      <c r="I11437">
        <v>0.94</v>
      </c>
      <c r="J11437">
        <v>0.8</v>
      </c>
      <c r="K11437">
        <v>1.0900000000000001</v>
      </c>
      <c r="L11437">
        <v>0.61</v>
      </c>
      <c r="M11437">
        <v>1.1499999999999999</v>
      </c>
      <c r="N11437">
        <v>0.28000000000000003</v>
      </c>
    </row>
    <row r="11438" spans="1:14" x14ac:dyDescent="0.25">
      <c r="A11438" t="s">
        <v>19789</v>
      </c>
      <c r="B11438" t="s">
        <v>19790</v>
      </c>
      <c r="C11438" s="1" t="str">
        <f>HYPERLINK("http://www.genecards.org/cgi-bin/carddisp.pl?gene=SAA4","GeneCards")</f>
        <v>GeneCards</v>
      </c>
      <c r="D11438" s="1" t="str">
        <f>HYPERLINK("http://genome-euro.ucsc.edu/cgi-bin/hgTracks?position=207096_at","UCSC")</f>
        <v>UCSC</v>
      </c>
      <c r="E11438" s="1" t="str">
        <f>HYPERLINK("http://www.ncbi.nlm.nih.gov/gene/?term=SAA4","NCBI")</f>
        <v>NCBI</v>
      </c>
      <c r="F11438">
        <v>0.28999999999999998</v>
      </c>
      <c r="G11438">
        <v>0.44</v>
      </c>
      <c r="H11438" s="1" t="str">
        <f>HYPERLINK("http://www.weizmann.ac.il/complex/compphys/software/geview/data/figures/207096_at.png","Figure")</f>
        <v>Figure</v>
      </c>
      <c r="I11438">
        <v>0.98</v>
      </c>
      <c r="J11438">
        <v>0.93</v>
      </c>
      <c r="K11438">
        <v>1.06</v>
      </c>
      <c r="L11438">
        <v>0.48</v>
      </c>
      <c r="M11438">
        <v>1.08</v>
      </c>
      <c r="N11438">
        <v>0.32</v>
      </c>
    </row>
    <row r="11439" spans="1:14" x14ac:dyDescent="0.25">
      <c r="A11439" t="s">
        <v>19791</v>
      </c>
      <c r="B11439" t="s">
        <v>2286</v>
      </c>
      <c r="C11439" s="1" t="str">
        <f>HYPERLINK("http://www.genecards.org/cgi-bin/carddisp.pl?gene=PLAUR","GeneCards")</f>
        <v>GeneCards</v>
      </c>
      <c r="D11439" s="1" t="str">
        <f>HYPERLINK("http://genome-euro.ucsc.edu/cgi-bin/hgTracks?position=210845_s_at","UCSC")</f>
        <v>UCSC</v>
      </c>
      <c r="E11439" s="1" t="str">
        <f>HYPERLINK("http://www.ncbi.nlm.nih.gov/gene/?term=PLAUR","NCBI")</f>
        <v>NCBI</v>
      </c>
      <c r="F11439">
        <v>0.28999999999999998</v>
      </c>
      <c r="G11439">
        <v>0.44</v>
      </c>
      <c r="H11439" s="1" t="str">
        <f>HYPERLINK("http://www.weizmann.ac.il/complex/compphys/software/geview/data/figures/210845_s_at.png","Figure")</f>
        <v>Figure</v>
      </c>
      <c r="I11439">
        <v>0.69699999999999995</v>
      </c>
      <c r="J11439">
        <v>0.32</v>
      </c>
      <c r="K11439">
        <v>0.75700000000000001</v>
      </c>
      <c r="L11439">
        <v>0.4</v>
      </c>
      <c r="M11439">
        <v>1.0900000000000001</v>
      </c>
      <c r="N11439">
        <v>0.93</v>
      </c>
    </row>
    <row r="11440" spans="1:14" x14ac:dyDescent="0.25">
      <c r="A11440" t="s">
        <v>19792</v>
      </c>
      <c r="B11440" t="s">
        <v>19793</v>
      </c>
      <c r="C11440" s="1" t="str">
        <f>HYPERLINK("http://www.genecards.org/cgi-bin/carddisp.pl?gene=KLK12","GeneCards")</f>
        <v>GeneCards</v>
      </c>
      <c r="D11440" s="1" t="str">
        <f>HYPERLINK("http://genome-euro.ucsc.edu/cgi-bin/hgTracks?position=220782_x_at","UCSC")</f>
        <v>UCSC</v>
      </c>
      <c r="E11440" s="1" t="str">
        <f>HYPERLINK("http://www.ncbi.nlm.nih.gov/gene/?term=KLK12","NCBI")</f>
        <v>NCBI</v>
      </c>
      <c r="F11440">
        <v>0.28999999999999998</v>
      </c>
      <c r="G11440">
        <v>0.44</v>
      </c>
      <c r="H11440" s="1" t="str">
        <f>HYPERLINK("http://www.weizmann.ac.il/complex/compphys/software/geview/data/figures/220782_x_at.png","Figure")</f>
        <v>Figure</v>
      </c>
      <c r="I11440">
        <v>1.07</v>
      </c>
      <c r="J11440">
        <v>0.42</v>
      </c>
      <c r="K11440">
        <v>0.99</v>
      </c>
      <c r="L11440">
        <v>0.98</v>
      </c>
      <c r="M11440">
        <v>0.92300000000000004</v>
      </c>
      <c r="N11440">
        <v>0.28999999999999998</v>
      </c>
    </row>
    <row r="11441" spans="1:14" x14ac:dyDescent="0.25">
      <c r="A11441" t="s">
        <v>19794</v>
      </c>
      <c r="B11441" t="s">
        <v>19795</v>
      </c>
      <c r="C11441" s="1" t="str">
        <f>HYPERLINK("http://www.genecards.org/cgi-bin/carddisp.pl?gene=PLD2","GeneCards")</f>
        <v>GeneCards</v>
      </c>
      <c r="D11441" s="1" t="str">
        <f>HYPERLINK("http://genome-euro.ucsc.edu/cgi-bin/hgTracks?position=209643_s_at","UCSC")</f>
        <v>UCSC</v>
      </c>
      <c r="E11441" s="1" t="str">
        <f>HYPERLINK("http://www.ncbi.nlm.nih.gov/gene/?term=PLD2","NCBI")</f>
        <v>NCBI</v>
      </c>
      <c r="F11441">
        <v>0.28999999999999998</v>
      </c>
      <c r="G11441">
        <v>0.44</v>
      </c>
      <c r="H11441" s="1" t="str">
        <f>HYPERLINK("http://www.weizmann.ac.il/complex/compphys/software/geview/data/figures/209643_s_at.png","Figure")</f>
        <v>Figure</v>
      </c>
      <c r="I11441">
        <v>1.25</v>
      </c>
      <c r="J11441">
        <v>0.27</v>
      </c>
      <c r="K11441">
        <v>1.1200000000000001</v>
      </c>
      <c r="L11441">
        <v>0.62</v>
      </c>
      <c r="M11441">
        <v>0.89600000000000002</v>
      </c>
      <c r="N11441">
        <v>0.67</v>
      </c>
    </row>
    <row r="11442" spans="1:14" x14ac:dyDescent="0.25">
      <c r="A11442" t="s">
        <v>19796</v>
      </c>
      <c r="B11442" t="s">
        <v>19797</v>
      </c>
      <c r="C11442" s="1" t="str">
        <f>HYPERLINK("http://www.genecards.org/cgi-bin/carddisp.pl?gene=SLC2A4","GeneCards")</f>
        <v>GeneCards</v>
      </c>
      <c r="D11442" s="1" t="str">
        <f>HYPERLINK("http://genome-euro.ucsc.edu/cgi-bin/hgTracks?position=206603_at","UCSC")</f>
        <v>UCSC</v>
      </c>
      <c r="E11442" s="1" t="str">
        <f>HYPERLINK("http://www.ncbi.nlm.nih.gov/gene/?term=SLC2A4","NCBI")</f>
        <v>NCBI</v>
      </c>
      <c r="F11442">
        <v>0.28999999999999998</v>
      </c>
      <c r="G11442">
        <v>0.44</v>
      </c>
      <c r="H11442" s="1" t="str">
        <f>HYPERLINK("http://www.weizmann.ac.il/complex/compphys/software/geview/data/figures/206603_at.png","Figure")</f>
        <v>Figure</v>
      </c>
      <c r="I11442">
        <v>1.1000000000000001</v>
      </c>
      <c r="J11442">
        <v>0.26</v>
      </c>
      <c r="K11442">
        <v>1.04</v>
      </c>
      <c r="L11442">
        <v>0.74</v>
      </c>
      <c r="M11442">
        <v>0.94199999999999995</v>
      </c>
      <c r="N11442">
        <v>0.55000000000000004</v>
      </c>
    </row>
    <row r="11443" spans="1:14" x14ac:dyDescent="0.25">
      <c r="A11443" t="s">
        <v>19798</v>
      </c>
      <c r="B11443" t="s">
        <v>7341</v>
      </c>
      <c r="C11443" s="1" t="str">
        <f>HYPERLINK("http://www.genecards.org/cgi-bin/carddisp.pl?gene=VAMP2","GeneCards")</f>
        <v>GeneCards</v>
      </c>
      <c r="D11443" s="1" t="str">
        <f>HYPERLINK("http://genome-euro.ucsc.edu/cgi-bin/hgTracks?position=201556_s_at","UCSC")</f>
        <v>UCSC</v>
      </c>
      <c r="E11443" s="1" t="str">
        <f>HYPERLINK("http://www.ncbi.nlm.nih.gov/gene/?term=VAMP2","NCBI")</f>
        <v>NCBI</v>
      </c>
      <c r="F11443">
        <v>0.28999999999999998</v>
      </c>
      <c r="G11443">
        <v>0.44</v>
      </c>
      <c r="H11443" s="1" t="str">
        <f>HYPERLINK("http://www.weizmann.ac.il/complex/compphys/software/geview/data/figures/201556_s_at.png","Figure")</f>
        <v>Figure</v>
      </c>
      <c r="I11443">
        <v>0.89</v>
      </c>
      <c r="J11443">
        <v>0.59</v>
      </c>
      <c r="K11443">
        <v>0.84699999999999998</v>
      </c>
      <c r="L11443">
        <v>0.27</v>
      </c>
      <c r="M11443">
        <v>0.95099999999999996</v>
      </c>
      <c r="N11443">
        <v>0.89</v>
      </c>
    </row>
    <row r="11444" spans="1:14" x14ac:dyDescent="0.25">
      <c r="A11444" t="s">
        <v>19799</v>
      </c>
      <c r="B11444" t="s">
        <v>9999</v>
      </c>
      <c r="C11444" s="1" t="str">
        <f>HYPERLINK("http://www.genecards.org/cgi-bin/carddisp.pl?gene=MAN2A2","GeneCards")</f>
        <v>GeneCards</v>
      </c>
      <c r="D11444" s="1" t="str">
        <f>HYPERLINK("http://genome-euro.ucsc.edu/cgi-bin/hgTracks?position=219999_at","UCSC")</f>
        <v>UCSC</v>
      </c>
      <c r="E11444" s="1" t="str">
        <f>HYPERLINK("http://www.ncbi.nlm.nih.gov/gene/?term=MAN2A2","NCBI")</f>
        <v>NCBI</v>
      </c>
      <c r="F11444">
        <v>0.28999999999999998</v>
      </c>
      <c r="G11444">
        <v>0.44</v>
      </c>
      <c r="H11444" s="1" t="str">
        <f>HYPERLINK("http://www.weizmann.ac.il/complex/compphys/software/geview/data/figures/219999_at.png","Figure")</f>
        <v>Figure</v>
      </c>
      <c r="I11444">
        <v>0.91500000000000004</v>
      </c>
      <c r="J11444">
        <v>0.84</v>
      </c>
      <c r="K11444">
        <v>0.8</v>
      </c>
      <c r="L11444">
        <v>0.27</v>
      </c>
      <c r="M11444">
        <v>0.874</v>
      </c>
      <c r="N11444">
        <v>0.64</v>
      </c>
    </row>
    <row r="11445" spans="1:14" x14ac:dyDescent="0.25">
      <c r="A11445" t="s">
        <v>19800</v>
      </c>
      <c r="B11445" t="s">
        <v>18831</v>
      </c>
      <c r="C11445" s="1" t="str">
        <f>HYPERLINK("http://www.genecards.org/cgi-bin/carddisp.pl?gene=VPS16","GeneCards")</f>
        <v>GeneCards</v>
      </c>
      <c r="D11445" s="1" t="str">
        <f>HYPERLINK("http://genome-euro.ucsc.edu/cgi-bin/hgTracks?position=215216_at","UCSC")</f>
        <v>UCSC</v>
      </c>
      <c r="E11445" s="1" t="str">
        <f>HYPERLINK("http://www.ncbi.nlm.nih.gov/gene/?term=VPS16","NCBI")</f>
        <v>NCBI</v>
      </c>
      <c r="F11445">
        <v>0.28999999999999998</v>
      </c>
      <c r="G11445">
        <v>0.44</v>
      </c>
      <c r="H11445" s="1" t="str">
        <f>HYPERLINK("http://www.weizmann.ac.il/complex/compphys/software/geview/data/figures/215216_at.png","Figure")</f>
        <v>Figure</v>
      </c>
      <c r="I11445">
        <v>0.96299999999999997</v>
      </c>
      <c r="J11445">
        <v>0.74</v>
      </c>
      <c r="K11445">
        <v>0.93</v>
      </c>
      <c r="L11445">
        <v>0.26</v>
      </c>
      <c r="M11445">
        <v>0.96599999999999997</v>
      </c>
      <c r="N11445">
        <v>0.75</v>
      </c>
    </row>
    <row r="11446" spans="1:14" x14ac:dyDescent="0.25">
      <c r="A11446" t="s">
        <v>19801</v>
      </c>
      <c r="B11446" t="s">
        <v>5273</v>
      </c>
      <c r="C11446" s="1" t="str">
        <f>HYPERLINK("http://www.genecards.org/cgi-bin/carddisp.pl?gene=STAT1","GeneCards")</f>
        <v>GeneCards</v>
      </c>
      <c r="D11446" s="1" t="str">
        <f>HYPERLINK("http://genome-euro.ucsc.edu/cgi-bin/hgTracks?position=AFFX-HUMISGF3A/M97935_MB_at","UCSC")</f>
        <v>UCSC</v>
      </c>
      <c r="E11446" s="1" t="str">
        <f>HYPERLINK("http://www.ncbi.nlm.nih.gov/gene/?term=STAT1","NCBI")</f>
        <v>NCBI</v>
      </c>
      <c r="F11446">
        <v>0.28999999999999998</v>
      </c>
      <c r="G11446">
        <v>0.44</v>
      </c>
      <c r="H11446" s="1" t="str">
        <f>HYPERLINK("http://www.weizmann.ac.il/complex/compphys/software/geview/data/figures/AFFX-HUMISGF3A/M97935_MB_at.png","Figure")</f>
        <v>Figure</v>
      </c>
      <c r="I11446">
        <v>1.07</v>
      </c>
      <c r="J11446">
        <v>0.31</v>
      </c>
      <c r="K11446">
        <v>1.05</v>
      </c>
      <c r="L11446">
        <v>0.43</v>
      </c>
      <c r="M11446">
        <v>0.98199999999999998</v>
      </c>
      <c r="N11446">
        <v>0.9</v>
      </c>
    </row>
    <row r="11447" spans="1:14" x14ac:dyDescent="0.25">
      <c r="A11447" t="s">
        <v>19802</v>
      </c>
      <c r="B11447" t="s">
        <v>1751</v>
      </c>
      <c r="C11447" s="1" t="str">
        <f>HYPERLINK("http://www.genecards.org/cgi-bin/carddisp.pl?gene=HNRNPD","GeneCards")</f>
        <v>GeneCards</v>
      </c>
      <c r="D11447" s="1" t="str">
        <f>HYPERLINK("http://genome-euro.ucsc.edu/cgi-bin/hgTracks?position=221481_x_at","UCSC")</f>
        <v>UCSC</v>
      </c>
      <c r="E11447" s="1" t="str">
        <f>HYPERLINK("http://www.ncbi.nlm.nih.gov/gene/?term=HNRNPD","NCBI")</f>
        <v>NCBI</v>
      </c>
      <c r="F11447">
        <v>0.28999999999999998</v>
      </c>
      <c r="G11447">
        <v>0.44</v>
      </c>
      <c r="H11447" s="1" t="str">
        <f>HYPERLINK("http://www.weizmann.ac.il/complex/compphys/software/geview/data/figures/221481_x_at.png","Figure")</f>
        <v>Figure</v>
      </c>
      <c r="I11447">
        <v>1.25</v>
      </c>
      <c r="J11447">
        <v>0.28000000000000003</v>
      </c>
      <c r="K11447">
        <v>1.1399999999999999</v>
      </c>
      <c r="L11447">
        <v>0.53</v>
      </c>
      <c r="M11447">
        <v>0.91500000000000004</v>
      </c>
      <c r="N11447">
        <v>0.77</v>
      </c>
    </row>
    <row r="11448" spans="1:14" x14ac:dyDescent="0.25">
      <c r="A11448" t="s">
        <v>19803</v>
      </c>
      <c r="B11448" t="s">
        <v>19804</v>
      </c>
      <c r="C11448" s="1" t="str">
        <f>HYPERLINK("http://www.genecards.org/cgi-bin/carddisp.pl?gene=CDK9","GeneCards")</f>
        <v>GeneCards</v>
      </c>
      <c r="D11448" s="1" t="str">
        <f>HYPERLINK("http://genome-euro.ucsc.edu/cgi-bin/hgTracks?position=203198_at","UCSC")</f>
        <v>UCSC</v>
      </c>
      <c r="E11448" s="1" t="str">
        <f>HYPERLINK("http://www.ncbi.nlm.nih.gov/gene/?term=CDK9","NCBI")</f>
        <v>NCBI</v>
      </c>
      <c r="F11448">
        <v>0.28999999999999998</v>
      </c>
      <c r="G11448">
        <v>0.44</v>
      </c>
      <c r="H11448" s="1" t="str">
        <f>HYPERLINK("http://www.weizmann.ac.il/complex/compphys/software/geview/data/figures/203198_at.png","Figure")</f>
        <v>Figure</v>
      </c>
      <c r="I11448">
        <v>0.96299999999999997</v>
      </c>
      <c r="J11448">
        <v>0.97</v>
      </c>
      <c r="K11448">
        <v>1.19</v>
      </c>
      <c r="L11448">
        <v>0.43</v>
      </c>
      <c r="M11448">
        <v>1.23</v>
      </c>
      <c r="N11448">
        <v>0.35</v>
      </c>
    </row>
    <row r="11449" spans="1:14" x14ac:dyDescent="0.25">
      <c r="A11449" t="s">
        <v>19805</v>
      </c>
      <c r="B11449" t="s">
        <v>15576</v>
      </c>
      <c r="C11449" s="1" t="str">
        <f>HYPERLINK("http://www.genecards.org/cgi-bin/carddisp.pl?gene=JAG1","GeneCards")</f>
        <v>GeneCards</v>
      </c>
      <c r="D11449" s="1" t="str">
        <f>HYPERLINK("http://genome-euro.ucsc.edu/cgi-bin/hgTracks?position=216268_s_at","UCSC")</f>
        <v>UCSC</v>
      </c>
      <c r="E11449" s="1" t="str">
        <f>HYPERLINK("http://www.ncbi.nlm.nih.gov/gene/?term=JAG1","NCBI")</f>
        <v>NCBI</v>
      </c>
      <c r="F11449">
        <v>0.28999999999999998</v>
      </c>
      <c r="G11449">
        <v>0.44</v>
      </c>
      <c r="H11449" s="1" t="str">
        <f>HYPERLINK("http://www.weizmann.ac.il/complex/compphys/software/geview/data/figures/216268_s_at.png","Figure")</f>
        <v>Figure</v>
      </c>
      <c r="I11449">
        <v>1.04</v>
      </c>
      <c r="J11449">
        <v>0.94</v>
      </c>
      <c r="K11449">
        <v>0.88600000000000001</v>
      </c>
      <c r="L11449">
        <v>0.47</v>
      </c>
      <c r="M11449">
        <v>0.85099999999999998</v>
      </c>
      <c r="N11449">
        <v>0.32</v>
      </c>
    </row>
    <row r="11450" spans="1:14" x14ac:dyDescent="0.25">
      <c r="A11450" t="s">
        <v>19806</v>
      </c>
      <c r="B11450" t="s">
        <v>18616</v>
      </c>
      <c r="C11450" s="1" t="str">
        <f>HYPERLINK("http://www.genecards.org/cgi-bin/carddisp.pl?gene=MTMR9","GeneCards")</f>
        <v>GeneCards</v>
      </c>
      <c r="D11450" s="1" t="str">
        <f>HYPERLINK("http://genome-euro.ucsc.edu/cgi-bin/hgTracks?position=213278_at","UCSC")</f>
        <v>UCSC</v>
      </c>
      <c r="E11450" s="1" t="str">
        <f>HYPERLINK("http://www.ncbi.nlm.nih.gov/gene/?term=MTMR9","NCBI")</f>
        <v>NCBI</v>
      </c>
      <c r="F11450">
        <v>0.28999999999999998</v>
      </c>
      <c r="G11450">
        <v>0.44</v>
      </c>
      <c r="H11450" s="1" t="str">
        <f>HYPERLINK("http://www.weizmann.ac.il/complex/compphys/software/geview/data/figures/213278_at.png","Figure")</f>
        <v>Figure</v>
      </c>
      <c r="I11450">
        <v>0.81</v>
      </c>
      <c r="J11450">
        <v>0.61</v>
      </c>
      <c r="K11450">
        <v>0.73299999999999998</v>
      </c>
      <c r="L11450">
        <v>0.27</v>
      </c>
      <c r="M11450">
        <v>0.90500000000000003</v>
      </c>
      <c r="N11450">
        <v>0.88</v>
      </c>
    </row>
    <row r="11451" spans="1:14" x14ac:dyDescent="0.25">
      <c r="A11451" t="s">
        <v>19807</v>
      </c>
      <c r="B11451" t="s">
        <v>19808</v>
      </c>
      <c r="C11451" s="1" t="str">
        <f>HYPERLINK("http://www.genecards.org/cgi-bin/carddisp.pl?gene=LRRC41","GeneCards")</f>
        <v>GeneCards</v>
      </c>
      <c r="D11451" s="1" t="str">
        <f>HYPERLINK("http://genome-euro.ucsc.edu/cgi-bin/hgTracks?position=201932_at","UCSC")</f>
        <v>UCSC</v>
      </c>
      <c r="E11451" s="1" t="str">
        <f>HYPERLINK("http://www.ncbi.nlm.nih.gov/gene/?term=LRRC41","NCBI")</f>
        <v>NCBI</v>
      </c>
      <c r="F11451">
        <v>0.28999999999999998</v>
      </c>
      <c r="G11451">
        <v>0.44</v>
      </c>
      <c r="H11451" s="1" t="str">
        <f>HYPERLINK("http://www.weizmann.ac.il/complex/compphys/software/geview/data/figures/201932_at.png","Figure")</f>
        <v>Figure</v>
      </c>
      <c r="I11451">
        <v>1.05</v>
      </c>
      <c r="J11451">
        <v>0.89</v>
      </c>
      <c r="K11451">
        <v>1.17</v>
      </c>
      <c r="L11451">
        <v>0.28000000000000003</v>
      </c>
      <c r="M11451">
        <v>1.1100000000000001</v>
      </c>
      <c r="N11451">
        <v>0.59</v>
      </c>
    </row>
    <row r="11452" spans="1:14" x14ac:dyDescent="0.25">
      <c r="A11452" t="s">
        <v>19809</v>
      </c>
      <c r="B11452" t="s">
        <v>19810</v>
      </c>
      <c r="C11452" s="1" t="str">
        <f>HYPERLINK("http://www.genecards.org/cgi-bin/carddisp.pl?gene=ASNSD1","GeneCards")</f>
        <v>GeneCards</v>
      </c>
      <c r="D11452" s="1" t="str">
        <f>HYPERLINK("http://genome-euro.ucsc.edu/cgi-bin/hgTracks?position=217987_at","UCSC")</f>
        <v>UCSC</v>
      </c>
      <c r="E11452" s="1" t="str">
        <f>HYPERLINK("http://www.ncbi.nlm.nih.gov/gene/?term=ASNSD1","NCBI")</f>
        <v>NCBI</v>
      </c>
      <c r="F11452">
        <v>0.28999999999999998</v>
      </c>
      <c r="G11452">
        <v>0.44</v>
      </c>
      <c r="H11452" s="1" t="str">
        <f>HYPERLINK("http://www.weizmann.ac.il/complex/compphys/software/geview/data/figures/217987_at.png","Figure")</f>
        <v>Figure</v>
      </c>
      <c r="I11452">
        <v>0.74099999999999999</v>
      </c>
      <c r="J11452">
        <v>0.41</v>
      </c>
      <c r="K11452">
        <v>0.74099999999999999</v>
      </c>
      <c r="L11452">
        <v>0.32</v>
      </c>
      <c r="M11452">
        <v>1</v>
      </c>
      <c r="N11452">
        <v>1</v>
      </c>
    </row>
    <row r="11453" spans="1:14" x14ac:dyDescent="0.25">
      <c r="A11453" t="s">
        <v>19811</v>
      </c>
      <c r="B11453" t="s">
        <v>19812</v>
      </c>
      <c r="C11453" s="1" t="str">
        <f>HYPERLINK("http://www.genecards.org/cgi-bin/carddisp.pl?gene=PXMP2","GeneCards")</f>
        <v>GeneCards</v>
      </c>
      <c r="D11453" s="1" t="str">
        <f>HYPERLINK("http://genome-euro.ucsc.edu/cgi-bin/hgTracks?position=219076_s_at","UCSC")</f>
        <v>UCSC</v>
      </c>
      <c r="E11453" s="1" t="str">
        <f>HYPERLINK("http://www.ncbi.nlm.nih.gov/gene/?term=PXMP2","NCBI")</f>
        <v>NCBI</v>
      </c>
      <c r="F11453">
        <v>0.28999999999999998</v>
      </c>
      <c r="G11453">
        <v>0.44</v>
      </c>
      <c r="H11453" s="1" t="str">
        <f>HYPERLINK("http://www.weizmann.ac.il/complex/compphys/software/geview/data/figures/219076_s_at.png","Figure")</f>
        <v>Figure</v>
      </c>
      <c r="I11453">
        <v>1.0900000000000001</v>
      </c>
      <c r="J11453">
        <v>0.92</v>
      </c>
      <c r="K11453">
        <v>1.36</v>
      </c>
      <c r="L11453">
        <v>0.28999999999999998</v>
      </c>
      <c r="M11453">
        <v>1.25</v>
      </c>
      <c r="N11453">
        <v>0.56000000000000005</v>
      </c>
    </row>
    <row r="11454" spans="1:14" x14ac:dyDescent="0.25">
      <c r="A11454" t="s">
        <v>19813</v>
      </c>
      <c r="B11454" t="s">
        <v>19814</v>
      </c>
      <c r="C11454" s="1" t="str">
        <f>HYPERLINK("http://www.genecards.org/cgi-bin/carddisp.pl?gene=NFKBIE","GeneCards")</f>
        <v>GeneCards</v>
      </c>
      <c r="D11454" s="1" t="str">
        <f>HYPERLINK("http://genome-euro.ucsc.edu/cgi-bin/hgTracks?position=203927_at","UCSC")</f>
        <v>UCSC</v>
      </c>
      <c r="E11454" s="1" t="str">
        <f>HYPERLINK("http://www.ncbi.nlm.nih.gov/gene/?term=NFKBIE","NCBI")</f>
        <v>NCBI</v>
      </c>
      <c r="F11454">
        <v>0.28999999999999998</v>
      </c>
      <c r="G11454">
        <v>0.44</v>
      </c>
      <c r="H11454" s="1" t="str">
        <f>HYPERLINK("http://www.weizmann.ac.il/complex/compphys/software/geview/data/figures/203927_at.png","Figure")</f>
        <v>Figure</v>
      </c>
      <c r="I11454">
        <v>0.86799999999999999</v>
      </c>
      <c r="J11454">
        <v>0.67</v>
      </c>
      <c r="K11454">
        <v>0.79200000000000004</v>
      </c>
      <c r="L11454">
        <v>0.26</v>
      </c>
      <c r="M11454">
        <v>0.91200000000000003</v>
      </c>
      <c r="N11454">
        <v>0.82</v>
      </c>
    </row>
    <row r="11455" spans="1:14" x14ac:dyDescent="0.25">
      <c r="A11455" t="s">
        <v>19815</v>
      </c>
      <c r="B11455" t="s">
        <v>11576</v>
      </c>
      <c r="C11455" s="1" t="str">
        <f>HYPERLINK("http://www.genecards.org/cgi-bin/carddisp.pl?gene=ANP32E","GeneCards")</f>
        <v>GeneCards</v>
      </c>
      <c r="D11455" s="1" t="str">
        <f>HYPERLINK("http://genome-euro.ucsc.edu/cgi-bin/hgTracks?position=208103_s_at","UCSC")</f>
        <v>UCSC</v>
      </c>
      <c r="E11455" s="1" t="str">
        <f>HYPERLINK("http://www.ncbi.nlm.nih.gov/gene/?term=ANP32E","NCBI")</f>
        <v>NCBI</v>
      </c>
      <c r="F11455">
        <v>0.28999999999999998</v>
      </c>
      <c r="G11455">
        <v>0.44</v>
      </c>
      <c r="H11455" s="1" t="str">
        <f>HYPERLINK("http://www.weizmann.ac.il/complex/compphys/software/geview/data/figures/208103_s_at.png","Figure")</f>
        <v>Figure</v>
      </c>
      <c r="I11455">
        <v>0.95699999999999996</v>
      </c>
      <c r="J11455">
        <v>0.99</v>
      </c>
      <c r="K11455">
        <v>1.36</v>
      </c>
      <c r="L11455">
        <v>0.41</v>
      </c>
      <c r="M11455">
        <v>1.42</v>
      </c>
      <c r="N11455">
        <v>0.36</v>
      </c>
    </row>
    <row r="11456" spans="1:14" x14ac:dyDescent="0.25">
      <c r="A11456" t="s">
        <v>19816</v>
      </c>
      <c r="B11456" t="s">
        <v>19817</v>
      </c>
      <c r="C11456" s="1" t="str">
        <f>HYPERLINK("http://www.genecards.org/cgi-bin/carddisp.pl?gene=MAOB","GeneCards")</f>
        <v>GeneCards</v>
      </c>
      <c r="D11456" s="1" t="str">
        <f>HYPERLINK("http://genome-euro.ucsc.edu/cgi-bin/hgTracks?position=204041_at","UCSC")</f>
        <v>UCSC</v>
      </c>
      <c r="E11456" s="1" t="str">
        <f>HYPERLINK("http://www.ncbi.nlm.nih.gov/gene/?term=MAOB","NCBI")</f>
        <v>NCBI</v>
      </c>
      <c r="F11456">
        <v>0.28999999999999998</v>
      </c>
      <c r="G11456">
        <v>0.44</v>
      </c>
      <c r="H11456" s="1" t="str">
        <f>HYPERLINK("http://www.weizmann.ac.il/complex/compphys/software/geview/data/figures/204041_at.png","Figure")</f>
        <v>Figure</v>
      </c>
      <c r="I11456">
        <v>1.1000000000000001</v>
      </c>
      <c r="J11456">
        <v>0.44</v>
      </c>
      <c r="K11456">
        <v>0.98399999999999999</v>
      </c>
      <c r="L11456">
        <v>0.97</v>
      </c>
      <c r="M11456">
        <v>0.89700000000000002</v>
      </c>
      <c r="N11456">
        <v>0.28000000000000003</v>
      </c>
    </row>
    <row r="11457" spans="1:14" x14ac:dyDescent="0.25">
      <c r="A11457" t="s">
        <v>19818</v>
      </c>
      <c r="B11457" t="s">
        <v>19819</v>
      </c>
      <c r="C11457" s="1" t="str">
        <f>HYPERLINK("http://www.genecards.org/cgi-bin/carddisp.pl?gene=DDX19A","GeneCards")</f>
        <v>GeneCards</v>
      </c>
      <c r="D11457" s="1" t="str">
        <f>HYPERLINK("http://genome-euro.ucsc.edu/cgi-bin/hgTracks?position=202577_s_at","UCSC")</f>
        <v>UCSC</v>
      </c>
      <c r="E11457" s="1" t="str">
        <f>HYPERLINK("http://www.ncbi.nlm.nih.gov/gene/?term=DDX19A","NCBI")</f>
        <v>NCBI</v>
      </c>
      <c r="F11457">
        <v>0.28999999999999998</v>
      </c>
      <c r="G11457">
        <v>0.44</v>
      </c>
      <c r="H11457" s="1" t="str">
        <f>HYPERLINK("http://www.weizmann.ac.il/complex/compphys/software/geview/data/figures/202577_s_at.png","Figure")</f>
        <v>Figure</v>
      </c>
      <c r="I11457">
        <v>0.92400000000000004</v>
      </c>
      <c r="J11457">
        <v>0.9</v>
      </c>
      <c r="K11457">
        <v>0.77900000000000003</v>
      </c>
      <c r="L11457">
        <v>0.28999999999999998</v>
      </c>
      <c r="M11457">
        <v>0.84299999999999997</v>
      </c>
      <c r="N11457">
        <v>0.57999999999999996</v>
      </c>
    </row>
    <row r="11458" spans="1:14" x14ac:dyDescent="0.25">
      <c r="A11458" t="s">
        <v>19820</v>
      </c>
      <c r="B11458" t="s">
        <v>9910</v>
      </c>
      <c r="C11458" s="1" t="str">
        <f>HYPERLINK("http://www.genecards.org/cgi-bin/carddisp.pl?gene=RBM25","GeneCards")</f>
        <v>GeneCards</v>
      </c>
      <c r="D11458" s="1" t="str">
        <f>HYPERLINK("http://genome-euro.ucsc.edu/cgi-bin/hgTracks?position=212033_at","UCSC")</f>
        <v>UCSC</v>
      </c>
      <c r="E11458" s="1" t="str">
        <f>HYPERLINK("http://www.ncbi.nlm.nih.gov/gene/?term=RBM25","NCBI")</f>
        <v>NCBI</v>
      </c>
      <c r="F11458">
        <v>0.28999999999999998</v>
      </c>
      <c r="G11458">
        <v>0.44</v>
      </c>
      <c r="H11458" s="1" t="str">
        <f>HYPERLINK("http://www.weizmann.ac.il/complex/compphys/software/geview/data/figures/212033_at.png","Figure")</f>
        <v>Figure</v>
      </c>
      <c r="I11458">
        <v>0.66900000000000004</v>
      </c>
      <c r="J11458">
        <v>0.27</v>
      </c>
      <c r="K11458">
        <v>0.79900000000000004</v>
      </c>
      <c r="L11458">
        <v>0.56999999999999995</v>
      </c>
      <c r="M11458">
        <v>1.19</v>
      </c>
      <c r="N11458">
        <v>0.73</v>
      </c>
    </row>
    <row r="11459" spans="1:14" x14ac:dyDescent="0.25">
      <c r="A11459" t="s">
        <v>19821</v>
      </c>
      <c r="B11459" t="s">
        <v>19822</v>
      </c>
      <c r="C11459" s="1" t="str">
        <f>HYPERLINK("http://www.genecards.org/cgi-bin/carddisp.pl?gene=PTPN1","GeneCards")</f>
        <v>GeneCards</v>
      </c>
      <c r="D11459" s="1" t="str">
        <f>HYPERLINK("http://genome-euro.ucsc.edu/cgi-bin/hgTracks?position=217689_at","UCSC")</f>
        <v>UCSC</v>
      </c>
      <c r="E11459" s="1" t="str">
        <f>HYPERLINK("http://www.ncbi.nlm.nih.gov/gene/?term=PTPN1","NCBI")</f>
        <v>NCBI</v>
      </c>
      <c r="F11459">
        <v>0.28999999999999998</v>
      </c>
      <c r="G11459">
        <v>0.44</v>
      </c>
      <c r="H11459" s="1" t="str">
        <f>HYPERLINK("http://www.weizmann.ac.il/complex/compphys/software/geview/data/figures/217689_at.png","Figure")</f>
        <v>Figure</v>
      </c>
      <c r="I11459">
        <v>1.1000000000000001</v>
      </c>
      <c r="J11459">
        <v>0.31</v>
      </c>
      <c r="K11459">
        <v>1.08</v>
      </c>
      <c r="L11459">
        <v>0.42</v>
      </c>
      <c r="M11459">
        <v>0.97499999999999998</v>
      </c>
      <c r="N11459">
        <v>0.91</v>
      </c>
    </row>
    <row r="11460" spans="1:14" x14ac:dyDescent="0.25">
      <c r="A11460" t="s">
        <v>19823</v>
      </c>
      <c r="B11460" t="s">
        <v>19824</v>
      </c>
      <c r="C11460" s="1" t="str">
        <f>HYPERLINK("http://www.genecards.org/cgi-bin/carddisp.pl?gene=TG","GeneCards")</f>
        <v>GeneCards</v>
      </c>
      <c r="D11460" s="1" t="str">
        <f>HYPERLINK("http://genome-euro.ucsc.edu/cgi-bin/hgTracks?position=203673_at","UCSC")</f>
        <v>UCSC</v>
      </c>
      <c r="E11460" s="1" t="str">
        <f>HYPERLINK("http://www.ncbi.nlm.nih.gov/gene/?term=TG","NCBI")</f>
        <v>NCBI</v>
      </c>
      <c r="F11460">
        <v>0.28999999999999998</v>
      </c>
      <c r="G11460">
        <v>0.44</v>
      </c>
      <c r="H11460" s="1" t="str">
        <f>HYPERLINK("http://www.weizmann.ac.il/complex/compphys/software/geview/data/figures/203673_at.png","Figure")</f>
        <v>Figure</v>
      </c>
      <c r="I11460">
        <v>1.1399999999999999</v>
      </c>
      <c r="J11460">
        <v>0.28999999999999998</v>
      </c>
      <c r="K11460">
        <v>1.0900000000000001</v>
      </c>
      <c r="L11460">
        <v>0.49</v>
      </c>
      <c r="M11460">
        <v>0.95499999999999996</v>
      </c>
      <c r="N11460">
        <v>0.83</v>
      </c>
    </row>
    <row r="11461" spans="1:14" x14ac:dyDescent="0.25">
      <c r="A11461" t="s">
        <v>19825</v>
      </c>
      <c r="B11461" t="s">
        <v>3205</v>
      </c>
      <c r="C11461" s="1" t="str">
        <f>HYPERLINK("http://www.genecards.org/cgi-bin/carddisp.pl?gene=NFATC3","GeneCards")</f>
        <v>GeneCards</v>
      </c>
      <c r="D11461" s="1" t="str">
        <f>HYPERLINK("http://genome-euro.ucsc.edu/cgi-bin/hgTracks?position=207416_s_at","UCSC")</f>
        <v>UCSC</v>
      </c>
      <c r="E11461" s="1" t="str">
        <f>HYPERLINK("http://www.ncbi.nlm.nih.gov/gene/?term=NFATC3","NCBI")</f>
        <v>NCBI</v>
      </c>
      <c r="F11461">
        <v>0.28999999999999998</v>
      </c>
      <c r="G11461">
        <v>0.44</v>
      </c>
      <c r="H11461" s="1" t="str">
        <f>HYPERLINK("http://www.weizmann.ac.il/complex/compphys/software/geview/data/figures/207416_s_at.png","Figure")</f>
        <v>Figure</v>
      </c>
      <c r="I11461">
        <v>0.96099999999999997</v>
      </c>
      <c r="J11461">
        <v>0.95</v>
      </c>
      <c r="K11461">
        <v>1.1499999999999999</v>
      </c>
      <c r="L11461">
        <v>0.46</v>
      </c>
      <c r="M11461">
        <v>1.2</v>
      </c>
      <c r="N11461">
        <v>0.33</v>
      </c>
    </row>
    <row r="11462" spans="1:14" x14ac:dyDescent="0.25">
      <c r="A11462" t="s">
        <v>19826</v>
      </c>
      <c r="B11462" t="s">
        <v>10573</v>
      </c>
      <c r="C11462" s="1" t="str">
        <f>HYPERLINK("http://www.genecards.org/cgi-bin/carddisp.pl?gene=RDX","GeneCards")</f>
        <v>GeneCards</v>
      </c>
      <c r="D11462" s="1" t="str">
        <f>HYPERLINK("http://genome-euro.ucsc.edu/cgi-bin/hgTracks?position=212398_at","UCSC")</f>
        <v>UCSC</v>
      </c>
      <c r="E11462" s="1" t="str">
        <f>HYPERLINK("http://www.ncbi.nlm.nih.gov/gene/?term=RDX","NCBI")</f>
        <v>NCBI</v>
      </c>
      <c r="F11462">
        <v>0.3</v>
      </c>
      <c r="G11462">
        <v>0.44</v>
      </c>
      <c r="H11462" s="1" t="str">
        <f>HYPERLINK("http://www.weizmann.ac.il/complex/compphys/software/geview/data/figures/212398_at.png","Figure")</f>
        <v>Figure</v>
      </c>
      <c r="I11462">
        <v>1.07</v>
      </c>
      <c r="J11462">
        <v>0.81</v>
      </c>
      <c r="K11462">
        <v>0.90600000000000003</v>
      </c>
      <c r="L11462">
        <v>0.59</v>
      </c>
      <c r="M11462">
        <v>0.84499999999999997</v>
      </c>
      <c r="N11462">
        <v>0.28999999999999998</v>
      </c>
    </row>
    <row r="11463" spans="1:14" x14ac:dyDescent="0.25">
      <c r="A11463" t="s">
        <v>19827</v>
      </c>
      <c r="B11463" t="s">
        <v>19828</v>
      </c>
      <c r="C11463" s="1" t="str">
        <f>HYPERLINK("http://www.genecards.org/cgi-bin/carddisp.pl?gene=TSPYL4","GeneCards")</f>
        <v>GeneCards</v>
      </c>
      <c r="D11463" s="1" t="str">
        <f>HYPERLINK("http://genome-euro.ucsc.edu/cgi-bin/hgTracks?position=212928_at","UCSC")</f>
        <v>UCSC</v>
      </c>
      <c r="E11463" s="1" t="str">
        <f>HYPERLINK("http://www.ncbi.nlm.nih.gov/gene/?term=TSPYL4","NCBI")</f>
        <v>NCBI</v>
      </c>
      <c r="F11463">
        <v>0.3</v>
      </c>
      <c r="G11463">
        <v>0.44</v>
      </c>
      <c r="H11463" s="1" t="str">
        <f>HYPERLINK("http://www.weizmann.ac.il/complex/compphys/software/geview/data/figures/212928_at.png","Figure")</f>
        <v>Figure</v>
      </c>
      <c r="I11463">
        <v>0.84</v>
      </c>
      <c r="J11463">
        <v>0.52</v>
      </c>
      <c r="K11463">
        <v>0.80300000000000005</v>
      </c>
      <c r="L11463">
        <v>0.28000000000000003</v>
      </c>
      <c r="M11463">
        <v>0.95599999999999996</v>
      </c>
      <c r="N11463">
        <v>0.95</v>
      </c>
    </row>
    <row r="11464" spans="1:14" x14ac:dyDescent="0.25">
      <c r="A11464" t="s">
        <v>19829</v>
      </c>
      <c r="B11464" t="s">
        <v>18964</v>
      </c>
      <c r="C11464" s="1" t="str">
        <f>HYPERLINK("http://www.genecards.org/cgi-bin/carddisp.pl?gene=IGK@ /// IGKC","GeneCards")</f>
        <v>GeneCards</v>
      </c>
      <c r="D11464" s="1" t="str">
        <f>HYPERLINK("http://genome-euro.ucsc.edu/cgi-bin/hgTracks?position=221651_x_at","UCSC")</f>
        <v>UCSC</v>
      </c>
      <c r="E11464" s="1" t="str">
        <f>HYPERLINK("http://www.ncbi.nlm.nih.gov/gene/?term=IGK@ /// IGKC","NCBI")</f>
        <v>NCBI</v>
      </c>
      <c r="F11464">
        <v>0.3</v>
      </c>
      <c r="G11464">
        <v>0.44</v>
      </c>
      <c r="H11464" s="1" t="str">
        <f>HYPERLINK("http://www.weizmann.ac.il/complex/compphys/software/geview/data/figures/221651_x_at.png","Figure")</f>
        <v>Figure</v>
      </c>
      <c r="I11464">
        <v>0.60599999999999998</v>
      </c>
      <c r="J11464">
        <v>0.45</v>
      </c>
      <c r="K11464">
        <v>0.58099999999999996</v>
      </c>
      <c r="L11464">
        <v>0.3</v>
      </c>
      <c r="M11464">
        <v>0.95799999999999996</v>
      </c>
      <c r="N11464">
        <v>0.99</v>
      </c>
    </row>
    <row r="11465" spans="1:14" x14ac:dyDescent="0.25">
      <c r="A11465" t="s">
        <v>19830</v>
      </c>
      <c r="B11465" t="s">
        <v>19831</v>
      </c>
      <c r="C11465" s="1" t="str">
        <f>HYPERLINK("http://www.genecards.org/cgi-bin/carddisp.pl?gene=BMP3","GeneCards")</f>
        <v>GeneCards</v>
      </c>
      <c r="D11465" s="1" t="str">
        <f>HYPERLINK("http://genome-euro.ucsc.edu/cgi-bin/hgTracks?position=208244_at","UCSC")</f>
        <v>UCSC</v>
      </c>
      <c r="E11465" s="1" t="str">
        <f>HYPERLINK("http://www.ncbi.nlm.nih.gov/gene/?term=BMP3","NCBI")</f>
        <v>NCBI</v>
      </c>
      <c r="F11465">
        <v>0.3</v>
      </c>
      <c r="G11465">
        <v>0.44</v>
      </c>
      <c r="H11465" s="1" t="str">
        <f>HYPERLINK("http://www.weizmann.ac.il/complex/compphys/software/geview/data/figures/208244_at.png","Figure")</f>
        <v>Figure</v>
      </c>
      <c r="I11465">
        <v>1.1100000000000001</v>
      </c>
      <c r="J11465">
        <v>0.33</v>
      </c>
      <c r="K11465">
        <v>1.01</v>
      </c>
      <c r="L11465">
        <v>0.99</v>
      </c>
      <c r="M11465">
        <v>0.90900000000000003</v>
      </c>
      <c r="N11465">
        <v>0.35</v>
      </c>
    </row>
    <row r="11466" spans="1:14" x14ac:dyDescent="0.25">
      <c r="A11466" t="s">
        <v>19832</v>
      </c>
      <c r="B11466" t="s">
        <v>19833</v>
      </c>
      <c r="C11466" s="1" t="str">
        <f>HYPERLINK("http://www.genecards.org/cgi-bin/carddisp.pl?gene=TM7SF2","GeneCards")</f>
        <v>GeneCards</v>
      </c>
      <c r="D11466" s="1" t="str">
        <f>HYPERLINK("http://genome-euro.ucsc.edu/cgi-bin/hgTracks?position=210130_s_at","UCSC")</f>
        <v>UCSC</v>
      </c>
      <c r="E11466" s="1" t="str">
        <f>HYPERLINK("http://www.ncbi.nlm.nih.gov/gene/?term=TM7SF2","NCBI")</f>
        <v>NCBI</v>
      </c>
      <c r="F11466">
        <v>0.3</v>
      </c>
      <c r="G11466">
        <v>0.44</v>
      </c>
      <c r="H11466" s="1" t="str">
        <f>HYPERLINK("http://www.weizmann.ac.il/complex/compphys/software/geview/data/figures/210130_s_at.png","Figure")</f>
        <v>Figure</v>
      </c>
      <c r="I11466">
        <v>1.1000000000000001</v>
      </c>
      <c r="J11466">
        <v>0.59</v>
      </c>
      <c r="K11466">
        <v>1.1399999999999999</v>
      </c>
      <c r="L11466">
        <v>0.27</v>
      </c>
      <c r="M11466">
        <v>1.04</v>
      </c>
      <c r="N11466">
        <v>0.89</v>
      </c>
    </row>
    <row r="11467" spans="1:14" x14ac:dyDescent="0.25">
      <c r="A11467" t="s">
        <v>19834</v>
      </c>
      <c r="B11467" t="s">
        <v>19835</v>
      </c>
      <c r="C11467" s="1" t="str">
        <f>HYPERLINK("http://www.genecards.org/cgi-bin/carddisp.pl?gene=MED25","GeneCards")</f>
        <v>GeneCards</v>
      </c>
      <c r="D11467" s="1" t="str">
        <f>HYPERLINK("http://genome-euro.ucsc.edu/cgi-bin/hgTracks?position=208110_x_at","UCSC")</f>
        <v>UCSC</v>
      </c>
      <c r="E11467" s="1" t="str">
        <f>HYPERLINK("http://www.ncbi.nlm.nih.gov/gene/?term=MED25","NCBI")</f>
        <v>NCBI</v>
      </c>
      <c r="F11467">
        <v>0.3</v>
      </c>
      <c r="G11467">
        <v>0.44</v>
      </c>
      <c r="H11467" s="1" t="str">
        <f>HYPERLINK("http://www.weizmann.ac.il/complex/compphys/software/geview/data/figures/208110_x_at.png","Figure")</f>
        <v>Figure</v>
      </c>
      <c r="I11467">
        <v>1.1299999999999999</v>
      </c>
      <c r="J11467">
        <v>0.43</v>
      </c>
      <c r="K11467">
        <v>1.1299999999999999</v>
      </c>
      <c r="L11467">
        <v>0.31</v>
      </c>
      <c r="M11467">
        <v>1.01</v>
      </c>
      <c r="N11467">
        <v>1</v>
      </c>
    </row>
    <row r="11468" spans="1:14" x14ac:dyDescent="0.25">
      <c r="A11468" t="s">
        <v>19836</v>
      </c>
      <c r="B11468" t="s">
        <v>9789</v>
      </c>
      <c r="C11468" s="1" t="str">
        <f>HYPERLINK("http://www.genecards.org/cgi-bin/carddisp.pl?gene=CRIM1","GeneCards")</f>
        <v>GeneCards</v>
      </c>
      <c r="D11468" s="1" t="str">
        <f>HYPERLINK("http://genome-euro.ucsc.edu/cgi-bin/hgTracks?position=202552_s_at","UCSC")</f>
        <v>UCSC</v>
      </c>
      <c r="E11468" s="1" t="str">
        <f>HYPERLINK("http://www.ncbi.nlm.nih.gov/gene/?term=CRIM1","NCBI")</f>
        <v>NCBI</v>
      </c>
      <c r="F11468">
        <v>0.3</v>
      </c>
      <c r="G11468">
        <v>0.44</v>
      </c>
      <c r="H11468" s="1" t="str">
        <f>HYPERLINK("http://www.weizmann.ac.il/complex/compphys/software/geview/data/figures/202552_s_at.png","Figure")</f>
        <v>Figure</v>
      </c>
      <c r="I11468">
        <v>0.77</v>
      </c>
      <c r="J11468">
        <v>0.51</v>
      </c>
      <c r="K11468">
        <v>0.72399999999999998</v>
      </c>
      <c r="L11468">
        <v>0.28000000000000003</v>
      </c>
      <c r="M11468">
        <v>0.94099999999999995</v>
      </c>
      <c r="N11468">
        <v>0.96</v>
      </c>
    </row>
    <row r="11469" spans="1:14" x14ac:dyDescent="0.25">
      <c r="A11469" t="s">
        <v>19837</v>
      </c>
      <c r="B11469" t="s">
        <v>17943</v>
      </c>
      <c r="C11469" s="1" t="str">
        <f>HYPERLINK("http://www.genecards.org/cgi-bin/carddisp.pl?gene=INPP5K","GeneCards")</f>
        <v>GeneCards</v>
      </c>
      <c r="D11469" s="1" t="str">
        <f>HYPERLINK("http://genome-euro.ucsc.edu/cgi-bin/hgTracks?position=202781_s_at","UCSC")</f>
        <v>UCSC</v>
      </c>
      <c r="E11469" s="1" t="str">
        <f>HYPERLINK("http://www.ncbi.nlm.nih.gov/gene/?term=INPP5K","NCBI")</f>
        <v>NCBI</v>
      </c>
      <c r="F11469">
        <v>0.3</v>
      </c>
      <c r="G11469">
        <v>0.44</v>
      </c>
      <c r="H11469" s="1" t="str">
        <f>HYPERLINK("http://www.weizmann.ac.il/complex/compphys/software/geview/data/figures/202781_s_at.png","Figure")</f>
        <v>Figure</v>
      </c>
      <c r="I11469">
        <v>1.3</v>
      </c>
      <c r="J11469">
        <v>0.28000000000000003</v>
      </c>
      <c r="K11469">
        <v>1.17</v>
      </c>
      <c r="L11469">
        <v>0.53</v>
      </c>
      <c r="M11469">
        <v>0.9</v>
      </c>
      <c r="N11469">
        <v>0.78</v>
      </c>
    </row>
    <row r="11470" spans="1:14" x14ac:dyDescent="0.25">
      <c r="A11470" t="s">
        <v>19838</v>
      </c>
      <c r="B11470" t="s">
        <v>19839</v>
      </c>
      <c r="C11470" s="1" t="str">
        <f>HYPERLINK("http://www.genecards.org/cgi-bin/carddisp.pl?gene=TXNDC9","GeneCards")</f>
        <v>GeneCards</v>
      </c>
      <c r="D11470" s="1" t="str">
        <f>HYPERLINK("http://genome-euro.ucsc.edu/cgi-bin/hgTracks?position=203008_x_at","UCSC")</f>
        <v>UCSC</v>
      </c>
      <c r="E11470" s="1" t="str">
        <f>HYPERLINK("http://www.ncbi.nlm.nih.gov/gene/?term=TXNDC9","NCBI")</f>
        <v>NCBI</v>
      </c>
      <c r="F11470">
        <v>0.3</v>
      </c>
      <c r="G11470">
        <v>0.44</v>
      </c>
      <c r="H11470" s="1" t="str">
        <f>HYPERLINK("http://www.weizmann.ac.il/complex/compphys/software/geview/data/figures/203008_x_at.png","Figure")</f>
        <v>Figure</v>
      </c>
      <c r="I11470">
        <v>0.69599999999999995</v>
      </c>
      <c r="J11470">
        <v>0.36</v>
      </c>
      <c r="K11470">
        <v>0.997</v>
      </c>
      <c r="L11470">
        <v>1</v>
      </c>
      <c r="M11470">
        <v>1.43</v>
      </c>
      <c r="N11470">
        <v>0.32</v>
      </c>
    </row>
    <row r="11471" spans="1:14" x14ac:dyDescent="0.25">
      <c r="A11471" t="s">
        <v>19840</v>
      </c>
      <c r="B11471" t="s">
        <v>19841</v>
      </c>
      <c r="C11471" s="1" t="str">
        <f>HYPERLINK("http://www.genecards.org/cgi-bin/carddisp.pl?gene=INHA","GeneCards")</f>
        <v>GeneCards</v>
      </c>
      <c r="D11471" s="1" t="str">
        <f>HYPERLINK("http://genome-euro.ucsc.edu/cgi-bin/hgTracks?position=210141_s_at","UCSC")</f>
        <v>UCSC</v>
      </c>
      <c r="E11471" s="1" t="str">
        <f>HYPERLINK("http://www.ncbi.nlm.nih.gov/gene/?term=INHA","NCBI")</f>
        <v>NCBI</v>
      </c>
      <c r="F11471">
        <v>0.3</v>
      </c>
      <c r="G11471">
        <v>0.44</v>
      </c>
      <c r="H11471" s="1" t="str">
        <f>HYPERLINK("http://www.weizmann.ac.il/complex/compphys/software/geview/data/figures/210141_s_at.png","Figure")</f>
        <v>Figure</v>
      </c>
      <c r="I11471">
        <v>1.07</v>
      </c>
      <c r="J11471">
        <v>0.35</v>
      </c>
      <c r="K11471">
        <v>1.06</v>
      </c>
      <c r="L11471">
        <v>0.37</v>
      </c>
      <c r="M11471">
        <v>0.98899999999999999</v>
      </c>
      <c r="N11471">
        <v>0.97</v>
      </c>
    </row>
    <row r="11472" spans="1:14" x14ac:dyDescent="0.25">
      <c r="A11472" t="s">
        <v>19842</v>
      </c>
      <c r="B11472" t="s">
        <v>1738</v>
      </c>
      <c r="C11472" s="1" t="str">
        <f>HYPERLINK("http://www.genecards.org/cgi-bin/carddisp.pl?gene=FHL1","GeneCards")</f>
        <v>GeneCards</v>
      </c>
      <c r="D11472" s="1" t="str">
        <f>HYPERLINK("http://genome-euro.ucsc.edu/cgi-bin/hgTracks?position=210298_x_at","UCSC")</f>
        <v>UCSC</v>
      </c>
      <c r="E11472" s="1" t="str">
        <f>HYPERLINK("http://www.ncbi.nlm.nih.gov/gene/?term=FHL1","NCBI")</f>
        <v>NCBI</v>
      </c>
      <c r="F11472">
        <v>0.3</v>
      </c>
      <c r="G11472">
        <v>0.44</v>
      </c>
      <c r="H11472" s="1" t="str">
        <f>HYPERLINK("http://www.weizmann.ac.il/complex/compphys/software/geview/data/figures/210298_x_at.png","Figure")</f>
        <v>Figure</v>
      </c>
      <c r="I11472">
        <v>0.72699999999999998</v>
      </c>
      <c r="J11472">
        <v>0.3</v>
      </c>
      <c r="K11472">
        <v>0.80200000000000005</v>
      </c>
      <c r="L11472">
        <v>0.46</v>
      </c>
      <c r="M11472">
        <v>1.1000000000000001</v>
      </c>
      <c r="N11472">
        <v>0.87</v>
      </c>
    </row>
    <row r="11473" spans="1:14" x14ac:dyDescent="0.25">
      <c r="A11473" t="s">
        <v>19843</v>
      </c>
      <c r="B11473" t="s">
        <v>19844</v>
      </c>
      <c r="C11473" s="1" t="str">
        <f>HYPERLINK("http://www.genecards.org/cgi-bin/carddisp.pl?gene=KCTD20","GeneCards")</f>
        <v>GeneCards</v>
      </c>
      <c r="D11473" s="1" t="str">
        <f>HYPERLINK("http://genome-euro.ucsc.edu/cgi-bin/hgTracks?position=214849_at","UCSC")</f>
        <v>UCSC</v>
      </c>
      <c r="E11473" s="1" t="str">
        <f>HYPERLINK("http://www.ncbi.nlm.nih.gov/gene/?term=KCTD20","NCBI")</f>
        <v>NCBI</v>
      </c>
      <c r="F11473">
        <v>0.3</v>
      </c>
      <c r="G11473">
        <v>0.44</v>
      </c>
      <c r="H11473" s="1" t="str">
        <f>HYPERLINK("http://www.weizmann.ac.il/complex/compphys/software/geview/data/figures/214849_at.png","Figure")</f>
        <v>Figure</v>
      </c>
      <c r="I11473">
        <v>1.2</v>
      </c>
      <c r="J11473">
        <v>0.27</v>
      </c>
      <c r="K11473">
        <v>1.07</v>
      </c>
      <c r="L11473">
        <v>0.77</v>
      </c>
      <c r="M11473">
        <v>0.89300000000000002</v>
      </c>
      <c r="N11473">
        <v>0.53</v>
      </c>
    </row>
    <row r="11474" spans="1:14" x14ac:dyDescent="0.25">
      <c r="A11474" t="s">
        <v>19845</v>
      </c>
      <c r="B11474" t="s">
        <v>19846</v>
      </c>
      <c r="C11474" s="1" t="str">
        <f>HYPERLINK("http://www.genecards.org/cgi-bin/carddisp.pl?gene=STOML2","GeneCards")</f>
        <v>GeneCards</v>
      </c>
      <c r="D11474" s="1" t="str">
        <f>HYPERLINK("http://genome-euro.ucsc.edu/cgi-bin/hgTracks?position=215416_s_at","UCSC")</f>
        <v>UCSC</v>
      </c>
      <c r="E11474" s="1" t="str">
        <f>HYPERLINK("http://www.ncbi.nlm.nih.gov/gene/?term=STOML2","NCBI")</f>
        <v>NCBI</v>
      </c>
      <c r="F11474">
        <v>0.3</v>
      </c>
      <c r="G11474">
        <v>0.44</v>
      </c>
      <c r="H11474" s="1" t="str">
        <f>HYPERLINK("http://www.weizmann.ac.il/complex/compphys/software/geview/data/figures/215416_s_at.png","Figure")</f>
        <v>Figure</v>
      </c>
      <c r="I11474">
        <v>0.752</v>
      </c>
      <c r="J11474">
        <v>0.43</v>
      </c>
      <c r="K11474">
        <v>1.05</v>
      </c>
      <c r="L11474">
        <v>0.97</v>
      </c>
      <c r="M11474">
        <v>1.39</v>
      </c>
      <c r="N11474">
        <v>0.28999999999999998</v>
      </c>
    </row>
    <row r="11475" spans="1:14" x14ac:dyDescent="0.25">
      <c r="A11475" t="s">
        <v>19847</v>
      </c>
      <c r="B11475" t="s">
        <v>19848</v>
      </c>
      <c r="C11475" s="1" t="str">
        <f>HYPERLINK("http://www.genecards.org/cgi-bin/carddisp.pl?gene=HERC2P2 /// HERC2P3 /// LOC440248","GeneCards")</f>
        <v>GeneCards</v>
      </c>
      <c r="D11475" s="1" t="str">
        <f>HYPERLINK("http://genome-euro.ucsc.edu/cgi-bin/hgTracks?position=217317_s_at","UCSC")</f>
        <v>UCSC</v>
      </c>
      <c r="E11475" s="1" t="str">
        <f>HYPERLINK("http://www.ncbi.nlm.nih.gov/gene/?term=HERC2P2 /// HERC2P3 /// LOC440248","NCBI")</f>
        <v>NCBI</v>
      </c>
      <c r="F11475">
        <v>0.3</v>
      </c>
      <c r="G11475">
        <v>0.44</v>
      </c>
      <c r="H11475" s="1" t="str">
        <f>HYPERLINK("http://www.weizmann.ac.il/complex/compphys/software/geview/data/figures/217317_s_at.png","Figure")</f>
        <v>Figure</v>
      </c>
      <c r="I11475">
        <v>0.68200000000000005</v>
      </c>
      <c r="J11475">
        <v>0.36</v>
      </c>
      <c r="K11475">
        <v>0.996</v>
      </c>
      <c r="L11475">
        <v>1</v>
      </c>
      <c r="M11475">
        <v>1.46</v>
      </c>
      <c r="N11475">
        <v>0.32</v>
      </c>
    </row>
    <row r="11476" spans="1:14" x14ac:dyDescent="0.25">
      <c r="A11476" t="s">
        <v>19849</v>
      </c>
      <c r="B11476" t="s">
        <v>19850</v>
      </c>
      <c r="C11476" s="1" t="str">
        <f>HYPERLINK("http://www.genecards.org/cgi-bin/carddisp.pl?gene=ARFGEF2","GeneCards")</f>
        <v>GeneCards</v>
      </c>
      <c r="D11476" s="1" t="str">
        <f>HYPERLINK("http://genome-euro.ucsc.edu/cgi-bin/hgTracks?position=215931_s_at","UCSC")</f>
        <v>UCSC</v>
      </c>
      <c r="E11476" s="1" t="str">
        <f>HYPERLINK("http://www.ncbi.nlm.nih.gov/gene/?term=ARFGEF2","NCBI")</f>
        <v>NCBI</v>
      </c>
      <c r="F11476">
        <v>0.3</v>
      </c>
      <c r="G11476">
        <v>0.44</v>
      </c>
      <c r="H11476" s="1" t="str">
        <f>HYPERLINK("http://www.weizmann.ac.il/complex/compphys/software/geview/data/figures/215931_s_at.png","Figure")</f>
        <v>Figure</v>
      </c>
      <c r="I11476">
        <v>1</v>
      </c>
      <c r="J11476">
        <v>1</v>
      </c>
      <c r="K11476">
        <v>0.81100000000000005</v>
      </c>
      <c r="L11476">
        <v>0.36</v>
      </c>
      <c r="M11476">
        <v>0.81100000000000005</v>
      </c>
      <c r="N11476">
        <v>0.41</v>
      </c>
    </row>
    <row r="11477" spans="1:14" x14ac:dyDescent="0.25">
      <c r="A11477" t="s">
        <v>19851</v>
      </c>
      <c r="B11477" t="s">
        <v>19852</v>
      </c>
      <c r="C11477" s="1" t="str">
        <f>HYPERLINK("http://www.genecards.org/cgi-bin/carddisp.pl?gene=RELA","GeneCards")</f>
        <v>GeneCards</v>
      </c>
      <c r="D11477" s="1" t="str">
        <f>HYPERLINK("http://genome-euro.ucsc.edu/cgi-bin/hgTracks?position=201783_s_at","UCSC")</f>
        <v>UCSC</v>
      </c>
      <c r="E11477" s="1" t="str">
        <f>HYPERLINK("http://www.ncbi.nlm.nih.gov/gene/?term=RELA","NCBI")</f>
        <v>NCBI</v>
      </c>
      <c r="F11477">
        <v>0.3</v>
      </c>
      <c r="G11477">
        <v>0.44</v>
      </c>
      <c r="H11477" s="1" t="str">
        <f>HYPERLINK("http://www.weizmann.ac.il/complex/compphys/software/geview/data/figures/201783_s_at.png","Figure")</f>
        <v>Figure</v>
      </c>
      <c r="I11477">
        <v>1.21</v>
      </c>
      <c r="J11477">
        <v>0.4</v>
      </c>
      <c r="K11477">
        <v>0.98599999999999999</v>
      </c>
      <c r="L11477">
        <v>0.99</v>
      </c>
      <c r="M11477">
        <v>0.81399999999999995</v>
      </c>
      <c r="N11477">
        <v>0.3</v>
      </c>
    </row>
    <row r="11478" spans="1:14" x14ac:dyDescent="0.25">
      <c r="A11478" t="s">
        <v>19853</v>
      </c>
      <c r="B11478" t="s">
        <v>10870</v>
      </c>
      <c r="C11478" s="1" t="str">
        <f>HYPERLINK("http://www.genecards.org/cgi-bin/carddisp.pl?gene=NIPBL","GeneCards")</f>
        <v>GeneCards</v>
      </c>
      <c r="D11478" s="1" t="str">
        <f>HYPERLINK("http://genome-euro.ucsc.edu/cgi-bin/hgTracks?position=212483_at","UCSC")</f>
        <v>UCSC</v>
      </c>
      <c r="E11478" s="1" t="str">
        <f>HYPERLINK("http://www.ncbi.nlm.nih.gov/gene/?term=NIPBL","NCBI")</f>
        <v>NCBI</v>
      </c>
      <c r="F11478">
        <v>0.3</v>
      </c>
      <c r="G11478">
        <v>0.44</v>
      </c>
      <c r="H11478" s="1" t="str">
        <f>HYPERLINK("http://www.weizmann.ac.il/complex/compphys/software/geview/data/figures/212483_at.png","Figure")</f>
        <v>Figure</v>
      </c>
      <c r="I11478">
        <v>0.70099999999999996</v>
      </c>
      <c r="J11478">
        <v>0.47</v>
      </c>
      <c r="K11478">
        <v>0.66600000000000004</v>
      </c>
      <c r="L11478">
        <v>0.28999999999999998</v>
      </c>
      <c r="M11478">
        <v>0.95</v>
      </c>
      <c r="N11478">
        <v>0.98</v>
      </c>
    </row>
    <row r="11479" spans="1:14" x14ac:dyDescent="0.25">
      <c r="A11479" t="s">
        <v>19854</v>
      </c>
      <c r="B11479" t="s">
        <v>5635</v>
      </c>
      <c r="C11479" s="1" t="str">
        <f>HYPERLINK("http://www.genecards.org/cgi-bin/carddisp.pl?gene=SFRS2IP","GeneCards")</f>
        <v>GeneCards</v>
      </c>
      <c r="D11479" s="1" t="str">
        <f>HYPERLINK("http://genome-euro.ucsc.edu/cgi-bin/hgTracks?position=213850_s_at","UCSC")</f>
        <v>UCSC</v>
      </c>
      <c r="E11479" s="1" t="str">
        <f>HYPERLINK("http://www.ncbi.nlm.nih.gov/gene/?term=SFRS2IP","NCBI")</f>
        <v>NCBI</v>
      </c>
      <c r="F11479">
        <v>0.3</v>
      </c>
      <c r="G11479">
        <v>0.44</v>
      </c>
      <c r="H11479" s="1" t="str">
        <f>HYPERLINK("http://www.weizmann.ac.il/complex/compphys/software/geview/data/figures/213850_s_at.png","Figure")</f>
        <v>Figure</v>
      </c>
      <c r="I11479">
        <v>1.2</v>
      </c>
      <c r="J11479">
        <v>0.63</v>
      </c>
      <c r="K11479">
        <v>0.88900000000000001</v>
      </c>
      <c r="L11479">
        <v>0.78</v>
      </c>
      <c r="M11479">
        <v>0.73799999999999999</v>
      </c>
      <c r="N11479">
        <v>0.27</v>
      </c>
    </row>
    <row r="11480" spans="1:14" x14ac:dyDescent="0.25">
      <c r="A11480" t="s">
        <v>19855</v>
      </c>
      <c r="B11480" t="s">
        <v>19856</v>
      </c>
      <c r="C11480" s="1" t="str">
        <f>HYPERLINK("http://www.genecards.org/cgi-bin/carddisp.pl?gene=PCNXL2","GeneCards")</f>
        <v>GeneCards</v>
      </c>
      <c r="D11480" s="1" t="str">
        <f>HYPERLINK("http://genome-euro.ucsc.edu/cgi-bin/hgTracks?position=39650_s_at","UCSC")</f>
        <v>UCSC</v>
      </c>
      <c r="E11480" s="1" t="str">
        <f>HYPERLINK("http://www.ncbi.nlm.nih.gov/gene/?term=PCNXL2","NCBI")</f>
        <v>NCBI</v>
      </c>
      <c r="F11480">
        <v>0.3</v>
      </c>
      <c r="G11480">
        <v>0.44</v>
      </c>
      <c r="H11480" s="1" t="str">
        <f>HYPERLINK("http://www.weizmann.ac.il/complex/compphys/software/geview/data/figures/39650_s_at.png","Figure")</f>
        <v>Figure</v>
      </c>
      <c r="I11480">
        <v>1.04</v>
      </c>
      <c r="J11480">
        <v>0.89</v>
      </c>
      <c r="K11480">
        <v>1.1299999999999999</v>
      </c>
      <c r="L11480">
        <v>0.28000000000000003</v>
      </c>
      <c r="M11480">
        <v>1.08</v>
      </c>
      <c r="N11480">
        <v>0.6</v>
      </c>
    </row>
    <row r="11481" spans="1:14" x14ac:dyDescent="0.25">
      <c r="A11481" t="s">
        <v>19857</v>
      </c>
      <c r="B11481" t="s">
        <v>19858</v>
      </c>
      <c r="C11481" s="1" t="str">
        <f>HYPERLINK("http://www.genecards.org/cgi-bin/carddisp.pl?gene=KCNJ6","GeneCards")</f>
        <v>GeneCards</v>
      </c>
      <c r="D11481" s="1" t="str">
        <f>HYPERLINK("http://genome-euro.ucsc.edu/cgi-bin/hgTracks?position=210454_s_at","UCSC")</f>
        <v>UCSC</v>
      </c>
      <c r="E11481" s="1" t="str">
        <f>HYPERLINK("http://www.ncbi.nlm.nih.gov/gene/?term=KCNJ6","NCBI")</f>
        <v>NCBI</v>
      </c>
      <c r="F11481">
        <v>0.3</v>
      </c>
      <c r="G11481">
        <v>0.44</v>
      </c>
      <c r="H11481" s="1" t="str">
        <f>HYPERLINK("http://www.weizmann.ac.il/complex/compphys/software/geview/data/figures/210454_s_at.png","Figure")</f>
        <v>Figure</v>
      </c>
      <c r="I11481">
        <v>1.0900000000000001</v>
      </c>
      <c r="J11481">
        <v>0.43</v>
      </c>
      <c r="K11481">
        <v>0.98599999999999999</v>
      </c>
      <c r="L11481">
        <v>0.97</v>
      </c>
      <c r="M11481">
        <v>0.90300000000000002</v>
      </c>
      <c r="N11481">
        <v>0.28999999999999998</v>
      </c>
    </row>
    <row r="11482" spans="1:14" x14ac:dyDescent="0.25">
      <c r="A11482" t="s">
        <v>19859</v>
      </c>
      <c r="B11482" t="s">
        <v>19860</v>
      </c>
      <c r="C11482" s="1" t="str">
        <f>HYPERLINK("http://www.genecards.org/cgi-bin/carddisp.pl?gene=SEMA3G","GeneCards")</f>
        <v>GeneCards</v>
      </c>
      <c r="D11482" s="1" t="str">
        <f>HYPERLINK("http://genome-euro.ucsc.edu/cgi-bin/hgTracks?position=219689_at","UCSC")</f>
        <v>UCSC</v>
      </c>
      <c r="E11482" s="1" t="str">
        <f>HYPERLINK("http://www.ncbi.nlm.nih.gov/gene/?term=SEMA3G","NCBI")</f>
        <v>NCBI</v>
      </c>
      <c r="F11482">
        <v>0.3</v>
      </c>
      <c r="G11482">
        <v>0.44</v>
      </c>
      <c r="H11482" s="1" t="str">
        <f>HYPERLINK("http://www.weizmann.ac.il/complex/compphys/software/geview/data/figures/219689_at.png","Figure")</f>
        <v>Figure</v>
      </c>
      <c r="I11482">
        <v>1.05</v>
      </c>
      <c r="J11482">
        <v>0.63</v>
      </c>
      <c r="K11482">
        <v>0.96699999999999997</v>
      </c>
      <c r="L11482">
        <v>0.78</v>
      </c>
      <c r="M11482">
        <v>0.91800000000000004</v>
      </c>
      <c r="N11482">
        <v>0.27</v>
      </c>
    </row>
    <row r="11483" spans="1:14" x14ac:dyDescent="0.25">
      <c r="A11483" t="s">
        <v>19861</v>
      </c>
      <c r="B11483" t="s">
        <v>19862</v>
      </c>
      <c r="C11483" s="1" t="str">
        <f>HYPERLINK("http://www.genecards.org/cgi-bin/carddisp.pl?gene=SYNJ1","GeneCards")</f>
        <v>GeneCards</v>
      </c>
      <c r="D11483" s="1" t="str">
        <f>HYPERLINK("http://genome-euro.ucsc.edu/cgi-bin/hgTracks?position=212990_at","UCSC")</f>
        <v>UCSC</v>
      </c>
      <c r="E11483" s="1" t="str">
        <f>HYPERLINK("http://www.ncbi.nlm.nih.gov/gene/?term=SYNJ1","NCBI")</f>
        <v>NCBI</v>
      </c>
      <c r="F11483">
        <v>0.3</v>
      </c>
      <c r="G11483">
        <v>0.44</v>
      </c>
      <c r="H11483" s="1" t="str">
        <f>HYPERLINK("http://www.weizmann.ac.il/complex/compphys/software/geview/data/figures/212990_at.png","Figure")</f>
        <v>Figure</v>
      </c>
      <c r="I11483">
        <v>0.78300000000000003</v>
      </c>
      <c r="J11483">
        <v>0.6</v>
      </c>
      <c r="K11483">
        <v>0.70199999999999996</v>
      </c>
      <c r="L11483">
        <v>0.27</v>
      </c>
      <c r="M11483">
        <v>0.89600000000000002</v>
      </c>
      <c r="N11483">
        <v>0.89</v>
      </c>
    </row>
    <row r="11484" spans="1:14" x14ac:dyDescent="0.25">
      <c r="A11484" t="s">
        <v>19863</v>
      </c>
      <c r="B11484" t="s">
        <v>19864</v>
      </c>
      <c r="C11484" s="1" t="str">
        <f>HYPERLINK("http://www.genecards.org/cgi-bin/carddisp.pl?gene=USP6NL","GeneCards")</f>
        <v>GeneCards</v>
      </c>
      <c r="D11484" s="1" t="str">
        <f>HYPERLINK("http://genome-euro.ucsc.edu/cgi-bin/hgTracks?position=204761_at","UCSC")</f>
        <v>UCSC</v>
      </c>
      <c r="E11484" s="1" t="str">
        <f>HYPERLINK("http://www.ncbi.nlm.nih.gov/gene/?term=USP6NL","NCBI")</f>
        <v>NCBI</v>
      </c>
      <c r="F11484">
        <v>0.3</v>
      </c>
      <c r="G11484">
        <v>0.44</v>
      </c>
      <c r="H11484" s="1" t="str">
        <f>HYPERLINK("http://www.weizmann.ac.il/complex/compphys/software/geview/data/figures/204761_at.png","Figure")</f>
        <v>Figure</v>
      </c>
      <c r="I11484">
        <v>0.995</v>
      </c>
      <c r="J11484">
        <v>0.99</v>
      </c>
      <c r="K11484">
        <v>0.94799999999999995</v>
      </c>
      <c r="L11484">
        <v>0.34</v>
      </c>
      <c r="M11484">
        <v>0.95299999999999996</v>
      </c>
      <c r="N11484">
        <v>0.45</v>
      </c>
    </row>
    <row r="11485" spans="1:14" x14ac:dyDescent="0.25">
      <c r="A11485" t="s">
        <v>19865</v>
      </c>
      <c r="B11485" t="s">
        <v>19866</v>
      </c>
      <c r="C11485" s="1" t="str">
        <f>HYPERLINK("http://www.genecards.org/cgi-bin/carddisp.pl?gene=C5","GeneCards")</f>
        <v>GeneCards</v>
      </c>
      <c r="D11485" s="1" t="str">
        <f>HYPERLINK("http://genome-euro.ucsc.edu/cgi-bin/hgTracks?position=205500_at","UCSC")</f>
        <v>UCSC</v>
      </c>
      <c r="E11485" s="1" t="str">
        <f>HYPERLINK("http://www.ncbi.nlm.nih.gov/gene/?term=C5","NCBI")</f>
        <v>NCBI</v>
      </c>
      <c r="F11485">
        <v>0.3</v>
      </c>
      <c r="G11485">
        <v>0.44</v>
      </c>
      <c r="H11485" s="1" t="str">
        <f>HYPERLINK("http://www.weizmann.ac.il/complex/compphys/software/geview/data/figures/205500_at.png","Figure")</f>
        <v>Figure</v>
      </c>
      <c r="I11485">
        <v>1.04</v>
      </c>
      <c r="J11485">
        <v>0.91</v>
      </c>
      <c r="K11485">
        <v>1.1499999999999999</v>
      </c>
      <c r="L11485">
        <v>0.28999999999999998</v>
      </c>
      <c r="M11485">
        <v>1.1000000000000001</v>
      </c>
      <c r="N11485">
        <v>0.57999999999999996</v>
      </c>
    </row>
    <row r="11486" spans="1:14" x14ac:dyDescent="0.25">
      <c r="A11486" t="s">
        <v>19867</v>
      </c>
      <c r="B11486" t="s">
        <v>10835</v>
      </c>
      <c r="C11486" s="1" t="str">
        <f>HYPERLINK("http://www.genecards.org/cgi-bin/carddisp.pl?gene=C2orf43","GeneCards")</f>
        <v>GeneCards</v>
      </c>
      <c r="D11486" s="1" t="str">
        <f>HYPERLINK("http://genome-euro.ucsc.edu/cgi-bin/hgTracks?position=222193_at","UCSC")</f>
        <v>UCSC</v>
      </c>
      <c r="E11486" s="1" t="str">
        <f>HYPERLINK("http://www.ncbi.nlm.nih.gov/gene/?term=C2orf43","NCBI")</f>
        <v>NCBI</v>
      </c>
      <c r="F11486">
        <v>0.3</v>
      </c>
      <c r="G11486">
        <v>0.44</v>
      </c>
      <c r="H11486" s="1" t="str">
        <f>HYPERLINK("http://www.weizmann.ac.il/complex/compphys/software/geview/data/figures/222193_at.png","Figure")</f>
        <v>Figure</v>
      </c>
      <c r="I11486">
        <v>1.1200000000000001</v>
      </c>
      <c r="J11486">
        <v>0.67</v>
      </c>
      <c r="K11486">
        <v>1.21</v>
      </c>
      <c r="L11486">
        <v>0.27</v>
      </c>
      <c r="M11486">
        <v>1.08</v>
      </c>
      <c r="N11486">
        <v>0.83</v>
      </c>
    </row>
    <row r="11487" spans="1:14" x14ac:dyDescent="0.25">
      <c r="A11487" t="s">
        <v>19868</v>
      </c>
      <c r="B11487" t="s">
        <v>19869</v>
      </c>
      <c r="C11487" s="1" t="str">
        <f>HYPERLINK("http://www.genecards.org/cgi-bin/carddisp.pl?gene=ASPM","GeneCards")</f>
        <v>GeneCards</v>
      </c>
      <c r="D11487" s="1" t="str">
        <f>HYPERLINK("http://genome-euro.ucsc.edu/cgi-bin/hgTracks?position=219918_s_at","UCSC")</f>
        <v>UCSC</v>
      </c>
      <c r="E11487" s="1" t="str">
        <f>HYPERLINK("http://www.ncbi.nlm.nih.gov/gene/?term=ASPM","NCBI")</f>
        <v>NCBI</v>
      </c>
      <c r="F11487">
        <v>0.3</v>
      </c>
      <c r="G11487">
        <v>0.44</v>
      </c>
      <c r="H11487" s="1" t="str">
        <f>HYPERLINK("http://www.weizmann.ac.il/complex/compphys/software/geview/data/figures/219918_s_at.png","Figure")</f>
        <v>Figure</v>
      </c>
      <c r="I11487">
        <v>1.17</v>
      </c>
      <c r="J11487">
        <v>0.87</v>
      </c>
      <c r="K11487">
        <v>1.56</v>
      </c>
      <c r="L11487">
        <v>0.28000000000000003</v>
      </c>
      <c r="M11487">
        <v>1.33</v>
      </c>
      <c r="N11487">
        <v>0.62</v>
      </c>
    </row>
    <row r="11488" spans="1:14" x14ac:dyDescent="0.25">
      <c r="A11488" t="s">
        <v>19870</v>
      </c>
      <c r="B11488" t="s">
        <v>19871</v>
      </c>
      <c r="C11488" s="1" t="str">
        <f>HYPERLINK("http://www.genecards.org/cgi-bin/carddisp.pl?gene=USE1","GeneCards")</f>
        <v>GeneCards</v>
      </c>
      <c r="D11488" s="1" t="str">
        <f>HYPERLINK("http://genome-euro.ucsc.edu/cgi-bin/hgTracks?position=219348_at","UCSC")</f>
        <v>UCSC</v>
      </c>
      <c r="E11488" s="1" t="str">
        <f>HYPERLINK("http://www.ncbi.nlm.nih.gov/gene/?term=USE1","NCBI")</f>
        <v>NCBI</v>
      </c>
      <c r="F11488">
        <v>0.3</v>
      </c>
      <c r="G11488">
        <v>0.44</v>
      </c>
      <c r="H11488" s="1" t="str">
        <f>HYPERLINK("http://www.weizmann.ac.il/complex/compphys/software/geview/data/figures/219348_at.png","Figure")</f>
        <v>Figure</v>
      </c>
      <c r="I11488">
        <v>0.93400000000000005</v>
      </c>
      <c r="J11488">
        <v>0.77</v>
      </c>
      <c r="K11488">
        <v>1.08</v>
      </c>
      <c r="L11488">
        <v>0.64</v>
      </c>
      <c r="M11488">
        <v>1.1599999999999999</v>
      </c>
      <c r="N11488">
        <v>0.28000000000000003</v>
      </c>
    </row>
    <row r="11489" spans="1:14" x14ac:dyDescent="0.25">
      <c r="A11489" t="s">
        <v>19872</v>
      </c>
      <c r="B11489" t="s">
        <v>15353</v>
      </c>
      <c r="C11489" s="1" t="str">
        <f>HYPERLINK("http://www.genecards.org/cgi-bin/carddisp.pl?gene=CSF1","GeneCards")</f>
        <v>GeneCards</v>
      </c>
      <c r="D11489" s="1" t="str">
        <f>HYPERLINK("http://genome-euro.ucsc.edu/cgi-bin/hgTracks?position=207082_at","UCSC")</f>
        <v>UCSC</v>
      </c>
      <c r="E11489" s="1" t="str">
        <f>HYPERLINK("http://www.ncbi.nlm.nih.gov/gene/?term=CSF1","NCBI")</f>
        <v>NCBI</v>
      </c>
      <c r="F11489">
        <v>0.3</v>
      </c>
      <c r="G11489">
        <v>0.44</v>
      </c>
      <c r="H11489" s="1" t="str">
        <f>HYPERLINK("http://www.weizmann.ac.il/complex/compphys/software/geview/data/figures/207082_at.png","Figure")</f>
        <v>Figure</v>
      </c>
      <c r="I11489">
        <v>1.05</v>
      </c>
      <c r="J11489">
        <v>0.83</v>
      </c>
      <c r="K11489">
        <v>0.92500000000000004</v>
      </c>
      <c r="L11489">
        <v>0.57999999999999996</v>
      </c>
      <c r="M11489">
        <v>0.877</v>
      </c>
      <c r="N11489">
        <v>0.28999999999999998</v>
      </c>
    </row>
    <row r="11490" spans="1:14" x14ac:dyDescent="0.25">
      <c r="A11490" t="s">
        <v>19873</v>
      </c>
      <c r="B11490" t="s">
        <v>19874</v>
      </c>
      <c r="C11490" s="1" t="str">
        <f>HYPERLINK("http://www.genecards.org/cgi-bin/carddisp.pl?gene=SLC39A1","GeneCards")</f>
        <v>GeneCards</v>
      </c>
      <c r="D11490" s="1" t="str">
        <f>HYPERLINK("http://genome-euro.ucsc.edu/cgi-bin/hgTracks?position=217778_at","UCSC")</f>
        <v>UCSC</v>
      </c>
      <c r="E11490" s="1" t="str">
        <f>HYPERLINK("http://www.ncbi.nlm.nih.gov/gene/?term=SLC39A1","NCBI")</f>
        <v>NCBI</v>
      </c>
      <c r="F11490">
        <v>0.3</v>
      </c>
      <c r="G11490">
        <v>0.44</v>
      </c>
      <c r="H11490" s="1" t="str">
        <f>HYPERLINK("http://www.weizmann.ac.il/complex/compphys/software/geview/data/figures/217778_at.png","Figure")</f>
        <v>Figure</v>
      </c>
      <c r="I11490">
        <v>0.93100000000000005</v>
      </c>
      <c r="J11490">
        <v>0.6</v>
      </c>
      <c r="K11490">
        <v>1.04</v>
      </c>
      <c r="L11490">
        <v>0.81</v>
      </c>
      <c r="M11490">
        <v>1.1200000000000001</v>
      </c>
      <c r="N11490">
        <v>0.27</v>
      </c>
    </row>
    <row r="11491" spans="1:14" x14ac:dyDescent="0.25">
      <c r="A11491" t="s">
        <v>19875</v>
      </c>
      <c r="B11491" t="s">
        <v>19876</v>
      </c>
      <c r="C11491" s="1" t="str">
        <f>HYPERLINK("http://www.genecards.org/cgi-bin/carddisp.pl?gene=TMEM57","GeneCards")</f>
        <v>GeneCards</v>
      </c>
      <c r="D11491" s="1" t="str">
        <f>HYPERLINK("http://genome-euro.ucsc.edu/cgi-bin/hgTracks?position=218562_s_at","UCSC")</f>
        <v>UCSC</v>
      </c>
      <c r="E11491" s="1" t="str">
        <f>HYPERLINK("http://www.ncbi.nlm.nih.gov/gene/?term=TMEM57","NCBI")</f>
        <v>NCBI</v>
      </c>
      <c r="F11491">
        <v>0.3</v>
      </c>
      <c r="G11491">
        <v>0.44</v>
      </c>
      <c r="H11491" s="1" t="str">
        <f>HYPERLINK("http://www.weizmann.ac.il/complex/compphys/software/geview/data/figures/218562_s_at.png","Figure")</f>
        <v>Figure</v>
      </c>
      <c r="I11491">
        <v>1.03</v>
      </c>
      <c r="J11491">
        <v>0.99</v>
      </c>
      <c r="K11491">
        <v>0.80400000000000005</v>
      </c>
      <c r="L11491">
        <v>0.41</v>
      </c>
      <c r="M11491">
        <v>0.78</v>
      </c>
      <c r="N11491">
        <v>0.37</v>
      </c>
    </row>
    <row r="11492" spans="1:14" x14ac:dyDescent="0.25">
      <c r="A11492" t="s">
        <v>19877</v>
      </c>
      <c r="B11492" t="s">
        <v>19878</v>
      </c>
      <c r="C11492" s="1" t="str">
        <f>HYPERLINK("http://www.genecards.org/cgi-bin/carddisp.pl?gene=C2orf61 /// CALM2","GeneCards")</f>
        <v>GeneCards</v>
      </c>
      <c r="D11492" s="1" t="str">
        <f>HYPERLINK("http://genome-euro.ucsc.edu/cgi-bin/hgTracks?position=207243_s_at","UCSC")</f>
        <v>UCSC</v>
      </c>
      <c r="E11492" s="1" t="str">
        <f>HYPERLINK("http://www.ncbi.nlm.nih.gov/gene/?term=C2orf61 /// CALM2","NCBI")</f>
        <v>NCBI</v>
      </c>
      <c r="F11492">
        <v>0.3</v>
      </c>
      <c r="G11492">
        <v>0.44</v>
      </c>
      <c r="H11492" s="1" t="str">
        <f>HYPERLINK("http://www.weizmann.ac.il/complex/compphys/software/geview/data/figures/207243_s_at.png","Figure")</f>
        <v>Figure</v>
      </c>
      <c r="I11492">
        <v>0.98599999999999999</v>
      </c>
      <c r="J11492">
        <v>1</v>
      </c>
      <c r="K11492">
        <v>1.33</v>
      </c>
      <c r="L11492">
        <v>0.38</v>
      </c>
      <c r="M11492">
        <v>1.35</v>
      </c>
      <c r="N11492">
        <v>0.39</v>
      </c>
    </row>
    <row r="11493" spans="1:14" x14ac:dyDescent="0.25">
      <c r="A11493" t="s">
        <v>19879</v>
      </c>
      <c r="B11493" t="s">
        <v>19880</v>
      </c>
      <c r="C11493" s="1" t="str">
        <f>HYPERLINK("http://www.genecards.org/cgi-bin/carddisp.pl?gene=LOC646808","GeneCards")</f>
        <v>GeneCards</v>
      </c>
      <c r="D11493" s="1" t="str">
        <f>HYPERLINK("http://genome-euro.ucsc.edu/cgi-bin/hgTracks?position=222338_x_at","UCSC")</f>
        <v>UCSC</v>
      </c>
      <c r="E11493" s="1" t="str">
        <f>HYPERLINK("http://www.ncbi.nlm.nih.gov/gene/?term=LOC646808","NCBI")</f>
        <v>NCBI</v>
      </c>
      <c r="F11493">
        <v>0.3</v>
      </c>
      <c r="G11493">
        <v>0.44</v>
      </c>
      <c r="H11493" s="1" t="str">
        <f>HYPERLINK("http://www.weizmann.ac.il/complex/compphys/software/geview/data/figures/222338_x_at.png","Figure")</f>
        <v>Figure</v>
      </c>
      <c r="I11493">
        <v>0.92900000000000005</v>
      </c>
      <c r="J11493">
        <v>0.7</v>
      </c>
      <c r="K11493">
        <v>1.07</v>
      </c>
      <c r="L11493">
        <v>0.7</v>
      </c>
      <c r="M11493">
        <v>1.1499999999999999</v>
      </c>
      <c r="N11493">
        <v>0.27</v>
      </c>
    </row>
    <row r="11494" spans="1:14" x14ac:dyDescent="0.25">
      <c r="A11494" t="s">
        <v>19881</v>
      </c>
      <c r="B11494" t="s">
        <v>19882</v>
      </c>
      <c r="C11494" s="1" t="str">
        <f>HYPERLINK("http://www.genecards.org/cgi-bin/carddisp.pl?gene=PTK2B","GeneCards")</f>
        <v>GeneCards</v>
      </c>
      <c r="D11494" s="1" t="str">
        <f>HYPERLINK("http://genome-euro.ucsc.edu/cgi-bin/hgTracks?position=203111_s_at","UCSC")</f>
        <v>UCSC</v>
      </c>
      <c r="E11494" s="1" t="str">
        <f>HYPERLINK("http://www.ncbi.nlm.nih.gov/gene/?term=PTK2B","NCBI")</f>
        <v>NCBI</v>
      </c>
      <c r="F11494">
        <v>0.3</v>
      </c>
      <c r="G11494">
        <v>0.44</v>
      </c>
      <c r="H11494" s="1" t="str">
        <f>HYPERLINK("http://www.weizmann.ac.il/complex/compphys/software/geview/data/figures/203111_s_at.png","Figure")</f>
        <v>Figure</v>
      </c>
      <c r="I11494">
        <v>0.91100000000000003</v>
      </c>
      <c r="J11494">
        <v>0.67</v>
      </c>
      <c r="K11494">
        <v>1.07</v>
      </c>
      <c r="L11494">
        <v>0.74</v>
      </c>
      <c r="M11494">
        <v>1.18</v>
      </c>
      <c r="N11494">
        <v>0.27</v>
      </c>
    </row>
    <row r="11495" spans="1:14" x14ac:dyDescent="0.25">
      <c r="A11495" t="s">
        <v>19883</v>
      </c>
      <c r="B11495" t="s">
        <v>19884</v>
      </c>
      <c r="C11495" s="1" t="str">
        <f>HYPERLINK("http://www.genecards.org/cgi-bin/carddisp.pl?gene=FAM18B","GeneCards")</f>
        <v>GeneCards</v>
      </c>
      <c r="D11495" s="1" t="str">
        <f>HYPERLINK("http://genome-euro.ucsc.edu/cgi-bin/hgTracks?position=218446_s_at","UCSC")</f>
        <v>UCSC</v>
      </c>
      <c r="E11495" s="1" t="str">
        <f>HYPERLINK("http://www.ncbi.nlm.nih.gov/gene/?term=FAM18B","NCBI")</f>
        <v>NCBI</v>
      </c>
      <c r="F11495">
        <v>0.3</v>
      </c>
      <c r="G11495">
        <v>0.44</v>
      </c>
      <c r="H11495" s="1" t="str">
        <f>HYPERLINK("http://www.weizmann.ac.il/complex/compphys/software/geview/data/figures/218446_s_at.png","Figure")</f>
        <v>Figure</v>
      </c>
      <c r="I11495">
        <v>0.80900000000000005</v>
      </c>
      <c r="J11495">
        <v>0.33</v>
      </c>
      <c r="K11495">
        <v>0.84399999999999997</v>
      </c>
      <c r="L11495">
        <v>0.39</v>
      </c>
      <c r="M11495">
        <v>1.04</v>
      </c>
      <c r="N11495">
        <v>0.95</v>
      </c>
    </row>
    <row r="11496" spans="1:14" x14ac:dyDescent="0.25">
      <c r="A11496" t="s">
        <v>19885</v>
      </c>
      <c r="B11496" t="s">
        <v>18829</v>
      </c>
      <c r="C11496" s="1" t="str">
        <f>HYPERLINK("http://www.genecards.org/cgi-bin/carddisp.pl?gene=MEF2A","GeneCards")</f>
        <v>GeneCards</v>
      </c>
      <c r="D11496" s="1" t="str">
        <f>HYPERLINK("http://genome-euro.ucsc.edu/cgi-bin/hgTracks?position=212535_at","UCSC")</f>
        <v>UCSC</v>
      </c>
      <c r="E11496" s="1" t="str">
        <f>HYPERLINK("http://www.ncbi.nlm.nih.gov/gene/?term=MEF2A","NCBI")</f>
        <v>NCBI</v>
      </c>
      <c r="F11496">
        <v>0.3</v>
      </c>
      <c r="G11496">
        <v>0.44</v>
      </c>
      <c r="H11496" s="1" t="str">
        <f>HYPERLINK("http://www.weizmann.ac.il/complex/compphys/software/geview/data/figures/212535_at.png","Figure")</f>
        <v>Figure</v>
      </c>
      <c r="I11496">
        <v>1.05</v>
      </c>
      <c r="J11496">
        <v>0.98</v>
      </c>
      <c r="K11496">
        <v>1.51</v>
      </c>
      <c r="L11496">
        <v>0.33</v>
      </c>
      <c r="M11496">
        <v>1.43</v>
      </c>
      <c r="N11496">
        <v>0.47</v>
      </c>
    </row>
    <row r="11497" spans="1:14" x14ac:dyDescent="0.25">
      <c r="A11497" t="s">
        <v>19886</v>
      </c>
      <c r="B11497" t="s">
        <v>19887</v>
      </c>
      <c r="C11497" s="1" t="str">
        <f>HYPERLINK("http://www.genecards.org/cgi-bin/carddisp.pl?gene=SLURP1","GeneCards")</f>
        <v>GeneCards</v>
      </c>
      <c r="D11497" s="1" t="str">
        <f>HYPERLINK("http://genome-euro.ucsc.edu/cgi-bin/hgTracks?position=214536_at","UCSC")</f>
        <v>UCSC</v>
      </c>
      <c r="E11497" s="1" t="str">
        <f>HYPERLINK("http://www.ncbi.nlm.nih.gov/gene/?term=SLURP1","NCBI")</f>
        <v>NCBI</v>
      </c>
      <c r="F11497">
        <v>0.3</v>
      </c>
      <c r="G11497">
        <v>0.44</v>
      </c>
      <c r="H11497" s="1" t="str">
        <f>HYPERLINK("http://www.weizmann.ac.il/complex/compphys/software/geview/data/figures/214536_at.png","Figure")</f>
        <v>Figure</v>
      </c>
      <c r="I11497">
        <v>1.04</v>
      </c>
      <c r="J11497">
        <v>0.27</v>
      </c>
      <c r="K11497">
        <v>1.02</v>
      </c>
      <c r="L11497">
        <v>0.79</v>
      </c>
      <c r="M11497">
        <v>0.97199999999999998</v>
      </c>
      <c r="N11497">
        <v>0.52</v>
      </c>
    </row>
    <row r="11498" spans="1:14" x14ac:dyDescent="0.25">
      <c r="A11498" t="s">
        <v>19888</v>
      </c>
      <c r="B11498" t="s">
        <v>19889</v>
      </c>
      <c r="C11498" s="1" t="str">
        <f>HYPERLINK("http://www.genecards.org/cgi-bin/carddisp.pl?gene=LOC730092","GeneCards")</f>
        <v>GeneCards</v>
      </c>
      <c r="D11498" s="1" t="str">
        <f>HYPERLINK("http://genome-euro.ucsc.edu/cgi-bin/hgTracks?position=221714_s_at","UCSC")</f>
        <v>UCSC</v>
      </c>
      <c r="E11498" s="1" t="str">
        <f>HYPERLINK("http://www.ncbi.nlm.nih.gov/gene/?term=LOC730092","NCBI")</f>
        <v>NCBI</v>
      </c>
      <c r="F11498">
        <v>0.3</v>
      </c>
      <c r="G11498">
        <v>0.44</v>
      </c>
      <c r="H11498" s="1" t="str">
        <f>HYPERLINK("http://www.weizmann.ac.il/complex/compphys/software/geview/data/figures/221714_s_at.png","Figure")</f>
        <v>Figure</v>
      </c>
      <c r="I11498">
        <v>0.98599999999999999</v>
      </c>
      <c r="J11498">
        <v>0.67</v>
      </c>
      <c r="K11498">
        <v>0.97699999999999998</v>
      </c>
      <c r="L11498">
        <v>0.27</v>
      </c>
      <c r="M11498">
        <v>0.99099999999999999</v>
      </c>
      <c r="N11498">
        <v>0.82</v>
      </c>
    </row>
    <row r="11499" spans="1:14" x14ac:dyDescent="0.25">
      <c r="A11499" t="s">
        <v>19890</v>
      </c>
      <c r="B11499" t="s">
        <v>19891</v>
      </c>
      <c r="C11499" s="1" t="str">
        <f>HYPERLINK("http://www.genecards.org/cgi-bin/carddisp.pl?gene=FNDC3A","GeneCards")</f>
        <v>GeneCards</v>
      </c>
      <c r="D11499" s="1" t="str">
        <f>HYPERLINK("http://genome-euro.ucsc.edu/cgi-bin/hgTracks?position=202304_at","UCSC")</f>
        <v>UCSC</v>
      </c>
      <c r="E11499" s="1" t="str">
        <f>HYPERLINK("http://www.ncbi.nlm.nih.gov/gene/?term=FNDC3A","NCBI")</f>
        <v>NCBI</v>
      </c>
      <c r="F11499">
        <v>0.3</v>
      </c>
      <c r="G11499">
        <v>0.44</v>
      </c>
      <c r="H11499" s="1" t="str">
        <f>HYPERLINK("http://www.weizmann.ac.il/complex/compphys/software/geview/data/figures/202304_at.png","Figure")</f>
        <v>Figure</v>
      </c>
      <c r="I11499">
        <v>0.77500000000000002</v>
      </c>
      <c r="J11499">
        <v>0.61</v>
      </c>
      <c r="K11499">
        <v>0.69</v>
      </c>
      <c r="L11499">
        <v>0.27</v>
      </c>
      <c r="M11499">
        <v>0.88900000000000001</v>
      </c>
      <c r="N11499">
        <v>0.88</v>
      </c>
    </row>
    <row r="11500" spans="1:14" x14ac:dyDescent="0.25">
      <c r="A11500" t="s">
        <v>19892</v>
      </c>
      <c r="B11500" t="s">
        <v>5998</v>
      </c>
      <c r="C11500" s="1" t="str">
        <f>HYPERLINK("http://www.genecards.org/cgi-bin/carddisp.pl?gene=NAP1L1","GeneCards")</f>
        <v>GeneCards</v>
      </c>
      <c r="D11500" s="1" t="str">
        <f>HYPERLINK("http://genome-euro.ucsc.edu/cgi-bin/hgTracks?position=213864_s_at","UCSC")</f>
        <v>UCSC</v>
      </c>
      <c r="E11500" s="1" t="str">
        <f>HYPERLINK("http://www.ncbi.nlm.nih.gov/gene/?term=NAP1L1","NCBI")</f>
        <v>NCBI</v>
      </c>
      <c r="F11500">
        <v>0.3</v>
      </c>
      <c r="G11500">
        <v>0.44</v>
      </c>
      <c r="H11500" s="1" t="str">
        <f>HYPERLINK("http://www.weizmann.ac.il/complex/compphys/software/geview/data/figures/213864_s_at.png","Figure")</f>
        <v>Figure</v>
      </c>
      <c r="I11500">
        <v>0.99299999999999999</v>
      </c>
      <c r="J11500">
        <v>1</v>
      </c>
      <c r="K11500">
        <v>1.21</v>
      </c>
      <c r="L11500">
        <v>0.38</v>
      </c>
      <c r="M11500">
        <v>1.22</v>
      </c>
      <c r="N11500">
        <v>0.4</v>
      </c>
    </row>
    <row r="11501" spans="1:14" x14ac:dyDescent="0.25">
      <c r="A11501" t="s">
        <v>19893</v>
      </c>
      <c r="B11501" t="s">
        <v>19894</v>
      </c>
      <c r="C11501" s="1" t="str">
        <f>HYPERLINK("http://www.genecards.org/cgi-bin/carddisp.pl?gene=LGALS2","GeneCards")</f>
        <v>GeneCards</v>
      </c>
      <c r="D11501" s="1" t="str">
        <f>HYPERLINK("http://genome-euro.ucsc.edu/cgi-bin/hgTracks?position=208450_at","UCSC")</f>
        <v>UCSC</v>
      </c>
      <c r="E11501" s="1" t="str">
        <f>HYPERLINK("http://www.ncbi.nlm.nih.gov/gene/?term=LGALS2","NCBI")</f>
        <v>NCBI</v>
      </c>
      <c r="F11501">
        <v>0.3</v>
      </c>
      <c r="G11501">
        <v>0.44</v>
      </c>
      <c r="H11501" s="1" t="str">
        <f>HYPERLINK("http://www.weizmann.ac.il/complex/compphys/software/geview/data/figures/208450_at.png","Figure")</f>
        <v>Figure</v>
      </c>
      <c r="I11501">
        <v>1.06</v>
      </c>
      <c r="J11501">
        <v>0.41</v>
      </c>
      <c r="K11501">
        <v>1.06</v>
      </c>
      <c r="L11501">
        <v>0.32</v>
      </c>
      <c r="M11501">
        <v>1</v>
      </c>
      <c r="N11501">
        <v>1</v>
      </c>
    </row>
    <row r="11502" spans="1:14" x14ac:dyDescent="0.25">
      <c r="A11502" t="s">
        <v>19895</v>
      </c>
      <c r="B11502" t="s">
        <v>19896</v>
      </c>
      <c r="C11502" s="1" t="str">
        <f>HYPERLINK("http://www.genecards.org/cgi-bin/carddisp.pl?gene=MPRIP","GeneCards")</f>
        <v>GeneCards</v>
      </c>
      <c r="D11502" s="1" t="str">
        <f>HYPERLINK("http://genome-euro.ucsc.edu/cgi-bin/hgTracks?position=212197_x_at","UCSC")</f>
        <v>UCSC</v>
      </c>
      <c r="E11502" s="1" t="str">
        <f>HYPERLINK("http://www.ncbi.nlm.nih.gov/gene/?term=MPRIP","NCBI")</f>
        <v>NCBI</v>
      </c>
      <c r="F11502">
        <v>0.3</v>
      </c>
      <c r="G11502">
        <v>0.44</v>
      </c>
      <c r="H11502" s="1" t="str">
        <f>HYPERLINK("http://www.weizmann.ac.il/complex/compphys/software/geview/data/figures/212197_x_at.png","Figure")</f>
        <v>Figure</v>
      </c>
      <c r="I11502">
        <v>1.05</v>
      </c>
      <c r="J11502">
        <v>0.99</v>
      </c>
      <c r="K11502">
        <v>1.5</v>
      </c>
      <c r="L11502">
        <v>0.33</v>
      </c>
      <c r="M11502">
        <v>1.43</v>
      </c>
      <c r="N11502">
        <v>0.46</v>
      </c>
    </row>
    <row r="11503" spans="1:14" x14ac:dyDescent="0.25">
      <c r="A11503" t="s">
        <v>19897</v>
      </c>
      <c r="B11503" t="s">
        <v>19850</v>
      </c>
      <c r="C11503" s="1" t="str">
        <f>HYPERLINK("http://www.genecards.org/cgi-bin/carddisp.pl?gene=ARFGEF2","GeneCards")</f>
        <v>GeneCards</v>
      </c>
      <c r="D11503" s="1" t="str">
        <f>HYPERLINK("http://genome-euro.ucsc.edu/cgi-bin/hgTracks?position=218098_at","UCSC")</f>
        <v>UCSC</v>
      </c>
      <c r="E11503" s="1" t="str">
        <f>HYPERLINK("http://www.ncbi.nlm.nih.gov/gene/?term=ARFGEF2","NCBI")</f>
        <v>NCBI</v>
      </c>
      <c r="F11503">
        <v>0.3</v>
      </c>
      <c r="G11503">
        <v>0.44</v>
      </c>
      <c r="H11503" s="1" t="str">
        <f>HYPERLINK("http://www.weizmann.ac.il/complex/compphys/software/geview/data/figures/218098_at.png","Figure")</f>
        <v>Figure</v>
      </c>
      <c r="I11503">
        <v>0.754</v>
      </c>
      <c r="J11503">
        <v>0.61</v>
      </c>
      <c r="K11503">
        <v>0.66</v>
      </c>
      <c r="L11503">
        <v>0.27</v>
      </c>
      <c r="M11503">
        <v>0.875</v>
      </c>
      <c r="N11503">
        <v>0.88</v>
      </c>
    </row>
    <row r="11504" spans="1:14" x14ac:dyDescent="0.25">
      <c r="A11504" t="s">
        <v>19898</v>
      </c>
      <c r="B11504" t="s">
        <v>19899</v>
      </c>
      <c r="C11504" s="1" t="str">
        <f>HYPERLINK("http://www.genecards.org/cgi-bin/carddisp.pl?gene=IL22RA1","GeneCards")</f>
        <v>GeneCards</v>
      </c>
      <c r="D11504" s="1" t="str">
        <f>HYPERLINK("http://genome-euro.ucsc.edu/cgi-bin/hgTracks?position=220056_at","UCSC")</f>
        <v>UCSC</v>
      </c>
      <c r="E11504" s="1" t="str">
        <f>HYPERLINK("http://www.ncbi.nlm.nih.gov/gene/?term=IL22RA1","NCBI")</f>
        <v>NCBI</v>
      </c>
      <c r="F11504">
        <v>0.3</v>
      </c>
      <c r="G11504">
        <v>0.44</v>
      </c>
      <c r="H11504" s="1" t="str">
        <f>HYPERLINK("http://www.weizmann.ac.il/complex/compphys/software/geview/data/figures/220056_at.png","Figure")</f>
        <v>Figure</v>
      </c>
      <c r="I11504">
        <v>1.01</v>
      </c>
      <c r="J11504">
        <v>0.96</v>
      </c>
      <c r="K11504">
        <v>1.06</v>
      </c>
      <c r="L11504">
        <v>0.31</v>
      </c>
      <c r="M11504">
        <v>1.05</v>
      </c>
      <c r="N11504">
        <v>0.51</v>
      </c>
    </row>
    <row r="11505" spans="1:14" x14ac:dyDescent="0.25">
      <c r="A11505" t="s">
        <v>19900</v>
      </c>
      <c r="B11505" t="s">
        <v>19901</v>
      </c>
      <c r="C11505" s="1" t="str">
        <f>HYPERLINK("http://www.genecards.org/cgi-bin/carddisp.pl?gene=PPP2R2B","GeneCards")</f>
        <v>GeneCards</v>
      </c>
      <c r="D11505" s="1" t="str">
        <f>HYPERLINK("http://genome-euro.ucsc.edu/cgi-bin/hgTracks?position=205643_s_at","UCSC")</f>
        <v>UCSC</v>
      </c>
      <c r="E11505" s="1" t="str">
        <f>HYPERLINK("http://www.ncbi.nlm.nih.gov/gene/?term=PPP2R2B","NCBI")</f>
        <v>NCBI</v>
      </c>
      <c r="F11505">
        <v>0.3</v>
      </c>
      <c r="G11505">
        <v>0.44</v>
      </c>
      <c r="H11505" s="1" t="str">
        <f>HYPERLINK("http://www.weizmann.ac.il/complex/compphys/software/geview/data/figures/205643_s_at.png","Figure")</f>
        <v>Figure</v>
      </c>
      <c r="I11505">
        <v>1.19</v>
      </c>
      <c r="J11505">
        <v>0.27</v>
      </c>
      <c r="K11505">
        <v>1.07</v>
      </c>
      <c r="L11505">
        <v>0.75</v>
      </c>
      <c r="M11505">
        <v>0.90100000000000002</v>
      </c>
      <c r="N11505">
        <v>0.56000000000000005</v>
      </c>
    </row>
    <row r="11506" spans="1:14" x14ac:dyDescent="0.25">
      <c r="A11506" t="s">
        <v>19902</v>
      </c>
      <c r="B11506" t="s">
        <v>19903</v>
      </c>
      <c r="C11506" s="1" t="str">
        <f>HYPERLINK("http://www.genecards.org/cgi-bin/carddisp.pl?gene=LEPRE1","GeneCards")</f>
        <v>GeneCards</v>
      </c>
      <c r="D11506" s="1" t="str">
        <f>HYPERLINK("http://genome-euro.ucsc.edu/cgi-bin/hgTracks?position=220750_s_at","UCSC")</f>
        <v>UCSC</v>
      </c>
      <c r="E11506" s="1" t="str">
        <f>HYPERLINK("http://www.ncbi.nlm.nih.gov/gene/?term=LEPRE1","NCBI")</f>
        <v>NCBI</v>
      </c>
      <c r="F11506">
        <v>0.3</v>
      </c>
      <c r="G11506">
        <v>0.44</v>
      </c>
      <c r="H11506" s="1" t="str">
        <f>HYPERLINK("http://www.weizmann.ac.il/complex/compphys/software/geview/data/figures/220750_s_at.png","Figure")</f>
        <v>Figure</v>
      </c>
      <c r="I11506">
        <v>1.08</v>
      </c>
      <c r="J11506">
        <v>0.83</v>
      </c>
      <c r="K11506">
        <v>1.19</v>
      </c>
      <c r="L11506">
        <v>0.28000000000000003</v>
      </c>
      <c r="M11506">
        <v>1.1100000000000001</v>
      </c>
      <c r="N11506">
        <v>0.66</v>
      </c>
    </row>
    <row r="11507" spans="1:14" x14ac:dyDescent="0.25">
      <c r="A11507" t="s">
        <v>19904</v>
      </c>
      <c r="B11507" t="s">
        <v>4794</v>
      </c>
      <c r="C11507" s="1" t="str">
        <f>HYPERLINK("http://www.genecards.org/cgi-bin/carddisp.pl?gene=SLC16A3","GeneCards")</f>
        <v>GeneCards</v>
      </c>
      <c r="D11507" s="1" t="str">
        <f>HYPERLINK("http://genome-euro.ucsc.edu/cgi-bin/hgTracks?position=202855_s_at","UCSC")</f>
        <v>UCSC</v>
      </c>
      <c r="E11507" s="1" t="str">
        <f>HYPERLINK("http://www.ncbi.nlm.nih.gov/gene/?term=SLC16A3","NCBI")</f>
        <v>NCBI</v>
      </c>
      <c r="F11507">
        <v>0.3</v>
      </c>
      <c r="G11507">
        <v>0.44</v>
      </c>
      <c r="H11507" s="1" t="str">
        <f>HYPERLINK("http://www.weizmann.ac.il/complex/compphys/software/geview/data/figures/202855_s_at.png","Figure")</f>
        <v>Figure</v>
      </c>
      <c r="I11507">
        <v>1.07</v>
      </c>
      <c r="J11507">
        <v>0.28999999999999998</v>
      </c>
      <c r="K11507">
        <v>1.02</v>
      </c>
      <c r="L11507">
        <v>0.9</v>
      </c>
      <c r="M11507">
        <v>0.95199999999999996</v>
      </c>
      <c r="N11507">
        <v>0.44</v>
      </c>
    </row>
    <row r="11508" spans="1:14" x14ac:dyDescent="0.25">
      <c r="A11508" t="s">
        <v>19905</v>
      </c>
      <c r="B11508" t="s">
        <v>4988</v>
      </c>
      <c r="C11508" s="1" t="str">
        <f>HYPERLINK("http://www.genecards.org/cgi-bin/carddisp.pl?gene=TMEM97","GeneCards")</f>
        <v>GeneCards</v>
      </c>
      <c r="D11508" s="1" t="str">
        <f>HYPERLINK("http://genome-euro.ucsc.edu/cgi-bin/hgTracks?position=212279_at","UCSC")</f>
        <v>UCSC</v>
      </c>
      <c r="E11508" s="1" t="str">
        <f>HYPERLINK("http://www.ncbi.nlm.nih.gov/gene/?term=TMEM97","NCBI")</f>
        <v>NCBI</v>
      </c>
      <c r="F11508">
        <v>0.3</v>
      </c>
      <c r="G11508">
        <v>0.44</v>
      </c>
      <c r="H11508" s="1" t="str">
        <f>HYPERLINK("http://www.weizmann.ac.il/complex/compphys/software/geview/data/figures/212279_at.png","Figure")</f>
        <v>Figure</v>
      </c>
      <c r="I11508">
        <v>0.91400000000000003</v>
      </c>
      <c r="J11508">
        <v>0.92</v>
      </c>
      <c r="K11508">
        <v>1.26</v>
      </c>
      <c r="L11508">
        <v>0.49</v>
      </c>
      <c r="M11508">
        <v>1.38</v>
      </c>
      <c r="N11508">
        <v>0.32</v>
      </c>
    </row>
    <row r="11509" spans="1:14" x14ac:dyDescent="0.25">
      <c r="A11509" t="s">
        <v>19906</v>
      </c>
      <c r="B11509" t="s">
        <v>15758</v>
      </c>
      <c r="C11509" s="1" t="str">
        <f>HYPERLINK("http://www.genecards.org/cgi-bin/carddisp.pl?gene=DBT","GeneCards")</f>
        <v>GeneCards</v>
      </c>
      <c r="D11509" s="1" t="str">
        <f>HYPERLINK("http://genome-euro.ucsc.edu/cgi-bin/hgTracks?position=205369_x_at","UCSC")</f>
        <v>UCSC</v>
      </c>
      <c r="E11509" s="1" t="str">
        <f>HYPERLINK("http://www.ncbi.nlm.nih.gov/gene/?term=DBT","NCBI")</f>
        <v>NCBI</v>
      </c>
      <c r="F11509">
        <v>0.3</v>
      </c>
      <c r="G11509">
        <v>0.44</v>
      </c>
      <c r="H11509" s="1" t="str">
        <f>HYPERLINK("http://www.weizmann.ac.il/complex/compphys/software/geview/data/figures/205369_x_at.png","Figure")</f>
        <v>Figure</v>
      </c>
      <c r="I11509">
        <v>1.07</v>
      </c>
      <c r="J11509">
        <v>0.32</v>
      </c>
      <c r="K11509">
        <v>1.01</v>
      </c>
      <c r="L11509">
        <v>0.97</v>
      </c>
      <c r="M11509">
        <v>0.94699999999999995</v>
      </c>
      <c r="N11509">
        <v>0.38</v>
      </c>
    </row>
    <row r="11510" spans="1:14" x14ac:dyDescent="0.25">
      <c r="A11510" t="s">
        <v>19907</v>
      </c>
      <c r="B11510" t="s">
        <v>10290</v>
      </c>
      <c r="C11510" s="1" t="str">
        <f>HYPERLINK("http://www.genecards.org/cgi-bin/carddisp.pl?gene=OSBPL8","GeneCards")</f>
        <v>GeneCards</v>
      </c>
      <c r="D11510" s="1" t="str">
        <f>HYPERLINK("http://genome-euro.ucsc.edu/cgi-bin/hgTracks?position=212582_at","UCSC")</f>
        <v>UCSC</v>
      </c>
      <c r="E11510" s="1" t="str">
        <f>HYPERLINK("http://www.ncbi.nlm.nih.gov/gene/?term=OSBPL8","NCBI")</f>
        <v>NCBI</v>
      </c>
      <c r="F11510">
        <v>0.3</v>
      </c>
      <c r="G11510">
        <v>0.44</v>
      </c>
      <c r="H11510" s="1" t="str">
        <f>HYPERLINK("http://www.weizmann.ac.il/complex/compphys/software/geview/data/figures/212582_at.png","Figure")</f>
        <v>Figure</v>
      </c>
      <c r="I11510">
        <v>0.64100000000000001</v>
      </c>
      <c r="J11510">
        <v>0.27</v>
      </c>
      <c r="K11510">
        <v>0.78600000000000003</v>
      </c>
      <c r="L11510">
        <v>0.59</v>
      </c>
      <c r="M11510">
        <v>1.23</v>
      </c>
      <c r="N11510">
        <v>0.71</v>
      </c>
    </row>
    <row r="11511" spans="1:14" x14ac:dyDescent="0.25">
      <c r="A11511" t="s">
        <v>19908</v>
      </c>
      <c r="B11511" t="s">
        <v>12616</v>
      </c>
      <c r="C11511" s="1" t="str">
        <f>HYPERLINK("http://www.genecards.org/cgi-bin/carddisp.pl?gene=IGHG1 /// IGHM /// LOC100133862","GeneCards")</f>
        <v>GeneCards</v>
      </c>
      <c r="D11511" s="1" t="str">
        <f>HYPERLINK("http://genome-euro.ucsc.edu/cgi-bin/hgTracks?position=211640_x_at","UCSC")</f>
        <v>UCSC</v>
      </c>
      <c r="E11511" s="1" t="str">
        <f>HYPERLINK("http://www.ncbi.nlm.nih.gov/gene/?term=IGHG1 /// IGHM /// LOC100133862","NCBI")</f>
        <v>NCBI</v>
      </c>
      <c r="F11511">
        <v>0.3</v>
      </c>
      <c r="G11511">
        <v>0.44</v>
      </c>
      <c r="H11511" s="1" t="str">
        <f>HYPERLINK("http://www.weizmann.ac.il/complex/compphys/software/geview/data/figures/211640_x_at.png","Figure")</f>
        <v>Figure</v>
      </c>
      <c r="I11511">
        <v>1.03</v>
      </c>
      <c r="J11511">
        <v>0.59</v>
      </c>
      <c r="K11511">
        <v>1.04</v>
      </c>
      <c r="L11511">
        <v>0.27</v>
      </c>
      <c r="M11511">
        <v>1.01</v>
      </c>
      <c r="N11511">
        <v>0.9</v>
      </c>
    </row>
    <row r="11512" spans="1:14" x14ac:dyDescent="0.25">
      <c r="A11512" t="s">
        <v>19909</v>
      </c>
      <c r="B11512" t="s">
        <v>14542</v>
      </c>
      <c r="C11512" s="1" t="str">
        <f>HYPERLINK("http://www.genecards.org/cgi-bin/carddisp.pl?gene=ATF2","GeneCards")</f>
        <v>GeneCards</v>
      </c>
      <c r="D11512" s="1" t="str">
        <f>HYPERLINK("http://genome-euro.ucsc.edu/cgi-bin/hgTracks?position=212984_at","UCSC")</f>
        <v>UCSC</v>
      </c>
      <c r="E11512" s="1" t="str">
        <f>HYPERLINK("http://www.ncbi.nlm.nih.gov/gene/?term=ATF2","NCBI")</f>
        <v>NCBI</v>
      </c>
      <c r="F11512">
        <v>0.3</v>
      </c>
      <c r="G11512">
        <v>0.44</v>
      </c>
      <c r="H11512" s="1" t="str">
        <f>HYPERLINK("http://www.weizmann.ac.il/complex/compphys/software/geview/data/figures/212984_at.png","Figure")</f>
        <v>Figure</v>
      </c>
      <c r="I11512">
        <v>0.76200000000000001</v>
      </c>
      <c r="J11512">
        <v>0.41</v>
      </c>
      <c r="K11512">
        <v>0.76300000000000001</v>
      </c>
      <c r="L11512">
        <v>0.32</v>
      </c>
      <c r="M11512">
        <v>1</v>
      </c>
      <c r="N11512">
        <v>1</v>
      </c>
    </row>
    <row r="11513" spans="1:14" x14ac:dyDescent="0.25">
      <c r="A11513" t="s">
        <v>19910</v>
      </c>
      <c r="B11513" t="s">
        <v>2553</v>
      </c>
      <c r="C11513" s="1" t="str">
        <f>HYPERLINK("http://www.genecards.org/cgi-bin/carddisp.pl?gene=TRIM31","GeneCards")</f>
        <v>GeneCards</v>
      </c>
      <c r="D11513" s="1" t="str">
        <f>HYPERLINK("http://genome-euro.ucsc.edu/cgi-bin/hgTracks?position=210159_s_at","UCSC")</f>
        <v>UCSC</v>
      </c>
      <c r="E11513" s="1" t="str">
        <f>HYPERLINK("http://www.ncbi.nlm.nih.gov/gene/?term=TRIM31","NCBI")</f>
        <v>NCBI</v>
      </c>
      <c r="F11513">
        <v>0.3</v>
      </c>
      <c r="G11513">
        <v>0.44</v>
      </c>
      <c r="H11513" s="1" t="str">
        <f>HYPERLINK("http://www.weizmann.ac.il/complex/compphys/software/geview/data/figures/210159_s_at.png","Figure")</f>
        <v>Figure</v>
      </c>
      <c r="I11513">
        <v>1</v>
      </c>
      <c r="J11513">
        <v>1</v>
      </c>
      <c r="K11513">
        <v>0.97099999999999997</v>
      </c>
      <c r="L11513">
        <v>0.37</v>
      </c>
      <c r="M11513">
        <v>0.97099999999999997</v>
      </c>
      <c r="N11513">
        <v>0.41</v>
      </c>
    </row>
    <row r="11514" spans="1:14" x14ac:dyDescent="0.25">
      <c r="A11514" t="s">
        <v>19911</v>
      </c>
      <c r="B11514" t="s">
        <v>639</v>
      </c>
      <c r="C11514" s="1" t="str">
        <f>HYPERLINK("http://www.genecards.org/cgi-bin/carddisp.pl?gene=LST1","GeneCards")</f>
        <v>GeneCards</v>
      </c>
      <c r="D11514" s="1" t="str">
        <f>HYPERLINK("http://genome-euro.ucsc.edu/cgi-bin/hgTracks?position=210629_x_at","UCSC")</f>
        <v>UCSC</v>
      </c>
      <c r="E11514" s="1" t="str">
        <f>HYPERLINK("http://www.ncbi.nlm.nih.gov/gene/?term=LST1","NCBI")</f>
        <v>NCBI</v>
      </c>
      <c r="F11514">
        <v>0.3</v>
      </c>
      <c r="G11514">
        <v>0.44</v>
      </c>
      <c r="H11514" s="1" t="str">
        <f>HYPERLINK("http://www.weizmann.ac.il/complex/compphys/software/geview/data/figures/210629_x_at.png","Figure")</f>
        <v>Figure</v>
      </c>
      <c r="I11514">
        <v>0.753</v>
      </c>
      <c r="J11514">
        <v>0.27</v>
      </c>
      <c r="K11514">
        <v>0.85899999999999999</v>
      </c>
      <c r="L11514">
        <v>0.59</v>
      </c>
      <c r="M11514">
        <v>1.1399999999999999</v>
      </c>
      <c r="N11514">
        <v>0.71</v>
      </c>
    </row>
    <row r="11515" spans="1:14" x14ac:dyDescent="0.25">
      <c r="A11515" t="s">
        <v>19912</v>
      </c>
      <c r="B11515" t="s">
        <v>12986</v>
      </c>
      <c r="C11515" s="1" t="str">
        <f>HYPERLINK("http://www.genecards.org/cgi-bin/carddisp.pl?gene=IKZF1","GeneCards")</f>
        <v>GeneCards</v>
      </c>
      <c r="D11515" s="1" t="str">
        <f>HYPERLINK("http://genome-euro.ucsc.edu/cgi-bin/hgTracks?position=205038_at","UCSC")</f>
        <v>UCSC</v>
      </c>
      <c r="E11515" s="1" t="str">
        <f>HYPERLINK("http://www.ncbi.nlm.nih.gov/gene/?term=IKZF1","NCBI")</f>
        <v>NCBI</v>
      </c>
      <c r="F11515">
        <v>0.3</v>
      </c>
      <c r="G11515">
        <v>0.44</v>
      </c>
      <c r="H11515" s="1" t="str">
        <f>HYPERLINK("http://www.weizmann.ac.il/complex/compphys/software/geview/data/figures/205038_at.png","Figure")</f>
        <v>Figure</v>
      </c>
      <c r="I11515">
        <v>1.23</v>
      </c>
      <c r="J11515">
        <v>0.27</v>
      </c>
      <c r="K11515">
        <v>1.1100000000000001</v>
      </c>
      <c r="L11515">
        <v>0.64</v>
      </c>
      <c r="M11515">
        <v>0.89900000000000002</v>
      </c>
      <c r="N11515">
        <v>0.66</v>
      </c>
    </row>
    <row r="11516" spans="1:14" x14ac:dyDescent="0.25">
      <c r="A11516" t="s">
        <v>19913</v>
      </c>
      <c r="B11516" t="s">
        <v>19914</v>
      </c>
      <c r="C11516" s="1" t="str">
        <f>HYPERLINK("http://www.genecards.org/cgi-bin/carddisp.pl?gene=ARHGEF10L","GeneCards")</f>
        <v>GeneCards</v>
      </c>
      <c r="D11516" s="1" t="str">
        <f>HYPERLINK("http://genome-euro.ucsc.edu/cgi-bin/hgTracks?position=221656_s_at","UCSC")</f>
        <v>UCSC</v>
      </c>
      <c r="E11516" s="1" t="str">
        <f>HYPERLINK("http://www.ncbi.nlm.nih.gov/gene/?term=ARHGEF10L","NCBI")</f>
        <v>NCBI</v>
      </c>
      <c r="F11516">
        <v>0.3</v>
      </c>
      <c r="G11516">
        <v>0.44</v>
      </c>
      <c r="H11516" s="1" t="str">
        <f>HYPERLINK("http://www.weizmann.ac.il/complex/compphys/software/geview/data/figures/221656_s_at.png","Figure")</f>
        <v>Figure</v>
      </c>
      <c r="I11516">
        <v>1.03</v>
      </c>
      <c r="J11516">
        <v>0.48</v>
      </c>
      <c r="K11516">
        <v>1.04</v>
      </c>
      <c r="L11516">
        <v>0.28999999999999998</v>
      </c>
      <c r="M11516">
        <v>1.01</v>
      </c>
      <c r="N11516">
        <v>0.98</v>
      </c>
    </row>
    <row r="11517" spans="1:14" x14ac:dyDescent="0.25">
      <c r="A11517" t="s">
        <v>19915</v>
      </c>
      <c r="B11517" t="s">
        <v>19916</v>
      </c>
      <c r="C11517" s="1" t="str">
        <f>HYPERLINK("http://www.genecards.org/cgi-bin/carddisp.pl?gene=ZNF76","GeneCards")</f>
        <v>GeneCards</v>
      </c>
      <c r="D11517" s="1" t="str">
        <f>HYPERLINK("http://genome-euro.ucsc.edu/cgi-bin/hgTracks?position=207494_s_at","UCSC")</f>
        <v>UCSC</v>
      </c>
      <c r="E11517" s="1" t="str">
        <f>HYPERLINK("http://www.ncbi.nlm.nih.gov/gene/?term=ZNF76","NCBI")</f>
        <v>NCBI</v>
      </c>
      <c r="F11517">
        <v>0.3</v>
      </c>
      <c r="G11517">
        <v>0.44</v>
      </c>
      <c r="H11517" s="1" t="str">
        <f>HYPERLINK("http://www.weizmann.ac.il/complex/compphys/software/geview/data/figures/207494_s_at.png","Figure")</f>
        <v>Figure</v>
      </c>
      <c r="I11517">
        <v>1.1599999999999999</v>
      </c>
      <c r="J11517">
        <v>0.33</v>
      </c>
      <c r="K11517">
        <v>1.1200000000000001</v>
      </c>
      <c r="L11517">
        <v>0.4</v>
      </c>
      <c r="M11517">
        <v>0.96899999999999997</v>
      </c>
      <c r="N11517">
        <v>0.94</v>
      </c>
    </row>
    <row r="11518" spans="1:14" x14ac:dyDescent="0.25">
      <c r="A11518" t="s">
        <v>19917</v>
      </c>
      <c r="B11518" t="s">
        <v>19918</v>
      </c>
      <c r="C11518" s="1" t="str">
        <f>HYPERLINK("http://www.genecards.org/cgi-bin/carddisp.pl?gene=BICD1","GeneCards")</f>
        <v>GeneCards</v>
      </c>
      <c r="D11518" s="1" t="str">
        <f>HYPERLINK("http://genome-euro.ucsc.edu/cgi-bin/hgTracks?position=204741_at","UCSC")</f>
        <v>UCSC</v>
      </c>
      <c r="E11518" s="1" t="str">
        <f>HYPERLINK("http://www.ncbi.nlm.nih.gov/gene/?term=BICD1","NCBI")</f>
        <v>NCBI</v>
      </c>
      <c r="F11518">
        <v>0.3</v>
      </c>
      <c r="G11518">
        <v>0.44</v>
      </c>
      <c r="H11518" s="1" t="str">
        <f>HYPERLINK("http://www.weizmann.ac.il/complex/compphys/software/geview/data/figures/204741_at.png","Figure")</f>
        <v>Figure</v>
      </c>
      <c r="I11518">
        <v>1.22</v>
      </c>
      <c r="J11518">
        <v>0.27</v>
      </c>
      <c r="K11518">
        <v>1.0900000000000001</v>
      </c>
      <c r="L11518">
        <v>0.71</v>
      </c>
      <c r="M11518">
        <v>0.89300000000000002</v>
      </c>
      <c r="N11518">
        <v>0.59</v>
      </c>
    </row>
    <row r="11519" spans="1:14" x14ac:dyDescent="0.25">
      <c r="A11519" t="s">
        <v>19919</v>
      </c>
      <c r="B11519" t="s">
        <v>12059</v>
      </c>
      <c r="C11519" s="1" t="str">
        <f>HYPERLINK("http://www.genecards.org/cgi-bin/carddisp.pl?gene=GLRX","GeneCards")</f>
        <v>GeneCards</v>
      </c>
      <c r="D11519" s="1" t="str">
        <f>HYPERLINK("http://genome-euro.ucsc.edu/cgi-bin/hgTracks?position=206662_at","UCSC")</f>
        <v>UCSC</v>
      </c>
      <c r="E11519" s="1" t="str">
        <f>HYPERLINK("http://www.ncbi.nlm.nih.gov/gene/?term=GLRX","NCBI")</f>
        <v>NCBI</v>
      </c>
      <c r="F11519">
        <v>0.3</v>
      </c>
      <c r="G11519">
        <v>0.44</v>
      </c>
      <c r="H11519" s="1" t="str">
        <f>HYPERLINK("http://www.weizmann.ac.il/complex/compphys/software/geview/data/figures/206662_at.png","Figure")</f>
        <v>Figure</v>
      </c>
      <c r="I11519">
        <v>1.18</v>
      </c>
      <c r="J11519">
        <v>0.59</v>
      </c>
      <c r="K11519">
        <v>1.26</v>
      </c>
      <c r="L11519">
        <v>0.27</v>
      </c>
      <c r="M11519">
        <v>1.07</v>
      </c>
      <c r="N11519">
        <v>0.9</v>
      </c>
    </row>
    <row r="11520" spans="1:14" x14ac:dyDescent="0.25">
      <c r="A11520" t="s">
        <v>19920</v>
      </c>
      <c r="B11520" t="s">
        <v>14505</v>
      </c>
      <c r="C11520" s="1" t="str">
        <f>HYPERLINK("http://www.genecards.org/cgi-bin/carddisp.pl?gene=SLC7A1","GeneCards")</f>
        <v>GeneCards</v>
      </c>
      <c r="D11520" s="1" t="str">
        <f>HYPERLINK("http://genome-euro.ucsc.edu/cgi-bin/hgTracks?position=212292_at","UCSC")</f>
        <v>UCSC</v>
      </c>
      <c r="E11520" s="1" t="str">
        <f>HYPERLINK("http://www.ncbi.nlm.nih.gov/gene/?term=SLC7A1","NCBI")</f>
        <v>NCBI</v>
      </c>
      <c r="F11520">
        <v>0.3</v>
      </c>
      <c r="G11520">
        <v>0.44</v>
      </c>
      <c r="H11520" s="1" t="str">
        <f>HYPERLINK("http://www.weizmann.ac.il/complex/compphys/software/geview/data/figures/212292_at.png","Figure")</f>
        <v>Figure</v>
      </c>
      <c r="I11520">
        <v>1.1200000000000001</v>
      </c>
      <c r="J11520">
        <v>0.33</v>
      </c>
      <c r="K11520">
        <v>1.0900000000000001</v>
      </c>
      <c r="L11520">
        <v>0.4</v>
      </c>
      <c r="M11520">
        <v>0.97699999999999998</v>
      </c>
      <c r="N11520">
        <v>0.95</v>
      </c>
    </row>
    <row r="11521" spans="1:14" x14ac:dyDescent="0.25">
      <c r="A11521" t="s">
        <v>19921</v>
      </c>
      <c r="B11521" t="s">
        <v>14844</v>
      </c>
      <c r="C11521" s="1" t="str">
        <f>HYPERLINK("http://www.genecards.org/cgi-bin/carddisp.pl?gene=CDKN1C","GeneCards")</f>
        <v>GeneCards</v>
      </c>
      <c r="D11521" s="1" t="str">
        <f>HYPERLINK("http://genome-euro.ucsc.edu/cgi-bin/hgTracks?position=219534_x_at","UCSC")</f>
        <v>UCSC</v>
      </c>
      <c r="E11521" s="1" t="str">
        <f>HYPERLINK("http://www.ncbi.nlm.nih.gov/gene/?term=CDKN1C","NCBI")</f>
        <v>NCBI</v>
      </c>
      <c r="F11521">
        <v>0.3</v>
      </c>
      <c r="G11521">
        <v>0.44</v>
      </c>
      <c r="H11521" s="1" t="str">
        <f>HYPERLINK("http://www.weizmann.ac.il/complex/compphys/software/geview/data/figures/219534_x_at.png","Figure")</f>
        <v>Figure</v>
      </c>
      <c r="I11521">
        <v>1.22</v>
      </c>
      <c r="J11521">
        <v>0.28999999999999998</v>
      </c>
      <c r="K11521">
        <v>1.1399999999999999</v>
      </c>
      <c r="L11521">
        <v>0.48</v>
      </c>
      <c r="M11521">
        <v>0.93600000000000005</v>
      </c>
      <c r="N11521">
        <v>0.84</v>
      </c>
    </row>
    <row r="11522" spans="1:14" x14ac:dyDescent="0.25">
      <c r="A11522" t="s">
        <v>19922</v>
      </c>
      <c r="B11522" t="s">
        <v>16655</v>
      </c>
      <c r="C11522" s="1" t="str">
        <f>HYPERLINK("http://www.genecards.org/cgi-bin/carddisp.pl?gene=PPP6C","GeneCards")</f>
        <v>GeneCards</v>
      </c>
      <c r="D11522" s="1" t="str">
        <f>HYPERLINK("http://genome-euro.ucsc.edu/cgi-bin/hgTracks?position=203529_at","UCSC")</f>
        <v>UCSC</v>
      </c>
      <c r="E11522" s="1" t="str">
        <f>HYPERLINK("http://www.ncbi.nlm.nih.gov/gene/?term=PPP6C","NCBI")</f>
        <v>NCBI</v>
      </c>
      <c r="F11522">
        <v>0.3</v>
      </c>
      <c r="G11522">
        <v>0.44</v>
      </c>
      <c r="H11522" s="1" t="str">
        <f>HYPERLINK("http://www.weizmann.ac.il/complex/compphys/software/geview/data/figures/203529_at.png","Figure")</f>
        <v>Figure</v>
      </c>
      <c r="I11522">
        <v>1.24</v>
      </c>
      <c r="J11522">
        <v>0.62</v>
      </c>
      <c r="K11522">
        <v>0.877</v>
      </c>
      <c r="L11522">
        <v>0.79</v>
      </c>
      <c r="M11522">
        <v>0.70599999999999996</v>
      </c>
      <c r="N11522">
        <v>0.27</v>
      </c>
    </row>
    <row r="11523" spans="1:14" x14ac:dyDescent="0.25">
      <c r="A11523" t="s">
        <v>19923</v>
      </c>
      <c r="B11523" t="s">
        <v>19924</v>
      </c>
      <c r="C11523" s="1" t="str">
        <f>HYPERLINK("http://www.genecards.org/cgi-bin/carddisp.pl?gene=KRT32","GeneCards")</f>
        <v>GeneCards</v>
      </c>
      <c r="D11523" s="1" t="str">
        <f>HYPERLINK("http://genome-euro.ucsc.edu/cgi-bin/hgTracks?position=207146_at","UCSC")</f>
        <v>UCSC</v>
      </c>
      <c r="E11523" s="1" t="str">
        <f>HYPERLINK("http://www.ncbi.nlm.nih.gov/gene/?term=KRT32","NCBI")</f>
        <v>NCBI</v>
      </c>
      <c r="F11523">
        <v>0.3</v>
      </c>
      <c r="G11523">
        <v>0.44</v>
      </c>
      <c r="H11523" s="1" t="str">
        <f>HYPERLINK("http://www.weizmann.ac.il/complex/compphys/software/geview/data/figures/207146_at.png","Figure")</f>
        <v>Figure</v>
      </c>
      <c r="I11523">
        <v>1.1100000000000001</v>
      </c>
      <c r="J11523">
        <v>0.4</v>
      </c>
      <c r="K11523">
        <v>0.99199999999999999</v>
      </c>
      <c r="L11523">
        <v>0.99</v>
      </c>
      <c r="M11523">
        <v>0.89500000000000002</v>
      </c>
      <c r="N11523">
        <v>0.3</v>
      </c>
    </row>
    <row r="11524" spans="1:14" x14ac:dyDescent="0.25">
      <c r="A11524" t="s">
        <v>19925</v>
      </c>
      <c r="B11524" t="s">
        <v>19926</v>
      </c>
      <c r="C11524" s="1" t="str">
        <f>HYPERLINK("http://www.genecards.org/cgi-bin/carddisp.pl?gene=BEST1","GeneCards")</f>
        <v>GeneCards</v>
      </c>
      <c r="D11524" s="1" t="str">
        <f>HYPERLINK("http://genome-euro.ucsc.edu/cgi-bin/hgTracks?position=207671_s_at","UCSC")</f>
        <v>UCSC</v>
      </c>
      <c r="E11524" s="1" t="str">
        <f>HYPERLINK("http://www.ncbi.nlm.nih.gov/gene/?term=BEST1","NCBI")</f>
        <v>NCBI</v>
      </c>
      <c r="F11524">
        <v>0.3</v>
      </c>
      <c r="G11524">
        <v>0.44</v>
      </c>
      <c r="H11524" s="1" t="str">
        <f>HYPERLINK("http://www.weizmann.ac.il/complex/compphys/software/geview/data/figures/207671_s_at.png","Figure")</f>
        <v>Figure</v>
      </c>
      <c r="I11524">
        <v>1.19</v>
      </c>
      <c r="J11524">
        <v>0.28000000000000003</v>
      </c>
      <c r="K11524">
        <v>1.1100000000000001</v>
      </c>
      <c r="L11524">
        <v>0.54</v>
      </c>
      <c r="M11524">
        <v>0.93</v>
      </c>
      <c r="N11524">
        <v>0.77</v>
      </c>
    </row>
    <row r="11525" spans="1:14" x14ac:dyDescent="0.25">
      <c r="A11525" t="s">
        <v>19927</v>
      </c>
      <c r="B11525" t="s">
        <v>9625</v>
      </c>
      <c r="C11525" s="1" t="str">
        <f>HYPERLINK("http://www.genecards.org/cgi-bin/carddisp.pl?gene=CHD4","GeneCards")</f>
        <v>GeneCards</v>
      </c>
      <c r="D11525" s="1" t="str">
        <f>HYPERLINK("http://genome-euro.ucsc.edu/cgi-bin/hgTracks?position=201182_s_at","UCSC")</f>
        <v>UCSC</v>
      </c>
      <c r="E11525" s="1" t="str">
        <f>HYPERLINK("http://www.ncbi.nlm.nih.gov/gene/?term=CHD4","NCBI")</f>
        <v>NCBI</v>
      </c>
      <c r="F11525">
        <v>0.3</v>
      </c>
      <c r="G11525">
        <v>0.44</v>
      </c>
      <c r="H11525" s="1" t="str">
        <f>HYPERLINK("http://www.weizmann.ac.il/complex/compphys/software/geview/data/figures/201182_s_at.png","Figure")</f>
        <v>Figure</v>
      </c>
      <c r="I11525">
        <v>1.26</v>
      </c>
      <c r="J11525">
        <v>0.45</v>
      </c>
      <c r="K11525">
        <v>0.95699999999999996</v>
      </c>
      <c r="L11525">
        <v>0.96</v>
      </c>
      <c r="M11525">
        <v>0.75800000000000001</v>
      </c>
      <c r="N11525">
        <v>0.28999999999999998</v>
      </c>
    </row>
    <row r="11526" spans="1:14" x14ac:dyDescent="0.25">
      <c r="A11526" t="s">
        <v>19928</v>
      </c>
      <c r="B11526" t="s">
        <v>19929</v>
      </c>
      <c r="C11526" s="1" t="str">
        <f>HYPERLINK("http://www.genecards.org/cgi-bin/carddisp.pl?gene=CHD8","GeneCards")</f>
        <v>GeneCards</v>
      </c>
      <c r="D11526" s="1" t="str">
        <f>HYPERLINK("http://genome-euro.ucsc.edu/cgi-bin/hgTracks?position=212571_at","UCSC")</f>
        <v>UCSC</v>
      </c>
      <c r="E11526" s="1" t="str">
        <f>HYPERLINK("http://www.ncbi.nlm.nih.gov/gene/?term=CHD8","NCBI")</f>
        <v>NCBI</v>
      </c>
      <c r="F11526">
        <v>0.3</v>
      </c>
      <c r="G11526">
        <v>0.44</v>
      </c>
      <c r="H11526" s="1" t="str">
        <f>HYPERLINK("http://www.weizmann.ac.il/complex/compphys/software/geview/data/figures/212571_at.png","Figure")</f>
        <v>Figure</v>
      </c>
      <c r="I11526">
        <v>0.76300000000000001</v>
      </c>
      <c r="J11526">
        <v>0.3</v>
      </c>
      <c r="K11526">
        <v>0.83599999999999997</v>
      </c>
      <c r="L11526">
        <v>0.48</v>
      </c>
      <c r="M11526">
        <v>1.1000000000000001</v>
      </c>
      <c r="N11526">
        <v>0.84</v>
      </c>
    </row>
    <row r="11527" spans="1:14" x14ac:dyDescent="0.25">
      <c r="A11527" t="s">
        <v>19930</v>
      </c>
      <c r="B11527" t="s">
        <v>19931</v>
      </c>
      <c r="C11527" s="1" t="str">
        <f>HYPERLINK("http://www.genecards.org/cgi-bin/carddisp.pl?gene=TMEM22","GeneCards")</f>
        <v>GeneCards</v>
      </c>
      <c r="D11527" s="1" t="str">
        <f>HYPERLINK("http://genome-euro.ucsc.edu/cgi-bin/hgTracks?position=219569_s_at","UCSC")</f>
        <v>UCSC</v>
      </c>
      <c r="E11527" s="1" t="str">
        <f>HYPERLINK("http://www.ncbi.nlm.nih.gov/gene/?term=TMEM22","NCBI")</f>
        <v>NCBI</v>
      </c>
      <c r="F11527">
        <v>0.3</v>
      </c>
      <c r="G11527">
        <v>0.44</v>
      </c>
      <c r="H11527" s="1" t="str">
        <f>HYPERLINK("http://www.weizmann.ac.il/complex/compphys/software/geview/data/figures/219569_s_at.png","Figure")</f>
        <v>Figure</v>
      </c>
      <c r="I11527">
        <v>0.77100000000000002</v>
      </c>
      <c r="J11527">
        <v>0.32</v>
      </c>
      <c r="K11527">
        <v>0.82099999999999995</v>
      </c>
      <c r="L11527">
        <v>0.42</v>
      </c>
      <c r="M11527">
        <v>1.06</v>
      </c>
      <c r="N11527">
        <v>0.92</v>
      </c>
    </row>
    <row r="11528" spans="1:14" x14ac:dyDescent="0.25">
      <c r="A11528" t="s">
        <v>19932</v>
      </c>
      <c r="B11528" t="s">
        <v>19933</v>
      </c>
      <c r="C11528" s="1" t="str">
        <f>HYPERLINK("http://www.genecards.org/cgi-bin/carddisp.pl?gene=ALPK3","GeneCards")</f>
        <v>GeneCards</v>
      </c>
      <c r="D11528" s="1" t="str">
        <f>HYPERLINK("http://genome-euro.ucsc.edu/cgi-bin/hgTracks?position=214846_s_at","UCSC")</f>
        <v>UCSC</v>
      </c>
      <c r="E11528" s="1" t="str">
        <f>HYPERLINK("http://www.ncbi.nlm.nih.gov/gene/?term=ALPK3","NCBI")</f>
        <v>NCBI</v>
      </c>
      <c r="F11528">
        <v>0.3</v>
      </c>
      <c r="G11528">
        <v>0.44</v>
      </c>
      <c r="H11528" s="1" t="str">
        <f>HYPERLINK("http://www.weizmann.ac.il/complex/compphys/software/geview/data/figures/214846_s_at.png","Figure")</f>
        <v>Figure</v>
      </c>
      <c r="I11528">
        <v>1.04</v>
      </c>
      <c r="J11528">
        <v>0.76</v>
      </c>
      <c r="K11528">
        <v>0.95399999999999996</v>
      </c>
      <c r="L11528">
        <v>0.65</v>
      </c>
      <c r="M11528">
        <v>0.91400000000000003</v>
      </c>
      <c r="N11528">
        <v>0.28000000000000003</v>
      </c>
    </row>
    <row r="11529" spans="1:14" x14ac:dyDescent="0.25">
      <c r="A11529" t="s">
        <v>19934</v>
      </c>
      <c r="B11529" t="s">
        <v>2041</v>
      </c>
      <c r="C11529" s="1" t="str">
        <f>HYPERLINK("http://www.genecards.org/cgi-bin/carddisp.pl?gene=PLXNB2","GeneCards")</f>
        <v>GeneCards</v>
      </c>
      <c r="D11529" s="1" t="str">
        <f>HYPERLINK("http://genome-euro.ucsc.edu/cgi-bin/hgTracks?position=211472_at","UCSC")</f>
        <v>UCSC</v>
      </c>
      <c r="E11529" s="1" t="str">
        <f>HYPERLINK("http://www.ncbi.nlm.nih.gov/gene/?term=PLXNB2","NCBI")</f>
        <v>NCBI</v>
      </c>
      <c r="F11529">
        <v>0.3</v>
      </c>
      <c r="G11529">
        <v>0.44</v>
      </c>
      <c r="H11529" s="1" t="str">
        <f>HYPERLINK("http://www.weizmann.ac.il/complex/compphys/software/geview/data/figures/211472_at.png","Figure")</f>
        <v>Figure</v>
      </c>
      <c r="I11529">
        <v>1.1000000000000001</v>
      </c>
      <c r="J11529">
        <v>0.32</v>
      </c>
      <c r="K11529">
        <v>1.07</v>
      </c>
      <c r="L11529">
        <v>0.41</v>
      </c>
      <c r="M11529">
        <v>0.97799999999999998</v>
      </c>
      <c r="N11529">
        <v>0.92</v>
      </c>
    </row>
    <row r="11530" spans="1:14" x14ac:dyDescent="0.25">
      <c r="A11530" t="s">
        <v>19935</v>
      </c>
      <c r="B11530" t="s">
        <v>1658</v>
      </c>
      <c r="C11530" s="1" t="str">
        <f>HYPERLINK("http://www.genecards.org/cgi-bin/carddisp.pl?gene=GAS7","GeneCards")</f>
        <v>GeneCards</v>
      </c>
      <c r="D11530" s="1" t="str">
        <f>HYPERLINK("http://genome-euro.ucsc.edu/cgi-bin/hgTracks?position=210872_x_at","UCSC")</f>
        <v>UCSC</v>
      </c>
      <c r="E11530" s="1" t="str">
        <f>HYPERLINK("http://www.ncbi.nlm.nih.gov/gene/?term=GAS7","NCBI")</f>
        <v>NCBI</v>
      </c>
      <c r="F11530">
        <v>0.3</v>
      </c>
      <c r="G11530">
        <v>0.44</v>
      </c>
      <c r="H11530" s="1" t="str">
        <f>HYPERLINK("http://www.weizmann.ac.il/complex/compphys/software/geview/data/figures/210872_x_at.png","Figure")</f>
        <v>Figure</v>
      </c>
      <c r="I11530">
        <v>0.84799999999999998</v>
      </c>
      <c r="J11530">
        <v>0.27</v>
      </c>
      <c r="K11530">
        <v>0.94399999999999995</v>
      </c>
      <c r="L11530">
        <v>0.79</v>
      </c>
      <c r="M11530">
        <v>1.1100000000000001</v>
      </c>
      <c r="N11530">
        <v>0.52</v>
      </c>
    </row>
    <row r="11531" spans="1:14" x14ac:dyDescent="0.25">
      <c r="A11531" t="s">
        <v>19936</v>
      </c>
      <c r="B11531" t="s">
        <v>19937</v>
      </c>
      <c r="C11531" s="1" t="str">
        <f>HYPERLINK("http://www.genecards.org/cgi-bin/carddisp.pl?gene=NRXN1","GeneCards")</f>
        <v>GeneCards</v>
      </c>
      <c r="D11531" s="1" t="str">
        <f>HYPERLINK("http://genome-euro.ucsc.edu/cgi-bin/hgTracks?position=209915_s_at","UCSC")</f>
        <v>UCSC</v>
      </c>
      <c r="E11531" s="1" t="str">
        <f>HYPERLINK("http://www.ncbi.nlm.nih.gov/gene/?term=NRXN1","NCBI")</f>
        <v>NCBI</v>
      </c>
      <c r="F11531">
        <v>0.3</v>
      </c>
      <c r="G11531">
        <v>0.44</v>
      </c>
      <c r="H11531" s="1" t="str">
        <f>HYPERLINK("http://www.weizmann.ac.il/complex/compphys/software/geview/data/figures/209915_s_at.png","Figure")</f>
        <v>Figure</v>
      </c>
      <c r="I11531">
        <v>1.0900000000000001</v>
      </c>
      <c r="J11531">
        <v>0.56000000000000005</v>
      </c>
      <c r="K11531">
        <v>0.96099999999999997</v>
      </c>
      <c r="L11531">
        <v>0.85</v>
      </c>
      <c r="M11531">
        <v>0.88100000000000001</v>
      </c>
      <c r="N11531">
        <v>0.27</v>
      </c>
    </row>
    <row r="11532" spans="1:14" x14ac:dyDescent="0.25">
      <c r="A11532" t="s">
        <v>19938</v>
      </c>
      <c r="B11532" t="s">
        <v>19939</v>
      </c>
      <c r="C11532" s="1" t="str">
        <f>HYPERLINK("http://www.genecards.org/cgi-bin/carddisp.pl?gene=LOC731602 /// METT11D1","GeneCards")</f>
        <v>GeneCards</v>
      </c>
      <c r="D11532" s="1" t="str">
        <f>HYPERLINK("http://genome-euro.ucsc.edu/cgi-bin/hgTracks?position=218366_x_at","UCSC")</f>
        <v>UCSC</v>
      </c>
      <c r="E11532" s="1" t="str">
        <f>HYPERLINK("http://www.ncbi.nlm.nih.gov/gene/?term=LOC731602 /// METT11D1","NCBI")</f>
        <v>NCBI</v>
      </c>
      <c r="F11532">
        <v>0.3</v>
      </c>
      <c r="G11532">
        <v>0.44</v>
      </c>
      <c r="H11532" s="1" t="str">
        <f>HYPERLINK("http://www.weizmann.ac.il/complex/compphys/software/geview/data/figures/218366_x_at.png","Figure")</f>
        <v>Figure</v>
      </c>
      <c r="I11532">
        <v>0.83899999999999997</v>
      </c>
      <c r="J11532">
        <v>0.6</v>
      </c>
      <c r="K11532">
        <v>1.1000000000000001</v>
      </c>
      <c r="L11532">
        <v>0.81</v>
      </c>
      <c r="M11532">
        <v>1.31</v>
      </c>
      <c r="N11532">
        <v>0.27</v>
      </c>
    </row>
    <row r="11533" spans="1:14" x14ac:dyDescent="0.25">
      <c r="A11533" t="s">
        <v>19940</v>
      </c>
      <c r="B11533" t="s">
        <v>19941</v>
      </c>
      <c r="C11533" s="1" t="str">
        <f>HYPERLINK("http://www.genecards.org/cgi-bin/carddisp.pl?gene=HMBS","GeneCards")</f>
        <v>GeneCards</v>
      </c>
      <c r="D11533" s="1" t="str">
        <f>HYPERLINK("http://genome-euro.ucsc.edu/cgi-bin/hgTracks?position=203040_s_at","UCSC")</f>
        <v>UCSC</v>
      </c>
      <c r="E11533" s="1" t="str">
        <f>HYPERLINK("http://www.ncbi.nlm.nih.gov/gene/?term=HMBS","NCBI")</f>
        <v>NCBI</v>
      </c>
      <c r="F11533">
        <v>0.3</v>
      </c>
      <c r="G11533">
        <v>0.44</v>
      </c>
      <c r="H11533" s="1" t="str">
        <f>HYPERLINK("http://www.weizmann.ac.il/complex/compphys/software/geview/data/figures/203040_s_at.png","Figure")</f>
        <v>Figure</v>
      </c>
      <c r="I11533">
        <v>1.54</v>
      </c>
      <c r="J11533">
        <v>0.35</v>
      </c>
      <c r="K11533">
        <v>1.02</v>
      </c>
      <c r="L11533">
        <v>1</v>
      </c>
      <c r="M11533">
        <v>0.66600000000000004</v>
      </c>
      <c r="N11533">
        <v>0.34</v>
      </c>
    </row>
    <row r="11534" spans="1:14" x14ac:dyDescent="0.25">
      <c r="A11534" t="s">
        <v>19942</v>
      </c>
      <c r="B11534" t="s">
        <v>19943</v>
      </c>
      <c r="C11534" s="1" t="str">
        <f>HYPERLINK("http://www.genecards.org/cgi-bin/carddisp.pl?gene=RWDD1","GeneCards")</f>
        <v>GeneCards</v>
      </c>
      <c r="D11534" s="1" t="str">
        <f>HYPERLINK("http://genome-euro.ucsc.edu/cgi-bin/hgTracks?position=219598_s_at","UCSC")</f>
        <v>UCSC</v>
      </c>
      <c r="E11534" s="1" t="str">
        <f>HYPERLINK("http://www.ncbi.nlm.nih.gov/gene/?term=RWDD1","NCBI")</f>
        <v>NCBI</v>
      </c>
      <c r="F11534">
        <v>0.3</v>
      </c>
      <c r="G11534">
        <v>0.44</v>
      </c>
      <c r="H11534" s="1" t="str">
        <f>HYPERLINK("http://www.weizmann.ac.il/complex/compphys/software/geview/data/figures/219598_s_at.png","Figure")</f>
        <v>Figure</v>
      </c>
      <c r="I11534">
        <v>0.63600000000000001</v>
      </c>
      <c r="J11534">
        <v>0.28000000000000003</v>
      </c>
      <c r="K11534">
        <v>0.77100000000000002</v>
      </c>
      <c r="L11534">
        <v>0.56000000000000005</v>
      </c>
      <c r="M11534">
        <v>1.21</v>
      </c>
      <c r="N11534">
        <v>0.75</v>
      </c>
    </row>
    <row r="11535" spans="1:14" x14ac:dyDescent="0.25">
      <c r="A11535" t="s">
        <v>19944</v>
      </c>
      <c r="B11535" t="s">
        <v>19945</v>
      </c>
      <c r="C11535" s="1" t="str">
        <f>HYPERLINK("http://www.genecards.org/cgi-bin/carddisp.pl?gene=CLPX","GeneCards")</f>
        <v>GeneCards</v>
      </c>
      <c r="D11535" s="1" t="str">
        <f>HYPERLINK("http://genome-euro.ucsc.edu/cgi-bin/hgTracks?position=204809_at","UCSC")</f>
        <v>UCSC</v>
      </c>
      <c r="E11535" s="1" t="str">
        <f>HYPERLINK("http://www.ncbi.nlm.nih.gov/gene/?term=CLPX","NCBI")</f>
        <v>NCBI</v>
      </c>
      <c r="F11535">
        <v>0.3</v>
      </c>
      <c r="G11535">
        <v>0.44</v>
      </c>
      <c r="H11535" s="1" t="str">
        <f>HYPERLINK("http://www.weizmann.ac.il/complex/compphys/software/geview/data/figures/204809_at.png","Figure")</f>
        <v>Figure</v>
      </c>
      <c r="I11535">
        <v>0.84799999999999998</v>
      </c>
      <c r="J11535">
        <v>0.73</v>
      </c>
      <c r="K11535">
        <v>0.73499999999999999</v>
      </c>
      <c r="L11535">
        <v>0.27</v>
      </c>
      <c r="M11535">
        <v>0.86699999999999999</v>
      </c>
      <c r="N11535">
        <v>0.77</v>
      </c>
    </row>
    <row r="11536" spans="1:14" x14ac:dyDescent="0.25">
      <c r="A11536" t="s">
        <v>19946</v>
      </c>
      <c r="B11536" t="s">
        <v>19947</v>
      </c>
      <c r="C11536" s="1" t="str">
        <f>HYPERLINK("http://www.genecards.org/cgi-bin/carddisp.pl?gene=TGM4","GeneCards")</f>
        <v>GeneCards</v>
      </c>
      <c r="D11536" s="1" t="str">
        <f>HYPERLINK("http://genome-euro.ucsc.edu/cgi-bin/hgTracks?position=217567_at","UCSC")</f>
        <v>UCSC</v>
      </c>
      <c r="E11536" s="1" t="str">
        <f>HYPERLINK("http://www.ncbi.nlm.nih.gov/gene/?term=TGM4","NCBI")</f>
        <v>NCBI</v>
      </c>
      <c r="F11536">
        <v>0.3</v>
      </c>
      <c r="G11536">
        <v>0.44</v>
      </c>
      <c r="H11536" s="1" t="str">
        <f>HYPERLINK("http://www.weizmann.ac.il/complex/compphys/software/geview/data/figures/217567_at.png","Figure")</f>
        <v>Figure</v>
      </c>
      <c r="I11536">
        <v>1.04</v>
      </c>
      <c r="J11536">
        <v>0.34</v>
      </c>
      <c r="K11536">
        <v>1.03</v>
      </c>
      <c r="L11536">
        <v>0.4</v>
      </c>
      <c r="M11536">
        <v>0.99299999999999999</v>
      </c>
      <c r="N11536">
        <v>0.95</v>
      </c>
    </row>
    <row r="11537" spans="1:14" x14ac:dyDescent="0.25">
      <c r="A11537" t="s">
        <v>19948</v>
      </c>
      <c r="B11537" t="s">
        <v>19949</v>
      </c>
      <c r="C11537" s="1" t="str">
        <f>HYPERLINK("http://www.genecards.org/cgi-bin/carddisp.pl?gene=NAT10","GeneCards")</f>
        <v>GeneCards</v>
      </c>
      <c r="D11537" s="1" t="str">
        <f>HYPERLINK("http://genome-euro.ucsc.edu/cgi-bin/hgTracks?position=217884_at","UCSC")</f>
        <v>UCSC</v>
      </c>
      <c r="E11537" s="1" t="str">
        <f>HYPERLINK("http://www.ncbi.nlm.nih.gov/gene/?term=NAT10","NCBI")</f>
        <v>NCBI</v>
      </c>
      <c r="F11537">
        <v>0.3</v>
      </c>
      <c r="G11537">
        <v>0.44</v>
      </c>
      <c r="H11537" s="1" t="str">
        <f>HYPERLINK("http://www.weizmann.ac.il/complex/compphys/software/geview/data/figures/217884_at.png","Figure")</f>
        <v>Figure</v>
      </c>
      <c r="I11537">
        <v>1.25</v>
      </c>
      <c r="J11537">
        <v>0.43</v>
      </c>
      <c r="K11537">
        <v>1.27</v>
      </c>
      <c r="L11537">
        <v>0.31</v>
      </c>
      <c r="M11537">
        <v>1.01</v>
      </c>
      <c r="N11537">
        <v>1</v>
      </c>
    </row>
    <row r="11538" spans="1:14" x14ac:dyDescent="0.25">
      <c r="A11538" t="s">
        <v>19950</v>
      </c>
      <c r="B11538" t="s">
        <v>14154</v>
      </c>
      <c r="C11538" s="1" t="str">
        <f>HYPERLINK("http://www.genecards.org/cgi-bin/carddisp.pl?gene=FAM128B","GeneCards")</f>
        <v>GeneCards</v>
      </c>
      <c r="D11538" s="1" t="str">
        <f>HYPERLINK("http://genome-euro.ucsc.edu/cgi-bin/hgTracks?position=212995_x_at","UCSC")</f>
        <v>UCSC</v>
      </c>
      <c r="E11538" s="1" t="str">
        <f>HYPERLINK("http://www.ncbi.nlm.nih.gov/gene/?term=FAM128B","NCBI")</f>
        <v>NCBI</v>
      </c>
      <c r="F11538">
        <v>0.3</v>
      </c>
      <c r="G11538">
        <v>0.44</v>
      </c>
      <c r="H11538" s="1" t="str">
        <f>HYPERLINK("http://www.weizmann.ac.il/complex/compphys/software/geview/data/figures/212995_x_at.png","Figure")</f>
        <v>Figure</v>
      </c>
      <c r="I11538">
        <v>1.08</v>
      </c>
      <c r="J11538">
        <v>0.91</v>
      </c>
      <c r="K11538">
        <v>1.29</v>
      </c>
      <c r="L11538">
        <v>0.28999999999999998</v>
      </c>
      <c r="M11538">
        <v>1.19</v>
      </c>
      <c r="N11538">
        <v>0.57999999999999996</v>
      </c>
    </row>
    <row r="11539" spans="1:14" x14ac:dyDescent="0.25">
      <c r="A11539" t="s">
        <v>19951</v>
      </c>
      <c r="B11539" t="s">
        <v>19952</v>
      </c>
      <c r="C11539" s="1" t="str">
        <f>HYPERLINK("http://www.genecards.org/cgi-bin/carddisp.pl?gene=SEC61A2","GeneCards")</f>
        <v>GeneCards</v>
      </c>
      <c r="D11539" s="1" t="str">
        <f>HYPERLINK("http://genome-euro.ucsc.edu/cgi-bin/hgTracks?position=219499_at","UCSC")</f>
        <v>UCSC</v>
      </c>
      <c r="E11539" s="1" t="str">
        <f>HYPERLINK("http://www.ncbi.nlm.nih.gov/gene/?term=SEC61A2","NCBI")</f>
        <v>NCBI</v>
      </c>
      <c r="F11539">
        <v>0.3</v>
      </c>
      <c r="G11539">
        <v>0.44</v>
      </c>
      <c r="H11539" s="1" t="str">
        <f>HYPERLINK("http://www.weizmann.ac.il/complex/compphys/software/geview/data/figures/219499_at.png","Figure")</f>
        <v>Figure</v>
      </c>
      <c r="I11539">
        <v>0.77100000000000002</v>
      </c>
      <c r="J11539">
        <v>0.53</v>
      </c>
      <c r="K11539">
        <v>0.71799999999999997</v>
      </c>
      <c r="L11539">
        <v>0.28000000000000003</v>
      </c>
      <c r="M11539">
        <v>0.93200000000000005</v>
      </c>
      <c r="N11539">
        <v>0.95</v>
      </c>
    </row>
    <row r="11540" spans="1:14" x14ac:dyDescent="0.25">
      <c r="A11540" t="s">
        <v>19953</v>
      </c>
      <c r="B11540" t="s">
        <v>2685</v>
      </c>
      <c r="C11540" s="1" t="str">
        <f>HYPERLINK("http://www.genecards.org/cgi-bin/carddisp.pl?gene=KSR1","GeneCards")</f>
        <v>GeneCards</v>
      </c>
      <c r="D11540" s="1" t="str">
        <f>HYPERLINK("http://genome-euro.ucsc.edu/cgi-bin/hgTracks?position=213767_at","UCSC")</f>
        <v>UCSC</v>
      </c>
      <c r="E11540" s="1" t="str">
        <f>HYPERLINK("http://www.ncbi.nlm.nih.gov/gene/?term=KSR1","NCBI")</f>
        <v>NCBI</v>
      </c>
      <c r="F11540">
        <v>0.3</v>
      </c>
      <c r="G11540">
        <v>0.44</v>
      </c>
      <c r="H11540" s="1" t="str">
        <f>HYPERLINK("http://www.weizmann.ac.il/complex/compphys/software/geview/data/figures/213767_at.png","Figure")</f>
        <v>Figure</v>
      </c>
      <c r="I11540">
        <v>1.1000000000000001</v>
      </c>
      <c r="J11540">
        <v>0.28999999999999998</v>
      </c>
      <c r="K11540">
        <v>1.03</v>
      </c>
      <c r="L11540">
        <v>0.88</v>
      </c>
      <c r="M11540">
        <v>0.92900000000000005</v>
      </c>
      <c r="N11540">
        <v>0.45</v>
      </c>
    </row>
    <row r="11541" spans="1:14" x14ac:dyDescent="0.25">
      <c r="A11541" t="s">
        <v>19954</v>
      </c>
      <c r="B11541" t="s">
        <v>19955</v>
      </c>
      <c r="C11541" s="1" t="str">
        <f>HYPERLINK("http://www.genecards.org/cgi-bin/carddisp.pl?gene=GYPA","GeneCards")</f>
        <v>GeneCards</v>
      </c>
      <c r="D11541" s="1" t="str">
        <f>HYPERLINK("http://genome-euro.ucsc.edu/cgi-bin/hgTracks?position=211821_x_at","UCSC")</f>
        <v>UCSC</v>
      </c>
      <c r="E11541" s="1" t="str">
        <f>HYPERLINK("http://www.ncbi.nlm.nih.gov/gene/?term=GYPA","NCBI")</f>
        <v>NCBI</v>
      </c>
      <c r="F11541">
        <v>0.3</v>
      </c>
      <c r="G11541">
        <v>0.44</v>
      </c>
      <c r="H11541" s="1" t="str">
        <f>HYPERLINK("http://www.weizmann.ac.il/complex/compphys/software/geview/data/figures/211821_x_at.png","Figure")</f>
        <v>Figure</v>
      </c>
      <c r="I11541">
        <v>1.29</v>
      </c>
      <c r="J11541">
        <v>0.47</v>
      </c>
      <c r="K11541">
        <v>0.94199999999999995</v>
      </c>
      <c r="L11541">
        <v>0.94</v>
      </c>
      <c r="M11541">
        <v>0.72899999999999998</v>
      </c>
      <c r="N11541">
        <v>0.28000000000000003</v>
      </c>
    </row>
    <row r="11542" spans="1:14" x14ac:dyDescent="0.25">
      <c r="A11542" t="s">
        <v>19956</v>
      </c>
      <c r="B11542" t="s">
        <v>19957</v>
      </c>
      <c r="C11542" s="1" t="str">
        <f>HYPERLINK("http://www.genecards.org/cgi-bin/carddisp.pl?gene=SCNN1B","GeneCards")</f>
        <v>GeneCards</v>
      </c>
      <c r="D11542" s="1" t="str">
        <f>HYPERLINK("http://genome-euro.ucsc.edu/cgi-bin/hgTracks?position=205464_at","UCSC")</f>
        <v>UCSC</v>
      </c>
      <c r="E11542" s="1" t="str">
        <f>HYPERLINK("http://www.ncbi.nlm.nih.gov/gene/?term=SCNN1B","NCBI")</f>
        <v>NCBI</v>
      </c>
      <c r="F11542">
        <v>0.3</v>
      </c>
      <c r="G11542">
        <v>0.44</v>
      </c>
      <c r="H11542" s="1" t="str">
        <f>HYPERLINK("http://www.weizmann.ac.il/complex/compphys/software/geview/data/figures/205464_at.png","Figure")</f>
        <v>Figure</v>
      </c>
      <c r="I11542">
        <v>1.1200000000000001</v>
      </c>
      <c r="J11542">
        <v>0.3</v>
      </c>
      <c r="K11542">
        <v>1.03</v>
      </c>
      <c r="L11542">
        <v>0.92</v>
      </c>
      <c r="M11542">
        <v>0.91500000000000004</v>
      </c>
      <c r="N11542">
        <v>0.42</v>
      </c>
    </row>
    <row r="11543" spans="1:14" x14ac:dyDescent="0.25">
      <c r="A11543" t="s">
        <v>19958</v>
      </c>
      <c r="B11543" t="s">
        <v>10962</v>
      </c>
      <c r="C11543" s="1" t="str">
        <f>HYPERLINK("http://www.genecards.org/cgi-bin/carddisp.pl?gene=TAF6L","GeneCards")</f>
        <v>GeneCards</v>
      </c>
      <c r="D11543" s="1" t="str">
        <f>HYPERLINK("http://genome-euro.ucsc.edu/cgi-bin/hgTracks?position=213209_at","UCSC")</f>
        <v>UCSC</v>
      </c>
      <c r="E11543" s="1" t="str">
        <f>HYPERLINK("http://www.ncbi.nlm.nih.gov/gene/?term=TAF6L","NCBI")</f>
        <v>NCBI</v>
      </c>
      <c r="F11543">
        <v>0.3</v>
      </c>
      <c r="G11543">
        <v>0.44</v>
      </c>
      <c r="H11543" s="1" t="str">
        <f>HYPERLINK("http://www.weizmann.ac.il/complex/compphys/software/geview/data/figures/213209_at.png","Figure")</f>
        <v>Figure</v>
      </c>
      <c r="I11543">
        <v>1.1299999999999999</v>
      </c>
      <c r="J11543">
        <v>0.27</v>
      </c>
      <c r="K11543">
        <v>1.04</v>
      </c>
      <c r="L11543">
        <v>0.79</v>
      </c>
      <c r="M11543">
        <v>0.92500000000000004</v>
      </c>
      <c r="N11543">
        <v>0.53</v>
      </c>
    </row>
    <row r="11544" spans="1:14" x14ac:dyDescent="0.25">
      <c r="A11544" t="s">
        <v>19959</v>
      </c>
      <c r="B11544" t="s">
        <v>19960</v>
      </c>
      <c r="C11544" s="1" t="str">
        <f>HYPERLINK("http://www.genecards.org/cgi-bin/carddisp.pl?gene=ERICH1","GeneCards")</f>
        <v>GeneCards</v>
      </c>
      <c r="D11544" s="1" t="str">
        <f>HYPERLINK("http://genome-euro.ucsc.edu/cgi-bin/hgTracks?position=217611_at","UCSC")</f>
        <v>UCSC</v>
      </c>
      <c r="E11544" s="1" t="str">
        <f>HYPERLINK("http://www.ncbi.nlm.nih.gov/gene/?term=ERICH1","NCBI")</f>
        <v>NCBI</v>
      </c>
      <c r="F11544">
        <v>0.3</v>
      </c>
      <c r="G11544">
        <v>0.44</v>
      </c>
      <c r="H11544" s="1" t="str">
        <f>HYPERLINK("http://www.weizmann.ac.il/complex/compphys/software/geview/data/figures/217611_at.png","Figure")</f>
        <v>Figure</v>
      </c>
      <c r="I11544">
        <v>1.0900000000000001</v>
      </c>
      <c r="J11544">
        <v>0.73</v>
      </c>
      <c r="K11544">
        <v>0.92200000000000004</v>
      </c>
      <c r="L11544">
        <v>0.68</v>
      </c>
      <c r="M11544">
        <v>0.84799999999999998</v>
      </c>
      <c r="N11544">
        <v>0.28000000000000003</v>
      </c>
    </row>
    <row r="11545" spans="1:14" x14ac:dyDescent="0.25">
      <c r="A11545" t="s">
        <v>19961</v>
      </c>
      <c r="B11545" t="s">
        <v>18442</v>
      </c>
      <c r="C11545" s="1" t="str">
        <f>HYPERLINK("http://www.genecards.org/cgi-bin/carddisp.pl?gene=SUPT4H1","GeneCards")</f>
        <v>GeneCards</v>
      </c>
      <c r="D11545" s="1" t="str">
        <f>HYPERLINK("http://genome-euro.ucsc.edu/cgi-bin/hgTracks?position=201484_at","UCSC")</f>
        <v>UCSC</v>
      </c>
      <c r="E11545" s="1" t="str">
        <f>HYPERLINK("http://www.ncbi.nlm.nih.gov/gene/?term=SUPT4H1","NCBI")</f>
        <v>NCBI</v>
      </c>
      <c r="F11545">
        <v>0.3</v>
      </c>
      <c r="G11545">
        <v>0.44</v>
      </c>
      <c r="H11545" s="1" t="str">
        <f>HYPERLINK("http://www.weizmann.ac.il/complex/compphys/software/geview/data/figures/201484_at.png","Figure")</f>
        <v>Figure</v>
      </c>
      <c r="I11545">
        <v>1.1399999999999999</v>
      </c>
      <c r="J11545">
        <v>0.71</v>
      </c>
      <c r="K11545">
        <v>1.26</v>
      </c>
      <c r="L11545">
        <v>0.27</v>
      </c>
      <c r="M11545">
        <v>1.1100000000000001</v>
      </c>
      <c r="N11545">
        <v>0.79</v>
      </c>
    </row>
    <row r="11546" spans="1:14" x14ac:dyDescent="0.25">
      <c r="A11546" t="s">
        <v>19962</v>
      </c>
      <c r="B11546" t="s">
        <v>19963</v>
      </c>
      <c r="C11546" s="1" t="str">
        <f>HYPERLINK("http://www.genecards.org/cgi-bin/carddisp.pl?gene=PRUNE","GeneCards")</f>
        <v>GeneCards</v>
      </c>
      <c r="D11546" s="1" t="str">
        <f>HYPERLINK("http://genome-euro.ucsc.edu/cgi-bin/hgTracks?position=209586_s_at","UCSC")</f>
        <v>UCSC</v>
      </c>
      <c r="E11546" s="1" t="str">
        <f>HYPERLINK("http://www.ncbi.nlm.nih.gov/gene/?term=PRUNE","NCBI")</f>
        <v>NCBI</v>
      </c>
      <c r="F11546">
        <v>0.3</v>
      </c>
      <c r="G11546">
        <v>0.44</v>
      </c>
      <c r="H11546" s="1" t="str">
        <f>HYPERLINK("http://www.weizmann.ac.il/complex/compphys/software/geview/data/figures/209586_s_at.png","Figure")</f>
        <v>Figure</v>
      </c>
      <c r="I11546">
        <v>1.23</v>
      </c>
      <c r="J11546">
        <v>0.27</v>
      </c>
      <c r="K11546">
        <v>1.1000000000000001</v>
      </c>
      <c r="L11546">
        <v>0.67</v>
      </c>
      <c r="M11546">
        <v>0.89600000000000002</v>
      </c>
      <c r="N11546">
        <v>0.63</v>
      </c>
    </row>
    <row r="11547" spans="1:14" x14ac:dyDescent="0.25">
      <c r="A11547" t="s">
        <v>19964</v>
      </c>
      <c r="B11547" t="s">
        <v>19965</v>
      </c>
      <c r="C11547" s="1" t="str">
        <f>HYPERLINK("http://www.genecards.org/cgi-bin/carddisp.pl?gene=SEC61A1","GeneCards")</f>
        <v>GeneCards</v>
      </c>
      <c r="D11547" s="1" t="str">
        <f>HYPERLINK("http://genome-euro.ucsc.edu/cgi-bin/hgTracks?position=217716_s_at","UCSC")</f>
        <v>UCSC</v>
      </c>
      <c r="E11547" s="1" t="str">
        <f>HYPERLINK("http://www.ncbi.nlm.nih.gov/gene/?term=SEC61A1","NCBI")</f>
        <v>NCBI</v>
      </c>
      <c r="F11547">
        <v>0.3</v>
      </c>
      <c r="G11547">
        <v>0.44</v>
      </c>
      <c r="H11547" s="1" t="str">
        <f>HYPERLINK("http://www.weizmann.ac.il/complex/compphys/software/geview/data/figures/217716_s_at.png","Figure")</f>
        <v>Figure</v>
      </c>
      <c r="I11547">
        <v>0.94599999999999995</v>
      </c>
      <c r="J11547">
        <v>0.82</v>
      </c>
      <c r="K11547">
        <v>0.878</v>
      </c>
      <c r="L11547">
        <v>0.28000000000000003</v>
      </c>
      <c r="M11547">
        <v>0.92800000000000005</v>
      </c>
      <c r="N11547">
        <v>0.67</v>
      </c>
    </row>
    <row r="11548" spans="1:14" x14ac:dyDescent="0.25">
      <c r="A11548" t="s">
        <v>19966</v>
      </c>
      <c r="B11548" t="s">
        <v>19967</v>
      </c>
      <c r="C11548" s="1" t="str">
        <f>HYPERLINK("http://www.genecards.org/cgi-bin/carddisp.pl?gene=BOLA1","GeneCards")</f>
        <v>GeneCards</v>
      </c>
      <c r="D11548" s="1" t="str">
        <f>HYPERLINK("http://genome-euro.ucsc.edu/cgi-bin/hgTracks?position=219345_at","UCSC")</f>
        <v>UCSC</v>
      </c>
      <c r="E11548" s="1" t="str">
        <f>HYPERLINK("http://www.ncbi.nlm.nih.gov/gene/?term=BOLA1","NCBI")</f>
        <v>NCBI</v>
      </c>
      <c r="F11548">
        <v>0.3</v>
      </c>
      <c r="G11548">
        <v>0.44</v>
      </c>
      <c r="H11548" s="1" t="str">
        <f>HYPERLINK("http://www.weizmann.ac.il/complex/compphys/software/geview/data/figures/219345_at.png","Figure")</f>
        <v>Figure</v>
      </c>
      <c r="I11548">
        <v>0.98</v>
      </c>
      <c r="J11548">
        <v>0.49</v>
      </c>
      <c r="K11548">
        <v>1.01</v>
      </c>
      <c r="L11548">
        <v>0.93</v>
      </c>
      <c r="M11548">
        <v>1.03</v>
      </c>
      <c r="N11548">
        <v>0.28000000000000003</v>
      </c>
    </row>
    <row r="11549" spans="1:14" x14ac:dyDescent="0.25">
      <c r="A11549" t="s">
        <v>19968</v>
      </c>
      <c r="B11549" t="s">
        <v>19969</v>
      </c>
      <c r="C11549" s="1" t="str">
        <f>HYPERLINK("http://www.genecards.org/cgi-bin/carddisp.pl?gene=C11orf80","GeneCards")</f>
        <v>GeneCards</v>
      </c>
      <c r="D11549" s="1" t="str">
        <f>HYPERLINK("http://genome-euro.ucsc.edu/cgi-bin/hgTracks?position=204922_at","UCSC")</f>
        <v>UCSC</v>
      </c>
      <c r="E11549" s="1" t="str">
        <f>HYPERLINK("http://www.ncbi.nlm.nih.gov/gene/?term=C11orf80","NCBI")</f>
        <v>NCBI</v>
      </c>
      <c r="F11549">
        <v>0.3</v>
      </c>
      <c r="G11549">
        <v>0.44</v>
      </c>
      <c r="H11549" s="1" t="str">
        <f>HYPERLINK("http://www.weizmann.ac.il/complex/compphys/software/geview/data/figures/204922_at.png","Figure")</f>
        <v>Figure</v>
      </c>
      <c r="I11549">
        <v>1.1100000000000001</v>
      </c>
      <c r="J11549">
        <v>0.32</v>
      </c>
      <c r="K11549">
        <v>1.08</v>
      </c>
      <c r="L11549">
        <v>0.42</v>
      </c>
      <c r="M11549">
        <v>0.97499999999999998</v>
      </c>
      <c r="N11549">
        <v>0.92</v>
      </c>
    </row>
    <row r="11550" spans="1:14" x14ac:dyDescent="0.25">
      <c r="A11550" t="s">
        <v>19970</v>
      </c>
      <c r="B11550" t="s">
        <v>19971</v>
      </c>
      <c r="C11550" s="1" t="str">
        <f>HYPERLINK("http://www.genecards.org/cgi-bin/carddisp.pl?gene=MED23","GeneCards")</f>
        <v>GeneCards</v>
      </c>
      <c r="D11550" s="1" t="str">
        <f>HYPERLINK("http://genome-euro.ucsc.edu/cgi-bin/hgTracks?position=218846_at","UCSC")</f>
        <v>UCSC</v>
      </c>
      <c r="E11550" s="1" t="str">
        <f>HYPERLINK("http://www.ncbi.nlm.nih.gov/gene/?term=MED23","NCBI")</f>
        <v>NCBI</v>
      </c>
      <c r="F11550">
        <v>0.3</v>
      </c>
      <c r="G11550">
        <v>0.44</v>
      </c>
      <c r="H11550" s="1" t="str">
        <f>HYPERLINK("http://www.weizmann.ac.il/complex/compphys/software/geview/data/figures/218846_at.png","Figure")</f>
        <v>Figure</v>
      </c>
      <c r="I11550">
        <v>0.72</v>
      </c>
      <c r="J11550">
        <v>0.28000000000000003</v>
      </c>
      <c r="K11550">
        <v>0.83899999999999997</v>
      </c>
      <c r="L11550">
        <v>0.6</v>
      </c>
      <c r="M11550">
        <v>1.17</v>
      </c>
      <c r="N11550">
        <v>0.71</v>
      </c>
    </row>
    <row r="11551" spans="1:14" x14ac:dyDescent="0.25">
      <c r="A11551" t="s">
        <v>19972</v>
      </c>
      <c r="B11551" t="s">
        <v>3298</v>
      </c>
      <c r="C11551" s="1" t="str">
        <f>HYPERLINK("http://www.genecards.org/cgi-bin/carddisp.pl?gene=SSX3","GeneCards")</f>
        <v>GeneCards</v>
      </c>
      <c r="D11551" s="1" t="str">
        <f>HYPERLINK("http://genome-euro.ucsc.edu/cgi-bin/hgTracks?position=211731_x_at","UCSC")</f>
        <v>UCSC</v>
      </c>
      <c r="E11551" s="1" t="str">
        <f>HYPERLINK("http://www.ncbi.nlm.nih.gov/gene/?term=SSX3","NCBI")</f>
        <v>NCBI</v>
      </c>
      <c r="F11551">
        <v>0.3</v>
      </c>
      <c r="G11551">
        <v>0.44</v>
      </c>
      <c r="H11551" s="1" t="str">
        <f>HYPERLINK("http://www.weizmann.ac.il/complex/compphys/software/geview/data/figures/211731_x_at.png","Figure")</f>
        <v>Figure</v>
      </c>
      <c r="I11551">
        <v>0.91500000000000004</v>
      </c>
      <c r="J11551">
        <v>0.36</v>
      </c>
      <c r="K11551">
        <v>0.92600000000000005</v>
      </c>
      <c r="L11551">
        <v>0.37</v>
      </c>
      <c r="M11551">
        <v>1.01</v>
      </c>
      <c r="N11551">
        <v>0.97</v>
      </c>
    </row>
    <row r="11552" spans="1:14" x14ac:dyDescent="0.25">
      <c r="A11552" t="s">
        <v>19973</v>
      </c>
      <c r="B11552" t="s">
        <v>12929</v>
      </c>
      <c r="C11552" s="1" t="str">
        <f>HYPERLINK("http://www.genecards.org/cgi-bin/carddisp.pl?gene=TAOK2","GeneCards")</f>
        <v>GeneCards</v>
      </c>
      <c r="D11552" s="1" t="str">
        <f>HYPERLINK("http://genome-euro.ucsc.edu/cgi-bin/hgTracks?position=204986_s_at","UCSC")</f>
        <v>UCSC</v>
      </c>
      <c r="E11552" s="1" t="str">
        <f>HYPERLINK("http://www.ncbi.nlm.nih.gov/gene/?term=TAOK2","NCBI")</f>
        <v>NCBI</v>
      </c>
      <c r="F11552">
        <v>0.3</v>
      </c>
      <c r="G11552">
        <v>0.44</v>
      </c>
      <c r="H11552" s="1" t="str">
        <f>HYPERLINK("http://www.weizmann.ac.il/complex/compphys/software/geview/data/figures/204986_s_at.png","Figure")</f>
        <v>Figure</v>
      </c>
      <c r="I11552">
        <v>1.0900000000000001</v>
      </c>
      <c r="J11552">
        <v>0.34</v>
      </c>
      <c r="K11552">
        <v>1.07</v>
      </c>
      <c r="L11552">
        <v>0.39</v>
      </c>
      <c r="M11552">
        <v>0.98299999999999998</v>
      </c>
      <c r="N11552">
        <v>0.95</v>
      </c>
    </row>
    <row r="11553" spans="1:14" x14ac:dyDescent="0.25">
      <c r="A11553" t="s">
        <v>19974</v>
      </c>
      <c r="B11553" t="s">
        <v>19975</v>
      </c>
      <c r="C11553" s="1" t="str">
        <f>HYPERLINK("http://www.genecards.org/cgi-bin/carddisp.pl?gene=SYNE2","GeneCards")</f>
        <v>GeneCards</v>
      </c>
      <c r="D11553" s="1" t="str">
        <f>HYPERLINK("http://genome-euro.ucsc.edu/cgi-bin/hgTracks?position=202761_s_at","UCSC")</f>
        <v>UCSC</v>
      </c>
      <c r="E11553" s="1" t="str">
        <f>HYPERLINK("http://www.ncbi.nlm.nih.gov/gene/?term=SYNE2","NCBI")</f>
        <v>NCBI</v>
      </c>
      <c r="F11553">
        <v>0.3</v>
      </c>
      <c r="G11553">
        <v>0.44</v>
      </c>
      <c r="H11553" s="1" t="str">
        <f>HYPERLINK("http://www.weizmann.ac.il/complex/compphys/software/geview/data/figures/202761_s_at.png","Figure")</f>
        <v>Figure</v>
      </c>
      <c r="I11553">
        <v>1.07</v>
      </c>
      <c r="J11553">
        <v>0.91</v>
      </c>
      <c r="K11553">
        <v>1.25</v>
      </c>
      <c r="L11553">
        <v>0.3</v>
      </c>
      <c r="M11553">
        <v>1.17</v>
      </c>
      <c r="N11553">
        <v>0.57999999999999996</v>
      </c>
    </row>
    <row r="11554" spans="1:14" x14ac:dyDescent="0.25">
      <c r="A11554" t="s">
        <v>19976</v>
      </c>
      <c r="B11554" t="s">
        <v>19977</v>
      </c>
      <c r="C11554" s="1" t="str">
        <f>HYPERLINK("http://www.genecards.org/cgi-bin/carddisp.pl?gene=RHOG","GeneCards")</f>
        <v>GeneCards</v>
      </c>
      <c r="D11554" s="1" t="str">
        <f>HYPERLINK("http://genome-euro.ucsc.edu/cgi-bin/hgTracks?position=203175_at","UCSC")</f>
        <v>UCSC</v>
      </c>
      <c r="E11554" s="1" t="str">
        <f>HYPERLINK("http://www.ncbi.nlm.nih.gov/gene/?term=RHOG","NCBI")</f>
        <v>NCBI</v>
      </c>
      <c r="F11554">
        <v>0.3</v>
      </c>
      <c r="G11554">
        <v>0.44</v>
      </c>
      <c r="H11554" s="1" t="str">
        <f>HYPERLINK("http://www.weizmann.ac.il/complex/compphys/software/geview/data/figures/203175_at.png","Figure")</f>
        <v>Figure</v>
      </c>
      <c r="I11554">
        <v>0.88900000000000001</v>
      </c>
      <c r="J11554">
        <v>0.67</v>
      </c>
      <c r="K11554">
        <v>0.82499999999999996</v>
      </c>
      <c r="L11554">
        <v>0.27</v>
      </c>
      <c r="M11554">
        <v>0.92800000000000005</v>
      </c>
      <c r="N11554">
        <v>0.83</v>
      </c>
    </row>
    <row r="11555" spans="1:14" x14ac:dyDescent="0.25">
      <c r="A11555" t="s">
        <v>19978</v>
      </c>
      <c r="B11555" t="s">
        <v>19979</v>
      </c>
      <c r="C11555" s="1" t="str">
        <f>HYPERLINK("http://www.genecards.org/cgi-bin/carddisp.pl?gene=SNX5","GeneCards")</f>
        <v>GeneCards</v>
      </c>
      <c r="D11555" s="1" t="str">
        <f>HYPERLINK("http://genome-euro.ucsc.edu/cgi-bin/hgTracks?position=217792_at","UCSC")</f>
        <v>UCSC</v>
      </c>
      <c r="E11555" s="1" t="str">
        <f>HYPERLINK("http://www.ncbi.nlm.nih.gov/gene/?term=SNX5","NCBI")</f>
        <v>NCBI</v>
      </c>
      <c r="F11555">
        <v>0.3</v>
      </c>
      <c r="G11555">
        <v>0.44</v>
      </c>
      <c r="H11555" s="1" t="str">
        <f>HYPERLINK("http://www.weizmann.ac.il/complex/compphys/software/geview/data/figures/217792_at.png","Figure")</f>
        <v>Figure</v>
      </c>
      <c r="I11555">
        <v>1.1100000000000001</v>
      </c>
      <c r="J11555">
        <v>0.64</v>
      </c>
      <c r="K11555">
        <v>0.93100000000000005</v>
      </c>
      <c r="L11555">
        <v>0.77</v>
      </c>
      <c r="M11555">
        <v>0.83599999999999997</v>
      </c>
      <c r="N11555">
        <v>0.27</v>
      </c>
    </row>
    <row r="11556" spans="1:14" x14ac:dyDescent="0.25">
      <c r="A11556" t="s">
        <v>19980</v>
      </c>
      <c r="B11556" t="s">
        <v>19761</v>
      </c>
      <c r="C11556" s="1" t="str">
        <f>HYPERLINK("http://www.genecards.org/cgi-bin/carddisp.pl?gene=MIPEP","GeneCards")</f>
        <v>GeneCards</v>
      </c>
      <c r="D11556" s="1" t="str">
        <f>HYPERLINK("http://genome-euro.ucsc.edu/cgi-bin/hgTracks?position=36830_at","UCSC")</f>
        <v>UCSC</v>
      </c>
      <c r="E11556" s="1" t="str">
        <f>HYPERLINK("http://www.ncbi.nlm.nih.gov/gene/?term=MIPEP","NCBI")</f>
        <v>NCBI</v>
      </c>
      <c r="F11556">
        <v>0.3</v>
      </c>
      <c r="G11556">
        <v>0.44</v>
      </c>
      <c r="H11556" s="1" t="str">
        <f>HYPERLINK("http://www.weizmann.ac.il/complex/compphys/software/geview/data/figures/36830_at.png","Figure")</f>
        <v>Figure</v>
      </c>
      <c r="I11556">
        <v>0.97</v>
      </c>
      <c r="J11556">
        <v>0.87</v>
      </c>
      <c r="K11556">
        <v>1.06</v>
      </c>
      <c r="L11556">
        <v>0.54</v>
      </c>
      <c r="M11556">
        <v>1.0900000000000001</v>
      </c>
      <c r="N11556">
        <v>0.31</v>
      </c>
    </row>
    <row r="11557" spans="1:14" x14ac:dyDescent="0.25">
      <c r="A11557" t="s">
        <v>19981</v>
      </c>
      <c r="B11557" t="s">
        <v>19788</v>
      </c>
      <c r="C11557" s="1" t="str">
        <f>HYPERLINK("http://www.genecards.org/cgi-bin/carddisp.pl?gene=CD86","GeneCards")</f>
        <v>GeneCards</v>
      </c>
      <c r="D11557" s="1" t="str">
        <f>HYPERLINK("http://genome-euro.ucsc.edu/cgi-bin/hgTracks?position=210895_s_at","UCSC")</f>
        <v>UCSC</v>
      </c>
      <c r="E11557" s="1" t="str">
        <f>HYPERLINK("http://www.ncbi.nlm.nih.gov/gene/?term=CD86","NCBI")</f>
        <v>NCBI</v>
      </c>
      <c r="F11557">
        <v>0.3</v>
      </c>
      <c r="G11557">
        <v>0.44</v>
      </c>
      <c r="H11557" s="1" t="str">
        <f>HYPERLINK("http://www.weizmann.ac.il/complex/compphys/software/geview/data/figures/210895_s_at.png","Figure")</f>
        <v>Figure</v>
      </c>
      <c r="I11557">
        <v>0.871</v>
      </c>
      <c r="J11557">
        <v>0.79</v>
      </c>
      <c r="K11557">
        <v>1.19</v>
      </c>
      <c r="L11557">
        <v>0.62</v>
      </c>
      <c r="M11557">
        <v>1.37</v>
      </c>
      <c r="N11557">
        <v>0.28999999999999998</v>
      </c>
    </row>
    <row r="11558" spans="1:14" x14ac:dyDescent="0.25">
      <c r="A11558" t="s">
        <v>19982</v>
      </c>
      <c r="B11558" t="s">
        <v>6996</v>
      </c>
      <c r="C11558" s="1" t="str">
        <f>HYPERLINK("http://www.genecards.org/cgi-bin/carddisp.pl?gene=IL13RA1","GeneCards")</f>
        <v>GeneCards</v>
      </c>
      <c r="D11558" s="1" t="str">
        <f>HYPERLINK("http://genome-euro.ucsc.edu/cgi-bin/hgTracks?position=210904_s_at","UCSC")</f>
        <v>UCSC</v>
      </c>
      <c r="E11558" s="1" t="str">
        <f>HYPERLINK("http://www.ncbi.nlm.nih.gov/gene/?term=IL13RA1","NCBI")</f>
        <v>NCBI</v>
      </c>
      <c r="F11558">
        <v>0.3</v>
      </c>
      <c r="G11558">
        <v>0.44</v>
      </c>
      <c r="H11558" s="1" t="str">
        <f>HYPERLINK("http://www.weizmann.ac.il/complex/compphys/software/geview/data/figures/210904_s_at.png","Figure")</f>
        <v>Figure</v>
      </c>
      <c r="I11558">
        <v>0.91500000000000004</v>
      </c>
      <c r="J11558">
        <v>0.27</v>
      </c>
      <c r="K11558">
        <v>0.95599999999999996</v>
      </c>
      <c r="L11558">
        <v>0.63</v>
      </c>
      <c r="M11558">
        <v>1.04</v>
      </c>
      <c r="N11558">
        <v>0.67</v>
      </c>
    </row>
    <row r="11559" spans="1:14" x14ac:dyDescent="0.25">
      <c r="A11559" t="s">
        <v>19983</v>
      </c>
      <c r="B11559" t="s">
        <v>19984</v>
      </c>
      <c r="C11559" s="1" t="str">
        <f>HYPERLINK("http://www.genecards.org/cgi-bin/carddisp.pl?gene=CKAP2","GeneCards")</f>
        <v>GeneCards</v>
      </c>
      <c r="D11559" s="1" t="str">
        <f>HYPERLINK("http://genome-euro.ucsc.edu/cgi-bin/hgTracks?position=218252_at","UCSC")</f>
        <v>UCSC</v>
      </c>
      <c r="E11559" s="1" t="str">
        <f>HYPERLINK("http://www.ncbi.nlm.nih.gov/gene/?term=CKAP2","NCBI")</f>
        <v>NCBI</v>
      </c>
      <c r="F11559">
        <v>0.3</v>
      </c>
      <c r="G11559">
        <v>0.44</v>
      </c>
      <c r="H11559" s="1" t="str">
        <f>HYPERLINK("http://www.weizmann.ac.il/complex/compphys/software/geview/data/figures/218252_at.png","Figure")</f>
        <v>Figure</v>
      </c>
      <c r="I11559">
        <v>0.69299999999999995</v>
      </c>
      <c r="J11559">
        <v>0.28000000000000003</v>
      </c>
      <c r="K11559">
        <v>0.80200000000000005</v>
      </c>
      <c r="L11559">
        <v>0.54</v>
      </c>
      <c r="M11559">
        <v>1.1599999999999999</v>
      </c>
      <c r="N11559">
        <v>0.78</v>
      </c>
    </row>
    <row r="11560" spans="1:14" x14ac:dyDescent="0.25">
      <c r="A11560" t="s">
        <v>19985</v>
      </c>
      <c r="B11560" t="s">
        <v>14778</v>
      </c>
      <c r="C11560" s="1" t="str">
        <f>HYPERLINK("http://www.genecards.org/cgi-bin/carddisp.pl?gene=WAS","GeneCards")</f>
        <v>GeneCards</v>
      </c>
      <c r="D11560" s="1" t="str">
        <f>HYPERLINK("http://genome-euro.ucsc.edu/cgi-bin/hgTracks?position=38964_r_at","UCSC")</f>
        <v>UCSC</v>
      </c>
      <c r="E11560" s="1" t="str">
        <f>HYPERLINK("http://www.ncbi.nlm.nih.gov/gene/?term=WAS","NCBI")</f>
        <v>NCBI</v>
      </c>
      <c r="F11560">
        <v>0.3</v>
      </c>
      <c r="G11560">
        <v>0.44</v>
      </c>
      <c r="H11560" s="1" t="str">
        <f>HYPERLINK("http://www.weizmann.ac.il/complex/compphys/software/geview/data/figures/38964_r_at.png","Figure")</f>
        <v>Figure</v>
      </c>
      <c r="I11560">
        <v>1.1100000000000001</v>
      </c>
      <c r="J11560">
        <v>0.76</v>
      </c>
      <c r="K11560">
        <v>1.23</v>
      </c>
      <c r="L11560">
        <v>0.27</v>
      </c>
      <c r="M11560">
        <v>1.1100000000000001</v>
      </c>
      <c r="N11560">
        <v>0.75</v>
      </c>
    </row>
    <row r="11561" spans="1:14" x14ac:dyDescent="0.25">
      <c r="A11561" t="s">
        <v>19986</v>
      </c>
      <c r="B11561" t="s">
        <v>758</v>
      </c>
      <c r="C11561" s="1" t="str">
        <f>HYPERLINK("http://www.genecards.org/cgi-bin/carddisp.pl?gene=C6orf62","GeneCards")</f>
        <v>GeneCards</v>
      </c>
      <c r="D11561" s="1" t="str">
        <f>HYPERLINK("http://genome-euro.ucsc.edu/cgi-bin/hgTracks?position=213875_x_at","UCSC")</f>
        <v>UCSC</v>
      </c>
      <c r="E11561" s="1" t="str">
        <f>HYPERLINK("http://www.ncbi.nlm.nih.gov/gene/?term=C6orf62","NCBI")</f>
        <v>NCBI</v>
      </c>
      <c r="F11561">
        <v>0.3</v>
      </c>
      <c r="G11561">
        <v>0.44</v>
      </c>
      <c r="H11561" s="1" t="str">
        <f>HYPERLINK("http://www.weizmann.ac.il/complex/compphys/software/geview/data/figures/213875_x_at.png","Figure")</f>
        <v>Figure</v>
      </c>
      <c r="I11561">
        <v>0.93100000000000005</v>
      </c>
      <c r="J11561">
        <v>0.9</v>
      </c>
      <c r="K11561">
        <v>0.80300000000000005</v>
      </c>
      <c r="L11561">
        <v>0.28999999999999998</v>
      </c>
      <c r="M11561">
        <v>0.86299999999999999</v>
      </c>
      <c r="N11561">
        <v>0.6</v>
      </c>
    </row>
    <row r="11562" spans="1:14" x14ac:dyDescent="0.25">
      <c r="A11562" t="s">
        <v>19987</v>
      </c>
      <c r="B11562" t="s">
        <v>12525</v>
      </c>
      <c r="C11562" s="1" t="str">
        <f>HYPERLINK("http://www.genecards.org/cgi-bin/carddisp.pl?gene=GRB10","GeneCards")</f>
        <v>GeneCards</v>
      </c>
      <c r="D11562" s="1" t="str">
        <f>HYPERLINK("http://genome-euro.ucsc.edu/cgi-bin/hgTracks?position=215248_at","UCSC")</f>
        <v>UCSC</v>
      </c>
      <c r="E11562" s="1" t="str">
        <f>HYPERLINK("http://www.ncbi.nlm.nih.gov/gene/?term=GRB10","NCBI")</f>
        <v>NCBI</v>
      </c>
      <c r="F11562">
        <v>0.3</v>
      </c>
      <c r="G11562">
        <v>0.44</v>
      </c>
      <c r="H11562" s="1" t="str">
        <f>HYPERLINK("http://www.weizmann.ac.il/complex/compphys/software/geview/data/figures/215248_at.png","Figure")</f>
        <v>Figure</v>
      </c>
      <c r="I11562">
        <v>0.90800000000000003</v>
      </c>
      <c r="J11562">
        <v>0.86</v>
      </c>
      <c r="K11562">
        <v>1.19</v>
      </c>
      <c r="L11562">
        <v>0.56000000000000005</v>
      </c>
      <c r="M11562">
        <v>1.31</v>
      </c>
      <c r="N11562">
        <v>0.3</v>
      </c>
    </row>
    <row r="11563" spans="1:14" x14ac:dyDescent="0.25">
      <c r="A11563" t="s">
        <v>19988</v>
      </c>
      <c r="B11563" t="s">
        <v>2816</v>
      </c>
      <c r="C11563" s="1" t="str">
        <f>HYPERLINK("http://www.genecards.org/cgi-bin/carddisp.pl?gene=BRF1","GeneCards")</f>
        <v>GeneCards</v>
      </c>
      <c r="D11563" s="1" t="str">
        <f>HYPERLINK("http://genome-euro.ucsc.edu/cgi-bin/hgTracks?position=203754_s_at","UCSC")</f>
        <v>UCSC</v>
      </c>
      <c r="E11563" s="1" t="str">
        <f>HYPERLINK("http://www.ncbi.nlm.nih.gov/gene/?term=BRF1","NCBI")</f>
        <v>NCBI</v>
      </c>
      <c r="F11563">
        <v>0.3</v>
      </c>
      <c r="G11563">
        <v>0.44</v>
      </c>
      <c r="H11563" s="1" t="str">
        <f>HYPERLINK("http://www.weizmann.ac.il/complex/compphys/software/geview/data/figures/203754_s_at.png","Figure")</f>
        <v>Figure</v>
      </c>
      <c r="I11563">
        <v>1.19</v>
      </c>
      <c r="J11563">
        <v>0.32</v>
      </c>
      <c r="K11563">
        <v>1.1399999999999999</v>
      </c>
      <c r="L11563">
        <v>0.42</v>
      </c>
      <c r="M11563">
        <v>0.95699999999999996</v>
      </c>
      <c r="N11563">
        <v>0.92</v>
      </c>
    </row>
    <row r="11564" spans="1:14" x14ac:dyDescent="0.25">
      <c r="A11564" t="s">
        <v>19989</v>
      </c>
      <c r="B11564" t="s">
        <v>19990</v>
      </c>
      <c r="C11564" s="1" t="str">
        <f>HYPERLINK("http://www.genecards.org/cgi-bin/carddisp.pl?gene=C11orf61","GeneCards")</f>
        <v>GeneCards</v>
      </c>
      <c r="D11564" s="1" t="str">
        <f>HYPERLINK("http://genome-euro.ucsc.edu/cgi-bin/hgTracks?position=221208_s_at","UCSC")</f>
        <v>UCSC</v>
      </c>
      <c r="E11564" s="1" t="str">
        <f>HYPERLINK("http://www.ncbi.nlm.nih.gov/gene/?term=C11orf61","NCBI")</f>
        <v>NCBI</v>
      </c>
      <c r="F11564">
        <v>0.3</v>
      </c>
      <c r="G11564">
        <v>0.44</v>
      </c>
      <c r="H11564" s="1" t="str">
        <f>HYPERLINK("http://www.weizmann.ac.il/complex/compphys/software/geview/data/figures/221208_s_at.png","Figure")</f>
        <v>Figure</v>
      </c>
      <c r="I11564">
        <v>0.69599999999999995</v>
      </c>
      <c r="J11564">
        <v>0.28999999999999998</v>
      </c>
      <c r="K11564">
        <v>0.90200000000000002</v>
      </c>
      <c r="L11564">
        <v>0.86</v>
      </c>
      <c r="M11564">
        <v>1.3</v>
      </c>
      <c r="N11564">
        <v>0.47</v>
      </c>
    </row>
    <row r="11565" spans="1:14" x14ac:dyDescent="0.25">
      <c r="A11565" t="s">
        <v>19991</v>
      </c>
      <c r="B11565" t="s">
        <v>19992</v>
      </c>
      <c r="C11565" s="1" t="str">
        <f>HYPERLINK("http://www.genecards.org/cgi-bin/carddisp.pl?gene=STARD7","GeneCards")</f>
        <v>GeneCards</v>
      </c>
      <c r="D11565" s="1" t="str">
        <f>HYPERLINK("http://genome-euro.ucsc.edu/cgi-bin/hgTracks?position=200028_s_at","UCSC")</f>
        <v>UCSC</v>
      </c>
      <c r="E11565" s="1" t="str">
        <f>HYPERLINK("http://www.ncbi.nlm.nih.gov/gene/?term=STARD7","NCBI")</f>
        <v>NCBI</v>
      </c>
      <c r="F11565">
        <v>0.3</v>
      </c>
      <c r="G11565">
        <v>0.44</v>
      </c>
      <c r="H11565" s="1" t="str">
        <f>HYPERLINK("http://www.weizmann.ac.il/complex/compphys/software/geview/data/figures/200028_s_at.png","Figure")</f>
        <v>Figure</v>
      </c>
      <c r="I11565">
        <v>0.81100000000000005</v>
      </c>
      <c r="J11565">
        <v>0.44</v>
      </c>
      <c r="K11565">
        <v>1.03</v>
      </c>
      <c r="L11565">
        <v>0.97</v>
      </c>
      <c r="M11565">
        <v>1.27</v>
      </c>
      <c r="N11565">
        <v>0.28999999999999998</v>
      </c>
    </row>
    <row r="11566" spans="1:14" x14ac:dyDescent="0.25">
      <c r="A11566" t="s">
        <v>19993</v>
      </c>
      <c r="B11566" t="s">
        <v>19994</v>
      </c>
      <c r="C11566" s="1" t="str">
        <f>HYPERLINK("http://www.genecards.org/cgi-bin/carddisp.pl?gene=SMURF2","GeneCards")</f>
        <v>GeneCards</v>
      </c>
      <c r="D11566" s="1" t="str">
        <f>HYPERLINK("http://genome-euro.ucsc.edu/cgi-bin/hgTracks?position=205596_s_at","UCSC")</f>
        <v>UCSC</v>
      </c>
      <c r="E11566" s="1" t="str">
        <f>HYPERLINK("http://www.ncbi.nlm.nih.gov/gene/?term=SMURF2","NCBI")</f>
        <v>NCBI</v>
      </c>
      <c r="F11566">
        <v>0.3</v>
      </c>
      <c r="G11566">
        <v>0.44</v>
      </c>
      <c r="H11566" s="1" t="str">
        <f>HYPERLINK("http://www.weizmann.ac.il/complex/compphys/software/geview/data/figures/205596_s_at.png","Figure")</f>
        <v>Figure</v>
      </c>
      <c r="I11566">
        <v>0.58099999999999996</v>
      </c>
      <c r="J11566">
        <v>0.27</v>
      </c>
      <c r="K11566">
        <v>0.75800000000000001</v>
      </c>
      <c r="L11566">
        <v>0.62</v>
      </c>
      <c r="M11566">
        <v>1.3</v>
      </c>
      <c r="N11566">
        <v>0.68</v>
      </c>
    </row>
    <row r="11567" spans="1:14" x14ac:dyDescent="0.25">
      <c r="A11567" t="s">
        <v>19995</v>
      </c>
      <c r="B11567" t="s">
        <v>14454</v>
      </c>
      <c r="C11567" s="1" t="str">
        <f>HYPERLINK("http://www.genecards.org/cgi-bin/carddisp.pl?gene=STAU1","GeneCards")</f>
        <v>GeneCards</v>
      </c>
      <c r="D11567" s="1" t="str">
        <f>HYPERLINK("http://genome-euro.ucsc.edu/cgi-bin/hgTracks?position=208948_s_at","UCSC")</f>
        <v>UCSC</v>
      </c>
      <c r="E11567" s="1" t="str">
        <f>HYPERLINK("http://www.ncbi.nlm.nih.gov/gene/?term=STAU1","NCBI")</f>
        <v>NCBI</v>
      </c>
      <c r="F11567">
        <v>0.3</v>
      </c>
      <c r="G11567">
        <v>0.44</v>
      </c>
      <c r="H11567" s="1" t="str">
        <f>HYPERLINK("http://www.weizmann.ac.il/complex/compphys/software/geview/data/figures/208948_s_at.png","Figure")</f>
        <v>Figure</v>
      </c>
      <c r="I11567">
        <v>1.3</v>
      </c>
      <c r="J11567">
        <v>0.49</v>
      </c>
      <c r="K11567">
        <v>0.93200000000000005</v>
      </c>
      <c r="L11567">
        <v>0.93</v>
      </c>
      <c r="M11567">
        <v>0.71799999999999997</v>
      </c>
      <c r="N11567">
        <v>0.28000000000000003</v>
      </c>
    </row>
    <row r="11568" spans="1:14" x14ac:dyDescent="0.25">
      <c r="A11568" t="s">
        <v>19996</v>
      </c>
      <c r="B11568" t="s">
        <v>19997</v>
      </c>
      <c r="C11568" s="1" t="str">
        <f>HYPERLINK("http://www.genecards.org/cgi-bin/carddisp.pl?gene=SMPD1","GeneCards")</f>
        <v>GeneCards</v>
      </c>
      <c r="D11568" s="1" t="str">
        <f>HYPERLINK("http://genome-euro.ucsc.edu/cgi-bin/hgTracks?position=217171_at","UCSC")</f>
        <v>UCSC</v>
      </c>
      <c r="E11568" s="1" t="str">
        <f>HYPERLINK("http://www.ncbi.nlm.nih.gov/gene/?term=SMPD1","NCBI")</f>
        <v>NCBI</v>
      </c>
      <c r="F11568">
        <v>0.3</v>
      </c>
      <c r="G11568">
        <v>0.44</v>
      </c>
      <c r="H11568" s="1" t="str">
        <f>HYPERLINK("http://www.weizmann.ac.il/complex/compphys/software/geview/data/figures/217171_at.png","Figure")</f>
        <v>Figure</v>
      </c>
      <c r="I11568">
        <v>1.02</v>
      </c>
      <c r="J11568">
        <v>0.51</v>
      </c>
      <c r="K11568">
        <v>0.99399999999999999</v>
      </c>
      <c r="L11568">
        <v>0.91</v>
      </c>
      <c r="M11568">
        <v>0.97699999999999998</v>
      </c>
      <c r="N11568">
        <v>0.28000000000000003</v>
      </c>
    </row>
    <row r="11569" spans="1:14" x14ac:dyDescent="0.25">
      <c r="A11569" t="s">
        <v>19998</v>
      </c>
      <c r="B11569" t="s">
        <v>19999</v>
      </c>
      <c r="C11569" s="1" t="str">
        <f>HYPERLINK("http://www.genecards.org/cgi-bin/carddisp.pl?gene=APH1B","GeneCards")</f>
        <v>GeneCards</v>
      </c>
      <c r="D11569" s="1" t="str">
        <f>HYPERLINK("http://genome-euro.ucsc.edu/cgi-bin/hgTracks?position=221036_s_at","UCSC")</f>
        <v>UCSC</v>
      </c>
      <c r="E11569" s="1" t="str">
        <f>HYPERLINK("http://www.ncbi.nlm.nih.gov/gene/?term=APH1B","NCBI")</f>
        <v>NCBI</v>
      </c>
      <c r="F11569">
        <v>0.3</v>
      </c>
      <c r="G11569">
        <v>0.44</v>
      </c>
      <c r="H11569" s="1" t="str">
        <f>HYPERLINK("http://www.weizmann.ac.il/complex/compphys/software/geview/data/figures/221036_s_at.png","Figure")</f>
        <v>Figure</v>
      </c>
      <c r="I11569">
        <v>1.1100000000000001</v>
      </c>
      <c r="J11569">
        <v>0.46</v>
      </c>
      <c r="K11569">
        <v>0.97899999999999998</v>
      </c>
      <c r="L11569">
        <v>0.96</v>
      </c>
      <c r="M11569">
        <v>0.879</v>
      </c>
      <c r="N11569">
        <v>0.28999999999999998</v>
      </c>
    </row>
    <row r="11570" spans="1:14" x14ac:dyDescent="0.25">
      <c r="A11570" t="s">
        <v>20000</v>
      </c>
      <c r="B11570" t="s">
        <v>20001</v>
      </c>
      <c r="C11570" s="1" t="str">
        <f>HYPERLINK("http://www.genecards.org/cgi-bin/carddisp.pl?gene=SPCS1","GeneCards")</f>
        <v>GeneCards</v>
      </c>
      <c r="D11570" s="1" t="str">
        <f>HYPERLINK("http://genome-euro.ucsc.edu/cgi-bin/hgTracks?position=217927_at","UCSC")</f>
        <v>UCSC</v>
      </c>
      <c r="E11570" s="1" t="str">
        <f>HYPERLINK("http://www.ncbi.nlm.nih.gov/gene/?term=SPCS1","NCBI")</f>
        <v>NCBI</v>
      </c>
      <c r="F11570">
        <v>0.3</v>
      </c>
      <c r="G11570">
        <v>0.44</v>
      </c>
      <c r="H11570" s="1" t="str">
        <f>HYPERLINK("http://www.weizmann.ac.il/complex/compphys/software/geview/data/figures/217927_at.png","Figure")</f>
        <v>Figure</v>
      </c>
      <c r="I11570">
        <v>0.93300000000000005</v>
      </c>
      <c r="J11570">
        <v>0.94</v>
      </c>
      <c r="K11570">
        <v>1.23</v>
      </c>
      <c r="L11570">
        <v>0.48</v>
      </c>
      <c r="M11570">
        <v>1.32</v>
      </c>
      <c r="N11570">
        <v>0.33</v>
      </c>
    </row>
    <row r="11571" spans="1:14" x14ac:dyDescent="0.25">
      <c r="A11571" t="s">
        <v>20002</v>
      </c>
      <c r="B11571" t="s">
        <v>13432</v>
      </c>
      <c r="C11571" s="1" t="str">
        <f>HYPERLINK("http://www.genecards.org/cgi-bin/carddisp.pl?gene=PCBP2","GeneCards")</f>
        <v>GeneCards</v>
      </c>
      <c r="D11571" s="1" t="str">
        <f>HYPERLINK("http://genome-euro.ucsc.edu/cgi-bin/hgTracks?position=213264_at","UCSC")</f>
        <v>UCSC</v>
      </c>
      <c r="E11571" s="1" t="str">
        <f>HYPERLINK("http://www.ncbi.nlm.nih.gov/gene/?term=PCBP2","NCBI")</f>
        <v>NCBI</v>
      </c>
      <c r="F11571">
        <v>0.3</v>
      </c>
      <c r="G11571">
        <v>0.44</v>
      </c>
      <c r="H11571" s="1" t="str">
        <f>HYPERLINK("http://www.weizmann.ac.il/complex/compphys/software/geview/data/figures/213264_at.png","Figure")</f>
        <v>Figure</v>
      </c>
      <c r="I11571">
        <v>0.89700000000000002</v>
      </c>
      <c r="J11571">
        <v>0.68</v>
      </c>
      <c r="K11571">
        <v>1.0900000000000001</v>
      </c>
      <c r="L11571">
        <v>0.74</v>
      </c>
      <c r="M11571">
        <v>1.21</v>
      </c>
      <c r="N11571">
        <v>0.27</v>
      </c>
    </row>
    <row r="11572" spans="1:14" x14ac:dyDescent="0.25">
      <c r="A11572" t="s">
        <v>20003</v>
      </c>
      <c r="B11572" t="s">
        <v>12681</v>
      </c>
      <c r="C11572" s="1" t="str">
        <f>HYPERLINK("http://www.genecards.org/cgi-bin/carddisp.pl?gene=SEC23B","GeneCards")</f>
        <v>GeneCards</v>
      </c>
      <c r="D11572" s="1" t="str">
        <f>HYPERLINK("http://genome-euro.ucsc.edu/cgi-bin/hgTracks?position=201582_at","UCSC")</f>
        <v>UCSC</v>
      </c>
      <c r="E11572" s="1" t="str">
        <f>HYPERLINK("http://www.ncbi.nlm.nih.gov/gene/?term=SEC23B","NCBI")</f>
        <v>NCBI</v>
      </c>
      <c r="F11572">
        <v>0.3</v>
      </c>
      <c r="G11572">
        <v>0.44</v>
      </c>
      <c r="H11572" s="1" t="str">
        <f>HYPERLINK("http://www.weizmann.ac.il/complex/compphys/software/geview/data/figures/201582_at.png","Figure")</f>
        <v>Figure</v>
      </c>
      <c r="I11572">
        <v>0.81799999999999995</v>
      </c>
      <c r="J11572">
        <v>0.32</v>
      </c>
      <c r="K11572">
        <v>0.97399999999999998</v>
      </c>
      <c r="L11572">
        <v>0.97</v>
      </c>
      <c r="M11572">
        <v>1.19</v>
      </c>
      <c r="N11572">
        <v>0.37</v>
      </c>
    </row>
    <row r="11573" spans="1:14" x14ac:dyDescent="0.25">
      <c r="A11573" t="s">
        <v>20004</v>
      </c>
      <c r="B11573" t="s">
        <v>20005</v>
      </c>
      <c r="C11573" s="1" t="str">
        <f>HYPERLINK("http://www.genecards.org/cgi-bin/carddisp.pl?gene=NUAK1","GeneCards")</f>
        <v>GeneCards</v>
      </c>
      <c r="D11573" s="1" t="str">
        <f>HYPERLINK("http://genome-euro.ucsc.edu/cgi-bin/hgTracks?position=204589_at","UCSC")</f>
        <v>UCSC</v>
      </c>
      <c r="E11573" s="1" t="str">
        <f>HYPERLINK("http://www.ncbi.nlm.nih.gov/gene/?term=NUAK1","NCBI")</f>
        <v>NCBI</v>
      </c>
      <c r="F11573">
        <v>0.3</v>
      </c>
      <c r="G11573">
        <v>0.44</v>
      </c>
      <c r="H11573" s="1" t="str">
        <f>HYPERLINK("http://www.weizmann.ac.il/complex/compphys/software/geview/data/figures/204589_at.png","Figure")</f>
        <v>Figure</v>
      </c>
      <c r="I11573">
        <v>1.0900000000000001</v>
      </c>
      <c r="J11573">
        <v>0.33</v>
      </c>
      <c r="K11573">
        <v>1.01</v>
      </c>
      <c r="L11573">
        <v>0.98</v>
      </c>
      <c r="M11573">
        <v>0.92800000000000005</v>
      </c>
      <c r="N11573">
        <v>0.36</v>
      </c>
    </row>
    <row r="11574" spans="1:14" x14ac:dyDescent="0.25">
      <c r="A11574" t="s">
        <v>20006</v>
      </c>
      <c r="B11574" t="s">
        <v>18196</v>
      </c>
      <c r="C11574" s="1" t="str">
        <f>HYPERLINK("http://www.genecards.org/cgi-bin/carddisp.pl?gene=ASAH1","GeneCards")</f>
        <v>GeneCards</v>
      </c>
      <c r="D11574" s="1" t="str">
        <f>HYPERLINK("http://genome-euro.ucsc.edu/cgi-bin/hgTracks?position=213702_x_at","UCSC")</f>
        <v>UCSC</v>
      </c>
      <c r="E11574" s="1" t="str">
        <f>HYPERLINK("http://www.ncbi.nlm.nih.gov/gene/?term=ASAH1","NCBI")</f>
        <v>NCBI</v>
      </c>
      <c r="F11574">
        <v>0.3</v>
      </c>
      <c r="G11574">
        <v>0.44</v>
      </c>
      <c r="H11574" s="1" t="str">
        <f>HYPERLINK("http://www.weizmann.ac.il/complex/compphys/software/geview/data/figures/213702_x_at.png","Figure")</f>
        <v>Figure</v>
      </c>
      <c r="I11574">
        <v>1.19</v>
      </c>
      <c r="J11574">
        <v>0.63</v>
      </c>
      <c r="K11574">
        <v>1.29</v>
      </c>
      <c r="L11574">
        <v>0.27</v>
      </c>
      <c r="M11574">
        <v>1.0900000000000001</v>
      </c>
      <c r="N11574">
        <v>0.87</v>
      </c>
    </row>
    <row r="11575" spans="1:14" x14ac:dyDescent="0.25">
      <c r="A11575" t="s">
        <v>20007</v>
      </c>
      <c r="B11575" t="s">
        <v>20008</v>
      </c>
      <c r="C11575" s="1" t="str">
        <f>HYPERLINK("http://www.genecards.org/cgi-bin/carddisp.pl?gene=COX7C","GeneCards")</f>
        <v>GeneCards</v>
      </c>
      <c r="D11575" s="1" t="str">
        <f>HYPERLINK("http://genome-euro.ucsc.edu/cgi-bin/hgTracks?position=217491_x_at","UCSC")</f>
        <v>UCSC</v>
      </c>
      <c r="E11575" s="1" t="str">
        <f>HYPERLINK("http://www.ncbi.nlm.nih.gov/gene/?term=COX7C","NCBI")</f>
        <v>NCBI</v>
      </c>
      <c r="F11575">
        <v>0.3</v>
      </c>
      <c r="G11575">
        <v>0.44</v>
      </c>
      <c r="H11575" s="1" t="str">
        <f>HYPERLINK("http://www.weizmann.ac.il/complex/compphys/software/geview/data/figures/217491_x_at.png","Figure")</f>
        <v>Figure</v>
      </c>
      <c r="I11575">
        <v>1.2</v>
      </c>
      <c r="J11575">
        <v>0.76</v>
      </c>
      <c r="K11575">
        <v>1.44</v>
      </c>
      <c r="L11575">
        <v>0.27</v>
      </c>
      <c r="M11575">
        <v>1.2</v>
      </c>
      <c r="N11575">
        <v>0.74</v>
      </c>
    </row>
    <row r="11576" spans="1:14" x14ac:dyDescent="0.25">
      <c r="A11576" t="s">
        <v>20009</v>
      </c>
      <c r="B11576" t="s">
        <v>20010</v>
      </c>
      <c r="C11576" s="1" t="str">
        <f>HYPERLINK("http://www.genecards.org/cgi-bin/carddisp.pl?gene=AKR7A3","GeneCards")</f>
        <v>GeneCards</v>
      </c>
      <c r="D11576" s="1" t="str">
        <f>HYPERLINK("http://genome-euro.ucsc.edu/cgi-bin/hgTracks?position=216381_x_at","UCSC")</f>
        <v>UCSC</v>
      </c>
      <c r="E11576" s="1" t="str">
        <f>HYPERLINK("http://www.ncbi.nlm.nih.gov/gene/?term=AKR7A3","NCBI")</f>
        <v>NCBI</v>
      </c>
      <c r="F11576">
        <v>0.3</v>
      </c>
      <c r="G11576">
        <v>0.44</v>
      </c>
      <c r="H11576" s="1" t="str">
        <f>HYPERLINK("http://www.weizmann.ac.il/complex/compphys/software/geview/data/figures/216381_x_at.png","Figure")</f>
        <v>Figure</v>
      </c>
      <c r="I11576">
        <v>0.91200000000000003</v>
      </c>
      <c r="J11576">
        <v>0.52</v>
      </c>
      <c r="K11576">
        <v>1.03</v>
      </c>
      <c r="L11576">
        <v>0.9</v>
      </c>
      <c r="M11576">
        <v>1.1299999999999999</v>
      </c>
      <c r="N11576">
        <v>0.28000000000000003</v>
      </c>
    </row>
    <row r="11577" spans="1:14" x14ac:dyDescent="0.25">
      <c r="A11577" t="s">
        <v>20011</v>
      </c>
      <c r="B11577" t="s">
        <v>20012</v>
      </c>
      <c r="C11577" s="1" t="str">
        <f>HYPERLINK("http://www.genecards.org/cgi-bin/carddisp.pl?gene=HIST2H2BE","GeneCards")</f>
        <v>GeneCards</v>
      </c>
      <c r="D11577" s="1" t="str">
        <f>HYPERLINK("http://genome-euro.ucsc.edu/cgi-bin/hgTracks?position=202708_s_at","UCSC")</f>
        <v>UCSC</v>
      </c>
      <c r="E11577" s="1" t="str">
        <f>HYPERLINK("http://www.ncbi.nlm.nih.gov/gene/?term=HIST2H2BE","NCBI")</f>
        <v>NCBI</v>
      </c>
      <c r="F11577">
        <v>0.3</v>
      </c>
      <c r="G11577">
        <v>0.44</v>
      </c>
      <c r="H11577" s="1" t="str">
        <f>HYPERLINK("http://www.weizmann.ac.il/complex/compphys/software/geview/data/figures/202708_s_at.png","Figure")</f>
        <v>Figure</v>
      </c>
      <c r="I11577">
        <v>0.65800000000000003</v>
      </c>
      <c r="J11577">
        <v>0.47</v>
      </c>
      <c r="K11577">
        <v>0.626</v>
      </c>
      <c r="L11577">
        <v>0.3</v>
      </c>
      <c r="M11577">
        <v>0.95099999999999996</v>
      </c>
      <c r="N11577">
        <v>0.99</v>
      </c>
    </row>
    <row r="11578" spans="1:14" x14ac:dyDescent="0.25">
      <c r="A11578" t="s">
        <v>20013</v>
      </c>
      <c r="B11578" t="s">
        <v>17216</v>
      </c>
      <c r="C11578" s="1" t="str">
        <f>HYPERLINK("http://www.genecards.org/cgi-bin/carddisp.pl?gene=RPL29","GeneCards")</f>
        <v>GeneCards</v>
      </c>
      <c r="D11578" s="1" t="str">
        <f>HYPERLINK("http://genome-euro.ucsc.edu/cgi-bin/hgTracks?position=216570_x_at","UCSC")</f>
        <v>UCSC</v>
      </c>
      <c r="E11578" s="1" t="str">
        <f>HYPERLINK("http://www.ncbi.nlm.nih.gov/gene/?term=RPL29","NCBI")</f>
        <v>NCBI</v>
      </c>
      <c r="F11578">
        <v>0.3</v>
      </c>
      <c r="G11578">
        <v>0.44</v>
      </c>
      <c r="H11578" s="1" t="str">
        <f>HYPERLINK("http://www.weizmann.ac.il/complex/compphys/software/geview/data/figures/216570_x_at.png","Figure")</f>
        <v>Figure</v>
      </c>
      <c r="I11578">
        <v>1.02</v>
      </c>
      <c r="J11578">
        <v>1</v>
      </c>
      <c r="K11578">
        <v>1.36</v>
      </c>
      <c r="L11578">
        <v>0.36</v>
      </c>
      <c r="M11578">
        <v>1.34</v>
      </c>
      <c r="N11578">
        <v>0.44</v>
      </c>
    </row>
    <row r="11579" spans="1:14" x14ac:dyDescent="0.25">
      <c r="A11579" t="s">
        <v>20014</v>
      </c>
      <c r="B11579" t="s">
        <v>19131</v>
      </c>
      <c r="C11579" s="1" t="str">
        <f>HYPERLINK("http://www.genecards.org/cgi-bin/carddisp.pl?gene=CHRNA4","GeneCards")</f>
        <v>GeneCards</v>
      </c>
      <c r="D11579" s="1" t="str">
        <f>HYPERLINK("http://genome-euro.ucsc.edu/cgi-bin/hgTracks?position=206735_at","UCSC")</f>
        <v>UCSC</v>
      </c>
      <c r="E11579" s="1" t="str">
        <f>HYPERLINK("http://www.ncbi.nlm.nih.gov/gene/?term=CHRNA4","NCBI")</f>
        <v>NCBI</v>
      </c>
      <c r="F11579">
        <v>0.3</v>
      </c>
      <c r="G11579">
        <v>0.44</v>
      </c>
      <c r="H11579" s="1" t="str">
        <f>HYPERLINK("http://www.weizmann.ac.il/complex/compphys/software/geview/data/figures/206735_at.png","Figure")</f>
        <v>Figure</v>
      </c>
      <c r="I11579">
        <v>1.06</v>
      </c>
      <c r="J11579">
        <v>0.72</v>
      </c>
      <c r="K11579">
        <v>0.94899999999999995</v>
      </c>
      <c r="L11579">
        <v>0.7</v>
      </c>
      <c r="M11579">
        <v>0.89600000000000002</v>
      </c>
      <c r="N11579">
        <v>0.28000000000000003</v>
      </c>
    </row>
    <row r="11580" spans="1:14" x14ac:dyDescent="0.25">
      <c r="A11580" t="s">
        <v>20015</v>
      </c>
      <c r="B11580" t="s">
        <v>12780</v>
      </c>
      <c r="C11580" s="1" t="str">
        <f>HYPERLINK("http://www.genecards.org/cgi-bin/carddisp.pl?gene=RPL13","GeneCards")</f>
        <v>GeneCards</v>
      </c>
      <c r="D11580" s="1" t="str">
        <f>HYPERLINK("http://genome-euro.ucsc.edu/cgi-bin/hgTracks?position=208929_x_at","UCSC")</f>
        <v>UCSC</v>
      </c>
      <c r="E11580" s="1" t="str">
        <f>HYPERLINK("http://www.ncbi.nlm.nih.gov/gene/?term=RPL13","NCBI")</f>
        <v>NCBI</v>
      </c>
      <c r="F11580">
        <v>0.3</v>
      </c>
      <c r="G11580">
        <v>0.44</v>
      </c>
      <c r="H11580" s="1" t="str">
        <f>HYPERLINK("http://www.weizmann.ac.il/complex/compphys/software/geview/data/figures/208929_x_at.png","Figure")</f>
        <v>Figure</v>
      </c>
      <c r="I11580">
        <v>1.1299999999999999</v>
      </c>
      <c r="J11580">
        <v>0.84</v>
      </c>
      <c r="K11580">
        <v>1.34</v>
      </c>
      <c r="L11580">
        <v>0.28000000000000003</v>
      </c>
      <c r="M11580">
        <v>1.19</v>
      </c>
      <c r="N11580">
        <v>0.66</v>
      </c>
    </row>
    <row r="11581" spans="1:14" x14ac:dyDescent="0.25">
      <c r="A11581" t="s">
        <v>20016</v>
      </c>
      <c r="B11581" t="s">
        <v>11500</v>
      </c>
      <c r="C11581" s="1" t="str">
        <f>HYPERLINK("http://www.genecards.org/cgi-bin/carddisp.pl?gene=TCEB2","GeneCards")</f>
        <v>GeneCards</v>
      </c>
      <c r="D11581" s="1" t="str">
        <f>HYPERLINK("http://genome-euro.ucsc.edu/cgi-bin/hgTracks?position=200085_s_at","UCSC")</f>
        <v>UCSC</v>
      </c>
      <c r="E11581" s="1" t="str">
        <f>HYPERLINK("http://www.ncbi.nlm.nih.gov/gene/?term=TCEB2","NCBI")</f>
        <v>NCBI</v>
      </c>
      <c r="F11581">
        <v>0.3</v>
      </c>
      <c r="G11581">
        <v>0.44</v>
      </c>
      <c r="H11581" s="1" t="str">
        <f>HYPERLINK("http://www.weizmann.ac.il/complex/compphys/software/geview/data/figures/200085_s_at.png","Figure")</f>
        <v>Figure</v>
      </c>
      <c r="I11581">
        <v>1.23</v>
      </c>
      <c r="J11581">
        <v>0.56999999999999995</v>
      </c>
      <c r="K11581">
        <v>1.33</v>
      </c>
      <c r="L11581">
        <v>0.28000000000000003</v>
      </c>
      <c r="M11581">
        <v>1.07</v>
      </c>
      <c r="N11581">
        <v>0.92</v>
      </c>
    </row>
    <row r="11582" spans="1:14" x14ac:dyDescent="0.25">
      <c r="A11582" t="s">
        <v>20017</v>
      </c>
      <c r="B11582" t="s">
        <v>4307</v>
      </c>
      <c r="C11582" s="1" t="str">
        <f>HYPERLINK("http://www.genecards.org/cgi-bin/carddisp.pl?gene=BAIAP2","GeneCards")</f>
        <v>GeneCards</v>
      </c>
      <c r="D11582" s="1" t="str">
        <f>HYPERLINK("http://genome-euro.ucsc.edu/cgi-bin/hgTracks?position=205294_at","UCSC")</f>
        <v>UCSC</v>
      </c>
      <c r="E11582" s="1" t="str">
        <f>HYPERLINK("http://www.ncbi.nlm.nih.gov/gene/?term=BAIAP2","NCBI")</f>
        <v>NCBI</v>
      </c>
      <c r="F11582">
        <v>0.3</v>
      </c>
      <c r="G11582">
        <v>0.44</v>
      </c>
      <c r="H11582" s="1" t="str">
        <f>HYPERLINK("http://www.weizmann.ac.il/complex/compphys/software/geview/data/figures/205294_at.png","Figure")</f>
        <v>Figure</v>
      </c>
      <c r="I11582">
        <v>1.1599999999999999</v>
      </c>
      <c r="J11582">
        <v>0.28000000000000003</v>
      </c>
      <c r="K11582">
        <v>1.05</v>
      </c>
      <c r="L11582">
        <v>0.83</v>
      </c>
      <c r="M11582">
        <v>0.90400000000000003</v>
      </c>
      <c r="N11582">
        <v>0.5</v>
      </c>
    </row>
    <row r="11583" spans="1:14" x14ac:dyDescent="0.25">
      <c r="A11583" t="s">
        <v>20018</v>
      </c>
      <c r="B11583" t="s">
        <v>12441</v>
      </c>
      <c r="C11583" s="1" t="str">
        <f>HYPERLINK("http://www.genecards.org/cgi-bin/carddisp.pl?gene=IDH2","GeneCards")</f>
        <v>GeneCards</v>
      </c>
      <c r="D11583" s="1" t="str">
        <f>HYPERLINK("http://genome-euro.ucsc.edu/cgi-bin/hgTracks?position=210045_at","UCSC")</f>
        <v>UCSC</v>
      </c>
      <c r="E11583" s="1" t="str">
        <f>HYPERLINK("http://www.ncbi.nlm.nih.gov/gene/?term=IDH2","NCBI")</f>
        <v>NCBI</v>
      </c>
      <c r="F11583">
        <v>0.3</v>
      </c>
      <c r="G11583">
        <v>0.44</v>
      </c>
      <c r="H11583" s="1" t="str">
        <f>HYPERLINK("http://www.weizmann.ac.il/complex/compphys/software/geview/data/figures/210045_at.png","Figure")</f>
        <v>Figure</v>
      </c>
      <c r="I11583">
        <v>0.83199999999999996</v>
      </c>
      <c r="J11583">
        <v>0.36</v>
      </c>
      <c r="K11583">
        <v>0.85299999999999998</v>
      </c>
      <c r="L11583">
        <v>0.37</v>
      </c>
      <c r="M11583">
        <v>1.02</v>
      </c>
      <c r="N11583">
        <v>0.98</v>
      </c>
    </row>
    <row r="11584" spans="1:14" x14ac:dyDescent="0.25">
      <c r="A11584" t="s">
        <v>20019</v>
      </c>
      <c r="B11584" t="s">
        <v>20020</v>
      </c>
      <c r="C11584" s="1" t="str">
        <f>HYPERLINK("http://www.genecards.org/cgi-bin/carddisp.pl?gene=RASL10A","GeneCards")</f>
        <v>GeneCards</v>
      </c>
      <c r="D11584" s="1" t="str">
        <f>HYPERLINK("http://genome-euro.ucsc.edu/cgi-bin/hgTracks?position=206850_at","UCSC")</f>
        <v>UCSC</v>
      </c>
      <c r="E11584" s="1" t="str">
        <f>HYPERLINK("http://www.ncbi.nlm.nih.gov/gene/?term=RASL10A","NCBI")</f>
        <v>NCBI</v>
      </c>
      <c r="F11584">
        <v>0.3</v>
      </c>
      <c r="G11584">
        <v>0.44</v>
      </c>
      <c r="H11584" s="1" t="str">
        <f>HYPERLINK("http://www.weizmann.ac.il/complex/compphys/software/geview/data/figures/206850_at.png","Figure")</f>
        <v>Figure</v>
      </c>
      <c r="I11584">
        <v>1.1299999999999999</v>
      </c>
      <c r="J11584">
        <v>0.59</v>
      </c>
      <c r="K11584">
        <v>0.94099999999999995</v>
      </c>
      <c r="L11584">
        <v>0.83</v>
      </c>
      <c r="M11584">
        <v>0.83399999999999996</v>
      </c>
      <c r="N11584">
        <v>0.27</v>
      </c>
    </row>
    <row r="11585" spans="1:14" x14ac:dyDescent="0.25">
      <c r="A11585" t="s">
        <v>20021</v>
      </c>
      <c r="B11585" t="s">
        <v>20022</v>
      </c>
      <c r="C11585" s="1" t="str">
        <f>HYPERLINK("http://www.genecards.org/cgi-bin/carddisp.pl?gene=LOC728855","GeneCards")</f>
        <v>GeneCards</v>
      </c>
      <c r="D11585" s="1" t="str">
        <f>HYPERLINK("http://genome-euro.ucsc.edu/cgi-bin/hgTracks?position=222001_x_at","UCSC")</f>
        <v>UCSC</v>
      </c>
      <c r="E11585" s="1" t="str">
        <f>HYPERLINK("http://www.ncbi.nlm.nih.gov/gene/?term=LOC728855","NCBI")</f>
        <v>NCBI</v>
      </c>
      <c r="F11585">
        <v>0.3</v>
      </c>
      <c r="G11585">
        <v>0.44</v>
      </c>
      <c r="H11585" s="1" t="str">
        <f>HYPERLINK("http://www.weizmann.ac.il/complex/compphys/software/geview/data/figures/222001_x_at.png","Figure")</f>
        <v>Figure</v>
      </c>
      <c r="I11585">
        <v>1.19</v>
      </c>
      <c r="J11585">
        <v>0.28000000000000003</v>
      </c>
      <c r="K11585">
        <v>1.06</v>
      </c>
      <c r="L11585">
        <v>0.78</v>
      </c>
      <c r="M11585">
        <v>0.89700000000000002</v>
      </c>
      <c r="N11585">
        <v>0.53</v>
      </c>
    </row>
    <row r="11586" spans="1:14" x14ac:dyDescent="0.25">
      <c r="A11586" t="s">
        <v>20023</v>
      </c>
      <c r="B11586" t="s">
        <v>13430</v>
      </c>
      <c r="C11586" s="1" t="str">
        <f>HYPERLINK("http://www.genecards.org/cgi-bin/carddisp.pl?gene=PNN","GeneCards")</f>
        <v>GeneCards</v>
      </c>
      <c r="D11586" s="1" t="str">
        <f>HYPERLINK("http://genome-euro.ucsc.edu/cgi-bin/hgTracks?position=210183_x_at","UCSC")</f>
        <v>UCSC</v>
      </c>
      <c r="E11586" s="1" t="str">
        <f>HYPERLINK("http://www.ncbi.nlm.nih.gov/gene/?term=PNN","NCBI")</f>
        <v>NCBI</v>
      </c>
      <c r="F11586">
        <v>0.3</v>
      </c>
      <c r="G11586">
        <v>0.45</v>
      </c>
      <c r="H11586" s="1" t="str">
        <f>HYPERLINK("http://www.weizmann.ac.il/complex/compphys/software/geview/data/figures/210183_x_at.png","Figure")</f>
        <v>Figure</v>
      </c>
      <c r="I11586">
        <v>1.35</v>
      </c>
      <c r="J11586">
        <v>0.36</v>
      </c>
      <c r="K11586">
        <v>1.29</v>
      </c>
      <c r="L11586">
        <v>0.38</v>
      </c>
      <c r="M11586">
        <v>0.95499999999999996</v>
      </c>
      <c r="N11586">
        <v>0.97</v>
      </c>
    </row>
    <row r="11587" spans="1:14" x14ac:dyDescent="0.25">
      <c r="A11587" t="s">
        <v>20024</v>
      </c>
      <c r="B11587" t="s">
        <v>20025</v>
      </c>
      <c r="C11587" s="1" t="str">
        <f>HYPERLINK("http://www.genecards.org/cgi-bin/carddisp.pl?gene=BRE","GeneCards")</f>
        <v>GeneCards</v>
      </c>
      <c r="D11587" s="1" t="str">
        <f>HYPERLINK("http://genome-euro.ucsc.edu/cgi-bin/hgTracks?position=211566_x_at","UCSC")</f>
        <v>UCSC</v>
      </c>
      <c r="E11587" s="1" t="str">
        <f>HYPERLINK("http://www.ncbi.nlm.nih.gov/gene/?term=BRE","NCBI")</f>
        <v>NCBI</v>
      </c>
      <c r="F11587">
        <v>0.3</v>
      </c>
      <c r="G11587">
        <v>0.45</v>
      </c>
      <c r="H11587" s="1" t="str">
        <f>HYPERLINK("http://www.weizmann.ac.il/complex/compphys/software/geview/data/figures/211566_x_at.png","Figure")</f>
        <v>Figure</v>
      </c>
      <c r="I11587">
        <v>1.1100000000000001</v>
      </c>
      <c r="J11587">
        <v>0.28000000000000003</v>
      </c>
      <c r="K11587">
        <v>1.04</v>
      </c>
      <c r="L11587">
        <v>0.82</v>
      </c>
      <c r="M11587">
        <v>0.93</v>
      </c>
      <c r="N11587">
        <v>0.5</v>
      </c>
    </row>
    <row r="11588" spans="1:14" x14ac:dyDescent="0.25">
      <c r="A11588" t="s">
        <v>20026</v>
      </c>
      <c r="B11588" t="s">
        <v>20027</v>
      </c>
      <c r="C11588" s="1" t="str">
        <f>HYPERLINK("http://www.genecards.org/cgi-bin/carddisp.pl?gene=EIF3F","GeneCards")</f>
        <v>GeneCards</v>
      </c>
      <c r="D11588" s="1" t="str">
        <f>HYPERLINK("http://genome-euro.ucsc.edu/cgi-bin/hgTracks?position=200023_s_at","UCSC")</f>
        <v>UCSC</v>
      </c>
      <c r="E11588" s="1" t="str">
        <f>HYPERLINK("http://www.ncbi.nlm.nih.gov/gene/?term=EIF3F","NCBI")</f>
        <v>NCBI</v>
      </c>
      <c r="F11588">
        <v>0.3</v>
      </c>
      <c r="G11588">
        <v>0.45</v>
      </c>
      <c r="H11588" s="1" t="str">
        <f>HYPERLINK("http://www.weizmann.ac.il/complex/compphys/software/geview/data/figures/200023_s_at.png","Figure")</f>
        <v>Figure</v>
      </c>
      <c r="I11588">
        <v>0.65</v>
      </c>
      <c r="J11588">
        <v>0.28000000000000003</v>
      </c>
      <c r="K11588">
        <v>0.873</v>
      </c>
      <c r="L11588">
        <v>0.83</v>
      </c>
      <c r="M11588">
        <v>1.34</v>
      </c>
      <c r="N11588">
        <v>0.49</v>
      </c>
    </row>
    <row r="11589" spans="1:14" x14ac:dyDescent="0.25">
      <c r="A11589" t="s">
        <v>20028</v>
      </c>
      <c r="B11589" t="s">
        <v>6308</v>
      </c>
      <c r="C11589" s="1" t="str">
        <f>HYPERLINK("http://www.genecards.org/cgi-bin/carddisp.pl?gene=C5orf13","GeneCards")</f>
        <v>GeneCards</v>
      </c>
      <c r="D11589" s="1" t="str">
        <f>HYPERLINK("http://genome-euro.ucsc.edu/cgi-bin/hgTracks?position=201310_s_at","UCSC")</f>
        <v>UCSC</v>
      </c>
      <c r="E11589" s="1" t="str">
        <f>HYPERLINK("http://www.ncbi.nlm.nih.gov/gene/?term=C5orf13","NCBI")</f>
        <v>NCBI</v>
      </c>
      <c r="F11589">
        <v>0.3</v>
      </c>
      <c r="G11589">
        <v>0.45</v>
      </c>
      <c r="H11589" s="1" t="str">
        <f>HYPERLINK("http://www.weizmann.ac.il/complex/compphys/software/geview/data/figures/201310_s_at.png","Figure")</f>
        <v>Figure</v>
      </c>
      <c r="I11589">
        <v>1.26</v>
      </c>
      <c r="J11589">
        <v>0.66</v>
      </c>
      <c r="K11589">
        <v>1.44</v>
      </c>
      <c r="L11589">
        <v>0.27</v>
      </c>
      <c r="M11589">
        <v>1.1499999999999999</v>
      </c>
      <c r="N11589">
        <v>0.84</v>
      </c>
    </row>
    <row r="11590" spans="1:14" x14ac:dyDescent="0.25">
      <c r="A11590" t="s">
        <v>20029</v>
      </c>
      <c r="B11590" t="s">
        <v>11130</v>
      </c>
      <c r="C11590" s="1" t="str">
        <f>HYPERLINK("http://www.genecards.org/cgi-bin/carddisp.pl?gene=TIMM17A","GeneCards")</f>
        <v>GeneCards</v>
      </c>
      <c r="D11590" s="1" t="str">
        <f>HYPERLINK("http://genome-euro.ucsc.edu/cgi-bin/hgTracks?position=201821_s_at","UCSC")</f>
        <v>UCSC</v>
      </c>
      <c r="E11590" s="1" t="str">
        <f>HYPERLINK("http://www.ncbi.nlm.nih.gov/gene/?term=TIMM17A","NCBI")</f>
        <v>NCBI</v>
      </c>
      <c r="F11590">
        <v>0.3</v>
      </c>
      <c r="G11590">
        <v>0.45</v>
      </c>
      <c r="H11590" s="1" t="str">
        <f>HYPERLINK("http://www.weizmann.ac.il/complex/compphys/software/geview/data/figures/201821_s_at.png","Figure")</f>
        <v>Figure</v>
      </c>
      <c r="I11590">
        <v>1.1100000000000001</v>
      </c>
      <c r="J11590">
        <v>0.9</v>
      </c>
      <c r="K11590">
        <v>0.79</v>
      </c>
      <c r="L11590">
        <v>0.52</v>
      </c>
      <c r="M11590">
        <v>0.70899999999999996</v>
      </c>
      <c r="N11590">
        <v>0.32</v>
      </c>
    </row>
    <row r="11591" spans="1:14" x14ac:dyDescent="0.25">
      <c r="A11591" t="s">
        <v>20030</v>
      </c>
      <c r="B11591" t="s">
        <v>4350</v>
      </c>
      <c r="C11591" s="1" t="str">
        <f>HYPERLINK("http://www.genecards.org/cgi-bin/carddisp.pl?gene=CUGBP1","GeneCards")</f>
        <v>GeneCards</v>
      </c>
      <c r="D11591" s="1" t="str">
        <f>HYPERLINK("http://genome-euro.ucsc.edu/cgi-bin/hgTracks?position=204113_at","UCSC")</f>
        <v>UCSC</v>
      </c>
      <c r="E11591" s="1" t="str">
        <f>HYPERLINK("http://www.ncbi.nlm.nih.gov/gene/?term=CUGBP1","NCBI")</f>
        <v>NCBI</v>
      </c>
      <c r="F11591">
        <v>0.3</v>
      </c>
      <c r="G11591">
        <v>0.45</v>
      </c>
      <c r="H11591" s="1" t="str">
        <f>HYPERLINK("http://www.weizmann.ac.il/complex/compphys/software/geview/data/figures/204113_at.png","Figure")</f>
        <v>Figure</v>
      </c>
      <c r="I11591">
        <v>0.997</v>
      </c>
      <c r="J11591">
        <v>0.99</v>
      </c>
      <c r="K11591">
        <v>0.96099999999999997</v>
      </c>
      <c r="L11591">
        <v>0.35</v>
      </c>
      <c r="M11591">
        <v>0.96499999999999997</v>
      </c>
      <c r="N11591">
        <v>0.46</v>
      </c>
    </row>
    <row r="11592" spans="1:14" x14ac:dyDescent="0.25">
      <c r="A11592" t="s">
        <v>20031</v>
      </c>
      <c r="B11592" t="s">
        <v>9028</v>
      </c>
      <c r="C11592" s="1" t="str">
        <f>HYPERLINK("http://www.genecards.org/cgi-bin/carddisp.pl?gene=PTCRA","GeneCards")</f>
        <v>GeneCards</v>
      </c>
      <c r="D11592" s="1" t="str">
        <f>HYPERLINK("http://genome-euro.ucsc.edu/cgi-bin/hgTracks?position=211837_s_at","UCSC")</f>
        <v>UCSC</v>
      </c>
      <c r="E11592" s="1" t="str">
        <f>HYPERLINK("http://www.ncbi.nlm.nih.gov/gene/?term=PTCRA","NCBI")</f>
        <v>NCBI</v>
      </c>
      <c r="F11592">
        <v>0.3</v>
      </c>
      <c r="G11592">
        <v>0.45</v>
      </c>
      <c r="H11592" s="1" t="str">
        <f>HYPERLINK("http://www.weizmann.ac.il/complex/compphys/software/geview/data/figures/211837_s_at.png","Figure")</f>
        <v>Figure</v>
      </c>
      <c r="I11592">
        <v>1.19</v>
      </c>
      <c r="J11592">
        <v>0.32</v>
      </c>
      <c r="K11592">
        <v>1.02</v>
      </c>
      <c r="L11592">
        <v>0.97</v>
      </c>
      <c r="M11592">
        <v>0.86199999999999999</v>
      </c>
      <c r="N11592">
        <v>0.38</v>
      </c>
    </row>
    <row r="11593" spans="1:14" x14ac:dyDescent="0.25">
      <c r="A11593" t="s">
        <v>20032</v>
      </c>
      <c r="B11593" t="s">
        <v>13028</v>
      </c>
      <c r="C11593" s="1" t="str">
        <f>HYPERLINK("http://www.genecards.org/cgi-bin/carddisp.pl?gene=ZNF143","GeneCards")</f>
        <v>GeneCards</v>
      </c>
      <c r="D11593" s="1" t="str">
        <f>HYPERLINK("http://genome-euro.ucsc.edu/cgi-bin/hgTracks?position=221873_at","UCSC")</f>
        <v>UCSC</v>
      </c>
      <c r="E11593" s="1" t="str">
        <f>HYPERLINK("http://www.ncbi.nlm.nih.gov/gene/?term=ZNF143","NCBI")</f>
        <v>NCBI</v>
      </c>
      <c r="F11593">
        <v>0.3</v>
      </c>
      <c r="G11593">
        <v>0.45</v>
      </c>
      <c r="H11593" s="1" t="str">
        <f>HYPERLINK("http://www.weizmann.ac.il/complex/compphys/software/geview/data/figures/221873_at.png","Figure")</f>
        <v>Figure</v>
      </c>
      <c r="I11593">
        <v>0.85799999999999998</v>
      </c>
      <c r="J11593">
        <v>0.64</v>
      </c>
      <c r="K11593">
        <v>1.1000000000000001</v>
      </c>
      <c r="L11593">
        <v>0.78</v>
      </c>
      <c r="M11593">
        <v>1.29</v>
      </c>
      <c r="N11593">
        <v>0.27</v>
      </c>
    </row>
    <row r="11594" spans="1:14" x14ac:dyDescent="0.25">
      <c r="A11594" t="s">
        <v>20033</v>
      </c>
      <c r="B11594" t="s">
        <v>17480</v>
      </c>
      <c r="C11594" s="1" t="str">
        <f>HYPERLINK("http://www.genecards.org/cgi-bin/carddisp.pl?gene=PVRL1","GeneCards")</f>
        <v>GeneCards</v>
      </c>
      <c r="D11594" s="1" t="str">
        <f>HYPERLINK("http://genome-euro.ucsc.edu/cgi-bin/hgTracks?position=208455_at","UCSC")</f>
        <v>UCSC</v>
      </c>
      <c r="E11594" s="1" t="str">
        <f>HYPERLINK("http://www.ncbi.nlm.nih.gov/gene/?term=PVRL1","NCBI")</f>
        <v>NCBI</v>
      </c>
      <c r="F11594">
        <v>0.3</v>
      </c>
      <c r="G11594">
        <v>0.45</v>
      </c>
      <c r="H11594" s="1" t="str">
        <f>HYPERLINK("http://www.weizmann.ac.il/complex/compphys/software/geview/data/figures/208455_at.png","Figure")</f>
        <v>Figure</v>
      </c>
      <c r="I11594">
        <v>1.03</v>
      </c>
      <c r="J11594">
        <v>0.54</v>
      </c>
      <c r="K11594">
        <v>1.04</v>
      </c>
      <c r="L11594">
        <v>0.28999999999999998</v>
      </c>
      <c r="M11594">
        <v>1.01</v>
      </c>
      <c r="N11594">
        <v>0.94</v>
      </c>
    </row>
    <row r="11595" spans="1:14" x14ac:dyDescent="0.25">
      <c r="A11595" t="s">
        <v>20034</v>
      </c>
      <c r="B11595" t="s">
        <v>6185</v>
      </c>
      <c r="C11595" s="1" t="str">
        <f>HYPERLINK("http://www.genecards.org/cgi-bin/carddisp.pl?gene=APBB2","GeneCards")</f>
        <v>GeneCards</v>
      </c>
      <c r="D11595" s="1" t="str">
        <f>HYPERLINK("http://genome-euro.ucsc.edu/cgi-bin/hgTracks?position=212985_at","UCSC")</f>
        <v>UCSC</v>
      </c>
      <c r="E11595" s="1" t="str">
        <f>HYPERLINK("http://www.ncbi.nlm.nih.gov/gene/?term=APBB2","NCBI")</f>
        <v>NCBI</v>
      </c>
      <c r="F11595">
        <v>0.3</v>
      </c>
      <c r="G11595">
        <v>0.45</v>
      </c>
      <c r="H11595" s="1" t="str">
        <f>HYPERLINK("http://www.weizmann.ac.il/complex/compphys/software/geview/data/figures/212985_at.png","Figure")</f>
        <v>Figure</v>
      </c>
      <c r="I11595">
        <v>1.56</v>
      </c>
      <c r="J11595">
        <v>0.31</v>
      </c>
      <c r="K11595">
        <v>1.0900000000000001</v>
      </c>
      <c r="L11595">
        <v>0.94</v>
      </c>
      <c r="M11595">
        <v>0.69899999999999995</v>
      </c>
      <c r="N11595">
        <v>0.41</v>
      </c>
    </row>
    <row r="11596" spans="1:14" x14ac:dyDescent="0.25">
      <c r="A11596" t="s">
        <v>20035</v>
      </c>
      <c r="B11596" t="s">
        <v>18873</v>
      </c>
      <c r="C11596" s="1" t="str">
        <f>HYPERLINK("http://www.genecards.org/cgi-bin/carddisp.pl?gene=SLC25A37","GeneCards")</f>
        <v>GeneCards</v>
      </c>
      <c r="D11596" s="1" t="str">
        <f>HYPERLINK("http://genome-euro.ucsc.edu/cgi-bin/hgTracks?position=218978_s_at","UCSC")</f>
        <v>UCSC</v>
      </c>
      <c r="E11596" s="1" t="str">
        <f>HYPERLINK("http://www.ncbi.nlm.nih.gov/gene/?term=SLC25A37","NCBI")</f>
        <v>NCBI</v>
      </c>
      <c r="F11596">
        <v>0.3</v>
      </c>
      <c r="G11596">
        <v>0.45</v>
      </c>
      <c r="H11596" s="1" t="str">
        <f>HYPERLINK("http://www.weizmann.ac.il/complex/compphys/software/geview/data/figures/218978_s_at.png","Figure")</f>
        <v>Figure</v>
      </c>
      <c r="I11596">
        <v>1.05</v>
      </c>
      <c r="J11596">
        <v>0.31</v>
      </c>
      <c r="K11596">
        <v>1.04</v>
      </c>
      <c r="L11596">
        <v>0.46</v>
      </c>
      <c r="M11596">
        <v>0.98499999999999999</v>
      </c>
      <c r="N11596">
        <v>0.88</v>
      </c>
    </row>
    <row r="11597" spans="1:14" x14ac:dyDescent="0.25">
      <c r="A11597" t="s">
        <v>20036</v>
      </c>
      <c r="B11597" t="s">
        <v>11846</v>
      </c>
      <c r="C11597" s="1" t="str">
        <f>HYPERLINK("http://www.genecards.org/cgi-bin/carddisp.pl?gene=TRAFD1","GeneCards")</f>
        <v>GeneCards</v>
      </c>
      <c r="D11597" s="1" t="str">
        <f>HYPERLINK("http://genome-euro.ucsc.edu/cgi-bin/hgTracks?position=202837_at","UCSC")</f>
        <v>UCSC</v>
      </c>
      <c r="E11597" s="1" t="str">
        <f>HYPERLINK("http://www.ncbi.nlm.nih.gov/gene/?term=TRAFD1","NCBI")</f>
        <v>NCBI</v>
      </c>
      <c r="F11597">
        <v>0.3</v>
      </c>
      <c r="G11597">
        <v>0.45</v>
      </c>
      <c r="H11597" s="1" t="str">
        <f>HYPERLINK("http://www.weizmann.ac.il/complex/compphys/software/geview/data/figures/202837_at.png","Figure")</f>
        <v>Figure</v>
      </c>
      <c r="I11597">
        <v>1.04</v>
      </c>
      <c r="J11597">
        <v>0.9</v>
      </c>
      <c r="K11597">
        <v>0.91900000000000004</v>
      </c>
      <c r="L11597">
        <v>0.52</v>
      </c>
      <c r="M11597">
        <v>0.88500000000000001</v>
      </c>
      <c r="N11597">
        <v>0.32</v>
      </c>
    </row>
    <row r="11598" spans="1:14" x14ac:dyDescent="0.25">
      <c r="A11598" t="s">
        <v>20037</v>
      </c>
      <c r="B11598" t="s">
        <v>20038</v>
      </c>
      <c r="C11598" s="1" t="str">
        <f>HYPERLINK("http://www.genecards.org/cgi-bin/carddisp.pl?gene=OAS1","GeneCards")</f>
        <v>GeneCards</v>
      </c>
      <c r="D11598" s="1" t="str">
        <f>HYPERLINK("http://genome-euro.ucsc.edu/cgi-bin/hgTracks?position=202869_at","UCSC")</f>
        <v>UCSC</v>
      </c>
      <c r="E11598" s="1" t="str">
        <f>HYPERLINK("http://www.ncbi.nlm.nih.gov/gene/?term=OAS1","NCBI")</f>
        <v>NCBI</v>
      </c>
      <c r="F11598">
        <v>0.3</v>
      </c>
      <c r="G11598">
        <v>0.45</v>
      </c>
      <c r="H11598" s="1" t="str">
        <f>HYPERLINK("http://www.weizmann.ac.il/complex/compphys/software/geview/data/figures/202869_at.png","Figure")</f>
        <v>Figure</v>
      </c>
      <c r="I11598">
        <v>0.85099999999999998</v>
      </c>
      <c r="J11598">
        <v>0.34</v>
      </c>
      <c r="K11598">
        <v>0.879</v>
      </c>
      <c r="L11598">
        <v>0.4</v>
      </c>
      <c r="M11598">
        <v>1.03</v>
      </c>
      <c r="N11598">
        <v>0.95</v>
      </c>
    </row>
    <row r="11599" spans="1:14" x14ac:dyDescent="0.25">
      <c r="A11599" t="s">
        <v>20039</v>
      </c>
      <c r="B11599" t="s">
        <v>20040</v>
      </c>
      <c r="C11599" s="1" t="str">
        <f>HYPERLINK("http://www.genecards.org/cgi-bin/carddisp.pl?gene=NOP2","GeneCards")</f>
        <v>GeneCards</v>
      </c>
      <c r="D11599" s="1" t="str">
        <f>HYPERLINK("http://genome-euro.ucsc.edu/cgi-bin/hgTracks?position=214427_at","UCSC")</f>
        <v>UCSC</v>
      </c>
      <c r="E11599" s="1" t="str">
        <f>HYPERLINK("http://www.ncbi.nlm.nih.gov/gene/?term=NOP2","NCBI")</f>
        <v>NCBI</v>
      </c>
      <c r="F11599">
        <v>0.3</v>
      </c>
      <c r="G11599">
        <v>0.45</v>
      </c>
      <c r="H11599" s="1" t="str">
        <f>HYPERLINK("http://www.weizmann.ac.il/complex/compphys/software/geview/data/figures/214427_at.png","Figure")</f>
        <v>Figure</v>
      </c>
      <c r="I11599">
        <v>1.32</v>
      </c>
      <c r="J11599">
        <v>0.3</v>
      </c>
      <c r="K11599">
        <v>1.21</v>
      </c>
      <c r="L11599">
        <v>0.47</v>
      </c>
      <c r="M11599">
        <v>0.91500000000000004</v>
      </c>
      <c r="N11599">
        <v>0.86</v>
      </c>
    </row>
    <row r="11600" spans="1:14" x14ac:dyDescent="0.25">
      <c r="A11600" t="s">
        <v>20041</v>
      </c>
      <c r="B11600" t="s">
        <v>20042</v>
      </c>
      <c r="C11600" s="1" t="str">
        <f>HYPERLINK("http://www.genecards.org/cgi-bin/carddisp.pl?gene=TMEM2","GeneCards")</f>
        <v>GeneCards</v>
      </c>
      <c r="D11600" s="1" t="str">
        <f>HYPERLINK("http://genome-euro.ucsc.edu/cgi-bin/hgTracks?position=218113_at","UCSC")</f>
        <v>UCSC</v>
      </c>
      <c r="E11600" s="1" t="str">
        <f>HYPERLINK("http://www.ncbi.nlm.nih.gov/gene/?term=TMEM2","NCBI")</f>
        <v>NCBI</v>
      </c>
      <c r="F11600">
        <v>0.3</v>
      </c>
      <c r="G11600">
        <v>0.45</v>
      </c>
      <c r="H11600" s="1" t="str">
        <f>HYPERLINK("http://www.weizmann.ac.il/complex/compphys/software/geview/data/figures/218113_at.png","Figure")</f>
        <v>Figure</v>
      </c>
      <c r="I11600">
        <v>0.95899999999999996</v>
      </c>
      <c r="J11600">
        <v>0.99</v>
      </c>
      <c r="K11600">
        <v>0.68899999999999995</v>
      </c>
      <c r="L11600">
        <v>0.34</v>
      </c>
      <c r="M11600">
        <v>0.71899999999999997</v>
      </c>
      <c r="N11600">
        <v>0.47</v>
      </c>
    </row>
    <row r="11601" spans="1:14" x14ac:dyDescent="0.25">
      <c r="A11601" t="s">
        <v>20043</v>
      </c>
      <c r="B11601" t="s">
        <v>19006</v>
      </c>
      <c r="C11601" s="1" t="str">
        <f>HYPERLINK("http://www.genecards.org/cgi-bin/carddisp.pl?gene=CYB5B","GeneCards")</f>
        <v>GeneCards</v>
      </c>
      <c r="D11601" s="1" t="str">
        <f>HYPERLINK("http://genome-euro.ucsc.edu/cgi-bin/hgTracks?position=201634_s_at","UCSC")</f>
        <v>UCSC</v>
      </c>
      <c r="E11601" s="1" t="str">
        <f>HYPERLINK("http://www.ncbi.nlm.nih.gov/gene/?term=CYB5B","NCBI")</f>
        <v>NCBI</v>
      </c>
      <c r="F11601">
        <v>0.3</v>
      </c>
      <c r="G11601">
        <v>0.45</v>
      </c>
      <c r="H11601" s="1" t="str">
        <f>HYPERLINK("http://www.weizmann.ac.il/complex/compphys/software/geview/data/figures/201634_s_at.png","Figure")</f>
        <v>Figure</v>
      </c>
      <c r="I11601">
        <v>0.92600000000000005</v>
      </c>
      <c r="J11601">
        <v>0.5</v>
      </c>
      <c r="K11601">
        <v>1.02</v>
      </c>
      <c r="L11601">
        <v>0.92</v>
      </c>
      <c r="M11601">
        <v>1.1000000000000001</v>
      </c>
      <c r="N11601">
        <v>0.28000000000000003</v>
      </c>
    </row>
    <row r="11602" spans="1:14" x14ac:dyDescent="0.25">
      <c r="A11602" t="s">
        <v>20044</v>
      </c>
      <c r="B11602" t="s">
        <v>469</v>
      </c>
      <c r="C11602" s="1" t="str">
        <f>HYPERLINK("http://www.genecards.org/cgi-bin/carddisp.pl?gene=DNAJB9","GeneCards")</f>
        <v>GeneCards</v>
      </c>
      <c r="D11602" s="1" t="str">
        <f>HYPERLINK("http://genome-euro.ucsc.edu/cgi-bin/hgTracks?position=202843_at","UCSC")</f>
        <v>UCSC</v>
      </c>
      <c r="E11602" s="1" t="str">
        <f>HYPERLINK("http://www.ncbi.nlm.nih.gov/gene/?term=DNAJB9","NCBI")</f>
        <v>NCBI</v>
      </c>
      <c r="F11602">
        <v>0.3</v>
      </c>
      <c r="G11602">
        <v>0.45</v>
      </c>
      <c r="H11602" s="1" t="str">
        <f>HYPERLINK("http://www.weizmann.ac.il/complex/compphys/software/geview/data/figures/202843_at.png","Figure")</f>
        <v>Figure</v>
      </c>
      <c r="I11602">
        <v>1</v>
      </c>
      <c r="J11602">
        <v>1</v>
      </c>
      <c r="K11602">
        <v>0.88900000000000001</v>
      </c>
      <c r="L11602">
        <v>0.37</v>
      </c>
      <c r="M11602">
        <v>0.88900000000000001</v>
      </c>
      <c r="N11602">
        <v>0.42</v>
      </c>
    </row>
    <row r="11603" spans="1:14" x14ac:dyDescent="0.25">
      <c r="A11603" t="s">
        <v>20045</v>
      </c>
      <c r="B11603" t="s">
        <v>20046</v>
      </c>
      <c r="C11603" s="1" t="str">
        <f>HYPERLINK("http://www.genecards.org/cgi-bin/carddisp.pl?gene=LY96","GeneCards")</f>
        <v>GeneCards</v>
      </c>
      <c r="D11603" s="1" t="str">
        <f>HYPERLINK("http://genome-euro.ucsc.edu/cgi-bin/hgTracks?position=206584_at","UCSC")</f>
        <v>UCSC</v>
      </c>
      <c r="E11603" s="1" t="str">
        <f>HYPERLINK("http://www.ncbi.nlm.nih.gov/gene/?term=LY96","NCBI")</f>
        <v>NCBI</v>
      </c>
      <c r="F11603">
        <v>0.3</v>
      </c>
      <c r="G11603">
        <v>0.45</v>
      </c>
      <c r="H11603" s="1" t="str">
        <f>HYPERLINK("http://www.weizmann.ac.il/complex/compphys/software/geview/data/figures/206584_at.png","Figure")</f>
        <v>Figure</v>
      </c>
      <c r="I11603">
        <v>0.95899999999999996</v>
      </c>
      <c r="J11603">
        <v>0.32</v>
      </c>
      <c r="K11603">
        <v>0.99399999999999999</v>
      </c>
      <c r="L11603">
        <v>0.97</v>
      </c>
      <c r="M11603">
        <v>1.04</v>
      </c>
      <c r="N11603">
        <v>0.38</v>
      </c>
    </row>
    <row r="11604" spans="1:14" x14ac:dyDescent="0.25">
      <c r="A11604" t="s">
        <v>20047</v>
      </c>
      <c r="B11604" t="s">
        <v>20048</v>
      </c>
      <c r="C11604" s="1" t="str">
        <f>HYPERLINK("http://www.genecards.org/cgi-bin/carddisp.pl?gene=ALK","GeneCards")</f>
        <v>GeneCards</v>
      </c>
      <c r="D11604" s="1" t="str">
        <f>HYPERLINK("http://genome-euro.ucsc.edu/cgi-bin/hgTracks?position=208211_s_at","UCSC")</f>
        <v>UCSC</v>
      </c>
      <c r="E11604" s="1" t="str">
        <f>HYPERLINK("http://www.ncbi.nlm.nih.gov/gene/?term=ALK","NCBI")</f>
        <v>NCBI</v>
      </c>
      <c r="F11604">
        <v>0.3</v>
      </c>
      <c r="G11604">
        <v>0.45</v>
      </c>
      <c r="H11604" s="1" t="str">
        <f>HYPERLINK("http://www.weizmann.ac.il/complex/compphys/software/geview/data/figures/208211_s_at.png","Figure")</f>
        <v>Figure</v>
      </c>
      <c r="I11604">
        <v>1.07</v>
      </c>
      <c r="J11604">
        <v>0.42</v>
      </c>
      <c r="K11604">
        <v>0.99199999999999999</v>
      </c>
      <c r="L11604">
        <v>0.98</v>
      </c>
      <c r="M11604">
        <v>0.92800000000000005</v>
      </c>
      <c r="N11604">
        <v>0.3</v>
      </c>
    </row>
    <row r="11605" spans="1:14" x14ac:dyDescent="0.25">
      <c r="A11605" t="s">
        <v>20049</v>
      </c>
      <c r="B11605" t="s">
        <v>20050</v>
      </c>
      <c r="C11605" s="1" t="str">
        <f>HYPERLINK("http://www.genecards.org/cgi-bin/carddisp.pl?gene=INPP5B","GeneCards")</f>
        <v>GeneCards</v>
      </c>
      <c r="D11605" s="1" t="str">
        <f>HYPERLINK("http://genome-euro.ucsc.edu/cgi-bin/hgTracks?position=213643_s_at","UCSC")</f>
        <v>UCSC</v>
      </c>
      <c r="E11605" s="1" t="str">
        <f>HYPERLINK("http://www.ncbi.nlm.nih.gov/gene/?term=INPP5B","NCBI")</f>
        <v>NCBI</v>
      </c>
      <c r="F11605">
        <v>0.3</v>
      </c>
      <c r="G11605">
        <v>0.45</v>
      </c>
      <c r="H11605" s="1" t="str">
        <f>HYPERLINK("http://www.weizmann.ac.il/complex/compphys/software/geview/data/figures/213643_s_at.png","Figure")</f>
        <v>Figure</v>
      </c>
      <c r="I11605">
        <v>0.97899999999999998</v>
      </c>
      <c r="J11605">
        <v>0.32</v>
      </c>
      <c r="K11605">
        <v>0.997</v>
      </c>
      <c r="L11605">
        <v>0.97</v>
      </c>
      <c r="M11605">
        <v>1.02</v>
      </c>
      <c r="N11605">
        <v>0.38</v>
      </c>
    </row>
    <row r="11606" spans="1:14" x14ac:dyDescent="0.25">
      <c r="A11606" t="s">
        <v>20051</v>
      </c>
      <c r="B11606" t="s">
        <v>20052</v>
      </c>
      <c r="C11606" s="1" t="str">
        <f>HYPERLINK("http://www.genecards.org/cgi-bin/carddisp.pl?gene=EIF3L","GeneCards")</f>
        <v>GeneCards</v>
      </c>
      <c r="D11606" s="1" t="str">
        <f>HYPERLINK("http://genome-euro.ucsc.edu/cgi-bin/hgTracks?position=217719_at","UCSC")</f>
        <v>UCSC</v>
      </c>
      <c r="E11606" s="1" t="str">
        <f>HYPERLINK("http://www.ncbi.nlm.nih.gov/gene/?term=EIF3L","NCBI")</f>
        <v>NCBI</v>
      </c>
      <c r="F11606">
        <v>0.3</v>
      </c>
      <c r="G11606">
        <v>0.45</v>
      </c>
      <c r="H11606" s="1" t="str">
        <f>HYPERLINK("http://www.weizmann.ac.il/complex/compphys/software/geview/data/figures/217719_at.png","Figure")</f>
        <v>Figure</v>
      </c>
      <c r="I11606">
        <v>1.26</v>
      </c>
      <c r="J11606">
        <v>0.28999999999999998</v>
      </c>
      <c r="K11606">
        <v>1.06</v>
      </c>
      <c r="L11606">
        <v>0.88</v>
      </c>
      <c r="M11606">
        <v>0.84299999999999997</v>
      </c>
      <c r="N11606">
        <v>0.45</v>
      </c>
    </row>
    <row r="11607" spans="1:14" x14ac:dyDescent="0.25">
      <c r="A11607" t="s">
        <v>20053</v>
      </c>
      <c r="B11607" t="s">
        <v>20054</v>
      </c>
      <c r="C11607" s="1" t="str">
        <f>HYPERLINK("http://www.genecards.org/cgi-bin/carddisp.pl?gene=PRKX /// PRKY","GeneCards")</f>
        <v>GeneCards</v>
      </c>
      <c r="D11607" s="1" t="str">
        <f>HYPERLINK("http://genome-euro.ucsc.edu/cgi-bin/hgTracks?position=204060_s_at","UCSC")</f>
        <v>UCSC</v>
      </c>
      <c r="E11607" s="1" t="str">
        <f>HYPERLINK("http://www.ncbi.nlm.nih.gov/gene/?term=PRKX /// PRKY","NCBI")</f>
        <v>NCBI</v>
      </c>
      <c r="F11607">
        <v>0.3</v>
      </c>
      <c r="G11607">
        <v>0.45</v>
      </c>
      <c r="H11607" s="1" t="str">
        <f>HYPERLINK("http://www.weizmann.ac.il/complex/compphys/software/geview/data/figures/204060_s_at.png","Figure")</f>
        <v>Figure</v>
      </c>
      <c r="I11607">
        <v>1.04</v>
      </c>
      <c r="J11607">
        <v>0.99</v>
      </c>
      <c r="K11607">
        <v>0.78500000000000003</v>
      </c>
      <c r="L11607">
        <v>0.42</v>
      </c>
      <c r="M11607">
        <v>0.75900000000000001</v>
      </c>
      <c r="N11607">
        <v>0.37</v>
      </c>
    </row>
    <row r="11608" spans="1:14" x14ac:dyDescent="0.25">
      <c r="A11608" t="s">
        <v>20055</v>
      </c>
      <c r="B11608" t="s">
        <v>12743</v>
      </c>
      <c r="C11608" s="1" t="str">
        <f>HYPERLINK("http://www.genecards.org/cgi-bin/carddisp.pl?gene=IFIT5","GeneCards")</f>
        <v>GeneCards</v>
      </c>
      <c r="D11608" s="1" t="str">
        <f>HYPERLINK("http://genome-euro.ucsc.edu/cgi-bin/hgTracks?position=203596_s_at","UCSC")</f>
        <v>UCSC</v>
      </c>
      <c r="E11608" s="1" t="str">
        <f>HYPERLINK("http://www.ncbi.nlm.nih.gov/gene/?term=IFIT5","NCBI")</f>
        <v>NCBI</v>
      </c>
      <c r="F11608">
        <v>0.3</v>
      </c>
      <c r="G11608">
        <v>0.45</v>
      </c>
      <c r="H11608" s="1" t="str">
        <f>HYPERLINK("http://www.weizmann.ac.il/complex/compphys/software/geview/data/figures/203596_s_at.png","Figure")</f>
        <v>Figure</v>
      </c>
      <c r="I11608">
        <v>0.89500000000000002</v>
      </c>
      <c r="J11608">
        <v>0.67</v>
      </c>
      <c r="K11608">
        <v>0.83499999999999996</v>
      </c>
      <c r="L11608">
        <v>0.27</v>
      </c>
      <c r="M11608">
        <v>0.93300000000000005</v>
      </c>
      <c r="N11608">
        <v>0.83</v>
      </c>
    </row>
    <row r="11609" spans="1:14" x14ac:dyDescent="0.25">
      <c r="A11609" t="s">
        <v>20056</v>
      </c>
      <c r="B11609" t="s">
        <v>20057</v>
      </c>
      <c r="C11609" s="1" t="str">
        <f>HYPERLINK("http://www.genecards.org/cgi-bin/carddisp.pl?gene=PNOC","GeneCards")</f>
        <v>GeneCards</v>
      </c>
      <c r="D11609" s="1" t="str">
        <f>HYPERLINK("http://genome-euro.ucsc.edu/cgi-bin/hgTracks?position=205901_at","UCSC")</f>
        <v>UCSC</v>
      </c>
      <c r="E11609" s="1" t="str">
        <f>HYPERLINK("http://www.ncbi.nlm.nih.gov/gene/?term=PNOC","NCBI")</f>
        <v>NCBI</v>
      </c>
      <c r="F11609">
        <v>0.3</v>
      </c>
      <c r="G11609">
        <v>0.45</v>
      </c>
      <c r="H11609" s="1" t="str">
        <f>HYPERLINK("http://www.weizmann.ac.il/complex/compphys/software/geview/data/figures/205901_at.png","Figure")</f>
        <v>Figure</v>
      </c>
      <c r="I11609">
        <v>1.1299999999999999</v>
      </c>
      <c r="J11609">
        <v>0.32</v>
      </c>
      <c r="K11609">
        <v>1.02</v>
      </c>
      <c r="L11609">
        <v>0.96</v>
      </c>
      <c r="M11609">
        <v>0.90200000000000002</v>
      </c>
      <c r="N11609">
        <v>0.39</v>
      </c>
    </row>
    <row r="11610" spans="1:14" x14ac:dyDescent="0.25">
      <c r="A11610" t="s">
        <v>20058</v>
      </c>
      <c r="B11610" t="s">
        <v>20059</v>
      </c>
      <c r="C11610" s="1" t="str">
        <f>HYPERLINK("http://www.genecards.org/cgi-bin/carddisp.pl?gene=CELA3B","GeneCards")</f>
        <v>GeneCards</v>
      </c>
      <c r="D11610" s="1" t="str">
        <f>HYPERLINK("http://genome-euro.ucsc.edu/cgi-bin/hgTracks?position=206151_x_at","UCSC")</f>
        <v>UCSC</v>
      </c>
      <c r="E11610" s="1" t="str">
        <f>HYPERLINK("http://www.ncbi.nlm.nih.gov/gene/?term=CELA3B","NCBI")</f>
        <v>NCBI</v>
      </c>
      <c r="F11610">
        <v>0.3</v>
      </c>
      <c r="G11610">
        <v>0.45</v>
      </c>
      <c r="H11610" s="1" t="str">
        <f>HYPERLINK("http://www.weizmann.ac.il/complex/compphys/software/geview/data/figures/206151_x_at.png","Figure")</f>
        <v>Figure</v>
      </c>
      <c r="I11610">
        <v>1.1100000000000001</v>
      </c>
      <c r="J11610">
        <v>0.28000000000000003</v>
      </c>
      <c r="K11610">
        <v>1.04</v>
      </c>
      <c r="L11610">
        <v>0.76</v>
      </c>
      <c r="M11610">
        <v>0.93899999999999995</v>
      </c>
      <c r="N11610">
        <v>0.56000000000000005</v>
      </c>
    </row>
    <row r="11611" spans="1:14" x14ac:dyDescent="0.25">
      <c r="A11611" t="s">
        <v>20060</v>
      </c>
      <c r="B11611" t="s">
        <v>4886</v>
      </c>
      <c r="C11611" s="1" t="str">
        <f>HYPERLINK("http://www.genecards.org/cgi-bin/carddisp.pl?gene=RPL10","GeneCards")</f>
        <v>GeneCards</v>
      </c>
      <c r="D11611" s="1" t="str">
        <f>HYPERLINK("http://genome-euro.ucsc.edu/cgi-bin/hgTracks?position=217379_at","UCSC")</f>
        <v>UCSC</v>
      </c>
      <c r="E11611" s="1" t="str">
        <f>HYPERLINK("http://www.ncbi.nlm.nih.gov/gene/?term=RPL10","NCBI")</f>
        <v>NCBI</v>
      </c>
      <c r="F11611">
        <v>0.3</v>
      </c>
      <c r="G11611">
        <v>0.45</v>
      </c>
      <c r="H11611" s="1" t="str">
        <f>HYPERLINK("http://www.weizmann.ac.il/complex/compphys/software/geview/data/figures/217379_at.png","Figure")</f>
        <v>Figure</v>
      </c>
      <c r="I11611">
        <v>0.97899999999999998</v>
      </c>
      <c r="J11611">
        <v>0.99</v>
      </c>
      <c r="K11611">
        <v>1.22</v>
      </c>
      <c r="L11611">
        <v>0.41</v>
      </c>
      <c r="M11611">
        <v>1.24</v>
      </c>
      <c r="N11611">
        <v>0.39</v>
      </c>
    </row>
    <row r="11612" spans="1:14" x14ac:dyDescent="0.25">
      <c r="A11612" t="s">
        <v>20061</v>
      </c>
      <c r="B11612" t="s">
        <v>20062</v>
      </c>
      <c r="C11612" s="1" t="str">
        <f>HYPERLINK("http://www.genecards.org/cgi-bin/carddisp.pl?gene=ATAD5","GeneCards")</f>
        <v>GeneCards</v>
      </c>
      <c r="D11612" s="1" t="str">
        <f>HYPERLINK("http://genome-euro.ucsc.edu/cgi-bin/hgTracks?position=220223_at","UCSC")</f>
        <v>UCSC</v>
      </c>
      <c r="E11612" s="1" t="str">
        <f>HYPERLINK("http://www.ncbi.nlm.nih.gov/gene/?term=ATAD5","NCBI")</f>
        <v>NCBI</v>
      </c>
      <c r="F11612">
        <v>0.3</v>
      </c>
      <c r="G11612">
        <v>0.45</v>
      </c>
      <c r="H11612" s="1" t="str">
        <f>HYPERLINK("http://www.weizmann.ac.il/complex/compphys/software/geview/data/figures/220223_at.png","Figure")</f>
        <v>Figure</v>
      </c>
      <c r="I11612">
        <v>0.89700000000000002</v>
      </c>
      <c r="J11612">
        <v>0.71</v>
      </c>
      <c r="K11612">
        <v>0.82699999999999996</v>
      </c>
      <c r="L11612">
        <v>0.27</v>
      </c>
      <c r="M11612">
        <v>0.92200000000000004</v>
      </c>
      <c r="N11612">
        <v>0.8</v>
      </c>
    </row>
    <row r="11613" spans="1:14" x14ac:dyDescent="0.25">
      <c r="A11613" t="s">
        <v>20063</v>
      </c>
      <c r="B11613" t="s">
        <v>9690</v>
      </c>
      <c r="C11613" s="1" t="str">
        <f>HYPERLINK("http://www.genecards.org/cgi-bin/carddisp.pl?gene=PMS2L1","GeneCards")</f>
        <v>GeneCards</v>
      </c>
      <c r="D11613" s="1" t="str">
        <f>HYPERLINK("http://genome-euro.ucsc.edu/cgi-bin/hgTracks?position=214526_x_at","UCSC")</f>
        <v>UCSC</v>
      </c>
      <c r="E11613" s="1" t="str">
        <f>HYPERLINK("http://www.ncbi.nlm.nih.gov/gene/?term=PMS2L1","NCBI")</f>
        <v>NCBI</v>
      </c>
      <c r="F11613">
        <v>0.31</v>
      </c>
      <c r="G11613">
        <v>0.45</v>
      </c>
      <c r="H11613" s="1" t="str">
        <f>HYPERLINK("http://www.weizmann.ac.il/complex/compphys/software/geview/data/figures/214526_x_at.png","Figure")</f>
        <v>Figure</v>
      </c>
      <c r="I11613">
        <v>1.28</v>
      </c>
      <c r="J11613">
        <v>0.28000000000000003</v>
      </c>
      <c r="K11613">
        <v>1.1499999999999999</v>
      </c>
      <c r="L11613">
        <v>0.57999999999999996</v>
      </c>
      <c r="M11613">
        <v>0.89700000000000002</v>
      </c>
      <c r="N11613">
        <v>0.74</v>
      </c>
    </row>
    <row r="11614" spans="1:14" x14ac:dyDescent="0.25">
      <c r="A11614" t="s">
        <v>20064</v>
      </c>
      <c r="B11614" t="s">
        <v>10538</v>
      </c>
      <c r="C11614" s="1" t="str">
        <f>HYPERLINK("http://www.genecards.org/cgi-bin/carddisp.pl?gene=SNRPA1","GeneCards")</f>
        <v>GeneCards</v>
      </c>
      <c r="D11614" s="1" t="str">
        <f>HYPERLINK("http://genome-euro.ucsc.edu/cgi-bin/hgTracks?position=216977_x_at","UCSC")</f>
        <v>UCSC</v>
      </c>
      <c r="E11614" s="1" t="str">
        <f>HYPERLINK("http://www.ncbi.nlm.nih.gov/gene/?term=SNRPA1","NCBI")</f>
        <v>NCBI</v>
      </c>
      <c r="F11614">
        <v>0.31</v>
      </c>
      <c r="G11614">
        <v>0.45</v>
      </c>
      <c r="H11614" s="1" t="str">
        <f>HYPERLINK("http://www.weizmann.ac.il/complex/compphys/software/geview/data/figures/216977_x_at.png","Figure")</f>
        <v>Figure</v>
      </c>
      <c r="I11614">
        <v>1.38</v>
      </c>
      <c r="J11614">
        <v>0.31</v>
      </c>
      <c r="K11614">
        <v>1.07</v>
      </c>
      <c r="L11614">
        <v>0.93</v>
      </c>
      <c r="M11614">
        <v>0.77400000000000002</v>
      </c>
      <c r="N11614">
        <v>0.42</v>
      </c>
    </row>
    <row r="11615" spans="1:14" x14ac:dyDescent="0.25">
      <c r="A11615" t="s">
        <v>20065</v>
      </c>
      <c r="B11615" t="s">
        <v>20066</v>
      </c>
      <c r="C11615" s="1" t="str">
        <f>HYPERLINK("http://www.genecards.org/cgi-bin/carddisp.pl?gene=LOC100293596","GeneCards")</f>
        <v>GeneCards</v>
      </c>
      <c r="D11615" s="1" t="str">
        <f>HYPERLINK("http://genome-euro.ucsc.edu/cgi-bin/hgTracks?position=215778_x_at","UCSC")</f>
        <v>UCSC</v>
      </c>
      <c r="E11615" s="1" t="str">
        <f>HYPERLINK("http://www.ncbi.nlm.nih.gov/gene/?term=LOC100293596","NCBI")</f>
        <v>NCBI</v>
      </c>
      <c r="F11615">
        <v>0.31</v>
      </c>
      <c r="G11615">
        <v>0.45</v>
      </c>
      <c r="H11615" s="1" t="str">
        <f>HYPERLINK("http://www.weizmann.ac.il/complex/compphys/software/geview/data/figures/215778_x_at.png","Figure")</f>
        <v>Figure</v>
      </c>
      <c r="I11615">
        <v>1.26</v>
      </c>
      <c r="J11615">
        <v>0.28000000000000003</v>
      </c>
      <c r="K11615">
        <v>1.1100000000000001</v>
      </c>
      <c r="L11615">
        <v>0.67</v>
      </c>
      <c r="M11615">
        <v>0.88500000000000001</v>
      </c>
      <c r="N11615">
        <v>0.64</v>
      </c>
    </row>
    <row r="11616" spans="1:14" x14ac:dyDescent="0.25">
      <c r="A11616" t="s">
        <v>20067</v>
      </c>
      <c r="B11616" t="s">
        <v>20068</v>
      </c>
      <c r="C11616" s="1" t="str">
        <f>HYPERLINK("http://www.genecards.org/cgi-bin/carddisp.pl?gene=C1D","GeneCards")</f>
        <v>GeneCards</v>
      </c>
      <c r="D11616" s="1" t="str">
        <f>HYPERLINK("http://genome-euro.ucsc.edu/cgi-bin/hgTracks?position=200056_s_at","UCSC")</f>
        <v>UCSC</v>
      </c>
      <c r="E11616" s="1" t="str">
        <f>HYPERLINK("http://www.ncbi.nlm.nih.gov/gene/?term=C1D","NCBI")</f>
        <v>NCBI</v>
      </c>
      <c r="F11616">
        <v>0.31</v>
      </c>
      <c r="G11616">
        <v>0.45</v>
      </c>
      <c r="H11616" s="1" t="str">
        <f>HYPERLINK("http://www.weizmann.ac.il/complex/compphys/software/geview/data/figures/200056_s_at.png","Figure")</f>
        <v>Figure</v>
      </c>
      <c r="I11616">
        <v>0.874</v>
      </c>
      <c r="J11616">
        <v>0.83</v>
      </c>
      <c r="K11616">
        <v>0.72799999999999998</v>
      </c>
      <c r="L11616">
        <v>0.28000000000000003</v>
      </c>
      <c r="M11616">
        <v>0.83399999999999996</v>
      </c>
      <c r="N11616">
        <v>0.68</v>
      </c>
    </row>
    <row r="11617" spans="1:14" x14ac:dyDescent="0.25">
      <c r="A11617" t="s">
        <v>20069</v>
      </c>
      <c r="B11617" t="s">
        <v>11254</v>
      </c>
      <c r="C11617" s="1" t="str">
        <f>HYPERLINK("http://www.genecards.org/cgi-bin/carddisp.pl?gene=PCM1","GeneCards")</f>
        <v>GeneCards</v>
      </c>
      <c r="D11617" s="1" t="str">
        <f>HYPERLINK("http://genome-euro.ucsc.edu/cgi-bin/hgTracks?position=202174_s_at","UCSC")</f>
        <v>UCSC</v>
      </c>
      <c r="E11617" s="1" t="str">
        <f>HYPERLINK("http://www.ncbi.nlm.nih.gov/gene/?term=PCM1","NCBI")</f>
        <v>NCBI</v>
      </c>
      <c r="F11617">
        <v>0.31</v>
      </c>
      <c r="G11617">
        <v>0.45</v>
      </c>
      <c r="H11617" s="1" t="str">
        <f>HYPERLINK("http://www.weizmann.ac.il/complex/compphys/software/geview/data/figures/202174_s_at.png","Figure")</f>
        <v>Figure</v>
      </c>
      <c r="I11617">
        <v>1.32</v>
      </c>
      <c r="J11617">
        <v>0.32</v>
      </c>
      <c r="K11617">
        <v>1.05</v>
      </c>
      <c r="L11617">
        <v>0.96</v>
      </c>
      <c r="M11617">
        <v>0.79300000000000004</v>
      </c>
      <c r="N11617">
        <v>0.39</v>
      </c>
    </row>
    <row r="11618" spans="1:14" x14ac:dyDescent="0.25">
      <c r="A11618" t="s">
        <v>20070</v>
      </c>
      <c r="B11618" t="s">
        <v>20071</v>
      </c>
      <c r="C11618" s="1" t="str">
        <f>HYPERLINK("http://www.genecards.org/cgi-bin/carddisp.pl?gene=CCL1","GeneCards")</f>
        <v>GeneCards</v>
      </c>
      <c r="D11618" s="1" t="str">
        <f>HYPERLINK("http://genome-euro.ucsc.edu/cgi-bin/hgTracks?position=207533_at","UCSC")</f>
        <v>UCSC</v>
      </c>
      <c r="E11618" s="1" t="str">
        <f>HYPERLINK("http://www.ncbi.nlm.nih.gov/gene/?term=CCL1","NCBI")</f>
        <v>NCBI</v>
      </c>
      <c r="F11618">
        <v>0.31</v>
      </c>
      <c r="G11618">
        <v>0.45</v>
      </c>
      <c r="H11618" s="1" t="str">
        <f>HYPERLINK("http://www.weizmann.ac.il/complex/compphys/software/geview/data/figures/207533_at.png","Figure")</f>
        <v>Figure</v>
      </c>
      <c r="I11618">
        <v>1.0900000000000001</v>
      </c>
      <c r="J11618">
        <v>0.33</v>
      </c>
      <c r="K11618">
        <v>1.01</v>
      </c>
      <c r="L11618">
        <v>0.98</v>
      </c>
      <c r="M11618">
        <v>0.92500000000000004</v>
      </c>
      <c r="N11618">
        <v>0.37</v>
      </c>
    </row>
    <row r="11619" spans="1:14" x14ac:dyDescent="0.25">
      <c r="A11619" t="s">
        <v>20072</v>
      </c>
      <c r="B11619" t="s">
        <v>20073</v>
      </c>
      <c r="C11619" s="1" t="str">
        <f>HYPERLINK("http://www.genecards.org/cgi-bin/carddisp.pl?gene=SIRPB1","GeneCards")</f>
        <v>GeneCards</v>
      </c>
      <c r="D11619" s="1" t="str">
        <f>HYPERLINK("http://genome-euro.ucsc.edu/cgi-bin/hgTracks?position=206934_at","UCSC")</f>
        <v>UCSC</v>
      </c>
      <c r="E11619" s="1" t="str">
        <f>HYPERLINK("http://www.ncbi.nlm.nih.gov/gene/?term=SIRPB1","NCBI")</f>
        <v>NCBI</v>
      </c>
      <c r="F11619">
        <v>0.31</v>
      </c>
      <c r="G11619">
        <v>0.45</v>
      </c>
      <c r="H11619" s="1" t="str">
        <f>HYPERLINK("http://www.weizmann.ac.il/complex/compphys/software/geview/data/figures/206934_at.png","Figure")</f>
        <v>Figure</v>
      </c>
      <c r="I11619">
        <v>1.01</v>
      </c>
      <c r="J11619">
        <v>0.95</v>
      </c>
      <c r="K11619">
        <v>0.95499999999999996</v>
      </c>
      <c r="L11619">
        <v>0.47</v>
      </c>
      <c r="M11619">
        <v>0.94199999999999995</v>
      </c>
      <c r="N11619">
        <v>0.34</v>
      </c>
    </row>
    <row r="11620" spans="1:14" x14ac:dyDescent="0.25">
      <c r="A11620" t="s">
        <v>20074</v>
      </c>
      <c r="B11620" t="s">
        <v>10978</v>
      </c>
      <c r="C11620" s="1" t="str">
        <f>HYPERLINK("http://www.genecards.org/cgi-bin/carddisp.pl?gene=FEN1","GeneCards")</f>
        <v>GeneCards</v>
      </c>
      <c r="D11620" s="1" t="str">
        <f>HYPERLINK("http://genome-euro.ucsc.edu/cgi-bin/hgTracks?position=204767_s_at","UCSC")</f>
        <v>UCSC</v>
      </c>
      <c r="E11620" s="1" t="str">
        <f>HYPERLINK("http://www.ncbi.nlm.nih.gov/gene/?term=FEN1","NCBI")</f>
        <v>NCBI</v>
      </c>
      <c r="F11620">
        <v>0.31</v>
      </c>
      <c r="G11620">
        <v>0.45</v>
      </c>
      <c r="H11620" s="1" t="str">
        <f>HYPERLINK("http://www.weizmann.ac.il/complex/compphys/software/geview/data/figures/204767_s_at.png","Figure")</f>
        <v>Figure</v>
      </c>
      <c r="I11620">
        <v>1.31</v>
      </c>
      <c r="J11620">
        <v>0.54</v>
      </c>
      <c r="K11620">
        <v>1.41</v>
      </c>
      <c r="L11620">
        <v>0.28999999999999998</v>
      </c>
      <c r="M11620">
        <v>1.08</v>
      </c>
      <c r="N11620">
        <v>0.94</v>
      </c>
    </row>
    <row r="11621" spans="1:14" x14ac:dyDescent="0.25">
      <c r="A11621" t="s">
        <v>20075</v>
      </c>
      <c r="B11621" t="s">
        <v>10623</v>
      </c>
      <c r="C11621" s="1" t="str">
        <f>HYPERLINK("http://www.genecards.org/cgi-bin/carddisp.pl?gene=PI4K2A","GeneCards")</f>
        <v>GeneCards</v>
      </c>
      <c r="D11621" s="1" t="str">
        <f>HYPERLINK("http://genome-euro.ucsc.edu/cgi-bin/hgTracks?position=209345_s_at","UCSC")</f>
        <v>UCSC</v>
      </c>
      <c r="E11621" s="1" t="str">
        <f>HYPERLINK("http://www.ncbi.nlm.nih.gov/gene/?term=PI4K2A","NCBI")</f>
        <v>NCBI</v>
      </c>
      <c r="F11621">
        <v>0.31</v>
      </c>
      <c r="G11621">
        <v>0.45</v>
      </c>
      <c r="H11621" s="1" t="str">
        <f>HYPERLINK("http://www.weizmann.ac.il/complex/compphys/software/geview/data/figures/209345_s_at.png","Figure")</f>
        <v>Figure</v>
      </c>
      <c r="I11621">
        <v>0.876</v>
      </c>
      <c r="J11621">
        <v>0.64</v>
      </c>
      <c r="K11621">
        <v>0.81599999999999995</v>
      </c>
      <c r="L11621">
        <v>0.28000000000000003</v>
      </c>
      <c r="M11621">
        <v>0.93100000000000005</v>
      </c>
      <c r="N11621">
        <v>0.86</v>
      </c>
    </row>
    <row r="11622" spans="1:14" x14ac:dyDescent="0.25">
      <c r="A11622" t="s">
        <v>20076</v>
      </c>
      <c r="B11622" t="s">
        <v>20077</v>
      </c>
      <c r="C11622" s="1" t="str">
        <f>HYPERLINK("http://www.genecards.org/cgi-bin/carddisp.pl?gene=LOC100292575 /// MAGEC2","GeneCards")</f>
        <v>GeneCards</v>
      </c>
      <c r="D11622" s="1" t="str">
        <f>HYPERLINK("http://genome-euro.ucsc.edu/cgi-bin/hgTracks?position=215932_at","UCSC")</f>
        <v>UCSC</v>
      </c>
      <c r="E11622" s="1" t="str">
        <f>HYPERLINK("http://www.ncbi.nlm.nih.gov/gene/?term=LOC100292575 /// MAGEC2","NCBI")</f>
        <v>NCBI</v>
      </c>
      <c r="F11622">
        <v>0.31</v>
      </c>
      <c r="G11622">
        <v>0.45</v>
      </c>
      <c r="H11622" s="1" t="str">
        <f>HYPERLINK("http://www.weizmann.ac.il/complex/compphys/software/geview/data/figures/215932_at.png","Figure")</f>
        <v>Figure</v>
      </c>
      <c r="I11622">
        <v>1.0900000000000001</v>
      </c>
      <c r="J11622">
        <v>0.34</v>
      </c>
      <c r="K11622">
        <v>1.07</v>
      </c>
      <c r="L11622">
        <v>0.4</v>
      </c>
      <c r="M11622">
        <v>0.98299999999999998</v>
      </c>
      <c r="N11622">
        <v>0.95</v>
      </c>
    </row>
    <row r="11623" spans="1:14" x14ac:dyDescent="0.25">
      <c r="A11623" t="s">
        <v>20078</v>
      </c>
      <c r="B11623" t="s">
        <v>20079</v>
      </c>
      <c r="C11623" s="1" t="str">
        <f>HYPERLINK("http://www.genecards.org/cgi-bin/carddisp.pl?gene=PCGF1","GeneCards")</f>
        <v>GeneCards</v>
      </c>
      <c r="D11623" s="1" t="str">
        <f>HYPERLINK("http://genome-euro.ucsc.edu/cgi-bin/hgTracks?position=210022_at","UCSC")</f>
        <v>UCSC</v>
      </c>
      <c r="E11623" s="1" t="str">
        <f>HYPERLINK("http://www.ncbi.nlm.nih.gov/gene/?term=PCGF1","NCBI")</f>
        <v>NCBI</v>
      </c>
      <c r="F11623">
        <v>0.31</v>
      </c>
      <c r="G11623">
        <v>0.45</v>
      </c>
      <c r="H11623" s="1" t="str">
        <f>HYPERLINK("http://www.weizmann.ac.il/complex/compphys/software/geview/data/figures/210022_at.png","Figure")</f>
        <v>Figure</v>
      </c>
      <c r="I11623">
        <v>1.0900000000000001</v>
      </c>
      <c r="J11623">
        <v>0.52</v>
      </c>
      <c r="K11623">
        <v>0.97099999999999997</v>
      </c>
      <c r="L11623">
        <v>0.9</v>
      </c>
      <c r="M11623">
        <v>0.89100000000000001</v>
      </c>
      <c r="N11623">
        <v>0.28000000000000003</v>
      </c>
    </row>
    <row r="11624" spans="1:14" x14ac:dyDescent="0.25">
      <c r="A11624" t="s">
        <v>20080</v>
      </c>
      <c r="B11624" t="s">
        <v>20081</v>
      </c>
      <c r="C11624" s="1" t="str">
        <f>HYPERLINK("http://www.genecards.org/cgi-bin/carddisp.pl?gene=SELENBP1","GeneCards")</f>
        <v>GeneCards</v>
      </c>
      <c r="D11624" s="1" t="str">
        <f>HYPERLINK("http://genome-euro.ucsc.edu/cgi-bin/hgTracks?position=214433_s_at","UCSC")</f>
        <v>UCSC</v>
      </c>
      <c r="E11624" s="1" t="str">
        <f>HYPERLINK("http://www.ncbi.nlm.nih.gov/gene/?term=SELENBP1","NCBI")</f>
        <v>NCBI</v>
      </c>
      <c r="F11624">
        <v>0.31</v>
      </c>
      <c r="G11624">
        <v>0.45</v>
      </c>
      <c r="H11624" s="1" t="str">
        <f>HYPERLINK("http://www.weizmann.ac.il/complex/compphys/software/geview/data/figures/214433_s_at.png","Figure")</f>
        <v>Figure</v>
      </c>
      <c r="I11624">
        <v>1.35</v>
      </c>
      <c r="J11624">
        <v>0.44</v>
      </c>
      <c r="K11624">
        <v>0.95299999999999996</v>
      </c>
      <c r="L11624">
        <v>0.97</v>
      </c>
      <c r="M11624">
        <v>0.70599999999999996</v>
      </c>
      <c r="N11624">
        <v>0.3</v>
      </c>
    </row>
    <row r="11625" spans="1:14" x14ac:dyDescent="0.25">
      <c r="A11625" t="s">
        <v>20082</v>
      </c>
      <c r="B11625" t="s">
        <v>17697</v>
      </c>
      <c r="C11625" s="1" t="str">
        <f>HYPERLINK("http://www.genecards.org/cgi-bin/carddisp.pl?gene=LRRFIP1","GeneCards")</f>
        <v>GeneCards</v>
      </c>
      <c r="D11625" s="1" t="str">
        <f>HYPERLINK("http://genome-euro.ucsc.edu/cgi-bin/hgTracks?position=211452_x_at","UCSC")</f>
        <v>UCSC</v>
      </c>
      <c r="E11625" s="1" t="str">
        <f>HYPERLINK("http://www.ncbi.nlm.nih.gov/gene/?term=LRRFIP1","NCBI")</f>
        <v>NCBI</v>
      </c>
      <c r="F11625">
        <v>0.31</v>
      </c>
      <c r="G11625">
        <v>0.45</v>
      </c>
      <c r="H11625" s="1" t="str">
        <f>HYPERLINK("http://www.weizmann.ac.il/complex/compphys/software/geview/data/figures/211452_x_at.png","Figure")</f>
        <v>Figure</v>
      </c>
      <c r="I11625">
        <v>1.29</v>
      </c>
      <c r="J11625">
        <v>0.56000000000000005</v>
      </c>
      <c r="K11625">
        <v>0.89400000000000002</v>
      </c>
      <c r="L11625">
        <v>0.86</v>
      </c>
      <c r="M11625">
        <v>0.69299999999999995</v>
      </c>
      <c r="N11625">
        <v>0.28000000000000003</v>
      </c>
    </row>
    <row r="11626" spans="1:14" x14ac:dyDescent="0.25">
      <c r="A11626" t="s">
        <v>20083</v>
      </c>
      <c r="B11626" t="s">
        <v>17939</v>
      </c>
      <c r="C11626" s="1" t="str">
        <f>HYPERLINK("http://www.genecards.org/cgi-bin/carddisp.pl?gene=TOR1A","GeneCards")</f>
        <v>GeneCards</v>
      </c>
      <c r="D11626" s="1" t="str">
        <f>HYPERLINK("http://genome-euro.ucsc.edu/cgi-bin/hgTracks?position=202348_s_at","UCSC")</f>
        <v>UCSC</v>
      </c>
      <c r="E11626" s="1" t="str">
        <f>HYPERLINK("http://www.ncbi.nlm.nih.gov/gene/?term=TOR1A","NCBI")</f>
        <v>NCBI</v>
      </c>
      <c r="F11626">
        <v>0.31</v>
      </c>
      <c r="G11626">
        <v>0.45</v>
      </c>
      <c r="H11626" s="1" t="str">
        <f>HYPERLINK("http://www.weizmann.ac.il/complex/compphys/software/geview/data/figures/202348_s_at.png","Figure")</f>
        <v>Figure</v>
      </c>
      <c r="I11626">
        <v>0.98</v>
      </c>
      <c r="J11626">
        <v>0.99</v>
      </c>
      <c r="K11626">
        <v>1.1499999999999999</v>
      </c>
      <c r="L11626">
        <v>0.42</v>
      </c>
      <c r="M11626">
        <v>1.17</v>
      </c>
      <c r="N11626">
        <v>0.38</v>
      </c>
    </row>
    <row r="11627" spans="1:14" x14ac:dyDescent="0.25">
      <c r="A11627" t="s">
        <v>20084</v>
      </c>
      <c r="B11627" t="s">
        <v>20085</v>
      </c>
      <c r="C11627" s="1" t="str">
        <f>HYPERLINK("http://www.genecards.org/cgi-bin/carddisp.pl?gene=CD24","GeneCards")</f>
        <v>GeneCards</v>
      </c>
      <c r="D11627" s="1" t="str">
        <f>HYPERLINK("http://genome-euro.ucsc.edu/cgi-bin/hgTracks?position=209772_s_at","UCSC")</f>
        <v>UCSC</v>
      </c>
      <c r="E11627" s="1" t="str">
        <f>HYPERLINK("http://www.ncbi.nlm.nih.gov/gene/?term=CD24","NCBI")</f>
        <v>NCBI</v>
      </c>
      <c r="F11627">
        <v>0.31</v>
      </c>
      <c r="G11627">
        <v>0.45</v>
      </c>
      <c r="H11627" s="1" t="str">
        <f>HYPERLINK("http://www.weizmann.ac.il/complex/compphys/software/geview/data/figures/209772_s_at.png","Figure")</f>
        <v>Figure</v>
      </c>
      <c r="I11627">
        <v>1.22</v>
      </c>
      <c r="J11627">
        <v>0.68</v>
      </c>
      <c r="K11627">
        <v>1.38</v>
      </c>
      <c r="L11627">
        <v>0.28000000000000003</v>
      </c>
      <c r="M11627">
        <v>1.1399999999999999</v>
      </c>
      <c r="N11627">
        <v>0.83</v>
      </c>
    </row>
    <row r="11628" spans="1:14" x14ac:dyDescent="0.25">
      <c r="A11628" t="s">
        <v>20086</v>
      </c>
      <c r="B11628" t="s">
        <v>12192</v>
      </c>
      <c r="C11628" s="1" t="str">
        <f>HYPERLINK("http://www.genecards.org/cgi-bin/carddisp.pl?gene=SMARCD1","GeneCards")</f>
        <v>GeneCards</v>
      </c>
      <c r="D11628" s="1" t="str">
        <f>HYPERLINK("http://genome-euro.ucsc.edu/cgi-bin/hgTracks?position=203183_s_at","UCSC")</f>
        <v>UCSC</v>
      </c>
      <c r="E11628" s="1" t="str">
        <f>HYPERLINK("http://www.ncbi.nlm.nih.gov/gene/?term=SMARCD1","NCBI")</f>
        <v>NCBI</v>
      </c>
      <c r="F11628">
        <v>0.31</v>
      </c>
      <c r="G11628">
        <v>0.45</v>
      </c>
      <c r="H11628" s="1" t="str">
        <f>HYPERLINK("http://www.weizmann.ac.il/complex/compphys/software/geview/data/figures/203183_s_at.png","Figure")</f>
        <v>Figure</v>
      </c>
      <c r="I11628">
        <v>1.1399999999999999</v>
      </c>
      <c r="J11628">
        <v>0.35</v>
      </c>
      <c r="K11628">
        <v>1.1100000000000001</v>
      </c>
      <c r="L11628">
        <v>0.4</v>
      </c>
      <c r="M11628">
        <v>0.97599999999999998</v>
      </c>
      <c r="N11628">
        <v>0.95</v>
      </c>
    </row>
    <row r="11629" spans="1:14" x14ac:dyDescent="0.25">
      <c r="A11629" t="s">
        <v>20087</v>
      </c>
      <c r="B11629" t="s">
        <v>20088</v>
      </c>
      <c r="C11629" s="1" t="str">
        <f>HYPERLINK("http://www.genecards.org/cgi-bin/carddisp.pl?gene=HIST1H2AG","GeneCards")</f>
        <v>GeneCards</v>
      </c>
      <c r="D11629" s="1" t="str">
        <f>HYPERLINK("http://genome-euro.ucsc.edu/cgi-bin/hgTracks?position=207156_at","UCSC")</f>
        <v>UCSC</v>
      </c>
      <c r="E11629" s="1" t="str">
        <f>HYPERLINK("http://www.ncbi.nlm.nih.gov/gene/?term=HIST1H2AG","NCBI")</f>
        <v>NCBI</v>
      </c>
      <c r="F11629">
        <v>0.31</v>
      </c>
      <c r="G11629">
        <v>0.45</v>
      </c>
      <c r="H11629" s="1" t="str">
        <f>HYPERLINK("http://www.weizmann.ac.il/complex/compphys/software/geview/data/figures/207156_at.png","Figure")</f>
        <v>Figure</v>
      </c>
      <c r="I11629">
        <v>0.99299999999999999</v>
      </c>
      <c r="J11629">
        <v>0.99</v>
      </c>
      <c r="K11629">
        <v>0.93300000000000005</v>
      </c>
      <c r="L11629">
        <v>0.35</v>
      </c>
      <c r="M11629">
        <v>0.94</v>
      </c>
      <c r="N11629">
        <v>0.46</v>
      </c>
    </row>
    <row r="11630" spans="1:14" x14ac:dyDescent="0.25">
      <c r="A11630" t="s">
        <v>20089</v>
      </c>
      <c r="B11630" t="s">
        <v>8069</v>
      </c>
      <c r="C11630" s="1" t="str">
        <f>HYPERLINK("http://www.genecards.org/cgi-bin/carddisp.pl?gene=H3F3B","GeneCards")</f>
        <v>GeneCards</v>
      </c>
      <c r="D11630" s="1" t="str">
        <f>HYPERLINK("http://genome-euro.ucsc.edu/cgi-bin/hgTracks?position=209069_s_at","UCSC")</f>
        <v>UCSC</v>
      </c>
      <c r="E11630" s="1" t="str">
        <f>HYPERLINK("http://www.ncbi.nlm.nih.gov/gene/?term=H3F3B","NCBI")</f>
        <v>NCBI</v>
      </c>
      <c r="F11630">
        <v>0.31</v>
      </c>
      <c r="G11630">
        <v>0.45</v>
      </c>
      <c r="H11630" s="1" t="str">
        <f>HYPERLINK("http://www.weizmann.ac.il/complex/compphys/software/geview/data/figures/209069_s_at.png","Figure")</f>
        <v>Figure</v>
      </c>
      <c r="I11630">
        <v>0.93</v>
      </c>
      <c r="J11630">
        <v>0.83</v>
      </c>
      <c r="K11630">
        <v>0.84</v>
      </c>
      <c r="L11630">
        <v>0.28999999999999998</v>
      </c>
      <c r="M11630">
        <v>0.90300000000000002</v>
      </c>
      <c r="N11630">
        <v>0.67</v>
      </c>
    </row>
    <row r="11631" spans="1:14" x14ac:dyDescent="0.25">
      <c r="A11631" t="s">
        <v>20090</v>
      </c>
      <c r="B11631" t="s">
        <v>20091</v>
      </c>
      <c r="C11631" s="1" t="str">
        <f>HYPERLINK("http://www.genecards.org/cgi-bin/carddisp.pl?gene=PHF10","GeneCards")</f>
        <v>GeneCards</v>
      </c>
      <c r="D11631" s="1" t="str">
        <f>HYPERLINK("http://genome-euro.ucsc.edu/cgi-bin/hgTracks?position=219126_at","UCSC")</f>
        <v>UCSC</v>
      </c>
      <c r="E11631" s="1" t="str">
        <f>HYPERLINK("http://www.ncbi.nlm.nih.gov/gene/?term=PHF10","NCBI")</f>
        <v>NCBI</v>
      </c>
      <c r="F11631">
        <v>0.31</v>
      </c>
      <c r="G11631">
        <v>0.45</v>
      </c>
      <c r="H11631" s="1" t="str">
        <f>HYPERLINK("http://www.weizmann.ac.il/complex/compphys/software/geview/data/figures/219126_at.png","Figure")</f>
        <v>Figure</v>
      </c>
      <c r="I11631">
        <v>0.84499999999999997</v>
      </c>
      <c r="J11631">
        <v>0.63</v>
      </c>
      <c r="K11631">
        <v>0.77600000000000002</v>
      </c>
      <c r="L11631">
        <v>0.28000000000000003</v>
      </c>
      <c r="M11631">
        <v>0.91800000000000004</v>
      </c>
      <c r="N11631">
        <v>0.87</v>
      </c>
    </row>
    <row r="11632" spans="1:14" x14ac:dyDescent="0.25">
      <c r="A11632" t="s">
        <v>20092</v>
      </c>
      <c r="B11632" t="s">
        <v>20093</v>
      </c>
      <c r="C11632" s="1" t="str">
        <f>HYPERLINK("http://www.genecards.org/cgi-bin/carddisp.pl?gene=ZNF638","GeneCards")</f>
        <v>GeneCards</v>
      </c>
      <c r="D11632" s="1" t="str">
        <f>HYPERLINK("http://genome-euro.ucsc.edu/cgi-bin/hgTracks?position=211257_x_at","UCSC")</f>
        <v>UCSC</v>
      </c>
      <c r="E11632" s="1" t="str">
        <f>HYPERLINK("http://www.ncbi.nlm.nih.gov/gene/?term=ZNF638","NCBI")</f>
        <v>NCBI</v>
      </c>
      <c r="F11632">
        <v>0.31</v>
      </c>
      <c r="G11632">
        <v>0.45</v>
      </c>
      <c r="H11632" s="1" t="str">
        <f>HYPERLINK("http://www.weizmann.ac.il/complex/compphys/software/geview/data/figures/211257_x_at.png","Figure")</f>
        <v>Figure</v>
      </c>
      <c r="I11632">
        <v>1.23</v>
      </c>
      <c r="J11632">
        <v>0.79</v>
      </c>
      <c r="K11632">
        <v>1.56</v>
      </c>
      <c r="L11632">
        <v>0.28000000000000003</v>
      </c>
      <c r="M11632">
        <v>1.26</v>
      </c>
      <c r="N11632">
        <v>0.72</v>
      </c>
    </row>
    <row r="11633" spans="1:14" x14ac:dyDescent="0.25">
      <c r="A11633" t="s">
        <v>20094</v>
      </c>
      <c r="B11633" t="s">
        <v>1525</v>
      </c>
      <c r="C11633" s="1" t="str">
        <f>HYPERLINK("http://www.genecards.org/cgi-bin/carddisp.pl?gene=NCKIPSD","GeneCards")</f>
        <v>GeneCards</v>
      </c>
      <c r="D11633" s="1" t="str">
        <f>HYPERLINK("http://genome-euro.ucsc.edu/cgi-bin/hgTracks?position=218697_at","UCSC")</f>
        <v>UCSC</v>
      </c>
      <c r="E11633" s="1" t="str">
        <f>HYPERLINK("http://www.ncbi.nlm.nih.gov/gene/?term=NCKIPSD","NCBI")</f>
        <v>NCBI</v>
      </c>
      <c r="F11633">
        <v>0.31</v>
      </c>
      <c r="G11633">
        <v>0.45</v>
      </c>
      <c r="H11633" s="1" t="str">
        <f>HYPERLINK("http://www.weizmann.ac.il/complex/compphys/software/geview/data/figures/218697_at.png","Figure")</f>
        <v>Figure</v>
      </c>
      <c r="I11633">
        <v>0.84599999999999997</v>
      </c>
      <c r="J11633">
        <v>0.28000000000000003</v>
      </c>
      <c r="K11633">
        <v>0.93700000000000006</v>
      </c>
      <c r="L11633">
        <v>0.76</v>
      </c>
      <c r="M11633">
        <v>1.1100000000000001</v>
      </c>
      <c r="N11633">
        <v>0.56000000000000005</v>
      </c>
    </row>
    <row r="11634" spans="1:14" x14ac:dyDescent="0.25">
      <c r="A11634" t="s">
        <v>20095</v>
      </c>
      <c r="B11634" t="s">
        <v>20096</v>
      </c>
      <c r="C11634" s="1" t="str">
        <f>HYPERLINK("http://www.genecards.org/cgi-bin/carddisp.pl?gene=LARS","GeneCards")</f>
        <v>GeneCards</v>
      </c>
      <c r="D11634" s="1" t="str">
        <f>HYPERLINK("http://genome-euro.ucsc.edu/cgi-bin/hgTracks?position=217810_x_at","UCSC")</f>
        <v>UCSC</v>
      </c>
      <c r="E11634" s="1" t="str">
        <f>HYPERLINK("http://www.ncbi.nlm.nih.gov/gene/?term=LARS","NCBI")</f>
        <v>NCBI</v>
      </c>
      <c r="F11634">
        <v>0.31</v>
      </c>
      <c r="G11634">
        <v>0.45</v>
      </c>
      <c r="H11634" s="1" t="str">
        <f>HYPERLINK("http://www.weizmann.ac.il/complex/compphys/software/geview/data/figures/217810_x_at.png","Figure")</f>
        <v>Figure</v>
      </c>
      <c r="I11634">
        <v>0.999</v>
      </c>
      <c r="J11634">
        <v>1</v>
      </c>
      <c r="K11634">
        <v>1.24</v>
      </c>
      <c r="L11634">
        <v>0.38</v>
      </c>
      <c r="M11634">
        <v>1.24</v>
      </c>
      <c r="N11634">
        <v>0.42</v>
      </c>
    </row>
    <row r="11635" spans="1:14" x14ac:dyDescent="0.25">
      <c r="A11635" t="s">
        <v>20097</v>
      </c>
      <c r="B11635" t="s">
        <v>20098</v>
      </c>
      <c r="C11635" s="1" t="str">
        <f>HYPERLINK("http://www.genecards.org/cgi-bin/carddisp.pl?gene=NDUFB8 /// SEC31B","GeneCards")</f>
        <v>GeneCards</v>
      </c>
      <c r="D11635" s="1" t="str">
        <f>HYPERLINK("http://genome-euro.ucsc.edu/cgi-bin/hgTracks?position=201226_at","UCSC")</f>
        <v>UCSC</v>
      </c>
      <c r="E11635" s="1" t="str">
        <f>HYPERLINK("http://www.ncbi.nlm.nih.gov/gene/?term=NDUFB8 /// SEC31B","NCBI")</f>
        <v>NCBI</v>
      </c>
      <c r="F11635">
        <v>0.31</v>
      </c>
      <c r="G11635">
        <v>0.45</v>
      </c>
      <c r="H11635" s="1" t="str">
        <f>HYPERLINK("http://www.weizmann.ac.il/complex/compphys/software/geview/data/figures/201226_at.png","Figure")</f>
        <v>Figure</v>
      </c>
      <c r="I11635">
        <v>1.17</v>
      </c>
      <c r="J11635">
        <v>0.5</v>
      </c>
      <c r="K11635">
        <v>1.21</v>
      </c>
      <c r="L11635">
        <v>0.3</v>
      </c>
      <c r="M11635">
        <v>1.03</v>
      </c>
      <c r="N11635">
        <v>0.98</v>
      </c>
    </row>
    <row r="11636" spans="1:14" x14ac:dyDescent="0.25">
      <c r="A11636" t="s">
        <v>20099</v>
      </c>
      <c r="B11636" t="s">
        <v>20100</v>
      </c>
      <c r="C11636" s="1" t="str">
        <f>HYPERLINK("http://www.genecards.org/cgi-bin/carddisp.pl?gene=IQCK","GeneCards")</f>
        <v>GeneCards</v>
      </c>
      <c r="D11636" s="1" t="str">
        <f>HYPERLINK("http://genome-euro.ucsc.edu/cgi-bin/hgTracks?position=215130_s_at","UCSC")</f>
        <v>UCSC</v>
      </c>
      <c r="E11636" s="1" t="str">
        <f>HYPERLINK("http://www.ncbi.nlm.nih.gov/gene/?term=IQCK","NCBI")</f>
        <v>NCBI</v>
      </c>
      <c r="F11636">
        <v>0.31</v>
      </c>
      <c r="G11636">
        <v>0.45</v>
      </c>
      <c r="H11636" s="1" t="str">
        <f>HYPERLINK("http://www.weizmann.ac.il/complex/compphys/software/geview/data/figures/215130_s_at.png","Figure")</f>
        <v>Figure</v>
      </c>
      <c r="I11636">
        <v>1.08</v>
      </c>
      <c r="J11636">
        <v>0.33</v>
      </c>
      <c r="K11636">
        <v>1.06</v>
      </c>
      <c r="L11636">
        <v>0.42</v>
      </c>
      <c r="M11636">
        <v>0.98199999999999998</v>
      </c>
      <c r="N11636">
        <v>0.92</v>
      </c>
    </row>
    <row r="11637" spans="1:14" x14ac:dyDescent="0.25">
      <c r="A11637" t="s">
        <v>20101</v>
      </c>
      <c r="B11637" t="s">
        <v>7172</v>
      </c>
      <c r="C11637" s="1" t="str">
        <f>HYPERLINK("http://www.genecards.org/cgi-bin/carddisp.pl?gene=TXN2","GeneCards")</f>
        <v>GeneCards</v>
      </c>
      <c r="D11637" s="1" t="str">
        <f>HYPERLINK("http://genome-euro.ucsc.edu/cgi-bin/hgTracks?position=209078_s_at","UCSC")</f>
        <v>UCSC</v>
      </c>
      <c r="E11637" s="1" t="str">
        <f>HYPERLINK("http://www.ncbi.nlm.nih.gov/gene/?term=TXN2","NCBI")</f>
        <v>NCBI</v>
      </c>
      <c r="F11637">
        <v>0.31</v>
      </c>
      <c r="G11637">
        <v>0.45</v>
      </c>
      <c r="H11637" s="1" t="str">
        <f>HYPERLINK("http://www.weizmann.ac.il/complex/compphys/software/geview/data/figures/209078_s_at.png","Figure")</f>
        <v>Figure</v>
      </c>
      <c r="I11637">
        <v>1.1100000000000001</v>
      </c>
      <c r="J11637">
        <v>0.57999999999999996</v>
      </c>
      <c r="K11637">
        <v>1.1599999999999999</v>
      </c>
      <c r="L11637">
        <v>0.28000000000000003</v>
      </c>
      <c r="M11637">
        <v>1.04</v>
      </c>
      <c r="N11637">
        <v>0.92</v>
      </c>
    </row>
    <row r="11638" spans="1:14" x14ac:dyDescent="0.25">
      <c r="A11638" t="s">
        <v>20102</v>
      </c>
      <c r="B11638" t="s">
        <v>3869</v>
      </c>
      <c r="C11638" s="1" t="str">
        <f>HYPERLINK("http://www.genecards.org/cgi-bin/carddisp.pl?gene=SYNCRIP","GeneCards")</f>
        <v>GeneCards</v>
      </c>
      <c r="D11638" s="1" t="str">
        <f>HYPERLINK("http://genome-euro.ucsc.edu/cgi-bin/hgTracks?position=217833_at","UCSC")</f>
        <v>UCSC</v>
      </c>
      <c r="E11638" s="1" t="str">
        <f>HYPERLINK("http://www.ncbi.nlm.nih.gov/gene/?term=SYNCRIP","NCBI")</f>
        <v>NCBI</v>
      </c>
      <c r="F11638">
        <v>0.31</v>
      </c>
      <c r="G11638">
        <v>0.45</v>
      </c>
      <c r="H11638" s="1" t="str">
        <f>HYPERLINK("http://www.weizmann.ac.il/complex/compphys/software/geview/data/figures/217833_at.png","Figure")</f>
        <v>Figure</v>
      </c>
      <c r="I11638">
        <v>0.61799999999999999</v>
      </c>
      <c r="J11638">
        <v>0.28999999999999998</v>
      </c>
      <c r="K11638">
        <v>0.86199999999999999</v>
      </c>
      <c r="L11638">
        <v>0.84</v>
      </c>
      <c r="M11638">
        <v>1.39</v>
      </c>
      <c r="N11638">
        <v>0.49</v>
      </c>
    </row>
    <row r="11639" spans="1:14" x14ac:dyDescent="0.25">
      <c r="A11639" t="s">
        <v>20103</v>
      </c>
      <c r="B11639" t="s">
        <v>7205</v>
      </c>
      <c r="C11639" s="1" t="str">
        <f>HYPERLINK("http://www.genecards.org/cgi-bin/carddisp.pl?gene=ZNF444","GeneCards")</f>
        <v>GeneCards</v>
      </c>
      <c r="D11639" s="1" t="str">
        <f>HYPERLINK("http://genome-euro.ucsc.edu/cgi-bin/hgTracks?position=218707_at","UCSC")</f>
        <v>UCSC</v>
      </c>
      <c r="E11639" s="1" t="str">
        <f>HYPERLINK("http://www.ncbi.nlm.nih.gov/gene/?term=ZNF444","NCBI")</f>
        <v>NCBI</v>
      </c>
      <c r="F11639">
        <v>0.31</v>
      </c>
      <c r="G11639">
        <v>0.45</v>
      </c>
      <c r="H11639" s="1" t="str">
        <f>HYPERLINK("http://www.weizmann.ac.il/complex/compphys/software/geview/data/figures/218707_at.png","Figure")</f>
        <v>Figure</v>
      </c>
      <c r="I11639">
        <v>1.1499999999999999</v>
      </c>
      <c r="J11639">
        <v>0.33</v>
      </c>
      <c r="K11639">
        <v>1.1100000000000001</v>
      </c>
      <c r="L11639">
        <v>0.43</v>
      </c>
      <c r="M11639">
        <v>0.96599999999999997</v>
      </c>
      <c r="N11639">
        <v>0.91</v>
      </c>
    </row>
    <row r="11640" spans="1:14" x14ac:dyDescent="0.25">
      <c r="A11640" t="s">
        <v>20104</v>
      </c>
      <c r="B11640" t="s">
        <v>18380</v>
      </c>
      <c r="C11640" s="1" t="str">
        <f>HYPERLINK("http://www.genecards.org/cgi-bin/carddisp.pl?gene=TMED7","GeneCards")</f>
        <v>GeneCards</v>
      </c>
      <c r="D11640" s="1" t="str">
        <f>HYPERLINK("http://genome-euro.ucsc.edu/cgi-bin/hgTracks?position=214658_at","UCSC")</f>
        <v>UCSC</v>
      </c>
      <c r="E11640" s="1" t="str">
        <f>HYPERLINK("http://www.ncbi.nlm.nih.gov/gene/?term=TMED7","NCBI")</f>
        <v>NCBI</v>
      </c>
      <c r="F11640">
        <v>0.31</v>
      </c>
      <c r="G11640">
        <v>0.45</v>
      </c>
      <c r="H11640" s="1" t="str">
        <f>HYPERLINK("http://www.weizmann.ac.il/complex/compphys/software/geview/data/figures/214658_at.png","Figure")</f>
        <v>Figure</v>
      </c>
      <c r="I11640">
        <v>0.89800000000000002</v>
      </c>
      <c r="J11640">
        <v>0.32</v>
      </c>
      <c r="K11640">
        <v>0.98399999999999999</v>
      </c>
      <c r="L11640">
        <v>0.97</v>
      </c>
      <c r="M11640">
        <v>1.1000000000000001</v>
      </c>
      <c r="N11640">
        <v>0.39</v>
      </c>
    </row>
    <row r="11641" spans="1:14" x14ac:dyDescent="0.25">
      <c r="A11641" t="s">
        <v>20105</v>
      </c>
      <c r="B11641" t="s">
        <v>8853</v>
      </c>
      <c r="C11641" s="1" t="str">
        <f>HYPERLINK("http://www.genecards.org/cgi-bin/carddisp.pl?gene=LDLR","GeneCards")</f>
        <v>GeneCards</v>
      </c>
      <c r="D11641" s="1" t="str">
        <f>HYPERLINK("http://genome-euro.ucsc.edu/cgi-bin/hgTracks?position=217005_at","UCSC")</f>
        <v>UCSC</v>
      </c>
      <c r="E11641" s="1" t="str">
        <f>HYPERLINK("http://www.ncbi.nlm.nih.gov/gene/?term=LDLR","NCBI")</f>
        <v>NCBI</v>
      </c>
      <c r="F11641">
        <v>0.31</v>
      </c>
      <c r="G11641">
        <v>0.45</v>
      </c>
      <c r="H11641" s="1" t="str">
        <f>HYPERLINK("http://www.weizmann.ac.il/complex/compphys/software/geview/data/figures/217005_at.png","Figure")</f>
        <v>Figure</v>
      </c>
      <c r="I11641">
        <v>1</v>
      </c>
      <c r="J11641">
        <v>0.87</v>
      </c>
      <c r="K11641">
        <v>1.01</v>
      </c>
      <c r="L11641">
        <v>0.28999999999999998</v>
      </c>
      <c r="M11641">
        <v>1.01</v>
      </c>
      <c r="N11641">
        <v>0.64</v>
      </c>
    </row>
    <row r="11642" spans="1:14" x14ac:dyDescent="0.25">
      <c r="A11642" t="s">
        <v>20106</v>
      </c>
      <c r="B11642" t="s">
        <v>20107</v>
      </c>
      <c r="C11642" s="1" t="str">
        <f>HYPERLINK("http://www.genecards.org/cgi-bin/carddisp.pl?gene=ABCB1 /// ABCB4","GeneCards")</f>
        <v>GeneCards</v>
      </c>
      <c r="D11642" s="1" t="str">
        <f>HYPERLINK("http://genome-euro.ucsc.edu/cgi-bin/hgTracks?position=209994_s_at","UCSC")</f>
        <v>UCSC</v>
      </c>
      <c r="E11642" s="1" t="str">
        <f>HYPERLINK("http://www.ncbi.nlm.nih.gov/gene/?term=ABCB1 /// ABCB4","NCBI")</f>
        <v>NCBI</v>
      </c>
      <c r="F11642">
        <v>0.31</v>
      </c>
      <c r="G11642">
        <v>0.45</v>
      </c>
      <c r="H11642" s="1" t="str">
        <f>HYPERLINK("http://www.weizmann.ac.il/complex/compphys/software/geview/data/figures/209994_s_at.png","Figure")</f>
        <v>Figure</v>
      </c>
      <c r="I11642">
        <v>1.03</v>
      </c>
      <c r="J11642">
        <v>0.98</v>
      </c>
      <c r="K11642">
        <v>1.24</v>
      </c>
      <c r="L11642">
        <v>0.34</v>
      </c>
      <c r="M11642">
        <v>1.2</v>
      </c>
      <c r="N11642">
        <v>0.49</v>
      </c>
    </row>
    <row r="11643" spans="1:14" x14ac:dyDescent="0.25">
      <c r="A11643" t="s">
        <v>20108</v>
      </c>
      <c r="B11643" t="s">
        <v>20109</v>
      </c>
      <c r="C11643" s="1" t="str">
        <f>HYPERLINK("http://www.genecards.org/cgi-bin/carddisp.pl?gene=CEACAM5","GeneCards")</f>
        <v>GeneCards</v>
      </c>
      <c r="D11643" s="1" t="str">
        <f>HYPERLINK("http://genome-euro.ucsc.edu/cgi-bin/hgTracks?position=201884_at","UCSC")</f>
        <v>UCSC</v>
      </c>
      <c r="E11643" s="1" t="str">
        <f>HYPERLINK("http://www.ncbi.nlm.nih.gov/gene/?term=CEACAM5","NCBI")</f>
        <v>NCBI</v>
      </c>
      <c r="F11643">
        <v>0.31</v>
      </c>
      <c r="G11643">
        <v>0.45</v>
      </c>
      <c r="H11643" s="1" t="str">
        <f>HYPERLINK("http://www.weizmann.ac.il/complex/compphys/software/geview/data/figures/201884_at.png","Figure")</f>
        <v>Figure</v>
      </c>
      <c r="I11643">
        <v>1.1299999999999999</v>
      </c>
      <c r="J11643">
        <v>0.43</v>
      </c>
      <c r="K11643">
        <v>0.98599999999999999</v>
      </c>
      <c r="L11643">
        <v>0.98</v>
      </c>
      <c r="M11643">
        <v>0.871</v>
      </c>
      <c r="N11643">
        <v>0.31</v>
      </c>
    </row>
    <row r="11644" spans="1:14" x14ac:dyDescent="0.25">
      <c r="A11644" t="s">
        <v>20110</v>
      </c>
      <c r="B11644" t="s">
        <v>14084</v>
      </c>
      <c r="C11644" s="1" t="str">
        <f>HYPERLINK("http://www.genecards.org/cgi-bin/carddisp.pl?gene=OS9","GeneCards")</f>
        <v>GeneCards</v>
      </c>
      <c r="D11644" s="1" t="str">
        <f>HYPERLINK("http://genome-euro.ucsc.edu/cgi-bin/hgTracks?position=200714_x_at","UCSC")</f>
        <v>UCSC</v>
      </c>
      <c r="E11644" s="1" t="str">
        <f>HYPERLINK("http://www.ncbi.nlm.nih.gov/gene/?term=OS9","NCBI")</f>
        <v>NCBI</v>
      </c>
      <c r="F11644">
        <v>0.31</v>
      </c>
      <c r="G11644">
        <v>0.45</v>
      </c>
      <c r="H11644" s="1" t="str">
        <f>HYPERLINK("http://www.weizmann.ac.il/complex/compphys/software/geview/data/figures/200714_x_at.png","Figure")</f>
        <v>Figure</v>
      </c>
      <c r="I11644">
        <v>1.21</v>
      </c>
      <c r="J11644">
        <v>0.34</v>
      </c>
      <c r="K11644">
        <v>1.1599999999999999</v>
      </c>
      <c r="L11644">
        <v>0.41</v>
      </c>
      <c r="M11644">
        <v>0.96</v>
      </c>
      <c r="N11644">
        <v>0.94</v>
      </c>
    </row>
    <row r="11645" spans="1:14" x14ac:dyDescent="0.25">
      <c r="A11645" t="s">
        <v>20111</v>
      </c>
      <c r="B11645" t="s">
        <v>20112</v>
      </c>
      <c r="C11645" s="1" t="str">
        <f>HYPERLINK("http://www.genecards.org/cgi-bin/carddisp.pl?gene=TPSB2","GeneCards")</f>
        <v>GeneCards</v>
      </c>
      <c r="D11645" s="1" t="str">
        <f>HYPERLINK("http://genome-euro.ucsc.edu/cgi-bin/hgTracks?position=207134_x_at","UCSC")</f>
        <v>UCSC</v>
      </c>
      <c r="E11645" s="1" t="str">
        <f>HYPERLINK("http://www.ncbi.nlm.nih.gov/gene/?term=TPSB2","NCBI")</f>
        <v>NCBI</v>
      </c>
      <c r="F11645">
        <v>0.31</v>
      </c>
      <c r="G11645">
        <v>0.45</v>
      </c>
      <c r="H11645" s="1" t="str">
        <f>HYPERLINK("http://www.weizmann.ac.il/complex/compphys/software/geview/data/figures/207134_x_at.png","Figure")</f>
        <v>Figure</v>
      </c>
      <c r="I11645">
        <v>1.1499999999999999</v>
      </c>
      <c r="J11645">
        <v>0.31</v>
      </c>
      <c r="K11645">
        <v>1.03</v>
      </c>
      <c r="L11645">
        <v>0.92</v>
      </c>
      <c r="M11645">
        <v>0.89700000000000002</v>
      </c>
      <c r="N11645">
        <v>0.43</v>
      </c>
    </row>
    <row r="11646" spans="1:14" x14ac:dyDescent="0.25">
      <c r="A11646" t="s">
        <v>20113</v>
      </c>
      <c r="B11646" t="s">
        <v>20114</v>
      </c>
      <c r="C11646" s="1" t="str">
        <f>HYPERLINK("http://www.genecards.org/cgi-bin/carddisp.pl?gene=XAGE1A /// XAGE1B /// XAGE1C /// XAGE1D /// XAGE1E","GeneCards")</f>
        <v>GeneCards</v>
      </c>
      <c r="D11646" s="1" t="str">
        <f>HYPERLINK("http://genome-euro.ucsc.edu/cgi-bin/hgTracks?position=220057_at","UCSC")</f>
        <v>UCSC</v>
      </c>
      <c r="E11646" s="1" t="str">
        <f>HYPERLINK("http://www.ncbi.nlm.nih.gov/gene/?term=XAGE1A /// XAGE1B /// XAGE1C /// XAGE1D /// XAGE1E","NCBI")</f>
        <v>NCBI</v>
      </c>
      <c r="F11646">
        <v>0.31</v>
      </c>
      <c r="G11646">
        <v>0.45</v>
      </c>
      <c r="H11646" s="1" t="str">
        <f>HYPERLINK("http://www.weizmann.ac.il/complex/compphys/software/geview/data/figures/220057_at.png","Figure")</f>
        <v>Figure</v>
      </c>
      <c r="I11646">
        <v>1.1399999999999999</v>
      </c>
      <c r="J11646">
        <v>0.4</v>
      </c>
      <c r="K11646">
        <v>1.1299999999999999</v>
      </c>
      <c r="L11646">
        <v>0.35</v>
      </c>
      <c r="M11646">
        <v>0.99199999999999999</v>
      </c>
      <c r="N11646">
        <v>1</v>
      </c>
    </row>
    <row r="11647" spans="1:14" x14ac:dyDescent="0.25">
      <c r="A11647" t="s">
        <v>20115</v>
      </c>
      <c r="B11647" t="s">
        <v>20116</v>
      </c>
      <c r="C11647" s="1" t="str">
        <f>HYPERLINK("http://www.genecards.org/cgi-bin/carddisp.pl?gene=LSM1","GeneCards")</f>
        <v>GeneCards</v>
      </c>
      <c r="D11647" s="1" t="str">
        <f>HYPERLINK("http://genome-euro.ucsc.edu/cgi-bin/hgTracks?position=203534_at","UCSC")</f>
        <v>UCSC</v>
      </c>
      <c r="E11647" s="1" t="str">
        <f>HYPERLINK("http://www.ncbi.nlm.nih.gov/gene/?term=LSM1","NCBI")</f>
        <v>NCBI</v>
      </c>
      <c r="F11647">
        <v>0.31</v>
      </c>
      <c r="G11647">
        <v>0.45</v>
      </c>
      <c r="H11647" s="1" t="str">
        <f>HYPERLINK("http://www.weizmann.ac.il/complex/compphys/software/geview/data/figures/203534_at.png","Figure")</f>
        <v>Figure</v>
      </c>
      <c r="I11647">
        <v>0.85099999999999998</v>
      </c>
      <c r="J11647">
        <v>0.42</v>
      </c>
      <c r="K11647">
        <v>1.02</v>
      </c>
      <c r="L11647">
        <v>0.99</v>
      </c>
      <c r="M11647">
        <v>1.2</v>
      </c>
      <c r="N11647">
        <v>0.31</v>
      </c>
    </row>
    <row r="11648" spans="1:14" x14ac:dyDescent="0.25">
      <c r="A11648" t="s">
        <v>20117</v>
      </c>
      <c r="B11648" t="s">
        <v>20118</v>
      </c>
      <c r="C11648" s="1" t="str">
        <f>HYPERLINK("http://www.genecards.org/cgi-bin/carddisp.pl?gene=TIMP2","GeneCards")</f>
        <v>GeneCards</v>
      </c>
      <c r="D11648" s="1" t="str">
        <f>HYPERLINK("http://genome-euro.ucsc.edu/cgi-bin/hgTracks?position=203167_at","UCSC")</f>
        <v>UCSC</v>
      </c>
      <c r="E11648" s="1" t="str">
        <f>HYPERLINK("http://www.ncbi.nlm.nih.gov/gene/?term=TIMP2","NCBI")</f>
        <v>NCBI</v>
      </c>
      <c r="F11648">
        <v>0.31</v>
      </c>
      <c r="G11648">
        <v>0.45</v>
      </c>
      <c r="H11648" s="1" t="str">
        <f>HYPERLINK("http://www.weizmann.ac.il/complex/compphys/software/geview/data/figures/203167_at.png","Figure")</f>
        <v>Figure</v>
      </c>
      <c r="I11648">
        <v>1.33</v>
      </c>
      <c r="J11648">
        <v>0.46</v>
      </c>
      <c r="K11648">
        <v>1.36</v>
      </c>
      <c r="L11648">
        <v>0.32</v>
      </c>
      <c r="M11648">
        <v>1.02</v>
      </c>
      <c r="N11648">
        <v>0.99</v>
      </c>
    </row>
    <row r="11649" spans="1:14" x14ac:dyDescent="0.25">
      <c r="A11649" t="s">
        <v>20119</v>
      </c>
      <c r="B11649" t="s">
        <v>20120</v>
      </c>
      <c r="C11649" s="1" t="str">
        <f>HYPERLINK("http://www.genecards.org/cgi-bin/carddisp.pl?gene=SNAPC5","GeneCards")</f>
        <v>GeneCards</v>
      </c>
      <c r="D11649" s="1" t="str">
        <f>HYPERLINK("http://genome-euro.ucsc.edu/cgi-bin/hgTracks?position=213203_at","UCSC")</f>
        <v>UCSC</v>
      </c>
      <c r="E11649" s="1" t="str">
        <f>HYPERLINK("http://www.ncbi.nlm.nih.gov/gene/?term=SNAPC5","NCBI")</f>
        <v>NCBI</v>
      </c>
      <c r="F11649">
        <v>0.31</v>
      </c>
      <c r="G11649">
        <v>0.45</v>
      </c>
      <c r="H11649" s="1" t="str">
        <f>HYPERLINK("http://www.weizmann.ac.il/complex/compphys/software/geview/data/figures/213203_at.png","Figure")</f>
        <v>Figure</v>
      </c>
      <c r="I11649">
        <v>0.88600000000000001</v>
      </c>
      <c r="J11649">
        <v>0.78</v>
      </c>
      <c r="K11649">
        <v>1.1499999999999999</v>
      </c>
      <c r="L11649">
        <v>0.65</v>
      </c>
      <c r="M11649">
        <v>1.3</v>
      </c>
      <c r="N11649">
        <v>0.28999999999999998</v>
      </c>
    </row>
    <row r="11650" spans="1:14" x14ac:dyDescent="0.25">
      <c r="A11650" t="s">
        <v>20121</v>
      </c>
      <c r="B11650" t="s">
        <v>6233</v>
      </c>
      <c r="C11650" s="1" t="str">
        <f>HYPERLINK("http://www.genecards.org/cgi-bin/carddisp.pl?gene=M6PR","GeneCards")</f>
        <v>GeneCards</v>
      </c>
      <c r="D11650" s="1" t="str">
        <f>HYPERLINK("http://genome-euro.ucsc.edu/cgi-bin/hgTracks?position=200901_s_at","UCSC")</f>
        <v>UCSC</v>
      </c>
      <c r="E11650" s="1" t="str">
        <f>HYPERLINK("http://www.ncbi.nlm.nih.gov/gene/?term=M6PR","NCBI")</f>
        <v>NCBI</v>
      </c>
      <c r="F11650">
        <v>0.31</v>
      </c>
      <c r="G11650">
        <v>0.45</v>
      </c>
      <c r="H11650" s="1" t="str">
        <f>HYPERLINK("http://www.weizmann.ac.il/complex/compphys/software/geview/data/figures/200901_s_at.png","Figure")</f>
        <v>Figure</v>
      </c>
      <c r="I11650">
        <v>0.83499999999999996</v>
      </c>
      <c r="J11650">
        <v>0.57999999999999996</v>
      </c>
      <c r="K11650">
        <v>1.0900000000000001</v>
      </c>
      <c r="L11650">
        <v>0.85</v>
      </c>
      <c r="M11650">
        <v>1.31</v>
      </c>
      <c r="N11650">
        <v>0.28000000000000003</v>
      </c>
    </row>
    <row r="11651" spans="1:14" x14ac:dyDescent="0.25">
      <c r="A11651" t="s">
        <v>20122</v>
      </c>
      <c r="B11651" t="s">
        <v>13828</v>
      </c>
      <c r="C11651" s="1" t="str">
        <f>HYPERLINK("http://www.genecards.org/cgi-bin/carddisp.pl?gene=MED1","GeneCards")</f>
        <v>GeneCards</v>
      </c>
      <c r="D11651" s="1" t="str">
        <f>HYPERLINK("http://genome-euro.ucsc.edu/cgi-bin/hgTracks?position=203496_s_at","UCSC")</f>
        <v>UCSC</v>
      </c>
      <c r="E11651" s="1" t="str">
        <f>HYPERLINK("http://www.ncbi.nlm.nih.gov/gene/?term=MED1","NCBI")</f>
        <v>NCBI</v>
      </c>
      <c r="F11651">
        <v>0.31</v>
      </c>
      <c r="G11651">
        <v>0.45</v>
      </c>
      <c r="H11651" s="1" t="str">
        <f>HYPERLINK("http://www.weizmann.ac.il/complex/compphys/software/geview/data/figures/203496_s_at.png","Figure")</f>
        <v>Figure</v>
      </c>
      <c r="I11651">
        <v>0.80200000000000005</v>
      </c>
      <c r="J11651">
        <v>0.41</v>
      </c>
      <c r="K11651">
        <v>0.80800000000000005</v>
      </c>
      <c r="L11651">
        <v>0.34</v>
      </c>
      <c r="M11651">
        <v>1.01</v>
      </c>
      <c r="N11651">
        <v>1</v>
      </c>
    </row>
    <row r="11652" spans="1:14" x14ac:dyDescent="0.25">
      <c r="A11652" t="s">
        <v>20123</v>
      </c>
      <c r="B11652" t="s">
        <v>6686</v>
      </c>
      <c r="C11652" s="1" t="str">
        <f>HYPERLINK("http://www.genecards.org/cgi-bin/carddisp.pl?gene=SFRS5","GeneCards")</f>
        <v>GeneCards</v>
      </c>
      <c r="D11652" s="1" t="str">
        <f>HYPERLINK("http://genome-euro.ucsc.edu/cgi-bin/hgTracks?position=210077_s_at","UCSC")</f>
        <v>UCSC</v>
      </c>
      <c r="E11652" s="1" t="str">
        <f>HYPERLINK("http://www.ncbi.nlm.nih.gov/gene/?term=SFRS5","NCBI")</f>
        <v>NCBI</v>
      </c>
      <c r="F11652">
        <v>0.31</v>
      </c>
      <c r="G11652">
        <v>0.45</v>
      </c>
      <c r="H11652" s="1" t="str">
        <f>HYPERLINK("http://www.weizmann.ac.il/complex/compphys/software/geview/data/figures/210077_s_at.png","Figure")</f>
        <v>Figure</v>
      </c>
      <c r="I11652">
        <v>0.85499999999999998</v>
      </c>
      <c r="J11652">
        <v>0.28999999999999998</v>
      </c>
      <c r="K11652">
        <v>0.91100000000000003</v>
      </c>
      <c r="L11652">
        <v>0.55000000000000004</v>
      </c>
      <c r="M11652">
        <v>1.07</v>
      </c>
      <c r="N11652">
        <v>0.77</v>
      </c>
    </row>
    <row r="11653" spans="1:14" x14ac:dyDescent="0.25">
      <c r="A11653" t="s">
        <v>20124</v>
      </c>
      <c r="B11653" t="s">
        <v>20125</v>
      </c>
      <c r="C11653" s="1" t="str">
        <f>HYPERLINK("http://www.genecards.org/cgi-bin/carddisp.pl?gene=CCDC28A","GeneCards")</f>
        <v>GeneCards</v>
      </c>
      <c r="D11653" s="1" t="str">
        <f>HYPERLINK("http://genome-euro.ucsc.edu/cgi-bin/hgTracks?position=209479_at","UCSC")</f>
        <v>UCSC</v>
      </c>
      <c r="E11653" s="1" t="str">
        <f>HYPERLINK("http://www.ncbi.nlm.nih.gov/gene/?term=CCDC28A","NCBI")</f>
        <v>NCBI</v>
      </c>
      <c r="F11653">
        <v>0.31</v>
      </c>
      <c r="G11653">
        <v>0.45</v>
      </c>
      <c r="H11653" s="1" t="str">
        <f>HYPERLINK("http://www.weizmann.ac.il/complex/compphys/software/geview/data/figures/209479_at.png","Figure")</f>
        <v>Figure</v>
      </c>
      <c r="I11653">
        <v>1.1200000000000001</v>
      </c>
      <c r="J11653">
        <v>0.56999999999999995</v>
      </c>
      <c r="K11653">
        <v>1.1599999999999999</v>
      </c>
      <c r="L11653">
        <v>0.28999999999999998</v>
      </c>
      <c r="M11653">
        <v>1.04</v>
      </c>
      <c r="N11653">
        <v>0.93</v>
      </c>
    </row>
    <row r="11654" spans="1:14" x14ac:dyDescent="0.25">
      <c r="A11654" t="s">
        <v>20126</v>
      </c>
      <c r="B11654" t="s">
        <v>8540</v>
      </c>
      <c r="C11654" s="1" t="str">
        <f>HYPERLINK("http://www.genecards.org/cgi-bin/carddisp.pl?gene=SPDEF","GeneCards")</f>
        <v>GeneCards</v>
      </c>
      <c r="D11654" s="1" t="str">
        <f>HYPERLINK("http://genome-euro.ucsc.edu/cgi-bin/hgTracks?position=214404_x_at","UCSC")</f>
        <v>UCSC</v>
      </c>
      <c r="E11654" s="1" t="str">
        <f>HYPERLINK("http://www.ncbi.nlm.nih.gov/gene/?term=SPDEF","NCBI")</f>
        <v>NCBI</v>
      </c>
      <c r="F11654">
        <v>0.31</v>
      </c>
      <c r="G11654">
        <v>0.45</v>
      </c>
      <c r="H11654" s="1" t="str">
        <f>HYPERLINK("http://www.weizmann.ac.il/complex/compphys/software/geview/data/figures/214404_x_at.png","Figure")</f>
        <v>Figure</v>
      </c>
      <c r="I11654">
        <v>1.1399999999999999</v>
      </c>
      <c r="J11654">
        <v>0.28999999999999998</v>
      </c>
      <c r="K11654">
        <v>1.08</v>
      </c>
      <c r="L11654">
        <v>0.59</v>
      </c>
      <c r="M11654">
        <v>0.94199999999999995</v>
      </c>
      <c r="N11654">
        <v>0.73</v>
      </c>
    </row>
    <row r="11655" spans="1:14" x14ac:dyDescent="0.25">
      <c r="A11655" t="s">
        <v>20127</v>
      </c>
      <c r="B11655" t="s">
        <v>9745</v>
      </c>
      <c r="C11655" s="1" t="str">
        <f>HYPERLINK("http://www.genecards.org/cgi-bin/carddisp.pl?gene=MR1","GeneCards")</f>
        <v>GeneCards</v>
      </c>
      <c r="D11655" s="1" t="str">
        <f>HYPERLINK("http://genome-euro.ucsc.edu/cgi-bin/hgTracks?position=210224_at","UCSC")</f>
        <v>UCSC</v>
      </c>
      <c r="E11655" s="1" t="str">
        <f>HYPERLINK("http://www.ncbi.nlm.nih.gov/gene/?term=MR1","NCBI")</f>
        <v>NCBI</v>
      </c>
      <c r="F11655">
        <v>0.31</v>
      </c>
      <c r="G11655">
        <v>0.45</v>
      </c>
      <c r="H11655" s="1" t="str">
        <f>HYPERLINK("http://www.weizmann.ac.il/complex/compphys/software/geview/data/figures/210224_at.png","Figure")</f>
        <v>Figure</v>
      </c>
      <c r="I11655">
        <v>1.08</v>
      </c>
      <c r="J11655">
        <v>0.51</v>
      </c>
      <c r="K11655">
        <v>0.97599999999999998</v>
      </c>
      <c r="L11655">
        <v>0.91</v>
      </c>
      <c r="M11655">
        <v>0.90400000000000003</v>
      </c>
      <c r="N11655">
        <v>0.28999999999999998</v>
      </c>
    </row>
    <row r="11656" spans="1:14" x14ac:dyDescent="0.25">
      <c r="A11656" t="s">
        <v>20128</v>
      </c>
      <c r="B11656" t="s">
        <v>10396</v>
      </c>
      <c r="C11656" s="1" t="str">
        <f>HYPERLINK("http://www.genecards.org/cgi-bin/carddisp.pl?gene=OBSL1","GeneCards")</f>
        <v>GeneCards</v>
      </c>
      <c r="D11656" s="1" t="str">
        <f>HYPERLINK("http://genome-euro.ucsc.edu/cgi-bin/hgTracks?position=214928_at","UCSC")</f>
        <v>UCSC</v>
      </c>
      <c r="E11656" s="1" t="str">
        <f>HYPERLINK("http://www.ncbi.nlm.nih.gov/gene/?term=OBSL1","NCBI")</f>
        <v>NCBI</v>
      </c>
      <c r="F11656">
        <v>0.31</v>
      </c>
      <c r="G11656">
        <v>0.45</v>
      </c>
      <c r="H11656" s="1" t="str">
        <f>HYPERLINK("http://www.weizmann.ac.il/complex/compphys/software/geview/data/figures/214928_at.png","Figure")</f>
        <v>Figure</v>
      </c>
      <c r="I11656">
        <v>1.1499999999999999</v>
      </c>
      <c r="J11656">
        <v>0.4</v>
      </c>
      <c r="K11656">
        <v>0.99299999999999999</v>
      </c>
      <c r="L11656">
        <v>1</v>
      </c>
      <c r="M11656">
        <v>0.86199999999999999</v>
      </c>
      <c r="N11656">
        <v>0.32</v>
      </c>
    </row>
    <row r="11657" spans="1:14" x14ac:dyDescent="0.25">
      <c r="A11657" t="s">
        <v>20129</v>
      </c>
      <c r="B11657" t="s">
        <v>5760</v>
      </c>
      <c r="C11657" s="1" t="str">
        <f>HYPERLINK("http://www.genecards.org/cgi-bin/carddisp.pl?gene=LILRB1","GeneCards")</f>
        <v>GeneCards</v>
      </c>
      <c r="D11657" s="1" t="str">
        <f>HYPERLINK("http://genome-euro.ucsc.edu/cgi-bin/hgTracks?position=207104_x_at","UCSC")</f>
        <v>UCSC</v>
      </c>
      <c r="E11657" s="1" t="str">
        <f>HYPERLINK("http://www.ncbi.nlm.nih.gov/gene/?term=LILRB1","NCBI")</f>
        <v>NCBI</v>
      </c>
      <c r="F11657">
        <v>0.31</v>
      </c>
      <c r="G11657">
        <v>0.45</v>
      </c>
      <c r="H11657" s="1" t="str">
        <f>HYPERLINK("http://www.weizmann.ac.il/complex/compphys/software/geview/data/figures/207104_x_at.png","Figure")</f>
        <v>Figure</v>
      </c>
      <c r="I11657">
        <v>1.04</v>
      </c>
      <c r="J11657">
        <v>0.93</v>
      </c>
      <c r="K11657">
        <v>1.1599999999999999</v>
      </c>
      <c r="L11657">
        <v>0.31</v>
      </c>
      <c r="M11657">
        <v>1.1100000000000001</v>
      </c>
      <c r="N11657">
        <v>0.56999999999999995</v>
      </c>
    </row>
    <row r="11658" spans="1:14" x14ac:dyDescent="0.25">
      <c r="A11658" t="s">
        <v>20130</v>
      </c>
      <c r="B11658" t="s">
        <v>18338</v>
      </c>
      <c r="C11658" s="1" t="str">
        <f>HYPERLINK("http://www.genecards.org/cgi-bin/carddisp.pl?gene=MECOM","GeneCards")</f>
        <v>GeneCards</v>
      </c>
      <c r="D11658" s="1" t="str">
        <f>HYPERLINK("http://genome-euro.ucsc.edu/cgi-bin/hgTracks?position=208434_at","UCSC")</f>
        <v>UCSC</v>
      </c>
      <c r="E11658" s="1" t="str">
        <f>HYPERLINK("http://www.ncbi.nlm.nih.gov/gene/?term=MECOM","NCBI")</f>
        <v>NCBI</v>
      </c>
      <c r="F11658">
        <v>0.31</v>
      </c>
      <c r="G11658">
        <v>0.45</v>
      </c>
      <c r="H11658" s="1" t="str">
        <f>HYPERLINK("http://www.weizmann.ac.il/complex/compphys/software/geview/data/figures/208434_at.png","Figure")</f>
        <v>Figure</v>
      </c>
      <c r="I11658">
        <v>0.89200000000000002</v>
      </c>
      <c r="J11658">
        <v>0.38</v>
      </c>
      <c r="K11658">
        <v>1</v>
      </c>
      <c r="L11658">
        <v>1</v>
      </c>
      <c r="M11658">
        <v>1.1200000000000001</v>
      </c>
      <c r="N11658">
        <v>0.33</v>
      </c>
    </row>
    <row r="11659" spans="1:14" x14ac:dyDescent="0.25">
      <c r="A11659" t="s">
        <v>20131</v>
      </c>
      <c r="B11659" t="s">
        <v>20132</v>
      </c>
      <c r="C11659" s="1" t="str">
        <f>HYPERLINK("http://www.genecards.org/cgi-bin/carddisp.pl?gene=MRPL19","GeneCards")</f>
        <v>GeneCards</v>
      </c>
      <c r="D11659" s="1" t="str">
        <f>HYPERLINK("http://genome-euro.ucsc.edu/cgi-bin/hgTracks?position=203465_at","UCSC")</f>
        <v>UCSC</v>
      </c>
      <c r="E11659" s="1" t="str">
        <f>HYPERLINK("http://www.ncbi.nlm.nih.gov/gene/?term=MRPL19","NCBI")</f>
        <v>NCBI</v>
      </c>
      <c r="F11659">
        <v>0.31</v>
      </c>
      <c r="G11659">
        <v>0.45</v>
      </c>
      <c r="H11659" s="1" t="str">
        <f>HYPERLINK("http://www.weizmann.ac.il/complex/compphys/software/geview/data/figures/203465_at.png","Figure")</f>
        <v>Figure</v>
      </c>
      <c r="I11659">
        <v>0.872</v>
      </c>
      <c r="J11659">
        <v>0.51</v>
      </c>
      <c r="K11659">
        <v>1.04</v>
      </c>
      <c r="L11659">
        <v>0.91</v>
      </c>
      <c r="M11659">
        <v>1.2</v>
      </c>
      <c r="N11659">
        <v>0.28999999999999998</v>
      </c>
    </row>
    <row r="11660" spans="1:14" x14ac:dyDescent="0.25">
      <c r="A11660" t="s">
        <v>20133</v>
      </c>
      <c r="B11660" t="s">
        <v>20134</v>
      </c>
      <c r="C11660" s="1" t="str">
        <f>HYPERLINK("http://www.genecards.org/cgi-bin/carddisp.pl?gene=NR5A1","GeneCards")</f>
        <v>GeneCards</v>
      </c>
      <c r="D11660" s="1" t="str">
        <f>HYPERLINK("http://genome-euro.ucsc.edu/cgi-bin/hgTracks?position=210333_at","UCSC")</f>
        <v>UCSC</v>
      </c>
      <c r="E11660" s="1" t="str">
        <f>HYPERLINK("http://www.ncbi.nlm.nih.gov/gene/?term=NR5A1","NCBI")</f>
        <v>NCBI</v>
      </c>
      <c r="F11660">
        <v>0.31</v>
      </c>
      <c r="G11660">
        <v>0.45</v>
      </c>
      <c r="H11660" s="1" t="str">
        <f>HYPERLINK("http://www.weizmann.ac.il/complex/compphys/software/geview/data/figures/210333_at.png","Figure")</f>
        <v>Figure</v>
      </c>
      <c r="I11660">
        <v>1.21</v>
      </c>
      <c r="J11660">
        <v>0.28999999999999998</v>
      </c>
      <c r="K11660">
        <v>1.06</v>
      </c>
      <c r="L11660">
        <v>0.84</v>
      </c>
      <c r="M11660">
        <v>0.876</v>
      </c>
      <c r="N11660">
        <v>0.5</v>
      </c>
    </row>
    <row r="11661" spans="1:14" x14ac:dyDescent="0.25">
      <c r="A11661" t="s">
        <v>20135</v>
      </c>
      <c r="B11661" t="s">
        <v>2075</v>
      </c>
      <c r="C11661" s="1" t="str">
        <f>HYPERLINK("http://www.genecards.org/cgi-bin/carddisp.pl?gene=GTF2H1","GeneCards")</f>
        <v>GeneCards</v>
      </c>
      <c r="D11661" s="1" t="str">
        <f>HYPERLINK("http://genome-euro.ucsc.edu/cgi-bin/hgTracks?position=202453_s_at","UCSC")</f>
        <v>UCSC</v>
      </c>
      <c r="E11661" s="1" t="str">
        <f>HYPERLINK("http://www.ncbi.nlm.nih.gov/gene/?term=GTF2H1","NCBI")</f>
        <v>NCBI</v>
      </c>
      <c r="F11661">
        <v>0.31</v>
      </c>
      <c r="G11661">
        <v>0.45</v>
      </c>
      <c r="H11661" s="1" t="str">
        <f>HYPERLINK("http://www.weizmann.ac.il/complex/compphys/software/geview/data/figures/202453_s_at.png","Figure")</f>
        <v>Figure</v>
      </c>
      <c r="I11661">
        <v>0.93600000000000005</v>
      </c>
      <c r="J11661">
        <v>0.87</v>
      </c>
      <c r="K11661">
        <v>1.1299999999999999</v>
      </c>
      <c r="L11661">
        <v>0.56000000000000005</v>
      </c>
      <c r="M11661">
        <v>1.21</v>
      </c>
      <c r="N11661">
        <v>0.31</v>
      </c>
    </row>
    <row r="11662" spans="1:14" x14ac:dyDescent="0.25">
      <c r="A11662" t="s">
        <v>20136</v>
      </c>
      <c r="B11662" t="s">
        <v>20137</v>
      </c>
      <c r="C11662" s="1" t="str">
        <f>HYPERLINK("http://www.genecards.org/cgi-bin/carddisp.pl?gene=RREB1","GeneCards")</f>
        <v>GeneCards</v>
      </c>
      <c r="D11662" s="1" t="str">
        <f>HYPERLINK("http://genome-euro.ucsc.edu/cgi-bin/hgTracks?position=203704_s_at","UCSC")</f>
        <v>UCSC</v>
      </c>
      <c r="E11662" s="1" t="str">
        <f>HYPERLINK("http://www.ncbi.nlm.nih.gov/gene/?term=RREB1","NCBI")</f>
        <v>NCBI</v>
      </c>
      <c r="F11662">
        <v>0.31</v>
      </c>
      <c r="G11662">
        <v>0.45</v>
      </c>
      <c r="H11662" s="1" t="str">
        <f>HYPERLINK("http://www.weizmann.ac.il/complex/compphys/software/geview/data/figures/203704_s_at.png","Figure")</f>
        <v>Figure</v>
      </c>
      <c r="I11662">
        <v>0.78100000000000003</v>
      </c>
      <c r="J11662">
        <v>0.41</v>
      </c>
      <c r="K11662">
        <v>1.02</v>
      </c>
      <c r="L11662">
        <v>0.99</v>
      </c>
      <c r="M11662">
        <v>1.3</v>
      </c>
      <c r="N11662">
        <v>0.32</v>
      </c>
    </row>
    <row r="11663" spans="1:14" x14ac:dyDescent="0.25">
      <c r="A11663" t="s">
        <v>20138</v>
      </c>
      <c r="B11663" t="s">
        <v>1501</v>
      </c>
      <c r="C11663" s="1" t="str">
        <f>HYPERLINK("http://www.genecards.org/cgi-bin/carddisp.pl?gene=FUBP1","GeneCards")</f>
        <v>GeneCards</v>
      </c>
      <c r="D11663" s="1" t="str">
        <f>HYPERLINK("http://genome-euro.ucsc.edu/cgi-bin/hgTracks?position=214094_at","UCSC")</f>
        <v>UCSC</v>
      </c>
      <c r="E11663" s="1" t="str">
        <f>HYPERLINK("http://www.ncbi.nlm.nih.gov/gene/?term=FUBP1","NCBI")</f>
        <v>NCBI</v>
      </c>
      <c r="F11663">
        <v>0.31</v>
      </c>
      <c r="G11663">
        <v>0.45</v>
      </c>
      <c r="H11663" s="1" t="str">
        <f>HYPERLINK("http://www.weizmann.ac.il/complex/compphys/software/geview/data/figures/214094_at.png","Figure")</f>
        <v>Figure</v>
      </c>
      <c r="I11663">
        <v>1.06</v>
      </c>
      <c r="J11663">
        <v>0.6</v>
      </c>
      <c r="K11663">
        <v>0.97</v>
      </c>
      <c r="L11663">
        <v>0.83</v>
      </c>
      <c r="M11663">
        <v>0.91400000000000003</v>
      </c>
      <c r="N11663">
        <v>0.28000000000000003</v>
      </c>
    </row>
    <row r="11664" spans="1:14" x14ac:dyDescent="0.25">
      <c r="A11664" t="s">
        <v>20139</v>
      </c>
      <c r="B11664" t="s">
        <v>20140</v>
      </c>
      <c r="C11664" s="1" t="str">
        <f>HYPERLINK("http://www.genecards.org/cgi-bin/carddisp.pl?gene=TNS3","GeneCards")</f>
        <v>GeneCards</v>
      </c>
      <c r="D11664" s="1" t="str">
        <f>HYPERLINK("http://genome-euro.ucsc.edu/cgi-bin/hgTracks?position=217853_at","UCSC")</f>
        <v>UCSC</v>
      </c>
      <c r="E11664" s="1" t="str">
        <f>HYPERLINK("http://www.ncbi.nlm.nih.gov/gene/?term=TNS3","NCBI")</f>
        <v>NCBI</v>
      </c>
      <c r="F11664">
        <v>0.31</v>
      </c>
      <c r="G11664">
        <v>0.45</v>
      </c>
      <c r="H11664" s="1" t="str">
        <f>HYPERLINK("http://www.weizmann.ac.il/complex/compphys/software/geview/data/figures/217853_at.png","Figure")</f>
        <v>Figure</v>
      </c>
      <c r="I11664">
        <v>0.70099999999999996</v>
      </c>
      <c r="J11664">
        <v>0.56000000000000005</v>
      </c>
      <c r="K11664">
        <v>0.626</v>
      </c>
      <c r="L11664">
        <v>0.28999999999999998</v>
      </c>
      <c r="M11664">
        <v>0.89300000000000002</v>
      </c>
      <c r="N11664">
        <v>0.93</v>
      </c>
    </row>
    <row r="11665" spans="1:14" x14ac:dyDescent="0.25">
      <c r="A11665" t="s">
        <v>20141</v>
      </c>
      <c r="B11665" t="s">
        <v>20142</v>
      </c>
      <c r="C11665" s="1" t="str">
        <f>HYPERLINK("http://www.genecards.org/cgi-bin/carddisp.pl?gene=DOK5","GeneCards")</f>
        <v>GeneCards</v>
      </c>
      <c r="D11665" s="1" t="str">
        <f>HYPERLINK("http://genome-euro.ucsc.edu/cgi-bin/hgTracks?position=214844_s_at","UCSC")</f>
        <v>UCSC</v>
      </c>
      <c r="E11665" s="1" t="str">
        <f>HYPERLINK("http://www.ncbi.nlm.nih.gov/gene/?term=DOK5","NCBI")</f>
        <v>NCBI</v>
      </c>
      <c r="F11665">
        <v>0.31</v>
      </c>
      <c r="G11665">
        <v>0.45</v>
      </c>
      <c r="H11665" s="1" t="str">
        <f>HYPERLINK("http://www.weizmann.ac.il/complex/compphys/software/geview/data/figures/214844_s_at.png","Figure")</f>
        <v>Figure</v>
      </c>
      <c r="I11665">
        <v>1.07</v>
      </c>
      <c r="J11665">
        <v>0.69</v>
      </c>
      <c r="K11665">
        <v>0.94499999999999995</v>
      </c>
      <c r="L11665">
        <v>0.74</v>
      </c>
      <c r="M11665">
        <v>0.88</v>
      </c>
      <c r="N11665">
        <v>0.28000000000000003</v>
      </c>
    </row>
    <row r="11666" spans="1:14" x14ac:dyDescent="0.25">
      <c r="A11666" t="s">
        <v>20143</v>
      </c>
      <c r="B11666" t="s">
        <v>10886</v>
      </c>
      <c r="C11666" s="1" t="str">
        <f>HYPERLINK("http://www.genecards.org/cgi-bin/carddisp.pl?gene=BAT2D1","GeneCards")</f>
        <v>GeneCards</v>
      </c>
      <c r="D11666" s="1" t="str">
        <f>HYPERLINK("http://genome-euro.ucsc.edu/cgi-bin/hgTracks?position=211946_s_at","UCSC")</f>
        <v>UCSC</v>
      </c>
      <c r="E11666" s="1" t="str">
        <f>HYPERLINK("http://www.ncbi.nlm.nih.gov/gene/?term=BAT2D1","NCBI")</f>
        <v>NCBI</v>
      </c>
      <c r="F11666">
        <v>0.31</v>
      </c>
      <c r="G11666">
        <v>0.45</v>
      </c>
      <c r="H11666" s="1" t="str">
        <f>HYPERLINK("http://www.weizmann.ac.il/complex/compphys/software/geview/data/figures/211946_s_at.png","Figure")</f>
        <v>Figure</v>
      </c>
      <c r="I11666">
        <v>1.25</v>
      </c>
      <c r="J11666">
        <v>0.38</v>
      </c>
      <c r="K11666">
        <v>1</v>
      </c>
      <c r="L11666">
        <v>1</v>
      </c>
      <c r="M11666">
        <v>0.80200000000000005</v>
      </c>
      <c r="N11666">
        <v>0.33</v>
      </c>
    </row>
    <row r="11667" spans="1:14" x14ac:dyDescent="0.25">
      <c r="A11667" t="s">
        <v>20144</v>
      </c>
      <c r="B11667" t="s">
        <v>20145</v>
      </c>
      <c r="C11667" s="1" t="str">
        <f>HYPERLINK("http://www.genecards.org/cgi-bin/carddisp.pl?gene=GGCX","GeneCards")</f>
        <v>GeneCards</v>
      </c>
      <c r="D11667" s="1" t="str">
        <f>HYPERLINK("http://genome-euro.ucsc.edu/cgi-bin/hgTracks?position=214006_s_at","UCSC")</f>
        <v>UCSC</v>
      </c>
      <c r="E11667" s="1" t="str">
        <f>HYPERLINK("http://www.ncbi.nlm.nih.gov/gene/?term=GGCX","NCBI")</f>
        <v>NCBI</v>
      </c>
      <c r="F11667">
        <v>0.31</v>
      </c>
      <c r="G11667">
        <v>0.45</v>
      </c>
      <c r="H11667" s="1" t="str">
        <f>HYPERLINK("http://www.weizmann.ac.il/complex/compphys/software/geview/data/figures/214006_s_at.png","Figure")</f>
        <v>Figure</v>
      </c>
      <c r="I11667">
        <v>1.1599999999999999</v>
      </c>
      <c r="J11667">
        <v>0.28999999999999998</v>
      </c>
      <c r="K11667">
        <v>1.1000000000000001</v>
      </c>
      <c r="L11667">
        <v>0.53</v>
      </c>
      <c r="M11667">
        <v>0.94299999999999995</v>
      </c>
      <c r="N11667">
        <v>0.79</v>
      </c>
    </row>
    <row r="11668" spans="1:14" x14ac:dyDescent="0.25">
      <c r="A11668" t="s">
        <v>20146</v>
      </c>
      <c r="B11668" t="s">
        <v>11614</v>
      </c>
      <c r="C11668" s="1" t="str">
        <f>HYPERLINK("http://www.genecards.org/cgi-bin/carddisp.pl?gene=SCARB2","GeneCards")</f>
        <v>GeneCards</v>
      </c>
      <c r="D11668" s="1" t="str">
        <f>HYPERLINK("http://genome-euro.ucsc.edu/cgi-bin/hgTracks?position=215754_at","UCSC")</f>
        <v>UCSC</v>
      </c>
      <c r="E11668" s="1" t="str">
        <f>HYPERLINK("http://www.ncbi.nlm.nih.gov/gene/?term=SCARB2","NCBI")</f>
        <v>NCBI</v>
      </c>
      <c r="F11668">
        <v>0.31</v>
      </c>
      <c r="G11668">
        <v>0.45</v>
      </c>
      <c r="H11668" s="1" t="str">
        <f>HYPERLINK("http://www.weizmann.ac.il/complex/compphys/software/geview/data/figures/215754_at.png","Figure")</f>
        <v>Figure</v>
      </c>
      <c r="I11668">
        <v>1.04</v>
      </c>
      <c r="J11668">
        <v>0.99</v>
      </c>
      <c r="K11668">
        <v>0.749</v>
      </c>
      <c r="L11668">
        <v>0.42</v>
      </c>
      <c r="M11668">
        <v>0.72299999999999998</v>
      </c>
      <c r="N11668">
        <v>0.39</v>
      </c>
    </row>
    <row r="11669" spans="1:14" x14ac:dyDescent="0.25">
      <c r="A11669" t="s">
        <v>20147</v>
      </c>
      <c r="B11669" t="s">
        <v>10957</v>
      </c>
      <c r="C11669" s="1" t="str">
        <f>HYPERLINK("http://www.genecards.org/cgi-bin/carddisp.pl?gene=RPL31","GeneCards")</f>
        <v>GeneCards</v>
      </c>
      <c r="D11669" s="1" t="str">
        <f>HYPERLINK("http://genome-euro.ucsc.edu/cgi-bin/hgTracks?position=200963_x_at","UCSC")</f>
        <v>UCSC</v>
      </c>
      <c r="E11669" s="1" t="str">
        <f>HYPERLINK("http://www.ncbi.nlm.nih.gov/gene/?term=RPL31","NCBI")</f>
        <v>NCBI</v>
      </c>
      <c r="F11669">
        <v>0.31</v>
      </c>
      <c r="G11669">
        <v>0.45</v>
      </c>
      <c r="H11669" s="1" t="str">
        <f>HYPERLINK("http://www.weizmann.ac.il/complex/compphys/software/geview/data/figures/200963_x_at.png","Figure")</f>
        <v>Figure</v>
      </c>
      <c r="I11669">
        <v>0.97299999999999998</v>
      </c>
      <c r="J11669">
        <v>0.97</v>
      </c>
      <c r="K11669">
        <v>1.1499999999999999</v>
      </c>
      <c r="L11669">
        <v>0.44</v>
      </c>
      <c r="M11669">
        <v>1.18</v>
      </c>
      <c r="N11669">
        <v>0.37</v>
      </c>
    </row>
    <row r="11670" spans="1:14" x14ac:dyDescent="0.25">
      <c r="A11670" t="s">
        <v>20148</v>
      </c>
      <c r="B11670" t="s">
        <v>12921</v>
      </c>
      <c r="C11670" s="1" t="str">
        <f>HYPERLINK("http://www.genecards.org/cgi-bin/carddisp.pl?gene=VCAN","GeneCards")</f>
        <v>GeneCards</v>
      </c>
      <c r="D11670" s="1" t="str">
        <f>HYPERLINK("http://genome-euro.ucsc.edu/cgi-bin/hgTracks?position=221731_x_at","UCSC")</f>
        <v>UCSC</v>
      </c>
      <c r="E11670" s="1" t="str">
        <f>HYPERLINK("http://www.ncbi.nlm.nih.gov/gene/?term=VCAN","NCBI")</f>
        <v>NCBI</v>
      </c>
      <c r="F11670">
        <v>0.31</v>
      </c>
      <c r="G11670">
        <v>0.45</v>
      </c>
      <c r="H11670" s="1" t="str">
        <f>HYPERLINK("http://www.weizmann.ac.il/complex/compphys/software/geview/data/figures/221731_x_at.png","Figure")</f>
        <v>Figure</v>
      </c>
      <c r="I11670">
        <v>1.28</v>
      </c>
      <c r="J11670">
        <v>0.28999999999999998</v>
      </c>
      <c r="K11670">
        <v>1.07</v>
      </c>
      <c r="L11670">
        <v>0.86</v>
      </c>
      <c r="M11670">
        <v>0.84</v>
      </c>
      <c r="N11670">
        <v>0.48</v>
      </c>
    </row>
    <row r="11671" spans="1:14" x14ac:dyDescent="0.25">
      <c r="A11671" t="s">
        <v>20149</v>
      </c>
      <c r="B11671" t="s">
        <v>20150</v>
      </c>
      <c r="C11671" s="1" t="str">
        <f>HYPERLINK("http://www.genecards.org/cgi-bin/carddisp.pl?gene=ZDHHC6","GeneCards")</f>
        <v>GeneCards</v>
      </c>
      <c r="D11671" s="1" t="str">
        <f>HYPERLINK("http://genome-euro.ucsc.edu/cgi-bin/hgTracks?position=218249_at","UCSC")</f>
        <v>UCSC</v>
      </c>
      <c r="E11671" s="1" t="str">
        <f>HYPERLINK("http://www.ncbi.nlm.nih.gov/gene/?term=ZDHHC6","NCBI")</f>
        <v>NCBI</v>
      </c>
      <c r="F11671">
        <v>0.31</v>
      </c>
      <c r="G11671">
        <v>0.45</v>
      </c>
      <c r="H11671" s="1" t="str">
        <f>HYPERLINK("http://www.weizmann.ac.il/complex/compphys/software/geview/data/figures/218249_at.png","Figure")</f>
        <v>Figure</v>
      </c>
      <c r="I11671">
        <v>0.81399999999999995</v>
      </c>
      <c r="J11671">
        <v>0.42</v>
      </c>
      <c r="K11671">
        <v>0.81699999999999995</v>
      </c>
      <c r="L11671">
        <v>0.34</v>
      </c>
      <c r="M11671">
        <v>1</v>
      </c>
      <c r="N11671">
        <v>1</v>
      </c>
    </row>
    <row r="11672" spans="1:14" x14ac:dyDescent="0.25">
      <c r="A11672" t="s">
        <v>20151</v>
      </c>
      <c r="B11672" t="s">
        <v>20152</v>
      </c>
      <c r="C11672" s="1" t="str">
        <f>HYPERLINK("http://www.genecards.org/cgi-bin/carddisp.pl?gene=TFDP3","GeneCards")</f>
        <v>GeneCards</v>
      </c>
      <c r="D11672" s="1" t="str">
        <f>HYPERLINK("http://genome-euro.ucsc.edu/cgi-bin/hgTracks?position=207385_at","UCSC")</f>
        <v>UCSC</v>
      </c>
      <c r="E11672" s="1" t="str">
        <f>HYPERLINK("http://www.ncbi.nlm.nih.gov/gene/?term=TFDP3","NCBI")</f>
        <v>NCBI</v>
      </c>
      <c r="F11672">
        <v>0.31</v>
      </c>
      <c r="G11672">
        <v>0.45</v>
      </c>
      <c r="H11672" s="1" t="str">
        <f>HYPERLINK("http://www.weizmann.ac.il/complex/compphys/software/geview/data/figures/207385_at.png","Figure")</f>
        <v>Figure</v>
      </c>
      <c r="I11672">
        <v>0.98699999999999999</v>
      </c>
      <c r="J11672">
        <v>0.98</v>
      </c>
      <c r="K11672">
        <v>0.92500000000000004</v>
      </c>
      <c r="L11672">
        <v>0.33</v>
      </c>
      <c r="M11672">
        <v>0.93700000000000006</v>
      </c>
      <c r="N11672">
        <v>0.5</v>
      </c>
    </row>
    <row r="11673" spans="1:14" x14ac:dyDescent="0.25">
      <c r="A11673" t="s">
        <v>20153</v>
      </c>
      <c r="B11673" t="s">
        <v>11650</v>
      </c>
      <c r="C11673" s="1" t="str">
        <f>HYPERLINK("http://www.genecards.org/cgi-bin/carddisp.pl?gene=HNRNPA3","GeneCards")</f>
        <v>GeneCards</v>
      </c>
      <c r="D11673" s="1" t="str">
        <f>HYPERLINK("http://genome-euro.ucsc.edu/cgi-bin/hgTracks?position=211929_at","UCSC")</f>
        <v>UCSC</v>
      </c>
      <c r="E11673" s="1" t="str">
        <f>HYPERLINK("http://www.ncbi.nlm.nih.gov/gene/?term=HNRNPA3","NCBI")</f>
        <v>NCBI</v>
      </c>
      <c r="F11673">
        <v>0.31</v>
      </c>
      <c r="G11673">
        <v>0.45</v>
      </c>
      <c r="H11673" s="1" t="str">
        <f>HYPERLINK("http://www.weizmann.ac.il/complex/compphys/software/geview/data/figures/211929_at.png","Figure")</f>
        <v>Figure</v>
      </c>
      <c r="I11673">
        <v>0.80300000000000005</v>
      </c>
      <c r="J11673">
        <v>0.55000000000000004</v>
      </c>
      <c r="K11673">
        <v>0.753</v>
      </c>
      <c r="L11673">
        <v>0.28999999999999998</v>
      </c>
      <c r="M11673">
        <v>0.93799999999999994</v>
      </c>
      <c r="N11673">
        <v>0.94</v>
      </c>
    </row>
    <row r="11674" spans="1:14" x14ac:dyDescent="0.25">
      <c r="A11674" t="s">
        <v>20154</v>
      </c>
      <c r="B11674" t="s">
        <v>18011</v>
      </c>
      <c r="C11674" s="1" t="str">
        <f>HYPERLINK("http://www.genecards.org/cgi-bin/carddisp.pl?gene=CDC25C","GeneCards")</f>
        <v>GeneCards</v>
      </c>
      <c r="D11674" s="1" t="str">
        <f>HYPERLINK("http://genome-euro.ucsc.edu/cgi-bin/hgTracks?position=216914_at","UCSC")</f>
        <v>UCSC</v>
      </c>
      <c r="E11674" s="1" t="str">
        <f>HYPERLINK("http://www.ncbi.nlm.nih.gov/gene/?term=CDC25C","NCBI")</f>
        <v>NCBI</v>
      </c>
      <c r="F11674">
        <v>0.31</v>
      </c>
      <c r="G11674">
        <v>0.45</v>
      </c>
      <c r="H11674" s="1" t="str">
        <f>HYPERLINK("http://www.weizmann.ac.il/complex/compphys/software/geview/data/figures/216914_at.png","Figure")</f>
        <v>Figure</v>
      </c>
      <c r="I11674">
        <v>1.1200000000000001</v>
      </c>
      <c r="J11674">
        <v>0.33</v>
      </c>
      <c r="K11674">
        <v>1.01</v>
      </c>
      <c r="L11674">
        <v>0.97</v>
      </c>
      <c r="M11674">
        <v>0.90700000000000003</v>
      </c>
      <c r="N11674">
        <v>0.38</v>
      </c>
    </row>
    <row r="11675" spans="1:14" x14ac:dyDescent="0.25">
      <c r="A11675" t="s">
        <v>20155</v>
      </c>
      <c r="B11675" t="s">
        <v>20156</v>
      </c>
      <c r="C11675" s="1" t="str">
        <f>HYPERLINK("http://www.genecards.org/cgi-bin/carddisp.pl?gene=RBM4B","GeneCards")</f>
        <v>GeneCards</v>
      </c>
      <c r="D11675" s="1" t="str">
        <f>HYPERLINK("http://genome-euro.ucsc.edu/cgi-bin/hgTracks?position=209497_s_at","UCSC")</f>
        <v>UCSC</v>
      </c>
      <c r="E11675" s="1" t="str">
        <f>HYPERLINK("http://www.ncbi.nlm.nih.gov/gene/?term=RBM4B","NCBI")</f>
        <v>NCBI</v>
      </c>
      <c r="F11675">
        <v>0.31</v>
      </c>
      <c r="G11675">
        <v>0.45</v>
      </c>
      <c r="H11675" s="1" t="str">
        <f>HYPERLINK("http://www.weizmann.ac.il/complex/compphys/software/geview/data/figures/209497_s_at.png","Figure")</f>
        <v>Figure</v>
      </c>
      <c r="I11675">
        <v>1.03</v>
      </c>
      <c r="J11675">
        <v>0.93</v>
      </c>
      <c r="K11675">
        <v>1.1200000000000001</v>
      </c>
      <c r="L11675">
        <v>0.31</v>
      </c>
      <c r="M11675">
        <v>1.08</v>
      </c>
      <c r="N11675">
        <v>0.56999999999999995</v>
      </c>
    </row>
    <row r="11676" spans="1:14" x14ac:dyDescent="0.25">
      <c r="A11676" t="s">
        <v>20157</v>
      </c>
      <c r="B11676" t="s">
        <v>17880</v>
      </c>
      <c r="C11676" s="1" t="str">
        <f>HYPERLINK("http://www.genecards.org/cgi-bin/carddisp.pl?gene=EXOSC7","GeneCards")</f>
        <v>GeneCards</v>
      </c>
      <c r="D11676" s="1" t="str">
        <f>HYPERLINK("http://genome-euro.ucsc.edu/cgi-bin/hgTracks?position=212627_s_at","UCSC")</f>
        <v>UCSC</v>
      </c>
      <c r="E11676" s="1" t="str">
        <f>HYPERLINK("http://www.ncbi.nlm.nih.gov/gene/?term=EXOSC7","NCBI")</f>
        <v>NCBI</v>
      </c>
      <c r="F11676">
        <v>0.31</v>
      </c>
      <c r="G11676">
        <v>0.45</v>
      </c>
      <c r="H11676" s="1" t="str">
        <f>HYPERLINK("http://www.weizmann.ac.il/complex/compphys/software/geview/data/figures/212627_s_at.png","Figure")</f>
        <v>Figure</v>
      </c>
      <c r="I11676">
        <v>0.998</v>
      </c>
      <c r="J11676">
        <v>1</v>
      </c>
      <c r="K11676">
        <v>0.89700000000000002</v>
      </c>
      <c r="L11676">
        <v>0.37</v>
      </c>
      <c r="M11676">
        <v>0.89900000000000002</v>
      </c>
      <c r="N11676">
        <v>0.44</v>
      </c>
    </row>
    <row r="11677" spans="1:14" x14ac:dyDescent="0.25">
      <c r="A11677" t="s">
        <v>20158</v>
      </c>
      <c r="B11677" t="s">
        <v>20159</v>
      </c>
      <c r="C11677" s="1" t="str">
        <f>HYPERLINK("http://www.genecards.org/cgi-bin/carddisp.pl?gene=GSK3B","GeneCards")</f>
        <v>GeneCards</v>
      </c>
      <c r="D11677" s="1" t="str">
        <f>HYPERLINK("http://genome-euro.ucsc.edu/cgi-bin/hgTracks?position=209945_s_at","UCSC")</f>
        <v>UCSC</v>
      </c>
      <c r="E11677" s="1" t="str">
        <f>HYPERLINK("http://www.ncbi.nlm.nih.gov/gene/?term=GSK3B","NCBI")</f>
        <v>NCBI</v>
      </c>
      <c r="F11677">
        <v>0.31</v>
      </c>
      <c r="G11677">
        <v>0.45</v>
      </c>
      <c r="H11677" s="1" t="str">
        <f>HYPERLINK("http://www.weizmann.ac.il/complex/compphys/software/geview/data/figures/209945_s_at.png","Figure")</f>
        <v>Figure</v>
      </c>
      <c r="I11677">
        <v>0.77500000000000002</v>
      </c>
      <c r="J11677">
        <v>0.33</v>
      </c>
      <c r="K11677">
        <v>0.82599999999999996</v>
      </c>
      <c r="L11677">
        <v>0.43</v>
      </c>
      <c r="M11677">
        <v>1.07</v>
      </c>
      <c r="N11677">
        <v>0.92</v>
      </c>
    </row>
    <row r="11678" spans="1:14" x14ac:dyDescent="0.25">
      <c r="A11678" t="s">
        <v>20160</v>
      </c>
      <c r="B11678" t="s">
        <v>20161</v>
      </c>
      <c r="C11678" s="1" t="str">
        <f>HYPERLINK("http://www.genecards.org/cgi-bin/carddisp.pl?gene=ST3GAL6","GeneCards")</f>
        <v>GeneCards</v>
      </c>
      <c r="D11678" s="1" t="str">
        <f>HYPERLINK("http://genome-euro.ucsc.edu/cgi-bin/hgTracks?position=213355_at","UCSC")</f>
        <v>UCSC</v>
      </c>
      <c r="E11678" s="1" t="str">
        <f>HYPERLINK("http://www.ncbi.nlm.nih.gov/gene/?term=ST3GAL6","NCBI")</f>
        <v>NCBI</v>
      </c>
      <c r="F11678">
        <v>0.31</v>
      </c>
      <c r="G11678">
        <v>0.45</v>
      </c>
      <c r="H11678" s="1" t="str">
        <f>HYPERLINK("http://www.weizmann.ac.il/complex/compphys/software/geview/data/figures/213355_at.png","Figure")</f>
        <v>Figure</v>
      </c>
      <c r="I11678">
        <v>0.88</v>
      </c>
      <c r="J11678">
        <v>0.28000000000000003</v>
      </c>
      <c r="K11678">
        <v>0.95199999999999996</v>
      </c>
      <c r="L11678">
        <v>0.76</v>
      </c>
      <c r="M11678">
        <v>1.08</v>
      </c>
      <c r="N11678">
        <v>0.56000000000000005</v>
      </c>
    </row>
    <row r="11679" spans="1:14" x14ac:dyDescent="0.25">
      <c r="A11679" t="s">
        <v>20162</v>
      </c>
      <c r="B11679" t="s">
        <v>20163</v>
      </c>
      <c r="C11679" s="1" t="str">
        <f>HYPERLINK("http://www.genecards.org/cgi-bin/carddisp.pl?gene=CPZ","GeneCards")</f>
        <v>GeneCards</v>
      </c>
      <c r="D11679" s="1" t="str">
        <f>HYPERLINK("http://genome-euro.ucsc.edu/cgi-bin/hgTracks?position=211062_s_at","UCSC")</f>
        <v>UCSC</v>
      </c>
      <c r="E11679" s="1" t="str">
        <f>HYPERLINK("http://www.ncbi.nlm.nih.gov/gene/?term=CPZ","NCBI")</f>
        <v>NCBI</v>
      </c>
      <c r="F11679">
        <v>0.31</v>
      </c>
      <c r="G11679">
        <v>0.45</v>
      </c>
      <c r="H11679" s="1" t="str">
        <f>HYPERLINK("http://www.weizmann.ac.il/complex/compphys/software/geview/data/figures/211062_s_at.png","Figure")</f>
        <v>Figure</v>
      </c>
      <c r="I11679">
        <v>1.25</v>
      </c>
      <c r="J11679">
        <v>0.28999999999999998</v>
      </c>
      <c r="K11679">
        <v>1.1299999999999999</v>
      </c>
      <c r="L11679">
        <v>0.6</v>
      </c>
      <c r="M11679">
        <v>0.90300000000000002</v>
      </c>
      <c r="N11679">
        <v>0.72</v>
      </c>
    </row>
    <row r="11680" spans="1:14" x14ac:dyDescent="0.25">
      <c r="A11680" t="s">
        <v>20164</v>
      </c>
      <c r="B11680" t="s">
        <v>20165</v>
      </c>
      <c r="C11680" s="1" t="str">
        <f>HYPERLINK("http://www.genecards.org/cgi-bin/carddisp.pl?gene=SLC17A2","GeneCards")</f>
        <v>GeneCards</v>
      </c>
      <c r="D11680" s="1" t="str">
        <f>HYPERLINK("http://genome-euro.ucsc.edu/cgi-bin/hgTracks?position=207097_s_at","UCSC")</f>
        <v>UCSC</v>
      </c>
      <c r="E11680" s="1" t="str">
        <f>HYPERLINK("http://www.ncbi.nlm.nih.gov/gene/?term=SLC17A2","NCBI")</f>
        <v>NCBI</v>
      </c>
      <c r="F11680">
        <v>0.31</v>
      </c>
      <c r="G11680">
        <v>0.45</v>
      </c>
      <c r="H11680" s="1" t="str">
        <f>HYPERLINK("http://www.weizmann.ac.il/complex/compphys/software/geview/data/figures/207097_s_at.png","Figure")</f>
        <v>Figure</v>
      </c>
      <c r="I11680">
        <v>1.03</v>
      </c>
      <c r="J11680">
        <v>0.32</v>
      </c>
      <c r="K11680">
        <v>1.02</v>
      </c>
      <c r="L11680">
        <v>0.45</v>
      </c>
      <c r="M11680">
        <v>0.99199999999999999</v>
      </c>
      <c r="N11680">
        <v>0.9</v>
      </c>
    </row>
    <row r="11681" spans="1:14" x14ac:dyDescent="0.25">
      <c r="A11681" t="s">
        <v>20166</v>
      </c>
      <c r="B11681" t="s">
        <v>20167</v>
      </c>
      <c r="C11681" s="1" t="str">
        <f>HYPERLINK("http://www.genecards.org/cgi-bin/carddisp.pl?gene=TACR1","GeneCards")</f>
        <v>GeneCards</v>
      </c>
      <c r="D11681" s="1" t="str">
        <f>HYPERLINK("http://genome-euro.ucsc.edu/cgi-bin/hgTracks?position=210637_at","UCSC")</f>
        <v>UCSC</v>
      </c>
      <c r="E11681" s="1" t="str">
        <f>HYPERLINK("http://www.ncbi.nlm.nih.gov/gene/?term=TACR1","NCBI")</f>
        <v>NCBI</v>
      </c>
      <c r="F11681">
        <v>0.31</v>
      </c>
      <c r="G11681">
        <v>0.45</v>
      </c>
      <c r="H11681" s="1" t="str">
        <f>HYPERLINK("http://www.weizmann.ac.il/complex/compphys/software/geview/data/figures/210637_at.png","Figure")</f>
        <v>Figure</v>
      </c>
      <c r="I11681">
        <v>1.19</v>
      </c>
      <c r="J11681">
        <v>0.31</v>
      </c>
      <c r="K11681">
        <v>1.04</v>
      </c>
      <c r="L11681">
        <v>0.92</v>
      </c>
      <c r="M11681">
        <v>0.871</v>
      </c>
      <c r="N11681">
        <v>0.43</v>
      </c>
    </row>
    <row r="11682" spans="1:14" x14ac:dyDescent="0.25">
      <c r="A11682" t="s">
        <v>20168</v>
      </c>
      <c r="B11682" t="s">
        <v>5798</v>
      </c>
      <c r="C11682" s="1" t="str">
        <f>HYPERLINK("http://www.genecards.org/cgi-bin/carddisp.pl?gene=UMPS","GeneCards")</f>
        <v>GeneCards</v>
      </c>
      <c r="D11682" s="1" t="str">
        <f>HYPERLINK("http://genome-euro.ucsc.edu/cgi-bin/hgTracks?position=202706_s_at","UCSC")</f>
        <v>UCSC</v>
      </c>
      <c r="E11682" s="1" t="str">
        <f>HYPERLINK("http://www.ncbi.nlm.nih.gov/gene/?term=UMPS","NCBI")</f>
        <v>NCBI</v>
      </c>
      <c r="F11682">
        <v>0.31</v>
      </c>
      <c r="G11682">
        <v>0.45</v>
      </c>
      <c r="H11682" s="1" t="str">
        <f>HYPERLINK("http://www.weizmann.ac.il/complex/compphys/software/geview/data/figures/202706_s_at.png","Figure")</f>
        <v>Figure</v>
      </c>
      <c r="I11682">
        <v>1.1299999999999999</v>
      </c>
      <c r="J11682">
        <v>0.65</v>
      </c>
      <c r="K11682">
        <v>1.21</v>
      </c>
      <c r="L11682">
        <v>0.28000000000000003</v>
      </c>
      <c r="M11682">
        <v>1.07</v>
      </c>
      <c r="N11682">
        <v>0.86</v>
      </c>
    </row>
    <row r="11683" spans="1:14" x14ac:dyDescent="0.25">
      <c r="A11683" t="s">
        <v>20169</v>
      </c>
      <c r="B11683" t="s">
        <v>12373</v>
      </c>
      <c r="C11683" s="1" t="str">
        <f>HYPERLINK("http://www.genecards.org/cgi-bin/carddisp.pl?gene=EXOC7","GeneCards")</f>
        <v>GeneCards</v>
      </c>
      <c r="D11683" s="1" t="str">
        <f>HYPERLINK("http://genome-euro.ucsc.edu/cgi-bin/hgTracks?position=212035_s_at","UCSC")</f>
        <v>UCSC</v>
      </c>
      <c r="E11683" s="1" t="str">
        <f>HYPERLINK("http://www.ncbi.nlm.nih.gov/gene/?term=EXOC7","NCBI")</f>
        <v>NCBI</v>
      </c>
      <c r="F11683">
        <v>0.31</v>
      </c>
      <c r="G11683">
        <v>0.45</v>
      </c>
      <c r="H11683" s="1" t="str">
        <f>HYPERLINK("http://www.weizmann.ac.il/complex/compphys/software/geview/data/figures/212035_s_at.png","Figure")</f>
        <v>Figure</v>
      </c>
      <c r="I11683">
        <v>1.03</v>
      </c>
      <c r="J11683">
        <v>0.91</v>
      </c>
      <c r="K11683">
        <v>1.1200000000000001</v>
      </c>
      <c r="L11683">
        <v>0.31</v>
      </c>
      <c r="M11683">
        <v>1.08</v>
      </c>
      <c r="N11683">
        <v>0.59</v>
      </c>
    </row>
    <row r="11684" spans="1:14" x14ac:dyDescent="0.25">
      <c r="A11684" t="s">
        <v>20170</v>
      </c>
      <c r="B11684" t="s">
        <v>20171</v>
      </c>
      <c r="C11684" s="1" t="str">
        <f>HYPERLINK("http://www.genecards.org/cgi-bin/carddisp.pl?gene=CNGA1","GeneCards")</f>
        <v>GeneCards</v>
      </c>
      <c r="D11684" s="1" t="str">
        <f>HYPERLINK("http://genome-euro.ucsc.edu/cgi-bin/hgTracks?position=206417_at","UCSC")</f>
        <v>UCSC</v>
      </c>
      <c r="E11684" s="1" t="str">
        <f>HYPERLINK("http://www.ncbi.nlm.nih.gov/gene/?term=CNGA1","NCBI")</f>
        <v>NCBI</v>
      </c>
      <c r="F11684">
        <v>0.31</v>
      </c>
      <c r="G11684">
        <v>0.45</v>
      </c>
      <c r="H11684" s="1" t="str">
        <f>HYPERLINK("http://www.weizmann.ac.il/complex/compphys/software/geview/data/figures/206417_at.png","Figure")</f>
        <v>Figure</v>
      </c>
      <c r="I11684">
        <v>1.07</v>
      </c>
      <c r="J11684">
        <v>0.28000000000000003</v>
      </c>
      <c r="K11684">
        <v>1.03</v>
      </c>
      <c r="L11684">
        <v>0.75</v>
      </c>
      <c r="M11684">
        <v>0.95899999999999996</v>
      </c>
      <c r="N11684">
        <v>0.57999999999999996</v>
      </c>
    </row>
    <row r="11685" spans="1:14" x14ac:dyDescent="0.25">
      <c r="A11685" t="s">
        <v>20172</v>
      </c>
      <c r="B11685" t="s">
        <v>20173</v>
      </c>
      <c r="C11685" s="1" t="str">
        <f>HYPERLINK("http://www.genecards.org/cgi-bin/carddisp.pl?gene=POLR2C","GeneCards")</f>
        <v>GeneCards</v>
      </c>
      <c r="D11685" s="1" t="str">
        <f>HYPERLINK("http://genome-euro.ucsc.edu/cgi-bin/hgTracks?position=208996_s_at","UCSC")</f>
        <v>UCSC</v>
      </c>
      <c r="E11685" s="1" t="str">
        <f>HYPERLINK("http://www.ncbi.nlm.nih.gov/gene/?term=POLR2C","NCBI")</f>
        <v>NCBI</v>
      </c>
      <c r="F11685">
        <v>0.31</v>
      </c>
      <c r="G11685">
        <v>0.45</v>
      </c>
      <c r="H11685" s="1" t="str">
        <f>HYPERLINK("http://www.weizmann.ac.il/complex/compphys/software/geview/data/figures/208996_s_at.png","Figure")</f>
        <v>Figure</v>
      </c>
      <c r="I11685">
        <v>1.1399999999999999</v>
      </c>
      <c r="J11685">
        <v>0.28000000000000003</v>
      </c>
      <c r="K11685">
        <v>1.06</v>
      </c>
      <c r="L11685">
        <v>0.69</v>
      </c>
      <c r="M11685">
        <v>0.93300000000000005</v>
      </c>
      <c r="N11685">
        <v>0.63</v>
      </c>
    </row>
    <row r="11686" spans="1:14" x14ac:dyDescent="0.25">
      <c r="A11686" t="s">
        <v>20174</v>
      </c>
      <c r="B11686" t="s">
        <v>20175</v>
      </c>
      <c r="C11686" s="1" t="str">
        <f>HYPERLINK("http://www.genecards.org/cgi-bin/carddisp.pl?gene=CKMT1A /// CKMT1B","GeneCards")</f>
        <v>GeneCards</v>
      </c>
      <c r="D11686" s="1" t="str">
        <f>HYPERLINK("http://genome-euro.ucsc.edu/cgi-bin/hgTracks?position=202712_s_at","UCSC")</f>
        <v>UCSC</v>
      </c>
      <c r="E11686" s="1" t="str">
        <f>HYPERLINK("http://www.ncbi.nlm.nih.gov/gene/?term=CKMT1A /// CKMT1B","NCBI")</f>
        <v>NCBI</v>
      </c>
      <c r="F11686">
        <v>0.31</v>
      </c>
      <c r="G11686">
        <v>0.45</v>
      </c>
      <c r="H11686" s="1" t="str">
        <f>HYPERLINK("http://www.weizmann.ac.il/complex/compphys/software/geview/data/figures/202712_s_at.png","Figure")</f>
        <v>Figure</v>
      </c>
      <c r="I11686">
        <v>0.97699999999999998</v>
      </c>
      <c r="J11686">
        <v>0.94</v>
      </c>
      <c r="K11686">
        <v>0.91100000000000003</v>
      </c>
      <c r="L11686">
        <v>0.32</v>
      </c>
      <c r="M11686">
        <v>0.93300000000000005</v>
      </c>
      <c r="N11686">
        <v>0.55000000000000004</v>
      </c>
    </row>
    <row r="11687" spans="1:14" x14ac:dyDescent="0.25">
      <c r="A11687" t="s">
        <v>20176</v>
      </c>
      <c r="B11687" t="s">
        <v>20177</v>
      </c>
      <c r="C11687" s="1" t="str">
        <f>HYPERLINK("http://www.genecards.org/cgi-bin/carddisp.pl?gene=C19orf2","GeneCards")</f>
        <v>GeneCards</v>
      </c>
      <c r="D11687" s="1" t="str">
        <f>HYPERLINK("http://genome-euro.ucsc.edu/cgi-bin/hgTracks?position=210157_at","UCSC")</f>
        <v>UCSC</v>
      </c>
      <c r="E11687" s="1" t="str">
        <f>HYPERLINK("http://www.ncbi.nlm.nih.gov/gene/?term=C19orf2","NCBI")</f>
        <v>NCBI</v>
      </c>
      <c r="F11687">
        <v>0.31</v>
      </c>
      <c r="G11687">
        <v>0.45</v>
      </c>
      <c r="H11687" s="1" t="str">
        <f>HYPERLINK("http://www.weizmann.ac.il/complex/compphys/software/geview/data/figures/210157_at.png","Figure")</f>
        <v>Figure</v>
      </c>
      <c r="I11687">
        <v>0.9</v>
      </c>
      <c r="J11687">
        <v>0.48</v>
      </c>
      <c r="K11687">
        <v>0.88900000000000001</v>
      </c>
      <c r="L11687">
        <v>0.31</v>
      </c>
      <c r="M11687">
        <v>0.98799999999999999</v>
      </c>
      <c r="N11687">
        <v>0.99</v>
      </c>
    </row>
    <row r="11688" spans="1:14" x14ac:dyDescent="0.25">
      <c r="A11688" t="s">
        <v>20178</v>
      </c>
      <c r="B11688" t="s">
        <v>2381</v>
      </c>
      <c r="C11688" s="1" t="str">
        <f>HYPERLINK("http://www.genecards.org/cgi-bin/carddisp.pl?gene=C21orf2","GeneCards")</f>
        <v>GeneCards</v>
      </c>
      <c r="D11688" s="1" t="str">
        <f>HYPERLINK("http://genome-euro.ucsc.edu/cgi-bin/hgTracks?position=203995_at","UCSC")</f>
        <v>UCSC</v>
      </c>
      <c r="E11688" s="1" t="str">
        <f>HYPERLINK("http://www.ncbi.nlm.nih.gov/gene/?term=C21orf2","NCBI")</f>
        <v>NCBI</v>
      </c>
      <c r="F11688">
        <v>0.31</v>
      </c>
      <c r="G11688">
        <v>0.45</v>
      </c>
      <c r="H11688" s="1" t="str">
        <f>HYPERLINK("http://www.weizmann.ac.il/complex/compphys/software/geview/data/figures/203995_at.png","Figure")</f>
        <v>Figure</v>
      </c>
      <c r="I11688">
        <v>1.1599999999999999</v>
      </c>
      <c r="J11688">
        <v>0.36</v>
      </c>
      <c r="K11688">
        <v>1.1299999999999999</v>
      </c>
      <c r="L11688">
        <v>0.39</v>
      </c>
      <c r="M11688">
        <v>0.97699999999999998</v>
      </c>
      <c r="N11688">
        <v>0.97</v>
      </c>
    </row>
    <row r="11689" spans="1:14" x14ac:dyDescent="0.25">
      <c r="A11689" t="s">
        <v>20179</v>
      </c>
      <c r="B11689" t="s">
        <v>20180</v>
      </c>
      <c r="C11689" s="1" t="str">
        <f>HYPERLINK("http://www.genecards.org/cgi-bin/carddisp.pl?gene=RNASEN","GeneCards")</f>
        <v>GeneCards</v>
      </c>
      <c r="D11689" s="1" t="str">
        <f>HYPERLINK("http://genome-euro.ucsc.edu/cgi-bin/hgTracks?position=218269_at","UCSC")</f>
        <v>UCSC</v>
      </c>
      <c r="E11689" s="1" t="str">
        <f>HYPERLINK("http://www.ncbi.nlm.nih.gov/gene/?term=RNASEN","NCBI")</f>
        <v>NCBI</v>
      </c>
      <c r="F11689">
        <v>0.31</v>
      </c>
      <c r="G11689">
        <v>0.45</v>
      </c>
      <c r="H11689" s="1" t="str">
        <f>HYPERLINK("http://www.weizmann.ac.il/complex/compphys/software/geview/data/figures/218269_at.png","Figure")</f>
        <v>Figure</v>
      </c>
      <c r="I11689">
        <v>0.68200000000000005</v>
      </c>
      <c r="J11689">
        <v>0.41</v>
      </c>
      <c r="K11689">
        <v>0.69099999999999995</v>
      </c>
      <c r="L11689">
        <v>0.34</v>
      </c>
      <c r="M11689">
        <v>1.01</v>
      </c>
      <c r="N11689">
        <v>1</v>
      </c>
    </row>
    <row r="11690" spans="1:14" x14ac:dyDescent="0.25">
      <c r="A11690" t="s">
        <v>20181</v>
      </c>
      <c r="B11690" t="s">
        <v>15157</v>
      </c>
      <c r="C11690" s="1" t="str">
        <f>HYPERLINK("http://www.genecards.org/cgi-bin/carddisp.pl?gene=ULK2","GeneCards")</f>
        <v>GeneCards</v>
      </c>
      <c r="D11690" s="1" t="str">
        <f>HYPERLINK("http://genome-euro.ucsc.edu/cgi-bin/hgTracks?position=204062_s_at","UCSC")</f>
        <v>UCSC</v>
      </c>
      <c r="E11690" s="1" t="str">
        <f>HYPERLINK("http://www.ncbi.nlm.nih.gov/gene/?term=ULK2","NCBI")</f>
        <v>NCBI</v>
      </c>
      <c r="F11690">
        <v>0.31</v>
      </c>
      <c r="G11690">
        <v>0.45</v>
      </c>
      <c r="H11690" s="1" t="str">
        <f>HYPERLINK("http://www.weizmann.ac.il/complex/compphys/software/geview/data/figures/204062_s_at.png","Figure")</f>
        <v>Figure</v>
      </c>
      <c r="I11690">
        <v>0.95</v>
      </c>
      <c r="J11690">
        <v>0.82</v>
      </c>
      <c r="K11690">
        <v>0.88900000000000001</v>
      </c>
      <c r="L11690">
        <v>0.28999999999999998</v>
      </c>
      <c r="M11690">
        <v>0.93700000000000006</v>
      </c>
      <c r="N11690">
        <v>0.69</v>
      </c>
    </row>
    <row r="11691" spans="1:14" x14ac:dyDescent="0.25">
      <c r="A11691" t="s">
        <v>20182</v>
      </c>
      <c r="B11691" t="s">
        <v>20183</v>
      </c>
      <c r="C11691" s="1" t="str">
        <f>HYPERLINK("http://www.genecards.org/cgi-bin/carddisp.pl?gene=CUL9","GeneCards")</f>
        <v>GeneCards</v>
      </c>
      <c r="D11691" s="1" t="str">
        <f>HYPERLINK("http://genome-euro.ucsc.edu/cgi-bin/hgTracks?position=213204_at","UCSC")</f>
        <v>UCSC</v>
      </c>
      <c r="E11691" s="1" t="str">
        <f>HYPERLINK("http://www.ncbi.nlm.nih.gov/gene/?term=CUL9","NCBI")</f>
        <v>NCBI</v>
      </c>
      <c r="F11691">
        <v>0.31</v>
      </c>
      <c r="G11691">
        <v>0.45</v>
      </c>
      <c r="H11691" s="1" t="str">
        <f>HYPERLINK("http://www.weizmann.ac.il/complex/compphys/software/geview/data/figures/213204_at.png","Figure")</f>
        <v>Figure</v>
      </c>
      <c r="I11691">
        <v>0.92300000000000004</v>
      </c>
      <c r="J11691">
        <v>0.77</v>
      </c>
      <c r="K11691">
        <v>0.85299999999999998</v>
      </c>
      <c r="L11691">
        <v>0.28000000000000003</v>
      </c>
      <c r="M11691">
        <v>0.92500000000000004</v>
      </c>
      <c r="N11691">
        <v>0.75</v>
      </c>
    </row>
    <row r="11692" spans="1:14" x14ac:dyDescent="0.25">
      <c r="A11692" t="s">
        <v>20184</v>
      </c>
      <c r="B11692" t="s">
        <v>11254</v>
      </c>
      <c r="C11692" s="1" t="str">
        <f>HYPERLINK("http://www.genecards.org/cgi-bin/carddisp.pl?gene=PCM1","GeneCards")</f>
        <v>GeneCards</v>
      </c>
      <c r="D11692" s="1" t="str">
        <f>HYPERLINK("http://genome-euro.ucsc.edu/cgi-bin/hgTracks?position=214118_x_at","UCSC")</f>
        <v>UCSC</v>
      </c>
      <c r="E11692" s="1" t="str">
        <f>HYPERLINK("http://www.ncbi.nlm.nih.gov/gene/?term=PCM1","NCBI")</f>
        <v>NCBI</v>
      </c>
      <c r="F11692">
        <v>0.31</v>
      </c>
      <c r="G11692">
        <v>0.45</v>
      </c>
      <c r="H11692" s="1" t="str">
        <f>HYPERLINK("http://www.weizmann.ac.il/complex/compphys/software/geview/data/figures/214118_x_at.png","Figure")</f>
        <v>Figure</v>
      </c>
      <c r="I11692">
        <v>1.1100000000000001</v>
      </c>
      <c r="J11692">
        <v>0.74</v>
      </c>
      <c r="K11692">
        <v>0.90400000000000003</v>
      </c>
      <c r="L11692">
        <v>0.69</v>
      </c>
      <c r="M11692">
        <v>0.81599999999999995</v>
      </c>
      <c r="N11692">
        <v>0.28999999999999998</v>
      </c>
    </row>
    <row r="11693" spans="1:14" x14ac:dyDescent="0.25">
      <c r="A11693" t="s">
        <v>20185</v>
      </c>
      <c r="B11693" t="s">
        <v>10329</v>
      </c>
      <c r="C11693" s="1" t="str">
        <f>HYPERLINK("http://www.genecards.org/cgi-bin/carddisp.pl?gene=LILRA2","GeneCards")</f>
        <v>GeneCards</v>
      </c>
      <c r="D11693" s="1" t="str">
        <f>HYPERLINK("http://genome-euro.ucsc.edu/cgi-bin/hgTracks?position=211101_x_at","UCSC")</f>
        <v>UCSC</v>
      </c>
      <c r="E11693" s="1" t="str">
        <f>HYPERLINK("http://www.ncbi.nlm.nih.gov/gene/?term=LILRA2","NCBI")</f>
        <v>NCBI</v>
      </c>
      <c r="F11693">
        <v>0.31</v>
      </c>
      <c r="G11693">
        <v>0.45</v>
      </c>
      <c r="H11693" s="1" t="str">
        <f>HYPERLINK("http://www.weizmann.ac.il/complex/compphys/software/geview/data/figures/211101_x_at.png","Figure")</f>
        <v>Figure</v>
      </c>
      <c r="I11693">
        <v>0.77400000000000002</v>
      </c>
      <c r="J11693">
        <v>0.49</v>
      </c>
      <c r="K11693">
        <v>0.745</v>
      </c>
      <c r="L11693">
        <v>0.31</v>
      </c>
      <c r="M11693">
        <v>0.96199999999999997</v>
      </c>
      <c r="N11693">
        <v>0.98</v>
      </c>
    </row>
    <row r="11694" spans="1:14" x14ac:dyDescent="0.25">
      <c r="A11694" t="s">
        <v>20186</v>
      </c>
      <c r="B11694" t="s">
        <v>20187</v>
      </c>
      <c r="C11694" s="1" t="str">
        <f>HYPERLINK("http://www.genecards.org/cgi-bin/carddisp.pl?gene=PMS1","GeneCards")</f>
        <v>GeneCards</v>
      </c>
      <c r="D11694" s="1" t="str">
        <f>HYPERLINK("http://genome-euro.ucsc.edu/cgi-bin/hgTracks?position=213677_s_at","UCSC")</f>
        <v>UCSC</v>
      </c>
      <c r="E11694" s="1" t="str">
        <f>HYPERLINK("http://www.ncbi.nlm.nih.gov/gene/?term=PMS1","NCBI")</f>
        <v>NCBI</v>
      </c>
      <c r="F11694">
        <v>0.31</v>
      </c>
      <c r="G11694">
        <v>0.45</v>
      </c>
      <c r="H11694" s="1" t="str">
        <f>HYPERLINK("http://www.weizmann.ac.il/complex/compphys/software/geview/data/figures/213677_s_at.png","Figure")</f>
        <v>Figure</v>
      </c>
      <c r="I11694">
        <v>0.68200000000000005</v>
      </c>
      <c r="J11694">
        <v>0.44</v>
      </c>
      <c r="K11694">
        <v>1.06</v>
      </c>
      <c r="L11694">
        <v>0.98</v>
      </c>
      <c r="M11694">
        <v>1.55</v>
      </c>
      <c r="N11694">
        <v>0.31</v>
      </c>
    </row>
    <row r="11695" spans="1:14" x14ac:dyDescent="0.25">
      <c r="A11695" t="s">
        <v>20188</v>
      </c>
      <c r="B11695" t="s">
        <v>20189</v>
      </c>
      <c r="C11695" s="1" t="str">
        <f>HYPERLINK("http://www.genecards.org/cgi-bin/carddisp.pl?gene=CG030","GeneCards")</f>
        <v>GeneCards</v>
      </c>
      <c r="D11695" s="1" t="str">
        <f>HYPERLINK("http://genome-euro.ucsc.edu/cgi-bin/hgTracks?position=215105_at","UCSC")</f>
        <v>UCSC</v>
      </c>
      <c r="E11695" s="1" t="str">
        <f>HYPERLINK("http://www.ncbi.nlm.nih.gov/gene/?term=CG030","NCBI")</f>
        <v>NCBI</v>
      </c>
      <c r="F11695">
        <v>0.31</v>
      </c>
      <c r="G11695">
        <v>0.45</v>
      </c>
      <c r="H11695" s="1" t="str">
        <f>HYPERLINK("http://www.weizmann.ac.il/complex/compphys/software/geview/data/figures/215105_at.png","Figure")</f>
        <v>Figure</v>
      </c>
      <c r="I11695">
        <v>0.874</v>
      </c>
      <c r="J11695">
        <v>0.32</v>
      </c>
      <c r="K11695">
        <v>0.97799999999999998</v>
      </c>
      <c r="L11695">
        <v>0.96</v>
      </c>
      <c r="M11695">
        <v>1.1200000000000001</v>
      </c>
      <c r="N11695">
        <v>0.4</v>
      </c>
    </row>
    <row r="11696" spans="1:14" x14ac:dyDescent="0.25">
      <c r="A11696" t="s">
        <v>20190</v>
      </c>
      <c r="B11696" t="s">
        <v>5845</v>
      </c>
      <c r="C11696" s="1" t="str">
        <f>HYPERLINK("http://www.genecards.org/cgi-bin/carddisp.pl?gene=PQBP1","GeneCards")</f>
        <v>GeneCards</v>
      </c>
      <c r="D11696" s="1" t="str">
        <f>HYPERLINK("http://genome-euro.ucsc.edu/cgi-bin/hgTracks?position=210499_s_at","UCSC")</f>
        <v>UCSC</v>
      </c>
      <c r="E11696" s="1" t="str">
        <f>HYPERLINK("http://www.ncbi.nlm.nih.gov/gene/?term=PQBP1","NCBI")</f>
        <v>NCBI</v>
      </c>
      <c r="F11696">
        <v>0.31</v>
      </c>
      <c r="G11696">
        <v>0.45</v>
      </c>
      <c r="H11696" s="1" t="str">
        <f>HYPERLINK("http://www.weizmann.ac.il/complex/compphys/software/geview/data/figures/210499_s_at.png","Figure")</f>
        <v>Figure</v>
      </c>
      <c r="I11696">
        <v>1.1399999999999999</v>
      </c>
      <c r="J11696">
        <v>0.28000000000000003</v>
      </c>
      <c r="K11696">
        <v>1.06</v>
      </c>
      <c r="L11696">
        <v>0.69</v>
      </c>
      <c r="M11696">
        <v>0.93300000000000005</v>
      </c>
      <c r="N11696">
        <v>0.63</v>
      </c>
    </row>
    <row r="11697" spans="1:14" x14ac:dyDescent="0.25">
      <c r="A11697" t="s">
        <v>20191</v>
      </c>
      <c r="B11697" t="s">
        <v>17293</v>
      </c>
      <c r="C11697" s="1" t="str">
        <f>HYPERLINK("http://www.genecards.org/cgi-bin/carddisp.pl?gene=DNAH3","GeneCards")</f>
        <v>GeneCards</v>
      </c>
      <c r="D11697" s="1" t="str">
        <f>HYPERLINK("http://genome-euro.ucsc.edu/cgi-bin/hgTracks?position=220725_x_at","UCSC")</f>
        <v>UCSC</v>
      </c>
      <c r="E11697" s="1" t="str">
        <f>HYPERLINK("http://www.ncbi.nlm.nih.gov/gene/?term=DNAH3","NCBI")</f>
        <v>NCBI</v>
      </c>
      <c r="F11697">
        <v>0.31</v>
      </c>
      <c r="G11697">
        <v>0.45</v>
      </c>
      <c r="H11697" s="1" t="str">
        <f>HYPERLINK("http://www.weizmann.ac.il/complex/compphys/software/geview/data/figures/220725_x_at.png","Figure")</f>
        <v>Figure</v>
      </c>
      <c r="I11697">
        <v>1.2</v>
      </c>
      <c r="J11697">
        <v>0.3</v>
      </c>
      <c r="K11697">
        <v>1.1200000000000001</v>
      </c>
      <c r="L11697">
        <v>0.53</v>
      </c>
      <c r="M11697">
        <v>0.93100000000000005</v>
      </c>
      <c r="N11697">
        <v>0.8</v>
      </c>
    </row>
    <row r="11698" spans="1:14" x14ac:dyDescent="0.25">
      <c r="A11698" t="s">
        <v>20192</v>
      </c>
      <c r="B11698" t="s">
        <v>20193</v>
      </c>
      <c r="C11698" s="1" t="str">
        <f>HYPERLINK("http://www.genecards.org/cgi-bin/carddisp.pl?gene=CLPB","GeneCards")</f>
        <v>GeneCards</v>
      </c>
      <c r="D11698" s="1" t="str">
        <f>HYPERLINK("http://genome-euro.ucsc.edu/cgi-bin/hgTracks?position=221845_s_at","UCSC")</f>
        <v>UCSC</v>
      </c>
      <c r="E11698" s="1" t="str">
        <f>HYPERLINK("http://www.ncbi.nlm.nih.gov/gene/?term=CLPB","NCBI")</f>
        <v>NCBI</v>
      </c>
      <c r="F11698">
        <v>0.31</v>
      </c>
      <c r="G11698">
        <v>0.45</v>
      </c>
      <c r="H11698" s="1" t="str">
        <f>HYPERLINK("http://www.weizmann.ac.il/complex/compphys/software/geview/data/figures/221845_s_at.png","Figure")</f>
        <v>Figure</v>
      </c>
      <c r="I11698">
        <v>1.03</v>
      </c>
      <c r="J11698">
        <v>0.62</v>
      </c>
      <c r="K11698">
        <v>1.04</v>
      </c>
      <c r="L11698">
        <v>0.28999999999999998</v>
      </c>
      <c r="M11698">
        <v>1.01</v>
      </c>
      <c r="N11698">
        <v>0.89</v>
      </c>
    </row>
    <row r="11699" spans="1:14" x14ac:dyDescent="0.25">
      <c r="A11699" t="s">
        <v>20194</v>
      </c>
      <c r="B11699" t="s">
        <v>20195</v>
      </c>
      <c r="C11699" s="1" t="str">
        <f>HYPERLINK("http://www.genecards.org/cgi-bin/carddisp.pl?gene=NDUFS8","GeneCards")</f>
        <v>GeneCards</v>
      </c>
      <c r="D11699" s="1" t="str">
        <f>HYPERLINK("http://genome-euro.ucsc.edu/cgi-bin/hgTracks?position=203190_at","UCSC")</f>
        <v>UCSC</v>
      </c>
      <c r="E11699" s="1" t="str">
        <f>HYPERLINK("http://www.ncbi.nlm.nih.gov/gene/?term=NDUFS8","NCBI")</f>
        <v>NCBI</v>
      </c>
      <c r="F11699">
        <v>0.31</v>
      </c>
      <c r="G11699">
        <v>0.45</v>
      </c>
      <c r="H11699" s="1" t="str">
        <f>HYPERLINK("http://www.weizmann.ac.il/complex/compphys/software/geview/data/figures/203190_at.png","Figure")</f>
        <v>Figure</v>
      </c>
      <c r="I11699">
        <v>0.98399999999999999</v>
      </c>
      <c r="J11699">
        <v>1</v>
      </c>
      <c r="K11699">
        <v>1.39</v>
      </c>
      <c r="L11699">
        <v>0.4</v>
      </c>
      <c r="M11699">
        <v>1.41</v>
      </c>
      <c r="N11699">
        <v>0.41</v>
      </c>
    </row>
    <row r="11700" spans="1:14" x14ac:dyDescent="0.25">
      <c r="A11700" t="s">
        <v>20196</v>
      </c>
      <c r="B11700" t="s">
        <v>7943</v>
      </c>
      <c r="C11700" s="1" t="str">
        <f>HYPERLINK("http://www.genecards.org/cgi-bin/carddisp.pl?gene=EIF3A","GeneCards")</f>
        <v>GeneCards</v>
      </c>
      <c r="D11700" s="1" t="str">
        <f>HYPERLINK("http://genome-euro.ucsc.edu/cgi-bin/hgTracks?position=200596_s_at","UCSC")</f>
        <v>UCSC</v>
      </c>
      <c r="E11700" s="1" t="str">
        <f>HYPERLINK("http://www.ncbi.nlm.nih.gov/gene/?term=EIF3A","NCBI")</f>
        <v>NCBI</v>
      </c>
      <c r="F11700">
        <v>0.31</v>
      </c>
      <c r="G11700">
        <v>0.45</v>
      </c>
      <c r="H11700" s="1" t="str">
        <f>HYPERLINK("http://www.weizmann.ac.il/complex/compphys/software/geview/data/figures/200596_s_at.png","Figure")</f>
        <v>Figure</v>
      </c>
      <c r="I11700">
        <v>1.08</v>
      </c>
      <c r="J11700">
        <v>0.62</v>
      </c>
      <c r="K11700">
        <v>0.95499999999999996</v>
      </c>
      <c r="L11700">
        <v>0.81</v>
      </c>
      <c r="M11700">
        <v>0.88</v>
      </c>
      <c r="N11700">
        <v>0.28000000000000003</v>
      </c>
    </row>
    <row r="11701" spans="1:14" x14ac:dyDescent="0.25">
      <c r="A11701" t="s">
        <v>20197</v>
      </c>
      <c r="B11701" t="s">
        <v>14553</v>
      </c>
      <c r="C11701" s="1" t="str">
        <f>HYPERLINK("http://www.genecards.org/cgi-bin/carddisp.pl?gene=SEL1L","GeneCards")</f>
        <v>GeneCards</v>
      </c>
      <c r="D11701" s="1" t="str">
        <f>HYPERLINK("http://genome-euro.ucsc.edu/cgi-bin/hgTracks?position=202062_s_at","UCSC")</f>
        <v>UCSC</v>
      </c>
      <c r="E11701" s="1" t="str">
        <f>HYPERLINK("http://www.ncbi.nlm.nih.gov/gene/?term=SEL1L","NCBI")</f>
        <v>NCBI</v>
      </c>
      <c r="F11701">
        <v>0.31</v>
      </c>
      <c r="G11701">
        <v>0.45</v>
      </c>
      <c r="H11701" s="1" t="str">
        <f>HYPERLINK("http://www.weizmann.ac.il/complex/compphys/software/geview/data/figures/202062_s_at.png","Figure")</f>
        <v>Figure</v>
      </c>
      <c r="I11701">
        <v>0.85599999999999998</v>
      </c>
      <c r="J11701">
        <v>0.35</v>
      </c>
      <c r="K11701">
        <v>0.88400000000000001</v>
      </c>
      <c r="L11701">
        <v>0.41</v>
      </c>
      <c r="M11701">
        <v>1.03</v>
      </c>
      <c r="N11701">
        <v>0.95</v>
      </c>
    </row>
    <row r="11702" spans="1:14" x14ac:dyDescent="0.25">
      <c r="A11702" t="s">
        <v>20198</v>
      </c>
      <c r="B11702" t="s">
        <v>20199</v>
      </c>
      <c r="C11702" s="1" t="str">
        <f>HYPERLINK("http://www.genecards.org/cgi-bin/carddisp.pl?gene=RAMP2","GeneCards")</f>
        <v>GeneCards</v>
      </c>
      <c r="D11702" s="1" t="str">
        <f>HYPERLINK("http://genome-euro.ucsc.edu/cgi-bin/hgTracks?position=205779_at","UCSC")</f>
        <v>UCSC</v>
      </c>
      <c r="E11702" s="1" t="str">
        <f>HYPERLINK("http://www.ncbi.nlm.nih.gov/gene/?term=RAMP2","NCBI")</f>
        <v>NCBI</v>
      </c>
      <c r="F11702">
        <v>0.31</v>
      </c>
      <c r="G11702">
        <v>0.45</v>
      </c>
      <c r="H11702" s="1" t="str">
        <f>HYPERLINK("http://www.weizmann.ac.il/complex/compphys/software/geview/data/figures/205779_at.png","Figure")</f>
        <v>Figure</v>
      </c>
      <c r="I11702">
        <v>1.1100000000000001</v>
      </c>
      <c r="J11702">
        <v>0.28000000000000003</v>
      </c>
      <c r="K11702">
        <v>1.04</v>
      </c>
      <c r="L11702">
        <v>0.74</v>
      </c>
      <c r="M11702">
        <v>0.94</v>
      </c>
      <c r="N11702">
        <v>0.59</v>
      </c>
    </row>
    <row r="11703" spans="1:14" x14ac:dyDescent="0.25">
      <c r="A11703" t="s">
        <v>20200</v>
      </c>
      <c r="B11703" t="s">
        <v>12885</v>
      </c>
      <c r="C11703" s="1" t="str">
        <f>HYPERLINK("http://www.genecards.org/cgi-bin/carddisp.pl?gene=ABCF2","GeneCards")</f>
        <v>GeneCards</v>
      </c>
      <c r="D11703" s="1" t="str">
        <f>HYPERLINK("http://genome-euro.ucsc.edu/cgi-bin/hgTracks?position=209247_s_at","UCSC")</f>
        <v>UCSC</v>
      </c>
      <c r="E11703" s="1" t="str">
        <f>HYPERLINK("http://www.ncbi.nlm.nih.gov/gene/?term=ABCF2","NCBI")</f>
        <v>NCBI</v>
      </c>
      <c r="F11703">
        <v>0.31</v>
      </c>
      <c r="G11703">
        <v>0.45</v>
      </c>
      <c r="H11703" s="1" t="str">
        <f>HYPERLINK("http://www.weizmann.ac.il/complex/compphys/software/geview/data/figures/209247_s_at.png","Figure")</f>
        <v>Figure</v>
      </c>
      <c r="I11703">
        <v>0.93</v>
      </c>
      <c r="J11703">
        <v>0.92</v>
      </c>
      <c r="K11703">
        <v>1.2</v>
      </c>
      <c r="L11703">
        <v>0.52</v>
      </c>
      <c r="M11703">
        <v>1.29</v>
      </c>
      <c r="N11703">
        <v>0.33</v>
      </c>
    </row>
    <row r="11704" spans="1:14" x14ac:dyDescent="0.25">
      <c r="A11704" t="s">
        <v>20201</v>
      </c>
      <c r="B11704" t="s">
        <v>20202</v>
      </c>
      <c r="C11704" s="1" t="str">
        <f>HYPERLINK("http://www.genecards.org/cgi-bin/carddisp.pl?gene=SOX13","GeneCards")</f>
        <v>GeneCards</v>
      </c>
      <c r="D11704" s="1" t="str">
        <f>HYPERLINK("http://genome-euro.ucsc.edu/cgi-bin/hgTracks?position=209736_at","UCSC")</f>
        <v>UCSC</v>
      </c>
      <c r="E11704" s="1" t="str">
        <f>HYPERLINK("http://www.ncbi.nlm.nih.gov/gene/?term=SOX13","NCBI")</f>
        <v>NCBI</v>
      </c>
      <c r="F11704">
        <v>0.31</v>
      </c>
      <c r="G11704">
        <v>0.45</v>
      </c>
      <c r="H11704" s="1" t="str">
        <f>HYPERLINK("http://www.weizmann.ac.il/complex/compphys/software/geview/data/figures/209736_at.png","Figure")</f>
        <v>Figure</v>
      </c>
      <c r="I11704">
        <v>1.1499999999999999</v>
      </c>
      <c r="J11704">
        <v>0.36</v>
      </c>
      <c r="K11704">
        <v>1.01</v>
      </c>
      <c r="L11704">
        <v>0.99</v>
      </c>
      <c r="M11704">
        <v>0.88</v>
      </c>
      <c r="N11704">
        <v>0.36</v>
      </c>
    </row>
    <row r="11705" spans="1:14" x14ac:dyDescent="0.25">
      <c r="A11705" t="s">
        <v>20203</v>
      </c>
      <c r="B11705" t="s">
        <v>20204</v>
      </c>
      <c r="C11705" s="1" t="str">
        <f>HYPERLINK("http://www.genecards.org/cgi-bin/carddisp.pl?gene=NOD1","GeneCards")</f>
        <v>GeneCards</v>
      </c>
      <c r="D11705" s="1" t="str">
        <f>HYPERLINK("http://genome-euro.ucsc.edu/cgi-bin/hgTracks?position=221073_s_at","UCSC")</f>
        <v>UCSC</v>
      </c>
      <c r="E11705" s="1" t="str">
        <f>HYPERLINK("http://www.ncbi.nlm.nih.gov/gene/?term=NOD1","NCBI")</f>
        <v>NCBI</v>
      </c>
      <c r="F11705">
        <v>0.31</v>
      </c>
      <c r="G11705">
        <v>0.45</v>
      </c>
      <c r="H11705" s="1" t="str">
        <f>HYPERLINK("http://www.weizmann.ac.il/complex/compphys/software/geview/data/figures/221073_s_at.png","Figure")</f>
        <v>Figure</v>
      </c>
      <c r="I11705">
        <v>1.1200000000000001</v>
      </c>
      <c r="J11705">
        <v>0.75</v>
      </c>
      <c r="K11705">
        <v>0.88800000000000001</v>
      </c>
      <c r="L11705">
        <v>0.68</v>
      </c>
      <c r="M11705">
        <v>0.79100000000000004</v>
      </c>
      <c r="N11705">
        <v>0.28999999999999998</v>
      </c>
    </row>
    <row r="11706" spans="1:14" x14ac:dyDescent="0.25">
      <c r="A11706" t="s">
        <v>20205</v>
      </c>
      <c r="B11706" t="s">
        <v>3323</v>
      </c>
      <c r="C11706" s="1" t="str">
        <f>HYPERLINK("http://www.genecards.org/cgi-bin/carddisp.pl?gene=SFRS8","GeneCards")</f>
        <v>GeneCards</v>
      </c>
      <c r="D11706" s="1" t="str">
        <f>HYPERLINK("http://genome-euro.ucsc.edu/cgi-bin/hgTracks?position=202775_s_at","UCSC")</f>
        <v>UCSC</v>
      </c>
      <c r="E11706" s="1" t="str">
        <f>HYPERLINK("http://www.ncbi.nlm.nih.gov/gene/?term=SFRS8","NCBI")</f>
        <v>NCBI</v>
      </c>
      <c r="F11706">
        <v>0.31</v>
      </c>
      <c r="G11706">
        <v>0.45</v>
      </c>
      <c r="H11706" s="1" t="str">
        <f>HYPERLINK("http://www.weizmann.ac.il/complex/compphys/software/geview/data/figures/202775_s_at.png","Figure")</f>
        <v>Figure</v>
      </c>
      <c r="I11706">
        <v>1.35</v>
      </c>
      <c r="J11706">
        <v>0.28999999999999998</v>
      </c>
      <c r="K11706">
        <v>1.1100000000000001</v>
      </c>
      <c r="L11706">
        <v>0.81</v>
      </c>
      <c r="M11706">
        <v>0.82199999999999995</v>
      </c>
      <c r="N11706">
        <v>0.53</v>
      </c>
    </row>
    <row r="11707" spans="1:14" x14ac:dyDescent="0.25">
      <c r="A11707" t="s">
        <v>20206</v>
      </c>
      <c r="B11707" t="s">
        <v>20207</v>
      </c>
      <c r="C11707" s="1" t="str">
        <f>HYPERLINK("http://www.genecards.org/cgi-bin/carddisp.pl?gene=CIDEA","GeneCards")</f>
        <v>GeneCards</v>
      </c>
      <c r="D11707" s="1" t="str">
        <f>HYPERLINK("http://genome-euro.ucsc.edu/cgi-bin/hgTracks?position=221295_at","UCSC")</f>
        <v>UCSC</v>
      </c>
      <c r="E11707" s="1" t="str">
        <f>HYPERLINK("http://www.ncbi.nlm.nih.gov/gene/?term=CIDEA","NCBI")</f>
        <v>NCBI</v>
      </c>
      <c r="F11707">
        <v>0.31</v>
      </c>
      <c r="G11707">
        <v>0.45</v>
      </c>
      <c r="H11707" s="1" t="str">
        <f>HYPERLINK("http://www.weizmann.ac.il/complex/compphys/software/geview/data/figures/221295_at.png","Figure")</f>
        <v>Figure</v>
      </c>
      <c r="I11707">
        <v>1.1200000000000001</v>
      </c>
      <c r="J11707">
        <v>0.3</v>
      </c>
      <c r="K11707">
        <v>1.03</v>
      </c>
      <c r="L11707">
        <v>0.9</v>
      </c>
      <c r="M11707">
        <v>0.91800000000000004</v>
      </c>
      <c r="N11707">
        <v>0.45</v>
      </c>
    </row>
    <row r="11708" spans="1:14" x14ac:dyDescent="0.25">
      <c r="A11708" t="s">
        <v>20208</v>
      </c>
      <c r="B11708" t="s">
        <v>20209</v>
      </c>
      <c r="C11708" s="1" t="str">
        <f>HYPERLINK("http://www.genecards.org/cgi-bin/carddisp.pl?gene=GJB5","GeneCards")</f>
        <v>GeneCards</v>
      </c>
      <c r="D11708" s="1" t="str">
        <f>HYPERLINK("http://genome-euro.ucsc.edu/cgi-bin/hgTracks?position=206156_at","UCSC")</f>
        <v>UCSC</v>
      </c>
      <c r="E11708" s="1" t="str">
        <f>HYPERLINK("http://www.ncbi.nlm.nih.gov/gene/?term=GJB5","NCBI")</f>
        <v>NCBI</v>
      </c>
      <c r="F11708">
        <v>0.31</v>
      </c>
      <c r="G11708">
        <v>0.45</v>
      </c>
      <c r="H11708" s="1" t="str">
        <f>HYPERLINK("http://www.weizmann.ac.il/complex/compphys/software/geview/data/figures/206156_at.png","Figure")</f>
        <v>Figure</v>
      </c>
      <c r="I11708">
        <v>1.1100000000000001</v>
      </c>
      <c r="J11708">
        <v>0.3</v>
      </c>
      <c r="K11708">
        <v>1.06</v>
      </c>
      <c r="L11708">
        <v>0.53</v>
      </c>
      <c r="M11708">
        <v>0.96299999999999997</v>
      </c>
      <c r="N11708">
        <v>0.81</v>
      </c>
    </row>
    <row r="11709" spans="1:14" x14ac:dyDescent="0.25">
      <c r="A11709" t="s">
        <v>20210</v>
      </c>
      <c r="B11709" t="s">
        <v>10405</v>
      </c>
      <c r="C11709" s="1" t="str">
        <f>HYPERLINK("http://www.genecards.org/cgi-bin/carddisp.pl?gene=PDIA6","GeneCards")</f>
        <v>GeneCards</v>
      </c>
      <c r="D11709" s="1" t="str">
        <f>HYPERLINK("http://genome-euro.ucsc.edu/cgi-bin/hgTracks?position=208638_at","UCSC")</f>
        <v>UCSC</v>
      </c>
      <c r="E11709" s="1" t="str">
        <f>HYPERLINK("http://www.ncbi.nlm.nih.gov/gene/?term=PDIA6","NCBI")</f>
        <v>NCBI</v>
      </c>
      <c r="F11709">
        <v>0.31</v>
      </c>
      <c r="G11709">
        <v>0.46</v>
      </c>
      <c r="H11709" s="1" t="str">
        <f>HYPERLINK("http://www.weizmann.ac.il/complex/compphys/software/geview/data/figures/208638_at.png","Figure")</f>
        <v>Figure</v>
      </c>
      <c r="I11709">
        <v>1</v>
      </c>
      <c r="J11709">
        <v>1</v>
      </c>
      <c r="K11709">
        <v>1.23</v>
      </c>
      <c r="L11709">
        <v>0.38</v>
      </c>
      <c r="M11709">
        <v>1.22</v>
      </c>
      <c r="N11709">
        <v>0.44</v>
      </c>
    </row>
    <row r="11710" spans="1:14" x14ac:dyDescent="0.25">
      <c r="A11710" t="s">
        <v>20211</v>
      </c>
      <c r="B11710" t="s">
        <v>10872</v>
      </c>
      <c r="C11710" s="1" t="str">
        <f>HYPERLINK("http://www.genecards.org/cgi-bin/carddisp.pl?gene=DNAJB1","GeneCards")</f>
        <v>GeneCards</v>
      </c>
      <c r="D11710" s="1" t="str">
        <f>HYPERLINK("http://genome-euro.ucsc.edu/cgi-bin/hgTracks?position=200666_s_at","UCSC")</f>
        <v>UCSC</v>
      </c>
      <c r="E11710" s="1" t="str">
        <f>HYPERLINK("http://www.ncbi.nlm.nih.gov/gene/?term=DNAJB1","NCBI")</f>
        <v>NCBI</v>
      </c>
      <c r="F11710">
        <v>0.31</v>
      </c>
      <c r="G11710">
        <v>0.46</v>
      </c>
      <c r="H11710" s="1" t="str">
        <f>HYPERLINK("http://www.weizmann.ac.il/complex/compphys/software/geview/data/figures/200666_s_at.png","Figure")</f>
        <v>Figure</v>
      </c>
      <c r="I11710">
        <v>0.91500000000000004</v>
      </c>
      <c r="J11710">
        <v>0.96</v>
      </c>
      <c r="K11710">
        <v>0.67100000000000004</v>
      </c>
      <c r="L11710">
        <v>0.32</v>
      </c>
      <c r="M11710">
        <v>0.73299999999999998</v>
      </c>
      <c r="N11710">
        <v>0.54</v>
      </c>
    </row>
    <row r="11711" spans="1:14" x14ac:dyDescent="0.25">
      <c r="A11711" t="s">
        <v>20212</v>
      </c>
      <c r="B11711" t="s">
        <v>20213</v>
      </c>
      <c r="C11711" s="1" t="str">
        <f>HYPERLINK("http://www.genecards.org/cgi-bin/carddisp.pl?gene=GADD45B","GeneCards")</f>
        <v>GeneCards</v>
      </c>
      <c r="D11711" s="1" t="str">
        <f>HYPERLINK("http://genome-euro.ucsc.edu/cgi-bin/hgTracks?position=213560_at","UCSC")</f>
        <v>UCSC</v>
      </c>
      <c r="E11711" s="1" t="str">
        <f>HYPERLINK("http://www.ncbi.nlm.nih.gov/gene/?term=GADD45B","NCBI")</f>
        <v>NCBI</v>
      </c>
      <c r="F11711">
        <v>0.31</v>
      </c>
      <c r="G11711">
        <v>0.46</v>
      </c>
      <c r="H11711" s="1" t="str">
        <f>HYPERLINK("http://www.weizmann.ac.il/complex/compphys/software/geview/data/figures/213560_at.png","Figure")</f>
        <v>Figure</v>
      </c>
      <c r="I11711">
        <v>1.1499999999999999</v>
      </c>
      <c r="J11711">
        <v>0.54</v>
      </c>
      <c r="K11711">
        <v>0.95099999999999996</v>
      </c>
      <c r="L11711">
        <v>0.89</v>
      </c>
      <c r="M11711">
        <v>0.82899999999999996</v>
      </c>
      <c r="N11711">
        <v>0.28999999999999998</v>
      </c>
    </row>
    <row r="11712" spans="1:14" x14ac:dyDescent="0.25">
      <c r="A11712" t="s">
        <v>20214</v>
      </c>
      <c r="B11712" t="s">
        <v>15987</v>
      </c>
      <c r="C11712" s="1" t="str">
        <f>HYPERLINK("http://www.genecards.org/cgi-bin/carddisp.pl?gene=YWHAZ","GeneCards")</f>
        <v>GeneCards</v>
      </c>
      <c r="D11712" s="1" t="str">
        <f>HYPERLINK("http://genome-euro.ucsc.edu/cgi-bin/hgTracks?position=200638_s_at","UCSC")</f>
        <v>UCSC</v>
      </c>
      <c r="E11712" s="1" t="str">
        <f>HYPERLINK("http://www.ncbi.nlm.nih.gov/gene/?term=YWHAZ","NCBI")</f>
        <v>NCBI</v>
      </c>
      <c r="F11712">
        <v>0.31</v>
      </c>
      <c r="G11712">
        <v>0.46</v>
      </c>
      <c r="H11712" s="1" t="str">
        <f>HYPERLINK("http://www.weizmann.ac.il/complex/compphys/software/geview/data/figures/200638_s_at.png","Figure")</f>
        <v>Figure</v>
      </c>
      <c r="I11712">
        <v>0.68600000000000005</v>
      </c>
      <c r="J11712">
        <v>0.39</v>
      </c>
      <c r="K11712">
        <v>0.70899999999999996</v>
      </c>
      <c r="L11712">
        <v>0.36</v>
      </c>
      <c r="M11712">
        <v>1.03</v>
      </c>
      <c r="N11712">
        <v>0.99</v>
      </c>
    </row>
    <row r="11713" spans="1:14" x14ac:dyDescent="0.25">
      <c r="A11713" t="s">
        <v>20215</v>
      </c>
      <c r="B11713" t="s">
        <v>20216</v>
      </c>
      <c r="C11713" s="1" t="str">
        <f>HYPERLINK("http://www.genecards.org/cgi-bin/carddisp.pl?gene=LY6D","GeneCards")</f>
        <v>GeneCards</v>
      </c>
      <c r="D11713" s="1" t="str">
        <f>HYPERLINK("http://genome-euro.ucsc.edu/cgi-bin/hgTracks?position=206276_at","UCSC")</f>
        <v>UCSC</v>
      </c>
      <c r="E11713" s="1" t="str">
        <f>HYPERLINK("http://www.ncbi.nlm.nih.gov/gene/?term=LY6D","NCBI")</f>
        <v>NCBI</v>
      </c>
      <c r="F11713">
        <v>0.31</v>
      </c>
      <c r="G11713">
        <v>0.46</v>
      </c>
      <c r="H11713" s="1" t="str">
        <f>HYPERLINK("http://www.weizmann.ac.il/complex/compphys/software/geview/data/figures/206276_at.png","Figure")</f>
        <v>Figure</v>
      </c>
      <c r="I11713">
        <v>1.1100000000000001</v>
      </c>
      <c r="J11713">
        <v>0.33</v>
      </c>
      <c r="K11713">
        <v>1.02</v>
      </c>
      <c r="L11713">
        <v>0.96</v>
      </c>
      <c r="M11713">
        <v>0.91400000000000003</v>
      </c>
      <c r="N11713">
        <v>0.4</v>
      </c>
    </row>
    <row r="11714" spans="1:14" x14ac:dyDescent="0.25">
      <c r="A11714" t="s">
        <v>20217</v>
      </c>
      <c r="B11714" t="s">
        <v>13301</v>
      </c>
      <c r="C11714" s="1" t="str">
        <f>HYPERLINK("http://www.genecards.org/cgi-bin/carddisp.pl?gene=EIF5B","GeneCards")</f>
        <v>GeneCards</v>
      </c>
      <c r="D11714" s="1" t="str">
        <f>HYPERLINK("http://genome-euro.ucsc.edu/cgi-bin/hgTracks?position=214313_s_at","UCSC")</f>
        <v>UCSC</v>
      </c>
      <c r="E11714" s="1" t="str">
        <f>HYPERLINK("http://www.ncbi.nlm.nih.gov/gene/?term=EIF5B","NCBI")</f>
        <v>NCBI</v>
      </c>
      <c r="F11714">
        <v>0.31</v>
      </c>
      <c r="G11714">
        <v>0.46</v>
      </c>
      <c r="H11714" s="1" t="str">
        <f>HYPERLINK("http://www.weizmann.ac.il/complex/compphys/software/geview/data/figures/214313_s_at.png","Figure")</f>
        <v>Figure</v>
      </c>
      <c r="I11714">
        <v>0.93100000000000005</v>
      </c>
      <c r="J11714">
        <v>0.68</v>
      </c>
      <c r="K11714">
        <v>0.89</v>
      </c>
      <c r="L11714">
        <v>0.28000000000000003</v>
      </c>
      <c r="M11714">
        <v>0.95499999999999996</v>
      </c>
      <c r="N11714">
        <v>0.83</v>
      </c>
    </row>
    <row r="11715" spans="1:14" x14ac:dyDescent="0.25">
      <c r="A11715" t="s">
        <v>20218</v>
      </c>
      <c r="B11715" t="s">
        <v>6409</v>
      </c>
      <c r="C11715" s="1" t="str">
        <f>HYPERLINK("http://www.genecards.org/cgi-bin/carddisp.pl?gene=ZMIZ2","GeneCards")</f>
        <v>GeneCards</v>
      </c>
      <c r="D11715" s="1" t="str">
        <f>HYPERLINK("http://genome-euro.ucsc.edu/cgi-bin/hgTracks?position=221924_at","UCSC")</f>
        <v>UCSC</v>
      </c>
      <c r="E11715" s="1" t="str">
        <f>HYPERLINK("http://www.ncbi.nlm.nih.gov/gene/?term=ZMIZ2","NCBI")</f>
        <v>NCBI</v>
      </c>
      <c r="F11715">
        <v>0.31</v>
      </c>
      <c r="G11715">
        <v>0.46</v>
      </c>
      <c r="H11715" s="1" t="str">
        <f>HYPERLINK("http://www.weizmann.ac.il/complex/compphys/software/geview/data/figures/221924_at.png","Figure")</f>
        <v>Figure</v>
      </c>
      <c r="I11715">
        <v>1.1100000000000001</v>
      </c>
      <c r="J11715">
        <v>0.3</v>
      </c>
      <c r="K11715">
        <v>1.03</v>
      </c>
      <c r="L11715">
        <v>0.89</v>
      </c>
      <c r="M11715">
        <v>0.92400000000000004</v>
      </c>
      <c r="N11715">
        <v>0.46</v>
      </c>
    </row>
    <row r="11716" spans="1:14" x14ac:dyDescent="0.25">
      <c r="A11716" t="s">
        <v>20219</v>
      </c>
      <c r="B11716" t="s">
        <v>7795</v>
      </c>
      <c r="C11716" s="1" t="str">
        <f>HYPERLINK("http://www.genecards.org/cgi-bin/carddisp.pl?gene=SFRS7","GeneCards")</f>
        <v>GeneCards</v>
      </c>
      <c r="D11716" s="1" t="str">
        <f>HYPERLINK("http://genome-euro.ucsc.edu/cgi-bin/hgTracks?position=211439_at","UCSC")</f>
        <v>UCSC</v>
      </c>
      <c r="E11716" s="1" t="str">
        <f>HYPERLINK("http://www.ncbi.nlm.nih.gov/gene/?term=SFRS7","NCBI")</f>
        <v>NCBI</v>
      </c>
      <c r="F11716">
        <v>0.31</v>
      </c>
      <c r="G11716">
        <v>0.46</v>
      </c>
      <c r="H11716" s="1" t="str">
        <f>HYPERLINK("http://www.weizmann.ac.il/complex/compphys/software/geview/data/figures/211439_at.png","Figure")</f>
        <v>Figure</v>
      </c>
      <c r="I11716">
        <v>1.1100000000000001</v>
      </c>
      <c r="J11716">
        <v>0.28000000000000003</v>
      </c>
      <c r="K11716">
        <v>1.04</v>
      </c>
      <c r="L11716">
        <v>0.75</v>
      </c>
      <c r="M11716">
        <v>0.94099999999999995</v>
      </c>
      <c r="N11716">
        <v>0.57999999999999996</v>
      </c>
    </row>
    <row r="11717" spans="1:14" x14ac:dyDescent="0.25">
      <c r="A11717" t="s">
        <v>20220</v>
      </c>
      <c r="B11717" t="s">
        <v>20221</v>
      </c>
      <c r="C11717" s="1" t="str">
        <f>HYPERLINK("http://www.genecards.org/cgi-bin/carddisp.pl?gene=PTPN18","GeneCards")</f>
        <v>GeneCards</v>
      </c>
      <c r="D11717" s="1" t="str">
        <f>HYPERLINK("http://genome-euro.ucsc.edu/cgi-bin/hgTracks?position=203555_at","UCSC")</f>
        <v>UCSC</v>
      </c>
      <c r="E11717" s="1" t="str">
        <f>HYPERLINK("http://www.ncbi.nlm.nih.gov/gene/?term=PTPN18","NCBI")</f>
        <v>NCBI</v>
      </c>
      <c r="F11717">
        <v>0.31</v>
      </c>
      <c r="G11717">
        <v>0.46</v>
      </c>
      <c r="H11717" s="1" t="str">
        <f>HYPERLINK("http://www.weizmann.ac.il/complex/compphys/software/geview/data/figures/203555_at.png","Figure")</f>
        <v>Figure</v>
      </c>
      <c r="I11717">
        <v>1.25</v>
      </c>
      <c r="J11717">
        <v>0.28000000000000003</v>
      </c>
      <c r="K11717">
        <v>1.1100000000000001</v>
      </c>
      <c r="L11717">
        <v>0.69</v>
      </c>
      <c r="M11717">
        <v>0.88600000000000001</v>
      </c>
      <c r="N11717">
        <v>0.63</v>
      </c>
    </row>
    <row r="11718" spans="1:14" x14ac:dyDescent="0.25">
      <c r="A11718" t="s">
        <v>20222</v>
      </c>
      <c r="B11718" t="s">
        <v>20223</v>
      </c>
      <c r="C11718" s="1" t="str">
        <f>HYPERLINK("http://www.genecards.org/cgi-bin/carddisp.pl?gene=ALDH1A2","GeneCards")</f>
        <v>GeneCards</v>
      </c>
      <c r="D11718" s="1" t="str">
        <f>HYPERLINK("http://genome-euro.ucsc.edu/cgi-bin/hgTracks?position=207015_s_at","UCSC")</f>
        <v>UCSC</v>
      </c>
      <c r="E11718" s="1" t="str">
        <f>HYPERLINK("http://www.ncbi.nlm.nih.gov/gene/?term=ALDH1A2","NCBI")</f>
        <v>NCBI</v>
      </c>
      <c r="F11718">
        <v>0.31</v>
      </c>
      <c r="G11718">
        <v>0.46</v>
      </c>
      <c r="H11718" s="1" t="str">
        <f>HYPERLINK("http://www.weizmann.ac.il/complex/compphys/software/geview/data/figures/207015_s_at.png","Figure")</f>
        <v>Figure</v>
      </c>
      <c r="I11718">
        <v>1.1100000000000001</v>
      </c>
      <c r="J11718">
        <v>0.28999999999999998</v>
      </c>
      <c r="K11718">
        <v>1.04</v>
      </c>
      <c r="L11718">
        <v>0.76</v>
      </c>
      <c r="M11718">
        <v>0.94</v>
      </c>
      <c r="N11718">
        <v>0.56999999999999995</v>
      </c>
    </row>
    <row r="11719" spans="1:14" x14ac:dyDescent="0.25">
      <c r="A11719" t="s">
        <v>20224</v>
      </c>
      <c r="B11719" t="s">
        <v>20225</v>
      </c>
      <c r="C11719" s="1" t="str">
        <f>HYPERLINK("http://www.genecards.org/cgi-bin/carddisp.pl?gene=CD7","GeneCards")</f>
        <v>GeneCards</v>
      </c>
      <c r="D11719" s="1" t="str">
        <f>HYPERLINK("http://genome-euro.ucsc.edu/cgi-bin/hgTracks?position=214049_x_at","UCSC")</f>
        <v>UCSC</v>
      </c>
      <c r="E11719" s="1" t="str">
        <f>HYPERLINK("http://www.ncbi.nlm.nih.gov/gene/?term=CD7","NCBI")</f>
        <v>NCBI</v>
      </c>
      <c r="F11719">
        <v>0.31</v>
      </c>
      <c r="G11719">
        <v>0.46</v>
      </c>
      <c r="H11719" s="1" t="str">
        <f>HYPERLINK("http://www.weizmann.ac.il/complex/compphys/software/geview/data/figures/214049_x_at.png","Figure")</f>
        <v>Figure</v>
      </c>
      <c r="I11719">
        <v>1.06</v>
      </c>
      <c r="J11719">
        <v>0.89</v>
      </c>
      <c r="K11719">
        <v>0.89300000000000002</v>
      </c>
      <c r="L11719">
        <v>0.54</v>
      </c>
      <c r="M11719">
        <v>0.84499999999999997</v>
      </c>
      <c r="N11719">
        <v>0.32</v>
      </c>
    </row>
    <row r="11720" spans="1:14" x14ac:dyDescent="0.25">
      <c r="A11720" t="s">
        <v>20226</v>
      </c>
      <c r="B11720" t="s">
        <v>12955</v>
      </c>
      <c r="C11720" s="1" t="str">
        <f>HYPERLINK("http://www.genecards.org/cgi-bin/carddisp.pl?gene=PHTF1","GeneCards")</f>
        <v>GeneCards</v>
      </c>
      <c r="D11720" s="1" t="str">
        <f>HYPERLINK("http://genome-euro.ucsc.edu/cgi-bin/hgTracks?position=215285_s_at","UCSC")</f>
        <v>UCSC</v>
      </c>
      <c r="E11720" s="1" t="str">
        <f>HYPERLINK("http://www.ncbi.nlm.nih.gov/gene/?term=PHTF1","NCBI")</f>
        <v>NCBI</v>
      </c>
      <c r="F11720">
        <v>0.31</v>
      </c>
      <c r="G11720">
        <v>0.46</v>
      </c>
      <c r="H11720" s="1" t="str">
        <f>HYPERLINK("http://www.weizmann.ac.il/complex/compphys/software/geview/data/figures/215285_s_at.png","Figure")</f>
        <v>Figure</v>
      </c>
      <c r="I11720">
        <v>0.71799999999999997</v>
      </c>
      <c r="J11720">
        <v>0.33</v>
      </c>
      <c r="K11720">
        <v>0.78500000000000003</v>
      </c>
      <c r="L11720">
        <v>0.45</v>
      </c>
      <c r="M11720">
        <v>1.0900000000000001</v>
      </c>
      <c r="N11720">
        <v>0.91</v>
      </c>
    </row>
    <row r="11721" spans="1:14" x14ac:dyDescent="0.25">
      <c r="A11721" t="s">
        <v>20227</v>
      </c>
      <c r="B11721" t="s">
        <v>15186</v>
      </c>
      <c r="C11721" s="1" t="str">
        <f>HYPERLINK("http://www.genecards.org/cgi-bin/carddisp.pl?gene=SMARCC1","GeneCards")</f>
        <v>GeneCards</v>
      </c>
      <c r="D11721" s="1" t="str">
        <f>HYPERLINK("http://genome-euro.ucsc.edu/cgi-bin/hgTracks?position=201075_s_at","UCSC")</f>
        <v>UCSC</v>
      </c>
      <c r="E11721" s="1" t="str">
        <f>HYPERLINK("http://www.ncbi.nlm.nih.gov/gene/?term=SMARCC1","NCBI")</f>
        <v>NCBI</v>
      </c>
      <c r="F11721">
        <v>0.31</v>
      </c>
      <c r="G11721">
        <v>0.46</v>
      </c>
      <c r="H11721" s="1" t="str">
        <f>HYPERLINK("http://www.weizmann.ac.il/complex/compphys/software/geview/data/figures/201075_s_at.png","Figure")</f>
        <v>Figure</v>
      </c>
      <c r="I11721">
        <v>0.77</v>
      </c>
      <c r="J11721">
        <v>0.31</v>
      </c>
      <c r="K11721">
        <v>0.93700000000000006</v>
      </c>
      <c r="L11721">
        <v>0.9</v>
      </c>
      <c r="M11721">
        <v>1.22</v>
      </c>
      <c r="N11721">
        <v>0.45</v>
      </c>
    </row>
    <row r="11722" spans="1:14" x14ac:dyDescent="0.25">
      <c r="A11722" t="s">
        <v>20228</v>
      </c>
      <c r="B11722" t="s">
        <v>10216</v>
      </c>
      <c r="C11722" s="1" t="str">
        <f>HYPERLINK("http://www.genecards.org/cgi-bin/carddisp.pl?gene=TOB2","GeneCards")</f>
        <v>GeneCards</v>
      </c>
      <c r="D11722" s="1" t="str">
        <f>HYPERLINK("http://genome-euro.ucsc.edu/cgi-bin/hgTracks?position=221496_s_at","UCSC")</f>
        <v>UCSC</v>
      </c>
      <c r="E11722" s="1" t="str">
        <f>HYPERLINK("http://www.ncbi.nlm.nih.gov/gene/?term=TOB2","NCBI")</f>
        <v>NCBI</v>
      </c>
      <c r="F11722">
        <v>0.31</v>
      </c>
      <c r="G11722">
        <v>0.46</v>
      </c>
      <c r="H11722" s="1" t="str">
        <f>HYPERLINK("http://www.weizmann.ac.il/complex/compphys/software/geview/data/figures/221496_s_at.png","Figure")</f>
        <v>Figure</v>
      </c>
      <c r="I11722">
        <v>0.86299999999999999</v>
      </c>
      <c r="J11722">
        <v>0.79</v>
      </c>
      <c r="K11722">
        <v>0.73299999999999998</v>
      </c>
      <c r="L11722">
        <v>0.28999999999999998</v>
      </c>
      <c r="M11722">
        <v>0.85</v>
      </c>
      <c r="N11722">
        <v>0.72</v>
      </c>
    </row>
    <row r="11723" spans="1:14" x14ac:dyDescent="0.25">
      <c r="A11723" t="s">
        <v>20229</v>
      </c>
      <c r="B11723" t="s">
        <v>20230</v>
      </c>
      <c r="C11723" s="1" t="str">
        <f>HYPERLINK("http://www.genecards.org/cgi-bin/carddisp.pl?gene=NSUN6","GeneCards")</f>
        <v>GeneCards</v>
      </c>
      <c r="D11723" s="1" t="str">
        <f>HYPERLINK("http://genome-euro.ucsc.edu/cgi-bin/hgTracks?position=222128_at","UCSC")</f>
        <v>UCSC</v>
      </c>
      <c r="E11723" s="1" t="str">
        <f>HYPERLINK("http://www.ncbi.nlm.nih.gov/gene/?term=NSUN6","NCBI")</f>
        <v>NCBI</v>
      </c>
      <c r="F11723">
        <v>0.31</v>
      </c>
      <c r="G11723">
        <v>0.46</v>
      </c>
      <c r="H11723" s="1" t="str">
        <f>HYPERLINK("http://www.weizmann.ac.il/complex/compphys/software/geview/data/figures/222128_at.png","Figure")</f>
        <v>Figure</v>
      </c>
      <c r="I11723">
        <v>0.82599999999999996</v>
      </c>
      <c r="J11723">
        <v>0.39</v>
      </c>
      <c r="K11723">
        <v>1</v>
      </c>
      <c r="L11723">
        <v>1</v>
      </c>
      <c r="M11723">
        <v>1.21</v>
      </c>
      <c r="N11723">
        <v>0.34</v>
      </c>
    </row>
    <row r="11724" spans="1:14" x14ac:dyDescent="0.25">
      <c r="A11724" t="s">
        <v>20231</v>
      </c>
      <c r="B11724" t="s">
        <v>6869</v>
      </c>
      <c r="C11724" s="1" t="str">
        <f>HYPERLINK("http://www.genecards.org/cgi-bin/carddisp.pl?gene=EIF5","GeneCards")</f>
        <v>GeneCards</v>
      </c>
      <c r="D11724" s="1" t="str">
        <f>HYPERLINK("http://genome-euro.ucsc.edu/cgi-bin/hgTracks?position=208708_x_at","UCSC")</f>
        <v>UCSC</v>
      </c>
      <c r="E11724" s="1" t="str">
        <f>HYPERLINK("http://www.ncbi.nlm.nih.gov/gene/?term=EIF5","NCBI")</f>
        <v>NCBI</v>
      </c>
      <c r="F11724">
        <v>0.31</v>
      </c>
      <c r="G11724">
        <v>0.46</v>
      </c>
      <c r="H11724" s="1" t="str">
        <f>HYPERLINK("http://www.weizmann.ac.il/complex/compphys/software/geview/data/figures/208708_x_at.png","Figure")</f>
        <v>Figure</v>
      </c>
      <c r="I11724">
        <v>0.748</v>
      </c>
      <c r="J11724">
        <v>0.38</v>
      </c>
      <c r="K11724">
        <v>0.99399999999999999</v>
      </c>
      <c r="L11724">
        <v>1</v>
      </c>
      <c r="M11724">
        <v>1.33</v>
      </c>
      <c r="N11724">
        <v>0.34</v>
      </c>
    </row>
    <row r="11725" spans="1:14" x14ac:dyDescent="0.25">
      <c r="A11725" t="s">
        <v>20232</v>
      </c>
      <c r="B11725" t="s">
        <v>20233</v>
      </c>
      <c r="C11725" s="1" t="str">
        <f>HYPERLINK("http://www.genecards.org/cgi-bin/carddisp.pl?gene=HIST1H2AI","GeneCards")</f>
        <v>GeneCards</v>
      </c>
      <c r="D11725" s="1" t="str">
        <f>HYPERLINK("http://genome-euro.ucsc.edu/cgi-bin/hgTracks?position=214542_x_at","UCSC")</f>
        <v>UCSC</v>
      </c>
      <c r="E11725" s="1" t="str">
        <f>HYPERLINK("http://www.ncbi.nlm.nih.gov/gene/?term=HIST1H2AI","NCBI")</f>
        <v>NCBI</v>
      </c>
      <c r="F11725">
        <v>0.31</v>
      </c>
      <c r="G11725">
        <v>0.46</v>
      </c>
      <c r="H11725" s="1" t="str">
        <f>HYPERLINK("http://www.weizmann.ac.il/complex/compphys/software/geview/data/figures/214542_x_at.png","Figure")</f>
        <v>Figure</v>
      </c>
      <c r="I11725">
        <v>1.4</v>
      </c>
      <c r="J11725">
        <v>0.32</v>
      </c>
      <c r="K11725">
        <v>1.27</v>
      </c>
      <c r="L11725">
        <v>0.46</v>
      </c>
      <c r="M11725">
        <v>0.90600000000000003</v>
      </c>
      <c r="N11725">
        <v>0.89</v>
      </c>
    </row>
    <row r="11726" spans="1:14" x14ac:dyDescent="0.25">
      <c r="A11726" t="s">
        <v>20234</v>
      </c>
      <c r="B11726" t="s">
        <v>20235</v>
      </c>
      <c r="C11726" s="1" t="str">
        <f>HYPERLINK("http://www.genecards.org/cgi-bin/carddisp.pl?gene=GCM1","GeneCards")</f>
        <v>GeneCards</v>
      </c>
      <c r="D11726" s="1" t="str">
        <f>HYPERLINK("http://genome-euro.ucsc.edu/cgi-bin/hgTracks?position=206269_at","UCSC")</f>
        <v>UCSC</v>
      </c>
      <c r="E11726" s="1" t="str">
        <f>HYPERLINK("http://www.ncbi.nlm.nih.gov/gene/?term=GCM1","NCBI")</f>
        <v>NCBI</v>
      </c>
      <c r="F11726">
        <v>0.31</v>
      </c>
      <c r="G11726">
        <v>0.46</v>
      </c>
      <c r="H11726" s="1" t="str">
        <f>HYPERLINK("http://www.weizmann.ac.il/complex/compphys/software/geview/data/figures/206269_at.png","Figure")</f>
        <v>Figure</v>
      </c>
      <c r="I11726">
        <v>1</v>
      </c>
      <c r="J11726">
        <v>1</v>
      </c>
      <c r="K11726">
        <v>0.99099999999999999</v>
      </c>
      <c r="L11726">
        <v>0.38</v>
      </c>
      <c r="M11726">
        <v>0.99099999999999999</v>
      </c>
      <c r="N11726">
        <v>0.43</v>
      </c>
    </row>
    <row r="11727" spans="1:14" x14ac:dyDescent="0.25">
      <c r="A11727" t="s">
        <v>20236</v>
      </c>
      <c r="B11727" t="s">
        <v>20237</v>
      </c>
      <c r="C11727" s="1" t="str">
        <f>HYPERLINK("http://www.genecards.org/cgi-bin/carddisp.pl?gene=GRAMD3","GeneCards")</f>
        <v>GeneCards</v>
      </c>
      <c r="D11727" s="1" t="str">
        <f>HYPERLINK("http://genome-euro.ucsc.edu/cgi-bin/hgTracks?position=218706_s_at","UCSC")</f>
        <v>UCSC</v>
      </c>
      <c r="E11727" s="1" t="str">
        <f>HYPERLINK("http://www.ncbi.nlm.nih.gov/gene/?term=GRAMD3","NCBI")</f>
        <v>NCBI</v>
      </c>
      <c r="F11727">
        <v>0.31</v>
      </c>
      <c r="G11727">
        <v>0.46</v>
      </c>
      <c r="H11727" s="1" t="str">
        <f>HYPERLINK("http://www.weizmann.ac.il/complex/compphys/software/geview/data/figures/218706_s_at.png","Figure")</f>
        <v>Figure</v>
      </c>
      <c r="I11727">
        <v>1</v>
      </c>
      <c r="J11727">
        <v>1</v>
      </c>
      <c r="K11727">
        <v>0.98199999999999998</v>
      </c>
      <c r="L11727">
        <v>0.38</v>
      </c>
      <c r="M11727">
        <v>0.98199999999999998</v>
      </c>
      <c r="N11727">
        <v>0.43</v>
      </c>
    </row>
    <row r="11728" spans="1:14" x14ac:dyDescent="0.25">
      <c r="A11728" t="s">
        <v>20238</v>
      </c>
      <c r="B11728" t="s">
        <v>20239</v>
      </c>
      <c r="C11728" s="1" t="str">
        <f>HYPERLINK("http://www.genecards.org/cgi-bin/carddisp.pl?gene=GAL","GeneCards")</f>
        <v>GeneCards</v>
      </c>
      <c r="D11728" s="1" t="str">
        <f>HYPERLINK("http://genome-euro.ucsc.edu/cgi-bin/hgTracks?position=207466_at","UCSC")</f>
        <v>UCSC</v>
      </c>
      <c r="E11728" s="1" t="str">
        <f>HYPERLINK("http://www.ncbi.nlm.nih.gov/gene/?term=GAL","NCBI")</f>
        <v>NCBI</v>
      </c>
      <c r="F11728">
        <v>0.31</v>
      </c>
      <c r="G11728">
        <v>0.46</v>
      </c>
      <c r="H11728" s="1" t="str">
        <f>HYPERLINK("http://www.weizmann.ac.il/complex/compphys/software/geview/data/figures/207466_at.png","Figure")</f>
        <v>Figure</v>
      </c>
      <c r="I11728">
        <v>0.93600000000000005</v>
      </c>
      <c r="J11728">
        <v>0.59</v>
      </c>
      <c r="K11728">
        <v>0.91300000000000003</v>
      </c>
      <c r="L11728">
        <v>0.28999999999999998</v>
      </c>
      <c r="M11728">
        <v>0.97499999999999998</v>
      </c>
      <c r="N11728">
        <v>0.91</v>
      </c>
    </row>
    <row r="11729" spans="1:14" x14ac:dyDescent="0.25">
      <c r="A11729" t="s">
        <v>20240</v>
      </c>
      <c r="B11729" t="s">
        <v>20241</v>
      </c>
      <c r="C11729" s="1" t="str">
        <f>HYPERLINK("http://www.genecards.org/cgi-bin/carddisp.pl?gene=RNF111","GeneCards")</f>
        <v>GeneCards</v>
      </c>
      <c r="D11729" s="1" t="str">
        <f>HYPERLINK("http://genome-euro.ucsc.edu/cgi-bin/hgTracks?position=218761_at","UCSC")</f>
        <v>UCSC</v>
      </c>
      <c r="E11729" s="1" t="str">
        <f>HYPERLINK("http://www.ncbi.nlm.nih.gov/gene/?term=RNF111","NCBI")</f>
        <v>NCBI</v>
      </c>
      <c r="F11729">
        <v>0.31</v>
      </c>
      <c r="G11729">
        <v>0.46</v>
      </c>
      <c r="H11729" s="1" t="str">
        <f>HYPERLINK("http://www.weizmann.ac.il/complex/compphys/software/geview/data/figures/218761_at.png","Figure")</f>
        <v>Figure</v>
      </c>
      <c r="I11729">
        <v>0.61299999999999999</v>
      </c>
      <c r="J11729">
        <v>0.31</v>
      </c>
      <c r="K11729">
        <v>0.72199999999999998</v>
      </c>
      <c r="L11729">
        <v>0.49</v>
      </c>
      <c r="M11729">
        <v>1.18</v>
      </c>
      <c r="N11729">
        <v>0.85</v>
      </c>
    </row>
    <row r="11730" spans="1:14" x14ac:dyDescent="0.25">
      <c r="A11730" t="s">
        <v>20242</v>
      </c>
      <c r="B11730" t="s">
        <v>20243</v>
      </c>
      <c r="C11730" s="1" t="str">
        <f>HYPERLINK("http://www.genecards.org/cgi-bin/carddisp.pl?gene=GPR19","GeneCards")</f>
        <v>GeneCards</v>
      </c>
      <c r="D11730" s="1" t="str">
        <f>HYPERLINK("http://genome-euro.ucsc.edu/cgi-bin/hgTracks?position=207183_at","UCSC")</f>
        <v>UCSC</v>
      </c>
      <c r="E11730" s="1" t="str">
        <f>HYPERLINK("http://www.ncbi.nlm.nih.gov/gene/?term=GPR19","NCBI")</f>
        <v>NCBI</v>
      </c>
      <c r="F11730">
        <v>0.31</v>
      </c>
      <c r="G11730">
        <v>0.46</v>
      </c>
      <c r="H11730" s="1" t="str">
        <f>HYPERLINK("http://www.weizmann.ac.il/complex/compphys/software/geview/data/figures/207183_at.png","Figure")</f>
        <v>Figure</v>
      </c>
      <c r="I11730">
        <v>0.92300000000000004</v>
      </c>
      <c r="J11730">
        <v>0.34</v>
      </c>
      <c r="K11730">
        <v>0.93899999999999995</v>
      </c>
      <c r="L11730">
        <v>0.42</v>
      </c>
      <c r="M11730">
        <v>1.02</v>
      </c>
      <c r="N11730">
        <v>0.94</v>
      </c>
    </row>
    <row r="11731" spans="1:14" x14ac:dyDescent="0.25">
      <c r="A11731" t="s">
        <v>20244</v>
      </c>
      <c r="B11731" t="s">
        <v>15870</v>
      </c>
      <c r="C11731" s="1" t="str">
        <f>HYPERLINK("http://www.genecards.org/cgi-bin/carddisp.pl?gene=ATP5L","GeneCards")</f>
        <v>GeneCards</v>
      </c>
      <c r="D11731" s="1" t="str">
        <f>HYPERLINK("http://genome-euro.ucsc.edu/cgi-bin/hgTracks?position=210453_x_at","UCSC")</f>
        <v>UCSC</v>
      </c>
      <c r="E11731" s="1" t="str">
        <f>HYPERLINK("http://www.ncbi.nlm.nih.gov/gene/?term=ATP5L","NCBI")</f>
        <v>NCBI</v>
      </c>
      <c r="F11731">
        <v>0.32</v>
      </c>
      <c r="G11731">
        <v>0.46</v>
      </c>
      <c r="H11731" s="1" t="str">
        <f>HYPERLINK("http://www.weizmann.ac.il/complex/compphys/software/geview/data/figures/210453_x_at.png","Figure")</f>
        <v>Figure</v>
      </c>
      <c r="I11731">
        <v>1.31</v>
      </c>
      <c r="J11731">
        <v>0.34</v>
      </c>
      <c r="K11731">
        <v>1.23</v>
      </c>
      <c r="L11731">
        <v>0.43</v>
      </c>
      <c r="M11731">
        <v>0.93899999999999995</v>
      </c>
      <c r="N11731">
        <v>0.93</v>
      </c>
    </row>
    <row r="11732" spans="1:14" x14ac:dyDescent="0.25">
      <c r="A11732" t="s">
        <v>20245</v>
      </c>
      <c r="B11732" t="s">
        <v>20246</v>
      </c>
      <c r="C11732" s="1" t="str">
        <f>HYPERLINK("http://www.genecards.org/cgi-bin/carddisp.pl?gene=GPC4","GeneCards")</f>
        <v>GeneCards</v>
      </c>
      <c r="D11732" s="1" t="str">
        <f>HYPERLINK("http://genome-euro.ucsc.edu/cgi-bin/hgTracks?position=204984_at","UCSC")</f>
        <v>UCSC</v>
      </c>
      <c r="E11732" s="1" t="str">
        <f>HYPERLINK("http://www.ncbi.nlm.nih.gov/gene/?term=GPC4","NCBI")</f>
        <v>NCBI</v>
      </c>
      <c r="F11732">
        <v>0.32</v>
      </c>
      <c r="G11732">
        <v>0.46</v>
      </c>
      <c r="H11732" s="1" t="str">
        <f>HYPERLINK("http://www.weizmann.ac.il/complex/compphys/software/geview/data/figures/204984_at.png","Figure")</f>
        <v>Figure</v>
      </c>
      <c r="I11732">
        <v>1.02</v>
      </c>
      <c r="J11732">
        <v>0.82</v>
      </c>
      <c r="K11732">
        <v>0.97899999999999998</v>
      </c>
      <c r="L11732">
        <v>0.61</v>
      </c>
      <c r="M11732">
        <v>0.96399999999999997</v>
      </c>
      <c r="N11732">
        <v>0.31</v>
      </c>
    </row>
    <row r="11733" spans="1:14" x14ac:dyDescent="0.25">
      <c r="A11733" t="s">
        <v>20247</v>
      </c>
      <c r="B11733" t="s">
        <v>15472</v>
      </c>
      <c r="C11733" s="1" t="str">
        <f>HYPERLINK("http://www.genecards.org/cgi-bin/carddisp.pl?gene=ATXN3","GeneCards")</f>
        <v>GeneCards</v>
      </c>
      <c r="D11733" s="1" t="str">
        <f>HYPERLINK("http://genome-euro.ucsc.edu/cgi-bin/hgTracks?position=205416_s_at","UCSC")</f>
        <v>UCSC</v>
      </c>
      <c r="E11733" s="1" t="str">
        <f>HYPERLINK("http://www.ncbi.nlm.nih.gov/gene/?term=ATXN3","NCBI")</f>
        <v>NCBI</v>
      </c>
      <c r="F11733">
        <v>0.32</v>
      </c>
      <c r="G11733">
        <v>0.46</v>
      </c>
      <c r="H11733" s="1" t="str">
        <f>HYPERLINK("http://www.weizmann.ac.il/complex/compphys/software/geview/data/figures/205416_s_at.png","Figure")</f>
        <v>Figure</v>
      </c>
      <c r="I11733">
        <v>0.94299999999999995</v>
      </c>
      <c r="J11733">
        <v>0.77</v>
      </c>
      <c r="K11733">
        <v>1.07</v>
      </c>
      <c r="L11733">
        <v>0.67</v>
      </c>
      <c r="M11733">
        <v>1.1299999999999999</v>
      </c>
      <c r="N11733">
        <v>0.3</v>
      </c>
    </row>
    <row r="11734" spans="1:14" x14ac:dyDescent="0.25">
      <c r="A11734" t="s">
        <v>20248</v>
      </c>
      <c r="B11734" t="s">
        <v>7332</v>
      </c>
      <c r="C11734" s="1" t="str">
        <f>HYPERLINK("http://www.genecards.org/cgi-bin/carddisp.pl?gene=PDS5A","GeneCards")</f>
        <v>GeneCards</v>
      </c>
      <c r="D11734" s="1" t="str">
        <f>HYPERLINK("http://genome-euro.ucsc.edu/cgi-bin/hgTracks?position=213983_s_at","UCSC")</f>
        <v>UCSC</v>
      </c>
      <c r="E11734" s="1" t="str">
        <f>HYPERLINK("http://www.ncbi.nlm.nih.gov/gene/?term=PDS5A","NCBI")</f>
        <v>NCBI</v>
      </c>
      <c r="F11734">
        <v>0.32</v>
      </c>
      <c r="G11734">
        <v>0.46</v>
      </c>
      <c r="H11734" s="1" t="str">
        <f>HYPERLINK("http://www.weizmann.ac.il/complex/compphys/software/geview/data/figures/213983_s_at.png","Figure")</f>
        <v>Figure</v>
      </c>
      <c r="I11734">
        <v>0.86199999999999999</v>
      </c>
      <c r="J11734">
        <v>0.84</v>
      </c>
      <c r="K11734">
        <v>0.69699999999999995</v>
      </c>
      <c r="L11734">
        <v>0.28999999999999998</v>
      </c>
      <c r="M11734">
        <v>0.80800000000000005</v>
      </c>
      <c r="N11734">
        <v>0.67</v>
      </c>
    </row>
    <row r="11735" spans="1:14" x14ac:dyDescent="0.25">
      <c r="A11735" t="s">
        <v>20249</v>
      </c>
      <c r="B11735" t="s">
        <v>20250</v>
      </c>
      <c r="C11735" s="1" t="str">
        <f>HYPERLINK("http://www.genecards.org/cgi-bin/carddisp.pl?gene=LOC399491","GeneCards")</f>
        <v>GeneCards</v>
      </c>
      <c r="D11735" s="1" t="str">
        <f>HYPERLINK("http://genome-euro.ucsc.edu/cgi-bin/hgTracks?position=214682_at","UCSC")</f>
        <v>UCSC</v>
      </c>
      <c r="E11735" s="1" t="str">
        <f>HYPERLINK("http://www.ncbi.nlm.nih.gov/gene/?term=LOC399491","NCBI")</f>
        <v>NCBI</v>
      </c>
      <c r="F11735">
        <v>0.32</v>
      </c>
      <c r="G11735">
        <v>0.46</v>
      </c>
      <c r="H11735" s="1" t="str">
        <f>HYPERLINK("http://www.weizmann.ac.il/complex/compphys/software/geview/data/figures/214682_at.png","Figure")</f>
        <v>Figure</v>
      </c>
      <c r="I11735">
        <v>1.05</v>
      </c>
      <c r="J11735">
        <v>0.91</v>
      </c>
      <c r="K11735">
        <v>0.9</v>
      </c>
      <c r="L11735">
        <v>0.52</v>
      </c>
      <c r="M11735">
        <v>0.86099999999999999</v>
      </c>
      <c r="N11735">
        <v>0.33</v>
      </c>
    </row>
    <row r="11736" spans="1:14" x14ac:dyDescent="0.25">
      <c r="A11736" t="s">
        <v>20251</v>
      </c>
      <c r="B11736" t="s">
        <v>20252</v>
      </c>
      <c r="C11736" s="1" t="str">
        <f>HYPERLINK("http://www.genecards.org/cgi-bin/carddisp.pl?gene=ANGPT1","GeneCards")</f>
        <v>GeneCards</v>
      </c>
      <c r="D11736" s="1" t="str">
        <f>HYPERLINK("http://genome-euro.ucsc.edu/cgi-bin/hgTracks?position=205608_s_at","UCSC")</f>
        <v>UCSC</v>
      </c>
      <c r="E11736" s="1" t="str">
        <f>HYPERLINK("http://www.ncbi.nlm.nih.gov/gene/?term=ANGPT1","NCBI")</f>
        <v>NCBI</v>
      </c>
      <c r="F11736">
        <v>0.32</v>
      </c>
      <c r="G11736">
        <v>0.46</v>
      </c>
      <c r="H11736" s="1" t="str">
        <f>HYPERLINK("http://www.weizmann.ac.il/complex/compphys/software/geview/data/figures/205608_s_at.png","Figure")</f>
        <v>Figure</v>
      </c>
      <c r="I11736">
        <v>1.06</v>
      </c>
      <c r="J11736">
        <v>0.71</v>
      </c>
      <c r="K11736">
        <v>0.95</v>
      </c>
      <c r="L11736">
        <v>0.72</v>
      </c>
      <c r="M11736">
        <v>0.89500000000000002</v>
      </c>
      <c r="N11736">
        <v>0.28999999999999998</v>
      </c>
    </row>
    <row r="11737" spans="1:14" x14ac:dyDescent="0.25">
      <c r="A11737" t="s">
        <v>20253</v>
      </c>
      <c r="B11737" t="s">
        <v>3113</v>
      </c>
      <c r="C11737" s="1" t="str">
        <f>HYPERLINK("http://www.genecards.org/cgi-bin/carddisp.pl?gene=SEC23IP","GeneCards")</f>
        <v>GeneCards</v>
      </c>
      <c r="D11737" s="1" t="str">
        <f>HYPERLINK("http://genome-euro.ucsc.edu/cgi-bin/hgTracks?position=216392_s_at","UCSC")</f>
        <v>UCSC</v>
      </c>
      <c r="E11737" s="1" t="str">
        <f>HYPERLINK("http://www.ncbi.nlm.nih.gov/gene/?term=SEC23IP","NCBI")</f>
        <v>NCBI</v>
      </c>
      <c r="F11737">
        <v>0.32</v>
      </c>
      <c r="G11737">
        <v>0.46</v>
      </c>
      <c r="H11737" s="1" t="str">
        <f>HYPERLINK("http://www.weizmann.ac.il/complex/compphys/software/geview/data/figures/216392_s_at.png","Figure")</f>
        <v>Figure</v>
      </c>
      <c r="I11737">
        <v>0.86799999999999999</v>
      </c>
      <c r="J11737">
        <v>0.45</v>
      </c>
      <c r="K11737">
        <v>1.02</v>
      </c>
      <c r="L11737">
        <v>0.98</v>
      </c>
      <c r="M11737">
        <v>1.18</v>
      </c>
      <c r="N11737">
        <v>0.31</v>
      </c>
    </row>
    <row r="11738" spans="1:14" x14ac:dyDescent="0.25">
      <c r="A11738" t="s">
        <v>20254</v>
      </c>
      <c r="B11738" t="s">
        <v>20255</v>
      </c>
      <c r="C11738" s="1" t="str">
        <f>HYPERLINK("http://www.genecards.org/cgi-bin/carddisp.pl?gene=HCN2","GeneCards")</f>
        <v>GeneCards</v>
      </c>
      <c r="D11738" s="1" t="str">
        <f>HYPERLINK("http://genome-euro.ucsc.edu/cgi-bin/hgTracks?position=214893_x_at","UCSC")</f>
        <v>UCSC</v>
      </c>
      <c r="E11738" s="1" t="str">
        <f>HYPERLINK("http://www.ncbi.nlm.nih.gov/gene/?term=HCN2","NCBI")</f>
        <v>NCBI</v>
      </c>
      <c r="F11738">
        <v>0.32</v>
      </c>
      <c r="G11738">
        <v>0.46</v>
      </c>
      <c r="H11738" s="1" t="str">
        <f>HYPERLINK("http://www.weizmann.ac.il/complex/compphys/software/geview/data/figures/214893_x_at.png","Figure")</f>
        <v>Figure</v>
      </c>
      <c r="I11738">
        <v>1.1000000000000001</v>
      </c>
      <c r="J11738">
        <v>0.3</v>
      </c>
      <c r="K11738">
        <v>1.06</v>
      </c>
      <c r="L11738">
        <v>0.56000000000000005</v>
      </c>
      <c r="M11738">
        <v>0.96</v>
      </c>
      <c r="N11738">
        <v>0.78</v>
      </c>
    </row>
    <row r="11739" spans="1:14" x14ac:dyDescent="0.25">
      <c r="A11739" t="s">
        <v>20256</v>
      </c>
      <c r="B11739" t="s">
        <v>2958</v>
      </c>
      <c r="C11739" s="1" t="str">
        <f>HYPERLINK("http://www.genecards.org/cgi-bin/carddisp.pl?gene=FGFR2","GeneCards")</f>
        <v>GeneCards</v>
      </c>
      <c r="D11739" s="1" t="str">
        <f>HYPERLINK("http://genome-euro.ucsc.edu/cgi-bin/hgTracks?position=208225_at","UCSC")</f>
        <v>UCSC</v>
      </c>
      <c r="E11739" s="1" t="str">
        <f>HYPERLINK("http://www.ncbi.nlm.nih.gov/gene/?term=FGFR2","NCBI")</f>
        <v>NCBI</v>
      </c>
      <c r="F11739">
        <v>0.32</v>
      </c>
      <c r="G11739">
        <v>0.46</v>
      </c>
      <c r="H11739" s="1" t="str">
        <f>HYPERLINK("http://www.weizmann.ac.il/complex/compphys/software/geview/data/figures/208225_at.png","Figure")</f>
        <v>Figure</v>
      </c>
      <c r="I11739">
        <v>1.05</v>
      </c>
      <c r="J11739">
        <v>0.33</v>
      </c>
      <c r="K11739">
        <v>1.01</v>
      </c>
      <c r="L11739">
        <v>0.96</v>
      </c>
      <c r="M11739">
        <v>0.95599999999999996</v>
      </c>
      <c r="N11739">
        <v>0.4</v>
      </c>
    </row>
    <row r="11740" spans="1:14" x14ac:dyDescent="0.25">
      <c r="A11740" t="s">
        <v>20257</v>
      </c>
      <c r="B11740" t="s">
        <v>20258</v>
      </c>
      <c r="C11740" s="1" t="str">
        <f>HYPERLINK("http://www.genecards.org/cgi-bin/carddisp.pl?gene=USP8","GeneCards")</f>
        <v>GeneCards</v>
      </c>
      <c r="D11740" s="1" t="str">
        <f>HYPERLINK("http://genome-euro.ucsc.edu/cgi-bin/hgTracks?position=202745_at","UCSC")</f>
        <v>UCSC</v>
      </c>
      <c r="E11740" s="1" t="str">
        <f>HYPERLINK("http://www.ncbi.nlm.nih.gov/gene/?term=USP8","NCBI")</f>
        <v>NCBI</v>
      </c>
      <c r="F11740">
        <v>0.32</v>
      </c>
      <c r="G11740">
        <v>0.46</v>
      </c>
      <c r="H11740" s="1" t="str">
        <f>HYPERLINK("http://www.weizmann.ac.il/complex/compphys/software/geview/data/figures/202745_at.png","Figure")</f>
        <v>Figure</v>
      </c>
      <c r="I11740">
        <v>0.624</v>
      </c>
      <c r="J11740">
        <v>0.33</v>
      </c>
      <c r="K11740">
        <v>0.70299999999999996</v>
      </c>
      <c r="L11740">
        <v>0.44</v>
      </c>
      <c r="M11740">
        <v>1.1299999999999999</v>
      </c>
      <c r="N11740">
        <v>0.92</v>
      </c>
    </row>
    <row r="11741" spans="1:14" x14ac:dyDescent="0.25">
      <c r="A11741" t="s">
        <v>20259</v>
      </c>
      <c r="B11741" t="s">
        <v>20260</v>
      </c>
      <c r="C11741" s="1" t="str">
        <f>HYPERLINK("http://www.genecards.org/cgi-bin/carddisp.pl?gene=OPRK1","GeneCards")</f>
        <v>GeneCards</v>
      </c>
      <c r="D11741" s="1" t="str">
        <f>HYPERLINK("http://genome-euro.ucsc.edu/cgi-bin/hgTracks?position=207553_at","UCSC")</f>
        <v>UCSC</v>
      </c>
      <c r="E11741" s="1" t="str">
        <f>HYPERLINK("http://www.ncbi.nlm.nih.gov/gene/?term=OPRK1","NCBI")</f>
        <v>NCBI</v>
      </c>
      <c r="F11741">
        <v>0.32</v>
      </c>
      <c r="G11741">
        <v>0.46</v>
      </c>
      <c r="H11741" s="1" t="str">
        <f>HYPERLINK("http://www.weizmann.ac.il/complex/compphys/software/geview/data/figures/207553_at.png","Figure")</f>
        <v>Figure</v>
      </c>
      <c r="I11741">
        <v>1.02</v>
      </c>
      <c r="J11741">
        <v>0.99</v>
      </c>
      <c r="K11741">
        <v>0.87</v>
      </c>
      <c r="L11741">
        <v>0.42</v>
      </c>
      <c r="M11741">
        <v>0.85599999999999998</v>
      </c>
      <c r="N11741">
        <v>0.39</v>
      </c>
    </row>
    <row r="11742" spans="1:14" x14ac:dyDescent="0.25">
      <c r="A11742" t="s">
        <v>20261</v>
      </c>
      <c r="B11742" t="s">
        <v>235</v>
      </c>
      <c r="C11742" s="1" t="str">
        <f>HYPERLINK("http://www.genecards.org/cgi-bin/carddisp.pl?gene=ARHGEF4","GeneCards")</f>
        <v>GeneCards</v>
      </c>
      <c r="D11742" s="1" t="str">
        <f>HYPERLINK("http://genome-euro.ucsc.edu/cgi-bin/hgTracks?position=211891_s_at","UCSC")</f>
        <v>UCSC</v>
      </c>
      <c r="E11742" s="1" t="str">
        <f>HYPERLINK("http://www.ncbi.nlm.nih.gov/gene/?term=ARHGEF4","NCBI")</f>
        <v>NCBI</v>
      </c>
      <c r="F11742">
        <v>0.32</v>
      </c>
      <c r="G11742">
        <v>0.46</v>
      </c>
      <c r="H11742" s="1" t="str">
        <f>HYPERLINK("http://www.weizmann.ac.il/complex/compphys/software/geview/data/figures/211891_s_at.png","Figure")</f>
        <v>Figure</v>
      </c>
      <c r="I11742">
        <v>0.996</v>
      </c>
      <c r="J11742">
        <v>1</v>
      </c>
      <c r="K11742">
        <v>0.94199999999999995</v>
      </c>
      <c r="L11742">
        <v>0.37</v>
      </c>
      <c r="M11742">
        <v>0.94499999999999995</v>
      </c>
      <c r="N11742">
        <v>0.46</v>
      </c>
    </row>
    <row r="11743" spans="1:14" x14ac:dyDescent="0.25">
      <c r="A11743" t="s">
        <v>20262</v>
      </c>
      <c r="B11743" t="s">
        <v>20263</v>
      </c>
      <c r="C11743" s="1" t="str">
        <f>HYPERLINK("http://www.genecards.org/cgi-bin/carddisp.pl?gene=EIF4ENIF1","GeneCards")</f>
        <v>GeneCards</v>
      </c>
      <c r="D11743" s="1" t="str">
        <f>HYPERLINK("http://genome-euro.ucsc.edu/cgi-bin/hgTracks?position=218626_at","UCSC")</f>
        <v>UCSC</v>
      </c>
      <c r="E11743" s="1" t="str">
        <f>HYPERLINK("http://www.ncbi.nlm.nih.gov/gene/?term=EIF4ENIF1","NCBI")</f>
        <v>NCBI</v>
      </c>
      <c r="F11743">
        <v>0.32</v>
      </c>
      <c r="G11743">
        <v>0.46</v>
      </c>
      <c r="H11743" s="1" t="str">
        <f>HYPERLINK("http://www.weizmann.ac.il/complex/compphys/software/geview/data/figures/218626_at.png","Figure")</f>
        <v>Figure</v>
      </c>
      <c r="I11743">
        <v>0.75</v>
      </c>
      <c r="J11743">
        <v>0.56000000000000005</v>
      </c>
      <c r="K11743">
        <v>1.1200000000000001</v>
      </c>
      <c r="L11743">
        <v>0.88</v>
      </c>
      <c r="M11743">
        <v>1.5</v>
      </c>
      <c r="N11743">
        <v>0.28999999999999998</v>
      </c>
    </row>
    <row r="11744" spans="1:14" x14ac:dyDescent="0.25">
      <c r="A11744" t="s">
        <v>20264</v>
      </c>
      <c r="B11744" t="s">
        <v>20265</v>
      </c>
      <c r="C11744" s="1" t="str">
        <f>HYPERLINK("http://www.genecards.org/cgi-bin/carddisp.pl?gene=ATG16L1","GeneCards")</f>
        <v>GeneCards</v>
      </c>
      <c r="D11744" s="1" t="str">
        <f>HYPERLINK("http://genome-euro.ucsc.edu/cgi-bin/hgTracks?position=220521_s_at","UCSC")</f>
        <v>UCSC</v>
      </c>
      <c r="E11744" s="1" t="str">
        <f>HYPERLINK("http://www.ncbi.nlm.nih.gov/gene/?term=ATG16L1","NCBI")</f>
        <v>NCBI</v>
      </c>
      <c r="F11744">
        <v>0.32</v>
      </c>
      <c r="G11744">
        <v>0.46</v>
      </c>
      <c r="H11744" s="1" t="str">
        <f>HYPERLINK("http://www.weizmann.ac.il/complex/compphys/software/geview/data/figures/220521_s_at.png","Figure")</f>
        <v>Figure</v>
      </c>
      <c r="I11744">
        <v>0.61499999999999999</v>
      </c>
      <c r="J11744">
        <v>0.42</v>
      </c>
      <c r="K11744">
        <v>0.624</v>
      </c>
      <c r="L11744">
        <v>0.35</v>
      </c>
      <c r="M11744">
        <v>1.01</v>
      </c>
      <c r="N11744">
        <v>1</v>
      </c>
    </row>
    <row r="11745" spans="1:14" x14ac:dyDescent="0.25">
      <c r="A11745" t="s">
        <v>20266</v>
      </c>
      <c r="B11745" t="s">
        <v>20267</v>
      </c>
      <c r="C11745" s="1" t="str">
        <f>HYPERLINK("http://www.genecards.org/cgi-bin/carddisp.pl?gene=SIAH2","GeneCards")</f>
        <v>GeneCards</v>
      </c>
      <c r="D11745" s="1" t="str">
        <f>HYPERLINK("http://genome-euro.ucsc.edu/cgi-bin/hgTracks?position=209339_at","UCSC")</f>
        <v>UCSC</v>
      </c>
      <c r="E11745" s="1" t="str">
        <f>HYPERLINK("http://www.ncbi.nlm.nih.gov/gene/?term=SIAH2","NCBI")</f>
        <v>NCBI</v>
      </c>
      <c r="F11745">
        <v>0.32</v>
      </c>
      <c r="G11745">
        <v>0.46</v>
      </c>
      <c r="H11745" s="1" t="str">
        <f>HYPERLINK("http://www.weizmann.ac.il/complex/compphys/software/geview/data/figures/209339_at.png","Figure")</f>
        <v>Figure</v>
      </c>
      <c r="I11745">
        <v>1.1000000000000001</v>
      </c>
      <c r="J11745">
        <v>0.82</v>
      </c>
      <c r="K11745">
        <v>0.876</v>
      </c>
      <c r="L11745">
        <v>0.62</v>
      </c>
      <c r="M11745">
        <v>0.79500000000000004</v>
      </c>
      <c r="N11745">
        <v>0.31</v>
      </c>
    </row>
    <row r="11746" spans="1:14" x14ac:dyDescent="0.25">
      <c r="A11746" t="s">
        <v>20268</v>
      </c>
      <c r="B11746" t="s">
        <v>20269</v>
      </c>
      <c r="C11746" s="1" t="str">
        <f>HYPERLINK("http://www.genecards.org/cgi-bin/carddisp.pl?gene=PPP1R13L","GeneCards")</f>
        <v>GeneCards</v>
      </c>
      <c r="D11746" s="1" t="str">
        <f>HYPERLINK("http://genome-euro.ucsc.edu/cgi-bin/hgTracks?position=218849_s_at","UCSC")</f>
        <v>UCSC</v>
      </c>
      <c r="E11746" s="1" t="str">
        <f>HYPERLINK("http://www.ncbi.nlm.nih.gov/gene/?term=PPP1R13L","NCBI")</f>
        <v>NCBI</v>
      </c>
      <c r="F11746">
        <v>0.32</v>
      </c>
      <c r="G11746">
        <v>0.46</v>
      </c>
      <c r="H11746" s="1" t="str">
        <f>HYPERLINK("http://www.weizmann.ac.il/complex/compphys/software/geview/data/figures/218849_s_at.png","Figure")</f>
        <v>Figure</v>
      </c>
      <c r="I11746">
        <v>1.1299999999999999</v>
      </c>
      <c r="J11746">
        <v>0.28999999999999998</v>
      </c>
      <c r="K11746">
        <v>1.06</v>
      </c>
      <c r="L11746">
        <v>0.66</v>
      </c>
      <c r="M11746">
        <v>0.93799999999999994</v>
      </c>
      <c r="N11746">
        <v>0.67</v>
      </c>
    </row>
    <row r="11747" spans="1:14" x14ac:dyDescent="0.25">
      <c r="A11747" t="s">
        <v>20270</v>
      </c>
      <c r="B11747" t="s">
        <v>14030</v>
      </c>
      <c r="C11747" s="1" t="str">
        <f>HYPERLINK("http://www.genecards.org/cgi-bin/carddisp.pl?gene=WDTC1","GeneCards")</f>
        <v>GeneCards</v>
      </c>
      <c r="D11747" s="1" t="str">
        <f>HYPERLINK("http://genome-euro.ucsc.edu/cgi-bin/hgTracks?position=40829_at","UCSC")</f>
        <v>UCSC</v>
      </c>
      <c r="E11747" s="1" t="str">
        <f>HYPERLINK("http://www.ncbi.nlm.nih.gov/gene/?term=WDTC1","NCBI")</f>
        <v>NCBI</v>
      </c>
      <c r="F11747">
        <v>0.32</v>
      </c>
      <c r="G11747">
        <v>0.46</v>
      </c>
      <c r="H11747" s="1" t="str">
        <f>HYPERLINK("http://www.weizmann.ac.il/complex/compphys/software/geview/data/figures/40829_at.png","Figure")</f>
        <v>Figure</v>
      </c>
      <c r="I11747">
        <v>1.25</v>
      </c>
      <c r="J11747">
        <v>0.33</v>
      </c>
      <c r="K11747">
        <v>1.18</v>
      </c>
      <c r="L11747">
        <v>0.46</v>
      </c>
      <c r="M11747">
        <v>0.93899999999999995</v>
      </c>
      <c r="N11747">
        <v>0.9</v>
      </c>
    </row>
    <row r="11748" spans="1:14" x14ac:dyDescent="0.25">
      <c r="A11748" t="s">
        <v>20271</v>
      </c>
      <c r="B11748" t="s">
        <v>20272</v>
      </c>
      <c r="C11748" s="1" t="str">
        <f>HYPERLINK("http://www.genecards.org/cgi-bin/carddisp.pl?gene=NDUFA6","GeneCards")</f>
        <v>GeneCards</v>
      </c>
      <c r="D11748" s="1" t="str">
        <f>HYPERLINK("http://genome-euro.ucsc.edu/cgi-bin/hgTracks?position=202000_at","UCSC")</f>
        <v>UCSC</v>
      </c>
      <c r="E11748" s="1" t="str">
        <f>HYPERLINK("http://www.ncbi.nlm.nih.gov/gene/?term=NDUFA6","NCBI")</f>
        <v>NCBI</v>
      </c>
      <c r="F11748">
        <v>0.32</v>
      </c>
      <c r="G11748">
        <v>0.46</v>
      </c>
      <c r="H11748" s="1" t="str">
        <f>HYPERLINK("http://www.weizmann.ac.il/complex/compphys/software/geview/data/figures/202000_at.png","Figure")</f>
        <v>Figure</v>
      </c>
      <c r="I11748">
        <v>1.07</v>
      </c>
      <c r="J11748">
        <v>0.87</v>
      </c>
      <c r="K11748">
        <v>0.89200000000000002</v>
      </c>
      <c r="L11748">
        <v>0.56999999999999995</v>
      </c>
      <c r="M11748">
        <v>0.83699999999999997</v>
      </c>
      <c r="N11748">
        <v>0.32</v>
      </c>
    </row>
    <row r="11749" spans="1:14" x14ac:dyDescent="0.25">
      <c r="A11749" t="s">
        <v>20273</v>
      </c>
      <c r="B11749" t="s">
        <v>20274</v>
      </c>
      <c r="C11749" s="1" t="str">
        <f>HYPERLINK("http://www.genecards.org/cgi-bin/carddisp.pl?gene=AMELY","GeneCards")</f>
        <v>GeneCards</v>
      </c>
      <c r="D11749" s="1" t="str">
        <f>HYPERLINK("http://genome-euro.ucsc.edu/cgi-bin/hgTracks?position=208220_x_at","UCSC")</f>
        <v>UCSC</v>
      </c>
      <c r="E11749" s="1" t="str">
        <f>HYPERLINK("http://www.ncbi.nlm.nih.gov/gene/?term=AMELY","NCBI")</f>
        <v>NCBI</v>
      </c>
      <c r="F11749">
        <v>0.32</v>
      </c>
      <c r="G11749">
        <v>0.46</v>
      </c>
      <c r="H11749" s="1" t="str">
        <f>HYPERLINK("http://www.weizmann.ac.il/complex/compphys/software/geview/data/figures/208220_x_at.png","Figure")</f>
        <v>Figure</v>
      </c>
      <c r="I11749">
        <v>1.04</v>
      </c>
      <c r="J11749">
        <v>0.35</v>
      </c>
      <c r="K11749">
        <v>1.03</v>
      </c>
      <c r="L11749">
        <v>0.41</v>
      </c>
      <c r="M11749">
        <v>0.99299999999999999</v>
      </c>
      <c r="N11749">
        <v>0.95</v>
      </c>
    </row>
    <row r="11750" spans="1:14" x14ac:dyDescent="0.25">
      <c r="A11750" t="s">
        <v>20275</v>
      </c>
      <c r="B11750" t="s">
        <v>20276</v>
      </c>
      <c r="C11750" s="1" t="str">
        <f>HYPERLINK("http://www.genecards.org/cgi-bin/carddisp.pl?gene=NMNAT2","GeneCards")</f>
        <v>GeneCards</v>
      </c>
      <c r="D11750" s="1" t="str">
        <f>HYPERLINK("http://genome-euro.ucsc.edu/cgi-bin/hgTracks?position=209755_at","UCSC")</f>
        <v>UCSC</v>
      </c>
      <c r="E11750" s="1" t="str">
        <f>HYPERLINK("http://www.ncbi.nlm.nih.gov/gene/?term=NMNAT2","NCBI")</f>
        <v>NCBI</v>
      </c>
      <c r="F11750">
        <v>0.32</v>
      </c>
      <c r="G11750">
        <v>0.46</v>
      </c>
      <c r="H11750" s="1" t="str">
        <f>HYPERLINK("http://www.weizmann.ac.il/complex/compphys/software/geview/data/figures/209755_at.png","Figure")</f>
        <v>Figure</v>
      </c>
      <c r="I11750">
        <v>1.07</v>
      </c>
      <c r="J11750">
        <v>0.56999999999999995</v>
      </c>
      <c r="K11750">
        <v>0.97099999999999997</v>
      </c>
      <c r="L11750">
        <v>0.87</v>
      </c>
      <c r="M11750">
        <v>0.90900000000000003</v>
      </c>
      <c r="N11750">
        <v>0.28999999999999998</v>
      </c>
    </row>
    <row r="11751" spans="1:14" x14ac:dyDescent="0.25">
      <c r="A11751" t="s">
        <v>20277</v>
      </c>
      <c r="B11751" t="s">
        <v>20278</v>
      </c>
      <c r="C11751" s="1" t="str">
        <f>HYPERLINK("http://www.genecards.org/cgi-bin/carddisp.pl?gene=LIMA1","GeneCards")</f>
        <v>GeneCards</v>
      </c>
      <c r="D11751" s="1" t="str">
        <f>HYPERLINK("http://genome-euro.ucsc.edu/cgi-bin/hgTracks?position=217892_s_at","UCSC")</f>
        <v>UCSC</v>
      </c>
      <c r="E11751" s="1" t="str">
        <f>HYPERLINK("http://www.ncbi.nlm.nih.gov/gene/?term=LIMA1","NCBI")</f>
        <v>NCBI</v>
      </c>
      <c r="F11751">
        <v>0.32</v>
      </c>
      <c r="G11751">
        <v>0.46</v>
      </c>
      <c r="H11751" s="1" t="str">
        <f>HYPERLINK("http://www.weizmann.ac.il/complex/compphys/software/geview/data/figures/217892_s_at.png","Figure")</f>
        <v>Figure</v>
      </c>
      <c r="I11751">
        <v>1.1200000000000001</v>
      </c>
      <c r="J11751">
        <v>0.54</v>
      </c>
      <c r="K11751">
        <v>0.96</v>
      </c>
      <c r="L11751">
        <v>0.9</v>
      </c>
      <c r="M11751">
        <v>0.85599999999999998</v>
      </c>
      <c r="N11751">
        <v>0.28999999999999998</v>
      </c>
    </row>
    <row r="11752" spans="1:14" x14ac:dyDescent="0.25">
      <c r="A11752" t="s">
        <v>20279</v>
      </c>
      <c r="B11752" t="s">
        <v>20280</v>
      </c>
      <c r="C11752" s="1" t="str">
        <f>HYPERLINK("http://www.genecards.org/cgi-bin/carddisp.pl?gene=C19orf61","GeneCards")</f>
        <v>GeneCards</v>
      </c>
      <c r="D11752" s="1" t="str">
        <f>HYPERLINK("http://genome-euro.ucsc.edu/cgi-bin/hgTracks?position=221335_x_at","UCSC")</f>
        <v>UCSC</v>
      </c>
      <c r="E11752" s="1" t="str">
        <f>HYPERLINK("http://www.ncbi.nlm.nih.gov/gene/?term=C19orf61","NCBI")</f>
        <v>NCBI</v>
      </c>
      <c r="F11752">
        <v>0.32</v>
      </c>
      <c r="G11752">
        <v>0.46</v>
      </c>
      <c r="H11752" s="1" t="str">
        <f>HYPERLINK("http://www.weizmann.ac.il/complex/compphys/software/geview/data/figures/221335_x_at.png","Figure")</f>
        <v>Figure</v>
      </c>
      <c r="I11752">
        <v>1.1100000000000001</v>
      </c>
      <c r="J11752">
        <v>0.38</v>
      </c>
      <c r="K11752">
        <v>1.1000000000000001</v>
      </c>
      <c r="L11752">
        <v>0.38</v>
      </c>
      <c r="M11752">
        <v>0.98599999999999999</v>
      </c>
      <c r="N11752">
        <v>0.98</v>
      </c>
    </row>
    <row r="11753" spans="1:14" x14ac:dyDescent="0.25">
      <c r="A11753" t="s">
        <v>20281</v>
      </c>
      <c r="B11753" t="s">
        <v>20282</v>
      </c>
      <c r="C11753" s="1" t="str">
        <f>HYPERLINK("http://www.genecards.org/cgi-bin/carddisp.pl?gene=CDH16","GeneCards")</f>
        <v>GeneCards</v>
      </c>
      <c r="D11753" s="1" t="str">
        <f>HYPERLINK("http://genome-euro.ucsc.edu/cgi-bin/hgTracks?position=206517_at","UCSC")</f>
        <v>UCSC</v>
      </c>
      <c r="E11753" s="1" t="str">
        <f>HYPERLINK("http://www.ncbi.nlm.nih.gov/gene/?term=CDH16","NCBI")</f>
        <v>NCBI</v>
      </c>
      <c r="F11753">
        <v>0.32</v>
      </c>
      <c r="G11753">
        <v>0.46</v>
      </c>
      <c r="H11753" s="1" t="str">
        <f>HYPERLINK("http://www.weizmann.ac.il/complex/compphys/software/geview/data/figures/206517_at.png","Figure")</f>
        <v>Figure</v>
      </c>
      <c r="I11753">
        <v>1.05</v>
      </c>
      <c r="J11753">
        <v>0.32</v>
      </c>
      <c r="K11753">
        <v>1.03</v>
      </c>
      <c r="L11753">
        <v>0.49</v>
      </c>
      <c r="M11753">
        <v>0.98499999999999999</v>
      </c>
      <c r="N11753">
        <v>0.85</v>
      </c>
    </row>
    <row r="11754" spans="1:14" x14ac:dyDescent="0.25">
      <c r="A11754" t="s">
        <v>20283</v>
      </c>
      <c r="B11754" t="s">
        <v>12077</v>
      </c>
      <c r="C11754" s="1" t="str">
        <f>HYPERLINK("http://www.genecards.org/cgi-bin/carddisp.pl?gene=BCAM","GeneCards")</f>
        <v>GeneCards</v>
      </c>
      <c r="D11754" s="1" t="str">
        <f>HYPERLINK("http://genome-euro.ucsc.edu/cgi-bin/hgTracks?position=203009_at","UCSC")</f>
        <v>UCSC</v>
      </c>
      <c r="E11754" s="1" t="str">
        <f>HYPERLINK("http://www.ncbi.nlm.nih.gov/gene/?term=BCAM","NCBI")</f>
        <v>NCBI</v>
      </c>
      <c r="F11754">
        <v>0.32</v>
      </c>
      <c r="G11754">
        <v>0.46</v>
      </c>
      <c r="H11754" s="1" t="str">
        <f>HYPERLINK("http://www.weizmann.ac.il/complex/compphys/software/geview/data/figures/203009_at.png","Figure")</f>
        <v>Figure</v>
      </c>
      <c r="I11754">
        <v>1.1399999999999999</v>
      </c>
      <c r="J11754">
        <v>0.28999999999999998</v>
      </c>
      <c r="K11754">
        <v>1.06</v>
      </c>
      <c r="L11754">
        <v>0.71</v>
      </c>
      <c r="M11754">
        <v>0.92800000000000005</v>
      </c>
      <c r="N11754">
        <v>0.62</v>
      </c>
    </row>
    <row r="11755" spans="1:14" x14ac:dyDescent="0.25">
      <c r="A11755" t="s">
        <v>20284</v>
      </c>
      <c r="B11755" t="s">
        <v>20285</v>
      </c>
      <c r="C11755" s="1" t="str">
        <f>HYPERLINK("http://www.genecards.org/cgi-bin/carddisp.pl?gene=RGN","GeneCards")</f>
        <v>GeneCards</v>
      </c>
      <c r="D11755" s="1" t="str">
        <f>HYPERLINK("http://genome-euro.ucsc.edu/cgi-bin/hgTracks?position=210751_s_at","UCSC")</f>
        <v>UCSC</v>
      </c>
      <c r="E11755" s="1" t="str">
        <f>HYPERLINK("http://www.ncbi.nlm.nih.gov/gene/?term=RGN","NCBI")</f>
        <v>NCBI</v>
      </c>
      <c r="F11755">
        <v>0.32</v>
      </c>
      <c r="G11755">
        <v>0.46</v>
      </c>
      <c r="H11755" s="1" t="str">
        <f>HYPERLINK("http://www.weizmann.ac.il/complex/compphys/software/geview/data/figures/210751_s_at.png","Figure")</f>
        <v>Figure</v>
      </c>
      <c r="I11755">
        <v>1.1399999999999999</v>
      </c>
      <c r="J11755">
        <v>0.31</v>
      </c>
      <c r="K11755">
        <v>1.0900000000000001</v>
      </c>
      <c r="L11755">
        <v>0.5</v>
      </c>
      <c r="M11755">
        <v>0.95499999999999996</v>
      </c>
      <c r="N11755">
        <v>0.84</v>
      </c>
    </row>
    <row r="11756" spans="1:14" x14ac:dyDescent="0.25">
      <c r="A11756" t="s">
        <v>20286</v>
      </c>
      <c r="B11756" t="s">
        <v>20287</v>
      </c>
      <c r="C11756" s="1" t="str">
        <f>HYPERLINK("http://www.genecards.org/cgi-bin/carddisp.pl?gene=S1PR2","GeneCards")</f>
        <v>GeneCards</v>
      </c>
      <c r="D11756" s="1" t="str">
        <f>HYPERLINK("http://genome-euro.ucsc.edu/cgi-bin/hgTracks?position=208537_at","UCSC")</f>
        <v>UCSC</v>
      </c>
      <c r="E11756" s="1" t="str">
        <f>HYPERLINK("http://www.ncbi.nlm.nih.gov/gene/?term=S1PR2","NCBI")</f>
        <v>NCBI</v>
      </c>
      <c r="F11756">
        <v>0.32</v>
      </c>
      <c r="G11756">
        <v>0.46</v>
      </c>
      <c r="H11756" s="1" t="str">
        <f>HYPERLINK("http://www.weizmann.ac.il/complex/compphys/software/geview/data/figures/208537_at.png","Figure")</f>
        <v>Figure</v>
      </c>
      <c r="I11756">
        <v>1.1000000000000001</v>
      </c>
      <c r="J11756">
        <v>0.35</v>
      </c>
      <c r="K11756">
        <v>1.07</v>
      </c>
      <c r="L11756">
        <v>0.43</v>
      </c>
      <c r="M11756">
        <v>0.97899999999999998</v>
      </c>
      <c r="N11756">
        <v>0.93</v>
      </c>
    </row>
    <row r="11757" spans="1:14" x14ac:dyDescent="0.25">
      <c r="A11757" t="s">
        <v>20288</v>
      </c>
      <c r="B11757" t="s">
        <v>20289</v>
      </c>
      <c r="C11757" s="1" t="str">
        <f>HYPERLINK("http://www.genecards.org/cgi-bin/carddisp.pl?gene=CIDEC","GeneCards")</f>
        <v>GeneCards</v>
      </c>
      <c r="D11757" s="1" t="str">
        <f>HYPERLINK("http://genome-euro.ucsc.edu/cgi-bin/hgTracks?position=219398_at","UCSC")</f>
        <v>UCSC</v>
      </c>
      <c r="E11757" s="1" t="str">
        <f>HYPERLINK("http://www.ncbi.nlm.nih.gov/gene/?term=CIDEC","NCBI")</f>
        <v>NCBI</v>
      </c>
      <c r="F11757">
        <v>0.32</v>
      </c>
      <c r="G11757">
        <v>0.46</v>
      </c>
      <c r="H11757" s="1" t="str">
        <f>HYPERLINK("http://www.weizmann.ac.il/complex/compphys/software/geview/data/figures/219398_at.png","Figure")</f>
        <v>Figure</v>
      </c>
      <c r="I11757">
        <v>1.1499999999999999</v>
      </c>
      <c r="J11757">
        <v>0.3</v>
      </c>
      <c r="K11757">
        <v>1.05</v>
      </c>
      <c r="L11757">
        <v>0.84</v>
      </c>
      <c r="M11757">
        <v>0.90800000000000003</v>
      </c>
      <c r="N11757">
        <v>0.51</v>
      </c>
    </row>
    <row r="11758" spans="1:14" x14ac:dyDescent="0.25">
      <c r="A11758" t="s">
        <v>20290</v>
      </c>
      <c r="B11758" t="s">
        <v>11707</v>
      </c>
      <c r="C11758" s="1" t="str">
        <f>HYPERLINK("http://www.genecards.org/cgi-bin/carddisp.pl?gene=TLN2","GeneCards")</f>
        <v>GeneCards</v>
      </c>
      <c r="D11758" s="1" t="str">
        <f>HYPERLINK("http://genome-euro.ucsc.edu/cgi-bin/hgTracks?position=212701_at","UCSC")</f>
        <v>UCSC</v>
      </c>
      <c r="E11758" s="1" t="str">
        <f>HYPERLINK("http://www.ncbi.nlm.nih.gov/gene/?term=TLN2","NCBI")</f>
        <v>NCBI</v>
      </c>
      <c r="F11758">
        <v>0.32</v>
      </c>
      <c r="G11758">
        <v>0.46</v>
      </c>
      <c r="H11758" s="1" t="str">
        <f>HYPERLINK("http://www.weizmann.ac.il/complex/compphys/software/geview/data/figures/212701_at.png","Figure")</f>
        <v>Figure</v>
      </c>
      <c r="I11758">
        <v>1.1100000000000001</v>
      </c>
      <c r="J11758">
        <v>0.39</v>
      </c>
      <c r="K11758">
        <v>1.1000000000000001</v>
      </c>
      <c r="L11758">
        <v>0.37</v>
      </c>
      <c r="M11758">
        <v>0.99</v>
      </c>
      <c r="N11758">
        <v>0.99</v>
      </c>
    </row>
    <row r="11759" spans="1:14" x14ac:dyDescent="0.25">
      <c r="A11759" t="s">
        <v>20291</v>
      </c>
      <c r="B11759" t="s">
        <v>20292</v>
      </c>
      <c r="C11759" s="1" t="str">
        <f>HYPERLINK("http://www.genecards.org/cgi-bin/carddisp.pl?gene=TUBA4B","GeneCards")</f>
        <v>GeneCards</v>
      </c>
      <c r="D11759" s="1" t="str">
        <f>HYPERLINK("http://genome-euro.ucsc.edu/cgi-bin/hgTracks?position=207490_at","UCSC")</f>
        <v>UCSC</v>
      </c>
      <c r="E11759" s="1" t="str">
        <f>HYPERLINK("http://www.ncbi.nlm.nih.gov/gene/?term=TUBA4B","NCBI")</f>
        <v>NCBI</v>
      </c>
      <c r="F11759">
        <v>0.32</v>
      </c>
      <c r="G11759">
        <v>0.46</v>
      </c>
      <c r="H11759" s="1" t="str">
        <f>HYPERLINK("http://www.weizmann.ac.il/complex/compphys/software/geview/data/figures/207490_at.png","Figure")</f>
        <v>Figure</v>
      </c>
      <c r="I11759">
        <v>1.0900000000000001</v>
      </c>
      <c r="J11759">
        <v>0.59</v>
      </c>
      <c r="K11759">
        <v>0.95899999999999996</v>
      </c>
      <c r="L11759">
        <v>0.85</v>
      </c>
      <c r="M11759">
        <v>0.88</v>
      </c>
      <c r="N11759">
        <v>0.28999999999999998</v>
      </c>
    </row>
    <row r="11760" spans="1:14" x14ac:dyDescent="0.25">
      <c r="A11760" t="s">
        <v>20293</v>
      </c>
      <c r="B11760" t="s">
        <v>10756</v>
      </c>
      <c r="C11760" s="1" t="str">
        <f>HYPERLINK("http://www.genecards.org/cgi-bin/carddisp.pl?gene=GEMIN4","GeneCards")</f>
        <v>GeneCards</v>
      </c>
      <c r="D11760" s="1" t="str">
        <f>HYPERLINK("http://genome-euro.ucsc.edu/cgi-bin/hgTracks?position=205527_s_at","UCSC")</f>
        <v>UCSC</v>
      </c>
      <c r="E11760" s="1" t="str">
        <f>HYPERLINK("http://www.ncbi.nlm.nih.gov/gene/?term=GEMIN4","NCBI")</f>
        <v>NCBI</v>
      </c>
      <c r="F11760">
        <v>0.32</v>
      </c>
      <c r="G11760">
        <v>0.46</v>
      </c>
      <c r="H11760" s="1" t="str">
        <f>HYPERLINK("http://www.weizmann.ac.il/complex/compphys/software/geview/data/figures/205527_s_at.png","Figure")</f>
        <v>Figure</v>
      </c>
      <c r="I11760">
        <v>0.98399999999999999</v>
      </c>
      <c r="J11760">
        <v>1</v>
      </c>
      <c r="K11760">
        <v>1.29</v>
      </c>
      <c r="L11760">
        <v>0.41</v>
      </c>
      <c r="M11760">
        <v>1.32</v>
      </c>
      <c r="N11760">
        <v>0.41</v>
      </c>
    </row>
    <row r="11761" spans="1:14" x14ac:dyDescent="0.25">
      <c r="A11761" t="s">
        <v>20294</v>
      </c>
      <c r="B11761" t="s">
        <v>20295</v>
      </c>
      <c r="C11761" s="1" t="str">
        <f>HYPERLINK("http://www.genecards.org/cgi-bin/carddisp.pl?gene=RRP12","GeneCards")</f>
        <v>GeneCards</v>
      </c>
      <c r="D11761" s="1" t="str">
        <f>HYPERLINK("http://genome-euro.ucsc.edu/cgi-bin/hgTracks?position=216913_s_at","UCSC")</f>
        <v>UCSC</v>
      </c>
      <c r="E11761" s="1" t="str">
        <f>HYPERLINK("http://www.ncbi.nlm.nih.gov/gene/?term=RRP12","NCBI")</f>
        <v>NCBI</v>
      </c>
      <c r="F11761">
        <v>0.32</v>
      </c>
      <c r="G11761">
        <v>0.46</v>
      </c>
      <c r="H11761" s="1" t="str">
        <f>HYPERLINK("http://www.weizmann.ac.il/complex/compphys/software/geview/data/figures/216913_s_at.png","Figure")</f>
        <v>Figure</v>
      </c>
      <c r="I11761">
        <v>1.04</v>
      </c>
      <c r="J11761">
        <v>0.97</v>
      </c>
      <c r="K11761">
        <v>0.83799999999999997</v>
      </c>
      <c r="L11761">
        <v>0.46</v>
      </c>
      <c r="M11761">
        <v>0.80700000000000005</v>
      </c>
      <c r="N11761">
        <v>0.37</v>
      </c>
    </row>
    <row r="11762" spans="1:14" x14ac:dyDescent="0.25">
      <c r="A11762" t="s">
        <v>20296</v>
      </c>
      <c r="B11762" t="s">
        <v>20297</v>
      </c>
      <c r="C11762" s="1" t="str">
        <f>HYPERLINK("http://www.genecards.org/cgi-bin/carddisp.pl?gene=CEL","GeneCards")</f>
        <v>GeneCards</v>
      </c>
      <c r="D11762" s="1" t="str">
        <f>HYPERLINK("http://genome-euro.ucsc.edu/cgi-bin/hgTracks?position=205910_s_at","UCSC")</f>
        <v>UCSC</v>
      </c>
      <c r="E11762" s="1" t="str">
        <f>HYPERLINK("http://www.ncbi.nlm.nih.gov/gene/?term=CEL","NCBI")</f>
        <v>NCBI</v>
      </c>
      <c r="F11762">
        <v>0.32</v>
      </c>
      <c r="G11762">
        <v>0.46</v>
      </c>
      <c r="H11762" s="1" t="str">
        <f>HYPERLINK("http://www.weizmann.ac.il/complex/compphys/software/geview/data/figures/205910_s_at.png","Figure")</f>
        <v>Figure</v>
      </c>
      <c r="I11762">
        <v>0.97299999999999998</v>
      </c>
      <c r="J11762">
        <v>0.93</v>
      </c>
      <c r="K11762">
        <v>1.08</v>
      </c>
      <c r="L11762">
        <v>0.51</v>
      </c>
      <c r="M11762">
        <v>1.1100000000000001</v>
      </c>
      <c r="N11762">
        <v>0.34</v>
      </c>
    </row>
    <row r="11763" spans="1:14" x14ac:dyDescent="0.25">
      <c r="A11763" t="s">
        <v>20298</v>
      </c>
      <c r="B11763" t="s">
        <v>20299</v>
      </c>
      <c r="C11763" s="1" t="str">
        <f>HYPERLINK("http://www.genecards.org/cgi-bin/carddisp.pl?gene=AASS","GeneCards")</f>
        <v>GeneCards</v>
      </c>
      <c r="D11763" s="1" t="str">
        <f>HYPERLINK("http://genome-euro.ucsc.edu/cgi-bin/hgTracks?position=214829_at","UCSC")</f>
        <v>UCSC</v>
      </c>
      <c r="E11763" s="1" t="str">
        <f>HYPERLINK("http://www.ncbi.nlm.nih.gov/gene/?term=AASS","NCBI")</f>
        <v>NCBI</v>
      </c>
      <c r="F11763">
        <v>0.32</v>
      </c>
      <c r="G11763">
        <v>0.46</v>
      </c>
      <c r="H11763" s="1" t="str">
        <f>HYPERLINK("http://www.weizmann.ac.il/complex/compphys/software/geview/data/figures/214829_at.png","Figure")</f>
        <v>Figure</v>
      </c>
      <c r="I11763">
        <v>1.02</v>
      </c>
      <c r="J11763">
        <v>0.53</v>
      </c>
      <c r="K11763">
        <v>1.02</v>
      </c>
      <c r="L11763">
        <v>0.31</v>
      </c>
      <c r="M11763">
        <v>1</v>
      </c>
      <c r="N11763">
        <v>0.97</v>
      </c>
    </row>
    <row r="11764" spans="1:14" x14ac:dyDescent="0.25">
      <c r="A11764" t="s">
        <v>20300</v>
      </c>
      <c r="B11764" t="s">
        <v>1973</v>
      </c>
      <c r="C11764" s="1" t="str">
        <f>HYPERLINK("http://www.genecards.org/cgi-bin/carddisp.pl?gene=SON","GeneCards")</f>
        <v>GeneCards</v>
      </c>
      <c r="D11764" s="1" t="str">
        <f>HYPERLINK("http://genome-euro.ucsc.edu/cgi-bin/hgTracks?position=201086_x_at","UCSC")</f>
        <v>UCSC</v>
      </c>
      <c r="E11764" s="1" t="str">
        <f>HYPERLINK("http://www.ncbi.nlm.nih.gov/gene/?term=SON","NCBI")</f>
        <v>NCBI</v>
      </c>
      <c r="F11764">
        <v>0.32</v>
      </c>
      <c r="G11764">
        <v>0.46</v>
      </c>
      <c r="H11764" s="1" t="str">
        <f>HYPERLINK("http://www.weizmann.ac.il/complex/compphys/software/geview/data/figures/201086_x_at.png","Figure")</f>
        <v>Figure</v>
      </c>
      <c r="I11764">
        <v>0.66100000000000003</v>
      </c>
      <c r="J11764">
        <v>0.49</v>
      </c>
      <c r="K11764">
        <v>1.1000000000000001</v>
      </c>
      <c r="L11764">
        <v>0.95</v>
      </c>
      <c r="M11764">
        <v>1.67</v>
      </c>
      <c r="N11764">
        <v>0.3</v>
      </c>
    </row>
    <row r="11765" spans="1:14" x14ac:dyDescent="0.25">
      <c r="A11765" t="s">
        <v>20301</v>
      </c>
      <c r="B11765" t="s">
        <v>9690</v>
      </c>
      <c r="C11765" s="1" t="str">
        <f>HYPERLINK("http://www.genecards.org/cgi-bin/carddisp.pl?gene=PMS2L1","GeneCards")</f>
        <v>GeneCards</v>
      </c>
      <c r="D11765" s="1" t="str">
        <f>HYPERLINK("http://genome-euro.ucsc.edu/cgi-bin/hgTracks?position=216843_x_at","UCSC")</f>
        <v>UCSC</v>
      </c>
      <c r="E11765" s="1" t="str">
        <f>HYPERLINK("http://www.ncbi.nlm.nih.gov/gene/?term=PMS2L1","NCBI")</f>
        <v>NCBI</v>
      </c>
      <c r="F11765">
        <v>0.32</v>
      </c>
      <c r="G11765">
        <v>0.46</v>
      </c>
      <c r="H11765" s="1" t="str">
        <f>HYPERLINK("http://www.weizmann.ac.il/complex/compphys/software/geview/data/figures/216843_x_at.png","Figure")</f>
        <v>Figure</v>
      </c>
      <c r="I11765">
        <v>1.32</v>
      </c>
      <c r="J11765">
        <v>0.28999999999999998</v>
      </c>
      <c r="K11765">
        <v>1.1399999999999999</v>
      </c>
      <c r="L11765">
        <v>0.67</v>
      </c>
      <c r="M11765">
        <v>0.86599999999999999</v>
      </c>
      <c r="N11765">
        <v>0.66</v>
      </c>
    </row>
    <row r="11766" spans="1:14" x14ac:dyDescent="0.25">
      <c r="A11766" t="s">
        <v>20302</v>
      </c>
      <c r="B11766" t="s">
        <v>9770</v>
      </c>
      <c r="C11766" s="1" t="str">
        <f>HYPERLINK("http://www.genecards.org/cgi-bin/carddisp.pl?gene=NEDD9","GeneCards")</f>
        <v>GeneCards</v>
      </c>
      <c r="D11766" s="1" t="str">
        <f>HYPERLINK("http://genome-euro.ucsc.edu/cgi-bin/hgTracks?position=202150_s_at","UCSC")</f>
        <v>UCSC</v>
      </c>
      <c r="E11766" s="1" t="str">
        <f>HYPERLINK("http://www.ncbi.nlm.nih.gov/gene/?term=NEDD9","NCBI")</f>
        <v>NCBI</v>
      </c>
      <c r="F11766">
        <v>0.32</v>
      </c>
      <c r="G11766">
        <v>0.46</v>
      </c>
      <c r="H11766" s="1" t="str">
        <f>HYPERLINK("http://www.weizmann.ac.il/complex/compphys/software/geview/data/figures/202150_s_at.png","Figure")</f>
        <v>Figure</v>
      </c>
      <c r="I11766">
        <v>0.80200000000000005</v>
      </c>
      <c r="J11766">
        <v>0.39</v>
      </c>
      <c r="K11766">
        <v>1</v>
      </c>
      <c r="L11766">
        <v>1</v>
      </c>
      <c r="M11766">
        <v>1.25</v>
      </c>
      <c r="N11766">
        <v>0.34</v>
      </c>
    </row>
    <row r="11767" spans="1:14" x14ac:dyDescent="0.25">
      <c r="A11767" t="s">
        <v>20303</v>
      </c>
      <c r="B11767" t="s">
        <v>11817</v>
      </c>
      <c r="C11767" s="1" t="str">
        <f>HYPERLINK("http://www.genecards.org/cgi-bin/carddisp.pl?gene=ZBTB43","GeneCards")</f>
        <v>GeneCards</v>
      </c>
      <c r="D11767" s="1" t="str">
        <f>HYPERLINK("http://genome-euro.ucsc.edu/cgi-bin/hgTracks?position=204181_s_at","UCSC")</f>
        <v>UCSC</v>
      </c>
      <c r="E11767" s="1" t="str">
        <f>HYPERLINK("http://www.ncbi.nlm.nih.gov/gene/?term=ZBTB43","NCBI")</f>
        <v>NCBI</v>
      </c>
      <c r="F11767">
        <v>0.32</v>
      </c>
      <c r="G11767">
        <v>0.46</v>
      </c>
      <c r="H11767" s="1" t="str">
        <f>HYPERLINK("http://www.weizmann.ac.il/complex/compphys/software/geview/data/figures/204181_s_at.png","Figure")</f>
        <v>Figure</v>
      </c>
      <c r="I11767">
        <v>1.1000000000000001</v>
      </c>
      <c r="J11767">
        <v>0.94</v>
      </c>
      <c r="K11767">
        <v>0.75900000000000001</v>
      </c>
      <c r="L11767">
        <v>0.5</v>
      </c>
      <c r="M11767">
        <v>0.69199999999999995</v>
      </c>
      <c r="N11767">
        <v>0.35</v>
      </c>
    </row>
    <row r="11768" spans="1:14" x14ac:dyDescent="0.25">
      <c r="A11768" t="s">
        <v>20304</v>
      </c>
      <c r="B11768" t="s">
        <v>7277</v>
      </c>
      <c r="C11768" s="1" t="str">
        <f>HYPERLINK("http://www.genecards.org/cgi-bin/carddisp.pl?gene=SS18","GeneCards")</f>
        <v>GeneCards</v>
      </c>
      <c r="D11768" s="1" t="str">
        <f>HYPERLINK("http://genome-euro.ucsc.edu/cgi-bin/hgTracks?position=217051_s_at","UCSC")</f>
        <v>UCSC</v>
      </c>
      <c r="E11768" s="1" t="str">
        <f>HYPERLINK("http://www.ncbi.nlm.nih.gov/gene/?term=SS18","NCBI")</f>
        <v>NCBI</v>
      </c>
      <c r="F11768">
        <v>0.32</v>
      </c>
      <c r="G11768">
        <v>0.46</v>
      </c>
      <c r="H11768" s="1" t="str">
        <f>HYPERLINK("http://www.weizmann.ac.il/complex/compphys/software/geview/data/figures/217051_s_at.png","Figure")</f>
        <v>Figure</v>
      </c>
      <c r="I11768">
        <v>1.1200000000000001</v>
      </c>
      <c r="J11768">
        <v>0.33</v>
      </c>
      <c r="K11768">
        <v>1.02</v>
      </c>
      <c r="L11768">
        <v>0.95</v>
      </c>
      <c r="M11768">
        <v>0.91300000000000003</v>
      </c>
      <c r="N11768">
        <v>0.41</v>
      </c>
    </row>
    <row r="11769" spans="1:14" x14ac:dyDescent="0.25">
      <c r="A11769" t="s">
        <v>20305</v>
      </c>
      <c r="B11769" t="s">
        <v>20306</v>
      </c>
      <c r="C11769" s="1" t="str">
        <f>HYPERLINK("http://www.genecards.org/cgi-bin/carddisp.pl?gene=OSBPL9","GeneCards")</f>
        <v>GeneCards</v>
      </c>
      <c r="D11769" s="1" t="str">
        <f>HYPERLINK("http://genome-euro.ucsc.edu/cgi-bin/hgTracks?position=218047_at","UCSC")</f>
        <v>UCSC</v>
      </c>
      <c r="E11769" s="1" t="str">
        <f>HYPERLINK("http://www.ncbi.nlm.nih.gov/gene/?term=OSBPL9","NCBI")</f>
        <v>NCBI</v>
      </c>
      <c r="F11769">
        <v>0.32</v>
      </c>
      <c r="G11769">
        <v>0.46</v>
      </c>
      <c r="H11769" s="1" t="str">
        <f>HYPERLINK("http://www.weizmann.ac.il/complex/compphys/software/geview/data/figures/218047_at.png","Figure")</f>
        <v>Figure</v>
      </c>
      <c r="I11769">
        <v>0.94599999999999995</v>
      </c>
      <c r="J11769">
        <v>0.92</v>
      </c>
      <c r="K11769">
        <v>1.1399999999999999</v>
      </c>
      <c r="L11769">
        <v>0.52</v>
      </c>
      <c r="M11769">
        <v>1.21</v>
      </c>
      <c r="N11769">
        <v>0.34</v>
      </c>
    </row>
    <row r="11770" spans="1:14" x14ac:dyDescent="0.25">
      <c r="A11770" t="s">
        <v>20307</v>
      </c>
      <c r="B11770" t="s">
        <v>20308</v>
      </c>
      <c r="C11770" s="1" t="str">
        <f>HYPERLINK("http://www.genecards.org/cgi-bin/carddisp.pl?gene=ZXDC","GeneCards")</f>
        <v>GeneCards</v>
      </c>
      <c r="D11770" s="1" t="str">
        <f>HYPERLINK("http://genome-euro.ucsc.edu/cgi-bin/hgTracks?position=218639_s_at","UCSC")</f>
        <v>UCSC</v>
      </c>
      <c r="E11770" s="1" t="str">
        <f>HYPERLINK("http://www.ncbi.nlm.nih.gov/gene/?term=ZXDC","NCBI")</f>
        <v>NCBI</v>
      </c>
      <c r="F11770">
        <v>0.32</v>
      </c>
      <c r="G11770">
        <v>0.46</v>
      </c>
      <c r="H11770" s="1" t="str">
        <f>HYPERLINK("http://www.weizmann.ac.il/complex/compphys/software/geview/data/figures/218639_s_at.png","Figure")</f>
        <v>Figure</v>
      </c>
      <c r="I11770">
        <v>1.1200000000000001</v>
      </c>
      <c r="J11770">
        <v>0.77</v>
      </c>
      <c r="K11770">
        <v>0.88300000000000001</v>
      </c>
      <c r="L11770">
        <v>0.67</v>
      </c>
      <c r="M11770">
        <v>0.78800000000000003</v>
      </c>
      <c r="N11770">
        <v>0.3</v>
      </c>
    </row>
    <row r="11771" spans="1:14" x14ac:dyDescent="0.25">
      <c r="A11771" t="s">
        <v>20309</v>
      </c>
      <c r="B11771" t="s">
        <v>9630</v>
      </c>
      <c r="C11771" s="1" t="str">
        <f>HYPERLINK("http://www.genecards.org/cgi-bin/carddisp.pl?gene=DOCK9","GeneCards")</f>
        <v>GeneCards</v>
      </c>
      <c r="D11771" s="1" t="str">
        <f>HYPERLINK("http://genome-euro.ucsc.edu/cgi-bin/hgTracks?position=212538_at","UCSC")</f>
        <v>UCSC</v>
      </c>
      <c r="E11771" s="1" t="str">
        <f>HYPERLINK("http://www.ncbi.nlm.nih.gov/gene/?term=DOCK9","NCBI")</f>
        <v>NCBI</v>
      </c>
      <c r="F11771">
        <v>0.32</v>
      </c>
      <c r="G11771">
        <v>0.46</v>
      </c>
      <c r="H11771" s="1" t="str">
        <f>HYPERLINK("http://www.weizmann.ac.il/complex/compphys/software/geview/data/figures/212538_at.png","Figure")</f>
        <v>Figure</v>
      </c>
      <c r="I11771">
        <v>1.1200000000000001</v>
      </c>
      <c r="J11771">
        <v>0.35</v>
      </c>
      <c r="K11771">
        <v>1.0900000000000001</v>
      </c>
      <c r="L11771">
        <v>0.43</v>
      </c>
      <c r="M11771">
        <v>0.97599999999999998</v>
      </c>
      <c r="N11771">
        <v>0.94</v>
      </c>
    </row>
    <row r="11772" spans="1:14" x14ac:dyDescent="0.25">
      <c r="A11772" t="s">
        <v>20310</v>
      </c>
      <c r="B11772" t="s">
        <v>17308</v>
      </c>
      <c r="C11772" s="1" t="str">
        <f>HYPERLINK("http://www.genecards.org/cgi-bin/carddisp.pl?gene=SAFB2","GeneCards")</f>
        <v>GeneCards</v>
      </c>
      <c r="D11772" s="1" t="str">
        <f>HYPERLINK("http://genome-euro.ucsc.edu/cgi-bin/hgTracks?position=203280_at","UCSC")</f>
        <v>UCSC</v>
      </c>
      <c r="E11772" s="1" t="str">
        <f>HYPERLINK("http://www.ncbi.nlm.nih.gov/gene/?term=SAFB2","NCBI")</f>
        <v>NCBI</v>
      </c>
      <c r="F11772">
        <v>0.32</v>
      </c>
      <c r="G11772">
        <v>0.46</v>
      </c>
      <c r="H11772" s="1" t="str">
        <f>HYPERLINK("http://www.weizmann.ac.il/complex/compphys/software/geview/data/figures/203280_at.png","Figure")</f>
        <v>Figure</v>
      </c>
      <c r="I11772">
        <v>1.1100000000000001</v>
      </c>
      <c r="J11772">
        <v>0.33</v>
      </c>
      <c r="K11772">
        <v>1.02</v>
      </c>
      <c r="L11772">
        <v>0.96</v>
      </c>
      <c r="M11772">
        <v>0.91500000000000004</v>
      </c>
      <c r="N11772">
        <v>0.4</v>
      </c>
    </row>
    <row r="11773" spans="1:14" x14ac:dyDescent="0.25">
      <c r="A11773" t="s">
        <v>20311</v>
      </c>
      <c r="B11773" t="s">
        <v>20312</v>
      </c>
      <c r="C11773" s="1" t="str">
        <f>HYPERLINK("http://www.genecards.org/cgi-bin/carddisp.pl?gene=UBE2W","GeneCards")</f>
        <v>GeneCards</v>
      </c>
      <c r="D11773" s="1" t="str">
        <f>HYPERLINK("http://genome-euro.ucsc.edu/cgi-bin/hgTracks?position=218521_s_at","UCSC")</f>
        <v>UCSC</v>
      </c>
      <c r="E11773" s="1" t="str">
        <f>HYPERLINK("http://www.ncbi.nlm.nih.gov/gene/?term=UBE2W","NCBI")</f>
        <v>NCBI</v>
      </c>
      <c r="F11773">
        <v>0.32</v>
      </c>
      <c r="G11773">
        <v>0.46</v>
      </c>
      <c r="H11773" s="1" t="str">
        <f>HYPERLINK("http://www.weizmann.ac.il/complex/compphys/software/geview/data/figures/218521_s_at.png","Figure")</f>
        <v>Figure</v>
      </c>
      <c r="I11773">
        <v>0.68300000000000005</v>
      </c>
      <c r="J11773">
        <v>0.31</v>
      </c>
      <c r="K11773">
        <v>0.77700000000000002</v>
      </c>
      <c r="L11773">
        <v>0.5</v>
      </c>
      <c r="M11773">
        <v>1.1399999999999999</v>
      </c>
      <c r="N11773">
        <v>0.85</v>
      </c>
    </row>
    <row r="11774" spans="1:14" x14ac:dyDescent="0.25">
      <c r="A11774" t="s">
        <v>20313</v>
      </c>
      <c r="B11774" t="s">
        <v>20314</v>
      </c>
      <c r="C11774" s="1" t="str">
        <f>HYPERLINK("http://www.genecards.org/cgi-bin/carddisp.pl?gene=MYH13","GeneCards")</f>
        <v>GeneCards</v>
      </c>
      <c r="D11774" s="1" t="str">
        <f>HYPERLINK("http://genome-euro.ucsc.edu/cgi-bin/hgTracks?position=208208_at","UCSC")</f>
        <v>UCSC</v>
      </c>
      <c r="E11774" s="1" t="str">
        <f>HYPERLINK("http://www.ncbi.nlm.nih.gov/gene/?term=MYH13","NCBI")</f>
        <v>NCBI</v>
      </c>
      <c r="F11774">
        <v>0.32</v>
      </c>
      <c r="G11774">
        <v>0.46</v>
      </c>
      <c r="H11774" s="1" t="str">
        <f>HYPERLINK("http://www.weizmann.ac.il/complex/compphys/software/geview/data/figures/208208_at.png","Figure")</f>
        <v>Figure</v>
      </c>
      <c r="I11774">
        <v>1.07</v>
      </c>
      <c r="J11774">
        <v>0.28999999999999998</v>
      </c>
      <c r="K11774">
        <v>1.03</v>
      </c>
      <c r="L11774">
        <v>0.73</v>
      </c>
      <c r="M11774">
        <v>0.96299999999999997</v>
      </c>
      <c r="N11774">
        <v>0.6</v>
      </c>
    </row>
    <row r="11775" spans="1:14" x14ac:dyDescent="0.25">
      <c r="A11775" t="s">
        <v>20315</v>
      </c>
      <c r="B11775" t="s">
        <v>4757</v>
      </c>
      <c r="C11775" s="1" t="str">
        <f>HYPERLINK("http://www.genecards.org/cgi-bin/carddisp.pl?gene=TRIM2","GeneCards")</f>
        <v>GeneCards</v>
      </c>
      <c r="D11775" s="1" t="str">
        <f>HYPERLINK("http://genome-euro.ucsc.edu/cgi-bin/hgTracks?position=202341_s_at","UCSC")</f>
        <v>UCSC</v>
      </c>
      <c r="E11775" s="1" t="str">
        <f>HYPERLINK("http://www.ncbi.nlm.nih.gov/gene/?term=TRIM2","NCBI")</f>
        <v>NCBI</v>
      </c>
      <c r="F11775">
        <v>0.32</v>
      </c>
      <c r="G11775">
        <v>0.46</v>
      </c>
      <c r="H11775" s="1" t="str">
        <f>HYPERLINK("http://www.weizmann.ac.il/complex/compphys/software/geview/data/figures/202341_s_at.png","Figure")</f>
        <v>Figure</v>
      </c>
      <c r="I11775">
        <v>1.22</v>
      </c>
      <c r="J11775">
        <v>0.42</v>
      </c>
      <c r="K11775">
        <v>1.21</v>
      </c>
      <c r="L11775">
        <v>0.35</v>
      </c>
      <c r="M11775">
        <v>0.99399999999999999</v>
      </c>
      <c r="N11775">
        <v>1</v>
      </c>
    </row>
    <row r="11776" spans="1:14" x14ac:dyDescent="0.25">
      <c r="A11776" t="s">
        <v>20316</v>
      </c>
      <c r="B11776" t="s">
        <v>20317</v>
      </c>
      <c r="C11776" s="1" t="str">
        <f>HYPERLINK("http://www.genecards.org/cgi-bin/carddisp.pl?gene=INA","GeneCards")</f>
        <v>GeneCards</v>
      </c>
      <c r="D11776" s="1" t="str">
        <f>HYPERLINK("http://genome-euro.ucsc.edu/cgi-bin/hgTracks?position=204465_s_at","UCSC")</f>
        <v>UCSC</v>
      </c>
      <c r="E11776" s="1" t="str">
        <f>HYPERLINK("http://www.ncbi.nlm.nih.gov/gene/?term=INA","NCBI")</f>
        <v>NCBI</v>
      </c>
      <c r="F11776">
        <v>0.32</v>
      </c>
      <c r="G11776">
        <v>0.46</v>
      </c>
      <c r="H11776" s="1" t="str">
        <f>HYPERLINK("http://www.weizmann.ac.il/complex/compphys/software/geview/data/figures/204465_s_at.png","Figure")</f>
        <v>Figure</v>
      </c>
      <c r="I11776">
        <v>1.1299999999999999</v>
      </c>
      <c r="J11776">
        <v>0.31</v>
      </c>
      <c r="K11776">
        <v>1.08</v>
      </c>
      <c r="L11776">
        <v>0.53</v>
      </c>
      <c r="M11776">
        <v>0.95599999999999996</v>
      </c>
      <c r="N11776">
        <v>0.81</v>
      </c>
    </row>
    <row r="11777" spans="1:14" x14ac:dyDescent="0.25">
      <c r="A11777" t="s">
        <v>20318</v>
      </c>
      <c r="B11777" t="s">
        <v>20319</v>
      </c>
      <c r="C11777" s="1" t="str">
        <f>HYPERLINK("http://www.genecards.org/cgi-bin/carddisp.pl?gene=SIX6","GeneCards")</f>
        <v>GeneCards</v>
      </c>
      <c r="D11777" s="1" t="str">
        <f>HYPERLINK("http://genome-euro.ucsc.edu/cgi-bin/hgTracks?position=207250_at","UCSC")</f>
        <v>UCSC</v>
      </c>
      <c r="E11777" s="1" t="str">
        <f>HYPERLINK("http://www.ncbi.nlm.nih.gov/gene/?term=SIX6","NCBI")</f>
        <v>NCBI</v>
      </c>
      <c r="F11777">
        <v>0.32</v>
      </c>
      <c r="G11777">
        <v>0.46</v>
      </c>
      <c r="H11777" s="1" t="str">
        <f>HYPERLINK("http://www.weizmann.ac.il/complex/compphys/software/geview/data/figures/207250_at.png","Figure")</f>
        <v>Figure</v>
      </c>
      <c r="I11777">
        <v>1.06</v>
      </c>
      <c r="J11777">
        <v>0.28999999999999998</v>
      </c>
      <c r="K11777">
        <v>1.03</v>
      </c>
      <c r="L11777">
        <v>0.72</v>
      </c>
      <c r="M11777">
        <v>0.96699999999999997</v>
      </c>
      <c r="N11777">
        <v>0.62</v>
      </c>
    </row>
    <row r="11778" spans="1:14" x14ac:dyDescent="0.25">
      <c r="A11778" t="s">
        <v>20320</v>
      </c>
      <c r="B11778" t="s">
        <v>635</v>
      </c>
      <c r="C11778" s="1" t="str">
        <f>HYPERLINK("http://www.genecards.org/cgi-bin/carddisp.pl?gene=SMYD2","GeneCards")</f>
        <v>GeneCards</v>
      </c>
      <c r="D11778" s="1" t="str">
        <f>HYPERLINK("http://genome-euro.ucsc.edu/cgi-bin/hgTracks?position=212921_at","UCSC")</f>
        <v>UCSC</v>
      </c>
      <c r="E11778" s="1" t="str">
        <f>HYPERLINK("http://www.ncbi.nlm.nih.gov/gene/?term=SMYD2","NCBI")</f>
        <v>NCBI</v>
      </c>
      <c r="F11778">
        <v>0.32</v>
      </c>
      <c r="G11778">
        <v>0.46</v>
      </c>
      <c r="H11778" s="1" t="str">
        <f>HYPERLINK("http://www.weizmann.ac.il/complex/compphys/software/geview/data/figures/212921_at.png","Figure")</f>
        <v>Figure</v>
      </c>
      <c r="I11778">
        <v>1.1399999999999999</v>
      </c>
      <c r="J11778">
        <v>0.33</v>
      </c>
      <c r="K11778">
        <v>1.1000000000000001</v>
      </c>
      <c r="L11778">
        <v>0.45</v>
      </c>
      <c r="M11778">
        <v>0.96499999999999997</v>
      </c>
      <c r="N11778">
        <v>0.91</v>
      </c>
    </row>
    <row r="11779" spans="1:14" x14ac:dyDescent="0.25">
      <c r="A11779" t="s">
        <v>20321</v>
      </c>
      <c r="B11779" t="s">
        <v>20322</v>
      </c>
      <c r="C11779" s="1" t="str">
        <f>HYPERLINK("http://www.genecards.org/cgi-bin/carddisp.pl?gene=MS4A1","GeneCards")</f>
        <v>GeneCards</v>
      </c>
      <c r="D11779" s="1" t="str">
        <f>HYPERLINK("http://genome-euro.ucsc.edu/cgi-bin/hgTracks?position=217418_x_at","UCSC")</f>
        <v>UCSC</v>
      </c>
      <c r="E11779" s="1" t="str">
        <f>HYPERLINK("http://www.ncbi.nlm.nih.gov/gene/?term=MS4A1","NCBI")</f>
        <v>NCBI</v>
      </c>
      <c r="F11779">
        <v>0.32</v>
      </c>
      <c r="G11779">
        <v>0.46</v>
      </c>
      <c r="H11779" s="1" t="str">
        <f>HYPERLINK("http://www.weizmann.ac.il/complex/compphys/software/geview/data/figures/217418_x_at.png","Figure")</f>
        <v>Figure</v>
      </c>
      <c r="I11779">
        <v>0.59299999999999997</v>
      </c>
      <c r="J11779">
        <v>0.4</v>
      </c>
      <c r="K11779">
        <v>0.623</v>
      </c>
      <c r="L11779">
        <v>0.37</v>
      </c>
      <c r="M11779">
        <v>1.05</v>
      </c>
      <c r="N11779">
        <v>0.99</v>
      </c>
    </row>
    <row r="11780" spans="1:14" x14ac:dyDescent="0.25">
      <c r="A11780" t="s">
        <v>20323</v>
      </c>
      <c r="B11780" t="s">
        <v>20324</v>
      </c>
      <c r="C11780" s="1" t="str">
        <f>HYPERLINK("http://www.genecards.org/cgi-bin/carddisp.pl?gene=COQ3","GeneCards")</f>
        <v>GeneCards</v>
      </c>
      <c r="D11780" s="1" t="str">
        <f>HYPERLINK("http://genome-euro.ucsc.edu/cgi-bin/hgTracks?position=221227_x_at","UCSC")</f>
        <v>UCSC</v>
      </c>
      <c r="E11780" s="1" t="str">
        <f>HYPERLINK("http://www.ncbi.nlm.nih.gov/gene/?term=COQ3","NCBI")</f>
        <v>NCBI</v>
      </c>
      <c r="F11780">
        <v>0.32</v>
      </c>
      <c r="G11780">
        <v>0.46</v>
      </c>
      <c r="H11780" s="1" t="str">
        <f>HYPERLINK("http://www.weizmann.ac.il/complex/compphys/software/geview/data/figures/221227_x_at.png","Figure")</f>
        <v>Figure</v>
      </c>
      <c r="I11780">
        <v>1.1100000000000001</v>
      </c>
      <c r="J11780">
        <v>0.3</v>
      </c>
      <c r="K11780">
        <v>1.06</v>
      </c>
      <c r="L11780">
        <v>0.55000000000000004</v>
      </c>
      <c r="M11780">
        <v>0.96099999999999997</v>
      </c>
      <c r="N11780">
        <v>0.79</v>
      </c>
    </row>
    <row r="11781" spans="1:14" x14ac:dyDescent="0.25">
      <c r="A11781" t="s">
        <v>20325</v>
      </c>
      <c r="B11781" t="s">
        <v>17685</v>
      </c>
      <c r="C11781" s="1" t="str">
        <f>HYPERLINK("http://www.genecards.org/cgi-bin/carddisp.pl?gene=TOP1","GeneCards")</f>
        <v>GeneCards</v>
      </c>
      <c r="D11781" s="1" t="str">
        <f>HYPERLINK("http://genome-euro.ucsc.edu/cgi-bin/hgTracks?position=208901_s_at","UCSC")</f>
        <v>UCSC</v>
      </c>
      <c r="E11781" s="1" t="str">
        <f>HYPERLINK("http://www.ncbi.nlm.nih.gov/gene/?term=TOP1","NCBI")</f>
        <v>NCBI</v>
      </c>
      <c r="F11781">
        <v>0.32</v>
      </c>
      <c r="G11781">
        <v>0.46</v>
      </c>
      <c r="H11781" s="1" t="str">
        <f>HYPERLINK("http://www.weizmann.ac.il/complex/compphys/software/geview/data/figures/208901_s_at.png","Figure")</f>
        <v>Figure</v>
      </c>
      <c r="I11781">
        <v>1.2</v>
      </c>
      <c r="J11781">
        <v>0.43</v>
      </c>
      <c r="K11781">
        <v>0.98299999999999998</v>
      </c>
      <c r="L11781">
        <v>0.99</v>
      </c>
      <c r="M11781">
        <v>0.81699999999999995</v>
      </c>
      <c r="N11781">
        <v>0.32</v>
      </c>
    </row>
    <row r="11782" spans="1:14" x14ac:dyDescent="0.25">
      <c r="A11782" t="s">
        <v>20326</v>
      </c>
      <c r="B11782" t="s">
        <v>6424</v>
      </c>
      <c r="C11782" s="1" t="str">
        <f>HYPERLINK("http://www.genecards.org/cgi-bin/carddisp.pl?gene=ESR2","GeneCards")</f>
        <v>GeneCards</v>
      </c>
      <c r="D11782" s="1" t="str">
        <f>HYPERLINK("http://genome-euro.ucsc.edu/cgi-bin/hgTracks?position=211117_x_at","UCSC")</f>
        <v>UCSC</v>
      </c>
      <c r="E11782" s="1" t="str">
        <f>HYPERLINK("http://www.ncbi.nlm.nih.gov/gene/?term=ESR2","NCBI")</f>
        <v>NCBI</v>
      </c>
      <c r="F11782">
        <v>0.32</v>
      </c>
      <c r="G11782">
        <v>0.46</v>
      </c>
      <c r="H11782" s="1" t="str">
        <f>HYPERLINK("http://www.weizmann.ac.il/complex/compphys/software/geview/data/figures/211117_x_at.png","Figure")</f>
        <v>Figure</v>
      </c>
      <c r="I11782">
        <v>0.998</v>
      </c>
      <c r="J11782">
        <v>0.98</v>
      </c>
      <c r="K11782">
        <v>0.98899999999999999</v>
      </c>
      <c r="L11782">
        <v>0.35</v>
      </c>
      <c r="M11782">
        <v>0.99099999999999999</v>
      </c>
      <c r="N11782">
        <v>0.51</v>
      </c>
    </row>
    <row r="11783" spans="1:14" x14ac:dyDescent="0.25">
      <c r="A11783" t="s">
        <v>20327</v>
      </c>
      <c r="B11783" t="s">
        <v>18223</v>
      </c>
      <c r="C11783" s="1" t="str">
        <f>HYPERLINK("http://www.genecards.org/cgi-bin/carddisp.pl?gene=ADCY9","GeneCards")</f>
        <v>GeneCards</v>
      </c>
      <c r="D11783" s="1" t="str">
        <f>HYPERLINK("http://genome-euro.ucsc.edu/cgi-bin/hgTracks?position=204497_at","UCSC")</f>
        <v>UCSC</v>
      </c>
      <c r="E11783" s="1" t="str">
        <f>HYPERLINK("http://www.ncbi.nlm.nih.gov/gene/?term=ADCY9","NCBI")</f>
        <v>NCBI</v>
      </c>
      <c r="F11783">
        <v>0.32</v>
      </c>
      <c r="G11783">
        <v>0.46</v>
      </c>
      <c r="H11783" s="1" t="str">
        <f>HYPERLINK("http://www.weizmann.ac.il/complex/compphys/software/geview/data/figures/204497_at.png","Figure")</f>
        <v>Figure</v>
      </c>
      <c r="I11783">
        <v>0.91</v>
      </c>
      <c r="J11783">
        <v>0.96</v>
      </c>
      <c r="K11783">
        <v>1.45</v>
      </c>
      <c r="L11783">
        <v>0.47</v>
      </c>
      <c r="M11783">
        <v>1.59</v>
      </c>
      <c r="N11783">
        <v>0.36</v>
      </c>
    </row>
    <row r="11784" spans="1:14" x14ac:dyDescent="0.25">
      <c r="A11784" t="s">
        <v>20328</v>
      </c>
      <c r="B11784" t="s">
        <v>20329</v>
      </c>
      <c r="C11784" s="1" t="str">
        <f>HYPERLINK("http://www.genecards.org/cgi-bin/carddisp.pl?gene=KLF2","GeneCards")</f>
        <v>GeneCards</v>
      </c>
      <c r="D11784" s="1" t="str">
        <f>HYPERLINK("http://genome-euro.ucsc.edu/cgi-bin/hgTracks?position=219371_s_at","UCSC")</f>
        <v>UCSC</v>
      </c>
      <c r="E11784" s="1" t="str">
        <f>HYPERLINK("http://www.ncbi.nlm.nih.gov/gene/?term=KLF2","NCBI")</f>
        <v>NCBI</v>
      </c>
      <c r="F11784">
        <v>0.32</v>
      </c>
      <c r="G11784">
        <v>0.46</v>
      </c>
      <c r="H11784" s="1" t="str">
        <f>HYPERLINK("http://www.weizmann.ac.il/complex/compphys/software/geview/data/figures/219371_s_at.png","Figure")</f>
        <v>Figure</v>
      </c>
      <c r="I11784">
        <v>1.2</v>
      </c>
      <c r="J11784">
        <v>0.81</v>
      </c>
      <c r="K11784">
        <v>1.49</v>
      </c>
      <c r="L11784">
        <v>0.28999999999999998</v>
      </c>
      <c r="M11784">
        <v>1.24</v>
      </c>
      <c r="N11784">
        <v>0.71</v>
      </c>
    </row>
    <row r="11785" spans="1:14" x14ac:dyDescent="0.25">
      <c r="A11785" t="s">
        <v>20330</v>
      </c>
      <c r="B11785" t="s">
        <v>3221</v>
      </c>
      <c r="C11785" s="1" t="str">
        <f>HYPERLINK("http://www.genecards.org/cgi-bin/carddisp.pl?gene=PPFIA1","GeneCards")</f>
        <v>GeneCards</v>
      </c>
      <c r="D11785" s="1" t="str">
        <f>HYPERLINK("http://genome-euro.ucsc.edu/cgi-bin/hgTracks?position=202066_at","UCSC")</f>
        <v>UCSC</v>
      </c>
      <c r="E11785" s="1" t="str">
        <f>HYPERLINK("http://www.ncbi.nlm.nih.gov/gene/?term=PPFIA1","NCBI")</f>
        <v>NCBI</v>
      </c>
      <c r="F11785">
        <v>0.32</v>
      </c>
      <c r="G11785">
        <v>0.46</v>
      </c>
      <c r="H11785" s="1" t="str">
        <f>HYPERLINK("http://www.weizmann.ac.il/complex/compphys/software/geview/data/figures/202066_at.png","Figure")</f>
        <v>Figure</v>
      </c>
      <c r="I11785">
        <v>0.60199999999999998</v>
      </c>
      <c r="J11785">
        <v>0.3</v>
      </c>
      <c r="K11785">
        <v>0.748</v>
      </c>
      <c r="L11785">
        <v>0.57999999999999996</v>
      </c>
      <c r="M11785">
        <v>1.24</v>
      </c>
      <c r="N11785">
        <v>0.76</v>
      </c>
    </row>
    <row r="11786" spans="1:14" x14ac:dyDescent="0.25">
      <c r="A11786" t="s">
        <v>20331</v>
      </c>
      <c r="B11786" t="s">
        <v>20332</v>
      </c>
      <c r="C11786" s="1" t="str">
        <f>HYPERLINK("http://www.genecards.org/cgi-bin/carddisp.pl?gene=SPI1","GeneCards")</f>
        <v>GeneCards</v>
      </c>
      <c r="D11786" s="1" t="str">
        <f>HYPERLINK("http://genome-euro.ucsc.edu/cgi-bin/hgTracks?position=205312_at","UCSC")</f>
        <v>UCSC</v>
      </c>
      <c r="E11786" s="1" t="str">
        <f>HYPERLINK("http://www.ncbi.nlm.nih.gov/gene/?term=SPI1","NCBI")</f>
        <v>NCBI</v>
      </c>
      <c r="F11786">
        <v>0.32</v>
      </c>
      <c r="G11786">
        <v>0.46</v>
      </c>
      <c r="H11786" s="1" t="str">
        <f>HYPERLINK("http://www.weizmann.ac.il/complex/compphys/software/geview/data/figures/205312_at.png","Figure")</f>
        <v>Figure</v>
      </c>
      <c r="I11786">
        <v>0.97599999999999998</v>
      </c>
      <c r="J11786">
        <v>0.97</v>
      </c>
      <c r="K11786">
        <v>1.1200000000000001</v>
      </c>
      <c r="L11786">
        <v>0.46</v>
      </c>
      <c r="M11786">
        <v>1.1399999999999999</v>
      </c>
      <c r="N11786">
        <v>0.37</v>
      </c>
    </row>
    <row r="11787" spans="1:14" x14ac:dyDescent="0.25">
      <c r="A11787" t="s">
        <v>20333</v>
      </c>
      <c r="B11787" t="s">
        <v>20334</v>
      </c>
      <c r="C11787" s="1" t="str">
        <f>HYPERLINK("http://www.genecards.org/cgi-bin/carddisp.pl?gene=RBM19","GeneCards")</f>
        <v>GeneCards</v>
      </c>
      <c r="D11787" s="1" t="str">
        <f>HYPERLINK("http://genome-euro.ucsc.edu/cgi-bin/hgTracks?position=206019_at","UCSC")</f>
        <v>UCSC</v>
      </c>
      <c r="E11787" s="1" t="str">
        <f>HYPERLINK("http://www.ncbi.nlm.nih.gov/gene/?term=RBM19","NCBI")</f>
        <v>NCBI</v>
      </c>
      <c r="F11787">
        <v>0.32</v>
      </c>
      <c r="G11787">
        <v>0.46</v>
      </c>
      <c r="H11787" s="1" t="str">
        <f>HYPERLINK("http://www.weizmann.ac.il/complex/compphys/software/geview/data/figures/206019_at.png","Figure")</f>
        <v>Figure</v>
      </c>
      <c r="I11787">
        <v>0.97899999999999998</v>
      </c>
      <c r="J11787">
        <v>0.98</v>
      </c>
      <c r="K11787">
        <v>0.88</v>
      </c>
      <c r="L11787">
        <v>0.34</v>
      </c>
      <c r="M11787">
        <v>0.89900000000000002</v>
      </c>
      <c r="N11787">
        <v>0.51</v>
      </c>
    </row>
    <row r="11788" spans="1:14" x14ac:dyDescent="0.25">
      <c r="A11788" t="s">
        <v>20335</v>
      </c>
      <c r="B11788" t="s">
        <v>20336</v>
      </c>
      <c r="C11788" s="1" t="str">
        <f>HYPERLINK("http://www.genecards.org/cgi-bin/carddisp.pl?gene=KNG1","GeneCards")</f>
        <v>GeneCards</v>
      </c>
      <c r="D11788" s="1" t="str">
        <f>HYPERLINK("http://genome-euro.ucsc.edu/cgi-bin/hgTracks?position=206054_at","UCSC")</f>
        <v>UCSC</v>
      </c>
      <c r="E11788" s="1" t="str">
        <f>HYPERLINK("http://www.ncbi.nlm.nih.gov/gene/?term=KNG1","NCBI")</f>
        <v>NCBI</v>
      </c>
      <c r="F11788">
        <v>0.32</v>
      </c>
      <c r="G11788">
        <v>0.46</v>
      </c>
      <c r="H11788" s="1" t="str">
        <f>HYPERLINK("http://www.weizmann.ac.il/complex/compphys/software/geview/data/figures/206054_at.png","Figure")</f>
        <v>Figure</v>
      </c>
      <c r="I11788">
        <v>1.03</v>
      </c>
      <c r="J11788">
        <v>0.44</v>
      </c>
      <c r="K11788">
        <v>1.03</v>
      </c>
      <c r="L11788">
        <v>0.34</v>
      </c>
      <c r="M11788">
        <v>1</v>
      </c>
      <c r="N11788">
        <v>1</v>
      </c>
    </row>
    <row r="11789" spans="1:14" x14ac:dyDescent="0.25">
      <c r="A11789" t="s">
        <v>20337</v>
      </c>
      <c r="B11789" t="s">
        <v>20338</v>
      </c>
      <c r="C11789" s="1" t="str">
        <f>HYPERLINK("http://www.genecards.org/cgi-bin/carddisp.pl?gene=DNAJA2","GeneCards")</f>
        <v>GeneCards</v>
      </c>
      <c r="D11789" s="1" t="str">
        <f>HYPERLINK("http://genome-euro.ucsc.edu/cgi-bin/hgTracks?position=209157_at","UCSC")</f>
        <v>UCSC</v>
      </c>
      <c r="E11789" s="1" t="str">
        <f>HYPERLINK("http://www.ncbi.nlm.nih.gov/gene/?term=DNAJA2","NCBI")</f>
        <v>NCBI</v>
      </c>
      <c r="F11789">
        <v>0.32</v>
      </c>
      <c r="G11789">
        <v>0.46</v>
      </c>
      <c r="H11789" s="1" t="str">
        <f>HYPERLINK("http://www.weizmann.ac.il/complex/compphys/software/geview/data/figures/209157_at.png","Figure")</f>
        <v>Figure</v>
      </c>
      <c r="I11789">
        <v>0.77500000000000002</v>
      </c>
      <c r="J11789">
        <v>0.39</v>
      </c>
      <c r="K11789">
        <v>0.79900000000000004</v>
      </c>
      <c r="L11789">
        <v>0.38</v>
      </c>
      <c r="M11789">
        <v>1.03</v>
      </c>
      <c r="N11789">
        <v>0.98</v>
      </c>
    </row>
    <row r="11790" spans="1:14" x14ac:dyDescent="0.25">
      <c r="A11790" t="s">
        <v>20339</v>
      </c>
      <c r="B11790" t="s">
        <v>3255</v>
      </c>
      <c r="C11790" s="1" t="str">
        <f>HYPERLINK("http://www.genecards.org/cgi-bin/carddisp.pl?gene=TMF1","GeneCards")</f>
        <v>GeneCards</v>
      </c>
      <c r="D11790" s="1" t="str">
        <f>HYPERLINK("http://genome-euro.ucsc.edu/cgi-bin/hgTracks?position=213024_at","UCSC")</f>
        <v>UCSC</v>
      </c>
      <c r="E11790" s="1" t="str">
        <f>HYPERLINK("http://www.ncbi.nlm.nih.gov/gene/?term=TMF1","NCBI")</f>
        <v>NCBI</v>
      </c>
      <c r="F11790">
        <v>0.32</v>
      </c>
      <c r="G11790">
        <v>0.46</v>
      </c>
      <c r="H11790" s="1" t="str">
        <f>HYPERLINK("http://www.weizmann.ac.il/complex/compphys/software/geview/data/figures/213024_at.png","Figure")</f>
        <v>Figure</v>
      </c>
      <c r="I11790">
        <v>1</v>
      </c>
      <c r="J11790">
        <v>1</v>
      </c>
      <c r="K11790">
        <v>0.91600000000000004</v>
      </c>
      <c r="L11790">
        <v>0.39</v>
      </c>
      <c r="M11790">
        <v>0.91600000000000004</v>
      </c>
      <c r="N11790">
        <v>0.44</v>
      </c>
    </row>
    <row r="11791" spans="1:14" x14ac:dyDescent="0.25">
      <c r="A11791" t="s">
        <v>20340</v>
      </c>
      <c r="B11791" t="s">
        <v>13587</v>
      </c>
      <c r="C11791" s="1" t="str">
        <f>HYPERLINK("http://www.genecards.org/cgi-bin/carddisp.pl?gene=SLC13A3","GeneCards")</f>
        <v>GeneCards</v>
      </c>
      <c r="D11791" s="1" t="str">
        <f>HYPERLINK("http://genome-euro.ucsc.edu/cgi-bin/hgTracks?position=205243_at","UCSC")</f>
        <v>UCSC</v>
      </c>
      <c r="E11791" s="1" t="str">
        <f>HYPERLINK("http://www.ncbi.nlm.nih.gov/gene/?term=SLC13A3","NCBI")</f>
        <v>NCBI</v>
      </c>
      <c r="F11791">
        <v>0.32</v>
      </c>
      <c r="G11791">
        <v>0.46</v>
      </c>
      <c r="H11791" s="1" t="str">
        <f>HYPERLINK("http://www.weizmann.ac.il/complex/compphys/software/geview/data/figures/205243_at.png","Figure")</f>
        <v>Figure</v>
      </c>
      <c r="I11791">
        <v>1.1200000000000001</v>
      </c>
      <c r="J11791">
        <v>0.35</v>
      </c>
      <c r="K11791">
        <v>1.01</v>
      </c>
      <c r="L11791">
        <v>0.98</v>
      </c>
      <c r="M11791">
        <v>0.90700000000000003</v>
      </c>
      <c r="N11791">
        <v>0.39</v>
      </c>
    </row>
    <row r="11792" spans="1:14" x14ac:dyDescent="0.25">
      <c r="A11792" t="s">
        <v>20341</v>
      </c>
      <c r="B11792" t="s">
        <v>20342</v>
      </c>
      <c r="C11792" s="1" t="str">
        <f>HYPERLINK("http://www.genecards.org/cgi-bin/carddisp.pl?gene=TERF2IP","GeneCards")</f>
        <v>GeneCards</v>
      </c>
      <c r="D11792" s="1" t="str">
        <f>HYPERLINK("http://genome-euro.ucsc.edu/cgi-bin/hgTracks?position=201174_s_at","UCSC")</f>
        <v>UCSC</v>
      </c>
      <c r="E11792" s="1" t="str">
        <f>HYPERLINK("http://www.ncbi.nlm.nih.gov/gene/?term=TERF2IP","NCBI")</f>
        <v>NCBI</v>
      </c>
      <c r="F11792">
        <v>0.32</v>
      </c>
      <c r="G11792">
        <v>0.46</v>
      </c>
      <c r="H11792" s="1" t="str">
        <f>HYPERLINK("http://www.weizmann.ac.il/complex/compphys/software/geview/data/figures/201174_s_at.png","Figure")</f>
        <v>Figure</v>
      </c>
      <c r="I11792">
        <v>1.2</v>
      </c>
      <c r="J11792">
        <v>0.49</v>
      </c>
      <c r="K11792">
        <v>0.95699999999999996</v>
      </c>
      <c r="L11792">
        <v>0.94</v>
      </c>
      <c r="M11792">
        <v>0.8</v>
      </c>
      <c r="N11792">
        <v>0.3</v>
      </c>
    </row>
    <row r="11793" spans="1:14" x14ac:dyDescent="0.25">
      <c r="A11793" t="s">
        <v>20343</v>
      </c>
      <c r="B11793" t="s">
        <v>5561</v>
      </c>
      <c r="C11793" s="1" t="str">
        <f>HYPERLINK("http://www.genecards.org/cgi-bin/carddisp.pl?gene=DCAF15","GeneCards")</f>
        <v>GeneCards</v>
      </c>
      <c r="D11793" s="1" t="str">
        <f>HYPERLINK("http://genome-euro.ucsc.edu/cgi-bin/hgTracks?position=221849_s_at","UCSC")</f>
        <v>UCSC</v>
      </c>
      <c r="E11793" s="1" t="str">
        <f>HYPERLINK("http://www.ncbi.nlm.nih.gov/gene/?term=DCAF15","NCBI")</f>
        <v>NCBI</v>
      </c>
      <c r="F11793">
        <v>0.32</v>
      </c>
      <c r="G11793">
        <v>0.46</v>
      </c>
      <c r="H11793" s="1" t="str">
        <f>HYPERLINK("http://www.weizmann.ac.il/complex/compphys/software/geview/data/figures/221849_s_at.png","Figure")</f>
        <v>Figure</v>
      </c>
      <c r="I11793">
        <v>0.98699999999999999</v>
      </c>
      <c r="J11793">
        <v>0.99</v>
      </c>
      <c r="K11793">
        <v>0.84399999999999997</v>
      </c>
      <c r="L11793">
        <v>0.37</v>
      </c>
      <c r="M11793">
        <v>0.85499999999999998</v>
      </c>
      <c r="N11793">
        <v>0.47</v>
      </c>
    </row>
    <row r="11794" spans="1:14" x14ac:dyDescent="0.25">
      <c r="A11794" t="s">
        <v>20344</v>
      </c>
      <c r="B11794" t="s">
        <v>20345</v>
      </c>
      <c r="C11794" s="1" t="str">
        <f>HYPERLINK("http://www.genecards.org/cgi-bin/carddisp.pl?gene=P2RX4","GeneCards")</f>
        <v>GeneCards</v>
      </c>
      <c r="D11794" s="1" t="str">
        <f>HYPERLINK("http://genome-euro.ucsc.edu/cgi-bin/hgTracks?position=204088_at","UCSC")</f>
        <v>UCSC</v>
      </c>
      <c r="E11794" s="1" t="str">
        <f>HYPERLINK("http://www.ncbi.nlm.nih.gov/gene/?term=P2RX4","NCBI")</f>
        <v>NCBI</v>
      </c>
      <c r="F11794">
        <v>0.32</v>
      </c>
      <c r="G11794">
        <v>0.46</v>
      </c>
      <c r="H11794" s="1" t="str">
        <f>HYPERLINK("http://www.weizmann.ac.il/complex/compphys/software/geview/data/figures/204088_at.png","Figure")</f>
        <v>Figure</v>
      </c>
      <c r="I11794">
        <v>0.86099999999999999</v>
      </c>
      <c r="J11794">
        <v>0.46</v>
      </c>
      <c r="K11794">
        <v>0.85599999999999998</v>
      </c>
      <c r="L11794">
        <v>0.33</v>
      </c>
      <c r="M11794">
        <v>0.99299999999999999</v>
      </c>
      <c r="N11794">
        <v>1</v>
      </c>
    </row>
    <row r="11795" spans="1:14" x14ac:dyDescent="0.25">
      <c r="A11795" t="s">
        <v>20346</v>
      </c>
      <c r="B11795" t="s">
        <v>20347</v>
      </c>
      <c r="C11795" s="1" t="str">
        <f>HYPERLINK("http://www.genecards.org/cgi-bin/carddisp.pl?gene=SLC25A46","GeneCards")</f>
        <v>GeneCards</v>
      </c>
      <c r="D11795" s="1" t="str">
        <f>HYPERLINK("http://genome-euro.ucsc.edu/cgi-bin/hgTracks?position=212833_at","UCSC")</f>
        <v>UCSC</v>
      </c>
      <c r="E11795" s="1" t="str">
        <f>HYPERLINK("http://www.ncbi.nlm.nih.gov/gene/?term=SLC25A46","NCBI")</f>
        <v>NCBI</v>
      </c>
      <c r="F11795">
        <v>0.32</v>
      </c>
      <c r="G11795">
        <v>0.46</v>
      </c>
      <c r="H11795" s="1" t="str">
        <f>HYPERLINK("http://www.weizmann.ac.il/complex/compphys/software/geview/data/figures/212833_at.png","Figure")</f>
        <v>Figure</v>
      </c>
      <c r="I11795">
        <v>0.85</v>
      </c>
      <c r="J11795">
        <v>0.84</v>
      </c>
      <c r="K11795">
        <v>1.27</v>
      </c>
      <c r="L11795">
        <v>0.6</v>
      </c>
      <c r="M11795">
        <v>1.5</v>
      </c>
      <c r="N11795">
        <v>0.31</v>
      </c>
    </row>
    <row r="11796" spans="1:14" x14ac:dyDescent="0.25">
      <c r="A11796" t="s">
        <v>20348</v>
      </c>
      <c r="B11796" t="s">
        <v>20349</v>
      </c>
      <c r="C11796" s="1" t="str">
        <f>HYPERLINK("http://www.genecards.org/cgi-bin/carddisp.pl?gene=TEX13A","GeneCards")</f>
        <v>GeneCards</v>
      </c>
      <c r="D11796" s="1" t="str">
        <f>HYPERLINK("http://genome-euro.ucsc.edu/cgi-bin/hgTracks?position=221429_x_at","UCSC")</f>
        <v>UCSC</v>
      </c>
      <c r="E11796" s="1" t="str">
        <f>HYPERLINK("http://www.ncbi.nlm.nih.gov/gene/?term=TEX13A","NCBI")</f>
        <v>NCBI</v>
      </c>
      <c r="F11796">
        <v>0.32</v>
      </c>
      <c r="G11796">
        <v>0.46</v>
      </c>
      <c r="H11796" s="1" t="str">
        <f>HYPERLINK("http://www.weizmann.ac.il/complex/compphys/software/geview/data/figures/221429_x_at.png","Figure")</f>
        <v>Figure</v>
      </c>
      <c r="I11796">
        <v>0.99099999999999999</v>
      </c>
      <c r="J11796">
        <v>0.3</v>
      </c>
      <c r="K11796">
        <v>0.997</v>
      </c>
      <c r="L11796">
        <v>0.82</v>
      </c>
      <c r="M11796">
        <v>1.01</v>
      </c>
      <c r="N11796">
        <v>0.53</v>
      </c>
    </row>
    <row r="11797" spans="1:14" x14ac:dyDescent="0.25">
      <c r="A11797" t="s">
        <v>20350</v>
      </c>
      <c r="B11797" t="s">
        <v>20351</v>
      </c>
      <c r="C11797" s="1" t="str">
        <f>HYPERLINK("http://www.genecards.org/cgi-bin/carddisp.pl?gene=MIS12","GeneCards")</f>
        <v>GeneCards</v>
      </c>
      <c r="D11797" s="1" t="str">
        <f>HYPERLINK("http://genome-euro.ucsc.edu/cgi-bin/hgTracks?position=221559_s_at","UCSC")</f>
        <v>UCSC</v>
      </c>
      <c r="E11797" s="1" t="str">
        <f>HYPERLINK("http://www.ncbi.nlm.nih.gov/gene/?term=MIS12","NCBI")</f>
        <v>NCBI</v>
      </c>
      <c r="F11797">
        <v>0.32</v>
      </c>
      <c r="G11797">
        <v>0.46</v>
      </c>
      <c r="H11797" s="1" t="str">
        <f>HYPERLINK("http://www.weizmann.ac.il/complex/compphys/software/geview/data/figures/221559_s_at.png","Figure")</f>
        <v>Figure</v>
      </c>
      <c r="I11797">
        <v>0.72499999999999998</v>
      </c>
      <c r="J11797">
        <v>0.56000000000000005</v>
      </c>
      <c r="K11797">
        <v>0.66</v>
      </c>
      <c r="L11797">
        <v>0.3</v>
      </c>
      <c r="M11797">
        <v>0.91</v>
      </c>
      <c r="N11797">
        <v>0.94</v>
      </c>
    </row>
    <row r="11798" spans="1:14" x14ac:dyDescent="0.25">
      <c r="A11798" t="s">
        <v>20352</v>
      </c>
      <c r="B11798" t="s">
        <v>3601</v>
      </c>
      <c r="C11798" s="1" t="str">
        <f>HYPERLINK("http://www.genecards.org/cgi-bin/carddisp.pl?gene=RSL1D1","GeneCards")</f>
        <v>GeneCards</v>
      </c>
      <c r="D11798" s="1" t="str">
        <f>HYPERLINK("http://genome-euro.ucsc.edu/cgi-bin/hgTracks?position=212019_at","UCSC")</f>
        <v>UCSC</v>
      </c>
      <c r="E11798" s="1" t="str">
        <f>HYPERLINK("http://www.ncbi.nlm.nih.gov/gene/?term=RSL1D1","NCBI")</f>
        <v>NCBI</v>
      </c>
      <c r="F11798">
        <v>0.32</v>
      </c>
      <c r="G11798">
        <v>0.46</v>
      </c>
      <c r="H11798" s="1" t="str">
        <f>HYPERLINK("http://www.weizmann.ac.il/complex/compphys/software/geview/data/figures/212019_at.png","Figure")</f>
        <v>Figure</v>
      </c>
      <c r="I11798">
        <v>1.27</v>
      </c>
      <c r="J11798">
        <v>0.28999999999999998</v>
      </c>
      <c r="K11798">
        <v>1.1200000000000001</v>
      </c>
      <c r="L11798">
        <v>0.68</v>
      </c>
      <c r="M11798">
        <v>0.88100000000000001</v>
      </c>
      <c r="N11798">
        <v>0.65</v>
      </c>
    </row>
    <row r="11799" spans="1:14" x14ac:dyDescent="0.25">
      <c r="A11799" t="s">
        <v>20353</v>
      </c>
      <c r="B11799" t="s">
        <v>20354</v>
      </c>
      <c r="C11799" s="1" t="str">
        <f>HYPERLINK("http://www.genecards.org/cgi-bin/carddisp.pl?gene=ARHGDIG","GeneCards")</f>
        <v>GeneCards</v>
      </c>
      <c r="D11799" s="1" t="str">
        <f>HYPERLINK("http://genome-euro.ucsc.edu/cgi-bin/hgTracks?position=206888_s_at","UCSC")</f>
        <v>UCSC</v>
      </c>
      <c r="E11799" s="1" t="str">
        <f>HYPERLINK("http://www.ncbi.nlm.nih.gov/gene/?term=ARHGDIG","NCBI")</f>
        <v>NCBI</v>
      </c>
      <c r="F11799">
        <v>0.32</v>
      </c>
      <c r="G11799">
        <v>0.46</v>
      </c>
      <c r="H11799" s="1" t="str">
        <f>HYPERLINK("http://www.weizmann.ac.il/complex/compphys/software/geview/data/figures/206888_s_at.png","Figure")</f>
        <v>Figure</v>
      </c>
      <c r="I11799">
        <v>1.04</v>
      </c>
      <c r="J11799">
        <v>0.73</v>
      </c>
      <c r="K11799">
        <v>1.07</v>
      </c>
      <c r="L11799">
        <v>0.28999999999999998</v>
      </c>
      <c r="M11799">
        <v>1.03</v>
      </c>
      <c r="N11799">
        <v>0.8</v>
      </c>
    </row>
    <row r="11800" spans="1:14" x14ac:dyDescent="0.25">
      <c r="A11800" t="s">
        <v>20355</v>
      </c>
      <c r="B11800" t="s">
        <v>20356</v>
      </c>
      <c r="C11800" s="1" t="str">
        <f>HYPERLINK("http://www.genecards.org/cgi-bin/carddisp.pl?gene=TBX5","GeneCards")</f>
        <v>GeneCards</v>
      </c>
      <c r="D11800" s="1" t="str">
        <f>HYPERLINK("http://genome-euro.ucsc.edu/cgi-bin/hgTracks?position=211886_s_at","UCSC")</f>
        <v>UCSC</v>
      </c>
      <c r="E11800" s="1" t="str">
        <f>HYPERLINK("http://www.ncbi.nlm.nih.gov/gene/?term=TBX5","NCBI")</f>
        <v>NCBI</v>
      </c>
      <c r="F11800">
        <v>0.32</v>
      </c>
      <c r="G11800">
        <v>0.46</v>
      </c>
      <c r="H11800" s="1" t="str">
        <f>HYPERLINK("http://www.weizmann.ac.il/complex/compphys/software/geview/data/figures/211886_s_at.png","Figure")</f>
        <v>Figure</v>
      </c>
      <c r="I11800">
        <v>1.1299999999999999</v>
      </c>
      <c r="J11800">
        <v>0.31</v>
      </c>
      <c r="K11800">
        <v>1.08</v>
      </c>
      <c r="L11800">
        <v>0.53</v>
      </c>
      <c r="M11800">
        <v>0.95499999999999996</v>
      </c>
      <c r="N11800">
        <v>0.81</v>
      </c>
    </row>
    <row r="11801" spans="1:14" x14ac:dyDescent="0.25">
      <c r="A11801" t="s">
        <v>20357</v>
      </c>
      <c r="B11801" t="s">
        <v>20358</v>
      </c>
      <c r="C11801" s="1" t="str">
        <f>HYPERLINK("http://www.genecards.org/cgi-bin/carddisp.pl?gene=VAV3","GeneCards")</f>
        <v>GeneCards</v>
      </c>
      <c r="D11801" s="1" t="str">
        <f>HYPERLINK("http://genome-euro.ucsc.edu/cgi-bin/hgTracks?position=218807_at","UCSC")</f>
        <v>UCSC</v>
      </c>
      <c r="E11801" s="1" t="str">
        <f>HYPERLINK("http://www.ncbi.nlm.nih.gov/gene/?term=VAV3","NCBI")</f>
        <v>NCBI</v>
      </c>
      <c r="F11801">
        <v>0.32</v>
      </c>
      <c r="G11801">
        <v>0.46</v>
      </c>
      <c r="H11801" s="1" t="str">
        <f>HYPERLINK("http://www.weizmann.ac.il/complex/compphys/software/geview/data/figures/218807_at.png","Figure")</f>
        <v>Figure</v>
      </c>
      <c r="I11801">
        <v>1.62</v>
      </c>
      <c r="J11801">
        <v>0.34</v>
      </c>
      <c r="K11801">
        <v>1.07</v>
      </c>
      <c r="L11801">
        <v>0.97</v>
      </c>
      <c r="M11801">
        <v>0.65900000000000003</v>
      </c>
      <c r="N11801">
        <v>0.39</v>
      </c>
    </row>
    <row r="11802" spans="1:14" x14ac:dyDescent="0.25">
      <c r="A11802" t="s">
        <v>20359</v>
      </c>
      <c r="B11802" t="s">
        <v>19368</v>
      </c>
      <c r="C11802" s="1" t="str">
        <f>HYPERLINK("http://www.genecards.org/cgi-bin/carddisp.pl?gene=BRF2","GeneCards")</f>
        <v>GeneCards</v>
      </c>
      <c r="D11802" s="1" t="str">
        <f>HYPERLINK("http://genome-euro.ucsc.edu/cgi-bin/hgTracks?position=218955_at","UCSC")</f>
        <v>UCSC</v>
      </c>
      <c r="E11802" s="1" t="str">
        <f>HYPERLINK("http://www.ncbi.nlm.nih.gov/gene/?term=BRF2","NCBI")</f>
        <v>NCBI</v>
      </c>
      <c r="F11802">
        <v>0.32</v>
      </c>
      <c r="G11802">
        <v>0.46</v>
      </c>
      <c r="H11802" s="1" t="str">
        <f>HYPERLINK("http://www.weizmann.ac.il/complex/compphys/software/geview/data/figures/218955_at.png","Figure")</f>
        <v>Figure</v>
      </c>
      <c r="I11802">
        <v>1.17</v>
      </c>
      <c r="J11802">
        <v>0.38</v>
      </c>
      <c r="K11802">
        <v>1.01</v>
      </c>
      <c r="L11802">
        <v>1</v>
      </c>
      <c r="M11802">
        <v>0.85899999999999999</v>
      </c>
      <c r="N11802">
        <v>0.36</v>
      </c>
    </row>
    <row r="11803" spans="1:14" x14ac:dyDescent="0.25">
      <c r="A11803" t="s">
        <v>20360</v>
      </c>
      <c r="B11803" t="s">
        <v>15899</v>
      </c>
      <c r="C11803" s="1" t="str">
        <f>HYPERLINK("http://www.genecards.org/cgi-bin/carddisp.pl?gene=SRGN","GeneCards")</f>
        <v>GeneCards</v>
      </c>
      <c r="D11803" s="1" t="str">
        <f>HYPERLINK("http://genome-euro.ucsc.edu/cgi-bin/hgTracks?position=201859_at","UCSC")</f>
        <v>UCSC</v>
      </c>
      <c r="E11803" s="1" t="str">
        <f>HYPERLINK("http://www.ncbi.nlm.nih.gov/gene/?term=SRGN","NCBI")</f>
        <v>NCBI</v>
      </c>
      <c r="F11803">
        <v>0.32</v>
      </c>
      <c r="G11803">
        <v>0.46</v>
      </c>
      <c r="H11803" s="1" t="str">
        <f>HYPERLINK("http://www.weizmann.ac.il/complex/compphys/software/geview/data/figures/201859_at.png","Figure")</f>
        <v>Figure</v>
      </c>
      <c r="I11803">
        <v>0.57499999999999996</v>
      </c>
      <c r="J11803">
        <v>0.43</v>
      </c>
      <c r="K11803">
        <v>1.06</v>
      </c>
      <c r="L11803">
        <v>0.99</v>
      </c>
      <c r="M11803">
        <v>1.84</v>
      </c>
      <c r="N11803">
        <v>0.32</v>
      </c>
    </row>
    <row r="11804" spans="1:14" x14ac:dyDescent="0.25">
      <c r="A11804" t="s">
        <v>20361</v>
      </c>
      <c r="B11804" t="s">
        <v>6194</v>
      </c>
      <c r="C11804" s="1" t="str">
        <f>HYPERLINK("http://www.genecards.org/cgi-bin/carddisp.pl?gene=MPPE1","GeneCards")</f>
        <v>GeneCards</v>
      </c>
      <c r="D11804" s="1" t="str">
        <f>HYPERLINK("http://genome-euro.ucsc.edu/cgi-bin/hgTracks?position=213924_at","UCSC")</f>
        <v>UCSC</v>
      </c>
      <c r="E11804" s="1" t="str">
        <f>HYPERLINK("http://www.ncbi.nlm.nih.gov/gene/?term=MPPE1","NCBI")</f>
        <v>NCBI</v>
      </c>
      <c r="F11804">
        <v>0.32</v>
      </c>
      <c r="G11804">
        <v>0.46</v>
      </c>
      <c r="H11804" s="1" t="str">
        <f>HYPERLINK("http://www.weizmann.ac.il/complex/compphys/software/geview/data/figures/213924_at.png","Figure")</f>
        <v>Figure</v>
      </c>
      <c r="I11804">
        <v>1.07</v>
      </c>
      <c r="J11804">
        <v>0.3</v>
      </c>
      <c r="K11804">
        <v>1.04</v>
      </c>
      <c r="L11804">
        <v>0.56999999999999995</v>
      </c>
      <c r="M11804">
        <v>0.97</v>
      </c>
      <c r="N11804">
        <v>0.77</v>
      </c>
    </row>
    <row r="11805" spans="1:14" x14ac:dyDescent="0.25">
      <c r="A11805" t="s">
        <v>20362</v>
      </c>
      <c r="B11805" t="s">
        <v>20363</v>
      </c>
      <c r="C11805" s="1" t="str">
        <f>HYPERLINK("http://www.genecards.org/cgi-bin/carddisp.pl?gene=FSTL4","GeneCards")</f>
        <v>GeneCards</v>
      </c>
      <c r="D11805" s="1" t="str">
        <f>HYPERLINK("http://genome-euro.ucsc.edu/cgi-bin/hgTracks?position=214859_at","UCSC")</f>
        <v>UCSC</v>
      </c>
      <c r="E11805" s="1" t="str">
        <f>HYPERLINK("http://www.ncbi.nlm.nih.gov/gene/?term=FSTL4","NCBI")</f>
        <v>NCBI</v>
      </c>
      <c r="F11805">
        <v>0.32</v>
      </c>
      <c r="G11805">
        <v>0.46</v>
      </c>
      <c r="H11805" s="1" t="str">
        <f>HYPERLINK("http://www.weizmann.ac.il/complex/compphys/software/geview/data/figures/214859_at.png","Figure")</f>
        <v>Figure</v>
      </c>
      <c r="I11805">
        <v>1.08</v>
      </c>
      <c r="J11805">
        <v>0.34</v>
      </c>
      <c r="K11805">
        <v>1.06</v>
      </c>
      <c r="L11805">
        <v>0.46</v>
      </c>
      <c r="M11805">
        <v>0.98</v>
      </c>
      <c r="N11805">
        <v>0.91</v>
      </c>
    </row>
    <row r="11806" spans="1:14" x14ac:dyDescent="0.25">
      <c r="A11806" t="s">
        <v>20364</v>
      </c>
      <c r="B11806" t="s">
        <v>9728</v>
      </c>
      <c r="C11806" s="1" t="str">
        <f>HYPERLINK("http://www.genecards.org/cgi-bin/carddisp.pl?gene=SETDB1","GeneCards")</f>
        <v>GeneCards</v>
      </c>
      <c r="D11806" s="1" t="str">
        <f>HYPERLINK("http://genome-euro.ucsc.edu/cgi-bin/hgTracks?position=214197_s_at","UCSC")</f>
        <v>UCSC</v>
      </c>
      <c r="E11806" s="1" t="str">
        <f>HYPERLINK("http://www.ncbi.nlm.nih.gov/gene/?term=SETDB1","NCBI")</f>
        <v>NCBI</v>
      </c>
      <c r="F11806">
        <v>0.32</v>
      </c>
      <c r="G11806">
        <v>0.46</v>
      </c>
      <c r="H11806" s="1" t="str">
        <f>HYPERLINK("http://www.weizmann.ac.il/complex/compphys/software/geview/data/figures/214197_s_at.png","Figure")</f>
        <v>Figure</v>
      </c>
      <c r="I11806">
        <v>1.1000000000000001</v>
      </c>
      <c r="J11806">
        <v>0.54</v>
      </c>
      <c r="K11806">
        <v>0.96599999999999997</v>
      </c>
      <c r="L11806">
        <v>0.9</v>
      </c>
      <c r="M11806">
        <v>0.877</v>
      </c>
      <c r="N11806">
        <v>0.28999999999999998</v>
      </c>
    </row>
    <row r="11807" spans="1:14" x14ac:dyDescent="0.25">
      <c r="A11807" t="s">
        <v>20365</v>
      </c>
      <c r="B11807" t="s">
        <v>10767</v>
      </c>
      <c r="C11807" s="1" t="str">
        <f>HYPERLINK("http://www.genecards.org/cgi-bin/carddisp.pl?gene=RAB3GAP2","GeneCards")</f>
        <v>GeneCards</v>
      </c>
      <c r="D11807" s="1" t="str">
        <f>HYPERLINK("http://genome-euro.ucsc.edu/cgi-bin/hgTracks?position=202372_at","UCSC")</f>
        <v>UCSC</v>
      </c>
      <c r="E11807" s="1" t="str">
        <f>HYPERLINK("http://www.ncbi.nlm.nih.gov/gene/?term=RAB3GAP2","NCBI")</f>
        <v>NCBI</v>
      </c>
      <c r="F11807">
        <v>0.32</v>
      </c>
      <c r="G11807">
        <v>0.46</v>
      </c>
      <c r="H11807" s="1" t="str">
        <f>HYPERLINK("http://www.weizmann.ac.il/complex/compphys/software/geview/data/figures/202372_at.png","Figure")</f>
        <v>Figure</v>
      </c>
      <c r="I11807">
        <v>1.22</v>
      </c>
      <c r="J11807">
        <v>0.3</v>
      </c>
      <c r="K11807">
        <v>1.1100000000000001</v>
      </c>
      <c r="L11807">
        <v>0.6</v>
      </c>
      <c r="M11807">
        <v>0.91700000000000004</v>
      </c>
      <c r="N11807">
        <v>0.74</v>
      </c>
    </row>
    <row r="11808" spans="1:14" x14ac:dyDescent="0.25">
      <c r="A11808" t="s">
        <v>20366</v>
      </c>
      <c r="B11808" t="s">
        <v>20367</v>
      </c>
      <c r="C11808" s="1" t="str">
        <f>HYPERLINK("http://www.genecards.org/cgi-bin/carddisp.pl?gene=TLX1","GeneCards")</f>
        <v>GeneCards</v>
      </c>
      <c r="D11808" s="1" t="str">
        <f>HYPERLINK("http://genome-euro.ucsc.edu/cgi-bin/hgTracks?position=207179_at","UCSC")</f>
        <v>UCSC</v>
      </c>
      <c r="E11808" s="1" t="str">
        <f>HYPERLINK("http://www.ncbi.nlm.nih.gov/gene/?term=TLX1","NCBI")</f>
        <v>NCBI</v>
      </c>
      <c r="F11808">
        <v>0.32</v>
      </c>
      <c r="G11808">
        <v>0.46</v>
      </c>
      <c r="H11808" s="1" t="str">
        <f>HYPERLINK("http://www.weizmann.ac.il/complex/compphys/software/geview/data/figures/207179_at.png","Figure")</f>
        <v>Figure</v>
      </c>
      <c r="I11808">
        <v>1.1299999999999999</v>
      </c>
      <c r="J11808">
        <v>0.31</v>
      </c>
      <c r="K11808">
        <v>1.03</v>
      </c>
      <c r="L11808">
        <v>0.9</v>
      </c>
      <c r="M11808">
        <v>0.91400000000000003</v>
      </c>
      <c r="N11808">
        <v>0.46</v>
      </c>
    </row>
    <row r="11809" spans="1:14" x14ac:dyDescent="0.25">
      <c r="A11809" t="s">
        <v>20368</v>
      </c>
      <c r="B11809" t="s">
        <v>20369</v>
      </c>
      <c r="C11809" s="1" t="str">
        <f>HYPERLINK("http://www.genecards.org/cgi-bin/carddisp.pl?gene=HIVEP2","GeneCards")</f>
        <v>GeneCards</v>
      </c>
      <c r="D11809" s="1" t="str">
        <f>HYPERLINK("http://genome-euro.ucsc.edu/cgi-bin/hgTracks?position=212642_s_at","UCSC")</f>
        <v>UCSC</v>
      </c>
      <c r="E11809" s="1" t="str">
        <f>HYPERLINK("http://www.ncbi.nlm.nih.gov/gene/?term=HIVEP2","NCBI")</f>
        <v>NCBI</v>
      </c>
      <c r="F11809">
        <v>0.32</v>
      </c>
      <c r="G11809">
        <v>0.46</v>
      </c>
      <c r="H11809" s="1" t="str">
        <f>HYPERLINK("http://www.weizmann.ac.il/complex/compphys/software/geview/data/figures/212642_s_at.png","Figure")</f>
        <v>Figure</v>
      </c>
      <c r="I11809">
        <v>1.1100000000000001</v>
      </c>
      <c r="J11809">
        <v>0.88</v>
      </c>
      <c r="K11809">
        <v>1.32</v>
      </c>
      <c r="L11809">
        <v>0.31</v>
      </c>
      <c r="M11809">
        <v>1.2</v>
      </c>
      <c r="N11809">
        <v>0.64</v>
      </c>
    </row>
    <row r="11810" spans="1:14" x14ac:dyDescent="0.25">
      <c r="A11810" t="s">
        <v>20370</v>
      </c>
      <c r="B11810" t="s">
        <v>20371</v>
      </c>
      <c r="C11810" s="1" t="str">
        <f>HYPERLINK("http://www.genecards.org/cgi-bin/carddisp.pl?gene=AGPAT1","GeneCards")</f>
        <v>GeneCards</v>
      </c>
      <c r="D11810" s="1" t="str">
        <f>HYPERLINK("http://genome-euro.ucsc.edu/cgi-bin/hgTracks?position=215535_s_at","UCSC")</f>
        <v>UCSC</v>
      </c>
      <c r="E11810" s="1" t="str">
        <f>HYPERLINK("http://www.ncbi.nlm.nih.gov/gene/?term=AGPAT1","NCBI")</f>
        <v>NCBI</v>
      </c>
      <c r="F11810">
        <v>0.32</v>
      </c>
      <c r="G11810">
        <v>0.46</v>
      </c>
      <c r="H11810" s="1" t="str">
        <f>HYPERLINK("http://www.weizmann.ac.il/complex/compphys/software/geview/data/figures/215535_s_at.png","Figure")</f>
        <v>Figure</v>
      </c>
      <c r="I11810">
        <v>0.90300000000000002</v>
      </c>
      <c r="J11810">
        <v>0.79</v>
      </c>
      <c r="K11810">
        <v>1.1299999999999999</v>
      </c>
      <c r="L11810">
        <v>0.66</v>
      </c>
      <c r="M11810">
        <v>1.25</v>
      </c>
      <c r="N11810">
        <v>0.3</v>
      </c>
    </row>
    <row r="11811" spans="1:14" x14ac:dyDescent="0.25">
      <c r="A11811" t="s">
        <v>20372</v>
      </c>
      <c r="B11811" t="s">
        <v>8534</v>
      </c>
      <c r="C11811" s="1" t="str">
        <f>HYPERLINK("http://www.genecards.org/cgi-bin/carddisp.pl?gene=TPSAB1","GeneCards")</f>
        <v>GeneCards</v>
      </c>
      <c r="D11811" s="1" t="str">
        <f>HYPERLINK("http://genome-euro.ucsc.edu/cgi-bin/hgTracks?position=207741_x_at","UCSC")</f>
        <v>UCSC</v>
      </c>
      <c r="E11811" s="1" t="str">
        <f>HYPERLINK("http://www.ncbi.nlm.nih.gov/gene/?term=TPSAB1","NCBI")</f>
        <v>NCBI</v>
      </c>
      <c r="F11811">
        <v>0.32</v>
      </c>
      <c r="G11811">
        <v>0.46</v>
      </c>
      <c r="H11811" s="1" t="str">
        <f>HYPERLINK("http://www.weizmann.ac.il/complex/compphys/software/geview/data/figures/207741_x_at.png","Figure")</f>
        <v>Figure</v>
      </c>
      <c r="I11811">
        <v>1.1399999999999999</v>
      </c>
      <c r="J11811">
        <v>0.28999999999999998</v>
      </c>
      <c r="K11811">
        <v>1.05</v>
      </c>
      <c r="L11811">
        <v>0.8</v>
      </c>
      <c r="M11811">
        <v>0.91700000000000004</v>
      </c>
      <c r="N11811">
        <v>0.55000000000000004</v>
      </c>
    </row>
    <row r="11812" spans="1:14" x14ac:dyDescent="0.25">
      <c r="A11812" t="s">
        <v>20373</v>
      </c>
      <c r="B11812" t="s">
        <v>19534</v>
      </c>
      <c r="C11812" s="1" t="str">
        <f>HYPERLINK("http://www.genecards.org/cgi-bin/carddisp.pl?gene=NLE1","GeneCards")</f>
        <v>GeneCards</v>
      </c>
      <c r="D11812" s="1" t="str">
        <f>HYPERLINK("http://genome-euro.ucsc.edu/cgi-bin/hgTracks?position=203866_at","UCSC")</f>
        <v>UCSC</v>
      </c>
      <c r="E11812" s="1" t="str">
        <f>HYPERLINK("http://www.ncbi.nlm.nih.gov/gene/?term=NLE1","NCBI")</f>
        <v>NCBI</v>
      </c>
      <c r="F11812">
        <v>0.32</v>
      </c>
      <c r="G11812">
        <v>0.46</v>
      </c>
      <c r="H11812" s="1" t="str">
        <f>HYPERLINK("http://www.weizmann.ac.il/complex/compphys/software/geview/data/figures/203866_at.png","Figure")</f>
        <v>Figure</v>
      </c>
      <c r="I11812">
        <v>1.02</v>
      </c>
      <c r="J11812">
        <v>0.93</v>
      </c>
      <c r="K11812">
        <v>1.07</v>
      </c>
      <c r="L11812">
        <v>0.32</v>
      </c>
      <c r="M11812">
        <v>1.05</v>
      </c>
      <c r="N11812">
        <v>0.57999999999999996</v>
      </c>
    </row>
    <row r="11813" spans="1:14" x14ac:dyDescent="0.25">
      <c r="A11813" t="s">
        <v>20374</v>
      </c>
      <c r="B11813" t="s">
        <v>3484</v>
      </c>
      <c r="C11813" s="1" t="str">
        <f>HYPERLINK("http://www.genecards.org/cgi-bin/carddisp.pl?gene=ATRX","GeneCards")</f>
        <v>GeneCards</v>
      </c>
      <c r="D11813" s="1" t="str">
        <f>HYPERLINK("http://genome-euro.ucsc.edu/cgi-bin/hgTracks?position=208861_s_at","UCSC")</f>
        <v>UCSC</v>
      </c>
      <c r="E11813" s="1" t="str">
        <f>HYPERLINK("http://www.ncbi.nlm.nih.gov/gene/?term=ATRX","NCBI")</f>
        <v>NCBI</v>
      </c>
      <c r="F11813">
        <v>0.32</v>
      </c>
      <c r="G11813">
        <v>0.46</v>
      </c>
      <c r="H11813" s="1" t="str">
        <f>HYPERLINK("http://www.weizmann.ac.il/complex/compphys/software/geview/data/figures/208861_s_at.png","Figure")</f>
        <v>Figure</v>
      </c>
      <c r="I11813">
        <v>0.72499999999999998</v>
      </c>
      <c r="J11813">
        <v>0.5</v>
      </c>
      <c r="K11813">
        <v>1.08</v>
      </c>
      <c r="L11813">
        <v>0.94</v>
      </c>
      <c r="M11813">
        <v>1.49</v>
      </c>
      <c r="N11813">
        <v>0.3</v>
      </c>
    </row>
    <row r="11814" spans="1:14" x14ac:dyDescent="0.25">
      <c r="A11814" t="s">
        <v>20375</v>
      </c>
      <c r="B11814" t="s">
        <v>20376</v>
      </c>
      <c r="C11814" s="1" t="str">
        <f>HYPERLINK("http://www.genecards.org/cgi-bin/carddisp.pl?gene=PPIB","GeneCards")</f>
        <v>GeneCards</v>
      </c>
      <c r="D11814" s="1" t="str">
        <f>HYPERLINK("http://genome-euro.ucsc.edu/cgi-bin/hgTracks?position=200967_at","UCSC")</f>
        <v>UCSC</v>
      </c>
      <c r="E11814" s="1" t="str">
        <f>HYPERLINK("http://www.ncbi.nlm.nih.gov/gene/?term=PPIB","NCBI")</f>
        <v>NCBI</v>
      </c>
      <c r="F11814">
        <v>0.32</v>
      </c>
      <c r="G11814">
        <v>0.46</v>
      </c>
      <c r="H11814" s="1" t="str">
        <f>HYPERLINK("http://www.weizmann.ac.il/complex/compphys/software/geview/data/figures/200967_at.png","Figure")</f>
        <v>Figure</v>
      </c>
      <c r="I11814">
        <v>0.70799999999999996</v>
      </c>
      <c r="J11814">
        <v>0.28999999999999998</v>
      </c>
      <c r="K11814">
        <v>0.879</v>
      </c>
      <c r="L11814">
        <v>0.78</v>
      </c>
      <c r="M11814">
        <v>1.24</v>
      </c>
      <c r="N11814">
        <v>0.56000000000000005</v>
      </c>
    </row>
    <row r="11815" spans="1:14" x14ac:dyDescent="0.25">
      <c r="A11815" t="s">
        <v>20377</v>
      </c>
      <c r="B11815" t="s">
        <v>20378</v>
      </c>
      <c r="C11815" s="1" t="str">
        <f>HYPERLINK("http://www.genecards.org/cgi-bin/carddisp.pl?gene=SH3GLB2","GeneCards")</f>
        <v>GeneCards</v>
      </c>
      <c r="D11815" s="1" t="str">
        <f>HYPERLINK("http://genome-euro.ucsc.edu/cgi-bin/hgTracks?position=218813_s_at","UCSC")</f>
        <v>UCSC</v>
      </c>
      <c r="E11815" s="1" t="str">
        <f>HYPERLINK("http://www.ncbi.nlm.nih.gov/gene/?term=SH3GLB2","NCBI")</f>
        <v>NCBI</v>
      </c>
      <c r="F11815">
        <v>0.32</v>
      </c>
      <c r="G11815">
        <v>0.46</v>
      </c>
      <c r="H11815" s="1" t="str">
        <f>HYPERLINK("http://www.weizmann.ac.il/complex/compphys/software/geview/data/figures/218813_s_at.png","Figure")</f>
        <v>Figure</v>
      </c>
      <c r="I11815">
        <v>1</v>
      </c>
      <c r="J11815">
        <v>1</v>
      </c>
      <c r="K11815">
        <v>0.73</v>
      </c>
      <c r="L11815">
        <v>0.39</v>
      </c>
      <c r="M11815">
        <v>0.73</v>
      </c>
      <c r="N11815">
        <v>0.44</v>
      </c>
    </row>
    <row r="11816" spans="1:14" x14ac:dyDescent="0.25">
      <c r="A11816" t="s">
        <v>20379</v>
      </c>
      <c r="B11816" t="s">
        <v>11143</v>
      </c>
      <c r="C11816" s="1" t="str">
        <f>HYPERLINK("http://www.genecards.org/cgi-bin/carddisp.pl?gene=PBX2","GeneCards")</f>
        <v>GeneCards</v>
      </c>
      <c r="D11816" s="1" t="str">
        <f>HYPERLINK("http://genome-euro.ucsc.edu/cgi-bin/hgTracks?position=202876_s_at","UCSC")</f>
        <v>UCSC</v>
      </c>
      <c r="E11816" s="1" t="str">
        <f>HYPERLINK("http://www.ncbi.nlm.nih.gov/gene/?term=PBX2","NCBI")</f>
        <v>NCBI</v>
      </c>
      <c r="F11816">
        <v>0.32</v>
      </c>
      <c r="G11816">
        <v>0.46</v>
      </c>
      <c r="H11816" s="1" t="str">
        <f>HYPERLINK("http://www.weizmann.ac.il/complex/compphys/software/geview/data/figures/202876_s_at.png","Figure")</f>
        <v>Figure</v>
      </c>
      <c r="I11816">
        <v>0.91800000000000004</v>
      </c>
      <c r="J11816">
        <v>0.79</v>
      </c>
      <c r="K11816">
        <v>0.83899999999999997</v>
      </c>
      <c r="L11816">
        <v>0.28999999999999998</v>
      </c>
      <c r="M11816">
        <v>0.91400000000000003</v>
      </c>
      <c r="N11816">
        <v>0.74</v>
      </c>
    </row>
    <row r="11817" spans="1:14" x14ac:dyDescent="0.25">
      <c r="A11817" t="s">
        <v>20380</v>
      </c>
      <c r="B11817" t="s">
        <v>18921</v>
      </c>
      <c r="C11817" s="1" t="str">
        <f>HYPERLINK("http://www.genecards.org/cgi-bin/carddisp.pl?gene=RPS2","GeneCards")</f>
        <v>GeneCards</v>
      </c>
      <c r="D11817" s="1" t="str">
        <f>HYPERLINK("http://genome-euro.ucsc.edu/cgi-bin/hgTracks?position=212433_x_at","UCSC")</f>
        <v>UCSC</v>
      </c>
      <c r="E11817" s="1" t="str">
        <f>HYPERLINK("http://www.ncbi.nlm.nih.gov/gene/?term=RPS2","NCBI")</f>
        <v>NCBI</v>
      </c>
      <c r="F11817">
        <v>0.32</v>
      </c>
      <c r="G11817">
        <v>0.46</v>
      </c>
      <c r="H11817" s="1" t="str">
        <f>HYPERLINK("http://www.weizmann.ac.il/complex/compphys/software/geview/data/figures/212433_x_at.png","Figure")</f>
        <v>Figure</v>
      </c>
      <c r="I11817">
        <v>1.05</v>
      </c>
      <c r="J11817">
        <v>0.95</v>
      </c>
      <c r="K11817">
        <v>1.24</v>
      </c>
      <c r="L11817">
        <v>0.33</v>
      </c>
      <c r="M11817">
        <v>1.18</v>
      </c>
      <c r="N11817">
        <v>0.56000000000000005</v>
      </c>
    </row>
    <row r="11818" spans="1:14" x14ac:dyDescent="0.25">
      <c r="A11818" t="s">
        <v>20381</v>
      </c>
      <c r="B11818" t="s">
        <v>20382</v>
      </c>
      <c r="C11818" s="1" t="str">
        <f>HYPERLINK("http://www.genecards.org/cgi-bin/carddisp.pl?gene=SRF","GeneCards")</f>
        <v>GeneCards</v>
      </c>
      <c r="D11818" s="1" t="str">
        <f>HYPERLINK("http://genome-euro.ucsc.edu/cgi-bin/hgTracks?position=202400_s_at","UCSC")</f>
        <v>UCSC</v>
      </c>
      <c r="E11818" s="1" t="str">
        <f>HYPERLINK("http://www.ncbi.nlm.nih.gov/gene/?term=SRF","NCBI")</f>
        <v>NCBI</v>
      </c>
      <c r="F11818">
        <v>0.32</v>
      </c>
      <c r="G11818">
        <v>0.46</v>
      </c>
      <c r="H11818" s="1" t="str">
        <f>HYPERLINK("http://www.weizmann.ac.il/complex/compphys/software/geview/data/figures/202400_s_at.png","Figure")</f>
        <v>Figure</v>
      </c>
      <c r="I11818">
        <v>1.07</v>
      </c>
      <c r="J11818">
        <v>0.45</v>
      </c>
      <c r="K11818">
        <v>1.07</v>
      </c>
      <c r="L11818">
        <v>0.34</v>
      </c>
      <c r="M11818">
        <v>1</v>
      </c>
      <c r="N11818">
        <v>1</v>
      </c>
    </row>
    <row r="11819" spans="1:14" x14ac:dyDescent="0.25">
      <c r="A11819" t="s">
        <v>20383</v>
      </c>
      <c r="B11819" t="s">
        <v>8761</v>
      </c>
      <c r="C11819" s="1" t="str">
        <f>HYPERLINK("http://www.genecards.org/cgi-bin/carddisp.pl?gene=CFLAR","GeneCards")</f>
        <v>GeneCards</v>
      </c>
      <c r="D11819" s="1" t="str">
        <f>HYPERLINK("http://genome-euro.ucsc.edu/cgi-bin/hgTracks?position=208485_x_at","UCSC")</f>
        <v>UCSC</v>
      </c>
      <c r="E11819" s="1" t="str">
        <f>HYPERLINK("http://www.ncbi.nlm.nih.gov/gene/?term=CFLAR","NCBI")</f>
        <v>NCBI</v>
      </c>
      <c r="F11819">
        <v>0.32</v>
      </c>
      <c r="G11819">
        <v>0.46</v>
      </c>
      <c r="H11819" s="1" t="str">
        <f>HYPERLINK("http://www.weizmann.ac.il/complex/compphys/software/geview/data/figures/208485_x_at.png","Figure")</f>
        <v>Figure</v>
      </c>
      <c r="I11819">
        <v>0.90100000000000002</v>
      </c>
      <c r="J11819">
        <v>0.46</v>
      </c>
      <c r="K11819">
        <v>0.89500000000000002</v>
      </c>
      <c r="L11819">
        <v>0.33</v>
      </c>
      <c r="M11819">
        <v>0.99399999999999999</v>
      </c>
      <c r="N11819">
        <v>1</v>
      </c>
    </row>
    <row r="11820" spans="1:14" x14ac:dyDescent="0.25">
      <c r="A11820" t="s">
        <v>20384</v>
      </c>
      <c r="B11820" t="s">
        <v>20385</v>
      </c>
      <c r="C11820" s="1" t="str">
        <f>HYPERLINK("http://www.genecards.org/cgi-bin/carddisp.pl?gene=LRRC8D","GeneCards")</f>
        <v>GeneCards</v>
      </c>
      <c r="D11820" s="1" t="str">
        <f>HYPERLINK("http://genome-euro.ucsc.edu/cgi-bin/hgTracks?position=218684_at","UCSC")</f>
        <v>UCSC</v>
      </c>
      <c r="E11820" s="1" t="str">
        <f>HYPERLINK("http://www.ncbi.nlm.nih.gov/gene/?term=LRRC8D","NCBI")</f>
        <v>NCBI</v>
      </c>
      <c r="F11820">
        <v>0.32</v>
      </c>
      <c r="G11820">
        <v>0.46</v>
      </c>
      <c r="H11820" s="1" t="str">
        <f>HYPERLINK("http://www.weizmann.ac.il/complex/compphys/software/geview/data/figures/218684_at.png","Figure")</f>
        <v>Figure</v>
      </c>
      <c r="I11820">
        <v>0.68300000000000005</v>
      </c>
      <c r="J11820">
        <v>0.32</v>
      </c>
      <c r="K11820">
        <v>0.92500000000000004</v>
      </c>
      <c r="L11820">
        <v>0.93</v>
      </c>
      <c r="M11820">
        <v>1.35</v>
      </c>
      <c r="N11820">
        <v>0.43</v>
      </c>
    </row>
    <row r="11821" spans="1:14" x14ac:dyDescent="0.25">
      <c r="A11821" t="s">
        <v>20386</v>
      </c>
      <c r="B11821" t="s">
        <v>20387</v>
      </c>
      <c r="C11821" s="1" t="str">
        <f>HYPERLINK("http://www.genecards.org/cgi-bin/carddisp.pl?gene=ALDOC","GeneCards")</f>
        <v>GeneCards</v>
      </c>
      <c r="D11821" s="1" t="str">
        <f>HYPERLINK("http://genome-euro.ucsc.edu/cgi-bin/hgTracks?position=202022_at","UCSC")</f>
        <v>UCSC</v>
      </c>
      <c r="E11821" s="1" t="str">
        <f>HYPERLINK("http://www.ncbi.nlm.nih.gov/gene/?term=ALDOC","NCBI")</f>
        <v>NCBI</v>
      </c>
      <c r="F11821">
        <v>0.32</v>
      </c>
      <c r="G11821">
        <v>0.46</v>
      </c>
      <c r="H11821" s="1" t="str">
        <f>HYPERLINK("http://www.weizmann.ac.il/complex/compphys/software/geview/data/figures/202022_at.png","Figure")</f>
        <v>Figure</v>
      </c>
      <c r="I11821">
        <v>1.08</v>
      </c>
      <c r="J11821">
        <v>0.77</v>
      </c>
      <c r="K11821">
        <v>0.92100000000000004</v>
      </c>
      <c r="L11821">
        <v>0.67</v>
      </c>
      <c r="M11821">
        <v>0.85599999999999998</v>
      </c>
      <c r="N11821">
        <v>0.3</v>
      </c>
    </row>
    <row r="11822" spans="1:14" x14ac:dyDescent="0.25">
      <c r="A11822" t="s">
        <v>20388</v>
      </c>
      <c r="B11822" t="s">
        <v>20389</v>
      </c>
      <c r="C11822" s="1" t="str">
        <f>HYPERLINK("http://www.genecards.org/cgi-bin/carddisp.pl?gene=P11","GeneCards")</f>
        <v>GeneCards</v>
      </c>
      <c r="D11822" s="1" t="str">
        <f>HYPERLINK("http://genome-euro.ucsc.edu/cgi-bin/hgTracks?position=206605_at","UCSC")</f>
        <v>UCSC</v>
      </c>
      <c r="E11822" s="1" t="str">
        <f>HYPERLINK("http://www.ncbi.nlm.nih.gov/gene/?term=P11","NCBI")</f>
        <v>NCBI</v>
      </c>
      <c r="F11822">
        <v>0.32</v>
      </c>
      <c r="G11822">
        <v>0.46</v>
      </c>
      <c r="H11822" s="1" t="str">
        <f>HYPERLINK("http://www.weizmann.ac.il/complex/compphys/software/geview/data/figures/206605_at.png","Figure")</f>
        <v>Figure</v>
      </c>
      <c r="I11822">
        <v>0.83899999999999997</v>
      </c>
      <c r="J11822">
        <v>0.36</v>
      </c>
      <c r="K11822">
        <v>0.98599999999999999</v>
      </c>
      <c r="L11822">
        <v>0.99</v>
      </c>
      <c r="M11822">
        <v>1.18</v>
      </c>
      <c r="N11822">
        <v>0.37</v>
      </c>
    </row>
    <row r="11823" spans="1:14" x14ac:dyDescent="0.25">
      <c r="A11823" t="s">
        <v>20390</v>
      </c>
      <c r="B11823" t="s">
        <v>20391</v>
      </c>
      <c r="C11823" s="1" t="str">
        <f>HYPERLINK("http://www.genecards.org/cgi-bin/carddisp.pl?gene=MBOAT2","GeneCards")</f>
        <v>GeneCards</v>
      </c>
      <c r="D11823" s="1" t="str">
        <f>HYPERLINK("http://genome-euro.ucsc.edu/cgi-bin/hgTracks?position=213288_at","UCSC")</f>
        <v>UCSC</v>
      </c>
      <c r="E11823" s="1" t="str">
        <f>HYPERLINK("http://www.ncbi.nlm.nih.gov/gene/?term=MBOAT2","NCBI")</f>
        <v>NCBI</v>
      </c>
      <c r="F11823">
        <v>0.32</v>
      </c>
      <c r="G11823">
        <v>0.46</v>
      </c>
      <c r="H11823" s="1" t="str">
        <f>HYPERLINK("http://www.weizmann.ac.il/complex/compphys/software/geview/data/figures/213288_at.png","Figure")</f>
        <v>Figure</v>
      </c>
      <c r="I11823">
        <v>1.1599999999999999</v>
      </c>
      <c r="J11823">
        <v>0.34</v>
      </c>
      <c r="K11823">
        <v>1.02</v>
      </c>
      <c r="L11823">
        <v>0.97</v>
      </c>
      <c r="M11823">
        <v>0.878</v>
      </c>
      <c r="N11823">
        <v>0.4</v>
      </c>
    </row>
    <row r="11824" spans="1:14" x14ac:dyDescent="0.25">
      <c r="A11824" t="s">
        <v>20392</v>
      </c>
      <c r="B11824" t="s">
        <v>18054</v>
      </c>
      <c r="C11824" s="1" t="str">
        <f>HYPERLINK("http://www.genecards.org/cgi-bin/carddisp.pl?gene=CHRNA1","GeneCards")</f>
        <v>GeneCards</v>
      </c>
      <c r="D11824" s="1" t="str">
        <f>HYPERLINK("http://genome-euro.ucsc.edu/cgi-bin/hgTracks?position=211039_at","UCSC")</f>
        <v>UCSC</v>
      </c>
      <c r="E11824" s="1" t="str">
        <f>HYPERLINK("http://www.ncbi.nlm.nih.gov/gene/?term=CHRNA1","NCBI")</f>
        <v>NCBI</v>
      </c>
      <c r="F11824">
        <v>0.32</v>
      </c>
      <c r="G11824">
        <v>0.46</v>
      </c>
      <c r="H11824" s="1" t="str">
        <f>HYPERLINK("http://www.weizmann.ac.il/complex/compphys/software/geview/data/figures/211039_at.png","Figure")</f>
        <v>Figure</v>
      </c>
      <c r="I11824">
        <v>1.0900000000000001</v>
      </c>
      <c r="J11824">
        <v>0.28999999999999998</v>
      </c>
      <c r="K11824">
        <v>1.04</v>
      </c>
      <c r="L11824">
        <v>0.74</v>
      </c>
      <c r="M11824">
        <v>0.94899999999999995</v>
      </c>
      <c r="N11824">
        <v>0.6</v>
      </c>
    </row>
    <row r="11825" spans="1:14" x14ac:dyDescent="0.25">
      <c r="A11825" t="s">
        <v>20393</v>
      </c>
      <c r="B11825" t="s">
        <v>1139</v>
      </c>
      <c r="C11825" s="1" t="str">
        <f>HYPERLINK("http://www.genecards.org/cgi-bin/carddisp.pl?gene=TBL1X","GeneCards")</f>
        <v>GeneCards</v>
      </c>
      <c r="D11825" s="1" t="str">
        <f>HYPERLINK("http://genome-euro.ucsc.edu/cgi-bin/hgTracks?position=201869_s_at","UCSC")</f>
        <v>UCSC</v>
      </c>
      <c r="E11825" s="1" t="str">
        <f>HYPERLINK("http://www.ncbi.nlm.nih.gov/gene/?term=TBL1X","NCBI")</f>
        <v>NCBI</v>
      </c>
      <c r="F11825">
        <v>0.32</v>
      </c>
      <c r="G11825">
        <v>0.46</v>
      </c>
      <c r="H11825" s="1" t="str">
        <f>HYPERLINK("http://www.weizmann.ac.il/complex/compphys/software/geview/data/figures/201869_s_at.png","Figure")</f>
        <v>Figure</v>
      </c>
      <c r="I11825">
        <v>0.96599999999999997</v>
      </c>
      <c r="J11825">
        <v>0.96</v>
      </c>
      <c r="K11825">
        <v>0.84799999999999998</v>
      </c>
      <c r="L11825">
        <v>0.34</v>
      </c>
      <c r="M11825">
        <v>0.878</v>
      </c>
      <c r="N11825">
        <v>0.54</v>
      </c>
    </row>
    <row r="11826" spans="1:14" x14ac:dyDescent="0.25">
      <c r="A11826" t="s">
        <v>20394</v>
      </c>
      <c r="B11826" t="s">
        <v>20161</v>
      </c>
      <c r="C11826" s="1" t="str">
        <f>HYPERLINK("http://www.genecards.org/cgi-bin/carddisp.pl?gene=ST3GAL6","GeneCards")</f>
        <v>GeneCards</v>
      </c>
      <c r="D11826" s="1" t="str">
        <f>HYPERLINK("http://genome-euro.ucsc.edu/cgi-bin/hgTracks?position=210942_s_at","UCSC")</f>
        <v>UCSC</v>
      </c>
      <c r="E11826" s="1" t="str">
        <f>HYPERLINK("http://www.ncbi.nlm.nih.gov/gene/?term=ST3GAL6","NCBI")</f>
        <v>NCBI</v>
      </c>
      <c r="F11826">
        <v>0.32</v>
      </c>
      <c r="G11826">
        <v>0.46</v>
      </c>
      <c r="H11826" s="1" t="str">
        <f>HYPERLINK("http://www.weizmann.ac.il/complex/compphys/software/geview/data/figures/210942_s_at.png","Figure")</f>
        <v>Figure</v>
      </c>
      <c r="I11826">
        <v>0.91400000000000003</v>
      </c>
      <c r="J11826">
        <v>0.28999999999999998</v>
      </c>
      <c r="K11826">
        <v>0.96199999999999997</v>
      </c>
      <c r="L11826">
        <v>0.73</v>
      </c>
      <c r="M11826">
        <v>1.05</v>
      </c>
      <c r="N11826">
        <v>0.61</v>
      </c>
    </row>
    <row r="11827" spans="1:14" x14ac:dyDescent="0.25">
      <c r="A11827" t="s">
        <v>20395</v>
      </c>
      <c r="B11827" t="s">
        <v>3551</v>
      </c>
      <c r="C11827" s="1" t="str">
        <f>HYPERLINK("http://www.genecards.org/cgi-bin/carddisp.pl?gene=DLG3","GeneCards")</f>
        <v>GeneCards</v>
      </c>
      <c r="D11827" s="1" t="str">
        <f>HYPERLINK("http://genome-euro.ucsc.edu/cgi-bin/hgTracks?position=212728_at","UCSC")</f>
        <v>UCSC</v>
      </c>
      <c r="E11827" s="1" t="str">
        <f>HYPERLINK("http://www.ncbi.nlm.nih.gov/gene/?term=DLG3","NCBI")</f>
        <v>NCBI</v>
      </c>
      <c r="F11827">
        <v>0.32</v>
      </c>
      <c r="G11827">
        <v>0.46</v>
      </c>
      <c r="H11827" s="1" t="str">
        <f>HYPERLINK("http://www.weizmann.ac.il/complex/compphys/software/geview/data/figures/212728_at.png","Figure")</f>
        <v>Figure</v>
      </c>
      <c r="I11827">
        <v>0.94499999999999995</v>
      </c>
      <c r="J11827">
        <v>0.72</v>
      </c>
      <c r="K11827">
        <v>0.90600000000000003</v>
      </c>
      <c r="L11827">
        <v>0.28999999999999998</v>
      </c>
      <c r="M11827">
        <v>0.95899999999999996</v>
      </c>
      <c r="N11827">
        <v>0.81</v>
      </c>
    </row>
    <row r="11828" spans="1:14" x14ac:dyDescent="0.25">
      <c r="A11828" t="s">
        <v>20396</v>
      </c>
      <c r="B11828" t="s">
        <v>20397</v>
      </c>
      <c r="C11828" s="1" t="str">
        <f>HYPERLINK("http://www.genecards.org/cgi-bin/carddisp.pl?gene=RBM22","GeneCards")</f>
        <v>GeneCards</v>
      </c>
      <c r="D11828" s="1" t="str">
        <f>HYPERLINK("http://genome-euro.ucsc.edu/cgi-bin/hgTracks?position=218134_s_at","UCSC")</f>
        <v>UCSC</v>
      </c>
      <c r="E11828" s="1" t="str">
        <f>HYPERLINK("http://www.ncbi.nlm.nih.gov/gene/?term=RBM22","NCBI")</f>
        <v>NCBI</v>
      </c>
      <c r="F11828">
        <v>0.32</v>
      </c>
      <c r="G11828">
        <v>0.46</v>
      </c>
      <c r="H11828" s="1" t="str">
        <f>HYPERLINK("http://www.weizmann.ac.il/complex/compphys/software/geview/data/figures/218134_s_at.png","Figure")</f>
        <v>Figure</v>
      </c>
      <c r="I11828">
        <v>0.91500000000000004</v>
      </c>
      <c r="J11828">
        <v>0.87</v>
      </c>
      <c r="K11828">
        <v>0.78700000000000003</v>
      </c>
      <c r="L11828">
        <v>0.31</v>
      </c>
      <c r="M11828">
        <v>0.86</v>
      </c>
      <c r="N11828">
        <v>0.65</v>
      </c>
    </row>
    <row r="11829" spans="1:14" x14ac:dyDescent="0.25">
      <c r="A11829" t="s">
        <v>20398</v>
      </c>
      <c r="B11829" t="s">
        <v>20399</v>
      </c>
      <c r="C11829" s="1" t="str">
        <f>HYPERLINK("http://www.genecards.org/cgi-bin/carddisp.pl?gene=C11orf2","GeneCards")</f>
        <v>GeneCards</v>
      </c>
      <c r="D11829" s="1" t="str">
        <f>HYPERLINK("http://genome-euro.ucsc.edu/cgi-bin/hgTracks?position=217969_at","UCSC")</f>
        <v>UCSC</v>
      </c>
      <c r="E11829" s="1" t="str">
        <f>HYPERLINK("http://www.ncbi.nlm.nih.gov/gene/?term=C11orf2","NCBI")</f>
        <v>NCBI</v>
      </c>
      <c r="F11829">
        <v>0.32</v>
      </c>
      <c r="G11829">
        <v>0.46</v>
      </c>
      <c r="H11829" s="1" t="str">
        <f>HYPERLINK("http://www.weizmann.ac.il/complex/compphys/software/geview/data/figures/217969_at.png","Figure")</f>
        <v>Figure</v>
      </c>
      <c r="I11829">
        <v>1.32</v>
      </c>
      <c r="J11829">
        <v>0.34</v>
      </c>
      <c r="K11829">
        <v>1.04</v>
      </c>
      <c r="L11829">
        <v>0.96</v>
      </c>
      <c r="M11829">
        <v>0.79200000000000004</v>
      </c>
      <c r="N11829">
        <v>0.41</v>
      </c>
    </row>
    <row r="11830" spans="1:14" x14ac:dyDescent="0.25">
      <c r="A11830" t="s">
        <v>20400</v>
      </c>
      <c r="B11830" t="s">
        <v>20401</v>
      </c>
      <c r="C11830" s="1" t="str">
        <f>HYPERLINK("http://www.genecards.org/cgi-bin/carddisp.pl?gene=BCORL1","GeneCards")</f>
        <v>GeneCards</v>
      </c>
      <c r="D11830" s="1" t="str">
        <f>HYPERLINK("http://genome-euro.ucsc.edu/cgi-bin/hgTracks?position=219444_at","UCSC")</f>
        <v>UCSC</v>
      </c>
      <c r="E11830" s="1" t="str">
        <f>HYPERLINK("http://www.ncbi.nlm.nih.gov/gene/?term=BCORL1","NCBI")</f>
        <v>NCBI</v>
      </c>
      <c r="F11830">
        <v>0.32</v>
      </c>
      <c r="G11830">
        <v>0.46</v>
      </c>
      <c r="H11830" s="1" t="str">
        <f>HYPERLINK("http://www.weizmann.ac.il/complex/compphys/software/geview/data/figures/219444_at.png","Figure")</f>
        <v>Figure</v>
      </c>
      <c r="I11830">
        <v>1.1100000000000001</v>
      </c>
      <c r="J11830">
        <v>0.45</v>
      </c>
      <c r="K11830">
        <v>1.1200000000000001</v>
      </c>
      <c r="L11830">
        <v>0.34</v>
      </c>
      <c r="M11830">
        <v>1</v>
      </c>
      <c r="N11830">
        <v>1</v>
      </c>
    </row>
    <row r="11831" spans="1:14" x14ac:dyDescent="0.25">
      <c r="A11831" t="s">
        <v>20402</v>
      </c>
      <c r="B11831" t="s">
        <v>20403</v>
      </c>
      <c r="C11831" s="1" t="str">
        <f>HYPERLINK("http://www.genecards.org/cgi-bin/carddisp.pl?gene=ANGEL1","GeneCards")</f>
        <v>GeneCards</v>
      </c>
      <c r="D11831" s="1" t="str">
        <f>HYPERLINK("http://genome-euro.ucsc.edu/cgi-bin/hgTracks?position=36865_at","UCSC")</f>
        <v>UCSC</v>
      </c>
      <c r="E11831" s="1" t="str">
        <f>HYPERLINK("http://www.ncbi.nlm.nih.gov/gene/?term=ANGEL1","NCBI")</f>
        <v>NCBI</v>
      </c>
      <c r="F11831">
        <v>0.32</v>
      </c>
      <c r="G11831">
        <v>0.46</v>
      </c>
      <c r="H11831" s="1" t="str">
        <f>HYPERLINK("http://www.weizmann.ac.il/complex/compphys/software/geview/data/figures/36865_at.png","Figure")</f>
        <v>Figure</v>
      </c>
      <c r="I11831">
        <v>1.05</v>
      </c>
      <c r="J11831">
        <v>0.75</v>
      </c>
      <c r="K11831">
        <v>1.0900000000000001</v>
      </c>
      <c r="L11831">
        <v>0.28999999999999998</v>
      </c>
      <c r="M11831">
        <v>1.04</v>
      </c>
      <c r="N11831">
        <v>0.78</v>
      </c>
    </row>
    <row r="11832" spans="1:14" x14ac:dyDescent="0.25">
      <c r="A11832" t="s">
        <v>20404</v>
      </c>
      <c r="B11832" t="s">
        <v>20405</v>
      </c>
      <c r="C11832" s="1" t="str">
        <f>HYPERLINK("http://www.genecards.org/cgi-bin/carddisp.pl?gene=SIPA1L3","GeneCards")</f>
        <v>GeneCards</v>
      </c>
      <c r="D11832" s="1" t="str">
        <f>HYPERLINK("http://genome-euro.ucsc.edu/cgi-bin/hgTracks?position=213600_at","UCSC")</f>
        <v>UCSC</v>
      </c>
      <c r="E11832" s="1" t="str">
        <f>HYPERLINK("http://www.ncbi.nlm.nih.gov/gene/?term=SIPA1L3","NCBI")</f>
        <v>NCBI</v>
      </c>
      <c r="F11832">
        <v>0.32</v>
      </c>
      <c r="G11832">
        <v>0.46</v>
      </c>
      <c r="H11832" s="1" t="str">
        <f>HYPERLINK("http://www.weizmann.ac.il/complex/compphys/software/geview/data/figures/213600_at.png","Figure")</f>
        <v>Figure</v>
      </c>
      <c r="I11832">
        <v>0.9</v>
      </c>
      <c r="J11832">
        <v>0.39</v>
      </c>
      <c r="K11832">
        <v>0.998</v>
      </c>
      <c r="L11832">
        <v>1</v>
      </c>
      <c r="M11832">
        <v>1.1100000000000001</v>
      </c>
      <c r="N11832">
        <v>0.35</v>
      </c>
    </row>
    <row r="11833" spans="1:14" x14ac:dyDescent="0.25">
      <c r="A11833" t="s">
        <v>20406</v>
      </c>
      <c r="B11833" t="s">
        <v>20407</v>
      </c>
      <c r="C11833" s="1" t="str">
        <f>HYPERLINK("http://www.genecards.org/cgi-bin/carddisp.pl?gene=EDN1","GeneCards")</f>
        <v>GeneCards</v>
      </c>
      <c r="D11833" s="1" t="str">
        <f>HYPERLINK("http://genome-euro.ucsc.edu/cgi-bin/hgTracks?position=218995_s_at","UCSC")</f>
        <v>UCSC</v>
      </c>
      <c r="E11833" s="1" t="str">
        <f>HYPERLINK("http://www.ncbi.nlm.nih.gov/gene/?term=EDN1","NCBI")</f>
        <v>NCBI</v>
      </c>
      <c r="F11833">
        <v>0.32</v>
      </c>
      <c r="G11833">
        <v>0.46</v>
      </c>
      <c r="H11833" s="1" t="str">
        <f>HYPERLINK("http://www.weizmann.ac.il/complex/compphys/software/geview/data/figures/218995_s_at.png","Figure")</f>
        <v>Figure</v>
      </c>
      <c r="I11833">
        <v>1.04</v>
      </c>
      <c r="J11833">
        <v>0.57999999999999996</v>
      </c>
      <c r="K11833">
        <v>1.06</v>
      </c>
      <c r="L11833">
        <v>0.3</v>
      </c>
      <c r="M11833">
        <v>1.01</v>
      </c>
      <c r="N11833">
        <v>0.93</v>
      </c>
    </row>
    <row r="11834" spans="1:14" x14ac:dyDescent="0.25">
      <c r="A11834" t="s">
        <v>20408</v>
      </c>
      <c r="B11834" t="s">
        <v>20409</v>
      </c>
      <c r="C11834" s="1" t="str">
        <f>HYPERLINK("http://www.genecards.org/cgi-bin/carddisp.pl?gene=NPAS3","GeneCards")</f>
        <v>GeneCards</v>
      </c>
      <c r="D11834" s="1" t="str">
        <f>HYPERLINK("http://genome-euro.ucsc.edu/cgi-bin/hgTracks?position=220316_at","UCSC")</f>
        <v>UCSC</v>
      </c>
      <c r="E11834" s="1" t="str">
        <f>HYPERLINK("http://www.ncbi.nlm.nih.gov/gene/?term=NPAS3","NCBI")</f>
        <v>NCBI</v>
      </c>
      <c r="F11834">
        <v>0.32</v>
      </c>
      <c r="G11834">
        <v>0.46</v>
      </c>
      <c r="H11834" s="1" t="str">
        <f>HYPERLINK("http://www.weizmann.ac.il/complex/compphys/software/geview/data/figures/220316_at.png","Figure")</f>
        <v>Figure</v>
      </c>
      <c r="I11834">
        <v>0.96699999999999997</v>
      </c>
      <c r="J11834">
        <v>0.45</v>
      </c>
      <c r="K11834">
        <v>0.96599999999999997</v>
      </c>
      <c r="L11834">
        <v>0.34</v>
      </c>
      <c r="M11834">
        <v>0.999</v>
      </c>
      <c r="N11834">
        <v>1</v>
      </c>
    </row>
    <row r="11835" spans="1:14" x14ac:dyDescent="0.25">
      <c r="A11835" t="s">
        <v>20410</v>
      </c>
      <c r="B11835" t="s">
        <v>14986</v>
      </c>
      <c r="C11835" s="1" t="str">
        <f>HYPERLINK("http://www.genecards.org/cgi-bin/carddisp.pl?gene=FASTK","GeneCards")</f>
        <v>GeneCards</v>
      </c>
      <c r="D11835" s="1" t="str">
        <f>HYPERLINK("http://genome-euro.ucsc.edu/cgi-bin/hgTracks?position=214114_x_at","UCSC")</f>
        <v>UCSC</v>
      </c>
      <c r="E11835" s="1" t="str">
        <f>HYPERLINK("http://www.ncbi.nlm.nih.gov/gene/?term=FASTK","NCBI")</f>
        <v>NCBI</v>
      </c>
      <c r="F11835">
        <v>0.32</v>
      </c>
      <c r="G11835">
        <v>0.46</v>
      </c>
      <c r="H11835" s="1" t="str">
        <f>HYPERLINK("http://www.weizmann.ac.il/complex/compphys/software/geview/data/figures/214114_x_at.png","Figure")</f>
        <v>Figure</v>
      </c>
      <c r="I11835">
        <v>1.27</v>
      </c>
      <c r="J11835">
        <v>0.28999999999999998</v>
      </c>
      <c r="K11835">
        <v>1.1200000000000001</v>
      </c>
      <c r="L11835">
        <v>0.68</v>
      </c>
      <c r="M11835">
        <v>0.88200000000000001</v>
      </c>
      <c r="N11835">
        <v>0.65</v>
      </c>
    </row>
    <row r="11836" spans="1:14" x14ac:dyDescent="0.25">
      <c r="A11836" t="s">
        <v>20411</v>
      </c>
      <c r="B11836" t="s">
        <v>13732</v>
      </c>
      <c r="C11836" s="1" t="str">
        <f>HYPERLINK("http://www.genecards.org/cgi-bin/carddisp.pl?gene=TGM2","GeneCards")</f>
        <v>GeneCards</v>
      </c>
      <c r="D11836" s="1" t="str">
        <f>HYPERLINK("http://genome-euro.ucsc.edu/cgi-bin/hgTracks?position=201042_at","UCSC")</f>
        <v>UCSC</v>
      </c>
      <c r="E11836" s="1" t="str">
        <f>HYPERLINK("http://www.ncbi.nlm.nih.gov/gene/?term=TGM2","NCBI")</f>
        <v>NCBI</v>
      </c>
      <c r="F11836">
        <v>0.32</v>
      </c>
      <c r="G11836">
        <v>0.46</v>
      </c>
      <c r="H11836" s="1" t="str">
        <f>HYPERLINK("http://www.weizmann.ac.il/complex/compphys/software/geview/data/figures/201042_at.png","Figure")</f>
        <v>Figure</v>
      </c>
      <c r="I11836">
        <v>1.07</v>
      </c>
      <c r="J11836">
        <v>0.37</v>
      </c>
      <c r="K11836">
        <v>1</v>
      </c>
      <c r="L11836">
        <v>1</v>
      </c>
      <c r="M11836">
        <v>0.93799999999999994</v>
      </c>
      <c r="N11836">
        <v>0.36</v>
      </c>
    </row>
    <row r="11837" spans="1:14" x14ac:dyDescent="0.25">
      <c r="A11837" t="s">
        <v>20412</v>
      </c>
      <c r="B11837" t="s">
        <v>20413</v>
      </c>
      <c r="C11837" s="1" t="str">
        <f>HYPERLINK("http://www.genecards.org/cgi-bin/carddisp.pl?gene=MAGOH","GeneCards")</f>
        <v>GeneCards</v>
      </c>
      <c r="D11837" s="1" t="str">
        <f>HYPERLINK("http://genome-euro.ucsc.edu/cgi-bin/hgTracks?position=210092_at","UCSC")</f>
        <v>UCSC</v>
      </c>
      <c r="E11837" s="1" t="str">
        <f>HYPERLINK("http://www.ncbi.nlm.nih.gov/gene/?term=MAGOH","NCBI")</f>
        <v>NCBI</v>
      </c>
      <c r="F11837">
        <v>0.32</v>
      </c>
      <c r="G11837">
        <v>0.46</v>
      </c>
      <c r="H11837" s="1" t="str">
        <f>HYPERLINK("http://www.weizmann.ac.il/complex/compphys/software/geview/data/figures/210092_at.png","Figure")</f>
        <v>Figure</v>
      </c>
      <c r="I11837">
        <v>1.3</v>
      </c>
      <c r="J11837">
        <v>0.35</v>
      </c>
      <c r="K11837">
        <v>1.04</v>
      </c>
      <c r="L11837">
        <v>0.97</v>
      </c>
      <c r="M11837">
        <v>0.79500000000000004</v>
      </c>
      <c r="N11837">
        <v>0.4</v>
      </c>
    </row>
    <row r="11838" spans="1:14" x14ac:dyDescent="0.25">
      <c r="A11838" t="s">
        <v>20414</v>
      </c>
      <c r="B11838" t="s">
        <v>20415</v>
      </c>
      <c r="C11838" s="1" t="str">
        <f>HYPERLINK("http://www.genecards.org/cgi-bin/carddisp.pl?gene=GCC2","GeneCards")</f>
        <v>GeneCards</v>
      </c>
      <c r="D11838" s="1" t="str">
        <f>HYPERLINK("http://genome-euro.ucsc.edu/cgi-bin/hgTracks?position=202832_at","UCSC")</f>
        <v>UCSC</v>
      </c>
      <c r="E11838" s="1" t="str">
        <f>HYPERLINK("http://www.ncbi.nlm.nih.gov/gene/?term=GCC2","NCBI")</f>
        <v>NCBI</v>
      </c>
      <c r="F11838">
        <v>0.32</v>
      </c>
      <c r="G11838">
        <v>0.46</v>
      </c>
      <c r="H11838" s="1" t="str">
        <f>HYPERLINK("http://www.weizmann.ac.il/complex/compphys/software/geview/data/figures/202832_at.png","Figure")</f>
        <v>Figure</v>
      </c>
      <c r="I11838">
        <v>0.80900000000000005</v>
      </c>
      <c r="J11838">
        <v>0.75</v>
      </c>
      <c r="K11838">
        <v>0.67400000000000004</v>
      </c>
      <c r="L11838">
        <v>0.28999999999999998</v>
      </c>
      <c r="M11838">
        <v>0.83299999999999996</v>
      </c>
      <c r="N11838">
        <v>0.78</v>
      </c>
    </row>
    <row r="11839" spans="1:14" x14ac:dyDescent="0.25">
      <c r="A11839" t="s">
        <v>20416</v>
      </c>
      <c r="B11839" t="s">
        <v>20417</v>
      </c>
      <c r="C11839" s="1" t="str">
        <f>HYPERLINK("http://www.genecards.org/cgi-bin/carddisp.pl?gene=PCNX","GeneCards")</f>
        <v>GeneCards</v>
      </c>
      <c r="D11839" s="1" t="str">
        <f>HYPERLINK("http://genome-euro.ucsc.edu/cgi-bin/hgTracks?position=215175_at","UCSC")</f>
        <v>UCSC</v>
      </c>
      <c r="E11839" s="1" t="str">
        <f>HYPERLINK("http://www.ncbi.nlm.nih.gov/gene/?term=PCNX","NCBI")</f>
        <v>NCBI</v>
      </c>
      <c r="F11839">
        <v>0.32</v>
      </c>
      <c r="G11839">
        <v>0.46</v>
      </c>
      <c r="H11839" s="1" t="str">
        <f>HYPERLINK("http://www.weizmann.ac.il/complex/compphys/software/geview/data/figures/215175_at.png","Figure")</f>
        <v>Figure</v>
      </c>
      <c r="I11839">
        <v>0.51600000000000001</v>
      </c>
      <c r="J11839">
        <v>0.33</v>
      </c>
      <c r="K11839">
        <v>0.626</v>
      </c>
      <c r="L11839">
        <v>0.47</v>
      </c>
      <c r="M11839">
        <v>1.21</v>
      </c>
      <c r="N11839">
        <v>0.89</v>
      </c>
    </row>
    <row r="11840" spans="1:14" x14ac:dyDescent="0.25">
      <c r="A11840" t="s">
        <v>20418</v>
      </c>
      <c r="B11840" t="s">
        <v>20419</v>
      </c>
      <c r="C11840" s="1" t="str">
        <f>HYPERLINK("http://www.genecards.org/cgi-bin/carddisp.pl?gene=CCR1","GeneCards")</f>
        <v>GeneCards</v>
      </c>
      <c r="D11840" s="1" t="str">
        <f>HYPERLINK("http://genome-euro.ucsc.edu/cgi-bin/hgTracks?position=205098_at","UCSC")</f>
        <v>UCSC</v>
      </c>
      <c r="E11840" s="1" t="str">
        <f>HYPERLINK("http://www.ncbi.nlm.nih.gov/gene/?term=CCR1","NCBI")</f>
        <v>NCBI</v>
      </c>
      <c r="F11840">
        <v>0.32</v>
      </c>
      <c r="G11840">
        <v>0.46</v>
      </c>
      <c r="H11840" s="1" t="str">
        <f>HYPERLINK("http://www.weizmann.ac.il/complex/compphys/software/geview/data/figures/205098_at.png","Figure")</f>
        <v>Figure</v>
      </c>
      <c r="I11840">
        <v>0.85799999999999998</v>
      </c>
      <c r="J11840">
        <v>0.39</v>
      </c>
      <c r="K11840">
        <v>0.875</v>
      </c>
      <c r="L11840">
        <v>0.39</v>
      </c>
      <c r="M11840">
        <v>1.02</v>
      </c>
      <c r="N11840">
        <v>0.98</v>
      </c>
    </row>
    <row r="11841" spans="1:14" x14ac:dyDescent="0.25">
      <c r="A11841" t="s">
        <v>20420</v>
      </c>
      <c r="B11841" t="s">
        <v>20421</v>
      </c>
      <c r="C11841" s="1" t="str">
        <f>HYPERLINK("http://www.genecards.org/cgi-bin/carddisp.pl?gene=PRPH2","GeneCards")</f>
        <v>GeneCards</v>
      </c>
      <c r="D11841" s="1" t="str">
        <f>HYPERLINK("http://genome-euro.ucsc.edu/cgi-bin/hgTracks?position=206625_at","UCSC")</f>
        <v>UCSC</v>
      </c>
      <c r="E11841" s="1" t="str">
        <f>HYPERLINK("http://www.ncbi.nlm.nih.gov/gene/?term=PRPH2","NCBI")</f>
        <v>NCBI</v>
      </c>
      <c r="F11841">
        <v>0.32</v>
      </c>
      <c r="G11841">
        <v>0.46</v>
      </c>
      <c r="H11841" s="1" t="str">
        <f>HYPERLINK("http://www.weizmann.ac.il/complex/compphys/software/geview/data/figures/206625_at.png","Figure")</f>
        <v>Figure</v>
      </c>
      <c r="I11841">
        <v>1.1100000000000001</v>
      </c>
      <c r="J11841">
        <v>0.73</v>
      </c>
      <c r="K11841">
        <v>0.90800000000000003</v>
      </c>
      <c r="L11841">
        <v>0.72</v>
      </c>
      <c r="M11841">
        <v>0.81499999999999995</v>
      </c>
      <c r="N11841">
        <v>0.3</v>
      </c>
    </row>
    <row r="11842" spans="1:14" x14ac:dyDescent="0.25">
      <c r="A11842" t="s">
        <v>20422</v>
      </c>
      <c r="B11842" t="s">
        <v>19839</v>
      </c>
      <c r="C11842" s="1" t="str">
        <f>HYPERLINK("http://www.genecards.org/cgi-bin/carddisp.pl?gene=TXNDC9","GeneCards")</f>
        <v>GeneCards</v>
      </c>
      <c r="D11842" s="1" t="str">
        <f>HYPERLINK("http://genome-euro.ucsc.edu/cgi-bin/hgTracks?position=211758_x_at","UCSC")</f>
        <v>UCSC</v>
      </c>
      <c r="E11842" s="1" t="str">
        <f>HYPERLINK("http://www.ncbi.nlm.nih.gov/gene/?term=TXNDC9","NCBI")</f>
        <v>NCBI</v>
      </c>
      <c r="F11842">
        <v>0.32</v>
      </c>
      <c r="G11842">
        <v>0.46</v>
      </c>
      <c r="H11842" s="1" t="str">
        <f>HYPERLINK("http://www.weizmann.ac.il/complex/compphys/software/geview/data/figures/211758_x_at.png","Figure")</f>
        <v>Figure</v>
      </c>
      <c r="I11842">
        <v>0.72099999999999997</v>
      </c>
      <c r="J11842">
        <v>0.47</v>
      </c>
      <c r="K11842">
        <v>1.06</v>
      </c>
      <c r="L11842">
        <v>0.97</v>
      </c>
      <c r="M11842">
        <v>1.47</v>
      </c>
      <c r="N11842">
        <v>0.31</v>
      </c>
    </row>
    <row r="11843" spans="1:14" x14ac:dyDescent="0.25">
      <c r="A11843" t="s">
        <v>20423</v>
      </c>
      <c r="B11843" t="s">
        <v>20424</v>
      </c>
      <c r="C11843" s="1" t="str">
        <f>HYPERLINK("http://www.genecards.org/cgi-bin/carddisp.pl?gene=BICC1","GeneCards")</f>
        <v>GeneCards</v>
      </c>
      <c r="D11843" s="1" t="str">
        <f>HYPERLINK("http://genome-euro.ucsc.edu/cgi-bin/hgTracks?position=220580_at","UCSC")</f>
        <v>UCSC</v>
      </c>
      <c r="E11843" s="1" t="str">
        <f>HYPERLINK("http://www.ncbi.nlm.nih.gov/gene/?term=BICC1","NCBI")</f>
        <v>NCBI</v>
      </c>
      <c r="F11843">
        <v>0.32</v>
      </c>
      <c r="G11843">
        <v>0.46</v>
      </c>
      <c r="H11843" s="1" t="str">
        <f>HYPERLINK("http://www.weizmann.ac.il/complex/compphys/software/geview/data/figures/220580_at.png","Figure")</f>
        <v>Figure</v>
      </c>
      <c r="I11843">
        <v>0.94399999999999995</v>
      </c>
      <c r="J11843">
        <v>0.33</v>
      </c>
      <c r="K11843">
        <v>0.99</v>
      </c>
      <c r="L11843">
        <v>0.95</v>
      </c>
      <c r="M11843">
        <v>1.05</v>
      </c>
      <c r="N11843">
        <v>0.42</v>
      </c>
    </row>
    <row r="11844" spans="1:14" x14ac:dyDescent="0.25">
      <c r="A11844" t="s">
        <v>20425</v>
      </c>
      <c r="B11844" t="s">
        <v>20426</v>
      </c>
      <c r="C11844" s="1" t="str">
        <f>HYPERLINK("http://www.genecards.org/cgi-bin/carddisp.pl?gene=AR","GeneCards")</f>
        <v>GeneCards</v>
      </c>
      <c r="D11844" s="1" t="str">
        <f>HYPERLINK("http://genome-euro.ucsc.edu/cgi-bin/hgTracks?position=211110_s_at","UCSC")</f>
        <v>UCSC</v>
      </c>
      <c r="E11844" s="1" t="str">
        <f>HYPERLINK("http://www.ncbi.nlm.nih.gov/gene/?term=AR","NCBI")</f>
        <v>NCBI</v>
      </c>
      <c r="F11844">
        <v>0.32</v>
      </c>
      <c r="G11844">
        <v>0.47</v>
      </c>
      <c r="H11844" s="1" t="str">
        <f>HYPERLINK("http://www.weizmann.ac.il/complex/compphys/software/geview/data/figures/211110_s_at.png","Figure")</f>
        <v>Figure</v>
      </c>
      <c r="I11844">
        <v>1.04</v>
      </c>
      <c r="J11844">
        <v>0.44</v>
      </c>
      <c r="K11844">
        <v>1.04</v>
      </c>
      <c r="L11844">
        <v>0.35</v>
      </c>
      <c r="M11844">
        <v>1</v>
      </c>
      <c r="N11844">
        <v>1</v>
      </c>
    </row>
    <row r="11845" spans="1:14" x14ac:dyDescent="0.25">
      <c r="A11845" t="s">
        <v>20427</v>
      </c>
      <c r="B11845" t="s">
        <v>20428</v>
      </c>
      <c r="C11845" s="1" t="str">
        <f>HYPERLINK("http://www.genecards.org/cgi-bin/carddisp.pl?gene=SPG11","GeneCards")</f>
        <v>GeneCards</v>
      </c>
      <c r="D11845" s="1" t="str">
        <f>HYPERLINK("http://genome-euro.ucsc.edu/cgi-bin/hgTracks?position=203513_at","UCSC")</f>
        <v>UCSC</v>
      </c>
      <c r="E11845" s="1" t="str">
        <f>HYPERLINK("http://www.ncbi.nlm.nih.gov/gene/?term=SPG11","NCBI")</f>
        <v>NCBI</v>
      </c>
      <c r="F11845">
        <v>0.32</v>
      </c>
      <c r="G11845">
        <v>0.47</v>
      </c>
      <c r="H11845" s="1" t="str">
        <f>HYPERLINK("http://www.weizmann.ac.il/complex/compphys/software/geview/data/figures/203513_at.png","Figure")</f>
        <v>Figure</v>
      </c>
      <c r="I11845">
        <v>0.77600000000000002</v>
      </c>
      <c r="J11845">
        <v>0.76</v>
      </c>
      <c r="K11845">
        <v>1.3</v>
      </c>
      <c r="L11845">
        <v>0.69</v>
      </c>
      <c r="M11845">
        <v>1.67</v>
      </c>
      <c r="N11845">
        <v>0.3</v>
      </c>
    </row>
    <row r="11846" spans="1:14" x14ac:dyDescent="0.25">
      <c r="A11846" t="s">
        <v>20429</v>
      </c>
      <c r="B11846" t="s">
        <v>20430</v>
      </c>
      <c r="C11846" s="1" t="str">
        <f>HYPERLINK("http://www.genecards.org/cgi-bin/carddisp.pl?gene=FXYD6","GeneCards")</f>
        <v>GeneCards</v>
      </c>
      <c r="D11846" s="1" t="str">
        <f>HYPERLINK("http://genome-euro.ucsc.edu/cgi-bin/hgTracks?position=217897_at","UCSC")</f>
        <v>UCSC</v>
      </c>
      <c r="E11846" s="1" t="str">
        <f>HYPERLINK("http://www.ncbi.nlm.nih.gov/gene/?term=FXYD6","NCBI")</f>
        <v>NCBI</v>
      </c>
      <c r="F11846">
        <v>0.32</v>
      </c>
      <c r="G11846">
        <v>0.47</v>
      </c>
      <c r="H11846" s="1" t="str">
        <f>HYPERLINK("http://www.weizmann.ac.il/complex/compphys/software/geview/data/figures/217897_at.png","Figure")</f>
        <v>Figure</v>
      </c>
      <c r="I11846">
        <v>0.89300000000000002</v>
      </c>
      <c r="J11846">
        <v>0.7</v>
      </c>
      <c r="K11846">
        <v>1.0900000000000001</v>
      </c>
      <c r="L11846">
        <v>0.75</v>
      </c>
      <c r="M11846">
        <v>1.22</v>
      </c>
      <c r="N11846">
        <v>0.3</v>
      </c>
    </row>
    <row r="11847" spans="1:14" x14ac:dyDescent="0.25">
      <c r="A11847" t="s">
        <v>20431</v>
      </c>
      <c r="B11847" t="s">
        <v>97</v>
      </c>
      <c r="C11847" s="1" t="str">
        <f>HYPERLINK("http://www.genecards.org/cgi-bin/carddisp.pl?gene=SLC19A1","GeneCards")</f>
        <v>GeneCards</v>
      </c>
      <c r="D11847" s="1" t="str">
        <f>HYPERLINK("http://genome-euro.ucsc.edu/cgi-bin/hgTracks?position=209777_s_at","UCSC")</f>
        <v>UCSC</v>
      </c>
      <c r="E11847" s="1" t="str">
        <f>HYPERLINK("http://www.ncbi.nlm.nih.gov/gene/?term=SLC19A1","NCBI")</f>
        <v>NCBI</v>
      </c>
      <c r="F11847">
        <v>0.32</v>
      </c>
      <c r="G11847">
        <v>0.47</v>
      </c>
      <c r="H11847" s="1" t="str">
        <f>HYPERLINK("http://www.weizmann.ac.il/complex/compphys/software/geview/data/figures/209777_s_at.png","Figure")</f>
        <v>Figure</v>
      </c>
      <c r="I11847">
        <v>0.99099999999999999</v>
      </c>
      <c r="J11847">
        <v>0.99</v>
      </c>
      <c r="K11847">
        <v>1.1100000000000001</v>
      </c>
      <c r="L11847">
        <v>0.42</v>
      </c>
      <c r="M11847">
        <v>1.1200000000000001</v>
      </c>
      <c r="N11847">
        <v>0.41</v>
      </c>
    </row>
    <row r="11848" spans="1:14" x14ac:dyDescent="0.25">
      <c r="A11848" t="s">
        <v>20432</v>
      </c>
      <c r="B11848" t="s">
        <v>20433</v>
      </c>
      <c r="C11848" s="1" t="str">
        <f>HYPERLINK("http://www.genecards.org/cgi-bin/carddisp.pl?gene=ZNF473","GeneCards")</f>
        <v>GeneCards</v>
      </c>
      <c r="D11848" s="1" t="str">
        <f>HYPERLINK("http://genome-euro.ucsc.edu/cgi-bin/hgTracks?position=213130_at","UCSC")</f>
        <v>UCSC</v>
      </c>
      <c r="E11848" s="1" t="str">
        <f>HYPERLINK("http://www.ncbi.nlm.nih.gov/gene/?term=ZNF473","NCBI")</f>
        <v>NCBI</v>
      </c>
      <c r="F11848">
        <v>0.32</v>
      </c>
      <c r="G11848">
        <v>0.47</v>
      </c>
      <c r="H11848" s="1" t="str">
        <f>HYPERLINK("http://www.weizmann.ac.il/complex/compphys/software/geview/data/figures/213130_at.png","Figure")</f>
        <v>Figure</v>
      </c>
      <c r="I11848">
        <v>1.28</v>
      </c>
      <c r="J11848">
        <v>0.28999999999999998</v>
      </c>
      <c r="K11848">
        <v>1.1100000000000001</v>
      </c>
      <c r="L11848">
        <v>0.73</v>
      </c>
      <c r="M11848">
        <v>0.86599999999999999</v>
      </c>
      <c r="N11848">
        <v>0.61</v>
      </c>
    </row>
    <row r="11849" spans="1:14" x14ac:dyDescent="0.25">
      <c r="A11849" t="s">
        <v>20434</v>
      </c>
      <c r="B11849" t="s">
        <v>14746</v>
      </c>
      <c r="C11849" s="1" t="str">
        <f>HYPERLINK("http://www.genecards.org/cgi-bin/carddisp.pl?gene=ADCK2","GeneCards")</f>
        <v>GeneCards</v>
      </c>
      <c r="D11849" s="1" t="str">
        <f>HYPERLINK("http://genome-euro.ucsc.edu/cgi-bin/hgTracks?position=221894_at","UCSC")</f>
        <v>UCSC</v>
      </c>
      <c r="E11849" s="1" t="str">
        <f>HYPERLINK("http://www.ncbi.nlm.nih.gov/gene/?term=ADCK2","NCBI")</f>
        <v>NCBI</v>
      </c>
      <c r="F11849">
        <v>0.32</v>
      </c>
      <c r="G11849">
        <v>0.47</v>
      </c>
      <c r="H11849" s="1" t="str">
        <f>HYPERLINK("http://www.weizmann.ac.il/complex/compphys/software/geview/data/figures/221894_at.png","Figure")</f>
        <v>Figure</v>
      </c>
      <c r="I11849">
        <v>1.06</v>
      </c>
      <c r="J11849">
        <v>0.66</v>
      </c>
      <c r="K11849">
        <v>1.1000000000000001</v>
      </c>
      <c r="L11849">
        <v>0.3</v>
      </c>
      <c r="M11849">
        <v>1.03</v>
      </c>
      <c r="N11849">
        <v>0.87</v>
      </c>
    </row>
    <row r="11850" spans="1:14" x14ac:dyDescent="0.25">
      <c r="A11850" t="s">
        <v>20435</v>
      </c>
      <c r="B11850" t="s">
        <v>20436</v>
      </c>
      <c r="C11850" s="1" t="str">
        <f>HYPERLINK("http://www.genecards.org/cgi-bin/carddisp.pl?gene=MYL6","GeneCards")</f>
        <v>GeneCards</v>
      </c>
      <c r="D11850" s="1" t="str">
        <f>HYPERLINK("http://genome-euro.ucsc.edu/cgi-bin/hgTracks?position=212082_s_at","UCSC")</f>
        <v>UCSC</v>
      </c>
      <c r="E11850" s="1" t="str">
        <f>HYPERLINK("http://www.ncbi.nlm.nih.gov/gene/?term=MYL6","NCBI")</f>
        <v>NCBI</v>
      </c>
      <c r="F11850">
        <v>0.32</v>
      </c>
      <c r="G11850">
        <v>0.47</v>
      </c>
      <c r="H11850" s="1" t="str">
        <f>HYPERLINK("http://www.weizmann.ac.il/complex/compphys/software/geview/data/figures/212082_s_at.png","Figure")</f>
        <v>Figure</v>
      </c>
      <c r="I11850">
        <v>1.03</v>
      </c>
      <c r="J11850">
        <v>0.98</v>
      </c>
      <c r="K11850">
        <v>1.23</v>
      </c>
      <c r="L11850">
        <v>0.36</v>
      </c>
      <c r="M11850">
        <v>1.2</v>
      </c>
      <c r="N11850">
        <v>0.5</v>
      </c>
    </row>
    <row r="11851" spans="1:14" x14ac:dyDescent="0.25">
      <c r="A11851" t="s">
        <v>20437</v>
      </c>
      <c r="B11851" t="s">
        <v>20438</v>
      </c>
      <c r="C11851" s="1" t="str">
        <f>HYPERLINK("http://www.genecards.org/cgi-bin/carddisp.pl?gene=POLL","GeneCards")</f>
        <v>GeneCards</v>
      </c>
      <c r="D11851" s="1" t="str">
        <f>HYPERLINK("http://genome-euro.ucsc.edu/cgi-bin/hgTracks?position=221049_s_at","UCSC")</f>
        <v>UCSC</v>
      </c>
      <c r="E11851" s="1" t="str">
        <f>HYPERLINK("http://www.ncbi.nlm.nih.gov/gene/?term=POLL","NCBI")</f>
        <v>NCBI</v>
      </c>
      <c r="F11851">
        <v>0.32</v>
      </c>
      <c r="G11851">
        <v>0.47</v>
      </c>
      <c r="H11851" s="1" t="str">
        <f>HYPERLINK("http://www.weizmann.ac.il/complex/compphys/software/geview/data/figures/221049_s_at.png","Figure")</f>
        <v>Figure</v>
      </c>
      <c r="I11851">
        <v>1.1200000000000001</v>
      </c>
      <c r="J11851">
        <v>0.3</v>
      </c>
      <c r="K11851">
        <v>1.04</v>
      </c>
      <c r="L11851">
        <v>0.83</v>
      </c>
      <c r="M11851">
        <v>0.92800000000000005</v>
      </c>
      <c r="N11851">
        <v>0.52</v>
      </c>
    </row>
    <row r="11852" spans="1:14" x14ac:dyDescent="0.25">
      <c r="A11852" t="s">
        <v>20439</v>
      </c>
      <c r="B11852" t="s">
        <v>20440</v>
      </c>
      <c r="C11852" s="1" t="str">
        <f>HYPERLINK("http://www.genecards.org/cgi-bin/carddisp.pl?gene=ANKZF1","GeneCards")</f>
        <v>GeneCards</v>
      </c>
      <c r="D11852" s="1" t="str">
        <f>HYPERLINK("http://genome-euro.ucsc.edu/cgi-bin/hgTracks?position=218274_s_at","UCSC")</f>
        <v>UCSC</v>
      </c>
      <c r="E11852" s="1" t="str">
        <f>HYPERLINK("http://www.ncbi.nlm.nih.gov/gene/?term=ANKZF1","NCBI")</f>
        <v>NCBI</v>
      </c>
      <c r="F11852">
        <v>0.32</v>
      </c>
      <c r="G11852">
        <v>0.47</v>
      </c>
      <c r="H11852" s="1" t="str">
        <f>HYPERLINK("http://www.weizmann.ac.il/complex/compphys/software/geview/data/figures/218274_s_at.png","Figure")</f>
        <v>Figure</v>
      </c>
      <c r="I11852">
        <v>1.04</v>
      </c>
      <c r="J11852">
        <v>0.96</v>
      </c>
      <c r="K11852">
        <v>0.86199999999999999</v>
      </c>
      <c r="L11852">
        <v>0.48</v>
      </c>
      <c r="M11852">
        <v>0.83</v>
      </c>
      <c r="N11852">
        <v>0.37</v>
      </c>
    </row>
    <row r="11853" spans="1:14" x14ac:dyDescent="0.25">
      <c r="A11853" t="s">
        <v>20441</v>
      </c>
      <c r="B11853" t="s">
        <v>20442</v>
      </c>
      <c r="C11853" s="1" t="str">
        <f>HYPERLINK("http://www.genecards.org/cgi-bin/carddisp.pl?gene=C2CD3","GeneCards")</f>
        <v>GeneCards</v>
      </c>
      <c r="D11853" s="1" t="str">
        <f>HYPERLINK("http://genome-euro.ucsc.edu/cgi-bin/hgTracks?position=213199_at","UCSC")</f>
        <v>UCSC</v>
      </c>
      <c r="E11853" s="1" t="str">
        <f>HYPERLINK("http://www.ncbi.nlm.nih.gov/gene/?term=C2CD3","NCBI")</f>
        <v>NCBI</v>
      </c>
      <c r="F11853">
        <v>0.32</v>
      </c>
      <c r="G11853">
        <v>0.47</v>
      </c>
      <c r="H11853" s="1" t="str">
        <f>HYPERLINK("http://www.weizmann.ac.il/complex/compphys/software/geview/data/figures/213199_at.png","Figure")</f>
        <v>Figure</v>
      </c>
      <c r="I11853">
        <v>1.19</v>
      </c>
      <c r="J11853">
        <v>0.4</v>
      </c>
      <c r="K11853">
        <v>1.17</v>
      </c>
      <c r="L11853">
        <v>0.38</v>
      </c>
      <c r="M11853">
        <v>0.98199999999999998</v>
      </c>
      <c r="N11853">
        <v>0.99</v>
      </c>
    </row>
    <row r="11854" spans="1:14" x14ac:dyDescent="0.25">
      <c r="A11854" t="s">
        <v>20443</v>
      </c>
      <c r="B11854" t="s">
        <v>18506</v>
      </c>
      <c r="C11854" s="1" t="str">
        <f>HYPERLINK("http://www.genecards.org/cgi-bin/carddisp.pl?gene=HEXIM1","GeneCards")</f>
        <v>GeneCards</v>
      </c>
      <c r="D11854" s="1" t="str">
        <f>HYPERLINK("http://genome-euro.ucsc.edu/cgi-bin/hgTracks?position=202815_s_at","UCSC")</f>
        <v>UCSC</v>
      </c>
      <c r="E11854" s="1" t="str">
        <f>HYPERLINK("http://www.ncbi.nlm.nih.gov/gene/?term=HEXIM1","NCBI")</f>
        <v>NCBI</v>
      </c>
      <c r="F11854">
        <v>0.32</v>
      </c>
      <c r="G11854">
        <v>0.47</v>
      </c>
      <c r="H11854" s="1" t="str">
        <f>HYPERLINK("http://www.weizmann.ac.il/complex/compphys/software/geview/data/figures/202815_s_at.png","Figure")</f>
        <v>Figure</v>
      </c>
      <c r="I11854">
        <v>1.18</v>
      </c>
      <c r="J11854">
        <v>0.66</v>
      </c>
      <c r="K11854">
        <v>0.89800000000000002</v>
      </c>
      <c r="L11854">
        <v>0.79</v>
      </c>
      <c r="M11854">
        <v>0.76</v>
      </c>
      <c r="N11854">
        <v>0.28999999999999998</v>
      </c>
    </row>
    <row r="11855" spans="1:14" x14ac:dyDescent="0.25">
      <c r="A11855" t="s">
        <v>20444</v>
      </c>
      <c r="B11855" t="s">
        <v>14612</v>
      </c>
      <c r="C11855" s="1" t="str">
        <f>HYPERLINK("http://www.genecards.org/cgi-bin/carddisp.pl?gene=BRD3","GeneCards")</f>
        <v>GeneCards</v>
      </c>
      <c r="D11855" s="1" t="str">
        <f>HYPERLINK("http://genome-euro.ucsc.edu/cgi-bin/hgTracks?position=203825_at","UCSC")</f>
        <v>UCSC</v>
      </c>
      <c r="E11855" s="1" t="str">
        <f>HYPERLINK("http://www.ncbi.nlm.nih.gov/gene/?term=BRD3","NCBI")</f>
        <v>NCBI</v>
      </c>
      <c r="F11855">
        <v>0.32</v>
      </c>
      <c r="G11855">
        <v>0.47</v>
      </c>
      <c r="H11855" s="1" t="str">
        <f>HYPERLINK("http://www.weizmann.ac.il/complex/compphys/software/geview/data/figures/203825_at.png","Figure")</f>
        <v>Figure</v>
      </c>
      <c r="I11855">
        <v>0.997</v>
      </c>
      <c r="J11855">
        <v>1</v>
      </c>
      <c r="K11855">
        <v>1.32</v>
      </c>
      <c r="L11855">
        <v>0.4</v>
      </c>
      <c r="M11855">
        <v>1.32</v>
      </c>
      <c r="N11855">
        <v>0.44</v>
      </c>
    </row>
    <row r="11856" spans="1:14" x14ac:dyDescent="0.25">
      <c r="A11856" t="s">
        <v>20445</v>
      </c>
      <c r="B11856" t="s">
        <v>20446</v>
      </c>
      <c r="C11856" s="1" t="str">
        <f>HYPERLINK("http://www.genecards.org/cgi-bin/carddisp.pl?gene=ADAM21 /// ADAM21P","GeneCards")</f>
        <v>GeneCards</v>
      </c>
      <c r="D11856" s="1" t="str">
        <f>HYPERLINK("http://genome-euro.ucsc.edu/cgi-bin/hgTracks?position=207665_at","UCSC")</f>
        <v>UCSC</v>
      </c>
      <c r="E11856" s="1" t="str">
        <f>HYPERLINK("http://www.ncbi.nlm.nih.gov/gene/?term=ADAM21 /// ADAM21P","NCBI")</f>
        <v>NCBI</v>
      </c>
      <c r="F11856">
        <v>0.32</v>
      </c>
      <c r="G11856">
        <v>0.47</v>
      </c>
      <c r="H11856" s="1" t="str">
        <f>HYPERLINK("http://www.weizmann.ac.il/complex/compphys/software/geview/data/figures/207665_at.png","Figure")</f>
        <v>Figure</v>
      </c>
      <c r="I11856">
        <v>1.07</v>
      </c>
      <c r="J11856">
        <v>0.53</v>
      </c>
      <c r="K11856">
        <v>0.97799999999999998</v>
      </c>
      <c r="L11856">
        <v>0.91</v>
      </c>
      <c r="M11856">
        <v>0.91300000000000003</v>
      </c>
      <c r="N11856">
        <v>0.3</v>
      </c>
    </row>
    <row r="11857" spans="1:14" x14ac:dyDescent="0.25">
      <c r="A11857" t="s">
        <v>20447</v>
      </c>
      <c r="B11857" t="s">
        <v>16098</v>
      </c>
      <c r="C11857" s="1" t="str">
        <f>HYPERLINK("http://www.genecards.org/cgi-bin/carddisp.pl?gene=USP34","GeneCards")</f>
        <v>GeneCards</v>
      </c>
      <c r="D11857" s="1" t="str">
        <f>HYPERLINK("http://genome-euro.ucsc.edu/cgi-bin/hgTracks?position=212980_at","UCSC")</f>
        <v>UCSC</v>
      </c>
      <c r="E11857" s="1" t="str">
        <f>HYPERLINK("http://www.ncbi.nlm.nih.gov/gene/?term=USP34","NCBI")</f>
        <v>NCBI</v>
      </c>
      <c r="F11857">
        <v>0.32</v>
      </c>
      <c r="G11857">
        <v>0.47</v>
      </c>
      <c r="H11857" s="1" t="str">
        <f>HYPERLINK("http://www.weizmann.ac.il/complex/compphys/software/geview/data/figures/212980_at.png","Figure")</f>
        <v>Figure</v>
      </c>
      <c r="I11857">
        <v>0.73899999999999999</v>
      </c>
      <c r="J11857">
        <v>0.64</v>
      </c>
      <c r="K11857">
        <v>1.2</v>
      </c>
      <c r="L11857">
        <v>0.81</v>
      </c>
      <c r="M11857">
        <v>1.62</v>
      </c>
      <c r="N11857">
        <v>0.28999999999999998</v>
      </c>
    </row>
    <row r="11858" spans="1:14" x14ac:dyDescent="0.25">
      <c r="A11858" t="s">
        <v>20448</v>
      </c>
      <c r="B11858" t="s">
        <v>10319</v>
      </c>
      <c r="C11858" s="1" t="str">
        <f>HYPERLINK("http://www.genecards.org/cgi-bin/carddisp.pl?gene=EPS15L1","GeneCards")</f>
        <v>GeneCards</v>
      </c>
      <c r="D11858" s="1" t="str">
        <f>HYPERLINK("http://genome-euro.ucsc.edu/cgi-bin/hgTracks?position=222113_s_at","UCSC")</f>
        <v>UCSC</v>
      </c>
      <c r="E11858" s="1" t="str">
        <f>HYPERLINK("http://www.ncbi.nlm.nih.gov/gene/?term=EPS15L1","NCBI")</f>
        <v>NCBI</v>
      </c>
      <c r="F11858">
        <v>0.32</v>
      </c>
      <c r="G11858">
        <v>0.47</v>
      </c>
      <c r="H11858" s="1" t="str">
        <f>HYPERLINK("http://www.weizmann.ac.il/complex/compphys/software/geview/data/figures/222113_s_at.png","Figure")</f>
        <v>Figure</v>
      </c>
      <c r="I11858">
        <v>0.81</v>
      </c>
      <c r="J11858">
        <v>0.37</v>
      </c>
      <c r="K11858">
        <v>0.98699999999999999</v>
      </c>
      <c r="L11858">
        <v>0.99</v>
      </c>
      <c r="M11858">
        <v>1.22</v>
      </c>
      <c r="N11858">
        <v>0.37</v>
      </c>
    </row>
    <row r="11859" spans="1:14" x14ac:dyDescent="0.25">
      <c r="A11859" t="s">
        <v>20449</v>
      </c>
      <c r="B11859" t="s">
        <v>8324</v>
      </c>
      <c r="C11859" s="1" t="str">
        <f>HYPERLINK("http://www.genecards.org/cgi-bin/carddisp.pl?gene=EDA","GeneCards")</f>
        <v>GeneCards</v>
      </c>
      <c r="D11859" s="1" t="str">
        <f>HYPERLINK("http://genome-euro.ucsc.edu/cgi-bin/hgTracks?position=211128_at","UCSC")</f>
        <v>UCSC</v>
      </c>
      <c r="E11859" s="1" t="str">
        <f>HYPERLINK("http://www.ncbi.nlm.nih.gov/gene/?term=EDA","NCBI")</f>
        <v>NCBI</v>
      </c>
      <c r="F11859">
        <v>0.32</v>
      </c>
      <c r="G11859">
        <v>0.47</v>
      </c>
      <c r="H11859" s="1" t="str">
        <f>HYPERLINK("http://www.weizmann.ac.il/complex/compphys/software/geview/data/figures/211128_at.png","Figure")</f>
        <v>Figure</v>
      </c>
      <c r="I11859">
        <v>1.08</v>
      </c>
      <c r="J11859">
        <v>0.3</v>
      </c>
      <c r="K11859">
        <v>1.03</v>
      </c>
      <c r="L11859">
        <v>0.82</v>
      </c>
      <c r="M11859">
        <v>0.94899999999999995</v>
      </c>
      <c r="N11859">
        <v>0.53</v>
      </c>
    </row>
    <row r="11860" spans="1:14" x14ac:dyDescent="0.25">
      <c r="A11860" t="s">
        <v>20450</v>
      </c>
      <c r="B11860" t="s">
        <v>15120</v>
      </c>
      <c r="C11860" s="1" t="str">
        <f>HYPERLINK("http://www.genecards.org/cgi-bin/carddisp.pl?gene=RAB3GAP1","GeneCards")</f>
        <v>GeneCards</v>
      </c>
      <c r="D11860" s="1" t="str">
        <f>HYPERLINK("http://genome-euro.ucsc.edu/cgi-bin/hgTracks?position=213531_s_at","UCSC")</f>
        <v>UCSC</v>
      </c>
      <c r="E11860" s="1" t="str">
        <f>HYPERLINK("http://www.ncbi.nlm.nih.gov/gene/?term=RAB3GAP1","NCBI")</f>
        <v>NCBI</v>
      </c>
      <c r="F11860">
        <v>0.32</v>
      </c>
      <c r="G11860">
        <v>0.47</v>
      </c>
      <c r="H11860" s="1" t="str">
        <f>HYPERLINK("http://www.weizmann.ac.il/complex/compphys/software/geview/data/figures/213531_s_at.png","Figure")</f>
        <v>Figure</v>
      </c>
      <c r="I11860">
        <v>0.77500000000000002</v>
      </c>
      <c r="J11860">
        <v>0.36</v>
      </c>
      <c r="K11860">
        <v>0.81799999999999995</v>
      </c>
      <c r="L11860">
        <v>0.43</v>
      </c>
      <c r="M11860">
        <v>1.06</v>
      </c>
      <c r="N11860">
        <v>0.94</v>
      </c>
    </row>
    <row r="11861" spans="1:14" x14ac:dyDescent="0.25">
      <c r="A11861" t="s">
        <v>20451</v>
      </c>
      <c r="B11861" t="s">
        <v>12750</v>
      </c>
      <c r="C11861" s="1" t="str">
        <f>HYPERLINK("http://www.genecards.org/cgi-bin/carddisp.pl?gene=TSPY1","GeneCards")</f>
        <v>GeneCards</v>
      </c>
      <c r="D11861" s="1" t="str">
        <f>HYPERLINK("http://genome-euro.ucsc.edu/cgi-bin/hgTracks?position=217162_at","UCSC")</f>
        <v>UCSC</v>
      </c>
      <c r="E11861" s="1" t="str">
        <f>HYPERLINK("http://www.ncbi.nlm.nih.gov/gene/?term=TSPY1","NCBI")</f>
        <v>NCBI</v>
      </c>
      <c r="F11861">
        <v>0.33</v>
      </c>
      <c r="G11861">
        <v>0.47</v>
      </c>
      <c r="H11861" s="1" t="str">
        <f>HYPERLINK("http://www.weizmann.ac.il/complex/compphys/software/geview/data/figures/217162_at.png","Figure")</f>
        <v>Figure</v>
      </c>
      <c r="I11861">
        <v>1.1499999999999999</v>
      </c>
      <c r="J11861">
        <v>0.4</v>
      </c>
      <c r="K11861">
        <v>1.1399999999999999</v>
      </c>
      <c r="L11861">
        <v>0.38</v>
      </c>
      <c r="M11861">
        <v>0.98599999999999999</v>
      </c>
      <c r="N11861">
        <v>0.99</v>
      </c>
    </row>
    <row r="11862" spans="1:14" x14ac:dyDescent="0.25">
      <c r="A11862" t="s">
        <v>20452</v>
      </c>
      <c r="B11862" t="s">
        <v>20453</v>
      </c>
      <c r="C11862" s="1" t="str">
        <f>HYPERLINK("http://www.genecards.org/cgi-bin/carddisp.pl?gene=USP48","GeneCards")</f>
        <v>GeneCards</v>
      </c>
      <c r="D11862" s="1" t="str">
        <f>HYPERLINK("http://genome-euro.ucsc.edu/cgi-bin/hgTracks?position=220079_s_at","UCSC")</f>
        <v>UCSC</v>
      </c>
      <c r="E11862" s="1" t="str">
        <f>HYPERLINK("http://www.ncbi.nlm.nih.gov/gene/?term=USP48","NCBI")</f>
        <v>NCBI</v>
      </c>
      <c r="F11862">
        <v>0.33</v>
      </c>
      <c r="G11862">
        <v>0.47</v>
      </c>
      <c r="H11862" s="1" t="str">
        <f>HYPERLINK("http://www.weizmann.ac.il/complex/compphys/software/geview/data/figures/220079_s_at.png","Figure")</f>
        <v>Figure</v>
      </c>
      <c r="I11862">
        <v>0.90800000000000003</v>
      </c>
      <c r="J11862">
        <v>0.92</v>
      </c>
      <c r="K11862">
        <v>1.28</v>
      </c>
      <c r="L11862">
        <v>0.52</v>
      </c>
      <c r="M11862">
        <v>1.41</v>
      </c>
      <c r="N11862">
        <v>0.35</v>
      </c>
    </row>
    <row r="11863" spans="1:14" x14ac:dyDescent="0.25">
      <c r="A11863" t="s">
        <v>20454</v>
      </c>
      <c r="B11863" t="s">
        <v>20455</v>
      </c>
      <c r="C11863" s="1" t="str">
        <f>HYPERLINK("http://www.genecards.org/cgi-bin/carddisp.pl?gene=TAS2R4","GeneCards")</f>
        <v>GeneCards</v>
      </c>
      <c r="D11863" s="1" t="str">
        <f>HYPERLINK("http://genome-euro.ucsc.edu/cgi-bin/hgTracks?position=221392_at","UCSC")</f>
        <v>UCSC</v>
      </c>
      <c r="E11863" s="1" t="str">
        <f>HYPERLINK("http://www.ncbi.nlm.nih.gov/gene/?term=TAS2R4","NCBI")</f>
        <v>NCBI</v>
      </c>
      <c r="F11863">
        <v>0.33</v>
      </c>
      <c r="G11863">
        <v>0.47</v>
      </c>
      <c r="H11863" s="1" t="str">
        <f>HYPERLINK("http://www.weizmann.ac.il/complex/compphys/software/geview/data/figures/221392_at.png","Figure")</f>
        <v>Figure</v>
      </c>
      <c r="I11863">
        <v>0.997</v>
      </c>
      <c r="J11863">
        <v>0.99</v>
      </c>
      <c r="K11863">
        <v>0.96299999999999997</v>
      </c>
      <c r="L11863">
        <v>0.37</v>
      </c>
      <c r="M11863">
        <v>0.96599999999999997</v>
      </c>
      <c r="N11863">
        <v>0.48</v>
      </c>
    </row>
    <row r="11864" spans="1:14" x14ac:dyDescent="0.25">
      <c r="A11864" t="s">
        <v>20456</v>
      </c>
      <c r="B11864" t="s">
        <v>20457</v>
      </c>
      <c r="C11864" s="1" t="str">
        <f>HYPERLINK("http://www.genecards.org/cgi-bin/carddisp.pl?gene=BCKDHA","GeneCards")</f>
        <v>GeneCards</v>
      </c>
      <c r="D11864" s="1" t="str">
        <f>HYPERLINK("http://genome-euro.ucsc.edu/cgi-bin/hgTracks?position=202331_at","UCSC")</f>
        <v>UCSC</v>
      </c>
      <c r="E11864" s="1" t="str">
        <f>HYPERLINK("http://www.ncbi.nlm.nih.gov/gene/?term=BCKDHA","NCBI")</f>
        <v>NCBI</v>
      </c>
      <c r="F11864">
        <v>0.33</v>
      </c>
      <c r="G11864">
        <v>0.47</v>
      </c>
      <c r="H11864" s="1" t="str">
        <f>HYPERLINK("http://www.weizmann.ac.il/complex/compphys/software/geview/data/figures/202331_at.png","Figure")</f>
        <v>Figure</v>
      </c>
      <c r="I11864">
        <v>1.1499999999999999</v>
      </c>
      <c r="J11864">
        <v>0.32</v>
      </c>
      <c r="K11864">
        <v>1.0900000000000001</v>
      </c>
      <c r="L11864">
        <v>0.51</v>
      </c>
      <c r="M11864">
        <v>0.95499999999999996</v>
      </c>
      <c r="N11864">
        <v>0.85</v>
      </c>
    </row>
    <row r="11865" spans="1:14" x14ac:dyDescent="0.25">
      <c r="A11865" t="s">
        <v>20458</v>
      </c>
      <c r="B11865" t="s">
        <v>20459</v>
      </c>
      <c r="C11865" s="1" t="str">
        <f>HYPERLINK("http://www.genecards.org/cgi-bin/carddisp.pl?gene=INHBB","GeneCards")</f>
        <v>GeneCards</v>
      </c>
      <c r="D11865" s="1" t="str">
        <f>HYPERLINK("http://genome-euro.ucsc.edu/cgi-bin/hgTracks?position=205258_at","UCSC")</f>
        <v>UCSC</v>
      </c>
      <c r="E11865" s="1" t="str">
        <f>HYPERLINK("http://www.ncbi.nlm.nih.gov/gene/?term=INHBB","NCBI")</f>
        <v>NCBI</v>
      </c>
      <c r="F11865">
        <v>0.33</v>
      </c>
      <c r="G11865">
        <v>0.47</v>
      </c>
      <c r="H11865" s="1" t="str">
        <f>HYPERLINK("http://www.weizmann.ac.il/complex/compphys/software/geview/data/figures/205258_at.png","Figure")</f>
        <v>Figure</v>
      </c>
      <c r="I11865">
        <v>0.6</v>
      </c>
      <c r="J11865">
        <v>0.42</v>
      </c>
      <c r="K11865">
        <v>0.61799999999999999</v>
      </c>
      <c r="L11865">
        <v>0.37</v>
      </c>
      <c r="M11865">
        <v>1.03</v>
      </c>
      <c r="N11865">
        <v>1</v>
      </c>
    </row>
    <row r="11866" spans="1:14" x14ac:dyDescent="0.25">
      <c r="A11866" t="s">
        <v>20460</v>
      </c>
      <c r="B11866" t="s">
        <v>11778</v>
      </c>
      <c r="C11866" s="1" t="str">
        <f>HYPERLINK("http://www.genecards.org/cgi-bin/carddisp.pl?gene=RPN2","GeneCards")</f>
        <v>GeneCards</v>
      </c>
      <c r="D11866" s="1" t="str">
        <f>HYPERLINK("http://genome-euro.ucsc.edu/cgi-bin/hgTracks?position=208689_s_at","UCSC")</f>
        <v>UCSC</v>
      </c>
      <c r="E11866" s="1" t="str">
        <f>HYPERLINK("http://www.ncbi.nlm.nih.gov/gene/?term=RPN2","NCBI")</f>
        <v>NCBI</v>
      </c>
      <c r="F11866">
        <v>0.33</v>
      </c>
      <c r="G11866">
        <v>0.47</v>
      </c>
      <c r="H11866" s="1" t="str">
        <f>HYPERLINK("http://www.weizmann.ac.il/complex/compphys/software/geview/data/figures/208689_s_at.png","Figure")</f>
        <v>Figure</v>
      </c>
      <c r="I11866">
        <v>0.88500000000000001</v>
      </c>
      <c r="J11866">
        <v>0.81</v>
      </c>
      <c r="K11866">
        <v>1.17</v>
      </c>
      <c r="L11866">
        <v>0.64</v>
      </c>
      <c r="M11866">
        <v>1.32</v>
      </c>
      <c r="N11866">
        <v>0.31</v>
      </c>
    </row>
    <row r="11867" spans="1:14" x14ac:dyDescent="0.25">
      <c r="A11867" t="s">
        <v>20461</v>
      </c>
      <c r="B11867" t="s">
        <v>20462</v>
      </c>
      <c r="C11867" s="1" t="str">
        <f>HYPERLINK("http://www.genecards.org/cgi-bin/carddisp.pl?gene=EPN1","GeneCards")</f>
        <v>GeneCards</v>
      </c>
      <c r="D11867" s="1" t="str">
        <f>HYPERLINK("http://genome-euro.ucsc.edu/cgi-bin/hgTracks?position=221141_x_at","UCSC")</f>
        <v>UCSC</v>
      </c>
      <c r="E11867" s="1" t="str">
        <f>HYPERLINK("http://www.ncbi.nlm.nih.gov/gene/?term=EPN1","NCBI")</f>
        <v>NCBI</v>
      </c>
      <c r="F11867">
        <v>0.33</v>
      </c>
      <c r="G11867">
        <v>0.47</v>
      </c>
      <c r="H11867" s="1" t="str">
        <f>HYPERLINK("http://www.weizmann.ac.il/complex/compphys/software/geview/data/figures/221141_x_at.png","Figure")</f>
        <v>Figure</v>
      </c>
      <c r="I11867">
        <v>1.27</v>
      </c>
      <c r="J11867">
        <v>0.3</v>
      </c>
      <c r="K11867">
        <v>1.1399999999999999</v>
      </c>
      <c r="L11867">
        <v>0.6</v>
      </c>
      <c r="M11867">
        <v>0.89700000000000002</v>
      </c>
      <c r="N11867">
        <v>0.74</v>
      </c>
    </row>
    <row r="11868" spans="1:14" x14ac:dyDescent="0.25">
      <c r="A11868" t="s">
        <v>20463</v>
      </c>
      <c r="B11868" t="s">
        <v>12203</v>
      </c>
      <c r="C11868" s="1" t="str">
        <f>HYPERLINK("http://www.genecards.org/cgi-bin/carddisp.pl?gene=MBNL2","GeneCards")</f>
        <v>GeneCards</v>
      </c>
      <c r="D11868" s="1" t="str">
        <f>HYPERLINK("http://genome-euro.ucsc.edu/cgi-bin/hgTracks?position=205017_s_at","UCSC")</f>
        <v>UCSC</v>
      </c>
      <c r="E11868" s="1" t="str">
        <f>HYPERLINK("http://www.ncbi.nlm.nih.gov/gene/?term=MBNL2","NCBI")</f>
        <v>NCBI</v>
      </c>
      <c r="F11868">
        <v>0.33</v>
      </c>
      <c r="G11868">
        <v>0.47</v>
      </c>
      <c r="H11868" s="1" t="str">
        <f>HYPERLINK("http://www.weizmann.ac.il/complex/compphys/software/geview/data/figures/205017_s_at.png","Figure")</f>
        <v>Figure</v>
      </c>
      <c r="I11868">
        <v>1.05</v>
      </c>
      <c r="J11868">
        <v>0.31</v>
      </c>
      <c r="K11868">
        <v>1.03</v>
      </c>
      <c r="L11868">
        <v>0.56999999999999995</v>
      </c>
      <c r="M11868">
        <v>0.97799999999999998</v>
      </c>
      <c r="N11868">
        <v>0.78</v>
      </c>
    </row>
    <row r="11869" spans="1:14" x14ac:dyDescent="0.25">
      <c r="A11869" t="s">
        <v>20464</v>
      </c>
      <c r="B11869" t="s">
        <v>6713</v>
      </c>
      <c r="C11869" s="1" t="str">
        <f>HYPERLINK("http://www.genecards.org/cgi-bin/carddisp.pl?gene=SIVA1","GeneCards")</f>
        <v>GeneCards</v>
      </c>
      <c r="D11869" s="1" t="str">
        <f>HYPERLINK("http://genome-euro.ucsc.edu/cgi-bin/hgTracks?position=210792_x_at","UCSC")</f>
        <v>UCSC</v>
      </c>
      <c r="E11869" s="1" t="str">
        <f>HYPERLINK("http://www.ncbi.nlm.nih.gov/gene/?term=SIVA1","NCBI")</f>
        <v>NCBI</v>
      </c>
      <c r="F11869">
        <v>0.33</v>
      </c>
      <c r="G11869">
        <v>0.47</v>
      </c>
      <c r="H11869" s="1" t="str">
        <f>HYPERLINK("http://www.weizmann.ac.il/complex/compphys/software/geview/data/figures/210792_x_at.png","Figure")</f>
        <v>Figure</v>
      </c>
      <c r="I11869">
        <v>1.03</v>
      </c>
      <c r="J11869">
        <v>0.99</v>
      </c>
      <c r="K11869">
        <v>1.29</v>
      </c>
      <c r="L11869">
        <v>0.36</v>
      </c>
      <c r="M11869">
        <v>1.26</v>
      </c>
      <c r="N11869">
        <v>0.49</v>
      </c>
    </row>
    <row r="11870" spans="1:14" x14ac:dyDescent="0.25">
      <c r="A11870" t="s">
        <v>20465</v>
      </c>
      <c r="B11870" t="s">
        <v>20466</v>
      </c>
      <c r="C11870" s="1" t="str">
        <f>HYPERLINK("http://www.genecards.org/cgi-bin/carddisp.pl?gene=ADAM29","GeneCards")</f>
        <v>GeneCards</v>
      </c>
      <c r="D11870" s="1" t="str">
        <f>HYPERLINK("http://genome-euro.ucsc.edu/cgi-bin/hgTracks?position=221337_s_at","UCSC")</f>
        <v>UCSC</v>
      </c>
      <c r="E11870" s="1" t="str">
        <f>HYPERLINK("http://www.ncbi.nlm.nih.gov/gene/?term=ADAM29","NCBI")</f>
        <v>NCBI</v>
      </c>
      <c r="F11870">
        <v>0.33</v>
      </c>
      <c r="G11870">
        <v>0.47</v>
      </c>
      <c r="H11870" s="1" t="str">
        <f>HYPERLINK("http://www.weizmann.ac.il/complex/compphys/software/geview/data/figures/221337_s_at.png","Figure")</f>
        <v>Figure</v>
      </c>
      <c r="I11870">
        <v>1.0900000000000001</v>
      </c>
      <c r="J11870">
        <v>0.41</v>
      </c>
      <c r="K11870">
        <v>0.997</v>
      </c>
      <c r="L11870">
        <v>1</v>
      </c>
      <c r="M11870">
        <v>0.91700000000000004</v>
      </c>
      <c r="N11870">
        <v>0.34</v>
      </c>
    </row>
    <row r="11871" spans="1:14" x14ac:dyDescent="0.25">
      <c r="A11871" t="s">
        <v>20467</v>
      </c>
      <c r="B11871" t="s">
        <v>12375</v>
      </c>
      <c r="C11871" s="1" t="str">
        <f>HYPERLINK("http://www.genecards.org/cgi-bin/carddisp.pl?gene=TAL1","GeneCards")</f>
        <v>GeneCards</v>
      </c>
      <c r="D11871" s="1" t="str">
        <f>HYPERLINK("http://genome-euro.ucsc.edu/cgi-bin/hgTracks?position=206283_s_at","UCSC")</f>
        <v>UCSC</v>
      </c>
      <c r="E11871" s="1" t="str">
        <f>HYPERLINK("http://www.ncbi.nlm.nih.gov/gene/?term=TAL1","NCBI")</f>
        <v>NCBI</v>
      </c>
      <c r="F11871">
        <v>0.33</v>
      </c>
      <c r="G11871">
        <v>0.47</v>
      </c>
      <c r="H11871" s="1" t="str">
        <f>HYPERLINK("http://www.weizmann.ac.il/complex/compphys/software/geview/data/figures/206283_s_at.png","Figure")</f>
        <v>Figure</v>
      </c>
      <c r="I11871">
        <v>1.18</v>
      </c>
      <c r="J11871">
        <v>0.7</v>
      </c>
      <c r="K11871">
        <v>0.877</v>
      </c>
      <c r="L11871">
        <v>0.75</v>
      </c>
      <c r="M11871">
        <v>0.74299999999999999</v>
      </c>
      <c r="N11871">
        <v>0.3</v>
      </c>
    </row>
    <row r="11872" spans="1:14" x14ac:dyDescent="0.25">
      <c r="A11872" t="s">
        <v>20468</v>
      </c>
      <c r="B11872" t="s">
        <v>19342</v>
      </c>
      <c r="C11872" s="1" t="str">
        <f>HYPERLINK("http://www.genecards.org/cgi-bin/carddisp.pl?gene=ATP5I","GeneCards")</f>
        <v>GeneCards</v>
      </c>
      <c r="D11872" s="1" t="str">
        <f>HYPERLINK("http://genome-euro.ucsc.edu/cgi-bin/hgTracks?position=207335_x_at","UCSC")</f>
        <v>UCSC</v>
      </c>
      <c r="E11872" s="1" t="str">
        <f>HYPERLINK("http://www.ncbi.nlm.nih.gov/gene/?term=ATP5I","NCBI")</f>
        <v>NCBI</v>
      </c>
      <c r="F11872">
        <v>0.33</v>
      </c>
      <c r="G11872">
        <v>0.47</v>
      </c>
      <c r="H11872" s="1" t="str">
        <f>HYPERLINK("http://www.weizmann.ac.il/complex/compphys/software/geview/data/figures/207335_x_at.png","Figure")</f>
        <v>Figure</v>
      </c>
      <c r="I11872">
        <v>1.47</v>
      </c>
      <c r="J11872">
        <v>0.33</v>
      </c>
      <c r="K11872">
        <v>1.31</v>
      </c>
      <c r="L11872">
        <v>0.48</v>
      </c>
      <c r="M11872">
        <v>0.89</v>
      </c>
      <c r="N11872">
        <v>0.88</v>
      </c>
    </row>
    <row r="11873" spans="1:14" x14ac:dyDescent="0.25">
      <c r="A11873" t="s">
        <v>20469</v>
      </c>
      <c r="B11873" t="s">
        <v>20470</v>
      </c>
      <c r="C11873" s="1" t="str">
        <f>HYPERLINK("http://www.genecards.org/cgi-bin/carddisp.pl?gene=KLF13","GeneCards")</f>
        <v>GeneCards</v>
      </c>
      <c r="D11873" s="1" t="str">
        <f>HYPERLINK("http://genome-euro.ucsc.edu/cgi-bin/hgTracks?position=219878_s_at","UCSC")</f>
        <v>UCSC</v>
      </c>
      <c r="E11873" s="1" t="str">
        <f>HYPERLINK("http://www.ncbi.nlm.nih.gov/gene/?term=KLF13","NCBI")</f>
        <v>NCBI</v>
      </c>
      <c r="F11873">
        <v>0.33</v>
      </c>
      <c r="G11873">
        <v>0.47</v>
      </c>
      <c r="H11873" s="1" t="str">
        <f>HYPERLINK("http://www.weizmann.ac.il/complex/compphys/software/geview/data/figures/219878_s_at.png","Figure")</f>
        <v>Figure</v>
      </c>
      <c r="I11873">
        <v>0.69099999999999995</v>
      </c>
      <c r="J11873">
        <v>0.51</v>
      </c>
      <c r="K11873">
        <v>1.1100000000000001</v>
      </c>
      <c r="L11873">
        <v>0.93</v>
      </c>
      <c r="M11873">
        <v>1.6</v>
      </c>
      <c r="N11873">
        <v>0.31</v>
      </c>
    </row>
    <row r="11874" spans="1:14" x14ac:dyDescent="0.25">
      <c r="A11874" t="s">
        <v>20471</v>
      </c>
      <c r="B11874" t="s">
        <v>20472</v>
      </c>
      <c r="C11874" s="1" t="str">
        <f>HYPERLINK("http://www.genecards.org/cgi-bin/carddisp.pl?gene=CAV1","GeneCards")</f>
        <v>GeneCards</v>
      </c>
      <c r="D11874" s="1" t="str">
        <f>HYPERLINK("http://genome-euro.ucsc.edu/cgi-bin/hgTracks?position=203065_s_at","UCSC")</f>
        <v>UCSC</v>
      </c>
      <c r="E11874" s="1" t="str">
        <f>HYPERLINK("http://www.ncbi.nlm.nih.gov/gene/?term=CAV1","NCBI")</f>
        <v>NCBI</v>
      </c>
      <c r="F11874">
        <v>0.33</v>
      </c>
      <c r="G11874">
        <v>0.47</v>
      </c>
      <c r="H11874" s="1" t="str">
        <f>HYPERLINK("http://www.weizmann.ac.il/complex/compphys/software/geview/data/figures/203065_s_at.png","Figure")</f>
        <v>Figure</v>
      </c>
      <c r="I11874">
        <v>1</v>
      </c>
      <c r="J11874">
        <v>1</v>
      </c>
      <c r="K11874">
        <v>0.94399999999999995</v>
      </c>
      <c r="L11874">
        <v>0.42</v>
      </c>
      <c r="M11874">
        <v>0.94</v>
      </c>
      <c r="N11874">
        <v>0.42</v>
      </c>
    </row>
    <row r="11875" spans="1:14" x14ac:dyDescent="0.25">
      <c r="A11875" t="s">
        <v>20473</v>
      </c>
      <c r="B11875" t="s">
        <v>19038</v>
      </c>
      <c r="C11875" s="1" t="str">
        <f>HYPERLINK("http://www.genecards.org/cgi-bin/carddisp.pl?gene=SLC39A9","GeneCards")</f>
        <v>GeneCards</v>
      </c>
      <c r="D11875" s="1" t="str">
        <f>HYPERLINK("http://genome-euro.ucsc.edu/cgi-bin/hgTracks?position=216011_at","UCSC")</f>
        <v>UCSC</v>
      </c>
      <c r="E11875" s="1" t="str">
        <f>HYPERLINK("http://www.ncbi.nlm.nih.gov/gene/?term=SLC39A9","NCBI")</f>
        <v>NCBI</v>
      </c>
      <c r="F11875">
        <v>0.33</v>
      </c>
      <c r="G11875">
        <v>0.47</v>
      </c>
      <c r="H11875" s="1" t="str">
        <f>HYPERLINK("http://www.weizmann.ac.il/complex/compphys/software/geview/data/figures/216011_at.png","Figure")</f>
        <v>Figure</v>
      </c>
      <c r="I11875">
        <v>1.06</v>
      </c>
      <c r="J11875">
        <v>0.76</v>
      </c>
      <c r="K11875">
        <v>0.94599999999999995</v>
      </c>
      <c r="L11875">
        <v>0.69</v>
      </c>
      <c r="M11875">
        <v>0.89600000000000002</v>
      </c>
      <c r="N11875">
        <v>0.3</v>
      </c>
    </row>
    <row r="11876" spans="1:14" x14ac:dyDescent="0.25">
      <c r="A11876" t="s">
        <v>20474</v>
      </c>
      <c r="B11876" t="s">
        <v>20475</v>
      </c>
      <c r="C11876" s="1" t="str">
        <f>HYPERLINK("http://www.genecards.org/cgi-bin/carddisp.pl?gene=GOLPH3","GeneCards")</f>
        <v>GeneCards</v>
      </c>
      <c r="D11876" s="1" t="str">
        <f>HYPERLINK("http://genome-euro.ucsc.edu/cgi-bin/hgTracks?position=217803_at","UCSC")</f>
        <v>UCSC</v>
      </c>
      <c r="E11876" s="1" t="str">
        <f>HYPERLINK("http://www.ncbi.nlm.nih.gov/gene/?term=GOLPH3","NCBI")</f>
        <v>NCBI</v>
      </c>
      <c r="F11876">
        <v>0.33</v>
      </c>
      <c r="G11876">
        <v>0.47</v>
      </c>
      <c r="H11876" s="1" t="str">
        <f>HYPERLINK("http://www.weizmann.ac.il/complex/compphys/software/geview/data/figures/217803_at.png","Figure")</f>
        <v>Figure</v>
      </c>
      <c r="I11876">
        <v>0.81299999999999994</v>
      </c>
      <c r="J11876">
        <v>0.52</v>
      </c>
      <c r="K11876">
        <v>1.06</v>
      </c>
      <c r="L11876">
        <v>0.93</v>
      </c>
      <c r="M11876">
        <v>1.3</v>
      </c>
      <c r="N11876">
        <v>0.3</v>
      </c>
    </row>
    <row r="11877" spans="1:14" x14ac:dyDescent="0.25">
      <c r="A11877" t="s">
        <v>20476</v>
      </c>
      <c r="B11877" t="s">
        <v>1891</v>
      </c>
      <c r="C11877" s="1" t="str">
        <f>HYPERLINK("http://www.genecards.org/cgi-bin/carddisp.pl?gene=STIP1","GeneCards")</f>
        <v>GeneCards</v>
      </c>
      <c r="D11877" s="1" t="str">
        <f>HYPERLINK("http://genome-euro.ucsc.edu/cgi-bin/hgTracks?position=212009_s_at","UCSC")</f>
        <v>UCSC</v>
      </c>
      <c r="E11877" s="1" t="str">
        <f>HYPERLINK("http://www.ncbi.nlm.nih.gov/gene/?term=STIP1","NCBI")</f>
        <v>NCBI</v>
      </c>
      <c r="F11877">
        <v>0.33</v>
      </c>
      <c r="G11877">
        <v>0.47</v>
      </c>
      <c r="H11877" s="1" t="str">
        <f>HYPERLINK("http://www.weizmann.ac.il/complex/compphys/software/geview/data/figures/212009_s_at.png","Figure")</f>
        <v>Figure</v>
      </c>
      <c r="I11877">
        <v>1.1499999999999999</v>
      </c>
      <c r="J11877">
        <v>0.35</v>
      </c>
      <c r="K11877">
        <v>1.1100000000000001</v>
      </c>
      <c r="L11877">
        <v>0.45</v>
      </c>
      <c r="M11877">
        <v>0.96599999999999997</v>
      </c>
      <c r="N11877">
        <v>0.92</v>
      </c>
    </row>
    <row r="11878" spans="1:14" x14ac:dyDescent="0.25">
      <c r="A11878" t="s">
        <v>20477</v>
      </c>
      <c r="B11878" t="s">
        <v>4657</v>
      </c>
      <c r="C11878" s="1" t="str">
        <f>HYPERLINK("http://www.genecards.org/cgi-bin/carddisp.pl?gene=MSL3","GeneCards")</f>
        <v>GeneCards</v>
      </c>
      <c r="D11878" s="1" t="str">
        <f>HYPERLINK("http://genome-euro.ucsc.edu/cgi-bin/hgTracks?position=214009_at","UCSC")</f>
        <v>UCSC</v>
      </c>
      <c r="E11878" s="1" t="str">
        <f>HYPERLINK("http://www.ncbi.nlm.nih.gov/gene/?term=MSL3","NCBI")</f>
        <v>NCBI</v>
      </c>
      <c r="F11878">
        <v>0.33</v>
      </c>
      <c r="G11878">
        <v>0.47</v>
      </c>
      <c r="H11878" s="1" t="str">
        <f>HYPERLINK("http://www.weizmann.ac.il/complex/compphys/software/geview/data/figures/214009_at.png","Figure")</f>
        <v>Figure</v>
      </c>
      <c r="I11878">
        <v>1.07</v>
      </c>
      <c r="J11878">
        <v>0.34</v>
      </c>
      <c r="K11878">
        <v>1.01</v>
      </c>
      <c r="L11878">
        <v>0.97</v>
      </c>
      <c r="M11878">
        <v>0.94299999999999995</v>
      </c>
      <c r="N11878">
        <v>0.41</v>
      </c>
    </row>
    <row r="11879" spans="1:14" x14ac:dyDescent="0.25">
      <c r="A11879" t="s">
        <v>20478</v>
      </c>
      <c r="B11879" t="s">
        <v>20479</v>
      </c>
      <c r="C11879" s="1" t="str">
        <f>HYPERLINK("http://www.genecards.org/cgi-bin/carddisp.pl?gene=SF3B4","GeneCards")</f>
        <v>GeneCards</v>
      </c>
      <c r="D11879" s="1" t="str">
        <f>HYPERLINK("http://genome-euro.ucsc.edu/cgi-bin/hgTracks?position=209044_x_at","UCSC")</f>
        <v>UCSC</v>
      </c>
      <c r="E11879" s="1" t="str">
        <f>HYPERLINK("http://www.ncbi.nlm.nih.gov/gene/?term=SF3B4","NCBI")</f>
        <v>NCBI</v>
      </c>
      <c r="F11879">
        <v>0.33</v>
      </c>
      <c r="G11879">
        <v>0.47</v>
      </c>
      <c r="H11879" s="1" t="str">
        <f>HYPERLINK("http://www.weizmann.ac.il/complex/compphys/software/geview/data/figures/209044_x_at.png","Figure")</f>
        <v>Figure</v>
      </c>
      <c r="I11879">
        <v>0.97399999999999998</v>
      </c>
      <c r="J11879">
        <v>0.99</v>
      </c>
      <c r="K11879">
        <v>1.24</v>
      </c>
      <c r="L11879">
        <v>0.44</v>
      </c>
      <c r="M11879">
        <v>1.27</v>
      </c>
      <c r="N11879">
        <v>0.4</v>
      </c>
    </row>
    <row r="11880" spans="1:14" x14ac:dyDescent="0.25">
      <c r="A11880" t="s">
        <v>20480</v>
      </c>
      <c r="B11880" t="s">
        <v>20481</v>
      </c>
      <c r="C11880" s="1" t="str">
        <f>HYPERLINK("http://www.genecards.org/cgi-bin/carddisp.pl?gene=ATP2B3","GeneCards")</f>
        <v>GeneCards</v>
      </c>
      <c r="D11880" s="1" t="str">
        <f>HYPERLINK("http://genome-euro.ucsc.edu/cgi-bin/hgTracks?position=207026_s_at","UCSC")</f>
        <v>UCSC</v>
      </c>
      <c r="E11880" s="1" t="str">
        <f>HYPERLINK("http://www.ncbi.nlm.nih.gov/gene/?term=ATP2B3","NCBI")</f>
        <v>NCBI</v>
      </c>
      <c r="F11880">
        <v>0.33</v>
      </c>
      <c r="G11880">
        <v>0.47</v>
      </c>
      <c r="H11880" s="1" t="str">
        <f>HYPERLINK("http://www.weizmann.ac.il/complex/compphys/software/geview/data/figures/207026_s_at.png","Figure")</f>
        <v>Figure</v>
      </c>
      <c r="I11880">
        <v>1.0900000000000001</v>
      </c>
      <c r="J11880">
        <v>0.35</v>
      </c>
      <c r="K11880">
        <v>1.07</v>
      </c>
      <c r="L11880">
        <v>0.44</v>
      </c>
      <c r="M11880">
        <v>0.97899999999999998</v>
      </c>
      <c r="N11880">
        <v>0.93</v>
      </c>
    </row>
    <row r="11881" spans="1:14" x14ac:dyDescent="0.25">
      <c r="A11881" t="s">
        <v>20482</v>
      </c>
      <c r="B11881" t="s">
        <v>20483</v>
      </c>
      <c r="C11881" s="1" t="str">
        <f>HYPERLINK("http://www.genecards.org/cgi-bin/carddisp.pl?gene=TPPP3","GeneCards")</f>
        <v>GeneCards</v>
      </c>
      <c r="D11881" s="1" t="str">
        <f>HYPERLINK("http://genome-euro.ucsc.edu/cgi-bin/hgTracks?position=218876_at","UCSC")</f>
        <v>UCSC</v>
      </c>
      <c r="E11881" s="1" t="str">
        <f>HYPERLINK("http://www.ncbi.nlm.nih.gov/gene/?term=TPPP3","NCBI")</f>
        <v>NCBI</v>
      </c>
      <c r="F11881">
        <v>0.33</v>
      </c>
      <c r="G11881">
        <v>0.47</v>
      </c>
      <c r="H11881" s="1" t="str">
        <f>HYPERLINK("http://www.weizmann.ac.il/complex/compphys/software/geview/data/figures/218876_at.png","Figure")</f>
        <v>Figure</v>
      </c>
      <c r="I11881">
        <v>1.1000000000000001</v>
      </c>
      <c r="J11881">
        <v>0.32</v>
      </c>
      <c r="K11881">
        <v>1.02</v>
      </c>
      <c r="L11881">
        <v>0.92</v>
      </c>
      <c r="M11881">
        <v>0.92900000000000005</v>
      </c>
      <c r="N11881">
        <v>0.45</v>
      </c>
    </row>
    <row r="11882" spans="1:14" x14ac:dyDescent="0.25">
      <c r="A11882" t="s">
        <v>20484</v>
      </c>
      <c r="B11882" t="s">
        <v>18862</v>
      </c>
      <c r="C11882" s="1" t="str">
        <f>HYPERLINK("http://www.genecards.org/cgi-bin/carddisp.pl?gene=TNFSF12-TNFSF13 /// TNFSF13","GeneCards")</f>
        <v>GeneCards</v>
      </c>
      <c r="D11882" s="1" t="str">
        <f>HYPERLINK("http://genome-euro.ucsc.edu/cgi-bin/hgTracks?position=209500_x_at","UCSC")</f>
        <v>UCSC</v>
      </c>
      <c r="E11882" s="1" t="str">
        <f>HYPERLINK("http://www.ncbi.nlm.nih.gov/gene/?term=TNFSF12-TNFSF13 /// TNFSF13","NCBI")</f>
        <v>NCBI</v>
      </c>
      <c r="F11882">
        <v>0.33</v>
      </c>
      <c r="G11882">
        <v>0.47</v>
      </c>
      <c r="H11882" s="1" t="str">
        <f>HYPERLINK("http://www.weizmann.ac.il/complex/compphys/software/geview/data/figures/209500_x_at.png","Figure")</f>
        <v>Figure</v>
      </c>
      <c r="I11882">
        <v>0.73599999999999999</v>
      </c>
      <c r="J11882">
        <v>0.36</v>
      </c>
      <c r="K11882">
        <v>0.97199999999999998</v>
      </c>
      <c r="L11882">
        <v>0.99</v>
      </c>
      <c r="M11882">
        <v>1.32</v>
      </c>
      <c r="N11882">
        <v>0.38</v>
      </c>
    </row>
    <row r="11883" spans="1:14" x14ac:dyDescent="0.25">
      <c r="A11883" t="s">
        <v>20485</v>
      </c>
      <c r="B11883" t="s">
        <v>20405</v>
      </c>
      <c r="C11883" s="1" t="str">
        <f>HYPERLINK("http://www.genecards.org/cgi-bin/carddisp.pl?gene=SIPA1L3","GeneCards")</f>
        <v>GeneCards</v>
      </c>
      <c r="D11883" s="1" t="str">
        <f>HYPERLINK("http://genome-euro.ucsc.edu/cgi-bin/hgTracks?position=37831_at","UCSC")</f>
        <v>UCSC</v>
      </c>
      <c r="E11883" s="1" t="str">
        <f>HYPERLINK("http://www.ncbi.nlm.nih.gov/gene/?term=SIPA1L3","NCBI")</f>
        <v>NCBI</v>
      </c>
      <c r="F11883">
        <v>0.33</v>
      </c>
      <c r="G11883">
        <v>0.47</v>
      </c>
      <c r="H11883" s="1" t="str">
        <f>HYPERLINK("http://www.weizmann.ac.il/complex/compphys/software/geview/data/figures/37831_at.png","Figure")</f>
        <v>Figure</v>
      </c>
      <c r="I11883">
        <v>1.1200000000000001</v>
      </c>
      <c r="J11883">
        <v>0.38</v>
      </c>
      <c r="K11883">
        <v>1.1000000000000001</v>
      </c>
      <c r="L11883">
        <v>0.4</v>
      </c>
      <c r="M11883">
        <v>0.98199999999999998</v>
      </c>
      <c r="N11883">
        <v>0.97</v>
      </c>
    </row>
    <row r="11884" spans="1:14" x14ac:dyDescent="0.25">
      <c r="A11884" t="s">
        <v>20486</v>
      </c>
      <c r="B11884" t="s">
        <v>404</v>
      </c>
      <c r="C11884" s="1" t="str">
        <f>HYPERLINK("http://www.genecards.org/cgi-bin/carddisp.pl?gene=PRKACB","GeneCards")</f>
        <v>GeneCards</v>
      </c>
      <c r="D11884" s="1" t="str">
        <f>HYPERLINK("http://genome-euro.ucsc.edu/cgi-bin/hgTracks?position=202742_s_at","UCSC")</f>
        <v>UCSC</v>
      </c>
      <c r="E11884" s="1" t="str">
        <f>HYPERLINK("http://www.ncbi.nlm.nih.gov/gene/?term=PRKACB","NCBI")</f>
        <v>NCBI</v>
      </c>
      <c r="F11884">
        <v>0.33</v>
      </c>
      <c r="G11884">
        <v>0.47</v>
      </c>
      <c r="H11884" s="1" t="str">
        <f>HYPERLINK("http://www.weizmann.ac.il/complex/compphys/software/geview/data/figures/202742_s_at.png","Figure")</f>
        <v>Figure</v>
      </c>
      <c r="I11884">
        <v>0.96099999999999997</v>
      </c>
      <c r="J11884">
        <v>0.76</v>
      </c>
      <c r="K11884">
        <v>0.92700000000000005</v>
      </c>
      <c r="L11884">
        <v>0.3</v>
      </c>
      <c r="M11884">
        <v>0.96399999999999997</v>
      </c>
      <c r="N11884">
        <v>0.77</v>
      </c>
    </row>
    <row r="11885" spans="1:14" x14ac:dyDescent="0.25">
      <c r="A11885" t="s">
        <v>20487</v>
      </c>
      <c r="B11885" t="s">
        <v>20488</v>
      </c>
      <c r="C11885" s="1" t="str">
        <f>HYPERLINK("http://www.genecards.org/cgi-bin/carddisp.pl?gene=VWA5A","GeneCards")</f>
        <v>GeneCards</v>
      </c>
      <c r="D11885" s="1" t="str">
        <f>HYPERLINK("http://genome-euro.ucsc.edu/cgi-bin/hgTracks?position=205011_at","UCSC")</f>
        <v>UCSC</v>
      </c>
      <c r="E11885" s="1" t="str">
        <f>HYPERLINK("http://www.ncbi.nlm.nih.gov/gene/?term=VWA5A","NCBI")</f>
        <v>NCBI</v>
      </c>
      <c r="F11885">
        <v>0.33</v>
      </c>
      <c r="G11885">
        <v>0.47</v>
      </c>
      <c r="H11885" s="1" t="str">
        <f>HYPERLINK("http://www.weizmann.ac.il/complex/compphys/software/geview/data/figures/205011_at.png","Figure")</f>
        <v>Figure</v>
      </c>
      <c r="I11885">
        <v>1.1299999999999999</v>
      </c>
      <c r="J11885">
        <v>0.6</v>
      </c>
      <c r="K11885">
        <v>0.94499999999999995</v>
      </c>
      <c r="L11885">
        <v>0.85</v>
      </c>
      <c r="M11885">
        <v>0.83799999999999997</v>
      </c>
      <c r="N11885">
        <v>0.3</v>
      </c>
    </row>
    <row r="11886" spans="1:14" x14ac:dyDescent="0.25">
      <c r="A11886" t="s">
        <v>20489</v>
      </c>
      <c r="B11886" t="s">
        <v>20490</v>
      </c>
      <c r="C11886" s="1" t="str">
        <f>HYPERLINK("http://www.genecards.org/cgi-bin/carddisp.pl?gene=RSC1A1","GeneCards")</f>
        <v>GeneCards</v>
      </c>
      <c r="D11886" s="1" t="str">
        <f>HYPERLINK("http://genome-euro.ucsc.edu/cgi-bin/hgTracks?position=214583_at","UCSC")</f>
        <v>UCSC</v>
      </c>
      <c r="E11886" s="1" t="str">
        <f>HYPERLINK("http://www.ncbi.nlm.nih.gov/gene/?term=RSC1A1","NCBI")</f>
        <v>NCBI</v>
      </c>
      <c r="F11886">
        <v>0.33</v>
      </c>
      <c r="G11886">
        <v>0.47</v>
      </c>
      <c r="H11886" s="1" t="str">
        <f>HYPERLINK("http://www.weizmann.ac.il/complex/compphys/software/geview/data/figures/214583_at.png","Figure")</f>
        <v>Figure</v>
      </c>
      <c r="I11886">
        <v>1</v>
      </c>
      <c r="J11886">
        <v>1</v>
      </c>
      <c r="K11886">
        <v>0.63800000000000001</v>
      </c>
      <c r="L11886">
        <v>0.4</v>
      </c>
      <c r="M11886">
        <v>0.63800000000000001</v>
      </c>
      <c r="N11886">
        <v>0.44</v>
      </c>
    </row>
    <row r="11887" spans="1:14" x14ac:dyDescent="0.25">
      <c r="A11887" t="s">
        <v>20491</v>
      </c>
      <c r="B11887" t="s">
        <v>20492</v>
      </c>
      <c r="C11887" s="1" t="str">
        <f>HYPERLINK("http://www.genecards.org/cgi-bin/carddisp.pl?gene=ACSL6","GeneCards")</f>
        <v>GeneCards</v>
      </c>
      <c r="D11887" s="1" t="str">
        <f>HYPERLINK("http://genome-euro.ucsc.edu/cgi-bin/hgTracks?position=216409_at","UCSC")</f>
        <v>UCSC</v>
      </c>
      <c r="E11887" s="1" t="str">
        <f>HYPERLINK("http://www.ncbi.nlm.nih.gov/gene/?term=ACSL6","NCBI")</f>
        <v>NCBI</v>
      </c>
      <c r="F11887">
        <v>0.33</v>
      </c>
      <c r="G11887">
        <v>0.47</v>
      </c>
      <c r="H11887" s="1" t="str">
        <f>HYPERLINK("http://www.weizmann.ac.il/complex/compphys/software/geview/data/figures/216409_at.png","Figure")</f>
        <v>Figure</v>
      </c>
      <c r="I11887">
        <v>1.0900000000000001</v>
      </c>
      <c r="J11887">
        <v>0.54</v>
      </c>
      <c r="K11887">
        <v>1.1100000000000001</v>
      </c>
      <c r="L11887">
        <v>0.31</v>
      </c>
      <c r="M11887">
        <v>1.02</v>
      </c>
      <c r="N11887">
        <v>0.96</v>
      </c>
    </row>
    <row r="11888" spans="1:14" x14ac:dyDescent="0.25">
      <c r="A11888" t="s">
        <v>20493</v>
      </c>
      <c r="B11888" t="s">
        <v>12048</v>
      </c>
      <c r="C11888" s="1" t="str">
        <f>HYPERLINK("http://www.genecards.org/cgi-bin/carddisp.pl?gene=CENPA","GeneCards")</f>
        <v>GeneCards</v>
      </c>
      <c r="D11888" s="1" t="str">
        <f>HYPERLINK("http://genome-euro.ucsc.edu/cgi-bin/hgTracks?position=210821_x_at","UCSC")</f>
        <v>UCSC</v>
      </c>
      <c r="E11888" s="1" t="str">
        <f>HYPERLINK("http://www.ncbi.nlm.nih.gov/gene/?term=CENPA","NCBI")</f>
        <v>NCBI</v>
      </c>
      <c r="F11888">
        <v>0.33</v>
      </c>
      <c r="G11888">
        <v>0.47</v>
      </c>
      <c r="H11888" s="1" t="str">
        <f>HYPERLINK("http://www.weizmann.ac.il/complex/compphys/software/geview/data/figures/210821_x_at.png","Figure")</f>
        <v>Figure</v>
      </c>
      <c r="I11888">
        <v>0.86299999999999999</v>
      </c>
      <c r="J11888">
        <v>0.35</v>
      </c>
      <c r="K11888">
        <v>0.98</v>
      </c>
      <c r="L11888">
        <v>0.97</v>
      </c>
      <c r="M11888">
        <v>1.1399999999999999</v>
      </c>
      <c r="N11888">
        <v>0.4</v>
      </c>
    </row>
    <row r="11889" spans="1:14" x14ac:dyDescent="0.25">
      <c r="A11889" t="s">
        <v>20494</v>
      </c>
      <c r="B11889" t="s">
        <v>10076</v>
      </c>
      <c r="C11889" s="1" t="str">
        <f>HYPERLINK("http://www.genecards.org/cgi-bin/carddisp.pl?gene=PMS2L3","GeneCards")</f>
        <v>GeneCards</v>
      </c>
      <c r="D11889" s="1" t="str">
        <f>HYPERLINK("http://genome-euro.ucsc.edu/cgi-bin/hgTracks?position=216525_x_at","UCSC")</f>
        <v>UCSC</v>
      </c>
      <c r="E11889" s="1" t="str">
        <f>HYPERLINK("http://www.ncbi.nlm.nih.gov/gene/?term=PMS2L3","NCBI")</f>
        <v>NCBI</v>
      </c>
      <c r="F11889">
        <v>0.33</v>
      </c>
      <c r="G11889">
        <v>0.47</v>
      </c>
      <c r="H11889" s="1" t="str">
        <f>HYPERLINK("http://www.weizmann.ac.il/complex/compphys/software/geview/data/figures/216525_x_at.png","Figure")</f>
        <v>Figure</v>
      </c>
      <c r="I11889">
        <v>1.2</v>
      </c>
      <c r="J11889">
        <v>0.5</v>
      </c>
      <c r="K11889">
        <v>0.95799999999999996</v>
      </c>
      <c r="L11889">
        <v>0.95</v>
      </c>
      <c r="M11889">
        <v>0.79600000000000004</v>
      </c>
      <c r="N11889">
        <v>0.31</v>
      </c>
    </row>
    <row r="11890" spans="1:14" x14ac:dyDescent="0.25">
      <c r="A11890" t="s">
        <v>20495</v>
      </c>
      <c r="B11890" t="s">
        <v>20496</v>
      </c>
      <c r="C11890" s="1" t="str">
        <f>HYPERLINK("http://www.genecards.org/cgi-bin/carddisp.pl?gene=BPI","GeneCards")</f>
        <v>GeneCards</v>
      </c>
      <c r="D11890" s="1" t="str">
        <f>HYPERLINK("http://genome-euro.ucsc.edu/cgi-bin/hgTracks?position=205557_at","UCSC")</f>
        <v>UCSC</v>
      </c>
      <c r="E11890" s="1" t="str">
        <f>HYPERLINK("http://www.ncbi.nlm.nih.gov/gene/?term=BPI","NCBI")</f>
        <v>NCBI</v>
      </c>
      <c r="F11890">
        <v>0.33</v>
      </c>
      <c r="G11890">
        <v>0.47</v>
      </c>
      <c r="H11890" s="1" t="str">
        <f>HYPERLINK("http://www.weizmann.ac.il/complex/compphys/software/geview/data/figures/205557_at.png","Figure")</f>
        <v>Figure</v>
      </c>
      <c r="I11890">
        <v>1</v>
      </c>
      <c r="J11890">
        <v>1</v>
      </c>
      <c r="K11890">
        <v>0.90400000000000003</v>
      </c>
      <c r="L11890">
        <v>0.41</v>
      </c>
      <c r="M11890">
        <v>0.90100000000000002</v>
      </c>
      <c r="N11890">
        <v>0.43</v>
      </c>
    </row>
    <row r="11891" spans="1:14" x14ac:dyDescent="0.25">
      <c r="A11891" t="s">
        <v>20497</v>
      </c>
      <c r="B11891" t="s">
        <v>7427</v>
      </c>
      <c r="C11891" s="1" t="str">
        <f>HYPERLINK("http://www.genecards.org/cgi-bin/carddisp.pl?gene=NSUN5C","GeneCards")</f>
        <v>GeneCards</v>
      </c>
      <c r="D11891" s="1" t="str">
        <f>HYPERLINK("http://genome-euro.ucsc.edu/cgi-bin/hgTracks?position=213460_x_at","UCSC")</f>
        <v>UCSC</v>
      </c>
      <c r="E11891" s="1" t="str">
        <f>HYPERLINK("http://www.ncbi.nlm.nih.gov/gene/?term=NSUN5C","NCBI")</f>
        <v>NCBI</v>
      </c>
      <c r="F11891">
        <v>0.33</v>
      </c>
      <c r="G11891">
        <v>0.47</v>
      </c>
      <c r="H11891" s="1" t="str">
        <f>HYPERLINK("http://www.weizmann.ac.il/complex/compphys/software/geview/data/figures/213460_x_at.png","Figure")</f>
        <v>Figure</v>
      </c>
      <c r="I11891">
        <v>1.34</v>
      </c>
      <c r="J11891">
        <v>0.56000000000000005</v>
      </c>
      <c r="K11891">
        <v>1.45</v>
      </c>
      <c r="L11891">
        <v>0.31</v>
      </c>
      <c r="M11891">
        <v>1.08</v>
      </c>
      <c r="N11891">
        <v>0.95</v>
      </c>
    </row>
    <row r="11892" spans="1:14" x14ac:dyDescent="0.25">
      <c r="A11892" t="s">
        <v>20498</v>
      </c>
      <c r="B11892" t="s">
        <v>20499</v>
      </c>
      <c r="C11892" s="1" t="str">
        <f>HYPERLINK("http://www.genecards.org/cgi-bin/carddisp.pl?gene=MYH9","GeneCards")</f>
        <v>GeneCards</v>
      </c>
      <c r="D11892" s="1" t="str">
        <f>HYPERLINK("http://genome-euro.ucsc.edu/cgi-bin/hgTracks?position=211926_s_at","UCSC")</f>
        <v>UCSC</v>
      </c>
      <c r="E11892" s="1" t="str">
        <f>HYPERLINK("http://www.ncbi.nlm.nih.gov/gene/?term=MYH9","NCBI")</f>
        <v>NCBI</v>
      </c>
      <c r="F11892">
        <v>0.33</v>
      </c>
      <c r="G11892">
        <v>0.47</v>
      </c>
      <c r="H11892" s="1" t="str">
        <f>HYPERLINK("http://www.weizmann.ac.il/complex/compphys/software/geview/data/figures/211926_s_at.png","Figure")</f>
        <v>Figure</v>
      </c>
      <c r="I11892">
        <v>1.24</v>
      </c>
      <c r="J11892">
        <v>0.3</v>
      </c>
      <c r="K11892">
        <v>1.1200000000000001</v>
      </c>
      <c r="L11892">
        <v>0.62</v>
      </c>
      <c r="M11892">
        <v>0.90700000000000003</v>
      </c>
      <c r="N11892">
        <v>0.73</v>
      </c>
    </row>
    <row r="11893" spans="1:14" x14ac:dyDescent="0.25">
      <c r="A11893" t="s">
        <v>20500</v>
      </c>
      <c r="B11893" t="s">
        <v>20501</v>
      </c>
      <c r="C11893" s="1" t="str">
        <f>HYPERLINK("http://www.genecards.org/cgi-bin/carddisp.pl?gene=ARHGAP1","GeneCards")</f>
        <v>GeneCards</v>
      </c>
      <c r="D11893" s="1" t="str">
        <f>HYPERLINK("http://genome-euro.ucsc.edu/cgi-bin/hgTracks?position=217153_at","UCSC")</f>
        <v>UCSC</v>
      </c>
      <c r="E11893" s="1" t="str">
        <f>HYPERLINK("http://www.ncbi.nlm.nih.gov/gene/?term=ARHGAP1","NCBI")</f>
        <v>NCBI</v>
      </c>
      <c r="F11893">
        <v>0.33</v>
      </c>
      <c r="G11893">
        <v>0.47</v>
      </c>
      <c r="H11893" s="1" t="str">
        <f>HYPERLINK("http://www.weizmann.ac.il/complex/compphys/software/geview/data/figures/217153_at.png","Figure")</f>
        <v>Figure</v>
      </c>
      <c r="I11893">
        <v>1.06</v>
      </c>
      <c r="J11893">
        <v>0.38</v>
      </c>
      <c r="K11893">
        <v>1</v>
      </c>
      <c r="L11893">
        <v>1</v>
      </c>
      <c r="M11893">
        <v>0.94699999999999995</v>
      </c>
      <c r="N11893">
        <v>0.37</v>
      </c>
    </row>
    <row r="11894" spans="1:14" x14ac:dyDescent="0.25">
      <c r="A11894" t="s">
        <v>20502</v>
      </c>
      <c r="B11894" t="s">
        <v>6542</v>
      </c>
      <c r="C11894" s="1" t="str">
        <f>HYPERLINK("http://www.genecards.org/cgi-bin/carddisp.pl?gene=CDC42BPA","GeneCards")</f>
        <v>GeneCards</v>
      </c>
      <c r="D11894" s="1" t="str">
        <f>HYPERLINK("http://genome-euro.ucsc.edu/cgi-bin/hgTracks?position=213595_s_at","UCSC")</f>
        <v>UCSC</v>
      </c>
      <c r="E11894" s="1" t="str">
        <f>HYPERLINK("http://www.ncbi.nlm.nih.gov/gene/?term=CDC42BPA","NCBI")</f>
        <v>NCBI</v>
      </c>
      <c r="F11894">
        <v>0.33</v>
      </c>
      <c r="G11894">
        <v>0.47</v>
      </c>
      <c r="H11894" s="1" t="str">
        <f>HYPERLINK("http://www.weizmann.ac.il/complex/compphys/software/geview/data/figures/213595_s_at.png","Figure")</f>
        <v>Figure</v>
      </c>
      <c r="I11894">
        <v>1.1200000000000001</v>
      </c>
      <c r="J11894">
        <v>0.3</v>
      </c>
      <c r="K11894">
        <v>1.05</v>
      </c>
      <c r="L11894">
        <v>0.71</v>
      </c>
      <c r="M11894">
        <v>0.94099999999999995</v>
      </c>
      <c r="N11894">
        <v>0.64</v>
      </c>
    </row>
    <row r="11895" spans="1:14" x14ac:dyDescent="0.25">
      <c r="A11895" t="s">
        <v>20503</v>
      </c>
      <c r="B11895" t="s">
        <v>20504</v>
      </c>
      <c r="C11895" s="1" t="str">
        <f>HYPERLINK("http://www.genecards.org/cgi-bin/carddisp.pl?gene=CXCR5","GeneCards")</f>
        <v>GeneCards</v>
      </c>
      <c r="D11895" s="1" t="str">
        <f>HYPERLINK("http://genome-euro.ucsc.edu/cgi-bin/hgTracks?position=206126_at","UCSC")</f>
        <v>UCSC</v>
      </c>
      <c r="E11895" s="1" t="str">
        <f>HYPERLINK("http://www.ncbi.nlm.nih.gov/gene/?term=CXCR5","NCBI")</f>
        <v>NCBI</v>
      </c>
      <c r="F11895">
        <v>0.33</v>
      </c>
      <c r="G11895">
        <v>0.47</v>
      </c>
      <c r="H11895" s="1" t="str">
        <f>HYPERLINK("http://www.weizmann.ac.il/complex/compphys/software/geview/data/figures/206126_at.png","Figure")</f>
        <v>Figure</v>
      </c>
      <c r="I11895">
        <v>1.19</v>
      </c>
      <c r="J11895">
        <v>0.3</v>
      </c>
      <c r="K11895">
        <v>1.07</v>
      </c>
      <c r="L11895">
        <v>0.78</v>
      </c>
      <c r="M11895">
        <v>0.9</v>
      </c>
      <c r="N11895">
        <v>0.56999999999999995</v>
      </c>
    </row>
    <row r="11896" spans="1:14" x14ac:dyDescent="0.25">
      <c r="A11896" t="s">
        <v>20505</v>
      </c>
      <c r="B11896" t="s">
        <v>17168</v>
      </c>
      <c r="C11896" s="1" t="str">
        <f>HYPERLINK("http://www.genecards.org/cgi-bin/carddisp.pl?gene=PLCL2","GeneCards")</f>
        <v>GeneCards</v>
      </c>
      <c r="D11896" s="1" t="str">
        <f>HYPERLINK("http://genome-euro.ucsc.edu/cgi-bin/hgTracks?position=213309_at","UCSC")</f>
        <v>UCSC</v>
      </c>
      <c r="E11896" s="1" t="str">
        <f>HYPERLINK("http://www.ncbi.nlm.nih.gov/gene/?term=PLCL2","NCBI")</f>
        <v>NCBI</v>
      </c>
      <c r="F11896">
        <v>0.33</v>
      </c>
      <c r="G11896">
        <v>0.47</v>
      </c>
      <c r="H11896" s="1" t="str">
        <f>HYPERLINK("http://www.weizmann.ac.il/complex/compphys/software/geview/data/figures/213309_at.png","Figure")</f>
        <v>Figure</v>
      </c>
      <c r="I11896">
        <v>0.74</v>
      </c>
      <c r="J11896">
        <v>0.45</v>
      </c>
      <c r="K11896">
        <v>0.73899999999999999</v>
      </c>
      <c r="L11896">
        <v>0.35</v>
      </c>
      <c r="M11896">
        <v>0.999</v>
      </c>
      <c r="N11896">
        <v>1</v>
      </c>
    </row>
    <row r="11897" spans="1:14" x14ac:dyDescent="0.25">
      <c r="A11897" t="s">
        <v>20506</v>
      </c>
      <c r="B11897" t="s">
        <v>20507</v>
      </c>
      <c r="C11897" s="1" t="str">
        <f>HYPERLINK("http://www.genecards.org/cgi-bin/carddisp.pl?gene=SMPX","GeneCards")</f>
        <v>GeneCards</v>
      </c>
      <c r="D11897" s="1" t="str">
        <f>HYPERLINK("http://genome-euro.ucsc.edu/cgi-bin/hgTracks?position=219772_s_at","UCSC")</f>
        <v>UCSC</v>
      </c>
      <c r="E11897" s="1" t="str">
        <f>HYPERLINK("http://www.ncbi.nlm.nih.gov/gene/?term=SMPX","NCBI")</f>
        <v>NCBI</v>
      </c>
      <c r="F11897">
        <v>0.33</v>
      </c>
      <c r="G11897">
        <v>0.47</v>
      </c>
      <c r="H11897" s="1" t="str">
        <f>HYPERLINK("http://www.weizmann.ac.il/complex/compphys/software/geview/data/figures/219772_s_at.png","Figure")</f>
        <v>Figure</v>
      </c>
      <c r="I11897">
        <v>1.0900000000000001</v>
      </c>
      <c r="J11897">
        <v>0.35</v>
      </c>
      <c r="K11897">
        <v>1.01</v>
      </c>
      <c r="L11897">
        <v>0.98</v>
      </c>
      <c r="M11897">
        <v>0.92600000000000005</v>
      </c>
      <c r="N11897">
        <v>0.4</v>
      </c>
    </row>
    <row r="11898" spans="1:14" x14ac:dyDescent="0.25">
      <c r="A11898" t="s">
        <v>20508</v>
      </c>
      <c r="B11898" t="s">
        <v>20509</v>
      </c>
      <c r="C11898" s="1" t="str">
        <f>HYPERLINK("http://www.genecards.org/cgi-bin/carddisp.pl?gene=PCDHGA10","GeneCards")</f>
        <v>GeneCards</v>
      </c>
      <c r="D11898" s="1" t="str">
        <f>HYPERLINK("http://genome-euro.ucsc.edu/cgi-bin/hgTracks?position=211875_x_at","UCSC")</f>
        <v>UCSC</v>
      </c>
      <c r="E11898" s="1" t="str">
        <f>HYPERLINK("http://www.ncbi.nlm.nih.gov/gene/?term=PCDHGA10","NCBI")</f>
        <v>NCBI</v>
      </c>
      <c r="F11898">
        <v>0.33</v>
      </c>
      <c r="G11898">
        <v>0.47</v>
      </c>
      <c r="H11898" s="1" t="str">
        <f>HYPERLINK("http://www.weizmann.ac.il/complex/compphys/software/geview/data/figures/211875_x_at.png","Figure")</f>
        <v>Figure</v>
      </c>
      <c r="I11898">
        <v>1.05</v>
      </c>
      <c r="J11898">
        <v>0.91</v>
      </c>
      <c r="K11898">
        <v>0.89800000000000002</v>
      </c>
      <c r="L11898">
        <v>0.54</v>
      </c>
      <c r="M11898">
        <v>0.85699999999999998</v>
      </c>
      <c r="N11898">
        <v>0.34</v>
      </c>
    </row>
    <row r="11899" spans="1:14" x14ac:dyDescent="0.25">
      <c r="A11899" t="s">
        <v>20510</v>
      </c>
      <c r="B11899" t="s">
        <v>10758</v>
      </c>
      <c r="C11899" s="1" t="str">
        <f>HYPERLINK("http://www.genecards.org/cgi-bin/carddisp.pl?gene=SFRS1","GeneCards")</f>
        <v>GeneCards</v>
      </c>
      <c r="D11899" s="1" t="str">
        <f>HYPERLINK("http://genome-euro.ucsc.edu/cgi-bin/hgTracks?position=201742_x_at","UCSC")</f>
        <v>UCSC</v>
      </c>
      <c r="E11899" s="1" t="str">
        <f>HYPERLINK("http://www.ncbi.nlm.nih.gov/gene/?term=SFRS1","NCBI")</f>
        <v>NCBI</v>
      </c>
      <c r="F11899">
        <v>0.33</v>
      </c>
      <c r="G11899">
        <v>0.47</v>
      </c>
      <c r="H11899" s="1" t="str">
        <f>HYPERLINK("http://www.weizmann.ac.il/complex/compphys/software/geview/data/figures/201742_x_at.png","Figure")</f>
        <v>Figure</v>
      </c>
      <c r="I11899">
        <v>0.99</v>
      </c>
      <c r="J11899">
        <v>1</v>
      </c>
      <c r="K11899">
        <v>1.27</v>
      </c>
      <c r="L11899">
        <v>0.41</v>
      </c>
      <c r="M11899">
        <v>1.29</v>
      </c>
      <c r="N11899">
        <v>0.43</v>
      </c>
    </row>
    <row r="11900" spans="1:14" x14ac:dyDescent="0.25">
      <c r="A11900" t="s">
        <v>20511</v>
      </c>
      <c r="B11900" t="s">
        <v>20512</v>
      </c>
      <c r="C11900" s="1" t="str">
        <f>HYPERLINK("http://www.genecards.org/cgi-bin/carddisp.pl?gene=DCAF11","GeneCards")</f>
        <v>GeneCards</v>
      </c>
      <c r="D11900" s="1" t="str">
        <f>HYPERLINK("http://genome-euro.ucsc.edu/cgi-bin/hgTracks?position=201886_at","UCSC")</f>
        <v>UCSC</v>
      </c>
      <c r="E11900" s="1" t="str">
        <f>HYPERLINK("http://www.ncbi.nlm.nih.gov/gene/?term=DCAF11","NCBI")</f>
        <v>NCBI</v>
      </c>
      <c r="F11900">
        <v>0.33</v>
      </c>
      <c r="G11900">
        <v>0.47</v>
      </c>
      <c r="H11900" s="1" t="str">
        <f>HYPERLINK("http://www.weizmann.ac.il/complex/compphys/software/geview/data/figures/201886_at.png","Figure")</f>
        <v>Figure</v>
      </c>
      <c r="I11900">
        <v>1.1299999999999999</v>
      </c>
      <c r="J11900">
        <v>0.37</v>
      </c>
      <c r="K11900">
        <v>1.1000000000000001</v>
      </c>
      <c r="L11900">
        <v>0.42</v>
      </c>
      <c r="M11900">
        <v>0.97699999999999998</v>
      </c>
      <c r="N11900">
        <v>0.95</v>
      </c>
    </row>
    <row r="11901" spans="1:14" x14ac:dyDescent="0.25">
      <c r="A11901" t="s">
        <v>20513</v>
      </c>
      <c r="B11901" t="s">
        <v>20514</v>
      </c>
      <c r="C11901" s="1" t="str">
        <f>HYPERLINK("http://www.genecards.org/cgi-bin/carddisp.pl?gene=CLDN4","GeneCards")</f>
        <v>GeneCards</v>
      </c>
      <c r="D11901" s="1" t="str">
        <f>HYPERLINK("http://genome-euro.ucsc.edu/cgi-bin/hgTracks?position=201428_at","UCSC")</f>
        <v>UCSC</v>
      </c>
      <c r="E11901" s="1" t="str">
        <f>HYPERLINK("http://www.ncbi.nlm.nih.gov/gene/?term=CLDN4","NCBI")</f>
        <v>NCBI</v>
      </c>
      <c r="F11901">
        <v>0.33</v>
      </c>
      <c r="G11901">
        <v>0.47</v>
      </c>
      <c r="H11901" s="1" t="str">
        <f>HYPERLINK("http://www.weizmann.ac.il/complex/compphys/software/geview/data/figures/201428_at.png","Figure")</f>
        <v>Figure</v>
      </c>
      <c r="I11901">
        <v>1</v>
      </c>
      <c r="J11901">
        <v>1</v>
      </c>
      <c r="K11901">
        <v>0.98699999999999999</v>
      </c>
      <c r="L11901">
        <v>0.4</v>
      </c>
      <c r="M11901">
        <v>0.98699999999999999</v>
      </c>
      <c r="N11901">
        <v>0.45</v>
      </c>
    </row>
    <row r="11902" spans="1:14" x14ac:dyDescent="0.25">
      <c r="A11902" t="s">
        <v>20515</v>
      </c>
      <c r="B11902" t="s">
        <v>20516</v>
      </c>
      <c r="C11902" s="1" t="str">
        <f>HYPERLINK("http://www.genecards.org/cgi-bin/carddisp.pl?gene=VPS52","GeneCards")</f>
        <v>GeneCards</v>
      </c>
      <c r="D11902" s="1" t="str">
        <f>HYPERLINK("http://genome-euro.ucsc.edu/cgi-bin/hgTracks?position=214585_s_at","UCSC")</f>
        <v>UCSC</v>
      </c>
      <c r="E11902" s="1" t="str">
        <f>HYPERLINK("http://www.ncbi.nlm.nih.gov/gene/?term=VPS52","NCBI")</f>
        <v>NCBI</v>
      </c>
      <c r="F11902">
        <v>0.33</v>
      </c>
      <c r="G11902">
        <v>0.47</v>
      </c>
      <c r="H11902" s="1" t="str">
        <f>HYPERLINK("http://www.weizmann.ac.il/complex/compphys/software/geview/data/figures/214585_s_at.png","Figure")</f>
        <v>Figure</v>
      </c>
      <c r="I11902">
        <v>1.24</v>
      </c>
      <c r="J11902">
        <v>0.34</v>
      </c>
      <c r="K11902">
        <v>1.17</v>
      </c>
      <c r="L11902">
        <v>0.47</v>
      </c>
      <c r="M11902">
        <v>0.94299999999999995</v>
      </c>
      <c r="N11902">
        <v>0.91</v>
      </c>
    </row>
    <row r="11903" spans="1:14" x14ac:dyDescent="0.25">
      <c r="A11903" t="s">
        <v>20517</v>
      </c>
      <c r="B11903" t="s">
        <v>14638</v>
      </c>
      <c r="C11903" s="1" t="str">
        <f>HYPERLINK("http://www.genecards.org/cgi-bin/carddisp.pl?gene=NR6A1","GeneCards")</f>
        <v>GeneCards</v>
      </c>
      <c r="D11903" s="1" t="str">
        <f>HYPERLINK("http://genome-euro.ucsc.edu/cgi-bin/hgTracks?position=210391_at","UCSC")</f>
        <v>UCSC</v>
      </c>
      <c r="E11903" s="1" t="str">
        <f>HYPERLINK("http://www.ncbi.nlm.nih.gov/gene/?term=NR6A1","NCBI")</f>
        <v>NCBI</v>
      </c>
      <c r="F11903">
        <v>0.33</v>
      </c>
      <c r="G11903">
        <v>0.47</v>
      </c>
      <c r="H11903" s="1" t="str">
        <f>HYPERLINK("http://www.weizmann.ac.il/complex/compphys/software/geview/data/figures/210391_at.png","Figure")</f>
        <v>Figure</v>
      </c>
      <c r="I11903">
        <v>1.1299999999999999</v>
      </c>
      <c r="J11903">
        <v>0.31</v>
      </c>
      <c r="K11903">
        <v>1.07</v>
      </c>
      <c r="L11903">
        <v>0.57999999999999996</v>
      </c>
      <c r="M11903">
        <v>0.95</v>
      </c>
      <c r="N11903">
        <v>0.77</v>
      </c>
    </row>
    <row r="11904" spans="1:14" x14ac:dyDescent="0.25">
      <c r="A11904" t="s">
        <v>20518</v>
      </c>
      <c r="B11904" t="s">
        <v>3925</v>
      </c>
      <c r="C11904" s="1" t="str">
        <f>HYPERLINK("http://www.genecards.org/cgi-bin/carddisp.pl?gene=NUMA1","GeneCards")</f>
        <v>GeneCards</v>
      </c>
      <c r="D11904" s="1" t="str">
        <f>HYPERLINK("http://genome-euro.ucsc.edu/cgi-bin/hgTracks?position=214250_at","UCSC")</f>
        <v>UCSC</v>
      </c>
      <c r="E11904" s="1" t="str">
        <f>HYPERLINK("http://www.ncbi.nlm.nih.gov/gene/?term=NUMA1","NCBI")</f>
        <v>NCBI</v>
      </c>
      <c r="F11904">
        <v>0.33</v>
      </c>
      <c r="G11904">
        <v>0.47</v>
      </c>
      <c r="H11904" s="1" t="str">
        <f>HYPERLINK("http://www.weizmann.ac.il/complex/compphys/software/geview/data/figures/214250_at.png","Figure")</f>
        <v>Figure</v>
      </c>
      <c r="I11904">
        <v>1.43</v>
      </c>
      <c r="J11904">
        <v>0.36</v>
      </c>
      <c r="K11904">
        <v>1.04</v>
      </c>
      <c r="L11904">
        <v>0.98</v>
      </c>
      <c r="M11904">
        <v>0.72799999999999998</v>
      </c>
      <c r="N11904">
        <v>0.39</v>
      </c>
    </row>
    <row r="11905" spans="1:14" x14ac:dyDescent="0.25">
      <c r="A11905" t="s">
        <v>20519</v>
      </c>
      <c r="B11905" t="s">
        <v>20520</v>
      </c>
      <c r="C11905" s="1" t="str">
        <f>HYPERLINK("http://www.genecards.org/cgi-bin/carddisp.pl?gene=PSMB6","GeneCards")</f>
        <v>GeneCards</v>
      </c>
      <c r="D11905" s="1" t="str">
        <f>HYPERLINK("http://genome-euro.ucsc.edu/cgi-bin/hgTracks?position=208827_at","UCSC")</f>
        <v>UCSC</v>
      </c>
      <c r="E11905" s="1" t="str">
        <f>HYPERLINK("http://www.ncbi.nlm.nih.gov/gene/?term=PSMB6","NCBI")</f>
        <v>NCBI</v>
      </c>
      <c r="F11905">
        <v>0.33</v>
      </c>
      <c r="G11905">
        <v>0.47</v>
      </c>
      <c r="H11905" s="1" t="str">
        <f>HYPERLINK("http://www.weizmann.ac.il/complex/compphys/software/geview/data/figures/208827_at.png","Figure")</f>
        <v>Figure</v>
      </c>
      <c r="I11905">
        <v>1.37</v>
      </c>
      <c r="J11905">
        <v>0.46</v>
      </c>
      <c r="K11905">
        <v>1.38</v>
      </c>
      <c r="L11905">
        <v>0.35</v>
      </c>
      <c r="M11905">
        <v>1.01</v>
      </c>
      <c r="N11905">
        <v>1</v>
      </c>
    </row>
    <row r="11906" spans="1:14" x14ac:dyDescent="0.25">
      <c r="A11906" t="s">
        <v>20521</v>
      </c>
      <c r="B11906" t="s">
        <v>20522</v>
      </c>
      <c r="C11906" s="1" t="str">
        <f>HYPERLINK("http://www.genecards.org/cgi-bin/carddisp.pl?gene=FTCD","GeneCards")</f>
        <v>GeneCards</v>
      </c>
      <c r="D11906" s="1" t="str">
        <f>HYPERLINK("http://genome-euro.ucsc.edu/cgi-bin/hgTracks?position=220604_x_at","UCSC")</f>
        <v>UCSC</v>
      </c>
      <c r="E11906" s="1" t="str">
        <f>HYPERLINK("http://www.ncbi.nlm.nih.gov/gene/?term=FTCD","NCBI")</f>
        <v>NCBI</v>
      </c>
      <c r="F11906">
        <v>0.33</v>
      </c>
      <c r="G11906">
        <v>0.47</v>
      </c>
      <c r="H11906" s="1" t="str">
        <f>HYPERLINK("http://www.weizmann.ac.il/complex/compphys/software/geview/data/figures/220604_x_at.png","Figure")</f>
        <v>Figure</v>
      </c>
      <c r="I11906">
        <v>0.93799999999999994</v>
      </c>
      <c r="J11906">
        <v>0.4</v>
      </c>
      <c r="K11906">
        <v>0.94399999999999995</v>
      </c>
      <c r="L11906">
        <v>0.38</v>
      </c>
      <c r="M11906">
        <v>1.01</v>
      </c>
      <c r="N11906">
        <v>0.99</v>
      </c>
    </row>
    <row r="11907" spans="1:14" x14ac:dyDescent="0.25">
      <c r="A11907" t="s">
        <v>20523</v>
      </c>
      <c r="B11907" t="s">
        <v>20524</v>
      </c>
      <c r="C11907" s="1" t="str">
        <f>HYPERLINK("http://www.genecards.org/cgi-bin/carddisp.pl?gene=DRAP1","GeneCards")</f>
        <v>GeneCards</v>
      </c>
      <c r="D11907" s="1" t="str">
        <f>HYPERLINK("http://genome-euro.ucsc.edu/cgi-bin/hgTracks?position=203258_at","UCSC")</f>
        <v>UCSC</v>
      </c>
      <c r="E11907" s="1" t="str">
        <f>HYPERLINK("http://www.ncbi.nlm.nih.gov/gene/?term=DRAP1","NCBI")</f>
        <v>NCBI</v>
      </c>
      <c r="F11907">
        <v>0.33</v>
      </c>
      <c r="G11907">
        <v>0.47</v>
      </c>
      <c r="H11907" s="1" t="str">
        <f>HYPERLINK("http://www.weizmann.ac.il/complex/compphys/software/geview/data/figures/203258_at.png","Figure")</f>
        <v>Figure</v>
      </c>
      <c r="I11907">
        <v>1.21</v>
      </c>
      <c r="J11907">
        <v>0.34</v>
      </c>
      <c r="K11907">
        <v>1.1499999999999999</v>
      </c>
      <c r="L11907">
        <v>0.47</v>
      </c>
      <c r="M11907">
        <v>0.94799999999999995</v>
      </c>
      <c r="N11907">
        <v>0.9</v>
      </c>
    </row>
    <row r="11908" spans="1:14" x14ac:dyDescent="0.25">
      <c r="A11908" t="s">
        <v>20525</v>
      </c>
      <c r="B11908" t="s">
        <v>13633</v>
      </c>
      <c r="C11908" s="1" t="str">
        <f>HYPERLINK("http://www.genecards.org/cgi-bin/carddisp.pl?gene=RAB15","GeneCards")</f>
        <v>GeneCards</v>
      </c>
      <c r="D11908" s="1" t="str">
        <f>HYPERLINK("http://genome-euro.ucsc.edu/cgi-bin/hgTracks?position=221810_at","UCSC")</f>
        <v>UCSC</v>
      </c>
      <c r="E11908" s="1" t="str">
        <f>HYPERLINK("http://www.ncbi.nlm.nih.gov/gene/?term=RAB15","NCBI")</f>
        <v>NCBI</v>
      </c>
      <c r="F11908">
        <v>0.33</v>
      </c>
      <c r="G11908">
        <v>0.47</v>
      </c>
      <c r="H11908" s="1" t="str">
        <f>HYPERLINK("http://www.weizmann.ac.il/complex/compphys/software/geview/data/figures/221810_at.png","Figure")</f>
        <v>Figure</v>
      </c>
      <c r="I11908">
        <v>0.94799999999999995</v>
      </c>
      <c r="J11908">
        <v>0.84</v>
      </c>
      <c r="K11908">
        <v>1.08</v>
      </c>
      <c r="L11908">
        <v>0.62</v>
      </c>
      <c r="M11908">
        <v>1.1399999999999999</v>
      </c>
      <c r="N11908">
        <v>0.32</v>
      </c>
    </row>
    <row r="11909" spans="1:14" x14ac:dyDescent="0.25">
      <c r="A11909" t="s">
        <v>20526</v>
      </c>
      <c r="B11909" t="s">
        <v>20527</v>
      </c>
      <c r="C11909" s="1" t="str">
        <f>HYPERLINK("http://www.genecards.org/cgi-bin/carddisp.pl?gene=C14orf143","GeneCards")</f>
        <v>GeneCards</v>
      </c>
      <c r="D11909" s="1" t="str">
        <f>HYPERLINK("http://genome-euro.ucsc.edu/cgi-bin/hgTracks?position=214264_s_at","UCSC")</f>
        <v>UCSC</v>
      </c>
      <c r="E11909" s="1" t="str">
        <f>HYPERLINK("http://www.ncbi.nlm.nih.gov/gene/?term=C14orf143","NCBI")</f>
        <v>NCBI</v>
      </c>
      <c r="F11909">
        <v>0.33</v>
      </c>
      <c r="G11909">
        <v>0.47</v>
      </c>
      <c r="H11909" s="1" t="str">
        <f>HYPERLINK("http://www.weizmann.ac.il/complex/compphys/software/geview/data/figures/214264_s_at.png","Figure")</f>
        <v>Figure</v>
      </c>
      <c r="I11909">
        <v>0.95399999999999996</v>
      </c>
      <c r="J11909">
        <v>0.73</v>
      </c>
      <c r="K11909">
        <v>1.04</v>
      </c>
      <c r="L11909">
        <v>0.73</v>
      </c>
      <c r="M11909">
        <v>1.0900000000000001</v>
      </c>
      <c r="N11909">
        <v>0.3</v>
      </c>
    </row>
    <row r="11910" spans="1:14" x14ac:dyDescent="0.25">
      <c r="A11910" t="s">
        <v>20528</v>
      </c>
      <c r="B11910" t="s">
        <v>9424</v>
      </c>
      <c r="C11910" s="1" t="str">
        <f>HYPERLINK("http://www.genecards.org/cgi-bin/carddisp.pl?gene=CHRNE","GeneCards")</f>
        <v>GeneCards</v>
      </c>
      <c r="D11910" s="1" t="str">
        <f>HYPERLINK("http://genome-euro.ucsc.edu/cgi-bin/hgTracks?position=207274_at","UCSC")</f>
        <v>UCSC</v>
      </c>
      <c r="E11910" s="1" t="str">
        <f>HYPERLINK("http://www.ncbi.nlm.nih.gov/gene/?term=CHRNE","NCBI")</f>
        <v>NCBI</v>
      </c>
      <c r="F11910">
        <v>0.33</v>
      </c>
      <c r="G11910">
        <v>0.47</v>
      </c>
      <c r="H11910" s="1" t="str">
        <f>HYPERLINK("http://www.weizmann.ac.il/complex/compphys/software/geview/data/figures/207274_at.png","Figure")</f>
        <v>Figure</v>
      </c>
      <c r="I11910">
        <v>1.03</v>
      </c>
      <c r="J11910">
        <v>0.39</v>
      </c>
      <c r="K11910">
        <v>1.03</v>
      </c>
      <c r="L11910">
        <v>0.4</v>
      </c>
      <c r="M11910">
        <v>0.995</v>
      </c>
      <c r="N11910">
        <v>0.97</v>
      </c>
    </row>
    <row r="11911" spans="1:14" x14ac:dyDescent="0.25">
      <c r="A11911" t="s">
        <v>20529</v>
      </c>
      <c r="B11911" t="s">
        <v>20530</v>
      </c>
      <c r="C11911" s="1" t="str">
        <f>HYPERLINK("http://www.genecards.org/cgi-bin/carddisp.pl?gene=C17orf53","GeneCards")</f>
        <v>GeneCards</v>
      </c>
      <c r="D11911" s="1" t="str">
        <f>HYPERLINK("http://genome-euro.ucsc.edu/cgi-bin/hgTracks?position=219879_s_at","UCSC")</f>
        <v>UCSC</v>
      </c>
      <c r="E11911" s="1" t="str">
        <f>HYPERLINK("http://www.ncbi.nlm.nih.gov/gene/?term=C17orf53","NCBI")</f>
        <v>NCBI</v>
      </c>
      <c r="F11911">
        <v>0.33</v>
      </c>
      <c r="G11911">
        <v>0.47</v>
      </c>
      <c r="H11911" s="1" t="str">
        <f>HYPERLINK("http://www.weizmann.ac.il/complex/compphys/software/geview/data/figures/219879_s_at.png","Figure")</f>
        <v>Figure</v>
      </c>
      <c r="I11911">
        <v>1.1000000000000001</v>
      </c>
      <c r="J11911">
        <v>0.38</v>
      </c>
      <c r="K11911">
        <v>1.01</v>
      </c>
      <c r="L11911">
        <v>0.99</v>
      </c>
      <c r="M11911">
        <v>0.91400000000000003</v>
      </c>
      <c r="N11911">
        <v>0.38</v>
      </c>
    </row>
    <row r="11912" spans="1:14" x14ac:dyDescent="0.25">
      <c r="A11912" t="s">
        <v>20531</v>
      </c>
      <c r="B11912" t="s">
        <v>17706</v>
      </c>
      <c r="C11912" s="1" t="str">
        <f>HYPERLINK("http://www.genecards.org/cgi-bin/carddisp.pl?gene=BIN1","GeneCards")</f>
        <v>GeneCards</v>
      </c>
      <c r="D11912" s="1" t="str">
        <f>HYPERLINK("http://genome-euro.ucsc.edu/cgi-bin/hgTracks?position=210201_x_at","UCSC")</f>
        <v>UCSC</v>
      </c>
      <c r="E11912" s="1" t="str">
        <f>HYPERLINK("http://www.ncbi.nlm.nih.gov/gene/?term=BIN1","NCBI")</f>
        <v>NCBI</v>
      </c>
      <c r="F11912">
        <v>0.33</v>
      </c>
      <c r="G11912">
        <v>0.47</v>
      </c>
      <c r="H11912" s="1" t="str">
        <f>HYPERLINK("http://www.weizmann.ac.il/complex/compphys/software/geview/data/figures/210201_x_at.png","Figure")</f>
        <v>Figure</v>
      </c>
      <c r="I11912">
        <v>1.02</v>
      </c>
      <c r="J11912">
        <v>0.99</v>
      </c>
      <c r="K11912">
        <v>1.26</v>
      </c>
      <c r="L11912">
        <v>0.37</v>
      </c>
      <c r="M11912">
        <v>1.23</v>
      </c>
      <c r="N11912">
        <v>0.49</v>
      </c>
    </row>
    <row r="11913" spans="1:14" x14ac:dyDescent="0.25">
      <c r="A11913" t="s">
        <v>20532</v>
      </c>
      <c r="B11913" t="s">
        <v>20533</v>
      </c>
      <c r="C11913" s="1" t="str">
        <f>HYPERLINK("http://www.genecards.org/cgi-bin/carddisp.pl?gene=COBLL1","GeneCards")</f>
        <v>GeneCards</v>
      </c>
      <c r="D11913" s="1" t="str">
        <f>HYPERLINK("http://genome-euro.ucsc.edu/cgi-bin/hgTracks?position=215393_s_at","UCSC")</f>
        <v>UCSC</v>
      </c>
      <c r="E11913" s="1" t="str">
        <f>HYPERLINK("http://www.ncbi.nlm.nih.gov/gene/?term=COBLL1","NCBI")</f>
        <v>NCBI</v>
      </c>
      <c r="F11913">
        <v>0.33</v>
      </c>
      <c r="G11913">
        <v>0.47</v>
      </c>
      <c r="H11913" s="1" t="str">
        <f>HYPERLINK("http://www.weizmann.ac.il/complex/compphys/software/geview/data/figures/215393_s_at.png","Figure")</f>
        <v>Figure</v>
      </c>
      <c r="I11913">
        <v>1</v>
      </c>
      <c r="J11913">
        <v>1</v>
      </c>
      <c r="K11913">
        <v>0.96499999999999997</v>
      </c>
      <c r="L11913">
        <v>0.4</v>
      </c>
      <c r="M11913">
        <v>0.96499999999999997</v>
      </c>
      <c r="N11913">
        <v>0.45</v>
      </c>
    </row>
    <row r="11914" spans="1:14" x14ac:dyDescent="0.25">
      <c r="A11914" t="s">
        <v>20534</v>
      </c>
      <c r="B11914" t="s">
        <v>14454</v>
      </c>
      <c r="C11914" s="1" t="str">
        <f>HYPERLINK("http://www.genecards.org/cgi-bin/carddisp.pl?gene=STAU1","GeneCards")</f>
        <v>GeneCards</v>
      </c>
      <c r="D11914" s="1" t="str">
        <f>HYPERLINK("http://genome-euro.ucsc.edu/cgi-bin/hgTracks?position=211505_s_at","UCSC")</f>
        <v>UCSC</v>
      </c>
      <c r="E11914" s="1" t="str">
        <f>HYPERLINK("http://www.ncbi.nlm.nih.gov/gene/?term=STAU1","NCBI")</f>
        <v>NCBI</v>
      </c>
      <c r="F11914">
        <v>0.33</v>
      </c>
      <c r="G11914">
        <v>0.47</v>
      </c>
      <c r="H11914" s="1" t="str">
        <f>HYPERLINK("http://www.weizmann.ac.il/complex/compphys/software/geview/data/figures/211505_s_at.png","Figure")</f>
        <v>Figure</v>
      </c>
      <c r="I11914">
        <v>0.96899999999999997</v>
      </c>
      <c r="J11914">
        <v>0.96</v>
      </c>
      <c r="K11914">
        <v>0.86699999999999999</v>
      </c>
      <c r="L11914">
        <v>0.34</v>
      </c>
      <c r="M11914">
        <v>0.89400000000000002</v>
      </c>
      <c r="N11914">
        <v>0.55000000000000004</v>
      </c>
    </row>
    <row r="11915" spans="1:14" x14ac:dyDescent="0.25">
      <c r="A11915" t="s">
        <v>20535</v>
      </c>
      <c r="B11915" t="s">
        <v>20536</v>
      </c>
      <c r="C11915" s="1" t="str">
        <f>HYPERLINK("http://www.genecards.org/cgi-bin/carddisp.pl?gene=PSG6","GeneCards")</f>
        <v>GeneCards</v>
      </c>
      <c r="D11915" s="1" t="str">
        <f>HYPERLINK("http://genome-euro.ucsc.edu/cgi-bin/hgTracks?position=208106_x_at","UCSC")</f>
        <v>UCSC</v>
      </c>
      <c r="E11915" s="1" t="str">
        <f>HYPERLINK("http://www.ncbi.nlm.nih.gov/gene/?term=PSG6","NCBI")</f>
        <v>NCBI</v>
      </c>
      <c r="F11915">
        <v>0.33</v>
      </c>
      <c r="G11915">
        <v>0.47</v>
      </c>
      <c r="H11915" s="1" t="str">
        <f>HYPERLINK("http://www.weizmann.ac.il/complex/compphys/software/geview/data/figures/208106_x_at.png","Figure")</f>
        <v>Figure</v>
      </c>
      <c r="I11915">
        <v>1.06</v>
      </c>
      <c r="J11915">
        <v>0.75</v>
      </c>
      <c r="K11915">
        <v>0.94699999999999995</v>
      </c>
      <c r="L11915">
        <v>0.7</v>
      </c>
      <c r="M11915">
        <v>0.89500000000000002</v>
      </c>
      <c r="N11915">
        <v>0.31</v>
      </c>
    </row>
    <row r="11916" spans="1:14" x14ac:dyDescent="0.25">
      <c r="A11916" t="s">
        <v>20537</v>
      </c>
      <c r="B11916" t="s">
        <v>20538</v>
      </c>
      <c r="C11916" s="1" t="str">
        <f>HYPERLINK("http://www.genecards.org/cgi-bin/carddisp.pl?gene=DENND1C","GeneCards")</f>
        <v>GeneCards</v>
      </c>
      <c r="D11916" s="1" t="str">
        <f>HYPERLINK("http://genome-euro.ucsc.edu/cgi-bin/hgTracks?position=221080_s_at","UCSC")</f>
        <v>UCSC</v>
      </c>
      <c r="E11916" s="1" t="str">
        <f>HYPERLINK("http://www.ncbi.nlm.nih.gov/gene/?term=DENND1C","NCBI")</f>
        <v>NCBI</v>
      </c>
      <c r="F11916">
        <v>0.33</v>
      </c>
      <c r="G11916">
        <v>0.47</v>
      </c>
      <c r="H11916" s="1" t="str">
        <f>HYPERLINK("http://www.weizmann.ac.il/complex/compphys/software/geview/data/figures/221080_s_at.png","Figure")</f>
        <v>Figure</v>
      </c>
      <c r="I11916">
        <v>0.88200000000000001</v>
      </c>
      <c r="J11916">
        <v>0.39</v>
      </c>
      <c r="K11916">
        <v>0.89800000000000002</v>
      </c>
      <c r="L11916">
        <v>0.4</v>
      </c>
      <c r="M11916">
        <v>1.02</v>
      </c>
      <c r="N11916">
        <v>0.98</v>
      </c>
    </row>
    <row r="11917" spans="1:14" x14ac:dyDescent="0.25">
      <c r="A11917" t="s">
        <v>20539</v>
      </c>
      <c r="B11917" t="s">
        <v>20540</v>
      </c>
      <c r="C11917" s="1" t="str">
        <f>HYPERLINK("http://www.genecards.org/cgi-bin/carddisp.pl?gene=TMX4","GeneCards")</f>
        <v>GeneCards</v>
      </c>
      <c r="D11917" s="1" t="str">
        <f>HYPERLINK("http://genome-euro.ucsc.edu/cgi-bin/hgTracks?position=201581_at","UCSC")</f>
        <v>UCSC</v>
      </c>
      <c r="E11917" s="1" t="str">
        <f>HYPERLINK("http://www.ncbi.nlm.nih.gov/gene/?term=TMX4","NCBI")</f>
        <v>NCBI</v>
      </c>
      <c r="F11917">
        <v>0.33</v>
      </c>
      <c r="G11917">
        <v>0.47</v>
      </c>
      <c r="H11917" s="1" t="str">
        <f>HYPERLINK("http://www.weizmann.ac.il/complex/compphys/software/geview/data/figures/201581_at.png","Figure")</f>
        <v>Figure</v>
      </c>
      <c r="I11917">
        <v>0.69299999999999995</v>
      </c>
      <c r="J11917">
        <v>0.3</v>
      </c>
      <c r="K11917">
        <v>0.876</v>
      </c>
      <c r="L11917">
        <v>0.8</v>
      </c>
      <c r="M11917">
        <v>1.26</v>
      </c>
      <c r="N11917">
        <v>0.56000000000000005</v>
      </c>
    </row>
    <row r="11918" spans="1:14" x14ac:dyDescent="0.25">
      <c r="A11918" t="s">
        <v>20541</v>
      </c>
      <c r="B11918" t="s">
        <v>20542</v>
      </c>
      <c r="C11918" s="1" t="str">
        <f>HYPERLINK("http://www.genecards.org/cgi-bin/carddisp.pl?gene=AGT","GeneCards")</f>
        <v>GeneCards</v>
      </c>
      <c r="D11918" s="1" t="str">
        <f>HYPERLINK("http://genome-euro.ucsc.edu/cgi-bin/hgTracks?position=202834_at","UCSC")</f>
        <v>UCSC</v>
      </c>
      <c r="E11918" s="1" t="str">
        <f>HYPERLINK("http://www.ncbi.nlm.nih.gov/gene/?term=AGT","NCBI")</f>
        <v>NCBI</v>
      </c>
      <c r="F11918">
        <v>0.33</v>
      </c>
      <c r="G11918">
        <v>0.47</v>
      </c>
      <c r="H11918" s="1" t="str">
        <f>HYPERLINK("http://www.weizmann.ac.il/complex/compphys/software/geview/data/figures/202834_at.png","Figure")</f>
        <v>Figure</v>
      </c>
      <c r="I11918">
        <v>0.96099999999999997</v>
      </c>
      <c r="J11918">
        <v>0.69</v>
      </c>
      <c r="K11918">
        <v>0.93700000000000006</v>
      </c>
      <c r="L11918">
        <v>0.3</v>
      </c>
      <c r="M11918">
        <v>0.97499999999999998</v>
      </c>
      <c r="N11918">
        <v>0.84</v>
      </c>
    </row>
    <row r="11919" spans="1:14" x14ac:dyDescent="0.25">
      <c r="A11919" t="s">
        <v>20543</v>
      </c>
      <c r="B11919" t="s">
        <v>2438</v>
      </c>
      <c r="C11919" s="1" t="str">
        <f>HYPERLINK("http://www.genecards.org/cgi-bin/carddisp.pl?gene=SNAPC4","GeneCards")</f>
        <v>GeneCards</v>
      </c>
      <c r="D11919" s="1" t="str">
        <f>HYPERLINK("http://genome-euro.ucsc.edu/cgi-bin/hgTracks?position=205658_s_at","UCSC")</f>
        <v>UCSC</v>
      </c>
      <c r="E11919" s="1" t="str">
        <f>HYPERLINK("http://www.ncbi.nlm.nih.gov/gene/?term=SNAPC4","NCBI")</f>
        <v>NCBI</v>
      </c>
      <c r="F11919">
        <v>0.33</v>
      </c>
      <c r="G11919">
        <v>0.47</v>
      </c>
      <c r="H11919" s="1" t="str">
        <f>HYPERLINK("http://www.weizmann.ac.il/complex/compphys/software/geview/data/figures/205658_s_at.png","Figure")</f>
        <v>Figure</v>
      </c>
      <c r="I11919">
        <v>1.1000000000000001</v>
      </c>
      <c r="J11919">
        <v>0.93</v>
      </c>
      <c r="K11919">
        <v>1.4</v>
      </c>
      <c r="L11919">
        <v>0.33</v>
      </c>
      <c r="M11919">
        <v>1.27</v>
      </c>
      <c r="N11919">
        <v>0.6</v>
      </c>
    </row>
    <row r="11920" spans="1:14" x14ac:dyDescent="0.25">
      <c r="A11920" t="s">
        <v>20544</v>
      </c>
      <c r="B11920" t="s">
        <v>20545</v>
      </c>
      <c r="C11920" s="1" t="str">
        <f>HYPERLINK("http://www.genecards.org/cgi-bin/carddisp.pl?gene=RSF1","GeneCards")</f>
        <v>GeneCards</v>
      </c>
      <c r="D11920" s="1" t="str">
        <f>HYPERLINK("http://genome-euro.ucsc.edu/cgi-bin/hgTracks?position=218166_s_at","UCSC")</f>
        <v>UCSC</v>
      </c>
      <c r="E11920" s="1" t="str">
        <f>HYPERLINK("http://www.ncbi.nlm.nih.gov/gene/?term=RSF1","NCBI")</f>
        <v>NCBI</v>
      </c>
      <c r="F11920">
        <v>0.33</v>
      </c>
      <c r="G11920">
        <v>0.47</v>
      </c>
      <c r="H11920" s="1" t="str">
        <f>HYPERLINK("http://www.weizmann.ac.il/complex/compphys/software/geview/data/figures/218166_s_at.png","Figure")</f>
        <v>Figure</v>
      </c>
      <c r="I11920">
        <v>0.93</v>
      </c>
      <c r="J11920">
        <v>0.85</v>
      </c>
      <c r="K11920">
        <v>0.83599999999999997</v>
      </c>
      <c r="L11920">
        <v>0.31</v>
      </c>
      <c r="M11920">
        <v>0.89900000000000002</v>
      </c>
      <c r="N11920">
        <v>0.68</v>
      </c>
    </row>
    <row r="11921" spans="1:14" x14ac:dyDescent="0.25">
      <c r="A11921" t="s">
        <v>20546</v>
      </c>
      <c r="B11921" t="s">
        <v>2229</v>
      </c>
      <c r="C11921" s="1" t="str">
        <f>HYPERLINK("http://www.genecards.org/cgi-bin/carddisp.pl?gene=PIN4","GeneCards")</f>
        <v>GeneCards</v>
      </c>
      <c r="D11921" s="1" t="str">
        <f>HYPERLINK("http://genome-euro.ucsc.edu/cgi-bin/hgTracks?position=214225_at","UCSC")</f>
        <v>UCSC</v>
      </c>
      <c r="E11921" s="1" t="str">
        <f>HYPERLINK("http://www.ncbi.nlm.nih.gov/gene/?term=PIN4","NCBI")</f>
        <v>NCBI</v>
      </c>
      <c r="F11921">
        <v>0.33</v>
      </c>
      <c r="G11921">
        <v>0.47</v>
      </c>
      <c r="H11921" s="1" t="str">
        <f>HYPERLINK("http://www.weizmann.ac.il/complex/compphys/software/geview/data/figures/214225_at.png","Figure")</f>
        <v>Figure</v>
      </c>
      <c r="I11921">
        <v>1.04</v>
      </c>
      <c r="J11921">
        <v>0.39</v>
      </c>
      <c r="K11921">
        <v>1.03</v>
      </c>
      <c r="L11921">
        <v>0.4</v>
      </c>
      <c r="M11921">
        <v>0.99399999999999999</v>
      </c>
      <c r="N11921">
        <v>0.97</v>
      </c>
    </row>
    <row r="11922" spans="1:14" x14ac:dyDescent="0.25">
      <c r="A11922" t="s">
        <v>20547</v>
      </c>
      <c r="B11922" t="s">
        <v>11100</v>
      </c>
      <c r="C11922" s="1" t="str">
        <f>HYPERLINK("http://www.genecards.org/cgi-bin/carddisp.pl?gene=ZC3H13","GeneCards")</f>
        <v>GeneCards</v>
      </c>
      <c r="D11922" s="1" t="str">
        <f>HYPERLINK("http://genome-euro.ucsc.edu/cgi-bin/hgTracks?position=209851_at","UCSC")</f>
        <v>UCSC</v>
      </c>
      <c r="E11922" s="1" t="str">
        <f>HYPERLINK("http://www.ncbi.nlm.nih.gov/gene/?term=ZC3H13","NCBI")</f>
        <v>NCBI</v>
      </c>
      <c r="F11922">
        <v>0.33</v>
      </c>
      <c r="G11922">
        <v>0.47</v>
      </c>
      <c r="H11922" s="1" t="str">
        <f>HYPERLINK("http://www.weizmann.ac.il/complex/compphys/software/geview/data/figures/209851_at.png","Figure")</f>
        <v>Figure</v>
      </c>
      <c r="I11922">
        <v>0.92200000000000004</v>
      </c>
      <c r="J11922">
        <v>0.48</v>
      </c>
      <c r="K11922">
        <v>0.91600000000000004</v>
      </c>
      <c r="L11922">
        <v>0.34</v>
      </c>
      <c r="M11922">
        <v>0.99299999999999999</v>
      </c>
      <c r="N11922">
        <v>0.99</v>
      </c>
    </row>
    <row r="11923" spans="1:14" x14ac:dyDescent="0.25">
      <c r="A11923" t="s">
        <v>20548</v>
      </c>
      <c r="B11923" t="s">
        <v>20549</v>
      </c>
      <c r="C11923" s="1" t="str">
        <f>HYPERLINK("http://www.genecards.org/cgi-bin/carddisp.pl?gene=TMEM151B","GeneCards")</f>
        <v>GeneCards</v>
      </c>
      <c r="D11923" s="1" t="str">
        <f>HYPERLINK("http://genome-euro.ucsc.edu/cgi-bin/hgTracks?position=213676_at","UCSC")</f>
        <v>UCSC</v>
      </c>
      <c r="E11923" s="1" t="str">
        <f>HYPERLINK("http://www.ncbi.nlm.nih.gov/gene/?term=TMEM151B","NCBI")</f>
        <v>NCBI</v>
      </c>
      <c r="F11923">
        <v>0.33</v>
      </c>
      <c r="G11923">
        <v>0.47</v>
      </c>
      <c r="H11923" s="1" t="str">
        <f>HYPERLINK("http://www.weizmann.ac.il/complex/compphys/software/geview/data/figures/213676_at.png","Figure")</f>
        <v>Figure</v>
      </c>
      <c r="I11923">
        <v>1.1100000000000001</v>
      </c>
      <c r="J11923">
        <v>0.41</v>
      </c>
      <c r="K11923">
        <v>0.997</v>
      </c>
      <c r="L11923">
        <v>1</v>
      </c>
      <c r="M11923">
        <v>0.89900000000000002</v>
      </c>
      <c r="N11923">
        <v>0.35</v>
      </c>
    </row>
    <row r="11924" spans="1:14" x14ac:dyDescent="0.25">
      <c r="A11924" t="s">
        <v>20550</v>
      </c>
      <c r="B11924" t="s">
        <v>20551</v>
      </c>
      <c r="C11924" s="1" t="str">
        <f>HYPERLINK("http://www.genecards.org/cgi-bin/carddisp.pl?gene=PAX2","GeneCards")</f>
        <v>GeneCards</v>
      </c>
      <c r="D11924" s="1" t="str">
        <f>HYPERLINK("http://genome-euro.ucsc.edu/cgi-bin/hgTracks?position=206229_x_at","UCSC")</f>
        <v>UCSC</v>
      </c>
      <c r="E11924" s="1" t="str">
        <f>HYPERLINK("http://www.ncbi.nlm.nih.gov/gene/?term=PAX2","NCBI")</f>
        <v>NCBI</v>
      </c>
      <c r="F11924">
        <v>0.33</v>
      </c>
      <c r="G11924">
        <v>0.47</v>
      </c>
      <c r="H11924" s="1" t="str">
        <f>HYPERLINK("http://www.weizmann.ac.il/complex/compphys/software/geview/data/figures/206229_x_at.png","Figure")</f>
        <v>Figure</v>
      </c>
      <c r="I11924">
        <v>1.1499999999999999</v>
      </c>
      <c r="J11924">
        <v>0.35</v>
      </c>
      <c r="K11924">
        <v>1.02</v>
      </c>
      <c r="L11924">
        <v>0.97</v>
      </c>
      <c r="M11924">
        <v>0.88500000000000001</v>
      </c>
      <c r="N11924">
        <v>0.4</v>
      </c>
    </row>
    <row r="11925" spans="1:14" x14ac:dyDescent="0.25">
      <c r="A11925" t="s">
        <v>20552</v>
      </c>
      <c r="B11925" t="s">
        <v>9045</v>
      </c>
      <c r="C11925" s="1" t="str">
        <f>HYPERLINK("http://www.genecards.org/cgi-bin/carddisp.pl?gene=FAM162A","GeneCards")</f>
        <v>GeneCards</v>
      </c>
      <c r="D11925" s="1" t="str">
        <f>HYPERLINK("http://genome-euro.ucsc.edu/cgi-bin/hgTracks?position=220942_x_at","UCSC")</f>
        <v>UCSC</v>
      </c>
      <c r="E11925" s="1" t="str">
        <f>HYPERLINK("http://www.ncbi.nlm.nih.gov/gene/?term=FAM162A","NCBI")</f>
        <v>NCBI</v>
      </c>
      <c r="F11925">
        <v>0.33</v>
      </c>
      <c r="G11925">
        <v>0.47</v>
      </c>
      <c r="H11925" s="1" t="str">
        <f>HYPERLINK("http://www.weizmann.ac.il/complex/compphys/software/geview/data/figures/220942_x_at.png","Figure")</f>
        <v>Figure</v>
      </c>
      <c r="I11925">
        <v>1.01</v>
      </c>
      <c r="J11925">
        <v>1</v>
      </c>
      <c r="K11925">
        <v>1.27</v>
      </c>
      <c r="L11925">
        <v>0.39</v>
      </c>
      <c r="M11925">
        <v>1.26</v>
      </c>
      <c r="N11925">
        <v>0.47</v>
      </c>
    </row>
    <row r="11926" spans="1:14" x14ac:dyDescent="0.25">
      <c r="A11926" t="s">
        <v>20553</v>
      </c>
      <c r="B11926" t="s">
        <v>20554</v>
      </c>
      <c r="C11926" s="1" t="str">
        <f>HYPERLINK("http://www.genecards.org/cgi-bin/carddisp.pl?gene=SEC13","GeneCards")</f>
        <v>GeneCards</v>
      </c>
      <c r="D11926" s="1" t="str">
        <f>HYPERLINK("http://genome-euro.ucsc.edu/cgi-bin/hgTracks?position=207707_s_at","UCSC")</f>
        <v>UCSC</v>
      </c>
      <c r="E11926" s="1" t="str">
        <f>HYPERLINK("http://www.ncbi.nlm.nih.gov/gene/?term=SEC13","NCBI")</f>
        <v>NCBI</v>
      </c>
      <c r="F11926">
        <v>0.33</v>
      </c>
      <c r="G11926">
        <v>0.47</v>
      </c>
      <c r="H11926" s="1" t="str">
        <f>HYPERLINK("http://www.weizmann.ac.il/complex/compphys/software/geview/data/figures/207707_s_at.png","Figure")</f>
        <v>Figure</v>
      </c>
      <c r="I11926">
        <v>1.1399999999999999</v>
      </c>
      <c r="J11926">
        <v>0.34</v>
      </c>
      <c r="K11926">
        <v>1.02</v>
      </c>
      <c r="L11926">
        <v>0.95</v>
      </c>
      <c r="M11926">
        <v>0.89800000000000002</v>
      </c>
      <c r="N11926">
        <v>0.43</v>
      </c>
    </row>
    <row r="11927" spans="1:14" x14ac:dyDescent="0.25">
      <c r="A11927" t="s">
        <v>20555</v>
      </c>
      <c r="B11927" t="s">
        <v>20556</v>
      </c>
      <c r="C11927" s="1" t="str">
        <f>HYPERLINK("http://www.genecards.org/cgi-bin/carddisp.pl?gene=TMLHE","GeneCards")</f>
        <v>GeneCards</v>
      </c>
      <c r="D11927" s="1" t="str">
        <f>HYPERLINK("http://genome-euro.ucsc.edu/cgi-bin/hgTracks?position=218790_s_at","UCSC")</f>
        <v>UCSC</v>
      </c>
      <c r="E11927" s="1" t="str">
        <f>HYPERLINK("http://www.ncbi.nlm.nih.gov/gene/?term=TMLHE","NCBI")</f>
        <v>NCBI</v>
      </c>
      <c r="F11927">
        <v>0.33</v>
      </c>
      <c r="G11927">
        <v>0.47</v>
      </c>
      <c r="H11927" s="1" t="str">
        <f>HYPERLINK("http://www.weizmann.ac.il/complex/compphys/software/geview/data/figures/218790_s_at.png","Figure")</f>
        <v>Figure</v>
      </c>
      <c r="I11927">
        <v>0.97399999999999998</v>
      </c>
      <c r="J11927">
        <v>0.88</v>
      </c>
      <c r="K11927">
        <v>1.05</v>
      </c>
      <c r="L11927">
        <v>0.57999999999999996</v>
      </c>
      <c r="M11927">
        <v>1.08</v>
      </c>
      <c r="N11927">
        <v>0.34</v>
      </c>
    </row>
    <row r="11928" spans="1:14" x14ac:dyDescent="0.25">
      <c r="A11928" t="s">
        <v>20557</v>
      </c>
      <c r="B11928" t="s">
        <v>20558</v>
      </c>
      <c r="C11928" s="1" t="str">
        <f>HYPERLINK("http://www.genecards.org/cgi-bin/carddisp.pl?gene=LOC441601","GeneCards")</f>
        <v>GeneCards</v>
      </c>
      <c r="D11928" s="1" t="str">
        <f>HYPERLINK("http://genome-euro.ucsc.edu/cgi-bin/hgTracks?position=214381_at","UCSC")</f>
        <v>UCSC</v>
      </c>
      <c r="E11928" s="1" t="str">
        <f>HYPERLINK("http://www.ncbi.nlm.nih.gov/gene/?term=LOC441601","NCBI")</f>
        <v>NCBI</v>
      </c>
      <c r="F11928">
        <v>0.33</v>
      </c>
      <c r="G11928">
        <v>0.47</v>
      </c>
      <c r="H11928" s="1" t="str">
        <f>HYPERLINK("http://www.weizmann.ac.il/complex/compphys/software/geview/data/figures/214381_at.png","Figure")</f>
        <v>Figure</v>
      </c>
      <c r="I11928">
        <v>1.1000000000000001</v>
      </c>
      <c r="J11928">
        <v>0.32</v>
      </c>
      <c r="K11928">
        <v>1.02</v>
      </c>
      <c r="L11928">
        <v>0.9</v>
      </c>
      <c r="M11928">
        <v>0.93100000000000005</v>
      </c>
      <c r="N11928">
        <v>0.47</v>
      </c>
    </row>
    <row r="11929" spans="1:14" x14ac:dyDescent="0.25">
      <c r="A11929" t="s">
        <v>20559</v>
      </c>
      <c r="B11929" t="s">
        <v>20560</v>
      </c>
      <c r="C11929" s="1" t="str">
        <f>HYPERLINK("http://www.genecards.org/cgi-bin/carddisp.pl?gene=FICD","GeneCards")</f>
        <v>GeneCards</v>
      </c>
      <c r="D11929" s="1" t="str">
        <f>HYPERLINK("http://genome-euro.ucsc.edu/cgi-bin/hgTracks?position=219910_at","UCSC")</f>
        <v>UCSC</v>
      </c>
      <c r="E11929" s="1" t="str">
        <f>HYPERLINK("http://www.ncbi.nlm.nih.gov/gene/?term=FICD","NCBI")</f>
        <v>NCBI</v>
      </c>
      <c r="F11929">
        <v>0.33</v>
      </c>
      <c r="G11929">
        <v>0.47</v>
      </c>
      <c r="H11929" s="1" t="str">
        <f>HYPERLINK("http://www.weizmann.ac.il/complex/compphys/software/geview/data/figures/219910_at.png","Figure")</f>
        <v>Figure</v>
      </c>
      <c r="I11929">
        <v>1.1299999999999999</v>
      </c>
      <c r="J11929">
        <v>0.33</v>
      </c>
      <c r="K11929">
        <v>1.03</v>
      </c>
      <c r="L11929">
        <v>0.91</v>
      </c>
      <c r="M11929">
        <v>0.91200000000000003</v>
      </c>
      <c r="N11929">
        <v>0.46</v>
      </c>
    </row>
    <row r="11930" spans="1:14" x14ac:dyDescent="0.25">
      <c r="A11930" t="s">
        <v>20561</v>
      </c>
      <c r="B11930" t="s">
        <v>20562</v>
      </c>
      <c r="C11930" s="1" t="str">
        <f>HYPERLINK("http://www.genecards.org/cgi-bin/carddisp.pl?gene=SSR2","GeneCards")</f>
        <v>GeneCards</v>
      </c>
      <c r="D11930" s="1" t="str">
        <f>HYPERLINK("http://genome-euro.ucsc.edu/cgi-bin/hgTracks?position=200652_at","UCSC")</f>
        <v>UCSC</v>
      </c>
      <c r="E11930" s="1" t="str">
        <f>HYPERLINK("http://www.ncbi.nlm.nih.gov/gene/?term=SSR2","NCBI")</f>
        <v>NCBI</v>
      </c>
      <c r="F11930">
        <v>0.33</v>
      </c>
      <c r="G11930">
        <v>0.47</v>
      </c>
      <c r="H11930" s="1" t="str">
        <f>HYPERLINK("http://www.weizmann.ac.il/complex/compphys/software/geview/data/figures/200652_at.png","Figure")</f>
        <v>Figure</v>
      </c>
      <c r="I11930">
        <v>1.19</v>
      </c>
      <c r="J11930">
        <v>0.43</v>
      </c>
      <c r="K11930">
        <v>1.18</v>
      </c>
      <c r="L11930">
        <v>0.37</v>
      </c>
      <c r="M11930">
        <v>0.99099999999999999</v>
      </c>
      <c r="N11930">
        <v>1</v>
      </c>
    </row>
    <row r="11931" spans="1:14" x14ac:dyDescent="0.25">
      <c r="A11931" t="s">
        <v>20563</v>
      </c>
      <c r="B11931" t="s">
        <v>20564</v>
      </c>
      <c r="C11931" s="1" t="str">
        <f>HYPERLINK("http://www.genecards.org/cgi-bin/carddisp.pl?gene=GABBR1 /// UBD","GeneCards")</f>
        <v>GeneCards</v>
      </c>
      <c r="D11931" s="1" t="str">
        <f>HYPERLINK("http://genome-euro.ucsc.edu/cgi-bin/hgTracks?position=205890_s_at","UCSC")</f>
        <v>UCSC</v>
      </c>
      <c r="E11931" s="1" t="str">
        <f>HYPERLINK("http://www.ncbi.nlm.nih.gov/gene/?term=GABBR1 /// UBD","NCBI")</f>
        <v>NCBI</v>
      </c>
      <c r="F11931">
        <v>0.33</v>
      </c>
      <c r="G11931">
        <v>0.47</v>
      </c>
      <c r="H11931" s="1" t="str">
        <f>HYPERLINK("http://www.weizmann.ac.il/complex/compphys/software/geview/data/figures/205890_s_at.png","Figure")</f>
        <v>Figure</v>
      </c>
      <c r="I11931">
        <v>1.02</v>
      </c>
      <c r="J11931">
        <v>0.9</v>
      </c>
      <c r="K11931">
        <v>0.96899999999999997</v>
      </c>
      <c r="L11931">
        <v>0.56000000000000005</v>
      </c>
      <c r="M11931">
        <v>0.95499999999999996</v>
      </c>
      <c r="N11931">
        <v>0.34</v>
      </c>
    </row>
    <row r="11932" spans="1:14" x14ac:dyDescent="0.25">
      <c r="A11932" t="s">
        <v>20565</v>
      </c>
      <c r="B11932" t="s">
        <v>16630</v>
      </c>
      <c r="C11932" s="1" t="str">
        <f>HYPERLINK("http://www.genecards.org/cgi-bin/carddisp.pl?gene=ABAT","GeneCards")</f>
        <v>GeneCards</v>
      </c>
      <c r="D11932" s="1" t="str">
        <f>HYPERLINK("http://genome-euro.ucsc.edu/cgi-bin/hgTracks?position=206527_at","UCSC")</f>
        <v>UCSC</v>
      </c>
      <c r="E11932" s="1" t="str">
        <f>HYPERLINK("http://www.ncbi.nlm.nih.gov/gene/?term=ABAT","NCBI")</f>
        <v>NCBI</v>
      </c>
      <c r="F11932">
        <v>0.33</v>
      </c>
      <c r="G11932">
        <v>0.47</v>
      </c>
      <c r="H11932" s="1" t="str">
        <f>HYPERLINK("http://www.weizmann.ac.il/complex/compphys/software/geview/data/figures/206527_at.png","Figure")</f>
        <v>Figure</v>
      </c>
      <c r="I11932">
        <v>1.0900000000000001</v>
      </c>
      <c r="J11932">
        <v>0.36</v>
      </c>
      <c r="K11932">
        <v>1.01</v>
      </c>
      <c r="L11932">
        <v>0.98</v>
      </c>
      <c r="M11932">
        <v>0.92700000000000005</v>
      </c>
      <c r="N11932">
        <v>0.4</v>
      </c>
    </row>
    <row r="11933" spans="1:14" x14ac:dyDescent="0.25">
      <c r="A11933" t="s">
        <v>20566</v>
      </c>
      <c r="B11933" t="s">
        <v>6514</v>
      </c>
      <c r="C11933" s="1" t="str">
        <f>HYPERLINK("http://www.genecards.org/cgi-bin/carddisp.pl?gene=PRKAR1B","GeneCards")</f>
        <v>GeneCards</v>
      </c>
      <c r="D11933" s="1" t="str">
        <f>HYPERLINK("http://genome-euro.ucsc.edu/cgi-bin/hgTracks?position=212555_at","UCSC")</f>
        <v>UCSC</v>
      </c>
      <c r="E11933" s="1" t="str">
        <f>HYPERLINK("http://www.ncbi.nlm.nih.gov/gene/?term=PRKAR1B","NCBI")</f>
        <v>NCBI</v>
      </c>
      <c r="F11933">
        <v>0.33</v>
      </c>
      <c r="G11933">
        <v>0.47</v>
      </c>
      <c r="H11933" s="1" t="str">
        <f>HYPERLINK("http://www.weizmann.ac.il/complex/compphys/software/geview/data/figures/212555_at.png","Figure")</f>
        <v>Figure</v>
      </c>
      <c r="I11933">
        <v>1.1299999999999999</v>
      </c>
      <c r="J11933">
        <v>0.33</v>
      </c>
      <c r="K11933">
        <v>1.03</v>
      </c>
      <c r="L11933">
        <v>0.93</v>
      </c>
      <c r="M11933">
        <v>0.90600000000000003</v>
      </c>
      <c r="N11933">
        <v>0.45</v>
      </c>
    </row>
    <row r="11934" spans="1:14" x14ac:dyDescent="0.25">
      <c r="A11934" t="s">
        <v>20567</v>
      </c>
      <c r="B11934" t="s">
        <v>11084</v>
      </c>
      <c r="C11934" s="1" t="str">
        <f>HYPERLINK("http://www.genecards.org/cgi-bin/carddisp.pl?gene=TPP1","GeneCards")</f>
        <v>GeneCards</v>
      </c>
      <c r="D11934" s="1" t="str">
        <f>HYPERLINK("http://genome-euro.ucsc.edu/cgi-bin/hgTracks?position=214196_s_at","UCSC")</f>
        <v>UCSC</v>
      </c>
      <c r="E11934" s="1" t="str">
        <f>HYPERLINK("http://www.ncbi.nlm.nih.gov/gene/?term=TPP1","NCBI")</f>
        <v>NCBI</v>
      </c>
      <c r="F11934">
        <v>0.33</v>
      </c>
      <c r="G11934">
        <v>0.47</v>
      </c>
      <c r="H11934" s="1" t="str">
        <f>HYPERLINK("http://www.weizmann.ac.il/complex/compphys/software/geview/data/figures/214196_s_at.png","Figure")</f>
        <v>Figure</v>
      </c>
      <c r="I11934">
        <v>1.02</v>
      </c>
      <c r="J11934">
        <v>1</v>
      </c>
      <c r="K11934">
        <v>0.77900000000000003</v>
      </c>
      <c r="L11934">
        <v>0.42</v>
      </c>
      <c r="M11934">
        <v>0.76700000000000002</v>
      </c>
      <c r="N11934">
        <v>0.43</v>
      </c>
    </row>
    <row r="11935" spans="1:14" x14ac:dyDescent="0.25">
      <c r="A11935" t="s">
        <v>20568</v>
      </c>
      <c r="B11935" t="s">
        <v>10301</v>
      </c>
      <c r="C11935" s="1" t="str">
        <f>HYPERLINK("http://www.genecards.org/cgi-bin/carddisp.pl?gene=UBR4","GeneCards")</f>
        <v>GeneCards</v>
      </c>
      <c r="D11935" s="1" t="str">
        <f>HYPERLINK("http://genome-euro.ucsc.edu/cgi-bin/hgTracks?position=215636_at","UCSC")</f>
        <v>UCSC</v>
      </c>
      <c r="E11935" s="1" t="str">
        <f>HYPERLINK("http://www.ncbi.nlm.nih.gov/gene/?term=UBR4","NCBI")</f>
        <v>NCBI</v>
      </c>
      <c r="F11935">
        <v>0.33</v>
      </c>
      <c r="G11935">
        <v>0.47</v>
      </c>
      <c r="H11935" s="1" t="str">
        <f>HYPERLINK("http://www.weizmann.ac.il/complex/compphys/software/geview/data/figures/215636_at.png","Figure")</f>
        <v>Figure</v>
      </c>
      <c r="I11935">
        <v>1</v>
      </c>
      <c r="J11935">
        <v>1</v>
      </c>
      <c r="K11935">
        <v>0.94699999999999995</v>
      </c>
      <c r="L11935">
        <v>0.4</v>
      </c>
      <c r="M11935">
        <v>0.94699999999999995</v>
      </c>
      <c r="N11935">
        <v>0.45</v>
      </c>
    </row>
    <row r="11936" spans="1:14" x14ac:dyDescent="0.25">
      <c r="A11936" t="s">
        <v>20569</v>
      </c>
      <c r="B11936" t="s">
        <v>20570</v>
      </c>
      <c r="C11936" s="1" t="str">
        <f>HYPERLINK("http://www.genecards.org/cgi-bin/carddisp.pl?gene=TRAK2","GeneCards")</f>
        <v>GeneCards</v>
      </c>
      <c r="D11936" s="1" t="str">
        <f>HYPERLINK("http://genome-euro.ucsc.edu/cgi-bin/hgTracks?position=202125_s_at","UCSC")</f>
        <v>UCSC</v>
      </c>
      <c r="E11936" s="1" t="str">
        <f>HYPERLINK("http://www.ncbi.nlm.nih.gov/gene/?term=TRAK2","NCBI")</f>
        <v>NCBI</v>
      </c>
      <c r="F11936">
        <v>0.33</v>
      </c>
      <c r="G11936">
        <v>0.47</v>
      </c>
      <c r="H11936" s="1" t="str">
        <f>HYPERLINK("http://www.weizmann.ac.il/complex/compphys/software/geview/data/figures/202125_s_at.png","Figure")</f>
        <v>Figure</v>
      </c>
      <c r="I11936">
        <v>1.08</v>
      </c>
      <c r="J11936">
        <v>0.94</v>
      </c>
      <c r="K11936">
        <v>1.36</v>
      </c>
      <c r="L11936">
        <v>0.34</v>
      </c>
      <c r="M11936">
        <v>1.26</v>
      </c>
      <c r="N11936">
        <v>0.56999999999999995</v>
      </c>
    </row>
    <row r="11937" spans="1:14" x14ac:dyDescent="0.25">
      <c r="A11937" t="s">
        <v>20571</v>
      </c>
      <c r="B11937" t="s">
        <v>20572</v>
      </c>
      <c r="C11937" s="1" t="str">
        <f>HYPERLINK("http://www.genecards.org/cgi-bin/carddisp.pl?gene=TM7SF3","GeneCards")</f>
        <v>GeneCards</v>
      </c>
      <c r="D11937" s="1" t="str">
        <f>HYPERLINK("http://genome-euro.ucsc.edu/cgi-bin/hgTracks?position=217974_at","UCSC")</f>
        <v>UCSC</v>
      </c>
      <c r="E11937" s="1" t="str">
        <f>HYPERLINK("http://www.ncbi.nlm.nih.gov/gene/?term=TM7SF3","NCBI")</f>
        <v>NCBI</v>
      </c>
      <c r="F11937">
        <v>0.33</v>
      </c>
      <c r="G11937">
        <v>0.47</v>
      </c>
      <c r="H11937" s="1" t="str">
        <f>HYPERLINK("http://www.weizmann.ac.il/complex/compphys/software/geview/data/figures/217974_at.png","Figure")</f>
        <v>Figure</v>
      </c>
      <c r="I11937">
        <v>0.96599999999999997</v>
      </c>
      <c r="J11937">
        <v>0.59</v>
      </c>
      <c r="K11937">
        <v>1.02</v>
      </c>
      <c r="L11937">
        <v>0.87</v>
      </c>
      <c r="M11937">
        <v>1.05</v>
      </c>
      <c r="N11937">
        <v>0.3</v>
      </c>
    </row>
    <row r="11938" spans="1:14" x14ac:dyDescent="0.25">
      <c r="A11938" t="s">
        <v>20573</v>
      </c>
      <c r="B11938" t="s">
        <v>20574</v>
      </c>
      <c r="C11938" s="1" t="str">
        <f>HYPERLINK("http://www.genecards.org/cgi-bin/carddisp.pl?gene=NOL9","GeneCards")</f>
        <v>GeneCards</v>
      </c>
      <c r="D11938" s="1" t="str">
        <f>HYPERLINK("http://genome-euro.ucsc.edu/cgi-bin/hgTracks?position=218754_at","UCSC")</f>
        <v>UCSC</v>
      </c>
      <c r="E11938" s="1" t="str">
        <f>HYPERLINK("http://www.ncbi.nlm.nih.gov/gene/?term=NOL9","NCBI")</f>
        <v>NCBI</v>
      </c>
      <c r="F11938">
        <v>0.33</v>
      </c>
      <c r="G11938">
        <v>0.47</v>
      </c>
      <c r="H11938" s="1" t="str">
        <f>HYPERLINK("http://www.weizmann.ac.il/complex/compphys/software/geview/data/figures/218754_at.png","Figure")</f>
        <v>Figure</v>
      </c>
      <c r="I11938">
        <v>1.0900000000000001</v>
      </c>
      <c r="J11938">
        <v>0.75</v>
      </c>
      <c r="K11938">
        <v>1.18</v>
      </c>
      <c r="L11938">
        <v>0.3</v>
      </c>
      <c r="M11938">
        <v>1.08</v>
      </c>
      <c r="N11938">
        <v>0.79</v>
      </c>
    </row>
    <row r="11939" spans="1:14" x14ac:dyDescent="0.25">
      <c r="A11939" t="s">
        <v>20575</v>
      </c>
      <c r="B11939" t="s">
        <v>20576</v>
      </c>
      <c r="C11939" s="1" t="str">
        <f>HYPERLINK("http://www.genecards.org/cgi-bin/carddisp.pl?gene=UBXN6","GeneCards")</f>
        <v>GeneCards</v>
      </c>
      <c r="D11939" s="1" t="str">
        <f>HYPERLINK("http://genome-euro.ucsc.edu/cgi-bin/hgTracks?position=220757_s_at","UCSC")</f>
        <v>UCSC</v>
      </c>
      <c r="E11939" s="1" t="str">
        <f>HYPERLINK("http://www.ncbi.nlm.nih.gov/gene/?term=UBXN6","NCBI")</f>
        <v>NCBI</v>
      </c>
      <c r="F11939">
        <v>0.33</v>
      </c>
      <c r="G11939">
        <v>0.47</v>
      </c>
      <c r="H11939" s="1" t="str">
        <f>HYPERLINK("http://www.weizmann.ac.il/complex/compphys/software/geview/data/figures/220757_s_at.png","Figure")</f>
        <v>Figure</v>
      </c>
      <c r="I11939">
        <v>1.02</v>
      </c>
      <c r="J11939">
        <v>0.99</v>
      </c>
      <c r="K11939">
        <v>0.88100000000000001</v>
      </c>
      <c r="L11939">
        <v>0.44</v>
      </c>
      <c r="M11939">
        <v>0.86799999999999999</v>
      </c>
      <c r="N11939">
        <v>0.41</v>
      </c>
    </row>
    <row r="11940" spans="1:14" x14ac:dyDescent="0.25">
      <c r="A11940" t="s">
        <v>20577</v>
      </c>
      <c r="B11940" t="s">
        <v>20578</v>
      </c>
      <c r="C11940" s="1" t="str">
        <f>HYPERLINK("http://www.genecards.org/cgi-bin/carddisp.pl?gene=U2AF1","GeneCards")</f>
        <v>GeneCards</v>
      </c>
      <c r="D11940" s="1" t="str">
        <f>HYPERLINK("http://genome-euro.ucsc.edu/cgi-bin/hgTracks?position=202858_at","UCSC")</f>
        <v>UCSC</v>
      </c>
      <c r="E11940" s="1" t="str">
        <f>HYPERLINK("http://www.ncbi.nlm.nih.gov/gene/?term=U2AF1","NCBI")</f>
        <v>NCBI</v>
      </c>
      <c r="F11940">
        <v>0.33</v>
      </c>
      <c r="G11940">
        <v>0.47</v>
      </c>
      <c r="H11940" s="1" t="str">
        <f>HYPERLINK("http://www.weizmann.ac.il/complex/compphys/software/geview/data/figures/202858_at.png","Figure")</f>
        <v>Figure</v>
      </c>
      <c r="I11940">
        <v>0.81799999999999995</v>
      </c>
      <c r="J11940">
        <v>0.32</v>
      </c>
      <c r="K11940">
        <v>0.94899999999999995</v>
      </c>
      <c r="L11940">
        <v>0.9</v>
      </c>
      <c r="M11940">
        <v>1.1599999999999999</v>
      </c>
      <c r="N11940">
        <v>0.48</v>
      </c>
    </row>
    <row r="11941" spans="1:14" x14ac:dyDescent="0.25">
      <c r="A11941" t="s">
        <v>20579</v>
      </c>
      <c r="B11941" t="s">
        <v>6733</v>
      </c>
      <c r="C11941" s="1" t="str">
        <f>HYPERLINK("http://www.genecards.org/cgi-bin/carddisp.pl?gene=RPS6KA5","GeneCards")</f>
        <v>GeneCards</v>
      </c>
      <c r="D11941" s="1" t="str">
        <f>HYPERLINK("http://genome-euro.ucsc.edu/cgi-bin/hgTracks?position=204635_at","UCSC")</f>
        <v>UCSC</v>
      </c>
      <c r="E11941" s="1" t="str">
        <f>HYPERLINK("http://www.ncbi.nlm.nih.gov/gene/?term=RPS6KA5","NCBI")</f>
        <v>NCBI</v>
      </c>
      <c r="F11941">
        <v>0.33</v>
      </c>
      <c r="G11941">
        <v>0.47</v>
      </c>
      <c r="H11941" s="1" t="str">
        <f>HYPERLINK("http://www.weizmann.ac.il/complex/compphys/software/geview/data/figures/204635_at.png","Figure")</f>
        <v>Figure</v>
      </c>
      <c r="I11941">
        <v>0.93400000000000005</v>
      </c>
      <c r="J11941">
        <v>0.66</v>
      </c>
      <c r="K11941">
        <v>0.9</v>
      </c>
      <c r="L11941">
        <v>0.3</v>
      </c>
      <c r="M11941">
        <v>0.96399999999999997</v>
      </c>
      <c r="N11941">
        <v>0.87</v>
      </c>
    </row>
    <row r="11942" spans="1:14" x14ac:dyDescent="0.25">
      <c r="A11942" t="s">
        <v>20580</v>
      </c>
      <c r="B11942" t="s">
        <v>10043</v>
      </c>
      <c r="C11942" s="1" t="str">
        <f>HYPERLINK("http://www.genecards.org/cgi-bin/carddisp.pl?gene=MMP11","GeneCards")</f>
        <v>GeneCards</v>
      </c>
      <c r="D11942" s="1" t="str">
        <f>HYPERLINK("http://genome-euro.ucsc.edu/cgi-bin/hgTracks?position=203878_s_at","UCSC")</f>
        <v>UCSC</v>
      </c>
      <c r="E11942" s="1" t="str">
        <f>HYPERLINK("http://www.ncbi.nlm.nih.gov/gene/?term=MMP11","NCBI")</f>
        <v>NCBI</v>
      </c>
      <c r="F11942">
        <v>0.33</v>
      </c>
      <c r="G11942">
        <v>0.47</v>
      </c>
      <c r="H11942" s="1" t="str">
        <f>HYPERLINK("http://www.weizmann.ac.il/complex/compphys/software/geview/data/figures/203878_s_at.png","Figure")</f>
        <v>Figure</v>
      </c>
      <c r="I11942">
        <v>1.19</v>
      </c>
      <c r="J11942">
        <v>0.3</v>
      </c>
      <c r="K11942">
        <v>1.0900000000000001</v>
      </c>
      <c r="L11942">
        <v>0.67</v>
      </c>
      <c r="M11942">
        <v>0.91600000000000004</v>
      </c>
      <c r="N11942">
        <v>0.68</v>
      </c>
    </row>
    <row r="11943" spans="1:14" x14ac:dyDescent="0.25">
      <c r="A11943" t="s">
        <v>20581</v>
      </c>
      <c r="B11943" t="s">
        <v>20582</v>
      </c>
      <c r="C11943" s="1" t="str">
        <f>HYPERLINK("http://www.genecards.org/cgi-bin/carddisp.pl?gene=SNPH","GeneCards")</f>
        <v>GeneCards</v>
      </c>
      <c r="D11943" s="1" t="str">
        <f>HYPERLINK("http://genome-euro.ucsc.edu/cgi-bin/hgTracks?position=205104_at","UCSC")</f>
        <v>UCSC</v>
      </c>
      <c r="E11943" s="1" t="str">
        <f>HYPERLINK("http://www.ncbi.nlm.nih.gov/gene/?term=SNPH","NCBI")</f>
        <v>NCBI</v>
      </c>
      <c r="F11943">
        <v>0.33</v>
      </c>
      <c r="G11943">
        <v>0.47</v>
      </c>
      <c r="H11943" s="1" t="str">
        <f>HYPERLINK("http://www.weizmann.ac.il/complex/compphys/software/geview/data/figures/205104_at.png","Figure")</f>
        <v>Figure</v>
      </c>
      <c r="I11943">
        <v>1.21</v>
      </c>
      <c r="J11943">
        <v>0.3</v>
      </c>
      <c r="K11943">
        <v>1.1000000000000001</v>
      </c>
      <c r="L11943">
        <v>0.68</v>
      </c>
      <c r="M11943">
        <v>0.90500000000000003</v>
      </c>
      <c r="N11943">
        <v>0.67</v>
      </c>
    </row>
    <row r="11944" spans="1:14" x14ac:dyDescent="0.25">
      <c r="A11944" t="s">
        <v>20583</v>
      </c>
      <c r="B11944" t="s">
        <v>20584</v>
      </c>
      <c r="C11944" s="1" t="str">
        <f>HYPERLINK("http://www.genecards.org/cgi-bin/carddisp.pl?gene=EIF4H","GeneCards")</f>
        <v>GeneCards</v>
      </c>
      <c r="D11944" s="1" t="str">
        <f>HYPERLINK("http://genome-euro.ucsc.edu/cgi-bin/hgTracks?position=206621_s_at","UCSC")</f>
        <v>UCSC</v>
      </c>
      <c r="E11944" s="1" t="str">
        <f>HYPERLINK("http://www.ncbi.nlm.nih.gov/gene/?term=EIF4H","NCBI")</f>
        <v>NCBI</v>
      </c>
      <c r="F11944">
        <v>0.33</v>
      </c>
      <c r="G11944">
        <v>0.47</v>
      </c>
      <c r="H11944" s="1" t="str">
        <f>HYPERLINK("http://www.weizmann.ac.il/complex/compphys/software/geview/data/figures/206621_s_at.png","Figure")</f>
        <v>Figure</v>
      </c>
      <c r="I11944">
        <v>1.02</v>
      </c>
      <c r="J11944">
        <v>0.99</v>
      </c>
      <c r="K11944">
        <v>0.88200000000000001</v>
      </c>
      <c r="L11944">
        <v>0.45</v>
      </c>
      <c r="M11944">
        <v>0.86599999999999999</v>
      </c>
      <c r="N11944">
        <v>0.4</v>
      </c>
    </row>
    <row r="11945" spans="1:14" x14ac:dyDescent="0.25">
      <c r="A11945" t="s">
        <v>20585</v>
      </c>
      <c r="B11945" t="s">
        <v>8935</v>
      </c>
      <c r="C11945" s="1" t="str">
        <f>HYPERLINK("http://www.genecards.org/cgi-bin/carddisp.pl?gene=PIAS1","GeneCards")</f>
        <v>GeneCards</v>
      </c>
      <c r="D11945" s="1" t="str">
        <f>HYPERLINK("http://genome-euro.ucsc.edu/cgi-bin/hgTracks?position=217863_at","UCSC")</f>
        <v>UCSC</v>
      </c>
      <c r="E11945" s="1" t="str">
        <f>HYPERLINK("http://www.ncbi.nlm.nih.gov/gene/?term=PIAS1","NCBI")</f>
        <v>NCBI</v>
      </c>
      <c r="F11945">
        <v>0.33</v>
      </c>
      <c r="G11945">
        <v>0.47</v>
      </c>
      <c r="H11945" s="1" t="str">
        <f>HYPERLINK("http://www.weizmann.ac.il/complex/compphys/software/geview/data/figures/217863_at.png","Figure")</f>
        <v>Figure</v>
      </c>
      <c r="I11945">
        <v>0.879</v>
      </c>
      <c r="J11945">
        <v>0.32</v>
      </c>
      <c r="K11945">
        <v>0.92100000000000004</v>
      </c>
      <c r="L11945">
        <v>0.54</v>
      </c>
      <c r="M11945">
        <v>1.05</v>
      </c>
      <c r="N11945">
        <v>0.83</v>
      </c>
    </row>
    <row r="11946" spans="1:14" x14ac:dyDescent="0.25">
      <c r="A11946" t="s">
        <v>20586</v>
      </c>
      <c r="B11946" t="s">
        <v>3166</v>
      </c>
      <c r="C11946" s="1" t="str">
        <f>HYPERLINK("http://www.genecards.org/cgi-bin/carddisp.pl?gene=BTG2","GeneCards")</f>
        <v>GeneCards</v>
      </c>
      <c r="D11946" s="1" t="str">
        <f>HYPERLINK("http://genome-euro.ucsc.edu/cgi-bin/hgTracks?position=201236_s_at","UCSC")</f>
        <v>UCSC</v>
      </c>
      <c r="E11946" s="1" t="str">
        <f>HYPERLINK("http://www.ncbi.nlm.nih.gov/gene/?term=BTG2","NCBI")</f>
        <v>NCBI</v>
      </c>
      <c r="F11946">
        <v>0.33</v>
      </c>
      <c r="G11946">
        <v>0.47</v>
      </c>
      <c r="H11946" s="1" t="str">
        <f>HYPERLINK("http://www.weizmann.ac.il/complex/compphys/software/geview/data/figures/201236_s_at.png","Figure")</f>
        <v>Figure</v>
      </c>
      <c r="I11946">
        <v>1.03</v>
      </c>
      <c r="J11946">
        <v>0.99</v>
      </c>
      <c r="K11946">
        <v>1.32</v>
      </c>
      <c r="L11946">
        <v>0.37</v>
      </c>
      <c r="M11946">
        <v>1.28</v>
      </c>
      <c r="N11946">
        <v>0.5</v>
      </c>
    </row>
    <row r="11947" spans="1:14" x14ac:dyDescent="0.25">
      <c r="A11947" t="s">
        <v>20587</v>
      </c>
      <c r="B11947" t="s">
        <v>20588</v>
      </c>
      <c r="C11947" s="1" t="str">
        <f>HYPERLINK("http://www.genecards.org/cgi-bin/carddisp.pl?gene=GYPC","GeneCards")</f>
        <v>GeneCards</v>
      </c>
      <c r="D11947" s="1" t="str">
        <f>HYPERLINK("http://genome-euro.ucsc.edu/cgi-bin/hgTracks?position=202947_s_at","UCSC")</f>
        <v>UCSC</v>
      </c>
      <c r="E11947" s="1" t="str">
        <f>HYPERLINK("http://www.ncbi.nlm.nih.gov/gene/?term=GYPC","NCBI")</f>
        <v>NCBI</v>
      </c>
      <c r="F11947">
        <v>0.33</v>
      </c>
      <c r="G11947">
        <v>0.47</v>
      </c>
      <c r="H11947" s="1" t="str">
        <f>HYPERLINK("http://www.weizmann.ac.il/complex/compphys/software/geview/data/figures/202947_s_at.png","Figure")</f>
        <v>Figure</v>
      </c>
      <c r="I11947">
        <v>1.18</v>
      </c>
      <c r="J11947">
        <v>0.73</v>
      </c>
      <c r="K11947">
        <v>1.34</v>
      </c>
      <c r="L11947">
        <v>0.3</v>
      </c>
      <c r="M11947">
        <v>1.1299999999999999</v>
      </c>
      <c r="N11947">
        <v>0.81</v>
      </c>
    </row>
    <row r="11948" spans="1:14" x14ac:dyDescent="0.25">
      <c r="A11948" t="s">
        <v>20589</v>
      </c>
      <c r="B11948" t="s">
        <v>20590</v>
      </c>
      <c r="C11948" s="1" t="str">
        <f>HYPERLINK("http://www.genecards.org/cgi-bin/carddisp.pl?gene=GIP","GeneCards")</f>
        <v>GeneCards</v>
      </c>
      <c r="D11948" s="1" t="str">
        <f>HYPERLINK("http://genome-euro.ucsc.edu/cgi-bin/hgTracks?position=207899_at","UCSC")</f>
        <v>UCSC</v>
      </c>
      <c r="E11948" s="1" t="str">
        <f>HYPERLINK("http://www.ncbi.nlm.nih.gov/gene/?term=GIP","NCBI")</f>
        <v>NCBI</v>
      </c>
      <c r="F11948">
        <v>0.33</v>
      </c>
      <c r="G11948">
        <v>0.47</v>
      </c>
      <c r="H11948" s="1" t="str">
        <f>HYPERLINK("http://www.weizmann.ac.il/complex/compphys/software/geview/data/figures/207899_at.png","Figure")</f>
        <v>Figure</v>
      </c>
      <c r="I11948">
        <v>1.03</v>
      </c>
      <c r="J11948">
        <v>0.32</v>
      </c>
      <c r="K11948">
        <v>1.02</v>
      </c>
      <c r="L11948">
        <v>0.55000000000000004</v>
      </c>
      <c r="M11948">
        <v>0.98699999999999999</v>
      </c>
      <c r="N11948">
        <v>0.81</v>
      </c>
    </row>
    <row r="11949" spans="1:14" x14ac:dyDescent="0.25">
      <c r="A11949" t="s">
        <v>20591</v>
      </c>
      <c r="B11949" t="s">
        <v>5742</v>
      </c>
      <c r="C11949" s="1" t="str">
        <f>HYPERLINK("http://www.genecards.org/cgi-bin/carddisp.pl?gene=PAX8","GeneCards")</f>
        <v>GeneCards</v>
      </c>
      <c r="D11949" s="1" t="str">
        <f>HYPERLINK("http://genome-euro.ucsc.edu/cgi-bin/hgTracks?position=207921_x_at","UCSC")</f>
        <v>UCSC</v>
      </c>
      <c r="E11949" s="1" t="str">
        <f>HYPERLINK("http://www.ncbi.nlm.nih.gov/gene/?term=PAX8","NCBI")</f>
        <v>NCBI</v>
      </c>
      <c r="F11949">
        <v>0.33</v>
      </c>
      <c r="G11949">
        <v>0.47</v>
      </c>
      <c r="H11949" s="1" t="str">
        <f>HYPERLINK("http://www.weizmann.ac.il/complex/compphys/software/geview/data/figures/207921_x_at.png","Figure")</f>
        <v>Figure</v>
      </c>
      <c r="I11949">
        <v>0.96199999999999997</v>
      </c>
      <c r="J11949">
        <v>0.64</v>
      </c>
      <c r="K11949">
        <v>1.02</v>
      </c>
      <c r="L11949">
        <v>0.82</v>
      </c>
      <c r="M11949">
        <v>1.06</v>
      </c>
      <c r="N11949">
        <v>0.3</v>
      </c>
    </row>
    <row r="11950" spans="1:14" x14ac:dyDescent="0.25">
      <c r="A11950" t="s">
        <v>20592</v>
      </c>
      <c r="B11950" t="s">
        <v>20593</v>
      </c>
      <c r="C11950" s="1" t="str">
        <f>HYPERLINK("http://www.genecards.org/cgi-bin/carddisp.pl?gene=N4BP2L2","GeneCards")</f>
        <v>GeneCards</v>
      </c>
      <c r="D11950" s="1" t="str">
        <f>HYPERLINK("http://genome-euro.ucsc.edu/cgi-bin/hgTracks?position=214753_at","UCSC")</f>
        <v>UCSC</v>
      </c>
      <c r="E11950" s="1" t="str">
        <f>HYPERLINK("http://www.ncbi.nlm.nih.gov/gene/?term=N4BP2L2","NCBI")</f>
        <v>NCBI</v>
      </c>
      <c r="F11950">
        <v>0.33</v>
      </c>
      <c r="G11950">
        <v>0.47</v>
      </c>
      <c r="H11950" s="1" t="str">
        <f>HYPERLINK("http://www.weizmann.ac.il/complex/compphys/software/geview/data/figures/214753_at.png","Figure")</f>
        <v>Figure</v>
      </c>
      <c r="I11950">
        <v>0.93600000000000005</v>
      </c>
      <c r="J11950">
        <v>0.98</v>
      </c>
      <c r="K11950">
        <v>0.66</v>
      </c>
      <c r="L11950">
        <v>0.36</v>
      </c>
      <c r="M11950">
        <v>0.70499999999999996</v>
      </c>
      <c r="N11950">
        <v>0.52</v>
      </c>
    </row>
    <row r="11951" spans="1:14" x14ac:dyDescent="0.25">
      <c r="A11951" t="s">
        <v>20594</v>
      </c>
      <c r="B11951" t="s">
        <v>20595</v>
      </c>
      <c r="C11951" s="1" t="str">
        <f>HYPERLINK("http://www.genecards.org/cgi-bin/carddisp.pl?gene=CHPF2","GeneCards")</f>
        <v>GeneCards</v>
      </c>
      <c r="D11951" s="1" t="str">
        <f>HYPERLINK("http://genome-euro.ucsc.edu/cgi-bin/hgTracks?position=221799_at","UCSC")</f>
        <v>UCSC</v>
      </c>
      <c r="E11951" s="1" t="str">
        <f>HYPERLINK("http://www.ncbi.nlm.nih.gov/gene/?term=CHPF2","NCBI")</f>
        <v>NCBI</v>
      </c>
      <c r="F11951">
        <v>0.33</v>
      </c>
      <c r="G11951">
        <v>0.47</v>
      </c>
      <c r="H11951" s="1" t="str">
        <f>HYPERLINK("http://www.weizmann.ac.il/complex/compphys/software/geview/data/figures/221799_at.png","Figure")</f>
        <v>Figure</v>
      </c>
      <c r="I11951">
        <v>0.90600000000000003</v>
      </c>
      <c r="J11951">
        <v>0.38</v>
      </c>
      <c r="K11951">
        <v>0.92100000000000004</v>
      </c>
      <c r="L11951">
        <v>0.41</v>
      </c>
      <c r="M11951">
        <v>1.02</v>
      </c>
      <c r="N11951">
        <v>0.97</v>
      </c>
    </row>
    <row r="11952" spans="1:14" x14ac:dyDescent="0.25">
      <c r="A11952" t="s">
        <v>20596</v>
      </c>
      <c r="B11952" t="s">
        <v>9491</v>
      </c>
      <c r="C11952" s="1" t="str">
        <f>HYPERLINK("http://www.genecards.org/cgi-bin/carddisp.pl?gene=AKAP13","GeneCards")</f>
        <v>GeneCards</v>
      </c>
      <c r="D11952" s="1" t="str">
        <f>HYPERLINK("http://genome-euro.ucsc.edu/cgi-bin/hgTracks?position=222023_at","UCSC")</f>
        <v>UCSC</v>
      </c>
      <c r="E11952" s="1" t="str">
        <f>HYPERLINK("http://www.ncbi.nlm.nih.gov/gene/?term=AKAP13","NCBI")</f>
        <v>NCBI</v>
      </c>
      <c r="F11952">
        <v>0.33</v>
      </c>
      <c r="G11952">
        <v>0.47</v>
      </c>
      <c r="H11952" s="1" t="str">
        <f>HYPERLINK("http://www.weizmann.ac.il/complex/compphys/software/geview/data/figures/222023_at.png","Figure")</f>
        <v>Figure</v>
      </c>
      <c r="I11952">
        <v>1.05</v>
      </c>
      <c r="J11952">
        <v>0.45</v>
      </c>
      <c r="K11952">
        <v>1.05</v>
      </c>
      <c r="L11952">
        <v>0.36</v>
      </c>
      <c r="M11952">
        <v>1</v>
      </c>
      <c r="N11952">
        <v>1</v>
      </c>
    </row>
    <row r="11953" spans="1:14" x14ac:dyDescent="0.25">
      <c r="A11953" t="s">
        <v>20597</v>
      </c>
      <c r="B11953" t="s">
        <v>20598</v>
      </c>
      <c r="C11953" s="1" t="str">
        <f>HYPERLINK("http://www.genecards.org/cgi-bin/carddisp.pl?gene=GALT","GeneCards")</f>
        <v>GeneCards</v>
      </c>
      <c r="D11953" s="1" t="str">
        <f>HYPERLINK("http://genome-euro.ucsc.edu/cgi-bin/hgTracks?position=203179_at","UCSC")</f>
        <v>UCSC</v>
      </c>
      <c r="E11953" s="1" t="str">
        <f>HYPERLINK("http://www.ncbi.nlm.nih.gov/gene/?term=GALT","NCBI")</f>
        <v>NCBI</v>
      </c>
      <c r="F11953">
        <v>0.33</v>
      </c>
      <c r="G11953">
        <v>0.47</v>
      </c>
      <c r="H11953" s="1" t="str">
        <f>HYPERLINK("http://www.weizmann.ac.il/complex/compphys/software/geview/data/figures/203179_at.png","Figure")</f>
        <v>Figure</v>
      </c>
      <c r="I11953">
        <v>0.91500000000000004</v>
      </c>
      <c r="J11953">
        <v>0.88</v>
      </c>
      <c r="K11953">
        <v>1.18</v>
      </c>
      <c r="L11953">
        <v>0.57999999999999996</v>
      </c>
      <c r="M11953">
        <v>1.29</v>
      </c>
      <c r="N11953">
        <v>0.34</v>
      </c>
    </row>
    <row r="11954" spans="1:14" x14ac:dyDescent="0.25">
      <c r="A11954" t="s">
        <v>20599</v>
      </c>
      <c r="B11954" t="s">
        <v>17011</v>
      </c>
      <c r="C11954" s="1" t="str">
        <f>HYPERLINK("http://www.genecards.org/cgi-bin/carddisp.pl?gene=DLAT","GeneCards")</f>
        <v>GeneCards</v>
      </c>
      <c r="D11954" s="1" t="str">
        <f>HYPERLINK("http://genome-euro.ucsc.edu/cgi-bin/hgTracks?position=211150_s_at","UCSC")</f>
        <v>UCSC</v>
      </c>
      <c r="E11954" s="1" t="str">
        <f>HYPERLINK("http://www.ncbi.nlm.nih.gov/gene/?term=DLAT","NCBI")</f>
        <v>NCBI</v>
      </c>
      <c r="F11954">
        <v>0.33</v>
      </c>
      <c r="G11954">
        <v>0.47</v>
      </c>
      <c r="H11954" s="1" t="str">
        <f>HYPERLINK("http://www.weizmann.ac.il/complex/compphys/software/geview/data/figures/211150_s_at.png","Figure")</f>
        <v>Figure</v>
      </c>
      <c r="I11954">
        <v>1.07</v>
      </c>
      <c r="J11954">
        <v>0.69</v>
      </c>
      <c r="K11954">
        <v>1.1200000000000001</v>
      </c>
      <c r="L11954">
        <v>0.3</v>
      </c>
      <c r="M11954">
        <v>1.04</v>
      </c>
      <c r="N11954">
        <v>0.85</v>
      </c>
    </row>
    <row r="11955" spans="1:14" x14ac:dyDescent="0.25">
      <c r="A11955" t="s">
        <v>20600</v>
      </c>
      <c r="B11955" t="s">
        <v>20601</v>
      </c>
      <c r="C11955" s="1" t="str">
        <f>HYPERLINK("http://www.genecards.org/cgi-bin/carddisp.pl?gene=FXYD5","GeneCards")</f>
        <v>GeneCards</v>
      </c>
      <c r="D11955" s="1" t="str">
        <f>HYPERLINK("http://genome-euro.ucsc.edu/cgi-bin/hgTracks?position=218084_x_at","UCSC")</f>
        <v>UCSC</v>
      </c>
      <c r="E11955" s="1" t="str">
        <f>HYPERLINK("http://www.ncbi.nlm.nih.gov/gene/?term=FXYD5","NCBI")</f>
        <v>NCBI</v>
      </c>
      <c r="F11955">
        <v>0.33</v>
      </c>
      <c r="G11955">
        <v>0.47</v>
      </c>
      <c r="H11955" s="1" t="str">
        <f>HYPERLINK("http://www.weizmann.ac.il/complex/compphys/software/geview/data/figures/218084_x_at.png","Figure")</f>
        <v>Figure</v>
      </c>
      <c r="I11955">
        <v>1.1000000000000001</v>
      </c>
      <c r="J11955">
        <v>0.9</v>
      </c>
      <c r="K11955">
        <v>1.32</v>
      </c>
      <c r="L11955">
        <v>0.32</v>
      </c>
      <c r="M11955">
        <v>1.2</v>
      </c>
      <c r="N11955">
        <v>0.63</v>
      </c>
    </row>
    <row r="11956" spans="1:14" x14ac:dyDescent="0.25">
      <c r="A11956" t="s">
        <v>20602</v>
      </c>
      <c r="B11956" t="s">
        <v>20603</v>
      </c>
      <c r="C11956" s="1" t="str">
        <f>HYPERLINK("http://www.genecards.org/cgi-bin/carddisp.pl?gene=SHARPIN","GeneCards")</f>
        <v>GeneCards</v>
      </c>
      <c r="D11956" s="1" t="str">
        <f>HYPERLINK("http://genome-euro.ucsc.edu/cgi-bin/hgTracks?position=220973_s_at","UCSC")</f>
        <v>UCSC</v>
      </c>
      <c r="E11956" s="1" t="str">
        <f>HYPERLINK("http://www.ncbi.nlm.nih.gov/gene/?term=SHARPIN","NCBI")</f>
        <v>NCBI</v>
      </c>
      <c r="F11956">
        <v>0.33</v>
      </c>
      <c r="G11956">
        <v>0.47</v>
      </c>
      <c r="H11956" s="1" t="str">
        <f>HYPERLINK("http://www.weizmann.ac.il/complex/compphys/software/geview/data/figures/220973_s_at.png","Figure")</f>
        <v>Figure</v>
      </c>
      <c r="I11956">
        <v>1.17</v>
      </c>
      <c r="J11956">
        <v>0.56999999999999995</v>
      </c>
      <c r="K11956">
        <v>1.23</v>
      </c>
      <c r="L11956">
        <v>0.31</v>
      </c>
      <c r="M11956">
        <v>1.05</v>
      </c>
      <c r="N11956">
        <v>0.94</v>
      </c>
    </row>
    <row r="11957" spans="1:14" x14ac:dyDescent="0.25">
      <c r="A11957" t="s">
        <v>20604</v>
      </c>
      <c r="B11957" t="s">
        <v>20605</v>
      </c>
      <c r="C11957" s="1" t="str">
        <f>HYPERLINK("http://www.genecards.org/cgi-bin/carddisp.pl?gene=ADAT1","GeneCards")</f>
        <v>GeneCards</v>
      </c>
      <c r="D11957" s="1" t="str">
        <f>HYPERLINK("http://genome-euro.ucsc.edu/cgi-bin/hgTracks?position=219384_s_at","UCSC")</f>
        <v>UCSC</v>
      </c>
      <c r="E11957" s="1" t="str">
        <f>HYPERLINK("http://www.ncbi.nlm.nih.gov/gene/?term=ADAT1","NCBI")</f>
        <v>NCBI</v>
      </c>
      <c r="F11957">
        <v>0.33</v>
      </c>
      <c r="G11957">
        <v>0.47</v>
      </c>
      <c r="H11957" s="1" t="str">
        <f>HYPERLINK("http://www.weizmann.ac.il/complex/compphys/software/geview/data/figures/219384_s_at.png","Figure")</f>
        <v>Figure</v>
      </c>
      <c r="I11957">
        <v>0.90500000000000003</v>
      </c>
      <c r="J11957">
        <v>0.79</v>
      </c>
      <c r="K11957">
        <v>0.81499999999999995</v>
      </c>
      <c r="L11957">
        <v>0.31</v>
      </c>
      <c r="M11957">
        <v>0.9</v>
      </c>
      <c r="N11957">
        <v>0.74</v>
      </c>
    </row>
    <row r="11958" spans="1:14" x14ac:dyDescent="0.25">
      <c r="A11958" t="s">
        <v>20606</v>
      </c>
      <c r="B11958" t="s">
        <v>12237</v>
      </c>
      <c r="C11958" s="1" t="str">
        <f>HYPERLINK("http://www.genecards.org/cgi-bin/carddisp.pl?gene=EIF3M","GeneCards")</f>
        <v>GeneCards</v>
      </c>
      <c r="D11958" s="1" t="str">
        <f>HYPERLINK("http://genome-euro.ucsc.edu/cgi-bin/hgTracks?position=215190_at","UCSC")</f>
        <v>UCSC</v>
      </c>
      <c r="E11958" s="1" t="str">
        <f>HYPERLINK("http://www.ncbi.nlm.nih.gov/gene/?term=EIF3M","NCBI")</f>
        <v>NCBI</v>
      </c>
      <c r="F11958">
        <v>0.33</v>
      </c>
      <c r="G11958">
        <v>0.47</v>
      </c>
      <c r="H11958" s="1" t="str">
        <f>HYPERLINK("http://www.weizmann.ac.il/complex/compphys/software/geview/data/figures/215190_at.png","Figure")</f>
        <v>Figure</v>
      </c>
      <c r="I11958">
        <v>1</v>
      </c>
      <c r="J11958">
        <v>1</v>
      </c>
      <c r="K11958">
        <v>0.89500000000000002</v>
      </c>
      <c r="L11958">
        <v>0.4</v>
      </c>
      <c r="M11958">
        <v>0.89400000000000002</v>
      </c>
      <c r="N11958">
        <v>0.45</v>
      </c>
    </row>
    <row r="11959" spans="1:14" x14ac:dyDescent="0.25">
      <c r="A11959" t="s">
        <v>20607</v>
      </c>
      <c r="B11959" t="s">
        <v>10244</v>
      </c>
      <c r="C11959" s="1" t="str">
        <f>HYPERLINK("http://www.genecards.org/cgi-bin/carddisp.pl?gene=HPGD","GeneCards")</f>
        <v>GeneCards</v>
      </c>
      <c r="D11959" s="1" t="str">
        <f>HYPERLINK("http://genome-euro.ucsc.edu/cgi-bin/hgTracks?position=203913_s_at","UCSC")</f>
        <v>UCSC</v>
      </c>
      <c r="E11959" s="1" t="str">
        <f>HYPERLINK("http://www.ncbi.nlm.nih.gov/gene/?term=HPGD","NCBI")</f>
        <v>NCBI</v>
      </c>
      <c r="F11959">
        <v>0.33</v>
      </c>
      <c r="G11959">
        <v>0.47</v>
      </c>
      <c r="H11959" s="1" t="str">
        <f>HYPERLINK("http://www.weizmann.ac.il/complex/compphys/software/geview/data/figures/203913_s_at.png","Figure")</f>
        <v>Figure</v>
      </c>
      <c r="I11959">
        <v>1</v>
      </c>
      <c r="J11959">
        <v>1</v>
      </c>
      <c r="K11959">
        <v>0.86799999999999999</v>
      </c>
      <c r="L11959">
        <v>0.4</v>
      </c>
      <c r="M11959">
        <v>0.86799999999999999</v>
      </c>
      <c r="N11959">
        <v>0.45</v>
      </c>
    </row>
    <row r="11960" spans="1:14" x14ac:dyDescent="0.25">
      <c r="A11960" t="s">
        <v>20608</v>
      </c>
      <c r="B11960" t="s">
        <v>20609</v>
      </c>
      <c r="C11960" s="1" t="str">
        <f>HYPERLINK("http://www.genecards.org/cgi-bin/carddisp.pl?gene=IQCB1","GeneCards")</f>
        <v>GeneCards</v>
      </c>
      <c r="D11960" s="1" t="str">
        <f>HYPERLINK("http://genome-euro.ucsc.edu/cgi-bin/hgTracks?position=211707_s_at","UCSC")</f>
        <v>UCSC</v>
      </c>
      <c r="E11960" s="1" t="str">
        <f>HYPERLINK("http://www.ncbi.nlm.nih.gov/gene/?term=IQCB1","NCBI")</f>
        <v>NCBI</v>
      </c>
      <c r="F11960">
        <v>0.33</v>
      </c>
      <c r="G11960">
        <v>0.47</v>
      </c>
      <c r="H11960" s="1" t="str">
        <f>HYPERLINK("http://www.weizmann.ac.il/complex/compphys/software/geview/data/figures/211707_s_at.png","Figure")</f>
        <v>Figure</v>
      </c>
      <c r="I11960">
        <v>1.22</v>
      </c>
      <c r="J11960">
        <v>0.42</v>
      </c>
      <c r="K11960">
        <v>0.99399999999999999</v>
      </c>
      <c r="L11960">
        <v>1</v>
      </c>
      <c r="M11960">
        <v>0.81499999999999995</v>
      </c>
      <c r="N11960">
        <v>0.35</v>
      </c>
    </row>
    <row r="11961" spans="1:14" x14ac:dyDescent="0.25">
      <c r="A11961" t="s">
        <v>20610</v>
      </c>
      <c r="B11961" t="s">
        <v>17697</v>
      </c>
      <c r="C11961" s="1" t="str">
        <f>HYPERLINK("http://www.genecards.org/cgi-bin/carddisp.pl?gene=LRRFIP1","GeneCards")</f>
        <v>GeneCards</v>
      </c>
      <c r="D11961" s="1" t="str">
        <f>HYPERLINK("http://genome-euro.ucsc.edu/cgi-bin/hgTracks?position=215375_x_at","UCSC")</f>
        <v>UCSC</v>
      </c>
      <c r="E11961" s="1" t="str">
        <f>HYPERLINK("http://www.ncbi.nlm.nih.gov/gene/?term=LRRFIP1","NCBI")</f>
        <v>NCBI</v>
      </c>
      <c r="F11961">
        <v>0.33</v>
      </c>
      <c r="G11961">
        <v>0.47</v>
      </c>
      <c r="H11961" s="1" t="str">
        <f>HYPERLINK("http://www.weizmann.ac.il/complex/compphys/software/geview/data/figures/215375_x_at.png","Figure")</f>
        <v>Figure</v>
      </c>
      <c r="I11961">
        <v>0.81799999999999995</v>
      </c>
      <c r="J11961">
        <v>0.88</v>
      </c>
      <c r="K11961">
        <v>0.57499999999999996</v>
      </c>
      <c r="L11961">
        <v>0.32</v>
      </c>
      <c r="M11961">
        <v>0.70299999999999996</v>
      </c>
      <c r="N11961">
        <v>0.65</v>
      </c>
    </row>
    <row r="11962" spans="1:14" x14ac:dyDescent="0.25">
      <c r="A11962" t="s">
        <v>20611</v>
      </c>
      <c r="B11962" t="s">
        <v>12429</v>
      </c>
      <c r="C11962" s="1" t="str">
        <f>HYPERLINK("http://www.genecards.org/cgi-bin/carddisp.pl?gene=API5","GeneCards")</f>
        <v>GeneCards</v>
      </c>
      <c r="D11962" s="1" t="str">
        <f>HYPERLINK("http://genome-euro.ucsc.edu/cgi-bin/hgTracks?position=201686_x_at","UCSC")</f>
        <v>UCSC</v>
      </c>
      <c r="E11962" s="1" t="str">
        <f>HYPERLINK("http://www.ncbi.nlm.nih.gov/gene/?term=API5","NCBI")</f>
        <v>NCBI</v>
      </c>
      <c r="F11962">
        <v>0.33</v>
      </c>
      <c r="G11962">
        <v>0.47</v>
      </c>
      <c r="H11962" s="1" t="str">
        <f>HYPERLINK("http://www.weizmann.ac.il/complex/compphys/software/geview/data/figures/201686_x_at.png","Figure")</f>
        <v>Figure</v>
      </c>
      <c r="I11962">
        <v>1.21</v>
      </c>
      <c r="J11962">
        <v>0.31</v>
      </c>
      <c r="K11962">
        <v>1.07</v>
      </c>
      <c r="L11962">
        <v>0.8</v>
      </c>
      <c r="M11962">
        <v>0.88400000000000001</v>
      </c>
      <c r="N11962">
        <v>0.56000000000000005</v>
      </c>
    </row>
    <row r="11963" spans="1:14" x14ac:dyDescent="0.25">
      <c r="A11963" t="s">
        <v>20612</v>
      </c>
      <c r="B11963" t="s">
        <v>20613</v>
      </c>
      <c r="C11963" s="1" t="str">
        <f>HYPERLINK("http://www.genecards.org/cgi-bin/carddisp.pl?gene=HYDIN","GeneCards")</f>
        <v>GeneCards</v>
      </c>
      <c r="D11963" s="1" t="str">
        <f>HYPERLINK("http://genome-euro.ucsc.edu/cgi-bin/hgTracks?position=220098_at","UCSC")</f>
        <v>UCSC</v>
      </c>
      <c r="E11963" s="1" t="str">
        <f>HYPERLINK("http://www.ncbi.nlm.nih.gov/gene/?term=HYDIN","NCBI")</f>
        <v>NCBI</v>
      </c>
      <c r="F11963">
        <v>0.33</v>
      </c>
      <c r="G11963">
        <v>0.47</v>
      </c>
      <c r="H11963" s="1" t="str">
        <f>HYPERLINK("http://www.weizmann.ac.il/complex/compphys/software/geview/data/figures/220098_at.png","Figure")</f>
        <v>Figure</v>
      </c>
      <c r="I11963">
        <v>1.07</v>
      </c>
      <c r="J11963">
        <v>0.36</v>
      </c>
      <c r="K11963">
        <v>1.01</v>
      </c>
      <c r="L11963">
        <v>0.98</v>
      </c>
      <c r="M11963">
        <v>0.94399999999999995</v>
      </c>
      <c r="N11963">
        <v>0.4</v>
      </c>
    </row>
    <row r="11964" spans="1:14" x14ac:dyDescent="0.25">
      <c r="A11964" t="s">
        <v>20614</v>
      </c>
      <c r="B11964" t="s">
        <v>20615</v>
      </c>
      <c r="C11964" s="1" t="str">
        <f>HYPERLINK("http://www.genecards.org/cgi-bin/carddisp.pl?gene=RGPD5 /// RGPD6 /// RGPD8","GeneCards")</f>
        <v>GeneCards</v>
      </c>
      <c r="D11964" s="1" t="str">
        <f>HYPERLINK("http://genome-euro.ucsc.edu/cgi-bin/hgTracks?position=210676_x_at","UCSC")</f>
        <v>UCSC</v>
      </c>
      <c r="E11964" s="1" t="str">
        <f>HYPERLINK("http://www.ncbi.nlm.nih.gov/gene/?term=RGPD5 /// RGPD6 /// RGPD8","NCBI")</f>
        <v>NCBI</v>
      </c>
      <c r="F11964">
        <v>0.33</v>
      </c>
      <c r="G11964">
        <v>0.47</v>
      </c>
      <c r="H11964" s="1" t="str">
        <f>HYPERLINK("http://www.weizmann.ac.il/complex/compphys/software/geview/data/figures/210676_x_at.png","Figure")</f>
        <v>Figure</v>
      </c>
      <c r="I11964">
        <v>0.74199999999999999</v>
      </c>
      <c r="J11964">
        <v>0.31</v>
      </c>
      <c r="K11964">
        <v>0.84499999999999997</v>
      </c>
      <c r="L11964">
        <v>0.6</v>
      </c>
      <c r="M11964">
        <v>1.1399999999999999</v>
      </c>
      <c r="N11964">
        <v>0.76</v>
      </c>
    </row>
    <row r="11965" spans="1:14" x14ac:dyDescent="0.25">
      <c r="A11965" t="s">
        <v>20616</v>
      </c>
      <c r="B11965" t="s">
        <v>20617</v>
      </c>
      <c r="C11965" s="1" t="str">
        <f>HYPERLINK("http://www.genecards.org/cgi-bin/carddisp.pl?gene=SRI","GeneCards")</f>
        <v>GeneCards</v>
      </c>
      <c r="D11965" s="1" t="str">
        <f>HYPERLINK("http://genome-euro.ucsc.edu/cgi-bin/hgTracks?position=208921_s_at","UCSC")</f>
        <v>UCSC</v>
      </c>
      <c r="E11965" s="1" t="str">
        <f>HYPERLINK("http://www.ncbi.nlm.nih.gov/gene/?term=SRI","NCBI")</f>
        <v>NCBI</v>
      </c>
      <c r="F11965">
        <v>0.33</v>
      </c>
      <c r="G11965">
        <v>0.47</v>
      </c>
      <c r="H11965" s="1" t="str">
        <f>HYPERLINK("http://www.weizmann.ac.il/complex/compphys/software/geview/data/figures/208921_s_at.png","Figure")</f>
        <v>Figure</v>
      </c>
      <c r="I11965">
        <v>1.18</v>
      </c>
      <c r="J11965">
        <v>0.63</v>
      </c>
      <c r="K11965">
        <v>1.27</v>
      </c>
      <c r="L11965">
        <v>0.31</v>
      </c>
      <c r="M11965">
        <v>1.07</v>
      </c>
      <c r="N11965">
        <v>0.9</v>
      </c>
    </row>
    <row r="11966" spans="1:14" x14ac:dyDescent="0.25">
      <c r="A11966" t="s">
        <v>20618</v>
      </c>
      <c r="B11966" t="s">
        <v>5673</v>
      </c>
      <c r="C11966" s="1" t="str">
        <f>HYPERLINK("http://www.genecards.org/cgi-bin/carddisp.pl?gene=RUFY3","GeneCards")</f>
        <v>GeneCards</v>
      </c>
      <c r="D11966" s="1" t="str">
        <f>HYPERLINK("http://genome-euro.ucsc.edu/cgi-bin/hgTracks?position=210251_s_at","UCSC")</f>
        <v>UCSC</v>
      </c>
      <c r="E11966" s="1" t="str">
        <f>HYPERLINK("http://www.ncbi.nlm.nih.gov/gene/?term=RUFY3","NCBI")</f>
        <v>NCBI</v>
      </c>
      <c r="F11966">
        <v>0.33</v>
      </c>
      <c r="G11966">
        <v>0.47</v>
      </c>
      <c r="H11966" s="1" t="str">
        <f>HYPERLINK("http://www.weizmann.ac.il/complex/compphys/software/geview/data/figures/210251_s_at.png","Figure")</f>
        <v>Figure</v>
      </c>
      <c r="I11966">
        <v>1.0900000000000001</v>
      </c>
      <c r="J11966">
        <v>0.92</v>
      </c>
      <c r="K11966">
        <v>0.82</v>
      </c>
      <c r="L11966">
        <v>0.54</v>
      </c>
      <c r="M11966">
        <v>0.754</v>
      </c>
      <c r="N11966">
        <v>0.35</v>
      </c>
    </row>
    <row r="11967" spans="1:14" x14ac:dyDescent="0.25">
      <c r="A11967" t="s">
        <v>20619</v>
      </c>
      <c r="B11967" t="s">
        <v>20620</v>
      </c>
      <c r="C11967" s="1" t="str">
        <f>HYPERLINK("http://www.genecards.org/cgi-bin/carddisp.pl?gene=COQ6","GeneCards")</f>
        <v>GeneCards</v>
      </c>
      <c r="D11967" s="1" t="str">
        <f>HYPERLINK("http://genome-euro.ucsc.edu/cgi-bin/hgTracks?position=218760_at","UCSC")</f>
        <v>UCSC</v>
      </c>
      <c r="E11967" s="1" t="str">
        <f>HYPERLINK("http://www.ncbi.nlm.nih.gov/gene/?term=COQ6","NCBI")</f>
        <v>NCBI</v>
      </c>
      <c r="F11967">
        <v>0.33</v>
      </c>
      <c r="G11967">
        <v>0.47</v>
      </c>
      <c r="H11967" s="1" t="str">
        <f>HYPERLINK("http://www.weizmann.ac.il/complex/compphys/software/geview/data/figures/218760_at.png","Figure")</f>
        <v>Figure</v>
      </c>
      <c r="I11967">
        <v>0.89800000000000002</v>
      </c>
      <c r="J11967">
        <v>0.45</v>
      </c>
      <c r="K11967">
        <v>1.01</v>
      </c>
      <c r="L11967">
        <v>0.99</v>
      </c>
      <c r="M11967">
        <v>1.1299999999999999</v>
      </c>
      <c r="N11967">
        <v>0.33</v>
      </c>
    </row>
    <row r="11968" spans="1:14" x14ac:dyDescent="0.25">
      <c r="A11968" t="s">
        <v>20621</v>
      </c>
      <c r="B11968" t="s">
        <v>20622</v>
      </c>
      <c r="C11968" s="1" t="str">
        <f>HYPERLINK("http://www.genecards.org/cgi-bin/carddisp.pl?gene=C19orf66","GeneCards")</f>
        <v>GeneCards</v>
      </c>
      <c r="D11968" s="1" t="str">
        <f>HYPERLINK("http://genome-euro.ucsc.edu/cgi-bin/hgTracks?position=53720_at","UCSC")</f>
        <v>UCSC</v>
      </c>
      <c r="E11968" s="1" t="str">
        <f>HYPERLINK("http://www.ncbi.nlm.nih.gov/gene/?term=C19orf66","NCBI")</f>
        <v>NCBI</v>
      </c>
      <c r="F11968">
        <v>0.33</v>
      </c>
      <c r="G11968">
        <v>0.47</v>
      </c>
      <c r="H11968" s="1" t="str">
        <f>HYPERLINK("http://www.weizmann.ac.il/complex/compphys/software/geview/data/figures/53720_at.png","Figure")</f>
        <v>Figure</v>
      </c>
      <c r="I11968">
        <v>0.97499999999999998</v>
      </c>
      <c r="J11968">
        <v>0.97</v>
      </c>
      <c r="K11968">
        <v>0.872</v>
      </c>
      <c r="L11968">
        <v>0.35</v>
      </c>
      <c r="M11968">
        <v>0.89400000000000002</v>
      </c>
      <c r="N11968">
        <v>0.54</v>
      </c>
    </row>
    <row r="11969" spans="1:14" x14ac:dyDescent="0.25">
      <c r="A11969" t="s">
        <v>20623</v>
      </c>
      <c r="B11969" t="s">
        <v>6976</v>
      </c>
      <c r="C11969" s="1" t="str">
        <f>HYPERLINK("http://www.genecards.org/cgi-bin/carddisp.pl?gene=PLCB2","GeneCards")</f>
        <v>GeneCards</v>
      </c>
      <c r="D11969" s="1" t="str">
        <f>HYPERLINK("http://genome-euro.ucsc.edu/cgi-bin/hgTracks?position=210388_at","UCSC")</f>
        <v>UCSC</v>
      </c>
      <c r="E11969" s="1" t="str">
        <f>HYPERLINK("http://www.ncbi.nlm.nih.gov/gene/?term=PLCB2","NCBI")</f>
        <v>NCBI</v>
      </c>
      <c r="F11969">
        <v>0.33</v>
      </c>
      <c r="G11969">
        <v>0.47</v>
      </c>
      <c r="H11969" s="1" t="str">
        <f>HYPERLINK("http://www.weizmann.ac.il/complex/compphys/software/geview/data/figures/210388_at.png","Figure")</f>
        <v>Figure</v>
      </c>
      <c r="I11969">
        <v>1.06</v>
      </c>
      <c r="J11969">
        <v>0.32</v>
      </c>
      <c r="K11969">
        <v>1.03</v>
      </c>
      <c r="L11969">
        <v>0.56000000000000005</v>
      </c>
      <c r="M11969">
        <v>0.97899999999999998</v>
      </c>
      <c r="N11969">
        <v>0.81</v>
      </c>
    </row>
    <row r="11970" spans="1:14" x14ac:dyDescent="0.25">
      <c r="A11970" t="s">
        <v>20624</v>
      </c>
      <c r="B11970" t="s">
        <v>16462</v>
      </c>
      <c r="C11970" s="1" t="str">
        <f>HYPERLINK("http://www.genecards.org/cgi-bin/carddisp.pl?gene=RAB26","GeneCards")</f>
        <v>GeneCards</v>
      </c>
      <c r="D11970" s="1" t="str">
        <f>HYPERLINK("http://genome-euro.ucsc.edu/cgi-bin/hgTracks?position=219562_at","UCSC")</f>
        <v>UCSC</v>
      </c>
      <c r="E11970" s="1" t="str">
        <f>HYPERLINK("http://www.ncbi.nlm.nih.gov/gene/?term=RAB26","NCBI")</f>
        <v>NCBI</v>
      </c>
      <c r="F11970">
        <v>0.33</v>
      </c>
      <c r="G11970">
        <v>0.47</v>
      </c>
      <c r="H11970" s="1" t="str">
        <f>HYPERLINK("http://www.weizmann.ac.il/complex/compphys/software/geview/data/figures/219562_at.png","Figure")</f>
        <v>Figure</v>
      </c>
      <c r="I11970">
        <v>1.1100000000000001</v>
      </c>
      <c r="J11970">
        <v>0.35</v>
      </c>
      <c r="K11970">
        <v>1.08</v>
      </c>
      <c r="L11970">
        <v>0.47</v>
      </c>
      <c r="M11970">
        <v>0.97299999999999998</v>
      </c>
      <c r="N11970">
        <v>0.91</v>
      </c>
    </row>
    <row r="11971" spans="1:14" x14ac:dyDescent="0.25">
      <c r="A11971" t="s">
        <v>20625</v>
      </c>
      <c r="B11971" t="s">
        <v>20626</v>
      </c>
      <c r="C11971" s="1" t="str">
        <f>HYPERLINK("http://www.genecards.org/cgi-bin/carddisp.pl?gene=PCCA","GeneCards")</f>
        <v>GeneCards</v>
      </c>
      <c r="D11971" s="1" t="str">
        <f>HYPERLINK("http://genome-euro.ucsc.edu/cgi-bin/hgTracks?position=203860_at","UCSC")</f>
        <v>UCSC</v>
      </c>
      <c r="E11971" s="1" t="str">
        <f>HYPERLINK("http://www.ncbi.nlm.nih.gov/gene/?term=PCCA","NCBI")</f>
        <v>NCBI</v>
      </c>
      <c r="F11971">
        <v>0.33</v>
      </c>
      <c r="G11971">
        <v>0.47</v>
      </c>
      <c r="H11971" s="1" t="str">
        <f>HYPERLINK("http://www.weizmann.ac.il/complex/compphys/software/geview/data/figures/203860_at.png","Figure")</f>
        <v>Figure</v>
      </c>
      <c r="I11971">
        <v>0.73499999999999999</v>
      </c>
      <c r="J11971">
        <v>0.33</v>
      </c>
      <c r="K11971">
        <v>0.92700000000000005</v>
      </c>
      <c r="L11971">
        <v>0.91</v>
      </c>
      <c r="M11971">
        <v>1.26</v>
      </c>
      <c r="N11971">
        <v>0.47</v>
      </c>
    </row>
    <row r="11972" spans="1:14" x14ac:dyDescent="0.25">
      <c r="A11972" t="s">
        <v>20627</v>
      </c>
      <c r="B11972" t="s">
        <v>20628</v>
      </c>
      <c r="C11972" s="1" t="str">
        <f>HYPERLINK("http://www.genecards.org/cgi-bin/carddisp.pl?gene=ELF5","GeneCards")</f>
        <v>GeneCards</v>
      </c>
      <c r="D11972" s="1" t="str">
        <f>HYPERLINK("http://genome-euro.ucsc.edu/cgi-bin/hgTracks?position=220624_s_at","UCSC")</f>
        <v>UCSC</v>
      </c>
      <c r="E11972" s="1" t="str">
        <f>HYPERLINK("http://www.ncbi.nlm.nih.gov/gene/?term=ELF5","NCBI")</f>
        <v>NCBI</v>
      </c>
      <c r="F11972">
        <v>0.33</v>
      </c>
      <c r="G11972">
        <v>0.47</v>
      </c>
      <c r="H11972" s="1" t="str">
        <f>HYPERLINK("http://www.weizmann.ac.il/complex/compphys/software/geview/data/figures/220624_s_at.png","Figure")</f>
        <v>Figure</v>
      </c>
      <c r="I11972">
        <v>0.92800000000000005</v>
      </c>
      <c r="J11972">
        <v>0.49</v>
      </c>
      <c r="K11972">
        <v>0.92200000000000004</v>
      </c>
      <c r="L11972">
        <v>0.34</v>
      </c>
      <c r="M11972">
        <v>0.99399999999999999</v>
      </c>
      <c r="N11972">
        <v>0.99</v>
      </c>
    </row>
    <row r="11973" spans="1:14" x14ac:dyDescent="0.25">
      <c r="A11973" t="s">
        <v>20629</v>
      </c>
      <c r="B11973" t="s">
        <v>10384</v>
      </c>
      <c r="C11973" s="1" t="str">
        <f>HYPERLINK("http://www.genecards.org/cgi-bin/carddisp.pl?gene=SFRS2","GeneCards")</f>
        <v>GeneCards</v>
      </c>
      <c r="D11973" s="1" t="str">
        <f>HYPERLINK("http://genome-euro.ucsc.edu/cgi-bin/hgTracks?position=200753_x_at","UCSC")</f>
        <v>UCSC</v>
      </c>
      <c r="E11973" s="1" t="str">
        <f>HYPERLINK("http://www.ncbi.nlm.nih.gov/gene/?term=SFRS2","NCBI")</f>
        <v>NCBI</v>
      </c>
      <c r="F11973">
        <v>0.33</v>
      </c>
      <c r="G11973">
        <v>0.47</v>
      </c>
      <c r="H11973" s="1" t="str">
        <f>HYPERLINK("http://www.weizmann.ac.il/complex/compphys/software/geview/data/figures/200753_x_at.png","Figure")</f>
        <v>Figure</v>
      </c>
      <c r="I11973">
        <v>1.02</v>
      </c>
      <c r="J11973">
        <v>0.99</v>
      </c>
      <c r="K11973">
        <v>1.17</v>
      </c>
      <c r="L11973">
        <v>0.37</v>
      </c>
      <c r="M11973">
        <v>1.1499999999999999</v>
      </c>
      <c r="N11973">
        <v>0.5</v>
      </c>
    </row>
    <row r="11974" spans="1:14" x14ac:dyDescent="0.25">
      <c r="A11974" t="s">
        <v>20630</v>
      </c>
      <c r="B11974" t="s">
        <v>14573</v>
      </c>
      <c r="C11974" s="1" t="str">
        <f>HYPERLINK("http://www.genecards.org/cgi-bin/carddisp.pl?gene=UPF3A","GeneCards")</f>
        <v>GeneCards</v>
      </c>
      <c r="D11974" s="1" t="str">
        <f>HYPERLINK("http://genome-euro.ucsc.edu/cgi-bin/hgTracks?position=206959_s_at","UCSC")</f>
        <v>UCSC</v>
      </c>
      <c r="E11974" s="1" t="str">
        <f>HYPERLINK("http://www.ncbi.nlm.nih.gov/gene/?term=UPF3A","NCBI")</f>
        <v>NCBI</v>
      </c>
      <c r="F11974">
        <v>0.33</v>
      </c>
      <c r="G11974">
        <v>0.47</v>
      </c>
      <c r="H11974" s="1" t="str">
        <f>HYPERLINK("http://www.weizmann.ac.il/complex/compphys/software/geview/data/figures/206959_s_at.png","Figure")</f>
        <v>Figure</v>
      </c>
      <c r="I11974">
        <v>1.1000000000000001</v>
      </c>
      <c r="J11974">
        <v>0.46</v>
      </c>
      <c r="K11974">
        <v>1.1000000000000001</v>
      </c>
      <c r="L11974">
        <v>0.35</v>
      </c>
      <c r="M11974">
        <v>1</v>
      </c>
      <c r="N11974">
        <v>1</v>
      </c>
    </row>
    <row r="11975" spans="1:14" x14ac:dyDescent="0.25">
      <c r="A11975" t="s">
        <v>20631</v>
      </c>
      <c r="B11975" t="s">
        <v>20632</v>
      </c>
      <c r="C11975" s="1" t="str">
        <f>HYPERLINK("http://www.genecards.org/cgi-bin/carddisp.pl?gene=GLI2","GeneCards")</f>
        <v>GeneCards</v>
      </c>
      <c r="D11975" s="1" t="str">
        <f>HYPERLINK("http://genome-euro.ucsc.edu/cgi-bin/hgTracks?position=208057_s_at","UCSC")</f>
        <v>UCSC</v>
      </c>
      <c r="E11975" s="1" t="str">
        <f>HYPERLINK("http://www.ncbi.nlm.nih.gov/gene/?term=GLI2","NCBI")</f>
        <v>NCBI</v>
      </c>
      <c r="F11975">
        <v>0.33</v>
      </c>
      <c r="G11975">
        <v>0.47</v>
      </c>
      <c r="H11975" s="1" t="str">
        <f>HYPERLINK("http://www.weizmann.ac.il/complex/compphys/software/geview/data/figures/208057_s_at.png","Figure")</f>
        <v>Figure</v>
      </c>
      <c r="I11975">
        <v>1.05</v>
      </c>
      <c r="J11975">
        <v>0.32</v>
      </c>
      <c r="K11975">
        <v>1.03</v>
      </c>
      <c r="L11975">
        <v>0.56999999999999995</v>
      </c>
      <c r="M11975">
        <v>0.97899999999999998</v>
      </c>
      <c r="N11975">
        <v>0.79</v>
      </c>
    </row>
    <row r="11976" spans="1:14" x14ac:dyDescent="0.25">
      <c r="A11976" t="s">
        <v>20633</v>
      </c>
      <c r="B11976" t="s">
        <v>20634</v>
      </c>
      <c r="C11976" s="1" t="str">
        <f>HYPERLINK("http://www.genecards.org/cgi-bin/carddisp.pl?gene=NRTN","GeneCards")</f>
        <v>GeneCards</v>
      </c>
      <c r="D11976" s="1" t="str">
        <f>HYPERLINK("http://genome-euro.ucsc.edu/cgi-bin/hgTracks?position=210683_at","UCSC")</f>
        <v>UCSC</v>
      </c>
      <c r="E11976" s="1" t="str">
        <f>HYPERLINK("http://www.ncbi.nlm.nih.gov/gene/?term=NRTN","NCBI")</f>
        <v>NCBI</v>
      </c>
      <c r="F11976">
        <v>0.33</v>
      </c>
      <c r="G11976">
        <v>0.47</v>
      </c>
      <c r="H11976" s="1" t="str">
        <f>HYPERLINK("http://www.weizmann.ac.il/complex/compphys/software/geview/data/figures/210683_at.png","Figure")</f>
        <v>Figure</v>
      </c>
      <c r="I11976">
        <v>1</v>
      </c>
      <c r="J11976">
        <v>1</v>
      </c>
      <c r="K11976">
        <v>0.873</v>
      </c>
      <c r="L11976">
        <v>0.4</v>
      </c>
      <c r="M11976">
        <v>0.873</v>
      </c>
      <c r="N11976">
        <v>0.45</v>
      </c>
    </row>
    <row r="11977" spans="1:14" x14ac:dyDescent="0.25">
      <c r="A11977" t="s">
        <v>20635</v>
      </c>
      <c r="B11977" t="s">
        <v>19822</v>
      </c>
      <c r="C11977" s="1" t="str">
        <f>HYPERLINK("http://www.genecards.org/cgi-bin/carddisp.pl?gene=PTPN1","GeneCards")</f>
        <v>GeneCards</v>
      </c>
      <c r="D11977" s="1" t="str">
        <f>HYPERLINK("http://genome-euro.ucsc.edu/cgi-bin/hgTracks?position=217686_at","UCSC")</f>
        <v>UCSC</v>
      </c>
      <c r="E11977" s="1" t="str">
        <f>HYPERLINK("http://www.ncbi.nlm.nih.gov/gene/?term=PTPN1","NCBI")</f>
        <v>NCBI</v>
      </c>
      <c r="F11977">
        <v>0.33</v>
      </c>
      <c r="G11977">
        <v>0.47</v>
      </c>
      <c r="H11977" s="1" t="str">
        <f>HYPERLINK("http://www.weizmann.ac.il/complex/compphys/software/geview/data/figures/217686_at.png","Figure")</f>
        <v>Figure</v>
      </c>
      <c r="I11977">
        <v>1.0900000000000001</v>
      </c>
      <c r="J11977">
        <v>0.3</v>
      </c>
      <c r="K11977">
        <v>1.04</v>
      </c>
      <c r="L11977">
        <v>0.71</v>
      </c>
      <c r="M11977">
        <v>0.95199999999999996</v>
      </c>
      <c r="N11977">
        <v>0.64</v>
      </c>
    </row>
    <row r="11978" spans="1:14" x14ac:dyDescent="0.25">
      <c r="A11978" t="s">
        <v>20636</v>
      </c>
      <c r="B11978" t="s">
        <v>20637</v>
      </c>
      <c r="C11978" s="1" t="str">
        <f>HYPERLINK("http://www.genecards.org/cgi-bin/carddisp.pl?gene=C6orf47","GeneCards")</f>
        <v>GeneCards</v>
      </c>
      <c r="D11978" s="1" t="str">
        <f>HYPERLINK("http://genome-euro.ucsc.edu/cgi-bin/hgTracks?position=204968_at","UCSC")</f>
        <v>UCSC</v>
      </c>
      <c r="E11978" s="1" t="str">
        <f>HYPERLINK("http://www.ncbi.nlm.nih.gov/gene/?term=C6orf47","NCBI")</f>
        <v>NCBI</v>
      </c>
      <c r="F11978">
        <v>0.33</v>
      </c>
      <c r="G11978">
        <v>0.48</v>
      </c>
      <c r="H11978" s="1" t="str">
        <f>HYPERLINK("http://www.weizmann.ac.il/complex/compphys/software/geview/data/figures/204968_at.png","Figure")</f>
        <v>Figure</v>
      </c>
      <c r="I11978">
        <v>1.08</v>
      </c>
      <c r="J11978">
        <v>0.55000000000000004</v>
      </c>
      <c r="K11978">
        <v>1.1000000000000001</v>
      </c>
      <c r="L11978">
        <v>0.32</v>
      </c>
      <c r="M11978">
        <v>1.02</v>
      </c>
      <c r="N11978">
        <v>0.96</v>
      </c>
    </row>
    <row r="11979" spans="1:14" x14ac:dyDescent="0.25">
      <c r="A11979" t="s">
        <v>20638</v>
      </c>
      <c r="B11979" t="s">
        <v>20639</v>
      </c>
      <c r="C11979" s="1" t="str">
        <f>HYPERLINK("http://www.genecards.org/cgi-bin/carddisp.pl?gene=SOLH","GeneCards")</f>
        <v>GeneCards</v>
      </c>
      <c r="D11979" s="1" t="str">
        <f>HYPERLINK("http://genome-euro.ucsc.edu/cgi-bin/hgTracks?position=204275_at","UCSC")</f>
        <v>UCSC</v>
      </c>
      <c r="E11979" s="1" t="str">
        <f>HYPERLINK("http://www.ncbi.nlm.nih.gov/gene/?term=SOLH","NCBI")</f>
        <v>NCBI</v>
      </c>
      <c r="F11979">
        <v>0.33</v>
      </c>
      <c r="G11979">
        <v>0.48</v>
      </c>
      <c r="H11979" s="1" t="str">
        <f>HYPERLINK("http://www.weizmann.ac.il/complex/compphys/software/geview/data/figures/204275_at.png","Figure")</f>
        <v>Figure</v>
      </c>
      <c r="I11979">
        <v>0.97899999999999998</v>
      </c>
      <c r="J11979">
        <v>1</v>
      </c>
      <c r="K11979">
        <v>1.28</v>
      </c>
      <c r="L11979">
        <v>0.43</v>
      </c>
      <c r="M11979">
        <v>1.31</v>
      </c>
      <c r="N11979">
        <v>0.42</v>
      </c>
    </row>
    <row r="11980" spans="1:14" x14ac:dyDescent="0.25">
      <c r="A11980" t="s">
        <v>20640</v>
      </c>
      <c r="B11980" t="s">
        <v>20641</v>
      </c>
      <c r="C11980" s="1" t="str">
        <f>HYPERLINK("http://www.genecards.org/cgi-bin/carddisp.pl?gene=NCF4","GeneCards")</f>
        <v>GeneCards</v>
      </c>
      <c r="D11980" s="1" t="str">
        <f>HYPERLINK("http://genome-euro.ucsc.edu/cgi-bin/hgTracks?position=205147_x_at","UCSC")</f>
        <v>UCSC</v>
      </c>
      <c r="E11980" s="1" t="str">
        <f>HYPERLINK("http://www.ncbi.nlm.nih.gov/gene/?term=NCF4","NCBI")</f>
        <v>NCBI</v>
      </c>
      <c r="F11980">
        <v>0.33</v>
      </c>
      <c r="G11980">
        <v>0.48</v>
      </c>
      <c r="H11980" s="1" t="str">
        <f>HYPERLINK("http://www.weizmann.ac.il/complex/compphys/software/geview/data/figures/205147_x_at.png","Figure")</f>
        <v>Figure</v>
      </c>
      <c r="I11980">
        <v>1.06</v>
      </c>
      <c r="J11980">
        <v>0.95</v>
      </c>
      <c r="K11980">
        <v>1.28</v>
      </c>
      <c r="L11980">
        <v>0.34</v>
      </c>
      <c r="M11980">
        <v>1.2</v>
      </c>
      <c r="N11980">
        <v>0.56999999999999995</v>
      </c>
    </row>
    <row r="11981" spans="1:14" x14ac:dyDescent="0.25">
      <c r="A11981" t="s">
        <v>20642</v>
      </c>
      <c r="B11981" t="s">
        <v>20643</v>
      </c>
      <c r="C11981" s="1" t="str">
        <f>HYPERLINK("http://www.genecards.org/cgi-bin/carddisp.pl?gene=DRD5","GeneCards")</f>
        <v>GeneCards</v>
      </c>
      <c r="D11981" s="1" t="str">
        <f>HYPERLINK("http://genome-euro.ucsc.edu/cgi-bin/hgTracks?position=208486_at","UCSC")</f>
        <v>UCSC</v>
      </c>
      <c r="E11981" s="1" t="str">
        <f>HYPERLINK("http://www.ncbi.nlm.nih.gov/gene/?term=DRD5","NCBI")</f>
        <v>NCBI</v>
      </c>
      <c r="F11981">
        <v>0.33</v>
      </c>
      <c r="G11981">
        <v>0.48</v>
      </c>
      <c r="H11981" s="1" t="str">
        <f>HYPERLINK("http://www.weizmann.ac.il/complex/compphys/software/geview/data/figures/208486_at.png","Figure")</f>
        <v>Figure</v>
      </c>
      <c r="I11981">
        <v>1.1599999999999999</v>
      </c>
      <c r="J11981">
        <v>0.34</v>
      </c>
      <c r="K11981">
        <v>1.03</v>
      </c>
      <c r="L11981">
        <v>0.95</v>
      </c>
      <c r="M11981">
        <v>0.88200000000000001</v>
      </c>
      <c r="N11981">
        <v>0.43</v>
      </c>
    </row>
    <row r="11982" spans="1:14" x14ac:dyDescent="0.25">
      <c r="A11982" t="s">
        <v>20644</v>
      </c>
      <c r="B11982" t="s">
        <v>6482</v>
      </c>
      <c r="C11982" s="1" t="str">
        <f>HYPERLINK("http://www.genecards.org/cgi-bin/carddisp.pl?gene=NUP188","GeneCards")</f>
        <v>GeneCards</v>
      </c>
      <c r="D11982" s="1" t="str">
        <f>HYPERLINK("http://genome-euro.ucsc.edu/cgi-bin/hgTracks?position=214675_at","UCSC")</f>
        <v>UCSC</v>
      </c>
      <c r="E11982" s="1" t="str">
        <f>HYPERLINK("http://www.ncbi.nlm.nih.gov/gene/?term=NUP188","NCBI")</f>
        <v>NCBI</v>
      </c>
      <c r="F11982">
        <v>0.33</v>
      </c>
      <c r="G11982">
        <v>0.48</v>
      </c>
      <c r="H11982" s="1" t="str">
        <f>HYPERLINK("http://www.weizmann.ac.il/complex/compphys/software/geview/data/figures/214675_at.png","Figure")</f>
        <v>Figure</v>
      </c>
      <c r="I11982">
        <v>0.995</v>
      </c>
      <c r="J11982">
        <v>0.99</v>
      </c>
      <c r="K11982">
        <v>0.94199999999999995</v>
      </c>
      <c r="L11982">
        <v>0.38</v>
      </c>
      <c r="M11982">
        <v>0.94699999999999995</v>
      </c>
      <c r="N11982">
        <v>0.48</v>
      </c>
    </row>
    <row r="11983" spans="1:14" x14ac:dyDescent="0.25">
      <c r="A11983" t="s">
        <v>20645</v>
      </c>
      <c r="B11983" t="s">
        <v>20646</v>
      </c>
      <c r="C11983" s="1" t="str">
        <f>HYPERLINK("http://www.genecards.org/cgi-bin/carddisp.pl?gene=OR11A1","GeneCards")</f>
        <v>GeneCards</v>
      </c>
      <c r="D11983" s="1" t="str">
        <f>HYPERLINK("http://genome-euro.ucsc.edu/cgi-bin/hgTracks?position=221343_at","UCSC")</f>
        <v>UCSC</v>
      </c>
      <c r="E11983" s="1" t="str">
        <f>HYPERLINK("http://www.ncbi.nlm.nih.gov/gene/?term=OR11A1","NCBI")</f>
        <v>NCBI</v>
      </c>
      <c r="F11983">
        <v>0.33</v>
      </c>
      <c r="G11983">
        <v>0.48</v>
      </c>
      <c r="H11983" s="1" t="str">
        <f>HYPERLINK("http://www.weizmann.ac.il/complex/compphys/software/geview/data/figures/221343_at.png","Figure")</f>
        <v>Figure</v>
      </c>
      <c r="I11983">
        <v>1.06</v>
      </c>
      <c r="J11983">
        <v>0.39</v>
      </c>
      <c r="K11983">
        <v>1</v>
      </c>
      <c r="L11983">
        <v>1</v>
      </c>
      <c r="M11983">
        <v>0.94299999999999995</v>
      </c>
      <c r="N11983">
        <v>0.37</v>
      </c>
    </row>
    <row r="11984" spans="1:14" x14ac:dyDescent="0.25">
      <c r="A11984" t="s">
        <v>20647</v>
      </c>
      <c r="B11984" t="s">
        <v>12782</v>
      </c>
      <c r="C11984" s="1" t="str">
        <f>HYPERLINK("http://www.genecards.org/cgi-bin/carddisp.pl?gene=ESR1","GeneCards")</f>
        <v>GeneCards</v>
      </c>
      <c r="D11984" s="1" t="str">
        <f>HYPERLINK("http://genome-euro.ucsc.edu/cgi-bin/hgTracks?position=211235_s_at","UCSC")</f>
        <v>UCSC</v>
      </c>
      <c r="E11984" s="1" t="str">
        <f>HYPERLINK("http://www.ncbi.nlm.nih.gov/gene/?term=ESR1","NCBI")</f>
        <v>NCBI</v>
      </c>
      <c r="F11984">
        <v>0.33</v>
      </c>
      <c r="G11984">
        <v>0.48</v>
      </c>
      <c r="H11984" s="1" t="str">
        <f>HYPERLINK("http://www.weizmann.ac.il/complex/compphys/software/geview/data/figures/211235_s_at.png","Figure")</f>
        <v>Figure</v>
      </c>
      <c r="I11984">
        <v>1.1399999999999999</v>
      </c>
      <c r="J11984">
        <v>0.41</v>
      </c>
      <c r="K11984">
        <v>1.1200000000000001</v>
      </c>
      <c r="L11984">
        <v>0.39</v>
      </c>
      <c r="M11984">
        <v>0.98599999999999999</v>
      </c>
      <c r="N11984">
        <v>0.99</v>
      </c>
    </row>
    <row r="11985" spans="1:14" x14ac:dyDescent="0.25">
      <c r="A11985" t="s">
        <v>20648</v>
      </c>
      <c r="B11985" t="s">
        <v>20649</v>
      </c>
      <c r="C11985" s="1" t="str">
        <f>HYPERLINK("http://www.genecards.org/cgi-bin/carddisp.pl?gene=SH2D3C","GeneCards")</f>
        <v>GeneCards</v>
      </c>
      <c r="D11985" s="1" t="str">
        <f>HYPERLINK("http://genome-euro.ucsc.edu/cgi-bin/hgTracks?position=215639_at","UCSC")</f>
        <v>UCSC</v>
      </c>
      <c r="E11985" s="1" t="str">
        <f>HYPERLINK("http://www.ncbi.nlm.nih.gov/gene/?term=SH2D3C","NCBI")</f>
        <v>NCBI</v>
      </c>
      <c r="F11985">
        <v>0.33</v>
      </c>
      <c r="G11985">
        <v>0.48</v>
      </c>
      <c r="H11985" s="1" t="str">
        <f>HYPERLINK("http://www.weizmann.ac.il/complex/compphys/software/geview/data/figures/215639_at.png","Figure")</f>
        <v>Figure</v>
      </c>
      <c r="I11985">
        <v>1.17</v>
      </c>
      <c r="J11985">
        <v>0.47</v>
      </c>
      <c r="K11985">
        <v>1.17</v>
      </c>
      <c r="L11985">
        <v>0.35</v>
      </c>
      <c r="M11985">
        <v>1.01</v>
      </c>
      <c r="N11985">
        <v>1</v>
      </c>
    </row>
    <row r="11986" spans="1:14" x14ac:dyDescent="0.25">
      <c r="A11986" t="s">
        <v>20650</v>
      </c>
      <c r="B11986" t="s">
        <v>20651</v>
      </c>
      <c r="C11986" s="1" t="str">
        <f>HYPERLINK("http://www.genecards.org/cgi-bin/carddisp.pl?gene=ZDHHC4","GeneCards")</f>
        <v>GeneCards</v>
      </c>
      <c r="D11986" s="1" t="str">
        <f>HYPERLINK("http://genome-euro.ucsc.edu/cgi-bin/hgTracks?position=220261_s_at","UCSC")</f>
        <v>UCSC</v>
      </c>
      <c r="E11986" s="1" t="str">
        <f>HYPERLINK("http://www.ncbi.nlm.nih.gov/gene/?term=ZDHHC4","NCBI")</f>
        <v>NCBI</v>
      </c>
      <c r="F11986">
        <v>0.34</v>
      </c>
      <c r="G11986">
        <v>0.48</v>
      </c>
      <c r="H11986" s="1" t="str">
        <f>HYPERLINK("http://www.weizmann.ac.il/complex/compphys/software/geview/data/figures/220261_s_at.png","Figure")</f>
        <v>Figure</v>
      </c>
      <c r="I11986">
        <v>0.877</v>
      </c>
      <c r="J11986">
        <v>0.4</v>
      </c>
      <c r="K11986">
        <v>0.89100000000000001</v>
      </c>
      <c r="L11986">
        <v>0.4</v>
      </c>
      <c r="M11986">
        <v>1.02</v>
      </c>
      <c r="N11986">
        <v>0.98</v>
      </c>
    </row>
    <row r="11987" spans="1:14" x14ac:dyDescent="0.25">
      <c r="A11987" t="s">
        <v>20652</v>
      </c>
      <c r="B11987" t="s">
        <v>20653</v>
      </c>
      <c r="C11987" s="1" t="str">
        <f>HYPERLINK("http://www.genecards.org/cgi-bin/carddisp.pl?gene=SCUBE3","GeneCards")</f>
        <v>GeneCards</v>
      </c>
      <c r="D11987" s="1" t="str">
        <f>HYPERLINK("http://genome-euro.ucsc.edu/cgi-bin/hgTracks?position=217600_at","UCSC")</f>
        <v>UCSC</v>
      </c>
      <c r="E11987" s="1" t="str">
        <f>HYPERLINK("http://www.ncbi.nlm.nih.gov/gene/?term=SCUBE3","NCBI")</f>
        <v>NCBI</v>
      </c>
      <c r="F11987">
        <v>0.34</v>
      </c>
      <c r="G11987">
        <v>0.48</v>
      </c>
      <c r="H11987" s="1" t="str">
        <f>HYPERLINK("http://www.weizmann.ac.il/complex/compphys/software/geview/data/figures/217600_at.png","Figure")</f>
        <v>Figure</v>
      </c>
      <c r="I11987">
        <v>1.1299999999999999</v>
      </c>
      <c r="J11987">
        <v>0.41</v>
      </c>
      <c r="K11987">
        <v>0.999</v>
      </c>
      <c r="L11987">
        <v>1</v>
      </c>
      <c r="M11987">
        <v>0.88800000000000001</v>
      </c>
      <c r="N11987">
        <v>0.36</v>
      </c>
    </row>
    <row r="11988" spans="1:14" x14ac:dyDescent="0.25">
      <c r="A11988" t="s">
        <v>20654</v>
      </c>
      <c r="B11988" t="s">
        <v>18913</v>
      </c>
      <c r="C11988" s="1" t="str">
        <f>HYPERLINK("http://www.genecards.org/cgi-bin/carddisp.pl?gene=CALR","GeneCards")</f>
        <v>GeneCards</v>
      </c>
      <c r="D11988" s="1" t="str">
        <f>HYPERLINK("http://genome-euro.ucsc.edu/cgi-bin/hgTracks?position=212953_x_at","UCSC")</f>
        <v>UCSC</v>
      </c>
      <c r="E11988" s="1" t="str">
        <f>HYPERLINK("http://www.ncbi.nlm.nih.gov/gene/?term=CALR","NCBI")</f>
        <v>NCBI</v>
      </c>
      <c r="F11988">
        <v>0.34</v>
      </c>
      <c r="G11988">
        <v>0.48</v>
      </c>
      <c r="H11988" s="1" t="str">
        <f>HYPERLINK("http://www.weizmann.ac.il/complex/compphys/software/geview/data/figures/212953_x_at.png","Figure")</f>
        <v>Figure</v>
      </c>
      <c r="I11988">
        <v>1.1100000000000001</v>
      </c>
      <c r="J11988">
        <v>0.91</v>
      </c>
      <c r="K11988">
        <v>1.41</v>
      </c>
      <c r="L11988">
        <v>0.33</v>
      </c>
      <c r="M11988">
        <v>1.27</v>
      </c>
      <c r="N11988">
        <v>0.62</v>
      </c>
    </row>
    <row r="11989" spans="1:14" x14ac:dyDescent="0.25">
      <c r="A11989" t="s">
        <v>20655</v>
      </c>
      <c r="B11989" t="s">
        <v>20656</v>
      </c>
      <c r="C11989" s="1" t="str">
        <f>HYPERLINK("http://www.genecards.org/cgi-bin/carddisp.pl?gene=FLII","GeneCards")</f>
        <v>GeneCards</v>
      </c>
      <c r="D11989" s="1" t="str">
        <f>HYPERLINK("http://genome-euro.ucsc.edu/cgi-bin/hgTracks?position=212025_s_at","UCSC")</f>
        <v>UCSC</v>
      </c>
      <c r="E11989" s="1" t="str">
        <f>HYPERLINK("http://www.ncbi.nlm.nih.gov/gene/?term=FLII","NCBI")</f>
        <v>NCBI</v>
      </c>
      <c r="F11989">
        <v>0.34</v>
      </c>
      <c r="G11989">
        <v>0.48</v>
      </c>
      <c r="H11989" s="1" t="str">
        <f>HYPERLINK("http://www.weizmann.ac.il/complex/compphys/software/geview/data/figures/212025_s_at.png","Figure")</f>
        <v>Figure</v>
      </c>
      <c r="I11989">
        <v>0.98699999999999999</v>
      </c>
      <c r="J11989">
        <v>1</v>
      </c>
      <c r="K11989">
        <v>1.28</v>
      </c>
      <c r="L11989">
        <v>0.42</v>
      </c>
      <c r="M11989">
        <v>1.3</v>
      </c>
      <c r="N11989">
        <v>0.43</v>
      </c>
    </row>
    <row r="11990" spans="1:14" x14ac:dyDescent="0.25">
      <c r="A11990" t="s">
        <v>20657</v>
      </c>
      <c r="B11990" t="s">
        <v>20658</v>
      </c>
      <c r="C11990" s="1" t="str">
        <f>HYPERLINK("http://www.genecards.org/cgi-bin/carddisp.pl?gene=ERAL1","GeneCards")</f>
        <v>GeneCards</v>
      </c>
      <c r="D11990" s="1" t="str">
        <f>HYPERLINK("http://genome-euro.ucsc.edu/cgi-bin/hgTracks?position=212087_s_at","UCSC")</f>
        <v>UCSC</v>
      </c>
      <c r="E11990" s="1" t="str">
        <f>HYPERLINK("http://www.ncbi.nlm.nih.gov/gene/?term=ERAL1","NCBI")</f>
        <v>NCBI</v>
      </c>
      <c r="F11990">
        <v>0.34</v>
      </c>
      <c r="G11990">
        <v>0.48</v>
      </c>
      <c r="H11990" s="1" t="str">
        <f>HYPERLINK("http://www.weizmann.ac.il/complex/compphys/software/geview/data/figures/212087_s_at.png","Figure")</f>
        <v>Figure</v>
      </c>
      <c r="I11990">
        <v>0.82699999999999996</v>
      </c>
      <c r="J11990">
        <v>0.34</v>
      </c>
      <c r="K11990">
        <v>0.96399999999999997</v>
      </c>
      <c r="L11990">
        <v>0.94</v>
      </c>
      <c r="M11990">
        <v>1.17</v>
      </c>
      <c r="N11990">
        <v>0.44</v>
      </c>
    </row>
    <row r="11991" spans="1:14" x14ac:dyDescent="0.25">
      <c r="A11991" t="s">
        <v>20659</v>
      </c>
      <c r="B11991" t="s">
        <v>20660</v>
      </c>
      <c r="C11991" s="1" t="str">
        <f>HYPERLINK("http://www.genecards.org/cgi-bin/carddisp.pl?gene=ZNF221","GeneCards")</f>
        <v>GeneCards</v>
      </c>
      <c r="D11991" s="1" t="str">
        <f>HYPERLINK("http://genome-euro.ucsc.edu/cgi-bin/hgTracks?position=220847_x_at","UCSC")</f>
        <v>UCSC</v>
      </c>
      <c r="E11991" s="1" t="str">
        <f>HYPERLINK("http://www.ncbi.nlm.nih.gov/gene/?term=ZNF221","NCBI")</f>
        <v>NCBI</v>
      </c>
      <c r="F11991">
        <v>0.34</v>
      </c>
      <c r="G11991">
        <v>0.48</v>
      </c>
      <c r="H11991" s="1" t="str">
        <f>HYPERLINK("http://www.weizmann.ac.il/complex/compphys/software/geview/data/figures/220847_x_at.png","Figure")</f>
        <v>Figure</v>
      </c>
      <c r="I11991">
        <v>1.07</v>
      </c>
      <c r="J11991">
        <v>0.33</v>
      </c>
      <c r="K11991">
        <v>1.02</v>
      </c>
      <c r="L11991">
        <v>0.92</v>
      </c>
      <c r="M11991">
        <v>0.95</v>
      </c>
      <c r="N11991">
        <v>0.46</v>
      </c>
    </row>
    <row r="11992" spans="1:14" x14ac:dyDescent="0.25">
      <c r="A11992" t="s">
        <v>20661</v>
      </c>
      <c r="B11992" t="s">
        <v>20662</v>
      </c>
      <c r="C11992" s="1" t="str">
        <f>HYPERLINK("http://www.genecards.org/cgi-bin/carddisp.pl?gene=GPR137B","GeneCards")</f>
        <v>GeneCards</v>
      </c>
      <c r="D11992" s="1" t="str">
        <f>HYPERLINK("http://genome-euro.ucsc.edu/cgi-bin/hgTracks?position=204137_at","UCSC")</f>
        <v>UCSC</v>
      </c>
      <c r="E11992" s="1" t="str">
        <f>HYPERLINK("http://www.ncbi.nlm.nih.gov/gene/?term=GPR137B","NCBI")</f>
        <v>NCBI</v>
      </c>
      <c r="F11992">
        <v>0.34</v>
      </c>
      <c r="G11992">
        <v>0.48</v>
      </c>
      <c r="H11992" s="1" t="str">
        <f>HYPERLINK("http://www.weizmann.ac.il/complex/compphys/software/geview/data/figures/204137_at.png","Figure")</f>
        <v>Figure</v>
      </c>
      <c r="I11992">
        <v>1</v>
      </c>
      <c r="J11992">
        <v>1</v>
      </c>
      <c r="K11992">
        <v>0.91400000000000003</v>
      </c>
      <c r="L11992">
        <v>0.41</v>
      </c>
      <c r="M11992">
        <v>0.91400000000000003</v>
      </c>
      <c r="N11992">
        <v>0.45</v>
      </c>
    </row>
    <row r="11993" spans="1:14" x14ac:dyDescent="0.25">
      <c r="A11993" t="s">
        <v>20663</v>
      </c>
      <c r="B11993" t="s">
        <v>20664</v>
      </c>
      <c r="C11993" s="1" t="str">
        <f>HYPERLINK("http://www.genecards.org/cgi-bin/carddisp.pl?gene=ACO2","GeneCards")</f>
        <v>GeneCards</v>
      </c>
      <c r="D11993" s="1" t="str">
        <f>HYPERLINK("http://genome-euro.ucsc.edu/cgi-bin/hgTracks?position=200793_s_at","UCSC")</f>
        <v>UCSC</v>
      </c>
      <c r="E11993" s="1" t="str">
        <f>HYPERLINK("http://www.ncbi.nlm.nih.gov/gene/?term=ACO2","NCBI")</f>
        <v>NCBI</v>
      </c>
      <c r="F11993">
        <v>0.34</v>
      </c>
      <c r="G11993">
        <v>0.48</v>
      </c>
      <c r="H11993" s="1" t="str">
        <f>HYPERLINK("http://www.weizmann.ac.il/complex/compphys/software/geview/data/figures/200793_s_at.png","Figure")</f>
        <v>Figure</v>
      </c>
      <c r="I11993">
        <v>1.19</v>
      </c>
      <c r="J11993">
        <v>0.36</v>
      </c>
      <c r="K11993">
        <v>1.1399999999999999</v>
      </c>
      <c r="L11993">
        <v>0.45</v>
      </c>
      <c r="M11993">
        <v>0.96</v>
      </c>
      <c r="N11993">
        <v>0.93</v>
      </c>
    </row>
    <row r="11994" spans="1:14" x14ac:dyDescent="0.25">
      <c r="A11994" t="s">
        <v>20665</v>
      </c>
      <c r="B11994" t="s">
        <v>1955</v>
      </c>
      <c r="C11994" s="1" t="str">
        <f>HYPERLINK("http://www.genecards.org/cgi-bin/carddisp.pl?gene=FBLN1","GeneCards")</f>
        <v>GeneCards</v>
      </c>
      <c r="D11994" s="1" t="str">
        <f>HYPERLINK("http://genome-euro.ucsc.edu/cgi-bin/hgTracks?position=207835_at","UCSC")</f>
        <v>UCSC</v>
      </c>
      <c r="E11994" s="1" t="str">
        <f>HYPERLINK("http://www.ncbi.nlm.nih.gov/gene/?term=FBLN1","NCBI")</f>
        <v>NCBI</v>
      </c>
      <c r="F11994">
        <v>0.34</v>
      </c>
      <c r="G11994">
        <v>0.48</v>
      </c>
      <c r="H11994" s="1" t="str">
        <f>HYPERLINK("http://www.weizmann.ac.il/complex/compphys/software/geview/data/figures/207835_at.png","Figure")</f>
        <v>Figure</v>
      </c>
      <c r="I11994">
        <v>1.07</v>
      </c>
      <c r="J11994">
        <v>0.71</v>
      </c>
      <c r="K11994">
        <v>1.1299999999999999</v>
      </c>
      <c r="L11994">
        <v>0.31</v>
      </c>
      <c r="M11994">
        <v>1.05</v>
      </c>
      <c r="N11994">
        <v>0.83</v>
      </c>
    </row>
    <row r="11995" spans="1:14" x14ac:dyDescent="0.25">
      <c r="A11995" t="s">
        <v>20666</v>
      </c>
      <c r="B11995" t="s">
        <v>5254</v>
      </c>
      <c r="C11995" s="1" t="str">
        <f>HYPERLINK("http://www.genecards.org/cgi-bin/carddisp.pl?gene=ADAM28","GeneCards")</f>
        <v>GeneCards</v>
      </c>
      <c r="D11995" s="1" t="str">
        <f>HYPERLINK("http://genome-euro.ucsc.edu/cgi-bin/hgTracks?position=208268_at","UCSC")</f>
        <v>UCSC</v>
      </c>
      <c r="E11995" s="1" t="str">
        <f>HYPERLINK("http://www.ncbi.nlm.nih.gov/gene/?term=ADAM28","NCBI")</f>
        <v>NCBI</v>
      </c>
      <c r="F11995">
        <v>0.34</v>
      </c>
      <c r="G11995">
        <v>0.48</v>
      </c>
      <c r="H11995" s="1" t="str">
        <f>HYPERLINK("http://www.weizmann.ac.il/complex/compphys/software/geview/data/figures/208268_at.png","Figure")</f>
        <v>Figure</v>
      </c>
      <c r="I11995">
        <v>1</v>
      </c>
      <c r="J11995">
        <v>1</v>
      </c>
      <c r="K11995">
        <v>0.65</v>
      </c>
      <c r="L11995">
        <v>0.41</v>
      </c>
      <c r="M11995">
        <v>0.65</v>
      </c>
      <c r="N11995">
        <v>0.45</v>
      </c>
    </row>
    <row r="11996" spans="1:14" x14ac:dyDescent="0.25">
      <c r="A11996" t="s">
        <v>20667</v>
      </c>
      <c r="B11996" t="s">
        <v>20668</v>
      </c>
      <c r="C11996" s="1" t="str">
        <f>HYPERLINK("http://www.genecards.org/cgi-bin/carddisp.pl?gene=HUS1","GeneCards")</f>
        <v>GeneCards</v>
      </c>
      <c r="D11996" s="1" t="str">
        <f>HYPERLINK("http://genome-euro.ucsc.edu/cgi-bin/hgTracks?position=204883_s_at","UCSC")</f>
        <v>UCSC</v>
      </c>
      <c r="E11996" s="1" t="str">
        <f>HYPERLINK("http://www.ncbi.nlm.nih.gov/gene/?term=HUS1","NCBI")</f>
        <v>NCBI</v>
      </c>
      <c r="F11996">
        <v>0.34</v>
      </c>
      <c r="G11996">
        <v>0.48</v>
      </c>
      <c r="H11996" s="1" t="str">
        <f>HYPERLINK("http://www.weizmann.ac.il/complex/compphys/software/geview/data/figures/204883_s_at.png","Figure")</f>
        <v>Figure</v>
      </c>
      <c r="I11996">
        <v>1.1499999999999999</v>
      </c>
      <c r="J11996">
        <v>0.47</v>
      </c>
      <c r="K11996">
        <v>0.98</v>
      </c>
      <c r="L11996">
        <v>0.98</v>
      </c>
      <c r="M11996">
        <v>0.85499999999999998</v>
      </c>
      <c r="N11996">
        <v>0.33</v>
      </c>
    </row>
    <row r="11997" spans="1:14" x14ac:dyDescent="0.25">
      <c r="A11997" t="s">
        <v>20669</v>
      </c>
      <c r="B11997" t="s">
        <v>20670</v>
      </c>
      <c r="C11997" s="1" t="str">
        <f>HYPERLINK("http://www.genecards.org/cgi-bin/carddisp.pl?gene=PKP3","GeneCards")</f>
        <v>GeneCards</v>
      </c>
      <c r="D11997" s="1" t="str">
        <f>HYPERLINK("http://genome-euro.ucsc.edu/cgi-bin/hgTracks?position=209873_s_at","UCSC")</f>
        <v>UCSC</v>
      </c>
      <c r="E11997" s="1" t="str">
        <f>HYPERLINK("http://www.ncbi.nlm.nih.gov/gene/?term=PKP3","NCBI")</f>
        <v>NCBI</v>
      </c>
      <c r="F11997">
        <v>0.34</v>
      </c>
      <c r="G11997">
        <v>0.48</v>
      </c>
      <c r="H11997" s="1" t="str">
        <f>HYPERLINK("http://www.weizmann.ac.il/complex/compphys/software/geview/data/figures/209873_s_at.png","Figure")</f>
        <v>Figure</v>
      </c>
      <c r="I11997">
        <v>1.1299999999999999</v>
      </c>
      <c r="J11997">
        <v>0.31</v>
      </c>
      <c r="K11997">
        <v>1.04</v>
      </c>
      <c r="L11997">
        <v>0.85</v>
      </c>
      <c r="M11997">
        <v>0.92200000000000004</v>
      </c>
      <c r="N11997">
        <v>0.53</v>
      </c>
    </row>
    <row r="11998" spans="1:14" x14ac:dyDescent="0.25">
      <c r="A11998" t="s">
        <v>20671</v>
      </c>
      <c r="B11998" t="s">
        <v>20672</v>
      </c>
      <c r="C11998" s="1" t="str">
        <f>HYPERLINK("http://www.genecards.org/cgi-bin/carddisp.pl?gene=ICAM4","GeneCards")</f>
        <v>GeneCards</v>
      </c>
      <c r="D11998" s="1" t="str">
        <f>HYPERLINK("http://genome-euro.ucsc.edu/cgi-bin/hgTracks?position=207194_s_at","UCSC")</f>
        <v>UCSC</v>
      </c>
      <c r="E11998" s="1" t="str">
        <f>HYPERLINK("http://www.ncbi.nlm.nih.gov/gene/?term=ICAM4","NCBI")</f>
        <v>NCBI</v>
      </c>
      <c r="F11998">
        <v>0.34</v>
      </c>
      <c r="G11998">
        <v>0.48</v>
      </c>
      <c r="H11998" s="1" t="str">
        <f>HYPERLINK("http://www.weizmann.ac.il/complex/compphys/software/geview/data/figures/207194_s_at.png","Figure")</f>
        <v>Figure</v>
      </c>
      <c r="I11998">
        <v>0.95099999999999996</v>
      </c>
      <c r="J11998">
        <v>0.43</v>
      </c>
      <c r="K11998">
        <v>1</v>
      </c>
      <c r="L11998">
        <v>1</v>
      </c>
      <c r="M11998">
        <v>1.05</v>
      </c>
      <c r="N11998">
        <v>0.35</v>
      </c>
    </row>
    <row r="11999" spans="1:14" x14ac:dyDescent="0.25">
      <c r="A11999" t="s">
        <v>20673</v>
      </c>
      <c r="B11999" t="s">
        <v>20674</v>
      </c>
      <c r="C11999" s="1" t="str">
        <f>HYPERLINK("http://www.genecards.org/cgi-bin/carddisp.pl?gene=UQCC","GeneCards")</f>
        <v>GeneCards</v>
      </c>
      <c r="D11999" s="1" t="str">
        <f>HYPERLINK("http://genome-euro.ucsc.edu/cgi-bin/hgTracks?position=217935_s_at","UCSC")</f>
        <v>UCSC</v>
      </c>
      <c r="E11999" s="1" t="str">
        <f>HYPERLINK("http://www.ncbi.nlm.nih.gov/gene/?term=UQCC","NCBI")</f>
        <v>NCBI</v>
      </c>
      <c r="F11999">
        <v>0.34</v>
      </c>
      <c r="G11999">
        <v>0.48</v>
      </c>
      <c r="H11999" s="1" t="str">
        <f>HYPERLINK("http://www.weizmann.ac.il/complex/compphys/software/geview/data/figures/217935_s_at.png","Figure")</f>
        <v>Figure</v>
      </c>
      <c r="I11999">
        <v>0.82299999999999995</v>
      </c>
      <c r="J11999">
        <v>0.32</v>
      </c>
      <c r="K11999">
        <v>0.94799999999999995</v>
      </c>
      <c r="L11999">
        <v>0.89</v>
      </c>
      <c r="M11999">
        <v>1.1499999999999999</v>
      </c>
      <c r="N11999">
        <v>0.49</v>
      </c>
    </row>
    <row r="12000" spans="1:14" x14ac:dyDescent="0.25">
      <c r="A12000" t="s">
        <v>20675</v>
      </c>
      <c r="B12000" t="s">
        <v>20676</v>
      </c>
      <c r="C12000" s="1" t="str">
        <f>HYPERLINK("http://www.genecards.org/cgi-bin/carddisp.pl?gene=HSPB11","GeneCards")</f>
        <v>GeneCards</v>
      </c>
      <c r="D12000" s="1" t="str">
        <f>HYPERLINK("http://genome-euro.ucsc.edu/cgi-bin/hgTracks?position=214163_at","UCSC")</f>
        <v>UCSC</v>
      </c>
      <c r="E12000" s="1" t="str">
        <f>HYPERLINK("http://www.ncbi.nlm.nih.gov/gene/?term=HSPB11","NCBI")</f>
        <v>NCBI</v>
      </c>
      <c r="F12000">
        <v>0.34</v>
      </c>
      <c r="G12000">
        <v>0.48</v>
      </c>
      <c r="H12000" s="1" t="str">
        <f>HYPERLINK("http://www.weizmann.ac.il/complex/compphys/software/geview/data/figures/214163_at.png","Figure")</f>
        <v>Figure</v>
      </c>
      <c r="I12000">
        <v>0.96799999999999997</v>
      </c>
      <c r="J12000">
        <v>0.97</v>
      </c>
      <c r="K12000">
        <v>0.84</v>
      </c>
      <c r="L12000">
        <v>0.36</v>
      </c>
      <c r="M12000">
        <v>0.86799999999999999</v>
      </c>
      <c r="N12000">
        <v>0.54</v>
      </c>
    </row>
    <row r="12001" spans="1:14" x14ac:dyDescent="0.25">
      <c r="A12001" t="s">
        <v>20677</v>
      </c>
      <c r="B12001" t="s">
        <v>2322</v>
      </c>
      <c r="C12001" s="1" t="str">
        <f>HYPERLINK("http://www.genecards.org/cgi-bin/carddisp.pl?gene=PAM","GeneCards")</f>
        <v>GeneCards</v>
      </c>
      <c r="D12001" s="1" t="str">
        <f>HYPERLINK("http://genome-euro.ucsc.edu/cgi-bin/hgTracks?position=214620_x_at","UCSC")</f>
        <v>UCSC</v>
      </c>
      <c r="E12001" s="1" t="str">
        <f>HYPERLINK("http://www.ncbi.nlm.nih.gov/gene/?term=PAM","NCBI")</f>
        <v>NCBI</v>
      </c>
      <c r="F12001">
        <v>0.34</v>
      </c>
      <c r="G12001">
        <v>0.48</v>
      </c>
      <c r="H12001" s="1" t="str">
        <f>HYPERLINK("http://www.weizmann.ac.il/complex/compphys/software/geview/data/figures/214620_x_at.png","Figure")</f>
        <v>Figure</v>
      </c>
      <c r="I12001">
        <v>1</v>
      </c>
      <c r="J12001">
        <v>1</v>
      </c>
      <c r="K12001">
        <v>0.93200000000000005</v>
      </c>
      <c r="L12001">
        <v>0.41</v>
      </c>
      <c r="M12001">
        <v>0.93200000000000005</v>
      </c>
      <c r="N12001">
        <v>0.45</v>
      </c>
    </row>
    <row r="12002" spans="1:14" x14ac:dyDescent="0.25">
      <c r="A12002" t="s">
        <v>20678</v>
      </c>
      <c r="B12002" t="s">
        <v>20679</v>
      </c>
      <c r="C12002" s="1" t="str">
        <f>HYPERLINK("http://www.genecards.org/cgi-bin/carddisp.pl?gene=SMO","GeneCards")</f>
        <v>GeneCards</v>
      </c>
      <c r="D12002" s="1" t="str">
        <f>HYPERLINK("http://genome-euro.ucsc.edu/cgi-bin/hgTracks?position=218629_at","UCSC")</f>
        <v>UCSC</v>
      </c>
      <c r="E12002" s="1" t="str">
        <f>HYPERLINK("http://www.ncbi.nlm.nih.gov/gene/?term=SMO","NCBI")</f>
        <v>NCBI</v>
      </c>
      <c r="F12002">
        <v>0.34</v>
      </c>
      <c r="G12002">
        <v>0.48</v>
      </c>
      <c r="H12002" s="1" t="str">
        <f>HYPERLINK("http://www.weizmann.ac.il/complex/compphys/software/geview/data/figures/218629_at.png","Figure")</f>
        <v>Figure</v>
      </c>
      <c r="I12002">
        <v>1.1399999999999999</v>
      </c>
      <c r="J12002">
        <v>0.47</v>
      </c>
      <c r="K12002">
        <v>0.98099999999999998</v>
      </c>
      <c r="L12002">
        <v>0.98</v>
      </c>
      <c r="M12002">
        <v>0.86199999999999999</v>
      </c>
      <c r="N12002">
        <v>0.33</v>
      </c>
    </row>
    <row r="12003" spans="1:14" x14ac:dyDescent="0.25">
      <c r="A12003" t="s">
        <v>20680</v>
      </c>
      <c r="B12003" t="s">
        <v>17554</v>
      </c>
      <c r="C12003" s="1" t="str">
        <f>HYPERLINK("http://www.genecards.org/cgi-bin/carddisp.pl?gene=MAP4K1","GeneCards")</f>
        <v>GeneCards</v>
      </c>
      <c r="D12003" s="1" t="str">
        <f>HYPERLINK("http://genome-euro.ucsc.edu/cgi-bin/hgTracks?position=214219_x_at","UCSC")</f>
        <v>UCSC</v>
      </c>
      <c r="E12003" s="1" t="str">
        <f>HYPERLINK("http://www.ncbi.nlm.nih.gov/gene/?term=MAP4K1","NCBI")</f>
        <v>NCBI</v>
      </c>
      <c r="F12003">
        <v>0.34</v>
      </c>
      <c r="G12003">
        <v>0.48</v>
      </c>
      <c r="H12003" s="1" t="str">
        <f>HYPERLINK("http://www.weizmann.ac.il/complex/compphys/software/geview/data/figures/214219_x_at.png","Figure")</f>
        <v>Figure</v>
      </c>
      <c r="I12003">
        <v>1.05</v>
      </c>
      <c r="J12003">
        <v>0.97</v>
      </c>
      <c r="K12003">
        <v>1.3</v>
      </c>
      <c r="L12003">
        <v>0.36</v>
      </c>
      <c r="M12003">
        <v>1.24</v>
      </c>
      <c r="N12003">
        <v>0.54</v>
      </c>
    </row>
    <row r="12004" spans="1:14" x14ac:dyDescent="0.25">
      <c r="A12004" t="s">
        <v>20681</v>
      </c>
      <c r="B12004" t="s">
        <v>20682</v>
      </c>
      <c r="C12004" s="1" t="str">
        <f>HYPERLINK("http://www.genecards.org/cgi-bin/carddisp.pl?gene=PLEKHA4","GeneCards")</f>
        <v>GeneCards</v>
      </c>
      <c r="D12004" s="1" t="str">
        <f>HYPERLINK("http://genome-euro.ucsc.edu/cgi-bin/hgTracks?position=219011_at","UCSC")</f>
        <v>UCSC</v>
      </c>
      <c r="E12004" s="1" t="str">
        <f>HYPERLINK("http://www.ncbi.nlm.nih.gov/gene/?term=PLEKHA4","NCBI")</f>
        <v>NCBI</v>
      </c>
      <c r="F12004">
        <v>0.34</v>
      </c>
      <c r="G12004">
        <v>0.48</v>
      </c>
      <c r="H12004" s="1" t="str">
        <f>HYPERLINK("http://www.weizmann.ac.il/complex/compphys/software/geview/data/figures/219011_at.png","Figure")</f>
        <v>Figure</v>
      </c>
      <c r="I12004">
        <v>1.1399999999999999</v>
      </c>
      <c r="J12004">
        <v>0.31</v>
      </c>
      <c r="K12004">
        <v>1.05</v>
      </c>
      <c r="L12004">
        <v>0.77</v>
      </c>
      <c r="M12004">
        <v>0.92500000000000004</v>
      </c>
      <c r="N12004">
        <v>0.6</v>
      </c>
    </row>
    <row r="12005" spans="1:14" x14ac:dyDescent="0.25">
      <c r="A12005" t="s">
        <v>20683</v>
      </c>
      <c r="B12005" t="s">
        <v>20684</v>
      </c>
      <c r="C12005" s="1" t="str">
        <f>HYPERLINK("http://www.genecards.org/cgi-bin/carddisp.pl?gene=CDKAL1","GeneCards")</f>
        <v>GeneCards</v>
      </c>
      <c r="D12005" s="1" t="str">
        <f>HYPERLINK("http://genome-euro.ucsc.edu/cgi-bin/hgTracks?position=214877_at","UCSC")</f>
        <v>UCSC</v>
      </c>
      <c r="E12005" s="1" t="str">
        <f>HYPERLINK("http://www.ncbi.nlm.nih.gov/gene/?term=CDKAL1","NCBI")</f>
        <v>NCBI</v>
      </c>
      <c r="F12005">
        <v>0.34</v>
      </c>
      <c r="G12005">
        <v>0.48</v>
      </c>
      <c r="H12005" s="1" t="str">
        <f>HYPERLINK("http://www.weizmann.ac.il/complex/compphys/software/geview/data/figures/214877_at.png","Figure")</f>
        <v>Figure</v>
      </c>
      <c r="I12005">
        <v>0.98</v>
      </c>
      <c r="J12005">
        <v>0.95</v>
      </c>
      <c r="K12005">
        <v>1.07</v>
      </c>
      <c r="L12005">
        <v>0.5</v>
      </c>
      <c r="M12005">
        <v>1.0900000000000001</v>
      </c>
      <c r="N12005">
        <v>0.37</v>
      </c>
    </row>
    <row r="12006" spans="1:14" x14ac:dyDescent="0.25">
      <c r="A12006" t="s">
        <v>20685</v>
      </c>
      <c r="B12006" t="s">
        <v>20686</v>
      </c>
      <c r="C12006" s="1" t="str">
        <f>HYPERLINK("http://www.genecards.org/cgi-bin/carddisp.pl?gene=APBB1","GeneCards")</f>
        <v>GeneCards</v>
      </c>
      <c r="D12006" s="1" t="str">
        <f>HYPERLINK("http://genome-euro.ucsc.edu/cgi-bin/hgTracks?position=202652_at","UCSC")</f>
        <v>UCSC</v>
      </c>
      <c r="E12006" s="1" t="str">
        <f>HYPERLINK("http://www.ncbi.nlm.nih.gov/gene/?term=APBB1","NCBI")</f>
        <v>NCBI</v>
      </c>
      <c r="F12006">
        <v>0.34</v>
      </c>
      <c r="G12006">
        <v>0.48</v>
      </c>
      <c r="H12006" s="1" t="str">
        <f>HYPERLINK("http://www.weizmann.ac.il/complex/compphys/software/geview/data/figures/202652_at.png","Figure")</f>
        <v>Figure</v>
      </c>
      <c r="I12006">
        <v>1.18</v>
      </c>
      <c r="J12006">
        <v>0.36</v>
      </c>
      <c r="K12006">
        <v>1.1399999999999999</v>
      </c>
      <c r="L12006">
        <v>0.45</v>
      </c>
      <c r="M12006">
        <v>0.96</v>
      </c>
      <c r="N12006">
        <v>0.93</v>
      </c>
    </row>
    <row r="12007" spans="1:14" x14ac:dyDescent="0.25">
      <c r="A12007" t="s">
        <v>20687</v>
      </c>
      <c r="B12007" t="s">
        <v>5652</v>
      </c>
      <c r="C12007" s="1" t="str">
        <f>HYPERLINK("http://www.genecards.org/cgi-bin/carddisp.pl?gene=WASL","GeneCards")</f>
        <v>GeneCards</v>
      </c>
      <c r="D12007" s="1" t="str">
        <f>HYPERLINK("http://genome-euro.ucsc.edu/cgi-bin/hgTracks?position=205809_s_at","UCSC")</f>
        <v>UCSC</v>
      </c>
      <c r="E12007" s="1" t="str">
        <f>HYPERLINK("http://www.ncbi.nlm.nih.gov/gene/?term=WASL","NCBI")</f>
        <v>NCBI</v>
      </c>
      <c r="F12007">
        <v>0.34</v>
      </c>
      <c r="G12007">
        <v>0.48</v>
      </c>
      <c r="H12007" s="1" t="str">
        <f>HYPERLINK("http://www.weizmann.ac.il/complex/compphys/software/geview/data/figures/205809_s_at.png","Figure")</f>
        <v>Figure</v>
      </c>
      <c r="I12007">
        <v>0.97099999999999997</v>
      </c>
      <c r="J12007">
        <v>0.99</v>
      </c>
      <c r="K12007">
        <v>0.79200000000000004</v>
      </c>
      <c r="L12007">
        <v>0.37</v>
      </c>
      <c r="M12007">
        <v>0.81499999999999995</v>
      </c>
      <c r="N12007">
        <v>0.51</v>
      </c>
    </row>
    <row r="12008" spans="1:14" x14ac:dyDescent="0.25">
      <c r="A12008" t="s">
        <v>20688</v>
      </c>
      <c r="B12008" t="s">
        <v>13505</v>
      </c>
      <c r="C12008" s="1" t="str">
        <f>HYPERLINK("http://www.genecards.org/cgi-bin/carddisp.pl?gene=ZC3H7B","GeneCards")</f>
        <v>GeneCards</v>
      </c>
      <c r="D12008" s="1" t="str">
        <f>HYPERLINK("http://genome-euro.ucsc.edu/cgi-bin/hgTracks?position=206168_at","UCSC")</f>
        <v>UCSC</v>
      </c>
      <c r="E12008" s="1" t="str">
        <f>HYPERLINK("http://www.ncbi.nlm.nih.gov/gene/?term=ZC3H7B","NCBI")</f>
        <v>NCBI</v>
      </c>
      <c r="F12008">
        <v>0.34</v>
      </c>
      <c r="G12008">
        <v>0.48</v>
      </c>
      <c r="H12008" s="1" t="str">
        <f>HYPERLINK("http://www.weizmann.ac.il/complex/compphys/software/geview/data/figures/206168_at.png","Figure")</f>
        <v>Figure</v>
      </c>
      <c r="I12008">
        <v>1.08</v>
      </c>
      <c r="J12008">
        <v>0.31</v>
      </c>
      <c r="K12008">
        <v>1.04</v>
      </c>
      <c r="L12008">
        <v>0.67</v>
      </c>
      <c r="M12008">
        <v>0.96099999999999997</v>
      </c>
      <c r="N12008">
        <v>0.69</v>
      </c>
    </row>
    <row r="12009" spans="1:14" x14ac:dyDescent="0.25">
      <c r="A12009" t="s">
        <v>20689</v>
      </c>
      <c r="B12009" t="s">
        <v>20690</v>
      </c>
      <c r="C12009" s="1" t="str">
        <f>HYPERLINK("http://www.genecards.org/cgi-bin/carddisp.pl?gene=CEMP1","GeneCards")</f>
        <v>GeneCards</v>
      </c>
      <c r="D12009" s="1" t="str">
        <f>HYPERLINK("http://genome-euro.ucsc.edu/cgi-bin/hgTracks?position=222009_at","UCSC")</f>
        <v>UCSC</v>
      </c>
      <c r="E12009" s="1" t="str">
        <f>HYPERLINK("http://www.ncbi.nlm.nih.gov/gene/?term=CEMP1","NCBI")</f>
        <v>NCBI</v>
      </c>
      <c r="F12009">
        <v>0.34</v>
      </c>
      <c r="G12009">
        <v>0.48</v>
      </c>
      <c r="H12009" s="1" t="str">
        <f>HYPERLINK("http://www.weizmann.ac.il/complex/compphys/software/geview/data/figures/222009_at.png","Figure")</f>
        <v>Figure</v>
      </c>
      <c r="I12009">
        <v>1.1100000000000001</v>
      </c>
      <c r="J12009">
        <v>0.31</v>
      </c>
      <c r="K12009">
        <v>1.05</v>
      </c>
      <c r="L12009">
        <v>0.72</v>
      </c>
      <c r="M12009">
        <v>0.94499999999999995</v>
      </c>
      <c r="N12009">
        <v>0.64</v>
      </c>
    </row>
    <row r="12010" spans="1:14" x14ac:dyDescent="0.25">
      <c r="A12010" t="s">
        <v>20691</v>
      </c>
      <c r="B12010" t="s">
        <v>20692</v>
      </c>
      <c r="C12010" s="1" t="str">
        <f>HYPERLINK("http://www.genecards.org/cgi-bin/carddisp.pl?gene=TNFSF10","GeneCards")</f>
        <v>GeneCards</v>
      </c>
      <c r="D12010" s="1" t="str">
        <f>HYPERLINK("http://genome-euro.ucsc.edu/cgi-bin/hgTracks?position=202688_at","UCSC")</f>
        <v>UCSC</v>
      </c>
      <c r="E12010" s="1" t="str">
        <f>HYPERLINK("http://www.ncbi.nlm.nih.gov/gene/?term=TNFSF10","NCBI")</f>
        <v>NCBI</v>
      </c>
      <c r="F12010">
        <v>0.34</v>
      </c>
      <c r="G12010">
        <v>0.48</v>
      </c>
      <c r="H12010" s="1" t="str">
        <f>HYPERLINK("http://www.weizmann.ac.il/complex/compphys/software/geview/data/figures/202688_at.png","Figure")</f>
        <v>Figure</v>
      </c>
      <c r="I12010">
        <v>0.77900000000000003</v>
      </c>
      <c r="J12010">
        <v>0.47</v>
      </c>
      <c r="K12010">
        <v>0.77</v>
      </c>
      <c r="L12010">
        <v>0.35</v>
      </c>
      <c r="M12010">
        <v>0.98799999999999999</v>
      </c>
      <c r="N12010">
        <v>1</v>
      </c>
    </row>
    <row r="12011" spans="1:14" x14ac:dyDescent="0.25">
      <c r="A12011" t="s">
        <v>20693</v>
      </c>
      <c r="B12011" t="s">
        <v>4166</v>
      </c>
      <c r="C12011" s="1" t="str">
        <f>HYPERLINK("http://www.genecards.org/cgi-bin/carddisp.pl?gene=MIA3","GeneCards")</f>
        <v>GeneCards</v>
      </c>
      <c r="D12011" s="1" t="str">
        <f>HYPERLINK("http://genome-euro.ucsc.edu/cgi-bin/hgTracks?position=212310_at","UCSC")</f>
        <v>UCSC</v>
      </c>
      <c r="E12011" s="1" t="str">
        <f>HYPERLINK("http://www.ncbi.nlm.nih.gov/gene/?term=MIA3","NCBI")</f>
        <v>NCBI</v>
      </c>
      <c r="F12011">
        <v>0.34</v>
      </c>
      <c r="G12011">
        <v>0.48</v>
      </c>
      <c r="H12011" s="1" t="str">
        <f>HYPERLINK("http://www.weizmann.ac.il/complex/compphys/software/geview/data/figures/212310_at.png","Figure")</f>
        <v>Figure</v>
      </c>
      <c r="I12011">
        <v>0.85099999999999998</v>
      </c>
      <c r="J12011">
        <v>0.32</v>
      </c>
      <c r="K12011">
        <v>0.95599999999999996</v>
      </c>
      <c r="L12011">
        <v>0.88</v>
      </c>
      <c r="M12011">
        <v>1.1200000000000001</v>
      </c>
      <c r="N12011">
        <v>0.5</v>
      </c>
    </row>
    <row r="12012" spans="1:14" x14ac:dyDescent="0.25">
      <c r="A12012" t="s">
        <v>20694</v>
      </c>
      <c r="B12012" t="s">
        <v>2266</v>
      </c>
      <c r="C12012" s="1" t="str">
        <f>HYPERLINK("http://www.genecards.org/cgi-bin/carddisp.pl?gene=NCOA3","GeneCards")</f>
        <v>GeneCards</v>
      </c>
      <c r="D12012" s="1" t="str">
        <f>HYPERLINK("http://genome-euro.ucsc.edu/cgi-bin/hgTracks?position=211352_s_at","UCSC")</f>
        <v>UCSC</v>
      </c>
      <c r="E12012" s="1" t="str">
        <f>HYPERLINK("http://www.ncbi.nlm.nih.gov/gene/?term=NCOA3","NCBI")</f>
        <v>NCBI</v>
      </c>
      <c r="F12012">
        <v>0.34</v>
      </c>
      <c r="G12012">
        <v>0.48</v>
      </c>
      <c r="H12012" s="1" t="str">
        <f>HYPERLINK("http://www.weizmann.ac.il/complex/compphys/software/geview/data/figures/211352_s_at.png","Figure")</f>
        <v>Figure</v>
      </c>
      <c r="I12012">
        <v>0.86799999999999999</v>
      </c>
      <c r="J12012">
        <v>0.6</v>
      </c>
      <c r="K12012">
        <v>0.82499999999999996</v>
      </c>
      <c r="L12012">
        <v>0.31</v>
      </c>
      <c r="M12012">
        <v>0.95099999999999996</v>
      </c>
      <c r="N12012">
        <v>0.93</v>
      </c>
    </row>
    <row r="12013" spans="1:14" x14ac:dyDescent="0.25">
      <c r="A12013" t="s">
        <v>20695</v>
      </c>
      <c r="B12013" t="s">
        <v>18525</v>
      </c>
      <c r="C12013" s="1" t="str">
        <f>HYPERLINK("http://www.genecards.org/cgi-bin/carddisp.pl?gene=PRDM10","GeneCards")</f>
        <v>GeneCards</v>
      </c>
      <c r="D12013" s="1" t="str">
        <f>HYPERLINK("http://genome-euro.ucsc.edu/cgi-bin/hgTracks?position=214158_s_at","UCSC")</f>
        <v>UCSC</v>
      </c>
      <c r="E12013" s="1" t="str">
        <f>HYPERLINK("http://www.ncbi.nlm.nih.gov/gene/?term=PRDM10","NCBI")</f>
        <v>NCBI</v>
      </c>
      <c r="F12013">
        <v>0.34</v>
      </c>
      <c r="G12013">
        <v>0.48</v>
      </c>
      <c r="H12013" s="1" t="str">
        <f>HYPERLINK("http://www.weizmann.ac.il/complex/compphys/software/geview/data/figures/214158_s_at.png","Figure")</f>
        <v>Figure</v>
      </c>
      <c r="I12013">
        <v>1.02</v>
      </c>
      <c r="J12013">
        <v>0.55000000000000004</v>
      </c>
      <c r="K12013">
        <v>0.99299999999999999</v>
      </c>
      <c r="L12013">
        <v>0.91</v>
      </c>
      <c r="M12013">
        <v>0.97299999999999998</v>
      </c>
      <c r="N12013">
        <v>0.31</v>
      </c>
    </row>
    <row r="12014" spans="1:14" x14ac:dyDescent="0.25">
      <c r="A12014" t="s">
        <v>20696</v>
      </c>
      <c r="B12014" t="s">
        <v>20697</v>
      </c>
      <c r="C12014" s="1" t="str">
        <f>HYPERLINK("http://www.genecards.org/cgi-bin/carddisp.pl?gene=XAF1","GeneCards")</f>
        <v>GeneCards</v>
      </c>
      <c r="D12014" s="1" t="str">
        <f>HYPERLINK("http://genome-euro.ucsc.edu/cgi-bin/hgTracks?position=206133_at","UCSC")</f>
        <v>UCSC</v>
      </c>
      <c r="E12014" s="1" t="str">
        <f>HYPERLINK("http://www.ncbi.nlm.nih.gov/gene/?term=XAF1","NCBI")</f>
        <v>NCBI</v>
      </c>
      <c r="F12014">
        <v>0.34</v>
      </c>
      <c r="G12014">
        <v>0.48</v>
      </c>
      <c r="H12014" s="1" t="str">
        <f>HYPERLINK("http://www.weizmann.ac.il/complex/compphys/software/geview/data/figures/206133_at.png","Figure")</f>
        <v>Figure</v>
      </c>
      <c r="I12014">
        <v>0.69199999999999995</v>
      </c>
      <c r="J12014">
        <v>0.4</v>
      </c>
      <c r="K12014">
        <v>0.99399999999999999</v>
      </c>
      <c r="L12014">
        <v>1</v>
      </c>
      <c r="M12014">
        <v>1.44</v>
      </c>
      <c r="N12014">
        <v>0.37</v>
      </c>
    </row>
    <row r="12015" spans="1:14" x14ac:dyDescent="0.25">
      <c r="A12015" t="s">
        <v>20698</v>
      </c>
      <c r="B12015" t="s">
        <v>12551</v>
      </c>
      <c r="C12015" s="1" t="str">
        <f>HYPERLINK("http://www.genecards.org/cgi-bin/carddisp.pl?gene=GHRHR","GeneCards")</f>
        <v>GeneCards</v>
      </c>
      <c r="D12015" s="1" t="str">
        <f>HYPERLINK("http://genome-euro.ucsc.edu/cgi-bin/hgTracks?position=211544_s_at","UCSC")</f>
        <v>UCSC</v>
      </c>
      <c r="E12015" s="1" t="str">
        <f>HYPERLINK("http://www.ncbi.nlm.nih.gov/gene/?term=GHRHR","NCBI")</f>
        <v>NCBI</v>
      </c>
      <c r="F12015">
        <v>0.34</v>
      </c>
      <c r="G12015">
        <v>0.48</v>
      </c>
      <c r="H12015" s="1" t="str">
        <f>HYPERLINK("http://www.weizmann.ac.il/complex/compphys/software/geview/data/figures/211544_s_at.png","Figure")</f>
        <v>Figure</v>
      </c>
      <c r="I12015">
        <v>1.07</v>
      </c>
      <c r="J12015">
        <v>0.48</v>
      </c>
      <c r="K12015">
        <v>0.98799999999999999</v>
      </c>
      <c r="L12015">
        <v>0.97</v>
      </c>
      <c r="M12015">
        <v>0.92400000000000004</v>
      </c>
      <c r="N12015">
        <v>0.33</v>
      </c>
    </row>
    <row r="12016" spans="1:14" x14ac:dyDescent="0.25">
      <c r="A12016" t="s">
        <v>20699</v>
      </c>
      <c r="B12016" t="s">
        <v>20700</v>
      </c>
      <c r="C12016" s="1" t="str">
        <f>HYPERLINK("http://www.genecards.org/cgi-bin/carddisp.pl?gene=HOXA5","GeneCards")</f>
        <v>GeneCards</v>
      </c>
      <c r="D12016" s="1" t="str">
        <f>HYPERLINK("http://genome-euro.ucsc.edu/cgi-bin/hgTracks?position=213844_at","UCSC")</f>
        <v>UCSC</v>
      </c>
      <c r="E12016" s="1" t="str">
        <f>HYPERLINK("http://www.ncbi.nlm.nih.gov/gene/?term=HOXA5","NCBI")</f>
        <v>NCBI</v>
      </c>
      <c r="F12016">
        <v>0.34</v>
      </c>
      <c r="G12016">
        <v>0.48</v>
      </c>
      <c r="H12016" s="1" t="str">
        <f>HYPERLINK("http://www.weizmann.ac.il/complex/compphys/software/geview/data/figures/213844_at.png","Figure")</f>
        <v>Figure</v>
      </c>
      <c r="I12016">
        <v>1.03</v>
      </c>
      <c r="J12016">
        <v>0.95</v>
      </c>
      <c r="K12016">
        <v>0.91400000000000003</v>
      </c>
      <c r="L12016">
        <v>0.5</v>
      </c>
      <c r="M12016">
        <v>0.89</v>
      </c>
      <c r="N12016">
        <v>0.37</v>
      </c>
    </row>
    <row r="12017" spans="1:14" x14ac:dyDescent="0.25">
      <c r="A12017" t="s">
        <v>20701</v>
      </c>
      <c r="B12017" t="s">
        <v>20702</v>
      </c>
      <c r="C12017" s="1" t="str">
        <f>HYPERLINK("http://www.genecards.org/cgi-bin/carddisp.pl?gene=ARID3B","GeneCards")</f>
        <v>GeneCards</v>
      </c>
      <c r="D12017" s="1" t="str">
        <f>HYPERLINK("http://genome-euro.ucsc.edu/cgi-bin/hgTracks?position=218964_at","UCSC")</f>
        <v>UCSC</v>
      </c>
      <c r="E12017" s="1" t="str">
        <f>HYPERLINK("http://www.ncbi.nlm.nih.gov/gene/?term=ARID3B","NCBI")</f>
        <v>NCBI</v>
      </c>
      <c r="F12017">
        <v>0.34</v>
      </c>
      <c r="G12017">
        <v>0.48</v>
      </c>
      <c r="H12017" s="1" t="str">
        <f>HYPERLINK("http://www.weizmann.ac.il/complex/compphys/software/geview/data/figures/218964_at.png","Figure")</f>
        <v>Figure</v>
      </c>
      <c r="I12017">
        <v>1.08</v>
      </c>
      <c r="J12017">
        <v>0.73</v>
      </c>
      <c r="K12017">
        <v>0.93700000000000006</v>
      </c>
      <c r="L12017">
        <v>0.73</v>
      </c>
      <c r="M12017">
        <v>0.87</v>
      </c>
      <c r="N12017">
        <v>0.31</v>
      </c>
    </row>
    <row r="12018" spans="1:14" x14ac:dyDescent="0.25">
      <c r="A12018" t="s">
        <v>20703</v>
      </c>
      <c r="B12018" t="s">
        <v>20704</v>
      </c>
      <c r="C12018" s="1" t="str">
        <f>HYPERLINK("http://www.genecards.org/cgi-bin/carddisp.pl?gene=TRIM27","GeneCards")</f>
        <v>GeneCards</v>
      </c>
      <c r="D12018" s="1" t="str">
        <f>HYPERLINK("http://genome-euro.ucsc.edu/cgi-bin/hgTracks?position=210541_s_at","UCSC")</f>
        <v>UCSC</v>
      </c>
      <c r="E12018" s="1" t="str">
        <f>HYPERLINK("http://www.ncbi.nlm.nih.gov/gene/?term=TRIM27","NCBI")</f>
        <v>NCBI</v>
      </c>
      <c r="F12018">
        <v>0.34</v>
      </c>
      <c r="G12018">
        <v>0.48</v>
      </c>
      <c r="H12018" s="1" t="str">
        <f>HYPERLINK("http://www.weizmann.ac.il/complex/compphys/software/geview/data/figures/210541_s_at.png","Figure")</f>
        <v>Figure</v>
      </c>
      <c r="I12018">
        <v>0.88500000000000001</v>
      </c>
      <c r="J12018">
        <v>0.59</v>
      </c>
      <c r="K12018">
        <v>1.05</v>
      </c>
      <c r="L12018">
        <v>0.87</v>
      </c>
      <c r="M12018">
        <v>1.19</v>
      </c>
      <c r="N12018">
        <v>0.31</v>
      </c>
    </row>
    <row r="12019" spans="1:14" x14ac:dyDescent="0.25">
      <c r="A12019" t="s">
        <v>20705</v>
      </c>
      <c r="B12019" t="s">
        <v>20706</v>
      </c>
      <c r="C12019" s="1" t="str">
        <f>HYPERLINK("http://www.genecards.org/cgi-bin/carddisp.pl?gene=FAM21A /// FAM21B /// FAM21C /// FAM21D","GeneCards")</f>
        <v>GeneCards</v>
      </c>
      <c r="D12019" s="1" t="str">
        <f>HYPERLINK("http://genome-euro.ucsc.edu/cgi-bin/hgTracks?position=214946_x_at","UCSC")</f>
        <v>UCSC</v>
      </c>
      <c r="E12019" s="1" t="str">
        <f>HYPERLINK("http://www.ncbi.nlm.nih.gov/gene/?term=FAM21A /// FAM21B /// FAM21C /// FAM21D","NCBI")</f>
        <v>NCBI</v>
      </c>
      <c r="F12019">
        <v>0.34</v>
      </c>
      <c r="G12019">
        <v>0.48</v>
      </c>
      <c r="H12019" s="1" t="str">
        <f>HYPERLINK("http://www.weizmann.ac.il/complex/compphys/software/geview/data/figures/214946_x_at.png","Figure")</f>
        <v>Figure</v>
      </c>
      <c r="I12019">
        <v>1.05</v>
      </c>
      <c r="J12019">
        <v>0.89</v>
      </c>
      <c r="K12019">
        <v>1.1299999999999999</v>
      </c>
      <c r="L12019">
        <v>0.32</v>
      </c>
      <c r="M12019">
        <v>1.08</v>
      </c>
      <c r="N12019">
        <v>0.65</v>
      </c>
    </row>
    <row r="12020" spans="1:14" x14ac:dyDescent="0.25">
      <c r="A12020" t="s">
        <v>20707</v>
      </c>
      <c r="B12020" t="s">
        <v>20708</v>
      </c>
      <c r="C12020" s="1" t="str">
        <f>HYPERLINK("http://www.genecards.org/cgi-bin/carddisp.pl?gene=WDR33","GeneCards")</f>
        <v>GeneCards</v>
      </c>
      <c r="D12020" s="1" t="str">
        <f>HYPERLINK("http://genome-euro.ucsc.edu/cgi-bin/hgTracks?position=218851_s_at","UCSC")</f>
        <v>UCSC</v>
      </c>
      <c r="E12020" s="1" t="str">
        <f>HYPERLINK("http://www.ncbi.nlm.nih.gov/gene/?term=WDR33","NCBI")</f>
        <v>NCBI</v>
      </c>
      <c r="F12020">
        <v>0.34</v>
      </c>
      <c r="G12020">
        <v>0.48</v>
      </c>
      <c r="H12020" s="1" t="str">
        <f>HYPERLINK("http://www.weizmann.ac.il/complex/compphys/software/geview/data/figures/218851_s_at.png","Figure")</f>
        <v>Figure</v>
      </c>
      <c r="I12020">
        <v>1</v>
      </c>
      <c r="J12020">
        <v>1</v>
      </c>
      <c r="K12020">
        <v>0.874</v>
      </c>
      <c r="L12020">
        <v>0.41</v>
      </c>
      <c r="M12020">
        <v>0.874</v>
      </c>
      <c r="N12020">
        <v>0.45</v>
      </c>
    </row>
    <row r="12021" spans="1:14" x14ac:dyDescent="0.25">
      <c r="A12021" t="s">
        <v>20709</v>
      </c>
      <c r="B12021" t="s">
        <v>14382</v>
      </c>
      <c r="C12021" s="1" t="str">
        <f>HYPERLINK("http://www.genecards.org/cgi-bin/carddisp.pl?gene=CYP3A5","GeneCards")</f>
        <v>GeneCards</v>
      </c>
      <c r="D12021" s="1" t="str">
        <f>HYPERLINK("http://genome-euro.ucsc.edu/cgi-bin/hgTracks?position=214234_s_at","UCSC")</f>
        <v>UCSC</v>
      </c>
      <c r="E12021" s="1" t="str">
        <f>HYPERLINK("http://www.ncbi.nlm.nih.gov/gene/?term=CYP3A5","NCBI")</f>
        <v>NCBI</v>
      </c>
      <c r="F12021">
        <v>0.34</v>
      </c>
      <c r="G12021">
        <v>0.48</v>
      </c>
      <c r="H12021" s="1" t="str">
        <f>HYPERLINK("http://www.weizmann.ac.il/complex/compphys/software/geview/data/figures/214234_s_at.png","Figure")</f>
        <v>Figure</v>
      </c>
      <c r="I12021">
        <v>0.96399999999999997</v>
      </c>
      <c r="J12021">
        <v>0.32</v>
      </c>
      <c r="K12021">
        <v>0.98799999999999999</v>
      </c>
      <c r="L12021">
        <v>0.84</v>
      </c>
      <c r="M12021">
        <v>1.02</v>
      </c>
      <c r="N12021">
        <v>0.53</v>
      </c>
    </row>
    <row r="12022" spans="1:14" x14ac:dyDescent="0.25">
      <c r="A12022" t="s">
        <v>20710</v>
      </c>
      <c r="B12022" t="s">
        <v>20711</v>
      </c>
      <c r="C12022" s="1" t="str">
        <f>HYPERLINK("http://www.genecards.org/cgi-bin/carddisp.pl?gene=C20orf24","GeneCards")</f>
        <v>GeneCards</v>
      </c>
      <c r="D12022" s="1" t="str">
        <f>HYPERLINK("http://genome-euro.ucsc.edu/cgi-bin/hgTracks?position=217835_x_at","UCSC")</f>
        <v>UCSC</v>
      </c>
      <c r="E12022" s="1" t="str">
        <f>HYPERLINK("http://www.ncbi.nlm.nih.gov/gene/?term=C20orf24","NCBI")</f>
        <v>NCBI</v>
      </c>
      <c r="F12022">
        <v>0.34</v>
      </c>
      <c r="G12022">
        <v>0.48</v>
      </c>
      <c r="H12022" s="1" t="str">
        <f>HYPERLINK("http://www.weizmann.ac.il/complex/compphys/software/geview/data/figures/217835_x_at.png","Figure")</f>
        <v>Figure</v>
      </c>
      <c r="I12022">
        <v>0.8</v>
      </c>
      <c r="J12022">
        <v>0.53</v>
      </c>
      <c r="K12022">
        <v>0.77100000000000002</v>
      </c>
      <c r="L12022">
        <v>0.33</v>
      </c>
      <c r="M12022">
        <v>0.96299999999999997</v>
      </c>
      <c r="N12022">
        <v>0.98</v>
      </c>
    </row>
    <row r="12023" spans="1:14" x14ac:dyDescent="0.25">
      <c r="A12023" t="s">
        <v>20712</v>
      </c>
      <c r="B12023" t="s">
        <v>4074</v>
      </c>
      <c r="C12023" s="1" t="str">
        <f>HYPERLINK("http://www.genecards.org/cgi-bin/carddisp.pl?gene=MTMR3","GeneCards")</f>
        <v>GeneCards</v>
      </c>
      <c r="D12023" s="1" t="str">
        <f>HYPERLINK("http://genome-euro.ucsc.edu/cgi-bin/hgTracks?position=202198_s_at","UCSC")</f>
        <v>UCSC</v>
      </c>
      <c r="E12023" s="1" t="str">
        <f>HYPERLINK("http://www.ncbi.nlm.nih.gov/gene/?term=MTMR3","NCBI")</f>
        <v>NCBI</v>
      </c>
      <c r="F12023">
        <v>0.34</v>
      </c>
      <c r="G12023">
        <v>0.48</v>
      </c>
      <c r="H12023" s="1" t="str">
        <f>HYPERLINK("http://www.weizmann.ac.il/complex/compphys/software/geview/data/figures/202198_s_at.png","Figure")</f>
        <v>Figure</v>
      </c>
      <c r="I12023">
        <v>0.99299999999999999</v>
      </c>
      <c r="J12023">
        <v>0.99</v>
      </c>
      <c r="K12023">
        <v>1.06</v>
      </c>
      <c r="L12023">
        <v>0.45</v>
      </c>
      <c r="M12023">
        <v>1.07</v>
      </c>
      <c r="N12023">
        <v>0.41</v>
      </c>
    </row>
    <row r="12024" spans="1:14" x14ac:dyDescent="0.25">
      <c r="A12024" t="s">
        <v>20713</v>
      </c>
      <c r="B12024" t="s">
        <v>20714</v>
      </c>
      <c r="C12024" s="1" t="str">
        <f>HYPERLINK("http://www.genecards.org/cgi-bin/carddisp.pl?gene=RPS9","GeneCards")</f>
        <v>GeneCards</v>
      </c>
      <c r="D12024" s="1" t="str">
        <f>HYPERLINK("http://genome-euro.ucsc.edu/cgi-bin/hgTracks?position=214317_x_at","UCSC")</f>
        <v>UCSC</v>
      </c>
      <c r="E12024" s="1" t="str">
        <f>HYPERLINK("http://www.ncbi.nlm.nih.gov/gene/?term=RPS9","NCBI")</f>
        <v>NCBI</v>
      </c>
      <c r="F12024">
        <v>0.34</v>
      </c>
      <c r="G12024">
        <v>0.48</v>
      </c>
      <c r="H12024" s="1" t="str">
        <f>HYPERLINK("http://www.weizmann.ac.il/complex/compphys/software/geview/data/figures/214317_x_at.png","Figure")</f>
        <v>Figure</v>
      </c>
      <c r="I12024">
        <v>1.1499999999999999</v>
      </c>
      <c r="J12024">
        <v>0.33</v>
      </c>
      <c r="K12024">
        <v>1.04</v>
      </c>
      <c r="L12024">
        <v>0.91</v>
      </c>
      <c r="M12024">
        <v>0.89900000000000002</v>
      </c>
      <c r="N12024">
        <v>0.48</v>
      </c>
    </row>
    <row r="12025" spans="1:14" x14ac:dyDescent="0.25">
      <c r="A12025" t="s">
        <v>20715</v>
      </c>
      <c r="B12025" t="s">
        <v>20716</v>
      </c>
      <c r="C12025" s="1" t="str">
        <f>HYPERLINK("http://www.genecards.org/cgi-bin/carddisp.pl?gene=DBNDD1","GeneCards")</f>
        <v>GeneCards</v>
      </c>
      <c r="D12025" s="1" t="str">
        <f>HYPERLINK("http://genome-euro.ucsc.edu/cgi-bin/hgTracks?position=222234_s_at","UCSC")</f>
        <v>UCSC</v>
      </c>
      <c r="E12025" s="1" t="str">
        <f>HYPERLINK("http://www.ncbi.nlm.nih.gov/gene/?term=DBNDD1","NCBI")</f>
        <v>NCBI</v>
      </c>
      <c r="F12025">
        <v>0.34</v>
      </c>
      <c r="G12025">
        <v>0.48</v>
      </c>
      <c r="H12025" s="1" t="str">
        <f>HYPERLINK("http://www.weizmann.ac.il/complex/compphys/software/geview/data/figures/222234_s_at.png","Figure")</f>
        <v>Figure</v>
      </c>
      <c r="I12025">
        <v>1.08</v>
      </c>
      <c r="J12025">
        <v>0.46</v>
      </c>
      <c r="K12025">
        <v>1.08</v>
      </c>
      <c r="L12025">
        <v>0.36</v>
      </c>
      <c r="M12025">
        <v>1</v>
      </c>
      <c r="N12025">
        <v>1</v>
      </c>
    </row>
    <row r="12026" spans="1:14" x14ac:dyDescent="0.25">
      <c r="A12026" t="s">
        <v>20717</v>
      </c>
      <c r="B12026" t="s">
        <v>20718</v>
      </c>
      <c r="C12026" s="1" t="str">
        <f>HYPERLINK("http://www.genecards.org/cgi-bin/carddisp.pl?gene=ERC1","GeneCards")</f>
        <v>GeneCards</v>
      </c>
      <c r="D12026" s="1" t="str">
        <f>HYPERLINK("http://genome-euro.ucsc.edu/cgi-bin/hgTracks?position=215606_s_at","UCSC")</f>
        <v>UCSC</v>
      </c>
      <c r="E12026" s="1" t="str">
        <f>HYPERLINK("http://www.ncbi.nlm.nih.gov/gene/?term=ERC1","NCBI")</f>
        <v>NCBI</v>
      </c>
      <c r="F12026">
        <v>0.34</v>
      </c>
      <c r="G12026">
        <v>0.48</v>
      </c>
      <c r="H12026" s="1" t="str">
        <f>HYPERLINK("http://www.weizmann.ac.il/complex/compphys/software/geview/data/figures/215606_s_at.png","Figure")</f>
        <v>Figure</v>
      </c>
      <c r="I12026">
        <v>1.18</v>
      </c>
      <c r="J12026">
        <v>0.31</v>
      </c>
      <c r="K12026">
        <v>1.0900000000000001</v>
      </c>
      <c r="L12026">
        <v>0.65</v>
      </c>
      <c r="M12026">
        <v>0.92100000000000004</v>
      </c>
      <c r="N12026">
        <v>0.71</v>
      </c>
    </row>
    <row r="12027" spans="1:14" x14ac:dyDescent="0.25">
      <c r="A12027" t="s">
        <v>20719</v>
      </c>
      <c r="B12027" t="s">
        <v>18348</v>
      </c>
      <c r="C12027" s="1" t="str">
        <f>HYPERLINK("http://www.genecards.org/cgi-bin/carddisp.pl?gene=DDO","GeneCards")</f>
        <v>GeneCards</v>
      </c>
      <c r="D12027" s="1" t="str">
        <f>HYPERLINK("http://genome-euro.ucsc.edu/cgi-bin/hgTracks?position=207418_s_at","UCSC")</f>
        <v>UCSC</v>
      </c>
      <c r="E12027" s="1" t="str">
        <f>HYPERLINK("http://www.ncbi.nlm.nih.gov/gene/?term=DDO","NCBI")</f>
        <v>NCBI</v>
      </c>
      <c r="F12027">
        <v>0.34</v>
      </c>
      <c r="G12027">
        <v>0.48</v>
      </c>
      <c r="H12027" s="1" t="str">
        <f>HYPERLINK("http://www.weizmann.ac.il/complex/compphys/software/geview/data/figures/207418_s_at.png","Figure")</f>
        <v>Figure</v>
      </c>
      <c r="I12027">
        <v>1.0900000000000001</v>
      </c>
      <c r="J12027">
        <v>0.35</v>
      </c>
      <c r="K12027">
        <v>1.01</v>
      </c>
      <c r="L12027">
        <v>0.96</v>
      </c>
      <c r="M12027">
        <v>0.93100000000000005</v>
      </c>
      <c r="N12027">
        <v>0.43</v>
      </c>
    </row>
    <row r="12028" spans="1:14" x14ac:dyDescent="0.25">
      <c r="A12028" t="s">
        <v>20720</v>
      </c>
      <c r="B12028" t="s">
        <v>20721</v>
      </c>
      <c r="C12028" s="1" t="str">
        <f>HYPERLINK("http://www.genecards.org/cgi-bin/carddisp.pl?gene=C7orf10","GeneCards")</f>
        <v>GeneCards</v>
      </c>
      <c r="D12028" s="1" t="str">
        <f>HYPERLINK("http://genome-euro.ucsc.edu/cgi-bin/hgTracks?position=219655_at","UCSC")</f>
        <v>UCSC</v>
      </c>
      <c r="E12028" s="1" t="str">
        <f>HYPERLINK("http://www.ncbi.nlm.nih.gov/gene/?term=C7orf10","NCBI")</f>
        <v>NCBI</v>
      </c>
      <c r="F12028">
        <v>0.34</v>
      </c>
      <c r="G12028">
        <v>0.48</v>
      </c>
      <c r="H12028" s="1" t="str">
        <f>HYPERLINK("http://www.weizmann.ac.il/complex/compphys/software/geview/data/figures/219655_at.png","Figure")</f>
        <v>Figure</v>
      </c>
      <c r="I12028">
        <v>1.1100000000000001</v>
      </c>
      <c r="J12028">
        <v>0.32</v>
      </c>
      <c r="K12028">
        <v>1.03</v>
      </c>
      <c r="L12028">
        <v>0.86</v>
      </c>
      <c r="M12028">
        <v>0.93</v>
      </c>
      <c r="N12028">
        <v>0.51</v>
      </c>
    </row>
    <row r="12029" spans="1:14" x14ac:dyDescent="0.25">
      <c r="A12029" t="s">
        <v>20722</v>
      </c>
      <c r="B12029" t="s">
        <v>20723</v>
      </c>
      <c r="C12029" s="1" t="str">
        <f>HYPERLINK("http://www.genecards.org/cgi-bin/carddisp.pl?gene=ZNF137","GeneCards")</f>
        <v>GeneCards</v>
      </c>
      <c r="D12029" s="1" t="str">
        <f>HYPERLINK("http://genome-euro.ucsc.edu/cgi-bin/hgTracks?position=207394_at","UCSC")</f>
        <v>UCSC</v>
      </c>
      <c r="E12029" s="1" t="str">
        <f>HYPERLINK("http://www.ncbi.nlm.nih.gov/gene/?term=ZNF137","NCBI")</f>
        <v>NCBI</v>
      </c>
      <c r="F12029">
        <v>0.34</v>
      </c>
      <c r="G12029">
        <v>0.48</v>
      </c>
      <c r="H12029" s="1" t="str">
        <f>HYPERLINK("http://www.weizmann.ac.il/complex/compphys/software/geview/data/figures/207394_at.png","Figure")</f>
        <v>Figure</v>
      </c>
      <c r="I12029">
        <v>0.83699999999999997</v>
      </c>
      <c r="J12029">
        <v>0.43</v>
      </c>
      <c r="K12029">
        <v>1.01</v>
      </c>
      <c r="L12029">
        <v>1</v>
      </c>
      <c r="M12029">
        <v>1.2</v>
      </c>
      <c r="N12029">
        <v>0.35</v>
      </c>
    </row>
    <row r="12030" spans="1:14" x14ac:dyDescent="0.25">
      <c r="A12030" t="s">
        <v>20724</v>
      </c>
      <c r="B12030" t="s">
        <v>20725</v>
      </c>
      <c r="C12030" s="1" t="str">
        <f>HYPERLINK("http://www.genecards.org/cgi-bin/carddisp.pl?gene=SLC30A9","GeneCards")</f>
        <v>GeneCards</v>
      </c>
      <c r="D12030" s="1" t="str">
        <f>HYPERLINK("http://genome-euro.ucsc.edu/cgi-bin/hgTracks?position=202614_at","UCSC")</f>
        <v>UCSC</v>
      </c>
      <c r="E12030" s="1" t="str">
        <f>HYPERLINK("http://www.ncbi.nlm.nih.gov/gene/?term=SLC30A9","NCBI")</f>
        <v>NCBI</v>
      </c>
      <c r="F12030">
        <v>0.34</v>
      </c>
      <c r="G12030">
        <v>0.48</v>
      </c>
      <c r="H12030" s="1" t="str">
        <f>HYPERLINK("http://www.weizmann.ac.il/complex/compphys/software/geview/data/figures/202614_at.png","Figure")</f>
        <v>Figure</v>
      </c>
      <c r="I12030">
        <v>0.61599999999999999</v>
      </c>
      <c r="J12030">
        <v>0.34</v>
      </c>
      <c r="K12030">
        <v>0.90700000000000003</v>
      </c>
      <c r="L12030">
        <v>0.94</v>
      </c>
      <c r="M12030">
        <v>1.47</v>
      </c>
      <c r="N12030">
        <v>0.45</v>
      </c>
    </row>
    <row r="12031" spans="1:14" x14ac:dyDescent="0.25">
      <c r="A12031" t="s">
        <v>20726</v>
      </c>
      <c r="B12031" t="s">
        <v>20727</v>
      </c>
      <c r="C12031" s="1" t="str">
        <f>HYPERLINK("http://www.genecards.org/cgi-bin/carddisp.pl?gene=ATF3","GeneCards")</f>
        <v>GeneCards</v>
      </c>
      <c r="D12031" s="1" t="str">
        <f>HYPERLINK("http://genome-euro.ucsc.edu/cgi-bin/hgTracks?position=202672_s_at","UCSC")</f>
        <v>UCSC</v>
      </c>
      <c r="E12031" s="1" t="str">
        <f>HYPERLINK("http://www.ncbi.nlm.nih.gov/gene/?term=ATF3","NCBI")</f>
        <v>NCBI</v>
      </c>
      <c r="F12031">
        <v>0.34</v>
      </c>
      <c r="G12031">
        <v>0.48</v>
      </c>
      <c r="H12031" s="1" t="str">
        <f>HYPERLINK("http://www.weizmann.ac.il/complex/compphys/software/geview/data/figures/202672_s_at.png","Figure")</f>
        <v>Figure</v>
      </c>
      <c r="I12031">
        <v>1.03</v>
      </c>
      <c r="J12031">
        <v>1</v>
      </c>
      <c r="K12031">
        <v>0.623</v>
      </c>
      <c r="L12031">
        <v>0.43</v>
      </c>
      <c r="M12031">
        <v>0.60699999999999998</v>
      </c>
      <c r="N12031">
        <v>0.44</v>
      </c>
    </row>
    <row r="12032" spans="1:14" x14ac:dyDescent="0.25">
      <c r="A12032" t="s">
        <v>20728</v>
      </c>
      <c r="B12032" t="s">
        <v>20729</v>
      </c>
      <c r="C12032" s="1" t="str">
        <f>HYPERLINK("http://www.genecards.org/cgi-bin/carddisp.pl?gene=ARF4","GeneCards")</f>
        <v>GeneCards</v>
      </c>
      <c r="D12032" s="1" t="str">
        <f>HYPERLINK("http://genome-euro.ucsc.edu/cgi-bin/hgTracks?position=201096_s_at","UCSC")</f>
        <v>UCSC</v>
      </c>
      <c r="E12032" s="1" t="str">
        <f>HYPERLINK("http://www.ncbi.nlm.nih.gov/gene/?term=ARF4","NCBI")</f>
        <v>NCBI</v>
      </c>
      <c r="F12032">
        <v>0.34</v>
      </c>
      <c r="G12032">
        <v>0.48</v>
      </c>
      <c r="H12032" s="1" t="str">
        <f>HYPERLINK("http://www.weizmann.ac.il/complex/compphys/software/geview/data/figures/201096_s_at.png","Figure")</f>
        <v>Figure</v>
      </c>
      <c r="I12032">
        <v>0.82199999999999995</v>
      </c>
      <c r="J12032">
        <v>0.5</v>
      </c>
      <c r="K12032">
        <v>1.04</v>
      </c>
      <c r="L12032">
        <v>0.96</v>
      </c>
      <c r="M12032">
        <v>1.27</v>
      </c>
      <c r="N12032">
        <v>0.33</v>
      </c>
    </row>
    <row r="12033" spans="1:14" x14ac:dyDescent="0.25">
      <c r="A12033" t="s">
        <v>20730</v>
      </c>
      <c r="B12033" t="s">
        <v>8883</v>
      </c>
      <c r="C12033" s="1" t="str">
        <f>HYPERLINK("http://www.genecards.org/cgi-bin/carddisp.pl?gene=PKNOX2","GeneCards")</f>
        <v>GeneCards</v>
      </c>
      <c r="D12033" s="1" t="str">
        <f>HYPERLINK("http://genome-euro.ucsc.edu/cgi-bin/hgTracks?position=222171_s_at","UCSC")</f>
        <v>UCSC</v>
      </c>
      <c r="E12033" s="1" t="str">
        <f>HYPERLINK("http://www.ncbi.nlm.nih.gov/gene/?term=PKNOX2","NCBI")</f>
        <v>NCBI</v>
      </c>
      <c r="F12033">
        <v>0.34</v>
      </c>
      <c r="G12033">
        <v>0.48</v>
      </c>
      <c r="H12033" s="1" t="str">
        <f>HYPERLINK("http://www.weizmann.ac.il/complex/compphys/software/geview/data/figures/222171_s_at.png","Figure")</f>
        <v>Figure</v>
      </c>
      <c r="I12033">
        <v>0.94799999999999995</v>
      </c>
      <c r="J12033">
        <v>0.39</v>
      </c>
      <c r="K12033">
        <v>0.95499999999999996</v>
      </c>
      <c r="L12033">
        <v>0.41</v>
      </c>
      <c r="M12033">
        <v>1.01</v>
      </c>
      <c r="N12033">
        <v>0.97</v>
      </c>
    </row>
    <row r="12034" spans="1:14" x14ac:dyDescent="0.25">
      <c r="A12034" t="s">
        <v>20731</v>
      </c>
      <c r="B12034" t="s">
        <v>20732</v>
      </c>
      <c r="C12034" s="1" t="str">
        <f>HYPERLINK("http://www.genecards.org/cgi-bin/carddisp.pl?gene=RPP38","GeneCards")</f>
        <v>GeneCards</v>
      </c>
      <c r="D12034" s="1" t="str">
        <f>HYPERLINK("http://genome-euro.ucsc.edu/cgi-bin/hgTracks?position=205562_at","UCSC")</f>
        <v>UCSC</v>
      </c>
      <c r="E12034" s="1" t="str">
        <f>HYPERLINK("http://www.ncbi.nlm.nih.gov/gene/?term=RPP38","NCBI")</f>
        <v>NCBI</v>
      </c>
      <c r="F12034">
        <v>0.34</v>
      </c>
      <c r="G12034">
        <v>0.48</v>
      </c>
      <c r="H12034" s="1" t="str">
        <f>HYPERLINK("http://www.weizmann.ac.il/complex/compphys/software/geview/data/figures/205562_at.png","Figure")</f>
        <v>Figure</v>
      </c>
      <c r="I12034">
        <v>0.84099999999999997</v>
      </c>
      <c r="J12034">
        <v>0.31</v>
      </c>
      <c r="K12034">
        <v>0.91800000000000004</v>
      </c>
      <c r="L12034">
        <v>0.67</v>
      </c>
      <c r="M12034">
        <v>1.0900000000000001</v>
      </c>
      <c r="N12034">
        <v>0.7</v>
      </c>
    </row>
    <row r="12035" spans="1:14" x14ac:dyDescent="0.25">
      <c r="A12035" t="s">
        <v>20733</v>
      </c>
      <c r="B12035" t="s">
        <v>20734</v>
      </c>
      <c r="C12035" s="1" t="str">
        <f>HYPERLINK("http://www.genecards.org/cgi-bin/carddisp.pl?gene=NT5E","GeneCards")</f>
        <v>GeneCards</v>
      </c>
      <c r="D12035" s="1" t="str">
        <f>HYPERLINK("http://genome-euro.ucsc.edu/cgi-bin/hgTracks?position=203939_at","UCSC")</f>
        <v>UCSC</v>
      </c>
      <c r="E12035" s="1" t="str">
        <f>HYPERLINK("http://www.ncbi.nlm.nih.gov/gene/?term=NT5E","NCBI")</f>
        <v>NCBI</v>
      </c>
      <c r="F12035">
        <v>0.34</v>
      </c>
      <c r="G12035">
        <v>0.48</v>
      </c>
      <c r="H12035" s="1" t="str">
        <f>HYPERLINK("http://www.weizmann.ac.il/complex/compphys/software/geview/data/figures/203939_at.png","Figure")</f>
        <v>Figure</v>
      </c>
      <c r="I12035">
        <v>0.66500000000000004</v>
      </c>
      <c r="J12035">
        <v>0.41</v>
      </c>
      <c r="K12035">
        <v>0.995</v>
      </c>
      <c r="L12035">
        <v>1</v>
      </c>
      <c r="M12035">
        <v>1.5</v>
      </c>
      <c r="N12035">
        <v>0.37</v>
      </c>
    </row>
    <row r="12036" spans="1:14" x14ac:dyDescent="0.25">
      <c r="A12036" t="s">
        <v>20735</v>
      </c>
      <c r="B12036" t="s">
        <v>20736</v>
      </c>
      <c r="C12036" s="1" t="str">
        <f>HYPERLINK("http://www.genecards.org/cgi-bin/carddisp.pl?gene=KCNQ3","GeneCards")</f>
        <v>GeneCards</v>
      </c>
      <c r="D12036" s="1" t="str">
        <f>HYPERLINK("http://genome-euro.ucsc.edu/cgi-bin/hgTracks?position=206573_at","UCSC")</f>
        <v>UCSC</v>
      </c>
      <c r="E12036" s="1" t="str">
        <f>HYPERLINK("http://www.ncbi.nlm.nih.gov/gene/?term=KCNQ3","NCBI")</f>
        <v>NCBI</v>
      </c>
      <c r="F12036">
        <v>0.34</v>
      </c>
      <c r="G12036">
        <v>0.48</v>
      </c>
      <c r="H12036" s="1" t="str">
        <f>HYPERLINK("http://www.weizmann.ac.il/complex/compphys/software/geview/data/figures/206573_at.png","Figure")</f>
        <v>Figure</v>
      </c>
      <c r="I12036">
        <v>1.08</v>
      </c>
      <c r="J12036">
        <v>0.39</v>
      </c>
      <c r="K12036">
        <v>1.07</v>
      </c>
      <c r="L12036">
        <v>0.42</v>
      </c>
      <c r="M12036">
        <v>0.98599999999999999</v>
      </c>
      <c r="N12036">
        <v>0.97</v>
      </c>
    </row>
    <row r="12037" spans="1:14" x14ac:dyDescent="0.25">
      <c r="A12037" t="s">
        <v>20737</v>
      </c>
      <c r="B12037" t="s">
        <v>20738</v>
      </c>
      <c r="C12037" s="1" t="str">
        <f>HYPERLINK("http://www.genecards.org/cgi-bin/carddisp.pl?gene=EZH1","GeneCards")</f>
        <v>GeneCards</v>
      </c>
      <c r="D12037" s="1" t="str">
        <f>HYPERLINK("http://genome-euro.ucsc.edu/cgi-bin/hgTracks?position=211310_at","UCSC")</f>
        <v>UCSC</v>
      </c>
      <c r="E12037" s="1" t="str">
        <f>HYPERLINK("http://www.ncbi.nlm.nih.gov/gene/?term=EZH1","NCBI")</f>
        <v>NCBI</v>
      </c>
      <c r="F12037">
        <v>0.34</v>
      </c>
      <c r="G12037">
        <v>0.48</v>
      </c>
      <c r="H12037" s="1" t="str">
        <f>HYPERLINK("http://www.weizmann.ac.il/complex/compphys/software/geview/data/figures/211310_at.png","Figure")</f>
        <v>Figure</v>
      </c>
      <c r="I12037">
        <v>1</v>
      </c>
      <c r="J12037">
        <v>1</v>
      </c>
      <c r="K12037">
        <v>0.96299999999999997</v>
      </c>
      <c r="L12037">
        <v>0.41</v>
      </c>
      <c r="M12037">
        <v>0.96299999999999997</v>
      </c>
      <c r="N12037">
        <v>0.46</v>
      </c>
    </row>
    <row r="12038" spans="1:14" x14ac:dyDescent="0.25">
      <c r="A12038" t="s">
        <v>20739</v>
      </c>
      <c r="B12038" t="s">
        <v>3817</v>
      </c>
      <c r="C12038" s="1" t="str">
        <f>HYPERLINK("http://www.genecards.org/cgi-bin/carddisp.pl?gene=ATP5O","GeneCards")</f>
        <v>GeneCards</v>
      </c>
      <c r="D12038" s="1" t="str">
        <f>HYPERLINK("http://genome-euro.ucsc.edu/cgi-bin/hgTracks?position=216954_x_at","UCSC")</f>
        <v>UCSC</v>
      </c>
      <c r="E12038" s="1" t="str">
        <f>HYPERLINK("http://www.ncbi.nlm.nih.gov/gene/?term=ATP5O","NCBI")</f>
        <v>NCBI</v>
      </c>
      <c r="F12038">
        <v>0.34</v>
      </c>
      <c r="G12038">
        <v>0.48</v>
      </c>
      <c r="H12038" s="1" t="str">
        <f>HYPERLINK("http://www.weizmann.ac.il/complex/compphys/software/geview/data/figures/216954_x_at.png","Figure")</f>
        <v>Figure</v>
      </c>
      <c r="I12038">
        <v>0.96799999999999997</v>
      </c>
      <c r="J12038">
        <v>0.9</v>
      </c>
      <c r="K12038">
        <v>1.07</v>
      </c>
      <c r="L12038">
        <v>0.56999999999999995</v>
      </c>
      <c r="M12038">
        <v>1.1000000000000001</v>
      </c>
      <c r="N12038">
        <v>0.35</v>
      </c>
    </row>
    <row r="12039" spans="1:14" x14ac:dyDescent="0.25">
      <c r="A12039" t="s">
        <v>20740</v>
      </c>
      <c r="B12039" t="s">
        <v>20741</v>
      </c>
      <c r="C12039" s="1" t="str">
        <f>HYPERLINK("http://www.genecards.org/cgi-bin/carddisp.pl?gene=UBA7","GeneCards")</f>
        <v>GeneCards</v>
      </c>
      <c r="D12039" s="1" t="str">
        <f>HYPERLINK("http://genome-euro.ucsc.edu/cgi-bin/hgTracks?position=1294_at","UCSC")</f>
        <v>UCSC</v>
      </c>
      <c r="E12039" s="1" t="str">
        <f>HYPERLINK("http://www.ncbi.nlm.nih.gov/gene/?term=UBA7","NCBI")</f>
        <v>NCBI</v>
      </c>
      <c r="F12039">
        <v>0.34</v>
      </c>
      <c r="G12039">
        <v>0.48</v>
      </c>
      <c r="H12039" s="1" t="str">
        <f>HYPERLINK("http://www.weizmann.ac.il/complex/compphys/software/geview/data/figures/1294_at.png","Figure")</f>
        <v>Figure</v>
      </c>
      <c r="I12039">
        <v>1.36</v>
      </c>
      <c r="J12039">
        <v>0.34</v>
      </c>
      <c r="K12039">
        <v>1.07</v>
      </c>
      <c r="L12039">
        <v>0.93</v>
      </c>
      <c r="M12039">
        <v>0.78500000000000003</v>
      </c>
      <c r="N12039">
        <v>0.46</v>
      </c>
    </row>
    <row r="12040" spans="1:14" x14ac:dyDescent="0.25">
      <c r="A12040" t="s">
        <v>20742</v>
      </c>
      <c r="B12040" t="s">
        <v>19389</v>
      </c>
      <c r="C12040" s="1" t="str">
        <f>HYPERLINK("http://www.genecards.org/cgi-bin/carddisp.pl?gene=RFC2","GeneCards")</f>
        <v>GeneCards</v>
      </c>
      <c r="D12040" s="1" t="str">
        <f>HYPERLINK("http://genome-euro.ucsc.edu/cgi-bin/hgTracks?position=1053_at","UCSC")</f>
        <v>UCSC</v>
      </c>
      <c r="E12040" s="1" t="str">
        <f>HYPERLINK("http://www.ncbi.nlm.nih.gov/gene/?term=RFC2","NCBI")</f>
        <v>NCBI</v>
      </c>
      <c r="F12040">
        <v>0.34</v>
      </c>
      <c r="G12040">
        <v>0.48</v>
      </c>
      <c r="H12040" s="1" t="str">
        <f>HYPERLINK("http://www.weizmann.ac.il/complex/compphys/software/geview/data/figures/1053_at.png","Figure")</f>
        <v>Figure</v>
      </c>
      <c r="I12040">
        <v>1.0900000000000001</v>
      </c>
      <c r="J12040">
        <v>0.52</v>
      </c>
      <c r="K12040">
        <v>1.1000000000000001</v>
      </c>
      <c r="L12040">
        <v>0.34</v>
      </c>
      <c r="M12040">
        <v>1.01</v>
      </c>
      <c r="N12040">
        <v>0.99</v>
      </c>
    </row>
    <row r="12041" spans="1:14" x14ac:dyDescent="0.25">
      <c r="A12041" t="s">
        <v>20743</v>
      </c>
      <c r="B12041" t="s">
        <v>20744</v>
      </c>
      <c r="C12041" s="1" t="str">
        <f>HYPERLINK("http://www.genecards.org/cgi-bin/carddisp.pl?gene=ANKRD10","GeneCards")</f>
        <v>GeneCards</v>
      </c>
      <c r="D12041" s="1" t="str">
        <f>HYPERLINK("http://genome-euro.ucsc.edu/cgi-bin/hgTracks?position=218093_s_at","UCSC")</f>
        <v>UCSC</v>
      </c>
      <c r="E12041" s="1" t="str">
        <f>HYPERLINK("http://www.ncbi.nlm.nih.gov/gene/?term=ANKRD10","NCBI")</f>
        <v>NCBI</v>
      </c>
      <c r="F12041">
        <v>0.34</v>
      </c>
      <c r="G12041">
        <v>0.48</v>
      </c>
      <c r="H12041" s="1" t="str">
        <f>HYPERLINK("http://www.weizmann.ac.il/complex/compphys/software/geview/data/figures/218093_s_at.png","Figure")</f>
        <v>Figure</v>
      </c>
      <c r="I12041">
        <v>1.33</v>
      </c>
      <c r="J12041">
        <v>0.49</v>
      </c>
      <c r="K12041">
        <v>1.35</v>
      </c>
      <c r="L12041">
        <v>0.35</v>
      </c>
      <c r="M12041">
        <v>1.02</v>
      </c>
      <c r="N12041">
        <v>1</v>
      </c>
    </row>
    <row r="12042" spans="1:14" x14ac:dyDescent="0.25">
      <c r="A12042" t="s">
        <v>20745</v>
      </c>
      <c r="B12042" t="s">
        <v>20746</v>
      </c>
      <c r="C12042" s="1" t="str">
        <f>HYPERLINK("http://www.genecards.org/cgi-bin/carddisp.pl?gene=KPNB1","GeneCards")</f>
        <v>GeneCards</v>
      </c>
      <c r="D12042" s="1" t="str">
        <f>HYPERLINK("http://genome-euro.ucsc.edu/cgi-bin/hgTracks?position=208975_s_at","UCSC")</f>
        <v>UCSC</v>
      </c>
      <c r="E12042" s="1" t="str">
        <f>HYPERLINK("http://www.ncbi.nlm.nih.gov/gene/?term=KPNB1","NCBI")</f>
        <v>NCBI</v>
      </c>
      <c r="F12042">
        <v>0.34</v>
      </c>
      <c r="G12042">
        <v>0.48</v>
      </c>
      <c r="H12042" s="1" t="str">
        <f>HYPERLINK("http://www.weizmann.ac.il/complex/compphys/software/geview/data/figures/208975_s_at.png","Figure")</f>
        <v>Figure</v>
      </c>
      <c r="I12042">
        <v>0.74199999999999999</v>
      </c>
      <c r="J12042">
        <v>0.31</v>
      </c>
      <c r="K12042">
        <v>0.85799999999999998</v>
      </c>
      <c r="L12042">
        <v>0.65</v>
      </c>
      <c r="M12042">
        <v>1.1599999999999999</v>
      </c>
      <c r="N12042">
        <v>0.71</v>
      </c>
    </row>
    <row r="12043" spans="1:14" x14ac:dyDescent="0.25">
      <c r="A12043" t="s">
        <v>20747</v>
      </c>
      <c r="B12043" t="s">
        <v>20748</v>
      </c>
      <c r="C12043" s="1" t="str">
        <f>HYPERLINK("http://www.genecards.org/cgi-bin/carddisp.pl?gene=RPS10","GeneCards")</f>
        <v>GeneCards</v>
      </c>
      <c r="D12043" s="1" t="str">
        <f>HYPERLINK("http://genome-euro.ucsc.edu/cgi-bin/hgTracks?position=200817_x_at","UCSC")</f>
        <v>UCSC</v>
      </c>
      <c r="E12043" s="1" t="str">
        <f>HYPERLINK("http://www.ncbi.nlm.nih.gov/gene/?term=RPS10","NCBI")</f>
        <v>NCBI</v>
      </c>
      <c r="F12043">
        <v>0.34</v>
      </c>
      <c r="G12043">
        <v>0.48</v>
      </c>
      <c r="H12043" s="1" t="str">
        <f>HYPERLINK("http://www.weizmann.ac.il/complex/compphys/software/geview/data/figures/200817_x_at.png","Figure")</f>
        <v>Figure</v>
      </c>
      <c r="I12043">
        <v>0.877</v>
      </c>
      <c r="J12043">
        <v>0.75</v>
      </c>
      <c r="K12043">
        <v>1.1299999999999999</v>
      </c>
      <c r="L12043">
        <v>0.72</v>
      </c>
      <c r="M12043">
        <v>1.29</v>
      </c>
      <c r="N12043">
        <v>0.32</v>
      </c>
    </row>
    <row r="12044" spans="1:14" x14ac:dyDescent="0.25">
      <c r="A12044" t="s">
        <v>20749</v>
      </c>
      <c r="B12044" t="s">
        <v>20750</v>
      </c>
      <c r="C12044" s="1" t="str">
        <f>HYPERLINK("http://www.genecards.org/cgi-bin/carddisp.pl?gene=SRRM1","GeneCards")</f>
        <v>GeneCards</v>
      </c>
      <c r="D12044" s="1" t="str">
        <f>HYPERLINK("http://genome-euro.ucsc.edu/cgi-bin/hgTracks?position=201224_s_at","UCSC")</f>
        <v>UCSC</v>
      </c>
      <c r="E12044" s="1" t="str">
        <f>HYPERLINK("http://www.ncbi.nlm.nih.gov/gene/?term=SRRM1","NCBI")</f>
        <v>NCBI</v>
      </c>
      <c r="F12044">
        <v>0.34</v>
      </c>
      <c r="G12044">
        <v>0.48</v>
      </c>
      <c r="H12044" s="1" t="str">
        <f>HYPERLINK("http://www.weizmann.ac.il/complex/compphys/software/geview/data/figures/201224_s_at.png","Figure")</f>
        <v>Figure</v>
      </c>
      <c r="I12044">
        <v>1.35</v>
      </c>
      <c r="J12044">
        <v>0.39</v>
      </c>
      <c r="K12044">
        <v>1.02</v>
      </c>
      <c r="L12044">
        <v>1</v>
      </c>
      <c r="M12044">
        <v>0.755</v>
      </c>
      <c r="N12044">
        <v>0.38</v>
      </c>
    </row>
    <row r="12045" spans="1:14" x14ac:dyDescent="0.25">
      <c r="A12045" t="s">
        <v>20751</v>
      </c>
      <c r="B12045" t="s">
        <v>20752</v>
      </c>
      <c r="C12045" s="1" t="str">
        <f>HYPERLINK("http://www.genecards.org/cgi-bin/carddisp.pl?gene=EFS","GeneCards")</f>
        <v>GeneCards</v>
      </c>
      <c r="D12045" s="1" t="str">
        <f>HYPERLINK("http://genome-euro.ucsc.edu/cgi-bin/hgTracks?position=210880_s_at","UCSC")</f>
        <v>UCSC</v>
      </c>
      <c r="E12045" s="1" t="str">
        <f>HYPERLINK("http://www.ncbi.nlm.nih.gov/gene/?term=EFS","NCBI")</f>
        <v>NCBI</v>
      </c>
      <c r="F12045">
        <v>0.34</v>
      </c>
      <c r="G12045">
        <v>0.48</v>
      </c>
      <c r="H12045" s="1" t="str">
        <f>HYPERLINK("http://www.weizmann.ac.il/complex/compphys/software/geview/data/figures/210880_s_at.png","Figure")</f>
        <v>Figure</v>
      </c>
      <c r="I12045">
        <v>1.21</v>
      </c>
      <c r="J12045">
        <v>0.33</v>
      </c>
      <c r="K12045">
        <v>1.05</v>
      </c>
      <c r="L12045">
        <v>0.9</v>
      </c>
      <c r="M12045">
        <v>0.86699999999999999</v>
      </c>
      <c r="N12045">
        <v>0.48</v>
      </c>
    </row>
    <row r="12046" spans="1:14" x14ac:dyDescent="0.25">
      <c r="A12046" t="s">
        <v>20753</v>
      </c>
      <c r="B12046" t="s">
        <v>20754</v>
      </c>
      <c r="C12046" s="1" t="str">
        <f>HYPERLINK("http://www.genecards.org/cgi-bin/carddisp.pl?gene=GPR89A /// GPR89B /// GPR89C","GeneCards")</f>
        <v>GeneCards</v>
      </c>
      <c r="D12046" s="1" t="str">
        <f>HYPERLINK("http://genome-euro.ucsc.edu/cgi-bin/hgTracks?position=222140_s_at","UCSC")</f>
        <v>UCSC</v>
      </c>
      <c r="E12046" s="1" t="str">
        <f>HYPERLINK("http://www.ncbi.nlm.nih.gov/gene/?term=GPR89A /// GPR89B /// GPR89C","NCBI")</f>
        <v>NCBI</v>
      </c>
      <c r="F12046">
        <v>0.34</v>
      </c>
      <c r="G12046">
        <v>0.48</v>
      </c>
      <c r="H12046" s="1" t="str">
        <f>HYPERLINK("http://www.weizmann.ac.il/complex/compphys/software/geview/data/figures/222140_s_at.png","Figure")</f>
        <v>Figure</v>
      </c>
      <c r="I12046">
        <v>1.07</v>
      </c>
      <c r="J12046">
        <v>0.94</v>
      </c>
      <c r="K12046">
        <v>1.29</v>
      </c>
      <c r="L12046">
        <v>0.34</v>
      </c>
      <c r="M12046">
        <v>1.21</v>
      </c>
      <c r="N12046">
        <v>0.59</v>
      </c>
    </row>
    <row r="12047" spans="1:14" x14ac:dyDescent="0.25">
      <c r="A12047" t="s">
        <v>20755</v>
      </c>
      <c r="B12047" t="s">
        <v>20756</v>
      </c>
      <c r="C12047" s="1" t="str">
        <f>HYPERLINK("http://www.genecards.org/cgi-bin/carddisp.pl?gene=PPM1D","GeneCards")</f>
        <v>GeneCards</v>
      </c>
      <c r="D12047" s="1" t="str">
        <f>HYPERLINK("http://genome-euro.ucsc.edu/cgi-bin/hgTracks?position=204566_at","UCSC")</f>
        <v>UCSC</v>
      </c>
      <c r="E12047" s="1" t="str">
        <f>HYPERLINK("http://www.ncbi.nlm.nih.gov/gene/?term=PPM1D","NCBI")</f>
        <v>NCBI</v>
      </c>
      <c r="F12047">
        <v>0.34</v>
      </c>
      <c r="G12047">
        <v>0.48</v>
      </c>
      <c r="H12047" s="1" t="str">
        <f>HYPERLINK("http://www.weizmann.ac.il/complex/compphys/software/geview/data/figures/204566_at.png","Figure")</f>
        <v>Figure</v>
      </c>
      <c r="I12047">
        <v>0.82099999999999995</v>
      </c>
      <c r="J12047">
        <v>0.71</v>
      </c>
      <c r="K12047">
        <v>0.71899999999999997</v>
      </c>
      <c r="L12047">
        <v>0.31</v>
      </c>
      <c r="M12047">
        <v>0.875</v>
      </c>
      <c r="N12047">
        <v>0.83</v>
      </c>
    </row>
    <row r="12048" spans="1:14" x14ac:dyDescent="0.25">
      <c r="A12048" t="s">
        <v>20757</v>
      </c>
      <c r="B12048" t="s">
        <v>20758</v>
      </c>
      <c r="C12048" s="1" t="str">
        <f>HYPERLINK("http://www.genecards.org/cgi-bin/carddisp.pl?gene=SERPINH1","GeneCards")</f>
        <v>GeneCards</v>
      </c>
      <c r="D12048" s="1" t="str">
        <f>HYPERLINK("http://genome-euro.ucsc.edu/cgi-bin/hgTracks?position=207714_s_at","UCSC")</f>
        <v>UCSC</v>
      </c>
      <c r="E12048" s="1" t="str">
        <f>HYPERLINK("http://www.ncbi.nlm.nih.gov/gene/?term=SERPINH1","NCBI")</f>
        <v>NCBI</v>
      </c>
      <c r="F12048">
        <v>0.34</v>
      </c>
      <c r="G12048">
        <v>0.48</v>
      </c>
      <c r="H12048" s="1" t="str">
        <f>HYPERLINK("http://www.weizmann.ac.il/complex/compphys/software/geview/data/figures/207714_s_at.png","Figure")</f>
        <v>Figure</v>
      </c>
      <c r="I12048">
        <v>1.1599999999999999</v>
      </c>
      <c r="J12048">
        <v>0.45</v>
      </c>
      <c r="K12048">
        <v>0.98499999999999999</v>
      </c>
      <c r="L12048">
        <v>0.99</v>
      </c>
      <c r="M12048">
        <v>0.84699999999999998</v>
      </c>
      <c r="N12048">
        <v>0.34</v>
      </c>
    </row>
    <row r="12049" spans="1:14" x14ac:dyDescent="0.25">
      <c r="A12049" t="s">
        <v>20759</v>
      </c>
      <c r="B12049" t="s">
        <v>16197</v>
      </c>
      <c r="C12049" s="1" t="str">
        <f>HYPERLINK("http://www.genecards.org/cgi-bin/carddisp.pl?gene=SEMA5A","GeneCards")</f>
        <v>GeneCards</v>
      </c>
      <c r="D12049" s="1" t="str">
        <f>HYPERLINK("http://genome-euro.ucsc.edu/cgi-bin/hgTracks?position=213169_at","UCSC")</f>
        <v>UCSC</v>
      </c>
      <c r="E12049" s="1" t="str">
        <f>HYPERLINK("http://www.ncbi.nlm.nih.gov/gene/?term=SEMA5A","NCBI")</f>
        <v>NCBI</v>
      </c>
      <c r="F12049">
        <v>0.34</v>
      </c>
      <c r="G12049">
        <v>0.48</v>
      </c>
      <c r="H12049" s="1" t="str">
        <f>HYPERLINK("http://www.weizmann.ac.il/complex/compphys/software/geview/data/figures/213169_at.png","Figure")</f>
        <v>Figure</v>
      </c>
      <c r="I12049">
        <v>1.18</v>
      </c>
      <c r="J12049">
        <v>0.36</v>
      </c>
      <c r="K12049">
        <v>1.03</v>
      </c>
      <c r="L12049">
        <v>0.96</v>
      </c>
      <c r="M12049">
        <v>0.87</v>
      </c>
      <c r="N12049">
        <v>0.43</v>
      </c>
    </row>
    <row r="12050" spans="1:14" x14ac:dyDescent="0.25">
      <c r="A12050" t="s">
        <v>20760</v>
      </c>
      <c r="B12050" t="s">
        <v>20761</v>
      </c>
      <c r="C12050" s="1" t="str">
        <f>HYPERLINK("http://www.genecards.org/cgi-bin/carddisp.pl?gene=A2M","GeneCards")</f>
        <v>GeneCards</v>
      </c>
      <c r="D12050" s="1" t="str">
        <f>HYPERLINK("http://genome-euro.ucsc.edu/cgi-bin/hgTracks?position=217757_at","UCSC")</f>
        <v>UCSC</v>
      </c>
      <c r="E12050" s="1" t="str">
        <f>HYPERLINK("http://www.ncbi.nlm.nih.gov/gene/?term=A2M","NCBI")</f>
        <v>NCBI</v>
      </c>
      <c r="F12050">
        <v>0.34</v>
      </c>
      <c r="G12050">
        <v>0.48</v>
      </c>
      <c r="H12050" s="1" t="str">
        <f>HYPERLINK("http://www.weizmann.ac.il/complex/compphys/software/geview/data/figures/217757_at.png","Figure")</f>
        <v>Figure</v>
      </c>
      <c r="I12050">
        <v>1.02</v>
      </c>
      <c r="J12050">
        <v>0.99</v>
      </c>
      <c r="K12050">
        <v>0.89800000000000002</v>
      </c>
      <c r="L12050">
        <v>0.46</v>
      </c>
      <c r="M12050">
        <v>0.88400000000000001</v>
      </c>
      <c r="N12050">
        <v>0.41</v>
      </c>
    </row>
    <row r="12051" spans="1:14" x14ac:dyDescent="0.25">
      <c r="A12051" t="s">
        <v>20762</v>
      </c>
      <c r="B12051" t="s">
        <v>20763</v>
      </c>
      <c r="C12051" s="1" t="str">
        <f>HYPERLINK("http://www.genecards.org/cgi-bin/carddisp.pl?gene=OCM2","GeneCards")</f>
        <v>GeneCards</v>
      </c>
      <c r="D12051" s="1" t="str">
        <f>HYPERLINK("http://genome-euro.ucsc.edu/cgi-bin/hgTracks?position=207944_at","UCSC")</f>
        <v>UCSC</v>
      </c>
      <c r="E12051" s="1" t="str">
        <f>HYPERLINK("http://www.ncbi.nlm.nih.gov/gene/?term=OCM2","NCBI")</f>
        <v>NCBI</v>
      </c>
      <c r="F12051">
        <v>0.34</v>
      </c>
      <c r="G12051">
        <v>0.48</v>
      </c>
      <c r="H12051" s="1" t="str">
        <f>HYPERLINK("http://www.weizmann.ac.il/complex/compphys/software/geview/data/figures/207944_at.png","Figure")</f>
        <v>Figure</v>
      </c>
      <c r="I12051">
        <v>1.02</v>
      </c>
      <c r="J12051">
        <v>0.78</v>
      </c>
      <c r="K12051">
        <v>1.04</v>
      </c>
      <c r="L12051">
        <v>0.31</v>
      </c>
      <c r="M12051">
        <v>1.02</v>
      </c>
      <c r="N12051">
        <v>0.77</v>
      </c>
    </row>
    <row r="12052" spans="1:14" x14ac:dyDescent="0.25">
      <c r="A12052" t="s">
        <v>20764</v>
      </c>
      <c r="B12052" t="s">
        <v>20765</v>
      </c>
      <c r="C12052" s="1" t="str">
        <f>HYPERLINK("http://www.genecards.org/cgi-bin/carddisp.pl?gene=C14orf115","GeneCards")</f>
        <v>GeneCards</v>
      </c>
      <c r="D12052" s="1" t="str">
        <f>HYPERLINK("http://genome-euro.ucsc.edu/cgi-bin/hgTracks?position=220536_at","UCSC")</f>
        <v>UCSC</v>
      </c>
      <c r="E12052" s="1" t="str">
        <f>HYPERLINK("http://www.ncbi.nlm.nih.gov/gene/?term=C14orf115","NCBI")</f>
        <v>NCBI</v>
      </c>
      <c r="F12052">
        <v>0.34</v>
      </c>
      <c r="G12052">
        <v>0.48</v>
      </c>
      <c r="H12052" s="1" t="str">
        <f>HYPERLINK("http://www.weizmann.ac.il/complex/compphys/software/geview/data/figures/220536_at.png","Figure")</f>
        <v>Figure</v>
      </c>
      <c r="I12052">
        <v>1.1499999999999999</v>
      </c>
      <c r="J12052">
        <v>0.41</v>
      </c>
      <c r="K12052">
        <v>1</v>
      </c>
      <c r="L12052">
        <v>1</v>
      </c>
      <c r="M12052">
        <v>0.872</v>
      </c>
      <c r="N12052">
        <v>0.37</v>
      </c>
    </row>
    <row r="12053" spans="1:14" x14ac:dyDescent="0.25">
      <c r="A12053" t="s">
        <v>20766</v>
      </c>
      <c r="B12053" t="s">
        <v>20767</v>
      </c>
      <c r="C12053" s="1" t="str">
        <f>HYPERLINK("http://www.genecards.org/cgi-bin/carddisp.pl?gene=ZNF468","GeneCards")</f>
        <v>GeneCards</v>
      </c>
      <c r="D12053" s="1" t="str">
        <f>HYPERLINK("http://genome-euro.ucsc.edu/cgi-bin/hgTracks?position=214751_at","UCSC")</f>
        <v>UCSC</v>
      </c>
      <c r="E12053" s="1" t="str">
        <f>HYPERLINK("http://www.ncbi.nlm.nih.gov/gene/?term=ZNF468","NCBI")</f>
        <v>NCBI</v>
      </c>
      <c r="F12053">
        <v>0.34</v>
      </c>
      <c r="G12053">
        <v>0.48</v>
      </c>
      <c r="H12053" s="1" t="str">
        <f>HYPERLINK("http://www.weizmann.ac.il/complex/compphys/software/geview/data/figures/214751_at.png","Figure")</f>
        <v>Figure</v>
      </c>
      <c r="I12053">
        <v>1</v>
      </c>
      <c r="J12053">
        <v>1</v>
      </c>
      <c r="K12053">
        <v>0.80200000000000005</v>
      </c>
      <c r="L12053">
        <v>0.41</v>
      </c>
      <c r="M12053">
        <v>0.80200000000000005</v>
      </c>
      <c r="N12053">
        <v>0.46</v>
      </c>
    </row>
    <row r="12054" spans="1:14" x14ac:dyDescent="0.25">
      <c r="A12054" t="s">
        <v>20768</v>
      </c>
      <c r="B12054" t="s">
        <v>4913</v>
      </c>
      <c r="C12054" s="1" t="str">
        <f>HYPERLINK("http://www.genecards.org/cgi-bin/carddisp.pl?gene=MAP4","GeneCards")</f>
        <v>GeneCards</v>
      </c>
      <c r="D12054" s="1" t="str">
        <f>HYPERLINK("http://genome-euro.ucsc.edu/cgi-bin/hgTracks?position=243_g_at","UCSC")</f>
        <v>UCSC</v>
      </c>
      <c r="E12054" s="1" t="str">
        <f>HYPERLINK("http://www.ncbi.nlm.nih.gov/gene/?term=MAP4","NCBI")</f>
        <v>NCBI</v>
      </c>
      <c r="F12054">
        <v>0.34</v>
      </c>
      <c r="G12054">
        <v>0.48</v>
      </c>
      <c r="H12054" s="1" t="str">
        <f>HYPERLINK("http://www.weizmann.ac.il/complex/compphys/software/geview/data/figures/243_g_at.png","Figure")</f>
        <v>Figure</v>
      </c>
      <c r="I12054">
        <v>1.1499999999999999</v>
      </c>
      <c r="J12054">
        <v>0.35</v>
      </c>
      <c r="K12054">
        <v>1.1100000000000001</v>
      </c>
      <c r="L12054">
        <v>0.49</v>
      </c>
      <c r="M12054">
        <v>0.96</v>
      </c>
      <c r="N12054">
        <v>0.9</v>
      </c>
    </row>
    <row r="12055" spans="1:14" x14ac:dyDescent="0.25">
      <c r="A12055" t="s">
        <v>20769</v>
      </c>
      <c r="B12055" t="s">
        <v>20770</v>
      </c>
      <c r="C12055" s="1" t="str">
        <f>HYPERLINK("http://www.genecards.org/cgi-bin/carddisp.pl?gene=CILP","GeneCards")</f>
        <v>GeneCards</v>
      </c>
      <c r="D12055" s="1" t="str">
        <f>HYPERLINK("http://genome-euro.ucsc.edu/cgi-bin/hgTracks?position=206227_at","UCSC")</f>
        <v>UCSC</v>
      </c>
      <c r="E12055" s="1" t="str">
        <f>HYPERLINK("http://www.ncbi.nlm.nih.gov/gene/?term=CILP","NCBI")</f>
        <v>NCBI</v>
      </c>
      <c r="F12055">
        <v>0.34</v>
      </c>
      <c r="G12055">
        <v>0.48</v>
      </c>
      <c r="H12055" s="1" t="str">
        <f>HYPERLINK("http://www.weizmann.ac.il/complex/compphys/software/geview/data/figures/206227_at.png","Figure")</f>
        <v>Figure</v>
      </c>
      <c r="I12055">
        <v>1.1100000000000001</v>
      </c>
      <c r="J12055">
        <v>0.52</v>
      </c>
      <c r="K12055">
        <v>0.97299999999999998</v>
      </c>
      <c r="L12055">
        <v>0.94</v>
      </c>
      <c r="M12055">
        <v>0.877</v>
      </c>
      <c r="N12055">
        <v>0.32</v>
      </c>
    </row>
    <row r="12056" spans="1:14" x14ac:dyDescent="0.25">
      <c r="A12056" t="s">
        <v>20771</v>
      </c>
      <c r="B12056" t="s">
        <v>20772</v>
      </c>
      <c r="C12056" s="1" t="str">
        <f>HYPERLINK("http://www.genecards.org/cgi-bin/carddisp.pl?gene=PSG2","GeneCards")</f>
        <v>GeneCards</v>
      </c>
      <c r="D12056" s="1" t="str">
        <f>HYPERLINK("http://genome-euro.ucsc.edu/cgi-bin/hgTracks?position=208134_x_at","UCSC")</f>
        <v>UCSC</v>
      </c>
      <c r="E12056" s="1" t="str">
        <f>HYPERLINK("http://www.ncbi.nlm.nih.gov/gene/?term=PSG2","NCBI")</f>
        <v>NCBI</v>
      </c>
      <c r="F12056">
        <v>0.34</v>
      </c>
      <c r="G12056">
        <v>0.48</v>
      </c>
      <c r="H12056" s="1" t="str">
        <f>HYPERLINK("http://www.weizmann.ac.il/complex/compphys/software/geview/data/figures/208134_x_at.png","Figure")</f>
        <v>Figure</v>
      </c>
      <c r="I12056">
        <v>0.98499999999999999</v>
      </c>
      <c r="J12056">
        <v>0.31</v>
      </c>
      <c r="K12056">
        <v>0.99299999999999999</v>
      </c>
      <c r="L12056">
        <v>0.72</v>
      </c>
      <c r="M12056">
        <v>1.01</v>
      </c>
      <c r="N12056">
        <v>0.65</v>
      </c>
    </row>
    <row r="12057" spans="1:14" x14ac:dyDescent="0.25">
      <c r="A12057" t="s">
        <v>20773</v>
      </c>
      <c r="B12057" t="s">
        <v>10465</v>
      </c>
      <c r="C12057" s="1" t="str">
        <f>HYPERLINK("http://www.genecards.org/cgi-bin/carddisp.pl?gene=PTP4A2","GeneCards")</f>
        <v>GeneCards</v>
      </c>
      <c r="D12057" s="1" t="str">
        <f>HYPERLINK("http://genome-euro.ucsc.edu/cgi-bin/hgTracks?position=208616_s_at","UCSC")</f>
        <v>UCSC</v>
      </c>
      <c r="E12057" s="1" t="str">
        <f>HYPERLINK("http://www.ncbi.nlm.nih.gov/gene/?term=PTP4A2","NCBI")</f>
        <v>NCBI</v>
      </c>
      <c r="F12057">
        <v>0.34</v>
      </c>
      <c r="G12057">
        <v>0.48</v>
      </c>
      <c r="H12057" s="1" t="str">
        <f>HYPERLINK("http://www.weizmann.ac.il/complex/compphys/software/geview/data/figures/208616_s_at.png","Figure")</f>
        <v>Figure</v>
      </c>
      <c r="I12057">
        <v>1.17</v>
      </c>
      <c r="J12057">
        <v>0.39</v>
      </c>
      <c r="K12057">
        <v>1.01</v>
      </c>
      <c r="L12057">
        <v>1</v>
      </c>
      <c r="M12057">
        <v>0.86</v>
      </c>
      <c r="N12057">
        <v>0.38</v>
      </c>
    </row>
    <row r="12058" spans="1:14" x14ac:dyDescent="0.25">
      <c r="A12058" t="s">
        <v>20774</v>
      </c>
      <c r="B12058" t="s">
        <v>20775</v>
      </c>
      <c r="C12058" s="1" t="str">
        <f>HYPERLINK("http://www.genecards.org/cgi-bin/carddisp.pl?gene=GYPA /// GYPB","GeneCards")</f>
        <v>GeneCards</v>
      </c>
      <c r="D12058" s="1" t="str">
        <f>HYPERLINK("http://genome-euro.ucsc.edu/cgi-bin/hgTracks?position=211820_x_at","UCSC")</f>
        <v>UCSC</v>
      </c>
      <c r="E12058" s="1" t="str">
        <f>HYPERLINK("http://www.ncbi.nlm.nih.gov/gene/?term=GYPA /// GYPB","NCBI")</f>
        <v>NCBI</v>
      </c>
      <c r="F12058">
        <v>0.34</v>
      </c>
      <c r="G12058">
        <v>0.48</v>
      </c>
      <c r="H12058" s="1" t="str">
        <f>HYPERLINK("http://www.weizmann.ac.il/complex/compphys/software/geview/data/figures/211820_x_at.png","Figure")</f>
        <v>Figure</v>
      </c>
      <c r="I12058">
        <v>1.1499999999999999</v>
      </c>
      <c r="J12058">
        <v>0.65</v>
      </c>
      <c r="K12058">
        <v>0.92100000000000004</v>
      </c>
      <c r="L12058">
        <v>0.82</v>
      </c>
      <c r="M12058">
        <v>0.79900000000000004</v>
      </c>
      <c r="N12058">
        <v>0.31</v>
      </c>
    </row>
    <row r="12059" spans="1:14" x14ac:dyDescent="0.25">
      <c r="A12059" t="s">
        <v>20776</v>
      </c>
      <c r="B12059" t="s">
        <v>20777</v>
      </c>
      <c r="C12059" s="1" t="str">
        <f>HYPERLINK("http://www.genecards.org/cgi-bin/carddisp.pl?gene=ATR","GeneCards")</f>
        <v>GeneCards</v>
      </c>
      <c r="D12059" s="1" t="str">
        <f>HYPERLINK("http://genome-euro.ucsc.edu/cgi-bin/hgTracks?position=209902_at","UCSC")</f>
        <v>UCSC</v>
      </c>
      <c r="E12059" s="1" t="str">
        <f>HYPERLINK("http://www.ncbi.nlm.nih.gov/gene/?term=ATR","NCBI")</f>
        <v>NCBI</v>
      </c>
      <c r="F12059">
        <v>0.34</v>
      </c>
      <c r="G12059">
        <v>0.48</v>
      </c>
      <c r="H12059" s="1" t="str">
        <f>HYPERLINK("http://www.weizmann.ac.il/complex/compphys/software/geview/data/figures/209902_at.png","Figure")</f>
        <v>Figure</v>
      </c>
      <c r="I12059">
        <v>0.97599999999999998</v>
      </c>
      <c r="J12059">
        <v>0.98</v>
      </c>
      <c r="K12059">
        <v>1.1499999999999999</v>
      </c>
      <c r="L12059">
        <v>0.47</v>
      </c>
      <c r="M12059">
        <v>1.18</v>
      </c>
      <c r="N12059">
        <v>0.41</v>
      </c>
    </row>
    <row r="12060" spans="1:14" x14ac:dyDescent="0.25">
      <c r="A12060" t="s">
        <v>20778</v>
      </c>
      <c r="B12060" t="s">
        <v>20779</v>
      </c>
      <c r="C12060" s="1" t="str">
        <f>HYPERLINK("http://www.genecards.org/cgi-bin/carddisp.pl?gene=CUZD1","GeneCards")</f>
        <v>GeneCards</v>
      </c>
      <c r="D12060" s="1" t="str">
        <f>HYPERLINK("http://genome-euro.ucsc.edu/cgi-bin/hgTracks?position=220275_at","UCSC")</f>
        <v>UCSC</v>
      </c>
      <c r="E12060" s="1" t="str">
        <f>HYPERLINK("http://www.ncbi.nlm.nih.gov/gene/?term=CUZD1","NCBI")</f>
        <v>NCBI</v>
      </c>
      <c r="F12060">
        <v>0.34</v>
      </c>
      <c r="G12060">
        <v>0.48</v>
      </c>
      <c r="H12060" s="1" t="str">
        <f>HYPERLINK("http://www.weizmann.ac.il/complex/compphys/software/geview/data/figures/220275_at.png","Figure")</f>
        <v>Figure</v>
      </c>
      <c r="I12060">
        <v>0.96199999999999997</v>
      </c>
      <c r="J12060">
        <v>0.82</v>
      </c>
      <c r="K12060">
        <v>1.05</v>
      </c>
      <c r="L12060">
        <v>0.65</v>
      </c>
      <c r="M12060">
        <v>1.1000000000000001</v>
      </c>
      <c r="N12060">
        <v>0.33</v>
      </c>
    </row>
    <row r="12061" spans="1:14" x14ac:dyDescent="0.25">
      <c r="A12061" t="s">
        <v>20780</v>
      </c>
      <c r="B12061" t="s">
        <v>20781</v>
      </c>
      <c r="C12061" s="1" t="str">
        <f>HYPERLINK("http://www.genecards.org/cgi-bin/carddisp.pl?gene=HMG20B","GeneCards")</f>
        <v>GeneCards</v>
      </c>
      <c r="D12061" s="1" t="str">
        <f>HYPERLINK("http://genome-euro.ucsc.edu/cgi-bin/hgTracks?position=210719_s_at","UCSC")</f>
        <v>UCSC</v>
      </c>
      <c r="E12061" s="1" t="str">
        <f>HYPERLINK("http://www.ncbi.nlm.nih.gov/gene/?term=HMG20B","NCBI")</f>
        <v>NCBI</v>
      </c>
      <c r="F12061">
        <v>0.34</v>
      </c>
      <c r="G12061">
        <v>0.48</v>
      </c>
      <c r="H12061" s="1" t="str">
        <f>HYPERLINK("http://www.weizmann.ac.il/complex/compphys/software/geview/data/figures/210719_s_at.png","Figure")</f>
        <v>Figure</v>
      </c>
      <c r="I12061">
        <v>0.78100000000000003</v>
      </c>
      <c r="J12061">
        <v>0.37</v>
      </c>
      <c r="K12061">
        <v>0.82899999999999996</v>
      </c>
      <c r="L12061">
        <v>0.46</v>
      </c>
      <c r="M12061">
        <v>1.06</v>
      </c>
      <c r="N12061">
        <v>0.93</v>
      </c>
    </row>
    <row r="12062" spans="1:14" x14ac:dyDescent="0.25">
      <c r="A12062" t="s">
        <v>20782</v>
      </c>
      <c r="B12062" t="s">
        <v>10988</v>
      </c>
      <c r="C12062" s="1" t="str">
        <f>HYPERLINK("http://www.genecards.org/cgi-bin/carddisp.pl?gene=RPL14","GeneCards")</f>
        <v>GeneCards</v>
      </c>
      <c r="D12062" s="1" t="str">
        <f>HYPERLINK("http://genome-euro.ucsc.edu/cgi-bin/hgTracks?position=213588_x_at","UCSC")</f>
        <v>UCSC</v>
      </c>
      <c r="E12062" s="1" t="str">
        <f>HYPERLINK("http://www.ncbi.nlm.nih.gov/gene/?term=RPL14","NCBI")</f>
        <v>NCBI</v>
      </c>
      <c r="F12062">
        <v>0.34</v>
      </c>
      <c r="G12062">
        <v>0.48</v>
      </c>
      <c r="H12062" s="1" t="str">
        <f>HYPERLINK("http://www.weizmann.ac.il/complex/compphys/software/geview/data/figures/213588_x_at.png","Figure")</f>
        <v>Figure</v>
      </c>
      <c r="I12062">
        <v>0.89200000000000002</v>
      </c>
      <c r="J12062">
        <v>0.63</v>
      </c>
      <c r="K12062">
        <v>1.06</v>
      </c>
      <c r="L12062">
        <v>0.84</v>
      </c>
      <c r="M12062">
        <v>1.19</v>
      </c>
      <c r="N12062">
        <v>0.31</v>
      </c>
    </row>
    <row r="12063" spans="1:14" x14ac:dyDescent="0.25">
      <c r="A12063" t="s">
        <v>20783</v>
      </c>
      <c r="B12063" t="s">
        <v>20784</v>
      </c>
      <c r="C12063" s="1" t="str">
        <f>HYPERLINK("http://www.genecards.org/cgi-bin/carddisp.pl?gene=CRYBB2P1","GeneCards")</f>
        <v>GeneCards</v>
      </c>
      <c r="D12063" s="1" t="str">
        <f>HYPERLINK("http://genome-euro.ucsc.edu/cgi-bin/hgTracks?position=222048_at","UCSC")</f>
        <v>UCSC</v>
      </c>
      <c r="E12063" s="1" t="str">
        <f>HYPERLINK("http://www.ncbi.nlm.nih.gov/gene/?term=CRYBB2P1","NCBI")</f>
        <v>NCBI</v>
      </c>
      <c r="F12063">
        <v>0.34</v>
      </c>
      <c r="G12063">
        <v>0.48</v>
      </c>
      <c r="H12063" s="1" t="str">
        <f>HYPERLINK("http://www.weizmann.ac.il/complex/compphys/software/geview/data/figures/222048_at.png","Figure")</f>
        <v>Figure</v>
      </c>
      <c r="I12063">
        <v>1.1000000000000001</v>
      </c>
      <c r="J12063">
        <v>0.31</v>
      </c>
      <c r="K12063">
        <v>1.05</v>
      </c>
      <c r="L12063">
        <v>0.72</v>
      </c>
      <c r="M12063">
        <v>0.94799999999999995</v>
      </c>
      <c r="N12063">
        <v>0.65</v>
      </c>
    </row>
    <row r="12064" spans="1:14" x14ac:dyDescent="0.25">
      <c r="A12064" t="s">
        <v>20785</v>
      </c>
      <c r="B12064" t="s">
        <v>20786</v>
      </c>
      <c r="C12064" s="1" t="str">
        <f>HYPERLINK("http://www.genecards.org/cgi-bin/carddisp.pl?gene=ACIN1","GeneCards")</f>
        <v>GeneCards</v>
      </c>
      <c r="D12064" s="1" t="str">
        <f>HYPERLINK("http://genome-euro.ucsc.edu/cgi-bin/hgTracks?position=201715_s_at","UCSC")</f>
        <v>UCSC</v>
      </c>
      <c r="E12064" s="1" t="str">
        <f>HYPERLINK("http://www.ncbi.nlm.nih.gov/gene/?term=ACIN1","NCBI")</f>
        <v>NCBI</v>
      </c>
      <c r="F12064">
        <v>0.34</v>
      </c>
      <c r="G12064">
        <v>0.48</v>
      </c>
      <c r="H12064" s="1" t="str">
        <f>HYPERLINK("http://www.weizmann.ac.il/complex/compphys/software/geview/data/figures/201715_s_at.png","Figure")</f>
        <v>Figure</v>
      </c>
      <c r="I12064">
        <v>0.81799999999999995</v>
      </c>
      <c r="J12064">
        <v>0.35</v>
      </c>
      <c r="K12064">
        <v>0.86799999999999999</v>
      </c>
      <c r="L12064">
        <v>0.49</v>
      </c>
      <c r="M12064">
        <v>1.06</v>
      </c>
      <c r="N12064">
        <v>0.89</v>
      </c>
    </row>
    <row r="12065" spans="1:14" x14ac:dyDescent="0.25">
      <c r="A12065" t="s">
        <v>20787</v>
      </c>
      <c r="B12065" t="s">
        <v>16238</v>
      </c>
      <c r="C12065" s="1" t="str">
        <f>HYPERLINK("http://www.genecards.org/cgi-bin/carddisp.pl?gene=TIA1","GeneCards")</f>
        <v>GeneCards</v>
      </c>
      <c r="D12065" s="1" t="str">
        <f>HYPERLINK("http://genome-euro.ucsc.edu/cgi-bin/hgTracks?position=201449_at","UCSC")</f>
        <v>UCSC</v>
      </c>
      <c r="E12065" s="1" t="str">
        <f>HYPERLINK("http://www.ncbi.nlm.nih.gov/gene/?term=TIA1","NCBI")</f>
        <v>NCBI</v>
      </c>
      <c r="F12065">
        <v>0.34</v>
      </c>
      <c r="G12065">
        <v>0.48</v>
      </c>
      <c r="H12065" s="1" t="str">
        <f>HYPERLINK("http://www.weizmann.ac.il/complex/compphys/software/geview/data/figures/201449_at.png","Figure")</f>
        <v>Figure</v>
      </c>
      <c r="I12065">
        <v>0.83299999999999996</v>
      </c>
      <c r="J12065">
        <v>0.71</v>
      </c>
      <c r="K12065">
        <v>1.1499999999999999</v>
      </c>
      <c r="L12065">
        <v>0.76</v>
      </c>
      <c r="M12065">
        <v>1.38</v>
      </c>
      <c r="N12065">
        <v>0.31</v>
      </c>
    </row>
    <row r="12066" spans="1:14" x14ac:dyDescent="0.25">
      <c r="A12066" t="s">
        <v>20788</v>
      </c>
      <c r="B12066" t="s">
        <v>20789</v>
      </c>
      <c r="C12066" s="1" t="str">
        <f>HYPERLINK("http://www.genecards.org/cgi-bin/carddisp.pl?gene=DRG2","GeneCards")</f>
        <v>GeneCards</v>
      </c>
      <c r="D12066" s="1" t="str">
        <f>HYPERLINK("http://genome-euro.ucsc.edu/cgi-bin/hgTracks?position=203268_s_at","UCSC")</f>
        <v>UCSC</v>
      </c>
      <c r="E12066" s="1" t="str">
        <f>HYPERLINK("http://www.ncbi.nlm.nih.gov/gene/?term=DRG2","NCBI")</f>
        <v>NCBI</v>
      </c>
      <c r="F12066">
        <v>0.34</v>
      </c>
      <c r="G12066">
        <v>0.48</v>
      </c>
      <c r="H12066" s="1" t="str">
        <f>HYPERLINK("http://www.weizmann.ac.il/complex/compphys/software/geview/data/figures/203268_s_at.png","Figure")</f>
        <v>Figure</v>
      </c>
      <c r="I12066">
        <v>1.1599999999999999</v>
      </c>
      <c r="J12066">
        <v>0.32</v>
      </c>
      <c r="K12066">
        <v>1.08</v>
      </c>
      <c r="L12066">
        <v>0.63</v>
      </c>
      <c r="M12066">
        <v>0.93400000000000005</v>
      </c>
      <c r="N12066">
        <v>0.74</v>
      </c>
    </row>
    <row r="12067" spans="1:14" x14ac:dyDescent="0.25">
      <c r="A12067" t="s">
        <v>20790</v>
      </c>
      <c r="B12067" t="s">
        <v>20791</v>
      </c>
      <c r="C12067" s="1" t="str">
        <f>HYPERLINK("http://www.genecards.org/cgi-bin/carddisp.pl?gene=TMEM39A","GeneCards")</f>
        <v>GeneCards</v>
      </c>
      <c r="D12067" s="1" t="str">
        <f>HYPERLINK("http://genome-euro.ucsc.edu/cgi-bin/hgTracks?position=218615_s_at","UCSC")</f>
        <v>UCSC</v>
      </c>
      <c r="E12067" s="1" t="str">
        <f>HYPERLINK("http://www.ncbi.nlm.nih.gov/gene/?term=TMEM39A","NCBI")</f>
        <v>NCBI</v>
      </c>
      <c r="F12067">
        <v>0.34</v>
      </c>
      <c r="G12067">
        <v>0.48</v>
      </c>
      <c r="H12067" s="1" t="str">
        <f>HYPERLINK("http://www.weizmann.ac.il/complex/compphys/software/geview/data/figures/218615_s_at.png","Figure")</f>
        <v>Figure</v>
      </c>
      <c r="I12067">
        <v>1.1299999999999999</v>
      </c>
      <c r="J12067">
        <v>0.31</v>
      </c>
      <c r="K12067">
        <v>1.06</v>
      </c>
      <c r="L12067">
        <v>0.74</v>
      </c>
      <c r="M12067">
        <v>0.93</v>
      </c>
      <c r="N12067">
        <v>0.63</v>
      </c>
    </row>
    <row r="12068" spans="1:14" x14ac:dyDescent="0.25">
      <c r="A12068" t="s">
        <v>20792</v>
      </c>
      <c r="B12068" t="s">
        <v>11381</v>
      </c>
      <c r="C12068" s="1" t="str">
        <f>HYPERLINK("http://www.genecards.org/cgi-bin/carddisp.pl?gene=FABP7","GeneCards")</f>
        <v>GeneCards</v>
      </c>
      <c r="D12068" s="1" t="str">
        <f>HYPERLINK("http://genome-euro.ucsc.edu/cgi-bin/hgTracks?position=205030_at","UCSC")</f>
        <v>UCSC</v>
      </c>
      <c r="E12068" s="1" t="str">
        <f>HYPERLINK("http://www.ncbi.nlm.nih.gov/gene/?term=FABP7","NCBI")</f>
        <v>NCBI</v>
      </c>
      <c r="F12068">
        <v>0.34</v>
      </c>
      <c r="G12068">
        <v>0.48</v>
      </c>
      <c r="H12068" s="1" t="str">
        <f>HYPERLINK("http://www.weizmann.ac.il/complex/compphys/software/geview/data/figures/205030_at.png","Figure")</f>
        <v>Figure</v>
      </c>
      <c r="I12068">
        <v>1.02</v>
      </c>
      <c r="J12068">
        <v>0.84</v>
      </c>
      <c r="K12068">
        <v>0.97199999999999998</v>
      </c>
      <c r="L12068">
        <v>0.63</v>
      </c>
      <c r="M12068">
        <v>0.95399999999999996</v>
      </c>
      <c r="N12068">
        <v>0.33</v>
      </c>
    </row>
    <row r="12069" spans="1:14" x14ac:dyDescent="0.25">
      <c r="A12069" t="s">
        <v>20793</v>
      </c>
      <c r="B12069" t="s">
        <v>20794</v>
      </c>
      <c r="C12069" s="1" t="str">
        <f>HYPERLINK("http://www.genecards.org/cgi-bin/carddisp.pl?gene=C6orf97","GeneCards")</f>
        <v>GeneCards</v>
      </c>
      <c r="D12069" s="1" t="str">
        <f>HYPERLINK("http://genome-euro.ucsc.edu/cgi-bin/hgTracks?position=220581_at","UCSC")</f>
        <v>UCSC</v>
      </c>
      <c r="E12069" s="1" t="str">
        <f>HYPERLINK("http://www.ncbi.nlm.nih.gov/gene/?term=C6orf97","NCBI")</f>
        <v>NCBI</v>
      </c>
      <c r="F12069">
        <v>0.34</v>
      </c>
      <c r="G12069">
        <v>0.48</v>
      </c>
      <c r="H12069" s="1" t="str">
        <f>HYPERLINK("http://www.weizmann.ac.il/complex/compphys/software/geview/data/figures/220581_at.png","Figure")</f>
        <v>Figure</v>
      </c>
      <c r="I12069">
        <v>1</v>
      </c>
      <c r="J12069">
        <v>1</v>
      </c>
      <c r="K12069">
        <v>0.98599999999999999</v>
      </c>
      <c r="L12069">
        <v>0.41</v>
      </c>
      <c r="M12069">
        <v>0.98599999999999999</v>
      </c>
      <c r="N12069">
        <v>0.46</v>
      </c>
    </row>
    <row r="12070" spans="1:14" x14ac:dyDescent="0.25">
      <c r="A12070" t="s">
        <v>20795</v>
      </c>
      <c r="B12070" t="s">
        <v>20796</v>
      </c>
      <c r="C12070" s="1" t="str">
        <f>HYPERLINK("http://www.genecards.org/cgi-bin/carddisp.pl?gene=HRH4","GeneCards")</f>
        <v>GeneCards</v>
      </c>
      <c r="D12070" s="1" t="str">
        <f>HYPERLINK("http://genome-euro.ucsc.edu/cgi-bin/hgTracks?position=221169_s_at","UCSC")</f>
        <v>UCSC</v>
      </c>
      <c r="E12070" s="1" t="str">
        <f>HYPERLINK("http://www.ncbi.nlm.nih.gov/gene/?term=HRH4","NCBI")</f>
        <v>NCBI</v>
      </c>
      <c r="F12070">
        <v>0.34</v>
      </c>
      <c r="G12070">
        <v>0.48</v>
      </c>
      <c r="H12070" s="1" t="str">
        <f>HYPERLINK("http://www.weizmann.ac.il/complex/compphys/software/geview/data/figures/221169_s_at.png","Figure")</f>
        <v>Figure</v>
      </c>
      <c r="I12070">
        <v>1</v>
      </c>
      <c r="J12070">
        <v>1</v>
      </c>
      <c r="K12070">
        <v>0.99299999999999999</v>
      </c>
      <c r="L12070">
        <v>0.41</v>
      </c>
      <c r="M12070">
        <v>0.99299999999999999</v>
      </c>
      <c r="N12070">
        <v>0.46</v>
      </c>
    </row>
    <row r="12071" spans="1:14" x14ac:dyDescent="0.25">
      <c r="A12071" t="s">
        <v>20797</v>
      </c>
      <c r="B12071" t="s">
        <v>17326</v>
      </c>
      <c r="C12071" s="1" t="str">
        <f>HYPERLINK("http://www.genecards.org/cgi-bin/carddisp.pl?gene=TBL2","GeneCards")</f>
        <v>GeneCards</v>
      </c>
      <c r="D12071" s="1" t="str">
        <f>HYPERLINK("http://genome-euro.ucsc.edu/cgi-bin/hgTracks?position=212679_at","UCSC")</f>
        <v>UCSC</v>
      </c>
      <c r="E12071" s="1" t="str">
        <f>HYPERLINK("http://www.ncbi.nlm.nih.gov/gene/?term=TBL2","NCBI")</f>
        <v>NCBI</v>
      </c>
      <c r="F12071">
        <v>0.34</v>
      </c>
      <c r="G12071">
        <v>0.48</v>
      </c>
      <c r="H12071" s="1" t="str">
        <f>HYPERLINK("http://www.weizmann.ac.il/complex/compphys/software/geview/data/figures/212679_at.png","Figure")</f>
        <v>Figure</v>
      </c>
      <c r="I12071">
        <v>1.03</v>
      </c>
      <c r="J12071">
        <v>0.85</v>
      </c>
      <c r="K12071">
        <v>0.95799999999999996</v>
      </c>
      <c r="L12071">
        <v>0.62</v>
      </c>
      <c r="M12071">
        <v>0.93100000000000005</v>
      </c>
      <c r="N12071">
        <v>0.34</v>
      </c>
    </row>
    <row r="12072" spans="1:14" x14ac:dyDescent="0.25">
      <c r="A12072" t="s">
        <v>20798</v>
      </c>
      <c r="B12072" t="s">
        <v>20799</v>
      </c>
      <c r="C12072" s="1" t="str">
        <f>HYPERLINK("http://www.genecards.org/cgi-bin/carddisp.pl?gene=CDON","GeneCards")</f>
        <v>GeneCards</v>
      </c>
      <c r="D12072" s="1" t="str">
        <f>HYPERLINK("http://genome-euro.ucsc.edu/cgi-bin/hgTracks?position=207230_at","UCSC")</f>
        <v>UCSC</v>
      </c>
      <c r="E12072" s="1" t="str">
        <f>HYPERLINK("http://www.ncbi.nlm.nih.gov/gene/?term=CDON","NCBI")</f>
        <v>NCBI</v>
      </c>
      <c r="F12072">
        <v>0.34</v>
      </c>
      <c r="G12072">
        <v>0.48</v>
      </c>
      <c r="H12072" s="1" t="str">
        <f>HYPERLINK("http://www.weizmann.ac.il/complex/compphys/software/geview/data/figures/207230_at.png","Figure")</f>
        <v>Figure</v>
      </c>
      <c r="I12072">
        <v>1.06</v>
      </c>
      <c r="J12072">
        <v>0.43</v>
      </c>
      <c r="K12072">
        <v>1.05</v>
      </c>
      <c r="L12072">
        <v>0.39</v>
      </c>
      <c r="M12072">
        <v>0.996</v>
      </c>
      <c r="N12072">
        <v>1</v>
      </c>
    </row>
    <row r="12073" spans="1:14" x14ac:dyDescent="0.25">
      <c r="A12073" t="s">
        <v>20800</v>
      </c>
      <c r="B12073" t="s">
        <v>3747</v>
      </c>
      <c r="C12073" s="1" t="str">
        <f>HYPERLINK("http://www.genecards.org/cgi-bin/carddisp.pl?gene=PIP5K1A","GeneCards")</f>
        <v>GeneCards</v>
      </c>
      <c r="D12073" s="1" t="str">
        <f>HYPERLINK("http://genome-euro.ucsc.edu/cgi-bin/hgTracks?position=210256_s_at","UCSC")</f>
        <v>UCSC</v>
      </c>
      <c r="E12073" s="1" t="str">
        <f>HYPERLINK("http://www.ncbi.nlm.nih.gov/gene/?term=PIP5K1A","NCBI")</f>
        <v>NCBI</v>
      </c>
      <c r="F12073">
        <v>0.34</v>
      </c>
      <c r="G12073">
        <v>0.48</v>
      </c>
      <c r="H12073" s="1" t="str">
        <f>HYPERLINK("http://www.weizmann.ac.il/complex/compphys/software/geview/data/figures/210256_s_at.png","Figure")</f>
        <v>Figure</v>
      </c>
      <c r="I12073">
        <v>1.1499999999999999</v>
      </c>
      <c r="J12073">
        <v>0.31</v>
      </c>
      <c r="K12073">
        <v>1.07</v>
      </c>
      <c r="L12073">
        <v>0.66</v>
      </c>
      <c r="M12073">
        <v>0.93100000000000005</v>
      </c>
      <c r="N12073">
        <v>0.71</v>
      </c>
    </row>
    <row r="12074" spans="1:14" x14ac:dyDescent="0.25">
      <c r="A12074" t="s">
        <v>20801</v>
      </c>
      <c r="B12074" t="s">
        <v>20802</v>
      </c>
      <c r="C12074" s="1" t="str">
        <f>HYPERLINK("http://www.genecards.org/cgi-bin/carddisp.pl?gene=SLC46A3","GeneCards")</f>
        <v>GeneCards</v>
      </c>
      <c r="D12074" s="1" t="str">
        <f>HYPERLINK("http://genome-euro.ucsc.edu/cgi-bin/hgTracks?position=214719_at","UCSC")</f>
        <v>UCSC</v>
      </c>
      <c r="E12074" s="1" t="str">
        <f>HYPERLINK("http://www.ncbi.nlm.nih.gov/gene/?term=SLC46A3","NCBI")</f>
        <v>NCBI</v>
      </c>
      <c r="F12074">
        <v>0.34</v>
      </c>
      <c r="G12074">
        <v>0.48</v>
      </c>
      <c r="H12074" s="1" t="str">
        <f>HYPERLINK("http://www.weizmann.ac.il/complex/compphys/software/geview/data/figures/214719_at.png","Figure")</f>
        <v>Figure</v>
      </c>
      <c r="I12074">
        <v>1.01</v>
      </c>
      <c r="J12074">
        <v>1</v>
      </c>
      <c r="K12074">
        <v>0.747</v>
      </c>
      <c r="L12074">
        <v>0.43</v>
      </c>
      <c r="M12074">
        <v>0.73799999999999999</v>
      </c>
      <c r="N12074">
        <v>0.44</v>
      </c>
    </row>
    <row r="12075" spans="1:14" x14ac:dyDescent="0.25">
      <c r="A12075" t="s">
        <v>20803</v>
      </c>
      <c r="B12075" t="s">
        <v>20804</v>
      </c>
      <c r="C12075" s="1" t="str">
        <f>HYPERLINK("http://www.genecards.org/cgi-bin/carddisp.pl?gene=C1orf54","GeneCards")</f>
        <v>GeneCards</v>
      </c>
      <c r="D12075" s="1" t="str">
        <f>HYPERLINK("http://genome-euro.ucsc.edu/cgi-bin/hgTracks?position=219506_at","UCSC")</f>
        <v>UCSC</v>
      </c>
      <c r="E12075" s="1" t="str">
        <f>HYPERLINK("http://www.ncbi.nlm.nih.gov/gene/?term=C1orf54","NCBI")</f>
        <v>NCBI</v>
      </c>
      <c r="F12075">
        <v>0.34</v>
      </c>
      <c r="G12075">
        <v>0.48</v>
      </c>
      <c r="H12075" s="1" t="str">
        <f>HYPERLINK("http://www.weizmann.ac.il/complex/compphys/software/geview/data/figures/219506_at.png","Figure")</f>
        <v>Figure</v>
      </c>
      <c r="I12075">
        <v>0.95</v>
      </c>
      <c r="J12075">
        <v>0.98</v>
      </c>
      <c r="K12075">
        <v>0.74</v>
      </c>
      <c r="L12075">
        <v>0.37</v>
      </c>
      <c r="M12075">
        <v>0.77900000000000003</v>
      </c>
      <c r="N12075">
        <v>0.54</v>
      </c>
    </row>
    <row r="12076" spans="1:14" x14ac:dyDescent="0.25">
      <c r="A12076" t="s">
        <v>20805</v>
      </c>
      <c r="B12076" t="s">
        <v>20806</v>
      </c>
      <c r="C12076" s="1" t="str">
        <f>HYPERLINK("http://www.genecards.org/cgi-bin/carddisp.pl?gene=PSPN","GeneCards")</f>
        <v>GeneCards</v>
      </c>
      <c r="D12076" s="1" t="str">
        <f>HYPERLINK("http://genome-euro.ucsc.edu/cgi-bin/hgTracks?position=221373_x_at","UCSC")</f>
        <v>UCSC</v>
      </c>
      <c r="E12076" s="1" t="str">
        <f>HYPERLINK("http://www.ncbi.nlm.nih.gov/gene/?term=PSPN","NCBI")</f>
        <v>NCBI</v>
      </c>
      <c r="F12076">
        <v>0.34</v>
      </c>
      <c r="G12076">
        <v>0.48</v>
      </c>
      <c r="H12076" s="1" t="str">
        <f>HYPERLINK("http://www.weizmann.ac.il/complex/compphys/software/geview/data/figures/221373_x_at.png","Figure")</f>
        <v>Figure</v>
      </c>
      <c r="I12076">
        <v>1.06</v>
      </c>
      <c r="J12076">
        <v>0.42</v>
      </c>
      <c r="K12076">
        <v>1.05</v>
      </c>
      <c r="L12076">
        <v>0.4</v>
      </c>
      <c r="M12076">
        <v>0.99399999999999999</v>
      </c>
      <c r="N12076">
        <v>0.99</v>
      </c>
    </row>
    <row r="12077" spans="1:14" x14ac:dyDescent="0.25">
      <c r="A12077" t="s">
        <v>20807</v>
      </c>
      <c r="B12077" t="s">
        <v>12039</v>
      </c>
      <c r="C12077" s="1" t="str">
        <f>HYPERLINK("http://www.genecards.org/cgi-bin/carddisp.pl?gene=LPIN1","GeneCards")</f>
        <v>GeneCards</v>
      </c>
      <c r="D12077" s="1" t="str">
        <f>HYPERLINK("http://genome-euro.ucsc.edu/cgi-bin/hgTracks?position=212274_at","UCSC")</f>
        <v>UCSC</v>
      </c>
      <c r="E12077" s="1" t="str">
        <f>HYPERLINK("http://www.ncbi.nlm.nih.gov/gene/?term=LPIN1","NCBI")</f>
        <v>NCBI</v>
      </c>
      <c r="F12077">
        <v>0.34</v>
      </c>
      <c r="G12077">
        <v>0.48</v>
      </c>
      <c r="H12077" s="1" t="str">
        <f>HYPERLINK("http://www.weizmann.ac.il/complex/compphys/software/geview/data/figures/212274_at.png","Figure")</f>
        <v>Figure</v>
      </c>
      <c r="I12077">
        <v>1.02</v>
      </c>
      <c r="J12077">
        <v>0.99</v>
      </c>
      <c r="K12077">
        <v>0.80500000000000005</v>
      </c>
      <c r="L12077">
        <v>0.45</v>
      </c>
      <c r="M12077">
        <v>0.78800000000000003</v>
      </c>
      <c r="N12077">
        <v>0.43</v>
      </c>
    </row>
    <row r="12078" spans="1:14" x14ac:dyDescent="0.25">
      <c r="A12078" t="s">
        <v>20808</v>
      </c>
      <c r="B12078" t="s">
        <v>11952</v>
      </c>
      <c r="C12078" s="1" t="str">
        <f>HYPERLINK("http://www.genecards.org/cgi-bin/carddisp.pl?gene=OSBPL10","GeneCards")</f>
        <v>GeneCards</v>
      </c>
      <c r="D12078" s="1" t="str">
        <f>HYPERLINK("http://genome-euro.ucsc.edu/cgi-bin/hgTracks?position=217017_at","UCSC")</f>
        <v>UCSC</v>
      </c>
      <c r="E12078" s="1" t="str">
        <f>HYPERLINK("http://www.ncbi.nlm.nih.gov/gene/?term=OSBPL10","NCBI")</f>
        <v>NCBI</v>
      </c>
      <c r="F12078">
        <v>0.34</v>
      </c>
      <c r="G12078">
        <v>0.48</v>
      </c>
      <c r="H12078" s="1" t="str">
        <f>HYPERLINK("http://www.weizmann.ac.il/complex/compphys/software/geview/data/figures/217017_at.png","Figure")</f>
        <v>Figure</v>
      </c>
      <c r="I12078">
        <v>1.1000000000000001</v>
      </c>
      <c r="J12078">
        <v>0.32</v>
      </c>
      <c r="K12078">
        <v>1.03</v>
      </c>
      <c r="L12078">
        <v>0.84</v>
      </c>
      <c r="M12078">
        <v>0.93500000000000005</v>
      </c>
      <c r="N12078">
        <v>0.54</v>
      </c>
    </row>
    <row r="12079" spans="1:14" x14ac:dyDescent="0.25">
      <c r="A12079" t="s">
        <v>20809</v>
      </c>
      <c r="B12079" t="s">
        <v>20810</v>
      </c>
      <c r="C12079" s="1" t="str">
        <f>HYPERLINK("http://www.genecards.org/cgi-bin/carddisp.pl?gene=RABGAP1L","GeneCards")</f>
        <v>GeneCards</v>
      </c>
      <c r="D12079" s="1" t="str">
        <f>HYPERLINK("http://genome-euro.ucsc.edu/cgi-bin/hgTracks?position=213982_s_at","UCSC")</f>
        <v>UCSC</v>
      </c>
      <c r="E12079" s="1" t="str">
        <f>HYPERLINK("http://www.ncbi.nlm.nih.gov/gene/?term=RABGAP1L","NCBI")</f>
        <v>NCBI</v>
      </c>
      <c r="F12079">
        <v>0.34</v>
      </c>
      <c r="G12079">
        <v>0.48</v>
      </c>
      <c r="H12079" s="1" t="str">
        <f>HYPERLINK("http://www.weizmann.ac.il/complex/compphys/software/geview/data/figures/213982_s_at.png","Figure")</f>
        <v>Figure</v>
      </c>
      <c r="I12079">
        <v>1.21</v>
      </c>
      <c r="J12079">
        <v>0.79</v>
      </c>
      <c r="K12079">
        <v>1.47</v>
      </c>
      <c r="L12079">
        <v>0.31</v>
      </c>
      <c r="M12079">
        <v>1.21</v>
      </c>
      <c r="N12079">
        <v>0.77</v>
      </c>
    </row>
    <row r="12080" spans="1:14" x14ac:dyDescent="0.25">
      <c r="A12080" t="s">
        <v>20811</v>
      </c>
      <c r="B12080" t="s">
        <v>20812</v>
      </c>
      <c r="C12080" s="1" t="str">
        <f>HYPERLINK("http://www.genecards.org/cgi-bin/carddisp.pl?gene=IGLJ3","GeneCards")</f>
        <v>GeneCards</v>
      </c>
      <c r="D12080" s="1" t="str">
        <f>HYPERLINK("http://genome-euro.ucsc.edu/cgi-bin/hgTracks?position=211881_x_at","UCSC")</f>
        <v>UCSC</v>
      </c>
      <c r="E12080" s="1" t="str">
        <f>HYPERLINK("http://www.ncbi.nlm.nih.gov/gene/?term=IGLJ3","NCBI")</f>
        <v>NCBI</v>
      </c>
      <c r="F12080">
        <v>0.34</v>
      </c>
      <c r="G12080">
        <v>0.48</v>
      </c>
      <c r="H12080" s="1" t="str">
        <f>HYPERLINK("http://www.weizmann.ac.il/complex/compphys/software/geview/data/figures/211881_x_at.png","Figure")</f>
        <v>Figure</v>
      </c>
      <c r="I12080">
        <v>0.97599999999999998</v>
      </c>
      <c r="J12080">
        <v>0.98</v>
      </c>
      <c r="K12080">
        <v>1.1299999999999999</v>
      </c>
      <c r="L12080">
        <v>0.48</v>
      </c>
      <c r="M12080">
        <v>1.1499999999999999</v>
      </c>
      <c r="N12080">
        <v>0.4</v>
      </c>
    </row>
    <row r="12081" spans="1:14" x14ac:dyDescent="0.25">
      <c r="A12081" t="s">
        <v>20813</v>
      </c>
      <c r="B12081" t="s">
        <v>20814</v>
      </c>
      <c r="C12081" s="1" t="str">
        <f>HYPERLINK("http://www.genecards.org/cgi-bin/carddisp.pl?gene=DCAF16","GeneCards")</f>
        <v>GeneCards</v>
      </c>
      <c r="D12081" s="1" t="str">
        <f>HYPERLINK("http://genome-euro.ucsc.edu/cgi-bin/hgTracks?position=219717_at","UCSC")</f>
        <v>UCSC</v>
      </c>
      <c r="E12081" s="1" t="str">
        <f>HYPERLINK("http://www.ncbi.nlm.nih.gov/gene/?term=DCAF16","NCBI")</f>
        <v>NCBI</v>
      </c>
      <c r="F12081">
        <v>0.34</v>
      </c>
      <c r="G12081">
        <v>0.48</v>
      </c>
      <c r="H12081" s="1" t="str">
        <f>HYPERLINK("http://www.weizmann.ac.il/complex/compphys/software/geview/data/figures/219717_at.png","Figure")</f>
        <v>Figure</v>
      </c>
      <c r="I12081">
        <v>0.83199999999999996</v>
      </c>
      <c r="J12081">
        <v>0.79</v>
      </c>
      <c r="K12081">
        <v>0.69099999999999995</v>
      </c>
      <c r="L12081">
        <v>0.32</v>
      </c>
      <c r="M12081">
        <v>0.83099999999999996</v>
      </c>
      <c r="N12081">
        <v>0.76</v>
      </c>
    </row>
    <row r="12082" spans="1:14" x14ac:dyDescent="0.25">
      <c r="A12082" t="s">
        <v>20815</v>
      </c>
      <c r="B12082" t="s">
        <v>12807</v>
      </c>
      <c r="C12082" s="1" t="str">
        <f>HYPERLINK("http://www.genecards.org/cgi-bin/carddisp.pl?gene=ATRN","GeneCards")</f>
        <v>GeneCards</v>
      </c>
      <c r="D12082" s="1" t="str">
        <f>HYPERLINK("http://genome-euro.ucsc.edu/cgi-bin/hgTracks?position=211852_s_at","UCSC")</f>
        <v>UCSC</v>
      </c>
      <c r="E12082" s="1" t="str">
        <f>HYPERLINK("http://www.ncbi.nlm.nih.gov/gene/?term=ATRN","NCBI")</f>
        <v>NCBI</v>
      </c>
      <c r="F12082">
        <v>0.34</v>
      </c>
      <c r="G12082">
        <v>0.48</v>
      </c>
      <c r="H12082" s="1" t="str">
        <f>HYPERLINK("http://www.weizmann.ac.il/complex/compphys/software/geview/data/figures/211852_s_at.png","Figure")</f>
        <v>Figure</v>
      </c>
      <c r="I12082">
        <v>0.99</v>
      </c>
      <c r="J12082">
        <v>0.99</v>
      </c>
      <c r="K12082">
        <v>1.1000000000000001</v>
      </c>
      <c r="L12082">
        <v>0.45</v>
      </c>
      <c r="M12082">
        <v>1.1100000000000001</v>
      </c>
      <c r="N12082">
        <v>0.42</v>
      </c>
    </row>
    <row r="12083" spans="1:14" x14ac:dyDescent="0.25">
      <c r="A12083" t="s">
        <v>20816</v>
      </c>
      <c r="B12083" t="s">
        <v>12780</v>
      </c>
      <c r="C12083" s="1" t="str">
        <f>HYPERLINK("http://www.genecards.org/cgi-bin/carddisp.pl?gene=RPL13","GeneCards")</f>
        <v>GeneCards</v>
      </c>
      <c r="D12083" s="1" t="str">
        <f>HYPERLINK("http://genome-euro.ucsc.edu/cgi-bin/hgTracks?position=212191_x_at","UCSC")</f>
        <v>UCSC</v>
      </c>
      <c r="E12083" s="1" t="str">
        <f>HYPERLINK("http://www.ncbi.nlm.nih.gov/gene/?term=RPL13","NCBI")</f>
        <v>NCBI</v>
      </c>
      <c r="F12083">
        <v>0.34</v>
      </c>
      <c r="G12083">
        <v>0.48</v>
      </c>
      <c r="H12083" s="1" t="str">
        <f>HYPERLINK("http://www.weizmann.ac.il/complex/compphys/software/geview/data/figures/212191_x_at.png","Figure")</f>
        <v>Figure</v>
      </c>
      <c r="I12083">
        <v>0.91300000000000003</v>
      </c>
      <c r="J12083">
        <v>0.95</v>
      </c>
      <c r="K12083">
        <v>1.35</v>
      </c>
      <c r="L12083">
        <v>0.51</v>
      </c>
      <c r="M12083">
        <v>1.48</v>
      </c>
      <c r="N12083">
        <v>0.38</v>
      </c>
    </row>
    <row r="12084" spans="1:14" x14ac:dyDescent="0.25">
      <c r="A12084" t="s">
        <v>20817</v>
      </c>
      <c r="B12084" t="s">
        <v>20818</v>
      </c>
      <c r="C12084" s="1" t="str">
        <f>HYPERLINK("http://www.genecards.org/cgi-bin/carddisp.pl?gene=HOXA10","GeneCards")</f>
        <v>GeneCards</v>
      </c>
      <c r="D12084" s="1" t="str">
        <f>HYPERLINK("http://genome-euro.ucsc.edu/cgi-bin/hgTracks?position=213147_at","UCSC")</f>
        <v>UCSC</v>
      </c>
      <c r="E12084" s="1" t="str">
        <f>HYPERLINK("http://www.ncbi.nlm.nih.gov/gene/?term=HOXA10","NCBI")</f>
        <v>NCBI</v>
      </c>
      <c r="F12084">
        <v>0.34</v>
      </c>
      <c r="G12084">
        <v>0.48</v>
      </c>
      <c r="H12084" s="1" t="str">
        <f>HYPERLINK("http://www.weizmann.ac.il/complex/compphys/software/geview/data/figures/213147_at.png","Figure")</f>
        <v>Figure</v>
      </c>
      <c r="I12084">
        <v>0.98699999999999999</v>
      </c>
      <c r="J12084">
        <v>0.98</v>
      </c>
      <c r="K12084">
        <v>0.91300000000000003</v>
      </c>
      <c r="L12084">
        <v>0.37</v>
      </c>
      <c r="M12084">
        <v>0.92600000000000005</v>
      </c>
      <c r="N12084">
        <v>0.53</v>
      </c>
    </row>
    <row r="12085" spans="1:14" x14ac:dyDescent="0.25">
      <c r="A12085" t="s">
        <v>20819</v>
      </c>
      <c r="B12085" t="s">
        <v>20820</v>
      </c>
      <c r="C12085" s="1" t="str">
        <f>HYPERLINK("http://www.genecards.org/cgi-bin/carddisp.pl?gene=NBPF10 /// NBPF15 /// NBPF16 /// NBPF20 /// NBPF8","GeneCards")</f>
        <v>GeneCards</v>
      </c>
      <c r="D12085" s="1" t="str">
        <f>HYPERLINK("http://genome-euro.ucsc.edu/cgi-bin/hgTracks?position=213612_x_at","UCSC")</f>
        <v>UCSC</v>
      </c>
      <c r="E12085" s="1" t="str">
        <f>HYPERLINK("http://www.ncbi.nlm.nih.gov/gene/?term=NBPF10 /// NBPF15 /// NBPF16 /// NBPF20 /// NBPF8","NCBI")</f>
        <v>NCBI</v>
      </c>
      <c r="F12085">
        <v>0.34</v>
      </c>
      <c r="G12085">
        <v>0.48</v>
      </c>
      <c r="H12085" s="1" t="str">
        <f>HYPERLINK("http://www.weizmann.ac.il/complex/compphys/software/geview/data/figures/213612_x_at.png","Figure")</f>
        <v>Figure</v>
      </c>
      <c r="I12085">
        <v>1.1000000000000001</v>
      </c>
      <c r="J12085">
        <v>0.78</v>
      </c>
      <c r="K12085">
        <v>0.90700000000000003</v>
      </c>
      <c r="L12085">
        <v>0.7</v>
      </c>
      <c r="M12085">
        <v>0.82599999999999996</v>
      </c>
      <c r="N12085">
        <v>0.32</v>
      </c>
    </row>
    <row r="12086" spans="1:14" x14ac:dyDescent="0.25">
      <c r="A12086" t="s">
        <v>20821</v>
      </c>
      <c r="B12086" t="s">
        <v>20822</v>
      </c>
      <c r="C12086" s="1" t="str">
        <f>HYPERLINK("http://www.genecards.org/cgi-bin/carddisp.pl?gene=N4BP3","GeneCards")</f>
        <v>GeneCards</v>
      </c>
      <c r="D12086" s="1" t="str">
        <f>HYPERLINK("http://genome-euro.ucsc.edu/cgi-bin/hgTracks?position=214775_at","UCSC")</f>
        <v>UCSC</v>
      </c>
      <c r="E12086" s="1" t="str">
        <f>HYPERLINK("http://www.ncbi.nlm.nih.gov/gene/?term=N4BP3","NCBI")</f>
        <v>NCBI</v>
      </c>
      <c r="F12086">
        <v>0.34</v>
      </c>
      <c r="G12086">
        <v>0.48</v>
      </c>
      <c r="H12086" s="1" t="str">
        <f>HYPERLINK("http://www.weizmann.ac.il/complex/compphys/software/geview/data/figures/214775_at.png","Figure")</f>
        <v>Figure</v>
      </c>
      <c r="I12086">
        <v>1.1000000000000001</v>
      </c>
      <c r="J12086">
        <v>0.81</v>
      </c>
      <c r="K12086">
        <v>1.22</v>
      </c>
      <c r="L12086">
        <v>0.32</v>
      </c>
      <c r="M12086">
        <v>1.1100000000000001</v>
      </c>
      <c r="N12086">
        <v>0.74</v>
      </c>
    </row>
    <row r="12087" spans="1:14" x14ac:dyDescent="0.25">
      <c r="A12087" t="s">
        <v>20823</v>
      </c>
      <c r="B12087" t="s">
        <v>13844</v>
      </c>
      <c r="C12087" s="1" t="str">
        <f>HYPERLINK("http://www.genecards.org/cgi-bin/carddisp.pl?gene=CXXC1","GeneCards")</f>
        <v>GeneCards</v>
      </c>
      <c r="D12087" s="1" t="str">
        <f>HYPERLINK("http://genome-euro.ucsc.edu/cgi-bin/hgTracks?position=218058_at","UCSC")</f>
        <v>UCSC</v>
      </c>
      <c r="E12087" s="1" t="str">
        <f>HYPERLINK("http://www.ncbi.nlm.nih.gov/gene/?term=CXXC1","NCBI")</f>
        <v>NCBI</v>
      </c>
      <c r="F12087">
        <v>0.34</v>
      </c>
      <c r="G12087">
        <v>0.48</v>
      </c>
      <c r="H12087" s="1" t="str">
        <f>HYPERLINK("http://www.weizmann.ac.il/complex/compphys/software/geview/data/figures/218058_at.png","Figure")</f>
        <v>Figure</v>
      </c>
      <c r="I12087">
        <v>1.01</v>
      </c>
      <c r="J12087">
        <v>1</v>
      </c>
      <c r="K12087">
        <v>1.17</v>
      </c>
      <c r="L12087">
        <v>0.39</v>
      </c>
      <c r="M12087">
        <v>1.1599999999999999</v>
      </c>
      <c r="N12087">
        <v>0.49</v>
      </c>
    </row>
    <row r="12088" spans="1:14" x14ac:dyDescent="0.25">
      <c r="A12088" t="s">
        <v>20824</v>
      </c>
      <c r="B12088" t="s">
        <v>17672</v>
      </c>
      <c r="C12088" s="1" t="str">
        <f>HYPERLINK("http://www.genecards.org/cgi-bin/carddisp.pl?gene=TTC38","GeneCards")</f>
        <v>GeneCards</v>
      </c>
      <c r="D12088" s="1" t="str">
        <f>HYPERLINK("http://genome-euro.ucsc.edu/cgi-bin/hgTracks?position=218272_at","UCSC")</f>
        <v>UCSC</v>
      </c>
      <c r="E12088" s="1" t="str">
        <f>HYPERLINK("http://www.ncbi.nlm.nih.gov/gene/?term=TTC38","NCBI")</f>
        <v>NCBI</v>
      </c>
      <c r="F12088">
        <v>0.34</v>
      </c>
      <c r="G12088">
        <v>0.48</v>
      </c>
      <c r="H12088" s="1" t="str">
        <f>HYPERLINK("http://www.weizmann.ac.il/complex/compphys/software/geview/data/figures/218272_at.png","Figure")</f>
        <v>Figure</v>
      </c>
      <c r="I12088">
        <v>0.93400000000000005</v>
      </c>
      <c r="J12088">
        <v>0.86</v>
      </c>
      <c r="K12088">
        <v>1.1100000000000001</v>
      </c>
      <c r="L12088">
        <v>0.61</v>
      </c>
      <c r="M12088">
        <v>1.19</v>
      </c>
      <c r="N12088">
        <v>0.34</v>
      </c>
    </row>
    <row r="12089" spans="1:14" x14ac:dyDescent="0.25">
      <c r="A12089" t="s">
        <v>20825</v>
      </c>
      <c r="B12089" t="s">
        <v>20826</v>
      </c>
      <c r="C12089" s="1" t="str">
        <f>HYPERLINK("http://www.genecards.org/cgi-bin/carddisp.pl?gene=CSAG2 /// CSAG3","GeneCards")</f>
        <v>GeneCards</v>
      </c>
      <c r="D12089" s="1" t="str">
        <f>HYPERLINK("http://genome-euro.ucsc.edu/cgi-bin/hgTracks?position=220445_s_at","UCSC")</f>
        <v>UCSC</v>
      </c>
      <c r="E12089" s="1" t="str">
        <f>HYPERLINK("http://www.ncbi.nlm.nih.gov/gene/?term=CSAG2 /// CSAG3","NCBI")</f>
        <v>NCBI</v>
      </c>
      <c r="F12089">
        <v>0.34</v>
      </c>
      <c r="G12089">
        <v>0.48</v>
      </c>
      <c r="H12089" s="1" t="str">
        <f>HYPERLINK("http://www.weizmann.ac.il/complex/compphys/software/geview/data/figures/220445_s_at.png","Figure")</f>
        <v>Figure</v>
      </c>
      <c r="I12089">
        <v>1.01</v>
      </c>
      <c r="J12089">
        <v>0.98</v>
      </c>
      <c r="K12089">
        <v>0.94799999999999995</v>
      </c>
      <c r="L12089">
        <v>0.46</v>
      </c>
      <c r="M12089">
        <v>0.94</v>
      </c>
      <c r="N12089">
        <v>0.41</v>
      </c>
    </row>
    <row r="12090" spans="1:14" x14ac:dyDescent="0.25">
      <c r="A12090" t="s">
        <v>20827</v>
      </c>
      <c r="B12090" t="s">
        <v>20828</v>
      </c>
      <c r="C12090" s="1" t="str">
        <f>HYPERLINK("http://www.genecards.org/cgi-bin/carddisp.pl?gene=ZNF672","GeneCards")</f>
        <v>GeneCards</v>
      </c>
      <c r="D12090" s="1" t="str">
        <f>HYPERLINK("http://genome-euro.ucsc.edu/cgi-bin/hgTracks?position=218068_s_at","UCSC")</f>
        <v>UCSC</v>
      </c>
      <c r="E12090" s="1" t="str">
        <f>HYPERLINK("http://www.ncbi.nlm.nih.gov/gene/?term=ZNF672","NCBI")</f>
        <v>NCBI</v>
      </c>
      <c r="F12090">
        <v>0.34</v>
      </c>
      <c r="G12090">
        <v>0.48</v>
      </c>
      <c r="H12090" s="1" t="str">
        <f>HYPERLINK("http://www.weizmann.ac.il/complex/compphys/software/geview/data/figures/218068_s_at.png","Figure")</f>
        <v>Figure</v>
      </c>
      <c r="I12090">
        <v>1.36</v>
      </c>
      <c r="J12090">
        <v>0.32</v>
      </c>
      <c r="K12090">
        <v>1.1100000000000001</v>
      </c>
      <c r="L12090">
        <v>0.82</v>
      </c>
      <c r="M12090">
        <v>0.81799999999999995</v>
      </c>
      <c r="N12090">
        <v>0.56000000000000005</v>
      </c>
    </row>
    <row r="12091" spans="1:14" x14ac:dyDescent="0.25">
      <c r="A12091" t="s">
        <v>20829</v>
      </c>
      <c r="B12091" t="s">
        <v>17678</v>
      </c>
      <c r="C12091" s="1" t="str">
        <f>HYPERLINK("http://www.genecards.org/cgi-bin/carddisp.pl?gene=SMAD4","GeneCards")</f>
        <v>GeneCards</v>
      </c>
      <c r="D12091" s="1" t="str">
        <f>HYPERLINK("http://genome-euro.ucsc.edu/cgi-bin/hgTracks?position=202526_at","UCSC")</f>
        <v>UCSC</v>
      </c>
      <c r="E12091" s="1" t="str">
        <f>HYPERLINK("http://www.ncbi.nlm.nih.gov/gene/?term=SMAD4","NCBI")</f>
        <v>NCBI</v>
      </c>
      <c r="F12091">
        <v>0.34</v>
      </c>
      <c r="G12091">
        <v>0.48</v>
      </c>
      <c r="H12091" s="1" t="str">
        <f>HYPERLINK("http://www.weizmann.ac.il/complex/compphys/software/geview/data/figures/202526_at.png","Figure")</f>
        <v>Figure</v>
      </c>
      <c r="I12091">
        <v>0.95299999999999996</v>
      </c>
      <c r="J12091">
        <v>0.35</v>
      </c>
      <c r="K12091">
        <v>0.99</v>
      </c>
      <c r="L12091">
        <v>0.94</v>
      </c>
      <c r="M12091">
        <v>1.04</v>
      </c>
      <c r="N12091">
        <v>0.45</v>
      </c>
    </row>
    <row r="12092" spans="1:14" x14ac:dyDescent="0.25">
      <c r="A12092" t="s">
        <v>20830</v>
      </c>
      <c r="B12092" t="s">
        <v>17978</v>
      </c>
      <c r="C12092" s="1" t="str">
        <f>HYPERLINK("http://www.genecards.org/cgi-bin/carddisp.pl?gene=RFC3","GeneCards")</f>
        <v>GeneCards</v>
      </c>
      <c r="D12092" s="1" t="str">
        <f>HYPERLINK("http://genome-euro.ucsc.edu/cgi-bin/hgTracks?position=204127_at","UCSC")</f>
        <v>UCSC</v>
      </c>
      <c r="E12092" s="1" t="str">
        <f>HYPERLINK("http://www.ncbi.nlm.nih.gov/gene/?term=RFC3","NCBI")</f>
        <v>NCBI</v>
      </c>
      <c r="F12092">
        <v>0.34</v>
      </c>
      <c r="G12092">
        <v>0.48</v>
      </c>
      <c r="H12092" s="1" t="str">
        <f>HYPERLINK("http://www.weizmann.ac.il/complex/compphys/software/geview/data/figures/204127_at.png","Figure")</f>
        <v>Figure</v>
      </c>
      <c r="I12092">
        <v>0.66300000000000003</v>
      </c>
      <c r="J12092">
        <v>0.34</v>
      </c>
      <c r="K12092">
        <v>0.90500000000000003</v>
      </c>
      <c r="L12092">
        <v>0.91</v>
      </c>
      <c r="M12092">
        <v>1.37</v>
      </c>
      <c r="N12092">
        <v>0.48</v>
      </c>
    </row>
    <row r="12093" spans="1:14" x14ac:dyDescent="0.25">
      <c r="A12093" t="s">
        <v>20831</v>
      </c>
      <c r="B12093" t="s">
        <v>20832</v>
      </c>
      <c r="C12093" s="1" t="str">
        <f>HYPERLINK("http://www.genecards.org/cgi-bin/carddisp.pl?gene=KLK7","GeneCards")</f>
        <v>GeneCards</v>
      </c>
      <c r="D12093" s="1" t="str">
        <f>HYPERLINK("http://genome-euro.ucsc.edu/cgi-bin/hgTracks?position=205778_at","UCSC")</f>
        <v>UCSC</v>
      </c>
      <c r="E12093" s="1" t="str">
        <f>HYPERLINK("http://www.ncbi.nlm.nih.gov/gene/?term=KLK7","NCBI")</f>
        <v>NCBI</v>
      </c>
      <c r="F12093">
        <v>0.34</v>
      </c>
      <c r="G12093">
        <v>0.48</v>
      </c>
      <c r="H12093" s="1" t="str">
        <f>HYPERLINK("http://www.weizmann.ac.il/complex/compphys/software/geview/data/figures/205778_at.png","Figure")</f>
        <v>Figure</v>
      </c>
      <c r="I12093">
        <v>1.06</v>
      </c>
      <c r="J12093">
        <v>0.54</v>
      </c>
      <c r="K12093">
        <v>1.07</v>
      </c>
      <c r="L12093">
        <v>0.34</v>
      </c>
      <c r="M12093">
        <v>1.01</v>
      </c>
      <c r="N12093">
        <v>0.98</v>
      </c>
    </row>
    <row r="12094" spans="1:14" x14ac:dyDescent="0.25">
      <c r="A12094" t="s">
        <v>20833</v>
      </c>
      <c r="B12094" t="s">
        <v>17188</v>
      </c>
      <c r="C12094" s="1" t="str">
        <f>HYPERLINK("http://www.genecards.org/cgi-bin/carddisp.pl?gene=CAPN7","GeneCards")</f>
        <v>GeneCards</v>
      </c>
      <c r="D12094" s="1" t="str">
        <f>HYPERLINK("http://genome-euro.ucsc.edu/cgi-bin/hgTracks?position=203357_s_at","UCSC")</f>
        <v>UCSC</v>
      </c>
      <c r="E12094" s="1" t="str">
        <f>HYPERLINK("http://www.ncbi.nlm.nih.gov/gene/?term=CAPN7","NCBI")</f>
        <v>NCBI</v>
      </c>
      <c r="F12094">
        <v>0.34</v>
      </c>
      <c r="G12094">
        <v>0.48</v>
      </c>
      <c r="H12094" s="1" t="str">
        <f>HYPERLINK("http://www.weizmann.ac.il/complex/compphys/software/geview/data/figures/203357_s_at.png","Figure")</f>
        <v>Figure</v>
      </c>
      <c r="I12094">
        <v>0.998</v>
      </c>
      <c r="J12094">
        <v>1</v>
      </c>
      <c r="K12094">
        <v>0.88700000000000001</v>
      </c>
      <c r="L12094">
        <v>0.41</v>
      </c>
      <c r="M12094">
        <v>0.88900000000000001</v>
      </c>
      <c r="N12094">
        <v>0.47</v>
      </c>
    </row>
    <row r="12095" spans="1:14" x14ac:dyDescent="0.25">
      <c r="A12095" t="s">
        <v>20834</v>
      </c>
      <c r="B12095" t="s">
        <v>3838</v>
      </c>
      <c r="C12095" s="1" t="str">
        <f>HYPERLINK("http://www.genecards.org/cgi-bin/carddisp.pl?gene=TGOLN2","GeneCards")</f>
        <v>GeneCards</v>
      </c>
      <c r="D12095" s="1" t="str">
        <f>HYPERLINK("http://genome-euro.ucsc.edu/cgi-bin/hgTracks?position=203833_s_at","UCSC")</f>
        <v>UCSC</v>
      </c>
      <c r="E12095" s="1" t="str">
        <f>HYPERLINK("http://www.ncbi.nlm.nih.gov/gene/?term=TGOLN2","NCBI")</f>
        <v>NCBI</v>
      </c>
      <c r="F12095">
        <v>0.34</v>
      </c>
      <c r="G12095">
        <v>0.48</v>
      </c>
      <c r="H12095" s="1" t="str">
        <f>HYPERLINK("http://www.weizmann.ac.il/complex/compphys/software/geview/data/figures/203833_s_at.png","Figure")</f>
        <v>Figure</v>
      </c>
      <c r="I12095">
        <v>1.03</v>
      </c>
      <c r="J12095">
        <v>0.98</v>
      </c>
      <c r="K12095">
        <v>0.81200000000000006</v>
      </c>
      <c r="L12095">
        <v>0.47</v>
      </c>
      <c r="M12095">
        <v>0.78400000000000003</v>
      </c>
      <c r="N12095">
        <v>0.41</v>
      </c>
    </row>
    <row r="12096" spans="1:14" x14ac:dyDescent="0.25">
      <c r="A12096" t="s">
        <v>20835</v>
      </c>
      <c r="B12096" t="s">
        <v>2905</v>
      </c>
      <c r="C12096" s="1" t="str">
        <f>HYPERLINK("http://www.genecards.org/cgi-bin/carddisp.pl?gene=MMP24","GeneCards")</f>
        <v>GeneCards</v>
      </c>
      <c r="D12096" s="1" t="str">
        <f>HYPERLINK("http://genome-euro.ucsc.edu/cgi-bin/hgTracks?position=213171_s_at","UCSC")</f>
        <v>UCSC</v>
      </c>
      <c r="E12096" s="1" t="str">
        <f>HYPERLINK("http://www.ncbi.nlm.nih.gov/gene/?term=MMP24","NCBI")</f>
        <v>NCBI</v>
      </c>
      <c r="F12096">
        <v>0.34</v>
      </c>
      <c r="G12096">
        <v>0.48</v>
      </c>
      <c r="H12096" s="1" t="str">
        <f>HYPERLINK("http://www.weizmann.ac.il/complex/compphys/software/geview/data/figures/213171_s_at.png","Figure")</f>
        <v>Figure</v>
      </c>
      <c r="I12096">
        <v>1.03</v>
      </c>
      <c r="J12096">
        <v>0.31</v>
      </c>
      <c r="K12096">
        <v>1.01</v>
      </c>
      <c r="L12096">
        <v>0.75</v>
      </c>
      <c r="M12096">
        <v>0.98299999999999998</v>
      </c>
      <c r="N12096">
        <v>0.63</v>
      </c>
    </row>
    <row r="12097" spans="1:14" x14ac:dyDescent="0.25">
      <c r="A12097" t="s">
        <v>20836</v>
      </c>
      <c r="B12097" t="s">
        <v>20837</v>
      </c>
      <c r="C12097" s="1" t="str">
        <f>HYPERLINK("http://www.genecards.org/cgi-bin/carddisp.pl?gene=GDF2","GeneCards")</f>
        <v>GeneCards</v>
      </c>
      <c r="D12097" s="1" t="str">
        <f>HYPERLINK("http://genome-euro.ucsc.edu/cgi-bin/hgTracks?position=221136_at","UCSC")</f>
        <v>UCSC</v>
      </c>
      <c r="E12097" s="1" t="str">
        <f>HYPERLINK("http://www.ncbi.nlm.nih.gov/gene/?term=GDF2","NCBI")</f>
        <v>NCBI</v>
      </c>
      <c r="F12097">
        <v>0.34</v>
      </c>
      <c r="G12097">
        <v>0.48</v>
      </c>
      <c r="H12097" s="1" t="str">
        <f>HYPERLINK("http://www.weizmann.ac.il/complex/compphys/software/geview/data/figures/221136_at.png","Figure")</f>
        <v>Figure</v>
      </c>
      <c r="I12097">
        <v>1.2</v>
      </c>
      <c r="J12097">
        <v>0.31</v>
      </c>
      <c r="K12097">
        <v>1.0900000000000001</v>
      </c>
      <c r="L12097">
        <v>0.71</v>
      </c>
      <c r="M12097">
        <v>0.90600000000000003</v>
      </c>
      <c r="N12097">
        <v>0.66</v>
      </c>
    </row>
    <row r="12098" spans="1:14" x14ac:dyDescent="0.25">
      <c r="A12098" t="s">
        <v>20838</v>
      </c>
      <c r="B12098" t="s">
        <v>11950</v>
      </c>
      <c r="C12098" s="1" t="str">
        <f>HYPERLINK("http://www.genecards.org/cgi-bin/carddisp.pl?gene=COPS6","GeneCards")</f>
        <v>GeneCards</v>
      </c>
      <c r="D12098" s="1" t="str">
        <f>HYPERLINK("http://genome-euro.ucsc.edu/cgi-bin/hgTracks?position=201405_s_at","UCSC")</f>
        <v>UCSC</v>
      </c>
      <c r="E12098" s="1" t="str">
        <f>HYPERLINK("http://www.ncbi.nlm.nih.gov/gene/?term=COPS6","NCBI")</f>
        <v>NCBI</v>
      </c>
      <c r="F12098">
        <v>0.35</v>
      </c>
      <c r="G12098">
        <v>0.49</v>
      </c>
      <c r="H12098" s="1" t="str">
        <f>HYPERLINK("http://www.weizmann.ac.il/complex/compphys/software/geview/data/figures/201405_s_at.png","Figure")</f>
        <v>Figure</v>
      </c>
      <c r="I12098">
        <v>1.07</v>
      </c>
      <c r="J12098">
        <v>0.94</v>
      </c>
      <c r="K12098">
        <v>1.28</v>
      </c>
      <c r="L12098">
        <v>0.35</v>
      </c>
      <c r="M12098">
        <v>1.2</v>
      </c>
      <c r="N12098">
        <v>0.59</v>
      </c>
    </row>
    <row r="12099" spans="1:14" x14ac:dyDescent="0.25">
      <c r="A12099" t="s">
        <v>20839</v>
      </c>
      <c r="B12099" t="s">
        <v>1980</v>
      </c>
      <c r="C12099" s="1" t="str">
        <f>HYPERLINK("http://www.genecards.org/cgi-bin/carddisp.pl?gene=MYST4","GeneCards")</f>
        <v>GeneCards</v>
      </c>
      <c r="D12099" s="1" t="str">
        <f>HYPERLINK("http://genome-euro.ucsc.edu/cgi-bin/hgTracks?position=212452_x_at","UCSC")</f>
        <v>UCSC</v>
      </c>
      <c r="E12099" s="1" t="str">
        <f>HYPERLINK("http://www.ncbi.nlm.nih.gov/gene/?term=MYST4","NCBI")</f>
        <v>NCBI</v>
      </c>
      <c r="F12099">
        <v>0.35</v>
      </c>
      <c r="G12099">
        <v>0.49</v>
      </c>
      <c r="H12099" s="1" t="str">
        <f>HYPERLINK("http://www.weizmann.ac.il/complex/compphys/software/geview/data/figures/212452_x_at.png","Figure")</f>
        <v>Figure</v>
      </c>
      <c r="I12099">
        <v>0.98899999999999999</v>
      </c>
      <c r="J12099">
        <v>1</v>
      </c>
      <c r="K12099">
        <v>0.86299999999999999</v>
      </c>
      <c r="L12099">
        <v>0.39</v>
      </c>
      <c r="M12099">
        <v>0.873</v>
      </c>
      <c r="N12099">
        <v>0.49</v>
      </c>
    </row>
    <row r="12100" spans="1:14" x14ac:dyDescent="0.25">
      <c r="A12100" t="s">
        <v>20840</v>
      </c>
      <c r="B12100" t="s">
        <v>20841</v>
      </c>
      <c r="C12100" s="1" t="str">
        <f>HYPERLINK("http://www.genecards.org/cgi-bin/carddisp.pl?gene=COX6C","GeneCards")</f>
        <v>GeneCards</v>
      </c>
      <c r="D12100" s="1" t="str">
        <f>HYPERLINK("http://genome-euro.ucsc.edu/cgi-bin/hgTracks?position=201754_at","UCSC")</f>
        <v>UCSC</v>
      </c>
      <c r="E12100" s="1" t="str">
        <f>HYPERLINK("http://www.ncbi.nlm.nih.gov/gene/?term=COX6C","NCBI")</f>
        <v>NCBI</v>
      </c>
      <c r="F12100">
        <v>0.35</v>
      </c>
      <c r="G12100">
        <v>0.49</v>
      </c>
      <c r="H12100" s="1" t="str">
        <f>HYPERLINK("http://www.weizmann.ac.il/complex/compphys/software/geview/data/figures/201754_at.png","Figure")</f>
        <v>Figure</v>
      </c>
      <c r="I12100">
        <v>1.06</v>
      </c>
      <c r="J12100">
        <v>0.96</v>
      </c>
      <c r="K12100">
        <v>1.3</v>
      </c>
      <c r="L12100">
        <v>0.36</v>
      </c>
      <c r="M12100">
        <v>1.23</v>
      </c>
      <c r="N12100">
        <v>0.56000000000000005</v>
      </c>
    </row>
    <row r="12101" spans="1:14" x14ac:dyDescent="0.25">
      <c r="A12101" t="s">
        <v>20842</v>
      </c>
      <c r="B12101" t="s">
        <v>9925</v>
      </c>
      <c r="C12101" s="1" t="str">
        <f>HYPERLINK("http://www.genecards.org/cgi-bin/carddisp.pl?gene=BTD","GeneCards")</f>
        <v>GeneCards</v>
      </c>
      <c r="D12101" s="1" t="str">
        <f>HYPERLINK("http://genome-euro.ucsc.edu/cgi-bin/hgTracks?position=214116_at","UCSC")</f>
        <v>UCSC</v>
      </c>
      <c r="E12101" s="1" t="str">
        <f>HYPERLINK("http://www.ncbi.nlm.nih.gov/gene/?term=BTD","NCBI")</f>
        <v>NCBI</v>
      </c>
      <c r="F12101">
        <v>0.35</v>
      </c>
      <c r="G12101">
        <v>0.49</v>
      </c>
      <c r="H12101" s="1" t="str">
        <f>HYPERLINK("http://www.weizmann.ac.il/complex/compphys/software/geview/data/figures/214116_at.png","Figure")</f>
        <v>Figure</v>
      </c>
      <c r="I12101">
        <v>0.96799999999999997</v>
      </c>
      <c r="J12101">
        <v>0.88</v>
      </c>
      <c r="K12101">
        <v>1.06</v>
      </c>
      <c r="L12101">
        <v>0.59</v>
      </c>
      <c r="M12101">
        <v>1.1000000000000001</v>
      </c>
      <c r="N12101">
        <v>0.35</v>
      </c>
    </row>
    <row r="12102" spans="1:14" x14ac:dyDescent="0.25">
      <c r="A12102" t="s">
        <v>20843</v>
      </c>
      <c r="B12102" t="s">
        <v>4790</v>
      </c>
      <c r="C12102" s="1" t="str">
        <f>HYPERLINK("http://www.genecards.org/cgi-bin/carddisp.pl?gene=RASA1","GeneCards")</f>
        <v>GeneCards</v>
      </c>
      <c r="D12102" s="1" t="str">
        <f>HYPERLINK("http://genome-euro.ucsc.edu/cgi-bin/hgTracks?position=202677_at","UCSC")</f>
        <v>UCSC</v>
      </c>
      <c r="E12102" s="1" t="str">
        <f>HYPERLINK("http://www.ncbi.nlm.nih.gov/gene/?term=RASA1","NCBI")</f>
        <v>NCBI</v>
      </c>
      <c r="F12102">
        <v>0.35</v>
      </c>
      <c r="G12102">
        <v>0.49</v>
      </c>
      <c r="H12102" s="1" t="str">
        <f>HYPERLINK("http://www.weizmann.ac.il/complex/compphys/software/geview/data/figures/202677_at.png","Figure")</f>
        <v>Figure</v>
      </c>
      <c r="I12102">
        <v>0.86099999999999999</v>
      </c>
      <c r="J12102">
        <v>0.76</v>
      </c>
      <c r="K12102">
        <v>1.1499999999999999</v>
      </c>
      <c r="L12102">
        <v>0.72</v>
      </c>
      <c r="M12102">
        <v>1.34</v>
      </c>
      <c r="N12102">
        <v>0.32</v>
      </c>
    </row>
    <row r="12103" spans="1:14" x14ac:dyDescent="0.25">
      <c r="A12103" t="s">
        <v>20844</v>
      </c>
      <c r="B12103" t="s">
        <v>8942</v>
      </c>
      <c r="C12103" s="1" t="str">
        <f>HYPERLINK("http://www.genecards.org/cgi-bin/carddisp.pl?gene=SIGLEC7","GeneCards")</f>
        <v>GeneCards</v>
      </c>
      <c r="D12103" s="1" t="str">
        <f>HYPERLINK("http://genome-euro.ucsc.edu/cgi-bin/hgTracks?position=207224_s_at","UCSC")</f>
        <v>UCSC</v>
      </c>
      <c r="E12103" s="1" t="str">
        <f>HYPERLINK("http://www.ncbi.nlm.nih.gov/gene/?term=SIGLEC7","NCBI")</f>
        <v>NCBI</v>
      </c>
      <c r="F12103">
        <v>0.35</v>
      </c>
      <c r="G12103">
        <v>0.49</v>
      </c>
      <c r="H12103" s="1" t="str">
        <f>HYPERLINK("http://www.weizmann.ac.il/complex/compphys/software/geview/data/figures/207224_s_at.png","Figure")</f>
        <v>Figure</v>
      </c>
      <c r="I12103">
        <v>1.07</v>
      </c>
      <c r="J12103">
        <v>0.33</v>
      </c>
      <c r="K12103">
        <v>1.02</v>
      </c>
      <c r="L12103">
        <v>0.89</v>
      </c>
      <c r="M12103">
        <v>0.95499999999999996</v>
      </c>
      <c r="N12103">
        <v>0.5</v>
      </c>
    </row>
    <row r="12104" spans="1:14" x14ac:dyDescent="0.25">
      <c r="A12104" t="s">
        <v>20845</v>
      </c>
      <c r="B12104" t="s">
        <v>17918</v>
      </c>
      <c r="C12104" s="1" t="str">
        <f>HYPERLINK("http://www.genecards.org/cgi-bin/carddisp.pl?gene=BBS9","GeneCards")</f>
        <v>GeneCards</v>
      </c>
      <c r="D12104" s="1" t="str">
        <f>HYPERLINK("http://genome-euro.ucsc.edu/cgi-bin/hgTracks?position=209958_s_at","UCSC")</f>
        <v>UCSC</v>
      </c>
      <c r="E12104" s="1" t="str">
        <f>HYPERLINK("http://www.ncbi.nlm.nih.gov/gene/?term=BBS9","NCBI")</f>
        <v>NCBI</v>
      </c>
      <c r="F12104">
        <v>0.35</v>
      </c>
      <c r="G12104">
        <v>0.49</v>
      </c>
      <c r="H12104" s="1" t="str">
        <f>HYPERLINK("http://www.weizmann.ac.il/complex/compphys/software/geview/data/figures/209958_s_at.png","Figure")</f>
        <v>Figure</v>
      </c>
      <c r="I12104">
        <v>0.92400000000000004</v>
      </c>
      <c r="J12104">
        <v>0.59</v>
      </c>
      <c r="K12104">
        <v>1.03</v>
      </c>
      <c r="L12104">
        <v>0.88</v>
      </c>
      <c r="M12104">
        <v>1.1200000000000001</v>
      </c>
      <c r="N12104">
        <v>0.32</v>
      </c>
    </row>
    <row r="12105" spans="1:14" x14ac:dyDescent="0.25">
      <c r="A12105" t="s">
        <v>20846</v>
      </c>
      <c r="B12105" t="s">
        <v>20847</v>
      </c>
      <c r="C12105" s="1" t="str">
        <f>HYPERLINK("http://www.genecards.org/cgi-bin/carddisp.pl?gene=USP24","GeneCards")</f>
        <v>GeneCards</v>
      </c>
      <c r="D12105" s="1" t="str">
        <f>HYPERLINK("http://genome-euro.ucsc.edu/cgi-bin/hgTracks?position=212381_at","UCSC")</f>
        <v>UCSC</v>
      </c>
      <c r="E12105" s="1" t="str">
        <f>HYPERLINK("http://www.ncbi.nlm.nih.gov/gene/?term=USP24","NCBI")</f>
        <v>NCBI</v>
      </c>
      <c r="F12105">
        <v>0.35</v>
      </c>
      <c r="G12105">
        <v>0.49</v>
      </c>
      <c r="H12105" s="1" t="str">
        <f>HYPERLINK("http://www.weizmann.ac.il/complex/compphys/software/geview/data/figures/212381_at.png","Figure")</f>
        <v>Figure</v>
      </c>
      <c r="I12105">
        <v>0.98799999999999999</v>
      </c>
      <c r="J12105">
        <v>0.99</v>
      </c>
      <c r="K12105">
        <v>0.872</v>
      </c>
      <c r="L12105">
        <v>0.39</v>
      </c>
      <c r="M12105">
        <v>0.88300000000000001</v>
      </c>
      <c r="N12105">
        <v>0.5</v>
      </c>
    </row>
    <row r="12106" spans="1:14" x14ac:dyDescent="0.25">
      <c r="A12106" t="s">
        <v>20848</v>
      </c>
      <c r="B12106" t="s">
        <v>4417</v>
      </c>
      <c r="C12106" s="1" t="str">
        <f>HYPERLINK("http://www.genecards.org/cgi-bin/carddisp.pl?gene=ETV1","GeneCards")</f>
        <v>GeneCards</v>
      </c>
      <c r="D12106" s="1" t="str">
        <f>HYPERLINK("http://genome-euro.ucsc.edu/cgi-bin/hgTracks?position=221910_at","UCSC")</f>
        <v>UCSC</v>
      </c>
      <c r="E12106" s="1" t="str">
        <f>HYPERLINK("http://www.ncbi.nlm.nih.gov/gene/?term=ETV1","NCBI")</f>
        <v>NCBI</v>
      </c>
      <c r="F12106">
        <v>0.35</v>
      </c>
      <c r="G12106">
        <v>0.49</v>
      </c>
      <c r="H12106" s="1" t="str">
        <f>HYPERLINK("http://www.weizmann.ac.il/complex/compphys/software/geview/data/figures/221910_at.png","Figure")</f>
        <v>Figure</v>
      </c>
      <c r="I12106">
        <v>1.01</v>
      </c>
      <c r="J12106">
        <v>0.99</v>
      </c>
      <c r="K12106">
        <v>0.93200000000000005</v>
      </c>
      <c r="L12106">
        <v>0.45</v>
      </c>
      <c r="M12106">
        <v>0.92500000000000004</v>
      </c>
      <c r="N12106">
        <v>0.43</v>
      </c>
    </row>
    <row r="12107" spans="1:14" x14ac:dyDescent="0.25">
      <c r="A12107" t="s">
        <v>20849</v>
      </c>
      <c r="B12107" t="s">
        <v>20850</v>
      </c>
      <c r="C12107" s="1" t="str">
        <f>HYPERLINK("http://www.genecards.org/cgi-bin/carddisp.pl?gene=ZNF324B /// ZNF584","GeneCards")</f>
        <v>GeneCards</v>
      </c>
      <c r="D12107" s="1" t="str">
        <f>HYPERLINK("http://genome-euro.ucsc.edu/cgi-bin/hgTracks?position=222318_at","UCSC")</f>
        <v>UCSC</v>
      </c>
      <c r="E12107" s="1" t="str">
        <f>HYPERLINK("http://www.ncbi.nlm.nih.gov/gene/?term=ZNF324B /// ZNF584","NCBI")</f>
        <v>NCBI</v>
      </c>
      <c r="F12107">
        <v>0.35</v>
      </c>
      <c r="G12107">
        <v>0.49</v>
      </c>
      <c r="H12107" s="1" t="str">
        <f>HYPERLINK("http://www.weizmann.ac.il/complex/compphys/software/geview/data/figures/222318_at.png","Figure")</f>
        <v>Figure</v>
      </c>
      <c r="I12107">
        <v>1.0900000000000001</v>
      </c>
      <c r="J12107">
        <v>0.4</v>
      </c>
      <c r="K12107">
        <v>1</v>
      </c>
      <c r="L12107">
        <v>1</v>
      </c>
      <c r="M12107">
        <v>0.92200000000000004</v>
      </c>
      <c r="N12107">
        <v>0.38</v>
      </c>
    </row>
    <row r="12108" spans="1:14" x14ac:dyDescent="0.25">
      <c r="A12108" t="s">
        <v>20851</v>
      </c>
      <c r="B12108" t="s">
        <v>4125</v>
      </c>
      <c r="C12108" s="1" t="str">
        <f>HYPERLINK("http://www.genecards.org/cgi-bin/carddisp.pl?gene=BRAP","GeneCards")</f>
        <v>GeneCards</v>
      </c>
      <c r="D12108" s="1" t="str">
        <f>HYPERLINK("http://genome-euro.ucsc.edu/cgi-bin/hgTracks?position=41512_at","UCSC")</f>
        <v>UCSC</v>
      </c>
      <c r="E12108" s="1" t="str">
        <f>HYPERLINK("http://www.ncbi.nlm.nih.gov/gene/?term=BRAP","NCBI")</f>
        <v>NCBI</v>
      </c>
      <c r="F12108">
        <v>0.35</v>
      </c>
      <c r="G12108">
        <v>0.49</v>
      </c>
      <c r="H12108" s="1" t="str">
        <f>HYPERLINK("http://www.weizmann.ac.il/complex/compphys/software/geview/data/figures/41512_at.png","Figure")</f>
        <v>Figure</v>
      </c>
      <c r="I12108">
        <v>0.81499999999999995</v>
      </c>
      <c r="J12108">
        <v>0.72</v>
      </c>
      <c r="K12108">
        <v>0.70699999999999996</v>
      </c>
      <c r="L12108">
        <v>0.31</v>
      </c>
      <c r="M12108">
        <v>0.86699999999999999</v>
      </c>
      <c r="N12108">
        <v>0.83</v>
      </c>
    </row>
    <row r="12109" spans="1:14" x14ac:dyDescent="0.25">
      <c r="A12109" t="s">
        <v>20852</v>
      </c>
      <c r="B12109" t="s">
        <v>20853</v>
      </c>
      <c r="C12109" s="1" t="str">
        <f>HYPERLINK("http://www.genecards.org/cgi-bin/carddisp.pl?gene=PRPSAP2","GeneCards")</f>
        <v>GeneCards</v>
      </c>
      <c r="D12109" s="1" t="str">
        <f>HYPERLINK("http://genome-euro.ucsc.edu/cgi-bin/hgTracks?position=203537_at","UCSC")</f>
        <v>UCSC</v>
      </c>
      <c r="E12109" s="1" t="str">
        <f>HYPERLINK("http://www.ncbi.nlm.nih.gov/gene/?term=PRPSAP2","NCBI")</f>
        <v>NCBI</v>
      </c>
      <c r="F12109">
        <v>0.35</v>
      </c>
      <c r="G12109">
        <v>0.49</v>
      </c>
      <c r="H12109" s="1" t="str">
        <f>HYPERLINK("http://www.weizmann.ac.il/complex/compphys/software/geview/data/figures/203537_at.png","Figure")</f>
        <v>Figure</v>
      </c>
      <c r="I12109">
        <v>0.89600000000000002</v>
      </c>
      <c r="J12109">
        <v>0.85</v>
      </c>
      <c r="K12109">
        <v>1.18</v>
      </c>
      <c r="L12109">
        <v>0.63</v>
      </c>
      <c r="M12109">
        <v>1.31</v>
      </c>
      <c r="N12109">
        <v>0.34</v>
      </c>
    </row>
    <row r="12110" spans="1:14" x14ac:dyDescent="0.25">
      <c r="A12110" t="s">
        <v>20854</v>
      </c>
      <c r="B12110" t="s">
        <v>20855</v>
      </c>
      <c r="C12110" s="1" t="str">
        <f>HYPERLINK("http://www.genecards.org/cgi-bin/carddisp.pl?gene=SELL","GeneCards")</f>
        <v>GeneCards</v>
      </c>
      <c r="D12110" s="1" t="str">
        <f>HYPERLINK("http://genome-euro.ucsc.edu/cgi-bin/hgTracks?position=204563_at","UCSC")</f>
        <v>UCSC</v>
      </c>
      <c r="E12110" s="1" t="str">
        <f>HYPERLINK("http://www.ncbi.nlm.nih.gov/gene/?term=SELL","NCBI")</f>
        <v>NCBI</v>
      </c>
      <c r="F12110">
        <v>0.35</v>
      </c>
      <c r="G12110">
        <v>0.49</v>
      </c>
      <c r="H12110" s="1" t="str">
        <f>HYPERLINK("http://www.weizmann.ac.il/complex/compphys/software/geview/data/figures/204563_at.png","Figure")</f>
        <v>Figure</v>
      </c>
      <c r="I12110">
        <v>0.68899999999999995</v>
      </c>
      <c r="J12110">
        <v>0.69</v>
      </c>
      <c r="K12110">
        <v>0.55200000000000005</v>
      </c>
      <c r="L12110">
        <v>0.32</v>
      </c>
      <c r="M12110">
        <v>0.80100000000000005</v>
      </c>
      <c r="N12110">
        <v>0.86</v>
      </c>
    </row>
    <row r="12111" spans="1:14" x14ac:dyDescent="0.25">
      <c r="A12111" t="s">
        <v>20856</v>
      </c>
      <c r="B12111" t="s">
        <v>16719</v>
      </c>
      <c r="C12111" s="1" t="str">
        <f>HYPERLINK("http://www.genecards.org/cgi-bin/carddisp.pl?gene=_x001A__x001A__x001A_-07","GeneCards")</f>
        <v>GeneCards</v>
      </c>
      <c r="D12111" s="1" t="str">
        <f>HYPERLINK("http://genome-euro.ucsc.edu/cgi-bin/hgTracks?position=202654_x_at","UCSC")</f>
        <v>UCSC</v>
      </c>
      <c r="E12111" s="1" t="str">
        <f>HYPERLINK("http://www.ncbi.nlm.nih.gov/gene/?term=_x001A__x001A__x001A_-07","NCBI")</f>
        <v>NCBI</v>
      </c>
      <c r="F12111">
        <v>0.35</v>
      </c>
      <c r="G12111">
        <v>0.49</v>
      </c>
      <c r="H12111" s="1" t="str">
        <f>HYPERLINK("http://www.weizmann.ac.il/complex/compphys/software/geview/data/figures/202654_x_at.png","Figure")</f>
        <v>Figure</v>
      </c>
      <c r="I12111">
        <v>0.90200000000000002</v>
      </c>
      <c r="J12111">
        <v>0.81</v>
      </c>
      <c r="K12111">
        <v>0.80500000000000005</v>
      </c>
      <c r="L12111">
        <v>0.32</v>
      </c>
      <c r="M12111">
        <v>0.89300000000000002</v>
      </c>
      <c r="N12111">
        <v>0.75</v>
      </c>
    </row>
    <row r="12112" spans="1:14" x14ac:dyDescent="0.25">
      <c r="A12112" t="s">
        <v>20857</v>
      </c>
      <c r="B12112" t="s">
        <v>13645</v>
      </c>
      <c r="C12112" s="1" t="str">
        <f>HYPERLINK("http://www.genecards.org/cgi-bin/carddisp.pl?gene=DUSP6","GeneCards")</f>
        <v>GeneCards</v>
      </c>
      <c r="D12112" s="1" t="str">
        <f>HYPERLINK("http://genome-euro.ucsc.edu/cgi-bin/hgTracks?position=208893_s_at","UCSC")</f>
        <v>UCSC</v>
      </c>
      <c r="E12112" s="1" t="str">
        <f>HYPERLINK("http://www.ncbi.nlm.nih.gov/gene/?term=DUSP6","NCBI")</f>
        <v>NCBI</v>
      </c>
      <c r="F12112">
        <v>0.35</v>
      </c>
      <c r="G12112">
        <v>0.49</v>
      </c>
      <c r="H12112" s="1" t="str">
        <f>HYPERLINK("http://www.weizmann.ac.il/complex/compphys/software/geview/data/figures/208893_s_at.png","Figure")</f>
        <v>Figure</v>
      </c>
      <c r="I12112">
        <v>0.64700000000000002</v>
      </c>
      <c r="J12112">
        <v>0.45</v>
      </c>
      <c r="K12112">
        <v>1.03</v>
      </c>
      <c r="L12112">
        <v>0.99</v>
      </c>
      <c r="M12112">
        <v>1.6</v>
      </c>
      <c r="N12112">
        <v>0.35</v>
      </c>
    </row>
    <row r="12113" spans="1:14" x14ac:dyDescent="0.25">
      <c r="A12113" t="s">
        <v>20858</v>
      </c>
      <c r="B12113" t="s">
        <v>3437</v>
      </c>
      <c r="C12113" s="1" t="str">
        <f>HYPERLINK("http://www.genecards.org/cgi-bin/carddisp.pl?gene=IGHG1","GeneCards")</f>
        <v>GeneCards</v>
      </c>
      <c r="D12113" s="1" t="str">
        <f>HYPERLINK("http://genome-euro.ucsc.edu/cgi-bin/hgTracks?position=211693_at","UCSC")</f>
        <v>UCSC</v>
      </c>
      <c r="E12113" s="1" t="str">
        <f>HYPERLINK("http://www.ncbi.nlm.nih.gov/gene/?term=IGHG1","NCBI")</f>
        <v>NCBI</v>
      </c>
      <c r="F12113">
        <v>0.35</v>
      </c>
      <c r="G12113">
        <v>0.49</v>
      </c>
      <c r="H12113" s="1" t="str">
        <f>HYPERLINK("http://www.weizmann.ac.il/complex/compphys/software/geview/data/figures/211693_at.png","Figure")</f>
        <v>Figure</v>
      </c>
      <c r="I12113">
        <v>1.07</v>
      </c>
      <c r="J12113">
        <v>0.35</v>
      </c>
      <c r="K12113">
        <v>1.01</v>
      </c>
      <c r="L12113">
        <v>0.94</v>
      </c>
      <c r="M12113">
        <v>0.94599999999999995</v>
      </c>
      <c r="N12113">
        <v>0.45</v>
      </c>
    </row>
    <row r="12114" spans="1:14" x14ac:dyDescent="0.25">
      <c r="A12114" t="s">
        <v>20859</v>
      </c>
      <c r="B12114" t="s">
        <v>20860</v>
      </c>
      <c r="C12114" s="1" t="str">
        <f>HYPERLINK("http://www.genecards.org/cgi-bin/carddisp.pl?gene=FAM184A","GeneCards")</f>
        <v>GeneCards</v>
      </c>
      <c r="D12114" s="1" t="str">
        <f>HYPERLINK("http://genome-euro.ucsc.edu/cgi-bin/hgTracks?position=220150_s_at","UCSC")</f>
        <v>UCSC</v>
      </c>
      <c r="E12114" s="1" t="str">
        <f>HYPERLINK("http://www.ncbi.nlm.nih.gov/gene/?term=FAM184A","NCBI")</f>
        <v>NCBI</v>
      </c>
      <c r="F12114">
        <v>0.35</v>
      </c>
      <c r="G12114">
        <v>0.49</v>
      </c>
      <c r="H12114" s="1" t="str">
        <f>HYPERLINK("http://www.weizmann.ac.il/complex/compphys/software/geview/data/figures/220150_s_at.png","Figure")</f>
        <v>Figure</v>
      </c>
      <c r="I12114">
        <v>1</v>
      </c>
      <c r="J12114">
        <v>1</v>
      </c>
      <c r="K12114">
        <v>0.91900000000000004</v>
      </c>
      <c r="L12114">
        <v>0.42</v>
      </c>
      <c r="M12114">
        <v>0.91700000000000004</v>
      </c>
      <c r="N12114">
        <v>0.45</v>
      </c>
    </row>
    <row r="12115" spans="1:14" x14ac:dyDescent="0.25">
      <c r="A12115" t="s">
        <v>20861</v>
      </c>
      <c r="B12115" t="s">
        <v>20862</v>
      </c>
      <c r="C12115" s="1" t="str">
        <f>HYPERLINK("http://www.genecards.org/cgi-bin/carddisp.pl?gene=NUP50","GeneCards")</f>
        <v>GeneCards</v>
      </c>
      <c r="D12115" s="1" t="str">
        <f>HYPERLINK("http://genome-euro.ucsc.edu/cgi-bin/hgTracks?position=218294_s_at","UCSC")</f>
        <v>UCSC</v>
      </c>
      <c r="E12115" s="1" t="str">
        <f>HYPERLINK("http://www.ncbi.nlm.nih.gov/gene/?term=NUP50","NCBI")</f>
        <v>NCBI</v>
      </c>
      <c r="F12115">
        <v>0.35</v>
      </c>
      <c r="G12115">
        <v>0.49</v>
      </c>
      <c r="H12115" s="1" t="str">
        <f>HYPERLINK("http://www.weizmann.ac.il/complex/compphys/software/geview/data/figures/218294_s_at.png","Figure")</f>
        <v>Figure</v>
      </c>
      <c r="I12115">
        <v>0.71399999999999997</v>
      </c>
      <c r="J12115">
        <v>0.47</v>
      </c>
      <c r="K12115">
        <v>0.70699999999999996</v>
      </c>
      <c r="L12115">
        <v>0.36</v>
      </c>
      <c r="M12115">
        <v>0.99</v>
      </c>
      <c r="N12115">
        <v>1</v>
      </c>
    </row>
    <row r="12116" spans="1:14" x14ac:dyDescent="0.25">
      <c r="A12116" t="s">
        <v>20863</v>
      </c>
      <c r="B12116" t="s">
        <v>20864</v>
      </c>
      <c r="C12116" s="1" t="str">
        <f>HYPERLINK("http://www.genecards.org/cgi-bin/carddisp.pl?gene=FAT2","GeneCards")</f>
        <v>GeneCards</v>
      </c>
      <c r="D12116" s="1" t="str">
        <f>HYPERLINK("http://genome-euro.ucsc.edu/cgi-bin/hgTracks?position=208153_s_at","UCSC")</f>
        <v>UCSC</v>
      </c>
      <c r="E12116" s="1" t="str">
        <f>HYPERLINK("http://www.ncbi.nlm.nih.gov/gene/?term=FAT2","NCBI")</f>
        <v>NCBI</v>
      </c>
      <c r="F12116">
        <v>0.35</v>
      </c>
      <c r="G12116">
        <v>0.49</v>
      </c>
      <c r="H12116" s="1" t="str">
        <f>HYPERLINK("http://www.weizmann.ac.il/complex/compphys/software/geview/data/figures/208153_s_at.png","Figure")</f>
        <v>Figure</v>
      </c>
      <c r="I12116">
        <v>1.05</v>
      </c>
      <c r="J12116">
        <v>0.43</v>
      </c>
      <c r="K12116">
        <v>1.05</v>
      </c>
      <c r="L12116">
        <v>0.39</v>
      </c>
      <c r="M12116">
        <v>0.996</v>
      </c>
      <c r="N12116">
        <v>0.99</v>
      </c>
    </row>
    <row r="12117" spans="1:14" x14ac:dyDescent="0.25">
      <c r="A12117" t="s">
        <v>20865</v>
      </c>
      <c r="B12117" t="s">
        <v>16618</v>
      </c>
      <c r="C12117" s="1" t="str">
        <f>HYPERLINK("http://www.genecards.org/cgi-bin/carddisp.pl?gene=CENPN","GeneCards")</f>
        <v>GeneCards</v>
      </c>
      <c r="D12117" s="1" t="str">
        <f>HYPERLINK("http://genome-euro.ucsc.edu/cgi-bin/hgTracks?position=219555_s_at","UCSC")</f>
        <v>UCSC</v>
      </c>
      <c r="E12117" s="1" t="str">
        <f>HYPERLINK("http://www.ncbi.nlm.nih.gov/gene/?term=CENPN","NCBI")</f>
        <v>NCBI</v>
      </c>
      <c r="F12117">
        <v>0.35</v>
      </c>
      <c r="G12117">
        <v>0.49</v>
      </c>
      <c r="H12117" s="1" t="str">
        <f>HYPERLINK("http://www.weizmann.ac.il/complex/compphys/software/geview/data/figures/219555_s_at.png","Figure")</f>
        <v>Figure</v>
      </c>
      <c r="I12117">
        <v>1.56</v>
      </c>
      <c r="J12117">
        <v>0.43</v>
      </c>
      <c r="K12117">
        <v>0.98599999999999999</v>
      </c>
      <c r="L12117">
        <v>1</v>
      </c>
      <c r="M12117">
        <v>0.63200000000000001</v>
      </c>
      <c r="N12117">
        <v>0.36</v>
      </c>
    </row>
    <row r="12118" spans="1:14" x14ac:dyDescent="0.25">
      <c r="A12118" t="s">
        <v>20866</v>
      </c>
      <c r="B12118" t="s">
        <v>20867</v>
      </c>
      <c r="C12118" s="1" t="str">
        <f>HYPERLINK("http://www.genecards.org/cgi-bin/carddisp.pl?gene=GDPD3","GeneCards")</f>
        <v>GeneCards</v>
      </c>
      <c r="D12118" s="1" t="str">
        <f>HYPERLINK("http://genome-euro.ucsc.edu/cgi-bin/hgTracks?position=219722_s_at","UCSC")</f>
        <v>UCSC</v>
      </c>
      <c r="E12118" s="1" t="str">
        <f>HYPERLINK("http://www.ncbi.nlm.nih.gov/gene/?term=GDPD3","NCBI")</f>
        <v>NCBI</v>
      </c>
      <c r="F12118">
        <v>0.35</v>
      </c>
      <c r="G12118">
        <v>0.49</v>
      </c>
      <c r="H12118" s="1" t="str">
        <f>HYPERLINK("http://www.weizmann.ac.il/complex/compphys/software/geview/data/figures/219722_s_at.png","Figure")</f>
        <v>Figure</v>
      </c>
      <c r="I12118">
        <v>0.872</v>
      </c>
      <c r="J12118">
        <v>0.32</v>
      </c>
      <c r="K12118">
        <v>0.95799999999999996</v>
      </c>
      <c r="L12118">
        <v>0.85</v>
      </c>
      <c r="M12118">
        <v>1.1000000000000001</v>
      </c>
      <c r="N12118">
        <v>0.53</v>
      </c>
    </row>
    <row r="12119" spans="1:14" x14ac:dyDescent="0.25">
      <c r="A12119" t="s">
        <v>20868</v>
      </c>
      <c r="B12119" t="s">
        <v>20869</v>
      </c>
      <c r="C12119" s="1" t="str">
        <f>HYPERLINK("http://www.genecards.org/cgi-bin/carddisp.pl?gene=RING1","GeneCards")</f>
        <v>GeneCards</v>
      </c>
      <c r="D12119" s="1" t="str">
        <f>HYPERLINK("http://genome-euro.ucsc.edu/cgi-bin/hgTracks?position=35685_at","UCSC")</f>
        <v>UCSC</v>
      </c>
      <c r="E12119" s="1" t="str">
        <f>HYPERLINK("http://www.ncbi.nlm.nih.gov/gene/?term=RING1","NCBI")</f>
        <v>NCBI</v>
      </c>
      <c r="F12119">
        <v>0.35</v>
      </c>
      <c r="G12119">
        <v>0.49</v>
      </c>
      <c r="H12119" s="1" t="str">
        <f>HYPERLINK("http://www.weizmann.ac.il/complex/compphys/software/geview/data/figures/35685_at.png","Figure")</f>
        <v>Figure</v>
      </c>
      <c r="I12119">
        <v>0.93700000000000006</v>
      </c>
      <c r="J12119">
        <v>0.86</v>
      </c>
      <c r="K12119">
        <v>1.1100000000000001</v>
      </c>
      <c r="L12119">
        <v>0.61</v>
      </c>
      <c r="M12119">
        <v>1.19</v>
      </c>
      <c r="N12119">
        <v>0.34</v>
      </c>
    </row>
    <row r="12120" spans="1:14" x14ac:dyDescent="0.25">
      <c r="A12120" t="s">
        <v>20870</v>
      </c>
      <c r="B12120" t="s">
        <v>20871</v>
      </c>
      <c r="C12120" s="1" t="str">
        <f>HYPERLINK("http://www.genecards.org/cgi-bin/carddisp.pl?gene=MAPRE1","GeneCards")</f>
        <v>GeneCards</v>
      </c>
      <c r="D12120" s="1" t="str">
        <f>HYPERLINK("http://genome-euro.ucsc.edu/cgi-bin/hgTracks?position=200712_s_at","UCSC")</f>
        <v>UCSC</v>
      </c>
      <c r="E12120" s="1" t="str">
        <f>HYPERLINK("http://www.ncbi.nlm.nih.gov/gene/?term=MAPRE1","NCBI")</f>
        <v>NCBI</v>
      </c>
      <c r="F12120">
        <v>0.35</v>
      </c>
      <c r="G12120">
        <v>0.49</v>
      </c>
      <c r="H12120" s="1" t="str">
        <f>HYPERLINK("http://www.weizmann.ac.il/complex/compphys/software/geview/data/figures/200712_s_at.png","Figure")</f>
        <v>Figure</v>
      </c>
      <c r="I12120">
        <v>0.996</v>
      </c>
      <c r="J12120">
        <v>1</v>
      </c>
      <c r="K12120">
        <v>0.82099999999999995</v>
      </c>
      <c r="L12120">
        <v>0.41</v>
      </c>
      <c r="M12120">
        <v>0.82499999999999996</v>
      </c>
      <c r="N12120">
        <v>0.47</v>
      </c>
    </row>
    <row r="12121" spans="1:14" x14ac:dyDescent="0.25">
      <c r="A12121" t="s">
        <v>20872</v>
      </c>
      <c r="B12121" t="s">
        <v>2545</v>
      </c>
      <c r="C12121" s="1" t="str">
        <f>HYPERLINK("http://www.genecards.org/cgi-bin/carddisp.pl?gene=SRRT","GeneCards")</f>
        <v>GeneCards</v>
      </c>
      <c r="D12121" s="1" t="str">
        <f>HYPERLINK("http://genome-euro.ucsc.edu/cgi-bin/hgTracks?position=201679_at","UCSC")</f>
        <v>UCSC</v>
      </c>
      <c r="E12121" s="1" t="str">
        <f>HYPERLINK("http://www.ncbi.nlm.nih.gov/gene/?term=SRRT","NCBI")</f>
        <v>NCBI</v>
      </c>
      <c r="F12121">
        <v>0.35</v>
      </c>
      <c r="G12121">
        <v>0.49</v>
      </c>
      <c r="H12121" s="1" t="str">
        <f>HYPERLINK("http://www.weizmann.ac.il/complex/compphys/software/geview/data/figures/201679_at.png","Figure")</f>
        <v>Figure</v>
      </c>
      <c r="I12121">
        <v>1.08</v>
      </c>
      <c r="J12121">
        <v>0.32</v>
      </c>
      <c r="K12121">
        <v>1.03</v>
      </c>
      <c r="L12121">
        <v>0.82</v>
      </c>
      <c r="M12121">
        <v>0.94899999999999995</v>
      </c>
      <c r="N12121">
        <v>0.56000000000000005</v>
      </c>
    </row>
    <row r="12122" spans="1:14" x14ac:dyDescent="0.25">
      <c r="A12122" t="s">
        <v>20873</v>
      </c>
      <c r="B12122" t="s">
        <v>20874</v>
      </c>
      <c r="C12122" s="1" t="str">
        <f>HYPERLINK("http://www.genecards.org/cgi-bin/carddisp.pl?gene=C7orf23","GeneCards")</f>
        <v>GeneCards</v>
      </c>
      <c r="D12122" s="1" t="str">
        <f>HYPERLINK("http://genome-euro.ucsc.edu/cgi-bin/hgTracks?position=204215_at","UCSC")</f>
        <v>UCSC</v>
      </c>
      <c r="E12122" s="1" t="str">
        <f>HYPERLINK("http://www.ncbi.nlm.nih.gov/gene/?term=C7orf23","NCBI")</f>
        <v>NCBI</v>
      </c>
      <c r="F12122">
        <v>0.35</v>
      </c>
      <c r="G12122">
        <v>0.49</v>
      </c>
      <c r="H12122" s="1" t="str">
        <f>HYPERLINK("http://www.weizmann.ac.il/complex/compphys/software/geview/data/figures/204215_at.png","Figure")</f>
        <v>Figure</v>
      </c>
      <c r="I12122">
        <v>1.1000000000000001</v>
      </c>
      <c r="J12122">
        <v>0.84</v>
      </c>
      <c r="K12122">
        <v>0.879</v>
      </c>
      <c r="L12122">
        <v>0.64</v>
      </c>
      <c r="M12122">
        <v>0.80100000000000005</v>
      </c>
      <c r="N12122">
        <v>0.34</v>
      </c>
    </row>
    <row r="12123" spans="1:14" x14ac:dyDescent="0.25">
      <c r="A12123" t="s">
        <v>20875</v>
      </c>
      <c r="B12123" t="s">
        <v>16944</v>
      </c>
      <c r="C12123" s="1" t="str">
        <f>HYPERLINK("http://www.genecards.org/cgi-bin/carddisp.pl?gene=CDC42","GeneCards")</f>
        <v>GeneCards</v>
      </c>
      <c r="D12123" s="1" t="str">
        <f>HYPERLINK("http://genome-euro.ucsc.edu/cgi-bin/hgTracks?position=208727_s_at","UCSC")</f>
        <v>UCSC</v>
      </c>
      <c r="E12123" s="1" t="str">
        <f>HYPERLINK("http://www.ncbi.nlm.nih.gov/gene/?term=CDC42","NCBI")</f>
        <v>NCBI</v>
      </c>
      <c r="F12123">
        <v>0.35</v>
      </c>
      <c r="G12123">
        <v>0.49</v>
      </c>
      <c r="H12123" s="1" t="str">
        <f>HYPERLINK("http://www.weizmann.ac.il/complex/compphys/software/geview/data/figures/208727_s_at.png","Figure")</f>
        <v>Figure</v>
      </c>
      <c r="I12123">
        <v>1.17</v>
      </c>
      <c r="J12123">
        <v>0.76</v>
      </c>
      <c r="K12123">
        <v>0.85899999999999999</v>
      </c>
      <c r="L12123">
        <v>0.72</v>
      </c>
      <c r="M12123">
        <v>0.73299999999999998</v>
      </c>
      <c r="N12123">
        <v>0.32</v>
      </c>
    </row>
    <row r="12124" spans="1:14" x14ac:dyDescent="0.25">
      <c r="A12124" t="s">
        <v>20876</v>
      </c>
      <c r="B12124" t="s">
        <v>8431</v>
      </c>
      <c r="C12124" s="1" t="str">
        <f>HYPERLINK("http://www.genecards.org/cgi-bin/carddisp.pl?gene=CEACAM1","GeneCards")</f>
        <v>GeneCards</v>
      </c>
      <c r="D12124" s="1" t="str">
        <f>HYPERLINK("http://genome-euro.ucsc.edu/cgi-bin/hgTracks?position=211883_x_at","UCSC")</f>
        <v>UCSC</v>
      </c>
      <c r="E12124" s="1" t="str">
        <f>HYPERLINK("http://www.ncbi.nlm.nih.gov/gene/?term=CEACAM1","NCBI")</f>
        <v>NCBI</v>
      </c>
      <c r="F12124">
        <v>0.35</v>
      </c>
      <c r="G12124">
        <v>0.49</v>
      </c>
      <c r="H12124" s="1" t="str">
        <f>HYPERLINK("http://www.weizmann.ac.il/complex/compphys/software/geview/data/figures/211883_x_at.png","Figure")</f>
        <v>Figure</v>
      </c>
      <c r="I12124">
        <v>1.08</v>
      </c>
      <c r="J12124">
        <v>0.43</v>
      </c>
      <c r="K12124">
        <v>0.997</v>
      </c>
      <c r="L12124">
        <v>1</v>
      </c>
      <c r="M12124">
        <v>0.92400000000000004</v>
      </c>
      <c r="N12124">
        <v>0.36</v>
      </c>
    </row>
    <row r="12125" spans="1:14" x14ac:dyDescent="0.25">
      <c r="A12125" t="s">
        <v>20877</v>
      </c>
      <c r="B12125" t="s">
        <v>19444</v>
      </c>
      <c r="C12125" s="1" t="str">
        <f>HYPERLINK("http://www.genecards.org/cgi-bin/carddisp.pl?gene=C8orf30A","GeneCards")</f>
        <v>GeneCards</v>
      </c>
      <c r="D12125" s="1" t="str">
        <f>HYPERLINK("http://genome-euro.ucsc.edu/cgi-bin/hgTracks?position=219071_x_at","UCSC")</f>
        <v>UCSC</v>
      </c>
      <c r="E12125" s="1" t="str">
        <f>HYPERLINK("http://www.ncbi.nlm.nih.gov/gene/?term=C8orf30A","NCBI")</f>
        <v>NCBI</v>
      </c>
      <c r="F12125">
        <v>0.35</v>
      </c>
      <c r="G12125">
        <v>0.49</v>
      </c>
      <c r="H12125" s="1" t="str">
        <f>HYPERLINK("http://www.weizmann.ac.il/complex/compphys/software/geview/data/figures/219071_x_at.png","Figure")</f>
        <v>Figure</v>
      </c>
      <c r="I12125">
        <v>1.23</v>
      </c>
      <c r="J12125">
        <v>0.32</v>
      </c>
      <c r="K12125">
        <v>1.1000000000000001</v>
      </c>
      <c r="L12125">
        <v>0.71</v>
      </c>
      <c r="M12125">
        <v>0.89300000000000002</v>
      </c>
      <c r="N12125">
        <v>0.67</v>
      </c>
    </row>
    <row r="12126" spans="1:14" x14ac:dyDescent="0.25">
      <c r="A12126" t="s">
        <v>20878</v>
      </c>
      <c r="B12126" t="s">
        <v>8870</v>
      </c>
      <c r="C12126" s="1" t="str">
        <f>HYPERLINK("http://www.genecards.org/cgi-bin/carddisp.pl?gene=FLJ42627","GeneCards")</f>
        <v>GeneCards</v>
      </c>
      <c r="D12126" s="1" t="str">
        <f>HYPERLINK("http://genome-euro.ucsc.edu/cgi-bin/hgTracks?position=220352_x_at","UCSC")</f>
        <v>UCSC</v>
      </c>
      <c r="E12126" s="1" t="str">
        <f>HYPERLINK("http://www.ncbi.nlm.nih.gov/gene/?term=FLJ42627","NCBI")</f>
        <v>NCBI</v>
      </c>
      <c r="F12126">
        <v>0.35</v>
      </c>
      <c r="G12126">
        <v>0.49</v>
      </c>
      <c r="H12126" s="1" t="str">
        <f>HYPERLINK("http://www.weizmann.ac.il/complex/compphys/software/geview/data/figures/220352_x_at.png","Figure")</f>
        <v>Figure</v>
      </c>
      <c r="I12126">
        <v>1.0900000000000001</v>
      </c>
      <c r="J12126">
        <v>0.89</v>
      </c>
      <c r="K12126">
        <v>0.85299999999999998</v>
      </c>
      <c r="L12126">
        <v>0.57999999999999996</v>
      </c>
      <c r="M12126">
        <v>0.78600000000000003</v>
      </c>
      <c r="N12126">
        <v>0.35</v>
      </c>
    </row>
    <row r="12127" spans="1:14" x14ac:dyDescent="0.25">
      <c r="A12127" t="s">
        <v>20879</v>
      </c>
      <c r="B12127" t="s">
        <v>14275</v>
      </c>
      <c r="C12127" s="1" t="str">
        <f>HYPERLINK("http://www.genecards.org/cgi-bin/carddisp.pl?gene=SMCR7L","GeneCards")</f>
        <v>GeneCards</v>
      </c>
      <c r="D12127" s="1" t="str">
        <f>HYPERLINK("http://genome-euro.ucsc.edu/cgi-bin/hgTracks?position=204594_s_at","UCSC")</f>
        <v>UCSC</v>
      </c>
      <c r="E12127" s="1" t="str">
        <f>HYPERLINK("http://www.ncbi.nlm.nih.gov/gene/?term=SMCR7L","NCBI")</f>
        <v>NCBI</v>
      </c>
      <c r="F12127">
        <v>0.35</v>
      </c>
      <c r="G12127">
        <v>0.49</v>
      </c>
      <c r="H12127" s="1" t="str">
        <f>HYPERLINK("http://www.weizmann.ac.il/complex/compphys/software/geview/data/figures/204594_s_at.png","Figure")</f>
        <v>Figure</v>
      </c>
      <c r="I12127">
        <v>0.85</v>
      </c>
      <c r="J12127">
        <v>0.36</v>
      </c>
      <c r="K12127">
        <v>0.88900000000000001</v>
      </c>
      <c r="L12127">
        <v>0.48</v>
      </c>
      <c r="M12127">
        <v>1.05</v>
      </c>
      <c r="N12127">
        <v>0.91</v>
      </c>
    </row>
    <row r="12128" spans="1:14" x14ac:dyDescent="0.25">
      <c r="A12128" t="s">
        <v>20880</v>
      </c>
      <c r="B12128" t="s">
        <v>20881</v>
      </c>
      <c r="C12128" s="1" t="str">
        <f>HYPERLINK("http://www.genecards.org/cgi-bin/carddisp.pl?gene=ARGLU1","GeneCards")</f>
        <v>GeneCards</v>
      </c>
      <c r="D12128" s="1" t="str">
        <f>HYPERLINK("http://genome-euro.ucsc.edu/cgi-bin/hgTracks?position=218067_s_at","UCSC")</f>
        <v>UCSC</v>
      </c>
      <c r="E12128" s="1" t="str">
        <f>HYPERLINK("http://www.ncbi.nlm.nih.gov/gene/?term=ARGLU1","NCBI")</f>
        <v>NCBI</v>
      </c>
      <c r="F12128">
        <v>0.35</v>
      </c>
      <c r="G12128">
        <v>0.49</v>
      </c>
      <c r="H12128" s="1" t="str">
        <f>HYPERLINK("http://www.weizmann.ac.il/complex/compphys/software/geview/data/figures/218067_s_at.png","Figure")</f>
        <v>Figure</v>
      </c>
      <c r="I12128">
        <v>0.90500000000000003</v>
      </c>
      <c r="J12128">
        <v>0.84</v>
      </c>
      <c r="K12128">
        <v>0.79500000000000004</v>
      </c>
      <c r="L12128">
        <v>0.32</v>
      </c>
      <c r="M12128">
        <v>0.879</v>
      </c>
      <c r="N12128">
        <v>0.72</v>
      </c>
    </row>
    <row r="12129" spans="1:14" x14ac:dyDescent="0.25">
      <c r="A12129" t="s">
        <v>20882</v>
      </c>
      <c r="B12129" t="s">
        <v>7693</v>
      </c>
      <c r="C12129" s="1" t="str">
        <f>HYPERLINK("http://www.genecards.org/cgi-bin/carddisp.pl?gene=PAIP1","GeneCards")</f>
        <v>GeneCards</v>
      </c>
      <c r="D12129" s="1" t="str">
        <f>HYPERLINK("http://genome-euro.ucsc.edu/cgi-bin/hgTracks?position=209063_x_at","UCSC")</f>
        <v>UCSC</v>
      </c>
      <c r="E12129" s="1" t="str">
        <f>HYPERLINK("http://www.ncbi.nlm.nih.gov/gene/?term=PAIP1","NCBI")</f>
        <v>NCBI</v>
      </c>
      <c r="F12129">
        <v>0.35</v>
      </c>
      <c r="G12129">
        <v>0.49</v>
      </c>
      <c r="H12129" s="1" t="str">
        <f>HYPERLINK("http://www.weizmann.ac.il/complex/compphys/software/geview/data/figures/209063_x_at.png","Figure")</f>
        <v>Figure</v>
      </c>
      <c r="I12129">
        <v>0.91500000000000004</v>
      </c>
      <c r="J12129">
        <v>0.85</v>
      </c>
      <c r="K12129">
        <v>0.80800000000000005</v>
      </c>
      <c r="L12129">
        <v>0.33</v>
      </c>
      <c r="M12129">
        <v>0.88300000000000001</v>
      </c>
      <c r="N12129">
        <v>0.7</v>
      </c>
    </row>
    <row r="12130" spans="1:14" x14ac:dyDescent="0.25">
      <c r="A12130" t="s">
        <v>20883</v>
      </c>
      <c r="B12130" t="s">
        <v>20884</v>
      </c>
      <c r="C12130" s="1" t="str">
        <f>HYPERLINK("http://www.genecards.org/cgi-bin/carddisp.pl?gene=RAD1","GeneCards")</f>
        <v>GeneCards</v>
      </c>
      <c r="D12130" s="1" t="str">
        <f>HYPERLINK("http://genome-euro.ucsc.edu/cgi-bin/hgTracks?position=210216_x_at","UCSC")</f>
        <v>UCSC</v>
      </c>
      <c r="E12130" s="1" t="str">
        <f>HYPERLINK("http://www.ncbi.nlm.nih.gov/gene/?term=RAD1","NCBI")</f>
        <v>NCBI</v>
      </c>
      <c r="F12130">
        <v>0.35</v>
      </c>
      <c r="G12130">
        <v>0.49</v>
      </c>
      <c r="H12130" s="1" t="str">
        <f>HYPERLINK("http://www.weizmann.ac.il/complex/compphys/software/geview/data/figures/210216_x_at.png","Figure")</f>
        <v>Figure</v>
      </c>
      <c r="I12130">
        <v>1.02</v>
      </c>
      <c r="J12130">
        <v>0.92</v>
      </c>
      <c r="K12130">
        <v>1.07</v>
      </c>
      <c r="L12130">
        <v>0.34</v>
      </c>
      <c r="M12130">
        <v>1.05</v>
      </c>
      <c r="N12130">
        <v>0.63</v>
      </c>
    </row>
    <row r="12131" spans="1:14" x14ac:dyDescent="0.25">
      <c r="A12131" t="s">
        <v>20885</v>
      </c>
      <c r="B12131" t="s">
        <v>20886</v>
      </c>
      <c r="C12131" s="1" t="str">
        <f>HYPERLINK("http://www.genecards.org/cgi-bin/carddisp.pl?gene=ATP6V1G2","GeneCards")</f>
        <v>GeneCards</v>
      </c>
      <c r="D12131" s="1" t="str">
        <f>HYPERLINK("http://genome-euro.ucsc.edu/cgi-bin/hgTracks?position=214762_at","UCSC")</f>
        <v>UCSC</v>
      </c>
      <c r="E12131" s="1" t="str">
        <f>HYPERLINK("http://www.ncbi.nlm.nih.gov/gene/?term=ATP6V1G2","NCBI")</f>
        <v>NCBI</v>
      </c>
      <c r="F12131">
        <v>0.35</v>
      </c>
      <c r="G12131">
        <v>0.49</v>
      </c>
      <c r="H12131" s="1" t="str">
        <f>HYPERLINK("http://www.weizmann.ac.il/complex/compphys/software/geview/data/figures/214762_at.png","Figure")</f>
        <v>Figure</v>
      </c>
      <c r="I12131">
        <v>0.95399999999999996</v>
      </c>
      <c r="J12131">
        <v>0.77</v>
      </c>
      <c r="K12131">
        <v>1.05</v>
      </c>
      <c r="L12131">
        <v>0.71</v>
      </c>
      <c r="M12131">
        <v>1.1000000000000001</v>
      </c>
      <c r="N12131">
        <v>0.32</v>
      </c>
    </row>
    <row r="12132" spans="1:14" x14ac:dyDescent="0.25">
      <c r="A12132" t="s">
        <v>20887</v>
      </c>
      <c r="B12132" t="s">
        <v>20888</v>
      </c>
      <c r="C12132" s="1" t="str">
        <f>HYPERLINK("http://www.genecards.org/cgi-bin/carddisp.pl?gene=FOXC1","GeneCards")</f>
        <v>GeneCards</v>
      </c>
      <c r="D12132" s="1" t="str">
        <f>HYPERLINK("http://genome-euro.ucsc.edu/cgi-bin/hgTracks?position=213260_at","UCSC")</f>
        <v>UCSC</v>
      </c>
      <c r="E12132" s="1" t="str">
        <f>HYPERLINK("http://www.ncbi.nlm.nih.gov/gene/?term=FOXC1","NCBI")</f>
        <v>NCBI</v>
      </c>
      <c r="F12132">
        <v>0.35</v>
      </c>
      <c r="G12132">
        <v>0.49</v>
      </c>
      <c r="H12132" s="1" t="str">
        <f>HYPERLINK("http://www.weizmann.ac.il/complex/compphys/software/geview/data/figures/213260_at.png","Figure")</f>
        <v>Figure</v>
      </c>
      <c r="I12132">
        <v>1.1599999999999999</v>
      </c>
      <c r="J12132">
        <v>0.37</v>
      </c>
      <c r="K12132">
        <v>1.02</v>
      </c>
      <c r="L12132">
        <v>0.97</v>
      </c>
      <c r="M12132">
        <v>0.878</v>
      </c>
      <c r="N12132">
        <v>0.43</v>
      </c>
    </row>
    <row r="12133" spans="1:14" x14ac:dyDescent="0.25">
      <c r="A12133" t="s">
        <v>20889</v>
      </c>
      <c r="B12133" t="s">
        <v>20890</v>
      </c>
      <c r="C12133" s="1" t="str">
        <f>HYPERLINK("http://www.genecards.org/cgi-bin/carddisp.pl?gene=NT5C","GeneCards")</f>
        <v>GeneCards</v>
      </c>
      <c r="D12133" s="1" t="str">
        <f>HYPERLINK("http://genome-euro.ucsc.edu/cgi-bin/hgTracks?position=219214_s_at","UCSC")</f>
        <v>UCSC</v>
      </c>
      <c r="E12133" s="1" t="str">
        <f>HYPERLINK("http://www.ncbi.nlm.nih.gov/gene/?term=NT5C","NCBI")</f>
        <v>NCBI</v>
      </c>
      <c r="F12133">
        <v>0.35</v>
      </c>
      <c r="G12133">
        <v>0.49</v>
      </c>
      <c r="H12133" s="1" t="str">
        <f>HYPERLINK("http://www.weizmann.ac.il/complex/compphys/software/geview/data/figures/219214_s_at.png","Figure")</f>
        <v>Figure</v>
      </c>
      <c r="I12133">
        <v>1.04</v>
      </c>
      <c r="J12133">
        <v>0.91</v>
      </c>
      <c r="K12133">
        <v>1.1200000000000001</v>
      </c>
      <c r="L12133">
        <v>0.34</v>
      </c>
      <c r="M12133">
        <v>1.08</v>
      </c>
      <c r="N12133">
        <v>0.63</v>
      </c>
    </row>
    <row r="12134" spans="1:14" x14ac:dyDescent="0.25">
      <c r="A12134" t="s">
        <v>20891</v>
      </c>
      <c r="B12134" t="s">
        <v>20892</v>
      </c>
      <c r="C12134" s="1" t="str">
        <f>HYPERLINK("http://www.genecards.org/cgi-bin/carddisp.pl?gene=ARNT2","GeneCards")</f>
        <v>GeneCards</v>
      </c>
      <c r="D12134" s="1" t="str">
        <f>HYPERLINK("http://genome-euro.ucsc.edu/cgi-bin/hgTracks?position=202986_at","UCSC")</f>
        <v>UCSC</v>
      </c>
      <c r="E12134" s="1" t="str">
        <f>HYPERLINK("http://www.ncbi.nlm.nih.gov/gene/?term=ARNT2","NCBI")</f>
        <v>NCBI</v>
      </c>
      <c r="F12134">
        <v>0.35</v>
      </c>
      <c r="G12134">
        <v>0.49</v>
      </c>
      <c r="H12134" s="1" t="str">
        <f>HYPERLINK("http://www.weizmann.ac.il/complex/compphys/software/geview/data/figures/202986_at.png","Figure")</f>
        <v>Figure</v>
      </c>
      <c r="I12134">
        <v>0.878</v>
      </c>
      <c r="J12134">
        <v>0.57999999999999996</v>
      </c>
      <c r="K12134">
        <v>1.05</v>
      </c>
      <c r="L12134">
        <v>0.9</v>
      </c>
      <c r="M12134">
        <v>1.2</v>
      </c>
      <c r="N12134">
        <v>0.32</v>
      </c>
    </row>
    <row r="12135" spans="1:14" x14ac:dyDescent="0.25">
      <c r="A12135" t="s">
        <v>20893</v>
      </c>
      <c r="B12135" t="s">
        <v>20894</v>
      </c>
      <c r="C12135" s="1" t="str">
        <f>HYPERLINK("http://www.genecards.org/cgi-bin/carddisp.pl?gene=YARS","GeneCards")</f>
        <v>GeneCards</v>
      </c>
      <c r="D12135" s="1" t="str">
        <f>HYPERLINK("http://genome-euro.ucsc.edu/cgi-bin/hgTracks?position=212048_s_at","UCSC")</f>
        <v>UCSC</v>
      </c>
      <c r="E12135" s="1" t="str">
        <f>HYPERLINK("http://www.ncbi.nlm.nih.gov/gene/?term=YARS","NCBI")</f>
        <v>NCBI</v>
      </c>
      <c r="F12135">
        <v>0.35</v>
      </c>
      <c r="G12135">
        <v>0.49</v>
      </c>
      <c r="H12135" s="1" t="str">
        <f>HYPERLINK("http://www.weizmann.ac.il/complex/compphys/software/geview/data/figures/212048_s_at.png","Figure")</f>
        <v>Figure</v>
      </c>
      <c r="I12135">
        <v>1.24</v>
      </c>
      <c r="J12135">
        <v>0.33</v>
      </c>
      <c r="K12135">
        <v>1.07</v>
      </c>
      <c r="L12135">
        <v>0.85</v>
      </c>
      <c r="M12135">
        <v>0.86299999999999999</v>
      </c>
      <c r="N12135">
        <v>0.53</v>
      </c>
    </row>
    <row r="12136" spans="1:14" x14ac:dyDescent="0.25">
      <c r="A12136" t="s">
        <v>20895</v>
      </c>
      <c r="B12136" t="s">
        <v>20896</v>
      </c>
      <c r="C12136" s="1" t="str">
        <f>HYPERLINK("http://www.genecards.org/cgi-bin/carddisp.pl?gene=FXYD2","GeneCards")</f>
        <v>GeneCards</v>
      </c>
      <c r="D12136" s="1" t="str">
        <f>HYPERLINK("http://genome-euro.ucsc.edu/cgi-bin/hgTracks?position=205674_x_at","UCSC")</f>
        <v>UCSC</v>
      </c>
      <c r="E12136" s="1" t="str">
        <f>HYPERLINK("http://www.ncbi.nlm.nih.gov/gene/?term=FXYD2","NCBI")</f>
        <v>NCBI</v>
      </c>
      <c r="F12136">
        <v>0.35</v>
      </c>
      <c r="G12136">
        <v>0.49</v>
      </c>
      <c r="H12136" s="1" t="str">
        <f>HYPERLINK("http://www.weizmann.ac.il/complex/compphys/software/geview/data/figures/205674_x_at.png","Figure")</f>
        <v>Figure</v>
      </c>
      <c r="I12136">
        <v>1.27</v>
      </c>
      <c r="J12136">
        <v>0.39</v>
      </c>
      <c r="K12136">
        <v>1.22</v>
      </c>
      <c r="L12136">
        <v>0.43</v>
      </c>
      <c r="M12136">
        <v>0.95899999999999996</v>
      </c>
      <c r="N12136">
        <v>0.96</v>
      </c>
    </row>
    <row r="12137" spans="1:14" x14ac:dyDescent="0.25">
      <c r="A12137" t="s">
        <v>20897</v>
      </c>
      <c r="B12137" t="s">
        <v>20898</v>
      </c>
      <c r="C12137" s="1" t="str">
        <f>HYPERLINK("http://www.genecards.org/cgi-bin/carddisp.pl?gene=HMGA2","GeneCards")</f>
        <v>GeneCards</v>
      </c>
      <c r="D12137" s="1" t="str">
        <f>HYPERLINK("http://genome-euro.ucsc.edu/cgi-bin/hgTracks?position=208025_s_at","UCSC")</f>
        <v>UCSC</v>
      </c>
      <c r="E12137" s="1" t="str">
        <f>HYPERLINK("http://www.ncbi.nlm.nih.gov/gene/?term=HMGA2","NCBI")</f>
        <v>NCBI</v>
      </c>
      <c r="F12137">
        <v>0.35</v>
      </c>
      <c r="G12137">
        <v>0.49</v>
      </c>
      <c r="H12137" s="1" t="str">
        <f>HYPERLINK("http://www.weizmann.ac.il/complex/compphys/software/geview/data/figures/208025_s_at.png","Figure")</f>
        <v>Figure</v>
      </c>
      <c r="I12137">
        <v>0.90700000000000003</v>
      </c>
      <c r="J12137">
        <v>0.33</v>
      </c>
      <c r="K12137">
        <v>0.94299999999999995</v>
      </c>
      <c r="L12137">
        <v>0.56999999999999995</v>
      </c>
      <c r="M12137">
        <v>1.04</v>
      </c>
      <c r="N12137">
        <v>0.81</v>
      </c>
    </row>
    <row r="12138" spans="1:14" x14ac:dyDescent="0.25">
      <c r="A12138" t="s">
        <v>20899</v>
      </c>
      <c r="B12138" t="s">
        <v>12397</v>
      </c>
      <c r="C12138" s="1" t="str">
        <f>HYPERLINK("http://www.genecards.org/cgi-bin/carddisp.pl?gene=ATP2B1","GeneCards")</f>
        <v>GeneCards</v>
      </c>
      <c r="D12138" s="1" t="str">
        <f>HYPERLINK("http://genome-euro.ucsc.edu/cgi-bin/hgTracks?position=209281_s_at","UCSC")</f>
        <v>UCSC</v>
      </c>
      <c r="E12138" s="1" t="str">
        <f>HYPERLINK("http://www.ncbi.nlm.nih.gov/gene/?term=ATP2B1","NCBI")</f>
        <v>NCBI</v>
      </c>
      <c r="F12138">
        <v>0.35</v>
      </c>
      <c r="G12138">
        <v>0.49</v>
      </c>
      <c r="H12138" s="1" t="str">
        <f>HYPERLINK("http://www.weizmann.ac.il/complex/compphys/software/geview/data/figures/209281_s_at.png","Figure")</f>
        <v>Figure</v>
      </c>
      <c r="I12138">
        <v>0.84599999999999997</v>
      </c>
      <c r="J12138">
        <v>0.82</v>
      </c>
      <c r="K12138">
        <v>0.69799999999999995</v>
      </c>
      <c r="L12138">
        <v>0.32</v>
      </c>
      <c r="M12138">
        <v>0.82499999999999996</v>
      </c>
      <c r="N12138">
        <v>0.74</v>
      </c>
    </row>
    <row r="12139" spans="1:14" x14ac:dyDescent="0.25">
      <c r="A12139" t="s">
        <v>20900</v>
      </c>
      <c r="B12139" t="s">
        <v>20901</v>
      </c>
      <c r="C12139" s="1" t="str">
        <f>HYPERLINK("http://www.genecards.org/cgi-bin/carddisp.pl?gene=FAM160B2","GeneCards")</f>
        <v>GeneCards</v>
      </c>
      <c r="D12139" s="1" t="str">
        <f>HYPERLINK("http://genome-euro.ucsc.edu/cgi-bin/hgTracks?position=218337_at","UCSC")</f>
        <v>UCSC</v>
      </c>
      <c r="E12139" s="1" t="str">
        <f>HYPERLINK("http://www.ncbi.nlm.nih.gov/gene/?term=FAM160B2","NCBI")</f>
        <v>NCBI</v>
      </c>
      <c r="F12139">
        <v>0.35</v>
      </c>
      <c r="G12139">
        <v>0.49</v>
      </c>
      <c r="H12139" s="1" t="str">
        <f>HYPERLINK("http://www.weizmann.ac.il/complex/compphys/software/geview/data/figures/218337_at.png","Figure")</f>
        <v>Figure</v>
      </c>
      <c r="I12139">
        <v>0.74099999999999999</v>
      </c>
      <c r="J12139">
        <v>0.32</v>
      </c>
      <c r="K12139">
        <v>0.86199999999999999</v>
      </c>
      <c r="L12139">
        <v>0.68</v>
      </c>
      <c r="M12139">
        <v>1.1599999999999999</v>
      </c>
      <c r="N12139">
        <v>0.7</v>
      </c>
    </row>
    <row r="12140" spans="1:14" x14ac:dyDescent="0.25">
      <c r="A12140" t="s">
        <v>20902</v>
      </c>
      <c r="B12140" t="s">
        <v>11699</v>
      </c>
      <c r="C12140" s="1" t="str">
        <f>HYPERLINK("http://www.genecards.org/cgi-bin/carddisp.pl?gene=TRIM14","GeneCards")</f>
        <v>GeneCards</v>
      </c>
      <c r="D12140" s="1" t="str">
        <f>HYPERLINK("http://genome-euro.ucsc.edu/cgi-bin/hgTracks?position=203147_s_at","UCSC")</f>
        <v>UCSC</v>
      </c>
      <c r="E12140" s="1" t="str">
        <f>HYPERLINK("http://www.ncbi.nlm.nih.gov/gene/?term=TRIM14","NCBI")</f>
        <v>NCBI</v>
      </c>
      <c r="F12140">
        <v>0.35</v>
      </c>
      <c r="G12140">
        <v>0.49</v>
      </c>
      <c r="H12140" s="1" t="str">
        <f>HYPERLINK("http://www.weizmann.ac.il/complex/compphys/software/geview/data/figures/203147_s_at.png","Figure")</f>
        <v>Figure</v>
      </c>
      <c r="I12140">
        <v>0.86299999999999999</v>
      </c>
      <c r="J12140">
        <v>0.7</v>
      </c>
      <c r="K12140">
        <v>1.1100000000000001</v>
      </c>
      <c r="L12140">
        <v>0.78</v>
      </c>
      <c r="M12140">
        <v>1.29</v>
      </c>
      <c r="N12140">
        <v>0.32</v>
      </c>
    </row>
    <row r="12141" spans="1:14" x14ac:dyDescent="0.25">
      <c r="A12141" t="s">
        <v>20903</v>
      </c>
      <c r="B12141" t="s">
        <v>20904</v>
      </c>
      <c r="C12141" s="1" t="str">
        <f>HYPERLINK("http://www.genecards.org/cgi-bin/carddisp.pl?gene=RGR","GeneCards")</f>
        <v>GeneCards</v>
      </c>
      <c r="D12141" s="1" t="str">
        <f>HYPERLINK("http://genome-euro.ucsc.edu/cgi-bin/hgTracks?position=207070_at","UCSC")</f>
        <v>UCSC</v>
      </c>
      <c r="E12141" s="1" t="str">
        <f>HYPERLINK("http://www.ncbi.nlm.nih.gov/gene/?term=RGR","NCBI")</f>
        <v>NCBI</v>
      </c>
      <c r="F12141">
        <v>0.35</v>
      </c>
      <c r="G12141">
        <v>0.49</v>
      </c>
      <c r="H12141" s="1" t="str">
        <f>HYPERLINK("http://www.weizmann.ac.il/complex/compphys/software/geview/data/figures/207070_at.png","Figure")</f>
        <v>Figure</v>
      </c>
      <c r="I12141">
        <v>1.08</v>
      </c>
      <c r="J12141">
        <v>0.56000000000000005</v>
      </c>
      <c r="K12141">
        <v>1.1000000000000001</v>
      </c>
      <c r="L12141">
        <v>0.34</v>
      </c>
      <c r="M12141">
        <v>1.02</v>
      </c>
      <c r="N12141">
        <v>0.97</v>
      </c>
    </row>
    <row r="12142" spans="1:14" x14ac:dyDescent="0.25">
      <c r="A12142" t="s">
        <v>20905</v>
      </c>
      <c r="B12142" t="s">
        <v>16029</v>
      </c>
      <c r="C12142" s="1" t="str">
        <f>HYPERLINK("http://www.genecards.org/cgi-bin/carddisp.pl?gene=CUL5","GeneCards")</f>
        <v>GeneCards</v>
      </c>
      <c r="D12142" s="1" t="str">
        <f>HYPERLINK("http://genome-euro.ucsc.edu/cgi-bin/hgTracks?position=203531_at","UCSC")</f>
        <v>UCSC</v>
      </c>
      <c r="E12142" s="1" t="str">
        <f>HYPERLINK("http://www.ncbi.nlm.nih.gov/gene/?term=CUL5","NCBI")</f>
        <v>NCBI</v>
      </c>
      <c r="F12142">
        <v>0.35</v>
      </c>
      <c r="G12142">
        <v>0.49</v>
      </c>
      <c r="H12142" s="1" t="str">
        <f>HYPERLINK("http://www.weizmann.ac.il/complex/compphys/software/geview/data/figures/203531_at.png","Figure")</f>
        <v>Figure</v>
      </c>
      <c r="I12142">
        <v>0.90100000000000002</v>
      </c>
      <c r="J12142">
        <v>0.87</v>
      </c>
      <c r="K12142">
        <v>0.76900000000000002</v>
      </c>
      <c r="L12142">
        <v>0.33</v>
      </c>
      <c r="M12142">
        <v>0.85299999999999998</v>
      </c>
      <c r="N12142">
        <v>0.69</v>
      </c>
    </row>
    <row r="12143" spans="1:14" x14ac:dyDescent="0.25">
      <c r="A12143" t="s">
        <v>20906</v>
      </c>
      <c r="B12143" t="s">
        <v>20907</v>
      </c>
      <c r="C12143" s="1" t="str">
        <f>HYPERLINK("http://www.genecards.org/cgi-bin/carddisp.pl?gene=CADM4","GeneCards")</f>
        <v>GeneCards</v>
      </c>
      <c r="D12143" s="1" t="str">
        <f>HYPERLINK("http://genome-euro.ucsc.edu/cgi-bin/hgTracks?position=215258_at","UCSC")</f>
        <v>UCSC</v>
      </c>
      <c r="E12143" s="1" t="str">
        <f>HYPERLINK("http://www.ncbi.nlm.nih.gov/gene/?term=CADM4","NCBI")</f>
        <v>NCBI</v>
      </c>
      <c r="F12143">
        <v>0.35</v>
      </c>
      <c r="G12143">
        <v>0.49</v>
      </c>
      <c r="H12143" s="1" t="str">
        <f>HYPERLINK("http://www.weizmann.ac.il/complex/compphys/software/geview/data/figures/215258_at.png","Figure")</f>
        <v>Figure</v>
      </c>
      <c r="I12143">
        <v>1.04</v>
      </c>
      <c r="J12143">
        <v>0.33</v>
      </c>
      <c r="K12143">
        <v>1.01</v>
      </c>
      <c r="L12143">
        <v>0.88</v>
      </c>
      <c r="M12143">
        <v>0.97</v>
      </c>
      <c r="N12143">
        <v>0.51</v>
      </c>
    </row>
    <row r="12144" spans="1:14" x14ac:dyDescent="0.25">
      <c r="A12144" t="s">
        <v>20908</v>
      </c>
      <c r="B12144" t="s">
        <v>20909</v>
      </c>
      <c r="C12144" s="1" t="str">
        <f>HYPERLINK("http://www.genecards.org/cgi-bin/carddisp.pl?gene=SLC3A2","GeneCards")</f>
        <v>GeneCards</v>
      </c>
      <c r="D12144" s="1" t="str">
        <f>HYPERLINK("http://genome-euro.ucsc.edu/cgi-bin/hgTracks?position=200924_s_at","UCSC")</f>
        <v>UCSC</v>
      </c>
      <c r="E12144" s="1" t="str">
        <f>HYPERLINK("http://www.ncbi.nlm.nih.gov/gene/?term=SLC3A2","NCBI")</f>
        <v>NCBI</v>
      </c>
      <c r="F12144">
        <v>0.35</v>
      </c>
      <c r="G12144">
        <v>0.49</v>
      </c>
      <c r="H12144" s="1" t="str">
        <f>HYPERLINK("http://www.weizmann.ac.il/complex/compphys/software/geview/data/figures/200924_s_at.png","Figure")</f>
        <v>Figure</v>
      </c>
      <c r="I12144">
        <v>1.18</v>
      </c>
      <c r="J12144">
        <v>0.64</v>
      </c>
      <c r="K12144">
        <v>0.91600000000000004</v>
      </c>
      <c r="L12144">
        <v>0.84</v>
      </c>
      <c r="M12144">
        <v>0.77900000000000003</v>
      </c>
      <c r="N12144">
        <v>0.32</v>
      </c>
    </row>
    <row r="12145" spans="1:14" x14ac:dyDescent="0.25">
      <c r="A12145" t="s">
        <v>20910</v>
      </c>
      <c r="B12145" t="s">
        <v>7730</v>
      </c>
      <c r="C12145" s="1" t="str">
        <f>HYPERLINK("http://www.genecards.org/cgi-bin/carddisp.pl?gene=SPPL2B","GeneCards")</f>
        <v>GeneCards</v>
      </c>
      <c r="D12145" s="1" t="str">
        <f>HYPERLINK("http://genome-euro.ucsc.edu/cgi-bin/hgTracks?position=215833_s_at","UCSC")</f>
        <v>UCSC</v>
      </c>
      <c r="E12145" s="1" t="str">
        <f>HYPERLINK("http://www.ncbi.nlm.nih.gov/gene/?term=SPPL2B","NCBI")</f>
        <v>NCBI</v>
      </c>
      <c r="F12145">
        <v>0.35</v>
      </c>
      <c r="G12145">
        <v>0.49</v>
      </c>
      <c r="H12145" s="1" t="str">
        <f>HYPERLINK("http://www.weizmann.ac.il/complex/compphys/software/geview/data/figures/215833_s_at.png","Figure")</f>
        <v>Figure</v>
      </c>
      <c r="I12145">
        <v>1.0900000000000001</v>
      </c>
      <c r="J12145">
        <v>0.33</v>
      </c>
      <c r="K12145">
        <v>1.03</v>
      </c>
      <c r="L12145">
        <v>0.87</v>
      </c>
      <c r="M12145">
        <v>0.94299999999999995</v>
      </c>
      <c r="N12145">
        <v>0.52</v>
      </c>
    </row>
    <row r="12146" spans="1:14" x14ac:dyDescent="0.25">
      <c r="A12146" t="s">
        <v>20911</v>
      </c>
      <c r="B12146" t="s">
        <v>1934</v>
      </c>
      <c r="C12146" s="1" t="str">
        <f>HYPERLINK("http://www.genecards.org/cgi-bin/carddisp.pl?gene=COX4I1","GeneCards")</f>
        <v>GeneCards</v>
      </c>
      <c r="D12146" s="1" t="str">
        <f>HYPERLINK("http://genome-euro.ucsc.edu/cgi-bin/hgTracks?position=200086_s_at","UCSC")</f>
        <v>UCSC</v>
      </c>
      <c r="E12146" s="1" t="str">
        <f>HYPERLINK("http://www.ncbi.nlm.nih.gov/gene/?term=COX4I1","NCBI")</f>
        <v>NCBI</v>
      </c>
      <c r="F12146">
        <v>0.35</v>
      </c>
      <c r="G12146">
        <v>0.49</v>
      </c>
      <c r="H12146" s="1" t="str">
        <f>HYPERLINK("http://www.weizmann.ac.il/complex/compphys/software/geview/data/figures/200086_s_at.png","Figure")</f>
        <v>Figure</v>
      </c>
      <c r="I12146">
        <v>1.26</v>
      </c>
      <c r="J12146">
        <v>0.38</v>
      </c>
      <c r="K12146">
        <v>1.02</v>
      </c>
      <c r="L12146">
        <v>0.99</v>
      </c>
      <c r="M12146">
        <v>0.81100000000000005</v>
      </c>
      <c r="N12146">
        <v>0.41</v>
      </c>
    </row>
    <row r="12147" spans="1:14" x14ac:dyDescent="0.25">
      <c r="A12147" t="s">
        <v>20912</v>
      </c>
      <c r="B12147" t="s">
        <v>16069</v>
      </c>
      <c r="C12147" s="1" t="str">
        <f>HYPERLINK("http://www.genecards.org/cgi-bin/carddisp.pl?gene=UBE2B","GeneCards")</f>
        <v>GeneCards</v>
      </c>
      <c r="D12147" s="1" t="str">
        <f>HYPERLINK("http://genome-euro.ucsc.edu/cgi-bin/hgTracks?position=202334_s_at","UCSC")</f>
        <v>UCSC</v>
      </c>
      <c r="E12147" s="1" t="str">
        <f>HYPERLINK("http://www.ncbi.nlm.nih.gov/gene/?term=UBE2B","NCBI")</f>
        <v>NCBI</v>
      </c>
      <c r="F12147">
        <v>0.35</v>
      </c>
      <c r="G12147">
        <v>0.49</v>
      </c>
      <c r="H12147" s="1" t="str">
        <f>HYPERLINK("http://www.weizmann.ac.il/complex/compphys/software/geview/data/figures/202334_s_at.png","Figure")</f>
        <v>Figure</v>
      </c>
      <c r="I12147">
        <v>0.90200000000000002</v>
      </c>
      <c r="J12147">
        <v>0.76</v>
      </c>
      <c r="K12147">
        <v>1.1000000000000001</v>
      </c>
      <c r="L12147">
        <v>0.72</v>
      </c>
      <c r="M12147">
        <v>1.22</v>
      </c>
      <c r="N12147">
        <v>0.32</v>
      </c>
    </row>
    <row r="12148" spans="1:14" x14ac:dyDescent="0.25">
      <c r="A12148" t="s">
        <v>20913</v>
      </c>
      <c r="B12148" t="s">
        <v>14908</v>
      </c>
      <c r="C12148" s="1" t="str">
        <f>HYPERLINK("http://www.genecards.org/cgi-bin/carddisp.pl?gene=ATP5G2","GeneCards")</f>
        <v>GeneCards</v>
      </c>
      <c r="D12148" s="1" t="str">
        <f>HYPERLINK("http://genome-euro.ucsc.edu/cgi-bin/hgTracks?position=207552_at","UCSC")</f>
        <v>UCSC</v>
      </c>
      <c r="E12148" s="1" t="str">
        <f>HYPERLINK("http://www.ncbi.nlm.nih.gov/gene/?term=ATP5G2","NCBI")</f>
        <v>NCBI</v>
      </c>
      <c r="F12148">
        <v>0.35</v>
      </c>
      <c r="G12148">
        <v>0.49</v>
      </c>
      <c r="H12148" s="1" t="str">
        <f>HYPERLINK("http://www.weizmann.ac.il/complex/compphys/software/geview/data/figures/207552_at.png","Figure")</f>
        <v>Figure</v>
      </c>
      <c r="I12148">
        <v>1.05</v>
      </c>
      <c r="J12148">
        <v>0.76</v>
      </c>
      <c r="K12148">
        <v>0.95099999999999996</v>
      </c>
      <c r="L12148">
        <v>0.72</v>
      </c>
      <c r="M12148">
        <v>0.90300000000000002</v>
      </c>
      <c r="N12148">
        <v>0.32</v>
      </c>
    </row>
    <row r="12149" spans="1:14" x14ac:dyDescent="0.25">
      <c r="A12149" t="s">
        <v>20914</v>
      </c>
      <c r="B12149" t="s">
        <v>20915</v>
      </c>
      <c r="C12149" s="1" t="str">
        <f>HYPERLINK("http://www.genecards.org/cgi-bin/carddisp.pl?gene=HLA-DRB4","GeneCards")</f>
        <v>GeneCards</v>
      </c>
      <c r="D12149" s="1" t="str">
        <f>HYPERLINK("http://genome-euro.ucsc.edu/cgi-bin/hgTracks?position=215666_at","UCSC")</f>
        <v>UCSC</v>
      </c>
      <c r="E12149" s="1" t="str">
        <f>HYPERLINK("http://www.ncbi.nlm.nih.gov/gene/?term=HLA-DRB4","NCBI")</f>
        <v>NCBI</v>
      </c>
      <c r="F12149">
        <v>0.35</v>
      </c>
      <c r="G12149">
        <v>0.49</v>
      </c>
      <c r="H12149" s="1" t="str">
        <f>HYPERLINK("http://www.weizmann.ac.il/complex/compphys/software/geview/data/figures/215666_at.png","Figure")</f>
        <v>Figure</v>
      </c>
      <c r="I12149">
        <v>1</v>
      </c>
      <c r="J12149">
        <v>1</v>
      </c>
      <c r="K12149">
        <v>0.84799999999999998</v>
      </c>
      <c r="L12149">
        <v>0.42</v>
      </c>
      <c r="M12149">
        <v>0.84799999999999998</v>
      </c>
      <c r="N12149">
        <v>0.46</v>
      </c>
    </row>
    <row r="12150" spans="1:14" x14ac:dyDescent="0.25">
      <c r="A12150" t="s">
        <v>20916</v>
      </c>
      <c r="B12150" t="s">
        <v>20917</v>
      </c>
      <c r="C12150" s="1" t="str">
        <f>HYPERLINK("http://www.genecards.org/cgi-bin/carddisp.pl?gene=COL6A3","GeneCards")</f>
        <v>GeneCards</v>
      </c>
      <c r="D12150" s="1" t="str">
        <f>HYPERLINK("http://genome-euro.ucsc.edu/cgi-bin/hgTracks?position=201438_at","UCSC")</f>
        <v>UCSC</v>
      </c>
      <c r="E12150" s="1" t="str">
        <f>HYPERLINK("http://www.ncbi.nlm.nih.gov/gene/?term=COL6A3","NCBI")</f>
        <v>NCBI</v>
      </c>
      <c r="F12150">
        <v>0.35</v>
      </c>
      <c r="G12150">
        <v>0.49</v>
      </c>
      <c r="H12150" s="1" t="str">
        <f>HYPERLINK("http://www.weizmann.ac.il/complex/compphys/software/geview/data/figures/201438_at.png","Figure")</f>
        <v>Figure</v>
      </c>
      <c r="I12150">
        <v>1.1200000000000001</v>
      </c>
      <c r="J12150">
        <v>0.41</v>
      </c>
      <c r="K12150">
        <v>1</v>
      </c>
      <c r="L12150">
        <v>1</v>
      </c>
      <c r="M12150">
        <v>0.89600000000000002</v>
      </c>
      <c r="N12150">
        <v>0.38</v>
      </c>
    </row>
    <row r="12151" spans="1:14" x14ac:dyDescent="0.25">
      <c r="A12151" t="s">
        <v>20918</v>
      </c>
      <c r="B12151" t="s">
        <v>20919</v>
      </c>
      <c r="C12151" s="1" t="str">
        <f>HYPERLINK("http://www.genecards.org/cgi-bin/carddisp.pl?gene=ITGB4","GeneCards")</f>
        <v>GeneCards</v>
      </c>
      <c r="D12151" s="1" t="str">
        <f>HYPERLINK("http://genome-euro.ucsc.edu/cgi-bin/hgTracks?position=204990_s_at","UCSC")</f>
        <v>UCSC</v>
      </c>
      <c r="E12151" s="1" t="str">
        <f>HYPERLINK("http://www.ncbi.nlm.nih.gov/gene/?term=ITGB4","NCBI")</f>
        <v>NCBI</v>
      </c>
      <c r="F12151">
        <v>0.35</v>
      </c>
      <c r="G12151">
        <v>0.49</v>
      </c>
      <c r="H12151" s="1" t="str">
        <f>HYPERLINK("http://www.weizmann.ac.il/complex/compphys/software/geview/data/figures/204990_s_at.png","Figure")</f>
        <v>Figure</v>
      </c>
      <c r="I12151">
        <v>1.1599999999999999</v>
      </c>
      <c r="J12151">
        <v>0.34</v>
      </c>
      <c r="K12151">
        <v>1.04</v>
      </c>
      <c r="L12151">
        <v>0.92</v>
      </c>
      <c r="M12151">
        <v>0.89</v>
      </c>
      <c r="N12151">
        <v>0.48</v>
      </c>
    </row>
    <row r="12152" spans="1:14" x14ac:dyDescent="0.25">
      <c r="A12152" t="s">
        <v>20920</v>
      </c>
      <c r="B12152" t="s">
        <v>20921</v>
      </c>
      <c r="C12152" s="1" t="str">
        <f>HYPERLINK("http://www.genecards.org/cgi-bin/carddisp.pl?gene=OPCML","GeneCards")</f>
        <v>GeneCards</v>
      </c>
      <c r="D12152" s="1" t="str">
        <f>HYPERLINK("http://genome-euro.ucsc.edu/cgi-bin/hgTracks?position=206215_at","UCSC")</f>
        <v>UCSC</v>
      </c>
      <c r="E12152" s="1" t="str">
        <f>HYPERLINK("http://www.ncbi.nlm.nih.gov/gene/?term=OPCML","NCBI")</f>
        <v>NCBI</v>
      </c>
      <c r="F12152">
        <v>0.35</v>
      </c>
      <c r="G12152">
        <v>0.49</v>
      </c>
      <c r="H12152" s="1" t="str">
        <f>HYPERLINK("http://www.weizmann.ac.il/complex/compphys/software/geview/data/figures/206215_at.png","Figure")</f>
        <v>Figure</v>
      </c>
      <c r="I12152">
        <v>1.08</v>
      </c>
      <c r="J12152">
        <v>0.33</v>
      </c>
      <c r="K12152">
        <v>1.03</v>
      </c>
      <c r="L12152">
        <v>0.84</v>
      </c>
      <c r="M12152">
        <v>0.94799999999999995</v>
      </c>
      <c r="N12152">
        <v>0.55000000000000004</v>
      </c>
    </row>
    <row r="12153" spans="1:14" x14ac:dyDescent="0.25">
      <c r="A12153" t="s">
        <v>20922</v>
      </c>
      <c r="B12153" t="s">
        <v>20923</v>
      </c>
      <c r="C12153" s="1" t="str">
        <f>HYPERLINK("http://www.genecards.org/cgi-bin/carddisp.pl?gene=RHOQ","GeneCards")</f>
        <v>GeneCards</v>
      </c>
      <c r="D12153" s="1" t="str">
        <f>HYPERLINK("http://genome-euro.ucsc.edu/cgi-bin/hgTracks?position=212119_at","UCSC")</f>
        <v>UCSC</v>
      </c>
      <c r="E12153" s="1" t="str">
        <f>HYPERLINK("http://www.ncbi.nlm.nih.gov/gene/?term=RHOQ","NCBI")</f>
        <v>NCBI</v>
      </c>
      <c r="F12153">
        <v>0.35</v>
      </c>
      <c r="G12153">
        <v>0.49</v>
      </c>
      <c r="H12153" s="1" t="str">
        <f>HYPERLINK("http://www.weizmann.ac.il/complex/compphys/software/geview/data/figures/212119_at.png","Figure")</f>
        <v>Figure</v>
      </c>
      <c r="I12153">
        <v>1.54</v>
      </c>
      <c r="J12153">
        <v>0.32</v>
      </c>
      <c r="K12153">
        <v>1.18</v>
      </c>
      <c r="L12153">
        <v>0.79</v>
      </c>
      <c r="M12153">
        <v>0.76900000000000002</v>
      </c>
      <c r="N12153">
        <v>0.6</v>
      </c>
    </row>
    <row r="12154" spans="1:14" x14ac:dyDescent="0.25">
      <c r="A12154" t="s">
        <v>20924</v>
      </c>
      <c r="B12154" t="s">
        <v>20925</v>
      </c>
      <c r="C12154" s="1" t="str">
        <f>HYPERLINK("http://www.genecards.org/cgi-bin/carddisp.pl?gene=DKFZp686O1327","GeneCards")</f>
        <v>GeneCards</v>
      </c>
      <c r="D12154" s="1" t="str">
        <f>HYPERLINK("http://genome-euro.ucsc.edu/cgi-bin/hgTracks?position=216877_at","UCSC")</f>
        <v>UCSC</v>
      </c>
      <c r="E12154" s="1" t="str">
        <f>HYPERLINK("http://www.ncbi.nlm.nih.gov/gene/?term=DKFZp686O1327","NCBI")</f>
        <v>NCBI</v>
      </c>
      <c r="F12154">
        <v>0.35</v>
      </c>
      <c r="G12154">
        <v>0.49</v>
      </c>
      <c r="H12154" s="1" t="str">
        <f>HYPERLINK("http://www.weizmann.ac.il/complex/compphys/software/geview/data/figures/216877_at.png","Figure")</f>
        <v>Figure</v>
      </c>
      <c r="I12154">
        <v>1.01</v>
      </c>
      <c r="J12154">
        <v>0.89</v>
      </c>
      <c r="K12154">
        <v>0.97499999999999998</v>
      </c>
      <c r="L12154">
        <v>0.59</v>
      </c>
      <c r="M12154">
        <v>0.96299999999999997</v>
      </c>
      <c r="N12154">
        <v>0.35</v>
      </c>
    </row>
    <row r="12155" spans="1:14" x14ac:dyDescent="0.25">
      <c r="A12155" t="s">
        <v>20926</v>
      </c>
      <c r="B12155" t="s">
        <v>20927</v>
      </c>
      <c r="C12155" s="1" t="str">
        <f>HYPERLINK("http://www.genecards.org/cgi-bin/carddisp.pl?gene=SYNM","GeneCards")</f>
        <v>GeneCards</v>
      </c>
      <c r="D12155" s="1" t="str">
        <f>HYPERLINK("http://genome-euro.ucsc.edu/cgi-bin/hgTracks?position=212730_at","UCSC")</f>
        <v>UCSC</v>
      </c>
      <c r="E12155" s="1" t="str">
        <f>HYPERLINK("http://www.ncbi.nlm.nih.gov/gene/?term=SYNM","NCBI")</f>
        <v>NCBI</v>
      </c>
      <c r="F12155">
        <v>0.35</v>
      </c>
      <c r="G12155">
        <v>0.49</v>
      </c>
      <c r="H12155" s="1" t="str">
        <f>HYPERLINK("http://www.weizmann.ac.il/complex/compphys/software/geview/data/figures/212730_at.png","Figure")</f>
        <v>Figure</v>
      </c>
      <c r="I12155">
        <v>1.1399999999999999</v>
      </c>
      <c r="J12155">
        <v>0.63</v>
      </c>
      <c r="K12155">
        <v>0.93799999999999994</v>
      </c>
      <c r="L12155">
        <v>0.85</v>
      </c>
      <c r="M12155">
        <v>0.82499999999999996</v>
      </c>
      <c r="N12155">
        <v>0.32</v>
      </c>
    </row>
    <row r="12156" spans="1:14" x14ac:dyDescent="0.25">
      <c r="A12156" t="s">
        <v>20928</v>
      </c>
      <c r="B12156" t="s">
        <v>9174</v>
      </c>
      <c r="C12156" s="1" t="str">
        <f>HYPERLINK("http://www.genecards.org/cgi-bin/carddisp.pl?gene=SLC1A4","GeneCards")</f>
        <v>GeneCards</v>
      </c>
      <c r="D12156" s="1" t="str">
        <f>HYPERLINK("http://genome-euro.ucsc.edu/cgi-bin/hgTracks?position=209610_s_at","UCSC")</f>
        <v>UCSC</v>
      </c>
      <c r="E12156" s="1" t="str">
        <f>HYPERLINK("http://www.ncbi.nlm.nih.gov/gene/?term=SLC1A4","NCBI")</f>
        <v>NCBI</v>
      </c>
      <c r="F12156">
        <v>0.35</v>
      </c>
      <c r="G12156">
        <v>0.49</v>
      </c>
      <c r="H12156" s="1" t="str">
        <f>HYPERLINK("http://www.weizmann.ac.il/complex/compphys/software/geview/data/figures/209610_s_at.png","Figure")</f>
        <v>Figure</v>
      </c>
      <c r="I12156">
        <v>0.98199999999999998</v>
      </c>
      <c r="J12156">
        <v>1</v>
      </c>
      <c r="K12156">
        <v>1.24</v>
      </c>
      <c r="L12156">
        <v>0.45</v>
      </c>
      <c r="M12156">
        <v>1.26</v>
      </c>
      <c r="N12156">
        <v>0.44</v>
      </c>
    </row>
    <row r="12157" spans="1:14" x14ac:dyDescent="0.25">
      <c r="A12157" t="s">
        <v>20929</v>
      </c>
      <c r="B12157" t="s">
        <v>20930</v>
      </c>
      <c r="C12157" s="1" t="str">
        <f>HYPERLINK("http://www.genecards.org/cgi-bin/carddisp.pl?gene=AP2M1","GeneCards")</f>
        <v>GeneCards</v>
      </c>
      <c r="D12157" s="1" t="str">
        <f>HYPERLINK("http://genome-euro.ucsc.edu/cgi-bin/hgTracks?position=200613_at","UCSC")</f>
        <v>UCSC</v>
      </c>
      <c r="E12157" s="1" t="str">
        <f>HYPERLINK("http://www.ncbi.nlm.nih.gov/gene/?term=AP2M1","NCBI")</f>
        <v>NCBI</v>
      </c>
      <c r="F12157">
        <v>0.35</v>
      </c>
      <c r="G12157">
        <v>0.49</v>
      </c>
      <c r="H12157" s="1" t="str">
        <f>HYPERLINK("http://www.weizmann.ac.il/complex/compphys/software/geview/data/figures/200613_at.png","Figure")</f>
        <v>Figure</v>
      </c>
      <c r="I12157">
        <v>0.81899999999999995</v>
      </c>
      <c r="J12157">
        <v>0.78</v>
      </c>
      <c r="K12157">
        <v>1.23</v>
      </c>
      <c r="L12157">
        <v>0.7</v>
      </c>
      <c r="M12157">
        <v>1.5</v>
      </c>
      <c r="N12157">
        <v>0.33</v>
      </c>
    </row>
    <row r="12158" spans="1:14" x14ac:dyDescent="0.25">
      <c r="A12158" t="s">
        <v>20931</v>
      </c>
      <c r="B12158" t="s">
        <v>20932</v>
      </c>
      <c r="C12158" s="1" t="str">
        <f>HYPERLINK("http://www.genecards.org/cgi-bin/carddisp.pl?gene=TRHR","GeneCards")</f>
        <v>GeneCards</v>
      </c>
      <c r="D12158" s="1" t="str">
        <f>HYPERLINK("http://genome-euro.ucsc.edu/cgi-bin/hgTracks?position=211438_at","UCSC")</f>
        <v>UCSC</v>
      </c>
      <c r="E12158" s="1" t="str">
        <f>HYPERLINK("http://www.ncbi.nlm.nih.gov/gene/?term=TRHR","NCBI")</f>
        <v>NCBI</v>
      </c>
      <c r="F12158">
        <v>0.35</v>
      </c>
      <c r="G12158">
        <v>0.49</v>
      </c>
      <c r="H12158" s="1" t="str">
        <f>HYPERLINK("http://www.weizmann.ac.il/complex/compphys/software/geview/data/figures/211438_at.png","Figure")</f>
        <v>Figure</v>
      </c>
      <c r="I12158">
        <v>0.94799999999999995</v>
      </c>
      <c r="J12158">
        <v>0.49</v>
      </c>
      <c r="K12158">
        <v>0.94599999999999995</v>
      </c>
      <c r="L12158">
        <v>0.36</v>
      </c>
      <c r="M12158">
        <v>0.998</v>
      </c>
      <c r="N12158">
        <v>1</v>
      </c>
    </row>
    <row r="12159" spans="1:14" x14ac:dyDescent="0.25">
      <c r="A12159" t="s">
        <v>20933</v>
      </c>
      <c r="B12159" t="s">
        <v>18371</v>
      </c>
      <c r="C12159" s="1" t="str">
        <f>HYPERLINK("http://www.genecards.org/cgi-bin/carddisp.pl?gene=SPTAN1","GeneCards")</f>
        <v>GeneCards</v>
      </c>
      <c r="D12159" s="1" t="str">
        <f>HYPERLINK("http://genome-euro.ucsc.edu/cgi-bin/hgTracks?position=215235_at","UCSC")</f>
        <v>UCSC</v>
      </c>
      <c r="E12159" s="1" t="str">
        <f>HYPERLINK("http://www.ncbi.nlm.nih.gov/gene/?term=SPTAN1","NCBI")</f>
        <v>NCBI</v>
      </c>
      <c r="F12159">
        <v>0.35</v>
      </c>
      <c r="G12159">
        <v>0.49</v>
      </c>
      <c r="H12159" s="1" t="str">
        <f>HYPERLINK("http://www.weizmann.ac.il/complex/compphys/software/geview/data/figures/215235_at.png","Figure")</f>
        <v>Figure</v>
      </c>
      <c r="I12159">
        <v>1.36</v>
      </c>
      <c r="J12159">
        <v>0.32</v>
      </c>
      <c r="K12159">
        <v>1.1200000000000001</v>
      </c>
      <c r="L12159">
        <v>0.79</v>
      </c>
      <c r="M12159">
        <v>0.82699999999999996</v>
      </c>
      <c r="N12159">
        <v>0.59</v>
      </c>
    </row>
    <row r="12160" spans="1:14" x14ac:dyDescent="0.25">
      <c r="A12160" t="s">
        <v>20934</v>
      </c>
      <c r="B12160" t="s">
        <v>20935</v>
      </c>
      <c r="C12160" s="1" t="str">
        <f>HYPERLINK("http://www.genecards.org/cgi-bin/carddisp.pl?gene=GOLGA8C /// GOLGA8D /// GOLGA8E /// GOLGA8G /// LOC653061","GeneCards")</f>
        <v>GeneCards</v>
      </c>
      <c r="D12160" s="1" t="str">
        <f>HYPERLINK("http://genome-euro.ucsc.edu/cgi-bin/hgTracks?position=222149_x_at","UCSC")</f>
        <v>UCSC</v>
      </c>
      <c r="E12160" s="1" t="str">
        <f>HYPERLINK("http://www.ncbi.nlm.nih.gov/gene/?term=GOLGA8C /// GOLGA8D /// GOLGA8E /// GOLGA8G /// LOC653061","NCBI")</f>
        <v>NCBI</v>
      </c>
      <c r="F12160">
        <v>0.35</v>
      </c>
      <c r="G12160">
        <v>0.49</v>
      </c>
      <c r="H12160" s="1" t="str">
        <f>HYPERLINK("http://www.weizmann.ac.il/complex/compphys/software/geview/data/figures/222149_x_at.png","Figure")</f>
        <v>Figure</v>
      </c>
      <c r="I12160">
        <v>0.90600000000000003</v>
      </c>
      <c r="J12160">
        <v>0.56999999999999995</v>
      </c>
      <c r="K12160">
        <v>0.88400000000000001</v>
      </c>
      <c r="L12160">
        <v>0.33</v>
      </c>
      <c r="M12160">
        <v>0.97499999999999998</v>
      </c>
      <c r="N12160">
        <v>0.96</v>
      </c>
    </row>
    <row r="12161" spans="1:14" x14ac:dyDescent="0.25">
      <c r="A12161" t="s">
        <v>20936</v>
      </c>
      <c r="B12161" t="s">
        <v>20937</v>
      </c>
      <c r="C12161" s="1" t="str">
        <f>HYPERLINK("http://www.genecards.org/cgi-bin/carddisp.pl?gene=HDAC3","GeneCards")</f>
        <v>GeneCards</v>
      </c>
      <c r="D12161" s="1" t="str">
        <f>HYPERLINK("http://genome-euro.ucsc.edu/cgi-bin/hgTracks?position=216326_s_at","UCSC")</f>
        <v>UCSC</v>
      </c>
      <c r="E12161" s="1" t="str">
        <f>HYPERLINK("http://www.ncbi.nlm.nih.gov/gene/?term=HDAC3","NCBI")</f>
        <v>NCBI</v>
      </c>
      <c r="F12161">
        <v>0.35</v>
      </c>
      <c r="G12161">
        <v>0.49</v>
      </c>
      <c r="H12161" s="1" t="str">
        <f>HYPERLINK("http://www.weizmann.ac.il/complex/compphys/software/geview/data/figures/216326_s_at.png","Figure")</f>
        <v>Figure</v>
      </c>
      <c r="I12161">
        <v>1.04</v>
      </c>
      <c r="J12161">
        <v>0.93</v>
      </c>
      <c r="K12161">
        <v>0.91300000000000003</v>
      </c>
      <c r="L12161">
        <v>0.54</v>
      </c>
      <c r="M12161">
        <v>0.88100000000000001</v>
      </c>
      <c r="N12161">
        <v>0.37</v>
      </c>
    </row>
    <row r="12162" spans="1:14" x14ac:dyDescent="0.25">
      <c r="A12162" t="s">
        <v>20938</v>
      </c>
      <c r="B12162" t="s">
        <v>5635</v>
      </c>
      <c r="C12162" s="1" t="str">
        <f>HYPERLINK("http://www.genecards.org/cgi-bin/carddisp.pl?gene=SFRS2IP","GeneCards")</f>
        <v>GeneCards</v>
      </c>
      <c r="D12162" s="1" t="str">
        <f>HYPERLINK("http://genome-euro.ucsc.edu/cgi-bin/hgTracks?position=206989_s_at","UCSC")</f>
        <v>UCSC</v>
      </c>
      <c r="E12162" s="1" t="str">
        <f>HYPERLINK("http://www.ncbi.nlm.nih.gov/gene/?term=SFRS2IP","NCBI")</f>
        <v>NCBI</v>
      </c>
      <c r="F12162">
        <v>0.35</v>
      </c>
      <c r="G12162">
        <v>0.49</v>
      </c>
      <c r="H12162" s="1" t="str">
        <f>HYPERLINK("http://www.weizmann.ac.il/complex/compphys/software/geview/data/figures/206989_s_at.png","Figure")</f>
        <v>Figure</v>
      </c>
      <c r="I12162">
        <v>0.749</v>
      </c>
      <c r="J12162">
        <v>0.43</v>
      </c>
      <c r="K12162">
        <v>0.76900000000000002</v>
      </c>
      <c r="L12162">
        <v>0.4</v>
      </c>
      <c r="M12162">
        <v>1.03</v>
      </c>
      <c r="N12162">
        <v>0.99</v>
      </c>
    </row>
    <row r="12163" spans="1:14" x14ac:dyDescent="0.25">
      <c r="A12163" t="s">
        <v>20939</v>
      </c>
      <c r="B12163" t="s">
        <v>15230</v>
      </c>
      <c r="C12163" s="1" t="str">
        <f>HYPERLINK("http://www.genecards.org/cgi-bin/carddisp.pl?gene=SIX2","GeneCards")</f>
        <v>GeneCards</v>
      </c>
      <c r="D12163" s="1" t="str">
        <f>HYPERLINK("http://genome-euro.ucsc.edu/cgi-bin/hgTracks?position=206510_at","UCSC")</f>
        <v>UCSC</v>
      </c>
      <c r="E12163" s="1" t="str">
        <f>HYPERLINK("http://www.ncbi.nlm.nih.gov/gene/?term=SIX2","NCBI")</f>
        <v>NCBI</v>
      </c>
      <c r="F12163">
        <v>0.35</v>
      </c>
      <c r="G12163">
        <v>0.49</v>
      </c>
      <c r="H12163" s="1" t="str">
        <f>HYPERLINK("http://www.weizmann.ac.il/complex/compphys/software/geview/data/figures/206510_at.png","Figure")</f>
        <v>Figure</v>
      </c>
      <c r="I12163">
        <v>0.99</v>
      </c>
      <c r="J12163">
        <v>0.64</v>
      </c>
      <c r="K12163">
        <v>1.01</v>
      </c>
      <c r="L12163">
        <v>0.84</v>
      </c>
      <c r="M12163">
        <v>1.02</v>
      </c>
      <c r="N12163">
        <v>0.32</v>
      </c>
    </row>
    <row r="12164" spans="1:14" x14ac:dyDescent="0.25">
      <c r="A12164" t="s">
        <v>20940</v>
      </c>
      <c r="B12164" t="s">
        <v>20941</v>
      </c>
      <c r="C12164" s="1" t="str">
        <f>HYPERLINK("http://www.genecards.org/cgi-bin/carddisp.pl?gene=FBXW11","GeneCards")</f>
        <v>GeneCards</v>
      </c>
      <c r="D12164" s="1" t="str">
        <f>HYPERLINK("http://genome-euro.ucsc.edu/cgi-bin/hgTracks?position=209456_s_at","UCSC")</f>
        <v>UCSC</v>
      </c>
      <c r="E12164" s="1" t="str">
        <f>HYPERLINK("http://www.ncbi.nlm.nih.gov/gene/?term=FBXW11","NCBI")</f>
        <v>NCBI</v>
      </c>
      <c r="F12164">
        <v>0.35</v>
      </c>
      <c r="G12164">
        <v>0.49</v>
      </c>
      <c r="H12164" s="1" t="str">
        <f>HYPERLINK("http://www.weizmann.ac.il/complex/compphys/software/geview/data/figures/209456_s_at.png","Figure")</f>
        <v>Figure</v>
      </c>
      <c r="I12164">
        <v>0.97299999999999998</v>
      </c>
      <c r="J12164">
        <v>0.91</v>
      </c>
      <c r="K12164">
        <v>0.92100000000000004</v>
      </c>
      <c r="L12164">
        <v>0.34</v>
      </c>
      <c r="M12164">
        <v>0.94599999999999995</v>
      </c>
      <c r="N12164">
        <v>0.64</v>
      </c>
    </row>
    <row r="12165" spans="1:14" x14ac:dyDescent="0.25">
      <c r="A12165" t="s">
        <v>20942</v>
      </c>
      <c r="B12165" t="s">
        <v>19623</v>
      </c>
      <c r="C12165" s="1" t="str">
        <f>HYPERLINK("http://www.genecards.org/cgi-bin/carddisp.pl?gene=HTR3A","GeneCards")</f>
        <v>GeneCards</v>
      </c>
      <c r="D12165" s="1" t="str">
        <f>HYPERLINK("http://genome-euro.ucsc.edu/cgi-bin/hgTracks?position=217002_s_at","UCSC")</f>
        <v>UCSC</v>
      </c>
      <c r="E12165" s="1" t="str">
        <f>HYPERLINK("http://www.ncbi.nlm.nih.gov/gene/?term=HTR3A","NCBI")</f>
        <v>NCBI</v>
      </c>
      <c r="F12165">
        <v>0.35</v>
      </c>
      <c r="G12165">
        <v>0.49</v>
      </c>
      <c r="H12165" s="1" t="str">
        <f>HYPERLINK("http://www.weizmann.ac.il/complex/compphys/software/geview/data/figures/217002_s_at.png","Figure")</f>
        <v>Figure</v>
      </c>
      <c r="I12165">
        <v>0.98</v>
      </c>
      <c r="J12165">
        <v>0.64</v>
      </c>
      <c r="K12165">
        <v>1.01</v>
      </c>
      <c r="L12165">
        <v>0.84</v>
      </c>
      <c r="M12165">
        <v>1.03</v>
      </c>
      <c r="N12165">
        <v>0.32</v>
      </c>
    </row>
    <row r="12166" spans="1:14" x14ac:dyDescent="0.25">
      <c r="A12166" t="s">
        <v>20943</v>
      </c>
      <c r="B12166" t="s">
        <v>20944</v>
      </c>
      <c r="C12166" s="1" t="str">
        <f>HYPERLINK("http://www.genecards.org/cgi-bin/carddisp.pl?gene=ZNF7","GeneCards")</f>
        <v>GeneCards</v>
      </c>
      <c r="D12166" s="1" t="str">
        <f>HYPERLINK("http://genome-euro.ucsc.edu/cgi-bin/hgTracks?position=205089_at","UCSC")</f>
        <v>UCSC</v>
      </c>
      <c r="E12166" s="1" t="str">
        <f>HYPERLINK("http://www.ncbi.nlm.nih.gov/gene/?term=ZNF7","NCBI")</f>
        <v>NCBI</v>
      </c>
      <c r="F12166">
        <v>0.35</v>
      </c>
      <c r="G12166">
        <v>0.49</v>
      </c>
      <c r="H12166" s="1" t="str">
        <f>HYPERLINK("http://www.weizmann.ac.il/complex/compphys/software/geview/data/figures/205089_at.png","Figure")</f>
        <v>Figure</v>
      </c>
      <c r="I12166">
        <v>0.94399999999999995</v>
      </c>
      <c r="J12166">
        <v>0.51</v>
      </c>
      <c r="K12166">
        <v>0.93899999999999995</v>
      </c>
      <c r="L12166">
        <v>0.35</v>
      </c>
      <c r="M12166">
        <v>0.99399999999999999</v>
      </c>
      <c r="N12166">
        <v>0.99</v>
      </c>
    </row>
    <row r="12167" spans="1:14" x14ac:dyDescent="0.25">
      <c r="A12167" t="s">
        <v>20945</v>
      </c>
      <c r="B12167" t="s">
        <v>852</v>
      </c>
      <c r="C12167" s="1" t="str">
        <f>HYPERLINK("http://www.genecards.org/cgi-bin/carddisp.pl?gene=NFATC2IP","GeneCards")</f>
        <v>GeneCards</v>
      </c>
      <c r="D12167" s="1" t="str">
        <f>HYPERLINK("http://genome-euro.ucsc.edu/cgi-bin/hgTracks?position=217527_s_at","UCSC")</f>
        <v>UCSC</v>
      </c>
      <c r="E12167" s="1" t="str">
        <f>HYPERLINK("http://www.ncbi.nlm.nih.gov/gene/?term=NFATC2IP","NCBI")</f>
        <v>NCBI</v>
      </c>
      <c r="F12167">
        <v>0.35</v>
      </c>
      <c r="G12167">
        <v>0.49</v>
      </c>
      <c r="H12167" s="1" t="str">
        <f>HYPERLINK("http://www.weizmann.ac.il/complex/compphys/software/geview/data/figures/217527_s_at.png","Figure")</f>
        <v>Figure</v>
      </c>
      <c r="I12167">
        <v>1.37</v>
      </c>
      <c r="J12167">
        <v>0.4</v>
      </c>
      <c r="K12167">
        <v>1.02</v>
      </c>
      <c r="L12167">
        <v>1</v>
      </c>
      <c r="M12167">
        <v>0.74199999999999999</v>
      </c>
      <c r="N12167">
        <v>0.39</v>
      </c>
    </row>
    <row r="12168" spans="1:14" x14ac:dyDescent="0.25">
      <c r="A12168" t="s">
        <v>20946</v>
      </c>
      <c r="B12168" t="s">
        <v>20947</v>
      </c>
      <c r="C12168" s="1" t="str">
        <f>HYPERLINK("http://www.genecards.org/cgi-bin/carddisp.pl?gene=SLC24A2","GeneCards")</f>
        <v>GeneCards</v>
      </c>
      <c r="D12168" s="1" t="str">
        <f>HYPERLINK("http://genome-euro.ucsc.edu/cgi-bin/hgTracks?position=220867_s_at","UCSC")</f>
        <v>UCSC</v>
      </c>
      <c r="E12168" s="1" t="str">
        <f>HYPERLINK("http://www.ncbi.nlm.nih.gov/gene/?term=SLC24A2","NCBI")</f>
        <v>NCBI</v>
      </c>
      <c r="F12168">
        <v>0.35</v>
      </c>
      <c r="G12168">
        <v>0.49</v>
      </c>
      <c r="H12168" s="1" t="str">
        <f>HYPERLINK("http://www.weizmann.ac.il/complex/compphys/software/geview/data/figures/220867_s_at.png","Figure")</f>
        <v>Figure</v>
      </c>
      <c r="I12168">
        <v>1.08</v>
      </c>
      <c r="J12168">
        <v>0.59</v>
      </c>
      <c r="K12168">
        <v>0.96899999999999997</v>
      </c>
      <c r="L12168">
        <v>0.89</v>
      </c>
      <c r="M12168">
        <v>0.89500000000000002</v>
      </c>
      <c r="N12168">
        <v>0.32</v>
      </c>
    </row>
    <row r="12169" spans="1:14" x14ac:dyDescent="0.25">
      <c r="A12169" t="s">
        <v>20948</v>
      </c>
      <c r="B12169" t="s">
        <v>20949</v>
      </c>
      <c r="C12169" s="1" t="str">
        <f>HYPERLINK("http://www.genecards.org/cgi-bin/carddisp.pl?gene=MYST2","GeneCards")</f>
        <v>GeneCards</v>
      </c>
      <c r="D12169" s="1" t="str">
        <f>HYPERLINK("http://genome-euro.ucsc.edu/cgi-bin/hgTracks?position=200049_at","UCSC")</f>
        <v>UCSC</v>
      </c>
      <c r="E12169" s="1" t="str">
        <f>HYPERLINK("http://www.ncbi.nlm.nih.gov/gene/?term=MYST2","NCBI")</f>
        <v>NCBI</v>
      </c>
      <c r="F12169">
        <v>0.35</v>
      </c>
      <c r="G12169">
        <v>0.49</v>
      </c>
      <c r="H12169" s="1" t="str">
        <f>HYPERLINK("http://www.weizmann.ac.il/complex/compphys/software/geview/data/figures/200049_at.png","Figure")</f>
        <v>Figure</v>
      </c>
      <c r="I12169">
        <v>0.90300000000000002</v>
      </c>
      <c r="J12169">
        <v>0.75</v>
      </c>
      <c r="K12169">
        <v>0.83199999999999996</v>
      </c>
      <c r="L12169">
        <v>0.32</v>
      </c>
      <c r="M12169">
        <v>0.92100000000000004</v>
      </c>
      <c r="N12169">
        <v>0.81</v>
      </c>
    </row>
    <row r="12170" spans="1:14" x14ac:dyDescent="0.25">
      <c r="A12170" t="s">
        <v>20950</v>
      </c>
      <c r="B12170" t="s">
        <v>2275</v>
      </c>
      <c r="C12170" s="1" t="str">
        <f>HYPERLINK("http://www.genecards.org/cgi-bin/carddisp.pl?gene=PLD1","GeneCards")</f>
        <v>GeneCards</v>
      </c>
      <c r="D12170" s="1" t="str">
        <f>HYPERLINK("http://genome-euro.ucsc.edu/cgi-bin/hgTracks?position=177_at","UCSC")</f>
        <v>UCSC</v>
      </c>
      <c r="E12170" s="1" t="str">
        <f>HYPERLINK("http://www.ncbi.nlm.nih.gov/gene/?term=PLD1","NCBI")</f>
        <v>NCBI</v>
      </c>
      <c r="F12170">
        <v>0.36</v>
      </c>
      <c r="G12170">
        <v>0.49</v>
      </c>
      <c r="H12170" s="1" t="str">
        <f>HYPERLINK("http://www.weizmann.ac.il/complex/compphys/software/geview/data/figures/177_at.png","Figure")</f>
        <v>Figure</v>
      </c>
      <c r="I12170">
        <v>1.03</v>
      </c>
      <c r="J12170">
        <v>0.47</v>
      </c>
      <c r="K12170">
        <v>1.03</v>
      </c>
      <c r="L12170">
        <v>0.38</v>
      </c>
      <c r="M12170">
        <v>1</v>
      </c>
      <c r="N12170">
        <v>1</v>
      </c>
    </row>
    <row r="12171" spans="1:14" x14ac:dyDescent="0.25">
      <c r="A12171" t="s">
        <v>20951</v>
      </c>
      <c r="B12171" t="s">
        <v>8412</v>
      </c>
      <c r="C12171" s="1" t="str">
        <f>HYPERLINK("http://www.genecards.org/cgi-bin/carddisp.pl?gene=RGS14","GeneCards")</f>
        <v>GeneCards</v>
      </c>
      <c r="D12171" s="1" t="str">
        <f>HYPERLINK("http://genome-euro.ucsc.edu/cgi-bin/hgTracks?position=38290_at","UCSC")</f>
        <v>UCSC</v>
      </c>
      <c r="E12171" s="1" t="str">
        <f>HYPERLINK("http://www.ncbi.nlm.nih.gov/gene/?term=RGS14","NCBI")</f>
        <v>NCBI</v>
      </c>
      <c r="F12171">
        <v>0.36</v>
      </c>
      <c r="G12171">
        <v>0.49</v>
      </c>
      <c r="H12171" s="1" t="str">
        <f>HYPERLINK("http://www.weizmann.ac.il/complex/compphys/software/geview/data/figures/38290_at.png","Figure")</f>
        <v>Figure</v>
      </c>
      <c r="I12171">
        <v>1.06</v>
      </c>
      <c r="J12171">
        <v>0.56999999999999995</v>
      </c>
      <c r="K12171">
        <v>1.08</v>
      </c>
      <c r="L12171">
        <v>0.34</v>
      </c>
      <c r="M12171">
        <v>1.01</v>
      </c>
      <c r="N12171">
        <v>0.96</v>
      </c>
    </row>
    <row r="12172" spans="1:14" x14ac:dyDescent="0.25">
      <c r="A12172" t="s">
        <v>20952</v>
      </c>
      <c r="B12172" t="s">
        <v>1081</v>
      </c>
      <c r="C12172" s="1" t="str">
        <f>HYPERLINK("http://www.genecards.org/cgi-bin/carddisp.pl?gene=TEAD4","GeneCards")</f>
        <v>GeneCards</v>
      </c>
      <c r="D12172" s="1" t="str">
        <f>HYPERLINK("http://genome-euro.ucsc.edu/cgi-bin/hgTracks?position=41037_at","UCSC")</f>
        <v>UCSC</v>
      </c>
      <c r="E12172" s="1" t="str">
        <f>HYPERLINK("http://www.ncbi.nlm.nih.gov/gene/?term=TEAD4","NCBI")</f>
        <v>NCBI</v>
      </c>
      <c r="F12172">
        <v>0.36</v>
      </c>
      <c r="G12172">
        <v>0.49</v>
      </c>
      <c r="H12172" s="1" t="str">
        <f>HYPERLINK("http://www.weizmann.ac.il/complex/compphys/software/geview/data/figures/41037_at.png","Figure")</f>
        <v>Figure</v>
      </c>
      <c r="I12172">
        <v>1.05</v>
      </c>
      <c r="J12172">
        <v>0.47</v>
      </c>
      <c r="K12172">
        <v>1.05</v>
      </c>
      <c r="L12172">
        <v>0.38</v>
      </c>
      <c r="M12172">
        <v>1</v>
      </c>
      <c r="N12172">
        <v>1</v>
      </c>
    </row>
    <row r="12173" spans="1:14" x14ac:dyDescent="0.25">
      <c r="A12173" t="s">
        <v>20953</v>
      </c>
      <c r="B12173" t="s">
        <v>5956</v>
      </c>
      <c r="C12173" s="1" t="str">
        <f>HYPERLINK("http://www.genecards.org/cgi-bin/carddisp.pl?gene=GGA1","GeneCards")</f>
        <v>GeneCards</v>
      </c>
      <c r="D12173" s="1" t="str">
        <f>HYPERLINK("http://genome-euro.ucsc.edu/cgi-bin/hgTracks?position=50277_at","UCSC")</f>
        <v>UCSC</v>
      </c>
      <c r="E12173" s="1" t="str">
        <f>HYPERLINK("http://www.ncbi.nlm.nih.gov/gene/?term=GGA1","NCBI")</f>
        <v>NCBI</v>
      </c>
      <c r="F12173">
        <v>0.36</v>
      </c>
      <c r="G12173">
        <v>0.49</v>
      </c>
      <c r="H12173" s="1" t="str">
        <f>HYPERLINK("http://www.weizmann.ac.il/complex/compphys/software/geview/data/figures/50277_at.png","Figure")</f>
        <v>Figure</v>
      </c>
      <c r="I12173">
        <v>1.3</v>
      </c>
      <c r="J12173">
        <v>0.36</v>
      </c>
      <c r="K12173">
        <v>1.2</v>
      </c>
      <c r="L12173">
        <v>0.51</v>
      </c>
      <c r="M12173">
        <v>0.92300000000000004</v>
      </c>
      <c r="N12173">
        <v>0.89</v>
      </c>
    </row>
    <row r="12174" spans="1:14" x14ac:dyDescent="0.25">
      <c r="A12174" t="s">
        <v>20954</v>
      </c>
      <c r="B12174" t="s">
        <v>20955</v>
      </c>
      <c r="C12174" s="1" t="str">
        <f>HYPERLINK("http://www.genecards.org/cgi-bin/carddisp.pl?gene=PGAP3","GeneCards")</f>
        <v>GeneCards</v>
      </c>
      <c r="D12174" s="1" t="str">
        <f>HYPERLINK("http://genome-euro.ucsc.edu/cgi-bin/hgTracks?position=55616_at","UCSC")</f>
        <v>UCSC</v>
      </c>
      <c r="E12174" s="1" t="str">
        <f>HYPERLINK("http://www.ncbi.nlm.nih.gov/gene/?term=PGAP3","NCBI")</f>
        <v>NCBI</v>
      </c>
      <c r="F12174">
        <v>0.36</v>
      </c>
      <c r="G12174">
        <v>0.49</v>
      </c>
      <c r="H12174" s="1" t="str">
        <f>HYPERLINK("http://www.weizmann.ac.il/complex/compphys/software/geview/data/figures/55616_at.png","Figure")</f>
        <v>Figure</v>
      </c>
      <c r="I12174">
        <v>1.0900000000000001</v>
      </c>
      <c r="J12174">
        <v>0.61</v>
      </c>
      <c r="K12174">
        <v>1.1200000000000001</v>
      </c>
      <c r="L12174">
        <v>0.33</v>
      </c>
      <c r="M12174">
        <v>1.03</v>
      </c>
      <c r="N12174">
        <v>0.94</v>
      </c>
    </row>
    <row r="12175" spans="1:14" x14ac:dyDescent="0.25">
      <c r="A12175" t="s">
        <v>20956</v>
      </c>
      <c r="B12175" t="s">
        <v>20957</v>
      </c>
      <c r="C12175" s="1" t="str">
        <f>HYPERLINK("http://www.genecards.org/cgi-bin/carddisp.pl?gene=NUCB1","GeneCards")</f>
        <v>GeneCards</v>
      </c>
      <c r="D12175" s="1" t="str">
        <f>HYPERLINK("http://genome-euro.ucsc.edu/cgi-bin/hgTracks?position=200646_s_at","UCSC")</f>
        <v>UCSC</v>
      </c>
      <c r="E12175" s="1" t="str">
        <f>HYPERLINK("http://www.ncbi.nlm.nih.gov/gene/?term=NUCB1","NCBI")</f>
        <v>NCBI</v>
      </c>
      <c r="F12175">
        <v>0.36</v>
      </c>
      <c r="G12175">
        <v>0.49</v>
      </c>
      <c r="H12175" s="1" t="str">
        <f>HYPERLINK("http://www.weizmann.ac.il/complex/compphys/software/geview/data/figures/200646_s_at.png","Figure")</f>
        <v>Figure</v>
      </c>
      <c r="I12175">
        <v>1</v>
      </c>
      <c r="J12175">
        <v>0.47</v>
      </c>
      <c r="K12175">
        <v>1</v>
      </c>
      <c r="L12175">
        <v>0.38</v>
      </c>
      <c r="M12175">
        <v>1</v>
      </c>
      <c r="N12175">
        <v>1</v>
      </c>
    </row>
    <row r="12176" spans="1:14" x14ac:dyDescent="0.25">
      <c r="A12176" t="s">
        <v>20958</v>
      </c>
      <c r="B12176" t="s">
        <v>12562</v>
      </c>
      <c r="C12176" s="1" t="str">
        <f>HYPERLINK("http://www.genecards.org/cgi-bin/carddisp.pl?gene=OTUB1","GeneCards")</f>
        <v>GeneCards</v>
      </c>
      <c r="D12176" s="1" t="str">
        <f>HYPERLINK("http://genome-euro.ucsc.edu/cgi-bin/hgTracks?position=201245_s_at","UCSC")</f>
        <v>UCSC</v>
      </c>
      <c r="E12176" s="1" t="str">
        <f>HYPERLINK("http://www.ncbi.nlm.nih.gov/gene/?term=OTUB1","NCBI")</f>
        <v>NCBI</v>
      </c>
      <c r="F12176">
        <v>0.35</v>
      </c>
      <c r="G12176">
        <v>0.49</v>
      </c>
      <c r="H12176" s="1" t="str">
        <f>HYPERLINK("http://www.weizmann.ac.il/complex/compphys/software/geview/data/figures/201245_s_at.png","Figure")</f>
        <v>Figure</v>
      </c>
      <c r="I12176">
        <v>1.26</v>
      </c>
      <c r="J12176">
        <v>0.36</v>
      </c>
      <c r="K12176">
        <v>1.18</v>
      </c>
      <c r="L12176">
        <v>0.51</v>
      </c>
      <c r="M12176">
        <v>0.93200000000000005</v>
      </c>
      <c r="N12176">
        <v>0.89</v>
      </c>
    </row>
    <row r="12177" spans="1:14" x14ac:dyDescent="0.25">
      <c r="A12177" t="s">
        <v>20959</v>
      </c>
      <c r="B12177" t="s">
        <v>10758</v>
      </c>
      <c r="C12177" s="1" t="str">
        <f>HYPERLINK("http://www.genecards.org/cgi-bin/carddisp.pl?gene=SFRS1","GeneCards")</f>
        <v>GeneCards</v>
      </c>
      <c r="D12177" s="1" t="str">
        <f>HYPERLINK("http://genome-euro.ucsc.edu/cgi-bin/hgTracks?position=201741_x_at","UCSC")</f>
        <v>UCSC</v>
      </c>
      <c r="E12177" s="1" t="str">
        <f>HYPERLINK("http://www.ncbi.nlm.nih.gov/gene/?term=SFRS1","NCBI")</f>
        <v>NCBI</v>
      </c>
      <c r="F12177">
        <v>0.36</v>
      </c>
      <c r="G12177">
        <v>0.49</v>
      </c>
      <c r="H12177" s="1" t="str">
        <f>HYPERLINK("http://www.weizmann.ac.il/complex/compphys/software/geview/data/figures/201741_x_at.png","Figure")</f>
        <v>Figure</v>
      </c>
      <c r="I12177">
        <v>1.01</v>
      </c>
      <c r="J12177">
        <v>0.47</v>
      </c>
      <c r="K12177">
        <v>1.01</v>
      </c>
      <c r="L12177">
        <v>0.38</v>
      </c>
      <c r="M12177">
        <v>1</v>
      </c>
      <c r="N12177">
        <v>1</v>
      </c>
    </row>
    <row r="12178" spans="1:14" x14ac:dyDescent="0.25">
      <c r="A12178" t="s">
        <v>20960</v>
      </c>
      <c r="B12178" t="s">
        <v>20961</v>
      </c>
      <c r="C12178" s="1" t="str">
        <f>HYPERLINK("http://www.genecards.org/cgi-bin/carddisp.pl?gene=EFEMP1","GeneCards")</f>
        <v>GeneCards</v>
      </c>
      <c r="D12178" s="1" t="str">
        <f>HYPERLINK("http://genome-euro.ucsc.edu/cgi-bin/hgTracks?position=201842_s_at","UCSC")</f>
        <v>UCSC</v>
      </c>
      <c r="E12178" s="1" t="str">
        <f>HYPERLINK("http://www.ncbi.nlm.nih.gov/gene/?term=EFEMP1","NCBI")</f>
        <v>NCBI</v>
      </c>
      <c r="F12178">
        <v>0.35</v>
      </c>
      <c r="G12178">
        <v>0.49</v>
      </c>
      <c r="H12178" s="1" t="str">
        <f>HYPERLINK("http://www.weizmann.ac.il/complex/compphys/software/geview/data/figures/201842_s_at.png","Figure")</f>
        <v>Figure</v>
      </c>
      <c r="I12178">
        <v>0.94299999999999995</v>
      </c>
      <c r="J12178">
        <v>0.35</v>
      </c>
      <c r="K12178">
        <v>0.98699999999999999</v>
      </c>
      <c r="L12178">
        <v>0.93</v>
      </c>
      <c r="M12178">
        <v>1.05</v>
      </c>
      <c r="N12178">
        <v>0.47</v>
      </c>
    </row>
    <row r="12179" spans="1:14" x14ac:dyDescent="0.25">
      <c r="A12179" t="s">
        <v>20962</v>
      </c>
      <c r="B12179" t="s">
        <v>20963</v>
      </c>
      <c r="C12179" s="1" t="str">
        <f>HYPERLINK("http://www.genecards.org/cgi-bin/carddisp.pl?gene=B2M","GeneCards")</f>
        <v>GeneCards</v>
      </c>
      <c r="D12179" s="1" t="str">
        <f>HYPERLINK("http://genome-euro.ucsc.edu/cgi-bin/hgTracks?position=201891_s_at","UCSC")</f>
        <v>UCSC</v>
      </c>
      <c r="E12179" s="1" t="str">
        <f>HYPERLINK("http://www.ncbi.nlm.nih.gov/gene/?term=B2M","NCBI")</f>
        <v>NCBI</v>
      </c>
      <c r="F12179">
        <v>0.35</v>
      </c>
      <c r="G12179">
        <v>0.49</v>
      </c>
      <c r="H12179" s="1" t="str">
        <f>HYPERLINK("http://www.weizmann.ac.il/complex/compphys/software/geview/data/figures/201891_s_at.png","Figure")</f>
        <v>Figure</v>
      </c>
      <c r="I12179">
        <v>1.1100000000000001</v>
      </c>
      <c r="J12179">
        <v>0.69</v>
      </c>
      <c r="K12179">
        <v>0.92900000000000005</v>
      </c>
      <c r="L12179">
        <v>0.8</v>
      </c>
      <c r="M12179">
        <v>0.83499999999999996</v>
      </c>
      <c r="N12179">
        <v>0.32</v>
      </c>
    </row>
    <row r="12180" spans="1:14" x14ac:dyDescent="0.25">
      <c r="A12180" t="s">
        <v>20964</v>
      </c>
      <c r="B12180" t="s">
        <v>13591</v>
      </c>
      <c r="C12180" s="1" t="str">
        <f>HYPERLINK("http://www.genecards.org/cgi-bin/carddisp.pl?gene=CAPZB","GeneCards")</f>
        <v>GeneCards</v>
      </c>
      <c r="D12180" s="1" t="str">
        <f>HYPERLINK("http://genome-euro.ucsc.edu/cgi-bin/hgTracks?position=201950_x_at","UCSC")</f>
        <v>UCSC</v>
      </c>
      <c r="E12180" s="1" t="str">
        <f>HYPERLINK("http://www.ncbi.nlm.nih.gov/gene/?term=CAPZB","NCBI")</f>
        <v>NCBI</v>
      </c>
      <c r="F12180">
        <v>0.36</v>
      </c>
      <c r="G12180">
        <v>0.49</v>
      </c>
      <c r="H12180" s="1" t="str">
        <f>HYPERLINK("http://www.weizmann.ac.il/complex/compphys/software/geview/data/figures/201950_x_at.png","Figure")</f>
        <v>Figure</v>
      </c>
      <c r="I12180">
        <v>1.06</v>
      </c>
      <c r="J12180">
        <v>0.89</v>
      </c>
      <c r="K12180">
        <v>1.19</v>
      </c>
      <c r="L12180">
        <v>0.34</v>
      </c>
      <c r="M12180">
        <v>1.1200000000000001</v>
      </c>
      <c r="N12180">
        <v>0.66</v>
      </c>
    </row>
    <row r="12181" spans="1:14" x14ac:dyDescent="0.25">
      <c r="A12181" t="s">
        <v>20965</v>
      </c>
      <c r="B12181" t="s">
        <v>5078</v>
      </c>
      <c r="C12181" s="1" t="str">
        <f>HYPERLINK("http://www.genecards.org/cgi-bin/carddisp.pl?gene=EGFR","GeneCards")</f>
        <v>GeneCards</v>
      </c>
      <c r="D12181" s="1" t="str">
        <f>HYPERLINK("http://genome-euro.ucsc.edu/cgi-bin/hgTracks?position=201983_s_at","UCSC")</f>
        <v>UCSC</v>
      </c>
      <c r="E12181" s="1" t="str">
        <f>HYPERLINK("http://www.ncbi.nlm.nih.gov/gene/?term=EGFR","NCBI")</f>
        <v>NCBI</v>
      </c>
      <c r="F12181">
        <v>0.36</v>
      </c>
      <c r="G12181">
        <v>0.49</v>
      </c>
      <c r="H12181" s="1" t="str">
        <f>HYPERLINK("http://www.weizmann.ac.il/complex/compphys/software/geview/data/figures/201983_s_at.png","Figure")</f>
        <v>Figure</v>
      </c>
      <c r="I12181">
        <v>1.02</v>
      </c>
      <c r="J12181">
        <v>0.47</v>
      </c>
      <c r="K12181">
        <v>1.02</v>
      </c>
      <c r="L12181">
        <v>0.38</v>
      </c>
      <c r="M12181">
        <v>1</v>
      </c>
      <c r="N12181">
        <v>1</v>
      </c>
    </row>
    <row r="12182" spans="1:14" x14ac:dyDescent="0.25">
      <c r="A12182" t="s">
        <v>20966</v>
      </c>
      <c r="B12182" t="s">
        <v>20967</v>
      </c>
      <c r="C12182" s="1" t="str">
        <f>HYPERLINK("http://www.genecards.org/cgi-bin/carddisp.pl?gene=ITGAV","GeneCards")</f>
        <v>GeneCards</v>
      </c>
      <c r="D12182" s="1" t="str">
        <f>HYPERLINK("http://genome-euro.ucsc.edu/cgi-bin/hgTracks?position=202351_at","UCSC")</f>
        <v>UCSC</v>
      </c>
      <c r="E12182" s="1" t="str">
        <f>HYPERLINK("http://www.ncbi.nlm.nih.gov/gene/?term=ITGAV","NCBI")</f>
        <v>NCBI</v>
      </c>
      <c r="F12182">
        <v>0.36</v>
      </c>
      <c r="G12182">
        <v>0.49</v>
      </c>
      <c r="H12182" s="1" t="str">
        <f>HYPERLINK("http://www.weizmann.ac.il/complex/compphys/software/geview/data/figures/202351_at.png","Figure")</f>
        <v>Figure</v>
      </c>
      <c r="I12182">
        <v>1.01</v>
      </c>
      <c r="J12182">
        <v>0.47</v>
      </c>
      <c r="K12182">
        <v>1.01</v>
      </c>
      <c r="L12182">
        <v>0.38</v>
      </c>
      <c r="M12182">
        <v>1</v>
      </c>
      <c r="N12182">
        <v>1</v>
      </c>
    </row>
    <row r="12183" spans="1:14" x14ac:dyDescent="0.25">
      <c r="A12183" t="s">
        <v>20968</v>
      </c>
      <c r="B12183" t="s">
        <v>15344</v>
      </c>
      <c r="C12183" s="1" t="str">
        <f>HYPERLINK("http://www.genecards.org/cgi-bin/carddisp.pl?gene=ZER1","GeneCards")</f>
        <v>GeneCards</v>
      </c>
      <c r="D12183" s="1" t="str">
        <f>HYPERLINK("http://genome-euro.ucsc.edu/cgi-bin/hgTracks?position=202452_at","UCSC")</f>
        <v>UCSC</v>
      </c>
      <c r="E12183" s="1" t="str">
        <f>HYPERLINK("http://www.ncbi.nlm.nih.gov/gene/?term=ZER1","NCBI")</f>
        <v>NCBI</v>
      </c>
      <c r="F12183">
        <v>0.36</v>
      </c>
      <c r="G12183">
        <v>0.49</v>
      </c>
      <c r="H12183" s="1" t="str">
        <f>HYPERLINK("http://www.weizmann.ac.il/complex/compphys/software/geview/data/figures/202452_at.png","Figure")</f>
        <v>Figure</v>
      </c>
      <c r="I12183">
        <v>0.98799999999999999</v>
      </c>
      <c r="J12183">
        <v>1</v>
      </c>
      <c r="K12183">
        <v>1.1399999999999999</v>
      </c>
      <c r="L12183">
        <v>0.45</v>
      </c>
      <c r="M12183">
        <v>1.1599999999999999</v>
      </c>
      <c r="N12183">
        <v>0.44</v>
      </c>
    </row>
    <row r="12184" spans="1:14" x14ac:dyDescent="0.25">
      <c r="A12184" t="s">
        <v>20969</v>
      </c>
      <c r="B12184" t="s">
        <v>14366</v>
      </c>
      <c r="C12184" s="1" t="str">
        <f>HYPERLINK("http://www.genecards.org/cgi-bin/carddisp.pl?gene=LPIN2","GeneCards")</f>
        <v>GeneCards</v>
      </c>
      <c r="D12184" s="1" t="str">
        <f>HYPERLINK("http://genome-euro.ucsc.edu/cgi-bin/hgTracks?position=202459_s_at","UCSC")</f>
        <v>UCSC</v>
      </c>
      <c r="E12184" s="1" t="str">
        <f>HYPERLINK("http://www.ncbi.nlm.nih.gov/gene/?term=LPIN2","NCBI")</f>
        <v>NCBI</v>
      </c>
      <c r="F12184">
        <v>0.35</v>
      </c>
      <c r="G12184">
        <v>0.49</v>
      </c>
      <c r="H12184" s="1" t="str">
        <f>HYPERLINK("http://www.weizmann.ac.il/complex/compphys/software/geview/data/figures/202459_s_at.png","Figure")</f>
        <v>Figure</v>
      </c>
      <c r="I12184">
        <v>1.21</v>
      </c>
      <c r="J12184">
        <v>0.43</v>
      </c>
      <c r="K12184">
        <v>1.19</v>
      </c>
      <c r="L12184">
        <v>0.4</v>
      </c>
      <c r="M12184">
        <v>0.98499999999999999</v>
      </c>
      <c r="N12184">
        <v>0.99</v>
      </c>
    </row>
    <row r="12185" spans="1:14" x14ac:dyDescent="0.25">
      <c r="A12185" t="s">
        <v>20970</v>
      </c>
      <c r="B12185" t="s">
        <v>20971</v>
      </c>
      <c r="C12185" s="1" t="str">
        <f>HYPERLINK("http://www.genecards.org/cgi-bin/carddisp.pl?gene=PPIE","GeneCards")</f>
        <v>GeneCards</v>
      </c>
      <c r="D12185" s="1" t="str">
        <f>HYPERLINK("http://genome-euro.ucsc.edu/cgi-bin/hgTracks?position=202494_at","UCSC")</f>
        <v>UCSC</v>
      </c>
      <c r="E12185" s="1" t="str">
        <f>HYPERLINK("http://www.ncbi.nlm.nih.gov/gene/?term=PPIE","NCBI")</f>
        <v>NCBI</v>
      </c>
      <c r="F12185">
        <v>0.35</v>
      </c>
      <c r="G12185">
        <v>0.49</v>
      </c>
      <c r="H12185" s="1" t="str">
        <f>HYPERLINK("http://www.weizmann.ac.il/complex/compphys/software/geview/data/figures/202494_at.png","Figure")</f>
        <v>Figure</v>
      </c>
      <c r="I12185">
        <v>1</v>
      </c>
      <c r="J12185">
        <v>1</v>
      </c>
      <c r="K12185">
        <v>1.1399999999999999</v>
      </c>
      <c r="L12185">
        <v>0.41</v>
      </c>
      <c r="M12185">
        <v>1.1299999999999999</v>
      </c>
      <c r="N12185">
        <v>0.48</v>
      </c>
    </row>
    <row r="12186" spans="1:14" x14ac:dyDescent="0.25">
      <c r="A12186" t="s">
        <v>20972</v>
      </c>
      <c r="B12186" t="s">
        <v>20973</v>
      </c>
      <c r="C12186" s="1" t="str">
        <f>HYPERLINK("http://www.genecards.org/cgi-bin/carddisp.pl?gene=VAMP8","GeneCards")</f>
        <v>GeneCards</v>
      </c>
      <c r="D12186" s="1" t="str">
        <f>HYPERLINK("http://genome-euro.ucsc.edu/cgi-bin/hgTracks?position=202546_at","UCSC")</f>
        <v>UCSC</v>
      </c>
      <c r="E12186" s="1" t="str">
        <f>HYPERLINK("http://www.ncbi.nlm.nih.gov/gene/?term=VAMP8","NCBI")</f>
        <v>NCBI</v>
      </c>
      <c r="F12186">
        <v>0.35</v>
      </c>
      <c r="G12186">
        <v>0.49</v>
      </c>
      <c r="H12186" s="1" t="str">
        <f>HYPERLINK("http://www.weizmann.ac.il/complex/compphys/software/geview/data/figures/202546_at.png","Figure")</f>
        <v>Figure</v>
      </c>
      <c r="I12186">
        <v>1.06</v>
      </c>
      <c r="J12186">
        <v>0.99</v>
      </c>
      <c r="K12186">
        <v>1.52</v>
      </c>
      <c r="L12186">
        <v>0.39</v>
      </c>
      <c r="M12186">
        <v>1.43</v>
      </c>
      <c r="N12186">
        <v>0.53</v>
      </c>
    </row>
    <row r="12187" spans="1:14" x14ac:dyDescent="0.25">
      <c r="A12187" t="s">
        <v>20974</v>
      </c>
      <c r="B12187" t="s">
        <v>20975</v>
      </c>
      <c r="C12187" s="1" t="str">
        <f>HYPERLINK("http://www.genecards.org/cgi-bin/carddisp.pl?gene=DPH1 /// OVCA2","GeneCards")</f>
        <v>GeneCards</v>
      </c>
      <c r="D12187" s="1" t="str">
        <f>HYPERLINK("http://genome-euro.ucsc.edu/cgi-bin/hgTracks?position=202632_at","UCSC")</f>
        <v>UCSC</v>
      </c>
      <c r="E12187" s="1" t="str">
        <f>HYPERLINK("http://www.ncbi.nlm.nih.gov/gene/?term=DPH1 /// OVCA2","NCBI")</f>
        <v>NCBI</v>
      </c>
      <c r="F12187">
        <v>0.35</v>
      </c>
      <c r="G12187">
        <v>0.49</v>
      </c>
      <c r="H12187" s="1" t="str">
        <f>HYPERLINK("http://www.weizmann.ac.il/complex/compphys/software/geview/data/figures/202632_at.png","Figure")</f>
        <v>Figure</v>
      </c>
      <c r="I12187">
        <v>1.1599999999999999</v>
      </c>
      <c r="J12187">
        <v>0.39</v>
      </c>
      <c r="K12187">
        <v>1.1200000000000001</v>
      </c>
      <c r="L12187">
        <v>0.46</v>
      </c>
      <c r="M12187">
        <v>0.97</v>
      </c>
      <c r="N12187">
        <v>0.95</v>
      </c>
    </row>
    <row r="12188" spans="1:14" x14ac:dyDescent="0.25">
      <c r="A12188" t="s">
        <v>20976</v>
      </c>
      <c r="B12188" t="s">
        <v>10394</v>
      </c>
      <c r="C12188" s="1" t="str">
        <f>HYPERLINK("http://www.genecards.org/cgi-bin/carddisp.pl?gene=NBN","GeneCards")</f>
        <v>GeneCards</v>
      </c>
      <c r="D12188" s="1" t="str">
        <f>HYPERLINK("http://genome-euro.ucsc.edu/cgi-bin/hgTracks?position=202906_s_at","UCSC")</f>
        <v>UCSC</v>
      </c>
      <c r="E12188" s="1" t="str">
        <f>HYPERLINK("http://www.ncbi.nlm.nih.gov/gene/?term=NBN","NCBI")</f>
        <v>NCBI</v>
      </c>
      <c r="F12188">
        <v>0.35</v>
      </c>
      <c r="G12188">
        <v>0.49</v>
      </c>
      <c r="H12188" s="1" t="str">
        <f>HYPERLINK("http://www.weizmann.ac.il/complex/compphys/software/geview/data/figures/202906_s_at.png","Figure")</f>
        <v>Figure</v>
      </c>
      <c r="I12188">
        <v>0.80400000000000005</v>
      </c>
      <c r="J12188">
        <v>0.51</v>
      </c>
      <c r="K12188">
        <v>0.78700000000000003</v>
      </c>
      <c r="L12188">
        <v>0.36</v>
      </c>
      <c r="M12188">
        <v>0.98</v>
      </c>
      <c r="N12188">
        <v>0.99</v>
      </c>
    </row>
    <row r="12189" spans="1:14" x14ac:dyDescent="0.25">
      <c r="A12189" t="s">
        <v>20977</v>
      </c>
      <c r="B12189" t="s">
        <v>2520</v>
      </c>
      <c r="C12189" s="1" t="str">
        <f>HYPERLINK("http://www.genecards.org/cgi-bin/carddisp.pl?gene=ARHGEF11","GeneCards")</f>
        <v>GeneCards</v>
      </c>
      <c r="D12189" s="1" t="str">
        <f>HYPERLINK("http://genome-euro.ucsc.edu/cgi-bin/hgTracks?position=202914_s_at","UCSC")</f>
        <v>UCSC</v>
      </c>
      <c r="E12189" s="1" t="str">
        <f>HYPERLINK("http://www.ncbi.nlm.nih.gov/gene/?term=ARHGEF11","NCBI")</f>
        <v>NCBI</v>
      </c>
      <c r="F12189">
        <v>0.36</v>
      </c>
      <c r="G12189">
        <v>0.49</v>
      </c>
      <c r="H12189" s="1" t="str">
        <f>HYPERLINK("http://www.weizmann.ac.il/complex/compphys/software/geview/data/figures/202914_s_at.png","Figure")</f>
        <v>Figure</v>
      </c>
      <c r="I12189">
        <v>1.01</v>
      </c>
      <c r="J12189">
        <v>0.47</v>
      </c>
      <c r="K12189">
        <v>1.01</v>
      </c>
      <c r="L12189">
        <v>0.38</v>
      </c>
      <c r="M12189">
        <v>1</v>
      </c>
      <c r="N12189">
        <v>1</v>
      </c>
    </row>
    <row r="12190" spans="1:14" x14ac:dyDescent="0.25">
      <c r="A12190" t="s">
        <v>20978</v>
      </c>
      <c r="B12190" t="s">
        <v>20979</v>
      </c>
      <c r="C12190" s="1" t="str">
        <f>HYPERLINK("http://www.genecards.org/cgi-bin/carddisp.pl?gene=KIF5C","GeneCards")</f>
        <v>GeneCards</v>
      </c>
      <c r="D12190" s="1" t="str">
        <f>HYPERLINK("http://genome-euro.ucsc.edu/cgi-bin/hgTracks?position=203130_s_at","UCSC")</f>
        <v>UCSC</v>
      </c>
      <c r="E12190" s="1" t="str">
        <f>HYPERLINK("http://www.ncbi.nlm.nih.gov/gene/?term=KIF5C","NCBI")</f>
        <v>NCBI</v>
      </c>
      <c r="F12190">
        <v>0.36</v>
      </c>
      <c r="G12190">
        <v>0.49</v>
      </c>
      <c r="H12190" s="1" t="str">
        <f>HYPERLINK("http://www.weizmann.ac.il/complex/compphys/software/geview/data/figures/203130_s_at.png","Figure")</f>
        <v>Figure</v>
      </c>
      <c r="I12190">
        <v>1</v>
      </c>
      <c r="J12190">
        <v>0.47</v>
      </c>
      <c r="K12190">
        <v>1</v>
      </c>
      <c r="L12190">
        <v>0.38</v>
      </c>
      <c r="M12190">
        <v>1</v>
      </c>
      <c r="N12190">
        <v>1</v>
      </c>
    </row>
    <row r="12191" spans="1:14" x14ac:dyDescent="0.25">
      <c r="A12191" t="s">
        <v>20980</v>
      </c>
      <c r="B12191" t="s">
        <v>20981</v>
      </c>
      <c r="C12191" s="1" t="str">
        <f>HYPERLINK("http://www.genecards.org/cgi-bin/carddisp.pl?gene=KATNB1","GeneCards")</f>
        <v>GeneCards</v>
      </c>
      <c r="D12191" s="1" t="str">
        <f>HYPERLINK("http://genome-euro.ucsc.edu/cgi-bin/hgTracks?position=203162_s_at","UCSC")</f>
        <v>UCSC</v>
      </c>
      <c r="E12191" s="1" t="str">
        <f>HYPERLINK("http://www.ncbi.nlm.nih.gov/gene/?term=KATNB1","NCBI")</f>
        <v>NCBI</v>
      </c>
      <c r="F12191">
        <v>0.35</v>
      </c>
      <c r="G12191">
        <v>0.49</v>
      </c>
      <c r="H12191" s="1" t="str">
        <f>HYPERLINK("http://www.weizmann.ac.il/complex/compphys/software/geview/data/figures/203162_s_at.png","Figure")</f>
        <v>Figure</v>
      </c>
      <c r="I12191">
        <v>1.1599999999999999</v>
      </c>
      <c r="J12191">
        <v>0.32</v>
      </c>
      <c r="K12191">
        <v>1.07</v>
      </c>
      <c r="L12191">
        <v>0.75</v>
      </c>
      <c r="M12191">
        <v>0.92</v>
      </c>
      <c r="N12191">
        <v>0.64</v>
      </c>
    </row>
    <row r="12192" spans="1:14" x14ac:dyDescent="0.25">
      <c r="A12192" t="s">
        <v>20982</v>
      </c>
      <c r="B12192" t="s">
        <v>4046</v>
      </c>
      <c r="C12192" s="1" t="str">
        <f>HYPERLINK("http://www.genecards.org/cgi-bin/carddisp.pl?gene=NUP98","GeneCards")</f>
        <v>GeneCards</v>
      </c>
      <c r="D12192" s="1" t="str">
        <f>HYPERLINK("http://genome-euro.ucsc.edu/cgi-bin/hgTracks?position=203194_s_at","UCSC")</f>
        <v>UCSC</v>
      </c>
      <c r="E12192" s="1" t="str">
        <f>HYPERLINK("http://www.ncbi.nlm.nih.gov/gene/?term=NUP98","NCBI")</f>
        <v>NCBI</v>
      </c>
      <c r="F12192">
        <v>0.36</v>
      </c>
      <c r="G12192">
        <v>0.49</v>
      </c>
      <c r="H12192" s="1" t="str">
        <f>HYPERLINK("http://www.weizmann.ac.il/complex/compphys/software/geview/data/figures/203194_s_at.png","Figure")</f>
        <v>Figure</v>
      </c>
      <c r="I12192">
        <v>1.01</v>
      </c>
      <c r="J12192">
        <v>0.47</v>
      </c>
      <c r="K12192">
        <v>1.01</v>
      </c>
      <c r="L12192">
        <v>0.38</v>
      </c>
      <c r="M12192">
        <v>1</v>
      </c>
      <c r="N12192">
        <v>1</v>
      </c>
    </row>
    <row r="12193" spans="1:14" x14ac:dyDescent="0.25">
      <c r="A12193" t="s">
        <v>20983</v>
      </c>
      <c r="B12193" t="s">
        <v>20984</v>
      </c>
      <c r="C12193" s="1" t="str">
        <f>HYPERLINK("http://www.genecards.org/cgi-bin/carddisp.pl?gene=C10orf116","GeneCards")</f>
        <v>GeneCards</v>
      </c>
      <c r="D12193" s="1" t="str">
        <f>HYPERLINK("http://genome-euro.ucsc.edu/cgi-bin/hgTracks?position=203571_s_at","UCSC")</f>
        <v>UCSC</v>
      </c>
      <c r="E12193" s="1" t="str">
        <f>HYPERLINK("http://www.ncbi.nlm.nih.gov/gene/?term=C10orf116","NCBI")</f>
        <v>NCBI</v>
      </c>
      <c r="F12193">
        <v>0.36</v>
      </c>
      <c r="G12193">
        <v>0.49</v>
      </c>
      <c r="H12193" s="1" t="str">
        <f>HYPERLINK("http://www.weizmann.ac.il/complex/compphys/software/geview/data/figures/203571_s_at.png","Figure")</f>
        <v>Figure</v>
      </c>
      <c r="I12193">
        <v>1.02</v>
      </c>
      <c r="J12193">
        <v>0.47</v>
      </c>
      <c r="K12193">
        <v>1.02</v>
      </c>
      <c r="L12193">
        <v>0.38</v>
      </c>
      <c r="M12193">
        <v>1</v>
      </c>
      <c r="N12193">
        <v>1</v>
      </c>
    </row>
    <row r="12194" spans="1:14" x14ac:dyDescent="0.25">
      <c r="A12194" t="s">
        <v>20985</v>
      </c>
      <c r="B12194" t="s">
        <v>2958</v>
      </c>
      <c r="C12194" s="1" t="str">
        <f>HYPERLINK("http://www.genecards.org/cgi-bin/carddisp.pl?gene=FGFR2","GeneCards")</f>
        <v>GeneCards</v>
      </c>
      <c r="D12194" s="1" t="str">
        <f>HYPERLINK("http://genome-euro.ucsc.edu/cgi-bin/hgTracks?position=203639_s_at","UCSC")</f>
        <v>UCSC</v>
      </c>
      <c r="E12194" s="1" t="str">
        <f>HYPERLINK("http://www.ncbi.nlm.nih.gov/gene/?term=FGFR2","NCBI")</f>
        <v>NCBI</v>
      </c>
      <c r="F12194">
        <v>0.36</v>
      </c>
      <c r="G12194">
        <v>0.49</v>
      </c>
      <c r="H12194" s="1" t="str">
        <f>HYPERLINK("http://www.weizmann.ac.il/complex/compphys/software/geview/data/figures/203639_s_at.png","Figure")</f>
        <v>Figure</v>
      </c>
      <c r="I12194">
        <v>1.01</v>
      </c>
      <c r="J12194">
        <v>0.47</v>
      </c>
      <c r="K12194">
        <v>1.01</v>
      </c>
      <c r="L12194">
        <v>0.38</v>
      </c>
      <c r="M12194">
        <v>1</v>
      </c>
      <c r="N12194">
        <v>1</v>
      </c>
    </row>
    <row r="12195" spans="1:14" x14ac:dyDescent="0.25">
      <c r="A12195" t="s">
        <v>20986</v>
      </c>
      <c r="B12195" t="s">
        <v>20987</v>
      </c>
      <c r="C12195" s="1" t="str">
        <f>HYPERLINK("http://www.genecards.org/cgi-bin/carddisp.pl?gene=ZFYVE16","GeneCards")</f>
        <v>GeneCards</v>
      </c>
      <c r="D12195" s="1" t="str">
        <f>HYPERLINK("http://genome-euro.ucsc.edu/cgi-bin/hgTracks?position=203651_at","UCSC")</f>
        <v>UCSC</v>
      </c>
      <c r="E12195" s="1" t="str">
        <f>HYPERLINK("http://www.ncbi.nlm.nih.gov/gene/?term=ZFYVE16","NCBI")</f>
        <v>NCBI</v>
      </c>
      <c r="F12195">
        <v>0.35</v>
      </c>
      <c r="G12195">
        <v>0.49</v>
      </c>
      <c r="H12195" s="1" t="str">
        <f>HYPERLINK("http://www.weizmann.ac.il/complex/compphys/software/geview/data/figures/203651_at.png","Figure")</f>
        <v>Figure</v>
      </c>
      <c r="I12195">
        <v>0.60499999999999998</v>
      </c>
      <c r="J12195">
        <v>0.36</v>
      </c>
      <c r="K12195">
        <v>0.91900000000000004</v>
      </c>
      <c r="L12195">
        <v>0.96</v>
      </c>
      <c r="M12195">
        <v>1.52</v>
      </c>
      <c r="N12195">
        <v>0.44</v>
      </c>
    </row>
    <row r="12196" spans="1:14" x14ac:dyDescent="0.25">
      <c r="A12196" t="s">
        <v>20988</v>
      </c>
      <c r="B12196" t="s">
        <v>20989</v>
      </c>
      <c r="C12196" s="1" t="str">
        <f>HYPERLINK("http://www.genecards.org/cgi-bin/carddisp.pl?gene=FRZB","GeneCards")</f>
        <v>GeneCards</v>
      </c>
      <c r="D12196" s="1" t="str">
        <f>HYPERLINK("http://genome-euro.ucsc.edu/cgi-bin/hgTracks?position=203697_at","UCSC")</f>
        <v>UCSC</v>
      </c>
      <c r="E12196" s="1" t="str">
        <f>HYPERLINK("http://www.ncbi.nlm.nih.gov/gene/?term=FRZB","NCBI")</f>
        <v>NCBI</v>
      </c>
      <c r="F12196">
        <v>0.36</v>
      </c>
      <c r="G12196">
        <v>0.49</v>
      </c>
      <c r="H12196" s="1" t="str">
        <f>HYPERLINK("http://www.weizmann.ac.il/complex/compphys/software/geview/data/figures/203697_at.png","Figure")</f>
        <v>Figure</v>
      </c>
      <c r="I12196">
        <v>1</v>
      </c>
      <c r="J12196">
        <v>0.47</v>
      </c>
      <c r="K12196">
        <v>1</v>
      </c>
      <c r="L12196">
        <v>0.38</v>
      </c>
      <c r="M12196">
        <v>1</v>
      </c>
      <c r="N12196">
        <v>1</v>
      </c>
    </row>
    <row r="12197" spans="1:14" x14ac:dyDescent="0.25">
      <c r="A12197" t="s">
        <v>20990</v>
      </c>
      <c r="B12197" t="s">
        <v>7152</v>
      </c>
      <c r="C12197" s="1" t="str">
        <f>HYPERLINK("http://www.genecards.org/cgi-bin/carddisp.pl?gene=TBCE","GeneCards")</f>
        <v>GeneCards</v>
      </c>
      <c r="D12197" s="1" t="str">
        <f>HYPERLINK("http://genome-euro.ucsc.edu/cgi-bin/hgTracks?position=203715_at","UCSC")</f>
        <v>UCSC</v>
      </c>
      <c r="E12197" s="1" t="str">
        <f>HYPERLINK("http://www.ncbi.nlm.nih.gov/gene/?term=TBCE","NCBI")</f>
        <v>NCBI</v>
      </c>
      <c r="F12197">
        <v>0.36</v>
      </c>
      <c r="G12197">
        <v>0.49</v>
      </c>
      <c r="H12197" s="1" t="str">
        <f>HYPERLINK("http://www.weizmann.ac.il/complex/compphys/software/geview/data/figures/203715_at.png","Figure")</f>
        <v>Figure</v>
      </c>
      <c r="I12197">
        <v>1.02</v>
      </c>
      <c r="J12197">
        <v>0.47</v>
      </c>
      <c r="K12197">
        <v>1.02</v>
      </c>
      <c r="L12197">
        <v>0.38</v>
      </c>
      <c r="M12197">
        <v>1</v>
      </c>
      <c r="N12197">
        <v>1</v>
      </c>
    </row>
    <row r="12198" spans="1:14" x14ac:dyDescent="0.25">
      <c r="A12198" t="s">
        <v>20991</v>
      </c>
      <c r="B12198" t="s">
        <v>20992</v>
      </c>
      <c r="C12198" s="1" t="str">
        <f>HYPERLINK("http://www.genecards.org/cgi-bin/carddisp.pl?gene=LMOD1","GeneCards")</f>
        <v>GeneCards</v>
      </c>
      <c r="D12198" s="1" t="str">
        <f>HYPERLINK("http://genome-euro.ucsc.edu/cgi-bin/hgTracks?position=203766_s_at","UCSC")</f>
        <v>UCSC</v>
      </c>
      <c r="E12198" s="1" t="str">
        <f>HYPERLINK("http://www.ncbi.nlm.nih.gov/gene/?term=LMOD1","NCBI")</f>
        <v>NCBI</v>
      </c>
      <c r="F12198">
        <v>0.36</v>
      </c>
      <c r="G12198">
        <v>0.49</v>
      </c>
      <c r="H12198" s="1" t="str">
        <f>HYPERLINK("http://www.weizmann.ac.il/complex/compphys/software/geview/data/figures/203766_s_at.png","Figure")</f>
        <v>Figure</v>
      </c>
      <c r="I12198">
        <v>0.93700000000000006</v>
      </c>
      <c r="J12198">
        <v>0.42</v>
      </c>
      <c r="K12198">
        <v>0.94499999999999995</v>
      </c>
      <c r="L12198">
        <v>0.42</v>
      </c>
      <c r="M12198">
        <v>1.01</v>
      </c>
      <c r="N12198">
        <v>0.98</v>
      </c>
    </row>
    <row r="12199" spans="1:14" x14ac:dyDescent="0.25">
      <c r="A12199" t="s">
        <v>20993</v>
      </c>
      <c r="B12199" t="s">
        <v>10586</v>
      </c>
      <c r="C12199" s="1" t="str">
        <f>HYPERLINK("http://www.genecards.org/cgi-bin/carddisp.pl?gene=MAPRE3","GeneCards")</f>
        <v>GeneCards</v>
      </c>
      <c r="D12199" s="1" t="str">
        <f>HYPERLINK("http://genome-euro.ucsc.edu/cgi-bin/hgTracks?position=203841_x_at","UCSC")</f>
        <v>UCSC</v>
      </c>
      <c r="E12199" s="1" t="str">
        <f>HYPERLINK("http://www.ncbi.nlm.nih.gov/gene/?term=MAPRE3","NCBI")</f>
        <v>NCBI</v>
      </c>
      <c r="F12199">
        <v>0.36</v>
      </c>
      <c r="G12199">
        <v>0.49</v>
      </c>
      <c r="H12199" s="1" t="str">
        <f>HYPERLINK("http://www.weizmann.ac.il/complex/compphys/software/geview/data/figures/203841_x_at.png","Figure")</f>
        <v>Figure</v>
      </c>
      <c r="I12199">
        <v>1</v>
      </c>
      <c r="J12199">
        <v>0.47</v>
      </c>
      <c r="K12199">
        <v>1</v>
      </c>
      <c r="L12199">
        <v>0.38</v>
      </c>
      <c r="M12199">
        <v>1</v>
      </c>
      <c r="N12199">
        <v>1</v>
      </c>
    </row>
    <row r="12200" spans="1:14" x14ac:dyDescent="0.25">
      <c r="A12200" t="s">
        <v>20994</v>
      </c>
      <c r="B12200" t="s">
        <v>20995</v>
      </c>
      <c r="C12200" s="1" t="str">
        <f>HYPERLINK("http://www.genecards.org/cgi-bin/carddisp.pl?gene=KIF1A","GeneCards")</f>
        <v>GeneCards</v>
      </c>
      <c r="D12200" s="1" t="str">
        <f>HYPERLINK("http://genome-euro.ucsc.edu/cgi-bin/hgTracks?position=203849_s_at","UCSC")</f>
        <v>UCSC</v>
      </c>
      <c r="E12200" s="1" t="str">
        <f>HYPERLINK("http://www.ncbi.nlm.nih.gov/gene/?term=KIF1A","NCBI")</f>
        <v>NCBI</v>
      </c>
      <c r="F12200">
        <v>0.36</v>
      </c>
      <c r="G12200">
        <v>0.49</v>
      </c>
      <c r="H12200" s="1" t="str">
        <f>HYPERLINK("http://www.weizmann.ac.il/complex/compphys/software/geview/data/figures/203849_s_at.png","Figure")</f>
        <v>Figure</v>
      </c>
      <c r="I12200">
        <v>1.1200000000000001</v>
      </c>
      <c r="J12200">
        <v>0.47</v>
      </c>
      <c r="K12200">
        <v>1.1200000000000001</v>
      </c>
      <c r="L12200">
        <v>0.38</v>
      </c>
      <c r="M12200">
        <v>1</v>
      </c>
      <c r="N12200">
        <v>1</v>
      </c>
    </row>
    <row r="12201" spans="1:14" x14ac:dyDescent="0.25">
      <c r="A12201" t="s">
        <v>20996</v>
      </c>
      <c r="B12201" t="s">
        <v>18930</v>
      </c>
      <c r="C12201" s="1" t="str">
        <f>HYPERLINK("http://www.genecards.org/cgi-bin/carddisp.pl?gene=DMD","GeneCards")</f>
        <v>GeneCards</v>
      </c>
      <c r="D12201" s="1" t="str">
        <f>HYPERLINK("http://genome-euro.ucsc.edu/cgi-bin/hgTracks?position=203881_s_at","UCSC")</f>
        <v>UCSC</v>
      </c>
      <c r="E12201" s="1" t="str">
        <f>HYPERLINK("http://www.ncbi.nlm.nih.gov/gene/?term=DMD","NCBI")</f>
        <v>NCBI</v>
      </c>
      <c r="F12201">
        <v>0.36</v>
      </c>
      <c r="G12201">
        <v>0.49</v>
      </c>
      <c r="H12201" s="1" t="str">
        <f>HYPERLINK("http://www.weizmann.ac.il/complex/compphys/software/geview/data/figures/203881_s_at.png","Figure")</f>
        <v>Figure</v>
      </c>
      <c r="I12201">
        <v>1.0900000000000001</v>
      </c>
      <c r="J12201">
        <v>0.47</v>
      </c>
      <c r="K12201">
        <v>1.0900000000000001</v>
      </c>
      <c r="L12201">
        <v>0.38</v>
      </c>
      <c r="M12201">
        <v>1</v>
      </c>
      <c r="N12201">
        <v>1</v>
      </c>
    </row>
    <row r="12202" spans="1:14" x14ac:dyDescent="0.25">
      <c r="A12202" t="s">
        <v>20997</v>
      </c>
      <c r="B12202" t="s">
        <v>20998</v>
      </c>
      <c r="C12202" s="1" t="str">
        <f>HYPERLINK("http://www.genecards.org/cgi-bin/carddisp.pl?gene=EMILIN1","GeneCards")</f>
        <v>GeneCards</v>
      </c>
      <c r="D12202" s="1" t="str">
        <f>HYPERLINK("http://genome-euro.ucsc.edu/cgi-bin/hgTracks?position=204163_at","UCSC")</f>
        <v>UCSC</v>
      </c>
      <c r="E12202" s="1" t="str">
        <f>HYPERLINK("http://www.ncbi.nlm.nih.gov/gene/?term=EMILIN1","NCBI")</f>
        <v>NCBI</v>
      </c>
      <c r="F12202">
        <v>0.36</v>
      </c>
      <c r="G12202">
        <v>0.49</v>
      </c>
      <c r="H12202" s="1" t="str">
        <f>HYPERLINK("http://www.weizmann.ac.il/complex/compphys/software/geview/data/figures/204163_at.png","Figure")</f>
        <v>Figure</v>
      </c>
      <c r="I12202">
        <v>1.02</v>
      </c>
      <c r="J12202">
        <v>0.47</v>
      </c>
      <c r="K12202">
        <v>1.02</v>
      </c>
      <c r="L12202">
        <v>0.38</v>
      </c>
      <c r="M12202">
        <v>1</v>
      </c>
      <c r="N12202">
        <v>1</v>
      </c>
    </row>
    <row r="12203" spans="1:14" x14ac:dyDescent="0.25">
      <c r="A12203" t="s">
        <v>20999</v>
      </c>
      <c r="B12203" t="s">
        <v>5009</v>
      </c>
      <c r="C12203" s="1" t="str">
        <f>HYPERLINK("http://www.genecards.org/cgi-bin/carddisp.pl?gene=EML2","GeneCards")</f>
        <v>GeneCards</v>
      </c>
      <c r="D12203" s="1" t="str">
        <f>HYPERLINK("http://genome-euro.ucsc.edu/cgi-bin/hgTracks?position=204398_s_at","UCSC")</f>
        <v>UCSC</v>
      </c>
      <c r="E12203" s="1" t="str">
        <f>HYPERLINK("http://www.ncbi.nlm.nih.gov/gene/?term=EML2","NCBI")</f>
        <v>NCBI</v>
      </c>
      <c r="F12203">
        <v>0.35</v>
      </c>
      <c r="G12203">
        <v>0.49</v>
      </c>
      <c r="H12203" s="1" t="str">
        <f>HYPERLINK("http://www.weizmann.ac.il/complex/compphys/software/geview/data/figures/204398_s_at.png","Figure")</f>
        <v>Figure</v>
      </c>
      <c r="I12203">
        <v>1.17</v>
      </c>
      <c r="J12203">
        <v>0.33</v>
      </c>
      <c r="K12203">
        <v>1.05</v>
      </c>
      <c r="L12203">
        <v>0.85</v>
      </c>
      <c r="M12203">
        <v>0.9</v>
      </c>
      <c r="N12203">
        <v>0.55000000000000004</v>
      </c>
    </row>
    <row r="12204" spans="1:14" x14ac:dyDescent="0.25">
      <c r="A12204" t="s">
        <v>21000</v>
      </c>
      <c r="B12204" t="s">
        <v>21001</v>
      </c>
      <c r="C12204" s="1" t="str">
        <f>HYPERLINK("http://www.genecards.org/cgi-bin/carddisp.pl?gene=APOA1","GeneCards")</f>
        <v>GeneCards</v>
      </c>
      <c r="D12204" s="1" t="str">
        <f>HYPERLINK("http://genome-euro.ucsc.edu/cgi-bin/hgTracks?position=204450_x_at","UCSC")</f>
        <v>UCSC</v>
      </c>
      <c r="E12204" s="1" t="str">
        <f>HYPERLINK("http://www.ncbi.nlm.nih.gov/gene/?term=APOA1","NCBI")</f>
        <v>NCBI</v>
      </c>
      <c r="F12204">
        <v>0.35</v>
      </c>
      <c r="G12204">
        <v>0.49</v>
      </c>
      <c r="H12204" s="1" t="str">
        <f>HYPERLINK("http://www.weizmann.ac.il/complex/compphys/software/geview/data/figures/204450_x_at.png","Figure")</f>
        <v>Figure</v>
      </c>
      <c r="I12204">
        <v>1</v>
      </c>
      <c r="J12204">
        <v>1</v>
      </c>
      <c r="K12204">
        <v>1.0900000000000001</v>
      </c>
      <c r="L12204">
        <v>0.42</v>
      </c>
      <c r="M12204">
        <v>1.0900000000000001</v>
      </c>
      <c r="N12204">
        <v>0.47</v>
      </c>
    </row>
    <row r="12205" spans="1:14" x14ac:dyDescent="0.25">
      <c r="A12205" t="s">
        <v>21002</v>
      </c>
      <c r="B12205" t="s">
        <v>20884</v>
      </c>
      <c r="C12205" s="1" t="str">
        <f>HYPERLINK("http://www.genecards.org/cgi-bin/carddisp.pl?gene=RAD1","GeneCards")</f>
        <v>GeneCards</v>
      </c>
      <c r="D12205" s="1" t="str">
        <f>HYPERLINK("http://genome-euro.ucsc.edu/cgi-bin/hgTracks?position=204460_s_at","UCSC")</f>
        <v>UCSC</v>
      </c>
      <c r="E12205" s="1" t="str">
        <f>HYPERLINK("http://www.ncbi.nlm.nih.gov/gene/?term=RAD1","NCBI")</f>
        <v>NCBI</v>
      </c>
      <c r="F12205">
        <v>0.36</v>
      </c>
      <c r="G12205">
        <v>0.49</v>
      </c>
      <c r="H12205" s="1" t="str">
        <f>HYPERLINK("http://www.weizmann.ac.il/complex/compphys/software/geview/data/figures/204460_s_at.png","Figure")</f>
        <v>Figure</v>
      </c>
      <c r="I12205">
        <v>1.1100000000000001</v>
      </c>
      <c r="J12205">
        <v>0.54</v>
      </c>
      <c r="K12205">
        <v>0.97099999999999997</v>
      </c>
      <c r="L12205">
        <v>0.94</v>
      </c>
      <c r="M12205">
        <v>0.873</v>
      </c>
      <c r="N12205">
        <v>0.33</v>
      </c>
    </row>
    <row r="12206" spans="1:14" x14ac:dyDescent="0.25">
      <c r="A12206" t="s">
        <v>21003</v>
      </c>
      <c r="B12206" t="s">
        <v>5668</v>
      </c>
      <c r="C12206" s="1" t="str">
        <f>HYPERLINK("http://www.genecards.org/cgi-bin/carddisp.pl?gene=ITGB3","GeneCards")</f>
        <v>GeneCards</v>
      </c>
      <c r="D12206" s="1" t="str">
        <f>HYPERLINK("http://genome-euro.ucsc.edu/cgi-bin/hgTracks?position=204625_s_at","UCSC")</f>
        <v>UCSC</v>
      </c>
      <c r="E12206" s="1" t="str">
        <f>HYPERLINK("http://www.ncbi.nlm.nih.gov/gene/?term=ITGB3","NCBI")</f>
        <v>NCBI</v>
      </c>
      <c r="F12206">
        <v>0.36</v>
      </c>
      <c r="G12206">
        <v>0.49</v>
      </c>
      <c r="H12206" s="1" t="str">
        <f>HYPERLINK("http://www.weizmann.ac.il/complex/compphys/software/geview/data/figures/204625_s_at.png","Figure")</f>
        <v>Figure</v>
      </c>
      <c r="I12206">
        <v>1.04</v>
      </c>
      <c r="J12206">
        <v>0.47</v>
      </c>
      <c r="K12206">
        <v>1.04</v>
      </c>
      <c r="L12206">
        <v>0.38</v>
      </c>
      <c r="M12206">
        <v>1</v>
      </c>
      <c r="N12206">
        <v>1</v>
      </c>
    </row>
    <row r="12207" spans="1:14" x14ac:dyDescent="0.25">
      <c r="A12207" t="s">
        <v>21004</v>
      </c>
      <c r="B12207" t="s">
        <v>21005</v>
      </c>
      <c r="C12207" s="1" t="str">
        <f>HYPERLINK("http://www.genecards.org/cgi-bin/carddisp.pl?gene=SLC29A2","GeneCards")</f>
        <v>GeneCards</v>
      </c>
      <c r="D12207" s="1" t="str">
        <f>HYPERLINK("http://genome-euro.ucsc.edu/cgi-bin/hgTracks?position=204717_s_at","UCSC")</f>
        <v>UCSC</v>
      </c>
      <c r="E12207" s="1" t="str">
        <f>HYPERLINK("http://www.ncbi.nlm.nih.gov/gene/?term=SLC29A2","NCBI")</f>
        <v>NCBI</v>
      </c>
      <c r="F12207">
        <v>0.36</v>
      </c>
      <c r="G12207">
        <v>0.49</v>
      </c>
      <c r="H12207" s="1" t="str">
        <f>HYPERLINK("http://www.weizmann.ac.il/complex/compphys/software/geview/data/figures/204717_s_at.png","Figure")</f>
        <v>Figure</v>
      </c>
      <c r="I12207">
        <v>1.01</v>
      </c>
      <c r="J12207">
        <v>0.47</v>
      </c>
      <c r="K12207">
        <v>1.01</v>
      </c>
      <c r="L12207">
        <v>0.38</v>
      </c>
      <c r="M12207">
        <v>1</v>
      </c>
      <c r="N12207">
        <v>1</v>
      </c>
    </row>
    <row r="12208" spans="1:14" x14ac:dyDescent="0.25">
      <c r="A12208" t="s">
        <v>21006</v>
      </c>
      <c r="B12208" t="s">
        <v>21007</v>
      </c>
      <c r="C12208" s="1" t="str">
        <f>HYPERLINK("http://www.genecards.org/cgi-bin/carddisp.pl?gene=PCSK2","GeneCards")</f>
        <v>GeneCards</v>
      </c>
      <c r="D12208" s="1" t="str">
        <f>HYPERLINK("http://genome-euro.ucsc.edu/cgi-bin/hgTracks?position=204870_s_at","UCSC")</f>
        <v>UCSC</v>
      </c>
      <c r="E12208" s="1" t="str">
        <f>HYPERLINK("http://www.ncbi.nlm.nih.gov/gene/?term=PCSK2","NCBI")</f>
        <v>NCBI</v>
      </c>
      <c r="F12208">
        <v>0.36</v>
      </c>
      <c r="G12208">
        <v>0.49</v>
      </c>
      <c r="H12208" s="1" t="str">
        <f>HYPERLINK("http://www.weizmann.ac.il/complex/compphys/software/geview/data/figures/204870_s_at.png","Figure")</f>
        <v>Figure</v>
      </c>
      <c r="I12208">
        <v>1</v>
      </c>
      <c r="J12208">
        <v>0.47</v>
      </c>
      <c r="K12208">
        <v>1</v>
      </c>
      <c r="L12208">
        <v>0.38</v>
      </c>
      <c r="M12208">
        <v>1</v>
      </c>
      <c r="N12208">
        <v>1</v>
      </c>
    </row>
    <row r="12209" spans="1:14" x14ac:dyDescent="0.25">
      <c r="A12209" t="s">
        <v>21008</v>
      </c>
      <c r="B12209" t="s">
        <v>21009</v>
      </c>
      <c r="C12209" s="1" t="str">
        <f>HYPERLINK("http://www.genecards.org/cgi-bin/carddisp.pl?gene=PRR4","GeneCards")</f>
        <v>GeneCards</v>
      </c>
      <c r="D12209" s="1" t="str">
        <f>HYPERLINK("http://genome-euro.ucsc.edu/cgi-bin/hgTracks?position=204919_at","UCSC")</f>
        <v>UCSC</v>
      </c>
      <c r="E12209" s="1" t="str">
        <f>HYPERLINK("http://www.ncbi.nlm.nih.gov/gene/?term=PRR4","NCBI")</f>
        <v>NCBI</v>
      </c>
      <c r="F12209">
        <v>0.36</v>
      </c>
      <c r="G12209">
        <v>0.49</v>
      </c>
      <c r="H12209" s="1" t="str">
        <f>HYPERLINK("http://www.weizmann.ac.il/complex/compphys/software/geview/data/figures/204919_at.png","Figure")</f>
        <v>Figure</v>
      </c>
      <c r="I12209">
        <v>1</v>
      </c>
      <c r="J12209">
        <v>0.47</v>
      </c>
      <c r="K12209">
        <v>1</v>
      </c>
      <c r="L12209">
        <v>0.38</v>
      </c>
      <c r="M12209">
        <v>1</v>
      </c>
      <c r="N12209">
        <v>1</v>
      </c>
    </row>
    <row r="12210" spans="1:14" x14ac:dyDescent="0.25">
      <c r="A12210" t="s">
        <v>21010</v>
      </c>
      <c r="B12210" t="s">
        <v>21011</v>
      </c>
      <c r="C12210" s="1" t="str">
        <f>HYPERLINK("http://www.genecards.org/cgi-bin/carddisp.pl?gene=CLCN4","GeneCards")</f>
        <v>GeneCards</v>
      </c>
      <c r="D12210" s="1" t="str">
        <f>HYPERLINK("http://genome-euro.ucsc.edu/cgi-bin/hgTracks?position=205149_s_at","UCSC")</f>
        <v>UCSC</v>
      </c>
      <c r="E12210" s="1" t="str">
        <f>HYPERLINK("http://www.ncbi.nlm.nih.gov/gene/?term=CLCN4","NCBI")</f>
        <v>NCBI</v>
      </c>
      <c r="F12210">
        <v>0.36</v>
      </c>
      <c r="G12210">
        <v>0.49</v>
      </c>
      <c r="H12210" s="1" t="str">
        <f>HYPERLINK("http://www.weizmann.ac.il/complex/compphys/software/geview/data/figures/205149_s_at.png","Figure")</f>
        <v>Figure</v>
      </c>
      <c r="I12210">
        <v>1</v>
      </c>
      <c r="J12210">
        <v>0.47</v>
      </c>
      <c r="K12210">
        <v>1</v>
      </c>
      <c r="L12210">
        <v>0.38</v>
      </c>
      <c r="M12210">
        <v>1</v>
      </c>
      <c r="N12210">
        <v>1</v>
      </c>
    </row>
    <row r="12211" spans="1:14" x14ac:dyDescent="0.25">
      <c r="A12211" t="s">
        <v>21012</v>
      </c>
      <c r="B12211" t="s">
        <v>18233</v>
      </c>
      <c r="C12211" s="1" t="str">
        <f>HYPERLINK("http://www.genecards.org/cgi-bin/carddisp.pl?gene=GALK2","GeneCards")</f>
        <v>GeneCards</v>
      </c>
      <c r="D12211" s="1" t="str">
        <f>HYPERLINK("http://genome-euro.ucsc.edu/cgi-bin/hgTracks?position=205219_s_at","UCSC")</f>
        <v>UCSC</v>
      </c>
      <c r="E12211" s="1" t="str">
        <f>HYPERLINK("http://www.ncbi.nlm.nih.gov/gene/?term=GALK2","NCBI")</f>
        <v>NCBI</v>
      </c>
      <c r="F12211">
        <v>0.36</v>
      </c>
      <c r="G12211">
        <v>0.49</v>
      </c>
      <c r="H12211" s="1" t="str">
        <f>HYPERLINK("http://www.weizmann.ac.il/complex/compphys/software/geview/data/figures/205219_s_at.png","Figure")</f>
        <v>Figure</v>
      </c>
      <c r="I12211">
        <v>1.02</v>
      </c>
      <c r="J12211">
        <v>0.47</v>
      </c>
      <c r="K12211">
        <v>1.02</v>
      </c>
      <c r="L12211">
        <v>0.38</v>
      </c>
      <c r="M12211">
        <v>1</v>
      </c>
      <c r="N12211">
        <v>1</v>
      </c>
    </row>
    <row r="12212" spans="1:14" x14ac:dyDescent="0.25">
      <c r="A12212" t="s">
        <v>21013</v>
      </c>
      <c r="B12212" t="s">
        <v>3873</v>
      </c>
      <c r="C12212" s="1" t="str">
        <f>HYPERLINK("http://www.genecards.org/cgi-bin/carddisp.pl?gene=TCF7","GeneCards")</f>
        <v>GeneCards</v>
      </c>
      <c r="D12212" s="1" t="str">
        <f>HYPERLINK("http://genome-euro.ucsc.edu/cgi-bin/hgTracks?position=205254_x_at","UCSC")</f>
        <v>UCSC</v>
      </c>
      <c r="E12212" s="1" t="str">
        <f>HYPERLINK("http://www.ncbi.nlm.nih.gov/gene/?term=TCF7","NCBI")</f>
        <v>NCBI</v>
      </c>
      <c r="F12212">
        <v>0.35</v>
      </c>
      <c r="G12212">
        <v>0.49</v>
      </c>
      <c r="H12212" s="1" t="str">
        <f>HYPERLINK("http://www.weizmann.ac.il/complex/compphys/software/geview/data/figures/205254_x_at.png","Figure")</f>
        <v>Figure</v>
      </c>
      <c r="I12212">
        <v>0.98499999999999999</v>
      </c>
      <c r="J12212">
        <v>0.97</v>
      </c>
      <c r="K12212">
        <v>0.92</v>
      </c>
      <c r="L12212">
        <v>0.37</v>
      </c>
      <c r="M12212">
        <v>0.93500000000000005</v>
      </c>
      <c r="N12212">
        <v>0.55000000000000004</v>
      </c>
    </row>
    <row r="12213" spans="1:14" x14ac:dyDescent="0.25">
      <c r="A12213" t="s">
        <v>21014</v>
      </c>
      <c r="B12213" t="s">
        <v>1421</v>
      </c>
      <c r="C12213" s="1" t="str">
        <f>HYPERLINK("http://www.genecards.org/cgi-bin/carddisp.pl?gene=VAV2","GeneCards")</f>
        <v>GeneCards</v>
      </c>
      <c r="D12213" s="1" t="str">
        <f>HYPERLINK("http://genome-euro.ucsc.edu/cgi-bin/hgTracks?position=205537_s_at","UCSC")</f>
        <v>UCSC</v>
      </c>
      <c r="E12213" s="1" t="str">
        <f>HYPERLINK("http://www.ncbi.nlm.nih.gov/gene/?term=VAV2","NCBI")</f>
        <v>NCBI</v>
      </c>
      <c r="F12213">
        <v>0.36</v>
      </c>
      <c r="G12213">
        <v>0.49</v>
      </c>
      <c r="H12213" s="1" t="str">
        <f>HYPERLINK("http://www.weizmann.ac.il/complex/compphys/software/geview/data/figures/205537_s_at.png","Figure")</f>
        <v>Figure</v>
      </c>
      <c r="I12213">
        <v>1.01</v>
      </c>
      <c r="J12213">
        <v>0.47</v>
      </c>
      <c r="K12213">
        <v>1.01</v>
      </c>
      <c r="L12213">
        <v>0.38</v>
      </c>
      <c r="M12213">
        <v>1</v>
      </c>
      <c r="N12213">
        <v>1</v>
      </c>
    </row>
    <row r="12214" spans="1:14" x14ac:dyDescent="0.25">
      <c r="A12214" t="s">
        <v>21015</v>
      </c>
      <c r="B12214" t="s">
        <v>21016</v>
      </c>
      <c r="C12214" s="1" t="str">
        <f>HYPERLINK("http://www.genecards.org/cgi-bin/carddisp.pl?gene=PCSK5","GeneCards")</f>
        <v>GeneCards</v>
      </c>
      <c r="D12214" s="1" t="str">
        <f>HYPERLINK("http://genome-euro.ucsc.edu/cgi-bin/hgTracks?position=205559_s_at","UCSC")</f>
        <v>UCSC</v>
      </c>
      <c r="E12214" s="1" t="str">
        <f>HYPERLINK("http://www.ncbi.nlm.nih.gov/gene/?term=PCSK5","NCBI")</f>
        <v>NCBI</v>
      </c>
      <c r="F12214">
        <v>0.36</v>
      </c>
      <c r="G12214">
        <v>0.49</v>
      </c>
      <c r="H12214" s="1" t="str">
        <f>HYPERLINK("http://www.weizmann.ac.il/complex/compphys/software/geview/data/figures/205559_s_at.png","Figure")</f>
        <v>Figure</v>
      </c>
      <c r="I12214">
        <v>1.0900000000000001</v>
      </c>
      <c r="J12214">
        <v>0.47</v>
      </c>
      <c r="K12214">
        <v>1.0900000000000001</v>
      </c>
      <c r="L12214">
        <v>0.38</v>
      </c>
      <c r="M12214">
        <v>1</v>
      </c>
      <c r="N12214">
        <v>1</v>
      </c>
    </row>
    <row r="12215" spans="1:14" x14ac:dyDescent="0.25">
      <c r="A12215" t="s">
        <v>21017</v>
      </c>
      <c r="B12215" t="s">
        <v>21018</v>
      </c>
      <c r="C12215" s="1" t="str">
        <f>HYPERLINK("http://www.genecards.org/cgi-bin/carddisp.pl?gene=CHST1","GeneCards")</f>
        <v>GeneCards</v>
      </c>
      <c r="D12215" s="1" t="str">
        <f>HYPERLINK("http://genome-euro.ucsc.edu/cgi-bin/hgTracks?position=205567_at","UCSC")</f>
        <v>UCSC</v>
      </c>
      <c r="E12215" s="1" t="str">
        <f>HYPERLINK("http://www.ncbi.nlm.nih.gov/gene/?term=CHST1","NCBI")</f>
        <v>NCBI</v>
      </c>
      <c r="F12215">
        <v>0.35</v>
      </c>
      <c r="G12215">
        <v>0.49</v>
      </c>
      <c r="H12215" s="1" t="str">
        <f>HYPERLINK("http://www.weizmann.ac.il/complex/compphys/software/geview/data/figures/205567_at.png","Figure")</f>
        <v>Figure</v>
      </c>
      <c r="I12215">
        <v>1.04</v>
      </c>
      <c r="J12215">
        <v>0.32</v>
      </c>
      <c r="K12215">
        <v>1.02</v>
      </c>
      <c r="L12215">
        <v>0.67</v>
      </c>
      <c r="M12215">
        <v>0.98099999999999998</v>
      </c>
      <c r="N12215">
        <v>0.71</v>
      </c>
    </row>
    <row r="12216" spans="1:14" x14ac:dyDescent="0.25">
      <c r="A12216" t="s">
        <v>21019</v>
      </c>
      <c r="B12216" t="s">
        <v>21020</v>
      </c>
      <c r="C12216" s="1" t="str">
        <f>HYPERLINK("http://www.genecards.org/cgi-bin/carddisp.pl?gene=NOS3","GeneCards")</f>
        <v>GeneCards</v>
      </c>
      <c r="D12216" s="1" t="str">
        <f>HYPERLINK("http://genome-euro.ucsc.edu/cgi-bin/hgTracks?position=205581_s_at","UCSC")</f>
        <v>UCSC</v>
      </c>
      <c r="E12216" s="1" t="str">
        <f>HYPERLINK("http://www.ncbi.nlm.nih.gov/gene/?term=NOS3","NCBI")</f>
        <v>NCBI</v>
      </c>
      <c r="F12216">
        <v>0.36</v>
      </c>
      <c r="G12216">
        <v>0.49</v>
      </c>
      <c r="H12216" s="1" t="str">
        <f>HYPERLINK("http://www.weizmann.ac.il/complex/compphys/software/geview/data/figures/205581_s_at.png","Figure")</f>
        <v>Figure</v>
      </c>
      <c r="I12216">
        <v>1.01</v>
      </c>
      <c r="J12216">
        <v>0.47</v>
      </c>
      <c r="K12216">
        <v>1.01</v>
      </c>
      <c r="L12216">
        <v>0.38</v>
      </c>
      <c r="M12216">
        <v>1</v>
      </c>
      <c r="N12216">
        <v>1</v>
      </c>
    </row>
    <row r="12217" spans="1:14" x14ac:dyDescent="0.25">
      <c r="A12217" t="s">
        <v>21021</v>
      </c>
      <c r="B12217" t="s">
        <v>11969</v>
      </c>
      <c r="C12217" s="1" t="str">
        <f>HYPERLINK("http://www.genecards.org/cgi-bin/carddisp.pl?gene=GFRA2","GeneCards")</f>
        <v>GeneCards</v>
      </c>
      <c r="D12217" s="1" t="str">
        <f>HYPERLINK("http://genome-euro.ucsc.edu/cgi-bin/hgTracks?position=205722_s_at","UCSC")</f>
        <v>UCSC</v>
      </c>
      <c r="E12217" s="1" t="str">
        <f>HYPERLINK("http://www.ncbi.nlm.nih.gov/gene/?term=GFRA2","NCBI")</f>
        <v>NCBI</v>
      </c>
      <c r="F12217">
        <v>0.36</v>
      </c>
      <c r="G12217">
        <v>0.49</v>
      </c>
      <c r="H12217" s="1" t="str">
        <f>HYPERLINK("http://www.weizmann.ac.il/complex/compphys/software/geview/data/figures/205722_s_at.png","Figure")</f>
        <v>Figure</v>
      </c>
      <c r="I12217">
        <v>1.01</v>
      </c>
      <c r="J12217">
        <v>0.47</v>
      </c>
      <c r="K12217">
        <v>1.01</v>
      </c>
      <c r="L12217">
        <v>0.38</v>
      </c>
      <c r="M12217">
        <v>1</v>
      </c>
      <c r="N12217">
        <v>1</v>
      </c>
    </row>
    <row r="12218" spans="1:14" x14ac:dyDescent="0.25">
      <c r="A12218" t="s">
        <v>21022</v>
      </c>
      <c r="B12218" t="s">
        <v>21023</v>
      </c>
      <c r="C12218" s="1" t="str">
        <f>HYPERLINK("http://www.genecards.org/cgi-bin/carddisp.pl?gene=NLGN1","GeneCards")</f>
        <v>GeneCards</v>
      </c>
      <c r="D12218" s="1" t="str">
        <f>HYPERLINK("http://genome-euro.ucsc.edu/cgi-bin/hgTracks?position=205893_at","UCSC")</f>
        <v>UCSC</v>
      </c>
      <c r="E12218" s="1" t="str">
        <f>HYPERLINK("http://www.ncbi.nlm.nih.gov/gene/?term=NLGN1","NCBI")</f>
        <v>NCBI</v>
      </c>
      <c r="F12218">
        <v>0.36</v>
      </c>
      <c r="G12218">
        <v>0.49</v>
      </c>
      <c r="H12218" s="1" t="str">
        <f>HYPERLINK("http://www.weizmann.ac.il/complex/compphys/software/geview/data/figures/205893_at.png","Figure")</f>
        <v>Figure</v>
      </c>
      <c r="I12218">
        <v>1.03</v>
      </c>
      <c r="J12218">
        <v>0.47</v>
      </c>
      <c r="K12218">
        <v>1.03</v>
      </c>
      <c r="L12218">
        <v>0.38</v>
      </c>
      <c r="M12218">
        <v>1</v>
      </c>
      <c r="N12218">
        <v>1</v>
      </c>
    </row>
    <row r="12219" spans="1:14" x14ac:dyDescent="0.25">
      <c r="A12219" t="s">
        <v>21024</v>
      </c>
      <c r="B12219" t="s">
        <v>21025</v>
      </c>
      <c r="C12219" s="1" t="str">
        <f>HYPERLINK("http://www.genecards.org/cgi-bin/carddisp.pl?gene=RXRG","GeneCards")</f>
        <v>GeneCards</v>
      </c>
      <c r="D12219" s="1" t="str">
        <f>HYPERLINK("http://genome-euro.ucsc.edu/cgi-bin/hgTracks?position=205954_at","UCSC")</f>
        <v>UCSC</v>
      </c>
      <c r="E12219" s="1" t="str">
        <f>HYPERLINK("http://www.ncbi.nlm.nih.gov/gene/?term=RXRG","NCBI")</f>
        <v>NCBI</v>
      </c>
      <c r="F12219">
        <v>0.36</v>
      </c>
      <c r="G12219">
        <v>0.49</v>
      </c>
      <c r="H12219" s="1" t="str">
        <f>HYPERLINK("http://www.weizmann.ac.il/complex/compphys/software/geview/data/figures/205954_at.png","Figure")</f>
        <v>Figure</v>
      </c>
      <c r="I12219">
        <v>1</v>
      </c>
      <c r="J12219">
        <v>0.47</v>
      </c>
      <c r="K12219">
        <v>1</v>
      </c>
      <c r="L12219">
        <v>0.38</v>
      </c>
      <c r="M12219">
        <v>1</v>
      </c>
      <c r="N12219">
        <v>1</v>
      </c>
    </row>
    <row r="12220" spans="1:14" x14ac:dyDescent="0.25">
      <c r="A12220" t="s">
        <v>21026</v>
      </c>
      <c r="B12220" t="s">
        <v>6813</v>
      </c>
      <c r="C12220" s="1" t="str">
        <f>HYPERLINK("http://www.genecards.org/cgi-bin/carddisp.pl?gene=CYP3A4","GeneCards")</f>
        <v>GeneCards</v>
      </c>
      <c r="D12220" s="1" t="str">
        <f>HYPERLINK("http://genome-euro.ucsc.edu/cgi-bin/hgTracks?position=205999_x_at","UCSC")</f>
        <v>UCSC</v>
      </c>
      <c r="E12220" s="1" t="str">
        <f>HYPERLINK("http://www.ncbi.nlm.nih.gov/gene/?term=CYP3A4","NCBI")</f>
        <v>NCBI</v>
      </c>
      <c r="F12220">
        <v>0.36</v>
      </c>
      <c r="G12220">
        <v>0.49</v>
      </c>
      <c r="H12220" s="1" t="str">
        <f>HYPERLINK("http://www.weizmann.ac.il/complex/compphys/software/geview/data/figures/205999_x_at.png","Figure")</f>
        <v>Figure</v>
      </c>
      <c r="I12220">
        <v>1.03</v>
      </c>
      <c r="J12220">
        <v>0.47</v>
      </c>
      <c r="K12220">
        <v>1.03</v>
      </c>
      <c r="L12220">
        <v>0.38</v>
      </c>
      <c r="M12220">
        <v>1</v>
      </c>
      <c r="N12220">
        <v>1</v>
      </c>
    </row>
    <row r="12221" spans="1:14" x14ac:dyDescent="0.25">
      <c r="A12221" t="s">
        <v>21027</v>
      </c>
      <c r="B12221" t="s">
        <v>21028</v>
      </c>
      <c r="C12221" s="1" t="str">
        <f>HYPERLINK("http://www.genecards.org/cgi-bin/carddisp.pl?gene=MAGI1","GeneCards")</f>
        <v>GeneCards</v>
      </c>
      <c r="D12221" s="1" t="str">
        <f>HYPERLINK("http://genome-euro.ucsc.edu/cgi-bin/hgTracks?position=206144_at","UCSC")</f>
        <v>UCSC</v>
      </c>
      <c r="E12221" s="1" t="str">
        <f>HYPERLINK("http://www.ncbi.nlm.nih.gov/gene/?term=MAGI1","NCBI")</f>
        <v>NCBI</v>
      </c>
      <c r="F12221">
        <v>0.36</v>
      </c>
      <c r="G12221">
        <v>0.49</v>
      </c>
      <c r="H12221" s="1" t="str">
        <f>HYPERLINK("http://www.weizmann.ac.il/complex/compphys/software/geview/data/figures/206144_at.png","Figure")</f>
        <v>Figure</v>
      </c>
      <c r="I12221">
        <v>1.03</v>
      </c>
      <c r="J12221">
        <v>0.47</v>
      </c>
      <c r="K12221">
        <v>1.03</v>
      </c>
      <c r="L12221">
        <v>0.38</v>
      </c>
      <c r="M12221">
        <v>1</v>
      </c>
      <c r="N12221">
        <v>1</v>
      </c>
    </row>
    <row r="12222" spans="1:14" x14ac:dyDescent="0.25">
      <c r="A12222" t="s">
        <v>21029</v>
      </c>
      <c r="B12222" t="s">
        <v>21030</v>
      </c>
      <c r="C12222" s="1" t="str">
        <f>HYPERLINK("http://www.genecards.org/cgi-bin/carddisp.pl?gene=ZNF239","GeneCards")</f>
        <v>GeneCards</v>
      </c>
      <c r="D12222" s="1" t="str">
        <f>HYPERLINK("http://genome-euro.ucsc.edu/cgi-bin/hgTracks?position=206261_at","UCSC")</f>
        <v>UCSC</v>
      </c>
      <c r="E12222" s="1" t="str">
        <f>HYPERLINK("http://www.ncbi.nlm.nih.gov/gene/?term=ZNF239","NCBI")</f>
        <v>NCBI</v>
      </c>
      <c r="F12222">
        <v>0.36</v>
      </c>
      <c r="G12222">
        <v>0.49</v>
      </c>
      <c r="H12222" s="1" t="str">
        <f>HYPERLINK("http://www.weizmann.ac.il/complex/compphys/software/geview/data/figures/206261_at.png","Figure")</f>
        <v>Figure</v>
      </c>
      <c r="I12222">
        <v>1.04</v>
      </c>
      <c r="J12222">
        <v>0.86</v>
      </c>
      <c r="K12222">
        <v>1.1100000000000001</v>
      </c>
      <c r="L12222">
        <v>0.34</v>
      </c>
      <c r="M12222">
        <v>1.06</v>
      </c>
      <c r="N12222">
        <v>0.7</v>
      </c>
    </row>
    <row r="12223" spans="1:14" x14ac:dyDescent="0.25">
      <c r="A12223" t="s">
        <v>21031</v>
      </c>
      <c r="B12223" t="s">
        <v>14268</v>
      </c>
      <c r="C12223" s="1" t="str">
        <f>HYPERLINK("http://www.genecards.org/cgi-bin/carddisp.pl?gene=SOCS3","GeneCards")</f>
        <v>GeneCards</v>
      </c>
      <c r="D12223" s="1" t="str">
        <f>HYPERLINK("http://genome-euro.ucsc.edu/cgi-bin/hgTracks?position=206359_at","UCSC")</f>
        <v>UCSC</v>
      </c>
      <c r="E12223" s="1" t="str">
        <f>HYPERLINK("http://www.ncbi.nlm.nih.gov/gene/?term=SOCS3","NCBI")</f>
        <v>NCBI</v>
      </c>
      <c r="F12223">
        <v>0.36</v>
      </c>
      <c r="G12223">
        <v>0.49</v>
      </c>
      <c r="H12223" s="1" t="str">
        <f>HYPERLINK("http://www.weizmann.ac.il/complex/compphys/software/geview/data/figures/206359_at.png","Figure")</f>
        <v>Figure</v>
      </c>
      <c r="I12223">
        <v>1.01</v>
      </c>
      <c r="J12223">
        <v>0.47</v>
      </c>
      <c r="K12223">
        <v>1.01</v>
      </c>
      <c r="L12223">
        <v>0.38</v>
      </c>
      <c r="M12223">
        <v>1</v>
      </c>
      <c r="N12223">
        <v>1</v>
      </c>
    </row>
    <row r="12224" spans="1:14" x14ac:dyDescent="0.25">
      <c r="A12224" t="s">
        <v>21032</v>
      </c>
      <c r="B12224" t="s">
        <v>21033</v>
      </c>
      <c r="C12224" s="1" t="str">
        <f>HYPERLINK("http://www.genecards.org/cgi-bin/carddisp.pl?gene=TNP1","GeneCards")</f>
        <v>GeneCards</v>
      </c>
      <c r="D12224" s="1" t="str">
        <f>HYPERLINK("http://genome-euro.ucsc.edu/cgi-bin/hgTracks?position=206568_at","UCSC")</f>
        <v>UCSC</v>
      </c>
      <c r="E12224" s="1" t="str">
        <f>HYPERLINK("http://www.ncbi.nlm.nih.gov/gene/?term=TNP1","NCBI")</f>
        <v>NCBI</v>
      </c>
      <c r="F12224">
        <v>0.36</v>
      </c>
      <c r="G12224">
        <v>0.49</v>
      </c>
      <c r="H12224" s="1" t="str">
        <f>HYPERLINK("http://www.weizmann.ac.il/complex/compphys/software/geview/data/figures/206568_at.png","Figure")</f>
        <v>Figure</v>
      </c>
      <c r="I12224">
        <v>1.01</v>
      </c>
      <c r="J12224">
        <v>0.47</v>
      </c>
      <c r="K12224">
        <v>1.01</v>
      </c>
      <c r="L12224">
        <v>0.38</v>
      </c>
      <c r="M12224">
        <v>1</v>
      </c>
      <c r="N12224">
        <v>1</v>
      </c>
    </row>
    <row r="12225" spans="1:14" x14ac:dyDescent="0.25">
      <c r="A12225" t="s">
        <v>21034</v>
      </c>
      <c r="B12225" t="s">
        <v>21035</v>
      </c>
      <c r="C12225" s="1" t="str">
        <f>HYPERLINK("http://www.genecards.org/cgi-bin/carddisp.pl?gene=USP9Y","GeneCards")</f>
        <v>GeneCards</v>
      </c>
      <c r="D12225" s="1" t="str">
        <f>HYPERLINK("http://genome-euro.ucsc.edu/cgi-bin/hgTracks?position=206624_at","UCSC")</f>
        <v>UCSC</v>
      </c>
      <c r="E12225" s="1" t="str">
        <f>HYPERLINK("http://www.ncbi.nlm.nih.gov/gene/?term=USP9Y","NCBI")</f>
        <v>NCBI</v>
      </c>
      <c r="F12225">
        <v>0.36</v>
      </c>
      <c r="G12225">
        <v>0.49</v>
      </c>
      <c r="H12225" s="1" t="str">
        <f>HYPERLINK("http://www.weizmann.ac.il/complex/compphys/software/geview/data/figures/206624_at.png","Figure")</f>
        <v>Figure</v>
      </c>
      <c r="I12225">
        <v>1.08</v>
      </c>
      <c r="J12225">
        <v>0.47</v>
      </c>
      <c r="K12225">
        <v>1.08</v>
      </c>
      <c r="L12225">
        <v>0.38</v>
      </c>
      <c r="M12225">
        <v>1</v>
      </c>
      <c r="N12225">
        <v>1</v>
      </c>
    </row>
    <row r="12226" spans="1:14" x14ac:dyDescent="0.25">
      <c r="A12226" t="s">
        <v>21036</v>
      </c>
      <c r="B12226" t="s">
        <v>21037</v>
      </c>
      <c r="C12226" s="1" t="str">
        <f>HYPERLINK("http://www.genecards.org/cgi-bin/carddisp.pl?gene=CD96","GeneCards")</f>
        <v>GeneCards</v>
      </c>
      <c r="D12226" s="1" t="str">
        <f>HYPERLINK("http://genome-euro.ucsc.edu/cgi-bin/hgTracks?position=206761_at","UCSC")</f>
        <v>UCSC</v>
      </c>
      <c r="E12226" s="1" t="str">
        <f>HYPERLINK("http://www.ncbi.nlm.nih.gov/gene/?term=CD96","NCBI")</f>
        <v>NCBI</v>
      </c>
      <c r="F12226">
        <v>0.36</v>
      </c>
      <c r="G12226">
        <v>0.49</v>
      </c>
      <c r="H12226" s="1" t="str">
        <f>HYPERLINK("http://www.weizmann.ac.il/complex/compphys/software/geview/data/figures/206761_at.png","Figure")</f>
        <v>Figure</v>
      </c>
      <c r="I12226">
        <v>1</v>
      </c>
      <c r="J12226">
        <v>0.47</v>
      </c>
      <c r="K12226">
        <v>1</v>
      </c>
      <c r="L12226">
        <v>0.38</v>
      </c>
      <c r="M12226">
        <v>1</v>
      </c>
      <c r="N12226">
        <v>1</v>
      </c>
    </row>
    <row r="12227" spans="1:14" x14ac:dyDescent="0.25">
      <c r="A12227" t="s">
        <v>21038</v>
      </c>
      <c r="B12227" t="s">
        <v>21039</v>
      </c>
      <c r="C12227" s="1" t="str">
        <f>HYPERLINK("http://www.genecards.org/cgi-bin/carddisp.pl?gene=ADCY8","GeneCards")</f>
        <v>GeneCards</v>
      </c>
      <c r="D12227" s="1" t="str">
        <f>HYPERLINK("http://genome-euro.ucsc.edu/cgi-bin/hgTracks?position=206811_at","UCSC")</f>
        <v>UCSC</v>
      </c>
      <c r="E12227" s="1" t="str">
        <f>HYPERLINK("http://www.ncbi.nlm.nih.gov/gene/?term=ADCY8","NCBI")</f>
        <v>NCBI</v>
      </c>
      <c r="F12227">
        <v>0.36</v>
      </c>
      <c r="G12227">
        <v>0.49</v>
      </c>
      <c r="H12227" s="1" t="str">
        <f>HYPERLINK("http://www.weizmann.ac.il/complex/compphys/software/geview/data/figures/206811_at.png","Figure")</f>
        <v>Figure</v>
      </c>
      <c r="I12227">
        <v>1.01</v>
      </c>
      <c r="J12227">
        <v>0.47</v>
      </c>
      <c r="K12227">
        <v>1.01</v>
      </c>
      <c r="L12227">
        <v>0.38</v>
      </c>
      <c r="M12227">
        <v>1</v>
      </c>
      <c r="N12227">
        <v>1</v>
      </c>
    </row>
    <row r="12228" spans="1:14" x14ac:dyDescent="0.25">
      <c r="A12228" t="s">
        <v>21040</v>
      </c>
      <c r="B12228" t="s">
        <v>8958</v>
      </c>
      <c r="C12228" s="1" t="str">
        <f>HYPERLINK("http://www.genecards.org/cgi-bin/carddisp.pl?gene=EXOG","GeneCards")</f>
        <v>GeneCards</v>
      </c>
      <c r="D12228" s="1" t="str">
        <f>HYPERLINK("http://genome-euro.ucsc.edu/cgi-bin/hgTracks?position=206903_at","UCSC")</f>
        <v>UCSC</v>
      </c>
      <c r="E12228" s="1" t="str">
        <f>HYPERLINK("http://www.ncbi.nlm.nih.gov/gene/?term=EXOG","NCBI")</f>
        <v>NCBI</v>
      </c>
      <c r="F12228">
        <v>0.36</v>
      </c>
      <c r="G12228">
        <v>0.49</v>
      </c>
      <c r="H12228" s="1" t="str">
        <f>HYPERLINK("http://www.weizmann.ac.il/complex/compphys/software/geview/data/figures/206903_at.png","Figure")</f>
        <v>Figure</v>
      </c>
      <c r="I12228">
        <v>1</v>
      </c>
      <c r="J12228">
        <v>0.47</v>
      </c>
      <c r="K12228">
        <v>1</v>
      </c>
      <c r="L12228">
        <v>0.38</v>
      </c>
      <c r="M12228">
        <v>1</v>
      </c>
      <c r="N12228">
        <v>1</v>
      </c>
    </row>
    <row r="12229" spans="1:14" x14ac:dyDescent="0.25">
      <c r="A12229" t="s">
        <v>21041</v>
      </c>
      <c r="B12229" t="s">
        <v>21042</v>
      </c>
      <c r="C12229" s="1" t="str">
        <f>HYPERLINK("http://www.genecards.org/cgi-bin/carddisp.pl?gene=PMCH","GeneCards")</f>
        <v>GeneCards</v>
      </c>
      <c r="D12229" s="1" t="str">
        <f>HYPERLINK("http://genome-euro.ucsc.edu/cgi-bin/hgTracks?position=206942_s_at","UCSC")</f>
        <v>UCSC</v>
      </c>
      <c r="E12229" s="1" t="str">
        <f>HYPERLINK("http://www.ncbi.nlm.nih.gov/gene/?term=PMCH","NCBI")</f>
        <v>NCBI</v>
      </c>
      <c r="F12229">
        <v>0.36</v>
      </c>
      <c r="G12229">
        <v>0.49</v>
      </c>
      <c r="H12229" s="1" t="str">
        <f>HYPERLINK("http://www.weizmann.ac.il/complex/compphys/software/geview/data/figures/206942_s_at.png","Figure")</f>
        <v>Figure</v>
      </c>
      <c r="I12229">
        <v>1.02</v>
      </c>
      <c r="J12229">
        <v>0.47</v>
      </c>
      <c r="K12229">
        <v>1.02</v>
      </c>
      <c r="L12229">
        <v>0.38</v>
      </c>
      <c r="M12229">
        <v>1</v>
      </c>
      <c r="N12229">
        <v>1</v>
      </c>
    </row>
    <row r="12230" spans="1:14" x14ac:dyDescent="0.25">
      <c r="A12230" t="s">
        <v>21043</v>
      </c>
      <c r="B12230" t="s">
        <v>21044</v>
      </c>
      <c r="C12230" s="1" t="str">
        <f>HYPERLINK("http://www.genecards.org/cgi-bin/carddisp.pl?gene=LCT","GeneCards")</f>
        <v>GeneCards</v>
      </c>
      <c r="D12230" s="1" t="str">
        <f>HYPERLINK("http://genome-euro.ucsc.edu/cgi-bin/hgTracks?position=206945_at","UCSC")</f>
        <v>UCSC</v>
      </c>
      <c r="E12230" s="1" t="str">
        <f>HYPERLINK("http://www.ncbi.nlm.nih.gov/gene/?term=LCT","NCBI")</f>
        <v>NCBI</v>
      </c>
      <c r="F12230">
        <v>0.36</v>
      </c>
      <c r="G12230">
        <v>0.49</v>
      </c>
      <c r="H12230" s="1" t="str">
        <f>HYPERLINK("http://www.weizmann.ac.il/complex/compphys/software/geview/data/figures/206945_at.png","Figure")</f>
        <v>Figure</v>
      </c>
      <c r="I12230">
        <v>0.999</v>
      </c>
      <c r="J12230">
        <v>1</v>
      </c>
      <c r="K12230">
        <v>0.90400000000000003</v>
      </c>
      <c r="L12230">
        <v>0.42</v>
      </c>
      <c r="M12230">
        <v>0.90500000000000003</v>
      </c>
      <c r="N12230">
        <v>0.48</v>
      </c>
    </row>
    <row r="12231" spans="1:14" x14ac:dyDescent="0.25">
      <c r="A12231" t="s">
        <v>21045</v>
      </c>
      <c r="B12231" t="s">
        <v>21046</v>
      </c>
      <c r="C12231" s="1" t="str">
        <f>HYPERLINK("http://www.genecards.org/cgi-bin/carddisp.pl?gene=KRT34","GeneCards")</f>
        <v>GeneCards</v>
      </c>
      <c r="D12231" s="1" t="str">
        <f>HYPERLINK("http://genome-euro.ucsc.edu/cgi-bin/hgTracks?position=206969_at","UCSC")</f>
        <v>UCSC</v>
      </c>
      <c r="E12231" s="1" t="str">
        <f>HYPERLINK("http://www.ncbi.nlm.nih.gov/gene/?term=KRT34","NCBI")</f>
        <v>NCBI</v>
      </c>
      <c r="F12231">
        <v>0.36</v>
      </c>
      <c r="G12231">
        <v>0.49</v>
      </c>
      <c r="H12231" s="1" t="str">
        <f>HYPERLINK("http://www.weizmann.ac.il/complex/compphys/software/geview/data/figures/206969_at.png","Figure")</f>
        <v>Figure</v>
      </c>
      <c r="I12231">
        <v>1.01</v>
      </c>
      <c r="J12231">
        <v>0.47</v>
      </c>
      <c r="K12231">
        <v>1.01</v>
      </c>
      <c r="L12231">
        <v>0.38</v>
      </c>
      <c r="M12231">
        <v>1</v>
      </c>
      <c r="N12231">
        <v>1</v>
      </c>
    </row>
    <row r="12232" spans="1:14" x14ac:dyDescent="0.25">
      <c r="A12232" t="s">
        <v>21047</v>
      </c>
      <c r="B12232" t="s">
        <v>21048</v>
      </c>
      <c r="C12232" s="1" t="str">
        <f>HYPERLINK("http://www.genecards.org/cgi-bin/carddisp.pl?gene=IL12RB2","GeneCards")</f>
        <v>GeneCards</v>
      </c>
      <c r="D12232" s="1" t="str">
        <f>HYPERLINK("http://genome-euro.ucsc.edu/cgi-bin/hgTracks?position=206999_at","UCSC")</f>
        <v>UCSC</v>
      </c>
      <c r="E12232" s="1" t="str">
        <f>HYPERLINK("http://www.ncbi.nlm.nih.gov/gene/?term=IL12RB2","NCBI")</f>
        <v>NCBI</v>
      </c>
      <c r="F12232">
        <v>0.36</v>
      </c>
      <c r="G12232">
        <v>0.49</v>
      </c>
      <c r="H12232" s="1" t="str">
        <f>HYPERLINK("http://www.weizmann.ac.il/complex/compphys/software/geview/data/figures/206999_at.png","Figure")</f>
        <v>Figure</v>
      </c>
      <c r="I12232">
        <v>1.08</v>
      </c>
      <c r="J12232">
        <v>0.47</v>
      </c>
      <c r="K12232">
        <v>1.08</v>
      </c>
      <c r="L12232">
        <v>0.38</v>
      </c>
      <c r="M12232">
        <v>1</v>
      </c>
      <c r="N12232">
        <v>1</v>
      </c>
    </row>
    <row r="12233" spans="1:14" x14ac:dyDescent="0.25">
      <c r="A12233" t="s">
        <v>21049</v>
      </c>
      <c r="B12233" t="s">
        <v>21050</v>
      </c>
      <c r="C12233" s="1" t="str">
        <f>HYPERLINK("http://www.genecards.org/cgi-bin/carddisp.pl?gene=CCDC106","GeneCards")</f>
        <v>GeneCards</v>
      </c>
      <c r="D12233" s="1" t="str">
        <f>HYPERLINK("http://genome-euro.ucsc.edu/cgi-bin/hgTracks?position=207006_s_at","UCSC")</f>
        <v>UCSC</v>
      </c>
      <c r="E12233" s="1" t="str">
        <f>HYPERLINK("http://www.ncbi.nlm.nih.gov/gene/?term=CCDC106","NCBI")</f>
        <v>NCBI</v>
      </c>
      <c r="F12233">
        <v>0.36</v>
      </c>
      <c r="G12233">
        <v>0.49</v>
      </c>
      <c r="H12233" s="1" t="str">
        <f>HYPERLINK("http://www.weizmann.ac.il/complex/compphys/software/geview/data/figures/207006_s_at.png","Figure")</f>
        <v>Figure</v>
      </c>
      <c r="I12233">
        <v>1.05</v>
      </c>
      <c r="J12233">
        <v>0.47</v>
      </c>
      <c r="K12233">
        <v>1.05</v>
      </c>
      <c r="L12233">
        <v>0.38</v>
      </c>
      <c r="M12233">
        <v>1</v>
      </c>
      <c r="N12233">
        <v>1</v>
      </c>
    </row>
    <row r="12234" spans="1:14" x14ac:dyDescent="0.25">
      <c r="A12234" t="s">
        <v>21051</v>
      </c>
      <c r="B12234" t="s">
        <v>21052</v>
      </c>
      <c r="C12234" s="1" t="str">
        <f>HYPERLINK("http://www.genecards.org/cgi-bin/carddisp.pl?gene=P2RX7","GeneCards")</f>
        <v>GeneCards</v>
      </c>
      <c r="D12234" s="1" t="str">
        <f>HYPERLINK("http://genome-euro.ucsc.edu/cgi-bin/hgTracks?position=207091_at","UCSC")</f>
        <v>UCSC</v>
      </c>
      <c r="E12234" s="1" t="str">
        <f>HYPERLINK("http://www.ncbi.nlm.nih.gov/gene/?term=P2RX7","NCBI")</f>
        <v>NCBI</v>
      </c>
      <c r="F12234">
        <v>0.36</v>
      </c>
      <c r="G12234">
        <v>0.49</v>
      </c>
      <c r="H12234" s="1" t="str">
        <f>HYPERLINK("http://www.weizmann.ac.il/complex/compphys/software/geview/data/figures/207091_at.png","Figure")</f>
        <v>Figure</v>
      </c>
      <c r="I12234">
        <v>1.01</v>
      </c>
      <c r="J12234">
        <v>0.47</v>
      </c>
      <c r="K12234">
        <v>1.01</v>
      </c>
      <c r="L12234">
        <v>0.38</v>
      </c>
      <c r="M12234">
        <v>1</v>
      </c>
      <c r="N12234">
        <v>1</v>
      </c>
    </row>
    <row r="12235" spans="1:14" x14ac:dyDescent="0.25">
      <c r="A12235" t="s">
        <v>21053</v>
      </c>
      <c r="B12235" t="s">
        <v>21054</v>
      </c>
      <c r="C12235" s="1" t="str">
        <f>HYPERLINK("http://www.genecards.org/cgi-bin/carddisp.pl?gene=ALPI","GeneCards")</f>
        <v>GeneCards</v>
      </c>
      <c r="D12235" s="1" t="str">
        <f>HYPERLINK("http://genome-euro.ucsc.edu/cgi-bin/hgTracks?position=207140_at","UCSC")</f>
        <v>UCSC</v>
      </c>
      <c r="E12235" s="1" t="str">
        <f>HYPERLINK("http://www.ncbi.nlm.nih.gov/gene/?term=ALPI","NCBI")</f>
        <v>NCBI</v>
      </c>
      <c r="F12235">
        <v>0.36</v>
      </c>
      <c r="G12235">
        <v>0.49</v>
      </c>
      <c r="H12235" s="1" t="str">
        <f>HYPERLINK("http://www.weizmann.ac.il/complex/compphys/software/geview/data/figures/207140_at.png","Figure")</f>
        <v>Figure</v>
      </c>
      <c r="I12235">
        <v>1.02</v>
      </c>
      <c r="J12235">
        <v>0.47</v>
      </c>
      <c r="K12235">
        <v>1.02</v>
      </c>
      <c r="L12235">
        <v>0.38</v>
      </c>
      <c r="M12235">
        <v>1</v>
      </c>
      <c r="N12235">
        <v>1</v>
      </c>
    </row>
    <row r="12236" spans="1:14" x14ac:dyDescent="0.25">
      <c r="A12236" t="s">
        <v>21055</v>
      </c>
      <c r="B12236" t="s">
        <v>11472</v>
      </c>
      <c r="C12236" s="1" t="str">
        <f>HYPERLINK("http://www.genecards.org/cgi-bin/carddisp.pl?gene=PLXNA2","GeneCards")</f>
        <v>GeneCards</v>
      </c>
      <c r="D12236" s="1" t="str">
        <f>HYPERLINK("http://genome-euro.ucsc.edu/cgi-bin/hgTracks?position=207290_at","UCSC")</f>
        <v>UCSC</v>
      </c>
      <c r="E12236" s="1" t="str">
        <f>HYPERLINK("http://www.ncbi.nlm.nih.gov/gene/?term=PLXNA2","NCBI")</f>
        <v>NCBI</v>
      </c>
      <c r="F12236">
        <v>0.36</v>
      </c>
      <c r="G12236">
        <v>0.49</v>
      </c>
      <c r="H12236" s="1" t="str">
        <f>HYPERLINK("http://www.weizmann.ac.il/complex/compphys/software/geview/data/figures/207290_at.png","Figure")</f>
        <v>Figure</v>
      </c>
      <c r="I12236">
        <v>1</v>
      </c>
      <c r="J12236">
        <v>0.47</v>
      </c>
      <c r="K12236">
        <v>1</v>
      </c>
      <c r="L12236">
        <v>0.38</v>
      </c>
      <c r="M12236">
        <v>1</v>
      </c>
      <c r="N12236">
        <v>1</v>
      </c>
    </row>
    <row r="12237" spans="1:14" x14ac:dyDescent="0.25">
      <c r="A12237" t="s">
        <v>21056</v>
      </c>
      <c r="B12237" t="s">
        <v>21057</v>
      </c>
      <c r="C12237" s="1" t="str">
        <f>HYPERLINK("http://www.genecards.org/cgi-bin/carddisp.pl?gene=ZNF343","GeneCards")</f>
        <v>GeneCards</v>
      </c>
      <c r="D12237" s="1" t="str">
        <f>HYPERLINK("http://genome-euro.ucsc.edu/cgi-bin/hgTracks?position=207296_at","UCSC")</f>
        <v>UCSC</v>
      </c>
      <c r="E12237" s="1" t="str">
        <f>HYPERLINK("http://www.ncbi.nlm.nih.gov/gene/?term=ZNF343","NCBI")</f>
        <v>NCBI</v>
      </c>
      <c r="F12237">
        <v>0.36</v>
      </c>
      <c r="G12237">
        <v>0.49</v>
      </c>
      <c r="H12237" s="1" t="str">
        <f>HYPERLINK("http://www.weizmann.ac.il/complex/compphys/software/geview/data/figures/207296_at.png","Figure")</f>
        <v>Figure</v>
      </c>
      <c r="I12237">
        <v>0.99099999999999999</v>
      </c>
      <c r="J12237">
        <v>0.97</v>
      </c>
      <c r="K12237">
        <v>0.95599999999999996</v>
      </c>
      <c r="L12237">
        <v>0.37</v>
      </c>
      <c r="M12237">
        <v>0.96499999999999997</v>
      </c>
      <c r="N12237">
        <v>0.56000000000000005</v>
      </c>
    </row>
    <row r="12238" spans="1:14" x14ac:dyDescent="0.25">
      <c r="A12238" t="s">
        <v>21058</v>
      </c>
      <c r="B12238" t="s">
        <v>18439</v>
      </c>
      <c r="C12238" s="1" t="str">
        <f>HYPERLINK("http://www.genecards.org/cgi-bin/carddisp.pl?gene=CDC2L5","GeneCards")</f>
        <v>GeneCards</v>
      </c>
      <c r="D12238" s="1" t="str">
        <f>HYPERLINK("http://genome-euro.ucsc.edu/cgi-bin/hgTracks?position=207318_s_at","UCSC")</f>
        <v>UCSC</v>
      </c>
      <c r="E12238" s="1" t="str">
        <f>HYPERLINK("http://www.ncbi.nlm.nih.gov/gene/?term=CDC2L5","NCBI")</f>
        <v>NCBI</v>
      </c>
      <c r="F12238">
        <v>0.35</v>
      </c>
      <c r="G12238">
        <v>0.49</v>
      </c>
      <c r="H12238" s="1" t="str">
        <f>HYPERLINK("http://www.weizmann.ac.il/complex/compphys/software/geview/data/figures/207318_s_at.png","Figure")</f>
        <v>Figure</v>
      </c>
      <c r="I12238">
        <v>1.31</v>
      </c>
      <c r="J12238">
        <v>0.57999999999999996</v>
      </c>
      <c r="K12238">
        <v>1.41</v>
      </c>
      <c r="L12238">
        <v>0.34</v>
      </c>
      <c r="M12238">
        <v>1.07</v>
      </c>
      <c r="N12238">
        <v>0.96</v>
      </c>
    </row>
    <row r="12239" spans="1:14" x14ac:dyDescent="0.25">
      <c r="A12239" t="s">
        <v>21059</v>
      </c>
      <c r="B12239" t="s">
        <v>21060</v>
      </c>
      <c r="C12239" s="1" t="str">
        <f>HYPERLINK("http://www.genecards.org/cgi-bin/carddisp.pl?gene=EYA4","GeneCards")</f>
        <v>GeneCards</v>
      </c>
      <c r="D12239" s="1" t="str">
        <f>HYPERLINK("http://genome-euro.ucsc.edu/cgi-bin/hgTracks?position=207327_at","UCSC")</f>
        <v>UCSC</v>
      </c>
      <c r="E12239" s="1" t="str">
        <f>HYPERLINK("http://www.ncbi.nlm.nih.gov/gene/?term=EYA4","NCBI")</f>
        <v>NCBI</v>
      </c>
      <c r="F12239">
        <v>0.36</v>
      </c>
      <c r="G12239">
        <v>0.49</v>
      </c>
      <c r="H12239" s="1" t="str">
        <f>HYPERLINK("http://www.weizmann.ac.il/complex/compphys/software/geview/data/figures/207327_at.png","Figure")</f>
        <v>Figure</v>
      </c>
      <c r="I12239">
        <v>1.05</v>
      </c>
      <c r="J12239">
        <v>0.47</v>
      </c>
      <c r="K12239">
        <v>1.05</v>
      </c>
      <c r="L12239">
        <v>0.38</v>
      </c>
      <c r="M12239">
        <v>1</v>
      </c>
      <c r="N12239">
        <v>1</v>
      </c>
    </row>
    <row r="12240" spans="1:14" x14ac:dyDescent="0.25">
      <c r="A12240" t="s">
        <v>21061</v>
      </c>
      <c r="B12240" t="s">
        <v>143</v>
      </c>
      <c r="C12240" s="1" t="str">
        <f>HYPERLINK("http://www.genecards.org/cgi-bin/carddisp.pl?gene=SLC35A2","GeneCards")</f>
        <v>GeneCards</v>
      </c>
      <c r="D12240" s="1" t="str">
        <f>HYPERLINK("http://genome-euro.ucsc.edu/cgi-bin/hgTracks?position=207440_at","UCSC")</f>
        <v>UCSC</v>
      </c>
      <c r="E12240" s="1" t="str">
        <f>HYPERLINK("http://www.ncbi.nlm.nih.gov/gene/?term=SLC35A2","NCBI")</f>
        <v>NCBI</v>
      </c>
      <c r="F12240">
        <v>0.36</v>
      </c>
      <c r="G12240">
        <v>0.49</v>
      </c>
      <c r="H12240" s="1" t="str">
        <f>HYPERLINK("http://www.weizmann.ac.il/complex/compphys/software/geview/data/figures/207440_at.png","Figure")</f>
        <v>Figure</v>
      </c>
      <c r="I12240">
        <v>1</v>
      </c>
      <c r="J12240">
        <v>0.47</v>
      </c>
      <c r="K12240">
        <v>1</v>
      </c>
      <c r="L12240">
        <v>0.38</v>
      </c>
      <c r="M12240">
        <v>1</v>
      </c>
      <c r="N12240">
        <v>1</v>
      </c>
    </row>
    <row r="12241" spans="1:14" x14ac:dyDescent="0.25">
      <c r="A12241" t="s">
        <v>21062</v>
      </c>
      <c r="B12241" t="s">
        <v>21063</v>
      </c>
      <c r="C12241" s="1" t="str">
        <f>HYPERLINK("http://www.genecards.org/cgi-bin/carddisp.pl?gene=ST7","GeneCards")</f>
        <v>GeneCards</v>
      </c>
      <c r="D12241" s="1" t="str">
        <f>HYPERLINK("http://genome-euro.ucsc.edu/cgi-bin/hgTracks?position=207524_at","UCSC")</f>
        <v>UCSC</v>
      </c>
      <c r="E12241" s="1" t="str">
        <f>HYPERLINK("http://www.ncbi.nlm.nih.gov/gene/?term=ST7","NCBI")</f>
        <v>NCBI</v>
      </c>
      <c r="F12241">
        <v>0.35</v>
      </c>
      <c r="G12241">
        <v>0.49</v>
      </c>
      <c r="H12241" s="1" t="str">
        <f>HYPERLINK("http://www.weizmann.ac.il/complex/compphys/software/geview/data/figures/207524_at.png","Figure")</f>
        <v>Figure</v>
      </c>
      <c r="I12241">
        <v>1.1399999999999999</v>
      </c>
      <c r="J12241">
        <v>0.56999999999999995</v>
      </c>
      <c r="K12241">
        <v>0.95499999999999996</v>
      </c>
      <c r="L12241">
        <v>0.91</v>
      </c>
      <c r="M12241">
        <v>0.83799999999999997</v>
      </c>
      <c r="N12241">
        <v>0.32</v>
      </c>
    </row>
    <row r="12242" spans="1:14" x14ac:dyDescent="0.25">
      <c r="A12242" t="s">
        <v>21064</v>
      </c>
      <c r="B12242" t="s">
        <v>21065</v>
      </c>
      <c r="C12242" s="1" t="str">
        <f>HYPERLINK("http://www.genecards.org/cgi-bin/carddisp.pl?gene=KCNH1","GeneCards")</f>
        <v>GeneCards</v>
      </c>
      <c r="D12242" s="1" t="str">
        <f>HYPERLINK("http://genome-euro.ucsc.edu/cgi-bin/hgTracks?position=207635_s_at","UCSC")</f>
        <v>UCSC</v>
      </c>
      <c r="E12242" s="1" t="str">
        <f>HYPERLINK("http://www.ncbi.nlm.nih.gov/gene/?term=KCNH1","NCBI")</f>
        <v>NCBI</v>
      </c>
      <c r="F12242">
        <v>0.36</v>
      </c>
      <c r="G12242">
        <v>0.49</v>
      </c>
      <c r="H12242" s="1" t="str">
        <f>HYPERLINK("http://www.weizmann.ac.il/complex/compphys/software/geview/data/figures/207635_s_at.png","Figure")</f>
        <v>Figure</v>
      </c>
      <c r="I12242">
        <v>1.01</v>
      </c>
      <c r="J12242">
        <v>0.47</v>
      </c>
      <c r="K12242">
        <v>1.01</v>
      </c>
      <c r="L12242">
        <v>0.38</v>
      </c>
      <c r="M12242">
        <v>1</v>
      </c>
      <c r="N12242">
        <v>1</v>
      </c>
    </row>
    <row r="12243" spans="1:14" x14ac:dyDescent="0.25">
      <c r="A12243" t="s">
        <v>21066</v>
      </c>
      <c r="B12243" t="s">
        <v>21067</v>
      </c>
      <c r="C12243" s="1" t="str">
        <f>HYPERLINK("http://www.genecards.org/cgi-bin/carddisp.pl?gene=PRSS7","GeneCards")</f>
        <v>GeneCards</v>
      </c>
      <c r="D12243" s="1" t="str">
        <f>HYPERLINK("http://genome-euro.ucsc.edu/cgi-bin/hgTracks?position=207638_at","UCSC")</f>
        <v>UCSC</v>
      </c>
      <c r="E12243" s="1" t="str">
        <f>HYPERLINK("http://www.ncbi.nlm.nih.gov/gene/?term=PRSS7","NCBI")</f>
        <v>NCBI</v>
      </c>
      <c r="F12243">
        <v>0.36</v>
      </c>
      <c r="G12243">
        <v>0.49</v>
      </c>
      <c r="H12243" s="1" t="str">
        <f>HYPERLINK("http://www.weizmann.ac.il/complex/compphys/software/geview/data/figures/207638_at.png","Figure")</f>
        <v>Figure</v>
      </c>
      <c r="I12243">
        <v>0.58799999999999997</v>
      </c>
      <c r="J12243">
        <v>0.35</v>
      </c>
      <c r="K12243">
        <v>0.70199999999999996</v>
      </c>
      <c r="L12243">
        <v>0.53</v>
      </c>
      <c r="M12243">
        <v>1.19</v>
      </c>
      <c r="N12243">
        <v>0.87</v>
      </c>
    </row>
    <row r="12244" spans="1:14" x14ac:dyDescent="0.25">
      <c r="A12244" t="s">
        <v>21068</v>
      </c>
      <c r="B12244" t="s">
        <v>6301</v>
      </c>
      <c r="C12244" s="1" t="str">
        <f>HYPERLINK("http://www.genecards.org/cgi-bin/carddisp.pl?gene=NUP62","GeneCards")</f>
        <v>GeneCards</v>
      </c>
      <c r="D12244" s="1" t="str">
        <f>HYPERLINK("http://genome-euro.ucsc.edu/cgi-bin/hgTracks?position=207740_s_at","UCSC")</f>
        <v>UCSC</v>
      </c>
      <c r="E12244" s="1" t="str">
        <f>HYPERLINK("http://www.ncbi.nlm.nih.gov/gene/?term=NUP62","NCBI")</f>
        <v>NCBI</v>
      </c>
      <c r="F12244">
        <v>0.36</v>
      </c>
      <c r="G12244">
        <v>0.49</v>
      </c>
      <c r="H12244" s="1" t="str">
        <f>HYPERLINK("http://www.weizmann.ac.il/complex/compphys/software/geview/data/figures/207740_s_at.png","Figure")</f>
        <v>Figure</v>
      </c>
      <c r="I12244">
        <v>1.03</v>
      </c>
      <c r="J12244">
        <v>0.47</v>
      </c>
      <c r="K12244">
        <v>1.03</v>
      </c>
      <c r="L12244">
        <v>0.38</v>
      </c>
      <c r="M12244">
        <v>1</v>
      </c>
      <c r="N12244">
        <v>1</v>
      </c>
    </row>
    <row r="12245" spans="1:14" x14ac:dyDescent="0.25">
      <c r="A12245" t="s">
        <v>21069</v>
      </c>
      <c r="B12245" t="s">
        <v>19777</v>
      </c>
      <c r="C12245" s="1" t="str">
        <f>HYPERLINK("http://www.genecards.org/cgi-bin/carddisp.pl?gene=KLRD1","GeneCards")</f>
        <v>GeneCards</v>
      </c>
      <c r="D12245" s="1" t="str">
        <f>HYPERLINK("http://genome-euro.ucsc.edu/cgi-bin/hgTracks?position=207796_x_at","UCSC")</f>
        <v>UCSC</v>
      </c>
      <c r="E12245" s="1" t="str">
        <f>HYPERLINK("http://www.ncbi.nlm.nih.gov/gene/?term=KLRD1","NCBI")</f>
        <v>NCBI</v>
      </c>
      <c r="F12245">
        <v>0.36</v>
      </c>
      <c r="G12245">
        <v>0.49</v>
      </c>
      <c r="H12245" s="1" t="str">
        <f>HYPERLINK("http://www.weizmann.ac.il/complex/compphys/software/geview/data/figures/207796_x_at.png","Figure")</f>
        <v>Figure</v>
      </c>
      <c r="I12245">
        <v>1.04</v>
      </c>
      <c r="J12245">
        <v>0.47</v>
      </c>
      <c r="K12245">
        <v>1.04</v>
      </c>
      <c r="L12245">
        <v>0.38</v>
      </c>
      <c r="M12245">
        <v>1</v>
      </c>
      <c r="N12245">
        <v>1</v>
      </c>
    </row>
    <row r="12246" spans="1:14" x14ac:dyDescent="0.25">
      <c r="A12246" t="s">
        <v>21070</v>
      </c>
      <c r="B12246" t="s">
        <v>21071</v>
      </c>
      <c r="C12246" s="1" t="str">
        <f>HYPERLINK("http://www.genecards.org/cgi-bin/carddisp.pl?gene=SPIN2A","GeneCards")</f>
        <v>GeneCards</v>
      </c>
      <c r="D12246" s="1" t="str">
        <f>HYPERLINK("http://genome-euro.ucsc.edu/cgi-bin/hgTracks?position=207841_at","UCSC")</f>
        <v>UCSC</v>
      </c>
      <c r="E12246" s="1" t="str">
        <f>HYPERLINK("http://www.ncbi.nlm.nih.gov/gene/?term=SPIN2A","NCBI")</f>
        <v>NCBI</v>
      </c>
      <c r="F12246">
        <v>0.35</v>
      </c>
      <c r="G12246">
        <v>0.49</v>
      </c>
      <c r="H12246" s="1" t="str">
        <f>HYPERLINK("http://www.weizmann.ac.il/complex/compphys/software/geview/data/figures/207841_at.png","Figure")</f>
        <v>Figure</v>
      </c>
      <c r="I12246">
        <v>1.08</v>
      </c>
      <c r="J12246">
        <v>0.38</v>
      </c>
      <c r="K12246">
        <v>1.06</v>
      </c>
      <c r="L12246">
        <v>0.46</v>
      </c>
      <c r="M12246">
        <v>0.98399999999999999</v>
      </c>
      <c r="N12246">
        <v>0.95</v>
      </c>
    </row>
    <row r="12247" spans="1:14" x14ac:dyDescent="0.25">
      <c r="A12247" t="s">
        <v>21072</v>
      </c>
      <c r="B12247" t="s">
        <v>21073</v>
      </c>
      <c r="C12247" s="1" t="str">
        <f>HYPERLINK("http://www.genecards.org/cgi-bin/carddisp.pl?gene=TACR3","GeneCards")</f>
        <v>GeneCards</v>
      </c>
      <c r="D12247" s="1" t="str">
        <f>HYPERLINK("http://genome-euro.ucsc.edu/cgi-bin/hgTracks?position=208183_at","UCSC")</f>
        <v>UCSC</v>
      </c>
      <c r="E12247" s="1" t="str">
        <f>HYPERLINK("http://www.ncbi.nlm.nih.gov/gene/?term=TACR3","NCBI")</f>
        <v>NCBI</v>
      </c>
      <c r="F12247">
        <v>0.36</v>
      </c>
      <c r="G12247">
        <v>0.49</v>
      </c>
      <c r="H12247" s="1" t="str">
        <f>HYPERLINK("http://www.weizmann.ac.il/complex/compphys/software/geview/data/figures/208183_at.png","Figure")</f>
        <v>Figure</v>
      </c>
      <c r="I12247">
        <v>1.02</v>
      </c>
      <c r="J12247">
        <v>0.47</v>
      </c>
      <c r="K12247">
        <v>1.02</v>
      </c>
      <c r="L12247">
        <v>0.38</v>
      </c>
      <c r="M12247">
        <v>1</v>
      </c>
      <c r="N12247">
        <v>1</v>
      </c>
    </row>
    <row r="12248" spans="1:14" x14ac:dyDescent="0.25">
      <c r="A12248" t="s">
        <v>21074</v>
      </c>
      <c r="B12248" t="s">
        <v>21075</v>
      </c>
      <c r="C12248" s="1" t="str">
        <f>HYPERLINK("http://www.genecards.org/cgi-bin/carddisp.pl?gene=DAZ1 /// DAZ2 /// DAZ3 /// DAZ4","GeneCards")</f>
        <v>GeneCards</v>
      </c>
      <c r="D12248" s="1" t="str">
        <f>HYPERLINK("http://genome-euro.ucsc.edu/cgi-bin/hgTracks?position=208281_x_at","UCSC")</f>
        <v>UCSC</v>
      </c>
      <c r="E12248" s="1" t="str">
        <f>HYPERLINK("http://www.ncbi.nlm.nih.gov/gene/?term=DAZ1 /// DAZ2 /// DAZ3 /// DAZ4","NCBI")</f>
        <v>NCBI</v>
      </c>
      <c r="F12248">
        <v>0.35</v>
      </c>
      <c r="G12248">
        <v>0.49</v>
      </c>
      <c r="H12248" s="1" t="str">
        <f>HYPERLINK("http://www.weizmann.ac.il/complex/compphys/software/geview/data/figures/208281_x_at.png","Figure")</f>
        <v>Figure</v>
      </c>
      <c r="I12248">
        <v>0.97399999999999998</v>
      </c>
      <c r="J12248">
        <v>0.34</v>
      </c>
      <c r="K12248">
        <v>0.99299999999999999</v>
      </c>
      <c r="L12248">
        <v>0.9</v>
      </c>
      <c r="M12248">
        <v>1.02</v>
      </c>
      <c r="N12248">
        <v>0.5</v>
      </c>
    </row>
    <row r="12249" spans="1:14" x14ac:dyDescent="0.25">
      <c r="A12249" t="s">
        <v>21076</v>
      </c>
      <c r="B12249" t="s">
        <v>21077</v>
      </c>
      <c r="C12249" s="1" t="str">
        <f>HYPERLINK("http://www.genecards.org/cgi-bin/carddisp.pl?gene=POU3F1","GeneCards")</f>
        <v>GeneCards</v>
      </c>
      <c r="D12249" s="1" t="str">
        <f>HYPERLINK("http://genome-euro.ucsc.edu/cgi-bin/hgTracks?position=208345_s_at","UCSC")</f>
        <v>UCSC</v>
      </c>
      <c r="E12249" s="1" t="str">
        <f>HYPERLINK("http://www.ncbi.nlm.nih.gov/gene/?term=POU3F1","NCBI")</f>
        <v>NCBI</v>
      </c>
      <c r="F12249">
        <v>0.36</v>
      </c>
      <c r="G12249">
        <v>0.49</v>
      </c>
      <c r="H12249" s="1" t="str">
        <f>HYPERLINK("http://www.weizmann.ac.il/complex/compphys/software/geview/data/figures/208345_s_at.png","Figure")</f>
        <v>Figure</v>
      </c>
      <c r="I12249">
        <v>1</v>
      </c>
      <c r="J12249">
        <v>0.47</v>
      </c>
      <c r="K12249">
        <v>1</v>
      </c>
      <c r="L12249">
        <v>0.38</v>
      </c>
      <c r="M12249">
        <v>1</v>
      </c>
      <c r="N12249">
        <v>1</v>
      </c>
    </row>
    <row r="12250" spans="1:14" x14ac:dyDescent="0.25">
      <c r="A12250" t="s">
        <v>21078</v>
      </c>
      <c r="B12250" t="s">
        <v>21079</v>
      </c>
      <c r="C12250" s="1" t="str">
        <f>HYPERLINK("http://www.genecards.org/cgi-bin/carddisp.pl?gene=RAD50","GeneCards")</f>
        <v>GeneCards</v>
      </c>
      <c r="D12250" s="1" t="str">
        <f>HYPERLINK("http://genome-euro.ucsc.edu/cgi-bin/hgTracks?position=208393_s_at","UCSC")</f>
        <v>UCSC</v>
      </c>
      <c r="E12250" s="1" t="str">
        <f>HYPERLINK("http://www.ncbi.nlm.nih.gov/gene/?term=RAD50","NCBI")</f>
        <v>NCBI</v>
      </c>
      <c r="F12250">
        <v>0.36</v>
      </c>
      <c r="G12250">
        <v>0.49</v>
      </c>
      <c r="H12250" s="1" t="str">
        <f>HYPERLINK("http://www.weizmann.ac.il/complex/compphys/software/geview/data/figures/208393_s_at.png","Figure")</f>
        <v>Figure</v>
      </c>
      <c r="I12250">
        <v>1.02</v>
      </c>
      <c r="J12250">
        <v>0.47</v>
      </c>
      <c r="K12250">
        <v>1.02</v>
      </c>
      <c r="L12250">
        <v>0.38</v>
      </c>
      <c r="M12250">
        <v>1</v>
      </c>
      <c r="N12250">
        <v>1</v>
      </c>
    </row>
    <row r="12251" spans="1:14" x14ac:dyDescent="0.25">
      <c r="A12251" t="s">
        <v>21080</v>
      </c>
      <c r="B12251" t="s">
        <v>21081</v>
      </c>
      <c r="C12251" s="1" t="str">
        <f>HYPERLINK("http://www.genecards.org/cgi-bin/carddisp.pl?gene=DNAJC3","GeneCards")</f>
        <v>GeneCards</v>
      </c>
      <c r="D12251" s="1" t="str">
        <f>HYPERLINK("http://genome-euro.ucsc.edu/cgi-bin/hgTracks?position=208499_s_at","UCSC")</f>
        <v>UCSC</v>
      </c>
      <c r="E12251" s="1" t="str">
        <f>HYPERLINK("http://www.ncbi.nlm.nih.gov/gene/?term=DNAJC3","NCBI")</f>
        <v>NCBI</v>
      </c>
      <c r="F12251">
        <v>0.36</v>
      </c>
      <c r="G12251">
        <v>0.49</v>
      </c>
      <c r="H12251" s="1" t="str">
        <f>HYPERLINK("http://www.weizmann.ac.il/complex/compphys/software/geview/data/figures/208499_s_at.png","Figure")</f>
        <v>Figure</v>
      </c>
      <c r="I12251">
        <v>1</v>
      </c>
      <c r="J12251">
        <v>1</v>
      </c>
      <c r="K12251">
        <v>0.90500000000000003</v>
      </c>
      <c r="L12251">
        <v>0.43</v>
      </c>
      <c r="M12251">
        <v>0.90500000000000003</v>
      </c>
      <c r="N12251">
        <v>0.47</v>
      </c>
    </row>
    <row r="12252" spans="1:14" x14ac:dyDescent="0.25">
      <c r="A12252" t="s">
        <v>21082</v>
      </c>
      <c r="B12252" t="s">
        <v>21083</v>
      </c>
      <c r="C12252" s="1" t="str">
        <f>HYPERLINK("http://www.genecards.org/cgi-bin/carddisp.pl?gene=ABCC9","GeneCards")</f>
        <v>GeneCards</v>
      </c>
      <c r="D12252" s="1" t="str">
        <f>HYPERLINK("http://genome-euro.ucsc.edu/cgi-bin/hgTracks?position=208562_s_at","UCSC")</f>
        <v>UCSC</v>
      </c>
      <c r="E12252" s="1" t="str">
        <f>HYPERLINK("http://www.ncbi.nlm.nih.gov/gene/?term=ABCC9","NCBI")</f>
        <v>NCBI</v>
      </c>
      <c r="F12252">
        <v>0.36</v>
      </c>
      <c r="G12252">
        <v>0.49</v>
      </c>
      <c r="H12252" s="1" t="str">
        <f>HYPERLINK("http://www.weizmann.ac.il/complex/compphys/software/geview/data/figures/208562_s_at.png","Figure")</f>
        <v>Figure</v>
      </c>
      <c r="I12252">
        <v>1.01</v>
      </c>
      <c r="J12252">
        <v>0.47</v>
      </c>
      <c r="K12252">
        <v>1.01</v>
      </c>
      <c r="L12252">
        <v>0.38</v>
      </c>
      <c r="M12252">
        <v>1</v>
      </c>
      <c r="N12252">
        <v>1</v>
      </c>
    </row>
    <row r="12253" spans="1:14" x14ac:dyDescent="0.25">
      <c r="A12253" t="s">
        <v>21084</v>
      </c>
      <c r="B12253" t="s">
        <v>21085</v>
      </c>
      <c r="C12253" s="1" t="str">
        <f>HYPERLINK("http://www.genecards.org/cgi-bin/carddisp.pl?gene=HIST3H3","GeneCards")</f>
        <v>GeneCards</v>
      </c>
      <c r="D12253" s="1" t="str">
        <f>HYPERLINK("http://genome-euro.ucsc.edu/cgi-bin/hgTracks?position=208572_at","UCSC")</f>
        <v>UCSC</v>
      </c>
      <c r="E12253" s="1" t="str">
        <f>HYPERLINK("http://www.ncbi.nlm.nih.gov/gene/?term=HIST3H3","NCBI")</f>
        <v>NCBI</v>
      </c>
      <c r="F12253">
        <v>0.36</v>
      </c>
      <c r="G12253">
        <v>0.49</v>
      </c>
      <c r="H12253" s="1" t="str">
        <f>HYPERLINK("http://www.weizmann.ac.il/complex/compphys/software/geview/data/figures/208572_at.png","Figure")</f>
        <v>Figure</v>
      </c>
      <c r="I12253">
        <v>1</v>
      </c>
      <c r="J12253">
        <v>0.47</v>
      </c>
      <c r="K12253">
        <v>1</v>
      </c>
      <c r="L12253">
        <v>0.38</v>
      </c>
      <c r="M12253">
        <v>1</v>
      </c>
      <c r="N12253">
        <v>1</v>
      </c>
    </row>
    <row r="12254" spans="1:14" x14ac:dyDescent="0.25">
      <c r="A12254" t="s">
        <v>21086</v>
      </c>
      <c r="B12254" t="s">
        <v>21087</v>
      </c>
      <c r="C12254" s="1" t="str">
        <f>HYPERLINK("http://www.genecards.org/cgi-bin/carddisp.pl?gene=LILRA6","GeneCards")</f>
        <v>GeneCards</v>
      </c>
      <c r="D12254" s="1" t="str">
        <f>HYPERLINK("http://genome-euro.ucsc.edu/cgi-bin/hgTracks?position=208594_x_at","UCSC")</f>
        <v>UCSC</v>
      </c>
      <c r="E12254" s="1" t="str">
        <f>HYPERLINK("http://www.ncbi.nlm.nih.gov/gene/?term=LILRA6","NCBI")</f>
        <v>NCBI</v>
      </c>
      <c r="F12254">
        <v>0.35</v>
      </c>
      <c r="G12254">
        <v>0.49</v>
      </c>
      <c r="H12254" s="1" t="str">
        <f>HYPERLINK("http://www.weizmann.ac.il/complex/compphys/software/geview/data/figures/208594_x_at.png","Figure")</f>
        <v>Figure</v>
      </c>
      <c r="I12254">
        <v>1.19</v>
      </c>
      <c r="J12254">
        <v>0.33</v>
      </c>
      <c r="K12254">
        <v>1.1000000000000001</v>
      </c>
      <c r="L12254">
        <v>0.6</v>
      </c>
      <c r="M12254">
        <v>0.93100000000000005</v>
      </c>
      <c r="N12254">
        <v>0.79</v>
      </c>
    </row>
    <row r="12255" spans="1:14" x14ac:dyDescent="0.25">
      <c r="A12255" t="s">
        <v>21088</v>
      </c>
      <c r="B12255" t="s">
        <v>6858</v>
      </c>
      <c r="C12255" s="1" t="str">
        <f>HYPERLINK("http://www.genecards.org/cgi-bin/carddisp.pl?gene=SAP18","GeneCards")</f>
        <v>GeneCards</v>
      </c>
      <c r="D12255" s="1" t="str">
        <f>HYPERLINK("http://genome-euro.ucsc.edu/cgi-bin/hgTracks?position=208741_at","UCSC")</f>
        <v>UCSC</v>
      </c>
      <c r="E12255" s="1" t="str">
        <f>HYPERLINK("http://www.ncbi.nlm.nih.gov/gene/?term=SAP18","NCBI")</f>
        <v>NCBI</v>
      </c>
      <c r="F12255">
        <v>0.35</v>
      </c>
      <c r="G12255">
        <v>0.49</v>
      </c>
      <c r="H12255" s="1" t="str">
        <f>HYPERLINK("http://www.weizmann.ac.il/complex/compphys/software/geview/data/figures/208741_at.png","Figure")</f>
        <v>Figure</v>
      </c>
      <c r="I12255">
        <v>0.995</v>
      </c>
      <c r="J12255">
        <v>1</v>
      </c>
      <c r="K12255">
        <v>1.1399999999999999</v>
      </c>
      <c r="L12255">
        <v>0.44</v>
      </c>
      <c r="M12255">
        <v>1.1399999999999999</v>
      </c>
      <c r="N12255">
        <v>0.46</v>
      </c>
    </row>
    <row r="12256" spans="1:14" x14ac:dyDescent="0.25">
      <c r="A12256" t="s">
        <v>21089</v>
      </c>
      <c r="B12256" t="s">
        <v>21090</v>
      </c>
      <c r="C12256" s="1" t="str">
        <f>HYPERLINK("http://www.genecards.org/cgi-bin/carddisp.pl?gene=C1orf63","GeneCards")</f>
        <v>GeneCards</v>
      </c>
      <c r="D12256" s="1" t="str">
        <f>HYPERLINK("http://genome-euro.ucsc.edu/cgi-bin/hgTracks?position=209007_s_at","UCSC")</f>
        <v>UCSC</v>
      </c>
      <c r="E12256" s="1" t="str">
        <f>HYPERLINK("http://www.ncbi.nlm.nih.gov/gene/?term=C1orf63","NCBI")</f>
        <v>NCBI</v>
      </c>
      <c r="F12256">
        <v>0.35</v>
      </c>
      <c r="G12256">
        <v>0.49</v>
      </c>
      <c r="H12256" s="1" t="str">
        <f>HYPERLINK("http://www.weizmann.ac.il/complex/compphys/software/geview/data/figures/209007_s_at.png","Figure")</f>
        <v>Figure</v>
      </c>
      <c r="I12256">
        <v>0.70399999999999996</v>
      </c>
      <c r="J12256">
        <v>0.32</v>
      </c>
      <c r="K12256">
        <v>0.84099999999999997</v>
      </c>
      <c r="L12256">
        <v>0.68</v>
      </c>
      <c r="M12256">
        <v>1.19</v>
      </c>
      <c r="N12256">
        <v>0.7</v>
      </c>
    </row>
    <row r="12257" spans="1:14" x14ac:dyDescent="0.25">
      <c r="A12257" t="s">
        <v>21091</v>
      </c>
      <c r="B12257" t="s">
        <v>21092</v>
      </c>
      <c r="C12257" s="1" t="str">
        <f>HYPERLINK("http://www.genecards.org/cgi-bin/carddisp.pl?gene=TSPAN1","GeneCards")</f>
        <v>GeneCards</v>
      </c>
      <c r="D12257" s="1" t="str">
        <f>HYPERLINK("http://genome-euro.ucsc.edu/cgi-bin/hgTracks?position=209114_at","UCSC")</f>
        <v>UCSC</v>
      </c>
      <c r="E12257" s="1" t="str">
        <f>HYPERLINK("http://www.ncbi.nlm.nih.gov/gene/?term=TSPAN1","NCBI")</f>
        <v>NCBI</v>
      </c>
      <c r="F12257">
        <v>0.35</v>
      </c>
      <c r="G12257">
        <v>0.49</v>
      </c>
      <c r="H12257" s="1" t="str">
        <f>HYPERLINK("http://www.weizmann.ac.il/complex/compphys/software/geview/data/figures/209114_at.png","Figure")</f>
        <v>Figure</v>
      </c>
      <c r="I12257">
        <v>1.1200000000000001</v>
      </c>
      <c r="J12257">
        <v>0.46</v>
      </c>
      <c r="K12257">
        <v>0.99</v>
      </c>
      <c r="L12257">
        <v>0.99</v>
      </c>
      <c r="M12257">
        <v>0.88400000000000001</v>
      </c>
      <c r="N12257">
        <v>0.35</v>
      </c>
    </row>
    <row r="12258" spans="1:14" x14ac:dyDescent="0.25">
      <c r="A12258" t="s">
        <v>21093</v>
      </c>
      <c r="B12258" t="s">
        <v>21094</v>
      </c>
      <c r="C12258" s="1" t="str">
        <f>HYPERLINK("http://www.genecards.org/cgi-bin/carddisp.pl?gene=PLIN2","GeneCards")</f>
        <v>GeneCards</v>
      </c>
      <c r="D12258" s="1" t="str">
        <f>HYPERLINK("http://genome-euro.ucsc.edu/cgi-bin/hgTracks?position=209122_at","UCSC")</f>
        <v>UCSC</v>
      </c>
      <c r="E12258" s="1" t="str">
        <f>HYPERLINK("http://www.ncbi.nlm.nih.gov/gene/?term=PLIN2","NCBI")</f>
        <v>NCBI</v>
      </c>
      <c r="F12258">
        <v>0.35</v>
      </c>
      <c r="G12258">
        <v>0.49</v>
      </c>
      <c r="H12258" s="1" t="str">
        <f>HYPERLINK("http://www.weizmann.ac.il/complex/compphys/software/geview/data/figures/209122_at.png","Figure")</f>
        <v>Figure</v>
      </c>
      <c r="I12258">
        <v>0.67500000000000004</v>
      </c>
      <c r="J12258">
        <v>0.46</v>
      </c>
      <c r="K12258">
        <v>0.68100000000000005</v>
      </c>
      <c r="L12258">
        <v>0.38</v>
      </c>
      <c r="M12258">
        <v>1.01</v>
      </c>
      <c r="N12258">
        <v>1</v>
      </c>
    </row>
    <row r="12259" spans="1:14" x14ac:dyDescent="0.25">
      <c r="A12259" t="s">
        <v>21095</v>
      </c>
      <c r="B12259" t="s">
        <v>2646</v>
      </c>
      <c r="C12259" s="1" t="str">
        <f>HYPERLINK("http://www.genecards.org/cgi-bin/carddisp.pl?gene=TCF3","GeneCards")</f>
        <v>GeneCards</v>
      </c>
      <c r="D12259" s="1" t="str">
        <f>HYPERLINK("http://genome-euro.ucsc.edu/cgi-bin/hgTracks?position=209151_x_at","UCSC")</f>
        <v>UCSC</v>
      </c>
      <c r="E12259" s="1" t="str">
        <f>HYPERLINK("http://www.ncbi.nlm.nih.gov/gene/?term=TCF3","NCBI")</f>
        <v>NCBI</v>
      </c>
      <c r="F12259">
        <v>0.36</v>
      </c>
      <c r="G12259">
        <v>0.49</v>
      </c>
      <c r="H12259" s="1" t="str">
        <f>HYPERLINK("http://www.weizmann.ac.il/complex/compphys/software/geview/data/figures/209151_x_at.png","Figure")</f>
        <v>Figure</v>
      </c>
      <c r="I12259">
        <v>1.03</v>
      </c>
      <c r="J12259">
        <v>0.47</v>
      </c>
      <c r="K12259">
        <v>1.03</v>
      </c>
      <c r="L12259">
        <v>0.38</v>
      </c>
      <c r="M12259">
        <v>1</v>
      </c>
      <c r="N12259">
        <v>1</v>
      </c>
    </row>
    <row r="12260" spans="1:14" x14ac:dyDescent="0.25">
      <c r="A12260" t="s">
        <v>21096</v>
      </c>
      <c r="B12260" t="s">
        <v>21097</v>
      </c>
      <c r="C12260" s="1" t="str">
        <f>HYPERLINK("http://www.genecards.org/cgi-bin/carddisp.pl?gene=TEAD3","GeneCards")</f>
        <v>GeneCards</v>
      </c>
      <c r="D12260" s="1" t="str">
        <f>HYPERLINK("http://genome-euro.ucsc.edu/cgi-bin/hgTracks?position=209454_s_at","UCSC")</f>
        <v>UCSC</v>
      </c>
      <c r="E12260" s="1" t="str">
        <f>HYPERLINK("http://www.ncbi.nlm.nih.gov/gene/?term=TEAD3","NCBI")</f>
        <v>NCBI</v>
      </c>
      <c r="F12260">
        <v>0.36</v>
      </c>
      <c r="G12260">
        <v>0.49</v>
      </c>
      <c r="H12260" s="1" t="str">
        <f>HYPERLINK("http://www.weizmann.ac.il/complex/compphys/software/geview/data/figures/209454_s_at.png","Figure")</f>
        <v>Figure</v>
      </c>
      <c r="I12260">
        <v>1.01</v>
      </c>
      <c r="J12260">
        <v>0.47</v>
      </c>
      <c r="K12260">
        <v>1.01</v>
      </c>
      <c r="L12260">
        <v>0.38</v>
      </c>
      <c r="M12260">
        <v>1</v>
      </c>
      <c r="N12260">
        <v>1</v>
      </c>
    </row>
    <row r="12261" spans="1:14" x14ac:dyDescent="0.25">
      <c r="A12261" t="s">
        <v>21098</v>
      </c>
      <c r="B12261" t="s">
        <v>21099</v>
      </c>
      <c r="C12261" s="1" t="str">
        <f>HYPERLINK("http://www.genecards.org/cgi-bin/carddisp.pl?gene=AMOT","GeneCards")</f>
        <v>GeneCards</v>
      </c>
      <c r="D12261" s="1" t="str">
        <f>HYPERLINK("http://genome-euro.ucsc.edu/cgi-bin/hgTracks?position=209521_s_at","UCSC")</f>
        <v>UCSC</v>
      </c>
      <c r="E12261" s="1" t="str">
        <f>HYPERLINK("http://www.ncbi.nlm.nih.gov/gene/?term=AMOT","NCBI")</f>
        <v>NCBI</v>
      </c>
      <c r="F12261">
        <v>0.36</v>
      </c>
      <c r="G12261">
        <v>0.49</v>
      </c>
      <c r="H12261" s="1" t="str">
        <f>HYPERLINK("http://www.weizmann.ac.il/complex/compphys/software/geview/data/figures/209521_s_at.png","Figure")</f>
        <v>Figure</v>
      </c>
      <c r="I12261">
        <v>1</v>
      </c>
      <c r="J12261">
        <v>0.47</v>
      </c>
      <c r="K12261">
        <v>1</v>
      </c>
      <c r="L12261">
        <v>0.38</v>
      </c>
      <c r="M12261">
        <v>1</v>
      </c>
      <c r="N12261">
        <v>1</v>
      </c>
    </row>
    <row r="12262" spans="1:14" x14ac:dyDescent="0.25">
      <c r="A12262" t="s">
        <v>21100</v>
      </c>
      <c r="B12262" t="s">
        <v>3516</v>
      </c>
      <c r="C12262" s="1" t="str">
        <f>HYPERLINK("http://www.genecards.org/cgi-bin/carddisp.pl?gene=BMP7","GeneCards")</f>
        <v>GeneCards</v>
      </c>
      <c r="D12262" s="1" t="str">
        <f>HYPERLINK("http://genome-euro.ucsc.edu/cgi-bin/hgTracks?position=209591_s_at","UCSC")</f>
        <v>UCSC</v>
      </c>
      <c r="E12262" s="1" t="str">
        <f>HYPERLINK("http://www.ncbi.nlm.nih.gov/gene/?term=BMP7","NCBI")</f>
        <v>NCBI</v>
      </c>
      <c r="F12262">
        <v>0.36</v>
      </c>
      <c r="G12262">
        <v>0.49</v>
      </c>
      <c r="H12262" s="1" t="str">
        <f>HYPERLINK("http://www.weizmann.ac.il/complex/compphys/software/geview/data/figures/209591_s_at.png","Figure")</f>
        <v>Figure</v>
      </c>
      <c r="I12262">
        <v>1</v>
      </c>
      <c r="J12262">
        <v>0.47</v>
      </c>
      <c r="K12262">
        <v>1</v>
      </c>
      <c r="L12262">
        <v>0.38</v>
      </c>
      <c r="M12262">
        <v>1</v>
      </c>
      <c r="N12262">
        <v>1</v>
      </c>
    </row>
    <row r="12263" spans="1:14" x14ac:dyDescent="0.25">
      <c r="A12263" t="s">
        <v>21101</v>
      </c>
      <c r="B12263" t="s">
        <v>21102</v>
      </c>
      <c r="C12263" s="1" t="str">
        <f>HYPERLINK("http://www.genecards.org/cgi-bin/carddisp.pl?gene=KIAA0947","GeneCards")</f>
        <v>GeneCards</v>
      </c>
      <c r="D12263" s="1" t="str">
        <f>HYPERLINK("http://genome-euro.ucsc.edu/cgi-bin/hgTracks?position=209654_at","UCSC")</f>
        <v>UCSC</v>
      </c>
      <c r="E12263" s="1" t="str">
        <f>HYPERLINK("http://www.ncbi.nlm.nih.gov/gene/?term=KIAA0947","NCBI")</f>
        <v>NCBI</v>
      </c>
      <c r="F12263">
        <v>0.35</v>
      </c>
      <c r="G12263">
        <v>0.49</v>
      </c>
      <c r="H12263" s="1" t="str">
        <f>HYPERLINK("http://www.weizmann.ac.il/complex/compphys/software/geview/data/figures/209654_at.png","Figure")</f>
        <v>Figure</v>
      </c>
      <c r="I12263">
        <v>0.93</v>
      </c>
      <c r="J12263">
        <v>0.95</v>
      </c>
      <c r="K12263">
        <v>0.73799999999999999</v>
      </c>
      <c r="L12263">
        <v>0.36</v>
      </c>
      <c r="M12263">
        <v>0.79300000000000004</v>
      </c>
      <c r="N12263">
        <v>0.59</v>
      </c>
    </row>
    <row r="12264" spans="1:14" x14ac:dyDescent="0.25">
      <c r="A12264" t="s">
        <v>21103</v>
      </c>
      <c r="B12264" t="s">
        <v>10407</v>
      </c>
      <c r="C12264" s="1" t="str">
        <f>HYPERLINK("http://www.genecards.org/cgi-bin/carddisp.pl?gene=DOK4","GeneCards")</f>
        <v>GeneCards</v>
      </c>
      <c r="D12264" s="1" t="str">
        <f>HYPERLINK("http://genome-euro.ucsc.edu/cgi-bin/hgTracks?position=209691_s_at","UCSC")</f>
        <v>UCSC</v>
      </c>
      <c r="E12264" s="1" t="str">
        <f>HYPERLINK("http://www.ncbi.nlm.nih.gov/gene/?term=DOK4","NCBI")</f>
        <v>NCBI</v>
      </c>
      <c r="F12264">
        <v>0.36</v>
      </c>
      <c r="G12264">
        <v>0.49</v>
      </c>
      <c r="H12264" s="1" t="str">
        <f>HYPERLINK("http://www.weizmann.ac.il/complex/compphys/software/geview/data/figures/209691_s_at.png","Figure")</f>
        <v>Figure</v>
      </c>
      <c r="I12264">
        <v>1.01</v>
      </c>
      <c r="J12264">
        <v>0.47</v>
      </c>
      <c r="K12264">
        <v>1.01</v>
      </c>
      <c r="L12264">
        <v>0.38</v>
      </c>
      <c r="M12264">
        <v>1</v>
      </c>
      <c r="N12264">
        <v>1</v>
      </c>
    </row>
    <row r="12265" spans="1:14" x14ac:dyDescent="0.25">
      <c r="A12265" t="s">
        <v>21104</v>
      </c>
      <c r="B12265" t="s">
        <v>21105</v>
      </c>
      <c r="C12265" s="1" t="str">
        <f>HYPERLINK("http://www.genecards.org/cgi-bin/carddisp.pl?gene=TGFB2","GeneCards")</f>
        <v>GeneCards</v>
      </c>
      <c r="D12265" s="1" t="str">
        <f>HYPERLINK("http://genome-euro.ucsc.edu/cgi-bin/hgTracks?position=209908_s_at","UCSC")</f>
        <v>UCSC</v>
      </c>
      <c r="E12265" s="1" t="str">
        <f>HYPERLINK("http://www.ncbi.nlm.nih.gov/gene/?term=TGFB2","NCBI")</f>
        <v>NCBI</v>
      </c>
      <c r="F12265">
        <v>0.36</v>
      </c>
      <c r="G12265">
        <v>0.49</v>
      </c>
      <c r="H12265" s="1" t="str">
        <f>HYPERLINK("http://www.weizmann.ac.il/complex/compphys/software/geview/data/figures/209908_s_at.png","Figure")</f>
        <v>Figure</v>
      </c>
      <c r="I12265">
        <v>1.03</v>
      </c>
      <c r="J12265">
        <v>0.47</v>
      </c>
      <c r="K12265">
        <v>1.03</v>
      </c>
      <c r="L12265">
        <v>0.38</v>
      </c>
      <c r="M12265">
        <v>1</v>
      </c>
      <c r="N12265">
        <v>1</v>
      </c>
    </row>
    <row r="12266" spans="1:14" x14ac:dyDescent="0.25">
      <c r="A12266" t="s">
        <v>21106</v>
      </c>
      <c r="B12266" t="s">
        <v>11332</v>
      </c>
      <c r="C12266" s="1" t="str">
        <f>HYPERLINK("http://www.genecards.org/cgi-bin/carddisp.pl?gene=ABCA2","GeneCards")</f>
        <v>GeneCards</v>
      </c>
      <c r="D12266" s="1" t="str">
        <f>HYPERLINK("http://genome-euro.ucsc.edu/cgi-bin/hgTracks?position=210099_at","UCSC")</f>
        <v>UCSC</v>
      </c>
      <c r="E12266" s="1" t="str">
        <f>HYPERLINK("http://www.ncbi.nlm.nih.gov/gene/?term=ABCA2","NCBI")</f>
        <v>NCBI</v>
      </c>
      <c r="F12266">
        <v>0.36</v>
      </c>
      <c r="G12266">
        <v>0.49</v>
      </c>
      <c r="H12266" s="1" t="str">
        <f>HYPERLINK("http://www.weizmann.ac.il/complex/compphys/software/geview/data/figures/210099_at.png","Figure")</f>
        <v>Figure</v>
      </c>
      <c r="I12266">
        <v>1</v>
      </c>
      <c r="J12266">
        <v>0.47</v>
      </c>
      <c r="K12266">
        <v>1</v>
      </c>
      <c r="L12266">
        <v>0.38</v>
      </c>
      <c r="M12266">
        <v>1</v>
      </c>
      <c r="N12266">
        <v>1</v>
      </c>
    </row>
    <row r="12267" spans="1:14" x14ac:dyDescent="0.25">
      <c r="A12267" t="s">
        <v>21107</v>
      </c>
      <c r="B12267" t="s">
        <v>11787</v>
      </c>
      <c r="C12267" s="1" t="str">
        <f>HYPERLINK("http://www.genecards.org/cgi-bin/carddisp.pl?gene=KCNJ15","GeneCards")</f>
        <v>GeneCards</v>
      </c>
      <c r="D12267" s="1" t="str">
        <f>HYPERLINK("http://genome-euro.ucsc.edu/cgi-bin/hgTracks?position=210119_at","UCSC")</f>
        <v>UCSC</v>
      </c>
      <c r="E12267" s="1" t="str">
        <f>HYPERLINK("http://www.ncbi.nlm.nih.gov/gene/?term=KCNJ15","NCBI")</f>
        <v>NCBI</v>
      </c>
      <c r="F12267">
        <v>0.36</v>
      </c>
      <c r="G12267">
        <v>0.49</v>
      </c>
      <c r="H12267" s="1" t="str">
        <f>HYPERLINK("http://www.weizmann.ac.il/complex/compphys/software/geview/data/figures/210119_at.png","Figure")</f>
        <v>Figure</v>
      </c>
      <c r="I12267">
        <v>1.36</v>
      </c>
      <c r="J12267">
        <v>0.47</v>
      </c>
      <c r="K12267">
        <v>1.36</v>
      </c>
      <c r="L12267">
        <v>0.38</v>
      </c>
      <c r="M12267">
        <v>1</v>
      </c>
      <c r="N12267">
        <v>1</v>
      </c>
    </row>
    <row r="12268" spans="1:14" x14ac:dyDescent="0.25">
      <c r="A12268" t="s">
        <v>21108</v>
      </c>
      <c r="B12268" t="s">
        <v>21109</v>
      </c>
      <c r="C12268" s="1" t="str">
        <f>HYPERLINK("http://www.genecards.org/cgi-bin/carddisp.pl?gene=FGF5","GeneCards")</f>
        <v>GeneCards</v>
      </c>
      <c r="D12268" s="1" t="str">
        <f>HYPERLINK("http://genome-euro.ucsc.edu/cgi-bin/hgTracks?position=210310_s_at","UCSC")</f>
        <v>UCSC</v>
      </c>
      <c r="E12268" s="1" t="str">
        <f>HYPERLINK("http://www.ncbi.nlm.nih.gov/gene/?term=FGF5","NCBI")</f>
        <v>NCBI</v>
      </c>
      <c r="F12268">
        <v>0.36</v>
      </c>
      <c r="G12268">
        <v>0.49</v>
      </c>
      <c r="H12268" s="1" t="str">
        <f>HYPERLINK("http://www.weizmann.ac.il/complex/compphys/software/geview/data/figures/210310_s_at.png","Figure")</f>
        <v>Figure</v>
      </c>
      <c r="I12268">
        <v>1.02</v>
      </c>
      <c r="J12268">
        <v>0.47</v>
      </c>
      <c r="K12268">
        <v>1.02</v>
      </c>
      <c r="L12268">
        <v>0.38</v>
      </c>
      <c r="M12268">
        <v>1</v>
      </c>
      <c r="N12268">
        <v>1</v>
      </c>
    </row>
    <row r="12269" spans="1:14" x14ac:dyDescent="0.25">
      <c r="A12269" t="s">
        <v>21110</v>
      </c>
      <c r="B12269" t="s">
        <v>8605</v>
      </c>
      <c r="C12269" s="1" t="str">
        <f>HYPERLINK("http://www.genecards.org/cgi-bin/carddisp.pl?gene=SGCD","GeneCards")</f>
        <v>GeneCards</v>
      </c>
      <c r="D12269" s="1" t="str">
        <f>HYPERLINK("http://genome-euro.ucsc.edu/cgi-bin/hgTracks?position=210329_s_at","UCSC")</f>
        <v>UCSC</v>
      </c>
      <c r="E12269" s="1" t="str">
        <f>HYPERLINK("http://www.ncbi.nlm.nih.gov/gene/?term=SGCD","NCBI")</f>
        <v>NCBI</v>
      </c>
      <c r="F12269">
        <v>0.35</v>
      </c>
      <c r="G12269">
        <v>0.49</v>
      </c>
      <c r="H12269" s="1" t="str">
        <f>HYPERLINK("http://www.weizmann.ac.il/complex/compphys/software/geview/data/figures/210329_s_at.png","Figure")</f>
        <v>Figure</v>
      </c>
      <c r="I12269">
        <v>1.05</v>
      </c>
      <c r="J12269">
        <v>0.34</v>
      </c>
      <c r="K12269">
        <v>1.01</v>
      </c>
      <c r="L12269">
        <v>0.92</v>
      </c>
      <c r="M12269">
        <v>0.96</v>
      </c>
      <c r="N12269">
        <v>0.48</v>
      </c>
    </row>
    <row r="12270" spans="1:14" x14ac:dyDescent="0.25">
      <c r="A12270" t="s">
        <v>21111</v>
      </c>
      <c r="B12270" t="s">
        <v>5092</v>
      </c>
      <c r="C12270" s="1" t="str">
        <f>HYPERLINK("http://www.genecards.org/cgi-bin/carddisp.pl?gene=CPNE6","GeneCards")</f>
        <v>GeneCards</v>
      </c>
      <c r="D12270" s="1" t="str">
        <f>HYPERLINK("http://genome-euro.ucsc.edu/cgi-bin/hgTracks?position=210408_s_at","UCSC")</f>
        <v>UCSC</v>
      </c>
      <c r="E12270" s="1" t="str">
        <f>HYPERLINK("http://www.ncbi.nlm.nih.gov/gene/?term=CPNE6","NCBI")</f>
        <v>NCBI</v>
      </c>
      <c r="F12270">
        <v>0.36</v>
      </c>
      <c r="G12270">
        <v>0.49</v>
      </c>
      <c r="H12270" s="1" t="str">
        <f>HYPERLINK("http://www.weizmann.ac.il/complex/compphys/software/geview/data/figures/210408_s_at.png","Figure")</f>
        <v>Figure</v>
      </c>
      <c r="I12270">
        <v>1.01</v>
      </c>
      <c r="J12270">
        <v>0.47</v>
      </c>
      <c r="K12270">
        <v>1.01</v>
      </c>
      <c r="L12270">
        <v>0.38</v>
      </c>
      <c r="M12270">
        <v>1</v>
      </c>
      <c r="N12270">
        <v>1</v>
      </c>
    </row>
    <row r="12271" spans="1:14" x14ac:dyDescent="0.25">
      <c r="A12271" t="s">
        <v>21112</v>
      </c>
      <c r="B12271" t="s">
        <v>11595</v>
      </c>
      <c r="C12271" s="1" t="str">
        <f>HYPERLINK("http://www.genecards.org/cgi-bin/carddisp.pl?gene=CLEC4M","GeneCards")</f>
        <v>GeneCards</v>
      </c>
      <c r="D12271" s="1" t="str">
        <f>HYPERLINK("http://genome-euro.ucsc.edu/cgi-bin/hgTracks?position=210481_s_at","UCSC")</f>
        <v>UCSC</v>
      </c>
      <c r="E12271" s="1" t="str">
        <f>HYPERLINK("http://www.ncbi.nlm.nih.gov/gene/?term=CLEC4M","NCBI")</f>
        <v>NCBI</v>
      </c>
      <c r="F12271">
        <v>0.36</v>
      </c>
      <c r="G12271">
        <v>0.49</v>
      </c>
      <c r="H12271" s="1" t="str">
        <f>HYPERLINK("http://www.weizmann.ac.il/complex/compphys/software/geview/data/figures/210481_s_at.png","Figure")</f>
        <v>Figure</v>
      </c>
      <c r="I12271">
        <v>1</v>
      </c>
      <c r="J12271">
        <v>0.47</v>
      </c>
      <c r="K12271">
        <v>1</v>
      </c>
      <c r="L12271">
        <v>0.38</v>
      </c>
      <c r="M12271">
        <v>1</v>
      </c>
      <c r="N12271">
        <v>1</v>
      </c>
    </row>
    <row r="12272" spans="1:14" x14ac:dyDescent="0.25">
      <c r="A12272" t="s">
        <v>21113</v>
      </c>
      <c r="B12272" t="s">
        <v>21114</v>
      </c>
      <c r="C12272" s="1" t="str">
        <f>HYPERLINK("http://www.genecards.org/cgi-bin/carddisp.pl?gene=AVIL","GeneCards")</f>
        <v>GeneCards</v>
      </c>
      <c r="D12272" s="1" t="str">
        <f>HYPERLINK("http://genome-euro.ucsc.edu/cgi-bin/hgTracks?position=210507_s_at","UCSC")</f>
        <v>UCSC</v>
      </c>
      <c r="E12272" s="1" t="str">
        <f>HYPERLINK("http://www.ncbi.nlm.nih.gov/gene/?term=AVIL","NCBI")</f>
        <v>NCBI</v>
      </c>
      <c r="F12272">
        <v>0.36</v>
      </c>
      <c r="G12272">
        <v>0.49</v>
      </c>
      <c r="H12272" s="1" t="str">
        <f>HYPERLINK("http://www.weizmann.ac.il/complex/compphys/software/geview/data/figures/210507_s_at.png","Figure")</f>
        <v>Figure</v>
      </c>
      <c r="I12272">
        <v>1</v>
      </c>
      <c r="J12272">
        <v>0.47</v>
      </c>
      <c r="K12272">
        <v>1</v>
      </c>
      <c r="L12272">
        <v>0.38</v>
      </c>
      <c r="M12272">
        <v>1</v>
      </c>
      <c r="N12272">
        <v>1</v>
      </c>
    </row>
    <row r="12273" spans="1:14" x14ac:dyDescent="0.25">
      <c r="A12273" t="s">
        <v>21115</v>
      </c>
      <c r="B12273" t="s">
        <v>21116</v>
      </c>
      <c r="C12273" s="1" t="str">
        <f>HYPERLINK("http://www.genecards.org/cgi-bin/carddisp.pl?gene=SIGLEC9","GeneCards")</f>
        <v>GeneCards</v>
      </c>
      <c r="D12273" s="1" t="str">
        <f>HYPERLINK("http://genome-euro.ucsc.edu/cgi-bin/hgTracks?position=210569_s_at","UCSC")</f>
        <v>UCSC</v>
      </c>
      <c r="E12273" s="1" t="str">
        <f>HYPERLINK("http://www.ncbi.nlm.nih.gov/gene/?term=SIGLEC9","NCBI")</f>
        <v>NCBI</v>
      </c>
      <c r="F12273">
        <v>0.35</v>
      </c>
      <c r="G12273">
        <v>0.49</v>
      </c>
      <c r="H12273" s="1" t="str">
        <f>HYPERLINK("http://www.weizmann.ac.il/complex/compphys/software/geview/data/figures/210569_s_at.png","Figure")</f>
        <v>Figure</v>
      </c>
      <c r="I12273">
        <v>1.1100000000000001</v>
      </c>
      <c r="J12273">
        <v>0.36</v>
      </c>
      <c r="K12273">
        <v>1.02</v>
      </c>
      <c r="L12273">
        <v>0.94</v>
      </c>
      <c r="M12273">
        <v>0.92</v>
      </c>
      <c r="N12273">
        <v>0.46</v>
      </c>
    </row>
    <row r="12274" spans="1:14" x14ac:dyDescent="0.25">
      <c r="A12274" t="s">
        <v>21117</v>
      </c>
      <c r="B12274" t="s">
        <v>21118</v>
      </c>
      <c r="C12274" s="1" t="str">
        <f>HYPERLINK("http://www.genecards.org/cgi-bin/carddisp.pl?gene=LPO","GeneCards")</f>
        <v>GeneCards</v>
      </c>
      <c r="D12274" s="1" t="str">
        <f>HYPERLINK("http://genome-euro.ucsc.edu/cgi-bin/hgTracks?position=210682_at","UCSC")</f>
        <v>UCSC</v>
      </c>
      <c r="E12274" s="1" t="str">
        <f>HYPERLINK("http://www.ncbi.nlm.nih.gov/gene/?term=LPO","NCBI")</f>
        <v>NCBI</v>
      </c>
      <c r="F12274">
        <v>0.35</v>
      </c>
      <c r="G12274">
        <v>0.49</v>
      </c>
      <c r="H12274" s="1" t="str">
        <f>HYPERLINK("http://www.weizmann.ac.il/complex/compphys/software/geview/data/figures/210682_at.png","Figure")</f>
        <v>Figure</v>
      </c>
      <c r="I12274">
        <v>1.0900000000000001</v>
      </c>
      <c r="J12274">
        <v>0.33</v>
      </c>
      <c r="K12274">
        <v>1.03</v>
      </c>
      <c r="L12274">
        <v>0.87</v>
      </c>
      <c r="M12274">
        <v>0.94299999999999995</v>
      </c>
      <c r="N12274">
        <v>0.53</v>
      </c>
    </row>
    <row r="12275" spans="1:14" x14ac:dyDescent="0.25">
      <c r="A12275" t="s">
        <v>21119</v>
      </c>
      <c r="B12275" t="s">
        <v>1680</v>
      </c>
      <c r="C12275" s="1" t="str">
        <f>HYPERLINK("http://www.genecards.org/cgi-bin/carddisp.pl?gene=CACYBP","GeneCards")</f>
        <v>GeneCards</v>
      </c>
      <c r="D12275" s="1" t="str">
        <f>HYPERLINK("http://genome-euro.ucsc.edu/cgi-bin/hgTracks?position=210691_s_at","UCSC")</f>
        <v>UCSC</v>
      </c>
      <c r="E12275" s="1" t="str">
        <f>HYPERLINK("http://www.ncbi.nlm.nih.gov/gene/?term=CACYBP","NCBI")</f>
        <v>NCBI</v>
      </c>
      <c r="F12275">
        <v>0.36</v>
      </c>
      <c r="G12275">
        <v>0.49</v>
      </c>
      <c r="H12275" s="1" t="str">
        <f>HYPERLINK("http://www.weizmann.ac.il/complex/compphys/software/geview/data/figures/210691_s_at.png","Figure")</f>
        <v>Figure</v>
      </c>
      <c r="I12275">
        <v>1.07</v>
      </c>
      <c r="J12275">
        <v>0.47</v>
      </c>
      <c r="K12275">
        <v>1.07</v>
      </c>
      <c r="L12275">
        <v>0.38</v>
      </c>
      <c r="M12275">
        <v>1</v>
      </c>
      <c r="N12275">
        <v>1</v>
      </c>
    </row>
    <row r="12276" spans="1:14" x14ac:dyDescent="0.25">
      <c r="A12276" t="s">
        <v>21120</v>
      </c>
      <c r="B12276" t="s">
        <v>4741</v>
      </c>
      <c r="C12276" s="1" t="str">
        <f>HYPERLINK("http://www.genecards.org/cgi-bin/carddisp.pl?gene=ARNT","GeneCards")</f>
        <v>GeneCards</v>
      </c>
      <c r="D12276" s="1" t="str">
        <f>HYPERLINK("http://genome-euro.ucsc.edu/cgi-bin/hgTracks?position=210828_s_at","UCSC")</f>
        <v>UCSC</v>
      </c>
      <c r="E12276" s="1" t="str">
        <f>HYPERLINK("http://www.ncbi.nlm.nih.gov/gene/?term=ARNT","NCBI")</f>
        <v>NCBI</v>
      </c>
      <c r="F12276">
        <v>0.36</v>
      </c>
      <c r="G12276">
        <v>0.49</v>
      </c>
      <c r="H12276" s="1" t="str">
        <f>HYPERLINK("http://www.weizmann.ac.il/complex/compphys/software/geview/data/figures/210828_s_at.png","Figure")</f>
        <v>Figure</v>
      </c>
      <c r="I12276">
        <v>1.01</v>
      </c>
      <c r="J12276">
        <v>0.47</v>
      </c>
      <c r="K12276">
        <v>1.01</v>
      </c>
      <c r="L12276">
        <v>0.38</v>
      </c>
      <c r="M12276">
        <v>1</v>
      </c>
      <c r="N12276">
        <v>1</v>
      </c>
    </row>
    <row r="12277" spans="1:14" x14ac:dyDescent="0.25">
      <c r="A12277" t="s">
        <v>21121</v>
      </c>
      <c r="B12277" t="s">
        <v>9400</v>
      </c>
      <c r="C12277" s="1" t="str">
        <f>HYPERLINK("http://www.genecards.org/cgi-bin/carddisp.pl?gene=TPM1","GeneCards")</f>
        <v>GeneCards</v>
      </c>
      <c r="D12277" s="1" t="str">
        <f>HYPERLINK("http://genome-euro.ucsc.edu/cgi-bin/hgTracks?position=210986_s_at","UCSC")</f>
        <v>UCSC</v>
      </c>
      <c r="E12277" s="1" t="str">
        <f>HYPERLINK("http://www.ncbi.nlm.nih.gov/gene/?term=TPM1","NCBI")</f>
        <v>NCBI</v>
      </c>
      <c r="F12277">
        <v>0.36</v>
      </c>
      <c r="G12277">
        <v>0.49</v>
      </c>
      <c r="H12277" s="1" t="str">
        <f>HYPERLINK("http://www.weizmann.ac.il/complex/compphys/software/geview/data/figures/210986_s_at.png","Figure")</f>
        <v>Figure</v>
      </c>
      <c r="I12277">
        <v>1.02</v>
      </c>
      <c r="J12277">
        <v>0.47</v>
      </c>
      <c r="K12277">
        <v>1.02</v>
      </c>
      <c r="L12277">
        <v>0.38</v>
      </c>
      <c r="M12277">
        <v>1</v>
      </c>
      <c r="N12277">
        <v>1</v>
      </c>
    </row>
    <row r="12278" spans="1:14" x14ac:dyDescent="0.25">
      <c r="A12278" t="s">
        <v>21122</v>
      </c>
      <c r="B12278" t="s">
        <v>2405</v>
      </c>
      <c r="C12278" s="1" t="str">
        <f>HYPERLINK("http://www.genecards.org/cgi-bin/carddisp.pl?gene=ALDH3B1","GeneCards")</f>
        <v>GeneCards</v>
      </c>
      <c r="D12278" s="1" t="str">
        <f>HYPERLINK("http://genome-euro.ucsc.edu/cgi-bin/hgTracks?position=211004_s_at","UCSC")</f>
        <v>UCSC</v>
      </c>
      <c r="E12278" s="1" t="str">
        <f>HYPERLINK("http://www.ncbi.nlm.nih.gov/gene/?term=ALDH3B1","NCBI")</f>
        <v>NCBI</v>
      </c>
      <c r="F12278">
        <v>0.36</v>
      </c>
      <c r="G12278">
        <v>0.49</v>
      </c>
      <c r="H12278" s="1" t="str">
        <f>HYPERLINK("http://www.weizmann.ac.il/complex/compphys/software/geview/data/figures/211004_s_at.png","Figure")</f>
        <v>Figure</v>
      </c>
      <c r="I12278">
        <v>0.85299999999999998</v>
      </c>
      <c r="J12278">
        <v>0.44</v>
      </c>
      <c r="K12278">
        <v>1</v>
      </c>
      <c r="L12278">
        <v>1</v>
      </c>
      <c r="M12278">
        <v>1.18</v>
      </c>
      <c r="N12278">
        <v>0.37</v>
      </c>
    </row>
    <row r="12279" spans="1:14" x14ac:dyDescent="0.25">
      <c r="A12279" t="s">
        <v>21123</v>
      </c>
      <c r="B12279" t="s">
        <v>4265</v>
      </c>
      <c r="C12279" s="1" t="str">
        <f>HYPERLINK("http://www.genecards.org/cgi-bin/carddisp.pl?gene=TBCD","GeneCards")</f>
        <v>GeneCards</v>
      </c>
      <c r="D12279" s="1" t="str">
        <f>HYPERLINK("http://genome-euro.ucsc.edu/cgi-bin/hgTracks?position=211052_s_at","UCSC")</f>
        <v>UCSC</v>
      </c>
      <c r="E12279" s="1" t="str">
        <f>HYPERLINK("http://www.ncbi.nlm.nih.gov/gene/?term=TBCD","NCBI")</f>
        <v>NCBI</v>
      </c>
      <c r="F12279">
        <v>0.35</v>
      </c>
      <c r="G12279">
        <v>0.49</v>
      </c>
      <c r="H12279" s="1" t="str">
        <f>HYPERLINK("http://www.weizmann.ac.il/complex/compphys/software/geview/data/figures/211052_s_at.png","Figure")</f>
        <v>Figure</v>
      </c>
      <c r="I12279">
        <v>0.97299999999999998</v>
      </c>
      <c r="J12279">
        <v>0.99</v>
      </c>
      <c r="K12279">
        <v>1.27</v>
      </c>
      <c r="L12279">
        <v>0.46</v>
      </c>
      <c r="M12279">
        <v>1.3</v>
      </c>
      <c r="N12279">
        <v>0.43</v>
      </c>
    </row>
    <row r="12280" spans="1:14" x14ac:dyDescent="0.25">
      <c r="A12280" t="s">
        <v>21124</v>
      </c>
      <c r="B12280" t="s">
        <v>16555</v>
      </c>
      <c r="C12280" s="1" t="str">
        <f>HYPERLINK("http://www.genecards.org/cgi-bin/carddisp.pl?gene=NEK2","GeneCards")</f>
        <v>GeneCards</v>
      </c>
      <c r="D12280" s="1" t="str">
        <f>HYPERLINK("http://genome-euro.ucsc.edu/cgi-bin/hgTracks?position=211080_s_at","UCSC")</f>
        <v>UCSC</v>
      </c>
      <c r="E12280" s="1" t="str">
        <f>HYPERLINK("http://www.ncbi.nlm.nih.gov/gene/?term=NEK2","NCBI")</f>
        <v>NCBI</v>
      </c>
      <c r="F12280">
        <v>0.36</v>
      </c>
      <c r="G12280">
        <v>0.49</v>
      </c>
      <c r="H12280" s="1" t="str">
        <f>HYPERLINK("http://www.weizmann.ac.il/complex/compphys/software/geview/data/figures/211080_s_at.png","Figure")</f>
        <v>Figure</v>
      </c>
      <c r="I12280">
        <v>1.01</v>
      </c>
      <c r="J12280">
        <v>0.47</v>
      </c>
      <c r="K12280">
        <v>1.01</v>
      </c>
      <c r="L12280">
        <v>0.38</v>
      </c>
      <c r="M12280">
        <v>1</v>
      </c>
      <c r="N12280">
        <v>1</v>
      </c>
    </row>
    <row r="12281" spans="1:14" x14ac:dyDescent="0.25">
      <c r="A12281" t="s">
        <v>21125</v>
      </c>
      <c r="B12281" t="s">
        <v>6803</v>
      </c>
      <c r="C12281" s="1" t="str">
        <f>HYPERLINK("http://www.genecards.org/cgi-bin/carddisp.pl?gene=HLA-C","GeneCards")</f>
        <v>GeneCards</v>
      </c>
      <c r="D12281" s="1" t="str">
        <f>HYPERLINK("http://genome-euro.ucsc.edu/cgi-bin/hgTracks?position=211146_at","UCSC")</f>
        <v>UCSC</v>
      </c>
      <c r="E12281" s="1" t="str">
        <f>HYPERLINK("http://www.ncbi.nlm.nih.gov/gene/?term=HLA-C","NCBI")</f>
        <v>NCBI</v>
      </c>
      <c r="F12281">
        <v>0.36</v>
      </c>
      <c r="G12281">
        <v>0.49</v>
      </c>
      <c r="H12281" s="1" t="str">
        <f>HYPERLINK("http://www.weizmann.ac.il/complex/compphys/software/geview/data/figures/211146_at.png","Figure")</f>
        <v>Figure</v>
      </c>
      <c r="I12281">
        <v>1</v>
      </c>
      <c r="J12281">
        <v>0.47</v>
      </c>
      <c r="K12281">
        <v>1</v>
      </c>
      <c r="L12281">
        <v>0.38</v>
      </c>
      <c r="M12281">
        <v>1</v>
      </c>
      <c r="N12281">
        <v>1</v>
      </c>
    </row>
    <row r="12282" spans="1:14" x14ac:dyDescent="0.25">
      <c r="A12282" t="s">
        <v>21126</v>
      </c>
      <c r="B12282" t="s">
        <v>21127</v>
      </c>
      <c r="C12282" s="1" t="str">
        <f>HYPERLINK("http://www.genecards.org/cgi-bin/carddisp.pl?gene=ICOSLG","GeneCards")</f>
        <v>GeneCards</v>
      </c>
      <c r="D12282" s="1" t="str">
        <f>HYPERLINK("http://genome-euro.ucsc.edu/cgi-bin/hgTracks?position=211198_s_at","UCSC")</f>
        <v>UCSC</v>
      </c>
      <c r="E12282" s="1" t="str">
        <f>HYPERLINK("http://www.ncbi.nlm.nih.gov/gene/?term=ICOSLG","NCBI")</f>
        <v>NCBI</v>
      </c>
      <c r="F12282">
        <v>0.35</v>
      </c>
      <c r="G12282">
        <v>0.49</v>
      </c>
      <c r="H12282" s="1" t="str">
        <f>HYPERLINK("http://www.weizmann.ac.il/complex/compphys/software/geview/data/figures/211198_s_at.png","Figure")</f>
        <v>Figure</v>
      </c>
      <c r="I12282">
        <v>1.1499999999999999</v>
      </c>
      <c r="J12282">
        <v>0.33</v>
      </c>
      <c r="K12282">
        <v>1.0900000000000001</v>
      </c>
      <c r="L12282">
        <v>0.61</v>
      </c>
      <c r="M12282">
        <v>0.94199999999999995</v>
      </c>
      <c r="N12282">
        <v>0.78</v>
      </c>
    </row>
    <row r="12283" spans="1:14" x14ac:dyDescent="0.25">
      <c r="A12283" t="s">
        <v>21128</v>
      </c>
      <c r="B12283" t="s">
        <v>21129</v>
      </c>
      <c r="C12283" s="1" t="str">
        <f>HYPERLINK("http://www.genecards.org/cgi-bin/carddisp.pl?gene=BAG1","GeneCards")</f>
        <v>GeneCards</v>
      </c>
      <c r="D12283" s="1" t="str">
        <f>HYPERLINK("http://genome-euro.ucsc.edu/cgi-bin/hgTracks?position=211475_s_at","UCSC")</f>
        <v>UCSC</v>
      </c>
      <c r="E12283" s="1" t="str">
        <f>HYPERLINK("http://www.ncbi.nlm.nih.gov/gene/?term=BAG1","NCBI")</f>
        <v>NCBI</v>
      </c>
      <c r="F12283">
        <v>0.35</v>
      </c>
      <c r="G12283">
        <v>0.49</v>
      </c>
      <c r="H12283" s="1" t="str">
        <f>HYPERLINK("http://www.weizmann.ac.il/complex/compphys/software/geview/data/figures/211475_s_at.png","Figure")</f>
        <v>Figure</v>
      </c>
      <c r="I12283">
        <v>0.97799999999999998</v>
      </c>
      <c r="J12283">
        <v>0.99</v>
      </c>
      <c r="K12283">
        <v>1.18</v>
      </c>
      <c r="L12283">
        <v>0.47</v>
      </c>
      <c r="M12283">
        <v>1.2</v>
      </c>
      <c r="N12283">
        <v>0.42</v>
      </c>
    </row>
    <row r="12284" spans="1:14" x14ac:dyDescent="0.25">
      <c r="A12284" t="s">
        <v>21130</v>
      </c>
      <c r="B12284" t="s">
        <v>6688</v>
      </c>
      <c r="C12284" s="1" t="str">
        <f>HYPERLINK("http://www.genecards.org/cgi-bin/carddisp.pl?gene=PDE4A","GeneCards")</f>
        <v>GeneCards</v>
      </c>
      <c r="D12284" s="1" t="str">
        <f>HYPERLINK("http://genome-euro.ucsc.edu/cgi-bin/hgTracks?position=211591_s_at","UCSC")</f>
        <v>UCSC</v>
      </c>
      <c r="E12284" s="1" t="str">
        <f>HYPERLINK("http://www.ncbi.nlm.nih.gov/gene/?term=PDE4A","NCBI")</f>
        <v>NCBI</v>
      </c>
      <c r="F12284">
        <v>0.36</v>
      </c>
      <c r="G12284">
        <v>0.49</v>
      </c>
      <c r="H12284" s="1" t="str">
        <f>HYPERLINK("http://www.weizmann.ac.il/complex/compphys/software/geview/data/figures/211591_s_at.png","Figure")</f>
        <v>Figure</v>
      </c>
      <c r="I12284">
        <v>1.05</v>
      </c>
      <c r="J12284">
        <v>0.47</v>
      </c>
      <c r="K12284">
        <v>1.05</v>
      </c>
      <c r="L12284">
        <v>0.38</v>
      </c>
      <c r="M12284">
        <v>1</v>
      </c>
      <c r="N12284">
        <v>1</v>
      </c>
    </row>
    <row r="12285" spans="1:14" x14ac:dyDescent="0.25">
      <c r="A12285" t="s">
        <v>21131</v>
      </c>
      <c r="B12285" t="s">
        <v>20426</v>
      </c>
      <c r="C12285" s="1" t="str">
        <f>HYPERLINK("http://www.genecards.org/cgi-bin/carddisp.pl?gene=AR","GeneCards")</f>
        <v>GeneCards</v>
      </c>
      <c r="D12285" s="1" t="str">
        <f>HYPERLINK("http://genome-euro.ucsc.edu/cgi-bin/hgTracks?position=211621_at","UCSC")</f>
        <v>UCSC</v>
      </c>
      <c r="E12285" s="1" t="str">
        <f>HYPERLINK("http://www.ncbi.nlm.nih.gov/gene/?term=AR","NCBI")</f>
        <v>NCBI</v>
      </c>
      <c r="F12285">
        <v>0.36</v>
      </c>
      <c r="G12285">
        <v>0.49</v>
      </c>
      <c r="H12285" s="1" t="str">
        <f>HYPERLINK("http://www.weizmann.ac.il/complex/compphys/software/geview/data/figures/211621_at.png","Figure")</f>
        <v>Figure</v>
      </c>
      <c r="I12285">
        <v>1.03</v>
      </c>
      <c r="J12285">
        <v>0.47</v>
      </c>
      <c r="K12285">
        <v>1.03</v>
      </c>
      <c r="L12285">
        <v>0.38</v>
      </c>
      <c r="M12285">
        <v>1</v>
      </c>
      <c r="N12285">
        <v>1</v>
      </c>
    </row>
    <row r="12286" spans="1:14" x14ac:dyDescent="0.25">
      <c r="A12286" t="s">
        <v>21132</v>
      </c>
      <c r="B12286" t="s">
        <v>3298</v>
      </c>
      <c r="C12286" s="1" t="str">
        <f>HYPERLINK("http://www.genecards.org/cgi-bin/carddisp.pl?gene=SSX3","GeneCards")</f>
        <v>GeneCards</v>
      </c>
      <c r="D12286" s="1" t="str">
        <f>HYPERLINK("http://genome-euro.ucsc.edu/cgi-bin/hgTracks?position=211670_x_at","UCSC")</f>
        <v>UCSC</v>
      </c>
      <c r="E12286" s="1" t="str">
        <f>HYPERLINK("http://www.ncbi.nlm.nih.gov/gene/?term=SSX3","NCBI")</f>
        <v>NCBI</v>
      </c>
      <c r="F12286">
        <v>0.35</v>
      </c>
      <c r="G12286">
        <v>0.49</v>
      </c>
      <c r="H12286" s="1" t="str">
        <f>HYPERLINK("http://www.weizmann.ac.il/complex/compphys/software/geview/data/figures/211670_x_at.png","Figure")</f>
        <v>Figure</v>
      </c>
      <c r="I12286">
        <v>1.0900000000000001</v>
      </c>
      <c r="J12286">
        <v>0.44</v>
      </c>
      <c r="K12286">
        <v>0.996</v>
      </c>
      <c r="L12286">
        <v>1</v>
      </c>
      <c r="M12286">
        <v>0.91300000000000003</v>
      </c>
      <c r="N12286">
        <v>0.37</v>
      </c>
    </row>
    <row r="12287" spans="1:14" x14ac:dyDescent="0.25">
      <c r="A12287" t="s">
        <v>21133</v>
      </c>
      <c r="B12287" t="s">
        <v>15558</v>
      </c>
      <c r="C12287" s="1" t="str">
        <f>HYPERLINK("http://www.genecards.org/cgi-bin/carddisp.pl?gene=SORBS1","GeneCards")</f>
        <v>GeneCards</v>
      </c>
      <c r="D12287" s="1" t="str">
        <f>HYPERLINK("http://genome-euro.ucsc.edu/cgi-bin/hgTracks?position=211705_s_at","UCSC")</f>
        <v>UCSC</v>
      </c>
      <c r="E12287" s="1" t="str">
        <f>HYPERLINK("http://www.ncbi.nlm.nih.gov/gene/?term=SORBS1","NCBI")</f>
        <v>NCBI</v>
      </c>
      <c r="F12287">
        <v>0.36</v>
      </c>
      <c r="G12287">
        <v>0.49</v>
      </c>
      <c r="H12287" s="1" t="str">
        <f>HYPERLINK("http://www.weizmann.ac.il/complex/compphys/software/geview/data/figures/211705_s_at.png","Figure")</f>
        <v>Figure</v>
      </c>
      <c r="I12287">
        <v>1.04</v>
      </c>
      <c r="J12287">
        <v>0.47</v>
      </c>
      <c r="K12287">
        <v>1.04</v>
      </c>
      <c r="L12287">
        <v>0.38</v>
      </c>
      <c r="M12287">
        <v>1</v>
      </c>
      <c r="N12287">
        <v>1</v>
      </c>
    </row>
    <row r="12288" spans="1:14" x14ac:dyDescent="0.25">
      <c r="A12288" t="s">
        <v>21134</v>
      </c>
      <c r="B12288" t="s">
        <v>17752</v>
      </c>
      <c r="C12288" s="1" t="str">
        <f>HYPERLINK("http://www.genecards.org/cgi-bin/carddisp.pl?gene=AFF1","GeneCards")</f>
        <v>GeneCards</v>
      </c>
      <c r="D12288" s="1" t="str">
        <f>HYPERLINK("http://genome-euro.ucsc.edu/cgi-bin/hgTracks?position=211826_s_at","UCSC")</f>
        <v>UCSC</v>
      </c>
      <c r="E12288" s="1" t="str">
        <f>HYPERLINK("http://www.ncbi.nlm.nih.gov/gene/?term=AFF1","NCBI")</f>
        <v>NCBI</v>
      </c>
      <c r="F12288">
        <v>0.36</v>
      </c>
      <c r="G12288">
        <v>0.49</v>
      </c>
      <c r="H12288" s="1" t="str">
        <f>HYPERLINK("http://www.weizmann.ac.il/complex/compphys/software/geview/data/figures/211826_s_at.png","Figure")</f>
        <v>Figure</v>
      </c>
      <c r="I12288">
        <v>1.03</v>
      </c>
      <c r="J12288">
        <v>0.88</v>
      </c>
      <c r="K12288">
        <v>0.94799999999999995</v>
      </c>
      <c r="L12288">
        <v>0.6</v>
      </c>
      <c r="M12288">
        <v>0.92</v>
      </c>
      <c r="N12288">
        <v>0.36</v>
      </c>
    </row>
    <row r="12289" spans="1:14" x14ac:dyDescent="0.25">
      <c r="A12289" t="s">
        <v>21135</v>
      </c>
      <c r="B12289" t="s">
        <v>842</v>
      </c>
      <c r="C12289" s="1" t="str">
        <f>HYPERLINK("http://www.genecards.org/cgi-bin/carddisp.pl?gene=MERTK","GeneCards")</f>
        <v>GeneCards</v>
      </c>
      <c r="D12289" s="1" t="str">
        <f>HYPERLINK("http://genome-euro.ucsc.edu/cgi-bin/hgTracks?position=211913_s_at","UCSC")</f>
        <v>UCSC</v>
      </c>
      <c r="E12289" s="1" t="str">
        <f>HYPERLINK("http://www.ncbi.nlm.nih.gov/gene/?term=MERTK","NCBI")</f>
        <v>NCBI</v>
      </c>
      <c r="F12289">
        <v>0.36</v>
      </c>
      <c r="G12289">
        <v>0.49</v>
      </c>
      <c r="H12289" s="1" t="str">
        <f>HYPERLINK("http://www.weizmann.ac.il/complex/compphys/software/geview/data/figures/211913_s_at.png","Figure")</f>
        <v>Figure</v>
      </c>
      <c r="I12289">
        <v>1.1599999999999999</v>
      </c>
      <c r="J12289">
        <v>0.47</v>
      </c>
      <c r="K12289">
        <v>1.1599999999999999</v>
      </c>
      <c r="L12289">
        <v>0.38</v>
      </c>
      <c r="M12289">
        <v>1</v>
      </c>
      <c r="N12289">
        <v>1</v>
      </c>
    </row>
    <row r="12290" spans="1:14" x14ac:dyDescent="0.25">
      <c r="A12290" t="s">
        <v>21136</v>
      </c>
      <c r="B12290" t="s">
        <v>21137</v>
      </c>
      <c r="C12290" s="1" t="str">
        <f>HYPERLINK("http://www.genecards.org/cgi-bin/carddisp.pl?gene=CAMK2G","GeneCards")</f>
        <v>GeneCards</v>
      </c>
      <c r="D12290" s="1" t="str">
        <f>HYPERLINK("http://genome-euro.ucsc.edu/cgi-bin/hgTracks?position=212669_at","UCSC")</f>
        <v>UCSC</v>
      </c>
      <c r="E12290" s="1" t="str">
        <f>HYPERLINK("http://www.ncbi.nlm.nih.gov/gene/?term=CAMK2G","NCBI")</f>
        <v>NCBI</v>
      </c>
      <c r="F12290">
        <v>0.35</v>
      </c>
      <c r="G12290">
        <v>0.49</v>
      </c>
      <c r="H12290" s="1" t="str">
        <f>HYPERLINK("http://www.weizmann.ac.il/complex/compphys/software/geview/data/figures/212669_at.png","Figure")</f>
        <v>Figure</v>
      </c>
      <c r="I12290">
        <v>0.89600000000000002</v>
      </c>
      <c r="J12290">
        <v>0.57999999999999996</v>
      </c>
      <c r="K12290">
        <v>1.04</v>
      </c>
      <c r="L12290">
        <v>0.9</v>
      </c>
      <c r="M12290">
        <v>1.1599999999999999</v>
      </c>
      <c r="N12290">
        <v>0.33</v>
      </c>
    </row>
    <row r="12291" spans="1:14" x14ac:dyDescent="0.25">
      <c r="A12291" t="s">
        <v>21138</v>
      </c>
      <c r="B12291" t="s">
        <v>21139</v>
      </c>
      <c r="C12291" s="1" t="str">
        <f>HYPERLINK("http://www.genecards.org/cgi-bin/carddisp.pl?gene=LARP7","GeneCards")</f>
        <v>GeneCards</v>
      </c>
      <c r="D12291" s="1" t="str">
        <f>HYPERLINK("http://genome-euro.ucsc.edu/cgi-bin/hgTracks?position=212785_s_at","UCSC")</f>
        <v>UCSC</v>
      </c>
      <c r="E12291" s="1" t="str">
        <f>HYPERLINK("http://www.ncbi.nlm.nih.gov/gene/?term=LARP7","NCBI")</f>
        <v>NCBI</v>
      </c>
      <c r="F12291">
        <v>0.35</v>
      </c>
      <c r="G12291">
        <v>0.49</v>
      </c>
      <c r="H12291" s="1" t="str">
        <f>HYPERLINK("http://www.weizmann.ac.il/complex/compphys/software/geview/data/figures/212785_s_at.png","Figure")</f>
        <v>Figure</v>
      </c>
      <c r="I12291">
        <v>0.745</v>
      </c>
      <c r="J12291">
        <v>0.33</v>
      </c>
      <c r="K12291">
        <v>0.84</v>
      </c>
      <c r="L12291">
        <v>0.59</v>
      </c>
      <c r="M12291">
        <v>1.1299999999999999</v>
      </c>
      <c r="N12291">
        <v>0.8</v>
      </c>
    </row>
    <row r="12292" spans="1:14" x14ac:dyDescent="0.25">
      <c r="A12292" t="s">
        <v>21140</v>
      </c>
      <c r="B12292" t="s">
        <v>5686</v>
      </c>
      <c r="C12292" s="1" t="str">
        <f>HYPERLINK("http://www.genecards.org/cgi-bin/carddisp.pl?gene=FAM175B","GeneCards")</f>
        <v>GeneCards</v>
      </c>
      <c r="D12292" s="1" t="str">
        <f>HYPERLINK("http://genome-euro.ucsc.edu/cgi-bin/hgTracks?position=212837_at","UCSC")</f>
        <v>UCSC</v>
      </c>
      <c r="E12292" s="1" t="str">
        <f>HYPERLINK("http://www.ncbi.nlm.nih.gov/gene/?term=FAM175B","NCBI")</f>
        <v>NCBI</v>
      </c>
      <c r="F12292">
        <v>0.35</v>
      </c>
      <c r="G12292">
        <v>0.49</v>
      </c>
      <c r="H12292" s="1" t="str">
        <f>HYPERLINK("http://www.weizmann.ac.il/complex/compphys/software/geview/data/figures/212837_at.png","Figure")</f>
        <v>Figure</v>
      </c>
      <c r="I12292">
        <v>0.97699999999999998</v>
      </c>
      <c r="J12292">
        <v>0.98</v>
      </c>
      <c r="K12292">
        <v>0.85799999999999998</v>
      </c>
      <c r="L12292">
        <v>0.38</v>
      </c>
      <c r="M12292">
        <v>0.879</v>
      </c>
      <c r="N12292">
        <v>0.53</v>
      </c>
    </row>
    <row r="12293" spans="1:14" x14ac:dyDescent="0.25">
      <c r="A12293" t="s">
        <v>21141</v>
      </c>
      <c r="B12293" t="s">
        <v>14792</v>
      </c>
      <c r="C12293" s="1" t="str">
        <f>HYPERLINK("http://www.genecards.org/cgi-bin/carddisp.pl?gene=DICER1","GeneCards")</f>
        <v>GeneCards</v>
      </c>
      <c r="D12293" s="1" t="str">
        <f>HYPERLINK("http://genome-euro.ucsc.edu/cgi-bin/hgTracks?position=212888_at","UCSC")</f>
        <v>UCSC</v>
      </c>
      <c r="E12293" s="1" t="str">
        <f>HYPERLINK("http://www.ncbi.nlm.nih.gov/gene/?term=DICER1","NCBI")</f>
        <v>NCBI</v>
      </c>
      <c r="F12293">
        <v>0.35</v>
      </c>
      <c r="G12293">
        <v>0.49</v>
      </c>
      <c r="H12293" s="1" t="str">
        <f>HYPERLINK("http://www.weizmann.ac.il/complex/compphys/software/geview/data/figures/212888_at.png","Figure")</f>
        <v>Figure</v>
      </c>
      <c r="I12293">
        <v>0.55200000000000005</v>
      </c>
      <c r="J12293">
        <v>0.36</v>
      </c>
      <c r="K12293">
        <v>0.89200000000000002</v>
      </c>
      <c r="L12293">
        <v>0.95</v>
      </c>
      <c r="M12293">
        <v>1.62</v>
      </c>
      <c r="N12293">
        <v>0.45</v>
      </c>
    </row>
    <row r="12294" spans="1:14" x14ac:dyDescent="0.25">
      <c r="A12294" t="s">
        <v>21142</v>
      </c>
      <c r="B12294" t="s">
        <v>7752</v>
      </c>
      <c r="C12294" s="1" t="str">
        <f>HYPERLINK("http://www.genecards.org/cgi-bin/carddisp.pl?gene=COL6A1","GeneCards")</f>
        <v>GeneCards</v>
      </c>
      <c r="D12294" s="1" t="str">
        <f>HYPERLINK("http://genome-euro.ucsc.edu/cgi-bin/hgTracks?position=212938_at","UCSC")</f>
        <v>UCSC</v>
      </c>
      <c r="E12294" s="1" t="str">
        <f>HYPERLINK("http://www.ncbi.nlm.nih.gov/gene/?term=COL6A1","NCBI")</f>
        <v>NCBI</v>
      </c>
      <c r="F12294">
        <v>0.36</v>
      </c>
      <c r="G12294">
        <v>0.49</v>
      </c>
      <c r="H12294" s="1" t="str">
        <f>HYPERLINK("http://www.weizmann.ac.il/complex/compphys/software/geview/data/figures/212938_at.png","Figure")</f>
        <v>Figure</v>
      </c>
      <c r="I12294">
        <v>1.01</v>
      </c>
      <c r="J12294">
        <v>0.47</v>
      </c>
      <c r="K12294">
        <v>1.01</v>
      </c>
      <c r="L12294">
        <v>0.38</v>
      </c>
      <c r="M12294">
        <v>1</v>
      </c>
      <c r="N12294">
        <v>1</v>
      </c>
    </row>
    <row r="12295" spans="1:14" x14ac:dyDescent="0.25">
      <c r="A12295" t="s">
        <v>21143</v>
      </c>
      <c r="B12295" t="s">
        <v>21144</v>
      </c>
      <c r="C12295" s="1" t="str">
        <f>HYPERLINK("http://www.genecards.org/cgi-bin/carddisp.pl?gene=PRKCDBP","GeneCards")</f>
        <v>GeneCards</v>
      </c>
      <c r="D12295" s="1" t="str">
        <f>HYPERLINK("http://genome-euro.ucsc.edu/cgi-bin/hgTracks?position=213010_at","UCSC")</f>
        <v>UCSC</v>
      </c>
      <c r="E12295" s="1" t="str">
        <f>HYPERLINK("http://www.ncbi.nlm.nih.gov/gene/?term=PRKCDBP","NCBI")</f>
        <v>NCBI</v>
      </c>
      <c r="F12295">
        <v>0.36</v>
      </c>
      <c r="G12295">
        <v>0.49</v>
      </c>
      <c r="H12295" s="1" t="str">
        <f>HYPERLINK("http://www.weizmann.ac.il/complex/compphys/software/geview/data/figures/213010_at.png","Figure")</f>
        <v>Figure</v>
      </c>
      <c r="I12295">
        <v>1.02</v>
      </c>
      <c r="J12295">
        <v>0.47</v>
      </c>
      <c r="K12295">
        <v>1.02</v>
      </c>
      <c r="L12295">
        <v>0.38</v>
      </c>
      <c r="M12295">
        <v>1</v>
      </c>
      <c r="N12295">
        <v>1</v>
      </c>
    </row>
    <row r="12296" spans="1:14" x14ac:dyDescent="0.25">
      <c r="A12296" t="s">
        <v>21145</v>
      </c>
      <c r="B12296" t="s">
        <v>13889</v>
      </c>
      <c r="C12296" s="1" t="str">
        <f>HYPERLINK("http://www.genecards.org/cgi-bin/carddisp.pl?gene=MED24","GeneCards")</f>
        <v>GeneCards</v>
      </c>
      <c r="D12296" s="1" t="str">
        <f>HYPERLINK("http://genome-euro.ucsc.edu/cgi-bin/hgTracks?position=213043_s_at","UCSC")</f>
        <v>UCSC</v>
      </c>
      <c r="E12296" s="1" t="str">
        <f>HYPERLINK("http://www.ncbi.nlm.nih.gov/gene/?term=MED24","NCBI")</f>
        <v>NCBI</v>
      </c>
      <c r="F12296">
        <v>0.35</v>
      </c>
      <c r="G12296">
        <v>0.49</v>
      </c>
      <c r="H12296" s="1" t="str">
        <f>HYPERLINK("http://www.weizmann.ac.il/complex/compphys/software/geview/data/figures/213043_s_at.png","Figure")</f>
        <v>Figure</v>
      </c>
      <c r="I12296">
        <v>0.80600000000000005</v>
      </c>
      <c r="J12296">
        <v>0.33</v>
      </c>
      <c r="K12296">
        <v>0.93899999999999995</v>
      </c>
      <c r="L12296">
        <v>0.88</v>
      </c>
      <c r="M12296">
        <v>1.1599999999999999</v>
      </c>
      <c r="N12296">
        <v>0.52</v>
      </c>
    </row>
    <row r="12297" spans="1:14" x14ac:dyDescent="0.25">
      <c r="A12297" t="s">
        <v>21146</v>
      </c>
      <c r="B12297" t="s">
        <v>21147</v>
      </c>
      <c r="C12297" s="1" t="str">
        <f>HYPERLINK("http://www.genecards.org/cgi-bin/carddisp.pl?gene=OLFML2B","GeneCards")</f>
        <v>GeneCards</v>
      </c>
      <c r="D12297" s="1" t="str">
        <f>HYPERLINK("http://genome-euro.ucsc.edu/cgi-bin/hgTracks?position=213125_at","UCSC")</f>
        <v>UCSC</v>
      </c>
      <c r="E12297" s="1" t="str">
        <f>HYPERLINK("http://www.ncbi.nlm.nih.gov/gene/?term=OLFML2B","NCBI")</f>
        <v>NCBI</v>
      </c>
      <c r="F12297">
        <v>0.36</v>
      </c>
      <c r="G12297">
        <v>0.49</v>
      </c>
      <c r="H12297" s="1" t="str">
        <f>HYPERLINK("http://www.weizmann.ac.il/complex/compphys/software/geview/data/figures/213125_at.png","Figure")</f>
        <v>Figure</v>
      </c>
      <c r="I12297">
        <v>1.0900000000000001</v>
      </c>
      <c r="J12297">
        <v>0.51</v>
      </c>
      <c r="K12297">
        <v>0.98299999999999998</v>
      </c>
      <c r="L12297">
        <v>0.96</v>
      </c>
      <c r="M12297">
        <v>0.89900000000000002</v>
      </c>
      <c r="N12297">
        <v>0.34</v>
      </c>
    </row>
    <row r="12298" spans="1:14" x14ac:dyDescent="0.25">
      <c r="A12298" t="s">
        <v>21148</v>
      </c>
      <c r="B12298" t="s">
        <v>10048</v>
      </c>
      <c r="C12298" s="1" t="str">
        <f>HYPERLINK("http://www.genecards.org/cgi-bin/carddisp.pl?gene=ADCY2","GeneCards")</f>
        <v>GeneCards</v>
      </c>
      <c r="D12298" s="1" t="str">
        <f>HYPERLINK("http://genome-euro.ucsc.edu/cgi-bin/hgTracks?position=213219_at","UCSC")</f>
        <v>UCSC</v>
      </c>
      <c r="E12298" s="1" t="str">
        <f>HYPERLINK("http://www.ncbi.nlm.nih.gov/gene/?term=ADCY2","NCBI")</f>
        <v>NCBI</v>
      </c>
      <c r="F12298">
        <v>0.35</v>
      </c>
      <c r="G12298">
        <v>0.49</v>
      </c>
      <c r="H12298" s="1" t="str">
        <f>HYPERLINK("http://www.weizmann.ac.il/complex/compphys/software/geview/data/figures/213219_at.png","Figure")</f>
        <v>Figure</v>
      </c>
      <c r="I12298">
        <v>0.98599999999999999</v>
      </c>
      <c r="J12298">
        <v>0.66</v>
      </c>
      <c r="K12298">
        <v>1.01</v>
      </c>
      <c r="L12298">
        <v>0.83</v>
      </c>
      <c r="M12298">
        <v>1.02</v>
      </c>
      <c r="N12298">
        <v>0.32</v>
      </c>
    </row>
    <row r="12299" spans="1:14" x14ac:dyDescent="0.25">
      <c r="A12299" t="s">
        <v>21149</v>
      </c>
      <c r="B12299" t="s">
        <v>3241</v>
      </c>
      <c r="C12299" s="1" t="str">
        <f>HYPERLINK("http://www.genecards.org/cgi-bin/carddisp.pl?gene=C16orf88","GeneCards")</f>
        <v>GeneCards</v>
      </c>
      <c r="D12299" s="1" t="str">
        <f>HYPERLINK("http://genome-euro.ucsc.edu/cgi-bin/hgTracks?position=213237_at","UCSC")</f>
        <v>UCSC</v>
      </c>
      <c r="E12299" s="1" t="str">
        <f>HYPERLINK("http://www.ncbi.nlm.nih.gov/gene/?term=C16orf88","NCBI")</f>
        <v>NCBI</v>
      </c>
      <c r="F12299">
        <v>0.36</v>
      </c>
      <c r="G12299">
        <v>0.49</v>
      </c>
      <c r="H12299" s="1" t="str">
        <f>HYPERLINK("http://www.weizmann.ac.il/complex/compphys/software/geview/data/figures/213237_at.png","Figure")</f>
        <v>Figure</v>
      </c>
      <c r="I12299">
        <v>1.01</v>
      </c>
      <c r="J12299">
        <v>0.47</v>
      </c>
      <c r="K12299">
        <v>1.01</v>
      </c>
      <c r="L12299">
        <v>0.38</v>
      </c>
      <c r="M12299">
        <v>1</v>
      </c>
      <c r="N12299">
        <v>1</v>
      </c>
    </row>
    <row r="12300" spans="1:14" x14ac:dyDescent="0.25">
      <c r="A12300" t="s">
        <v>21150</v>
      </c>
      <c r="B12300" t="s">
        <v>21151</v>
      </c>
      <c r="C12300" s="1" t="str">
        <f>HYPERLINK("http://www.genecards.org/cgi-bin/carddisp.pl?gene=C10orf72","GeneCards")</f>
        <v>GeneCards</v>
      </c>
      <c r="D12300" s="1" t="str">
        <f>HYPERLINK("http://genome-euro.ucsc.edu/cgi-bin/hgTracks?position=213381_at","UCSC")</f>
        <v>UCSC</v>
      </c>
      <c r="E12300" s="1" t="str">
        <f>HYPERLINK("http://www.ncbi.nlm.nih.gov/gene/?term=C10orf72","NCBI")</f>
        <v>NCBI</v>
      </c>
      <c r="F12300">
        <v>0.36</v>
      </c>
      <c r="G12300">
        <v>0.49</v>
      </c>
      <c r="H12300" s="1" t="str">
        <f>HYPERLINK("http://www.weizmann.ac.il/complex/compphys/software/geview/data/figures/213381_at.png","Figure")</f>
        <v>Figure</v>
      </c>
      <c r="I12300">
        <v>1</v>
      </c>
      <c r="J12300">
        <v>0.47</v>
      </c>
      <c r="K12300">
        <v>1</v>
      </c>
      <c r="L12300">
        <v>0.38</v>
      </c>
      <c r="M12300">
        <v>1</v>
      </c>
      <c r="N12300">
        <v>1</v>
      </c>
    </row>
    <row r="12301" spans="1:14" x14ac:dyDescent="0.25">
      <c r="A12301" t="s">
        <v>21152</v>
      </c>
      <c r="B12301" t="s">
        <v>21153</v>
      </c>
      <c r="C12301" s="1" t="str">
        <f>HYPERLINK("http://www.genecards.org/cgi-bin/carddisp.pl?gene=PLCB3","GeneCards")</f>
        <v>GeneCards</v>
      </c>
      <c r="D12301" s="1" t="str">
        <f>HYPERLINK("http://genome-euro.ucsc.edu/cgi-bin/hgTracks?position=213384_x_at","UCSC")</f>
        <v>UCSC</v>
      </c>
      <c r="E12301" s="1" t="str">
        <f>HYPERLINK("http://www.ncbi.nlm.nih.gov/gene/?term=PLCB3","NCBI")</f>
        <v>NCBI</v>
      </c>
      <c r="F12301">
        <v>0.35</v>
      </c>
      <c r="G12301">
        <v>0.49</v>
      </c>
      <c r="H12301" s="1" t="str">
        <f>HYPERLINK("http://www.weizmann.ac.il/complex/compphys/software/geview/data/figures/213384_x_at.png","Figure")</f>
        <v>Figure</v>
      </c>
      <c r="I12301">
        <v>1.1200000000000001</v>
      </c>
      <c r="J12301">
        <v>0.41</v>
      </c>
      <c r="K12301">
        <v>1.1000000000000001</v>
      </c>
      <c r="L12301">
        <v>0.43</v>
      </c>
      <c r="M12301">
        <v>0.98299999999999998</v>
      </c>
      <c r="N12301">
        <v>0.97</v>
      </c>
    </row>
    <row r="12302" spans="1:14" x14ac:dyDescent="0.25">
      <c r="A12302" t="s">
        <v>21154</v>
      </c>
      <c r="B12302" t="s">
        <v>21155</v>
      </c>
      <c r="C12302" s="1" t="str">
        <f>HYPERLINK("http://www.genecards.org/cgi-bin/carddisp.pl?gene=G0S2","GeneCards")</f>
        <v>GeneCards</v>
      </c>
      <c r="D12302" s="1" t="str">
        <f>HYPERLINK("http://genome-euro.ucsc.edu/cgi-bin/hgTracks?position=213524_s_at","UCSC")</f>
        <v>UCSC</v>
      </c>
      <c r="E12302" s="1" t="str">
        <f>HYPERLINK("http://www.ncbi.nlm.nih.gov/gene/?term=G0S2","NCBI")</f>
        <v>NCBI</v>
      </c>
      <c r="F12302">
        <v>0.35</v>
      </c>
      <c r="G12302">
        <v>0.49</v>
      </c>
      <c r="H12302" s="1" t="str">
        <f>HYPERLINK("http://www.weizmann.ac.il/complex/compphys/software/geview/data/figures/213524_s_at.png","Figure")</f>
        <v>Figure</v>
      </c>
      <c r="I12302">
        <v>1.47</v>
      </c>
      <c r="J12302">
        <v>0.39</v>
      </c>
      <c r="K12302">
        <v>1.04</v>
      </c>
      <c r="L12302">
        <v>0.99</v>
      </c>
      <c r="M12302">
        <v>0.70499999999999996</v>
      </c>
      <c r="N12302">
        <v>0.41</v>
      </c>
    </row>
    <row r="12303" spans="1:14" x14ac:dyDescent="0.25">
      <c r="A12303" t="s">
        <v>21156</v>
      </c>
      <c r="B12303" t="s">
        <v>15317</v>
      </c>
      <c r="C12303" s="1" t="str">
        <f>HYPERLINK("http://www.genecards.org/cgi-bin/carddisp.pl?gene=ELOVL2","GeneCards")</f>
        <v>GeneCards</v>
      </c>
      <c r="D12303" s="1" t="str">
        <f>HYPERLINK("http://genome-euro.ucsc.edu/cgi-bin/hgTracks?position=213712_at","UCSC")</f>
        <v>UCSC</v>
      </c>
      <c r="E12303" s="1" t="str">
        <f>HYPERLINK("http://www.ncbi.nlm.nih.gov/gene/?term=ELOVL2","NCBI")</f>
        <v>NCBI</v>
      </c>
      <c r="F12303">
        <v>0.36</v>
      </c>
      <c r="G12303">
        <v>0.49</v>
      </c>
      <c r="H12303" s="1" t="str">
        <f>HYPERLINK("http://www.weizmann.ac.il/complex/compphys/software/geview/data/figures/213712_at.png","Figure")</f>
        <v>Figure</v>
      </c>
      <c r="I12303">
        <v>1.01</v>
      </c>
      <c r="J12303">
        <v>0.47</v>
      </c>
      <c r="K12303">
        <v>1.01</v>
      </c>
      <c r="L12303">
        <v>0.38</v>
      </c>
      <c r="M12303">
        <v>1</v>
      </c>
      <c r="N12303">
        <v>1</v>
      </c>
    </row>
    <row r="12304" spans="1:14" x14ac:dyDescent="0.25">
      <c r="A12304" t="s">
        <v>21157</v>
      </c>
      <c r="B12304" t="s">
        <v>9966</v>
      </c>
      <c r="C12304" s="1" t="str">
        <f>HYPERLINK("http://www.genecards.org/cgi-bin/carddisp.pl?gene=MET","GeneCards")</f>
        <v>GeneCards</v>
      </c>
      <c r="D12304" s="1" t="str">
        <f>HYPERLINK("http://genome-euro.ucsc.edu/cgi-bin/hgTracks?position=213816_s_at","UCSC")</f>
        <v>UCSC</v>
      </c>
      <c r="E12304" s="1" t="str">
        <f>HYPERLINK("http://www.ncbi.nlm.nih.gov/gene/?term=MET","NCBI")</f>
        <v>NCBI</v>
      </c>
      <c r="F12304">
        <v>0.36</v>
      </c>
      <c r="G12304">
        <v>0.49</v>
      </c>
      <c r="H12304" s="1" t="str">
        <f>HYPERLINK("http://www.weizmann.ac.il/complex/compphys/software/geview/data/figures/213816_s_at.png","Figure")</f>
        <v>Figure</v>
      </c>
      <c r="I12304">
        <v>1</v>
      </c>
      <c r="J12304">
        <v>0.47</v>
      </c>
      <c r="K12304">
        <v>1</v>
      </c>
      <c r="L12304">
        <v>0.38</v>
      </c>
      <c r="M12304">
        <v>1</v>
      </c>
      <c r="N12304">
        <v>1</v>
      </c>
    </row>
    <row r="12305" spans="1:14" x14ac:dyDescent="0.25">
      <c r="A12305" t="s">
        <v>21158</v>
      </c>
      <c r="B12305" t="s">
        <v>21159</v>
      </c>
      <c r="C12305" s="1" t="str">
        <f>HYPERLINK("http://www.genecards.org/cgi-bin/carddisp.pl?gene=PNPLA2","GeneCards")</f>
        <v>GeneCards</v>
      </c>
      <c r="D12305" s="1" t="str">
        <f>HYPERLINK("http://genome-euro.ucsc.edu/cgi-bin/hgTracks?position=213862_at","UCSC")</f>
        <v>UCSC</v>
      </c>
      <c r="E12305" s="1" t="str">
        <f>HYPERLINK("http://www.ncbi.nlm.nih.gov/gene/?term=PNPLA2","NCBI")</f>
        <v>NCBI</v>
      </c>
      <c r="F12305">
        <v>0.36</v>
      </c>
      <c r="G12305">
        <v>0.49</v>
      </c>
      <c r="H12305" s="1" t="str">
        <f>HYPERLINK("http://www.weizmann.ac.il/complex/compphys/software/geview/data/figures/213862_at.png","Figure")</f>
        <v>Figure</v>
      </c>
      <c r="I12305">
        <v>1.02</v>
      </c>
      <c r="J12305">
        <v>0.47</v>
      </c>
      <c r="K12305">
        <v>1.02</v>
      </c>
      <c r="L12305">
        <v>0.38</v>
      </c>
      <c r="M12305">
        <v>1</v>
      </c>
      <c r="N12305">
        <v>1</v>
      </c>
    </row>
    <row r="12306" spans="1:14" x14ac:dyDescent="0.25">
      <c r="A12306" t="s">
        <v>21160</v>
      </c>
      <c r="B12306" t="s">
        <v>1314</v>
      </c>
      <c r="C12306" s="1" t="str">
        <f>HYPERLINK("http://www.genecards.org/cgi-bin/carddisp.pl?gene=AGFG1","GeneCards")</f>
        <v>GeneCards</v>
      </c>
      <c r="D12306" s="1" t="str">
        <f>HYPERLINK("http://genome-euro.ucsc.edu/cgi-bin/hgTracks?position=213928_s_at","UCSC")</f>
        <v>UCSC</v>
      </c>
      <c r="E12306" s="1" t="str">
        <f>HYPERLINK("http://www.ncbi.nlm.nih.gov/gene/?term=AGFG1","NCBI")</f>
        <v>NCBI</v>
      </c>
      <c r="F12306">
        <v>0.36</v>
      </c>
      <c r="G12306">
        <v>0.49</v>
      </c>
      <c r="H12306" s="1" t="str">
        <f>HYPERLINK("http://www.weizmann.ac.il/complex/compphys/software/geview/data/figures/213928_s_at.png","Figure")</f>
        <v>Figure</v>
      </c>
      <c r="I12306">
        <v>1</v>
      </c>
      <c r="J12306">
        <v>0.47</v>
      </c>
      <c r="K12306">
        <v>1</v>
      </c>
      <c r="L12306">
        <v>0.38</v>
      </c>
      <c r="M12306">
        <v>1</v>
      </c>
      <c r="N12306">
        <v>1</v>
      </c>
    </row>
    <row r="12307" spans="1:14" x14ac:dyDescent="0.25">
      <c r="A12307" t="s">
        <v>21161</v>
      </c>
      <c r="B12307" t="s">
        <v>21162</v>
      </c>
      <c r="C12307" s="1" t="str">
        <f>HYPERLINK("http://www.genecards.org/cgi-bin/carddisp.pl?gene=HIST1H3I","GeneCards")</f>
        <v>GeneCards</v>
      </c>
      <c r="D12307" s="1" t="str">
        <f>HYPERLINK("http://genome-euro.ucsc.edu/cgi-bin/hgTracks?position=214509_at","UCSC")</f>
        <v>UCSC</v>
      </c>
      <c r="E12307" s="1" t="str">
        <f>HYPERLINK("http://www.ncbi.nlm.nih.gov/gene/?term=HIST1H3I","NCBI")</f>
        <v>NCBI</v>
      </c>
      <c r="F12307">
        <v>0.36</v>
      </c>
      <c r="G12307">
        <v>0.49</v>
      </c>
      <c r="H12307" s="1" t="str">
        <f>HYPERLINK("http://www.weizmann.ac.il/complex/compphys/software/geview/data/figures/214509_at.png","Figure")</f>
        <v>Figure</v>
      </c>
      <c r="I12307">
        <v>1.02</v>
      </c>
      <c r="J12307">
        <v>0.47</v>
      </c>
      <c r="K12307">
        <v>1.02</v>
      </c>
      <c r="L12307">
        <v>0.38</v>
      </c>
      <c r="M12307">
        <v>1</v>
      </c>
      <c r="N12307">
        <v>1</v>
      </c>
    </row>
    <row r="12308" spans="1:14" x14ac:dyDescent="0.25">
      <c r="A12308" t="s">
        <v>21163</v>
      </c>
      <c r="B12308" t="s">
        <v>21164</v>
      </c>
      <c r="C12308" s="1" t="str">
        <f>HYPERLINK("http://www.genecards.org/cgi-bin/carddisp.pl?gene=FOXC2","GeneCards")</f>
        <v>GeneCards</v>
      </c>
      <c r="D12308" s="1" t="str">
        <f>HYPERLINK("http://genome-euro.ucsc.edu/cgi-bin/hgTracks?position=214520_at","UCSC")</f>
        <v>UCSC</v>
      </c>
      <c r="E12308" s="1" t="str">
        <f>HYPERLINK("http://www.ncbi.nlm.nih.gov/gene/?term=FOXC2","NCBI")</f>
        <v>NCBI</v>
      </c>
      <c r="F12308">
        <v>0.36</v>
      </c>
      <c r="G12308">
        <v>0.49</v>
      </c>
      <c r="H12308" s="1" t="str">
        <f>HYPERLINK("http://www.weizmann.ac.il/complex/compphys/software/geview/data/figures/214520_at.png","Figure")</f>
        <v>Figure</v>
      </c>
      <c r="I12308">
        <v>1.01</v>
      </c>
      <c r="J12308">
        <v>0.47</v>
      </c>
      <c r="K12308">
        <v>1.01</v>
      </c>
      <c r="L12308">
        <v>0.38</v>
      </c>
      <c r="M12308">
        <v>1</v>
      </c>
      <c r="N12308">
        <v>1</v>
      </c>
    </row>
    <row r="12309" spans="1:14" x14ac:dyDescent="0.25">
      <c r="A12309" t="s">
        <v>21165</v>
      </c>
      <c r="B12309" t="s">
        <v>21166</v>
      </c>
      <c r="C12309" s="1" t="str">
        <f>HYPERLINK("http://www.genecards.org/cgi-bin/carddisp.pl?gene=SMR3A /// SMR3B","GeneCards")</f>
        <v>GeneCards</v>
      </c>
      <c r="D12309" s="1" t="str">
        <f>HYPERLINK("http://genome-euro.ucsc.edu/cgi-bin/hgTracks?position=214565_s_at","UCSC")</f>
        <v>UCSC</v>
      </c>
      <c r="E12309" s="1" t="str">
        <f>HYPERLINK("http://www.ncbi.nlm.nih.gov/gene/?term=SMR3A /// SMR3B","NCBI")</f>
        <v>NCBI</v>
      </c>
      <c r="F12309">
        <v>0.36</v>
      </c>
      <c r="G12309">
        <v>0.49</v>
      </c>
      <c r="H12309" s="1" t="str">
        <f>HYPERLINK("http://www.weizmann.ac.il/complex/compphys/software/geview/data/figures/214565_s_at.png","Figure")</f>
        <v>Figure</v>
      </c>
      <c r="I12309">
        <v>1.02</v>
      </c>
      <c r="J12309">
        <v>0.47</v>
      </c>
      <c r="K12309">
        <v>1.02</v>
      </c>
      <c r="L12309">
        <v>0.38</v>
      </c>
      <c r="M12309">
        <v>1</v>
      </c>
      <c r="N12309">
        <v>1</v>
      </c>
    </row>
    <row r="12310" spans="1:14" x14ac:dyDescent="0.25">
      <c r="A12310" t="s">
        <v>21167</v>
      </c>
      <c r="B12310" t="s">
        <v>21168</v>
      </c>
      <c r="C12310" s="1" t="str">
        <f>HYPERLINK("http://www.genecards.org/cgi-bin/carddisp.pl?gene=KRT36","GeneCards")</f>
        <v>GeneCards</v>
      </c>
      <c r="D12310" s="1" t="str">
        <f>HYPERLINK("http://genome-euro.ucsc.edu/cgi-bin/hgTracks?position=214576_at","UCSC")</f>
        <v>UCSC</v>
      </c>
      <c r="E12310" s="1" t="str">
        <f>HYPERLINK("http://www.ncbi.nlm.nih.gov/gene/?term=KRT36","NCBI")</f>
        <v>NCBI</v>
      </c>
      <c r="F12310">
        <v>0.36</v>
      </c>
      <c r="G12310">
        <v>0.49</v>
      </c>
      <c r="H12310" s="1" t="str">
        <f>HYPERLINK("http://www.weizmann.ac.il/complex/compphys/software/geview/data/figures/214576_at.png","Figure")</f>
        <v>Figure</v>
      </c>
      <c r="I12310">
        <v>1</v>
      </c>
      <c r="J12310">
        <v>0.47</v>
      </c>
      <c r="K12310">
        <v>1</v>
      </c>
      <c r="L12310">
        <v>0.38</v>
      </c>
      <c r="M12310">
        <v>1</v>
      </c>
      <c r="N12310">
        <v>1</v>
      </c>
    </row>
    <row r="12311" spans="1:14" x14ac:dyDescent="0.25">
      <c r="A12311" t="s">
        <v>21169</v>
      </c>
      <c r="B12311" t="s">
        <v>21170</v>
      </c>
      <c r="C12311" s="1" t="str">
        <f>HYPERLINK("http://www.genecards.org/cgi-bin/carddisp.pl?gene=GRIK1","GeneCards")</f>
        <v>GeneCards</v>
      </c>
      <c r="D12311" s="1" t="str">
        <f>HYPERLINK("http://genome-euro.ucsc.edu/cgi-bin/hgTracks?position=214611_at","UCSC")</f>
        <v>UCSC</v>
      </c>
      <c r="E12311" s="1" t="str">
        <f>HYPERLINK("http://www.ncbi.nlm.nih.gov/gene/?term=GRIK1","NCBI")</f>
        <v>NCBI</v>
      </c>
      <c r="F12311">
        <v>0.36</v>
      </c>
      <c r="G12311">
        <v>0.49</v>
      </c>
      <c r="H12311" s="1" t="str">
        <f>HYPERLINK("http://www.weizmann.ac.il/complex/compphys/software/geview/data/figures/214611_at.png","Figure")</f>
        <v>Figure</v>
      </c>
      <c r="I12311">
        <v>1</v>
      </c>
      <c r="J12311">
        <v>0.47</v>
      </c>
      <c r="K12311">
        <v>1</v>
      </c>
      <c r="L12311">
        <v>0.38</v>
      </c>
      <c r="M12311">
        <v>1</v>
      </c>
      <c r="N12311">
        <v>1</v>
      </c>
    </row>
    <row r="12312" spans="1:14" x14ac:dyDescent="0.25">
      <c r="A12312" t="s">
        <v>21171</v>
      </c>
      <c r="B12312" t="s">
        <v>21172</v>
      </c>
      <c r="C12312" s="1" t="str">
        <f>HYPERLINK("http://www.genecards.org/cgi-bin/carddisp.pl?gene=COL4A3","GeneCards")</f>
        <v>GeneCards</v>
      </c>
      <c r="D12312" s="1" t="str">
        <f>HYPERLINK("http://genome-euro.ucsc.edu/cgi-bin/hgTracks?position=214641_at","UCSC")</f>
        <v>UCSC</v>
      </c>
      <c r="E12312" s="1" t="str">
        <f>HYPERLINK("http://www.ncbi.nlm.nih.gov/gene/?term=COL4A3","NCBI")</f>
        <v>NCBI</v>
      </c>
      <c r="F12312">
        <v>0.36</v>
      </c>
      <c r="G12312">
        <v>0.49</v>
      </c>
      <c r="H12312" s="1" t="str">
        <f>HYPERLINK("http://www.weizmann.ac.il/complex/compphys/software/geview/data/figures/214641_at.png","Figure")</f>
        <v>Figure</v>
      </c>
      <c r="I12312">
        <v>1.03</v>
      </c>
      <c r="J12312">
        <v>0.47</v>
      </c>
      <c r="K12312">
        <v>1.03</v>
      </c>
      <c r="L12312">
        <v>0.38</v>
      </c>
      <c r="M12312">
        <v>1</v>
      </c>
      <c r="N12312">
        <v>1</v>
      </c>
    </row>
    <row r="12313" spans="1:14" x14ac:dyDescent="0.25">
      <c r="A12313" t="s">
        <v>21173</v>
      </c>
      <c r="B12313" t="s">
        <v>21174</v>
      </c>
      <c r="C12313" s="1" t="str">
        <f>HYPERLINK("http://www.genecards.org/cgi-bin/carddisp.pl?gene=HIST1H2AK","GeneCards")</f>
        <v>GeneCards</v>
      </c>
      <c r="D12313" s="1" t="str">
        <f>HYPERLINK("http://genome-euro.ucsc.edu/cgi-bin/hgTracks?position=214644_at","UCSC")</f>
        <v>UCSC</v>
      </c>
      <c r="E12313" s="1" t="str">
        <f>HYPERLINK("http://www.ncbi.nlm.nih.gov/gene/?term=HIST1H2AK","NCBI")</f>
        <v>NCBI</v>
      </c>
      <c r="F12313">
        <v>0.36</v>
      </c>
      <c r="G12313">
        <v>0.49</v>
      </c>
      <c r="H12313" s="1" t="str">
        <f>HYPERLINK("http://www.weizmann.ac.il/complex/compphys/software/geview/data/figures/214644_at.png","Figure")</f>
        <v>Figure</v>
      </c>
      <c r="I12313">
        <v>1.01</v>
      </c>
      <c r="J12313">
        <v>0.47</v>
      </c>
      <c r="K12313">
        <v>1.01</v>
      </c>
      <c r="L12313">
        <v>0.38</v>
      </c>
      <c r="M12313">
        <v>1</v>
      </c>
      <c r="N12313">
        <v>1</v>
      </c>
    </row>
    <row r="12314" spans="1:14" x14ac:dyDescent="0.25">
      <c r="A12314" t="s">
        <v>21175</v>
      </c>
      <c r="B12314" t="s">
        <v>19896</v>
      </c>
      <c r="C12314" s="1" t="str">
        <f>HYPERLINK("http://www.genecards.org/cgi-bin/carddisp.pl?gene=MPRIP","GeneCards")</f>
        <v>GeneCards</v>
      </c>
      <c r="D12314" s="1" t="str">
        <f>HYPERLINK("http://genome-euro.ucsc.edu/cgi-bin/hgTracks?position=214771_x_at","UCSC")</f>
        <v>UCSC</v>
      </c>
      <c r="E12314" s="1" t="str">
        <f>HYPERLINK("http://www.ncbi.nlm.nih.gov/gene/?term=MPRIP","NCBI")</f>
        <v>NCBI</v>
      </c>
      <c r="F12314">
        <v>0.35</v>
      </c>
      <c r="G12314">
        <v>0.49</v>
      </c>
      <c r="H12314" s="1" t="str">
        <f>HYPERLINK("http://www.weizmann.ac.il/complex/compphys/software/geview/data/figures/214771_x_at.png","Figure")</f>
        <v>Figure</v>
      </c>
      <c r="I12314">
        <v>1.02</v>
      </c>
      <c r="J12314">
        <v>1</v>
      </c>
      <c r="K12314">
        <v>1.45</v>
      </c>
      <c r="L12314">
        <v>0.41</v>
      </c>
      <c r="M12314">
        <v>1.42</v>
      </c>
      <c r="N12314">
        <v>0.49</v>
      </c>
    </row>
    <row r="12315" spans="1:14" x14ac:dyDescent="0.25">
      <c r="A12315" t="s">
        <v>21176</v>
      </c>
      <c r="B12315" t="s">
        <v>10205</v>
      </c>
      <c r="C12315" s="1" t="str">
        <f>HYPERLINK("http://www.genecards.org/cgi-bin/carddisp.pl?gene=DUSP7","GeneCards")</f>
        <v>GeneCards</v>
      </c>
      <c r="D12315" s="1" t="str">
        <f>HYPERLINK("http://genome-euro.ucsc.edu/cgi-bin/hgTracks?position=214793_at","UCSC")</f>
        <v>UCSC</v>
      </c>
      <c r="E12315" s="1" t="str">
        <f>HYPERLINK("http://www.ncbi.nlm.nih.gov/gene/?term=DUSP7","NCBI")</f>
        <v>NCBI</v>
      </c>
      <c r="F12315">
        <v>0.36</v>
      </c>
      <c r="G12315">
        <v>0.49</v>
      </c>
      <c r="H12315" s="1" t="str">
        <f>HYPERLINK("http://www.weizmann.ac.il/complex/compphys/software/geview/data/figures/214793_at.png","Figure")</f>
        <v>Figure</v>
      </c>
      <c r="I12315">
        <v>1</v>
      </c>
      <c r="J12315">
        <v>0.47</v>
      </c>
      <c r="K12315">
        <v>1</v>
      </c>
      <c r="L12315">
        <v>0.38</v>
      </c>
      <c r="M12315">
        <v>1</v>
      </c>
      <c r="N12315">
        <v>1</v>
      </c>
    </row>
    <row r="12316" spans="1:14" x14ac:dyDescent="0.25">
      <c r="A12316" t="s">
        <v>21177</v>
      </c>
      <c r="B12316" t="s">
        <v>7477</v>
      </c>
      <c r="C12316" s="1" t="str">
        <f>HYPERLINK("http://www.genecards.org/cgi-bin/carddisp.pl?gene=ADAM10","GeneCards")</f>
        <v>GeneCards</v>
      </c>
      <c r="D12316" s="1" t="str">
        <f>HYPERLINK("http://genome-euro.ucsc.edu/cgi-bin/hgTracks?position=214895_s_at","UCSC")</f>
        <v>UCSC</v>
      </c>
      <c r="E12316" s="1" t="str">
        <f>HYPERLINK("http://www.ncbi.nlm.nih.gov/gene/?term=ADAM10","NCBI")</f>
        <v>NCBI</v>
      </c>
      <c r="F12316">
        <v>0.36</v>
      </c>
      <c r="G12316">
        <v>0.49</v>
      </c>
      <c r="H12316" s="1" t="str">
        <f>HYPERLINK("http://www.weizmann.ac.il/complex/compphys/software/geview/data/figures/214895_s_at.png","Figure")</f>
        <v>Figure</v>
      </c>
      <c r="I12316">
        <v>1.04</v>
      </c>
      <c r="J12316">
        <v>0.47</v>
      </c>
      <c r="K12316">
        <v>1.04</v>
      </c>
      <c r="L12316">
        <v>0.38</v>
      </c>
      <c r="M12316">
        <v>1</v>
      </c>
      <c r="N12316">
        <v>1</v>
      </c>
    </row>
    <row r="12317" spans="1:14" x14ac:dyDescent="0.25">
      <c r="A12317" t="s">
        <v>21178</v>
      </c>
      <c r="B12317" t="s">
        <v>21179</v>
      </c>
      <c r="C12317" s="1" t="str">
        <f>HYPERLINK("http://www.genecards.org/cgi-bin/carddisp.pl?gene=IL4I1 /// NUP62 /// SIGLEC11","GeneCards")</f>
        <v>GeneCards</v>
      </c>
      <c r="D12317" s="1" t="str">
        <f>HYPERLINK("http://genome-euro.ucsc.edu/cgi-bin/hgTracks?position=214935_at","UCSC")</f>
        <v>UCSC</v>
      </c>
      <c r="E12317" s="1" t="str">
        <f>HYPERLINK("http://www.ncbi.nlm.nih.gov/gene/?term=IL4I1 /// NUP62 /// SIGLEC11","NCBI")</f>
        <v>NCBI</v>
      </c>
      <c r="F12317">
        <v>0.36</v>
      </c>
      <c r="G12317">
        <v>0.49</v>
      </c>
      <c r="H12317" s="1" t="str">
        <f>HYPERLINK("http://www.weizmann.ac.il/complex/compphys/software/geview/data/figures/214935_at.png","Figure")</f>
        <v>Figure</v>
      </c>
      <c r="I12317">
        <v>1.02</v>
      </c>
      <c r="J12317">
        <v>0.47</v>
      </c>
      <c r="K12317">
        <v>1.02</v>
      </c>
      <c r="L12317">
        <v>0.38</v>
      </c>
      <c r="M12317">
        <v>1</v>
      </c>
      <c r="N12317">
        <v>1</v>
      </c>
    </row>
    <row r="12318" spans="1:14" x14ac:dyDescent="0.25">
      <c r="A12318" t="s">
        <v>21180</v>
      </c>
      <c r="B12318" t="s">
        <v>21181</v>
      </c>
      <c r="C12318" s="1" t="str">
        <f>HYPERLINK("http://www.genecards.org/cgi-bin/carddisp.pl?gene=MLLT4","GeneCards")</f>
        <v>GeneCards</v>
      </c>
      <c r="D12318" s="1" t="str">
        <f>HYPERLINK("http://genome-euro.ucsc.edu/cgi-bin/hgTracks?position=214939_x_at","UCSC")</f>
        <v>UCSC</v>
      </c>
      <c r="E12318" s="1" t="str">
        <f>HYPERLINK("http://www.ncbi.nlm.nih.gov/gene/?term=MLLT4","NCBI")</f>
        <v>NCBI</v>
      </c>
      <c r="F12318">
        <v>0.36</v>
      </c>
      <c r="G12318">
        <v>0.49</v>
      </c>
      <c r="H12318" s="1" t="str">
        <f>HYPERLINK("http://www.weizmann.ac.il/complex/compphys/software/geview/data/figures/214939_x_at.png","Figure")</f>
        <v>Figure</v>
      </c>
      <c r="I12318">
        <v>1.02</v>
      </c>
      <c r="J12318">
        <v>0.47</v>
      </c>
      <c r="K12318">
        <v>1.02</v>
      </c>
      <c r="L12318">
        <v>0.38</v>
      </c>
      <c r="M12318">
        <v>1</v>
      </c>
      <c r="N12318">
        <v>1</v>
      </c>
    </row>
    <row r="12319" spans="1:14" x14ac:dyDescent="0.25">
      <c r="A12319" t="s">
        <v>21182</v>
      </c>
      <c r="B12319" t="s">
        <v>21183</v>
      </c>
      <c r="C12319" s="1" t="str">
        <f>HYPERLINK("http://www.genecards.org/cgi-bin/carddisp.pl?gene=FAM153A /// FAM153B /// FAM153C","GeneCards")</f>
        <v>GeneCards</v>
      </c>
      <c r="D12319" s="1" t="str">
        <f>HYPERLINK("http://genome-euro.ucsc.edu/cgi-bin/hgTracks?position=214945_at","UCSC")</f>
        <v>UCSC</v>
      </c>
      <c r="E12319" s="1" t="str">
        <f>HYPERLINK("http://www.ncbi.nlm.nih.gov/gene/?term=FAM153A /// FAM153B /// FAM153C","NCBI")</f>
        <v>NCBI</v>
      </c>
      <c r="F12319">
        <v>0.36</v>
      </c>
      <c r="G12319">
        <v>0.49</v>
      </c>
      <c r="H12319" s="1" t="str">
        <f>HYPERLINK("http://www.weizmann.ac.il/complex/compphys/software/geview/data/figures/214945_at.png","Figure")</f>
        <v>Figure</v>
      </c>
      <c r="I12319">
        <v>1.01</v>
      </c>
      <c r="J12319">
        <v>0.47</v>
      </c>
      <c r="K12319">
        <v>1.01</v>
      </c>
      <c r="L12319">
        <v>0.38</v>
      </c>
      <c r="M12319">
        <v>1</v>
      </c>
      <c r="N12319">
        <v>1</v>
      </c>
    </row>
    <row r="12320" spans="1:14" x14ac:dyDescent="0.25">
      <c r="A12320" t="s">
        <v>21184</v>
      </c>
      <c r="B12320" t="s">
        <v>21185</v>
      </c>
      <c r="C12320" s="1" t="str">
        <f>HYPERLINK("http://www.genecards.org/cgi-bin/carddisp.pl?gene=SENP3","GeneCards")</f>
        <v>GeneCards</v>
      </c>
      <c r="D12320" s="1" t="str">
        <f>HYPERLINK("http://genome-euro.ucsc.edu/cgi-bin/hgTracks?position=215114_at","UCSC")</f>
        <v>UCSC</v>
      </c>
      <c r="E12320" s="1" t="str">
        <f>HYPERLINK("http://www.ncbi.nlm.nih.gov/gene/?term=SENP3","NCBI")</f>
        <v>NCBI</v>
      </c>
      <c r="F12320">
        <v>0.35</v>
      </c>
      <c r="G12320">
        <v>0.49</v>
      </c>
      <c r="H12320" s="1" t="str">
        <f>HYPERLINK("http://www.weizmann.ac.il/complex/compphys/software/geview/data/figures/215114_at.png","Figure")</f>
        <v>Figure</v>
      </c>
      <c r="I12320">
        <v>1.01</v>
      </c>
      <c r="J12320">
        <v>1</v>
      </c>
      <c r="K12320">
        <v>0.92500000000000004</v>
      </c>
      <c r="L12320">
        <v>0.45</v>
      </c>
      <c r="M12320">
        <v>0.92</v>
      </c>
      <c r="N12320">
        <v>0.44</v>
      </c>
    </row>
    <row r="12321" spans="1:14" x14ac:dyDescent="0.25">
      <c r="A12321" t="s">
        <v>21186</v>
      </c>
      <c r="B12321" t="s">
        <v>21187</v>
      </c>
      <c r="C12321" s="1" t="str">
        <f>HYPERLINK("http://www.genecards.org/cgi-bin/carddisp.pl?gene=CXorf27","GeneCards")</f>
        <v>GeneCards</v>
      </c>
      <c r="D12321" s="1" t="str">
        <f>HYPERLINK("http://genome-euro.ucsc.edu/cgi-bin/hgTracks?position=215142_at","UCSC")</f>
        <v>UCSC</v>
      </c>
      <c r="E12321" s="1" t="str">
        <f>HYPERLINK("http://www.ncbi.nlm.nih.gov/gene/?term=CXorf27","NCBI")</f>
        <v>NCBI</v>
      </c>
      <c r="F12321">
        <v>0.36</v>
      </c>
      <c r="G12321">
        <v>0.49</v>
      </c>
      <c r="H12321" s="1" t="str">
        <f>HYPERLINK("http://www.weizmann.ac.il/complex/compphys/software/geview/data/figures/215142_at.png","Figure")</f>
        <v>Figure</v>
      </c>
      <c r="I12321">
        <v>1.03</v>
      </c>
      <c r="J12321">
        <v>0.47</v>
      </c>
      <c r="K12321">
        <v>1.03</v>
      </c>
      <c r="L12321">
        <v>0.38</v>
      </c>
      <c r="M12321">
        <v>1</v>
      </c>
      <c r="N12321">
        <v>1</v>
      </c>
    </row>
    <row r="12322" spans="1:14" x14ac:dyDescent="0.25">
      <c r="A12322" t="s">
        <v>21188</v>
      </c>
      <c r="B12322" t="s">
        <v>21189</v>
      </c>
      <c r="C12322" s="1" t="str">
        <f>HYPERLINK("http://www.genecards.org/cgi-bin/carddisp.pl?gene=DPY19L2P2","GeneCards")</f>
        <v>GeneCards</v>
      </c>
      <c r="D12322" s="1" t="str">
        <f>HYPERLINK("http://genome-euro.ucsc.edu/cgi-bin/hgTracks?position=215143_at","UCSC")</f>
        <v>UCSC</v>
      </c>
      <c r="E12322" s="1" t="str">
        <f>HYPERLINK("http://www.ncbi.nlm.nih.gov/gene/?term=DPY19L2P2","NCBI")</f>
        <v>NCBI</v>
      </c>
      <c r="F12322">
        <v>0.36</v>
      </c>
      <c r="G12322">
        <v>0.49</v>
      </c>
      <c r="H12322" s="1" t="str">
        <f>HYPERLINK("http://www.weizmann.ac.il/complex/compphys/software/geview/data/figures/215143_at.png","Figure")</f>
        <v>Figure</v>
      </c>
      <c r="I12322">
        <v>1</v>
      </c>
      <c r="J12322">
        <v>0.47</v>
      </c>
      <c r="K12322">
        <v>1</v>
      </c>
      <c r="L12322">
        <v>0.38</v>
      </c>
      <c r="M12322">
        <v>1</v>
      </c>
      <c r="N12322">
        <v>1</v>
      </c>
    </row>
    <row r="12323" spans="1:14" x14ac:dyDescent="0.25">
      <c r="A12323" t="s">
        <v>21190</v>
      </c>
      <c r="B12323" t="s">
        <v>13921</v>
      </c>
      <c r="C12323" s="1" t="str">
        <f>HYPERLINK("http://www.genecards.org/cgi-bin/carddisp.pl?gene=SNTB1","GeneCards")</f>
        <v>GeneCards</v>
      </c>
      <c r="D12323" s="1" t="str">
        <f>HYPERLINK("http://genome-euro.ucsc.edu/cgi-bin/hgTracks?position=215431_at","UCSC")</f>
        <v>UCSC</v>
      </c>
      <c r="E12323" s="1" t="str">
        <f>HYPERLINK("http://www.ncbi.nlm.nih.gov/gene/?term=SNTB1","NCBI")</f>
        <v>NCBI</v>
      </c>
      <c r="F12323">
        <v>0.36</v>
      </c>
      <c r="G12323">
        <v>0.49</v>
      </c>
      <c r="H12323" s="1" t="str">
        <f>HYPERLINK("http://www.weizmann.ac.il/complex/compphys/software/geview/data/figures/215431_at.png","Figure")</f>
        <v>Figure</v>
      </c>
      <c r="I12323">
        <v>1</v>
      </c>
      <c r="J12323">
        <v>0.47</v>
      </c>
      <c r="K12323">
        <v>1</v>
      </c>
      <c r="L12323">
        <v>0.38</v>
      </c>
      <c r="M12323">
        <v>1</v>
      </c>
      <c r="N12323">
        <v>1</v>
      </c>
    </row>
    <row r="12324" spans="1:14" x14ac:dyDescent="0.25">
      <c r="A12324" t="s">
        <v>21191</v>
      </c>
      <c r="B12324" t="s">
        <v>18700</v>
      </c>
      <c r="C12324" s="1" t="str">
        <f>HYPERLINK("http://www.genecards.org/cgi-bin/carddisp.pl?gene=MYCL1","GeneCards")</f>
        <v>GeneCards</v>
      </c>
      <c r="D12324" s="1" t="str">
        <f>HYPERLINK("http://genome-euro.ucsc.edu/cgi-bin/hgTracks?position=215491_at","UCSC")</f>
        <v>UCSC</v>
      </c>
      <c r="E12324" s="1" t="str">
        <f>HYPERLINK("http://www.ncbi.nlm.nih.gov/gene/?term=MYCL1","NCBI")</f>
        <v>NCBI</v>
      </c>
      <c r="F12324">
        <v>0.36</v>
      </c>
      <c r="G12324">
        <v>0.49</v>
      </c>
      <c r="H12324" s="1" t="str">
        <f>HYPERLINK("http://www.weizmann.ac.il/complex/compphys/software/geview/data/figures/215491_at.png","Figure")</f>
        <v>Figure</v>
      </c>
      <c r="I12324">
        <v>1</v>
      </c>
      <c r="J12324">
        <v>0.47</v>
      </c>
      <c r="K12324">
        <v>1</v>
      </c>
      <c r="L12324">
        <v>0.38</v>
      </c>
      <c r="M12324">
        <v>1</v>
      </c>
      <c r="N12324">
        <v>1</v>
      </c>
    </row>
    <row r="12325" spans="1:14" x14ac:dyDescent="0.25">
      <c r="A12325" t="s">
        <v>21192</v>
      </c>
      <c r="B12325" t="s">
        <v>7956</v>
      </c>
      <c r="C12325" s="1" t="str">
        <f>HYPERLINK("http://www.genecards.org/cgi-bin/carddisp.pl?gene=BUB1","GeneCards")</f>
        <v>GeneCards</v>
      </c>
      <c r="D12325" s="1" t="str">
        <f>HYPERLINK("http://genome-euro.ucsc.edu/cgi-bin/hgTracks?position=215509_s_at","UCSC")</f>
        <v>UCSC</v>
      </c>
      <c r="E12325" s="1" t="str">
        <f>HYPERLINK("http://www.ncbi.nlm.nih.gov/gene/?term=BUB1","NCBI")</f>
        <v>NCBI</v>
      </c>
      <c r="F12325">
        <v>0.36</v>
      </c>
      <c r="G12325">
        <v>0.49</v>
      </c>
      <c r="H12325" s="1" t="str">
        <f>HYPERLINK("http://www.weizmann.ac.il/complex/compphys/software/geview/data/figures/215509_s_at.png","Figure")</f>
        <v>Figure</v>
      </c>
      <c r="I12325">
        <v>1.01</v>
      </c>
      <c r="J12325">
        <v>0.47</v>
      </c>
      <c r="K12325">
        <v>1.01</v>
      </c>
      <c r="L12325">
        <v>0.38</v>
      </c>
      <c r="M12325">
        <v>1</v>
      </c>
      <c r="N12325">
        <v>1</v>
      </c>
    </row>
    <row r="12326" spans="1:14" x14ac:dyDescent="0.25">
      <c r="A12326" t="s">
        <v>21193</v>
      </c>
      <c r="B12326" t="s">
        <v>1587</v>
      </c>
      <c r="C12326" s="1" t="str">
        <f>HYPERLINK("http://www.genecards.org/cgi-bin/carddisp.pl?gene=TSC22D2","GeneCards")</f>
        <v>GeneCards</v>
      </c>
      <c r="D12326" s="1" t="str">
        <f>HYPERLINK("http://genome-euro.ucsc.edu/cgi-bin/hgTracks?position=215547_at","UCSC")</f>
        <v>UCSC</v>
      </c>
      <c r="E12326" s="1" t="str">
        <f>HYPERLINK("http://www.ncbi.nlm.nih.gov/gene/?term=TSC22D2","NCBI")</f>
        <v>NCBI</v>
      </c>
      <c r="F12326">
        <v>0.36</v>
      </c>
      <c r="G12326">
        <v>0.49</v>
      </c>
      <c r="H12326" s="1" t="str">
        <f>HYPERLINK("http://www.weizmann.ac.il/complex/compphys/software/geview/data/figures/215547_at.png","Figure")</f>
        <v>Figure</v>
      </c>
      <c r="I12326">
        <v>1.02</v>
      </c>
      <c r="J12326">
        <v>0.47</v>
      </c>
      <c r="K12326">
        <v>1.02</v>
      </c>
      <c r="L12326">
        <v>0.38</v>
      </c>
      <c r="M12326">
        <v>1</v>
      </c>
      <c r="N12326">
        <v>1</v>
      </c>
    </row>
    <row r="12327" spans="1:14" x14ac:dyDescent="0.25">
      <c r="A12327" t="s">
        <v>21194</v>
      </c>
      <c r="B12327" t="s">
        <v>21195</v>
      </c>
      <c r="C12327" s="1" t="str">
        <f>HYPERLINK("http://www.genecards.org/cgi-bin/carddisp.pl?gene=GTF2IRD2 /// GTF2IRD2B","GeneCards")</f>
        <v>GeneCards</v>
      </c>
      <c r="D12327" s="1" t="str">
        <f>HYPERLINK("http://genome-euro.ucsc.edu/cgi-bin/hgTracks?position=215569_at","UCSC")</f>
        <v>UCSC</v>
      </c>
      <c r="E12327" s="1" t="str">
        <f>HYPERLINK("http://www.ncbi.nlm.nih.gov/gene/?term=GTF2IRD2 /// GTF2IRD2B","NCBI")</f>
        <v>NCBI</v>
      </c>
      <c r="F12327">
        <v>0.36</v>
      </c>
      <c r="G12327">
        <v>0.49</v>
      </c>
      <c r="H12327" s="1" t="str">
        <f>HYPERLINK("http://www.weizmann.ac.il/complex/compphys/software/geview/data/figures/215569_at.png","Figure")</f>
        <v>Figure</v>
      </c>
      <c r="I12327">
        <v>1.01</v>
      </c>
      <c r="J12327">
        <v>0.47</v>
      </c>
      <c r="K12327">
        <v>1.01</v>
      </c>
      <c r="L12327">
        <v>0.38</v>
      </c>
      <c r="M12327">
        <v>1</v>
      </c>
      <c r="N12327">
        <v>1</v>
      </c>
    </row>
    <row r="12328" spans="1:14" x14ac:dyDescent="0.25">
      <c r="A12328" t="s">
        <v>21196</v>
      </c>
      <c r="B12328" t="s">
        <v>21197</v>
      </c>
      <c r="C12328" s="1" t="str">
        <f>HYPERLINK("http://www.genecards.org/cgi-bin/carddisp.pl?gene=ANKRD53","GeneCards")</f>
        <v>GeneCards</v>
      </c>
      <c r="D12328" s="1" t="str">
        <f>HYPERLINK("http://genome-euro.ucsc.edu/cgi-bin/hgTracks?position=215759_at","UCSC")</f>
        <v>UCSC</v>
      </c>
      <c r="E12328" s="1" t="str">
        <f>HYPERLINK("http://www.ncbi.nlm.nih.gov/gene/?term=ANKRD53","NCBI")</f>
        <v>NCBI</v>
      </c>
      <c r="F12328">
        <v>0.36</v>
      </c>
      <c r="G12328">
        <v>0.49</v>
      </c>
      <c r="H12328" s="1" t="str">
        <f>HYPERLINK("http://www.weizmann.ac.il/complex/compphys/software/geview/data/figures/215759_at.png","Figure")</f>
        <v>Figure</v>
      </c>
      <c r="I12328">
        <v>1</v>
      </c>
      <c r="J12328">
        <v>0.47</v>
      </c>
      <c r="K12328">
        <v>1</v>
      </c>
      <c r="L12328">
        <v>0.38</v>
      </c>
      <c r="M12328">
        <v>1</v>
      </c>
      <c r="N12328">
        <v>1</v>
      </c>
    </row>
    <row r="12329" spans="1:14" x14ac:dyDescent="0.25">
      <c r="A12329" t="s">
        <v>21198</v>
      </c>
      <c r="B12329" t="s">
        <v>21199</v>
      </c>
      <c r="C12329" s="1" t="str">
        <f>HYPERLINK("http://www.genecards.org/cgi-bin/carddisp.pl?gene=TRAV8-3","GeneCards")</f>
        <v>GeneCards</v>
      </c>
      <c r="D12329" s="1" t="str">
        <f>HYPERLINK("http://genome-euro.ucsc.edu/cgi-bin/hgTracks?position=215797_at","UCSC")</f>
        <v>UCSC</v>
      </c>
      <c r="E12329" s="1" t="str">
        <f>HYPERLINK("http://www.ncbi.nlm.nih.gov/gene/?term=TRAV8-3","NCBI")</f>
        <v>NCBI</v>
      </c>
      <c r="F12329">
        <v>0.36</v>
      </c>
      <c r="G12329">
        <v>0.49</v>
      </c>
      <c r="H12329" s="1" t="str">
        <f>HYPERLINK("http://www.weizmann.ac.il/complex/compphys/software/geview/data/figures/215797_at.png","Figure")</f>
        <v>Figure</v>
      </c>
      <c r="I12329">
        <v>1.01</v>
      </c>
      <c r="J12329">
        <v>0.47</v>
      </c>
      <c r="K12329">
        <v>1.01</v>
      </c>
      <c r="L12329">
        <v>0.38</v>
      </c>
      <c r="M12329">
        <v>1</v>
      </c>
      <c r="N12329">
        <v>1</v>
      </c>
    </row>
    <row r="12330" spans="1:14" x14ac:dyDescent="0.25">
      <c r="A12330" t="s">
        <v>21200</v>
      </c>
      <c r="B12330" t="s">
        <v>21201</v>
      </c>
      <c r="C12330" s="1" t="str">
        <f>HYPERLINK("http://www.genecards.org/cgi-bin/carddisp.pl?gene=PSG3","GeneCards")</f>
        <v>GeneCards</v>
      </c>
      <c r="D12330" s="1" t="str">
        <f>HYPERLINK("http://genome-euro.ucsc.edu/cgi-bin/hgTracks?position=215821_x_at","UCSC")</f>
        <v>UCSC</v>
      </c>
      <c r="E12330" s="1" t="str">
        <f>HYPERLINK("http://www.ncbi.nlm.nih.gov/gene/?term=PSG3","NCBI")</f>
        <v>NCBI</v>
      </c>
      <c r="F12330">
        <v>0.36</v>
      </c>
      <c r="G12330">
        <v>0.49</v>
      </c>
      <c r="H12330" s="1" t="str">
        <f>HYPERLINK("http://www.weizmann.ac.il/complex/compphys/software/geview/data/figures/215821_x_at.png","Figure")</f>
        <v>Figure</v>
      </c>
      <c r="I12330">
        <v>1.1599999999999999</v>
      </c>
      <c r="J12330">
        <v>0.36</v>
      </c>
      <c r="K12330">
        <v>1.03</v>
      </c>
      <c r="L12330">
        <v>0.95</v>
      </c>
      <c r="M12330">
        <v>0.88600000000000001</v>
      </c>
      <c r="N12330">
        <v>0.45</v>
      </c>
    </row>
    <row r="12331" spans="1:14" x14ac:dyDescent="0.25">
      <c r="A12331" t="s">
        <v>21202</v>
      </c>
      <c r="B12331" t="s">
        <v>21203</v>
      </c>
      <c r="C12331" s="1" t="str">
        <f>HYPERLINK("http://www.genecards.org/cgi-bin/carddisp.pl?gene=HERC2P3","GeneCards")</f>
        <v>GeneCards</v>
      </c>
      <c r="D12331" s="1" t="str">
        <f>HYPERLINK("http://genome-euro.ucsc.edu/cgi-bin/hgTracks?position=215847_at","UCSC")</f>
        <v>UCSC</v>
      </c>
      <c r="E12331" s="1" t="str">
        <f>HYPERLINK("http://www.ncbi.nlm.nih.gov/gene/?term=HERC2P3","NCBI")</f>
        <v>NCBI</v>
      </c>
      <c r="F12331">
        <v>0.36</v>
      </c>
      <c r="G12331">
        <v>0.49</v>
      </c>
      <c r="H12331" s="1" t="str">
        <f>HYPERLINK("http://www.weizmann.ac.il/complex/compphys/software/geview/data/figures/215847_at.png","Figure")</f>
        <v>Figure</v>
      </c>
      <c r="I12331">
        <v>1.06</v>
      </c>
      <c r="J12331">
        <v>0.47</v>
      </c>
      <c r="K12331">
        <v>1.06</v>
      </c>
      <c r="L12331">
        <v>0.38</v>
      </c>
      <c r="M12331">
        <v>1</v>
      </c>
      <c r="N12331">
        <v>1</v>
      </c>
    </row>
    <row r="12332" spans="1:14" x14ac:dyDescent="0.25">
      <c r="A12332" t="s">
        <v>21204</v>
      </c>
      <c r="B12332" t="s">
        <v>5835</v>
      </c>
      <c r="C12332" s="1" t="str">
        <f>HYPERLINK("http://www.genecards.org/cgi-bin/carddisp.pl?gene=C20orf117","GeneCards")</f>
        <v>GeneCards</v>
      </c>
      <c r="D12332" s="1" t="str">
        <f>HYPERLINK("http://genome-euro.ucsc.edu/cgi-bin/hgTracks?position=215852_x_at","UCSC")</f>
        <v>UCSC</v>
      </c>
      <c r="E12332" s="1" t="str">
        <f>HYPERLINK("http://www.ncbi.nlm.nih.gov/gene/?term=C20orf117","NCBI")</f>
        <v>NCBI</v>
      </c>
      <c r="F12332">
        <v>0.36</v>
      </c>
      <c r="G12332">
        <v>0.49</v>
      </c>
      <c r="H12332" s="1" t="str">
        <f>HYPERLINK("http://www.weizmann.ac.il/complex/compphys/software/geview/data/figures/215852_x_at.png","Figure")</f>
        <v>Figure</v>
      </c>
      <c r="I12332">
        <v>1.02</v>
      </c>
      <c r="J12332">
        <v>0.47</v>
      </c>
      <c r="K12332">
        <v>1.02</v>
      </c>
      <c r="L12332">
        <v>0.38</v>
      </c>
      <c r="M12332">
        <v>1</v>
      </c>
      <c r="N12332">
        <v>1</v>
      </c>
    </row>
    <row r="12333" spans="1:14" x14ac:dyDescent="0.25">
      <c r="A12333" t="s">
        <v>21205</v>
      </c>
      <c r="B12333" t="s">
        <v>21206</v>
      </c>
      <c r="C12333" s="1" t="str">
        <f>HYPERLINK("http://www.genecards.org/cgi-bin/carddisp.pl?gene=PLEKHM1","GeneCards")</f>
        <v>GeneCards</v>
      </c>
      <c r="D12333" s="1" t="str">
        <f>HYPERLINK("http://genome-euro.ucsc.edu/cgi-bin/hgTracks?position=216200_at","UCSC")</f>
        <v>UCSC</v>
      </c>
      <c r="E12333" s="1" t="str">
        <f>HYPERLINK("http://www.ncbi.nlm.nih.gov/gene/?term=PLEKHM1","NCBI")</f>
        <v>NCBI</v>
      </c>
      <c r="F12333">
        <v>0.36</v>
      </c>
      <c r="G12333">
        <v>0.49</v>
      </c>
      <c r="H12333" s="1" t="str">
        <f>HYPERLINK("http://www.weizmann.ac.il/complex/compphys/software/geview/data/figures/216200_at.png","Figure")</f>
        <v>Figure</v>
      </c>
      <c r="I12333">
        <v>1</v>
      </c>
      <c r="J12333">
        <v>0.47</v>
      </c>
      <c r="K12333">
        <v>1</v>
      </c>
      <c r="L12333">
        <v>0.38</v>
      </c>
      <c r="M12333">
        <v>1</v>
      </c>
      <c r="N12333">
        <v>1</v>
      </c>
    </row>
    <row r="12334" spans="1:14" x14ac:dyDescent="0.25">
      <c r="A12334" t="s">
        <v>21207</v>
      </c>
      <c r="B12334" t="s">
        <v>21208</v>
      </c>
      <c r="C12334" s="1" t="str">
        <f>HYPERLINK("http://www.genecards.org/cgi-bin/carddisp.pl?gene=SEC14L4","GeneCards")</f>
        <v>GeneCards</v>
      </c>
      <c r="D12334" s="1" t="str">
        <f>HYPERLINK("http://genome-euro.ucsc.edu/cgi-bin/hgTracks?position=216402_at","UCSC")</f>
        <v>UCSC</v>
      </c>
      <c r="E12334" s="1" t="str">
        <f>HYPERLINK("http://www.ncbi.nlm.nih.gov/gene/?term=SEC14L4","NCBI")</f>
        <v>NCBI</v>
      </c>
      <c r="F12334">
        <v>0.36</v>
      </c>
      <c r="G12334">
        <v>0.49</v>
      </c>
      <c r="H12334" s="1" t="str">
        <f>HYPERLINK("http://www.weizmann.ac.il/complex/compphys/software/geview/data/figures/216402_at.png","Figure")</f>
        <v>Figure</v>
      </c>
      <c r="I12334">
        <v>1.01</v>
      </c>
      <c r="J12334">
        <v>0.47</v>
      </c>
      <c r="K12334">
        <v>1.01</v>
      </c>
      <c r="L12334">
        <v>0.38</v>
      </c>
      <c r="M12334">
        <v>1</v>
      </c>
      <c r="N12334">
        <v>1</v>
      </c>
    </row>
    <row r="12335" spans="1:14" x14ac:dyDescent="0.25">
      <c r="A12335" t="s">
        <v>21209</v>
      </c>
      <c r="B12335" t="s">
        <v>12061</v>
      </c>
      <c r="C12335" s="1" t="str">
        <f>HYPERLINK("http://www.genecards.org/cgi-bin/carddisp.pl?gene=ZNF79","GeneCards")</f>
        <v>GeneCards</v>
      </c>
      <c r="D12335" s="1" t="str">
        <f>HYPERLINK("http://genome-euro.ucsc.edu/cgi-bin/hgTracks?position=216482_x_at","UCSC")</f>
        <v>UCSC</v>
      </c>
      <c r="E12335" s="1" t="str">
        <f>HYPERLINK("http://www.ncbi.nlm.nih.gov/gene/?term=ZNF79","NCBI")</f>
        <v>NCBI</v>
      </c>
      <c r="F12335">
        <v>0.36</v>
      </c>
      <c r="G12335">
        <v>0.49</v>
      </c>
      <c r="H12335" s="1" t="str">
        <f>HYPERLINK("http://www.weizmann.ac.il/complex/compphys/software/geview/data/figures/216482_x_at.png","Figure")</f>
        <v>Figure</v>
      </c>
      <c r="I12335">
        <v>1</v>
      </c>
      <c r="J12335">
        <v>0.47</v>
      </c>
      <c r="K12335">
        <v>1</v>
      </c>
      <c r="L12335">
        <v>0.38</v>
      </c>
      <c r="M12335">
        <v>1</v>
      </c>
      <c r="N12335">
        <v>1</v>
      </c>
    </row>
    <row r="12336" spans="1:14" x14ac:dyDescent="0.25">
      <c r="A12336" t="s">
        <v>21210</v>
      </c>
      <c r="B12336" t="s">
        <v>21211</v>
      </c>
      <c r="C12336" s="1" t="str">
        <f>HYPERLINK("http://www.genecards.org/cgi-bin/carddisp.pl?gene=FOXL1","GeneCards")</f>
        <v>GeneCards</v>
      </c>
      <c r="D12336" s="1" t="str">
        <f>HYPERLINK("http://genome-euro.ucsc.edu/cgi-bin/hgTracks?position=216572_at","UCSC")</f>
        <v>UCSC</v>
      </c>
      <c r="E12336" s="1" t="str">
        <f>HYPERLINK("http://www.ncbi.nlm.nih.gov/gene/?term=FOXL1","NCBI")</f>
        <v>NCBI</v>
      </c>
      <c r="F12336">
        <v>0.36</v>
      </c>
      <c r="G12336">
        <v>0.49</v>
      </c>
      <c r="H12336" s="1" t="str">
        <f>HYPERLINK("http://www.weizmann.ac.il/complex/compphys/software/geview/data/figures/216572_at.png","Figure")</f>
        <v>Figure</v>
      </c>
      <c r="I12336">
        <v>1.01</v>
      </c>
      <c r="J12336">
        <v>0.47</v>
      </c>
      <c r="K12336">
        <v>1.01</v>
      </c>
      <c r="L12336">
        <v>0.38</v>
      </c>
      <c r="M12336">
        <v>1</v>
      </c>
      <c r="N12336">
        <v>1</v>
      </c>
    </row>
    <row r="12337" spans="1:14" x14ac:dyDescent="0.25">
      <c r="A12337" t="s">
        <v>21212</v>
      </c>
      <c r="B12337" t="s">
        <v>8104</v>
      </c>
      <c r="C12337" s="1" t="str">
        <f>HYPERLINK("http://www.genecards.org/cgi-bin/carddisp.pl?gene=B4GALT1","GeneCards")</f>
        <v>GeneCards</v>
      </c>
      <c r="D12337" s="1" t="str">
        <f>HYPERLINK("http://genome-euro.ucsc.edu/cgi-bin/hgTracks?position=216627_s_at","UCSC")</f>
        <v>UCSC</v>
      </c>
      <c r="E12337" s="1" t="str">
        <f>HYPERLINK("http://www.ncbi.nlm.nih.gov/gene/?term=B4GALT1","NCBI")</f>
        <v>NCBI</v>
      </c>
      <c r="F12337">
        <v>0.36</v>
      </c>
      <c r="G12337">
        <v>0.49</v>
      </c>
      <c r="H12337" s="1" t="str">
        <f>HYPERLINK("http://www.weizmann.ac.il/complex/compphys/software/geview/data/figures/216627_s_at.png","Figure")</f>
        <v>Figure</v>
      </c>
      <c r="I12337">
        <v>1.02</v>
      </c>
      <c r="J12337">
        <v>0.47</v>
      </c>
      <c r="K12337">
        <v>1.02</v>
      </c>
      <c r="L12337">
        <v>0.38</v>
      </c>
      <c r="M12337">
        <v>1</v>
      </c>
      <c r="N12337">
        <v>1</v>
      </c>
    </row>
    <row r="12338" spans="1:14" x14ac:dyDescent="0.25">
      <c r="A12338" t="s">
        <v>21213</v>
      </c>
      <c r="B12338" t="s">
        <v>6722</v>
      </c>
      <c r="C12338" s="1" t="str">
        <f>HYPERLINK("http://www.genecards.org/cgi-bin/carddisp.pl?gene=C1orf68","GeneCards")</f>
        <v>GeneCards</v>
      </c>
      <c r="D12338" s="1" t="str">
        <f>HYPERLINK("http://genome-euro.ucsc.edu/cgi-bin/hgTracks?position=216701_at","UCSC")</f>
        <v>UCSC</v>
      </c>
      <c r="E12338" s="1" t="str">
        <f>HYPERLINK("http://www.ncbi.nlm.nih.gov/gene/?term=C1orf68","NCBI")</f>
        <v>NCBI</v>
      </c>
      <c r="F12338">
        <v>0.36</v>
      </c>
      <c r="G12338">
        <v>0.49</v>
      </c>
      <c r="H12338" s="1" t="str">
        <f>HYPERLINK("http://www.weizmann.ac.il/complex/compphys/software/geview/data/figures/216701_at.png","Figure")</f>
        <v>Figure</v>
      </c>
      <c r="I12338">
        <v>1.01</v>
      </c>
      <c r="J12338">
        <v>0.47</v>
      </c>
      <c r="K12338">
        <v>1.01</v>
      </c>
      <c r="L12338">
        <v>0.38</v>
      </c>
      <c r="M12338">
        <v>1</v>
      </c>
      <c r="N12338">
        <v>1</v>
      </c>
    </row>
    <row r="12339" spans="1:14" x14ac:dyDescent="0.25">
      <c r="A12339" t="s">
        <v>21214</v>
      </c>
      <c r="B12339" t="s">
        <v>6728</v>
      </c>
      <c r="C12339" s="1" t="str">
        <f>HYPERLINK("http://www.genecards.org/cgi-bin/carddisp.pl?gene=HNRNPU","GeneCards")</f>
        <v>GeneCards</v>
      </c>
      <c r="D12339" s="1" t="str">
        <f>HYPERLINK("http://genome-euro.ucsc.edu/cgi-bin/hgTracks?position=216855_s_at","UCSC")</f>
        <v>UCSC</v>
      </c>
      <c r="E12339" s="1" t="str">
        <f>HYPERLINK("http://www.ncbi.nlm.nih.gov/gene/?term=HNRNPU","NCBI")</f>
        <v>NCBI</v>
      </c>
      <c r="F12339">
        <v>0.36</v>
      </c>
      <c r="G12339">
        <v>0.49</v>
      </c>
      <c r="H12339" s="1" t="str">
        <f>HYPERLINK("http://www.weizmann.ac.il/complex/compphys/software/geview/data/figures/216855_s_at.png","Figure")</f>
        <v>Figure</v>
      </c>
      <c r="I12339">
        <v>1.01</v>
      </c>
      <c r="J12339">
        <v>0.47</v>
      </c>
      <c r="K12339">
        <v>1.01</v>
      </c>
      <c r="L12339">
        <v>0.38</v>
      </c>
      <c r="M12339">
        <v>1</v>
      </c>
      <c r="N12339">
        <v>1</v>
      </c>
    </row>
    <row r="12340" spans="1:14" x14ac:dyDescent="0.25">
      <c r="A12340" t="s">
        <v>21215</v>
      </c>
      <c r="B12340" t="s">
        <v>9730</v>
      </c>
      <c r="C12340" s="1" t="str">
        <f>HYPERLINK("http://www.genecards.org/cgi-bin/carddisp.pl?gene=PDGFA","GeneCards")</f>
        <v>GeneCards</v>
      </c>
      <c r="D12340" s="1" t="str">
        <f>HYPERLINK("http://genome-euro.ucsc.edu/cgi-bin/hgTracks?position=216867_s_at","UCSC")</f>
        <v>UCSC</v>
      </c>
      <c r="E12340" s="1" t="str">
        <f>HYPERLINK("http://www.ncbi.nlm.nih.gov/gene/?term=PDGFA","NCBI")</f>
        <v>NCBI</v>
      </c>
      <c r="F12340">
        <v>0.36</v>
      </c>
      <c r="G12340">
        <v>0.49</v>
      </c>
      <c r="H12340" s="1" t="str">
        <f>HYPERLINK("http://www.weizmann.ac.il/complex/compphys/software/geview/data/figures/216867_s_at.png","Figure")</f>
        <v>Figure</v>
      </c>
      <c r="I12340">
        <v>1.02</v>
      </c>
      <c r="J12340">
        <v>0.99</v>
      </c>
      <c r="K12340">
        <v>1.3</v>
      </c>
      <c r="L12340">
        <v>0.4</v>
      </c>
      <c r="M12340">
        <v>1.27</v>
      </c>
      <c r="N12340">
        <v>0.51</v>
      </c>
    </row>
    <row r="12341" spans="1:14" x14ac:dyDescent="0.25">
      <c r="A12341" t="s">
        <v>21216</v>
      </c>
      <c r="B12341" t="s">
        <v>21217</v>
      </c>
      <c r="C12341" s="1" t="str">
        <f>HYPERLINK("http://www.genecards.org/cgi-bin/carddisp.pl?gene=ST14","GeneCards")</f>
        <v>GeneCards</v>
      </c>
      <c r="D12341" s="1" t="str">
        <f>HYPERLINK("http://genome-euro.ucsc.edu/cgi-bin/hgTracks?position=216905_s_at","UCSC")</f>
        <v>UCSC</v>
      </c>
      <c r="E12341" s="1" t="str">
        <f>HYPERLINK("http://www.ncbi.nlm.nih.gov/gene/?term=ST14","NCBI")</f>
        <v>NCBI</v>
      </c>
      <c r="F12341">
        <v>0.36</v>
      </c>
      <c r="G12341">
        <v>0.49</v>
      </c>
      <c r="H12341" s="1" t="str">
        <f>HYPERLINK("http://www.weizmann.ac.il/complex/compphys/software/geview/data/figures/216905_s_at.png","Figure")</f>
        <v>Figure</v>
      </c>
      <c r="I12341">
        <v>1</v>
      </c>
      <c r="J12341">
        <v>0.47</v>
      </c>
      <c r="K12341">
        <v>1</v>
      </c>
      <c r="L12341">
        <v>0.38</v>
      </c>
      <c r="M12341">
        <v>1</v>
      </c>
      <c r="N12341">
        <v>1</v>
      </c>
    </row>
    <row r="12342" spans="1:14" x14ac:dyDescent="0.25">
      <c r="A12342" t="s">
        <v>21218</v>
      </c>
      <c r="B12342" t="s">
        <v>10602</v>
      </c>
      <c r="C12342" s="1" t="str">
        <f>HYPERLINK("http://www.genecards.org/cgi-bin/carddisp.pl?gene=CELSR1","GeneCards")</f>
        <v>GeneCards</v>
      </c>
      <c r="D12342" s="1" t="str">
        <f>HYPERLINK("http://genome-euro.ucsc.edu/cgi-bin/hgTracks?position=217262_s_at","UCSC")</f>
        <v>UCSC</v>
      </c>
      <c r="E12342" s="1" t="str">
        <f>HYPERLINK("http://www.ncbi.nlm.nih.gov/gene/?term=CELSR1","NCBI")</f>
        <v>NCBI</v>
      </c>
      <c r="F12342">
        <v>0.36</v>
      </c>
      <c r="G12342">
        <v>0.49</v>
      </c>
      <c r="H12342" s="1" t="str">
        <f>HYPERLINK("http://www.weizmann.ac.il/complex/compphys/software/geview/data/figures/217262_s_at.png","Figure")</f>
        <v>Figure</v>
      </c>
      <c r="I12342">
        <v>1.0900000000000001</v>
      </c>
      <c r="J12342">
        <v>0.47</v>
      </c>
      <c r="K12342">
        <v>1.0900000000000001</v>
      </c>
      <c r="L12342">
        <v>0.38</v>
      </c>
      <c r="M12342">
        <v>1</v>
      </c>
      <c r="N12342">
        <v>1</v>
      </c>
    </row>
    <row r="12343" spans="1:14" x14ac:dyDescent="0.25">
      <c r="A12343" t="s">
        <v>21219</v>
      </c>
      <c r="B12343" t="s">
        <v>21220</v>
      </c>
      <c r="C12343" s="1" t="str">
        <f>HYPERLINK("http://www.genecards.org/cgi-bin/carddisp.pl?gene=KRT3","GeneCards")</f>
        <v>GeneCards</v>
      </c>
      <c r="D12343" s="1" t="str">
        <f>HYPERLINK("http://genome-euro.ucsc.edu/cgi-bin/hgTracks?position=217325_at","UCSC")</f>
        <v>UCSC</v>
      </c>
      <c r="E12343" s="1" t="str">
        <f>HYPERLINK("http://www.ncbi.nlm.nih.gov/gene/?term=KRT3","NCBI")</f>
        <v>NCBI</v>
      </c>
      <c r="F12343">
        <v>0.36</v>
      </c>
      <c r="G12343">
        <v>0.49</v>
      </c>
      <c r="H12343" s="1" t="str">
        <f>HYPERLINK("http://www.weizmann.ac.il/complex/compphys/software/geview/data/figures/217325_at.png","Figure")</f>
        <v>Figure</v>
      </c>
      <c r="I12343">
        <v>1.01</v>
      </c>
      <c r="J12343">
        <v>0.47</v>
      </c>
      <c r="K12343">
        <v>1.01</v>
      </c>
      <c r="L12343">
        <v>0.38</v>
      </c>
      <c r="M12343">
        <v>1</v>
      </c>
      <c r="N12343">
        <v>1</v>
      </c>
    </row>
    <row r="12344" spans="1:14" x14ac:dyDescent="0.25">
      <c r="A12344" t="s">
        <v>21221</v>
      </c>
      <c r="B12344" t="s">
        <v>21222</v>
      </c>
      <c r="C12344" s="1" t="str">
        <f>HYPERLINK("http://www.genecards.org/cgi-bin/carddisp.pl?gene=LOC392555","GeneCards")</f>
        <v>GeneCards</v>
      </c>
      <c r="D12344" s="1" t="str">
        <f>HYPERLINK("http://genome-euro.ucsc.edu/cgi-bin/hgTracks?position=217385_at","UCSC")</f>
        <v>UCSC</v>
      </c>
      <c r="E12344" s="1" t="str">
        <f>HYPERLINK("http://www.ncbi.nlm.nih.gov/gene/?term=LOC392555","NCBI")</f>
        <v>NCBI</v>
      </c>
      <c r="F12344">
        <v>0.36</v>
      </c>
      <c r="G12344">
        <v>0.49</v>
      </c>
      <c r="H12344" s="1" t="str">
        <f>HYPERLINK("http://www.weizmann.ac.il/complex/compphys/software/geview/data/figures/217385_at.png","Figure")</f>
        <v>Figure</v>
      </c>
      <c r="I12344">
        <v>1.01</v>
      </c>
      <c r="J12344">
        <v>0.47</v>
      </c>
      <c r="K12344">
        <v>1.01</v>
      </c>
      <c r="L12344">
        <v>0.38</v>
      </c>
      <c r="M12344">
        <v>1</v>
      </c>
      <c r="N12344">
        <v>1</v>
      </c>
    </row>
    <row r="12345" spans="1:14" x14ac:dyDescent="0.25">
      <c r="A12345" t="s">
        <v>21223</v>
      </c>
      <c r="B12345" t="s">
        <v>21224</v>
      </c>
      <c r="C12345" s="1" t="str">
        <f>HYPERLINK("http://www.genecards.org/cgi-bin/carddisp.pl?gene=CALCA","GeneCards")</f>
        <v>GeneCards</v>
      </c>
      <c r="D12345" s="1" t="str">
        <f>HYPERLINK("http://genome-euro.ucsc.edu/cgi-bin/hgTracks?position=217495_x_at","UCSC")</f>
        <v>UCSC</v>
      </c>
      <c r="E12345" s="1" t="str">
        <f>HYPERLINK("http://www.ncbi.nlm.nih.gov/gene/?term=CALCA","NCBI")</f>
        <v>NCBI</v>
      </c>
      <c r="F12345">
        <v>0.36</v>
      </c>
      <c r="G12345">
        <v>0.49</v>
      </c>
      <c r="H12345" s="1" t="str">
        <f>HYPERLINK("http://www.weizmann.ac.il/complex/compphys/software/geview/data/figures/217495_x_at.png","Figure")</f>
        <v>Figure</v>
      </c>
      <c r="I12345">
        <v>1.1299999999999999</v>
      </c>
      <c r="J12345">
        <v>0.38</v>
      </c>
      <c r="K12345">
        <v>1.1000000000000001</v>
      </c>
      <c r="L12345">
        <v>0.47</v>
      </c>
      <c r="M12345">
        <v>0.97</v>
      </c>
      <c r="N12345">
        <v>0.93</v>
      </c>
    </row>
    <row r="12346" spans="1:14" x14ac:dyDescent="0.25">
      <c r="A12346" t="s">
        <v>21225</v>
      </c>
      <c r="B12346" t="s">
        <v>4012</v>
      </c>
      <c r="C12346" s="1" t="str">
        <f>HYPERLINK("http://www.genecards.org/cgi-bin/carddisp.pl?gene=ST3GAL2","GeneCards")</f>
        <v>GeneCards</v>
      </c>
      <c r="D12346" s="1" t="str">
        <f>HYPERLINK("http://genome-euro.ucsc.edu/cgi-bin/hgTracks?position=217650_x_at","UCSC")</f>
        <v>UCSC</v>
      </c>
      <c r="E12346" s="1" t="str">
        <f>HYPERLINK("http://www.ncbi.nlm.nih.gov/gene/?term=ST3GAL2","NCBI")</f>
        <v>NCBI</v>
      </c>
      <c r="F12346">
        <v>0.36</v>
      </c>
      <c r="G12346">
        <v>0.49</v>
      </c>
      <c r="H12346" s="1" t="str">
        <f>HYPERLINK("http://www.weizmann.ac.il/complex/compphys/software/geview/data/figures/217650_x_at.png","Figure")</f>
        <v>Figure</v>
      </c>
      <c r="I12346">
        <v>1.17</v>
      </c>
      <c r="J12346">
        <v>0.33</v>
      </c>
      <c r="K12346">
        <v>1.07</v>
      </c>
      <c r="L12346">
        <v>0.76</v>
      </c>
      <c r="M12346">
        <v>0.91300000000000003</v>
      </c>
      <c r="N12346">
        <v>0.63</v>
      </c>
    </row>
    <row r="12347" spans="1:14" x14ac:dyDescent="0.25">
      <c r="A12347" t="s">
        <v>21226</v>
      </c>
      <c r="B12347" t="s">
        <v>18344</v>
      </c>
      <c r="C12347" s="1" t="str">
        <f>HYPERLINK("http://www.genecards.org/cgi-bin/carddisp.pl?gene=IL27RA","GeneCards")</f>
        <v>GeneCards</v>
      </c>
      <c r="D12347" s="1" t="str">
        <f>HYPERLINK("http://genome-euro.ucsc.edu/cgi-bin/hgTracks?position=217702_at","UCSC")</f>
        <v>UCSC</v>
      </c>
      <c r="E12347" s="1" t="str">
        <f>HYPERLINK("http://www.ncbi.nlm.nih.gov/gene/?term=IL27RA","NCBI")</f>
        <v>NCBI</v>
      </c>
      <c r="F12347">
        <v>0.36</v>
      </c>
      <c r="G12347">
        <v>0.49</v>
      </c>
      <c r="H12347" s="1" t="str">
        <f>HYPERLINK("http://www.weizmann.ac.il/complex/compphys/software/geview/data/figures/217702_at.png","Figure")</f>
        <v>Figure</v>
      </c>
      <c r="I12347">
        <v>1.02</v>
      </c>
      <c r="J12347">
        <v>0.47</v>
      </c>
      <c r="K12347">
        <v>1.02</v>
      </c>
      <c r="L12347">
        <v>0.38</v>
      </c>
      <c r="M12347">
        <v>1</v>
      </c>
      <c r="N12347">
        <v>1</v>
      </c>
    </row>
    <row r="12348" spans="1:14" x14ac:dyDescent="0.25">
      <c r="A12348" t="s">
        <v>21227</v>
      </c>
      <c r="B12348" t="s">
        <v>21228</v>
      </c>
      <c r="C12348" s="1" t="str">
        <f>HYPERLINK("http://www.genecards.org/cgi-bin/carddisp.pl?gene=C16orf58","GeneCards")</f>
        <v>GeneCards</v>
      </c>
      <c r="D12348" s="1" t="str">
        <f>HYPERLINK("http://genome-euro.ucsc.edu/cgi-bin/hgTracks?position=217891_at","UCSC")</f>
        <v>UCSC</v>
      </c>
      <c r="E12348" s="1" t="str">
        <f>HYPERLINK("http://www.ncbi.nlm.nih.gov/gene/?term=C16orf58","NCBI")</f>
        <v>NCBI</v>
      </c>
      <c r="F12348">
        <v>0.35</v>
      </c>
      <c r="G12348">
        <v>0.49</v>
      </c>
      <c r="H12348" s="1" t="str">
        <f>HYPERLINK("http://www.weizmann.ac.il/complex/compphys/software/geview/data/figures/217891_at.png","Figure")</f>
        <v>Figure</v>
      </c>
      <c r="I12348">
        <v>0.99299999999999999</v>
      </c>
      <c r="J12348">
        <v>1</v>
      </c>
      <c r="K12348">
        <v>1.1599999999999999</v>
      </c>
      <c r="L12348">
        <v>0.43</v>
      </c>
      <c r="M12348">
        <v>1.17</v>
      </c>
      <c r="N12348">
        <v>0.45</v>
      </c>
    </row>
    <row r="12349" spans="1:14" x14ac:dyDescent="0.25">
      <c r="A12349" t="s">
        <v>21229</v>
      </c>
      <c r="B12349" t="s">
        <v>21230</v>
      </c>
      <c r="C12349" s="1" t="str">
        <f>HYPERLINK("http://www.genecards.org/cgi-bin/carddisp.pl?gene=HERC2","GeneCards")</f>
        <v>GeneCards</v>
      </c>
      <c r="D12349" s="1" t="str">
        <f>HYPERLINK("http://genome-euro.ucsc.edu/cgi-bin/hgTracks?position=217902_s_at","UCSC")</f>
        <v>UCSC</v>
      </c>
      <c r="E12349" s="1" t="str">
        <f>HYPERLINK("http://www.ncbi.nlm.nih.gov/gene/?term=HERC2","NCBI")</f>
        <v>NCBI</v>
      </c>
      <c r="F12349">
        <v>0.35</v>
      </c>
      <c r="G12349">
        <v>0.49</v>
      </c>
      <c r="H12349" s="1" t="str">
        <f>HYPERLINK("http://www.weizmann.ac.il/complex/compphys/software/geview/data/figures/217902_s_at.png","Figure")</f>
        <v>Figure</v>
      </c>
      <c r="I12349">
        <v>0.69299999999999995</v>
      </c>
      <c r="J12349">
        <v>0.4</v>
      </c>
      <c r="K12349">
        <v>0.98</v>
      </c>
      <c r="L12349">
        <v>1</v>
      </c>
      <c r="M12349">
        <v>1.41</v>
      </c>
      <c r="N12349">
        <v>0.39</v>
      </c>
    </row>
    <row r="12350" spans="1:14" x14ac:dyDescent="0.25">
      <c r="A12350" t="s">
        <v>21231</v>
      </c>
      <c r="B12350" t="s">
        <v>21232</v>
      </c>
      <c r="C12350" s="1" t="str">
        <f>HYPERLINK("http://www.genecards.org/cgi-bin/carddisp.pl?gene=GPN3","GeneCards")</f>
        <v>GeneCards</v>
      </c>
      <c r="D12350" s="1" t="str">
        <f>HYPERLINK("http://genome-euro.ucsc.edu/cgi-bin/hgTracks?position=218461_at","UCSC")</f>
        <v>UCSC</v>
      </c>
      <c r="E12350" s="1" t="str">
        <f>HYPERLINK("http://www.ncbi.nlm.nih.gov/gene/?term=GPN3","NCBI")</f>
        <v>NCBI</v>
      </c>
      <c r="F12350">
        <v>0.35</v>
      </c>
      <c r="G12350">
        <v>0.49</v>
      </c>
      <c r="H12350" s="1" t="str">
        <f>HYPERLINK("http://www.weizmann.ac.il/complex/compphys/software/geview/data/figures/218461_at.png","Figure")</f>
        <v>Figure</v>
      </c>
      <c r="I12350">
        <v>0.82499999999999996</v>
      </c>
      <c r="J12350">
        <v>0.36</v>
      </c>
      <c r="K12350">
        <v>0.96199999999999997</v>
      </c>
      <c r="L12350">
        <v>0.94</v>
      </c>
      <c r="M12350">
        <v>1.17</v>
      </c>
      <c r="N12350">
        <v>0.46</v>
      </c>
    </row>
    <row r="12351" spans="1:14" x14ac:dyDescent="0.25">
      <c r="A12351" t="s">
        <v>21233</v>
      </c>
      <c r="B12351" t="s">
        <v>21234</v>
      </c>
      <c r="C12351" s="1" t="str">
        <f>HYPERLINK("http://www.genecards.org/cgi-bin/carddisp.pl?gene=TSSC4","GeneCards")</f>
        <v>GeneCards</v>
      </c>
      <c r="D12351" s="1" t="str">
        <f>HYPERLINK("http://genome-euro.ucsc.edu/cgi-bin/hgTracks?position=218612_s_at","UCSC")</f>
        <v>UCSC</v>
      </c>
      <c r="E12351" s="1" t="str">
        <f>HYPERLINK("http://www.ncbi.nlm.nih.gov/gene/?term=TSSC4","NCBI")</f>
        <v>NCBI</v>
      </c>
      <c r="F12351">
        <v>0.36</v>
      </c>
      <c r="G12351">
        <v>0.49</v>
      </c>
      <c r="H12351" s="1" t="str">
        <f>HYPERLINK("http://www.weizmann.ac.il/complex/compphys/software/geview/data/figures/218612_s_at.png","Figure")</f>
        <v>Figure</v>
      </c>
      <c r="I12351">
        <v>1.1599999999999999</v>
      </c>
      <c r="J12351">
        <v>0.65</v>
      </c>
      <c r="K12351">
        <v>1.24</v>
      </c>
      <c r="L12351">
        <v>0.33</v>
      </c>
      <c r="M12351">
        <v>1.07</v>
      </c>
      <c r="N12351">
        <v>0.9</v>
      </c>
    </row>
    <row r="12352" spans="1:14" x14ac:dyDescent="0.25">
      <c r="A12352" t="s">
        <v>21235</v>
      </c>
      <c r="B12352" t="s">
        <v>21236</v>
      </c>
      <c r="C12352" s="1" t="str">
        <f>HYPERLINK("http://www.genecards.org/cgi-bin/carddisp.pl?gene=TMEM38B","GeneCards")</f>
        <v>GeneCards</v>
      </c>
      <c r="D12352" s="1" t="str">
        <f>HYPERLINK("http://genome-euro.ucsc.edu/cgi-bin/hgTracks?position=218772_x_at","UCSC")</f>
        <v>UCSC</v>
      </c>
      <c r="E12352" s="1" t="str">
        <f>HYPERLINK("http://www.ncbi.nlm.nih.gov/gene/?term=TMEM38B","NCBI")</f>
        <v>NCBI</v>
      </c>
      <c r="F12352">
        <v>0.35</v>
      </c>
      <c r="G12352">
        <v>0.49</v>
      </c>
      <c r="H12352" s="1" t="str">
        <f>HYPERLINK("http://www.weizmann.ac.il/complex/compphys/software/geview/data/figures/218772_x_at.png","Figure")</f>
        <v>Figure</v>
      </c>
      <c r="I12352">
        <v>0.9</v>
      </c>
      <c r="J12352">
        <v>0.76</v>
      </c>
      <c r="K12352">
        <v>0.82399999999999995</v>
      </c>
      <c r="L12352">
        <v>0.32</v>
      </c>
      <c r="M12352">
        <v>0.91600000000000004</v>
      </c>
      <c r="N12352">
        <v>0.8</v>
      </c>
    </row>
    <row r="12353" spans="1:14" x14ac:dyDescent="0.25">
      <c r="A12353" t="s">
        <v>21237</v>
      </c>
      <c r="B12353" t="s">
        <v>21238</v>
      </c>
      <c r="C12353" s="1" t="str">
        <f>HYPERLINK("http://www.genecards.org/cgi-bin/carddisp.pl?gene=KRT23","GeneCards")</f>
        <v>GeneCards</v>
      </c>
      <c r="D12353" s="1" t="str">
        <f>HYPERLINK("http://genome-euro.ucsc.edu/cgi-bin/hgTracks?position=218963_s_at","UCSC")</f>
        <v>UCSC</v>
      </c>
      <c r="E12353" s="1" t="str">
        <f>HYPERLINK("http://www.ncbi.nlm.nih.gov/gene/?term=KRT23","NCBI")</f>
        <v>NCBI</v>
      </c>
      <c r="F12353">
        <v>0.36</v>
      </c>
      <c r="G12353">
        <v>0.49</v>
      </c>
      <c r="H12353" s="1" t="str">
        <f>HYPERLINK("http://www.weizmann.ac.il/complex/compphys/software/geview/data/figures/218963_s_at.png","Figure")</f>
        <v>Figure</v>
      </c>
      <c r="I12353">
        <v>1.01</v>
      </c>
      <c r="J12353">
        <v>0.47</v>
      </c>
      <c r="K12353">
        <v>1.01</v>
      </c>
      <c r="L12353">
        <v>0.38</v>
      </c>
      <c r="M12353">
        <v>1</v>
      </c>
      <c r="N12353">
        <v>1</v>
      </c>
    </row>
    <row r="12354" spans="1:14" x14ac:dyDescent="0.25">
      <c r="A12354" t="s">
        <v>21239</v>
      </c>
      <c r="B12354" t="s">
        <v>21240</v>
      </c>
      <c r="C12354" s="1" t="str">
        <f>HYPERLINK("http://www.genecards.org/cgi-bin/carddisp.pl?gene=FBXL6","GeneCards")</f>
        <v>GeneCards</v>
      </c>
      <c r="D12354" s="1" t="str">
        <f>HYPERLINK("http://genome-euro.ucsc.edu/cgi-bin/hgTracks?position=219189_at","UCSC")</f>
        <v>UCSC</v>
      </c>
      <c r="E12354" s="1" t="str">
        <f>HYPERLINK("http://www.ncbi.nlm.nih.gov/gene/?term=FBXL6","NCBI")</f>
        <v>NCBI</v>
      </c>
      <c r="F12354">
        <v>0.35</v>
      </c>
      <c r="G12354">
        <v>0.49</v>
      </c>
      <c r="H12354" s="1" t="str">
        <f>HYPERLINK("http://www.weizmann.ac.il/complex/compphys/software/geview/data/figures/219189_at.png","Figure")</f>
        <v>Figure</v>
      </c>
      <c r="I12354">
        <v>1.17</v>
      </c>
      <c r="J12354">
        <v>0.51</v>
      </c>
      <c r="K12354">
        <v>1.19</v>
      </c>
      <c r="L12354">
        <v>0.35</v>
      </c>
      <c r="M12354">
        <v>1.02</v>
      </c>
      <c r="N12354">
        <v>0.99</v>
      </c>
    </row>
    <row r="12355" spans="1:14" x14ac:dyDescent="0.25">
      <c r="A12355" t="s">
        <v>21241</v>
      </c>
      <c r="B12355" t="s">
        <v>21242</v>
      </c>
      <c r="C12355" s="1" t="str">
        <f>HYPERLINK("http://www.genecards.org/cgi-bin/carddisp.pl?gene=AFF4","GeneCards")</f>
        <v>GeneCards</v>
      </c>
      <c r="D12355" s="1" t="str">
        <f>HYPERLINK("http://genome-euro.ucsc.edu/cgi-bin/hgTracks?position=219199_at","UCSC")</f>
        <v>UCSC</v>
      </c>
      <c r="E12355" s="1" t="str">
        <f>HYPERLINK("http://www.ncbi.nlm.nih.gov/gene/?term=AFF4","NCBI")</f>
        <v>NCBI</v>
      </c>
      <c r="F12355">
        <v>0.36</v>
      </c>
      <c r="G12355">
        <v>0.49</v>
      </c>
      <c r="H12355" s="1" t="str">
        <f>HYPERLINK("http://www.weizmann.ac.il/complex/compphys/software/geview/data/figures/219199_at.png","Figure")</f>
        <v>Figure</v>
      </c>
      <c r="I12355">
        <v>1.02</v>
      </c>
      <c r="J12355">
        <v>0.47</v>
      </c>
      <c r="K12355">
        <v>1.02</v>
      </c>
      <c r="L12355">
        <v>0.38</v>
      </c>
      <c r="M12355">
        <v>1</v>
      </c>
      <c r="N12355">
        <v>1</v>
      </c>
    </row>
    <row r="12356" spans="1:14" x14ac:dyDescent="0.25">
      <c r="A12356" t="s">
        <v>21243</v>
      </c>
      <c r="B12356" t="s">
        <v>21244</v>
      </c>
      <c r="C12356" s="1" t="str">
        <f>HYPERLINK("http://www.genecards.org/cgi-bin/carddisp.pl?gene=VANGL1","GeneCards")</f>
        <v>GeneCards</v>
      </c>
      <c r="D12356" s="1" t="str">
        <f>HYPERLINK("http://genome-euro.ucsc.edu/cgi-bin/hgTracks?position=219330_at","UCSC")</f>
        <v>UCSC</v>
      </c>
      <c r="E12356" s="1" t="str">
        <f>HYPERLINK("http://www.ncbi.nlm.nih.gov/gene/?term=VANGL1","NCBI")</f>
        <v>NCBI</v>
      </c>
      <c r="F12356">
        <v>0.36</v>
      </c>
      <c r="G12356">
        <v>0.49</v>
      </c>
      <c r="H12356" s="1" t="str">
        <f>HYPERLINK("http://www.weizmann.ac.il/complex/compphys/software/geview/data/figures/219330_at.png","Figure")</f>
        <v>Figure</v>
      </c>
      <c r="I12356">
        <v>1</v>
      </c>
      <c r="J12356">
        <v>0.47</v>
      </c>
      <c r="K12356">
        <v>1</v>
      </c>
      <c r="L12356">
        <v>0.38</v>
      </c>
      <c r="M12356">
        <v>1</v>
      </c>
      <c r="N12356">
        <v>1</v>
      </c>
    </row>
    <row r="12357" spans="1:14" x14ac:dyDescent="0.25">
      <c r="A12357" t="s">
        <v>21245</v>
      </c>
      <c r="B12357" t="s">
        <v>21246</v>
      </c>
      <c r="C12357" s="1" t="str">
        <f>HYPERLINK("http://www.genecards.org/cgi-bin/carddisp.pl?gene=DPM3","GeneCards")</f>
        <v>GeneCards</v>
      </c>
      <c r="D12357" s="1" t="str">
        <f>HYPERLINK("http://genome-euro.ucsc.edu/cgi-bin/hgTracks?position=219373_at","UCSC")</f>
        <v>UCSC</v>
      </c>
      <c r="E12357" s="1" t="str">
        <f>HYPERLINK("http://www.ncbi.nlm.nih.gov/gene/?term=DPM3","NCBI")</f>
        <v>NCBI</v>
      </c>
      <c r="F12357">
        <v>0.36</v>
      </c>
      <c r="G12357">
        <v>0.49</v>
      </c>
      <c r="H12357" s="1" t="str">
        <f>HYPERLINK("http://www.weizmann.ac.il/complex/compphys/software/geview/data/figures/219373_at.png","Figure")</f>
        <v>Figure</v>
      </c>
      <c r="I12357">
        <v>0.91200000000000003</v>
      </c>
      <c r="J12357">
        <v>0.87</v>
      </c>
      <c r="K12357">
        <v>1.17</v>
      </c>
      <c r="L12357">
        <v>0.61</v>
      </c>
      <c r="M12357">
        <v>1.28</v>
      </c>
      <c r="N12357">
        <v>0.36</v>
      </c>
    </row>
    <row r="12358" spans="1:14" x14ac:dyDescent="0.25">
      <c r="A12358" t="s">
        <v>21247</v>
      </c>
      <c r="B12358" t="s">
        <v>21248</v>
      </c>
      <c r="C12358" s="1" t="str">
        <f>HYPERLINK("http://www.genecards.org/cgi-bin/carddisp.pl?gene=GRHL2","GeneCards")</f>
        <v>GeneCards</v>
      </c>
      <c r="D12358" s="1" t="str">
        <f>HYPERLINK("http://genome-euro.ucsc.edu/cgi-bin/hgTracks?position=219388_at","UCSC")</f>
        <v>UCSC</v>
      </c>
      <c r="E12358" s="1" t="str">
        <f>HYPERLINK("http://www.ncbi.nlm.nih.gov/gene/?term=GRHL2","NCBI")</f>
        <v>NCBI</v>
      </c>
      <c r="F12358">
        <v>0.36</v>
      </c>
      <c r="G12358">
        <v>0.49</v>
      </c>
      <c r="H12358" s="1" t="str">
        <f>HYPERLINK("http://www.weizmann.ac.il/complex/compphys/software/geview/data/figures/219388_at.png","Figure")</f>
        <v>Figure</v>
      </c>
      <c r="I12358">
        <v>1.01</v>
      </c>
      <c r="J12358">
        <v>0.47</v>
      </c>
      <c r="K12358">
        <v>1.01</v>
      </c>
      <c r="L12358">
        <v>0.38</v>
      </c>
      <c r="M12358">
        <v>1</v>
      </c>
      <c r="N12358">
        <v>1</v>
      </c>
    </row>
    <row r="12359" spans="1:14" x14ac:dyDescent="0.25">
      <c r="A12359" t="s">
        <v>21249</v>
      </c>
      <c r="B12359" t="s">
        <v>21250</v>
      </c>
      <c r="C12359" s="1" t="str">
        <f>HYPERLINK("http://www.genecards.org/cgi-bin/carddisp.pl?gene=PAK6","GeneCards")</f>
        <v>GeneCards</v>
      </c>
      <c r="D12359" s="1" t="str">
        <f>HYPERLINK("http://genome-euro.ucsc.edu/cgi-bin/hgTracks?position=219461_at","UCSC")</f>
        <v>UCSC</v>
      </c>
      <c r="E12359" s="1" t="str">
        <f>HYPERLINK("http://www.ncbi.nlm.nih.gov/gene/?term=PAK6","NCBI")</f>
        <v>NCBI</v>
      </c>
      <c r="F12359">
        <v>0.36</v>
      </c>
      <c r="G12359">
        <v>0.49</v>
      </c>
      <c r="H12359" s="1" t="str">
        <f>HYPERLINK("http://www.weizmann.ac.il/complex/compphys/software/geview/data/figures/219461_at.png","Figure")</f>
        <v>Figure</v>
      </c>
      <c r="I12359">
        <v>1</v>
      </c>
      <c r="J12359">
        <v>0.47</v>
      </c>
      <c r="K12359">
        <v>1</v>
      </c>
      <c r="L12359">
        <v>0.38</v>
      </c>
      <c r="M12359">
        <v>1</v>
      </c>
      <c r="N12359">
        <v>1</v>
      </c>
    </row>
    <row r="12360" spans="1:14" x14ac:dyDescent="0.25">
      <c r="A12360" t="s">
        <v>21251</v>
      </c>
      <c r="B12360" t="s">
        <v>21252</v>
      </c>
      <c r="C12360" s="1" t="str">
        <f>HYPERLINK("http://www.genecards.org/cgi-bin/carddisp.pl?gene=CCDC28B","GeneCards")</f>
        <v>GeneCards</v>
      </c>
      <c r="D12360" s="1" t="str">
        <f>HYPERLINK("http://genome-euro.ucsc.edu/cgi-bin/hgTracks?position=219585_at","UCSC")</f>
        <v>UCSC</v>
      </c>
      <c r="E12360" s="1" t="str">
        <f>HYPERLINK("http://www.ncbi.nlm.nih.gov/gene/?term=CCDC28B","NCBI")</f>
        <v>NCBI</v>
      </c>
      <c r="F12360">
        <v>0.36</v>
      </c>
      <c r="G12360">
        <v>0.49</v>
      </c>
      <c r="H12360" s="1" t="str">
        <f>HYPERLINK("http://www.weizmann.ac.il/complex/compphys/software/geview/data/figures/219585_at.png","Figure")</f>
        <v>Figure</v>
      </c>
      <c r="I12360">
        <v>1.01</v>
      </c>
      <c r="J12360">
        <v>0.47</v>
      </c>
      <c r="K12360">
        <v>1.01</v>
      </c>
      <c r="L12360">
        <v>0.38</v>
      </c>
      <c r="M12360">
        <v>1</v>
      </c>
      <c r="N12360">
        <v>1</v>
      </c>
    </row>
    <row r="12361" spans="1:14" x14ac:dyDescent="0.25">
      <c r="A12361" t="s">
        <v>21253</v>
      </c>
      <c r="B12361" t="s">
        <v>21254</v>
      </c>
      <c r="C12361" s="1" t="str">
        <f>HYPERLINK("http://www.genecards.org/cgi-bin/carddisp.pl?gene=SIRT6","GeneCards")</f>
        <v>GeneCards</v>
      </c>
      <c r="D12361" s="1" t="str">
        <f>HYPERLINK("http://genome-euro.ucsc.edu/cgi-bin/hgTracks?position=219613_s_at","UCSC")</f>
        <v>UCSC</v>
      </c>
      <c r="E12361" s="1" t="str">
        <f>HYPERLINK("http://www.ncbi.nlm.nih.gov/gene/?term=SIRT6","NCBI")</f>
        <v>NCBI</v>
      </c>
      <c r="F12361">
        <v>0.35</v>
      </c>
      <c r="G12361">
        <v>0.49</v>
      </c>
      <c r="H12361" s="1" t="str">
        <f>HYPERLINK("http://www.weizmann.ac.il/complex/compphys/software/geview/data/figures/219613_s_at.png","Figure")</f>
        <v>Figure</v>
      </c>
      <c r="I12361">
        <v>1.08</v>
      </c>
      <c r="J12361">
        <v>0.38</v>
      </c>
      <c r="K12361">
        <v>1.06</v>
      </c>
      <c r="L12361">
        <v>0.47</v>
      </c>
      <c r="M12361">
        <v>0.98199999999999998</v>
      </c>
      <c r="N12361">
        <v>0.93</v>
      </c>
    </row>
    <row r="12362" spans="1:14" x14ac:dyDescent="0.25">
      <c r="A12362" t="s">
        <v>21255</v>
      </c>
      <c r="B12362" t="s">
        <v>21256</v>
      </c>
      <c r="C12362" s="1" t="str">
        <f>HYPERLINK("http://www.genecards.org/cgi-bin/carddisp.pl?gene=PRR7","GeneCards")</f>
        <v>GeneCards</v>
      </c>
      <c r="D12362" s="1" t="str">
        <f>HYPERLINK("http://genome-euro.ucsc.edu/cgi-bin/hgTracks?position=219742_at","UCSC")</f>
        <v>UCSC</v>
      </c>
      <c r="E12362" s="1" t="str">
        <f>HYPERLINK("http://www.ncbi.nlm.nih.gov/gene/?term=PRR7","NCBI")</f>
        <v>NCBI</v>
      </c>
      <c r="F12362">
        <v>0.36</v>
      </c>
      <c r="G12362">
        <v>0.49</v>
      </c>
      <c r="H12362" s="1" t="str">
        <f>HYPERLINK("http://www.weizmann.ac.il/complex/compphys/software/geview/data/figures/219742_at.png","Figure")</f>
        <v>Figure</v>
      </c>
      <c r="I12362">
        <v>1.08</v>
      </c>
      <c r="J12362">
        <v>0.47</v>
      </c>
      <c r="K12362">
        <v>1.08</v>
      </c>
      <c r="L12362">
        <v>0.38</v>
      </c>
      <c r="M12362">
        <v>1</v>
      </c>
      <c r="N12362">
        <v>1</v>
      </c>
    </row>
    <row r="12363" spans="1:14" x14ac:dyDescent="0.25">
      <c r="A12363" t="s">
        <v>21257</v>
      </c>
      <c r="B12363" t="s">
        <v>21258</v>
      </c>
      <c r="C12363" s="1" t="str">
        <f>HYPERLINK("http://www.genecards.org/cgi-bin/carddisp.pl?gene=SETD6","GeneCards")</f>
        <v>GeneCards</v>
      </c>
      <c r="D12363" s="1" t="str">
        <f>HYPERLINK("http://genome-euro.ucsc.edu/cgi-bin/hgTracks?position=219751_at","UCSC")</f>
        <v>UCSC</v>
      </c>
      <c r="E12363" s="1" t="str">
        <f>HYPERLINK("http://www.ncbi.nlm.nih.gov/gene/?term=SETD6","NCBI")</f>
        <v>NCBI</v>
      </c>
      <c r="F12363">
        <v>0.36</v>
      </c>
      <c r="G12363">
        <v>0.49</v>
      </c>
      <c r="H12363" s="1" t="str">
        <f>HYPERLINK("http://www.weizmann.ac.il/complex/compphys/software/geview/data/figures/219751_at.png","Figure")</f>
        <v>Figure</v>
      </c>
      <c r="I12363">
        <v>1.01</v>
      </c>
      <c r="J12363">
        <v>0.47</v>
      </c>
      <c r="K12363">
        <v>1.01</v>
      </c>
      <c r="L12363">
        <v>0.38</v>
      </c>
      <c r="M12363">
        <v>1</v>
      </c>
      <c r="N12363">
        <v>1</v>
      </c>
    </row>
    <row r="12364" spans="1:14" x14ac:dyDescent="0.25">
      <c r="A12364" t="s">
        <v>21259</v>
      </c>
      <c r="B12364" t="s">
        <v>21260</v>
      </c>
      <c r="C12364" s="1" t="str">
        <f>HYPERLINK("http://www.genecards.org/cgi-bin/carddisp.pl?gene=FGD6","GeneCards")</f>
        <v>GeneCards</v>
      </c>
      <c r="D12364" s="1" t="str">
        <f>HYPERLINK("http://genome-euro.ucsc.edu/cgi-bin/hgTracks?position=219901_at","UCSC")</f>
        <v>UCSC</v>
      </c>
      <c r="E12364" s="1" t="str">
        <f>HYPERLINK("http://www.ncbi.nlm.nih.gov/gene/?term=FGD6","NCBI")</f>
        <v>NCBI</v>
      </c>
      <c r="F12364">
        <v>0.36</v>
      </c>
      <c r="G12364">
        <v>0.49</v>
      </c>
      <c r="H12364" s="1" t="str">
        <f>HYPERLINK("http://www.weizmann.ac.il/complex/compphys/software/geview/data/figures/219901_at.png","Figure")</f>
        <v>Figure</v>
      </c>
      <c r="I12364">
        <v>1</v>
      </c>
      <c r="J12364">
        <v>1</v>
      </c>
      <c r="K12364">
        <v>0.82099999999999995</v>
      </c>
      <c r="L12364">
        <v>0.43</v>
      </c>
      <c r="M12364">
        <v>0.82099999999999995</v>
      </c>
      <c r="N12364">
        <v>0.47</v>
      </c>
    </row>
    <row r="12365" spans="1:14" x14ac:dyDescent="0.25">
      <c r="A12365" t="s">
        <v>21261</v>
      </c>
      <c r="B12365" t="s">
        <v>21262</v>
      </c>
      <c r="C12365" s="1" t="str">
        <f>HYPERLINK("http://www.genecards.org/cgi-bin/carddisp.pl?gene=ERMAP","GeneCards")</f>
        <v>GeneCards</v>
      </c>
      <c r="D12365" s="1" t="str">
        <f>HYPERLINK("http://genome-euro.ucsc.edu/cgi-bin/hgTracks?position=219905_at","UCSC")</f>
        <v>UCSC</v>
      </c>
      <c r="E12365" s="1" t="str">
        <f>HYPERLINK("http://www.ncbi.nlm.nih.gov/gene/?term=ERMAP","NCBI")</f>
        <v>NCBI</v>
      </c>
      <c r="F12365">
        <v>0.36</v>
      </c>
      <c r="G12365">
        <v>0.49</v>
      </c>
      <c r="H12365" s="1" t="str">
        <f>HYPERLINK("http://www.weizmann.ac.il/complex/compphys/software/geview/data/figures/219905_at.png","Figure")</f>
        <v>Figure</v>
      </c>
      <c r="I12365">
        <v>1</v>
      </c>
      <c r="J12365">
        <v>0.47</v>
      </c>
      <c r="K12365">
        <v>1</v>
      </c>
      <c r="L12365">
        <v>0.38</v>
      </c>
      <c r="M12365">
        <v>1</v>
      </c>
      <c r="N12365">
        <v>1</v>
      </c>
    </row>
    <row r="12366" spans="1:14" x14ac:dyDescent="0.25">
      <c r="A12366" t="s">
        <v>21263</v>
      </c>
      <c r="B12366" t="s">
        <v>21264</v>
      </c>
      <c r="C12366" s="1" t="str">
        <f>HYPERLINK("http://www.genecards.org/cgi-bin/carddisp.pl?gene=TNMD","GeneCards")</f>
        <v>GeneCards</v>
      </c>
      <c r="D12366" s="1" t="str">
        <f>HYPERLINK("http://genome-euro.ucsc.edu/cgi-bin/hgTracks?position=220065_at","UCSC")</f>
        <v>UCSC</v>
      </c>
      <c r="E12366" s="1" t="str">
        <f>HYPERLINK("http://www.ncbi.nlm.nih.gov/gene/?term=TNMD","NCBI")</f>
        <v>NCBI</v>
      </c>
      <c r="F12366">
        <v>0.36</v>
      </c>
      <c r="G12366">
        <v>0.49</v>
      </c>
      <c r="H12366" s="1" t="str">
        <f>HYPERLINK("http://www.weizmann.ac.il/complex/compphys/software/geview/data/figures/220065_at.png","Figure")</f>
        <v>Figure</v>
      </c>
      <c r="I12366">
        <v>1.02</v>
      </c>
      <c r="J12366">
        <v>0.47</v>
      </c>
      <c r="K12366">
        <v>1.02</v>
      </c>
      <c r="L12366">
        <v>0.38</v>
      </c>
      <c r="M12366">
        <v>1</v>
      </c>
      <c r="N12366">
        <v>1</v>
      </c>
    </row>
    <row r="12367" spans="1:14" x14ac:dyDescent="0.25">
      <c r="A12367" t="s">
        <v>21265</v>
      </c>
      <c r="B12367" t="s">
        <v>20453</v>
      </c>
      <c r="C12367" s="1" t="str">
        <f>HYPERLINK("http://www.genecards.org/cgi-bin/carddisp.pl?gene=USP48","GeneCards")</f>
        <v>GeneCards</v>
      </c>
      <c r="D12367" s="1" t="str">
        <f>HYPERLINK("http://genome-euro.ucsc.edu/cgi-bin/hgTracks?position=220078_at","UCSC")</f>
        <v>UCSC</v>
      </c>
      <c r="E12367" s="1" t="str">
        <f>HYPERLINK("http://www.ncbi.nlm.nih.gov/gene/?term=USP48","NCBI")</f>
        <v>NCBI</v>
      </c>
      <c r="F12367">
        <v>0.36</v>
      </c>
      <c r="G12367">
        <v>0.49</v>
      </c>
      <c r="H12367" s="1" t="str">
        <f>HYPERLINK("http://www.weizmann.ac.il/complex/compphys/software/geview/data/figures/220078_at.png","Figure")</f>
        <v>Figure</v>
      </c>
      <c r="I12367">
        <v>0.996</v>
      </c>
      <c r="J12367">
        <v>1</v>
      </c>
      <c r="K12367">
        <v>1.1000000000000001</v>
      </c>
      <c r="L12367">
        <v>0.44</v>
      </c>
      <c r="M12367">
        <v>1.1100000000000001</v>
      </c>
      <c r="N12367">
        <v>0.46</v>
      </c>
    </row>
    <row r="12368" spans="1:14" x14ac:dyDescent="0.25">
      <c r="A12368" t="s">
        <v>21266</v>
      </c>
      <c r="B12368" t="s">
        <v>17002</v>
      </c>
      <c r="C12368" s="1" t="str">
        <f>HYPERLINK("http://www.genecards.org/cgi-bin/carddisp.pl?gene=UCHL5","GeneCards")</f>
        <v>GeneCards</v>
      </c>
      <c r="D12368" s="1" t="str">
        <f>HYPERLINK("http://genome-euro.ucsc.edu/cgi-bin/hgTracks?position=220083_x_at","UCSC")</f>
        <v>UCSC</v>
      </c>
      <c r="E12368" s="1" t="str">
        <f>HYPERLINK("http://www.ncbi.nlm.nih.gov/gene/?term=UCHL5","NCBI")</f>
        <v>NCBI</v>
      </c>
      <c r="F12368">
        <v>0.36</v>
      </c>
      <c r="G12368">
        <v>0.49</v>
      </c>
      <c r="H12368" s="1" t="str">
        <f>HYPERLINK("http://www.weizmann.ac.il/complex/compphys/software/geview/data/figures/220083_x_at.png","Figure")</f>
        <v>Figure</v>
      </c>
      <c r="I12368">
        <v>1.08</v>
      </c>
      <c r="J12368">
        <v>0.47</v>
      </c>
      <c r="K12368">
        <v>1.08</v>
      </c>
      <c r="L12368">
        <v>0.38</v>
      </c>
      <c r="M12368">
        <v>1</v>
      </c>
      <c r="N12368">
        <v>1</v>
      </c>
    </row>
    <row r="12369" spans="1:14" x14ac:dyDescent="0.25">
      <c r="A12369" t="s">
        <v>21267</v>
      </c>
      <c r="B12369" t="s">
        <v>21268</v>
      </c>
      <c r="C12369" s="1" t="str">
        <f>HYPERLINK("http://www.genecards.org/cgi-bin/carddisp.pl?gene=TRPM8","GeneCards")</f>
        <v>GeneCards</v>
      </c>
      <c r="D12369" s="1" t="str">
        <f>HYPERLINK("http://genome-euro.ucsc.edu/cgi-bin/hgTracks?position=220226_at","UCSC")</f>
        <v>UCSC</v>
      </c>
      <c r="E12369" s="1" t="str">
        <f>HYPERLINK("http://www.ncbi.nlm.nih.gov/gene/?term=TRPM8","NCBI")</f>
        <v>NCBI</v>
      </c>
      <c r="F12369">
        <v>0.36</v>
      </c>
      <c r="G12369">
        <v>0.49</v>
      </c>
      <c r="H12369" s="1" t="str">
        <f>HYPERLINK("http://www.weizmann.ac.il/complex/compphys/software/geview/data/figures/220226_at.png","Figure")</f>
        <v>Figure</v>
      </c>
      <c r="I12369">
        <v>1</v>
      </c>
      <c r="J12369">
        <v>0.47</v>
      </c>
      <c r="K12369">
        <v>1</v>
      </c>
      <c r="L12369">
        <v>0.38</v>
      </c>
      <c r="M12369">
        <v>1</v>
      </c>
      <c r="N12369">
        <v>1</v>
      </c>
    </row>
    <row r="12370" spans="1:14" x14ac:dyDescent="0.25">
      <c r="A12370" t="s">
        <v>21269</v>
      </c>
      <c r="B12370" t="s">
        <v>21270</v>
      </c>
      <c r="C12370" s="1" t="str">
        <f>HYPERLINK("http://www.genecards.org/cgi-bin/carddisp.pl?gene=GNL3LP","GeneCards")</f>
        <v>GeneCards</v>
      </c>
      <c r="D12370" s="1" t="str">
        <f>HYPERLINK("http://genome-euro.ucsc.edu/cgi-bin/hgTracks?position=220716_at","UCSC")</f>
        <v>UCSC</v>
      </c>
      <c r="E12370" s="1" t="str">
        <f>HYPERLINK("http://www.ncbi.nlm.nih.gov/gene/?term=GNL3LP","NCBI")</f>
        <v>NCBI</v>
      </c>
      <c r="F12370">
        <v>0.36</v>
      </c>
      <c r="G12370">
        <v>0.49</v>
      </c>
      <c r="H12370" s="1" t="str">
        <f>HYPERLINK("http://www.weizmann.ac.il/complex/compphys/software/geview/data/figures/220716_at.png","Figure")</f>
        <v>Figure</v>
      </c>
      <c r="I12370">
        <v>1.02</v>
      </c>
      <c r="J12370">
        <v>0.47</v>
      </c>
      <c r="K12370">
        <v>1.02</v>
      </c>
      <c r="L12370">
        <v>0.38</v>
      </c>
      <c r="M12370">
        <v>1</v>
      </c>
      <c r="N12370">
        <v>1</v>
      </c>
    </row>
    <row r="12371" spans="1:14" x14ac:dyDescent="0.25">
      <c r="A12371" t="s">
        <v>21271</v>
      </c>
      <c r="B12371" t="s">
        <v>21272</v>
      </c>
      <c r="C12371" s="1" t="str">
        <f>HYPERLINK("http://www.genecards.org/cgi-bin/carddisp.pl?gene=PRDM5","GeneCards")</f>
        <v>GeneCards</v>
      </c>
      <c r="D12371" s="1" t="str">
        <f>HYPERLINK("http://genome-euro.ucsc.edu/cgi-bin/hgTracks?position=220792_at","UCSC")</f>
        <v>UCSC</v>
      </c>
      <c r="E12371" s="1" t="str">
        <f>HYPERLINK("http://www.ncbi.nlm.nih.gov/gene/?term=PRDM5","NCBI")</f>
        <v>NCBI</v>
      </c>
      <c r="F12371">
        <v>0.35</v>
      </c>
      <c r="G12371">
        <v>0.49</v>
      </c>
      <c r="H12371" s="1" t="str">
        <f>HYPERLINK("http://www.weizmann.ac.il/complex/compphys/software/geview/data/figures/220792_at.png","Figure")</f>
        <v>Figure</v>
      </c>
      <c r="I12371">
        <v>1.1000000000000001</v>
      </c>
      <c r="J12371">
        <v>0.35</v>
      </c>
      <c r="K12371">
        <v>1.02</v>
      </c>
      <c r="L12371">
        <v>0.94</v>
      </c>
      <c r="M12371">
        <v>0.93</v>
      </c>
      <c r="N12371">
        <v>0.47</v>
      </c>
    </row>
    <row r="12372" spans="1:14" x14ac:dyDescent="0.25">
      <c r="A12372" t="s">
        <v>21273</v>
      </c>
      <c r="B12372" t="s">
        <v>21274</v>
      </c>
      <c r="C12372" s="1" t="str">
        <f>HYPERLINK("http://www.genecards.org/cgi-bin/carddisp.pl?gene=GNG13","GeneCards")</f>
        <v>GeneCards</v>
      </c>
      <c r="D12372" s="1" t="str">
        <f>HYPERLINK("http://genome-euro.ucsc.edu/cgi-bin/hgTracks?position=220806_x_at","UCSC")</f>
        <v>UCSC</v>
      </c>
      <c r="E12372" s="1" t="str">
        <f>HYPERLINK("http://www.ncbi.nlm.nih.gov/gene/?term=GNG13","NCBI")</f>
        <v>NCBI</v>
      </c>
      <c r="F12372">
        <v>0.36</v>
      </c>
      <c r="G12372">
        <v>0.49</v>
      </c>
      <c r="H12372" s="1" t="str">
        <f>HYPERLINK("http://www.weizmann.ac.il/complex/compphys/software/geview/data/figures/220806_x_at.png","Figure")</f>
        <v>Figure</v>
      </c>
      <c r="I12372">
        <v>1.02</v>
      </c>
      <c r="J12372">
        <v>0.47</v>
      </c>
      <c r="K12372">
        <v>1.02</v>
      </c>
      <c r="L12372">
        <v>0.38</v>
      </c>
      <c r="M12372">
        <v>1</v>
      </c>
      <c r="N12372">
        <v>1</v>
      </c>
    </row>
    <row r="12373" spans="1:14" x14ac:dyDescent="0.25">
      <c r="A12373" t="s">
        <v>21275</v>
      </c>
      <c r="B12373" t="s">
        <v>16379</v>
      </c>
      <c r="C12373" s="1" t="str">
        <f>HYPERLINK("http://www.genecards.org/cgi-bin/carddisp.pl?gene=CLMN","GeneCards")</f>
        <v>GeneCards</v>
      </c>
      <c r="D12373" s="1" t="str">
        <f>HYPERLINK("http://genome-euro.ucsc.edu/cgi-bin/hgTracks?position=221042_s_at","UCSC")</f>
        <v>UCSC</v>
      </c>
      <c r="E12373" s="1" t="str">
        <f>HYPERLINK("http://www.ncbi.nlm.nih.gov/gene/?term=CLMN","NCBI")</f>
        <v>NCBI</v>
      </c>
      <c r="F12373">
        <v>0.36</v>
      </c>
      <c r="G12373">
        <v>0.49</v>
      </c>
      <c r="H12373" s="1" t="str">
        <f>HYPERLINK("http://www.weizmann.ac.il/complex/compphys/software/geview/data/figures/221042_s_at.png","Figure")</f>
        <v>Figure</v>
      </c>
      <c r="I12373">
        <v>1</v>
      </c>
      <c r="J12373">
        <v>1</v>
      </c>
      <c r="K12373">
        <v>0.92100000000000004</v>
      </c>
      <c r="L12373">
        <v>0.43</v>
      </c>
      <c r="M12373">
        <v>0.92100000000000004</v>
      </c>
      <c r="N12373">
        <v>0.47</v>
      </c>
    </row>
    <row r="12374" spans="1:14" x14ac:dyDescent="0.25">
      <c r="A12374" t="s">
        <v>21276</v>
      </c>
      <c r="B12374" t="s">
        <v>21277</v>
      </c>
      <c r="C12374" s="1" t="str">
        <f>HYPERLINK("http://www.genecards.org/cgi-bin/carddisp.pl?gene=PDE11A","GeneCards")</f>
        <v>GeneCards</v>
      </c>
      <c r="D12374" s="1" t="str">
        <f>HYPERLINK("http://genome-euro.ucsc.edu/cgi-bin/hgTracks?position=221110_x_at","UCSC")</f>
        <v>UCSC</v>
      </c>
      <c r="E12374" s="1" t="str">
        <f>HYPERLINK("http://www.ncbi.nlm.nih.gov/gene/?term=PDE11A","NCBI")</f>
        <v>NCBI</v>
      </c>
      <c r="F12374">
        <v>0.36</v>
      </c>
      <c r="G12374">
        <v>0.49</v>
      </c>
      <c r="H12374" s="1" t="str">
        <f>HYPERLINK("http://www.weizmann.ac.il/complex/compphys/software/geview/data/figures/221110_x_at.png","Figure")</f>
        <v>Figure</v>
      </c>
      <c r="I12374">
        <v>1</v>
      </c>
      <c r="J12374">
        <v>0.47</v>
      </c>
      <c r="K12374">
        <v>1</v>
      </c>
      <c r="L12374">
        <v>0.38</v>
      </c>
      <c r="M12374">
        <v>1</v>
      </c>
      <c r="N12374">
        <v>1</v>
      </c>
    </row>
    <row r="12375" spans="1:14" x14ac:dyDescent="0.25">
      <c r="A12375" t="s">
        <v>21278</v>
      </c>
      <c r="B12375" t="s">
        <v>21279</v>
      </c>
      <c r="C12375" s="1" t="str">
        <f>HYPERLINK("http://www.genecards.org/cgi-bin/carddisp.pl?gene=GDAP1","GeneCards")</f>
        <v>GeneCards</v>
      </c>
      <c r="D12375" s="1" t="str">
        <f>HYPERLINK("http://genome-euro.ucsc.edu/cgi-bin/hgTracks?position=221279_at","UCSC")</f>
        <v>UCSC</v>
      </c>
      <c r="E12375" s="1" t="str">
        <f>HYPERLINK("http://www.ncbi.nlm.nih.gov/gene/?term=GDAP1","NCBI")</f>
        <v>NCBI</v>
      </c>
      <c r="F12375">
        <v>0.36</v>
      </c>
      <c r="G12375">
        <v>0.49</v>
      </c>
      <c r="H12375" s="1" t="str">
        <f>HYPERLINK("http://www.weizmann.ac.il/complex/compphys/software/geview/data/figures/221279_at.png","Figure")</f>
        <v>Figure</v>
      </c>
      <c r="I12375">
        <v>1.01</v>
      </c>
      <c r="J12375">
        <v>0.47</v>
      </c>
      <c r="K12375">
        <v>1.01</v>
      </c>
      <c r="L12375">
        <v>0.38</v>
      </c>
      <c r="M12375">
        <v>1</v>
      </c>
      <c r="N12375">
        <v>1</v>
      </c>
    </row>
    <row r="12376" spans="1:14" x14ac:dyDescent="0.25">
      <c r="A12376" t="s">
        <v>21280</v>
      </c>
      <c r="B12376" t="s">
        <v>8306</v>
      </c>
      <c r="C12376" s="1" t="str">
        <f>HYPERLINK("http://www.genecards.org/cgi-bin/carddisp.pl?gene=SRC","GeneCards")</f>
        <v>GeneCards</v>
      </c>
      <c r="D12376" s="1" t="str">
        <f>HYPERLINK("http://genome-euro.ucsc.edu/cgi-bin/hgTracks?position=221284_s_at","UCSC")</f>
        <v>UCSC</v>
      </c>
      <c r="E12376" s="1" t="str">
        <f>HYPERLINK("http://www.ncbi.nlm.nih.gov/gene/?term=SRC","NCBI")</f>
        <v>NCBI</v>
      </c>
      <c r="F12376">
        <v>0.36</v>
      </c>
      <c r="G12376">
        <v>0.49</v>
      </c>
      <c r="H12376" s="1" t="str">
        <f>HYPERLINK("http://www.weizmann.ac.il/complex/compphys/software/geview/data/figures/221284_s_at.png","Figure")</f>
        <v>Figure</v>
      </c>
      <c r="I12376">
        <v>1</v>
      </c>
      <c r="J12376">
        <v>0.47</v>
      </c>
      <c r="K12376">
        <v>1</v>
      </c>
      <c r="L12376">
        <v>0.38</v>
      </c>
      <c r="M12376">
        <v>1</v>
      </c>
      <c r="N12376">
        <v>1</v>
      </c>
    </row>
    <row r="12377" spans="1:14" x14ac:dyDescent="0.25">
      <c r="A12377" t="s">
        <v>21281</v>
      </c>
      <c r="B12377" t="s">
        <v>21282</v>
      </c>
      <c r="C12377" s="1" t="str">
        <f>HYPERLINK("http://www.genecards.org/cgi-bin/carddisp.pl?gene=GLP2R","GeneCards")</f>
        <v>GeneCards</v>
      </c>
      <c r="D12377" s="1" t="str">
        <f>HYPERLINK("http://genome-euro.ucsc.edu/cgi-bin/hgTracks?position=221312_at","UCSC")</f>
        <v>UCSC</v>
      </c>
      <c r="E12377" s="1" t="str">
        <f>HYPERLINK("http://www.ncbi.nlm.nih.gov/gene/?term=GLP2R","NCBI")</f>
        <v>NCBI</v>
      </c>
      <c r="F12377">
        <v>0.36</v>
      </c>
      <c r="G12377">
        <v>0.49</v>
      </c>
      <c r="H12377" s="1" t="str">
        <f>HYPERLINK("http://www.weizmann.ac.il/complex/compphys/software/geview/data/figures/221312_at.png","Figure")</f>
        <v>Figure</v>
      </c>
      <c r="I12377">
        <v>1.01</v>
      </c>
      <c r="J12377">
        <v>0.47</v>
      </c>
      <c r="K12377">
        <v>1.01</v>
      </c>
      <c r="L12377">
        <v>0.38</v>
      </c>
      <c r="M12377">
        <v>1</v>
      </c>
      <c r="N12377">
        <v>1</v>
      </c>
    </row>
    <row r="12378" spans="1:14" x14ac:dyDescent="0.25">
      <c r="A12378" t="s">
        <v>21283</v>
      </c>
      <c r="B12378" t="s">
        <v>21284</v>
      </c>
      <c r="C12378" s="1" t="str">
        <f>HYPERLINK("http://www.genecards.org/cgi-bin/carddisp.pl?gene=FFAR2","GeneCards")</f>
        <v>GeneCards</v>
      </c>
      <c r="D12378" s="1" t="str">
        <f>HYPERLINK("http://genome-euro.ucsc.edu/cgi-bin/hgTracks?position=221345_at","UCSC")</f>
        <v>UCSC</v>
      </c>
      <c r="E12378" s="1" t="str">
        <f>HYPERLINK("http://www.ncbi.nlm.nih.gov/gene/?term=FFAR2","NCBI")</f>
        <v>NCBI</v>
      </c>
      <c r="F12378">
        <v>0.36</v>
      </c>
      <c r="G12378">
        <v>0.49</v>
      </c>
      <c r="H12378" s="1" t="str">
        <f>HYPERLINK("http://www.weizmann.ac.il/complex/compphys/software/geview/data/figures/221345_at.png","Figure")</f>
        <v>Figure</v>
      </c>
      <c r="I12378">
        <v>1.02</v>
      </c>
      <c r="J12378">
        <v>0.47</v>
      </c>
      <c r="K12378">
        <v>1.02</v>
      </c>
      <c r="L12378">
        <v>0.38</v>
      </c>
      <c r="M12378">
        <v>1</v>
      </c>
      <c r="N12378">
        <v>1</v>
      </c>
    </row>
    <row r="12379" spans="1:14" x14ac:dyDescent="0.25">
      <c r="A12379" t="s">
        <v>21285</v>
      </c>
      <c r="B12379" t="s">
        <v>21286</v>
      </c>
      <c r="C12379" s="1" t="str">
        <f>HYPERLINK("http://www.genecards.org/cgi-bin/carddisp.pl?gene=TAS2R14","GeneCards")</f>
        <v>GeneCards</v>
      </c>
      <c r="D12379" s="1" t="str">
        <f>HYPERLINK("http://genome-euro.ucsc.edu/cgi-bin/hgTracks?position=221391_at","UCSC")</f>
        <v>UCSC</v>
      </c>
      <c r="E12379" s="1" t="str">
        <f>HYPERLINK("http://www.ncbi.nlm.nih.gov/gene/?term=TAS2R14","NCBI")</f>
        <v>NCBI</v>
      </c>
      <c r="F12379">
        <v>0.36</v>
      </c>
      <c r="G12379">
        <v>0.49</v>
      </c>
      <c r="H12379" s="1" t="str">
        <f>HYPERLINK("http://www.weizmann.ac.il/complex/compphys/software/geview/data/figures/221391_at.png","Figure")</f>
        <v>Figure</v>
      </c>
      <c r="I12379">
        <v>1.01</v>
      </c>
      <c r="J12379">
        <v>0.47</v>
      </c>
      <c r="K12379">
        <v>1.01</v>
      </c>
      <c r="L12379">
        <v>0.38</v>
      </c>
      <c r="M12379">
        <v>1</v>
      </c>
      <c r="N12379">
        <v>1</v>
      </c>
    </row>
    <row r="12380" spans="1:14" x14ac:dyDescent="0.25">
      <c r="A12380" t="s">
        <v>21287</v>
      </c>
      <c r="B12380" t="s">
        <v>21288</v>
      </c>
      <c r="C12380" s="1" t="str">
        <f>HYPERLINK("http://www.genecards.org/cgi-bin/carddisp.pl?gene=PLA2G2F","GeneCards")</f>
        <v>GeneCards</v>
      </c>
      <c r="D12380" s="1" t="str">
        <f>HYPERLINK("http://genome-euro.ucsc.edu/cgi-bin/hgTracks?position=221416_at","UCSC")</f>
        <v>UCSC</v>
      </c>
      <c r="E12380" s="1" t="str">
        <f>HYPERLINK("http://www.ncbi.nlm.nih.gov/gene/?term=PLA2G2F","NCBI")</f>
        <v>NCBI</v>
      </c>
      <c r="F12380">
        <v>0.36</v>
      </c>
      <c r="G12380">
        <v>0.49</v>
      </c>
      <c r="H12380" s="1" t="str">
        <f>HYPERLINK("http://www.weizmann.ac.il/complex/compphys/software/geview/data/figures/221416_at.png","Figure")</f>
        <v>Figure</v>
      </c>
      <c r="I12380">
        <v>1.01</v>
      </c>
      <c r="J12380">
        <v>0.47</v>
      </c>
      <c r="K12380">
        <v>1.01</v>
      </c>
      <c r="L12380">
        <v>0.38</v>
      </c>
      <c r="M12380">
        <v>1</v>
      </c>
      <c r="N12380">
        <v>1</v>
      </c>
    </row>
    <row r="12381" spans="1:14" x14ac:dyDescent="0.25">
      <c r="A12381" t="s">
        <v>21289</v>
      </c>
      <c r="B12381" t="s">
        <v>11831</v>
      </c>
      <c r="C12381" s="1" t="str">
        <f>HYPERLINK("http://www.genecards.org/cgi-bin/carddisp.pl?gene=TMEM222","GeneCards")</f>
        <v>GeneCards</v>
      </c>
      <c r="D12381" s="1" t="str">
        <f>HYPERLINK("http://genome-euro.ucsc.edu/cgi-bin/hgTracks?position=221512_at","UCSC")</f>
        <v>UCSC</v>
      </c>
      <c r="E12381" s="1" t="str">
        <f>HYPERLINK("http://www.ncbi.nlm.nih.gov/gene/?term=TMEM222","NCBI")</f>
        <v>NCBI</v>
      </c>
      <c r="F12381">
        <v>0.36</v>
      </c>
      <c r="G12381">
        <v>0.49</v>
      </c>
      <c r="H12381" s="1" t="str">
        <f>HYPERLINK("http://www.weizmann.ac.il/complex/compphys/software/geview/data/figures/221512_at.png","Figure")</f>
        <v>Figure</v>
      </c>
      <c r="I12381">
        <v>0.99199999999999999</v>
      </c>
      <c r="J12381">
        <v>1</v>
      </c>
      <c r="K12381">
        <v>0.85699999999999998</v>
      </c>
      <c r="L12381">
        <v>0.41</v>
      </c>
      <c r="M12381">
        <v>0.86399999999999999</v>
      </c>
      <c r="N12381">
        <v>0.49</v>
      </c>
    </row>
    <row r="12382" spans="1:14" x14ac:dyDescent="0.25">
      <c r="A12382" t="s">
        <v>21290</v>
      </c>
      <c r="B12382" t="s">
        <v>21291</v>
      </c>
      <c r="C12382" s="1" t="str">
        <f>HYPERLINK("http://www.genecards.org/cgi-bin/carddisp.pl?gene=ZDHHC11","GeneCards")</f>
        <v>GeneCards</v>
      </c>
      <c r="D12382" s="1" t="str">
        <f>HYPERLINK("http://genome-euro.ucsc.edu/cgi-bin/hgTracks?position=221646_s_at","UCSC")</f>
        <v>UCSC</v>
      </c>
      <c r="E12382" s="1" t="str">
        <f>HYPERLINK("http://www.ncbi.nlm.nih.gov/gene/?term=ZDHHC11","NCBI")</f>
        <v>NCBI</v>
      </c>
      <c r="F12382">
        <v>0.36</v>
      </c>
      <c r="G12382">
        <v>0.49</v>
      </c>
      <c r="H12382" s="1" t="str">
        <f>HYPERLINK("http://www.weizmann.ac.il/complex/compphys/software/geview/data/figures/221646_s_at.png","Figure")</f>
        <v>Figure</v>
      </c>
      <c r="I12382">
        <v>1.03</v>
      </c>
      <c r="J12382">
        <v>0.47</v>
      </c>
      <c r="K12382">
        <v>1.03</v>
      </c>
      <c r="L12382">
        <v>0.38</v>
      </c>
      <c r="M12382">
        <v>1</v>
      </c>
      <c r="N12382">
        <v>1</v>
      </c>
    </row>
    <row r="12383" spans="1:14" x14ac:dyDescent="0.25">
      <c r="A12383" t="s">
        <v>21292</v>
      </c>
      <c r="B12383" t="s">
        <v>21293</v>
      </c>
      <c r="C12383" s="1" t="str">
        <f>HYPERLINK("http://www.genecards.org/cgi-bin/carddisp.pl?gene=CLEC7A","GeneCards")</f>
        <v>GeneCards</v>
      </c>
      <c r="D12383" s="1" t="str">
        <f>HYPERLINK("http://genome-euro.ucsc.edu/cgi-bin/hgTracks?position=221698_s_at","UCSC")</f>
        <v>UCSC</v>
      </c>
      <c r="E12383" s="1" t="str">
        <f>HYPERLINK("http://www.ncbi.nlm.nih.gov/gene/?term=CLEC7A","NCBI")</f>
        <v>NCBI</v>
      </c>
      <c r="F12383">
        <v>0.36</v>
      </c>
      <c r="G12383">
        <v>0.49</v>
      </c>
      <c r="H12383" s="1" t="str">
        <f>HYPERLINK("http://www.weizmann.ac.il/complex/compphys/software/geview/data/figures/221698_s_at.png","Figure")</f>
        <v>Figure</v>
      </c>
      <c r="I12383">
        <v>1.04</v>
      </c>
      <c r="J12383">
        <v>0.47</v>
      </c>
      <c r="K12383">
        <v>1.04</v>
      </c>
      <c r="L12383">
        <v>0.38</v>
      </c>
      <c r="M12383">
        <v>1</v>
      </c>
      <c r="N12383">
        <v>1</v>
      </c>
    </row>
    <row r="12384" spans="1:14" x14ac:dyDescent="0.25">
      <c r="A12384" t="s">
        <v>21294</v>
      </c>
      <c r="B12384" t="s">
        <v>21295</v>
      </c>
      <c r="C12384" s="1" t="str">
        <f>HYPERLINK("http://www.genecards.org/cgi-bin/carddisp.pl?gene=VPS53","GeneCards")</f>
        <v>GeneCards</v>
      </c>
      <c r="D12384" s="1" t="str">
        <f>HYPERLINK("http://genome-euro.ucsc.edu/cgi-bin/hgTracks?position=221707_s_at","UCSC")</f>
        <v>UCSC</v>
      </c>
      <c r="E12384" s="1" t="str">
        <f>HYPERLINK("http://www.ncbi.nlm.nih.gov/gene/?term=VPS53","NCBI")</f>
        <v>NCBI</v>
      </c>
      <c r="F12384">
        <v>0.36</v>
      </c>
      <c r="G12384">
        <v>0.49</v>
      </c>
      <c r="H12384" s="1" t="str">
        <f>HYPERLINK("http://www.weizmann.ac.il/complex/compphys/software/geview/data/figures/221707_s_at.png","Figure")</f>
        <v>Figure</v>
      </c>
      <c r="I12384">
        <v>1.02</v>
      </c>
      <c r="J12384">
        <v>0.47</v>
      </c>
      <c r="K12384">
        <v>1.02</v>
      </c>
      <c r="L12384">
        <v>0.38</v>
      </c>
      <c r="M12384">
        <v>1</v>
      </c>
      <c r="N12384">
        <v>1</v>
      </c>
    </row>
    <row r="12385" spans="1:14" x14ac:dyDescent="0.25">
      <c r="A12385" t="s">
        <v>21296</v>
      </c>
      <c r="B12385" t="s">
        <v>5044</v>
      </c>
      <c r="C12385" s="1" t="str">
        <f>HYPERLINK("http://www.genecards.org/cgi-bin/carddisp.pl?gene=N4BP1","GeneCards")</f>
        <v>GeneCards</v>
      </c>
      <c r="D12385" s="1" t="str">
        <f>HYPERLINK("http://genome-euro.ucsc.edu/cgi-bin/hgTracks?position=221867_at","UCSC")</f>
        <v>UCSC</v>
      </c>
      <c r="E12385" s="1" t="str">
        <f>HYPERLINK("http://www.ncbi.nlm.nih.gov/gene/?term=N4BP1","NCBI")</f>
        <v>NCBI</v>
      </c>
      <c r="F12385">
        <v>0.36</v>
      </c>
      <c r="G12385">
        <v>0.49</v>
      </c>
      <c r="H12385" s="1" t="str">
        <f>HYPERLINK("http://www.weizmann.ac.il/complex/compphys/software/geview/data/figures/221867_at.png","Figure")</f>
        <v>Figure</v>
      </c>
      <c r="I12385">
        <v>0.84599999999999997</v>
      </c>
      <c r="J12385">
        <v>0.33</v>
      </c>
      <c r="K12385">
        <v>0.91500000000000004</v>
      </c>
      <c r="L12385">
        <v>0.65</v>
      </c>
      <c r="M12385">
        <v>1.08</v>
      </c>
      <c r="N12385">
        <v>0.74</v>
      </c>
    </row>
    <row r="12386" spans="1:14" x14ac:dyDescent="0.25">
      <c r="A12386" t="s">
        <v>21297</v>
      </c>
      <c r="B12386" t="s">
        <v>21298</v>
      </c>
      <c r="C12386" s="1" t="str">
        <f>HYPERLINK("http://www.genecards.org/cgi-bin/carddisp.pl?gene=GPR177","GeneCards")</f>
        <v>GeneCards</v>
      </c>
      <c r="D12386" s="1" t="str">
        <f>HYPERLINK("http://genome-euro.ucsc.edu/cgi-bin/hgTracks?position=221958_s_at","UCSC")</f>
        <v>UCSC</v>
      </c>
      <c r="E12386" s="1" t="str">
        <f>HYPERLINK("http://www.ncbi.nlm.nih.gov/gene/?term=GPR177","NCBI")</f>
        <v>NCBI</v>
      </c>
      <c r="F12386">
        <v>0.36</v>
      </c>
      <c r="G12386">
        <v>0.49</v>
      </c>
      <c r="H12386" s="1" t="str">
        <f>HYPERLINK("http://www.weizmann.ac.il/complex/compphys/software/geview/data/figures/221958_s_at.png","Figure")</f>
        <v>Figure</v>
      </c>
      <c r="I12386">
        <v>1.03</v>
      </c>
      <c r="J12386">
        <v>0.47</v>
      </c>
      <c r="K12386">
        <v>1.03</v>
      </c>
      <c r="L12386">
        <v>0.38</v>
      </c>
      <c r="M12386">
        <v>1</v>
      </c>
      <c r="N12386">
        <v>1</v>
      </c>
    </row>
    <row r="12387" spans="1:14" x14ac:dyDescent="0.25">
      <c r="A12387" t="s">
        <v>21299</v>
      </c>
      <c r="B12387" t="s">
        <v>21172</v>
      </c>
      <c r="C12387" s="1" t="str">
        <f>HYPERLINK("http://www.genecards.org/cgi-bin/carddisp.pl?gene=COL4A3","GeneCards")</f>
        <v>GeneCards</v>
      </c>
      <c r="D12387" s="1" t="str">
        <f>HYPERLINK("http://genome-euro.ucsc.edu/cgi-bin/hgTracks?position=222073_at","UCSC")</f>
        <v>UCSC</v>
      </c>
      <c r="E12387" s="1" t="str">
        <f>HYPERLINK("http://www.ncbi.nlm.nih.gov/gene/?term=COL4A3","NCBI")</f>
        <v>NCBI</v>
      </c>
      <c r="F12387">
        <v>0.36</v>
      </c>
      <c r="G12387">
        <v>0.49</v>
      </c>
      <c r="H12387" s="1" t="str">
        <f>HYPERLINK("http://www.weizmann.ac.il/complex/compphys/software/geview/data/figures/222073_at.png","Figure")</f>
        <v>Figure</v>
      </c>
      <c r="I12387">
        <v>1.01</v>
      </c>
      <c r="J12387">
        <v>0.47</v>
      </c>
      <c r="K12387">
        <v>1.01</v>
      </c>
      <c r="L12387">
        <v>0.38</v>
      </c>
      <c r="M12387">
        <v>1</v>
      </c>
      <c r="N12387">
        <v>1</v>
      </c>
    </row>
    <row r="12388" spans="1:14" x14ac:dyDescent="0.25">
      <c r="A12388" t="s">
        <v>21300</v>
      </c>
      <c r="B12388" t="s">
        <v>12895</v>
      </c>
      <c r="C12388" s="1" t="str">
        <f>HYPERLINK("http://www.genecards.org/cgi-bin/carddisp.pl?gene=PTEN","GeneCards")</f>
        <v>GeneCards</v>
      </c>
      <c r="D12388" s="1" t="str">
        <f>HYPERLINK("http://genome-euro.ucsc.edu/cgi-bin/hgTracks?position=222176_at","UCSC")</f>
        <v>UCSC</v>
      </c>
      <c r="E12388" s="1" t="str">
        <f>HYPERLINK("http://www.ncbi.nlm.nih.gov/gene/?term=PTEN","NCBI")</f>
        <v>NCBI</v>
      </c>
      <c r="F12388">
        <v>0.36</v>
      </c>
      <c r="G12388">
        <v>0.49</v>
      </c>
      <c r="H12388" s="1" t="str">
        <f>HYPERLINK("http://www.weizmann.ac.il/complex/compphys/software/geview/data/figures/222176_at.png","Figure")</f>
        <v>Figure</v>
      </c>
      <c r="I12388">
        <v>1.01</v>
      </c>
      <c r="J12388">
        <v>0.47</v>
      </c>
      <c r="K12388">
        <v>1.01</v>
      </c>
      <c r="L12388">
        <v>0.38</v>
      </c>
      <c r="M12388">
        <v>1</v>
      </c>
      <c r="N12388">
        <v>1</v>
      </c>
    </row>
    <row r="12389" spans="1:14" x14ac:dyDescent="0.25">
      <c r="A12389" t="s">
        <v>21301</v>
      </c>
      <c r="B12389" t="s">
        <v>21302</v>
      </c>
      <c r="C12389" s="1" t="str">
        <f>HYPERLINK("http://www.genecards.org/cgi-bin/carddisp.pl?gene=KCNC2","GeneCards")</f>
        <v>GeneCards</v>
      </c>
      <c r="D12389" s="1" t="str">
        <f>HYPERLINK("http://genome-euro.ucsc.edu/cgi-bin/hgTracks?position=222289_at","UCSC")</f>
        <v>UCSC</v>
      </c>
      <c r="E12389" s="1" t="str">
        <f>HYPERLINK("http://www.ncbi.nlm.nih.gov/gene/?term=KCNC2","NCBI")</f>
        <v>NCBI</v>
      </c>
      <c r="F12389">
        <v>0.36</v>
      </c>
      <c r="G12389">
        <v>0.49</v>
      </c>
      <c r="H12389" s="1" t="str">
        <f>HYPERLINK("http://www.weizmann.ac.il/complex/compphys/software/geview/data/figures/222289_at.png","Figure")</f>
        <v>Figure</v>
      </c>
      <c r="I12389">
        <v>1</v>
      </c>
      <c r="J12389">
        <v>0.47</v>
      </c>
      <c r="K12389">
        <v>1</v>
      </c>
      <c r="L12389">
        <v>0.38</v>
      </c>
      <c r="M12389">
        <v>1</v>
      </c>
      <c r="N12389">
        <v>1</v>
      </c>
    </row>
    <row r="12390" spans="1:14" x14ac:dyDescent="0.25">
      <c r="A12390" t="s">
        <v>21303</v>
      </c>
      <c r="B12390" t="s">
        <v>21304</v>
      </c>
      <c r="C12390" s="1" t="str">
        <f>HYPERLINK("http://www.genecards.org/cgi-bin/carddisp.pl?gene=LOC644450","GeneCards")</f>
        <v>GeneCards</v>
      </c>
      <c r="D12390" s="1" t="str">
        <f>HYPERLINK("http://genome-euro.ucsc.edu/cgi-bin/hgTracks?position=222347_at","UCSC")</f>
        <v>UCSC</v>
      </c>
      <c r="E12390" s="1" t="str">
        <f>HYPERLINK("http://www.ncbi.nlm.nih.gov/gene/?term=LOC644450","NCBI")</f>
        <v>NCBI</v>
      </c>
      <c r="F12390">
        <v>0.36</v>
      </c>
      <c r="G12390">
        <v>0.49</v>
      </c>
      <c r="H12390" s="1" t="str">
        <f>HYPERLINK("http://www.weizmann.ac.il/complex/compphys/software/geview/data/figures/222347_at.png","Figure")</f>
        <v>Figure</v>
      </c>
      <c r="I12390">
        <v>1.02</v>
      </c>
      <c r="J12390">
        <v>0.47</v>
      </c>
      <c r="K12390">
        <v>1.02</v>
      </c>
      <c r="L12390">
        <v>0.38</v>
      </c>
      <c r="M12390">
        <v>1</v>
      </c>
      <c r="N12390">
        <v>1</v>
      </c>
    </row>
    <row r="12391" spans="1:14" x14ac:dyDescent="0.25">
      <c r="A12391" t="s">
        <v>21305</v>
      </c>
      <c r="B12391" t="s">
        <v>7805</v>
      </c>
      <c r="C12391" s="1" t="str">
        <f>HYPERLINK("http://www.genecards.org/cgi-bin/carddisp.pl?gene=MAST4","GeneCards")</f>
        <v>GeneCards</v>
      </c>
      <c r="D12391" s="1" t="str">
        <f>HYPERLINK("http://genome-euro.ucsc.edu/cgi-bin/hgTracks?position=222348_at","UCSC")</f>
        <v>UCSC</v>
      </c>
      <c r="E12391" s="1" t="str">
        <f>HYPERLINK("http://www.ncbi.nlm.nih.gov/gene/?term=MAST4","NCBI")</f>
        <v>NCBI</v>
      </c>
      <c r="F12391">
        <v>0.36</v>
      </c>
      <c r="G12391">
        <v>0.49</v>
      </c>
      <c r="H12391" s="1" t="str">
        <f>HYPERLINK("http://www.weizmann.ac.il/complex/compphys/software/geview/data/figures/222348_at.png","Figure")</f>
        <v>Figure</v>
      </c>
      <c r="I12391">
        <v>1</v>
      </c>
      <c r="J12391">
        <v>0.47</v>
      </c>
      <c r="K12391">
        <v>1</v>
      </c>
      <c r="L12391">
        <v>0.38</v>
      </c>
      <c r="M12391">
        <v>1</v>
      </c>
      <c r="N12391">
        <v>1</v>
      </c>
    </row>
    <row r="12392" spans="1:14" x14ac:dyDescent="0.25">
      <c r="A12392" t="s">
        <v>21306</v>
      </c>
      <c r="B12392" t="s">
        <v>21307</v>
      </c>
      <c r="C12392" s="1" t="str">
        <f>HYPERLINK("http://www.genecards.org/cgi-bin/carddisp.pl?gene=RNF126P1","GeneCards")</f>
        <v>GeneCards</v>
      </c>
      <c r="D12392" s="1" t="str">
        <f>HYPERLINK("http://genome-euro.ucsc.edu/cgi-bin/hgTracks?position=222349_x_at","UCSC")</f>
        <v>UCSC</v>
      </c>
      <c r="E12392" s="1" t="str">
        <f>HYPERLINK("http://www.ncbi.nlm.nih.gov/gene/?term=RNF126P1","NCBI")</f>
        <v>NCBI</v>
      </c>
      <c r="F12392">
        <v>0.36</v>
      </c>
      <c r="G12392">
        <v>0.49</v>
      </c>
      <c r="H12392" s="1" t="str">
        <f>HYPERLINK("http://www.weizmann.ac.il/complex/compphys/software/geview/data/figures/222349_x_at.png","Figure")</f>
        <v>Figure</v>
      </c>
      <c r="I12392">
        <v>1.03</v>
      </c>
      <c r="J12392">
        <v>0.47</v>
      </c>
      <c r="K12392">
        <v>1.03</v>
      </c>
      <c r="L12392">
        <v>0.38</v>
      </c>
      <c r="M12392">
        <v>1</v>
      </c>
      <c r="N12392">
        <v>1</v>
      </c>
    </row>
    <row r="12393" spans="1:14" x14ac:dyDescent="0.25">
      <c r="A12393" t="s">
        <v>21308</v>
      </c>
      <c r="B12393" t="s">
        <v>8843</v>
      </c>
      <c r="C12393" s="1" t="str">
        <f>HYPERLINK("http://www.genecards.org/cgi-bin/carddisp.pl?gene=PSMA2","GeneCards")</f>
        <v>GeneCards</v>
      </c>
      <c r="D12393" s="1" t="str">
        <f>HYPERLINK("http://genome-euro.ucsc.edu/cgi-bin/hgTracks?position=201316_at","UCSC")</f>
        <v>UCSC</v>
      </c>
      <c r="E12393" s="1" t="str">
        <f>HYPERLINK("http://www.ncbi.nlm.nih.gov/gene/?term=PSMA2","NCBI")</f>
        <v>NCBI</v>
      </c>
      <c r="F12393">
        <v>0.36</v>
      </c>
      <c r="G12393">
        <v>0.49</v>
      </c>
      <c r="H12393" s="1" t="str">
        <f>HYPERLINK("http://www.weizmann.ac.il/complex/compphys/software/geview/data/figures/201316_at.png","Figure")</f>
        <v>Figure</v>
      </c>
      <c r="I12393">
        <v>0.82699999999999996</v>
      </c>
      <c r="J12393">
        <v>0.38</v>
      </c>
      <c r="K12393">
        <v>0.97299999999999998</v>
      </c>
      <c r="L12393">
        <v>0.97</v>
      </c>
      <c r="M12393">
        <v>1.18</v>
      </c>
      <c r="N12393">
        <v>0.43</v>
      </c>
    </row>
    <row r="12394" spans="1:14" x14ac:dyDescent="0.25">
      <c r="A12394" t="s">
        <v>21309</v>
      </c>
      <c r="B12394" t="s">
        <v>21310</v>
      </c>
      <c r="C12394" s="1" t="str">
        <f>HYPERLINK("http://www.genecards.org/cgi-bin/carddisp.pl?gene=TMEM35","GeneCards")</f>
        <v>GeneCards</v>
      </c>
      <c r="D12394" s="1" t="str">
        <f>HYPERLINK("http://genome-euro.ucsc.edu/cgi-bin/hgTracks?position=219685_at","UCSC")</f>
        <v>UCSC</v>
      </c>
      <c r="E12394" s="1" t="str">
        <f>HYPERLINK("http://www.ncbi.nlm.nih.gov/gene/?term=TMEM35","NCBI")</f>
        <v>NCBI</v>
      </c>
      <c r="F12394">
        <v>0.36</v>
      </c>
      <c r="G12394">
        <v>0.49</v>
      </c>
      <c r="H12394" s="1" t="str">
        <f>HYPERLINK("http://www.weizmann.ac.il/complex/compphys/software/geview/data/figures/219685_at.png","Figure")</f>
        <v>Figure</v>
      </c>
      <c r="I12394">
        <v>1.02</v>
      </c>
      <c r="J12394">
        <v>0.69</v>
      </c>
      <c r="K12394">
        <v>0.98699999999999999</v>
      </c>
      <c r="L12394">
        <v>0.8</v>
      </c>
      <c r="M12394">
        <v>0.96799999999999997</v>
      </c>
      <c r="N12394">
        <v>0.33</v>
      </c>
    </row>
    <row r="12395" spans="1:14" x14ac:dyDescent="0.25">
      <c r="A12395" t="s">
        <v>21311</v>
      </c>
      <c r="B12395" t="s">
        <v>14975</v>
      </c>
      <c r="C12395" s="1" t="str">
        <f>HYPERLINK("http://www.genecards.org/cgi-bin/carddisp.pl?gene=TBC1D13","GeneCards")</f>
        <v>GeneCards</v>
      </c>
      <c r="D12395" s="1" t="str">
        <f>HYPERLINK("http://genome-euro.ucsc.edu/cgi-bin/hgTracks?position=218596_at","UCSC")</f>
        <v>UCSC</v>
      </c>
      <c r="E12395" s="1" t="str">
        <f>HYPERLINK("http://www.ncbi.nlm.nih.gov/gene/?term=TBC1D13","NCBI")</f>
        <v>NCBI</v>
      </c>
      <c r="F12395">
        <v>0.36</v>
      </c>
      <c r="G12395">
        <v>0.49</v>
      </c>
      <c r="H12395" s="1" t="str">
        <f>HYPERLINK("http://www.weizmann.ac.il/complex/compphys/software/geview/data/figures/218596_at.png","Figure")</f>
        <v>Figure</v>
      </c>
      <c r="I12395">
        <v>1.06</v>
      </c>
      <c r="J12395">
        <v>0.52</v>
      </c>
      <c r="K12395">
        <v>1.07</v>
      </c>
      <c r="L12395">
        <v>0.36</v>
      </c>
      <c r="M12395">
        <v>1.01</v>
      </c>
      <c r="N12395">
        <v>0.99</v>
      </c>
    </row>
    <row r="12396" spans="1:14" x14ac:dyDescent="0.25">
      <c r="A12396" t="s">
        <v>21312</v>
      </c>
      <c r="B12396" t="s">
        <v>21313</v>
      </c>
      <c r="C12396" s="1" t="str">
        <f>HYPERLINK("http://www.genecards.org/cgi-bin/carddisp.pl?gene=MAP3K11","GeneCards")</f>
        <v>GeneCards</v>
      </c>
      <c r="D12396" s="1" t="str">
        <f>HYPERLINK("http://genome-euro.ucsc.edu/cgi-bin/hgTracks?position=203652_at","UCSC")</f>
        <v>UCSC</v>
      </c>
      <c r="E12396" s="1" t="str">
        <f>HYPERLINK("http://www.ncbi.nlm.nih.gov/gene/?term=MAP3K11","NCBI")</f>
        <v>NCBI</v>
      </c>
      <c r="F12396">
        <v>0.36</v>
      </c>
      <c r="G12396">
        <v>0.49</v>
      </c>
      <c r="H12396" s="1" t="str">
        <f>HYPERLINK("http://www.weizmann.ac.il/complex/compphys/software/geview/data/figures/203652_at.png","Figure")</f>
        <v>Figure</v>
      </c>
      <c r="I12396">
        <v>1.17</v>
      </c>
      <c r="J12396">
        <v>0.46</v>
      </c>
      <c r="K12396">
        <v>1.1599999999999999</v>
      </c>
      <c r="L12396">
        <v>0.39</v>
      </c>
      <c r="M12396">
        <v>0.99399999999999999</v>
      </c>
      <c r="N12396">
        <v>1</v>
      </c>
    </row>
    <row r="12397" spans="1:14" x14ac:dyDescent="0.25">
      <c r="A12397" t="s">
        <v>21314</v>
      </c>
      <c r="B12397" t="s">
        <v>20008</v>
      </c>
      <c r="C12397" s="1" t="str">
        <f>HYPERLINK("http://www.genecards.org/cgi-bin/carddisp.pl?gene=COX7C","GeneCards")</f>
        <v>GeneCards</v>
      </c>
      <c r="D12397" s="1" t="str">
        <f>HYPERLINK("http://genome-euro.ucsc.edu/cgi-bin/hgTracks?position=201134_x_at","UCSC")</f>
        <v>UCSC</v>
      </c>
      <c r="E12397" s="1" t="str">
        <f>HYPERLINK("http://www.ncbi.nlm.nih.gov/gene/?term=COX7C","NCBI")</f>
        <v>NCBI</v>
      </c>
      <c r="F12397">
        <v>0.36</v>
      </c>
      <c r="G12397">
        <v>0.49</v>
      </c>
      <c r="H12397" s="1" t="str">
        <f>HYPERLINK("http://www.weizmann.ac.il/complex/compphys/software/geview/data/figures/201134_x_at.png","Figure")</f>
        <v>Figure</v>
      </c>
      <c r="I12397">
        <v>1.1000000000000001</v>
      </c>
      <c r="J12397">
        <v>0.93</v>
      </c>
      <c r="K12397">
        <v>1.38</v>
      </c>
      <c r="L12397">
        <v>0.35</v>
      </c>
      <c r="M12397">
        <v>1.25</v>
      </c>
      <c r="N12397">
        <v>0.62</v>
      </c>
    </row>
    <row r="12398" spans="1:14" x14ac:dyDescent="0.25">
      <c r="A12398" t="s">
        <v>21315</v>
      </c>
      <c r="B12398" t="s">
        <v>21316</v>
      </c>
      <c r="C12398" s="1" t="str">
        <f>HYPERLINK("http://www.genecards.org/cgi-bin/carddisp.pl?gene=CITED2","GeneCards")</f>
        <v>GeneCards</v>
      </c>
      <c r="D12398" s="1" t="str">
        <f>HYPERLINK("http://genome-euro.ucsc.edu/cgi-bin/hgTracks?position=209357_at","UCSC")</f>
        <v>UCSC</v>
      </c>
      <c r="E12398" s="1" t="str">
        <f>HYPERLINK("http://www.ncbi.nlm.nih.gov/gene/?term=CITED2","NCBI")</f>
        <v>NCBI</v>
      </c>
      <c r="F12398">
        <v>0.36</v>
      </c>
      <c r="G12398">
        <v>0.49</v>
      </c>
      <c r="H12398" s="1" t="str">
        <f>HYPERLINK("http://www.weizmann.ac.il/complex/compphys/software/geview/data/figures/209357_at.png","Figure")</f>
        <v>Figure</v>
      </c>
      <c r="I12398">
        <v>0.71799999999999997</v>
      </c>
      <c r="J12398">
        <v>0.49</v>
      </c>
      <c r="K12398">
        <v>0.70699999999999996</v>
      </c>
      <c r="L12398">
        <v>0.37</v>
      </c>
      <c r="M12398">
        <v>0.98499999999999999</v>
      </c>
      <c r="N12398">
        <v>1</v>
      </c>
    </row>
    <row r="12399" spans="1:14" x14ac:dyDescent="0.25">
      <c r="A12399" t="s">
        <v>21317</v>
      </c>
      <c r="B12399" t="s">
        <v>20369</v>
      </c>
      <c r="C12399" s="1" t="str">
        <f>HYPERLINK("http://www.genecards.org/cgi-bin/carddisp.pl?gene=HIVEP2","GeneCards")</f>
        <v>GeneCards</v>
      </c>
      <c r="D12399" s="1" t="str">
        <f>HYPERLINK("http://genome-euro.ucsc.edu/cgi-bin/hgTracks?position=212641_at","UCSC")</f>
        <v>UCSC</v>
      </c>
      <c r="E12399" s="1" t="str">
        <f>HYPERLINK("http://www.ncbi.nlm.nih.gov/gene/?term=HIVEP2","NCBI")</f>
        <v>NCBI</v>
      </c>
      <c r="F12399">
        <v>0.36</v>
      </c>
      <c r="G12399">
        <v>0.49</v>
      </c>
      <c r="H12399" s="1" t="str">
        <f>HYPERLINK("http://www.weizmann.ac.il/complex/compphys/software/geview/data/figures/212641_at.png","Figure")</f>
        <v>Figure</v>
      </c>
      <c r="I12399">
        <v>1.1399999999999999</v>
      </c>
      <c r="J12399">
        <v>0.63</v>
      </c>
      <c r="K12399">
        <v>1.19</v>
      </c>
      <c r="L12399">
        <v>0.33</v>
      </c>
      <c r="M12399">
        <v>1.05</v>
      </c>
      <c r="N12399">
        <v>0.92</v>
      </c>
    </row>
    <row r="12400" spans="1:14" x14ac:dyDescent="0.25">
      <c r="A12400" t="s">
        <v>21318</v>
      </c>
      <c r="B12400" t="s">
        <v>21319</v>
      </c>
      <c r="C12400" s="1" t="str">
        <f>HYPERLINK("http://www.genecards.org/cgi-bin/carddisp.pl?gene=KIAA0556","GeneCards")</f>
        <v>GeneCards</v>
      </c>
      <c r="D12400" s="1" t="str">
        <f>HYPERLINK("http://genome-euro.ucsc.edu/cgi-bin/hgTracks?position=213185_at","UCSC")</f>
        <v>UCSC</v>
      </c>
      <c r="E12400" s="1" t="str">
        <f>HYPERLINK("http://www.ncbi.nlm.nih.gov/gene/?term=KIAA0556","NCBI")</f>
        <v>NCBI</v>
      </c>
      <c r="F12400">
        <v>0.36</v>
      </c>
      <c r="G12400">
        <v>0.49</v>
      </c>
      <c r="H12400" s="1" t="str">
        <f>HYPERLINK("http://www.weizmann.ac.il/complex/compphys/software/geview/data/figures/213185_at.png","Figure")</f>
        <v>Figure</v>
      </c>
      <c r="I12400">
        <v>1.07</v>
      </c>
      <c r="J12400">
        <v>0.92</v>
      </c>
      <c r="K12400">
        <v>0.84199999999999997</v>
      </c>
      <c r="L12400">
        <v>0.56000000000000005</v>
      </c>
      <c r="M12400">
        <v>0.78300000000000003</v>
      </c>
      <c r="N12400">
        <v>0.38</v>
      </c>
    </row>
    <row r="12401" spans="1:14" x14ac:dyDescent="0.25">
      <c r="A12401" t="s">
        <v>21320</v>
      </c>
      <c r="B12401" t="s">
        <v>8338</v>
      </c>
      <c r="C12401" s="1" t="str">
        <f>HYPERLINK("http://www.genecards.org/cgi-bin/carddisp.pl?gene=AASDHPPT","GeneCards")</f>
        <v>GeneCards</v>
      </c>
      <c r="D12401" s="1" t="str">
        <f>HYPERLINK("http://genome-euro.ucsc.edu/cgi-bin/hgTracks?position=202169_s_at","UCSC")</f>
        <v>UCSC</v>
      </c>
      <c r="E12401" s="1" t="str">
        <f>HYPERLINK("http://www.ncbi.nlm.nih.gov/gene/?term=AASDHPPT","NCBI")</f>
        <v>NCBI</v>
      </c>
      <c r="F12401">
        <v>0.36</v>
      </c>
      <c r="G12401">
        <v>0.49</v>
      </c>
      <c r="H12401" s="1" t="str">
        <f>HYPERLINK("http://www.weizmann.ac.il/complex/compphys/software/geview/data/figures/202169_s_at.png","Figure")</f>
        <v>Figure</v>
      </c>
      <c r="I12401">
        <v>0.66400000000000003</v>
      </c>
      <c r="J12401">
        <v>0.37</v>
      </c>
      <c r="K12401">
        <v>0.74199999999999999</v>
      </c>
      <c r="L12401">
        <v>0.49</v>
      </c>
      <c r="M12401">
        <v>1.1200000000000001</v>
      </c>
      <c r="N12401">
        <v>0.91</v>
      </c>
    </row>
    <row r="12402" spans="1:14" x14ac:dyDescent="0.25">
      <c r="A12402" t="s">
        <v>21321</v>
      </c>
      <c r="B12402" t="s">
        <v>21322</v>
      </c>
      <c r="C12402" s="1" t="str">
        <f>HYPERLINK("http://www.genecards.org/cgi-bin/carddisp.pl?gene=MREG","GeneCards")</f>
        <v>GeneCards</v>
      </c>
      <c r="D12402" s="1" t="str">
        <f>HYPERLINK("http://genome-euro.ucsc.edu/cgi-bin/hgTracks?position=219648_at","UCSC")</f>
        <v>UCSC</v>
      </c>
      <c r="E12402" s="1" t="str">
        <f>HYPERLINK("http://www.ncbi.nlm.nih.gov/gene/?term=MREG","NCBI")</f>
        <v>NCBI</v>
      </c>
      <c r="F12402">
        <v>0.36</v>
      </c>
      <c r="G12402">
        <v>0.49</v>
      </c>
      <c r="H12402" s="1" t="str">
        <f>HYPERLINK("http://www.weizmann.ac.il/complex/compphys/software/geview/data/figures/219648_at.png","Figure")</f>
        <v>Figure</v>
      </c>
      <c r="I12402">
        <v>0.67900000000000005</v>
      </c>
      <c r="J12402">
        <v>0.43</v>
      </c>
      <c r="K12402">
        <v>0.70599999999999996</v>
      </c>
      <c r="L12402">
        <v>0.41</v>
      </c>
      <c r="M12402">
        <v>1.04</v>
      </c>
      <c r="N12402">
        <v>0.99</v>
      </c>
    </row>
    <row r="12403" spans="1:14" x14ac:dyDescent="0.25">
      <c r="A12403" t="s">
        <v>21323</v>
      </c>
      <c r="B12403" t="s">
        <v>21324</v>
      </c>
      <c r="C12403" s="1" t="str">
        <f>HYPERLINK("http://www.genecards.org/cgi-bin/carddisp.pl?gene=GPX4","GeneCards")</f>
        <v>GeneCards</v>
      </c>
      <c r="D12403" s="1" t="str">
        <f>HYPERLINK("http://genome-euro.ucsc.edu/cgi-bin/hgTracks?position=201106_at","UCSC")</f>
        <v>UCSC</v>
      </c>
      <c r="E12403" s="1" t="str">
        <f>HYPERLINK("http://www.ncbi.nlm.nih.gov/gene/?term=GPX4","NCBI")</f>
        <v>NCBI</v>
      </c>
      <c r="F12403">
        <v>0.36</v>
      </c>
      <c r="G12403">
        <v>0.49</v>
      </c>
      <c r="H12403" s="1" t="str">
        <f>HYPERLINK("http://www.weizmann.ac.il/complex/compphys/software/geview/data/figures/201106_at.png","Figure")</f>
        <v>Figure</v>
      </c>
      <c r="I12403">
        <v>1.0900000000000001</v>
      </c>
      <c r="J12403">
        <v>0.91</v>
      </c>
      <c r="K12403">
        <v>0.83299999999999996</v>
      </c>
      <c r="L12403">
        <v>0.56999999999999995</v>
      </c>
      <c r="M12403">
        <v>0.76700000000000002</v>
      </c>
      <c r="N12403">
        <v>0.37</v>
      </c>
    </row>
    <row r="12404" spans="1:14" x14ac:dyDescent="0.25">
      <c r="A12404" t="s">
        <v>21325</v>
      </c>
      <c r="B12404" t="s">
        <v>4201</v>
      </c>
      <c r="C12404" s="1" t="str">
        <f>HYPERLINK("http://www.genecards.org/cgi-bin/carddisp.pl?gene=ACVR1B","GeneCards")</f>
        <v>GeneCards</v>
      </c>
      <c r="D12404" s="1" t="str">
        <f>HYPERLINK("http://genome-euro.ucsc.edu/cgi-bin/hgTracks?position=208223_s_at","UCSC")</f>
        <v>UCSC</v>
      </c>
      <c r="E12404" s="1" t="str">
        <f>HYPERLINK("http://www.ncbi.nlm.nih.gov/gene/?term=ACVR1B","NCBI")</f>
        <v>NCBI</v>
      </c>
      <c r="F12404">
        <v>0.36</v>
      </c>
      <c r="G12404">
        <v>0.49</v>
      </c>
      <c r="H12404" s="1" t="str">
        <f>HYPERLINK("http://www.weizmann.ac.il/complex/compphys/software/geview/data/figures/208223_s_at.png","Figure")</f>
        <v>Figure</v>
      </c>
      <c r="I12404">
        <v>1.06</v>
      </c>
      <c r="J12404">
        <v>0.65</v>
      </c>
      <c r="K12404">
        <v>1.0900000000000001</v>
      </c>
      <c r="L12404">
        <v>0.33</v>
      </c>
      <c r="M12404">
        <v>1.03</v>
      </c>
      <c r="N12404">
        <v>0.9</v>
      </c>
    </row>
    <row r="12405" spans="1:14" x14ac:dyDescent="0.25">
      <c r="A12405" t="s">
        <v>21326</v>
      </c>
      <c r="B12405" t="s">
        <v>21327</v>
      </c>
      <c r="C12405" s="1" t="str">
        <f>HYPERLINK("http://www.genecards.org/cgi-bin/carddisp.pl?gene=CHAF1A","GeneCards")</f>
        <v>GeneCards</v>
      </c>
      <c r="D12405" s="1" t="str">
        <f>HYPERLINK("http://genome-euro.ucsc.edu/cgi-bin/hgTracks?position=203976_s_at","UCSC")</f>
        <v>UCSC</v>
      </c>
      <c r="E12405" s="1" t="str">
        <f>HYPERLINK("http://www.ncbi.nlm.nih.gov/gene/?term=CHAF1A","NCBI")</f>
        <v>NCBI</v>
      </c>
      <c r="F12405">
        <v>0.36</v>
      </c>
      <c r="G12405">
        <v>0.49</v>
      </c>
      <c r="H12405" s="1" t="str">
        <f>HYPERLINK("http://www.weizmann.ac.il/complex/compphys/software/geview/data/figures/203976_s_at.png","Figure")</f>
        <v>Figure</v>
      </c>
      <c r="I12405">
        <v>1.03</v>
      </c>
      <c r="J12405">
        <v>0.97</v>
      </c>
      <c r="K12405">
        <v>1.18</v>
      </c>
      <c r="L12405">
        <v>0.38</v>
      </c>
      <c r="M12405">
        <v>1.1499999999999999</v>
      </c>
      <c r="N12405">
        <v>0.56000000000000005</v>
      </c>
    </row>
    <row r="12406" spans="1:14" x14ac:dyDescent="0.25">
      <c r="A12406" t="s">
        <v>21328</v>
      </c>
      <c r="B12406" t="s">
        <v>21329</v>
      </c>
      <c r="C12406" s="1" t="str">
        <f>HYPERLINK("http://www.genecards.org/cgi-bin/carddisp.pl?gene=GNG5","GeneCards")</f>
        <v>GeneCards</v>
      </c>
      <c r="D12406" s="1" t="str">
        <f>HYPERLINK("http://genome-euro.ucsc.edu/cgi-bin/hgTracks?position=207157_s_at","UCSC")</f>
        <v>UCSC</v>
      </c>
      <c r="E12406" s="1" t="str">
        <f>HYPERLINK("http://www.ncbi.nlm.nih.gov/gene/?term=GNG5","NCBI")</f>
        <v>NCBI</v>
      </c>
      <c r="F12406">
        <v>0.36</v>
      </c>
      <c r="G12406">
        <v>0.49</v>
      </c>
      <c r="H12406" s="1" t="str">
        <f>HYPERLINK("http://www.weizmann.ac.il/complex/compphys/software/geview/data/figures/207157_s_at.png","Figure")</f>
        <v>Figure</v>
      </c>
      <c r="I12406">
        <v>0.96899999999999997</v>
      </c>
      <c r="J12406">
        <v>0.99</v>
      </c>
      <c r="K12406">
        <v>1.23</v>
      </c>
      <c r="L12406">
        <v>0.48</v>
      </c>
      <c r="M12406">
        <v>1.27</v>
      </c>
      <c r="N12406">
        <v>0.43</v>
      </c>
    </row>
    <row r="12407" spans="1:14" x14ac:dyDescent="0.25">
      <c r="A12407" t="s">
        <v>21330</v>
      </c>
      <c r="B12407" t="s">
        <v>21331</v>
      </c>
      <c r="C12407" s="1" t="str">
        <f>HYPERLINK("http://www.genecards.org/cgi-bin/carddisp.pl?gene=COX4NB","GeneCards")</f>
        <v>GeneCards</v>
      </c>
      <c r="D12407" s="1" t="str">
        <f>HYPERLINK("http://genome-euro.ucsc.edu/cgi-bin/hgTracks?position=218057_x_at","UCSC")</f>
        <v>UCSC</v>
      </c>
      <c r="E12407" s="1" t="str">
        <f>HYPERLINK("http://www.ncbi.nlm.nih.gov/gene/?term=COX4NB","NCBI")</f>
        <v>NCBI</v>
      </c>
      <c r="F12407">
        <v>0.36</v>
      </c>
      <c r="G12407">
        <v>0.49</v>
      </c>
      <c r="H12407" s="1" t="str">
        <f>HYPERLINK("http://www.weizmann.ac.il/complex/compphys/software/geview/data/figures/218057_x_at.png","Figure")</f>
        <v>Figure</v>
      </c>
      <c r="I12407">
        <v>1.03</v>
      </c>
      <c r="J12407">
        <v>0.98</v>
      </c>
      <c r="K12407">
        <v>0.83699999999999997</v>
      </c>
      <c r="L12407">
        <v>0.49</v>
      </c>
      <c r="M12407">
        <v>0.80900000000000005</v>
      </c>
      <c r="N12407">
        <v>0.42</v>
      </c>
    </row>
    <row r="12408" spans="1:14" x14ac:dyDescent="0.25">
      <c r="A12408" t="s">
        <v>21332</v>
      </c>
      <c r="B12408" t="s">
        <v>21333</v>
      </c>
      <c r="C12408" s="1" t="str">
        <f>HYPERLINK("http://www.genecards.org/cgi-bin/carddisp.pl?gene=EXOSC8","GeneCards")</f>
        <v>GeneCards</v>
      </c>
      <c r="D12408" s="1" t="str">
        <f>HYPERLINK("http://genome-euro.ucsc.edu/cgi-bin/hgTracks?position=215136_s_at","UCSC")</f>
        <v>UCSC</v>
      </c>
      <c r="E12408" s="1" t="str">
        <f>HYPERLINK("http://www.ncbi.nlm.nih.gov/gene/?term=EXOSC8","NCBI")</f>
        <v>NCBI</v>
      </c>
      <c r="F12408">
        <v>0.36</v>
      </c>
      <c r="G12408">
        <v>0.49</v>
      </c>
      <c r="H12408" s="1" t="str">
        <f>HYPERLINK("http://www.weizmann.ac.il/complex/compphys/software/geview/data/figures/215136_s_at.png","Figure")</f>
        <v>Figure</v>
      </c>
      <c r="I12408">
        <v>0.82299999999999995</v>
      </c>
      <c r="J12408">
        <v>0.51</v>
      </c>
      <c r="K12408">
        <v>0.80800000000000005</v>
      </c>
      <c r="L12408">
        <v>0.36</v>
      </c>
      <c r="M12408">
        <v>0.98299999999999998</v>
      </c>
      <c r="N12408">
        <v>0.99</v>
      </c>
    </row>
    <row r="12409" spans="1:14" x14ac:dyDescent="0.25">
      <c r="A12409" t="s">
        <v>21334</v>
      </c>
      <c r="B12409" t="s">
        <v>6355</v>
      </c>
      <c r="C12409" s="1" t="str">
        <f>HYPERLINK("http://www.genecards.org/cgi-bin/carddisp.pl?gene=LARGE","GeneCards")</f>
        <v>GeneCards</v>
      </c>
      <c r="D12409" s="1" t="str">
        <f>HYPERLINK("http://genome-euro.ucsc.edu/cgi-bin/hgTracks?position=215538_at","UCSC")</f>
        <v>UCSC</v>
      </c>
      <c r="E12409" s="1" t="str">
        <f>HYPERLINK("http://www.ncbi.nlm.nih.gov/gene/?term=LARGE","NCBI")</f>
        <v>NCBI</v>
      </c>
      <c r="F12409">
        <v>0.36</v>
      </c>
      <c r="G12409">
        <v>0.49</v>
      </c>
      <c r="H12409" s="1" t="str">
        <f>HYPERLINK("http://www.weizmann.ac.il/complex/compphys/software/geview/data/figures/215538_at.png","Figure")</f>
        <v>Figure</v>
      </c>
      <c r="I12409">
        <v>1.08</v>
      </c>
      <c r="J12409">
        <v>0.38</v>
      </c>
      <c r="K12409">
        <v>1.01</v>
      </c>
      <c r="L12409">
        <v>0.97</v>
      </c>
      <c r="M12409">
        <v>0.93400000000000005</v>
      </c>
      <c r="N12409">
        <v>0.44</v>
      </c>
    </row>
    <row r="12410" spans="1:14" x14ac:dyDescent="0.25">
      <c r="A12410" t="s">
        <v>21335</v>
      </c>
      <c r="B12410" t="s">
        <v>12919</v>
      </c>
      <c r="C12410" s="1" t="str">
        <f>HYPERLINK("http://www.genecards.org/cgi-bin/carddisp.pl?gene=ARIH2","GeneCards")</f>
        <v>GeneCards</v>
      </c>
      <c r="D12410" s="1" t="str">
        <f>HYPERLINK("http://genome-euro.ucsc.edu/cgi-bin/hgTracks?position=201229_s_at","UCSC")</f>
        <v>UCSC</v>
      </c>
      <c r="E12410" s="1" t="str">
        <f>HYPERLINK("http://www.ncbi.nlm.nih.gov/gene/?term=ARIH2","NCBI")</f>
        <v>NCBI</v>
      </c>
      <c r="F12410">
        <v>0.36</v>
      </c>
      <c r="G12410">
        <v>0.49</v>
      </c>
      <c r="H12410" s="1" t="str">
        <f>HYPERLINK("http://www.weizmann.ac.il/complex/compphys/software/geview/data/figures/201229_s_at.png","Figure")</f>
        <v>Figure</v>
      </c>
      <c r="I12410">
        <v>0.92800000000000005</v>
      </c>
      <c r="J12410">
        <v>0.8</v>
      </c>
      <c r="K12410">
        <v>1.0900000000000001</v>
      </c>
      <c r="L12410">
        <v>0.69</v>
      </c>
      <c r="M12410">
        <v>1.17</v>
      </c>
      <c r="N12410">
        <v>0.34</v>
      </c>
    </row>
    <row r="12411" spans="1:14" x14ac:dyDescent="0.25">
      <c r="A12411" t="s">
        <v>21336</v>
      </c>
      <c r="B12411" t="s">
        <v>7274</v>
      </c>
      <c r="C12411" s="1" t="str">
        <f>HYPERLINK("http://www.genecards.org/cgi-bin/carddisp.pl?gene=SOD2","GeneCards")</f>
        <v>GeneCards</v>
      </c>
      <c r="D12411" s="1" t="str">
        <f>HYPERLINK("http://genome-euro.ucsc.edu/cgi-bin/hgTracks?position=216841_s_at","UCSC")</f>
        <v>UCSC</v>
      </c>
      <c r="E12411" s="1" t="str">
        <f>HYPERLINK("http://www.ncbi.nlm.nih.gov/gene/?term=SOD2","NCBI")</f>
        <v>NCBI</v>
      </c>
      <c r="F12411">
        <v>0.36</v>
      </c>
      <c r="G12411">
        <v>0.49</v>
      </c>
      <c r="H12411" s="1" t="str">
        <f>HYPERLINK("http://www.weizmann.ac.il/complex/compphys/software/geview/data/figures/216841_s_at.png","Figure")</f>
        <v>Figure</v>
      </c>
      <c r="I12411">
        <v>0.68700000000000006</v>
      </c>
      <c r="J12411">
        <v>0.71</v>
      </c>
      <c r="K12411">
        <v>1.32</v>
      </c>
      <c r="L12411">
        <v>0.78</v>
      </c>
      <c r="M12411">
        <v>1.92</v>
      </c>
      <c r="N12411">
        <v>0.33</v>
      </c>
    </row>
    <row r="12412" spans="1:14" x14ac:dyDescent="0.25">
      <c r="A12412" t="s">
        <v>21337</v>
      </c>
      <c r="B12412" t="s">
        <v>21338</v>
      </c>
      <c r="C12412" s="1" t="str">
        <f>HYPERLINK("http://www.genecards.org/cgi-bin/carddisp.pl?gene=CBX8","GeneCards")</f>
        <v>GeneCards</v>
      </c>
      <c r="D12412" s="1" t="str">
        <f>HYPERLINK("http://genome-euro.ucsc.edu/cgi-bin/hgTracks?position=219755_at","UCSC")</f>
        <v>UCSC</v>
      </c>
      <c r="E12412" s="1" t="str">
        <f>HYPERLINK("http://www.ncbi.nlm.nih.gov/gene/?term=CBX8","NCBI")</f>
        <v>NCBI</v>
      </c>
      <c r="F12412">
        <v>0.36</v>
      </c>
      <c r="G12412">
        <v>0.49</v>
      </c>
      <c r="H12412" s="1" t="str">
        <f>HYPERLINK("http://www.weizmann.ac.il/complex/compphys/software/geview/data/figures/219755_at.png","Figure")</f>
        <v>Figure</v>
      </c>
      <c r="I12412">
        <v>0.95599999999999996</v>
      </c>
      <c r="J12412">
        <v>0.65</v>
      </c>
      <c r="K12412">
        <v>0.93700000000000006</v>
      </c>
      <c r="L12412">
        <v>0.33</v>
      </c>
      <c r="M12412">
        <v>0.98099999999999998</v>
      </c>
      <c r="N12412">
        <v>0.91</v>
      </c>
    </row>
    <row r="12413" spans="1:14" x14ac:dyDescent="0.25">
      <c r="A12413" t="s">
        <v>21339</v>
      </c>
      <c r="B12413" t="s">
        <v>21340</v>
      </c>
      <c r="C12413" s="1" t="str">
        <f>HYPERLINK("http://www.genecards.org/cgi-bin/carddisp.pl?gene=CACNG5","GeneCards")</f>
        <v>GeneCards</v>
      </c>
      <c r="D12413" s="1" t="str">
        <f>HYPERLINK("http://genome-euro.ucsc.edu/cgi-bin/hgTracks?position=221401_at","UCSC")</f>
        <v>UCSC</v>
      </c>
      <c r="E12413" s="1" t="str">
        <f>HYPERLINK("http://www.ncbi.nlm.nih.gov/gene/?term=CACNG5","NCBI")</f>
        <v>NCBI</v>
      </c>
      <c r="F12413">
        <v>0.36</v>
      </c>
      <c r="G12413">
        <v>0.49</v>
      </c>
      <c r="H12413" s="1" t="str">
        <f>HYPERLINK("http://www.weizmann.ac.il/complex/compphys/software/geview/data/figures/221401_at.png","Figure")</f>
        <v>Figure</v>
      </c>
      <c r="I12413">
        <v>1.1100000000000001</v>
      </c>
      <c r="J12413">
        <v>0.43</v>
      </c>
      <c r="K12413">
        <v>1</v>
      </c>
      <c r="L12413">
        <v>1</v>
      </c>
      <c r="M12413">
        <v>0.90300000000000002</v>
      </c>
      <c r="N12413">
        <v>0.38</v>
      </c>
    </row>
    <row r="12414" spans="1:14" x14ac:dyDescent="0.25">
      <c r="A12414" t="s">
        <v>21341</v>
      </c>
      <c r="B12414" t="s">
        <v>21342</v>
      </c>
      <c r="C12414" s="1" t="str">
        <f>HYPERLINK("http://www.genecards.org/cgi-bin/carddisp.pl?gene=RNF31","GeneCards")</f>
        <v>GeneCards</v>
      </c>
      <c r="D12414" s="1" t="str">
        <f>HYPERLINK("http://genome-euro.ucsc.edu/cgi-bin/hgTracks?position=220788_s_at","UCSC")</f>
        <v>UCSC</v>
      </c>
      <c r="E12414" s="1" t="str">
        <f>HYPERLINK("http://www.ncbi.nlm.nih.gov/gene/?term=RNF31","NCBI")</f>
        <v>NCBI</v>
      </c>
      <c r="F12414">
        <v>0.36</v>
      </c>
      <c r="G12414">
        <v>0.49</v>
      </c>
      <c r="H12414" s="1" t="str">
        <f>HYPERLINK("http://www.weizmann.ac.il/complex/compphys/software/geview/data/figures/220788_s_at.png","Figure")</f>
        <v>Figure</v>
      </c>
      <c r="I12414">
        <v>0.82699999999999996</v>
      </c>
      <c r="J12414">
        <v>0.33</v>
      </c>
      <c r="K12414">
        <v>0.92900000000000005</v>
      </c>
      <c r="L12414">
        <v>0.79</v>
      </c>
      <c r="M12414">
        <v>1.1200000000000001</v>
      </c>
      <c r="N12414">
        <v>0.61</v>
      </c>
    </row>
    <row r="12415" spans="1:14" x14ac:dyDescent="0.25">
      <c r="A12415" t="s">
        <v>21343</v>
      </c>
      <c r="B12415" t="s">
        <v>21344</v>
      </c>
      <c r="C12415" s="1" t="str">
        <f>HYPERLINK("http://www.genecards.org/cgi-bin/carddisp.pl?gene=HAB1","GeneCards")</f>
        <v>GeneCards</v>
      </c>
      <c r="D12415" s="1" t="str">
        <f>HYPERLINK("http://genome-euro.ucsc.edu/cgi-bin/hgTracks?position=216878_x_at","UCSC")</f>
        <v>UCSC</v>
      </c>
      <c r="E12415" s="1" t="str">
        <f>HYPERLINK("http://www.ncbi.nlm.nih.gov/gene/?term=HAB1","NCBI")</f>
        <v>NCBI</v>
      </c>
      <c r="F12415">
        <v>0.36</v>
      </c>
      <c r="G12415">
        <v>0.49</v>
      </c>
      <c r="H12415" s="1" t="str">
        <f>HYPERLINK("http://www.weizmann.ac.il/complex/compphys/software/geview/data/figures/216878_x_at.png","Figure")</f>
        <v>Figure</v>
      </c>
      <c r="I12415">
        <v>1.07</v>
      </c>
      <c r="J12415">
        <v>0.56999999999999995</v>
      </c>
      <c r="K12415">
        <v>0.97899999999999998</v>
      </c>
      <c r="L12415">
        <v>0.92</v>
      </c>
      <c r="M12415">
        <v>0.91900000000000004</v>
      </c>
      <c r="N12415">
        <v>0.33</v>
      </c>
    </row>
    <row r="12416" spans="1:14" x14ac:dyDescent="0.25">
      <c r="A12416" t="s">
        <v>21345</v>
      </c>
      <c r="B12416" t="s">
        <v>3349</v>
      </c>
      <c r="C12416" s="1" t="str">
        <f>HYPERLINK("http://www.genecards.org/cgi-bin/carddisp.pl?gene=EEF1D","GeneCards")</f>
        <v>GeneCards</v>
      </c>
      <c r="D12416" s="1" t="str">
        <f>HYPERLINK("http://genome-euro.ucsc.edu/cgi-bin/hgTracks?position=203113_s_at","UCSC")</f>
        <v>UCSC</v>
      </c>
      <c r="E12416" s="1" t="str">
        <f>HYPERLINK("http://www.ncbi.nlm.nih.gov/gene/?term=EEF1D","NCBI")</f>
        <v>NCBI</v>
      </c>
      <c r="F12416">
        <v>0.36</v>
      </c>
      <c r="G12416">
        <v>0.49</v>
      </c>
      <c r="H12416" s="1" t="str">
        <f>HYPERLINK("http://www.weizmann.ac.il/complex/compphys/software/geview/data/figures/203113_s_at.png","Figure")</f>
        <v>Figure</v>
      </c>
      <c r="I12416">
        <v>1.32</v>
      </c>
      <c r="J12416">
        <v>0.35</v>
      </c>
      <c r="K12416">
        <v>1.19</v>
      </c>
      <c r="L12416">
        <v>0.56000000000000005</v>
      </c>
      <c r="M12416">
        <v>0.90300000000000002</v>
      </c>
      <c r="N12416">
        <v>0.84</v>
      </c>
    </row>
    <row r="12417" spans="1:14" x14ac:dyDescent="0.25">
      <c r="A12417" t="s">
        <v>21346</v>
      </c>
      <c r="B12417" t="s">
        <v>20533</v>
      </c>
      <c r="C12417" s="1" t="str">
        <f>HYPERLINK("http://www.genecards.org/cgi-bin/carddisp.pl?gene=COBLL1","GeneCards")</f>
        <v>GeneCards</v>
      </c>
      <c r="D12417" s="1" t="str">
        <f>HYPERLINK("http://genome-euro.ucsc.edu/cgi-bin/hgTracks?position=203641_s_at","UCSC")</f>
        <v>UCSC</v>
      </c>
      <c r="E12417" s="1" t="str">
        <f>HYPERLINK("http://www.ncbi.nlm.nih.gov/gene/?term=COBLL1","NCBI")</f>
        <v>NCBI</v>
      </c>
      <c r="F12417">
        <v>0.36</v>
      </c>
      <c r="G12417">
        <v>0.49</v>
      </c>
      <c r="H12417" s="1" t="str">
        <f>HYPERLINK("http://www.weizmann.ac.il/complex/compphys/software/geview/data/figures/203641_s_at.png","Figure")</f>
        <v>Figure</v>
      </c>
      <c r="I12417">
        <v>1.05</v>
      </c>
      <c r="J12417">
        <v>0.86</v>
      </c>
      <c r="K12417">
        <v>0.92700000000000005</v>
      </c>
      <c r="L12417">
        <v>0.63</v>
      </c>
      <c r="M12417">
        <v>0.88200000000000001</v>
      </c>
      <c r="N12417">
        <v>0.35</v>
      </c>
    </row>
    <row r="12418" spans="1:14" x14ac:dyDescent="0.25">
      <c r="A12418" t="s">
        <v>21347</v>
      </c>
      <c r="B12418" t="s">
        <v>21348</v>
      </c>
      <c r="C12418" s="1" t="str">
        <f>HYPERLINK("http://www.genecards.org/cgi-bin/carddisp.pl?gene=ETV5","GeneCards")</f>
        <v>GeneCards</v>
      </c>
      <c r="D12418" s="1" t="str">
        <f>HYPERLINK("http://genome-euro.ucsc.edu/cgi-bin/hgTracks?position=216375_s_at","UCSC")</f>
        <v>UCSC</v>
      </c>
      <c r="E12418" s="1" t="str">
        <f>HYPERLINK("http://www.ncbi.nlm.nih.gov/gene/?term=ETV5","NCBI")</f>
        <v>NCBI</v>
      </c>
      <c r="F12418">
        <v>0.36</v>
      </c>
      <c r="G12418">
        <v>0.49</v>
      </c>
      <c r="H12418" s="1" t="str">
        <f>HYPERLINK("http://www.weizmann.ac.il/complex/compphys/software/geview/data/figures/216375_s_at.png","Figure")</f>
        <v>Figure</v>
      </c>
      <c r="I12418">
        <v>1.1000000000000001</v>
      </c>
      <c r="J12418">
        <v>0.36</v>
      </c>
      <c r="K12418">
        <v>1.07</v>
      </c>
      <c r="L12418">
        <v>0.52</v>
      </c>
      <c r="M12418">
        <v>0.97099999999999997</v>
      </c>
      <c r="N12418">
        <v>0.88</v>
      </c>
    </row>
    <row r="12419" spans="1:14" x14ac:dyDescent="0.25">
      <c r="A12419" t="s">
        <v>21349</v>
      </c>
      <c r="B12419" t="s">
        <v>21350</v>
      </c>
      <c r="C12419" s="1" t="str">
        <f>HYPERLINK("http://www.genecards.org/cgi-bin/carddisp.pl?gene=KIF2C","GeneCards")</f>
        <v>GeneCards</v>
      </c>
      <c r="D12419" s="1" t="str">
        <f>HYPERLINK("http://genome-euro.ucsc.edu/cgi-bin/hgTracks?position=211519_s_at","UCSC")</f>
        <v>UCSC</v>
      </c>
      <c r="E12419" s="1" t="str">
        <f>HYPERLINK("http://www.ncbi.nlm.nih.gov/gene/?term=KIF2C","NCBI")</f>
        <v>NCBI</v>
      </c>
      <c r="F12419">
        <v>0.36</v>
      </c>
      <c r="G12419">
        <v>0.49</v>
      </c>
      <c r="H12419" s="1" t="str">
        <f>HYPERLINK("http://www.weizmann.ac.il/complex/compphys/software/geview/data/figures/211519_s_at.png","Figure")</f>
        <v>Figure</v>
      </c>
      <c r="I12419">
        <v>1.1100000000000001</v>
      </c>
      <c r="J12419">
        <v>0.51</v>
      </c>
      <c r="K12419">
        <v>1.1200000000000001</v>
      </c>
      <c r="L12419">
        <v>0.37</v>
      </c>
      <c r="M12419">
        <v>1.01</v>
      </c>
      <c r="N12419">
        <v>1</v>
      </c>
    </row>
    <row r="12420" spans="1:14" x14ac:dyDescent="0.25">
      <c r="A12420" t="s">
        <v>21351</v>
      </c>
      <c r="B12420" t="s">
        <v>21352</v>
      </c>
      <c r="C12420" s="1" t="str">
        <f>HYPERLINK("http://www.genecards.org/cgi-bin/carddisp.pl?gene=NPAT","GeneCards")</f>
        <v>GeneCards</v>
      </c>
      <c r="D12420" s="1" t="str">
        <f>HYPERLINK("http://genome-euro.ucsc.edu/cgi-bin/hgTracks?position=209798_at","UCSC")</f>
        <v>UCSC</v>
      </c>
      <c r="E12420" s="1" t="str">
        <f>HYPERLINK("http://www.ncbi.nlm.nih.gov/gene/?term=NPAT","NCBI")</f>
        <v>NCBI</v>
      </c>
      <c r="F12420">
        <v>0.36</v>
      </c>
      <c r="G12420">
        <v>0.49</v>
      </c>
      <c r="H12420" s="1" t="str">
        <f>HYPERLINK("http://www.weizmann.ac.il/complex/compphys/software/geview/data/figures/209798_at.png","Figure")</f>
        <v>Figure</v>
      </c>
      <c r="I12420">
        <v>0.79100000000000004</v>
      </c>
      <c r="J12420">
        <v>0.44</v>
      </c>
      <c r="K12420">
        <v>0.80600000000000005</v>
      </c>
      <c r="L12420">
        <v>0.41</v>
      </c>
      <c r="M12420">
        <v>1.02</v>
      </c>
      <c r="N12420">
        <v>0.99</v>
      </c>
    </row>
    <row r="12421" spans="1:14" x14ac:dyDescent="0.25">
      <c r="A12421" t="s">
        <v>21353</v>
      </c>
      <c r="B12421" t="s">
        <v>21354</v>
      </c>
      <c r="C12421" s="1" t="str">
        <f>HYPERLINK("http://www.genecards.org/cgi-bin/carddisp.pl?gene=ARF6","GeneCards")</f>
        <v>GeneCards</v>
      </c>
      <c r="D12421" s="1" t="str">
        <f>HYPERLINK("http://genome-euro.ucsc.edu/cgi-bin/hgTracks?position=203312_x_at","UCSC")</f>
        <v>UCSC</v>
      </c>
      <c r="E12421" s="1" t="str">
        <f>HYPERLINK("http://www.ncbi.nlm.nih.gov/gene/?term=ARF6","NCBI")</f>
        <v>NCBI</v>
      </c>
      <c r="F12421">
        <v>0.36</v>
      </c>
      <c r="G12421">
        <v>0.49</v>
      </c>
      <c r="H12421" s="1" t="str">
        <f>HYPERLINK("http://www.weizmann.ac.il/complex/compphys/software/geview/data/figures/203312_x_at.png","Figure")</f>
        <v>Figure</v>
      </c>
      <c r="I12421">
        <v>0.76400000000000001</v>
      </c>
      <c r="J12421">
        <v>0.33</v>
      </c>
      <c r="K12421">
        <v>0.90800000000000003</v>
      </c>
      <c r="L12421">
        <v>0.82</v>
      </c>
      <c r="M12421">
        <v>1.19</v>
      </c>
      <c r="N12421">
        <v>0.57999999999999996</v>
      </c>
    </row>
    <row r="12422" spans="1:14" x14ac:dyDescent="0.25">
      <c r="A12422" t="s">
        <v>21355</v>
      </c>
      <c r="B12422" t="s">
        <v>21356</v>
      </c>
      <c r="C12422" s="1" t="str">
        <f>HYPERLINK("http://www.genecards.org/cgi-bin/carddisp.pl?gene=GPR27","GeneCards")</f>
        <v>GeneCards</v>
      </c>
      <c r="D12422" s="1" t="str">
        <f>HYPERLINK("http://genome-euro.ucsc.edu/cgi-bin/hgTracks?position=221306_at","UCSC")</f>
        <v>UCSC</v>
      </c>
      <c r="E12422" s="1" t="str">
        <f>HYPERLINK("http://www.ncbi.nlm.nih.gov/gene/?term=GPR27","NCBI")</f>
        <v>NCBI</v>
      </c>
      <c r="F12422">
        <v>0.36</v>
      </c>
      <c r="G12422">
        <v>0.49</v>
      </c>
      <c r="H12422" s="1" t="str">
        <f>HYPERLINK("http://www.weizmann.ac.il/complex/compphys/software/geview/data/figures/221306_at.png","Figure")</f>
        <v>Figure</v>
      </c>
      <c r="I12422">
        <v>1.0900000000000001</v>
      </c>
      <c r="J12422">
        <v>0.71</v>
      </c>
      <c r="K12422">
        <v>1.1499999999999999</v>
      </c>
      <c r="L12422">
        <v>0.33</v>
      </c>
      <c r="M12422">
        <v>1.05</v>
      </c>
      <c r="N12422">
        <v>0.86</v>
      </c>
    </row>
    <row r="12423" spans="1:14" x14ac:dyDescent="0.25">
      <c r="A12423" t="s">
        <v>21357</v>
      </c>
      <c r="B12423" t="s">
        <v>21358</v>
      </c>
      <c r="C12423" s="1" t="str">
        <f>HYPERLINK("http://www.genecards.org/cgi-bin/carddisp.pl?gene=ITIH5","GeneCards")</f>
        <v>GeneCards</v>
      </c>
      <c r="D12423" s="1" t="str">
        <f>HYPERLINK("http://genome-euro.ucsc.edu/cgi-bin/hgTracks?position=219064_at","UCSC")</f>
        <v>UCSC</v>
      </c>
      <c r="E12423" s="1" t="str">
        <f>HYPERLINK("http://www.ncbi.nlm.nih.gov/gene/?term=ITIH5","NCBI")</f>
        <v>NCBI</v>
      </c>
      <c r="F12423">
        <v>0.36</v>
      </c>
      <c r="G12423">
        <v>0.49</v>
      </c>
      <c r="H12423" s="1" t="str">
        <f>HYPERLINK("http://www.weizmann.ac.il/complex/compphys/software/geview/data/figures/219064_at.png","Figure")</f>
        <v>Figure</v>
      </c>
      <c r="I12423">
        <v>1.0900000000000001</v>
      </c>
      <c r="J12423">
        <v>0.35</v>
      </c>
      <c r="K12423">
        <v>1.06</v>
      </c>
      <c r="L12423">
        <v>0.56999999999999995</v>
      </c>
      <c r="M12423">
        <v>0.96899999999999997</v>
      </c>
      <c r="N12423">
        <v>0.83</v>
      </c>
    </row>
    <row r="12424" spans="1:14" x14ac:dyDescent="0.25">
      <c r="A12424" t="s">
        <v>21359</v>
      </c>
      <c r="B12424" t="s">
        <v>21360</v>
      </c>
      <c r="C12424" s="1" t="str">
        <f>HYPERLINK("http://www.genecards.org/cgi-bin/carddisp.pl?gene=C19orf10","GeneCards")</f>
        <v>GeneCards</v>
      </c>
      <c r="D12424" s="1" t="str">
        <f>HYPERLINK("http://genome-euro.ucsc.edu/cgi-bin/hgTracks?position=216483_s_at","UCSC")</f>
        <v>UCSC</v>
      </c>
      <c r="E12424" s="1" t="str">
        <f>HYPERLINK("http://www.ncbi.nlm.nih.gov/gene/?term=C19orf10","NCBI")</f>
        <v>NCBI</v>
      </c>
      <c r="F12424">
        <v>0.36</v>
      </c>
      <c r="G12424">
        <v>0.49</v>
      </c>
      <c r="H12424" s="1" t="str">
        <f>HYPERLINK("http://www.weizmann.ac.il/complex/compphys/software/geview/data/figures/216483_s_at.png","Figure")</f>
        <v>Figure</v>
      </c>
      <c r="I12424">
        <v>0.89300000000000002</v>
      </c>
      <c r="J12424">
        <v>0.65</v>
      </c>
      <c r="K12424">
        <v>0.85</v>
      </c>
      <c r="L12424">
        <v>0.33</v>
      </c>
      <c r="M12424">
        <v>0.95199999999999996</v>
      </c>
      <c r="N12424">
        <v>0.91</v>
      </c>
    </row>
    <row r="12425" spans="1:14" x14ac:dyDescent="0.25">
      <c r="A12425" t="s">
        <v>21361</v>
      </c>
      <c r="B12425" t="s">
        <v>10201</v>
      </c>
      <c r="C12425" s="1" t="str">
        <f>HYPERLINK("http://www.genecards.org/cgi-bin/carddisp.pl?gene=SULT1A3 /// SULT1A4","GeneCards")</f>
        <v>GeneCards</v>
      </c>
      <c r="D12425" s="1" t="str">
        <f>HYPERLINK("http://genome-euro.ucsc.edu/cgi-bin/hgTracks?position=222094_at","UCSC")</f>
        <v>UCSC</v>
      </c>
      <c r="E12425" s="1" t="str">
        <f>HYPERLINK("http://www.ncbi.nlm.nih.gov/gene/?term=SULT1A3 /// SULT1A4","NCBI")</f>
        <v>NCBI</v>
      </c>
      <c r="F12425">
        <v>0.36</v>
      </c>
      <c r="G12425">
        <v>0.49</v>
      </c>
      <c r="H12425" s="1" t="str">
        <f>HYPERLINK("http://www.weizmann.ac.il/complex/compphys/software/geview/data/figures/222094_at.png","Figure")</f>
        <v>Figure</v>
      </c>
      <c r="I12425">
        <v>1.1000000000000001</v>
      </c>
      <c r="J12425">
        <v>0.41</v>
      </c>
      <c r="K12425">
        <v>1.0900000000000001</v>
      </c>
      <c r="L12425">
        <v>0.43</v>
      </c>
      <c r="M12425">
        <v>0.98599999999999999</v>
      </c>
      <c r="N12425">
        <v>0.98</v>
      </c>
    </row>
    <row r="12426" spans="1:14" x14ac:dyDescent="0.25">
      <c r="A12426" t="s">
        <v>21362</v>
      </c>
      <c r="B12426" t="s">
        <v>21363</v>
      </c>
      <c r="C12426" s="1" t="str">
        <f>HYPERLINK("http://www.genecards.org/cgi-bin/carddisp.pl?gene=MMP13","GeneCards")</f>
        <v>GeneCards</v>
      </c>
      <c r="D12426" s="1" t="str">
        <f>HYPERLINK("http://genome-euro.ucsc.edu/cgi-bin/hgTracks?position=205959_at","UCSC")</f>
        <v>UCSC</v>
      </c>
      <c r="E12426" s="1" t="str">
        <f>HYPERLINK("http://www.ncbi.nlm.nih.gov/gene/?term=MMP13","NCBI")</f>
        <v>NCBI</v>
      </c>
      <c r="F12426">
        <v>0.36</v>
      </c>
      <c r="G12426">
        <v>0.49</v>
      </c>
      <c r="H12426" s="1" t="str">
        <f>HYPERLINK("http://www.weizmann.ac.il/complex/compphys/software/geview/data/figures/205959_at.png","Figure")</f>
        <v>Figure</v>
      </c>
      <c r="I12426">
        <v>1</v>
      </c>
      <c r="J12426">
        <v>1</v>
      </c>
      <c r="K12426">
        <v>0.97699999999999998</v>
      </c>
      <c r="L12426">
        <v>0.43</v>
      </c>
      <c r="M12426">
        <v>0.97699999999999998</v>
      </c>
      <c r="N12426">
        <v>0.48</v>
      </c>
    </row>
    <row r="12427" spans="1:14" x14ac:dyDescent="0.25">
      <c r="A12427" t="s">
        <v>21364</v>
      </c>
      <c r="B12427" t="s">
        <v>21365</v>
      </c>
      <c r="C12427" s="1" t="str">
        <f>HYPERLINK("http://www.genecards.org/cgi-bin/carddisp.pl?gene=CD82","GeneCards")</f>
        <v>GeneCards</v>
      </c>
      <c r="D12427" s="1" t="str">
        <f>HYPERLINK("http://genome-euro.ucsc.edu/cgi-bin/hgTracks?position=203904_x_at","UCSC")</f>
        <v>UCSC</v>
      </c>
      <c r="E12427" s="1" t="str">
        <f>HYPERLINK("http://www.ncbi.nlm.nih.gov/gene/?term=CD82","NCBI")</f>
        <v>NCBI</v>
      </c>
      <c r="F12427">
        <v>0.36</v>
      </c>
      <c r="G12427">
        <v>0.49</v>
      </c>
      <c r="H12427" s="1" t="str">
        <f>HYPERLINK("http://www.weizmann.ac.il/complex/compphys/software/geview/data/figures/203904_x_at.png","Figure")</f>
        <v>Figure</v>
      </c>
      <c r="I12427">
        <v>0.997</v>
      </c>
      <c r="J12427">
        <v>1</v>
      </c>
      <c r="K12427">
        <v>1.18</v>
      </c>
      <c r="L12427">
        <v>0.44</v>
      </c>
      <c r="M12427">
        <v>1.18</v>
      </c>
      <c r="N12427">
        <v>0.47</v>
      </c>
    </row>
    <row r="12428" spans="1:14" x14ac:dyDescent="0.25">
      <c r="A12428" t="s">
        <v>21366</v>
      </c>
      <c r="B12428" t="s">
        <v>12745</v>
      </c>
      <c r="C12428" s="1" t="str">
        <f>HYPERLINK("http://www.genecards.org/cgi-bin/carddisp.pl?gene=CEP350","GeneCards")</f>
        <v>GeneCards</v>
      </c>
      <c r="D12428" s="1" t="str">
        <f>HYPERLINK("http://genome-euro.ucsc.edu/cgi-bin/hgTracks?position=213165_at","UCSC")</f>
        <v>UCSC</v>
      </c>
      <c r="E12428" s="1" t="str">
        <f>HYPERLINK("http://www.ncbi.nlm.nih.gov/gene/?term=CEP350","NCBI")</f>
        <v>NCBI</v>
      </c>
      <c r="F12428">
        <v>0.36</v>
      </c>
      <c r="G12428">
        <v>0.49</v>
      </c>
      <c r="H12428" s="1" t="str">
        <f>HYPERLINK("http://www.weizmann.ac.il/complex/compphys/software/geview/data/figures/213165_at.png","Figure")</f>
        <v>Figure</v>
      </c>
      <c r="I12428">
        <v>1.38</v>
      </c>
      <c r="J12428">
        <v>0.35</v>
      </c>
      <c r="K12428">
        <v>1.23</v>
      </c>
      <c r="L12428">
        <v>0.55000000000000004</v>
      </c>
      <c r="M12428">
        <v>0.89500000000000002</v>
      </c>
      <c r="N12428">
        <v>0.86</v>
      </c>
    </row>
    <row r="12429" spans="1:14" x14ac:dyDescent="0.25">
      <c r="A12429" t="s">
        <v>21367</v>
      </c>
      <c r="B12429" t="s">
        <v>21368</v>
      </c>
      <c r="C12429" s="1" t="str">
        <f>HYPERLINK("http://www.genecards.org/cgi-bin/carddisp.pl?gene=ATP6V0D1","GeneCards")</f>
        <v>GeneCards</v>
      </c>
      <c r="D12429" s="1" t="str">
        <f>HYPERLINK("http://genome-euro.ucsc.edu/cgi-bin/hgTracks?position=212041_at","UCSC")</f>
        <v>UCSC</v>
      </c>
      <c r="E12429" s="1" t="str">
        <f>HYPERLINK("http://www.ncbi.nlm.nih.gov/gene/?term=ATP6V0D1","NCBI")</f>
        <v>NCBI</v>
      </c>
      <c r="F12429">
        <v>0.36</v>
      </c>
      <c r="G12429">
        <v>0.49</v>
      </c>
      <c r="H12429" s="1" t="str">
        <f>HYPERLINK("http://www.weizmann.ac.il/complex/compphys/software/geview/data/figures/212041_at.png","Figure")</f>
        <v>Figure</v>
      </c>
      <c r="I12429">
        <v>1.22</v>
      </c>
      <c r="J12429">
        <v>0.65</v>
      </c>
      <c r="K12429">
        <v>0.89500000000000002</v>
      </c>
      <c r="L12429">
        <v>0.84</v>
      </c>
      <c r="M12429">
        <v>0.73299999999999998</v>
      </c>
      <c r="N12429">
        <v>0.33</v>
      </c>
    </row>
    <row r="12430" spans="1:14" x14ac:dyDescent="0.25">
      <c r="A12430" t="s">
        <v>21369</v>
      </c>
      <c r="B12430" t="s">
        <v>19691</v>
      </c>
      <c r="C12430" s="1" t="str">
        <f>HYPERLINK("http://www.genecards.org/cgi-bin/carddisp.pl?gene=SCN3B","GeneCards")</f>
        <v>GeneCards</v>
      </c>
      <c r="D12430" s="1" t="str">
        <f>HYPERLINK("http://genome-euro.ucsc.edu/cgi-bin/hgTracks?position=204722_at","UCSC")</f>
        <v>UCSC</v>
      </c>
      <c r="E12430" s="1" t="str">
        <f>HYPERLINK("http://www.ncbi.nlm.nih.gov/gene/?term=SCN3B","NCBI")</f>
        <v>NCBI</v>
      </c>
      <c r="F12430">
        <v>0.36</v>
      </c>
      <c r="G12430">
        <v>0.49</v>
      </c>
      <c r="H12430" s="1" t="str">
        <f>HYPERLINK("http://www.weizmann.ac.il/complex/compphys/software/geview/data/figures/204722_at.png","Figure")</f>
        <v>Figure</v>
      </c>
      <c r="I12430">
        <v>0.83299999999999996</v>
      </c>
      <c r="J12430">
        <v>0.36</v>
      </c>
      <c r="K12430">
        <v>0.88700000000000001</v>
      </c>
      <c r="L12430">
        <v>0.54</v>
      </c>
      <c r="M12430">
        <v>1.06</v>
      </c>
      <c r="N12430">
        <v>0.86</v>
      </c>
    </row>
    <row r="12431" spans="1:14" x14ac:dyDescent="0.25">
      <c r="A12431" t="s">
        <v>21370</v>
      </c>
      <c r="B12431" t="s">
        <v>17672</v>
      </c>
      <c r="C12431" s="1" t="str">
        <f>HYPERLINK("http://www.genecards.org/cgi-bin/carddisp.pl?gene=TTC38","GeneCards")</f>
        <v>GeneCards</v>
      </c>
      <c r="D12431" s="1" t="str">
        <f>HYPERLINK("http://genome-euro.ucsc.edu/cgi-bin/hgTracks?position=216768_x_at","UCSC")</f>
        <v>UCSC</v>
      </c>
      <c r="E12431" s="1" t="str">
        <f>HYPERLINK("http://www.ncbi.nlm.nih.gov/gene/?term=TTC38","NCBI")</f>
        <v>NCBI</v>
      </c>
      <c r="F12431">
        <v>0.36</v>
      </c>
      <c r="G12431">
        <v>0.49</v>
      </c>
      <c r="H12431" s="1" t="str">
        <f>HYPERLINK("http://www.weizmann.ac.il/complex/compphys/software/geview/data/figures/216768_x_at.png","Figure")</f>
        <v>Figure</v>
      </c>
      <c r="I12431">
        <v>1.2</v>
      </c>
      <c r="J12431">
        <v>0.35</v>
      </c>
      <c r="K12431">
        <v>1.04</v>
      </c>
      <c r="L12431">
        <v>0.92</v>
      </c>
      <c r="M12431">
        <v>0.872</v>
      </c>
      <c r="N12431">
        <v>0.49</v>
      </c>
    </row>
    <row r="12432" spans="1:14" x14ac:dyDescent="0.25">
      <c r="A12432" t="s">
        <v>21371</v>
      </c>
      <c r="B12432" t="s">
        <v>10972</v>
      </c>
      <c r="C12432" s="1" t="str">
        <f>HYPERLINK("http://www.genecards.org/cgi-bin/carddisp.pl?gene=SH3GL3","GeneCards")</f>
        <v>GeneCards</v>
      </c>
      <c r="D12432" s="1" t="str">
        <f>HYPERLINK("http://genome-euro.ucsc.edu/cgi-bin/hgTracks?position=205636_at","UCSC")</f>
        <v>UCSC</v>
      </c>
      <c r="E12432" s="1" t="str">
        <f>HYPERLINK("http://www.ncbi.nlm.nih.gov/gene/?term=SH3GL3","NCBI")</f>
        <v>NCBI</v>
      </c>
      <c r="F12432">
        <v>0.36</v>
      </c>
      <c r="G12432">
        <v>0.49</v>
      </c>
      <c r="H12432" s="1" t="str">
        <f>HYPERLINK("http://www.weizmann.ac.il/complex/compphys/software/geview/data/figures/205636_at.png","Figure")</f>
        <v>Figure</v>
      </c>
      <c r="I12432">
        <v>1.08</v>
      </c>
      <c r="J12432">
        <v>0.37</v>
      </c>
      <c r="K12432">
        <v>1.01</v>
      </c>
      <c r="L12432">
        <v>0.96</v>
      </c>
      <c r="M12432">
        <v>0.93799999999999994</v>
      </c>
      <c r="N12432">
        <v>0.45</v>
      </c>
    </row>
    <row r="12433" spans="1:14" x14ac:dyDescent="0.25">
      <c r="A12433" t="s">
        <v>21372</v>
      </c>
      <c r="B12433" t="s">
        <v>21373</v>
      </c>
      <c r="C12433" s="1" t="str">
        <f>HYPERLINK("http://www.genecards.org/cgi-bin/carddisp.pl?gene=RXRB","GeneCards")</f>
        <v>GeneCards</v>
      </c>
      <c r="D12433" s="1" t="str">
        <f>HYPERLINK("http://genome-euro.ucsc.edu/cgi-bin/hgTracks?position=209148_at","UCSC")</f>
        <v>UCSC</v>
      </c>
      <c r="E12433" s="1" t="str">
        <f>HYPERLINK("http://www.ncbi.nlm.nih.gov/gene/?term=RXRB","NCBI")</f>
        <v>NCBI</v>
      </c>
      <c r="F12433">
        <v>0.36</v>
      </c>
      <c r="G12433">
        <v>0.49</v>
      </c>
      <c r="H12433" s="1" t="str">
        <f>HYPERLINK("http://www.weizmann.ac.il/complex/compphys/software/geview/data/figures/209148_at.png","Figure")</f>
        <v>Figure</v>
      </c>
      <c r="I12433">
        <v>1.1299999999999999</v>
      </c>
      <c r="J12433">
        <v>0.46</v>
      </c>
      <c r="K12433">
        <v>0.99099999999999999</v>
      </c>
      <c r="L12433">
        <v>0.99</v>
      </c>
      <c r="M12433">
        <v>0.88</v>
      </c>
      <c r="N12433">
        <v>0.37</v>
      </c>
    </row>
    <row r="12434" spans="1:14" x14ac:dyDescent="0.25">
      <c r="A12434" t="s">
        <v>21374</v>
      </c>
      <c r="B12434" t="s">
        <v>10101</v>
      </c>
      <c r="C12434" s="1" t="str">
        <f>HYPERLINK("http://www.genecards.org/cgi-bin/carddisp.pl?gene=SRGAP3","GeneCards")</f>
        <v>GeneCards</v>
      </c>
      <c r="D12434" s="1" t="str">
        <f>HYPERLINK("http://genome-euro.ucsc.edu/cgi-bin/hgTracks?position=215550_at","UCSC")</f>
        <v>UCSC</v>
      </c>
      <c r="E12434" s="1" t="str">
        <f>HYPERLINK("http://www.ncbi.nlm.nih.gov/gene/?term=SRGAP3","NCBI")</f>
        <v>NCBI</v>
      </c>
      <c r="F12434">
        <v>0.36</v>
      </c>
      <c r="G12434">
        <v>0.49</v>
      </c>
      <c r="H12434" s="1" t="str">
        <f>HYPERLINK("http://www.weizmann.ac.il/complex/compphys/software/geview/data/figures/215550_at.png","Figure")</f>
        <v>Figure</v>
      </c>
      <c r="I12434">
        <v>0.94799999999999995</v>
      </c>
      <c r="J12434">
        <v>0.77</v>
      </c>
      <c r="K12434">
        <v>0.90500000000000003</v>
      </c>
      <c r="L12434">
        <v>0.33</v>
      </c>
      <c r="M12434">
        <v>0.95499999999999996</v>
      </c>
      <c r="N12434">
        <v>0.8</v>
      </c>
    </row>
    <row r="12435" spans="1:14" x14ac:dyDescent="0.25">
      <c r="A12435" t="s">
        <v>21375</v>
      </c>
      <c r="B12435" t="s">
        <v>15633</v>
      </c>
      <c r="C12435" s="1" t="str">
        <f>HYPERLINK("http://www.genecards.org/cgi-bin/carddisp.pl?gene=ROD1","GeneCards")</f>
        <v>GeneCards</v>
      </c>
      <c r="D12435" s="1" t="str">
        <f>HYPERLINK("http://genome-euro.ucsc.edu/cgi-bin/hgTracks?position=207223_s_at","UCSC")</f>
        <v>UCSC</v>
      </c>
      <c r="E12435" s="1" t="str">
        <f>HYPERLINK("http://www.ncbi.nlm.nih.gov/gene/?term=ROD1","NCBI")</f>
        <v>NCBI</v>
      </c>
      <c r="F12435">
        <v>0.36</v>
      </c>
      <c r="G12435">
        <v>0.49</v>
      </c>
      <c r="H12435" s="1" t="str">
        <f>HYPERLINK("http://www.weizmann.ac.il/complex/compphys/software/geview/data/figures/207223_s_at.png","Figure")</f>
        <v>Figure</v>
      </c>
      <c r="I12435">
        <v>1.02</v>
      </c>
      <c r="J12435">
        <v>0.88</v>
      </c>
      <c r="K12435">
        <v>1.04</v>
      </c>
      <c r="L12435">
        <v>0.34</v>
      </c>
      <c r="M12435">
        <v>1.03</v>
      </c>
      <c r="N12435">
        <v>0.68</v>
      </c>
    </row>
    <row r="12436" spans="1:14" x14ac:dyDescent="0.25">
      <c r="A12436" t="s">
        <v>21376</v>
      </c>
      <c r="B12436" t="s">
        <v>16944</v>
      </c>
      <c r="C12436" s="1" t="str">
        <f>HYPERLINK("http://www.genecards.org/cgi-bin/carddisp.pl?gene=CDC42","GeneCards")</f>
        <v>GeneCards</v>
      </c>
      <c r="D12436" s="1" t="str">
        <f>HYPERLINK("http://genome-euro.ucsc.edu/cgi-bin/hgTracks?position=208728_s_at","UCSC")</f>
        <v>UCSC</v>
      </c>
      <c r="E12436" s="1" t="str">
        <f>HYPERLINK("http://www.ncbi.nlm.nih.gov/gene/?term=CDC42","NCBI")</f>
        <v>NCBI</v>
      </c>
      <c r="F12436">
        <v>0.36</v>
      </c>
      <c r="G12436">
        <v>0.49</v>
      </c>
      <c r="H12436" s="1" t="str">
        <f>HYPERLINK("http://www.weizmann.ac.il/complex/compphys/software/geview/data/figures/208728_s_at.png","Figure")</f>
        <v>Figure</v>
      </c>
      <c r="I12436">
        <v>0.84</v>
      </c>
      <c r="J12436">
        <v>0.38</v>
      </c>
      <c r="K12436">
        <v>0.876</v>
      </c>
      <c r="L12436">
        <v>0.48</v>
      </c>
      <c r="M12436">
        <v>1.04</v>
      </c>
      <c r="N12436">
        <v>0.93</v>
      </c>
    </row>
    <row r="12437" spans="1:14" x14ac:dyDescent="0.25">
      <c r="A12437" t="s">
        <v>21377</v>
      </c>
      <c r="B12437" t="s">
        <v>21378</v>
      </c>
      <c r="C12437" s="1" t="str">
        <f>HYPERLINK("http://www.genecards.org/cgi-bin/carddisp.pl?gene=C2orf18","GeneCards")</f>
        <v>GeneCards</v>
      </c>
      <c r="D12437" s="1" t="str">
        <f>HYPERLINK("http://genome-euro.ucsc.edu/cgi-bin/hgTracks?position=219783_at","UCSC")</f>
        <v>UCSC</v>
      </c>
      <c r="E12437" s="1" t="str">
        <f>HYPERLINK("http://www.ncbi.nlm.nih.gov/gene/?term=C2orf18","NCBI")</f>
        <v>NCBI</v>
      </c>
      <c r="F12437">
        <v>0.36</v>
      </c>
      <c r="G12437">
        <v>0.49</v>
      </c>
      <c r="H12437" s="1" t="str">
        <f>HYPERLINK("http://www.weizmann.ac.il/complex/compphys/software/geview/data/figures/219783_at.png","Figure")</f>
        <v>Figure</v>
      </c>
      <c r="I12437">
        <v>1.1200000000000001</v>
      </c>
      <c r="J12437">
        <v>0.33</v>
      </c>
      <c r="K12437">
        <v>1.05</v>
      </c>
      <c r="L12437">
        <v>0.72</v>
      </c>
      <c r="M12437">
        <v>0.94</v>
      </c>
      <c r="N12437">
        <v>0.67</v>
      </c>
    </row>
    <row r="12438" spans="1:14" x14ac:dyDescent="0.25">
      <c r="A12438" t="s">
        <v>21379</v>
      </c>
      <c r="B12438" t="s">
        <v>12443</v>
      </c>
      <c r="C12438" s="1" t="str">
        <f>HYPERLINK("http://www.genecards.org/cgi-bin/carddisp.pl?gene=HDAC6","GeneCards")</f>
        <v>GeneCards</v>
      </c>
      <c r="D12438" s="1" t="str">
        <f>HYPERLINK("http://genome-euro.ucsc.edu/cgi-bin/hgTracks?position=206846_s_at","UCSC")</f>
        <v>UCSC</v>
      </c>
      <c r="E12438" s="1" t="str">
        <f>HYPERLINK("http://www.ncbi.nlm.nih.gov/gene/?term=HDAC6","NCBI")</f>
        <v>NCBI</v>
      </c>
      <c r="F12438">
        <v>0.36</v>
      </c>
      <c r="G12438">
        <v>0.49</v>
      </c>
      <c r="H12438" s="1" t="str">
        <f>HYPERLINK("http://www.weizmann.ac.il/complex/compphys/software/geview/data/figures/206846_s_at.png","Figure")</f>
        <v>Figure</v>
      </c>
      <c r="I12438">
        <v>0.95899999999999996</v>
      </c>
      <c r="J12438">
        <v>0.94</v>
      </c>
      <c r="K12438">
        <v>1.1200000000000001</v>
      </c>
      <c r="L12438">
        <v>0.55000000000000004</v>
      </c>
      <c r="M12438">
        <v>1.17</v>
      </c>
      <c r="N12438">
        <v>0.39</v>
      </c>
    </row>
    <row r="12439" spans="1:14" x14ac:dyDescent="0.25">
      <c r="A12439" t="s">
        <v>21380</v>
      </c>
      <c r="B12439" t="s">
        <v>14414</v>
      </c>
      <c r="C12439" s="1" t="str">
        <f>HYPERLINK("http://www.genecards.org/cgi-bin/carddisp.pl?gene=GCDH","GeneCards")</f>
        <v>GeneCards</v>
      </c>
      <c r="D12439" s="1" t="str">
        <f>HYPERLINK("http://genome-euro.ucsc.edu/cgi-bin/hgTracks?position=203500_at","UCSC")</f>
        <v>UCSC</v>
      </c>
      <c r="E12439" s="1" t="str">
        <f>HYPERLINK("http://www.ncbi.nlm.nih.gov/gene/?term=GCDH","NCBI")</f>
        <v>NCBI</v>
      </c>
      <c r="F12439">
        <v>0.36</v>
      </c>
      <c r="G12439">
        <v>0.49</v>
      </c>
      <c r="H12439" s="1" t="str">
        <f>HYPERLINK("http://www.weizmann.ac.il/complex/compphys/software/geview/data/figures/203500_at.png","Figure")</f>
        <v>Figure</v>
      </c>
      <c r="I12439">
        <v>1.01</v>
      </c>
      <c r="J12439">
        <v>0.99</v>
      </c>
      <c r="K12439">
        <v>1.0900000000000001</v>
      </c>
      <c r="L12439">
        <v>0.4</v>
      </c>
      <c r="M12439">
        <v>1.08</v>
      </c>
      <c r="N12439">
        <v>0.52</v>
      </c>
    </row>
    <row r="12440" spans="1:14" x14ac:dyDescent="0.25">
      <c r="A12440" t="s">
        <v>21381</v>
      </c>
      <c r="B12440" t="s">
        <v>21382</v>
      </c>
      <c r="C12440" s="1" t="str">
        <f>HYPERLINK("http://www.genecards.org/cgi-bin/carddisp.pl?gene=GRIK5","GeneCards")</f>
        <v>GeneCards</v>
      </c>
      <c r="D12440" s="1" t="str">
        <f>HYPERLINK("http://genome-euro.ucsc.edu/cgi-bin/hgTracks?position=217509_x_at","UCSC")</f>
        <v>UCSC</v>
      </c>
      <c r="E12440" s="1" t="str">
        <f>HYPERLINK("http://www.ncbi.nlm.nih.gov/gene/?term=GRIK5","NCBI")</f>
        <v>NCBI</v>
      </c>
      <c r="F12440">
        <v>0.36</v>
      </c>
      <c r="G12440">
        <v>0.49</v>
      </c>
      <c r="H12440" s="1" t="str">
        <f>HYPERLINK("http://www.weizmann.ac.il/complex/compphys/software/geview/data/figures/217509_x_at.png","Figure")</f>
        <v>Figure</v>
      </c>
      <c r="I12440">
        <v>1.28</v>
      </c>
      <c r="J12440">
        <v>0.33</v>
      </c>
      <c r="K12440">
        <v>1.1100000000000001</v>
      </c>
      <c r="L12440">
        <v>0.75</v>
      </c>
      <c r="M12440">
        <v>0.86799999999999999</v>
      </c>
      <c r="N12440">
        <v>0.65</v>
      </c>
    </row>
    <row r="12441" spans="1:14" x14ac:dyDescent="0.25">
      <c r="A12441" t="s">
        <v>21383</v>
      </c>
      <c r="B12441" t="s">
        <v>13676</v>
      </c>
      <c r="C12441" s="1" t="str">
        <f>HYPERLINK("http://www.genecards.org/cgi-bin/carddisp.pl?gene=LAIR1","GeneCards")</f>
        <v>GeneCards</v>
      </c>
      <c r="D12441" s="1" t="str">
        <f>HYPERLINK("http://genome-euro.ucsc.edu/cgi-bin/hgTracks?position=210644_s_at","UCSC")</f>
        <v>UCSC</v>
      </c>
      <c r="E12441" s="1" t="str">
        <f>HYPERLINK("http://www.ncbi.nlm.nih.gov/gene/?term=LAIR1","NCBI")</f>
        <v>NCBI</v>
      </c>
      <c r="F12441">
        <v>0.36</v>
      </c>
      <c r="G12441">
        <v>0.49</v>
      </c>
      <c r="H12441" s="1" t="str">
        <f>HYPERLINK("http://www.weizmann.ac.il/complex/compphys/software/geview/data/figures/210644_s_at.png","Figure")</f>
        <v>Figure</v>
      </c>
      <c r="I12441">
        <v>0.749</v>
      </c>
      <c r="J12441">
        <v>0.56999999999999995</v>
      </c>
      <c r="K12441">
        <v>0.70399999999999996</v>
      </c>
      <c r="L12441">
        <v>0.35</v>
      </c>
      <c r="M12441">
        <v>0.94099999999999995</v>
      </c>
      <c r="N12441">
        <v>0.97</v>
      </c>
    </row>
    <row r="12442" spans="1:14" x14ac:dyDescent="0.25">
      <c r="A12442" t="s">
        <v>21384</v>
      </c>
      <c r="B12442" t="s">
        <v>21385</v>
      </c>
      <c r="C12442" s="1" t="str">
        <f>HYPERLINK("http://www.genecards.org/cgi-bin/carddisp.pl?gene=MC4R","GeneCards")</f>
        <v>GeneCards</v>
      </c>
      <c r="D12442" s="1" t="str">
        <f>HYPERLINK("http://genome-euro.ucsc.edu/cgi-bin/hgTracks?position=221467_at","UCSC")</f>
        <v>UCSC</v>
      </c>
      <c r="E12442" s="1" t="str">
        <f>HYPERLINK("http://www.ncbi.nlm.nih.gov/gene/?term=MC4R","NCBI")</f>
        <v>NCBI</v>
      </c>
      <c r="F12442">
        <v>0.36</v>
      </c>
      <c r="G12442">
        <v>0.49</v>
      </c>
      <c r="H12442" s="1" t="str">
        <f>HYPERLINK("http://www.weizmann.ac.il/complex/compphys/software/geview/data/figures/221467_at.png","Figure")</f>
        <v>Figure</v>
      </c>
      <c r="I12442">
        <v>0.98899999999999999</v>
      </c>
      <c r="J12442">
        <v>0.99</v>
      </c>
      <c r="K12442">
        <v>0.91500000000000004</v>
      </c>
      <c r="L12442">
        <v>0.39</v>
      </c>
      <c r="M12442">
        <v>0.92500000000000004</v>
      </c>
      <c r="N12442">
        <v>0.53</v>
      </c>
    </row>
    <row r="12443" spans="1:14" x14ac:dyDescent="0.25">
      <c r="A12443" t="s">
        <v>21386</v>
      </c>
      <c r="B12443" t="s">
        <v>21387</v>
      </c>
      <c r="C12443" s="1" t="str">
        <f>HYPERLINK("http://www.genecards.org/cgi-bin/carddisp.pl?gene=TRAPPC2 /// TRAPPC2P1","GeneCards")</f>
        <v>GeneCards</v>
      </c>
      <c r="D12443" s="1" t="str">
        <f>HYPERLINK("http://genome-euro.ucsc.edu/cgi-bin/hgTracks?position=209751_s_at","UCSC")</f>
        <v>UCSC</v>
      </c>
      <c r="E12443" s="1" t="str">
        <f>HYPERLINK("http://www.ncbi.nlm.nih.gov/gene/?term=TRAPPC2 /// TRAPPC2P1","NCBI")</f>
        <v>NCBI</v>
      </c>
      <c r="F12443">
        <v>0.36</v>
      </c>
      <c r="G12443">
        <v>0.49</v>
      </c>
      <c r="H12443" s="1" t="str">
        <f>HYPERLINK("http://www.weizmann.ac.il/complex/compphys/software/geview/data/figures/209751_s_at.png","Figure")</f>
        <v>Figure</v>
      </c>
      <c r="I12443">
        <v>0.997</v>
      </c>
      <c r="J12443">
        <v>1</v>
      </c>
      <c r="K12443">
        <v>0.92800000000000005</v>
      </c>
      <c r="L12443">
        <v>0.42</v>
      </c>
      <c r="M12443">
        <v>0.93200000000000005</v>
      </c>
      <c r="N12443">
        <v>0.5</v>
      </c>
    </row>
    <row r="12444" spans="1:14" x14ac:dyDescent="0.25">
      <c r="A12444" t="s">
        <v>21388</v>
      </c>
      <c r="B12444" t="s">
        <v>21389</v>
      </c>
      <c r="C12444" s="1" t="str">
        <f>HYPERLINK("http://www.genecards.org/cgi-bin/carddisp.pl?gene=PIK3R4","GeneCards")</f>
        <v>GeneCards</v>
      </c>
      <c r="D12444" s="1" t="str">
        <f>HYPERLINK("http://genome-euro.ucsc.edu/cgi-bin/hgTracks?position=212740_at","UCSC")</f>
        <v>UCSC</v>
      </c>
      <c r="E12444" s="1" t="str">
        <f>HYPERLINK("http://www.ncbi.nlm.nih.gov/gene/?term=PIK3R4","NCBI")</f>
        <v>NCBI</v>
      </c>
      <c r="F12444">
        <v>0.36</v>
      </c>
      <c r="G12444">
        <v>0.49</v>
      </c>
      <c r="H12444" s="1" t="str">
        <f>HYPERLINK("http://www.weizmann.ac.il/complex/compphys/software/geview/data/figures/212740_at.png","Figure")</f>
        <v>Figure</v>
      </c>
      <c r="I12444">
        <v>1.03</v>
      </c>
      <c r="J12444">
        <v>0.99</v>
      </c>
      <c r="K12444">
        <v>0.76300000000000001</v>
      </c>
      <c r="L12444">
        <v>0.47</v>
      </c>
      <c r="M12444">
        <v>0.73799999999999999</v>
      </c>
      <c r="N12444">
        <v>0.44</v>
      </c>
    </row>
    <row r="12445" spans="1:14" x14ac:dyDescent="0.25">
      <c r="A12445" t="s">
        <v>21390</v>
      </c>
      <c r="B12445" t="s">
        <v>21391</v>
      </c>
      <c r="C12445" s="1" t="str">
        <f>HYPERLINK("http://www.genecards.org/cgi-bin/carddisp.pl?gene=GPR162 /// LEPREL2","GeneCards")</f>
        <v>GeneCards</v>
      </c>
      <c r="D12445" s="1" t="str">
        <f>HYPERLINK("http://genome-euro.ucsc.edu/cgi-bin/hgTracks?position=204854_at","UCSC")</f>
        <v>UCSC</v>
      </c>
      <c r="E12445" s="1" t="str">
        <f>HYPERLINK("http://www.ncbi.nlm.nih.gov/gene/?term=GPR162 /// LEPREL2","NCBI")</f>
        <v>NCBI</v>
      </c>
      <c r="F12445">
        <v>0.36</v>
      </c>
      <c r="G12445">
        <v>0.49</v>
      </c>
      <c r="H12445" s="1" t="str">
        <f>HYPERLINK("http://www.weizmann.ac.il/complex/compphys/software/geview/data/figures/204854_at.png","Figure")</f>
        <v>Figure</v>
      </c>
      <c r="I12445">
        <v>1.0900000000000001</v>
      </c>
      <c r="J12445">
        <v>0.44</v>
      </c>
      <c r="K12445">
        <v>0.998</v>
      </c>
      <c r="L12445">
        <v>1</v>
      </c>
      <c r="M12445">
        <v>0.91900000000000004</v>
      </c>
      <c r="N12445">
        <v>0.38</v>
      </c>
    </row>
    <row r="12446" spans="1:14" x14ac:dyDescent="0.25">
      <c r="A12446" t="s">
        <v>21392</v>
      </c>
      <c r="B12446" t="s">
        <v>21393</v>
      </c>
      <c r="C12446" s="1" t="str">
        <f>HYPERLINK("http://www.genecards.org/cgi-bin/carddisp.pl?gene=FAM36A /// HOXA7","GeneCards")</f>
        <v>GeneCards</v>
      </c>
      <c r="D12446" s="1" t="str">
        <f>HYPERLINK("http://genome-euro.ucsc.edu/cgi-bin/hgTracks?position=206848_at","UCSC")</f>
        <v>UCSC</v>
      </c>
      <c r="E12446" s="1" t="str">
        <f>HYPERLINK("http://www.ncbi.nlm.nih.gov/gene/?term=FAM36A /// HOXA7","NCBI")</f>
        <v>NCBI</v>
      </c>
      <c r="F12446">
        <v>0.36</v>
      </c>
      <c r="G12446">
        <v>0.49</v>
      </c>
      <c r="H12446" s="1" t="str">
        <f>HYPERLINK("http://www.weizmann.ac.il/complex/compphys/software/geview/data/figures/206848_at.png","Figure")</f>
        <v>Figure</v>
      </c>
      <c r="I12446">
        <v>1.1599999999999999</v>
      </c>
      <c r="J12446">
        <v>0.79</v>
      </c>
      <c r="K12446">
        <v>1.32</v>
      </c>
      <c r="L12446">
        <v>0.33</v>
      </c>
      <c r="M12446">
        <v>1.1399999999999999</v>
      </c>
      <c r="N12446">
        <v>0.79</v>
      </c>
    </row>
    <row r="12447" spans="1:14" x14ac:dyDescent="0.25">
      <c r="A12447" t="s">
        <v>21394</v>
      </c>
      <c r="B12447" t="s">
        <v>2246</v>
      </c>
      <c r="C12447" s="1" t="str">
        <f>HYPERLINK("http://www.genecards.org/cgi-bin/carddisp.pl?gene=PCIF1","GeneCards")</f>
        <v>GeneCards</v>
      </c>
      <c r="D12447" s="1" t="str">
        <f>HYPERLINK("http://genome-euro.ucsc.edu/cgi-bin/hgTracks?position=221762_s_at","UCSC")</f>
        <v>UCSC</v>
      </c>
      <c r="E12447" s="1" t="str">
        <f>HYPERLINK("http://www.ncbi.nlm.nih.gov/gene/?term=PCIF1","NCBI")</f>
        <v>NCBI</v>
      </c>
      <c r="F12447">
        <v>0.36</v>
      </c>
      <c r="G12447">
        <v>0.49</v>
      </c>
      <c r="H12447" s="1" t="str">
        <f>HYPERLINK("http://www.weizmann.ac.il/complex/compphys/software/geview/data/figures/221762_s_at.png","Figure")</f>
        <v>Figure</v>
      </c>
      <c r="I12447">
        <v>1.0900000000000001</v>
      </c>
      <c r="J12447">
        <v>0.63</v>
      </c>
      <c r="K12447">
        <v>0.96</v>
      </c>
      <c r="L12447">
        <v>0.86</v>
      </c>
      <c r="M12447">
        <v>0.88500000000000001</v>
      </c>
      <c r="N12447">
        <v>0.33</v>
      </c>
    </row>
    <row r="12448" spans="1:14" x14ac:dyDescent="0.25">
      <c r="A12448" t="s">
        <v>21395</v>
      </c>
      <c r="B12448" t="s">
        <v>21396</v>
      </c>
      <c r="C12448" s="1" t="str">
        <f>HYPERLINK("http://www.genecards.org/cgi-bin/carddisp.pl?gene=FDXR","GeneCards")</f>
        <v>GeneCards</v>
      </c>
      <c r="D12448" s="1" t="str">
        <f>HYPERLINK("http://genome-euro.ucsc.edu/cgi-bin/hgTracks?position=207813_s_at","UCSC")</f>
        <v>UCSC</v>
      </c>
      <c r="E12448" s="1" t="str">
        <f>HYPERLINK("http://www.ncbi.nlm.nih.gov/gene/?term=FDXR","NCBI")</f>
        <v>NCBI</v>
      </c>
      <c r="F12448">
        <v>0.36</v>
      </c>
      <c r="G12448">
        <v>0.49</v>
      </c>
      <c r="H12448" s="1" t="str">
        <f>HYPERLINK("http://www.weizmann.ac.il/complex/compphys/software/geview/data/figures/207813_s_at.png","Figure")</f>
        <v>Figure</v>
      </c>
      <c r="I12448">
        <v>0.85199999999999998</v>
      </c>
      <c r="J12448">
        <v>0.34</v>
      </c>
      <c r="K12448">
        <v>0.94899999999999995</v>
      </c>
      <c r="L12448">
        <v>0.85</v>
      </c>
      <c r="M12448">
        <v>1.1100000000000001</v>
      </c>
      <c r="N12448">
        <v>0.56000000000000005</v>
      </c>
    </row>
    <row r="12449" spans="1:14" x14ac:dyDescent="0.25">
      <c r="A12449" t="s">
        <v>21397</v>
      </c>
      <c r="B12449" t="s">
        <v>21398</v>
      </c>
      <c r="C12449" s="1" t="str">
        <f>HYPERLINK("http://www.genecards.org/cgi-bin/carddisp.pl?gene=ARL17P1 /// LOC100294341","GeneCards")</f>
        <v>GeneCards</v>
      </c>
      <c r="D12449" s="1" t="str">
        <f>HYPERLINK("http://genome-euro.ucsc.edu/cgi-bin/hgTracks?position=210718_s_at","UCSC")</f>
        <v>UCSC</v>
      </c>
      <c r="E12449" s="1" t="str">
        <f>HYPERLINK("http://www.ncbi.nlm.nih.gov/gene/?term=ARL17P1 /// LOC100294341","NCBI")</f>
        <v>NCBI</v>
      </c>
      <c r="F12449">
        <v>0.36</v>
      </c>
      <c r="G12449">
        <v>0.49</v>
      </c>
      <c r="H12449" s="1" t="str">
        <f>HYPERLINK("http://www.weizmann.ac.il/complex/compphys/software/geview/data/figures/210718_s_at.png","Figure")</f>
        <v>Figure</v>
      </c>
      <c r="I12449">
        <v>0.93700000000000006</v>
      </c>
      <c r="J12449">
        <v>0.94</v>
      </c>
      <c r="K12449">
        <v>1.2</v>
      </c>
      <c r="L12449">
        <v>0.54</v>
      </c>
      <c r="M12449">
        <v>1.29</v>
      </c>
      <c r="N12449">
        <v>0.39</v>
      </c>
    </row>
    <row r="12450" spans="1:14" x14ac:dyDescent="0.25">
      <c r="A12450" t="s">
        <v>21399</v>
      </c>
      <c r="B12450" t="s">
        <v>9343</v>
      </c>
      <c r="C12450" s="1" t="str">
        <f>HYPERLINK("http://www.genecards.org/cgi-bin/carddisp.pl?gene=ORAI2","GeneCards")</f>
        <v>GeneCards</v>
      </c>
      <c r="D12450" s="1" t="str">
        <f>HYPERLINK("http://genome-euro.ucsc.edu/cgi-bin/hgTracks?position=217529_at","UCSC")</f>
        <v>UCSC</v>
      </c>
      <c r="E12450" s="1" t="str">
        <f>HYPERLINK("http://www.ncbi.nlm.nih.gov/gene/?term=ORAI2","NCBI")</f>
        <v>NCBI</v>
      </c>
      <c r="F12450">
        <v>0.36</v>
      </c>
      <c r="G12450">
        <v>0.49</v>
      </c>
      <c r="H12450" s="1" t="str">
        <f>HYPERLINK("http://www.weizmann.ac.il/complex/compphys/software/geview/data/figures/217529_at.png","Figure")</f>
        <v>Figure</v>
      </c>
      <c r="I12450">
        <v>1.34</v>
      </c>
      <c r="J12450">
        <v>0.49</v>
      </c>
      <c r="K12450">
        <v>0.95899999999999996</v>
      </c>
      <c r="L12450">
        <v>0.98</v>
      </c>
      <c r="M12450">
        <v>0.71299999999999997</v>
      </c>
      <c r="N12450">
        <v>0.36</v>
      </c>
    </row>
    <row r="12451" spans="1:14" x14ac:dyDescent="0.25">
      <c r="A12451" t="s">
        <v>21400</v>
      </c>
      <c r="B12451" t="s">
        <v>21401</v>
      </c>
      <c r="C12451" s="1" t="str">
        <f>HYPERLINK("http://www.genecards.org/cgi-bin/carddisp.pl?gene=MYCBP2","GeneCards")</f>
        <v>GeneCards</v>
      </c>
      <c r="D12451" s="1" t="str">
        <f>HYPERLINK("http://genome-euro.ucsc.edu/cgi-bin/hgTracks?position=201960_s_at","UCSC")</f>
        <v>UCSC</v>
      </c>
      <c r="E12451" s="1" t="str">
        <f>HYPERLINK("http://www.ncbi.nlm.nih.gov/gene/?term=MYCBP2","NCBI")</f>
        <v>NCBI</v>
      </c>
      <c r="F12451">
        <v>0.36</v>
      </c>
      <c r="G12451">
        <v>0.49</v>
      </c>
      <c r="H12451" s="1" t="str">
        <f>HYPERLINK("http://www.weizmann.ac.il/complex/compphys/software/geview/data/figures/201960_s_at.png","Figure")</f>
        <v>Figure</v>
      </c>
      <c r="I12451">
        <v>0.76900000000000002</v>
      </c>
      <c r="J12451">
        <v>0.62</v>
      </c>
      <c r="K12451">
        <v>1.1299999999999999</v>
      </c>
      <c r="L12451">
        <v>0.87</v>
      </c>
      <c r="M12451">
        <v>1.47</v>
      </c>
      <c r="N12451">
        <v>0.33</v>
      </c>
    </row>
    <row r="12452" spans="1:14" x14ac:dyDescent="0.25">
      <c r="A12452" t="s">
        <v>21402</v>
      </c>
      <c r="B12452" t="s">
        <v>21403</v>
      </c>
      <c r="C12452" s="1" t="str">
        <f>HYPERLINK("http://www.genecards.org/cgi-bin/carddisp.pl?gene=YEATS4","GeneCards")</f>
        <v>GeneCards</v>
      </c>
      <c r="D12452" s="1" t="str">
        <f>HYPERLINK("http://genome-euro.ucsc.edu/cgi-bin/hgTracks?position=218911_at","UCSC")</f>
        <v>UCSC</v>
      </c>
      <c r="E12452" s="1" t="str">
        <f>HYPERLINK("http://www.ncbi.nlm.nih.gov/gene/?term=YEATS4","NCBI")</f>
        <v>NCBI</v>
      </c>
      <c r="F12452">
        <v>0.36</v>
      </c>
      <c r="G12452">
        <v>0.49</v>
      </c>
      <c r="H12452" s="1" t="str">
        <f>HYPERLINK("http://www.weizmann.ac.il/complex/compphys/software/geview/data/figures/218911_at.png","Figure")</f>
        <v>Figure</v>
      </c>
      <c r="I12452">
        <v>1</v>
      </c>
      <c r="J12452">
        <v>1</v>
      </c>
      <c r="K12452">
        <v>0.93700000000000006</v>
      </c>
      <c r="L12452">
        <v>0.43</v>
      </c>
      <c r="M12452">
        <v>0.93700000000000006</v>
      </c>
      <c r="N12452">
        <v>0.48</v>
      </c>
    </row>
    <row r="12453" spans="1:14" x14ac:dyDescent="0.25">
      <c r="A12453" t="s">
        <v>21404</v>
      </c>
      <c r="B12453" t="s">
        <v>6185</v>
      </c>
      <c r="C12453" s="1" t="str">
        <f>HYPERLINK("http://www.genecards.org/cgi-bin/carddisp.pl?gene=APBB2","GeneCards")</f>
        <v>GeneCards</v>
      </c>
      <c r="D12453" s="1" t="str">
        <f>HYPERLINK("http://genome-euro.ucsc.edu/cgi-bin/hgTracks?position=216747_at","UCSC")</f>
        <v>UCSC</v>
      </c>
      <c r="E12453" s="1" t="str">
        <f>HYPERLINK("http://www.ncbi.nlm.nih.gov/gene/?term=APBB2","NCBI")</f>
        <v>NCBI</v>
      </c>
      <c r="F12453">
        <v>0.36</v>
      </c>
      <c r="G12453">
        <v>0.49</v>
      </c>
      <c r="H12453" s="1" t="str">
        <f>HYPERLINK("http://www.weizmann.ac.il/complex/compphys/software/geview/data/figures/216747_at.png","Figure")</f>
        <v>Figure</v>
      </c>
      <c r="I12453">
        <v>1.08</v>
      </c>
      <c r="J12453">
        <v>0.38</v>
      </c>
      <c r="K12453">
        <v>1.06</v>
      </c>
      <c r="L12453">
        <v>0.49</v>
      </c>
      <c r="M12453">
        <v>0.98099999999999998</v>
      </c>
      <c r="N12453">
        <v>0.93</v>
      </c>
    </row>
    <row r="12454" spans="1:14" x14ac:dyDescent="0.25">
      <c r="A12454" t="s">
        <v>21405</v>
      </c>
      <c r="B12454" t="s">
        <v>14333</v>
      </c>
      <c r="C12454" s="1" t="str">
        <f>HYPERLINK("http://www.genecards.org/cgi-bin/carddisp.pl?gene=PABPN1","GeneCards")</f>
        <v>GeneCards</v>
      </c>
      <c r="D12454" s="1" t="str">
        <f>HYPERLINK("http://genome-euro.ucsc.edu/cgi-bin/hgTracks?position=201545_s_at","UCSC")</f>
        <v>UCSC</v>
      </c>
      <c r="E12454" s="1" t="str">
        <f>HYPERLINK("http://www.ncbi.nlm.nih.gov/gene/?term=PABPN1","NCBI")</f>
        <v>NCBI</v>
      </c>
      <c r="F12454">
        <v>0.36</v>
      </c>
      <c r="G12454">
        <v>0.49</v>
      </c>
      <c r="H12454" s="1" t="str">
        <f>HYPERLINK("http://www.weizmann.ac.il/complex/compphys/software/geview/data/figures/201545_s_at.png","Figure")</f>
        <v>Figure</v>
      </c>
      <c r="I12454">
        <v>0.81399999999999995</v>
      </c>
      <c r="J12454">
        <v>0.44</v>
      </c>
      <c r="K12454">
        <v>0.82699999999999996</v>
      </c>
      <c r="L12454">
        <v>0.41</v>
      </c>
      <c r="M12454">
        <v>1.02</v>
      </c>
      <c r="N12454">
        <v>0.99</v>
      </c>
    </row>
    <row r="12455" spans="1:14" x14ac:dyDescent="0.25">
      <c r="A12455" t="s">
        <v>21406</v>
      </c>
      <c r="B12455" t="s">
        <v>21407</v>
      </c>
      <c r="C12455" s="1" t="str">
        <f>HYPERLINK("http://www.genecards.org/cgi-bin/carddisp.pl?gene=ZFR2","GeneCards")</f>
        <v>GeneCards</v>
      </c>
      <c r="D12455" s="1" t="str">
        <f>HYPERLINK("http://genome-euro.ucsc.edu/cgi-bin/hgTracks?position=215419_at","UCSC")</f>
        <v>UCSC</v>
      </c>
      <c r="E12455" s="1" t="str">
        <f>HYPERLINK("http://www.ncbi.nlm.nih.gov/gene/?term=ZFR2","NCBI")</f>
        <v>NCBI</v>
      </c>
      <c r="F12455">
        <v>0.36</v>
      </c>
      <c r="G12455">
        <v>0.49</v>
      </c>
      <c r="H12455" s="1" t="str">
        <f>HYPERLINK("http://www.weizmann.ac.il/complex/compphys/software/geview/data/figures/215419_at.png","Figure")</f>
        <v>Figure</v>
      </c>
      <c r="I12455">
        <v>1.08</v>
      </c>
      <c r="J12455">
        <v>0.37</v>
      </c>
      <c r="K12455">
        <v>1.01</v>
      </c>
      <c r="L12455">
        <v>0.96</v>
      </c>
      <c r="M12455">
        <v>0.93700000000000006</v>
      </c>
      <c r="N12455">
        <v>0.45</v>
      </c>
    </row>
    <row r="12456" spans="1:14" x14ac:dyDescent="0.25">
      <c r="A12456" t="s">
        <v>21408</v>
      </c>
      <c r="B12456" t="s">
        <v>21409</v>
      </c>
      <c r="C12456" s="1" t="str">
        <f>HYPERLINK("http://www.genecards.org/cgi-bin/carddisp.pl?gene=LOC728142","GeneCards")</f>
        <v>GeneCards</v>
      </c>
      <c r="D12456" s="1" t="str">
        <f>HYPERLINK("http://genome-euro.ucsc.edu/cgi-bin/hgTracks?position=217120_s_at","UCSC")</f>
        <v>UCSC</v>
      </c>
      <c r="E12456" s="1" t="str">
        <f>HYPERLINK("http://www.ncbi.nlm.nih.gov/gene/?term=LOC728142","NCBI")</f>
        <v>NCBI</v>
      </c>
      <c r="F12456">
        <v>0.36</v>
      </c>
      <c r="G12456">
        <v>0.49</v>
      </c>
      <c r="H12456" s="1" t="str">
        <f>HYPERLINK("http://www.weizmann.ac.il/complex/compphys/software/geview/data/figures/217120_s_at.png","Figure")</f>
        <v>Figure</v>
      </c>
      <c r="I12456">
        <v>1.05</v>
      </c>
      <c r="J12456">
        <v>0.57999999999999996</v>
      </c>
      <c r="K12456">
        <v>0.98199999999999998</v>
      </c>
      <c r="L12456">
        <v>0.91</v>
      </c>
      <c r="M12456">
        <v>0.93300000000000005</v>
      </c>
      <c r="N12456">
        <v>0.34</v>
      </c>
    </row>
    <row r="12457" spans="1:14" x14ac:dyDescent="0.25">
      <c r="A12457" t="s">
        <v>21410</v>
      </c>
      <c r="B12457" t="s">
        <v>8817</v>
      </c>
      <c r="C12457" s="1" t="str">
        <f>HYPERLINK("http://www.genecards.org/cgi-bin/carddisp.pl?gene=CUGBP2","GeneCards")</f>
        <v>GeneCards</v>
      </c>
      <c r="D12457" s="1" t="str">
        <f>HYPERLINK("http://genome-euro.ucsc.edu/cgi-bin/hgTracks?position=202157_s_at","UCSC")</f>
        <v>UCSC</v>
      </c>
      <c r="E12457" s="1" t="str">
        <f>HYPERLINK("http://www.ncbi.nlm.nih.gov/gene/?term=CUGBP2","NCBI")</f>
        <v>NCBI</v>
      </c>
      <c r="F12457">
        <v>0.36</v>
      </c>
      <c r="G12457">
        <v>0.49</v>
      </c>
      <c r="H12457" s="1" t="str">
        <f>HYPERLINK("http://www.weizmann.ac.il/complex/compphys/software/geview/data/figures/202157_s_at.png","Figure")</f>
        <v>Figure</v>
      </c>
      <c r="I12457">
        <v>0.83099999999999996</v>
      </c>
      <c r="J12457">
        <v>0.46</v>
      </c>
      <c r="K12457">
        <v>0.83699999999999997</v>
      </c>
      <c r="L12457">
        <v>0.4</v>
      </c>
      <c r="M12457">
        <v>1.01</v>
      </c>
      <c r="N12457">
        <v>1</v>
      </c>
    </row>
    <row r="12458" spans="1:14" x14ac:dyDescent="0.25">
      <c r="A12458" t="s">
        <v>21411</v>
      </c>
      <c r="B12458" t="s">
        <v>2113</v>
      </c>
      <c r="C12458" s="1" t="str">
        <f>HYPERLINK("http://www.genecards.org/cgi-bin/carddisp.pl?gene=GP1BB /// SEPT5","GeneCards")</f>
        <v>GeneCards</v>
      </c>
      <c r="D12458" s="1" t="str">
        <f>HYPERLINK("http://genome-euro.ucsc.edu/cgi-bin/hgTracks?position=209768_s_at","UCSC")</f>
        <v>UCSC</v>
      </c>
      <c r="E12458" s="1" t="str">
        <f>HYPERLINK("http://www.ncbi.nlm.nih.gov/gene/?term=GP1BB /// SEPT5","NCBI")</f>
        <v>NCBI</v>
      </c>
      <c r="F12458">
        <v>0.36</v>
      </c>
      <c r="G12458">
        <v>0.49</v>
      </c>
      <c r="H12458" s="1" t="str">
        <f>HYPERLINK("http://www.weizmann.ac.il/complex/compphys/software/geview/data/figures/209768_s_at.png","Figure")</f>
        <v>Figure</v>
      </c>
      <c r="I12458">
        <v>1.0900000000000001</v>
      </c>
      <c r="J12458">
        <v>0.4</v>
      </c>
      <c r="K12458">
        <v>1.07</v>
      </c>
      <c r="L12458">
        <v>0.46</v>
      </c>
      <c r="M12458">
        <v>0.98299999999999998</v>
      </c>
      <c r="N12458">
        <v>0.96</v>
      </c>
    </row>
    <row r="12459" spans="1:14" x14ac:dyDescent="0.25">
      <c r="A12459" t="s">
        <v>21412</v>
      </c>
      <c r="B12459" t="s">
        <v>5914</v>
      </c>
      <c r="C12459" s="1" t="str">
        <f>HYPERLINK("http://www.genecards.org/cgi-bin/carddisp.pl?gene=NPM1","GeneCards")</f>
        <v>GeneCards</v>
      </c>
      <c r="D12459" s="1" t="str">
        <f>HYPERLINK("http://genome-euro.ucsc.edu/cgi-bin/hgTracks?position=221691_x_at","UCSC")</f>
        <v>UCSC</v>
      </c>
      <c r="E12459" s="1" t="str">
        <f>HYPERLINK("http://www.ncbi.nlm.nih.gov/gene/?term=NPM1","NCBI")</f>
        <v>NCBI</v>
      </c>
      <c r="F12459">
        <v>0.36</v>
      </c>
      <c r="G12459">
        <v>0.49</v>
      </c>
      <c r="H12459" s="1" t="str">
        <f>HYPERLINK("http://www.weizmann.ac.il/complex/compphys/software/geview/data/figures/221691_x_at.png","Figure")</f>
        <v>Figure</v>
      </c>
      <c r="I12459">
        <v>1.25</v>
      </c>
      <c r="J12459">
        <v>0.47</v>
      </c>
      <c r="K12459">
        <v>1.25</v>
      </c>
      <c r="L12459">
        <v>0.39</v>
      </c>
      <c r="M12459">
        <v>0.996</v>
      </c>
      <c r="N12459">
        <v>1</v>
      </c>
    </row>
    <row r="12460" spans="1:14" x14ac:dyDescent="0.25">
      <c r="A12460" t="s">
        <v>21413</v>
      </c>
      <c r="B12460" t="s">
        <v>7830</v>
      </c>
      <c r="C12460" s="1" t="str">
        <f>HYPERLINK("http://www.genecards.org/cgi-bin/carddisp.pl?gene=DGCR2","GeneCards")</f>
        <v>GeneCards</v>
      </c>
      <c r="D12460" s="1" t="str">
        <f>HYPERLINK("http://genome-euro.ucsc.edu/cgi-bin/hgTracks?position=214198_s_at","UCSC")</f>
        <v>UCSC</v>
      </c>
      <c r="E12460" s="1" t="str">
        <f>HYPERLINK("http://www.ncbi.nlm.nih.gov/gene/?term=DGCR2","NCBI")</f>
        <v>NCBI</v>
      </c>
      <c r="F12460">
        <v>0.36</v>
      </c>
      <c r="G12460">
        <v>0.49</v>
      </c>
      <c r="H12460" s="1" t="str">
        <f>HYPERLINK("http://www.weizmann.ac.il/complex/compphys/software/geview/data/figures/214198_s_at.png","Figure")</f>
        <v>Figure</v>
      </c>
      <c r="I12460">
        <v>0.68799999999999994</v>
      </c>
      <c r="J12460">
        <v>0.34</v>
      </c>
      <c r="K12460">
        <v>0.88800000000000001</v>
      </c>
      <c r="L12460">
        <v>0.86</v>
      </c>
      <c r="M12460">
        <v>1.29</v>
      </c>
      <c r="N12460">
        <v>0.55000000000000004</v>
      </c>
    </row>
    <row r="12461" spans="1:14" x14ac:dyDescent="0.25">
      <c r="A12461" t="s">
        <v>21414</v>
      </c>
      <c r="B12461" t="s">
        <v>21415</v>
      </c>
      <c r="C12461" s="1" t="str">
        <f>HYPERLINK("http://www.genecards.org/cgi-bin/carddisp.pl?gene=RPL10L","GeneCards")</f>
        <v>GeneCards</v>
      </c>
      <c r="D12461" s="1" t="str">
        <f>HYPERLINK("http://genome-euro.ucsc.edu/cgi-bin/hgTracks?position=217559_at","UCSC")</f>
        <v>UCSC</v>
      </c>
      <c r="E12461" s="1" t="str">
        <f>HYPERLINK("http://www.ncbi.nlm.nih.gov/gene/?term=RPL10L","NCBI")</f>
        <v>NCBI</v>
      </c>
      <c r="F12461">
        <v>0.36</v>
      </c>
      <c r="G12461">
        <v>0.49</v>
      </c>
      <c r="H12461" s="1" t="str">
        <f>HYPERLINK("http://www.weizmann.ac.il/complex/compphys/software/geview/data/figures/217559_at.png","Figure")</f>
        <v>Figure</v>
      </c>
      <c r="I12461">
        <v>0.81499999999999995</v>
      </c>
      <c r="J12461">
        <v>0.45</v>
      </c>
      <c r="K12461">
        <v>1.01</v>
      </c>
      <c r="L12461">
        <v>1</v>
      </c>
      <c r="M12461">
        <v>1.24</v>
      </c>
      <c r="N12461">
        <v>0.38</v>
      </c>
    </row>
    <row r="12462" spans="1:14" x14ac:dyDescent="0.25">
      <c r="A12462" t="s">
        <v>21416</v>
      </c>
      <c r="B12462" t="s">
        <v>21417</v>
      </c>
      <c r="C12462" s="1" t="str">
        <f>HYPERLINK("http://www.genecards.org/cgi-bin/carddisp.pl?gene=NUDT3","GeneCards")</f>
        <v>GeneCards</v>
      </c>
      <c r="D12462" s="1" t="str">
        <f>HYPERLINK("http://genome-euro.ucsc.edu/cgi-bin/hgTracks?position=221579_s_at","UCSC")</f>
        <v>UCSC</v>
      </c>
      <c r="E12462" s="1" t="str">
        <f>HYPERLINK("http://www.ncbi.nlm.nih.gov/gene/?term=NUDT3","NCBI")</f>
        <v>NCBI</v>
      </c>
      <c r="F12462">
        <v>0.36</v>
      </c>
      <c r="G12462">
        <v>0.49</v>
      </c>
      <c r="H12462" s="1" t="str">
        <f>HYPERLINK("http://www.weizmann.ac.il/complex/compphys/software/geview/data/figures/221579_s_at.png","Figure")</f>
        <v>Figure</v>
      </c>
      <c r="I12462">
        <v>0.91600000000000004</v>
      </c>
      <c r="J12462">
        <v>0.39</v>
      </c>
      <c r="K12462">
        <v>0.99099999999999999</v>
      </c>
      <c r="L12462">
        <v>0.99</v>
      </c>
      <c r="M12462">
        <v>1.08</v>
      </c>
      <c r="N12462">
        <v>0.42</v>
      </c>
    </row>
    <row r="12463" spans="1:14" x14ac:dyDescent="0.25">
      <c r="A12463" t="s">
        <v>21418</v>
      </c>
      <c r="B12463" t="s">
        <v>12084</v>
      </c>
      <c r="C12463" s="1" t="str">
        <f>HYPERLINK("http://www.genecards.org/cgi-bin/carddisp.pl?gene=MT1G","GeneCards")</f>
        <v>GeneCards</v>
      </c>
      <c r="D12463" s="1" t="str">
        <f>HYPERLINK("http://genome-euro.ucsc.edu/cgi-bin/hgTracks?position=210472_at","UCSC")</f>
        <v>UCSC</v>
      </c>
      <c r="E12463" s="1" t="str">
        <f>HYPERLINK("http://www.ncbi.nlm.nih.gov/gene/?term=MT1G","NCBI")</f>
        <v>NCBI</v>
      </c>
      <c r="F12463">
        <v>0.36</v>
      </c>
      <c r="G12463">
        <v>0.5</v>
      </c>
      <c r="H12463" s="1" t="str">
        <f>HYPERLINK("http://www.weizmann.ac.il/complex/compphys/software/geview/data/figures/210472_at.png","Figure")</f>
        <v>Figure</v>
      </c>
      <c r="I12463">
        <v>1.0900000000000001</v>
      </c>
      <c r="J12463">
        <v>0.41</v>
      </c>
      <c r="K12463">
        <v>1.07</v>
      </c>
      <c r="L12463">
        <v>0.45</v>
      </c>
      <c r="M12463">
        <v>0.98499999999999999</v>
      </c>
      <c r="N12463">
        <v>0.96</v>
      </c>
    </row>
    <row r="12464" spans="1:14" x14ac:dyDescent="0.25">
      <c r="A12464" t="s">
        <v>21419</v>
      </c>
      <c r="B12464" t="s">
        <v>18354</v>
      </c>
      <c r="C12464" s="1" t="str">
        <f>HYPERLINK("http://www.genecards.org/cgi-bin/carddisp.pl?gene=C6orf26 /// MSH5","GeneCards")</f>
        <v>GeneCards</v>
      </c>
      <c r="D12464" s="1" t="str">
        <f>HYPERLINK("http://genome-euro.ucsc.edu/cgi-bin/hgTracks?position=221406_s_at","UCSC")</f>
        <v>UCSC</v>
      </c>
      <c r="E12464" s="1" t="str">
        <f>HYPERLINK("http://www.ncbi.nlm.nih.gov/gene/?term=C6orf26 /// MSH5","NCBI")</f>
        <v>NCBI</v>
      </c>
      <c r="F12464">
        <v>0.36</v>
      </c>
      <c r="G12464">
        <v>0.5</v>
      </c>
      <c r="H12464" s="1" t="str">
        <f>HYPERLINK("http://www.weizmann.ac.il/complex/compphys/software/geview/data/figures/221406_s_at.png","Figure")</f>
        <v>Figure</v>
      </c>
      <c r="I12464">
        <v>1.08</v>
      </c>
      <c r="J12464">
        <v>0.34</v>
      </c>
      <c r="K12464">
        <v>1.04</v>
      </c>
      <c r="L12464">
        <v>0.64</v>
      </c>
      <c r="M12464">
        <v>0.96399999999999997</v>
      </c>
      <c r="N12464">
        <v>0.76</v>
      </c>
    </row>
    <row r="12465" spans="1:14" x14ac:dyDescent="0.25">
      <c r="A12465" t="s">
        <v>21420</v>
      </c>
      <c r="B12465" t="s">
        <v>6828</v>
      </c>
      <c r="C12465" s="1" t="str">
        <f>HYPERLINK("http://www.genecards.org/cgi-bin/carddisp.pl?gene=ZNF592","GeneCards")</f>
        <v>GeneCards</v>
      </c>
      <c r="D12465" s="1" t="str">
        <f>HYPERLINK("http://genome-euro.ucsc.edu/cgi-bin/hgTracks?position=204473_s_at","UCSC")</f>
        <v>UCSC</v>
      </c>
      <c r="E12465" s="1" t="str">
        <f>HYPERLINK("http://www.ncbi.nlm.nih.gov/gene/?term=ZNF592","NCBI")</f>
        <v>NCBI</v>
      </c>
      <c r="F12465">
        <v>0.36</v>
      </c>
      <c r="G12465">
        <v>0.5</v>
      </c>
      <c r="H12465" s="1" t="str">
        <f>HYPERLINK("http://www.weizmann.ac.il/complex/compphys/software/geview/data/figures/204473_s_at.png","Figure")</f>
        <v>Figure</v>
      </c>
      <c r="I12465">
        <v>1.0900000000000001</v>
      </c>
      <c r="J12465">
        <v>0.47</v>
      </c>
      <c r="K12465">
        <v>1.0900000000000001</v>
      </c>
      <c r="L12465">
        <v>0.39</v>
      </c>
      <c r="M12465">
        <v>0.998</v>
      </c>
      <c r="N12465">
        <v>1</v>
      </c>
    </row>
    <row r="12466" spans="1:14" x14ac:dyDescent="0.25">
      <c r="A12466" t="s">
        <v>21421</v>
      </c>
      <c r="B12466" t="s">
        <v>21422</v>
      </c>
      <c r="C12466" s="1" t="str">
        <f>HYPERLINK("http://www.genecards.org/cgi-bin/carddisp.pl?gene=WDR6","GeneCards")</f>
        <v>GeneCards</v>
      </c>
      <c r="D12466" s="1" t="str">
        <f>HYPERLINK("http://genome-euro.ucsc.edu/cgi-bin/hgTracks?position=217734_s_at","UCSC")</f>
        <v>UCSC</v>
      </c>
      <c r="E12466" s="1" t="str">
        <f>HYPERLINK("http://www.ncbi.nlm.nih.gov/gene/?term=WDR6","NCBI")</f>
        <v>NCBI</v>
      </c>
      <c r="F12466">
        <v>0.36</v>
      </c>
      <c r="G12466">
        <v>0.5</v>
      </c>
      <c r="H12466" s="1" t="str">
        <f>HYPERLINK("http://www.weizmann.ac.il/complex/compphys/software/geview/data/figures/217734_s_at.png","Figure")</f>
        <v>Figure</v>
      </c>
      <c r="I12466">
        <v>1.44</v>
      </c>
      <c r="J12466">
        <v>0.33</v>
      </c>
      <c r="K12466">
        <v>1.19</v>
      </c>
      <c r="L12466">
        <v>0.7</v>
      </c>
      <c r="M12466">
        <v>0.83</v>
      </c>
      <c r="N12466">
        <v>0.7</v>
      </c>
    </row>
    <row r="12467" spans="1:14" x14ac:dyDescent="0.25">
      <c r="A12467" t="s">
        <v>21423</v>
      </c>
      <c r="B12467" t="s">
        <v>14096</v>
      </c>
      <c r="C12467" s="1" t="str">
        <f>HYPERLINK("http://www.genecards.org/cgi-bin/carddisp.pl?gene=PTGIS","GeneCards")</f>
        <v>GeneCards</v>
      </c>
      <c r="D12467" s="1" t="str">
        <f>HYPERLINK("http://genome-euro.ucsc.edu/cgi-bin/hgTracks?position=210702_s_at","UCSC")</f>
        <v>UCSC</v>
      </c>
      <c r="E12467" s="1" t="str">
        <f>HYPERLINK("http://www.ncbi.nlm.nih.gov/gene/?term=PTGIS","NCBI")</f>
        <v>NCBI</v>
      </c>
      <c r="F12467">
        <v>0.36</v>
      </c>
      <c r="G12467">
        <v>0.5</v>
      </c>
      <c r="H12467" s="1" t="str">
        <f>HYPERLINK("http://www.weizmann.ac.il/complex/compphys/software/geview/data/figures/210702_s_at.png","Figure")</f>
        <v>Figure</v>
      </c>
      <c r="I12467">
        <v>1.05</v>
      </c>
      <c r="J12467">
        <v>0.47</v>
      </c>
      <c r="K12467">
        <v>1.05</v>
      </c>
      <c r="L12467">
        <v>0.39</v>
      </c>
      <c r="M12467">
        <v>1</v>
      </c>
      <c r="N12467">
        <v>1</v>
      </c>
    </row>
    <row r="12468" spans="1:14" x14ac:dyDescent="0.25">
      <c r="A12468" t="s">
        <v>21424</v>
      </c>
      <c r="B12468" t="s">
        <v>21425</v>
      </c>
      <c r="C12468" s="1" t="str">
        <f>HYPERLINK("http://www.genecards.org/cgi-bin/carddisp.pl?gene=SLC16A5","GeneCards")</f>
        <v>GeneCards</v>
      </c>
      <c r="D12468" s="1" t="str">
        <f>HYPERLINK("http://genome-euro.ucsc.edu/cgi-bin/hgTracks?position=213590_at","UCSC")</f>
        <v>UCSC</v>
      </c>
      <c r="E12468" s="1" t="str">
        <f>HYPERLINK("http://www.ncbi.nlm.nih.gov/gene/?term=SLC16A5","NCBI")</f>
        <v>NCBI</v>
      </c>
      <c r="F12468">
        <v>0.36</v>
      </c>
      <c r="G12468">
        <v>0.5</v>
      </c>
      <c r="H12468" s="1" t="str">
        <f>HYPERLINK("http://www.weizmann.ac.il/complex/compphys/software/geview/data/figures/213590_at.png","Figure")</f>
        <v>Figure</v>
      </c>
      <c r="I12468">
        <v>0.9</v>
      </c>
      <c r="J12468">
        <v>0.47</v>
      </c>
      <c r="K12468">
        <v>0.90100000000000002</v>
      </c>
      <c r="L12468">
        <v>0.39</v>
      </c>
      <c r="M12468">
        <v>1</v>
      </c>
      <c r="N12468">
        <v>1</v>
      </c>
    </row>
    <row r="12469" spans="1:14" x14ac:dyDescent="0.25">
      <c r="A12469" t="s">
        <v>21426</v>
      </c>
      <c r="B12469" t="s">
        <v>16730</v>
      </c>
      <c r="C12469" s="1" t="str">
        <f>HYPERLINK("http://www.genecards.org/cgi-bin/carddisp.pl?gene=CC2D1A","GeneCards")</f>
        <v>GeneCards</v>
      </c>
      <c r="D12469" s="1" t="str">
        <f>HYPERLINK("http://genome-euro.ucsc.edu/cgi-bin/hgTracks?position=222137_at","UCSC")</f>
        <v>UCSC</v>
      </c>
      <c r="E12469" s="1" t="str">
        <f>HYPERLINK("http://www.ncbi.nlm.nih.gov/gene/?term=CC2D1A","NCBI")</f>
        <v>NCBI</v>
      </c>
      <c r="F12469">
        <v>0.36</v>
      </c>
      <c r="G12469">
        <v>0.5</v>
      </c>
      <c r="H12469" s="1" t="str">
        <f>HYPERLINK("http://www.weizmann.ac.il/complex/compphys/software/geview/data/figures/222137_at.png","Figure")</f>
        <v>Figure</v>
      </c>
      <c r="I12469">
        <v>0.998</v>
      </c>
      <c r="J12469">
        <v>1</v>
      </c>
      <c r="K12469">
        <v>1.05</v>
      </c>
      <c r="L12469">
        <v>0.45</v>
      </c>
      <c r="M12469">
        <v>1.05</v>
      </c>
      <c r="N12469">
        <v>0.46</v>
      </c>
    </row>
    <row r="12470" spans="1:14" x14ac:dyDescent="0.25">
      <c r="A12470" t="s">
        <v>21427</v>
      </c>
      <c r="B12470" t="s">
        <v>16167</v>
      </c>
      <c r="C12470" s="1" t="str">
        <f>HYPERLINK("http://www.genecards.org/cgi-bin/carddisp.pl?gene=IGL@ /// IGLV1-44 /// LOC100290557","GeneCards")</f>
        <v>GeneCards</v>
      </c>
      <c r="D12470" s="1" t="str">
        <f>HYPERLINK("http://genome-euro.ucsc.edu/cgi-bin/hgTracks?position=216430_x_at","UCSC")</f>
        <v>UCSC</v>
      </c>
      <c r="E12470" s="1" t="str">
        <f>HYPERLINK("http://www.ncbi.nlm.nih.gov/gene/?term=IGL@ /// IGLV1-44 /// LOC100290557","NCBI")</f>
        <v>NCBI</v>
      </c>
      <c r="F12470">
        <v>0.36</v>
      </c>
      <c r="G12470">
        <v>0.5</v>
      </c>
      <c r="H12470" s="1" t="str">
        <f>HYPERLINK("http://www.weizmann.ac.il/complex/compphys/software/geview/data/figures/216430_x_at.png","Figure")</f>
        <v>Figure</v>
      </c>
      <c r="I12470">
        <v>1.05</v>
      </c>
      <c r="J12470">
        <v>0.61</v>
      </c>
      <c r="K12470">
        <v>0.97799999999999998</v>
      </c>
      <c r="L12470">
        <v>0.89</v>
      </c>
      <c r="M12470">
        <v>0.92800000000000005</v>
      </c>
      <c r="N12470">
        <v>0.33</v>
      </c>
    </row>
    <row r="12471" spans="1:14" x14ac:dyDescent="0.25">
      <c r="A12471" t="s">
        <v>21428</v>
      </c>
      <c r="B12471" t="s">
        <v>17668</v>
      </c>
      <c r="C12471" s="1" t="str">
        <f>HYPERLINK("http://www.genecards.org/cgi-bin/carddisp.pl?gene=LOC161527 /// PML","GeneCards")</f>
        <v>GeneCards</v>
      </c>
      <c r="D12471" s="1" t="str">
        <f>HYPERLINK("http://genome-euro.ucsc.edu/cgi-bin/hgTracks?position=211014_s_at","UCSC")</f>
        <v>UCSC</v>
      </c>
      <c r="E12471" s="1" t="str">
        <f>HYPERLINK("http://www.ncbi.nlm.nih.gov/gene/?term=LOC161527 /// PML","NCBI")</f>
        <v>NCBI</v>
      </c>
      <c r="F12471">
        <v>0.36</v>
      </c>
      <c r="G12471">
        <v>0.5</v>
      </c>
      <c r="H12471" s="1" t="str">
        <f>HYPERLINK("http://www.weizmann.ac.il/complex/compphys/software/geview/data/figures/211014_s_at.png","Figure")</f>
        <v>Figure</v>
      </c>
      <c r="I12471">
        <v>1.05</v>
      </c>
      <c r="J12471">
        <v>0.77</v>
      </c>
      <c r="K12471">
        <v>0.95299999999999996</v>
      </c>
      <c r="L12471">
        <v>0.73</v>
      </c>
      <c r="M12471">
        <v>0.90600000000000003</v>
      </c>
      <c r="N12471">
        <v>0.34</v>
      </c>
    </row>
    <row r="12472" spans="1:14" x14ac:dyDescent="0.25">
      <c r="A12472" t="s">
        <v>21429</v>
      </c>
      <c r="B12472" t="s">
        <v>21430</v>
      </c>
      <c r="C12472" s="1" t="str">
        <f>HYPERLINK("http://www.genecards.org/cgi-bin/carddisp.pl?gene=MAOA","GeneCards")</f>
        <v>GeneCards</v>
      </c>
      <c r="D12472" s="1" t="str">
        <f>HYPERLINK("http://genome-euro.ucsc.edu/cgi-bin/hgTracks?position=212741_at","UCSC")</f>
        <v>UCSC</v>
      </c>
      <c r="E12472" s="1" t="str">
        <f>HYPERLINK("http://www.ncbi.nlm.nih.gov/gene/?term=MAOA","NCBI")</f>
        <v>NCBI</v>
      </c>
      <c r="F12472">
        <v>0.36</v>
      </c>
      <c r="G12472">
        <v>0.5</v>
      </c>
      <c r="H12472" s="1" t="str">
        <f>HYPERLINK("http://www.weizmann.ac.il/complex/compphys/software/geview/data/figures/212741_at.png","Figure")</f>
        <v>Figure</v>
      </c>
      <c r="I12472">
        <v>1.08</v>
      </c>
      <c r="J12472">
        <v>0.39</v>
      </c>
      <c r="K12472">
        <v>1.06</v>
      </c>
      <c r="L12472">
        <v>0.48</v>
      </c>
      <c r="M12472">
        <v>0.98199999999999998</v>
      </c>
      <c r="N12472">
        <v>0.93</v>
      </c>
    </row>
    <row r="12473" spans="1:14" x14ac:dyDescent="0.25">
      <c r="A12473" t="s">
        <v>21431</v>
      </c>
      <c r="B12473" t="s">
        <v>21432</v>
      </c>
      <c r="C12473" s="1" t="str">
        <f>HYPERLINK("http://www.genecards.org/cgi-bin/carddisp.pl?gene=DCLRE1A","GeneCards")</f>
        <v>GeneCards</v>
      </c>
      <c r="D12473" s="1" t="str">
        <f>HYPERLINK("http://genome-euro.ucsc.edu/cgi-bin/hgTracks?position=209804_at","UCSC")</f>
        <v>UCSC</v>
      </c>
      <c r="E12473" s="1" t="str">
        <f>HYPERLINK("http://www.ncbi.nlm.nih.gov/gene/?term=DCLRE1A","NCBI")</f>
        <v>NCBI</v>
      </c>
      <c r="F12473">
        <v>0.36</v>
      </c>
      <c r="G12473">
        <v>0.5</v>
      </c>
      <c r="H12473" s="1" t="str">
        <f>HYPERLINK("http://www.weizmann.ac.il/complex/compphys/software/geview/data/figures/209804_at.png","Figure")</f>
        <v>Figure</v>
      </c>
      <c r="I12473">
        <v>0.85399999999999998</v>
      </c>
      <c r="J12473">
        <v>0.38</v>
      </c>
      <c r="K12473">
        <v>0.97799999999999998</v>
      </c>
      <c r="L12473">
        <v>0.97</v>
      </c>
      <c r="M12473">
        <v>1.1499999999999999</v>
      </c>
      <c r="N12473">
        <v>0.44</v>
      </c>
    </row>
    <row r="12474" spans="1:14" x14ac:dyDescent="0.25">
      <c r="A12474" t="s">
        <v>21433</v>
      </c>
      <c r="B12474" t="s">
        <v>21434</v>
      </c>
      <c r="C12474" s="1" t="str">
        <f>HYPERLINK("http://www.genecards.org/cgi-bin/carddisp.pl?gene=POLA2","GeneCards")</f>
        <v>GeneCards</v>
      </c>
      <c r="D12474" s="1" t="str">
        <f>HYPERLINK("http://genome-euro.ucsc.edu/cgi-bin/hgTracks?position=204441_s_at","UCSC")</f>
        <v>UCSC</v>
      </c>
      <c r="E12474" s="1" t="str">
        <f>HYPERLINK("http://www.ncbi.nlm.nih.gov/gene/?term=POLA2","NCBI")</f>
        <v>NCBI</v>
      </c>
      <c r="F12474">
        <v>0.36</v>
      </c>
      <c r="G12474">
        <v>0.5</v>
      </c>
      <c r="H12474" s="1" t="str">
        <f>HYPERLINK("http://www.weizmann.ac.il/complex/compphys/software/geview/data/figures/204441_s_at.png","Figure")</f>
        <v>Figure</v>
      </c>
      <c r="I12474">
        <v>1.18</v>
      </c>
      <c r="J12474">
        <v>0.4</v>
      </c>
      <c r="K12474">
        <v>1.1399999999999999</v>
      </c>
      <c r="L12474">
        <v>0.46</v>
      </c>
      <c r="M12474">
        <v>0.96499999999999997</v>
      </c>
      <c r="N12474">
        <v>0.95</v>
      </c>
    </row>
    <row r="12475" spans="1:14" x14ac:dyDescent="0.25">
      <c r="A12475" t="s">
        <v>21435</v>
      </c>
      <c r="B12475" t="s">
        <v>21436</v>
      </c>
      <c r="C12475" s="1" t="str">
        <f>HYPERLINK("http://www.genecards.org/cgi-bin/carddisp.pl?gene=LOC100127972","GeneCards")</f>
        <v>GeneCards</v>
      </c>
      <c r="D12475" s="1" t="str">
        <f>HYPERLINK("http://genome-euro.ucsc.edu/cgi-bin/hgTracks?position=217655_at","UCSC")</f>
        <v>UCSC</v>
      </c>
      <c r="E12475" s="1" t="str">
        <f>HYPERLINK("http://www.ncbi.nlm.nih.gov/gene/?term=LOC100127972","NCBI")</f>
        <v>NCBI</v>
      </c>
      <c r="F12475">
        <v>0.36</v>
      </c>
      <c r="G12475">
        <v>0.5</v>
      </c>
      <c r="H12475" s="1" t="str">
        <f>HYPERLINK("http://www.weizmann.ac.il/complex/compphys/software/geview/data/figures/217655_at.png","Figure")</f>
        <v>Figure</v>
      </c>
      <c r="I12475">
        <v>0.92600000000000005</v>
      </c>
      <c r="J12475">
        <v>0.87</v>
      </c>
      <c r="K12475">
        <v>0.82699999999999996</v>
      </c>
      <c r="L12475">
        <v>0.34</v>
      </c>
      <c r="M12475">
        <v>0.89300000000000002</v>
      </c>
      <c r="N12475">
        <v>0.7</v>
      </c>
    </row>
    <row r="12476" spans="1:14" x14ac:dyDescent="0.25">
      <c r="A12476" t="s">
        <v>21437</v>
      </c>
      <c r="B12476" t="s">
        <v>19736</v>
      </c>
      <c r="C12476" s="1" t="str">
        <f>HYPERLINK("http://www.genecards.org/cgi-bin/carddisp.pl?gene=ARF1","GeneCards")</f>
        <v>GeneCards</v>
      </c>
      <c r="D12476" s="1" t="str">
        <f>HYPERLINK("http://genome-euro.ucsc.edu/cgi-bin/hgTracks?position=208750_s_at","UCSC")</f>
        <v>UCSC</v>
      </c>
      <c r="E12476" s="1" t="str">
        <f>HYPERLINK("http://www.ncbi.nlm.nih.gov/gene/?term=ARF1","NCBI")</f>
        <v>NCBI</v>
      </c>
      <c r="F12476">
        <v>0.36</v>
      </c>
      <c r="G12476">
        <v>0.5</v>
      </c>
      <c r="H12476" s="1" t="str">
        <f>HYPERLINK("http://www.weizmann.ac.il/complex/compphys/software/geview/data/figures/208750_s_at.png","Figure")</f>
        <v>Figure</v>
      </c>
      <c r="I12476">
        <v>1.22</v>
      </c>
      <c r="J12476">
        <v>0.54</v>
      </c>
      <c r="K12476">
        <v>0.95299999999999996</v>
      </c>
      <c r="L12476">
        <v>0.95</v>
      </c>
      <c r="M12476">
        <v>0.78400000000000003</v>
      </c>
      <c r="N12476">
        <v>0.35</v>
      </c>
    </row>
    <row r="12477" spans="1:14" x14ac:dyDescent="0.25">
      <c r="A12477" t="s">
        <v>21438</v>
      </c>
      <c r="B12477" t="s">
        <v>7714</v>
      </c>
      <c r="C12477" s="1" t="str">
        <f>HYPERLINK("http://www.genecards.org/cgi-bin/carddisp.pl?gene=LGALS8","GeneCards")</f>
        <v>GeneCards</v>
      </c>
      <c r="D12477" s="1" t="str">
        <f>HYPERLINK("http://genome-euro.ucsc.edu/cgi-bin/hgTracks?position=208934_s_at","UCSC")</f>
        <v>UCSC</v>
      </c>
      <c r="E12477" s="1" t="str">
        <f>HYPERLINK("http://www.ncbi.nlm.nih.gov/gene/?term=LGALS8","NCBI")</f>
        <v>NCBI</v>
      </c>
      <c r="F12477">
        <v>0.36</v>
      </c>
      <c r="G12477">
        <v>0.5</v>
      </c>
      <c r="H12477" s="1" t="str">
        <f>HYPERLINK("http://www.weizmann.ac.il/complex/compphys/software/geview/data/figures/208934_s_at.png","Figure")</f>
        <v>Figure</v>
      </c>
      <c r="I12477">
        <v>0.92400000000000004</v>
      </c>
      <c r="J12477">
        <v>0.91</v>
      </c>
      <c r="K12477">
        <v>0.78300000000000003</v>
      </c>
      <c r="L12477">
        <v>0.36</v>
      </c>
      <c r="M12477">
        <v>0.84699999999999998</v>
      </c>
      <c r="N12477">
        <v>0.65</v>
      </c>
    </row>
    <row r="12478" spans="1:14" x14ac:dyDescent="0.25">
      <c r="A12478" t="s">
        <v>21439</v>
      </c>
      <c r="B12478" t="s">
        <v>21440</v>
      </c>
      <c r="C12478" s="1" t="str">
        <f>HYPERLINK("http://www.genecards.org/cgi-bin/carddisp.pl?gene=ACOT11","GeneCards")</f>
        <v>GeneCards</v>
      </c>
      <c r="D12478" s="1" t="str">
        <f>HYPERLINK("http://genome-euro.ucsc.edu/cgi-bin/hgTracks?position=214763_at","UCSC")</f>
        <v>UCSC</v>
      </c>
      <c r="E12478" s="1" t="str">
        <f>HYPERLINK("http://www.ncbi.nlm.nih.gov/gene/?term=ACOT11","NCBI")</f>
        <v>NCBI</v>
      </c>
      <c r="F12478">
        <v>0.36</v>
      </c>
      <c r="G12478">
        <v>0.5</v>
      </c>
      <c r="H12478" s="1" t="str">
        <f>HYPERLINK("http://www.weizmann.ac.il/complex/compphys/software/geview/data/figures/214763_at.png","Figure")</f>
        <v>Figure</v>
      </c>
      <c r="I12478">
        <v>1.1399999999999999</v>
      </c>
      <c r="J12478">
        <v>0.34</v>
      </c>
      <c r="K12478">
        <v>1.05</v>
      </c>
      <c r="L12478">
        <v>0.83</v>
      </c>
      <c r="M12478">
        <v>0.92100000000000004</v>
      </c>
      <c r="N12478">
        <v>0.57999999999999996</v>
      </c>
    </row>
    <row r="12479" spans="1:14" x14ac:dyDescent="0.25">
      <c r="A12479" t="s">
        <v>21441</v>
      </c>
      <c r="B12479" t="s">
        <v>21442</v>
      </c>
      <c r="C12479" s="1" t="str">
        <f>HYPERLINK("http://www.genecards.org/cgi-bin/carddisp.pl?gene=PPP1R8","GeneCards")</f>
        <v>GeneCards</v>
      </c>
      <c r="D12479" s="1" t="str">
        <f>HYPERLINK("http://genome-euro.ucsc.edu/cgi-bin/hgTracks?position=207830_s_at","UCSC")</f>
        <v>UCSC</v>
      </c>
      <c r="E12479" s="1" t="str">
        <f>HYPERLINK("http://www.ncbi.nlm.nih.gov/gene/?term=PPP1R8","NCBI")</f>
        <v>NCBI</v>
      </c>
      <c r="F12479">
        <v>0.36</v>
      </c>
      <c r="G12479">
        <v>0.5</v>
      </c>
      <c r="H12479" s="1" t="str">
        <f>HYPERLINK("http://www.weizmann.ac.il/complex/compphys/software/geview/data/figures/207830_s_at.png","Figure")</f>
        <v>Figure</v>
      </c>
      <c r="I12479">
        <v>1.1299999999999999</v>
      </c>
      <c r="J12479">
        <v>0.78</v>
      </c>
      <c r="K12479">
        <v>0.88600000000000001</v>
      </c>
      <c r="L12479">
        <v>0.72</v>
      </c>
      <c r="M12479">
        <v>0.78700000000000003</v>
      </c>
      <c r="N12479">
        <v>0.34</v>
      </c>
    </row>
    <row r="12480" spans="1:14" x14ac:dyDescent="0.25">
      <c r="A12480" t="s">
        <v>21443</v>
      </c>
      <c r="B12480" t="s">
        <v>20504</v>
      </c>
      <c r="C12480" s="1" t="str">
        <f>HYPERLINK("http://www.genecards.org/cgi-bin/carddisp.pl?gene=CXCR5","GeneCards")</f>
        <v>GeneCards</v>
      </c>
      <c r="D12480" s="1" t="str">
        <f>HYPERLINK("http://genome-euro.ucsc.edu/cgi-bin/hgTracks?position=216734_s_at","UCSC")</f>
        <v>UCSC</v>
      </c>
      <c r="E12480" s="1" t="str">
        <f>HYPERLINK("http://www.ncbi.nlm.nih.gov/gene/?term=CXCR5","NCBI")</f>
        <v>NCBI</v>
      </c>
      <c r="F12480">
        <v>0.36</v>
      </c>
      <c r="G12480">
        <v>0.5</v>
      </c>
      <c r="H12480" s="1" t="str">
        <f>HYPERLINK("http://www.weizmann.ac.il/complex/compphys/software/geview/data/figures/216734_s_at.png","Figure")</f>
        <v>Figure</v>
      </c>
      <c r="I12480">
        <v>1.1100000000000001</v>
      </c>
      <c r="J12480">
        <v>0.34</v>
      </c>
      <c r="K12480">
        <v>1.06</v>
      </c>
      <c r="L12480">
        <v>0.63</v>
      </c>
      <c r="M12480">
        <v>0.95399999999999996</v>
      </c>
      <c r="N12480">
        <v>0.77</v>
      </c>
    </row>
    <row r="12481" spans="1:14" x14ac:dyDescent="0.25">
      <c r="A12481" t="s">
        <v>21444</v>
      </c>
      <c r="B12481" t="s">
        <v>19593</v>
      </c>
      <c r="C12481" s="1" t="str">
        <f>HYPERLINK("http://www.genecards.org/cgi-bin/carddisp.pl?gene=SLC25A44","GeneCards")</f>
        <v>GeneCards</v>
      </c>
      <c r="D12481" s="1" t="str">
        <f>HYPERLINK("http://genome-euro.ucsc.edu/cgi-bin/hgTracks?position=212683_at","UCSC")</f>
        <v>UCSC</v>
      </c>
      <c r="E12481" s="1" t="str">
        <f>HYPERLINK("http://www.ncbi.nlm.nih.gov/gene/?term=SLC25A44","NCBI")</f>
        <v>NCBI</v>
      </c>
      <c r="F12481">
        <v>0.36</v>
      </c>
      <c r="G12481">
        <v>0.5</v>
      </c>
      <c r="H12481" s="1" t="str">
        <f>HYPERLINK("http://www.weizmann.ac.il/complex/compphys/software/geview/data/figures/212683_at.png","Figure")</f>
        <v>Figure</v>
      </c>
      <c r="I12481">
        <v>1.1200000000000001</v>
      </c>
      <c r="J12481">
        <v>0.77</v>
      </c>
      <c r="K12481">
        <v>0.89900000000000002</v>
      </c>
      <c r="L12481">
        <v>0.73</v>
      </c>
      <c r="M12481">
        <v>0.80400000000000005</v>
      </c>
      <c r="N12481">
        <v>0.34</v>
      </c>
    </row>
    <row r="12482" spans="1:14" x14ac:dyDescent="0.25">
      <c r="A12482" t="s">
        <v>21445</v>
      </c>
      <c r="B12482" t="s">
        <v>7004</v>
      </c>
      <c r="C12482" s="1" t="str">
        <f>HYPERLINK("http://www.genecards.org/cgi-bin/carddisp.pl?gene=TOP3A","GeneCards")</f>
        <v>GeneCards</v>
      </c>
      <c r="D12482" s="1" t="str">
        <f>HYPERLINK("http://genome-euro.ucsc.edu/cgi-bin/hgTracks?position=214299_at","UCSC")</f>
        <v>UCSC</v>
      </c>
      <c r="E12482" s="1" t="str">
        <f>HYPERLINK("http://www.ncbi.nlm.nih.gov/gene/?term=TOP3A","NCBI")</f>
        <v>NCBI</v>
      </c>
      <c r="F12482">
        <v>0.36</v>
      </c>
      <c r="G12482">
        <v>0.5</v>
      </c>
      <c r="H12482" s="1" t="str">
        <f>HYPERLINK("http://www.weizmann.ac.il/complex/compphys/software/geview/data/figures/214299_at.png","Figure")</f>
        <v>Figure</v>
      </c>
      <c r="I12482">
        <v>1.01</v>
      </c>
      <c r="J12482">
        <v>0.99</v>
      </c>
      <c r="K12482">
        <v>1.1000000000000001</v>
      </c>
      <c r="L12482">
        <v>0.41</v>
      </c>
      <c r="M12482">
        <v>1.0900000000000001</v>
      </c>
      <c r="N12482">
        <v>0.52</v>
      </c>
    </row>
    <row r="12483" spans="1:14" x14ac:dyDescent="0.25">
      <c r="A12483" t="s">
        <v>21446</v>
      </c>
      <c r="B12483" t="s">
        <v>21447</v>
      </c>
      <c r="C12483" s="1" t="str">
        <f>HYPERLINK("http://www.genecards.org/cgi-bin/carddisp.pl?gene=IGSF2","GeneCards")</f>
        <v>GeneCards</v>
      </c>
      <c r="D12483" s="1" t="str">
        <f>HYPERLINK("http://genome-euro.ucsc.edu/cgi-bin/hgTracks?position=207167_at","UCSC")</f>
        <v>UCSC</v>
      </c>
      <c r="E12483" s="1" t="str">
        <f>HYPERLINK("http://www.ncbi.nlm.nih.gov/gene/?term=IGSF2","NCBI")</f>
        <v>NCBI</v>
      </c>
      <c r="F12483">
        <v>0.36</v>
      </c>
      <c r="G12483">
        <v>0.5</v>
      </c>
      <c r="H12483" s="1" t="str">
        <f>HYPERLINK("http://www.weizmann.ac.il/complex/compphys/software/geview/data/figures/207167_at.png","Figure")</f>
        <v>Figure</v>
      </c>
      <c r="I12483">
        <v>1.04</v>
      </c>
      <c r="J12483">
        <v>0.56000000000000005</v>
      </c>
      <c r="K12483">
        <v>0.98799999999999999</v>
      </c>
      <c r="L12483">
        <v>0.93</v>
      </c>
      <c r="M12483">
        <v>0.95099999999999996</v>
      </c>
      <c r="N12483">
        <v>0.34</v>
      </c>
    </row>
    <row r="12484" spans="1:14" x14ac:dyDescent="0.25">
      <c r="A12484" t="s">
        <v>21448</v>
      </c>
      <c r="B12484" t="s">
        <v>21449</v>
      </c>
      <c r="C12484" s="1" t="str">
        <f>HYPERLINK("http://www.genecards.org/cgi-bin/carddisp.pl?gene=SFRS12IP1","GeneCards")</f>
        <v>GeneCards</v>
      </c>
      <c r="D12484" s="1" t="str">
        <f>HYPERLINK("http://genome-euro.ucsc.edu/cgi-bin/hgTracks?position=217608_at","UCSC")</f>
        <v>UCSC</v>
      </c>
      <c r="E12484" s="1" t="str">
        <f>HYPERLINK("http://www.ncbi.nlm.nih.gov/gene/?term=SFRS12IP1","NCBI")</f>
        <v>NCBI</v>
      </c>
      <c r="F12484">
        <v>0.37</v>
      </c>
      <c r="G12484">
        <v>0.5</v>
      </c>
      <c r="H12484" s="1" t="str">
        <f>HYPERLINK("http://www.weizmann.ac.il/complex/compphys/software/geview/data/figures/217608_at.png","Figure")</f>
        <v>Figure</v>
      </c>
      <c r="I12484">
        <v>0.96299999999999997</v>
      </c>
      <c r="J12484">
        <v>0.36</v>
      </c>
      <c r="K12484">
        <v>0.99099999999999999</v>
      </c>
      <c r="L12484">
        <v>0.92</v>
      </c>
      <c r="M12484">
        <v>1.03</v>
      </c>
      <c r="N12484">
        <v>0.49</v>
      </c>
    </row>
    <row r="12485" spans="1:14" x14ac:dyDescent="0.25">
      <c r="A12485" t="s">
        <v>21450</v>
      </c>
      <c r="B12485" t="s">
        <v>4865</v>
      </c>
      <c r="C12485" s="1" t="str">
        <f>HYPERLINK("http://www.genecards.org/cgi-bin/carddisp.pl?gene=RBMS1","GeneCards")</f>
        <v>GeneCards</v>
      </c>
      <c r="D12485" s="1" t="str">
        <f>HYPERLINK("http://genome-euro.ucsc.edu/cgi-bin/hgTracks?position=203748_x_at","UCSC")</f>
        <v>UCSC</v>
      </c>
      <c r="E12485" s="1" t="str">
        <f>HYPERLINK("http://www.ncbi.nlm.nih.gov/gene/?term=RBMS1","NCBI")</f>
        <v>NCBI</v>
      </c>
      <c r="F12485">
        <v>0.37</v>
      </c>
      <c r="G12485">
        <v>0.5</v>
      </c>
      <c r="H12485" s="1" t="str">
        <f>HYPERLINK("http://www.weizmann.ac.il/complex/compphys/software/geview/data/figures/203748_x_at.png","Figure")</f>
        <v>Figure</v>
      </c>
      <c r="I12485">
        <v>1.1299999999999999</v>
      </c>
      <c r="J12485">
        <v>0.89</v>
      </c>
      <c r="K12485">
        <v>0.79500000000000004</v>
      </c>
      <c r="L12485">
        <v>0.6</v>
      </c>
      <c r="M12485">
        <v>0.70399999999999996</v>
      </c>
      <c r="N12485">
        <v>0.37</v>
      </c>
    </row>
    <row r="12486" spans="1:14" x14ac:dyDescent="0.25">
      <c r="A12486" t="s">
        <v>21451</v>
      </c>
      <c r="B12486" t="s">
        <v>21452</v>
      </c>
      <c r="C12486" s="1" t="str">
        <f>HYPERLINK("http://www.genecards.org/cgi-bin/carddisp.pl?gene=KIF5A","GeneCards")</f>
        <v>GeneCards</v>
      </c>
      <c r="D12486" s="1" t="str">
        <f>HYPERLINK("http://genome-euro.ucsc.edu/cgi-bin/hgTracks?position=205318_at","UCSC")</f>
        <v>UCSC</v>
      </c>
      <c r="E12486" s="1" t="str">
        <f>HYPERLINK("http://www.ncbi.nlm.nih.gov/gene/?term=KIF5A","NCBI")</f>
        <v>NCBI</v>
      </c>
      <c r="F12486">
        <v>0.37</v>
      </c>
      <c r="G12486">
        <v>0.5</v>
      </c>
      <c r="H12486" s="1" t="str">
        <f>HYPERLINK("http://www.weizmann.ac.il/complex/compphys/software/geview/data/figures/205318_at.png","Figure")</f>
        <v>Figure</v>
      </c>
      <c r="I12486">
        <v>1.0900000000000001</v>
      </c>
      <c r="J12486">
        <v>0.76</v>
      </c>
      <c r="K12486">
        <v>0.92500000000000004</v>
      </c>
      <c r="L12486">
        <v>0.74</v>
      </c>
      <c r="M12486">
        <v>0.85</v>
      </c>
      <c r="N12486">
        <v>0.34</v>
      </c>
    </row>
    <row r="12487" spans="1:14" x14ac:dyDescent="0.25">
      <c r="A12487" t="s">
        <v>21453</v>
      </c>
      <c r="B12487" t="s">
        <v>21454</v>
      </c>
      <c r="C12487" s="1" t="str">
        <f>HYPERLINK("http://www.genecards.org/cgi-bin/carddisp.pl?gene=GGA3","GeneCards")</f>
        <v>GeneCards</v>
      </c>
      <c r="D12487" s="1" t="str">
        <f>HYPERLINK("http://genome-euro.ucsc.edu/cgi-bin/hgTracks?position=209411_s_at","UCSC")</f>
        <v>UCSC</v>
      </c>
      <c r="E12487" s="1" t="str">
        <f>HYPERLINK("http://www.ncbi.nlm.nih.gov/gene/?term=GGA3","NCBI")</f>
        <v>NCBI</v>
      </c>
      <c r="F12487">
        <v>0.37</v>
      </c>
      <c r="G12487">
        <v>0.5</v>
      </c>
      <c r="H12487" s="1" t="str">
        <f>HYPERLINK("http://www.weizmann.ac.il/complex/compphys/software/geview/data/figures/209411_s_at.png","Figure")</f>
        <v>Figure</v>
      </c>
      <c r="I12487">
        <v>0.97499999999999998</v>
      </c>
      <c r="J12487">
        <v>0.99</v>
      </c>
      <c r="K12487">
        <v>0.80800000000000005</v>
      </c>
      <c r="L12487">
        <v>0.4</v>
      </c>
      <c r="M12487">
        <v>0.82899999999999996</v>
      </c>
      <c r="N12487">
        <v>0.53</v>
      </c>
    </row>
    <row r="12488" spans="1:14" x14ac:dyDescent="0.25">
      <c r="A12488" t="s">
        <v>21455</v>
      </c>
      <c r="B12488" t="s">
        <v>5219</v>
      </c>
      <c r="C12488" s="1" t="str">
        <f>HYPERLINK("http://www.genecards.org/cgi-bin/carddisp.pl?gene=NCOR2","GeneCards")</f>
        <v>GeneCards</v>
      </c>
      <c r="D12488" s="1" t="str">
        <f>HYPERLINK("http://genome-euro.ucsc.edu/cgi-bin/hgTracks?position=215205_x_at","UCSC")</f>
        <v>UCSC</v>
      </c>
      <c r="E12488" s="1" t="str">
        <f>HYPERLINK("http://www.ncbi.nlm.nih.gov/gene/?term=NCOR2","NCBI")</f>
        <v>NCBI</v>
      </c>
      <c r="F12488">
        <v>0.37</v>
      </c>
      <c r="G12488">
        <v>0.5</v>
      </c>
      <c r="H12488" s="1" t="str">
        <f>HYPERLINK("http://www.weizmann.ac.il/complex/compphys/software/geview/data/figures/215205_x_at.png","Figure")</f>
        <v>Figure</v>
      </c>
      <c r="I12488">
        <v>1.19</v>
      </c>
      <c r="J12488">
        <v>0.34</v>
      </c>
      <c r="K12488">
        <v>1.1000000000000001</v>
      </c>
      <c r="L12488">
        <v>0.65</v>
      </c>
      <c r="M12488">
        <v>0.92300000000000004</v>
      </c>
      <c r="N12488">
        <v>0.75</v>
      </c>
    </row>
    <row r="12489" spans="1:14" x14ac:dyDescent="0.25">
      <c r="A12489" t="s">
        <v>21456</v>
      </c>
      <c r="B12489" t="s">
        <v>21457</v>
      </c>
      <c r="C12489" s="1" t="str">
        <f>HYPERLINK("http://www.genecards.org/cgi-bin/carddisp.pl?gene=PCID2","GeneCards")</f>
        <v>GeneCards</v>
      </c>
      <c r="D12489" s="1" t="str">
        <f>HYPERLINK("http://genome-euro.ucsc.edu/cgi-bin/hgTracks?position=219940_s_at","UCSC")</f>
        <v>UCSC</v>
      </c>
      <c r="E12489" s="1" t="str">
        <f>HYPERLINK("http://www.ncbi.nlm.nih.gov/gene/?term=PCID2","NCBI")</f>
        <v>NCBI</v>
      </c>
      <c r="F12489">
        <v>0.37</v>
      </c>
      <c r="G12489">
        <v>0.5</v>
      </c>
      <c r="H12489" s="1" t="str">
        <f>HYPERLINK("http://www.weizmann.ac.il/complex/compphys/software/geview/data/figures/219940_s_at.png","Figure")</f>
        <v>Figure</v>
      </c>
      <c r="I12489">
        <v>0.77800000000000002</v>
      </c>
      <c r="J12489">
        <v>0.33</v>
      </c>
      <c r="K12489">
        <v>0.89500000000000002</v>
      </c>
      <c r="L12489">
        <v>0.74</v>
      </c>
      <c r="M12489">
        <v>1.1499999999999999</v>
      </c>
      <c r="N12489">
        <v>0.66</v>
      </c>
    </row>
    <row r="12490" spans="1:14" x14ac:dyDescent="0.25">
      <c r="A12490" t="s">
        <v>21458</v>
      </c>
      <c r="B12490" t="s">
        <v>21459</v>
      </c>
      <c r="C12490" s="1" t="str">
        <f>HYPERLINK("http://www.genecards.org/cgi-bin/carddisp.pl?gene=KAT2B","GeneCards")</f>
        <v>GeneCards</v>
      </c>
      <c r="D12490" s="1" t="str">
        <f>HYPERLINK("http://genome-euro.ucsc.edu/cgi-bin/hgTracks?position=203845_at","UCSC")</f>
        <v>UCSC</v>
      </c>
      <c r="E12490" s="1" t="str">
        <f>HYPERLINK("http://www.ncbi.nlm.nih.gov/gene/?term=KAT2B","NCBI")</f>
        <v>NCBI</v>
      </c>
      <c r="F12490">
        <v>0.37</v>
      </c>
      <c r="G12490">
        <v>0.5</v>
      </c>
      <c r="H12490" s="1" t="str">
        <f>HYPERLINK("http://www.weizmann.ac.il/complex/compphys/software/geview/data/figures/203845_at.png","Figure")</f>
        <v>Figure</v>
      </c>
      <c r="I12490">
        <v>0.72499999999999998</v>
      </c>
      <c r="J12490">
        <v>0.35</v>
      </c>
      <c r="K12490">
        <v>0.92</v>
      </c>
      <c r="L12490">
        <v>0.91</v>
      </c>
      <c r="M12490">
        <v>1.27</v>
      </c>
      <c r="N12490">
        <v>0.51</v>
      </c>
    </row>
    <row r="12491" spans="1:14" x14ac:dyDescent="0.25">
      <c r="A12491" t="s">
        <v>21460</v>
      </c>
      <c r="B12491" t="s">
        <v>21461</v>
      </c>
      <c r="C12491" s="1" t="str">
        <f>HYPERLINK("http://www.genecards.org/cgi-bin/carddisp.pl?gene=ENTPD2","GeneCards")</f>
        <v>GeneCards</v>
      </c>
      <c r="D12491" s="1" t="str">
        <f>HYPERLINK("http://genome-euro.ucsc.edu/cgi-bin/hgTracks?position=207372_s_at","UCSC")</f>
        <v>UCSC</v>
      </c>
      <c r="E12491" s="1" t="str">
        <f>HYPERLINK("http://www.ncbi.nlm.nih.gov/gene/?term=ENTPD2","NCBI")</f>
        <v>NCBI</v>
      </c>
      <c r="F12491">
        <v>0.37</v>
      </c>
      <c r="G12491">
        <v>0.5</v>
      </c>
      <c r="H12491" s="1" t="str">
        <f>HYPERLINK("http://www.weizmann.ac.il/complex/compphys/software/geview/data/figures/207372_s_at.png","Figure")</f>
        <v>Figure</v>
      </c>
      <c r="I12491">
        <v>1.08</v>
      </c>
      <c r="J12491">
        <v>0.35</v>
      </c>
      <c r="K12491">
        <v>1.02</v>
      </c>
      <c r="L12491">
        <v>0.9</v>
      </c>
      <c r="M12491">
        <v>0.94299999999999995</v>
      </c>
      <c r="N12491">
        <v>0.52</v>
      </c>
    </row>
    <row r="12492" spans="1:14" x14ac:dyDescent="0.25">
      <c r="A12492" t="s">
        <v>21462</v>
      </c>
      <c r="B12492" t="s">
        <v>18866</v>
      </c>
      <c r="C12492" s="1" t="str">
        <f>HYPERLINK("http://www.genecards.org/cgi-bin/carddisp.pl?gene=TNPO1","GeneCards")</f>
        <v>GeneCards</v>
      </c>
      <c r="D12492" s="1" t="str">
        <f>HYPERLINK("http://genome-euro.ucsc.edu/cgi-bin/hgTracks?position=221829_s_at","UCSC")</f>
        <v>UCSC</v>
      </c>
      <c r="E12492" s="1" t="str">
        <f>HYPERLINK("http://www.ncbi.nlm.nih.gov/gene/?term=TNPO1","NCBI")</f>
        <v>NCBI</v>
      </c>
      <c r="F12492">
        <v>0.37</v>
      </c>
      <c r="G12492">
        <v>0.5</v>
      </c>
      <c r="H12492" s="1" t="str">
        <f>HYPERLINK("http://www.weizmann.ac.il/complex/compphys/software/geview/data/figures/221829_s_at.png","Figure")</f>
        <v>Figure</v>
      </c>
      <c r="I12492">
        <v>1.1599999999999999</v>
      </c>
      <c r="J12492">
        <v>0.74</v>
      </c>
      <c r="K12492">
        <v>0.88600000000000001</v>
      </c>
      <c r="L12492">
        <v>0.76</v>
      </c>
      <c r="M12492">
        <v>0.76700000000000002</v>
      </c>
      <c r="N12492">
        <v>0.34</v>
      </c>
    </row>
    <row r="12493" spans="1:14" x14ac:dyDescent="0.25">
      <c r="A12493" t="s">
        <v>21463</v>
      </c>
      <c r="B12493" t="s">
        <v>19074</v>
      </c>
      <c r="C12493" s="1" t="str">
        <f>HYPERLINK("http://www.genecards.org/cgi-bin/carddisp.pl?gene=NAT11","GeneCards")</f>
        <v>GeneCards</v>
      </c>
      <c r="D12493" s="1" t="str">
        <f>HYPERLINK("http://genome-euro.ucsc.edu/cgi-bin/hgTracks?position=222369_at","UCSC")</f>
        <v>UCSC</v>
      </c>
      <c r="E12493" s="1" t="str">
        <f>HYPERLINK("http://www.ncbi.nlm.nih.gov/gene/?term=NAT11","NCBI")</f>
        <v>NCBI</v>
      </c>
      <c r="F12493">
        <v>0.37</v>
      </c>
      <c r="G12493">
        <v>0.5</v>
      </c>
      <c r="H12493" s="1" t="str">
        <f>HYPERLINK("http://www.weizmann.ac.il/complex/compphys/software/geview/data/figures/222369_at.png","Figure")</f>
        <v>Figure</v>
      </c>
      <c r="I12493">
        <v>1</v>
      </c>
      <c r="J12493">
        <v>1</v>
      </c>
      <c r="K12493">
        <v>1.04</v>
      </c>
      <c r="L12493">
        <v>0.43</v>
      </c>
      <c r="M12493">
        <v>1.04</v>
      </c>
      <c r="N12493">
        <v>0.49</v>
      </c>
    </row>
    <row r="12494" spans="1:14" x14ac:dyDescent="0.25">
      <c r="A12494" t="s">
        <v>21464</v>
      </c>
      <c r="B12494" t="s">
        <v>21465</v>
      </c>
      <c r="C12494" s="1" t="str">
        <f>HYPERLINK("http://www.genecards.org/cgi-bin/carddisp.pl?gene=DHRS1","GeneCards")</f>
        <v>GeneCards</v>
      </c>
      <c r="D12494" s="1" t="str">
        <f>HYPERLINK("http://genome-euro.ucsc.edu/cgi-bin/hgTracks?position=213279_at","UCSC")</f>
        <v>UCSC</v>
      </c>
      <c r="E12494" s="1" t="str">
        <f>HYPERLINK("http://www.ncbi.nlm.nih.gov/gene/?term=DHRS1","NCBI")</f>
        <v>NCBI</v>
      </c>
      <c r="F12494">
        <v>0.37</v>
      </c>
      <c r="G12494">
        <v>0.5</v>
      </c>
      <c r="H12494" s="1" t="str">
        <f>HYPERLINK("http://www.weizmann.ac.il/complex/compphys/software/geview/data/figures/213279_at.png","Figure")</f>
        <v>Figure</v>
      </c>
      <c r="I12494">
        <v>0.89300000000000002</v>
      </c>
      <c r="J12494">
        <v>0.49</v>
      </c>
      <c r="K12494">
        <v>1.02</v>
      </c>
      <c r="L12494">
        <v>0.98</v>
      </c>
      <c r="M12494">
        <v>1.1399999999999999</v>
      </c>
      <c r="N12494">
        <v>0.36</v>
      </c>
    </row>
    <row r="12495" spans="1:14" x14ac:dyDescent="0.25">
      <c r="A12495" t="s">
        <v>21466</v>
      </c>
      <c r="B12495" t="s">
        <v>12553</v>
      </c>
      <c r="C12495" s="1" t="str">
        <f>HYPERLINK("http://www.genecards.org/cgi-bin/carddisp.pl?gene=EHD2","GeneCards")</f>
        <v>GeneCards</v>
      </c>
      <c r="D12495" s="1" t="str">
        <f>HYPERLINK("http://genome-euro.ucsc.edu/cgi-bin/hgTracks?position=205341_at","UCSC")</f>
        <v>UCSC</v>
      </c>
      <c r="E12495" s="1" t="str">
        <f>HYPERLINK("http://www.ncbi.nlm.nih.gov/gene/?term=EHD2","NCBI")</f>
        <v>NCBI</v>
      </c>
      <c r="F12495">
        <v>0.37</v>
      </c>
      <c r="G12495">
        <v>0.5</v>
      </c>
      <c r="H12495" s="1" t="str">
        <f>HYPERLINK("http://www.weizmann.ac.il/complex/compphys/software/geview/data/figures/205341_at.png","Figure")</f>
        <v>Figure</v>
      </c>
      <c r="I12495">
        <v>1.0900000000000001</v>
      </c>
      <c r="J12495">
        <v>0.57999999999999996</v>
      </c>
      <c r="K12495">
        <v>1.1100000000000001</v>
      </c>
      <c r="L12495">
        <v>0.35</v>
      </c>
      <c r="M12495">
        <v>1.02</v>
      </c>
      <c r="N12495">
        <v>0.97</v>
      </c>
    </row>
    <row r="12496" spans="1:14" x14ac:dyDescent="0.25">
      <c r="A12496" t="s">
        <v>21467</v>
      </c>
      <c r="B12496" t="s">
        <v>21468</v>
      </c>
      <c r="C12496" s="1" t="str">
        <f>HYPERLINK("http://www.genecards.org/cgi-bin/carddisp.pl?gene=ZNF266","GeneCards")</f>
        <v>GeneCards</v>
      </c>
      <c r="D12496" s="1" t="str">
        <f>HYPERLINK("http://genome-euro.ucsc.edu/cgi-bin/hgTracks?position=214686_at","UCSC")</f>
        <v>UCSC</v>
      </c>
      <c r="E12496" s="1" t="str">
        <f>HYPERLINK("http://www.ncbi.nlm.nih.gov/gene/?term=ZNF266","NCBI")</f>
        <v>NCBI</v>
      </c>
      <c r="F12496">
        <v>0.37</v>
      </c>
      <c r="G12496">
        <v>0.5</v>
      </c>
      <c r="H12496" s="1" t="str">
        <f>HYPERLINK("http://www.weizmann.ac.il/complex/compphys/software/geview/data/figures/214686_at.png","Figure")</f>
        <v>Figure</v>
      </c>
      <c r="I12496">
        <v>1.26</v>
      </c>
      <c r="J12496">
        <v>0.57999999999999996</v>
      </c>
      <c r="K12496">
        <v>0.92400000000000004</v>
      </c>
      <c r="L12496">
        <v>0.92</v>
      </c>
      <c r="M12496">
        <v>0.73299999999999998</v>
      </c>
      <c r="N12496">
        <v>0.34</v>
      </c>
    </row>
    <row r="12497" spans="1:14" x14ac:dyDescent="0.25">
      <c r="A12497" t="s">
        <v>21469</v>
      </c>
      <c r="B12497" t="s">
        <v>21470</v>
      </c>
      <c r="C12497" s="1" t="str">
        <f>HYPERLINK("http://www.genecards.org/cgi-bin/carddisp.pl?gene=SELT","GeneCards")</f>
        <v>GeneCards</v>
      </c>
      <c r="D12497" s="1" t="str">
        <f>HYPERLINK("http://genome-euro.ucsc.edu/cgi-bin/hgTracks?position=217811_at","UCSC")</f>
        <v>UCSC</v>
      </c>
      <c r="E12497" s="1" t="str">
        <f>HYPERLINK("http://www.ncbi.nlm.nih.gov/gene/?term=SELT","NCBI")</f>
        <v>NCBI</v>
      </c>
      <c r="F12497">
        <v>0.37</v>
      </c>
      <c r="G12497">
        <v>0.5</v>
      </c>
      <c r="H12497" s="1" t="str">
        <f>HYPERLINK("http://www.weizmann.ac.il/complex/compphys/software/geview/data/figures/217811_at.png","Figure")</f>
        <v>Figure</v>
      </c>
      <c r="I12497">
        <v>1.27</v>
      </c>
      <c r="J12497">
        <v>0.42</v>
      </c>
      <c r="K12497">
        <v>1.01</v>
      </c>
      <c r="L12497">
        <v>1</v>
      </c>
      <c r="M12497">
        <v>0.79900000000000004</v>
      </c>
      <c r="N12497">
        <v>0.41</v>
      </c>
    </row>
    <row r="12498" spans="1:14" x14ac:dyDescent="0.25">
      <c r="A12498" t="s">
        <v>21471</v>
      </c>
      <c r="B12498" t="s">
        <v>1511</v>
      </c>
      <c r="C12498" s="1" t="str">
        <f>HYPERLINK("http://www.genecards.org/cgi-bin/carddisp.pl?gene=H3F3A /// H3F3B /// LOC440926","GeneCards")</f>
        <v>GeneCards</v>
      </c>
      <c r="D12498" s="1" t="str">
        <f>HYPERLINK("http://genome-euro.ucsc.edu/cgi-bin/hgTracks?position=200080_s_at","UCSC")</f>
        <v>UCSC</v>
      </c>
      <c r="E12498" s="1" t="str">
        <f>HYPERLINK("http://www.ncbi.nlm.nih.gov/gene/?term=H3F3A /// H3F3B /// LOC440926","NCBI")</f>
        <v>NCBI</v>
      </c>
      <c r="F12498">
        <v>0.37</v>
      </c>
      <c r="G12498">
        <v>0.5</v>
      </c>
      <c r="H12498" s="1" t="str">
        <f>HYPERLINK("http://www.weizmann.ac.il/complex/compphys/software/geview/data/figures/200080_s_at.png","Figure")</f>
        <v>Figure</v>
      </c>
      <c r="I12498">
        <v>1.21</v>
      </c>
      <c r="J12498">
        <v>0.37</v>
      </c>
      <c r="K12498">
        <v>1.1399999999999999</v>
      </c>
      <c r="L12498">
        <v>0.52</v>
      </c>
      <c r="M12498">
        <v>0.94199999999999995</v>
      </c>
      <c r="N12498">
        <v>0.89</v>
      </c>
    </row>
    <row r="12499" spans="1:14" x14ac:dyDescent="0.25">
      <c r="A12499" t="s">
        <v>21472</v>
      </c>
      <c r="B12499" t="s">
        <v>3437</v>
      </c>
      <c r="C12499" s="1" t="str">
        <f>HYPERLINK("http://www.genecards.org/cgi-bin/carddisp.pl?gene=IGHG1","GeneCards")</f>
        <v>GeneCards</v>
      </c>
      <c r="D12499" s="1" t="str">
        <f>HYPERLINK("http://genome-euro.ucsc.edu/cgi-bin/hgTracks?position=217039_x_at","UCSC")</f>
        <v>UCSC</v>
      </c>
      <c r="E12499" s="1" t="str">
        <f>HYPERLINK("http://www.ncbi.nlm.nih.gov/gene/?term=IGHG1","NCBI")</f>
        <v>NCBI</v>
      </c>
      <c r="F12499">
        <v>0.37</v>
      </c>
      <c r="G12499">
        <v>0.5</v>
      </c>
      <c r="H12499" s="1" t="str">
        <f>HYPERLINK("http://www.weizmann.ac.il/complex/compphys/software/geview/data/figures/217039_x_at.png","Figure")</f>
        <v>Figure</v>
      </c>
      <c r="I12499">
        <v>1.2</v>
      </c>
      <c r="J12499">
        <v>0.35</v>
      </c>
      <c r="K12499">
        <v>1.1200000000000001</v>
      </c>
      <c r="L12499">
        <v>0.57999999999999996</v>
      </c>
      <c r="M12499">
        <v>0.93300000000000005</v>
      </c>
      <c r="N12499">
        <v>0.82</v>
      </c>
    </row>
    <row r="12500" spans="1:14" x14ac:dyDescent="0.25">
      <c r="A12500" t="s">
        <v>21473</v>
      </c>
      <c r="B12500" t="s">
        <v>21474</v>
      </c>
      <c r="C12500" s="1" t="str">
        <f>HYPERLINK("http://www.genecards.org/cgi-bin/carddisp.pl?gene=ECH1","GeneCards")</f>
        <v>GeneCards</v>
      </c>
      <c r="D12500" s="1" t="str">
        <f>HYPERLINK("http://genome-euro.ucsc.edu/cgi-bin/hgTracks?position=200789_at","UCSC")</f>
        <v>UCSC</v>
      </c>
      <c r="E12500" s="1" t="str">
        <f>HYPERLINK("http://www.ncbi.nlm.nih.gov/gene/?term=ECH1","NCBI")</f>
        <v>NCBI</v>
      </c>
      <c r="F12500">
        <v>0.37</v>
      </c>
      <c r="G12500">
        <v>0.5</v>
      </c>
      <c r="H12500" s="1" t="str">
        <f>HYPERLINK("http://www.weizmann.ac.il/complex/compphys/software/geview/data/figures/200789_at.png","Figure")</f>
        <v>Figure</v>
      </c>
      <c r="I12500">
        <v>1.07</v>
      </c>
      <c r="J12500">
        <v>0.91</v>
      </c>
      <c r="K12500">
        <v>1.22</v>
      </c>
      <c r="L12500">
        <v>0.36</v>
      </c>
      <c r="M12500">
        <v>1.1499999999999999</v>
      </c>
      <c r="N12500">
        <v>0.65</v>
      </c>
    </row>
    <row r="12501" spans="1:14" x14ac:dyDescent="0.25">
      <c r="A12501" t="s">
        <v>21475</v>
      </c>
      <c r="B12501" t="s">
        <v>21476</v>
      </c>
      <c r="C12501" s="1" t="str">
        <f>HYPERLINK("http://www.genecards.org/cgi-bin/carddisp.pl?gene=CLDN5","GeneCards")</f>
        <v>GeneCards</v>
      </c>
      <c r="D12501" s="1" t="str">
        <f>HYPERLINK("http://genome-euro.ucsc.edu/cgi-bin/hgTracks?position=204482_at","UCSC")</f>
        <v>UCSC</v>
      </c>
      <c r="E12501" s="1" t="str">
        <f>HYPERLINK("http://www.ncbi.nlm.nih.gov/gene/?term=CLDN5","NCBI")</f>
        <v>NCBI</v>
      </c>
      <c r="F12501">
        <v>0.37</v>
      </c>
      <c r="G12501">
        <v>0.5</v>
      </c>
      <c r="H12501" s="1" t="str">
        <f>HYPERLINK("http://www.weizmann.ac.il/complex/compphys/software/geview/data/figures/204482_at.png","Figure")</f>
        <v>Figure</v>
      </c>
      <c r="I12501">
        <v>1.19</v>
      </c>
      <c r="J12501">
        <v>0.35</v>
      </c>
      <c r="K12501">
        <v>1.1000000000000001</v>
      </c>
      <c r="L12501">
        <v>0.61</v>
      </c>
      <c r="M12501">
        <v>0.93100000000000005</v>
      </c>
      <c r="N12501">
        <v>0.8</v>
      </c>
    </row>
    <row r="12502" spans="1:14" x14ac:dyDescent="0.25">
      <c r="A12502" t="s">
        <v>21477</v>
      </c>
      <c r="B12502" t="s">
        <v>16796</v>
      </c>
      <c r="C12502" s="1" t="str">
        <f>HYPERLINK("http://www.genecards.org/cgi-bin/carddisp.pl?gene=BTF3","GeneCards")</f>
        <v>GeneCards</v>
      </c>
      <c r="D12502" s="1" t="str">
        <f>HYPERLINK("http://genome-euro.ucsc.edu/cgi-bin/hgTracks?position=211939_x_at","UCSC")</f>
        <v>UCSC</v>
      </c>
      <c r="E12502" s="1" t="str">
        <f>HYPERLINK("http://www.ncbi.nlm.nih.gov/gene/?term=BTF3","NCBI")</f>
        <v>NCBI</v>
      </c>
      <c r="F12502">
        <v>0.37</v>
      </c>
      <c r="G12502">
        <v>0.5</v>
      </c>
      <c r="H12502" s="1" t="str">
        <f>HYPERLINK("http://www.weizmann.ac.il/complex/compphys/software/geview/data/figures/211939_x_at.png","Figure")</f>
        <v>Figure</v>
      </c>
      <c r="I12502">
        <v>0.96299999999999997</v>
      </c>
      <c r="J12502">
        <v>0.99</v>
      </c>
      <c r="K12502">
        <v>1.32</v>
      </c>
      <c r="L12502">
        <v>0.48</v>
      </c>
      <c r="M12502">
        <v>1.37</v>
      </c>
      <c r="N12502">
        <v>0.44</v>
      </c>
    </row>
    <row r="12503" spans="1:14" x14ac:dyDescent="0.25">
      <c r="A12503" t="s">
        <v>21478</v>
      </c>
      <c r="B12503" t="s">
        <v>21479</v>
      </c>
      <c r="C12503" s="1" t="str">
        <f>HYPERLINK("http://www.genecards.org/cgi-bin/carddisp.pl?gene=NT5DC3","GeneCards")</f>
        <v>GeneCards</v>
      </c>
      <c r="D12503" s="1" t="str">
        <f>HYPERLINK("http://genome-euro.ucsc.edu/cgi-bin/hgTracks?position=218786_at","UCSC")</f>
        <v>UCSC</v>
      </c>
      <c r="E12503" s="1" t="str">
        <f>HYPERLINK("http://www.ncbi.nlm.nih.gov/gene/?term=NT5DC3","NCBI")</f>
        <v>NCBI</v>
      </c>
      <c r="F12503">
        <v>0.37</v>
      </c>
      <c r="G12503">
        <v>0.5</v>
      </c>
      <c r="H12503" s="1" t="str">
        <f>HYPERLINK("http://www.weizmann.ac.il/complex/compphys/software/geview/data/figures/218786_at.png","Figure")</f>
        <v>Figure</v>
      </c>
      <c r="I12503">
        <v>1.1200000000000001</v>
      </c>
      <c r="J12503">
        <v>0.7</v>
      </c>
      <c r="K12503">
        <v>1.2</v>
      </c>
      <c r="L12503">
        <v>0.34</v>
      </c>
      <c r="M12503">
        <v>1.07</v>
      </c>
      <c r="N12503">
        <v>0.87</v>
      </c>
    </row>
    <row r="12504" spans="1:14" x14ac:dyDescent="0.25">
      <c r="A12504" t="s">
        <v>21480</v>
      </c>
      <c r="B12504" t="s">
        <v>21481</v>
      </c>
      <c r="C12504" s="1" t="str">
        <f>HYPERLINK("http://www.genecards.org/cgi-bin/carddisp.pl?gene=RPS8","GeneCards")</f>
        <v>GeneCards</v>
      </c>
      <c r="D12504" s="1" t="str">
        <f>HYPERLINK("http://genome-euro.ucsc.edu/cgi-bin/hgTracks?position=200858_s_at","UCSC")</f>
        <v>UCSC</v>
      </c>
      <c r="E12504" s="1" t="str">
        <f>HYPERLINK("http://www.ncbi.nlm.nih.gov/gene/?term=RPS8","NCBI")</f>
        <v>NCBI</v>
      </c>
      <c r="F12504">
        <v>0.37</v>
      </c>
      <c r="G12504">
        <v>0.5</v>
      </c>
      <c r="H12504" s="1" t="str">
        <f>HYPERLINK("http://www.weizmann.ac.il/complex/compphys/software/geview/data/figures/200858_s_at.png","Figure")</f>
        <v>Figure</v>
      </c>
      <c r="I12504">
        <v>0.77600000000000002</v>
      </c>
      <c r="J12504">
        <v>0.44</v>
      </c>
      <c r="K12504">
        <v>1</v>
      </c>
      <c r="L12504">
        <v>1</v>
      </c>
      <c r="M12504">
        <v>1.29</v>
      </c>
      <c r="N12504">
        <v>0.39</v>
      </c>
    </row>
    <row r="12505" spans="1:14" x14ac:dyDescent="0.25">
      <c r="A12505" t="s">
        <v>21482</v>
      </c>
      <c r="B12505" t="s">
        <v>21483</v>
      </c>
      <c r="C12505" s="1" t="str">
        <f>HYPERLINK("http://www.genecards.org/cgi-bin/carddisp.pl?gene=RND1","GeneCards")</f>
        <v>GeneCards</v>
      </c>
      <c r="D12505" s="1" t="str">
        <f>HYPERLINK("http://genome-euro.ucsc.edu/cgi-bin/hgTracks?position=210056_at","UCSC")</f>
        <v>UCSC</v>
      </c>
      <c r="E12505" s="1" t="str">
        <f>HYPERLINK("http://www.ncbi.nlm.nih.gov/gene/?term=RND1","NCBI")</f>
        <v>NCBI</v>
      </c>
      <c r="F12505">
        <v>0.37</v>
      </c>
      <c r="G12505">
        <v>0.5</v>
      </c>
      <c r="H12505" s="1" t="str">
        <f>HYPERLINK("http://www.weizmann.ac.il/complex/compphys/software/geview/data/figures/210056_at.png","Figure")</f>
        <v>Figure</v>
      </c>
      <c r="I12505">
        <v>1.05</v>
      </c>
      <c r="J12505">
        <v>0.34</v>
      </c>
      <c r="K12505">
        <v>1.02</v>
      </c>
      <c r="L12505">
        <v>0.85</v>
      </c>
      <c r="M12505">
        <v>0.96899999999999997</v>
      </c>
      <c r="N12505">
        <v>0.56000000000000005</v>
      </c>
    </row>
    <row r="12506" spans="1:14" x14ac:dyDescent="0.25">
      <c r="A12506" t="s">
        <v>21484</v>
      </c>
      <c r="B12506" t="s">
        <v>21485</v>
      </c>
      <c r="C12506" s="1" t="str">
        <f>HYPERLINK("http://www.genecards.org/cgi-bin/carddisp.pl?gene=C6orf106","GeneCards")</f>
        <v>GeneCards</v>
      </c>
      <c r="D12506" s="1" t="str">
        <f>HYPERLINK("http://genome-euro.ucsc.edu/cgi-bin/hgTracks?position=205457_at","UCSC")</f>
        <v>UCSC</v>
      </c>
      <c r="E12506" s="1" t="str">
        <f>HYPERLINK("http://www.ncbi.nlm.nih.gov/gene/?term=C6orf106","NCBI")</f>
        <v>NCBI</v>
      </c>
      <c r="F12506">
        <v>0.37</v>
      </c>
      <c r="G12506">
        <v>0.5</v>
      </c>
      <c r="H12506" s="1" t="str">
        <f>HYPERLINK("http://www.weizmann.ac.il/complex/compphys/software/geview/data/figures/205457_at.png","Figure")</f>
        <v>Figure</v>
      </c>
      <c r="I12506">
        <v>0.97799999999999998</v>
      </c>
      <c r="J12506">
        <v>0.97</v>
      </c>
      <c r="K12506">
        <v>0.89100000000000001</v>
      </c>
      <c r="L12506">
        <v>0.38</v>
      </c>
      <c r="M12506">
        <v>0.91200000000000003</v>
      </c>
      <c r="N12506">
        <v>0.56999999999999995</v>
      </c>
    </row>
    <row r="12507" spans="1:14" x14ac:dyDescent="0.25">
      <c r="A12507" t="s">
        <v>21486</v>
      </c>
      <c r="B12507" t="s">
        <v>18212</v>
      </c>
      <c r="C12507" s="1" t="str">
        <f>HYPERLINK("http://www.genecards.org/cgi-bin/carddisp.pl?gene=ZNF200","GeneCards")</f>
        <v>GeneCards</v>
      </c>
      <c r="D12507" s="1" t="str">
        <f>HYPERLINK("http://genome-euro.ucsc.edu/cgi-bin/hgTracks?position=207338_s_at","UCSC")</f>
        <v>UCSC</v>
      </c>
      <c r="E12507" s="1" t="str">
        <f>HYPERLINK("http://www.ncbi.nlm.nih.gov/gene/?term=ZNF200","NCBI")</f>
        <v>NCBI</v>
      </c>
      <c r="F12507">
        <v>0.37</v>
      </c>
      <c r="G12507">
        <v>0.5</v>
      </c>
      <c r="H12507" s="1" t="str">
        <f>HYPERLINK("http://www.weizmann.ac.il/complex/compphys/software/geview/data/figures/207338_s_at.png","Figure")</f>
        <v>Figure</v>
      </c>
      <c r="I12507">
        <v>0.81200000000000006</v>
      </c>
      <c r="J12507">
        <v>0.45</v>
      </c>
      <c r="K12507">
        <v>0.82599999999999996</v>
      </c>
      <c r="L12507">
        <v>0.42</v>
      </c>
      <c r="M12507">
        <v>1.02</v>
      </c>
      <c r="N12507">
        <v>0.99</v>
      </c>
    </row>
    <row r="12508" spans="1:14" x14ac:dyDescent="0.25">
      <c r="A12508" t="s">
        <v>21487</v>
      </c>
      <c r="B12508" t="s">
        <v>21488</v>
      </c>
      <c r="C12508" s="1" t="str">
        <f>HYPERLINK("http://www.genecards.org/cgi-bin/carddisp.pl?gene=STXBP6","GeneCards")</f>
        <v>GeneCards</v>
      </c>
      <c r="D12508" s="1" t="str">
        <f>HYPERLINK("http://genome-euro.ucsc.edu/cgi-bin/hgTracks?position=220995_at","UCSC")</f>
        <v>UCSC</v>
      </c>
      <c r="E12508" s="1" t="str">
        <f>HYPERLINK("http://www.ncbi.nlm.nih.gov/gene/?term=STXBP6","NCBI")</f>
        <v>NCBI</v>
      </c>
      <c r="F12508">
        <v>0.37</v>
      </c>
      <c r="G12508">
        <v>0.5</v>
      </c>
      <c r="H12508" s="1" t="str">
        <f>HYPERLINK("http://www.weizmann.ac.il/complex/compphys/software/geview/data/figures/220995_at.png","Figure")</f>
        <v>Figure</v>
      </c>
      <c r="I12508">
        <v>1</v>
      </c>
      <c r="J12508">
        <v>1</v>
      </c>
      <c r="K12508">
        <v>0.996</v>
      </c>
      <c r="L12508">
        <v>0.44</v>
      </c>
      <c r="M12508">
        <v>0.996</v>
      </c>
      <c r="N12508">
        <v>0.48</v>
      </c>
    </row>
    <row r="12509" spans="1:14" x14ac:dyDescent="0.25">
      <c r="A12509" t="s">
        <v>21489</v>
      </c>
      <c r="B12509" t="s">
        <v>19523</v>
      </c>
      <c r="C12509" s="1" t="str">
        <f>HYPERLINK("http://www.genecards.org/cgi-bin/carddisp.pl?gene=HDGFRP3","GeneCards")</f>
        <v>GeneCards</v>
      </c>
      <c r="D12509" s="1" t="str">
        <f>HYPERLINK("http://genome-euro.ucsc.edu/cgi-bin/hgTracks?position=216693_x_at","UCSC")</f>
        <v>UCSC</v>
      </c>
      <c r="E12509" s="1" t="str">
        <f>HYPERLINK("http://www.ncbi.nlm.nih.gov/gene/?term=HDGFRP3","NCBI")</f>
        <v>NCBI</v>
      </c>
      <c r="F12509">
        <v>0.37</v>
      </c>
      <c r="G12509">
        <v>0.5</v>
      </c>
      <c r="H12509" s="1" t="str">
        <f>HYPERLINK("http://www.weizmann.ac.il/complex/compphys/software/geview/data/figures/216693_x_at.png","Figure")</f>
        <v>Figure</v>
      </c>
      <c r="I12509">
        <v>0.746</v>
      </c>
      <c r="J12509">
        <v>0.36</v>
      </c>
      <c r="K12509">
        <v>0.93600000000000005</v>
      </c>
      <c r="L12509">
        <v>0.93</v>
      </c>
      <c r="M12509">
        <v>1.25</v>
      </c>
      <c r="N12509">
        <v>0.49</v>
      </c>
    </row>
    <row r="12510" spans="1:14" x14ac:dyDescent="0.25">
      <c r="A12510" t="s">
        <v>21490</v>
      </c>
      <c r="B12510" t="s">
        <v>21491</v>
      </c>
      <c r="C12510" s="1" t="str">
        <f>HYPERLINK("http://www.genecards.org/cgi-bin/carddisp.pl?gene=PITPNA","GeneCards")</f>
        <v>GeneCards</v>
      </c>
      <c r="D12510" s="1" t="str">
        <f>HYPERLINK("http://genome-euro.ucsc.edu/cgi-bin/hgTracks?position=201190_s_at","UCSC")</f>
        <v>UCSC</v>
      </c>
      <c r="E12510" s="1" t="str">
        <f>HYPERLINK("http://www.ncbi.nlm.nih.gov/gene/?term=PITPNA","NCBI")</f>
        <v>NCBI</v>
      </c>
      <c r="F12510">
        <v>0.37</v>
      </c>
      <c r="G12510">
        <v>0.5</v>
      </c>
      <c r="H12510" s="1" t="str">
        <f>HYPERLINK("http://www.weizmann.ac.il/complex/compphys/software/geview/data/figures/201190_s_at.png","Figure")</f>
        <v>Figure</v>
      </c>
      <c r="I12510">
        <v>1.18</v>
      </c>
      <c r="J12510">
        <v>0.68</v>
      </c>
      <c r="K12510">
        <v>1.29</v>
      </c>
      <c r="L12510">
        <v>0.34</v>
      </c>
      <c r="M12510">
        <v>1.0900000000000001</v>
      </c>
      <c r="N12510">
        <v>0.89</v>
      </c>
    </row>
    <row r="12511" spans="1:14" x14ac:dyDescent="0.25">
      <c r="A12511" t="s">
        <v>21492</v>
      </c>
      <c r="B12511" t="s">
        <v>17249</v>
      </c>
      <c r="C12511" s="1" t="str">
        <f>HYPERLINK("http://www.genecards.org/cgi-bin/carddisp.pl?gene=GYPB","GeneCards")</f>
        <v>GeneCards</v>
      </c>
      <c r="D12511" s="1" t="str">
        <f>HYPERLINK("http://genome-euro.ucsc.edu/cgi-bin/hgTracks?position=216398_at","UCSC")</f>
        <v>UCSC</v>
      </c>
      <c r="E12511" s="1" t="str">
        <f>HYPERLINK("http://www.ncbi.nlm.nih.gov/gene/?term=GYPB","NCBI")</f>
        <v>NCBI</v>
      </c>
      <c r="F12511">
        <v>0.37</v>
      </c>
      <c r="G12511">
        <v>0.5</v>
      </c>
      <c r="H12511" s="1" t="str">
        <f>HYPERLINK("http://www.weizmann.ac.il/complex/compphys/software/geview/data/figures/216398_at.png","Figure")</f>
        <v>Figure</v>
      </c>
      <c r="I12511">
        <v>1.17</v>
      </c>
      <c r="J12511">
        <v>0.35</v>
      </c>
      <c r="K12511">
        <v>1.1000000000000001</v>
      </c>
      <c r="L12511">
        <v>0.59</v>
      </c>
      <c r="M12511">
        <v>0.94</v>
      </c>
      <c r="N12511">
        <v>0.82</v>
      </c>
    </row>
    <row r="12512" spans="1:14" x14ac:dyDescent="0.25">
      <c r="A12512" t="s">
        <v>21493</v>
      </c>
      <c r="B12512" t="s">
        <v>2340</v>
      </c>
      <c r="C12512" s="1" t="str">
        <f>HYPERLINK("http://www.genecards.org/cgi-bin/carddisp.pl?gene=STX2","GeneCards")</f>
        <v>GeneCards</v>
      </c>
      <c r="D12512" s="1" t="str">
        <f>HYPERLINK("http://genome-euro.ucsc.edu/cgi-bin/hgTracks?position=207346_at","UCSC")</f>
        <v>UCSC</v>
      </c>
      <c r="E12512" s="1" t="str">
        <f>HYPERLINK("http://www.ncbi.nlm.nih.gov/gene/?term=STX2","NCBI")</f>
        <v>NCBI</v>
      </c>
      <c r="F12512">
        <v>0.37</v>
      </c>
      <c r="G12512">
        <v>0.5</v>
      </c>
      <c r="H12512" s="1" t="str">
        <f>HYPERLINK("http://www.weizmann.ac.il/complex/compphys/software/geview/data/figures/207346_at.png","Figure")</f>
        <v>Figure</v>
      </c>
      <c r="I12512">
        <v>1.08</v>
      </c>
      <c r="J12512">
        <v>0.37</v>
      </c>
      <c r="K12512">
        <v>1.05</v>
      </c>
      <c r="L12512">
        <v>0.52</v>
      </c>
      <c r="M12512">
        <v>0.97799999999999998</v>
      </c>
      <c r="N12512">
        <v>0.9</v>
      </c>
    </row>
    <row r="12513" spans="1:14" x14ac:dyDescent="0.25">
      <c r="A12513" t="s">
        <v>21494</v>
      </c>
      <c r="B12513" t="s">
        <v>18731</v>
      </c>
      <c r="C12513" s="1" t="str">
        <f>HYPERLINK("http://www.genecards.org/cgi-bin/carddisp.pl?gene=HNRNPA3 /// HNRNPA3P1","GeneCards")</f>
        <v>GeneCards</v>
      </c>
      <c r="D12513" s="1" t="str">
        <f>HYPERLINK("http://genome-euro.ucsc.edu/cgi-bin/hgTracks?position=211931_s_at","UCSC")</f>
        <v>UCSC</v>
      </c>
      <c r="E12513" s="1" t="str">
        <f>HYPERLINK("http://www.ncbi.nlm.nih.gov/gene/?term=HNRNPA3 /// HNRNPA3P1","NCBI")</f>
        <v>NCBI</v>
      </c>
      <c r="F12513">
        <v>0.37</v>
      </c>
      <c r="G12513">
        <v>0.5</v>
      </c>
      <c r="H12513" s="1" t="str">
        <f>HYPERLINK("http://www.weizmann.ac.il/complex/compphys/software/geview/data/figures/211931_s_at.png","Figure")</f>
        <v>Figure</v>
      </c>
      <c r="I12513">
        <v>1.2</v>
      </c>
      <c r="J12513">
        <v>0.34</v>
      </c>
      <c r="K12513">
        <v>1.07</v>
      </c>
      <c r="L12513">
        <v>0.8</v>
      </c>
      <c r="M12513">
        <v>0.89100000000000001</v>
      </c>
      <c r="N12513">
        <v>0.61</v>
      </c>
    </row>
    <row r="12514" spans="1:14" x14ac:dyDescent="0.25">
      <c r="A12514" t="s">
        <v>21495</v>
      </c>
      <c r="B12514" t="s">
        <v>21496</v>
      </c>
      <c r="C12514" s="1" t="str">
        <f>HYPERLINK("http://www.genecards.org/cgi-bin/carddisp.pl?gene=NOL11","GeneCards")</f>
        <v>GeneCards</v>
      </c>
      <c r="D12514" s="1" t="str">
        <f>HYPERLINK("http://genome-euro.ucsc.edu/cgi-bin/hgTracks?position=221970_s_at","UCSC")</f>
        <v>UCSC</v>
      </c>
      <c r="E12514" s="1" t="str">
        <f>HYPERLINK("http://www.ncbi.nlm.nih.gov/gene/?term=NOL11","NCBI")</f>
        <v>NCBI</v>
      </c>
      <c r="F12514">
        <v>0.37</v>
      </c>
      <c r="G12514">
        <v>0.5</v>
      </c>
      <c r="H12514" s="1" t="str">
        <f>HYPERLINK("http://www.weizmann.ac.il/complex/compphys/software/geview/data/figures/221970_s_at.png","Figure")</f>
        <v>Figure</v>
      </c>
      <c r="I12514">
        <v>1.1499999999999999</v>
      </c>
      <c r="J12514">
        <v>0.77</v>
      </c>
      <c r="K12514">
        <v>0.875</v>
      </c>
      <c r="L12514">
        <v>0.73</v>
      </c>
      <c r="M12514">
        <v>0.76100000000000001</v>
      </c>
      <c r="N12514">
        <v>0.34</v>
      </c>
    </row>
    <row r="12515" spans="1:14" x14ac:dyDescent="0.25">
      <c r="A12515" t="s">
        <v>21497</v>
      </c>
      <c r="B12515" t="s">
        <v>21498</v>
      </c>
      <c r="C12515" s="1" t="str">
        <f>HYPERLINK("http://www.genecards.org/cgi-bin/carddisp.pl?gene=KIAA1539","GeneCards")</f>
        <v>GeneCards</v>
      </c>
      <c r="D12515" s="1" t="str">
        <f>HYPERLINK("http://genome-euro.ucsc.edu/cgi-bin/hgTracks?position=211433_x_at","UCSC")</f>
        <v>UCSC</v>
      </c>
      <c r="E12515" s="1" t="str">
        <f>HYPERLINK("http://www.ncbi.nlm.nih.gov/gene/?term=KIAA1539","NCBI")</f>
        <v>NCBI</v>
      </c>
      <c r="F12515">
        <v>0.37</v>
      </c>
      <c r="G12515">
        <v>0.5</v>
      </c>
      <c r="H12515" s="1" t="str">
        <f>HYPERLINK("http://www.weizmann.ac.il/complex/compphys/software/geview/data/figures/211433_x_at.png","Figure")</f>
        <v>Figure</v>
      </c>
      <c r="I12515">
        <v>1.21</v>
      </c>
      <c r="J12515">
        <v>0.34</v>
      </c>
      <c r="K12515">
        <v>1.08</v>
      </c>
      <c r="L12515">
        <v>0.8</v>
      </c>
      <c r="M12515">
        <v>0.89</v>
      </c>
      <c r="N12515">
        <v>0.61</v>
      </c>
    </row>
    <row r="12516" spans="1:14" x14ac:dyDescent="0.25">
      <c r="A12516" t="s">
        <v>21499</v>
      </c>
      <c r="B12516" t="s">
        <v>21500</v>
      </c>
      <c r="C12516" s="1" t="str">
        <f>HYPERLINK("http://www.genecards.org/cgi-bin/carddisp.pl?gene=SMTN","GeneCards")</f>
        <v>GeneCards</v>
      </c>
      <c r="D12516" s="1" t="str">
        <f>HYPERLINK("http://genome-euro.ucsc.edu/cgi-bin/hgTracks?position=207390_s_at","UCSC")</f>
        <v>UCSC</v>
      </c>
      <c r="E12516" s="1" t="str">
        <f>HYPERLINK("http://www.ncbi.nlm.nih.gov/gene/?term=SMTN","NCBI")</f>
        <v>NCBI</v>
      </c>
      <c r="F12516">
        <v>0.37</v>
      </c>
      <c r="G12516">
        <v>0.5</v>
      </c>
      <c r="H12516" s="1" t="str">
        <f>HYPERLINK("http://www.weizmann.ac.il/complex/compphys/software/geview/data/figures/207390_s_at.png","Figure")</f>
        <v>Figure</v>
      </c>
      <c r="I12516">
        <v>0.83799999999999997</v>
      </c>
      <c r="J12516">
        <v>0.34</v>
      </c>
      <c r="K12516">
        <v>0.94499999999999995</v>
      </c>
      <c r="L12516">
        <v>0.86</v>
      </c>
      <c r="M12516">
        <v>1.1299999999999999</v>
      </c>
      <c r="N12516">
        <v>0.56000000000000005</v>
      </c>
    </row>
    <row r="12517" spans="1:14" x14ac:dyDescent="0.25">
      <c r="A12517" t="s">
        <v>21501</v>
      </c>
      <c r="B12517" t="s">
        <v>8999</v>
      </c>
      <c r="C12517" s="1" t="str">
        <f>HYPERLINK("http://www.genecards.org/cgi-bin/carddisp.pl?gene=CLTA","GeneCards")</f>
        <v>GeneCards</v>
      </c>
      <c r="D12517" s="1" t="str">
        <f>HYPERLINK("http://genome-euro.ucsc.edu/cgi-bin/hgTracks?position=216293_at","UCSC")</f>
        <v>UCSC</v>
      </c>
      <c r="E12517" s="1" t="str">
        <f>HYPERLINK("http://www.ncbi.nlm.nih.gov/gene/?term=CLTA","NCBI")</f>
        <v>NCBI</v>
      </c>
      <c r="F12517">
        <v>0.37</v>
      </c>
      <c r="G12517">
        <v>0.5</v>
      </c>
      <c r="H12517" s="1" t="str">
        <f>HYPERLINK("http://www.weizmann.ac.il/complex/compphys/software/geview/data/figures/216293_at.png","Figure")</f>
        <v>Figure</v>
      </c>
      <c r="I12517">
        <v>1.18</v>
      </c>
      <c r="J12517">
        <v>0.45</v>
      </c>
      <c r="K12517">
        <v>0.996</v>
      </c>
      <c r="L12517">
        <v>1</v>
      </c>
      <c r="M12517">
        <v>0.84299999999999997</v>
      </c>
      <c r="N12517">
        <v>0.39</v>
      </c>
    </row>
    <row r="12518" spans="1:14" x14ac:dyDescent="0.25">
      <c r="A12518" t="s">
        <v>21502</v>
      </c>
      <c r="B12518" t="s">
        <v>21503</v>
      </c>
      <c r="C12518" s="1" t="str">
        <f>HYPERLINK("http://www.genecards.org/cgi-bin/carddisp.pl?gene=HINT1","GeneCards")</f>
        <v>GeneCards</v>
      </c>
      <c r="D12518" s="1" t="str">
        <f>HYPERLINK("http://genome-euro.ucsc.edu/cgi-bin/hgTracks?position=207721_x_at","UCSC")</f>
        <v>UCSC</v>
      </c>
      <c r="E12518" s="1" t="str">
        <f>HYPERLINK("http://www.ncbi.nlm.nih.gov/gene/?term=HINT1","NCBI")</f>
        <v>NCBI</v>
      </c>
      <c r="F12518">
        <v>0.37</v>
      </c>
      <c r="G12518">
        <v>0.5</v>
      </c>
      <c r="H12518" s="1" t="str">
        <f>HYPERLINK("http://www.weizmann.ac.il/complex/compphys/software/geview/data/figures/207721_x_at.png","Figure")</f>
        <v>Figure</v>
      </c>
      <c r="I12518">
        <v>1.23</v>
      </c>
      <c r="J12518">
        <v>0.55000000000000004</v>
      </c>
      <c r="K12518">
        <v>1.27</v>
      </c>
      <c r="L12518">
        <v>0.36</v>
      </c>
      <c r="M12518">
        <v>1.03</v>
      </c>
      <c r="N12518">
        <v>0.98</v>
      </c>
    </row>
    <row r="12519" spans="1:14" x14ac:dyDescent="0.25">
      <c r="A12519" t="s">
        <v>21504</v>
      </c>
      <c r="B12519" t="s">
        <v>21505</v>
      </c>
      <c r="C12519" s="1" t="str">
        <f>HYPERLINK("http://www.genecards.org/cgi-bin/carddisp.pl?gene=VPS37B","GeneCards")</f>
        <v>GeneCards</v>
      </c>
      <c r="D12519" s="1" t="str">
        <f>HYPERLINK("http://genome-euro.ucsc.edu/cgi-bin/hgTracks?position=221704_s_at","UCSC")</f>
        <v>UCSC</v>
      </c>
      <c r="E12519" s="1" t="str">
        <f>HYPERLINK("http://www.ncbi.nlm.nih.gov/gene/?term=VPS37B","NCBI")</f>
        <v>NCBI</v>
      </c>
      <c r="F12519">
        <v>0.37</v>
      </c>
      <c r="G12519">
        <v>0.5</v>
      </c>
      <c r="H12519" s="1" t="str">
        <f>HYPERLINK("http://www.weizmann.ac.il/complex/compphys/software/geview/data/figures/221704_s_at.png","Figure")</f>
        <v>Figure</v>
      </c>
      <c r="I12519">
        <v>1.29</v>
      </c>
      <c r="J12519">
        <v>0.35</v>
      </c>
      <c r="K12519">
        <v>1.08</v>
      </c>
      <c r="L12519">
        <v>0.86</v>
      </c>
      <c r="M12519">
        <v>0.83799999999999997</v>
      </c>
      <c r="N12519">
        <v>0.55000000000000004</v>
      </c>
    </row>
    <row r="12520" spans="1:14" x14ac:dyDescent="0.25">
      <c r="A12520" t="s">
        <v>21506</v>
      </c>
      <c r="B12520" t="s">
        <v>21507</v>
      </c>
      <c r="C12520" s="1" t="str">
        <f>HYPERLINK("http://www.genecards.org/cgi-bin/carddisp.pl?gene=LIN7C","GeneCards")</f>
        <v>GeneCards</v>
      </c>
      <c r="D12520" s="1" t="str">
        <f>HYPERLINK("http://genome-euro.ucsc.edu/cgi-bin/hgTracks?position=221568_s_at","UCSC")</f>
        <v>UCSC</v>
      </c>
      <c r="E12520" s="1" t="str">
        <f>HYPERLINK("http://www.ncbi.nlm.nih.gov/gene/?term=LIN7C","NCBI")</f>
        <v>NCBI</v>
      </c>
      <c r="F12520">
        <v>0.37</v>
      </c>
      <c r="G12520">
        <v>0.5</v>
      </c>
      <c r="H12520" s="1" t="str">
        <f>HYPERLINK("http://www.weizmann.ac.il/complex/compphys/software/geview/data/figures/221568_s_at.png","Figure")</f>
        <v>Figure</v>
      </c>
      <c r="I12520">
        <v>0.71699999999999997</v>
      </c>
      <c r="J12520">
        <v>0.49</v>
      </c>
      <c r="K12520">
        <v>0.71599999999999997</v>
      </c>
      <c r="L12520">
        <v>0.39</v>
      </c>
      <c r="M12520">
        <v>0.998</v>
      </c>
      <c r="N12520">
        <v>1</v>
      </c>
    </row>
    <row r="12521" spans="1:14" x14ac:dyDescent="0.25">
      <c r="A12521" t="s">
        <v>21508</v>
      </c>
      <c r="B12521" t="s">
        <v>6314</v>
      </c>
      <c r="C12521" s="1" t="str">
        <f>HYPERLINK("http://www.genecards.org/cgi-bin/carddisp.pl?gene=TRAF3","GeneCards")</f>
        <v>GeneCards</v>
      </c>
      <c r="D12521" s="1" t="str">
        <f>HYPERLINK("http://genome-euro.ucsc.edu/cgi-bin/hgTracks?position=221571_at","UCSC")</f>
        <v>UCSC</v>
      </c>
      <c r="E12521" s="1" t="str">
        <f>HYPERLINK("http://www.ncbi.nlm.nih.gov/gene/?term=TRAF3","NCBI")</f>
        <v>NCBI</v>
      </c>
      <c r="F12521">
        <v>0.37</v>
      </c>
      <c r="G12521">
        <v>0.5</v>
      </c>
      <c r="H12521" s="1" t="str">
        <f>HYPERLINK("http://www.weizmann.ac.il/complex/compphys/software/geview/data/figures/221571_at.png","Figure")</f>
        <v>Figure</v>
      </c>
      <c r="I12521">
        <v>0.94499999999999995</v>
      </c>
      <c r="J12521">
        <v>0.97</v>
      </c>
      <c r="K12521">
        <v>0.76400000000000001</v>
      </c>
      <c r="L12521">
        <v>0.38</v>
      </c>
      <c r="M12521">
        <v>0.80800000000000005</v>
      </c>
      <c r="N12521">
        <v>0.57999999999999996</v>
      </c>
    </row>
    <row r="12522" spans="1:14" x14ac:dyDescent="0.25">
      <c r="A12522" t="s">
        <v>21509</v>
      </c>
      <c r="B12522" t="s">
        <v>21510</v>
      </c>
      <c r="C12522" s="1" t="str">
        <f>HYPERLINK("http://www.genecards.org/cgi-bin/carddisp.pl?gene=AP3S2","GeneCards")</f>
        <v>GeneCards</v>
      </c>
      <c r="D12522" s="1" t="str">
        <f>HYPERLINK("http://genome-euro.ucsc.edu/cgi-bin/hgTracks?position=202399_s_at","UCSC")</f>
        <v>UCSC</v>
      </c>
      <c r="E12522" s="1" t="str">
        <f>HYPERLINK("http://www.ncbi.nlm.nih.gov/gene/?term=AP3S2","NCBI")</f>
        <v>NCBI</v>
      </c>
      <c r="F12522">
        <v>0.37</v>
      </c>
      <c r="G12522">
        <v>0.5</v>
      </c>
      <c r="H12522" s="1" t="str">
        <f>HYPERLINK("http://www.weizmann.ac.il/complex/compphys/software/geview/data/figures/202399_s_at.png","Figure")</f>
        <v>Figure</v>
      </c>
      <c r="I12522">
        <v>1.1100000000000001</v>
      </c>
      <c r="J12522">
        <v>0.42</v>
      </c>
      <c r="K12522">
        <v>1.0900000000000001</v>
      </c>
      <c r="L12522">
        <v>0.45</v>
      </c>
      <c r="M12522">
        <v>0.98299999999999998</v>
      </c>
      <c r="N12522">
        <v>0.97</v>
      </c>
    </row>
    <row r="12523" spans="1:14" x14ac:dyDescent="0.25">
      <c r="A12523" t="s">
        <v>21511</v>
      </c>
      <c r="B12523" t="s">
        <v>21512</v>
      </c>
      <c r="C12523" s="1" t="str">
        <f>HYPERLINK("http://www.genecards.org/cgi-bin/carddisp.pl?gene=SERPING1","GeneCards")</f>
        <v>GeneCards</v>
      </c>
      <c r="D12523" s="1" t="str">
        <f>HYPERLINK("http://genome-euro.ucsc.edu/cgi-bin/hgTracks?position=200986_at","UCSC")</f>
        <v>UCSC</v>
      </c>
      <c r="E12523" s="1" t="str">
        <f>HYPERLINK("http://www.ncbi.nlm.nih.gov/gene/?term=SERPING1","NCBI")</f>
        <v>NCBI</v>
      </c>
      <c r="F12523">
        <v>0.37</v>
      </c>
      <c r="G12523">
        <v>0.5</v>
      </c>
      <c r="H12523" s="1" t="str">
        <f>HYPERLINK("http://www.weizmann.ac.il/complex/compphys/software/geview/data/figures/200986_at.png","Figure")</f>
        <v>Figure</v>
      </c>
      <c r="I12523">
        <v>0.91500000000000004</v>
      </c>
      <c r="J12523">
        <v>0.62</v>
      </c>
      <c r="K12523">
        <v>0.88900000000000001</v>
      </c>
      <c r="L12523">
        <v>0.35</v>
      </c>
      <c r="M12523">
        <v>0.97099999999999997</v>
      </c>
      <c r="N12523">
        <v>0.94</v>
      </c>
    </row>
    <row r="12524" spans="1:14" x14ac:dyDescent="0.25">
      <c r="A12524" t="s">
        <v>21513</v>
      </c>
      <c r="B12524" t="s">
        <v>17423</v>
      </c>
      <c r="C12524" s="1" t="str">
        <f>HYPERLINK("http://www.genecards.org/cgi-bin/carddisp.pl?gene=SNCA","GeneCards")</f>
        <v>GeneCards</v>
      </c>
      <c r="D12524" s="1" t="str">
        <f>HYPERLINK("http://genome-euro.ucsc.edu/cgi-bin/hgTracks?position=211546_x_at","UCSC")</f>
        <v>UCSC</v>
      </c>
      <c r="E12524" s="1" t="str">
        <f>HYPERLINK("http://www.ncbi.nlm.nih.gov/gene/?term=SNCA","NCBI")</f>
        <v>NCBI</v>
      </c>
      <c r="F12524">
        <v>0.37</v>
      </c>
      <c r="G12524">
        <v>0.5</v>
      </c>
      <c r="H12524" s="1" t="str">
        <f>HYPERLINK("http://www.weizmann.ac.il/complex/compphys/software/geview/data/figures/211546_x_at.png","Figure")</f>
        <v>Figure</v>
      </c>
      <c r="I12524">
        <v>1.21</v>
      </c>
      <c r="J12524">
        <v>0.36</v>
      </c>
      <c r="K12524">
        <v>1.05</v>
      </c>
      <c r="L12524">
        <v>0.92</v>
      </c>
      <c r="M12524">
        <v>0.86699999999999999</v>
      </c>
      <c r="N12524">
        <v>0.5</v>
      </c>
    </row>
    <row r="12525" spans="1:14" x14ac:dyDescent="0.25">
      <c r="A12525" t="s">
        <v>21514</v>
      </c>
      <c r="B12525" t="s">
        <v>21515</v>
      </c>
      <c r="C12525" s="1" t="str">
        <f>HYPERLINK("http://www.genecards.org/cgi-bin/carddisp.pl?gene=LOC100288442 /// LOC100289169 /// LOC728888 /// LOC729602 /// NPIPL2 /// NPIPL3 /// PDXDC2","GeneCards")</f>
        <v>GeneCards</v>
      </c>
      <c r="D12525" s="1" t="str">
        <f>HYPERLINK("http://genome-euro.ucsc.edu/cgi-bin/hgTracks?position=215920_s_at","UCSC")</f>
        <v>UCSC</v>
      </c>
      <c r="E12525" s="1" t="str">
        <f>HYPERLINK("http://www.ncbi.nlm.nih.gov/gene/?term=LOC100288442 /// LOC100289169 /// LOC728888 /// LOC729602 /// NPIPL2 /// NPIPL3 /// PDXDC2","NCBI")</f>
        <v>NCBI</v>
      </c>
      <c r="F12525">
        <v>0.37</v>
      </c>
      <c r="G12525">
        <v>0.5</v>
      </c>
      <c r="H12525" s="1" t="str">
        <f>HYPERLINK("http://www.weizmann.ac.il/complex/compphys/software/geview/data/figures/215920_s_at.png","Figure")</f>
        <v>Figure</v>
      </c>
      <c r="I12525">
        <v>1.04</v>
      </c>
      <c r="J12525">
        <v>0.85</v>
      </c>
      <c r="K12525">
        <v>0.94799999999999995</v>
      </c>
      <c r="L12525">
        <v>0.66</v>
      </c>
      <c r="M12525">
        <v>0.91300000000000003</v>
      </c>
      <c r="N12525">
        <v>0.36</v>
      </c>
    </row>
    <row r="12526" spans="1:14" x14ac:dyDescent="0.25">
      <c r="A12526" t="s">
        <v>21516</v>
      </c>
      <c r="B12526" t="s">
        <v>21517</v>
      </c>
      <c r="C12526" s="1" t="str">
        <f>HYPERLINK("http://www.genecards.org/cgi-bin/carddisp.pl?gene=PALB2","GeneCards")</f>
        <v>GeneCards</v>
      </c>
      <c r="D12526" s="1" t="str">
        <f>HYPERLINK("http://genome-euro.ucsc.edu/cgi-bin/hgTracks?position=219530_at","UCSC")</f>
        <v>UCSC</v>
      </c>
      <c r="E12526" s="1" t="str">
        <f>HYPERLINK("http://www.ncbi.nlm.nih.gov/gene/?term=PALB2","NCBI")</f>
        <v>NCBI</v>
      </c>
      <c r="F12526">
        <v>0.37</v>
      </c>
      <c r="G12526">
        <v>0.5</v>
      </c>
      <c r="H12526" s="1" t="str">
        <f>HYPERLINK("http://www.weizmann.ac.il/complex/compphys/software/geview/data/figures/219530_at.png","Figure")</f>
        <v>Figure</v>
      </c>
      <c r="I12526">
        <v>0.73599999999999999</v>
      </c>
      <c r="J12526">
        <v>0.34</v>
      </c>
      <c r="K12526">
        <v>0.87</v>
      </c>
      <c r="L12526">
        <v>0.73</v>
      </c>
      <c r="M12526">
        <v>1.18</v>
      </c>
      <c r="N12526">
        <v>0.68</v>
      </c>
    </row>
    <row r="12527" spans="1:14" x14ac:dyDescent="0.25">
      <c r="A12527" t="s">
        <v>21518</v>
      </c>
      <c r="B12527" t="s">
        <v>21519</v>
      </c>
      <c r="C12527" s="1" t="str">
        <f>HYPERLINK("http://www.genecards.org/cgi-bin/carddisp.pl?gene=SDC4","GeneCards")</f>
        <v>GeneCards</v>
      </c>
      <c r="D12527" s="1" t="str">
        <f>HYPERLINK("http://genome-euro.ucsc.edu/cgi-bin/hgTracks?position=202071_at","UCSC")</f>
        <v>UCSC</v>
      </c>
      <c r="E12527" s="1" t="str">
        <f>HYPERLINK("http://www.ncbi.nlm.nih.gov/gene/?term=SDC4","NCBI")</f>
        <v>NCBI</v>
      </c>
      <c r="F12527">
        <v>0.37</v>
      </c>
      <c r="G12527">
        <v>0.5</v>
      </c>
      <c r="H12527" s="1" t="str">
        <f>HYPERLINK("http://www.weizmann.ac.il/complex/compphys/software/geview/data/figures/202071_at.png","Figure")</f>
        <v>Figure</v>
      </c>
      <c r="I12527">
        <v>1.1000000000000001</v>
      </c>
      <c r="J12527">
        <v>0.4</v>
      </c>
      <c r="K12527">
        <v>1.07</v>
      </c>
      <c r="L12527">
        <v>0.48</v>
      </c>
      <c r="M12527">
        <v>0.97899999999999998</v>
      </c>
      <c r="N12527">
        <v>0.94</v>
      </c>
    </row>
    <row r="12528" spans="1:14" x14ac:dyDescent="0.25">
      <c r="A12528" t="s">
        <v>21520</v>
      </c>
      <c r="B12528" t="s">
        <v>2950</v>
      </c>
      <c r="C12528" s="1" t="str">
        <f>HYPERLINK("http://www.genecards.org/cgi-bin/carddisp.pl?gene=H6PD","GeneCards")</f>
        <v>GeneCards</v>
      </c>
      <c r="D12528" s="1" t="str">
        <f>HYPERLINK("http://genome-euro.ucsc.edu/cgi-bin/hgTracks?position=221892_at","UCSC")</f>
        <v>UCSC</v>
      </c>
      <c r="E12528" s="1" t="str">
        <f>HYPERLINK("http://www.ncbi.nlm.nih.gov/gene/?term=H6PD","NCBI")</f>
        <v>NCBI</v>
      </c>
      <c r="F12528">
        <v>0.37</v>
      </c>
      <c r="G12528">
        <v>0.5</v>
      </c>
      <c r="H12528" s="1" t="str">
        <f>HYPERLINK("http://www.weizmann.ac.il/complex/compphys/software/geview/data/figures/221892_at.png","Figure")</f>
        <v>Figure</v>
      </c>
      <c r="I12528">
        <v>1.1000000000000001</v>
      </c>
      <c r="J12528">
        <v>0.35</v>
      </c>
      <c r="K12528">
        <v>1.06</v>
      </c>
      <c r="L12528">
        <v>0.59</v>
      </c>
      <c r="M12528">
        <v>0.96499999999999997</v>
      </c>
      <c r="N12528">
        <v>0.82</v>
      </c>
    </row>
    <row r="12529" spans="1:14" x14ac:dyDescent="0.25">
      <c r="A12529" t="s">
        <v>21521</v>
      </c>
      <c r="B12529" t="s">
        <v>21522</v>
      </c>
      <c r="C12529" s="1" t="str">
        <f>HYPERLINK("http://www.genecards.org/cgi-bin/carddisp.pl?gene=MAP3K7IP1","GeneCards")</f>
        <v>GeneCards</v>
      </c>
      <c r="D12529" s="1" t="str">
        <f>HYPERLINK("http://genome-euro.ucsc.edu/cgi-bin/hgTracks?position=203901_at","UCSC")</f>
        <v>UCSC</v>
      </c>
      <c r="E12529" s="1" t="str">
        <f>HYPERLINK("http://www.ncbi.nlm.nih.gov/gene/?term=MAP3K7IP1","NCBI")</f>
        <v>NCBI</v>
      </c>
      <c r="F12529">
        <v>0.37</v>
      </c>
      <c r="G12529">
        <v>0.5</v>
      </c>
      <c r="H12529" s="1" t="str">
        <f>HYPERLINK("http://www.weizmann.ac.il/complex/compphys/software/geview/data/figures/203901_at.png","Figure")</f>
        <v>Figure</v>
      </c>
      <c r="I12529">
        <v>0.97099999999999997</v>
      </c>
      <c r="J12529">
        <v>0.71</v>
      </c>
      <c r="K12529">
        <v>1.02</v>
      </c>
      <c r="L12529">
        <v>0.8</v>
      </c>
      <c r="M12529">
        <v>1.05</v>
      </c>
      <c r="N12529">
        <v>0.34</v>
      </c>
    </row>
    <row r="12530" spans="1:14" x14ac:dyDescent="0.25">
      <c r="A12530" t="s">
        <v>21523</v>
      </c>
      <c r="B12530" t="s">
        <v>21524</v>
      </c>
      <c r="C12530" s="1" t="str">
        <f>HYPERLINK("http://www.genecards.org/cgi-bin/carddisp.pl?gene=RBBP6","GeneCards")</f>
        <v>GeneCards</v>
      </c>
      <c r="D12530" s="1" t="str">
        <f>HYPERLINK("http://genome-euro.ucsc.edu/cgi-bin/hgTracks?position=212783_at","UCSC")</f>
        <v>UCSC</v>
      </c>
      <c r="E12530" s="1" t="str">
        <f>HYPERLINK("http://www.ncbi.nlm.nih.gov/gene/?term=RBBP6","NCBI")</f>
        <v>NCBI</v>
      </c>
      <c r="F12530">
        <v>0.37</v>
      </c>
      <c r="G12530">
        <v>0.5</v>
      </c>
      <c r="H12530" s="1" t="str">
        <f>HYPERLINK("http://www.weizmann.ac.il/complex/compphys/software/geview/data/figures/212783_at.png","Figure")</f>
        <v>Figure</v>
      </c>
      <c r="I12530">
        <v>1.34</v>
      </c>
      <c r="J12530">
        <v>0.39</v>
      </c>
      <c r="K12530">
        <v>1.25</v>
      </c>
      <c r="L12530">
        <v>0.49</v>
      </c>
      <c r="M12530">
        <v>0.93300000000000005</v>
      </c>
      <c r="N12530">
        <v>0.94</v>
      </c>
    </row>
    <row r="12531" spans="1:14" x14ac:dyDescent="0.25">
      <c r="A12531" t="s">
        <v>21525</v>
      </c>
      <c r="B12531" t="s">
        <v>20299</v>
      </c>
      <c r="C12531" s="1" t="str">
        <f>HYPERLINK("http://www.genecards.org/cgi-bin/carddisp.pl?gene=AASS","GeneCards")</f>
        <v>GeneCards</v>
      </c>
      <c r="D12531" s="1" t="str">
        <f>HYPERLINK("http://genome-euro.ucsc.edu/cgi-bin/hgTracks?position=210852_s_at","UCSC")</f>
        <v>UCSC</v>
      </c>
      <c r="E12531" s="1" t="str">
        <f>HYPERLINK("http://www.ncbi.nlm.nih.gov/gene/?term=AASS","NCBI")</f>
        <v>NCBI</v>
      </c>
      <c r="F12531">
        <v>0.37</v>
      </c>
      <c r="G12531">
        <v>0.5</v>
      </c>
      <c r="H12531" s="1" t="str">
        <f>HYPERLINK("http://www.weizmann.ac.il/complex/compphys/software/geview/data/figures/210852_s_at.png","Figure")</f>
        <v>Figure</v>
      </c>
      <c r="I12531">
        <v>1.07</v>
      </c>
      <c r="J12531">
        <v>0.51</v>
      </c>
      <c r="K12531">
        <v>1.07</v>
      </c>
      <c r="L12531">
        <v>0.38</v>
      </c>
      <c r="M12531">
        <v>1</v>
      </c>
      <c r="N12531">
        <v>1</v>
      </c>
    </row>
    <row r="12532" spans="1:14" x14ac:dyDescent="0.25">
      <c r="A12532" t="s">
        <v>21526</v>
      </c>
      <c r="B12532" t="s">
        <v>21527</v>
      </c>
      <c r="C12532" s="1" t="str">
        <f>HYPERLINK("http://www.genecards.org/cgi-bin/carddisp.pl?gene=CLIP3","GeneCards")</f>
        <v>GeneCards</v>
      </c>
      <c r="D12532" s="1" t="str">
        <f>HYPERLINK("http://genome-euro.ucsc.edu/cgi-bin/hgTracks?position=212358_at","UCSC")</f>
        <v>UCSC</v>
      </c>
      <c r="E12532" s="1" t="str">
        <f>HYPERLINK("http://www.ncbi.nlm.nih.gov/gene/?term=CLIP3","NCBI")</f>
        <v>NCBI</v>
      </c>
      <c r="F12532">
        <v>0.37</v>
      </c>
      <c r="G12532">
        <v>0.5</v>
      </c>
      <c r="H12532" s="1" t="str">
        <f>HYPERLINK("http://www.weizmann.ac.il/complex/compphys/software/geview/data/figures/212358_at.png","Figure")</f>
        <v>Figure</v>
      </c>
      <c r="I12532">
        <v>1.18</v>
      </c>
      <c r="J12532">
        <v>0.34</v>
      </c>
      <c r="K12532">
        <v>1.06</v>
      </c>
      <c r="L12532">
        <v>0.83</v>
      </c>
      <c r="M12532">
        <v>0.89900000000000002</v>
      </c>
      <c r="N12532">
        <v>0.57999999999999996</v>
      </c>
    </row>
    <row r="12533" spans="1:14" x14ac:dyDescent="0.25">
      <c r="A12533" t="s">
        <v>21528</v>
      </c>
      <c r="B12533" t="s">
        <v>8479</v>
      </c>
      <c r="C12533" s="1" t="str">
        <f>HYPERLINK("http://www.genecards.org/cgi-bin/carddisp.pl?gene=ACSM3","GeneCards")</f>
        <v>GeneCards</v>
      </c>
      <c r="D12533" s="1" t="str">
        <f>HYPERLINK("http://genome-euro.ucsc.edu/cgi-bin/hgTracks?position=205942_s_at","UCSC")</f>
        <v>UCSC</v>
      </c>
      <c r="E12533" s="1" t="str">
        <f>HYPERLINK("http://www.ncbi.nlm.nih.gov/gene/?term=ACSM3","NCBI")</f>
        <v>NCBI</v>
      </c>
      <c r="F12533">
        <v>0.37</v>
      </c>
      <c r="G12533">
        <v>0.5</v>
      </c>
      <c r="H12533" s="1" t="str">
        <f>HYPERLINK("http://www.weizmann.ac.il/complex/compphys/software/geview/data/figures/205942_s_at.png","Figure")</f>
        <v>Figure</v>
      </c>
      <c r="I12533">
        <v>1.04</v>
      </c>
      <c r="J12533">
        <v>0.88</v>
      </c>
      <c r="K12533">
        <v>0.93500000000000005</v>
      </c>
      <c r="L12533">
        <v>0.62</v>
      </c>
      <c r="M12533">
        <v>0.89900000000000002</v>
      </c>
      <c r="N12533">
        <v>0.37</v>
      </c>
    </row>
    <row r="12534" spans="1:14" x14ac:dyDescent="0.25">
      <c r="A12534" t="s">
        <v>21529</v>
      </c>
      <c r="B12534" t="s">
        <v>21530</v>
      </c>
      <c r="C12534" s="1" t="str">
        <f>HYPERLINK("http://www.genecards.org/cgi-bin/carddisp.pl?gene=CUEDC1","GeneCards")</f>
        <v>GeneCards</v>
      </c>
      <c r="D12534" s="1" t="str">
        <f>HYPERLINK("http://genome-euro.ucsc.edu/cgi-bin/hgTracks?position=219468_s_at","UCSC")</f>
        <v>UCSC</v>
      </c>
      <c r="E12534" s="1" t="str">
        <f>HYPERLINK("http://www.ncbi.nlm.nih.gov/gene/?term=CUEDC1","NCBI")</f>
        <v>NCBI</v>
      </c>
      <c r="F12534">
        <v>0.37</v>
      </c>
      <c r="G12534">
        <v>0.5</v>
      </c>
      <c r="H12534" s="1" t="str">
        <f>HYPERLINK("http://www.weizmann.ac.il/complex/compphys/software/geview/data/figures/219468_s_at.png","Figure")</f>
        <v>Figure</v>
      </c>
      <c r="I12534">
        <v>1.03</v>
      </c>
      <c r="J12534">
        <v>0.96</v>
      </c>
      <c r="K12534">
        <v>1.1100000000000001</v>
      </c>
      <c r="L12534">
        <v>0.38</v>
      </c>
      <c r="M12534">
        <v>1.08</v>
      </c>
      <c r="N12534">
        <v>0.6</v>
      </c>
    </row>
    <row r="12535" spans="1:14" x14ac:dyDescent="0.25">
      <c r="A12535" t="s">
        <v>21531</v>
      </c>
      <c r="B12535" t="s">
        <v>1185</v>
      </c>
      <c r="C12535" s="1" t="str">
        <f>HYPERLINK("http://www.genecards.org/cgi-bin/carddisp.pl?gene=RAD17","GeneCards")</f>
        <v>GeneCards</v>
      </c>
      <c r="D12535" s="1" t="str">
        <f>HYPERLINK("http://genome-euro.ucsc.edu/cgi-bin/hgTracks?position=210826_x_at","UCSC")</f>
        <v>UCSC</v>
      </c>
      <c r="E12535" s="1" t="str">
        <f>HYPERLINK("http://www.ncbi.nlm.nih.gov/gene/?term=RAD17","NCBI")</f>
        <v>NCBI</v>
      </c>
      <c r="F12535">
        <v>0.37</v>
      </c>
      <c r="G12535">
        <v>0.5</v>
      </c>
      <c r="H12535" s="1" t="str">
        <f>HYPERLINK("http://www.weizmann.ac.il/complex/compphys/software/geview/data/figures/210826_x_at.png","Figure")</f>
        <v>Figure</v>
      </c>
      <c r="I12535">
        <v>1.1000000000000001</v>
      </c>
      <c r="J12535">
        <v>0.43</v>
      </c>
      <c r="K12535">
        <v>1.08</v>
      </c>
      <c r="L12535">
        <v>0.44</v>
      </c>
      <c r="M12535">
        <v>0.98599999999999999</v>
      </c>
      <c r="N12535">
        <v>0.98</v>
      </c>
    </row>
    <row r="12536" spans="1:14" x14ac:dyDescent="0.25">
      <c r="A12536" t="s">
        <v>21532</v>
      </c>
      <c r="B12536" t="s">
        <v>21510</v>
      </c>
      <c r="C12536" s="1" t="str">
        <f>HYPERLINK("http://www.genecards.org/cgi-bin/carddisp.pl?gene=AP3S2","GeneCards")</f>
        <v>GeneCards</v>
      </c>
      <c r="D12536" s="1" t="str">
        <f>HYPERLINK("http://genome-euro.ucsc.edu/cgi-bin/hgTracks?position=213215_at","UCSC")</f>
        <v>UCSC</v>
      </c>
      <c r="E12536" s="1" t="str">
        <f>HYPERLINK("http://www.ncbi.nlm.nih.gov/gene/?term=AP3S2","NCBI")</f>
        <v>NCBI</v>
      </c>
      <c r="F12536">
        <v>0.37</v>
      </c>
      <c r="G12536">
        <v>0.5</v>
      </c>
      <c r="H12536" s="1" t="str">
        <f>HYPERLINK("http://www.weizmann.ac.il/complex/compphys/software/geview/data/figures/213215_at.png","Figure")</f>
        <v>Figure</v>
      </c>
      <c r="I12536">
        <v>1.01</v>
      </c>
      <c r="J12536">
        <v>0.99</v>
      </c>
      <c r="K12536">
        <v>1.07</v>
      </c>
      <c r="L12536">
        <v>0.41</v>
      </c>
      <c r="M12536">
        <v>1.06</v>
      </c>
      <c r="N12536">
        <v>0.53</v>
      </c>
    </row>
    <row r="12537" spans="1:14" x14ac:dyDescent="0.25">
      <c r="A12537" t="s">
        <v>21533</v>
      </c>
      <c r="B12537" t="s">
        <v>21534</v>
      </c>
      <c r="C12537" s="1" t="str">
        <f>HYPERLINK("http://www.genecards.org/cgi-bin/carddisp.pl?gene=LOC100294335 /// LOC644397 /// LRRC37A /// LRRC37A2 /// LRRC37A3 /// LRRC37A4","GeneCards")</f>
        <v>GeneCards</v>
      </c>
      <c r="D12537" s="1" t="str">
        <f>HYPERLINK("http://genome-euro.ucsc.edu/cgi-bin/hgTracks?position=220219_s_at","UCSC")</f>
        <v>UCSC</v>
      </c>
      <c r="E12537" s="1" t="str">
        <f>HYPERLINK("http://www.ncbi.nlm.nih.gov/gene/?term=LOC100294335 /// LOC644397 /// LRRC37A /// LRRC37A2 /// LRRC37A3 /// LRRC37A4","NCBI")</f>
        <v>NCBI</v>
      </c>
      <c r="F12537">
        <v>0.37</v>
      </c>
      <c r="G12537">
        <v>0.5</v>
      </c>
      <c r="H12537" s="1" t="str">
        <f>HYPERLINK("http://www.weizmann.ac.il/complex/compphys/software/geview/data/figures/220219_s_at.png","Figure")</f>
        <v>Figure</v>
      </c>
      <c r="I12537">
        <v>0.873</v>
      </c>
      <c r="J12537">
        <v>0.37</v>
      </c>
      <c r="K12537">
        <v>0.91200000000000003</v>
      </c>
      <c r="L12537">
        <v>0.54</v>
      </c>
      <c r="M12537">
        <v>1.04</v>
      </c>
      <c r="N12537">
        <v>0.88</v>
      </c>
    </row>
    <row r="12538" spans="1:14" x14ac:dyDescent="0.25">
      <c r="A12538" t="s">
        <v>21535</v>
      </c>
      <c r="B12538" t="s">
        <v>21536</v>
      </c>
      <c r="C12538" s="1" t="str">
        <f>HYPERLINK("http://www.genecards.org/cgi-bin/carddisp.pl?gene=RIC3","GeneCards")</f>
        <v>GeneCards</v>
      </c>
      <c r="D12538" s="1" t="str">
        <f>HYPERLINK("http://genome-euro.ucsc.edu/cgi-bin/hgTracks?position=220282_at","UCSC")</f>
        <v>UCSC</v>
      </c>
      <c r="E12538" s="1" t="str">
        <f>HYPERLINK("http://www.ncbi.nlm.nih.gov/gene/?term=RIC3","NCBI")</f>
        <v>NCBI</v>
      </c>
      <c r="F12538">
        <v>0.37</v>
      </c>
      <c r="G12538">
        <v>0.5</v>
      </c>
      <c r="H12538" s="1" t="str">
        <f>HYPERLINK("http://www.weizmann.ac.il/complex/compphys/software/geview/data/figures/220282_at.png","Figure")</f>
        <v>Figure</v>
      </c>
      <c r="I12538">
        <v>0.96899999999999997</v>
      </c>
      <c r="J12538">
        <v>0.36</v>
      </c>
      <c r="K12538">
        <v>0.99199999999999999</v>
      </c>
      <c r="L12538">
        <v>0.9</v>
      </c>
      <c r="M12538">
        <v>1.02</v>
      </c>
      <c r="N12538">
        <v>0.52</v>
      </c>
    </row>
    <row r="12539" spans="1:14" x14ac:dyDescent="0.25">
      <c r="A12539" t="s">
        <v>21537</v>
      </c>
      <c r="B12539" t="s">
        <v>21538</v>
      </c>
      <c r="C12539" s="1" t="str">
        <f>HYPERLINK("http://www.genecards.org/cgi-bin/carddisp.pl?gene=KLHDC4","GeneCards")</f>
        <v>GeneCards</v>
      </c>
      <c r="D12539" s="1" t="str">
        <f>HYPERLINK("http://genome-euro.ucsc.edu/cgi-bin/hgTracks?position=221219_s_at","UCSC")</f>
        <v>UCSC</v>
      </c>
      <c r="E12539" s="1" t="str">
        <f>HYPERLINK("http://www.ncbi.nlm.nih.gov/gene/?term=KLHDC4","NCBI")</f>
        <v>NCBI</v>
      </c>
      <c r="F12539">
        <v>0.37</v>
      </c>
      <c r="G12539">
        <v>0.5</v>
      </c>
      <c r="H12539" s="1" t="str">
        <f>HYPERLINK("http://www.weizmann.ac.il/complex/compphys/software/geview/data/figures/221219_s_at.png","Figure")</f>
        <v>Figure</v>
      </c>
      <c r="I12539">
        <v>1.02</v>
      </c>
      <c r="J12539">
        <v>0.99</v>
      </c>
      <c r="K12539">
        <v>0.80200000000000005</v>
      </c>
      <c r="L12539">
        <v>0.47</v>
      </c>
      <c r="M12539">
        <v>0.78300000000000003</v>
      </c>
      <c r="N12539">
        <v>0.45</v>
      </c>
    </row>
    <row r="12540" spans="1:14" x14ac:dyDescent="0.25">
      <c r="A12540" t="s">
        <v>21539</v>
      </c>
      <c r="B12540" t="s">
        <v>21540</v>
      </c>
      <c r="C12540" s="1" t="str">
        <f>HYPERLINK("http://www.genecards.org/cgi-bin/carddisp.pl?gene=APOBEC3C","GeneCards")</f>
        <v>GeneCards</v>
      </c>
      <c r="D12540" s="1" t="str">
        <f>HYPERLINK("http://genome-euro.ucsc.edu/cgi-bin/hgTracks?position=209584_x_at","UCSC")</f>
        <v>UCSC</v>
      </c>
      <c r="E12540" s="1" t="str">
        <f>HYPERLINK("http://www.ncbi.nlm.nih.gov/gene/?term=APOBEC3C","NCBI")</f>
        <v>NCBI</v>
      </c>
      <c r="F12540">
        <v>0.37</v>
      </c>
      <c r="G12540">
        <v>0.5</v>
      </c>
      <c r="H12540" s="1" t="str">
        <f>HYPERLINK("http://www.weizmann.ac.il/complex/compphys/software/geview/data/figures/209584_x_at.png","Figure")</f>
        <v>Figure</v>
      </c>
      <c r="I12540">
        <v>0.98699999999999999</v>
      </c>
      <c r="J12540">
        <v>1</v>
      </c>
      <c r="K12540">
        <v>1.18</v>
      </c>
      <c r="L12540">
        <v>0.46</v>
      </c>
      <c r="M12540">
        <v>1.2</v>
      </c>
      <c r="N12540">
        <v>0.46</v>
      </c>
    </row>
    <row r="12541" spans="1:14" x14ac:dyDescent="0.25">
      <c r="A12541" t="s">
        <v>21541</v>
      </c>
      <c r="B12541" t="s">
        <v>20923</v>
      </c>
      <c r="C12541" s="1" t="str">
        <f>HYPERLINK("http://www.genecards.org/cgi-bin/carddisp.pl?gene=RHOQ","GeneCards")</f>
        <v>GeneCards</v>
      </c>
      <c r="D12541" s="1" t="str">
        <f>HYPERLINK("http://genome-euro.ucsc.edu/cgi-bin/hgTracks?position=214449_s_at","UCSC")</f>
        <v>UCSC</v>
      </c>
      <c r="E12541" s="1" t="str">
        <f>HYPERLINK("http://www.ncbi.nlm.nih.gov/gene/?term=RHOQ","NCBI")</f>
        <v>NCBI</v>
      </c>
      <c r="F12541">
        <v>0.37</v>
      </c>
      <c r="G12541">
        <v>0.5</v>
      </c>
      <c r="H12541" s="1" t="str">
        <f>HYPERLINK("http://www.weizmann.ac.il/complex/compphys/software/geview/data/figures/214449_s_at.png","Figure")</f>
        <v>Figure</v>
      </c>
      <c r="I12541">
        <v>0.92900000000000005</v>
      </c>
      <c r="J12541">
        <v>0.35</v>
      </c>
      <c r="K12541">
        <v>0.97599999999999998</v>
      </c>
      <c r="L12541">
        <v>0.85</v>
      </c>
      <c r="M12541">
        <v>1.05</v>
      </c>
      <c r="N12541">
        <v>0.56999999999999995</v>
      </c>
    </row>
    <row r="12542" spans="1:14" x14ac:dyDescent="0.25">
      <c r="A12542" t="s">
        <v>21542</v>
      </c>
      <c r="B12542" t="s">
        <v>20100</v>
      </c>
      <c r="C12542" s="1" t="str">
        <f>HYPERLINK("http://www.genecards.org/cgi-bin/carddisp.pl?gene=IQCK","GeneCards")</f>
        <v>GeneCards</v>
      </c>
      <c r="D12542" s="1" t="str">
        <f>HYPERLINK("http://genome-euro.ucsc.edu/cgi-bin/hgTracks?position=213392_at","UCSC")</f>
        <v>UCSC</v>
      </c>
      <c r="E12542" s="1" t="str">
        <f>HYPERLINK("http://www.ncbi.nlm.nih.gov/gene/?term=IQCK","NCBI")</f>
        <v>NCBI</v>
      </c>
      <c r="F12542">
        <v>0.37</v>
      </c>
      <c r="G12542">
        <v>0.5</v>
      </c>
      <c r="H12542" s="1" t="str">
        <f>HYPERLINK("http://www.weizmann.ac.il/complex/compphys/software/geview/data/figures/213392_at.png","Figure")</f>
        <v>Figure</v>
      </c>
      <c r="I12542">
        <v>0.98599999999999999</v>
      </c>
      <c r="J12542">
        <v>0.89</v>
      </c>
      <c r="K12542">
        <v>0.96199999999999997</v>
      </c>
      <c r="L12542">
        <v>0.35</v>
      </c>
      <c r="M12542">
        <v>0.97599999999999998</v>
      </c>
      <c r="N12542">
        <v>0.69</v>
      </c>
    </row>
    <row r="12543" spans="1:14" x14ac:dyDescent="0.25">
      <c r="A12543" t="s">
        <v>21543</v>
      </c>
      <c r="B12543" t="s">
        <v>12799</v>
      </c>
      <c r="C12543" s="1" t="str">
        <f>HYPERLINK("http://www.genecards.org/cgi-bin/carddisp.pl?gene=NFYC","GeneCards")</f>
        <v>GeneCards</v>
      </c>
      <c r="D12543" s="1" t="str">
        <f>HYPERLINK("http://genome-euro.ucsc.edu/cgi-bin/hgTracks?position=202216_x_at","UCSC")</f>
        <v>UCSC</v>
      </c>
      <c r="E12543" s="1" t="str">
        <f>HYPERLINK("http://www.ncbi.nlm.nih.gov/gene/?term=NFYC","NCBI")</f>
        <v>NCBI</v>
      </c>
      <c r="F12543">
        <v>0.37</v>
      </c>
      <c r="G12543">
        <v>0.5</v>
      </c>
      <c r="H12543" s="1" t="str">
        <f>HYPERLINK("http://www.weizmann.ac.il/complex/compphys/software/geview/data/figures/202216_x_at.png","Figure")</f>
        <v>Figure</v>
      </c>
      <c r="I12543">
        <v>0.93100000000000005</v>
      </c>
      <c r="J12543">
        <v>0.66</v>
      </c>
      <c r="K12543">
        <v>1.04</v>
      </c>
      <c r="L12543">
        <v>0.85</v>
      </c>
      <c r="M12543">
        <v>1.1200000000000001</v>
      </c>
      <c r="N12543">
        <v>0.34</v>
      </c>
    </row>
    <row r="12544" spans="1:14" x14ac:dyDescent="0.25">
      <c r="A12544" t="s">
        <v>21544</v>
      </c>
      <c r="B12544" t="s">
        <v>4826</v>
      </c>
      <c r="C12544" s="1" t="str">
        <f>HYPERLINK("http://www.genecards.org/cgi-bin/carddisp.pl?gene=C2CD2L","GeneCards")</f>
        <v>GeneCards</v>
      </c>
      <c r="D12544" s="1" t="str">
        <f>HYPERLINK("http://genome-euro.ucsc.edu/cgi-bin/hgTracks?position=204758_s_at","UCSC")</f>
        <v>UCSC</v>
      </c>
      <c r="E12544" s="1" t="str">
        <f>HYPERLINK("http://www.ncbi.nlm.nih.gov/gene/?term=C2CD2L","NCBI")</f>
        <v>NCBI</v>
      </c>
      <c r="F12544">
        <v>0.37</v>
      </c>
      <c r="G12544">
        <v>0.5</v>
      </c>
      <c r="H12544" s="1" t="str">
        <f>HYPERLINK("http://www.weizmann.ac.il/complex/compphys/software/geview/data/figures/204758_s_at.png","Figure")</f>
        <v>Figure</v>
      </c>
      <c r="I12544">
        <v>1.07</v>
      </c>
      <c r="J12544">
        <v>0.74</v>
      </c>
      <c r="K12544">
        <v>0.95</v>
      </c>
      <c r="L12544">
        <v>0.77</v>
      </c>
      <c r="M12544">
        <v>0.89100000000000001</v>
      </c>
      <c r="N12544">
        <v>0.34</v>
      </c>
    </row>
    <row r="12545" spans="1:14" x14ac:dyDescent="0.25">
      <c r="A12545" t="s">
        <v>21545</v>
      </c>
      <c r="B12545" t="s">
        <v>21546</v>
      </c>
      <c r="C12545" s="1" t="str">
        <f>HYPERLINK("http://www.genecards.org/cgi-bin/carddisp.pl?gene=DBH","GeneCards")</f>
        <v>GeneCards</v>
      </c>
      <c r="D12545" s="1" t="str">
        <f>HYPERLINK("http://genome-euro.ucsc.edu/cgi-bin/hgTracks?position=206450_at","UCSC")</f>
        <v>UCSC</v>
      </c>
      <c r="E12545" s="1" t="str">
        <f>HYPERLINK("http://www.ncbi.nlm.nih.gov/gene/?term=DBH","NCBI")</f>
        <v>NCBI</v>
      </c>
      <c r="F12545">
        <v>0.37</v>
      </c>
      <c r="G12545">
        <v>0.5</v>
      </c>
      <c r="H12545" s="1" t="str">
        <f>HYPERLINK("http://www.weizmann.ac.il/complex/compphys/software/geview/data/figures/206450_at.png","Figure")</f>
        <v>Figure</v>
      </c>
      <c r="I12545">
        <v>1.02</v>
      </c>
      <c r="J12545">
        <v>0.94</v>
      </c>
      <c r="K12545">
        <v>1.07</v>
      </c>
      <c r="L12545">
        <v>0.37</v>
      </c>
      <c r="M12545">
        <v>1.05</v>
      </c>
      <c r="N12545">
        <v>0.62</v>
      </c>
    </row>
    <row r="12546" spans="1:14" x14ac:dyDescent="0.25">
      <c r="A12546" t="s">
        <v>21547</v>
      </c>
      <c r="B12546" t="s">
        <v>21548</v>
      </c>
      <c r="C12546" s="1" t="str">
        <f>HYPERLINK("http://www.genecards.org/cgi-bin/carddisp.pl?gene=SPP1","GeneCards")</f>
        <v>GeneCards</v>
      </c>
      <c r="D12546" s="1" t="str">
        <f>HYPERLINK("http://genome-euro.ucsc.edu/cgi-bin/hgTracks?position=209875_s_at","UCSC")</f>
        <v>UCSC</v>
      </c>
      <c r="E12546" s="1" t="str">
        <f>HYPERLINK("http://www.ncbi.nlm.nih.gov/gene/?term=SPP1","NCBI")</f>
        <v>NCBI</v>
      </c>
      <c r="F12546">
        <v>0.37</v>
      </c>
      <c r="G12546">
        <v>0.5</v>
      </c>
      <c r="H12546" s="1" t="str">
        <f>HYPERLINK("http://www.weizmann.ac.il/complex/compphys/software/geview/data/figures/209875_s_at.png","Figure")</f>
        <v>Figure</v>
      </c>
      <c r="I12546">
        <v>1</v>
      </c>
      <c r="J12546">
        <v>1</v>
      </c>
      <c r="K12546">
        <v>0.94499999999999995</v>
      </c>
      <c r="L12546">
        <v>0.44</v>
      </c>
      <c r="M12546">
        <v>0.94499999999999995</v>
      </c>
      <c r="N12546">
        <v>0.49</v>
      </c>
    </row>
    <row r="12547" spans="1:14" x14ac:dyDescent="0.25">
      <c r="A12547" t="s">
        <v>21549</v>
      </c>
      <c r="B12547" t="s">
        <v>21550</v>
      </c>
      <c r="C12547" s="1" t="str">
        <f>HYPERLINK("http://www.genecards.org/cgi-bin/carddisp.pl?gene=RSBN1","GeneCards")</f>
        <v>GeneCards</v>
      </c>
      <c r="D12547" s="1" t="str">
        <f>HYPERLINK("http://genome-euro.ucsc.edu/cgi-bin/hgTracks?position=213694_at","UCSC")</f>
        <v>UCSC</v>
      </c>
      <c r="E12547" s="1" t="str">
        <f>HYPERLINK("http://www.ncbi.nlm.nih.gov/gene/?term=RSBN1","NCBI")</f>
        <v>NCBI</v>
      </c>
      <c r="F12547">
        <v>0.37</v>
      </c>
      <c r="G12547">
        <v>0.5</v>
      </c>
      <c r="H12547" s="1" t="str">
        <f>HYPERLINK("http://www.weizmann.ac.il/complex/compphys/software/geview/data/figures/213694_at.png","Figure")</f>
        <v>Figure</v>
      </c>
      <c r="I12547">
        <v>0.77800000000000002</v>
      </c>
      <c r="J12547">
        <v>0.43</v>
      </c>
      <c r="K12547">
        <v>0.80700000000000005</v>
      </c>
      <c r="L12547">
        <v>0.44</v>
      </c>
      <c r="M12547">
        <v>1.04</v>
      </c>
      <c r="N12547">
        <v>0.98</v>
      </c>
    </row>
    <row r="12548" spans="1:14" x14ac:dyDescent="0.25">
      <c r="A12548" t="s">
        <v>21551</v>
      </c>
      <c r="B12548" t="s">
        <v>11279</v>
      </c>
      <c r="C12548" s="1" t="str">
        <f>HYPERLINK("http://www.genecards.org/cgi-bin/carddisp.pl?gene=ATP2A3","GeneCards")</f>
        <v>GeneCards</v>
      </c>
      <c r="D12548" s="1" t="str">
        <f>HYPERLINK("http://genome-euro.ucsc.edu/cgi-bin/hgTracks?position=207522_s_at","UCSC")</f>
        <v>UCSC</v>
      </c>
      <c r="E12548" s="1" t="str">
        <f>HYPERLINK("http://www.ncbi.nlm.nih.gov/gene/?term=ATP2A3","NCBI")</f>
        <v>NCBI</v>
      </c>
      <c r="F12548">
        <v>0.37</v>
      </c>
      <c r="G12548">
        <v>0.5</v>
      </c>
      <c r="H12548" s="1" t="str">
        <f>HYPERLINK("http://www.weizmann.ac.il/complex/compphys/software/geview/data/figures/207522_s_at.png","Figure")</f>
        <v>Figure</v>
      </c>
      <c r="I12548">
        <v>0.99199999999999999</v>
      </c>
      <c r="J12548">
        <v>1</v>
      </c>
      <c r="K12548">
        <v>1.29</v>
      </c>
      <c r="L12548">
        <v>0.45</v>
      </c>
      <c r="M12548">
        <v>1.3</v>
      </c>
      <c r="N12548">
        <v>0.48</v>
      </c>
    </row>
    <row r="12549" spans="1:14" x14ac:dyDescent="0.25">
      <c r="A12549" t="s">
        <v>21552</v>
      </c>
      <c r="B12549" t="s">
        <v>5956</v>
      </c>
      <c r="C12549" s="1" t="str">
        <f>HYPERLINK("http://www.genecards.org/cgi-bin/carddisp.pl?gene=GGA1","GeneCards")</f>
        <v>GeneCards</v>
      </c>
      <c r="D12549" s="1" t="str">
        <f>HYPERLINK("http://genome-euro.ucsc.edu/cgi-bin/hgTracks?position=218114_at","UCSC")</f>
        <v>UCSC</v>
      </c>
      <c r="E12549" s="1" t="str">
        <f>HYPERLINK("http://www.ncbi.nlm.nih.gov/gene/?term=GGA1","NCBI")</f>
        <v>NCBI</v>
      </c>
      <c r="F12549">
        <v>0.37</v>
      </c>
      <c r="G12549">
        <v>0.5</v>
      </c>
      <c r="H12549" s="1" t="str">
        <f>HYPERLINK("http://www.weizmann.ac.il/complex/compphys/software/geview/data/figures/218114_at.png","Figure")</f>
        <v>Figure</v>
      </c>
      <c r="I12549">
        <v>1.22</v>
      </c>
      <c r="J12549">
        <v>0.36</v>
      </c>
      <c r="K12549">
        <v>1.1399999999999999</v>
      </c>
      <c r="L12549">
        <v>0.56999999999999995</v>
      </c>
      <c r="M12549">
        <v>0.93</v>
      </c>
      <c r="N12549">
        <v>0.85</v>
      </c>
    </row>
    <row r="12550" spans="1:14" x14ac:dyDescent="0.25">
      <c r="A12550" t="s">
        <v>21553</v>
      </c>
      <c r="B12550" t="s">
        <v>8644</v>
      </c>
      <c r="C12550" s="1" t="str">
        <f>HYPERLINK("http://www.genecards.org/cgi-bin/carddisp.pl?gene=ZNF174","GeneCards")</f>
        <v>GeneCards</v>
      </c>
      <c r="D12550" s="1" t="str">
        <f>HYPERLINK("http://genome-euro.ucsc.edu/cgi-bin/hgTracks?position=205252_at","UCSC")</f>
        <v>UCSC</v>
      </c>
      <c r="E12550" s="1" t="str">
        <f>HYPERLINK("http://www.ncbi.nlm.nih.gov/gene/?term=ZNF174","NCBI")</f>
        <v>NCBI</v>
      </c>
      <c r="F12550">
        <v>0.37</v>
      </c>
      <c r="G12550">
        <v>0.5</v>
      </c>
      <c r="H12550" s="1" t="str">
        <f>HYPERLINK("http://www.weizmann.ac.il/complex/compphys/software/geview/data/figures/205252_at.png","Figure")</f>
        <v>Figure</v>
      </c>
      <c r="I12550">
        <v>0.96799999999999997</v>
      </c>
      <c r="J12550">
        <v>0.55000000000000004</v>
      </c>
      <c r="K12550">
        <v>0.96299999999999997</v>
      </c>
      <c r="L12550">
        <v>0.37</v>
      </c>
      <c r="M12550">
        <v>0.995</v>
      </c>
      <c r="N12550">
        <v>0.99</v>
      </c>
    </row>
    <row r="12551" spans="1:14" x14ac:dyDescent="0.25">
      <c r="A12551" t="s">
        <v>21554</v>
      </c>
      <c r="B12551" t="s">
        <v>3183</v>
      </c>
      <c r="C12551" s="1" t="str">
        <f>HYPERLINK("http://www.genecards.org/cgi-bin/carddisp.pl?gene=GK","GeneCards")</f>
        <v>GeneCards</v>
      </c>
      <c r="D12551" s="1" t="str">
        <f>HYPERLINK("http://genome-euro.ucsc.edu/cgi-bin/hgTracks?position=215975_x_at","UCSC")</f>
        <v>UCSC</v>
      </c>
      <c r="E12551" s="1" t="str">
        <f>HYPERLINK("http://www.ncbi.nlm.nih.gov/gene/?term=GK","NCBI")</f>
        <v>NCBI</v>
      </c>
      <c r="F12551">
        <v>0.37</v>
      </c>
      <c r="G12551">
        <v>0.5</v>
      </c>
      <c r="H12551" s="1" t="str">
        <f>HYPERLINK("http://www.weizmann.ac.il/complex/compphys/software/geview/data/figures/215975_x_at.png","Figure")</f>
        <v>Figure</v>
      </c>
      <c r="I12551">
        <v>0.92300000000000004</v>
      </c>
      <c r="J12551">
        <v>0.5</v>
      </c>
      <c r="K12551">
        <v>1.01</v>
      </c>
      <c r="L12551">
        <v>0.98</v>
      </c>
      <c r="M12551">
        <v>1.1000000000000001</v>
      </c>
      <c r="N12551">
        <v>0.37</v>
      </c>
    </row>
    <row r="12552" spans="1:14" x14ac:dyDescent="0.25">
      <c r="A12552" t="s">
        <v>21555</v>
      </c>
      <c r="B12552" t="s">
        <v>15417</v>
      </c>
      <c r="C12552" s="1" t="str">
        <f>HYPERLINK("http://www.genecards.org/cgi-bin/carddisp.pl?gene=TUBA1C","GeneCards")</f>
        <v>GeneCards</v>
      </c>
      <c r="D12552" s="1" t="str">
        <f>HYPERLINK("http://genome-euro.ucsc.edu/cgi-bin/hgTracks?position=211750_x_at","UCSC")</f>
        <v>UCSC</v>
      </c>
      <c r="E12552" s="1" t="str">
        <f>HYPERLINK("http://www.ncbi.nlm.nih.gov/gene/?term=TUBA1C","NCBI")</f>
        <v>NCBI</v>
      </c>
      <c r="F12552">
        <v>0.37</v>
      </c>
      <c r="G12552">
        <v>0.5</v>
      </c>
      <c r="H12552" s="1" t="str">
        <f>HYPERLINK("http://www.weizmann.ac.il/complex/compphys/software/geview/data/figures/211750_x_at.png","Figure")</f>
        <v>Figure</v>
      </c>
      <c r="I12552">
        <v>1.23</v>
      </c>
      <c r="J12552">
        <v>0.47</v>
      </c>
      <c r="K12552">
        <v>1.22</v>
      </c>
      <c r="L12552">
        <v>0.41</v>
      </c>
      <c r="M12552">
        <v>0.99</v>
      </c>
      <c r="N12552">
        <v>1</v>
      </c>
    </row>
    <row r="12553" spans="1:14" x14ac:dyDescent="0.25">
      <c r="A12553" t="s">
        <v>21556</v>
      </c>
      <c r="B12553" t="s">
        <v>21557</v>
      </c>
      <c r="C12553" s="1" t="str">
        <f>HYPERLINK("http://www.genecards.org/cgi-bin/carddisp.pl?gene=FAM53C","GeneCards")</f>
        <v>GeneCards</v>
      </c>
      <c r="D12553" s="1" t="str">
        <f>HYPERLINK("http://genome-euro.ucsc.edu/cgi-bin/hgTracks?position=218023_s_at","UCSC")</f>
        <v>UCSC</v>
      </c>
      <c r="E12553" s="1" t="str">
        <f>HYPERLINK("http://www.ncbi.nlm.nih.gov/gene/?term=FAM53C","NCBI")</f>
        <v>NCBI</v>
      </c>
      <c r="F12553">
        <v>0.37</v>
      </c>
      <c r="G12553">
        <v>0.5</v>
      </c>
      <c r="H12553" s="1" t="str">
        <f>HYPERLINK("http://www.weizmann.ac.il/complex/compphys/software/geview/data/figures/218023_s_at.png","Figure")</f>
        <v>Figure</v>
      </c>
      <c r="I12553">
        <v>0.94899999999999995</v>
      </c>
      <c r="J12553">
        <v>0.97</v>
      </c>
      <c r="K12553">
        <v>0.76400000000000001</v>
      </c>
      <c r="L12553">
        <v>0.39</v>
      </c>
      <c r="M12553">
        <v>0.80500000000000005</v>
      </c>
      <c r="N12553">
        <v>0.56999999999999995</v>
      </c>
    </row>
    <row r="12554" spans="1:14" x14ac:dyDescent="0.25">
      <c r="A12554" t="s">
        <v>21558</v>
      </c>
      <c r="B12554" t="s">
        <v>21559</v>
      </c>
      <c r="C12554" s="1" t="str">
        <f>HYPERLINK("http://www.genecards.org/cgi-bin/carddisp.pl?gene=MKNK1","GeneCards")</f>
        <v>GeneCards</v>
      </c>
      <c r="D12554" s="1" t="str">
        <f>HYPERLINK("http://genome-euro.ucsc.edu/cgi-bin/hgTracks?position=209467_s_at","UCSC")</f>
        <v>UCSC</v>
      </c>
      <c r="E12554" s="1" t="str">
        <f>HYPERLINK("http://www.ncbi.nlm.nih.gov/gene/?term=MKNK1","NCBI")</f>
        <v>NCBI</v>
      </c>
      <c r="F12554">
        <v>0.37</v>
      </c>
      <c r="G12554">
        <v>0.5</v>
      </c>
      <c r="H12554" s="1" t="str">
        <f>HYPERLINK("http://www.weizmann.ac.il/complex/compphys/software/geview/data/figures/209467_s_at.png","Figure")</f>
        <v>Figure</v>
      </c>
      <c r="I12554">
        <v>1.1499999999999999</v>
      </c>
      <c r="J12554">
        <v>0.59</v>
      </c>
      <c r="K12554">
        <v>1.19</v>
      </c>
      <c r="L12554">
        <v>0.36</v>
      </c>
      <c r="M12554">
        <v>1.03</v>
      </c>
      <c r="N12554">
        <v>0.96</v>
      </c>
    </row>
    <row r="12555" spans="1:14" x14ac:dyDescent="0.25">
      <c r="A12555" t="s">
        <v>21560</v>
      </c>
      <c r="B12555" t="s">
        <v>21561</v>
      </c>
      <c r="C12555" s="1" t="str">
        <f>HYPERLINK("http://www.genecards.org/cgi-bin/carddisp.pl?gene=ANKFY1","GeneCards")</f>
        <v>GeneCards</v>
      </c>
      <c r="D12555" s="1" t="str">
        <f>HYPERLINK("http://genome-euro.ucsc.edu/cgi-bin/hgTracks?position=219868_s_at","UCSC")</f>
        <v>UCSC</v>
      </c>
      <c r="E12555" s="1" t="str">
        <f>HYPERLINK("http://www.ncbi.nlm.nih.gov/gene/?term=ANKFY1","NCBI")</f>
        <v>NCBI</v>
      </c>
      <c r="F12555">
        <v>0.37</v>
      </c>
      <c r="G12555">
        <v>0.5</v>
      </c>
      <c r="H12555" s="1" t="str">
        <f>HYPERLINK("http://www.weizmann.ac.il/complex/compphys/software/geview/data/figures/219868_s_at.png","Figure")</f>
        <v>Figure</v>
      </c>
      <c r="I12555">
        <v>1.0900000000000001</v>
      </c>
      <c r="J12555">
        <v>0.39</v>
      </c>
      <c r="K12555">
        <v>1.01</v>
      </c>
      <c r="L12555">
        <v>0.98</v>
      </c>
      <c r="M12555">
        <v>0.92900000000000005</v>
      </c>
      <c r="N12555">
        <v>0.44</v>
      </c>
    </row>
    <row r="12556" spans="1:14" x14ac:dyDescent="0.25">
      <c r="A12556" t="s">
        <v>21562</v>
      </c>
      <c r="B12556" t="s">
        <v>21563</v>
      </c>
      <c r="C12556" s="1" t="str">
        <f>HYPERLINK("http://www.genecards.org/cgi-bin/carddisp.pl?gene=ACE2","GeneCards")</f>
        <v>GeneCards</v>
      </c>
      <c r="D12556" s="1" t="str">
        <f>HYPERLINK("http://genome-euro.ucsc.edu/cgi-bin/hgTracks?position=222257_s_at","UCSC")</f>
        <v>UCSC</v>
      </c>
      <c r="E12556" s="1" t="str">
        <f>HYPERLINK("http://www.ncbi.nlm.nih.gov/gene/?term=ACE2","NCBI")</f>
        <v>NCBI</v>
      </c>
      <c r="F12556">
        <v>0.37</v>
      </c>
      <c r="G12556">
        <v>0.5</v>
      </c>
      <c r="H12556" s="1" t="str">
        <f>HYPERLINK("http://www.weizmann.ac.il/complex/compphys/software/geview/data/figures/222257_s_at.png","Figure")</f>
        <v>Figure</v>
      </c>
      <c r="I12556">
        <v>1.1000000000000001</v>
      </c>
      <c r="J12556">
        <v>0.38</v>
      </c>
      <c r="K12556">
        <v>1.02</v>
      </c>
      <c r="L12556">
        <v>0.96</v>
      </c>
      <c r="M12556">
        <v>0.92200000000000004</v>
      </c>
      <c r="N12556">
        <v>0.46</v>
      </c>
    </row>
    <row r="12557" spans="1:14" x14ac:dyDescent="0.25">
      <c r="A12557" t="s">
        <v>21564</v>
      </c>
      <c r="B12557" t="s">
        <v>21565</v>
      </c>
      <c r="C12557" s="1" t="str">
        <f>HYPERLINK("http://www.genecards.org/cgi-bin/carddisp.pl?gene=IL5RA","GeneCards")</f>
        <v>GeneCards</v>
      </c>
      <c r="D12557" s="1" t="str">
        <f>HYPERLINK("http://genome-euro.ucsc.edu/cgi-bin/hgTracks?position=210744_s_at","UCSC")</f>
        <v>UCSC</v>
      </c>
      <c r="E12557" s="1" t="str">
        <f>HYPERLINK("http://www.ncbi.nlm.nih.gov/gene/?term=IL5RA","NCBI")</f>
        <v>NCBI</v>
      </c>
      <c r="F12557">
        <v>0.37</v>
      </c>
      <c r="G12557">
        <v>0.5</v>
      </c>
      <c r="H12557" s="1" t="str">
        <f>HYPERLINK("http://www.weizmann.ac.il/complex/compphys/software/geview/data/figures/210744_s_at.png","Figure")</f>
        <v>Figure</v>
      </c>
      <c r="I12557">
        <v>1.1200000000000001</v>
      </c>
      <c r="J12557">
        <v>0.41</v>
      </c>
      <c r="K12557">
        <v>1.01</v>
      </c>
      <c r="L12557">
        <v>0.99</v>
      </c>
      <c r="M12557">
        <v>0.90400000000000003</v>
      </c>
      <c r="N12557">
        <v>0.43</v>
      </c>
    </row>
    <row r="12558" spans="1:14" x14ac:dyDescent="0.25">
      <c r="A12558" t="s">
        <v>21566</v>
      </c>
      <c r="B12558" t="s">
        <v>21567</v>
      </c>
      <c r="C12558" s="1" t="str">
        <f>HYPERLINK("http://www.genecards.org/cgi-bin/carddisp.pl?gene=PCDHGA3","GeneCards")</f>
        <v>GeneCards</v>
      </c>
      <c r="D12558" s="1" t="str">
        <f>HYPERLINK("http://genome-euro.ucsc.edu/cgi-bin/hgTracks?position=216343_at","UCSC")</f>
        <v>UCSC</v>
      </c>
      <c r="E12558" s="1" t="str">
        <f>HYPERLINK("http://www.ncbi.nlm.nih.gov/gene/?term=PCDHGA3","NCBI")</f>
        <v>NCBI</v>
      </c>
      <c r="F12558">
        <v>0.37</v>
      </c>
      <c r="G12558">
        <v>0.5</v>
      </c>
      <c r="H12558" s="1" t="str">
        <f>HYPERLINK("http://www.weizmann.ac.il/complex/compphys/software/geview/data/figures/216343_at.png","Figure")</f>
        <v>Figure</v>
      </c>
      <c r="I12558">
        <v>1.0900000000000001</v>
      </c>
      <c r="J12558">
        <v>0.45</v>
      </c>
      <c r="K12558">
        <v>1.08</v>
      </c>
      <c r="L12558">
        <v>0.42</v>
      </c>
      <c r="M12558">
        <v>0.99199999999999999</v>
      </c>
      <c r="N12558">
        <v>0.99</v>
      </c>
    </row>
    <row r="12559" spans="1:14" x14ac:dyDescent="0.25">
      <c r="A12559" t="s">
        <v>21568</v>
      </c>
      <c r="B12559" t="s">
        <v>15824</v>
      </c>
      <c r="C12559" s="1" t="str">
        <f>HYPERLINK("http://www.genecards.org/cgi-bin/carddisp.pl?gene=CA4","GeneCards")</f>
        <v>GeneCards</v>
      </c>
      <c r="D12559" s="1" t="str">
        <f>HYPERLINK("http://genome-euro.ucsc.edu/cgi-bin/hgTracks?position=206208_at","UCSC")</f>
        <v>UCSC</v>
      </c>
      <c r="E12559" s="1" t="str">
        <f>HYPERLINK("http://www.ncbi.nlm.nih.gov/gene/?term=CA4","NCBI")</f>
        <v>NCBI</v>
      </c>
      <c r="F12559">
        <v>0.37</v>
      </c>
      <c r="G12559">
        <v>0.5</v>
      </c>
      <c r="H12559" s="1" t="str">
        <f>HYPERLINK("http://www.weizmann.ac.il/complex/compphys/software/geview/data/figures/206208_at.png","Figure")</f>
        <v>Figure</v>
      </c>
      <c r="I12559">
        <v>1.1000000000000001</v>
      </c>
      <c r="J12559">
        <v>0.36</v>
      </c>
      <c r="K12559">
        <v>1.06</v>
      </c>
      <c r="L12559">
        <v>0.57999999999999996</v>
      </c>
      <c r="M12559">
        <v>0.96399999999999997</v>
      </c>
      <c r="N12559">
        <v>0.83</v>
      </c>
    </row>
    <row r="12560" spans="1:14" x14ac:dyDescent="0.25">
      <c r="A12560" t="s">
        <v>21569</v>
      </c>
      <c r="B12560" t="s">
        <v>21570</v>
      </c>
      <c r="C12560" s="1" t="str">
        <f>HYPERLINK("http://www.genecards.org/cgi-bin/carddisp.pl?gene=CHN1","GeneCards")</f>
        <v>GeneCards</v>
      </c>
      <c r="D12560" s="1" t="str">
        <f>HYPERLINK("http://genome-euro.ucsc.edu/cgi-bin/hgTracks?position=212624_s_at","UCSC")</f>
        <v>UCSC</v>
      </c>
      <c r="E12560" s="1" t="str">
        <f>HYPERLINK("http://www.ncbi.nlm.nih.gov/gene/?term=CHN1","NCBI")</f>
        <v>NCBI</v>
      </c>
      <c r="F12560">
        <v>0.37</v>
      </c>
      <c r="G12560">
        <v>0.5</v>
      </c>
      <c r="H12560" s="1" t="str">
        <f>HYPERLINK("http://www.weizmann.ac.il/complex/compphys/software/geview/data/figures/212624_s_at.png","Figure")</f>
        <v>Figure</v>
      </c>
      <c r="I12560">
        <v>1.1399999999999999</v>
      </c>
      <c r="J12560">
        <v>0.4</v>
      </c>
      <c r="K12560">
        <v>1.02</v>
      </c>
      <c r="L12560">
        <v>0.98</v>
      </c>
      <c r="M12560">
        <v>0.89100000000000001</v>
      </c>
      <c r="N12560">
        <v>0.44</v>
      </c>
    </row>
    <row r="12561" spans="1:14" x14ac:dyDescent="0.25">
      <c r="A12561" t="s">
        <v>21571</v>
      </c>
      <c r="B12561" t="s">
        <v>21572</v>
      </c>
      <c r="C12561" s="1" t="str">
        <f>HYPERLINK("http://www.genecards.org/cgi-bin/carddisp.pl?gene=MKL2","GeneCards")</f>
        <v>GeneCards</v>
      </c>
      <c r="D12561" s="1" t="str">
        <f>HYPERLINK("http://genome-euro.ucsc.edu/cgi-bin/hgTracks?position=218259_at","UCSC")</f>
        <v>UCSC</v>
      </c>
      <c r="E12561" s="1" t="str">
        <f>HYPERLINK("http://www.ncbi.nlm.nih.gov/gene/?term=MKL2","NCBI")</f>
        <v>NCBI</v>
      </c>
      <c r="F12561">
        <v>0.37</v>
      </c>
      <c r="G12561">
        <v>0.5</v>
      </c>
      <c r="H12561" s="1" t="str">
        <f>HYPERLINK("http://www.weizmann.ac.il/complex/compphys/software/geview/data/figures/218259_at.png","Figure")</f>
        <v>Figure</v>
      </c>
      <c r="I12561">
        <v>0.66</v>
      </c>
      <c r="J12561">
        <v>0.34</v>
      </c>
      <c r="K12561">
        <v>0.83599999999999997</v>
      </c>
      <c r="L12561">
        <v>0.76</v>
      </c>
      <c r="M12561">
        <v>1.27</v>
      </c>
      <c r="N12561">
        <v>0.65</v>
      </c>
    </row>
    <row r="12562" spans="1:14" x14ac:dyDescent="0.25">
      <c r="A12562" t="s">
        <v>21573</v>
      </c>
      <c r="B12562" t="s">
        <v>6678</v>
      </c>
      <c r="C12562" s="1" t="str">
        <f>HYPERLINK("http://www.genecards.org/cgi-bin/carddisp.pl?gene=MACF1","GeneCards")</f>
        <v>GeneCards</v>
      </c>
      <c r="D12562" s="1" t="str">
        <f>HYPERLINK("http://genome-euro.ucsc.edu/cgi-bin/hgTracks?position=207358_x_at","UCSC")</f>
        <v>UCSC</v>
      </c>
      <c r="E12562" s="1" t="str">
        <f>HYPERLINK("http://www.ncbi.nlm.nih.gov/gene/?term=MACF1","NCBI")</f>
        <v>NCBI</v>
      </c>
      <c r="F12562">
        <v>0.37</v>
      </c>
      <c r="G12562">
        <v>0.5</v>
      </c>
      <c r="H12562" s="1" t="str">
        <f>HYPERLINK("http://www.weizmann.ac.il/complex/compphys/software/geview/data/figures/207358_x_at.png","Figure")</f>
        <v>Figure</v>
      </c>
      <c r="I12562">
        <v>1.34</v>
      </c>
      <c r="J12562">
        <v>0.35</v>
      </c>
      <c r="K12562">
        <v>1.18</v>
      </c>
      <c r="L12562">
        <v>0.61</v>
      </c>
      <c r="M12562">
        <v>0.88500000000000001</v>
      </c>
      <c r="N12562">
        <v>0.8</v>
      </c>
    </row>
    <row r="12563" spans="1:14" x14ac:dyDescent="0.25">
      <c r="A12563" t="s">
        <v>21574</v>
      </c>
      <c r="B12563" t="s">
        <v>8188</v>
      </c>
      <c r="C12563" s="1" t="str">
        <f>HYPERLINK("http://www.genecards.org/cgi-bin/carddisp.pl?gene=ANK1","GeneCards")</f>
        <v>GeneCards</v>
      </c>
      <c r="D12563" s="1" t="str">
        <f>HYPERLINK("http://genome-euro.ucsc.edu/cgi-bin/hgTracks?position=208352_x_at","UCSC")</f>
        <v>UCSC</v>
      </c>
      <c r="E12563" s="1" t="str">
        <f>HYPERLINK("http://www.ncbi.nlm.nih.gov/gene/?term=ANK1","NCBI")</f>
        <v>NCBI</v>
      </c>
      <c r="F12563">
        <v>0.37</v>
      </c>
      <c r="G12563">
        <v>0.5</v>
      </c>
      <c r="H12563" s="1" t="str">
        <f>HYPERLINK("http://www.weizmann.ac.il/complex/compphys/software/geview/data/figures/208352_x_at.png","Figure")</f>
        <v>Figure</v>
      </c>
      <c r="I12563">
        <v>1.18</v>
      </c>
      <c r="J12563">
        <v>0.35</v>
      </c>
      <c r="K12563">
        <v>1.05</v>
      </c>
      <c r="L12563">
        <v>0.87</v>
      </c>
      <c r="M12563">
        <v>0.89200000000000002</v>
      </c>
      <c r="N12563">
        <v>0.55000000000000004</v>
      </c>
    </row>
    <row r="12564" spans="1:14" x14ac:dyDescent="0.25">
      <c r="A12564" t="s">
        <v>21575</v>
      </c>
      <c r="B12564" t="s">
        <v>21576</v>
      </c>
      <c r="C12564" s="1" t="str">
        <f>HYPERLINK("http://www.genecards.org/cgi-bin/carddisp.pl?gene=ZNF267","GeneCards")</f>
        <v>GeneCards</v>
      </c>
      <c r="D12564" s="1" t="str">
        <f>HYPERLINK("http://genome-euro.ucsc.edu/cgi-bin/hgTracks?position=219540_at","UCSC")</f>
        <v>UCSC</v>
      </c>
      <c r="E12564" s="1" t="str">
        <f>HYPERLINK("http://www.ncbi.nlm.nih.gov/gene/?term=ZNF267","NCBI")</f>
        <v>NCBI</v>
      </c>
      <c r="F12564">
        <v>0.37</v>
      </c>
      <c r="G12564">
        <v>0.5</v>
      </c>
      <c r="H12564" s="1" t="str">
        <f>HYPERLINK("http://www.weizmann.ac.il/complex/compphys/software/geview/data/figures/219540_at.png","Figure")</f>
        <v>Figure</v>
      </c>
      <c r="I12564">
        <v>1</v>
      </c>
      <c r="J12564">
        <v>1</v>
      </c>
      <c r="K12564">
        <v>0.67200000000000004</v>
      </c>
      <c r="L12564">
        <v>0.44</v>
      </c>
      <c r="M12564">
        <v>0.67200000000000004</v>
      </c>
      <c r="N12564">
        <v>0.49</v>
      </c>
    </row>
    <row r="12565" spans="1:14" x14ac:dyDescent="0.25">
      <c r="A12565" t="s">
        <v>21577</v>
      </c>
      <c r="B12565" t="s">
        <v>5916</v>
      </c>
      <c r="C12565" s="1" t="str">
        <f>HYPERLINK("http://www.genecards.org/cgi-bin/carddisp.pl?gene=APOL2","GeneCards")</f>
        <v>GeneCards</v>
      </c>
      <c r="D12565" s="1" t="str">
        <f>HYPERLINK("http://genome-euro.ucsc.edu/cgi-bin/hgTracks?position=221653_x_at","UCSC")</f>
        <v>UCSC</v>
      </c>
      <c r="E12565" s="1" t="str">
        <f>HYPERLINK("http://www.ncbi.nlm.nih.gov/gene/?term=APOL2","NCBI")</f>
        <v>NCBI</v>
      </c>
      <c r="F12565">
        <v>0.37</v>
      </c>
      <c r="G12565">
        <v>0.5</v>
      </c>
      <c r="H12565" s="1" t="str">
        <f>HYPERLINK("http://www.weizmann.ac.il/complex/compphys/software/geview/data/figures/221653_x_at.png","Figure")</f>
        <v>Figure</v>
      </c>
      <c r="I12565">
        <v>1.1200000000000001</v>
      </c>
      <c r="J12565">
        <v>0.37</v>
      </c>
      <c r="K12565">
        <v>1.03</v>
      </c>
      <c r="L12565">
        <v>0.93</v>
      </c>
      <c r="M12565">
        <v>0.91400000000000003</v>
      </c>
      <c r="N12565">
        <v>0.5</v>
      </c>
    </row>
    <row r="12566" spans="1:14" x14ac:dyDescent="0.25">
      <c r="A12566" t="s">
        <v>21578</v>
      </c>
      <c r="B12566" t="s">
        <v>21579</v>
      </c>
      <c r="C12566" s="1" t="str">
        <f>HYPERLINK("http://www.genecards.org/cgi-bin/carddisp.pl?gene=IL10RA","GeneCards")</f>
        <v>GeneCards</v>
      </c>
      <c r="D12566" s="1" t="str">
        <f>HYPERLINK("http://genome-euro.ucsc.edu/cgi-bin/hgTracks?position=204912_at","UCSC")</f>
        <v>UCSC</v>
      </c>
      <c r="E12566" s="1" t="str">
        <f>HYPERLINK("http://www.ncbi.nlm.nih.gov/gene/?term=IL10RA","NCBI")</f>
        <v>NCBI</v>
      </c>
      <c r="F12566">
        <v>0.37</v>
      </c>
      <c r="G12566">
        <v>0.5</v>
      </c>
      <c r="H12566" s="1" t="str">
        <f>HYPERLINK("http://www.weizmann.ac.il/complex/compphys/software/geview/data/figures/204912_at.png","Figure")</f>
        <v>Figure</v>
      </c>
      <c r="I12566">
        <v>0.7</v>
      </c>
      <c r="J12566">
        <v>0.39</v>
      </c>
      <c r="K12566">
        <v>0.77100000000000002</v>
      </c>
      <c r="L12566">
        <v>0.51</v>
      </c>
      <c r="M12566">
        <v>1.1000000000000001</v>
      </c>
      <c r="N12566">
        <v>0.92</v>
      </c>
    </row>
    <row r="12567" spans="1:14" x14ac:dyDescent="0.25">
      <c r="A12567" t="s">
        <v>21580</v>
      </c>
      <c r="B12567" t="s">
        <v>21581</v>
      </c>
      <c r="C12567" s="1" t="str">
        <f>HYPERLINK("http://www.genecards.org/cgi-bin/carddisp.pl?gene=ZNF148","GeneCards")</f>
        <v>GeneCards</v>
      </c>
      <c r="D12567" s="1" t="str">
        <f>HYPERLINK("http://genome-euro.ucsc.edu/cgi-bin/hgTracks?position=203318_s_at","UCSC")</f>
        <v>UCSC</v>
      </c>
      <c r="E12567" s="1" t="str">
        <f>HYPERLINK("http://www.ncbi.nlm.nih.gov/gene/?term=ZNF148","NCBI")</f>
        <v>NCBI</v>
      </c>
      <c r="F12567">
        <v>0.37</v>
      </c>
      <c r="G12567">
        <v>0.5</v>
      </c>
      <c r="H12567" s="1" t="str">
        <f>HYPERLINK("http://www.weizmann.ac.il/complex/compphys/software/geview/data/figures/203318_s_at.png","Figure")</f>
        <v>Figure</v>
      </c>
      <c r="I12567">
        <v>1.1299999999999999</v>
      </c>
      <c r="J12567">
        <v>0.81</v>
      </c>
      <c r="K12567">
        <v>1.29</v>
      </c>
      <c r="L12567">
        <v>0.34</v>
      </c>
      <c r="M12567">
        <v>1.1399999999999999</v>
      </c>
      <c r="N12567">
        <v>0.77</v>
      </c>
    </row>
    <row r="12568" spans="1:14" x14ac:dyDescent="0.25">
      <c r="A12568" t="s">
        <v>21582</v>
      </c>
      <c r="B12568" t="s">
        <v>21583</v>
      </c>
      <c r="C12568" s="1" t="str">
        <f>HYPERLINK("http://www.genecards.org/cgi-bin/carddisp.pl?gene=PARP16","GeneCards")</f>
        <v>GeneCards</v>
      </c>
      <c r="D12568" s="1" t="str">
        <f>HYPERLINK("http://genome-euro.ucsc.edu/cgi-bin/hgTracks?position=219034_at","UCSC")</f>
        <v>UCSC</v>
      </c>
      <c r="E12568" s="1" t="str">
        <f>HYPERLINK("http://www.ncbi.nlm.nih.gov/gene/?term=PARP16","NCBI")</f>
        <v>NCBI</v>
      </c>
      <c r="F12568">
        <v>0.37</v>
      </c>
      <c r="G12568">
        <v>0.5</v>
      </c>
      <c r="H12568" s="1" t="str">
        <f>HYPERLINK("http://www.weizmann.ac.il/complex/compphys/software/geview/data/figures/219034_at.png","Figure")</f>
        <v>Figure</v>
      </c>
      <c r="I12568">
        <v>0.98</v>
      </c>
      <c r="J12568">
        <v>0.97</v>
      </c>
      <c r="K12568">
        <v>1.08</v>
      </c>
      <c r="L12568">
        <v>0.53</v>
      </c>
      <c r="M12568">
        <v>1.1000000000000001</v>
      </c>
      <c r="N12568">
        <v>0.42</v>
      </c>
    </row>
    <row r="12569" spans="1:14" x14ac:dyDescent="0.25">
      <c r="A12569" t="s">
        <v>21584</v>
      </c>
      <c r="B12569" t="s">
        <v>21585</v>
      </c>
      <c r="C12569" s="1" t="str">
        <f>HYPERLINK("http://www.genecards.org/cgi-bin/carddisp.pl?gene=CLSTN2","GeneCards")</f>
        <v>GeneCards</v>
      </c>
      <c r="D12569" s="1" t="str">
        <f>HYPERLINK("http://genome-euro.ucsc.edu/cgi-bin/hgTracks?position=219414_at","UCSC")</f>
        <v>UCSC</v>
      </c>
      <c r="E12569" s="1" t="str">
        <f>HYPERLINK("http://www.ncbi.nlm.nih.gov/gene/?term=CLSTN2","NCBI")</f>
        <v>NCBI</v>
      </c>
      <c r="F12569">
        <v>0.37</v>
      </c>
      <c r="G12569">
        <v>0.5</v>
      </c>
      <c r="H12569" s="1" t="str">
        <f>HYPERLINK("http://www.weizmann.ac.il/complex/compphys/software/geview/data/figures/219414_at.png","Figure")</f>
        <v>Figure</v>
      </c>
      <c r="I12569">
        <v>1.03</v>
      </c>
      <c r="J12569">
        <v>0.47</v>
      </c>
      <c r="K12569">
        <v>1.03</v>
      </c>
      <c r="L12569">
        <v>0.41</v>
      </c>
      <c r="M12569">
        <v>0.999</v>
      </c>
      <c r="N12569">
        <v>1</v>
      </c>
    </row>
    <row r="12570" spans="1:14" x14ac:dyDescent="0.25">
      <c r="A12570" t="s">
        <v>21586</v>
      </c>
      <c r="B12570" t="s">
        <v>21587</v>
      </c>
      <c r="C12570" s="1" t="str">
        <f>HYPERLINK("http://www.genecards.org/cgi-bin/carddisp.pl?gene=DDX42","GeneCards")</f>
        <v>GeneCards</v>
      </c>
      <c r="D12570" s="1" t="str">
        <f>HYPERLINK("http://genome-euro.ucsc.edu/cgi-bin/hgTracks?position=201788_at","UCSC")</f>
        <v>UCSC</v>
      </c>
      <c r="E12570" s="1" t="str">
        <f>HYPERLINK("http://www.ncbi.nlm.nih.gov/gene/?term=DDX42","NCBI")</f>
        <v>NCBI</v>
      </c>
      <c r="F12570">
        <v>0.37</v>
      </c>
      <c r="G12570">
        <v>0.5</v>
      </c>
      <c r="H12570" s="1" t="str">
        <f>HYPERLINK("http://www.weizmann.ac.il/complex/compphys/software/geview/data/figures/201788_at.png","Figure")</f>
        <v>Figure</v>
      </c>
      <c r="I12570">
        <v>0.86799999999999999</v>
      </c>
      <c r="J12570">
        <v>0.56000000000000005</v>
      </c>
      <c r="K12570">
        <v>1.04</v>
      </c>
      <c r="L12570">
        <v>0.94</v>
      </c>
      <c r="M12570">
        <v>1.2</v>
      </c>
      <c r="N12570">
        <v>0.35</v>
      </c>
    </row>
    <row r="12571" spans="1:14" x14ac:dyDescent="0.25">
      <c r="A12571" t="s">
        <v>21588</v>
      </c>
      <c r="B12571" t="s">
        <v>16663</v>
      </c>
      <c r="C12571" s="1" t="str">
        <f>HYPERLINK("http://www.genecards.org/cgi-bin/carddisp.pl?gene=TIMP3","GeneCards")</f>
        <v>GeneCards</v>
      </c>
      <c r="D12571" s="1" t="str">
        <f>HYPERLINK("http://genome-euro.ucsc.edu/cgi-bin/hgTracks?position=201148_s_at","UCSC")</f>
        <v>UCSC</v>
      </c>
      <c r="E12571" s="1" t="str">
        <f>HYPERLINK("http://www.ncbi.nlm.nih.gov/gene/?term=TIMP3","NCBI")</f>
        <v>NCBI</v>
      </c>
      <c r="F12571">
        <v>0.37</v>
      </c>
      <c r="G12571">
        <v>0.5</v>
      </c>
      <c r="H12571" s="1" t="str">
        <f>HYPERLINK("http://www.weizmann.ac.il/complex/compphys/software/geview/data/figures/201148_s_at.png","Figure")</f>
        <v>Figure</v>
      </c>
      <c r="I12571">
        <v>1.1100000000000001</v>
      </c>
      <c r="J12571">
        <v>0.43</v>
      </c>
      <c r="K12571">
        <v>1</v>
      </c>
      <c r="L12571">
        <v>1</v>
      </c>
      <c r="M12571">
        <v>0.90100000000000002</v>
      </c>
      <c r="N12571">
        <v>0.41</v>
      </c>
    </row>
    <row r="12572" spans="1:14" x14ac:dyDescent="0.25">
      <c r="A12572" t="s">
        <v>21589</v>
      </c>
      <c r="B12572" t="s">
        <v>21590</v>
      </c>
      <c r="C12572" s="1" t="str">
        <f>HYPERLINK("http://www.genecards.org/cgi-bin/carddisp.pl?gene=ALDH3A1","GeneCards")</f>
        <v>GeneCards</v>
      </c>
      <c r="D12572" s="1" t="str">
        <f>HYPERLINK("http://genome-euro.ucsc.edu/cgi-bin/hgTracks?position=205623_at","UCSC")</f>
        <v>UCSC</v>
      </c>
      <c r="E12572" s="1" t="str">
        <f>HYPERLINK("http://www.ncbi.nlm.nih.gov/gene/?term=ALDH3A1","NCBI")</f>
        <v>NCBI</v>
      </c>
      <c r="F12572">
        <v>0.37</v>
      </c>
      <c r="G12572">
        <v>0.5</v>
      </c>
      <c r="H12572" s="1" t="str">
        <f>HYPERLINK("http://www.weizmann.ac.il/complex/compphys/software/geview/data/figures/205623_at.png","Figure")</f>
        <v>Figure</v>
      </c>
      <c r="I12572">
        <v>1.06</v>
      </c>
      <c r="J12572">
        <v>0.7</v>
      </c>
      <c r="K12572">
        <v>0.96199999999999997</v>
      </c>
      <c r="L12572">
        <v>0.81</v>
      </c>
      <c r="M12572">
        <v>0.90700000000000003</v>
      </c>
      <c r="N12572">
        <v>0.34</v>
      </c>
    </row>
    <row r="12573" spans="1:14" x14ac:dyDescent="0.25">
      <c r="A12573" t="s">
        <v>21591</v>
      </c>
      <c r="B12573" t="s">
        <v>21592</v>
      </c>
      <c r="C12573" s="1" t="str">
        <f>HYPERLINK("http://www.genecards.org/cgi-bin/carddisp.pl?gene=VCL","GeneCards")</f>
        <v>GeneCards</v>
      </c>
      <c r="D12573" s="1" t="str">
        <f>HYPERLINK("http://genome-euro.ucsc.edu/cgi-bin/hgTracks?position=200931_s_at","UCSC")</f>
        <v>UCSC</v>
      </c>
      <c r="E12573" s="1" t="str">
        <f>HYPERLINK("http://www.ncbi.nlm.nih.gov/gene/?term=VCL","NCBI")</f>
        <v>NCBI</v>
      </c>
      <c r="F12573">
        <v>0.37</v>
      </c>
      <c r="G12573">
        <v>0.5</v>
      </c>
      <c r="H12573" s="1" t="str">
        <f>HYPERLINK("http://www.weizmann.ac.il/complex/compphys/software/geview/data/figures/200931_s_at.png","Figure")</f>
        <v>Figure</v>
      </c>
      <c r="I12573">
        <v>0.66900000000000004</v>
      </c>
      <c r="J12573">
        <v>0.46</v>
      </c>
      <c r="K12573">
        <v>1.02</v>
      </c>
      <c r="L12573">
        <v>1</v>
      </c>
      <c r="M12573">
        <v>1.52</v>
      </c>
      <c r="N12573">
        <v>0.39</v>
      </c>
    </row>
    <row r="12574" spans="1:14" x14ac:dyDescent="0.25">
      <c r="A12574" t="s">
        <v>21593</v>
      </c>
      <c r="B12574" t="s">
        <v>19963</v>
      </c>
      <c r="C12574" s="1" t="str">
        <f>HYPERLINK("http://www.genecards.org/cgi-bin/carddisp.pl?gene=PRUNE","GeneCards")</f>
        <v>GeneCards</v>
      </c>
      <c r="D12574" s="1" t="str">
        <f>HYPERLINK("http://genome-euro.ucsc.edu/cgi-bin/hgTracks?position=210988_s_at","UCSC")</f>
        <v>UCSC</v>
      </c>
      <c r="E12574" s="1" t="str">
        <f>HYPERLINK("http://www.ncbi.nlm.nih.gov/gene/?term=PRUNE","NCBI")</f>
        <v>NCBI</v>
      </c>
      <c r="F12574">
        <v>0.37</v>
      </c>
      <c r="G12574">
        <v>0.5</v>
      </c>
      <c r="H12574" s="1" t="str">
        <f>HYPERLINK("http://www.weizmann.ac.il/complex/compphys/software/geview/data/figures/210988_s_at.png","Figure")</f>
        <v>Figure</v>
      </c>
      <c r="I12574">
        <v>1.1000000000000001</v>
      </c>
      <c r="J12574">
        <v>0.34</v>
      </c>
      <c r="K12574">
        <v>1.05</v>
      </c>
      <c r="L12574">
        <v>0.69</v>
      </c>
      <c r="M12574">
        <v>0.95599999999999996</v>
      </c>
      <c r="N12574">
        <v>0.73</v>
      </c>
    </row>
    <row r="12575" spans="1:14" x14ac:dyDescent="0.25">
      <c r="A12575" t="s">
        <v>21594</v>
      </c>
      <c r="B12575" t="s">
        <v>21595</v>
      </c>
      <c r="C12575" s="1" t="str">
        <f>HYPERLINK("http://www.genecards.org/cgi-bin/carddisp.pl?gene=EPB42","GeneCards")</f>
        <v>GeneCards</v>
      </c>
      <c r="D12575" s="1" t="str">
        <f>HYPERLINK("http://genome-euro.ucsc.edu/cgi-bin/hgTracks?position=210746_s_at","UCSC")</f>
        <v>UCSC</v>
      </c>
      <c r="E12575" s="1" t="str">
        <f>HYPERLINK("http://www.ncbi.nlm.nih.gov/gene/?term=EPB42","NCBI")</f>
        <v>NCBI</v>
      </c>
      <c r="F12575">
        <v>0.37</v>
      </c>
      <c r="G12575">
        <v>0.5</v>
      </c>
      <c r="H12575" s="1" t="str">
        <f>HYPERLINK("http://www.weizmann.ac.il/complex/compphys/software/geview/data/figures/210746_s_at.png","Figure")</f>
        <v>Figure</v>
      </c>
      <c r="I12575">
        <v>1.67</v>
      </c>
      <c r="J12575">
        <v>0.4</v>
      </c>
      <c r="K12575">
        <v>1.06</v>
      </c>
      <c r="L12575">
        <v>0.98</v>
      </c>
      <c r="M12575">
        <v>0.63700000000000001</v>
      </c>
      <c r="N12575">
        <v>0.44</v>
      </c>
    </row>
    <row r="12576" spans="1:14" x14ac:dyDescent="0.25">
      <c r="A12576" t="s">
        <v>21596</v>
      </c>
      <c r="B12576" t="s">
        <v>21597</v>
      </c>
      <c r="C12576" s="1" t="str">
        <f>HYPERLINK("http://www.genecards.org/cgi-bin/carddisp.pl?gene=DTL","GeneCards")</f>
        <v>GeneCards</v>
      </c>
      <c r="D12576" s="1" t="str">
        <f>HYPERLINK("http://genome-euro.ucsc.edu/cgi-bin/hgTracks?position=218585_s_at","UCSC")</f>
        <v>UCSC</v>
      </c>
      <c r="E12576" s="1" t="str">
        <f>HYPERLINK("http://www.ncbi.nlm.nih.gov/gene/?term=DTL","NCBI")</f>
        <v>NCBI</v>
      </c>
      <c r="F12576">
        <v>0.37</v>
      </c>
      <c r="G12576">
        <v>0.5</v>
      </c>
      <c r="H12576" s="1" t="str">
        <f>HYPERLINK("http://www.weizmann.ac.il/complex/compphys/software/geview/data/figures/218585_s_at.png","Figure")</f>
        <v>Figure</v>
      </c>
      <c r="I12576">
        <v>1.23</v>
      </c>
      <c r="J12576">
        <v>0.61</v>
      </c>
      <c r="K12576">
        <v>0.91700000000000004</v>
      </c>
      <c r="L12576">
        <v>0.89</v>
      </c>
      <c r="M12576">
        <v>0.74399999999999999</v>
      </c>
      <c r="N12576">
        <v>0.34</v>
      </c>
    </row>
    <row r="12577" spans="1:14" x14ac:dyDescent="0.25">
      <c r="A12577" t="s">
        <v>21598</v>
      </c>
      <c r="B12577" t="s">
        <v>14118</v>
      </c>
      <c r="C12577" s="1" t="str">
        <f>HYPERLINK("http://www.genecards.org/cgi-bin/carddisp.pl?gene=ATF7IP","GeneCards")</f>
        <v>GeneCards</v>
      </c>
      <c r="D12577" s="1" t="str">
        <f>HYPERLINK("http://genome-euro.ucsc.edu/cgi-bin/hgTracks?position=218987_at","UCSC")</f>
        <v>UCSC</v>
      </c>
      <c r="E12577" s="1" t="str">
        <f>HYPERLINK("http://www.ncbi.nlm.nih.gov/gene/?term=ATF7IP","NCBI")</f>
        <v>NCBI</v>
      </c>
      <c r="F12577">
        <v>0.37</v>
      </c>
      <c r="G12577">
        <v>0.5</v>
      </c>
      <c r="H12577" s="1" t="str">
        <f>HYPERLINK("http://www.weizmann.ac.il/complex/compphys/software/geview/data/figures/218987_at.png","Figure")</f>
        <v>Figure</v>
      </c>
      <c r="I12577">
        <v>1.3</v>
      </c>
      <c r="J12577">
        <v>0.35</v>
      </c>
      <c r="K12577">
        <v>1.1499999999999999</v>
      </c>
      <c r="L12577">
        <v>0.66</v>
      </c>
      <c r="M12577">
        <v>0.88600000000000001</v>
      </c>
      <c r="N12577">
        <v>0.75</v>
      </c>
    </row>
    <row r="12578" spans="1:14" x14ac:dyDescent="0.25">
      <c r="A12578" t="s">
        <v>21599</v>
      </c>
      <c r="B12578" t="s">
        <v>605</v>
      </c>
      <c r="C12578" s="1" t="str">
        <f>HYPERLINK("http://www.genecards.org/cgi-bin/carddisp.pl?gene=PDE4DIP","GeneCards")</f>
        <v>GeneCards</v>
      </c>
      <c r="D12578" s="1" t="str">
        <f>HYPERLINK("http://genome-euro.ucsc.edu/cgi-bin/hgTracks?position=214099_s_at","UCSC")</f>
        <v>UCSC</v>
      </c>
      <c r="E12578" s="1" t="str">
        <f>HYPERLINK("http://www.ncbi.nlm.nih.gov/gene/?term=PDE4DIP","NCBI")</f>
        <v>NCBI</v>
      </c>
      <c r="F12578">
        <v>0.37</v>
      </c>
      <c r="G12578">
        <v>0.51</v>
      </c>
      <c r="H12578" s="1" t="str">
        <f>HYPERLINK("http://www.weizmann.ac.il/complex/compphys/software/geview/data/figures/214099_s_at.png","Figure")</f>
        <v>Figure</v>
      </c>
      <c r="I12578">
        <v>1.02</v>
      </c>
      <c r="J12578">
        <v>0.75</v>
      </c>
      <c r="K12578">
        <v>1.04</v>
      </c>
      <c r="L12578">
        <v>0.34</v>
      </c>
      <c r="M12578">
        <v>1.02</v>
      </c>
      <c r="N12578">
        <v>0.83</v>
      </c>
    </row>
    <row r="12579" spans="1:14" x14ac:dyDescent="0.25">
      <c r="A12579" t="s">
        <v>21600</v>
      </c>
      <c r="B12579" t="s">
        <v>6713</v>
      </c>
      <c r="C12579" s="1" t="str">
        <f>HYPERLINK("http://www.genecards.org/cgi-bin/carddisp.pl?gene=SIVA1","GeneCards")</f>
        <v>GeneCards</v>
      </c>
      <c r="D12579" s="1" t="str">
        <f>HYPERLINK("http://genome-euro.ucsc.edu/cgi-bin/hgTracks?position=203489_at","UCSC")</f>
        <v>UCSC</v>
      </c>
      <c r="E12579" s="1" t="str">
        <f>HYPERLINK("http://www.ncbi.nlm.nih.gov/gene/?term=SIVA1","NCBI")</f>
        <v>NCBI</v>
      </c>
      <c r="F12579">
        <v>0.37</v>
      </c>
      <c r="G12579">
        <v>0.51</v>
      </c>
      <c r="H12579" s="1" t="str">
        <f>HYPERLINK("http://www.weizmann.ac.il/complex/compphys/software/geview/data/figures/203489_at.png","Figure")</f>
        <v>Figure</v>
      </c>
      <c r="I12579">
        <v>1.03</v>
      </c>
      <c r="J12579">
        <v>0.99</v>
      </c>
      <c r="K12579">
        <v>1.23</v>
      </c>
      <c r="L12579">
        <v>0.41</v>
      </c>
      <c r="M12579">
        <v>1.19</v>
      </c>
      <c r="N12579">
        <v>0.55000000000000004</v>
      </c>
    </row>
    <row r="12580" spans="1:14" x14ac:dyDescent="0.25">
      <c r="A12580" t="s">
        <v>21601</v>
      </c>
      <c r="B12580" t="s">
        <v>1554</v>
      </c>
      <c r="C12580" s="1" t="str">
        <f>HYPERLINK("http://www.genecards.org/cgi-bin/carddisp.pl?gene=SSX2IP","GeneCards")</f>
        <v>GeneCards</v>
      </c>
      <c r="D12580" s="1" t="str">
        <f>HYPERLINK("http://genome-euro.ucsc.edu/cgi-bin/hgTracks?position=210871_x_at","UCSC")</f>
        <v>UCSC</v>
      </c>
      <c r="E12580" s="1" t="str">
        <f>HYPERLINK("http://www.ncbi.nlm.nih.gov/gene/?term=SSX2IP","NCBI")</f>
        <v>NCBI</v>
      </c>
      <c r="F12580">
        <v>0.37</v>
      </c>
      <c r="G12580">
        <v>0.51</v>
      </c>
      <c r="H12580" s="1" t="str">
        <f>HYPERLINK("http://www.weizmann.ac.il/complex/compphys/software/geview/data/figures/210871_x_at.png","Figure")</f>
        <v>Figure</v>
      </c>
      <c r="I12580">
        <v>0.98599999999999999</v>
      </c>
      <c r="J12580">
        <v>0.94</v>
      </c>
      <c r="K12580">
        <v>0.95099999999999996</v>
      </c>
      <c r="L12580">
        <v>0.37</v>
      </c>
      <c r="M12580">
        <v>0.96499999999999997</v>
      </c>
      <c r="N12580">
        <v>0.63</v>
      </c>
    </row>
    <row r="12581" spans="1:14" x14ac:dyDescent="0.25">
      <c r="A12581" t="s">
        <v>21602</v>
      </c>
      <c r="B12581" t="s">
        <v>21603</v>
      </c>
      <c r="C12581" s="1" t="str">
        <f>HYPERLINK("http://www.genecards.org/cgi-bin/carddisp.pl?gene=FOXRED2","GeneCards")</f>
        <v>GeneCards</v>
      </c>
      <c r="D12581" s="1" t="str">
        <f>HYPERLINK("http://genome-euro.ucsc.edu/cgi-bin/hgTracks?position=220707_s_at","UCSC")</f>
        <v>UCSC</v>
      </c>
      <c r="E12581" s="1" t="str">
        <f>HYPERLINK("http://www.ncbi.nlm.nih.gov/gene/?term=FOXRED2","NCBI")</f>
        <v>NCBI</v>
      </c>
      <c r="F12581">
        <v>0.37</v>
      </c>
      <c r="G12581">
        <v>0.51</v>
      </c>
      <c r="H12581" s="1" t="str">
        <f>HYPERLINK("http://www.weizmann.ac.il/complex/compphys/software/geview/data/figures/220707_s_at.png","Figure")</f>
        <v>Figure</v>
      </c>
      <c r="I12581">
        <v>1.1000000000000001</v>
      </c>
      <c r="J12581">
        <v>0.49</v>
      </c>
      <c r="K12581">
        <v>1.1000000000000001</v>
      </c>
      <c r="L12581">
        <v>0.4</v>
      </c>
      <c r="M12581">
        <v>1</v>
      </c>
      <c r="N12581">
        <v>1</v>
      </c>
    </row>
    <row r="12582" spans="1:14" x14ac:dyDescent="0.25">
      <c r="A12582" t="s">
        <v>21604</v>
      </c>
      <c r="B12582" t="s">
        <v>21605</v>
      </c>
      <c r="C12582" s="1" t="str">
        <f>HYPERLINK("http://www.genecards.org/cgi-bin/carddisp.pl?gene=PRAME","GeneCards")</f>
        <v>GeneCards</v>
      </c>
      <c r="D12582" s="1" t="str">
        <f>HYPERLINK("http://genome-euro.ucsc.edu/cgi-bin/hgTracks?position=204086_at","UCSC")</f>
        <v>UCSC</v>
      </c>
      <c r="E12582" s="1" t="str">
        <f>HYPERLINK("http://www.ncbi.nlm.nih.gov/gene/?term=PRAME","NCBI")</f>
        <v>NCBI</v>
      </c>
      <c r="F12582">
        <v>0.37</v>
      </c>
      <c r="G12582">
        <v>0.51</v>
      </c>
      <c r="H12582" s="1" t="str">
        <f>HYPERLINK("http://www.weizmann.ac.il/complex/compphys/software/geview/data/figures/204086_at.png","Figure")</f>
        <v>Figure</v>
      </c>
      <c r="I12582">
        <v>1.01</v>
      </c>
      <c r="J12582">
        <v>1</v>
      </c>
      <c r="K12582">
        <v>0.65500000000000003</v>
      </c>
      <c r="L12582">
        <v>0.45</v>
      </c>
      <c r="M12582">
        <v>0.65100000000000002</v>
      </c>
      <c r="N12582">
        <v>0.49</v>
      </c>
    </row>
    <row r="12583" spans="1:14" x14ac:dyDescent="0.25">
      <c r="A12583" t="s">
        <v>21606</v>
      </c>
      <c r="B12583" t="s">
        <v>18455</v>
      </c>
      <c r="C12583" s="1" t="str">
        <f>HYPERLINK("http://www.genecards.org/cgi-bin/carddisp.pl?gene=CHN2","GeneCards")</f>
        <v>GeneCards</v>
      </c>
      <c r="D12583" s="1" t="str">
        <f>HYPERLINK("http://genome-euro.ucsc.edu/cgi-bin/hgTracks?position=207486_x_at","UCSC")</f>
        <v>UCSC</v>
      </c>
      <c r="E12583" s="1" t="str">
        <f>HYPERLINK("http://www.ncbi.nlm.nih.gov/gene/?term=CHN2","NCBI")</f>
        <v>NCBI</v>
      </c>
      <c r="F12583">
        <v>0.37</v>
      </c>
      <c r="G12583">
        <v>0.51</v>
      </c>
      <c r="H12583" s="1" t="str">
        <f>HYPERLINK("http://www.weizmann.ac.il/complex/compphys/software/geview/data/figures/207486_x_at.png","Figure")</f>
        <v>Figure</v>
      </c>
      <c r="I12583">
        <v>1.1299999999999999</v>
      </c>
      <c r="J12583">
        <v>0.45</v>
      </c>
      <c r="K12583">
        <v>0.998</v>
      </c>
      <c r="L12583">
        <v>1</v>
      </c>
      <c r="M12583">
        <v>0.88300000000000001</v>
      </c>
      <c r="N12583">
        <v>0.39</v>
      </c>
    </row>
    <row r="12584" spans="1:14" x14ac:dyDescent="0.25">
      <c r="A12584" t="s">
        <v>21607</v>
      </c>
      <c r="B12584" t="s">
        <v>796</v>
      </c>
      <c r="C12584" s="1" t="str">
        <f>HYPERLINK("http://www.genecards.org/cgi-bin/carddisp.pl?gene=GM2A","GeneCards")</f>
        <v>GeneCards</v>
      </c>
      <c r="D12584" s="1" t="str">
        <f>HYPERLINK("http://genome-euro.ucsc.edu/cgi-bin/hgTracks?position=215891_s_at","UCSC")</f>
        <v>UCSC</v>
      </c>
      <c r="E12584" s="1" t="str">
        <f>HYPERLINK("http://www.ncbi.nlm.nih.gov/gene/?term=GM2A","NCBI")</f>
        <v>NCBI</v>
      </c>
      <c r="F12584">
        <v>0.37</v>
      </c>
      <c r="G12584">
        <v>0.51</v>
      </c>
      <c r="H12584" s="1" t="str">
        <f>HYPERLINK("http://www.weizmann.ac.il/complex/compphys/software/geview/data/figures/215891_s_at.png","Figure")</f>
        <v>Figure</v>
      </c>
      <c r="I12584">
        <v>1.05</v>
      </c>
      <c r="J12584">
        <v>0.47</v>
      </c>
      <c r="K12584">
        <v>1.05</v>
      </c>
      <c r="L12584">
        <v>0.41</v>
      </c>
      <c r="M12584">
        <v>0.998</v>
      </c>
      <c r="N12584">
        <v>1</v>
      </c>
    </row>
    <row r="12585" spans="1:14" x14ac:dyDescent="0.25">
      <c r="A12585" t="s">
        <v>21608</v>
      </c>
      <c r="B12585" t="s">
        <v>21609</v>
      </c>
      <c r="C12585" s="1" t="str">
        <f>HYPERLINK("http://www.genecards.org/cgi-bin/carddisp.pl?gene=TRPC4AP","GeneCards")</f>
        <v>GeneCards</v>
      </c>
      <c r="D12585" s="1" t="str">
        <f>HYPERLINK("http://genome-euro.ucsc.edu/cgi-bin/hgTracks?position=212059_s_at","UCSC")</f>
        <v>UCSC</v>
      </c>
      <c r="E12585" s="1" t="str">
        <f>HYPERLINK("http://www.ncbi.nlm.nih.gov/gene/?term=TRPC4AP","NCBI")</f>
        <v>NCBI</v>
      </c>
      <c r="F12585">
        <v>0.37</v>
      </c>
      <c r="G12585">
        <v>0.51</v>
      </c>
      <c r="H12585" s="1" t="str">
        <f>HYPERLINK("http://www.weizmann.ac.il/complex/compphys/software/geview/data/figures/212059_s_at.png","Figure")</f>
        <v>Figure</v>
      </c>
      <c r="I12585">
        <v>0.95799999999999996</v>
      </c>
      <c r="J12585">
        <v>0.76</v>
      </c>
      <c r="K12585">
        <v>0.92800000000000005</v>
      </c>
      <c r="L12585">
        <v>0.34</v>
      </c>
      <c r="M12585">
        <v>0.96799999999999997</v>
      </c>
      <c r="N12585">
        <v>0.83</v>
      </c>
    </row>
    <row r="12586" spans="1:14" x14ac:dyDescent="0.25">
      <c r="A12586" t="s">
        <v>21610</v>
      </c>
      <c r="B12586" t="s">
        <v>21611</v>
      </c>
      <c r="C12586" s="1" t="str">
        <f>HYPERLINK("http://www.genecards.org/cgi-bin/carddisp.pl?gene=WWC1","GeneCards")</f>
        <v>GeneCards</v>
      </c>
      <c r="D12586" s="1" t="str">
        <f>HYPERLINK("http://genome-euro.ucsc.edu/cgi-bin/hgTracks?position=213085_s_at","UCSC")</f>
        <v>UCSC</v>
      </c>
      <c r="E12586" s="1" t="str">
        <f>HYPERLINK("http://www.ncbi.nlm.nih.gov/gene/?term=WWC1","NCBI")</f>
        <v>NCBI</v>
      </c>
      <c r="F12586">
        <v>0.37</v>
      </c>
      <c r="G12586">
        <v>0.51</v>
      </c>
      <c r="H12586" s="1" t="str">
        <f>HYPERLINK("http://www.weizmann.ac.il/complex/compphys/software/geview/data/figures/213085_s_at.png","Figure")</f>
        <v>Figure</v>
      </c>
      <c r="I12586">
        <v>1.06</v>
      </c>
      <c r="J12586">
        <v>0.67</v>
      </c>
      <c r="K12586">
        <v>0.96699999999999997</v>
      </c>
      <c r="L12586">
        <v>0.84</v>
      </c>
      <c r="M12586">
        <v>0.91</v>
      </c>
      <c r="N12586">
        <v>0.34</v>
      </c>
    </row>
    <row r="12587" spans="1:14" x14ac:dyDescent="0.25">
      <c r="A12587" t="s">
        <v>21612</v>
      </c>
      <c r="B12587" t="s">
        <v>21613</v>
      </c>
      <c r="C12587" s="1" t="str">
        <f>HYPERLINK("http://www.genecards.org/cgi-bin/carddisp.pl?gene=KCNAB1","GeneCards")</f>
        <v>GeneCards</v>
      </c>
      <c r="D12587" s="1" t="str">
        <f>HYPERLINK("http://genome-euro.ucsc.edu/cgi-bin/hgTracks?position=210079_x_at","UCSC")</f>
        <v>UCSC</v>
      </c>
      <c r="E12587" s="1" t="str">
        <f>HYPERLINK("http://www.ncbi.nlm.nih.gov/gene/?term=KCNAB1","NCBI")</f>
        <v>NCBI</v>
      </c>
      <c r="F12587">
        <v>0.37</v>
      </c>
      <c r="G12587">
        <v>0.51</v>
      </c>
      <c r="H12587" s="1" t="str">
        <f>HYPERLINK("http://www.weizmann.ac.il/complex/compphys/software/geview/data/figures/210079_x_at.png","Figure")</f>
        <v>Figure</v>
      </c>
      <c r="I12587">
        <v>1.08</v>
      </c>
      <c r="J12587">
        <v>0.44</v>
      </c>
      <c r="K12587">
        <v>1</v>
      </c>
      <c r="L12587">
        <v>1</v>
      </c>
      <c r="M12587">
        <v>0.92800000000000005</v>
      </c>
      <c r="N12587">
        <v>0.4</v>
      </c>
    </row>
    <row r="12588" spans="1:14" x14ac:dyDescent="0.25">
      <c r="A12588" t="s">
        <v>21614</v>
      </c>
      <c r="B12588" t="s">
        <v>21615</v>
      </c>
      <c r="C12588" s="1" t="str">
        <f>HYPERLINK("http://www.genecards.org/cgi-bin/carddisp.pl?gene=PRKRA","GeneCards")</f>
        <v>GeneCards</v>
      </c>
      <c r="D12588" s="1" t="str">
        <f>HYPERLINK("http://genome-euro.ucsc.edu/cgi-bin/hgTracks?position=209139_s_at","UCSC")</f>
        <v>UCSC</v>
      </c>
      <c r="E12588" s="1" t="str">
        <f>HYPERLINK("http://www.ncbi.nlm.nih.gov/gene/?term=PRKRA","NCBI")</f>
        <v>NCBI</v>
      </c>
      <c r="F12588">
        <v>0.38</v>
      </c>
      <c r="G12588">
        <v>0.51</v>
      </c>
      <c r="H12588" s="1" t="str">
        <f>HYPERLINK("http://www.weizmann.ac.il/complex/compphys/software/geview/data/figures/209139_s_at.png","Figure")</f>
        <v>Figure</v>
      </c>
      <c r="I12588">
        <v>0.79</v>
      </c>
      <c r="J12588">
        <v>0.56000000000000005</v>
      </c>
      <c r="K12588">
        <v>1.07</v>
      </c>
      <c r="L12588">
        <v>0.94</v>
      </c>
      <c r="M12588">
        <v>1.35</v>
      </c>
      <c r="N12588">
        <v>0.35</v>
      </c>
    </row>
    <row r="12589" spans="1:14" x14ac:dyDescent="0.25">
      <c r="A12589" t="s">
        <v>21616</v>
      </c>
      <c r="B12589" t="s">
        <v>15569</v>
      </c>
      <c r="C12589" s="1" t="str">
        <f>HYPERLINK("http://www.genecards.org/cgi-bin/carddisp.pl?gene=KCNH2","GeneCards")</f>
        <v>GeneCards</v>
      </c>
      <c r="D12589" s="1" t="str">
        <f>HYPERLINK("http://genome-euro.ucsc.edu/cgi-bin/hgTracks?position=210036_s_at","UCSC")</f>
        <v>UCSC</v>
      </c>
      <c r="E12589" s="1" t="str">
        <f>HYPERLINK("http://www.ncbi.nlm.nih.gov/gene/?term=KCNH2","NCBI")</f>
        <v>NCBI</v>
      </c>
      <c r="F12589">
        <v>0.38</v>
      </c>
      <c r="G12589">
        <v>0.51</v>
      </c>
      <c r="H12589" s="1" t="str">
        <f>HYPERLINK("http://www.weizmann.ac.il/complex/compphys/software/geview/data/figures/210036_s_at.png","Figure")</f>
        <v>Figure</v>
      </c>
      <c r="I12589">
        <v>1.23</v>
      </c>
      <c r="J12589">
        <v>0.46</v>
      </c>
      <c r="K12589">
        <v>0.99</v>
      </c>
      <c r="L12589">
        <v>1</v>
      </c>
      <c r="M12589">
        <v>0.80500000000000005</v>
      </c>
      <c r="N12589">
        <v>0.39</v>
      </c>
    </row>
    <row r="12590" spans="1:14" x14ac:dyDescent="0.25">
      <c r="A12590" t="s">
        <v>21617</v>
      </c>
      <c r="B12590" t="s">
        <v>10223</v>
      </c>
      <c r="C12590" s="1" t="str">
        <f>HYPERLINK("http://www.genecards.org/cgi-bin/carddisp.pl?gene=SAR1A","GeneCards")</f>
        <v>GeneCards</v>
      </c>
      <c r="D12590" s="1" t="str">
        <f>HYPERLINK("http://genome-euro.ucsc.edu/cgi-bin/hgTracks?position=210790_s_at","UCSC")</f>
        <v>UCSC</v>
      </c>
      <c r="E12590" s="1" t="str">
        <f>HYPERLINK("http://www.ncbi.nlm.nih.gov/gene/?term=SAR1A","NCBI")</f>
        <v>NCBI</v>
      </c>
      <c r="F12590">
        <v>0.38</v>
      </c>
      <c r="G12590">
        <v>0.51</v>
      </c>
      <c r="H12590" s="1" t="str">
        <f>HYPERLINK("http://www.weizmann.ac.il/complex/compphys/software/geview/data/figures/210790_s_at.png","Figure")</f>
        <v>Figure</v>
      </c>
      <c r="I12590">
        <v>1.03</v>
      </c>
      <c r="J12590">
        <v>0.97</v>
      </c>
      <c r="K12590">
        <v>0.875</v>
      </c>
      <c r="L12590">
        <v>0.52</v>
      </c>
      <c r="M12590">
        <v>0.84899999999999998</v>
      </c>
      <c r="N12590">
        <v>0.43</v>
      </c>
    </row>
    <row r="12591" spans="1:14" x14ac:dyDescent="0.25">
      <c r="A12591" t="s">
        <v>21618</v>
      </c>
      <c r="B12591" t="s">
        <v>21619</v>
      </c>
      <c r="C12591" s="1" t="str">
        <f>HYPERLINK("http://www.genecards.org/cgi-bin/carddisp.pl?gene=LTBP3","GeneCards")</f>
        <v>GeneCards</v>
      </c>
      <c r="D12591" s="1" t="str">
        <f>HYPERLINK("http://genome-euro.ucsc.edu/cgi-bin/hgTracks?position=219922_s_at","UCSC")</f>
        <v>UCSC</v>
      </c>
      <c r="E12591" s="1" t="str">
        <f>HYPERLINK("http://www.ncbi.nlm.nih.gov/gene/?term=LTBP3","NCBI")</f>
        <v>NCBI</v>
      </c>
      <c r="F12591">
        <v>0.38</v>
      </c>
      <c r="G12591">
        <v>0.51</v>
      </c>
      <c r="H12591" s="1" t="str">
        <f>HYPERLINK("http://www.weizmann.ac.il/complex/compphys/software/geview/data/figures/219922_s_at.png","Figure")</f>
        <v>Figure</v>
      </c>
      <c r="I12591">
        <v>0.96299999999999997</v>
      </c>
      <c r="J12591">
        <v>0.98</v>
      </c>
      <c r="K12591">
        <v>1.21</v>
      </c>
      <c r="L12591">
        <v>0.51</v>
      </c>
      <c r="M12591">
        <v>1.26</v>
      </c>
      <c r="N12591">
        <v>0.43</v>
      </c>
    </row>
    <row r="12592" spans="1:14" x14ac:dyDescent="0.25">
      <c r="A12592" t="s">
        <v>21620</v>
      </c>
      <c r="B12592" t="s">
        <v>17182</v>
      </c>
      <c r="C12592" s="1" t="str">
        <f>HYPERLINK("http://www.genecards.org/cgi-bin/carddisp.pl?gene=EHBP1L1","GeneCards")</f>
        <v>GeneCards</v>
      </c>
      <c r="D12592" s="1" t="str">
        <f>HYPERLINK("http://genome-euro.ucsc.edu/cgi-bin/hgTracks?position=91703_at","UCSC")</f>
        <v>UCSC</v>
      </c>
      <c r="E12592" s="1" t="str">
        <f>HYPERLINK("http://www.ncbi.nlm.nih.gov/gene/?term=EHBP1L1","NCBI")</f>
        <v>NCBI</v>
      </c>
      <c r="F12592">
        <v>0.38</v>
      </c>
      <c r="G12592">
        <v>0.51</v>
      </c>
      <c r="H12592" s="1" t="str">
        <f>HYPERLINK("http://www.weizmann.ac.il/complex/compphys/software/geview/data/figures/91703_at.png","Figure")</f>
        <v>Figure</v>
      </c>
      <c r="I12592">
        <v>1.29</v>
      </c>
      <c r="J12592">
        <v>0.54</v>
      </c>
      <c r="K12592">
        <v>1.33</v>
      </c>
      <c r="L12592">
        <v>0.38</v>
      </c>
      <c r="M12592">
        <v>1.03</v>
      </c>
      <c r="N12592">
        <v>0.99</v>
      </c>
    </row>
    <row r="12593" spans="1:14" x14ac:dyDescent="0.25">
      <c r="A12593" t="s">
        <v>21621</v>
      </c>
      <c r="B12593" t="s">
        <v>21622</v>
      </c>
      <c r="C12593" s="1" t="str">
        <f>HYPERLINK("http://www.genecards.org/cgi-bin/carddisp.pl?gene=MYOM1","GeneCards")</f>
        <v>GeneCards</v>
      </c>
      <c r="D12593" s="1" t="str">
        <f>HYPERLINK("http://genome-euro.ucsc.edu/cgi-bin/hgTracks?position=205610_at","UCSC")</f>
        <v>UCSC</v>
      </c>
      <c r="E12593" s="1" t="str">
        <f>HYPERLINK("http://www.ncbi.nlm.nih.gov/gene/?term=MYOM1","NCBI")</f>
        <v>NCBI</v>
      </c>
      <c r="F12593">
        <v>0.38</v>
      </c>
      <c r="G12593">
        <v>0.51</v>
      </c>
      <c r="H12593" s="1" t="str">
        <f>HYPERLINK("http://www.weizmann.ac.il/complex/compphys/software/geview/data/figures/205610_at.png","Figure")</f>
        <v>Figure</v>
      </c>
      <c r="I12593">
        <v>0.91200000000000003</v>
      </c>
      <c r="J12593">
        <v>0.49</v>
      </c>
      <c r="K12593">
        <v>1.01</v>
      </c>
      <c r="L12593">
        <v>0.99</v>
      </c>
      <c r="M12593">
        <v>1.1100000000000001</v>
      </c>
      <c r="N12593">
        <v>0.37</v>
      </c>
    </row>
    <row r="12594" spans="1:14" x14ac:dyDescent="0.25">
      <c r="A12594" t="s">
        <v>21623</v>
      </c>
      <c r="B12594" t="s">
        <v>21624</v>
      </c>
      <c r="C12594" s="1" t="str">
        <f>HYPERLINK("http://www.genecards.org/cgi-bin/carddisp.pl?gene=ACAT2","GeneCards")</f>
        <v>GeneCards</v>
      </c>
      <c r="D12594" s="1" t="str">
        <f>HYPERLINK("http://genome-euro.ucsc.edu/cgi-bin/hgTracks?position=209608_s_at","UCSC")</f>
        <v>UCSC</v>
      </c>
      <c r="E12594" s="1" t="str">
        <f>HYPERLINK("http://www.ncbi.nlm.nih.gov/gene/?term=ACAT2","NCBI")</f>
        <v>NCBI</v>
      </c>
      <c r="F12594">
        <v>0.38</v>
      </c>
      <c r="G12594">
        <v>0.51</v>
      </c>
      <c r="H12594" s="1" t="str">
        <f>HYPERLINK("http://www.weizmann.ac.il/complex/compphys/software/geview/data/figures/209608_s_at.png","Figure")</f>
        <v>Figure</v>
      </c>
      <c r="I12594">
        <v>0.90200000000000002</v>
      </c>
      <c r="J12594">
        <v>0.7</v>
      </c>
      <c r="K12594">
        <v>1.07</v>
      </c>
      <c r="L12594">
        <v>0.81</v>
      </c>
      <c r="M12594">
        <v>1.19</v>
      </c>
      <c r="N12594">
        <v>0.34</v>
      </c>
    </row>
    <row r="12595" spans="1:14" x14ac:dyDescent="0.25">
      <c r="A12595" t="s">
        <v>21625</v>
      </c>
      <c r="B12595" t="s">
        <v>1058</v>
      </c>
      <c r="C12595" s="1" t="str">
        <f>HYPERLINK("http://www.genecards.org/cgi-bin/carddisp.pl?gene=IRF5","GeneCards")</f>
        <v>GeneCards</v>
      </c>
      <c r="D12595" s="1" t="str">
        <f>HYPERLINK("http://genome-euro.ucsc.edu/cgi-bin/hgTracks?position=205468_s_at","UCSC")</f>
        <v>UCSC</v>
      </c>
      <c r="E12595" s="1" t="str">
        <f>HYPERLINK("http://www.ncbi.nlm.nih.gov/gene/?term=IRF5","NCBI")</f>
        <v>NCBI</v>
      </c>
      <c r="F12595">
        <v>0.38</v>
      </c>
      <c r="G12595">
        <v>0.51</v>
      </c>
      <c r="H12595" s="1" t="str">
        <f>HYPERLINK("http://www.weizmann.ac.il/complex/compphys/software/geview/data/figures/205468_s_at.png","Figure")</f>
        <v>Figure</v>
      </c>
      <c r="I12595">
        <v>1.05</v>
      </c>
      <c r="J12595">
        <v>0.83</v>
      </c>
      <c r="K12595">
        <v>1.1200000000000001</v>
      </c>
      <c r="L12595">
        <v>0.35</v>
      </c>
      <c r="M12595">
        <v>1.06</v>
      </c>
      <c r="N12595">
        <v>0.76</v>
      </c>
    </row>
    <row r="12596" spans="1:14" x14ac:dyDescent="0.25">
      <c r="A12596" t="s">
        <v>21626</v>
      </c>
      <c r="B12596" t="s">
        <v>20941</v>
      </c>
      <c r="C12596" s="1" t="str">
        <f>HYPERLINK("http://www.genecards.org/cgi-bin/carddisp.pl?gene=FBXW11","GeneCards")</f>
        <v>GeneCards</v>
      </c>
      <c r="D12596" s="1" t="str">
        <f>HYPERLINK("http://genome-euro.ucsc.edu/cgi-bin/hgTracks?position=209455_at","UCSC")</f>
        <v>UCSC</v>
      </c>
      <c r="E12596" s="1" t="str">
        <f>HYPERLINK("http://www.ncbi.nlm.nih.gov/gene/?term=FBXW11","NCBI")</f>
        <v>NCBI</v>
      </c>
      <c r="F12596">
        <v>0.38</v>
      </c>
      <c r="G12596">
        <v>0.51</v>
      </c>
      <c r="H12596" s="1" t="str">
        <f>HYPERLINK("http://www.weizmann.ac.il/complex/compphys/software/geview/data/figures/209455_at.png","Figure")</f>
        <v>Figure</v>
      </c>
      <c r="I12596">
        <v>0.70799999999999996</v>
      </c>
      <c r="J12596">
        <v>0.49</v>
      </c>
      <c r="K12596">
        <v>0.70699999999999996</v>
      </c>
      <c r="L12596">
        <v>0.4</v>
      </c>
      <c r="M12596">
        <v>0.998</v>
      </c>
      <c r="N12596">
        <v>1</v>
      </c>
    </row>
    <row r="12597" spans="1:14" x14ac:dyDescent="0.25">
      <c r="A12597" t="s">
        <v>21627</v>
      </c>
      <c r="B12597" t="s">
        <v>12373</v>
      </c>
      <c r="C12597" s="1" t="str">
        <f>HYPERLINK("http://www.genecards.org/cgi-bin/carddisp.pl?gene=EXOC7","GeneCards")</f>
        <v>GeneCards</v>
      </c>
      <c r="D12597" s="1" t="str">
        <f>HYPERLINK("http://genome-euro.ucsc.edu/cgi-bin/hgTracks?position=212034_s_at","UCSC")</f>
        <v>UCSC</v>
      </c>
      <c r="E12597" s="1" t="str">
        <f>HYPERLINK("http://www.ncbi.nlm.nih.gov/gene/?term=EXOC7","NCBI")</f>
        <v>NCBI</v>
      </c>
      <c r="F12597">
        <v>0.38</v>
      </c>
      <c r="G12597">
        <v>0.51</v>
      </c>
      <c r="H12597" s="1" t="str">
        <f>HYPERLINK("http://www.weizmann.ac.il/complex/compphys/software/geview/data/figures/212034_s_at.png","Figure")</f>
        <v>Figure</v>
      </c>
      <c r="I12597">
        <v>1.1599999999999999</v>
      </c>
      <c r="J12597">
        <v>0.69</v>
      </c>
      <c r="K12597">
        <v>1.25</v>
      </c>
      <c r="L12597">
        <v>0.35</v>
      </c>
      <c r="M12597">
        <v>1.08</v>
      </c>
      <c r="N12597">
        <v>0.89</v>
      </c>
    </row>
    <row r="12598" spans="1:14" x14ac:dyDescent="0.25">
      <c r="A12598" t="s">
        <v>21628</v>
      </c>
      <c r="B12598" t="s">
        <v>21629</v>
      </c>
      <c r="C12598" s="1" t="str">
        <f>HYPERLINK("http://www.genecards.org/cgi-bin/carddisp.pl?gene=C13orf27","GeneCards")</f>
        <v>GeneCards</v>
      </c>
      <c r="D12598" s="1" t="str">
        <f>HYPERLINK("http://genome-euro.ucsc.edu/cgi-bin/hgTracks?position=213346_at","UCSC")</f>
        <v>UCSC</v>
      </c>
      <c r="E12598" s="1" t="str">
        <f>HYPERLINK("http://www.ncbi.nlm.nih.gov/gene/?term=C13orf27","NCBI")</f>
        <v>NCBI</v>
      </c>
      <c r="F12598">
        <v>0.38</v>
      </c>
      <c r="G12598">
        <v>0.51</v>
      </c>
      <c r="H12598" s="1" t="str">
        <f>HYPERLINK("http://www.weizmann.ac.il/complex/compphys/software/geview/data/figures/213346_at.png","Figure")</f>
        <v>Figure</v>
      </c>
      <c r="I12598">
        <v>0.81299999999999994</v>
      </c>
      <c r="J12598">
        <v>0.4</v>
      </c>
      <c r="K12598">
        <v>0.97599999999999998</v>
      </c>
      <c r="L12598">
        <v>0.98</v>
      </c>
      <c r="M12598">
        <v>1.2</v>
      </c>
      <c r="N12598">
        <v>0.44</v>
      </c>
    </row>
    <row r="12599" spans="1:14" x14ac:dyDescent="0.25">
      <c r="A12599" t="s">
        <v>21630</v>
      </c>
      <c r="B12599" t="s">
        <v>21631</v>
      </c>
      <c r="C12599" s="1" t="str">
        <f>HYPERLINK("http://www.genecards.org/cgi-bin/carddisp.pl?gene=DNAI1","GeneCards")</f>
        <v>GeneCards</v>
      </c>
      <c r="D12599" s="1" t="str">
        <f>HYPERLINK("http://genome-euro.ucsc.edu/cgi-bin/hgTracks?position=220125_at","UCSC")</f>
        <v>UCSC</v>
      </c>
      <c r="E12599" s="1" t="str">
        <f>HYPERLINK("http://www.ncbi.nlm.nih.gov/gene/?term=DNAI1","NCBI")</f>
        <v>NCBI</v>
      </c>
      <c r="F12599">
        <v>0.38</v>
      </c>
      <c r="G12599">
        <v>0.51</v>
      </c>
      <c r="H12599" s="1" t="str">
        <f>HYPERLINK("http://www.weizmann.ac.il/complex/compphys/software/geview/data/figures/220125_at.png","Figure")</f>
        <v>Figure</v>
      </c>
      <c r="I12599">
        <v>1.03</v>
      </c>
      <c r="J12599">
        <v>0.89</v>
      </c>
      <c r="K12599">
        <v>1.0900000000000001</v>
      </c>
      <c r="L12599">
        <v>0.36</v>
      </c>
      <c r="M12599">
        <v>1.05</v>
      </c>
      <c r="N12599">
        <v>0.69</v>
      </c>
    </row>
    <row r="12600" spans="1:14" x14ac:dyDescent="0.25">
      <c r="A12600" t="s">
        <v>21632</v>
      </c>
      <c r="B12600" t="s">
        <v>4190</v>
      </c>
      <c r="C12600" s="1" t="str">
        <f>HYPERLINK("http://www.genecards.org/cgi-bin/carddisp.pl?gene=WIPF1","GeneCards")</f>
        <v>GeneCards</v>
      </c>
      <c r="D12600" s="1" t="str">
        <f>HYPERLINK("http://genome-euro.ucsc.edu/cgi-bin/hgTracks?position=202665_s_at","UCSC")</f>
        <v>UCSC</v>
      </c>
      <c r="E12600" s="1" t="str">
        <f>HYPERLINK("http://www.ncbi.nlm.nih.gov/gene/?term=WIPF1","NCBI")</f>
        <v>NCBI</v>
      </c>
      <c r="F12600">
        <v>0.38</v>
      </c>
      <c r="G12600">
        <v>0.51</v>
      </c>
      <c r="H12600" s="1" t="str">
        <f>HYPERLINK("http://www.weizmann.ac.il/complex/compphys/software/geview/data/figures/202665_s_at.png","Figure")</f>
        <v>Figure</v>
      </c>
      <c r="I12600">
        <v>1.1499999999999999</v>
      </c>
      <c r="J12600">
        <v>0.36</v>
      </c>
      <c r="K12600">
        <v>1.0900000000000001</v>
      </c>
      <c r="L12600">
        <v>0.6</v>
      </c>
      <c r="M12600">
        <v>0.94699999999999995</v>
      </c>
      <c r="N12600">
        <v>0.82</v>
      </c>
    </row>
    <row r="12601" spans="1:14" x14ac:dyDescent="0.25">
      <c r="A12601" t="s">
        <v>21633</v>
      </c>
      <c r="B12601" t="s">
        <v>7547</v>
      </c>
      <c r="C12601" s="1" t="str">
        <f>HYPERLINK("http://www.genecards.org/cgi-bin/carddisp.pl?gene=MAST2","GeneCards")</f>
        <v>GeneCards</v>
      </c>
      <c r="D12601" s="1" t="str">
        <f>HYPERLINK("http://genome-euro.ucsc.edu/cgi-bin/hgTracks?position=215660_s_at","UCSC")</f>
        <v>UCSC</v>
      </c>
      <c r="E12601" s="1" t="str">
        <f>HYPERLINK("http://www.ncbi.nlm.nih.gov/gene/?term=MAST2","NCBI")</f>
        <v>NCBI</v>
      </c>
      <c r="F12601">
        <v>0.38</v>
      </c>
      <c r="G12601">
        <v>0.51</v>
      </c>
      <c r="H12601" s="1" t="str">
        <f>HYPERLINK("http://www.weizmann.ac.il/complex/compphys/software/geview/data/figures/215660_s_at.png","Figure")</f>
        <v>Figure</v>
      </c>
      <c r="I12601">
        <v>1.1200000000000001</v>
      </c>
      <c r="J12601">
        <v>0.35</v>
      </c>
      <c r="K12601">
        <v>1.06</v>
      </c>
      <c r="L12601">
        <v>0.71</v>
      </c>
      <c r="M12601">
        <v>0.94199999999999995</v>
      </c>
      <c r="N12601">
        <v>0.71</v>
      </c>
    </row>
    <row r="12602" spans="1:14" x14ac:dyDescent="0.25">
      <c r="A12602" t="s">
        <v>21634</v>
      </c>
      <c r="B12602" t="s">
        <v>21635</v>
      </c>
      <c r="C12602" s="1" t="str">
        <f>HYPERLINK("http://www.genecards.org/cgi-bin/carddisp.pl?gene=ING1","GeneCards")</f>
        <v>GeneCards</v>
      </c>
      <c r="D12602" s="1" t="str">
        <f>HYPERLINK("http://genome-euro.ucsc.edu/cgi-bin/hgTracks?position=210350_x_at","UCSC")</f>
        <v>UCSC</v>
      </c>
      <c r="E12602" s="1" t="str">
        <f>HYPERLINK("http://www.ncbi.nlm.nih.gov/gene/?term=ING1","NCBI")</f>
        <v>NCBI</v>
      </c>
      <c r="F12602">
        <v>0.38</v>
      </c>
      <c r="G12602">
        <v>0.51</v>
      </c>
      <c r="H12602" s="1" t="str">
        <f>HYPERLINK("http://www.weizmann.ac.il/complex/compphys/software/geview/data/figures/210350_x_at.png","Figure")</f>
        <v>Figure</v>
      </c>
      <c r="I12602">
        <v>0.98499999999999999</v>
      </c>
      <c r="J12602">
        <v>0.96</v>
      </c>
      <c r="K12602">
        <v>1.05</v>
      </c>
      <c r="L12602">
        <v>0.54</v>
      </c>
      <c r="M12602">
        <v>1.07</v>
      </c>
      <c r="N12602">
        <v>0.41</v>
      </c>
    </row>
    <row r="12603" spans="1:14" x14ac:dyDescent="0.25">
      <c r="A12603" t="s">
        <v>21636</v>
      </c>
      <c r="B12603" t="s">
        <v>18731</v>
      </c>
      <c r="C12603" s="1" t="str">
        <f>HYPERLINK("http://www.genecards.org/cgi-bin/carddisp.pl?gene=HNRNPA3 /// HNRNPA3P1","GeneCards")</f>
        <v>GeneCards</v>
      </c>
      <c r="D12603" s="1" t="str">
        <f>HYPERLINK("http://genome-euro.ucsc.edu/cgi-bin/hgTracks?position=211933_s_at","UCSC")</f>
        <v>UCSC</v>
      </c>
      <c r="E12603" s="1" t="str">
        <f>HYPERLINK("http://www.ncbi.nlm.nih.gov/gene/?term=HNRNPA3 /// HNRNPA3P1","NCBI")</f>
        <v>NCBI</v>
      </c>
      <c r="F12603">
        <v>0.38</v>
      </c>
      <c r="G12603">
        <v>0.51</v>
      </c>
      <c r="H12603" s="1" t="str">
        <f>HYPERLINK("http://www.weizmann.ac.il/complex/compphys/software/geview/data/figures/211933_s_at.png","Figure")</f>
        <v>Figure</v>
      </c>
      <c r="I12603">
        <v>0.89800000000000002</v>
      </c>
      <c r="J12603">
        <v>0.83</v>
      </c>
      <c r="K12603">
        <v>1.1399999999999999</v>
      </c>
      <c r="L12603">
        <v>0.68</v>
      </c>
      <c r="M12603">
        <v>1.27</v>
      </c>
      <c r="N12603">
        <v>0.36</v>
      </c>
    </row>
    <row r="12604" spans="1:14" x14ac:dyDescent="0.25">
      <c r="A12604" t="s">
        <v>21637</v>
      </c>
      <c r="B12604" t="s">
        <v>21638</v>
      </c>
      <c r="C12604" s="1" t="str">
        <f>HYPERLINK("http://www.genecards.org/cgi-bin/carddisp.pl?gene=AMBN","GeneCards")</f>
        <v>GeneCards</v>
      </c>
      <c r="D12604" s="1" t="str">
        <f>HYPERLINK("http://genome-euro.ucsc.edu/cgi-bin/hgTracks?position=221114_at","UCSC")</f>
        <v>UCSC</v>
      </c>
      <c r="E12604" s="1" t="str">
        <f>HYPERLINK("http://www.ncbi.nlm.nih.gov/gene/?term=AMBN","NCBI")</f>
        <v>NCBI</v>
      </c>
      <c r="F12604">
        <v>0.38</v>
      </c>
      <c r="G12604">
        <v>0.51</v>
      </c>
      <c r="H12604" s="1" t="str">
        <f>HYPERLINK("http://www.weizmann.ac.il/complex/compphys/software/geview/data/figures/221114_at.png","Figure")</f>
        <v>Figure</v>
      </c>
      <c r="I12604">
        <v>1.1100000000000001</v>
      </c>
      <c r="J12604">
        <v>0.36</v>
      </c>
      <c r="K12604">
        <v>1.03</v>
      </c>
      <c r="L12604">
        <v>0.88</v>
      </c>
      <c r="M12604">
        <v>0.93100000000000005</v>
      </c>
      <c r="N12604">
        <v>0.55000000000000004</v>
      </c>
    </row>
    <row r="12605" spans="1:14" x14ac:dyDescent="0.25">
      <c r="A12605" t="s">
        <v>21639</v>
      </c>
      <c r="B12605" t="s">
        <v>5273</v>
      </c>
      <c r="C12605" s="1" t="str">
        <f>HYPERLINK("http://www.genecards.org/cgi-bin/carddisp.pl?gene=STAT1","GeneCards")</f>
        <v>GeneCards</v>
      </c>
      <c r="D12605" s="1" t="str">
        <f>HYPERLINK("http://genome-euro.ucsc.edu/cgi-bin/hgTracks?position=200887_s_at","UCSC")</f>
        <v>UCSC</v>
      </c>
      <c r="E12605" s="1" t="str">
        <f>HYPERLINK("http://www.ncbi.nlm.nih.gov/gene/?term=STAT1","NCBI")</f>
        <v>NCBI</v>
      </c>
      <c r="F12605">
        <v>0.38</v>
      </c>
      <c r="G12605">
        <v>0.51</v>
      </c>
      <c r="H12605" s="1" t="str">
        <f>HYPERLINK("http://www.weizmann.ac.il/complex/compphys/software/geview/data/figures/200887_s_at.png","Figure")</f>
        <v>Figure</v>
      </c>
      <c r="I12605">
        <v>1.34</v>
      </c>
      <c r="J12605">
        <v>0.57999999999999996</v>
      </c>
      <c r="K12605">
        <v>1.42</v>
      </c>
      <c r="L12605">
        <v>0.36</v>
      </c>
      <c r="M12605">
        <v>1.06</v>
      </c>
      <c r="N12605">
        <v>0.97</v>
      </c>
    </row>
    <row r="12606" spans="1:14" x14ac:dyDescent="0.25">
      <c r="A12606" t="s">
        <v>21640</v>
      </c>
      <c r="B12606" t="s">
        <v>21641</v>
      </c>
      <c r="C12606" s="1" t="str">
        <f>HYPERLINK("http://www.genecards.org/cgi-bin/carddisp.pl?gene=MBTPS2","GeneCards")</f>
        <v>GeneCards</v>
      </c>
      <c r="D12606" s="1" t="str">
        <f>HYPERLINK("http://genome-euro.ucsc.edu/cgi-bin/hgTracks?position=206473_at","UCSC")</f>
        <v>UCSC</v>
      </c>
      <c r="E12606" s="1" t="str">
        <f>HYPERLINK("http://www.ncbi.nlm.nih.gov/gene/?term=MBTPS2","NCBI")</f>
        <v>NCBI</v>
      </c>
      <c r="F12606">
        <v>0.38</v>
      </c>
      <c r="G12606">
        <v>0.51</v>
      </c>
      <c r="H12606" s="1" t="str">
        <f>HYPERLINK("http://www.weizmann.ac.il/complex/compphys/software/geview/data/figures/206473_at.png","Figure")</f>
        <v>Figure</v>
      </c>
      <c r="I12606">
        <v>1.1299999999999999</v>
      </c>
      <c r="J12606">
        <v>0.38</v>
      </c>
      <c r="K12606">
        <v>1.0900000000000001</v>
      </c>
      <c r="L12606">
        <v>0.54</v>
      </c>
      <c r="M12606">
        <v>0.96199999999999997</v>
      </c>
      <c r="N12606">
        <v>0.89</v>
      </c>
    </row>
    <row r="12607" spans="1:14" x14ac:dyDescent="0.25">
      <c r="A12607" t="s">
        <v>21642</v>
      </c>
      <c r="B12607" t="s">
        <v>21643</v>
      </c>
      <c r="C12607" s="1" t="str">
        <f>HYPERLINK("http://www.genecards.org/cgi-bin/carddisp.pl?gene=RALA","GeneCards")</f>
        <v>GeneCards</v>
      </c>
      <c r="D12607" s="1" t="str">
        <f>HYPERLINK("http://genome-euro.ucsc.edu/cgi-bin/hgTracks?position=214435_x_at","UCSC")</f>
        <v>UCSC</v>
      </c>
      <c r="E12607" s="1" t="str">
        <f>HYPERLINK("http://www.ncbi.nlm.nih.gov/gene/?term=RALA","NCBI")</f>
        <v>NCBI</v>
      </c>
      <c r="F12607">
        <v>0.38</v>
      </c>
      <c r="G12607">
        <v>0.51</v>
      </c>
      <c r="H12607" s="1" t="str">
        <f>HYPERLINK("http://www.weizmann.ac.il/complex/compphys/software/geview/data/figures/214435_x_at.png","Figure")</f>
        <v>Figure</v>
      </c>
      <c r="I12607">
        <v>0.96399999999999997</v>
      </c>
      <c r="J12607">
        <v>0.9</v>
      </c>
      <c r="K12607">
        <v>0.90100000000000002</v>
      </c>
      <c r="L12607">
        <v>0.36</v>
      </c>
      <c r="M12607">
        <v>0.93500000000000005</v>
      </c>
      <c r="N12607">
        <v>0.67</v>
      </c>
    </row>
    <row r="12608" spans="1:14" x14ac:dyDescent="0.25">
      <c r="A12608" t="s">
        <v>21644</v>
      </c>
      <c r="B12608" t="s">
        <v>11760</v>
      </c>
      <c r="C12608" s="1" t="str">
        <f>HYPERLINK("http://www.genecards.org/cgi-bin/carddisp.pl?gene=PPP1R12A","GeneCards")</f>
        <v>GeneCards</v>
      </c>
      <c r="D12608" s="1" t="str">
        <f>HYPERLINK("http://genome-euro.ucsc.edu/cgi-bin/hgTracks?position=201602_s_at","UCSC")</f>
        <v>UCSC</v>
      </c>
      <c r="E12608" s="1" t="str">
        <f>HYPERLINK("http://www.ncbi.nlm.nih.gov/gene/?term=PPP1R12A","NCBI")</f>
        <v>NCBI</v>
      </c>
      <c r="F12608">
        <v>0.38</v>
      </c>
      <c r="G12608">
        <v>0.51</v>
      </c>
      <c r="H12608" s="1" t="str">
        <f>HYPERLINK("http://www.weizmann.ac.il/complex/compphys/software/geview/data/figures/201602_s_at.png","Figure")</f>
        <v>Figure</v>
      </c>
      <c r="I12608">
        <v>0.877</v>
      </c>
      <c r="J12608">
        <v>0.73</v>
      </c>
      <c r="K12608">
        <v>0.80500000000000005</v>
      </c>
      <c r="L12608">
        <v>0.34</v>
      </c>
      <c r="M12608">
        <v>0.91800000000000004</v>
      </c>
      <c r="N12608">
        <v>0.86</v>
      </c>
    </row>
    <row r="12609" spans="1:14" x14ac:dyDescent="0.25">
      <c r="A12609" t="s">
        <v>21645</v>
      </c>
      <c r="B12609" t="s">
        <v>21646</v>
      </c>
      <c r="C12609" s="1" t="str">
        <f>HYPERLINK("http://www.genecards.org/cgi-bin/carddisp.pl?gene=MXD1","GeneCards")</f>
        <v>GeneCards</v>
      </c>
      <c r="D12609" s="1" t="str">
        <f>HYPERLINK("http://genome-euro.ucsc.edu/cgi-bin/hgTracks?position=206877_at","UCSC")</f>
        <v>UCSC</v>
      </c>
      <c r="E12609" s="1" t="str">
        <f>HYPERLINK("http://www.ncbi.nlm.nih.gov/gene/?term=MXD1","NCBI")</f>
        <v>NCBI</v>
      </c>
      <c r="F12609">
        <v>0.38</v>
      </c>
      <c r="G12609">
        <v>0.51</v>
      </c>
      <c r="H12609" s="1" t="str">
        <f>HYPERLINK("http://www.weizmann.ac.il/complex/compphys/software/geview/data/figures/206877_at.png","Figure")</f>
        <v>Figure</v>
      </c>
      <c r="I12609">
        <v>0.90600000000000003</v>
      </c>
      <c r="J12609">
        <v>0.6</v>
      </c>
      <c r="K12609">
        <v>0.88200000000000001</v>
      </c>
      <c r="L12609">
        <v>0.36</v>
      </c>
      <c r="M12609">
        <v>0.97299999999999998</v>
      </c>
      <c r="N12609">
        <v>0.96</v>
      </c>
    </row>
    <row r="12610" spans="1:14" x14ac:dyDescent="0.25">
      <c r="A12610" t="s">
        <v>21647</v>
      </c>
      <c r="B12610" t="s">
        <v>21648</v>
      </c>
      <c r="C12610" s="1" t="str">
        <f>HYPERLINK("http://www.genecards.org/cgi-bin/carddisp.pl?gene=GNAL","GeneCards")</f>
        <v>GeneCards</v>
      </c>
      <c r="D12610" s="1" t="str">
        <f>HYPERLINK("http://genome-euro.ucsc.edu/cgi-bin/hgTracks?position=206356_s_at","UCSC")</f>
        <v>UCSC</v>
      </c>
      <c r="E12610" s="1" t="str">
        <f>HYPERLINK("http://www.ncbi.nlm.nih.gov/gene/?term=GNAL","NCBI")</f>
        <v>NCBI</v>
      </c>
      <c r="F12610">
        <v>0.38</v>
      </c>
      <c r="G12610">
        <v>0.51</v>
      </c>
      <c r="H12610" s="1" t="str">
        <f>HYPERLINK("http://www.weizmann.ac.il/complex/compphys/software/geview/data/figures/206356_s_at.png","Figure")</f>
        <v>Figure</v>
      </c>
      <c r="I12610">
        <v>0.96399999999999997</v>
      </c>
      <c r="J12610">
        <v>0.47</v>
      </c>
      <c r="K12610">
        <v>0.96599999999999997</v>
      </c>
      <c r="L12610">
        <v>0.41</v>
      </c>
      <c r="M12610">
        <v>1</v>
      </c>
      <c r="N12610">
        <v>1</v>
      </c>
    </row>
    <row r="12611" spans="1:14" x14ac:dyDescent="0.25">
      <c r="A12611" t="s">
        <v>21649</v>
      </c>
      <c r="B12611" t="s">
        <v>21650</v>
      </c>
      <c r="C12611" s="1" t="str">
        <f>HYPERLINK("http://www.genecards.org/cgi-bin/carddisp.pl?gene=RPGR","GeneCards")</f>
        <v>GeneCards</v>
      </c>
      <c r="D12611" s="1" t="str">
        <f>HYPERLINK("http://genome-euro.ucsc.edu/cgi-bin/hgTracks?position=207624_s_at","UCSC")</f>
        <v>UCSC</v>
      </c>
      <c r="E12611" s="1" t="str">
        <f>HYPERLINK("http://www.ncbi.nlm.nih.gov/gene/?term=RPGR","NCBI")</f>
        <v>NCBI</v>
      </c>
      <c r="F12611">
        <v>0.38</v>
      </c>
      <c r="G12611">
        <v>0.51</v>
      </c>
      <c r="H12611" s="1" t="str">
        <f>HYPERLINK("http://www.weizmann.ac.il/complex/compphys/software/geview/data/figures/207624_s_at.png","Figure")</f>
        <v>Figure</v>
      </c>
      <c r="I12611">
        <v>0.83599999999999997</v>
      </c>
      <c r="J12611">
        <v>0.4</v>
      </c>
      <c r="K12611">
        <v>0.871</v>
      </c>
      <c r="L12611">
        <v>0.49</v>
      </c>
      <c r="M12611">
        <v>1.04</v>
      </c>
      <c r="N12611">
        <v>0.94</v>
      </c>
    </row>
    <row r="12612" spans="1:14" x14ac:dyDescent="0.25">
      <c r="A12612" t="s">
        <v>21651</v>
      </c>
      <c r="B12612" t="s">
        <v>10829</v>
      </c>
      <c r="C12612" s="1" t="str">
        <f>HYPERLINK("http://www.genecards.org/cgi-bin/carddisp.pl?gene=RBM9","GeneCards")</f>
        <v>GeneCards</v>
      </c>
      <c r="D12612" s="1" t="str">
        <f>HYPERLINK("http://genome-euro.ucsc.edu/cgi-bin/hgTracks?position=216215_s_at","UCSC")</f>
        <v>UCSC</v>
      </c>
      <c r="E12612" s="1" t="str">
        <f>HYPERLINK("http://www.ncbi.nlm.nih.gov/gene/?term=RBM9","NCBI")</f>
        <v>NCBI</v>
      </c>
      <c r="F12612">
        <v>0.38</v>
      </c>
      <c r="G12612">
        <v>0.51</v>
      </c>
      <c r="H12612" s="1" t="str">
        <f>HYPERLINK("http://www.weizmann.ac.il/complex/compphys/software/geview/data/figures/216215_s_at.png","Figure")</f>
        <v>Figure</v>
      </c>
      <c r="I12612">
        <v>0.87</v>
      </c>
      <c r="J12612">
        <v>0.5</v>
      </c>
      <c r="K12612">
        <v>1.02</v>
      </c>
      <c r="L12612">
        <v>0.98</v>
      </c>
      <c r="M12612">
        <v>1.17</v>
      </c>
      <c r="N12612">
        <v>0.37</v>
      </c>
    </row>
    <row r="12613" spans="1:14" x14ac:dyDescent="0.25">
      <c r="A12613" t="s">
        <v>21652</v>
      </c>
      <c r="B12613" t="s">
        <v>21653</v>
      </c>
      <c r="C12613" s="1" t="str">
        <f>HYPERLINK("http://www.genecards.org/cgi-bin/carddisp.pl?gene=RPL21","GeneCards")</f>
        <v>GeneCards</v>
      </c>
      <c r="D12613" s="1" t="str">
        <f>HYPERLINK("http://genome-euro.ucsc.edu/cgi-bin/hgTracks?position=200012_x_at","UCSC")</f>
        <v>UCSC</v>
      </c>
      <c r="E12613" s="1" t="str">
        <f>HYPERLINK("http://www.ncbi.nlm.nih.gov/gene/?term=RPL21","NCBI")</f>
        <v>NCBI</v>
      </c>
      <c r="F12613">
        <v>0.38</v>
      </c>
      <c r="G12613">
        <v>0.51</v>
      </c>
      <c r="H12613" s="1" t="str">
        <f>HYPERLINK("http://www.weizmann.ac.il/complex/compphys/software/geview/data/figures/200012_x_at.png","Figure")</f>
        <v>Figure</v>
      </c>
      <c r="I12613">
        <v>1.08</v>
      </c>
      <c r="J12613">
        <v>0.93</v>
      </c>
      <c r="K12613">
        <v>1.3</v>
      </c>
      <c r="L12613">
        <v>0.37</v>
      </c>
      <c r="M12613">
        <v>1.2</v>
      </c>
      <c r="N12613">
        <v>0.64</v>
      </c>
    </row>
    <row r="12614" spans="1:14" x14ac:dyDescent="0.25">
      <c r="A12614" t="s">
        <v>21654</v>
      </c>
      <c r="B12614" t="s">
        <v>21655</v>
      </c>
      <c r="C12614" s="1" t="str">
        <f>HYPERLINK("http://www.genecards.org/cgi-bin/carddisp.pl?gene=NCAPD2","GeneCards")</f>
        <v>GeneCards</v>
      </c>
      <c r="D12614" s="1" t="str">
        <f>HYPERLINK("http://genome-euro.ucsc.edu/cgi-bin/hgTracks?position=201774_s_at","UCSC")</f>
        <v>UCSC</v>
      </c>
      <c r="E12614" s="1" t="str">
        <f>HYPERLINK("http://www.ncbi.nlm.nih.gov/gene/?term=NCAPD2","NCBI")</f>
        <v>NCBI</v>
      </c>
      <c r="F12614">
        <v>0.38</v>
      </c>
      <c r="G12614">
        <v>0.51</v>
      </c>
      <c r="H12614" s="1" t="str">
        <f>HYPERLINK("http://www.weizmann.ac.il/complex/compphys/software/geview/data/figures/201774_s_at.png","Figure")</f>
        <v>Figure</v>
      </c>
      <c r="I12614">
        <v>1.1100000000000001</v>
      </c>
      <c r="J12614">
        <v>0.83</v>
      </c>
      <c r="K12614">
        <v>1.25</v>
      </c>
      <c r="L12614">
        <v>0.35</v>
      </c>
      <c r="M12614">
        <v>1.1299999999999999</v>
      </c>
      <c r="N12614">
        <v>0.76</v>
      </c>
    </row>
    <row r="12615" spans="1:14" x14ac:dyDescent="0.25">
      <c r="A12615" t="s">
        <v>21656</v>
      </c>
      <c r="B12615" t="s">
        <v>21657</v>
      </c>
      <c r="C12615" s="1" t="str">
        <f>HYPERLINK("http://www.genecards.org/cgi-bin/carddisp.pl?gene=STK16","GeneCards")</f>
        <v>GeneCards</v>
      </c>
      <c r="D12615" s="1" t="str">
        <f>HYPERLINK("http://genome-euro.ucsc.edu/cgi-bin/hgTracks?position=209622_at","UCSC")</f>
        <v>UCSC</v>
      </c>
      <c r="E12615" s="1" t="str">
        <f>HYPERLINK("http://www.ncbi.nlm.nih.gov/gene/?term=STK16","NCBI")</f>
        <v>NCBI</v>
      </c>
      <c r="F12615">
        <v>0.38</v>
      </c>
      <c r="G12615">
        <v>0.51</v>
      </c>
      <c r="H12615" s="1" t="str">
        <f>HYPERLINK("http://www.weizmann.ac.il/complex/compphys/software/geview/data/figures/209622_at.png","Figure")</f>
        <v>Figure</v>
      </c>
      <c r="I12615">
        <v>0.88700000000000001</v>
      </c>
      <c r="J12615">
        <v>0.35</v>
      </c>
      <c r="K12615">
        <v>0.94699999999999995</v>
      </c>
      <c r="L12615">
        <v>0.74</v>
      </c>
      <c r="M12615">
        <v>1.07</v>
      </c>
      <c r="N12615">
        <v>0.68</v>
      </c>
    </row>
    <row r="12616" spans="1:14" x14ac:dyDescent="0.25">
      <c r="A12616" t="s">
        <v>21658</v>
      </c>
      <c r="B12616" t="s">
        <v>21659</v>
      </c>
      <c r="C12616" s="1" t="str">
        <f>HYPERLINK("http://www.genecards.org/cgi-bin/carddisp.pl?gene=FBXO2","GeneCards")</f>
        <v>GeneCards</v>
      </c>
      <c r="D12616" s="1" t="str">
        <f>HYPERLINK("http://genome-euro.ucsc.edu/cgi-bin/hgTracks?position=219305_x_at","UCSC")</f>
        <v>UCSC</v>
      </c>
      <c r="E12616" s="1" t="str">
        <f>HYPERLINK("http://www.ncbi.nlm.nih.gov/gene/?term=FBXO2","NCBI")</f>
        <v>NCBI</v>
      </c>
      <c r="F12616">
        <v>0.38</v>
      </c>
      <c r="G12616">
        <v>0.51</v>
      </c>
      <c r="H12616" s="1" t="str">
        <f>HYPERLINK("http://www.weizmann.ac.il/complex/compphys/software/geview/data/figures/219305_x_at.png","Figure")</f>
        <v>Figure</v>
      </c>
      <c r="I12616">
        <v>1.1200000000000001</v>
      </c>
      <c r="J12616">
        <v>0.38</v>
      </c>
      <c r="K12616">
        <v>1.02</v>
      </c>
      <c r="L12616">
        <v>0.96</v>
      </c>
      <c r="M12616">
        <v>0.91</v>
      </c>
      <c r="N12616">
        <v>0.47</v>
      </c>
    </row>
    <row r="12617" spans="1:14" x14ac:dyDescent="0.25">
      <c r="A12617" t="s">
        <v>21660</v>
      </c>
      <c r="B12617" t="s">
        <v>21661</v>
      </c>
      <c r="C12617" s="1" t="str">
        <f>HYPERLINK("http://www.genecards.org/cgi-bin/carddisp.pl?gene=REEP4","GeneCards")</f>
        <v>GeneCards</v>
      </c>
      <c r="D12617" s="1" t="str">
        <f>HYPERLINK("http://genome-euro.ucsc.edu/cgi-bin/hgTracks?position=218777_at","UCSC")</f>
        <v>UCSC</v>
      </c>
      <c r="E12617" s="1" t="str">
        <f>HYPERLINK("http://www.ncbi.nlm.nih.gov/gene/?term=REEP4","NCBI")</f>
        <v>NCBI</v>
      </c>
      <c r="F12617">
        <v>0.38</v>
      </c>
      <c r="G12617">
        <v>0.51</v>
      </c>
      <c r="H12617" s="1" t="str">
        <f>HYPERLINK("http://www.weizmann.ac.il/complex/compphys/software/geview/data/figures/218777_at.png","Figure")</f>
        <v>Figure</v>
      </c>
      <c r="I12617">
        <v>1.07</v>
      </c>
      <c r="J12617">
        <v>0.7</v>
      </c>
      <c r="K12617">
        <v>0.95799999999999996</v>
      </c>
      <c r="L12617">
        <v>0.82</v>
      </c>
      <c r="M12617">
        <v>0.89600000000000002</v>
      </c>
      <c r="N12617">
        <v>0.35</v>
      </c>
    </row>
    <row r="12618" spans="1:14" x14ac:dyDescent="0.25">
      <c r="A12618" t="s">
        <v>21662</v>
      </c>
      <c r="B12618" t="s">
        <v>2429</v>
      </c>
      <c r="C12618" s="1" t="str">
        <f>HYPERLINK("http://www.genecards.org/cgi-bin/carddisp.pl?gene=TSPAN31","GeneCards")</f>
        <v>GeneCards</v>
      </c>
      <c r="D12618" s="1" t="str">
        <f>HYPERLINK("http://genome-euro.ucsc.edu/cgi-bin/hgTracks?position=203226_s_at","UCSC")</f>
        <v>UCSC</v>
      </c>
      <c r="E12618" s="1" t="str">
        <f>HYPERLINK("http://www.ncbi.nlm.nih.gov/gene/?term=TSPAN31","NCBI")</f>
        <v>NCBI</v>
      </c>
      <c r="F12618">
        <v>0.38</v>
      </c>
      <c r="G12618">
        <v>0.51</v>
      </c>
      <c r="H12618" s="1" t="str">
        <f>HYPERLINK("http://www.weizmann.ac.il/complex/compphys/software/geview/data/figures/203226_s_at.png","Figure")</f>
        <v>Figure</v>
      </c>
      <c r="I12618">
        <v>1.1000000000000001</v>
      </c>
      <c r="J12618">
        <v>0.57999999999999996</v>
      </c>
      <c r="K12618">
        <v>1.1200000000000001</v>
      </c>
      <c r="L12618">
        <v>0.36</v>
      </c>
      <c r="M12618">
        <v>1.02</v>
      </c>
      <c r="N12618">
        <v>0.97</v>
      </c>
    </row>
    <row r="12619" spans="1:14" x14ac:dyDescent="0.25">
      <c r="A12619" t="s">
        <v>21663</v>
      </c>
      <c r="B12619" t="s">
        <v>20085</v>
      </c>
      <c r="C12619" s="1" t="str">
        <f>HYPERLINK("http://www.genecards.org/cgi-bin/carddisp.pl?gene=CD24","GeneCards")</f>
        <v>GeneCards</v>
      </c>
      <c r="D12619" s="1" t="str">
        <f>HYPERLINK("http://genome-euro.ucsc.edu/cgi-bin/hgTracks?position=208650_s_at","UCSC")</f>
        <v>UCSC</v>
      </c>
      <c r="E12619" s="1" t="str">
        <f>HYPERLINK("http://www.ncbi.nlm.nih.gov/gene/?term=CD24","NCBI")</f>
        <v>NCBI</v>
      </c>
      <c r="F12619">
        <v>0.38</v>
      </c>
      <c r="G12619">
        <v>0.51</v>
      </c>
      <c r="H12619" s="1" t="str">
        <f>HYPERLINK("http://www.weizmann.ac.il/complex/compphys/software/geview/data/figures/208650_s_at.png","Figure")</f>
        <v>Figure</v>
      </c>
      <c r="I12619">
        <v>0.99399999999999999</v>
      </c>
      <c r="J12619">
        <v>1</v>
      </c>
      <c r="K12619">
        <v>1.43</v>
      </c>
      <c r="L12619">
        <v>0.45</v>
      </c>
      <c r="M12619">
        <v>1.44</v>
      </c>
      <c r="N12619">
        <v>0.49</v>
      </c>
    </row>
    <row r="12620" spans="1:14" x14ac:dyDescent="0.25">
      <c r="A12620" t="s">
        <v>21664</v>
      </c>
      <c r="B12620" t="s">
        <v>21665</v>
      </c>
      <c r="C12620" s="1" t="str">
        <f>HYPERLINK("http://www.genecards.org/cgi-bin/carddisp.pl?gene=TBL1XR1","GeneCards")</f>
        <v>GeneCards</v>
      </c>
      <c r="D12620" s="1" t="str">
        <f>HYPERLINK("http://genome-euro.ucsc.edu/cgi-bin/hgTracks?position=221428_s_at","UCSC")</f>
        <v>UCSC</v>
      </c>
      <c r="E12620" s="1" t="str">
        <f>HYPERLINK("http://www.ncbi.nlm.nih.gov/gene/?term=TBL1XR1","NCBI")</f>
        <v>NCBI</v>
      </c>
      <c r="F12620">
        <v>0.38</v>
      </c>
      <c r="G12620">
        <v>0.51</v>
      </c>
      <c r="H12620" s="1" t="str">
        <f>HYPERLINK("http://www.weizmann.ac.il/complex/compphys/software/geview/data/figures/221428_s_at.png","Figure")</f>
        <v>Figure</v>
      </c>
      <c r="I12620">
        <v>1.18</v>
      </c>
      <c r="J12620">
        <v>0.47</v>
      </c>
      <c r="K12620">
        <v>0.99199999999999999</v>
      </c>
      <c r="L12620">
        <v>1</v>
      </c>
      <c r="M12620">
        <v>0.84299999999999997</v>
      </c>
      <c r="N12620">
        <v>0.39</v>
      </c>
    </row>
    <row r="12621" spans="1:14" x14ac:dyDescent="0.25">
      <c r="A12621" t="s">
        <v>21666</v>
      </c>
      <c r="B12621" t="s">
        <v>21667</v>
      </c>
      <c r="C12621" s="1" t="str">
        <f>HYPERLINK("http://www.genecards.org/cgi-bin/carddisp.pl?gene=ARAP3","GeneCards")</f>
        <v>GeneCards</v>
      </c>
      <c r="D12621" s="1" t="str">
        <f>HYPERLINK("http://genome-euro.ucsc.edu/cgi-bin/hgTracks?position=218950_at","UCSC")</f>
        <v>UCSC</v>
      </c>
      <c r="E12621" s="1" t="str">
        <f>HYPERLINK("http://www.ncbi.nlm.nih.gov/gene/?term=ARAP3","NCBI")</f>
        <v>NCBI</v>
      </c>
      <c r="F12621">
        <v>0.38</v>
      </c>
      <c r="G12621">
        <v>0.51</v>
      </c>
      <c r="H12621" s="1" t="str">
        <f>HYPERLINK("http://www.weizmann.ac.il/complex/compphys/software/geview/data/figures/218950_at.png","Figure")</f>
        <v>Figure</v>
      </c>
      <c r="I12621">
        <v>1.1000000000000001</v>
      </c>
      <c r="J12621">
        <v>0.4</v>
      </c>
      <c r="K12621">
        <v>1.01</v>
      </c>
      <c r="L12621">
        <v>0.98</v>
      </c>
      <c r="M12621">
        <v>0.91800000000000004</v>
      </c>
      <c r="N12621">
        <v>0.45</v>
      </c>
    </row>
    <row r="12622" spans="1:14" x14ac:dyDescent="0.25">
      <c r="A12622" t="s">
        <v>21668</v>
      </c>
      <c r="B12622" t="s">
        <v>15411</v>
      </c>
      <c r="C12622" s="1" t="str">
        <f>HYPERLINK("http://www.genecards.org/cgi-bin/carddisp.pl?gene=TRAPPC9","GeneCards")</f>
        <v>GeneCards</v>
      </c>
      <c r="D12622" s="1" t="str">
        <f>HYPERLINK("http://genome-euro.ucsc.edu/cgi-bin/hgTracks?position=221836_s_at","UCSC")</f>
        <v>UCSC</v>
      </c>
      <c r="E12622" s="1" t="str">
        <f>HYPERLINK("http://www.ncbi.nlm.nih.gov/gene/?term=TRAPPC9","NCBI")</f>
        <v>NCBI</v>
      </c>
      <c r="F12622">
        <v>0.38</v>
      </c>
      <c r="G12622">
        <v>0.51</v>
      </c>
      <c r="H12622" s="1" t="str">
        <f>HYPERLINK("http://www.weizmann.ac.il/complex/compphys/software/geview/data/figures/221836_s_at.png","Figure")</f>
        <v>Figure</v>
      </c>
      <c r="I12622">
        <v>1.17</v>
      </c>
      <c r="J12622">
        <v>0.35</v>
      </c>
      <c r="K12622">
        <v>1.07</v>
      </c>
      <c r="L12622">
        <v>0.77</v>
      </c>
      <c r="M12622">
        <v>0.91200000000000003</v>
      </c>
      <c r="N12622">
        <v>0.65</v>
      </c>
    </row>
    <row r="12623" spans="1:14" x14ac:dyDescent="0.25">
      <c r="A12623" t="s">
        <v>21669</v>
      </c>
      <c r="B12623" t="s">
        <v>14718</v>
      </c>
      <c r="C12623" s="1" t="str">
        <f>HYPERLINK("http://www.genecards.org/cgi-bin/carddisp.pl?gene=CDC27","GeneCards")</f>
        <v>GeneCards</v>
      </c>
      <c r="D12623" s="1" t="str">
        <f>HYPERLINK("http://genome-euro.ucsc.edu/cgi-bin/hgTracks?position=217880_at","UCSC")</f>
        <v>UCSC</v>
      </c>
      <c r="E12623" s="1" t="str">
        <f>HYPERLINK("http://www.ncbi.nlm.nih.gov/gene/?term=CDC27","NCBI")</f>
        <v>NCBI</v>
      </c>
      <c r="F12623">
        <v>0.38</v>
      </c>
      <c r="G12623">
        <v>0.51</v>
      </c>
      <c r="H12623" s="1" t="str">
        <f>HYPERLINK("http://www.weizmann.ac.il/complex/compphys/software/geview/data/figures/217880_at.png","Figure")</f>
        <v>Figure</v>
      </c>
      <c r="I12623">
        <v>1.1000000000000001</v>
      </c>
      <c r="J12623">
        <v>0.82</v>
      </c>
      <c r="K12623">
        <v>1.22</v>
      </c>
      <c r="L12623">
        <v>0.35</v>
      </c>
      <c r="M12623">
        <v>1.1100000000000001</v>
      </c>
      <c r="N12623">
        <v>0.76</v>
      </c>
    </row>
    <row r="12624" spans="1:14" x14ac:dyDescent="0.25">
      <c r="A12624" t="s">
        <v>21670</v>
      </c>
      <c r="B12624" t="s">
        <v>9646</v>
      </c>
      <c r="C12624" s="1" t="str">
        <f>HYPERLINK("http://www.genecards.org/cgi-bin/carddisp.pl?gene=DOCK6","GeneCards")</f>
        <v>GeneCards</v>
      </c>
      <c r="D12624" s="1" t="str">
        <f>HYPERLINK("http://genome-euro.ucsc.edu/cgi-bin/hgTracks?position=55583_at","UCSC")</f>
        <v>UCSC</v>
      </c>
      <c r="E12624" s="1" t="str">
        <f>HYPERLINK("http://www.ncbi.nlm.nih.gov/gene/?term=DOCK6","NCBI")</f>
        <v>NCBI</v>
      </c>
      <c r="F12624">
        <v>0.38</v>
      </c>
      <c r="G12624">
        <v>0.51</v>
      </c>
      <c r="H12624" s="1" t="str">
        <f>HYPERLINK("http://www.weizmann.ac.il/complex/compphys/software/geview/data/figures/55583_at.png","Figure")</f>
        <v>Figure</v>
      </c>
      <c r="I12624">
        <v>1.06</v>
      </c>
      <c r="J12624">
        <v>0.65</v>
      </c>
      <c r="K12624">
        <v>0.97199999999999998</v>
      </c>
      <c r="L12624">
        <v>0.86</v>
      </c>
      <c r="M12624">
        <v>0.91800000000000004</v>
      </c>
      <c r="N12624">
        <v>0.35</v>
      </c>
    </row>
    <row r="12625" spans="1:14" x14ac:dyDescent="0.25">
      <c r="A12625" t="s">
        <v>21671</v>
      </c>
      <c r="B12625" t="s">
        <v>21672</v>
      </c>
      <c r="C12625" s="1" t="str">
        <f>HYPERLINK("http://www.genecards.org/cgi-bin/carddisp.pl?gene=CYP27A1","GeneCards")</f>
        <v>GeneCards</v>
      </c>
      <c r="D12625" s="1" t="str">
        <f>HYPERLINK("http://genome-euro.ucsc.edu/cgi-bin/hgTracks?position=203979_at","UCSC")</f>
        <v>UCSC</v>
      </c>
      <c r="E12625" s="1" t="str">
        <f>HYPERLINK("http://www.ncbi.nlm.nih.gov/gene/?term=CYP27A1","NCBI")</f>
        <v>NCBI</v>
      </c>
      <c r="F12625">
        <v>0.38</v>
      </c>
      <c r="G12625">
        <v>0.51</v>
      </c>
      <c r="H12625" s="1" t="str">
        <f>HYPERLINK("http://www.weizmann.ac.il/complex/compphys/software/geview/data/figures/203979_at.png","Figure")</f>
        <v>Figure</v>
      </c>
      <c r="I12625">
        <v>1.1299999999999999</v>
      </c>
      <c r="J12625">
        <v>0.44</v>
      </c>
      <c r="K12625">
        <v>1</v>
      </c>
      <c r="L12625">
        <v>1</v>
      </c>
      <c r="M12625">
        <v>0.88500000000000001</v>
      </c>
      <c r="N12625">
        <v>0.4</v>
      </c>
    </row>
    <row r="12626" spans="1:14" x14ac:dyDescent="0.25">
      <c r="A12626" t="s">
        <v>21673</v>
      </c>
      <c r="B12626" t="s">
        <v>15136</v>
      </c>
      <c r="C12626" s="1" t="str">
        <f>HYPERLINK("http://www.genecards.org/cgi-bin/carddisp.pl?gene=RNGTT","GeneCards")</f>
        <v>GeneCards</v>
      </c>
      <c r="D12626" s="1" t="str">
        <f>HYPERLINK("http://genome-euro.ucsc.edu/cgi-bin/hgTracks?position=204208_at","UCSC")</f>
        <v>UCSC</v>
      </c>
      <c r="E12626" s="1" t="str">
        <f>HYPERLINK("http://www.ncbi.nlm.nih.gov/gene/?term=RNGTT","NCBI")</f>
        <v>NCBI</v>
      </c>
      <c r="F12626">
        <v>0.38</v>
      </c>
      <c r="G12626">
        <v>0.51</v>
      </c>
      <c r="H12626" s="1" t="str">
        <f>HYPERLINK("http://www.weizmann.ac.il/complex/compphys/software/geview/data/figures/204208_at.png","Figure")</f>
        <v>Figure</v>
      </c>
      <c r="I12626">
        <v>0.85899999999999999</v>
      </c>
      <c r="J12626">
        <v>0.35</v>
      </c>
      <c r="K12626">
        <v>0.91900000000000004</v>
      </c>
      <c r="L12626">
        <v>0.65</v>
      </c>
      <c r="M12626">
        <v>1.07</v>
      </c>
      <c r="N12626">
        <v>0.77</v>
      </c>
    </row>
    <row r="12627" spans="1:14" x14ac:dyDescent="0.25">
      <c r="A12627" t="s">
        <v>21674</v>
      </c>
      <c r="B12627" t="s">
        <v>21675</v>
      </c>
      <c r="C12627" s="1" t="str">
        <f>HYPERLINK("http://www.genecards.org/cgi-bin/carddisp.pl?gene=CDKL2","GeneCards")</f>
        <v>GeneCards</v>
      </c>
      <c r="D12627" s="1" t="str">
        <f>HYPERLINK("http://genome-euro.ucsc.edu/cgi-bin/hgTracks?position=207073_at","UCSC")</f>
        <v>UCSC</v>
      </c>
      <c r="E12627" s="1" t="str">
        <f>HYPERLINK("http://www.ncbi.nlm.nih.gov/gene/?term=CDKL2","NCBI")</f>
        <v>NCBI</v>
      </c>
      <c r="F12627">
        <v>0.38</v>
      </c>
      <c r="G12627">
        <v>0.51</v>
      </c>
      <c r="H12627" s="1" t="str">
        <f>HYPERLINK("http://www.weizmann.ac.il/complex/compphys/software/geview/data/figures/207073_at.png","Figure")</f>
        <v>Figure</v>
      </c>
      <c r="I12627">
        <v>1.01</v>
      </c>
      <c r="J12627">
        <v>0.99</v>
      </c>
      <c r="K12627">
        <v>0.92300000000000004</v>
      </c>
      <c r="L12627">
        <v>0.48</v>
      </c>
      <c r="M12627">
        <v>0.91400000000000003</v>
      </c>
      <c r="N12627">
        <v>0.46</v>
      </c>
    </row>
    <row r="12628" spans="1:14" x14ac:dyDescent="0.25">
      <c r="A12628" t="s">
        <v>21676</v>
      </c>
      <c r="B12628" t="s">
        <v>9264</v>
      </c>
      <c r="C12628" s="1" t="str">
        <f>HYPERLINK("http://www.genecards.org/cgi-bin/carddisp.pl?gene=KDM5B","GeneCards")</f>
        <v>GeneCards</v>
      </c>
      <c r="D12628" s="1" t="str">
        <f>HYPERLINK("http://genome-euro.ucsc.edu/cgi-bin/hgTracks?position=211202_s_at","UCSC")</f>
        <v>UCSC</v>
      </c>
      <c r="E12628" s="1" t="str">
        <f>HYPERLINK("http://www.ncbi.nlm.nih.gov/gene/?term=KDM5B","NCBI")</f>
        <v>NCBI</v>
      </c>
      <c r="F12628">
        <v>0.38</v>
      </c>
      <c r="G12628">
        <v>0.51</v>
      </c>
      <c r="H12628" s="1" t="str">
        <f>HYPERLINK("http://www.weizmann.ac.il/complex/compphys/software/geview/data/figures/211202_s_at.png","Figure")</f>
        <v>Figure</v>
      </c>
      <c r="I12628">
        <v>1.21</v>
      </c>
      <c r="J12628">
        <v>0.6</v>
      </c>
      <c r="K12628">
        <v>0.93200000000000005</v>
      </c>
      <c r="L12628">
        <v>0.91</v>
      </c>
      <c r="M12628">
        <v>0.77300000000000002</v>
      </c>
      <c r="N12628">
        <v>0.35</v>
      </c>
    </row>
    <row r="12629" spans="1:14" x14ac:dyDescent="0.25">
      <c r="A12629" t="s">
        <v>21677</v>
      </c>
      <c r="B12629" t="s">
        <v>5849</v>
      </c>
      <c r="C12629" s="1" t="str">
        <f>HYPERLINK("http://www.genecards.org/cgi-bin/carddisp.pl?gene=SQSTM1","GeneCards")</f>
        <v>GeneCards</v>
      </c>
      <c r="D12629" s="1" t="str">
        <f>HYPERLINK("http://genome-euro.ucsc.edu/cgi-bin/hgTracks?position=213112_s_at","UCSC")</f>
        <v>UCSC</v>
      </c>
      <c r="E12629" s="1" t="str">
        <f>HYPERLINK("http://www.ncbi.nlm.nih.gov/gene/?term=SQSTM1","NCBI")</f>
        <v>NCBI</v>
      </c>
      <c r="F12629">
        <v>0.38</v>
      </c>
      <c r="G12629">
        <v>0.51</v>
      </c>
      <c r="H12629" s="1" t="str">
        <f>HYPERLINK("http://www.weizmann.ac.il/complex/compphys/software/geview/data/figures/213112_s_at.png","Figure")</f>
        <v>Figure</v>
      </c>
      <c r="I12629">
        <v>1.1100000000000001</v>
      </c>
      <c r="J12629">
        <v>0.4</v>
      </c>
      <c r="K12629">
        <v>1.02</v>
      </c>
      <c r="L12629">
        <v>0.97</v>
      </c>
      <c r="M12629">
        <v>0.91700000000000004</v>
      </c>
      <c r="N12629">
        <v>0.46</v>
      </c>
    </row>
    <row r="12630" spans="1:14" x14ac:dyDescent="0.25">
      <c r="A12630" t="s">
        <v>21678</v>
      </c>
      <c r="B12630" t="s">
        <v>3621</v>
      </c>
      <c r="C12630" s="1" t="str">
        <f>HYPERLINK("http://www.genecards.org/cgi-bin/carddisp.pl?gene=CDYL","GeneCards")</f>
        <v>GeneCards</v>
      </c>
      <c r="D12630" s="1" t="str">
        <f>HYPERLINK("http://genome-euro.ucsc.edu/cgi-bin/hgTracks?position=203098_at","UCSC")</f>
        <v>UCSC</v>
      </c>
      <c r="E12630" s="1" t="str">
        <f>HYPERLINK("http://www.ncbi.nlm.nih.gov/gene/?term=CDYL","NCBI")</f>
        <v>NCBI</v>
      </c>
      <c r="F12630">
        <v>0.38</v>
      </c>
      <c r="G12630">
        <v>0.51</v>
      </c>
      <c r="H12630" s="1" t="str">
        <f>HYPERLINK("http://www.weizmann.ac.il/complex/compphys/software/geview/data/figures/203098_at.png","Figure")</f>
        <v>Figure</v>
      </c>
      <c r="I12630">
        <v>0.746</v>
      </c>
      <c r="J12630">
        <v>0.35</v>
      </c>
      <c r="K12630">
        <v>0.88200000000000001</v>
      </c>
      <c r="L12630">
        <v>0.76</v>
      </c>
      <c r="M12630">
        <v>1.18</v>
      </c>
      <c r="N12630">
        <v>0.66</v>
      </c>
    </row>
    <row r="12631" spans="1:14" x14ac:dyDescent="0.25">
      <c r="A12631" t="s">
        <v>21679</v>
      </c>
      <c r="B12631" t="s">
        <v>12780</v>
      </c>
      <c r="C12631" s="1" t="str">
        <f>HYPERLINK("http://www.genecards.org/cgi-bin/carddisp.pl?gene=RPL13","GeneCards")</f>
        <v>GeneCards</v>
      </c>
      <c r="D12631" s="1" t="str">
        <f>HYPERLINK("http://genome-euro.ucsc.edu/cgi-bin/hgTracks?position=212734_x_at","UCSC")</f>
        <v>UCSC</v>
      </c>
      <c r="E12631" s="1" t="str">
        <f>HYPERLINK("http://www.ncbi.nlm.nih.gov/gene/?term=RPL13","NCBI")</f>
        <v>NCBI</v>
      </c>
      <c r="F12631">
        <v>0.38</v>
      </c>
      <c r="G12631">
        <v>0.51</v>
      </c>
      <c r="H12631" s="1" t="str">
        <f>HYPERLINK("http://www.weizmann.ac.il/complex/compphys/software/geview/data/figures/212734_x_at.png","Figure")</f>
        <v>Figure</v>
      </c>
      <c r="I12631">
        <v>0.997</v>
      </c>
      <c r="J12631">
        <v>1</v>
      </c>
      <c r="K12631">
        <v>1.27</v>
      </c>
      <c r="L12631">
        <v>0.45</v>
      </c>
      <c r="M12631">
        <v>1.28</v>
      </c>
      <c r="N12631">
        <v>0.49</v>
      </c>
    </row>
    <row r="12632" spans="1:14" x14ac:dyDescent="0.25">
      <c r="A12632" t="s">
        <v>21680</v>
      </c>
      <c r="B12632" t="s">
        <v>10187</v>
      </c>
      <c r="C12632" s="1" t="str">
        <f>HYPERLINK("http://www.genecards.org/cgi-bin/carddisp.pl?gene=TRMT61A","GeneCards")</f>
        <v>GeneCards</v>
      </c>
      <c r="D12632" s="1" t="str">
        <f>HYPERLINK("http://genome-euro.ucsc.edu/cgi-bin/hgTracks?position=221907_at","UCSC")</f>
        <v>UCSC</v>
      </c>
      <c r="E12632" s="1" t="str">
        <f>HYPERLINK("http://www.ncbi.nlm.nih.gov/gene/?term=TRMT61A","NCBI")</f>
        <v>NCBI</v>
      </c>
      <c r="F12632">
        <v>0.38</v>
      </c>
      <c r="G12632">
        <v>0.51</v>
      </c>
      <c r="H12632" s="1" t="str">
        <f>HYPERLINK("http://www.weizmann.ac.il/complex/compphys/software/geview/data/figures/221907_at.png","Figure")</f>
        <v>Figure</v>
      </c>
      <c r="I12632">
        <v>1.18</v>
      </c>
      <c r="J12632">
        <v>0.35</v>
      </c>
      <c r="K12632">
        <v>1.0900000000000001</v>
      </c>
      <c r="L12632">
        <v>0.67</v>
      </c>
      <c r="M12632">
        <v>0.92300000000000004</v>
      </c>
      <c r="N12632">
        <v>0.75</v>
      </c>
    </row>
    <row r="12633" spans="1:14" x14ac:dyDescent="0.25">
      <c r="A12633" t="s">
        <v>21681</v>
      </c>
      <c r="B12633" t="s">
        <v>21682</v>
      </c>
      <c r="C12633" s="1" t="str">
        <f>HYPERLINK("http://www.genecards.org/cgi-bin/carddisp.pl?gene=FBXO38","GeneCards")</f>
        <v>GeneCards</v>
      </c>
      <c r="D12633" s="1" t="str">
        <f>HYPERLINK("http://genome-euro.ucsc.edu/cgi-bin/hgTracks?position=219608_s_at","UCSC")</f>
        <v>UCSC</v>
      </c>
      <c r="E12633" s="1" t="str">
        <f>HYPERLINK("http://www.ncbi.nlm.nih.gov/gene/?term=FBXO38","NCBI")</f>
        <v>NCBI</v>
      </c>
      <c r="F12633">
        <v>0.38</v>
      </c>
      <c r="G12633">
        <v>0.51</v>
      </c>
      <c r="H12633" s="1" t="str">
        <f>HYPERLINK("http://www.weizmann.ac.il/complex/compphys/software/geview/data/figures/219608_s_at.png","Figure")</f>
        <v>Figure</v>
      </c>
      <c r="I12633">
        <v>1</v>
      </c>
      <c r="J12633">
        <v>1</v>
      </c>
      <c r="K12633">
        <v>0.97099999999999997</v>
      </c>
      <c r="L12633">
        <v>0.45</v>
      </c>
      <c r="M12633">
        <v>0.97099999999999997</v>
      </c>
      <c r="N12633">
        <v>0.49</v>
      </c>
    </row>
    <row r="12634" spans="1:14" x14ac:dyDescent="0.25">
      <c r="A12634" t="s">
        <v>21683</v>
      </c>
      <c r="B12634" t="s">
        <v>11213</v>
      </c>
      <c r="C12634" s="1" t="str">
        <f>HYPERLINK("http://www.genecards.org/cgi-bin/carddisp.pl?gene=FANCA","GeneCards")</f>
        <v>GeneCards</v>
      </c>
      <c r="D12634" s="1" t="str">
        <f>HYPERLINK("http://genome-euro.ucsc.edu/cgi-bin/hgTracks?position=203806_s_at","UCSC")</f>
        <v>UCSC</v>
      </c>
      <c r="E12634" s="1" t="str">
        <f>HYPERLINK("http://www.ncbi.nlm.nih.gov/gene/?term=FANCA","NCBI")</f>
        <v>NCBI</v>
      </c>
      <c r="F12634">
        <v>0.38</v>
      </c>
      <c r="G12634">
        <v>0.51</v>
      </c>
      <c r="H12634" s="1" t="str">
        <f>HYPERLINK("http://www.weizmann.ac.il/complex/compphys/software/geview/data/figures/203806_s_at.png","Figure")</f>
        <v>Figure</v>
      </c>
      <c r="I12634">
        <v>1.22</v>
      </c>
      <c r="J12634">
        <v>0.39</v>
      </c>
      <c r="K12634">
        <v>1.1599999999999999</v>
      </c>
      <c r="L12634">
        <v>0.52</v>
      </c>
      <c r="M12634">
        <v>0.94499999999999995</v>
      </c>
      <c r="N12634">
        <v>0.92</v>
      </c>
    </row>
    <row r="12635" spans="1:14" x14ac:dyDescent="0.25">
      <c r="A12635" t="s">
        <v>21684</v>
      </c>
      <c r="B12635" t="s">
        <v>21685</v>
      </c>
      <c r="C12635" s="1" t="str">
        <f>HYPERLINK("http://www.genecards.org/cgi-bin/carddisp.pl?gene=LGI2","GeneCards")</f>
        <v>GeneCards</v>
      </c>
      <c r="D12635" s="1" t="str">
        <f>HYPERLINK("http://genome-euro.ucsc.edu/cgi-bin/hgTracks?position=219699_at","UCSC")</f>
        <v>UCSC</v>
      </c>
      <c r="E12635" s="1" t="str">
        <f>HYPERLINK("http://www.ncbi.nlm.nih.gov/gene/?term=LGI2","NCBI")</f>
        <v>NCBI</v>
      </c>
      <c r="F12635">
        <v>0.38</v>
      </c>
      <c r="G12635">
        <v>0.51</v>
      </c>
      <c r="H12635" s="1" t="str">
        <f>HYPERLINK("http://www.weizmann.ac.il/complex/compphys/software/geview/data/figures/219699_at.png","Figure")</f>
        <v>Figure</v>
      </c>
      <c r="I12635">
        <v>1.1299999999999999</v>
      </c>
      <c r="J12635">
        <v>0.44</v>
      </c>
      <c r="K12635">
        <v>1</v>
      </c>
      <c r="L12635">
        <v>1</v>
      </c>
      <c r="M12635">
        <v>0.88400000000000001</v>
      </c>
      <c r="N12635">
        <v>0.41</v>
      </c>
    </row>
    <row r="12636" spans="1:14" x14ac:dyDescent="0.25">
      <c r="A12636" t="s">
        <v>21686</v>
      </c>
      <c r="B12636" t="s">
        <v>18433</v>
      </c>
      <c r="C12636" s="1" t="str">
        <f>HYPERLINK("http://www.genecards.org/cgi-bin/carddisp.pl?gene=ERBB3","GeneCards")</f>
        <v>GeneCards</v>
      </c>
      <c r="D12636" s="1" t="str">
        <f>HYPERLINK("http://genome-euro.ucsc.edu/cgi-bin/hgTracks?position=215638_at","UCSC")</f>
        <v>UCSC</v>
      </c>
      <c r="E12636" s="1" t="str">
        <f>HYPERLINK("http://www.ncbi.nlm.nih.gov/gene/?term=ERBB3","NCBI")</f>
        <v>NCBI</v>
      </c>
      <c r="F12636">
        <v>0.38</v>
      </c>
      <c r="G12636">
        <v>0.51</v>
      </c>
      <c r="H12636" s="1" t="str">
        <f>HYPERLINK("http://www.weizmann.ac.il/complex/compphys/software/geview/data/figures/215638_at.png","Figure")</f>
        <v>Figure</v>
      </c>
      <c r="I12636">
        <v>0.98299999999999998</v>
      </c>
      <c r="J12636">
        <v>0.51</v>
      </c>
      <c r="K12636">
        <v>1</v>
      </c>
      <c r="L12636">
        <v>0.98</v>
      </c>
      <c r="M12636">
        <v>1.02</v>
      </c>
      <c r="N12636">
        <v>0.37</v>
      </c>
    </row>
    <row r="12637" spans="1:14" x14ac:dyDescent="0.25">
      <c r="A12637" t="s">
        <v>21687</v>
      </c>
      <c r="B12637" t="s">
        <v>21688</v>
      </c>
      <c r="C12637" s="1" t="str">
        <f>HYPERLINK("http://www.genecards.org/cgi-bin/carddisp.pl?gene=SHMT1","GeneCards")</f>
        <v>GeneCards</v>
      </c>
      <c r="D12637" s="1" t="str">
        <f>HYPERLINK("http://genome-euro.ucsc.edu/cgi-bin/hgTracks?position=209980_s_at","UCSC")</f>
        <v>UCSC</v>
      </c>
      <c r="E12637" s="1" t="str">
        <f>HYPERLINK("http://www.ncbi.nlm.nih.gov/gene/?term=SHMT1","NCBI")</f>
        <v>NCBI</v>
      </c>
      <c r="F12637">
        <v>0.38</v>
      </c>
      <c r="G12637">
        <v>0.51</v>
      </c>
      <c r="H12637" s="1" t="str">
        <f>HYPERLINK("http://www.weizmann.ac.il/complex/compphys/software/geview/data/figures/209980_s_at.png","Figure")</f>
        <v>Figure</v>
      </c>
      <c r="I12637">
        <v>1.02</v>
      </c>
      <c r="J12637">
        <v>0.98</v>
      </c>
      <c r="K12637">
        <v>1.1000000000000001</v>
      </c>
      <c r="L12637">
        <v>0.4</v>
      </c>
      <c r="M12637">
        <v>1.0900000000000001</v>
      </c>
      <c r="N12637">
        <v>0.56999999999999995</v>
      </c>
    </row>
    <row r="12638" spans="1:14" x14ac:dyDescent="0.25">
      <c r="A12638" t="s">
        <v>21689</v>
      </c>
      <c r="B12638" t="s">
        <v>21690</v>
      </c>
      <c r="C12638" s="1" t="str">
        <f>HYPERLINK("http://www.genecards.org/cgi-bin/carddisp.pl?gene=SAP30L","GeneCards")</f>
        <v>GeneCards</v>
      </c>
      <c r="D12638" s="1" t="str">
        <f>HYPERLINK("http://genome-euro.ucsc.edu/cgi-bin/hgTracks?position=219129_s_at","UCSC")</f>
        <v>UCSC</v>
      </c>
      <c r="E12638" s="1" t="str">
        <f>HYPERLINK("http://www.ncbi.nlm.nih.gov/gene/?term=SAP30L","NCBI")</f>
        <v>NCBI</v>
      </c>
      <c r="F12638">
        <v>0.38</v>
      </c>
      <c r="G12638">
        <v>0.51</v>
      </c>
      <c r="H12638" s="1" t="str">
        <f>HYPERLINK("http://www.weizmann.ac.il/complex/compphys/software/geview/data/figures/219129_s_at.png","Figure")</f>
        <v>Figure</v>
      </c>
      <c r="I12638">
        <v>0.88700000000000001</v>
      </c>
      <c r="J12638">
        <v>0.71</v>
      </c>
      <c r="K12638">
        <v>0.82599999999999996</v>
      </c>
      <c r="L12638">
        <v>0.35</v>
      </c>
      <c r="M12638">
        <v>0.93200000000000005</v>
      </c>
      <c r="N12638">
        <v>0.87</v>
      </c>
    </row>
    <row r="12639" spans="1:14" x14ac:dyDescent="0.25">
      <c r="A12639" t="s">
        <v>21691</v>
      </c>
      <c r="B12639" t="s">
        <v>773</v>
      </c>
      <c r="C12639" s="1" t="str">
        <f>HYPERLINK("http://www.genecards.org/cgi-bin/carddisp.pl?gene=HNRPDL","GeneCards")</f>
        <v>GeneCards</v>
      </c>
      <c r="D12639" s="1" t="str">
        <f>HYPERLINK("http://genome-euro.ucsc.edu/cgi-bin/hgTracks?position=212454_x_at","UCSC")</f>
        <v>UCSC</v>
      </c>
      <c r="E12639" s="1" t="str">
        <f>HYPERLINK("http://www.ncbi.nlm.nih.gov/gene/?term=HNRPDL","NCBI")</f>
        <v>NCBI</v>
      </c>
      <c r="F12639">
        <v>0.38</v>
      </c>
      <c r="G12639">
        <v>0.51</v>
      </c>
      <c r="H12639" s="1" t="str">
        <f>HYPERLINK("http://www.weizmann.ac.il/complex/compphys/software/geview/data/figures/212454_x_at.png","Figure")</f>
        <v>Figure</v>
      </c>
      <c r="I12639">
        <v>0.72699999999999998</v>
      </c>
      <c r="J12639">
        <v>0.39</v>
      </c>
      <c r="K12639">
        <v>0.79800000000000004</v>
      </c>
      <c r="L12639">
        <v>0.53</v>
      </c>
      <c r="M12639">
        <v>1.1000000000000001</v>
      </c>
      <c r="N12639">
        <v>0.91</v>
      </c>
    </row>
    <row r="12640" spans="1:14" x14ac:dyDescent="0.25">
      <c r="A12640" t="s">
        <v>21692</v>
      </c>
      <c r="B12640" t="s">
        <v>21693</v>
      </c>
      <c r="C12640" s="1" t="str">
        <f>HYPERLINK("http://www.genecards.org/cgi-bin/carddisp.pl?gene=KIAA1310","GeneCards")</f>
        <v>GeneCards</v>
      </c>
      <c r="D12640" s="1" t="str">
        <f>HYPERLINK("http://genome-euro.ucsc.edu/cgi-bin/hgTracks?position=220950_s_at","UCSC")</f>
        <v>UCSC</v>
      </c>
      <c r="E12640" s="1" t="str">
        <f>HYPERLINK("http://www.ncbi.nlm.nih.gov/gene/?term=KIAA1310","NCBI")</f>
        <v>NCBI</v>
      </c>
      <c r="F12640">
        <v>0.38</v>
      </c>
      <c r="G12640">
        <v>0.51</v>
      </c>
      <c r="H12640" s="1" t="str">
        <f>HYPERLINK("http://www.weizmann.ac.il/complex/compphys/software/geview/data/figures/220950_s_at.png","Figure")</f>
        <v>Figure</v>
      </c>
      <c r="I12640">
        <v>1.1299999999999999</v>
      </c>
      <c r="J12640">
        <v>0.4</v>
      </c>
      <c r="K12640">
        <v>1.1000000000000001</v>
      </c>
      <c r="L12640">
        <v>0.51</v>
      </c>
      <c r="M12640">
        <v>0.96899999999999997</v>
      </c>
      <c r="N12640">
        <v>0.93</v>
      </c>
    </row>
    <row r="12641" spans="1:14" x14ac:dyDescent="0.25">
      <c r="A12641" t="s">
        <v>21694</v>
      </c>
      <c r="B12641" t="s">
        <v>21695</v>
      </c>
      <c r="C12641" s="1" t="str">
        <f>HYPERLINK("http://www.genecards.org/cgi-bin/carddisp.pl?gene=GFER","GeneCards")</f>
        <v>GeneCards</v>
      </c>
      <c r="D12641" s="1" t="str">
        <f>HYPERLINK("http://genome-euro.ucsc.edu/cgi-bin/hgTracks?position=204659_s_at","UCSC")</f>
        <v>UCSC</v>
      </c>
      <c r="E12641" s="1" t="str">
        <f>HYPERLINK("http://www.ncbi.nlm.nih.gov/gene/?term=GFER","NCBI")</f>
        <v>NCBI</v>
      </c>
      <c r="F12641">
        <v>0.38</v>
      </c>
      <c r="G12641">
        <v>0.51</v>
      </c>
      <c r="H12641" s="1" t="str">
        <f>HYPERLINK("http://www.weizmann.ac.il/complex/compphys/software/geview/data/figures/204659_s_at.png","Figure")</f>
        <v>Figure</v>
      </c>
      <c r="I12641">
        <v>0.92</v>
      </c>
      <c r="J12641">
        <v>0.36</v>
      </c>
      <c r="K12641">
        <v>0.97199999999999998</v>
      </c>
      <c r="L12641">
        <v>0.85</v>
      </c>
      <c r="M12641">
        <v>1.06</v>
      </c>
      <c r="N12641">
        <v>0.57999999999999996</v>
      </c>
    </row>
    <row r="12642" spans="1:14" x14ac:dyDescent="0.25">
      <c r="A12642" t="s">
        <v>21696</v>
      </c>
      <c r="B12642" t="s">
        <v>21697</v>
      </c>
      <c r="C12642" s="1" t="str">
        <f>HYPERLINK("http://www.genecards.org/cgi-bin/carddisp.pl?gene=ANKRD55","GeneCards")</f>
        <v>GeneCards</v>
      </c>
      <c r="D12642" s="1" t="str">
        <f>HYPERLINK("http://genome-euro.ucsc.edu/cgi-bin/hgTracks?position=220112_at","UCSC")</f>
        <v>UCSC</v>
      </c>
      <c r="E12642" s="1" t="str">
        <f>HYPERLINK("http://www.ncbi.nlm.nih.gov/gene/?term=ANKRD55","NCBI")</f>
        <v>NCBI</v>
      </c>
      <c r="F12642">
        <v>0.38</v>
      </c>
      <c r="G12642">
        <v>0.51</v>
      </c>
      <c r="H12642" s="1" t="str">
        <f>HYPERLINK("http://www.weizmann.ac.il/complex/compphys/software/geview/data/figures/220112_at.png","Figure")</f>
        <v>Figure</v>
      </c>
      <c r="I12642">
        <v>1.02</v>
      </c>
      <c r="J12642">
        <v>0.6</v>
      </c>
      <c r="K12642">
        <v>0.99299999999999999</v>
      </c>
      <c r="L12642">
        <v>0.91</v>
      </c>
      <c r="M12642">
        <v>0.97599999999999998</v>
      </c>
      <c r="N12642">
        <v>0.35</v>
      </c>
    </row>
    <row r="12643" spans="1:14" x14ac:dyDescent="0.25">
      <c r="A12643" t="s">
        <v>21698</v>
      </c>
      <c r="B12643" t="s">
        <v>6217</v>
      </c>
      <c r="C12643" s="1" t="str">
        <f>HYPERLINK("http://www.genecards.org/cgi-bin/carddisp.pl?gene=BAT1","GeneCards")</f>
        <v>GeneCards</v>
      </c>
      <c r="D12643" s="1" t="str">
        <f>HYPERLINK("http://genome-euro.ucsc.edu/cgi-bin/hgTracks?position=200041_s_at","UCSC")</f>
        <v>UCSC</v>
      </c>
      <c r="E12643" s="1" t="str">
        <f>HYPERLINK("http://www.ncbi.nlm.nih.gov/gene/?term=BAT1","NCBI")</f>
        <v>NCBI</v>
      </c>
      <c r="F12643">
        <v>0.38</v>
      </c>
      <c r="G12643">
        <v>0.51</v>
      </c>
      <c r="H12643" s="1" t="str">
        <f>HYPERLINK("http://www.weizmann.ac.il/complex/compphys/software/geview/data/figures/200041_s_at.png","Figure")</f>
        <v>Figure</v>
      </c>
      <c r="I12643">
        <v>0.69299999999999995</v>
      </c>
      <c r="J12643">
        <v>0.35</v>
      </c>
      <c r="K12643">
        <v>0.86</v>
      </c>
      <c r="L12643">
        <v>0.78</v>
      </c>
      <c r="M12643">
        <v>1.24</v>
      </c>
      <c r="N12643">
        <v>0.64</v>
      </c>
    </row>
    <row r="12644" spans="1:14" x14ac:dyDescent="0.25">
      <c r="A12644" t="s">
        <v>21699</v>
      </c>
      <c r="B12644" t="s">
        <v>21172</v>
      </c>
      <c r="C12644" s="1" t="str">
        <f>HYPERLINK("http://www.genecards.org/cgi-bin/carddisp.pl?gene=COL4A3","GeneCards")</f>
        <v>GeneCards</v>
      </c>
      <c r="D12644" s="1" t="str">
        <f>HYPERLINK("http://genome-euro.ucsc.edu/cgi-bin/hgTracks?position=216368_s_at","UCSC")</f>
        <v>UCSC</v>
      </c>
      <c r="E12644" s="1" t="str">
        <f>HYPERLINK("http://www.ncbi.nlm.nih.gov/gene/?term=COL4A3","NCBI")</f>
        <v>NCBI</v>
      </c>
      <c r="F12644">
        <v>0.38</v>
      </c>
      <c r="G12644">
        <v>0.51</v>
      </c>
      <c r="H12644" s="1" t="str">
        <f>HYPERLINK("http://www.weizmann.ac.il/complex/compphys/software/geview/data/figures/216368_s_at.png","Figure")</f>
        <v>Figure</v>
      </c>
      <c r="I12644">
        <v>1.02</v>
      </c>
      <c r="J12644">
        <v>0.39</v>
      </c>
      <c r="K12644">
        <v>1.01</v>
      </c>
      <c r="L12644">
        <v>0.54</v>
      </c>
      <c r="M12644">
        <v>0.99399999999999999</v>
      </c>
      <c r="N12644">
        <v>0.9</v>
      </c>
    </row>
    <row r="12645" spans="1:14" x14ac:dyDescent="0.25">
      <c r="A12645" t="s">
        <v>21700</v>
      </c>
      <c r="B12645" t="s">
        <v>5773</v>
      </c>
      <c r="C12645" s="1" t="str">
        <f>HYPERLINK("http://www.genecards.org/cgi-bin/carddisp.pl?gene=NRF1","GeneCards")</f>
        <v>GeneCards</v>
      </c>
      <c r="D12645" s="1" t="str">
        <f>HYPERLINK("http://genome-euro.ucsc.edu/cgi-bin/hgTracks?position=211280_s_at","UCSC")</f>
        <v>UCSC</v>
      </c>
      <c r="E12645" s="1" t="str">
        <f>HYPERLINK("http://www.ncbi.nlm.nih.gov/gene/?term=NRF1","NCBI")</f>
        <v>NCBI</v>
      </c>
      <c r="F12645">
        <v>0.38</v>
      </c>
      <c r="G12645">
        <v>0.51</v>
      </c>
      <c r="H12645" s="1" t="str">
        <f>HYPERLINK("http://www.weizmann.ac.il/complex/compphys/software/geview/data/figures/211280_s_at.png","Figure")</f>
        <v>Figure</v>
      </c>
      <c r="I12645">
        <v>1.1100000000000001</v>
      </c>
      <c r="J12645">
        <v>0.39</v>
      </c>
      <c r="K12645">
        <v>1.07</v>
      </c>
      <c r="L12645">
        <v>0.53</v>
      </c>
      <c r="M12645">
        <v>0.97</v>
      </c>
      <c r="N12645">
        <v>0.9</v>
      </c>
    </row>
    <row r="12646" spans="1:14" x14ac:dyDescent="0.25">
      <c r="A12646" t="s">
        <v>21701</v>
      </c>
      <c r="B12646" t="s">
        <v>7612</v>
      </c>
      <c r="C12646" s="1" t="str">
        <f>HYPERLINK("http://www.genecards.org/cgi-bin/carddisp.pl?gene=CAMK2B","GeneCards")</f>
        <v>GeneCards</v>
      </c>
      <c r="D12646" s="1" t="str">
        <f>HYPERLINK("http://genome-euro.ucsc.edu/cgi-bin/hgTracks?position=211483_x_at","UCSC")</f>
        <v>UCSC</v>
      </c>
      <c r="E12646" s="1" t="str">
        <f>HYPERLINK("http://www.ncbi.nlm.nih.gov/gene/?term=CAMK2B","NCBI")</f>
        <v>NCBI</v>
      </c>
      <c r="F12646">
        <v>0.38</v>
      </c>
      <c r="G12646">
        <v>0.51</v>
      </c>
      <c r="H12646" s="1" t="str">
        <f>HYPERLINK("http://www.weizmann.ac.il/complex/compphys/software/geview/data/figures/211483_x_at.png","Figure")</f>
        <v>Figure</v>
      </c>
      <c r="I12646">
        <v>1.02</v>
      </c>
      <c r="J12646">
        <v>0.41</v>
      </c>
      <c r="K12646">
        <v>1.02</v>
      </c>
      <c r="L12646">
        <v>0.49</v>
      </c>
      <c r="M12646">
        <v>0.995</v>
      </c>
      <c r="N12646">
        <v>0.95</v>
      </c>
    </row>
    <row r="12647" spans="1:14" x14ac:dyDescent="0.25">
      <c r="A12647" t="s">
        <v>21702</v>
      </c>
      <c r="B12647" t="s">
        <v>21703</v>
      </c>
      <c r="C12647" s="1" t="str">
        <f>HYPERLINK("http://www.genecards.org/cgi-bin/carddisp.pl?gene=PMS2L5","GeneCards")</f>
        <v>GeneCards</v>
      </c>
      <c r="D12647" s="1" t="str">
        <f>HYPERLINK("http://genome-euro.ucsc.edu/cgi-bin/hgTracks?position=213893_x_at","UCSC")</f>
        <v>UCSC</v>
      </c>
      <c r="E12647" s="1" t="str">
        <f>HYPERLINK("http://www.ncbi.nlm.nih.gov/gene/?term=PMS2L5","NCBI")</f>
        <v>NCBI</v>
      </c>
      <c r="F12647">
        <v>0.38</v>
      </c>
      <c r="G12647">
        <v>0.51</v>
      </c>
      <c r="H12647" s="1" t="str">
        <f>HYPERLINK("http://www.weizmann.ac.il/complex/compphys/software/geview/data/figures/213893_x_at.png","Figure")</f>
        <v>Figure</v>
      </c>
      <c r="I12647">
        <v>1.21</v>
      </c>
      <c r="J12647">
        <v>0.4</v>
      </c>
      <c r="K12647">
        <v>1.1499999999999999</v>
      </c>
      <c r="L12647">
        <v>0.5</v>
      </c>
      <c r="M12647">
        <v>0.95499999999999996</v>
      </c>
      <c r="N12647">
        <v>0.94</v>
      </c>
    </row>
    <row r="12648" spans="1:14" x14ac:dyDescent="0.25">
      <c r="A12648" t="s">
        <v>21704</v>
      </c>
      <c r="B12648" t="s">
        <v>21705</v>
      </c>
      <c r="C12648" s="1" t="str">
        <f>HYPERLINK("http://www.genecards.org/cgi-bin/carddisp.pl?gene=ENY2","GeneCards")</f>
        <v>GeneCards</v>
      </c>
      <c r="D12648" s="1" t="str">
        <f>HYPERLINK("http://genome-euro.ucsc.edu/cgi-bin/hgTracks?position=218482_at","UCSC")</f>
        <v>UCSC</v>
      </c>
      <c r="E12648" s="1" t="str">
        <f>HYPERLINK("http://www.ncbi.nlm.nih.gov/gene/?term=ENY2","NCBI")</f>
        <v>NCBI</v>
      </c>
      <c r="F12648">
        <v>0.38</v>
      </c>
      <c r="G12648">
        <v>0.51</v>
      </c>
      <c r="H12648" s="1" t="str">
        <f>HYPERLINK("http://www.weizmann.ac.il/complex/compphys/software/geview/data/figures/218482_at.png","Figure")</f>
        <v>Figure</v>
      </c>
      <c r="I12648">
        <v>0.93100000000000005</v>
      </c>
      <c r="J12648">
        <v>0.84</v>
      </c>
      <c r="K12648">
        <v>1.1000000000000001</v>
      </c>
      <c r="L12648">
        <v>0.68</v>
      </c>
      <c r="M12648">
        <v>1.18</v>
      </c>
      <c r="N12648">
        <v>0.37</v>
      </c>
    </row>
    <row r="12649" spans="1:14" x14ac:dyDescent="0.25">
      <c r="A12649" t="s">
        <v>21706</v>
      </c>
      <c r="B12649" t="s">
        <v>21707</v>
      </c>
      <c r="C12649" s="1" t="str">
        <f>HYPERLINK("http://www.genecards.org/cgi-bin/carddisp.pl?gene=P2RY2","GeneCards")</f>
        <v>GeneCards</v>
      </c>
      <c r="D12649" s="1" t="str">
        <f>HYPERLINK("http://genome-euro.ucsc.edu/cgi-bin/hgTracks?position=206277_at","UCSC")</f>
        <v>UCSC</v>
      </c>
      <c r="E12649" s="1" t="str">
        <f>HYPERLINK("http://www.ncbi.nlm.nih.gov/gene/?term=P2RY2","NCBI")</f>
        <v>NCBI</v>
      </c>
      <c r="F12649">
        <v>0.38</v>
      </c>
      <c r="G12649">
        <v>0.51</v>
      </c>
      <c r="H12649" s="1" t="str">
        <f>HYPERLINK("http://www.weizmann.ac.il/complex/compphys/software/geview/data/figures/206277_at.png","Figure")</f>
        <v>Figure</v>
      </c>
      <c r="I12649">
        <v>1.05</v>
      </c>
      <c r="J12649">
        <v>0.7</v>
      </c>
      <c r="K12649">
        <v>0.97</v>
      </c>
      <c r="L12649">
        <v>0.82</v>
      </c>
      <c r="M12649">
        <v>0.92600000000000005</v>
      </c>
      <c r="N12649">
        <v>0.35</v>
      </c>
    </row>
    <row r="12650" spans="1:14" x14ac:dyDescent="0.25">
      <c r="A12650" t="s">
        <v>21708</v>
      </c>
      <c r="B12650" t="s">
        <v>11660</v>
      </c>
      <c r="C12650" s="1" t="str">
        <f>HYPERLINK("http://www.genecards.org/cgi-bin/carddisp.pl?gene=LAMP1","GeneCards")</f>
        <v>GeneCards</v>
      </c>
      <c r="D12650" s="1" t="str">
        <f>HYPERLINK("http://genome-euro.ucsc.edu/cgi-bin/hgTracks?position=213728_at","UCSC")</f>
        <v>UCSC</v>
      </c>
      <c r="E12650" s="1" t="str">
        <f>HYPERLINK("http://www.ncbi.nlm.nih.gov/gene/?term=LAMP1","NCBI")</f>
        <v>NCBI</v>
      </c>
      <c r="F12650">
        <v>0.38</v>
      </c>
      <c r="G12650">
        <v>0.51</v>
      </c>
      <c r="H12650" s="1" t="str">
        <f>HYPERLINK("http://www.weizmann.ac.il/complex/compphys/software/geview/data/figures/213728_at.png","Figure")</f>
        <v>Figure</v>
      </c>
      <c r="I12650">
        <v>0.96399999999999997</v>
      </c>
      <c r="J12650">
        <v>0.73</v>
      </c>
      <c r="K12650">
        <v>0.94199999999999995</v>
      </c>
      <c r="L12650">
        <v>0.35</v>
      </c>
      <c r="M12650">
        <v>0.97699999999999998</v>
      </c>
      <c r="N12650">
        <v>0.86</v>
      </c>
    </row>
    <row r="12651" spans="1:14" x14ac:dyDescent="0.25">
      <c r="A12651" t="s">
        <v>21709</v>
      </c>
      <c r="B12651" t="s">
        <v>21710</v>
      </c>
      <c r="C12651" s="1" t="str">
        <f>HYPERLINK("http://www.genecards.org/cgi-bin/carddisp.pl?gene=PPYR1","GeneCards")</f>
        <v>GeneCards</v>
      </c>
      <c r="D12651" s="1" t="str">
        <f>HYPERLINK("http://genome-euro.ucsc.edu/cgi-bin/hgTracks?position=210956_at","UCSC")</f>
        <v>UCSC</v>
      </c>
      <c r="E12651" s="1" t="str">
        <f>HYPERLINK("http://www.ncbi.nlm.nih.gov/gene/?term=PPYR1","NCBI")</f>
        <v>NCBI</v>
      </c>
      <c r="F12651">
        <v>0.38</v>
      </c>
      <c r="G12651">
        <v>0.51</v>
      </c>
      <c r="H12651" s="1" t="str">
        <f>HYPERLINK("http://www.weizmann.ac.il/complex/compphys/software/geview/data/figures/210956_at.png","Figure")</f>
        <v>Figure</v>
      </c>
      <c r="I12651">
        <v>1.1100000000000001</v>
      </c>
      <c r="J12651">
        <v>0.41</v>
      </c>
      <c r="K12651">
        <v>1.01</v>
      </c>
      <c r="L12651">
        <v>0.98</v>
      </c>
      <c r="M12651">
        <v>0.90900000000000003</v>
      </c>
      <c r="N12651">
        <v>0.45</v>
      </c>
    </row>
    <row r="12652" spans="1:14" x14ac:dyDescent="0.25">
      <c r="A12652" t="s">
        <v>21711</v>
      </c>
      <c r="B12652" t="s">
        <v>21712</v>
      </c>
      <c r="C12652" s="1" t="str">
        <f>HYPERLINK("http://www.genecards.org/cgi-bin/carddisp.pl?gene=LOC100288007","GeneCards")</f>
        <v>GeneCards</v>
      </c>
      <c r="D12652" s="1" t="str">
        <f>HYPERLINK("http://genome-euro.ucsc.edu/cgi-bin/hgTracks?position=215109_at","UCSC")</f>
        <v>UCSC</v>
      </c>
      <c r="E12652" s="1" t="str">
        <f>HYPERLINK("http://www.ncbi.nlm.nih.gov/gene/?term=LOC100288007","NCBI")</f>
        <v>NCBI</v>
      </c>
      <c r="F12652">
        <v>0.38</v>
      </c>
      <c r="G12652">
        <v>0.51</v>
      </c>
      <c r="H12652" s="1" t="str">
        <f>HYPERLINK("http://www.weizmann.ac.il/complex/compphys/software/geview/data/figures/215109_at.png","Figure")</f>
        <v>Figure</v>
      </c>
      <c r="I12652">
        <v>1.1100000000000001</v>
      </c>
      <c r="J12652">
        <v>0.77</v>
      </c>
      <c r="K12652">
        <v>0.90800000000000003</v>
      </c>
      <c r="L12652">
        <v>0.75</v>
      </c>
      <c r="M12652">
        <v>0.81599999999999995</v>
      </c>
      <c r="N12652">
        <v>0.36</v>
      </c>
    </row>
    <row r="12653" spans="1:14" x14ac:dyDescent="0.25">
      <c r="A12653" t="s">
        <v>21713</v>
      </c>
      <c r="B12653" t="s">
        <v>21714</v>
      </c>
      <c r="C12653" s="1" t="str">
        <f>HYPERLINK("http://www.genecards.org/cgi-bin/carddisp.pl?gene=MTIF2","GeneCards")</f>
        <v>GeneCards</v>
      </c>
      <c r="D12653" s="1" t="str">
        <f>HYPERLINK("http://genome-euro.ucsc.edu/cgi-bin/hgTracks?position=203095_at","UCSC")</f>
        <v>UCSC</v>
      </c>
      <c r="E12653" s="1" t="str">
        <f>HYPERLINK("http://www.ncbi.nlm.nih.gov/gene/?term=MTIF2","NCBI")</f>
        <v>NCBI</v>
      </c>
      <c r="F12653">
        <v>0.38</v>
      </c>
      <c r="G12653">
        <v>0.51</v>
      </c>
      <c r="H12653" s="1" t="str">
        <f>HYPERLINK("http://www.weizmann.ac.il/complex/compphys/software/geview/data/figures/203095_at.png","Figure")</f>
        <v>Figure</v>
      </c>
      <c r="I12653">
        <v>1.1499999999999999</v>
      </c>
      <c r="J12653">
        <v>0.8</v>
      </c>
      <c r="K12653">
        <v>1.32</v>
      </c>
      <c r="L12653">
        <v>0.35</v>
      </c>
      <c r="M12653">
        <v>1.1399999999999999</v>
      </c>
      <c r="N12653">
        <v>0.8</v>
      </c>
    </row>
    <row r="12654" spans="1:14" x14ac:dyDescent="0.25">
      <c r="A12654" t="s">
        <v>21715</v>
      </c>
      <c r="B12654" t="s">
        <v>10577</v>
      </c>
      <c r="C12654" s="1" t="str">
        <f>HYPERLINK("http://www.genecards.org/cgi-bin/carddisp.pl?gene=CSNK2A1","GeneCards")</f>
        <v>GeneCards</v>
      </c>
      <c r="D12654" s="1" t="str">
        <f>HYPERLINK("http://genome-euro.ucsc.edu/cgi-bin/hgTracks?position=212072_s_at","UCSC")</f>
        <v>UCSC</v>
      </c>
      <c r="E12654" s="1" t="str">
        <f>HYPERLINK("http://www.ncbi.nlm.nih.gov/gene/?term=CSNK2A1","NCBI")</f>
        <v>NCBI</v>
      </c>
      <c r="F12654">
        <v>0.38</v>
      </c>
      <c r="G12654">
        <v>0.51</v>
      </c>
      <c r="H12654" s="1" t="str">
        <f>HYPERLINK("http://www.weizmann.ac.il/complex/compphys/software/geview/data/figures/212072_s_at.png","Figure")</f>
        <v>Figure</v>
      </c>
      <c r="I12654">
        <v>0.95299999999999996</v>
      </c>
      <c r="J12654">
        <v>0.88</v>
      </c>
      <c r="K12654">
        <v>0.88300000000000001</v>
      </c>
      <c r="L12654">
        <v>0.36</v>
      </c>
      <c r="M12654">
        <v>0.92700000000000005</v>
      </c>
      <c r="N12654">
        <v>0.7</v>
      </c>
    </row>
    <row r="12655" spans="1:14" x14ac:dyDescent="0.25">
      <c r="A12655" t="s">
        <v>21716</v>
      </c>
      <c r="B12655" t="s">
        <v>3827</v>
      </c>
      <c r="C12655" s="1" t="str">
        <f>HYPERLINK("http://www.genecards.org/cgi-bin/carddisp.pl?gene=LOC100293713","GeneCards")</f>
        <v>GeneCards</v>
      </c>
      <c r="D12655" s="1" t="str">
        <f>HYPERLINK("http://genome-euro.ucsc.edu/cgi-bin/hgTracks?position=216708_x_at","UCSC")</f>
        <v>UCSC</v>
      </c>
      <c r="E12655" s="1" t="str">
        <f>HYPERLINK("http://www.ncbi.nlm.nih.gov/gene/?term=LOC100293713","NCBI")</f>
        <v>NCBI</v>
      </c>
      <c r="F12655">
        <v>0.38</v>
      </c>
      <c r="G12655">
        <v>0.51</v>
      </c>
      <c r="H12655" s="1" t="str">
        <f>HYPERLINK("http://www.weizmann.ac.il/complex/compphys/software/geview/data/figures/216708_x_at.png","Figure")</f>
        <v>Figure</v>
      </c>
      <c r="I12655">
        <v>1.03</v>
      </c>
      <c r="J12655">
        <v>0.43</v>
      </c>
      <c r="K12655">
        <v>1.02</v>
      </c>
      <c r="L12655">
        <v>0.46</v>
      </c>
      <c r="M12655">
        <v>0.996</v>
      </c>
      <c r="N12655">
        <v>0.97</v>
      </c>
    </row>
    <row r="12656" spans="1:14" x14ac:dyDescent="0.25">
      <c r="A12656" t="s">
        <v>21717</v>
      </c>
      <c r="B12656" t="s">
        <v>21718</v>
      </c>
      <c r="C12656" s="1" t="str">
        <f>HYPERLINK("http://www.genecards.org/cgi-bin/carddisp.pl?gene=RPL36","GeneCards")</f>
        <v>GeneCards</v>
      </c>
      <c r="D12656" s="1" t="str">
        <f>HYPERLINK("http://genome-euro.ucsc.edu/cgi-bin/hgTracks?position=219762_s_at","UCSC")</f>
        <v>UCSC</v>
      </c>
      <c r="E12656" s="1" t="str">
        <f>HYPERLINK("http://www.ncbi.nlm.nih.gov/gene/?term=RPL36","NCBI")</f>
        <v>NCBI</v>
      </c>
      <c r="F12656">
        <v>0.38</v>
      </c>
      <c r="G12656">
        <v>0.51</v>
      </c>
      <c r="H12656" s="1" t="str">
        <f>HYPERLINK("http://www.weizmann.ac.il/complex/compphys/software/geview/data/figures/219762_s_at.png","Figure")</f>
        <v>Figure</v>
      </c>
      <c r="I12656">
        <v>0.65700000000000003</v>
      </c>
      <c r="J12656">
        <v>0.35</v>
      </c>
      <c r="K12656">
        <v>0.84899999999999998</v>
      </c>
      <c r="L12656">
        <v>0.8</v>
      </c>
      <c r="M12656">
        <v>1.29</v>
      </c>
      <c r="N12656">
        <v>0.63</v>
      </c>
    </row>
    <row r="12657" spans="1:14" x14ac:dyDescent="0.25">
      <c r="A12657" t="s">
        <v>21719</v>
      </c>
      <c r="B12657" t="s">
        <v>21720</v>
      </c>
      <c r="C12657" s="1" t="str">
        <f>HYPERLINK("http://www.genecards.org/cgi-bin/carddisp.pl?gene=BAK1","GeneCards")</f>
        <v>GeneCards</v>
      </c>
      <c r="D12657" s="1" t="str">
        <f>HYPERLINK("http://genome-euro.ucsc.edu/cgi-bin/hgTracks?position=203728_at","UCSC")</f>
        <v>UCSC</v>
      </c>
      <c r="E12657" s="1" t="str">
        <f>HYPERLINK("http://www.ncbi.nlm.nih.gov/gene/?term=BAK1","NCBI")</f>
        <v>NCBI</v>
      </c>
      <c r="F12657">
        <v>0.38</v>
      </c>
      <c r="G12657">
        <v>0.51</v>
      </c>
      <c r="H12657" s="1" t="str">
        <f>HYPERLINK("http://www.weizmann.ac.il/complex/compphys/software/geview/data/figures/203728_at.png","Figure")</f>
        <v>Figure</v>
      </c>
      <c r="I12657">
        <v>1.08</v>
      </c>
      <c r="J12657">
        <v>0.68</v>
      </c>
      <c r="K12657">
        <v>1.1100000000000001</v>
      </c>
      <c r="L12657">
        <v>0.35</v>
      </c>
      <c r="M12657">
        <v>1.04</v>
      </c>
      <c r="N12657">
        <v>0.9</v>
      </c>
    </row>
    <row r="12658" spans="1:14" x14ac:dyDescent="0.25">
      <c r="A12658" t="s">
        <v>21721</v>
      </c>
      <c r="B12658" t="s">
        <v>21722</v>
      </c>
      <c r="C12658" s="1" t="str">
        <f>HYPERLINK("http://www.genecards.org/cgi-bin/carddisp.pl?gene=MAPKAPK3","GeneCards")</f>
        <v>GeneCards</v>
      </c>
      <c r="D12658" s="1" t="str">
        <f>HYPERLINK("http://genome-euro.ucsc.edu/cgi-bin/hgTracks?position=202788_at","UCSC")</f>
        <v>UCSC</v>
      </c>
      <c r="E12658" s="1" t="str">
        <f>HYPERLINK("http://www.ncbi.nlm.nih.gov/gene/?term=MAPKAPK3","NCBI")</f>
        <v>NCBI</v>
      </c>
      <c r="F12658">
        <v>0.38</v>
      </c>
      <c r="G12658">
        <v>0.51</v>
      </c>
      <c r="H12658" s="1" t="str">
        <f>HYPERLINK("http://www.weizmann.ac.il/complex/compphys/software/geview/data/figures/202788_at.png","Figure")</f>
        <v>Figure</v>
      </c>
      <c r="I12658">
        <v>1.1299999999999999</v>
      </c>
      <c r="J12658">
        <v>0.41</v>
      </c>
      <c r="K12658">
        <v>1.01</v>
      </c>
      <c r="L12658">
        <v>0.98</v>
      </c>
      <c r="M12658">
        <v>0.9</v>
      </c>
      <c r="N12658">
        <v>0.45</v>
      </c>
    </row>
    <row r="12659" spans="1:14" x14ac:dyDescent="0.25">
      <c r="A12659" t="s">
        <v>21723</v>
      </c>
      <c r="B12659" t="s">
        <v>20754</v>
      </c>
      <c r="C12659" s="1" t="str">
        <f>HYPERLINK("http://www.genecards.org/cgi-bin/carddisp.pl?gene=GPR89A /// GPR89B /// GPR89C","GeneCards")</f>
        <v>GeneCards</v>
      </c>
      <c r="D12659" s="1" t="str">
        <f>HYPERLINK("http://genome-euro.ucsc.edu/cgi-bin/hgTracks?position=220642_x_at","UCSC")</f>
        <v>UCSC</v>
      </c>
      <c r="E12659" s="1" t="str">
        <f>HYPERLINK("http://www.ncbi.nlm.nih.gov/gene/?term=GPR89A /// GPR89B /// GPR89C","NCBI")</f>
        <v>NCBI</v>
      </c>
      <c r="F12659">
        <v>0.38</v>
      </c>
      <c r="G12659">
        <v>0.51</v>
      </c>
      <c r="H12659" s="1" t="str">
        <f>HYPERLINK("http://www.weizmann.ac.il/complex/compphys/software/geview/data/figures/220642_x_at.png","Figure")</f>
        <v>Figure</v>
      </c>
      <c r="I12659">
        <v>1.06</v>
      </c>
      <c r="J12659">
        <v>0.96</v>
      </c>
      <c r="K12659">
        <v>1.31</v>
      </c>
      <c r="L12659">
        <v>0.39</v>
      </c>
      <c r="M12659">
        <v>1.23</v>
      </c>
      <c r="N12659">
        <v>0.6</v>
      </c>
    </row>
    <row r="12660" spans="1:14" x14ac:dyDescent="0.25">
      <c r="A12660" t="s">
        <v>21724</v>
      </c>
      <c r="B12660" t="s">
        <v>21725</v>
      </c>
      <c r="C12660" s="1" t="str">
        <f>HYPERLINK("http://www.genecards.org/cgi-bin/carddisp.pl?gene=DCXR","GeneCards")</f>
        <v>GeneCards</v>
      </c>
      <c r="D12660" s="1" t="str">
        <f>HYPERLINK("http://genome-euro.ucsc.edu/cgi-bin/hgTracks?position=217973_at","UCSC")</f>
        <v>UCSC</v>
      </c>
      <c r="E12660" s="1" t="str">
        <f>HYPERLINK("http://www.ncbi.nlm.nih.gov/gene/?term=DCXR","NCBI")</f>
        <v>NCBI</v>
      </c>
      <c r="F12660">
        <v>0.38</v>
      </c>
      <c r="G12660">
        <v>0.51</v>
      </c>
      <c r="H12660" s="1" t="str">
        <f>HYPERLINK("http://www.weizmann.ac.il/complex/compphys/software/geview/data/figures/217973_at.png","Figure")</f>
        <v>Figure</v>
      </c>
      <c r="I12660">
        <v>0.79100000000000004</v>
      </c>
      <c r="J12660">
        <v>0.54</v>
      </c>
      <c r="K12660">
        <v>1.05</v>
      </c>
      <c r="L12660">
        <v>0.96</v>
      </c>
      <c r="M12660">
        <v>1.33</v>
      </c>
      <c r="N12660">
        <v>0.37</v>
      </c>
    </row>
    <row r="12661" spans="1:14" x14ac:dyDescent="0.25">
      <c r="A12661" t="s">
        <v>21726</v>
      </c>
      <c r="B12661" t="s">
        <v>21727</v>
      </c>
      <c r="C12661" s="1" t="str">
        <f>HYPERLINK("http://www.genecards.org/cgi-bin/carddisp.pl?gene=CEACAM7","GeneCards")</f>
        <v>GeneCards</v>
      </c>
      <c r="D12661" s="1" t="str">
        <f>HYPERLINK("http://genome-euro.ucsc.edu/cgi-bin/hgTracks?position=211848_s_at","UCSC")</f>
        <v>UCSC</v>
      </c>
      <c r="E12661" s="1" t="str">
        <f>HYPERLINK("http://www.ncbi.nlm.nih.gov/gene/?term=CEACAM7","NCBI")</f>
        <v>NCBI</v>
      </c>
      <c r="F12661">
        <v>0.38</v>
      </c>
      <c r="G12661">
        <v>0.51</v>
      </c>
      <c r="H12661" s="1" t="str">
        <f>HYPERLINK("http://www.weizmann.ac.il/complex/compphys/software/geview/data/figures/211848_s_at.png","Figure")</f>
        <v>Figure</v>
      </c>
      <c r="I12661">
        <v>0.97599999999999998</v>
      </c>
      <c r="J12661">
        <v>0.93</v>
      </c>
      <c r="K12661">
        <v>0.92100000000000004</v>
      </c>
      <c r="L12661">
        <v>0.38</v>
      </c>
      <c r="M12661">
        <v>0.94299999999999995</v>
      </c>
      <c r="N12661">
        <v>0.65</v>
      </c>
    </row>
    <row r="12662" spans="1:14" x14ac:dyDescent="0.25">
      <c r="A12662" t="s">
        <v>21728</v>
      </c>
      <c r="B12662" t="s">
        <v>20664</v>
      </c>
      <c r="C12662" s="1" t="str">
        <f>HYPERLINK("http://www.genecards.org/cgi-bin/carddisp.pl?gene=ACO2","GeneCards")</f>
        <v>GeneCards</v>
      </c>
      <c r="D12662" s="1" t="str">
        <f>HYPERLINK("http://genome-euro.ucsc.edu/cgi-bin/hgTracks?position=217307_at","UCSC")</f>
        <v>UCSC</v>
      </c>
      <c r="E12662" s="1" t="str">
        <f>HYPERLINK("http://www.ncbi.nlm.nih.gov/gene/?term=ACO2","NCBI")</f>
        <v>NCBI</v>
      </c>
      <c r="F12662">
        <v>0.38</v>
      </c>
      <c r="G12662">
        <v>0.51</v>
      </c>
      <c r="H12662" s="1" t="str">
        <f>HYPERLINK("http://www.weizmann.ac.il/complex/compphys/software/geview/data/figures/217307_at.png","Figure")</f>
        <v>Figure</v>
      </c>
      <c r="I12662">
        <v>1.1000000000000001</v>
      </c>
      <c r="J12662">
        <v>0.44</v>
      </c>
      <c r="K12662">
        <v>1</v>
      </c>
      <c r="L12662">
        <v>1</v>
      </c>
      <c r="M12662">
        <v>0.91</v>
      </c>
      <c r="N12662">
        <v>0.42</v>
      </c>
    </row>
    <row r="12663" spans="1:14" x14ac:dyDescent="0.25">
      <c r="A12663" t="s">
        <v>21729</v>
      </c>
      <c r="B12663" t="s">
        <v>21730</v>
      </c>
      <c r="C12663" s="1" t="str">
        <f>HYPERLINK("http://www.genecards.org/cgi-bin/carddisp.pl?gene=LGALS4","GeneCards")</f>
        <v>GeneCards</v>
      </c>
      <c r="D12663" s="1" t="str">
        <f>HYPERLINK("http://genome-euro.ucsc.edu/cgi-bin/hgTracks?position=204272_at","UCSC")</f>
        <v>UCSC</v>
      </c>
      <c r="E12663" s="1" t="str">
        <f>HYPERLINK("http://www.ncbi.nlm.nih.gov/gene/?term=LGALS4","NCBI")</f>
        <v>NCBI</v>
      </c>
      <c r="F12663">
        <v>0.38</v>
      </c>
      <c r="G12663">
        <v>0.51</v>
      </c>
      <c r="H12663" s="1" t="str">
        <f>HYPERLINK("http://www.weizmann.ac.il/complex/compphys/software/geview/data/figures/204272_at.png","Figure")</f>
        <v>Figure</v>
      </c>
      <c r="I12663">
        <v>0.95599999999999996</v>
      </c>
      <c r="J12663">
        <v>0.37</v>
      </c>
      <c r="K12663">
        <v>0.98799999999999999</v>
      </c>
      <c r="L12663">
        <v>0.91</v>
      </c>
      <c r="M12663">
        <v>1.03</v>
      </c>
      <c r="N12663">
        <v>0.53</v>
      </c>
    </row>
    <row r="12664" spans="1:14" x14ac:dyDescent="0.25">
      <c r="A12664" t="s">
        <v>21731</v>
      </c>
      <c r="B12664" t="s">
        <v>9791</v>
      </c>
      <c r="C12664" s="1" t="str">
        <f>HYPERLINK("http://www.genecards.org/cgi-bin/carddisp.pl?gene=TK2","GeneCards")</f>
        <v>GeneCards</v>
      </c>
      <c r="D12664" s="1" t="str">
        <f>HYPERLINK("http://genome-euro.ucsc.edu/cgi-bin/hgTracks?position=204277_s_at","UCSC")</f>
        <v>UCSC</v>
      </c>
      <c r="E12664" s="1" t="str">
        <f>HYPERLINK("http://www.ncbi.nlm.nih.gov/gene/?term=TK2","NCBI")</f>
        <v>NCBI</v>
      </c>
      <c r="F12664">
        <v>0.38</v>
      </c>
      <c r="G12664">
        <v>0.51</v>
      </c>
      <c r="H12664" s="1" t="str">
        <f>HYPERLINK("http://www.weizmann.ac.il/complex/compphys/software/geview/data/figures/204277_s_at.png","Figure")</f>
        <v>Figure</v>
      </c>
      <c r="I12664">
        <v>1.1299999999999999</v>
      </c>
      <c r="J12664">
        <v>0.36</v>
      </c>
      <c r="K12664">
        <v>1.04</v>
      </c>
      <c r="L12664">
        <v>0.88</v>
      </c>
      <c r="M12664">
        <v>0.91800000000000004</v>
      </c>
      <c r="N12664">
        <v>0.55000000000000004</v>
      </c>
    </row>
    <row r="12665" spans="1:14" x14ac:dyDescent="0.25">
      <c r="A12665" t="s">
        <v>21732</v>
      </c>
      <c r="B12665" t="s">
        <v>11387</v>
      </c>
      <c r="C12665" s="1" t="str">
        <f>HYPERLINK("http://www.genecards.org/cgi-bin/carddisp.pl?gene=NFKB2","GeneCards")</f>
        <v>GeneCards</v>
      </c>
      <c r="D12665" s="1" t="str">
        <f>HYPERLINK("http://genome-euro.ucsc.edu/cgi-bin/hgTracks?position=209636_at","UCSC")</f>
        <v>UCSC</v>
      </c>
      <c r="E12665" s="1" t="str">
        <f>HYPERLINK("http://www.ncbi.nlm.nih.gov/gene/?term=NFKB2","NCBI")</f>
        <v>NCBI</v>
      </c>
      <c r="F12665">
        <v>0.38</v>
      </c>
      <c r="G12665">
        <v>0.51</v>
      </c>
      <c r="H12665" s="1" t="str">
        <f>HYPERLINK("http://www.weizmann.ac.il/complex/compphys/software/geview/data/figures/209636_at.png","Figure")</f>
        <v>Figure</v>
      </c>
      <c r="I12665">
        <v>1.04</v>
      </c>
      <c r="J12665">
        <v>0.49</v>
      </c>
      <c r="K12665">
        <v>0.997</v>
      </c>
      <c r="L12665">
        <v>0.99</v>
      </c>
      <c r="M12665">
        <v>0.96</v>
      </c>
      <c r="N12665">
        <v>0.39</v>
      </c>
    </row>
    <row r="12666" spans="1:14" x14ac:dyDescent="0.25">
      <c r="A12666" t="s">
        <v>21733</v>
      </c>
      <c r="B12666" t="s">
        <v>21734</v>
      </c>
      <c r="C12666" s="1" t="str">
        <f>HYPERLINK("http://www.genecards.org/cgi-bin/carddisp.pl?gene=POLR1D","GeneCards")</f>
        <v>GeneCards</v>
      </c>
      <c r="D12666" s="1" t="str">
        <f>HYPERLINK("http://genome-euro.ucsc.edu/cgi-bin/hgTracks?position=218258_at","UCSC")</f>
        <v>UCSC</v>
      </c>
      <c r="E12666" s="1" t="str">
        <f>HYPERLINK("http://www.ncbi.nlm.nih.gov/gene/?term=POLR1D","NCBI")</f>
        <v>NCBI</v>
      </c>
      <c r="F12666">
        <v>0.38</v>
      </c>
      <c r="G12666">
        <v>0.51</v>
      </c>
      <c r="H12666" s="1" t="str">
        <f>HYPERLINK("http://www.weizmann.ac.il/complex/compphys/software/geview/data/figures/218258_at.png","Figure")</f>
        <v>Figure</v>
      </c>
      <c r="I12666">
        <v>1.01</v>
      </c>
      <c r="J12666">
        <v>1</v>
      </c>
      <c r="K12666">
        <v>0.78100000000000003</v>
      </c>
      <c r="L12666">
        <v>0.47</v>
      </c>
      <c r="M12666">
        <v>0.77</v>
      </c>
      <c r="N12666">
        <v>0.48</v>
      </c>
    </row>
    <row r="12667" spans="1:14" x14ac:dyDescent="0.25">
      <c r="A12667" t="s">
        <v>21735</v>
      </c>
      <c r="B12667" t="s">
        <v>21736</v>
      </c>
      <c r="C12667" s="1" t="str">
        <f>HYPERLINK("http://www.genecards.org/cgi-bin/carddisp.pl?gene=PUS3","GeneCards")</f>
        <v>GeneCards</v>
      </c>
      <c r="D12667" s="1" t="str">
        <f>HYPERLINK("http://genome-euro.ucsc.edu/cgi-bin/hgTracks?position=221277_s_at","UCSC")</f>
        <v>UCSC</v>
      </c>
      <c r="E12667" s="1" t="str">
        <f>HYPERLINK("http://www.ncbi.nlm.nih.gov/gene/?term=PUS3","NCBI")</f>
        <v>NCBI</v>
      </c>
      <c r="F12667">
        <v>0.38</v>
      </c>
      <c r="G12667">
        <v>0.51</v>
      </c>
      <c r="H12667" s="1" t="str">
        <f>HYPERLINK("http://www.weizmann.ac.il/complex/compphys/software/geview/data/figures/221277_s_at.png","Figure")</f>
        <v>Figure</v>
      </c>
      <c r="I12667">
        <v>1.1100000000000001</v>
      </c>
      <c r="J12667">
        <v>0.41</v>
      </c>
      <c r="K12667">
        <v>1.0900000000000001</v>
      </c>
      <c r="L12667">
        <v>0.49</v>
      </c>
      <c r="M12667">
        <v>0.97599999999999998</v>
      </c>
      <c r="N12667">
        <v>0.95</v>
      </c>
    </row>
    <row r="12668" spans="1:14" x14ac:dyDescent="0.25">
      <c r="A12668" t="s">
        <v>21737</v>
      </c>
      <c r="B12668" t="s">
        <v>16518</v>
      </c>
      <c r="C12668" s="1" t="str">
        <f>HYPERLINK("http://www.genecards.org/cgi-bin/carddisp.pl?gene=MAP3K4","GeneCards")</f>
        <v>GeneCards</v>
      </c>
      <c r="D12668" s="1" t="str">
        <f>HYPERLINK("http://genome-euro.ucsc.edu/cgi-bin/hgTracks?position=204089_x_at","UCSC")</f>
        <v>UCSC</v>
      </c>
      <c r="E12668" s="1" t="str">
        <f>HYPERLINK("http://www.ncbi.nlm.nih.gov/gene/?term=MAP3K4","NCBI")</f>
        <v>NCBI</v>
      </c>
      <c r="F12668">
        <v>0.38</v>
      </c>
      <c r="G12668">
        <v>0.51</v>
      </c>
      <c r="H12668" s="1" t="str">
        <f>HYPERLINK("http://www.weizmann.ac.il/complex/compphys/software/geview/data/figures/204089_x_at.png","Figure")</f>
        <v>Figure</v>
      </c>
      <c r="I12668">
        <v>1.18</v>
      </c>
      <c r="J12668">
        <v>0.68</v>
      </c>
      <c r="K12668">
        <v>1.28</v>
      </c>
      <c r="L12668">
        <v>0.35</v>
      </c>
      <c r="M12668">
        <v>1.08</v>
      </c>
      <c r="N12668">
        <v>0.9</v>
      </c>
    </row>
    <row r="12669" spans="1:14" x14ac:dyDescent="0.25">
      <c r="A12669" t="s">
        <v>21738</v>
      </c>
      <c r="B12669" t="s">
        <v>21739</v>
      </c>
      <c r="C12669" s="1" t="str">
        <f>HYPERLINK("http://www.genecards.org/cgi-bin/carddisp.pl?gene=MAP1LC3C","GeneCards")</f>
        <v>GeneCards</v>
      </c>
      <c r="D12669" s="1" t="str">
        <f>HYPERLINK("http://genome-euro.ucsc.edu/cgi-bin/hgTracks?position=221697_at","UCSC")</f>
        <v>UCSC</v>
      </c>
      <c r="E12669" s="1" t="str">
        <f>HYPERLINK("http://www.ncbi.nlm.nih.gov/gene/?term=MAP1LC3C","NCBI")</f>
        <v>NCBI</v>
      </c>
      <c r="F12669">
        <v>0.38</v>
      </c>
      <c r="G12669">
        <v>0.51</v>
      </c>
      <c r="H12669" s="1" t="str">
        <f>HYPERLINK("http://www.weizmann.ac.il/complex/compphys/software/geview/data/figures/221697_at.png","Figure")</f>
        <v>Figure</v>
      </c>
      <c r="I12669">
        <v>1.05</v>
      </c>
      <c r="J12669">
        <v>0.38</v>
      </c>
      <c r="K12669">
        <v>1.01</v>
      </c>
      <c r="L12669">
        <v>0.95</v>
      </c>
      <c r="M12669">
        <v>0.96199999999999997</v>
      </c>
      <c r="N12669">
        <v>0.49</v>
      </c>
    </row>
    <row r="12670" spans="1:14" x14ac:dyDescent="0.25">
      <c r="A12670" t="s">
        <v>21740</v>
      </c>
      <c r="B12670" t="s">
        <v>21741</v>
      </c>
      <c r="C12670" s="1" t="str">
        <f>HYPERLINK("http://www.genecards.org/cgi-bin/carddisp.pl?gene=NIACR2","GeneCards")</f>
        <v>GeneCards</v>
      </c>
      <c r="D12670" s="1" t="str">
        <f>HYPERLINK("http://genome-euro.ucsc.edu/cgi-bin/hgTracks?position=205220_at","UCSC")</f>
        <v>UCSC</v>
      </c>
      <c r="E12670" s="1" t="str">
        <f>HYPERLINK("http://www.ncbi.nlm.nih.gov/gene/?term=NIACR2","NCBI")</f>
        <v>NCBI</v>
      </c>
      <c r="F12670">
        <v>0.38</v>
      </c>
      <c r="G12670">
        <v>0.52</v>
      </c>
      <c r="H12670" s="1" t="str">
        <f>HYPERLINK("http://www.weizmann.ac.il/complex/compphys/software/geview/data/figures/205220_at.png","Figure")</f>
        <v>Figure</v>
      </c>
      <c r="I12670">
        <v>0.66700000000000004</v>
      </c>
      <c r="J12670">
        <v>0.37</v>
      </c>
      <c r="K12670">
        <v>0.77300000000000002</v>
      </c>
      <c r="L12670">
        <v>0.57999999999999996</v>
      </c>
      <c r="M12670">
        <v>1.1599999999999999</v>
      </c>
      <c r="N12670">
        <v>0.85</v>
      </c>
    </row>
    <row r="12671" spans="1:14" x14ac:dyDescent="0.25">
      <c r="A12671" t="s">
        <v>21742</v>
      </c>
      <c r="B12671" t="s">
        <v>8709</v>
      </c>
      <c r="C12671" s="1" t="str">
        <f>HYPERLINK("http://www.genecards.org/cgi-bin/carddisp.pl?gene=NAAA","GeneCards")</f>
        <v>GeneCards</v>
      </c>
      <c r="D12671" s="1" t="str">
        <f>HYPERLINK("http://genome-euro.ucsc.edu/cgi-bin/hgTracks?position=215178_x_at","UCSC")</f>
        <v>UCSC</v>
      </c>
      <c r="E12671" s="1" t="str">
        <f>HYPERLINK("http://www.ncbi.nlm.nih.gov/gene/?term=NAAA","NCBI")</f>
        <v>NCBI</v>
      </c>
      <c r="F12671">
        <v>0.38</v>
      </c>
      <c r="G12671">
        <v>0.52</v>
      </c>
      <c r="H12671" s="1" t="str">
        <f>HYPERLINK("http://www.weizmann.ac.il/complex/compphys/software/geview/data/figures/215178_x_at.png","Figure")</f>
        <v>Figure</v>
      </c>
      <c r="I12671">
        <v>1.06</v>
      </c>
      <c r="J12671">
        <v>0.71</v>
      </c>
      <c r="K12671">
        <v>0.95899999999999996</v>
      </c>
      <c r="L12671">
        <v>0.81</v>
      </c>
      <c r="M12671">
        <v>0.90300000000000002</v>
      </c>
      <c r="N12671">
        <v>0.35</v>
      </c>
    </row>
    <row r="12672" spans="1:14" x14ac:dyDescent="0.25">
      <c r="A12672" t="s">
        <v>21743</v>
      </c>
      <c r="B12672" t="s">
        <v>21744</v>
      </c>
      <c r="C12672" s="1" t="str">
        <f>HYPERLINK("http://www.genecards.org/cgi-bin/carddisp.pl?gene=MRPL39","GeneCards")</f>
        <v>GeneCards</v>
      </c>
      <c r="D12672" s="1" t="str">
        <f>HYPERLINK("http://genome-euro.ucsc.edu/cgi-bin/hgTracks?position=218558_s_at","UCSC")</f>
        <v>UCSC</v>
      </c>
      <c r="E12672" s="1" t="str">
        <f>HYPERLINK("http://www.ncbi.nlm.nih.gov/gene/?term=MRPL39","NCBI")</f>
        <v>NCBI</v>
      </c>
      <c r="F12672">
        <v>0.38</v>
      </c>
      <c r="G12672">
        <v>0.52</v>
      </c>
      <c r="H12672" s="1" t="str">
        <f>HYPERLINK("http://www.weizmann.ac.il/complex/compphys/software/geview/data/figures/218558_s_at.png","Figure")</f>
        <v>Figure</v>
      </c>
      <c r="I12672">
        <v>0.80800000000000005</v>
      </c>
      <c r="J12672">
        <v>0.49</v>
      </c>
      <c r="K12672">
        <v>0.81299999999999994</v>
      </c>
      <c r="L12672">
        <v>0.42</v>
      </c>
      <c r="M12672">
        <v>1.01</v>
      </c>
      <c r="N12672">
        <v>1</v>
      </c>
    </row>
    <row r="12673" spans="1:14" x14ac:dyDescent="0.25">
      <c r="A12673" t="s">
        <v>21745</v>
      </c>
      <c r="B12673" t="s">
        <v>6237</v>
      </c>
      <c r="C12673" s="1" t="str">
        <f>HYPERLINK("http://www.genecards.org/cgi-bin/carddisp.pl?gene=CUL2","GeneCards")</f>
        <v>GeneCards</v>
      </c>
      <c r="D12673" s="1" t="str">
        <f>HYPERLINK("http://genome-euro.ucsc.edu/cgi-bin/hgTracks?position=203078_at","UCSC")</f>
        <v>UCSC</v>
      </c>
      <c r="E12673" s="1" t="str">
        <f>HYPERLINK("http://www.ncbi.nlm.nih.gov/gene/?term=CUL2","NCBI")</f>
        <v>NCBI</v>
      </c>
      <c r="F12673">
        <v>0.38</v>
      </c>
      <c r="G12673">
        <v>0.52</v>
      </c>
      <c r="H12673" s="1" t="str">
        <f>HYPERLINK("http://www.weizmann.ac.il/complex/compphys/software/geview/data/figures/203078_at.png","Figure")</f>
        <v>Figure</v>
      </c>
      <c r="I12673">
        <v>0.90600000000000003</v>
      </c>
      <c r="J12673">
        <v>0.37</v>
      </c>
      <c r="K12673">
        <v>0.97499999999999998</v>
      </c>
      <c r="L12673">
        <v>0.91</v>
      </c>
      <c r="M12673">
        <v>1.08</v>
      </c>
      <c r="N12673">
        <v>0.53</v>
      </c>
    </row>
    <row r="12674" spans="1:14" x14ac:dyDescent="0.25">
      <c r="A12674" t="s">
        <v>21746</v>
      </c>
      <c r="B12674" t="s">
        <v>19243</v>
      </c>
      <c r="C12674" s="1" t="str">
        <f>HYPERLINK("http://www.genecards.org/cgi-bin/carddisp.pl?gene=KCNJ8","GeneCards")</f>
        <v>GeneCards</v>
      </c>
      <c r="D12674" s="1" t="str">
        <f>HYPERLINK("http://genome-euro.ucsc.edu/cgi-bin/hgTracks?position=205304_s_at","UCSC")</f>
        <v>UCSC</v>
      </c>
      <c r="E12674" s="1" t="str">
        <f>HYPERLINK("http://www.ncbi.nlm.nih.gov/gene/?term=KCNJ8","NCBI")</f>
        <v>NCBI</v>
      </c>
      <c r="F12674">
        <v>0.38</v>
      </c>
      <c r="G12674">
        <v>0.52</v>
      </c>
      <c r="H12674" s="1" t="str">
        <f>HYPERLINK("http://www.weizmann.ac.il/complex/compphys/software/geview/data/figures/205304_s_at.png","Figure")</f>
        <v>Figure</v>
      </c>
      <c r="I12674">
        <v>1</v>
      </c>
      <c r="J12674">
        <v>1</v>
      </c>
      <c r="K12674">
        <v>0.91900000000000004</v>
      </c>
      <c r="L12674">
        <v>0.47</v>
      </c>
      <c r="M12674">
        <v>0.91600000000000004</v>
      </c>
      <c r="N12674">
        <v>0.48</v>
      </c>
    </row>
    <row r="12675" spans="1:14" x14ac:dyDescent="0.25">
      <c r="A12675" t="s">
        <v>21747</v>
      </c>
      <c r="B12675" t="s">
        <v>342</v>
      </c>
      <c r="C12675" s="1" t="str">
        <f>HYPERLINK("http://www.genecards.org/cgi-bin/carddisp.pl?gene=SRP72","GeneCards")</f>
        <v>GeneCards</v>
      </c>
      <c r="D12675" s="1" t="str">
        <f>HYPERLINK("http://genome-euro.ucsc.edu/cgi-bin/hgTracks?position=208801_at","UCSC")</f>
        <v>UCSC</v>
      </c>
      <c r="E12675" s="1" t="str">
        <f>HYPERLINK("http://www.ncbi.nlm.nih.gov/gene/?term=SRP72","NCBI")</f>
        <v>NCBI</v>
      </c>
      <c r="F12675">
        <v>0.38</v>
      </c>
      <c r="G12675">
        <v>0.52</v>
      </c>
      <c r="H12675" s="1" t="str">
        <f>HYPERLINK("http://www.weizmann.ac.il/complex/compphys/software/geview/data/figures/208801_at.png","Figure")</f>
        <v>Figure</v>
      </c>
      <c r="I12675">
        <v>0.80900000000000005</v>
      </c>
      <c r="J12675">
        <v>0.43</v>
      </c>
      <c r="K12675">
        <v>0.98699999999999999</v>
      </c>
      <c r="L12675">
        <v>1</v>
      </c>
      <c r="M12675">
        <v>1.22</v>
      </c>
      <c r="N12675">
        <v>0.43</v>
      </c>
    </row>
    <row r="12676" spans="1:14" x14ac:dyDescent="0.25">
      <c r="A12676" t="s">
        <v>21748</v>
      </c>
      <c r="B12676" t="s">
        <v>18229</v>
      </c>
      <c r="C12676" s="1" t="str">
        <f>HYPERLINK("http://www.genecards.org/cgi-bin/carddisp.pl?gene=TRA@ /// TRD@","GeneCards")</f>
        <v>GeneCards</v>
      </c>
      <c r="D12676" s="1" t="str">
        <f>HYPERLINK("http://genome-euro.ucsc.edu/cgi-bin/hgTracks?position=217143_s_at","UCSC")</f>
        <v>UCSC</v>
      </c>
      <c r="E12676" s="1" t="str">
        <f>HYPERLINK("http://www.ncbi.nlm.nih.gov/gene/?term=TRA@ /// TRD@","NCBI")</f>
        <v>NCBI</v>
      </c>
      <c r="F12676">
        <v>0.38</v>
      </c>
      <c r="G12676">
        <v>0.52</v>
      </c>
      <c r="H12676" s="1" t="str">
        <f>HYPERLINK("http://www.weizmann.ac.il/complex/compphys/software/geview/data/figures/217143_s_at.png","Figure")</f>
        <v>Figure</v>
      </c>
      <c r="I12676">
        <v>0.68500000000000005</v>
      </c>
      <c r="J12676">
        <v>0.36</v>
      </c>
      <c r="K12676">
        <v>0.88400000000000001</v>
      </c>
      <c r="L12676">
        <v>0.86</v>
      </c>
      <c r="M12676">
        <v>1.29</v>
      </c>
      <c r="N12676">
        <v>0.57999999999999996</v>
      </c>
    </row>
    <row r="12677" spans="1:14" x14ac:dyDescent="0.25">
      <c r="A12677" t="s">
        <v>21749</v>
      </c>
      <c r="B12677" t="s">
        <v>21750</v>
      </c>
      <c r="C12677" s="1" t="str">
        <f>HYPERLINK("http://www.genecards.org/cgi-bin/carddisp.pl?gene=PLEKHO1","GeneCards")</f>
        <v>GeneCards</v>
      </c>
      <c r="D12677" s="1" t="str">
        <f>HYPERLINK("http://genome-euro.ucsc.edu/cgi-bin/hgTracks?position=218223_s_at","UCSC")</f>
        <v>UCSC</v>
      </c>
      <c r="E12677" s="1" t="str">
        <f>HYPERLINK("http://www.ncbi.nlm.nih.gov/gene/?term=PLEKHO1","NCBI")</f>
        <v>NCBI</v>
      </c>
      <c r="F12677">
        <v>0.38</v>
      </c>
      <c r="G12677">
        <v>0.52</v>
      </c>
      <c r="H12677" s="1" t="str">
        <f>HYPERLINK("http://www.weizmann.ac.il/complex/compphys/software/geview/data/figures/218223_s_at.png","Figure")</f>
        <v>Figure</v>
      </c>
      <c r="I12677">
        <v>0.77800000000000002</v>
      </c>
      <c r="J12677">
        <v>0.47</v>
      </c>
      <c r="K12677">
        <v>1.01</v>
      </c>
      <c r="L12677">
        <v>1</v>
      </c>
      <c r="M12677">
        <v>1.3</v>
      </c>
      <c r="N12677">
        <v>0.4</v>
      </c>
    </row>
    <row r="12678" spans="1:14" x14ac:dyDescent="0.25">
      <c r="A12678" t="s">
        <v>21751</v>
      </c>
      <c r="B12678" t="s">
        <v>21752</v>
      </c>
      <c r="C12678" s="1" t="str">
        <f>HYPERLINK("http://www.genecards.org/cgi-bin/carddisp.pl?gene=TPRA1","GeneCards")</f>
        <v>GeneCards</v>
      </c>
      <c r="D12678" s="1" t="str">
        <f>HYPERLINK("http://genome-euro.ucsc.edu/cgi-bin/hgTracks?position=218855_at","UCSC")</f>
        <v>UCSC</v>
      </c>
      <c r="E12678" s="1" t="str">
        <f>HYPERLINK("http://www.ncbi.nlm.nih.gov/gene/?term=TPRA1","NCBI")</f>
        <v>NCBI</v>
      </c>
      <c r="F12678">
        <v>0.38</v>
      </c>
      <c r="G12678">
        <v>0.52</v>
      </c>
      <c r="H12678" s="1" t="str">
        <f>HYPERLINK("http://www.weizmann.ac.il/complex/compphys/software/geview/data/figures/218855_at.png","Figure")</f>
        <v>Figure</v>
      </c>
      <c r="I12678">
        <v>0.90200000000000002</v>
      </c>
      <c r="J12678">
        <v>0.7</v>
      </c>
      <c r="K12678">
        <v>1.07</v>
      </c>
      <c r="L12678">
        <v>0.82</v>
      </c>
      <c r="M12678">
        <v>1.19</v>
      </c>
      <c r="N12678">
        <v>0.35</v>
      </c>
    </row>
    <row r="12679" spans="1:14" x14ac:dyDescent="0.25">
      <c r="A12679" t="s">
        <v>21753</v>
      </c>
      <c r="B12679" t="s">
        <v>21754</v>
      </c>
      <c r="C12679" s="1" t="str">
        <f>HYPERLINK("http://www.genecards.org/cgi-bin/carddisp.pl?gene=MAP3K6","GeneCards")</f>
        <v>GeneCards</v>
      </c>
      <c r="D12679" s="1" t="str">
        <f>HYPERLINK("http://genome-euro.ucsc.edu/cgi-bin/hgTracks?position=219278_at","UCSC")</f>
        <v>UCSC</v>
      </c>
      <c r="E12679" s="1" t="str">
        <f>HYPERLINK("http://www.ncbi.nlm.nih.gov/gene/?term=MAP3K6","NCBI")</f>
        <v>NCBI</v>
      </c>
      <c r="F12679">
        <v>0.38</v>
      </c>
      <c r="G12679">
        <v>0.52</v>
      </c>
      <c r="H12679" s="1" t="str">
        <f>HYPERLINK("http://www.weizmann.ac.il/complex/compphys/software/geview/data/figures/219278_at.png","Figure")</f>
        <v>Figure</v>
      </c>
      <c r="I12679">
        <v>1.03</v>
      </c>
      <c r="J12679">
        <v>0.88</v>
      </c>
      <c r="K12679">
        <v>0.95599999999999996</v>
      </c>
      <c r="L12679">
        <v>0.64</v>
      </c>
      <c r="M12679">
        <v>0.93</v>
      </c>
      <c r="N12679">
        <v>0.38</v>
      </c>
    </row>
    <row r="12680" spans="1:14" x14ac:dyDescent="0.25">
      <c r="A12680" t="s">
        <v>21755</v>
      </c>
      <c r="B12680" t="s">
        <v>13154</v>
      </c>
      <c r="C12680" s="1" t="str">
        <f>HYPERLINK("http://www.genecards.org/cgi-bin/carddisp.pl?gene=LITAF","GeneCards")</f>
        <v>GeneCards</v>
      </c>
      <c r="D12680" s="1" t="str">
        <f>HYPERLINK("http://genome-euro.ucsc.edu/cgi-bin/hgTracks?position=200706_s_at","UCSC")</f>
        <v>UCSC</v>
      </c>
      <c r="E12680" s="1" t="str">
        <f>HYPERLINK("http://www.ncbi.nlm.nih.gov/gene/?term=LITAF","NCBI")</f>
        <v>NCBI</v>
      </c>
      <c r="F12680">
        <v>0.38</v>
      </c>
      <c r="G12680">
        <v>0.52</v>
      </c>
      <c r="H12680" s="1" t="str">
        <f>HYPERLINK("http://www.weizmann.ac.il/complex/compphys/software/geview/data/figures/200706_s_at.png","Figure")</f>
        <v>Figure</v>
      </c>
      <c r="I12680">
        <v>1.33</v>
      </c>
      <c r="J12680">
        <v>0.61</v>
      </c>
      <c r="K12680">
        <v>0.89600000000000002</v>
      </c>
      <c r="L12680">
        <v>0.91</v>
      </c>
      <c r="M12680">
        <v>0.67300000000000004</v>
      </c>
      <c r="N12680">
        <v>0.36</v>
      </c>
    </row>
    <row r="12681" spans="1:14" x14ac:dyDescent="0.25">
      <c r="A12681" t="s">
        <v>21756</v>
      </c>
      <c r="B12681" t="s">
        <v>21757</v>
      </c>
      <c r="C12681" s="1" t="str">
        <f>HYPERLINK("http://www.genecards.org/cgi-bin/carddisp.pl?gene=MARS","GeneCards")</f>
        <v>GeneCards</v>
      </c>
      <c r="D12681" s="1" t="str">
        <f>HYPERLINK("http://genome-euro.ucsc.edu/cgi-bin/hgTracks?position=201475_x_at","UCSC")</f>
        <v>UCSC</v>
      </c>
      <c r="E12681" s="1" t="str">
        <f>HYPERLINK("http://www.ncbi.nlm.nih.gov/gene/?term=MARS","NCBI")</f>
        <v>NCBI</v>
      </c>
      <c r="F12681">
        <v>0.38</v>
      </c>
      <c r="G12681">
        <v>0.52</v>
      </c>
      <c r="H12681" s="1" t="str">
        <f>HYPERLINK("http://www.weizmann.ac.il/complex/compphys/software/geview/data/figures/201475_x_at.png","Figure")</f>
        <v>Figure</v>
      </c>
      <c r="I12681">
        <v>1.19</v>
      </c>
      <c r="J12681">
        <v>0.42</v>
      </c>
      <c r="K12681">
        <v>1.1499999999999999</v>
      </c>
      <c r="L12681">
        <v>0.49</v>
      </c>
      <c r="M12681">
        <v>0.96299999999999997</v>
      </c>
      <c r="N12681">
        <v>0.95</v>
      </c>
    </row>
    <row r="12682" spans="1:14" x14ac:dyDescent="0.25">
      <c r="A12682" t="s">
        <v>21758</v>
      </c>
      <c r="B12682" t="s">
        <v>21759</v>
      </c>
      <c r="C12682" s="1" t="str">
        <f>HYPERLINK("http://www.genecards.org/cgi-bin/carddisp.pl?gene=PDYN","GeneCards")</f>
        <v>GeneCards</v>
      </c>
      <c r="D12682" s="1" t="str">
        <f>HYPERLINK("http://genome-euro.ucsc.edu/cgi-bin/hgTracks?position=206803_at","UCSC")</f>
        <v>UCSC</v>
      </c>
      <c r="E12682" s="1" t="str">
        <f>HYPERLINK("http://www.ncbi.nlm.nih.gov/gene/?term=PDYN","NCBI")</f>
        <v>NCBI</v>
      </c>
      <c r="F12682">
        <v>0.38</v>
      </c>
      <c r="G12682">
        <v>0.52</v>
      </c>
      <c r="H12682" s="1" t="str">
        <f>HYPERLINK("http://www.weizmann.ac.il/complex/compphys/software/geview/data/figures/206803_at.png","Figure")</f>
        <v>Figure</v>
      </c>
      <c r="I12682">
        <v>1.08</v>
      </c>
      <c r="J12682">
        <v>0.35</v>
      </c>
      <c r="K12682">
        <v>1.03</v>
      </c>
      <c r="L12682">
        <v>0.78</v>
      </c>
      <c r="M12682">
        <v>0.95499999999999996</v>
      </c>
      <c r="N12682">
        <v>0.65</v>
      </c>
    </row>
    <row r="12683" spans="1:14" x14ac:dyDescent="0.25">
      <c r="A12683" t="s">
        <v>21760</v>
      </c>
      <c r="B12683" t="s">
        <v>21761</v>
      </c>
      <c r="C12683" s="1" t="str">
        <f>HYPERLINK("http://www.genecards.org/cgi-bin/carddisp.pl?gene=KIR2DL4","GeneCards")</f>
        <v>GeneCards</v>
      </c>
      <c r="D12683" s="1" t="str">
        <f>HYPERLINK("http://genome-euro.ucsc.edu/cgi-bin/hgTracks?position=211242_x_at","UCSC")</f>
        <v>UCSC</v>
      </c>
      <c r="E12683" s="1" t="str">
        <f>HYPERLINK("http://www.ncbi.nlm.nih.gov/gene/?term=KIR2DL4","NCBI")</f>
        <v>NCBI</v>
      </c>
      <c r="F12683">
        <v>0.38</v>
      </c>
      <c r="G12683">
        <v>0.52</v>
      </c>
      <c r="H12683" s="1" t="str">
        <f>HYPERLINK("http://www.weizmann.ac.il/complex/compphys/software/geview/data/figures/211242_x_at.png","Figure")</f>
        <v>Figure</v>
      </c>
      <c r="I12683">
        <v>1.06</v>
      </c>
      <c r="J12683">
        <v>0.55000000000000004</v>
      </c>
      <c r="K12683">
        <v>1.07</v>
      </c>
      <c r="L12683">
        <v>0.39</v>
      </c>
      <c r="M12683">
        <v>1.01</v>
      </c>
      <c r="N12683">
        <v>0.99</v>
      </c>
    </row>
    <row r="12684" spans="1:14" x14ac:dyDescent="0.25">
      <c r="A12684" t="s">
        <v>21762</v>
      </c>
      <c r="B12684" t="s">
        <v>21763</v>
      </c>
      <c r="C12684" s="1" t="str">
        <f>HYPERLINK("http://www.genecards.org/cgi-bin/carddisp.pl?gene=ZMYND10","GeneCards")</f>
        <v>GeneCards</v>
      </c>
      <c r="D12684" s="1" t="str">
        <f>HYPERLINK("http://genome-euro.ucsc.edu/cgi-bin/hgTracks?position=205714_s_at","UCSC")</f>
        <v>UCSC</v>
      </c>
      <c r="E12684" s="1" t="str">
        <f>HYPERLINK("http://www.ncbi.nlm.nih.gov/gene/?term=ZMYND10","NCBI")</f>
        <v>NCBI</v>
      </c>
      <c r="F12684">
        <v>0.38</v>
      </c>
      <c r="G12684">
        <v>0.52</v>
      </c>
      <c r="H12684" s="1" t="str">
        <f>HYPERLINK("http://www.weizmann.ac.il/complex/compphys/software/geview/data/figures/205714_s_at.png","Figure")</f>
        <v>Figure</v>
      </c>
      <c r="I12684">
        <v>1.05</v>
      </c>
      <c r="J12684">
        <v>0.48</v>
      </c>
      <c r="K12684">
        <v>1.05</v>
      </c>
      <c r="L12684">
        <v>0.43</v>
      </c>
      <c r="M12684">
        <v>0.997</v>
      </c>
      <c r="N12684">
        <v>1</v>
      </c>
    </row>
    <row r="12685" spans="1:14" x14ac:dyDescent="0.25">
      <c r="A12685" t="s">
        <v>21764</v>
      </c>
      <c r="B12685" t="s">
        <v>1980</v>
      </c>
      <c r="C12685" s="1" t="str">
        <f>HYPERLINK("http://www.genecards.org/cgi-bin/carddisp.pl?gene=MYST4","GeneCards")</f>
        <v>GeneCards</v>
      </c>
      <c r="D12685" s="1" t="str">
        <f>HYPERLINK("http://genome-euro.ucsc.edu/cgi-bin/hgTracks?position=214496_x_at","UCSC")</f>
        <v>UCSC</v>
      </c>
      <c r="E12685" s="1" t="str">
        <f>HYPERLINK("http://www.ncbi.nlm.nih.gov/gene/?term=MYST4","NCBI")</f>
        <v>NCBI</v>
      </c>
      <c r="F12685">
        <v>0.38</v>
      </c>
      <c r="G12685">
        <v>0.52</v>
      </c>
      <c r="H12685" s="1" t="str">
        <f>HYPERLINK("http://www.weizmann.ac.il/complex/compphys/software/geview/data/figures/214496_x_at.png","Figure")</f>
        <v>Figure</v>
      </c>
      <c r="I12685">
        <v>0.92100000000000004</v>
      </c>
      <c r="J12685">
        <v>0.81</v>
      </c>
      <c r="K12685">
        <v>0.85</v>
      </c>
      <c r="L12685">
        <v>0.35</v>
      </c>
      <c r="M12685">
        <v>0.92300000000000004</v>
      </c>
      <c r="N12685">
        <v>0.79</v>
      </c>
    </row>
    <row r="12686" spans="1:14" x14ac:dyDescent="0.25">
      <c r="A12686" t="s">
        <v>21765</v>
      </c>
      <c r="B12686" t="s">
        <v>7491</v>
      </c>
      <c r="C12686" s="1" t="str">
        <f>HYPERLINK("http://www.genecards.org/cgi-bin/carddisp.pl?gene=CTNS","GeneCards")</f>
        <v>GeneCards</v>
      </c>
      <c r="D12686" s="1" t="str">
        <f>HYPERLINK("http://genome-euro.ucsc.edu/cgi-bin/hgTracks?position=204925_at","UCSC")</f>
        <v>UCSC</v>
      </c>
      <c r="E12686" s="1" t="str">
        <f>HYPERLINK("http://www.ncbi.nlm.nih.gov/gene/?term=CTNS","NCBI")</f>
        <v>NCBI</v>
      </c>
      <c r="F12686">
        <v>0.38</v>
      </c>
      <c r="G12686">
        <v>0.52</v>
      </c>
      <c r="H12686" s="1" t="str">
        <f>HYPERLINK("http://www.weizmann.ac.il/complex/compphys/software/geview/data/figures/204925_at.png","Figure")</f>
        <v>Figure</v>
      </c>
      <c r="I12686">
        <v>1.1299999999999999</v>
      </c>
      <c r="J12686">
        <v>0.59</v>
      </c>
      <c r="K12686">
        <v>1.1599999999999999</v>
      </c>
      <c r="L12686">
        <v>0.37</v>
      </c>
      <c r="M12686">
        <v>1.03</v>
      </c>
      <c r="N12686">
        <v>0.97</v>
      </c>
    </row>
    <row r="12687" spans="1:14" x14ac:dyDescent="0.25">
      <c r="A12687" t="s">
        <v>21766</v>
      </c>
      <c r="B12687" t="s">
        <v>21767</v>
      </c>
      <c r="C12687" s="1" t="str">
        <f>HYPERLINK("http://www.genecards.org/cgi-bin/carddisp.pl?gene=MYOC","GeneCards")</f>
        <v>GeneCards</v>
      </c>
      <c r="D12687" s="1" t="str">
        <f>HYPERLINK("http://genome-euro.ucsc.edu/cgi-bin/hgTracks?position=210155_at","UCSC")</f>
        <v>UCSC</v>
      </c>
      <c r="E12687" s="1" t="str">
        <f>HYPERLINK("http://www.ncbi.nlm.nih.gov/gene/?term=MYOC","NCBI")</f>
        <v>NCBI</v>
      </c>
      <c r="F12687">
        <v>0.38</v>
      </c>
      <c r="G12687">
        <v>0.52</v>
      </c>
      <c r="H12687" s="1" t="str">
        <f>HYPERLINK("http://www.weizmann.ac.il/complex/compphys/software/geview/data/figures/210155_at.png","Figure")</f>
        <v>Figure</v>
      </c>
      <c r="I12687">
        <v>1.1200000000000001</v>
      </c>
      <c r="J12687">
        <v>0.37</v>
      </c>
      <c r="K12687">
        <v>1.03</v>
      </c>
      <c r="L12687">
        <v>0.89</v>
      </c>
      <c r="M12687">
        <v>0.92300000000000004</v>
      </c>
      <c r="N12687">
        <v>0.55000000000000004</v>
      </c>
    </row>
    <row r="12688" spans="1:14" x14ac:dyDescent="0.25">
      <c r="A12688" t="s">
        <v>21768</v>
      </c>
      <c r="B12688" t="s">
        <v>21769</v>
      </c>
      <c r="C12688" s="1" t="str">
        <f>HYPERLINK("http://www.genecards.org/cgi-bin/carddisp.pl?gene=C9orf125","GeneCards")</f>
        <v>GeneCards</v>
      </c>
      <c r="D12688" s="1" t="str">
        <f>HYPERLINK("http://genome-euro.ucsc.edu/cgi-bin/hgTracks?position=213386_at","UCSC")</f>
        <v>UCSC</v>
      </c>
      <c r="E12688" s="1" t="str">
        <f>HYPERLINK("http://www.ncbi.nlm.nih.gov/gene/?term=C9orf125","NCBI")</f>
        <v>NCBI</v>
      </c>
      <c r="F12688">
        <v>0.38</v>
      </c>
      <c r="G12688">
        <v>0.52</v>
      </c>
      <c r="H12688" s="1" t="str">
        <f>HYPERLINK("http://www.weizmann.ac.il/complex/compphys/software/geview/data/figures/213386_at.png","Figure")</f>
        <v>Figure</v>
      </c>
      <c r="I12688">
        <v>1.08</v>
      </c>
      <c r="J12688">
        <v>0.53</v>
      </c>
      <c r="K12688">
        <v>0.98599999999999999</v>
      </c>
      <c r="L12688">
        <v>0.97</v>
      </c>
      <c r="M12688">
        <v>0.90900000000000003</v>
      </c>
      <c r="N12688">
        <v>0.37</v>
      </c>
    </row>
    <row r="12689" spans="1:14" x14ac:dyDescent="0.25">
      <c r="A12689" t="s">
        <v>21770</v>
      </c>
      <c r="B12689" t="s">
        <v>19850</v>
      </c>
      <c r="C12689" s="1" t="str">
        <f>HYPERLINK("http://www.genecards.org/cgi-bin/carddisp.pl?gene=ARFGEF2","GeneCards")</f>
        <v>GeneCards</v>
      </c>
      <c r="D12689" s="1" t="str">
        <f>HYPERLINK("http://genome-euro.ucsc.edu/cgi-bin/hgTracks?position=215927_at","UCSC")</f>
        <v>UCSC</v>
      </c>
      <c r="E12689" s="1" t="str">
        <f>HYPERLINK("http://www.ncbi.nlm.nih.gov/gene/?term=ARFGEF2","NCBI")</f>
        <v>NCBI</v>
      </c>
      <c r="F12689">
        <v>0.39</v>
      </c>
      <c r="G12689">
        <v>0.52</v>
      </c>
      <c r="H12689" s="1" t="str">
        <f>HYPERLINK("http://www.weizmann.ac.il/complex/compphys/software/geview/data/figures/215927_at.png","Figure")</f>
        <v>Figure</v>
      </c>
      <c r="I12689">
        <v>1.06</v>
      </c>
      <c r="J12689">
        <v>0.75</v>
      </c>
      <c r="K12689">
        <v>0.95599999999999996</v>
      </c>
      <c r="L12689">
        <v>0.78</v>
      </c>
      <c r="M12689">
        <v>0.90500000000000003</v>
      </c>
      <c r="N12689">
        <v>0.36</v>
      </c>
    </row>
    <row r="12690" spans="1:14" x14ac:dyDescent="0.25">
      <c r="A12690" t="s">
        <v>21771</v>
      </c>
      <c r="B12690" t="s">
        <v>21772</v>
      </c>
      <c r="C12690" s="1" t="str">
        <f>HYPERLINK("http://www.genecards.org/cgi-bin/carddisp.pl?gene=FAM21C /// FAM21D","GeneCards")</f>
        <v>GeneCards</v>
      </c>
      <c r="D12690" s="1" t="str">
        <f>HYPERLINK("http://genome-euro.ucsc.edu/cgi-bin/hgTracks?position=211068_x_at","UCSC")</f>
        <v>UCSC</v>
      </c>
      <c r="E12690" s="1" t="str">
        <f>HYPERLINK("http://www.ncbi.nlm.nih.gov/gene/?term=FAM21C /// FAM21D","NCBI")</f>
        <v>NCBI</v>
      </c>
      <c r="F12690">
        <v>0.39</v>
      </c>
      <c r="G12690">
        <v>0.52</v>
      </c>
      <c r="H12690" s="1" t="str">
        <f>HYPERLINK("http://www.weizmann.ac.il/complex/compphys/software/geview/data/figures/211068_x_at.png","Figure")</f>
        <v>Figure</v>
      </c>
      <c r="I12690">
        <v>0.99</v>
      </c>
      <c r="J12690">
        <v>1</v>
      </c>
      <c r="K12690">
        <v>1.18</v>
      </c>
      <c r="L12690">
        <v>0.47</v>
      </c>
      <c r="M12690">
        <v>1.2</v>
      </c>
      <c r="N12690">
        <v>0.48</v>
      </c>
    </row>
    <row r="12691" spans="1:14" x14ac:dyDescent="0.25">
      <c r="A12691" t="s">
        <v>21773</v>
      </c>
      <c r="B12691" t="s">
        <v>11601</v>
      </c>
      <c r="C12691" s="1" t="str">
        <f>HYPERLINK("http://www.genecards.org/cgi-bin/carddisp.pl?gene=SCAND2","GeneCards")</f>
        <v>GeneCards</v>
      </c>
      <c r="D12691" s="1" t="str">
        <f>HYPERLINK("http://genome-euro.ucsc.edu/cgi-bin/hgTracks?position=215670_s_at","UCSC")</f>
        <v>UCSC</v>
      </c>
      <c r="E12691" s="1" t="str">
        <f>HYPERLINK("http://www.ncbi.nlm.nih.gov/gene/?term=SCAND2","NCBI")</f>
        <v>NCBI</v>
      </c>
      <c r="F12691">
        <v>0.39</v>
      </c>
      <c r="G12691">
        <v>0.52</v>
      </c>
      <c r="H12691" s="1" t="str">
        <f>HYPERLINK("http://www.weizmann.ac.il/complex/compphys/software/geview/data/figures/215670_s_at.png","Figure")</f>
        <v>Figure</v>
      </c>
      <c r="I12691">
        <v>1.05</v>
      </c>
      <c r="J12691">
        <v>0.83</v>
      </c>
      <c r="K12691">
        <v>0.94399999999999995</v>
      </c>
      <c r="L12691">
        <v>0.69</v>
      </c>
      <c r="M12691">
        <v>0.90100000000000002</v>
      </c>
      <c r="N12691">
        <v>0.37</v>
      </c>
    </row>
    <row r="12692" spans="1:14" x14ac:dyDescent="0.25">
      <c r="A12692" t="s">
        <v>21774</v>
      </c>
      <c r="B12692" t="s">
        <v>21775</v>
      </c>
      <c r="C12692" s="1" t="str">
        <f>HYPERLINK("http://www.genecards.org/cgi-bin/carddisp.pl?gene=PPP1R3D","GeneCards")</f>
        <v>GeneCards</v>
      </c>
      <c r="D12692" s="1" t="str">
        <f>HYPERLINK("http://genome-euro.ucsc.edu/cgi-bin/hgTracks?position=204555_s_at","UCSC")</f>
        <v>UCSC</v>
      </c>
      <c r="E12692" s="1" t="str">
        <f>HYPERLINK("http://www.ncbi.nlm.nih.gov/gene/?term=PPP1R3D","NCBI")</f>
        <v>NCBI</v>
      </c>
      <c r="F12692">
        <v>0.39</v>
      </c>
      <c r="G12692">
        <v>0.52</v>
      </c>
      <c r="H12692" s="1" t="str">
        <f>HYPERLINK("http://www.weizmann.ac.il/complex/compphys/software/geview/data/figures/204555_s_at.png","Figure")</f>
        <v>Figure</v>
      </c>
      <c r="I12692">
        <v>0.89600000000000002</v>
      </c>
      <c r="J12692">
        <v>0.35</v>
      </c>
      <c r="K12692">
        <v>0.95599999999999996</v>
      </c>
      <c r="L12692">
        <v>0.78</v>
      </c>
      <c r="M12692">
        <v>1.07</v>
      </c>
      <c r="N12692">
        <v>0.65</v>
      </c>
    </row>
    <row r="12693" spans="1:14" x14ac:dyDescent="0.25">
      <c r="A12693" t="s">
        <v>21776</v>
      </c>
      <c r="B12693" t="s">
        <v>8099</v>
      </c>
      <c r="C12693" s="1" t="str">
        <f>HYPERLINK("http://www.genecards.org/cgi-bin/carddisp.pl?gene=BAZ1B","GeneCards")</f>
        <v>GeneCards</v>
      </c>
      <c r="D12693" s="1" t="str">
        <f>HYPERLINK("http://genome-euro.ucsc.edu/cgi-bin/hgTracks?position=211313_s_at","UCSC")</f>
        <v>UCSC</v>
      </c>
      <c r="E12693" s="1" t="str">
        <f>HYPERLINK("http://www.ncbi.nlm.nih.gov/gene/?term=BAZ1B","NCBI")</f>
        <v>NCBI</v>
      </c>
      <c r="F12693">
        <v>0.39</v>
      </c>
      <c r="G12693">
        <v>0.52</v>
      </c>
      <c r="H12693" s="1" t="str">
        <f>HYPERLINK("http://www.weizmann.ac.il/complex/compphys/software/geview/data/figures/211313_s_at.png","Figure")</f>
        <v>Figure</v>
      </c>
      <c r="I12693">
        <v>1.1499999999999999</v>
      </c>
      <c r="J12693">
        <v>0.36</v>
      </c>
      <c r="K12693">
        <v>1.08</v>
      </c>
      <c r="L12693">
        <v>0.67</v>
      </c>
      <c r="M12693">
        <v>0.93799999999999994</v>
      </c>
      <c r="N12693">
        <v>0.76</v>
      </c>
    </row>
    <row r="12694" spans="1:14" x14ac:dyDescent="0.25">
      <c r="A12694" t="s">
        <v>21777</v>
      </c>
      <c r="B12694" t="s">
        <v>10203</v>
      </c>
      <c r="C12694" s="1" t="str">
        <f>HYPERLINK("http://www.genecards.org/cgi-bin/carddisp.pl?gene=PREPL","GeneCards")</f>
        <v>GeneCards</v>
      </c>
      <c r="D12694" s="1" t="str">
        <f>HYPERLINK("http://genome-euro.ucsc.edu/cgi-bin/hgTracks?position=212216_at","UCSC")</f>
        <v>UCSC</v>
      </c>
      <c r="E12694" s="1" t="str">
        <f>HYPERLINK("http://www.ncbi.nlm.nih.gov/gene/?term=PREPL","NCBI")</f>
        <v>NCBI</v>
      </c>
      <c r="F12694">
        <v>0.39</v>
      </c>
      <c r="G12694">
        <v>0.52</v>
      </c>
      <c r="H12694" s="1" t="str">
        <f>HYPERLINK("http://www.weizmann.ac.il/complex/compphys/software/geview/data/figures/212216_at.png","Figure")</f>
        <v>Figure</v>
      </c>
      <c r="I12694">
        <v>1.03</v>
      </c>
      <c r="J12694">
        <v>0.56000000000000005</v>
      </c>
      <c r="K12694">
        <v>1.03</v>
      </c>
      <c r="L12694">
        <v>0.38</v>
      </c>
      <c r="M12694">
        <v>1</v>
      </c>
      <c r="N12694">
        <v>0.99</v>
      </c>
    </row>
    <row r="12695" spans="1:14" x14ac:dyDescent="0.25">
      <c r="A12695" t="s">
        <v>21778</v>
      </c>
      <c r="B12695" t="s">
        <v>21779</v>
      </c>
      <c r="C12695" s="1" t="str">
        <f>HYPERLINK("http://www.genecards.org/cgi-bin/carddisp.pl?gene=SAMD4B","GeneCards")</f>
        <v>GeneCards</v>
      </c>
      <c r="D12695" s="1" t="str">
        <f>HYPERLINK("http://genome-euro.ucsc.edu/cgi-bin/hgTracks?position=220457_at","UCSC")</f>
        <v>UCSC</v>
      </c>
      <c r="E12695" s="1" t="str">
        <f>HYPERLINK("http://www.ncbi.nlm.nih.gov/gene/?term=SAMD4B","NCBI")</f>
        <v>NCBI</v>
      </c>
      <c r="F12695">
        <v>0.39</v>
      </c>
      <c r="G12695">
        <v>0.52</v>
      </c>
      <c r="H12695" s="1" t="str">
        <f>HYPERLINK("http://www.weizmann.ac.il/complex/compphys/software/geview/data/figures/220457_at.png","Figure")</f>
        <v>Figure</v>
      </c>
      <c r="I12695">
        <v>1.1499999999999999</v>
      </c>
      <c r="J12695">
        <v>0.37</v>
      </c>
      <c r="K12695">
        <v>1.04</v>
      </c>
      <c r="L12695">
        <v>0.91</v>
      </c>
      <c r="M12695">
        <v>0.90500000000000003</v>
      </c>
      <c r="N12695">
        <v>0.54</v>
      </c>
    </row>
    <row r="12696" spans="1:14" x14ac:dyDescent="0.25">
      <c r="A12696" t="s">
        <v>21780</v>
      </c>
      <c r="B12696" t="s">
        <v>13115</v>
      </c>
      <c r="C12696" s="1" t="str">
        <f>HYPERLINK("http://www.genecards.org/cgi-bin/carddisp.pl?gene=TRIM15","GeneCards")</f>
        <v>GeneCards</v>
      </c>
      <c r="D12696" s="1" t="str">
        <f>HYPERLINK("http://genome-euro.ucsc.edu/cgi-bin/hgTracks?position=210177_at","UCSC")</f>
        <v>UCSC</v>
      </c>
      <c r="E12696" s="1" t="str">
        <f>HYPERLINK("http://www.ncbi.nlm.nih.gov/gene/?term=TRIM15","NCBI")</f>
        <v>NCBI</v>
      </c>
      <c r="F12696">
        <v>0.39</v>
      </c>
      <c r="G12696">
        <v>0.52</v>
      </c>
      <c r="H12696" s="1" t="str">
        <f>HYPERLINK("http://www.weizmann.ac.il/complex/compphys/software/geview/data/figures/210177_at.png","Figure")</f>
        <v>Figure</v>
      </c>
      <c r="I12696">
        <v>1.19</v>
      </c>
      <c r="J12696">
        <v>0.37</v>
      </c>
      <c r="K12696">
        <v>1.1100000000000001</v>
      </c>
      <c r="L12696">
        <v>0.6</v>
      </c>
      <c r="M12696">
        <v>0.93400000000000005</v>
      </c>
      <c r="N12696">
        <v>0.83</v>
      </c>
    </row>
    <row r="12697" spans="1:14" x14ac:dyDescent="0.25">
      <c r="A12697" t="s">
        <v>21781</v>
      </c>
      <c r="B12697" t="s">
        <v>7985</v>
      </c>
      <c r="C12697" s="1" t="str">
        <f>HYPERLINK("http://www.genecards.org/cgi-bin/carddisp.pl?gene=GATAD1","GeneCards")</f>
        <v>GeneCards</v>
      </c>
      <c r="D12697" s="1" t="str">
        <f>HYPERLINK("http://genome-euro.ucsc.edu/cgi-bin/hgTracks?position=213018_at","UCSC")</f>
        <v>UCSC</v>
      </c>
      <c r="E12697" s="1" t="str">
        <f>HYPERLINK("http://www.ncbi.nlm.nih.gov/gene/?term=GATAD1","NCBI")</f>
        <v>NCBI</v>
      </c>
      <c r="F12697">
        <v>0.39</v>
      </c>
      <c r="G12697">
        <v>0.52</v>
      </c>
      <c r="H12697" s="1" t="str">
        <f>HYPERLINK("http://www.weizmann.ac.il/complex/compphys/software/geview/data/figures/213018_at.png","Figure")</f>
        <v>Figure</v>
      </c>
      <c r="I12697">
        <v>0.97399999999999998</v>
      </c>
      <c r="J12697">
        <v>0.76</v>
      </c>
      <c r="K12697">
        <v>1.02</v>
      </c>
      <c r="L12697">
        <v>0.76</v>
      </c>
      <c r="M12697">
        <v>1.05</v>
      </c>
      <c r="N12697">
        <v>0.36</v>
      </c>
    </row>
    <row r="12698" spans="1:14" x14ac:dyDescent="0.25">
      <c r="A12698" t="s">
        <v>21782</v>
      </c>
      <c r="B12698" t="s">
        <v>1020</v>
      </c>
      <c r="C12698" s="1" t="str">
        <f>HYPERLINK("http://www.genecards.org/cgi-bin/carddisp.pl?gene=KDM4B","GeneCards")</f>
        <v>GeneCards</v>
      </c>
      <c r="D12698" s="1" t="str">
        <f>HYPERLINK("http://genome-euro.ucsc.edu/cgi-bin/hgTracks?position=216023_at","UCSC")</f>
        <v>UCSC</v>
      </c>
      <c r="E12698" s="1" t="str">
        <f>HYPERLINK("http://www.ncbi.nlm.nih.gov/gene/?term=KDM4B","NCBI")</f>
        <v>NCBI</v>
      </c>
      <c r="F12698">
        <v>0.39</v>
      </c>
      <c r="G12698">
        <v>0.52</v>
      </c>
      <c r="H12698" s="1" t="str">
        <f>HYPERLINK("http://www.weizmann.ac.il/complex/compphys/software/geview/data/figures/216023_at.png","Figure")</f>
        <v>Figure</v>
      </c>
      <c r="I12698">
        <v>0.94699999999999995</v>
      </c>
      <c r="J12698">
        <v>0.78</v>
      </c>
      <c r="K12698">
        <v>0.90500000000000003</v>
      </c>
      <c r="L12698">
        <v>0.36</v>
      </c>
      <c r="M12698">
        <v>0.95599999999999996</v>
      </c>
      <c r="N12698">
        <v>0.82</v>
      </c>
    </row>
    <row r="12699" spans="1:14" x14ac:dyDescent="0.25">
      <c r="A12699" t="s">
        <v>21783</v>
      </c>
      <c r="B12699" t="s">
        <v>21784</v>
      </c>
      <c r="C12699" s="1" t="str">
        <f>HYPERLINK("http://www.genecards.org/cgi-bin/carddisp.pl?gene=MGC29506","GeneCards")</f>
        <v>GeneCards</v>
      </c>
      <c r="D12699" s="1" t="str">
        <f>HYPERLINK("http://genome-euro.ucsc.edu/cgi-bin/hgTracks?position=221286_s_at","UCSC")</f>
        <v>UCSC</v>
      </c>
      <c r="E12699" s="1" t="str">
        <f>HYPERLINK("http://www.ncbi.nlm.nih.gov/gene/?term=MGC29506","NCBI")</f>
        <v>NCBI</v>
      </c>
      <c r="F12699">
        <v>0.39</v>
      </c>
      <c r="G12699">
        <v>0.52</v>
      </c>
      <c r="H12699" s="1" t="str">
        <f>HYPERLINK("http://www.weizmann.ac.il/complex/compphys/software/geview/data/figures/221286_s_at.png","Figure")</f>
        <v>Figure</v>
      </c>
      <c r="I12699">
        <v>0.94799999999999995</v>
      </c>
      <c r="J12699">
        <v>0.98</v>
      </c>
      <c r="K12699">
        <v>1.31</v>
      </c>
      <c r="L12699">
        <v>0.52</v>
      </c>
      <c r="M12699">
        <v>1.38</v>
      </c>
      <c r="N12699">
        <v>0.44</v>
      </c>
    </row>
    <row r="12700" spans="1:14" x14ac:dyDescent="0.25">
      <c r="A12700" t="s">
        <v>21785</v>
      </c>
      <c r="B12700" t="s">
        <v>21786</v>
      </c>
      <c r="C12700" s="1" t="str">
        <f>HYPERLINK("http://www.genecards.org/cgi-bin/carddisp.pl?gene=COL9A3","GeneCards")</f>
        <v>GeneCards</v>
      </c>
      <c r="D12700" s="1" t="str">
        <f>HYPERLINK("http://genome-euro.ucsc.edu/cgi-bin/hgTracks?position=204724_s_at","UCSC")</f>
        <v>UCSC</v>
      </c>
      <c r="E12700" s="1" t="str">
        <f>HYPERLINK("http://www.ncbi.nlm.nih.gov/gene/?term=COL9A3","NCBI")</f>
        <v>NCBI</v>
      </c>
      <c r="F12700">
        <v>0.39</v>
      </c>
      <c r="G12700">
        <v>0.52</v>
      </c>
      <c r="H12700" s="1" t="str">
        <f>HYPERLINK("http://www.weizmann.ac.il/complex/compphys/software/geview/data/figures/204724_s_at.png","Figure")</f>
        <v>Figure</v>
      </c>
      <c r="I12700">
        <v>1.1000000000000001</v>
      </c>
      <c r="J12700">
        <v>0.36</v>
      </c>
      <c r="K12700">
        <v>1.05</v>
      </c>
      <c r="L12700">
        <v>0.64</v>
      </c>
      <c r="M12700">
        <v>0.96099999999999997</v>
      </c>
      <c r="N12700">
        <v>0.79</v>
      </c>
    </row>
    <row r="12701" spans="1:14" x14ac:dyDescent="0.25">
      <c r="A12701" t="s">
        <v>21787</v>
      </c>
      <c r="B12701" t="s">
        <v>21788</v>
      </c>
      <c r="C12701" s="1" t="str">
        <f>HYPERLINK("http://www.genecards.org/cgi-bin/carddisp.pl?gene=IL2RB","GeneCards")</f>
        <v>GeneCards</v>
      </c>
      <c r="D12701" s="1" t="str">
        <f>HYPERLINK("http://genome-euro.ucsc.edu/cgi-bin/hgTracks?position=205291_at","UCSC")</f>
        <v>UCSC</v>
      </c>
      <c r="E12701" s="1" t="str">
        <f>HYPERLINK("http://www.ncbi.nlm.nih.gov/gene/?term=IL2RB","NCBI")</f>
        <v>NCBI</v>
      </c>
      <c r="F12701">
        <v>0.39</v>
      </c>
      <c r="G12701">
        <v>0.52</v>
      </c>
      <c r="H12701" s="1" t="str">
        <f>HYPERLINK("http://www.weizmann.ac.il/complex/compphys/software/geview/data/figures/205291_at.png","Figure")</f>
        <v>Figure</v>
      </c>
      <c r="I12701">
        <v>1.05</v>
      </c>
      <c r="J12701">
        <v>0.97</v>
      </c>
      <c r="K12701">
        <v>0.83</v>
      </c>
      <c r="L12701">
        <v>0.54</v>
      </c>
      <c r="M12701">
        <v>0.79</v>
      </c>
      <c r="N12701">
        <v>0.43</v>
      </c>
    </row>
    <row r="12702" spans="1:14" x14ac:dyDescent="0.25">
      <c r="A12702" t="s">
        <v>21789</v>
      </c>
      <c r="B12702" t="s">
        <v>21790</v>
      </c>
      <c r="C12702" s="1" t="str">
        <f>HYPERLINK("http://www.genecards.org/cgi-bin/carddisp.pl?gene=PRKG1","GeneCards")</f>
        <v>GeneCards</v>
      </c>
      <c r="D12702" s="1" t="str">
        <f>HYPERLINK("http://genome-euro.ucsc.edu/cgi-bin/hgTracks?position=211380_s_at","UCSC")</f>
        <v>UCSC</v>
      </c>
      <c r="E12702" s="1" t="str">
        <f>HYPERLINK("http://www.ncbi.nlm.nih.gov/gene/?term=PRKG1","NCBI")</f>
        <v>NCBI</v>
      </c>
      <c r="F12702">
        <v>0.39</v>
      </c>
      <c r="G12702">
        <v>0.52</v>
      </c>
      <c r="H12702" s="1" t="str">
        <f>HYPERLINK("http://www.weizmann.ac.il/complex/compphys/software/geview/data/figures/211380_s_at.png","Figure")</f>
        <v>Figure</v>
      </c>
      <c r="I12702">
        <v>1.1200000000000001</v>
      </c>
      <c r="J12702">
        <v>0.44</v>
      </c>
      <c r="K12702">
        <v>1.1000000000000001</v>
      </c>
      <c r="L12702">
        <v>0.46</v>
      </c>
      <c r="M12702">
        <v>0.98399999999999999</v>
      </c>
      <c r="N12702">
        <v>0.98</v>
      </c>
    </row>
    <row r="12703" spans="1:14" x14ac:dyDescent="0.25">
      <c r="A12703" t="s">
        <v>21791</v>
      </c>
      <c r="B12703" t="s">
        <v>21792</v>
      </c>
      <c r="C12703" s="1" t="str">
        <f>HYPERLINK("http://www.genecards.org/cgi-bin/carddisp.pl?gene=FAM57A","GeneCards")</f>
        <v>GeneCards</v>
      </c>
      <c r="D12703" s="1" t="str">
        <f>HYPERLINK("http://genome-euro.ucsc.edu/cgi-bin/hgTracks?position=218898_at","UCSC")</f>
        <v>UCSC</v>
      </c>
      <c r="E12703" s="1" t="str">
        <f>HYPERLINK("http://www.ncbi.nlm.nih.gov/gene/?term=FAM57A","NCBI")</f>
        <v>NCBI</v>
      </c>
      <c r="F12703">
        <v>0.39</v>
      </c>
      <c r="G12703">
        <v>0.52</v>
      </c>
      <c r="H12703" s="1" t="str">
        <f>HYPERLINK("http://www.weizmann.ac.il/complex/compphys/software/geview/data/figures/218898_at.png","Figure")</f>
        <v>Figure</v>
      </c>
      <c r="I12703">
        <v>1.04</v>
      </c>
      <c r="J12703">
        <v>0.89</v>
      </c>
      <c r="K12703">
        <v>0.92700000000000005</v>
      </c>
      <c r="L12703">
        <v>0.63</v>
      </c>
      <c r="M12703">
        <v>0.88700000000000001</v>
      </c>
      <c r="N12703">
        <v>0.39</v>
      </c>
    </row>
    <row r="12704" spans="1:14" x14ac:dyDescent="0.25">
      <c r="A12704" t="s">
        <v>21793</v>
      </c>
      <c r="B12704" t="s">
        <v>14628</v>
      </c>
      <c r="C12704" s="1" t="str">
        <f>HYPERLINK("http://www.genecards.org/cgi-bin/carddisp.pl?gene=EXOSC4","GeneCards")</f>
        <v>GeneCards</v>
      </c>
      <c r="D12704" s="1" t="str">
        <f>HYPERLINK("http://genome-euro.ucsc.edu/cgi-bin/hgTracks?position=91684_g_at","UCSC")</f>
        <v>UCSC</v>
      </c>
      <c r="E12704" s="1" t="str">
        <f>HYPERLINK("http://www.ncbi.nlm.nih.gov/gene/?term=EXOSC4","NCBI")</f>
        <v>NCBI</v>
      </c>
      <c r="F12704">
        <v>0.39</v>
      </c>
      <c r="G12704">
        <v>0.52</v>
      </c>
      <c r="H12704" s="1" t="str">
        <f>HYPERLINK("http://www.weizmann.ac.il/complex/compphys/software/geview/data/figures/91684_g_at.png","Figure")</f>
        <v>Figure</v>
      </c>
      <c r="I12704">
        <v>0.96499999999999997</v>
      </c>
      <c r="J12704">
        <v>0.96</v>
      </c>
      <c r="K12704">
        <v>0.86</v>
      </c>
      <c r="L12704">
        <v>0.4</v>
      </c>
      <c r="M12704">
        <v>0.89100000000000001</v>
      </c>
      <c r="N12704">
        <v>0.61</v>
      </c>
    </row>
    <row r="12705" spans="1:14" x14ac:dyDescent="0.25">
      <c r="A12705" t="s">
        <v>21794</v>
      </c>
      <c r="B12705" t="s">
        <v>1851</v>
      </c>
      <c r="C12705" s="1" t="str">
        <f>HYPERLINK("http://www.genecards.org/cgi-bin/carddisp.pl?gene=AP2B1","GeneCards")</f>
        <v>GeneCards</v>
      </c>
      <c r="D12705" s="1" t="str">
        <f>HYPERLINK("http://genome-euro.ucsc.edu/cgi-bin/hgTracks?position=200612_s_at","UCSC")</f>
        <v>UCSC</v>
      </c>
      <c r="E12705" s="1" t="str">
        <f>HYPERLINK("http://www.ncbi.nlm.nih.gov/gene/?term=AP2B1","NCBI")</f>
        <v>NCBI</v>
      </c>
      <c r="F12705">
        <v>0.39</v>
      </c>
      <c r="G12705">
        <v>0.52</v>
      </c>
      <c r="H12705" s="1" t="str">
        <f>HYPERLINK("http://www.weizmann.ac.il/complex/compphys/software/geview/data/figures/200612_s_at.png","Figure")</f>
        <v>Figure</v>
      </c>
      <c r="I12705">
        <v>0.873</v>
      </c>
      <c r="J12705">
        <v>0.44</v>
      </c>
      <c r="K12705">
        <v>0.89200000000000002</v>
      </c>
      <c r="L12705">
        <v>0.46</v>
      </c>
      <c r="M12705">
        <v>1.02</v>
      </c>
      <c r="N12705">
        <v>0.98</v>
      </c>
    </row>
    <row r="12706" spans="1:14" x14ac:dyDescent="0.25">
      <c r="A12706" t="s">
        <v>21795</v>
      </c>
      <c r="B12706" t="s">
        <v>8492</v>
      </c>
      <c r="C12706" s="1" t="str">
        <f>HYPERLINK("http://www.genecards.org/cgi-bin/carddisp.pl?gene=ITGB5","GeneCards")</f>
        <v>GeneCards</v>
      </c>
      <c r="D12706" s="1" t="str">
        <f>HYPERLINK("http://genome-euro.ucsc.edu/cgi-bin/hgTracks?position=201124_at","UCSC")</f>
        <v>UCSC</v>
      </c>
      <c r="E12706" s="1" t="str">
        <f>HYPERLINK("http://www.ncbi.nlm.nih.gov/gene/?term=ITGB5","NCBI")</f>
        <v>NCBI</v>
      </c>
      <c r="F12706">
        <v>0.39</v>
      </c>
      <c r="G12706">
        <v>0.52</v>
      </c>
      <c r="H12706" s="1" t="str">
        <f>HYPERLINK("http://www.weizmann.ac.il/complex/compphys/software/geview/data/figures/201124_at.png","Figure")</f>
        <v>Figure</v>
      </c>
      <c r="I12706">
        <v>1.1200000000000001</v>
      </c>
      <c r="J12706">
        <v>0.39</v>
      </c>
      <c r="K12706">
        <v>1.02</v>
      </c>
      <c r="L12706">
        <v>0.94</v>
      </c>
      <c r="M12706">
        <v>0.91400000000000003</v>
      </c>
      <c r="N12706">
        <v>0.5</v>
      </c>
    </row>
    <row r="12707" spans="1:14" x14ac:dyDescent="0.25">
      <c r="A12707" t="s">
        <v>21796</v>
      </c>
      <c r="B12707" t="s">
        <v>5505</v>
      </c>
      <c r="C12707" s="1" t="str">
        <f>HYPERLINK("http://www.genecards.org/cgi-bin/carddisp.pl?gene=HRH1","GeneCards")</f>
        <v>GeneCards</v>
      </c>
      <c r="D12707" s="1" t="str">
        <f>HYPERLINK("http://genome-euro.ucsc.edu/cgi-bin/hgTracks?position=205579_at","UCSC")</f>
        <v>UCSC</v>
      </c>
      <c r="E12707" s="1" t="str">
        <f>HYPERLINK("http://www.ncbi.nlm.nih.gov/gene/?term=HRH1","NCBI")</f>
        <v>NCBI</v>
      </c>
      <c r="F12707">
        <v>0.39</v>
      </c>
      <c r="G12707">
        <v>0.52</v>
      </c>
      <c r="H12707" s="1" t="str">
        <f>HYPERLINK("http://www.weizmann.ac.il/complex/compphys/software/geview/data/figures/205579_at.png","Figure")</f>
        <v>Figure</v>
      </c>
      <c r="I12707">
        <v>1</v>
      </c>
      <c r="J12707">
        <v>1</v>
      </c>
      <c r="K12707">
        <v>0.98199999999999998</v>
      </c>
      <c r="L12707">
        <v>0.46</v>
      </c>
      <c r="M12707">
        <v>0.98199999999999998</v>
      </c>
      <c r="N12707">
        <v>0.5</v>
      </c>
    </row>
    <row r="12708" spans="1:14" x14ac:dyDescent="0.25">
      <c r="A12708" t="s">
        <v>21797</v>
      </c>
      <c r="B12708" t="s">
        <v>21798</v>
      </c>
      <c r="C12708" s="1" t="str">
        <f>HYPERLINK("http://www.genecards.org/cgi-bin/carddisp.pl?gene=LETMD1","GeneCards")</f>
        <v>GeneCards</v>
      </c>
      <c r="D12708" s="1" t="str">
        <f>HYPERLINK("http://genome-euro.ucsc.edu/cgi-bin/hgTracks?position=207170_s_at","UCSC")</f>
        <v>UCSC</v>
      </c>
      <c r="E12708" s="1" t="str">
        <f>HYPERLINK("http://www.ncbi.nlm.nih.gov/gene/?term=LETMD1","NCBI")</f>
        <v>NCBI</v>
      </c>
      <c r="F12708">
        <v>0.39</v>
      </c>
      <c r="G12708">
        <v>0.52</v>
      </c>
      <c r="H12708" s="1" t="str">
        <f>HYPERLINK("http://www.weizmann.ac.il/complex/compphys/software/geview/data/figures/207170_s_at.png","Figure")</f>
        <v>Figure</v>
      </c>
      <c r="I12708">
        <v>0.879</v>
      </c>
      <c r="J12708">
        <v>0.54</v>
      </c>
      <c r="K12708">
        <v>0.86899999999999999</v>
      </c>
      <c r="L12708">
        <v>0.39</v>
      </c>
      <c r="M12708">
        <v>0.98899999999999999</v>
      </c>
      <c r="N12708">
        <v>0.99</v>
      </c>
    </row>
    <row r="12709" spans="1:14" x14ac:dyDescent="0.25">
      <c r="A12709" t="s">
        <v>21799</v>
      </c>
      <c r="B12709" t="s">
        <v>21800</v>
      </c>
      <c r="C12709" s="1" t="str">
        <f>HYPERLINK("http://www.genecards.org/cgi-bin/carddisp.pl?gene=IFNB1","GeneCards")</f>
        <v>GeneCards</v>
      </c>
      <c r="D12709" s="1" t="str">
        <f>HYPERLINK("http://genome-euro.ucsc.edu/cgi-bin/hgTracks?position=208173_at","UCSC")</f>
        <v>UCSC</v>
      </c>
      <c r="E12709" s="1" t="str">
        <f>HYPERLINK("http://www.ncbi.nlm.nih.gov/gene/?term=IFNB1","NCBI")</f>
        <v>NCBI</v>
      </c>
      <c r="F12709">
        <v>0.39</v>
      </c>
      <c r="G12709">
        <v>0.52</v>
      </c>
      <c r="H12709" s="1" t="str">
        <f>HYPERLINK("http://www.weizmann.ac.il/complex/compphys/software/geview/data/figures/208173_at.png","Figure")</f>
        <v>Figure</v>
      </c>
      <c r="I12709">
        <v>1.02</v>
      </c>
      <c r="J12709">
        <v>0.48</v>
      </c>
      <c r="K12709">
        <v>1.01</v>
      </c>
      <c r="L12709">
        <v>0.43</v>
      </c>
      <c r="M12709">
        <v>0.999</v>
      </c>
      <c r="N12709">
        <v>1</v>
      </c>
    </row>
    <row r="12710" spans="1:14" x14ac:dyDescent="0.25">
      <c r="A12710" t="s">
        <v>21801</v>
      </c>
      <c r="B12710" t="s">
        <v>7859</v>
      </c>
      <c r="C12710" s="1" t="str">
        <f>HYPERLINK("http://www.genecards.org/cgi-bin/carddisp.pl?gene=ADH5","GeneCards")</f>
        <v>GeneCards</v>
      </c>
      <c r="D12710" s="1" t="str">
        <f>HYPERLINK("http://genome-euro.ucsc.edu/cgi-bin/hgTracks?position=208847_s_at","UCSC")</f>
        <v>UCSC</v>
      </c>
      <c r="E12710" s="1" t="str">
        <f>HYPERLINK("http://www.ncbi.nlm.nih.gov/gene/?term=ADH5","NCBI")</f>
        <v>NCBI</v>
      </c>
      <c r="F12710">
        <v>0.39</v>
      </c>
      <c r="G12710">
        <v>0.52</v>
      </c>
      <c r="H12710" s="1" t="str">
        <f>HYPERLINK("http://www.weizmann.ac.il/complex/compphys/software/geview/data/figures/208847_s_at.png","Figure")</f>
        <v>Figure</v>
      </c>
      <c r="I12710">
        <v>0.89600000000000002</v>
      </c>
      <c r="J12710">
        <v>0.73</v>
      </c>
      <c r="K12710">
        <v>1.08</v>
      </c>
      <c r="L12710">
        <v>0.8</v>
      </c>
      <c r="M12710">
        <v>1.21</v>
      </c>
      <c r="N12710">
        <v>0.36</v>
      </c>
    </row>
    <row r="12711" spans="1:14" x14ac:dyDescent="0.25">
      <c r="A12711" t="s">
        <v>21802</v>
      </c>
      <c r="B12711" t="s">
        <v>10028</v>
      </c>
      <c r="C12711" s="1" t="str">
        <f>HYPERLINK("http://www.genecards.org/cgi-bin/carddisp.pl?gene=DCAF7","GeneCards")</f>
        <v>GeneCards</v>
      </c>
      <c r="D12711" s="1" t="str">
        <f>HYPERLINK("http://genome-euro.ucsc.edu/cgi-bin/hgTracks?position=209592_s_at","UCSC")</f>
        <v>UCSC</v>
      </c>
      <c r="E12711" s="1" t="str">
        <f>HYPERLINK("http://www.ncbi.nlm.nih.gov/gene/?term=DCAF7","NCBI")</f>
        <v>NCBI</v>
      </c>
      <c r="F12711">
        <v>0.39</v>
      </c>
      <c r="G12711">
        <v>0.52</v>
      </c>
      <c r="H12711" s="1" t="str">
        <f>HYPERLINK("http://www.weizmann.ac.il/complex/compphys/software/geview/data/figures/209592_s_at.png","Figure")</f>
        <v>Figure</v>
      </c>
      <c r="I12711">
        <v>1.17</v>
      </c>
      <c r="J12711">
        <v>0.36</v>
      </c>
      <c r="K12711">
        <v>1.0900000000000001</v>
      </c>
      <c r="L12711">
        <v>0.67</v>
      </c>
      <c r="M12711">
        <v>0.93100000000000005</v>
      </c>
      <c r="N12711">
        <v>0.76</v>
      </c>
    </row>
    <row r="12712" spans="1:14" x14ac:dyDescent="0.25">
      <c r="A12712" t="s">
        <v>21803</v>
      </c>
      <c r="B12712" t="s">
        <v>21804</v>
      </c>
      <c r="C12712" s="1" t="str">
        <f>HYPERLINK("http://www.genecards.org/cgi-bin/carddisp.pl?gene=CDV3","GeneCards")</f>
        <v>GeneCards</v>
      </c>
      <c r="D12712" s="1" t="str">
        <f>HYPERLINK("http://genome-euro.ucsc.edu/cgi-bin/hgTracks?position=213554_s_at","UCSC")</f>
        <v>UCSC</v>
      </c>
      <c r="E12712" s="1" t="str">
        <f>HYPERLINK("http://www.ncbi.nlm.nih.gov/gene/?term=CDV3","NCBI")</f>
        <v>NCBI</v>
      </c>
      <c r="F12712">
        <v>0.39</v>
      </c>
      <c r="G12712">
        <v>0.52</v>
      </c>
      <c r="H12712" s="1" t="str">
        <f>HYPERLINK("http://www.weizmann.ac.il/complex/compphys/software/geview/data/figures/213554_s_at.png","Figure")</f>
        <v>Figure</v>
      </c>
      <c r="I12712">
        <v>1.25</v>
      </c>
      <c r="J12712">
        <v>0.4</v>
      </c>
      <c r="K12712">
        <v>1.04</v>
      </c>
      <c r="L12712">
        <v>0.97</v>
      </c>
      <c r="M12712">
        <v>0.83099999999999996</v>
      </c>
      <c r="N12712">
        <v>0.47</v>
      </c>
    </row>
    <row r="12713" spans="1:14" x14ac:dyDescent="0.25">
      <c r="A12713" t="s">
        <v>21805</v>
      </c>
      <c r="B12713" t="s">
        <v>20093</v>
      </c>
      <c r="C12713" s="1" t="str">
        <f>HYPERLINK("http://www.genecards.org/cgi-bin/carddisp.pl?gene=ZNF638","GeneCards")</f>
        <v>GeneCards</v>
      </c>
      <c r="D12713" s="1" t="str">
        <f>HYPERLINK("http://genome-euro.ucsc.edu/cgi-bin/hgTracks?position=213775_x_at","UCSC")</f>
        <v>UCSC</v>
      </c>
      <c r="E12713" s="1" t="str">
        <f>HYPERLINK("http://www.ncbi.nlm.nih.gov/gene/?term=ZNF638","NCBI")</f>
        <v>NCBI</v>
      </c>
      <c r="F12713">
        <v>0.39</v>
      </c>
      <c r="G12713">
        <v>0.52</v>
      </c>
      <c r="H12713" s="1" t="str">
        <f>HYPERLINK("http://www.weizmann.ac.il/complex/compphys/software/geview/data/figures/213775_x_at.png","Figure")</f>
        <v>Figure</v>
      </c>
      <c r="I12713">
        <v>1.18</v>
      </c>
      <c r="J12713">
        <v>0.83</v>
      </c>
      <c r="K12713">
        <v>1.41</v>
      </c>
      <c r="L12713">
        <v>0.36</v>
      </c>
      <c r="M12713">
        <v>1.2</v>
      </c>
      <c r="N12713">
        <v>0.77</v>
      </c>
    </row>
    <row r="12714" spans="1:14" x14ac:dyDescent="0.25">
      <c r="A12714" t="s">
        <v>21806</v>
      </c>
      <c r="B12714" t="s">
        <v>21807</v>
      </c>
      <c r="C12714" s="1" t="str">
        <f>HYPERLINK("http://www.genecards.org/cgi-bin/carddisp.pl?gene=DGCR5","GeneCards")</f>
        <v>GeneCards</v>
      </c>
      <c r="D12714" s="1" t="str">
        <f>HYPERLINK("http://genome-euro.ucsc.edu/cgi-bin/hgTracks?position=215244_at","UCSC")</f>
        <v>UCSC</v>
      </c>
      <c r="E12714" s="1" t="str">
        <f>HYPERLINK("http://www.ncbi.nlm.nih.gov/gene/?term=DGCR5","NCBI")</f>
        <v>NCBI</v>
      </c>
      <c r="F12714">
        <v>0.39</v>
      </c>
      <c r="G12714">
        <v>0.52</v>
      </c>
      <c r="H12714" s="1" t="str">
        <f>HYPERLINK("http://www.weizmann.ac.il/complex/compphys/software/geview/data/figures/215244_at.png","Figure")</f>
        <v>Figure</v>
      </c>
      <c r="I12714">
        <v>1.08</v>
      </c>
      <c r="J12714">
        <v>0.39</v>
      </c>
      <c r="K12714">
        <v>1.06</v>
      </c>
      <c r="L12714">
        <v>0.54</v>
      </c>
      <c r="M12714">
        <v>0.97699999999999998</v>
      </c>
      <c r="N12714">
        <v>0.9</v>
      </c>
    </row>
    <row r="12715" spans="1:14" x14ac:dyDescent="0.25">
      <c r="A12715" t="s">
        <v>21808</v>
      </c>
      <c r="B12715" t="s">
        <v>6889</v>
      </c>
      <c r="C12715" s="1" t="str">
        <f>HYPERLINK("http://www.genecards.org/cgi-bin/carddisp.pl?gene=TBC1D2B","GeneCards")</f>
        <v>GeneCards</v>
      </c>
      <c r="D12715" s="1" t="str">
        <f>HYPERLINK("http://genome-euro.ucsc.edu/cgi-bin/hgTracks?position=212796_s_at","UCSC")</f>
        <v>UCSC</v>
      </c>
      <c r="E12715" s="1" t="str">
        <f>HYPERLINK("http://www.ncbi.nlm.nih.gov/gene/?term=TBC1D2B","NCBI")</f>
        <v>NCBI</v>
      </c>
      <c r="F12715">
        <v>0.39</v>
      </c>
      <c r="G12715">
        <v>0.52</v>
      </c>
      <c r="H12715" s="1" t="str">
        <f>HYPERLINK("http://www.weizmann.ac.il/complex/compphys/software/geview/data/figures/212796_s_at.png","Figure")</f>
        <v>Figure</v>
      </c>
      <c r="I12715">
        <v>1.05</v>
      </c>
      <c r="J12715">
        <v>0.76</v>
      </c>
      <c r="K12715">
        <v>1.0900000000000001</v>
      </c>
      <c r="L12715">
        <v>0.36</v>
      </c>
      <c r="M12715">
        <v>1.04</v>
      </c>
      <c r="N12715">
        <v>0.84</v>
      </c>
    </row>
    <row r="12716" spans="1:14" x14ac:dyDescent="0.25">
      <c r="A12716" t="s">
        <v>21809</v>
      </c>
      <c r="B12716" t="s">
        <v>12216</v>
      </c>
      <c r="C12716" s="1" t="str">
        <f>HYPERLINK("http://www.genecards.org/cgi-bin/carddisp.pl?gene=ZFP36L1","GeneCards")</f>
        <v>GeneCards</v>
      </c>
      <c r="D12716" s="1" t="str">
        <f>HYPERLINK("http://genome-euro.ucsc.edu/cgi-bin/hgTracks?position=213284_at","UCSC")</f>
        <v>UCSC</v>
      </c>
      <c r="E12716" s="1" t="str">
        <f>HYPERLINK("http://www.ncbi.nlm.nih.gov/gene/?term=ZFP36L1","NCBI")</f>
        <v>NCBI</v>
      </c>
      <c r="F12716">
        <v>0.39</v>
      </c>
      <c r="G12716">
        <v>0.52</v>
      </c>
      <c r="H12716" s="1" t="str">
        <f>HYPERLINK("http://www.weizmann.ac.il/complex/compphys/software/geview/data/figures/213284_at.png","Figure")</f>
        <v>Figure</v>
      </c>
      <c r="I12716">
        <v>1.08</v>
      </c>
      <c r="J12716">
        <v>0.37</v>
      </c>
      <c r="K12716">
        <v>1.05</v>
      </c>
      <c r="L12716">
        <v>0.63</v>
      </c>
      <c r="M12716">
        <v>0.96699999999999997</v>
      </c>
      <c r="N12716">
        <v>0.81</v>
      </c>
    </row>
    <row r="12717" spans="1:14" x14ac:dyDescent="0.25">
      <c r="A12717" t="s">
        <v>21810</v>
      </c>
      <c r="B12717" t="s">
        <v>21811</v>
      </c>
      <c r="C12717" s="1" t="str">
        <f>HYPERLINK("http://www.genecards.org/cgi-bin/carddisp.pl?gene=ATP8B2","GeneCards")</f>
        <v>GeneCards</v>
      </c>
      <c r="D12717" s="1" t="str">
        <f>HYPERLINK("http://genome-euro.ucsc.edu/cgi-bin/hgTracks?position=216873_s_at","UCSC")</f>
        <v>UCSC</v>
      </c>
      <c r="E12717" s="1" t="str">
        <f>HYPERLINK("http://www.ncbi.nlm.nih.gov/gene/?term=ATP8B2","NCBI")</f>
        <v>NCBI</v>
      </c>
      <c r="F12717">
        <v>0.39</v>
      </c>
      <c r="G12717">
        <v>0.52</v>
      </c>
      <c r="H12717" s="1" t="str">
        <f>HYPERLINK("http://www.weizmann.ac.il/complex/compphys/software/geview/data/figures/216873_s_at.png","Figure")</f>
        <v>Figure</v>
      </c>
      <c r="I12717">
        <v>1.06</v>
      </c>
      <c r="J12717">
        <v>0.71</v>
      </c>
      <c r="K12717">
        <v>0.96</v>
      </c>
      <c r="L12717">
        <v>0.82</v>
      </c>
      <c r="M12717">
        <v>0.90200000000000002</v>
      </c>
      <c r="N12717">
        <v>0.36</v>
      </c>
    </row>
    <row r="12718" spans="1:14" x14ac:dyDescent="0.25">
      <c r="A12718" t="s">
        <v>21812</v>
      </c>
      <c r="B12718" t="s">
        <v>12493</v>
      </c>
      <c r="C12718" s="1" t="str">
        <f>HYPERLINK("http://www.genecards.org/cgi-bin/carddisp.pl?gene=ARIH1","GeneCards")</f>
        <v>GeneCards</v>
      </c>
      <c r="D12718" s="1" t="str">
        <f>HYPERLINK("http://genome-euro.ucsc.edu/cgi-bin/hgTracks?position=201879_at","UCSC")</f>
        <v>UCSC</v>
      </c>
      <c r="E12718" s="1" t="str">
        <f>HYPERLINK("http://www.ncbi.nlm.nih.gov/gene/?term=ARIH1","NCBI")</f>
        <v>NCBI</v>
      </c>
      <c r="F12718">
        <v>0.39</v>
      </c>
      <c r="G12718">
        <v>0.52</v>
      </c>
      <c r="H12718" s="1" t="str">
        <f>HYPERLINK("http://www.weizmann.ac.il/complex/compphys/software/geview/data/figures/201879_at.png","Figure")</f>
        <v>Figure</v>
      </c>
      <c r="I12718">
        <v>1.0900000000000001</v>
      </c>
      <c r="J12718">
        <v>0.9</v>
      </c>
      <c r="K12718">
        <v>0.85399999999999998</v>
      </c>
      <c r="L12718">
        <v>0.62</v>
      </c>
      <c r="M12718">
        <v>0.78600000000000003</v>
      </c>
      <c r="N12718">
        <v>0.39</v>
      </c>
    </row>
    <row r="12719" spans="1:14" x14ac:dyDescent="0.25">
      <c r="A12719" t="s">
        <v>21813</v>
      </c>
      <c r="B12719" t="s">
        <v>21814</v>
      </c>
      <c r="C12719" s="1" t="str">
        <f>HYPERLINK("http://www.genecards.org/cgi-bin/carddisp.pl?gene=NAPA","GeneCards")</f>
        <v>GeneCards</v>
      </c>
      <c r="D12719" s="1" t="str">
        <f>HYPERLINK("http://genome-euro.ucsc.edu/cgi-bin/hgTracks?position=206491_s_at","UCSC")</f>
        <v>UCSC</v>
      </c>
      <c r="E12719" s="1" t="str">
        <f>HYPERLINK("http://www.ncbi.nlm.nih.gov/gene/?term=NAPA","NCBI")</f>
        <v>NCBI</v>
      </c>
      <c r="F12719">
        <v>0.39</v>
      </c>
      <c r="G12719">
        <v>0.52</v>
      </c>
      <c r="H12719" s="1" t="str">
        <f>HYPERLINK("http://www.weizmann.ac.il/complex/compphys/software/geview/data/figures/206491_s_at.png","Figure")</f>
        <v>Figure</v>
      </c>
      <c r="I12719">
        <v>1.04</v>
      </c>
      <c r="J12719">
        <v>0.93</v>
      </c>
      <c r="K12719">
        <v>1.1499999999999999</v>
      </c>
      <c r="L12719">
        <v>0.38</v>
      </c>
      <c r="M12719">
        <v>1.1000000000000001</v>
      </c>
      <c r="N12719">
        <v>0.66</v>
      </c>
    </row>
    <row r="12720" spans="1:14" x14ac:dyDescent="0.25">
      <c r="A12720" t="s">
        <v>21815</v>
      </c>
      <c r="B12720" t="s">
        <v>9082</v>
      </c>
      <c r="C12720" s="1" t="str">
        <f>HYPERLINK("http://www.genecards.org/cgi-bin/carddisp.pl?gene=EPHB1","GeneCards")</f>
        <v>GeneCards</v>
      </c>
      <c r="D12720" s="1" t="str">
        <f>HYPERLINK("http://genome-euro.ucsc.edu/cgi-bin/hgTracks?position=211898_s_at","UCSC")</f>
        <v>UCSC</v>
      </c>
      <c r="E12720" s="1" t="str">
        <f>HYPERLINK("http://www.ncbi.nlm.nih.gov/gene/?term=EPHB1","NCBI")</f>
        <v>NCBI</v>
      </c>
      <c r="F12720">
        <v>0.39</v>
      </c>
      <c r="G12720">
        <v>0.52</v>
      </c>
      <c r="H12720" s="1" t="str">
        <f>HYPERLINK("http://www.weizmann.ac.il/complex/compphys/software/geview/data/figures/211898_s_at.png","Figure")</f>
        <v>Figure</v>
      </c>
      <c r="I12720">
        <v>0.998</v>
      </c>
      <c r="J12720">
        <v>0.99</v>
      </c>
      <c r="K12720">
        <v>1.01</v>
      </c>
      <c r="L12720">
        <v>0.5</v>
      </c>
      <c r="M12720">
        <v>1.02</v>
      </c>
      <c r="N12720">
        <v>0.46</v>
      </c>
    </row>
    <row r="12721" spans="1:14" x14ac:dyDescent="0.25">
      <c r="A12721" t="s">
        <v>21816</v>
      </c>
      <c r="B12721" t="s">
        <v>18774</v>
      </c>
      <c r="C12721" s="1" t="str">
        <f>HYPERLINK("http://www.genecards.org/cgi-bin/carddisp.pl?gene=C19orf6","GeneCards")</f>
        <v>GeneCards</v>
      </c>
      <c r="D12721" s="1" t="str">
        <f>HYPERLINK("http://genome-euro.ucsc.edu/cgi-bin/hgTracks?position=212574_x_at","UCSC")</f>
        <v>UCSC</v>
      </c>
      <c r="E12721" s="1" t="str">
        <f>HYPERLINK("http://www.ncbi.nlm.nih.gov/gene/?term=C19orf6","NCBI")</f>
        <v>NCBI</v>
      </c>
      <c r="F12721">
        <v>0.39</v>
      </c>
      <c r="G12721">
        <v>0.52</v>
      </c>
      <c r="H12721" s="1" t="str">
        <f>HYPERLINK("http://www.weizmann.ac.il/complex/compphys/software/geview/data/figures/212574_x_at.png","Figure")</f>
        <v>Figure</v>
      </c>
      <c r="I12721">
        <v>0.91700000000000004</v>
      </c>
      <c r="J12721">
        <v>0.42</v>
      </c>
      <c r="K12721">
        <v>0.99099999999999999</v>
      </c>
      <c r="L12721">
        <v>0.99</v>
      </c>
      <c r="M12721">
        <v>1.08</v>
      </c>
      <c r="N12721">
        <v>0.45</v>
      </c>
    </row>
    <row r="12722" spans="1:14" x14ac:dyDescent="0.25">
      <c r="A12722" t="s">
        <v>21817</v>
      </c>
      <c r="B12722" t="s">
        <v>21217</v>
      </c>
      <c r="C12722" s="1" t="str">
        <f>HYPERLINK("http://www.genecards.org/cgi-bin/carddisp.pl?gene=ST14","GeneCards")</f>
        <v>GeneCards</v>
      </c>
      <c r="D12722" s="1" t="str">
        <f>HYPERLINK("http://genome-euro.ucsc.edu/cgi-bin/hgTracks?position=202005_at","UCSC")</f>
        <v>UCSC</v>
      </c>
      <c r="E12722" s="1" t="str">
        <f>HYPERLINK("http://www.ncbi.nlm.nih.gov/gene/?term=ST14","NCBI")</f>
        <v>NCBI</v>
      </c>
      <c r="F12722">
        <v>0.39</v>
      </c>
      <c r="G12722">
        <v>0.52</v>
      </c>
      <c r="H12722" s="1" t="str">
        <f>HYPERLINK("http://www.weizmann.ac.il/complex/compphys/software/geview/data/figures/202005_at.png","Figure")</f>
        <v>Figure</v>
      </c>
      <c r="I12722">
        <v>1.18</v>
      </c>
      <c r="J12722">
        <v>0.36</v>
      </c>
      <c r="K12722">
        <v>1.07</v>
      </c>
      <c r="L12722">
        <v>0.77</v>
      </c>
      <c r="M12722">
        <v>0.90800000000000003</v>
      </c>
      <c r="N12722">
        <v>0.66</v>
      </c>
    </row>
    <row r="12723" spans="1:14" x14ac:dyDescent="0.25">
      <c r="A12723" t="s">
        <v>21818</v>
      </c>
      <c r="B12723" t="s">
        <v>7177</v>
      </c>
      <c r="C12723" s="1" t="str">
        <f>HYPERLINK("http://www.genecards.org/cgi-bin/carddisp.pl?gene=CTSZ","GeneCards")</f>
        <v>GeneCards</v>
      </c>
      <c r="D12723" s="1" t="str">
        <f>HYPERLINK("http://genome-euro.ucsc.edu/cgi-bin/hgTracks?position=210042_s_at","UCSC")</f>
        <v>UCSC</v>
      </c>
      <c r="E12723" s="1" t="str">
        <f>HYPERLINK("http://www.ncbi.nlm.nih.gov/gene/?term=CTSZ","NCBI")</f>
        <v>NCBI</v>
      </c>
      <c r="F12723">
        <v>0.39</v>
      </c>
      <c r="G12723">
        <v>0.52</v>
      </c>
      <c r="H12723" s="1" t="str">
        <f>HYPERLINK("http://www.weizmann.ac.il/complex/compphys/software/geview/data/figures/210042_s_at.png","Figure")</f>
        <v>Figure</v>
      </c>
      <c r="I12723">
        <v>0.96299999999999997</v>
      </c>
      <c r="J12723">
        <v>0.37</v>
      </c>
      <c r="K12723">
        <v>0.97699999999999998</v>
      </c>
      <c r="L12723">
        <v>0.62</v>
      </c>
      <c r="M12723">
        <v>1.02</v>
      </c>
      <c r="N12723">
        <v>0.82</v>
      </c>
    </row>
    <row r="12724" spans="1:14" x14ac:dyDescent="0.25">
      <c r="A12724" t="s">
        <v>21819</v>
      </c>
      <c r="B12724" t="s">
        <v>2281</v>
      </c>
      <c r="C12724" s="1" t="str">
        <f>HYPERLINK("http://www.genecards.org/cgi-bin/carddisp.pl?gene=EPHB4","GeneCards")</f>
        <v>GeneCards</v>
      </c>
      <c r="D12724" s="1" t="str">
        <f>HYPERLINK("http://genome-euro.ucsc.edu/cgi-bin/hgTracks?position=216680_s_at","UCSC")</f>
        <v>UCSC</v>
      </c>
      <c r="E12724" s="1" t="str">
        <f>HYPERLINK("http://www.ncbi.nlm.nih.gov/gene/?term=EPHB4","NCBI")</f>
        <v>NCBI</v>
      </c>
      <c r="F12724">
        <v>0.39</v>
      </c>
      <c r="G12724">
        <v>0.52</v>
      </c>
      <c r="H12724" s="1" t="str">
        <f>HYPERLINK("http://www.weizmann.ac.il/complex/compphys/software/geview/data/figures/216680_s_at.png","Figure")</f>
        <v>Figure</v>
      </c>
      <c r="I12724">
        <v>1.25</v>
      </c>
      <c r="J12724">
        <v>0.36</v>
      </c>
      <c r="K12724">
        <v>1.1100000000000001</v>
      </c>
      <c r="L12724">
        <v>0.72</v>
      </c>
      <c r="M12724">
        <v>0.89200000000000002</v>
      </c>
      <c r="N12724">
        <v>0.71</v>
      </c>
    </row>
    <row r="12725" spans="1:14" x14ac:dyDescent="0.25">
      <c r="A12725" t="s">
        <v>21820</v>
      </c>
      <c r="B12725" t="s">
        <v>21821</v>
      </c>
      <c r="C12725" s="1" t="str">
        <f>HYPERLINK("http://www.genecards.org/cgi-bin/carddisp.pl?gene=RPL19","GeneCards")</f>
        <v>GeneCards</v>
      </c>
      <c r="D12725" s="1" t="str">
        <f>HYPERLINK("http://genome-euro.ucsc.edu/cgi-bin/hgTracks?position=200029_at","UCSC")</f>
        <v>UCSC</v>
      </c>
      <c r="E12725" s="1" t="str">
        <f>HYPERLINK("http://www.ncbi.nlm.nih.gov/gene/?term=RPL19","NCBI")</f>
        <v>NCBI</v>
      </c>
      <c r="F12725">
        <v>0.39</v>
      </c>
      <c r="G12725">
        <v>0.52</v>
      </c>
      <c r="H12725" s="1" t="str">
        <f>HYPERLINK("http://www.weizmann.ac.il/complex/compphys/software/geview/data/figures/200029_at.png","Figure")</f>
        <v>Figure</v>
      </c>
      <c r="I12725">
        <v>0.88900000000000001</v>
      </c>
      <c r="J12725">
        <v>0.91</v>
      </c>
      <c r="K12725">
        <v>1.28</v>
      </c>
      <c r="L12725">
        <v>0.61</v>
      </c>
      <c r="M12725">
        <v>1.44</v>
      </c>
      <c r="N12725">
        <v>0.4</v>
      </c>
    </row>
    <row r="12726" spans="1:14" x14ac:dyDescent="0.25">
      <c r="A12726" t="s">
        <v>21822</v>
      </c>
      <c r="B12726" t="s">
        <v>16493</v>
      </c>
      <c r="C12726" s="1" t="str">
        <f>HYPERLINK("http://www.genecards.org/cgi-bin/carddisp.pl?gene=TNIK","GeneCards")</f>
        <v>GeneCards</v>
      </c>
      <c r="D12726" s="1" t="str">
        <f>HYPERLINK("http://genome-euro.ucsc.edu/cgi-bin/hgTracks?position=211828_s_at","UCSC")</f>
        <v>UCSC</v>
      </c>
      <c r="E12726" s="1" t="str">
        <f>HYPERLINK("http://www.ncbi.nlm.nih.gov/gene/?term=TNIK","NCBI")</f>
        <v>NCBI</v>
      </c>
      <c r="F12726">
        <v>0.39</v>
      </c>
      <c r="G12726">
        <v>0.52</v>
      </c>
      <c r="H12726" s="1" t="str">
        <f>HYPERLINK("http://www.weizmann.ac.il/complex/compphys/software/geview/data/figures/211828_s_at.png","Figure")</f>
        <v>Figure</v>
      </c>
      <c r="I12726">
        <v>1.1299999999999999</v>
      </c>
      <c r="J12726">
        <v>0.73</v>
      </c>
      <c r="K12726">
        <v>0.91200000000000003</v>
      </c>
      <c r="L12726">
        <v>0.8</v>
      </c>
      <c r="M12726">
        <v>0.80500000000000005</v>
      </c>
      <c r="N12726">
        <v>0.36</v>
      </c>
    </row>
    <row r="12727" spans="1:14" x14ac:dyDescent="0.25">
      <c r="A12727" t="s">
        <v>21823</v>
      </c>
      <c r="B12727" t="s">
        <v>21824</v>
      </c>
      <c r="C12727" s="1" t="str">
        <f>HYPERLINK("http://www.genecards.org/cgi-bin/carddisp.pl?gene=CRYGA","GeneCards")</f>
        <v>GeneCards</v>
      </c>
      <c r="D12727" s="1" t="str">
        <f>HYPERLINK("http://genome-euro.ucsc.edu/cgi-bin/hgTracks?position=207587_at","UCSC")</f>
        <v>UCSC</v>
      </c>
      <c r="E12727" s="1" t="str">
        <f>HYPERLINK("http://www.ncbi.nlm.nih.gov/gene/?term=CRYGA","NCBI")</f>
        <v>NCBI</v>
      </c>
      <c r="F12727">
        <v>0.39</v>
      </c>
      <c r="G12727">
        <v>0.52</v>
      </c>
      <c r="H12727" s="1" t="str">
        <f>HYPERLINK("http://www.weizmann.ac.il/complex/compphys/software/geview/data/figures/207587_at.png","Figure")</f>
        <v>Figure</v>
      </c>
      <c r="I12727">
        <v>1.0900000000000001</v>
      </c>
      <c r="J12727">
        <v>0.37</v>
      </c>
      <c r="K12727">
        <v>1.05</v>
      </c>
      <c r="L12727">
        <v>0.62</v>
      </c>
      <c r="M12727">
        <v>0.96599999999999997</v>
      </c>
      <c r="N12727">
        <v>0.82</v>
      </c>
    </row>
    <row r="12728" spans="1:14" x14ac:dyDescent="0.25">
      <c r="A12728" t="s">
        <v>21825</v>
      </c>
      <c r="B12728" t="s">
        <v>6432</v>
      </c>
      <c r="C12728" s="1" t="str">
        <f>HYPERLINK("http://www.genecards.org/cgi-bin/carddisp.pl?gene=ATP2B4","GeneCards")</f>
        <v>GeneCards</v>
      </c>
      <c r="D12728" s="1" t="str">
        <f>HYPERLINK("http://genome-euro.ucsc.edu/cgi-bin/hgTracks?position=212136_at","UCSC")</f>
        <v>UCSC</v>
      </c>
      <c r="E12728" s="1" t="str">
        <f>HYPERLINK("http://www.ncbi.nlm.nih.gov/gene/?term=ATP2B4","NCBI")</f>
        <v>NCBI</v>
      </c>
      <c r="F12728">
        <v>0.39</v>
      </c>
      <c r="G12728">
        <v>0.52</v>
      </c>
      <c r="H12728" s="1" t="str">
        <f>HYPERLINK("http://www.weizmann.ac.il/complex/compphys/software/geview/data/figures/212136_at.png","Figure")</f>
        <v>Figure</v>
      </c>
      <c r="I12728">
        <v>0.746</v>
      </c>
      <c r="J12728">
        <v>0.73</v>
      </c>
      <c r="K12728">
        <v>1.24</v>
      </c>
      <c r="L12728">
        <v>0.8</v>
      </c>
      <c r="M12728">
        <v>1.66</v>
      </c>
      <c r="N12728">
        <v>0.36</v>
      </c>
    </row>
    <row r="12729" spans="1:14" x14ac:dyDescent="0.25">
      <c r="A12729" t="s">
        <v>21826</v>
      </c>
      <c r="B12729" t="s">
        <v>10780</v>
      </c>
      <c r="C12729" s="1" t="str">
        <f>HYPERLINK("http://www.genecards.org/cgi-bin/carddisp.pl?gene=NFIC","GeneCards")</f>
        <v>GeneCards</v>
      </c>
      <c r="D12729" s="1" t="str">
        <f>HYPERLINK("http://genome-euro.ucsc.edu/cgi-bin/hgTracks?position=206929_s_at","UCSC")</f>
        <v>UCSC</v>
      </c>
      <c r="E12729" s="1" t="str">
        <f>HYPERLINK("http://www.ncbi.nlm.nih.gov/gene/?term=NFIC","NCBI")</f>
        <v>NCBI</v>
      </c>
      <c r="F12729">
        <v>0.39</v>
      </c>
      <c r="G12729">
        <v>0.52</v>
      </c>
      <c r="H12729" s="1" t="str">
        <f>HYPERLINK("http://www.weizmann.ac.il/complex/compphys/software/geview/data/figures/206929_s_at.png","Figure")</f>
        <v>Figure</v>
      </c>
      <c r="I12729">
        <v>1.18</v>
      </c>
      <c r="J12729">
        <v>0.47</v>
      </c>
      <c r="K12729">
        <v>1.1599999999999999</v>
      </c>
      <c r="L12729">
        <v>0.44</v>
      </c>
      <c r="M12729">
        <v>0.98499999999999999</v>
      </c>
      <c r="N12729">
        <v>0.99</v>
      </c>
    </row>
    <row r="12730" spans="1:14" x14ac:dyDescent="0.25">
      <c r="A12730" t="s">
        <v>21827</v>
      </c>
      <c r="B12730" t="s">
        <v>21828</v>
      </c>
      <c r="C12730" s="1" t="str">
        <f>HYPERLINK("http://www.genecards.org/cgi-bin/carddisp.pl?gene=BMPR1B","GeneCards")</f>
        <v>GeneCards</v>
      </c>
      <c r="D12730" s="1" t="str">
        <f>HYPERLINK("http://genome-euro.ucsc.edu/cgi-bin/hgTracks?position=210523_at","UCSC")</f>
        <v>UCSC</v>
      </c>
      <c r="E12730" s="1" t="str">
        <f>HYPERLINK("http://www.ncbi.nlm.nih.gov/gene/?term=BMPR1B","NCBI")</f>
        <v>NCBI</v>
      </c>
      <c r="F12730">
        <v>0.39</v>
      </c>
      <c r="G12730">
        <v>0.52</v>
      </c>
      <c r="H12730" s="1" t="str">
        <f>HYPERLINK("http://www.weizmann.ac.il/complex/compphys/software/geview/data/figures/210523_at.png","Figure")</f>
        <v>Figure</v>
      </c>
      <c r="I12730">
        <v>1.02</v>
      </c>
      <c r="J12730">
        <v>0.96</v>
      </c>
      <c r="K12730">
        <v>0.92900000000000005</v>
      </c>
      <c r="L12730">
        <v>0.55000000000000004</v>
      </c>
      <c r="M12730">
        <v>0.91</v>
      </c>
      <c r="N12730">
        <v>0.43</v>
      </c>
    </row>
    <row r="12731" spans="1:14" x14ac:dyDescent="0.25">
      <c r="A12731" t="s">
        <v>21829</v>
      </c>
      <c r="B12731" t="s">
        <v>12176</v>
      </c>
      <c r="C12731" s="1" t="str">
        <f>HYPERLINK("http://www.genecards.org/cgi-bin/carddisp.pl?gene=TTC39A","GeneCards")</f>
        <v>GeneCards</v>
      </c>
      <c r="D12731" s="1" t="str">
        <f>HYPERLINK("http://genome-euro.ucsc.edu/cgi-bin/hgTracks?position=210652_s_at","UCSC")</f>
        <v>UCSC</v>
      </c>
      <c r="E12731" s="1" t="str">
        <f>HYPERLINK("http://www.ncbi.nlm.nih.gov/gene/?term=TTC39A","NCBI")</f>
        <v>NCBI</v>
      </c>
      <c r="F12731">
        <v>0.39</v>
      </c>
      <c r="G12731">
        <v>0.52</v>
      </c>
      <c r="H12731" s="1" t="str">
        <f>HYPERLINK("http://www.weizmann.ac.il/complex/compphys/software/geview/data/figures/210652_s_at.png","Figure")</f>
        <v>Figure</v>
      </c>
      <c r="I12731">
        <v>1.02</v>
      </c>
      <c r="J12731">
        <v>0.94</v>
      </c>
      <c r="K12731">
        <v>0.94899999999999995</v>
      </c>
      <c r="L12731">
        <v>0.57999999999999996</v>
      </c>
      <c r="M12731">
        <v>0.93100000000000005</v>
      </c>
      <c r="N12731">
        <v>0.41</v>
      </c>
    </row>
    <row r="12732" spans="1:14" x14ac:dyDescent="0.25">
      <c r="A12732" t="s">
        <v>21830</v>
      </c>
      <c r="B12732" t="s">
        <v>21831</v>
      </c>
      <c r="C12732" s="1" t="str">
        <f>HYPERLINK("http://www.genecards.org/cgi-bin/carddisp.pl?gene=MTRF1L","GeneCards")</f>
        <v>GeneCards</v>
      </c>
      <c r="D12732" s="1" t="str">
        <f>HYPERLINK("http://genome-euro.ucsc.edu/cgi-bin/hgTracks?position=215560_x_at","UCSC")</f>
        <v>UCSC</v>
      </c>
      <c r="E12732" s="1" t="str">
        <f>HYPERLINK("http://www.ncbi.nlm.nih.gov/gene/?term=MTRF1L","NCBI")</f>
        <v>NCBI</v>
      </c>
      <c r="F12732">
        <v>0.39</v>
      </c>
      <c r="G12732">
        <v>0.52</v>
      </c>
      <c r="H12732" s="1" t="str">
        <f>HYPERLINK("http://www.weizmann.ac.il/complex/compphys/software/geview/data/figures/215560_x_at.png","Figure")</f>
        <v>Figure</v>
      </c>
      <c r="I12732">
        <v>1.1100000000000001</v>
      </c>
      <c r="J12732">
        <v>0.6</v>
      </c>
      <c r="K12732">
        <v>0.96599999999999997</v>
      </c>
      <c r="L12732">
        <v>0.92</v>
      </c>
      <c r="M12732">
        <v>0.872</v>
      </c>
      <c r="N12732">
        <v>0.36</v>
      </c>
    </row>
    <row r="12733" spans="1:14" x14ac:dyDescent="0.25">
      <c r="A12733" t="s">
        <v>21832</v>
      </c>
      <c r="B12733" t="s">
        <v>21833</v>
      </c>
      <c r="C12733" s="1" t="str">
        <f>HYPERLINK("http://www.genecards.org/cgi-bin/carddisp.pl?gene=CROCCL1","GeneCards")</f>
        <v>GeneCards</v>
      </c>
      <c r="D12733" s="1" t="str">
        <f>HYPERLINK("http://genome-euro.ucsc.edu/cgi-bin/hgTracks?position=211038_s_at","UCSC")</f>
        <v>UCSC</v>
      </c>
      <c r="E12733" s="1" t="str">
        <f>HYPERLINK("http://www.ncbi.nlm.nih.gov/gene/?term=CROCCL1","NCBI")</f>
        <v>NCBI</v>
      </c>
      <c r="F12733">
        <v>0.39</v>
      </c>
      <c r="G12733">
        <v>0.52</v>
      </c>
      <c r="H12733" s="1" t="str">
        <f>HYPERLINK("http://www.weizmann.ac.il/complex/compphys/software/geview/data/figures/211038_s_at.png","Figure")</f>
        <v>Figure</v>
      </c>
      <c r="I12733">
        <v>0.67</v>
      </c>
      <c r="J12733">
        <v>0.41</v>
      </c>
      <c r="K12733">
        <v>0.74</v>
      </c>
      <c r="L12733">
        <v>0.51</v>
      </c>
      <c r="M12733">
        <v>1.1000000000000001</v>
      </c>
      <c r="N12733">
        <v>0.94</v>
      </c>
    </row>
    <row r="12734" spans="1:14" x14ac:dyDescent="0.25">
      <c r="A12734" t="s">
        <v>21834</v>
      </c>
      <c r="B12734" t="s">
        <v>7046</v>
      </c>
      <c r="C12734" s="1" t="str">
        <f>HYPERLINK("http://www.genecards.org/cgi-bin/carddisp.pl?gene=GTSE1","GeneCards")</f>
        <v>GeneCards</v>
      </c>
      <c r="D12734" s="1" t="str">
        <f>HYPERLINK("http://genome-euro.ucsc.edu/cgi-bin/hgTracks?position=204315_s_at","UCSC")</f>
        <v>UCSC</v>
      </c>
      <c r="E12734" s="1" t="str">
        <f>HYPERLINK("http://www.ncbi.nlm.nih.gov/gene/?term=GTSE1","NCBI")</f>
        <v>NCBI</v>
      </c>
      <c r="F12734">
        <v>0.39</v>
      </c>
      <c r="G12734">
        <v>0.52</v>
      </c>
      <c r="H12734" s="1" t="str">
        <f>HYPERLINK("http://www.weizmann.ac.il/complex/compphys/software/geview/data/figures/204315_s_at.png","Figure")</f>
        <v>Figure</v>
      </c>
      <c r="I12734">
        <v>0.95499999999999996</v>
      </c>
      <c r="J12734">
        <v>0.98</v>
      </c>
      <c r="K12734">
        <v>1.26</v>
      </c>
      <c r="L12734">
        <v>0.52</v>
      </c>
      <c r="M12734">
        <v>1.32</v>
      </c>
      <c r="N12734">
        <v>0.45</v>
      </c>
    </row>
    <row r="12735" spans="1:14" x14ac:dyDescent="0.25">
      <c r="A12735" t="s">
        <v>21835</v>
      </c>
      <c r="B12735" t="s">
        <v>13494</v>
      </c>
      <c r="C12735" s="1" t="str">
        <f>HYPERLINK("http://www.genecards.org/cgi-bin/carddisp.pl?gene=AK1","GeneCards")</f>
        <v>GeneCards</v>
      </c>
      <c r="D12735" s="1" t="str">
        <f>HYPERLINK("http://genome-euro.ucsc.edu/cgi-bin/hgTracks?position=202587_s_at","UCSC")</f>
        <v>UCSC</v>
      </c>
      <c r="E12735" s="1" t="str">
        <f>HYPERLINK("http://www.ncbi.nlm.nih.gov/gene/?term=AK1","NCBI")</f>
        <v>NCBI</v>
      </c>
      <c r="F12735">
        <v>0.39</v>
      </c>
      <c r="G12735">
        <v>0.52</v>
      </c>
      <c r="H12735" s="1" t="str">
        <f>HYPERLINK("http://www.weizmann.ac.il/complex/compphys/software/geview/data/figures/202587_s_at.png","Figure")</f>
        <v>Figure</v>
      </c>
      <c r="I12735">
        <v>1.18</v>
      </c>
      <c r="J12735">
        <v>0.86</v>
      </c>
      <c r="K12735">
        <v>0.78300000000000003</v>
      </c>
      <c r="L12735">
        <v>0.66</v>
      </c>
      <c r="M12735">
        <v>0.66300000000000003</v>
      </c>
      <c r="N12735">
        <v>0.38</v>
      </c>
    </row>
    <row r="12736" spans="1:14" x14ac:dyDescent="0.25">
      <c r="A12736" t="s">
        <v>21836</v>
      </c>
      <c r="B12736" t="s">
        <v>8331</v>
      </c>
      <c r="C12736" s="1" t="str">
        <f>HYPERLINK("http://www.genecards.org/cgi-bin/carddisp.pl?gene=C18orf22","GeneCards")</f>
        <v>GeneCards</v>
      </c>
      <c r="D12736" s="1" t="str">
        <f>HYPERLINK("http://genome-euro.ucsc.edu/cgi-bin/hgTracks?position=215683_at","UCSC")</f>
        <v>UCSC</v>
      </c>
      <c r="E12736" s="1" t="str">
        <f>HYPERLINK("http://www.ncbi.nlm.nih.gov/gene/?term=C18orf22","NCBI")</f>
        <v>NCBI</v>
      </c>
      <c r="F12736">
        <v>0.39</v>
      </c>
      <c r="G12736">
        <v>0.52</v>
      </c>
      <c r="H12736" s="1" t="str">
        <f>HYPERLINK("http://www.weizmann.ac.il/complex/compphys/software/geview/data/figures/215683_at.png","Figure")</f>
        <v>Figure</v>
      </c>
      <c r="I12736">
        <v>1.1200000000000001</v>
      </c>
      <c r="J12736">
        <v>0.36</v>
      </c>
      <c r="K12736">
        <v>1.04</v>
      </c>
      <c r="L12736">
        <v>0.81</v>
      </c>
      <c r="M12736">
        <v>0.93500000000000005</v>
      </c>
      <c r="N12736">
        <v>0.63</v>
      </c>
    </row>
    <row r="12737" spans="1:14" x14ac:dyDescent="0.25">
      <c r="A12737" t="s">
        <v>21837</v>
      </c>
      <c r="B12737" t="s">
        <v>21838</v>
      </c>
      <c r="C12737" s="1" t="str">
        <f>HYPERLINK("http://www.genecards.org/cgi-bin/carddisp.pl?gene=UGT2B15","GeneCards")</f>
        <v>GeneCards</v>
      </c>
      <c r="D12737" s="1" t="str">
        <f>HYPERLINK("http://genome-euro.ucsc.edu/cgi-bin/hgTracks?position=207392_x_at","UCSC")</f>
        <v>UCSC</v>
      </c>
      <c r="E12737" s="1" t="str">
        <f>HYPERLINK("http://www.ncbi.nlm.nih.gov/gene/?term=UGT2B15","NCBI")</f>
        <v>NCBI</v>
      </c>
      <c r="F12737">
        <v>0.39</v>
      </c>
      <c r="G12737">
        <v>0.52</v>
      </c>
      <c r="H12737" s="1" t="str">
        <f>HYPERLINK("http://www.weizmann.ac.il/complex/compphys/software/geview/data/figures/207392_x_at.png","Figure")</f>
        <v>Figure</v>
      </c>
      <c r="I12737">
        <v>0.91100000000000003</v>
      </c>
      <c r="J12737">
        <v>0.49</v>
      </c>
      <c r="K12737">
        <v>0.91500000000000004</v>
      </c>
      <c r="L12737">
        <v>0.42</v>
      </c>
      <c r="M12737">
        <v>1</v>
      </c>
      <c r="N12737">
        <v>1</v>
      </c>
    </row>
    <row r="12738" spans="1:14" x14ac:dyDescent="0.25">
      <c r="A12738" t="s">
        <v>21839</v>
      </c>
      <c r="B12738" t="s">
        <v>8045</v>
      </c>
      <c r="C12738" s="1" t="str">
        <f>HYPERLINK("http://www.genecards.org/cgi-bin/carddisp.pl?gene=POU6F1","GeneCards")</f>
        <v>GeneCards</v>
      </c>
      <c r="D12738" s="1" t="str">
        <f>HYPERLINK("http://genome-euro.ucsc.edu/cgi-bin/hgTracks?position=216330_s_at","UCSC")</f>
        <v>UCSC</v>
      </c>
      <c r="E12738" s="1" t="str">
        <f>HYPERLINK("http://www.ncbi.nlm.nih.gov/gene/?term=POU6F1","NCBI")</f>
        <v>NCBI</v>
      </c>
      <c r="F12738">
        <v>0.39</v>
      </c>
      <c r="G12738">
        <v>0.52</v>
      </c>
      <c r="H12738" s="1" t="str">
        <f>HYPERLINK("http://www.weizmann.ac.il/complex/compphys/software/geview/data/figures/216330_s_at.png","Figure")</f>
        <v>Figure</v>
      </c>
      <c r="I12738">
        <v>1.1000000000000001</v>
      </c>
      <c r="J12738">
        <v>0.57999999999999996</v>
      </c>
      <c r="K12738">
        <v>0.97299999999999998</v>
      </c>
      <c r="L12738">
        <v>0.94</v>
      </c>
      <c r="M12738">
        <v>0.88400000000000001</v>
      </c>
      <c r="N12738">
        <v>0.37</v>
      </c>
    </row>
    <row r="12739" spans="1:14" x14ac:dyDescent="0.25">
      <c r="A12739" t="s">
        <v>21840</v>
      </c>
      <c r="B12739" t="s">
        <v>21841</v>
      </c>
      <c r="C12739" s="1" t="str">
        <f>HYPERLINK("http://www.genecards.org/cgi-bin/carddisp.pl?gene=APOB48R","GeneCards")</f>
        <v>GeneCards</v>
      </c>
      <c r="D12739" s="1" t="str">
        <f>HYPERLINK("http://genome-euro.ucsc.edu/cgi-bin/hgTracks?position=220023_at","UCSC")</f>
        <v>UCSC</v>
      </c>
      <c r="E12739" s="1" t="str">
        <f>HYPERLINK("http://www.ncbi.nlm.nih.gov/gene/?term=APOB48R","NCBI")</f>
        <v>NCBI</v>
      </c>
      <c r="F12739">
        <v>0.39</v>
      </c>
      <c r="G12739">
        <v>0.52</v>
      </c>
      <c r="H12739" s="1" t="str">
        <f>HYPERLINK("http://www.weizmann.ac.il/complex/compphys/software/geview/data/figures/220023_at.png","Figure")</f>
        <v>Figure</v>
      </c>
      <c r="I12739">
        <v>1.06</v>
      </c>
      <c r="J12739">
        <v>0.62</v>
      </c>
      <c r="K12739">
        <v>1.08</v>
      </c>
      <c r="L12739">
        <v>0.37</v>
      </c>
      <c r="M12739">
        <v>1.02</v>
      </c>
      <c r="N12739">
        <v>0.95</v>
      </c>
    </row>
    <row r="12740" spans="1:14" x14ac:dyDescent="0.25">
      <c r="A12740" t="s">
        <v>21842</v>
      </c>
      <c r="B12740" t="s">
        <v>7834</v>
      </c>
      <c r="C12740" s="1" t="str">
        <f>HYPERLINK("http://www.genecards.org/cgi-bin/carddisp.pl?gene=RAB7A","GeneCards")</f>
        <v>GeneCards</v>
      </c>
      <c r="D12740" s="1" t="str">
        <f>HYPERLINK("http://genome-euro.ucsc.edu/cgi-bin/hgTracks?position=211960_s_at","UCSC")</f>
        <v>UCSC</v>
      </c>
      <c r="E12740" s="1" t="str">
        <f>HYPERLINK("http://www.ncbi.nlm.nih.gov/gene/?term=RAB7A","NCBI")</f>
        <v>NCBI</v>
      </c>
      <c r="F12740">
        <v>0.39</v>
      </c>
      <c r="G12740">
        <v>0.52</v>
      </c>
      <c r="H12740" s="1" t="str">
        <f>HYPERLINK("http://www.weizmann.ac.il/complex/compphys/software/geview/data/figures/211960_s_at.png","Figure")</f>
        <v>Figure</v>
      </c>
      <c r="I12740">
        <v>0.85699999999999998</v>
      </c>
      <c r="J12740">
        <v>0.72</v>
      </c>
      <c r="K12740">
        <v>0.78100000000000003</v>
      </c>
      <c r="L12740">
        <v>0.36</v>
      </c>
      <c r="M12740">
        <v>0.91200000000000003</v>
      </c>
      <c r="N12740">
        <v>0.87</v>
      </c>
    </row>
    <row r="12741" spans="1:14" x14ac:dyDescent="0.25">
      <c r="A12741" t="s">
        <v>21843</v>
      </c>
      <c r="B12741" t="s">
        <v>21844</v>
      </c>
      <c r="C12741" s="1" t="str">
        <f>HYPERLINK("http://www.genecards.org/cgi-bin/carddisp.pl?gene=REN","GeneCards")</f>
        <v>GeneCards</v>
      </c>
      <c r="D12741" s="1" t="str">
        <f>HYPERLINK("http://genome-euro.ucsc.edu/cgi-bin/hgTracks?position=206367_at","UCSC")</f>
        <v>UCSC</v>
      </c>
      <c r="E12741" s="1" t="str">
        <f>HYPERLINK("http://www.ncbi.nlm.nih.gov/gene/?term=REN","NCBI")</f>
        <v>NCBI</v>
      </c>
      <c r="F12741">
        <v>0.39</v>
      </c>
      <c r="G12741">
        <v>0.52</v>
      </c>
      <c r="H12741" s="1" t="str">
        <f>HYPERLINK("http://www.weizmann.ac.il/complex/compphys/software/geview/data/figures/206367_at.png","Figure")</f>
        <v>Figure</v>
      </c>
      <c r="I12741">
        <v>1.06</v>
      </c>
      <c r="J12741">
        <v>0.55000000000000004</v>
      </c>
      <c r="K12741">
        <v>1.07</v>
      </c>
      <c r="L12741">
        <v>0.39</v>
      </c>
      <c r="M12741">
        <v>1.01</v>
      </c>
      <c r="N12741">
        <v>0.99</v>
      </c>
    </row>
    <row r="12742" spans="1:14" x14ac:dyDescent="0.25">
      <c r="A12742" t="s">
        <v>21845</v>
      </c>
      <c r="B12742" t="s">
        <v>21846</v>
      </c>
      <c r="C12742" s="1" t="str">
        <f>HYPERLINK("http://www.genecards.org/cgi-bin/carddisp.pl?gene=TEX28","GeneCards")</f>
        <v>GeneCards</v>
      </c>
      <c r="D12742" s="1" t="str">
        <f>HYPERLINK("http://genome-euro.ucsc.edu/cgi-bin/hgTracks?position=207364_at","UCSC")</f>
        <v>UCSC</v>
      </c>
      <c r="E12742" s="1" t="str">
        <f>HYPERLINK("http://www.ncbi.nlm.nih.gov/gene/?term=TEX28","NCBI")</f>
        <v>NCBI</v>
      </c>
      <c r="F12742">
        <v>0.39</v>
      </c>
      <c r="G12742">
        <v>0.52</v>
      </c>
      <c r="H12742" s="1" t="str">
        <f>HYPERLINK("http://www.weizmann.ac.il/complex/compphys/software/geview/data/figures/207364_at.png","Figure")</f>
        <v>Figure</v>
      </c>
      <c r="I12742">
        <v>0.996</v>
      </c>
      <c r="J12742">
        <v>0.78</v>
      </c>
      <c r="K12742">
        <v>1</v>
      </c>
      <c r="L12742">
        <v>0.75</v>
      </c>
      <c r="M12742">
        <v>1.01</v>
      </c>
      <c r="N12742">
        <v>0.36</v>
      </c>
    </row>
    <row r="12743" spans="1:14" x14ac:dyDescent="0.25">
      <c r="A12743" t="s">
        <v>21847</v>
      </c>
      <c r="B12743" t="s">
        <v>21848</v>
      </c>
      <c r="C12743" s="1" t="str">
        <f>HYPERLINK("http://www.genecards.org/cgi-bin/carddisp.pl?gene=PCDH11Y","GeneCards")</f>
        <v>GeneCards</v>
      </c>
      <c r="D12743" s="1" t="str">
        <f>HYPERLINK("http://genome-euro.ucsc.edu/cgi-bin/hgTracks?position=217049_x_at","UCSC")</f>
        <v>UCSC</v>
      </c>
      <c r="E12743" s="1" t="str">
        <f>HYPERLINK("http://www.ncbi.nlm.nih.gov/gene/?term=PCDH11Y","NCBI")</f>
        <v>NCBI</v>
      </c>
      <c r="F12743">
        <v>0.39</v>
      </c>
      <c r="G12743">
        <v>0.52</v>
      </c>
      <c r="H12743" s="1" t="str">
        <f>HYPERLINK("http://www.weizmann.ac.il/complex/compphys/software/geview/data/figures/217049_x_at.png","Figure")</f>
        <v>Figure</v>
      </c>
      <c r="I12743">
        <v>1.03</v>
      </c>
      <c r="J12743">
        <v>0.71</v>
      </c>
      <c r="K12743">
        <v>0.98099999999999998</v>
      </c>
      <c r="L12743">
        <v>0.82</v>
      </c>
      <c r="M12743">
        <v>0.95299999999999996</v>
      </c>
      <c r="N12743">
        <v>0.36</v>
      </c>
    </row>
    <row r="12744" spans="1:14" x14ac:dyDescent="0.25">
      <c r="A12744" t="s">
        <v>21849</v>
      </c>
      <c r="B12744" t="s">
        <v>21850</v>
      </c>
      <c r="C12744" s="1" t="str">
        <f>HYPERLINK("http://www.genecards.org/cgi-bin/carddisp.pl?gene=SPANXA1 /// SPANXA2 /// SPANXB1 /// SPANXB2 /// SPANXC /// SPANXF1","GeneCards")</f>
        <v>GeneCards</v>
      </c>
      <c r="D12744" s="1" t="str">
        <f>HYPERLINK("http://genome-euro.ucsc.edu/cgi-bin/hgTracks?position=220922_s_at","UCSC")</f>
        <v>UCSC</v>
      </c>
      <c r="E12744" s="1" t="str">
        <f>HYPERLINK("http://www.ncbi.nlm.nih.gov/gene/?term=SPANXA1 /// SPANXA2 /// SPANXB1 /// SPANXB2 /// SPANXC /// SPANXF1","NCBI")</f>
        <v>NCBI</v>
      </c>
      <c r="F12744">
        <v>0.39</v>
      </c>
      <c r="G12744">
        <v>0.52</v>
      </c>
      <c r="H12744" s="1" t="str">
        <f>HYPERLINK("http://www.weizmann.ac.il/complex/compphys/software/geview/data/figures/220922_s_at.png","Figure")</f>
        <v>Figure</v>
      </c>
      <c r="I12744">
        <v>0.72799999999999998</v>
      </c>
      <c r="J12744">
        <v>0.51</v>
      </c>
      <c r="K12744">
        <v>0.72699999999999998</v>
      </c>
      <c r="L12744">
        <v>0.41</v>
      </c>
      <c r="M12744">
        <v>0.999</v>
      </c>
      <c r="N12744">
        <v>1</v>
      </c>
    </row>
    <row r="12745" spans="1:14" x14ac:dyDescent="0.25">
      <c r="A12745" t="s">
        <v>21851</v>
      </c>
      <c r="B12745" t="s">
        <v>9646</v>
      </c>
      <c r="C12745" s="1" t="str">
        <f>HYPERLINK("http://www.genecards.org/cgi-bin/carddisp.pl?gene=DOCK6","GeneCards")</f>
        <v>GeneCards</v>
      </c>
      <c r="D12745" s="1" t="str">
        <f>HYPERLINK("http://genome-euro.ucsc.edu/cgi-bin/hgTracks?position=221793_at","UCSC")</f>
        <v>UCSC</v>
      </c>
      <c r="E12745" s="1" t="str">
        <f>HYPERLINK("http://www.ncbi.nlm.nih.gov/gene/?term=DOCK6","NCBI")</f>
        <v>NCBI</v>
      </c>
      <c r="F12745">
        <v>0.39</v>
      </c>
      <c r="G12745">
        <v>0.52</v>
      </c>
      <c r="H12745" s="1" t="str">
        <f>HYPERLINK("http://www.weizmann.ac.il/complex/compphys/software/geview/data/figures/221793_at.png","Figure")</f>
        <v>Figure</v>
      </c>
      <c r="I12745">
        <v>1.07</v>
      </c>
      <c r="J12745">
        <v>0.47</v>
      </c>
      <c r="K12745">
        <v>0.998</v>
      </c>
      <c r="L12745">
        <v>1</v>
      </c>
      <c r="M12745">
        <v>0.93200000000000005</v>
      </c>
      <c r="N12745">
        <v>0.41</v>
      </c>
    </row>
    <row r="12746" spans="1:14" x14ac:dyDescent="0.25">
      <c r="A12746" t="s">
        <v>21852</v>
      </c>
      <c r="B12746" t="s">
        <v>21853</v>
      </c>
      <c r="C12746" s="1" t="str">
        <f>HYPERLINK("http://www.genecards.org/cgi-bin/carddisp.pl?gene=UPK1B","GeneCards")</f>
        <v>GeneCards</v>
      </c>
      <c r="D12746" s="1" t="str">
        <f>HYPERLINK("http://genome-euro.ucsc.edu/cgi-bin/hgTracks?position=210065_s_at","UCSC")</f>
        <v>UCSC</v>
      </c>
      <c r="E12746" s="1" t="str">
        <f>HYPERLINK("http://www.ncbi.nlm.nih.gov/gene/?term=UPK1B","NCBI")</f>
        <v>NCBI</v>
      </c>
      <c r="F12746">
        <v>0.39</v>
      </c>
      <c r="G12746">
        <v>0.52</v>
      </c>
      <c r="H12746" s="1" t="str">
        <f>HYPERLINK("http://www.weizmann.ac.il/complex/compphys/software/geview/data/figures/210065_s_at.png","Figure")</f>
        <v>Figure</v>
      </c>
      <c r="I12746">
        <v>0.93200000000000005</v>
      </c>
      <c r="J12746">
        <v>0.61</v>
      </c>
      <c r="K12746">
        <v>0.91400000000000003</v>
      </c>
      <c r="L12746">
        <v>0.37</v>
      </c>
      <c r="M12746">
        <v>0.98099999999999998</v>
      </c>
      <c r="N12746">
        <v>0.96</v>
      </c>
    </row>
    <row r="12747" spans="1:14" x14ac:dyDescent="0.25">
      <c r="A12747" t="s">
        <v>21854</v>
      </c>
      <c r="B12747" t="s">
        <v>21855</v>
      </c>
      <c r="C12747" s="1" t="str">
        <f>HYPERLINK("http://www.genecards.org/cgi-bin/carddisp.pl?gene=CDK5R1","GeneCards")</f>
        <v>GeneCards</v>
      </c>
      <c r="D12747" s="1" t="str">
        <f>HYPERLINK("http://genome-euro.ucsc.edu/cgi-bin/hgTracks?position=204996_s_at","UCSC")</f>
        <v>UCSC</v>
      </c>
      <c r="E12747" s="1" t="str">
        <f>HYPERLINK("http://www.ncbi.nlm.nih.gov/gene/?term=CDK5R1","NCBI")</f>
        <v>NCBI</v>
      </c>
      <c r="F12747">
        <v>0.39</v>
      </c>
      <c r="G12747">
        <v>0.52</v>
      </c>
      <c r="H12747" s="1" t="str">
        <f>HYPERLINK("http://www.weizmann.ac.il/complex/compphys/software/geview/data/figures/204996_s_at.png","Figure")</f>
        <v>Figure</v>
      </c>
      <c r="I12747">
        <v>1.01</v>
      </c>
      <c r="J12747">
        <v>0.96</v>
      </c>
      <c r="K12747">
        <v>0.95099999999999996</v>
      </c>
      <c r="L12747">
        <v>0.55000000000000004</v>
      </c>
      <c r="M12747">
        <v>0.93799999999999994</v>
      </c>
      <c r="N12747">
        <v>0.43</v>
      </c>
    </row>
    <row r="12748" spans="1:14" x14ac:dyDescent="0.25">
      <c r="A12748" t="s">
        <v>21856</v>
      </c>
      <c r="B12748" t="s">
        <v>21857</v>
      </c>
      <c r="C12748" s="1" t="str">
        <f>HYPERLINK("http://www.genecards.org/cgi-bin/carddisp.pl?gene=CAMSAP1L1","GeneCards")</f>
        <v>GeneCards</v>
      </c>
      <c r="D12748" s="1" t="str">
        <f>HYPERLINK("http://genome-euro.ucsc.edu/cgi-bin/hgTracks?position=212763_at","UCSC")</f>
        <v>UCSC</v>
      </c>
      <c r="E12748" s="1" t="str">
        <f>HYPERLINK("http://www.ncbi.nlm.nih.gov/gene/?term=CAMSAP1L1","NCBI")</f>
        <v>NCBI</v>
      </c>
      <c r="F12748">
        <v>0.39</v>
      </c>
      <c r="G12748">
        <v>0.52</v>
      </c>
      <c r="H12748" s="1" t="str">
        <f>HYPERLINK("http://www.weizmann.ac.il/complex/compphys/software/geview/data/figures/212763_at.png","Figure")</f>
        <v>Figure</v>
      </c>
      <c r="I12748">
        <v>1.0900000000000001</v>
      </c>
      <c r="J12748">
        <v>0.36</v>
      </c>
      <c r="K12748">
        <v>1.04</v>
      </c>
      <c r="L12748">
        <v>0.78</v>
      </c>
      <c r="M12748">
        <v>0.95199999999999996</v>
      </c>
      <c r="N12748">
        <v>0.66</v>
      </c>
    </row>
    <row r="12749" spans="1:14" x14ac:dyDescent="0.25">
      <c r="A12749" t="s">
        <v>21858</v>
      </c>
      <c r="B12749" t="s">
        <v>21859</v>
      </c>
      <c r="C12749" s="1" t="str">
        <f>HYPERLINK("http://www.genecards.org/cgi-bin/carddisp.pl?gene=CYP26B1","GeneCards")</f>
        <v>GeneCards</v>
      </c>
      <c r="D12749" s="1" t="str">
        <f>HYPERLINK("http://genome-euro.ucsc.edu/cgi-bin/hgTracks?position=219825_at","UCSC")</f>
        <v>UCSC</v>
      </c>
      <c r="E12749" s="1" t="str">
        <f>HYPERLINK("http://www.ncbi.nlm.nih.gov/gene/?term=CYP26B1","NCBI")</f>
        <v>NCBI</v>
      </c>
      <c r="F12749">
        <v>0.39</v>
      </c>
      <c r="G12749">
        <v>0.52</v>
      </c>
      <c r="H12749" s="1" t="str">
        <f>HYPERLINK("http://www.weizmann.ac.il/complex/compphys/software/geview/data/figures/219825_at.png","Figure")</f>
        <v>Figure</v>
      </c>
      <c r="I12749">
        <v>0.99099999999999999</v>
      </c>
      <c r="J12749">
        <v>0.84</v>
      </c>
      <c r="K12749">
        <v>0.98099999999999998</v>
      </c>
      <c r="L12749">
        <v>0.36</v>
      </c>
      <c r="M12749">
        <v>0.99</v>
      </c>
      <c r="N12749">
        <v>0.76</v>
      </c>
    </row>
    <row r="12750" spans="1:14" x14ac:dyDescent="0.25">
      <c r="A12750" t="s">
        <v>21860</v>
      </c>
      <c r="B12750" t="s">
        <v>21861</v>
      </c>
      <c r="C12750" s="1" t="str">
        <f>HYPERLINK("http://www.genecards.org/cgi-bin/carddisp.pl?gene=BTNL8","GeneCards")</f>
        <v>GeneCards</v>
      </c>
      <c r="D12750" s="1" t="str">
        <f>HYPERLINK("http://genome-euro.ucsc.edu/cgi-bin/hgTracks?position=220421_at","UCSC")</f>
        <v>UCSC</v>
      </c>
      <c r="E12750" s="1" t="str">
        <f>HYPERLINK("http://www.ncbi.nlm.nih.gov/gene/?term=BTNL8","NCBI")</f>
        <v>NCBI</v>
      </c>
      <c r="F12750">
        <v>0.39</v>
      </c>
      <c r="G12750">
        <v>0.52</v>
      </c>
      <c r="H12750" s="1" t="str">
        <f>HYPERLINK("http://www.weizmann.ac.il/complex/compphys/software/geview/data/figures/220421_at.png","Figure")</f>
        <v>Figure</v>
      </c>
      <c r="I12750">
        <v>1.1200000000000001</v>
      </c>
      <c r="J12750">
        <v>0.51</v>
      </c>
      <c r="K12750">
        <v>0.98699999999999999</v>
      </c>
      <c r="L12750">
        <v>0.99</v>
      </c>
      <c r="M12750">
        <v>0.88100000000000001</v>
      </c>
      <c r="N12750">
        <v>0.39</v>
      </c>
    </row>
    <row r="12751" spans="1:14" x14ac:dyDescent="0.25">
      <c r="A12751" t="s">
        <v>21862</v>
      </c>
      <c r="B12751" t="s">
        <v>4131</v>
      </c>
      <c r="C12751" s="1" t="str">
        <f>HYPERLINK("http://www.genecards.org/cgi-bin/carddisp.pl?gene=RASGRF1","GeneCards")</f>
        <v>GeneCards</v>
      </c>
      <c r="D12751" s="1" t="str">
        <f>HYPERLINK("http://genome-euro.ucsc.edu/cgi-bin/hgTracks?position=214905_at","UCSC")</f>
        <v>UCSC</v>
      </c>
      <c r="E12751" s="1" t="str">
        <f>HYPERLINK("http://www.ncbi.nlm.nih.gov/gene/?term=RASGRF1","NCBI")</f>
        <v>NCBI</v>
      </c>
      <c r="F12751">
        <v>0.39</v>
      </c>
      <c r="G12751">
        <v>0.52</v>
      </c>
      <c r="H12751" s="1" t="str">
        <f>HYPERLINK("http://www.weizmann.ac.il/complex/compphys/software/geview/data/figures/214905_at.png","Figure")</f>
        <v>Figure</v>
      </c>
      <c r="I12751">
        <v>1.01</v>
      </c>
      <c r="J12751">
        <v>0.48</v>
      </c>
      <c r="K12751">
        <v>1.01</v>
      </c>
      <c r="L12751">
        <v>0.43</v>
      </c>
      <c r="M12751">
        <v>0.999</v>
      </c>
      <c r="N12751">
        <v>1</v>
      </c>
    </row>
    <row r="12752" spans="1:14" x14ac:dyDescent="0.25">
      <c r="A12752" t="s">
        <v>21863</v>
      </c>
      <c r="B12752" t="s">
        <v>21864</v>
      </c>
      <c r="C12752" s="1" t="str">
        <f>HYPERLINK("http://www.genecards.org/cgi-bin/carddisp.pl?gene=CRBN","GeneCards")</f>
        <v>GeneCards</v>
      </c>
      <c r="D12752" s="1" t="str">
        <f>HYPERLINK("http://genome-euro.ucsc.edu/cgi-bin/hgTracks?position=218142_s_at","UCSC")</f>
        <v>UCSC</v>
      </c>
      <c r="E12752" s="1" t="str">
        <f>HYPERLINK("http://www.ncbi.nlm.nih.gov/gene/?term=CRBN","NCBI")</f>
        <v>NCBI</v>
      </c>
      <c r="F12752">
        <v>0.39</v>
      </c>
      <c r="G12752">
        <v>0.52</v>
      </c>
      <c r="H12752" s="1" t="str">
        <f>HYPERLINK("http://www.weizmann.ac.il/complex/compphys/software/geview/data/figures/218142_s_at.png","Figure")</f>
        <v>Figure</v>
      </c>
      <c r="I12752">
        <v>1.08</v>
      </c>
      <c r="J12752">
        <v>0.77</v>
      </c>
      <c r="K12752">
        <v>0.92800000000000005</v>
      </c>
      <c r="L12752">
        <v>0.76</v>
      </c>
      <c r="M12752">
        <v>0.85599999999999998</v>
      </c>
      <c r="N12752">
        <v>0.36</v>
      </c>
    </row>
    <row r="12753" spans="1:14" x14ac:dyDescent="0.25">
      <c r="A12753" t="s">
        <v>21865</v>
      </c>
      <c r="B12753" t="s">
        <v>21866</v>
      </c>
      <c r="C12753" s="1" t="str">
        <f>HYPERLINK("http://www.genecards.org/cgi-bin/carddisp.pl?gene=LRRC59","GeneCards")</f>
        <v>GeneCards</v>
      </c>
      <c r="D12753" s="1" t="str">
        <f>HYPERLINK("http://genome-euro.ucsc.edu/cgi-bin/hgTracks?position=222231_s_at","UCSC")</f>
        <v>UCSC</v>
      </c>
      <c r="E12753" s="1" t="str">
        <f>HYPERLINK("http://www.ncbi.nlm.nih.gov/gene/?term=LRRC59","NCBI")</f>
        <v>NCBI</v>
      </c>
      <c r="F12753">
        <v>0.39</v>
      </c>
      <c r="G12753">
        <v>0.52</v>
      </c>
      <c r="H12753" s="1" t="str">
        <f>HYPERLINK("http://www.weizmann.ac.il/complex/compphys/software/geview/data/figures/222231_s_at.png","Figure")</f>
        <v>Figure</v>
      </c>
      <c r="I12753">
        <v>0.79800000000000004</v>
      </c>
      <c r="J12753">
        <v>0.62</v>
      </c>
      <c r="K12753">
        <v>0.749</v>
      </c>
      <c r="L12753">
        <v>0.37</v>
      </c>
      <c r="M12753">
        <v>0.93799999999999994</v>
      </c>
      <c r="N12753">
        <v>0.96</v>
      </c>
    </row>
    <row r="12754" spans="1:14" x14ac:dyDescent="0.25">
      <c r="A12754" t="s">
        <v>21867</v>
      </c>
      <c r="B12754" t="s">
        <v>21868</v>
      </c>
      <c r="C12754" s="1" t="str">
        <f>HYPERLINK("http://www.genecards.org/cgi-bin/carddisp.pl?gene=ZNF410","GeneCards")</f>
        <v>GeneCards</v>
      </c>
      <c r="D12754" s="1" t="str">
        <f>HYPERLINK("http://genome-euro.ucsc.edu/cgi-bin/hgTracks?position=209944_at","UCSC")</f>
        <v>UCSC</v>
      </c>
      <c r="E12754" s="1" t="str">
        <f>HYPERLINK("http://www.ncbi.nlm.nih.gov/gene/?term=ZNF410","NCBI")</f>
        <v>NCBI</v>
      </c>
      <c r="F12754">
        <v>0.39</v>
      </c>
      <c r="G12754">
        <v>0.52</v>
      </c>
      <c r="H12754" s="1" t="str">
        <f>HYPERLINK("http://www.weizmann.ac.il/complex/compphys/software/geview/data/figures/209944_at.png","Figure")</f>
        <v>Figure</v>
      </c>
      <c r="I12754">
        <v>0.86</v>
      </c>
      <c r="J12754">
        <v>0.57999999999999996</v>
      </c>
      <c r="K12754">
        <v>1.05</v>
      </c>
      <c r="L12754">
        <v>0.94</v>
      </c>
      <c r="M12754">
        <v>1.22</v>
      </c>
      <c r="N12754">
        <v>0.37</v>
      </c>
    </row>
    <row r="12755" spans="1:14" x14ac:dyDescent="0.25">
      <c r="A12755" t="s">
        <v>21869</v>
      </c>
      <c r="B12755" t="s">
        <v>21870</v>
      </c>
      <c r="C12755" s="1" t="str">
        <f>HYPERLINK("http://www.genecards.org/cgi-bin/carddisp.pl?gene=DKFZp434H1419","GeneCards")</f>
        <v>GeneCards</v>
      </c>
      <c r="D12755" s="1" t="str">
        <f>HYPERLINK("http://genome-euro.ucsc.edu/cgi-bin/hgTracks?position=214717_at","UCSC")</f>
        <v>UCSC</v>
      </c>
      <c r="E12755" s="1" t="str">
        <f>HYPERLINK("http://www.ncbi.nlm.nih.gov/gene/?term=DKFZp434H1419","NCBI")</f>
        <v>NCBI</v>
      </c>
      <c r="F12755">
        <v>0.39</v>
      </c>
      <c r="G12755">
        <v>0.52</v>
      </c>
      <c r="H12755" s="1" t="str">
        <f>HYPERLINK("http://www.weizmann.ac.il/complex/compphys/software/geview/data/figures/214717_at.png","Figure")</f>
        <v>Figure</v>
      </c>
      <c r="I12755">
        <v>1.0900000000000001</v>
      </c>
      <c r="J12755">
        <v>0.37</v>
      </c>
      <c r="K12755">
        <v>1.02</v>
      </c>
      <c r="L12755">
        <v>0.89</v>
      </c>
      <c r="M12755">
        <v>0.94299999999999995</v>
      </c>
      <c r="N12755">
        <v>0.55000000000000004</v>
      </c>
    </row>
    <row r="12756" spans="1:14" x14ac:dyDescent="0.25">
      <c r="A12756" t="s">
        <v>21871</v>
      </c>
      <c r="B12756" t="s">
        <v>21872</v>
      </c>
      <c r="C12756" s="1" t="str">
        <f>HYPERLINK("http://www.genecards.org/cgi-bin/carddisp.pl?gene=CYB5R1","GeneCards")</f>
        <v>GeneCards</v>
      </c>
      <c r="D12756" s="1" t="str">
        <f>HYPERLINK("http://genome-euro.ucsc.edu/cgi-bin/hgTracks?position=202263_at","UCSC")</f>
        <v>UCSC</v>
      </c>
      <c r="E12756" s="1" t="str">
        <f>HYPERLINK("http://www.ncbi.nlm.nih.gov/gene/?term=CYB5R1","NCBI")</f>
        <v>NCBI</v>
      </c>
      <c r="F12756">
        <v>0.39</v>
      </c>
      <c r="G12756">
        <v>0.52</v>
      </c>
      <c r="H12756" s="1" t="str">
        <f>HYPERLINK("http://www.weizmann.ac.il/complex/compphys/software/geview/data/figures/202263_at.png","Figure")</f>
        <v>Figure</v>
      </c>
      <c r="I12756">
        <v>1.21</v>
      </c>
      <c r="J12756">
        <v>0.36</v>
      </c>
      <c r="K12756">
        <v>1.07</v>
      </c>
      <c r="L12756">
        <v>0.84</v>
      </c>
      <c r="M12756">
        <v>0.88300000000000001</v>
      </c>
      <c r="N12756">
        <v>0.6</v>
      </c>
    </row>
    <row r="12757" spans="1:14" x14ac:dyDescent="0.25">
      <c r="A12757" t="s">
        <v>21873</v>
      </c>
      <c r="B12757" t="s">
        <v>21874</v>
      </c>
      <c r="C12757" s="1" t="str">
        <f>HYPERLINK("http://www.genecards.org/cgi-bin/carddisp.pl?gene=HGF","GeneCards")</f>
        <v>GeneCards</v>
      </c>
      <c r="D12757" s="1" t="str">
        <f>HYPERLINK("http://genome-euro.ucsc.edu/cgi-bin/hgTracks?position=209961_s_at","UCSC")</f>
        <v>UCSC</v>
      </c>
      <c r="E12757" s="1" t="str">
        <f>HYPERLINK("http://www.ncbi.nlm.nih.gov/gene/?term=HGF","NCBI")</f>
        <v>NCBI</v>
      </c>
      <c r="F12757">
        <v>0.39</v>
      </c>
      <c r="G12757">
        <v>0.52</v>
      </c>
      <c r="H12757" s="1" t="str">
        <f>HYPERLINK("http://www.weizmann.ac.il/complex/compphys/software/geview/data/figures/209961_s_at.png","Figure")</f>
        <v>Figure</v>
      </c>
      <c r="I12757">
        <v>1.0900000000000001</v>
      </c>
      <c r="J12757">
        <v>0.41</v>
      </c>
      <c r="K12757">
        <v>1.01</v>
      </c>
      <c r="L12757">
        <v>0.98</v>
      </c>
      <c r="M12757">
        <v>0.92800000000000005</v>
      </c>
      <c r="N12757">
        <v>0.47</v>
      </c>
    </row>
    <row r="12758" spans="1:14" x14ac:dyDescent="0.25">
      <c r="A12758" t="s">
        <v>21875</v>
      </c>
      <c r="B12758" t="s">
        <v>21876</v>
      </c>
      <c r="C12758" s="1" t="str">
        <f>HYPERLINK("http://www.genecards.org/cgi-bin/carddisp.pl?gene=SOS1","GeneCards")</f>
        <v>GeneCards</v>
      </c>
      <c r="D12758" s="1" t="str">
        <f>HYPERLINK("http://genome-euro.ucsc.edu/cgi-bin/hgTracks?position=212780_at","UCSC")</f>
        <v>UCSC</v>
      </c>
      <c r="E12758" s="1" t="str">
        <f>HYPERLINK("http://www.ncbi.nlm.nih.gov/gene/?term=SOS1","NCBI")</f>
        <v>NCBI</v>
      </c>
      <c r="F12758">
        <v>0.39</v>
      </c>
      <c r="G12758">
        <v>0.52</v>
      </c>
      <c r="H12758" s="1" t="str">
        <f>HYPERLINK("http://www.weizmann.ac.il/complex/compphys/software/geview/data/figures/212780_at.png","Figure")</f>
        <v>Figure</v>
      </c>
      <c r="I12758">
        <v>0.76100000000000001</v>
      </c>
      <c r="J12758">
        <v>0.49</v>
      </c>
      <c r="K12758">
        <v>1.02</v>
      </c>
      <c r="L12758">
        <v>0.99</v>
      </c>
      <c r="M12758">
        <v>1.34</v>
      </c>
      <c r="N12758">
        <v>0.4</v>
      </c>
    </row>
    <row r="12759" spans="1:14" x14ac:dyDescent="0.25">
      <c r="A12759" t="s">
        <v>21877</v>
      </c>
      <c r="B12759" t="s">
        <v>16498</v>
      </c>
      <c r="C12759" s="1" t="str">
        <f>HYPERLINK("http://www.genecards.org/cgi-bin/carddisp.pl?gene=FANCI","GeneCards")</f>
        <v>GeneCards</v>
      </c>
      <c r="D12759" s="1" t="str">
        <f>HYPERLINK("http://genome-euro.ucsc.edu/cgi-bin/hgTracks?position=213007_at","UCSC")</f>
        <v>UCSC</v>
      </c>
      <c r="E12759" s="1" t="str">
        <f>HYPERLINK("http://www.ncbi.nlm.nih.gov/gene/?term=FANCI","NCBI")</f>
        <v>NCBI</v>
      </c>
      <c r="F12759">
        <v>0.39</v>
      </c>
      <c r="G12759">
        <v>0.52</v>
      </c>
      <c r="H12759" s="1" t="str">
        <f>HYPERLINK("http://www.weizmann.ac.il/complex/compphys/software/geview/data/figures/213007_at.png","Figure")</f>
        <v>Figure</v>
      </c>
      <c r="I12759">
        <v>0.77100000000000002</v>
      </c>
      <c r="J12759">
        <v>0.63</v>
      </c>
      <c r="K12759">
        <v>1.1100000000000001</v>
      </c>
      <c r="L12759">
        <v>0.9</v>
      </c>
      <c r="M12759">
        <v>1.45</v>
      </c>
      <c r="N12759">
        <v>0.36</v>
      </c>
    </row>
    <row r="12760" spans="1:14" x14ac:dyDescent="0.25">
      <c r="A12760" t="s">
        <v>21878</v>
      </c>
      <c r="B12760" t="s">
        <v>21879</v>
      </c>
      <c r="C12760" s="1" t="str">
        <f>HYPERLINK("http://www.genecards.org/cgi-bin/carddisp.pl?gene=DARS2","GeneCards")</f>
        <v>GeneCards</v>
      </c>
      <c r="D12760" s="1" t="str">
        <f>HYPERLINK("http://genome-euro.ucsc.edu/cgi-bin/hgTracks?position=218365_s_at","UCSC")</f>
        <v>UCSC</v>
      </c>
      <c r="E12760" s="1" t="str">
        <f>HYPERLINK("http://www.ncbi.nlm.nih.gov/gene/?term=DARS2","NCBI")</f>
        <v>NCBI</v>
      </c>
      <c r="F12760">
        <v>0.39</v>
      </c>
      <c r="G12760">
        <v>0.52</v>
      </c>
      <c r="H12760" s="1" t="str">
        <f>HYPERLINK("http://www.weizmann.ac.il/complex/compphys/software/geview/data/figures/218365_s_at.png","Figure")</f>
        <v>Figure</v>
      </c>
      <c r="I12760">
        <v>1.1399999999999999</v>
      </c>
      <c r="J12760">
        <v>0.36</v>
      </c>
      <c r="K12760">
        <v>1.06</v>
      </c>
      <c r="L12760">
        <v>0.77</v>
      </c>
      <c r="M12760">
        <v>0.93</v>
      </c>
      <c r="N12760">
        <v>0.67</v>
      </c>
    </row>
    <row r="12761" spans="1:14" x14ac:dyDescent="0.25">
      <c r="A12761" t="s">
        <v>21880</v>
      </c>
      <c r="B12761" t="s">
        <v>21881</v>
      </c>
      <c r="C12761" s="1" t="str">
        <f>HYPERLINK("http://www.genecards.org/cgi-bin/carddisp.pl?gene=CNTFR","GeneCards")</f>
        <v>GeneCards</v>
      </c>
      <c r="D12761" s="1" t="str">
        <f>HYPERLINK("http://genome-euro.ucsc.edu/cgi-bin/hgTracks?position=205723_at","UCSC")</f>
        <v>UCSC</v>
      </c>
      <c r="E12761" s="1" t="str">
        <f>HYPERLINK("http://www.ncbi.nlm.nih.gov/gene/?term=CNTFR","NCBI")</f>
        <v>NCBI</v>
      </c>
      <c r="F12761">
        <v>0.39</v>
      </c>
      <c r="G12761">
        <v>0.52</v>
      </c>
      <c r="H12761" s="1" t="str">
        <f>HYPERLINK("http://www.weizmann.ac.il/complex/compphys/software/geview/data/figures/205723_at.png","Figure")</f>
        <v>Figure</v>
      </c>
      <c r="I12761">
        <v>1</v>
      </c>
      <c r="J12761">
        <v>1</v>
      </c>
      <c r="K12761">
        <v>1.1100000000000001</v>
      </c>
      <c r="L12761">
        <v>0.45</v>
      </c>
      <c r="M12761">
        <v>1.1100000000000001</v>
      </c>
      <c r="N12761">
        <v>0.52</v>
      </c>
    </row>
    <row r="12762" spans="1:14" x14ac:dyDescent="0.25">
      <c r="A12762" t="s">
        <v>21882</v>
      </c>
      <c r="B12762" t="s">
        <v>17446</v>
      </c>
      <c r="C12762" s="1" t="str">
        <f>HYPERLINK("http://www.genecards.org/cgi-bin/carddisp.pl?gene=HOXA11","GeneCards")</f>
        <v>GeneCards</v>
      </c>
      <c r="D12762" s="1" t="str">
        <f>HYPERLINK("http://genome-euro.ucsc.edu/cgi-bin/hgTracks?position=208493_at","UCSC")</f>
        <v>UCSC</v>
      </c>
      <c r="E12762" s="1" t="str">
        <f>HYPERLINK("http://www.ncbi.nlm.nih.gov/gene/?term=HOXA11","NCBI")</f>
        <v>NCBI</v>
      </c>
      <c r="F12762">
        <v>0.39</v>
      </c>
      <c r="G12762">
        <v>0.52</v>
      </c>
      <c r="H12762" s="1" t="str">
        <f>HYPERLINK("http://www.weizmann.ac.il/complex/compphys/software/geview/data/figures/208493_at.png","Figure")</f>
        <v>Figure</v>
      </c>
      <c r="I12762">
        <v>1.08</v>
      </c>
      <c r="J12762">
        <v>0.44</v>
      </c>
      <c r="K12762">
        <v>1.07</v>
      </c>
      <c r="L12762">
        <v>0.47</v>
      </c>
      <c r="M12762">
        <v>0.98799999999999999</v>
      </c>
      <c r="N12762">
        <v>0.98</v>
      </c>
    </row>
    <row r="12763" spans="1:14" x14ac:dyDescent="0.25">
      <c r="A12763" t="s">
        <v>21883</v>
      </c>
      <c r="B12763" t="s">
        <v>21884</v>
      </c>
      <c r="C12763" s="1" t="str">
        <f>HYPERLINK("http://www.genecards.org/cgi-bin/carddisp.pl?gene=BOLA2 /// LOC440354 /// LOC595101","GeneCards")</f>
        <v>GeneCards</v>
      </c>
      <c r="D12763" s="1" t="str">
        <f>HYPERLINK("http://genome-euro.ucsc.edu/cgi-bin/hgTracks?position=210396_s_at","UCSC")</f>
        <v>UCSC</v>
      </c>
      <c r="E12763" s="1" t="str">
        <f>HYPERLINK("http://www.ncbi.nlm.nih.gov/gene/?term=BOLA2 /// LOC440354 /// LOC595101","NCBI")</f>
        <v>NCBI</v>
      </c>
      <c r="F12763">
        <v>0.39</v>
      </c>
      <c r="G12763">
        <v>0.52</v>
      </c>
      <c r="H12763" s="1" t="str">
        <f>HYPERLINK("http://www.weizmann.ac.il/complex/compphys/software/geview/data/figures/210396_s_at.png","Figure")</f>
        <v>Figure</v>
      </c>
      <c r="I12763">
        <v>1.25</v>
      </c>
      <c r="J12763">
        <v>0.53</v>
      </c>
      <c r="K12763">
        <v>0.96399999999999997</v>
      </c>
      <c r="L12763">
        <v>0.98</v>
      </c>
      <c r="M12763">
        <v>0.77</v>
      </c>
      <c r="N12763">
        <v>0.38</v>
      </c>
    </row>
    <row r="12764" spans="1:14" x14ac:dyDescent="0.25">
      <c r="A12764" t="s">
        <v>21885</v>
      </c>
      <c r="B12764" t="s">
        <v>21886</v>
      </c>
      <c r="C12764" s="1" t="str">
        <f>HYPERLINK("http://www.genecards.org/cgi-bin/carddisp.pl?gene=FAM176B","GeneCards")</f>
        <v>GeneCards</v>
      </c>
      <c r="D12764" s="1" t="str">
        <f>HYPERLINK("http://genome-euro.ucsc.edu/cgi-bin/hgTracks?position=220134_x_at","UCSC")</f>
        <v>UCSC</v>
      </c>
      <c r="E12764" s="1" t="str">
        <f>HYPERLINK("http://www.ncbi.nlm.nih.gov/gene/?term=FAM176B","NCBI")</f>
        <v>NCBI</v>
      </c>
      <c r="F12764">
        <v>0.39</v>
      </c>
      <c r="G12764">
        <v>0.52</v>
      </c>
      <c r="H12764" s="1" t="str">
        <f>HYPERLINK("http://www.weizmann.ac.il/complex/compphys/software/geview/data/figures/220134_x_at.png","Figure")</f>
        <v>Figure</v>
      </c>
      <c r="I12764">
        <v>1</v>
      </c>
      <c r="J12764">
        <v>1</v>
      </c>
      <c r="K12764">
        <v>0.93300000000000005</v>
      </c>
      <c r="L12764">
        <v>0.47</v>
      </c>
      <c r="M12764">
        <v>0.93100000000000005</v>
      </c>
      <c r="N12764">
        <v>0.5</v>
      </c>
    </row>
    <row r="12765" spans="1:14" x14ac:dyDescent="0.25">
      <c r="A12765" t="s">
        <v>21887</v>
      </c>
      <c r="B12765" t="s">
        <v>21888</v>
      </c>
      <c r="C12765" s="1" t="str">
        <f>HYPERLINK("http://www.genecards.org/cgi-bin/carddisp.pl?gene=DDX56","GeneCards")</f>
        <v>GeneCards</v>
      </c>
      <c r="D12765" s="1" t="str">
        <f>HYPERLINK("http://genome-euro.ucsc.edu/cgi-bin/hgTracks?position=217754_at","UCSC")</f>
        <v>UCSC</v>
      </c>
      <c r="E12765" s="1" t="str">
        <f>HYPERLINK("http://www.ncbi.nlm.nih.gov/gene/?term=DDX56","NCBI")</f>
        <v>NCBI</v>
      </c>
      <c r="F12765">
        <v>0.39</v>
      </c>
      <c r="G12765">
        <v>0.52</v>
      </c>
      <c r="H12765" s="1" t="str">
        <f>HYPERLINK("http://www.weizmann.ac.il/complex/compphys/software/geview/data/figures/217754_at.png","Figure")</f>
        <v>Figure</v>
      </c>
      <c r="I12765">
        <v>1.18</v>
      </c>
      <c r="J12765">
        <v>0.36</v>
      </c>
      <c r="K12765">
        <v>1.08</v>
      </c>
      <c r="L12765">
        <v>0.72</v>
      </c>
      <c r="M12765">
        <v>0.91600000000000004</v>
      </c>
      <c r="N12765">
        <v>0.72</v>
      </c>
    </row>
    <row r="12766" spans="1:14" x14ac:dyDescent="0.25">
      <c r="A12766" t="s">
        <v>21889</v>
      </c>
      <c r="B12766" t="s">
        <v>8853</v>
      </c>
      <c r="C12766" s="1" t="str">
        <f>HYPERLINK("http://www.genecards.org/cgi-bin/carddisp.pl?gene=LDLR","GeneCards")</f>
        <v>GeneCards</v>
      </c>
      <c r="D12766" s="1" t="str">
        <f>HYPERLINK("http://genome-euro.ucsc.edu/cgi-bin/hgTracks?position=202067_s_at","UCSC")</f>
        <v>UCSC</v>
      </c>
      <c r="E12766" s="1" t="str">
        <f>HYPERLINK("http://www.ncbi.nlm.nih.gov/gene/?term=LDLR","NCBI")</f>
        <v>NCBI</v>
      </c>
      <c r="F12766">
        <v>0.39</v>
      </c>
      <c r="G12766">
        <v>0.52</v>
      </c>
      <c r="H12766" s="1" t="str">
        <f>HYPERLINK("http://www.weizmann.ac.il/complex/compphys/software/geview/data/figures/202067_s_at.png","Figure")</f>
        <v>Figure</v>
      </c>
      <c r="I12766">
        <v>0.96499999999999997</v>
      </c>
      <c r="J12766">
        <v>0.66</v>
      </c>
      <c r="K12766">
        <v>0.95199999999999996</v>
      </c>
      <c r="L12766">
        <v>0.37</v>
      </c>
      <c r="M12766">
        <v>0.98599999999999999</v>
      </c>
      <c r="N12766">
        <v>0.93</v>
      </c>
    </row>
    <row r="12767" spans="1:14" x14ac:dyDescent="0.25">
      <c r="A12767" t="s">
        <v>21890</v>
      </c>
      <c r="B12767" t="s">
        <v>21891</v>
      </c>
      <c r="C12767" s="1" t="str">
        <f>HYPERLINK("http://www.genecards.org/cgi-bin/carddisp.pl?gene=RAD51AP1","GeneCards")</f>
        <v>GeneCards</v>
      </c>
      <c r="D12767" s="1" t="str">
        <f>HYPERLINK("http://genome-euro.ucsc.edu/cgi-bin/hgTracks?position=204146_at","UCSC")</f>
        <v>UCSC</v>
      </c>
      <c r="E12767" s="1" t="str">
        <f>HYPERLINK("http://www.ncbi.nlm.nih.gov/gene/?term=RAD51AP1","NCBI")</f>
        <v>NCBI</v>
      </c>
      <c r="F12767">
        <v>0.39</v>
      </c>
      <c r="G12767">
        <v>0.52</v>
      </c>
      <c r="H12767" s="1" t="str">
        <f>HYPERLINK("http://www.weizmann.ac.il/complex/compphys/software/geview/data/figures/204146_at.png","Figure")</f>
        <v>Figure</v>
      </c>
      <c r="I12767">
        <v>0.73099999999999998</v>
      </c>
      <c r="J12767">
        <v>0.5</v>
      </c>
      <c r="K12767">
        <v>1.03</v>
      </c>
      <c r="L12767">
        <v>0.99</v>
      </c>
      <c r="M12767">
        <v>1.41</v>
      </c>
      <c r="N12767">
        <v>0.39</v>
      </c>
    </row>
    <row r="12768" spans="1:14" x14ac:dyDescent="0.25">
      <c r="A12768" t="s">
        <v>21892</v>
      </c>
      <c r="B12768" t="s">
        <v>21893</v>
      </c>
      <c r="C12768" s="1" t="str">
        <f>HYPERLINK("http://www.genecards.org/cgi-bin/carddisp.pl?gene=CACNB4","GeneCards")</f>
        <v>GeneCards</v>
      </c>
      <c r="D12768" s="1" t="str">
        <f>HYPERLINK("http://genome-euro.ucsc.edu/cgi-bin/hgTracks?position=207693_at","UCSC")</f>
        <v>UCSC</v>
      </c>
      <c r="E12768" s="1" t="str">
        <f>HYPERLINK("http://www.ncbi.nlm.nih.gov/gene/?term=CACNB4","NCBI")</f>
        <v>NCBI</v>
      </c>
      <c r="F12768">
        <v>0.39</v>
      </c>
      <c r="G12768">
        <v>0.52</v>
      </c>
      <c r="H12768" s="1" t="str">
        <f>HYPERLINK("http://www.weizmann.ac.il/complex/compphys/software/geview/data/figures/207693_at.png","Figure")</f>
        <v>Figure</v>
      </c>
      <c r="I12768">
        <v>1.1000000000000001</v>
      </c>
      <c r="J12768">
        <v>0.51</v>
      </c>
      <c r="K12768">
        <v>1.1000000000000001</v>
      </c>
      <c r="L12768">
        <v>0.42</v>
      </c>
      <c r="M12768">
        <v>1</v>
      </c>
      <c r="N12768">
        <v>1</v>
      </c>
    </row>
    <row r="12769" spans="1:14" x14ac:dyDescent="0.25">
      <c r="A12769" t="s">
        <v>21894</v>
      </c>
      <c r="B12769" t="s">
        <v>21895</v>
      </c>
      <c r="C12769" s="1" t="str">
        <f>HYPERLINK("http://www.genecards.org/cgi-bin/carddisp.pl?gene=NRP1","GeneCards")</f>
        <v>GeneCards</v>
      </c>
      <c r="D12769" s="1" t="str">
        <f>HYPERLINK("http://genome-euro.ucsc.edu/cgi-bin/hgTracks?position=210510_s_at","UCSC")</f>
        <v>UCSC</v>
      </c>
      <c r="E12769" s="1" t="str">
        <f>HYPERLINK("http://www.ncbi.nlm.nih.gov/gene/?term=NRP1","NCBI")</f>
        <v>NCBI</v>
      </c>
      <c r="F12769">
        <v>0.39</v>
      </c>
      <c r="G12769">
        <v>0.52</v>
      </c>
      <c r="H12769" s="1" t="str">
        <f>HYPERLINK("http://www.weizmann.ac.il/complex/compphys/software/geview/data/figures/210510_s_at.png","Figure")</f>
        <v>Figure</v>
      </c>
      <c r="I12769">
        <v>0.96199999999999997</v>
      </c>
      <c r="J12769">
        <v>0.77</v>
      </c>
      <c r="K12769">
        <v>0.93400000000000005</v>
      </c>
      <c r="L12769">
        <v>0.36</v>
      </c>
      <c r="M12769">
        <v>0.97099999999999997</v>
      </c>
      <c r="N12769">
        <v>0.84</v>
      </c>
    </row>
    <row r="12770" spans="1:14" x14ac:dyDescent="0.25">
      <c r="A12770" t="s">
        <v>21896</v>
      </c>
      <c r="B12770" t="s">
        <v>8872</v>
      </c>
      <c r="C12770" s="1" t="str">
        <f>HYPERLINK("http://www.genecards.org/cgi-bin/carddisp.pl?gene=DLGAP4","GeneCards")</f>
        <v>GeneCards</v>
      </c>
      <c r="D12770" s="1" t="str">
        <f>HYPERLINK("http://genome-euro.ucsc.edu/cgi-bin/hgTracks?position=202572_s_at","UCSC")</f>
        <v>UCSC</v>
      </c>
      <c r="E12770" s="1" t="str">
        <f>HYPERLINK("http://www.ncbi.nlm.nih.gov/gene/?term=DLGAP4","NCBI")</f>
        <v>NCBI</v>
      </c>
      <c r="F12770">
        <v>0.39</v>
      </c>
      <c r="G12770">
        <v>0.52</v>
      </c>
      <c r="H12770" s="1" t="str">
        <f>HYPERLINK("http://www.weizmann.ac.il/complex/compphys/software/geview/data/figures/202572_s_at.png","Figure")</f>
        <v>Figure</v>
      </c>
      <c r="I12770">
        <v>0.93899999999999995</v>
      </c>
      <c r="J12770">
        <v>0.59</v>
      </c>
      <c r="K12770">
        <v>0.92800000000000005</v>
      </c>
      <c r="L12770">
        <v>0.38</v>
      </c>
      <c r="M12770">
        <v>0.98799999999999999</v>
      </c>
      <c r="N12770">
        <v>0.98</v>
      </c>
    </row>
    <row r="12771" spans="1:14" x14ac:dyDescent="0.25">
      <c r="A12771" t="s">
        <v>21897</v>
      </c>
      <c r="B12771" t="s">
        <v>1710</v>
      </c>
      <c r="C12771" s="1" t="str">
        <f>HYPERLINK("http://www.genecards.org/cgi-bin/carddisp.pl?gene=HNRNPC","GeneCards")</f>
        <v>GeneCards</v>
      </c>
      <c r="D12771" s="1" t="str">
        <f>HYPERLINK("http://genome-euro.ucsc.edu/cgi-bin/hgTracks?position=200751_s_at","UCSC")</f>
        <v>UCSC</v>
      </c>
      <c r="E12771" s="1" t="str">
        <f>HYPERLINK("http://www.ncbi.nlm.nih.gov/gene/?term=HNRNPC","NCBI")</f>
        <v>NCBI</v>
      </c>
      <c r="F12771">
        <v>0.39</v>
      </c>
      <c r="G12771">
        <v>0.52</v>
      </c>
      <c r="H12771" s="1" t="str">
        <f>HYPERLINK("http://www.weizmann.ac.il/complex/compphys/software/geview/data/figures/200751_s_at.png","Figure")</f>
        <v>Figure</v>
      </c>
      <c r="I12771">
        <v>1.1200000000000001</v>
      </c>
      <c r="J12771">
        <v>0.86</v>
      </c>
      <c r="K12771">
        <v>1.3</v>
      </c>
      <c r="L12771">
        <v>0.37</v>
      </c>
      <c r="M12771">
        <v>1.1599999999999999</v>
      </c>
      <c r="N12771">
        <v>0.74</v>
      </c>
    </row>
    <row r="12772" spans="1:14" x14ac:dyDescent="0.25">
      <c r="A12772" t="s">
        <v>21898</v>
      </c>
      <c r="B12772" t="s">
        <v>21899</v>
      </c>
      <c r="C12772" s="1" t="str">
        <f>HYPERLINK("http://www.genecards.org/cgi-bin/carddisp.pl?gene=EPHA2","GeneCards")</f>
        <v>GeneCards</v>
      </c>
      <c r="D12772" s="1" t="str">
        <f>HYPERLINK("http://genome-euro.ucsc.edu/cgi-bin/hgTracks?position=203499_at","UCSC")</f>
        <v>UCSC</v>
      </c>
      <c r="E12772" s="1" t="str">
        <f>HYPERLINK("http://www.ncbi.nlm.nih.gov/gene/?term=EPHA2","NCBI")</f>
        <v>NCBI</v>
      </c>
      <c r="F12772">
        <v>0.39</v>
      </c>
      <c r="G12772">
        <v>0.52</v>
      </c>
      <c r="H12772" s="1" t="str">
        <f>HYPERLINK("http://www.weizmann.ac.il/complex/compphys/software/geview/data/figures/203499_at.png","Figure")</f>
        <v>Figure</v>
      </c>
      <c r="I12772">
        <v>1.04</v>
      </c>
      <c r="J12772">
        <v>0.82</v>
      </c>
      <c r="K12772">
        <v>0.95399999999999996</v>
      </c>
      <c r="L12772">
        <v>0.71</v>
      </c>
      <c r="M12772">
        <v>0.91500000000000004</v>
      </c>
      <c r="N12772">
        <v>0.37</v>
      </c>
    </row>
    <row r="12773" spans="1:14" x14ac:dyDescent="0.25">
      <c r="A12773" t="s">
        <v>21900</v>
      </c>
      <c r="B12773" t="s">
        <v>11611</v>
      </c>
      <c r="C12773" s="1" t="str">
        <f>HYPERLINK("http://www.genecards.org/cgi-bin/carddisp.pl?gene=CUL7","GeneCards")</f>
        <v>GeneCards</v>
      </c>
      <c r="D12773" s="1" t="str">
        <f>HYPERLINK("http://genome-euro.ucsc.edu/cgi-bin/hgTracks?position=203558_at","UCSC")</f>
        <v>UCSC</v>
      </c>
      <c r="E12773" s="1" t="str">
        <f>HYPERLINK("http://www.ncbi.nlm.nih.gov/gene/?term=CUL7","NCBI")</f>
        <v>NCBI</v>
      </c>
      <c r="F12773">
        <v>0.39</v>
      </c>
      <c r="G12773">
        <v>0.52</v>
      </c>
      <c r="H12773" s="1" t="str">
        <f>HYPERLINK("http://www.weizmann.ac.il/complex/compphys/software/geview/data/figures/203558_at.png","Figure")</f>
        <v>Figure</v>
      </c>
      <c r="I12773">
        <v>0.875</v>
      </c>
      <c r="J12773">
        <v>0.42</v>
      </c>
      <c r="K12773">
        <v>0.98399999999999999</v>
      </c>
      <c r="L12773">
        <v>0.98</v>
      </c>
      <c r="M12773">
        <v>1.1200000000000001</v>
      </c>
      <c r="N12773">
        <v>0.46</v>
      </c>
    </row>
    <row r="12774" spans="1:14" x14ac:dyDescent="0.25">
      <c r="A12774" t="s">
        <v>21901</v>
      </c>
      <c r="B12774" t="s">
        <v>2880</v>
      </c>
      <c r="C12774" s="1" t="str">
        <f>HYPERLINK("http://www.genecards.org/cgi-bin/carddisp.pl?gene=C3orf63","GeneCards")</f>
        <v>GeneCards</v>
      </c>
      <c r="D12774" s="1" t="str">
        <f>HYPERLINK("http://genome-euro.ucsc.edu/cgi-bin/hgTracks?position=209284_s_at","UCSC")</f>
        <v>UCSC</v>
      </c>
      <c r="E12774" s="1" t="str">
        <f>HYPERLINK("http://www.ncbi.nlm.nih.gov/gene/?term=C3orf63","NCBI")</f>
        <v>NCBI</v>
      </c>
      <c r="F12774">
        <v>0.39</v>
      </c>
      <c r="G12774">
        <v>0.52</v>
      </c>
      <c r="H12774" s="1" t="str">
        <f>HYPERLINK("http://www.weizmann.ac.il/complex/compphys/software/geview/data/figures/209284_s_at.png","Figure")</f>
        <v>Figure</v>
      </c>
      <c r="I12774">
        <v>0.82299999999999995</v>
      </c>
      <c r="J12774">
        <v>0.56999999999999995</v>
      </c>
      <c r="K12774">
        <v>1.05</v>
      </c>
      <c r="L12774">
        <v>0.95</v>
      </c>
      <c r="M12774">
        <v>1.28</v>
      </c>
      <c r="N12774">
        <v>0.37</v>
      </c>
    </row>
    <row r="12775" spans="1:14" x14ac:dyDescent="0.25">
      <c r="A12775" t="s">
        <v>21902</v>
      </c>
      <c r="B12775" t="s">
        <v>7807</v>
      </c>
      <c r="C12775" s="1" t="str">
        <f>HYPERLINK("http://www.genecards.org/cgi-bin/carddisp.pl?gene=UBE3A","GeneCards")</f>
        <v>GeneCards</v>
      </c>
      <c r="D12775" s="1" t="str">
        <f>HYPERLINK("http://genome-euro.ucsc.edu/cgi-bin/hgTracks?position=213128_s_at","UCSC")</f>
        <v>UCSC</v>
      </c>
      <c r="E12775" s="1" t="str">
        <f>HYPERLINK("http://www.ncbi.nlm.nih.gov/gene/?term=UBE3A","NCBI")</f>
        <v>NCBI</v>
      </c>
      <c r="F12775">
        <v>0.39</v>
      </c>
      <c r="G12775">
        <v>0.52</v>
      </c>
      <c r="H12775" s="1" t="str">
        <f>HYPERLINK("http://www.weizmann.ac.il/complex/compphys/software/geview/data/figures/213128_s_at.png","Figure")</f>
        <v>Figure</v>
      </c>
      <c r="I12775">
        <v>0.80400000000000005</v>
      </c>
      <c r="J12775">
        <v>0.78</v>
      </c>
      <c r="K12775">
        <v>0.67200000000000004</v>
      </c>
      <c r="L12775">
        <v>0.36</v>
      </c>
      <c r="M12775">
        <v>0.83499999999999996</v>
      </c>
      <c r="N12775">
        <v>0.82</v>
      </c>
    </row>
    <row r="12776" spans="1:14" x14ac:dyDescent="0.25">
      <c r="A12776" t="s">
        <v>21903</v>
      </c>
      <c r="B12776" t="s">
        <v>2087</v>
      </c>
      <c r="C12776" s="1" t="str">
        <f>HYPERLINK("http://www.genecards.org/cgi-bin/carddisp.pl?gene=TPT1","GeneCards")</f>
        <v>GeneCards</v>
      </c>
      <c r="D12776" s="1" t="str">
        <f>HYPERLINK("http://genome-euro.ucsc.edu/cgi-bin/hgTracks?position=214327_x_at","UCSC")</f>
        <v>UCSC</v>
      </c>
      <c r="E12776" s="1" t="str">
        <f>HYPERLINK("http://www.ncbi.nlm.nih.gov/gene/?term=TPT1","NCBI")</f>
        <v>NCBI</v>
      </c>
      <c r="F12776">
        <v>0.39</v>
      </c>
      <c r="G12776">
        <v>0.52</v>
      </c>
      <c r="H12776" s="1" t="str">
        <f>HYPERLINK("http://www.weizmann.ac.il/complex/compphys/software/geview/data/figures/214327_x_at.png","Figure")</f>
        <v>Figure</v>
      </c>
      <c r="I12776">
        <v>1</v>
      </c>
      <c r="J12776">
        <v>1</v>
      </c>
      <c r="K12776">
        <v>0.86199999999999999</v>
      </c>
      <c r="L12776">
        <v>0.46</v>
      </c>
      <c r="M12776">
        <v>0.86199999999999999</v>
      </c>
      <c r="N12776">
        <v>0.51</v>
      </c>
    </row>
    <row r="12777" spans="1:14" x14ac:dyDescent="0.25">
      <c r="A12777" t="s">
        <v>21904</v>
      </c>
      <c r="B12777" t="s">
        <v>21905</v>
      </c>
      <c r="C12777" s="1" t="str">
        <f>HYPERLINK("http://www.genecards.org/cgi-bin/carddisp.pl?gene=TAAR2","GeneCards")</f>
        <v>GeneCards</v>
      </c>
      <c r="D12777" s="1" t="str">
        <f>HYPERLINK("http://genome-euro.ucsc.edu/cgi-bin/hgTracks?position=221394_at","UCSC")</f>
        <v>UCSC</v>
      </c>
      <c r="E12777" s="1" t="str">
        <f>HYPERLINK("http://www.ncbi.nlm.nih.gov/gene/?term=TAAR2","NCBI")</f>
        <v>NCBI</v>
      </c>
      <c r="F12777">
        <v>0.39</v>
      </c>
      <c r="G12777">
        <v>0.52</v>
      </c>
      <c r="H12777" s="1" t="str">
        <f>HYPERLINK("http://www.weizmann.ac.il/complex/compphys/software/geview/data/figures/221394_at.png","Figure")</f>
        <v>Figure</v>
      </c>
      <c r="I12777">
        <v>1.1299999999999999</v>
      </c>
      <c r="J12777">
        <v>0.37</v>
      </c>
      <c r="K12777">
        <v>1.04</v>
      </c>
      <c r="L12777">
        <v>0.84</v>
      </c>
      <c r="M12777">
        <v>0.92400000000000004</v>
      </c>
      <c r="N12777">
        <v>0.6</v>
      </c>
    </row>
    <row r="12778" spans="1:14" x14ac:dyDescent="0.25">
      <c r="A12778" t="s">
        <v>21906</v>
      </c>
      <c r="B12778" t="s">
        <v>21907</v>
      </c>
      <c r="C12778" s="1" t="str">
        <f>HYPERLINK("http://www.genecards.org/cgi-bin/carddisp.pl?gene=WRNIP1","GeneCards")</f>
        <v>GeneCards</v>
      </c>
      <c r="D12778" s="1" t="str">
        <f>HYPERLINK("http://genome-euro.ucsc.edu/cgi-bin/hgTracks?position=218015_s_at","UCSC")</f>
        <v>UCSC</v>
      </c>
      <c r="E12778" s="1" t="str">
        <f>HYPERLINK("http://www.ncbi.nlm.nih.gov/gene/?term=WRNIP1","NCBI")</f>
        <v>NCBI</v>
      </c>
      <c r="F12778">
        <v>0.39</v>
      </c>
      <c r="G12778">
        <v>0.52</v>
      </c>
      <c r="H12778" s="1" t="str">
        <f>HYPERLINK("http://www.weizmann.ac.il/complex/compphys/software/geview/data/figures/218015_s_at.png","Figure")</f>
        <v>Figure</v>
      </c>
      <c r="I12778">
        <v>1.05</v>
      </c>
      <c r="J12778">
        <v>0.38</v>
      </c>
      <c r="K12778">
        <v>1.01</v>
      </c>
      <c r="L12778">
        <v>0.91</v>
      </c>
      <c r="M12778">
        <v>0.96199999999999997</v>
      </c>
      <c r="N12778">
        <v>0.53</v>
      </c>
    </row>
    <row r="12779" spans="1:14" x14ac:dyDescent="0.25">
      <c r="A12779" t="s">
        <v>21908</v>
      </c>
      <c r="B12779" t="s">
        <v>21909</v>
      </c>
      <c r="C12779" s="1" t="str">
        <f>HYPERLINK("http://www.genecards.org/cgi-bin/carddisp.pl?gene=CARKD","GeneCards")</f>
        <v>GeneCards</v>
      </c>
      <c r="D12779" s="1" t="str">
        <f>HYPERLINK("http://genome-euro.ucsc.edu/cgi-bin/hgTracks?position=217940_s_at","UCSC")</f>
        <v>UCSC</v>
      </c>
      <c r="E12779" s="1" t="str">
        <f>HYPERLINK("http://www.ncbi.nlm.nih.gov/gene/?term=CARKD","NCBI")</f>
        <v>NCBI</v>
      </c>
      <c r="F12779">
        <v>0.39</v>
      </c>
      <c r="G12779">
        <v>0.52</v>
      </c>
      <c r="H12779" s="1" t="str">
        <f>HYPERLINK("http://www.weizmann.ac.il/complex/compphys/software/geview/data/figures/217940_s_at.png","Figure")</f>
        <v>Figure</v>
      </c>
      <c r="I12779">
        <v>1.22</v>
      </c>
      <c r="J12779">
        <v>0.68</v>
      </c>
      <c r="K12779">
        <v>0.89300000000000002</v>
      </c>
      <c r="L12779">
        <v>0.85</v>
      </c>
      <c r="M12779">
        <v>0.73</v>
      </c>
      <c r="N12779">
        <v>0.36</v>
      </c>
    </row>
    <row r="12780" spans="1:14" x14ac:dyDescent="0.25">
      <c r="A12780" t="s">
        <v>21910</v>
      </c>
      <c r="B12780" t="s">
        <v>21911</v>
      </c>
      <c r="C12780" s="1" t="str">
        <f>HYPERLINK("http://www.genecards.org/cgi-bin/carddisp.pl?gene=ABLIM3","GeneCards")</f>
        <v>GeneCards</v>
      </c>
      <c r="D12780" s="1" t="str">
        <f>HYPERLINK("http://genome-euro.ucsc.edu/cgi-bin/hgTracks?position=205730_s_at","UCSC")</f>
        <v>UCSC</v>
      </c>
      <c r="E12780" s="1" t="str">
        <f>HYPERLINK("http://www.ncbi.nlm.nih.gov/gene/?term=ABLIM3","NCBI")</f>
        <v>NCBI</v>
      </c>
      <c r="F12780">
        <v>0.39</v>
      </c>
      <c r="G12780">
        <v>0.52</v>
      </c>
      <c r="H12780" s="1" t="str">
        <f>HYPERLINK("http://www.weizmann.ac.il/complex/compphys/software/geview/data/figures/205730_s_at.png","Figure")</f>
        <v>Figure</v>
      </c>
      <c r="I12780">
        <v>1.08</v>
      </c>
      <c r="J12780">
        <v>0.47</v>
      </c>
      <c r="K12780">
        <v>0.998</v>
      </c>
      <c r="L12780">
        <v>1</v>
      </c>
      <c r="M12780">
        <v>0.92100000000000004</v>
      </c>
      <c r="N12780">
        <v>0.41</v>
      </c>
    </row>
    <row r="12781" spans="1:14" x14ac:dyDescent="0.25">
      <c r="A12781" t="s">
        <v>21912</v>
      </c>
      <c r="B12781" t="s">
        <v>21913</v>
      </c>
      <c r="C12781" s="1" t="str">
        <f>HYPERLINK("http://www.genecards.org/cgi-bin/carddisp.pl?gene=ARHGDIA","GeneCards")</f>
        <v>GeneCards</v>
      </c>
      <c r="D12781" s="1" t="str">
        <f>HYPERLINK("http://genome-euro.ucsc.edu/cgi-bin/hgTracks?position=201167_x_at","UCSC")</f>
        <v>UCSC</v>
      </c>
      <c r="E12781" s="1" t="str">
        <f>HYPERLINK("http://www.ncbi.nlm.nih.gov/gene/?term=ARHGDIA","NCBI")</f>
        <v>NCBI</v>
      </c>
      <c r="F12781">
        <v>0.39</v>
      </c>
      <c r="G12781">
        <v>0.52</v>
      </c>
      <c r="H12781" s="1" t="str">
        <f>HYPERLINK("http://www.weizmann.ac.il/complex/compphys/software/geview/data/figures/201167_x_at.png","Figure")</f>
        <v>Figure</v>
      </c>
      <c r="I12781">
        <v>0.92500000000000004</v>
      </c>
      <c r="J12781">
        <v>0.71</v>
      </c>
      <c r="K12781">
        <v>1.05</v>
      </c>
      <c r="L12781">
        <v>0.82</v>
      </c>
      <c r="M12781">
        <v>1.1399999999999999</v>
      </c>
      <c r="N12781">
        <v>0.36</v>
      </c>
    </row>
    <row r="12782" spans="1:14" x14ac:dyDescent="0.25">
      <c r="A12782" t="s">
        <v>21914</v>
      </c>
      <c r="B12782" t="s">
        <v>17637</v>
      </c>
      <c r="C12782" s="1" t="str">
        <f>HYPERLINK("http://www.genecards.org/cgi-bin/carddisp.pl?gene=NDUFB8","GeneCards")</f>
        <v>GeneCards</v>
      </c>
      <c r="D12782" s="1" t="str">
        <f>HYPERLINK("http://genome-euro.ucsc.edu/cgi-bin/hgTracks?position=201227_s_at","UCSC")</f>
        <v>UCSC</v>
      </c>
      <c r="E12782" s="1" t="str">
        <f>HYPERLINK("http://www.ncbi.nlm.nih.gov/gene/?term=NDUFB8","NCBI")</f>
        <v>NCBI</v>
      </c>
      <c r="F12782">
        <v>0.39</v>
      </c>
      <c r="G12782">
        <v>0.52</v>
      </c>
      <c r="H12782" s="1" t="str">
        <f>HYPERLINK("http://www.weizmann.ac.il/complex/compphys/software/geview/data/figures/201227_s_at.png","Figure")</f>
        <v>Figure</v>
      </c>
      <c r="I12782">
        <v>0.95299999999999996</v>
      </c>
      <c r="J12782">
        <v>0.93</v>
      </c>
      <c r="K12782">
        <v>1.1200000000000001</v>
      </c>
      <c r="L12782">
        <v>0.59</v>
      </c>
      <c r="M12782">
        <v>1.18</v>
      </c>
      <c r="N12782">
        <v>0.41</v>
      </c>
    </row>
    <row r="12783" spans="1:14" x14ac:dyDescent="0.25">
      <c r="A12783" t="s">
        <v>21915</v>
      </c>
      <c r="B12783" t="s">
        <v>21916</v>
      </c>
      <c r="C12783" s="1" t="str">
        <f>HYPERLINK("http://www.genecards.org/cgi-bin/carddisp.pl?gene=ZBTB38","GeneCards")</f>
        <v>GeneCards</v>
      </c>
      <c r="D12783" s="1" t="str">
        <f>HYPERLINK("http://genome-euro.ucsc.edu/cgi-bin/hgTracks?position=219221_at","UCSC")</f>
        <v>UCSC</v>
      </c>
      <c r="E12783" s="1" t="str">
        <f>HYPERLINK("http://www.ncbi.nlm.nih.gov/gene/?term=ZBTB38","NCBI")</f>
        <v>NCBI</v>
      </c>
      <c r="F12783">
        <v>0.39</v>
      </c>
      <c r="G12783">
        <v>0.52</v>
      </c>
      <c r="H12783" s="1" t="str">
        <f>HYPERLINK("http://www.weizmann.ac.il/complex/compphys/software/geview/data/figures/219221_at.png","Figure")</f>
        <v>Figure</v>
      </c>
      <c r="I12783">
        <v>1.01</v>
      </c>
      <c r="J12783">
        <v>0.92</v>
      </c>
      <c r="K12783">
        <v>0.97599999999999998</v>
      </c>
      <c r="L12783">
        <v>0.6</v>
      </c>
      <c r="M12783">
        <v>0.96499999999999997</v>
      </c>
      <c r="N12783">
        <v>0.41</v>
      </c>
    </row>
    <row r="12784" spans="1:14" x14ac:dyDescent="0.25">
      <c r="A12784" t="s">
        <v>21917</v>
      </c>
      <c r="B12784" t="s">
        <v>21918</v>
      </c>
      <c r="C12784" s="1" t="str">
        <f>HYPERLINK("http://www.genecards.org/cgi-bin/carddisp.pl?gene=ZCCHC4","GeneCards")</f>
        <v>GeneCards</v>
      </c>
      <c r="D12784" s="1" t="str">
        <f>HYPERLINK("http://genome-euro.ucsc.edu/cgi-bin/hgTracks?position=219917_at","UCSC")</f>
        <v>UCSC</v>
      </c>
      <c r="E12784" s="1" t="str">
        <f>HYPERLINK("http://www.ncbi.nlm.nih.gov/gene/?term=ZCCHC4","NCBI")</f>
        <v>NCBI</v>
      </c>
      <c r="F12784">
        <v>0.39</v>
      </c>
      <c r="G12784">
        <v>0.52</v>
      </c>
      <c r="H12784" s="1" t="str">
        <f>HYPERLINK("http://www.weizmann.ac.il/complex/compphys/software/geview/data/figures/219917_at.png","Figure")</f>
        <v>Figure</v>
      </c>
      <c r="I12784">
        <v>0.91200000000000003</v>
      </c>
      <c r="J12784">
        <v>0.38</v>
      </c>
      <c r="K12784">
        <v>0.97699999999999998</v>
      </c>
      <c r="L12784">
        <v>0.92</v>
      </c>
      <c r="M12784">
        <v>1.07</v>
      </c>
      <c r="N12784">
        <v>0.53</v>
      </c>
    </row>
    <row r="12785" spans="1:14" x14ac:dyDescent="0.25">
      <c r="A12785" t="s">
        <v>21919</v>
      </c>
      <c r="B12785" t="s">
        <v>21920</v>
      </c>
      <c r="C12785" s="1" t="str">
        <f>HYPERLINK("http://www.genecards.org/cgi-bin/carddisp.pl?gene=PRRG3","GeneCards")</f>
        <v>GeneCards</v>
      </c>
      <c r="D12785" s="1" t="str">
        <f>HYPERLINK("http://genome-euro.ucsc.edu/cgi-bin/hgTracks?position=220433_at","UCSC")</f>
        <v>UCSC</v>
      </c>
      <c r="E12785" s="1" t="str">
        <f>HYPERLINK("http://www.ncbi.nlm.nih.gov/gene/?term=PRRG3","NCBI")</f>
        <v>NCBI</v>
      </c>
      <c r="F12785">
        <v>0.39</v>
      </c>
      <c r="G12785">
        <v>0.52</v>
      </c>
      <c r="H12785" s="1" t="str">
        <f>HYPERLINK("http://www.weizmann.ac.il/complex/compphys/software/geview/data/figures/220433_at.png","Figure")</f>
        <v>Figure</v>
      </c>
      <c r="I12785">
        <v>1.06</v>
      </c>
      <c r="J12785">
        <v>0.79</v>
      </c>
      <c r="K12785">
        <v>0.94699999999999995</v>
      </c>
      <c r="L12785">
        <v>0.74</v>
      </c>
      <c r="M12785">
        <v>0.89700000000000002</v>
      </c>
      <c r="N12785">
        <v>0.37</v>
      </c>
    </row>
    <row r="12786" spans="1:14" x14ac:dyDescent="0.25">
      <c r="A12786" t="s">
        <v>21921</v>
      </c>
      <c r="B12786" t="s">
        <v>21922</v>
      </c>
      <c r="C12786" s="1" t="str">
        <f>HYPERLINK("http://www.genecards.org/cgi-bin/carddisp.pl?gene=CSNK1G1","GeneCards")</f>
        <v>GeneCards</v>
      </c>
      <c r="D12786" s="1" t="str">
        <f>HYPERLINK("http://genome-euro.ucsc.edu/cgi-bin/hgTracks?position=220640_at","UCSC")</f>
        <v>UCSC</v>
      </c>
      <c r="E12786" s="1" t="str">
        <f>HYPERLINK("http://www.ncbi.nlm.nih.gov/gene/?term=CSNK1G1","NCBI")</f>
        <v>NCBI</v>
      </c>
      <c r="F12786">
        <v>0.39</v>
      </c>
      <c r="G12786">
        <v>0.52</v>
      </c>
      <c r="H12786" s="1" t="str">
        <f>HYPERLINK("http://www.weizmann.ac.il/complex/compphys/software/geview/data/figures/220640_at.png","Figure")</f>
        <v>Figure</v>
      </c>
      <c r="I12786">
        <v>1.05</v>
      </c>
      <c r="J12786">
        <v>0.38</v>
      </c>
      <c r="K12786">
        <v>1.03</v>
      </c>
      <c r="L12786">
        <v>0.62</v>
      </c>
      <c r="M12786">
        <v>0.98099999999999998</v>
      </c>
      <c r="N12786">
        <v>0.83</v>
      </c>
    </row>
    <row r="12787" spans="1:14" x14ac:dyDescent="0.25">
      <c r="A12787" t="s">
        <v>21923</v>
      </c>
      <c r="B12787" t="s">
        <v>21924</v>
      </c>
      <c r="C12787" s="1" t="str">
        <f>HYPERLINK("http://www.genecards.org/cgi-bin/carddisp.pl?gene=TPI1","GeneCards")</f>
        <v>GeneCards</v>
      </c>
      <c r="D12787" s="1" t="str">
        <f>HYPERLINK("http://genome-euro.ucsc.edu/cgi-bin/hgTracks?position=200822_x_at","UCSC")</f>
        <v>UCSC</v>
      </c>
      <c r="E12787" s="1" t="str">
        <f>HYPERLINK("http://www.ncbi.nlm.nih.gov/gene/?term=TPI1","NCBI")</f>
        <v>NCBI</v>
      </c>
      <c r="F12787">
        <v>0.39</v>
      </c>
      <c r="G12787">
        <v>0.52</v>
      </c>
      <c r="H12787" s="1" t="str">
        <f>HYPERLINK("http://www.weizmann.ac.il/complex/compphys/software/geview/data/figures/200822_x_at.png","Figure")</f>
        <v>Figure</v>
      </c>
      <c r="I12787">
        <v>0.98599999999999999</v>
      </c>
      <c r="J12787">
        <v>1</v>
      </c>
      <c r="K12787">
        <v>1.34</v>
      </c>
      <c r="L12787">
        <v>0.48</v>
      </c>
      <c r="M12787">
        <v>1.36</v>
      </c>
      <c r="N12787">
        <v>0.49</v>
      </c>
    </row>
    <row r="12788" spans="1:14" x14ac:dyDescent="0.25">
      <c r="A12788" t="s">
        <v>21925</v>
      </c>
      <c r="B12788" t="s">
        <v>18921</v>
      </c>
      <c r="C12788" s="1" t="str">
        <f>HYPERLINK("http://www.genecards.org/cgi-bin/carddisp.pl?gene=RPS2","GeneCards")</f>
        <v>GeneCards</v>
      </c>
      <c r="D12788" s="1" t="str">
        <f>HYPERLINK("http://genome-euro.ucsc.edu/cgi-bin/hgTracks?position=217466_x_at","UCSC")</f>
        <v>UCSC</v>
      </c>
      <c r="E12788" s="1" t="str">
        <f>HYPERLINK("http://www.ncbi.nlm.nih.gov/gene/?term=RPS2","NCBI")</f>
        <v>NCBI</v>
      </c>
      <c r="F12788">
        <v>0.39</v>
      </c>
      <c r="G12788">
        <v>0.52</v>
      </c>
      <c r="H12788" s="1" t="str">
        <f>HYPERLINK("http://www.weizmann.ac.il/complex/compphys/software/geview/data/figures/217466_x_at.png","Figure")</f>
        <v>Figure</v>
      </c>
      <c r="I12788">
        <v>1.1599999999999999</v>
      </c>
      <c r="J12788">
        <v>0.8</v>
      </c>
      <c r="K12788">
        <v>1.32</v>
      </c>
      <c r="L12788">
        <v>0.36</v>
      </c>
      <c r="M12788">
        <v>1.1499999999999999</v>
      </c>
      <c r="N12788">
        <v>0.8</v>
      </c>
    </row>
    <row r="12789" spans="1:14" x14ac:dyDescent="0.25">
      <c r="A12789" t="s">
        <v>21926</v>
      </c>
      <c r="B12789" t="s">
        <v>14399</v>
      </c>
      <c r="C12789" s="1" t="str">
        <f>HYPERLINK("http://www.genecards.org/cgi-bin/carddisp.pl?gene=DUT","GeneCards")</f>
        <v>GeneCards</v>
      </c>
      <c r="D12789" s="1" t="str">
        <f>HYPERLINK("http://genome-euro.ucsc.edu/cgi-bin/hgTracks?position=209932_s_at","UCSC")</f>
        <v>UCSC</v>
      </c>
      <c r="E12789" s="1" t="str">
        <f>HYPERLINK("http://www.ncbi.nlm.nih.gov/gene/?term=DUT","NCBI")</f>
        <v>NCBI</v>
      </c>
      <c r="F12789">
        <v>0.39</v>
      </c>
      <c r="G12789">
        <v>0.52</v>
      </c>
      <c r="H12789" s="1" t="str">
        <f>HYPERLINK("http://www.weizmann.ac.il/complex/compphys/software/geview/data/figures/209932_s_at.png","Figure")</f>
        <v>Figure</v>
      </c>
      <c r="I12789">
        <v>1.03</v>
      </c>
      <c r="J12789">
        <v>0.99</v>
      </c>
      <c r="K12789">
        <v>1.24</v>
      </c>
      <c r="L12789">
        <v>0.43</v>
      </c>
      <c r="M12789">
        <v>1.21</v>
      </c>
      <c r="N12789">
        <v>0.56000000000000005</v>
      </c>
    </row>
    <row r="12790" spans="1:14" x14ac:dyDescent="0.25">
      <c r="A12790" t="s">
        <v>21927</v>
      </c>
      <c r="B12790" t="s">
        <v>18344</v>
      </c>
      <c r="C12790" s="1" t="str">
        <f>HYPERLINK("http://www.genecards.org/cgi-bin/carddisp.pl?gene=IL27RA","GeneCards")</f>
        <v>GeneCards</v>
      </c>
      <c r="D12790" s="1" t="str">
        <f>HYPERLINK("http://genome-euro.ucsc.edu/cgi-bin/hgTracks?position=205926_at","UCSC")</f>
        <v>UCSC</v>
      </c>
      <c r="E12790" s="1" t="str">
        <f>HYPERLINK("http://www.ncbi.nlm.nih.gov/gene/?term=IL27RA","NCBI")</f>
        <v>NCBI</v>
      </c>
      <c r="F12790">
        <v>0.39</v>
      </c>
      <c r="G12790">
        <v>0.52</v>
      </c>
      <c r="H12790" s="1" t="str">
        <f>HYPERLINK("http://www.weizmann.ac.il/complex/compphys/software/geview/data/figures/205926_at.png","Figure")</f>
        <v>Figure</v>
      </c>
      <c r="I12790">
        <v>0.85899999999999999</v>
      </c>
      <c r="J12790">
        <v>0.36</v>
      </c>
      <c r="K12790">
        <v>0.93799999999999994</v>
      </c>
      <c r="L12790">
        <v>0.78</v>
      </c>
      <c r="M12790">
        <v>1.0900000000000001</v>
      </c>
      <c r="N12790">
        <v>0.66</v>
      </c>
    </row>
    <row r="12791" spans="1:14" x14ac:dyDescent="0.25">
      <c r="A12791" t="s">
        <v>21928</v>
      </c>
      <c r="B12791" t="s">
        <v>21929</v>
      </c>
      <c r="C12791" s="1" t="str">
        <f>HYPERLINK("http://www.genecards.org/cgi-bin/carddisp.pl?gene=SUPT16H","GeneCards")</f>
        <v>GeneCards</v>
      </c>
      <c r="D12791" s="1" t="str">
        <f>HYPERLINK("http://genome-euro.ucsc.edu/cgi-bin/hgTracks?position=217815_at","UCSC")</f>
        <v>UCSC</v>
      </c>
      <c r="E12791" s="1" t="str">
        <f>HYPERLINK("http://www.ncbi.nlm.nih.gov/gene/?term=SUPT16H","NCBI")</f>
        <v>NCBI</v>
      </c>
      <c r="F12791">
        <v>0.39</v>
      </c>
      <c r="G12791">
        <v>0.52</v>
      </c>
      <c r="H12791" s="1" t="str">
        <f>HYPERLINK("http://www.weizmann.ac.il/complex/compphys/software/geview/data/figures/217815_at.png","Figure")</f>
        <v>Figure</v>
      </c>
      <c r="I12791">
        <v>0.96499999999999997</v>
      </c>
      <c r="J12791">
        <v>0.96</v>
      </c>
      <c r="K12791">
        <v>1.1200000000000001</v>
      </c>
      <c r="L12791">
        <v>0.56000000000000005</v>
      </c>
      <c r="M12791">
        <v>1.1599999999999999</v>
      </c>
      <c r="N12791">
        <v>0.43</v>
      </c>
    </row>
    <row r="12792" spans="1:14" x14ac:dyDescent="0.25">
      <c r="A12792" t="s">
        <v>21930</v>
      </c>
      <c r="B12792" t="s">
        <v>21931</v>
      </c>
      <c r="C12792" s="1" t="str">
        <f>HYPERLINK("http://www.genecards.org/cgi-bin/carddisp.pl?gene=RPL24","GeneCards")</f>
        <v>GeneCards</v>
      </c>
      <c r="D12792" s="1" t="str">
        <f>HYPERLINK("http://genome-euro.ucsc.edu/cgi-bin/hgTracks?position=200013_at","UCSC")</f>
        <v>UCSC</v>
      </c>
      <c r="E12792" s="1" t="str">
        <f>HYPERLINK("http://www.ncbi.nlm.nih.gov/gene/?term=RPL24","NCBI")</f>
        <v>NCBI</v>
      </c>
      <c r="F12792">
        <v>0.39</v>
      </c>
      <c r="G12792">
        <v>0.52</v>
      </c>
      <c r="H12792" s="1" t="str">
        <f>HYPERLINK("http://www.weizmann.ac.il/complex/compphys/software/geview/data/figures/200013_at.png","Figure")</f>
        <v>Figure</v>
      </c>
      <c r="I12792">
        <v>1.27</v>
      </c>
      <c r="J12792">
        <v>0.52</v>
      </c>
      <c r="K12792">
        <v>1.28</v>
      </c>
      <c r="L12792">
        <v>0.41</v>
      </c>
      <c r="M12792">
        <v>1</v>
      </c>
      <c r="N12792">
        <v>1</v>
      </c>
    </row>
    <row r="12793" spans="1:14" x14ac:dyDescent="0.25">
      <c r="A12793" t="s">
        <v>21932</v>
      </c>
      <c r="B12793" t="s">
        <v>6345</v>
      </c>
      <c r="C12793" s="1" t="str">
        <f>HYPERLINK("http://www.genecards.org/cgi-bin/carddisp.pl?gene=CPD","GeneCards")</f>
        <v>GeneCards</v>
      </c>
      <c r="D12793" s="1" t="str">
        <f>HYPERLINK("http://genome-euro.ucsc.edu/cgi-bin/hgTracks?position=201942_s_at","UCSC")</f>
        <v>UCSC</v>
      </c>
      <c r="E12793" s="1" t="str">
        <f>HYPERLINK("http://www.ncbi.nlm.nih.gov/gene/?term=CPD","NCBI")</f>
        <v>NCBI</v>
      </c>
      <c r="F12793">
        <v>0.39</v>
      </c>
      <c r="G12793">
        <v>0.52</v>
      </c>
      <c r="H12793" s="1" t="str">
        <f>HYPERLINK("http://www.weizmann.ac.il/complex/compphys/software/geview/data/figures/201942_s_at.png","Figure")</f>
        <v>Figure</v>
      </c>
      <c r="I12793">
        <v>0.97599999999999998</v>
      </c>
      <c r="J12793">
        <v>0.39</v>
      </c>
      <c r="K12793">
        <v>0.98399999999999999</v>
      </c>
      <c r="L12793">
        <v>0.57999999999999996</v>
      </c>
      <c r="M12793">
        <v>1.01</v>
      </c>
      <c r="N12793">
        <v>0.87</v>
      </c>
    </row>
    <row r="12794" spans="1:14" x14ac:dyDescent="0.25">
      <c r="A12794" t="s">
        <v>21933</v>
      </c>
      <c r="B12794" t="s">
        <v>21934</v>
      </c>
      <c r="C12794" s="1" t="str">
        <f>HYPERLINK("http://www.genecards.org/cgi-bin/carddisp.pl?gene=LRRC1","GeneCards")</f>
        <v>GeneCards</v>
      </c>
      <c r="D12794" s="1" t="str">
        <f>HYPERLINK("http://genome-euro.ucsc.edu/cgi-bin/hgTracks?position=218816_at","UCSC")</f>
        <v>UCSC</v>
      </c>
      <c r="E12794" s="1" t="str">
        <f>HYPERLINK("http://www.ncbi.nlm.nih.gov/gene/?term=LRRC1","NCBI")</f>
        <v>NCBI</v>
      </c>
      <c r="F12794">
        <v>0.39</v>
      </c>
      <c r="G12794">
        <v>0.52</v>
      </c>
      <c r="H12794" s="1" t="str">
        <f>HYPERLINK("http://www.weizmann.ac.il/complex/compphys/software/geview/data/figures/218816_at.png","Figure")</f>
        <v>Figure</v>
      </c>
      <c r="I12794">
        <v>0.95699999999999996</v>
      </c>
      <c r="J12794">
        <v>0.79</v>
      </c>
      <c r="K12794">
        <v>1.04</v>
      </c>
      <c r="L12794">
        <v>0.74</v>
      </c>
      <c r="M12794">
        <v>1.0900000000000001</v>
      </c>
      <c r="N12794">
        <v>0.37</v>
      </c>
    </row>
    <row r="12795" spans="1:14" x14ac:dyDescent="0.25">
      <c r="A12795" t="s">
        <v>21935</v>
      </c>
      <c r="B12795" t="s">
        <v>21936</v>
      </c>
      <c r="C12795" s="1" t="str">
        <f>HYPERLINK("http://www.genecards.org/cgi-bin/carddisp.pl?gene=ZNF337","GeneCards")</f>
        <v>GeneCards</v>
      </c>
      <c r="D12795" s="1" t="str">
        <f>HYPERLINK("http://genome-euro.ucsc.edu/cgi-bin/hgTracks?position=37860_at","UCSC")</f>
        <v>UCSC</v>
      </c>
      <c r="E12795" s="1" t="str">
        <f>HYPERLINK("http://www.ncbi.nlm.nih.gov/gene/?term=ZNF337","NCBI")</f>
        <v>NCBI</v>
      </c>
      <c r="F12795">
        <v>0.39</v>
      </c>
      <c r="G12795">
        <v>0.52</v>
      </c>
      <c r="H12795" s="1" t="str">
        <f>HYPERLINK("http://www.weizmann.ac.il/complex/compphys/software/geview/data/figures/37860_at.png","Figure")</f>
        <v>Figure</v>
      </c>
      <c r="I12795">
        <v>0.90700000000000003</v>
      </c>
      <c r="J12795">
        <v>0.46</v>
      </c>
      <c r="K12795">
        <v>0.91700000000000004</v>
      </c>
      <c r="L12795">
        <v>0.45</v>
      </c>
      <c r="M12795">
        <v>1.01</v>
      </c>
      <c r="N12795">
        <v>0.99</v>
      </c>
    </row>
    <row r="12796" spans="1:14" x14ac:dyDescent="0.25">
      <c r="A12796" t="s">
        <v>21937</v>
      </c>
      <c r="B12796" t="s">
        <v>21938</v>
      </c>
      <c r="C12796" s="1" t="str">
        <f>HYPERLINK("http://www.genecards.org/cgi-bin/carddisp.pl?gene=NKX2-1","GeneCards")</f>
        <v>GeneCards</v>
      </c>
      <c r="D12796" s="1" t="str">
        <f>HYPERLINK("http://genome-euro.ucsc.edu/cgi-bin/hgTracks?position=210673_x_at","UCSC")</f>
        <v>UCSC</v>
      </c>
      <c r="E12796" s="1" t="str">
        <f>HYPERLINK("http://www.ncbi.nlm.nih.gov/gene/?term=NKX2-1","NCBI")</f>
        <v>NCBI</v>
      </c>
      <c r="F12796">
        <v>0.39</v>
      </c>
      <c r="G12796">
        <v>0.52</v>
      </c>
      <c r="H12796" s="1" t="str">
        <f>HYPERLINK("http://www.weizmann.ac.il/complex/compphys/software/geview/data/figures/210673_x_at.png","Figure")</f>
        <v>Figure</v>
      </c>
      <c r="I12796">
        <v>1.01</v>
      </c>
      <c r="J12796">
        <v>0.75</v>
      </c>
      <c r="K12796">
        <v>0.99099999999999999</v>
      </c>
      <c r="L12796">
        <v>0.79</v>
      </c>
      <c r="M12796">
        <v>0.98</v>
      </c>
      <c r="N12796">
        <v>0.36</v>
      </c>
    </row>
    <row r="12797" spans="1:14" x14ac:dyDescent="0.25">
      <c r="A12797" t="s">
        <v>21939</v>
      </c>
      <c r="B12797" t="s">
        <v>10238</v>
      </c>
      <c r="C12797" s="1" t="str">
        <f>HYPERLINK("http://www.genecards.org/cgi-bin/carddisp.pl?gene=NCOR1","GeneCards")</f>
        <v>GeneCards</v>
      </c>
      <c r="D12797" s="1" t="str">
        <f>HYPERLINK("http://genome-euro.ucsc.edu/cgi-bin/hgTracks?position=200854_at","UCSC")</f>
        <v>UCSC</v>
      </c>
      <c r="E12797" s="1" t="str">
        <f>HYPERLINK("http://www.ncbi.nlm.nih.gov/gene/?term=NCOR1","NCBI")</f>
        <v>NCBI</v>
      </c>
      <c r="F12797">
        <v>0.39</v>
      </c>
      <c r="G12797">
        <v>0.52</v>
      </c>
      <c r="H12797" s="1" t="str">
        <f>HYPERLINK("http://www.weizmann.ac.il/complex/compphys/software/geview/data/figures/200854_at.png","Figure")</f>
        <v>Figure</v>
      </c>
      <c r="I12797">
        <v>1.22</v>
      </c>
      <c r="J12797">
        <v>0.76</v>
      </c>
      <c r="K12797">
        <v>1.42</v>
      </c>
      <c r="L12797">
        <v>0.36</v>
      </c>
      <c r="M12797">
        <v>1.1599999999999999</v>
      </c>
      <c r="N12797">
        <v>0.84</v>
      </c>
    </row>
    <row r="12798" spans="1:14" x14ac:dyDescent="0.25">
      <c r="A12798" t="s">
        <v>21940</v>
      </c>
      <c r="B12798" t="s">
        <v>21941</v>
      </c>
      <c r="C12798" s="1" t="str">
        <f>HYPERLINK("http://www.genecards.org/cgi-bin/carddisp.pl?gene=BATF","GeneCards")</f>
        <v>GeneCards</v>
      </c>
      <c r="D12798" s="1" t="str">
        <f>HYPERLINK("http://genome-euro.ucsc.edu/cgi-bin/hgTracks?position=205965_at","UCSC")</f>
        <v>UCSC</v>
      </c>
      <c r="E12798" s="1" t="str">
        <f>HYPERLINK("http://www.ncbi.nlm.nih.gov/gene/?term=BATF","NCBI")</f>
        <v>NCBI</v>
      </c>
      <c r="F12798">
        <v>0.39</v>
      </c>
      <c r="G12798">
        <v>0.52</v>
      </c>
      <c r="H12798" s="1" t="str">
        <f>HYPERLINK("http://www.weizmann.ac.il/complex/compphys/software/geview/data/figures/205965_at.png","Figure")</f>
        <v>Figure</v>
      </c>
      <c r="I12798">
        <v>1.18</v>
      </c>
      <c r="J12798">
        <v>0.36</v>
      </c>
      <c r="K12798">
        <v>1.08</v>
      </c>
      <c r="L12798">
        <v>0.75</v>
      </c>
      <c r="M12798">
        <v>0.91100000000000003</v>
      </c>
      <c r="N12798">
        <v>0.69</v>
      </c>
    </row>
    <row r="12799" spans="1:14" x14ac:dyDescent="0.25">
      <c r="A12799" t="s">
        <v>21942</v>
      </c>
      <c r="B12799" t="s">
        <v>21943</v>
      </c>
      <c r="C12799" s="1" t="str">
        <f>HYPERLINK("http://www.genecards.org/cgi-bin/carddisp.pl?gene=CCDC88C","GeneCards")</f>
        <v>GeneCards</v>
      </c>
      <c r="D12799" s="1" t="str">
        <f>HYPERLINK("http://genome-euro.ucsc.edu/cgi-bin/hgTracks?position=215343_at","UCSC")</f>
        <v>UCSC</v>
      </c>
      <c r="E12799" s="1" t="str">
        <f>HYPERLINK("http://www.ncbi.nlm.nih.gov/gene/?term=CCDC88C","NCBI")</f>
        <v>NCBI</v>
      </c>
      <c r="F12799">
        <v>0.39</v>
      </c>
      <c r="G12799">
        <v>0.52</v>
      </c>
      <c r="H12799" s="1" t="str">
        <f>HYPERLINK("http://www.weizmann.ac.il/complex/compphys/software/geview/data/figures/215343_at.png","Figure")</f>
        <v>Figure</v>
      </c>
      <c r="I12799">
        <v>0.72399999999999998</v>
      </c>
      <c r="J12799">
        <v>0.36</v>
      </c>
      <c r="K12799">
        <v>0.86</v>
      </c>
      <c r="L12799">
        <v>0.73</v>
      </c>
      <c r="M12799">
        <v>1.19</v>
      </c>
      <c r="N12799">
        <v>0.71</v>
      </c>
    </row>
    <row r="12800" spans="1:14" x14ac:dyDescent="0.25">
      <c r="A12800" t="s">
        <v>21944</v>
      </c>
      <c r="B12800" t="s">
        <v>13197</v>
      </c>
      <c r="C12800" s="1" t="str">
        <f>HYPERLINK("http://www.genecards.org/cgi-bin/carddisp.pl?gene=CCDC101","GeneCards")</f>
        <v>GeneCards</v>
      </c>
      <c r="D12800" s="1" t="str">
        <f>HYPERLINK("http://genome-euro.ucsc.edu/cgi-bin/hgTracks?position=221822_at","UCSC")</f>
        <v>UCSC</v>
      </c>
      <c r="E12800" s="1" t="str">
        <f>HYPERLINK("http://www.ncbi.nlm.nih.gov/gene/?term=CCDC101","NCBI")</f>
        <v>NCBI</v>
      </c>
      <c r="F12800">
        <v>0.39</v>
      </c>
      <c r="G12800">
        <v>0.52</v>
      </c>
      <c r="H12800" s="1" t="str">
        <f>HYPERLINK("http://www.weizmann.ac.il/complex/compphys/software/geview/data/figures/221822_at.png","Figure")</f>
        <v>Figure</v>
      </c>
      <c r="I12800">
        <v>1.05</v>
      </c>
      <c r="J12800">
        <v>0.54</v>
      </c>
      <c r="K12800">
        <v>0.99099999999999999</v>
      </c>
      <c r="L12800">
        <v>0.97</v>
      </c>
      <c r="M12800">
        <v>0.94199999999999995</v>
      </c>
      <c r="N12800">
        <v>0.38</v>
      </c>
    </row>
    <row r="12801" spans="1:14" x14ac:dyDescent="0.25">
      <c r="A12801" t="s">
        <v>21945</v>
      </c>
      <c r="B12801" t="s">
        <v>13301</v>
      </c>
      <c r="C12801" s="1" t="str">
        <f>HYPERLINK("http://www.genecards.org/cgi-bin/carddisp.pl?gene=EIF5B","GeneCards")</f>
        <v>GeneCards</v>
      </c>
      <c r="D12801" s="1" t="str">
        <f>HYPERLINK("http://genome-euro.ucsc.edu/cgi-bin/hgTracks?position=201024_x_at","UCSC")</f>
        <v>UCSC</v>
      </c>
      <c r="E12801" s="1" t="str">
        <f>HYPERLINK("http://www.ncbi.nlm.nih.gov/gene/?term=EIF5B","NCBI")</f>
        <v>NCBI</v>
      </c>
      <c r="F12801">
        <v>0.39</v>
      </c>
      <c r="G12801">
        <v>0.52</v>
      </c>
      <c r="H12801" s="1" t="str">
        <f>HYPERLINK("http://www.weizmann.ac.il/complex/compphys/software/geview/data/figures/201024_x_at.png","Figure")</f>
        <v>Figure</v>
      </c>
      <c r="I12801">
        <v>1.26</v>
      </c>
      <c r="J12801">
        <v>0.4</v>
      </c>
      <c r="K12801">
        <v>1.17</v>
      </c>
      <c r="L12801">
        <v>0.56000000000000005</v>
      </c>
      <c r="M12801">
        <v>0.92900000000000005</v>
      </c>
      <c r="N12801">
        <v>0.89</v>
      </c>
    </row>
    <row r="12802" spans="1:14" x14ac:dyDescent="0.25">
      <c r="A12802" t="s">
        <v>21946</v>
      </c>
      <c r="B12802" t="s">
        <v>21947</v>
      </c>
      <c r="C12802" s="1" t="str">
        <f>HYPERLINK("http://www.genecards.org/cgi-bin/carddisp.pl?gene=EMR1","GeneCards")</f>
        <v>GeneCards</v>
      </c>
      <c r="D12802" s="1" t="str">
        <f>HYPERLINK("http://genome-euro.ucsc.edu/cgi-bin/hgTracks?position=207111_at","UCSC")</f>
        <v>UCSC</v>
      </c>
      <c r="E12802" s="1" t="str">
        <f>HYPERLINK("http://www.ncbi.nlm.nih.gov/gene/?term=EMR1","NCBI")</f>
        <v>NCBI</v>
      </c>
      <c r="F12802">
        <v>0.39</v>
      </c>
      <c r="G12802">
        <v>0.52</v>
      </c>
      <c r="H12802" s="1" t="str">
        <f>HYPERLINK("http://www.weizmann.ac.il/complex/compphys/software/geview/data/figures/207111_at.png","Figure")</f>
        <v>Figure</v>
      </c>
      <c r="I12802">
        <v>1</v>
      </c>
      <c r="J12802">
        <v>1</v>
      </c>
      <c r="K12802">
        <v>0.82399999999999995</v>
      </c>
      <c r="L12802">
        <v>0.47</v>
      </c>
      <c r="M12802">
        <v>0.82199999999999995</v>
      </c>
      <c r="N12802">
        <v>0.5</v>
      </c>
    </row>
    <row r="12803" spans="1:14" x14ac:dyDescent="0.25">
      <c r="A12803" t="s">
        <v>21948</v>
      </c>
      <c r="B12803" t="s">
        <v>5536</v>
      </c>
      <c r="C12803" s="1" t="str">
        <f>HYPERLINK("http://www.genecards.org/cgi-bin/carddisp.pl?gene=MAX","GeneCards")</f>
        <v>GeneCards</v>
      </c>
      <c r="D12803" s="1" t="str">
        <f>HYPERLINK("http://genome-euro.ucsc.edu/cgi-bin/hgTracks?position=208403_x_at","UCSC")</f>
        <v>UCSC</v>
      </c>
      <c r="E12803" s="1" t="str">
        <f>HYPERLINK("http://www.ncbi.nlm.nih.gov/gene/?term=MAX","NCBI")</f>
        <v>NCBI</v>
      </c>
      <c r="F12803">
        <v>0.39</v>
      </c>
      <c r="G12803">
        <v>0.52</v>
      </c>
      <c r="H12803" s="1" t="str">
        <f>HYPERLINK("http://www.weizmann.ac.il/complex/compphys/software/geview/data/figures/208403_x_at.png","Figure")</f>
        <v>Figure</v>
      </c>
      <c r="I12803">
        <v>1.1000000000000001</v>
      </c>
      <c r="J12803">
        <v>0.81</v>
      </c>
      <c r="K12803">
        <v>0.90300000000000002</v>
      </c>
      <c r="L12803">
        <v>0.72</v>
      </c>
      <c r="M12803">
        <v>0.82199999999999995</v>
      </c>
      <c r="N12803">
        <v>0.37</v>
      </c>
    </row>
    <row r="12804" spans="1:14" x14ac:dyDescent="0.25">
      <c r="A12804" t="s">
        <v>21949</v>
      </c>
      <c r="B12804" t="s">
        <v>21950</v>
      </c>
      <c r="C12804" s="1" t="str">
        <f>HYPERLINK("http://www.genecards.org/cgi-bin/carddisp.pl?gene=ALAS2","GeneCards")</f>
        <v>GeneCards</v>
      </c>
      <c r="D12804" s="1" t="str">
        <f>HYPERLINK("http://genome-euro.ucsc.edu/cgi-bin/hgTracks?position=211560_s_at","UCSC")</f>
        <v>UCSC</v>
      </c>
      <c r="E12804" s="1" t="str">
        <f>HYPERLINK("http://www.ncbi.nlm.nih.gov/gene/?term=ALAS2","NCBI")</f>
        <v>NCBI</v>
      </c>
      <c r="F12804">
        <v>0.39</v>
      </c>
      <c r="G12804">
        <v>0.52</v>
      </c>
      <c r="H12804" s="1" t="str">
        <f>HYPERLINK("http://www.weizmann.ac.il/complex/compphys/software/geview/data/figures/211560_s_at.png","Figure")</f>
        <v>Figure</v>
      </c>
      <c r="I12804">
        <v>1.8</v>
      </c>
      <c r="J12804">
        <v>0.43</v>
      </c>
      <c r="K12804">
        <v>1.06</v>
      </c>
      <c r="L12804">
        <v>0.99</v>
      </c>
      <c r="M12804">
        <v>0.58699999999999997</v>
      </c>
      <c r="N12804">
        <v>0.45</v>
      </c>
    </row>
    <row r="12805" spans="1:14" x14ac:dyDescent="0.25">
      <c r="A12805" t="s">
        <v>21951</v>
      </c>
      <c r="B12805" t="s">
        <v>17670</v>
      </c>
      <c r="C12805" s="1" t="str">
        <f>HYPERLINK("http://www.genecards.org/cgi-bin/carddisp.pl?gene=NAB2","GeneCards")</f>
        <v>GeneCards</v>
      </c>
      <c r="D12805" s="1" t="str">
        <f>HYPERLINK("http://genome-euro.ucsc.edu/cgi-bin/hgTracks?position=216017_s_at","UCSC")</f>
        <v>UCSC</v>
      </c>
      <c r="E12805" s="1" t="str">
        <f>HYPERLINK("http://www.ncbi.nlm.nih.gov/gene/?term=NAB2","NCBI")</f>
        <v>NCBI</v>
      </c>
      <c r="F12805">
        <v>0.39</v>
      </c>
      <c r="G12805">
        <v>0.52</v>
      </c>
      <c r="H12805" s="1" t="str">
        <f>HYPERLINK("http://www.weizmann.ac.il/complex/compphys/software/geview/data/figures/216017_s_at.png","Figure")</f>
        <v>Figure</v>
      </c>
      <c r="I12805">
        <v>1.01</v>
      </c>
      <c r="J12805">
        <v>0.48</v>
      </c>
      <c r="K12805">
        <v>1.01</v>
      </c>
      <c r="L12805">
        <v>0.44</v>
      </c>
      <c r="M12805">
        <v>0.999</v>
      </c>
      <c r="N12805">
        <v>0.99</v>
      </c>
    </row>
    <row r="12806" spans="1:14" x14ac:dyDescent="0.25">
      <c r="A12806" t="s">
        <v>21952</v>
      </c>
      <c r="B12806" t="s">
        <v>21953</v>
      </c>
      <c r="C12806" s="1" t="str">
        <f>HYPERLINK("http://www.genecards.org/cgi-bin/carddisp.pl?gene=DET1","GeneCards")</f>
        <v>GeneCards</v>
      </c>
      <c r="D12806" s="1" t="str">
        <f>HYPERLINK("http://genome-euro.ucsc.edu/cgi-bin/hgTracks?position=219641_at","UCSC")</f>
        <v>UCSC</v>
      </c>
      <c r="E12806" s="1" t="str">
        <f>HYPERLINK("http://www.ncbi.nlm.nih.gov/gene/?term=DET1","NCBI")</f>
        <v>NCBI</v>
      </c>
      <c r="F12806">
        <v>0.39</v>
      </c>
      <c r="G12806">
        <v>0.52</v>
      </c>
      <c r="H12806" s="1" t="str">
        <f>HYPERLINK("http://www.weizmann.ac.il/complex/compphys/software/geview/data/figures/219641_at.png","Figure")</f>
        <v>Figure</v>
      </c>
      <c r="I12806">
        <v>1.03</v>
      </c>
      <c r="J12806">
        <v>0.97</v>
      </c>
      <c r="K12806">
        <v>1.1299999999999999</v>
      </c>
      <c r="L12806">
        <v>0.41</v>
      </c>
      <c r="M12806">
        <v>1.1100000000000001</v>
      </c>
      <c r="N12806">
        <v>0.6</v>
      </c>
    </row>
    <row r="12807" spans="1:14" x14ac:dyDescent="0.25">
      <c r="A12807" t="s">
        <v>21954</v>
      </c>
      <c r="B12807" t="s">
        <v>21955</v>
      </c>
      <c r="C12807" s="1" t="str">
        <f>HYPERLINK("http://www.genecards.org/cgi-bin/carddisp.pl?gene=DNAJC11","GeneCards")</f>
        <v>GeneCards</v>
      </c>
      <c r="D12807" s="1" t="str">
        <f>HYPERLINK("http://genome-euro.ucsc.edu/cgi-bin/hgTracks?position=215792_s_at","UCSC")</f>
        <v>UCSC</v>
      </c>
      <c r="E12807" s="1" t="str">
        <f>HYPERLINK("http://www.ncbi.nlm.nih.gov/gene/?term=DNAJC11","NCBI")</f>
        <v>NCBI</v>
      </c>
      <c r="F12807">
        <v>0.39</v>
      </c>
      <c r="G12807">
        <v>0.52</v>
      </c>
      <c r="H12807" s="1" t="str">
        <f>HYPERLINK("http://www.weizmann.ac.il/complex/compphys/software/geview/data/figures/215792_s_at.png","Figure")</f>
        <v>Figure</v>
      </c>
      <c r="I12807">
        <v>1.1299999999999999</v>
      </c>
      <c r="J12807">
        <v>0.4</v>
      </c>
      <c r="K12807">
        <v>1.0900000000000001</v>
      </c>
      <c r="L12807">
        <v>0.55000000000000004</v>
      </c>
      <c r="M12807">
        <v>0.96399999999999997</v>
      </c>
      <c r="N12807">
        <v>0.9</v>
      </c>
    </row>
    <row r="12808" spans="1:14" x14ac:dyDescent="0.25">
      <c r="A12808" t="s">
        <v>21956</v>
      </c>
      <c r="B12808" t="s">
        <v>21957</v>
      </c>
      <c r="C12808" s="1" t="str">
        <f>HYPERLINK("http://www.genecards.org/cgi-bin/carddisp.pl?gene=GAP43","GeneCards")</f>
        <v>GeneCards</v>
      </c>
      <c r="D12808" s="1" t="str">
        <f>HYPERLINK("http://genome-euro.ucsc.edu/cgi-bin/hgTracks?position=216963_s_at","UCSC")</f>
        <v>UCSC</v>
      </c>
      <c r="E12808" s="1" t="str">
        <f>HYPERLINK("http://www.ncbi.nlm.nih.gov/gene/?term=GAP43","NCBI")</f>
        <v>NCBI</v>
      </c>
      <c r="F12808">
        <v>0.39</v>
      </c>
      <c r="G12808">
        <v>0.52</v>
      </c>
      <c r="H12808" s="1" t="str">
        <f>HYPERLINK("http://www.weizmann.ac.il/complex/compphys/software/geview/data/figures/216963_s_at.png","Figure")</f>
        <v>Figure</v>
      </c>
      <c r="I12808">
        <v>1.03</v>
      </c>
      <c r="J12808">
        <v>0.92</v>
      </c>
      <c r="K12808">
        <v>1.08</v>
      </c>
      <c r="L12808">
        <v>0.38</v>
      </c>
      <c r="M12808">
        <v>1.05</v>
      </c>
      <c r="N12808">
        <v>0.68</v>
      </c>
    </row>
    <row r="12809" spans="1:14" x14ac:dyDescent="0.25">
      <c r="A12809" t="s">
        <v>21958</v>
      </c>
      <c r="B12809" t="s">
        <v>2618</v>
      </c>
      <c r="C12809" s="1" t="str">
        <f>HYPERLINK("http://www.genecards.org/cgi-bin/carddisp.pl?gene=STRN3","GeneCards")</f>
        <v>GeneCards</v>
      </c>
      <c r="D12809" s="1" t="str">
        <f>HYPERLINK("http://genome-euro.ucsc.edu/cgi-bin/hgTracks?position=215505_s_at","UCSC")</f>
        <v>UCSC</v>
      </c>
      <c r="E12809" s="1" t="str">
        <f>HYPERLINK("http://www.ncbi.nlm.nih.gov/gene/?term=STRN3","NCBI")</f>
        <v>NCBI</v>
      </c>
      <c r="F12809">
        <v>0.4</v>
      </c>
      <c r="G12809">
        <v>0.52</v>
      </c>
      <c r="H12809" s="1" t="str">
        <f>HYPERLINK("http://www.weizmann.ac.il/complex/compphys/software/geview/data/figures/215505_s_at.png","Figure")</f>
        <v>Figure</v>
      </c>
      <c r="I12809">
        <v>1.0900000000000001</v>
      </c>
      <c r="J12809">
        <v>0.48</v>
      </c>
      <c r="K12809">
        <v>1.08</v>
      </c>
      <c r="L12809">
        <v>0.44</v>
      </c>
      <c r="M12809">
        <v>0.99299999999999999</v>
      </c>
      <c r="N12809">
        <v>0.99</v>
      </c>
    </row>
    <row r="12810" spans="1:14" x14ac:dyDescent="0.25">
      <c r="A12810" t="s">
        <v>21959</v>
      </c>
      <c r="B12810" t="s">
        <v>21960</v>
      </c>
      <c r="C12810" s="1" t="str">
        <f>HYPERLINK("http://www.genecards.org/cgi-bin/carddisp.pl?gene=OGFOD1","GeneCards")</f>
        <v>GeneCards</v>
      </c>
      <c r="D12810" s="1" t="str">
        <f>HYPERLINK("http://genome-euro.ucsc.edu/cgi-bin/hgTracks?position=221090_s_at","UCSC")</f>
        <v>UCSC</v>
      </c>
      <c r="E12810" s="1" t="str">
        <f>HYPERLINK("http://www.ncbi.nlm.nih.gov/gene/?term=OGFOD1","NCBI")</f>
        <v>NCBI</v>
      </c>
      <c r="F12810">
        <v>0.4</v>
      </c>
      <c r="G12810">
        <v>0.52</v>
      </c>
      <c r="H12810" s="1" t="str">
        <f>HYPERLINK("http://www.weizmann.ac.il/complex/compphys/software/geview/data/figures/221090_s_at.png","Figure")</f>
        <v>Figure</v>
      </c>
      <c r="I12810">
        <v>0.84099999999999997</v>
      </c>
      <c r="J12810">
        <v>0.48</v>
      </c>
      <c r="K12810">
        <v>1.01</v>
      </c>
      <c r="L12810">
        <v>1</v>
      </c>
      <c r="M12810">
        <v>1.2</v>
      </c>
      <c r="N12810">
        <v>0.41</v>
      </c>
    </row>
    <row r="12811" spans="1:14" x14ac:dyDescent="0.25">
      <c r="A12811" t="s">
        <v>21961</v>
      </c>
      <c r="B12811" t="s">
        <v>14137</v>
      </c>
      <c r="C12811" s="1" t="str">
        <f>HYPERLINK("http://www.genecards.org/cgi-bin/carddisp.pl?gene=ABHD2","GeneCards")</f>
        <v>GeneCards</v>
      </c>
      <c r="D12811" s="1" t="str">
        <f>HYPERLINK("http://genome-euro.ucsc.edu/cgi-bin/hgTracks?position=221815_at","UCSC")</f>
        <v>UCSC</v>
      </c>
      <c r="E12811" s="1" t="str">
        <f>HYPERLINK("http://www.ncbi.nlm.nih.gov/gene/?term=ABHD2","NCBI")</f>
        <v>NCBI</v>
      </c>
      <c r="F12811">
        <v>0.4</v>
      </c>
      <c r="G12811">
        <v>0.52</v>
      </c>
      <c r="H12811" s="1" t="str">
        <f>HYPERLINK("http://www.weizmann.ac.il/complex/compphys/software/geview/data/figures/221815_at.png","Figure")</f>
        <v>Figure</v>
      </c>
      <c r="I12811">
        <v>1.04</v>
      </c>
      <c r="J12811">
        <v>0.9</v>
      </c>
      <c r="K12811">
        <v>1.1100000000000001</v>
      </c>
      <c r="L12811">
        <v>0.38</v>
      </c>
      <c r="M12811">
        <v>1.07</v>
      </c>
      <c r="N12811">
        <v>0.7</v>
      </c>
    </row>
    <row r="12812" spans="1:14" x14ac:dyDescent="0.25">
      <c r="A12812" t="s">
        <v>21962</v>
      </c>
      <c r="B12812" t="s">
        <v>21963</v>
      </c>
      <c r="C12812" s="1" t="str">
        <f>HYPERLINK("http://www.genecards.org/cgi-bin/carddisp.pl?gene=KCNAB3","GeneCards")</f>
        <v>GeneCards</v>
      </c>
      <c r="D12812" s="1" t="str">
        <f>HYPERLINK("http://genome-euro.ucsc.edu/cgi-bin/hgTracks?position=221413_at","UCSC")</f>
        <v>UCSC</v>
      </c>
      <c r="E12812" s="1" t="str">
        <f>HYPERLINK("http://www.ncbi.nlm.nih.gov/gene/?term=KCNAB3","NCBI")</f>
        <v>NCBI</v>
      </c>
      <c r="F12812">
        <v>0.4</v>
      </c>
      <c r="G12812">
        <v>0.52</v>
      </c>
      <c r="H12812" s="1" t="str">
        <f>HYPERLINK("http://www.weizmann.ac.il/complex/compphys/software/geview/data/figures/221413_at.png","Figure")</f>
        <v>Figure</v>
      </c>
      <c r="I12812">
        <v>1.1000000000000001</v>
      </c>
      <c r="J12812">
        <v>0.42</v>
      </c>
      <c r="K12812">
        <v>1.01</v>
      </c>
      <c r="L12812">
        <v>0.98</v>
      </c>
      <c r="M12812">
        <v>0.91800000000000004</v>
      </c>
      <c r="N12812">
        <v>0.47</v>
      </c>
    </row>
    <row r="12813" spans="1:14" x14ac:dyDescent="0.25">
      <c r="A12813" t="s">
        <v>21964</v>
      </c>
      <c r="B12813" t="s">
        <v>21965</v>
      </c>
      <c r="C12813" s="1" t="str">
        <f>HYPERLINK("http://www.genecards.org/cgi-bin/carddisp.pl?gene=TSNAX","GeneCards")</f>
        <v>GeneCards</v>
      </c>
      <c r="D12813" s="1" t="str">
        <f>HYPERLINK("http://genome-euro.ucsc.edu/cgi-bin/hgTracks?position=203983_at","UCSC")</f>
        <v>UCSC</v>
      </c>
      <c r="E12813" s="1" t="str">
        <f>HYPERLINK("http://www.ncbi.nlm.nih.gov/gene/?term=TSNAX","NCBI")</f>
        <v>NCBI</v>
      </c>
      <c r="F12813">
        <v>0.4</v>
      </c>
      <c r="G12813">
        <v>0.52</v>
      </c>
      <c r="H12813" s="1" t="str">
        <f>HYPERLINK("http://www.weizmann.ac.il/complex/compphys/software/geview/data/figures/203983_at.png","Figure")</f>
        <v>Figure</v>
      </c>
      <c r="I12813">
        <v>0.75800000000000001</v>
      </c>
      <c r="J12813">
        <v>0.74</v>
      </c>
      <c r="K12813">
        <v>1.23</v>
      </c>
      <c r="L12813">
        <v>0.8</v>
      </c>
      <c r="M12813">
        <v>1.62</v>
      </c>
      <c r="N12813">
        <v>0.37</v>
      </c>
    </row>
    <row r="12814" spans="1:14" x14ac:dyDescent="0.25">
      <c r="A12814" t="s">
        <v>21966</v>
      </c>
      <c r="B12814" t="s">
        <v>21924</v>
      </c>
      <c r="C12814" s="1" t="str">
        <f>HYPERLINK("http://www.genecards.org/cgi-bin/carddisp.pl?gene=TPI1","GeneCards")</f>
        <v>GeneCards</v>
      </c>
      <c r="D12814" s="1" t="str">
        <f>HYPERLINK("http://genome-euro.ucsc.edu/cgi-bin/hgTracks?position=213011_s_at","UCSC")</f>
        <v>UCSC</v>
      </c>
      <c r="E12814" s="1" t="str">
        <f>HYPERLINK("http://www.ncbi.nlm.nih.gov/gene/?term=TPI1","NCBI")</f>
        <v>NCBI</v>
      </c>
      <c r="F12814">
        <v>0.4</v>
      </c>
      <c r="G12814">
        <v>0.52</v>
      </c>
      <c r="H12814" s="1" t="str">
        <f>HYPERLINK("http://www.weizmann.ac.il/complex/compphys/software/geview/data/figures/213011_s_at.png","Figure")</f>
        <v>Figure</v>
      </c>
      <c r="I12814">
        <v>0.83899999999999997</v>
      </c>
      <c r="J12814">
        <v>0.87</v>
      </c>
      <c r="K12814">
        <v>1.31</v>
      </c>
      <c r="L12814">
        <v>0.66</v>
      </c>
      <c r="M12814">
        <v>1.56</v>
      </c>
      <c r="N12814">
        <v>0.39</v>
      </c>
    </row>
    <row r="12815" spans="1:14" x14ac:dyDescent="0.25">
      <c r="A12815" t="s">
        <v>21967</v>
      </c>
      <c r="B12815" t="s">
        <v>21968</v>
      </c>
      <c r="C12815" s="1" t="str">
        <f>HYPERLINK("http://www.genecards.org/cgi-bin/carddisp.pl?gene=STK25","GeneCards")</f>
        <v>GeneCards</v>
      </c>
      <c r="D12815" s="1" t="str">
        <f>HYPERLINK("http://genome-euro.ucsc.edu/cgi-bin/hgTracks?position=201314_at","UCSC")</f>
        <v>UCSC</v>
      </c>
      <c r="E12815" s="1" t="str">
        <f>HYPERLINK("http://www.ncbi.nlm.nih.gov/gene/?term=STK25","NCBI")</f>
        <v>NCBI</v>
      </c>
      <c r="F12815">
        <v>0.4</v>
      </c>
      <c r="G12815">
        <v>0.52</v>
      </c>
      <c r="H12815" s="1" t="str">
        <f>HYPERLINK("http://www.weizmann.ac.il/complex/compphys/software/geview/data/figures/201314_at.png","Figure")</f>
        <v>Figure</v>
      </c>
      <c r="I12815">
        <v>0.92200000000000004</v>
      </c>
      <c r="J12815">
        <v>0.89</v>
      </c>
      <c r="K12815">
        <v>1.1499999999999999</v>
      </c>
      <c r="L12815">
        <v>0.64</v>
      </c>
      <c r="M12815">
        <v>1.25</v>
      </c>
      <c r="N12815">
        <v>0.4</v>
      </c>
    </row>
    <row r="12816" spans="1:14" x14ac:dyDescent="0.25">
      <c r="A12816" t="s">
        <v>21969</v>
      </c>
      <c r="B12816" t="s">
        <v>21970</v>
      </c>
      <c r="C12816" s="1" t="str">
        <f>HYPERLINK("http://www.genecards.org/cgi-bin/carddisp.pl?gene=ANKRD17","GeneCards")</f>
        <v>GeneCards</v>
      </c>
      <c r="D12816" s="1" t="str">
        <f>HYPERLINK("http://genome-euro.ucsc.edu/cgi-bin/hgTracks?position=212211_at","UCSC")</f>
        <v>UCSC</v>
      </c>
      <c r="E12816" s="1" t="str">
        <f>HYPERLINK("http://www.ncbi.nlm.nih.gov/gene/?term=ANKRD17","NCBI")</f>
        <v>NCBI</v>
      </c>
      <c r="F12816">
        <v>0.4</v>
      </c>
      <c r="G12816">
        <v>0.52</v>
      </c>
      <c r="H12816" s="1" t="str">
        <f>HYPERLINK("http://www.weizmann.ac.il/complex/compphys/software/geview/data/figures/212211_at.png","Figure")</f>
        <v>Figure</v>
      </c>
      <c r="I12816">
        <v>0.72599999999999998</v>
      </c>
      <c r="J12816">
        <v>0.56000000000000005</v>
      </c>
      <c r="K12816">
        <v>1.08</v>
      </c>
      <c r="L12816">
        <v>0.96</v>
      </c>
      <c r="M12816">
        <v>1.48</v>
      </c>
      <c r="N12816">
        <v>0.38</v>
      </c>
    </row>
    <row r="12817" spans="1:14" x14ac:dyDescent="0.25">
      <c r="A12817" t="s">
        <v>21971</v>
      </c>
      <c r="B12817" t="s">
        <v>21972</v>
      </c>
      <c r="C12817" s="1" t="str">
        <f>HYPERLINK("http://www.genecards.org/cgi-bin/carddisp.pl?gene=EXD3","GeneCards")</f>
        <v>GeneCards</v>
      </c>
      <c r="D12817" s="1" t="str">
        <f>HYPERLINK("http://genome-euro.ucsc.edu/cgi-bin/hgTracks?position=220838_at","UCSC")</f>
        <v>UCSC</v>
      </c>
      <c r="E12817" s="1" t="str">
        <f>HYPERLINK("http://www.ncbi.nlm.nih.gov/gene/?term=EXD3","NCBI")</f>
        <v>NCBI</v>
      </c>
      <c r="F12817">
        <v>0.4</v>
      </c>
      <c r="G12817">
        <v>0.52</v>
      </c>
      <c r="H12817" s="1" t="str">
        <f>HYPERLINK("http://www.weizmann.ac.il/complex/compphys/software/geview/data/figures/220838_at.png","Figure")</f>
        <v>Figure</v>
      </c>
      <c r="I12817">
        <v>1.06</v>
      </c>
      <c r="J12817">
        <v>0.65</v>
      </c>
      <c r="K12817">
        <v>0.97199999999999998</v>
      </c>
      <c r="L12817">
        <v>0.88</v>
      </c>
      <c r="M12817">
        <v>0.91600000000000004</v>
      </c>
      <c r="N12817">
        <v>0.36</v>
      </c>
    </row>
    <row r="12818" spans="1:14" x14ac:dyDescent="0.25">
      <c r="A12818" t="s">
        <v>21973</v>
      </c>
      <c r="B12818" t="s">
        <v>10430</v>
      </c>
      <c r="C12818" s="1" t="str">
        <f>HYPERLINK("http://www.genecards.org/cgi-bin/carddisp.pl?gene=TNFRSF25","GeneCards")</f>
        <v>GeneCards</v>
      </c>
      <c r="D12818" s="1" t="str">
        <f>HYPERLINK("http://genome-euro.ucsc.edu/cgi-bin/hgTracks?position=211841_s_at","UCSC")</f>
        <v>UCSC</v>
      </c>
      <c r="E12818" s="1" t="str">
        <f>HYPERLINK("http://www.ncbi.nlm.nih.gov/gene/?term=TNFRSF25","NCBI")</f>
        <v>NCBI</v>
      </c>
      <c r="F12818">
        <v>0.4</v>
      </c>
      <c r="G12818">
        <v>0.53</v>
      </c>
      <c r="H12818" s="1" t="str">
        <f>HYPERLINK("http://www.weizmann.ac.il/complex/compphys/software/geview/data/figures/211841_s_at.png","Figure")</f>
        <v>Figure</v>
      </c>
      <c r="I12818">
        <v>1.05</v>
      </c>
      <c r="J12818">
        <v>0.87</v>
      </c>
      <c r="K12818">
        <v>0.92400000000000004</v>
      </c>
      <c r="L12818">
        <v>0.66</v>
      </c>
      <c r="M12818">
        <v>0.877</v>
      </c>
      <c r="N12818">
        <v>0.39</v>
      </c>
    </row>
    <row r="12819" spans="1:14" x14ac:dyDescent="0.25">
      <c r="A12819" t="s">
        <v>21974</v>
      </c>
      <c r="B12819" t="s">
        <v>21975</v>
      </c>
      <c r="C12819" s="1" t="str">
        <f>HYPERLINK("http://www.genecards.org/cgi-bin/carddisp.pl?gene=FAM182B","GeneCards")</f>
        <v>GeneCards</v>
      </c>
      <c r="D12819" s="1" t="str">
        <f>HYPERLINK("http://genome-euro.ucsc.edu/cgi-bin/hgTracks?position=215487_x_at","UCSC")</f>
        <v>UCSC</v>
      </c>
      <c r="E12819" s="1" t="str">
        <f>HYPERLINK("http://www.ncbi.nlm.nih.gov/gene/?term=FAM182B","NCBI")</f>
        <v>NCBI</v>
      </c>
      <c r="F12819">
        <v>0.4</v>
      </c>
      <c r="G12819">
        <v>0.53</v>
      </c>
      <c r="H12819" s="1" t="str">
        <f>HYPERLINK("http://www.weizmann.ac.il/complex/compphys/software/geview/data/figures/215487_x_at.png","Figure")</f>
        <v>Figure</v>
      </c>
      <c r="I12819">
        <v>1.07</v>
      </c>
      <c r="J12819">
        <v>0.57999999999999996</v>
      </c>
      <c r="K12819">
        <v>0.98</v>
      </c>
      <c r="L12819">
        <v>0.94</v>
      </c>
      <c r="M12819">
        <v>0.91300000000000003</v>
      </c>
      <c r="N12819">
        <v>0.37</v>
      </c>
    </row>
    <row r="12820" spans="1:14" x14ac:dyDescent="0.25">
      <c r="A12820" t="s">
        <v>21976</v>
      </c>
      <c r="B12820" t="s">
        <v>2266</v>
      </c>
      <c r="C12820" s="1" t="str">
        <f>HYPERLINK("http://www.genecards.org/cgi-bin/carddisp.pl?gene=NCOA3","GeneCards")</f>
        <v>GeneCards</v>
      </c>
      <c r="D12820" s="1" t="str">
        <f>HYPERLINK("http://genome-euro.ucsc.edu/cgi-bin/hgTracks?position=207700_s_at","UCSC")</f>
        <v>UCSC</v>
      </c>
      <c r="E12820" s="1" t="str">
        <f>HYPERLINK("http://www.ncbi.nlm.nih.gov/gene/?term=NCOA3","NCBI")</f>
        <v>NCBI</v>
      </c>
      <c r="F12820">
        <v>0.4</v>
      </c>
      <c r="G12820">
        <v>0.53</v>
      </c>
      <c r="H12820" s="1" t="str">
        <f>HYPERLINK("http://www.weizmann.ac.il/complex/compphys/software/geview/data/figures/207700_s_at.png","Figure")</f>
        <v>Figure</v>
      </c>
      <c r="I12820">
        <v>0.99199999999999999</v>
      </c>
      <c r="J12820">
        <v>1</v>
      </c>
      <c r="K12820">
        <v>0.871</v>
      </c>
      <c r="L12820">
        <v>0.45</v>
      </c>
      <c r="M12820">
        <v>0.878</v>
      </c>
      <c r="N12820">
        <v>0.53</v>
      </c>
    </row>
    <row r="12821" spans="1:14" x14ac:dyDescent="0.25">
      <c r="A12821" t="s">
        <v>21977</v>
      </c>
      <c r="B12821" t="s">
        <v>13010</v>
      </c>
      <c r="C12821" s="1" t="str">
        <f>HYPERLINK("http://www.genecards.org/cgi-bin/carddisp.pl?gene=NCOA1","GeneCards")</f>
        <v>GeneCards</v>
      </c>
      <c r="D12821" s="1" t="str">
        <f>HYPERLINK("http://genome-euro.ucsc.edu/cgi-bin/hgTracks?position=209106_at","UCSC")</f>
        <v>UCSC</v>
      </c>
      <c r="E12821" s="1" t="str">
        <f>HYPERLINK("http://www.ncbi.nlm.nih.gov/gene/?term=NCOA1","NCBI")</f>
        <v>NCBI</v>
      </c>
      <c r="F12821">
        <v>0.4</v>
      </c>
      <c r="G12821">
        <v>0.53</v>
      </c>
      <c r="H12821" s="1" t="str">
        <f>HYPERLINK("http://www.weizmann.ac.il/complex/compphys/software/geview/data/figures/209106_at.png","Figure")</f>
        <v>Figure</v>
      </c>
      <c r="I12821">
        <v>0.78800000000000003</v>
      </c>
      <c r="J12821">
        <v>0.45</v>
      </c>
      <c r="K12821">
        <v>0.81799999999999995</v>
      </c>
      <c r="L12821">
        <v>0.47</v>
      </c>
      <c r="M12821">
        <v>1.04</v>
      </c>
      <c r="N12821">
        <v>0.98</v>
      </c>
    </row>
    <row r="12822" spans="1:14" x14ac:dyDescent="0.25">
      <c r="A12822" t="s">
        <v>21978</v>
      </c>
      <c r="B12822" t="s">
        <v>21979</v>
      </c>
      <c r="C12822" s="1" t="str">
        <f>HYPERLINK("http://www.genecards.org/cgi-bin/carddisp.pl?gene=SRP54","GeneCards")</f>
        <v>GeneCards</v>
      </c>
      <c r="D12822" s="1" t="str">
        <f>HYPERLINK("http://genome-euro.ucsc.edu/cgi-bin/hgTracks?position=203605_at","UCSC")</f>
        <v>UCSC</v>
      </c>
      <c r="E12822" s="1" t="str">
        <f>HYPERLINK("http://www.ncbi.nlm.nih.gov/gene/?term=SRP54","NCBI")</f>
        <v>NCBI</v>
      </c>
      <c r="F12822">
        <v>0.4</v>
      </c>
      <c r="G12822">
        <v>0.53</v>
      </c>
      <c r="H12822" s="1" t="str">
        <f>HYPERLINK("http://www.weizmann.ac.il/complex/compphys/software/geview/data/figures/203605_at.png","Figure")</f>
        <v>Figure</v>
      </c>
      <c r="I12822">
        <v>0.76700000000000002</v>
      </c>
      <c r="J12822">
        <v>0.48</v>
      </c>
      <c r="K12822">
        <v>1.01</v>
      </c>
      <c r="L12822">
        <v>1</v>
      </c>
      <c r="M12822">
        <v>1.31</v>
      </c>
      <c r="N12822">
        <v>0.41</v>
      </c>
    </row>
    <row r="12823" spans="1:14" x14ac:dyDescent="0.25">
      <c r="A12823" t="s">
        <v>21980</v>
      </c>
      <c r="B12823" t="s">
        <v>14858</v>
      </c>
      <c r="C12823" s="1" t="str">
        <f>HYPERLINK("http://www.genecards.org/cgi-bin/carddisp.pl?gene=ROCK1","GeneCards")</f>
        <v>GeneCards</v>
      </c>
      <c r="D12823" s="1" t="str">
        <f>HYPERLINK("http://genome-euro.ucsc.edu/cgi-bin/hgTracks?position=214578_s_at","UCSC")</f>
        <v>UCSC</v>
      </c>
      <c r="E12823" s="1" t="str">
        <f>HYPERLINK("http://www.ncbi.nlm.nih.gov/gene/?term=ROCK1","NCBI")</f>
        <v>NCBI</v>
      </c>
      <c r="F12823">
        <v>0.4</v>
      </c>
      <c r="G12823">
        <v>0.53</v>
      </c>
      <c r="H12823" s="1" t="str">
        <f>HYPERLINK("http://www.weizmann.ac.il/complex/compphys/software/geview/data/figures/214578_s_at.png","Figure")</f>
        <v>Figure</v>
      </c>
      <c r="I12823">
        <v>1.1200000000000001</v>
      </c>
      <c r="J12823">
        <v>0.65</v>
      </c>
      <c r="K12823">
        <v>0.95</v>
      </c>
      <c r="L12823">
        <v>0.89</v>
      </c>
      <c r="M12823">
        <v>0.84899999999999998</v>
      </c>
      <c r="N12823">
        <v>0.37</v>
      </c>
    </row>
    <row r="12824" spans="1:14" x14ac:dyDescent="0.25">
      <c r="A12824" t="s">
        <v>21981</v>
      </c>
      <c r="B12824" t="s">
        <v>10964</v>
      </c>
      <c r="C12824" s="1" t="str">
        <f>HYPERLINK("http://www.genecards.org/cgi-bin/carddisp.pl?gene=CTDSPL","GeneCards")</f>
        <v>GeneCards</v>
      </c>
      <c r="D12824" s="1" t="str">
        <f>HYPERLINK("http://genome-euro.ucsc.edu/cgi-bin/hgTracks?position=201904_s_at","UCSC")</f>
        <v>UCSC</v>
      </c>
      <c r="E12824" s="1" t="str">
        <f>HYPERLINK("http://www.ncbi.nlm.nih.gov/gene/?term=CTDSPL","NCBI")</f>
        <v>NCBI</v>
      </c>
      <c r="F12824">
        <v>0.4</v>
      </c>
      <c r="G12824">
        <v>0.53</v>
      </c>
      <c r="H12824" s="1" t="str">
        <f>HYPERLINK("http://www.weizmann.ac.il/complex/compphys/software/geview/data/figures/201904_s_at.png","Figure")</f>
        <v>Figure</v>
      </c>
      <c r="I12824">
        <v>0.89400000000000002</v>
      </c>
      <c r="J12824">
        <v>0.5</v>
      </c>
      <c r="K12824">
        <v>1.01</v>
      </c>
      <c r="L12824">
        <v>0.99</v>
      </c>
      <c r="M12824">
        <v>1.1299999999999999</v>
      </c>
      <c r="N12824">
        <v>0.4</v>
      </c>
    </row>
    <row r="12825" spans="1:14" x14ac:dyDescent="0.25">
      <c r="A12825" t="s">
        <v>21982</v>
      </c>
      <c r="B12825" t="s">
        <v>21983</v>
      </c>
      <c r="C12825" s="1" t="str">
        <f>HYPERLINK("http://www.genecards.org/cgi-bin/carddisp.pl?gene=ZNF117","GeneCards")</f>
        <v>GeneCards</v>
      </c>
      <c r="D12825" s="1" t="str">
        <f>HYPERLINK("http://genome-euro.ucsc.edu/cgi-bin/hgTracks?position=207605_x_at","UCSC")</f>
        <v>UCSC</v>
      </c>
      <c r="E12825" s="1" t="str">
        <f>HYPERLINK("http://www.ncbi.nlm.nih.gov/gene/?term=ZNF117","NCBI")</f>
        <v>NCBI</v>
      </c>
      <c r="F12825">
        <v>0.4</v>
      </c>
      <c r="G12825">
        <v>0.53</v>
      </c>
      <c r="H12825" s="1" t="str">
        <f>HYPERLINK("http://www.weizmann.ac.il/complex/compphys/software/geview/data/figures/207605_x_at.png","Figure")</f>
        <v>Figure</v>
      </c>
      <c r="I12825">
        <v>0.84599999999999997</v>
      </c>
      <c r="J12825">
        <v>0.72</v>
      </c>
      <c r="K12825">
        <v>0.77100000000000002</v>
      </c>
      <c r="L12825">
        <v>0.37</v>
      </c>
      <c r="M12825">
        <v>0.91100000000000003</v>
      </c>
      <c r="N12825">
        <v>0.89</v>
      </c>
    </row>
    <row r="12826" spans="1:14" x14ac:dyDescent="0.25">
      <c r="A12826" t="s">
        <v>21984</v>
      </c>
      <c r="B12826" t="s">
        <v>21985</v>
      </c>
      <c r="C12826" s="1" t="str">
        <f>HYPERLINK("http://www.genecards.org/cgi-bin/carddisp.pl?gene=ABCC5","GeneCards")</f>
        <v>GeneCards</v>
      </c>
      <c r="D12826" s="1" t="str">
        <f>HYPERLINK("http://genome-euro.ucsc.edu/cgi-bin/hgTracks?position=209380_s_at","UCSC")</f>
        <v>UCSC</v>
      </c>
      <c r="E12826" s="1" t="str">
        <f>HYPERLINK("http://www.ncbi.nlm.nih.gov/gene/?term=ABCC5","NCBI")</f>
        <v>NCBI</v>
      </c>
      <c r="F12826">
        <v>0.4</v>
      </c>
      <c r="G12826">
        <v>0.53</v>
      </c>
      <c r="H12826" s="1" t="str">
        <f>HYPERLINK("http://www.weizmann.ac.il/complex/compphys/software/geview/data/figures/209380_s_at.png","Figure")</f>
        <v>Figure</v>
      </c>
      <c r="I12826">
        <v>0.95</v>
      </c>
      <c r="J12826">
        <v>0.96</v>
      </c>
      <c r="K12826">
        <v>0.79300000000000004</v>
      </c>
      <c r="L12826">
        <v>0.41</v>
      </c>
      <c r="M12826">
        <v>0.83499999999999996</v>
      </c>
      <c r="N12826">
        <v>0.61</v>
      </c>
    </row>
    <row r="12827" spans="1:14" x14ac:dyDescent="0.25">
      <c r="A12827" t="s">
        <v>21986</v>
      </c>
      <c r="B12827" t="s">
        <v>15711</v>
      </c>
      <c r="C12827" s="1" t="str">
        <f>HYPERLINK("http://www.genecards.org/cgi-bin/carddisp.pl?gene=SSBP2","GeneCards")</f>
        <v>GeneCards</v>
      </c>
      <c r="D12827" s="1" t="str">
        <f>HYPERLINK("http://genome-euro.ucsc.edu/cgi-bin/hgTracks?position=203787_at","UCSC")</f>
        <v>UCSC</v>
      </c>
      <c r="E12827" s="1" t="str">
        <f>HYPERLINK("http://www.ncbi.nlm.nih.gov/gene/?term=SSBP2","NCBI")</f>
        <v>NCBI</v>
      </c>
      <c r="F12827">
        <v>0.4</v>
      </c>
      <c r="G12827">
        <v>0.53</v>
      </c>
      <c r="H12827" s="1" t="str">
        <f>HYPERLINK("http://www.weizmann.ac.il/complex/compphys/software/geview/data/figures/203787_at.png","Figure")</f>
        <v>Figure</v>
      </c>
      <c r="I12827">
        <v>1.37</v>
      </c>
      <c r="J12827">
        <v>0.57999999999999996</v>
      </c>
      <c r="K12827">
        <v>1.44</v>
      </c>
      <c r="L12827">
        <v>0.39</v>
      </c>
      <c r="M12827">
        <v>1.05</v>
      </c>
      <c r="N12827">
        <v>0.98</v>
      </c>
    </row>
    <row r="12828" spans="1:14" x14ac:dyDescent="0.25">
      <c r="A12828" t="s">
        <v>21987</v>
      </c>
      <c r="B12828" t="s">
        <v>21988</v>
      </c>
      <c r="C12828" s="1" t="str">
        <f>HYPERLINK("http://www.genecards.org/cgi-bin/carddisp.pl?gene=UROD","GeneCards")</f>
        <v>GeneCards</v>
      </c>
      <c r="D12828" s="1" t="str">
        <f>HYPERLINK("http://genome-euro.ucsc.edu/cgi-bin/hgTracks?position=222074_at","UCSC")</f>
        <v>UCSC</v>
      </c>
      <c r="E12828" s="1" t="str">
        <f>HYPERLINK("http://www.ncbi.nlm.nih.gov/gene/?term=UROD","NCBI")</f>
        <v>NCBI</v>
      </c>
      <c r="F12828">
        <v>0.4</v>
      </c>
      <c r="G12828">
        <v>0.53</v>
      </c>
      <c r="H12828" s="1" t="str">
        <f>HYPERLINK("http://www.weizmann.ac.il/complex/compphys/software/geview/data/figures/222074_at.png","Figure")</f>
        <v>Figure</v>
      </c>
      <c r="I12828">
        <v>1</v>
      </c>
      <c r="J12828">
        <v>1</v>
      </c>
      <c r="K12828">
        <v>0.86599999999999999</v>
      </c>
      <c r="L12828">
        <v>0.47</v>
      </c>
      <c r="M12828">
        <v>0.86599999999999999</v>
      </c>
      <c r="N12828">
        <v>0.51</v>
      </c>
    </row>
    <row r="12829" spans="1:14" x14ac:dyDescent="0.25">
      <c r="A12829" t="s">
        <v>21989</v>
      </c>
      <c r="B12829" t="s">
        <v>4834</v>
      </c>
      <c r="C12829" s="1" t="str">
        <f>HYPERLINK("http://www.genecards.org/cgi-bin/carddisp.pl?gene=DNASE2","GeneCards")</f>
        <v>GeneCards</v>
      </c>
      <c r="D12829" s="1" t="str">
        <f>HYPERLINK("http://genome-euro.ucsc.edu/cgi-bin/hgTracks?position=214992_s_at","UCSC")</f>
        <v>UCSC</v>
      </c>
      <c r="E12829" s="1" t="str">
        <f>HYPERLINK("http://www.ncbi.nlm.nih.gov/gene/?term=DNASE2","NCBI")</f>
        <v>NCBI</v>
      </c>
      <c r="F12829">
        <v>0.4</v>
      </c>
      <c r="G12829">
        <v>0.53</v>
      </c>
      <c r="H12829" s="1" t="str">
        <f>HYPERLINK("http://www.weizmann.ac.il/complex/compphys/software/geview/data/figures/214992_s_at.png","Figure")</f>
        <v>Figure</v>
      </c>
      <c r="I12829">
        <v>1.06</v>
      </c>
      <c r="J12829">
        <v>0.66</v>
      </c>
      <c r="K12829">
        <v>0.96899999999999997</v>
      </c>
      <c r="L12829">
        <v>0.87</v>
      </c>
      <c r="M12829">
        <v>0.91</v>
      </c>
      <c r="N12829">
        <v>0.37</v>
      </c>
    </row>
    <row r="12830" spans="1:14" x14ac:dyDescent="0.25">
      <c r="A12830" t="s">
        <v>21990</v>
      </c>
      <c r="B12830" t="s">
        <v>4088</v>
      </c>
      <c r="C12830" s="1" t="str">
        <f>HYPERLINK("http://www.genecards.org/cgi-bin/carddisp.pl?gene=OCRL","GeneCards")</f>
        <v>GeneCards</v>
      </c>
      <c r="D12830" s="1" t="str">
        <f>HYPERLINK("http://genome-euro.ucsc.edu/cgi-bin/hgTracks?position=208316_s_at","UCSC")</f>
        <v>UCSC</v>
      </c>
      <c r="E12830" s="1" t="str">
        <f>HYPERLINK("http://www.ncbi.nlm.nih.gov/gene/?term=OCRL","NCBI")</f>
        <v>NCBI</v>
      </c>
      <c r="F12830">
        <v>0.4</v>
      </c>
      <c r="G12830">
        <v>0.53</v>
      </c>
      <c r="H12830" s="1" t="str">
        <f>HYPERLINK("http://www.weizmann.ac.il/complex/compphys/software/geview/data/figures/208316_s_at.png","Figure")</f>
        <v>Figure</v>
      </c>
      <c r="I12830">
        <v>0.997</v>
      </c>
      <c r="J12830">
        <v>1</v>
      </c>
      <c r="K12830">
        <v>1.07</v>
      </c>
      <c r="L12830">
        <v>0.48</v>
      </c>
      <c r="M12830">
        <v>1.07</v>
      </c>
      <c r="N12830">
        <v>0.49</v>
      </c>
    </row>
    <row r="12831" spans="1:14" x14ac:dyDescent="0.25">
      <c r="A12831" t="s">
        <v>21991</v>
      </c>
      <c r="B12831" t="s">
        <v>21992</v>
      </c>
      <c r="C12831" s="1" t="str">
        <f>HYPERLINK("http://www.genecards.org/cgi-bin/carddisp.pl?gene=SYNGR2","GeneCards")</f>
        <v>GeneCards</v>
      </c>
      <c r="D12831" s="1" t="str">
        <f>HYPERLINK("http://genome-euro.ucsc.edu/cgi-bin/hgTracks?position=201079_at","UCSC")</f>
        <v>UCSC</v>
      </c>
      <c r="E12831" s="1" t="str">
        <f>HYPERLINK("http://www.ncbi.nlm.nih.gov/gene/?term=SYNGR2","NCBI")</f>
        <v>NCBI</v>
      </c>
      <c r="F12831">
        <v>0.4</v>
      </c>
      <c r="G12831">
        <v>0.53</v>
      </c>
      <c r="H12831" s="1" t="str">
        <f>HYPERLINK("http://www.weizmann.ac.il/complex/compphys/software/geview/data/figures/201079_at.png","Figure")</f>
        <v>Figure</v>
      </c>
      <c r="I12831">
        <v>0.84399999999999997</v>
      </c>
      <c r="J12831">
        <v>0.52</v>
      </c>
      <c r="K12831">
        <v>0.84299999999999997</v>
      </c>
      <c r="L12831">
        <v>0.42</v>
      </c>
      <c r="M12831">
        <v>0.998</v>
      </c>
      <c r="N12831">
        <v>1</v>
      </c>
    </row>
    <row r="12832" spans="1:14" x14ac:dyDescent="0.25">
      <c r="A12832" t="s">
        <v>21993</v>
      </c>
      <c r="B12832" t="s">
        <v>21994</v>
      </c>
      <c r="C12832" s="1" t="str">
        <f>HYPERLINK("http://www.genecards.org/cgi-bin/carddisp.pl?gene=SAP130","GeneCards")</f>
        <v>GeneCards</v>
      </c>
      <c r="D12832" s="1" t="str">
        <f>HYPERLINK("http://genome-euro.ucsc.edu/cgi-bin/hgTracks?position=220367_s_at","UCSC")</f>
        <v>UCSC</v>
      </c>
      <c r="E12832" s="1" t="str">
        <f>HYPERLINK("http://www.ncbi.nlm.nih.gov/gene/?term=SAP130","NCBI")</f>
        <v>NCBI</v>
      </c>
      <c r="F12832">
        <v>0.4</v>
      </c>
      <c r="G12832">
        <v>0.53</v>
      </c>
      <c r="H12832" s="1" t="str">
        <f>HYPERLINK("http://www.weizmann.ac.il/complex/compphys/software/geview/data/figures/220367_s_at.png","Figure")</f>
        <v>Figure</v>
      </c>
      <c r="I12832">
        <v>1.1299999999999999</v>
      </c>
      <c r="J12832">
        <v>0.69</v>
      </c>
      <c r="K12832">
        <v>0.93200000000000005</v>
      </c>
      <c r="L12832">
        <v>0.84</v>
      </c>
      <c r="M12832">
        <v>0.82799999999999996</v>
      </c>
      <c r="N12832">
        <v>0.37</v>
      </c>
    </row>
    <row r="12833" spans="1:14" x14ac:dyDescent="0.25">
      <c r="A12833" t="s">
        <v>21995</v>
      </c>
      <c r="B12833" t="s">
        <v>21996</v>
      </c>
      <c r="C12833" s="1" t="str">
        <f>HYPERLINK("http://www.genecards.org/cgi-bin/carddisp.pl?gene=ACADVL","GeneCards")</f>
        <v>GeneCards</v>
      </c>
      <c r="D12833" s="1" t="str">
        <f>HYPERLINK("http://genome-euro.ucsc.edu/cgi-bin/hgTracks?position=200710_at","UCSC")</f>
        <v>UCSC</v>
      </c>
      <c r="E12833" s="1" t="str">
        <f>HYPERLINK("http://www.ncbi.nlm.nih.gov/gene/?term=ACADVL","NCBI")</f>
        <v>NCBI</v>
      </c>
      <c r="F12833">
        <v>0.4</v>
      </c>
      <c r="G12833">
        <v>0.53</v>
      </c>
      <c r="H12833" s="1" t="str">
        <f>HYPERLINK("http://www.weizmann.ac.il/complex/compphys/software/geview/data/figures/200710_at.png","Figure")</f>
        <v>Figure</v>
      </c>
      <c r="I12833">
        <v>1.05</v>
      </c>
      <c r="J12833">
        <v>0.97</v>
      </c>
      <c r="K12833">
        <v>1.24</v>
      </c>
      <c r="L12833">
        <v>0.41</v>
      </c>
      <c r="M12833">
        <v>1.19</v>
      </c>
      <c r="N12833">
        <v>0.61</v>
      </c>
    </row>
    <row r="12834" spans="1:14" x14ac:dyDescent="0.25">
      <c r="A12834" t="s">
        <v>21997</v>
      </c>
      <c r="B12834" t="s">
        <v>18361</v>
      </c>
      <c r="C12834" s="1" t="str">
        <f>HYPERLINK("http://www.genecards.org/cgi-bin/carddisp.pl?gene=PPARD","GeneCards")</f>
        <v>GeneCards</v>
      </c>
      <c r="D12834" s="1" t="str">
        <f>HYPERLINK("http://genome-euro.ucsc.edu/cgi-bin/hgTracks?position=37152_at","UCSC")</f>
        <v>UCSC</v>
      </c>
      <c r="E12834" s="1" t="str">
        <f>HYPERLINK("http://www.ncbi.nlm.nih.gov/gene/?term=PPARD","NCBI")</f>
        <v>NCBI</v>
      </c>
      <c r="F12834">
        <v>0.4</v>
      </c>
      <c r="G12834">
        <v>0.53</v>
      </c>
      <c r="H12834" s="1" t="str">
        <f>HYPERLINK("http://www.weizmann.ac.il/complex/compphys/software/geview/data/figures/37152_at.png","Figure")</f>
        <v>Figure</v>
      </c>
      <c r="I12834">
        <v>0.86399999999999999</v>
      </c>
      <c r="J12834">
        <v>0.37</v>
      </c>
      <c r="K12834">
        <v>0.92300000000000004</v>
      </c>
      <c r="L12834">
        <v>0.67</v>
      </c>
      <c r="M12834">
        <v>1.07</v>
      </c>
      <c r="N12834">
        <v>0.78</v>
      </c>
    </row>
    <row r="12835" spans="1:14" x14ac:dyDescent="0.25">
      <c r="A12835" t="s">
        <v>21998</v>
      </c>
      <c r="B12835" t="s">
        <v>21999</v>
      </c>
      <c r="C12835" s="1" t="str">
        <f>HYPERLINK("http://www.genecards.org/cgi-bin/carddisp.pl?gene=CA6","GeneCards")</f>
        <v>GeneCards</v>
      </c>
      <c r="D12835" s="1" t="str">
        <f>HYPERLINK("http://genome-euro.ucsc.edu/cgi-bin/hgTracks?position=206873_at","UCSC")</f>
        <v>UCSC</v>
      </c>
      <c r="E12835" s="1" t="str">
        <f>HYPERLINK("http://www.ncbi.nlm.nih.gov/gene/?term=CA6","NCBI")</f>
        <v>NCBI</v>
      </c>
      <c r="F12835">
        <v>0.4</v>
      </c>
      <c r="G12835">
        <v>0.53</v>
      </c>
      <c r="H12835" s="1" t="str">
        <f>HYPERLINK("http://www.weizmann.ac.il/complex/compphys/software/geview/data/figures/206873_at.png","Figure")</f>
        <v>Figure</v>
      </c>
      <c r="I12835">
        <v>1.1100000000000001</v>
      </c>
      <c r="J12835">
        <v>0.61</v>
      </c>
      <c r="K12835">
        <v>0.96599999999999997</v>
      </c>
      <c r="L12835">
        <v>0.92</v>
      </c>
      <c r="M12835">
        <v>0.874</v>
      </c>
      <c r="N12835">
        <v>0.37</v>
      </c>
    </row>
    <row r="12836" spans="1:14" x14ac:dyDescent="0.25">
      <c r="A12836" t="s">
        <v>22000</v>
      </c>
      <c r="B12836" t="s">
        <v>22001</v>
      </c>
      <c r="C12836" s="1" t="str">
        <f>HYPERLINK("http://www.genecards.org/cgi-bin/carddisp.pl?gene=TNFRSF1A","GeneCards")</f>
        <v>GeneCards</v>
      </c>
      <c r="D12836" s="1" t="str">
        <f>HYPERLINK("http://genome-euro.ucsc.edu/cgi-bin/hgTracks?position=207643_s_at","UCSC")</f>
        <v>UCSC</v>
      </c>
      <c r="E12836" s="1" t="str">
        <f>HYPERLINK("http://www.ncbi.nlm.nih.gov/gene/?term=TNFRSF1A","NCBI")</f>
        <v>NCBI</v>
      </c>
      <c r="F12836">
        <v>0.4</v>
      </c>
      <c r="G12836">
        <v>0.53</v>
      </c>
      <c r="H12836" s="1" t="str">
        <f>HYPERLINK("http://www.weizmann.ac.il/complex/compphys/software/geview/data/figures/207643_s_at.png","Figure")</f>
        <v>Figure</v>
      </c>
      <c r="I12836">
        <v>0.79300000000000004</v>
      </c>
      <c r="J12836">
        <v>0.42</v>
      </c>
      <c r="K12836">
        <v>0.83799999999999997</v>
      </c>
      <c r="L12836">
        <v>0.51</v>
      </c>
      <c r="M12836">
        <v>1.06</v>
      </c>
      <c r="N12836">
        <v>0.94</v>
      </c>
    </row>
    <row r="12837" spans="1:14" x14ac:dyDescent="0.25">
      <c r="A12837" t="s">
        <v>22002</v>
      </c>
      <c r="B12837" t="s">
        <v>22003</v>
      </c>
      <c r="C12837" s="1" t="str">
        <f>HYPERLINK("http://www.genecards.org/cgi-bin/carddisp.pl?gene=GOSR1","GeneCards")</f>
        <v>GeneCards</v>
      </c>
      <c r="D12837" s="1" t="str">
        <f>HYPERLINK("http://genome-euro.ucsc.edu/cgi-bin/hgTracks?position=213020_at","UCSC")</f>
        <v>UCSC</v>
      </c>
      <c r="E12837" s="1" t="str">
        <f>HYPERLINK("http://www.ncbi.nlm.nih.gov/gene/?term=GOSR1","NCBI")</f>
        <v>NCBI</v>
      </c>
      <c r="F12837">
        <v>0.4</v>
      </c>
      <c r="G12837">
        <v>0.53</v>
      </c>
      <c r="H12837" s="1" t="str">
        <f>HYPERLINK("http://www.weizmann.ac.il/complex/compphys/software/geview/data/figures/213020_at.png","Figure")</f>
        <v>Figure</v>
      </c>
      <c r="I12837">
        <v>0.82799999999999996</v>
      </c>
      <c r="J12837">
        <v>0.37</v>
      </c>
      <c r="K12837">
        <v>0.90900000000000003</v>
      </c>
      <c r="L12837">
        <v>0.7</v>
      </c>
      <c r="M12837">
        <v>1.1000000000000001</v>
      </c>
      <c r="N12837">
        <v>0.74</v>
      </c>
    </row>
    <row r="12838" spans="1:14" x14ac:dyDescent="0.25">
      <c r="A12838" t="s">
        <v>22004</v>
      </c>
      <c r="B12838" t="s">
        <v>22005</v>
      </c>
      <c r="C12838" s="1" t="str">
        <f>HYPERLINK("http://www.genecards.org/cgi-bin/carddisp.pl?gene=SCN8A","GeneCards")</f>
        <v>GeneCards</v>
      </c>
      <c r="D12838" s="1" t="str">
        <f>HYPERLINK("http://genome-euro.ucsc.edu/cgi-bin/hgTracks?position=207049_at","UCSC")</f>
        <v>UCSC</v>
      </c>
      <c r="E12838" s="1" t="str">
        <f>HYPERLINK("http://www.ncbi.nlm.nih.gov/gene/?term=SCN8A","NCBI")</f>
        <v>NCBI</v>
      </c>
      <c r="F12838">
        <v>0.4</v>
      </c>
      <c r="G12838">
        <v>0.53</v>
      </c>
      <c r="H12838" s="1" t="str">
        <f>HYPERLINK("http://www.weizmann.ac.il/complex/compphys/software/geview/data/figures/207049_at.png","Figure")</f>
        <v>Figure</v>
      </c>
      <c r="I12838">
        <v>1.05</v>
      </c>
      <c r="J12838">
        <v>0.43</v>
      </c>
      <c r="K12838">
        <v>1.04</v>
      </c>
      <c r="L12838">
        <v>0.51</v>
      </c>
      <c r="M12838">
        <v>0.98899999999999999</v>
      </c>
      <c r="N12838">
        <v>0.95</v>
      </c>
    </row>
    <row r="12839" spans="1:14" x14ac:dyDescent="0.25">
      <c r="A12839" t="s">
        <v>22006</v>
      </c>
      <c r="B12839" t="s">
        <v>19213</v>
      </c>
      <c r="C12839" s="1" t="str">
        <f>HYPERLINK("http://www.genecards.org/cgi-bin/carddisp.pl?gene=HSP90B1","GeneCards")</f>
        <v>GeneCards</v>
      </c>
      <c r="D12839" s="1" t="str">
        <f>HYPERLINK("http://genome-euro.ucsc.edu/cgi-bin/hgTracks?position=200598_s_at","UCSC")</f>
        <v>UCSC</v>
      </c>
      <c r="E12839" s="1" t="str">
        <f>HYPERLINK("http://www.ncbi.nlm.nih.gov/gene/?term=HSP90B1","NCBI")</f>
        <v>NCBI</v>
      </c>
      <c r="F12839">
        <v>0.4</v>
      </c>
      <c r="G12839">
        <v>0.53</v>
      </c>
      <c r="H12839" s="1" t="str">
        <f>HYPERLINK("http://www.weizmann.ac.il/complex/compphys/software/geview/data/figures/200598_s_at.png","Figure")</f>
        <v>Figure</v>
      </c>
      <c r="I12839">
        <v>0.82399999999999995</v>
      </c>
      <c r="J12839">
        <v>0.67</v>
      </c>
      <c r="K12839">
        <v>1.1000000000000001</v>
      </c>
      <c r="L12839">
        <v>0.87</v>
      </c>
      <c r="M12839">
        <v>1.34</v>
      </c>
      <c r="N12839">
        <v>0.37</v>
      </c>
    </row>
    <row r="12840" spans="1:14" x14ac:dyDescent="0.25">
      <c r="A12840" t="s">
        <v>22007</v>
      </c>
      <c r="B12840" t="s">
        <v>22008</v>
      </c>
      <c r="C12840" s="1" t="str">
        <f>HYPERLINK("http://www.genecards.org/cgi-bin/carddisp.pl?gene=ADH7","GeneCards")</f>
        <v>GeneCards</v>
      </c>
      <c r="D12840" s="1" t="str">
        <f>HYPERLINK("http://genome-euro.ucsc.edu/cgi-bin/hgTracks?position=210505_at","UCSC")</f>
        <v>UCSC</v>
      </c>
      <c r="E12840" s="1" t="str">
        <f>HYPERLINK("http://www.ncbi.nlm.nih.gov/gene/?term=ADH7","NCBI")</f>
        <v>NCBI</v>
      </c>
      <c r="F12840">
        <v>0.4</v>
      </c>
      <c r="G12840">
        <v>0.53</v>
      </c>
      <c r="H12840" s="1" t="str">
        <f>HYPERLINK("http://www.weizmann.ac.il/complex/compphys/software/geview/data/figures/210505_at.png","Figure")</f>
        <v>Figure</v>
      </c>
      <c r="I12840">
        <v>1.04</v>
      </c>
      <c r="J12840">
        <v>0.61</v>
      </c>
      <c r="K12840">
        <v>0.98599999999999999</v>
      </c>
      <c r="L12840">
        <v>0.92</v>
      </c>
      <c r="M12840">
        <v>0.94899999999999995</v>
      </c>
      <c r="N12840">
        <v>0.37</v>
      </c>
    </row>
    <row r="12841" spans="1:14" x14ac:dyDescent="0.25">
      <c r="A12841" t="s">
        <v>22009</v>
      </c>
      <c r="B12841" t="s">
        <v>22010</v>
      </c>
      <c r="C12841" s="1" t="str">
        <f>HYPERLINK("http://www.genecards.org/cgi-bin/carddisp.pl?gene=ZBED1","GeneCards")</f>
        <v>GeneCards</v>
      </c>
      <c r="D12841" s="1" t="str">
        <f>HYPERLINK("http://genome-euro.ucsc.edu/cgi-bin/hgTracks?position=203043_at","UCSC")</f>
        <v>UCSC</v>
      </c>
      <c r="E12841" s="1" t="str">
        <f>HYPERLINK("http://www.ncbi.nlm.nih.gov/gene/?term=ZBED1","NCBI")</f>
        <v>NCBI</v>
      </c>
      <c r="F12841">
        <v>0.4</v>
      </c>
      <c r="G12841">
        <v>0.53</v>
      </c>
      <c r="H12841" s="1" t="str">
        <f>HYPERLINK("http://www.weizmann.ac.il/complex/compphys/software/geview/data/figures/203043_at.png","Figure")</f>
        <v>Figure</v>
      </c>
      <c r="I12841">
        <v>0.85899999999999999</v>
      </c>
      <c r="J12841">
        <v>0.55000000000000004</v>
      </c>
      <c r="K12841">
        <v>1.03</v>
      </c>
      <c r="L12841">
        <v>0.97</v>
      </c>
      <c r="M12841">
        <v>1.2</v>
      </c>
      <c r="N12841">
        <v>0.38</v>
      </c>
    </row>
    <row r="12842" spans="1:14" x14ac:dyDescent="0.25">
      <c r="A12842" t="s">
        <v>22011</v>
      </c>
      <c r="B12842" t="s">
        <v>9667</v>
      </c>
      <c r="C12842" s="1" t="str">
        <f>HYPERLINK("http://www.genecards.org/cgi-bin/carddisp.pl?gene=LPPR2","GeneCards")</f>
        <v>GeneCards</v>
      </c>
      <c r="D12842" s="1" t="str">
        <f>HYPERLINK("http://genome-euro.ucsc.edu/cgi-bin/hgTracks?position=218509_at","UCSC")</f>
        <v>UCSC</v>
      </c>
      <c r="E12842" s="1" t="str">
        <f>HYPERLINK("http://www.ncbi.nlm.nih.gov/gene/?term=LPPR2","NCBI")</f>
        <v>NCBI</v>
      </c>
      <c r="F12842">
        <v>0.4</v>
      </c>
      <c r="G12842">
        <v>0.53</v>
      </c>
      <c r="H12842" s="1" t="str">
        <f>HYPERLINK("http://www.weizmann.ac.il/complex/compphys/software/geview/data/figures/218509_at.png","Figure")</f>
        <v>Figure</v>
      </c>
      <c r="I12842">
        <v>1.1499999999999999</v>
      </c>
      <c r="J12842">
        <v>0.41</v>
      </c>
      <c r="K12842">
        <v>1.02</v>
      </c>
      <c r="L12842">
        <v>0.96</v>
      </c>
      <c r="M12842">
        <v>0.89300000000000002</v>
      </c>
      <c r="N12842">
        <v>0.49</v>
      </c>
    </row>
    <row r="12843" spans="1:14" x14ac:dyDescent="0.25">
      <c r="A12843" t="s">
        <v>22012</v>
      </c>
      <c r="B12843" t="s">
        <v>17460</v>
      </c>
      <c r="C12843" s="1" t="str">
        <f>HYPERLINK("http://www.genecards.org/cgi-bin/carddisp.pl?gene=LTBP4","GeneCards")</f>
        <v>GeneCards</v>
      </c>
      <c r="D12843" s="1" t="str">
        <f>HYPERLINK("http://genome-euro.ucsc.edu/cgi-bin/hgTracks?position=204442_x_at","UCSC")</f>
        <v>UCSC</v>
      </c>
      <c r="E12843" s="1" t="str">
        <f>HYPERLINK("http://www.ncbi.nlm.nih.gov/gene/?term=LTBP4","NCBI")</f>
        <v>NCBI</v>
      </c>
      <c r="F12843">
        <v>0.4</v>
      </c>
      <c r="G12843">
        <v>0.53</v>
      </c>
      <c r="H12843" s="1" t="str">
        <f>HYPERLINK("http://www.weizmann.ac.il/complex/compphys/software/geview/data/figures/204442_x_at.png","Figure")</f>
        <v>Figure</v>
      </c>
      <c r="I12843">
        <v>1.1399999999999999</v>
      </c>
      <c r="J12843">
        <v>0.45</v>
      </c>
      <c r="K12843">
        <v>1.01</v>
      </c>
      <c r="L12843">
        <v>1</v>
      </c>
      <c r="M12843">
        <v>0.88</v>
      </c>
      <c r="N12843">
        <v>0.43</v>
      </c>
    </row>
    <row r="12844" spans="1:14" x14ac:dyDescent="0.25">
      <c r="A12844" t="s">
        <v>22013</v>
      </c>
      <c r="B12844" t="s">
        <v>22014</v>
      </c>
      <c r="C12844" s="1" t="str">
        <f>HYPERLINK("http://www.genecards.org/cgi-bin/carddisp.pl?gene=TACO1","GeneCards")</f>
        <v>GeneCards</v>
      </c>
      <c r="D12844" s="1" t="str">
        <f>HYPERLINK("http://genome-euro.ucsc.edu/cgi-bin/hgTracks?position=221069_s_at","UCSC")</f>
        <v>UCSC</v>
      </c>
      <c r="E12844" s="1" t="str">
        <f>HYPERLINK("http://www.ncbi.nlm.nih.gov/gene/?term=TACO1","NCBI")</f>
        <v>NCBI</v>
      </c>
      <c r="F12844">
        <v>0.4</v>
      </c>
      <c r="G12844">
        <v>0.53</v>
      </c>
      <c r="H12844" s="1" t="str">
        <f>HYPERLINK("http://www.weizmann.ac.il/complex/compphys/software/geview/data/figures/221069_s_at.png","Figure")</f>
        <v>Figure</v>
      </c>
      <c r="I12844">
        <v>0.95499999999999996</v>
      </c>
      <c r="J12844">
        <v>0.88</v>
      </c>
      <c r="K12844">
        <v>0.89200000000000002</v>
      </c>
      <c r="L12844">
        <v>0.38</v>
      </c>
      <c r="M12844">
        <v>0.93400000000000005</v>
      </c>
      <c r="N12844">
        <v>0.73</v>
      </c>
    </row>
    <row r="12845" spans="1:14" x14ac:dyDescent="0.25">
      <c r="A12845" t="s">
        <v>22015</v>
      </c>
      <c r="B12845" t="s">
        <v>22016</v>
      </c>
      <c r="C12845" s="1" t="str">
        <f>HYPERLINK("http://www.genecards.org/cgi-bin/carddisp.pl?gene=REXO2","GeneCards")</f>
        <v>GeneCards</v>
      </c>
      <c r="D12845" s="1" t="str">
        <f>HYPERLINK("http://genome-euro.ucsc.edu/cgi-bin/hgTracks?position=218194_at","UCSC")</f>
        <v>UCSC</v>
      </c>
      <c r="E12845" s="1" t="str">
        <f>HYPERLINK("http://www.ncbi.nlm.nih.gov/gene/?term=REXO2","NCBI")</f>
        <v>NCBI</v>
      </c>
      <c r="F12845">
        <v>0.4</v>
      </c>
      <c r="G12845">
        <v>0.53</v>
      </c>
      <c r="H12845" s="1" t="str">
        <f>HYPERLINK("http://www.weizmann.ac.il/complex/compphys/software/geview/data/figures/218194_at.png","Figure")</f>
        <v>Figure</v>
      </c>
      <c r="I12845">
        <v>1.01</v>
      </c>
      <c r="J12845">
        <v>1</v>
      </c>
      <c r="K12845">
        <v>0.79</v>
      </c>
      <c r="L12845">
        <v>0.48</v>
      </c>
      <c r="M12845">
        <v>0.78200000000000003</v>
      </c>
      <c r="N12845">
        <v>0.5</v>
      </c>
    </row>
    <row r="12846" spans="1:14" x14ac:dyDescent="0.25">
      <c r="A12846" t="s">
        <v>22017</v>
      </c>
      <c r="B12846" t="s">
        <v>22018</v>
      </c>
      <c r="C12846" s="1" t="str">
        <f>HYPERLINK("http://www.genecards.org/cgi-bin/carddisp.pl?gene=CDC23","GeneCards")</f>
        <v>GeneCards</v>
      </c>
      <c r="D12846" s="1" t="str">
        <f>HYPERLINK("http://genome-euro.ucsc.edu/cgi-bin/hgTracks?position=202892_at","UCSC")</f>
        <v>UCSC</v>
      </c>
      <c r="E12846" s="1" t="str">
        <f>HYPERLINK("http://www.ncbi.nlm.nih.gov/gene/?term=CDC23","NCBI")</f>
        <v>NCBI</v>
      </c>
      <c r="F12846">
        <v>0.4</v>
      </c>
      <c r="G12846">
        <v>0.53</v>
      </c>
      <c r="H12846" s="1" t="str">
        <f>HYPERLINK("http://www.weizmann.ac.il/complex/compphys/software/geview/data/figures/202892_at.png","Figure")</f>
        <v>Figure</v>
      </c>
      <c r="I12846">
        <v>0.59599999999999997</v>
      </c>
      <c r="J12846">
        <v>0.37</v>
      </c>
      <c r="K12846">
        <v>0.77400000000000002</v>
      </c>
      <c r="L12846">
        <v>0.71</v>
      </c>
      <c r="M12846">
        <v>1.3</v>
      </c>
      <c r="N12846">
        <v>0.74</v>
      </c>
    </row>
    <row r="12847" spans="1:14" x14ac:dyDescent="0.25">
      <c r="A12847" t="s">
        <v>22019</v>
      </c>
      <c r="B12847" t="s">
        <v>12373</v>
      </c>
      <c r="C12847" s="1" t="str">
        <f>HYPERLINK("http://www.genecards.org/cgi-bin/carddisp.pl?gene=EXOC7","GeneCards")</f>
        <v>GeneCards</v>
      </c>
      <c r="D12847" s="1" t="str">
        <f>HYPERLINK("http://genome-euro.ucsc.edu/cgi-bin/hgTracks?position=214802_at","UCSC")</f>
        <v>UCSC</v>
      </c>
      <c r="E12847" s="1" t="str">
        <f>HYPERLINK("http://www.ncbi.nlm.nih.gov/gene/?term=EXOC7","NCBI")</f>
        <v>NCBI</v>
      </c>
      <c r="F12847">
        <v>0.4</v>
      </c>
      <c r="G12847">
        <v>0.53</v>
      </c>
      <c r="H12847" s="1" t="str">
        <f>HYPERLINK("http://www.weizmann.ac.il/complex/compphys/software/geview/data/figures/214802_at.png","Figure")</f>
        <v>Figure</v>
      </c>
      <c r="I12847">
        <v>1.1100000000000001</v>
      </c>
      <c r="J12847">
        <v>0.79</v>
      </c>
      <c r="K12847">
        <v>0.90600000000000003</v>
      </c>
      <c r="L12847">
        <v>0.75</v>
      </c>
      <c r="M12847">
        <v>0.81699999999999995</v>
      </c>
      <c r="N12847">
        <v>0.37</v>
      </c>
    </row>
    <row r="12848" spans="1:14" x14ac:dyDescent="0.25">
      <c r="A12848" t="s">
        <v>22020</v>
      </c>
      <c r="B12848" t="s">
        <v>22021</v>
      </c>
      <c r="C12848" s="1" t="str">
        <f>HYPERLINK("http://www.genecards.org/cgi-bin/carddisp.pl?gene=BUB1B","GeneCards")</f>
        <v>GeneCards</v>
      </c>
      <c r="D12848" s="1" t="str">
        <f>HYPERLINK("http://genome-euro.ucsc.edu/cgi-bin/hgTracks?position=203755_at","UCSC")</f>
        <v>UCSC</v>
      </c>
      <c r="E12848" s="1" t="str">
        <f>HYPERLINK("http://www.ncbi.nlm.nih.gov/gene/?term=BUB1B","NCBI")</f>
        <v>NCBI</v>
      </c>
      <c r="F12848">
        <v>0.4</v>
      </c>
      <c r="G12848">
        <v>0.53</v>
      </c>
      <c r="H12848" s="1" t="str">
        <f>HYPERLINK("http://www.weizmann.ac.il/complex/compphys/software/geview/data/figures/203755_at.png","Figure")</f>
        <v>Figure</v>
      </c>
      <c r="I12848">
        <v>1.54</v>
      </c>
      <c r="J12848">
        <v>0.37</v>
      </c>
      <c r="K12848">
        <v>1.23</v>
      </c>
      <c r="L12848">
        <v>0.73</v>
      </c>
      <c r="M12848">
        <v>0.79700000000000004</v>
      </c>
      <c r="N12848">
        <v>0.71</v>
      </c>
    </row>
    <row r="12849" spans="1:14" x14ac:dyDescent="0.25">
      <c r="A12849" t="s">
        <v>22022</v>
      </c>
      <c r="B12849" t="s">
        <v>12782</v>
      </c>
      <c r="C12849" s="1" t="str">
        <f>HYPERLINK("http://www.genecards.org/cgi-bin/carddisp.pl?gene=ESR1","GeneCards")</f>
        <v>GeneCards</v>
      </c>
      <c r="D12849" s="1" t="str">
        <f>HYPERLINK("http://genome-euro.ucsc.edu/cgi-bin/hgTracks?position=211233_x_at","UCSC")</f>
        <v>UCSC</v>
      </c>
      <c r="E12849" s="1" t="str">
        <f>HYPERLINK("http://www.ncbi.nlm.nih.gov/gene/?term=ESR1","NCBI")</f>
        <v>NCBI</v>
      </c>
      <c r="F12849">
        <v>0.4</v>
      </c>
      <c r="G12849">
        <v>0.53</v>
      </c>
      <c r="H12849" s="1" t="str">
        <f>HYPERLINK("http://www.weizmann.ac.il/complex/compphys/software/geview/data/figures/211233_x_at.png","Figure")</f>
        <v>Figure</v>
      </c>
      <c r="I12849">
        <v>1.01</v>
      </c>
      <c r="J12849">
        <v>0.99</v>
      </c>
      <c r="K12849">
        <v>0.93200000000000005</v>
      </c>
      <c r="L12849">
        <v>0.52</v>
      </c>
      <c r="M12849">
        <v>0.92100000000000004</v>
      </c>
      <c r="N12849">
        <v>0.46</v>
      </c>
    </row>
    <row r="12850" spans="1:14" x14ac:dyDescent="0.25">
      <c r="A12850" t="s">
        <v>22023</v>
      </c>
      <c r="B12850" t="s">
        <v>15958</v>
      </c>
      <c r="C12850" s="1" t="str">
        <f>HYPERLINK("http://www.genecards.org/cgi-bin/carddisp.pl?gene=AURKA","GeneCards")</f>
        <v>GeneCards</v>
      </c>
      <c r="D12850" s="1" t="str">
        <f>HYPERLINK("http://genome-euro.ucsc.edu/cgi-bin/hgTracks?position=204092_s_at","UCSC")</f>
        <v>UCSC</v>
      </c>
      <c r="E12850" s="1" t="str">
        <f>HYPERLINK("http://www.ncbi.nlm.nih.gov/gene/?term=AURKA","NCBI")</f>
        <v>NCBI</v>
      </c>
      <c r="F12850">
        <v>0.4</v>
      </c>
      <c r="G12850">
        <v>0.53</v>
      </c>
      <c r="H12850" s="1" t="str">
        <f>HYPERLINK("http://www.weizmann.ac.il/complex/compphys/software/geview/data/figures/204092_s_at.png","Figure")</f>
        <v>Figure</v>
      </c>
      <c r="I12850">
        <v>1.01</v>
      </c>
      <c r="J12850">
        <v>0.99</v>
      </c>
      <c r="K12850">
        <v>1.1000000000000001</v>
      </c>
      <c r="L12850">
        <v>0.43</v>
      </c>
      <c r="M12850">
        <v>1.0900000000000001</v>
      </c>
      <c r="N12850">
        <v>0.56999999999999995</v>
      </c>
    </row>
    <row r="12851" spans="1:14" x14ac:dyDescent="0.25">
      <c r="A12851" t="s">
        <v>22024</v>
      </c>
      <c r="B12851" t="s">
        <v>18643</v>
      </c>
      <c r="C12851" s="1" t="str">
        <f>HYPERLINK("http://www.genecards.org/cgi-bin/carddisp.pl?gene=SEC24A","GeneCards")</f>
        <v>GeneCards</v>
      </c>
      <c r="D12851" s="1" t="str">
        <f>HYPERLINK("http://genome-euro.ucsc.edu/cgi-bin/hgTracks?position=212902_at","UCSC")</f>
        <v>UCSC</v>
      </c>
      <c r="E12851" s="1" t="str">
        <f>HYPERLINK("http://www.ncbi.nlm.nih.gov/gene/?term=SEC24A","NCBI")</f>
        <v>NCBI</v>
      </c>
      <c r="F12851">
        <v>0.4</v>
      </c>
      <c r="G12851">
        <v>0.53</v>
      </c>
      <c r="H12851" s="1" t="str">
        <f>HYPERLINK("http://www.weizmann.ac.il/complex/compphys/software/geview/data/figures/212902_at.png","Figure")</f>
        <v>Figure</v>
      </c>
      <c r="I12851">
        <v>0.998</v>
      </c>
      <c r="J12851">
        <v>1</v>
      </c>
      <c r="K12851">
        <v>0.88100000000000001</v>
      </c>
      <c r="L12851">
        <v>0.47</v>
      </c>
      <c r="M12851">
        <v>0.88200000000000001</v>
      </c>
      <c r="N12851">
        <v>0.52</v>
      </c>
    </row>
    <row r="12852" spans="1:14" x14ac:dyDescent="0.25">
      <c r="A12852" t="s">
        <v>22025</v>
      </c>
      <c r="B12852" t="s">
        <v>22026</v>
      </c>
      <c r="C12852" s="1" t="str">
        <f>HYPERLINK("http://www.genecards.org/cgi-bin/carddisp.pl?gene=PCDH21","GeneCards")</f>
        <v>GeneCards</v>
      </c>
      <c r="D12852" s="1" t="str">
        <f>HYPERLINK("http://genome-euro.ucsc.edu/cgi-bin/hgTracks?position=213369_at","UCSC")</f>
        <v>UCSC</v>
      </c>
      <c r="E12852" s="1" t="str">
        <f>HYPERLINK("http://www.ncbi.nlm.nih.gov/gene/?term=PCDH21","NCBI")</f>
        <v>NCBI</v>
      </c>
      <c r="F12852">
        <v>0.4</v>
      </c>
      <c r="G12852">
        <v>0.53</v>
      </c>
      <c r="H12852" s="1" t="str">
        <f>HYPERLINK("http://www.weizmann.ac.il/complex/compphys/software/geview/data/figures/213369_at.png","Figure")</f>
        <v>Figure</v>
      </c>
      <c r="I12852">
        <v>1.01</v>
      </c>
      <c r="J12852">
        <v>0.6</v>
      </c>
      <c r="K12852">
        <v>1.01</v>
      </c>
      <c r="L12852">
        <v>0.39</v>
      </c>
      <c r="M12852">
        <v>1</v>
      </c>
      <c r="N12852">
        <v>0.97</v>
      </c>
    </row>
    <row r="12853" spans="1:14" x14ac:dyDescent="0.25">
      <c r="A12853" t="s">
        <v>22027</v>
      </c>
      <c r="B12853" t="s">
        <v>12356</v>
      </c>
      <c r="C12853" s="1" t="str">
        <f>HYPERLINK("http://www.genecards.org/cgi-bin/carddisp.pl?gene=TFPI","GeneCards")</f>
        <v>GeneCards</v>
      </c>
      <c r="D12853" s="1" t="str">
        <f>HYPERLINK("http://genome-euro.ucsc.edu/cgi-bin/hgTracks?position=215447_at","UCSC")</f>
        <v>UCSC</v>
      </c>
      <c r="E12853" s="1" t="str">
        <f>HYPERLINK("http://www.ncbi.nlm.nih.gov/gene/?term=TFPI","NCBI")</f>
        <v>NCBI</v>
      </c>
      <c r="F12853">
        <v>0.4</v>
      </c>
      <c r="G12853">
        <v>0.53</v>
      </c>
      <c r="H12853" s="1" t="str">
        <f>HYPERLINK("http://www.weizmann.ac.il/complex/compphys/software/geview/data/figures/215447_at.png","Figure")</f>
        <v>Figure</v>
      </c>
      <c r="I12853">
        <v>1</v>
      </c>
      <c r="J12853">
        <v>1</v>
      </c>
      <c r="K12853">
        <v>0.71099999999999997</v>
      </c>
      <c r="L12853">
        <v>0.47</v>
      </c>
      <c r="M12853">
        <v>0.71099999999999997</v>
      </c>
      <c r="N12853">
        <v>0.51</v>
      </c>
    </row>
    <row r="12854" spans="1:14" x14ac:dyDescent="0.25">
      <c r="A12854" t="s">
        <v>22028</v>
      </c>
      <c r="B12854" t="s">
        <v>22029</v>
      </c>
      <c r="C12854" s="1" t="str">
        <f>HYPERLINK("http://www.genecards.org/cgi-bin/carddisp.pl?gene=C8orf17","GeneCards")</f>
        <v>GeneCards</v>
      </c>
      <c r="D12854" s="1" t="str">
        <f>HYPERLINK("http://genome-euro.ucsc.edu/cgi-bin/hgTracks?position=208266_at","UCSC")</f>
        <v>UCSC</v>
      </c>
      <c r="E12854" s="1" t="str">
        <f>HYPERLINK("http://www.ncbi.nlm.nih.gov/gene/?term=C8orf17","NCBI")</f>
        <v>NCBI</v>
      </c>
      <c r="F12854">
        <v>0.4</v>
      </c>
      <c r="G12854">
        <v>0.53</v>
      </c>
      <c r="H12854" s="1" t="str">
        <f>HYPERLINK("http://www.weizmann.ac.il/complex/compphys/software/geview/data/figures/208266_at.png","Figure")</f>
        <v>Figure</v>
      </c>
      <c r="I12854">
        <v>1.01</v>
      </c>
      <c r="J12854">
        <v>0.48</v>
      </c>
      <c r="K12854">
        <v>1.01</v>
      </c>
      <c r="L12854">
        <v>0.45</v>
      </c>
      <c r="M12854">
        <v>0.999</v>
      </c>
      <c r="N12854">
        <v>0.99</v>
      </c>
    </row>
    <row r="12855" spans="1:14" x14ac:dyDescent="0.25">
      <c r="A12855" t="s">
        <v>22030</v>
      </c>
      <c r="B12855" t="s">
        <v>745</v>
      </c>
      <c r="C12855" s="1" t="str">
        <f>HYPERLINK("http://www.genecards.org/cgi-bin/carddisp.pl?gene=NTRK3","GeneCards")</f>
        <v>GeneCards</v>
      </c>
      <c r="D12855" s="1" t="str">
        <f>HYPERLINK("http://genome-euro.ucsc.edu/cgi-bin/hgTracks?position=213960_at","UCSC")</f>
        <v>UCSC</v>
      </c>
      <c r="E12855" s="1" t="str">
        <f>HYPERLINK("http://www.ncbi.nlm.nih.gov/gene/?term=NTRK3","NCBI")</f>
        <v>NCBI</v>
      </c>
      <c r="F12855">
        <v>0.4</v>
      </c>
      <c r="G12855">
        <v>0.53</v>
      </c>
      <c r="H12855" s="1" t="str">
        <f>HYPERLINK("http://www.weizmann.ac.il/complex/compphys/software/geview/data/figures/213960_at.png","Figure")</f>
        <v>Figure</v>
      </c>
      <c r="I12855">
        <v>1.01</v>
      </c>
      <c r="J12855">
        <v>0.94</v>
      </c>
      <c r="K12855">
        <v>0.96799999999999997</v>
      </c>
      <c r="L12855">
        <v>0.59</v>
      </c>
      <c r="M12855">
        <v>0.95499999999999996</v>
      </c>
      <c r="N12855">
        <v>0.42</v>
      </c>
    </row>
    <row r="12856" spans="1:14" x14ac:dyDescent="0.25">
      <c r="A12856" t="s">
        <v>22031</v>
      </c>
      <c r="B12856" t="s">
        <v>2488</v>
      </c>
      <c r="C12856" s="1" t="str">
        <f>HYPERLINK("http://www.genecards.org/cgi-bin/carddisp.pl?gene=USP33","GeneCards")</f>
        <v>GeneCards</v>
      </c>
      <c r="D12856" s="1" t="str">
        <f>HYPERLINK("http://genome-euro.ucsc.edu/cgi-bin/hgTracks?position=217441_at","UCSC")</f>
        <v>UCSC</v>
      </c>
      <c r="E12856" s="1" t="str">
        <f>HYPERLINK("http://www.ncbi.nlm.nih.gov/gene/?term=USP33","NCBI")</f>
        <v>NCBI</v>
      </c>
      <c r="F12856">
        <v>0.4</v>
      </c>
      <c r="G12856">
        <v>0.53</v>
      </c>
      <c r="H12856" s="1" t="str">
        <f>HYPERLINK("http://www.weizmann.ac.il/complex/compphys/software/geview/data/figures/217441_at.png","Figure")</f>
        <v>Figure</v>
      </c>
      <c r="I12856">
        <v>1.01</v>
      </c>
      <c r="J12856">
        <v>0.48</v>
      </c>
      <c r="K12856">
        <v>1.01</v>
      </c>
      <c r="L12856">
        <v>0.45</v>
      </c>
      <c r="M12856">
        <v>0.999</v>
      </c>
      <c r="N12856">
        <v>0.99</v>
      </c>
    </row>
    <row r="12857" spans="1:14" x14ac:dyDescent="0.25">
      <c r="A12857" t="s">
        <v>22032</v>
      </c>
      <c r="B12857" t="s">
        <v>20403</v>
      </c>
      <c r="C12857" s="1" t="str">
        <f>HYPERLINK("http://www.genecards.org/cgi-bin/carddisp.pl?gene=ANGEL1","GeneCards")</f>
        <v>GeneCards</v>
      </c>
      <c r="D12857" s="1" t="str">
        <f>HYPERLINK("http://genome-euro.ucsc.edu/cgi-bin/hgTracks?position=213569_at","UCSC")</f>
        <v>UCSC</v>
      </c>
      <c r="E12857" s="1" t="str">
        <f>HYPERLINK("http://www.ncbi.nlm.nih.gov/gene/?term=ANGEL1","NCBI")</f>
        <v>NCBI</v>
      </c>
      <c r="F12857">
        <v>0.4</v>
      </c>
      <c r="G12857">
        <v>0.53</v>
      </c>
      <c r="H12857" s="1" t="str">
        <f>HYPERLINK("http://www.weizmann.ac.il/complex/compphys/software/geview/data/figures/213569_at.png","Figure")</f>
        <v>Figure</v>
      </c>
      <c r="I12857">
        <v>1.06</v>
      </c>
      <c r="J12857">
        <v>0.74</v>
      </c>
      <c r="K12857">
        <v>1.1000000000000001</v>
      </c>
      <c r="L12857">
        <v>0.37</v>
      </c>
      <c r="M12857">
        <v>1.04</v>
      </c>
      <c r="N12857">
        <v>0.87</v>
      </c>
    </row>
    <row r="12858" spans="1:14" x14ac:dyDescent="0.25">
      <c r="A12858" t="s">
        <v>22033</v>
      </c>
      <c r="B12858" t="s">
        <v>19788</v>
      </c>
      <c r="C12858" s="1" t="str">
        <f>HYPERLINK("http://www.genecards.org/cgi-bin/carddisp.pl?gene=CD86","GeneCards")</f>
        <v>GeneCards</v>
      </c>
      <c r="D12858" s="1" t="str">
        <f>HYPERLINK("http://genome-euro.ucsc.edu/cgi-bin/hgTracks?position=205686_s_at","UCSC")</f>
        <v>UCSC</v>
      </c>
      <c r="E12858" s="1" t="str">
        <f>HYPERLINK("http://www.ncbi.nlm.nih.gov/gene/?term=CD86","NCBI")</f>
        <v>NCBI</v>
      </c>
      <c r="F12858">
        <v>0.4</v>
      </c>
      <c r="G12858">
        <v>0.53</v>
      </c>
      <c r="H12858" s="1" t="str">
        <f>HYPERLINK("http://www.weizmann.ac.il/complex/compphys/software/geview/data/figures/205686_s_at.png","Figure")</f>
        <v>Figure</v>
      </c>
      <c r="I12858">
        <v>1.07</v>
      </c>
      <c r="J12858">
        <v>0.61</v>
      </c>
      <c r="K12858">
        <v>1.0900000000000001</v>
      </c>
      <c r="L12858">
        <v>0.39</v>
      </c>
      <c r="M12858">
        <v>1.02</v>
      </c>
      <c r="N12858">
        <v>0.97</v>
      </c>
    </row>
    <row r="12859" spans="1:14" x14ac:dyDescent="0.25">
      <c r="A12859" t="s">
        <v>22034</v>
      </c>
      <c r="B12859" t="s">
        <v>22035</v>
      </c>
      <c r="C12859" s="1" t="str">
        <f>HYPERLINK("http://www.genecards.org/cgi-bin/carddisp.pl?gene=FRS2","GeneCards")</f>
        <v>GeneCards</v>
      </c>
      <c r="D12859" s="1" t="str">
        <f>HYPERLINK("http://genome-euro.ucsc.edu/cgi-bin/hgTracks?position=221308_at","UCSC")</f>
        <v>UCSC</v>
      </c>
      <c r="E12859" s="1" t="str">
        <f>HYPERLINK("http://www.ncbi.nlm.nih.gov/gene/?term=FRS2","NCBI")</f>
        <v>NCBI</v>
      </c>
      <c r="F12859">
        <v>0.4</v>
      </c>
      <c r="G12859">
        <v>0.53</v>
      </c>
      <c r="H12859" s="1" t="str">
        <f>HYPERLINK("http://www.weizmann.ac.il/complex/compphys/software/geview/data/figures/221308_at.png","Figure")</f>
        <v>Figure</v>
      </c>
      <c r="I12859">
        <v>1.1599999999999999</v>
      </c>
      <c r="J12859">
        <v>0.37</v>
      </c>
      <c r="K12859">
        <v>1.05</v>
      </c>
      <c r="L12859">
        <v>0.84</v>
      </c>
      <c r="M12859">
        <v>0.90900000000000003</v>
      </c>
      <c r="N12859">
        <v>0.61</v>
      </c>
    </row>
    <row r="12860" spans="1:14" x14ac:dyDescent="0.25">
      <c r="A12860" t="s">
        <v>22036</v>
      </c>
      <c r="B12860" t="s">
        <v>5633</v>
      </c>
      <c r="C12860" s="1" t="str">
        <f>HYPERLINK("http://www.genecards.org/cgi-bin/carddisp.pl?gene=CDC5L","GeneCards")</f>
        <v>GeneCards</v>
      </c>
      <c r="D12860" s="1" t="str">
        <f>HYPERLINK("http://genome-euro.ucsc.edu/cgi-bin/hgTracks?position=209055_s_at","UCSC")</f>
        <v>UCSC</v>
      </c>
      <c r="E12860" s="1" t="str">
        <f>HYPERLINK("http://www.ncbi.nlm.nih.gov/gene/?term=CDC5L","NCBI")</f>
        <v>NCBI</v>
      </c>
      <c r="F12860">
        <v>0.4</v>
      </c>
      <c r="G12860">
        <v>0.53</v>
      </c>
      <c r="H12860" s="1" t="str">
        <f>HYPERLINK("http://www.weizmann.ac.il/complex/compphys/software/geview/data/figures/209055_s_at.png","Figure")</f>
        <v>Figure</v>
      </c>
      <c r="I12860">
        <v>0.91400000000000003</v>
      </c>
      <c r="J12860">
        <v>0.87</v>
      </c>
      <c r="K12860">
        <v>0.80500000000000005</v>
      </c>
      <c r="L12860">
        <v>0.38</v>
      </c>
      <c r="M12860">
        <v>0.88200000000000001</v>
      </c>
      <c r="N12860">
        <v>0.74</v>
      </c>
    </row>
    <row r="12861" spans="1:14" x14ac:dyDescent="0.25">
      <c r="A12861" t="s">
        <v>22037</v>
      </c>
      <c r="B12861" t="s">
        <v>8845</v>
      </c>
      <c r="C12861" s="1" t="str">
        <f>HYPERLINK("http://www.genecards.org/cgi-bin/carddisp.pl?gene=RNF13","GeneCards")</f>
        <v>GeneCards</v>
      </c>
      <c r="D12861" s="1" t="str">
        <f>HYPERLINK("http://genome-euro.ucsc.edu/cgi-bin/hgTracks?position=201779_s_at","UCSC")</f>
        <v>UCSC</v>
      </c>
      <c r="E12861" s="1" t="str">
        <f>HYPERLINK("http://www.ncbi.nlm.nih.gov/gene/?term=RNF13","NCBI")</f>
        <v>NCBI</v>
      </c>
      <c r="F12861">
        <v>0.4</v>
      </c>
      <c r="G12861">
        <v>0.53</v>
      </c>
      <c r="H12861" s="1" t="str">
        <f>HYPERLINK("http://www.weizmann.ac.il/complex/compphys/software/geview/data/figures/201779_s_at.png","Figure")</f>
        <v>Figure</v>
      </c>
      <c r="I12861">
        <v>0.72299999999999998</v>
      </c>
      <c r="J12861">
        <v>0.47</v>
      </c>
      <c r="K12861">
        <v>0.996</v>
      </c>
      <c r="L12861">
        <v>1</v>
      </c>
      <c r="M12861">
        <v>1.38</v>
      </c>
      <c r="N12861">
        <v>0.43</v>
      </c>
    </row>
    <row r="12862" spans="1:14" x14ac:dyDescent="0.25">
      <c r="A12862" t="s">
        <v>22038</v>
      </c>
      <c r="B12862" t="s">
        <v>22039</v>
      </c>
      <c r="C12862" s="1" t="str">
        <f>HYPERLINK("http://www.genecards.org/cgi-bin/carddisp.pl?gene=CD177","GeneCards")</f>
        <v>GeneCards</v>
      </c>
      <c r="D12862" s="1" t="str">
        <f>HYPERLINK("http://genome-euro.ucsc.edu/cgi-bin/hgTracks?position=219669_at","UCSC")</f>
        <v>UCSC</v>
      </c>
      <c r="E12862" s="1" t="str">
        <f>HYPERLINK("http://www.ncbi.nlm.nih.gov/gene/?term=CD177","NCBI")</f>
        <v>NCBI</v>
      </c>
      <c r="F12862">
        <v>0.4</v>
      </c>
      <c r="G12862">
        <v>0.53</v>
      </c>
      <c r="H12862" s="1" t="str">
        <f>HYPERLINK("http://www.weizmann.ac.il/complex/compphys/software/geview/data/figures/219669_at.png","Figure")</f>
        <v>Figure</v>
      </c>
      <c r="I12862">
        <v>1.1599999999999999</v>
      </c>
      <c r="J12862">
        <v>0.37</v>
      </c>
      <c r="K12862">
        <v>1.05</v>
      </c>
      <c r="L12862">
        <v>0.85</v>
      </c>
      <c r="M12862">
        <v>0.90700000000000003</v>
      </c>
      <c r="N12862">
        <v>0.61</v>
      </c>
    </row>
    <row r="12863" spans="1:14" x14ac:dyDescent="0.25">
      <c r="A12863" t="s">
        <v>22040</v>
      </c>
      <c r="B12863" t="s">
        <v>16687</v>
      </c>
      <c r="C12863" s="1" t="str">
        <f>HYPERLINK("http://www.genecards.org/cgi-bin/carddisp.pl?gene=PRG2","GeneCards")</f>
        <v>GeneCards</v>
      </c>
      <c r="D12863" s="1" t="str">
        <f>HYPERLINK("http://genome-euro.ucsc.edu/cgi-bin/hgTracks?position=220798_x_at","UCSC")</f>
        <v>UCSC</v>
      </c>
      <c r="E12863" s="1" t="str">
        <f>HYPERLINK("http://www.ncbi.nlm.nih.gov/gene/?term=PRG2","NCBI")</f>
        <v>NCBI</v>
      </c>
      <c r="F12863">
        <v>0.4</v>
      </c>
      <c r="G12863">
        <v>0.53</v>
      </c>
      <c r="H12863" s="1" t="str">
        <f>HYPERLINK("http://www.weizmann.ac.il/complex/compphys/software/geview/data/figures/220798_x_at.png","Figure")</f>
        <v>Figure</v>
      </c>
      <c r="I12863">
        <v>1.06</v>
      </c>
      <c r="J12863">
        <v>0.37</v>
      </c>
      <c r="K12863">
        <v>1.03</v>
      </c>
      <c r="L12863">
        <v>0.77</v>
      </c>
      <c r="M12863">
        <v>0.96499999999999997</v>
      </c>
      <c r="N12863">
        <v>0.68</v>
      </c>
    </row>
    <row r="12864" spans="1:14" x14ac:dyDescent="0.25">
      <c r="A12864" t="s">
        <v>22041</v>
      </c>
      <c r="B12864" t="s">
        <v>22042</v>
      </c>
      <c r="C12864" s="1" t="str">
        <f>HYPERLINK("http://www.genecards.org/cgi-bin/carddisp.pl?gene=MAML3","GeneCards")</f>
        <v>GeneCards</v>
      </c>
      <c r="D12864" s="1" t="str">
        <f>HYPERLINK("http://genome-euro.ucsc.edu/cgi-bin/hgTracks?position=207946_at","UCSC")</f>
        <v>UCSC</v>
      </c>
      <c r="E12864" s="1" t="str">
        <f>HYPERLINK("http://www.ncbi.nlm.nih.gov/gene/?term=MAML3","NCBI")</f>
        <v>NCBI</v>
      </c>
      <c r="F12864">
        <v>0.4</v>
      </c>
      <c r="G12864">
        <v>0.53</v>
      </c>
      <c r="H12864" s="1" t="str">
        <f>HYPERLINK("http://www.weizmann.ac.il/complex/compphys/software/geview/data/figures/207946_at.png","Figure")</f>
        <v>Figure</v>
      </c>
      <c r="I12864">
        <v>1.04</v>
      </c>
      <c r="J12864">
        <v>0.44</v>
      </c>
      <c r="K12864">
        <v>1.03</v>
      </c>
      <c r="L12864">
        <v>0.5</v>
      </c>
      <c r="M12864">
        <v>0.99299999999999999</v>
      </c>
      <c r="N12864">
        <v>0.96</v>
      </c>
    </row>
    <row r="12865" spans="1:14" x14ac:dyDescent="0.25">
      <c r="A12865" t="s">
        <v>22043</v>
      </c>
      <c r="B12865" t="s">
        <v>17543</v>
      </c>
      <c r="C12865" s="1" t="str">
        <f>HYPERLINK("http://www.genecards.org/cgi-bin/carddisp.pl?gene=RUNX3","GeneCards")</f>
        <v>GeneCards</v>
      </c>
      <c r="D12865" s="1" t="str">
        <f>HYPERLINK("http://genome-euro.ucsc.edu/cgi-bin/hgTracks?position=204198_s_at","UCSC")</f>
        <v>UCSC</v>
      </c>
      <c r="E12865" s="1" t="str">
        <f>HYPERLINK("http://www.ncbi.nlm.nih.gov/gene/?term=RUNX3","NCBI")</f>
        <v>NCBI</v>
      </c>
      <c r="F12865">
        <v>0.4</v>
      </c>
      <c r="G12865">
        <v>0.53</v>
      </c>
      <c r="H12865" s="1" t="str">
        <f>HYPERLINK("http://www.weizmann.ac.il/complex/compphys/software/geview/data/figures/204198_s_at.png","Figure")</f>
        <v>Figure</v>
      </c>
      <c r="I12865">
        <v>0.63400000000000001</v>
      </c>
      <c r="J12865">
        <v>0.39</v>
      </c>
      <c r="K12865">
        <v>0.748</v>
      </c>
      <c r="L12865">
        <v>0.6</v>
      </c>
      <c r="M12865">
        <v>1.18</v>
      </c>
      <c r="N12865">
        <v>0.86</v>
      </c>
    </row>
    <row r="12866" spans="1:14" x14ac:dyDescent="0.25">
      <c r="A12866" t="s">
        <v>22044</v>
      </c>
      <c r="B12866" t="s">
        <v>22045</v>
      </c>
      <c r="C12866" s="1" t="str">
        <f>HYPERLINK("http://www.genecards.org/cgi-bin/carddisp.pl?gene=NT5M","GeneCards")</f>
        <v>GeneCards</v>
      </c>
      <c r="D12866" s="1" t="str">
        <f>HYPERLINK("http://genome-euro.ucsc.edu/cgi-bin/hgTracks?position=219708_at","UCSC")</f>
        <v>UCSC</v>
      </c>
      <c r="E12866" s="1" t="str">
        <f>HYPERLINK("http://www.ncbi.nlm.nih.gov/gene/?term=NT5M","NCBI")</f>
        <v>NCBI</v>
      </c>
      <c r="F12866">
        <v>0.4</v>
      </c>
      <c r="G12866">
        <v>0.53</v>
      </c>
      <c r="H12866" s="1" t="str">
        <f>HYPERLINK("http://www.weizmann.ac.il/complex/compphys/software/geview/data/figures/219708_at.png","Figure")</f>
        <v>Figure</v>
      </c>
      <c r="I12866">
        <v>1.1399999999999999</v>
      </c>
      <c r="J12866">
        <v>0.51</v>
      </c>
      <c r="K12866">
        <v>1.1399999999999999</v>
      </c>
      <c r="L12866">
        <v>0.43</v>
      </c>
      <c r="M12866">
        <v>0.999</v>
      </c>
      <c r="N12866">
        <v>1</v>
      </c>
    </row>
    <row r="12867" spans="1:14" x14ac:dyDescent="0.25">
      <c r="A12867" t="s">
        <v>22046</v>
      </c>
      <c r="B12867" t="s">
        <v>6798</v>
      </c>
      <c r="C12867" s="1" t="str">
        <f>HYPERLINK("http://www.genecards.org/cgi-bin/carddisp.pl?gene=DGCR8","GeneCards")</f>
        <v>GeneCards</v>
      </c>
      <c r="D12867" s="1" t="str">
        <f>HYPERLINK("http://genome-euro.ucsc.edu/cgi-bin/hgTracks?position=91617_at","UCSC")</f>
        <v>UCSC</v>
      </c>
      <c r="E12867" s="1" t="str">
        <f>HYPERLINK("http://www.ncbi.nlm.nih.gov/gene/?term=DGCR8","NCBI")</f>
        <v>NCBI</v>
      </c>
      <c r="F12867">
        <v>0.4</v>
      </c>
      <c r="G12867">
        <v>0.53</v>
      </c>
      <c r="H12867" s="1" t="str">
        <f>HYPERLINK("http://www.weizmann.ac.il/complex/compphys/software/geview/data/figures/91617_at.png","Figure")</f>
        <v>Figure</v>
      </c>
      <c r="I12867">
        <v>1.1599999999999999</v>
      </c>
      <c r="J12867">
        <v>0.37</v>
      </c>
      <c r="K12867">
        <v>1.06</v>
      </c>
      <c r="L12867">
        <v>0.84</v>
      </c>
      <c r="M12867">
        <v>0.90700000000000003</v>
      </c>
      <c r="N12867">
        <v>0.62</v>
      </c>
    </row>
    <row r="12868" spans="1:14" x14ac:dyDescent="0.25">
      <c r="A12868" t="s">
        <v>22047</v>
      </c>
      <c r="B12868" t="s">
        <v>12946</v>
      </c>
      <c r="C12868" s="1" t="str">
        <f>HYPERLINK("http://www.genecards.org/cgi-bin/carddisp.pl?gene=TMC6","GeneCards")</f>
        <v>GeneCards</v>
      </c>
      <c r="D12868" s="1" t="str">
        <f>HYPERLINK("http://genome-euro.ucsc.edu/cgi-bin/hgTracks?position=204328_at","UCSC")</f>
        <v>UCSC</v>
      </c>
      <c r="E12868" s="1" t="str">
        <f>HYPERLINK("http://www.ncbi.nlm.nih.gov/gene/?term=TMC6","NCBI")</f>
        <v>NCBI</v>
      </c>
      <c r="F12868">
        <v>0.4</v>
      </c>
      <c r="G12868">
        <v>0.53</v>
      </c>
      <c r="H12868" s="1" t="str">
        <f>HYPERLINK("http://www.weizmann.ac.il/complex/compphys/software/geview/data/figures/204328_at.png","Figure")</f>
        <v>Figure</v>
      </c>
      <c r="I12868">
        <v>0.91900000000000004</v>
      </c>
      <c r="J12868">
        <v>0.74</v>
      </c>
      <c r="K12868">
        <v>0.872</v>
      </c>
      <c r="L12868">
        <v>0.37</v>
      </c>
      <c r="M12868">
        <v>0.94899999999999995</v>
      </c>
      <c r="N12868">
        <v>0.87</v>
      </c>
    </row>
    <row r="12869" spans="1:14" x14ac:dyDescent="0.25">
      <c r="A12869" t="s">
        <v>22048</v>
      </c>
      <c r="B12869" t="s">
        <v>22049</v>
      </c>
      <c r="C12869" s="1" t="str">
        <f>HYPERLINK("http://www.genecards.org/cgi-bin/carddisp.pl?gene=LOC100132214 /// RASA4 /// RASA4B /// RASA4P","GeneCards")</f>
        <v>GeneCards</v>
      </c>
      <c r="D12869" s="1" t="str">
        <f>HYPERLINK("http://genome-euro.ucsc.edu/cgi-bin/hgTracks?position=212707_s_at","UCSC")</f>
        <v>UCSC</v>
      </c>
      <c r="E12869" s="1" t="str">
        <f>HYPERLINK("http://www.ncbi.nlm.nih.gov/gene/?term=LOC100132214 /// RASA4 /// RASA4B /// RASA4P","NCBI")</f>
        <v>NCBI</v>
      </c>
      <c r="F12869">
        <v>0.4</v>
      </c>
      <c r="G12869">
        <v>0.53</v>
      </c>
      <c r="H12869" s="1" t="str">
        <f>HYPERLINK("http://www.weizmann.ac.il/complex/compphys/software/geview/data/figures/212707_s_at.png","Figure")</f>
        <v>Figure</v>
      </c>
      <c r="I12869">
        <v>0.94699999999999995</v>
      </c>
      <c r="J12869">
        <v>0.98</v>
      </c>
      <c r="K12869">
        <v>0.71399999999999997</v>
      </c>
      <c r="L12869">
        <v>0.43</v>
      </c>
      <c r="M12869">
        <v>0.754</v>
      </c>
      <c r="N12869">
        <v>0.59</v>
      </c>
    </row>
    <row r="12870" spans="1:14" x14ac:dyDescent="0.25">
      <c r="A12870" t="s">
        <v>22050</v>
      </c>
      <c r="B12870" t="s">
        <v>490</v>
      </c>
      <c r="C12870" s="1" t="str">
        <f>HYPERLINK("http://www.genecards.org/cgi-bin/carddisp.pl?gene=ADARB1","GeneCards")</f>
        <v>GeneCards</v>
      </c>
      <c r="D12870" s="1" t="str">
        <f>HYPERLINK("http://genome-euro.ucsc.edu/cgi-bin/hgTracks?position=207999_s_at","UCSC")</f>
        <v>UCSC</v>
      </c>
      <c r="E12870" s="1" t="str">
        <f>HYPERLINK("http://www.ncbi.nlm.nih.gov/gene/?term=ADARB1","NCBI")</f>
        <v>NCBI</v>
      </c>
      <c r="F12870">
        <v>0.4</v>
      </c>
      <c r="G12870">
        <v>0.53</v>
      </c>
      <c r="H12870" s="1" t="str">
        <f>HYPERLINK("http://www.weizmann.ac.il/complex/compphys/software/geview/data/figures/207999_s_at.png","Figure")</f>
        <v>Figure</v>
      </c>
      <c r="I12870">
        <v>1.1100000000000001</v>
      </c>
      <c r="J12870">
        <v>0.39</v>
      </c>
      <c r="K12870">
        <v>1.07</v>
      </c>
      <c r="L12870">
        <v>0.59</v>
      </c>
      <c r="M12870">
        <v>0.96399999999999997</v>
      </c>
      <c r="N12870">
        <v>0.86</v>
      </c>
    </row>
    <row r="12871" spans="1:14" x14ac:dyDescent="0.25">
      <c r="A12871" t="s">
        <v>22051</v>
      </c>
      <c r="B12871" t="s">
        <v>15985</v>
      </c>
      <c r="C12871" s="1" t="str">
        <f>HYPERLINK("http://www.genecards.org/cgi-bin/carddisp.pl?gene=PRKCSH","GeneCards")</f>
        <v>GeneCards</v>
      </c>
      <c r="D12871" s="1" t="str">
        <f>HYPERLINK("http://genome-euro.ucsc.edu/cgi-bin/hgTracks?position=200707_at","UCSC")</f>
        <v>UCSC</v>
      </c>
      <c r="E12871" s="1" t="str">
        <f>HYPERLINK("http://www.ncbi.nlm.nih.gov/gene/?term=PRKCSH","NCBI")</f>
        <v>NCBI</v>
      </c>
      <c r="F12871">
        <v>0.4</v>
      </c>
      <c r="G12871">
        <v>0.53</v>
      </c>
      <c r="H12871" s="1" t="str">
        <f>HYPERLINK("http://www.weizmann.ac.il/complex/compphys/software/geview/data/figures/200707_at.png","Figure")</f>
        <v>Figure</v>
      </c>
      <c r="I12871">
        <v>1.08</v>
      </c>
      <c r="J12871">
        <v>0.84</v>
      </c>
      <c r="K12871">
        <v>0.90400000000000003</v>
      </c>
      <c r="L12871">
        <v>0.7</v>
      </c>
      <c r="M12871">
        <v>0.83399999999999996</v>
      </c>
      <c r="N12871">
        <v>0.39</v>
      </c>
    </row>
    <row r="12872" spans="1:14" x14ac:dyDescent="0.25">
      <c r="A12872" t="s">
        <v>22052</v>
      </c>
      <c r="B12872" t="s">
        <v>22053</v>
      </c>
      <c r="C12872" s="1" t="str">
        <f>HYPERLINK("http://www.genecards.org/cgi-bin/carddisp.pl?gene=APOE","GeneCards")</f>
        <v>GeneCards</v>
      </c>
      <c r="D12872" s="1" t="str">
        <f>HYPERLINK("http://genome-euro.ucsc.edu/cgi-bin/hgTracks?position=203381_s_at","UCSC")</f>
        <v>UCSC</v>
      </c>
      <c r="E12872" s="1" t="str">
        <f>HYPERLINK("http://www.ncbi.nlm.nih.gov/gene/?term=APOE","NCBI")</f>
        <v>NCBI</v>
      </c>
      <c r="F12872">
        <v>0.4</v>
      </c>
      <c r="G12872">
        <v>0.53</v>
      </c>
      <c r="H12872" s="1" t="str">
        <f>HYPERLINK("http://www.weizmann.ac.il/complex/compphys/software/geview/data/figures/203381_s_at.png","Figure")</f>
        <v>Figure</v>
      </c>
      <c r="I12872">
        <v>1.1100000000000001</v>
      </c>
      <c r="J12872">
        <v>0.37</v>
      </c>
      <c r="K12872">
        <v>1.04</v>
      </c>
      <c r="L12872">
        <v>0.81</v>
      </c>
      <c r="M12872">
        <v>0.93700000000000006</v>
      </c>
      <c r="N12872">
        <v>0.65</v>
      </c>
    </row>
    <row r="12873" spans="1:14" x14ac:dyDescent="0.25">
      <c r="A12873" t="s">
        <v>22054</v>
      </c>
      <c r="B12873" t="s">
        <v>22055</v>
      </c>
      <c r="C12873" s="1" t="str">
        <f>HYPERLINK("http://www.genecards.org/cgi-bin/carddisp.pl?gene=IER3","GeneCards")</f>
        <v>GeneCards</v>
      </c>
      <c r="D12873" s="1" t="str">
        <f>HYPERLINK("http://genome-euro.ucsc.edu/cgi-bin/hgTracks?position=201631_s_at","UCSC")</f>
        <v>UCSC</v>
      </c>
      <c r="E12873" s="1" t="str">
        <f>HYPERLINK("http://www.ncbi.nlm.nih.gov/gene/?term=IER3","NCBI")</f>
        <v>NCBI</v>
      </c>
      <c r="F12873">
        <v>0.4</v>
      </c>
      <c r="G12873">
        <v>0.53</v>
      </c>
      <c r="H12873" s="1" t="str">
        <f>HYPERLINK("http://www.weizmann.ac.il/complex/compphys/software/geview/data/figures/201631_s_at.png","Figure")</f>
        <v>Figure</v>
      </c>
      <c r="I12873">
        <v>0.58699999999999997</v>
      </c>
      <c r="J12873">
        <v>0.46</v>
      </c>
      <c r="K12873">
        <v>0.629</v>
      </c>
      <c r="L12873">
        <v>0.47</v>
      </c>
      <c r="M12873">
        <v>1.07</v>
      </c>
      <c r="N12873">
        <v>0.98</v>
      </c>
    </row>
    <row r="12874" spans="1:14" x14ac:dyDescent="0.25">
      <c r="A12874" t="s">
        <v>22056</v>
      </c>
      <c r="B12874" t="s">
        <v>18534</v>
      </c>
      <c r="C12874" s="1" t="str">
        <f>HYPERLINK("http://www.genecards.org/cgi-bin/carddisp.pl?gene=RNF41","GeneCards")</f>
        <v>GeneCards</v>
      </c>
      <c r="D12874" s="1" t="str">
        <f>HYPERLINK("http://genome-euro.ucsc.edu/cgi-bin/hgTracks?position=201961_s_at","UCSC")</f>
        <v>UCSC</v>
      </c>
      <c r="E12874" s="1" t="str">
        <f>HYPERLINK("http://www.ncbi.nlm.nih.gov/gene/?term=RNF41","NCBI")</f>
        <v>NCBI</v>
      </c>
      <c r="F12874">
        <v>0.4</v>
      </c>
      <c r="G12874">
        <v>0.53</v>
      </c>
      <c r="H12874" s="1" t="str">
        <f>HYPERLINK("http://www.weizmann.ac.il/complex/compphys/software/geview/data/figures/201961_s_at.png","Figure")</f>
        <v>Figure</v>
      </c>
      <c r="I12874">
        <v>1.04</v>
      </c>
      <c r="J12874">
        <v>0.86</v>
      </c>
      <c r="K12874">
        <v>0.94599999999999995</v>
      </c>
      <c r="L12874">
        <v>0.68</v>
      </c>
      <c r="M12874">
        <v>0.91</v>
      </c>
      <c r="N12874">
        <v>0.39</v>
      </c>
    </row>
    <row r="12875" spans="1:14" x14ac:dyDescent="0.25">
      <c r="A12875" t="s">
        <v>22057</v>
      </c>
      <c r="B12875" t="s">
        <v>20570</v>
      </c>
      <c r="C12875" s="1" t="str">
        <f>HYPERLINK("http://www.genecards.org/cgi-bin/carddisp.pl?gene=TRAK2","GeneCards")</f>
        <v>GeneCards</v>
      </c>
      <c r="D12875" s="1" t="str">
        <f>HYPERLINK("http://genome-euro.ucsc.edu/cgi-bin/hgTracks?position=202124_s_at","UCSC")</f>
        <v>UCSC</v>
      </c>
      <c r="E12875" s="1" t="str">
        <f>HYPERLINK("http://www.ncbi.nlm.nih.gov/gene/?term=TRAK2","NCBI")</f>
        <v>NCBI</v>
      </c>
      <c r="F12875">
        <v>0.4</v>
      </c>
      <c r="G12875">
        <v>0.53</v>
      </c>
      <c r="H12875" s="1" t="str">
        <f>HYPERLINK("http://www.weizmann.ac.il/complex/compphys/software/geview/data/figures/202124_s_at.png","Figure")</f>
        <v>Figure</v>
      </c>
      <c r="I12875">
        <v>1.44</v>
      </c>
      <c r="J12875">
        <v>0.37</v>
      </c>
      <c r="K12875">
        <v>1.1499999999999999</v>
      </c>
      <c r="L12875">
        <v>0.82</v>
      </c>
      <c r="M12875">
        <v>0.79900000000000004</v>
      </c>
      <c r="N12875">
        <v>0.64</v>
      </c>
    </row>
    <row r="12876" spans="1:14" x14ac:dyDescent="0.25">
      <c r="A12876" t="s">
        <v>22058</v>
      </c>
      <c r="B12876" t="s">
        <v>22059</v>
      </c>
      <c r="C12876" s="1" t="str">
        <f>HYPERLINK("http://www.genecards.org/cgi-bin/carddisp.pl?gene=GBP1","GeneCards")</f>
        <v>GeneCards</v>
      </c>
      <c r="D12876" s="1" t="str">
        <f>HYPERLINK("http://genome-euro.ucsc.edu/cgi-bin/hgTracks?position=202270_at","UCSC")</f>
        <v>UCSC</v>
      </c>
      <c r="E12876" s="1" t="str">
        <f>HYPERLINK("http://www.ncbi.nlm.nih.gov/gene/?term=GBP1","NCBI")</f>
        <v>NCBI</v>
      </c>
      <c r="F12876">
        <v>0.4</v>
      </c>
      <c r="G12876">
        <v>0.53</v>
      </c>
      <c r="H12876" s="1" t="str">
        <f>HYPERLINK("http://www.weizmann.ac.il/complex/compphys/software/geview/data/figures/202270_at.png","Figure")</f>
        <v>Figure</v>
      </c>
      <c r="I12876">
        <v>1.0900000000000001</v>
      </c>
      <c r="J12876">
        <v>0.61</v>
      </c>
      <c r="K12876">
        <v>1.1200000000000001</v>
      </c>
      <c r="L12876">
        <v>0.39</v>
      </c>
      <c r="M12876">
        <v>1.02</v>
      </c>
      <c r="N12876">
        <v>0.97</v>
      </c>
    </row>
    <row r="12877" spans="1:14" x14ac:dyDescent="0.25">
      <c r="A12877" t="s">
        <v>22060</v>
      </c>
      <c r="B12877" t="s">
        <v>16124</v>
      </c>
      <c r="C12877" s="1" t="str">
        <f>HYPERLINK("http://www.genecards.org/cgi-bin/carddisp.pl?gene=MTSS1","GeneCards")</f>
        <v>GeneCards</v>
      </c>
      <c r="D12877" s="1" t="str">
        <f>HYPERLINK("http://genome-euro.ucsc.edu/cgi-bin/hgTracks?position=203036_s_at","UCSC")</f>
        <v>UCSC</v>
      </c>
      <c r="E12877" s="1" t="str">
        <f>HYPERLINK("http://www.ncbi.nlm.nih.gov/gene/?term=MTSS1","NCBI")</f>
        <v>NCBI</v>
      </c>
      <c r="F12877">
        <v>0.4</v>
      </c>
      <c r="G12877">
        <v>0.53</v>
      </c>
      <c r="H12877" s="1" t="str">
        <f>HYPERLINK("http://www.weizmann.ac.il/complex/compphys/software/geview/data/figures/203036_s_at.png","Figure")</f>
        <v>Figure</v>
      </c>
      <c r="I12877">
        <v>0.84699999999999998</v>
      </c>
      <c r="J12877">
        <v>0.84</v>
      </c>
      <c r="K12877">
        <v>0.70499999999999996</v>
      </c>
      <c r="L12877">
        <v>0.37</v>
      </c>
      <c r="M12877">
        <v>0.83199999999999996</v>
      </c>
      <c r="N12877">
        <v>0.78</v>
      </c>
    </row>
    <row r="12878" spans="1:14" x14ac:dyDescent="0.25">
      <c r="A12878" t="s">
        <v>22061</v>
      </c>
      <c r="B12878" t="s">
        <v>22062</v>
      </c>
      <c r="C12878" s="1" t="str">
        <f>HYPERLINK("http://www.genecards.org/cgi-bin/carddisp.pl?gene=MAS1","GeneCards")</f>
        <v>GeneCards</v>
      </c>
      <c r="D12878" s="1" t="str">
        <f>HYPERLINK("http://genome-euro.ucsc.edu/cgi-bin/hgTracks?position=208210_at","UCSC")</f>
        <v>UCSC</v>
      </c>
      <c r="E12878" s="1" t="str">
        <f>HYPERLINK("http://www.ncbi.nlm.nih.gov/gene/?term=MAS1","NCBI")</f>
        <v>NCBI</v>
      </c>
      <c r="F12878">
        <v>0.4</v>
      </c>
      <c r="G12878">
        <v>0.53</v>
      </c>
      <c r="H12878" s="1" t="str">
        <f>HYPERLINK("http://www.weizmann.ac.il/complex/compphys/software/geview/data/figures/208210_at.png","Figure")</f>
        <v>Figure</v>
      </c>
      <c r="I12878">
        <v>1.07</v>
      </c>
      <c r="J12878">
        <v>0.72</v>
      </c>
      <c r="K12878">
        <v>0.95899999999999996</v>
      </c>
      <c r="L12878">
        <v>0.83</v>
      </c>
      <c r="M12878">
        <v>0.9</v>
      </c>
      <c r="N12878">
        <v>0.37</v>
      </c>
    </row>
    <row r="12879" spans="1:14" x14ac:dyDescent="0.25">
      <c r="A12879" t="s">
        <v>22063</v>
      </c>
      <c r="B12879" t="s">
        <v>20748</v>
      </c>
      <c r="C12879" s="1" t="str">
        <f>HYPERLINK("http://www.genecards.org/cgi-bin/carddisp.pl?gene=RPS10","GeneCards")</f>
        <v>GeneCards</v>
      </c>
      <c r="D12879" s="1" t="str">
        <f>HYPERLINK("http://genome-euro.ucsc.edu/cgi-bin/hgTracks?position=211542_x_at","UCSC")</f>
        <v>UCSC</v>
      </c>
      <c r="E12879" s="1" t="str">
        <f>HYPERLINK("http://www.ncbi.nlm.nih.gov/gene/?term=RPS10","NCBI")</f>
        <v>NCBI</v>
      </c>
      <c r="F12879">
        <v>0.4</v>
      </c>
      <c r="G12879">
        <v>0.53</v>
      </c>
      <c r="H12879" s="1" t="str">
        <f>HYPERLINK("http://www.weizmann.ac.il/complex/compphys/software/geview/data/figures/211542_x_at.png","Figure")</f>
        <v>Figure</v>
      </c>
      <c r="I12879">
        <v>0.96899999999999997</v>
      </c>
      <c r="J12879">
        <v>0.98</v>
      </c>
      <c r="K12879">
        <v>1.17</v>
      </c>
      <c r="L12879">
        <v>0.53</v>
      </c>
      <c r="M12879">
        <v>1.2</v>
      </c>
      <c r="N12879">
        <v>0.46</v>
      </c>
    </row>
    <row r="12880" spans="1:14" x14ac:dyDescent="0.25">
      <c r="A12880" t="s">
        <v>22064</v>
      </c>
      <c r="B12880" t="s">
        <v>22065</v>
      </c>
      <c r="C12880" s="1" t="str">
        <f>HYPERLINK("http://www.genecards.org/cgi-bin/carddisp.pl?gene=CD160","GeneCards")</f>
        <v>GeneCards</v>
      </c>
      <c r="D12880" s="1" t="str">
        <f>HYPERLINK("http://genome-euro.ucsc.edu/cgi-bin/hgTracks?position=207840_at","UCSC")</f>
        <v>UCSC</v>
      </c>
      <c r="E12880" s="1" t="str">
        <f>HYPERLINK("http://www.ncbi.nlm.nih.gov/gene/?term=CD160","NCBI")</f>
        <v>NCBI</v>
      </c>
      <c r="F12880">
        <v>0.4</v>
      </c>
      <c r="G12880">
        <v>0.53</v>
      </c>
      <c r="H12880" s="1" t="str">
        <f>HYPERLINK("http://www.weizmann.ac.il/complex/compphys/software/geview/data/figures/207840_at.png","Figure")</f>
        <v>Figure</v>
      </c>
      <c r="I12880">
        <v>0.96299999999999997</v>
      </c>
      <c r="J12880">
        <v>0.38</v>
      </c>
      <c r="K12880">
        <v>0.98899999999999999</v>
      </c>
      <c r="L12880">
        <v>0.9</v>
      </c>
      <c r="M12880">
        <v>1.03</v>
      </c>
      <c r="N12880">
        <v>0.56000000000000005</v>
      </c>
    </row>
    <row r="12881" spans="1:14" x14ac:dyDescent="0.25">
      <c r="A12881" t="s">
        <v>22066</v>
      </c>
      <c r="B12881" t="s">
        <v>22067</v>
      </c>
      <c r="C12881" s="1" t="str">
        <f>HYPERLINK("http://www.genecards.org/cgi-bin/carddisp.pl?gene=LRRN3","GeneCards")</f>
        <v>GeneCards</v>
      </c>
      <c r="D12881" s="1" t="str">
        <f>HYPERLINK("http://genome-euro.ucsc.edu/cgi-bin/hgTracks?position=209840_s_at","UCSC")</f>
        <v>UCSC</v>
      </c>
      <c r="E12881" s="1" t="str">
        <f>HYPERLINK("http://www.ncbi.nlm.nih.gov/gene/?term=LRRN3","NCBI")</f>
        <v>NCBI</v>
      </c>
      <c r="F12881">
        <v>0.4</v>
      </c>
      <c r="G12881">
        <v>0.53</v>
      </c>
      <c r="H12881" s="1" t="str">
        <f>HYPERLINK("http://www.weizmann.ac.il/complex/compphys/software/geview/data/figures/209840_s_at.png","Figure")</f>
        <v>Figure</v>
      </c>
      <c r="I12881">
        <v>0.88900000000000001</v>
      </c>
      <c r="J12881">
        <v>0.38</v>
      </c>
      <c r="K12881">
        <v>0.96499999999999997</v>
      </c>
      <c r="L12881">
        <v>0.88</v>
      </c>
      <c r="M12881">
        <v>1.08</v>
      </c>
      <c r="N12881">
        <v>0.57999999999999996</v>
      </c>
    </row>
    <row r="12882" spans="1:14" x14ac:dyDescent="0.25">
      <c r="A12882" t="s">
        <v>22068</v>
      </c>
      <c r="B12882" t="s">
        <v>22069</v>
      </c>
      <c r="C12882" s="1" t="str">
        <f>HYPERLINK("http://www.genecards.org/cgi-bin/carddisp.pl?gene=NAT13","GeneCards")</f>
        <v>GeneCards</v>
      </c>
      <c r="D12882" s="1" t="str">
        <f>HYPERLINK("http://genome-euro.ucsc.edu/cgi-bin/hgTracks?position=217745_s_at","UCSC")</f>
        <v>UCSC</v>
      </c>
      <c r="E12882" s="1" t="str">
        <f>HYPERLINK("http://www.ncbi.nlm.nih.gov/gene/?term=NAT13","NCBI")</f>
        <v>NCBI</v>
      </c>
      <c r="F12882">
        <v>0.4</v>
      </c>
      <c r="G12882">
        <v>0.53</v>
      </c>
      <c r="H12882" s="1" t="str">
        <f>HYPERLINK("http://www.weizmann.ac.il/complex/compphys/software/geview/data/figures/217745_s_at.png","Figure")</f>
        <v>Figure</v>
      </c>
      <c r="I12882">
        <v>0.71299999999999997</v>
      </c>
      <c r="J12882">
        <v>0.42</v>
      </c>
      <c r="K12882">
        <v>0.77900000000000003</v>
      </c>
      <c r="L12882">
        <v>0.53</v>
      </c>
      <c r="M12882">
        <v>1.0900000000000001</v>
      </c>
      <c r="N12882">
        <v>0.93</v>
      </c>
    </row>
    <row r="12883" spans="1:14" x14ac:dyDescent="0.25">
      <c r="A12883" t="s">
        <v>22070</v>
      </c>
      <c r="B12883" t="s">
        <v>17766</v>
      </c>
      <c r="C12883" s="1" t="str">
        <f>HYPERLINK("http://www.genecards.org/cgi-bin/carddisp.pl?gene=NOX1","GeneCards")</f>
        <v>GeneCards</v>
      </c>
      <c r="D12883" s="1" t="str">
        <f>HYPERLINK("http://genome-euro.ucsc.edu/cgi-bin/hgTracks?position=207380_x_at","UCSC")</f>
        <v>UCSC</v>
      </c>
      <c r="E12883" s="1" t="str">
        <f>HYPERLINK("http://www.ncbi.nlm.nih.gov/gene/?term=NOX1","NCBI")</f>
        <v>NCBI</v>
      </c>
      <c r="F12883">
        <v>0.4</v>
      </c>
      <c r="G12883">
        <v>0.53</v>
      </c>
      <c r="H12883" s="1" t="str">
        <f>HYPERLINK("http://www.weizmann.ac.il/complex/compphys/software/geview/data/figures/207380_x_at.png","Figure")</f>
        <v>Figure</v>
      </c>
      <c r="I12883">
        <v>1.0900000000000001</v>
      </c>
      <c r="J12883">
        <v>0.51</v>
      </c>
      <c r="K12883">
        <v>0.99199999999999999</v>
      </c>
      <c r="L12883">
        <v>0.99</v>
      </c>
      <c r="M12883">
        <v>0.91200000000000003</v>
      </c>
      <c r="N12883">
        <v>0.4</v>
      </c>
    </row>
    <row r="12884" spans="1:14" x14ac:dyDescent="0.25">
      <c r="A12884" t="s">
        <v>22071</v>
      </c>
      <c r="B12884" t="s">
        <v>22072</v>
      </c>
      <c r="C12884" s="1" t="str">
        <f>HYPERLINK("http://www.genecards.org/cgi-bin/carddisp.pl?gene=TSEN34","GeneCards")</f>
        <v>GeneCards</v>
      </c>
      <c r="D12884" s="1" t="str">
        <f>HYPERLINK("http://genome-euro.ucsc.edu/cgi-bin/hgTracks?position=218132_s_at","UCSC")</f>
        <v>UCSC</v>
      </c>
      <c r="E12884" s="1" t="str">
        <f>HYPERLINK("http://www.ncbi.nlm.nih.gov/gene/?term=TSEN34","NCBI")</f>
        <v>NCBI</v>
      </c>
      <c r="F12884">
        <v>0.4</v>
      </c>
      <c r="G12884">
        <v>0.53</v>
      </c>
      <c r="H12884" s="1" t="str">
        <f>HYPERLINK("http://www.weizmann.ac.il/complex/compphys/software/geview/data/figures/218132_s_at.png","Figure")</f>
        <v>Figure</v>
      </c>
      <c r="I12884">
        <v>0.875</v>
      </c>
      <c r="J12884">
        <v>0.55000000000000004</v>
      </c>
      <c r="K12884">
        <v>0.86699999999999999</v>
      </c>
      <c r="L12884">
        <v>0.41</v>
      </c>
      <c r="M12884">
        <v>0.99099999999999999</v>
      </c>
      <c r="N12884">
        <v>1</v>
      </c>
    </row>
    <row r="12885" spans="1:14" x14ac:dyDescent="0.25">
      <c r="A12885" t="s">
        <v>22073</v>
      </c>
      <c r="B12885" t="s">
        <v>22074</v>
      </c>
      <c r="C12885" s="1" t="str">
        <f>HYPERLINK("http://www.genecards.org/cgi-bin/carddisp.pl?gene=CEP63","GeneCards")</f>
        <v>GeneCards</v>
      </c>
      <c r="D12885" s="1" t="str">
        <f>HYPERLINK("http://genome-euro.ucsc.edu/cgi-bin/hgTracks?position=219242_at","UCSC")</f>
        <v>UCSC</v>
      </c>
      <c r="E12885" s="1" t="str">
        <f>HYPERLINK("http://www.ncbi.nlm.nih.gov/gene/?term=CEP63","NCBI")</f>
        <v>NCBI</v>
      </c>
      <c r="F12885">
        <v>0.4</v>
      </c>
      <c r="G12885">
        <v>0.53</v>
      </c>
      <c r="H12885" s="1" t="str">
        <f>HYPERLINK("http://www.weizmann.ac.il/complex/compphys/software/geview/data/figures/219242_at.png","Figure")</f>
        <v>Figure</v>
      </c>
      <c r="I12885">
        <v>0.84199999999999997</v>
      </c>
      <c r="J12885">
        <v>0.56999999999999995</v>
      </c>
      <c r="K12885">
        <v>1.04</v>
      </c>
      <c r="L12885">
        <v>0.96</v>
      </c>
      <c r="M12885">
        <v>1.24</v>
      </c>
      <c r="N12885">
        <v>0.38</v>
      </c>
    </row>
    <row r="12886" spans="1:14" x14ac:dyDescent="0.25">
      <c r="A12886" t="s">
        <v>22075</v>
      </c>
      <c r="B12886" t="s">
        <v>22076</v>
      </c>
      <c r="C12886" s="1" t="str">
        <f>HYPERLINK("http://www.genecards.org/cgi-bin/carddisp.pl?gene=GZMM","GeneCards")</f>
        <v>GeneCards</v>
      </c>
      <c r="D12886" s="1" t="str">
        <f>HYPERLINK("http://genome-euro.ucsc.edu/cgi-bin/hgTracks?position=207460_at","UCSC")</f>
        <v>UCSC</v>
      </c>
      <c r="E12886" s="1" t="str">
        <f>HYPERLINK("http://www.ncbi.nlm.nih.gov/gene/?term=GZMM","NCBI")</f>
        <v>NCBI</v>
      </c>
      <c r="F12886">
        <v>0.4</v>
      </c>
      <c r="G12886">
        <v>0.53</v>
      </c>
      <c r="H12886" s="1" t="str">
        <f>HYPERLINK("http://www.weizmann.ac.il/complex/compphys/software/geview/data/figures/207460_at.png","Figure")</f>
        <v>Figure</v>
      </c>
      <c r="I12886">
        <v>0.97899999999999998</v>
      </c>
      <c r="J12886">
        <v>0.91</v>
      </c>
      <c r="K12886">
        <v>0.94299999999999995</v>
      </c>
      <c r="L12886">
        <v>0.39</v>
      </c>
      <c r="M12886">
        <v>0.96299999999999997</v>
      </c>
      <c r="N12886">
        <v>0.7</v>
      </c>
    </row>
    <row r="12887" spans="1:14" x14ac:dyDescent="0.25">
      <c r="A12887" t="s">
        <v>22077</v>
      </c>
      <c r="B12887" t="s">
        <v>22078</v>
      </c>
      <c r="C12887" s="1" t="str">
        <f>HYPERLINK("http://www.genecards.org/cgi-bin/carddisp.pl?gene=ATP10B","GeneCards")</f>
        <v>GeneCards</v>
      </c>
      <c r="D12887" s="1" t="str">
        <f>HYPERLINK("http://genome-euro.ucsc.edu/cgi-bin/hgTracks?position=214070_s_at","UCSC")</f>
        <v>UCSC</v>
      </c>
      <c r="E12887" s="1" t="str">
        <f>HYPERLINK("http://www.ncbi.nlm.nih.gov/gene/?term=ATP10B","NCBI")</f>
        <v>NCBI</v>
      </c>
      <c r="F12887">
        <v>0.4</v>
      </c>
      <c r="G12887">
        <v>0.53</v>
      </c>
      <c r="H12887" s="1" t="str">
        <f>HYPERLINK("http://www.weizmann.ac.il/complex/compphys/software/geview/data/figures/214070_s_at.png","Figure")</f>
        <v>Figure</v>
      </c>
      <c r="I12887">
        <v>1.17</v>
      </c>
      <c r="J12887">
        <v>0.39</v>
      </c>
      <c r="K12887">
        <v>1.04</v>
      </c>
      <c r="L12887">
        <v>0.9</v>
      </c>
      <c r="M12887">
        <v>0.89600000000000002</v>
      </c>
      <c r="N12887">
        <v>0.56000000000000005</v>
      </c>
    </row>
    <row r="12888" spans="1:14" x14ac:dyDescent="0.25">
      <c r="A12888" t="s">
        <v>22079</v>
      </c>
      <c r="B12888" t="s">
        <v>22080</v>
      </c>
      <c r="C12888" s="1" t="str">
        <f>HYPERLINK("http://www.genecards.org/cgi-bin/carddisp.pl?gene=HSPA12A","GeneCards")</f>
        <v>GeneCards</v>
      </c>
      <c r="D12888" s="1" t="str">
        <f>HYPERLINK("http://genome-euro.ucsc.edu/cgi-bin/hgTracks?position=220763_at","UCSC")</f>
        <v>UCSC</v>
      </c>
      <c r="E12888" s="1" t="str">
        <f>HYPERLINK("http://www.ncbi.nlm.nih.gov/gene/?term=HSPA12A","NCBI")</f>
        <v>NCBI</v>
      </c>
      <c r="F12888">
        <v>0.4</v>
      </c>
      <c r="G12888">
        <v>0.53</v>
      </c>
      <c r="H12888" s="1" t="str">
        <f>HYPERLINK("http://www.weizmann.ac.il/complex/compphys/software/geview/data/figures/220763_at.png","Figure")</f>
        <v>Figure</v>
      </c>
      <c r="I12888">
        <v>1.04</v>
      </c>
      <c r="J12888">
        <v>0.39</v>
      </c>
      <c r="K12888">
        <v>1.03</v>
      </c>
      <c r="L12888">
        <v>0.61</v>
      </c>
      <c r="M12888">
        <v>0.98399999999999999</v>
      </c>
      <c r="N12888">
        <v>0.85</v>
      </c>
    </row>
    <row r="12889" spans="1:14" x14ac:dyDescent="0.25">
      <c r="A12889" t="s">
        <v>22081</v>
      </c>
      <c r="B12889" t="s">
        <v>14894</v>
      </c>
      <c r="C12889" s="1" t="str">
        <f>HYPERLINK("http://www.genecards.org/cgi-bin/carddisp.pl?gene=LOC729580","GeneCards")</f>
        <v>GeneCards</v>
      </c>
      <c r="D12889" s="1" t="str">
        <f>HYPERLINK("http://genome-euro.ucsc.edu/cgi-bin/hgTracks?position=49679_s_at","UCSC")</f>
        <v>UCSC</v>
      </c>
      <c r="E12889" s="1" t="str">
        <f>HYPERLINK("http://www.ncbi.nlm.nih.gov/gene/?term=LOC729580","NCBI")</f>
        <v>NCBI</v>
      </c>
      <c r="F12889">
        <v>0.4</v>
      </c>
      <c r="G12889">
        <v>0.53</v>
      </c>
      <c r="H12889" s="1" t="str">
        <f>HYPERLINK("http://www.weizmann.ac.il/complex/compphys/software/geview/data/figures/49679_s_at.png","Figure")</f>
        <v>Figure</v>
      </c>
      <c r="I12889">
        <v>0.93300000000000005</v>
      </c>
      <c r="J12889">
        <v>0.65</v>
      </c>
      <c r="K12889">
        <v>0.91100000000000003</v>
      </c>
      <c r="L12889">
        <v>0.38</v>
      </c>
      <c r="M12889">
        <v>0.97699999999999998</v>
      </c>
      <c r="N12889">
        <v>0.94</v>
      </c>
    </row>
    <row r="12890" spans="1:14" x14ac:dyDescent="0.25">
      <c r="A12890" t="s">
        <v>22082</v>
      </c>
      <c r="B12890" t="s">
        <v>22083</v>
      </c>
      <c r="C12890" s="1" t="str">
        <f>HYPERLINK("http://www.genecards.org/cgi-bin/carddisp.pl?gene=VSNL1","GeneCards")</f>
        <v>GeneCards</v>
      </c>
      <c r="D12890" s="1" t="str">
        <f>HYPERLINK("http://genome-euro.ucsc.edu/cgi-bin/hgTracks?position=203797_at","UCSC")</f>
        <v>UCSC</v>
      </c>
      <c r="E12890" s="1" t="str">
        <f>HYPERLINK("http://www.ncbi.nlm.nih.gov/gene/?term=VSNL1","NCBI")</f>
        <v>NCBI</v>
      </c>
      <c r="F12890">
        <v>0.4</v>
      </c>
      <c r="G12890">
        <v>0.53</v>
      </c>
      <c r="H12890" s="1" t="str">
        <f>HYPERLINK("http://www.weizmann.ac.il/complex/compphys/software/geview/data/figures/203797_at.png","Figure")</f>
        <v>Figure</v>
      </c>
      <c r="I12890">
        <v>1.1299999999999999</v>
      </c>
      <c r="J12890">
        <v>0.52</v>
      </c>
      <c r="K12890">
        <v>0.98399999999999999</v>
      </c>
      <c r="L12890">
        <v>0.99</v>
      </c>
      <c r="M12890">
        <v>0.87</v>
      </c>
      <c r="N12890">
        <v>0.4</v>
      </c>
    </row>
    <row r="12891" spans="1:14" x14ac:dyDescent="0.25">
      <c r="A12891" t="s">
        <v>22084</v>
      </c>
      <c r="B12891" t="s">
        <v>5707</v>
      </c>
      <c r="C12891" s="1" t="str">
        <f>HYPERLINK("http://www.genecards.org/cgi-bin/carddisp.pl?gene=TRAM1","GeneCards")</f>
        <v>GeneCards</v>
      </c>
      <c r="D12891" s="1" t="str">
        <f>HYPERLINK("http://genome-euro.ucsc.edu/cgi-bin/hgTracks?position=210733_at","UCSC")</f>
        <v>UCSC</v>
      </c>
      <c r="E12891" s="1" t="str">
        <f>HYPERLINK("http://www.ncbi.nlm.nih.gov/gene/?term=TRAM1","NCBI")</f>
        <v>NCBI</v>
      </c>
      <c r="F12891">
        <v>0.4</v>
      </c>
      <c r="G12891">
        <v>0.53</v>
      </c>
      <c r="H12891" s="1" t="str">
        <f>HYPERLINK("http://www.weizmann.ac.il/complex/compphys/software/geview/data/figures/210733_at.png","Figure")</f>
        <v>Figure</v>
      </c>
      <c r="I12891">
        <v>0.96599999999999997</v>
      </c>
      <c r="J12891">
        <v>0.69</v>
      </c>
      <c r="K12891">
        <v>0.95099999999999996</v>
      </c>
      <c r="L12891">
        <v>0.37</v>
      </c>
      <c r="M12891">
        <v>0.98399999999999999</v>
      </c>
      <c r="N12891">
        <v>0.91</v>
      </c>
    </row>
    <row r="12892" spans="1:14" x14ac:dyDescent="0.25">
      <c r="A12892" t="s">
        <v>22085</v>
      </c>
      <c r="B12892" t="s">
        <v>22086</v>
      </c>
      <c r="C12892" s="1" t="str">
        <f>HYPERLINK("http://www.genecards.org/cgi-bin/carddisp.pl?gene=SNN","GeneCards")</f>
        <v>GeneCards</v>
      </c>
      <c r="D12892" s="1" t="str">
        <f>HYPERLINK("http://genome-euro.ucsc.edu/cgi-bin/hgTracks?position=218033_s_at","UCSC")</f>
        <v>UCSC</v>
      </c>
      <c r="E12892" s="1" t="str">
        <f>HYPERLINK("http://www.ncbi.nlm.nih.gov/gene/?term=SNN","NCBI")</f>
        <v>NCBI</v>
      </c>
      <c r="F12892">
        <v>0.4</v>
      </c>
      <c r="G12892">
        <v>0.53</v>
      </c>
      <c r="H12892" s="1" t="str">
        <f>HYPERLINK("http://www.weizmann.ac.il/complex/compphys/software/geview/data/figures/218033_s_at.png","Figure")</f>
        <v>Figure</v>
      </c>
      <c r="I12892">
        <v>1.04</v>
      </c>
      <c r="J12892">
        <v>0.48</v>
      </c>
      <c r="K12892">
        <v>1.04</v>
      </c>
      <c r="L12892">
        <v>0.46</v>
      </c>
      <c r="M12892">
        <v>0.996</v>
      </c>
      <c r="N12892">
        <v>0.99</v>
      </c>
    </row>
    <row r="12893" spans="1:14" x14ac:dyDescent="0.25">
      <c r="A12893" t="s">
        <v>22087</v>
      </c>
      <c r="B12893" t="s">
        <v>13796</v>
      </c>
      <c r="C12893" s="1" t="str">
        <f>HYPERLINK("http://www.genecards.org/cgi-bin/carddisp.pl?gene=PGRMC1","GeneCards")</f>
        <v>GeneCards</v>
      </c>
      <c r="D12893" s="1" t="str">
        <f>HYPERLINK("http://genome-euro.ucsc.edu/cgi-bin/hgTracks?position=201120_s_at","UCSC")</f>
        <v>UCSC</v>
      </c>
      <c r="E12893" s="1" t="str">
        <f>HYPERLINK("http://www.ncbi.nlm.nih.gov/gene/?term=PGRMC1","NCBI")</f>
        <v>NCBI</v>
      </c>
      <c r="F12893">
        <v>0.4</v>
      </c>
      <c r="G12893">
        <v>0.53</v>
      </c>
      <c r="H12893" s="1" t="str">
        <f>HYPERLINK("http://www.weizmann.ac.il/complex/compphys/software/geview/data/figures/201120_s_at.png","Figure")</f>
        <v>Figure</v>
      </c>
      <c r="I12893">
        <v>0.79500000000000004</v>
      </c>
      <c r="J12893">
        <v>0.37</v>
      </c>
      <c r="K12893">
        <v>0.91600000000000004</v>
      </c>
      <c r="L12893">
        <v>0.82</v>
      </c>
      <c r="M12893">
        <v>1.1499999999999999</v>
      </c>
      <c r="N12893">
        <v>0.64</v>
      </c>
    </row>
    <row r="12894" spans="1:14" x14ac:dyDescent="0.25">
      <c r="A12894" t="s">
        <v>22088</v>
      </c>
      <c r="B12894" t="s">
        <v>21316</v>
      </c>
      <c r="C12894" s="1" t="str">
        <f>HYPERLINK("http://www.genecards.org/cgi-bin/carddisp.pl?gene=CITED2","GeneCards")</f>
        <v>GeneCards</v>
      </c>
      <c r="D12894" s="1" t="str">
        <f>HYPERLINK("http://genome-euro.ucsc.edu/cgi-bin/hgTracks?position=207980_s_at","UCSC")</f>
        <v>UCSC</v>
      </c>
      <c r="E12894" s="1" t="str">
        <f>HYPERLINK("http://www.ncbi.nlm.nih.gov/gene/?term=CITED2","NCBI")</f>
        <v>NCBI</v>
      </c>
      <c r="F12894">
        <v>0.4</v>
      </c>
      <c r="G12894">
        <v>0.53</v>
      </c>
      <c r="H12894" s="1" t="str">
        <f>HYPERLINK("http://www.weizmann.ac.il/complex/compphys/software/geview/data/figures/207980_s_at.png","Figure")</f>
        <v>Figure</v>
      </c>
      <c r="I12894">
        <v>0.64700000000000002</v>
      </c>
      <c r="J12894">
        <v>0.45</v>
      </c>
      <c r="K12894">
        <v>0.69799999999999995</v>
      </c>
      <c r="L12894">
        <v>0.49</v>
      </c>
      <c r="M12894">
        <v>1.08</v>
      </c>
      <c r="N12894">
        <v>0.97</v>
      </c>
    </row>
    <row r="12895" spans="1:14" x14ac:dyDescent="0.25">
      <c r="A12895" t="s">
        <v>22089</v>
      </c>
      <c r="B12895" t="s">
        <v>14856</v>
      </c>
      <c r="C12895" s="1" t="str">
        <f>HYPERLINK("http://www.genecards.org/cgi-bin/carddisp.pl?gene=GIT2","GeneCards")</f>
        <v>GeneCards</v>
      </c>
      <c r="D12895" s="1" t="str">
        <f>HYPERLINK("http://genome-euro.ucsc.edu/cgi-bin/hgTracks?position=209876_at","UCSC")</f>
        <v>UCSC</v>
      </c>
      <c r="E12895" s="1" t="str">
        <f>HYPERLINK("http://www.ncbi.nlm.nih.gov/gene/?term=GIT2","NCBI")</f>
        <v>NCBI</v>
      </c>
      <c r="F12895">
        <v>0.4</v>
      </c>
      <c r="G12895">
        <v>0.53</v>
      </c>
      <c r="H12895" s="1" t="str">
        <f>HYPERLINK("http://www.weizmann.ac.il/complex/compphys/software/geview/data/figures/209876_at.png","Figure")</f>
        <v>Figure</v>
      </c>
      <c r="I12895">
        <v>0.85399999999999998</v>
      </c>
      <c r="J12895">
        <v>0.52</v>
      </c>
      <c r="K12895">
        <v>1.02</v>
      </c>
      <c r="L12895">
        <v>0.99</v>
      </c>
      <c r="M12895">
        <v>1.19</v>
      </c>
      <c r="N12895">
        <v>0.4</v>
      </c>
    </row>
    <row r="12896" spans="1:14" x14ac:dyDescent="0.25">
      <c r="A12896" t="s">
        <v>22090</v>
      </c>
      <c r="B12896" t="s">
        <v>22091</v>
      </c>
      <c r="C12896" s="1" t="str">
        <f>HYPERLINK("http://www.genecards.org/cgi-bin/carddisp.pl?gene=IRF3","GeneCards")</f>
        <v>GeneCards</v>
      </c>
      <c r="D12896" s="1" t="str">
        <f>HYPERLINK("http://genome-euro.ucsc.edu/cgi-bin/hgTracks?position=202621_at","UCSC")</f>
        <v>UCSC</v>
      </c>
      <c r="E12896" s="1" t="str">
        <f>HYPERLINK("http://www.ncbi.nlm.nih.gov/gene/?term=IRF3","NCBI")</f>
        <v>NCBI</v>
      </c>
      <c r="F12896">
        <v>0.4</v>
      </c>
      <c r="G12896">
        <v>0.53</v>
      </c>
      <c r="H12896" s="1" t="str">
        <f>HYPERLINK("http://www.weizmann.ac.il/complex/compphys/software/geview/data/figures/202621_at.png","Figure")</f>
        <v>Figure</v>
      </c>
      <c r="I12896">
        <v>1.31</v>
      </c>
      <c r="J12896">
        <v>0.4</v>
      </c>
      <c r="K12896">
        <v>1.2</v>
      </c>
      <c r="L12896">
        <v>0.56999999999999995</v>
      </c>
      <c r="M12896">
        <v>0.91800000000000004</v>
      </c>
      <c r="N12896">
        <v>0.89</v>
      </c>
    </row>
    <row r="12897" spans="1:14" x14ac:dyDescent="0.25">
      <c r="A12897" t="s">
        <v>22092</v>
      </c>
      <c r="B12897" t="s">
        <v>5499</v>
      </c>
      <c r="C12897" s="1" t="str">
        <f>HYPERLINK("http://www.genecards.org/cgi-bin/carddisp.pl?gene=TMOD1","GeneCards")</f>
        <v>GeneCards</v>
      </c>
      <c r="D12897" s="1" t="str">
        <f>HYPERLINK("http://genome-euro.ucsc.edu/cgi-bin/hgTracks?position=203661_s_at","UCSC")</f>
        <v>UCSC</v>
      </c>
      <c r="E12897" s="1" t="str">
        <f>HYPERLINK("http://www.ncbi.nlm.nih.gov/gene/?term=TMOD1","NCBI")</f>
        <v>NCBI</v>
      </c>
      <c r="F12897">
        <v>0.4</v>
      </c>
      <c r="G12897">
        <v>0.53</v>
      </c>
      <c r="H12897" s="1" t="str">
        <f>HYPERLINK("http://www.weizmann.ac.il/complex/compphys/software/geview/data/figures/203661_s_at.png","Figure")</f>
        <v>Figure</v>
      </c>
      <c r="I12897">
        <v>1.08</v>
      </c>
      <c r="J12897">
        <v>0.63</v>
      </c>
      <c r="K12897">
        <v>0.97099999999999997</v>
      </c>
      <c r="L12897">
        <v>0.91</v>
      </c>
      <c r="M12897">
        <v>0.90100000000000002</v>
      </c>
      <c r="N12897">
        <v>0.37</v>
      </c>
    </row>
    <row r="12898" spans="1:14" x14ac:dyDescent="0.25">
      <c r="A12898" t="s">
        <v>22093</v>
      </c>
      <c r="B12898" t="s">
        <v>22094</v>
      </c>
      <c r="C12898" s="1" t="str">
        <f>HYPERLINK("http://www.genecards.org/cgi-bin/carddisp.pl?gene=SEC14L2","GeneCards")</f>
        <v>GeneCards</v>
      </c>
      <c r="D12898" s="1" t="str">
        <f>HYPERLINK("http://genome-euro.ucsc.edu/cgi-bin/hgTracks?position=204541_at","UCSC")</f>
        <v>UCSC</v>
      </c>
      <c r="E12898" s="1" t="str">
        <f>HYPERLINK("http://www.ncbi.nlm.nih.gov/gene/?term=SEC14L2","NCBI")</f>
        <v>NCBI</v>
      </c>
      <c r="F12898">
        <v>0.4</v>
      </c>
      <c r="G12898">
        <v>0.53</v>
      </c>
      <c r="H12898" s="1" t="str">
        <f>HYPERLINK("http://www.weizmann.ac.il/complex/compphys/software/geview/data/figures/204541_at.png","Figure")</f>
        <v>Figure</v>
      </c>
      <c r="I12898">
        <v>1.1299999999999999</v>
      </c>
      <c r="J12898">
        <v>0.41</v>
      </c>
      <c r="K12898">
        <v>1.02</v>
      </c>
      <c r="L12898">
        <v>0.96</v>
      </c>
      <c r="M12898">
        <v>0.90300000000000002</v>
      </c>
      <c r="N12898">
        <v>0.5</v>
      </c>
    </row>
    <row r="12899" spans="1:14" x14ac:dyDescent="0.25">
      <c r="A12899" t="s">
        <v>22095</v>
      </c>
      <c r="B12899" t="s">
        <v>14030</v>
      </c>
      <c r="C12899" s="1" t="str">
        <f>HYPERLINK("http://www.genecards.org/cgi-bin/carddisp.pl?gene=WDTC1","GeneCards")</f>
        <v>GeneCards</v>
      </c>
      <c r="D12899" s="1" t="str">
        <f>HYPERLINK("http://genome-euro.ucsc.edu/cgi-bin/hgTracks?position=216036_x_at","UCSC")</f>
        <v>UCSC</v>
      </c>
      <c r="E12899" s="1" t="str">
        <f>HYPERLINK("http://www.ncbi.nlm.nih.gov/gene/?term=WDTC1","NCBI")</f>
        <v>NCBI</v>
      </c>
      <c r="F12899">
        <v>0.4</v>
      </c>
      <c r="G12899">
        <v>0.53</v>
      </c>
      <c r="H12899" s="1" t="str">
        <f>HYPERLINK("http://www.weizmann.ac.il/complex/compphys/software/geview/data/figures/216036_x_at.png","Figure")</f>
        <v>Figure</v>
      </c>
      <c r="I12899">
        <v>1.1299999999999999</v>
      </c>
      <c r="J12899">
        <v>0.38</v>
      </c>
      <c r="K12899">
        <v>1.07</v>
      </c>
      <c r="L12899">
        <v>0.68</v>
      </c>
      <c r="M12899">
        <v>0.94399999999999995</v>
      </c>
      <c r="N12899">
        <v>0.78</v>
      </c>
    </row>
    <row r="12900" spans="1:14" x14ac:dyDescent="0.25">
      <c r="A12900" t="s">
        <v>22096</v>
      </c>
      <c r="B12900" t="s">
        <v>22097</v>
      </c>
      <c r="C12900" s="1" t="str">
        <f>HYPERLINK("http://www.genecards.org/cgi-bin/carddisp.pl?gene=NCRNA00115","GeneCards")</f>
        <v>GeneCards</v>
      </c>
      <c r="D12900" s="1" t="str">
        <f>HYPERLINK("http://genome-euro.ucsc.edu/cgi-bin/hgTracks?position=220399_at","UCSC")</f>
        <v>UCSC</v>
      </c>
      <c r="E12900" s="1" t="str">
        <f>HYPERLINK("http://www.ncbi.nlm.nih.gov/gene/?term=NCRNA00115","NCBI")</f>
        <v>NCBI</v>
      </c>
      <c r="F12900">
        <v>0.4</v>
      </c>
      <c r="G12900">
        <v>0.53</v>
      </c>
      <c r="H12900" s="1" t="str">
        <f>HYPERLINK("http://www.weizmann.ac.il/complex/compphys/software/geview/data/figures/220399_at.png","Figure")</f>
        <v>Figure</v>
      </c>
      <c r="I12900">
        <v>0.93500000000000005</v>
      </c>
      <c r="J12900">
        <v>0.75</v>
      </c>
      <c r="K12900">
        <v>0.89300000000000002</v>
      </c>
      <c r="L12900">
        <v>0.37</v>
      </c>
      <c r="M12900">
        <v>0.95599999999999996</v>
      </c>
      <c r="N12900">
        <v>0.86</v>
      </c>
    </row>
    <row r="12901" spans="1:14" x14ac:dyDescent="0.25">
      <c r="A12901" t="s">
        <v>22098</v>
      </c>
      <c r="B12901" t="s">
        <v>19856</v>
      </c>
      <c r="C12901" s="1" t="str">
        <f>HYPERLINK("http://www.genecards.org/cgi-bin/carddisp.pl?gene=PCNXL2","GeneCards")</f>
        <v>GeneCards</v>
      </c>
      <c r="D12901" s="1" t="str">
        <f>HYPERLINK("http://genome-euro.ucsc.edu/cgi-bin/hgTracks?position=220461_at","UCSC")</f>
        <v>UCSC</v>
      </c>
      <c r="E12901" s="1" t="str">
        <f>HYPERLINK("http://www.ncbi.nlm.nih.gov/gene/?term=PCNXL2","NCBI")</f>
        <v>NCBI</v>
      </c>
      <c r="F12901">
        <v>0.4</v>
      </c>
      <c r="G12901">
        <v>0.53</v>
      </c>
      <c r="H12901" s="1" t="str">
        <f>HYPERLINK("http://www.weizmann.ac.il/complex/compphys/software/geview/data/figures/220461_at.png","Figure")</f>
        <v>Figure</v>
      </c>
      <c r="I12901">
        <v>1.01</v>
      </c>
      <c r="J12901">
        <v>1</v>
      </c>
      <c r="K12901">
        <v>0.93300000000000005</v>
      </c>
      <c r="L12901">
        <v>0.5</v>
      </c>
      <c r="M12901">
        <v>0.92800000000000005</v>
      </c>
      <c r="N12901">
        <v>0.49</v>
      </c>
    </row>
    <row r="12902" spans="1:14" x14ac:dyDescent="0.25">
      <c r="A12902" t="s">
        <v>22099</v>
      </c>
      <c r="B12902" t="s">
        <v>22100</v>
      </c>
      <c r="C12902" s="1" t="str">
        <f>HYPERLINK("http://www.genecards.org/cgi-bin/carddisp.pl?gene=CORO1B","GeneCards")</f>
        <v>GeneCards</v>
      </c>
      <c r="D12902" s="1" t="str">
        <f>HYPERLINK("http://genome-euro.ucsc.edu/cgi-bin/hgTracks?position=64486_at","UCSC")</f>
        <v>UCSC</v>
      </c>
      <c r="E12902" s="1" t="str">
        <f>HYPERLINK("http://www.ncbi.nlm.nih.gov/gene/?term=CORO1B","NCBI")</f>
        <v>NCBI</v>
      </c>
      <c r="F12902">
        <v>0.4</v>
      </c>
      <c r="G12902">
        <v>0.53</v>
      </c>
      <c r="H12902" s="1" t="str">
        <f>HYPERLINK("http://www.weizmann.ac.il/complex/compphys/software/geview/data/figures/64486_at.png","Figure")</f>
        <v>Figure</v>
      </c>
      <c r="I12902">
        <v>1.18</v>
      </c>
      <c r="J12902">
        <v>0.55000000000000004</v>
      </c>
      <c r="K12902">
        <v>0.96899999999999997</v>
      </c>
      <c r="L12902">
        <v>0.97</v>
      </c>
      <c r="M12902">
        <v>0.82399999999999995</v>
      </c>
      <c r="N12902">
        <v>0.39</v>
      </c>
    </row>
    <row r="12903" spans="1:14" x14ac:dyDescent="0.25">
      <c r="A12903" t="s">
        <v>22101</v>
      </c>
      <c r="B12903" t="s">
        <v>20871</v>
      </c>
      <c r="C12903" s="1" t="str">
        <f>HYPERLINK("http://www.genecards.org/cgi-bin/carddisp.pl?gene=MAPRE1","GeneCards")</f>
        <v>GeneCards</v>
      </c>
      <c r="D12903" s="1" t="str">
        <f>HYPERLINK("http://genome-euro.ucsc.edu/cgi-bin/hgTracks?position=200713_s_at","UCSC")</f>
        <v>UCSC</v>
      </c>
      <c r="E12903" s="1" t="str">
        <f>HYPERLINK("http://www.ncbi.nlm.nih.gov/gene/?term=MAPRE1","NCBI")</f>
        <v>NCBI</v>
      </c>
      <c r="F12903">
        <v>0.4</v>
      </c>
      <c r="G12903">
        <v>0.53</v>
      </c>
      <c r="H12903" s="1" t="str">
        <f>HYPERLINK("http://www.weizmann.ac.il/complex/compphys/software/geview/data/figures/200713_s_at.png","Figure")</f>
        <v>Figure</v>
      </c>
      <c r="I12903">
        <v>1.04</v>
      </c>
      <c r="J12903">
        <v>0.98</v>
      </c>
      <c r="K12903">
        <v>0.82</v>
      </c>
      <c r="L12903">
        <v>0.53</v>
      </c>
      <c r="M12903">
        <v>0.79100000000000004</v>
      </c>
      <c r="N12903">
        <v>0.46</v>
      </c>
    </row>
    <row r="12904" spans="1:14" x14ac:dyDescent="0.25">
      <c r="A12904" t="s">
        <v>22102</v>
      </c>
      <c r="B12904" t="s">
        <v>22103</v>
      </c>
      <c r="C12904" s="1" t="str">
        <f>HYPERLINK("http://www.genecards.org/cgi-bin/carddisp.pl?gene=CYTH3","GeneCards")</f>
        <v>GeneCards</v>
      </c>
      <c r="D12904" s="1" t="str">
        <f>HYPERLINK("http://genome-euro.ucsc.edu/cgi-bin/hgTracks?position=206523_at","UCSC")</f>
        <v>UCSC</v>
      </c>
      <c r="E12904" s="1" t="str">
        <f>HYPERLINK("http://www.ncbi.nlm.nih.gov/gene/?term=CYTH3","NCBI")</f>
        <v>NCBI</v>
      </c>
      <c r="F12904">
        <v>0.4</v>
      </c>
      <c r="G12904">
        <v>0.53</v>
      </c>
      <c r="H12904" s="1" t="str">
        <f>HYPERLINK("http://www.weizmann.ac.il/complex/compphys/software/geview/data/figures/206523_at.png","Figure")</f>
        <v>Figure</v>
      </c>
      <c r="I12904">
        <v>1.05</v>
      </c>
      <c r="J12904">
        <v>0.48</v>
      </c>
      <c r="K12904">
        <v>1.05</v>
      </c>
      <c r="L12904">
        <v>0.46</v>
      </c>
      <c r="M12904">
        <v>0.995</v>
      </c>
      <c r="N12904">
        <v>0.99</v>
      </c>
    </row>
    <row r="12905" spans="1:14" x14ac:dyDescent="0.25">
      <c r="A12905" t="s">
        <v>22104</v>
      </c>
      <c r="B12905" t="s">
        <v>22105</v>
      </c>
      <c r="C12905" s="1" t="str">
        <f>HYPERLINK("http://www.genecards.org/cgi-bin/carddisp.pl?gene=YIF1B","GeneCards")</f>
        <v>GeneCards</v>
      </c>
      <c r="D12905" s="1" t="str">
        <f>HYPERLINK("http://genome-euro.ucsc.edu/cgi-bin/hgTracks?position=220207_at","UCSC")</f>
        <v>UCSC</v>
      </c>
      <c r="E12905" s="1" t="str">
        <f>HYPERLINK("http://www.ncbi.nlm.nih.gov/gene/?term=YIF1B","NCBI")</f>
        <v>NCBI</v>
      </c>
      <c r="F12905">
        <v>0.4</v>
      </c>
      <c r="G12905">
        <v>0.53</v>
      </c>
      <c r="H12905" s="1" t="str">
        <f>HYPERLINK("http://www.weizmann.ac.il/complex/compphys/software/geview/data/figures/220207_at.png","Figure")</f>
        <v>Figure</v>
      </c>
      <c r="I12905">
        <v>1.1200000000000001</v>
      </c>
      <c r="J12905">
        <v>0.49</v>
      </c>
      <c r="K12905">
        <v>0.99399999999999999</v>
      </c>
      <c r="L12905">
        <v>1</v>
      </c>
      <c r="M12905">
        <v>0.88400000000000001</v>
      </c>
      <c r="N12905">
        <v>0.42</v>
      </c>
    </row>
    <row r="12906" spans="1:14" x14ac:dyDescent="0.25">
      <c r="A12906" t="s">
        <v>22106</v>
      </c>
      <c r="B12906" t="s">
        <v>22107</v>
      </c>
      <c r="C12906" s="1" t="str">
        <f>HYPERLINK("http://www.genecards.org/cgi-bin/carddisp.pl?gene=CXADR","GeneCards")</f>
        <v>GeneCards</v>
      </c>
      <c r="D12906" s="1" t="str">
        <f>HYPERLINK("http://genome-euro.ucsc.edu/cgi-bin/hgTracks?position=203917_at","UCSC")</f>
        <v>UCSC</v>
      </c>
      <c r="E12906" s="1" t="str">
        <f>HYPERLINK("http://www.ncbi.nlm.nih.gov/gene/?term=CXADR","NCBI")</f>
        <v>NCBI</v>
      </c>
      <c r="F12906">
        <v>0.4</v>
      </c>
      <c r="G12906">
        <v>0.53</v>
      </c>
      <c r="H12906" s="1" t="str">
        <f>HYPERLINK("http://www.weizmann.ac.il/complex/compphys/software/geview/data/figures/203917_at.png","Figure")</f>
        <v>Figure</v>
      </c>
      <c r="I12906">
        <v>1</v>
      </c>
      <c r="J12906">
        <v>1</v>
      </c>
      <c r="K12906">
        <v>0.97099999999999997</v>
      </c>
      <c r="L12906">
        <v>0.47</v>
      </c>
      <c r="M12906">
        <v>0.97099999999999997</v>
      </c>
      <c r="N12906">
        <v>0.52</v>
      </c>
    </row>
    <row r="12907" spans="1:14" x14ac:dyDescent="0.25">
      <c r="A12907" t="s">
        <v>22108</v>
      </c>
      <c r="B12907" t="s">
        <v>22109</v>
      </c>
      <c r="C12907" s="1" t="str">
        <f>HYPERLINK("http://www.genecards.org/cgi-bin/carddisp.pl?gene=DSN1","GeneCards")</f>
        <v>GeneCards</v>
      </c>
      <c r="D12907" s="1" t="str">
        <f>HYPERLINK("http://genome-euro.ucsc.edu/cgi-bin/hgTracks?position=219512_at","UCSC")</f>
        <v>UCSC</v>
      </c>
      <c r="E12907" s="1" t="str">
        <f>HYPERLINK("http://www.ncbi.nlm.nih.gov/gene/?term=DSN1","NCBI")</f>
        <v>NCBI</v>
      </c>
      <c r="F12907">
        <v>0.4</v>
      </c>
      <c r="G12907">
        <v>0.53</v>
      </c>
      <c r="H12907" s="1" t="str">
        <f>HYPERLINK("http://www.weizmann.ac.il/complex/compphys/software/geview/data/figures/219512_at.png","Figure")</f>
        <v>Figure</v>
      </c>
      <c r="I12907">
        <v>0.95099999999999996</v>
      </c>
      <c r="J12907">
        <v>0.81</v>
      </c>
      <c r="K12907">
        <v>0.90600000000000003</v>
      </c>
      <c r="L12907">
        <v>0.37</v>
      </c>
      <c r="M12907">
        <v>0.95199999999999996</v>
      </c>
      <c r="N12907">
        <v>0.8</v>
      </c>
    </row>
    <row r="12908" spans="1:14" x14ac:dyDescent="0.25">
      <c r="A12908" t="s">
        <v>22110</v>
      </c>
      <c r="B12908" t="s">
        <v>16724</v>
      </c>
      <c r="C12908" s="1" t="str">
        <f>HYPERLINK("http://www.genecards.org/cgi-bin/carddisp.pl?gene=SIRT3","GeneCards")</f>
        <v>GeneCards</v>
      </c>
      <c r="D12908" s="1" t="str">
        <f>HYPERLINK("http://genome-euro.ucsc.edu/cgi-bin/hgTracks?position=221562_s_at","UCSC")</f>
        <v>UCSC</v>
      </c>
      <c r="E12908" s="1" t="str">
        <f>HYPERLINK("http://www.ncbi.nlm.nih.gov/gene/?term=SIRT3","NCBI")</f>
        <v>NCBI</v>
      </c>
      <c r="F12908">
        <v>0.4</v>
      </c>
      <c r="G12908">
        <v>0.53</v>
      </c>
      <c r="H12908" s="1" t="str">
        <f>HYPERLINK("http://www.weizmann.ac.il/complex/compphys/software/geview/data/figures/221562_s_at.png","Figure")</f>
        <v>Figure</v>
      </c>
      <c r="I12908">
        <v>0.98199999999999998</v>
      </c>
      <c r="J12908">
        <v>0.98</v>
      </c>
      <c r="K12908">
        <v>1.0900000000000001</v>
      </c>
      <c r="L12908">
        <v>0.54</v>
      </c>
      <c r="M12908">
        <v>1.1100000000000001</v>
      </c>
      <c r="N12908">
        <v>0.46</v>
      </c>
    </row>
    <row r="12909" spans="1:14" x14ac:dyDescent="0.25">
      <c r="A12909" t="s">
        <v>22111</v>
      </c>
      <c r="B12909" t="s">
        <v>22112</v>
      </c>
      <c r="C12909" s="1" t="str">
        <f>HYPERLINK("http://www.genecards.org/cgi-bin/carddisp.pl?gene=SETMAR","GeneCards")</f>
        <v>GeneCards</v>
      </c>
      <c r="D12909" s="1" t="str">
        <f>HYPERLINK("http://genome-euro.ucsc.edu/cgi-bin/hgTracks?position=206554_x_at","UCSC")</f>
        <v>UCSC</v>
      </c>
      <c r="E12909" s="1" t="str">
        <f>HYPERLINK("http://www.ncbi.nlm.nih.gov/gene/?term=SETMAR","NCBI")</f>
        <v>NCBI</v>
      </c>
      <c r="F12909">
        <v>0.4</v>
      </c>
      <c r="G12909">
        <v>0.53</v>
      </c>
      <c r="H12909" s="1" t="str">
        <f>HYPERLINK("http://www.weizmann.ac.il/complex/compphys/software/geview/data/figures/206554_x_at.png","Figure")</f>
        <v>Figure</v>
      </c>
      <c r="I12909">
        <v>0.93100000000000005</v>
      </c>
      <c r="J12909">
        <v>0.74</v>
      </c>
      <c r="K12909">
        <v>0.89100000000000001</v>
      </c>
      <c r="L12909">
        <v>0.37</v>
      </c>
      <c r="M12909">
        <v>0.95599999999999996</v>
      </c>
      <c r="N12909">
        <v>0.87</v>
      </c>
    </row>
    <row r="12910" spans="1:14" x14ac:dyDescent="0.25">
      <c r="A12910" t="s">
        <v>22113</v>
      </c>
      <c r="B12910" t="s">
        <v>17168</v>
      </c>
      <c r="C12910" s="1" t="str">
        <f>HYPERLINK("http://www.genecards.org/cgi-bin/carddisp.pl?gene=PLCL2","GeneCards")</f>
        <v>GeneCards</v>
      </c>
      <c r="D12910" s="1" t="str">
        <f>HYPERLINK("http://genome-euro.ucsc.edu/cgi-bin/hgTracks?position=216217_at","UCSC")</f>
        <v>UCSC</v>
      </c>
      <c r="E12910" s="1" t="str">
        <f>HYPERLINK("http://www.ncbi.nlm.nih.gov/gene/?term=PLCL2","NCBI")</f>
        <v>NCBI</v>
      </c>
      <c r="F12910">
        <v>0.4</v>
      </c>
      <c r="G12910">
        <v>0.53</v>
      </c>
      <c r="H12910" s="1" t="str">
        <f>HYPERLINK("http://www.weizmann.ac.il/complex/compphys/software/geview/data/figures/216217_at.png","Figure")</f>
        <v>Figure</v>
      </c>
      <c r="I12910">
        <v>1.08</v>
      </c>
      <c r="J12910">
        <v>0.37</v>
      </c>
      <c r="K12910">
        <v>1.03</v>
      </c>
      <c r="L12910">
        <v>0.76</v>
      </c>
      <c r="M12910">
        <v>0.96</v>
      </c>
      <c r="N12910">
        <v>0.7</v>
      </c>
    </row>
    <row r="12911" spans="1:14" x14ac:dyDescent="0.25">
      <c r="A12911" t="s">
        <v>22114</v>
      </c>
      <c r="B12911" t="s">
        <v>18866</v>
      </c>
      <c r="C12911" s="1" t="str">
        <f>HYPERLINK("http://www.genecards.org/cgi-bin/carddisp.pl?gene=TNPO1","GeneCards")</f>
        <v>GeneCards</v>
      </c>
      <c r="D12911" s="1" t="str">
        <f>HYPERLINK("http://genome-euro.ucsc.edu/cgi-bin/hgTracks?position=209225_x_at","UCSC")</f>
        <v>UCSC</v>
      </c>
      <c r="E12911" s="1" t="str">
        <f>HYPERLINK("http://www.ncbi.nlm.nih.gov/gene/?term=TNPO1","NCBI")</f>
        <v>NCBI</v>
      </c>
      <c r="F12911">
        <v>0.4</v>
      </c>
      <c r="G12911">
        <v>0.53</v>
      </c>
      <c r="H12911" s="1" t="str">
        <f>HYPERLINK("http://www.weizmann.ac.il/complex/compphys/software/geview/data/figures/209225_x_at.png","Figure")</f>
        <v>Figure</v>
      </c>
      <c r="I12911">
        <v>1.21</v>
      </c>
      <c r="J12911">
        <v>0.6</v>
      </c>
      <c r="K12911">
        <v>0.94199999999999995</v>
      </c>
      <c r="L12911">
        <v>0.94</v>
      </c>
      <c r="M12911">
        <v>0.77600000000000002</v>
      </c>
      <c r="N12911">
        <v>0.38</v>
      </c>
    </row>
    <row r="12912" spans="1:14" x14ac:dyDescent="0.25">
      <c r="A12912" t="s">
        <v>22115</v>
      </c>
      <c r="B12912" t="s">
        <v>16420</v>
      </c>
      <c r="C12912" s="1" t="str">
        <f>HYPERLINK("http://www.genecards.org/cgi-bin/carddisp.pl?gene=MASP2","GeneCards")</f>
        <v>GeneCards</v>
      </c>
      <c r="D12912" s="1" t="str">
        <f>HYPERLINK("http://genome-euro.ucsc.edu/cgi-bin/hgTracks?position=210798_x_at","UCSC")</f>
        <v>UCSC</v>
      </c>
      <c r="E12912" s="1" t="str">
        <f>HYPERLINK("http://www.ncbi.nlm.nih.gov/gene/?term=MASP2","NCBI")</f>
        <v>NCBI</v>
      </c>
      <c r="F12912">
        <v>0.4</v>
      </c>
      <c r="G12912">
        <v>0.53</v>
      </c>
      <c r="H12912" s="1" t="str">
        <f>HYPERLINK("http://www.weizmann.ac.il/complex/compphys/software/geview/data/figures/210798_x_at.png","Figure")</f>
        <v>Figure</v>
      </c>
      <c r="I12912">
        <v>0.98699999999999999</v>
      </c>
      <c r="J12912">
        <v>0.98</v>
      </c>
      <c r="K12912">
        <v>1.07</v>
      </c>
      <c r="L12912">
        <v>0.54</v>
      </c>
      <c r="M12912">
        <v>1.08</v>
      </c>
      <c r="N12912">
        <v>0.46</v>
      </c>
    </row>
    <row r="12913" spans="1:14" x14ac:dyDescent="0.25">
      <c r="A12913" t="s">
        <v>22116</v>
      </c>
      <c r="B12913" t="s">
        <v>22117</v>
      </c>
      <c r="C12913" s="1" t="str">
        <f>HYPERLINK("http://www.genecards.org/cgi-bin/carddisp.pl?gene=ANAPC10","GeneCards")</f>
        <v>GeneCards</v>
      </c>
      <c r="D12913" s="1" t="str">
        <f>HYPERLINK("http://genome-euro.ucsc.edu/cgi-bin/hgTracks?position=207845_s_at","UCSC")</f>
        <v>UCSC</v>
      </c>
      <c r="E12913" s="1" t="str">
        <f>HYPERLINK("http://www.ncbi.nlm.nih.gov/gene/?term=ANAPC10","NCBI")</f>
        <v>NCBI</v>
      </c>
      <c r="F12913">
        <v>0.4</v>
      </c>
      <c r="G12913">
        <v>0.53</v>
      </c>
      <c r="H12913" s="1" t="str">
        <f>HYPERLINK("http://www.weizmann.ac.il/complex/compphys/software/geview/data/figures/207845_s_at.png","Figure")</f>
        <v>Figure</v>
      </c>
      <c r="I12913">
        <v>0.86299999999999999</v>
      </c>
      <c r="J12913">
        <v>0.4</v>
      </c>
      <c r="K12913">
        <v>0.90700000000000003</v>
      </c>
      <c r="L12913">
        <v>0.57999999999999996</v>
      </c>
      <c r="M12913">
        <v>1.05</v>
      </c>
      <c r="N12913">
        <v>0.88</v>
      </c>
    </row>
    <row r="12914" spans="1:14" x14ac:dyDescent="0.25">
      <c r="A12914" t="s">
        <v>22118</v>
      </c>
      <c r="B12914" t="s">
        <v>19512</v>
      </c>
      <c r="C12914" s="1" t="str">
        <f>HYPERLINK("http://www.genecards.org/cgi-bin/carddisp.pl?gene=NR1D1 /// THRA","GeneCards")</f>
        <v>GeneCards</v>
      </c>
      <c r="D12914" s="1" t="str">
        <f>HYPERLINK("http://genome-euro.ucsc.edu/cgi-bin/hgTracks?position=217476_at","UCSC")</f>
        <v>UCSC</v>
      </c>
      <c r="E12914" s="1" t="str">
        <f>HYPERLINK("http://www.ncbi.nlm.nih.gov/gene/?term=NR1D1 /// THRA","NCBI")</f>
        <v>NCBI</v>
      </c>
      <c r="F12914">
        <v>0.4</v>
      </c>
      <c r="G12914">
        <v>0.53</v>
      </c>
      <c r="H12914" s="1" t="str">
        <f>HYPERLINK("http://www.weizmann.ac.il/complex/compphys/software/geview/data/figures/217476_at.png","Figure")</f>
        <v>Figure</v>
      </c>
      <c r="I12914">
        <v>1.03</v>
      </c>
      <c r="J12914">
        <v>0.42</v>
      </c>
      <c r="K12914">
        <v>1.02</v>
      </c>
      <c r="L12914">
        <v>0.54</v>
      </c>
      <c r="M12914">
        <v>0.99199999999999999</v>
      </c>
      <c r="N12914">
        <v>0.92</v>
      </c>
    </row>
    <row r="12915" spans="1:14" x14ac:dyDescent="0.25">
      <c r="A12915" t="s">
        <v>22119</v>
      </c>
      <c r="B12915" t="s">
        <v>22120</v>
      </c>
      <c r="C12915" s="1" t="str">
        <f>HYPERLINK("http://www.genecards.org/cgi-bin/carddisp.pl?gene=CXCL2","GeneCards")</f>
        <v>GeneCards</v>
      </c>
      <c r="D12915" s="1" t="str">
        <f>HYPERLINK("http://genome-euro.ucsc.edu/cgi-bin/hgTracks?position=209774_x_at","UCSC")</f>
        <v>UCSC</v>
      </c>
      <c r="E12915" s="1" t="str">
        <f>HYPERLINK("http://www.ncbi.nlm.nih.gov/gene/?term=CXCL2","NCBI")</f>
        <v>NCBI</v>
      </c>
      <c r="F12915">
        <v>0.4</v>
      </c>
      <c r="G12915">
        <v>0.53</v>
      </c>
      <c r="H12915" s="1" t="str">
        <f>HYPERLINK("http://www.weizmann.ac.il/complex/compphys/software/geview/data/figures/209774_x_at.png","Figure")</f>
        <v>Figure</v>
      </c>
      <c r="I12915">
        <v>1.03</v>
      </c>
      <c r="J12915">
        <v>0.92</v>
      </c>
      <c r="K12915">
        <v>0.94599999999999995</v>
      </c>
      <c r="L12915">
        <v>0.61</v>
      </c>
      <c r="M12915">
        <v>0.92300000000000004</v>
      </c>
      <c r="N12915">
        <v>0.42</v>
      </c>
    </row>
    <row r="12916" spans="1:14" x14ac:dyDescent="0.25">
      <c r="A12916" t="s">
        <v>22121</v>
      </c>
      <c r="B12916" t="s">
        <v>20403</v>
      </c>
      <c r="C12916" s="1" t="str">
        <f>HYPERLINK("http://www.genecards.org/cgi-bin/carddisp.pl?gene=ANGEL1","GeneCards")</f>
        <v>GeneCards</v>
      </c>
      <c r="D12916" s="1" t="str">
        <f>HYPERLINK("http://genome-euro.ucsc.edu/cgi-bin/hgTracks?position=213099_at","UCSC")</f>
        <v>UCSC</v>
      </c>
      <c r="E12916" s="1" t="str">
        <f>HYPERLINK("http://www.ncbi.nlm.nih.gov/gene/?term=ANGEL1","NCBI")</f>
        <v>NCBI</v>
      </c>
      <c r="F12916">
        <v>0.4</v>
      </c>
      <c r="G12916">
        <v>0.53</v>
      </c>
      <c r="H12916" s="1" t="str">
        <f>HYPERLINK("http://www.weizmann.ac.il/complex/compphys/software/geview/data/figures/213099_at.png","Figure")</f>
        <v>Figure</v>
      </c>
      <c r="I12916">
        <v>1.04</v>
      </c>
      <c r="J12916">
        <v>0.88</v>
      </c>
      <c r="K12916">
        <v>1.1100000000000001</v>
      </c>
      <c r="L12916">
        <v>0.38</v>
      </c>
      <c r="M12916">
        <v>1.06</v>
      </c>
      <c r="N12916">
        <v>0.73</v>
      </c>
    </row>
    <row r="12917" spans="1:14" x14ac:dyDescent="0.25">
      <c r="A12917" t="s">
        <v>22122</v>
      </c>
      <c r="B12917" t="s">
        <v>8761</v>
      </c>
      <c r="C12917" s="1" t="str">
        <f>HYPERLINK("http://www.genecards.org/cgi-bin/carddisp.pl?gene=CFLAR","GeneCards")</f>
        <v>GeneCards</v>
      </c>
      <c r="D12917" s="1" t="str">
        <f>HYPERLINK("http://genome-euro.ucsc.edu/cgi-bin/hgTracks?position=214486_x_at","UCSC")</f>
        <v>UCSC</v>
      </c>
      <c r="E12917" s="1" t="str">
        <f>HYPERLINK("http://www.ncbi.nlm.nih.gov/gene/?term=CFLAR","NCBI")</f>
        <v>NCBI</v>
      </c>
      <c r="F12917">
        <v>0.4</v>
      </c>
      <c r="G12917">
        <v>0.53</v>
      </c>
      <c r="H12917" s="1" t="str">
        <f>HYPERLINK("http://www.weizmann.ac.il/complex/compphys/software/geview/data/figures/214486_x_at.png","Figure")</f>
        <v>Figure</v>
      </c>
      <c r="I12917">
        <v>1.0900000000000001</v>
      </c>
      <c r="J12917">
        <v>0.42</v>
      </c>
      <c r="K12917">
        <v>1.01</v>
      </c>
      <c r="L12917">
        <v>0.98</v>
      </c>
      <c r="M12917">
        <v>0.93</v>
      </c>
      <c r="N12917">
        <v>0.48</v>
      </c>
    </row>
    <row r="12918" spans="1:14" x14ac:dyDescent="0.25">
      <c r="A12918" t="s">
        <v>22123</v>
      </c>
      <c r="B12918" t="s">
        <v>22124</v>
      </c>
      <c r="C12918" s="1" t="str">
        <f>HYPERLINK("http://www.genecards.org/cgi-bin/carddisp.pl?gene=FBXL15","GeneCards")</f>
        <v>GeneCards</v>
      </c>
      <c r="D12918" s="1" t="str">
        <f>HYPERLINK("http://genome-euro.ucsc.edu/cgi-bin/hgTracks?position=218938_at","UCSC")</f>
        <v>UCSC</v>
      </c>
      <c r="E12918" s="1" t="str">
        <f>HYPERLINK("http://www.ncbi.nlm.nih.gov/gene/?term=FBXL15","NCBI")</f>
        <v>NCBI</v>
      </c>
      <c r="F12918">
        <v>0.41</v>
      </c>
      <c r="G12918">
        <v>0.53</v>
      </c>
      <c r="H12918" s="1" t="str">
        <f>HYPERLINK("http://www.weizmann.ac.il/complex/compphys/software/geview/data/figures/218938_at.png","Figure")</f>
        <v>Figure</v>
      </c>
      <c r="I12918">
        <v>0.72799999999999998</v>
      </c>
      <c r="J12918">
        <v>0.4</v>
      </c>
      <c r="K12918">
        <v>0.92400000000000004</v>
      </c>
      <c r="L12918">
        <v>0.92</v>
      </c>
      <c r="M12918">
        <v>1.27</v>
      </c>
      <c r="N12918">
        <v>0.54</v>
      </c>
    </row>
    <row r="12919" spans="1:14" x14ac:dyDescent="0.25">
      <c r="A12919" t="s">
        <v>22125</v>
      </c>
      <c r="B12919" t="s">
        <v>19100</v>
      </c>
      <c r="C12919" s="1" t="str">
        <f>HYPERLINK("http://www.genecards.org/cgi-bin/carddisp.pl?gene=CTNNA1","GeneCards")</f>
        <v>GeneCards</v>
      </c>
      <c r="D12919" s="1" t="str">
        <f>HYPERLINK("http://genome-euro.ucsc.edu/cgi-bin/hgTracks?position=210844_x_at","UCSC")</f>
        <v>UCSC</v>
      </c>
      <c r="E12919" s="1" t="str">
        <f>HYPERLINK("http://www.ncbi.nlm.nih.gov/gene/?term=CTNNA1","NCBI")</f>
        <v>NCBI</v>
      </c>
      <c r="F12919">
        <v>0.41</v>
      </c>
      <c r="G12919">
        <v>0.53</v>
      </c>
      <c r="H12919" s="1" t="str">
        <f>HYPERLINK("http://www.weizmann.ac.il/complex/compphys/software/geview/data/figures/210844_x_at.png","Figure")</f>
        <v>Figure</v>
      </c>
      <c r="I12919">
        <v>1.35</v>
      </c>
      <c r="J12919">
        <v>0.46</v>
      </c>
      <c r="K12919">
        <v>1.3</v>
      </c>
      <c r="L12919">
        <v>0.47</v>
      </c>
      <c r="M12919">
        <v>0.95799999999999996</v>
      </c>
      <c r="N12919">
        <v>0.98</v>
      </c>
    </row>
    <row r="12920" spans="1:14" x14ac:dyDescent="0.25">
      <c r="A12920" t="s">
        <v>22126</v>
      </c>
      <c r="B12920" t="s">
        <v>22127</v>
      </c>
      <c r="C12920" s="1" t="str">
        <f>HYPERLINK("http://www.genecards.org/cgi-bin/carddisp.pl?gene=CYTSA","GeneCards")</f>
        <v>GeneCards</v>
      </c>
      <c r="D12920" s="1" t="str">
        <f>HYPERLINK("http://genome-euro.ucsc.edu/cgi-bin/hgTracks?position=212480_at","UCSC")</f>
        <v>UCSC</v>
      </c>
      <c r="E12920" s="1" t="str">
        <f>HYPERLINK("http://www.ncbi.nlm.nih.gov/gene/?term=CYTSA","NCBI")</f>
        <v>NCBI</v>
      </c>
      <c r="F12920">
        <v>0.41</v>
      </c>
      <c r="G12920">
        <v>0.53</v>
      </c>
      <c r="H12920" s="1" t="str">
        <f>HYPERLINK("http://www.weizmann.ac.il/complex/compphys/software/geview/data/figures/212480_at.png","Figure")</f>
        <v>Figure</v>
      </c>
      <c r="I12920">
        <v>0.79100000000000004</v>
      </c>
      <c r="J12920">
        <v>0.39</v>
      </c>
      <c r="K12920">
        <v>0.94</v>
      </c>
      <c r="L12920">
        <v>0.91</v>
      </c>
      <c r="M12920">
        <v>1.19</v>
      </c>
      <c r="N12920">
        <v>0.55000000000000004</v>
      </c>
    </row>
    <row r="12921" spans="1:14" x14ac:dyDescent="0.25">
      <c r="A12921" t="s">
        <v>22128</v>
      </c>
      <c r="B12921" t="s">
        <v>3825</v>
      </c>
      <c r="C12921" s="1" t="str">
        <f>HYPERLINK("http://www.genecards.org/cgi-bin/carddisp.pl?gene=RPLP2","GeneCards")</f>
        <v>GeneCards</v>
      </c>
      <c r="D12921" s="1" t="str">
        <f>HYPERLINK("http://genome-euro.ucsc.edu/cgi-bin/hgTracks?position=200909_s_at","UCSC")</f>
        <v>UCSC</v>
      </c>
      <c r="E12921" s="1" t="str">
        <f>HYPERLINK("http://www.ncbi.nlm.nih.gov/gene/?term=RPLP2","NCBI")</f>
        <v>NCBI</v>
      </c>
      <c r="F12921">
        <v>0.41</v>
      </c>
      <c r="G12921">
        <v>0.53</v>
      </c>
      <c r="H12921" s="1" t="str">
        <f>HYPERLINK("http://www.weizmann.ac.il/complex/compphys/software/geview/data/figures/200909_s_at.png","Figure")</f>
        <v>Figure</v>
      </c>
      <c r="I12921">
        <v>1.05</v>
      </c>
      <c r="J12921">
        <v>0.95</v>
      </c>
      <c r="K12921">
        <v>1.21</v>
      </c>
      <c r="L12921">
        <v>0.4</v>
      </c>
      <c r="M12921">
        <v>1.1499999999999999</v>
      </c>
      <c r="N12921">
        <v>0.65</v>
      </c>
    </row>
    <row r="12922" spans="1:14" x14ac:dyDescent="0.25">
      <c r="A12922" t="s">
        <v>22129</v>
      </c>
      <c r="B12922" t="s">
        <v>16249</v>
      </c>
      <c r="C12922" s="1" t="str">
        <f>HYPERLINK("http://www.genecards.org/cgi-bin/carddisp.pl?gene=TERF1","GeneCards")</f>
        <v>GeneCards</v>
      </c>
      <c r="D12922" s="1" t="str">
        <f>HYPERLINK("http://genome-euro.ucsc.edu/cgi-bin/hgTracks?position=203449_s_at","UCSC")</f>
        <v>UCSC</v>
      </c>
      <c r="E12922" s="1" t="str">
        <f>HYPERLINK("http://www.ncbi.nlm.nih.gov/gene/?term=TERF1","NCBI")</f>
        <v>NCBI</v>
      </c>
      <c r="F12922">
        <v>0.41</v>
      </c>
      <c r="G12922">
        <v>0.53</v>
      </c>
      <c r="H12922" s="1" t="str">
        <f>HYPERLINK("http://www.weizmann.ac.il/complex/compphys/software/geview/data/figures/203449_s_at.png","Figure")</f>
        <v>Figure</v>
      </c>
      <c r="I12922">
        <v>0.84099999999999997</v>
      </c>
      <c r="J12922">
        <v>0.7</v>
      </c>
      <c r="K12922">
        <v>0.77300000000000002</v>
      </c>
      <c r="L12922">
        <v>0.38</v>
      </c>
      <c r="M12922">
        <v>0.91900000000000004</v>
      </c>
      <c r="N12922">
        <v>0.91</v>
      </c>
    </row>
    <row r="12923" spans="1:14" x14ac:dyDescent="0.25">
      <c r="A12923" t="s">
        <v>22130</v>
      </c>
      <c r="B12923" t="s">
        <v>22131</v>
      </c>
      <c r="C12923" s="1" t="str">
        <f>HYPERLINK("http://www.genecards.org/cgi-bin/carddisp.pl?gene=HABP2","GeneCards")</f>
        <v>GeneCards</v>
      </c>
      <c r="D12923" s="1" t="str">
        <f>HYPERLINK("http://genome-euro.ucsc.edu/cgi-bin/hgTracks?position=206010_at","UCSC")</f>
        <v>UCSC</v>
      </c>
      <c r="E12923" s="1" t="str">
        <f>HYPERLINK("http://www.ncbi.nlm.nih.gov/gene/?term=HABP2","NCBI")</f>
        <v>NCBI</v>
      </c>
      <c r="F12923">
        <v>0.41</v>
      </c>
      <c r="G12923">
        <v>0.53</v>
      </c>
      <c r="H12923" s="1" t="str">
        <f>HYPERLINK("http://www.weizmann.ac.il/complex/compphys/software/geview/data/figures/206010_at.png","Figure")</f>
        <v>Figure</v>
      </c>
      <c r="I12923">
        <v>1.06</v>
      </c>
      <c r="J12923">
        <v>0.38</v>
      </c>
      <c r="K12923">
        <v>1.03</v>
      </c>
      <c r="L12923">
        <v>0.69</v>
      </c>
      <c r="M12923">
        <v>0.97399999999999998</v>
      </c>
      <c r="N12923">
        <v>0.77</v>
      </c>
    </row>
    <row r="12924" spans="1:14" x14ac:dyDescent="0.25">
      <c r="A12924" t="s">
        <v>22132</v>
      </c>
      <c r="B12924" t="s">
        <v>3777</v>
      </c>
      <c r="C12924" s="1" t="str">
        <f>HYPERLINK("http://www.genecards.org/cgi-bin/carddisp.pl?gene=ELK4","GeneCards")</f>
        <v>GeneCards</v>
      </c>
      <c r="D12924" s="1" t="str">
        <f>HYPERLINK("http://genome-euro.ucsc.edu/cgi-bin/hgTracks?position=206919_at","UCSC")</f>
        <v>UCSC</v>
      </c>
      <c r="E12924" s="1" t="str">
        <f>HYPERLINK("http://www.ncbi.nlm.nih.gov/gene/?term=ELK4","NCBI")</f>
        <v>NCBI</v>
      </c>
      <c r="F12924">
        <v>0.41</v>
      </c>
      <c r="G12924">
        <v>0.53</v>
      </c>
      <c r="H12924" s="1" t="str">
        <f>HYPERLINK("http://www.weizmann.ac.il/complex/compphys/software/geview/data/figures/206919_at.png","Figure")</f>
        <v>Figure</v>
      </c>
      <c r="I12924">
        <v>1.01</v>
      </c>
      <c r="J12924">
        <v>1</v>
      </c>
      <c r="K12924">
        <v>0.88600000000000001</v>
      </c>
      <c r="L12924">
        <v>0.5</v>
      </c>
      <c r="M12924">
        <v>0.877</v>
      </c>
      <c r="N12924">
        <v>0.49</v>
      </c>
    </row>
    <row r="12925" spans="1:14" x14ac:dyDescent="0.25">
      <c r="A12925" t="s">
        <v>22133</v>
      </c>
      <c r="B12925" t="s">
        <v>22134</v>
      </c>
      <c r="C12925" s="1" t="str">
        <f>HYPERLINK("http://www.genecards.org/cgi-bin/carddisp.pl?gene=MAP2K5","GeneCards")</f>
        <v>GeneCards</v>
      </c>
      <c r="D12925" s="1" t="str">
        <f>HYPERLINK("http://genome-euro.ucsc.edu/cgi-bin/hgTracks?position=204756_at","UCSC")</f>
        <v>UCSC</v>
      </c>
      <c r="E12925" s="1" t="str">
        <f>HYPERLINK("http://www.ncbi.nlm.nih.gov/gene/?term=MAP2K5","NCBI")</f>
        <v>NCBI</v>
      </c>
      <c r="F12925">
        <v>0.41</v>
      </c>
      <c r="G12925">
        <v>0.53</v>
      </c>
      <c r="H12925" s="1" t="str">
        <f>HYPERLINK("http://www.weizmann.ac.il/complex/compphys/software/geview/data/figures/204756_at.png","Figure")</f>
        <v>Figure</v>
      </c>
      <c r="I12925">
        <v>1.1499999999999999</v>
      </c>
      <c r="J12925">
        <v>0.49</v>
      </c>
      <c r="K12925">
        <v>1.1299999999999999</v>
      </c>
      <c r="L12925">
        <v>0.45</v>
      </c>
      <c r="M12925">
        <v>0.98899999999999999</v>
      </c>
      <c r="N12925">
        <v>0.99</v>
      </c>
    </row>
    <row r="12926" spans="1:14" x14ac:dyDescent="0.25">
      <c r="A12926" t="s">
        <v>22135</v>
      </c>
      <c r="B12926" t="s">
        <v>22136</v>
      </c>
      <c r="C12926" s="1" t="str">
        <f>HYPERLINK("http://www.genecards.org/cgi-bin/carddisp.pl?gene=PIN1","GeneCards")</f>
        <v>GeneCards</v>
      </c>
      <c r="D12926" s="1" t="str">
        <f>HYPERLINK("http://genome-euro.ucsc.edu/cgi-bin/hgTracks?position=202927_at","UCSC")</f>
        <v>UCSC</v>
      </c>
      <c r="E12926" s="1" t="str">
        <f>HYPERLINK("http://www.ncbi.nlm.nih.gov/gene/?term=PIN1","NCBI")</f>
        <v>NCBI</v>
      </c>
      <c r="F12926">
        <v>0.41</v>
      </c>
      <c r="G12926">
        <v>0.53</v>
      </c>
      <c r="H12926" s="1" t="str">
        <f>HYPERLINK("http://www.weizmann.ac.il/complex/compphys/software/geview/data/figures/202927_at.png","Figure")</f>
        <v>Figure</v>
      </c>
      <c r="I12926">
        <v>0.90900000000000003</v>
      </c>
      <c r="J12926">
        <v>0.56999999999999995</v>
      </c>
      <c r="K12926">
        <v>1.02</v>
      </c>
      <c r="L12926">
        <v>0.96</v>
      </c>
      <c r="M12926">
        <v>1.1299999999999999</v>
      </c>
      <c r="N12926">
        <v>0.39</v>
      </c>
    </row>
    <row r="12927" spans="1:14" x14ac:dyDescent="0.25">
      <c r="A12927" t="s">
        <v>22137</v>
      </c>
      <c r="B12927" t="s">
        <v>22138</v>
      </c>
      <c r="C12927" s="1" t="str">
        <f>HYPERLINK("http://www.genecards.org/cgi-bin/carddisp.pl?gene=TBL3","GeneCards")</f>
        <v>GeneCards</v>
      </c>
      <c r="D12927" s="1" t="str">
        <f>HYPERLINK("http://genome-euro.ucsc.edu/cgi-bin/hgTracks?position=209820_s_at","UCSC")</f>
        <v>UCSC</v>
      </c>
      <c r="E12927" s="1" t="str">
        <f>HYPERLINK("http://www.ncbi.nlm.nih.gov/gene/?term=TBL3","NCBI")</f>
        <v>NCBI</v>
      </c>
      <c r="F12927">
        <v>0.41</v>
      </c>
      <c r="G12927">
        <v>0.53</v>
      </c>
      <c r="H12927" s="1" t="str">
        <f>HYPERLINK("http://www.weizmann.ac.il/complex/compphys/software/geview/data/figures/209820_s_at.png","Figure")</f>
        <v>Figure</v>
      </c>
      <c r="I12927">
        <v>0.97299999999999998</v>
      </c>
      <c r="J12927">
        <v>0.98</v>
      </c>
      <c r="K12927">
        <v>1.17</v>
      </c>
      <c r="L12927">
        <v>0.53</v>
      </c>
      <c r="M12927">
        <v>1.2</v>
      </c>
      <c r="N12927">
        <v>0.47</v>
      </c>
    </row>
    <row r="12928" spans="1:14" x14ac:dyDescent="0.25">
      <c r="A12928" t="s">
        <v>22139</v>
      </c>
      <c r="B12928" t="s">
        <v>22140</v>
      </c>
      <c r="C12928" s="1" t="str">
        <f>HYPERLINK("http://www.genecards.org/cgi-bin/carddisp.pl?gene=EFHD2","GeneCards")</f>
        <v>GeneCards</v>
      </c>
      <c r="D12928" s="1" t="str">
        <f>HYPERLINK("http://genome-euro.ucsc.edu/cgi-bin/hgTracks?position=217992_s_at","UCSC")</f>
        <v>UCSC</v>
      </c>
      <c r="E12928" s="1" t="str">
        <f>HYPERLINK("http://www.ncbi.nlm.nih.gov/gene/?term=EFHD2","NCBI")</f>
        <v>NCBI</v>
      </c>
      <c r="F12928">
        <v>0.41</v>
      </c>
      <c r="G12928">
        <v>0.53</v>
      </c>
      <c r="H12928" s="1" t="str">
        <f>HYPERLINK("http://www.weizmann.ac.il/complex/compphys/software/geview/data/figures/217992_s_at.png","Figure")</f>
        <v>Figure</v>
      </c>
      <c r="I12928">
        <v>0.89200000000000002</v>
      </c>
      <c r="J12928">
        <v>0.88</v>
      </c>
      <c r="K12928">
        <v>0.754</v>
      </c>
      <c r="L12928">
        <v>0.38</v>
      </c>
      <c r="M12928">
        <v>0.84499999999999997</v>
      </c>
      <c r="N12928">
        <v>0.73</v>
      </c>
    </row>
    <row r="12929" spans="1:14" x14ac:dyDescent="0.25">
      <c r="A12929" t="s">
        <v>22141</v>
      </c>
      <c r="B12929" t="s">
        <v>19882</v>
      </c>
      <c r="C12929" s="1" t="str">
        <f>HYPERLINK("http://www.genecards.org/cgi-bin/carddisp.pl?gene=PTK2B","GeneCards")</f>
        <v>GeneCards</v>
      </c>
      <c r="D12929" s="1" t="str">
        <f>HYPERLINK("http://genome-euro.ucsc.edu/cgi-bin/hgTracks?position=203110_at","UCSC")</f>
        <v>UCSC</v>
      </c>
      <c r="E12929" s="1" t="str">
        <f>HYPERLINK("http://www.ncbi.nlm.nih.gov/gene/?term=PTK2B","NCBI")</f>
        <v>NCBI</v>
      </c>
      <c r="F12929">
        <v>0.41</v>
      </c>
      <c r="G12929">
        <v>0.53</v>
      </c>
      <c r="H12929" s="1" t="str">
        <f>HYPERLINK("http://www.weizmann.ac.il/complex/compphys/software/geview/data/figures/203110_at.png","Figure")</f>
        <v>Figure</v>
      </c>
      <c r="I12929">
        <v>0.74399999999999999</v>
      </c>
      <c r="J12929">
        <v>0.6</v>
      </c>
      <c r="K12929">
        <v>1.0900000000000001</v>
      </c>
      <c r="L12929">
        <v>0.94</v>
      </c>
      <c r="M12929">
        <v>1.47</v>
      </c>
      <c r="N12929">
        <v>0.38</v>
      </c>
    </row>
    <row r="12930" spans="1:14" x14ac:dyDescent="0.25">
      <c r="A12930" t="s">
        <v>22142</v>
      </c>
      <c r="B12930" t="s">
        <v>14333</v>
      </c>
      <c r="C12930" s="1" t="str">
        <f>HYPERLINK("http://www.genecards.org/cgi-bin/carddisp.pl?gene=PABPN1","GeneCards")</f>
        <v>GeneCards</v>
      </c>
      <c r="D12930" s="1" t="str">
        <f>HYPERLINK("http://genome-euro.ucsc.edu/cgi-bin/hgTracks?position=201544_x_at","UCSC")</f>
        <v>UCSC</v>
      </c>
      <c r="E12930" s="1" t="str">
        <f>HYPERLINK("http://www.ncbi.nlm.nih.gov/gene/?term=PABPN1","NCBI")</f>
        <v>NCBI</v>
      </c>
      <c r="F12930">
        <v>0.41</v>
      </c>
      <c r="G12930">
        <v>0.53</v>
      </c>
      <c r="H12930" s="1" t="str">
        <f>HYPERLINK("http://www.weizmann.ac.il/complex/compphys/software/geview/data/figures/201544_x_at.png","Figure")</f>
        <v>Figure</v>
      </c>
      <c r="I12930">
        <v>0.79900000000000004</v>
      </c>
      <c r="J12930">
        <v>0.39</v>
      </c>
      <c r="K12930">
        <v>0.94299999999999995</v>
      </c>
      <c r="L12930">
        <v>0.92</v>
      </c>
      <c r="M12930">
        <v>1.18</v>
      </c>
      <c r="N12930">
        <v>0.55000000000000004</v>
      </c>
    </row>
    <row r="12931" spans="1:14" x14ac:dyDescent="0.25">
      <c r="A12931" t="s">
        <v>22143</v>
      </c>
      <c r="B12931" t="s">
        <v>22144</v>
      </c>
      <c r="C12931" s="1" t="str">
        <f>HYPERLINK("http://www.genecards.org/cgi-bin/carddisp.pl?gene=NCALD","GeneCards")</f>
        <v>GeneCards</v>
      </c>
      <c r="D12931" s="1" t="str">
        <f>HYPERLINK("http://genome-euro.ucsc.edu/cgi-bin/hgTracks?position=211685_s_at","UCSC")</f>
        <v>UCSC</v>
      </c>
      <c r="E12931" s="1" t="str">
        <f>HYPERLINK("http://www.ncbi.nlm.nih.gov/gene/?term=NCALD","NCBI")</f>
        <v>NCBI</v>
      </c>
      <c r="F12931">
        <v>0.41</v>
      </c>
      <c r="G12931">
        <v>0.53</v>
      </c>
      <c r="H12931" s="1" t="str">
        <f>HYPERLINK("http://www.weizmann.ac.il/complex/compphys/software/geview/data/figures/211685_s_at.png","Figure")</f>
        <v>Figure</v>
      </c>
      <c r="I12931">
        <v>0.89600000000000002</v>
      </c>
      <c r="J12931">
        <v>0.62</v>
      </c>
      <c r="K12931">
        <v>0.871</v>
      </c>
      <c r="L12931">
        <v>0.39</v>
      </c>
      <c r="M12931">
        <v>0.97199999999999998</v>
      </c>
      <c r="N12931">
        <v>0.96</v>
      </c>
    </row>
    <row r="12932" spans="1:14" x14ac:dyDescent="0.25">
      <c r="A12932" t="s">
        <v>22145</v>
      </c>
      <c r="B12932" t="s">
        <v>22146</v>
      </c>
      <c r="C12932" s="1" t="str">
        <f>HYPERLINK("http://www.genecards.org/cgi-bin/carddisp.pl?gene=HMGCS1","GeneCards")</f>
        <v>GeneCards</v>
      </c>
      <c r="D12932" s="1" t="str">
        <f>HYPERLINK("http://genome-euro.ucsc.edu/cgi-bin/hgTracks?position=221750_at","UCSC")</f>
        <v>UCSC</v>
      </c>
      <c r="E12932" s="1" t="str">
        <f>HYPERLINK("http://www.ncbi.nlm.nih.gov/gene/?term=HMGCS1","NCBI")</f>
        <v>NCBI</v>
      </c>
      <c r="F12932">
        <v>0.41</v>
      </c>
      <c r="G12932">
        <v>0.53</v>
      </c>
      <c r="H12932" s="1" t="str">
        <f>HYPERLINK("http://www.weizmann.ac.il/complex/compphys/software/geview/data/figures/221750_at.png","Figure")</f>
        <v>Figure</v>
      </c>
      <c r="I12932">
        <v>0.88400000000000001</v>
      </c>
      <c r="J12932">
        <v>0.43</v>
      </c>
      <c r="K12932">
        <v>0.91200000000000003</v>
      </c>
      <c r="L12932">
        <v>0.53</v>
      </c>
      <c r="M12932">
        <v>1.03</v>
      </c>
      <c r="N12932">
        <v>0.94</v>
      </c>
    </row>
    <row r="12933" spans="1:14" x14ac:dyDescent="0.25">
      <c r="A12933" t="s">
        <v>22147</v>
      </c>
      <c r="B12933" t="s">
        <v>9090</v>
      </c>
      <c r="C12933" s="1" t="str">
        <f>HYPERLINK("http://www.genecards.org/cgi-bin/carddisp.pl?gene=IDUA","GeneCards")</f>
        <v>GeneCards</v>
      </c>
      <c r="D12933" s="1" t="str">
        <f>HYPERLINK("http://genome-euro.ucsc.edu/cgi-bin/hgTracks?position=205059_s_at","UCSC")</f>
        <v>UCSC</v>
      </c>
      <c r="E12933" s="1" t="str">
        <f>HYPERLINK("http://www.ncbi.nlm.nih.gov/gene/?term=IDUA","NCBI")</f>
        <v>NCBI</v>
      </c>
      <c r="F12933">
        <v>0.41</v>
      </c>
      <c r="G12933">
        <v>0.53</v>
      </c>
      <c r="H12933" s="1" t="str">
        <f>HYPERLINK("http://www.weizmann.ac.il/complex/compphys/software/geview/data/figures/205059_s_at.png","Figure")</f>
        <v>Figure</v>
      </c>
      <c r="I12933">
        <v>0.77800000000000002</v>
      </c>
      <c r="J12933">
        <v>0.61</v>
      </c>
      <c r="K12933">
        <v>1.08</v>
      </c>
      <c r="L12933">
        <v>0.93</v>
      </c>
      <c r="M12933">
        <v>1.39</v>
      </c>
      <c r="N12933">
        <v>0.38</v>
      </c>
    </row>
    <row r="12934" spans="1:14" x14ac:dyDescent="0.25">
      <c r="A12934" t="s">
        <v>22148</v>
      </c>
      <c r="B12934" t="s">
        <v>22149</v>
      </c>
      <c r="C12934" s="1" t="str">
        <f>HYPERLINK("http://www.genecards.org/cgi-bin/carddisp.pl?gene=PCDHB1","GeneCards")</f>
        <v>GeneCards</v>
      </c>
      <c r="D12934" s="1" t="str">
        <f>HYPERLINK("http://genome-euro.ucsc.edu/cgi-bin/hgTracks?position=221303_at","UCSC")</f>
        <v>UCSC</v>
      </c>
      <c r="E12934" s="1" t="str">
        <f>HYPERLINK("http://www.ncbi.nlm.nih.gov/gene/?term=PCDHB1","NCBI")</f>
        <v>NCBI</v>
      </c>
      <c r="F12934">
        <v>0.41</v>
      </c>
      <c r="G12934">
        <v>0.53</v>
      </c>
      <c r="H12934" s="1" t="str">
        <f>HYPERLINK("http://www.weizmann.ac.il/complex/compphys/software/geview/data/figures/221303_at.png","Figure")</f>
        <v>Figure</v>
      </c>
      <c r="I12934">
        <v>1.01</v>
      </c>
      <c r="J12934">
        <v>0.99</v>
      </c>
      <c r="K12934">
        <v>0.95</v>
      </c>
      <c r="L12934">
        <v>0.52</v>
      </c>
      <c r="M12934">
        <v>0.94399999999999995</v>
      </c>
      <c r="N12934">
        <v>0.48</v>
      </c>
    </row>
    <row r="12935" spans="1:14" x14ac:dyDescent="0.25">
      <c r="A12935" t="s">
        <v>22150</v>
      </c>
      <c r="B12935" t="s">
        <v>22151</v>
      </c>
      <c r="C12935" s="1" t="str">
        <f>HYPERLINK("http://www.genecards.org/cgi-bin/carddisp.pl?gene=ELF3","GeneCards")</f>
        <v>GeneCards</v>
      </c>
      <c r="D12935" s="1" t="str">
        <f>HYPERLINK("http://genome-euro.ucsc.edu/cgi-bin/hgTracks?position=210827_s_at","UCSC")</f>
        <v>UCSC</v>
      </c>
      <c r="E12935" s="1" t="str">
        <f>HYPERLINK("http://www.ncbi.nlm.nih.gov/gene/?term=ELF3","NCBI")</f>
        <v>NCBI</v>
      </c>
      <c r="F12935">
        <v>0.41</v>
      </c>
      <c r="G12935">
        <v>0.53</v>
      </c>
      <c r="H12935" s="1" t="str">
        <f>HYPERLINK("http://www.weizmann.ac.il/complex/compphys/software/geview/data/figures/210827_s_at.png","Figure")</f>
        <v>Figure</v>
      </c>
      <c r="I12935">
        <v>1.1599999999999999</v>
      </c>
      <c r="J12935">
        <v>0.44</v>
      </c>
      <c r="K12935">
        <v>1.1200000000000001</v>
      </c>
      <c r="L12935">
        <v>0.51</v>
      </c>
      <c r="M12935">
        <v>0.96899999999999997</v>
      </c>
      <c r="N12935">
        <v>0.96</v>
      </c>
    </row>
    <row r="12936" spans="1:14" x14ac:dyDescent="0.25">
      <c r="A12936" t="s">
        <v>22152</v>
      </c>
      <c r="B12936" t="s">
        <v>22153</v>
      </c>
      <c r="C12936" s="1" t="str">
        <f>HYPERLINK("http://www.genecards.org/cgi-bin/carddisp.pl?gene=DSG3","GeneCards")</f>
        <v>GeneCards</v>
      </c>
      <c r="D12936" s="1" t="str">
        <f>HYPERLINK("http://genome-euro.ucsc.edu/cgi-bin/hgTracks?position=205595_at","UCSC")</f>
        <v>UCSC</v>
      </c>
      <c r="E12936" s="1" t="str">
        <f>HYPERLINK("http://www.ncbi.nlm.nih.gov/gene/?term=DSG3","NCBI")</f>
        <v>NCBI</v>
      </c>
      <c r="F12936">
        <v>0.41</v>
      </c>
      <c r="G12936">
        <v>0.53</v>
      </c>
      <c r="H12936" s="1" t="str">
        <f>HYPERLINK("http://www.weizmann.ac.il/complex/compphys/software/geview/data/figures/205595_at.png","Figure")</f>
        <v>Figure</v>
      </c>
      <c r="I12936">
        <v>1.0900000000000001</v>
      </c>
      <c r="J12936">
        <v>0.41</v>
      </c>
      <c r="K12936">
        <v>1.07</v>
      </c>
      <c r="L12936">
        <v>0.55000000000000004</v>
      </c>
      <c r="M12936">
        <v>0.97399999999999998</v>
      </c>
      <c r="N12936">
        <v>0.91</v>
      </c>
    </row>
    <row r="12937" spans="1:14" x14ac:dyDescent="0.25">
      <c r="A12937" t="s">
        <v>22154</v>
      </c>
      <c r="B12937" t="s">
        <v>21295</v>
      </c>
      <c r="C12937" s="1" t="str">
        <f>HYPERLINK("http://www.genecards.org/cgi-bin/carddisp.pl?gene=VPS53","GeneCards")</f>
        <v>GeneCards</v>
      </c>
      <c r="D12937" s="1" t="str">
        <f>HYPERLINK("http://genome-euro.ucsc.edu/cgi-bin/hgTracks?position=219794_at","UCSC")</f>
        <v>UCSC</v>
      </c>
      <c r="E12937" s="1" t="str">
        <f>HYPERLINK("http://www.ncbi.nlm.nih.gov/gene/?term=VPS53","NCBI")</f>
        <v>NCBI</v>
      </c>
      <c r="F12937">
        <v>0.41</v>
      </c>
      <c r="G12937">
        <v>0.53</v>
      </c>
      <c r="H12937" s="1" t="str">
        <f>HYPERLINK("http://www.weizmann.ac.il/complex/compphys/software/geview/data/figures/219794_at.png","Figure")</f>
        <v>Figure</v>
      </c>
      <c r="I12937">
        <v>1.06</v>
      </c>
      <c r="J12937">
        <v>0.39</v>
      </c>
      <c r="K12937">
        <v>1.02</v>
      </c>
      <c r="L12937">
        <v>0.91</v>
      </c>
      <c r="M12937">
        <v>0.95599999999999996</v>
      </c>
      <c r="N12937">
        <v>0.56000000000000005</v>
      </c>
    </row>
    <row r="12938" spans="1:14" x14ac:dyDescent="0.25">
      <c r="A12938" t="s">
        <v>22155</v>
      </c>
      <c r="B12938" t="s">
        <v>22156</v>
      </c>
      <c r="C12938" s="1" t="str">
        <f>HYPERLINK("http://www.genecards.org/cgi-bin/carddisp.pl?gene=ENG","GeneCards")</f>
        <v>GeneCards</v>
      </c>
      <c r="D12938" s="1" t="str">
        <f>HYPERLINK("http://genome-euro.ucsc.edu/cgi-bin/hgTracks?position=201809_s_at","UCSC")</f>
        <v>UCSC</v>
      </c>
      <c r="E12938" s="1" t="str">
        <f>HYPERLINK("http://www.ncbi.nlm.nih.gov/gene/?term=ENG","NCBI")</f>
        <v>NCBI</v>
      </c>
      <c r="F12938">
        <v>0.41</v>
      </c>
      <c r="G12938">
        <v>0.53</v>
      </c>
      <c r="H12938" s="1" t="str">
        <f>HYPERLINK("http://www.weizmann.ac.il/complex/compphys/software/geview/data/figures/201809_s_at.png","Figure")</f>
        <v>Figure</v>
      </c>
      <c r="I12938">
        <v>0.876</v>
      </c>
      <c r="J12938">
        <v>0.62</v>
      </c>
      <c r="K12938">
        <v>1.05</v>
      </c>
      <c r="L12938">
        <v>0.92</v>
      </c>
      <c r="M12938">
        <v>1.2</v>
      </c>
      <c r="N12938">
        <v>0.38</v>
      </c>
    </row>
    <row r="12939" spans="1:14" x14ac:dyDescent="0.25">
      <c r="A12939" t="s">
        <v>22157</v>
      </c>
      <c r="B12939" t="s">
        <v>22158</v>
      </c>
      <c r="C12939" s="1" t="str">
        <f>HYPERLINK("http://www.genecards.org/cgi-bin/carddisp.pl?gene=WNT7A","GeneCards")</f>
        <v>GeneCards</v>
      </c>
      <c r="D12939" s="1" t="str">
        <f>HYPERLINK("http://genome-euro.ucsc.edu/cgi-bin/hgTracks?position=210248_at","UCSC")</f>
        <v>UCSC</v>
      </c>
      <c r="E12939" s="1" t="str">
        <f>HYPERLINK("http://www.ncbi.nlm.nih.gov/gene/?term=WNT7A","NCBI")</f>
        <v>NCBI</v>
      </c>
      <c r="F12939">
        <v>0.41</v>
      </c>
      <c r="G12939">
        <v>0.53</v>
      </c>
      <c r="H12939" s="1" t="str">
        <f>HYPERLINK("http://www.weizmann.ac.il/complex/compphys/software/geview/data/figures/210248_at.png","Figure")</f>
        <v>Figure</v>
      </c>
      <c r="I12939">
        <v>1.02</v>
      </c>
      <c r="J12939">
        <v>0.96</v>
      </c>
      <c r="K12939">
        <v>0.93400000000000005</v>
      </c>
      <c r="L12939">
        <v>0.56999999999999995</v>
      </c>
      <c r="M12939">
        <v>0.91500000000000004</v>
      </c>
      <c r="N12939">
        <v>0.44</v>
      </c>
    </row>
    <row r="12940" spans="1:14" x14ac:dyDescent="0.25">
      <c r="A12940" t="s">
        <v>22159</v>
      </c>
      <c r="B12940" t="s">
        <v>22160</v>
      </c>
      <c r="C12940" s="1" t="str">
        <f>HYPERLINK("http://www.genecards.org/cgi-bin/carddisp.pl?gene=AZU1","GeneCards")</f>
        <v>GeneCards</v>
      </c>
      <c r="D12940" s="1" t="str">
        <f>HYPERLINK("http://genome-euro.ucsc.edu/cgi-bin/hgTracks?position=214575_s_at","UCSC")</f>
        <v>UCSC</v>
      </c>
      <c r="E12940" s="1" t="str">
        <f>HYPERLINK("http://www.ncbi.nlm.nih.gov/gene/?term=AZU1","NCBI")</f>
        <v>NCBI</v>
      </c>
      <c r="F12940">
        <v>0.41</v>
      </c>
      <c r="G12940">
        <v>0.53</v>
      </c>
      <c r="H12940" s="1" t="str">
        <f>HYPERLINK("http://www.weizmann.ac.il/complex/compphys/software/geview/data/figures/214575_s_at.png","Figure")</f>
        <v>Figure</v>
      </c>
      <c r="I12940">
        <v>1.01</v>
      </c>
      <c r="J12940">
        <v>0.48</v>
      </c>
      <c r="K12940">
        <v>1.01</v>
      </c>
      <c r="L12940">
        <v>0.46</v>
      </c>
      <c r="M12940">
        <v>0.999</v>
      </c>
      <c r="N12940">
        <v>0.99</v>
      </c>
    </row>
    <row r="12941" spans="1:14" x14ac:dyDescent="0.25">
      <c r="A12941" t="s">
        <v>22161</v>
      </c>
      <c r="B12941" t="s">
        <v>4201</v>
      </c>
      <c r="C12941" s="1" t="str">
        <f>HYPERLINK("http://www.genecards.org/cgi-bin/carddisp.pl?gene=ACVR1B","GeneCards")</f>
        <v>GeneCards</v>
      </c>
      <c r="D12941" s="1" t="str">
        <f>HYPERLINK("http://genome-euro.ucsc.edu/cgi-bin/hgTracks?position=208219_at","UCSC")</f>
        <v>UCSC</v>
      </c>
      <c r="E12941" s="1" t="str">
        <f>HYPERLINK("http://www.ncbi.nlm.nih.gov/gene/?term=ACVR1B","NCBI")</f>
        <v>NCBI</v>
      </c>
      <c r="F12941">
        <v>0.41</v>
      </c>
      <c r="G12941">
        <v>0.54</v>
      </c>
      <c r="H12941" s="1" t="str">
        <f>HYPERLINK("http://www.weizmann.ac.il/complex/compphys/software/geview/data/figures/208219_at.png","Figure")</f>
        <v>Figure</v>
      </c>
      <c r="I12941">
        <v>1.08</v>
      </c>
      <c r="J12941">
        <v>0.42</v>
      </c>
      <c r="K12941">
        <v>1.06</v>
      </c>
      <c r="L12941">
        <v>0.55000000000000004</v>
      </c>
      <c r="M12941">
        <v>0.97799999999999998</v>
      </c>
      <c r="N12941">
        <v>0.92</v>
      </c>
    </row>
    <row r="12942" spans="1:14" x14ac:dyDescent="0.25">
      <c r="A12942" t="s">
        <v>22162</v>
      </c>
      <c r="B12942" t="s">
        <v>22163</v>
      </c>
      <c r="C12942" s="1" t="str">
        <f>HYPERLINK("http://www.genecards.org/cgi-bin/carddisp.pl?gene=ARHGAP28","GeneCards")</f>
        <v>GeneCards</v>
      </c>
      <c r="D12942" s="1" t="str">
        <f>HYPERLINK("http://genome-euro.ucsc.edu/cgi-bin/hgTracks?position=220381_at","UCSC")</f>
        <v>UCSC</v>
      </c>
      <c r="E12942" s="1" t="str">
        <f>HYPERLINK("http://www.ncbi.nlm.nih.gov/gene/?term=ARHGAP28","NCBI")</f>
        <v>NCBI</v>
      </c>
      <c r="F12942">
        <v>0.41</v>
      </c>
      <c r="G12942">
        <v>0.54</v>
      </c>
      <c r="H12942" s="1" t="str">
        <f>HYPERLINK("http://www.weizmann.ac.il/complex/compphys/software/geview/data/figures/220381_at.png","Figure")</f>
        <v>Figure</v>
      </c>
      <c r="I12942">
        <v>1.04</v>
      </c>
      <c r="J12942">
        <v>0.49</v>
      </c>
      <c r="K12942">
        <v>0.999</v>
      </c>
      <c r="L12942">
        <v>1</v>
      </c>
      <c r="M12942">
        <v>0.96</v>
      </c>
      <c r="N12942">
        <v>0.42</v>
      </c>
    </row>
    <row r="12943" spans="1:14" x14ac:dyDescent="0.25">
      <c r="A12943" t="s">
        <v>22164</v>
      </c>
      <c r="B12943" t="s">
        <v>9807</v>
      </c>
      <c r="C12943" s="1" t="str">
        <f>HYPERLINK("http://www.genecards.org/cgi-bin/carddisp.pl?gene=CES2","GeneCards")</f>
        <v>GeneCards</v>
      </c>
      <c r="D12943" s="1" t="str">
        <f>HYPERLINK("http://genome-euro.ucsc.edu/cgi-bin/hgTracks?position=209668_x_at","UCSC")</f>
        <v>UCSC</v>
      </c>
      <c r="E12943" s="1" t="str">
        <f>HYPERLINK("http://www.ncbi.nlm.nih.gov/gene/?term=CES2","NCBI")</f>
        <v>NCBI</v>
      </c>
      <c r="F12943">
        <v>0.41</v>
      </c>
      <c r="G12943">
        <v>0.54</v>
      </c>
      <c r="H12943" s="1" t="str">
        <f>HYPERLINK("http://www.weizmann.ac.il/complex/compphys/software/geview/data/figures/209668_x_at.png","Figure")</f>
        <v>Figure</v>
      </c>
      <c r="I12943">
        <v>1.1399999999999999</v>
      </c>
      <c r="J12943">
        <v>0.38</v>
      </c>
      <c r="K12943">
        <v>1.04</v>
      </c>
      <c r="L12943">
        <v>0.86</v>
      </c>
      <c r="M12943">
        <v>0.91900000000000004</v>
      </c>
      <c r="N12943">
        <v>0.61</v>
      </c>
    </row>
    <row r="12944" spans="1:14" x14ac:dyDescent="0.25">
      <c r="A12944" t="s">
        <v>22165</v>
      </c>
      <c r="B12944" t="s">
        <v>22156</v>
      </c>
      <c r="C12944" s="1" t="str">
        <f>HYPERLINK("http://www.genecards.org/cgi-bin/carddisp.pl?gene=ENG","GeneCards")</f>
        <v>GeneCards</v>
      </c>
      <c r="D12944" s="1" t="str">
        <f>HYPERLINK("http://genome-euro.ucsc.edu/cgi-bin/hgTracks?position=201808_s_at","UCSC")</f>
        <v>UCSC</v>
      </c>
      <c r="E12944" s="1" t="str">
        <f>HYPERLINK("http://www.ncbi.nlm.nih.gov/gene/?term=ENG","NCBI")</f>
        <v>NCBI</v>
      </c>
      <c r="F12944">
        <v>0.41</v>
      </c>
      <c r="G12944">
        <v>0.54</v>
      </c>
      <c r="H12944" s="1" t="str">
        <f>HYPERLINK("http://www.weizmann.ac.il/complex/compphys/software/geview/data/figures/201808_s_at.png","Figure")</f>
        <v>Figure</v>
      </c>
      <c r="I12944">
        <v>1.07</v>
      </c>
      <c r="J12944">
        <v>0.57999999999999996</v>
      </c>
      <c r="K12944">
        <v>1.0900000000000001</v>
      </c>
      <c r="L12944">
        <v>0.4</v>
      </c>
      <c r="M12944">
        <v>1.01</v>
      </c>
      <c r="N12944">
        <v>0.98</v>
      </c>
    </row>
    <row r="12945" spans="1:14" x14ac:dyDescent="0.25">
      <c r="A12945" t="s">
        <v>22166</v>
      </c>
      <c r="B12945" t="s">
        <v>22167</v>
      </c>
      <c r="C12945" s="1" t="str">
        <f>HYPERLINK("http://www.genecards.org/cgi-bin/carddisp.pl?gene=CYP1A2","GeneCards")</f>
        <v>GeneCards</v>
      </c>
      <c r="D12945" s="1" t="str">
        <f>HYPERLINK("http://genome-euro.ucsc.edu/cgi-bin/hgTracks?position=207608_x_at","UCSC")</f>
        <v>UCSC</v>
      </c>
      <c r="E12945" s="1" t="str">
        <f>HYPERLINK("http://www.ncbi.nlm.nih.gov/gene/?term=CYP1A2","NCBI")</f>
        <v>NCBI</v>
      </c>
      <c r="F12945">
        <v>0.41</v>
      </c>
      <c r="G12945">
        <v>0.54</v>
      </c>
      <c r="H12945" s="1" t="str">
        <f>HYPERLINK("http://www.weizmann.ac.il/complex/compphys/software/geview/data/figures/207608_x_at.png","Figure")</f>
        <v>Figure</v>
      </c>
      <c r="I12945">
        <v>1.07</v>
      </c>
      <c r="J12945">
        <v>0.67</v>
      </c>
      <c r="K12945">
        <v>0.96699999999999997</v>
      </c>
      <c r="L12945">
        <v>0.88</v>
      </c>
      <c r="M12945">
        <v>0.90300000000000002</v>
      </c>
      <c r="N12945">
        <v>0.38</v>
      </c>
    </row>
    <row r="12946" spans="1:14" x14ac:dyDescent="0.25">
      <c r="A12946" t="s">
        <v>22168</v>
      </c>
      <c r="B12946" t="s">
        <v>22169</v>
      </c>
      <c r="C12946" s="1" t="str">
        <f>HYPERLINK("http://www.genecards.org/cgi-bin/carddisp.pl?gene=C9orf38","GeneCards")</f>
        <v>GeneCards</v>
      </c>
      <c r="D12946" s="1" t="str">
        <f>HYPERLINK("http://genome-euro.ucsc.edu/cgi-bin/hgTracks?position=208077_at","UCSC")</f>
        <v>UCSC</v>
      </c>
      <c r="E12946" s="1" t="str">
        <f>HYPERLINK("http://www.ncbi.nlm.nih.gov/gene/?term=C9orf38","NCBI")</f>
        <v>NCBI</v>
      </c>
      <c r="F12946">
        <v>0.41</v>
      </c>
      <c r="G12946">
        <v>0.54</v>
      </c>
      <c r="H12946" s="1" t="str">
        <f>HYPERLINK("http://www.weizmann.ac.il/complex/compphys/software/geview/data/figures/208077_at.png","Figure")</f>
        <v>Figure</v>
      </c>
      <c r="I12946">
        <v>0.80600000000000005</v>
      </c>
      <c r="J12946">
        <v>0.42</v>
      </c>
      <c r="K12946">
        <v>0.85799999999999998</v>
      </c>
      <c r="L12946">
        <v>0.55000000000000004</v>
      </c>
      <c r="M12946">
        <v>1.06</v>
      </c>
      <c r="N12946">
        <v>0.91</v>
      </c>
    </row>
    <row r="12947" spans="1:14" x14ac:dyDescent="0.25">
      <c r="A12947" t="s">
        <v>22170</v>
      </c>
      <c r="B12947" t="s">
        <v>9242</v>
      </c>
      <c r="C12947" s="1" t="str">
        <f>HYPERLINK("http://www.genecards.org/cgi-bin/carddisp.pl?gene=CDC42EP4","GeneCards")</f>
        <v>GeneCards</v>
      </c>
      <c r="D12947" s="1" t="str">
        <f>HYPERLINK("http://genome-euro.ucsc.edu/cgi-bin/hgTracks?position=218062_x_at","UCSC")</f>
        <v>UCSC</v>
      </c>
      <c r="E12947" s="1" t="str">
        <f>HYPERLINK("http://www.ncbi.nlm.nih.gov/gene/?term=CDC42EP4","NCBI")</f>
        <v>NCBI</v>
      </c>
      <c r="F12947">
        <v>0.41</v>
      </c>
      <c r="G12947">
        <v>0.54</v>
      </c>
      <c r="H12947" s="1" t="str">
        <f>HYPERLINK("http://www.weizmann.ac.il/complex/compphys/software/geview/data/figures/218062_x_at.png","Figure")</f>
        <v>Figure</v>
      </c>
      <c r="I12947">
        <v>1.24</v>
      </c>
      <c r="J12947">
        <v>0.38</v>
      </c>
      <c r="K12947">
        <v>1.08</v>
      </c>
      <c r="L12947">
        <v>0.83</v>
      </c>
      <c r="M12947">
        <v>0.874</v>
      </c>
      <c r="N12947">
        <v>0.63</v>
      </c>
    </row>
    <row r="12948" spans="1:14" x14ac:dyDescent="0.25">
      <c r="A12948" t="s">
        <v>22171</v>
      </c>
      <c r="B12948" t="s">
        <v>13424</v>
      </c>
      <c r="C12948" s="1" t="str">
        <f>HYPERLINK("http://www.genecards.org/cgi-bin/carddisp.pl?gene=FXR1","GeneCards")</f>
        <v>GeneCards</v>
      </c>
      <c r="D12948" s="1" t="str">
        <f>HYPERLINK("http://genome-euro.ucsc.edu/cgi-bin/hgTracks?position=201637_s_at","UCSC")</f>
        <v>UCSC</v>
      </c>
      <c r="E12948" s="1" t="str">
        <f>HYPERLINK("http://www.ncbi.nlm.nih.gov/gene/?term=FXR1","NCBI")</f>
        <v>NCBI</v>
      </c>
      <c r="F12948">
        <v>0.41</v>
      </c>
      <c r="G12948">
        <v>0.54</v>
      </c>
      <c r="H12948" s="1" t="str">
        <f>HYPERLINK("http://www.weizmann.ac.il/complex/compphys/software/geview/data/figures/201637_s_at.png","Figure")</f>
        <v>Figure</v>
      </c>
      <c r="I12948">
        <v>1.26</v>
      </c>
      <c r="J12948">
        <v>0.39</v>
      </c>
      <c r="K12948">
        <v>1.1399999999999999</v>
      </c>
      <c r="L12948">
        <v>0.65</v>
      </c>
      <c r="M12948">
        <v>0.90600000000000003</v>
      </c>
      <c r="N12948">
        <v>0.81</v>
      </c>
    </row>
    <row r="12949" spans="1:14" x14ac:dyDescent="0.25">
      <c r="A12949" t="s">
        <v>22172</v>
      </c>
      <c r="B12949" t="s">
        <v>15565</v>
      </c>
      <c r="C12949" s="1" t="str">
        <f>HYPERLINK("http://www.genecards.org/cgi-bin/carddisp.pl?gene=STK4","GeneCards")</f>
        <v>GeneCards</v>
      </c>
      <c r="D12949" s="1" t="str">
        <f>HYPERLINK("http://genome-euro.ucsc.edu/cgi-bin/hgTracks?position=211085_s_at","UCSC")</f>
        <v>UCSC</v>
      </c>
      <c r="E12949" s="1" t="str">
        <f>HYPERLINK("http://www.ncbi.nlm.nih.gov/gene/?term=STK4","NCBI")</f>
        <v>NCBI</v>
      </c>
      <c r="F12949">
        <v>0.41</v>
      </c>
      <c r="G12949">
        <v>0.54</v>
      </c>
      <c r="H12949" s="1" t="str">
        <f>HYPERLINK("http://www.weizmann.ac.il/complex/compphys/software/geview/data/figures/211085_s_at.png","Figure")</f>
        <v>Figure</v>
      </c>
      <c r="I12949">
        <v>1</v>
      </c>
      <c r="J12949">
        <v>1</v>
      </c>
      <c r="K12949">
        <v>0.96</v>
      </c>
      <c r="L12949">
        <v>0.48</v>
      </c>
      <c r="M12949">
        <v>0.96</v>
      </c>
      <c r="N12949">
        <v>0.52</v>
      </c>
    </row>
    <row r="12950" spans="1:14" x14ac:dyDescent="0.25">
      <c r="A12950" t="s">
        <v>22173</v>
      </c>
      <c r="B12950" t="s">
        <v>22174</v>
      </c>
      <c r="C12950" s="1" t="str">
        <f>HYPERLINK("http://www.genecards.org/cgi-bin/carddisp.pl?gene=ZNHIT3","GeneCards")</f>
        <v>GeneCards</v>
      </c>
      <c r="D12950" s="1" t="str">
        <f>HYPERLINK("http://genome-euro.ucsc.edu/cgi-bin/hgTracks?position=212544_at","UCSC")</f>
        <v>UCSC</v>
      </c>
      <c r="E12950" s="1" t="str">
        <f>HYPERLINK("http://www.ncbi.nlm.nih.gov/gene/?term=ZNHIT3","NCBI")</f>
        <v>NCBI</v>
      </c>
      <c r="F12950">
        <v>0.41</v>
      </c>
      <c r="G12950">
        <v>0.54</v>
      </c>
      <c r="H12950" s="1" t="str">
        <f>HYPERLINK("http://www.weizmann.ac.il/complex/compphys/software/geview/data/figures/212544_at.png","Figure")</f>
        <v>Figure</v>
      </c>
      <c r="I12950">
        <v>0.80700000000000005</v>
      </c>
      <c r="J12950">
        <v>0.51</v>
      </c>
      <c r="K12950">
        <v>0.81200000000000006</v>
      </c>
      <c r="L12950">
        <v>0.44</v>
      </c>
      <c r="M12950">
        <v>1.01</v>
      </c>
      <c r="N12950">
        <v>1</v>
      </c>
    </row>
    <row r="12951" spans="1:14" x14ac:dyDescent="0.25">
      <c r="A12951" t="s">
        <v>22175</v>
      </c>
      <c r="B12951" t="s">
        <v>22176</v>
      </c>
      <c r="C12951" s="1" t="str">
        <f>HYPERLINK("http://www.genecards.org/cgi-bin/carddisp.pl?gene=HIST1H3C","GeneCards")</f>
        <v>GeneCards</v>
      </c>
      <c r="D12951" s="1" t="str">
        <f>HYPERLINK("http://genome-euro.ucsc.edu/cgi-bin/hgTracks?position=208577_at","UCSC")</f>
        <v>UCSC</v>
      </c>
      <c r="E12951" s="1" t="str">
        <f>HYPERLINK("http://www.ncbi.nlm.nih.gov/gene/?term=HIST1H3C","NCBI")</f>
        <v>NCBI</v>
      </c>
      <c r="F12951">
        <v>0.41</v>
      </c>
      <c r="G12951">
        <v>0.54</v>
      </c>
      <c r="H12951" s="1" t="str">
        <f>HYPERLINK("http://www.weizmann.ac.il/complex/compphys/software/geview/data/figures/208577_at.png","Figure")</f>
        <v>Figure</v>
      </c>
      <c r="I12951">
        <v>1.21</v>
      </c>
      <c r="J12951">
        <v>0.49</v>
      </c>
      <c r="K12951">
        <v>1.19</v>
      </c>
      <c r="L12951">
        <v>0.46</v>
      </c>
      <c r="M12951">
        <v>0.98399999999999999</v>
      </c>
      <c r="N12951">
        <v>0.99</v>
      </c>
    </row>
    <row r="12952" spans="1:14" x14ac:dyDescent="0.25">
      <c r="A12952" t="s">
        <v>22177</v>
      </c>
      <c r="B12952" t="s">
        <v>22178</v>
      </c>
      <c r="C12952" s="1" t="str">
        <f>HYPERLINK("http://www.genecards.org/cgi-bin/carddisp.pl?gene=MYST1","GeneCards")</f>
        <v>GeneCards</v>
      </c>
      <c r="D12952" s="1" t="str">
        <f>HYPERLINK("http://genome-euro.ucsc.edu/cgi-bin/hgTracks?position=214885_at","UCSC")</f>
        <v>UCSC</v>
      </c>
      <c r="E12952" s="1" t="str">
        <f>HYPERLINK("http://www.ncbi.nlm.nih.gov/gene/?term=MYST1","NCBI")</f>
        <v>NCBI</v>
      </c>
      <c r="F12952">
        <v>0.41</v>
      </c>
      <c r="G12952">
        <v>0.54</v>
      </c>
      <c r="H12952" s="1" t="str">
        <f>HYPERLINK("http://www.weizmann.ac.il/complex/compphys/software/geview/data/figures/214885_at.png","Figure")</f>
        <v>Figure</v>
      </c>
      <c r="I12952">
        <v>1.01</v>
      </c>
      <c r="J12952">
        <v>0.99</v>
      </c>
      <c r="K12952">
        <v>0.89300000000000002</v>
      </c>
      <c r="L12952">
        <v>0.51</v>
      </c>
      <c r="M12952">
        <v>0.88100000000000001</v>
      </c>
      <c r="N12952">
        <v>0.48</v>
      </c>
    </row>
    <row r="12953" spans="1:14" x14ac:dyDescent="0.25">
      <c r="A12953" t="s">
        <v>22179</v>
      </c>
      <c r="B12953" t="s">
        <v>10297</v>
      </c>
      <c r="C12953" s="1" t="str">
        <f>HYPERLINK("http://www.genecards.org/cgi-bin/carddisp.pl?gene=CANX","GeneCards")</f>
        <v>GeneCards</v>
      </c>
      <c r="D12953" s="1" t="str">
        <f>HYPERLINK("http://genome-euro.ucsc.edu/cgi-bin/hgTracks?position=208853_s_at","UCSC")</f>
        <v>UCSC</v>
      </c>
      <c r="E12953" s="1" t="str">
        <f>HYPERLINK("http://www.ncbi.nlm.nih.gov/gene/?term=CANX","NCBI")</f>
        <v>NCBI</v>
      </c>
      <c r="F12953">
        <v>0.41</v>
      </c>
      <c r="G12953">
        <v>0.54</v>
      </c>
      <c r="H12953" s="1" t="str">
        <f>HYPERLINK("http://www.weizmann.ac.il/complex/compphys/software/geview/data/figures/208853_s_at.png","Figure")</f>
        <v>Figure</v>
      </c>
      <c r="I12953">
        <v>1.1399999999999999</v>
      </c>
      <c r="J12953">
        <v>0.7</v>
      </c>
      <c r="K12953">
        <v>1.21</v>
      </c>
      <c r="L12953">
        <v>0.38</v>
      </c>
      <c r="M12953">
        <v>1.06</v>
      </c>
      <c r="N12953">
        <v>0.91</v>
      </c>
    </row>
    <row r="12954" spans="1:14" x14ac:dyDescent="0.25">
      <c r="A12954" t="s">
        <v>22180</v>
      </c>
      <c r="B12954" t="s">
        <v>4153</v>
      </c>
      <c r="C12954" s="1" t="str">
        <f>HYPERLINK("http://www.genecards.org/cgi-bin/carddisp.pl?gene=VDAC3","GeneCards")</f>
        <v>GeneCards</v>
      </c>
      <c r="D12954" s="1" t="str">
        <f>HYPERLINK("http://genome-euro.ucsc.edu/cgi-bin/hgTracks?position=208844_at","UCSC")</f>
        <v>UCSC</v>
      </c>
      <c r="E12954" s="1" t="str">
        <f>HYPERLINK("http://www.ncbi.nlm.nih.gov/gene/?term=VDAC3","NCBI")</f>
        <v>NCBI</v>
      </c>
      <c r="F12954">
        <v>0.41</v>
      </c>
      <c r="G12954">
        <v>0.54</v>
      </c>
      <c r="H12954" s="1" t="str">
        <f>HYPERLINK("http://www.weizmann.ac.il/complex/compphys/software/geview/data/figures/208844_at.png","Figure")</f>
        <v>Figure</v>
      </c>
      <c r="I12954">
        <v>0.98799999999999999</v>
      </c>
      <c r="J12954">
        <v>0.99</v>
      </c>
      <c r="K12954">
        <v>0.91700000000000004</v>
      </c>
      <c r="L12954">
        <v>0.44</v>
      </c>
      <c r="M12954">
        <v>0.92800000000000005</v>
      </c>
      <c r="N12954">
        <v>0.57999999999999996</v>
      </c>
    </row>
    <row r="12955" spans="1:14" x14ac:dyDescent="0.25">
      <c r="A12955" t="s">
        <v>22181</v>
      </c>
      <c r="B12955" t="s">
        <v>22182</v>
      </c>
      <c r="C12955" s="1" t="str">
        <f>HYPERLINK("http://www.genecards.org/cgi-bin/carddisp.pl?gene=NACA /// NACAP1","GeneCards")</f>
        <v>GeneCards</v>
      </c>
      <c r="D12955" s="1" t="str">
        <f>HYPERLINK("http://genome-euro.ucsc.edu/cgi-bin/hgTracks?position=222018_at","UCSC")</f>
        <v>UCSC</v>
      </c>
      <c r="E12955" s="1" t="str">
        <f>HYPERLINK("http://www.ncbi.nlm.nih.gov/gene/?term=NACA /// NACAP1","NCBI")</f>
        <v>NCBI</v>
      </c>
      <c r="F12955">
        <v>0.41</v>
      </c>
      <c r="G12955">
        <v>0.54</v>
      </c>
      <c r="H12955" s="1" t="str">
        <f>HYPERLINK("http://www.weizmann.ac.il/complex/compphys/software/geview/data/figures/222018_at.png","Figure")</f>
        <v>Figure</v>
      </c>
      <c r="I12955">
        <v>0.77500000000000002</v>
      </c>
      <c r="J12955">
        <v>0.49</v>
      </c>
      <c r="K12955">
        <v>0.79300000000000004</v>
      </c>
      <c r="L12955">
        <v>0.46</v>
      </c>
      <c r="M12955">
        <v>1.02</v>
      </c>
      <c r="N12955">
        <v>0.99</v>
      </c>
    </row>
    <row r="12956" spans="1:14" x14ac:dyDescent="0.25">
      <c r="A12956" t="s">
        <v>22183</v>
      </c>
      <c r="B12956" t="s">
        <v>22184</v>
      </c>
      <c r="C12956" s="1" t="str">
        <f>HYPERLINK("http://www.genecards.org/cgi-bin/carddisp.pl?gene=TSPAN3","GeneCards")</f>
        <v>GeneCards</v>
      </c>
      <c r="D12956" s="1" t="str">
        <f>HYPERLINK("http://genome-euro.ucsc.edu/cgi-bin/hgTracks?position=200972_at","UCSC")</f>
        <v>UCSC</v>
      </c>
      <c r="E12956" s="1" t="str">
        <f>HYPERLINK("http://www.ncbi.nlm.nih.gov/gene/?term=TSPAN3","NCBI")</f>
        <v>NCBI</v>
      </c>
      <c r="F12956">
        <v>0.41</v>
      </c>
      <c r="G12956">
        <v>0.54</v>
      </c>
      <c r="H12956" s="1" t="str">
        <f>HYPERLINK("http://www.weizmann.ac.il/complex/compphys/software/geview/data/figures/200972_at.png","Figure")</f>
        <v>Figure</v>
      </c>
      <c r="I12956">
        <v>1</v>
      </c>
      <c r="J12956">
        <v>1</v>
      </c>
      <c r="K12956">
        <v>1.19</v>
      </c>
      <c r="L12956">
        <v>0.47</v>
      </c>
      <c r="M12956">
        <v>1.18</v>
      </c>
      <c r="N12956">
        <v>0.53</v>
      </c>
    </row>
    <row r="12957" spans="1:14" x14ac:dyDescent="0.25">
      <c r="A12957" t="s">
        <v>22185</v>
      </c>
      <c r="B12957" t="s">
        <v>3676</v>
      </c>
      <c r="C12957" s="1" t="str">
        <f>HYPERLINK("http://www.genecards.org/cgi-bin/carddisp.pl?gene=PEX3","GeneCards")</f>
        <v>GeneCards</v>
      </c>
      <c r="D12957" s="1" t="str">
        <f>HYPERLINK("http://genome-euro.ucsc.edu/cgi-bin/hgTracks?position=203969_at","UCSC")</f>
        <v>UCSC</v>
      </c>
      <c r="E12957" s="1" t="str">
        <f>HYPERLINK("http://www.ncbi.nlm.nih.gov/gene/?term=PEX3","NCBI")</f>
        <v>NCBI</v>
      </c>
      <c r="F12957">
        <v>0.41</v>
      </c>
      <c r="G12957">
        <v>0.54</v>
      </c>
      <c r="H12957" s="1" t="str">
        <f>HYPERLINK("http://www.weizmann.ac.il/complex/compphys/software/geview/data/figures/203969_at.png","Figure")</f>
        <v>Figure</v>
      </c>
      <c r="I12957">
        <v>0.91400000000000003</v>
      </c>
      <c r="J12957">
        <v>0.39</v>
      </c>
      <c r="K12957">
        <v>0.94799999999999995</v>
      </c>
      <c r="L12957">
        <v>0.63</v>
      </c>
      <c r="M12957">
        <v>1.04</v>
      </c>
      <c r="N12957">
        <v>0.83</v>
      </c>
    </row>
    <row r="12958" spans="1:14" x14ac:dyDescent="0.25">
      <c r="A12958" t="s">
        <v>22186</v>
      </c>
      <c r="B12958" t="s">
        <v>22187</v>
      </c>
      <c r="C12958" s="1" t="str">
        <f>HYPERLINK("http://www.genecards.org/cgi-bin/carddisp.pl?gene=RPL13A","GeneCards")</f>
        <v>GeneCards</v>
      </c>
      <c r="D12958" s="1" t="str">
        <f>HYPERLINK("http://genome-euro.ucsc.edu/cgi-bin/hgTracks?position=200715_x_at","UCSC")</f>
        <v>UCSC</v>
      </c>
      <c r="E12958" s="1" t="str">
        <f>HYPERLINK("http://www.ncbi.nlm.nih.gov/gene/?term=RPL13A","NCBI")</f>
        <v>NCBI</v>
      </c>
      <c r="F12958">
        <v>0.41</v>
      </c>
      <c r="G12958">
        <v>0.54</v>
      </c>
      <c r="H12958" s="1" t="str">
        <f>HYPERLINK("http://www.weizmann.ac.il/complex/compphys/software/geview/data/figures/200715_x_at.png","Figure")</f>
        <v>Figure</v>
      </c>
      <c r="I12958">
        <v>0.95599999999999996</v>
      </c>
      <c r="J12958">
        <v>0.96</v>
      </c>
      <c r="K12958">
        <v>1.1499999999999999</v>
      </c>
      <c r="L12958">
        <v>0.57999999999999996</v>
      </c>
      <c r="M12958">
        <v>1.2</v>
      </c>
      <c r="N12958">
        <v>0.44</v>
      </c>
    </row>
    <row r="12959" spans="1:14" x14ac:dyDescent="0.25">
      <c r="A12959" t="s">
        <v>22188</v>
      </c>
      <c r="B12959" t="s">
        <v>223</v>
      </c>
      <c r="C12959" s="1" t="str">
        <f>HYPERLINK("http://www.genecards.org/cgi-bin/carddisp.pl?gene=THRA","GeneCards")</f>
        <v>GeneCards</v>
      </c>
      <c r="D12959" s="1" t="str">
        <f>HYPERLINK("http://genome-euro.ucsc.edu/cgi-bin/hgTracks?position=1316_at","UCSC")</f>
        <v>UCSC</v>
      </c>
      <c r="E12959" s="1" t="str">
        <f>HYPERLINK("http://www.ncbi.nlm.nih.gov/gene/?term=THRA","NCBI")</f>
        <v>NCBI</v>
      </c>
      <c r="F12959">
        <v>0.41</v>
      </c>
      <c r="G12959">
        <v>0.54</v>
      </c>
      <c r="H12959" s="1" t="str">
        <f>HYPERLINK("http://www.weizmann.ac.il/complex/compphys/software/geview/data/figures/1316_at.png","Figure")</f>
        <v>Figure</v>
      </c>
      <c r="I12959">
        <v>1.08</v>
      </c>
      <c r="J12959">
        <v>0.41</v>
      </c>
      <c r="K12959">
        <v>1.01</v>
      </c>
      <c r="L12959">
        <v>0.96</v>
      </c>
      <c r="M12959">
        <v>0.94099999999999995</v>
      </c>
      <c r="N12959">
        <v>0.51</v>
      </c>
    </row>
    <row r="12960" spans="1:14" x14ac:dyDescent="0.25">
      <c r="A12960" t="s">
        <v>22189</v>
      </c>
      <c r="B12960" t="s">
        <v>5866</v>
      </c>
      <c r="C12960" s="1" t="str">
        <f>HYPERLINK("http://www.genecards.org/cgi-bin/carddisp.pl?gene=STAT2","GeneCards")</f>
        <v>GeneCards</v>
      </c>
      <c r="D12960" s="1" t="str">
        <f>HYPERLINK("http://genome-euro.ucsc.edu/cgi-bin/hgTracks?position=205170_at","UCSC")</f>
        <v>UCSC</v>
      </c>
      <c r="E12960" s="1" t="str">
        <f>HYPERLINK("http://www.ncbi.nlm.nih.gov/gene/?term=STAT2","NCBI")</f>
        <v>NCBI</v>
      </c>
      <c r="F12960">
        <v>0.41</v>
      </c>
      <c r="G12960">
        <v>0.54</v>
      </c>
      <c r="H12960" s="1" t="str">
        <f>HYPERLINK("http://www.weizmann.ac.il/complex/compphys/software/geview/data/figures/205170_at.png","Figure")</f>
        <v>Figure</v>
      </c>
      <c r="I12960">
        <v>1.08</v>
      </c>
      <c r="J12960">
        <v>0.42</v>
      </c>
      <c r="K12960">
        <v>1.06</v>
      </c>
      <c r="L12960">
        <v>0.55000000000000004</v>
      </c>
      <c r="M12960">
        <v>0.97699999999999998</v>
      </c>
      <c r="N12960">
        <v>0.92</v>
      </c>
    </row>
    <row r="12961" spans="1:14" x14ac:dyDescent="0.25">
      <c r="A12961" t="s">
        <v>22190</v>
      </c>
      <c r="B12961" t="s">
        <v>22191</v>
      </c>
      <c r="C12961" s="1" t="str">
        <f>HYPERLINK("http://www.genecards.org/cgi-bin/carddisp.pl?gene=FHL3","GeneCards")</f>
        <v>GeneCards</v>
      </c>
      <c r="D12961" s="1" t="str">
        <f>HYPERLINK("http://genome-euro.ucsc.edu/cgi-bin/hgTracks?position=218818_at","UCSC")</f>
        <v>UCSC</v>
      </c>
      <c r="E12961" s="1" t="str">
        <f>HYPERLINK("http://www.ncbi.nlm.nih.gov/gene/?term=FHL3","NCBI")</f>
        <v>NCBI</v>
      </c>
      <c r="F12961">
        <v>0.41</v>
      </c>
      <c r="G12961">
        <v>0.54</v>
      </c>
      <c r="H12961" s="1" t="str">
        <f>HYPERLINK("http://www.weizmann.ac.il/complex/compphys/software/geview/data/figures/218818_at.png","Figure")</f>
        <v>Figure</v>
      </c>
      <c r="I12961">
        <v>1.0900000000000001</v>
      </c>
      <c r="J12961">
        <v>0.6</v>
      </c>
      <c r="K12961">
        <v>0.97499999999999998</v>
      </c>
      <c r="L12961">
        <v>0.94</v>
      </c>
      <c r="M12961">
        <v>0.89300000000000002</v>
      </c>
      <c r="N12961">
        <v>0.39</v>
      </c>
    </row>
    <row r="12962" spans="1:14" x14ac:dyDescent="0.25">
      <c r="A12962" t="s">
        <v>22192</v>
      </c>
      <c r="B12962" t="s">
        <v>17412</v>
      </c>
      <c r="C12962" s="1" t="str">
        <f>HYPERLINK("http://www.genecards.org/cgi-bin/carddisp.pl?gene=KPNA2","GeneCards")</f>
        <v>GeneCards</v>
      </c>
      <c r="D12962" s="1" t="str">
        <f>HYPERLINK("http://genome-euro.ucsc.edu/cgi-bin/hgTracks?position=201088_at","UCSC")</f>
        <v>UCSC</v>
      </c>
      <c r="E12962" s="1" t="str">
        <f>HYPERLINK("http://www.ncbi.nlm.nih.gov/gene/?term=KPNA2","NCBI")</f>
        <v>NCBI</v>
      </c>
      <c r="F12962">
        <v>0.41</v>
      </c>
      <c r="G12962">
        <v>0.54</v>
      </c>
      <c r="H12962" s="1" t="str">
        <f>HYPERLINK("http://www.weizmann.ac.il/complex/compphys/software/geview/data/figures/201088_at.png","Figure")</f>
        <v>Figure</v>
      </c>
      <c r="I12962">
        <v>0.79900000000000004</v>
      </c>
      <c r="J12962">
        <v>0.38</v>
      </c>
      <c r="K12962">
        <v>0.88500000000000001</v>
      </c>
      <c r="L12962">
        <v>0.68</v>
      </c>
      <c r="M12962">
        <v>1.1100000000000001</v>
      </c>
      <c r="N12962">
        <v>0.78</v>
      </c>
    </row>
    <row r="12963" spans="1:14" x14ac:dyDescent="0.25">
      <c r="A12963" t="s">
        <v>22193</v>
      </c>
      <c r="B12963" t="s">
        <v>19330</v>
      </c>
      <c r="C12963" s="1" t="str">
        <f>HYPERLINK("http://www.genecards.org/cgi-bin/carddisp.pl?gene=TAF1C","GeneCards")</f>
        <v>GeneCards</v>
      </c>
      <c r="D12963" s="1" t="str">
        <f>HYPERLINK("http://genome-euro.ucsc.edu/cgi-bin/hgTracks?position=203937_s_at","UCSC")</f>
        <v>UCSC</v>
      </c>
      <c r="E12963" s="1" t="str">
        <f>HYPERLINK("http://www.ncbi.nlm.nih.gov/gene/?term=TAF1C","NCBI")</f>
        <v>NCBI</v>
      </c>
      <c r="F12963">
        <v>0.41</v>
      </c>
      <c r="G12963">
        <v>0.54</v>
      </c>
      <c r="H12963" s="1" t="str">
        <f>HYPERLINK("http://www.weizmann.ac.il/complex/compphys/software/geview/data/figures/203937_s_at.png","Figure")</f>
        <v>Figure</v>
      </c>
      <c r="I12963">
        <v>1.06</v>
      </c>
      <c r="J12963">
        <v>0.85</v>
      </c>
      <c r="K12963">
        <v>0.93100000000000005</v>
      </c>
      <c r="L12963">
        <v>0.7</v>
      </c>
      <c r="M12963">
        <v>0.88100000000000001</v>
      </c>
      <c r="N12963">
        <v>0.4</v>
      </c>
    </row>
    <row r="12964" spans="1:14" x14ac:dyDescent="0.25">
      <c r="A12964" t="s">
        <v>22194</v>
      </c>
      <c r="B12964" t="s">
        <v>13287</v>
      </c>
      <c r="C12964" s="1" t="str">
        <f>HYPERLINK("http://www.genecards.org/cgi-bin/carddisp.pl?gene=PPP3CC","GeneCards")</f>
        <v>GeneCards</v>
      </c>
      <c r="D12964" s="1" t="str">
        <f>HYPERLINK("http://genome-euro.ucsc.edu/cgi-bin/hgTracks?position=213950_s_at","UCSC")</f>
        <v>UCSC</v>
      </c>
      <c r="E12964" s="1" t="str">
        <f>HYPERLINK("http://www.ncbi.nlm.nih.gov/gene/?term=PPP3CC","NCBI")</f>
        <v>NCBI</v>
      </c>
      <c r="F12964">
        <v>0.41</v>
      </c>
      <c r="G12964">
        <v>0.54</v>
      </c>
      <c r="H12964" s="1" t="str">
        <f>HYPERLINK("http://www.weizmann.ac.il/complex/compphys/software/geview/data/figures/213950_s_at.png","Figure")</f>
        <v>Figure</v>
      </c>
      <c r="I12964">
        <v>1.06</v>
      </c>
      <c r="J12964">
        <v>0.38</v>
      </c>
      <c r="K12964">
        <v>1.03</v>
      </c>
      <c r="L12964">
        <v>0.67</v>
      </c>
      <c r="M12964">
        <v>0.97599999999999998</v>
      </c>
      <c r="N12964">
        <v>0.79</v>
      </c>
    </row>
    <row r="12965" spans="1:14" x14ac:dyDescent="0.25">
      <c r="A12965" t="s">
        <v>22195</v>
      </c>
      <c r="B12965" t="s">
        <v>22196</v>
      </c>
      <c r="C12965" s="1" t="str">
        <f>HYPERLINK("http://www.genecards.org/cgi-bin/carddisp.pl?gene=POM121L2","GeneCards")</f>
        <v>GeneCards</v>
      </c>
      <c r="D12965" s="1" t="str">
        <f>HYPERLINK("http://genome-euro.ucsc.edu/cgi-bin/hgTracks?position=216582_at","UCSC")</f>
        <v>UCSC</v>
      </c>
      <c r="E12965" s="1" t="str">
        <f>HYPERLINK("http://www.ncbi.nlm.nih.gov/gene/?term=POM121L2","NCBI")</f>
        <v>NCBI</v>
      </c>
      <c r="F12965">
        <v>0.41</v>
      </c>
      <c r="G12965">
        <v>0.54</v>
      </c>
      <c r="H12965" s="1" t="str">
        <f>HYPERLINK("http://www.weizmann.ac.il/complex/compphys/software/geview/data/figures/216582_at.png","Figure")</f>
        <v>Figure</v>
      </c>
      <c r="I12965">
        <v>0.94399999999999995</v>
      </c>
      <c r="J12965">
        <v>0.57999999999999996</v>
      </c>
      <c r="K12965">
        <v>0.93700000000000006</v>
      </c>
      <c r="L12965">
        <v>0.41</v>
      </c>
      <c r="M12965">
        <v>0.99199999999999999</v>
      </c>
      <c r="N12965">
        <v>0.99</v>
      </c>
    </row>
    <row r="12966" spans="1:14" x14ac:dyDescent="0.25">
      <c r="A12966" t="s">
        <v>22197</v>
      </c>
      <c r="B12966" t="s">
        <v>20413</v>
      </c>
      <c r="C12966" s="1" t="str">
        <f>HYPERLINK("http://www.genecards.org/cgi-bin/carddisp.pl?gene=MAGOH","GeneCards")</f>
        <v>GeneCards</v>
      </c>
      <c r="D12966" s="1" t="str">
        <f>HYPERLINK("http://genome-euro.ucsc.edu/cgi-bin/hgTracks?position=210093_s_at","UCSC")</f>
        <v>UCSC</v>
      </c>
      <c r="E12966" s="1" t="str">
        <f>HYPERLINK("http://www.ncbi.nlm.nih.gov/gene/?term=MAGOH","NCBI")</f>
        <v>NCBI</v>
      </c>
      <c r="F12966">
        <v>0.41</v>
      </c>
      <c r="G12966">
        <v>0.54</v>
      </c>
      <c r="H12966" s="1" t="str">
        <f>HYPERLINK("http://www.weizmann.ac.il/complex/compphys/software/geview/data/figures/210093_s_at.png","Figure")</f>
        <v>Figure</v>
      </c>
      <c r="I12966">
        <v>0.78500000000000003</v>
      </c>
      <c r="J12966">
        <v>0.6</v>
      </c>
      <c r="K12966">
        <v>0.748</v>
      </c>
      <c r="L12966">
        <v>0.4</v>
      </c>
      <c r="M12966">
        <v>0.95299999999999996</v>
      </c>
      <c r="N12966">
        <v>0.98</v>
      </c>
    </row>
    <row r="12967" spans="1:14" x14ac:dyDescent="0.25">
      <c r="A12967" t="s">
        <v>22198</v>
      </c>
      <c r="B12967" t="s">
        <v>22199</v>
      </c>
      <c r="C12967" s="1" t="str">
        <f>HYPERLINK("http://www.genecards.org/cgi-bin/carddisp.pl?gene=PSME1","GeneCards")</f>
        <v>GeneCards</v>
      </c>
      <c r="D12967" s="1" t="str">
        <f>HYPERLINK("http://genome-euro.ucsc.edu/cgi-bin/hgTracks?position=200814_at","UCSC")</f>
        <v>UCSC</v>
      </c>
      <c r="E12967" s="1" t="str">
        <f>HYPERLINK("http://www.ncbi.nlm.nih.gov/gene/?term=PSME1","NCBI")</f>
        <v>NCBI</v>
      </c>
      <c r="F12967">
        <v>0.41</v>
      </c>
      <c r="G12967">
        <v>0.54</v>
      </c>
      <c r="H12967" s="1" t="str">
        <f>HYPERLINK("http://www.weizmann.ac.il/complex/compphys/software/geview/data/figures/200814_at.png","Figure")</f>
        <v>Figure</v>
      </c>
      <c r="I12967">
        <v>0.878</v>
      </c>
      <c r="J12967">
        <v>0.77</v>
      </c>
      <c r="K12967">
        <v>1.1200000000000001</v>
      </c>
      <c r="L12967">
        <v>0.78</v>
      </c>
      <c r="M12967">
        <v>1.27</v>
      </c>
      <c r="N12967">
        <v>0.38</v>
      </c>
    </row>
    <row r="12968" spans="1:14" x14ac:dyDescent="0.25">
      <c r="A12968" t="s">
        <v>22200</v>
      </c>
      <c r="B12968" t="s">
        <v>8370</v>
      </c>
      <c r="C12968" s="1" t="str">
        <f>HYPERLINK("http://www.genecards.org/cgi-bin/carddisp.pl?gene=CAND1","GeneCards")</f>
        <v>GeneCards</v>
      </c>
      <c r="D12968" s="1" t="str">
        <f>HYPERLINK("http://genome-euro.ucsc.edu/cgi-bin/hgTracks?position=208838_at","UCSC")</f>
        <v>UCSC</v>
      </c>
      <c r="E12968" s="1" t="str">
        <f>HYPERLINK("http://www.ncbi.nlm.nih.gov/gene/?term=CAND1","NCBI")</f>
        <v>NCBI</v>
      </c>
      <c r="F12968">
        <v>0.41</v>
      </c>
      <c r="G12968">
        <v>0.54</v>
      </c>
      <c r="H12968" s="1" t="str">
        <f>HYPERLINK("http://www.weizmann.ac.il/complex/compphys/software/geview/data/figures/208838_at.png","Figure")</f>
        <v>Figure</v>
      </c>
      <c r="I12968">
        <v>0.83799999999999997</v>
      </c>
      <c r="J12968">
        <v>0.69</v>
      </c>
      <c r="K12968">
        <v>0.77400000000000002</v>
      </c>
      <c r="L12968">
        <v>0.38</v>
      </c>
      <c r="M12968">
        <v>0.92400000000000004</v>
      </c>
      <c r="N12968">
        <v>0.92</v>
      </c>
    </row>
    <row r="12969" spans="1:14" x14ac:dyDescent="0.25">
      <c r="A12969" t="s">
        <v>22201</v>
      </c>
      <c r="B12969" t="s">
        <v>22202</v>
      </c>
      <c r="C12969" s="1" t="str">
        <f>HYPERLINK("http://www.genecards.org/cgi-bin/carddisp.pl?gene=RAD51","GeneCards")</f>
        <v>GeneCards</v>
      </c>
      <c r="D12969" s="1" t="str">
        <f>HYPERLINK("http://genome-euro.ucsc.edu/cgi-bin/hgTracks?position=205024_s_at","UCSC")</f>
        <v>UCSC</v>
      </c>
      <c r="E12969" s="1" t="str">
        <f>HYPERLINK("http://www.ncbi.nlm.nih.gov/gene/?term=RAD51","NCBI")</f>
        <v>NCBI</v>
      </c>
      <c r="F12969">
        <v>0.41</v>
      </c>
      <c r="G12969">
        <v>0.54</v>
      </c>
      <c r="H12969" s="1" t="str">
        <f>HYPERLINK("http://www.weizmann.ac.il/complex/compphys/software/geview/data/figures/205024_s_at.png","Figure")</f>
        <v>Figure</v>
      </c>
      <c r="I12969">
        <v>1.1000000000000001</v>
      </c>
      <c r="J12969">
        <v>0.74</v>
      </c>
      <c r="K12969">
        <v>1.1599999999999999</v>
      </c>
      <c r="L12969">
        <v>0.38</v>
      </c>
      <c r="M12969">
        <v>1.06</v>
      </c>
      <c r="N12969">
        <v>0.87</v>
      </c>
    </row>
    <row r="12970" spans="1:14" x14ac:dyDescent="0.25">
      <c r="A12970" t="s">
        <v>22203</v>
      </c>
      <c r="B12970" t="s">
        <v>8188</v>
      </c>
      <c r="C12970" s="1" t="str">
        <f>HYPERLINK("http://www.genecards.org/cgi-bin/carddisp.pl?gene=ANK1","GeneCards")</f>
        <v>GeneCards</v>
      </c>
      <c r="D12970" s="1" t="str">
        <f>HYPERLINK("http://genome-euro.ucsc.edu/cgi-bin/hgTracks?position=208353_x_at","UCSC")</f>
        <v>UCSC</v>
      </c>
      <c r="E12970" s="1" t="str">
        <f>HYPERLINK("http://www.ncbi.nlm.nih.gov/gene/?term=ANK1","NCBI")</f>
        <v>NCBI</v>
      </c>
      <c r="F12970">
        <v>0.41</v>
      </c>
      <c r="G12970">
        <v>0.54</v>
      </c>
      <c r="H12970" s="1" t="str">
        <f>HYPERLINK("http://www.weizmann.ac.il/complex/compphys/software/geview/data/figures/208353_x_at.png","Figure")</f>
        <v>Figure</v>
      </c>
      <c r="I12970">
        <v>1.1399999999999999</v>
      </c>
      <c r="J12970">
        <v>0.38</v>
      </c>
      <c r="K12970">
        <v>1.05</v>
      </c>
      <c r="L12970">
        <v>0.82</v>
      </c>
      <c r="M12970">
        <v>0.92200000000000004</v>
      </c>
      <c r="N12970">
        <v>0.64</v>
      </c>
    </row>
    <row r="12971" spans="1:14" x14ac:dyDescent="0.25">
      <c r="A12971" t="s">
        <v>22204</v>
      </c>
      <c r="B12971" t="s">
        <v>22205</v>
      </c>
      <c r="C12971" s="1" t="str">
        <f>HYPERLINK("http://www.genecards.org/cgi-bin/carddisp.pl?gene=ATP6V1F","GeneCards")</f>
        <v>GeneCards</v>
      </c>
      <c r="D12971" s="1" t="str">
        <f>HYPERLINK("http://genome-euro.ucsc.edu/cgi-bin/hgTracks?position=201527_at","UCSC")</f>
        <v>UCSC</v>
      </c>
      <c r="E12971" s="1" t="str">
        <f>HYPERLINK("http://www.ncbi.nlm.nih.gov/gene/?term=ATP6V1F","NCBI")</f>
        <v>NCBI</v>
      </c>
      <c r="F12971">
        <v>0.41</v>
      </c>
      <c r="G12971">
        <v>0.54</v>
      </c>
      <c r="H12971" s="1" t="str">
        <f>HYPERLINK("http://www.weizmann.ac.il/complex/compphys/software/geview/data/figures/201527_at.png","Figure")</f>
        <v>Figure</v>
      </c>
      <c r="I12971">
        <v>1.24</v>
      </c>
      <c r="J12971">
        <v>0.43</v>
      </c>
      <c r="K12971">
        <v>1.17</v>
      </c>
      <c r="L12971">
        <v>0.53</v>
      </c>
      <c r="M12971">
        <v>0.94799999999999995</v>
      </c>
      <c r="N12971">
        <v>0.94</v>
      </c>
    </row>
    <row r="12972" spans="1:14" x14ac:dyDescent="0.25">
      <c r="A12972" t="s">
        <v>22206</v>
      </c>
      <c r="B12972" t="s">
        <v>22207</v>
      </c>
      <c r="C12972" s="1" t="str">
        <f>HYPERLINK("http://www.genecards.org/cgi-bin/carddisp.pl?gene=EYA1","GeneCards")</f>
        <v>GeneCards</v>
      </c>
      <c r="D12972" s="1" t="str">
        <f>HYPERLINK("http://genome-euro.ucsc.edu/cgi-bin/hgTracks?position=214608_s_at","UCSC")</f>
        <v>UCSC</v>
      </c>
      <c r="E12972" s="1" t="str">
        <f>HYPERLINK("http://www.ncbi.nlm.nih.gov/gene/?term=EYA1","NCBI")</f>
        <v>NCBI</v>
      </c>
      <c r="F12972">
        <v>0.41</v>
      </c>
      <c r="G12972">
        <v>0.54</v>
      </c>
      <c r="H12972" s="1" t="str">
        <f>HYPERLINK("http://www.weizmann.ac.il/complex/compphys/software/geview/data/figures/214608_s_at.png","Figure")</f>
        <v>Figure</v>
      </c>
      <c r="I12972">
        <v>1.04</v>
      </c>
      <c r="J12972">
        <v>0.8</v>
      </c>
      <c r="K12972">
        <v>0.95899999999999996</v>
      </c>
      <c r="L12972">
        <v>0.75</v>
      </c>
      <c r="M12972">
        <v>0.91900000000000004</v>
      </c>
      <c r="N12972">
        <v>0.39</v>
      </c>
    </row>
    <row r="12973" spans="1:14" x14ac:dyDescent="0.25">
      <c r="A12973" t="s">
        <v>22208</v>
      </c>
      <c r="B12973" t="s">
        <v>22209</v>
      </c>
      <c r="C12973" s="1" t="str">
        <f>HYPERLINK("http://www.genecards.org/cgi-bin/carddisp.pl?gene=CHCHD2","GeneCards")</f>
        <v>GeneCards</v>
      </c>
      <c r="D12973" s="1" t="str">
        <f>HYPERLINK("http://genome-euro.ucsc.edu/cgi-bin/hgTracks?position=217720_at","UCSC")</f>
        <v>UCSC</v>
      </c>
      <c r="E12973" s="1" t="str">
        <f>HYPERLINK("http://www.ncbi.nlm.nih.gov/gene/?term=CHCHD2","NCBI")</f>
        <v>NCBI</v>
      </c>
      <c r="F12973">
        <v>0.41</v>
      </c>
      <c r="G12973">
        <v>0.54</v>
      </c>
      <c r="H12973" s="1" t="str">
        <f>HYPERLINK("http://www.weizmann.ac.il/complex/compphys/software/geview/data/figures/217720_at.png","Figure")</f>
        <v>Figure</v>
      </c>
      <c r="I12973">
        <v>1.1399999999999999</v>
      </c>
      <c r="J12973">
        <v>0.82</v>
      </c>
      <c r="K12973">
        <v>1.31</v>
      </c>
      <c r="L12973">
        <v>0.38</v>
      </c>
      <c r="M12973">
        <v>1.1399999999999999</v>
      </c>
      <c r="N12973">
        <v>0.8</v>
      </c>
    </row>
    <row r="12974" spans="1:14" x14ac:dyDescent="0.25">
      <c r="A12974" t="s">
        <v>22210</v>
      </c>
      <c r="B12974" t="s">
        <v>22211</v>
      </c>
      <c r="C12974" s="1" t="str">
        <f>HYPERLINK("http://www.genecards.org/cgi-bin/carddisp.pl?gene=ARCN1","GeneCards")</f>
        <v>GeneCards</v>
      </c>
      <c r="D12974" s="1" t="str">
        <f>HYPERLINK("http://genome-euro.ucsc.edu/cgi-bin/hgTracks?position=201176_s_at","UCSC")</f>
        <v>UCSC</v>
      </c>
      <c r="E12974" s="1" t="str">
        <f>HYPERLINK("http://www.ncbi.nlm.nih.gov/gene/?term=ARCN1","NCBI")</f>
        <v>NCBI</v>
      </c>
      <c r="F12974">
        <v>0.41</v>
      </c>
      <c r="G12974">
        <v>0.54</v>
      </c>
      <c r="H12974" s="1" t="str">
        <f>HYPERLINK("http://www.weizmann.ac.il/complex/compphys/software/geview/data/figures/201176_s_at.png","Figure")</f>
        <v>Figure</v>
      </c>
      <c r="I12974">
        <v>0.877</v>
      </c>
      <c r="J12974">
        <v>0.76</v>
      </c>
      <c r="K12974">
        <v>1.1100000000000001</v>
      </c>
      <c r="L12974">
        <v>0.79</v>
      </c>
      <c r="M12974">
        <v>1.27</v>
      </c>
      <c r="N12974">
        <v>0.38</v>
      </c>
    </row>
    <row r="12975" spans="1:14" x14ac:dyDescent="0.25">
      <c r="A12975" t="s">
        <v>22212</v>
      </c>
      <c r="B12975" t="s">
        <v>22213</v>
      </c>
      <c r="C12975" s="1" t="str">
        <f>HYPERLINK("http://www.genecards.org/cgi-bin/carddisp.pl?gene=MYO1F","GeneCards")</f>
        <v>GeneCards</v>
      </c>
      <c r="D12975" s="1" t="str">
        <f>HYPERLINK("http://genome-euro.ucsc.edu/cgi-bin/hgTracks?position=213733_at","UCSC")</f>
        <v>UCSC</v>
      </c>
      <c r="E12975" s="1" t="str">
        <f>HYPERLINK("http://www.ncbi.nlm.nih.gov/gene/?term=MYO1F","NCBI")</f>
        <v>NCBI</v>
      </c>
      <c r="F12975">
        <v>0.41</v>
      </c>
      <c r="G12975">
        <v>0.54</v>
      </c>
      <c r="H12975" s="1" t="str">
        <f>HYPERLINK("http://www.weizmann.ac.il/complex/compphys/software/geview/data/figures/213733_at.png","Figure")</f>
        <v>Figure</v>
      </c>
      <c r="I12975">
        <v>0.74</v>
      </c>
      <c r="J12975">
        <v>0.44</v>
      </c>
      <c r="K12975">
        <v>0.96499999999999997</v>
      </c>
      <c r="L12975">
        <v>0.98</v>
      </c>
      <c r="M12975">
        <v>1.3</v>
      </c>
      <c r="N12975">
        <v>0.48</v>
      </c>
    </row>
    <row r="12976" spans="1:14" x14ac:dyDescent="0.25">
      <c r="A12976" t="s">
        <v>22214</v>
      </c>
      <c r="B12976" t="s">
        <v>3191</v>
      </c>
      <c r="C12976" s="1" t="str">
        <f>HYPERLINK("http://www.genecards.org/cgi-bin/carddisp.pl?gene=NOTCH2","GeneCards")</f>
        <v>GeneCards</v>
      </c>
      <c r="D12976" s="1" t="str">
        <f>HYPERLINK("http://genome-euro.ucsc.edu/cgi-bin/hgTracks?position=202445_s_at","UCSC")</f>
        <v>UCSC</v>
      </c>
      <c r="E12976" s="1" t="str">
        <f>HYPERLINK("http://www.ncbi.nlm.nih.gov/gene/?term=NOTCH2","NCBI")</f>
        <v>NCBI</v>
      </c>
      <c r="F12976">
        <v>0.41</v>
      </c>
      <c r="G12976">
        <v>0.54</v>
      </c>
      <c r="H12976" s="1" t="str">
        <f>HYPERLINK("http://www.weizmann.ac.il/complex/compphys/software/geview/data/figures/202445_s_at.png","Figure")</f>
        <v>Figure</v>
      </c>
      <c r="I12976">
        <v>1.02</v>
      </c>
      <c r="J12976">
        <v>0.96</v>
      </c>
      <c r="K12976">
        <v>0.94099999999999995</v>
      </c>
      <c r="L12976">
        <v>0.56999999999999995</v>
      </c>
      <c r="M12976">
        <v>0.92400000000000004</v>
      </c>
      <c r="N12976">
        <v>0.45</v>
      </c>
    </row>
    <row r="12977" spans="1:14" x14ac:dyDescent="0.25">
      <c r="A12977" t="s">
        <v>22215</v>
      </c>
      <c r="B12977" t="s">
        <v>22216</v>
      </c>
      <c r="C12977" s="1" t="str">
        <f>HYPERLINK("http://www.genecards.org/cgi-bin/carddisp.pl?gene=SPAM1","GeneCards")</f>
        <v>GeneCards</v>
      </c>
      <c r="D12977" s="1" t="str">
        <f>HYPERLINK("http://genome-euro.ucsc.edu/cgi-bin/hgTracks?position=210536_s_at","UCSC")</f>
        <v>UCSC</v>
      </c>
      <c r="E12977" s="1" t="str">
        <f>HYPERLINK("http://www.ncbi.nlm.nih.gov/gene/?term=SPAM1","NCBI")</f>
        <v>NCBI</v>
      </c>
      <c r="F12977">
        <v>0.41</v>
      </c>
      <c r="G12977">
        <v>0.54</v>
      </c>
      <c r="H12977" s="1" t="str">
        <f>HYPERLINK("http://www.weizmann.ac.il/complex/compphys/software/geview/data/figures/210536_s_at.png","Figure")</f>
        <v>Figure</v>
      </c>
      <c r="I12977">
        <v>1.03</v>
      </c>
      <c r="J12977">
        <v>0.49</v>
      </c>
      <c r="K12977">
        <v>0.999</v>
      </c>
      <c r="L12977">
        <v>1</v>
      </c>
      <c r="M12977">
        <v>0.97399999999999998</v>
      </c>
      <c r="N12977">
        <v>0.43</v>
      </c>
    </row>
    <row r="12978" spans="1:14" x14ac:dyDescent="0.25">
      <c r="A12978" t="s">
        <v>22217</v>
      </c>
      <c r="B12978" t="s">
        <v>19856</v>
      </c>
      <c r="C12978" s="1" t="str">
        <f>HYPERLINK("http://www.genecards.org/cgi-bin/carddisp.pl?gene=PCNXL2","GeneCards")</f>
        <v>GeneCards</v>
      </c>
      <c r="D12978" s="1" t="str">
        <f>HYPERLINK("http://genome-euro.ucsc.edu/cgi-bin/hgTracks?position=205689_at","UCSC")</f>
        <v>UCSC</v>
      </c>
      <c r="E12978" s="1" t="str">
        <f>HYPERLINK("http://www.ncbi.nlm.nih.gov/gene/?term=PCNXL2","NCBI")</f>
        <v>NCBI</v>
      </c>
      <c r="F12978">
        <v>0.41</v>
      </c>
      <c r="G12978">
        <v>0.54</v>
      </c>
      <c r="H12978" s="1" t="str">
        <f>HYPERLINK("http://www.weizmann.ac.il/complex/compphys/software/geview/data/figures/205689_at.png","Figure")</f>
        <v>Figure</v>
      </c>
      <c r="I12978">
        <v>1.1000000000000001</v>
      </c>
      <c r="J12978">
        <v>0.43</v>
      </c>
      <c r="K12978">
        <v>1.07</v>
      </c>
      <c r="L12978">
        <v>0.53</v>
      </c>
      <c r="M12978">
        <v>0.97599999999999998</v>
      </c>
      <c r="N12978">
        <v>0.93</v>
      </c>
    </row>
    <row r="12979" spans="1:14" x14ac:dyDescent="0.25">
      <c r="A12979" t="s">
        <v>22218</v>
      </c>
      <c r="B12979" t="s">
        <v>22219</v>
      </c>
      <c r="C12979" s="1" t="str">
        <f>HYPERLINK("http://www.genecards.org/cgi-bin/carddisp.pl?gene=MXRA7","GeneCards")</f>
        <v>GeneCards</v>
      </c>
      <c r="D12979" s="1" t="str">
        <f>HYPERLINK("http://genome-euro.ucsc.edu/cgi-bin/hgTracks?position=212509_s_at","UCSC")</f>
        <v>UCSC</v>
      </c>
      <c r="E12979" s="1" t="str">
        <f>HYPERLINK("http://www.ncbi.nlm.nih.gov/gene/?term=MXRA7","NCBI")</f>
        <v>NCBI</v>
      </c>
      <c r="F12979">
        <v>0.41</v>
      </c>
      <c r="G12979">
        <v>0.54</v>
      </c>
      <c r="H12979" s="1" t="str">
        <f>HYPERLINK("http://www.weizmann.ac.il/complex/compphys/software/geview/data/figures/212509_s_at.png","Figure")</f>
        <v>Figure</v>
      </c>
      <c r="I12979">
        <v>1.64</v>
      </c>
      <c r="J12979">
        <v>0.43</v>
      </c>
      <c r="K12979">
        <v>1.44</v>
      </c>
      <c r="L12979">
        <v>0.53</v>
      </c>
      <c r="M12979">
        <v>0.88100000000000001</v>
      </c>
      <c r="N12979">
        <v>0.93</v>
      </c>
    </row>
    <row r="12980" spans="1:14" x14ac:dyDescent="0.25">
      <c r="A12980" t="s">
        <v>22220</v>
      </c>
      <c r="B12980" t="s">
        <v>22221</v>
      </c>
      <c r="C12980" s="1" t="str">
        <f>HYPERLINK("http://www.genecards.org/cgi-bin/carddisp.pl?gene=DNM2","GeneCards")</f>
        <v>GeneCards</v>
      </c>
      <c r="D12980" s="1" t="str">
        <f>HYPERLINK("http://genome-euro.ucsc.edu/cgi-bin/hgTracks?position=216024_at","UCSC")</f>
        <v>UCSC</v>
      </c>
      <c r="E12980" s="1" t="str">
        <f>HYPERLINK("http://www.ncbi.nlm.nih.gov/gene/?term=DNM2","NCBI")</f>
        <v>NCBI</v>
      </c>
      <c r="F12980">
        <v>0.41</v>
      </c>
      <c r="G12980">
        <v>0.54</v>
      </c>
      <c r="H12980" s="1" t="str">
        <f>HYPERLINK("http://www.weizmann.ac.il/complex/compphys/software/geview/data/figures/216024_at.png","Figure")</f>
        <v>Figure</v>
      </c>
      <c r="I12980">
        <v>1.1100000000000001</v>
      </c>
      <c r="J12980">
        <v>0.38</v>
      </c>
      <c r="K12980">
        <v>1.05</v>
      </c>
      <c r="L12980">
        <v>0.74</v>
      </c>
      <c r="M12980">
        <v>0.94599999999999995</v>
      </c>
      <c r="N12980">
        <v>0.72</v>
      </c>
    </row>
    <row r="12981" spans="1:14" x14ac:dyDescent="0.25">
      <c r="A12981" t="s">
        <v>22222</v>
      </c>
      <c r="B12981" t="s">
        <v>22223</v>
      </c>
      <c r="C12981" s="1" t="str">
        <f>HYPERLINK("http://www.genecards.org/cgi-bin/carddisp.pl?gene=BBS1","GeneCards")</f>
        <v>GeneCards</v>
      </c>
      <c r="D12981" s="1" t="str">
        <f>HYPERLINK("http://genome-euro.ucsc.edu/cgi-bin/hgTracks?position=218471_s_at","UCSC")</f>
        <v>UCSC</v>
      </c>
      <c r="E12981" s="1" t="str">
        <f>HYPERLINK("http://www.ncbi.nlm.nih.gov/gene/?term=BBS1","NCBI")</f>
        <v>NCBI</v>
      </c>
      <c r="F12981">
        <v>0.41</v>
      </c>
      <c r="G12981">
        <v>0.54</v>
      </c>
      <c r="H12981" s="1" t="str">
        <f>HYPERLINK("http://www.weizmann.ac.il/complex/compphys/software/geview/data/figures/218471_s_at.png","Figure")</f>
        <v>Figure</v>
      </c>
      <c r="I12981">
        <v>1.04</v>
      </c>
      <c r="J12981">
        <v>0.95</v>
      </c>
      <c r="K12981">
        <v>1.17</v>
      </c>
      <c r="L12981">
        <v>0.41</v>
      </c>
      <c r="M12981">
        <v>1.1200000000000001</v>
      </c>
      <c r="N12981">
        <v>0.65</v>
      </c>
    </row>
    <row r="12982" spans="1:14" x14ac:dyDescent="0.25">
      <c r="A12982" t="s">
        <v>22224</v>
      </c>
      <c r="B12982" t="s">
        <v>22225</v>
      </c>
      <c r="C12982" s="1" t="str">
        <f>HYPERLINK("http://www.genecards.org/cgi-bin/carddisp.pl?gene=SLMO2","GeneCards")</f>
        <v>GeneCards</v>
      </c>
      <c r="D12982" s="1" t="str">
        <f>HYPERLINK("http://genome-euro.ucsc.edu/cgi-bin/hgTracks?position=217851_s_at","UCSC")</f>
        <v>UCSC</v>
      </c>
      <c r="E12982" s="1" t="str">
        <f>HYPERLINK("http://www.ncbi.nlm.nih.gov/gene/?term=SLMO2","NCBI")</f>
        <v>NCBI</v>
      </c>
      <c r="F12982">
        <v>0.41</v>
      </c>
      <c r="G12982">
        <v>0.54</v>
      </c>
      <c r="H12982" s="1" t="str">
        <f>HYPERLINK("http://www.weizmann.ac.il/complex/compphys/software/geview/data/figures/217851_s_at.png","Figure")</f>
        <v>Figure</v>
      </c>
      <c r="I12982">
        <v>0.79400000000000004</v>
      </c>
      <c r="J12982">
        <v>0.62</v>
      </c>
      <c r="K12982">
        <v>0.752</v>
      </c>
      <c r="L12982">
        <v>0.4</v>
      </c>
      <c r="M12982">
        <v>0.94699999999999995</v>
      </c>
      <c r="N12982">
        <v>0.97</v>
      </c>
    </row>
    <row r="12983" spans="1:14" x14ac:dyDescent="0.25">
      <c r="A12983" t="s">
        <v>22226</v>
      </c>
      <c r="B12983" t="s">
        <v>8347</v>
      </c>
      <c r="C12983" s="1" t="str">
        <f>HYPERLINK("http://www.genecards.org/cgi-bin/carddisp.pl?gene=GLP1R","GeneCards")</f>
        <v>GeneCards</v>
      </c>
      <c r="D12983" s="1" t="str">
        <f>HYPERLINK("http://genome-euro.ucsc.edu/cgi-bin/hgTracks?position=208391_s_at","UCSC")</f>
        <v>UCSC</v>
      </c>
      <c r="E12983" s="1" t="str">
        <f>HYPERLINK("http://www.ncbi.nlm.nih.gov/gene/?term=GLP1R","NCBI")</f>
        <v>NCBI</v>
      </c>
      <c r="F12983">
        <v>0.41</v>
      </c>
      <c r="G12983">
        <v>0.54</v>
      </c>
      <c r="H12983" s="1" t="str">
        <f>HYPERLINK("http://www.weizmann.ac.il/complex/compphys/software/geview/data/figures/208391_s_at.png","Figure")</f>
        <v>Figure</v>
      </c>
      <c r="I12983">
        <v>1.06</v>
      </c>
      <c r="J12983">
        <v>0.38</v>
      </c>
      <c r="K12983">
        <v>1.02</v>
      </c>
      <c r="L12983">
        <v>0.8</v>
      </c>
      <c r="M12983">
        <v>0.96599999999999997</v>
      </c>
      <c r="N12983">
        <v>0.66</v>
      </c>
    </row>
    <row r="12984" spans="1:14" x14ac:dyDescent="0.25">
      <c r="A12984" t="s">
        <v>22227</v>
      </c>
      <c r="B12984" t="s">
        <v>21988</v>
      </c>
      <c r="C12984" s="1" t="str">
        <f>HYPERLINK("http://www.genecards.org/cgi-bin/carddisp.pl?gene=UROD","GeneCards")</f>
        <v>GeneCards</v>
      </c>
      <c r="D12984" s="1" t="str">
        <f>HYPERLINK("http://genome-euro.ucsc.edu/cgi-bin/hgTracks?position=208971_at","UCSC")</f>
        <v>UCSC</v>
      </c>
      <c r="E12984" s="1" t="str">
        <f>HYPERLINK("http://www.ncbi.nlm.nih.gov/gene/?term=UROD","NCBI")</f>
        <v>NCBI</v>
      </c>
      <c r="F12984">
        <v>0.41</v>
      </c>
      <c r="G12984">
        <v>0.54</v>
      </c>
      <c r="H12984" s="1" t="str">
        <f>HYPERLINK("http://www.weizmann.ac.il/complex/compphys/software/geview/data/figures/208971_at.png","Figure")</f>
        <v>Figure</v>
      </c>
      <c r="I12984">
        <v>1.1399999999999999</v>
      </c>
      <c r="J12984">
        <v>0.49</v>
      </c>
      <c r="K12984">
        <v>1.1200000000000001</v>
      </c>
      <c r="L12984">
        <v>0.46</v>
      </c>
      <c r="M12984">
        <v>0.98799999999999999</v>
      </c>
      <c r="N12984">
        <v>0.99</v>
      </c>
    </row>
    <row r="12985" spans="1:14" x14ac:dyDescent="0.25">
      <c r="A12985" t="s">
        <v>22228</v>
      </c>
      <c r="B12985" t="s">
        <v>22229</v>
      </c>
      <c r="C12985" s="1" t="str">
        <f>HYPERLINK("http://www.genecards.org/cgi-bin/carddisp.pl?gene=DRD4","GeneCards")</f>
        <v>GeneCards</v>
      </c>
      <c r="D12985" s="1" t="str">
        <f>HYPERLINK("http://genome-euro.ucsc.edu/cgi-bin/hgTracks?position=208215_x_at","UCSC")</f>
        <v>UCSC</v>
      </c>
      <c r="E12985" s="1" t="str">
        <f>HYPERLINK("http://www.ncbi.nlm.nih.gov/gene/?term=DRD4","NCBI")</f>
        <v>NCBI</v>
      </c>
      <c r="F12985">
        <v>0.41</v>
      </c>
      <c r="G12985">
        <v>0.54</v>
      </c>
      <c r="H12985" s="1" t="str">
        <f>HYPERLINK("http://www.weizmann.ac.il/complex/compphys/software/geview/data/figures/208215_x_at.png","Figure")</f>
        <v>Figure</v>
      </c>
      <c r="I12985">
        <v>1.02</v>
      </c>
      <c r="J12985">
        <v>0.64</v>
      </c>
      <c r="K12985">
        <v>1.03</v>
      </c>
      <c r="L12985">
        <v>0.39</v>
      </c>
      <c r="M12985">
        <v>1.01</v>
      </c>
      <c r="N12985">
        <v>0.96</v>
      </c>
    </row>
    <row r="12986" spans="1:14" x14ac:dyDescent="0.25">
      <c r="A12986" t="s">
        <v>22230</v>
      </c>
      <c r="B12986" t="s">
        <v>22231</v>
      </c>
      <c r="C12986" s="1" t="str">
        <f>HYPERLINK("http://www.genecards.org/cgi-bin/carddisp.pl?gene=CEBPZ","GeneCards")</f>
        <v>GeneCards</v>
      </c>
      <c r="D12986" s="1" t="str">
        <f>HYPERLINK("http://genome-euro.ucsc.edu/cgi-bin/hgTracks?position=203341_at","UCSC")</f>
        <v>UCSC</v>
      </c>
      <c r="E12986" s="1" t="str">
        <f>HYPERLINK("http://www.ncbi.nlm.nih.gov/gene/?term=CEBPZ","NCBI")</f>
        <v>NCBI</v>
      </c>
      <c r="F12986">
        <v>0.41</v>
      </c>
      <c r="G12986">
        <v>0.54</v>
      </c>
      <c r="H12986" s="1" t="str">
        <f>HYPERLINK("http://www.weizmann.ac.il/complex/compphys/software/geview/data/figures/203341_at.png","Figure")</f>
        <v>Figure</v>
      </c>
      <c r="I12986">
        <v>1.08</v>
      </c>
      <c r="J12986">
        <v>0.97</v>
      </c>
      <c r="K12986">
        <v>0.73699999999999999</v>
      </c>
      <c r="L12986">
        <v>0.56000000000000005</v>
      </c>
      <c r="M12986">
        <v>0.68300000000000005</v>
      </c>
      <c r="N12986">
        <v>0.46</v>
      </c>
    </row>
    <row r="12987" spans="1:14" x14ac:dyDescent="0.25">
      <c r="A12987" t="s">
        <v>22232</v>
      </c>
      <c r="B12987" t="s">
        <v>22233</v>
      </c>
      <c r="C12987" s="1" t="str">
        <f>HYPERLINK("http://www.genecards.org/cgi-bin/carddisp.pl?gene=ZC4H2","GeneCards")</f>
        <v>GeneCards</v>
      </c>
      <c r="D12987" s="1" t="str">
        <f>HYPERLINK("http://genome-euro.ucsc.edu/cgi-bin/hgTracks?position=220040_x_at","UCSC")</f>
        <v>UCSC</v>
      </c>
      <c r="E12987" s="1" t="str">
        <f>HYPERLINK("http://www.ncbi.nlm.nih.gov/gene/?term=ZC4H2","NCBI")</f>
        <v>NCBI</v>
      </c>
      <c r="F12987">
        <v>0.41</v>
      </c>
      <c r="G12987">
        <v>0.54</v>
      </c>
      <c r="H12987" s="1" t="str">
        <f>HYPERLINK("http://www.weizmann.ac.il/complex/compphys/software/geview/data/figures/220040_x_at.png","Figure")</f>
        <v>Figure</v>
      </c>
      <c r="I12987">
        <v>0.91400000000000003</v>
      </c>
      <c r="J12987">
        <v>0.49</v>
      </c>
      <c r="K12987">
        <v>1</v>
      </c>
      <c r="L12987">
        <v>1</v>
      </c>
      <c r="M12987">
        <v>1.1000000000000001</v>
      </c>
      <c r="N12987">
        <v>0.43</v>
      </c>
    </row>
    <row r="12988" spans="1:14" x14ac:dyDescent="0.25">
      <c r="A12988" t="s">
        <v>22234</v>
      </c>
      <c r="B12988" t="s">
        <v>11271</v>
      </c>
      <c r="C12988" s="1" t="str">
        <f>HYPERLINK("http://www.genecards.org/cgi-bin/carddisp.pl?gene=TPM2","GeneCards")</f>
        <v>GeneCards</v>
      </c>
      <c r="D12988" s="1" t="str">
        <f>HYPERLINK("http://genome-euro.ucsc.edu/cgi-bin/hgTracks?position=212654_at","UCSC")</f>
        <v>UCSC</v>
      </c>
      <c r="E12988" s="1" t="str">
        <f>HYPERLINK("http://www.ncbi.nlm.nih.gov/gene/?term=TPM2","NCBI")</f>
        <v>NCBI</v>
      </c>
      <c r="F12988">
        <v>0.41</v>
      </c>
      <c r="G12988">
        <v>0.54</v>
      </c>
      <c r="H12988" s="1" t="str">
        <f>HYPERLINK("http://www.weizmann.ac.il/complex/compphys/software/geview/data/figures/212654_at.png","Figure")</f>
        <v>Figure</v>
      </c>
      <c r="I12988">
        <v>1.0900000000000001</v>
      </c>
      <c r="J12988">
        <v>0.67</v>
      </c>
      <c r="K12988">
        <v>1.1299999999999999</v>
      </c>
      <c r="L12988">
        <v>0.39</v>
      </c>
      <c r="M12988">
        <v>1.03</v>
      </c>
      <c r="N12988">
        <v>0.94</v>
      </c>
    </row>
    <row r="12989" spans="1:14" x14ac:dyDescent="0.25">
      <c r="A12989" t="s">
        <v>22235</v>
      </c>
      <c r="B12989" t="s">
        <v>22236</v>
      </c>
      <c r="C12989" s="1" t="str">
        <f>HYPERLINK("http://www.genecards.org/cgi-bin/carddisp.pl?gene=THAP7","GeneCards")</f>
        <v>GeneCards</v>
      </c>
      <c r="D12989" s="1" t="str">
        <f>HYPERLINK("http://genome-euro.ucsc.edu/cgi-bin/hgTracks?position=218492_s_at","UCSC")</f>
        <v>UCSC</v>
      </c>
      <c r="E12989" s="1" t="str">
        <f>HYPERLINK("http://www.ncbi.nlm.nih.gov/gene/?term=THAP7","NCBI")</f>
        <v>NCBI</v>
      </c>
      <c r="F12989">
        <v>0.41</v>
      </c>
      <c r="G12989">
        <v>0.54</v>
      </c>
      <c r="H12989" s="1" t="str">
        <f>HYPERLINK("http://www.weizmann.ac.il/complex/compphys/software/geview/data/figures/218492_s_at.png","Figure")</f>
        <v>Figure</v>
      </c>
      <c r="I12989">
        <v>0.86699999999999999</v>
      </c>
      <c r="J12989">
        <v>0.49</v>
      </c>
      <c r="K12989">
        <v>1</v>
      </c>
      <c r="L12989">
        <v>1</v>
      </c>
      <c r="M12989">
        <v>1.1599999999999999</v>
      </c>
      <c r="N12989">
        <v>0.43</v>
      </c>
    </row>
    <row r="12990" spans="1:14" x14ac:dyDescent="0.25">
      <c r="A12990" t="s">
        <v>22237</v>
      </c>
      <c r="B12990" t="s">
        <v>22238</v>
      </c>
      <c r="C12990" s="1" t="str">
        <f>HYPERLINK("http://www.genecards.org/cgi-bin/carddisp.pl?gene=PLS1","GeneCards")</f>
        <v>GeneCards</v>
      </c>
      <c r="D12990" s="1" t="str">
        <f>HYPERLINK("http://genome-euro.ucsc.edu/cgi-bin/hgTracks?position=205190_at","UCSC")</f>
        <v>UCSC</v>
      </c>
      <c r="E12990" s="1" t="str">
        <f>HYPERLINK("http://www.ncbi.nlm.nih.gov/gene/?term=PLS1","NCBI")</f>
        <v>NCBI</v>
      </c>
      <c r="F12990">
        <v>0.41</v>
      </c>
      <c r="G12990">
        <v>0.54</v>
      </c>
      <c r="H12990" s="1" t="str">
        <f>HYPERLINK("http://www.weizmann.ac.il/complex/compphys/software/geview/data/figures/205190_at.png","Figure")</f>
        <v>Figure</v>
      </c>
      <c r="I12990">
        <v>1.07</v>
      </c>
      <c r="J12990">
        <v>0.72</v>
      </c>
      <c r="K12990">
        <v>0.95699999999999996</v>
      </c>
      <c r="L12990">
        <v>0.83</v>
      </c>
      <c r="M12990">
        <v>0.89600000000000002</v>
      </c>
      <c r="N12990">
        <v>0.38</v>
      </c>
    </row>
    <row r="12991" spans="1:14" x14ac:dyDescent="0.25">
      <c r="A12991" t="s">
        <v>22239</v>
      </c>
      <c r="B12991" t="s">
        <v>22240</v>
      </c>
      <c r="C12991" s="1" t="str">
        <f>HYPERLINK("http://www.genecards.org/cgi-bin/carddisp.pl?gene=ATP6V0A2","GeneCards")</f>
        <v>GeneCards</v>
      </c>
      <c r="D12991" s="1" t="str">
        <f>HYPERLINK("http://genome-euro.ucsc.edu/cgi-bin/hgTracks?position=205704_s_at","UCSC")</f>
        <v>UCSC</v>
      </c>
      <c r="E12991" s="1" t="str">
        <f>HYPERLINK("http://www.ncbi.nlm.nih.gov/gene/?term=ATP6V0A2","NCBI")</f>
        <v>NCBI</v>
      </c>
      <c r="F12991">
        <v>0.41</v>
      </c>
      <c r="G12991">
        <v>0.54</v>
      </c>
      <c r="H12991" s="1" t="str">
        <f>HYPERLINK("http://www.weizmann.ac.il/complex/compphys/software/geview/data/figures/205704_s_at.png","Figure")</f>
        <v>Figure</v>
      </c>
      <c r="I12991">
        <v>0.94299999999999995</v>
      </c>
      <c r="J12991">
        <v>0.85</v>
      </c>
      <c r="K12991">
        <v>1.08</v>
      </c>
      <c r="L12991">
        <v>0.71</v>
      </c>
      <c r="M12991">
        <v>1.1399999999999999</v>
      </c>
      <c r="N12991">
        <v>0.4</v>
      </c>
    </row>
    <row r="12992" spans="1:14" x14ac:dyDescent="0.25">
      <c r="A12992" t="s">
        <v>22241</v>
      </c>
      <c r="B12992" t="s">
        <v>12419</v>
      </c>
      <c r="C12992" s="1" t="str">
        <f>HYPERLINK("http://www.genecards.org/cgi-bin/carddisp.pl?gene=SNX26","GeneCards")</f>
        <v>GeneCards</v>
      </c>
      <c r="D12992" s="1" t="str">
        <f>HYPERLINK("http://genome-euro.ucsc.edu/cgi-bin/hgTracks?position=213827_at","UCSC")</f>
        <v>UCSC</v>
      </c>
      <c r="E12992" s="1" t="str">
        <f>HYPERLINK("http://www.ncbi.nlm.nih.gov/gene/?term=SNX26","NCBI")</f>
        <v>NCBI</v>
      </c>
      <c r="F12992">
        <v>0.41</v>
      </c>
      <c r="G12992">
        <v>0.54</v>
      </c>
      <c r="H12992" s="1" t="str">
        <f>HYPERLINK("http://www.weizmann.ac.il/complex/compphys/software/geview/data/figures/213827_at.png","Figure")</f>
        <v>Figure</v>
      </c>
      <c r="I12992">
        <v>1.3</v>
      </c>
      <c r="J12992">
        <v>0.44</v>
      </c>
      <c r="K12992">
        <v>1.03</v>
      </c>
      <c r="L12992">
        <v>0.98</v>
      </c>
      <c r="M12992">
        <v>0.79400000000000004</v>
      </c>
      <c r="N12992">
        <v>0.48</v>
      </c>
    </row>
    <row r="12993" spans="1:14" x14ac:dyDescent="0.25">
      <c r="A12993" t="s">
        <v>22242</v>
      </c>
      <c r="B12993" t="s">
        <v>22243</v>
      </c>
      <c r="C12993" s="1" t="str">
        <f>HYPERLINK("http://www.genecards.org/cgi-bin/carddisp.pl?gene=TEX14","GeneCards")</f>
        <v>GeneCards</v>
      </c>
      <c r="D12993" s="1" t="str">
        <f>HYPERLINK("http://genome-euro.ucsc.edu/cgi-bin/hgTracks?position=221035_s_at","UCSC")</f>
        <v>UCSC</v>
      </c>
      <c r="E12993" s="1" t="str">
        <f>HYPERLINK("http://www.ncbi.nlm.nih.gov/gene/?term=TEX14","NCBI")</f>
        <v>NCBI</v>
      </c>
      <c r="F12993">
        <v>0.41</v>
      </c>
      <c r="G12993">
        <v>0.54</v>
      </c>
      <c r="H12993" s="1" t="str">
        <f>HYPERLINK("http://www.weizmann.ac.il/complex/compphys/software/geview/data/figures/221035_s_at.png","Figure")</f>
        <v>Figure</v>
      </c>
      <c r="I12993">
        <v>0.879</v>
      </c>
      <c r="J12993">
        <v>0.4</v>
      </c>
      <c r="K12993">
        <v>0.96799999999999997</v>
      </c>
      <c r="L12993">
        <v>0.92</v>
      </c>
      <c r="M12993">
        <v>1.1000000000000001</v>
      </c>
      <c r="N12993">
        <v>0.55000000000000004</v>
      </c>
    </row>
    <row r="12994" spans="1:14" x14ac:dyDescent="0.25">
      <c r="A12994" t="s">
        <v>22244</v>
      </c>
      <c r="B12994" t="s">
        <v>22245</v>
      </c>
      <c r="C12994" s="1" t="str">
        <f>HYPERLINK("http://www.genecards.org/cgi-bin/carddisp.pl?gene=BET1","GeneCards")</f>
        <v>GeneCards</v>
      </c>
      <c r="D12994" s="1" t="str">
        <f>HYPERLINK("http://genome-euro.ucsc.edu/cgi-bin/hgTracks?position=202710_at","UCSC")</f>
        <v>UCSC</v>
      </c>
      <c r="E12994" s="1" t="str">
        <f>HYPERLINK("http://www.ncbi.nlm.nih.gov/gene/?term=BET1","NCBI")</f>
        <v>NCBI</v>
      </c>
      <c r="F12994">
        <v>0.41</v>
      </c>
      <c r="G12994">
        <v>0.54</v>
      </c>
      <c r="H12994" s="1" t="str">
        <f>HYPERLINK("http://www.weizmann.ac.il/complex/compphys/software/geview/data/figures/202710_at.png","Figure")</f>
        <v>Figure</v>
      </c>
      <c r="I12994">
        <v>0.83499999999999996</v>
      </c>
      <c r="J12994">
        <v>0.43</v>
      </c>
      <c r="K12994">
        <v>0.97499999999999998</v>
      </c>
      <c r="L12994">
        <v>0.98</v>
      </c>
      <c r="M12994">
        <v>1.17</v>
      </c>
      <c r="N12994">
        <v>0.49</v>
      </c>
    </row>
    <row r="12995" spans="1:14" x14ac:dyDescent="0.25">
      <c r="A12995" t="s">
        <v>22246</v>
      </c>
      <c r="B12995" t="s">
        <v>19647</v>
      </c>
      <c r="C12995" s="1" t="str">
        <f>HYPERLINK("http://www.genecards.org/cgi-bin/carddisp.pl?gene=ARPC4 /// TTLL3","GeneCards")</f>
        <v>GeneCards</v>
      </c>
      <c r="D12995" s="1" t="str">
        <f>HYPERLINK("http://genome-euro.ucsc.edu/cgi-bin/hgTracks?position=211672_s_at","UCSC")</f>
        <v>UCSC</v>
      </c>
      <c r="E12995" s="1" t="str">
        <f>HYPERLINK("http://www.ncbi.nlm.nih.gov/gene/?term=ARPC4 /// TTLL3","NCBI")</f>
        <v>NCBI</v>
      </c>
      <c r="F12995">
        <v>0.41</v>
      </c>
      <c r="G12995">
        <v>0.54</v>
      </c>
      <c r="H12995" s="1" t="str">
        <f>HYPERLINK("http://www.weizmann.ac.il/complex/compphys/software/geview/data/figures/211672_s_at.png","Figure")</f>
        <v>Figure</v>
      </c>
      <c r="I12995">
        <v>1.05</v>
      </c>
      <c r="J12995">
        <v>0.38</v>
      </c>
      <c r="K12995">
        <v>1.02</v>
      </c>
      <c r="L12995">
        <v>0.75</v>
      </c>
      <c r="M12995">
        <v>0.97399999999999998</v>
      </c>
      <c r="N12995">
        <v>0.72</v>
      </c>
    </row>
    <row r="12996" spans="1:14" x14ac:dyDescent="0.25">
      <c r="A12996" t="s">
        <v>22247</v>
      </c>
      <c r="B12996" t="s">
        <v>22248</v>
      </c>
      <c r="C12996" s="1" t="str">
        <f>HYPERLINK("http://www.genecards.org/cgi-bin/carddisp.pl?gene=KCNH6","GeneCards")</f>
        <v>GeneCards</v>
      </c>
      <c r="D12996" s="1" t="str">
        <f>HYPERLINK("http://genome-euro.ucsc.edu/cgi-bin/hgTracks?position=221023_s_at","UCSC")</f>
        <v>UCSC</v>
      </c>
      <c r="E12996" s="1" t="str">
        <f>HYPERLINK("http://www.ncbi.nlm.nih.gov/gene/?term=KCNH6","NCBI")</f>
        <v>NCBI</v>
      </c>
      <c r="F12996">
        <v>0.41</v>
      </c>
      <c r="G12996">
        <v>0.54</v>
      </c>
      <c r="H12996" s="1" t="str">
        <f>HYPERLINK("http://www.weizmann.ac.il/complex/compphys/software/geview/data/figures/221023_s_at.png","Figure")</f>
        <v>Figure</v>
      </c>
      <c r="I12996">
        <v>1.1000000000000001</v>
      </c>
      <c r="J12996">
        <v>0.39</v>
      </c>
      <c r="K12996">
        <v>1.03</v>
      </c>
      <c r="L12996">
        <v>0.88</v>
      </c>
      <c r="M12996">
        <v>0.93799999999999994</v>
      </c>
      <c r="N12996">
        <v>0.59</v>
      </c>
    </row>
    <row r="12997" spans="1:14" x14ac:dyDescent="0.25">
      <c r="A12997" t="s">
        <v>22249</v>
      </c>
      <c r="B12997" t="s">
        <v>14086</v>
      </c>
      <c r="C12997" s="1" t="str">
        <f>HYPERLINK("http://www.genecards.org/cgi-bin/carddisp.pl?gene=ANGPTL2","GeneCards")</f>
        <v>GeneCards</v>
      </c>
      <c r="D12997" s="1" t="str">
        <f>HYPERLINK("http://genome-euro.ucsc.edu/cgi-bin/hgTracks?position=213004_at","UCSC")</f>
        <v>UCSC</v>
      </c>
      <c r="E12997" s="1" t="str">
        <f>HYPERLINK("http://www.ncbi.nlm.nih.gov/gene/?term=ANGPTL2","NCBI")</f>
        <v>NCBI</v>
      </c>
      <c r="F12997">
        <v>0.41</v>
      </c>
      <c r="G12997">
        <v>0.54</v>
      </c>
      <c r="H12997" s="1" t="str">
        <f>HYPERLINK("http://www.weizmann.ac.il/complex/compphys/software/geview/data/figures/213004_at.png","Figure")</f>
        <v>Figure</v>
      </c>
      <c r="I12997">
        <v>1.01</v>
      </c>
      <c r="J12997">
        <v>0.96</v>
      </c>
      <c r="K12997">
        <v>0.97</v>
      </c>
      <c r="L12997">
        <v>0.57999999999999996</v>
      </c>
      <c r="M12997">
        <v>0.96</v>
      </c>
      <c r="N12997">
        <v>0.45</v>
      </c>
    </row>
    <row r="12998" spans="1:14" x14ac:dyDescent="0.25">
      <c r="A12998" t="s">
        <v>22250</v>
      </c>
      <c r="B12998" t="s">
        <v>22251</v>
      </c>
      <c r="C12998" s="1" t="str">
        <f>HYPERLINK("http://www.genecards.org/cgi-bin/carddisp.pl?gene=RSRC1","GeneCards")</f>
        <v>GeneCards</v>
      </c>
      <c r="D12998" s="1" t="str">
        <f>HYPERLINK("http://genome-euro.ucsc.edu/cgi-bin/hgTracks?position=219507_at","UCSC")</f>
        <v>UCSC</v>
      </c>
      <c r="E12998" s="1" t="str">
        <f>HYPERLINK("http://www.ncbi.nlm.nih.gov/gene/?term=RSRC1","NCBI")</f>
        <v>NCBI</v>
      </c>
      <c r="F12998">
        <v>0.41</v>
      </c>
      <c r="G12998">
        <v>0.54</v>
      </c>
      <c r="H12998" s="1" t="str">
        <f>HYPERLINK("http://www.weizmann.ac.il/complex/compphys/software/geview/data/figures/219507_at.png","Figure")</f>
        <v>Figure</v>
      </c>
      <c r="I12998">
        <v>1.36</v>
      </c>
      <c r="J12998">
        <v>0.51</v>
      </c>
      <c r="K12998">
        <v>0.97699999999999998</v>
      </c>
      <c r="L12998">
        <v>0.99</v>
      </c>
      <c r="M12998">
        <v>0.71899999999999997</v>
      </c>
      <c r="N12998">
        <v>0.42</v>
      </c>
    </row>
    <row r="12999" spans="1:14" x14ac:dyDescent="0.25">
      <c r="A12999" t="s">
        <v>22252</v>
      </c>
      <c r="B12999" t="s">
        <v>22253</v>
      </c>
      <c r="C12999" s="1" t="str">
        <f>HYPERLINK("http://www.genecards.org/cgi-bin/carddisp.pl?gene=ACTL7B","GeneCards")</f>
        <v>GeneCards</v>
      </c>
      <c r="D12999" s="1" t="str">
        <f>HYPERLINK("http://genome-euro.ucsc.edu/cgi-bin/hgTracks?position=220498_at","UCSC")</f>
        <v>UCSC</v>
      </c>
      <c r="E12999" s="1" t="str">
        <f>HYPERLINK("http://www.ncbi.nlm.nih.gov/gene/?term=ACTL7B","NCBI")</f>
        <v>NCBI</v>
      </c>
      <c r="F12999">
        <v>0.41</v>
      </c>
      <c r="G12999">
        <v>0.54</v>
      </c>
      <c r="H12999" s="1" t="str">
        <f>HYPERLINK("http://www.weizmann.ac.il/complex/compphys/software/geview/data/figures/220498_at.png","Figure")</f>
        <v>Figure</v>
      </c>
      <c r="I12999">
        <v>1.07</v>
      </c>
      <c r="J12999">
        <v>0.39</v>
      </c>
      <c r="K12999">
        <v>1.04</v>
      </c>
      <c r="L12999">
        <v>0.67</v>
      </c>
      <c r="M12999">
        <v>0.97</v>
      </c>
      <c r="N12999">
        <v>0.79</v>
      </c>
    </row>
    <row r="13000" spans="1:14" x14ac:dyDescent="0.25">
      <c r="A13000" t="s">
        <v>22254</v>
      </c>
      <c r="B13000" t="s">
        <v>3952</v>
      </c>
      <c r="C13000" s="1" t="str">
        <f>HYPERLINK("http://www.genecards.org/cgi-bin/carddisp.pl?gene=COL8A2","GeneCards")</f>
        <v>GeneCards</v>
      </c>
      <c r="D13000" s="1" t="str">
        <f>HYPERLINK("http://genome-euro.ucsc.edu/cgi-bin/hgTracks?position=221900_at","UCSC")</f>
        <v>UCSC</v>
      </c>
      <c r="E13000" s="1" t="str">
        <f>HYPERLINK("http://www.ncbi.nlm.nih.gov/gene/?term=COL8A2","NCBI")</f>
        <v>NCBI</v>
      </c>
      <c r="F13000">
        <v>0.41</v>
      </c>
      <c r="G13000">
        <v>0.54</v>
      </c>
      <c r="H13000" s="1" t="str">
        <f>HYPERLINK("http://www.weizmann.ac.il/complex/compphys/software/geview/data/figures/221900_at.png","Figure")</f>
        <v>Figure</v>
      </c>
      <c r="I13000">
        <v>1.04</v>
      </c>
      <c r="J13000">
        <v>0.51</v>
      </c>
      <c r="K13000">
        <v>1.04</v>
      </c>
      <c r="L13000">
        <v>0.45</v>
      </c>
      <c r="M13000">
        <v>0.998</v>
      </c>
      <c r="N13000">
        <v>1</v>
      </c>
    </row>
    <row r="13001" spans="1:14" x14ac:dyDescent="0.25">
      <c r="A13001" t="s">
        <v>22255</v>
      </c>
      <c r="B13001" t="s">
        <v>22256</v>
      </c>
      <c r="C13001" s="1" t="str">
        <f>HYPERLINK("http://www.genecards.org/cgi-bin/carddisp.pl?gene=SLC26A6","GeneCards")</f>
        <v>GeneCards</v>
      </c>
      <c r="D13001" s="1" t="str">
        <f>HYPERLINK("http://genome-euro.ucsc.edu/cgi-bin/hgTracks?position=221572_s_at","UCSC")</f>
        <v>UCSC</v>
      </c>
      <c r="E13001" s="1" t="str">
        <f>HYPERLINK("http://www.ncbi.nlm.nih.gov/gene/?term=SLC26A6","NCBI")</f>
        <v>NCBI</v>
      </c>
      <c r="F13001">
        <v>0.41</v>
      </c>
      <c r="G13001">
        <v>0.54</v>
      </c>
      <c r="H13001" s="1" t="str">
        <f>HYPERLINK("http://www.weizmann.ac.il/complex/compphys/software/geview/data/figures/221572_s_at.png","Figure")</f>
        <v>Figure</v>
      </c>
      <c r="I13001">
        <v>1.01</v>
      </c>
      <c r="J13001">
        <v>0.98</v>
      </c>
      <c r="K13001">
        <v>1.07</v>
      </c>
      <c r="L13001">
        <v>0.43</v>
      </c>
      <c r="M13001">
        <v>1.06</v>
      </c>
      <c r="N13001">
        <v>0.6</v>
      </c>
    </row>
    <row r="13002" spans="1:14" x14ac:dyDescent="0.25">
      <c r="A13002" t="s">
        <v>22257</v>
      </c>
      <c r="B13002" t="s">
        <v>3025</v>
      </c>
      <c r="C13002" s="1" t="str">
        <f>HYPERLINK("http://www.genecards.org/cgi-bin/carddisp.pl?gene=ELAVL1","GeneCards")</f>
        <v>GeneCards</v>
      </c>
      <c r="D13002" s="1" t="str">
        <f>HYPERLINK("http://genome-euro.ucsc.edu/cgi-bin/hgTracks?position=201727_s_at","UCSC")</f>
        <v>UCSC</v>
      </c>
      <c r="E13002" s="1" t="str">
        <f>HYPERLINK("http://www.ncbi.nlm.nih.gov/gene/?term=ELAVL1","NCBI")</f>
        <v>NCBI</v>
      </c>
      <c r="F13002">
        <v>0.41</v>
      </c>
      <c r="G13002">
        <v>0.54</v>
      </c>
      <c r="H13002" s="1" t="str">
        <f>HYPERLINK("http://www.weizmann.ac.il/complex/compphys/software/geview/data/figures/201727_s_at.png","Figure")</f>
        <v>Figure</v>
      </c>
      <c r="I13002">
        <v>1.23</v>
      </c>
      <c r="J13002">
        <v>0.57999999999999996</v>
      </c>
      <c r="K13002">
        <v>0.95299999999999996</v>
      </c>
      <c r="L13002">
        <v>0.96</v>
      </c>
      <c r="M13002">
        <v>0.77700000000000002</v>
      </c>
      <c r="N13002">
        <v>0.39</v>
      </c>
    </row>
    <row r="13003" spans="1:14" x14ac:dyDescent="0.25">
      <c r="A13003" t="s">
        <v>22258</v>
      </c>
      <c r="B13003" t="s">
        <v>14051</v>
      </c>
      <c r="C13003" s="1" t="str">
        <f>HYPERLINK("http://www.genecards.org/cgi-bin/carddisp.pl?gene=EIF4EBP2","GeneCards")</f>
        <v>GeneCards</v>
      </c>
      <c r="D13003" s="1" t="str">
        <f>HYPERLINK("http://genome-euro.ucsc.edu/cgi-bin/hgTracks?position=208769_at","UCSC")</f>
        <v>UCSC</v>
      </c>
      <c r="E13003" s="1" t="str">
        <f>HYPERLINK("http://www.ncbi.nlm.nih.gov/gene/?term=EIF4EBP2","NCBI")</f>
        <v>NCBI</v>
      </c>
      <c r="F13003">
        <v>0.41</v>
      </c>
      <c r="G13003">
        <v>0.54</v>
      </c>
      <c r="H13003" s="1" t="str">
        <f>HYPERLINK("http://www.weizmann.ac.il/complex/compphys/software/geview/data/figures/208769_at.png","Figure")</f>
        <v>Figure</v>
      </c>
      <c r="I13003">
        <v>1.07</v>
      </c>
      <c r="J13003">
        <v>0.49</v>
      </c>
      <c r="K13003">
        <v>0.998</v>
      </c>
      <c r="L13003">
        <v>1</v>
      </c>
      <c r="M13003">
        <v>0.92900000000000005</v>
      </c>
      <c r="N13003">
        <v>0.43</v>
      </c>
    </row>
    <row r="13004" spans="1:14" x14ac:dyDescent="0.25">
      <c r="A13004" t="s">
        <v>22259</v>
      </c>
      <c r="B13004" t="s">
        <v>22260</v>
      </c>
      <c r="C13004" s="1" t="str">
        <f>HYPERLINK("http://www.genecards.org/cgi-bin/carddisp.pl?gene=LOC100130100 /// LOC100291464","GeneCards")</f>
        <v>GeneCards</v>
      </c>
      <c r="D13004" s="1" t="str">
        <f>HYPERLINK("http://genome-euro.ucsc.edu/cgi-bin/hgTracks?position=217378_x_at","UCSC")</f>
        <v>UCSC</v>
      </c>
      <c r="E13004" s="1" t="str">
        <f>HYPERLINK("http://www.ncbi.nlm.nih.gov/gene/?term=LOC100130100 /// LOC100291464","NCBI")</f>
        <v>NCBI</v>
      </c>
      <c r="F13004">
        <v>0.41</v>
      </c>
      <c r="G13004">
        <v>0.54</v>
      </c>
      <c r="H13004" s="1" t="str">
        <f>HYPERLINK("http://www.weizmann.ac.il/complex/compphys/software/geview/data/figures/217378_x_at.png","Figure")</f>
        <v>Figure</v>
      </c>
      <c r="I13004">
        <v>0.68300000000000005</v>
      </c>
      <c r="J13004">
        <v>0.43</v>
      </c>
      <c r="K13004">
        <v>0.751</v>
      </c>
      <c r="L13004">
        <v>0.53</v>
      </c>
      <c r="M13004">
        <v>1.1000000000000001</v>
      </c>
      <c r="N13004">
        <v>0.94</v>
      </c>
    </row>
    <row r="13005" spans="1:14" x14ac:dyDescent="0.25">
      <c r="A13005" t="s">
        <v>22261</v>
      </c>
      <c r="B13005" t="s">
        <v>16154</v>
      </c>
      <c r="C13005" s="1" t="str">
        <f>HYPERLINK("http://www.genecards.org/cgi-bin/carddisp.pl?gene=ZNF764","GeneCards")</f>
        <v>GeneCards</v>
      </c>
      <c r="D13005" s="1" t="str">
        <f>HYPERLINK("http://genome-euro.ucsc.edu/cgi-bin/hgTracks?position=57516_at","UCSC")</f>
        <v>UCSC</v>
      </c>
      <c r="E13005" s="1" t="str">
        <f>HYPERLINK("http://www.ncbi.nlm.nih.gov/gene/?term=ZNF764","NCBI")</f>
        <v>NCBI</v>
      </c>
      <c r="F13005">
        <v>0.41</v>
      </c>
      <c r="G13005">
        <v>0.54</v>
      </c>
      <c r="H13005" s="1" t="str">
        <f>HYPERLINK("http://www.weizmann.ac.il/complex/compphys/software/geview/data/figures/57516_at.png","Figure")</f>
        <v>Figure</v>
      </c>
      <c r="I13005">
        <v>1</v>
      </c>
      <c r="J13005">
        <v>1</v>
      </c>
      <c r="K13005">
        <v>0.96399999999999997</v>
      </c>
      <c r="L13005">
        <v>0.48</v>
      </c>
      <c r="M13005">
        <v>0.96399999999999997</v>
      </c>
      <c r="N13005">
        <v>0.53</v>
      </c>
    </row>
    <row r="13006" spans="1:14" x14ac:dyDescent="0.25">
      <c r="A13006" t="s">
        <v>22262</v>
      </c>
      <c r="B13006" t="s">
        <v>22263</v>
      </c>
      <c r="C13006" s="1" t="str">
        <f>HYPERLINK("http://www.genecards.org/cgi-bin/carddisp.pl?gene=TFAP2A","GeneCards")</f>
        <v>GeneCards</v>
      </c>
      <c r="D13006" s="1" t="str">
        <f>HYPERLINK("http://genome-euro.ucsc.edu/cgi-bin/hgTracks?position=204653_at","UCSC")</f>
        <v>UCSC</v>
      </c>
      <c r="E13006" s="1" t="str">
        <f>HYPERLINK("http://www.ncbi.nlm.nih.gov/gene/?term=TFAP2A","NCBI")</f>
        <v>NCBI</v>
      </c>
      <c r="F13006">
        <v>0.41</v>
      </c>
      <c r="G13006">
        <v>0.54</v>
      </c>
      <c r="H13006" s="1" t="str">
        <f>HYPERLINK("http://www.weizmann.ac.il/complex/compphys/software/geview/data/figures/204653_at.png","Figure")</f>
        <v>Figure</v>
      </c>
      <c r="I13006">
        <v>1.04</v>
      </c>
      <c r="J13006">
        <v>0.38</v>
      </c>
      <c r="K13006">
        <v>1.02</v>
      </c>
      <c r="L13006">
        <v>0.71</v>
      </c>
      <c r="M13006">
        <v>0.98</v>
      </c>
      <c r="N13006">
        <v>0.75</v>
      </c>
    </row>
    <row r="13007" spans="1:14" x14ac:dyDescent="0.25">
      <c r="A13007" t="s">
        <v>22264</v>
      </c>
      <c r="B13007" t="s">
        <v>22265</v>
      </c>
      <c r="C13007" s="1" t="str">
        <f>HYPERLINK("http://www.genecards.org/cgi-bin/carddisp.pl?gene=CD248","GeneCards")</f>
        <v>GeneCards</v>
      </c>
      <c r="D13007" s="1" t="str">
        <f>HYPERLINK("http://genome-euro.ucsc.edu/cgi-bin/hgTracks?position=219025_at","UCSC")</f>
        <v>UCSC</v>
      </c>
      <c r="E13007" s="1" t="str">
        <f>HYPERLINK("http://www.ncbi.nlm.nih.gov/gene/?term=CD248","NCBI")</f>
        <v>NCBI</v>
      </c>
      <c r="F13007">
        <v>0.41</v>
      </c>
      <c r="G13007">
        <v>0.54</v>
      </c>
      <c r="H13007" s="1" t="str">
        <f>HYPERLINK("http://www.weizmann.ac.il/complex/compphys/software/geview/data/figures/219025_at.png","Figure")</f>
        <v>Figure</v>
      </c>
      <c r="I13007">
        <v>1.21</v>
      </c>
      <c r="J13007">
        <v>0.38</v>
      </c>
      <c r="K13007">
        <v>1.1000000000000001</v>
      </c>
      <c r="L13007">
        <v>0.71</v>
      </c>
      <c r="M13007">
        <v>0.91</v>
      </c>
      <c r="N13007">
        <v>0.75</v>
      </c>
    </row>
    <row r="13008" spans="1:14" x14ac:dyDescent="0.25">
      <c r="A13008" t="s">
        <v>22266</v>
      </c>
      <c r="B13008" t="s">
        <v>22267</v>
      </c>
      <c r="C13008" s="1" t="str">
        <f>HYPERLINK("http://www.genecards.org/cgi-bin/carddisp.pl?gene=ZNF528","GeneCards")</f>
        <v>GeneCards</v>
      </c>
      <c r="D13008" s="1" t="str">
        <f>HYPERLINK("http://genome-euro.ucsc.edu/cgi-bin/hgTracks?position=215019_x_at","UCSC")</f>
        <v>UCSC</v>
      </c>
      <c r="E13008" s="1" t="str">
        <f>HYPERLINK("http://www.ncbi.nlm.nih.gov/gene/?term=ZNF528","NCBI")</f>
        <v>NCBI</v>
      </c>
      <c r="F13008">
        <v>0.41</v>
      </c>
      <c r="G13008">
        <v>0.54</v>
      </c>
      <c r="H13008" s="1" t="str">
        <f>HYPERLINK("http://www.weizmann.ac.il/complex/compphys/software/geview/data/figures/215019_x_at.png","Figure")</f>
        <v>Figure</v>
      </c>
      <c r="I13008">
        <v>1.05</v>
      </c>
      <c r="J13008">
        <v>0.67</v>
      </c>
      <c r="K13008">
        <v>0.97899999999999998</v>
      </c>
      <c r="L13008">
        <v>0.89</v>
      </c>
      <c r="M13008">
        <v>0.93500000000000005</v>
      </c>
      <c r="N13008">
        <v>0.38</v>
      </c>
    </row>
    <row r="13009" spans="1:14" x14ac:dyDescent="0.25">
      <c r="A13009" t="s">
        <v>22268</v>
      </c>
      <c r="B13009" t="s">
        <v>13591</v>
      </c>
      <c r="C13009" s="1" t="str">
        <f>HYPERLINK("http://www.genecards.org/cgi-bin/carddisp.pl?gene=CAPZB","GeneCards")</f>
        <v>GeneCards</v>
      </c>
      <c r="D13009" s="1" t="str">
        <f>HYPERLINK("http://genome-euro.ucsc.edu/cgi-bin/hgTracks?position=215097_at","UCSC")</f>
        <v>UCSC</v>
      </c>
      <c r="E13009" s="1" t="str">
        <f>HYPERLINK("http://www.ncbi.nlm.nih.gov/gene/?term=CAPZB","NCBI")</f>
        <v>NCBI</v>
      </c>
      <c r="F13009">
        <v>0.41</v>
      </c>
      <c r="G13009">
        <v>0.54</v>
      </c>
      <c r="H13009" s="1" t="str">
        <f>HYPERLINK("http://www.weizmann.ac.il/complex/compphys/software/geview/data/figures/215097_at.png","Figure")</f>
        <v>Figure</v>
      </c>
      <c r="I13009">
        <v>1.01</v>
      </c>
      <c r="J13009">
        <v>0.83</v>
      </c>
      <c r="K13009">
        <v>1.03</v>
      </c>
      <c r="L13009">
        <v>0.38</v>
      </c>
      <c r="M13009">
        <v>1.01</v>
      </c>
      <c r="N13009">
        <v>0.8</v>
      </c>
    </row>
    <row r="13010" spans="1:14" x14ac:dyDescent="0.25">
      <c r="A13010" t="s">
        <v>22269</v>
      </c>
      <c r="B13010" t="s">
        <v>22270</v>
      </c>
      <c r="C13010" s="1" t="str">
        <f>HYPERLINK("http://www.genecards.org/cgi-bin/carddisp.pl?gene=PLOD3","GeneCards")</f>
        <v>GeneCards</v>
      </c>
      <c r="D13010" s="1" t="str">
        <f>HYPERLINK("http://genome-euro.ucsc.edu/cgi-bin/hgTracks?position=202185_at","UCSC")</f>
        <v>UCSC</v>
      </c>
      <c r="E13010" s="1" t="str">
        <f>HYPERLINK("http://www.ncbi.nlm.nih.gov/gene/?term=PLOD3","NCBI")</f>
        <v>NCBI</v>
      </c>
      <c r="F13010">
        <v>0.41</v>
      </c>
      <c r="G13010">
        <v>0.54</v>
      </c>
      <c r="H13010" s="1" t="str">
        <f>HYPERLINK("http://www.weizmann.ac.il/complex/compphys/software/geview/data/figures/202185_at.png","Figure")</f>
        <v>Figure</v>
      </c>
      <c r="I13010">
        <v>1.1499999999999999</v>
      </c>
      <c r="J13010">
        <v>0.38</v>
      </c>
      <c r="K13010">
        <v>1.06</v>
      </c>
      <c r="L13010">
        <v>0.79</v>
      </c>
      <c r="M13010">
        <v>0.92500000000000004</v>
      </c>
      <c r="N13010">
        <v>0.68</v>
      </c>
    </row>
    <row r="13011" spans="1:14" x14ac:dyDescent="0.25">
      <c r="A13011" t="s">
        <v>22271</v>
      </c>
      <c r="B13011" t="s">
        <v>22272</v>
      </c>
      <c r="C13011" s="1" t="str">
        <f>HYPERLINK("http://www.genecards.org/cgi-bin/carddisp.pl?gene=PHF2","GeneCards")</f>
        <v>GeneCards</v>
      </c>
      <c r="D13011" s="1" t="str">
        <f>HYPERLINK("http://genome-euro.ucsc.edu/cgi-bin/hgTracks?position=212726_at","UCSC")</f>
        <v>UCSC</v>
      </c>
      <c r="E13011" s="1" t="str">
        <f>HYPERLINK("http://www.ncbi.nlm.nih.gov/gene/?term=PHF2","NCBI")</f>
        <v>NCBI</v>
      </c>
      <c r="F13011">
        <v>0.41</v>
      </c>
      <c r="G13011">
        <v>0.54</v>
      </c>
      <c r="H13011" s="1" t="str">
        <f>HYPERLINK("http://www.weizmann.ac.il/complex/compphys/software/geview/data/figures/212726_at.png","Figure")</f>
        <v>Figure</v>
      </c>
      <c r="I13011">
        <v>0.84</v>
      </c>
      <c r="J13011">
        <v>0.57999999999999996</v>
      </c>
      <c r="K13011">
        <v>0.82299999999999995</v>
      </c>
      <c r="L13011">
        <v>0.41</v>
      </c>
      <c r="M13011">
        <v>0.97899999999999998</v>
      </c>
      <c r="N13011">
        <v>0.99</v>
      </c>
    </row>
    <row r="13012" spans="1:14" x14ac:dyDescent="0.25">
      <c r="A13012" t="s">
        <v>22273</v>
      </c>
      <c r="B13012" t="s">
        <v>22274</v>
      </c>
      <c r="C13012" s="1" t="str">
        <f>HYPERLINK("http://www.genecards.org/cgi-bin/carddisp.pl?gene=SPRY4","GeneCards")</f>
        <v>GeneCards</v>
      </c>
      <c r="D13012" s="1" t="str">
        <f>HYPERLINK("http://genome-euro.ucsc.edu/cgi-bin/hgTracks?position=221489_s_at","UCSC")</f>
        <v>UCSC</v>
      </c>
      <c r="E13012" s="1" t="str">
        <f>HYPERLINK("http://www.ncbi.nlm.nih.gov/gene/?term=SPRY4","NCBI")</f>
        <v>NCBI</v>
      </c>
      <c r="F13012">
        <v>0.41</v>
      </c>
      <c r="G13012">
        <v>0.54</v>
      </c>
      <c r="H13012" s="1" t="str">
        <f>HYPERLINK("http://www.weizmann.ac.il/complex/compphys/software/geview/data/figures/221489_s_at.png","Figure")</f>
        <v>Figure</v>
      </c>
      <c r="I13012">
        <v>0.83399999999999996</v>
      </c>
      <c r="J13012">
        <v>0.38</v>
      </c>
      <c r="K13012">
        <v>0.93400000000000005</v>
      </c>
      <c r="L13012">
        <v>0.83</v>
      </c>
      <c r="M13012">
        <v>1.1200000000000001</v>
      </c>
      <c r="N13012">
        <v>0.64</v>
      </c>
    </row>
    <row r="13013" spans="1:14" x14ac:dyDescent="0.25">
      <c r="A13013" t="s">
        <v>22275</v>
      </c>
      <c r="B13013" t="s">
        <v>22276</v>
      </c>
      <c r="C13013" s="1" t="str">
        <f>HYPERLINK("http://www.genecards.org/cgi-bin/carddisp.pl?gene=WIT1","GeneCards")</f>
        <v>GeneCards</v>
      </c>
      <c r="D13013" s="1" t="str">
        <f>HYPERLINK("http://genome-euro.ucsc.edu/cgi-bin/hgTracks?position=206954_at","UCSC")</f>
        <v>UCSC</v>
      </c>
      <c r="E13013" s="1" t="str">
        <f>HYPERLINK("http://www.ncbi.nlm.nih.gov/gene/?term=WIT1","NCBI")</f>
        <v>NCBI</v>
      </c>
      <c r="F13013">
        <v>0.41</v>
      </c>
      <c r="G13013">
        <v>0.54</v>
      </c>
      <c r="H13013" s="1" t="str">
        <f>HYPERLINK("http://www.weizmann.ac.il/complex/compphys/software/geview/data/figures/206954_at.png","Figure")</f>
        <v>Figure</v>
      </c>
      <c r="I13013">
        <v>1.1000000000000001</v>
      </c>
      <c r="J13013">
        <v>0.49</v>
      </c>
      <c r="K13013">
        <v>0.999</v>
      </c>
      <c r="L13013">
        <v>1</v>
      </c>
      <c r="M13013">
        <v>0.91100000000000003</v>
      </c>
      <c r="N13013">
        <v>0.43</v>
      </c>
    </row>
    <row r="13014" spans="1:14" x14ac:dyDescent="0.25">
      <c r="A13014" t="s">
        <v>22277</v>
      </c>
      <c r="B13014" t="s">
        <v>22278</v>
      </c>
      <c r="C13014" s="1" t="str">
        <f>HYPERLINK("http://www.genecards.org/cgi-bin/carddisp.pl?gene=GNRHR","GeneCards")</f>
        <v>GeneCards</v>
      </c>
      <c r="D13014" s="1" t="str">
        <f>HYPERLINK("http://genome-euro.ucsc.edu/cgi-bin/hgTracks?position=216341_s_at","UCSC")</f>
        <v>UCSC</v>
      </c>
      <c r="E13014" s="1" t="str">
        <f>HYPERLINK("http://www.ncbi.nlm.nih.gov/gene/?term=GNRHR","NCBI")</f>
        <v>NCBI</v>
      </c>
      <c r="F13014">
        <v>0.41</v>
      </c>
      <c r="G13014">
        <v>0.54</v>
      </c>
      <c r="H13014" s="1" t="str">
        <f>HYPERLINK("http://www.weizmann.ac.il/complex/compphys/software/geview/data/figures/216341_s_at.png","Figure")</f>
        <v>Figure</v>
      </c>
      <c r="I13014">
        <v>1.05</v>
      </c>
      <c r="J13014">
        <v>0.79</v>
      </c>
      <c r="K13014">
        <v>0.95199999999999996</v>
      </c>
      <c r="L13014">
        <v>0.76</v>
      </c>
      <c r="M13014">
        <v>0.90500000000000003</v>
      </c>
      <c r="N13014">
        <v>0.39</v>
      </c>
    </row>
    <row r="13015" spans="1:14" x14ac:dyDescent="0.25">
      <c r="A13015" t="s">
        <v>22279</v>
      </c>
      <c r="B13015" t="s">
        <v>22280</v>
      </c>
      <c r="C13015" s="1" t="str">
        <f>HYPERLINK("http://www.genecards.org/cgi-bin/carddisp.pl?gene=PLEKHG6","GeneCards")</f>
        <v>GeneCards</v>
      </c>
      <c r="D13015" s="1" t="str">
        <f>HYPERLINK("http://genome-euro.ucsc.edu/cgi-bin/hgTracks?position=220073_s_at","UCSC")</f>
        <v>UCSC</v>
      </c>
      <c r="E13015" s="1" t="str">
        <f>HYPERLINK("http://www.ncbi.nlm.nih.gov/gene/?term=PLEKHG6","NCBI")</f>
        <v>NCBI</v>
      </c>
      <c r="F13015">
        <v>0.41</v>
      </c>
      <c r="G13015">
        <v>0.54</v>
      </c>
      <c r="H13015" s="1" t="str">
        <f>HYPERLINK("http://www.weizmann.ac.il/complex/compphys/software/geview/data/figures/220073_s_at.png","Figure")</f>
        <v>Figure</v>
      </c>
      <c r="I13015">
        <v>1.1200000000000001</v>
      </c>
      <c r="J13015">
        <v>0.38</v>
      </c>
      <c r="K13015">
        <v>1.06</v>
      </c>
      <c r="L13015">
        <v>0.7</v>
      </c>
      <c r="M13015">
        <v>0.94699999999999995</v>
      </c>
      <c r="N13015">
        <v>0.77</v>
      </c>
    </row>
    <row r="13016" spans="1:14" x14ac:dyDescent="0.25">
      <c r="A13016" t="s">
        <v>22281</v>
      </c>
      <c r="B13016" t="s">
        <v>22282</v>
      </c>
      <c r="C13016" s="1" t="str">
        <f>HYPERLINK("http://www.genecards.org/cgi-bin/carddisp.pl?gene=IGSF1","GeneCards")</f>
        <v>GeneCards</v>
      </c>
      <c r="D13016" s="1" t="str">
        <f>HYPERLINK("http://genome-euro.ucsc.edu/cgi-bin/hgTracks?position=207695_s_at","UCSC")</f>
        <v>UCSC</v>
      </c>
      <c r="E13016" s="1" t="str">
        <f>HYPERLINK("http://www.ncbi.nlm.nih.gov/gene/?term=IGSF1","NCBI")</f>
        <v>NCBI</v>
      </c>
      <c r="F13016">
        <v>0.41</v>
      </c>
      <c r="G13016">
        <v>0.54</v>
      </c>
      <c r="H13016" s="1" t="str">
        <f>HYPERLINK("http://www.weizmann.ac.il/complex/compphys/software/geview/data/figures/207695_s_at.png","Figure")</f>
        <v>Figure</v>
      </c>
      <c r="I13016">
        <v>1.0900000000000001</v>
      </c>
      <c r="J13016">
        <v>0.39</v>
      </c>
      <c r="K13016">
        <v>1.05</v>
      </c>
      <c r="L13016">
        <v>0.68</v>
      </c>
      <c r="M13016">
        <v>0.96299999999999997</v>
      </c>
      <c r="N13016">
        <v>0.79</v>
      </c>
    </row>
    <row r="13017" spans="1:14" x14ac:dyDescent="0.25">
      <c r="A13017" t="s">
        <v>22283</v>
      </c>
      <c r="B13017" t="s">
        <v>22284</v>
      </c>
      <c r="C13017" s="1" t="str">
        <f>HYPERLINK("http://www.genecards.org/cgi-bin/carddisp.pl?gene=KCNK1","GeneCards")</f>
        <v>GeneCards</v>
      </c>
      <c r="D13017" s="1" t="str">
        <f>HYPERLINK("http://genome-euro.ucsc.edu/cgi-bin/hgTracks?position=204678_s_at","UCSC")</f>
        <v>UCSC</v>
      </c>
      <c r="E13017" s="1" t="str">
        <f>HYPERLINK("http://www.ncbi.nlm.nih.gov/gene/?term=KCNK1","NCBI")</f>
        <v>NCBI</v>
      </c>
      <c r="F13017">
        <v>0.41</v>
      </c>
      <c r="G13017">
        <v>0.54</v>
      </c>
      <c r="H13017" s="1" t="str">
        <f>HYPERLINK("http://www.weizmann.ac.il/complex/compphys/software/geview/data/figures/204678_s_at.png","Figure")</f>
        <v>Figure</v>
      </c>
      <c r="I13017">
        <v>1.07</v>
      </c>
      <c r="J13017">
        <v>0.42</v>
      </c>
      <c r="K13017">
        <v>1.01</v>
      </c>
      <c r="L13017">
        <v>0.96</v>
      </c>
      <c r="M13017">
        <v>0.94299999999999995</v>
      </c>
      <c r="N13017">
        <v>0.51</v>
      </c>
    </row>
    <row r="13018" spans="1:14" x14ac:dyDescent="0.25">
      <c r="A13018" t="s">
        <v>22285</v>
      </c>
      <c r="B13018" t="s">
        <v>22286</v>
      </c>
      <c r="C13018" s="1" t="str">
        <f>HYPERLINK("http://www.genecards.org/cgi-bin/carddisp.pl?gene=HOXD10","GeneCards")</f>
        <v>GeneCards</v>
      </c>
      <c r="D13018" s="1" t="str">
        <f>HYPERLINK("http://genome-euro.ucsc.edu/cgi-bin/hgTracks?position=207373_at","UCSC")</f>
        <v>UCSC</v>
      </c>
      <c r="E13018" s="1" t="str">
        <f>HYPERLINK("http://www.ncbi.nlm.nih.gov/gene/?term=HOXD10","NCBI")</f>
        <v>NCBI</v>
      </c>
      <c r="F13018">
        <v>0.41</v>
      </c>
      <c r="G13018">
        <v>0.54</v>
      </c>
      <c r="H13018" s="1" t="str">
        <f>HYPERLINK("http://www.weizmann.ac.il/complex/compphys/software/geview/data/figures/207373_at.png","Figure")</f>
        <v>Figure</v>
      </c>
      <c r="I13018">
        <v>1.04</v>
      </c>
      <c r="J13018">
        <v>0.39</v>
      </c>
      <c r="K13018">
        <v>1.01</v>
      </c>
      <c r="L13018">
        <v>0.88</v>
      </c>
      <c r="M13018">
        <v>0.97499999999999998</v>
      </c>
      <c r="N13018">
        <v>0.59</v>
      </c>
    </row>
    <row r="13019" spans="1:14" x14ac:dyDescent="0.25">
      <c r="A13019" t="s">
        <v>22287</v>
      </c>
      <c r="B13019" t="s">
        <v>22288</v>
      </c>
      <c r="C13019" s="1" t="str">
        <f>HYPERLINK("http://www.genecards.org/cgi-bin/carddisp.pl?gene=CLASP1","GeneCards")</f>
        <v>GeneCards</v>
      </c>
      <c r="D13019" s="1" t="str">
        <f>HYPERLINK("http://genome-euro.ucsc.edu/cgi-bin/hgTracks?position=212752_at","UCSC")</f>
        <v>UCSC</v>
      </c>
      <c r="E13019" s="1" t="str">
        <f>HYPERLINK("http://www.ncbi.nlm.nih.gov/gene/?term=CLASP1","NCBI")</f>
        <v>NCBI</v>
      </c>
      <c r="F13019">
        <v>0.41</v>
      </c>
      <c r="G13019">
        <v>0.54</v>
      </c>
      <c r="H13019" s="1" t="str">
        <f>HYPERLINK("http://www.weizmann.ac.il/complex/compphys/software/geview/data/figures/212752_at.png","Figure")</f>
        <v>Figure</v>
      </c>
      <c r="I13019">
        <v>0.83599999999999997</v>
      </c>
      <c r="J13019">
        <v>0.52</v>
      </c>
      <c r="K13019">
        <v>0.83899999999999997</v>
      </c>
      <c r="L13019">
        <v>0.44</v>
      </c>
      <c r="M13019">
        <v>1</v>
      </c>
      <c r="N13019">
        <v>1</v>
      </c>
    </row>
    <row r="13020" spans="1:14" x14ac:dyDescent="0.25">
      <c r="A13020" t="s">
        <v>22289</v>
      </c>
      <c r="B13020" t="s">
        <v>22290</v>
      </c>
      <c r="C13020" s="1" t="str">
        <f>HYPERLINK("http://www.genecards.org/cgi-bin/carddisp.pl?gene=VPS4A","GeneCards")</f>
        <v>GeneCards</v>
      </c>
      <c r="D13020" s="1" t="str">
        <f>HYPERLINK("http://genome-euro.ucsc.edu/cgi-bin/hgTracks?position=217913_at","UCSC")</f>
        <v>UCSC</v>
      </c>
      <c r="E13020" s="1" t="str">
        <f>HYPERLINK("http://www.ncbi.nlm.nih.gov/gene/?term=VPS4A","NCBI")</f>
        <v>NCBI</v>
      </c>
      <c r="F13020">
        <v>0.41</v>
      </c>
      <c r="G13020">
        <v>0.54</v>
      </c>
      <c r="H13020" s="1" t="str">
        <f>HYPERLINK("http://www.weizmann.ac.il/complex/compphys/software/geview/data/figures/217913_at.png","Figure")</f>
        <v>Figure</v>
      </c>
      <c r="I13020">
        <v>0.91700000000000004</v>
      </c>
      <c r="J13020">
        <v>0.69</v>
      </c>
      <c r="K13020">
        <v>0.88300000000000001</v>
      </c>
      <c r="L13020">
        <v>0.39</v>
      </c>
      <c r="M13020">
        <v>0.96299999999999997</v>
      </c>
      <c r="N13020">
        <v>0.92</v>
      </c>
    </row>
    <row r="13021" spans="1:14" x14ac:dyDescent="0.25">
      <c r="A13021" t="s">
        <v>22291</v>
      </c>
      <c r="B13021" t="s">
        <v>11474</v>
      </c>
      <c r="C13021" s="1" t="str">
        <f>HYPERLINK("http://www.genecards.org/cgi-bin/carddisp.pl?gene=PRPF31","GeneCards")</f>
        <v>GeneCards</v>
      </c>
      <c r="D13021" s="1" t="str">
        <f>HYPERLINK("http://genome-euro.ucsc.edu/cgi-bin/hgTracks?position=202407_s_at","UCSC")</f>
        <v>UCSC</v>
      </c>
      <c r="E13021" s="1" t="str">
        <f>HYPERLINK("http://www.ncbi.nlm.nih.gov/gene/?term=PRPF31","NCBI")</f>
        <v>NCBI</v>
      </c>
      <c r="F13021">
        <v>0.41</v>
      </c>
      <c r="G13021">
        <v>0.54</v>
      </c>
      <c r="H13021" s="1" t="str">
        <f>HYPERLINK("http://www.weizmann.ac.il/complex/compphys/software/geview/data/figures/202407_s_at.png","Figure")</f>
        <v>Figure</v>
      </c>
      <c r="I13021">
        <v>1.01</v>
      </c>
      <c r="J13021">
        <v>0.39</v>
      </c>
      <c r="K13021">
        <v>1</v>
      </c>
      <c r="L13021">
        <v>0.66</v>
      </c>
      <c r="M13021">
        <v>0.997</v>
      </c>
      <c r="N13021">
        <v>0.81</v>
      </c>
    </row>
    <row r="13022" spans="1:14" x14ac:dyDescent="0.25">
      <c r="A13022" t="s">
        <v>22292</v>
      </c>
      <c r="B13022" t="s">
        <v>22293</v>
      </c>
      <c r="C13022" s="1" t="str">
        <f>HYPERLINK("http://www.genecards.org/cgi-bin/carddisp.pl?gene=CCL27","GeneCards")</f>
        <v>GeneCards</v>
      </c>
      <c r="D13022" s="1" t="str">
        <f>HYPERLINK("http://genome-euro.ucsc.edu/cgi-bin/hgTracks?position=207955_at","UCSC")</f>
        <v>UCSC</v>
      </c>
      <c r="E13022" s="1" t="str">
        <f>HYPERLINK("http://www.ncbi.nlm.nih.gov/gene/?term=CCL27","NCBI")</f>
        <v>NCBI</v>
      </c>
      <c r="F13022">
        <v>0.41</v>
      </c>
      <c r="G13022">
        <v>0.54</v>
      </c>
      <c r="H13022" s="1" t="str">
        <f>HYPERLINK("http://www.weizmann.ac.il/complex/compphys/software/geview/data/figures/207955_at.png","Figure")</f>
        <v>Figure</v>
      </c>
      <c r="I13022">
        <v>1.01</v>
      </c>
      <c r="J13022">
        <v>0.39</v>
      </c>
      <c r="K13022">
        <v>1.01</v>
      </c>
      <c r="L13022">
        <v>0.66</v>
      </c>
      <c r="M13022">
        <v>0.99399999999999999</v>
      </c>
      <c r="N13022">
        <v>0.81</v>
      </c>
    </row>
    <row r="13023" spans="1:14" x14ac:dyDescent="0.25">
      <c r="A13023" t="s">
        <v>22294</v>
      </c>
      <c r="B13023" t="s">
        <v>4067</v>
      </c>
      <c r="C13023" s="1" t="str">
        <f>HYPERLINK("http://www.genecards.org/cgi-bin/carddisp.pl?gene=MUC5AC","GeneCards")</f>
        <v>GeneCards</v>
      </c>
      <c r="D13023" s="1" t="str">
        <f>HYPERLINK("http://genome-euro.ucsc.edu/cgi-bin/hgTracks?position=217187_at","UCSC")</f>
        <v>UCSC</v>
      </c>
      <c r="E13023" s="1" t="str">
        <f>HYPERLINK("http://www.ncbi.nlm.nih.gov/gene/?term=MUC5AC","NCBI")</f>
        <v>NCBI</v>
      </c>
      <c r="F13023">
        <v>0.41</v>
      </c>
      <c r="G13023">
        <v>0.54</v>
      </c>
      <c r="H13023" s="1" t="str">
        <f>HYPERLINK("http://www.weizmann.ac.il/complex/compphys/software/geview/data/figures/217187_at.png","Figure")</f>
        <v>Figure</v>
      </c>
      <c r="I13023">
        <v>1.21</v>
      </c>
      <c r="J13023">
        <v>0.39</v>
      </c>
      <c r="K13023">
        <v>1.1100000000000001</v>
      </c>
      <c r="L13023">
        <v>0.68</v>
      </c>
      <c r="M13023">
        <v>0.91600000000000004</v>
      </c>
      <c r="N13023">
        <v>0.79</v>
      </c>
    </row>
    <row r="13024" spans="1:14" x14ac:dyDescent="0.25">
      <c r="A13024" t="s">
        <v>22295</v>
      </c>
      <c r="B13024" t="s">
        <v>17249</v>
      </c>
      <c r="C13024" s="1" t="str">
        <f>HYPERLINK("http://www.genecards.org/cgi-bin/carddisp.pl?gene=GYPB","GeneCards")</f>
        <v>GeneCards</v>
      </c>
      <c r="D13024" s="1" t="str">
        <f>HYPERLINK("http://genome-euro.ucsc.edu/cgi-bin/hgTracks?position=207459_x_at","UCSC")</f>
        <v>UCSC</v>
      </c>
      <c r="E13024" s="1" t="str">
        <f>HYPERLINK("http://www.ncbi.nlm.nih.gov/gene/?term=GYPB","NCBI")</f>
        <v>NCBI</v>
      </c>
      <c r="F13024">
        <v>0.41</v>
      </c>
      <c r="G13024">
        <v>0.54</v>
      </c>
      <c r="H13024" s="1" t="str">
        <f>HYPERLINK("http://www.weizmann.ac.il/complex/compphys/software/geview/data/figures/207459_x_at.png","Figure")</f>
        <v>Figure</v>
      </c>
      <c r="I13024">
        <v>1.31</v>
      </c>
      <c r="J13024">
        <v>0.4</v>
      </c>
      <c r="K13024">
        <v>1.08</v>
      </c>
      <c r="L13024">
        <v>0.89</v>
      </c>
      <c r="M13024">
        <v>0.82499999999999996</v>
      </c>
      <c r="N13024">
        <v>0.57999999999999996</v>
      </c>
    </row>
    <row r="13025" spans="1:14" x14ac:dyDescent="0.25">
      <c r="A13025" t="s">
        <v>22296</v>
      </c>
      <c r="B13025" t="s">
        <v>22297</v>
      </c>
      <c r="C13025" s="1" t="str">
        <f>HYPERLINK("http://www.genecards.org/cgi-bin/carddisp.pl?gene=ZSCAN16","GeneCards")</f>
        <v>GeneCards</v>
      </c>
      <c r="D13025" s="1" t="str">
        <f>HYPERLINK("http://genome-euro.ucsc.edu/cgi-bin/hgTracks?position=219676_at","UCSC")</f>
        <v>UCSC</v>
      </c>
      <c r="E13025" s="1" t="str">
        <f>HYPERLINK("http://www.ncbi.nlm.nih.gov/gene/?term=ZSCAN16","NCBI")</f>
        <v>NCBI</v>
      </c>
      <c r="F13025">
        <v>0.41</v>
      </c>
      <c r="G13025">
        <v>0.54</v>
      </c>
      <c r="H13025" s="1" t="str">
        <f>HYPERLINK("http://www.weizmann.ac.il/complex/compphys/software/geview/data/figures/219676_at.png","Figure")</f>
        <v>Figure</v>
      </c>
      <c r="I13025">
        <v>0.85299999999999998</v>
      </c>
      <c r="J13025">
        <v>0.39</v>
      </c>
      <c r="K13025">
        <v>0.94399999999999995</v>
      </c>
      <c r="L13025">
        <v>0.84</v>
      </c>
      <c r="M13025">
        <v>1.1100000000000001</v>
      </c>
      <c r="N13025">
        <v>0.63</v>
      </c>
    </row>
    <row r="13026" spans="1:14" x14ac:dyDescent="0.25">
      <c r="A13026" t="s">
        <v>22298</v>
      </c>
      <c r="B13026" t="s">
        <v>22299</v>
      </c>
      <c r="C13026" s="1" t="str">
        <f>HYPERLINK("http://www.genecards.org/cgi-bin/carddisp.pl?gene=KCNMB2","GeneCards")</f>
        <v>GeneCards</v>
      </c>
      <c r="D13026" s="1" t="str">
        <f>HYPERLINK("http://genome-euro.ucsc.edu/cgi-bin/hgTracks?position=221097_s_at","UCSC")</f>
        <v>UCSC</v>
      </c>
      <c r="E13026" s="1" t="str">
        <f>HYPERLINK("http://www.ncbi.nlm.nih.gov/gene/?term=KCNMB2","NCBI")</f>
        <v>NCBI</v>
      </c>
      <c r="F13026">
        <v>0.41</v>
      </c>
      <c r="G13026">
        <v>0.54</v>
      </c>
      <c r="H13026" s="1" t="str">
        <f>HYPERLINK("http://www.weizmann.ac.il/complex/compphys/software/geview/data/figures/221097_s_at.png","Figure")</f>
        <v>Figure</v>
      </c>
      <c r="I13026">
        <v>1.1399999999999999</v>
      </c>
      <c r="J13026">
        <v>0.38</v>
      </c>
      <c r="K13026">
        <v>1.05</v>
      </c>
      <c r="L13026">
        <v>0.82</v>
      </c>
      <c r="M13026">
        <v>0.92500000000000004</v>
      </c>
      <c r="N13026">
        <v>0.65</v>
      </c>
    </row>
    <row r="13027" spans="1:14" x14ac:dyDescent="0.25">
      <c r="A13027" t="s">
        <v>22300</v>
      </c>
      <c r="B13027" t="s">
        <v>20741</v>
      </c>
      <c r="C13027" s="1" t="str">
        <f>HYPERLINK("http://www.genecards.org/cgi-bin/carddisp.pl?gene=UBA7","GeneCards")</f>
        <v>GeneCards</v>
      </c>
      <c r="D13027" s="1" t="str">
        <f>HYPERLINK("http://genome-euro.ucsc.edu/cgi-bin/hgTracks?position=203281_s_at","UCSC")</f>
        <v>UCSC</v>
      </c>
      <c r="E13027" s="1" t="str">
        <f>HYPERLINK("http://www.ncbi.nlm.nih.gov/gene/?term=UBA7","NCBI")</f>
        <v>NCBI</v>
      </c>
      <c r="F13027">
        <v>0.41</v>
      </c>
      <c r="G13027">
        <v>0.54</v>
      </c>
      <c r="H13027" s="1" t="str">
        <f>HYPERLINK("http://www.weizmann.ac.il/complex/compphys/software/geview/data/figures/203281_s_at.png","Figure")</f>
        <v>Figure</v>
      </c>
      <c r="I13027">
        <v>1.25</v>
      </c>
      <c r="J13027">
        <v>0.68</v>
      </c>
      <c r="K13027">
        <v>0.89400000000000002</v>
      </c>
      <c r="L13027">
        <v>0.88</v>
      </c>
      <c r="M13027">
        <v>0.71599999999999997</v>
      </c>
      <c r="N13027">
        <v>0.38</v>
      </c>
    </row>
    <row r="13028" spans="1:14" x14ac:dyDescent="0.25">
      <c r="A13028" t="s">
        <v>22301</v>
      </c>
      <c r="B13028" t="s">
        <v>22302</v>
      </c>
      <c r="C13028" s="1" t="str">
        <f>HYPERLINK("http://www.genecards.org/cgi-bin/carddisp.pl?gene=IARS","GeneCards")</f>
        <v>GeneCards</v>
      </c>
      <c r="D13028" s="1" t="str">
        <f>HYPERLINK("http://genome-euro.ucsc.edu/cgi-bin/hgTracks?position=204744_s_at","UCSC")</f>
        <v>UCSC</v>
      </c>
      <c r="E13028" s="1" t="str">
        <f>HYPERLINK("http://www.ncbi.nlm.nih.gov/gene/?term=IARS","NCBI")</f>
        <v>NCBI</v>
      </c>
      <c r="F13028">
        <v>0.41</v>
      </c>
      <c r="G13028">
        <v>0.54</v>
      </c>
      <c r="H13028" s="1" t="str">
        <f>HYPERLINK("http://www.weizmann.ac.il/complex/compphys/software/geview/data/figures/204744_s_at.png","Figure")</f>
        <v>Figure</v>
      </c>
      <c r="I13028">
        <v>1.05</v>
      </c>
      <c r="J13028">
        <v>0.97</v>
      </c>
      <c r="K13028">
        <v>1.28</v>
      </c>
      <c r="L13028">
        <v>0.43</v>
      </c>
      <c r="M13028">
        <v>1.22</v>
      </c>
      <c r="N13028">
        <v>0.62</v>
      </c>
    </row>
    <row r="13029" spans="1:14" x14ac:dyDescent="0.25">
      <c r="A13029" t="s">
        <v>22303</v>
      </c>
      <c r="B13029" t="s">
        <v>21503</v>
      </c>
      <c r="C13029" s="1" t="str">
        <f>HYPERLINK("http://www.genecards.org/cgi-bin/carddisp.pl?gene=HINT1","GeneCards")</f>
        <v>GeneCards</v>
      </c>
      <c r="D13029" s="1" t="str">
        <f>HYPERLINK("http://genome-euro.ucsc.edu/cgi-bin/hgTracks?position=208826_x_at","UCSC")</f>
        <v>UCSC</v>
      </c>
      <c r="E13029" s="1" t="str">
        <f>HYPERLINK("http://www.ncbi.nlm.nih.gov/gene/?term=HINT1","NCBI")</f>
        <v>NCBI</v>
      </c>
      <c r="F13029">
        <v>0.41</v>
      </c>
      <c r="G13029">
        <v>0.54</v>
      </c>
      <c r="H13029" s="1" t="str">
        <f>HYPERLINK("http://www.weizmann.ac.il/complex/compphys/software/geview/data/figures/208826_x_at.png","Figure")</f>
        <v>Figure</v>
      </c>
      <c r="I13029">
        <v>1.1599999999999999</v>
      </c>
      <c r="J13029">
        <v>0.54</v>
      </c>
      <c r="K13029">
        <v>1.1599999999999999</v>
      </c>
      <c r="L13029">
        <v>0.43</v>
      </c>
      <c r="M13029">
        <v>1.01</v>
      </c>
      <c r="N13029">
        <v>1</v>
      </c>
    </row>
    <row r="13030" spans="1:14" x14ac:dyDescent="0.25">
      <c r="A13030" t="s">
        <v>22304</v>
      </c>
      <c r="B13030" t="s">
        <v>19253</v>
      </c>
      <c r="C13030" s="1" t="str">
        <f>HYPERLINK("http://www.genecards.org/cgi-bin/carddisp.pl?gene=SART3","GeneCards")</f>
        <v>GeneCards</v>
      </c>
      <c r="D13030" s="1" t="str">
        <f>HYPERLINK("http://genome-euro.ucsc.edu/cgi-bin/hgTracks?position=209127_s_at","UCSC")</f>
        <v>UCSC</v>
      </c>
      <c r="E13030" s="1" t="str">
        <f>HYPERLINK("http://www.ncbi.nlm.nih.gov/gene/?term=SART3","NCBI")</f>
        <v>NCBI</v>
      </c>
      <c r="F13030">
        <v>0.41</v>
      </c>
      <c r="G13030">
        <v>0.54</v>
      </c>
      <c r="H13030" s="1" t="str">
        <f>HYPERLINK("http://www.weizmann.ac.il/complex/compphys/software/geview/data/figures/209127_s_at.png","Figure")</f>
        <v>Figure</v>
      </c>
      <c r="I13030">
        <v>1.45</v>
      </c>
      <c r="J13030">
        <v>0.38</v>
      </c>
      <c r="K13030">
        <v>1.21</v>
      </c>
      <c r="L13030">
        <v>0.71</v>
      </c>
      <c r="M13030">
        <v>0.83099999999999996</v>
      </c>
      <c r="N13030">
        <v>0.75</v>
      </c>
    </row>
    <row r="13031" spans="1:14" x14ac:dyDescent="0.25">
      <c r="A13031" t="s">
        <v>22305</v>
      </c>
      <c r="B13031" t="s">
        <v>3035</v>
      </c>
      <c r="C13031" s="1" t="str">
        <f>HYPERLINK("http://www.genecards.org/cgi-bin/carddisp.pl?gene=LPCAT4","GeneCards")</f>
        <v>GeneCards</v>
      </c>
      <c r="D13031" s="1" t="str">
        <f>HYPERLINK("http://genome-euro.ucsc.edu/cgi-bin/hgTracks?position=213078_x_at","UCSC")</f>
        <v>UCSC</v>
      </c>
      <c r="E13031" s="1" t="str">
        <f>HYPERLINK("http://www.ncbi.nlm.nih.gov/gene/?term=LPCAT4","NCBI")</f>
        <v>NCBI</v>
      </c>
      <c r="F13031">
        <v>0.41</v>
      </c>
      <c r="G13031">
        <v>0.54</v>
      </c>
      <c r="H13031" s="1" t="str">
        <f>HYPERLINK("http://www.weizmann.ac.il/complex/compphys/software/geview/data/figures/213078_x_at.png","Figure")</f>
        <v>Figure</v>
      </c>
      <c r="I13031">
        <v>0.99</v>
      </c>
      <c r="J13031">
        <v>0.98</v>
      </c>
      <c r="K13031">
        <v>0.93899999999999995</v>
      </c>
      <c r="L13031">
        <v>0.44</v>
      </c>
      <c r="M13031">
        <v>0.94799999999999995</v>
      </c>
      <c r="N13031">
        <v>0.6</v>
      </c>
    </row>
    <row r="13032" spans="1:14" x14ac:dyDescent="0.25">
      <c r="A13032" t="s">
        <v>22306</v>
      </c>
      <c r="B13032" t="s">
        <v>22307</v>
      </c>
      <c r="C13032" s="1" t="str">
        <f>HYPERLINK("http://www.genecards.org/cgi-bin/carddisp.pl?gene=EEF1A1 /// EEF1AL7 /// LOC645715","GeneCards")</f>
        <v>GeneCards</v>
      </c>
      <c r="D13032" s="1" t="str">
        <f>HYPERLINK("http://genome-euro.ucsc.edu/cgi-bin/hgTracks?position=213583_x_at","UCSC")</f>
        <v>UCSC</v>
      </c>
      <c r="E13032" s="1" t="str">
        <f>HYPERLINK("http://www.ncbi.nlm.nih.gov/gene/?term=EEF1A1 /// EEF1AL7 /// LOC645715","NCBI")</f>
        <v>NCBI</v>
      </c>
      <c r="F13032">
        <v>0.41</v>
      </c>
      <c r="G13032">
        <v>0.54</v>
      </c>
      <c r="H13032" s="1" t="str">
        <f>HYPERLINK("http://www.weizmann.ac.il/complex/compphys/software/geview/data/figures/213583_x_at.png","Figure")</f>
        <v>Figure</v>
      </c>
      <c r="I13032">
        <v>1.1299999999999999</v>
      </c>
      <c r="J13032">
        <v>0.57999999999999996</v>
      </c>
      <c r="K13032">
        <v>0.97099999999999997</v>
      </c>
      <c r="L13032">
        <v>0.96</v>
      </c>
      <c r="M13032">
        <v>0.86</v>
      </c>
      <c r="N13032">
        <v>0.4</v>
      </c>
    </row>
    <row r="13033" spans="1:14" x14ac:dyDescent="0.25">
      <c r="A13033" t="s">
        <v>22308</v>
      </c>
      <c r="B13033" t="s">
        <v>22309</v>
      </c>
      <c r="C13033" s="1" t="str">
        <f>HYPERLINK("http://www.genecards.org/cgi-bin/carddisp.pl?gene=MAN1A2","GeneCards")</f>
        <v>GeneCards</v>
      </c>
      <c r="D13033" s="1" t="str">
        <f>HYPERLINK("http://genome-euro.ucsc.edu/cgi-bin/hgTracks?position=214242_at","UCSC")</f>
        <v>UCSC</v>
      </c>
      <c r="E13033" s="1" t="str">
        <f>HYPERLINK("http://www.ncbi.nlm.nih.gov/gene/?term=MAN1A2","NCBI")</f>
        <v>NCBI</v>
      </c>
      <c r="F13033">
        <v>0.41</v>
      </c>
      <c r="G13033">
        <v>0.54</v>
      </c>
      <c r="H13033" s="1" t="str">
        <f>HYPERLINK("http://www.weizmann.ac.il/complex/compphys/software/geview/data/figures/214242_at.png","Figure")</f>
        <v>Figure</v>
      </c>
      <c r="I13033">
        <v>1.08</v>
      </c>
      <c r="J13033">
        <v>0.38</v>
      </c>
      <c r="K13033">
        <v>1.03</v>
      </c>
      <c r="L13033">
        <v>0.76</v>
      </c>
      <c r="M13033">
        <v>0.96099999999999997</v>
      </c>
      <c r="N13033">
        <v>0.71</v>
      </c>
    </row>
    <row r="13034" spans="1:14" x14ac:dyDescent="0.25">
      <c r="A13034" t="s">
        <v>22310</v>
      </c>
      <c r="B13034" t="s">
        <v>14450</v>
      </c>
      <c r="C13034" s="1" t="str">
        <f>HYPERLINK("http://www.genecards.org/cgi-bin/carddisp.pl?gene=TRAPPC4","GeneCards")</f>
        <v>GeneCards</v>
      </c>
      <c r="D13034" s="1" t="str">
        <f>HYPERLINK("http://genome-euro.ucsc.edu/cgi-bin/hgTracks?position=217959_s_at","UCSC")</f>
        <v>UCSC</v>
      </c>
      <c r="E13034" s="1" t="str">
        <f>HYPERLINK("http://www.ncbi.nlm.nih.gov/gene/?term=TRAPPC4","NCBI")</f>
        <v>NCBI</v>
      </c>
      <c r="F13034">
        <v>0.41</v>
      </c>
      <c r="G13034">
        <v>0.54</v>
      </c>
      <c r="H13034" s="1" t="str">
        <f>HYPERLINK("http://www.weizmann.ac.il/complex/compphys/software/geview/data/figures/217959_s_at.png","Figure")</f>
        <v>Figure</v>
      </c>
      <c r="I13034">
        <v>0.76700000000000002</v>
      </c>
      <c r="J13034">
        <v>0.46</v>
      </c>
      <c r="K13034">
        <v>0.80500000000000005</v>
      </c>
      <c r="L13034">
        <v>0.5</v>
      </c>
      <c r="M13034">
        <v>1.05</v>
      </c>
      <c r="N13034">
        <v>0.97</v>
      </c>
    </row>
    <row r="13035" spans="1:14" x14ac:dyDescent="0.25">
      <c r="A13035" t="s">
        <v>22311</v>
      </c>
      <c r="B13035" t="s">
        <v>22312</v>
      </c>
      <c r="C13035" s="1" t="str">
        <f>HYPERLINK("http://www.genecards.org/cgi-bin/carddisp.pl?gene=RWDD2B","GeneCards")</f>
        <v>GeneCards</v>
      </c>
      <c r="D13035" s="1" t="str">
        <f>HYPERLINK("http://genome-euro.ucsc.edu/cgi-bin/hgTracks?position=218377_s_at","UCSC")</f>
        <v>UCSC</v>
      </c>
      <c r="E13035" s="1" t="str">
        <f>HYPERLINK("http://www.ncbi.nlm.nih.gov/gene/?term=RWDD2B","NCBI")</f>
        <v>NCBI</v>
      </c>
      <c r="F13035">
        <v>0.41</v>
      </c>
      <c r="G13035">
        <v>0.54</v>
      </c>
      <c r="H13035" s="1" t="str">
        <f>HYPERLINK("http://www.weizmann.ac.il/complex/compphys/software/geview/data/figures/218377_s_at.png","Figure")</f>
        <v>Figure</v>
      </c>
      <c r="I13035">
        <v>1</v>
      </c>
      <c r="J13035">
        <v>1</v>
      </c>
      <c r="K13035">
        <v>1.1399999999999999</v>
      </c>
      <c r="L13035">
        <v>0.48</v>
      </c>
      <c r="M13035">
        <v>1.1399999999999999</v>
      </c>
      <c r="N13035">
        <v>0.53</v>
      </c>
    </row>
    <row r="13036" spans="1:14" x14ac:dyDescent="0.25">
      <c r="A13036" t="s">
        <v>22313</v>
      </c>
      <c r="B13036" t="s">
        <v>12196</v>
      </c>
      <c r="C13036" s="1" t="str">
        <f>HYPERLINK("http://www.genecards.org/cgi-bin/carddisp.pl?gene=COL5A3","GeneCards")</f>
        <v>GeneCards</v>
      </c>
      <c r="D13036" s="1" t="str">
        <f>HYPERLINK("http://genome-euro.ucsc.edu/cgi-bin/hgTracks?position=218975_at","UCSC")</f>
        <v>UCSC</v>
      </c>
      <c r="E13036" s="1" t="str">
        <f>HYPERLINK("http://www.ncbi.nlm.nih.gov/gene/?term=COL5A3","NCBI")</f>
        <v>NCBI</v>
      </c>
      <c r="F13036">
        <v>0.41</v>
      </c>
      <c r="G13036">
        <v>0.54</v>
      </c>
      <c r="H13036" s="1" t="str">
        <f>HYPERLINK("http://www.weizmann.ac.il/complex/compphys/software/geview/data/figures/218975_at.png","Figure")</f>
        <v>Figure</v>
      </c>
      <c r="I13036">
        <v>1.0900000000000001</v>
      </c>
      <c r="J13036">
        <v>0.39</v>
      </c>
      <c r="K13036">
        <v>1.03</v>
      </c>
      <c r="L13036">
        <v>0.84</v>
      </c>
      <c r="M13036">
        <v>0.94699999999999995</v>
      </c>
      <c r="N13036">
        <v>0.63</v>
      </c>
    </row>
    <row r="13037" spans="1:14" x14ac:dyDescent="0.25">
      <c r="A13037" t="s">
        <v>22314</v>
      </c>
      <c r="B13037" t="s">
        <v>22315</v>
      </c>
      <c r="C13037" s="1" t="str">
        <f>HYPERLINK("http://www.genecards.org/cgi-bin/carddisp.pl?gene=TM9SF2","GeneCards")</f>
        <v>GeneCards</v>
      </c>
      <c r="D13037" s="1" t="str">
        <f>HYPERLINK("http://genome-euro.ucsc.edu/cgi-bin/hgTracks?position=201078_at","UCSC")</f>
        <v>UCSC</v>
      </c>
      <c r="E13037" s="1" t="str">
        <f>HYPERLINK("http://www.ncbi.nlm.nih.gov/gene/?term=TM9SF2","NCBI")</f>
        <v>NCBI</v>
      </c>
      <c r="F13037">
        <v>0.41</v>
      </c>
      <c r="G13037">
        <v>0.54</v>
      </c>
      <c r="H13037" s="1" t="str">
        <f>HYPERLINK("http://www.weizmann.ac.il/complex/compphys/software/geview/data/figures/201078_at.png","Figure")</f>
        <v>Figure</v>
      </c>
      <c r="I13037">
        <v>0.93</v>
      </c>
      <c r="J13037">
        <v>0.91</v>
      </c>
      <c r="K13037">
        <v>0.81599999999999995</v>
      </c>
      <c r="L13037">
        <v>0.4</v>
      </c>
      <c r="M13037">
        <v>0.877</v>
      </c>
      <c r="N13037">
        <v>0.71</v>
      </c>
    </row>
    <row r="13038" spans="1:14" x14ac:dyDescent="0.25">
      <c r="A13038" t="s">
        <v>22316</v>
      </c>
      <c r="B13038" t="s">
        <v>22317</v>
      </c>
      <c r="C13038" s="1" t="str">
        <f>HYPERLINK("http://www.genecards.org/cgi-bin/carddisp.pl?gene=MORF4 /// MORF4L1","GeneCards")</f>
        <v>GeneCards</v>
      </c>
      <c r="D13038" s="1" t="str">
        <f>HYPERLINK("http://genome-euro.ucsc.edu/cgi-bin/hgTracks?position=221381_s_at","UCSC")</f>
        <v>UCSC</v>
      </c>
      <c r="E13038" s="1" t="str">
        <f>HYPERLINK("http://www.ncbi.nlm.nih.gov/gene/?term=MORF4 /// MORF4L1","NCBI")</f>
        <v>NCBI</v>
      </c>
      <c r="F13038">
        <v>0.42</v>
      </c>
      <c r="G13038">
        <v>0.54</v>
      </c>
      <c r="H13038" s="1" t="str">
        <f>HYPERLINK("http://www.weizmann.ac.il/complex/compphys/software/geview/data/figures/221381_s_at.png","Figure")</f>
        <v>Figure</v>
      </c>
      <c r="I13038">
        <v>1.1299999999999999</v>
      </c>
      <c r="J13038">
        <v>0.87</v>
      </c>
      <c r="K13038">
        <v>0.84</v>
      </c>
      <c r="L13038">
        <v>0.68</v>
      </c>
      <c r="M13038">
        <v>0.747</v>
      </c>
      <c r="N13038">
        <v>0.41</v>
      </c>
    </row>
    <row r="13039" spans="1:14" x14ac:dyDescent="0.25">
      <c r="A13039" t="s">
        <v>22318</v>
      </c>
      <c r="B13039" t="s">
        <v>22319</v>
      </c>
      <c r="C13039" s="1" t="str">
        <f>HYPERLINK("http://www.genecards.org/cgi-bin/carddisp.pl?gene=SLC29A3","GeneCards")</f>
        <v>GeneCards</v>
      </c>
      <c r="D13039" s="1" t="str">
        <f>HYPERLINK("http://genome-euro.ucsc.edu/cgi-bin/hgTracks?position=219344_at","UCSC")</f>
        <v>UCSC</v>
      </c>
      <c r="E13039" s="1" t="str">
        <f>HYPERLINK("http://www.ncbi.nlm.nih.gov/gene/?term=SLC29A3","NCBI")</f>
        <v>NCBI</v>
      </c>
      <c r="F13039">
        <v>0.42</v>
      </c>
      <c r="G13039">
        <v>0.54</v>
      </c>
      <c r="H13039" s="1" t="str">
        <f>HYPERLINK("http://www.weizmann.ac.il/complex/compphys/software/geview/data/figures/219344_at.png","Figure")</f>
        <v>Figure</v>
      </c>
      <c r="I13039">
        <v>1.1000000000000001</v>
      </c>
      <c r="J13039">
        <v>0.49</v>
      </c>
      <c r="K13039">
        <v>1.0900000000000001</v>
      </c>
      <c r="L13039">
        <v>0.46</v>
      </c>
      <c r="M13039">
        <v>0.99199999999999999</v>
      </c>
      <c r="N13039">
        <v>0.99</v>
      </c>
    </row>
    <row r="13040" spans="1:14" x14ac:dyDescent="0.25">
      <c r="A13040" t="s">
        <v>22320</v>
      </c>
      <c r="B13040" t="s">
        <v>22321</v>
      </c>
      <c r="C13040" s="1" t="str">
        <f>HYPERLINK("http://www.genecards.org/cgi-bin/carddisp.pl?gene=PAX9","GeneCards")</f>
        <v>GeneCards</v>
      </c>
      <c r="D13040" s="1" t="str">
        <f>HYPERLINK("http://genome-euro.ucsc.edu/cgi-bin/hgTracks?position=207059_at","UCSC")</f>
        <v>UCSC</v>
      </c>
      <c r="E13040" s="1" t="str">
        <f>HYPERLINK("http://www.ncbi.nlm.nih.gov/gene/?term=PAX9","NCBI")</f>
        <v>NCBI</v>
      </c>
      <c r="F13040">
        <v>0.42</v>
      </c>
      <c r="G13040">
        <v>0.54</v>
      </c>
      <c r="H13040" s="1" t="str">
        <f>HYPERLINK("http://www.weizmann.ac.il/complex/compphys/software/geview/data/figures/207059_at.png","Figure")</f>
        <v>Figure</v>
      </c>
      <c r="I13040">
        <v>1.02</v>
      </c>
      <c r="J13040">
        <v>0.47</v>
      </c>
      <c r="K13040">
        <v>1.02</v>
      </c>
      <c r="L13040">
        <v>0.48</v>
      </c>
      <c r="M13040">
        <v>0.997</v>
      </c>
      <c r="N13040">
        <v>0.98</v>
      </c>
    </row>
    <row r="13041" spans="1:14" x14ac:dyDescent="0.25">
      <c r="A13041" t="s">
        <v>22322</v>
      </c>
      <c r="B13041" t="s">
        <v>22323</v>
      </c>
      <c r="C13041" s="1" t="str">
        <f>HYPERLINK("http://www.genecards.org/cgi-bin/carddisp.pl?gene=WFS1","GeneCards")</f>
        <v>GeneCards</v>
      </c>
      <c r="D13041" s="1" t="str">
        <f>HYPERLINK("http://genome-euro.ucsc.edu/cgi-bin/hgTracks?position=202908_at","UCSC")</f>
        <v>UCSC</v>
      </c>
      <c r="E13041" s="1" t="str">
        <f>HYPERLINK("http://www.ncbi.nlm.nih.gov/gene/?term=WFS1","NCBI")</f>
        <v>NCBI</v>
      </c>
      <c r="F13041">
        <v>0.42</v>
      </c>
      <c r="G13041">
        <v>0.54</v>
      </c>
      <c r="H13041" s="1" t="str">
        <f>HYPERLINK("http://www.weizmann.ac.il/complex/compphys/software/geview/data/figures/202908_at.png","Figure")</f>
        <v>Figure</v>
      </c>
      <c r="I13041">
        <v>0.69</v>
      </c>
      <c r="J13041">
        <v>0.51</v>
      </c>
      <c r="K13041">
        <v>0.7</v>
      </c>
      <c r="L13041">
        <v>0.45</v>
      </c>
      <c r="M13041">
        <v>1.01</v>
      </c>
      <c r="N13041">
        <v>1</v>
      </c>
    </row>
    <row r="13042" spans="1:14" x14ac:dyDescent="0.25">
      <c r="A13042" t="s">
        <v>22324</v>
      </c>
      <c r="B13042" t="s">
        <v>22325</v>
      </c>
      <c r="C13042" s="1" t="str">
        <f>HYPERLINK("http://www.genecards.org/cgi-bin/carddisp.pl?gene=EFHC2","GeneCards")</f>
        <v>GeneCards</v>
      </c>
      <c r="D13042" s="1" t="str">
        <f>HYPERLINK("http://genome-euro.ucsc.edu/cgi-bin/hgTracks?position=220591_s_at","UCSC")</f>
        <v>UCSC</v>
      </c>
      <c r="E13042" s="1" t="str">
        <f>HYPERLINK("http://www.ncbi.nlm.nih.gov/gene/?term=EFHC2","NCBI")</f>
        <v>NCBI</v>
      </c>
      <c r="F13042">
        <v>0.42</v>
      </c>
      <c r="G13042">
        <v>0.54</v>
      </c>
      <c r="H13042" s="1" t="str">
        <f>HYPERLINK("http://www.weizmann.ac.il/complex/compphys/software/geview/data/figures/220591_s_at.png","Figure")</f>
        <v>Figure</v>
      </c>
      <c r="I13042">
        <v>1</v>
      </c>
      <c r="J13042">
        <v>1</v>
      </c>
      <c r="K13042">
        <v>0.94799999999999995</v>
      </c>
      <c r="L13042">
        <v>0.48</v>
      </c>
      <c r="M13042">
        <v>0.94799999999999995</v>
      </c>
      <c r="N13042">
        <v>0.53</v>
      </c>
    </row>
    <row r="13043" spans="1:14" x14ac:dyDescent="0.25">
      <c r="A13043" t="s">
        <v>22326</v>
      </c>
      <c r="B13043" t="s">
        <v>22327</v>
      </c>
      <c r="C13043" s="1" t="str">
        <f>HYPERLINK("http://www.genecards.org/cgi-bin/carddisp.pl?gene=PLXNA3","GeneCards")</f>
        <v>GeneCards</v>
      </c>
      <c r="D13043" s="1" t="str">
        <f>HYPERLINK("http://genome-euro.ucsc.edu/cgi-bin/hgTracks?position=203623_at","UCSC")</f>
        <v>UCSC</v>
      </c>
      <c r="E13043" s="1" t="str">
        <f>HYPERLINK("http://www.ncbi.nlm.nih.gov/gene/?term=PLXNA3","NCBI")</f>
        <v>NCBI</v>
      </c>
      <c r="F13043">
        <v>0.42</v>
      </c>
      <c r="G13043">
        <v>0.54</v>
      </c>
      <c r="H13043" s="1" t="str">
        <f>HYPERLINK("http://www.weizmann.ac.il/complex/compphys/software/geview/data/figures/203623_at.png","Figure")</f>
        <v>Figure</v>
      </c>
      <c r="I13043">
        <v>1.03</v>
      </c>
      <c r="J13043">
        <v>0.93</v>
      </c>
      <c r="K13043">
        <v>1.0900000000000001</v>
      </c>
      <c r="L13043">
        <v>0.41</v>
      </c>
      <c r="M13043">
        <v>1.06</v>
      </c>
      <c r="N13043">
        <v>0.68</v>
      </c>
    </row>
    <row r="13044" spans="1:14" x14ac:dyDescent="0.25">
      <c r="A13044" t="s">
        <v>22328</v>
      </c>
      <c r="B13044" t="s">
        <v>6428</v>
      </c>
      <c r="C13044" s="1" t="str">
        <f>HYPERLINK("http://www.genecards.org/cgi-bin/carddisp.pl?gene=CNPY2","GeneCards")</f>
        <v>GeneCards</v>
      </c>
      <c r="D13044" s="1" t="str">
        <f>HYPERLINK("http://genome-euro.ucsc.edu/cgi-bin/hgTracks?position=209797_at","UCSC")</f>
        <v>UCSC</v>
      </c>
      <c r="E13044" s="1" t="str">
        <f>HYPERLINK("http://www.ncbi.nlm.nih.gov/gene/?term=CNPY2","NCBI")</f>
        <v>NCBI</v>
      </c>
      <c r="F13044">
        <v>0.42</v>
      </c>
      <c r="G13044">
        <v>0.54</v>
      </c>
      <c r="H13044" s="1" t="str">
        <f>HYPERLINK("http://www.weizmann.ac.il/complex/compphys/software/geview/data/figures/209797_at.png","Figure")</f>
        <v>Figure</v>
      </c>
      <c r="I13044">
        <v>0.79700000000000004</v>
      </c>
      <c r="J13044">
        <v>0.41</v>
      </c>
      <c r="K13044">
        <v>0.86199999999999999</v>
      </c>
      <c r="L13044">
        <v>0.6</v>
      </c>
      <c r="M13044">
        <v>1.08</v>
      </c>
      <c r="N13044">
        <v>0.88</v>
      </c>
    </row>
    <row r="13045" spans="1:14" x14ac:dyDescent="0.25">
      <c r="A13045" t="s">
        <v>22329</v>
      </c>
      <c r="B13045" t="s">
        <v>22330</v>
      </c>
      <c r="C13045" s="1" t="str">
        <f>HYPERLINK("http://www.genecards.org/cgi-bin/carddisp.pl?gene=LOC145678","GeneCards")</f>
        <v>GeneCards</v>
      </c>
      <c r="D13045" s="1" t="str">
        <f>HYPERLINK("http://genome-euro.ucsc.edu/cgi-bin/hgTracks?position=216106_at","UCSC")</f>
        <v>UCSC</v>
      </c>
      <c r="E13045" s="1" t="str">
        <f>HYPERLINK("http://www.ncbi.nlm.nih.gov/gene/?term=LOC145678","NCBI")</f>
        <v>NCBI</v>
      </c>
      <c r="F13045">
        <v>0.42</v>
      </c>
      <c r="G13045">
        <v>0.54</v>
      </c>
      <c r="H13045" s="1" t="str">
        <f>HYPERLINK("http://www.weizmann.ac.il/complex/compphys/software/geview/data/figures/216106_at.png","Figure")</f>
        <v>Figure</v>
      </c>
      <c r="I13045">
        <v>1.02</v>
      </c>
      <c r="J13045">
        <v>0.7</v>
      </c>
      <c r="K13045">
        <v>0.98699999999999999</v>
      </c>
      <c r="L13045">
        <v>0.85</v>
      </c>
      <c r="M13045">
        <v>0.96499999999999997</v>
      </c>
      <c r="N13045">
        <v>0.38</v>
      </c>
    </row>
    <row r="13046" spans="1:14" x14ac:dyDescent="0.25">
      <c r="A13046" t="s">
        <v>22331</v>
      </c>
      <c r="B13046" t="s">
        <v>22332</v>
      </c>
      <c r="C13046" s="1" t="str">
        <f>HYPERLINK("http://www.genecards.org/cgi-bin/carddisp.pl?gene=SOX5","GeneCards")</f>
        <v>GeneCards</v>
      </c>
      <c r="D13046" s="1" t="str">
        <f>HYPERLINK("http://genome-euro.ucsc.edu/cgi-bin/hgTracks?position=207336_at","UCSC")</f>
        <v>UCSC</v>
      </c>
      <c r="E13046" s="1" t="str">
        <f>HYPERLINK("http://www.ncbi.nlm.nih.gov/gene/?term=SOX5","NCBI")</f>
        <v>NCBI</v>
      </c>
      <c r="F13046">
        <v>0.42</v>
      </c>
      <c r="G13046">
        <v>0.54</v>
      </c>
      <c r="H13046" s="1" t="str">
        <f>HYPERLINK("http://www.weizmann.ac.il/complex/compphys/software/geview/data/figures/207336_at.png","Figure")</f>
        <v>Figure</v>
      </c>
      <c r="I13046">
        <v>0.99199999999999999</v>
      </c>
      <c r="J13046">
        <v>0.86</v>
      </c>
      <c r="K13046">
        <v>1.01</v>
      </c>
      <c r="L13046">
        <v>0.69</v>
      </c>
      <c r="M13046">
        <v>1.02</v>
      </c>
      <c r="N13046">
        <v>0.41</v>
      </c>
    </row>
    <row r="13047" spans="1:14" x14ac:dyDescent="0.25">
      <c r="A13047" t="s">
        <v>22333</v>
      </c>
      <c r="B13047" t="s">
        <v>9793</v>
      </c>
      <c r="C13047" s="1" t="str">
        <f>HYPERLINK("http://www.genecards.org/cgi-bin/carddisp.pl?gene=SLC6A6","GeneCards")</f>
        <v>GeneCards</v>
      </c>
      <c r="D13047" s="1" t="str">
        <f>HYPERLINK("http://genome-euro.ucsc.edu/cgi-bin/hgTracks?position=211030_s_at","UCSC")</f>
        <v>UCSC</v>
      </c>
      <c r="E13047" s="1" t="str">
        <f>HYPERLINK("http://www.ncbi.nlm.nih.gov/gene/?term=SLC6A6","NCBI")</f>
        <v>NCBI</v>
      </c>
      <c r="F13047">
        <v>0.42</v>
      </c>
      <c r="G13047">
        <v>0.54</v>
      </c>
      <c r="H13047" s="1" t="str">
        <f>HYPERLINK("http://www.weizmann.ac.il/complex/compphys/software/geview/data/figures/211030_s_at.png","Figure")</f>
        <v>Figure</v>
      </c>
      <c r="I13047">
        <v>1.05</v>
      </c>
      <c r="J13047">
        <v>0.48</v>
      </c>
      <c r="K13047">
        <v>1.04</v>
      </c>
      <c r="L13047">
        <v>0.48</v>
      </c>
      <c r="M13047">
        <v>0.99399999999999999</v>
      </c>
      <c r="N13047">
        <v>0.99</v>
      </c>
    </row>
    <row r="13048" spans="1:14" x14ac:dyDescent="0.25">
      <c r="A13048" t="s">
        <v>22334</v>
      </c>
      <c r="B13048" t="s">
        <v>22335</v>
      </c>
      <c r="C13048" s="1" t="str">
        <f>HYPERLINK("http://www.genecards.org/cgi-bin/carddisp.pl?gene=ELAC2","GeneCards")</f>
        <v>GeneCards</v>
      </c>
      <c r="D13048" s="1" t="str">
        <f>HYPERLINK("http://genome-euro.ucsc.edu/cgi-bin/hgTracks?position=201766_at","UCSC")</f>
        <v>UCSC</v>
      </c>
      <c r="E13048" s="1" t="str">
        <f>HYPERLINK("http://www.ncbi.nlm.nih.gov/gene/?term=ELAC2","NCBI")</f>
        <v>NCBI</v>
      </c>
      <c r="F13048">
        <v>0.42</v>
      </c>
      <c r="G13048">
        <v>0.54</v>
      </c>
      <c r="H13048" s="1" t="str">
        <f>HYPERLINK("http://www.weizmann.ac.il/complex/compphys/software/geview/data/figures/201766_at.png","Figure")</f>
        <v>Figure</v>
      </c>
      <c r="I13048">
        <v>1.08</v>
      </c>
      <c r="J13048">
        <v>0.41</v>
      </c>
      <c r="K13048">
        <v>1.02</v>
      </c>
      <c r="L13048">
        <v>0.93</v>
      </c>
      <c r="M13048">
        <v>0.94</v>
      </c>
      <c r="N13048">
        <v>0.55000000000000004</v>
      </c>
    </row>
    <row r="13049" spans="1:14" x14ac:dyDescent="0.25">
      <c r="A13049" t="s">
        <v>22336</v>
      </c>
      <c r="B13049" t="s">
        <v>22337</v>
      </c>
      <c r="C13049" s="1" t="str">
        <f>HYPERLINK("http://www.genecards.org/cgi-bin/carddisp.pl?gene=LBR","GeneCards")</f>
        <v>GeneCards</v>
      </c>
      <c r="D13049" s="1" t="str">
        <f>HYPERLINK("http://genome-euro.ucsc.edu/cgi-bin/hgTracks?position=201795_at","UCSC")</f>
        <v>UCSC</v>
      </c>
      <c r="E13049" s="1" t="str">
        <f>HYPERLINK("http://www.ncbi.nlm.nih.gov/gene/?term=LBR","NCBI")</f>
        <v>NCBI</v>
      </c>
      <c r="F13049">
        <v>0.42</v>
      </c>
      <c r="G13049">
        <v>0.54</v>
      </c>
      <c r="H13049" s="1" t="str">
        <f>HYPERLINK("http://www.weizmann.ac.il/complex/compphys/software/geview/data/figures/201795_at.png","Figure")</f>
        <v>Figure</v>
      </c>
      <c r="I13049">
        <v>0.753</v>
      </c>
      <c r="J13049">
        <v>0.41</v>
      </c>
      <c r="K13049">
        <v>0.93100000000000005</v>
      </c>
      <c r="L13049">
        <v>0.92</v>
      </c>
      <c r="M13049">
        <v>1.24</v>
      </c>
      <c r="N13049">
        <v>0.55000000000000004</v>
      </c>
    </row>
    <row r="13050" spans="1:14" x14ac:dyDescent="0.25">
      <c r="A13050" t="s">
        <v>22338</v>
      </c>
      <c r="B13050" t="s">
        <v>4735</v>
      </c>
      <c r="C13050" s="1" t="str">
        <f>HYPERLINK("http://www.genecards.org/cgi-bin/carddisp.pl?gene=KIAA1033","GeneCards")</f>
        <v>GeneCards</v>
      </c>
      <c r="D13050" s="1" t="str">
        <f>HYPERLINK("http://genome-euro.ucsc.edu/cgi-bin/hgTracks?position=212795_at","UCSC")</f>
        <v>UCSC</v>
      </c>
      <c r="E13050" s="1" t="str">
        <f>HYPERLINK("http://www.ncbi.nlm.nih.gov/gene/?term=KIAA1033","NCBI")</f>
        <v>NCBI</v>
      </c>
      <c r="F13050">
        <v>0.42</v>
      </c>
      <c r="G13050">
        <v>0.54</v>
      </c>
      <c r="H13050" s="1" t="str">
        <f>HYPERLINK("http://www.weizmann.ac.il/complex/compphys/software/geview/data/figures/212795_at.png","Figure")</f>
        <v>Figure</v>
      </c>
      <c r="I13050">
        <v>0.79300000000000004</v>
      </c>
      <c r="J13050">
        <v>0.64</v>
      </c>
      <c r="K13050">
        <v>0.74299999999999999</v>
      </c>
      <c r="L13050">
        <v>0.4</v>
      </c>
      <c r="M13050">
        <v>0.93700000000000006</v>
      </c>
      <c r="N13050">
        <v>0.96</v>
      </c>
    </row>
    <row r="13051" spans="1:14" x14ac:dyDescent="0.25">
      <c r="A13051" t="s">
        <v>22339</v>
      </c>
      <c r="B13051" t="s">
        <v>22340</v>
      </c>
      <c r="C13051" s="1" t="str">
        <f>HYPERLINK("http://www.genecards.org/cgi-bin/carddisp.pl?gene=MCM2","GeneCards")</f>
        <v>GeneCards</v>
      </c>
      <c r="D13051" s="1" t="str">
        <f>HYPERLINK("http://genome-euro.ucsc.edu/cgi-bin/hgTracks?position=202107_s_at","UCSC")</f>
        <v>UCSC</v>
      </c>
      <c r="E13051" s="1" t="str">
        <f>HYPERLINK("http://www.ncbi.nlm.nih.gov/gene/?term=MCM2","NCBI")</f>
        <v>NCBI</v>
      </c>
      <c r="F13051">
        <v>0.42</v>
      </c>
      <c r="G13051">
        <v>0.54</v>
      </c>
      <c r="H13051" s="1" t="str">
        <f>HYPERLINK("http://www.weizmann.ac.il/complex/compphys/software/geview/data/figures/202107_s_at.png","Figure")</f>
        <v>Figure</v>
      </c>
      <c r="I13051">
        <v>1.4</v>
      </c>
      <c r="J13051">
        <v>0.39</v>
      </c>
      <c r="K13051">
        <v>1.21</v>
      </c>
      <c r="L13051">
        <v>0.66</v>
      </c>
      <c r="M13051">
        <v>0.86499999999999999</v>
      </c>
      <c r="N13051">
        <v>0.81</v>
      </c>
    </row>
    <row r="13052" spans="1:14" x14ac:dyDescent="0.25">
      <c r="A13052" t="s">
        <v>22341</v>
      </c>
      <c r="B13052" t="s">
        <v>22342</v>
      </c>
      <c r="C13052" s="1" t="str">
        <f>HYPERLINK("http://www.genecards.org/cgi-bin/carddisp.pl?gene=RPH3A","GeneCards")</f>
        <v>GeneCards</v>
      </c>
      <c r="D13052" s="1" t="str">
        <f>HYPERLINK("http://genome-euro.ucsc.edu/cgi-bin/hgTracks?position=205230_at","UCSC")</f>
        <v>UCSC</v>
      </c>
      <c r="E13052" s="1" t="str">
        <f>HYPERLINK("http://www.ncbi.nlm.nih.gov/gene/?term=RPH3A","NCBI")</f>
        <v>NCBI</v>
      </c>
      <c r="F13052">
        <v>0.42</v>
      </c>
      <c r="G13052">
        <v>0.54</v>
      </c>
      <c r="H13052" s="1" t="str">
        <f>HYPERLINK("http://www.weizmann.ac.il/complex/compphys/software/geview/data/figures/205230_at.png","Figure")</f>
        <v>Figure</v>
      </c>
      <c r="I13052">
        <v>1.1000000000000001</v>
      </c>
      <c r="J13052">
        <v>0.4</v>
      </c>
      <c r="K13052">
        <v>1.06</v>
      </c>
      <c r="L13052">
        <v>0.62</v>
      </c>
      <c r="M13052">
        <v>0.96499999999999997</v>
      </c>
      <c r="N13052">
        <v>0.86</v>
      </c>
    </row>
    <row r="13053" spans="1:14" x14ac:dyDescent="0.25">
      <c r="A13053" t="s">
        <v>22343</v>
      </c>
      <c r="B13053" t="s">
        <v>22344</v>
      </c>
      <c r="C13053" s="1" t="str">
        <f>HYPERLINK("http://www.genecards.org/cgi-bin/carddisp.pl?gene=MICAL2","GeneCards")</f>
        <v>GeneCards</v>
      </c>
      <c r="D13053" s="1" t="str">
        <f>HYPERLINK("http://genome-euro.ucsc.edu/cgi-bin/hgTracks?position=212472_at","UCSC")</f>
        <v>UCSC</v>
      </c>
      <c r="E13053" s="1" t="str">
        <f>HYPERLINK("http://www.ncbi.nlm.nih.gov/gene/?term=MICAL2","NCBI")</f>
        <v>NCBI</v>
      </c>
      <c r="F13053">
        <v>0.42</v>
      </c>
      <c r="G13053">
        <v>0.54</v>
      </c>
      <c r="H13053" s="1" t="str">
        <f>HYPERLINK("http://www.weizmann.ac.il/complex/compphys/software/geview/data/figures/212472_at.png","Figure")</f>
        <v>Figure</v>
      </c>
      <c r="I13053">
        <v>0.95</v>
      </c>
      <c r="J13053">
        <v>0.43</v>
      </c>
      <c r="K13053">
        <v>0.96299999999999997</v>
      </c>
      <c r="L13053">
        <v>0.55000000000000004</v>
      </c>
      <c r="M13053">
        <v>1.01</v>
      </c>
      <c r="N13053">
        <v>0.93</v>
      </c>
    </row>
    <row r="13054" spans="1:14" x14ac:dyDescent="0.25">
      <c r="A13054" t="s">
        <v>22345</v>
      </c>
      <c r="B13054" t="s">
        <v>22346</v>
      </c>
      <c r="C13054" s="1" t="str">
        <f>HYPERLINK("http://www.genecards.org/cgi-bin/carddisp.pl?gene=INTS6","GeneCards")</f>
        <v>GeneCards</v>
      </c>
      <c r="D13054" s="1" t="str">
        <f>HYPERLINK("http://genome-euro.ucsc.edu/cgi-bin/hgTracks?position=218819_at","UCSC")</f>
        <v>UCSC</v>
      </c>
      <c r="E13054" s="1" t="str">
        <f>HYPERLINK("http://www.ncbi.nlm.nih.gov/gene/?term=INTS6","NCBI")</f>
        <v>NCBI</v>
      </c>
      <c r="F13054">
        <v>0.42</v>
      </c>
      <c r="G13054">
        <v>0.54</v>
      </c>
      <c r="H13054" s="1" t="str">
        <f>HYPERLINK("http://www.weizmann.ac.il/complex/compphys/software/geview/data/figures/218819_at.png","Figure")</f>
        <v>Figure</v>
      </c>
      <c r="I13054">
        <v>0.94599999999999995</v>
      </c>
      <c r="J13054">
        <v>0.98</v>
      </c>
      <c r="K13054">
        <v>1.29</v>
      </c>
      <c r="L13054">
        <v>0.55000000000000004</v>
      </c>
      <c r="M13054">
        <v>1.36</v>
      </c>
      <c r="N13054">
        <v>0.47</v>
      </c>
    </row>
    <row r="13055" spans="1:14" x14ac:dyDescent="0.25">
      <c r="A13055" t="s">
        <v>22347</v>
      </c>
      <c r="B13055" t="s">
        <v>22348</v>
      </c>
      <c r="C13055" s="1" t="str">
        <f>HYPERLINK("http://www.genecards.org/cgi-bin/carddisp.pl?gene=IL1RAPL2","GeneCards")</f>
        <v>GeneCards</v>
      </c>
      <c r="D13055" s="1" t="str">
        <f>HYPERLINK("http://genome-euro.ucsc.edu/cgi-bin/hgTracks?position=221112_at","UCSC")</f>
        <v>UCSC</v>
      </c>
      <c r="E13055" s="1" t="str">
        <f>HYPERLINK("http://www.ncbi.nlm.nih.gov/gene/?term=IL1RAPL2","NCBI")</f>
        <v>NCBI</v>
      </c>
      <c r="F13055">
        <v>0.42</v>
      </c>
      <c r="G13055">
        <v>0.54</v>
      </c>
      <c r="H13055" s="1" t="str">
        <f>HYPERLINK("http://www.weizmann.ac.il/complex/compphys/software/geview/data/figures/221112_at.png","Figure")</f>
        <v>Figure</v>
      </c>
      <c r="I13055">
        <v>1.1100000000000001</v>
      </c>
      <c r="J13055">
        <v>0.39</v>
      </c>
      <c r="K13055">
        <v>1.05</v>
      </c>
      <c r="L13055">
        <v>0.74</v>
      </c>
      <c r="M13055">
        <v>0.94899999999999995</v>
      </c>
      <c r="N13055">
        <v>0.74</v>
      </c>
    </row>
    <row r="13056" spans="1:14" x14ac:dyDescent="0.25">
      <c r="A13056" t="s">
        <v>22349</v>
      </c>
      <c r="B13056" t="s">
        <v>19657</v>
      </c>
      <c r="C13056" s="1" t="str">
        <f>HYPERLINK("http://www.genecards.org/cgi-bin/carddisp.pl?gene=DDX23","GeneCards")</f>
        <v>GeneCards</v>
      </c>
      <c r="D13056" s="1" t="str">
        <f>HYPERLINK("http://genome-euro.ucsc.edu/cgi-bin/hgTracks?position=40465_at","UCSC")</f>
        <v>UCSC</v>
      </c>
      <c r="E13056" s="1" t="str">
        <f>HYPERLINK("http://www.ncbi.nlm.nih.gov/gene/?term=DDX23","NCBI")</f>
        <v>NCBI</v>
      </c>
      <c r="F13056">
        <v>0.42</v>
      </c>
      <c r="G13056">
        <v>0.54</v>
      </c>
      <c r="H13056" s="1" t="str">
        <f>HYPERLINK("http://www.weizmann.ac.il/complex/compphys/software/geview/data/figures/40465_at.png","Figure")</f>
        <v>Figure</v>
      </c>
      <c r="I13056">
        <v>0.88800000000000001</v>
      </c>
      <c r="J13056">
        <v>0.69</v>
      </c>
      <c r="K13056">
        <v>1.07</v>
      </c>
      <c r="L13056">
        <v>0.87</v>
      </c>
      <c r="M13056">
        <v>1.2</v>
      </c>
      <c r="N13056">
        <v>0.39</v>
      </c>
    </row>
    <row r="13057" spans="1:14" x14ac:dyDescent="0.25">
      <c r="A13057" t="s">
        <v>22350</v>
      </c>
      <c r="B13057" t="s">
        <v>6086</v>
      </c>
      <c r="C13057" s="1" t="str">
        <f>HYPERLINK("http://www.genecards.org/cgi-bin/carddisp.pl?gene=TCL6","GeneCards")</f>
        <v>GeneCards</v>
      </c>
      <c r="D13057" s="1" t="str">
        <f>HYPERLINK("http://genome-euro.ucsc.edu/cgi-bin/hgTracks?position=221054_s_at","UCSC")</f>
        <v>UCSC</v>
      </c>
      <c r="E13057" s="1" t="str">
        <f>HYPERLINK("http://www.ncbi.nlm.nih.gov/gene/?term=TCL6","NCBI")</f>
        <v>NCBI</v>
      </c>
      <c r="F13057">
        <v>0.42</v>
      </c>
      <c r="G13057">
        <v>0.54</v>
      </c>
      <c r="H13057" s="1" t="str">
        <f>HYPERLINK("http://www.weizmann.ac.il/complex/compphys/software/geview/data/figures/221054_s_at.png","Figure")</f>
        <v>Figure</v>
      </c>
      <c r="I13057">
        <v>1</v>
      </c>
      <c r="J13057">
        <v>1</v>
      </c>
      <c r="K13057">
        <v>0.90200000000000002</v>
      </c>
      <c r="L13057">
        <v>0.49</v>
      </c>
      <c r="M13057">
        <v>0.90200000000000002</v>
      </c>
      <c r="N13057">
        <v>0.53</v>
      </c>
    </row>
    <row r="13058" spans="1:14" x14ac:dyDescent="0.25">
      <c r="A13058" t="s">
        <v>22351</v>
      </c>
      <c r="B13058" t="s">
        <v>22352</v>
      </c>
      <c r="C13058" s="1" t="str">
        <f>HYPERLINK("http://www.genecards.org/cgi-bin/carddisp.pl?gene=PPP1R1A","GeneCards")</f>
        <v>GeneCards</v>
      </c>
      <c r="D13058" s="1" t="str">
        <f>HYPERLINK("http://genome-euro.ucsc.edu/cgi-bin/hgTracks?position=205478_at","UCSC")</f>
        <v>UCSC</v>
      </c>
      <c r="E13058" s="1" t="str">
        <f>HYPERLINK("http://www.ncbi.nlm.nih.gov/gene/?term=PPP1R1A","NCBI")</f>
        <v>NCBI</v>
      </c>
      <c r="F13058">
        <v>0.42</v>
      </c>
      <c r="G13058">
        <v>0.54</v>
      </c>
      <c r="H13058" s="1" t="str">
        <f>HYPERLINK("http://www.weizmann.ac.il/complex/compphys/software/geview/data/figures/205478_at.png","Figure")</f>
        <v>Figure</v>
      </c>
      <c r="I13058">
        <v>1.02</v>
      </c>
      <c r="J13058">
        <v>0.43</v>
      </c>
      <c r="K13058">
        <v>1</v>
      </c>
      <c r="L13058">
        <v>0.97</v>
      </c>
      <c r="M13058">
        <v>0.98099999999999998</v>
      </c>
      <c r="N13058">
        <v>0.5</v>
      </c>
    </row>
    <row r="13059" spans="1:14" x14ac:dyDescent="0.25">
      <c r="A13059" t="s">
        <v>22353</v>
      </c>
      <c r="B13059" t="s">
        <v>22354</v>
      </c>
      <c r="C13059" s="1" t="str">
        <f>HYPERLINK("http://www.genecards.org/cgi-bin/carddisp.pl?gene=NCAPG2","GeneCards")</f>
        <v>GeneCards</v>
      </c>
      <c r="D13059" s="1" t="str">
        <f>HYPERLINK("http://genome-euro.ucsc.edu/cgi-bin/hgTracks?position=219588_s_at","UCSC")</f>
        <v>UCSC</v>
      </c>
      <c r="E13059" s="1" t="str">
        <f>HYPERLINK("http://www.ncbi.nlm.nih.gov/gene/?term=NCAPG2","NCBI")</f>
        <v>NCBI</v>
      </c>
      <c r="F13059">
        <v>0.42</v>
      </c>
      <c r="G13059">
        <v>0.54</v>
      </c>
      <c r="H13059" s="1" t="str">
        <f>HYPERLINK("http://www.weizmann.ac.il/complex/compphys/software/geview/data/figures/219588_s_at.png","Figure")</f>
        <v>Figure</v>
      </c>
      <c r="I13059">
        <v>1.01</v>
      </c>
      <c r="J13059">
        <v>0.99</v>
      </c>
      <c r="K13059">
        <v>1.1499999999999999</v>
      </c>
      <c r="L13059">
        <v>0.46</v>
      </c>
      <c r="M13059">
        <v>1.1399999999999999</v>
      </c>
      <c r="N13059">
        <v>0.56999999999999995</v>
      </c>
    </row>
    <row r="13060" spans="1:14" x14ac:dyDescent="0.25">
      <c r="A13060" t="s">
        <v>22355</v>
      </c>
      <c r="B13060" t="s">
        <v>21524</v>
      </c>
      <c r="C13060" s="1" t="str">
        <f>HYPERLINK("http://www.genecards.org/cgi-bin/carddisp.pl?gene=RBBP6","GeneCards")</f>
        <v>GeneCards</v>
      </c>
      <c r="D13060" s="1" t="str">
        <f>HYPERLINK("http://genome-euro.ucsc.edu/cgi-bin/hgTracks?position=212781_at","UCSC")</f>
        <v>UCSC</v>
      </c>
      <c r="E13060" s="1" t="str">
        <f>HYPERLINK("http://www.ncbi.nlm.nih.gov/gene/?term=RBBP6","NCBI")</f>
        <v>NCBI</v>
      </c>
      <c r="F13060">
        <v>0.42</v>
      </c>
      <c r="G13060">
        <v>0.54</v>
      </c>
      <c r="H13060" s="1" t="str">
        <f>HYPERLINK("http://www.weizmann.ac.il/complex/compphys/software/geview/data/figures/212781_at.png","Figure")</f>
        <v>Figure</v>
      </c>
      <c r="I13060">
        <v>1.06</v>
      </c>
      <c r="J13060">
        <v>0.95</v>
      </c>
      <c r="K13060">
        <v>0.83499999999999996</v>
      </c>
      <c r="L13060">
        <v>0.59</v>
      </c>
      <c r="M13060">
        <v>0.78500000000000003</v>
      </c>
      <c r="N13060">
        <v>0.45</v>
      </c>
    </row>
    <row r="13061" spans="1:14" x14ac:dyDescent="0.25">
      <c r="A13061" t="s">
        <v>22356</v>
      </c>
      <c r="B13061" t="s">
        <v>19918</v>
      </c>
      <c r="C13061" s="1" t="str">
        <f>HYPERLINK("http://www.genecards.org/cgi-bin/carddisp.pl?gene=BICD1","GeneCards")</f>
        <v>GeneCards</v>
      </c>
      <c r="D13061" s="1" t="str">
        <f>HYPERLINK("http://genome-euro.ucsc.edu/cgi-bin/hgTracks?position=214806_at","UCSC")</f>
        <v>UCSC</v>
      </c>
      <c r="E13061" s="1" t="str">
        <f>HYPERLINK("http://www.ncbi.nlm.nih.gov/gene/?term=BICD1","NCBI")</f>
        <v>NCBI</v>
      </c>
      <c r="F13061">
        <v>0.42</v>
      </c>
      <c r="G13061">
        <v>0.54</v>
      </c>
      <c r="H13061" s="1" t="str">
        <f>HYPERLINK("http://www.weizmann.ac.il/complex/compphys/software/geview/data/figures/214806_at.png","Figure")</f>
        <v>Figure</v>
      </c>
      <c r="I13061">
        <v>1.07</v>
      </c>
      <c r="J13061">
        <v>0.85</v>
      </c>
      <c r="K13061">
        <v>1.1599999999999999</v>
      </c>
      <c r="L13061">
        <v>0.39</v>
      </c>
      <c r="M13061">
        <v>1.08</v>
      </c>
      <c r="N13061">
        <v>0.78</v>
      </c>
    </row>
    <row r="13062" spans="1:14" x14ac:dyDescent="0.25">
      <c r="A13062" t="s">
        <v>22357</v>
      </c>
      <c r="B13062" t="s">
        <v>3208</v>
      </c>
      <c r="C13062" s="1" t="str">
        <f>HYPERLINK("http://www.genecards.org/cgi-bin/carddisp.pl?gene=PUM2","GeneCards")</f>
        <v>GeneCards</v>
      </c>
      <c r="D13062" s="1" t="str">
        <f>HYPERLINK("http://genome-euro.ucsc.edu/cgi-bin/hgTracks?position=216221_s_at","UCSC")</f>
        <v>UCSC</v>
      </c>
      <c r="E13062" s="1" t="str">
        <f>HYPERLINK("http://www.ncbi.nlm.nih.gov/gene/?term=PUM2","NCBI")</f>
        <v>NCBI</v>
      </c>
      <c r="F13062">
        <v>0.42</v>
      </c>
      <c r="G13062">
        <v>0.54</v>
      </c>
      <c r="H13062" s="1" t="str">
        <f>HYPERLINK("http://www.weizmann.ac.il/complex/compphys/software/geview/data/figures/216221_s_at.png","Figure")</f>
        <v>Figure</v>
      </c>
      <c r="I13062">
        <v>1.33</v>
      </c>
      <c r="J13062">
        <v>0.42</v>
      </c>
      <c r="K13062">
        <v>1.22</v>
      </c>
      <c r="L13062">
        <v>0.56999999999999995</v>
      </c>
      <c r="M13062">
        <v>0.91700000000000004</v>
      </c>
      <c r="N13062">
        <v>0.91</v>
      </c>
    </row>
    <row r="13063" spans="1:14" x14ac:dyDescent="0.25">
      <c r="A13063" t="s">
        <v>22358</v>
      </c>
      <c r="B13063" t="s">
        <v>15438</v>
      </c>
      <c r="C13063" s="1" t="str">
        <f>HYPERLINK("http://www.genecards.org/cgi-bin/carddisp.pl?gene=RCN3","GeneCards")</f>
        <v>GeneCards</v>
      </c>
      <c r="D13063" s="1" t="str">
        <f>HYPERLINK("http://genome-euro.ucsc.edu/cgi-bin/hgTracks?position=61734_at","UCSC")</f>
        <v>UCSC</v>
      </c>
      <c r="E13063" s="1" t="str">
        <f>HYPERLINK("http://www.ncbi.nlm.nih.gov/gene/?term=RCN3","NCBI")</f>
        <v>NCBI</v>
      </c>
      <c r="F13063">
        <v>0.42</v>
      </c>
      <c r="G13063">
        <v>0.55000000000000004</v>
      </c>
      <c r="H13063" s="1" t="str">
        <f>HYPERLINK("http://www.weizmann.ac.il/complex/compphys/software/geview/data/figures/61734_at.png","Figure")</f>
        <v>Figure</v>
      </c>
      <c r="I13063">
        <v>1.1200000000000001</v>
      </c>
      <c r="J13063">
        <v>0.53</v>
      </c>
      <c r="K13063">
        <v>0.98799999999999999</v>
      </c>
      <c r="L13063">
        <v>0.99</v>
      </c>
      <c r="M13063">
        <v>0.88200000000000001</v>
      </c>
      <c r="N13063">
        <v>0.42</v>
      </c>
    </row>
    <row r="13064" spans="1:14" x14ac:dyDescent="0.25">
      <c r="A13064" t="s">
        <v>22359</v>
      </c>
      <c r="B13064" t="s">
        <v>22360</v>
      </c>
      <c r="C13064" s="1" t="str">
        <f>HYPERLINK("http://www.genecards.org/cgi-bin/carddisp.pl?gene=PSPC1","GeneCards")</f>
        <v>GeneCards</v>
      </c>
      <c r="D13064" s="1" t="str">
        <f>HYPERLINK("http://genome-euro.ucsc.edu/cgi-bin/hgTracks?position=218371_s_at","UCSC")</f>
        <v>UCSC</v>
      </c>
      <c r="E13064" s="1" t="str">
        <f>HYPERLINK("http://www.ncbi.nlm.nih.gov/gene/?term=PSPC1","NCBI")</f>
        <v>NCBI</v>
      </c>
      <c r="F13064">
        <v>0.42</v>
      </c>
      <c r="G13064">
        <v>0.55000000000000004</v>
      </c>
      <c r="H13064" s="1" t="str">
        <f>HYPERLINK("http://www.weizmann.ac.il/complex/compphys/software/geview/data/figures/218371_s_at.png","Figure")</f>
        <v>Figure</v>
      </c>
      <c r="I13064">
        <v>0.96299999999999997</v>
      </c>
      <c r="J13064">
        <v>0.96</v>
      </c>
      <c r="K13064">
        <v>1.1399999999999999</v>
      </c>
      <c r="L13064">
        <v>0.57999999999999996</v>
      </c>
      <c r="M13064">
        <v>1.18</v>
      </c>
      <c r="N13064">
        <v>0.46</v>
      </c>
    </row>
    <row r="13065" spans="1:14" x14ac:dyDescent="0.25">
      <c r="A13065" t="s">
        <v>22361</v>
      </c>
      <c r="B13065" t="s">
        <v>22362</v>
      </c>
      <c r="C13065" s="1" t="str">
        <f>HYPERLINK("http://www.genecards.org/cgi-bin/carddisp.pl?gene=BCLAF1","GeneCards")</f>
        <v>GeneCards</v>
      </c>
      <c r="D13065" s="1" t="str">
        <f>HYPERLINK("http://genome-euro.ucsc.edu/cgi-bin/hgTracks?position=201101_s_at","UCSC")</f>
        <v>UCSC</v>
      </c>
      <c r="E13065" s="1" t="str">
        <f>HYPERLINK("http://www.ncbi.nlm.nih.gov/gene/?term=BCLAF1","NCBI")</f>
        <v>NCBI</v>
      </c>
      <c r="F13065">
        <v>0.42</v>
      </c>
      <c r="G13065">
        <v>0.55000000000000004</v>
      </c>
      <c r="H13065" s="1" t="str">
        <f>HYPERLINK("http://www.weizmann.ac.il/complex/compphys/software/geview/data/figures/201101_s_at.png","Figure")</f>
        <v>Figure</v>
      </c>
      <c r="I13065">
        <v>1.51</v>
      </c>
      <c r="J13065">
        <v>0.53</v>
      </c>
      <c r="K13065">
        <v>0.96199999999999997</v>
      </c>
      <c r="L13065">
        <v>0.99</v>
      </c>
      <c r="M13065">
        <v>0.63800000000000001</v>
      </c>
      <c r="N13065">
        <v>0.42</v>
      </c>
    </row>
    <row r="13066" spans="1:14" x14ac:dyDescent="0.25">
      <c r="A13066" t="s">
        <v>22363</v>
      </c>
      <c r="B13066" t="s">
        <v>22364</v>
      </c>
      <c r="C13066" s="1" t="str">
        <f>HYPERLINK("http://www.genecards.org/cgi-bin/carddisp.pl?gene=DCAKD","GeneCards")</f>
        <v>GeneCards</v>
      </c>
      <c r="D13066" s="1" t="str">
        <f>HYPERLINK("http://genome-euro.ucsc.edu/cgi-bin/hgTracks?position=221224_s_at","UCSC")</f>
        <v>UCSC</v>
      </c>
      <c r="E13066" s="1" t="str">
        <f>HYPERLINK("http://www.ncbi.nlm.nih.gov/gene/?term=DCAKD","NCBI")</f>
        <v>NCBI</v>
      </c>
      <c r="F13066">
        <v>0.42</v>
      </c>
      <c r="G13066">
        <v>0.55000000000000004</v>
      </c>
      <c r="H13066" s="1" t="str">
        <f>HYPERLINK("http://www.weizmann.ac.il/complex/compphys/software/geview/data/figures/221224_s_at.png","Figure")</f>
        <v>Figure</v>
      </c>
      <c r="I13066">
        <v>1.04</v>
      </c>
      <c r="J13066">
        <v>0.78</v>
      </c>
      <c r="K13066">
        <v>0.96699999999999997</v>
      </c>
      <c r="L13066">
        <v>0.79</v>
      </c>
      <c r="M13066">
        <v>0.92900000000000005</v>
      </c>
      <c r="N13066">
        <v>0.39</v>
      </c>
    </row>
    <row r="13067" spans="1:14" x14ac:dyDescent="0.25">
      <c r="A13067" t="s">
        <v>22365</v>
      </c>
      <c r="B13067" t="s">
        <v>22366</v>
      </c>
      <c r="C13067" s="1" t="str">
        <f>HYPERLINK("http://www.genecards.org/cgi-bin/carddisp.pl?gene=PLEC1","GeneCards")</f>
        <v>GeneCards</v>
      </c>
      <c r="D13067" s="1" t="str">
        <f>HYPERLINK("http://genome-euro.ucsc.edu/cgi-bin/hgTracks?position=201373_at","UCSC")</f>
        <v>UCSC</v>
      </c>
      <c r="E13067" s="1" t="str">
        <f>HYPERLINK("http://www.ncbi.nlm.nih.gov/gene/?term=PLEC1","NCBI")</f>
        <v>NCBI</v>
      </c>
      <c r="F13067">
        <v>0.42</v>
      </c>
      <c r="G13067">
        <v>0.55000000000000004</v>
      </c>
      <c r="H13067" s="1" t="str">
        <f>HYPERLINK("http://www.weizmann.ac.il/complex/compphys/software/geview/data/figures/201373_at.png","Figure")</f>
        <v>Figure</v>
      </c>
      <c r="I13067">
        <v>1.01</v>
      </c>
      <c r="J13067">
        <v>1</v>
      </c>
      <c r="K13067">
        <v>1.1399999999999999</v>
      </c>
      <c r="L13067">
        <v>0.47</v>
      </c>
      <c r="M13067">
        <v>1.1299999999999999</v>
      </c>
      <c r="N13067">
        <v>0.56000000000000005</v>
      </c>
    </row>
    <row r="13068" spans="1:14" x14ac:dyDescent="0.25">
      <c r="A13068" t="s">
        <v>22367</v>
      </c>
      <c r="B13068" t="s">
        <v>22368</v>
      </c>
      <c r="C13068" s="1" t="str">
        <f>HYPERLINK("http://www.genecards.org/cgi-bin/carddisp.pl?gene=FGF16","GeneCards")</f>
        <v>GeneCards</v>
      </c>
      <c r="D13068" s="1" t="str">
        <f>HYPERLINK("http://genome-euro.ucsc.edu/cgi-bin/hgTracks?position=221374_at","UCSC")</f>
        <v>UCSC</v>
      </c>
      <c r="E13068" s="1" t="str">
        <f>HYPERLINK("http://www.ncbi.nlm.nih.gov/gene/?term=FGF16","NCBI")</f>
        <v>NCBI</v>
      </c>
      <c r="F13068">
        <v>0.42</v>
      </c>
      <c r="G13068">
        <v>0.55000000000000004</v>
      </c>
      <c r="H13068" s="1" t="str">
        <f>HYPERLINK("http://www.weizmann.ac.il/complex/compphys/software/geview/data/figures/221374_at.png","Figure")</f>
        <v>Figure</v>
      </c>
      <c r="I13068">
        <v>1.05</v>
      </c>
      <c r="J13068">
        <v>0.39</v>
      </c>
      <c r="K13068">
        <v>1.02</v>
      </c>
      <c r="L13068">
        <v>0.77</v>
      </c>
      <c r="M13068">
        <v>0.97399999999999998</v>
      </c>
      <c r="N13068">
        <v>0.71</v>
      </c>
    </row>
    <row r="13069" spans="1:14" x14ac:dyDescent="0.25">
      <c r="A13069" t="s">
        <v>22369</v>
      </c>
      <c r="B13069" t="s">
        <v>22370</v>
      </c>
      <c r="C13069" s="1" t="str">
        <f>HYPERLINK("http://www.genecards.org/cgi-bin/carddisp.pl?gene=CCDC6","GeneCards")</f>
        <v>GeneCards</v>
      </c>
      <c r="D13069" s="1" t="str">
        <f>HYPERLINK("http://genome-euro.ucsc.edu/cgi-bin/hgTracks?position=204716_at","UCSC")</f>
        <v>UCSC</v>
      </c>
      <c r="E13069" s="1" t="str">
        <f>HYPERLINK("http://www.ncbi.nlm.nih.gov/gene/?term=CCDC6","NCBI")</f>
        <v>NCBI</v>
      </c>
      <c r="F13069">
        <v>0.42</v>
      </c>
      <c r="G13069">
        <v>0.55000000000000004</v>
      </c>
      <c r="H13069" s="1" t="str">
        <f>HYPERLINK("http://www.weizmann.ac.il/complex/compphys/software/geview/data/figures/204716_at.png","Figure")</f>
        <v>Figure</v>
      </c>
      <c r="I13069">
        <v>0.89</v>
      </c>
      <c r="J13069">
        <v>0.78</v>
      </c>
      <c r="K13069">
        <v>0.81599999999999995</v>
      </c>
      <c r="L13069">
        <v>0.39</v>
      </c>
      <c r="M13069">
        <v>0.91700000000000004</v>
      </c>
      <c r="N13069">
        <v>0.85</v>
      </c>
    </row>
    <row r="13070" spans="1:14" x14ac:dyDescent="0.25">
      <c r="A13070" t="s">
        <v>22371</v>
      </c>
      <c r="B13070" t="s">
        <v>22372</v>
      </c>
      <c r="C13070" s="1" t="str">
        <f>HYPERLINK("http://www.genecards.org/cgi-bin/carddisp.pl?gene=KRT8","GeneCards")</f>
        <v>GeneCards</v>
      </c>
      <c r="D13070" s="1" t="str">
        <f>HYPERLINK("http://genome-euro.ucsc.edu/cgi-bin/hgTracks?position=209008_x_at","UCSC")</f>
        <v>UCSC</v>
      </c>
      <c r="E13070" s="1" t="str">
        <f>HYPERLINK("http://www.ncbi.nlm.nih.gov/gene/?term=KRT8","NCBI")</f>
        <v>NCBI</v>
      </c>
      <c r="F13070">
        <v>0.42</v>
      </c>
      <c r="G13070">
        <v>0.55000000000000004</v>
      </c>
      <c r="H13070" s="1" t="str">
        <f>HYPERLINK("http://www.weizmann.ac.il/complex/compphys/software/geview/data/figures/209008_x_at.png","Figure")</f>
        <v>Figure</v>
      </c>
      <c r="I13070">
        <v>1.08</v>
      </c>
      <c r="J13070">
        <v>0.39</v>
      </c>
      <c r="K13070">
        <v>1.04</v>
      </c>
      <c r="L13070">
        <v>0.7</v>
      </c>
      <c r="M13070">
        <v>0.96399999999999997</v>
      </c>
      <c r="N13070">
        <v>0.77</v>
      </c>
    </row>
    <row r="13071" spans="1:14" x14ac:dyDescent="0.25">
      <c r="A13071" t="s">
        <v>22373</v>
      </c>
      <c r="B13071" t="s">
        <v>5488</v>
      </c>
      <c r="C13071" s="1" t="str">
        <f>HYPERLINK("http://www.genecards.org/cgi-bin/carddisp.pl?gene=TNFAIP1","GeneCards")</f>
        <v>GeneCards</v>
      </c>
      <c r="D13071" s="1" t="str">
        <f>HYPERLINK("http://genome-euro.ucsc.edu/cgi-bin/hgTracks?position=201208_s_at","UCSC")</f>
        <v>UCSC</v>
      </c>
      <c r="E13071" s="1" t="str">
        <f>HYPERLINK("http://www.ncbi.nlm.nih.gov/gene/?term=TNFAIP1","NCBI")</f>
        <v>NCBI</v>
      </c>
      <c r="F13071">
        <v>0.42</v>
      </c>
      <c r="G13071">
        <v>0.55000000000000004</v>
      </c>
      <c r="H13071" s="1" t="str">
        <f>HYPERLINK("http://www.weizmann.ac.il/complex/compphys/software/geview/data/figures/201208_s_at.png","Figure")</f>
        <v>Figure</v>
      </c>
      <c r="I13071">
        <v>1.06</v>
      </c>
      <c r="J13071">
        <v>0.77</v>
      </c>
      <c r="K13071">
        <v>0.95399999999999996</v>
      </c>
      <c r="L13071">
        <v>0.79</v>
      </c>
      <c r="M13071">
        <v>0.90100000000000002</v>
      </c>
      <c r="N13071">
        <v>0.39</v>
      </c>
    </row>
    <row r="13072" spans="1:14" x14ac:dyDescent="0.25">
      <c r="A13072" t="s">
        <v>22374</v>
      </c>
      <c r="B13072" t="s">
        <v>22375</v>
      </c>
      <c r="C13072" s="1" t="str">
        <f>HYPERLINK("http://www.genecards.org/cgi-bin/carddisp.pl?gene=STX4","GeneCards")</f>
        <v>GeneCards</v>
      </c>
      <c r="D13072" s="1" t="str">
        <f>HYPERLINK("http://genome-euro.ucsc.edu/cgi-bin/hgTracks?position=203530_s_at","UCSC")</f>
        <v>UCSC</v>
      </c>
      <c r="E13072" s="1" t="str">
        <f>HYPERLINK("http://www.ncbi.nlm.nih.gov/gene/?term=STX4","NCBI")</f>
        <v>NCBI</v>
      </c>
      <c r="F13072">
        <v>0.42</v>
      </c>
      <c r="G13072">
        <v>0.55000000000000004</v>
      </c>
      <c r="H13072" s="1" t="str">
        <f>HYPERLINK("http://www.weizmann.ac.il/complex/compphys/software/geview/data/figures/203530_s_at.png","Figure")</f>
        <v>Figure</v>
      </c>
      <c r="I13072">
        <v>0.88</v>
      </c>
      <c r="J13072">
        <v>0.72</v>
      </c>
      <c r="K13072">
        <v>0.82199999999999995</v>
      </c>
      <c r="L13072">
        <v>0.39</v>
      </c>
      <c r="M13072">
        <v>0.93400000000000005</v>
      </c>
      <c r="N13072">
        <v>0.9</v>
      </c>
    </row>
    <row r="13073" spans="1:14" x14ac:dyDescent="0.25">
      <c r="A13073" t="s">
        <v>22376</v>
      </c>
      <c r="B13073" t="s">
        <v>22377</v>
      </c>
      <c r="C13073" s="1" t="str">
        <f>HYPERLINK("http://www.genecards.org/cgi-bin/carddisp.pl?gene=SFTPA2","GeneCards")</f>
        <v>GeneCards</v>
      </c>
      <c r="D13073" s="1" t="str">
        <f>HYPERLINK("http://genome-euro.ucsc.edu/cgi-bin/hgTracks?position=218835_at","UCSC")</f>
        <v>UCSC</v>
      </c>
      <c r="E13073" s="1" t="str">
        <f>HYPERLINK("http://www.ncbi.nlm.nih.gov/gene/?term=SFTPA2","NCBI")</f>
        <v>NCBI</v>
      </c>
      <c r="F13073">
        <v>0.42</v>
      </c>
      <c r="G13073">
        <v>0.55000000000000004</v>
      </c>
      <c r="H13073" s="1" t="str">
        <f>HYPERLINK("http://www.weizmann.ac.il/complex/compphys/software/geview/data/figures/218835_at.png","Figure")</f>
        <v>Figure</v>
      </c>
      <c r="I13073">
        <v>1.0900000000000001</v>
      </c>
      <c r="J13073">
        <v>0.39</v>
      </c>
      <c r="K13073">
        <v>1.04</v>
      </c>
      <c r="L13073">
        <v>0.72</v>
      </c>
      <c r="M13073">
        <v>0.95699999999999996</v>
      </c>
      <c r="N13073">
        <v>0.75</v>
      </c>
    </row>
    <row r="13074" spans="1:14" x14ac:dyDescent="0.25">
      <c r="A13074" t="s">
        <v>22378</v>
      </c>
      <c r="B13074" t="s">
        <v>22379</v>
      </c>
      <c r="C13074" s="1" t="str">
        <f>HYPERLINK("http://www.genecards.org/cgi-bin/carddisp.pl?gene=KLHL22","GeneCards")</f>
        <v>GeneCards</v>
      </c>
      <c r="D13074" s="1" t="str">
        <f>HYPERLINK("http://genome-euro.ucsc.edu/cgi-bin/hgTracks?position=49329_at","UCSC")</f>
        <v>UCSC</v>
      </c>
      <c r="E13074" s="1" t="str">
        <f>HYPERLINK("http://www.ncbi.nlm.nih.gov/gene/?term=KLHL22","NCBI")</f>
        <v>NCBI</v>
      </c>
      <c r="F13074">
        <v>0.42</v>
      </c>
      <c r="G13074">
        <v>0.55000000000000004</v>
      </c>
      <c r="H13074" s="1" t="str">
        <f>HYPERLINK("http://www.weizmann.ac.il/complex/compphys/software/geview/data/figures/49329_at.png","Figure")</f>
        <v>Figure</v>
      </c>
      <c r="I13074">
        <v>1.1000000000000001</v>
      </c>
      <c r="J13074">
        <v>0.43</v>
      </c>
      <c r="K13074">
        <v>1.07</v>
      </c>
      <c r="L13074">
        <v>0.55000000000000004</v>
      </c>
      <c r="M13074">
        <v>0.97399999999999998</v>
      </c>
      <c r="N13074">
        <v>0.93</v>
      </c>
    </row>
    <row r="13075" spans="1:14" x14ac:dyDescent="0.25">
      <c r="A13075" t="s">
        <v>22380</v>
      </c>
      <c r="B13075" t="s">
        <v>13301</v>
      </c>
      <c r="C13075" s="1" t="str">
        <f>HYPERLINK("http://www.genecards.org/cgi-bin/carddisp.pl?gene=EIF5B","GeneCards")</f>
        <v>GeneCards</v>
      </c>
      <c r="D13075" s="1" t="str">
        <f>HYPERLINK("http://genome-euro.ucsc.edu/cgi-bin/hgTracks?position=201026_at","UCSC")</f>
        <v>UCSC</v>
      </c>
      <c r="E13075" s="1" t="str">
        <f>HYPERLINK("http://www.ncbi.nlm.nih.gov/gene/?term=EIF5B","NCBI")</f>
        <v>NCBI</v>
      </c>
      <c r="F13075">
        <v>0.42</v>
      </c>
      <c r="G13075">
        <v>0.55000000000000004</v>
      </c>
      <c r="H13075" s="1" t="str">
        <f>HYPERLINK("http://www.weizmann.ac.il/complex/compphys/software/geview/data/figures/201026_at.png","Figure")</f>
        <v>Figure</v>
      </c>
      <c r="I13075">
        <v>1.28</v>
      </c>
      <c r="J13075">
        <v>0.4</v>
      </c>
      <c r="K13075">
        <v>1.1599999999999999</v>
      </c>
      <c r="L13075">
        <v>0.65</v>
      </c>
      <c r="M13075">
        <v>0.90300000000000002</v>
      </c>
      <c r="N13075">
        <v>0.83</v>
      </c>
    </row>
    <row r="13076" spans="1:14" x14ac:dyDescent="0.25">
      <c r="A13076" t="s">
        <v>22381</v>
      </c>
      <c r="B13076" t="s">
        <v>22382</v>
      </c>
      <c r="C13076" s="1" t="str">
        <f>HYPERLINK("http://www.genecards.org/cgi-bin/carddisp.pl?gene=SLC34A1","GeneCards")</f>
        <v>GeneCards</v>
      </c>
      <c r="D13076" s="1" t="str">
        <f>HYPERLINK("http://genome-euro.ucsc.edu/cgi-bin/hgTracks?position=208177_at","UCSC")</f>
        <v>UCSC</v>
      </c>
      <c r="E13076" s="1" t="str">
        <f>HYPERLINK("http://www.ncbi.nlm.nih.gov/gene/?term=SLC34A1","NCBI")</f>
        <v>NCBI</v>
      </c>
      <c r="F13076">
        <v>0.42</v>
      </c>
      <c r="G13076">
        <v>0.55000000000000004</v>
      </c>
      <c r="H13076" s="1" t="str">
        <f>HYPERLINK("http://www.weizmann.ac.il/complex/compphys/software/geview/data/figures/208177_at.png","Figure")</f>
        <v>Figure</v>
      </c>
      <c r="I13076">
        <v>1.03</v>
      </c>
      <c r="J13076">
        <v>0.91</v>
      </c>
      <c r="K13076">
        <v>0.94699999999999995</v>
      </c>
      <c r="L13076">
        <v>0.65</v>
      </c>
      <c r="M13076">
        <v>0.92100000000000004</v>
      </c>
      <c r="N13076">
        <v>0.43</v>
      </c>
    </row>
    <row r="13077" spans="1:14" x14ac:dyDescent="0.25">
      <c r="A13077" t="s">
        <v>22383</v>
      </c>
      <c r="B13077" t="s">
        <v>22384</v>
      </c>
      <c r="C13077" s="1" t="str">
        <f>HYPERLINK("http://www.genecards.org/cgi-bin/carddisp.pl?gene=NEK11","GeneCards")</f>
        <v>GeneCards</v>
      </c>
      <c r="D13077" s="1" t="str">
        <f>HYPERLINK("http://genome-euro.ucsc.edu/cgi-bin/hgTracks?position=219542_at","UCSC")</f>
        <v>UCSC</v>
      </c>
      <c r="E13077" s="1" t="str">
        <f>HYPERLINK("http://www.ncbi.nlm.nih.gov/gene/?term=NEK11","NCBI")</f>
        <v>NCBI</v>
      </c>
      <c r="F13077">
        <v>0.42</v>
      </c>
      <c r="G13077">
        <v>0.55000000000000004</v>
      </c>
      <c r="H13077" s="1" t="str">
        <f>HYPERLINK("http://www.weizmann.ac.il/complex/compphys/software/geview/data/figures/219542_at.png","Figure")</f>
        <v>Figure</v>
      </c>
      <c r="I13077">
        <v>1.04</v>
      </c>
      <c r="J13077">
        <v>0.67</v>
      </c>
      <c r="K13077">
        <v>0.98</v>
      </c>
      <c r="L13077">
        <v>0.89</v>
      </c>
      <c r="M13077">
        <v>0.93700000000000006</v>
      </c>
      <c r="N13077">
        <v>0.39</v>
      </c>
    </row>
    <row r="13078" spans="1:14" x14ac:dyDescent="0.25">
      <c r="A13078" t="s">
        <v>22385</v>
      </c>
      <c r="B13078" t="s">
        <v>22386</v>
      </c>
      <c r="C13078" s="1" t="str">
        <f>HYPERLINK("http://www.genecards.org/cgi-bin/carddisp.pl?gene=NAE1","GeneCards")</f>
        <v>GeneCards</v>
      </c>
      <c r="D13078" s="1" t="str">
        <f>HYPERLINK("http://genome-euro.ucsc.edu/cgi-bin/hgTracks?position=202268_s_at","UCSC")</f>
        <v>UCSC</v>
      </c>
      <c r="E13078" s="1" t="str">
        <f>HYPERLINK("http://www.ncbi.nlm.nih.gov/gene/?term=NAE1","NCBI")</f>
        <v>NCBI</v>
      </c>
      <c r="F13078">
        <v>0.42</v>
      </c>
      <c r="G13078">
        <v>0.55000000000000004</v>
      </c>
      <c r="H13078" s="1" t="str">
        <f>HYPERLINK("http://www.weizmann.ac.il/complex/compphys/software/geview/data/figures/202268_s_at.png","Figure")</f>
        <v>Figure</v>
      </c>
      <c r="I13078">
        <v>0.83199999999999996</v>
      </c>
      <c r="J13078">
        <v>0.56999999999999995</v>
      </c>
      <c r="K13078">
        <v>1.04</v>
      </c>
      <c r="L13078">
        <v>0.97</v>
      </c>
      <c r="M13078">
        <v>1.24</v>
      </c>
      <c r="N13078">
        <v>0.41</v>
      </c>
    </row>
    <row r="13079" spans="1:14" x14ac:dyDescent="0.25">
      <c r="A13079" t="s">
        <v>22387</v>
      </c>
      <c r="B13079" t="s">
        <v>12675</v>
      </c>
      <c r="C13079" s="1" t="str">
        <f>HYPERLINK("http://www.genecards.org/cgi-bin/carddisp.pl?gene=CBX5","GeneCards")</f>
        <v>GeneCards</v>
      </c>
      <c r="D13079" s="1" t="str">
        <f>HYPERLINK("http://genome-euro.ucsc.edu/cgi-bin/hgTracks?position=209715_at","UCSC")</f>
        <v>UCSC</v>
      </c>
      <c r="E13079" s="1" t="str">
        <f>HYPERLINK("http://www.ncbi.nlm.nih.gov/gene/?term=CBX5","NCBI")</f>
        <v>NCBI</v>
      </c>
      <c r="F13079">
        <v>0.42</v>
      </c>
      <c r="G13079">
        <v>0.55000000000000004</v>
      </c>
      <c r="H13079" s="1" t="str">
        <f>HYPERLINK("http://www.weizmann.ac.il/complex/compphys/software/geview/data/figures/209715_at.png","Figure")</f>
        <v>Figure</v>
      </c>
      <c r="I13079">
        <v>1.26</v>
      </c>
      <c r="J13079">
        <v>0.5</v>
      </c>
      <c r="K13079">
        <v>0.99099999999999999</v>
      </c>
      <c r="L13079">
        <v>1</v>
      </c>
      <c r="M13079">
        <v>0.78500000000000003</v>
      </c>
      <c r="N13079">
        <v>0.43</v>
      </c>
    </row>
    <row r="13080" spans="1:14" x14ac:dyDescent="0.25">
      <c r="A13080" t="s">
        <v>22388</v>
      </c>
      <c r="B13080" t="s">
        <v>22389</v>
      </c>
      <c r="C13080" s="1" t="str">
        <f>HYPERLINK("http://www.genecards.org/cgi-bin/carddisp.pl?gene=COPS8","GeneCards")</f>
        <v>GeneCards</v>
      </c>
      <c r="D13080" s="1" t="str">
        <f>HYPERLINK("http://genome-euro.ucsc.edu/cgi-bin/hgTracks?position=202142_at","UCSC")</f>
        <v>UCSC</v>
      </c>
      <c r="E13080" s="1" t="str">
        <f>HYPERLINK("http://www.ncbi.nlm.nih.gov/gene/?term=COPS8","NCBI")</f>
        <v>NCBI</v>
      </c>
      <c r="F13080">
        <v>0.42</v>
      </c>
      <c r="G13080">
        <v>0.55000000000000004</v>
      </c>
      <c r="H13080" s="1" t="str">
        <f>HYPERLINK("http://www.weizmann.ac.il/complex/compphys/software/geview/data/figures/202142_at.png","Figure")</f>
        <v>Figure</v>
      </c>
      <c r="I13080">
        <v>1.19</v>
      </c>
      <c r="J13080">
        <v>0.42</v>
      </c>
      <c r="K13080">
        <v>1.04</v>
      </c>
      <c r="L13080">
        <v>0.95</v>
      </c>
      <c r="M13080">
        <v>0.874</v>
      </c>
      <c r="N13080">
        <v>0.53</v>
      </c>
    </row>
    <row r="13081" spans="1:14" x14ac:dyDescent="0.25">
      <c r="A13081" t="s">
        <v>22390</v>
      </c>
      <c r="B13081" t="s">
        <v>22391</v>
      </c>
      <c r="C13081" s="1" t="str">
        <f>HYPERLINK("http://www.genecards.org/cgi-bin/carddisp.pl?gene=LRRC36","GeneCards")</f>
        <v>GeneCards</v>
      </c>
      <c r="D13081" s="1" t="str">
        <f>HYPERLINK("http://genome-euro.ucsc.edu/cgi-bin/hgTracks?position=220003_at","UCSC")</f>
        <v>UCSC</v>
      </c>
      <c r="E13081" s="1" t="str">
        <f>HYPERLINK("http://www.ncbi.nlm.nih.gov/gene/?term=LRRC36","NCBI")</f>
        <v>NCBI</v>
      </c>
      <c r="F13081">
        <v>0.42</v>
      </c>
      <c r="G13081">
        <v>0.55000000000000004</v>
      </c>
      <c r="H13081" s="1" t="str">
        <f>HYPERLINK("http://www.weizmann.ac.il/complex/compphys/software/geview/data/figures/220003_at.png","Figure")</f>
        <v>Figure</v>
      </c>
      <c r="I13081">
        <v>1.08</v>
      </c>
      <c r="J13081">
        <v>0.39</v>
      </c>
      <c r="K13081">
        <v>1.04</v>
      </c>
      <c r="L13081">
        <v>0.75</v>
      </c>
      <c r="M13081">
        <v>0.96</v>
      </c>
      <c r="N13081">
        <v>0.72</v>
      </c>
    </row>
    <row r="13082" spans="1:14" x14ac:dyDescent="0.25">
      <c r="A13082" t="s">
        <v>22392</v>
      </c>
      <c r="B13082" t="s">
        <v>22393</v>
      </c>
      <c r="C13082" s="1" t="str">
        <f>HYPERLINK("http://www.genecards.org/cgi-bin/carddisp.pl?gene=FAM55D","GeneCards")</f>
        <v>GeneCards</v>
      </c>
      <c r="D13082" s="1" t="str">
        <f>HYPERLINK("http://genome-euro.ucsc.edu/cgi-bin/hgTracks?position=220645_at","UCSC")</f>
        <v>UCSC</v>
      </c>
      <c r="E13082" s="1" t="str">
        <f>HYPERLINK("http://www.ncbi.nlm.nih.gov/gene/?term=FAM55D","NCBI")</f>
        <v>NCBI</v>
      </c>
      <c r="F13082">
        <v>0.42</v>
      </c>
      <c r="G13082">
        <v>0.55000000000000004</v>
      </c>
      <c r="H13082" s="1" t="str">
        <f>HYPERLINK("http://www.weizmann.ac.il/complex/compphys/software/geview/data/figures/220645_at.png","Figure")</f>
        <v>Figure</v>
      </c>
      <c r="I13082">
        <v>1.04</v>
      </c>
      <c r="J13082">
        <v>0.78</v>
      </c>
      <c r="K13082">
        <v>0.96499999999999997</v>
      </c>
      <c r="L13082">
        <v>0.79</v>
      </c>
      <c r="M13082">
        <v>0.92600000000000005</v>
      </c>
      <c r="N13082">
        <v>0.39</v>
      </c>
    </row>
    <row r="13083" spans="1:14" x14ac:dyDescent="0.25">
      <c r="A13083" t="s">
        <v>22394</v>
      </c>
      <c r="B13083" t="s">
        <v>22395</v>
      </c>
      <c r="C13083" s="1" t="str">
        <f>HYPERLINK("http://www.genecards.org/cgi-bin/carddisp.pl?gene=EFHA1","GeneCards")</f>
        <v>GeneCards</v>
      </c>
      <c r="D13083" s="1" t="str">
        <f>HYPERLINK("http://genome-euro.ucsc.edu/cgi-bin/hgTracks?position=212410_at","UCSC")</f>
        <v>UCSC</v>
      </c>
      <c r="E13083" s="1" t="str">
        <f>HYPERLINK("http://www.ncbi.nlm.nih.gov/gene/?term=EFHA1","NCBI")</f>
        <v>NCBI</v>
      </c>
      <c r="F13083">
        <v>0.42</v>
      </c>
      <c r="G13083">
        <v>0.55000000000000004</v>
      </c>
      <c r="H13083" s="1" t="str">
        <f>HYPERLINK("http://www.weizmann.ac.il/complex/compphys/software/geview/data/figures/212410_at.png","Figure")</f>
        <v>Figure</v>
      </c>
      <c r="I13083">
        <v>1.1499999999999999</v>
      </c>
      <c r="J13083">
        <v>0.85</v>
      </c>
      <c r="K13083">
        <v>0.84299999999999997</v>
      </c>
      <c r="L13083">
        <v>0.72</v>
      </c>
      <c r="M13083">
        <v>0.73499999999999999</v>
      </c>
      <c r="N13083">
        <v>0.41</v>
      </c>
    </row>
    <row r="13084" spans="1:14" x14ac:dyDescent="0.25">
      <c r="A13084" t="s">
        <v>22396</v>
      </c>
      <c r="B13084" t="s">
        <v>22397</v>
      </c>
      <c r="C13084" s="1" t="str">
        <f>HYPERLINK("http://www.genecards.org/cgi-bin/carddisp.pl?gene=MTSS1L","GeneCards")</f>
        <v>GeneCards</v>
      </c>
      <c r="D13084" s="1" t="str">
        <f>HYPERLINK("http://genome-euro.ucsc.edu/cgi-bin/hgTracks?position=213978_at","UCSC")</f>
        <v>UCSC</v>
      </c>
      <c r="E13084" s="1" t="str">
        <f>HYPERLINK("http://www.ncbi.nlm.nih.gov/gene/?term=MTSS1L","NCBI")</f>
        <v>NCBI</v>
      </c>
      <c r="F13084">
        <v>0.42</v>
      </c>
      <c r="G13084">
        <v>0.55000000000000004</v>
      </c>
      <c r="H13084" s="1" t="str">
        <f>HYPERLINK("http://www.weizmann.ac.il/complex/compphys/software/geview/data/figures/213978_at.png","Figure")</f>
        <v>Figure</v>
      </c>
      <c r="I13084">
        <v>1.07</v>
      </c>
      <c r="J13084">
        <v>0.47</v>
      </c>
      <c r="K13084">
        <v>1</v>
      </c>
      <c r="L13084">
        <v>1</v>
      </c>
      <c r="M13084">
        <v>0.93500000000000005</v>
      </c>
      <c r="N13084">
        <v>0.46</v>
      </c>
    </row>
    <row r="13085" spans="1:14" x14ac:dyDescent="0.25">
      <c r="A13085" t="s">
        <v>22398</v>
      </c>
      <c r="B13085" t="s">
        <v>22399</v>
      </c>
      <c r="C13085" s="1" t="str">
        <f>HYPERLINK("http://www.genecards.org/cgi-bin/carddisp.pl?gene=GDF9","GeneCards")</f>
        <v>GeneCards</v>
      </c>
      <c r="D13085" s="1" t="str">
        <f>HYPERLINK("http://genome-euro.ucsc.edu/cgi-bin/hgTracks?position=221314_at","UCSC")</f>
        <v>UCSC</v>
      </c>
      <c r="E13085" s="1" t="str">
        <f>HYPERLINK("http://www.ncbi.nlm.nih.gov/gene/?term=GDF9","NCBI")</f>
        <v>NCBI</v>
      </c>
      <c r="F13085">
        <v>0.42</v>
      </c>
      <c r="G13085">
        <v>0.55000000000000004</v>
      </c>
      <c r="H13085" s="1" t="str">
        <f>HYPERLINK("http://www.weizmann.ac.il/complex/compphys/software/geview/data/figures/221314_at.png","Figure")</f>
        <v>Figure</v>
      </c>
      <c r="I13085">
        <v>1.05</v>
      </c>
      <c r="J13085">
        <v>0.73</v>
      </c>
      <c r="K13085">
        <v>0.97</v>
      </c>
      <c r="L13085">
        <v>0.83</v>
      </c>
      <c r="M13085">
        <v>0.92700000000000005</v>
      </c>
      <c r="N13085">
        <v>0.39</v>
      </c>
    </row>
    <row r="13086" spans="1:14" x14ac:dyDescent="0.25">
      <c r="A13086" t="s">
        <v>22400</v>
      </c>
      <c r="B13086" t="s">
        <v>13010</v>
      </c>
      <c r="C13086" s="1" t="str">
        <f>HYPERLINK("http://www.genecards.org/cgi-bin/carddisp.pl?gene=NCOA1","GeneCards")</f>
        <v>GeneCards</v>
      </c>
      <c r="D13086" s="1" t="str">
        <f>HYPERLINK("http://genome-euro.ucsc.edu/cgi-bin/hgTracks?position=209107_x_at","UCSC")</f>
        <v>UCSC</v>
      </c>
      <c r="E13086" s="1" t="str">
        <f>HYPERLINK("http://www.ncbi.nlm.nih.gov/gene/?term=NCOA1","NCBI")</f>
        <v>NCBI</v>
      </c>
      <c r="F13086">
        <v>0.42</v>
      </c>
      <c r="G13086">
        <v>0.55000000000000004</v>
      </c>
      <c r="H13086" s="1" t="str">
        <f>HYPERLINK("http://www.weizmann.ac.il/complex/compphys/software/geview/data/figures/209107_x_at.png","Figure")</f>
        <v>Figure</v>
      </c>
      <c r="I13086">
        <v>1.1000000000000001</v>
      </c>
      <c r="J13086">
        <v>0.69</v>
      </c>
      <c r="K13086">
        <v>0.95399999999999996</v>
      </c>
      <c r="L13086">
        <v>0.88</v>
      </c>
      <c r="M13086">
        <v>0.86899999999999999</v>
      </c>
      <c r="N13086">
        <v>0.39</v>
      </c>
    </row>
    <row r="13087" spans="1:14" x14ac:dyDescent="0.25">
      <c r="A13087" t="s">
        <v>22401</v>
      </c>
      <c r="B13087" t="s">
        <v>22402</v>
      </c>
      <c r="C13087" s="1" t="str">
        <f>HYPERLINK("http://www.genecards.org/cgi-bin/carddisp.pl?gene=PHKB","GeneCards")</f>
        <v>GeneCards</v>
      </c>
      <c r="D13087" s="1" t="str">
        <f>HYPERLINK("http://genome-euro.ucsc.edu/cgi-bin/hgTracks?position=202739_s_at","UCSC")</f>
        <v>UCSC</v>
      </c>
      <c r="E13087" s="1" t="str">
        <f>HYPERLINK("http://www.ncbi.nlm.nih.gov/gene/?term=PHKB","NCBI")</f>
        <v>NCBI</v>
      </c>
      <c r="F13087">
        <v>0.42</v>
      </c>
      <c r="G13087">
        <v>0.55000000000000004</v>
      </c>
      <c r="H13087" s="1" t="str">
        <f>HYPERLINK("http://www.weizmann.ac.il/complex/compphys/software/geview/data/figures/202739_s_at.png","Figure")</f>
        <v>Figure</v>
      </c>
      <c r="I13087">
        <v>0.63300000000000001</v>
      </c>
      <c r="J13087">
        <v>0.4</v>
      </c>
      <c r="K13087">
        <v>0.85599999999999998</v>
      </c>
      <c r="L13087">
        <v>0.86</v>
      </c>
      <c r="M13087">
        <v>1.35</v>
      </c>
      <c r="N13087">
        <v>0.62</v>
      </c>
    </row>
    <row r="13088" spans="1:14" x14ac:dyDescent="0.25">
      <c r="A13088" t="s">
        <v>22403</v>
      </c>
      <c r="B13088" t="s">
        <v>17945</v>
      </c>
      <c r="C13088" s="1" t="str">
        <f>HYPERLINK("http://www.genecards.org/cgi-bin/carddisp.pl?gene=CTSS","GeneCards")</f>
        <v>GeneCards</v>
      </c>
      <c r="D13088" s="1" t="str">
        <f>HYPERLINK("http://genome-euro.ucsc.edu/cgi-bin/hgTracks?position=202902_s_at","UCSC")</f>
        <v>UCSC</v>
      </c>
      <c r="E13088" s="1" t="str">
        <f>HYPERLINK("http://www.ncbi.nlm.nih.gov/gene/?term=CTSS","NCBI")</f>
        <v>NCBI</v>
      </c>
      <c r="F13088">
        <v>0.42</v>
      </c>
      <c r="G13088">
        <v>0.55000000000000004</v>
      </c>
      <c r="H13088" s="1" t="str">
        <f>HYPERLINK("http://www.weizmann.ac.il/complex/compphys/software/geview/data/figures/202902_s_at.png","Figure")</f>
        <v>Figure</v>
      </c>
      <c r="I13088">
        <v>0.98199999999999998</v>
      </c>
      <c r="J13088">
        <v>0.99</v>
      </c>
      <c r="K13088">
        <v>0.86899999999999999</v>
      </c>
      <c r="L13088">
        <v>0.46</v>
      </c>
      <c r="M13088">
        <v>0.88500000000000001</v>
      </c>
      <c r="N13088">
        <v>0.59</v>
      </c>
    </row>
    <row r="13089" spans="1:14" x14ac:dyDescent="0.25">
      <c r="A13089" t="s">
        <v>22404</v>
      </c>
      <c r="B13089" t="s">
        <v>3912</v>
      </c>
      <c r="C13089" s="1" t="str">
        <f>HYPERLINK("http://www.genecards.org/cgi-bin/carddisp.pl?gene=RNF8","GeneCards")</f>
        <v>GeneCards</v>
      </c>
      <c r="D13089" s="1" t="str">
        <f>HYPERLINK("http://genome-euro.ucsc.edu/cgi-bin/hgTracks?position=203161_s_at","UCSC")</f>
        <v>UCSC</v>
      </c>
      <c r="E13089" s="1" t="str">
        <f>HYPERLINK("http://www.ncbi.nlm.nih.gov/gene/?term=RNF8","NCBI")</f>
        <v>NCBI</v>
      </c>
      <c r="F13089">
        <v>0.42</v>
      </c>
      <c r="G13089">
        <v>0.55000000000000004</v>
      </c>
      <c r="H13089" s="1" t="str">
        <f>HYPERLINK("http://www.weizmann.ac.il/complex/compphys/software/geview/data/figures/203161_s_at.png","Figure")</f>
        <v>Figure</v>
      </c>
      <c r="I13089">
        <v>0.93300000000000005</v>
      </c>
      <c r="J13089">
        <v>0.46</v>
      </c>
      <c r="K13089">
        <v>0.94699999999999995</v>
      </c>
      <c r="L13089">
        <v>0.52</v>
      </c>
      <c r="M13089">
        <v>1.01</v>
      </c>
      <c r="N13089">
        <v>0.96</v>
      </c>
    </row>
    <row r="13090" spans="1:14" x14ac:dyDescent="0.25">
      <c r="A13090" t="s">
        <v>22405</v>
      </c>
      <c r="B13090" t="s">
        <v>20915</v>
      </c>
      <c r="C13090" s="1" t="str">
        <f>HYPERLINK("http://www.genecards.org/cgi-bin/carddisp.pl?gene=HLA-DRB4","GeneCards")</f>
        <v>GeneCards</v>
      </c>
      <c r="D13090" s="1" t="str">
        <f>HYPERLINK("http://genome-euro.ucsc.edu/cgi-bin/hgTracks?position=215669_at","UCSC")</f>
        <v>UCSC</v>
      </c>
      <c r="E13090" s="1" t="str">
        <f>HYPERLINK("http://www.ncbi.nlm.nih.gov/gene/?term=HLA-DRB4","NCBI")</f>
        <v>NCBI</v>
      </c>
      <c r="F13090">
        <v>0.42</v>
      </c>
      <c r="G13090">
        <v>0.55000000000000004</v>
      </c>
      <c r="H13090" s="1" t="str">
        <f>HYPERLINK("http://www.weizmann.ac.il/complex/compphys/software/geview/data/figures/215669_at.png","Figure")</f>
        <v>Figure</v>
      </c>
      <c r="I13090">
        <v>1.03</v>
      </c>
      <c r="J13090">
        <v>0.97</v>
      </c>
      <c r="K13090">
        <v>0.88600000000000001</v>
      </c>
      <c r="L13090">
        <v>0.57999999999999996</v>
      </c>
      <c r="M13090">
        <v>0.85599999999999998</v>
      </c>
      <c r="N13090">
        <v>0.46</v>
      </c>
    </row>
    <row r="13091" spans="1:14" x14ac:dyDescent="0.25">
      <c r="A13091" t="s">
        <v>22406</v>
      </c>
      <c r="B13091" t="s">
        <v>22407</v>
      </c>
      <c r="C13091" s="1" t="str">
        <f>HYPERLINK("http://www.genecards.org/cgi-bin/carddisp.pl?gene=ADRB2","GeneCards")</f>
        <v>GeneCards</v>
      </c>
      <c r="D13091" s="1" t="str">
        <f>HYPERLINK("http://genome-euro.ucsc.edu/cgi-bin/hgTracks?position=206170_at","UCSC")</f>
        <v>UCSC</v>
      </c>
      <c r="E13091" s="1" t="str">
        <f>HYPERLINK("http://www.ncbi.nlm.nih.gov/gene/?term=ADRB2","NCBI")</f>
        <v>NCBI</v>
      </c>
      <c r="F13091">
        <v>0.42</v>
      </c>
      <c r="G13091">
        <v>0.55000000000000004</v>
      </c>
      <c r="H13091" s="1" t="str">
        <f>HYPERLINK("http://www.weizmann.ac.il/complex/compphys/software/geview/data/figures/206170_at.png","Figure")</f>
        <v>Figure</v>
      </c>
      <c r="I13091">
        <v>1.18</v>
      </c>
      <c r="J13091">
        <v>0.41</v>
      </c>
      <c r="K13091">
        <v>1.05</v>
      </c>
      <c r="L13091">
        <v>0.91</v>
      </c>
      <c r="M13091">
        <v>0.88400000000000001</v>
      </c>
      <c r="N13091">
        <v>0.56999999999999995</v>
      </c>
    </row>
    <row r="13092" spans="1:14" x14ac:dyDescent="0.25">
      <c r="A13092" t="s">
        <v>22408</v>
      </c>
      <c r="B13092" t="s">
        <v>22409</v>
      </c>
      <c r="C13092" s="1" t="str">
        <f>HYPERLINK("http://www.genecards.org/cgi-bin/carddisp.pl?gene=ERCC8","GeneCards")</f>
        <v>GeneCards</v>
      </c>
      <c r="D13092" s="1" t="str">
        <f>HYPERLINK("http://genome-euro.ucsc.edu/cgi-bin/hgTracks?position=205162_at","UCSC")</f>
        <v>UCSC</v>
      </c>
      <c r="E13092" s="1" t="str">
        <f>HYPERLINK("http://www.ncbi.nlm.nih.gov/gene/?term=ERCC8","NCBI")</f>
        <v>NCBI</v>
      </c>
      <c r="F13092">
        <v>0.42</v>
      </c>
      <c r="G13092">
        <v>0.55000000000000004</v>
      </c>
      <c r="H13092" s="1" t="str">
        <f>HYPERLINK("http://www.weizmann.ac.il/complex/compphys/software/geview/data/figures/205162_at.png","Figure")</f>
        <v>Figure</v>
      </c>
      <c r="I13092">
        <v>0.92</v>
      </c>
      <c r="J13092">
        <v>0.72</v>
      </c>
      <c r="K13092">
        <v>1.05</v>
      </c>
      <c r="L13092">
        <v>0.84</v>
      </c>
      <c r="M13092">
        <v>1.1499999999999999</v>
      </c>
      <c r="N13092">
        <v>0.39</v>
      </c>
    </row>
    <row r="13093" spans="1:14" x14ac:dyDescent="0.25">
      <c r="A13093" t="s">
        <v>22410</v>
      </c>
      <c r="B13093" t="s">
        <v>5872</v>
      </c>
      <c r="C13093" s="1" t="str">
        <f>HYPERLINK("http://www.genecards.org/cgi-bin/carddisp.pl?gene=SET","GeneCards")</f>
        <v>GeneCards</v>
      </c>
      <c r="D13093" s="1" t="str">
        <f>HYPERLINK("http://genome-euro.ucsc.edu/cgi-bin/hgTracks?position=213047_x_at","UCSC")</f>
        <v>UCSC</v>
      </c>
      <c r="E13093" s="1" t="str">
        <f>HYPERLINK("http://www.ncbi.nlm.nih.gov/gene/?term=SET","NCBI")</f>
        <v>NCBI</v>
      </c>
      <c r="F13093">
        <v>0.42</v>
      </c>
      <c r="G13093">
        <v>0.55000000000000004</v>
      </c>
      <c r="H13093" s="1" t="str">
        <f>HYPERLINK("http://www.weizmann.ac.il/complex/compphys/software/geview/data/figures/213047_x_at.png","Figure")</f>
        <v>Figure</v>
      </c>
      <c r="I13093">
        <v>1.1200000000000001</v>
      </c>
      <c r="J13093">
        <v>0.89</v>
      </c>
      <c r="K13093">
        <v>1.33</v>
      </c>
      <c r="L13093">
        <v>0.4</v>
      </c>
      <c r="M13093">
        <v>1.19</v>
      </c>
      <c r="N13093">
        <v>0.74</v>
      </c>
    </row>
    <row r="13094" spans="1:14" x14ac:dyDescent="0.25">
      <c r="A13094" t="s">
        <v>22411</v>
      </c>
      <c r="B13094" t="s">
        <v>7862</v>
      </c>
      <c r="C13094" s="1" t="str">
        <f>HYPERLINK("http://www.genecards.org/cgi-bin/carddisp.pl?gene=TCTN3","GeneCards")</f>
        <v>GeneCards</v>
      </c>
      <c r="D13094" s="1" t="str">
        <f>HYPERLINK("http://genome-euro.ucsc.edu/cgi-bin/hgTracks?position=212123_at","UCSC")</f>
        <v>UCSC</v>
      </c>
      <c r="E13094" s="1" t="str">
        <f>HYPERLINK("http://www.ncbi.nlm.nih.gov/gene/?term=TCTN3","NCBI")</f>
        <v>NCBI</v>
      </c>
      <c r="F13094">
        <v>0.42</v>
      </c>
      <c r="G13094">
        <v>0.55000000000000004</v>
      </c>
      <c r="H13094" s="1" t="str">
        <f>HYPERLINK("http://www.weizmann.ac.il/complex/compphys/software/geview/data/figures/212123_at.png","Figure")</f>
        <v>Figure</v>
      </c>
      <c r="I13094">
        <v>1.1000000000000001</v>
      </c>
      <c r="J13094">
        <v>0.73</v>
      </c>
      <c r="K13094">
        <v>1.1499999999999999</v>
      </c>
      <c r="L13094">
        <v>0.39</v>
      </c>
      <c r="M13094">
        <v>1.05</v>
      </c>
      <c r="N13094">
        <v>0.9</v>
      </c>
    </row>
    <row r="13095" spans="1:14" x14ac:dyDescent="0.25">
      <c r="A13095" t="s">
        <v>22412</v>
      </c>
      <c r="B13095" t="s">
        <v>8370</v>
      </c>
      <c r="C13095" s="1" t="str">
        <f>HYPERLINK("http://www.genecards.org/cgi-bin/carddisp.pl?gene=CAND1","GeneCards")</f>
        <v>GeneCards</v>
      </c>
      <c r="D13095" s="1" t="str">
        <f>HYPERLINK("http://genome-euro.ucsc.edu/cgi-bin/hgTracks?position=208839_s_at","UCSC")</f>
        <v>UCSC</v>
      </c>
      <c r="E13095" s="1" t="str">
        <f>HYPERLINK("http://www.ncbi.nlm.nih.gov/gene/?term=CAND1","NCBI")</f>
        <v>NCBI</v>
      </c>
      <c r="F13095">
        <v>0.42</v>
      </c>
      <c r="G13095">
        <v>0.55000000000000004</v>
      </c>
      <c r="H13095" s="1" t="str">
        <f>HYPERLINK("http://www.weizmann.ac.il/complex/compphys/software/geview/data/figures/208839_s_at.png","Figure")</f>
        <v>Figure</v>
      </c>
      <c r="I13095">
        <v>0.77700000000000002</v>
      </c>
      <c r="J13095">
        <v>0.39</v>
      </c>
      <c r="K13095">
        <v>0.879</v>
      </c>
      <c r="L13095">
        <v>0.72</v>
      </c>
      <c r="M13095">
        <v>1.1299999999999999</v>
      </c>
      <c r="N13095">
        <v>0.76</v>
      </c>
    </row>
    <row r="13096" spans="1:14" x14ac:dyDescent="0.25">
      <c r="A13096" t="s">
        <v>22413</v>
      </c>
      <c r="B13096" t="s">
        <v>4016</v>
      </c>
      <c r="C13096" s="1" t="str">
        <f>HYPERLINK("http://www.genecards.org/cgi-bin/carddisp.pl?gene=CYLD","GeneCards")</f>
        <v>GeneCards</v>
      </c>
      <c r="D13096" s="1" t="str">
        <f>HYPERLINK("http://genome-euro.ucsc.edu/cgi-bin/hgTracks?position=39582_at","UCSC")</f>
        <v>UCSC</v>
      </c>
      <c r="E13096" s="1" t="str">
        <f>HYPERLINK("http://www.ncbi.nlm.nih.gov/gene/?term=CYLD","NCBI")</f>
        <v>NCBI</v>
      </c>
      <c r="F13096">
        <v>0.42</v>
      </c>
      <c r="G13096">
        <v>0.55000000000000004</v>
      </c>
      <c r="H13096" s="1" t="str">
        <f>HYPERLINK("http://www.weizmann.ac.il/complex/compphys/software/geview/data/figures/39582_at.png","Figure")</f>
        <v>Figure</v>
      </c>
      <c r="I13096">
        <v>0.77800000000000002</v>
      </c>
      <c r="J13096">
        <v>0.49</v>
      </c>
      <c r="K13096">
        <v>0.80100000000000005</v>
      </c>
      <c r="L13096">
        <v>0.48</v>
      </c>
      <c r="M13096">
        <v>1.03</v>
      </c>
      <c r="N13096">
        <v>0.99</v>
      </c>
    </row>
    <row r="13097" spans="1:14" x14ac:dyDescent="0.25">
      <c r="A13097" t="s">
        <v>22414</v>
      </c>
      <c r="B13097" t="s">
        <v>22415</v>
      </c>
      <c r="C13097" s="1" t="str">
        <f>HYPERLINK("http://www.genecards.org/cgi-bin/carddisp.pl?gene=LUC7L3","GeneCards")</f>
        <v>GeneCards</v>
      </c>
      <c r="D13097" s="1" t="str">
        <f>HYPERLINK("http://genome-euro.ucsc.edu/cgi-bin/hgTracks?position=203804_s_at","UCSC")</f>
        <v>UCSC</v>
      </c>
      <c r="E13097" s="1" t="str">
        <f>HYPERLINK("http://www.ncbi.nlm.nih.gov/gene/?term=LUC7L3","NCBI")</f>
        <v>NCBI</v>
      </c>
      <c r="F13097">
        <v>0.42</v>
      </c>
      <c r="G13097">
        <v>0.55000000000000004</v>
      </c>
      <c r="H13097" s="1" t="str">
        <f>HYPERLINK("http://www.weizmann.ac.il/complex/compphys/software/geview/data/figures/203804_s_at.png","Figure")</f>
        <v>Figure</v>
      </c>
      <c r="I13097">
        <v>0.68200000000000005</v>
      </c>
      <c r="J13097">
        <v>0.42</v>
      </c>
      <c r="K13097">
        <v>0.77700000000000002</v>
      </c>
      <c r="L13097">
        <v>0.6</v>
      </c>
      <c r="M13097">
        <v>1.1399999999999999</v>
      </c>
      <c r="N13097">
        <v>0.88</v>
      </c>
    </row>
    <row r="13098" spans="1:14" x14ac:dyDescent="0.25">
      <c r="A13098" t="s">
        <v>22416</v>
      </c>
      <c r="B13098" t="s">
        <v>17914</v>
      </c>
      <c r="C13098" s="1" t="str">
        <f>HYPERLINK("http://www.genecards.org/cgi-bin/carddisp.pl?gene=RPL17","GeneCards")</f>
        <v>GeneCards</v>
      </c>
      <c r="D13098" s="1" t="str">
        <f>HYPERLINK("http://genome-euro.ucsc.edu/cgi-bin/hgTracks?position=212537_x_at","UCSC")</f>
        <v>UCSC</v>
      </c>
      <c r="E13098" s="1" t="str">
        <f>HYPERLINK("http://www.ncbi.nlm.nih.gov/gene/?term=RPL17","NCBI")</f>
        <v>NCBI</v>
      </c>
      <c r="F13098">
        <v>0.42</v>
      </c>
      <c r="G13098">
        <v>0.55000000000000004</v>
      </c>
      <c r="H13098" s="1" t="str">
        <f>HYPERLINK("http://www.weizmann.ac.il/complex/compphys/software/geview/data/figures/212537_x_at.png","Figure")</f>
        <v>Figure</v>
      </c>
      <c r="I13098">
        <v>0.77100000000000002</v>
      </c>
      <c r="J13098">
        <v>0.41</v>
      </c>
      <c r="K13098">
        <v>0.93300000000000005</v>
      </c>
      <c r="L13098">
        <v>0.91</v>
      </c>
      <c r="M13098">
        <v>1.21</v>
      </c>
      <c r="N13098">
        <v>0.56999999999999995</v>
      </c>
    </row>
    <row r="13099" spans="1:14" x14ac:dyDescent="0.25">
      <c r="A13099" t="s">
        <v>22417</v>
      </c>
      <c r="B13099" t="s">
        <v>22418</v>
      </c>
      <c r="C13099" s="1" t="str">
        <f>HYPERLINK("http://www.genecards.org/cgi-bin/carddisp.pl?gene=AIM1","GeneCards")</f>
        <v>GeneCards</v>
      </c>
      <c r="D13099" s="1" t="str">
        <f>HYPERLINK("http://genome-euro.ucsc.edu/cgi-bin/hgTracks?position=212543_at","UCSC")</f>
        <v>UCSC</v>
      </c>
      <c r="E13099" s="1" t="str">
        <f>HYPERLINK("http://www.ncbi.nlm.nih.gov/gene/?term=AIM1","NCBI")</f>
        <v>NCBI</v>
      </c>
      <c r="F13099">
        <v>0.42</v>
      </c>
      <c r="G13099">
        <v>0.55000000000000004</v>
      </c>
      <c r="H13099" s="1" t="str">
        <f>HYPERLINK("http://www.weizmann.ac.il/complex/compphys/software/geview/data/figures/212543_at.png","Figure")</f>
        <v>Figure</v>
      </c>
      <c r="I13099">
        <v>0.622</v>
      </c>
      <c r="J13099">
        <v>0.4</v>
      </c>
      <c r="K13099">
        <v>0.85799999999999998</v>
      </c>
      <c r="L13099">
        <v>0.87</v>
      </c>
      <c r="M13099">
        <v>1.38</v>
      </c>
      <c r="N13099">
        <v>0.61</v>
      </c>
    </row>
    <row r="13100" spans="1:14" x14ac:dyDescent="0.25">
      <c r="A13100" t="s">
        <v>22419</v>
      </c>
      <c r="B13100" t="s">
        <v>18448</v>
      </c>
      <c r="C13100" s="1" t="str">
        <f>HYPERLINK("http://www.genecards.org/cgi-bin/carddisp.pl?gene=SEC14L1","GeneCards")</f>
        <v>GeneCards</v>
      </c>
      <c r="D13100" s="1" t="str">
        <f>HYPERLINK("http://genome-euro.ucsc.edu/cgi-bin/hgTracks?position=202083_s_at","UCSC")</f>
        <v>UCSC</v>
      </c>
      <c r="E13100" s="1" t="str">
        <f>HYPERLINK("http://www.ncbi.nlm.nih.gov/gene/?term=SEC14L1","NCBI")</f>
        <v>NCBI</v>
      </c>
      <c r="F13100">
        <v>0.42</v>
      </c>
      <c r="G13100">
        <v>0.55000000000000004</v>
      </c>
      <c r="H13100" s="1" t="str">
        <f>HYPERLINK("http://www.weizmann.ac.il/complex/compphys/software/geview/data/figures/202083_s_at.png","Figure")</f>
        <v>Figure</v>
      </c>
      <c r="I13100">
        <v>0.97399999999999998</v>
      </c>
      <c r="J13100">
        <v>0.94</v>
      </c>
      <c r="K13100">
        <v>1.07</v>
      </c>
      <c r="L13100">
        <v>0.62</v>
      </c>
      <c r="M13100">
        <v>1.0900000000000001</v>
      </c>
      <c r="N13100">
        <v>0.44</v>
      </c>
    </row>
    <row r="13101" spans="1:14" x14ac:dyDescent="0.25">
      <c r="A13101" t="s">
        <v>22420</v>
      </c>
      <c r="B13101" t="s">
        <v>21185</v>
      </c>
      <c r="C13101" s="1" t="str">
        <f>HYPERLINK("http://www.genecards.org/cgi-bin/carddisp.pl?gene=SENP3","GeneCards")</f>
        <v>GeneCards</v>
      </c>
      <c r="D13101" s="1" t="str">
        <f>HYPERLINK("http://genome-euro.ucsc.edu/cgi-bin/hgTracks?position=203871_at","UCSC")</f>
        <v>UCSC</v>
      </c>
      <c r="E13101" s="1" t="str">
        <f>HYPERLINK("http://www.ncbi.nlm.nih.gov/gene/?term=SENP3","NCBI")</f>
        <v>NCBI</v>
      </c>
      <c r="F13101">
        <v>0.42</v>
      </c>
      <c r="G13101">
        <v>0.55000000000000004</v>
      </c>
      <c r="H13101" s="1" t="str">
        <f>HYPERLINK("http://www.weizmann.ac.il/complex/compphys/software/geview/data/figures/203871_at.png","Figure")</f>
        <v>Figure</v>
      </c>
      <c r="I13101">
        <v>0.93</v>
      </c>
      <c r="J13101">
        <v>0.59</v>
      </c>
      <c r="K13101">
        <v>1.02</v>
      </c>
      <c r="L13101">
        <v>0.96</v>
      </c>
      <c r="M13101">
        <v>1.1000000000000001</v>
      </c>
      <c r="N13101">
        <v>0.4</v>
      </c>
    </row>
    <row r="13102" spans="1:14" x14ac:dyDescent="0.25">
      <c r="A13102" t="s">
        <v>22421</v>
      </c>
      <c r="B13102" t="s">
        <v>22422</v>
      </c>
      <c r="C13102" s="1" t="str">
        <f>HYPERLINK("http://www.genecards.org/cgi-bin/carddisp.pl?gene=CYP2A7","GeneCards")</f>
        <v>GeneCards</v>
      </c>
      <c r="D13102" s="1" t="str">
        <f>HYPERLINK("http://genome-euro.ucsc.edu/cgi-bin/hgTracks?position=207718_x_at","UCSC")</f>
        <v>UCSC</v>
      </c>
      <c r="E13102" s="1" t="str">
        <f>HYPERLINK("http://www.ncbi.nlm.nih.gov/gene/?term=CYP2A7","NCBI")</f>
        <v>NCBI</v>
      </c>
      <c r="F13102">
        <v>0.42</v>
      </c>
      <c r="G13102">
        <v>0.55000000000000004</v>
      </c>
      <c r="H13102" s="1" t="str">
        <f>HYPERLINK("http://www.weizmann.ac.il/complex/compphys/software/geview/data/figures/207718_x_at.png","Figure")</f>
        <v>Figure</v>
      </c>
      <c r="I13102">
        <v>1.05</v>
      </c>
      <c r="J13102">
        <v>0.84</v>
      </c>
      <c r="K13102">
        <v>0.94</v>
      </c>
      <c r="L13102">
        <v>0.73</v>
      </c>
      <c r="M13102">
        <v>0.89100000000000001</v>
      </c>
      <c r="N13102">
        <v>0.4</v>
      </c>
    </row>
    <row r="13103" spans="1:14" x14ac:dyDescent="0.25">
      <c r="A13103" t="s">
        <v>22423</v>
      </c>
      <c r="B13103" t="s">
        <v>5860</v>
      </c>
      <c r="C13103" s="1" t="str">
        <f>HYPERLINK("http://www.genecards.org/cgi-bin/carddisp.pl?gene=AQP1 /// INMT","GeneCards")</f>
        <v>GeneCards</v>
      </c>
      <c r="D13103" s="1" t="str">
        <f>HYPERLINK("http://genome-euro.ucsc.edu/cgi-bin/hgTracks?position=207542_s_at","UCSC")</f>
        <v>UCSC</v>
      </c>
      <c r="E13103" s="1" t="str">
        <f>HYPERLINK("http://www.ncbi.nlm.nih.gov/gene/?term=AQP1 /// INMT","NCBI")</f>
        <v>NCBI</v>
      </c>
      <c r="F13103">
        <v>0.42</v>
      </c>
      <c r="G13103">
        <v>0.55000000000000004</v>
      </c>
      <c r="H13103" s="1" t="str">
        <f>HYPERLINK("http://www.weizmann.ac.il/complex/compphys/software/geview/data/figures/207542_s_at.png","Figure")</f>
        <v>Figure</v>
      </c>
      <c r="I13103">
        <v>1.03</v>
      </c>
      <c r="J13103">
        <v>0.62</v>
      </c>
      <c r="K13103">
        <v>0.99199999999999999</v>
      </c>
      <c r="L13103">
        <v>0.94</v>
      </c>
      <c r="M13103">
        <v>0.96599999999999997</v>
      </c>
      <c r="N13103">
        <v>0.4</v>
      </c>
    </row>
    <row r="13104" spans="1:14" x14ac:dyDescent="0.25">
      <c r="A13104" t="s">
        <v>22424</v>
      </c>
      <c r="B13104" t="s">
        <v>22425</v>
      </c>
      <c r="C13104" s="1" t="str">
        <f>HYPERLINK("http://www.genecards.org/cgi-bin/carddisp.pl?gene=TMEM158","GeneCards")</f>
        <v>GeneCards</v>
      </c>
      <c r="D13104" s="1" t="str">
        <f>HYPERLINK("http://genome-euro.ucsc.edu/cgi-bin/hgTracks?position=213338_at","UCSC")</f>
        <v>UCSC</v>
      </c>
      <c r="E13104" s="1" t="str">
        <f>HYPERLINK("http://www.ncbi.nlm.nih.gov/gene/?term=TMEM158","NCBI")</f>
        <v>NCBI</v>
      </c>
      <c r="F13104">
        <v>0.42</v>
      </c>
      <c r="G13104">
        <v>0.55000000000000004</v>
      </c>
      <c r="H13104" s="1" t="str">
        <f>HYPERLINK("http://www.weizmann.ac.il/complex/compphys/software/geview/data/figures/213338_at.png","Figure")</f>
        <v>Figure</v>
      </c>
      <c r="I13104">
        <v>0.90400000000000003</v>
      </c>
      <c r="J13104">
        <v>0.78</v>
      </c>
      <c r="K13104">
        <v>0.84099999999999997</v>
      </c>
      <c r="L13104">
        <v>0.39</v>
      </c>
      <c r="M13104">
        <v>0.93</v>
      </c>
      <c r="N13104">
        <v>0.86</v>
      </c>
    </row>
    <row r="13105" spans="1:14" x14ac:dyDescent="0.25">
      <c r="A13105" t="s">
        <v>22426</v>
      </c>
      <c r="B13105" t="s">
        <v>22427</v>
      </c>
      <c r="C13105" s="1" t="str">
        <f>HYPERLINK("http://www.genecards.org/cgi-bin/carddisp.pl?gene=COX10","GeneCards")</f>
        <v>GeneCards</v>
      </c>
      <c r="D13105" s="1" t="str">
        <f>HYPERLINK("http://genome-euro.ucsc.edu/cgi-bin/hgTracks?position=216003_at","UCSC")</f>
        <v>UCSC</v>
      </c>
      <c r="E13105" s="1" t="str">
        <f>HYPERLINK("http://www.ncbi.nlm.nih.gov/gene/?term=COX10","NCBI")</f>
        <v>NCBI</v>
      </c>
      <c r="F13105">
        <v>0.42</v>
      </c>
      <c r="G13105">
        <v>0.55000000000000004</v>
      </c>
      <c r="H13105" s="1" t="str">
        <f>HYPERLINK("http://www.weizmann.ac.il/complex/compphys/software/geview/data/figures/216003_at.png","Figure")</f>
        <v>Figure</v>
      </c>
      <c r="I13105">
        <v>1</v>
      </c>
      <c r="J13105">
        <v>1</v>
      </c>
      <c r="K13105">
        <v>0.92300000000000004</v>
      </c>
      <c r="L13105">
        <v>0.49</v>
      </c>
      <c r="M13105">
        <v>0.92300000000000004</v>
      </c>
      <c r="N13105">
        <v>0.54</v>
      </c>
    </row>
    <row r="13106" spans="1:14" x14ac:dyDescent="0.25">
      <c r="A13106" t="s">
        <v>22428</v>
      </c>
      <c r="B13106" t="s">
        <v>22429</v>
      </c>
      <c r="C13106" s="1" t="str">
        <f>HYPERLINK("http://www.genecards.org/cgi-bin/carddisp.pl?gene=SEMA4A","GeneCards")</f>
        <v>GeneCards</v>
      </c>
      <c r="D13106" s="1" t="str">
        <f>HYPERLINK("http://genome-euro.ucsc.edu/cgi-bin/hgTracks?position=219259_at","UCSC")</f>
        <v>UCSC</v>
      </c>
      <c r="E13106" s="1" t="str">
        <f>HYPERLINK("http://www.ncbi.nlm.nih.gov/gene/?term=SEMA4A","NCBI")</f>
        <v>NCBI</v>
      </c>
      <c r="F13106">
        <v>0.42</v>
      </c>
      <c r="G13106">
        <v>0.55000000000000004</v>
      </c>
      <c r="H13106" s="1" t="str">
        <f>HYPERLINK("http://www.weizmann.ac.il/complex/compphys/software/geview/data/figures/219259_at.png","Figure")</f>
        <v>Figure</v>
      </c>
      <c r="I13106">
        <v>0.879</v>
      </c>
      <c r="J13106">
        <v>0.71</v>
      </c>
      <c r="K13106">
        <v>1.08</v>
      </c>
      <c r="L13106">
        <v>0.85</v>
      </c>
      <c r="M13106">
        <v>1.23</v>
      </c>
      <c r="N13106">
        <v>0.39</v>
      </c>
    </row>
    <row r="13107" spans="1:14" x14ac:dyDescent="0.25">
      <c r="A13107" t="s">
        <v>22430</v>
      </c>
      <c r="B13107" t="s">
        <v>22431</v>
      </c>
      <c r="C13107" s="1" t="str">
        <f>HYPERLINK("http://www.genecards.org/cgi-bin/carddisp.pl?gene=GML","GeneCards")</f>
        <v>GeneCards</v>
      </c>
      <c r="D13107" s="1" t="str">
        <f>HYPERLINK("http://genome-euro.ucsc.edu/cgi-bin/hgTracks?position=208000_at","UCSC")</f>
        <v>UCSC</v>
      </c>
      <c r="E13107" s="1" t="str">
        <f>HYPERLINK("http://www.ncbi.nlm.nih.gov/gene/?term=GML","NCBI")</f>
        <v>NCBI</v>
      </c>
      <c r="F13107">
        <v>0.42</v>
      </c>
      <c r="G13107">
        <v>0.55000000000000004</v>
      </c>
      <c r="H13107" s="1" t="str">
        <f>HYPERLINK("http://www.weizmann.ac.il/complex/compphys/software/geview/data/figures/208000_at.png","Figure")</f>
        <v>Figure</v>
      </c>
      <c r="I13107">
        <v>1.07</v>
      </c>
      <c r="J13107">
        <v>0.6</v>
      </c>
      <c r="K13107">
        <v>0.98299999999999998</v>
      </c>
      <c r="L13107">
        <v>0.95</v>
      </c>
      <c r="M13107">
        <v>0.92200000000000004</v>
      </c>
      <c r="N13107">
        <v>0.4</v>
      </c>
    </row>
    <row r="13108" spans="1:14" x14ac:dyDescent="0.25">
      <c r="A13108" t="s">
        <v>22432</v>
      </c>
      <c r="B13108" t="s">
        <v>22433</v>
      </c>
      <c r="C13108" s="1" t="str">
        <f>HYPERLINK("http://www.genecards.org/cgi-bin/carddisp.pl?gene=CHRNB1","GeneCards")</f>
        <v>GeneCards</v>
      </c>
      <c r="D13108" s="1" t="str">
        <f>HYPERLINK("http://genome-euro.ucsc.edu/cgi-bin/hgTracks?position=206703_at","UCSC")</f>
        <v>UCSC</v>
      </c>
      <c r="E13108" s="1" t="str">
        <f>HYPERLINK("http://www.ncbi.nlm.nih.gov/gene/?term=CHRNB1","NCBI")</f>
        <v>NCBI</v>
      </c>
      <c r="F13108">
        <v>0.42</v>
      </c>
      <c r="G13108">
        <v>0.55000000000000004</v>
      </c>
      <c r="H13108" s="1" t="str">
        <f>HYPERLINK("http://www.weizmann.ac.il/complex/compphys/software/geview/data/figures/206703_at.png","Figure")</f>
        <v>Figure</v>
      </c>
      <c r="I13108">
        <v>0.99199999999999999</v>
      </c>
      <c r="J13108">
        <v>0.96</v>
      </c>
      <c r="K13108">
        <v>1.02</v>
      </c>
      <c r="L13108">
        <v>0.59</v>
      </c>
      <c r="M13108">
        <v>1.03</v>
      </c>
      <c r="N13108">
        <v>0.46</v>
      </c>
    </row>
    <row r="13109" spans="1:14" x14ac:dyDescent="0.25">
      <c r="A13109" t="s">
        <v>22434</v>
      </c>
      <c r="B13109" t="s">
        <v>16990</v>
      </c>
      <c r="C13109" s="1" t="str">
        <f>HYPERLINK("http://www.genecards.org/cgi-bin/carddisp.pl?gene=RAPGEF5","GeneCards")</f>
        <v>GeneCards</v>
      </c>
      <c r="D13109" s="1" t="str">
        <f>HYPERLINK("http://genome-euro.ucsc.edu/cgi-bin/hgTracks?position=204680_s_at","UCSC")</f>
        <v>UCSC</v>
      </c>
      <c r="E13109" s="1" t="str">
        <f>HYPERLINK("http://www.ncbi.nlm.nih.gov/gene/?term=RAPGEF5","NCBI")</f>
        <v>NCBI</v>
      </c>
      <c r="F13109">
        <v>0.42</v>
      </c>
      <c r="G13109">
        <v>0.55000000000000004</v>
      </c>
      <c r="H13109" s="1" t="str">
        <f>HYPERLINK("http://www.weizmann.ac.il/complex/compphys/software/geview/data/figures/204680_s_at.png","Figure")</f>
        <v>Figure</v>
      </c>
      <c r="I13109">
        <v>1.27</v>
      </c>
      <c r="J13109">
        <v>0.55000000000000004</v>
      </c>
      <c r="K13109">
        <v>1.28</v>
      </c>
      <c r="L13109">
        <v>0.44</v>
      </c>
      <c r="M13109">
        <v>1.01</v>
      </c>
      <c r="N13109">
        <v>1</v>
      </c>
    </row>
    <row r="13110" spans="1:14" x14ac:dyDescent="0.25">
      <c r="A13110" t="s">
        <v>22435</v>
      </c>
      <c r="B13110" t="s">
        <v>22436</v>
      </c>
      <c r="C13110" s="1" t="str">
        <f>HYPERLINK("http://www.genecards.org/cgi-bin/carddisp.pl?gene=ANXA10","GeneCards")</f>
        <v>GeneCards</v>
      </c>
      <c r="D13110" s="1" t="str">
        <f>HYPERLINK("http://genome-euro.ucsc.edu/cgi-bin/hgTracks?position=210143_at","UCSC")</f>
        <v>UCSC</v>
      </c>
      <c r="E13110" s="1" t="str">
        <f>HYPERLINK("http://www.ncbi.nlm.nih.gov/gene/?term=ANXA10","NCBI")</f>
        <v>NCBI</v>
      </c>
      <c r="F13110">
        <v>0.42</v>
      </c>
      <c r="G13110">
        <v>0.55000000000000004</v>
      </c>
      <c r="H13110" s="1" t="str">
        <f>HYPERLINK("http://www.weizmann.ac.il/complex/compphys/software/geview/data/figures/210143_at.png","Figure")</f>
        <v>Figure</v>
      </c>
      <c r="I13110">
        <v>0.97399999999999998</v>
      </c>
      <c r="J13110">
        <v>0.88</v>
      </c>
      <c r="K13110">
        <v>0.94</v>
      </c>
      <c r="L13110">
        <v>0.4</v>
      </c>
      <c r="M13110">
        <v>0.96499999999999997</v>
      </c>
      <c r="N13110">
        <v>0.76</v>
      </c>
    </row>
    <row r="13111" spans="1:14" x14ac:dyDescent="0.25">
      <c r="A13111" t="s">
        <v>22437</v>
      </c>
      <c r="B13111" t="s">
        <v>22438</v>
      </c>
      <c r="C13111" s="1" t="str">
        <f>HYPERLINK("http://www.genecards.org/cgi-bin/carddisp.pl?gene=AVPR1A","GeneCards")</f>
        <v>GeneCards</v>
      </c>
      <c r="D13111" s="1" t="str">
        <f>HYPERLINK("http://genome-euro.ucsc.edu/cgi-bin/hgTracks?position=206252_s_at","UCSC")</f>
        <v>UCSC</v>
      </c>
      <c r="E13111" s="1" t="str">
        <f>HYPERLINK("http://www.ncbi.nlm.nih.gov/gene/?term=AVPR1A","NCBI")</f>
        <v>NCBI</v>
      </c>
      <c r="F13111">
        <v>0.42</v>
      </c>
      <c r="G13111">
        <v>0.55000000000000004</v>
      </c>
      <c r="H13111" s="1" t="str">
        <f>HYPERLINK("http://www.weizmann.ac.il/complex/compphys/software/geview/data/figures/206252_s_at.png","Figure")</f>
        <v>Figure</v>
      </c>
      <c r="I13111">
        <v>1.01</v>
      </c>
      <c r="J13111">
        <v>0.69</v>
      </c>
      <c r="K13111">
        <v>1.02</v>
      </c>
      <c r="L13111">
        <v>0.4</v>
      </c>
      <c r="M13111">
        <v>1.01</v>
      </c>
      <c r="N13111">
        <v>0.93</v>
      </c>
    </row>
    <row r="13112" spans="1:14" x14ac:dyDescent="0.25">
      <c r="A13112" t="s">
        <v>22439</v>
      </c>
      <c r="B13112" t="s">
        <v>22440</v>
      </c>
      <c r="C13112" s="1" t="str">
        <f>HYPERLINK("http://www.genecards.org/cgi-bin/carddisp.pl?gene=TAF2","GeneCards")</f>
        <v>GeneCards</v>
      </c>
      <c r="D13112" s="1" t="str">
        <f>HYPERLINK("http://genome-euro.ucsc.edu/cgi-bin/hgTracks?position=209523_at","UCSC")</f>
        <v>UCSC</v>
      </c>
      <c r="E13112" s="1" t="str">
        <f>HYPERLINK("http://www.ncbi.nlm.nih.gov/gene/?term=TAF2","NCBI")</f>
        <v>NCBI</v>
      </c>
      <c r="F13112">
        <v>0.42</v>
      </c>
      <c r="G13112">
        <v>0.55000000000000004</v>
      </c>
      <c r="H13112" s="1" t="str">
        <f>HYPERLINK("http://www.weizmann.ac.il/complex/compphys/software/geview/data/figures/209523_at.png","Figure")</f>
        <v>Figure</v>
      </c>
      <c r="I13112">
        <v>0.68700000000000006</v>
      </c>
      <c r="J13112">
        <v>0.42</v>
      </c>
      <c r="K13112">
        <v>0.92300000000000004</v>
      </c>
      <c r="L13112">
        <v>0.95</v>
      </c>
      <c r="M13112">
        <v>1.34</v>
      </c>
      <c r="N13112">
        <v>0.54</v>
      </c>
    </row>
    <row r="13113" spans="1:14" x14ac:dyDescent="0.25">
      <c r="A13113" t="s">
        <v>22441</v>
      </c>
      <c r="B13113" t="s">
        <v>22442</v>
      </c>
      <c r="C13113" s="1" t="str">
        <f>HYPERLINK("http://www.genecards.org/cgi-bin/carddisp.pl?gene=VPS8","GeneCards")</f>
        <v>GeneCards</v>
      </c>
      <c r="D13113" s="1" t="str">
        <f>HYPERLINK("http://genome-euro.ucsc.edu/cgi-bin/hgTracks?position=209553_at","UCSC")</f>
        <v>UCSC</v>
      </c>
      <c r="E13113" s="1" t="str">
        <f>HYPERLINK("http://www.ncbi.nlm.nih.gov/gene/?term=VPS8","NCBI")</f>
        <v>NCBI</v>
      </c>
      <c r="F13113">
        <v>0.42</v>
      </c>
      <c r="G13113">
        <v>0.55000000000000004</v>
      </c>
      <c r="H13113" s="1" t="str">
        <f>HYPERLINK("http://www.weizmann.ac.il/complex/compphys/software/geview/data/figures/209553_at.png","Figure")</f>
        <v>Figure</v>
      </c>
      <c r="I13113">
        <v>0.91500000000000004</v>
      </c>
      <c r="J13113">
        <v>0.74</v>
      </c>
      <c r="K13113">
        <v>1.06</v>
      </c>
      <c r="L13113">
        <v>0.83</v>
      </c>
      <c r="M13113">
        <v>1.1599999999999999</v>
      </c>
      <c r="N13113">
        <v>0.39</v>
      </c>
    </row>
    <row r="13114" spans="1:14" x14ac:dyDescent="0.25">
      <c r="A13114" t="s">
        <v>22443</v>
      </c>
      <c r="B13114" t="s">
        <v>9581</v>
      </c>
      <c r="C13114" s="1" t="str">
        <f>HYPERLINK("http://www.genecards.org/cgi-bin/carddisp.pl?gene=HDLBP","GeneCards")</f>
        <v>GeneCards</v>
      </c>
      <c r="D13114" s="1" t="str">
        <f>HYPERLINK("http://genome-euro.ucsc.edu/cgi-bin/hgTracks?position=221767_x_at","UCSC")</f>
        <v>UCSC</v>
      </c>
      <c r="E13114" s="1" t="str">
        <f>HYPERLINK("http://www.ncbi.nlm.nih.gov/gene/?term=HDLBP","NCBI")</f>
        <v>NCBI</v>
      </c>
      <c r="F13114">
        <v>0.42</v>
      </c>
      <c r="G13114">
        <v>0.55000000000000004</v>
      </c>
      <c r="H13114" s="1" t="str">
        <f>HYPERLINK("http://www.weizmann.ac.il/complex/compphys/software/geview/data/figures/221767_x_at.png","Figure")</f>
        <v>Figure</v>
      </c>
      <c r="I13114">
        <v>0.99199999999999999</v>
      </c>
      <c r="J13114">
        <v>1</v>
      </c>
      <c r="K13114">
        <v>1.1399999999999999</v>
      </c>
      <c r="L13114">
        <v>0.51</v>
      </c>
      <c r="M13114">
        <v>1.1499999999999999</v>
      </c>
      <c r="N13114">
        <v>0.52</v>
      </c>
    </row>
    <row r="13115" spans="1:14" x14ac:dyDescent="0.25">
      <c r="A13115" t="s">
        <v>22444</v>
      </c>
      <c r="B13115" t="s">
        <v>19317</v>
      </c>
      <c r="C13115" s="1" t="str">
        <f>HYPERLINK("http://www.genecards.org/cgi-bin/carddisp.pl?gene=PTMS","GeneCards")</f>
        <v>GeneCards</v>
      </c>
      <c r="D13115" s="1" t="str">
        <f>HYPERLINK("http://genome-euro.ucsc.edu/cgi-bin/hgTracks?position=218044_x_at","UCSC")</f>
        <v>UCSC</v>
      </c>
      <c r="E13115" s="1" t="str">
        <f>HYPERLINK("http://www.ncbi.nlm.nih.gov/gene/?term=PTMS","NCBI")</f>
        <v>NCBI</v>
      </c>
      <c r="F13115">
        <v>0.42</v>
      </c>
      <c r="G13115">
        <v>0.55000000000000004</v>
      </c>
      <c r="H13115" s="1" t="str">
        <f>HYPERLINK("http://www.weizmann.ac.il/complex/compphys/software/geview/data/figures/218044_x_at.png","Figure")</f>
        <v>Figure</v>
      </c>
      <c r="I13115">
        <v>1.07</v>
      </c>
      <c r="J13115">
        <v>0.43</v>
      </c>
      <c r="K13115">
        <v>1.05</v>
      </c>
      <c r="L13115">
        <v>0.57999999999999996</v>
      </c>
      <c r="M13115">
        <v>0.97899999999999998</v>
      </c>
      <c r="N13115">
        <v>0.91</v>
      </c>
    </row>
    <row r="13116" spans="1:14" x14ac:dyDescent="0.25">
      <c r="A13116" t="s">
        <v>22445</v>
      </c>
      <c r="B13116" t="s">
        <v>22446</v>
      </c>
      <c r="C13116" s="1" t="str">
        <f>HYPERLINK("http://www.genecards.org/cgi-bin/carddisp.pl?gene=ARC","GeneCards")</f>
        <v>GeneCards</v>
      </c>
      <c r="D13116" s="1" t="str">
        <f>HYPERLINK("http://genome-euro.ucsc.edu/cgi-bin/hgTracks?position=210090_at","UCSC")</f>
        <v>UCSC</v>
      </c>
      <c r="E13116" s="1" t="str">
        <f>HYPERLINK("http://www.ncbi.nlm.nih.gov/gene/?term=ARC","NCBI")</f>
        <v>NCBI</v>
      </c>
      <c r="F13116">
        <v>0.42</v>
      </c>
      <c r="G13116">
        <v>0.55000000000000004</v>
      </c>
      <c r="H13116" s="1" t="str">
        <f>HYPERLINK("http://www.weizmann.ac.il/complex/compphys/software/geview/data/figures/210090_at.png","Figure")</f>
        <v>Figure</v>
      </c>
      <c r="I13116">
        <v>1.06</v>
      </c>
      <c r="J13116">
        <v>0.43</v>
      </c>
      <c r="K13116">
        <v>1.01</v>
      </c>
      <c r="L13116">
        <v>0.96</v>
      </c>
      <c r="M13116">
        <v>0.95599999999999996</v>
      </c>
      <c r="N13116">
        <v>0.52</v>
      </c>
    </row>
    <row r="13117" spans="1:14" x14ac:dyDescent="0.25">
      <c r="A13117" t="s">
        <v>22447</v>
      </c>
      <c r="B13117" t="s">
        <v>15069</v>
      </c>
      <c r="C13117" s="1" t="str">
        <f>HYPERLINK("http://www.genecards.org/cgi-bin/carddisp.pl?gene=HMGCR","GeneCards")</f>
        <v>GeneCards</v>
      </c>
      <c r="D13117" s="1" t="str">
        <f>HYPERLINK("http://genome-euro.ucsc.edu/cgi-bin/hgTracks?position=202539_s_at","UCSC")</f>
        <v>UCSC</v>
      </c>
      <c r="E13117" s="1" t="str">
        <f>HYPERLINK("http://www.ncbi.nlm.nih.gov/gene/?term=HMGCR","NCBI")</f>
        <v>NCBI</v>
      </c>
      <c r="F13117">
        <v>0.42</v>
      </c>
      <c r="G13117">
        <v>0.55000000000000004</v>
      </c>
      <c r="H13117" s="1" t="str">
        <f>HYPERLINK("http://www.weizmann.ac.il/complex/compphys/software/geview/data/figures/202539_s_at.png","Figure")</f>
        <v>Figure</v>
      </c>
      <c r="I13117">
        <v>0.82199999999999995</v>
      </c>
      <c r="J13117">
        <v>0.49</v>
      </c>
      <c r="K13117">
        <v>0.999</v>
      </c>
      <c r="L13117">
        <v>1</v>
      </c>
      <c r="M13117">
        <v>1.22</v>
      </c>
      <c r="N13117">
        <v>0.45</v>
      </c>
    </row>
    <row r="13118" spans="1:14" x14ac:dyDescent="0.25">
      <c r="A13118" t="s">
        <v>22448</v>
      </c>
      <c r="B13118" t="s">
        <v>22449</v>
      </c>
      <c r="C13118" s="1" t="str">
        <f>HYPERLINK("http://www.genecards.org/cgi-bin/carddisp.pl?gene=IPW","GeneCards")</f>
        <v>GeneCards</v>
      </c>
      <c r="D13118" s="1" t="str">
        <f>HYPERLINK("http://genome-euro.ucsc.edu/cgi-bin/hgTracks?position=221974_at","UCSC")</f>
        <v>UCSC</v>
      </c>
      <c r="E13118" s="1" t="str">
        <f>HYPERLINK("http://www.ncbi.nlm.nih.gov/gene/?term=IPW","NCBI")</f>
        <v>NCBI</v>
      </c>
      <c r="F13118">
        <v>0.42</v>
      </c>
      <c r="G13118">
        <v>0.55000000000000004</v>
      </c>
      <c r="H13118" s="1" t="str">
        <f>HYPERLINK("http://www.weizmann.ac.il/complex/compphys/software/geview/data/figures/221974_at.png","Figure")</f>
        <v>Figure</v>
      </c>
      <c r="I13118">
        <v>0.71799999999999997</v>
      </c>
      <c r="J13118">
        <v>0.4</v>
      </c>
      <c r="K13118">
        <v>0.84</v>
      </c>
      <c r="L13118">
        <v>0.7</v>
      </c>
      <c r="M13118">
        <v>1.17</v>
      </c>
      <c r="N13118">
        <v>0.78</v>
      </c>
    </row>
    <row r="13119" spans="1:14" x14ac:dyDescent="0.25">
      <c r="A13119" t="s">
        <v>22450</v>
      </c>
      <c r="B13119" t="s">
        <v>22451</v>
      </c>
      <c r="C13119" s="1" t="str">
        <f>HYPERLINK("http://www.genecards.org/cgi-bin/carddisp.pl?gene=MAP3K13","GeneCards")</f>
        <v>GeneCards</v>
      </c>
      <c r="D13119" s="1" t="str">
        <f>HYPERLINK("http://genome-euro.ucsc.edu/cgi-bin/hgTracks?position=206249_at","UCSC")</f>
        <v>UCSC</v>
      </c>
      <c r="E13119" s="1" t="str">
        <f>HYPERLINK("http://www.ncbi.nlm.nih.gov/gene/?term=MAP3K13","NCBI")</f>
        <v>NCBI</v>
      </c>
      <c r="F13119">
        <v>0.42</v>
      </c>
      <c r="G13119">
        <v>0.55000000000000004</v>
      </c>
      <c r="H13119" s="1" t="str">
        <f>HYPERLINK("http://www.weizmann.ac.il/complex/compphys/software/geview/data/figures/206249_at.png","Figure")</f>
        <v>Figure</v>
      </c>
      <c r="I13119">
        <v>0.95199999999999996</v>
      </c>
      <c r="J13119">
        <v>0.39</v>
      </c>
      <c r="K13119">
        <v>0.97799999999999998</v>
      </c>
      <c r="L13119">
        <v>0.76</v>
      </c>
      <c r="M13119">
        <v>1.03</v>
      </c>
      <c r="N13119">
        <v>0.72</v>
      </c>
    </row>
    <row r="13120" spans="1:14" x14ac:dyDescent="0.25">
      <c r="A13120" t="s">
        <v>22452</v>
      </c>
      <c r="B13120" t="s">
        <v>8436</v>
      </c>
      <c r="C13120" s="1" t="str">
        <f>HYPERLINK("http://www.genecards.org/cgi-bin/carddisp.pl?gene=SMARCA2","GeneCards")</f>
        <v>GeneCards</v>
      </c>
      <c r="D13120" s="1" t="str">
        <f>HYPERLINK("http://genome-euro.ucsc.edu/cgi-bin/hgTracks?position=212258_s_at","UCSC")</f>
        <v>UCSC</v>
      </c>
      <c r="E13120" s="1" t="str">
        <f>HYPERLINK("http://www.ncbi.nlm.nih.gov/gene/?term=SMARCA2","NCBI")</f>
        <v>NCBI</v>
      </c>
      <c r="F13120">
        <v>0.42</v>
      </c>
      <c r="G13120">
        <v>0.55000000000000004</v>
      </c>
      <c r="H13120" s="1" t="str">
        <f>HYPERLINK("http://www.weizmann.ac.il/complex/compphys/software/geview/data/figures/212258_s_at.png","Figure")</f>
        <v>Figure</v>
      </c>
      <c r="I13120">
        <v>1</v>
      </c>
      <c r="J13120">
        <v>1</v>
      </c>
      <c r="K13120">
        <v>0.93899999999999995</v>
      </c>
      <c r="L13120">
        <v>0.5</v>
      </c>
      <c r="M13120">
        <v>0.93799999999999994</v>
      </c>
      <c r="N13120">
        <v>0.53</v>
      </c>
    </row>
    <row r="13121" spans="1:14" x14ac:dyDescent="0.25">
      <c r="A13121" t="s">
        <v>22453</v>
      </c>
      <c r="B13121" t="s">
        <v>18480</v>
      </c>
      <c r="C13121" s="1" t="str">
        <f>HYPERLINK("http://www.genecards.org/cgi-bin/carddisp.pl?gene=FAM134A","GeneCards")</f>
        <v>GeneCards</v>
      </c>
      <c r="D13121" s="1" t="str">
        <f>HYPERLINK("http://genome-euro.ucsc.edu/cgi-bin/hgTracks?position=218037_at","UCSC")</f>
        <v>UCSC</v>
      </c>
      <c r="E13121" s="1" t="str">
        <f>HYPERLINK("http://www.ncbi.nlm.nih.gov/gene/?term=FAM134A","NCBI")</f>
        <v>NCBI</v>
      </c>
      <c r="F13121">
        <v>0.42</v>
      </c>
      <c r="G13121">
        <v>0.55000000000000004</v>
      </c>
      <c r="H13121" s="1" t="str">
        <f>HYPERLINK("http://www.weizmann.ac.il/complex/compphys/software/geview/data/figures/218037_at.png","Figure")</f>
        <v>Figure</v>
      </c>
      <c r="I13121">
        <v>1.07</v>
      </c>
      <c r="J13121">
        <v>0.83</v>
      </c>
      <c r="K13121">
        <v>1.1399999999999999</v>
      </c>
      <c r="L13121">
        <v>0.4</v>
      </c>
      <c r="M13121">
        <v>1.07</v>
      </c>
      <c r="N13121">
        <v>0.8</v>
      </c>
    </row>
    <row r="13122" spans="1:14" x14ac:dyDescent="0.25">
      <c r="A13122" t="s">
        <v>22454</v>
      </c>
      <c r="B13122" t="s">
        <v>22455</v>
      </c>
      <c r="C13122" s="1" t="str">
        <f>HYPERLINK("http://www.genecards.org/cgi-bin/carddisp.pl?gene=PEX6","GeneCards")</f>
        <v>GeneCards</v>
      </c>
      <c r="D13122" s="1" t="str">
        <f>HYPERLINK("http://genome-euro.ucsc.edu/cgi-bin/hgTracks?position=320_at","UCSC")</f>
        <v>UCSC</v>
      </c>
      <c r="E13122" s="1" t="str">
        <f>HYPERLINK("http://www.ncbi.nlm.nih.gov/gene/?term=PEX6","NCBI")</f>
        <v>NCBI</v>
      </c>
      <c r="F13122">
        <v>0.43</v>
      </c>
      <c r="G13122">
        <v>0.55000000000000004</v>
      </c>
      <c r="H13122" s="1" t="str">
        <f>HYPERLINK("http://www.weizmann.ac.il/complex/compphys/software/geview/data/figures/320_at.png","Figure")</f>
        <v>Figure</v>
      </c>
      <c r="I13122">
        <v>1.01</v>
      </c>
      <c r="J13122">
        <v>0.97</v>
      </c>
      <c r="K13122">
        <v>1.06</v>
      </c>
      <c r="L13122">
        <v>0.44</v>
      </c>
      <c r="M13122">
        <v>1.05</v>
      </c>
      <c r="N13122">
        <v>0.63</v>
      </c>
    </row>
    <row r="13123" spans="1:14" x14ac:dyDescent="0.25">
      <c r="A13123" t="s">
        <v>22456</v>
      </c>
      <c r="B13123" t="s">
        <v>5201</v>
      </c>
      <c r="C13123" s="1" t="str">
        <f>HYPERLINK("http://www.genecards.org/cgi-bin/carddisp.pl?gene=SDHAF1","GeneCards")</f>
        <v>GeneCards</v>
      </c>
      <c r="D13123" s="1" t="str">
        <f>HYPERLINK("http://genome-euro.ucsc.edu/cgi-bin/hgTracks?position=44669_at","UCSC")</f>
        <v>UCSC</v>
      </c>
      <c r="E13123" s="1" t="str">
        <f>HYPERLINK("http://www.ncbi.nlm.nih.gov/gene/?term=SDHAF1","NCBI")</f>
        <v>NCBI</v>
      </c>
      <c r="F13123">
        <v>0.43</v>
      </c>
      <c r="G13123">
        <v>0.55000000000000004</v>
      </c>
      <c r="H13123" s="1" t="str">
        <f>HYPERLINK("http://www.weizmann.ac.il/complex/compphys/software/geview/data/figures/44669_at.png","Figure")</f>
        <v>Figure</v>
      </c>
      <c r="I13123">
        <v>1.01</v>
      </c>
      <c r="J13123">
        <v>0.71</v>
      </c>
      <c r="K13123">
        <v>1.02</v>
      </c>
      <c r="L13123">
        <v>0.4</v>
      </c>
      <c r="M13123">
        <v>1.01</v>
      </c>
      <c r="N13123">
        <v>0.92</v>
      </c>
    </row>
    <row r="13124" spans="1:14" x14ac:dyDescent="0.25">
      <c r="A13124" t="s">
        <v>22457</v>
      </c>
      <c r="B13124" t="s">
        <v>19517</v>
      </c>
      <c r="C13124" s="1" t="str">
        <f>HYPERLINK("http://www.genecards.org/cgi-bin/carddisp.pl?gene=DENND3","GeneCards")</f>
        <v>GeneCards</v>
      </c>
      <c r="D13124" s="1" t="str">
        <f>HYPERLINK("http://genome-euro.ucsc.edu/cgi-bin/hgTracks?position=212975_at","UCSC")</f>
        <v>UCSC</v>
      </c>
      <c r="E13124" s="1" t="str">
        <f>HYPERLINK("http://www.ncbi.nlm.nih.gov/gene/?term=DENND3","NCBI")</f>
        <v>NCBI</v>
      </c>
      <c r="F13124">
        <v>0.43</v>
      </c>
      <c r="G13124">
        <v>0.55000000000000004</v>
      </c>
      <c r="H13124" s="1" t="str">
        <f>HYPERLINK("http://www.weizmann.ac.il/complex/compphys/software/geview/data/figures/212975_at.png","Figure")</f>
        <v>Figure</v>
      </c>
      <c r="I13124">
        <v>0.78300000000000003</v>
      </c>
      <c r="J13124">
        <v>0.53</v>
      </c>
      <c r="K13124">
        <v>0.78800000000000003</v>
      </c>
      <c r="L13124">
        <v>0.46</v>
      </c>
      <c r="M13124">
        <v>1.01</v>
      </c>
      <c r="N13124">
        <v>1</v>
      </c>
    </row>
    <row r="13125" spans="1:14" x14ac:dyDescent="0.25">
      <c r="A13125" t="s">
        <v>22458</v>
      </c>
      <c r="B13125" t="s">
        <v>22459</v>
      </c>
      <c r="C13125" s="1" t="str">
        <f>HYPERLINK("http://www.genecards.org/cgi-bin/carddisp.pl?gene=RGP1","GeneCards")</f>
        <v>GeneCards</v>
      </c>
      <c r="D13125" s="1" t="str">
        <f>HYPERLINK("http://genome-euro.ucsc.edu/cgi-bin/hgTracks?position=203169_at","UCSC")</f>
        <v>UCSC</v>
      </c>
      <c r="E13125" s="1" t="str">
        <f>HYPERLINK("http://www.ncbi.nlm.nih.gov/gene/?term=RGP1","NCBI")</f>
        <v>NCBI</v>
      </c>
      <c r="F13125">
        <v>0.43</v>
      </c>
      <c r="G13125">
        <v>0.55000000000000004</v>
      </c>
      <c r="H13125" s="1" t="str">
        <f>HYPERLINK("http://www.weizmann.ac.il/complex/compphys/software/geview/data/figures/203169_at.png","Figure")</f>
        <v>Figure</v>
      </c>
      <c r="I13125">
        <v>0.871</v>
      </c>
      <c r="J13125">
        <v>0.43</v>
      </c>
      <c r="K13125">
        <v>0.97499999999999998</v>
      </c>
      <c r="L13125">
        <v>0.96</v>
      </c>
      <c r="M13125">
        <v>1.1200000000000001</v>
      </c>
      <c r="N13125">
        <v>0.52</v>
      </c>
    </row>
    <row r="13126" spans="1:14" x14ac:dyDescent="0.25">
      <c r="A13126" t="s">
        <v>22460</v>
      </c>
      <c r="B13126" t="s">
        <v>7708</v>
      </c>
      <c r="C13126" s="1" t="str">
        <f>HYPERLINK("http://www.genecards.org/cgi-bin/carddisp.pl?gene=ABCG1","GeneCards")</f>
        <v>GeneCards</v>
      </c>
      <c r="D13126" s="1" t="str">
        <f>HYPERLINK("http://genome-euro.ucsc.edu/cgi-bin/hgTracks?position=204567_s_at","UCSC")</f>
        <v>UCSC</v>
      </c>
      <c r="E13126" s="1" t="str">
        <f>HYPERLINK("http://www.ncbi.nlm.nih.gov/gene/?term=ABCG1","NCBI")</f>
        <v>NCBI</v>
      </c>
      <c r="F13126">
        <v>0.43</v>
      </c>
      <c r="G13126">
        <v>0.55000000000000004</v>
      </c>
      <c r="H13126" s="1" t="str">
        <f>HYPERLINK("http://www.weizmann.ac.il/complex/compphys/software/geview/data/figures/204567_s_at.png","Figure")</f>
        <v>Figure</v>
      </c>
      <c r="I13126">
        <v>0.63300000000000001</v>
      </c>
      <c r="J13126">
        <v>0.51</v>
      </c>
      <c r="K13126">
        <v>0.65700000000000003</v>
      </c>
      <c r="L13126">
        <v>0.47</v>
      </c>
      <c r="M13126">
        <v>1.04</v>
      </c>
      <c r="N13126">
        <v>0.99</v>
      </c>
    </row>
    <row r="13127" spans="1:14" x14ac:dyDescent="0.25">
      <c r="A13127" t="s">
        <v>22461</v>
      </c>
      <c r="B13127" t="s">
        <v>22462</v>
      </c>
      <c r="C13127" s="1" t="str">
        <f>HYPERLINK("http://www.genecards.org/cgi-bin/carddisp.pl?gene=AP3D1","GeneCards")</f>
        <v>GeneCards</v>
      </c>
      <c r="D13127" s="1" t="str">
        <f>HYPERLINK("http://genome-euro.ucsc.edu/cgi-bin/hgTracks?position=206592_s_at","UCSC")</f>
        <v>UCSC</v>
      </c>
      <c r="E13127" s="1" t="str">
        <f>HYPERLINK("http://www.ncbi.nlm.nih.gov/gene/?term=AP3D1","NCBI")</f>
        <v>NCBI</v>
      </c>
      <c r="F13127">
        <v>0.43</v>
      </c>
      <c r="G13127">
        <v>0.55000000000000004</v>
      </c>
      <c r="H13127" s="1" t="str">
        <f>HYPERLINK("http://www.weizmann.ac.il/complex/compphys/software/geview/data/figures/206592_s_at.png","Figure")</f>
        <v>Figure</v>
      </c>
      <c r="I13127">
        <v>1.08</v>
      </c>
      <c r="J13127">
        <v>0.88</v>
      </c>
      <c r="K13127">
        <v>0.89600000000000002</v>
      </c>
      <c r="L13127">
        <v>0.69</v>
      </c>
      <c r="M13127">
        <v>0.83199999999999996</v>
      </c>
      <c r="N13127">
        <v>0.42</v>
      </c>
    </row>
    <row r="13128" spans="1:14" x14ac:dyDescent="0.25">
      <c r="A13128" t="s">
        <v>22463</v>
      </c>
      <c r="B13128" t="s">
        <v>22464</v>
      </c>
      <c r="C13128" s="1" t="str">
        <f>HYPERLINK("http://www.genecards.org/cgi-bin/carddisp.pl?gene=REV3L","GeneCards")</f>
        <v>GeneCards</v>
      </c>
      <c r="D13128" s="1" t="str">
        <f>HYPERLINK("http://genome-euro.ucsc.edu/cgi-bin/hgTracks?position=208070_s_at","UCSC")</f>
        <v>UCSC</v>
      </c>
      <c r="E13128" s="1" t="str">
        <f>HYPERLINK("http://www.ncbi.nlm.nih.gov/gene/?term=REV3L","NCBI")</f>
        <v>NCBI</v>
      </c>
      <c r="F13128">
        <v>0.43</v>
      </c>
      <c r="G13128">
        <v>0.55000000000000004</v>
      </c>
      <c r="H13128" s="1" t="str">
        <f>HYPERLINK("http://www.weizmann.ac.il/complex/compphys/software/geview/data/figures/208070_s_at.png","Figure")</f>
        <v>Figure</v>
      </c>
      <c r="I13128">
        <v>0.64300000000000002</v>
      </c>
      <c r="J13128">
        <v>0.41</v>
      </c>
      <c r="K13128">
        <v>0.89</v>
      </c>
      <c r="L13128">
        <v>0.92</v>
      </c>
      <c r="M13128">
        <v>1.39</v>
      </c>
      <c r="N13128">
        <v>0.56999999999999995</v>
      </c>
    </row>
    <row r="13129" spans="1:14" x14ac:dyDescent="0.25">
      <c r="A13129" t="s">
        <v>22465</v>
      </c>
      <c r="B13129" t="s">
        <v>22466</v>
      </c>
      <c r="C13129" s="1" t="str">
        <f>HYPERLINK("http://www.genecards.org/cgi-bin/carddisp.pl?gene=XKR8","GeneCards")</f>
        <v>GeneCards</v>
      </c>
      <c r="D13129" s="1" t="str">
        <f>HYPERLINK("http://genome-euro.ucsc.edu/cgi-bin/hgTracks?position=218753_at","UCSC")</f>
        <v>UCSC</v>
      </c>
      <c r="E13129" s="1" t="str">
        <f>HYPERLINK("http://www.ncbi.nlm.nih.gov/gene/?term=XKR8","NCBI")</f>
        <v>NCBI</v>
      </c>
      <c r="F13129">
        <v>0.43</v>
      </c>
      <c r="G13129">
        <v>0.55000000000000004</v>
      </c>
      <c r="H13129" s="1" t="str">
        <f>HYPERLINK("http://www.weizmann.ac.il/complex/compphys/software/geview/data/figures/218753_at.png","Figure")</f>
        <v>Figure</v>
      </c>
      <c r="I13129">
        <v>1.1599999999999999</v>
      </c>
      <c r="J13129">
        <v>0.44</v>
      </c>
      <c r="K13129">
        <v>1.1200000000000001</v>
      </c>
      <c r="L13129">
        <v>0.55000000000000004</v>
      </c>
      <c r="M13129">
        <v>0.96199999999999997</v>
      </c>
      <c r="N13129">
        <v>0.93</v>
      </c>
    </row>
    <row r="13130" spans="1:14" x14ac:dyDescent="0.25">
      <c r="A13130" t="s">
        <v>22467</v>
      </c>
      <c r="B13130" t="s">
        <v>22468</v>
      </c>
      <c r="C13130" s="1" t="str">
        <f>HYPERLINK("http://www.genecards.org/cgi-bin/carddisp.pl?gene=ORC5L","GeneCards")</f>
        <v>GeneCards</v>
      </c>
      <c r="D13130" s="1" t="str">
        <f>HYPERLINK("http://genome-euro.ucsc.edu/cgi-bin/hgTracks?position=204957_at","UCSC")</f>
        <v>UCSC</v>
      </c>
      <c r="E13130" s="1" t="str">
        <f>HYPERLINK("http://www.ncbi.nlm.nih.gov/gene/?term=ORC5L","NCBI")</f>
        <v>NCBI</v>
      </c>
      <c r="F13130">
        <v>0.43</v>
      </c>
      <c r="G13130">
        <v>0.55000000000000004</v>
      </c>
      <c r="H13130" s="1" t="str">
        <f>HYPERLINK("http://www.weizmann.ac.il/complex/compphys/software/geview/data/figures/204957_at.png","Figure")</f>
        <v>Figure</v>
      </c>
      <c r="I13130">
        <v>1.2</v>
      </c>
      <c r="J13130">
        <v>0.78</v>
      </c>
      <c r="K13130">
        <v>1.38</v>
      </c>
      <c r="L13130">
        <v>0.39</v>
      </c>
      <c r="M13130">
        <v>1.1499999999999999</v>
      </c>
      <c r="N13130">
        <v>0.86</v>
      </c>
    </row>
    <row r="13131" spans="1:14" x14ac:dyDescent="0.25">
      <c r="A13131" t="s">
        <v>22469</v>
      </c>
      <c r="B13131" t="s">
        <v>22470</v>
      </c>
      <c r="C13131" s="1" t="str">
        <f>HYPERLINK("http://www.genecards.org/cgi-bin/carddisp.pl?gene=B4GALT7","GeneCards")</f>
        <v>GeneCards</v>
      </c>
      <c r="D13131" s="1" t="str">
        <f>HYPERLINK("http://genome-euro.ucsc.edu/cgi-bin/hgTracks?position=53076_at","UCSC")</f>
        <v>UCSC</v>
      </c>
      <c r="E13131" s="1" t="str">
        <f>HYPERLINK("http://www.ncbi.nlm.nih.gov/gene/?term=B4GALT7","NCBI")</f>
        <v>NCBI</v>
      </c>
      <c r="F13131">
        <v>0.43</v>
      </c>
      <c r="G13131">
        <v>0.55000000000000004</v>
      </c>
      <c r="H13131" s="1" t="str">
        <f>HYPERLINK("http://www.weizmann.ac.il/complex/compphys/software/geview/data/figures/53076_at.png","Figure")</f>
        <v>Figure</v>
      </c>
      <c r="I13131">
        <v>1.07</v>
      </c>
      <c r="J13131">
        <v>0.44</v>
      </c>
      <c r="K13131">
        <v>1.05</v>
      </c>
      <c r="L13131">
        <v>0.55000000000000004</v>
      </c>
      <c r="M13131">
        <v>0.98099999999999998</v>
      </c>
      <c r="N13131">
        <v>0.93</v>
      </c>
    </row>
    <row r="13132" spans="1:14" x14ac:dyDescent="0.25">
      <c r="A13132" t="s">
        <v>22471</v>
      </c>
      <c r="B13132" t="s">
        <v>22472</v>
      </c>
      <c r="C13132" s="1" t="str">
        <f>HYPERLINK("http://www.genecards.org/cgi-bin/carddisp.pl?gene=ZKSCAN5","GeneCards")</f>
        <v>GeneCards</v>
      </c>
      <c r="D13132" s="1" t="str">
        <f>HYPERLINK("http://genome-euro.ucsc.edu/cgi-bin/hgTracks?position=203730_s_at","UCSC")</f>
        <v>UCSC</v>
      </c>
      <c r="E13132" s="1" t="str">
        <f>HYPERLINK("http://www.ncbi.nlm.nih.gov/gene/?term=ZKSCAN5","NCBI")</f>
        <v>NCBI</v>
      </c>
      <c r="F13132">
        <v>0.43</v>
      </c>
      <c r="G13132">
        <v>0.55000000000000004</v>
      </c>
      <c r="H13132" s="1" t="str">
        <f>HYPERLINK("http://www.weizmann.ac.il/complex/compphys/software/geview/data/figures/203730_s_at.png","Figure")</f>
        <v>Figure</v>
      </c>
      <c r="I13132">
        <v>1</v>
      </c>
      <c r="J13132">
        <v>1</v>
      </c>
      <c r="K13132">
        <v>0.96599999999999997</v>
      </c>
      <c r="L13132">
        <v>0.5</v>
      </c>
      <c r="M13132">
        <v>0.96599999999999997</v>
      </c>
      <c r="N13132">
        <v>0.54</v>
      </c>
    </row>
    <row r="13133" spans="1:14" x14ac:dyDescent="0.25">
      <c r="A13133" t="s">
        <v>22473</v>
      </c>
      <c r="B13133" t="s">
        <v>19777</v>
      </c>
      <c r="C13133" s="1" t="str">
        <f>HYPERLINK("http://www.genecards.org/cgi-bin/carddisp.pl?gene=KLRD1","GeneCards")</f>
        <v>GeneCards</v>
      </c>
      <c r="D13133" s="1" t="str">
        <f>HYPERLINK("http://genome-euro.ucsc.edu/cgi-bin/hgTracks?position=207795_s_at","UCSC")</f>
        <v>UCSC</v>
      </c>
      <c r="E13133" s="1" t="str">
        <f>HYPERLINK("http://www.ncbi.nlm.nih.gov/gene/?term=KLRD1","NCBI")</f>
        <v>NCBI</v>
      </c>
      <c r="F13133">
        <v>0.43</v>
      </c>
      <c r="G13133">
        <v>0.55000000000000004</v>
      </c>
      <c r="H13133" s="1" t="str">
        <f>HYPERLINK("http://www.weizmann.ac.il/complex/compphys/software/geview/data/figures/207795_s_at.png","Figure")</f>
        <v>Figure</v>
      </c>
      <c r="I13133">
        <v>0.99</v>
      </c>
      <c r="J13133">
        <v>1</v>
      </c>
      <c r="K13133">
        <v>0.88400000000000001</v>
      </c>
      <c r="L13133">
        <v>0.47</v>
      </c>
      <c r="M13133">
        <v>0.89300000000000002</v>
      </c>
      <c r="N13133">
        <v>0.56999999999999995</v>
      </c>
    </row>
    <row r="13134" spans="1:14" x14ac:dyDescent="0.25">
      <c r="A13134" t="s">
        <v>22474</v>
      </c>
      <c r="B13134" t="s">
        <v>6502</v>
      </c>
      <c r="C13134" s="1" t="str">
        <f>HYPERLINK("http://www.genecards.org/cgi-bin/carddisp.pl?gene=LPHN3","GeneCards")</f>
        <v>GeneCards</v>
      </c>
      <c r="D13134" s="1" t="str">
        <f>HYPERLINK("http://genome-euro.ucsc.edu/cgi-bin/hgTracks?position=209867_s_at","UCSC")</f>
        <v>UCSC</v>
      </c>
      <c r="E13134" s="1" t="str">
        <f>HYPERLINK("http://www.ncbi.nlm.nih.gov/gene/?term=LPHN3","NCBI")</f>
        <v>NCBI</v>
      </c>
      <c r="F13134">
        <v>0.43</v>
      </c>
      <c r="G13134">
        <v>0.55000000000000004</v>
      </c>
      <c r="H13134" s="1" t="str">
        <f>HYPERLINK("http://www.weizmann.ac.il/complex/compphys/software/geview/data/figures/209867_s_at.png","Figure")</f>
        <v>Figure</v>
      </c>
      <c r="I13134">
        <v>1</v>
      </c>
      <c r="J13134">
        <v>1</v>
      </c>
      <c r="K13134">
        <v>0.96599999999999997</v>
      </c>
      <c r="L13134">
        <v>0.5</v>
      </c>
      <c r="M13134">
        <v>0.96599999999999997</v>
      </c>
      <c r="N13134">
        <v>0.54</v>
      </c>
    </row>
    <row r="13135" spans="1:14" x14ac:dyDescent="0.25">
      <c r="A13135" t="s">
        <v>22475</v>
      </c>
      <c r="B13135" t="s">
        <v>22476</v>
      </c>
      <c r="C13135" s="1" t="str">
        <f>HYPERLINK("http://www.genecards.org/cgi-bin/carddisp.pl?gene=KIAA0323","GeneCards")</f>
        <v>GeneCards</v>
      </c>
      <c r="D13135" s="1" t="str">
        <f>HYPERLINK("http://genome-euro.ucsc.edu/cgi-bin/hgTracks?position=212355_at","UCSC")</f>
        <v>UCSC</v>
      </c>
      <c r="E13135" s="1" t="str">
        <f>HYPERLINK("http://www.ncbi.nlm.nih.gov/gene/?term=KIAA0323","NCBI")</f>
        <v>NCBI</v>
      </c>
      <c r="F13135">
        <v>0.43</v>
      </c>
      <c r="G13135">
        <v>0.55000000000000004</v>
      </c>
      <c r="H13135" s="1" t="str">
        <f>HYPERLINK("http://www.weizmann.ac.il/complex/compphys/software/geview/data/figures/212355_at.png","Figure")</f>
        <v>Figure</v>
      </c>
      <c r="I13135">
        <v>1.06</v>
      </c>
      <c r="J13135">
        <v>0.91</v>
      </c>
      <c r="K13135">
        <v>1.19</v>
      </c>
      <c r="L13135">
        <v>0.41</v>
      </c>
      <c r="M13135">
        <v>1.1200000000000001</v>
      </c>
      <c r="N13135">
        <v>0.71</v>
      </c>
    </row>
    <row r="13136" spans="1:14" x14ac:dyDescent="0.25">
      <c r="A13136" t="s">
        <v>22477</v>
      </c>
      <c r="B13136" t="s">
        <v>11279</v>
      </c>
      <c r="C13136" s="1" t="str">
        <f>HYPERLINK("http://www.genecards.org/cgi-bin/carddisp.pl?gene=ATP2A3","GeneCards")</f>
        <v>GeneCards</v>
      </c>
      <c r="D13136" s="1" t="str">
        <f>HYPERLINK("http://genome-euro.ucsc.edu/cgi-bin/hgTracks?position=213036_x_at","UCSC")</f>
        <v>UCSC</v>
      </c>
      <c r="E13136" s="1" t="str">
        <f>HYPERLINK("http://www.ncbi.nlm.nih.gov/gene/?term=ATP2A3","NCBI")</f>
        <v>NCBI</v>
      </c>
      <c r="F13136">
        <v>0.43</v>
      </c>
      <c r="G13136">
        <v>0.55000000000000004</v>
      </c>
      <c r="H13136" s="1" t="str">
        <f>HYPERLINK("http://www.weizmann.ac.il/complex/compphys/software/geview/data/figures/213036_x_at.png","Figure")</f>
        <v>Figure</v>
      </c>
      <c r="I13136">
        <v>1.1499999999999999</v>
      </c>
      <c r="J13136">
        <v>0.85</v>
      </c>
      <c r="K13136">
        <v>1.36</v>
      </c>
      <c r="L13136">
        <v>0.4</v>
      </c>
      <c r="M13136">
        <v>1.18</v>
      </c>
      <c r="N13136">
        <v>0.78</v>
      </c>
    </row>
    <row r="13137" spans="1:14" x14ac:dyDescent="0.25">
      <c r="A13137" t="s">
        <v>22478</v>
      </c>
      <c r="B13137" t="s">
        <v>6787</v>
      </c>
      <c r="C13137" s="1" t="str">
        <f>HYPERLINK("http://www.genecards.org/cgi-bin/carddisp.pl?gene=FEM1B","GeneCards")</f>
        <v>GeneCards</v>
      </c>
      <c r="D13137" s="1" t="str">
        <f>HYPERLINK("http://genome-euro.ucsc.edu/cgi-bin/hgTracks?position=212373_at","UCSC")</f>
        <v>UCSC</v>
      </c>
      <c r="E13137" s="1" t="str">
        <f>HYPERLINK("http://www.ncbi.nlm.nih.gov/gene/?term=FEM1B","NCBI")</f>
        <v>NCBI</v>
      </c>
      <c r="F13137">
        <v>0.43</v>
      </c>
      <c r="G13137">
        <v>0.55000000000000004</v>
      </c>
      <c r="H13137" s="1" t="str">
        <f>HYPERLINK("http://www.weizmann.ac.il/complex/compphys/software/geview/data/figures/212373_at.png","Figure")</f>
        <v>Figure</v>
      </c>
      <c r="I13137">
        <v>0.88600000000000001</v>
      </c>
      <c r="J13137">
        <v>0.84</v>
      </c>
      <c r="K13137">
        <v>0.78</v>
      </c>
      <c r="L13137">
        <v>0.4</v>
      </c>
      <c r="M13137">
        <v>0.88100000000000001</v>
      </c>
      <c r="N13137">
        <v>0.8</v>
      </c>
    </row>
    <row r="13138" spans="1:14" x14ac:dyDescent="0.25">
      <c r="A13138" t="s">
        <v>22479</v>
      </c>
      <c r="B13138" t="s">
        <v>22480</v>
      </c>
      <c r="C13138" s="1" t="str">
        <f>HYPERLINK("http://www.genecards.org/cgi-bin/carddisp.pl?gene=INCENP","GeneCards")</f>
        <v>GeneCards</v>
      </c>
      <c r="D13138" s="1" t="str">
        <f>HYPERLINK("http://genome-euro.ucsc.edu/cgi-bin/hgTracks?position=219769_at","UCSC")</f>
        <v>UCSC</v>
      </c>
      <c r="E13138" s="1" t="str">
        <f>HYPERLINK("http://www.ncbi.nlm.nih.gov/gene/?term=INCENP","NCBI")</f>
        <v>NCBI</v>
      </c>
      <c r="F13138">
        <v>0.43</v>
      </c>
      <c r="G13138">
        <v>0.55000000000000004</v>
      </c>
      <c r="H13138" s="1" t="str">
        <f>HYPERLINK("http://www.weizmann.ac.il/complex/compphys/software/geview/data/figures/219769_at.png","Figure")</f>
        <v>Figure</v>
      </c>
      <c r="I13138">
        <v>1.1000000000000001</v>
      </c>
      <c r="J13138">
        <v>0.41</v>
      </c>
      <c r="K13138">
        <v>1.06</v>
      </c>
      <c r="L13138">
        <v>0.62</v>
      </c>
      <c r="M13138">
        <v>0.96499999999999997</v>
      </c>
      <c r="N13138">
        <v>0.86</v>
      </c>
    </row>
    <row r="13139" spans="1:14" x14ac:dyDescent="0.25">
      <c r="A13139" t="s">
        <v>22481</v>
      </c>
      <c r="B13139" t="s">
        <v>22482</v>
      </c>
      <c r="C13139" s="1" t="str">
        <f>HYPERLINK("http://www.genecards.org/cgi-bin/carddisp.pl?gene=DDX24","GeneCards")</f>
        <v>GeneCards</v>
      </c>
      <c r="D13139" s="1" t="str">
        <f>HYPERLINK("http://genome-euro.ucsc.edu/cgi-bin/hgTracks?position=200694_s_at","UCSC")</f>
        <v>UCSC</v>
      </c>
      <c r="E13139" s="1" t="str">
        <f>HYPERLINK("http://www.ncbi.nlm.nih.gov/gene/?term=DDX24","NCBI")</f>
        <v>NCBI</v>
      </c>
      <c r="F13139">
        <v>0.43</v>
      </c>
      <c r="G13139">
        <v>0.55000000000000004</v>
      </c>
      <c r="H13139" s="1" t="str">
        <f>HYPERLINK("http://www.weizmann.ac.il/complex/compphys/software/geview/data/figures/200694_s_at.png","Figure")</f>
        <v>Figure</v>
      </c>
      <c r="I13139">
        <v>0.80200000000000005</v>
      </c>
      <c r="J13139">
        <v>0.43</v>
      </c>
      <c r="K13139">
        <v>0.96199999999999997</v>
      </c>
      <c r="L13139">
        <v>0.96</v>
      </c>
      <c r="M13139">
        <v>1.2</v>
      </c>
      <c r="N13139">
        <v>0.52</v>
      </c>
    </row>
    <row r="13140" spans="1:14" x14ac:dyDescent="0.25">
      <c r="A13140" t="s">
        <v>22483</v>
      </c>
      <c r="B13140" t="s">
        <v>22484</v>
      </c>
      <c r="C13140" s="1" t="str">
        <f>HYPERLINK("http://www.genecards.org/cgi-bin/carddisp.pl?gene=SLCO1A2","GeneCards")</f>
        <v>GeneCards</v>
      </c>
      <c r="D13140" s="1" t="str">
        <f>HYPERLINK("http://genome-euro.ucsc.edu/cgi-bin/hgTracks?position=211481_at","UCSC")</f>
        <v>UCSC</v>
      </c>
      <c r="E13140" s="1" t="str">
        <f>HYPERLINK("http://www.ncbi.nlm.nih.gov/gene/?term=SLCO1A2","NCBI")</f>
        <v>NCBI</v>
      </c>
      <c r="F13140">
        <v>0.43</v>
      </c>
      <c r="G13140">
        <v>0.55000000000000004</v>
      </c>
      <c r="H13140" s="1" t="str">
        <f>HYPERLINK("http://www.weizmann.ac.il/complex/compphys/software/geview/data/figures/211481_at.png","Figure")</f>
        <v>Figure</v>
      </c>
      <c r="I13140">
        <v>1.07</v>
      </c>
      <c r="J13140">
        <v>0.56999999999999995</v>
      </c>
      <c r="K13140">
        <v>0.98599999999999999</v>
      </c>
      <c r="L13140">
        <v>0.97</v>
      </c>
      <c r="M13140">
        <v>0.91700000000000004</v>
      </c>
      <c r="N13140">
        <v>0.41</v>
      </c>
    </row>
    <row r="13141" spans="1:14" x14ac:dyDescent="0.25">
      <c r="A13141" t="s">
        <v>22485</v>
      </c>
      <c r="B13141" t="s">
        <v>8431</v>
      </c>
      <c r="C13141" s="1" t="str">
        <f>HYPERLINK("http://www.genecards.org/cgi-bin/carddisp.pl?gene=CEACAM1","GeneCards")</f>
        <v>GeneCards</v>
      </c>
      <c r="D13141" s="1" t="str">
        <f>HYPERLINK("http://genome-euro.ucsc.edu/cgi-bin/hgTracks?position=211889_x_at","UCSC")</f>
        <v>UCSC</v>
      </c>
      <c r="E13141" s="1" t="str">
        <f>HYPERLINK("http://www.ncbi.nlm.nih.gov/gene/?term=CEACAM1","NCBI")</f>
        <v>NCBI</v>
      </c>
      <c r="F13141">
        <v>0.43</v>
      </c>
      <c r="G13141">
        <v>0.55000000000000004</v>
      </c>
      <c r="H13141" s="1" t="str">
        <f>HYPERLINK("http://www.weizmann.ac.il/complex/compphys/software/geview/data/figures/211889_x_at.png","Figure")</f>
        <v>Figure</v>
      </c>
      <c r="I13141">
        <v>1.02</v>
      </c>
      <c r="J13141">
        <v>0.67</v>
      </c>
      <c r="K13141">
        <v>1.02</v>
      </c>
      <c r="L13141">
        <v>0.4</v>
      </c>
      <c r="M13141">
        <v>1.01</v>
      </c>
      <c r="N13141">
        <v>0.95</v>
      </c>
    </row>
    <row r="13142" spans="1:14" x14ac:dyDescent="0.25">
      <c r="A13142" t="s">
        <v>22486</v>
      </c>
      <c r="B13142" t="s">
        <v>22487</v>
      </c>
      <c r="C13142" s="1" t="str">
        <f>HYPERLINK("http://www.genecards.org/cgi-bin/carddisp.pl?gene=TAZ","GeneCards")</f>
        <v>GeneCards</v>
      </c>
      <c r="D13142" s="1" t="str">
        <f>HYPERLINK("http://genome-euro.ucsc.edu/cgi-bin/hgTracks?position=37278_at","UCSC")</f>
        <v>UCSC</v>
      </c>
      <c r="E13142" s="1" t="str">
        <f>HYPERLINK("http://www.ncbi.nlm.nih.gov/gene/?term=TAZ","NCBI")</f>
        <v>NCBI</v>
      </c>
      <c r="F13142">
        <v>0.43</v>
      </c>
      <c r="G13142">
        <v>0.55000000000000004</v>
      </c>
      <c r="H13142" s="1" t="str">
        <f>HYPERLINK("http://www.weizmann.ac.il/complex/compphys/software/geview/data/figures/37278_at.png","Figure")</f>
        <v>Figure</v>
      </c>
      <c r="I13142">
        <v>1.1299999999999999</v>
      </c>
      <c r="J13142">
        <v>0.41</v>
      </c>
      <c r="K13142">
        <v>1.08</v>
      </c>
      <c r="L13142">
        <v>0.62</v>
      </c>
      <c r="M13142">
        <v>0.95599999999999996</v>
      </c>
      <c r="N13142">
        <v>0.86</v>
      </c>
    </row>
    <row r="13143" spans="1:14" x14ac:dyDescent="0.25">
      <c r="A13143" t="s">
        <v>22488</v>
      </c>
      <c r="B13143" t="s">
        <v>22489</v>
      </c>
      <c r="C13143" s="1" t="str">
        <f>HYPERLINK("http://www.genecards.org/cgi-bin/carddisp.pl?gene=HAGH","GeneCards")</f>
        <v>GeneCards</v>
      </c>
      <c r="D13143" s="1" t="str">
        <f>HYPERLINK("http://genome-euro.ucsc.edu/cgi-bin/hgTracks?position=205012_s_at","UCSC")</f>
        <v>UCSC</v>
      </c>
      <c r="E13143" s="1" t="str">
        <f>HYPERLINK("http://www.ncbi.nlm.nih.gov/gene/?term=HAGH","NCBI")</f>
        <v>NCBI</v>
      </c>
      <c r="F13143">
        <v>0.43</v>
      </c>
      <c r="G13143">
        <v>0.55000000000000004</v>
      </c>
      <c r="H13143" s="1" t="str">
        <f>HYPERLINK("http://www.weizmann.ac.il/complex/compphys/software/geview/data/figures/205012_s_at.png","Figure")</f>
        <v>Figure</v>
      </c>
      <c r="I13143">
        <v>0.97199999999999998</v>
      </c>
      <c r="J13143">
        <v>0.98</v>
      </c>
      <c r="K13143">
        <v>1.1499999999999999</v>
      </c>
      <c r="L13143">
        <v>0.56000000000000005</v>
      </c>
      <c r="M13143">
        <v>1.18</v>
      </c>
      <c r="N13143">
        <v>0.48</v>
      </c>
    </row>
    <row r="13144" spans="1:14" x14ac:dyDescent="0.25">
      <c r="A13144" t="s">
        <v>22490</v>
      </c>
      <c r="B13144" t="s">
        <v>7250</v>
      </c>
      <c r="C13144" s="1" t="str">
        <f>HYPERLINK("http://www.genecards.org/cgi-bin/carddisp.pl?gene=NR4A1","GeneCards")</f>
        <v>GeneCards</v>
      </c>
      <c r="D13144" s="1" t="str">
        <f>HYPERLINK("http://genome-euro.ucsc.edu/cgi-bin/hgTracks?position=202340_x_at","UCSC")</f>
        <v>UCSC</v>
      </c>
      <c r="E13144" s="1" t="str">
        <f>HYPERLINK("http://www.ncbi.nlm.nih.gov/gene/?term=NR4A1","NCBI")</f>
        <v>NCBI</v>
      </c>
      <c r="F13144">
        <v>0.43</v>
      </c>
      <c r="G13144">
        <v>0.55000000000000004</v>
      </c>
      <c r="H13144" s="1" t="str">
        <f>HYPERLINK("http://www.weizmann.ac.il/complex/compphys/software/geview/data/figures/202340_x_at.png","Figure")</f>
        <v>Figure</v>
      </c>
      <c r="I13144">
        <v>0.76700000000000002</v>
      </c>
      <c r="J13144">
        <v>0.53</v>
      </c>
      <c r="K13144">
        <v>1.03</v>
      </c>
      <c r="L13144">
        <v>0.99</v>
      </c>
      <c r="M13144">
        <v>1.34</v>
      </c>
      <c r="N13144">
        <v>0.43</v>
      </c>
    </row>
    <row r="13145" spans="1:14" x14ac:dyDescent="0.25">
      <c r="A13145" t="s">
        <v>22491</v>
      </c>
      <c r="B13145" t="s">
        <v>22492</v>
      </c>
      <c r="C13145" s="1" t="str">
        <f>HYPERLINK("http://www.genecards.org/cgi-bin/carddisp.pl?gene=DCLRE1C","GeneCards")</f>
        <v>GeneCards</v>
      </c>
      <c r="D13145" s="1" t="str">
        <f>HYPERLINK("http://genome-euro.ucsc.edu/cgi-bin/hgTracks?position=219678_x_at","UCSC")</f>
        <v>UCSC</v>
      </c>
      <c r="E13145" s="1" t="str">
        <f>HYPERLINK("http://www.ncbi.nlm.nih.gov/gene/?term=DCLRE1C","NCBI")</f>
        <v>NCBI</v>
      </c>
      <c r="F13145">
        <v>0.43</v>
      </c>
      <c r="G13145">
        <v>0.55000000000000004</v>
      </c>
      <c r="H13145" s="1" t="str">
        <f>HYPERLINK("http://www.weizmann.ac.il/complex/compphys/software/geview/data/figures/219678_x_at.png","Figure")</f>
        <v>Figure</v>
      </c>
      <c r="I13145">
        <v>1.33</v>
      </c>
      <c r="J13145">
        <v>0.44</v>
      </c>
      <c r="K13145">
        <v>1.04</v>
      </c>
      <c r="L13145">
        <v>0.97</v>
      </c>
      <c r="M13145">
        <v>0.78600000000000003</v>
      </c>
      <c r="N13145">
        <v>0.51</v>
      </c>
    </row>
    <row r="13146" spans="1:14" x14ac:dyDescent="0.25">
      <c r="A13146" t="s">
        <v>22493</v>
      </c>
      <c r="B13146" t="s">
        <v>22494</v>
      </c>
      <c r="C13146" s="1" t="str">
        <f>HYPERLINK("http://www.genecards.org/cgi-bin/carddisp.pl?gene=MRPL15","GeneCards")</f>
        <v>GeneCards</v>
      </c>
      <c r="D13146" s="1" t="str">
        <f>HYPERLINK("http://genome-euro.ucsc.edu/cgi-bin/hgTracks?position=218027_at","UCSC")</f>
        <v>UCSC</v>
      </c>
      <c r="E13146" s="1" t="str">
        <f>HYPERLINK("http://www.ncbi.nlm.nih.gov/gene/?term=MRPL15","NCBI")</f>
        <v>NCBI</v>
      </c>
      <c r="F13146">
        <v>0.43</v>
      </c>
      <c r="G13146">
        <v>0.55000000000000004</v>
      </c>
      <c r="H13146" s="1" t="str">
        <f>HYPERLINK("http://www.weizmann.ac.il/complex/compphys/software/geview/data/figures/218027_at.png","Figure")</f>
        <v>Figure</v>
      </c>
      <c r="I13146">
        <v>0.70699999999999996</v>
      </c>
      <c r="J13146">
        <v>0.44</v>
      </c>
      <c r="K13146">
        <v>0.94399999999999995</v>
      </c>
      <c r="L13146">
        <v>0.97</v>
      </c>
      <c r="M13146">
        <v>1.33</v>
      </c>
      <c r="N13146">
        <v>0.51</v>
      </c>
    </row>
    <row r="13147" spans="1:14" x14ac:dyDescent="0.25">
      <c r="A13147" t="s">
        <v>22495</v>
      </c>
      <c r="B13147" t="s">
        <v>6422</v>
      </c>
      <c r="C13147" s="1" t="str">
        <f>HYPERLINK("http://www.genecards.org/cgi-bin/carddisp.pl?gene=MBNL1","GeneCards")</f>
        <v>GeneCards</v>
      </c>
      <c r="D13147" s="1" t="str">
        <f>HYPERLINK("http://genome-euro.ucsc.edu/cgi-bin/hgTracks?position=201151_s_at","UCSC")</f>
        <v>UCSC</v>
      </c>
      <c r="E13147" s="1" t="str">
        <f>HYPERLINK("http://www.ncbi.nlm.nih.gov/gene/?term=MBNL1","NCBI")</f>
        <v>NCBI</v>
      </c>
      <c r="F13147">
        <v>0.43</v>
      </c>
      <c r="G13147">
        <v>0.55000000000000004</v>
      </c>
      <c r="H13147" s="1" t="str">
        <f>HYPERLINK("http://www.weizmann.ac.il/complex/compphys/software/geview/data/figures/201151_s_at.png","Figure")</f>
        <v>Figure</v>
      </c>
      <c r="I13147">
        <v>1.03</v>
      </c>
      <c r="J13147">
        <v>0.99</v>
      </c>
      <c r="K13147">
        <v>1.25</v>
      </c>
      <c r="L13147">
        <v>0.45</v>
      </c>
      <c r="M13147">
        <v>1.21</v>
      </c>
      <c r="N13147">
        <v>0.6</v>
      </c>
    </row>
    <row r="13148" spans="1:14" x14ac:dyDescent="0.25">
      <c r="A13148" t="s">
        <v>22496</v>
      </c>
      <c r="B13148" t="s">
        <v>21327</v>
      </c>
      <c r="C13148" s="1" t="str">
        <f>HYPERLINK("http://www.genecards.org/cgi-bin/carddisp.pl?gene=CHAF1A","GeneCards")</f>
        <v>GeneCards</v>
      </c>
      <c r="D13148" s="1" t="str">
        <f>HYPERLINK("http://genome-euro.ucsc.edu/cgi-bin/hgTracks?position=214426_x_at","UCSC")</f>
        <v>UCSC</v>
      </c>
      <c r="E13148" s="1" t="str">
        <f>HYPERLINK("http://www.ncbi.nlm.nih.gov/gene/?term=CHAF1A","NCBI")</f>
        <v>NCBI</v>
      </c>
      <c r="F13148">
        <v>0.43</v>
      </c>
      <c r="G13148">
        <v>0.55000000000000004</v>
      </c>
      <c r="H13148" s="1" t="str">
        <f>HYPERLINK("http://www.weizmann.ac.il/complex/compphys/software/geview/data/figures/214426_x_at.png","Figure")</f>
        <v>Figure</v>
      </c>
      <c r="I13148">
        <v>1.1599999999999999</v>
      </c>
      <c r="J13148">
        <v>0.45</v>
      </c>
      <c r="K13148">
        <v>1.02</v>
      </c>
      <c r="L13148">
        <v>0.98</v>
      </c>
      <c r="M13148">
        <v>0.877</v>
      </c>
      <c r="N13148">
        <v>0.5</v>
      </c>
    </row>
    <row r="13149" spans="1:14" x14ac:dyDescent="0.25">
      <c r="A13149" t="s">
        <v>22497</v>
      </c>
      <c r="B13149" t="s">
        <v>16663</v>
      </c>
      <c r="C13149" s="1" t="str">
        <f>HYPERLINK("http://www.genecards.org/cgi-bin/carddisp.pl?gene=TIMP3","GeneCards")</f>
        <v>GeneCards</v>
      </c>
      <c r="D13149" s="1" t="str">
        <f>HYPERLINK("http://genome-euro.ucsc.edu/cgi-bin/hgTracks?position=201150_s_at","UCSC")</f>
        <v>UCSC</v>
      </c>
      <c r="E13149" s="1" t="str">
        <f>HYPERLINK("http://www.ncbi.nlm.nih.gov/gene/?term=TIMP3","NCBI")</f>
        <v>NCBI</v>
      </c>
      <c r="F13149">
        <v>0.43</v>
      </c>
      <c r="G13149">
        <v>0.55000000000000004</v>
      </c>
      <c r="H13149" s="1" t="str">
        <f>HYPERLINK("http://www.weizmann.ac.il/complex/compphys/software/geview/data/figures/201150_s_at.png","Figure")</f>
        <v>Figure</v>
      </c>
      <c r="I13149">
        <v>1.02</v>
      </c>
      <c r="J13149">
        <v>0.79</v>
      </c>
      <c r="K13149">
        <v>0.98299999999999998</v>
      </c>
      <c r="L13149">
        <v>0.78</v>
      </c>
      <c r="M13149">
        <v>0.96399999999999997</v>
      </c>
      <c r="N13149">
        <v>0.4</v>
      </c>
    </row>
    <row r="13150" spans="1:14" x14ac:dyDescent="0.25">
      <c r="A13150" t="s">
        <v>22498</v>
      </c>
      <c r="B13150" t="s">
        <v>1445</v>
      </c>
      <c r="C13150" s="1" t="str">
        <f>HYPERLINK("http://www.genecards.org/cgi-bin/carddisp.pl?gene=APOOL","GeneCards")</f>
        <v>GeneCards</v>
      </c>
      <c r="D13150" s="1" t="str">
        <f>HYPERLINK("http://genome-euro.ucsc.edu/cgi-bin/hgTracks?position=222269_at","UCSC")</f>
        <v>UCSC</v>
      </c>
      <c r="E13150" s="1" t="str">
        <f>HYPERLINK("http://www.ncbi.nlm.nih.gov/gene/?term=APOOL","NCBI")</f>
        <v>NCBI</v>
      </c>
      <c r="F13150">
        <v>0.43</v>
      </c>
      <c r="G13150">
        <v>0.55000000000000004</v>
      </c>
      <c r="H13150" s="1" t="str">
        <f>HYPERLINK("http://www.weizmann.ac.il/complex/compphys/software/geview/data/figures/222269_at.png","Figure")</f>
        <v>Figure</v>
      </c>
      <c r="I13150">
        <v>0.96299999999999997</v>
      </c>
      <c r="J13150">
        <v>0.76</v>
      </c>
      <c r="K13150">
        <v>1.03</v>
      </c>
      <c r="L13150">
        <v>0.81</v>
      </c>
      <c r="M13150">
        <v>1.07</v>
      </c>
      <c r="N13150">
        <v>0.4</v>
      </c>
    </row>
    <row r="13151" spans="1:14" x14ac:dyDescent="0.25">
      <c r="A13151" t="s">
        <v>22499</v>
      </c>
      <c r="B13151" t="s">
        <v>16098</v>
      </c>
      <c r="C13151" s="1" t="str">
        <f>HYPERLINK("http://www.genecards.org/cgi-bin/carddisp.pl?gene=USP34","GeneCards")</f>
        <v>GeneCards</v>
      </c>
      <c r="D13151" s="1" t="str">
        <f>HYPERLINK("http://genome-euro.ucsc.edu/cgi-bin/hgTracks?position=212066_s_at","UCSC")</f>
        <v>UCSC</v>
      </c>
      <c r="E13151" s="1" t="str">
        <f>HYPERLINK("http://www.ncbi.nlm.nih.gov/gene/?term=USP34","NCBI")</f>
        <v>NCBI</v>
      </c>
      <c r="F13151">
        <v>0.43</v>
      </c>
      <c r="G13151">
        <v>0.55000000000000004</v>
      </c>
      <c r="H13151" s="1" t="str">
        <f>HYPERLINK("http://www.weizmann.ac.il/complex/compphys/software/geview/data/figures/212066_s_at.png","Figure")</f>
        <v>Figure</v>
      </c>
      <c r="I13151">
        <v>1.37</v>
      </c>
      <c r="J13151">
        <v>0.49</v>
      </c>
      <c r="K13151">
        <v>1.31</v>
      </c>
      <c r="L13151">
        <v>0.49</v>
      </c>
      <c r="M13151">
        <v>0.96</v>
      </c>
      <c r="N13151">
        <v>0.99</v>
      </c>
    </row>
    <row r="13152" spans="1:14" x14ac:dyDescent="0.25">
      <c r="A13152" t="s">
        <v>22500</v>
      </c>
      <c r="B13152" t="s">
        <v>2794</v>
      </c>
      <c r="C13152" s="1" t="str">
        <f>HYPERLINK("http://www.genecards.org/cgi-bin/carddisp.pl?gene=FBXW2","GeneCards")</f>
        <v>GeneCards</v>
      </c>
      <c r="D13152" s="1" t="str">
        <f>HYPERLINK("http://genome-euro.ucsc.edu/cgi-bin/hgTracks?position=218941_at","UCSC")</f>
        <v>UCSC</v>
      </c>
      <c r="E13152" s="1" t="str">
        <f>HYPERLINK("http://www.ncbi.nlm.nih.gov/gene/?term=FBXW2","NCBI")</f>
        <v>NCBI</v>
      </c>
      <c r="F13152">
        <v>0.43</v>
      </c>
      <c r="G13152">
        <v>0.55000000000000004</v>
      </c>
      <c r="H13152" s="1" t="str">
        <f>HYPERLINK("http://www.weizmann.ac.il/complex/compphys/software/geview/data/figures/218941_at.png","Figure")</f>
        <v>Figure</v>
      </c>
      <c r="I13152">
        <v>1.2</v>
      </c>
      <c r="J13152">
        <v>0.56999999999999995</v>
      </c>
      <c r="K13152">
        <v>0.96599999999999997</v>
      </c>
      <c r="L13152">
        <v>0.97</v>
      </c>
      <c r="M13152">
        <v>0.80600000000000005</v>
      </c>
      <c r="N13152">
        <v>0.41</v>
      </c>
    </row>
    <row r="13153" spans="1:14" x14ac:dyDescent="0.25">
      <c r="A13153" t="s">
        <v>22501</v>
      </c>
      <c r="B13153" t="s">
        <v>22502</v>
      </c>
      <c r="C13153" s="1" t="str">
        <f>HYPERLINK("http://www.genecards.org/cgi-bin/carddisp.pl?gene=BCOR","GeneCards")</f>
        <v>GeneCards</v>
      </c>
      <c r="D13153" s="1" t="str">
        <f>HYPERLINK("http://genome-euro.ucsc.edu/cgi-bin/hgTracks?position=219433_at","UCSC")</f>
        <v>UCSC</v>
      </c>
      <c r="E13153" s="1" t="str">
        <f>HYPERLINK("http://www.ncbi.nlm.nih.gov/gene/?term=BCOR","NCBI")</f>
        <v>NCBI</v>
      </c>
      <c r="F13153">
        <v>0.43</v>
      </c>
      <c r="G13153">
        <v>0.55000000000000004</v>
      </c>
      <c r="H13153" s="1" t="str">
        <f>HYPERLINK("http://www.weizmann.ac.il/complex/compphys/software/geview/data/figures/219433_at.png","Figure")</f>
        <v>Figure</v>
      </c>
      <c r="I13153">
        <v>0.91200000000000003</v>
      </c>
      <c r="J13153">
        <v>0.59</v>
      </c>
      <c r="K13153">
        <v>1.02</v>
      </c>
      <c r="L13153">
        <v>0.96</v>
      </c>
      <c r="M13153">
        <v>1.1200000000000001</v>
      </c>
      <c r="N13153">
        <v>0.41</v>
      </c>
    </row>
    <row r="13154" spans="1:14" x14ac:dyDescent="0.25">
      <c r="A13154" t="s">
        <v>22503</v>
      </c>
      <c r="B13154" t="s">
        <v>22504</v>
      </c>
      <c r="C13154" s="1" t="str">
        <f>HYPERLINK("http://www.genecards.org/cgi-bin/carddisp.pl?gene=AMACR /// C1QTNF3","GeneCards")</f>
        <v>GeneCards</v>
      </c>
      <c r="D13154" s="1" t="str">
        <f>HYPERLINK("http://genome-euro.ucsc.edu/cgi-bin/hgTracks?position=220988_s_at","UCSC")</f>
        <v>UCSC</v>
      </c>
      <c r="E13154" s="1" t="str">
        <f>HYPERLINK("http://www.ncbi.nlm.nih.gov/gene/?term=AMACR /// C1QTNF3","NCBI")</f>
        <v>NCBI</v>
      </c>
      <c r="F13154">
        <v>0.43</v>
      </c>
      <c r="G13154">
        <v>0.55000000000000004</v>
      </c>
      <c r="H13154" s="1" t="str">
        <f>HYPERLINK("http://www.weizmann.ac.il/complex/compphys/software/geview/data/figures/220988_s_at.png","Figure")</f>
        <v>Figure</v>
      </c>
      <c r="I13154">
        <v>1.07</v>
      </c>
      <c r="J13154">
        <v>0.41</v>
      </c>
      <c r="K13154">
        <v>1.02</v>
      </c>
      <c r="L13154">
        <v>0.89</v>
      </c>
      <c r="M13154">
        <v>0.95499999999999996</v>
      </c>
      <c r="N13154">
        <v>0.6</v>
      </c>
    </row>
    <row r="13155" spans="1:14" x14ac:dyDescent="0.25">
      <c r="A13155" t="s">
        <v>22505</v>
      </c>
      <c r="B13155" t="s">
        <v>22506</v>
      </c>
      <c r="C13155" s="1" t="str">
        <f>HYPERLINK("http://www.genecards.org/cgi-bin/carddisp.pl?gene=DVL3","GeneCards")</f>
        <v>GeneCards</v>
      </c>
      <c r="D13155" s="1" t="str">
        <f>HYPERLINK("http://genome-euro.ucsc.edu/cgi-bin/hgTracks?position=201907_x_at","UCSC")</f>
        <v>UCSC</v>
      </c>
      <c r="E13155" s="1" t="str">
        <f>HYPERLINK("http://www.ncbi.nlm.nih.gov/gene/?term=DVL3","NCBI")</f>
        <v>NCBI</v>
      </c>
      <c r="F13155">
        <v>0.43</v>
      </c>
      <c r="G13155">
        <v>0.55000000000000004</v>
      </c>
      <c r="H13155" s="1" t="str">
        <f>HYPERLINK("http://www.weizmann.ac.il/complex/compphys/software/geview/data/figures/201907_x_at.png","Figure")</f>
        <v>Figure</v>
      </c>
      <c r="I13155">
        <v>1.07</v>
      </c>
      <c r="J13155">
        <v>0.44</v>
      </c>
      <c r="K13155">
        <v>1.05</v>
      </c>
      <c r="L13155">
        <v>0.56000000000000005</v>
      </c>
      <c r="M13155">
        <v>0.98099999999999998</v>
      </c>
      <c r="N13155">
        <v>0.93</v>
      </c>
    </row>
    <row r="13156" spans="1:14" x14ac:dyDescent="0.25">
      <c r="A13156" t="s">
        <v>22507</v>
      </c>
      <c r="B13156" t="s">
        <v>11143</v>
      </c>
      <c r="C13156" s="1" t="str">
        <f>HYPERLINK("http://www.genecards.org/cgi-bin/carddisp.pl?gene=PBX2","GeneCards")</f>
        <v>GeneCards</v>
      </c>
      <c r="D13156" s="1" t="str">
        <f>HYPERLINK("http://genome-euro.ucsc.edu/cgi-bin/hgTracks?position=202875_s_at","UCSC")</f>
        <v>UCSC</v>
      </c>
      <c r="E13156" s="1" t="str">
        <f>HYPERLINK("http://www.ncbi.nlm.nih.gov/gene/?term=PBX2","NCBI")</f>
        <v>NCBI</v>
      </c>
      <c r="F13156">
        <v>0.43</v>
      </c>
      <c r="G13156">
        <v>0.55000000000000004</v>
      </c>
      <c r="H13156" s="1" t="str">
        <f>HYPERLINK("http://www.weizmann.ac.il/complex/compphys/software/geview/data/figures/202875_s_at.png","Figure")</f>
        <v>Figure</v>
      </c>
      <c r="I13156">
        <v>0.91800000000000004</v>
      </c>
      <c r="J13156">
        <v>0.8</v>
      </c>
      <c r="K13156">
        <v>1.0900000000000001</v>
      </c>
      <c r="L13156">
        <v>0.77</v>
      </c>
      <c r="M13156">
        <v>1.18</v>
      </c>
      <c r="N13156">
        <v>0.4</v>
      </c>
    </row>
    <row r="13157" spans="1:14" x14ac:dyDescent="0.25">
      <c r="A13157" t="s">
        <v>22508</v>
      </c>
      <c r="B13157" t="s">
        <v>2870</v>
      </c>
      <c r="C13157" s="1" t="str">
        <f>HYPERLINK("http://www.genecards.org/cgi-bin/carddisp.pl?gene=USH1C","GeneCards")</f>
        <v>GeneCards</v>
      </c>
      <c r="D13157" s="1" t="str">
        <f>HYPERLINK("http://genome-euro.ucsc.edu/cgi-bin/hgTracks?position=205137_x_at","UCSC")</f>
        <v>UCSC</v>
      </c>
      <c r="E13157" s="1" t="str">
        <f>HYPERLINK("http://www.ncbi.nlm.nih.gov/gene/?term=USH1C","NCBI")</f>
        <v>NCBI</v>
      </c>
      <c r="F13157">
        <v>0.43</v>
      </c>
      <c r="G13157">
        <v>0.55000000000000004</v>
      </c>
      <c r="H13157" s="1" t="str">
        <f>HYPERLINK("http://www.weizmann.ac.il/complex/compphys/software/geview/data/figures/205137_x_at.png","Figure")</f>
        <v>Figure</v>
      </c>
      <c r="I13157">
        <v>1.1200000000000001</v>
      </c>
      <c r="J13157">
        <v>0.43</v>
      </c>
      <c r="K13157">
        <v>1.02</v>
      </c>
      <c r="L13157">
        <v>0.95</v>
      </c>
      <c r="M13157">
        <v>0.91400000000000003</v>
      </c>
      <c r="N13157">
        <v>0.54</v>
      </c>
    </row>
    <row r="13158" spans="1:14" x14ac:dyDescent="0.25">
      <c r="A13158" t="s">
        <v>22509</v>
      </c>
      <c r="B13158" t="s">
        <v>5138</v>
      </c>
      <c r="C13158" s="1" t="str">
        <f>HYPERLINK("http://www.genecards.org/cgi-bin/carddisp.pl?gene=WDR61","GeneCards")</f>
        <v>GeneCards</v>
      </c>
      <c r="D13158" s="1" t="str">
        <f>HYPERLINK("http://genome-euro.ucsc.edu/cgi-bin/hgTracks?position=215156_at","UCSC")</f>
        <v>UCSC</v>
      </c>
      <c r="E13158" s="1" t="str">
        <f>HYPERLINK("http://www.ncbi.nlm.nih.gov/gene/?term=WDR61","NCBI")</f>
        <v>NCBI</v>
      </c>
      <c r="F13158">
        <v>0.43</v>
      </c>
      <c r="G13158">
        <v>0.55000000000000004</v>
      </c>
      <c r="H13158" s="1" t="str">
        <f>HYPERLINK("http://www.weizmann.ac.il/complex/compphys/software/geview/data/figures/215156_at.png","Figure")</f>
        <v>Figure</v>
      </c>
      <c r="I13158">
        <v>1.08</v>
      </c>
      <c r="J13158">
        <v>0.69</v>
      </c>
      <c r="K13158">
        <v>0.95899999999999996</v>
      </c>
      <c r="L13158">
        <v>0.87</v>
      </c>
      <c r="M13158">
        <v>0.88500000000000001</v>
      </c>
      <c r="N13158">
        <v>0.4</v>
      </c>
    </row>
    <row r="13159" spans="1:14" x14ac:dyDescent="0.25">
      <c r="A13159" t="s">
        <v>22510</v>
      </c>
      <c r="B13159" t="s">
        <v>22511</v>
      </c>
      <c r="C13159" s="1" t="str">
        <f>HYPERLINK("http://www.genecards.org/cgi-bin/carddisp.pl?gene=TSC2","GeneCards")</f>
        <v>GeneCards</v>
      </c>
      <c r="D13159" s="1" t="str">
        <f>HYPERLINK("http://genome-euro.ucsc.edu/cgi-bin/hgTracks?position=215624_at","UCSC")</f>
        <v>UCSC</v>
      </c>
      <c r="E13159" s="1" t="str">
        <f>HYPERLINK("http://www.ncbi.nlm.nih.gov/gene/?term=TSC2","NCBI")</f>
        <v>NCBI</v>
      </c>
      <c r="F13159">
        <v>0.43</v>
      </c>
      <c r="G13159">
        <v>0.55000000000000004</v>
      </c>
      <c r="H13159" s="1" t="str">
        <f>HYPERLINK("http://www.weizmann.ac.il/complex/compphys/software/geview/data/figures/215624_at.png","Figure")</f>
        <v>Figure</v>
      </c>
      <c r="I13159">
        <v>1.08</v>
      </c>
      <c r="J13159">
        <v>0.48</v>
      </c>
      <c r="K13159">
        <v>1.07</v>
      </c>
      <c r="L13159">
        <v>0.5</v>
      </c>
      <c r="M13159">
        <v>0.98799999999999999</v>
      </c>
      <c r="N13159">
        <v>0.98</v>
      </c>
    </row>
    <row r="13160" spans="1:14" x14ac:dyDescent="0.25">
      <c r="A13160" t="s">
        <v>22512</v>
      </c>
      <c r="B13160" t="s">
        <v>22513</v>
      </c>
      <c r="C13160" s="1" t="str">
        <f>HYPERLINK("http://www.genecards.org/cgi-bin/carddisp.pl?gene=ID2 /// ID2B","GeneCards")</f>
        <v>GeneCards</v>
      </c>
      <c r="D13160" s="1" t="str">
        <f>HYPERLINK("http://genome-euro.ucsc.edu/cgi-bin/hgTracks?position=213931_at","UCSC")</f>
        <v>UCSC</v>
      </c>
      <c r="E13160" s="1" t="str">
        <f>HYPERLINK("http://www.ncbi.nlm.nih.gov/gene/?term=ID2 /// ID2B","NCBI")</f>
        <v>NCBI</v>
      </c>
      <c r="F13160">
        <v>0.43</v>
      </c>
      <c r="G13160">
        <v>0.55000000000000004</v>
      </c>
      <c r="H13160" s="1" t="str">
        <f>HYPERLINK("http://www.weizmann.ac.il/complex/compphys/software/geview/data/figures/213931_at.png","Figure")</f>
        <v>Figure</v>
      </c>
      <c r="I13160">
        <v>0.63700000000000001</v>
      </c>
      <c r="J13160">
        <v>0.48</v>
      </c>
      <c r="K13160">
        <v>0.97699999999999998</v>
      </c>
      <c r="L13160">
        <v>1</v>
      </c>
      <c r="M13160">
        <v>1.53</v>
      </c>
      <c r="N13160">
        <v>0.47</v>
      </c>
    </row>
    <row r="13161" spans="1:14" x14ac:dyDescent="0.25">
      <c r="A13161" t="s">
        <v>22514</v>
      </c>
      <c r="B13161" t="s">
        <v>22515</v>
      </c>
      <c r="C13161" s="1" t="str">
        <f>HYPERLINK("http://www.genecards.org/cgi-bin/carddisp.pl?gene=WFDC1","GeneCards")</f>
        <v>GeneCards</v>
      </c>
      <c r="D13161" s="1" t="str">
        <f>HYPERLINK("http://genome-euro.ucsc.edu/cgi-bin/hgTracks?position=219478_at","UCSC")</f>
        <v>UCSC</v>
      </c>
      <c r="E13161" s="1" t="str">
        <f>HYPERLINK("http://www.ncbi.nlm.nih.gov/gene/?term=WFDC1","NCBI")</f>
        <v>NCBI</v>
      </c>
      <c r="F13161">
        <v>0.43</v>
      </c>
      <c r="G13161">
        <v>0.55000000000000004</v>
      </c>
      <c r="H13161" s="1" t="str">
        <f>HYPERLINK("http://www.weizmann.ac.il/complex/compphys/software/geview/data/figures/219478_at.png","Figure")</f>
        <v>Figure</v>
      </c>
      <c r="I13161">
        <v>1.01</v>
      </c>
      <c r="J13161">
        <v>1</v>
      </c>
      <c r="K13161">
        <v>0.90100000000000002</v>
      </c>
      <c r="L13161">
        <v>0.52</v>
      </c>
      <c r="M13161">
        <v>0.89300000000000002</v>
      </c>
      <c r="N13161">
        <v>0.51</v>
      </c>
    </row>
    <row r="13162" spans="1:14" x14ac:dyDescent="0.25">
      <c r="A13162" t="s">
        <v>22516</v>
      </c>
      <c r="B13162" t="s">
        <v>22517</v>
      </c>
      <c r="C13162" s="1" t="str">
        <f>HYPERLINK("http://www.genecards.org/cgi-bin/carddisp.pl?gene=CXCR6","GeneCards")</f>
        <v>GeneCards</v>
      </c>
      <c r="D13162" s="1" t="str">
        <f>HYPERLINK("http://genome-euro.ucsc.edu/cgi-bin/hgTracks?position=211469_s_at","UCSC")</f>
        <v>UCSC</v>
      </c>
      <c r="E13162" s="1" t="str">
        <f>HYPERLINK("http://www.ncbi.nlm.nih.gov/gene/?term=CXCR6","NCBI")</f>
        <v>NCBI</v>
      </c>
      <c r="F13162">
        <v>0.43</v>
      </c>
      <c r="G13162">
        <v>0.55000000000000004</v>
      </c>
      <c r="H13162" s="1" t="str">
        <f>HYPERLINK("http://www.weizmann.ac.il/complex/compphys/software/geview/data/figures/211469_s_at.png","Figure")</f>
        <v>Figure</v>
      </c>
      <c r="I13162">
        <v>1.02</v>
      </c>
      <c r="J13162">
        <v>0.65</v>
      </c>
      <c r="K13162">
        <v>1.03</v>
      </c>
      <c r="L13162">
        <v>0.41</v>
      </c>
      <c r="M13162">
        <v>1.01</v>
      </c>
      <c r="N13162">
        <v>0.96</v>
      </c>
    </row>
    <row r="13163" spans="1:14" x14ac:dyDescent="0.25">
      <c r="A13163" t="s">
        <v>22518</v>
      </c>
      <c r="B13163" t="s">
        <v>20376</v>
      </c>
      <c r="C13163" s="1" t="str">
        <f>HYPERLINK("http://www.genecards.org/cgi-bin/carddisp.pl?gene=PPIB","GeneCards")</f>
        <v>GeneCards</v>
      </c>
      <c r="D13163" s="1" t="str">
        <f>HYPERLINK("http://genome-euro.ucsc.edu/cgi-bin/hgTracks?position=200968_s_at","UCSC")</f>
        <v>UCSC</v>
      </c>
      <c r="E13163" s="1" t="str">
        <f>HYPERLINK("http://www.ncbi.nlm.nih.gov/gene/?term=PPIB","NCBI")</f>
        <v>NCBI</v>
      </c>
      <c r="F13163">
        <v>0.43</v>
      </c>
      <c r="G13163">
        <v>0.55000000000000004</v>
      </c>
      <c r="H13163" s="1" t="str">
        <f>HYPERLINK("http://www.weizmann.ac.il/complex/compphys/software/geview/data/figures/200968_s_at.png","Figure")</f>
        <v>Figure</v>
      </c>
      <c r="I13163">
        <v>0.76200000000000001</v>
      </c>
      <c r="J13163">
        <v>0.4</v>
      </c>
      <c r="K13163">
        <v>0.89100000000000001</v>
      </c>
      <c r="L13163">
        <v>0.79</v>
      </c>
      <c r="M13163">
        <v>1.17</v>
      </c>
      <c r="N13163">
        <v>0.69</v>
      </c>
    </row>
    <row r="13164" spans="1:14" x14ac:dyDescent="0.25">
      <c r="A13164" t="s">
        <v>22519</v>
      </c>
      <c r="B13164" t="s">
        <v>16620</v>
      </c>
      <c r="C13164" s="1" t="str">
        <f>HYPERLINK("http://www.genecards.org/cgi-bin/carddisp.pl?gene=PLEKHB2","GeneCards")</f>
        <v>GeneCards</v>
      </c>
      <c r="D13164" s="1" t="str">
        <f>HYPERLINK("http://genome-euro.ucsc.edu/cgi-bin/hgTracks?position=201410_at","UCSC")</f>
        <v>UCSC</v>
      </c>
      <c r="E13164" s="1" t="str">
        <f>HYPERLINK("http://www.ncbi.nlm.nih.gov/gene/?term=PLEKHB2","NCBI")</f>
        <v>NCBI</v>
      </c>
      <c r="F13164">
        <v>0.43</v>
      </c>
      <c r="G13164">
        <v>0.55000000000000004</v>
      </c>
      <c r="H13164" s="1" t="str">
        <f>HYPERLINK("http://www.weizmann.ac.il/complex/compphys/software/geview/data/figures/201410_at.png","Figure")</f>
        <v>Figure</v>
      </c>
      <c r="I13164">
        <v>0.75900000000000001</v>
      </c>
      <c r="J13164">
        <v>0.41</v>
      </c>
      <c r="K13164">
        <v>0.92500000000000004</v>
      </c>
      <c r="L13164">
        <v>0.9</v>
      </c>
      <c r="M13164">
        <v>1.22</v>
      </c>
      <c r="N13164">
        <v>0.59</v>
      </c>
    </row>
    <row r="13165" spans="1:14" x14ac:dyDescent="0.25">
      <c r="A13165" t="s">
        <v>22520</v>
      </c>
      <c r="B13165" t="s">
        <v>19311</v>
      </c>
      <c r="C13165" s="1" t="str">
        <f>HYPERLINK("http://www.genecards.org/cgi-bin/carddisp.pl?gene=ATG5","GeneCards")</f>
        <v>GeneCards</v>
      </c>
      <c r="D13165" s="1" t="str">
        <f>HYPERLINK("http://genome-euro.ucsc.edu/cgi-bin/hgTracks?position=202511_s_at","UCSC")</f>
        <v>UCSC</v>
      </c>
      <c r="E13165" s="1" t="str">
        <f>HYPERLINK("http://www.ncbi.nlm.nih.gov/gene/?term=ATG5","NCBI")</f>
        <v>NCBI</v>
      </c>
      <c r="F13165">
        <v>0.43</v>
      </c>
      <c r="G13165">
        <v>0.55000000000000004</v>
      </c>
      <c r="H13165" s="1" t="str">
        <f>HYPERLINK("http://www.weizmann.ac.il/complex/compphys/software/geview/data/figures/202511_s_at.png","Figure")</f>
        <v>Figure</v>
      </c>
      <c r="I13165">
        <v>0.81299999999999994</v>
      </c>
      <c r="J13165">
        <v>0.64</v>
      </c>
      <c r="K13165">
        <v>1.08</v>
      </c>
      <c r="L13165">
        <v>0.92</v>
      </c>
      <c r="M13165">
        <v>1.33</v>
      </c>
      <c r="N13165">
        <v>0.4</v>
      </c>
    </row>
    <row r="13166" spans="1:14" x14ac:dyDescent="0.25">
      <c r="A13166" t="s">
        <v>22521</v>
      </c>
      <c r="B13166" t="s">
        <v>22522</v>
      </c>
      <c r="C13166" s="1" t="str">
        <f>HYPERLINK("http://www.genecards.org/cgi-bin/carddisp.pl?gene=SDC3","GeneCards")</f>
        <v>GeneCards</v>
      </c>
      <c r="D13166" s="1" t="str">
        <f>HYPERLINK("http://genome-euro.ucsc.edu/cgi-bin/hgTracks?position=202898_at","UCSC")</f>
        <v>UCSC</v>
      </c>
      <c r="E13166" s="1" t="str">
        <f>HYPERLINK("http://www.ncbi.nlm.nih.gov/gene/?term=SDC3","NCBI")</f>
        <v>NCBI</v>
      </c>
      <c r="F13166">
        <v>0.43</v>
      </c>
      <c r="G13166">
        <v>0.55000000000000004</v>
      </c>
      <c r="H13166" s="1" t="str">
        <f>HYPERLINK("http://www.weizmann.ac.il/complex/compphys/software/geview/data/figures/202898_at.png","Figure")</f>
        <v>Figure</v>
      </c>
      <c r="I13166">
        <v>1.02</v>
      </c>
      <c r="J13166">
        <v>0.41</v>
      </c>
      <c r="K13166">
        <v>1.01</v>
      </c>
      <c r="L13166">
        <v>0.89</v>
      </c>
      <c r="M13166">
        <v>0.98499999999999999</v>
      </c>
      <c r="N13166">
        <v>0.6</v>
      </c>
    </row>
    <row r="13167" spans="1:14" x14ac:dyDescent="0.25">
      <c r="A13167" t="s">
        <v>22523</v>
      </c>
      <c r="B13167" t="s">
        <v>22524</v>
      </c>
      <c r="C13167" s="1" t="str">
        <f>HYPERLINK("http://www.genecards.org/cgi-bin/carddisp.pl?gene=GFAP","GeneCards")</f>
        <v>GeneCards</v>
      </c>
      <c r="D13167" s="1" t="str">
        <f>HYPERLINK("http://genome-euro.ucsc.edu/cgi-bin/hgTracks?position=203540_at","UCSC")</f>
        <v>UCSC</v>
      </c>
      <c r="E13167" s="1" t="str">
        <f>HYPERLINK("http://www.ncbi.nlm.nih.gov/gene/?term=GFAP","NCBI")</f>
        <v>NCBI</v>
      </c>
      <c r="F13167">
        <v>0.43</v>
      </c>
      <c r="G13167">
        <v>0.55000000000000004</v>
      </c>
      <c r="H13167" s="1" t="str">
        <f>HYPERLINK("http://www.weizmann.ac.il/complex/compphys/software/geview/data/figures/203540_at.png","Figure")</f>
        <v>Figure</v>
      </c>
      <c r="I13167">
        <v>0.997</v>
      </c>
      <c r="J13167">
        <v>0.9</v>
      </c>
      <c r="K13167">
        <v>1.01</v>
      </c>
      <c r="L13167">
        <v>0.66</v>
      </c>
      <c r="M13167">
        <v>1.01</v>
      </c>
      <c r="N13167">
        <v>0.43</v>
      </c>
    </row>
    <row r="13168" spans="1:14" x14ac:dyDescent="0.25">
      <c r="A13168" t="s">
        <v>22525</v>
      </c>
      <c r="B13168" t="s">
        <v>22526</v>
      </c>
      <c r="C13168" s="1" t="str">
        <f>HYPERLINK("http://www.genecards.org/cgi-bin/carddisp.pl?gene=FLRT2","GeneCards")</f>
        <v>GeneCards</v>
      </c>
      <c r="D13168" s="1" t="str">
        <f>HYPERLINK("http://genome-euro.ucsc.edu/cgi-bin/hgTracks?position=204358_s_at","UCSC")</f>
        <v>UCSC</v>
      </c>
      <c r="E13168" s="1" t="str">
        <f>HYPERLINK("http://www.ncbi.nlm.nih.gov/gene/?term=FLRT2","NCBI")</f>
        <v>NCBI</v>
      </c>
      <c r="F13168">
        <v>0.43</v>
      </c>
      <c r="G13168">
        <v>0.55000000000000004</v>
      </c>
      <c r="H13168" s="1" t="str">
        <f>HYPERLINK("http://www.weizmann.ac.il/complex/compphys/software/geview/data/figures/204358_s_at.png","Figure")</f>
        <v>Figure</v>
      </c>
      <c r="I13168">
        <v>0.98299999999999998</v>
      </c>
      <c r="J13168">
        <v>0.4</v>
      </c>
      <c r="K13168">
        <v>0.99199999999999999</v>
      </c>
      <c r="L13168">
        <v>0.77</v>
      </c>
      <c r="M13168">
        <v>1.01</v>
      </c>
      <c r="N13168">
        <v>0.72</v>
      </c>
    </row>
    <row r="13169" spans="1:14" x14ac:dyDescent="0.25">
      <c r="A13169" t="s">
        <v>22527</v>
      </c>
      <c r="B13169" t="s">
        <v>5998</v>
      </c>
      <c r="C13169" s="1" t="str">
        <f>HYPERLINK("http://www.genecards.org/cgi-bin/carddisp.pl?gene=NAP1L1","GeneCards")</f>
        <v>GeneCards</v>
      </c>
      <c r="D13169" s="1" t="str">
        <f>HYPERLINK("http://genome-euro.ucsc.edu/cgi-bin/hgTracks?position=204528_s_at","UCSC")</f>
        <v>UCSC</v>
      </c>
      <c r="E13169" s="1" t="str">
        <f>HYPERLINK("http://www.ncbi.nlm.nih.gov/gene/?term=NAP1L1","NCBI")</f>
        <v>NCBI</v>
      </c>
      <c r="F13169">
        <v>0.43</v>
      </c>
      <c r="G13169">
        <v>0.55000000000000004</v>
      </c>
      <c r="H13169" s="1" t="str">
        <f>HYPERLINK("http://www.weizmann.ac.il/complex/compphys/software/geview/data/figures/204528_s_at.png","Figure")</f>
        <v>Figure</v>
      </c>
      <c r="I13169">
        <v>1.22</v>
      </c>
      <c r="J13169">
        <v>0.4</v>
      </c>
      <c r="K13169">
        <v>1.0900000000000001</v>
      </c>
      <c r="L13169">
        <v>0.78</v>
      </c>
      <c r="M13169">
        <v>0.89300000000000002</v>
      </c>
      <c r="N13169">
        <v>0.71</v>
      </c>
    </row>
    <row r="13170" spans="1:14" x14ac:dyDescent="0.25">
      <c r="A13170" t="s">
        <v>22528</v>
      </c>
      <c r="B13170" t="s">
        <v>22529</v>
      </c>
      <c r="C13170" s="1" t="str">
        <f>HYPERLINK("http://www.genecards.org/cgi-bin/carddisp.pl?gene=ZNF167","GeneCards")</f>
        <v>GeneCards</v>
      </c>
      <c r="D13170" s="1" t="str">
        <f>HYPERLINK("http://genome-euro.ucsc.edu/cgi-bin/hgTracks?position=206314_at","UCSC")</f>
        <v>UCSC</v>
      </c>
      <c r="E13170" s="1" t="str">
        <f>HYPERLINK("http://www.ncbi.nlm.nih.gov/gene/?term=ZNF167","NCBI")</f>
        <v>NCBI</v>
      </c>
      <c r="F13170">
        <v>0.43</v>
      </c>
      <c r="G13170">
        <v>0.55000000000000004</v>
      </c>
      <c r="H13170" s="1" t="str">
        <f>HYPERLINK("http://www.weizmann.ac.il/complex/compphys/software/geview/data/figures/206314_at.png","Figure")</f>
        <v>Figure</v>
      </c>
      <c r="I13170">
        <v>0.98299999999999998</v>
      </c>
      <c r="J13170">
        <v>0.92</v>
      </c>
      <c r="K13170">
        <v>0.95199999999999996</v>
      </c>
      <c r="L13170">
        <v>0.42</v>
      </c>
      <c r="M13170">
        <v>0.96799999999999997</v>
      </c>
      <c r="N13170">
        <v>0.71</v>
      </c>
    </row>
    <row r="13171" spans="1:14" x14ac:dyDescent="0.25">
      <c r="A13171" t="s">
        <v>22530</v>
      </c>
      <c r="B13171" t="s">
        <v>22531</v>
      </c>
      <c r="C13171" s="1" t="str">
        <f>HYPERLINK("http://www.genecards.org/cgi-bin/carddisp.pl?gene=FCER2","GeneCards")</f>
        <v>GeneCards</v>
      </c>
      <c r="D13171" s="1" t="str">
        <f>HYPERLINK("http://genome-euro.ucsc.edu/cgi-bin/hgTracks?position=206760_s_at","UCSC")</f>
        <v>UCSC</v>
      </c>
      <c r="E13171" s="1" t="str">
        <f>HYPERLINK("http://www.ncbi.nlm.nih.gov/gene/?term=FCER2","NCBI")</f>
        <v>NCBI</v>
      </c>
      <c r="F13171">
        <v>0.43</v>
      </c>
      <c r="G13171">
        <v>0.55000000000000004</v>
      </c>
      <c r="H13171" s="1" t="str">
        <f>HYPERLINK("http://www.weizmann.ac.il/complex/compphys/software/geview/data/figures/206760_s_at.png","Figure")</f>
        <v>Figure</v>
      </c>
      <c r="I13171">
        <v>1.02</v>
      </c>
      <c r="J13171">
        <v>0.91</v>
      </c>
      <c r="K13171">
        <v>0.96199999999999997</v>
      </c>
      <c r="L13171">
        <v>0.66</v>
      </c>
      <c r="M13171">
        <v>0.94199999999999995</v>
      </c>
      <c r="N13171">
        <v>0.43</v>
      </c>
    </row>
    <row r="13172" spans="1:14" x14ac:dyDescent="0.25">
      <c r="A13172" t="s">
        <v>22532</v>
      </c>
      <c r="B13172" t="s">
        <v>1702</v>
      </c>
      <c r="C13172" s="1" t="str">
        <f>HYPERLINK("http://www.genecards.org/cgi-bin/carddisp.pl?gene=GART","GeneCards")</f>
        <v>GeneCards</v>
      </c>
      <c r="D13172" s="1" t="str">
        <f>HYPERLINK("http://genome-euro.ucsc.edu/cgi-bin/hgTracks?position=210005_at","UCSC")</f>
        <v>UCSC</v>
      </c>
      <c r="E13172" s="1" t="str">
        <f>HYPERLINK("http://www.ncbi.nlm.nih.gov/gene/?term=GART","NCBI")</f>
        <v>NCBI</v>
      </c>
      <c r="F13172">
        <v>0.43</v>
      </c>
      <c r="G13172">
        <v>0.55000000000000004</v>
      </c>
      <c r="H13172" s="1" t="str">
        <f>HYPERLINK("http://www.weizmann.ac.il/complex/compphys/software/geview/data/figures/210005_at.png","Figure")</f>
        <v>Figure</v>
      </c>
      <c r="I13172">
        <v>0.99099999999999999</v>
      </c>
      <c r="J13172">
        <v>0.9</v>
      </c>
      <c r="K13172">
        <v>1.02</v>
      </c>
      <c r="L13172">
        <v>0.66</v>
      </c>
      <c r="M13172">
        <v>1.03</v>
      </c>
      <c r="N13172">
        <v>0.43</v>
      </c>
    </row>
    <row r="13173" spans="1:14" x14ac:dyDescent="0.25">
      <c r="A13173" t="s">
        <v>22533</v>
      </c>
      <c r="B13173" t="s">
        <v>22534</v>
      </c>
      <c r="C13173" s="1" t="str">
        <f>HYPERLINK("http://www.genecards.org/cgi-bin/carddisp.pl?gene=KIAA0232","GeneCards")</f>
        <v>GeneCards</v>
      </c>
      <c r="D13173" s="1" t="str">
        <f>HYPERLINK("http://genome-euro.ucsc.edu/cgi-bin/hgTracks?position=212441_at","UCSC")</f>
        <v>UCSC</v>
      </c>
      <c r="E13173" s="1" t="str">
        <f>HYPERLINK("http://www.ncbi.nlm.nih.gov/gene/?term=KIAA0232","NCBI")</f>
        <v>NCBI</v>
      </c>
      <c r="F13173">
        <v>0.43</v>
      </c>
      <c r="G13173">
        <v>0.55000000000000004</v>
      </c>
      <c r="H13173" s="1" t="str">
        <f>HYPERLINK("http://www.weizmann.ac.il/complex/compphys/software/geview/data/figures/212441_at.png","Figure")</f>
        <v>Figure</v>
      </c>
      <c r="I13173">
        <v>0.747</v>
      </c>
      <c r="J13173">
        <v>0.59</v>
      </c>
      <c r="K13173">
        <v>0.72</v>
      </c>
      <c r="L13173">
        <v>0.43</v>
      </c>
      <c r="M13173">
        <v>0.96299999999999997</v>
      </c>
      <c r="N13173">
        <v>0.99</v>
      </c>
    </row>
    <row r="13174" spans="1:14" x14ac:dyDescent="0.25">
      <c r="A13174" t="s">
        <v>22535</v>
      </c>
      <c r="B13174" t="s">
        <v>10045</v>
      </c>
      <c r="C13174" s="1" t="str">
        <f>HYPERLINK("http://www.genecards.org/cgi-bin/carddisp.pl?gene=STAT5B","GeneCards")</f>
        <v>GeneCards</v>
      </c>
      <c r="D13174" s="1" t="str">
        <f>HYPERLINK("http://genome-euro.ucsc.edu/cgi-bin/hgTracks?position=212550_at","UCSC")</f>
        <v>UCSC</v>
      </c>
      <c r="E13174" s="1" t="str">
        <f>HYPERLINK("http://www.ncbi.nlm.nih.gov/gene/?term=STAT5B","NCBI")</f>
        <v>NCBI</v>
      </c>
      <c r="F13174">
        <v>0.43</v>
      </c>
      <c r="G13174">
        <v>0.55000000000000004</v>
      </c>
      <c r="H13174" s="1" t="str">
        <f>HYPERLINK("http://www.weizmann.ac.il/complex/compphys/software/geview/data/figures/212550_at.png","Figure")</f>
        <v>Figure</v>
      </c>
      <c r="I13174">
        <v>0.98499999999999999</v>
      </c>
      <c r="J13174">
        <v>0.99</v>
      </c>
      <c r="K13174">
        <v>0.89300000000000002</v>
      </c>
      <c r="L13174">
        <v>0.46</v>
      </c>
      <c r="M13174">
        <v>0.90700000000000003</v>
      </c>
      <c r="N13174">
        <v>0.6</v>
      </c>
    </row>
    <row r="13175" spans="1:14" x14ac:dyDescent="0.25">
      <c r="A13175" t="s">
        <v>22536</v>
      </c>
      <c r="B13175" t="s">
        <v>17731</v>
      </c>
      <c r="C13175" s="1" t="str">
        <f>HYPERLINK("http://www.genecards.org/cgi-bin/carddisp.pl?gene=EIF4A1","GeneCards")</f>
        <v>GeneCards</v>
      </c>
      <c r="D13175" s="1" t="str">
        <f>HYPERLINK("http://genome-euro.ucsc.edu/cgi-bin/hgTracks?position=214805_at","UCSC")</f>
        <v>UCSC</v>
      </c>
      <c r="E13175" s="1" t="str">
        <f>HYPERLINK("http://www.ncbi.nlm.nih.gov/gene/?term=EIF4A1","NCBI")</f>
        <v>NCBI</v>
      </c>
      <c r="F13175">
        <v>0.43</v>
      </c>
      <c r="G13175">
        <v>0.55000000000000004</v>
      </c>
      <c r="H13175" s="1" t="str">
        <f>HYPERLINK("http://www.weizmann.ac.il/complex/compphys/software/geview/data/figures/214805_at.png","Figure")</f>
        <v>Figure</v>
      </c>
      <c r="I13175">
        <v>0.61199999999999999</v>
      </c>
      <c r="J13175">
        <v>0.4</v>
      </c>
      <c r="K13175">
        <v>0.79600000000000004</v>
      </c>
      <c r="L13175">
        <v>0.76</v>
      </c>
      <c r="M13175">
        <v>1.3</v>
      </c>
      <c r="N13175">
        <v>0.73</v>
      </c>
    </row>
    <row r="13176" spans="1:14" x14ac:dyDescent="0.25">
      <c r="A13176" t="s">
        <v>22537</v>
      </c>
      <c r="B13176" t="s">
        <v>22538</v>
      </c>
      <c r="C13176" s="1" t="str">
        <f>HYPERLINK("http://www.genecards.org/cgi-bin/carddisp.pl?gene=NOS1AP","GeneCards")</f>
        <v>GeneCards</v>
      </c>
      <c r="D13176" s="1" t="str">
        <f>HYPERLINK("http://genome-euro.ucsc.edu/cgi-bin/hgTracks?position=215153_at","UCSC")</f>
        <v>UCSC</v>
      </c>
      <c r="E13176" s="1" t="str">
        <f>HYPERLINK("http://www.ncbi.nlm.nih.gov/gene/?term=NOS1AP","NCBI")</f>
        <v>NCBI</v>
      </c>
      <c r="F13176">
        <v>0.43</v>
      </c>
      <c r="G13176">
        <v>0.55000000000000004</v>
      </c>
      <c r="H13176" s="1" t="str">
        <f>HYPERLINK("http://www.weizmann.ac.il/complex/compphys/software/geview/data/figures/215153_at.png","Figure")</f>
        <v>Figure</v>
      </c>
      <c r="I13176">
        <v>1.1399999999999999</v>
      </c>
      <c r="J13176">
        <v>0.48</v>
      </c>
      <c r="K13176">
        <v>1.01</v>
      </c>
      <c r="L13176">
        <v>1</v>
      </c>
      <c r="M13176">
        <v>0.88</v>
      </c>
      <c r="N13176">
        <v>0.47</v>
      </c>
    </row>
    <row r="13177" spans="1:14" x14ac:dyDescent="0.25">
      <c r="A13177" t="s">
        <v>22539</v>
      </c>
      <c r="B13177" t="s">
        <v>6540</v>
      </c>
      <c r="C13177" s="1" t="str">
        <f>HYPERLINK("http://www.genecards.org/cgi-bin/carddisp.pl?gene=VPS13C","GeneCards")</f>
        <v>GeneCards</v>
      </c>
      <c r="D13177" s="1" t="str">
        <f>HYPERLINK("http://genome-euro.ucsc.edu/cgi-bin/hgTracks?position=218396_at","UCSC")</f>
        <v>UCSC</v>
      </c>
      <c r="E13177" s="1" t="str">
        <f>HYPERLINK("http://www.ncbi.nlm.nih.gov/gene/?term=VPS13C","NCBI")</f>
        <v>NCBI</v>
      </c>
      <c r="F13177">
        <v>0.43</v>
      </c>
      <c r="G13177">
        <v>0.55000000000000004</v>
      </c>
      <c r="H13177" s="1" t="str">
        <f>HYPERLINK("http://www.weizmann.ac.il/complex/compphys/software/geview/data/figures/218396_at.png","Figure")</f>
        <v>Figure</v>
      </c>
      <c r="I13177">
        <v>0.66700000000000004</v>
      </c>
      <c r="J13177">
        <v>0.44</v>
      </c>
      <c r="K13177">
        <v>0.745</v>
      </c>
      <c r="L13177">
        <v>0.56000000000000005</v>
      </c>
      <c r="M13177">
        <v>1.1200000000000001</v>
      </c>
      <c r="N13177">
        <v>0.93</v>
      </c>
    </row>
    <row r="13178" spans="1:14" x14ac:dyDescent="0.25">
      <c r="A13178" t="s">
        <v>22540</v>
      </c>
      <c r="B13178" t="s">
        <v>22541</v>
      </c>
      <c r="C13178" s="1" t="str">
        <f>HYPERLINK("http://www.genecards.org/cgi-bin/carddisp.pl?gene=ATP1A1","GeneCards")</f>
        <v>GeneCards</v>
      </c>
      <c r="D13178" s="1" t="str">
        <f>HYPERLINK("http://genome-euro.ucsc.edu/cgi-bin/hgTracks?position=220948_s_at","UCSC")</f>
        <v>UCSC</v>
      </c>
      <c r="E13178" s="1" t="str">
        <f>HYPERLINK("http://www.ncbi.nlm.nih.gov/gene/?term=ATP1A1","NCBI")</f>
        <v>NCBI</v>
      </c>
      <c r="F13178">
        <v>0.43</v>
      </c>
      <c r="G13178">
        <v>0.55000000000000004</v>
      </c>
      <c r="H13178" s="1" t="str">
        <f>HYPERLINK("http://www.weizmann.ac.il/complex/compphys/software/geview/data/figures/220948_s_at.png","Figure")</f>
        <v>Figure</v>
      </c>
      <c r="I13178">
        <v>1.02</v>
      </c>
      <c r="J13178">
        <v>0.97</v>
      </c>
      <c r="K13178">
        <v>1.0900000000000001</v>
      </c>
      <c r="L13178">
        <v>0.44</v>
      </c>
      <c r="M13178">
        <v>1.07</v>
      </c>
      <c r="N13178">
        <v>0.64</v>
      </c>
    </row>
    <row r="13179" spans="1:14" x14ac:dyDescent="0.25">
      <c r="A13179" t="s">
        <v>22542</v>
      </c>
      <c r="B13179" t="s">
        <v>3274</v>
      </c>
      <c r="C13179" s="1" t="str">
        <f>HYPERLINK("http://www.genecards.org/cgi-bin/carddisp.pl?gene=SMARCA4","GeneCards")</f>
        <v>GeneCards</v>
      </c>
      <c r="D13179" s="1" t="str">
        <f>HYPERLINK("http://genome-euro.ucsc.edu/cgi-bin/hgTracks?position=213720_s_at","UCSC")</f>
        <v>UCSC</v>
      </c>
      <c r="E13179" s="1" t="str">
        <f>HYPERLINK("http://www.ncbi.nlm.nih.gov/gene/?term=SMARCA4","NCBI")</f>
        <v>NCBI</v>
      </c>
      <c r="F13179">
        <v>0.43</v>
      </c>
      <c r="G13179">
        <v>0.55000000000000004</v>
      </c>
      <c r="H13179" s="1" t="str">
        <f>HYPERLINK("http://www.weizmann.ac.il/complex/compphys/software/geview/data/figures/213720_s_at.png","Figure")</f>
        <v>Figure</v>
      </c>
      <c r="I13179">
        <v>1.3</v>
      </c>
      <c r="J13179">
        <v>0.47</v>
      </c>
      <c r="K13179">
        <v>1.02</v>
      </c>
      <c r="L13179">
        <v>0.99</v>
      </c>
      <c r="M13179">
        <v>0.78500000000000003</v>
      </c>
      <c r="N13179">
        <v>0.48</v>
      </c>
    </row>
    <row r="13180" spans="1:14" x14ac:dyDescent="0.25">
      <c r="A13180" t="s">
        <v>22543</v>
      </c>
      <c r="B13180" t="s">
        <v>22544</v>
      </c>
      <c r="C13180" s="1" t="str">
        <f>HYPERLINK("http://www.genecards.org/cgi-bin/carddisp.pl?gene=APC","GeneCards")</f>
        <v>GeneCards</v>
      </c>
      <c r="D13180" s="1" t="str">
        <f>HYPERLINK("http://genome-euro.ucsc.edu/cgi-bin/hgTracks?position=203525_s_at","UCSC")</f>
        <v>UCSC</v>
      </c>
      <c r="E13180" s="1" t="str">
        <f>HYPERLINK("http://www.ncbi.nlm.nih.gov/gene/?term=APC","NCBI")</f>
        <v>NCBI</v>
      </c>
      <c r="F13180">
        <v>0.43</v>
      </c>
      <c r="G13180">
        <v>0.55000000000000004</v>
      </c>
      <c r="H13180" s="1" t="str">
        <f>HYPERLINK("http://www.weizmann.ac.il/complex/compphys/software/geview/data/figures/203525_s_at.png","Figure")</f>
        <v>Figure</v>
      </c>
      <c r="I13180">
        <v>0.94799999999999995</v>
      </c>
      <c r="J13180">
        <v>0.81</v>
      </c>
      <c r="K13180">
        <v>0.90400000000000003</v>
      </c>
      <c r="L13180">
        <v>0.4</v>
      </c>
      <c r="M13180">
        <v>0.95399999999999996</v>
      </c>
      <c r="N13180">
        <v>0.83</v>
      </c>
    </row>
    <row r="13181" spans="1:14" x14ac:dyDescent="0.25">
      <c r="A13181" t="s">
        <v>22545</v>
      </c>
      <c r="B13181" t="s">
        <v>3514</v>
      </c>
      <c r="C13181" s="1" t="str">
        <f>HYPERLINK("http://www.genecards.org/cgi-bin/carddisp.pl?gene=STAG2","GeneCards")</f>
        <v>GeneCards</v>
      </c>
      <c r="D13181" s="1" t="str">
        <f>HYPERLINK("http://genome-euro.ucsc.edu/cgi-bin/hgTracks?position=207983_s_at","UCSC")</f>
        <v>UCSC</v>
      </c>
      <c r="E13181" s="1" t="str">
        <f>HYPERLINK("http://www.ncbi.nlm.nih.gov/gene/?term=STAG2","NCBI")</f>
        <v>NCBI</v>
      </c>
      <c r="F13181">
        <v>0.43</v>
      </c>
      <c r="G13181">
        <v>0.55000000000000004</v>
      </c>
      <c r="H13181" s="1" t="str">
        <f>HYPERLINK("http://www.weizmann.ac.il/complex/compphys/software/geview/data/figures/207983_s_at.png","Figure")</f>
        <v>Figure</v>
      </c>
      <c r="I13181">
        <v>0.80300000000000005</v>
      </c>
      <c r="J13181">
        <v>0.42</v>
      </c>
      <c r="K13181">
        <v>0.94299999999999995</v>
      </c>
      <c r="L13181">
        <v>0.92</v>
      </c>
      <c r="M13181">
        <v>1.17</v>
      </c>
      <c r="N13181">
        <v>0.56999999999999995</v>
      </c>
    </row>
    <row r="13182" spans="1:14" x14ac:dyDescent="0.25">
      <c r="A13182" t="s">
        <v>22546</v>
      </c>
      <c r="B13182" t="s">
        <v>13997</v>
      </c>
      <c r="C13182" s="1" t="str">
        <f>HYPERLINK("http://www.genecards.org/cgi-bin/carddisp.pl?gene=WBP4","GeneCards")</f>
        <v>GeneCards</v>
      </c>
      <c r="D13182" s="1" t="str">
        <f>HYPERLINK("http://genome-euro.ucsc.edu/cgi-bin/hgTracks?position=203597_s_at","UCSC")</f>
        <v>UCSC</v>
      </c>
      <c r="E13182" s="1" t="str">
        <f>HYPERLINK("http://www.ncbi.nlm.nih.gov/gene/?term=WBP4","NCBI")</f>
        <v>NCBI</v>
      </c>
      <c r="F13182">
        <v>0.43</v>
      </c>
      <c r="G13182">
        <v>0.55000000000000004</v>
      </c>
      <c r="H13182" s="1" t="str">
        <f>HYPERLINK("http://www.weizmann.ac.il/complex/compphys/software/geview/data/figures/203597_s_at.png","Figure")</f>
        <v>Figure</v>
      </c>
      <c r="I13182">
        <v>0.84299999999999997</v>
      </c>
      <c r="J13182">
        <v>0.54</v>
      </c>
      <c r="K13182">
        <v>0.84199999999999997</v>
      </c>
      <c r="L13182">
        <v>0.45</v>
      </c>
      <c r="M13182">
        <v>1</v>
      </c>
      <c r="N13182">
        <v>1</v>
      </c>
    </row>
    <row r="13183" spans="1:14" x14ac:dyDescent="0.25">
      <c r="A13183" t="s">
        <v>22547</v>
      </c>
      <c r="B13183" t="s">
        <v>22548</v>
      </c>
      <c r="C13183" s="1" t="str">
        <f>HYPERLINK("http://www.genecards.org/cgi-bin/carddisp.pl?gene=C3orf32","GeneCards")</f>
        <v>GeneCards</v>
      </c>
      <c r="D13183" s="1" t="str">
        <f>HYPERLINK("http://genome-euro.ucsc.edu/cgi-bin/hgTracks?position=206741_at","UCSC")</f>
        <v>UCSC</v>
      </c>
      <c r="E13183" s="1" t="str">
        <f>HYPERLINK("http://www.ncbi.nlm.nih.gov/gene/?term=C3orf32","NCBI")</f>
        <v>NCBI</v>
      </c>
      <c r="F13183">
        <v>0.43</v>
      </c>
      <c r="G13183">
        <v>0.55000000000000004</v>
      </c>
      <c r="H13183" s="1" t="str">
        <f>HYPERLINK("http://www.weizmann.ac.il/complex/compphys/software/geview/data/figures/206741_at.png","Figure")</f>
        <v>Figure</v>
      </c>
      <c r="I13183">
        <v>1.1000000000000001</v>
      </c>
      <c r="J13183">
        <v>0.44</v>
      </c>
      <c r="K13183">
        <v>1.02</v>
      </c>
      <c r="L13183">
        <v>0.97</v>
      </c>
      <c r="M13183">
        <v>0.92400000000000004</v>
      </c>
      <c r="N13183">
        <v>0.51</v>
      </c>
    </row>
    <row r="13184" spans="1:14" x14ac:dyDescent="0.25">
      <c r="A13184" t="s">
        <v>22549</v>
      </c>
      <c r="B13184" t="s">
        <v>3859</v>
      </c>
      <c r="C13184" s="1" t="str">
        <f>HYPERLINK("http://www.genecards.org/cgi-bin/carddisp.pl?gene=CSE1L","GeneCards")</f>
        <v>GeneCards</v>
      </c>
      <c r="D13184" s="1" t="str">
        <f>HYPERLINK("http://genome-euro.ucsc.edu/cgi-bin/hgTracks?position=210766_s_at","UCSC")</f>
        <v>UCSC</v>
      </c>
      <c r="E13184" s="1" t="str">
        <f>HYPERLINK("http://www.ncbi.nlm.nih.gov/gene/?term=CSE1L","NCBI")</f>
        <v>NCBI</v>
      </c>
      <c r="F13184">
        <v>0.43</v>
      </c>
      <c r="G13184">
        <v>0.55000000000000004</v>
      </c>
      <c r="H13184" s="1" t="str">
        <f>HYPERLINK("http://www.weizmann.ac.il/complex/compphys/software/geview/data/figures/210766_s_at.png","Figure")</f>
        <v>Figure</v>
      </c>
      <c r="I13184">
        <v>1.0900000000000001</v>
      </c>
      <c r="J13184">
        <v>0.9</v>
      </c>
      <c r="K13184">
        <v>0.86799999999999999</v>
      </c>
      <c r="L13184">
        <v>0.67</v>
      </c>
      <c r="M13184">
        <v>0.79800000000000004</v>
      </c>
      <c r="N13184">
        <v>0.43</v>
      </c>
    </row>
    <row r="13185" spans="1:14" x14ac:dyDescent="0.25">
      <c r="A13185" t="s">
        <v>22550</v>
      </c>
      <c r="B13185" t="s">
        <v>10690</v>
      </c>
      <c r="C13185" s="1" t="str">
        <f>HYPERLINK("http://www.genecards.org/cgi-bin/carddisp.pl?gene=LAT /// SPNS1","GeneCards")</f>
        <v>GeneCards</v>
      </c>
      <c r="D13185" s="1" t="str">
        <f>HYPERLINK("http://genome-euro.ucsc.edu/cgi-bin/hgTracks?position=211005_at","UCSC")</f>
        <v>UCSC</v>
      </c>
      <c r="E13185" s="1" t="str">
        <f>HYPERLINK("http://www.ncbi.nlm.nih.gov/gene/?term=LAT /// SPNS1","NCBI")</f>
        <v>NCBI</v>
      </c>
      <c r="F13185">
        <v>0.43</v>
      </c>
      <c r="G13185">
        <v>0.55000000000000004</v>
      </c>
      <c r="H13185" s="1" t="str">
        <f>HYPERLINK("http://www.weizmann.ac.il/complex/compphys/software/geview/data/figures/211005_at.png","Figure")</f>
        <v>Figure</v>
      </c>
      <c r="I13185">
        <v>1.04</v>
      </c>
      <c r="J13185">
        <v>0.98</v>
      </c>
      <c r="K13185">
        <v>1.22</v>
      </c>
      <c r="L13185">
        <v>0.45</v>
      </c>
      <c r="M13185">
        <v>1.17</v>
      </c>
      <c r="N13185">
        <v>0.62</v>
      </c>
    </row>
    <row r="13186" spans="1:14" x14ac:dyDescent="0.25">
      <c r="A13186" t="s">
        <v>22551</v>
      </c>
      <c r="B13186" t="s">
        <v>21127</v>
      </c>
      <c r="C13186" s="1" t="str">
        <f>HYPERLINK("http://www.genecards.org/cgi-bin/carddisp.pl?gene=ICOSLG","GeneCards")</f>
        <v>GeneCards</v>
      </c>
      <c r="D13186" s="1" t="str">
        <f>HYPERLINK("http://genome-euro.ucsc.edu/cgi-bin/hgTracks?position=211197_s_at","UCSC")</f>
        <v>UCSC</v>
      </c>
      <c r="E13186" s="1" t="str">
        <f>HYPERLINK("http://www.ncbi.nlm.nih.gov/gene/?term=ICOSLG","NCBI")</f>
        <v>NCBI</v>
      </c>
      <c r="F13186">
        <v>0.43</v>
      </c>
      <c r="G13186">
        <v>0.55000000000000004</v>
      </c>
      <c r="H13186" s="1" t="str">
        <f>HYPERLINK("http://www.weizmann.ac.il/complex/compphys/software/geview/data/figures/211197_s_at.png","Figure")</f>
        <v>Figure</v>
      </c>
      <c r="I13186">
        <v>0.93700000000000006</v>
      </c>
      <c r="J13186">
        <v>0.74</v>
      </c>
      <c r="K13186">
        <v>0.90500000000000003</v>
      </c>
      <c r="L13186">
        <v>0.4</v>
      </c>
      <c r="M13186">
        <v>0.96499999999999997</v>
      </c>
      <c r="N13186">
        <v>0.9</v>
      </c>
    </row>
    <row r="13187" spans="1:14" x14ac:dyDescent="0.25">
      <c r="A13187" t="s">
        <v>22552</v>
      </c>
      <c r="B13187" t="s">
        <v>22553</v>
      </c>
      <c r="C13187" s="1" t="str">
        <f>HYPERLINK("http://www.genecards.org/cgi-bin/carddisp.pl?gene=TOLLIP","GeneCards")</f>
        <v>GeneCards</v>
      </c>
      <c r="D13187" s="1" t="str">
        <f>HYPERLINK("http://genome-euro.ucsc.edu/cgi-bin/hgTracks?position=217930_s_at","UCSC")</f>
        <v>UCSC</v>
      </c>
      <c r="E13187" s="1" t="str">
        <f>HYPERLINK("http://www.ncbi.nlm.nih.gov/gene/?term=TOLLIP","NCBI")</f>
        <v>NCBI</v>
      </c>
      <c r="F13187">
        <v>0.43</v>
      </c>
      <c r="G13187">
        <v>0.55000000000000004</v>
      </c>
      <c r="H13187" s="1" t="str">
        <f>HYPERLINK("http://www.weizmann.ac.il/complex/compphys/software/geview/data/figures/217930_s_at.png","Figure")</f>
        <v>Figure</v>
      </c>
      <c r="I13187">
        <v>1.05</v>
      </c>
      <c r="J13187">
        <v>0.81</v>
      </c>
      <c r="K13187">
        <v>1.0900000000000001</v>
      </c>
      <c r="L13187">
        <v>0.4</v>
      </c>
      <c r="M13187">
        <v>1.04</v>
      </c>
      <c r="N13187">
        <v>0.83</v>
      </c>
    </row>
    <row r="13188" spans="1:14" x14ac:dyDescent="0.25">
      <c r="A13188" t="s">
        <v>22554</v>
      </c>
      <c r="B13188" t="s">
        <v>22555</v>
      </c>
      <c r="C13188" s="1" t="str">
        <f>HYPERLINK("http://www.genecards.org/cgi-bin/carddisp.pl?gene=GIPR","GeneCards")</f>
        <v>GeneCards</v>
      </c>
      <c r="D13188" s="1" t="str">
        <f>HYPERLINK("http://genome-euro.ucsc.edu/cgi-bin/hgTracks?position=208105_at","UCSC")</f>
        <v>UCSC</v>
      </c>
      <c r="E13188" s="1" t="str">
        <f>HYPERLINK("http://www.ncbi.nlm.nih.gov/gene/?term=GIPR","NCBI")</f>
        <v>NCBI</v>
      </c>
      <c r="F13188">
        <v>0.43</v>
      </c>
      <c r="G13188">
        <v>0.55000000000000004</v>
      </c>
      <c r="H13188" s="1" t="str">
        <f>HYPERLINK("http://www.weizmann.ac.il/complex/compphys/software/geview/data/figures/208105_at.png","Figure")</f>
        <v>Figure</v>
      </c>
      <c r="I13188">
        <v>1.01</v>
      </c>
      <c r="J13188">
        <v>0.49</v>
      </c>
      <c r="K13188">
        <v>1.01</v>
      </c>
      <c r="L13188">
        <v>0.5</v>
      </c>
      <c r="M13188">
        <v>0.999</v>
      </c>
      <c r="N13188">
        <v>0.98</v>
      </c>
    </row>
    <row r="13189" spans="1:14" x14ac:dyDescent="0.25">
      <c r="A13189" t="s">
        <v>22556</v>
      </c>
      <c r="B13189" t="s">
        <v>20239</v>
      </c>
      <c r="C13189" s="1" t="str">
        <f>HYPERLINK("http://www.genecards.org/cgi-bin/carddisp.pl?gene=GAL","GeneCards")</f>
        <v>GeneCards</v>
      </c>
      <c r="D13189" s="1" t="str">
        <f>HYPERLINK("http://genome-euro.ucsc.edu/cgi-bin/hgTracks?position=214240_at","UCSC")</f>
        <v>UCSC</v>
      </c>
      <c r="E13189" s="1" t="str">
        <f>HYPERLINK("http://www.ncbi.nlm.nih.gov/gene/?term=GAL","NCBI")</f>
        <v>NCBI</v>
      </c>
      <c r="F13189">
        <v>0.43</v>
      </c>
      <c r="G13189">
        <v>0.55000000000000004</v>
      </c>
      <c r="H13189" s="1" t="str">
        <f>HYPERLINK("http://www.weizmann.ac.il/complex/compphys/software/geview/data/figures/214240_at.png","Figure")</f>
        <v>Figure</v>
      </c>
      <c r="I13189">
        <v>1</v>
      </c>
      <c r="J13189">
        <v>1</v>
      </c>
      <c r="K13189">
        <v>0.99399999999999999</v>
      </c>
      <c r="L13189">
        <v>0.5</v>
      </c>
      <c r="M13189">
        <v>0.99399999999999999</v>
      </c>
      <c r="N13189">
        <v>0.54</v>
      </c>
    </row>
    <row r="13190" spans="1:14" x14ac:dyDescent="0.25">
      <c r="A13190" t="s">
        <v>22557</v>
      </c>
      <c r="B13190" t="s">
        <v>22558</v>
      </c>
      <c r="C13190" s="1" t="str">
        <f>HYPERLINK("http://www.genecards.org/cgi-bin/carddisp.pl?gene=GHSR","GeneCards")</f>
        <v>GeneCards</v>
      </c>
      <c r="D13190" s="1" t="str">
        <f>HYPERLINK("http://genome-euro.ucsc.edu/cgi-bin/hgTracks?position=221360_s_at","UCSC")</f>
        <v>UCSC</v>
      </c>
      <c r="E13190" s="1" t="str">
        <f>HYPERLINK("http://www.ncbi.nlm.nih.gov/gene/?term=GHSR","NCBI")</f>
        <v>NCBI</v>
      </c>
      <c r="F13190">
        <v>0.43</v>
      </c>
      <c r="G13190">
        <v>0.55000000000000004</v>
      </c>
      <c r="H13190" s="1" t="str">
        <f>HYPERLINK("http://www.weizmann.ac.il/complex/compphys/software/geview/data/figures/221360_s_at.png","Figure")</f>
        <v>Figure</v>
      </c>
      <c r="I13190">
        <v>1.01</v>
      </c>
      <c r="J13190">
        <v>0.49</v>
      </c>
      <c r="K13190">
        <v>1.01</v>
      </c>
      <c r="L13190">
        <v>0.5</v>
      </c>
      <c r="M13190">
        <v>0.999</v>
      </c>
      <c r="N13190">
        <v>0.98</v>
      </c>
    </row>
    <row r="13191" spans="1:14" x14ac:dyDescent="0.25">
      <c r="A13191" t="s">
        <v>22559</v>
      </c>
      <c r="B13191" t="s">
        <v>22560</v>
      </c>
      <c r="C13191" s="1" t="str">
        <f>HYPERLINK("http://www.genecards.org/cgi-bin/carddisp.pl?gene=FAHD2A /// FAHD2B /// LOC729234","GeneCards")</f>
        <v>GeneCards</v>
      </c>
      <c r="D13191" s="1" t="str">
        <f>HYPERLINK("http://genome-euro.ucsc.edu/cgi-bin/hgTracks?position=222055_at","UCSC")</f>
        <v>UCSC</v>
      </c>
      <c r="E13191" s="1" t="str">
        <f>HYPERLINK("http://www.ncbi.nlm.nih.gov/gene/?term=FAHD2A /// FAHD2B /// LOC729234","NCBI")</f>
        <v>NCBI</v>
      </c>
      <c r="F13191">
        <v>0.43</v>
      </c>
      <c r="G13191">
        <v>0.55000000000000004</v>
      </c>
      <c r="H13191" s="1" t="str">
        <f>HYPERLINK("http://www.weizmann.ac.il/complex/compphys/software/geview/data/figures/222055_at.png","Figure")</f>
        <v>Figure</v>
      </c>
      <c r="I13191">
        <v>1.01</v>
      </c>
      <c r="J13191">
        <v>0.49</v>
      </c>
      <c r="K13191">
        <v>1.01</v>
      </c>
      <c r="L13191">
        <v>0.5</v>
      </c>
      <c r="M13191">
        <v>0.999</v>
      </c>
      <c r="N13191">
        <v>0.98</v>
      </c>
    </row>
    <row r="13192" spans="1:14" x14ac:dyDescent="0.25">
      <c r="A13192" t="s">
        <v>22561</v>
      </c>
      <c r="B13192" t="s">
        <v>22562</v>
      </c>
      <c r="C13192" s="1" t="str">
        <f>HYPERLINK("http://www.genecards.org/cgi-bin/carddisp.pl?gene=EPHA5","GeneCards")</f>
        <v>GeneCards</v>
      </c>
      <c r="D13192" s="1" t="str">
        <f>HYPERLINK("http://genome-euro.ucsc.edu/cgi-bin/hgTracks?position=216837_at","UCSC")</f>
        <v>UCSC</v>
      </c>
      <c r="E13192" s="1" t="str">
        <f>HYPERLINK("http://www.ncbi.nlm.nih.gov/gene/?term=EPHA5","NCBI")</f>
        <v>NCBI</v>
      </c>
      <c r="F13192">
        <v>0.43</v>
      </c>
      <c r="G13192">
        <v>0.55000000000000004</v>
      </c>
      <c r="H13192" s="1" t="str">
        <f>HYPERLINK("http://www.weizmann.ac.il/complex/compphys/software/geview/data/figures/216837_at.png","Figure")</f>
        <v>Figure</v>
      </c>
      <c r="I13192">
        <v>1.1200000000000001</v>
      </c>
      <c r="J13192">
        <v>0.4</v>
      </c>
      <c r="K13192">
        <v>1.06</v>
      </c>
      <c r="L13192">
        <v>0.72</v>
      </c>
      <c r="M13192">
        <v>0.94499999999999995</v>
      </c>
      <c r="N13192">
        <v>0.77</v>
      </c>
    </row>
    <row r="13193" spans="1:14" x14ac:dyDescent="0.25">
      <c r="A13193" t="s">
        <v>22563</v>
      </c>
      <c r="B13193" t="s">
        <v>22564</v>
      </c>
      <c r="C13193" s="1" t="str">
        <f>HYPERLINK("http://www.genecards.org/cgi-bin/carddisp.pl?gene=GRIN2C","GeneCards")</f>
        <v>GeneCards</v>
      </c>
      <c r="D13193" s="1" t="str">
        <f>HYPERLINK("http://genome-euro.ucsc.edu/cgi-bin/hgTracks?position=210400_at","UCSC")</f>
        <v>UCSC</v>
      </c>
      <c r="E13193" s="1" t="str">
        <f>HYPERLINK("http://www.ncbi.nlm.nih.gov/gene/?term=GRIN2C","NCBI")</f>
        <v>NCBI</v>
      </c>
      <c r="F13193">
        <v>0.43</v>
      </c>
      <c r="G13193">
        <v>0.55000000000000004</v>
      </c>
      <c r="H13193" s="1" t="str">
        <f>HYPERLINK("http://www.weizmann.ac.il/complex/compphys/software/geview/data/figures/210400_at.png","Figure")</f>
        <v>Figure</v>
      </c>
      <c r="I13193">
        <v>1.02</v>
      </c>
      <c r="J13193">
        <v>0.83</v>
      </c>
      <c r="K13193">
        <v>1.04</v>
      </c>
      <c r="L13193">
        <v>0.4</v>
      </c>
      <c r="M13193">
        <v>1.02</v>
      </c>
      <c r="N13193">
        <v>0.82</v>
      </c>
    </row>
    <row r="13194" spans="1:14" x14ac:dyDescent="0.25">
      <c r="A13194" t="s">
        <v>22565</v>
      </c>
      <c r="B13194" t="s">
        <v>16454</v>
      </c>
      <c r="C13194" s="1" t="str">
        <f>HYPERLINK("http://www.genecards.org/cgi-bin/carddisp.pl?gene=MOCS1","GeneCards")</f>
        <v>GeneCards</v>
      </c>
      <c r="D13194" s="1" t="str">
        <f>HYPERLINK("http://genome-euro.ucsc.edu/cgi-bin/hgTracks?position=213181_s_at","UCSC")</f>
        <v>UCSC</v>
      </c>
      <c r="E13194" s="1" t="str">
        <f>HYPERLINK("http://www.ncbi.nlm.nih.gov/gene/?term=MOCS1","NCBI")</f>
        <v>NCBI</v>
      </c>
      <c r="F13194">
        <v>0.43</v>
      </c>
      <c r="G13194">
        <v>0.55000000000000004</v>
      </c>
      <c r="H13194" s="1" t="str">
        <f>HYPERLINK("http://www.weizmann.ac.il/complex/compphys/software/geview/data/figures/213181_s_at.png","Figure")</f>
        <v>Figure</v>
      </c>
      <c r="I13194">
        <v>1.08</v>
      </c>
      <c r="J13194">
        <v>0.44</v>
      </c>
      <c r="K13194">
        <v>1.06</v>
      </c>
      <c r="L13194">
        <v>0.56000000000000005</v>
      </c>
      <c r="M13194">
        <v>0.98</v>
      </c>
      <c r="N13194">
        <v>0.93</v>
      </c>
    </row>
    <row r="13195" spans="1:14" x14ac:dyDescent="0.25">
      <c r="A13195" t="s">
        <v>22566</v>
      </c>
      <c r="B13195" t="s">
        <v>22567</v>
      </c>
      <c r="C13195" s="1" t="str">
        <f>HYPERLINK("http://www.genecards.org/cgi-bin/carddisp.pl?gene=CMAH","GeneCards")</f>
        <v>GeneCards</v>
      </c>
      <c r="D13195" s="1" t="str">
        <f>HYPERLINK("http://genome-euro.ucsc.edu/cgi-bin/hgTracks?position=210571_s_at","UCSC")</f>
        <v>UCSC</v>
      </c>
      <c r="E13195" s="1" t="str">
        <f>HYPERLINK("http://www.ncbi.nlm.nih.gov/gene/?term=CMAH","NCBI")</f>
        <v>NCBI</v>
      </c>
      <c r="F13195">
        <v>0.43</v>
      </c>
      <c r="G13195">
        <v>0.55000000000000004</v>
      </c>
      <c r="H13195" s="1" t="str">
        <f>HYPERLINK("http://www.weizmann.ac.il/complex/compphys/software/geview/data/figures/210571_s_at.png","Figure")</f>
        <v>Figure</v>
      </c>
      <c r="I13195">
        <v>0.97499999999999998</v>
      </c>
      <c r="J13195">
        <v>0.92</v>
      </c>
      <c r="K13195">
        <v>0.92800000000000005</v>
      </c>
      <c r="L13195">
        <v>0.42</v>
      </c>
      <c r="M13195">
        <v>0.95099999999999996</v>
      </c>
      <c r="N13195">
        <v>0.71</v>
      </c>
    </row>
    <row r="13196" spans="1:14" x14ac:dyDescent="0.25">
      <c r="A13196" t="s">
        <v>22568</v>
      </c>
      <c r="B13196" t="s">
        <v>22569</v>
      </c>
      <c r="C13196" s="1" t="str">
        <f>HYPERLINK("http://www.genecards.org/cgi-bin/carddisp.pl?gene=LOC654056 /// SIRPB1","GeneCards")</f>
        <v>GeneCards</v>
      </c>
      <c r="D13196" s="1" t="str">
        <f>HYPERLINK("http://genome-euro.ucsc.edu/cgi-bin/hgTracks?position=217240_at","UCSC")</f>
        <v>UCSC</v>
      </c>
      <c r="E13196" s="1" t="str">
        <f>HYPERLINK("http://www.ncbi.nlm.nih.gov/gene/?term=LOC654056 /// SIRPB1","NCBI")</f>
        <v>NCBI</v>
      </c>
      <c r="F13196">
        <v>0.43</v>
      </c>
      <c r="G13196">
        <v>0.55000000000000004</v>
      </c>
      <c r="H13196" s="1" t="str">
        <f>HYPERLINK("http://www.weizmann.ac.il/complex/compphys/software/geview/data/figures/217240_at.png","Figure")</f>
        <v>Figure</v>
      </c>
      <c r="I13196">
        <v>0.99299999999999999</v>
      </c>
      <c r="J13196">
        <v>1</v>
      </c>
      <c r="K13196">
        <v>0.86099999999999999</v>
      </c>
      <c r="L13196">
        <v>0.49</v>
      </c>
      <c r="M13196">
        <v>0.86599999999999999</v>
      </c>
      <c r="N13196">
        <v>0.56000000000000005</v>
      </c>
    </row>
    <row r="13197" spans="1:14" x14ac:dyDescent="0.25">
      <c r="A13197" t="s">
        <v>22570</v>
      </c>
      <c r="B13197" t="s">
        <v>22571</v>
      </c>
      <c r="C13197" s="1" t="str">
        <f>HYPERLINK("http://www.genecards.org/cgi-bin/carddisp.pl?gene=CAND2","GeneCards")</f>
        <v>GeneCards</v>
      </c>
      <c r="D13197" s="1" t="str">
        <f>HYPERLINK("http://genome-euro.ucsc.edu/cgi-bin/hgTracks?position=213547_at","UCSC")</f>
        <v>UCSC</v>
      </c>
      <c r="E13197" s="1" t="str">
        <f>HYPERLINK("http://www.ncbi.nlm.nih.gov/gene/?term=CAND2","NCBI")</f>
        <v>NCBI</v>
      </c>
      <c r="F13197">
        <v>0.43</v>
      </c>
      <c r="G13197">
        <v>0.56000000000000005</v>
      </c>
      <c r="H13197" s="1" t="str">
        <f>HYPERLINK("http://www.weizmann.ac.il/complex/compphys/software/geview/data/figures/213547_at.png","Figure")</f>
        <v>Figure</v>
      </c>
      <c r="I13197">
        <v>0.88600000000000001</v>
      </c>
      <c r="J13197">
        <v>0.41</v>
      </c>
      <c r="K13197">
        <v>0.93300000000000005</v>
      </c>
      <c r="L13197">
        <v>0.67</v>
      </c>
      <c r="M13197">
        <v>1.05</v>
      </c>
      <c r="N13197">
        <v>0.82</v>
      </c>
    </row>
    <row r="13198" spans="1:14" x14ac:dyDescent="0.25">
      <c r="A13198" t="s">
        <v>22572</v>
      </c>
      <c r="B13198" t="s">
        <v>22573</v>
      </c>
      <c r="C13198" s="1" t="str">
        <f>HYPERLINK("http://www.genecards.org/cgi-bin/carddisp.pl?gene=UBA3","GeneCards")</f>
        <v>GeneCards</v>
      </c>
      <c r="D13198" s="1" t="str">
        <f>HYPERLINK("http://genome-euro.ucsc.edu/cgi-bin/hgTracks?position=209115_at","UCSC")</f>
        <v>UCSC</v>
      </c>
      <c r="E13198" s="1" t="str">
        <f>HYPERLINK("http://www.ncbi.nlm.nih.gov/gene/?term=UBA3","NCBI")</f>
        <v>NCBI</v>
      </c>
      <c r="F13198">
        <v>0.43</v>
      </c>
      <c r="G13198">
        <v>0.56000000000000005</v>
      </c>
      <c r="H13198" s="1" t="str">
        <f>HYPERLINK("http://www.weizmann.ac.il/complex/compphys/software/geview/data/figures/209115_at.png","Figure")</f>
        <v>Figure</v>
      </c>
      <c r="I13198">
        <v>0.72299999999999998</v>
      </c>
      <c r="J13198">
        <v>0.48</v>
      </c>
      <c r="K13198">
        <v>0.76100000000000001</v>
      </c>
      <c r="L13198">
        <v>0.51</v>
      </c>
      <c r="M13198">
        <v>1.05</v>
      </c>
      <c r="N13198">
        <v>0.98</v>
      </c>
    </row>
    <row r="13199" spans="1:14" x14ac:dyDescent="0.25">
      <c r="A13199" t="s">
        <v>22574</v>
      </c>
      <c r="B13199" t="s">
        <v>10707</v>
      </c>
      <c r="C13199" s="1" t="str">
        <f>HYPERLINK("http://www.genecards.org/cgi-bin/carddisp.pl?gene=NOLC1","GeneCards")</f>
        <v>GeneCards</v>
      </c>
      <c r="D13199" s="1" t="str">
        <f>HYPERLINK("http://genome-euro.ucsc.edu/cgi-bin/hgTracks?position=211949_s_at","UCSC")</f>
        <v>UCSC</v>
      </c>
      <c r="E13199" s="1" t="str">
        <f>HYPERLINK("http://www.ncbi.nlm.nih.gov/gene/?term=NOLC1","NCBI")</f>
        <v>NCBI</v>
      </c>
      <c r="F13199">
        <v>0.43</v>
      </c>
      <c r="G13199">
        <v>0.56000000000000005</v>
      </c>
      <c r="H13199" s="1" t="str">
        <f>HYPERLINK("http://www.weizmann.ac.il/complex/compphys/software/geview/data/figures/211949_s_at.png","Figure")</f>
        <v>Figure</v>
      </c>
      <c r="I13199">
        <v>1.19</v>
      </c>
      <c r="J13199">
        <v>0.62</v>
      </c>
      <c r="K13199">
        <v>1.23</v>
      </c>
      <c r="L13199">
        <v>0.42</v>
      </c>
      <c r="M13199">
        <v>1.03</v>
      </c>
      <c r="N13199">
        <v>0.98</v>
      </c>
    </row>
    <row r="13200" spans="1:14" x14ac:dyDescent="0.25">
      <c r="A13200" t="s">
        <v>22575</v>
      </c>
      <c r="B13200" t="s">
        <v>22576</v>
      </c>
      <c r="C13200" s="1" t="str">
        <f>HYPERLINK("http://www.genecards.org/cgi-bin/carddisp.pl?gene=HIST1H2BH","GeneCards")</f>
        <v>GeneCards</v>
      </c>
      <c r="D13200" s="1" t="str">
        <f>HYPERLINK("http://genome-euro.ucsc.edu/cgi-bin/hgTracks?position=208546_x_at","UCSC")</f>
        <v>UCSC</v>
      </c>
      <c r="E13200" s="1" t="str">
        <f>HYPERLINK("http://www.ncbi.nlm.nih.gov/gene/?term=HIST1H2BH","NCBI")</f>
        <v>NCBI</v>
      </c>
      <c r="F13200">
        <v>0.43</v>
      </c>
      <c r="G13200">
        <v>0.56000000000000005</v>
      </c>
      <c r="H13200" s="1" t="str">
        <f>HYPERLINK("http://www.weizmann.ac.il/complex/compphys/software/geview/data/figures/208546_x_at.png","Figure")</f>
        <v>Figure</v>
      </c>
      <c r="I13200">
        <v>1.28</v>
      </c>
      <c r="J13200">
        <v>0.68</v>
      </c>
      <c r="K13200">
        <v>1.39</v>
      </c>
      <c r="L13200">
        <v>0.41</v>
      </c>
      <c r="M13200">
        <v>1.0900000000000001</v>
      </c>
      <c r="N13200">
        <v>0.94</v>
      </c>
    </row>
    <row r="13201" spans="1:14" x14ac:dyDescent="0.25">
      <c r="A13201" t="s">
        <v>22577</v>
      </c>
      <c r="B13201" t="s">
        <v>2571</v>
      </c>
      <c r="C13201" s="1" t="str">
        <f>HYPERLINK("http://www.genecards.org/cgi-bin/carddisp.pl?gene=MBP","GeneCards")</f>
        <v>GeneCards</v>
      </c>
      <c r="D13201" s="1" t="str">
        <f>HYPERLINK("http://genome-euro.ucsc.edu/cgi-bin/hgTracks?position=207323_s_at","UCSC")</f>
        <v>UCSC</v>
      </c>
      <c r="E13201" s="1" t="str">
        <f>HYPERLINK("http://www.ncbi.nlm.nih.gov/gene/?term=MBP","NCBI")</f>
        <v>NCBI</v>
      </c>
      <c r="F13201">
        <v>0.43</v>
      </c>
      <c r="G13201">
        <v>0.56000000000000005</v>
      </c>
      <c r="H13201" s="1" t="str">
        <f>HYPERLINK("http://www.weizmann.ac.il/complex/compphys/software/geview/data/figures/207323_s_at.png","Figure")</f>
        <v>Figure</v>
      </c>
      <c r="I13201">
        <v>1.0900000000000001</v>
      </c>
      <c r="J13201">
        <v>0.4</v>
      </c>
      <c r="K13201">
        <v>1.05</v>
      </c>
      <c r="L13201">
        <v>0.71</v>
      </c>
      <c r="M13201">
        <v>0.95899999999999996</v>
      </c>
      <c r="N13201">
        <v>0.78</v>
      </c>
    </row>
    <row r="13202" spans="1:14" x14ac:dyDescent="0.25">
      <c r="A13202" t="s">
        <v>22578</v>
      </c>
      <c r="B13202" t="s">
        <v>22579</v>
      </c>
      <c r="C13202" s="1" t="str">
        <f>HYPERLINK("http://www.genecards.org/cgi-bin/carddisp.pl?gene=KIF1C","GeneCards")</f>
        <v>GeneCards</v>
      </c>
      <c r="D13202" s="1" t="str">
        <f>HYPERLINK("http://genome-euro.ucsc.edu/cgi-bin/hgTracks?position=209245_s_at","UCSC")</f>
        <v>UCSC</v>
      </c>
      <c r="E13202" s="1" t="str">
        <f>HYPERLINK("http://www.ncbi.nlm.nih.gov/gene/?term=KIF1C","NCBI")</f>
        <v>NCBI</v>
      </c>
      <c r="F13202">
        <v>0.43</v>
      </c>
      <c r="G13202">
        <v>0.56000000000000005</v>
      </c>
      <c r="H13202" s="1" t="str">
        <f>HYPERLINK("http://www.weizmann.ac.il/complex/compphys/software/geview/data/figures/209245_s_at.png","Figure")</f>
        <v>Figure</v>
      </c>
      <c r="I13202">
        <v>1.0900000000000001</v>
      </c>
      <c r="J13202">
        <v>0.44</v>
      </c>
      <c r="K13202">
        <v>1.06</v>
      </c>
      <c r="L13202">
        <v>0.57999999999999996</v>
      </c>
      <c r="M13202">
        <v>0.97499999999999998</v>
      </c>
      <c r="N13202">
        <v>0.91</v>
      </c>
    </row>
    <row r="13203" spans="1:14" x14ac:dyDescent="0.25">
      <c r="A13203" t="s">
        <v>22580</v>
      </c>
      <c r="B13203" t="s">
        <v>3994</v>
      </c>
      <c r="C13203" s="1" t="str">
        <f>HYPERLINK("http://www.genecards.org/cgi-bin/carddisp.pl?gene=IL1RN","GeneCards")</f>
        <v>GeneCards</v>
      </c>
      <c r="D13203" s="1" t="str">
        <f>HYPERLINK("http://genome-euro.ucsc.edu/cgi-bin/hgTracks?position=216245_at","UCSC")</f>
        <v>UCSC</v>
      </c>
      <c r="E13203" s="1" t="str">
        <f>HYPERLINK("http://www.ncbi.nlm.nih.gov/gene/?term=IL1RN","NCBI")</f>
        <v>NCBI</v>
      </c>
      <c r="F13203">
        <v>0.43</v>
      </c>
      <c r="G13203">
        <v>0.56000000000000005</v>
      </c>
      <c r="H13203" s="1" t="str">
        <f>HYPERLINK("http://www.weizmann.ac.il/complex/compphys/software/geview/data/figures/216245_at.png","Figure")</f>
        <v>Figure</v>
      </c>
      <c r="I13203">
        <v>1.01</v>
      </c>
      <c r="J13203">
        <v>0.91</v>
      </c>
      <c r="K13203">
        <v>0.98199999999999998</v>
      </c>
      <c r="L13203">
        <v>0.66</v>
      </c>
      <c r="M13203">
        <v>0.97299999999999998</v>
      </c>
      <c r="N13203">
        <v>0.43</v>
      </c>
    </row>
    <row r="13204" spans="1:14" x14ac:dyDescent="0.25">
      <c r="A13204" t="s">
        <v>22581</v>
      </c>
      <c r="B13204" t="s">
        <v>3445</v>
      </c>
      <c r="C13204" s="1" t="str">
        <f>HYPERLINK("http://www.genecards.org/cgi-bin/carddisp.pl?gene=LSM4","GeneCards")</f>
        <v>GeneCards</v>
      </c>
      <c r="D13204" s="1" t="str">
        <f>HYPERLINK("http://genome-euro.ucsc.edu/cgi-bin/hgTracks?position=202736_s_at","UCSC")</f>
        <v>UCSC</v>
      </c>
      <c r="E13204" s="1" t="str">
        <f>HYPERLINK("http://www.ncbi.nlm.nih.gov/gene/?term=LSM4","NCBI")</f>
        <v>NCBI</v>
      </c>
      <c r="F13204">
        <v>0.43</v>
      </c>
      <c r="G13204">
        <v>0.56000000000000005</v>
      </c>
      <c r="H13204" s="1" t="str">
        <f>HYPERLINK("http://www.weizmann.ac.il/complex/compphys/software/geview/data/figures/202736_s_at.png","Figure")</f>
        <v>Figure</v>
      </c>
      <c r="I13204">
        <v>0.94</v>
      </c>
      <c r="J13204">
        <v>0.96</v>
      </c>
      <c r="K13204">
        <v>1.21</v>
      </c>
      <c r="L13204">
        <v>0.6</v>
      </c>
      <c r="M13204">
        <v>1.29</v>
      </c>
      <c r="N13204">
        <v>0.46</v>
      </c>
    </row>
    <row r="13205" spans="1:14" x14ac:dyDescent="0.25">
      <c r="A13205" t="s">
        <v>22582</v>
      </c>
      <c r="B13205" t="s">
        <v>22583</v>
      </c>
      <c r="C13205" s="1" t="str">
        <f>HYPERLINK("http://www.genecards.org/cgi-bin/carddisp.pl?gene=MELK","GeneCards")</f>
        <v>GeneCards</v>
      </c>
      <c r="D13205" s="1" t="str">
        <f>HYPERLINK("http://genome-euro.ucsc.edu/cgi-bin/hgTracks?position=204825_at","UCSC")</f>
        <v>UCSC</v>
      </c>
      <c r="E13205" s="1" t="str">
        <f>HYPERLINK("http://www.ncbi.nlm.nih.gov/gene/?term=MELK","NCBI")</f>
        <v>NCBI</v>
      </c>
      <c r="F13205">
        <v>0.43</v>
      </c>
      <c r="G13205">
        <v>0.56000000000000005</v>
      </c>
      <c r="H13205" s="1" t="str">
        <f>HYPERLINK("http://www.weizmann.ac.il/complex/compphys/software/geview/data/figures/204825_at.png","Figure")</f>
        <v>Figure</v>
      </c>
      <c r="I13205">
        <v>1.1599999999999999</v>
      </c>
      <c r="J13205">
        <v>0.59</v>
      </c>
      <c r="K13205">
        <v>1.18</v>
      </c>
      <c r="L13205">
        <v>0.43</v>
      </c>
      <c r="M13205">
        <v>1.02</v>
      </c>
      <c r="N13205">
        <v>0.99</v>
      </c>
    </row>
    <row r="13206" spans="1:14" x14ac:dyDescent="0.25">
      <c r="A13206" t="s">
        <v>22584</v>
      </c>
      <c r="B13206" t="s">
        <v>22585</v>
      </c>
      <c r="C13206" s="1" t="str">
        <f>HYPERLINK("http://www.genecards.org/cgi-bin/carddisp.pl?gene=ARHGEF18","GeneCards")</f>
        <v>GeneCards</v>
      </c>
      <c r="D13206" s="1" t="str">
        <f>HYPERLINK("http://genome-euro.ucsc.edu/cgi-bin/hgTracks?position=213039_at","UCSC")</f>
        <v>UCSC</v>
      </c>
      <c r="E13206" s="1" t="str">
        <f>HYPERLINK("http://www.ncbi.nlm.nih.gov/gene/?term=ARHGEF18","NCBI")</f>
        <v>NCBI</v>
      </c>
      <c r="F13206">
        <v>0.43</v>
      </c>
      <c r="G13206">
        <v>0.56000000000000005</v>
      </c>
      <c r="H13206" s="1" t="str">
        <f>HYPERLINK("http://www.weizmann.ac.il/complex/compphys/software/geview/data/figures/213039_at.png","Figure")</f>
        <v>Figure</v>
      </c>
      <c r="I13206">
        <v>1.06</v>
      </c>
      <c r="J13206">
        <v>0.98</v>
      </c>
      <c r="K13206">
        <v>0.77800000000000002</v>
      </c>
      <c r="L13206">
        <v>0.56999999999999995</v>
      </c>
      <c r="M13206">
        <v>0.73499999999999999</v>
      </c>
      <c r="N13206">
        <v>0.48</v>
      </c>
    </row>
    <row r="13207" spans="1:14" x14ac:dyDescent="0.25">
      <c r="A13207" t="s">
        <v>22586</v>
      </c>
      <c r="B13207" t="s">
        <v>5994</v>
      </c>
      <c r="C13207" s="1" t="str">
        <f>HYPERLINK("http://www.genecards.org/cgi-bin/carddisp.pl?gene=MRPS12","GeneCards")</f>
        <v>GeneCards</v>
      </c>
      <c r="D13207" s="1" t="str">
        <f>HYPERLINK("http://genome-euro.ucsc.edu/cgi-bin/hgTracks?position=213840_s_at","UCSC")</f>
        <v>UCSC</v>
      </c>
      <c r="E13207" s="1" t="str">
        <f>HYPERLINK("http://www.ncbi.nlm.nih.gov/gene/?term=MRPS12","NCBI")</f>
        <v>NCBI</v>
      </c>
      <c r="F13207">
        <v>0.43</v>
      </c>
      <c r="G13207">
        <v>0.56000000000000005</v>
      </c>
      <c r="H13207" s="1" t="str">
        <f>HYPERLINK("http://www.weizmann.ac.il/complex/compphys/software/geview/data/figures/213840_s_at.png","Figure")</f>
        <v>Figure</v>
      </c>
      <c r="I13207">
        <v>1.04</v>
      </c>
      <c r="J13207">
        <v>0.5</v>
      </c>
      <c r="K13207">
        <v>1</v>
      </c>
      <c r="L13207">
        <v>1</v>
      </c>
      <c r="M13207">
        <v>0.95799999999999996</v>
      </c>
      <c r="N13207">
        <v>0.46</v>
      </c>
    </row>
    <row r="13208" spans="1:14" x14ac:dyDescent="0.25">
      <c r="A13208" t="s">
        <v>22587</v>
      </c>
      <c r="B13208" t="s">
        <v>22588</v>
      </c>
      <c r="C13208" s="1" t="str">
        <f>HYPERLINK("http://www.genecards.org/cgi-bin/carddisp.pl?gene=MOSPD3","GeneCards")</f>
        <v>GeneCards</v>
      </c>
      <c r="D13208" s="1" t="str">
        <f>HYPERLINK("http://genome-euro.ucsc.edu/cgi-bin/hgTracks?position=219070_s_at","UCSC")</f>
        <v>UCSC</v>
      </c>
      <c r="E13208" s="1" t="str">
        <f>HYPERLINK("http://www.ncbi.nlm.nih.gov/gene/?term=MOSPD3","NCBI")</f>
        <v>NCBI</v>
      </c>
      <c r="F13208">
        <v>0.43</v>
      </c>
      <c r="G13208">
        <v>0.56000000000000005</v>
      </c>
      <c r="H13208" s="1" t="str">
        <f>HYPERLINK("http://www.weizmann.ac.il/complex/compphys/software/geview/data/figures/219070_s_at.png","Figure")</f>
        <v>Figure</v>
      </c>
      <c r="I13208">
        <v>0.98699999999999999</v>
      </c>
      <c r="J13208">
        <v>0.99</v>
      </c>
      <c r="K13208">
        <v>0.91500000000000004</v>
      </c>
      <c r="L13208">
        <v>0.46</v>
      </c>
      <c r="M13208">
        <v>0.92800000000000005</v>
      </c>
      <c r="N13208">
        <v>0.61</v>
      </c>
    </row>
    <row r="13209" spans="1:14" x14ac:dyDescent="0.25">
      <c r="A13209" t="s">
        <v>22589</v>
      </c>
      <c r="B13209" t="s">
        <v>10571</v>
      </c>
      <c r="C13209" s="1" t="str">
        <f>HYPERLINK("http://www.genecards.org/cgi-bin/carddisp.pl?gene=VPS13D","GeneCards")</f>
        <v>GeneCards</v>
      </c>
      <c r="D13209" s="1" t="str">
        <f>HYPERLINK("http://genome-euro.ucsc.edu/cgi-bin/hgTracks?position=220221_at","UCSC")</f>
        <v>UCSC</v>
      </c>
      <c r="E13209" s="1" t="str">
        <f>HYPERLINK("http://www.ncbi.nlm.nih.gov/gene/?term=VPS13D","NCBI")</f>
        <v>NCBI</v>
      </c>
      <c r="F13209">
        <v>0.43</v>
      </c>
      <c r="G13209">
        <v>0.56000000000000005</v>
      </c>
      <c r="H13209" s="1" t="str">
        <f>HYPERLINK("http://www.weizmann.ac.il/complex/compphys/software/geview/data/figures/220221_at.png","Figure")</f>
        <v>Figure</v>
      </c>
      <c r="I13209">
        <v>1.21</v>
      </c>
      <c r="J13209">
        <v>0.68</v>
      </c>
      <c r="K13209">
        <v>0.91600000000000004</v>
      </c>
      <c r="L13209">
        <v>0.9</v>
      </c>
      <c r="M13209">
        <v>0.75700000000000001</v>
      </c>
      <c r="N13209">
        <v>0.4</v>
      </c>
    </row>
    <row r="13210" spans="1:14" x14ac:dyDescent="0.25">
      <c r="A13210" t="s">
        <v>22590</v>
      </c>
      <c r="B13210" t="s">
        <v>22591</v>
      </c>
      <c r="C13210" s="1" t="str">
        <f>HYPERLINK("http://www.genecards.org/cgi-bin/carddisp.pl?gene=SYT17","GeneCards")</f>
        <v>GeneCards</v>
      </c>
      <c r="D13210" s="1" t="str">
        <f>HYPERLINK("http://genome-euro.ucsc.edu/cgi-bin/hgTracks?position=205613_at","UCSC")</f>
        <v>UCSC</v>
      </c>
      <c r="E13210" s="1" t="str">
        <f>HYPERLINK("http://www.ncbi.nlm.nih.gov/gene/?term=SYT17","NCBI")</f>
        <v>NCBI</v>
      </c>
      <c r="F13210">
        <v>0.43</v>
      </c>
      <c r="G13210">
        <v>0.56000000000000005</v>
      </c>
      <c r="H13210" s="1" t="str">
        <f>HYPERLINK("http://www.weizmann.ac.il/complex/compphys/software/geview/data/figures/205613_at.png","Figure")</f>
        <v>Figure</v>
      </c>
      <c r="I13210">
        <v>1.08</v>
      </c>
      <c r="J13210">
        <v>0.52</v>
      </c>
      <c r="K13210">
        <v>0.997</v>
      </c>
      <c r="L13210">
        <v>1</v>
      </c>
      <c r="M13210">
        <v>0.92700000000000005</v>
      </c>
      <c r="N13210">
        <v>0.44</v>
      </c>
    </row>
    <row r="13211" spans="1:14" x14ac:dyDescent="0.25">
      <c r="A13211" t="s">
        <v>22592</v>
      </c>
      <c r="B13211" t="s">
        <v>5070</v>
      </c>
      <c r="C13211" s="1" t="str">
        <f>HYPERLINK("http://www.genecards.org/cgi-bin/carddisp.pl?gene=METTL7A","GeneCards")</f>
        <v>GeneCards</v>
      </c>
      <c r="D13211" s="1" t="str">
        <f>HYPERLINK("http://genome-euro.ucsc.edu/cgi-bin/hgTracks?position=209703_x_at","UCSC")</f>
        <v>UCSC</v>
      </c>
      <c r="E13211" s="1" t="str">
        <f>HYPERLINK("http://www.ncbi.nlm.nih.gov/gene/?term=METTL7A","NCBI")</f>
        <v>NCBI</v>
      </c>
      <c r="F13211">
        <v>0.43</v>
      </c>
      <c r="G13211">
        <v>0.56000000000000005</v>
      </c>
      <c r="H13211" s="1" t="str">
        <f>HYPERLINK("http://www.weizmann.ac.il/complex/compphys/software/geview/data/figures/209703_x_at.png","Figure")</f>
        <v>Figure</v>
      </c>
      <c r="I13211">
        <v>0.88300000000000001</v>
      </c>
      <c r="J13211">
        <v>0.41</v>
      </c>
      <c r="K13211">
        <v>0.95899999999999996</v>
      </c>
      <c r="L13211">
        <v>0.87</v>
      </c>
      <c r="M13211">
        <v>1.0900000000000001</v>
      </c>
      <c r="N13211">
        <v>0.62</v>
      </c>
    </row>
    <row r="13212" spans="1:14" x14ac:dyDescent="0.25">
      <c r="A13212" t="s">
        <v>22593</v>
      </c>
      <c r="B13212" t="s">
        <v>17941</v>
      </c>
      <c r="C13212" s="1" t="str">
        <f>HYPERLINK("http://www.genecards.org/cgi-bin/carddisp.pl?gene=TYMS","GeneCards")</f>
        <v>GeneCards</v>
      </c>
      <c r="D13212" s="1" t="str">
        <f>HYPERLINK("http://genome-euro.ucsc.edu/cgi-bin/hgTracks?position=217684_at","UCSC")</f>
        <v>UCSC</v>
      </c>
      <c r="E13212" s="1" t="str">
        <f>HYPERLINK("http://www.ncbi.nlm.nih.gov/gene/?term=TYMS","NCBI")</f>
        <v>NCBI</v>
      </c>
      <c r="F13212">
        <v>0.43</v>
      </c>
      <c r="G13212">
        <v>0.56000000000000005</v>
      </c>
      <c r="H13212" s="1" t="str">
        <f>HYPERLINK("http://www.weizmann.ac.il/complex/compphys/software/geview/data/figures/217684_at.png","Figure")</f>
        <v>Figure</v>
      </c>
      <c r="I13212">
        <v>1.07</v>
      </c>
      <c r="J13212">
        <v>0.49</v>
      </c>
      <c r="K13212">
        <v>1</v>
      </c>
      <c r="L13212">
        <v>1</v>
      </c>
      <c r="M13212">
        <v>0.93500000000000005</v>
      </c>
      <c r="N13212">
        <v>0.47</v>
      </c>
    </row>
    <row r="13213" spans="1:14" x14ac:dyDescent="0.25">
      <c r="A13213" t="s">
        <v>22594</v>
      </c>
      <c r="B13213" t="s">
        <v>3331</v>
      </c>
      <c r="C13213" s="1" t="str">
        <f>HYPERLINK("http://www.genecards.org/cgi-bin/carddisp.pl?gene=GCOM1 /// GRINL1A","GeneCards")</f>
        <v>GeneCards</v>
      </c>
      <c r="D13213" s="1" t="str">
        <f>HYPERLINK("http://genome-euro.ucsc.edu/cgi-bin/hgTracks?position=212244_at","UCSC")</f>
        <v>UCSC</v>
      </c>
      <c r="E13213" s="1" t="str">
        <f>HYPERLINK("http://www.ncbi.nlm.nih.gov/gene/?term=GCOM1 /// GRINL1A","NCBI")</f>
        <v>NCBI</v>
      </c>
      <c r="F13213">
        <v>0.43</v>
      </c>
      <c r="G13213">
        <v>0.56000000000000005</v>
      </c>
      <c r="H13213" s="1" t="str">
        <f>HYPERLINK("http://www.weizmann.ac.il/complex/compphys/software/geview/data/figures/212244_at.png","Figure")</f>
        <v>Figure</v>
      </c>
      <c r="I13213">
        <v>0.96299999999999997</v>
      </c>
      <c r="J13213">
        <v>0.96</v>
      </c>
      <c r="K13213">
        <v>0.85799999999999998</v>
      </c>
      <c r="L13213">
        <v>0.44</v>
      </c>
      <c r="M13213">
        <v>0.89100000000000001</v>
      </c>
      <c r="N13213">
        <v>0.66</v>
      </c>
    </row>
    <row r="13214" spans="1:14" x14ac:dyDescent="0.25">
      <c r="A13214" t="s">
        <v>22595</v>
      </c>
      <c r="B13214" t="s">
        <v>22596</v>
      </c>
      <c r="C13214" s="1" t="str">
        <f>HYPERLINK("http://www.genecards.org/cgi-bin/carddisp.pl?gene=DCAF13","GeneCards")</f>
        <v>GeneCards</v>
      </c>
      <c r="D13214" s="1" t="str">
        <f>HYPERLINK("http://genome-euro.ucsc.edu/cgi-bin/hgTracks?position=220843_s_at","UCSC")</f>
        <v>UCSC</v>
      </c>
      <c r="E13214" s="1" t="str">
        <f>HYPERLINK("http://www.ncbi.nlm.nih.gov/gene/?term=DCAF13","NCBI")</f>
        <v>NCBI</v>
      </c>
      <c r="F13214">
        <v>0.43</v>
      </c>
      <c r="G13214">
        <v>0.56000000000000005</v>
      </c>
      <c r="H13214" s="1" t="str">
        <f>HYPERLINK("http://www.weizmann.ac.il/complex/compphys/software/geview/data/figures/220843_s_at.png","Figure")</f>
        <v>Figure</v>
      </c>
      <c r="I13214">
        <v>0.98499999999999999</v>
      </c>
      <c r="J13214">
        <v>0.94</v>
      </c>
      <c r="K13214">
        <v>0.95099999999999996</v>
      </c>
      <c r="L13214">
        <v>0.43</v>
      </c>
      <c r="M13214">
        <v>0.96599999999999997</v>
      </c>
      <c r="N13214">
        <v>0.69</v>
      </c>
    </row>
    <row r="13215" spans="1:14" x14ac:dyDescent="0.25">
      <c r="A13215" t="s">
        <v>22597</v>
      </c>
      <c r="B13215" t="s">
        <v>13289</v>
      </c>
      <c r="C13215" s="1" t="str">
        <f>HYPERLINK("http://www.genecards.org/cgi-bin/carddisp.pl?gene=SLC37A4","GeneCards")</f>
        <v>GeneCards</v>
      </c>
      <c r="D13215" s="1" t="str">
        <f>HYPERLINK("http://genome-euro.ucsc.edu/cgi-bin/hgTracks?position=217289_s_at","UCSC")</f>
        <v>UCSC</v>
      </c>
      <c r="E13215" s="1" t="str">
        <f>HYPERLINK("http://www.ncbi.nlm.nih.gov/gene/?term=SLC37A4","NCBI")</f>
        <v>NCBI</v>
      </c>
      <c r="F13215">
        <v>0.43</v>
      </c>
      <c r="G13215">
        <v>0.56000000000000005</v>
      </c>
      <c r="H13215" s="1" t="str">
        <f>HYPERLINK("http://www.weizmann.ac.il/complex/compphys/software/geview/data/figures/217289_s_at.png","Figure")</f>
        <v>Figure</v>
      </c>
      <c r="I13215">
        <v>1.1200000000000001</v>
      </c>
      <c r="J13215">
        <v>0.4</v>
      </c>
      <c r="K13215">
        <v>1.04</v>
      </c>
      <c r="L13215">
        <v>0.84</v>
      </c>
      <c r="M13215">
        <v>0.93300000000000005</v>
      </c>
      <c r="N13215">
        <v>0.65</v>
      </c>
    </row>
    <row r="13216" spans="1:14" x14ac:dyDescent="0.25">
      <c r="A13216" t="s">
        <v>22598</v>
      </c>
      <c r="B13216" t="s">
        <v>22599</v>
      </c>
      <c r="C13216" s="1" t="str">
        <f>HYPERLINK("http://www.genecards.org/cgi-bin/carddisp.pl?gene=MAST1","GeneCards")</f>
        <v>GeneCards</v>
      </c>
      <c r="D13216" s="1" t="str">
        <f>HYPERLINK("http://genome-euro.ucsc.edu/cgi-bin/hgTracks?position=217231_s_at","UCSC")</f>
        <v>UCSC</v>
      </c>
      <c r="E13216" s="1" t="str">
        <f>HYPERLINK("http://www.ncbi.nlm.nih.gov/gene/?term=MAST1","NCBI")</f>
        <v>NCBI</v>
      </c>
      <c r="F13216">
        <v>0.43</v>
      </c>
      <c r="G13216">
        <v>0.56000000000000005</v>
      </c>
      <c r="H13216" s="1" t="str">
        <f>HYPERLINK("http://www.weizmann.ac.il/complex/compphys/software/geview/data/figures/217231_s_at.png","Figure")</f>
        <v>Figure</v>
      </c>
      <c r="I13216">
        <v>1.0900000000000001</v>
      </c>
      <c r="J13216">
        <v>0.42</v>
      </c>
      <c r="K13216">
        <v>1.02</v>
      </c>
      <c r="L13216">
        <v>0.92</v>
      </c>
      <c r="M13216">
        <v>0.93799999999999994</v>
      </c>
      <c r="N13216">
        <v>0.56999999999999995</v>
      </c>
    </row>
    <row r="13217" spans="1:14" x14ac:dyDescent="0.25">
      <c r="A13217" t="s">
        <v>22600</v>
      </c>
      <c r="B13217" t="s">
        <v>22601</v>
      </c>
      <c r="C13217" s="1" t="str">
        <f>HYPERLINK("http://www.genecards.org/cgi-bin/carddisp.pl?gene=PSME2","GeneCards")</f>
        <v>GeneCards</v>
      </c>
      <c r="D13217" s="1" t="str">
        <f>HYPERLINK("http://genome-euro.ucsc.edu/cgi-bin/hgTracks?position=201762_s_at","UCSC")</f>
        <v>UCSC</v>
      </c>
      <c r="E13217" s="1" t="str">
        <f>HYPERLINK("http://www.ncbi.nlm.nih.gov/gene/?term=PSME2","NCBI")</f>
        <v>NCBI</v>
      </c>
      <c r="F13217">
        <v>0.43</v>
      </c>
      <c r="G13217">
        <v>0.56000000000000005</v>
      </c>
      <c r="H13217" s="1" t="str">
        <f>HYPERLINK("http://www.weizmann.ac.il/complex/compphys/software/geview/data/figures/201762_s_at.png","Figure")</f>
        <v>Figure</v>
      </c>
      <c r="I13217">
        <v>0.97699999999999998</v>
      </c>
      <c r="J13217">
        <v>1</v>
      </c>
      <c r="K13217">
        <v>1.29</v>
      </c>
      <c r="L13217">
        <v>0.53</v>
      </c>
      <c r="M13217">
        <v>1.32</v>
      </c>
      <c r="N13217">
        <v>0.52</v>
      </c>
    </row>
    <row r="13218" spans="1:14" x14ac:dyDescent="0.25">
      <c r="A13218" t="s">
        <v>22602</v>
      </c>
      <c r="B13218" t="s">
        <v>22603</v>
      </c>
      <c r="C13218" s="1" t="str">
        <f>HYPERLINK("http://www.genecards.org/cgi-bin/carddisp.pl?gene=SHOC2","GeneCards")</f>
        <v>GeneCards</v>
      </c>
      <c r="D13218" s="1" t="str">
        <f>HYPERLINK("http://genome-euro.ucsc.edu/cgi-bin/hgTracks?position=202777_at","UCSC")</f>
        <v>UCSC</v>
      </c>
      <c r="E13218" s="1" t="str">
        <f>HYPERLINK("http://www.ncbi.nlm.nih.gov/gene/?term=SHOC2","NCBI")</f>
        <v>NCBI</v>
      </c>
      <c r="F13218">
        <v>0.43</v>
      </c>
      <c r="G13218">
        <v>0.56000000000000005</v>
      </c>
      <c r="H13218" s="1" t="str">
        <f>HYPERLINK("http://www.weizmann.ac.il/complex/compphys/software/geview/data/figures/202777_at.png","Figure")</f>
        <v>Figure</v>
      </c>
      <c r="I13218">
        <v>0.86199999999999999</v>
      </c>
      <c r="J13218">
        <v>0.76</v>
      </c>
      <c r="K13218">
        <v>0.78500000000000003</v>
      </c>
      <c r="L13218">
        <v>0.4</v>
      </c>
      <c r="M13218">
        <v>0.91200000000000003</v>
      </c>
      <c r="N13218">
        <v>0.88</v>
      </c>
    </row>
    <row r="13219" spans="1:14" x14ac:dyDescent="0.25">
      <c r="A13219" t="s">
        <v>22604</v>
      </c>
      <c r="B13219" t="s">
        <v>13398</v>
      </c>
      <c r="C13219" s="1" t="str">
        <f>HYPERLINK("http://www.genecards.org/cgi-bin/carddisp.pl?gene=NOV","GeneCards")</f>
        <v>GeneCards</v>
      </c>
      <c r="D13219" s="1" t="str">
        <f>HYPERLINK("http://genome-euro.ucsc.edu/cgi-bin/hgTracks?position=204501_at","UCSC")</f>
        <v>UCSC</v>
      </c>
      <c r="E13219" s="1" t="str">
        <f>HYPERLINK("http://www.ncbi.nlm.nih.gov/gene/?term=NOV","NCBI")</f>
        <v>NCBI</v>
      </c>
      <c r="F13219">
        <v>0.43</v>
      </c>
      <c r="G13219">
        <v>0.56000000000000005</v>
      </c>
      <c r="H13219" s="1" t="str">
        <f>HYPERLINK("http://www.weizmann.ac.il/complex/compphys/software/geview/data/figures/204501_at.png","Figure")</f>
        <v>Figure</v>
      </c>
      <c r="I13219">
        <v>0.878</v>
      </c>
      <c r="J13219">
        <v>0.56999999999999995</v>
      </c>
      <c r="K13219">
        <v>1.02</v>
      </c>
      <c r="L13219">
        <v>0.98</v>
      </c>
      <c r="M13219">
        <v>1.1599999999999999</v>
      </c>
      <c r="N13219">
        <v>0.42</v>
      </c>
    </row>
    <row r="13220" spans="1:14" x14ac:dyDescent="0.25">
      <c r="A13220" t="s">
        <v>22605</v>
      </c>
      <c r="B13220" t="s">
        <v>22606</v>
      </c>
      <c r="C13220" s="1" t="str">
        <f>HYPERLINK("http://www.genecards.org/cgi-bin/carddisp.pl?gene=MLST8","GeneCards")</f>
        <v>GeneCards</v>
      </c>
      <c r="D13220" s="1" t="str">
        <f>HYPERLINK("http://genome-euro.ucsc.edu/cgi-bin/hgTracks?position=220587_s_at","UCSC")</f>
        <v>UCSC</v>
      </c>
      <c r="E13220" s="1" t="str">
        <f>HYPERLINK("http://www.ncbi.nlm.nih.gov/gene/?term=MLST8","NCBI")</f>
        <v>NCBI</v>
      </c>
      <c r="F13220">
        <v>0.43</v>
      </c>
      <c r="G13220">
        <v>0.56000000000000005</v>
      </c>
      <c r="H13220" s="1" t="str">
        <f>HYPERLINK("http://www.weizmann.ac.il/complex/compphys/software/geview/data/figures/220587_s_at.png","Figure")</f>
        <v>Figure</v>
      </c>
      <c r="I13220">
        <v>1.1499999999999999</v>
      </c>
      <c r="J13220">
        <v>0.44</v>
      </c>
      <c r="K13220">
        <v>1.1000000000000001</v>
      </c>
      <c r="L13220">
        <v>0.57999999999999996</v>
      </c>
      <c r="M13220">
        <v>0.95899999999999996</v>
      </c>
      <c r="N13220">
        <v>0.91</v>
      </c>
    </row>
    <row r="13221" spans="1:14" x14ac:dyDescent="0.25">
      <c r="A13221" t="s">
        <v>22607</v>
      </c>
      <c r="B13221" t="s">
        <v>20419</v>
      </c>
      <c r="C13221" s="1" t="str">
        <f>HYPERLINK("http://www.genecards.org/cgi-bin/carddisp.pl?gene=CCR1","GeneCards")</f>
        <v>GeneCards</v>
      </c>
      <c r="D13221" s="1" t="str">
        <f>HYPERLINK("http://genome-euro.ucsc.edu/cgi-bin/hgTracks?position=205099_s_at","UCSC")</f>
        <v>UCSC</v>
      </c>
      <c r="E13221" s="1" t="str">
        <f>HYPERLINK("http://www.ncbi.nlm.nih.gov/gene/?term=CCR1","NCBI")</f>
        <v>NCBI</v>
      </c>
      <c r="F13221">
        <v>0.43</v>
      </c>
      <c r="G13221">
        <v>0.56000000000000005</v>
      </c>
      <c r="H13221" s="1" t="str">
        <f>HYPERLINK("http://www.weizmann.ac.il/complex/compphys/software/geview/data/figures/205099_s_at.png","Figure")</f>
        <v>Figure</v>
      </c>
      <c r="I13221">
        <v>1.08</v>
      </c>
      <c r="J13221">
        <v>0.45</v>
      </c>
      <c r="K13221">
        <v>1.01</v>
      </c>
      <c r="L13221">
        <v>0.97</v>
      </c>
      <c r="M13221">
        <v>0.93600000000000005</v>
      </c>
      <c r="N13221">
        <v>0.52</v>
      </c>
    </row>
    <row r="13222" spans="1:14" x14ac:dyDescent="0.25">
      <c r="A13222" t="s">
        <v>22608</v>
      </c>
      <c r="B13222" t="s">
        <v>22609</v>
      </c>
      <c r="C13222" s="1" t="str">
        <f>HYPERLINK("http://www.genecards.org/cgi-bin/carddisp.pl?gene=XRCC6","GeneCards")</f>
        <v>GeneCards</v>
      </c>
      <c r="D13222" s="1" t="str">
        <f>HYPERLINK("http://genome-euro.ucsc.edu/cgi-bin/hgTracks?position=200792_at","UCSC")</f>
        <v>UCSC</v>
      </c>
      <c r="E13222" s="1" t="str">
        <f>HYPERLINK("http://www.ncbi.nlm.nih.gov/gene/?term=XRCC6","NCBI")</f>
        <v>NCBI</v>
      </c>
      <c r="F13222">
        <v>0.43</v>
      </c>
      <c r="G13222">
        <v>0.56000000000000005</v>
      </c>
      <c r="H13222" s="1" t="str">
        <f>HYPERLINK("http://www.weizmann.ac.il/complex/compphys/software/geview/data/figures/200792_at.png","Figure")</f>
        <v>Figure</v>
      </c>
      <c r="I13222">
        <v>1.1299999999999999</v>
      </c>
      <c r="J13222">
        <v>0.8</v>
      </c>
      <c r="K13222">
        <v>1.26</v>
      </c>
      <c r="L13222">
        <v>0.4</v>
      </c>
      <c r="M13222">
        <v>1.1100000000000001</v>
      </c>
      <c r="N13222">
        <v>0.84</v>
      </c>
    </row>
    <row r="13223" spans="1:14" x14ac:dyDescent="0.25">
      <c r="A13223" t="s">
        <v>22610</v>
      </c>
      <c r="B13223" t="s">
        <v>19822</v>
      </c>
      <c r="C13223" s="1" t="str">
        <f>HYPERLINK("http://www.genecards.org/cgi-bin/carddisp.pl?gene=PTPN1","GeneCards")</f>
        <v>GeneCards</v>
      </c>
      <c r="D13223" s="1" t="str">
        <f>HYPERLINK("http://genome-euro.ucsc.edu/cgi-bin/hgTracks?position=202716_at","UCSC")</f>
        <v>UCSC</v>
      </c>
      <c r="E13223" s="1" t="str">
        <f>HYPERLINK("http://www.ncbi.nlm.nih.gov/gene/?term=PTPN1","NCBI")</f>
        <v>NCBI</v>
      </c>
      <c r="F13223">
        <v>0.43</v>
      </c>
      <c r="G13223">
        <v>0.56000000000000005</v>
      </c>
      <c r="H13223" s="1" t="str">
        <f>HYPERLINK("http://www.weizmann.ac.il/complex/compphys/software/geview/data/figures/202716_at.png","Figure")</f>
        <v>Figure</v>
      </c>
      <c r="I13223">
        <v>0.94699999999999995</v>
      </c>
      <c r="J13223">
        <v>0.92</v>
      </c>
      <c r="K13223">
        <v>0.85599999999999998</v>
      </c>
      <c r="L13223">
        <v>0.42</v>
      </c>
      <c r="M13223">
        <v>0.90400000000000003</v>
      </c>
      <c r="N13223">
        <v>0.72</v>
      </c>
    </row>
    <row r="13224" spans="1:14" x14ac:dyDescent="0.25">
      <c r="A13224" t="s">
        <v>22611</v>
      </c>
      <c r="B13224" t="s">
        <v>20923</v>
      </c>
      <c r="C13224" s="1" t="str">
        <f>HYPERLINK("http://www.genecards.org/cgi-bin/carddisp.pl?gene=RHOQ","GeneCards")</f>
        <v>GeneCards</v>
      </c>
      <c r="D13224" s="1" t="str">
        <f>HYPERLINK("http://genome-euro.ucsc.edu/cgi-bin/hgTracks?position=212117_at","UCSC")</f>
        <v>UCSC</v>
      </c>
      <c r="E13224" s="1" t="str">
        <f>HYPERLINK("http://www.ncbi.nlm.nih.gov/gene/?term=RHOQ","NCBI")</f>
        <v>NCBI</v>
      </c>
      <c r="F13224">
        <v>0.43</v>
      </c>
      <c r="G13224">
        <v>0.56000000000000005</v>
      </c>
      <c r="H13224" s="1" t="str">
        <f>HYPERLINK("http://www.weizmann.ac.il/complex/compphys/software/geview/data/figures/212117_at.png","Figure")</f>
        <v>Figure</v>
      </c>
      <c r="I13224">
        <v>1.22</v>
      </c>
      <c r="J13224">
        <v>0.71</v>
      </c>
      <c r="K13224">
        <v>0.89300000000000002</v>
      </c>
      <c r="L13224">
        <v>0.86</v>
      </c>
      <c r="M13224">
        <v>0.73299999999999998</v>
      </c>
      <c r="N13224">
        <v>0.4</v>
      </c>
    </row>
    <row r="13225" spans="1:14" x14ac:dyDescent="0.25">
      <c r="A13225" t="s">
        <v>22612</v>
      </c>
      <c r="B13225" t="s">
        <v>7933</v>
      </c>
      <c r="C13225" s="1" t="str">
        <f>HYPERLINK("http://www.genecards.org/cgi-bin/carddisp.pl?gene=FAM69A","GeneCards")</f>
        <v>GeneCards</v>
      </c>
      <c r="D13225" s="1" t="str">
        <f>HYPERLINK("http://genome-euro.ucsc.edu/cgi-bin/hgTracks?position=213689_x_at","UCSC")</f>
        <v>UCSC</v>
      </c>
      <c r="E13225" s="1" t="str">
        <f>HYPERLINK("http://www.ncbi.nlm.nih.gov/gene/?term=FAM69A","NCBI")</f>
        <v>NCBI</v>
      </c>
      <c r="F13225">
        <v>0.43</v>
      </c>
      <c r="G13225">
        <v>0.56000000000000005</v>
      </c>
      <c r="H13225" s="1" t="str">
        <f>HYPERLINK("http://www.weizmann.ac.il/complex/compphys/software/geview/data/figures/213689_x_at.png","Figure")</f>
        <v>Figure</v>
      </c>
      <c r="I13225">
        <v>0.96499999999999997</v>
      </c>
      <c r="J13225">
        <v>0.94</v>
      </c>
      <c r="K13225">
        <v>1.0900000000000001</v>
      </c>
      <c r="L13225">
        <v>0.63</v>
      </c>
      <c r="M13225">
        <v>1.1299999999999999</v>
      </c>
      <c r="N13225">
        <v>0.45</v>
      </c>
    </row>
    <row r="13226" spans="1:14" x14ac:dyDescent="0.25">
      <c r="A13226" t="s">
        <v>22613</v>
      </c>
      <c r="B13226" t="s">
        <v>5580</v>
      </c>
      <c r="C13226" s="1" t="str">
        <f>HYPERLINK("http://www.genecards.org/cgi-bin/carddisp.pl?gene=DLG4","GeneCards")</f>
        <v>GeneCards</v>
      </c>
      <c r="D13226" s="1" t="str">
        <f>HYPERLINK("http://genome-euro.ucsc.edu/cgi-bin/hgTracks?position=204592_at","UCSC")</f>
        <v>UCSC</v>
      </c>
      <c r="E13226" s="1" t="str">
        <f>HYPERLINK("http://www.ncbi.nlm.nih.gov/gene/?term=DLG4","NCBI")</f>
        <v>NCBI</v>
      </c>
      <c r="F13226">
        <v>0.43</v>
      </c>
      <c r="G13226">
        <v>0.56000000000000005</v>
      </c>
      <c r="H13226" s="1" t="str">
        <f>HYPERLINK("http://www.weizmann.ac.il/complex/compphys/software/geview/data/figures/204592_at.png","Figure")</f>
        <v>Figure</v>
      </c>
      <c r="I13226">
        <v>1.05</v>
      </c>
      <c r="J13226">
        <v>0.46</v>
      </c>
      <c r="K13226">
        <v>1.04</v>
      </c>
      <c r="L13226">
        <v>0.54</v>
      </c>
      <c r="M13226">
        <v>0.99</v>
      </c>
      <c r="N13226">
        <v>0.95</v>
      </c>
    </row>
    <row r="13227" spans="1:14" x14ac:dyDescent="0.25">
      <c r="A13227" t="s">
        <v>22614</v>
      </c>
      <c r="B13227" t="s">
        <v>7714</v>
      </c>
      <c r="C13227" s="1" t="str">
        <f>HYPERLINK("http://www.genecards.org/cgi-bin/carddisp.pl?gene=LGALS8","GeneCards")</f>
        <v>GeneCards</v>
      </c>
      <c r="D13227" s="1" t="str">
        <f>HYPERLINK("http://genome-euro.ucsc.edu/cgi-bin/hgTracks?position=208935_s_at","UCSC")</f>
        <v>UCSC</v>
      </c>
      <c r="E13227" s="1" t="str">
        <f>HYPERLINK("http://www.ncbi.nlm.nih.gov/gene/?term=LGALS8","NCBI")</f>
        <v>NCBI</v>
      </c>
      <c r="F13227">
        <v>0.43</v>
      </c>
      <c r="G13227">
        <v>0.56000000000000005</v>
      </c>
      <c r="H13227" s="1" t="str">
        <f>HYPERLINK("http://www.weizmann.ac.il/complex/compphys/software/geview/data/figures/208935_s_at.png","Figure")</f>
        <v>Figure</v>
      </c>
      <c r="I13227">
        <v>0.872</v>
      </c>
      <c r="J13227">
        <v>0.59</v>
      </c>
      <c r="K13227">
        <v>0.86</v>
      </c>
      <c r="L13227">
        <v>0.44</v>
      </c>
      <c r="M13227">
        <v>0.98599999999999999</v>
      </c>
      <c r="N13227">
        <v>0.99</v>
      </c>
    </row>
    <row r="13228" spans="1:14" x14ac:dyDescent="0.25">
      <c r="A13228" t="s">
        <v>22615</v>
      </c>
      <c r="B13228" t="s">
        <v>20295</v>
      </c>
      <c r="C13228" s="1" t="str">
        <f>HYPERLINK("http://www.genecards.org/cgi-bin/carddisp.pl?gene=RRP12","GeneCards")</f>
        <v>GeneCards</v>
      </c>
      <c r="D13228" s="1" t="str">
        <f>HYPERLINK("http://genome-euro.ucsc.edu/cgi-bin/hgTracks?position=216909_at","UCSC")</f>
        <v>UCSC</v>
      </c>
      <c r="E13228" s="1" t="str">
        <f>HYPERLINK("http://www.ncbi.nlm.nih.gov/gene/?term=RRP12","NCBI")</f>
        <v>NCBI</v>
      </c>
      <c r="F13228">
        <v>0.43</v>
      </c>
      <c r="G13228">
        <v>0.56000000000000005</v>
      </c>
      <c r="H13228" s="1" t="str">
        <f>HYPERLINK("http://www.weizmann.ac.il/complex/compphys/software/geview/data/figures/216909_at.png","Figure")</f>
        <v>Figure</v>
      </c>
      <c r="I13228">
        <v>1.08</v>
      </c>
      <c r="J13228">
        <v>0.44</v>
      </c>
      <c r="K13228">
        <v>1.01</v>
      </c>
      <c r="L13228">
        <v>0.96</v>
      </c>
      <c r="M13228">
        <v>0.93700000000000006</v>
      </c>
      <c r="N13228">
        <v>0.53</v>
      </c>
    </row>
    <row r="13229" spans="1:14" x14ac:dyDescent="0.25">
      <c r="A13229" t="s">
        <v>22616</v>
      </c>
      <c r="B13229" t="s">
        <v>22617</v>
      </c>
      <c r="C13229" s="1" t="str">
        <f>HYPERLINK("http://www.genecards.org/cgi-bin/carddisp.pl?gene=CD14","GeneCards")</f>
        <v>GeneCards</v>
      </c>
      <c r="D13229" s="1" t="str">
        <f>HYPERLINK("http://genome-euro.ucsc.edu/cgi-bin/hgTracks?position=201743_at","UCSC")</f>
        <v>UCSC</v>
      </c>
      <c r="E13229" s="1" t="str">
        <f>HYPERLINK("http://www.ncbi.nlm.nih.gov/gene/?term=CD14","NCBI")</f>
        <v>NCBI</v>
      </c>
      <c r="F13229">
        <v>0.43</v>
      </c>
      <c r="G13229">
        <v>0.56000000000000005</v>
      </c>
      <c r="H13229" s="1" t="str">
        <f>HYPERLINK("http://www.weizmann.ac.il/complex/compphys/software/geview/data/figures/201743_at.png","Figure")</f>
        <v>Figure</v>
      </c>
      <c r="I13229">
        <v>0.98699999999999999</v>
      </c>
      <c r="J13229">
        <v>0.92</v>
      </c>
      <c r="K13229">
        <v>1.03</v>
      </c>
      <c r="L13229">
        <v>0.65</v>
      </c>
      <c r="M13229">
        <v>1.04</v>
      </c>
      <c r="N13229">
        <v>0.44</v>
      </c>
    </row>
    <row r="13230" spans="1:14" x14ac:dyDescent="0.25">
      <c r="A13230" t="s">
        <v>22618</v>
      </c>
      <c r="B13230" t="s">
        <v>2737</v>
      </c>
      <c r="C13230" s="1" t="str">
        <f>HYPERLINK("http://www.genecards.org/cgi-bin/carddisp.pl?gene=TXNL4A","GeneCards")</f>
        <v>GeneCards</v>
      </c>
      <c r="D13230" s="1" t="str">
        <f>HYPERLINK("http://genome-euro.ucsc.edu/cgi-bin/hgTracks?position=202835_at","UCSC")</f>
        <v>UCSC</v>
      </c>
      <c r="E13230" s="1" t="str">
        <f>HYPERLINK("http://www.ncbi.nlm.nih.gov/gene/?term=TXNL4A","NCBI")</f>
        <v>NCBI</v>
      </c>
      <c r="F13230">
        <v>0.43</v>
      </c>
      <c r="G13230">
        <v>0.56000000000000005</v>
      </c>
      <c r="H13230" s="1" t="str">
        <f>HYPERLINK("http://www.weizmann.ac.il/complex/compphys/software/geview/data/figures/202835_at.png","Figure")</f>
        <v>Figure</v>
      </c>
      <c r="I13230">
        <v>1.1000000000000001</v>
      </c>
      <c r="J13230">
        <v>0.41</v>
      </c>
      <c r="K13230">
        <v>1.06</v>
      </c>
      <c r="L13230">
        <v>0.66</v>
      </c>
      <c r="M13230">
        <v>0.96099999999999997</v>
      </c>
      <c r="N13230">
        <v>0.83</v>
      </c>
    </row>
    <row r="13231" spans="1:14" x14ac:dyDescent="0.25">
      <c r="A13231" t="s">
        <v>22619</v>
      </c>
      <c r="B13231" t="s">
        <v>22567</v>
      </c>
      <c r="C13231" s="1" t="str">
        <f>HYPERLINK("http://www.genecards.org/cgi-bin/carddisp.pl?gene=CMAH","GeneCards")</f>
        <v>GeneCards</v>
      </c>
      <c r="D13231" s="1" t="str">
        <f>HYPERLINK("http://genome-euro.ucsc.edu/cgi-bin/hgTracks?position=205518_s_at","UCSC")</f>
        <v>UCSC</v>
      </c>
      <c r="E13231" s="1" t="str">
        <f>HYPERLINK("http://www.ncbi.nlm.nih.gov/gene/?term=CMAH","NCBI")</f>
        <v>NCBI</v>
      </c>
      <c r="F13231">
        <v>0.43</v>
      </c>
      <c r="G13231">
        <v>0.56000000000000005</v>
      </c>
      <c r="H13231" s="1" t="str">
        <f>HYPERLINK("http://www.weizmann.ac.il/complex/compphys/software/geview/data/figures/205518_s_at.png","Figure")</f>
        <v>Figure</v>
      </c>
      <c r="I13231">
        <v>0.90200000000000002</v>
      </c>
      <c r="J13231">
        <v>0.76</v>
      </c>
      <c r="K13231">
        <v>1.08</v>
      </c>
      <c r="L13231">
        <v>0.82</v>
      </c>
      <c r="M13231">
        <v>1.2</v>
      </c>
      <c r="N13231">
        <v>0.4</v>
      </c>
    </row>
    <row r="13232" spans="1:14" x14ac:dyDescent="0.25">
      <c r="A13232" t="s">
        <v>22620</v>
      </c>
      <c r="B13232" t="s">
        <v>3380</v>
      </c>
      <c r="C13232" s="1" t="str">
        <f>HYPERLINK("http://www.genecards.org/cgi-bin/carddisp.pl?gene=SMG5","GeneCards")</f>
        <v>GeneCards</v>
      </c>
      <c r="D13232" s="1" t="str">
        <f>HYPERLINK("http://genome-euro.ucsc.edu/cgi-bin/hgTracks?position=34868_at","UCSC")</f>
        <v>UCSC</v>
      </c>
      <c r="E13232" s="1" t="str">
        <f>HYPERLINK("http://www.ncbi.nlm.nih.gov/gene/?term=SMG5","NCBI")</f>
        <v>NCBI</v>
      </c>
      <c r="F13232">
        <v>0.43</v>
      </c>
      <c r="G13232">
        <v>0.56000000000000005</v>
      </c>
      <c r="H13232" s="1" t="str">
        <f>HYPERLINK("http://www.weizmann.ac.il/complex/compphys/software/geview/data/figures/34868_at.png","Figure")</f>
        <v>Figure</v>
      </c>
      <c r="I13232">
        <v>1.04</v>
      </c>
      <c r="J13232">
        <v>0.83</v>
      </c>
      <c r="K13232">
        <v>0.95299999999999996</v>
      </c>
      <c r="L13232">
        <v>0.74</v>
      </c>
      <c r="M13232">
        <v>0.91400000000000003</v>
      </c>
      <c r="N13232">
        <v>0.41</v>
      </c>
    </row>
    <row r="13233" spans="1:14" x14ac:dyDescent="0.25">
      <c r="A13233" t="s">
        <v>22621</v>
      </c>
      <c r="B13233" t="s">
        <v>20981</v>
      </c>
      <c r="C13233" s="1" t="str">
        <f>HYPERLINK("http://www.genecards.org/cgi-bin/carddisp.pl?gene=KATNB1","GeneCards")</f>
        <v>GeneCards</v>
      </c>
      <c r="D13233" s="1" t="str">
        <f>HYPERLINK("http://genome-euro.ucsc.edu/cgi-bin/hgTracks?position=203163_at","UCSC")</f>
        <v>UCSC</v>
      </c>
      <c r="E13233" s="1" t="str">
        <f>HYPERLINK("http://www.ncbi.nlm.nih.gov/gene/?term=KATNB1","NCBI")</f>
        <v>NCBI</v>
      </c>
      <c r="F13233">
        <v>0.43</v>
      </c>
      <c r="G13233">
        <v>0.56000000000000005</v>
      </c>
      <c r="H13233" s="1" t="str">
        <f>HYPERLINK("http://www.weizmann.ac.il/complex/compphys/software/geview/data/figures/203163_at.png","Figure")</f>
        <v>Figure</v>
      </c>
      <c r="I13233">
        <v>1.03</v>
      </c>
      <c r="J13233">
        <v>0.49</v>
      </c>
      <c r="K13233">
        <v>1.03</v>
      </c>
      <c r="L13233">
        <v>0.5</v>
      </c>
      <c r="M13233">
        <v>0.995</v>
      </c>
      <c r="N13233">
        <v>0.98</v>
      </c>
    </row>
    <row r="13234" spans="1:14" x14ac:dyDescent="0.25">
      <c r="A13234" t="s">
        <v>22622</v>
      </c>
      <c r="B13234" t="s">
        <v>22623</v>
      </c>
      <c r="C13234" s="1" t="str">
        <f>HYPERLINK("http://www.genecards.org/cgi-bin/carddisp.pl?gene=HOXA9","GeneCards")</f>
        <v>GeneCards</v>
      </c>
      <c r="D13234" s="1" t="str">
        <f>HYPERLINK("http://genome-euro.ucsc.edu/cgi-bin/hgTracks?position=209905_at","UCSC")</f>
        <v>UCSC</v>
      </c>
      <c r="E13234" s="1" t="str">
        <f>HYPERLINK("http://www.ncbi.nlm.nih.gov/gene/?term=HOXA9","NCBI")</f>
        <v>NCBI</v>
      </c>
      <c r="F13234">
        <v>0.43</v>
      </c>
      <c r="G13234">
        <v>0.56000000000000005</v>
      </c>
      <c r="H13234" s="1" t="str">
        <f>HYPERLINK("http://www.weizmann.ac.il/complex/compphys/software/geview/data/figures/209905_at.png","Figure")</f>
        <v>Figure</v>
      </c>
      <c r="I13234">
        <v>1.04</v>
      </c>
      <c r="J13234">
        <v>0.57999999999999996</v>
      </c>
      <c r="K13234">
        <v>1.04</v>
      </c>
      <c r="L13234">
        <v>0.44</v>
      </c>
      <c r="M13234">
        <v>1</v>
      </c>
      <c r="N13234">
        <v>0.99</v>
      </c>
    </row>
    <row r="13235" spans="1:14" x14ac:dyDescent="0.25">
      <c r="A13235" t="s">
        <v>22624</v>
      </c>
      <c r="B13235" t="s">
        <v>22625</v>
      </c>
      <c r="C13235" s="1" t="str">
        <f>HYPERLINK("http://www.genecards.org/cgi-bin/carddisp.pl?gene=IFNA17","GeneCards")</f>
        <v>GeneCards</v>
      </c>
      <c r="D13235" s="1" t="str">
        <f>HYPERLINK("http://genome-euro.ucsc.edu/cgi-bin/hgTracks?position=211405_x_at","UCSC")</f>
        <v>UCSC</v>
      </c>
      <c r="E13235" s="1" t="str">
        <f>HYPERLINK("http://www.ncbi.nlm.nih.gov/gene/?term=IFNA17","NCBI")</f>
        <v>NCBI</v>
      </c>
      <c r="F13235">
        <v>0.43</v>
      </c>
      <c r="G13235">
        <v>0.56000000000000005</v>
      </c>
      <c r="H13235" s="1" t="str">
        <f>HYPERLINK("http://www.weizmann.ac.il/complex/compphys/software/geview/data/figures/211405_x_at.png","Figure")</f>
        <v>Figure</v>
      </c>
      <c r="I13235">
        <v>1.1200000000000001</v>
      </c>
      <c r="J13235">
        <v>0.54</v>
      </c>
      <c r="K13235">
        <v>0.98799999999999999</v>
      </c>
      <c r="L13235">
        <v>0.99</v>
      </c>
      <c r="M13235">
        <v>0.879</v>
      </c>
      <c r="N13235">
        <v>0.43</v>
      </c>
    </row>
    <row r="13236" spans="1:14" x14ac:dyDescent="0.25">
      <c r="A13236" t="s">
        <v>22626</v>
      </c>
      <c r="B13236" t="s">
        <v>22627</v>
      </c>
      <c r="C13236" s="1" t="str">
        <f>HYPERLINK("http://www.genecards.org/cgi-bin/carddisp.pl?gene=CREG1","GeneCards")</f>
        <v>GeneCards</v>
      </c>
      <c r="D13236" s="1" t="str">
        <f>HYPERLINK("http://genome-euro.ucsc.edu/cgi-bin/hgTracks?position=201200_at","UCSC")</f>
        <v>UCSC</v>
      </c>
      <c r="E13236" s="1" t="str">
        <f>HYPERLINK("http://www.ncbi.nlm.nih.gov/gene/?term=CREG1","NCBI")</f>
        <v>NCBI</v>
      </c>
      <c r="F13236">
        <v>0.43</v>
      </c>
      <c r="G13236">
        <v>0.56000000000000005</v>
      </c>
      <c r="H13236" s="1" t="str">
        <f>HYPERLINK("http://www.weizmann.ac.il/complex/compphys/software/geview/data/figures/201200_at.png","Figure")</f>
        <v>Figure</v>
      </c>
      <c r="I13236">
        <v>0.84899999999999998</v>
      </c>
      <c r="J13236">
        <v>0.81</v>
      </c>
      <c r="K13236">
        <v>0.73399999999999999</v>
      </c>
      <c r="L13236">
        <v>0.4</v>
      </c>
      <c r="M13236">
        <v>0.86499999999999999</v>
      </c>
      <c r="N13236">
        <v>0.83</v>
      </c>
    </row>
    <row r="13237" spans="1:14" x14ac:dyDescent="0.25">
      <c r="A13237" t="s">
        <v>22628</v>
      </c>
      <c r="B13237" t="s">
        <v>22629</v>
      </c>
      <c r="C13237" s="1" t="str">
        <f>HYPERLINK("http://www.genecards.org/cgi-bin/carddisp.pl?gene=PANK2","GeneCards")</f>
        <v>GeneCards</v>
      </c>
      <c r="D13237" s="1" t="str">
        <f>HYPERLINK("http://genome-euro.ucsc.edu/cgi-bin/hgTracks?position=218809_at","UCSC")</f>
        <v>UCSC</v>
      </c>
      <c r="E13237" s="1" t="str">
        <f>HYPERLINK("http://www.ncbi.nlm.nih.gov/gene/?term=PANK2","NCBI")</f>
        <v>NCBI</v>
      </c>
      <c r="F13237">
        <v>0.43</v>
      </c>
      <c r="G13237">
        <v>0.56000000000000005</v>
      </c>
      <c r="H13237" s="1" t="str">
        <f>HYPERLINK("http://www.weizmann.ac.il/complex/compphys/software/geview/data/figures/218809_at.png","Figure")</f>
        <v>Figure</v>
      </c>
      <c r="I13237">
        <v>0.97699999999999998</v>
      </c>
      <c r="J13237">
        <v>0.99</v>
      </c>
      <c r="K13237">
        <v>0.84599999999999997</v>
      </c>
      <c r="L13237">
        <v>0.46</v>
      </c>
      <c r="M13237">
        <v>0.86599999999999999</v>
      </c>
      <c r="N13237">
        <v>0.6</v>
      </c>
    </row>
    <row r="13238" spans="1:14" x14ac:dyDescent="0.25">
      <c r="A13238" t="s">
        <v>22630</v>
      </c>
      <c r="B13238" t="s">
        <v>22631</v>
      </c>
      <c r="C13238" s="1" t="str">
        <f>HYPERLINK("http://www.genecards.org/cgi-bin/carddisp.pl?gene=ENTPD6","GeneCards")</f>
        <v>GeneCards</v>
      </c>
      <c r="D13238" s="1" t="str">
        <f>HYPERLINK("http://genome-euro.ucsc.edu/cgi-bin/hgTracks?position=201704_at","UCSC")</f>
        <v>UCSC</v>
      </c>
      <c r="E13238" s="1" t="str">
        <f>HYPERLINK("http://www.ncbi.nlm.nih.gov/gene/?term=ENTPD6","NCBI")</f>
        <v>NCBI</v>
      </c>
      <c r="F13238">
        <v>0.43</v>
      </c>
      <c r="G13238">
        <v>0.56000000000000005</v>
      </c>
      <c r="H13238" s="1" t="str">
        <f>HYPERLINK("http://www.weizmann.ac.il/complex/compphys/software/geview/data/figures/201704_at.png","Figure")</f>
        <v>Figure</v>
      </c>
      <c r="I13238">
        <v>0.88400000000000001</v>
      </c>
      <c r="J13238">
        <v>0.56000000000000005</v>
      </c>
      <c r="K13238">
        <v>1.02</v>
      </c>
      <c r="L13238">
        <v>0.98</v>
      </c>
      <c r="M13238">
        <v>1.1499999999999999</v>
      </c>
      <c r="N13238">
        <v>0.43</v>
      </c>
    </row>
    <row r="13239" spans="1:14" x14ac:dyDescent="0.25">
      <c r="A13239" t="s">
        <v>22632</v>
      </c>
      <c r="B13239" t="s">
        <v>11524</v>
      </c>
      <c r="C13239" s="1" t="str">
        <f>HYPERLINK("http://www.genecards.org/cgi-bin/carddisp.pl?gene=ALMS1","GeneCards")</f>
        <v>GeneCards</v>
      </c>
      <c r="D13239" s="1" t="str">
        <f>HYPERLINK("http://genome-euro.ucsc.edu/cgi-bin/hgTracks?position=214221_at","UCSC")</f>
        <v>UCSC</v>
      </c>
      <c r="E13239" s="1" t="str">
        <f>HYPERLINK("http://www.ncbi.nlm.nih.gov/gene/?term=ALMS1","NCBI")</f>
        <v>NCBI</v>
      </c>
      <c r="F13239">
        <v>0.43</v>
      </c>
      <c r="G13239">
        <v>0.56000000000000005</v>
      </c>
      <c r="H13239" s="1" t="str">
        <f>HYPERLINK("http://www.weizmann.ac.il/complex/compphys/software/geview/data/figures/214221_at.png","Figure")</f>
        <v>Figure</v>
      </c>
      <c r="I13239">
        <v>0.82299999999999995</v>
      </c>
      <c r="J13239">
        <v>0.42</v>
      </c>
      <c r="K13239">
        <v>0.95199999999999996</v>
      </c>
      <c r="L13239">
        <v>0.92</v>
      </c>
      <c r="M13239">
        <v>1.1599999999999999</v>
      </c>
      <c r="N13239">
        <v>0.56999999999999995</v>
      </c>
    </row>
    <row r="13240" spans="1:14" x14ac:dyDescent="0.25">
      <c r="A13240" t="s">
        <v>22633</v>
      </c>
      <c r="B13240" t="s">
        <v>22634</v>
      </c>
      <c r="C13240" s="1" t="str">
        <f>HYPERLINK("http://www.genecards.org/cgi-bin/carddisp.pl?gene=ZMYM1","GeneCards")</f>
        <v>GeneCards</v>
      </c>
      <c r="D13240" s="1" t="str">
        <f>HYPERLINK("http://genome-euro.ucsc.edu/cgi-bin/hgTracks?position=220206_at","UCSC")</f>
        <v>UCSC</v>
      </c>
      <c r="E13240" s="1" t="str">
        <f>HYPERLINK("http://www.ncbi.nlm.nih.gov/gene/?term=ZMYM1","NCBI")</f>
        <v>NCBI</v>
      </c>
      <c r="F13240">
        <v>0.43</v>
      </c>
      <c r="G13240">
        <v>0.56000000000000005</v>
      </c>
      <c r="H13240" s="1" t="str">
        <f>HYPERLINK("http://www.weizmann.ac.il/complex/compphys/software/geview/data/figures/220206_at.png","Figure")</f>
        <v>Figure</v>
      </c>
      <c r="I13240">
        <v>0.89100000000000001</v>
      </c>
      <c r="J13240">
        <v>0.72</v>
      </c>
      <c r="K13240">
        <v>0.84399999999999997</v>
      </c>
      <c r="L13240">
        <v>0.41</v>
      </c>
      <c r="M13240">
        <v>0.94699999999999995</v>
      </c>
      <c r="N13240">
        <v>0.92</v>
      </c>
    </row>
    <row r="13241" spans="1:14" x14ac:dyDescent="0.25">
      <c r="A13241" t="s">
        <v>22635</v>
      </c>
      <c r="B13241" t="s">
        <v>13384</v>
      </c>
      <c r="C13241" s="1" t="str">
        <f>HYPERLINK("http://www.genecards.org/cgi-bin/carddisp.pl?gene=MAT2A","GeneCards")</f>
        <v>GeneCards</v>
      </c>
      <c r="D13241" s="1" t="str">
        <f>HYPERLINK("http://genome-euro.ucsc.edu/cgi-bin/hgTracks?position=200769_s_at","UCSC")</f>
        <v>UCSC</v>
      </c>
      <c r="E13241" s="1" t="str">
        <f>HYPERLINK("http://www.ncbi.nlm.nih.gov/gene/?term=MAT2A","NCBI")</f>
        <v>NCBI</v>
      </c>
      <c r="F13241">
        <v>0.43</v>
      </c>
      <c r="G13241">
        <v>0.56000000000000005</v>
      </c>
      <c r="H13241" s="1" t="str">
        <f>HYPERLINK("http://www.weizmann.ac.il/complex/compphys/software/geview/data/figures/200769_s_at.png","Figure")</f>
        <v>Figure</v>
      </c>
      <c r="I13241">
        <v>1.1100000000000001</v>
      </c>
      <c r="J13241">
        <v>0.61</v>
      </c>
      <c r="K13241">
        <v>1.1299999999999999</v>
      </c>
      <c r="L13241">
        <v>0.43</v>
      </c>
      <c r="M13241">
        <v>1.02</v>
      </c>
      <c r="N13241">
        <v>0.98</v>
      </c>
    </row>
    <row r="13242" spans="1:14" x14ac:dyDescent="0.25">
      <c r="A13242" t="s">
        <v>22636</v>
      </c>
      <c r="B13242" t="s">
        <v>22637</v>
      </c>
      <c r="C13242" s="1" t="str">
        <f>HYPERLINK("http://www.genecards.org/cgi-bin/carddisp.pl?gene=SMYD5","GeneCards")</f>
        <v>GeneCards</v>
      </c>
      <c r="D13242" s="1" t="str">
        <f>HYPERLINK("http://genome-euro.ucsc.edu/cgi-bin/hgTracks?position=209516_at","UCSC")</f>
        <v>UCSC</v>
      </c>
      <c r="E13242" s="1" t="str">
        <f>HYPERLINK("http://www.ncbi.nlm.nih.gov/gene/?term=SMYD5","NCBI")</f>
        <v>NCBI</v>
      </c>
      <c r="F13242">
        <v>0.43</v>
      </c>
      <c r="G13242">
        <v>0.56000000000000005</v>
      </c>
      <c r="H13242" s="1" t="str">
        <f>HYPERLINK("http://www.weizmann.ac.il/complex/compphys/software/geview/data/figures/209516_at.png","Figure")</f>
        <v>Figure</v>
      </c>
      <c r="I13242">
        <v>1.04</v>
      </c>
      <c r="J13242">
        <v>0.91</v>
      </c>
      <c r="K13242">
        <v>0.92900000000000005</v>
      </c>
      <c r="L13242">
        <v>0.67</v>
      </c>
      <c r="M13242">
        <v>0.89200000000000002</v>
      </c>
      <c r="N13242">
        <v>0.44</v>
      </c>
    </row>
    <row r="13243" spans="1:14" x14ac:dyDescent="0.25">
      <c r="A13243" t="s">
        <v>22638</v>
      </c>
      <c r="B13243" t="s">
        <v>22639</v>
      </c>
      <c r="C13243" s="1" t="str">
        <f>HYPERLINK("http://www.genecards.org/cgi-bin/carddisp.pl?gene=PGS1","GeneCards")</f>
        <v>GeneCards</v>
      </c>
      <c r="D13243" s="1" t="str">
        <f>HYPERLINK("http://genome-euro.ucsc.edu/cgi-bin/hgTracks?position=219394_at","UCSC")</f>
        <v>UCSC</v>
      </c>
      <c r="E13243" s="1" t="str">
        <f>HYPERLINK("http://www.ncbi.nlm.nih.gov/gene/?term=PGS1","NCBI")</f>
        <v>NCBI</v>
      </c>
      <c r="F13243">
        <v>0.43</v>
      </c>
      <c r="G13243">
        <v>0.56000000000000005</v>
      </c>
      <c r="H13243" s="1" t="str">
        <f>HYPERLINK("http://www.weizmann.ac.il/complex/compphys/software/geview/data/figures/219394_at.png","Figure")</f>
        <v>Figure</v>
      </c>
      <c r="I13243">
        <v>0.84499999999999997</v>
      </c>
      <c r="J13243">
        <v>0.4</v>
      </c>
      <c r="K13243">
        <v>0.92</v>
      </c>
      <c r="L13243">
        <v>0.74</v>
      </c>
      <c r="M13243">
        <v>1.0900000000000001</v>
      </c>
      <c r="N13243">
        <v>0.76</v>
      </c>
    </row>
    <row r="13244" spans="1:14" x14ac:dyDescent="0.25">
      <c r="A13244" t="s">
        <v>22640</v>
      </c>
      <c r="B13244" t="s">
        <v>22641</v>
      </c>
      <c r="C13244" s="1" t="str">
        <f>HYPERLINK("http://www.genecards.org/cgi-bin/carddisp.pl?gene=TFF1","GeneCards")</f>
        <v>GeneCards</v>
      </c>
      <c r="D13244" s="1" t="str">
        <f>HYPERLINK("http://genome-euro.ucsc.edu/cgi-bin/hgTracks?position=205009_at","UCSC")</f>
        <v>UCSC</v>
      </c>
      <c r="E13244" s="1" t="str">
        <f>HYPERLINK("http://www.ncbi.nlm.nih.gov/gene/?term=TFF1","NCBI")</f>
        <v>NCBI</v>
      </c>
      <c r="F13244">
        <v>0.43</v>
      </c>
      <c r="G13244">
        <v>0.56000000000000005</v>
      </c>
      <c r="H13244" s="1" t="str">
        <f>HYPERLINK("http://www.weizmann.ac.il/complex/compphys/software/geview/data/figures/205009_at.png","Figure")</f>
        <v>Figure</v>
      </c>
      <c r="I13244">
        <v>1.02</v>
      </c>
      <c r="J13244">
        <v>0.54</v>
      </c>
      <c r="K13244">
        <v>0.998</v>
      </c>
      <c r="L13244">
        <v>0.99</v>
      </c>
      <c r="M13244">
        <v>0.98299999999999998</v>
      </c>
      <c r="N13244">
        <v>0.43</v>
      </c>
    </row>
    <row r="13245" spans="1:14" x14ac:dyDescent="0.25">
      <c r="A13245" t="s">
        <v>22642</v>
      </c>
      <c r="B13245" t="s">
        <v>22643</v>
      </c>
      <c r="C13245" s="1" t="str">
        <f>HYPERLINK("http://www.genecards.org/cgi-bin/carddisp.pl?gene=FGA","GeneCards")</f>
        <v>GeneCards</v>
      </c>
      <c r="D13245" s="1" t="str">
        <f>HYPERLINK("http://genome-euro.ucsc.edu/cgi-bin/hgTracks?position=205650_s_at","UCSC")</f>
        <v>UCSC</v>
      </c>
      <c r="E13245" s="1" t="str">
        <f>HYPERLINK("http://www.ncbi.nlm.nih.gov/gene/?term=FGA","NCBI")</f>
        <v>NCBI</v>
      </c>
      <c r="F13245">
        <v>0.43</v>
      </c>
      <c r="G13245">
        <v>0.56000000000000005</v>
      </c>
      <c r="H13245" s="1" t="str">
        <f>HYPERLINK("http://www.weizmann.ac.il/complex/compphys/software/geview/data/figures/205650_s_at.png","Figure")</f>
        <v>Figure</v>
      </c>
      <c r="I13245">
        <v>1.1299999999999999</v>
      </c>
      <c r="J13245">
        <v>0.5</v>
      </c>
      <c r="K13245">
        <v>1</v>
      </c>
      <c r="L13245">
        <v>1</v>
      </c>
      <c r="M13245">
        <v>0.88800000000000001</v>
      </c>
      <c r="N13245">
        <v>0.46</v>
      </c>
    </row>
    <row r="13246" spans="1:14" x14ac:dyDescent="0.25">
      <c r="A13246" t="s">
        <v>22644</v>
      </c>
      <c r="B13246" t="s">
        <v>22645</v>
      </c>
      <c r="C13246" s="1" t="str">
        <f>HYPERLINK("http://www.genecards.org/cgi-bin/carddisp.pl?gene=ZPBP","GeneCards")</f>
        <v>GeneCards</v>
      </c>
      <c r="D13246" s="1" t="str">
        <f>HYPERLINK("http://genome-euro.ucsc.edu/cgi-bin/hgTracks?position=207021_at","UCSC")</f>
        <v>UCSC</v>
      </c>
      <c r="E13246" s="1" t="str">
        <f>HYPERLINK("http://www.ncbi.nlm.nih.gov/gene/?term=ZPBP","NCBI")</f>
        <v>NCBI</v>
      </c>
      <c r="F13246">
        <v>0.43</v>
      </c>
      <c r="G13246">
        <v>0.56000000000000005</v>
      </c>
      <c r="H13246" s="1" t="str">
        <f>HYPERLINK("http://www.weizmann.ac.il/complex/compphys/software/geview/data/figures/207021_at.png","Figure")</f>
        <v>Figure</v>
      </c>
      <c r="I13246">
        <v>1.02</v>
      </c>
      <c r="J13246">
        <v>0.64</v>
      </c>
      <c r="K13246">
        <v>0.99199999999999999</v>
      </c>
      <c r="L13246">
        <v>0.93</v>
      </c>
      <c r="M13246">
        <v>0.96899999999999997</v>
      </c>
      <c r="N13246">
        <v>0.41</v>
      </c>
    </row>
    <row r="13247" spans="1:14" x14ac:dyDescent="0.25">
      <c r="A13247" t="s">
        <v>22646</v>
      </c>
      <c r="B13247" t="s">
        <v>22647</v>
      </c>
      <c r="C13247" s="1" t="str">
        <f>HYPERLINK("http://www.genecards.org/cgi-bin/carddisp.pl?gene=YBX1","GeneCards")</f>
        <v>GeneCards</v>
      </c>
      <c r="D13247" s="1" t="str">
        <f>HYPERLINK("http://genome-euro.ucsc.edu/cgi-bin/hgTracks?position=208627_s_at","UCSC")</f>
        <v>UCSC</v>
      </c>
      <c r="E13247" s="1" t="str">
        <f>HYPERLINK("http://www.ncbi.nlm.nih.gov/gene/?term=YBX1","NCBI")</f>
        <v>NCBI</v>
      </c>
      <c r="F13247">
        <v>0.43</v>
      </c>
      <c r="G13247">
        <v>0.56000000000000005</v>
      </c>
      <c r="H13247" s="1" t="str">
        <f>HYPERLINK("http://www.weizmann.ac.il/complex/compphys/software/geview/data/figures/208627_s_at.png","Figure")</f>
        <v>Figure</v>
      </c>
      <c r="I13247">
        <v>1.23</v>
      </c>
      <c r="J13247">
        <v>0.59</v>
      </c>
      <c r="K13247">
        <v>0.95599999999999996</v>
      </c>
      <c r="L13247">
        <v>0.97</v>
      </c>
      <c r="M13247">
        <v>0.77800000000000002</v>
      </c>
      <c r="N13247">
        <v>0.42</v>
      </c>
    </row>
    <row r="13248" spans="1:14" x14ac:dyDescent="0.25">
      <c r="A13248" t="s">
        <v>22648</v>
      </c>
      <c r="B13248" t="s">
        <v>22649</v>
      </c>
      <c r="C13248" s="1" t="str">
        <f>HYPERLINK("http://www.genecards.org/cgi-bin/carddisp.pl?gene=SIK2","GeneCards")</f>
        <v>GeneCards</v>
      </c>
      <c r="D13248" s="1" t="str">
        <f>HYPERLINK("http://genome-euro.ucsc.edu/cgi-bin/hgTracks?position=215752_at","UCSC")</f>
        <v>UCSC</v>
      </c>
      <c r="E13248" s="1" t="str">
        <f>HYPERLINK("http://www.ncbi.nlm.nih.gov/gene/?term=SIK2","NCBI")</f>
        <v>NCBI</v>
      </c>
      <c r="F13248">
        <v>0.43</v>
      </c>
      <c r="G13248">
        <v>0.56000000000000005</v>
      </c>
      <c r="H13248" s="1" t="str">
        <f>HYPERLINK("http://www.weizmann.ac.il/complex/compphys/software/geview/data/figures/215752_at.png","Figure")</f>
        <v>Figure</v>
      </c>
      <c r="I13248">
        <v>1.02</v>
      </c>
      <c r="J13248">
        <v>0.61</v>
      </c>
      <c r="K13248">
        <v>1.03</v>
      </c>
      <c r="L13248">
        <v>0.43</v>
      </c>
      <c r="M13248">
        <v>1</v>
      </c>
      <c r="N13248">
        <v>0.98</v>
      </c>
    </row>
    <row r="13249" spans="1:14" x14ac:dyDescent="0.25">
      <c r="A13249" t="s">
        <v>22650</v>
      </c>
      <c r="B13249" t="s">
        <v>22651</v>
      </c>
      <c r="C13249" s="1" t="str">
        <f>HYPERLINK("http://www.genecards.org/cgi-bin/carddisp.pl?gene=ACD","GeneCards")</f>
        <v>GeneCards</v>
      </c>
      <c r="D13249" s="1" t="str">
        <f>HYPERLINK("http://genome-euro.ucsc.edu/cgi-bin/hgTracks?position=204617_s_at","UCSC")</f>
        <v>UCSC</v>
      </c>
      <c r="E13249" s="1" t="str">
        <f>HYPERLINK("http://www.ncbi.nlm.nih.gov/gene/?term=ACD","NCBI")</f>
        <v>NCBI</v>
      </c>
      <c r="F13249">
        <v>0.44</v>
      </c>
      <c r="G13249">
        <v>0.56000000000000005</v>
      </c>
      <c r="H13249" s="1" t="str">
        <f>HYPERLINK("http://www.weizmann.ac.il/complex/compphys/software/geview/data/figures/204617_s_at.png","Figure")</f>
        <v>Figure</v>
      </c>
      <c r="I13249">
        <v>1.1299999999999999</v>
      </c>
      <c r="J13249">
        <v>0.57999999999999996</v>
      </c>
      <c r="K13249">
        <v>1.1399999999999999</v>
      </c>
      <c r="L13249">
        <v>0.44</v>
      </c>
      <c r="M13249">
        <v>1.01</v>
      </c>
      <c r="N13249">
        <v>1</v>
      </c>
    </row>
    <row r="13250" spans="1:14" x14ac:dyDescent="0.25">
      <c r="A13250" t="s">
        <v>22652</v>
      </c>
      <c r="B13250" t="s">
        <v>18911</v>
      </c>
      <c r="C13250" s="1" t="str">
        <f>HYPERLINK("http://www.genecards.org/cgi-bin/carddisp.pl?gene=MBD1","GeneCards")</f>
        <v>GeneCards</v>
      </c>
      <c r="D13250" s="1" t="str">
        <f>HYPERLINK("http://genome-euro.ucsc.edu/cgi-bin/hgTracks?position=203353_s_at","UCSC")</f>
        <v>UCSC</v>
      </c>
      <c r="E13250" s="1" t="str">
        <f>HYPERLINK("http://www.ncbi.nlm.nih.gov/gene/?term=MBD1","NCBI")</f>
        <v>NCBI</v>
      </c>
      <c r="F13250">
        <v>0.44</v>
      </c>
      <c r="G13250">
        <v>0.56000000000000005</v>
      </c>
      <c r="H13250" s="1" t="str">
        <f>HYPERLINK("http://www.weizmann.ac.il/complex/compphys/software/geview/data/figures/203353_s_at.png","Figure")</f>
        <v>Figure</v>
      </c>
      <c r="I13250">
        <v>0.96899999999999997</v>
      </c>
      <c r="J13250">
        <v>0.9</v>
      </c>
      <c r="K13250">
        <v>0.92300000000000004</v>
      </c>
      <c r="L13250">
        <v>0.42</v>
      </c>
      <c r="M13250">
        <v>0.95199999999999996</v>
      </c>
      <c r="N13250">
        <v>0.74</v>
      </c>
    </row>
    <row r="13251" spans="1:14" x14ac:dyDescent="0.25">
      <c r="A13251" t="s">
        <v>22653</v>
      </c>
      <c r="B13251" t="s">
        <v>5339</v>
      </c>
      <c r="C13251" s="1" t="str">
        <f>HYPERLINK("http://www.genecards.org/cgi-bin/carddisp.pl?gene=PCSK6","GeneCards")</f>
        <v>GeneCards</v>
      </c>
      <c r="D13251" s="1" t="str">
        <f>HYPERLINK("http://genome-euro.ucsc.edu/cgi-bin/hgTracks?position=211262_at","UCSC")</f>
        <v>UCSC</v>
      </c>
      <c r="E13251" s="1" t="str">
        <f>HYPERLINK("http://www.ncbi.nlm.nih.gov/gene/?term=PCSK6","NCBI")</f>
        <v>NCBI</v>
      </c>
      <c r="F13251">
        <v>0.44</v>
      </c>
      <c r="G13251">
        <v>0.56000000000000005</v>
      </c>
      <c r="H13251" s="1" t="str">
        <f>HYPERLINK("http://www.weizmann.ac.il/complex/compphys/software/geview/data/figures/211262_at.png","Figure")</f>
        <v>Figure</v>
      </c>
      <c r="I13251">
        <v>1.04</v>
      </c>
      <c r="J13251">
        <v>0.47</v>
      </c>
      <c r="K13251">
        <v>1</v>
      </c>
      <c r="L13251">
        <v>0.99</v>
      </c>
      <c r="M13251">
        <v>0.96899999999999997</v>
      </c>
      <c r="N13251">
        <v>0.49</v>
      </c>
    </row>
    <row r="13252" spans="1:14" x14ac:dyDescent="0.25">
      <c r="A13252" t="s">
        <v>22654</v>
      </c>
      <c r="B13252" t="s">
        <v>22655</v>
      </c>
      <c r="C13252" s="1" t="str">
        <f>HYPERLINK("http://www.genecards.org/cgi-bin/carddisp.pl?gene=ZNF276","GeneCards")</f>
        <v>GeneCards</v>
      </c>
      <c r="D13252" s="1" t="str">
        <f>HYPERLINK("http://genome-euro.ucsc.edu/cgi-bin/hgTracks?position=213778_x_at","UCSC")</f>
        <v>UCSC</v>
      </c>
      <c r="E13252" s="1" t="str">
        <f>HYPERLINK("http://www.ncbi.nlm.nih.gov/gene/?term=ZNF276","NCBI")</f>
        <v>NCBI</v>
      </c>
      <c r="F13252">
        <v>0.44</v>
      </c>
      <c r="G13252">
        <v>0.56000000000000005</v>
      </c>
      <c r="H13252" s="1" t="str">
        <f>HYPERLINK("http://www.weizmann.ac.il/complex/compphys/software/geview/data/figures/213778_x_at.png","Figure")</f>
        <v>Figure</v>
      </c>
      <c r="I13252">
        <v>1.03</v>
      </c>
      <c r="J13252">
        <v>0.86</v>
      </c>
      <c r="K13252">
        <v>1.06</v>
      </c>
      <c r="L13252">
        <v>0.41</v>
      </c>
      <c r="M13252">
        <v>1.03</v>
      </c>
      <c r="N13252">
        <v>0.78</v>
      </c>
    </row>
    <row r="13253" spans="1:14" x14ac:dyDescent="0.25">
      <c r="A13253" t="s">
        <v>22656</v>
      </c>
      <c r="B13253" t="s">
        <v>22657</v>
      </c>
      <c r="C13253" s="1" t="str">
        <f>HYPERLINK("http://www.genecards.org/cgi-bin/carddisp.pl?gene=MED9","GeneCards")</f>
        <v>GeneCards</v>
      </c>
      <c r="D13253" s="1" t="str">
        <f>HYPERLINK("http://genome-euro.ucsc.edu/cgi-bin/hgTracks?position=218372_at","UCSC")</f>
        <v>UCSC</v>
      </c>
      <c r="E13253" s="1" t="str">
        <f>HYPERLINK("http://www.ncbi.nlm.nih.gov/gene/?term=MED9","NCBI")</f>
        <v>NCBI</v>
      </c>
      <c r="F13253">
        <v>0.44</v>
      </c>
      <c r="G13253">
        <v>0.56000000000000005</v>
      </c>
      <c r="H13253" s="1" t="str">
        <f>HYPERLINK("http://www.weizmann.ac.il/complex/compphys/software/geview/data/figures/218372_at.png","Figure")</f>
        <v>Figure</v>
      </c>
      <c r="I13253">
        <v>1.17</v>
      </c>
      <c r="J13253">
        <v>0.46</v>
      </c>
      <c r="K13253">
        <v>1.02</v>
      </c>
      <c r="L13253">
        <v>0.98</v>
      </c>
      <c r="M13253">
        <v>0.876</v>
      </c>
      <c r="N13253">
        <v>0.51</v>
      </c>
    </row>
    <row r="13254" spans="1:14" x14ac:dyDescent="0.25">
      <c r="A13254" t="s">
        <v>22658</v>
      </c>
      <c r="B13254" t="s">
        <v>6083</v>
      </c>
      <c r="C13254" s="1" t="str">
        <f>HYPERLINK("http://www.genecards.org/cgi-bin/carddisp.pl?gene=GOLGA1","GeneCards")</f>
        <v>GeneCards</v>
      </c>
      <c r="D13254" s="1" t="str">
        <f>HYPERLINK("http://genome-euro.ucsc.edu/cgi-bin/hgTracks?position=203384_s_at","UCSC")</f>
        <v>UCSC</v>
      </c>
      <c r="E13254" s="1" t="str">
        <f>HYPERLINK("http://www.ncbi.nlm.nih.gov/gene/?term=GOLGA1","NCBI")</f>
        <v>NCBI</v>
      </c>
      <c r="F13254">
        <v>0.44</v>
      </c>
      <c r="G13254">
        <v>0.56000000000000005</v>
      </c>
      <c r="H13254" s="1" t="str">
        <f>HYPERLINK("http://www.weizmann.ac.il/complex/compphys/software/geview/data/figures/203384_s_at.png","Figure")</f>
        <v>Figure</v>
      </c>
      <c r="I13254">
        <v>0.81799999999999995</v>
      </c>
      <c r="J13254">
        <v>0.4</v>
      </c>
      <c r="K13254">
        <v>0.91200000000000003</v>
      </c>
      <c r="L13254">
        <v>0.77</v>
      </c>
      <c r="M13254">
        <v>1.1200000000000001</v>
      </c>
      <c r="N13254">
        <v>0.73</v>
      </c>
    </row>
    <row r="13255" spans="1:14" x14ac:dyDescent="0.25">
      <c r="A13255" t="s">
        <v>22659</v>
      </c>
      <c r="B13255" t="s">
        <v>11625</v>
      </c>
      <c r="C13255" s="1" t="str">
        <f>HYPERLINK("http://www.genecards.org/cgi-bin/carddisp.pl?gene=MZF1","GeneCards")</f>
        <v>GeneCards</v>
      </c>
      <c r="D13255" s="1" t="str">
        <f>HYPERLINK("http://genome-euro.ucsc.edu/cgi-bin/hgTracks?position=40569_at","UCSC")</f>
        <v>UCSC</v>
      </c>
      <c r="E13255" s="1" t="str">
        <f>HYPERLINK("http://www.ncbi.nlm.nih.gov/gene/?term=MZF1","NCBI")</f>
        <v>NCBI</v>
      </c>
      <c r="F13255">
        <v>0.44</v>
      </c>
      <c r="G13255">
        <v>0.56000000000000005</v>
      </c>
      <c r="H13255" s="1" t="str">
        <f>HYPERLINK("http://www.weizmann.ac.il/complex/compphys/software/geview/data/figures/40569_at.png","Figure")</f>
        <v>Figure</v>
      </c>
      <c r="I13255">
        <v>1.27</v>
      </c>
      <c r="J13255">
        <v>0.41</v>
      </c>
      <c r="K13255">
        <v>1.1299999999999999</v>
      </c>
      <c r="L13255">
        <v>0.73</v>
      </c>
      <c r="M13255">
        <v>0.88700000000000001</v>
      </c>
      <c r="N13255">
        <v>0.76</v>
      </c>
    </row>
    <row r="13256" spans="1:14" x14ac:dyDescent="0.25">
      <c r="A13256" t="s">
        <v>22660</v>
      </c>
      <c r="B13256" t="s">
        <v>22661</v>
      </c>
      <c r="C13256" s="1" t="str">
        <f>HYPERLINK("http://www.genecards.org/cgi-bin/carddisp.pl?gene=PTCD3","GeneCards")</f>
        <v>GeneCards</v>
      </c>
      <c r="D13256" s="1" t="str">
        <f>HYPERLINK("http://genome-euro.ucsc.edu/cgi-bin/hgTracks?position=217895_at","UCSC")</f>
        <v>UCSC</v>
      </c>
      <c r="E13256" s="1" t="str">
        <f>HYPERLINK("http://www.ncbi.nlm.nih.gov/gene/?term=PTCD3","NCBI")</f>
        <v>NCBI</v>
      </c>
      <c r="F13256">
        <v>0.44</v>
      </c>
      <c r="G13256">
        <v>0.56000000000000005</v>
      </c>
      <c r="H13256" s="1" t="str">
        <f>HYPERLINK("http://www.weizmann.ac.il/complex/compphys/software/geview/data/figures/217895_at.png","Figure")</f>
        <v>Figure</v>
      </c>
      <c r="I13256">
        <v>1.19</v>
      </c>
      <c r="J13256">
        <v>0.64</v>
      </c>
      <c r="K13256">
        <v>0.94299999999999995</v>
      </c>
      <c r="L13256">
        <v>0.93</v>
      </c>
      <c r="M13256">
        <v>0.79400000000000004</v>
      </c>
      <c r="N13256">
        <v>0.41</v>
      </c>
    </row>
    <row r="13257" spans="1:14" x14ac:dyDescent="0.25">
      <c r="A13257" t="s">
        <v>22662</v>
      </c>
      <c r="B13257" t="s">
        <v>22663</v>
      </c>
      <c r="C13257" s="1" t="str">
        <f>HYPERLINK("http://www.genecards.org/cgi-bin/carddisp.pl?gene=NOP10","GeneCards")</f>
        <v>GeneCards</v>
      </c>
      <c r="D13257" s="1" t="str">
        <f>HYPERLINK("http://genome-euro.ucsc.edu/cgi-bin/hgTracks?position=217962_at","UCSC")</f>
        <v>UCSC</v>
      </c>
      <c r="E13257" s="1" t="str">
        <f>HYPERLINK("http://www.ncbi.nlm.nih.gov/gene/?term=NOP10","NCBI")</f>
        <v>NCBI</v>
      </c>
      <c r="F13257">
        <v>0.44</v>
      </c>
      <c r="G13257">
        <v>0.56000000000000005</v>
      </c>
      <c r="H13257" s="1" t="str">
        <f>HYPERLINK("http://www.weizmann.ac.il/complex/compphys/software/geview/data/figures/217962_at.png","Figure")</f>
        <v>Figure</v>
      </c>
      <c r="I13257">
        <v>0.875</v>
      </c>
      <c r="J13257">
        <v>0.68</v>
      </c>
      <c r="K13257">
        <v>1.06</v>
      </c>
      <c r="L13257">
        <v>0.9</v>
      </c>
      <c r="M13257">
        <v>1.21</v>
      </c>
      <c r="N13257">
        <v>0.4</v>
      </c>
    </row>
    <row r="13258" spans="1:14" x14ac:dyDescent="0.25">
      <c r="A13258" t="s">
        <v>22664</v>
      </c>
      <c r="B13258" t="s">
        <v>13049</v>
      </c>
      <c r="C13258" s="1" t="str">
        <f>HYPERLINK("http://www.genecards.org/cgi-bin/carddisp.pl?gene=TADA2L","GeneCards")</f>
        <v>GeneCards</v>
      </c>
      <c r="D13258" s="1" t="str">
        <f>HYPERLINK("http://genome-euro.ucsc.edu/cgi-bin/hgTracks?position=209938_at","UCSC")</f>
        <v>UCSC</v>
      </c>
      <c r="E13258" s="1" t="str">
        <f>HYPERLINK("http://www.ncbi.nlm.nih.gov/gene/?term=TADA2L","NCBI")</f>
        <v>NCBI</v>
      </c>
      <c r="F13258">
        <v>0.44</v>
      </c>
      <c r="G13258">
        <v>0.56000000000000005</v>
      </c>
      <c r="H13258" s="1" t="str">
        <f>HYPERLINK("http://www.weizmann.ac.il/complex/compphys/software/geview/data/figures/209938_at.png","Figure")</f>
        <v>Figure</v>
      </c>
      <c r="I13258">
        <v>1.01</v>
      </c>
      <c r="J13258">
        <v>0.98</v>
      </c>
      <c r="K13258">
        <v>1.06</v>
      </c>
      <c r="L13258">
        <v>0.46</v>
      </c>
      <c r="M13258">
        <v>1.05</v>
      </c>
      <c r="N13258">
        <v>0.62</v>
      </c>
    </row>
    <row r="13259" spans="1:14" x14ac:dyDescent="0.25">
      <c r="A13259" t="s">
        <v>22665</v>
      </c>
      <c r="B13259" t="s">
        <v>16563</v>
      </c>
      <c r="C13259" s="1" t="str">
        <f>HYPERLINK("http://www.genecards.org/cgi-bin/carddisp.pl?gene=UBB","GeneCards")</f>
        <v>GeneCards</v>
      </c>
      <c r="D13259" s="1" t="str">
        <f>HYPERLINK("http://genome-euro.ucsc.edu/cgi-bin/hgTracks?position=217144_at","UCSC")</f>
        <v>UCSC</v>
      </c>
      <c r="E13259" s="1" t="str">
        <f>HYPERLINK("http://www.ncbi.nlm.nih.gov/gene/?term=UBB","NCBI")</f>
        <v>NCBI</v>
      </c>
      <c r="F13259">
        <v>0.44</v>
      </c>
      <c r="G13259">
        <v>0.56000000000000005</v>
      </c>
      <c r="H13259" s="1" t="str">
        <f>HYPERLINK("http://www.weizmann.ac.il/complex/compphys/software/geview/data/figures/217144_at.png","Figure")</f>
        <v>Figure</v>
      </c>
      <c r="I13259">
        <v>1.2</v>
      </c>
      <c r="J13259">
        <v>0.42</v>
      </c>
      <c r="K13259">
        <v>1.05</v>
      </c>
      <c r="L13259">
        <v>0.92</v>
      </c>
      <c r="M13259">
        <v>0.872</v>
      </c>
      <c r="N13259">
        <v>0.56999999999999995</v>
      </c>
    </row>
    <row r="13260" spans="1:14" x14ac:dyDescent="0.25">
      <c r="A13260" t="s">
        <v>22666</v>
      </c>
      <c r="B13260" t="s">
        <v>22667</v>
      </c>
      <c r="C13260" s="1" t="str">
        <f>HYPERLINK("http://www.genecards.org/cgi-bin/carddisp.pl?gene=RNF14","GeneCards")</f>
        <v>GeneCards</v>
      </c>
      <c r="D13260" s="1" t="str">
        <f>HYPERLINK("http://genome-euro.ucsc.edu/cgi-bin/hgTracks?position=201823_s_at","UCSC")</f>
        <v>UCSC</v>
      </c>
      <c r="E13260" s="1" t="str">
        <f>HYPERLINK("http://www.ncbi.nlm.nih.gov/gene/?term=RNF14","NCBI")</f>
        <v>NCBI</v>
      </c>
      <c r="F13260">
        <v>0.44</v>
      </c>
      <c r="G13260">
        <v>0.56000000000000005</v>
      </c>
      <c r="H13260" s="1" t="str">
        <f>HYPERLINK("http://www.weizmann.ac.il/complex/compphys/software/geview/data/figures/201823_s_at.png","Figure")</f>
        <v>Figure</v>
      </c>
      <c r="I13260">
        <v>0.88400000000000001</v>
      </c>
      <c r="J13260">
        <v>0.4</v>
      </c>
      <c r="K13260">
        <v>0.94599999999999995</v>
      </c>
      <c r="L13260">
        <v>0.77</v>
      </c>
      <c r="M13260">
        <v>1.07</v>
      </c>
      <c r="N13260">
        <v>0.72</v>
      </c>
    </row>
    <row r="13261" spans="1:14" x14ac:dyDescent="0.25">
      <c r="A13261" t="s">
        <v>22668</v>
      </c>
      <c r="B13261" t="s">
        <v>22669</v>
      </c>
      <c r="C13261" s="1" t="str">
        <f>HYPERLINK("http://www.genecards.org/cgi-bin/carddisp.pl?gene=MGAT5","GeneCards")</f>
        <v>GeneCards</v>
      </c>
      <c r="D13261" s="1" t="str">
        <f>HYPERLINK("http://genome-euro.ucsc.edu/cgi-bin/hgTracks?position=206720_at","UCSC")</f>
        <v>UCSC</v>
      </c>
      <c r="E13261" s="1" t="str">
        <f>HYPERLINK("http://www.ncbi.nlm.nih.gov/gene/?term=MGAT5","NCBI")</f>
        <v>NCBI</v>
      </c>
      <c r="F13261">
        <v>0.44</v>
      </c>
      <c r="G13261">
        <v>0.56000000000000005</v>
      </c>
      <c r="H13261" s="1" t="str">
        <f>HYPERLINK("http://www.weizmann.ac.il/complex/compphys/software/geview/data/figures/206720_at.png","Figure")</f>
        <v>Figure</v>
      </c>
      <c r="I13261">
        <v>1.01</v>
      </c>
      <c r="J13261">
        <v>0.41</v>
      </c>
      <c r="K13261">
        <v>1.01</v>
      </c>
      <c r="L13261">
        <v>0.69</v>
      </c>
      <c r="M13261">
        <v>0.995</v>
      </c>
      <c r="N13261">
        <v>0.81</v>
      </c>
    </row>
    <row r="13262" spans="1:14" x14ac:dyDescent="0.25">
      <c r="A13262" t="s">
        <v>22670</v>
      </c>
      <c r="B13262" t="s">
        <v>14304</v>
      </c>
      <c r="C13262" s="1" t="str">
        <f>HYPERLINK("http://www.genecards.org/cgi-bin/carddisp.pl?gene=TANK","GeneCards")</f>
        <v>GeneCards</v>
      </c>
      <c r="D13262" s="1" t="str">
        <f>HYPERLINK("http://genome-euro.ucsc.edu/cgi-bin/hgTracks?position=209451_at","UCSC")</f>
        <v>UCSC</v>
      </c>
      <c r="E13262" s="1" t="str">
        <f>HYPERLINK("http://www.ncbi.nlm.nih.gov/gene/?term=TANK","NCBI")</f>
        <v>NCBI</v>
      </c>
      <c r="F13262">
        <v>0.44</v>
      </c>
      <c r="G13262">
        <v>0.56000000000000005</v>
      </c>
      <c r="H13262" s="1" t="str">
        <f>HYPERLINK("http://www.weizmann.ac.il/complex/compphys/software/geview/data/figures/209451_at.png","Figure")</f>
        <v>Figure</v>
      </c>
      <c r="I13262">
        <v>0.97899999999999998</v>
      </c>
      <c r="J13262">
        <v>0.41</v>
      </c>
      <c r="K13262">
        <v>0.99299999999999999</v>
      </c>
      <c r="L13262">
        <v>0.87</v>
      </c>
      <c r="M13262">
        <v>1.01</v>
      </c>
      <c r="N13262">
        <v>0.63</v>
      </c>
    </row>
    <row r="13263" spans="1:14" x14ac:dyDescent="0.25">
      <c r="A13263" t="s">
        <v>22671</v>
      </c>
      <c r="B13263" t="s">
        <v>20738</v>
      </c>
      <c r="C13263" s="1" t="str">
        <f>HYPERLINK("http://www.genecards.org/cgi-bin/carddisp.pl?gene=EZH1","GeneCards")</f>
        <v>GeneCards</v>
      </c>
      <c r="D13263" s="1" t="str">
        <f>HYPERLINK("http://genome-euro.ucsc.edu/cgi-bin/hgTracks?position=203249_at","UCSC")</f>
        <v>UCSC</v>
      </c>
      <c r="E13263" s="1" t="str">
        <f>HYPERLINK("http://www.ncbi.nlm.nih.gov/gene/?term=EZH1","NCBI")</f>
        <v>NCBI</v>
      </c>
      <c r="F13263">
        <v>0.44</v>
      </c>
      <c r="G13263">
        <v>0.56000000000000005</v>
      </c>
      <c r="H13263" s="1" t="str">
        <f>HYPERLINK("http://www.weizmann.ac.il/complex/compphys/software/geview/data/figures/203249_at.png","Figure")</f>
        <v>Figure</v>
      </c>
      <c r="I13263">
        <v>1.1499999999999999</v>
      </c>
      <c r="J13263">
        <v>0.61</v>
      </c>
      <c r="K13263">
        <v>0.96399999999999997</v>
      </c>
      <c r="L13263">
        <v>0.95</v>
      </c>
      <c r="M13263">
        <v>0.84</v>
      </c>
      <c r="N13263">
        <v>0.41</v>
      </c>
    </row>
    <row r="13264" spans="1:14" x14ac:dyDescent="0.25">
      <c r="A13264" t="s">
        <v>22672</v>
      </c>
      <c r="B13264" t="s">
        <v>3871</v>
      </c>
      <c r="C13264" s="1" t="str">
        <f>HYPERLINK("http://www.genecards.org/cgi-bin/carddisp.pl?gene=EIF3J","GeneCards")</f>
        <v>GeneCards</v>
      </c>
      <c r="D13264" s="1" t="str">
        <f>HYPERLINK("http://genome-euro.ucsc.edu/cgi-bin/hgTracks?position=208264_s_at","UCSC")</f>
        <v>UCSC</v>
      </c>
      <c r="E13264" s="1" t="str">
        <f>HYPERLINK("http://www.ncbi.nlm.nih.gov/gene/?term=EIF3J","NCBI")</f>
        <v>NCBI</v>
      </c>
      <c r="F13264">
        <v>0.44</v>
      </c>
      <c r="G13264">
        <v>0.56000000000000005</v>
      </c>
      <c r="H13264" s="1" t="str">
        <f>HYPERLINK("http://www.weizmann.ac.il/complex/compphys/software/geview/data/figures/208264_s_at.png","Figure")</f>
        <v>Figure</v>
      </c>
      <c r="I13264">
        <v>0.76</v>
      </c>
      <c r="J13264">
        <v>0.45</v>
      </c>
      <c r="K13264">
        <v>0.81899999999999995</v>
      </c>
      <c r="L13264">
        <v>0.56999999999999995</v>
      </c>
      <c r="M13264">
        <v>1.08</v>
      </c>
      <c r="N13264">
        <v>0.93</v>
      </c>
    </row>
    <row r="13265" spans="1:14" x14ac:dyDescent="0.25">
      <c r="A13265" t="s">
        <v>22673</v>
      </c>
      <c r="B13265" t="s">
        <v>22674</v>
      </c>
      <c r="C13265" s="1" t="str">
        <f>HYPERLINK("http://www.genecards.org/cgi-bin/carddisp.pl?gene=SFRS9","GeneCards")</f>
        <v>GeneCards</v>
      </c>
      <c r="D13265" s="1" t="str">
        <f>HYPERLINK("http://genome-euro.ucsc.edu/cgi-bin/hgTracks?position=200044_at","UCSC")</f>
        <v>UCSC</v>
      </c>
      <c r="E13265" s="1" t="str">
        <f>HYPERLINK("http://www.ncbi.nlm.nih.gov/gene/?term=SFRS9","NCBI")</f>
        <v>NCBI</v>
      </c>
      <c r="F13265">
        <v>0.44</v>
      </c>
      <c r="G13265">
        <v>0.56000000000000005</v>
      </c>
      <c r="H13265" s="1" t="str">
        <f>HYPERLINK("http://www.weizmann.ac.il/complex/compphys/software/geview/data/figures/200044_at.png","Figure")</f>
        <v>Figure</v>
      </c>
      <c r="I13265">
        <v>0.91100000000000003</v>
      </c>
      <c r="J13265">
        <v>0.81</v>
      </c>
      <c r="K13265">
        <v>0.84099999999999997</v>
      </c>
      <c r="L13265">
        <v>0.4</v>
      </c>
      <c r="M13265">
        <v>0.92300000000000004</v>
      </c>
      <c r="N13265">
        <v>0.84</v>
      </c>
    </row>
    <row r="13266" spans="1:14" x14ac:dyDescent="0.25">
      <c r="A13266" t="s">
        <v>22675</v>
      </c>
      <c r="B13266" t="s">
        <v>13783</v>
      </c>
      <c r="C13266" s="1" t="str">
        <f>HYPERLINK("http://www.genecards.org/cgi-bin/carddisp.pl?gene=PI3","GeneCards")</f>
        <v>GeneCards</v>
      </c>
      <c r="D13266" s="1" t="str">
        <f>HYPERLINK("http://genome-euro.ucsc.edu/cgi-bin/hgTracks?position=41469_at","UCSC")</f>
        <v>UCSC</v>
      </c>
      <c r="E13266" s="1" t="str">
        <f>HYPERLINK("http://www.ncbi.nlm.nih.gov/gene/?term=PI3","NCBI")</f>
        <v>NCBI</v>
      </c>
      <c r="F13266">
        <v>0.44</v>
      </c>
      <c r="G13266">
        <v>0.56000000000000005</v>
      </c>
      <c r="H13266" s="1" t="str">
        <f>HYPERLINK("http://www.weizmann.ac.il/complex/compphys/software/geview/data/figures/41469_at.png","Figure")</f>
        <v>Figure</v>
      </c>
      <c r="I13266">
        <v>1.02</v>
      </c>
      <c r="J13266">
        <v>0.69</v>
      </c>
      <c r="K13266">
        <v>0.99099999999999999</v>
      </c>
      <c r="L13266">
        <v>0.89</v>
      </c>
      <c r="M13266">
        <v>0.97199999999999998</v>
      </c>
      <c r="N13266">
        <v>0.4</v>
      </c>
    </row>
    <row r="13267" spans="1:14" x14ac:dyDescent="0.25">
      <c r="A13267" t="s">
        <v>22676</v>
      </c>
      <c r="B13267" t="s">
        <v>9896</v>
      </c>
      <c r="C13267" s="1" t="str">
        <f>HYPERLINK("http://www.genecards.org/cgi-bin/carddisp.pl?gene=TOR1AIP1","GeneCards")</f>
        <v>GeneCards</v>
      </c>
      <c r="D13267" s="1" t="str">
        <f>HYPERLINK("http://genome-euro.ucsc.edu/cgi-bin/hgTracks?position=212409_s_at","UCSC")</f>
        <v>UCSC</v>
      </c>
      <c r="E13267" s="1" t="str">
        <f>HYPERLINK("http://www.ncbi.nlm.nih.gov/gene/?term=TOR1AIP1","NCBI")</f>
        <v>NCBI</v>
      </c>
      <c r="F13267">
        <v>0.44</v>
      </c>
      <c r="G13267">
        <v>0.56000000000000005</v>
      </c>
      <c r="H13267" s="1" t="str">
        <f>HYPERLINK("http://www.weizmann.ac.il/complex/compphys/software/geview/data/figures/212409_s_at.png","Figure")</f>
        <v>Figure</v>
      </c>
      <c r="I13267">
        <v>0.96199999999999997</v>
      </c>
      <c r="J13267">
        <v>0.76</v>
      </c>
      <c r="K13267">
        <v>0.93899999999999995</v>
      </c>
      <c r="L13267">
        <v>0.4</v>
      </c>
      <c r="M13267">
        <v>0.97599999999999998</v>
      </c>
      <c r="N13267">
        <v>0.88</v>
      </c>
    </row>
    <row r="13268" spans="1:14" x14ac:dyDescent="0.25">
      <c r="A13268" t="s">
        <v>22677</v>
      </c>
      <c r="B13268" t="s">
        <v>22678</v>
      </c>
      <c r="C13268" s="1" t="str">
        <f>HYPERLINK("http://www.genecards.org/cgi-bin/carddisp.pl?gene=INTS9","GeneCards")</f>
        <v>GeneCards</v>
      </c>
      <c r="D13268" s="1" t="str">
        <f>HYPERLINK("http://genome-euro.ucsc.edu/cgi-bin/hgTracks?position=203941_at","UCSC")</f>
        <v>UCSC</v>
      </c>
      <c r="E13268" s="1" t="str">
        <f>HYPERLINK("http://www.ncbi.nlm.nih.gov/gene/?term=INTS9","NCBI")</f>
        <v>NCBI</v>
      </c>
      <c r="F13268">
        <v>0.44</v>
      </c>
      <c r="G13268">
        <v>0.56000000000000005</v>
      </c>
      <c r="H13268" s="1" t="str">
        <f>HYPERLINK("http://www.weizmann.ac.il/complex/compphys/software/geview/data/figures/203941_at.png","Figure")</f>
        <v>Figure</v>
      </c>
      <c r="I13268">
        <v>0.88100000000000001</v>
      </c>
      <c r="J13268">
        <v>0.77</v>
      </c>
      <c r="K13268">
        <v>1.1000000000000001</v>
      </c>
      <c r="L13268">
        <v>0.81</v>
      </c>
      <c r="M13268">
        <v>1.25</v>
      </c>
      <c r="N13268">
        <v>0.41</v>
      </c>
    </row>
    <row r="13269" spans="1:14" x14ac:dyDescent="0.25">
      <c r="A13269" t="s">
        <v>22679</v>
      </c>
      <c r="B13269" t="s">
        <v>22680</v>
      </c>
      <c r="C13269" s="1" t="str">
        <f>HYPERLINK("http://www.genecards.org/cgi-bin/carddisp.pl?gene=MMP17","GeneCards")</f>
        <v>GeneCards</v>
      </c>
      <c r="D13269" s="1" t="str">
        <f>HYPERLINK("http://genome-euro.ucsc.edu/cgi-bin/hgTracks?position=206234_s_at","UCSC")</f>
        <v>UCSC</v>
      </c>
      <c r="E13269" s="1" t="str">
        <f>HYPERLINK("http://www.ncbi.nlm.nih.gov/gene/?term=MMP17","NCBI")</f>
        <v>NCBI</v>
      </c>
      <c r="F13269">
        <v>0.44</v>
      </c>
      <c r="G13269">
        <v>0.56000000000000005</v>
      </c>
      <c r="H13269" s="1" t="str">
        <f>HYPERLINK("http://www.weizmann.ac.il/complex/compphys/software/geview/data/figures/206234_s_at.png","Figure")</f>
        <v>Figure</v>
      </c>
      <c r="I13269">
        <v>1.05</v>
      </c>
      <c r="J13269">
        <v>0.93</v>
      </c>
      <c r="K13269">
        <v>1.17</v>
      </c>
      <c r="L13269">
        <v>0.43</v>
      </c>
      <c r="M13269">
        <v>1.1100000000000001</v>
      </c>
      <c r="N13269">
        <v>0.7</v>
      </c>
    </row>
    <row r="13270" spans="1:14" x14ac:dyDescent="0.25">
      <c r="A13270" t="s">
        <v>22681</v>
      </c>
      <c r="B13270" t="s">
        <v>22682</v>
      </c>
      <c r="C13270" s="1" t="str">
        <f>HYPERLINK("http://www.genecards.org/cgi-bin/carddisp.pl?gene=VDAC2","GeneCards")</f>
        <v>GeneCards</v>
      </c>
      <c r="D13270" s="1" t="str">
        <f>HYPERLINK("http://genome-euro.ucsc.edu/cgi-bin/hgTracks?position=211662_s_at","UCSC")</f>
        <v>UCSC</v>
      </c>
      <c r="E13270" s="1" t="str">
        <f>HYPERLINK("http://www.ncbi.nlm.nih.gov/gene/?term=VDAC2","NCBI")</f>
        <v>NCBI</v>
      </c>
      <c r="F13270">
        <v>0.44</v>
      </c>
      <c r="G13270">
        <v>0.56000000000000005</v>
      </c>
      <c r="H13270" s="1" t="str">
        <f>HYPERLINK("http://www.weizmann.ac.il/complex/compphys/software/geview/data/figures/211662_s_at.png","Figure")</f>
        <v>Figure</v>
      </c>
      <c r="I13270">
        <v>0.77500000000000002</v>
      </c>
      <c r="J13270">
        <v>0.43</v>
      </c>
      <c r="K13270">
        <v>0.94</v>
      </c>
      <c r="L13270">
        <v>0.93</v>
      </c>
      <c r="M13270">
        <v>1.21</v>
      </c>
      <c r="N13270">
        <v>0.56999999999999995</v>
      </c>
    </row>
    <row r="13271" spans="1:14" x14ac:dyDescent="0.25">
      <c r="A13271" t="s">
        <v>22683</v>
      </c>
      <c r="B13271" t="s">
        <v>22684</v>
      </c>
      <c r="C13271" s="1" t="str">
        <f>HYPERLINK("http://www.genecards.org/cgi-bin/carddisp.pl?gene=C2orf54","GeneCards")</f>
        <v>GeneCards</v>
      </c>
      <c r="D13271" s="1" t="str">
        <f>HYPERLINK("http://genome-euro.ucsc.edu/cgi-bin/hgTracks?position=220149_at","UCSC")</f>
        <v>UCSC</v>
      </c>
      <c r="E13271" s="1" t="str">
        <f>HYPERLINK("http://www.ncbi.nlm.nih.gov/gene/?term=C2orf54","NCBI")</f>
        <v>NCBI</v>
      </c>
      <c r="F13271">
        <v>0.44</v>
      </c>
      <c r="G13271">
        <v>0.56000000000000005</v>
      </c>
      <c r="H13271" s="1" t="str">
        <f>HYPERLINK("http://www.weizmann.ac.il/complex/compphys/software/geview/data/figures/220149_at.png","Figure")</f>
        <v>Figure</v>
      </c>
      <c r="I13271">
        <v>1.1000000000000001</v>
      </c>
      <c r="J13271">
        <v>0.41</v>
      </c>
      <c r="K13271">
        <v>1.05</v>
      </c>
      <c r="L13271">
        <v>0.69</v>
      </c>
      <c r="M13271">
        <v>0.95899999999999996</v>
      </c>
      <c r="N13271">
        <v>0.81</v>
      </c>
    </row>
    <row r="13272" spans="1:14" x14ac:dyDescent="0.25">
      <c r="A13272" t="s">
        <v>22685</v>
      </c>
      <c r="B13272" t="s">
        <v>22686</v>
      </c>
      <c r="C13272" s="1" t="str">
        <f>HYPERLINK("http://www.genecards.org/cgi-bin/carddisp.pl?gene=TAF1D","GeneCards")</f>
        <v>GeneCards</v>
      </c>
      <c r="D13272" s="1" t="str">
        <f>HYPERLINK("http://genome-euro.ucsc.edu/cgi-bin/hgTracks?position=218750_at","UCSC")</f>
        <v>UCSC</v>
      </c>
      <c r="E13272" s="1" t="str">
        <f>HYPERLINK("http://www.ncbi.nlm.nih.gov/gene/?term=TAF1D","NCBI")</f>
        <v>NCBI</v>
      </c>
      <c r="F13272">
        <v>0.44</v>
      </c>
      <c r="G13272">
        <v>0.56000000000000005</v>
      </c>
      <c r="H13272" s="1" t="str">
        <f>HYPERLINK("http://www.weizmann.ac.il/complex/compphys/software/geview/data/figures/218750_at.png","Figure")</f>
        <v>Figure</v>
      </c>
      <c r="I13272">
        <v>0.85899999999999999</v>
      </c>
      <c r="J13272">
        <v>0.84</v>
      </c>
      <c r="K13272">
        <v>0.73199999999999998</v>
      </c>
      <c r="L13272">
        <v>0.41</v>
      </c>
      <c r="M13272">
        <v>0.85299999999999998</v>
      </c>
      <c r="N13272">
        <v>0.81</v>
      </c>
    </row>
    <row r="13273" spans="1:14" x14ac:dyDescent="0.25">
      <c r="A13273" t="s">
        <v>22687</v>
      </c>
      <c r="B13273" t="s">
        <v>20992</v>
      </c>
      <c r="C13273" s="1" t="str">
        <f>HYPERLINK("http://www.genecards.org/cgi-bin/carddisp.pl?gene=LMOD1","GeneCards")</f>
        <v>GeneCards</v>
      </c>
      <c r="D13273" s="1" t="str">
        <f>HYPERLINK("http://genome-euro.ucsc.edu/cgi-bin/hgTracks?position=211562_s_at","UCSC")</f>
        <v>UCSC</v>
      </c>
      <c r="E13273" s="1" t="str">
        <f>HYPERLINK("http://www.ncbi.nlm.nih.gov/gene/?term=LMOD1","NCBI")</f>
        <v>NCBI</v>
      </c>
      <c r="F13273">
        <v>0.44</v>
      </c>
      <c r="G13273">
        <v>0.56000000000000005</v>
      </c>
      <c r="H13273" s="1" t="str">
        <f>HYPERLINK("http://www.weizmann.ac.il/complex/compphys/software/geview/data/figures/211562_s_at.png","Figure")</f>
        <v>Figure</v>
      </c>
      <c r="I13273">
        <v>1.06</v>
      </c>
      <c r="J13273">
        <v>0.44</v>
      </c>
      <c r="K13273">
        <v>1.04</v>
      </c>
      <c r="L13273">
        <v>0.6</v>
      </c>
      <c r="M13273">
        <v>0.98099999999999998</v>
      </c>
      <c r="N13273">
        <v>0.9</v>
      </c>
    </row>
    <row r="13274" spans="1:14" x14ac:dyDescent="0.25">
      <c r="A13274" t="s">
        <v>22688</v>
      </c>
      <c r="B13274" t="s">
        <v>22689</v>
      </c>
      <c r="C13274" s="1" t="str">
        <f>HYPERLINK("http://www.genecards.org/cgi-bin/carddisp.pl?gene=DOK2","GeneCards")</f>
        <v>GeneCards</v>
      </c>
      <c r="D13274" s="1" t="str">
        <f>HYPERLINK("http://genome-euro.ucsc.edu/cgi-bin/hgTracks?position=214054_at","UCSC")</f>
        <v>UCSC</v>
      </c>
      <c r="E13274" s="1" t="str">
        <f>HYPERLINK("http://www.ncbi.nlm.nih.gov/gene/?term=DOK2","NCBI")</f>
        <v>NCBI</v>
      </c>
      <c r="F13274">
        <v>0.44</v>
      </c>
      <c r="G13274">
        <v>0.56000000000000005</v>
      </c>
      <c r="H13274" s="1" t="str">
        <f>HYPERLINK("http://www.weizmann.ac.il/complex/compphys/software/geview/data/figures/214054_at.png","Figure")</f>
        <v>Figure</v>
      </c>
      <c r="I13274">
        <v>0.95199999999999996</v>
      </c>
      <c r="J13274">
        <v>0.66</v>
      </c>
      <c r="K13274">
        <v>0.93799999999999994</v>
      </c>
      <c r="L13274">
        <v>0.42</v>
      </c>
      <c r="M13274">
        <v>0.98599999999999999</v>
      </c>
      <c r="N13274">
        <v>0.96</v>
      </c>
    </row>
    <row r="13275" spans="1:14" x14ac:dyDescent="0.25">
      <c r="A13275" t="s">
        <v>22690</v>
      </c>
      <c r="B13275" t="s">
        <v>8841</v>
      </c>
      <c r="C13275" s="1" t="str">
        <f>HYPERLINK("http://www.genecards.org/cgi-bin/carddisp.pl?gene=CYLC1","GeneCards")</f>
        <v>GeneCards</v>
      </c>
      <c r="D13275" s="1" t="str">
        <f>HYPERLINK("http://genome-euro.ucsc.edu/cgi-bin/hgTracks?position=216809_at","UCSC")</f>
        <v>UCSC</v>
      </c>
      <c r="E13275" s="1" t="str">
        <f>HYPERLINK("http://www.ncbi.nlm.nih.gov/gene/?term=CYLC1","NCBI")</f>
        <v>NCBI</v>
      </c>
      <c r="F13275">
        <v>0.44</v>
      </c>
      <c r="G13275">
        <v>0.56000000000000005</v>
      </c>
      <c r="H13275" s="1" t="str">
        <f>HYPERLINK("http://www.weizmann.ac.il/complex/compphys/software/geview/data/figures/216809_at.png","Figure")</f>
        <v>Figure</v>
      </c>
      <c r="I13275">
        <v>1.03</v>
      </c>
      <c r="J13275">
        <v>0.91</v>
      </c>
      <c r="K13275">
        <v>0.94699999999999995</v>
      </c>
      <c r="L13275">
        <v>0.67</v>
      </c>
      <c r="M13275">
        <v>0.91900000000000004</v>
      </c>
      <c r="N13275">
        <v>0.44</v>
      </c>
    </row>
    <row r="13276" spans="1:14" x14ac:dyDescent="0.25">
      <c r="A13276" t="s">
        <v>22691</v>
      </c>
      <c r="B13276" t="s">
        <v>22692</v>
      </c>
      <c r="C13276" s="1" t="str">
        <f>HYPERLINK("http://www.genecards.org/cgi-bin/carddisp.pl?gene=FAH","GeneCards")</f>
        <v>GeneCards</v>
      </c>
      <c r="D13276" s="1" t="str">
        <f>HYPERLINK("http://genome-euro.ucsc.edu/cgi-bin/hgTracks?position=202862_at","UCSC")</f>
        <v>UCSC</v>
      </c>
      <c r="E13276" s="1" t="str">
        <f>HYPERLINK("http://www.ncbi.nlm.nih.gov/gene/?term=FAH","NCBI")</f>
        <v>NCBI</v>
      </c>
      <c r="F13276">
        <v>0.44</v>
      </c>
      <c r="G13276">
        <v>0.56000000000000005</v>
      </c>
      <c r="H13276" s="1" t="str">
        <f>HYPERLINK("http://www.weizmann.ac.il/complex/compphys/software/geview/data/figures/202862_at.png","Figure")</f>
        <v>Figure</v>
      </c>
      <c r="I13276">
        <v>0.996</v>
      </c>
      <c r="J13276">
        <v>0.93</v>
      </c>
      <c r="K13276">
        <v>1.01</v>
      </c>
      <c r="L13276">
        <v>0.64</v>
      </c>
      <c r="M13276">
        <v>1.01</v>
      </c>
      <c r="N13276">
        <v>0.45</v>
      </c>
    </row>
    <row r="13277" spans="1:14" x14ac:dyDescent="0.25">
      <c r="A13277" t="s">
        <v>22693</v>
      </c>
      <c r="B13277" t="s">
        <v>22694</v>
      </c>
      <c r="C13277" s="1" t="str">
        <f>HYPERLINK("http://www.genecards.org/cgi-bin/carddisp.pl?gene=CDK10","GeneCards")</f>
        <v>GeneCards</v>
      </c>
      <c r="D13277" s="1" t="str">
        <f>HYPERLINK("http://genome-euro.ucsc.edu/cgi-bin/hgTracks?position=210622_x_at","UCSC")</f>
        <v>UCSC</v>
      </c>
      <c r="E13277" s="1" t="str">
        <f>HYPERLINK("http://www.ncbi.nlm.nih.gov/gene/?term=CDK10","NCBI")</f>
        <v>NCBI</v>
      </c>
      <c r="F13277">
        <v>0.44</v>
      </c>
      <c r="G13277">
        <v>0.56000000000000005</v>
      </c>
      <c r="H13277" s="1" t="str">
        <f>HYPERLINK("http://www.weizmann.ac.il/complex/compphys/software/geview/data/figures/210622_x_at.png","Figure")</f>
        <v>Figure</v>
      </c>
      <c r="I13277">
        <v>0.94199999999999995</v>
      </c>
      <c r="J13277">
        <v>0.9</v>
      </c>
      <c r="K13277">
        <v>1.1100000000000001</v>
      </c>
      <c r="L13277">
        <v>0.68</v>
      </c>
      <c r="M13277">
        <v>1.17</v>
      </c>
      <c r="N13277">
        <v>0.44</v>
      </c>
    </row>
    <row r="13278" spans="1:14" x14ac:dyDescent="0.25">
      <c r="A13278" t="s">
        <v>22695</v>
      </c>
      <c r="B13278" t="s">
        <v>22696</v>
      </c>
      <c r="C13278" s="1" t="str">
        <f>HYPERLINK("http://www.genecards.org/cgi-bin/carddisp.pl?gene=FOLR1","GeneCards")</f>
        <v>GeneCards</v>
      </c>
      <c r="D13278" s="1" t="str">
        <f>HYPERLINK("http://genome-euro.ucsc.edu/cgi-bin/hgTracks?position=204437_s_at","UCSC")</f>
        <v>UCSC</v>
      </c>
      <c r="E13278" s="1" t="str">
        <f>HYPERLINK("http://www.ncbi.nlm.nih.gov/gene/?term=FOLR1","NCBI")</f>
        <v>NCBI</v>
      </c>
      <c r="F13278">
        <v>0.44</v>
      </c>
      <c r="G13278">
        <v>0.56000000000000005</v>
      </c>
      <c r="H13278" s="1" t="str">
        <f>HYPERLINK("http://www.weizmann.ac.il/complex/compphys/software/geview/data/figures/204437_s_at.png","Figure")</f>
        <v>Figure</v>
      </c>
      <c r="I13278">
        <v>1.1100000000000001</v>
      </c>
      <c r="J13278">
        <v>0.41</v>
      </c>
      <c r="K13278">
        <v>1.05</v>
      </c>
      <c r="L13278">
        <v>0.79</v>
      </c>
      <c r="M13278">
        <v>0.94099999999999995</v>
      </c>
      <c r="N13278">
        <v>0.71</v>
      </c>
    </row>
    <row r="13279" spans="1:14" x14ac:dyDescent="0.25">
      <c r="A13279" t="s">
        <v>22697</v>
      </c>
      <c r="B13279" t="s">
        <v>22698</v>
      </c>
      <c r="C13279" s="1" t="str">
        <f>HYPERLINK("http://www.genecards.org/cgi-bin/carddisp.pl?gene=WDR82","GeneCards")</f>
        <v>GeneCards</v>
      </c>
      <c r="D13279" s="1" t="str">
        <f>HYPERLINK("http://genome-euro.ucsc.edu/cgi-bin/hgTracks?position=201934_at","UCSC")</f>
        <v>UCSC</v>
      </c>
      <c r="E13279" s="1" t="str">
        <f>HYPERLINK("http://www.ncbi.nlm.nih.gov/gene/?term=WDR82","NCBI")</f>
        <v>NCBI</v>
      </c>
      <c r="F13279">
        <v>0.44</v>
      </c>
      <c r="G13279">
        <v>0.56000000000000005</v>
      </c>
      <c r="H13279" s="1" t="str">
        <f>HYPERLINK("http://www.weizmann.ac.il/complex/compphys/software/geview/data/figures/201934_at.png","Figure")</f>
        <v>Figure</v>
      </c>
      <c r="I13279">
        <v>1.1399999999999999</v>
      </c>
      <c r="J13279">
        <v>0.49</v>
      </c>
      <c r="K13279">
        <v>1.1100000000000001</v>
      </c>
      <c r="L13279">
        <v>0.52</v>
      </c>
      <c r="M13279">
        <v>0.97799999999999998</v>
      </c>
      <c r="N13279">
        <v>0.98</v>
      </c>
    </row>
    <row r="13280" spans="1:14" x14ac:dyDescent="0.25">
      <c r="A13280" t="s">
        <v>22699</v>
      </c>
      <c r="B13280" t="s">
        <v>7496</v>
      </c>
      <c r="C13280" s="1" t="str">
        <f>HYPERLINK("http://www.genecards.org/cgi-bin/carddisp.pl?gene=ANKRD12","GeneCards")</f>
        <v>GeneCards</v>
      </c>
      <c r="D13280" s="1" t="str">
        <f>HYPERLINK("http://genome-euro.ucsc.edu/cgi-bin/hgTracks?position=212286_at","UCSC")</f>
        <v>UCSC</v>
      </c>
      <c r="E13280" s="1" t="str">
        <f>HYPERLINK("http://www.ncbi.nlm.nih.gov/gene/?term=ANKRD12","NCBI")</f>
        <v>NCBI</v>
      </c>
      <c r="F13280">
        <v>0.44</v>
      </c>
      <c r="G13280">
        <v>0.56000000000000005</v>
      </c>
      <c r="H13280" s="1" t="str">
        <f>HYPERLINK("http://www.weizmann.ac.il/complex/compphys/software/geview/data/figures/212286_at.png","Figure")</f>
        <v>Figure</v>
      </c>
      <c r="I13280">
        <v>1.17</v>
      </c>
      <c r="J13280">
        <v>0.82</v>
      </c>
      <c r="K13280">
        <v>0.85399999999999998</v>
      </c>
      <c r="L13280">
        <v>0.77</v>
      </c>
      <c r="M13280">
        <v>0.72899999999999998</v>
      </c>
      <c r="N13280">
        <v>0.41</v>
      </c>
    </row>
    <row r="13281" spans="1:14" x14ac:dyDescent="0.25">
      <c r="A13281" t="s">
        <v>22700</v>
      </c>
      <c r="B13281" t="s">
        <v>22701</v>
      </c>
      <c r="C13281" s="1" t="str">
        <f>HYPERLINK("http://www.genecards.org/cgi-bin/carddisp.pl?gene=MBOAT7","GeneCards")</f>
        <v>GeneCards</v>
      </c>
      <c r="D13281" s="1" t="str">
        <f>HYPERLINK("http://genome-euro.ucsc.edu/cgi-bin/hgTracks?position=211037_s_at","UCSC")</f>
        <v>UCSC</v>
      </c>
      <c r="E13281" s="1" t="str">
        <f>HYPERLINK("http://www.ncbi.nlm.nih.gov/gene/?term=MBOAT7","NCBI")</f>
        <v>NCBI</v>
      </c>
      <c r="F13281">
        <v>0.44</v>
      </c>
      <c r="G13281">
        <v>0.56000000000000005</v>
      </c>
      <c r="H13281" s="1" t="str">
        <f>HYPERLINK("http://www.weizmann.ac.il/complex/compphys/software/geview/data/figures/211037_s_at.png","Figure")</f>
        <v>Figure</v>
      </c>
      <c r="I13281">
        <v>1.04</v>
      </c>
      <c r="J13281">
        <v>0.9</v>
      </c>
      <c r="K13281">
        <v>0.94099999999999995</v>
      </c>
      <c r="L13281">
        <v>0.67</v>
      </c>
      <c r="M13281">
        <v>0.90900000000000003</v>
      </c>
      <c r="N13281">
        <v>0.44</v>
      </c>
    </row>
    <row r="13282" spans="1:14" x14ac:dyDescent="0.25">
      <c r="A13282" t="s">
        <v>22702</v>
      </c>
      <c r="B13282" t="s">
        <v>22703</v>
      </c>
      <c r="C13282" s="1" t="str">
        <f>HYPERLINK("http://www.genecards.org/cgi-bin/carddisp.pl?gene=DDA1","GeneCards")</f>
        <v>GeneCards</v>
      </c>
      <c r="D13282" s="1" t="str">
        <f>HYPERLINK("http://genome-euro.ucsc.edu/cgi-bin/hgTracks?position=218260_at","UCSC")</f>
        <v>UCSC</v>
      </c>
      <c r="E13282" s="1" t="str">
        <f>HYPERLINK("http://www.ncbi.nlm.nih.gov/gene/?term=DDA1","NCBI")</f>
        <v>NCBI</v>
      </c>
      <c r="F13282">
        <v>0.44</v>
      </c>
      <c r="G13282">
        <v>0.56000000000000005</v>
      </c>
      <c r="H13282" s="1" t="str">
        <f>HYPERLINK("http://www.weizmann.ac.il/complex/compphys/software/geview/data/figures/218260_at.png","Figure")</f>
        <v>Figure</v>
      </c>
      <c r="I13282">
        <v>1.1200000000000001</v>
      </c>
      <c r="J13282">
        <v>0.49</v>
      </c>
      <c r="K13282">
        <v>1.01</v>
      </c>
      <c r="L13282">
        <v>1</v>
      </c>
      <c r="M13282">
        <v>0.89900000000000002</v>
      </c>
      <c r="N13282">
        <v>0.48</v>
      </c>
    </row>
    <row r="13283" spans="1:14" x14ac:dyDescent="0.25">
      <c r="A13283" t="s">
        <v>22704</v>
      </c>
      <c r="B13283" t="s">
        <v>777</v>
      </c>
      <c r="C13283" s="1" t="str">
        <f>HYPERLINK("http://www.genecards.org/cgi-bin/carddisp.pl?gene=CASP6","GeneCards")</f>
        <v>GeneCards</v>
      </c>
      <c r="D13283" s="1" t="str">
        <f>HYPERLINK("http://genome-euro.ucsc.edu/cgi-bin/hgTracks?position=211464_x_at","UCSC")</f>
        <v>UCSC</v>
      </c>
      <c r="E13283" s="1" t="str">
        <f>HYPERLINK("http://www.ncbi.nlm.nih.gov/gene/?term=CASP6","NCBI")</f>
        <v>NCBI</v>
      </c>
      <c r="F13283">
        <v>0.44</v>
      </c>
      <c r="G13283">
        <v>0.56000000000000005</v>
      </c>
      <c r="H13283" s="1" t="str">
        <f>HYPERLINK("http://www.weizmann.ac.il/complex/compphys/software/geview/data/figures/211464_x_at.png","Figure")</f>
        <v>Figure</v>
      </c>
      <c r="I13283">
        <v>0.81699999999999995</v>
      </c>
      <c r="J13283">
        <v>0.51</v>
      </c>
      <c r="K13283">
        <v>0.83499999999999996</v>
      </c>
      <c r="L13283">
        <v>0.5</v>
      </c>
      <c r="M13283">
        <v>1.02</v>
      </c>
      <c r="N13283">
        <v>0.99</v>
      </c>
    </row>
    <row r="13284" spans="1:14" x14ac:dyDescent="0.25">
      <c r="A13284" t="s">
        <v>22705</v>
      </c>
      <c r="B13284" t="s">
        <v>22706</v>
      </c>
      <c r="C13284" s="1" t="str">
        <f>HYPERLINK("http://www.genecards.org/cgi-bin/carddisp.pl?gene=KIAA1659","GeneCards")</f>
        <v>GeneCards</v>
      </c>
      <c r="D13284" s="1" t="str">
        <f>HYPERLINK("http://genome-euro.ucsc.edu/cgi-bin/hgTracks?position=215750_at","UCSC")</f>
        <v>UCSC</v>
      </c>
      <c r="E13284" s="1" t="str">
        <f>HYPERLINK("http://www.ncbi.nlm.nih.gov/gene/?term=KIAA1659","NCBI")</f>
        <v>NCBI</v>
      </c>
      <c r="F13284">
        <v>0.44</v>
      </c>
      <c r="G13284">
        <v>0.56000000000000005</v>
      </c>
      <c r="H13284" s="1" t="str">
        <f>HYPERLINK("http://www.weizmann.ac.il/complex/compphys/software/geview/data/figures/215750_at.png","Figure")</f>
        <v>Figure</v>
      </c>
      <c r="I13284">
        <v>1</v>
      </c>
      <c r="J13284">
        <v>0.98</v>
      </c>
      <c r="K13284">
        <v>1.02</v>
      </c>
      <c r="L13284">
        <v>0.46</v>
      </c>
      <c r="M13284">
        <v>1.02</v>
      </c>
      <c r="N13284">
        <v>0.63</v>
      </c>
    </row>
    <row r="13285" spans="1:14" x14ac:dyDescent="0.25">
      <c r="A13285" t="s">
        <v>22707</v>
      </c>
      <c r="B13285" t="s">
        <v>22708</v>
      </c>
      <c r="C13285" s="1" t="str">
        <f>HYPERLINK("http://www.genecards.org/cgi-bin/carddisp.pl?gene=ZNF345","GeneCards")</f>
        <v>GeneCards</v>
      </c>
      <c r="D13285" s="1" t="str">
        <f>HYPERLINK("http://genome-euro.ucsc.edu/cgi-bin/hgTracks?position=207236_at","UCSC")</f>
        <v>UCSC</v>
      </c>
      <c r="E13285" s="1" t="str">
        <f>HYPERLINK("http://www.ncbi.nlm.nih.gov/gene/?term=ZNF345","NCBI")</f>
        <v>NCBI</v>
      </c>
      <c r="F13285">
        <v>0.44</v>
      </c>
      <c r="G13285">
        <v>0.56000000000000005</v>
      </c>
      <c r="H13285" s="1" t="str">
        <f>HYPERLINK("http://www.weizmann.ac.il/complex/compphys/software/geview/data/figures/207236_at.png","Figure")</f>
        <v>Figure</v>
      </c>
      <c r="I13285">
        <v>1</v>
      </c>
      <c r="J13285">
        <v>1</v>
      </c>
      <c r="K13285">
        <v>0.98699999999999999</v>
      </c>
      <c r="L13285">
        <v>0.51</v>
      </c>
      <c r="M13285">
        <v>0.98699999999999999</v>
      </c>
      <c r="N13285">
        <v>0.55000000000000004</v>
      </c>
    </row>
    <row r="13286" spans="1:14" x14ac:dyDescent="0.25">
      <c r="A13286" t="s">
        <v>22709</v>
      </c>
      <c r="B13286" t="s">
        <v>22710</v>
      </c>
      <c r="C13286" s="1" t="str">
        <f>HYPERLINK("http://www.genecards.org/cgi-bin/carddisp.pl?gene=MRAS","GeneCards")</f>
        <v>GeneCards</v>
      </c>
      <c r="D13286" s="1" t="str">
        <f>HYPERLINK("http://genome-euro.ucsc.edu/cgi-bin/hgTracks?position=206538_at","UCSC")</f>
        <v>UCSC</v>
      </c>
      <c r="E13286" s="1" t="str">
        <f>HYPERLINK("http://www.ncbi.nlm.nih.gov/gene/?term=MRAS","NCBI")</f>
        <v>NCBI</v>
      </c>
      <c r="F13286">
        <v>0.44</v>
      </c>
      <c r="G13286">
        <v>0.56000000000000005</v>
      </c>
      <c r="H13286" s="1" t="str">
        <f>HYPERLINK("http://www.weizmann.ac.il/complex/compphys/software/geview/data/figures/206538_at.png","Figure")</f>
        <v>Figure</v>
      </c>
      <c r="I13286">
        <v>1.08</v>
      </c>
      <c r="J13286">
        <v>0.5</v>
      </c>
      <c r="K13286">
        <v>1.07</v>
      </c>
      <c r="L13286">
        <v>0.5</v>
      </c>
      <c r="M13286">
        <v>0.99099999999999999</v>
      </c>
      <c r="N13286">
        <v>0.99</v>
      </c>
    </row>
    <row r="13287" spans="1:14" x14ac:dyDescent="0.25">
      <c r="A13287" t="s">
        <v>22711</v>
      </c>
      <c r="B13287" t="s">
        <v>22712</v>
      </c>
      <c r="C13287" s="1" t="str">
        <f>HYPERLINK("http://www.genecards.org/cgi-bin/carddisp.pl?gene=XRCC2","GeneCards")</f>
        <v>GeneCards</v>
      </c>
      <c r="D13287" s="1" t="str">
        <f>HYPERLINK("http://genome-euro.ucsc.edu/cgi-bin/hgTracks?position=207598_x_at","UCSC")</f>
        <v>UCSC</v>
      </c>
      <c r="E13287" s="1" t="str">
        <f>HYPERLINK("http://www.ncbi.nlm.nih.gov/gene/?term=XRCC2","NCBI")</f>
        <v>NCBI</v>
      </c>
      <c r="F13287">
        <v>0.44</v>
      </c>
      <c r="G13287">
        <v>0.56000000000000005</v>
      </c>
      <c r="H13287" s="1" t="str">
        <f>HYPERLINK("http://www.weizmann.ac.il/complex/compphys/software/geview/data/figures/207598_x_at.png","Figure")</f>
        <v>Figure</v>
      </c>
      <c r="I13287">
        <v>1.1499999999999999</v>
      </c>
      <c r="J13287">
        <v>0.61</v>
      </c>
      <c r="K13287">
        <v>1.17</v>
      </c>
      <c r="L13287">
        <v>0.44</v>
      </c>
      <c r="M13287">
        <v>1.02</v>
      </c>
      <c r="N13287">
        <v>0.99</v>
      </c>
    </row>
    <row r="13288" spans="1:14" x14ac:dyDescent="0.25">
      <c r="A13288" t="s">
        <v>22713</v>
      </c>
      <c r="B13288" t="s">
        <v>22714</v>
      </c>
      <c r="C13288" s="1" t="str">
        <f>HYPERLINK("http://www.genecards.org/cgi-bin/carddisp.pl?gene=TTPAL","GeneCards")</f>
        <v>GeneCards</v>
      </c>
      <c r="D13288" s="1" t="str">
        <f>HYPERLINK("http://genome-euro.ucsc.edu/cgi-bin/hgTracks?position=219633_at","UCSC")</f>
        <v>UCSC</v>
      </c>
      <c r="E13288" s="1" t="str">
        <f>HYPERLINK("http://www.ncbi.nlm.nih.gov/gene/?term=TTPAL","NCBI")</f>
        <v>NCBI</v>
      </c>
      <c r="F13288">
        <v>0.44</v>
      </c>
      <c r="G13288">
        <v>0.56000000000000005</v>
      </c>
      <c r="H13288" s="1" t="str">
        <f>HYPERLINK("http://www.weizmann.ac.il/complex/compphys/software/geview/data/figures/219633_at.png","Figure")</f>
        <v>Figure</v>
      </c>
      <c r="I13288">
        <v>1.1000000000000001</v>
      </c>
      <c r="J13288">
        <v>0.43</v>
      </c>
      <c r="K13288">
        <v>1.06</v>
      </c>
      <c r="L13288">
        <v>0.64</v>
      </c>
      <c r="M13288">
        <v>0.96399999999999997</v>
      </c>
      <c r="N13288">
        <v>0.86</v>
      </c>
    </row>
    <row r="13289" spans="1:14" x14ac:dyDescent="0.25">
      <c r="A13289" t="s">
        <v>22715</v>
      </c>
      <c r="B13289" t="s">
        <v>20536</v>
      </c>
      <c r="C13289" s="1" t="str">
        <f>HYPERLINK("http://www.genecards.org/cgi-bin/carddisp.pl?gene=PSG6","GeneCards")</f>
        <v>GeneCards</v>
      </c>
      <c r="D13289" s="1" t="str">
        <f>HYPERLINK("http://genome-euro.ucsc.edu/cgi-bin/hgTracks?position=209738_x_at","UCSC")</f>
        <v>UCSC</v>
      </c>
      <c r="E13289" s="1" t="str">
        <f>HYPERLINK("http://www.ncbi.nlm.nih.gov/gene/?term=PSG6","NCBI")</f>
        <v>NCBI</v>
      </c>
      <c r="F13289">
        <v>0.44</v>
      </c>
      <c r="G13289">
        <v>0.56000000000000005</v>
      </c>
      <c r="H13289" s="1" t="str">
        <f>HYPERLINK("http://www.weizmann.ac.il/complex/compphys/software/geview/data/figures/209738_x_at.png","Figure")</f>
        <v>Figure</v>
      </c>
      <c r="I13289">
        <v>1.03</v>
      </c>
      <c r="J13289">
        <v>0.9</v>
      </c>
      <c r="K13289">
        <v>0.95099999999999996</v>
      </c>
      <c r="L13289">
        <v>0.68</v>
      </c>
      <c r="M13289">
        <v>0.92300000000000004</v>
      </c>
      <c r="N13289">
        <v>0.44</v>
      </c>
    </row>
    <row r="13290" spans="1:14" x14ac:dyDescent="0.25">
      <c r="A13290" t="s">
        <v>22716</v>
      </c>
      <c r="B13290" t="s">
        <v>17757</v>
      </c>
      <c r="C13290" s="1" t="str">
        <f>HYPERLINK("http://www.genecards.org/cgi-bin/carddisp.pl?gene=TRRAP","GeneCards")</f>
        <v>GeneCards</v>
      </c>
      <c r="D13290" s="1" t="str">
        <f>HYPERLINK("http://genome-euro.ucsc.edu/cgi-bin/hgTracks?position=202642_s_at","UCSC")</f>
        <v>UCSC</v>
      </c>
      <c r="E13290" s="1" t="str">
        <f>HYPERLINK("http://www.ncbi.nlm.nih.gov/gene/?term=TRRAP","NCBI")</f>
        <v>NCBI</v>
      </c>
      <c r="F13290">
        <v>0.44</v>
      </c>
      <c r="G13290">
        <v>0.56000000000000005</v>
      </c>
      <c r="H13290" s="1" t="str">
        <f>HYPERLINK("http://www.weizmann.ac.il/complex/compphys/software/geview/data/figures/202642_s_at.png","Figure")</f>
        <v>Figure</v>
      </c>
      <c r="I13290">
        <v>0.84899999999999998</v>
      </c>
      <c r="J13290">
        <v>0.56000000000000005</v>
      </c>
      <c r="K13290">
        <v>0.84699999999999998</v>
      </c>
      <c r="L13290">
        <v>0.46</v>
      </c>
      <c r="M13290">
        <v>0.997</v>
      </c>
      <c r="N13290">
        <v>1</v>
      </c>
    </row>
    <row r="13291" spans="1:14" x14ac:dyDescent="0.25">
      <c r="A13291" t="s">
        <v>22717</v>
      </c>
      <c r="B13291" t="s">
        <v>22718</v>
      </c>
      <c r="C13291" s="1" t="str">
        <f>HYPERLINK("http://www.genecards.org/cgi-bin/carddisp.pl?gene=EPB41L1","GeneCards")</f>
        <v>GeneCards</v>
      </c>
      <c r="D13291" s="1" t="str">
        <f>HYPERLINK("http://genome-euro.ucsc.edu/cgi-bin/hgTracks?position=212339_at","UCSC")</f>
        <v>UCSC</v>
      </c>
      <c r="E13291" s="1" t="str">
        <f>HYPERLINK("http://www.ncbi.nlm.nih.gov/gene/?term=EPB41L1","NCBI")</f>
        <v>NCBI</v>
      </c>
      <c r="F13291">
        <v>0.44</v>
      </c>
      <c r="G13291">
        <v>0.56000000000000005</v>
      </c>
      <c r="H13291" s="1" t="str">
        <f>HYPERLINK("http://www.weizmann.ac.il/complex/compphys/software/geview/data/figures/212339_at.png","Figure")</f>
        <v>Figure</v>
      </c>
      <c r="I13291">
        <v>1.07</v>
      </c>
      <c r="J13291">
        <v>0.42</v>
      </c>
      <c r="K13291">
        <v>1.02</v>
      </c>
      <c r="L13291">
        <v>0.87</v>
      </c>
      <c r="M13291">
        <v>0.95799999999999996</v>
      </c>
      <c r="N13291">
        <v>0.63</v>
      </c>
    </row>
    <row r="13292" spans="1:14" x14ac:dyDescent="0.25">
      <c r="A13292" t="s">
        <v>22719</v>
      </c>
      <c r="B13292" t="s">
        <v>11726</v>
      </c>
      <c r="C13292" s="1" t="str">
        <f>HYPERLINK("http://www.genecards.org/cgi-bin/carddisp.pl?gene=C6orf162","GeneCards")</f>
        <v>GeneCards</v>
      </c>
      <c r="D13292" s="1" t="str">
        <f>HYPERLINK("http://genome-euro.ucsc.edu/cgi-bin/hgTracks?position=213314_at","UCSC")</f>
        <v>UCSC</v>
      </c>
      <c r="E13292" s="1" t="str">
        <f>HYPERLINK("http://www.ncbi.nlm.nih.gov/gene/?term=C6orf162","NCBI")</f>
        <v>NCBI</v>
      </c>
      <c r="F13292">
        <v>0.44</v>
      </c>
      <c r="G13292">
        <v>0.56000000000000005</v>
      </c>
      <c r="H13292" s="1" t="str">
        <f>HYPERLINK("http://www.weizmann.ac.il/complex/compphys/software/geview/data/figures/213314_at.png","Figure")</f>
        <v>Figure</v>
      </c>
      <c r="I13292">
        <v>0.93899999999999995</v>
      </c>
      <c r="J13292">
        <v>0.5</v>
      </c>
      <c r="K13292">
        <v>0.998</v>
      </c>
      <c r="L13292">
        <v>1</v>
      </c>
      <c r="M13292">
        <v>1.06</v>
      </c>
      <c r="N13292">
        <v>0.47</v>
      </c>
    </row>
    <row r="13293" spans="1:14" x14ac:dyDescent="0.25">
      <c r="A13293" t="s">
        <v>22720</v>
      </c>
      <c r="B13293" t="s">
        <v>22721</v>
      </c>
      <c r="C13293" s="1" t="str">
        <f>HYPERLINK("http://www.genecards.org/cgi-bin/carddisp.pl?gene=C17orf48","GeneCards")</f>
        <v>GeneCards</v>
      </c>
      <c r="D13293" s="1" t="str">
        <f>HYPERLINK("http://genome-euro.ucsc.edu/cgi-bin/hgTracks?position=220606_s_at","UCSC")</f>
        <v>UCSC</v>
      </c>
      <c r="E13293" s="1" t="str">
        <f>HYPERLINK("http://www.ncbi.nlm.nih.gov/gene/?term=C17orf48","NCBI")</f>
        <v>NCBI</v>
      </c>
      <c r="F13293">
        <v>0.44</v>
      </c>
      <c r="G13293">
        <v>0.56000000000000005</v>
      </c>
      <c r="H13293" s="1" t="str">
        <f>HYPERLINK("http://www.weizmann.ac.il/complex/compphys/software/geview/data/figures/220606_s_at.png","Figure")</f>
        <v>Figure</v>
      </c>
      <c r="I13293">
        <v>0.998</v>
      </c>
      <c r="J13293">
        <v>1</v>
      </c>
      <c r="K13293">
        <v>0.82299999999999995</v>
      </c>
      <c r="L13293">
        <v>0.51</v>
      </c>
      <c r="M13293">
        <v>0.82499999999999996</v>
      </c>
      <c r="N13293">
        <v>0.56000000000000005</v>
      </c>
    </row>
    <row r="13294" spans="1:14" x14ac:dyDescent="0.25">
      <c r="A13294" t="s">
        <v>22722</v>
      </c>
      <c r="B13294" t="s">
        <v>22723</v>
      </c>
      <c r="C13294" s="1" t="str">
        <f>HYPERLINK("http://www.genecards.org/cgi-bin/carddisp.pl?gene=FOXM1","GeneCards")</f>
        <v>GeneCards</v>
      </c>
      <c r="D13294" s="1" t="str">
        <f>HYPERLINK("http://genome-euro.ucsc.edu/cgi-bin/hgTracks?position=202580_x_at","UCSC")</f>
        <v>UCSC</v>
      </c>
      <c r="E13294" s="1" t="str">
        <f>HYPERLINK("http://www.ncbi.nlm.nih.gov/gene/?term=FOXM1","NCBI")</f>
        <v>NCBI</v>
      </c>
      <c r="F13294">
        <v>0.44</v>
      </c>
      <c r="G13294">
        <v>0.56000000000000005</v>
      </c>
      <c r="H13294" s="1" t="str">
        <f>HYPERLINK("http://www.weizmann.ac.il/complex/compphys/software/geview/data/figures/202580_x_at.png","Figure")</f>
        <v>Figure</v>
      </c>
      <c r="I13294">
        <v>1.28</v>
      </c>
      <c r="J13294">
        <v>0.48</v>
      </c>
      <c r="K13294">
        <v>1.21</v>
      </c>
      <c r="L13294">
        <v>0.53</v>
      </c>
      <c r="M13294">
        <v>0.95299999999999996</v>
      </c>
      <c r="N13294">
        <v>0.97</v>
      </c>
    </row>
    <row r="13295" spans="1:14" x14ac:dyDescent="0.25">
      <c r="A13295" t="s">
        <v>22724</v>
      </c>
      <c r="B13295" t="s">
        <v>22725</v>
      </c>
      <c r="C13295" s="1" t="str">
        <f>HYPERLINK("http://www.genecards.org/cgi-bin/carddisp.pl?gene=DDRGK1","GeneCards")</f>
        <v>GeneCards</v>
      </c>
      <c r="D13295" s="1" t="str">
        <f>HYPERLINK("http://genome-euro.ucsc.edu/cgi-bin/hgTracks?position=218159_at","UCSC")</f>
        <v>UCSC</v>
      </c>
      <c r="E13295" s="1" t="str">
        <f>HYPERLINK("http://www.ncbi.nlm.nih.gov/gene/?term=DDRGK1","NCBI")</f>
        <v>NCBI</v>
      </c>
      <c r="F13295">
        <v>0.44</v>
      </c>
      <c r="G13295">
        <v>0.56000000000000005</v>
      </c>
      <c r="H13295" s="1" t="str">
        <f>HYPERLINK("http://www.weizmann.ac.il/complex/compphys/software/geview/data/figures/218159_at.png","Figure")</f>
        <v>Figure</v>
      </c>
      <c r="I13295">
        <v>1.1399999999999999</v>
      </c>
      <c r="J13295">
        <v>0.6</v>
      </c>
      <c r="K13295">
        <v>1.1599999999999999</v>
      </c>
      <c r="L13295">
        <v>0.44</v>
      </c>
      <c r="M13295">
        <v>1.02</v>
      </c>
      <c r="N13295">
        <v>0.99</v>
      </c>
    </row>
    <row r="13296" spans="1:14" x14ac:dyDescent="0.25">
      <c r="A13296" t="s">
        <v>22726</v>
      </c>
      <c r="B13296" t="s">
        <v>22727</v>
      </c>
      <c r="C13296" s="1" t="str">
        <f>HYPERLINK("http://www.genecards.org/cgi-bin/carddisp.pl?gene=GJD2","GeneCards")</f>
        <v>GeneCards</v>
      </c>
      <c r="D13296" s="1" t="str">
        <f>HYPERLINK("http://genome-euro.ucsc.edu/cgi-bin/hgTracks?position=221407_at","UCSC")</f>
        <v>UCSC</v>
      </c>
      <c r="E13296" s="1" t="str">
        <f>HYPERLINK("http://www.ncbi.nlm.nih.gov/gene/?term=GJD2","NCBI")</f>
        <v>NCBI</v>
      </c>
      <c r="F13296">
        <v>0.44</v>
      </c>
      <c r="G13296">
        <v>0.56000000000000005</v>
      </c>
      <c r="H13296" s="1" t="str">
        <f>HYPERLINK("http://www.weizmann.ac.il/complex/compphys/software/geview/data/figures/221407_at.png","Figure")</f>
        <v>Figure</v>
      </c>
      <c r="I13296">
        <v>1.08</v>
      </c>
      <c r="J13296">
        <v>0.71</v>
      </c>
      <c r="K13296">
        <v>0.95899999999999996</v>
      </c>
      <c r="L13296">
        <v>0.88</v>
      </c>
      <c r="M13296">
        <v>0.88700000000000001</v>
      </c>
      <c r="N13296">
        <v>0.41</v>
      </c>
    </row>
    <row r="13297" spans="1:14" x14ac:dyDescent="0.25">
      <c r="A13297" t="s">
        <v>22728</v>
      </c>
      <c r="B13297" t="s">
        <v>5365</v>
      </c>
      <c r="C13297" s="1" t="str">
        <f>HYPERLINK("http://www.genecards.org/cgi-bin/carddisp.pl?gene=LRP1","GeneCards")</f>
        <v>GeneCards</v>
      </c>
      <c r="D13297" s="1" t="str">
        <f>HYPERLINK("http://genome-euro.ucsc.edu/cgi-bin/hgTracks?position=200785_s_at","UCSC")</f>
        <v>UCSC</v>
      </c>
      <c r="E13297" s="1" t="str">
        <f>HYPERLINK("http://www.ncbi.nlm.nih.gov/gene/?term=LRP1","NCBI")</f>
        <v>NCBI</v>
      </c>
      <c r="F13297">
        <v>0.44</v>
      </c>
      <c r="G13297">
        <v>0.56000000000000005</v>
      </c>
      <c r="H13297" s="1" t="str">
        <f>HYPERLINK("http://www.weizmann.ac.il/complex/compphys/software/geview/data/figures/200785_s_at.png","Figure")</f>
        <v>Figure</v>
      </c>
      <c r="I13297">
        <v>1.1499999999999999</v>
      </c>
      <c r="J13297">
        <v>0.42</v>
      </c>
      <c r="K13297">
        <v>1.05</v>
      </c>
      <c r="L13297">
        <v>0.87</v>
      </c>
      <c r="M13297">
        <v>0.91200000000000003</v>
      </c>
      <c r="N13297">
        <v>0.63</v>
      </c>
    </row>
    <row r="13298" spans="1:14" x14ac:dyDescent="0.25">
      <c r="A13298" t="s">
        <v>22729</v>
      </c>
      <c r="B13298" t="s">
        <v>22730</v>
      </c>
      <c r="C13298" s="1" t="str">
        <f>HYPERLINK("http://www.genecards.org/cgi-bin/carddisp.pl?gene=UNG","GeneCards")</f>
        <v>GeneCards</v>
      </c>
      <c r="D13298" s="1" t="str">
        <f>HYPERLINK("http://genome-euro.ucsc.edu/cgi-bin/hgTracks?position=202330_s_at","UCSC")</f>
        <v>UCSC</v>
      </c>
      <c r="E13298" s="1" t="str">
        <f>HYPERLINK("http://www.ncbi.nlm.nih.gov/gene/?term=UNG","NCBI")</f>
        <v>NCBI</v>
      </c>
      <c r="F13298">
        <v>0.44</v>
      </c>
      <c r="G13298">
        <v>0.56000000000000005</v>
      </c>
      <c r="H13298" s="1" t="str">
        <f>HYPERLINK("http://www.weizmann.ac.il/complex/compphys/software/geview/data/figures/202330_s_at.png","Figure")</f>
        <v>Figure</v>
      </c>
      <c r="I13298">
        <v>0.996</v>
      </c>
      <c r="J13298">
        <v>1</v>
      </c>
      <c r="K13298">
        <v>1.22</v>
      </c>
      <c r="L13298">
        <v>0.52</v>
      </c>
      <c r="M13298">
        <v>1.23</v>
      </c>
      <c r="N13298">
        <v>0.55000000000000004</v>
      </c>
    </row>
    <row r="13299" spans="1:14" x14ac:dyDescent="0.25">
      <c r="A13299" t="s">
        <v>22731</v>
      </c>
      <c r="B13299" t="s">
        <v>22732</v>
      </c>
      <c r="C13299" s="1" t="str">
        <f>HYPERLINK("http://www.genecards.org/cgi-bin/carddisp.pl?gene=CCNK","GeneCards")</f>
        <v>GeneCards</v>
      </c>
      <c r="D13299" s="1" t="str">
        <f>HYPERLINK("http://genome-euro.ucsc.edu/cgi-bin/hgTracks?position=219273_at","UCSC")</f>
        <v>UCSC</v>
      </c>
      <c r="E13299" s="1" t="str">
        <f>HYPERLINK("http://www.ncbi.nlm.nih.gov/gene/?term=CCNK","NCBI")</f>
        <v>NCBI</v>
      </c>
      <c r="F13299">
        <v>0.44</v>
      </c>
      <c r="G13299">
        <v>0.56000000000000005</v>
      </c>
      <c r="H13299" s="1" t="str">
        <f>HYPERLINK("http://www.weizmann.ac.il/complex/compphys/software/geview/data/figures/219273_at.png","Figure")</f>
        <v>Figure</v>
      </c>
      <c r="I13299">
        <v>1.03</v>
      </c>
      <c r="J13299">
        <v>0.96</v>
      </c>
      <c r="K13299">
        <v>0.91300000000000003</v>
      </c>
      <c r="L13299">
        <v>0.61</v>
      </c>
      <c r="M13299">
        <v>0.88600000000000001</v>
      </c>
      <c r="N13299">
        <v>0.47</v>
      </c>
    </row>
    <row r="13300" spans="1:14" x14ac:dyDescent="0.25">
      <c r="A13300" t="s">
        <v>22733</v>
      </c>
      <c r="B13300" t="s">
        <v>22734</v>
      </c>
      <c r="C13300" s="1" t="str">
        <f>HYPERLINK("http://www.genecards.org/cgi-bin/carddisp.pl?gene=ENC1","GeneCards")</f>
        <v>GeneCards</v>
      </c>
      <c r="D13300" s="1" t="str">
        <f>HYPERLINK("http://genome-euro.ucsc.edu/cgi-bin/hgTracks?position=201341_at","UCSC")</f>
        <v>UCSC</v>
      </c>
      <c r="E13300" s="1" t="str">
        <f>HYPERLINK("http://www.ncbi.nlm.nih.gov/gene/?term=ENC1","NCBI")</f>
        <v>NCBI</v>
      </c>
      <c r="F13300">
        <v>0.44</v>
      </c>
      <c r="G13300">
        <v>0.56000000000000005</v>
      </c>
      <c r="H13300" s="1" t="str">
        <f>HYPERLINK("http://www.weizmann.ac.il/complex/compphys/software/geview/data/figures/201341_at.png","Figure")</f>
        <v>Figure</v>
      </c>
      <c r="I13300">
        <v>1.21</v>
      </c>
      <c r="J13300">
        <v>0.57999999999999996</v>
      </c>
      <c r="K13300">
        <v>0.96799999999999997</v>
      </c>
      <c r="L13300">
        <v>0.98</v>
      </c>
      <c r="M13300">
        <v>0.80300000000000005</v>
      </c>
      <c r="N13300">
        <v>0.43</v>
      </c>
    </row>
    <row r="13301" spans="1:14" x14ac:dyDescent="0.25">
      <c r="A13301" t="s">
        <v>22735</v>
      </c>
      <c r="B13301" t="s">
        <v>22736</v>
      </c>
      <c r="C13301" s="1" t="str">
        <f>HYPERLINK("http://www.genecards.org/cgi-bin/carddisp.pl?gene=CFI","GeneCards")</f>
        <v>GeneCards</v>
      </c>
      <c r="D13301" s="1" t="str">
        <f>HYPERLINK("http://genome-euro.ucsc.edu/cgi-bin/hgTracks?position=203854_at","UCSC")</f>
        <v>UCSC</v>
      </c>
      <c r="E13301" s="1" t="str">
        <f>HYPERLINK("http://www.ncbi.nlm.nih.gov/gene/?term=CFI","NCBI")</f>
        <v>NCBI</v>
      </c>
      <c r="F13301">
        <v>0.44</v>
      </c>
      <c r="G13301">
        <v>0.56000000000000005</v>
      </c>
      <c r="H13301" s="1" t="str">
        <f>HYPERLINK("http://www.weizmann.ac.il/complex/compphys/software/geview/data/figures/203854_at.png","Figure")</f>
        <v>Figure</v>
      </c>
      <c r="I13301">
        <v>1.01</v>
      </c>
      <c r="J13301">
        <v>0.9</v>
      </c>
      <c r="K13301">
        <v>0.98799999999999999</v>
      </c>
      <c r="L13301">
        <v>0.68</v>
      </c>
      <c r="M13301">
        <v>0.98099999999999998</v>
      </c>
      <c r="N13301">
        <v>0.44</v>
      </c>
    </row>
    <row r="13302" spans="1:14" x14ac:dyDescent="0.25">
      <c r="A13302" t="s">
        <v>22737</v>
      </c>
      <c r="B13302" t="s">
        <v>19413</v>
      </c>
      <c r="C13302" s="1" t="str">
        <f>HYPERLINK("http://www.genecards.org/cgi-bin/carddisp.pl?gene=C17orf90","GeneCards")</f>
        <v>GeneCards</v>
      </c>
      <c r="D13302" s="1" t="str">
        <f>HYPERLINK("http://genome-euro.ucsc.edu/cgi-bin/hgTracks?position=221797_at","UCSC")</f>
        <v>UCSC</v>
      </c>
      <c r="E13302" s="1" t="str">
        <f>HYPERLINK("http://www.ncbi.nlm.nih.gov/gene/?term=C17orf90","NCBI")</f>
        <v>NCBI</v>
      </c>
      <c r="F13302">
        <v>0.44</v>
      </c>
      <c r="G13302">
        <v>0.56000000000000005</v>
      </c>
      <c r="H13302" s="1" t="str">
        <f>HYPERLINK("http://www.weizmann.ac.il/complex/compphys/software/geview/data/figures/221797_at.png","Figure")</f>
        <v>Figure</v>
      </c>
      <c r="I13302">
        <v>0.81399999999999995</v>
      </c>
      <c r="J13302">
        <v>0.43</v>
      </c>
      <c r="K13302">
        <v>0.94899999999999995</v>
      </c>
      <c r="L13302">
        <v>0.93</v>
      </c>
      <c r="M13302">
        <v>1.17</v>
      </c>
      <c r="N13302">
        <v>0.57999999999999996</v>
      </c>
    </row>
    <row r="13303" spans="1:14" x14ac:dyDescent="0.25">
      <c r="A13303" t="s">
        <v>22738</v>
      </c>
      <c r="B13303" t="s">
        <v>6295</v>
      </c>
      <c r="C13303" s="1" t="str">
        <f>HYPERLINK("http://www.genecards.org/cgi-bin/carddisp.pl?gene=MALT1","GeneCards")</f>
        <v>GeneCards</v>
      </c>
      <c r="D13303" s="1" t="str">
        <f>HYPERLINK("http://genome-euro.ucsc.edu/cgi-bin/hgTracks?position=210018_x_at","UCSC")</f>
        <v>UCSC</v>
      </c>
      <c r="E13303" s="1" t="str">
        <f>HYPERLINK("http://www.ncbi.nlm.nih.gov/gene/?term=MALT1","NCBI")</f>
        <v>NCBI</v>
      </c>
      <c r="F13303">
        <v>0.44</v>
      </c>
      <c r="G13303">
        <v>0.56000000000000005</v>
      </c>
      <c r="H13303" s="1" t="str">
        <f>HYPERLINK("http://www.weizmann.ac.il/complex/compphys/software/geview/data/figures/210018_x_at.png","Figure")</f>
        <v>Figure</v>
      </c>
      <c r="I13303">
        <v>0.76300000000000001</v>
      </c>
      <c r="J13303">
        <v>0.41</v>
      </c>
      <c r="K13303">
        <v>0.90500000000000003</v>
      </c>
      <c r="L13303">
        <v>0.85</v>
      </c>
      <c r="M13303">
        <v>1.19</v>
      </c>
      <c r="N13303">
        <v>0.66</v>
      </c>
    </row>
    <row r="13304" spans="1:14" x14ac:dyDescent="0.25">
      <c r="A13304" t="s">
        <v>22739</v>
      </c>
      <c r="B13304" t="s">
        <v>14787</v>
      </c>
      <c r="C13304" s="1" t="str">
        <f>HYPERLINK("http://www.genecards.org/cgi-bin/carddisp.pl?gene=DAZAP2","GeneCards")</f>
        <v>GeneCards</v>
      </c>
      <c r="D13304" s="1" t="str">
        <f>HYPERLINK("http://genome-euro.ucsc.edu/cgi-bin/hgTracks?position=200794_x_at","UCSC")</f>
        <v>UCSC</v>
      </c>
      <c r="E13304" s="1" t="str">
        <f>HYPERLINK("http://www.ncbi.nlm.nih.gov/gene/?term=DAZAP2","NCBI")</f>
        <v>NCBI</v>
      </c>
      <c r="F13304">
        <v>0.44</v>
      </c>
      <c r="G13304">
        <v>0.56000000000000005</v>
      </c>
      <c r="H13304" s="1" t="str">
        <f>HYPERLINK("http://www.weizmann.ac.il/complex/compphys/software/geview/data/figures/200794_x_at.png","Figure")</f>
        <v>Figure</v>
      </c>
      <c r="I13304">
        <v>1.02</v>
      </c>
      <c r="J13304">
        <v>1</v>
      </c>
      <c r="K13304">
        <v>0.83699999999999997</v>
      </c>
      <c r="L13304">
        <v>0.54</v>
      </c>
      <c r="M13304">
        <v>0.82199999999999995</v>
      </c>
      <c r="N13304">
        <v>0.52</v>
      </c>
    </row>
    <row r="13305" spans="1:14" x14ac:dyDescent="0.25">
      <c r="A13305" t="s">
        <v>22740</v>
      </c>
      <c r="B13305" t="s">
        <v>6538</v>
      </c>
      <c r="C13305" s="1" t="str">
        <f>HYPERLINK("http://www.genecards.org/cgi-bin/carddisp.pl?gene=SMARCC2","GeneCards")</f>
        <v>GeneCards</v>
      </c>
      <c r="D13305" s="1" t="str">
        <f>HYPERLINK("http://genome-euro.ucsc.edu/cgi-bin/hgTracks?position=201321_s_at","UCSC")</f>
        <v>UCSC</v>
      </c>
      <c r="E13305" s="1" t="str">
        <f>HYPERLINK("http://www.ncbi.nlm.nih.gov/gene/?term=SMARCC2","NCBI")</f>
        <v>NCBI</v>
      </c>
      <c r="F13305">
        <v>0.44</v>
      </c>
      <c r="G13305">
        <v>0.56000000000000005</v>
      </c>
      <c r="H13305" s="1" t="str">
        <f>HYPERLINK("http://www.weizmann.ac.il/complex/compphys/software/geview/data/figures/201321_s_at.png","Figure")</f>
        <v>Figure</v>
      </c>
      <c r="I13305">
        <v>0.88200000000000001</v>
      </c>
      <c r="J13305">
        <v>0.73</v>
      </c>
      <c r="K13305">
        <v>1.08</v>
      </c>
      <c r="L13305">
        <v>0.85</v>
      </c>
      <c r="M13305">
        <v>1.22</v>
      </c>
      <c r="N13305">
        <v>0.41</v>
      </c>
    </row>
    <row r="13306" spans="1:14" x14ac:dyDescent="0.25">
      <c r="A13306" t="s">
        <v>22741</v>
      </c>
      <c r="B13306" t="s">
        <v>22742</v>
      </c>
      <c r="C13306" s="1" t="str">
        <f>HYPERLINK("http://www.genecards.org/cgi-bin/carddisp.pl?gene=MYBBP1A","GeneCards")</f>
        <v>GeneCards</v>
      </c>
      <c r="D13306" s="1" t="str">
        <f>HYPERLINK("http://genome-euro.ucsc.edu/cgi-bin/hgTracks?position=219098_at","UCSC")</f>
        <v>UCSC</v>
      </c>
      <c r="E13306" s="1" t="str">
        <f>HYPERLINK("http://www.ncbi.nlm.nih.gov/gene/?term=MYBBP1A","NCBI")</f>
        <v>NCBI</v>
      </c>
      <c r="F13306">
        <v>0.44</v>
      </c>
      <c r="G13306">
        <v>0.56000000000000005</v>
      </c>
      <c r="H13306" s="1" t="str">
        <f>HYPERLINK("http://www.weizmann.ac.il/complex/compphys/software/geview/data/figures/219098_at.png","Figure")</f>
        <v>Figure</v>
      </c>
      <c r="I13306">
        <v>0.89300000000000002</v>
      </c>
      <c r="J13306">
        <v>0.42</v>
      </c>
      <c r="K13306">
        <v>0.96499999999999997</v>
      </c>
      <c r="L13306">
        <v>0.89</v>
      </c>
      <c r="M13306">
        <v>1.08</v>
      </c>
      <c r="N13306">
        <v>0.62</v>
      </c>
    </row>
    <row r="13307" spans="1:14" x14ac:dyDescent="0.25">
      <c r="A13307" t="s">
        <v>22743</v>
      </c>
      <c r="B13307" t="s">
        <v>14423</v>
      </c>
      <c r="C13307" s="1" t="str">
        <f>HYPERLINK("http://www.genecards.org/cgi-bin/carddisp.pl?gene=USP1","GeneCards")</f>
        <v>GeneCards</v>
      </c>
      <c r="D13307" s="1" t="str">
        <f>HYPERLINK("http://genome-euro.ucsc.edu/cgi-bin/hgTracks?position=202412_s_at","UCSC")</f>
        <v>UCSC</v>
      </c>
      <c r="E13307" s="1" t="str">
        <f>HYPERLINK("http://www.ncbi.nlm.nih.gov/gene/?term=USP1","NCBI")</f>
        <v>NCBI</v>
      </c>
      <c r="F13307">
        <v>0.44</v>
      </c>
      <c r="G13307">
        <v>0.56000000000000005</v>
      </c>
      <c r="H13307" s="1" t="str">
        <f>HYPERLINK("http://www.weizmann.ac.il/complex/compphys/software/geview/data/figures/202412_s_at.png","Figure")</f>
        <v>Figure</v>
      </c>
      <c r="I13307">
        <v>1.06</v>
      </c>
      <c r="J13307">
        <v>0.98</v>
      </c>
      <c r="K13307">
        <v>1.35</v>
      </c>
      <c r="L13307">
        <v>0.46</v>
      </c>
      <c r="M13307">
        <v>1.28</v>
      </c>
      <c r="N13307">
        <v>0.64</v>
      </c>
    </row>
    <row r="13308" spans="1:14" x14ac:dyDescent="0.25">
      <c r="A13308" t="s">
        <v>22744</v>
      </c>
      <c r="B13308" t="s">
        <v>14021</v>
      </c>
      <c r="C13308" s="1" t="str">
        <f>HYPERLINK("http://www.genecards.org/cgi-bin/carddisp.pl?gene=DNAJC4","GeneCards")</f>
        <v>GeneCards</v>
      </c>
      <c r="D13308" s="1" t="str">
        <f>HYPERLINK("http://genome-euro.ucsc.edu/cgi-bin/hgTracks?position=206781_at","UCSC")</f>
        <v>UCSC</v>
      </c>
      <c r="E13308" s="1" t="str">
        <f>HYPERLINK("http://www.ncbi.nlm.nih.gov/gene/?term=DNAJC4","NCBI")</f>
        <v>NCBI</v>
      </c>
      <c r="F13308">
        <v>0.44</v>
      </c>
      <c r="G13308">
        <v>0.56000000000000005</v>
      </c>
      <c r="H13308" s="1" t="str">
        <f>HYPERLINK("http://www.weizmann.ac.il/complex/compphys/software/geview/data/figures/206781_at.png","Figure")</f>
        <v>Figure</v>
      </c>
      <c r="I13308">
        <v>1.19</v>
      </c>
      <c r="J13308">
        <v>0.44</v>
      </c>
      <c r="K13308">
        <v>1.04</v>
      </c>
      <c r="L13308">
        <v>0.94</v>
      </c>
      <c r="M13308">
        <v>0.875</v>
      </c>
      <c r="N13308">
        <v>0.56000000000000005</v>
      </c>
    </row>
    <row r="13309" spans="1:14" x14ac:dyDescent="0.25">
      <c r="A13309" t="s">
        <v>22745</v>
      </c>
      <c r="B13309" t="s">
        <v>11891</v>
      </c>
      <c r="C13309" s="1" t="str">
        <f>HYPERLINK("http://www.genecards.org/cgi-bin/carddisp.pl?gene=PIK3CG","GeneCards")</f>
        <v>GeneCards</v>
      </c>
      <c r="D13309" s="1" t="str">
        <f>HYPERLINK("http://genome-euro.ucsc.edu/cgi-bin/hgTracks?position=206370_at","UCSC")</f>
        <v>UCSC</v>
      </c>
      <c r="E13309" s="1" t="str">
        <f>HYPERLINK("http://www.ncbi.nlm.nih.gov/gene/?term=PIK3CG","NCBI")</f>
        <v>NCBI</v>
      </c>
      <c r="F13309">
        <v>0.44</v>
      </c>
      <c r="G13309">
        <v>0.56000000000000005</v>
      </c>
      <c r="H13309" s="1" t="str">
        <f>HYPERLINK("http://www.weizmann.ac.il/complex/compphys/software/geview/data/figures/206370_at.png","Figure")</f>
        <v>Figure</v>
      </c>
      <c r="I13309">
        <v>0.83099999999999996</v>
      </c>
      <c r="J13309">
        <v>0.45</v>
      </c>
      <c r="K13309">
        <v>0.874</v>
      </c>
      <c r="L13309">
        <v>0.56999999999999995</v>
      </c>
      <c r="M13309">
        <v>1.05</v>
      </c>
      <c r="N13309">
        <v>0.93</v>
      </c>
    </row>
    <row r="13310" spans="1:14" x14ac:dyDescent="0.25">
      <c r="A13310" t="s">
        <v>22746</v>
      </c>
      <c r="B13310" t="s">
        <v>22747</v>
      </c>
      <c r="C13310" s="1" t="str">
        <f>HYPERLINK("http://www.genecards.org/cgi-bin/carddisp.pl?gene=ABCA7","GeneCards")</f>
        <v>GeneCards</v>
      </c>
      <c r="D13310" s="1" t="str">
        <f>HYPERLINK("http://genome-euro.ucsc.edu/cgi-bin/hgTracks?position=219577_s_at","UCSC")</f>
        <v>UCSC</v>
      </c>
      <c r="E13310" s="1" t="str">
        <f>HYPERLINK("http://www.ncbi.nlm.nih.gov/gene/?term=ABCA7","NCBI")</f>
        <v>NCBI</v>
      </c>
      <c r="F13310">
        <v>0.44</v>
      </c>
      <c r="G13310">
        <v>0.56999999999999995</v>
      </c>
      <c r="H13310" s="1" t="str">
        <f>HYPERLINK("http://www.weizmann.ac.il/complex/compphys/software/geview/data/figures/219577_s_at.png","Figure")</f>
        <v>Figure</v>
      </c>
      <c r="I13310">
        <v>1.1499999999999999</v>
      </c>
      <c r="J13310">
        <v>0.78</v>
      </c>
      <c r="K13310">
        <v>1.26</v>
      </c>
      <c r="L13310">
        <v>0.41</v>
      </c>
      <c r="M13310">
        <v>1.1000000000000001</v>
      </c>
      <c r="N13310">
        <v>0.87</v>
      </c>
    </row>
    <row r="13311" spans="1:14" x14ac:dyDescent="0.25">
      <c r="A13311" t="s">
        <v>22748</v>
      </c>
      <c r="B13311" t="s">
        <v>8999</v>
      </c>
      <c r="C13311" s="1" t="str">
        <f>HYPERLINK("http://www.genecards.org/cgi-bin/carddisp.pl?gene=CLTA","GeneCards")</f>
        <v>GeneCards</v>
      </c>
      <c r="D13311" s="1" t="str">
        <f>HYPERLINK("http://genome-euro.ucsc.edu/cgi-bin/hgTracks?position=200960_x_at","UCSC")</f>
        <v>UCSC</v>
      </c>
      <c r="E13311" s="1" t="str">
        <f>HYPERLINK("http://www.ncbi.nlm.nih.gov/gene/?term=CLTA","NCBI")</f>
        <v>NCBI</v>
      </c>
      <c r="F13311">
        <v>0.44</v>
      </c>
      <c r="G13311">
        <v>0.56999999999999995</v>
      </c>
      <c r="H13311" s="1" t="str">
        <f>HYPERLINK("http://www.weizmann.ac.il/complex/compphys/software/geview/data/figures/200960_x_at.png","Figure")</f>
        <v>Figure</v>
      </c>
      <c r="I13311">
        <v>1.26</v>
      </c>
      <c r="J13311">
        <v>0.46</v>
      </c>
      <c r="K13311">
        <v>1.19</v>
      </c>
      <c r="L13311">
        <v>0.56999999999999995</v>
      </c>
      <c r="M13311">
        <v>0.94</v>
      </c>
      <c r="N13311">
        <v>0.94</v>
      </c>
    </row>
    <row r="13312" spans="1:14" x14ac:dyDescent="0.25">
      <c r="A13312" t="s">
        <v>22749</v>
      </c>
      <c r="B13312" t="s">
        <v>22750</v>
      </c>
      <c r="C13312" s="1" t="str">
        <f>HYPERLINK("http://www.genecards.org/cgi-bin/carddisp.pl?gene=RAD9A","GeneCards")</f>
        <v>GeneCards</v>
      </c>
      <c r="D13312" s="1" t="str">
        <f>HYPERLINK("http://genome-euro.ucsc.edu/cgi-bin/hgTracks?position=204828_at","UCSC")</f>
        <v>UCSC</v>
      </c>
      <c r="E13312" s="1" t="str">
        <f>HYPERLINK("http://www.ncbi.nlm.nih.gov/gene/?term=RAD9A","NCBI")</f>
        <v>NCBI</v>
      </c>
      <c r="F13312">
        <v>0.44</v>
      </c>
      <c r="G13312">
        <v>0.56999999999999995</v>
      </c>
      <c r="H13312" s="1" t="str">
        <f>HYPERLINK("http://www.weizmann.ac.il/complex/compphys/software/geview/data/figures/204828_at.png","Figure")</f>
        <v>Figure</v>
      </c>
      <c r="I13312">
        <v>1.17</v>
      </c>
      <c r="J13312">
        <v>0.46</v>
      </c>
      <c r="K13312">
        <v>1.02</v>
      </c>
      <c r="L13312">
        <v>0.97</v>
      </c>
      <c r="M13312">
        <v>0.879</v>
      </c>
      <c r="N13312">
        <v>0.53</v>
      </c>
    </row>
    <row r="13313" spans="1:14" x14ac:dyDescent="0.25">
      <c r="A13313" t="s">
        <v>22751</v>
      </c>
      <c r="B13313" t="s">
        <v>9669</v>
      </c>
      <c r="C13313" s="1" t="str">
        <f>HYPERLINK("http://www.genecards.org/cgi-bin/carddisp.pl?gene=GYG1","GeneCards")</f>
        <v>GeneCards</v>
      </c>
      <c r="D13313" s="1" t="str">
        <f>HYPERLINK("http://genome-euro.ucsc.edu/cgi-bin/hgTracks?position=211275_s_at","UCSC")</f>
        <v>UCSC</v>
      </c>
      <c r="E13313" s="1" t="str">
        <f>HYPERLINK("http://www.ncbi.nlm.nih.gov/gene/?term=GYG1","NCBI")</f>
        <v>NCBI</v>
      </c>
      <c r="F13313">
        <v>0.44</v>
      </c>
      <c r="G13313">
        <v>0.56999999999999995</v>
      </c>
      <c r="H13313" s="1" t="str">
        <f>HYPERLINK("http://www.weizmann.ac.il/complex/compphys/software/geview/data/figures/211275_s_at.png","Figure")</f>
        <v>Figure</v>
      </c>
      <c r="I13313">
        <v>1.35</v>
      </c>
      <c r="J13313">
        <v>0.47</v>
      </c>
      <c r="K13313">
        <v>1.27</v>
      </c>
      <c r="L13313">
        <v>0.54</v>
      </c>
      <c r="M13313">
        <v>0.93700000000000006</v>
      </c>
      <c r="N13313">
        <v>0.96</v>
      </c>
    </row>
    <row r="13314" spans="1:14" x14ac:dyDescent="0.25">
      <c r="A13314" t="s">
        <v>22752</v>
      </c>
      <c r="B13314" t="s">
        <v>14697</v>
      </c>
      <c r="C13314" s="1" t="str">
        <f>HYPERLINK("http://www.genecards.org/cgi-bin/carddisp.pl?gene=ANGEL2","GeneCards")</f>
        <v>GeneCards</v>
      </c>
      <c r="D13314" s="1" t="str">
        <f>HYPERLINK("http://genome-euro.ucsc.edu/cgi-bin/hgTracks?position=217630_at","UCSC")</f>
        <v>UCSC</v>
      </c>
      <c r="E13314" s="1" t="str">
        <f>HYPERLINK("http://www.ncbi.nlm.nih.gov/gene/?term=ANGEL2","NCBI")</f>
        <v>NCBI</v>
      </c>
      <c r="F13314">
        <v>0.44</v>
      </c>
      <c r="G13314">
        <v>0.56999999999999995</v>
      </c>
      <c r="H13314" s="1" t="str">
        <f>HYPERLINK("http://www.weizmann.ac.il/complex/compphys/software/geview/data/figures/217630_at.png","Figure")</f>
        <v>Figure</v>
      </c>
      <c r="I13314">
        <v>0.99099999999999999</v>
      </c>
      <c r="J13314">
        <v>0.42</v>
      </c>
      <c r="K13314">
        <v>0.997</v>
      </c>
      <c r="L13314">
        <v>0.87</v>
      </c>
      <c r="M13314">
        <v>1.01</v>
      </c>
      <c r="N13314">
        <v>0.64</v>
      </c>
    </row>
    <row r="13315" spans="1:14" x14ac:dyDescent="0.25">
      <c r="A13315" t="s">
        <v>22753</v>
      </c>
      <c r="B13315" t="s">
        <v>9706</v>
      </c>
      <c r="C13315" s="1" t="str">
        <f>HYPERLINK("http://www.genecards.org/cgi-bin/carddisp.pl?gene=BCL11A","GeneCards")</f>
        <v>GeneCards</v>
      </c>
      <c r="D13315" s="1" t="str">
        <f>HYPERLINK("http://genome-euro.ucsc.edu/cgi-bin/hgTracks?position=219498_s_at","UCSC")</f>
        <v>UCSC</v>
      </c>
      <c r="E13315" s="1" t="str">
        <f>HYPERLINK("http://www.ncbi.nlm.nih.gov/gene/?term=BCL11A","NCBI")</f>
        <v>NCBI</v>
      </c>
      <c r="F13315">
        <v>0.44</v>
      </c>
      <c r="G13315">
        <v>0.56999999999999995</v>
      </c>
      <c r="H13315" s="1" t="str">
        <f>HYPERLINK("http://www.weizmann.ac.il/complex/compphys/software/geview/data/figures/219498_s_at.png","Figure")</f>
        <v>Figure</v>
      </c>
      <c r="I13315">
        <v>0.82</v>
      </c>
      <c r="J13315">
        <v>0.49</v>
      </c>
      <c r="K13315">
        <v>0.98699999999999999</v>
      </c>
      <c r="L13315">
        <v>1</v>
      </c>
      <c r="M13315">
        <v>1.2</v>
      </c>
      <c r="N13315">
        <v>0.49</v>
      </c>
    </row>
    <row r="13316" spans="1:14" x14ac:dyDescent="0.25">
      <c r="A13316" t="s">
        <v>22754</v>
      </c>
      <c r="B13316" t="s">
        <v>22755</v>
      </c>
      <c r="C13316" s="1" t="str">
        <f>HYPERLINK("http://www.genecards.org/cgi-bin/carddisp.pl?gene=C5orf45","GeneCards")</f>
        <v>GeneCards</v>
      </c>
      <c r="D13316" s="1" t="str">
        <f>HYPERLINK("http://genome-euro.ucsc.edu/cgi-bin/hgTracks?position=220341_s_at","UCSC")</f>
        <v>UCSC</v>
      </c>
      <c r="E13316" s="1" t="str">
        <f>HYPERLINK("http://www.ncbi.nlm.nih.gov/gene/?term=C5orf45","NCBI")</f>
        <v>NCBI</v>
      </c>
      <c r="F13316">
        <v>0.44</v>
      </c>
      <c r="G13316">
        <v>0.56999999999999995</v>
      </c>
      <c r="H13316" s="1" t="str">
        <f>HYPERLINK("http://www.weizmann.ac.il/complex/compphys/software/geview/data/figures/220341_s_at.png","Figure")</f>
        <v>Figure</v>
      </c>
      <c r="I13316">
        <v>0.96499999999999997</v>
      </c>
      <c r="J13316">
        <v>0.95</v>
      </c>
      <c r="K13316">
        <v>1.1000000000000001</v>
      </c>
      <c r="L13316">
        <v>0.62</v>
      </c>
      <c r="M13316">
        <v>1.1399999999999999</v>
      </c>
      <c r="N13316">
        <v>0.47</v>
      </c>
    </row>
    <row r="13317" spans="1:14" x14ac:dyDescent="0.25">
      <c r="A13317" t="s">
        <v>22756</v>
      </c>
      <c r="B13317" t="s">
        <v>22757</v>
      </c>
      <c r="C13317" s="1" t="str">
        <f>HYPERLINK("http://www.genecards.org/cgi-bin/carddisp.pl?gene=MCOLN3","GeneCards")</f>
        <v>GeneCards</v>
      </c>
      <c r="D13317" s="1" t="str">
        <f>HYPERLINK("http://genome-euro.ucsc.edu/cgi-bin/hgTracks?position=220484_at","UCSC")</f>
        <v>UCSC</v>
      </c>
      <c r="E13317" s="1" t="str">
        <f>HYPERLINK("http://www.ncbi.nlm.nih.gov/gene/?term=MCOLN3","NCBI")</f>
        <v>NCBI</v>
      </c>
      <c r="F13317">
        <v>0.44</v>
      </c>
      <c r="G13317">
        <v>0.56999999999999995</v>
      </c>
      <c r="H13317" s="1" t="str">
        <f>HYPERLINK("http://www.weizmann.ac.il/complex/compphys/software/geview/data/figures/220484_at.png","Figure")</f>
        <v>Figure</v>
      </c>
      <c r="I13317">
        <v>0.98299999999999998</v>
      </c>
      <c r="J13317">
        <v>0.42</v>
      </c>
      <c r="K13317">
        <v>0.99399999999999999</v>
      </c>
      <c r="L13317">
        <v>0.87</v>
      </c>
      <c r="M13317">
        <v>1.01</v>
      </c>
      <c r="N13317">
        <v>0.64</v>
      </c>
    </row>
    <row r="13318" spans="1:14" x14ac:dyDescent="0.25">
      <c r="A13318" t="s">
        <v>22758</v>
      </c>
      <c r="B13318" t="s">
        <v>20322</v>
      </c>
      <c r="C13318" s="1" t="str">
        <f>HYPERLINK("http://www.genecards.org/cgi-bin/carddisp.pl?gene=MS4A1","GeneCards")</f>
        <v>GeneCards</v>
      </c>
      <c r="D13318" s="1" t="str">
        <f>HYPERLINK("http://genome-euro.ucsc.edu/cgi-bin/hgTracks?position=210356_x_at","UCSC")</f>
        <v>UCSC</v>
      </c>
      <c r="E13318" s="1" t="str">
        <f>HYPERLINK("http://www.ncbi.nlm.nih.gov/gene/?term=MS4A1","NCBI")</f>
        <v>NCBI</v>
      </c>
      <c r="F13318">
        <v>0.44</v>
      </c>
      <c r="G13318">
        <v>0.56999999999999995</v>
      </c>
      <c r="H13318" s="1" t="str">
        <f>HYPERLINK("http://www.weizmann.ac.il/complex/compphys/software/geview/data/figures/210356_x_at.png","Figure")</f>
        <v>Figure</v>
      </c>
      <c r="I13318">
        <v>0.69299999999999995</v>
      </c>
      <c r="J13318">
        <v>0.57999999999999996</v>
      </c>
      <c r="K13318">
        <v>0.67700000000000005</v>
      </c>
      <c r="L13318">
        <v>0.45</v>
      </c>
      <c r="M13318">
        <v>0.97699999999999998</v>
      </c>
      <c r="N13318">
        <v>1</v>
      </c>
    </row>
    <row r="13319" spans="1:14" x14ac:dyDescent="0.25">
      <c r="A13319" t="s">
        <v>22759</v>
      </c>
      <c r="B13319" t="s">
        <v>22760</v>
      </c>
      <c r="C13319" s="1" t="str">
        <f>HYPERLINK("http://www.genecards.org/cgi-bin/carddisp.pl?gene=YEATS2","GeneCards")</f>
        <v>GeneCards</v>
      </c>
      <c r="D13319" s="1" t="str">
        <f>HYPERLINK("http://genome-euro.ucsc.edu/cgi-bin/hgTracks?position=221203_s_at","UCSC")</f>
        <v>UCSC</v>
      </c>
      <c r="E13319" s="1" t="str">
        <f>HYPERLINK("http://www.ncbi.nlm.nih.gov/gene/?term=YEATS2","NCBI")</f>
        <v>NCBI</v>
      </c>
      <c r="F13319">
        <v>0.44</v>
      </c>
      <c r="G13319">
        <v>0.56999999999999995</v>
      </c>
      <c r="H13319" s="1" t="str">
        <f>HYPERLINK("http://www.weizmann.ac.il/complex/compphys/software/geview/data/figures/221203_s_at.png","Figure")</f>
        <v>Figure</v>
      </c>
      <c r="I13319">
        <v>0.69099999999999995</v>
      </c>
      <c r="J13319">
        <v>0.41</v>
      </c>
      <c r="K13319">
        <v>0.85799999999999998</v>
      </c>
      <c r="L13319">
        <v>0.81</v>
      </c>
      <c r="M13319">
        <v>1.24</v>
      </c>
      <c r="N13319">
        <v>0.69</v>
      </c>
    </row>
    <row r="13320" spans="1:14" x14ac:dyDescent="0.25">
      <c r="A13320" t="s">
        <v>22761</v>
      </c>
      <c r="B13320" t="s">
        <v>22762</v>
      </c>
      <c r="C13320" s="1" t="str">
        <f>HYPERLINK("http://www.genecards.org/cgi-bin/carddisp.pl?gene=ALDH5A1","GeneCards")</f>
        <v>GeneCards</v>
      </c>
      <c r="D13320" s="1" t="str">
        <f>HYPERLINK("http://genome-euro.ucsc.edu/cgi-bin/hgTracks?position=203608_at","UCSC")</f>
        <v>UCSC</v>
      </c>
      <c r="E13320" s="1" t="str">
        <f>HYPERLINK("http://www.ncbi.nlm.nih.gov/gene/?term=ALDH5A1","NCBI")</f>
        <v>NCBI</v>
      </c>
      <c r="F13320">
        <v>0.44</v>
      </c>
      <c r="G13320">
        <v>0.56999999999999995</v>
      </c>
      <c r="H13320" s="1" t="str">
        <f>HYPERLINK("http://www.weizmann.ac.il/complex/compphys/software/geview/data/figures/203608_at.png","Figure")</f>
        <v>Figure</v>
      </c>
      <c r="I13320">
        <v>0.53700000000000003</v>
      </c>
      <c r="J13320">
        <v>0.42</v>
      </c>
      <c r="K13320">
        <v>0.82499999999999996</v>
      </c>
      <c r="L13320">
        <v>0.89</v>
      </c>
      <c r="M13320">
        <v>1.54</v>
      </c>
      <c r="N13320">
        <v>0.61</v>
      </c>
    </row>
    <row r="13321" spans="1:14" x14ac:dyDescent="0.25">
      <c r="A13321" t="s">
        <v>22763</v>
      </c>
      <c r="B13321" t="s">
        <v>21635</v>
      </c>
      <c r="C13321" s="1" t="str">
        <f>HYPERLINK("http://www.genecards.org/cgi-bin/carddisp.pl?gene=ING1","GeneCards")</f>
        <v>GeneCards</v>
      </c>
      <c r="D13321" s="1" t="str">
        <f>HYPERLINK("http://genome-euro.ucsc.edu/cgi-bin/hgTracks?position=208415_x_at","UCSC")</f>
        <v>UCSC</v>
      </c>
      <c r="E13321" s="1" t="str">
        <f>HYPERLINK("http://www.ncbi.nlm.nih.gov/gene/?term=ING1","NCBI")</f>
        <v>NCBI</v>
      </c>
      <c r="F13321">
        <v>0.44</v>
      </c>
      <c r="G13321">
        <v>0.56999999999999995</v>
      </c>
      <c r="H13321" s="1" t="str">
        <f>HYPERLINK("http://www.weizmann.ac.il/complex/compphys/software/geview/data/figures/208415_x_at.png","Figure")</f>
        <v>Figure</v>
      </c>
      <c r="I13321">
        <v>1.1499999999999999</v>
      </c>
      <c r="J13321">
        <v>0.56999999999999995</v>
      </c>
      <c r="K13321">
        <v>0.97899999999999998</v>
      </c>
      <c r="L13321">
        <v>0.98</v>
      </c>
      <c r="M13321">
        <v>0.85299999999999998</v>
      </c>
      <c r="N13321">
        <v>0.43</v>
      </c>
    </row>
    <row r="13322" spans="1:14" x14ac:dyDescent="0.25">
      <c r="A13322" t="s">
        <v>22764</v>
      </c>
      <c r="B13322" t="s">
        <v>22765</v>
      </c>
      <c r="C13322" s="1" t="str">
        <f>HYPERLINK("http://www.genecards.org/cgi-bin/carddisp.pl?gene=ATP11B","GeneCards")</f>
        <v>GeneCards</v>
      </c>
      <c r="D13322" s="1" t="str">
        <f>HYPERLINK("http://genome-euro.ucsc.edu/cgi-bin/hgTracks?position=212536_at","UCSC")</f>
        <v>UCSC</v>
      </c>
      <c r="E13322" s="1" t="str">
        <f>HYPERLINK("http://www.ncbi.nlm.nih.gov/gene/?term=ATP11B","NCBI")</f>
        <v>NCBI</v>
      </c>
      <c r="F13322">
        <v>0.44</v>
      </c>
      <c r="G13322">
        <v>0.56999999999999995</v>
      </c>
      <c r="H13322" s="1" t="str">
        <f>HYPERLINK("http://www.weizmann.ac.il/complex/compphys/software/geview/data/figures/212536_at.png","Figure")</f>
        <v>Figure</v>
      </c>
      <c r="I13322">
        <v>0.69199999999999995</v>
      </c>
      <c r="J13322">
        <v>0.45</v>
      </c>
      <c r="K13322">
        <v>0.77500000000000002</v>
      </c>
      <c r="L13322">
        <v>0.59</v>
      </c>
      <c r="M13322">
        <v>1.1200000000000001</v>
      </c>
      <c r="N13322">
        <v>0.91</v>
      </c>
    </row>
    <row r="13323" spans="1:14" x14ac:dyDescent="0.25">
      <c r="A13323" t="s">
        <v>22766</v>
      </c>
      <c r="B13323" t="s">
        <v>22767</v>
      </c>
      <c r="C13323" s="1" t="str">
        <f>HYPERLINK("http://www.genecards.org/cgi-bin/carddisp.pl?gene=CDKL5","GeneCards")</f>
        <v>GeneCards</v>
      </c>
      <c r="D13323" s="1" t="str">
        <f>HYPERLINK("http://genome-euro.ucsc.edu/cgi-bin/hgTracks?position=216923_at","UCSC")</f>
        <v>UCSC</v>
      </c>
      <c r="E13323" s="1" t="str">
        <f>HYPERLINK("http://www.ncbi.nlm.nih.gov/gene/?term=CDKL5","NCBI")</f>
        <v>NCBI</v>
      </c>
      <c r="F13323">
        <v>0.44</v>
      </c>
      <c r="G13323">
        <v>0.56999999999999995</v>
      </c>
      <c r="H13323" s="1" t="str">
        <f>HYPERLINK("http://www.weizmann.ac.il/complex/compphys/software/geview/data/figures/216923_at.png","Figure")</f>
        <v>Figure</v>
      </c>
      <c r="I13323">
        <v>1</v>
      </c>
      <c r="J13323">
        <v>1</v>
      </c>
      <c r="K13323">
        <v>0.98</v>
      </c>
      <c r="L13323">
        <v>0.51</v>
      </c>
      <c r="M13323">
        <v>0.98</v>
      </c>
      <c r="N13323">
        <v>0.55000000000000004</v>
      </c>
    </row>
    <row r="13324" spans="1:14" x14ac:dyDescent="0.25">
      <c r="A13324" t="s">
        <v>22768</v>
      </c>
      <c r="B13324" t="s">
        <v>22769</v>
      </c>
      <c r="C13324" s="1" t="str">
        <f>HYPERLINK("http://www.genecards.org/cgi-bin/carddisp.pl?gene=IFIH1","GeneCards")</f>
        <v>GeneCards</v>
      </c>
      <c r="D13324" s="1" t="str">
        <f>HYPERLINK("http://genome-euro.ucsc.edu/cgi-bin/hgTracks?position=219209_at","UCSC")</f>
        <v>UCSC</v>
      </c>
      <c r="E13324" s="1" t="str">
        <f>HYPERLINK("http://www.ncbi.nlm.nih.gov/gene/?term=IFIH1","NCBI")</f>
        <v>NCBI</v>
      </c>
      <c r="F13324">
        <v>0.44</v>
      </c>
      <c r="G13324">
        <v>0.56999999999999995</v>
      </c>
      <c r="H13324" s="1" t="str">
        <f>HYPERLINK("http://www.weizmann.ac.il/complex/compphys/software/geview/data/figures/219209_at.png","Figure")</f>
        <v>Figure</v>
      </c>
      <c r="I13324">
        <v>1</v>
      </c>
      <c r="J13324">
        <v>1</v>
      </c>
      <c r="K13324">
        <v>0.98</v>
      </c>
      <c r="L13324">
        <v>0.51</v>
      </c>
      <c r="M13324">
        <v>0.98</v>
      </c>
      <c r="N13324">
        <v>0.55000000000000004</v>
      </c>
    </row>
    <row r="13325" spans="1:14" x14ac:dyDescent="0.25">
      <c r="A13325" t="s">
        <v>22770</v>
      </c>
      <c r="B13325" t="s">
        <v>12656</v>
      </c>
      <c r="C13325" s="1" t="str">
        <f>HYPERLINK("http://www.genecards.org/cgi-bin/carddisp.pl?gene=TRAF3IP3","GeneCards")</f>
        <v>GeneCards</v>
      </c>
      <c r="D13325" s="1" t="str">
        <f>HYPERLINK("http://genome-euro.ucsc.edu/cgi-bin/hgTracks?position=205804_s_at","UCSC")</f>
        <v>UCSC</v>
      </c>
      <c r="E13325" s="1" t="str">
        <f>HYPERLINK("http://www.ncbi.nlm.nih.gov/gene/?term=TRAF3IP3","NCBI")</f>
        <v>NCBI</v>
      </c>
      <c r="F13325">
        <v>0.44</v>
      </c>
      <c r="G13325">
        <v>0.56999999999999995</v>
      </c>
      <c r="H13325" s="1" t="str">
        <f>HYPERLINK("http://www.weizmann.ac.il/complex/compphys/software/geview/data/figures/205804_s_at.png","Figure")</f>
        <v>Figure</v>
      </c>
      <c r="I13325">
        <v>0.754</v>
      </c>
      <c r="J13325">
        <v>0.44</v>
      </c>
      <c r="K13325">
        <v>0.94</v>
      </c>
      <c r="L13325">
        <v>0.95</v>
      </c>
      <c r="M13325">
        <v>1.25</v>
      </c>
      <c r="N13325">
        <v>0.56000000000000005</v>
      </c>
    </row>
    <row r="13326" spans="1:14" x14ac:dyDescent="0.25">
      <c r="A13326" t="s">
        <v>22771</v>
      </c>
      <c r="B13326" t="s">
        <v>22772</v>
      </c>
      <c r="C13326" s="1" t="str">
        <f>HYPERLINK("http://www.genecards.org/cgi-bin/carddisp.pl?gene=PMPCB","GeneCards")</f>
        <v>GeneCards</v>
      </c>
      <c r="D13326" s="1" t="str">
        <f>HYPERLINK("http://genome-euro.ucsc.edu/cgi-bin/hgTracks?position=201682_at","UCSC")</f>
        <v>UCSC</v>
      </c>
      <c r="E13326" s="1" t="str">
        <f>HYPERLINK("http://www.ncbi.nlm.nih.gov/gene/?term=PMPCB","NCBI")</f>
        <v>NCBI</v>
      </c>
      <c r="F13326">
        <v>0.44</v>
      </c>
      <c r="G13326">
        <v>0.56999999999999995</v>
      </c>
      <c r="H13326" s="1" t="str">
        <f>HYPERLINK("http://www.weizmann.ac.il/complex/compphys/software/geview/data/figures/201682_at.png","Figure")</f>
        <v>Figure</v>
      </c>
      <c r="I13326">
        <v>1.05</v>
      </c>
      <c r="J13326">
        <v>0.8</v>
      </c>
      <c r="K13326">
        <v>0.95199999999999996</v>
      </c>
      <c r="L13326">
        <v>0.78</v>
      </c>
      <c r="M13326">
        <v>0.90300000000000002</v>
      </c>
      <c r="N13326">
        <v>0.42</v>
      </c>
    </row>
    <row r="13327" spans="1:14" x14ac:dyDescent="0.25">
      <c r="A13327" t="s">
        <v>22773</v>
      </c>
      <c r="B13327" t="s">
        <v>16336</v>
      </c>
      <c r="C13327" s="1" t="str">
        <f>HYPERLINK("http://www.genecards.org/cgi-bin/carddisp.pl?gene=TRAPPC3","GeneCards")</f>
        <v>GeneCards</v>
      </c>
      <c r="D13327" s="1" t="str">
        <f>HYPERLINK("http://genome-euro.ucsc.edu/cgi-bin/hgTracks?position=203512_at","UCSC")</f>
        <v>UCSC</v>
      </c>
      <c r="E13327" s="1" t="str">
        <f>HYPERLINK("http://www.ncbi.nlm.nih.gov/gene/?term=TRAPPC3","NCBI")</f>
        <v>NCBI</v>
      </c>
      <c r="F13327">
        <v>0.44</v>
      </c>
      <c r="G13327">
        <v>0.56999999999999995</v>
      </c>
      <c r="H13327" s="1" t="str">
        <f>HYPERLINK("http://www.weizmann.ac.il/complex/compphys/software/geview/data/figures/203512_at.png","Figure")</f>
        <v>Figure</v>
      </c>
      <c r="I13327">
        <v>1.03</v>
      </c>
      <c r="J13327">
        <v>0.87</v>
      </c>
      <c r="K13327">
        <v>1.07</v>
      </c>
      <c r="L13327">
        <v>0.42</v>
      </c>
      <c r="M13327">
        <v>1.04</v>
      </c>
      <c r="N13327">
        <v>0.78</v>
      </c>
    </row>
    <row r="13328" spans="1:14" x14ac:dyDescent="0.25">
      <c r="A13328" t="s">
        <v>22774</v>
      </c>
      <c r="B13328" t="s">
        <v>21327</v>
      </c>
      <c r="C13328" s="1" t="str">
        <f>HYPERLINK("http://www.genecards.org/cgi-bin/carddisp.pl?gene=CHAF1A","GeneCards")</f>
        <v>GeneCards</v>
      </c>
      <c r="D13328" s="1" t="str">
        <f>HYPERLINK("http://genome-euro.ucsc.edu/cgi-bin/hgTracks?position=203975_s_at","UCSC")</f>
        <v>UCSC</v>
      </c>
      <c r="E13328" s="1" t="str">
        <f>HYPERLINK("http://www.ncbi.nlm.nih.gov/gene/?term=CHAF1A","NCBI")</f>
        <v>NCBI</v>
      </c>
      <c r="F13328">
        <v>0.44</v>
      </c>
      <c r="G13328">
        <v>0.56999999999999995</v>
      </c>
      <c r="H13328" s="1" t="str">
        <f>HYPERLINK("http://www.weizmann.ac.il/complex/compphys/software/geview/data/figures/203975_s_at.png","Figure")</f>
        <v>Figure</v>
      </c>
      <c r="I13328">
        <v>1.26</v>
      </c>
      <c r="J13328">
        <v>0.5</v>
      </c>
      <c r="K13328">
        <v>1.01</v>
      </c>
      <c r="L13328">
        <v>1</v>
      </c>
      <c r="M13328">
        <v>0.80100000000000005</v>
      </c>
      <c r="N13328">
        <v>0.48</v>
      </c>
    </row>
    <row r="13329" spans="1:14" x14ac:dyDescent="0.25">
      <c r="A13329" t="s">
        <v>22775</v>
      </c>
      <c r="B13329" t="s">
        <v>22487</v>
      </c>
      <c r="C13329" s="1" t="str">
        <f>HYPERLINK("http://www.genecards.org/cgi-bin/carddisp.pl?gene=TAZ","GeneCards")</f>
        <v>GeneCards</v>
      </c>
      <c r="D13329" s="1" t="str">
        <f>HYPERLINK("http://genome-euro.ucsc.edu/cgi-bin/hgTracks?position=203977_at","UCSC")</f>
        <v>UCSC</v>
      </c>
      <c r="E13329" s="1" t="str">
        <f>HYPERLINK("http://www.ncbi.nlm.nih.gov/gene/?term=TAZ","NCBI")</f>
        <v>NCBI</v>
      </c>
      <c r="F13329">
        <v>0.44</v>
      </c>
      <c r="G13329">
        <v>0.56999999999999995</v>
      </c>
      <c r="H13329" s="1" t="str">
        <f>HYPERLINK("http://www.weizmann.ac.il/complex/compphys/software/geview/data/figures/203977_at.png","Figure")</f>
        <v>Figure</v>
      </c>
      <c r="I13329">
        <v>0.85099999999999998</v>
      </c>
      <c r="J13329">
        <v>0.47</v>
      </c>
      <c r="K13329">
        <v>0.97899999999999998</v>
      </c>
      <c r="L13329">
        <v>0.98</v>
      </c>
      <c r="M13329">
        <v>1.1499999999999999</v>
      </c>
      <c r="N13329">
        <v>0.51</v>
      </c>
    </row>
    <row r="13330" spans="1:14" x14ac:dyDescent="0.25">
      <c r="A13330" t="s">
        <v>22776</v>
      </c>
      <c r="B13330" t="s">
        <v>22777</v>
      </c>
      <c r="C13330" s="1" t="str">
        <f>HYPERLINK("http://www.genecards.org/cgi-bin/carddisp.pl?gene=FOXJ2","GeneCards")</f>
        <v>GeneCards</v>
      </c>
      <c r="D13330" s="1" t="str">
        <f>HYPERLINK("http://genome-euro.ucsc.edu/cgi-bin/hgTracks?position=203734_at","UCSC")</f>
        <v>UCSC</v>
      </c>
      <c r="E13330" s="1" t="str">
        <f>HYPERLINK("http://www.ncbi.nlm.nih.gov/gene/?term=FOXJ2","NCBI")</f>
        <v>NCBI</v>
      </c>
      <c r="F13330">
        <v>0.44</v>
      </c>
      <c r="G13330">
        <v>0.56999999999999995</v>
      </c>
      <c r="H13330" s="1" t="str">
        <f>HYPERLINK("http://www.weizmann.ac.il/complex/compphys/software/geview/data/figures/203734_at.png","Figure")</f>
        <v>Figure</v>
      </c>
      <c r="I13330">
        <v>0.99099999999999999</v>
      </c>
      <c r="J13330">
        <v>1</v>
      </c>
      <c r="K13330">
        <v>0.88700000000000001</v>
      </c>
      <c r="L13330">
        <v>0.49</v>
      </c>
      <c r="M13330">
        <v>0.89500000000000002</v>
      </c>
      <c r="N13330">
        <v>0.57999999999999996</v>
      </c>
    </row>
    <row r="13331" spans="1:14" x14ac:dyDescent="0.25">
      <c r="A13331" t="s">
        <v>22778</v>
      </c>
      <c r="B13331" t="s">
        <v>9807</v>
      </c>
      <c r="C13331" s="1" t="str">
        <f>HYPERLINK("http://www.genecards.org/cgi-bin/carddisp.pl?gene=CES2","GeneCards")</f>
        <v>GeneCards</v>
      </c>
      <c r="D13331" s="1" t="str">
        <f>HYPERLINK("http://genome-euro.ucsc.edu/cgi-bin/hgTracks?position=209667_at","UCSC")</f>
        <v>UCSC</v>
      </c>
      <c r="E13331" s="1" t="str">
        <f>HYPERLINK("http://www.ncbi.nlm.nih.gov/gene/?term=CES2","NCBI")</f>
        <v>NCBI</v>
      </c>
      <c r="F13331">
        <v>0.44</v>
      </c>
      <c r="G13331">
        <v>0.56999999999999995</v>
      </c>
      <c r="H13331" s="1" t="str">
        <f>HYPERLINK("http://www.weizmann.ac.il/complex/compphys/software/geview/data/figures/209667_at.png","Figure")</f>
        <v>Figure</v>
      </c>
      <c r="I13331">
        <v>0.89200000000000002</v>
      </c>
      <c r="J13331">
        <v>0.56999999999999995</v>
      </c>
      <c r="K13331">
        <v>1.02</v>
      </c>
      <c r="L13331">
        <v>0.98</v>
      </c>
      <c r="M13331">
        <v>1.1399999999999999</v>
      </c>
      <c r="N13331">
        <v>0.44</v>
      </c>
    </row>
    <row r="13332" spans="1:14" x14ac:dyDescent="0.25">
      <c r="A13332" t="s">
        <v>22779</v>
      </c>
      <c r="B13332" t="s">
        <v>22780</v>
      </c>
      <c r="C13332" s="1" t="str">
        <f>HYPERLINK("http://www.genecards.org/cgi-bin/carddisp.pl?gene=CTNNAL1","GeneCards")</f>
        <v>GeneCards</v>
      </c>
      <c r="D13332" s="1" t="str">
        <f>HYPERLINK("http://genome-euro.ucsc.edu/cgi-bin/hgTracks?position=202468_s_at","UCSC")</f>
        <v>UCSC</v>
      </c>
      <c r="E13332" s="1" t="str">
        <f>HYPERLINK("http://www.ncbi.nlm.nih.gov/gene/?term=CTNNAL1","NCBI")</f>
        <v>NCBI</v>
      </c>
      <c r="F13332">
        <v>0.44</v>
      </c>
      <c r="G13332">
        <v>0.56999999999999995</v>
      </c>
      <c r="H13332" s="1" t="str">
        <f>HYPERLINK("http://www.weizmann.ac.il/complex/compphys/software/geview/data/figures/202468_s_at.png","Figure")</f>
        <v>Figure</v>
      </c>
      <c r="I13332">
        <v>1.23</v>
      </c>
      <c r="J13332">
        <v>0.44</v>
      </c>
      <c r="K13332">
        <v>1.1499999999999999</v>
      </c>
      <c r="L13332">
        <v>0.61</v>
      </c>
      <c r="M13332">
        <v>0.93500000000000005</v>
      </c>
      <c r="N13332">
        <v>0.9</v>
      </c>
    </row>
    <row r="13333" spans="1:14" x14ac:dyDescent="0.25">
      <c r="A13333" t="s">
        <v>22781</v>
      </c>
      <c r="B13333" t="s">
        <v>22067</v>
      </c>
      <c r="C13333" s="1" t="str">
        <f>HYPERLINK("http://www.genecards.org/cgi-bin/carddisp.pl?gene=LRRN3","GeneCards")</f>
        <v>GeneCards</v>
      </c>
      <c r="D13333" s="1" t="str">
        <f>HYPERLINK("http://genome-euro.ucsc.edu/cgi-bin/hgTracks?position=209841_s_at","UCSC")</f>
        <v>UCSC</v>
      </c>
      <c r="E13333" s="1" t="str">
        <f>HYPERLINK("http://www.ncbi.nlm.nih.gov/gene/?term=LRRN3","NCBI")</f>
        <v>NCBI</v>
      </c>
      <c r="F13333">
        <v>0.44</v>
      </c>
      <c r="G13333">
        <v>0.56999999999999995</v>
      </c>
      <c r="H13333" s="1" t="str">
        <f>HYPERLINK("http://www.weizmann.ac.il/complex/compphys/software/geview/data/figures/209841_s_at.png","Figure")</f>
        <v>Figure</v>
      </c>
      <c r="I13333">
        <v>1.05</v>
      </c>
      <c r="J13333">
        <v>0.56999999999999995</v>
      </c>
      <c r="K13333">
        <v>0.99299999999999999</v>
      </c>
      <c r="L13333">
        <v>0.98</v>
      </c>
      <c r="M13333">
        <v>0.94499999999999995</v>
      </c>
      <c r="N13333">
        <v>0.44</v>
      </c>
    </row>
    <row r="13334" spans="1:14" x14ac:dyDescent="0.25">
      <c r="A13334" t="s">
        <v>22782</v>
      </c>
      <c r="B13334" t="s">
        <v>21761</v>
      </c>
      <c r="C13334" s="1" t="str">
        <f>HYPERLINK("http://www.genecards.org/cgi-bin/carddisp.pl?gene=KIR2DL4","GeneCards")</f>
        <v>GeneCards</v>
      </c>
      <c r="D13334" s="1" t="str">
        <f>HYPERLINK("http://genome-euro.ucsc.edu/cgi-bin/hgTracks?position=211245_x_at","UCSC")</f>
        <v>UCSC</v>
      </c>
      <c r="E13334" s="1" t="str">
        <f>HYPERLINK("http://www.ncbi.nlm.nih.gov/gene/?term=KIR2DL4","NCBI")</f>
        <v>NCBI</v>
      </c>
      <c r="F13334">
        <v>0.44</v>
      </c>
      <c r="G13334">
        <v>0.56999999999999995</v>
      </c>
      <c r="H13334" s="1" t="str">
        <f>HYPERLINK("http://www.weizmann.ac.il/complex/compphys/software/geview/data/figures/211245_x_at.png","Figure")</f>
        <v>Figure</v>
      </c>
      <c r="I13334">
        <v>1.08</v>
      </c>
      <c r="J13334">
        <v>0.73</v>
      </c>
      <c r="K13334">
        <v>0.95599999999999996</v>
      </c>
      <c r="L13334">
        <v>0.86</v>
      </c>
      <c r="M13334">
        <v>0.88500000000000001</v>
      </c>
      <c r="N13334">
        <v>0.41</v>
      </c>
    </row>
    <row r="13335" spans="1:14" x14ac:dyDescent="0.25">
      <c r="A13335" t="s">
        <v>22783</v>
      </c>
      <c r="B13335" t="s">
        <v>11254</v>
      </c>
      <c r="C13335" s="1" t="str">
        <f>HYPERLINK("http://www.genecards.org/cgi-bin/carddisp.pl?gene=PCM1","GeneCards")</f>
        <v>GeneCards</v>
      </c>
      <c r="D13335" s="1" t="str">
        <f>HYPERLINK("http://genome-euro.ucsc.edu/cgi-bin/hgTracks?position=214937_x_at","UCSC")</f>
        <v>UCSC</v>
      </c>
      <c r="E13335" s="1" t="str">
        <f>HYPERLINK("http://www.ncbi.nlm.nih.gov/gene/?term=PCM1","NCBI")</f>
        <v>NCBI</v>
      </c>
      <c r="F13335">
        <v>0.44</v>
      </c>
      <c r="G13335">
        <v>0.56999999999999995</v>
      </c>
      <c r="H13335" s="1" t="str">
        <f>HYPERLINK("http://www.weizmann.ac.il/complex/compphys/software/geview/data/figures/214937_x_at.png","Figure")</f>
        <v>Figure</v>
      </c>
      <c r="I13335">
        <v>1.1200000000000001</v>
      </c>
      <c r="J13335">
        <v>0.85</v>
      </c>
      <c r="K13335">
        <v>0.873</v>
      </c>
      <c r="L13335">
        <v>0.74</v>
      </c>
      <c r="M13335">
        <v>0.78</v>
      </c>
      <c r="N13335">
        <v>0.43</v>
      </c>
    </row>
    <row r="13336" spans="1:14" x14ac:dyDescent="0.25">
      <c r="A13336" t="s">
        <v>22784</v>
      </c>
      <c r="B13336" t="s">
        <v>22785</v>
      </c>
      <c r="C13336" s="1" t="str">
        <f>HYPERLINK("http://www.genecards.org/cgi-bin/carddisp.pl?gene=GPR75","GeneCards")</f>
        <v>GeneCards</v>
      </c>
      <c r="D13336" s="1" t="str">
        <f>HYPERLINK("http://genome-euro.ucsc.edu/cgi-bin/hgTracks?position=220481_at","UCSC")</f>
        <v>UCSC</v>
      </c>
      <c r="E13336" s="1" t="str">
        <f>HYPERLINK("http://www.ncbi.nlm.nih.gov/gene/?term=GPR75","NCBI")</f>
        <v>NCBI</v>
      </c>
      <c r="F13336">
        <v>0.44</v>
      </c>
      <c r="G13336">
        <v>0.56999999999999995</v>
      </c>
      <c r="H13336" s="1" t="str">
        <f>HYPERLINK("http://www.weizmann.ac.il/complex/compphys/software/geview/data/figures/220481_at.png","Figure")</f>
        <v>Figure</v>
      </c>
      <c r="I13336">
        <v>1.08</v>
      </c>
      <c r="J13336">
        <v>0.41</v>
      </c>
      <c r="K13336">
        <v>1.03</v>
      </c>
      <c r="L13336">
        <v>0.82</v>
      </c>
      <c r="M13336">
        <v>0.95599999999999996</v>
      </c>
      <c r="N13336">
        <v>0.68</v>
      </c>
    </row>
    <row r="13337" spans="1:14" x14ac:dyDescent="0.25">
      <c r="A13337" t="s">
        <v>22786</v>
      </c>
      <c r="B13337" t="s">
        <v>12971</v>
      </c>
      <c r="C13337" s="1" t="str">
        <f>HYPERLINK("http://www.genecards.org/cgi-bin/carddisp.pl?gene=PPP2R1B","GeneCards")</f>
        <v>GeneCards</v>
      </c>
      <c r="D13337" s="1" t="str">
        <f>HYPERLINK("http://genome-euro.ucsc.edu/cgi-bin/hgTracks?position=222351_at","UCSC")</f>
        <v>UCSC</v>
      </c>
      <c r="E13337" s="1" t="str">
        <f>HYPERLINK("http://www.ncbi.nlm.nih.gov/gene/?term=PPP2R1B","NCBI")</f>
        <v>NCBI</v>
      </c>
      <c r="F13337">
        <v>0.44</v>
      </c>
      <c r="G13337">
        <v>0.56999999999999995</v>
      </c>
      <c r="H13337" s="1" t="str">
        <f>HYPERLINK("http://www.weizmann.ac.il/complex/compphys/software/geview/data/figures/222351_at.png","Figure")</f>
        <v>Figure</v>
      </c>
      <c r="I13337">
        <v>1.0900000000000001</v>
      </c>
      <c r="J13337">
        <v>0.42</v>
      </c>
      <c r="K13337">
        <v>1.03</v>
      </c>
      <c r="L13337">
        <v>0.86</v>
      </c>
      <c r="M13337">
        <v>0.94799999999999995</v>
      </c>
      <c r="N13337">
        <v>0.65</v>
      </c>
    </row>
    <row r="13338" spans="1:14" x14ac:dyDescent="0.25">
      <c r="A13338" t="s">
        <v>22787</v>
      </c>
      <c r="B13338" t="s">
        <v>16013</v>
      </c>
      <c r="C13338" s="1" t="str">
        <f>HYPERLINK("http://www.genecards.org/cgi-bin/carddisp.pl?gene=GNS","GeneCards")</f>
        <v>GeneCards</v>
      </c>
      <c r="D13338" s="1" t="str">
        <f>HYPERLINK("http://genome-euro.ucsc.edu/cgi-bin/hgTracks?position=203676_at","UCSC")</f>
        <v>UCSC</v>
      </c>
      <c r="E13338" s="1" t="str">
        <f>HYPERLINK("http://www.ncbi.nlm.nih.gov/gene/?term=GNS","NCBI")</f>
        <v>NCBI</v>
      </c>
      <c r="F13338">
        <v>0.44</v>
      </c>
      <c r="G13338">
        <v>0.56999999999999995</v>
      </c>
      <c r="H13338" s="1" t="str">
        <f>HYPERLINK("http://www.weizmann.ac.il/complex/compphys/software/geview/data/figures/203676_at.png","Figure")</f>
        <v>Figure</v>
      </c>
      <c r="I13338">
        <v>1.0900000000000001</v>
      </c>
      <c r="J13338">
        <v>0.47</v>
      </c>
      <c r="K13338">
        <v>1.01</v>
      </c>
      <c r="L13338">
        <v>0.99</v>
      </c>
      <c r="M13338">
        <v>0.93</v>
      </c>
      <c r="N13338">
        <v>0.51</v>
      </c>
    </row>
    <row r="13339" spans="1:14" x14ac:dyDescent="0.25">
      <c r="A13339" t="s">
        <v>22788</v>
      </c>
      <c r="B13339" t="s">
        <v>22382</v>
      </c>
      <c r="C13339" s="1" t="str">
        <f>HYPERLINK("http://www.genecards.org/cgi-bin/carddisp.pl?gene=SLC34A1","GeneCards")</f>
        <v>GeneCards</v>
      </c>
      <c r="D13339" s="1" t="str">
        <f>HYPERLINK("http://genome-euro.ucsc.edu/cgi-bin/hgTracks?position=217530_at","UCSC")</f>
        <v>UCSC</v>
      </c>
      <c r="E13339" s="1" t="str">
        <f>HYPERLINK("http://www.ncbi.nlm.nih.gov/gene/?term=SLC34A1","NCBI")</f>
        <v>NCBI</v>
      </c>
      <c r="F13339">
        <v>0.44</v>
      </c>
      <c r="G13339">
        <v>0.56999999999999995</v>
      </c>
      <c r="H13339" s="1" t="str">
        <f>HYPERLINK("http://www.weizmann.ac.il/complex/compphys/software/geview/data/figures/217530_at.png","Figure")</f>
        <v>Figure</v>
      </c>
      <c r="I13339">
        <v>1.06</v>
      </c>
      <c r="J13339">
        <v>0.49</v>
      </c>
      <c r="K13339">
        <v>1</v>
      </c>
      <c r="L13339">
        <v>1</v>
      </c>
      <c r="M13339">
        <v>0.94399999999999995</v>
      </c>
      <c r="N13339">
        <v>0.49</v>
      </c>
    </row>
    <row r="13340" spans="1:14" x14ac:dyDescent="0.25">
      <c r="A13340" t="s">
        <v>22789</v>
      </c>
      <c r="B13340" t="s">
        <v>22790</v>
      </c>
      <c r="C13340" s="1" t="str">
        <f>HYPERLINK("http://www.genecards.org/cgi-bin/carddisp.pl?gene=IL23A","GeneCards")</f>
        <v>GeneCards</v>
      </c>
      <c r="D13340" s="1" t="str">
        <f>HYPERLINK("http://genome-euro.ucsc.edu/cgi-bin/hgTracks?position=220054_at","UCSC")</f>
        <v>UCSC</v>
      </c>
      <c r="E13340" s="1" t="str">
        <f>HYPERLINK("http://www.ncbi.nlm.nih.gov/gene/?term=IL23A","NCBI")</f>
        <v>NCBI</v>
      </c>
      <c r="F13340">
        <v>0.44</v>
      </c>
      <c r="G13340">
        <v>0.56999999999999995</v>
      </c>
      <c r="H13340" s="1" t="str">
        <f>HYPERLINK("http://www.weizmann.ac.il/complex/compphys/software/geview/data/figures/220054_at.png","Figure")</f>
        <v>Figure</v>
      </c>
      <c r="I13340">
        <v>0.98099999999999998</v>
      </c>
      <c r="J13340">
        <v>0.96</v>
      </c>
      <c r="K13340">
        <v>0.93</v>
      </c>
      <c r="L13340">
        <v>0.45</v>
      </c>
      <c r="M13340">
        <v>0.94799999999999995</v>
      </c>
      <c r="N13340">
        <v>0.67</v>
      </c>
    </row>
    <row r="13341" spans="1:14" x14ac:dyDescent="0.25">
      <c r="A13341" t="s">
        <v>22791</v>
      </c>
      <c r="B13341" t="s">
        <v>5619</v>
      </c>
      <c r="C13341" s="1" t="str">
        <f>HYPERLINK("http://www.genecards.org/cgi-bin/carddisp.pl?gene=RAD21","GeneCards")</f>
        <v>GeneCards</v>
      </c>
      <c r="D13341" s="1" t="str">
        <f>HYPERLINK("http://genome-euro.ucsc.edu/cgi-bin/hgTracks?position=200607_s_at","UCSC")</f>
        <v>UCSC</v>
      </c>
      <c r="E13341" s="1" t="str">
        <f>HYPERLINK("http://www.ncbi.nlm.nih.gov/gene/?term=RAD21","NCBI")</f>
        <v>NCBI</v>
      </c>
      <c r="F13341">
        <v>0.44</v>
      </c>
      <c r="G13341">
        <v>0.56999999999999995</v>
      </c>
      <c r="H13341" s="1" t="str">
        <f>HYPERLINK("http://www.weizmann.ac.il/complex/compphys/software/geview/data/figures/200607_s_at.png","Figure")</f>
        <v>Figure</v>
      </c>
      <c r="I13341">
        <v>1.2</v>
      </c>
      <c r="J13341">
        <v>0.48</v>
      </c>
      <c r="K13341">
        <v>1.02</v>
      </c>
      <c r="L13341">
        <v>0.99</v>
      </c>
      <c r="M13341">
        <v>0.85</v>
      </c>
      <c r="N13341">
        <v>0.5</v>
      </c>
    </row>
    <row r="13342" spans="1:14" x14ac:dyDescent="0.25">
      <c r="A13342" t="s">
        <v>22792</v>
      </c>
      <c r="B13342" t="s">
        <v>22793</v>
      </c>
      <c r="C13342" s="1" t="str">
        <f>HYPERLINK("http://www.genecards.org/cgi-bin/carddisp.pl?gene=SLC22A18","GeneCards")</f>
        <v>GeneCards</v>
      </c>
      <c r="D13342" s="1" t="str">
        <f>HYPERLINK("http://genome-euro.ucsc.edu/cgi-bin/hgTracks?position=204981_at","UCSC")</f>
        <v>UCSC</v>
      </c>
      <c r="E13342" s="1" t="str">
        <f>HYPERLINK("http://www.ncbi.nlm.nih.gov/gene/?term=SLC22A18","NCBI")</f>
        <v>NCBI</v>
      </c>
      <c r="F13342">
        <v>0.45</v>
      </c>
      <c r="G13342">
        <v>0.56999999999999995</v>
      </c>
      <c r="H13342" s="1" t="str">
        <f>HYPERLINK("http://www.weizmann.ac.il/complex/compphys/software/geview/data/figures/204981_at.png","Figure")</f>
        <v>Figure</v>
      </c>
      <c r="I13342">
        <v>1</v>
      </c>
      <c r="J13342">
        <v>1</v>
      </c>
      <c r="K13342">
        <v>0.91600000000000004</v>
      </c>
      <c r="L13342">
        <v>0.52</v>
      </c>
      <c r="M13342">
        <v>0.91200000000000003</v>
      </c>
      <c r="N13342">
        <v>0.54</v>
      </c>
    </row>
    <row r="13343" spans="1:14" x14ac:dyDescent="0.25">
      <c r="A13343" t="s">
        <v>22794</v>
      </c>
      <c r="B13343" t="s">
        <v>5294</v>
      </c>
      <c r="C13343" s="1" t="str">
        <f>HYPERLINK("http://www.genecards.org/cgi-bin/carddisp.pl?gene=ATP2A2","GeneCards")</f>
        <v>GeneCards</v>
      </c>
      <c r="D13343" s="1" t="str">
        <f>HYPERLINK("http://genome-euro.ucsc.edu/cgi-bin/hgTracks?position=209186_at","UCSC")</f>
        <v>UCSC</v>
      </c>
      <c r="E13343" s="1" t="str">
        <f>HYPERLINK("http://www.ncbi.nlm.nih.gov/gene/?term=ATP2A2","NCBI")</f>
        <v>NCBI</v>
      </c>
      <c r="F13343">
        <v>0.45</v>
      </c>
      <c r="G13343">
        <v>0.56999999999999995</v>
      </c>
      <c r="H13343" s="1" t="str">
        <f>HYPERLINK("http://www.weizmann.ac.il/complex/compphys/software/geview/data/figures/209186_at.png","Figure")</f>
        <v>Figure</v>
      </c>
      <c r="I13343">
        <v>0.72499999999999998</v>
      </c>
      <c r="J13343">
        <v>0.46</v>
      </c>
      <c r="K13343">
        <v>0.79</v>
      </c>
      <c r="L13343">
        <v>0.56999999999999995</v>
      </c>
      <c r="M13343">
        <v>1.0900000000000001</v>
      </c>
      <c r="N13343">
        <v>0.94</v>
      </c>
    </row>
    <row r="13344" spans="1:14" x14ac:dyDescent="0.25">
      <c r="A13344" t="s">
        <v>22795</v>
      </c>
      <c r="B13344" t="s">
        <v>22796</v>
      </c>
      <c r="C13344" s="1" t="str">
        <f>HYPERLINK("http://www.genecards.org/cgi-bin/carddisp.pl?gene=CRISPLD2","GeneCards")</f>
        <v>GeneCards</v>
      </c>
      <c r="D13344" s="1" t="str">
        <f>HYPERLINK("http://genome-euro.ucsc.edu/cgi-bin/hgTracks?position=221541_at","UCSC")</f>
        <v>UCSC</v>
      </c>
      <c r="E13344" s="1" t="str">
        <f>HYPERLINK("http://www.ncbi.nlm.nih.gov/gene/?term=CRISPLD2","NCBI")</f>
        <v>NCBI</v>
      </c>
      <c r="F13344">
        <v>0.45</v>
      </c>
      <c r="G13344">
        <v>0.56999999999999995</v>
      </c>
      <c r="H13344" s="1" t="str">
        <f>HYPERLINK("http://www.weizmann.ac.il/complex/compphys/software/geview/data/figures/221541_at.png","Figure")</f>
        <v>Figure</v>
      </c>
      <c r="I13344">
        <v>1.08</v>
      </c>
      <c r="J13344">
        <v>0.45</v>
      </c>
      <c r="K13344">
        <v>1.01</v>
      </c>
      <c r="L13344">
        <v>0.97</v>
      </c>
      <c r="M13344">
        <v>0.93500000000000005</v>
      </c>
      <c r="N13344">
        <v>0.54</v>
      </c>
    </row>
    <row r="13345" spans="1:14" x14ac:dyDescent="0.25">
      <c r="A13345" t="s">
        <v>22797</v>
      </c>
      <c r="B13345" t="s">
        <v>22798</v>
      </c>
      <c r="C13345" s="1" t="str">
        <f>HYPERLINK("http://www.genecards.org/cgi-bin/carddisp.pl?gene=EIF2C1","GeneCards")</f>
        <v>GeneCards</v>
      </c>
      <c r="D13345" s="1" t="str">
        <f>HYPERLINK("http://genome-euro.ucsc.edu/cgi-bin/hgTracks?position=218287_s_at","UCSC")</f>
        <v>UCSC</v>
      </c>
      <c r="E13345" s="1" t="str">
        <f>HYPERLINK("http://www.ncbi.nlm.nih.gov/gene/?term=EIF2C1","NCBI")</f>
        <v>NCBI</v>
      </c>
      <c r="F13345">
        <v>0.45</v>
      </c>
      <c r="G13345">
        <v>0.56999999999999995</v>
      </c>
      <c r="H13345" s="1" t="str">
        <f>HYPERLINK("http://www.weizmann.ac.il/complex/compphys/software/geview/data/figures/218287_s_at.png","Figure")</f>
        <v>Figure</v>
      </c>
      <c r="I13345">
        <v>0.92200000000000004</v>
      </c>
      <c r="J13345">
        <v>0.89</v>
      </c>
      <c r="K13345">
        <v>1.1299999999999999</v>
      </c>
      <c r="L13345">
        <v>0.7</v>
      </c>
      <c r="M13345">
        <v>1.23</v>
      </c>
      <c r="N13345">
        <v>0.44</v>
      </c>
    </row>
    <row r="13346" spans="1:14" x14ac:dyDescent="0.25">
      <c r="A13346" t="s">
        <v>22799</v>
      </c>
      <c r="B13346" t="s">
        <v>22800</v>
      </c>
      <c r="C13346" s="1" t="str">
        <f>HYPERLINK("http://www.genecards.org/cgi-bin/carddisp.pl?gene=FAM192A","GeneCards")</f>
        <v>GeneCards</v>
      </c>
      <c r="D13346" s="1" t="str">
        <f>HYPERLINK("http://genome-euro.ucsc.edu/cgi-bin/hgTracks?position=217896_s_at","UCSC")</f>
        <v>UCSC</v>
      </c>
      <c r="E13346" s="1" t="str">
        <f>HYPERLINK("http://www.ncbi.nlm.nih.gov/gene/?term=FAM192A","NCBI")</f>
        <v>NCBI</v>
      </c>
      <c r="F13346">
        <v>0.45</v>
      </c>
      <c r="G13346">
        <v>0.56999999999999995</v>
      </c>
      <c r="H13346" s="1" t="str">
        <f>HYPERLINK("http://www.weizmann.ac.il/complex/compphys/software/geview/data/figures/217896_s_at.png","Figure")</f>
        <v>Figure</v>
      </c>
      <c r="I13346">
        <v>0.86799999999999999</v>
      </c>
      <c r="J13346">
        <v>0.46</v>
      </c>
      <c r="K13346">
        <v>0.90100000000000002</v>
      </c>
      <c r="L13346">
        <v>0.56999999999999995</v>
      </c>
      <c r="M13346">
        <v>1.04</v>
      </c>
      <c r="N13346">
        <v>0.94</v>
      </c>
    </row>
    <row r="13347" spans="1:14" x14ac:dyDescent="0.25">
      <c r="A13347" t="s">
        <v>22801</v>
      </c>
      <c r="B13347" t="s">
        <v>22802</v>
      </c>
      <c r="C13347" s="1" t="str">
        <f>HYPERLINK("http://www.genecards.org/cgi-bin/carddisp.pl?gene=C10orf88","GeneCards")</f>
        <v>GeneCards</v>
      </c>
      <c r="D13347" s="1" t="str">
        <f>HYPERLINK("http://genome-euro.ucsc.edu/cgi-bin/hgTracks?position=219240_s_at","UCSC")</f>
        <v>UCSC</v>
      </c>
      <c r="E13347" s="1" t="str">
        <f>HYPERLINK("http://www.ncbi.nlm.nih.gov/gene/?term=C10orf88","NCBI")</f>
        <v>NCBI</v>
      </c>
      <c r="F13347">
        <v>0.45</v>
      </c>
      <c r="G13347">
        <v>0.56999999999999995</v>
      </c>
      <c r="H13347" s="1" t="str">
        <f>HYPERLINK("http://www.weizmann.ac.il/complex/compphys/software/geview/data/figures/219240_s_at.png","Figure")</f>
        <v>Figure</v>
      </c>
      <c r="I13347">
        <v>0.99399999999999999</v>
      </c>
      <c r="J13347">
        <v>0.95</v>
      </c>
      <c r="K13347">
        <v>1.02</v>
      </c>
      <c r="L13347">
        <v>0.62</v>
      </c>
      <c r="M13347">
        <v>1.02</v>
      </c>
      <c r="N13347">
        <v>0.47</v>
      </c>
    </row>
    <row r="13348" spans="1:14" x14ac:dyDescent="0.25">
      <c r="A13348" t="s">
        <v>22803</v>
      </c>
      <c r="B13348" t="s">
        <v>17889</v>
      </c>
      <c r="C13348" s="1" t="str">
        <f>HYPERLINK("http://www.genecards.org/cgi-bin/carddisp.pl?gene=CCDC40","GeneCards")</f>
        <v>GeneCards</v>
      </c>
      <c r="D13348" s="1" t="str">
        <f>HYPERLINK("http://genome-euro.ucsc.edu/cgi-bin/hgTracks?position=220593_s_at","UCSC")</f>
        <v>UCSC</v>
      </c>
      <c r="E13348" s="1" t="str">
        <f>HYPERLINK("http://www.ncbi.nlm.nih.gov/gene/?term=CCDC40","NCBI")</f>
        <v>NCBI</v>
      </c>
      <c r="F13348">
        <v>0.45</v>
      </c>
      <c r="G13348">
        <v>0.56999999999999995</v>
      </c>
      <c r="H13348" s="1" t="str">
        <f>HYPERLINK("http://www.weizmann.ac.il/complex/compphys/software/geview/data/figures/220593_s_at.png","Figure")</f>
        <v>Figure</v>
      </c>
      <c r="I13348">
        <v>0.997</v>
      </c>
      <c r="J13348">
        <v>1</v>
      </c>
      <c r="K13348">
        <v>0.95299999999999996</v>
      </c>
      <c r="L13348">
        <v>0.5</v>
      </c>
      <c r="M13348">
        <v>0.95599999999999996</v>
      </c>
      <c r="N13348">
        <v>0.57999999999999996</v>
      </c>
    </row>
    <row r="13349" spans="1:14" x14ac:dyDescent="0.25">
      <c r="A13349" t="s">
        <v>22804</v>
      </c>
      <c r="B13349" t="s">
        <v>22805</v>
      </c>
      <c r="C13349" s="1" t="str">
        <f>HYPERLINK("http://www.genecards.org/cgi-bin/carddisp.pl?gene=NLRP1","GeneCards")</f>
        <v>GeneCards</v>
      </c>
      <c r="D13349" s="1" t="str">
        <f>HYPERLINK("http://genome-euro.ucsc.edu/cgi-bin/hgTracks?position=210113_s_at","UCSC")</f>
        <v>UCSC</v>
      </c>
      <c r="E13349" s="1" t="str">
        <f>HYPERLINK("http://www.ncbi.nlm.nih.gov/gene/?term=NLRP1","NCBI")</f>
        <v>NCBI</v>
      </c>
      <c r="F13349">
        <v>0.45</v>
      </c>
      <c r="G13349">
        <v>0.56999999999999995</v>
      </c>
      <c r="H13349" s="1" t="str">
        <f>HYPERLINK("http://www.weizmann.ac.il/complex/compphys/software/geview/data/figures/210113_s_at.png","Figure")</f>
        <v>Figure</v>
      </c>
      <c r="I13349">
        <v>0.81699999999999995</v>
      </c>
      <c r="J13349">
        <v>0.66</v>
      </c>
      <c r="K13349">
        <v>0.77200000000000002</v>
      </c>
      <c r="L13349">
        <v>0.43</v>
      </c>
      <c r="M13349">
        <v>0.94499999999999995</v>
      </c>
      <c r="N13349">
        <v>0.96</v>
      </c>
    </row>
    <row r="13350" spans="1:14" x14ac:dyDescent="0.25">
      <c r="A13350" t="s">
        <v>22806</v>
      </c>
      <c r="B13350" t="s">
        <v>22807</v>
      </c>
      <c r="C13350" s="1" t="str">
        <f>HYPERLINK("http://www.genecards.org/cgi-bin/carddisp.pl?gene=FAU","GeneCards")</f>
        <v>GeneCards</v>
      </c>
      <c r="D13350" s="1" t="str">
        <f>HYPERLINK("http://genome-euro.ucsc.edu/cgi-bin/hgTracks?position=200019_s_at","UCSC")</f>
        <v>UCSC</v>
      </c>
      <c r="E13350" s="1" t="str">
        <f>HYPERLINK("http://www.ncbi.nlm.nih.gov/gene/?term=FAU","NCBI")</f>
        <v>NCBI</v>
      </c>
      <c r="F13350">
        <v>0.45</v>
      </c>
      <c r="G13350">
        <v>0.56999999999999995</v>
      </c>
      <c r="H13350" s="1" t="str">
        <f>HYPERLINK("http://www.weizmann.ac.il/complex/compphys/software/geview/data/figures/200019_s_at.png","Figure")</f>
        <v>Figure</v>
      </c>
      <c r="I13350">
        <v>1.27</v>
      </c>
      <c r="J13350">
        <v>0.48</v>
      </c>
      <c r="K13350">
        <v>1.21</v>
      </c>
      <c r="L13350">
        <v>0.54</v>
      </c>
      <c r="M13350">
        <v>0.95399999999999996</v>
      </c>
      <c r="N13350">
        <v>0.97</v>
      </c>
    </row>
    <row r="13351" spans="1:14" x14ac:dyDescent="0.25">
      <c r="A13351" t="s">
        <v>22808</v>
      </c>
      <c r="B13351" t="s">
        <v>17480</v>
      </c>
      <c r="C13351" s="1" t="str">
        <f>HYPERLINK("http://www.genecards.org/cgi-bin/carddisp.pl?gene=PVRL1","GeneCards")</f>
        <v>GeneCards</v>
      </c>
      <c r="D13351" s="1" t="str">
        <f>HYPERLINK("http://genome-euro.ucsc.edu/cgi-bin/hgTracks?position=211845_at","UCSC")</f>
        <v>UCSC</v>
      </c>
      <c r="E13351" s="1" t="str">
        <f>HYPERLINK("http://www.ncbi.nlm.nih.gov/gene/?term=PVRL1","NCBI")</f>
        <v>NCBI</v>
      </c>
      <c r="F13351">
        <v>0.45</v>
      </c>
      <c r="G13351">
        <v>0.56999999999999995</v>
      </c>
      <c r="H13351" s="1" t="str">
        <f>HYPERLINK("http://www.weizmann.ac.il/complex/compphys/software/geview/data/figures/211845_at.png","Figure")</f>
        <v>Figure</v>
      </c>
      <c r="I13351">
        <v>1.02</v>
      </c>
      <c r="J13351">
        <v>0.93</v>
      </c>
      <c r="K13351">
        <v>1.06</v>
      </c>
      <c r="L13351">
        <v>0.44</v>
      </c>
      <c r="M13351">
        <v>1.04</v>
      </c>
      <c r="N13351">
        <v>0.71</v>
      </c>
    </row>
    <row r="13352" spans="1:14" x14ac:dyDescent="0.25">
      <c r="A13352" t="s">
        <v>22809</v>
      </c>
      <c r="B13352" t="s">
        <v>22810</v>
      </c>
      <c r="C13352" s="1" t="str">
        <f>HYPERLINK("http://www.genecards.org/cgi-bin/carddisp.pl?gene=IQCA1","GeneCards")</f>
        <v>GeneCards</v>
      </c>
      <c r="D13352" s="1" t="str">
        <f>HYPERLINK("http://genome-euro.ucsc.edu/cgi-bin/hgTracks?position=220274_at","UCSC")</f>
        <v>UCSC</v>
      </c>
      <c r="E13352" s="1" t="str">
        <f>HYPERLINK("http://www.ncbi.nlm.nih.gov/gene/?term=IQCA1","NCBI")</f>
        <v>NCBI</v>
      </c>
      <c r="F13352">
        <v>0.45</v>
      </c>
      <c r="G13352">
        <v>0.56999999999999995</v>
      </c>
      <c r="H13352" s="1" t="str">
        <f>HYPERLINK("http://www.weizmann.ac.il/complex/compphys/software/geview/data/figures/220274_at.png","Figure")</f>
        <v>Figure</v>
      </c>
      <c r="I13352">
        <v>1.07</v>
      </c>
      <c r="J13352">
        <v>0.42</v>
      </c>
      <c r="K13352">
        <v>1.02</v>
      </c>
      <c r="L13352">
        <v>0.89</v>
      </c>
      <c r="M13352">
        <v>0.95299999999999996</v>
      </c>
      <c r="N13352">
        <v>0.62</v>
      </c>
    </row>
    <row r="13353" spans="1:14" x14ac:dyDescent="0.25">
      <c r="A13353" t="s">
        <v>22811</v>
      </c>
      <c r="B13353" t="s">
        <v>5681</v>
      </c>
      <c r="C13353" s="1" t="str">
        <f>HYPERLINK("http://www.genecards.org/cgi-bin/carddisp.pl?gene=RAB11A","GeneCards")</f>
        <v>GeneCards</v>
      </c>
      <c r="D13353" s="1" t="str">
        <f>HYPERLINK("http://genome-euro.ucsc.edu/cgi-bin/hgTracks?position=200863_s_at","UCSC")</f>
        <v>UCSC</v>
      </c>
      <c r="E13353" s="1" t="str">
        <f>HYPERLINK("http://www.ncbi.nlm.nih.gov/gene/?term=RAB11A","NCBI")</f>
        <v>NCBI</v>
      </c>
      <c r="F13353">
        <v>0.45</v>
      </c>
      <c r="G13353">
        <v>0.56999999999999995</v>
      </c>
      <c r="H13353" s="1" t="str">
        <f>HYPERLINK("http://www.weizmann.ac.il/complex/compphys/software/geview/data/figures/200863_s_at.png","Figure")</f>
        <v>Figure</v>
      </c>
      <c r="I13353">
        <v>1.2</v>
      </c>
      <c r="J13353">
        <v>0.56999999999999995</v>
      </c>
      <c r="K13353">
        <v>1.21</v>
      </c>
      <c r="L13353">
        <v>0.46</v>
      </c>
      <c r="M13353">
        <v>1.01</v>
      </c>
      <c r="N13353">
        <v>1</v>
      </c>
    </row>
    <row r="13354" spans="1:14" x14ac:dyDescent="0.25">
      <c r="A13354" t="s">
        <v>22812</v>
      </c>
      <c r="B13354" t="s">
        <v>7072</v>
      </c>
      <c r="C13354" s="1" t="str">
        <f>HYPERLINK("http://www.genecards.org/cgi-bin/carddisp.pl?gene=EXPH5","GeneCards")</f>
        <v>GeneCards</v>
      </c>
      <c r="D13354" s="1" t="str">
        <f>HYPERLINK("http://genome-euro.ucsc.edu/cgi-bin/hgTracks?position=214734_at","UCSC")</f>
        <v>UCSC</v>
      </c>
      <c r="E13354" s="1" t="str">
        <f>HYPERLINK("http://www.ncbi.nlm.nih.gov/gene/?term=EXPH5","NCBI")</f>
        <v>NCBI</v>
      </c>
      <c r="F13354">
        <v>0.45</v>
      </c>
      <c r="G13354">
        <v>0.56999999999999995</v>
      </c>
      <c r="H13354" s="1" t="str">
        <f>HYPERLINK("http://www.weizmann.ac.il/complex/compphys/software/geview/data/figures/214734_at.png","Figure")</f>
        <v>Figure</v>
      </c>
      <c r="I13354">
        <v>0.95399999999999996</v>
      </c>
      <c r="J13354">
        <v>0.86</v>
      </c>
      <c r="K13354">
        <v>0.90300000000000002</v>
      </c>
      <c r="L13354">
        <v>0.42</v>
      </c>
      <c r="M13354">
        <v>0.94599999999999995</v>
      </c>
      <c r="N13354">
        <v>0.79</v>
      </c>
    </row>
    <row r="13355" spans="1:14" x14ac:dyDescent="0.25">
      <c r="A13355" t="s">
        <v>22813</v>
      </c>
      <c r="B13355" t="s">
        <v>7962</v>
      </c>
      <c r="C13355" s="1" t="str">
        <f>HYPERLINK("http://www.genecards.org/cgi-bin/carddisp.pl?gene=EEF2","GeneCards")</f>
        <v>GeneCards</v>
      </c>
      <c r="D13355" s="1" t="str">
        <f>HYPERLINK("http://genome-euro.ucsc.edu/cgi-bin/hgTracks?position=200094_s_at","UCSC")</f>
        <v>UCSC</v>
      </c>
      <c r="E13355" s="1" t="str">
        <f>HYPERLINK("http://www.ncbi.nlm.nih.gov/gene/?term=EEF2","NCBI")</f>
        <v>NCBI</v>
      </c>
      <c r="F13355">
        <v>0.45</v>
      </c>
      <c r="G13355">
        <v>0.56999999999999995</v>
      </c>
      <c r="H13355" s="1" t="str">
        <f>HYPERLINK("http://www.weizmann.ac.il/complex/compphys/software/geview/data/figures/200094_s_at.png","Figure")</f>
        <v>Figure</v>
      </c>
      <c r="I13355">
        <v>0.84699999999999998</v>
      </c>
      <c r="J13355">
        <v>0.51</v>
      </c>
      <c r="K13355">
        <v>0.86399999999999999</v>
      </c>
      <c r="L13355">
        <v>0.51</v>
      </c>
      <c r="M13355">
        <v>1.02</v>
      </c>
      <c r="N13355">
        <v>0.99</v>
      </c>
    </row>
    <row r="13356" spans="1:14" x14ac:dyDescent="0.25">
      <c r="A13356" t="s">
        <v>22814</v>
      </c>
      <c r="B13356" t="s">
        <v>8225</v>
      </c>
      <c r="C13356" s="1" t="str">
        <f>HYPERLINK("http://www.genecards.org/cgi-bin/carddisp.pl?gene=TIAM1","GeneCards")</f>
        <v>GeneCards</v>
      </c>
      <c r="D13356" s="1" t="str">
        <f>HYPERLINK("http://genome-euro.ucsc.edu/cgi-bin/hgTracks?position=206409_at","UCSC")</f>
        <v>UCSC</v>
      </c>
      <c r="E13356" s="1" t="str">
        <f>HYPERLINK("http://www.ncbi.nlm.nih.gov/gene/?term=TIAM1","NCBI")</f>
        <v>NCBI</v>
      </c>
      <c r="F13356">
        <v>0.45</v>
      </c>
      <c r="G13356">
        <v>0.56999999999999995</v>
      </c>
      <c r="H13356" s="1" t="str">
        <f>HYPERLINK("http://www.weizmann.ac.il/complex/compphys/software/geview/data/figures/206409_at.png","Figure")</f>
        <v>Figure</v>
      </c>
      <c r="I13356">
        <v>1.07</v>
      </c>
      <c r="J13356">
        <v>0.68</v>
      </c>
      <c r="K13356">
        <v>1.0900000000000001</v>
      </c>
      <c r="L13356">
        <v>0.42</v>
      </c>
      <c r="M13356">
        <v>1.02</v>
      </c>
      <c r="N13356">
        <v>0.95</v>
      </c>
    </row>
    <row r="13357" spans="1:14" x14ac:dyDescent="0.25">
      <c r="A13357" t="s">
        <v>22815</v>
      </c>
      <c r="B13357" t="s">
        <v>22816</v>
      </c>
      <c r="C13357" s="1" t="str">
        <f>HYPERLINK("http://www.genecards.org/cgi-bin/carddisp.pl?gene=C16orf3","GeneCards")</f>
        <v>GeneCards</v>
      </c>
      <c r="D13357" s="1" t="str">
        <f>HYPERLINK("http://genome-euro.ucsc.edu/cgi-bin/hgTracks?position=207615_s_at","UCSC")</f>
        <v>UCSC</v>
      </c>
      <c r="E13357" s="1" t="str">
        <f>HYPERLINK("http://www.ncbi.nlm.nih.gov/gene/?term=C16orf3","NCBI")</f>
        <v>NCBI</v>
      </c>
      <c r="F13357">
        <v>0.45</v>
      </c>
      <c r="G13357">
        <v>0.56999999999999995</v>
      </c>
      <c r="H13357" s="1" t="str">
        <f>HYPERLINK("http://www.weizmann.ac.il/complex/compphys/software/geview/data/figures/207615_s_at.png","Figure")</f>
        <v>Figure</v>
      </c>
      <c r="I13357">
        <v>1.07</v>
      </c>
      <c r="J13357">
        <v>0.47</v>
      </c>
      <c r="K13357">
        <v>1.01</v>
      </c>
      <c r="L13357">
        <v>0.98</v>
      </c>
      <c r="M13357">
        <v>0.94</v>
      </c>
      <c r="N13357">
        <v>0.51</v>
      </c>
    </row>
    <row r="13358" spans="1:14" x14ac:dyDescent="0.25">
      <c r="A13358" t="s">
        <v>22817</v>
      </c>
      <c r="B13358" t="s">
        <v>11230</v>
      </c>
      <c r="C13358" s="1" t="str">
        <f>HYPERLINK("http://www.genecards.org/cgi-bin/carddisp.pl?gene=TRIM33","GeneCards")</f>
        <v>GeneCards</v>
      </c>
      <c r="D13358" s="1" t="str">
        <f>HYPERLINK("http://genome-euro.ucsc.edu/cgi-bin/hgTracks?position=214815_at","UCSC")</f>
        <v>UCSC</v>
      </c>
      <c r="E13358" s="1" t="str">
        <f>HYPERLINK("http://www.ncbi.nlm.nih.gov/gene/?term=TRIM33","NCBI")</f>
        <v>NCBI</v>
      </c>
      <c r="F13358">
        <v>0.45</v>
      </c>
      <c r="G13358">
        <v>0.56999999999999995</v>
      </c>
      <c r="H13358" s="1" t="str">
        <f>HYPERLINK("http://www.weizmann.ac.il/complex/compphys/software/geview/data/figures/214815_at.png","Figure")</f>
        <v>Figure</v>
      </c>
      <c r="I13358">
        <v>1.01</v>
      </c>
      <c r="J13358">
        <v>0.99</v>
      </c>
      <c r="K13358">
        <v>0.96499999999999997</v>
      </c>
      <c r="L13358">
        <v>0.56000000000000005</v>
      </c>
      <c r="M13358">
        <v>0.95899999999999996</v>
      </c>
      <c r="N13358">
        <v>0.51</v>
      </c>
    </row>
    <row r="13359" spans="1:14" x14ac:dyDescent="0.25">
      <c r="A13359" t="s">
        <v>22818</v>
      </c>
      <c r="B13359" t="s">
        <v>22819</v>
      </c>
      <c r="C13359" s="1" t="str">
        <f>HYPERLINK("http://www.genecards.org/cgi-bin/carddisp.pl?gene=CCNH","GeneCards")</f>
        <v>GeneCards</v>
      </c>
      <c r="D13359" s="1" t="str">
        <f>HYPERLINK("http://genome-euro.ucsc.edu/cgi-bin/hgTracks?position=204093_at","UCSC")</f>
        <v>UCSC</v>
      </c>
      <c r="E13359" s="1" t="str">
        <f>HYPERLINK("http://www.ncbi.nlm.nih.gov/gene/?term=CCNH","NCBI")</f>
        <v>NCBI</v>
      </c>
      <c r="F13359">
        <v>0.45</v>
      </c>
      <c r="G13359">
        <v>0.56999999999999995</v>
      </c>
      <c r="H13359" s="1" t="str">
        <f>HYPERLINK("http://www.weizmann.ac.il/complex/compphys/software/geview/data/figures/204093_at.png","Figure")</f>
        <v>Figure</v>
      </c>
      <c r="I13359">
        <v>0.80800000000000005</v>
      </c>
      <c r="J13359">
        <v>0.42</v>
      </c>
      <c r="K13359">
        <v>0.88700000000000001</v>
      </c>
      <c r="L13359">
        <v>0.69</v>
      </c>
      <c r="M13359">
        <v>1.1000000000000001</v>
      </c>
      <c r="N13359">
        <v>0.82</v>
      </c>
    </row>
    <row r="13360" spans="1:14" x14ac:dyDescent="0.25">
      <c r="A13360" t="s">
        <v>22820</v>
      </c>
      <c r="B13360" t="s">
        <v>22821</v>
      </c>
      <c r="C13360" s="1" t="str">
        <f>HYPERLINK("http://www.genecards.org/cgi-bin/carddisp.pl?gene=HPSE2","GeneCards")</f>
        <v>GeneCards</v>
      </c>
      <c r="D13360" s="1" t="str">
        <f>HYPERLINK("http://genome-euro.ucsc.edu/cgi-bin/hgTracks?position=220927_s_at","UCSC")</f>
        <v>UCSC</v>
      </c>
      <c r="E13360" s="1" t="str">
        <f>HYPERLINK("http://www.ncbi.nlm.nih.gov/gene/?term=HPSE2","NCBI")</f>
        <v>NCBI</v>
      </c>
      <c r="F13360">
        <v>0.45</v>
      </c>
      <c r="G13360">
        <v>0.56999999999999995</v>
      </c>
      <c r="H13360" s="1" t="str">
        <f>HYPERLINK("http://www.weizmann.ac.il/complex/compphys/software/geview/data/figures/220927_s_at.png","Figure")</f>
        <v>Figure</v>
      </c>
      <c r="I13360">
        <v>1.07</v>
      </c>
      <c r="J13360">
        <v>0.42</v>
      </c>
      <c r="K13360">
        <v>1.02</v>
      </c>
      <c r="L13360">
        <v>0.85</v>
      </c>
      <c r="M13360">
        <v>0.96099999999999997</v>
      </c>
      <c r="N13360">
        <v>0.66</v>
      </c>
    </row>
    <row r="13361" spans="1:14" x14ac:dyDescent="0.25">
      <c r="A13361" t="s">
        <v>22822</v>
      </c>
      <c r="B13361" t="s">
        <v>22823</v>
      </c>
      <c r="C13361" s="1" t="str">
        <f>HYPERLINK("http://www.genecards.org/cgi-bin/carddisp.pl?gene=CCKBR","GeneCards")</f>
        <v>GeneCards</v>
      </c>
      <c r="D13361" s="1" t="str">
        <f>HYPERLINK("http://genome-euro.ucsc.edu/cgi-bin/hgTracks?position=210381_s_at","UCSC")</f>
        <v>UCSC</v>
      </c>
      <c r="E13361" s="1" t="str">
        <f>HYPERLINK("http://www.ncbi.nlm.nih.gov/gene/?term=CCKBR","NCBI")</f>
        <v>NCBI</v>
      </c>
      <c r="F13361">
        <v>0.45</v>
      </c>
      <c r="G13361">
        <v>0.56999999999999995</v>
      </c>
      <c r="H13361" s="1" t="str">
        <f>HYPERLINK("http://www.weizmann.ac.il/complex/compphys/software/geview/data/figures/210381_s_at.png","Figure")</f>
        <v>Figure</v>
      </c>
      <c r="I13361">
        <v>1.1299999999999999</v>
      </c>
      <c r="J13361">
        <v>0.43</v>
      </c>
      <c r="K13361">
        <v>1.08</v>
      </c>
      <c r="L13361">
        <v>0.66</v>
      </c>
      <c r="M13361">
        <v>0.95199999999999996</v>
      </c>
      <c r="N13361">
        <v>0.85</v>
      </c>
    </row>
    <row r="13362" spans="1:14" x14ac:dyDescent="0.25">
      <c r="A13362" t="s">
        <v>22824</v>
      </c>
      <c r="B13362" t="s">
        <v>17922</v>
      </c>
      <c r="C13362" s="1" t="str">
        <f>HYPERLINK("http://www.genecards.org/cgi-bin/carddisp.pl?gene=CEP76","GeneCards")</f>
        <v>GeneCards</v>
      </c>
      <c r="D13362" s="1" t="str">
        <f>HYPERLINK("http://genome-euro.ucsc.edu/cgi-bin/hgTracks?position=219311_at","UCSC")</f>
        <v>UCSC</v>
      </c>
      <c r="E13362" s="1" t="str">
        <f>HYPERLINK("http://www.ncbi.nlm.nih.gov/gene/?term=CEP76","NCBI")</f>
        <v>NCBI</v>
      </c>
      <c r="F13362">
        <v>0.45</v>
      </c>
      <c r="G13362">
        <v>0.56999999999999995</v>
      </c>
      <c r="H13362" s="1" t="str">
        <f>HYPERLINK("http://www.weizmann.ac.il/complex/compphys/software/geview/data/figures/219311_at.png","Figure")</f>
        <v>Figure</v>
      </c>
      <c r="I13362">
        <v>0.98799999999999999</v>
      </c>
      <c r="J13362">
        <v>0.96</v>
      </c>
      <c r="K13362">
        <v>1.04</v>
      </c>
      <c r="L13362">
        <v>0.62</v>
      </c>
      <c r="M13362">
        <v>1.05</v>
      </c>
      <c r="N13362">
        <v>0.47</v>
      </c>
    </row>
    <row r="13363" spans="1:14" x14ac:dyDescent="0.25">
      <c r="A13363" t="s">
        <v>22825</v>
      </c>
      <c r="B13363" t="s">
        <v>22826</v>
      </c>
      <c r="C13363" s="1" t="str">
        <f>HYPERLINK("http://www.genecards.org/cgi-bin/carddisp.pl?gene=PARG","GeneCards")</f>
        <v>GeneCards</v>
      </c>
      <c r="D13363" s="1" t="str">
        <f>HYPERLINK("http://genome-euro.ucsc.edu/cgi-bin/hgTracks?position=205060_at","UCSC")</f>
        <v>UCSC</v>
      </c>
      <c r="E13363" s="1" t="str">
        <f>HYPERLINK("http://www.ncbi.nlm.nih.gov/gene/?term=PARG","NCBI")</f>
        <v>NCBI</v>
      </c>
      <c r="F13363">
        <v>0.45</v>
      </c>
      <c r="G13363">
        <v>0.56999999999999995</v>
      </c>
      <c r="H13363" s="1" t="str">
        <f>HYPERLINK("http://www.weizmann.ac.il/complex/compphys/software/geview/data/figures/205060_at.png","Figure")</f>
        <v>Figure</v>
      </c>
      <c r="I13363">
        <v>0.84599999999999997</v>
      </c>
      <c r="J13363">
        <v>0.43</v>
      </c>
      <c r="K13363">
        <v>0.94899999999999995</v>
      </c>
      <c r="L13363">
        <v>0.89</v>
      </c>
      <c r="M13363">
        <v>1.1200000000000001</v>
      </c>
      <c r="N13363">
        <v>0.62</v>
      </c>
    </row>
    <row r="13364" spans="1:14" x14ac:dyDescent="0.25">
      <c r="A13364" t="s">
        <v>22827</v>
      </c>
      <c r="B13364" t="s">
        <v>6901</v>
      </c>
      <c r="C13364" s="1" t="str">
        <f>HYPERLINK("http://www.genecards.org/cgi-bin/carddisp.pl?gene=ZNF576","GeneCards")</f>
        <v>GeneCards</v>
      </c>
      <c r="D13364" s="1" t="str">
        <f>HYPERLINK("http://genome-euro.ucsc.edu/cgi-bin/hgTracks?position=219088_s_at","UCSC")</f>
        <v>UCSC</v>
      </c>
      <c r="E13364" s="1" t="str">
        <f>HYPERLINK("http://www.ncbi.nlm.nih.gov/gene/?term=ZNF576","NCBI")</f>
        <v>NCBI</v>
      </c>
      <c r="F13364">
        <v>0.45</v>
      </c>
      <c r="G13364">
        <v>0.56999999999999995</v>
      </c>
      <c r="H13364" s="1" t="str">
        <f>HYPERLINK("http://www.weizmann.ac.il/complex/compphys/software/geview/data/figures/219088_s_at.png","Figure")</f>
        <v>Figure</v>
      </c>
      <c r="I13364">
        <v>1.05</v>
      </c>
      <c r="J13364">
        <v>0.48</v>
      </c>
      <c r="K13364">
        <v>1.04</v>
      </c>
      <c r="L13364">
        <v>0.54</v>
      </c>
      <c r="M13364">
        <v>0.99</v>
      </c>
      <c r="N13364">
        <v>0.96</v>
      </c>
    </row>
    <row r="13365" spans="1:14" x14ac:dyDescent="0.25">
      <c r="A13365" t="s">
        <v>22828</v>
      </c>
      <c r="B13365" t="s">
        <v>22829</v>
      </c>
      <c r="C13365" s="1" t="str">
        <f>HYPERLINK("http://www.genecards.org/cgi-bin/carddisp.pl?gene=GPR52","GeneCards")</f>
        <v>GeneCards</v>
      </c>
      <c r="D13365" s="1" t="str">
        <f>HYPERLINK("http://genome-euro.ucsc.edu/cgi-bin/hgTracks?position=221313_at","UCSC")</f>
        <v>UCSC</v>
      </c>
      <c r="E13365" s="1" t="str">
        <f>HYPERLINK("http://www.ncbi.nlm.nih.gov/gene/?term=GPR52","NCBI")</f>
        <v>NCBI</v>
      </c>
      <c r="F13365">
        <v>0.45</v>
      </c>
      <c r="G13365">
        <v>0.56999999999999995</v>
      </c>
      <c r="H13365" s="1" t="str">
        <f>HYPERLINK("http://www.weizmann.ac.il/complex/compphys/software/geview/data/figures/221313_at.png","Figure")</f>
        <v>Figure</v>
      </c>
      <c r="I13365">
        <v>0.95899999999999996</v>
      </c>
      <c r="J13365">
        <v>0.95</v>
      </c>
      <c r="K13365">
        <v>0.86199999999999999</v>
      </c>
      <c r="L13365">
        <v>0.45</v>
      </c>
      <c r="M13365">
        <v>0.89900000000000002</v>
      </c>
      <c r="N13365">
        <v>0.69</v>
      </c>
    </row>
    <row r="13366" spans="1:14" x14ac:dyDescent="0.25">
      <c r="A13366" t="s">
        <v>22830</v>
      </c>
      <c r="B13366" t="s">
        <v>22831</v>
      </c>
      <c r="C13366" s="1" t="str">
        <f>HYPERLINK("http://www.genecards.org/cgi-bin/carddisp.pl?gene=PLAC4","GeneCards")</f>
        <v>GeneCards</v>
      </c>
      <c r="D13366" s="1" t="str">
        <f>HYPERLINK("http://genome-euro.ucsc.edu/cgi-bin/hgTracks?position=214750_at","UCSC")</f>
        <v>UCSC</v>
      </c>
      <c r="E13366" s="1" t="str">
        <f>HYPERLINK("http://www.ncbi.nlm.nih.gov/gene/?term=PLAC4","NCBI")</f>
        <v>NCBI</v>
      </c>
      <c r="F13366">
        <v>0.45</v>
      </c>
      <c r="G13366">
        <v>0.56999999999999995</v>
      </c>
      <c r="H13366" s="1" t="str">
        <f>HYPERLINK("http://www.weizmann.ac.il/complex/compphys/software/geview/data/figures/214750_at.png","Figure")</f>
        <v>Figure</v>
      </c>
      <c r="I13366">
        <v>1.17</v>
      </c>
      <c r="J13366">
        <v>0.42</v>
      </c>
      <c r="K13366">
        <v>1.05</v>
      </c>
      <c r="L13366">
        <v>0.88</v>
      </c>
      <c r="M13366">
        <v>0.90200000000000002</v>
      </c>
      <c r="N13366">
        <v>0.63</v>
      </c>
    </row>
    <row r="13367" spans="1:14" x14ac:dyDescent="0.25">
      <c r="A13367" t="s">
        <v>22832</v>
      </c>
      <c r="B13367" t="s">
        <v>22833</v>
      </c>
      <c r="C13367" s="1" t="str">
        <f>HYPERLINK("http://www.genecards.org/cgi-bin/carddisp.pl?gene=OAS3","GeneCards")</f>
        <v>GeneCards</v>
      </c>
      <c r="D13367" s="1" t="str">
        <f>HYPERLINK("http://genome-euro.ucsc.edu/cgi-bin/hgTracks?position=218400_at","UCSC")</f>
        <v>UCSC</v>
      </c>
      <c r="E13367" s="1" t="str">
        <f>HYPERLINK("http://www.ncbi.nlm.nih.gov/gene/?term=OAS3","NCBI")</f>
        <v>NCBI</v>
      </c>
      <c r="F13367">
        <v>0.45</v>
      </c>
      <c r="G13367">
        <v>0.56999999999999995</v>
      </c>
      <c r="H13367" s="1" t="str">
        <f>HYPERLINK("http://www.weizmann.ac.il/complex/compphys/software/geview/data/figures/218400_at.png","Figure")</f>
        <v>Figure</v>
      </c>
      <c r="I13367">
        <v>0.96499999999999997</v>
      </c>
      <c r="J13367">
        <v>0.95</v>
      </c>
      <c r="K13367">
        <v>0.876</v>
      </c>
      <c r="L13367">
        <v>0.45</v>
      </c>
      <c r="M13367">
        <v>0.90800000000000003</v>
      </c>
      <c r="N13367">
        <v>0.68</v>
      </c>
    </row>
    <row r="13368" spans="1:14" x14ac:dyDescent="0.25">
      <c r="A13368" t="s">
        <v>22834</v>
      </c>
      <c r="B13368" t="s">
        <v>22835</v>
      </c>
      <c r="C13368" s="1" t="str">
        <f>HYPERLINK("http://www.genecards.org/cgi-bin/carddisp.pl?gene=POLR1B","GeneCards")</f>
        <v>GeneCards</v>
      </c>
      <c r="D13368" s="1" t="str">
        <f>HYPERLINK("http://genome-euro.ucsc.edu/cgi-bin/hgTracks?position=220113_x_at","UCSC")</f>
        <v>UCSC</v>
      </c>
      <c r="E13368" s="1" t="str">
        <f>HYPERLINK("http://www.ncbi.nlm.nih.gov/gene/?term=POLR1B","NCBI")</f>
        <v>NCBI</v>
      </c>
      <c r="F13368">
        <v>0.45</v>
      </c>
      <c r="G13368">
        <v>0.56999999999999995</v>
      </c>
      <c r="H13368" s="1" t="str">
        <f>HYPERLINK("http://www.weizmann.ac.il/complex/compphys/software/geview/data/figures/220113_x_at.png","Figure")</f>
        <v>Figure</v>
      </c>
      <c r="I13368">
        <v>1.21</v>
      </c>
      <c r="J13368">
        <v>0.59</v>
      </c>
      <c r="K13368">
        <v>0.96199999999999997</v>
      </c>
      <c r="L13368">
        <v>0.97</v>
      </c>
      <c r="M13368">
        <v>0.79300000000000004</v>
      </c>
      <c r="N13368">
        <v>0.43</v>
      </c>
    </row>
    <row r="13369" spans="1:14" x14ac:dyDescent="0.25">
      <c r="A13369" t="s">
        <v>22836</v>
      </c>
      <c r="B13369" t="s">
        <v>10682</v>
      </c>
      <c r="C13369" s="1" t="str">
        <f>HYPERLINK("http://www.genecards.org/cgi-bin/carddisp.pl?gene=PTBP1","GeneCards")</f>
        <v>GeneCards</v>
      </c>
      <c r="D13369" s="1" t="str">
        <f>HYPERLINK("http://genome-euro.ucsc.edu/cgi-bin/hgTracks?position=202189_x_at","UCSC")</f>
        <v>UCSC</v>
      </c>
      <c r="E13369" s="1" t="str">
        <f>HYPERLINK("http://www.ncbi.nlm.nih.gov/gene/?term=PTBP1","NCBI")</f>
        <v>NCBI</v>
      </c>
      <c r="F13369">
        <v>0.45</v>
      </c>
      <c r="G13369">
        <v>0.56999999999999995</v>
      </c>
      <c r="H13369" s="1" t="str">
        <f>HYPERLINK("http://www.weizmann.ac.il/complex/compphys/software/geview/data/figures/202189_x_at.png","Figure")</f>
        <v>Figure</v>
      </c>
      <c r="I13369">
        <v>0.81299999999999994</v>
      </c>
      <c r="J13369">
        <v>0.5</v>
      </c>
      <c r="K13369">
        <v>0.83799999999999997</v>
      </c>
      <c r="L13369">
        <v>0.52</v>
      </c>
      <c r="M13369">
        <v>1.03</v>
      </c>
      <c r="N13369">
        <v>0.98</v>
      </c>
    </row>
    <row r="13370" spans="1:14" x14ac:dyDescent="0.25">
      <c r="A13370" t="s">
        <v>22837</v>
      </c>
      <c r="B13370" t="s">
        <v>8800</v>
      </c>
      <c r="C13370" s="1" t="str">
        <f>HYPERLINK("http://www.genecards.org/cgi-bin/carddisp.pl?gene=AMACR","GeneCards")</f>
        <v>GeneCards</v>
      </c>
      <c r="D13370" s="1" t="str">
        <f>HYPERLINK("http://genome-euro.ucsc.edu/cgi-bin/hgTracks?position=209425_at","UCSC")</f>
        <v>UCSC</v>
      </c>
      <c r="E13370" s="1" t="str">
        <f>HYPERLINK("http://www.ncbi.nlm.nih.gov/gene/?term=AMACR","NCBI")</f>
        <v>NCBI</v>
      </c>
      <c r="F13370">
        <v>0.45</v>
      </c>
      <c r="G13370">
        <v>0.56999999999999995</v>
      </c>
      <c r="H13370" s="1" t="str">
        <f>HYPERLINK("http://www.weizmann.ac.il/complex/compphys/software/geview/data/figures/209425_at.png","Figure")</f>
        <v>Figure</v>
      </c>
      <c r="I13370">
        <v>1.02</v>
      </c>
      <c r="J13370">
        <v>0.49</v>
      </c>
      <c r="K13370">
        <v>1.02</v>
      </c>
      <c r="L13370">
        <v>0.54</v>
      </c>
      <c r="M13370">
        <v>0.996</v>
      </c>
      <c r="N13370">
        <v>0.97</v>
      </c>
    </row>
    <row r="13371" spans="1:14" x14ac:dyDescent="0.25">
      <c r="A13371" t="s">
        <v>22838</v>
      </c>
      <c r="B13371" t="s">
        <v>22839</v>
      </c>
      <c r="C13371" s="1" t="str">
        <f>HYPERLINK("http://www.genecards.org/cgi-bin/carddisp.pl?gene=APBA3","GeneCards")</f>
        <v>GeneCards</v>
      </c>
      <c r="D13371" s="1" t="str">
        <f>HYPERLINK("http://genome-euro.ucsc.edu/cgi-bin/hgTracks?position=205146_x_at","UCSC")</f>
        <v>UCSC</v>
      </c>
      <c r="E13371" s="1" t="str">
        <f>HYPERLINK("http://www.ncbi.nlm.nih.gov/gene/?term=APBA3","NCBI")</f>
        <v>NCBI</v>
      </c>
      <c r="F13371">
        <v>0.45</v>
      </c>
      <c r="G13371">
        <v>0.56999999999999995</v>
      </c>
      <c r="H13371" s="1" t="str">
        <f>HYPERLINK("http://www.weizmann.ac.il/complex/compphys/software/geview/data/figures/205146_x_at.png","Figure")</f>
        <v>Figure</v>
      </c>
      <c r="I13371">
        <v>0.94199999999999995</v>
      </c>
      <c r="J13371">
        <v>0.88</v>
      </c>
      <c r="K13371">
        <v>1.0900000000000001</v>
      </c>
      <c r="L13371">
        <v>0.71</v>
      </c>
      <c r="M13371">
        <v>1.1599999999999999</v>
      </c>
      <c r="N13371">
        <v>0.44</v>
      </c>
    </row>
    <row r="13372" spans="1:14" x14ac:dyDescent="0.25">
      <c r="A13372" t="s">
        <v>22840</v>
      </c>
      <c r="B13372" t="s">
        <v>22841</v>
      </c>
      <c r="C13372" s="1" t="str">
        <f>HYPERLINK("http://www.genecards.org/cgi-bin/carddisp.pl?gene=EXTL2","GeneCards")</f>
        <v>GeneCards</v>
      </c>
      <c r="D13372" s="1" t="str">
        <f>HYPERLINK("http://genome-euro.ucsc.edu/cgi-bin/hgTracks?position=209537_at","UCSC")</f>
        <v>UCSC</v>
      </c>
      <c r="E13372" s="1" t="str">
        <f>HYPERLINK("http://www.ncbi.nlm.nih.gov/gene/?term=EXTL2","NCBI")</f>
        <v>NCBI</v>
      </c>
      <c r="F13372">
        <v>0.45</v>
      </c>
      <c r="G13372">
        <v>0.56999999999999995</v>
      </c>
      <c r="H13372" s="1" t="str">
        <f>HYPERLINK("http://www.weizmann.ac.il/complex/compphys/software/geview/data/figures/209537_at.png","Figure")</f>
        <v>Figure</v>
      </c>
      <c r="I13372">
        <v>1.18</v>
      </c>
      <c r="J13372">
        <v>0.43</v>
      </c>
      <c r="K13372">
        <v>1.1100000000000001</v>
      </c>
      <c r="L13372">
        <v>0.66</v>
      </c>
      <c r="M13372">
        <v>0.93700000000000006</v>
      </c>
      <c r="N13372">
        <v>0.85</v>
      </c>
    </row>
    <row r="13373" spans="1:14" x14ac:dyDescent="0.25">
      <c r="A13373" t="s">
        <v>22842</v>
      </c>
      <c r="B13373" t="s">
        <v>22843</v>
      </c>
      <c r="C13373" s="1" t="str">
        <f>HYPERLINK("http://www.genecards.org/cgi-bin/carddisp.pl?gene=PORCN","GeneCards")</f>
        <v>GeneCards</v>
      </c>
      <c r="D13373" s="1" t="str">
        <f>HYPERLINK("http://genome-euro.ucsc.edu/cgi-bin/hgTracks?position=219483_s_at","UCSC")</f>
        <v>UCSC</v>
      </c>
      <c r="E13373" s="1" t="str">
        <f>HYPERLINK("http://www.ncbi.nlm.nih.gov/gene/?term=PORCN","NCBI")</f>
        <v>NCBI</v>
      </c>
      <c r="F13373">
        <v>0.45</v>
      </c>
      <c r="G13373">
        <v>0.56999999999999995</v>
      </c>
      <c r="H13373" s="1" t="str">
        <f>HYPERLINK("http://www.weizmann.ac.il/complex/compphys/software/geview/data/figures/219483_s_at.png","Figure")</f>
        <v>Figure</v>
      </c>
      <c r="I13373">
        <v>0.91</v>
      </c>
      <c r="J13373">
        <v>0.45</v>
      </c>
      <c r="K13373">
        <v>0.93700000000000006</v>
      </c>
      <c r="L13373">
        <v>0.6</v>
      </c>
      <c r="M13373">
        <v>1.03</v>
      </c>
      <c r="N13373">
        <v>0.91</v>
      </c>
    </row>
    <row r="13374" spans="1:14" x14ac:dyDescent="0.25">
      <c r="A13374" t="s">
        <v>22844</v>
      </c>
      <c r="B13374" t="s">
        <v>22845</v>
      </c>
      <c r="C13374" s="1" t="str">
        <f>HYPERLINK("http://www.genecards.org/cgi-bin/carddisp.pl?gene=PCDHB3","GeneCards")</f>
        <v>GeneCards</v>
      </c>
      <c r="D13374" s="1" t="str">
        <f>HYPERLINK("http://genome-euro.ucsc.edu/cgi-bin/hgTracks?position=221410_x_at","UCSC")</f>
        <v>UCSC</v>
      </c>
      <c r="E13374" s="1" t="str">
        <f>HYPERLINK("http://www.ncbi.nlm.nih.gov/gene/?term=PCDHB3","NCBI")</f>
        <v>NCBI</v>
      </c>
      <c r="F13374">
        <v>0.45</v>
      </c>
      <c r="G13374">
        <v>0.56999999999999995</v>
      </c>
      <c r="H13374" s="1" t="str">
        <f>HYPERLINK("http://www.weizmann.ac.il/complex/compphys/software/geview/data/figures/221410_x_at.png","Figure")</f>
        <v>Figure</v>
      </c>
      <c r="I13374">
        <v>1.03</v>
      </c>
      <c r="J13374">
        <v>0.88</v>
      </c>
      <c r="K13374">
        <v>0.95399999999999996</v>
      </c>
      <c r="L13374">
        <v>0.71</v>
      </c>
      <c r="M13374">
        <v>0.92400000000000004</v>
      </c>
      <c r="N13374">
        <v>0.44</v>
      </c>
    </row>
    <row r="13375" spans="1:14" x14ac:dyDescent="0.25">
      <c r="A13375" t="s">
        <v>22846</v>
      </c>
      <c r="B13375" t="s">
        <v>11548</v>
      </c>
      <c r="C13375" s="1" t="str">
        <f>HYPERLINK("http://www.genecards.org/cgi-bin/carddisp.pl?gene=SCNN1A","GeneCards")</f>
        <v>GeneCards</v>
      </c>
      <c r="D13375" s="1" t="str">
        <f>HYPERLINK("http://genome-euro.ucsc.edu/cgi-bin/hgTracks?position=215026_x_at","UCSC")</f>
        <v>UCSC</v>
      </c>
      <c r="E13375" s="1" t="str">
        <f>HYPERLINK("http://www.ncbi.nlm.nih.gov/gene/?term=SCNN1A","NCBI")</f>
        <v>NCBI</v>
      </c>
      <c r="F13375">
        <v>0.45</v>
      </c>
      <c r="G13375">
        <v>0.56999999999999995</v>
      </c>
      <c r="H13375" s="1" t="str">
        <f>HYPERLINK("http://www.weizmann.ac.il/complex/compphys/software/geview/data/figures/215026_x_at.png","Figure")</f>
        <v>Figure</v>
      </c>
      <c r="I13375">
        <v>1.23</v>
      </c>
      <c r="J13375">
        <v>0.43</v>
      </c>
      <c r="K13375">
        <v>1.1299999999999999</v>
      </c>
      <c r="L13375">
        <v>0.68</v>
      </c>
      <c r="M13375">
        <v>0.91500000000000004</v>
      </c>
      <c r="N13375">
        <v>0.83</v>
      </c>
    </row>
    <row r="13376" spans="1:14" x14ac:dyDescent="0.25">
      <c r="A13376" t="s">
        <v>22847</v>
      </c>
      <c r="B13376" t="s">
        <v>22848</v>
      </c>
      <c r="C13376" s="1" t="str">
        <f>HYPERLINK("http://www.genecards.org/cgi-bin/carddisp.pl?gene=FZD5","GeneCards")</f>
        <v>GeneCards</v>
      </c>
      <c r="D13376" s="1" t="str">
        <f>HYPERLINK("http://genome-euro.ucsc.edu/cgi-bin/hgTracks?position=206136_at","UCSC")</f>
        <v>UCSC</v>
      </c>
      <c r="E13376" s="1" t="str">
        <f>HYPERLINK("http://www.ncbi.nlm.nih.gov/gene/?term=FZD5","NCBI")</f>
        <v>NCBI</v>
      </c>
      <c r="F13376">
        <v>0.45</v>
      </c>
      <c r="G13376">
        <v>0.56999999999999995</v>
      </c>
      <c r="H13376" s="1" t="str">
        <f>HYPERLINK("http://www.weizmann.ac.il/complex/compphys/software/geview/data/figures/206136_at.png","Figure")</f>
        <v>Figure</v>
      </c>
      <c r="I13376">
        <v>1.05</v>
      </c>
      <c r="J13376">
        <v>0.42</v>
      </c>
      <c r="K13376">
        <v>1.02</v>
      </c>
      <c r="L13376">
        <v>0.76</v>
      </c>
      <c r="M13376">
        <v>0.97599999999999998</v>
      </c>
      <c r="N13376">
        <v>0.75</v>
      </c>
    </row>
    <row r="13377" spans="1:14" x14ac:dyDescent="0.25">
      <c r="A13377" t="s">
        <v>22849</v>
      </c>
      <c r="B13377" t="s">
        <v>22850</v>
      </c>
      <c r="C13377" s="1" t="str">
        <f>HYPERLINK("http://www.genecards.org/cgi-bin/carddisp.pl?gene=HAPLN1","GeneCards")</f>
        <v>GeneCards</v>
      </c>
      <c r="D13377" s="1" t="str">
        <f>HYPERLINK("http://genome-euro.ucsc.edu/cgi-bin/hgTracks?position=205524_s_at","UCSC")</f>
        <v>UCSC</v>
      </c>
      <c r="E13377" s="1" t="str">
        <f>HYPERLINK("http://www.ncbi.nlm.nih.gov/gene/?term=HAPLN1","NCBI")</f>
        <v>NCBI</v>
      </c>
      <c r="F13377">
        <v>0.45</v>
      </c>
      <c r="G13377">
        <v>0.56999999999999995</v>
      </c>
      <c r="H13377" s="1" t="str">
        <f>HYPERLINK("http://www.weizmann.ac.il/complex/compphys/software/geview/data/figures/205524_s_at.png","Figure")</f>
        <v>Figure</v>
      </c>
      <c r="I13377">
        <v>1.07</v>
      </c>
      <c r="J13377">
        <v>0.61</v>
      </c>
      <c r="K13377">
        <v>0.98399999999999999</v>
      </c>
      <c r="L13377">
        <v>0.96</v>
      </c>
      <c r="M13377">
        <v>0.92</v>
      </c>
      <c r="N13377">
        <v>0.43</v>
      </c>
    </row>
    <row r="13378" spans="1:14" x14ac:dyDescent="0.25">
      <c r="A13378" t="s">
        <v>22851</v>
      </c>
      <c r="B13378" t="s">
        <v>20641</v>
      </c>
      <c r="C13378" s="1" t="str">
        <f>HYPERLINK("http://www.genecards.org/cgi-bin/carddisp.pl?gene=NCF4","GeneCards")</f>
        <v>GeneCards</v>
      </c>
      <c r="D13378" s="1" t="str">
        <f>HYPERLINK("http://genome-euro.ucsc.edu/cgi-bin/hgTracks?position=207677_s_at","UCSC")</f>
        <v>UCSC</v>
      </c>
      <c r="E13378" s="1" t="str">
        <f>HYPERLINK("http://www.ncbi.nlm.nih.gov/gene/?term=NCF4","NCBI")</f>
        <v>NCBI</v>
      </c>
      <c r="F13378">
        <v>0.45</v>
      </c>
      <c r="G13378">
        <v>0.56999999999999995</v>
      </c>
      <c r="H13378" s="1" t="str">
        <f>HYPERLINK("http://www.weizmann.ac.il/complex/compphys/software/geview/data/figures/207677_s_at.png","Figure")</f>
        <v>Figure</v>
      </c>
      <c r="I13378">
        <v>0.8</v>
      </c>
      <c r="J13378">
        <v>0.73</v>
      </c>
      <c r="K13378">
        <v>1.1399999999999999</v>
      </c>
      <c r="L13378">
        <v>0.87</v>
      </c>
      <c r="M13378">
        <v>1.42</v>
      </c>
      <c r="N13378">
        <v>0.42</v>
      </c>
    </row>
    <row r="13379" spans="1:14" x14ac:dyDescent="0.25">
      <c r="A13379" t="s">
        <v>22852</v>
      </c>
      <c r="B13379" t="s">
        <v>6774</v>
      </c>
      <c r="C13379" s="1" t="str">
        <f>HYPERLINK("http://www.genecards.org/cgi-bin/carddisp.pl?gene=IGFBP5","GeneCards")</f>
        <v>GeneCards</v>
      </c>
      <c r="D13379" s="1" t="str">
        <f>HYPERLINK("http://genome-euro.ucsc.edu/cgi-bin/hgTracks?position=203426_s_at","UCSC")</f>
        <v>UCSC</v>
      </c>
      <c r="E13379" s="1" t="str">
        <f>HYPERLINK("http://www.ncbi.nlm.nih.gov/gene/?term=IGFBP5","NCBI")</f>
        <v>NCBI</v>
      </c>
      <c r="F13379">
        <v>0.45</v>
      </c>
      <c r="G13379">
        <v>0.56999999999999995</v>
      </c>
      <c r="H13379" s="1" t="str">
        <f>HYPERLINK("http://www.weizmann.ac.il/complex/compphys/software/geview/data/figures/203426_s_at.png","Figure")</f>
        <v>Figure</v>
      </c>
      <c r="I13379">
        <v>1.1399999999999999</v>
      </c>
      <c r="J13379">
        <v>0.42</v>
      </c>
      <c r="K13379">
        <v>1.05</v>
      </c>
      <c r="L13379">
        <v>0.85</v>
      </c>
      <c r="M13379">
        <v>0.91800000000000004</v>
      </c>
      <c r="N13379">
        <v>0.66</v>
      </c>
    </row>
    <row r="13380" spans="1:14" x14ac:dyDescent="0.25">
      <c r="A13380" t="s">
        <v>22853</v>
      </c>
      <c r="B13380" t="s">
        <v>22854</v>
      </c>
      <c r="C13380" s="1" t="str">
        <f>HYPERLINK("http://www.genecards.org/cgi-bin/carddisp.pl?gene=SCD5","GeneCards")</f>
        <v>GeneCards</v>
      </c>
      <c r="D13380" s="1" t="str">
        <f>HYPERLINK("http://genome-euro.ucsc.edu/cgi-bin/hgTracks?position=220232_at","UCSC")</f>
        <v>UCSC</v>
      </c>
      <c r="E13380" s="1" t="str">
        <f>HYPERLINK("http://www.ncbi.nlm.nih.gov/gene/?term=SCD5","NCBI")</f>
        <v>NCBI</v>
      </c>
      <c r="F13380">
        <v>0.45</v>
      </c>
      <c r="G13380">
        <v>0.56999999999999995</v>
      </c>
      <c r="H13380" s="1" t="str">
        <f>HYPERLINK("http://www.weizmann.ac.il/complex/compphys/software/geview/data/figures/220232_at.png","Figure")</f>
        <v>Figure</v>
      </c>
      <c r="I13380">
        <v>1.1000000000000001</v>
      </c>
      <c r="J13380">
        <v>0.79</v>
      </c>
      <c r="K13380">
        <v>0.92200000000000004</v>
      </c>
      <c r="L13380">
        <v>0.8</v>
      </c>
      <c r="M13380">
        <v>0.83699999999999997</v>
      </c>
      <c r="N13380">
        <v>0.42</v>
      </c>
    </row>
    <row r="13381" spans="1:14" x14ac:dyDescent="0.25">
      <c r="A13381" t="s">
        <v>22855</v>
      </c>
      <c r="B13381" t="s">
        <v>20371</v>
      </c>
      <c r="C13381" s="1" t="str">
        <f>HYPERLINK("http://www.genecards.org/cgi-bin/carddisp.pl?gene=AGPAT1","GeneCards")</f>
        <v>GeneCards</v>
      </c>
      <c r="D13381" s="1" t="str">
        <f>HYPERLINK("http://genome-euro.ucsc.edu/cgi-bin/hgTracks?position=32836_at","UCSC")</f>
        <v>UCSC</v>
      </c>
      <c r="E13381" s="1" t="str">
        <f>HYPERLINK("http://www.ncbi.nlm.nih.gov/gene/?term=AGPAT1","NCBI")</f>
        <v>NCBI</v>
      </c>
      <c r="F13381">
        <v>0.45</v>
      </c>
      <c r="G13381">
        <v>0.56999999999999995</v>
      </c>
      <c r="H13381" s="1" t="str">
        <f>HYPERLINK("http://www.weizmann.ac.il/complex/compphys/software/geview/data/figures/32836_at.png","Figure")</f>
        <v>Figure</v>
      </c>
      <c r="I13381">
        <v>0.999</v>
      </c>
      <c r="J13381">
        <v>1</v>
      </c>
      <c r="K13381">
        <v>1.1399999999999999</v>
      </c>
      <c r="L13381">
        <v>0.52</v>
      </c>
      <c r="M13381">
        <v>1.1399999999999999</v>
      </c>
      <c r="N13381">
        <v>0.56000000000000005</v>
      </c>
    </row>
    <row r="13382" spans="1:14" x14ac:dyDescent="0.25">
      <c r="A13382" t="s">
        <v>22856</v>
      </c>
      <c r="B13382" t="s">
        <v>22857</v>
      </c>
      <c r="C13382" s="1" t="str">
        <f>HYPERLINK("http://www.genecards.org/cgi-bin/carddisp.pl?gene=RCE1","GeneCards")</f>
        <v>GeneCards</v>
      </c>
      <c r="D13382" s="1" t="str">
        <f>HYPERLINK("http://genome-euro.ucsc.edu/cgi-bin/hgTracks?position=205333_s_at","UCSC")</f>
        <v>UCSC</v>
      </c>
      <c r="E13382" s="1" t="str">
        <f>HYPERLINK("http://www.ncbi.nlm.nih.gov/gene/?term=RCE1","NCBI")</f>
        <v>NCBI</v>
      </c>
      <c r="F13382">
        <v>0.45</v>
      </c>
      <c r="G13382">
        <v>0.56999999999999995</v>
      </c>
      <c r="H13382" s="1" t="str">
        <f>HYPERLINK("http://www.weizmann.ac.il/complex/compphys/software/geview/data/figures/205333_s_at.png","Figure")</f>
        <v>Figure</v>
      </c>
      <c r="I13382">
        <v>1.18</v>
      </c>
      <c r="J13382">
        <v>0.48</v>
      </c>
      <c r="K13382">
        <v>1.02</v>
      </c>
      <c r="L13382">
        <v>0.99</v>
      </c>
      <c r="M13382">
        <v>0.86499999999999999</v>
      </c>
      <c r="N13382">
        <v>0.51</v>
      </c>
    </row>
    <row r="13383" spans="1:14" x14ac:dyDescent="0.25">
      <c r="A13383" t="s">
        <v>22858</v>
      </c>
      <c r="B13383" t="s">
        <v>22859</v>
      </c>
      <c r="C13383" s="1" t="str">
        <f>HYPERLINK("http://www.genecards.org/cgi-bin/carddisp.pl?gene=CREB3","GeneCards")</f>
        <v>GeneCards</v>
      </c>
      <c r="D13383" s="1" t="str">
        <f>HYPERLINK("http://genome-euro.ucsc.edu/cgi-bin/hgTracks?position=209432_s_at","UCSC")</f>
        <v>UCSC</v>
      </c>
      <c r="E13383" s="1" t="str">
        <f>HYPERLINK("http://www.ncbi.nlm.nih.gov/gene/?term=CREB3","NCBI")</f>
        <v>NCBI</v>
      </c>
      <c r="F13383">
        <v>0.45</v>
      </c>
      <c r="G13383">
        <v>0.56999999999999995</v>
      </c>
      <c r="H13383" s="1" t="str">
        <f>HYPERLINK("http://www.weizmann.ac.il/complex/compphys/software/geview/data/figures/209432_s_at.png","Figure")</f>
        <v>Figure</v>
      </c>
      <c r="I13383">
        <v>0.998</v>
      </c>
      <c r="J13383">
        <v>1</v>
      </c>
      <c r="K13383">
        <v>1.1100000000000001</v>
      </c>
      <c r="L13383">
        <v>0.52</v>
      </c>
      <c r="M13383">
        <v>1.1100000000000001</v>
      </c>
      <c r="N13383">
        <v>0.55000000000000004</v>
      </c>
    </row>
    <row r="13384" spans="1:14" x14ac:dyDescent="0.25">
      <c r="A13384" t="s">
        <v>22860</v>
      </c>
      <c r="B13384" t="s">
        <v>3437</v>
      </c>
      <c r="C13384" s="1" t="str">
        <f>HYPERLINK("http://www.genecards.org/cgi-bin/carddisp.pl?gene=IGHG1","GeneCards")</f>
        <v>GeneCards</v>
      </c>
      <c r="D13384" s="1" t="str">
        <f>HYPERLINK("http://genome-euro.ucsc.edu/cgi-bin/hgTracks?position=211633_x_at","UCSC")</f>
        <v>UCSC</v>
      </c>
      <c r="E13384" s="1" t="str">
        <f>HYPERLINK("http://www.ncbi.nlm.nih.gov/gene/?term=IGHG1","NCBI")</f>
        <v>NCBI</v>
      </c>
      <c r="F13384">
        <v>0.45</v>
      </c>
      <c r="G13384">
        <v>0.56999999999999995</v>
      </c>
      <c r="H13384" s="1" t="str">
        <f>HYPERLINK("http://www.weizmann.ac.il/complex/compphys/software/geview/data/figures/211633_x_at.png","Figure")</f>
        <v>Figure</v>
      </c>
      <c r="I13384">
        <v>1.03</v>
      </c>
      <c r="J13384">
        <v>0.92</v>
      </c>
      <c r="K13384">
        <v>1.0900000000000001</v>
      </c>
      <c r="L13384">
        <v>0.44</v>
      </c>
      <c r="M13384">
        <v>1.06</v>
      </c>
      <c r="N13384">
        <v>0.72</v>
      </c>
    </row>
    <row r="13385" spans="1:14" x14ac:dyDescent="0.25">
      <c r="A13385" t="s">
        <v>22861</v>
      </c>
      <c r="B13385" t="s">
        <v>10473</v>
      </c>
      <c r="C13385" s="1" t="str">
        <f>HYPERLINK("http://www.genecards.org/cgi-bin/carddisp.pl?gene=GPR107","GeneCards")</f>
        <v>GeneCards</v>
      </c>
      <c r="D13385" s="1" t="str">
        <f>HYPERLINK("http://genome-euro.ucsc.edu/cgi-bin/hgTracks?position=211979_at","UCSC")</f>
        <v>UCSC</v>
      </c>
      <c r="E13385" s="1" t="str">
        <f>HYPERLINK("http://www.ncbi.nlm.nih.gov/gene/?term=GPR107","NCBI")</f>
        <v>NCBI</v>
      </c>
      <c r="F13385">
        <v>0.45</v>
      </c>
      <c r="G13385">
        <v>0.56999999999999995</v>
      </c>
      <c r="H13385" s="1" t="str">
        <f>HYPERLINK("http://www.weizmann.ac.il/complex/compphys/software/geview/data/figures/211979_at.png","Figure")</f>
        <v>Figure</v>
      </c>
      <c r="I13385">
        <v>1.1599999999999999</v>
      </c>
      <c r="J13385">
        <v>0.44</v>
      </c>
      <c r="K13385">
        <v>1.04</v>
      </c>
      <c r="L13385">
        <v>0.93</v>
      </c>
      <c r="M13385">
        <v>0.89200000000000002</v>
      </c>
      <c r="N13385">
        <v>0.57999999999999996</v>
      </c>
    </row>
    <row r="13386" spans="1:14" x14ac:dyDescent="0.25">
      <c r="A13386" t="s">
        <v>22862</v>
      </c>
      <c r="B13386" t="s">
        <v>20714</v>
      </c>
      <c r="C13386" s="1" t="str">
        <f>HYPERLINK("http://www.genecards.org/cgi-bin/carddisp.pl?gene=RPS9","GeneCards")</f>
        <v>GeneCards</v>
      </c>
      <c r="D13386" s="1" t="str">
        <f>HYPERLINK("http://genome-euro.ucsc.edu/cgi-bin/hgTracks?position=217747_s_at","UCSC")</f>
        <v>UCSC</v>
      </c>
      <c r="E13386" s="1" t="str">
        <f>HYPERLINK("http://www.ncbi.nlm.nih.gov/gene/?term=RPS9","NCBI")</f>
        <v>NCBI</v>
      </c>
      <c r="F13386">
        <v>0.45</v>
      </c>
      <c r="G13386">
        <v>0.56999999999999995</v>
      </c>
      <c r="H13386" s="1" t="str">
        <f>HYPERLINK("http://www.weizmann.ac.il/complex/compphys/software/geview/data/figures/217747_s_at.png","Figure")</f>
        <v>Figure</v>
      </c>
      <c r="I13386">
        <v>1.37</v>
      </c>
      <c r="J13386">
        <v>0.56000000000000005</v>
      </c>
      <c r="K13386">
        <v>1.36</v>
      </c>
      <c r="L13386">
        <v>0.48</v>
      </c>
      <c r="M13386">
        <v>0.997</v>
      </c>
      <c r="N13386">
        <v>1</v>
      </c>
    </row>
    <row r="13387" spans="1:14" x14ac:dyDescent="0.25">
      <c r="A13387" t="s">
        <v>22863</v>
      </c>
      <c r="B13387" t="s">
        <v>22864</v>
      </c>
      <c r="C13387" s="1" t="str">
        <f>HYPERLINK("http://www.genecards.org/cgi-bin/carddisp.pl?gene=C7orf49","GeneCards")</f>
        <v>GeneCards</v>
      </c>
      <c r="D13387" s="1" t="str">
        <f>HYPERLINK("http://genome-euro.ucsc.edu/cgi-bin/hgTracks?position=220949_s_at","UCSC")</f>
        <v>UCSC</v>
      </c>
      <c r="E13387" s="1" t="str">
        <f>HYPERLINK("http://www.ncbi.nlm.nih.gov/gene/?term=C7orf49","NCBI")</f>
        <v>NCBI</v>
      </c>
      <c r="F13387">
        <v>0.45</v>
      </c>
      <c r="G13387">
        <v>0.56999999999999995</v>
      </c>
      <c r="H13387" s="1" t="str">
        <f>HYPERLINK("http://www.weizmann.ac.il/complex/compphys/software/geview/data/figures/220949_s_at.png","Figure")</f>
        <v>Figure</v>
      </c>
      <c r="I13387">
        <v>0.91800000000000004</v>
      </c>
      <c r="J13387">
        <v>0.85</v>
      </c>
      <c r="K13387">
        <v>1.1000000000000001</v>
      </c>
      <c r="L13387">
        <v>0.75</v>
      </c>
      <c r="M13387">
        <v>1.2</v>
      </c>
      <c r="N13387">
        <v>0.43</v>
      </c>
    </row>
    <row r="13388" spans="1:14" x14ac:dyDescent="0.25">
      <c r="A13388" t="s">
        <v>22865</v>
      </c>
      <c r="B13388" t="s">
        <v>3437</v>
      </c>
      <c r="C13388" s="1" t="str">
        <f>HYPERLINK("http://www.genecards.org/cgi-bin/carddisp.pl?gene=IGHG1","GeneCards")</f>
        <v>GeneCards</v>
      </c>
      <c r="D13388" s="1" t="str">
        <f>HYPERLINK("http://genome-euro.ucsc.edu/cgi-bin/hgTracks?position=216318_at","UCSC")</f>
        <v>UCSC</v>
      </c>
      <c r="E13388" s="1" t="str">
        <f>HYPERLINK("http://www.ncbi.nlm.nih.gov/gene/?term=IGHG1","NCBI")</f>
        <v>NCBI</v>
      </c>
      <c r="F13388">
        <v>0.45</v>
      </c>
      <c r="G13388">
        <v>0.56999999999999995</v>
      </c>
      <c r="H13388" s="1" t="str">
        <f>HYPERLINK("http://www.weizmann.ac.il/complex/compphys/software/geview/data/figures/216318_at.png","Figure")</f>
        <v>Figure</v>
      </c>
      <c r="I13388">
        <v>1.1200000000000001</v>
      </c>
      <c r="J13388">
        <v>0.43</v>
      </c>
      <c r="K13388">
        <v>1.03</v>
      </c>
      <c r="L13388">
        <v>0.91</v>
      </c>
      <c r="M13388">
        <v>0.92</v>
      </c>
      <c r="N13388">
        <v>0.6</v>
      </c>
    </row>
    <row r="13389" spans="1:14" x14ac:dyDescent="0.25">
      <c r="A13389" t="s">
        <v>22866</v>
      </c>
      <c r="B13389" t="s">
        <v>22146</v>
      </c>
      <c r="C13389" s="1" t="str">
        <f>HYPERLINK("http://www.genecards.org/cgi-bin/carddisp.pl?gene=HMGCS1","GeneCards")</f>
        <v>GeneCards</v>
      </c>
      <c r="D13389" s="1" t="str">
        <f>HYPERLINK("http://genome-euro.ucsc.edu/cgi-bin/hgTracks?position=205822_s_at","UCSC")</f>
        <v>UCSC</v>
      </c>
      <c r="E13389" s="1" t="str">
        <f>HYPERLINK("http://www.ncbi.nlm.nih.gov/gene/?term=HMGCS1","NCBI")</f>
        <v>NCBI</v>
      </c>
      <c r="F13389">
        <v>0.45</v>
      </c>
      <c r="G13389">
        <v>0.56999999999999995</v>
      </c>
      <c r="H13389" s="1" t="str">
        <f>HYPERLINK("http://www.weizmann.ac.il/complex/compphys/software/geview/data/figures/205822_s_at.png","Figure")</f>
        <v>Figure</v>
      </c>
      <c r="I13389">
        <v>0.999</v>
      </c>
      <c r="J13389">
        <v>1</v>
      </c>
      <c r="K13389">
        <v>0.94599999999999995</v>
      </c>
      <c r="L13389">
        <v>0.51</v>
      </c>
      <c r="M13389">
        <v>0.94699999999999995</v>
      </c>
      <c r="N13389">
        <v>0.56999999999999995</v>
      </c>
    </row>
    <row r="13390" spans="1:14" x14ac:dyDescent="0.25">
      <c r="A13390" t="s">
        <v>22867</v>
      </c>
      <c r="B13390" t="s">
        <v>14535</v>
      </c>
      <c r="C13390" s="1" t="str">
        <f>HYPERLINK("http://www.genecards.org/cgi-bin/carddisp.pl?gene=HIST1H2AD /// HIST1H3D","GeneCards")</f>
        <v>GeneCards</v>
      </c>
      <c r="D13390" s="1" t="str">
        <f>HYPERLINK("http://genome-euro.ucsc.edu/cgi-bin/hgTracks?position=214472_at","UCSC")</f>
        <v>UCSC</v>
      </c>
      <c r="E13390" s="1" t="str">
        <f>HYPERLINK("http://www.ncbi.nlm.nih.gov/gene/?term=HIST1H2AD /// HIST1H3D","NCBI")</f>
        <v>NCBI</v>
      </c>
      <c r="F13390">
        <v>0.45</v>
      </c>
      <c r="G13390">
        <v>0.56999999999999995</v>
      </c>
      <c r="H13390" s="1" t="str">
        <f>HYPERLINK("http://www.weizmann.ac.il/complex/compphys/software/geview/data/figures/214472_at.png","Figure")</f>
        <v>Figure</v>
      </c>
      <c r="I13390">
        <v>1.63</v>
      </c>
      <c r="J13390">
        <v>0.64</v>
      </c>
      <c r="K13390">
        <v>1.81</v>
      </c>
      <c r="L13390">
        <v>0.44</v>
      </c>
      <c r="M13390">
        <v>1.1100000000000001</v>
      </c>
      <c r="N13390">
        <v>0.98</v>
      </c>
    </row>
    <row r="13391" spans="1:14" x14ac:dyDescent="0.25">
      <c r="A13391" t="s">
        <v>22868</v>
      </c>
      <c r="B13391" t="s">
        <v>22869</v>
      </c>
      <c r="C13391" s="1" t="str">
        <f>HYPERLINK("http://www.genecards.org/cgi-bin/carddisp.pl?gene=LOC100289848 /// PIGC","GeneCards")</f>
        <v>GeneCards</v>
      </c>
      <c r="D13391" s="1" t="str">
        <f>HYPERLINK("http://genome-euro.ucsc.edu/cgi-bin/hgTracks?position=216593_s_at","UCSC")</f>
        <v>UCSC</v>
      </c>
      <c r="E13391" s="1" t="str">
        <f>HYPERLINK("http://www.ncbi.nlm.nih.gov/gene/?term=LOC100289848 /// PIGC","NCBI")</f>
        <v>NCBI</v>
      </c>
      <c r="F13391">
        <v>0.45</v>
      </c>
      <c r="G13391">
        <v>0.56999999999999995</v>
      </c>
      <c r="H13391" s="1" t="str">
        <f>HYPERLINK("http://www.weizmann.ac.il/complex/compphys/software/geview/data/figures/216593_s_at.png","Figure")</f>
        <v>Figure</v>
      </c>
      <c r="I13391">
        <v>1.02</v>
      </c>
      <c r="J13391">
        <v>0.8</v>
      </c>
      <c r="K13391">
        <v>1.03</v>
      </c>
      <c r="L13391">
        <v>0.42</v>
      </c>
      <c r="M13391">
        <v>1.01</v>
      </c>
      <c r="N13391">
        <v>0.86</v>
      </c>
    </row>
    <row r="13392" spans="1:14" x14ac:dyDescent="0.25">
      <c r="A13392" t="s">
        <v>22870</v>
      </c>
      <c r="B13392" t="s">
        <v>22871</v>
      </c>
      <c r="C13392" s="1" t="str">
        <f>HYPERLINK("http://www.genecards.org/cgi-bin/carddisp.pl?gene=PAX7","GeneCards")</f>
        <v>GeneCards</v>
      </c>
      <c r="D13392" s="1" t="str">
        <f>HYPERLINK("http://genome-euro.ucsc.edu/cgi-bin/hgTracks?position=208060_at","UCSC")</f>
        <v>UCSC</v>
      </c>
      <c r="E13392" s="1" t="str">
        <f>HYPERLINK("http://www.ncbi.nlm.nih.gov/gene/?term=PAX7","NCBI")</f>
        <v>NCBI</v>
      </c>
      <c r="F13392">
        <v>0.45</v>
      </c>
      <c r="G13392">
        <v>0.56999999999999995</v>
      </c>
      <c r="H13392" s="1" t="str">
        <f>HYPERLINK("http://www.weizmann.ac.il/complex/compphys/software/geview/data/figures/208060_at.png","Figure")</f>
        <v>Figure</v>
      </c>
      <c r="I13392">
        <v>1.04</v>
      </c>
      <c r="J13392">
        <v>0.67</v>
      </c>
      <c r="K13392">
        <v>0.98499999999999999</v>
      </c>
      <c r="L13392">
        <v>0.91</v>
      </c>
      <c r="M13392">
        <v>0.95</v>
      </c>
      <c r="N13392">
        <v>0.42</v>
      </c>
    </row>
    <row r="13393" spans="1:14" x14ac:dyDescent="0.25">
      <c r="A13393" t="s">
        <v>22872</v>
      </c>
      <c r="B13393" t="s">
        <v>19664</v>
      </c>
      <c r="C13393" s="1" t="str">
        <f>HYPERLINK("http://www.genecards.org/cgi-bin/carddisp.pl?gene=POLQ","GeneCards")</f>
        <v>GeneCards</v>
      </c>
      <c r="D13393" s="1" t="str">
        <f>HYPERLINK("http://genome-euro.ucsc.edu/cgi-bin/hgTracks?position=207746_at","UCSC")</f>
        <v>UCSC</v>
      </c>
      <c r="E13393" s="1" t="str">
        <f>HYPERLINK("http://www.ncbi.nlm.nih.gov/gene/?term=POLQ","NCBI")</f>
        <v>NCBI</v>
      </c>
      <c r="F13393">
        <v>0.45</v>
      </c>
      <c r="G13393">
        <v>0.56999999999999995</v>
      </c>
      <c r="H13393" s="1" t="str">
        <f>HYPERLINK("http://www.weizmann.ac.il/complex/compphys/software/geview/data/figures/207746_at.png","Figure")</f>
        <v>Figure</v>
      </c>
      <c r="I13393">
        <v>1.04</v>
      </c>
      <c r="J13393">
        <v>0.97</v>
      </c>
      <c r="K13393">
        <v>0.85699999999999998</v>
      </c>
      <c r="L13393">
        <v>0.6</v>
      </c>
      <c r="M13393">
        <v>0.82099999999999995</v>
      </c>
      <c r="N13393">
        <v>0.49</v>
      </c>
    </row>
    <row r="13394" spans="1:14" x14ac:dyDescent="0.25">
      <c r="A13394" t="s">
        <v>22873</v>
      </c>
      <c r="B13394" t="s">
        <v>22874</v>
      </c>
      <c r="C13394" s="1" t="str">
        <f>HYPERLINK("http://www.genecards.org/cgi-bin/carddisp.pl?gene=YIPF3","GeneCards")</f>
        <v>GeneCards</v>
      </c>
      <c r="D13394" s="1" t="str">
        <f>HYPERLINK("http://genome-euro.ucsc.edu/cgi-bin/hgTracks?position=216338_s_at","UCSC")</f>
        <v>UCSC</v>
      </c>
      <c r="E13394" s="1" t="str">
        <f>HYPERLINK("http://www.ncbi.nlm.nih.gov/gene/?term=YIPF3","NCBI")</f>
        <v>NCBI</v>
      </c>
      <c r="F13394">
        <v>0.45</v>
      </c>
      <c r="G13394">
        <v>0.56999999999999995</v>
      </c>
      <c r="H13394" s="1" t="str">
        <f>HYPERLINK("http://www.weizmann.ac.il/complex/compphys/software/geview/data/figures/216338_s_at.png","Figure")</f>
        <v>Figure</v>
      </c>
      <c r="I13394">
        <v>0.77500000000000002</v>
      </c>
      <c r="J13394">
        <v>0.42</v>
      </c>
      <c r="K13394">
        <v>0.89700000000000002</v>
      </c>
      <c r="L13394">
        <v>0.8</v>
      </c>
      <c r="M13394">
        <v>1.1599999999999999</v>
      </c>
      <c r="N13394">
        <v>0.71</v>
      </c>
    </row>
    <row r="13395" spans="1:14" x14ac:dyDescent="0.25">
      <c r="A13395" t="s">
        <v>22875</v>
      </c>
      <c r="B13395" t="s">
        <v>21695</v>
      </c>
      <c r="C13395" s="1" t="str">
        <f>HYPERLINK("http://www.genecards.org/cgi-bin/carddisp.pl?gene=GFER","GeneCards")</f>
        <v>GeneCards</v>
      </c>
      <c r="D13395" s="1" t="str">
        <f>HYPERLINK("http://genome-euro.ucsc.edu/cgi-bin/hgTracks?position=204660_at","UCSC")</f>
        <v>UCSC</v>
      </c>
      <c r="E13395" s="1" t="str">
        <f>HYPERLINK("http://www.ncbi.nlm.nih.gov/gene/?term=GFER","NCBI")</f>
        <v>NCBI</v>
      </c>
      <c r="F13395">
        <v>0.45</v>
      </c>
      <c r="G13395">
        <v>0.56999999999999995</v>
      </c>
      <c r="H13395" s="1" t="str">
        <f>HYPERLINK("http://www.weizmann.ac.il/complex/compphys/software/geview/data/figures/204660_at.png","Figure")</f>
        <v>Figure</v>
      </c>
      <c r="I13395">
        <v>1.19</v>
      </c>
      <c r="J13395">
        <v>0.43</v>
      </c>
      <c r="K13395">
        <v>1.1100000000000001</v>
      </c>
      <c r="L13395">
        <v>0.69</v>
      </c>
      <c r="M13395">
        <v>0.92600000000000005</v>
      </c>
      <c r="N13395">
        <v>0.82</v>
      </c>
    </row>
    <row r="13396" spans="1:14" x14ac:dyDescent="0.25">
      <c r="A13396" t="s">
        <v>22876</v>
      </c>
      <c r="B13396" t="s">
        <v>16420</v>
      </c>
      <c r="C13396" s="1" t="str">
        <f>HYPERLINK("http://www.genecards.org/cgi-bin/carddisp.pl?gene=MASP2","GeneCards")</f>
        <v>GeneCards</v>
      </c>
      <c r="D13396" s="1" t="str">
        <f>HYPERLINK("http://genome-euro.ucsc.edu/cgi-bin/hgTracks?position=207041_at","UCSC")</f>
        <v>UCSC</v>
      </c>
      <c r="E13396" s="1" t="str">
        <f>HYPERLINK("http://www.ncbi.nlm.nih.gov/gene/?term=MASP2","NCBI")</f>
        <v>NCBI</v>
      </c>
      <c r="F13396">
        <v>0.45</v>
      </c>
      <c r="G13396">
        <v>0.56999999999999995</v>
      </c>
      <c r="H13396" s="1" t="str">
        <f>HYPERLINK("http://www.weizmann.ac.il/complex/compphys/software/geview/data/figures/207041_at.png","Figure")</f>
        <v>Figure</v>
      </c>
      <c r="I13396">
        <v>1.08</v>
      </c>
      <c r="J13396">
        <v>0.44</v>
      </c>
      <c r="K13396">
        <v>1.05</v>
      </c>
      <c r="L13396">
        <v>0.62</v>
      </c>
      <c r="M13396">
        <v>0.97499999999999998</v>
      </c>
      <c r="N13396">
        <v>0.89</v>
      </c>
    </row>
    <row r="13397" spans="1:14" x14ac:dyDescent="0.25">
      <c r="A13397" t="s">
        <v>22877</v>
      </c>
      <c r="B13397" t="s">
        <v>7964</v>
      </c>
      <c r="C13397" s="1" t="str">
        <f>HYPERLINK("http://www.genecards.org/cgi-bin/carddisp.pl?gene=PIK3R1","GeneCards")</f>
        <v>GeneCards</v>
      </c>
      <c r="D13397" s="1" t="str">
        <f>HYPERLINK("http://genome-euro.ucsc.edu/cgi-bin/hgTracks?position=212249_at","UCSC")</f>
        <v>UCSC</v>
      </c>
      <c r="E13397" s="1" t="str">
        <f>HYPERLINK("http://www.ncbi.nlm.nih.gov/gene/?term=PIK3R1","NCBI")</f>
        <v>NCBI</v>
      </c>
      <c r="F13397">
        <v>0.45</v>
      </c>
      <c r="G13397">
        <v>0.56999999999999995</v>
      </c>
      <c r="H13397" s="1" t="str">
        <f>HYPERLINK("http://www.weizmann.ac.il/complex/compphys/software/geview/data/figures/212249_at.png","Figure")</f>
        <v>Figure</v>
      </c>
      <c r="I13397">
        <v>1.02</v>
      </c>
      <c r="J13397">
        <v>1</v>
      </c>
      <c r="K13397">
        <v>0.83399999999999996</v>
      </c>
      <c r="L13397">
        <v>0.54</v>
      </c>
      <c r="M13397">
        <v>0.82</v>
      </c>
      <c r="N13397">
        <v>0.53</v>
      </c>
    </row>
    <row r="13398" spans="1:14" x14ac:dyDescent="0.25">
      <c r="A13398" t="s">
        <v>22878</v>
      </c>
      <c r="B13398" t="s">
        <v>22879</v>
      </c>
      <c r="C13398" s="1" t="str">
        <f>HYPERLINK("http://www.genecards.org/cgi-bin/carddisp.pl?gene=OXA1L","GeneCards")</f>
        <v>GeneCards</v>
      </c>
      <c r="D13398" s="1" t="str">
        <f>HYPERLINK("http://genome-euro.ucsc.edu/cgi-bin/hgTracks?position=208717_at","UCSC")</f>
        <v>UCSC</v>
      </c>
      <c r="E13398" s="1" t="str">
        <f>HYPERLINK("http://www.ncbi.nlm.nih.gov/gene/?term=OXA1L","NCBI")</f>
        <v>NCBI</v>
      </c>
      <c r="F13398">
        <v>0.45</v>
      </c>
      <c r="G13398">
        <v>0.56999999999999995</v>
      </c>
      <c r="H13398" s="1" t="str">
        <f>HYPERLINK("http://www.weizmann.ac.il/complex/compphys/software/geview/data/figures/208717_at.png","Figure")</f>
        <v>Figure</v>
      </c>
      <c r="I13398">
        <v>0.84099999999999997</v>
      </c>
      <c r="J13398">
        <v>0.45</v>
      </c>
      <c r="K13398">
        <v>0.88800000000000001</v>
      </c>
      <c r="L13398">
        <v>0.6</v>
      </c>
      <c r="M13398">
        <v>1.06</v>
      </c>
      <c r="N13398">
        <v>0.91</v>
      </c>
    </row>
    <row r="13399" spans="1:14" x14ac:dyDescent="0.25">
      <c r="A13399" t="s">
        <v>22880</v>
      </c>
      <c r="B13399" t="s">
        <v>22881</v>
      </c>
      <c r="C13399" s="1" t="str">
        <f>HYPERLINK("http://www.genecards.org/cgi-bin/carddisp.pl?gene=C4orf31","GeneCards")</f>
        <v>GeneCards</v>
      </c>
      <c r="D13399" s="1" t="str">
        <f>HYPERLINK("http://genome-euro.ucsc.edu/cgi-bin/hgTracks?position=219747_at","UCSC")</f>
        <v>UCSC</v>
      </c>
      <c r="E13399" s="1" t="str">
        <f>HYPERLINK("http://www.ncbi.nlm.nih.gov/gene/?term=C4orf31","NCBI")</f>
        <v>NCBI</v>
      </c>
      <c r="F13399">
        <v>0.45</v>
      </c>
      <c r="G13399">
        <v>0.56999999999999995</v>
      </c>
      <c r="H13399" s="1" t="str">
        <f>HYPERLINK("http://www.weizmann.ac.il/complex/compphys/software/geview/data/figures/219747_at.png","Figure")</f>
        <v>Figure</v>
      </c>
      <c r="I13399">
        <v>1.06</v>
      </c>
      <c r="J13399">
        <v>0.48</v>
      </c>
      <c r="K13399">
        <v>1.01</v>
      </c>
      <c r="L13399">
        <v>0.99</v>
      </c>
      <c r="M13399">
        <v>0.95</v>
      </c>
      <c r="N13399">
        <v>0.51</v>
      </c>
    </row>
    <row r="13400" spans="1:14" x14ac:dyDescent="0.25">
      <c r="A13400" t="s">
        <v>22882</v>
      </c>
      <c r="B13400" t="s">
        <v>22883</v>
      </c>
      <c r="C13400" s="1" t="str">
        <f>HYPERLINK("http://www.genecards.org/cgi-bin/carddisp.pl?gene=HBG1 /// HBG2","GeneCards")</f>
        <v>GeneCards</v>
      </c>
      <c r="D13400" s="1" t="str">
        <f>HYPERLINK("http://genome-euro.ucsc.edu/cgi-bin/hgTracks?position=213515_x_at","UCSC")</f>
        <v>UCSC</v>
      </c>
      <c r="E13400" s="1" t="str">
        <f>HYPERLINK("http://www.ncbi.nlm.nih.gov/gene/?term=HBG1 /// HBG2","NCBI")</f>
        <v>NCBI</v>
      </c>
      <c r="F13400">
        <v>0.45</v>
      </c>
      <c r="G13400">
        <v>0.56999999999999995</v>
      </c>
      <c r="H13400" s="1" t="str">
        <f>HYPERLINK("http://www.weizmann.ac.il/complex/compphys/software/geview/data/figures/213515_x_at.png","Figure")</f>
        <v>Figure</v>
      </c>
      <c r="I13400">
        <v>1.61</v>
      </c>
      <c r="J13400">
        <v>0.8</v>
      </c>
      <c r="K13400">
        <v>0.66</v>
      </c>
      <c r="L13400">
        <v>0.8</v>
      </c>
      <c r="M13400">
        <v>0.41</v>
      </c>
      <c r="N13400">
        <v>0.42</v>
      </c>
    </row>
    <row r="13401" spans="1:14" x14ac:dyDescent="0.25">
      <c r="A13401" t="s">
        <v>22884</v>
      </c>
      <c r="B13401" t="s">
        <v>22885</v>
      </c>
      <c r="C13401" s="1" t="str">
        <f>HYPERLINK("http://www.genecards.org/cgi-bin/carddisp.pl?gene=OXSR1","GeneCards")</f>
        <v>GeneCards</v>
      </c>
      <c r="D13401" s="1" t="str">
        <f>HYPERLINK("http://genome-euro.ucsc.edu/cgi-bin/hgTracks?position=202696_at","UCSC")</f>
        <v>UCSC</v>
      </c>
      <c r="E13401" s="1" t="str">
        <f>HYPERLINK("http://www.ncbi.nlm.nih.gov/gene/?term=OXSR1","NCBI")</f>
        <v>NCBI</v>
      </c>
      <c r="F13401">
        <v>0.45</v>
      </c>
      <c r="G13401">
        <v>0.56999999999999995</v>
      </c>
      <c r="H13401" s="1" t="str">
        <f>HYPERLINK("http://www.weizmann.ac.il/complex/compphys/software/geview/data/figures/202696_at.png","Figure")</f>
        <v>Figure</v>
      </c>
      <c r="I13401">
        <v>0.98799999999999999</v>
      </c>
      <c r="J13401">
        <v>1</v>
      </c>
      <c r="K13401">
        <v>0.83799999999999997</v>
      </c>
      <c r="L13401">
        <v>0.5</v>
      </c>
      <c r="M13401">
        <v>0.84799999999999998</v>
      </c>
      <c r="N13401">
        <v>0.59</v>
      </c>
    </row>
    <row r="13402" spans="1:14" x14ac:dyDescent="0.25">
      <c r="A13402" t="s">
        <v>22886</v>
      </c>
      <c r="B13402" t="s">
        <v>22887</v>
      </c>
      <c r="C13402" s="1" t="str">
        <f>HYPERLINK("http://www.genecards.org/cgi-bin/carddisp.pl?gene=RCAN2","GeneCards")</f>
        <v>GeneCards</v>
      </c>
      <c r="D13402" s="1" t="str">
        <f>HYPERLINK("http://genome-euro.ucsc.edu/cgi-bin/hgTracks?position=203498_at","UCSC")</f>
        <v>UCSC</v>
      </c>
      <c r="E13402" s="1" t="str">
        <f>HYPERLINK("http://www.ncbi.nlm.nih.gov/gene/?term=RCAN2","NCBI")</f>
        <v>NCBI</v>
      </c>
      <c r="F13402">
        <v>0.45</v>
      </c>
      <c r="G13402">
        <v>0.56999999999999995</v>
      </c>
      <c r="H13402" s="1" t="str">
        <f>HYPERLINK("http://www.weizmann.ac.il/complex/compphys/software/geview/data/figures/203498_at.png","Figure")</f>
        <v>Figure</v>
      </c>
      <c r="I13402">
        <v>1.05</v>
      </c>
      <c r="J13402">
        <v>0.46</v>
      </c>
      <c r="K13402">
        <v>1.04</v>
      </c>
      <c r="L13402">
        <v>0.57999999999999996</v>
      </c>
      <c r="M13402">
        <v>0.98599999999999999</v>
      </c>
      <c r="N13402">
        <v>0.93</v>
      </c>
    </row>
    <row r="13403" spans="1:14" x14ac:dyDescent="0.25">
      <c r="A13403" t="s">
        <v>22888</v>
      </c>
      <c r="B13403" t="s">
        <v>19228</v>
      </c>
      <c r="C13403" s="1" t="str">
        <f>HYPERLINK("http://www.genecards.org/cgi-bin/carddisp.pl?gene=FNTB","GeneCards")</f>
        <v>GeneCards</v>
      </c>
      <c r="D13403" s="1" t="str">
        <f>HYPERLINK("http://genome-euro.ucsc.edu/cgi-bin/hgTracks?position=204764_at","UCSC")</f>
        <v>UCSC</v>
      </c>
      <c r="E13403" s="1" t="str">
        <f>HYPERLINK("http://www.ncbi.nlm.nih.gov/gene/?term=FNTB","NCBI")</f>
        <v>NCBI</v>
      </c>
      <c r="F13403">
        <v>0.45</v>
      </c>
      <c r="G13403">
        <v>0.56999999999999995</v>
      </c>
      <c r="H13403" s="1" t="str">
        <f>HYPERLINK("http://www.weizmann.ac.il/complex/compphys/software/geview/data/figures/204764_at.png","Figure")</f>
        <v>Figure</v>
      </c>
      <c r="I13403">
        <v>1.02</v>
      </c>
      <c r="J13403">
        <v>0.93</v>
      </c>
      <c r="K13403">
        <v>0.95399999999999996</v>
      </c>
      <c r="L13403">
        <v>0.66</v>
      </c>
      <c r="M13403">
        <v>0.93300000000000005</v>
      </c>
      <c r="N13403">
        <v>0.46</v>
      </c>
    </row>
    <row r="13404" spans="1:14" x14ac:dyDescent="0.25">
      <c r="A13404" t="s">
        <v>22889</v>
      </c>
      <c r="B13404" t="s">
        <v>20223</v>
      </c>
      <c r="C13404" s="1" t="str">
        <f>HYPERLINK("http://www.genecards.org/cgi-bin/carddisp.pl?gene=ALDH1A2","GeneCards")</f>
        <v>GeneCards</v>
      </c>
      <c r="D13404" s="1" t="str">
        <f>HYPERLINK("http://genome-euro.ucsc.edu/cgi-bin/hgTracks?position=207016_s_at","UCSC")</f>
        <v>UCSC</v>
      </c>
      <c r="E13404" s="1" t="str">
        <f>HYPERLINK("http://www.ncbi.nlm.nih.gov/gene/?term=ALDH1A2","NCBI")</f>
        <v>NCBI</v>
      </c>
      <c r="F13404">
        <v>0.45</v>
      </c>
      <c r="G13404">
        <v>0.56999999999999995</v>
      </c>
      <c r="H13404" s="1" t="str">
        <f>HYPERLINK("http://www.weizmann.ac.il/complex/compphys/software/geview/data/figures/207016_s_at.png","Figure")</f>
        <v>Figure</v>
      </c>
      <c r="I13404">
        <v>1.01</v>
      </c>
      <c r="J13404">
        <v>0.49</v>
      </c>
      <c r="K13404">
        <v>1</v>
      </c>
      <c r="L13404">
        <v>0.53</v>
      </c>
      <c r="M13404">
        <v>0.999</v>
      </c>
      <c r="N13404">
        <v>0.97</v>
      </c>
    </row>
    <row r="13405" spans="1:14" x14ac:dyDescent="0.25">
      <c r="A13405" t="s">
        <v>22890</v>
      </c>
      <c r="B13405" t="s">
        <v>22891</v>
      </c>
      <c r="C13405" s="1" t="str">
        <f>HYPERLINK("http://www.genecards.org/cgi-bin/carddisp.pl?gene=PAFAH1B2","GeneCards")</f>
        <v>GeneCards</v>
      </c>
      <c r="D13405" s="1" t="str">
        <f>HYPERLINK("http://genome-euro.ucsc.edu/cgi-bin/hgTracks?position=210160_at","UCSC")</f>
        <v>UCSC</v>
      </c>
      <c r="E13405" s="1" t="str">
        <f>HYPERLINK("http://www.ncbi.nlm.nih.gov/gene/?term=PAFAH1B2","NCBI")</f>
        <v>NCBI</v>
      </c>
      <c r="F13405">
        <v>0.45</v>
      </c>
      <c r="G13405">
        <v>0.56999999999999995</v>
      </c>
      <c r="H13405" s="1" t="str">
        <f>HYPERLINK("http://www.weizmann.ac.il/complex/compphys/software/geview/data/figures/210160_at.png","Figure")</f>
        <v>Figure</v>
      </c>
      <c r="I13405">
        <v>1.01</v>
      </c>
      <c r="J13405">
        <v>0.49</v>
      </c>
      <c r="K13405">
        <v>1</v>
      </c>
      <c r="L13405">
        <v>0.53</v>
      </c>
      <c r="M13405">
        <v>0.999</v>
      </c>
      <c r="N13405">
        <v>0.97</v>
      </c>
    </row>
    <row r="13406" spans="1:14" x14ac:dyDescent="0.25">
      <c r="A13406" t="s">
        <v>22892</v>
      </c>
      <c r="B13406" t="s">
        <v>22893</v>
      </c>
      <c r="C13406" s="1" t="str">
        <f>HYPERLINK("http://www.genecards.org/cgi-bin/carddisp.pl?gene=LILRA1","GeneCards")</f>
        <v>GeneCards</v>
      </c>
      <c r="D13406" s="1" t="str">
        <f>HYPERLINK("http://genome-euro.ucsc.edu/cgi-bin/hgTracks?position=210660_at","UCSC")</f>
        <v>UCSC</v>
      </c>
      <c r="E13406" s="1" t="str">
        <f>HYPERLINK("http://www.ncbi.nlm.nih.gov/gene/?term=LILRA1","NCBI")</f>
        <v>NCBI</v>
      </c>
      <c r="F13406">
        <v>0.45</v>
      </c>
      <c r="G13406">
        <v>0.56999999999999995</v>
      </c>
      <c r="H13406" s="1" t="str">
        <f>HYPERLINK("http://www.weizmann.ac.il/complex/compphys/software/geview/data/figures/210660_at.png","Figure")</f>
        <v>Figure</v>
      </c>
      <c r="I13406">
        <v>1.01</v>
      </c>
      <c r="J13406">
        <v>0.99</v>
      </c>
      <c r="K13406">
        <v>1.07</v>
      </c>
      <c r="L13406">
        <v>0.48</v>
      </c>
      <c r="M13406">
        <v>1.06</v>
      </c>
      <c r="N13406">
        <v>0.62</v>
      </c>
    </row>
    <row r="13407" spans="1:14" x14ac:dyDescent="0.25">
      <c r="A13407" t="s">
        <v>22894</v>
      </c>
      <c r="B13407" t="s">
        <v>12850</v>
      </c>
      <c r="C13407" s="1" t="str">
        <f>HYPERLINK("http://www.genecards.org/cgi-bin/carddisp.pl?gene=PDLIM4","GeneCards")</f>
        <v>GeneCards</v>
      </c>
      <c r="D13407" s="1" t="str">
        <f>HYPERLINK("http://genome-euro.ucsc.edu/cgi-bin/hgTracks?position=214174_s_at","UCSC")</f>
        <v>UCSC</v>
      </c>
      <c r="E13407" s="1" t="str">
        <f>HYPERLINK("http://www.ncbi.nlm.nih.gov/gene/?term=PDLIM4","NCBI")</f>
        <v>NCBI</v>
      </c>
      <c r="F13407">
        <v>0.45</v>
      </c>
      <c r="G13407">
        <v>0.56999999999999995</v>
      </c>
      <c r="H13407" s="1" t="str">
        <f>HYPERLINK("http://www.weizmann.ac.il/complex/compphys/software/geview/data/figures/214174_s_at.png","Figure")</f>
        <v>Figure</v>
      </c>
      <c r="I13407">
        <v>1.1599999999999999</v>
      </c>
      <c r="J13407">
        <v>0.48</v>
      </c>
      <c r="K13407">
        <v>1.1200000000000001</v>
      </c>
      <c r="L13407">
        <v>0.56000000000000005</v>
      </c>
      <c r="M13407">
        <v>0.96699999999999997</v>
      </c>
      <c r="N13407">
        <v>0.95</v>
      </c>
    </row>
    <row r="13408" spans="1:14" x14ac:dyDescent="0.25">
      <c r="A13408" t="s">
        <v>22895</v>
      </c>
      <c r="B13408" t="s">
        <v>4695</v>
      </c>
      <c r="C13408" s="1" t="str">
        <f>HYPERLINK("http://www.genecards.org/cgi-bin/carddisp.pl?gene=CIZ1","GeneCards")</f>
        <v>GeneCards</v>
      </c>
      <c r="D13408" s="1" t="str">
        <f>HYPERLINK("http://genome-euro.ucsc.edu/cgi-bin/hgTracks?position=211358_s_at","UCSC")</f>
        <v>UCSC</v>
      </c>
      <c r="E13408" s="1" t="str">
        <f>HYPERLINK("http://www.ncbi.nlm.nih.gov/gene/?term=CIZ1","NCBI")</f>
        <v>NCBI</v>
      </c>
      <c r="F13408">
        <v>0.45</v>
      </c>
      <c r="G13408">
        <v>0.56999999999999995</v>
      </c>
      <c r="H13408" s="1" t="str">
        <f>HYPERLINK("http://www.weizmann.ac.il/complex/compphys/software/geview/data/figures/211358_s_at.png","Figure")</f>
        <v>Figure</v>
      </c>
      <c r="I13408">
        <v>0.96399999999999997</v>
      </c>
      <c r="J13408">
        <v>0.42</v>
      </c>
      <c r="K13408">
        <v>0.98299999999999998</v>
      </c>
      <c r="L13408">
        <v>0.77</v>
      </c>
      <c r="M13408">
        <v>1.02</v>
      </c>
      <c r="N13408">
        <v>0.74</v>
      </c>
    </row>
    <row r="13409" spans="1:14" x14ac:dyDescent="0.25">
      <c r="A13409" t="s">
        <v>22896</v>
      </c>
      <c r="B13409" t="s">
        <v>15463</v>
      </c>
      <c r="C13409" s="1" t="str">
        <f>HYPERLINK("http://www.genecards.org/cgi-bin/carddisp.pl?gene=TGFBR2","GeneCards")</f>
        <v>GeneCards</v>
      </c>
      <c r="D13409" s="1" t="str">
        <f>HYPERLINK("http://genome-euro.ucsc.edu/cgi-bin/hgTracks?position=207334_s_at","UCSC")</f>
        <v>UCSC</v>
      </c>
      <c r="E13409" s="1" t="str">
        <f>HYPERLINK("http://www.ncbi.nlm.nih.gov/gene/?term=TGFBR2","NCBI")</f>
        <v>NCBI</v>
      </c>
      <c r="F13409">
        <v>0.45</v>
      </c>
      <c r="G13409">
        <v>0.56999999999999995</v>
      </c>
      <c r="H13409" s="1" t="str">
        <f>HYPERLINK("http://www.weizmann.ac.il/complex/compphys/software/geview/data/figures/207334_s_at.png","Figure")</f>
        <v>Figure</v>
      </c>
      <c r="I13409">
        <v>1</v>
      </c>
      <c r="J13409">
        <v>1</v>
      </c>
      <c r="K13409">
        <v>0.95799999999999996</v>
      </c>
      <c r="L13409">
        <v>0.52</v>
      </c>
      <c r="M13409">
        <v>0.95799999999999996</v>
      </c>
      <c r="N13409">
        <v>0.56000000000000005</v>
      </c>
    </row>
    <row r="13410" spans="1:14" x14ac:dyDescent="0.25">
      <c r="A13410" t="s">
        <v>22897</v>
      </c>
      <c r="B13410" t="s">
        <v>16985</v>
      </c>
      <c r="C13410" s="1" t="str">
        <f>HYPERLINK("http://www.genecards.org/cgi-bin/carddisp.pl?gene=ANAPC5","GeneCards")</f>
        <v>GeneCards</v>
      </c>
      <c r="D13410" s="1" t="str">
        <f>HYPERLINK("http://genome-euro.ucsc.edu/cgi-bin/hgTracks?position=208722_s_at","UCSC")</f>
        <v>UCSC</v>
      </c>
      <c r="E13410" s="1" t="str">
        <f>HYPERLINK("http://www.ncbi.nlm.nih.gov/gene/?term=ANAPC5","NCBI")</f>
        <v>NCBI</v>
      </c>
      <c r="F13410">
        <v>0.45</v>
      </c>
      <c r="G13410">
        <v>0.56999999999999995</v>
      </c>
      <c r="H13410" s="1" t="str">
        <f>HYPERLINK("http://www.weizmann.ac.il/complex/compphys/software/geview/data/figures/208722_s_at.png","Figure")</f>
        <v>Figure</v>
      </c>
      <c r="I13410">
        <v>1.0900000000000001</v>
      </c>
      <c r="J13410">
        <v>0.78</v>
      </c>
      <c r="K13410">
        <v>1.1599999999999999</v>
      </c>
      <c r="L13410">
        <v>0.42</v>
      </c>
      <c r="M13410">
        <v>1.06</v>
      </c>
      <c r="N13410">
        <v>0.88</v>
      </c>
    </row>
    <row r="13411" spans="1:14" x14ac:dyDescent="0.25">
      <c r="A13411" t="s">
        <v>22898</v>
      </c>
      <c r="B13411" t="s">
        <v>4311</v>
      </c>
      <c r="C13411" s="1" t="str">
        <f>HYPERLINK("http://www.genecards.org/cgi-bin/carddisp.pl?gene=UCP3","GeneCards")</f>
        <v>GeneCards</v>
      </c>
      <c r="D13411" s="1" t="str">
        <f>HYPERLINK("http://genome-euro.ucsc.edu/cgi-bin/hgTracks?position=207349_s_at","UCSC")</f>
        <v>UCSC</v>
      </c>
      <c r="E13411" s="1" t="str">
        <f>HYPERLINK("http://www.ncbi.nlm.nih.gov/gene/?term=UCP3","NCBI")</f>
        <v>NCBI</v>
      </c>
      <c r="F13411">
        <v>0.45</v>
      </c>
      <c r="G13411">
        <v>0.56999999999999995</v>
      </c>
      <c r="H13411" s="1" t="str">
        <f>HYPERLINK("http://www.weizmann.ac.il/complex/compphys/software/geview/data/figures/207349_s_at.png","Figure")</f>
        <v>Figure</v>
      </c>
      <c r="I13411">
        <v>1.05</v>
      </c>
      <c r="J13411">
        <v>0.66</v>
      </c>
      <c r="K13411">
        <v>0.98399999999999999</v>
      </c>
      <c r="L13411">
        <v>0.93</v>
      </c>
      <c r="M13411">
        <v>0.94099999999999995</v>
      </c>
      <c r="N13411">
        <v>0.42</v>
      </c>
    </row>
    <row r="13412" spans="1:14" x14ac:dyDescent="0.25">
      <c r="A13412" t="s">
        <v>22899</v>
      </c>
      <c r="B13412" t="s">
        <v>10465</v>
      </c>
      <c r="C13412" s="1" t="str">
        <f>HYPERLINK("http://www.genecards.org/cgi-bin/carddisp.pl?gene=PTP4A2","GeneCards")</f>
        <v>GeneCards</v>
      </c>
      <c r="D13412" s="1" t="str">
        <f>HYPERLINK("http://genome-euro.ucsc.edu/cgi-bin/hgTracks?position=216988_s_at","UCSC")</f>
        <v>UCSC</v>
      </c>
      <c r="E13412" s="1" t="str">
        <f>HYPERLINK("http://www.ncbi.nlm.nih.gov/gene/?term=PTP4A2","NCBI")</f>
        <v>NCBI</v>
      </c>
      <c r="F13412">
        <v>0.45</v>
      </c>
      <c r="G13412">
        <v>0.56999999999999995</v>
      </c>
      <c r="H13412" s="1" t="str">
        <f>HYPERLINK("http://www.weizmann.ac.il/complex/compphys/software/geview/data/figures/216988_s_at.png","Figure")</f>
        <v>Figure</v>
      </c>
      <c r="I13412">
        <v>0.96199999999999997</v>
      </c>
      <c r="J13412">
        <v>0.94</v>
      </c>
      <c r="K13412">
        <v>0.88300000000000001</v>
      </c>
      <c r="L13412">
        <v>0.44</v>
      </c>
      <c r="M13412">
        <v>0.91800000000000004</v>
      </c>
      <c r="N13412">
        <v>0.7</v>
      </c>
    </row>
    <row r="13413" spans="1:14" x14ac:dyDescent="0.25">
      <c r="A13413" t="s">
        <v>22900</v>
      </c>
      <c r="B13413" t="s">
        <v>22901</v>
      </c>
      <c r="C13413" s="1" t="str">
        <f>HYPERLINK("http://www.genecards.org/cgi-bin/carddisp.pl?gene=RBM17","GeneCards")</f>
        <v>GeneCards</v>
      </c>
      <c r="D13413" s="1" t="str">
        <f>HYPERLINK("http://genome-euro.ucsc.edu/cgi-bin/hgTracks?position=221309_at","UCSC")</f>
        <v>UCSC</v>
      </c>
      <c r="E13413" s="1" t="str">
        <f>HYPERLINK("http://www.ncbi.nlm.nih.gov/gene/?term=RBM17","NCBI")</f>
        <v>NCBI</v>
      </c>
      <c r="F13413">
        <v>0.45</v>
      </c>
      <c r="G13413">
        <v>0.56999999999999995</v>
      </c>
      <c r="H13413" s="1" t="str">
        <f>HYPERLINK("http://www.weizmann.ac.il/complex/compphys/software/geview/data/figures/221309_at.png","Figure")</f>
        <v>Figure</v>
      </c>
      <c r="I13413">
        <v>1.08</v>
      </c>
      <c r="J13413">
        <v>0.42</v>
      </c>
      <c r="K13413">
        <v>1.03</v>
      </c>
      <c r="L13413">
        <v>0.83</v>
      </c>
      <c r="M13413">
        <v>0.95499999999999996</v>
      </c>
      <c r="N13413">
        <v>0.68</v>
      </c>
    </row>
    <row r="13414" spans="1:14" x14ac:dyDescent="0.25">
      <c r="A13414" t="s">
        <v>22902</v>
      </c>
      <c r="B13414" t="s">
        <v>22903</v>
      </c>
      <c r="C13414" s="1" t="str">
        <f>HYPERLINK("http://www.genecards.org/cgi-bin/carddisp.pl?gene=TIMM23","GeneCards")</f>
        <v>GeneCards</v>
      </c>
      <c r="D13414" s="1" t="str">
        <f>HYPERLINK("http://genome-euro.ucsc.edu/cgi-bin/hgTracks?position=218118_s_at","UCSC")</f>
        <v>UCSC</v>
      </c>
      <c r="E13414" s="1" t="str">
        <f>HYPERLINK("http://www.ncbi.nlm.nih.gov/gene/?term=TIMM23","NCBI")</f>
        <v>NCBI</v>
      </c>
      <c r="F13414">
        <v>0.45</v>
      </c>
      <c r="G13414">
        <v>0.56999999999999995</v>
      </c>
      <c r="H13414" s="1" t="str">
        <f>HYPERLINK("http://www.weizmann.ac.il/complex/compphys/software/geview/data/figures/218118_s_at.png","Figure")</f>
        <v>Figure</v>
      </c>
      <c r="I13414">
        <v>0.79400000000000004</v>
      </c>
      <c r="J13414">
        <v>0.5</v>
      </c>
      <c r="K13414">
        <v>0.82499999999999996</v>
      </c>
      <c r="L13414">
        <v>0.53</v>
      </c>
      <c r="M13414">
        <v>1.04</v>
      </c>
      <c r="N13414">
        <v>0.98</v>
      </c>
    </row>
    <row r="13415" spans="1:14" x14ac:dyDescent="0.25">
      <c r="A13415" t="s">
        <v>22904</v>
      </c>
      <c r="B13415" t="s">
        <v>8366</v>
      </c>
      <c r="C13415" s="1" t="str">
        <f>HYPERLINK("http://www.genecards.org/cgi-bin/carddisp.pl?gene=RTCD1","GeneCards")</f>
        <v>GeneCards</v>
      </c>
      <c r="D13415" s="1" t="str">
        <f>HYPERLINK("http://genome-euro.ucsc.edu/cgi-bin/hgTracks?position=215351_at","UCSC")</f>
        <v>UCSC</v>
      </c>
      <c r="E13415" s="1" t="str">
        <f>HYPERLINK("http://www.ncbi.nlm.nih.gov/gene/?term=RTCD1","NCBI")</f>
        <v>NCBI</v>
      </c>
      <c r="F13415">
        <v>0.45</v>
      </c>
      <c r="G13415">
        <v>0.56999999999999995</v>
      </c>
      <c r="H13415" s="1" t="str">
        <f>HYPERLINK("http://www.weizmann.ac.il/complex/compphys/software/geview/data/figures/215351_at.png","Figure")</f>
        <v>Figure</v>
      </c>
      <c r="I13415">
        <v>1</v>
      </c>
      <c r="J13415">
        <v>1</v>
      </c>
      <c r="K13415">
        <v>0.96499999999999997</v>
      </c>
      <c r="L13415">
        <v>0.52</v>
      </c>
      <c r="M13415">
        <v>0.96499999999999997</v>
      </c>
      <c r="N13415">
        <v>0.56000000000000005</v>
      </c>
    </row>
    <row r="13416" spans="1:14" x14ac:dyDescent="0.25">
      <c r="A13416" t="s">
        <v>22905</v>
      </c>
      <c r="B13416" t="s">
        <v>22906</v>
      </c>
      <c r="C13416" s="1" t="str">
        <f>HYPERLINK("http://www.genecards.org/cgi-bin/carddisp.pl?gene=SLC22A18AS","GeneCards")</f>
        <v>GeneCards</v>
      </c>
      <c r="D13416" s="1" t="str">
        <f>HYPERLINK("http://genome-euro.ucsc.edu/cgi-bin/hgTracks?position=206097_at","UCSC")</f>
        <v>UCSC</v>
      </c>
      <c r="E13416" s="1" t="str">
        <f>HYPERLINK("http://www.ncbi.nlm.nih.gov/gene/?term=SLC22A18AS","NCBI")</f>
        <v>NCBI</v>
      </c>
      <c r="F13416">
        <v>0.45</v>
      </c>
      <c r="G13416">
        <v>0.56999999999999995</v>
      </c>
      <c r="H13416" s="1" t="str">
        <f>HYPERLINK("http://www.weizmann.ac.il/complex/compphys/software/geview/data/figures/206097_at.png","Figure")</f>
        <v>Figure</v>
      </c>
      <c r="I13416">
        <v>1.0900000000000001</v>
      </c>
      <c r="J13416">
        <v>0.6</v>
      </c>
      <c r="K13416">
        <v>0.98099999999999998</v>
      </c>
      <c r="L13416">
        <v>0.97</v>
      </c>
      <c r="M13416">
        <v>0.9</v>
      </c>
      <c r="N13416">
        <v>0.44</v>
      </c>
    </row>
    <row r="13417" spans="1:14" x14ac:dyDescent="0.25">
      <c r="A13417" t="s">
        <v>22907</v>
      </c>
      <c r="B13417" t="s">
        <v>22908</v>
      </c>
      <c r="C13417" s="1" t="str">
        <f>HYPERLINK("http://www.genecards.org/cgi-bin/carddisp.pl?gene=POT1","GeneCards")</f>
        <v>GeneCards</v>
      </c>
      <c r="D13417" s="1" t="str">
        <f>HYPERLINK("http://genome-euro.ucsc.edu/cgi-bin/hgTracks?position=204354_at","UCSC")</f>
        <v>UCSC</v>
      </c>
      <c r="E13417" s="1" t="str">
        <f>HYPERLINK("http://www.ncbi.nlm.nih.gov/gene/?term=POT1","NCBI")</f>
        <v>NCBI</v>
      </c>
      <c r="F13417">
        <v>0.45</v>
      </c>
      <c r="G13417">
        <v>0.56999999999999995</v>
      </c>
      <c r="H13417" s="1" t="str">
        <f>HYPERLINK("http://www.weizmann.ac.il/complex/compphys/software/geview/data/figures/204354_at.png","Figure")</f>
        <v>Figure</v>
      </c>
      <c r="I13417">
        <v>0.79400000000000004</v>
      </c>
      <c r="J13417">
        <v>0.65</v>
      </c>
      <c r="K13417">
        <v>1.08</v>
      </c>
      <c r="L13417">
        <v>0.93</v>
      </c>
      <c r="M13417">
        <v>1.36</v>
      </c>
      <c r="N13417">
        <v>0.43</v>
      </c>
    </row>
    <row r="13418" spans="1:14" x14ac:dyDescent="0.25">
      <c r="A13418" t="s">
        <v>22909</v>
      </c>
      <c r="B13418" t="s">
        <v>5699</v>
      </c>
      <c r="C13418" s="1" t="str">
        <f>HYPERLINK("http://www.genecards.org/cgi-bin/carddisp.pl?gene=DCUN1D4","GeneCards")</f>
        <v>GeneCards</v>
      </c>
      <c r="D13418" s="1" t="str">
        <f>HYPERLINK("http://genome-euro.ucsc.edu/cgi-bin/hgTracks?position=212853_at","UCSC")</f>
        <v>UCSC</v>
      </c>
      <c r="E13418" s="1" t="str">
        <f>HYPERLINK("http://www.ncbi.nlm.nih.gov/gene/?term=DCUN1D4","NCBI")</f>
        <v>NCBI</v>
      </c>
      <c r="F13418">
        <v>0.45</v>
      </c>
      <c r="G13418">
        <v>0.56999999999999995</v>
      </c>
      <c r="H13418" s="1" t="str">
        <f>HYPERLINK("http://www.weizmann.ac.il/complex/compphys/software/geview/data/figures/212853_at.png","Figure")</f>
        <v>Figure</v>
      </c>
      <c r="I13418">
        <v>0.97799999999999998</v>
      </c>
      <c r="J13418">
        <v>0.96</v>
      </c>
      <c r="K13418">
        <v>0.91900000000000004</v>
      </c>
      <c r="L13418">
        <v>0.45</v>
      </c>
      <c r="M13418">
        <v>0.94</v>
      </c>
      <c r="N13418">
        <v>0.68</v>
      </c>
    </row>
    <row r="13419" spans="1:14" x14ac:dyDescent="0.25">
      <c r="A13419" t="s">
        <v>22910</v>
      </c>
      <c r="B13419" t="s">
        <v>22911</v>
      </c>
      <c r="C13419" s="1" t="str">
        <f>HYPERLINK("http://www.genecards.org/cgi-bin/carddisp.pl?gene=DECR2 /// NME4","GeneCards")</f>
        <v>GeneCards</v>
      </c>
      <c r="D13419" s="1" t="str">
        <f>HYPERLINK("http://genome-euro.ucsc.edu/cgi-bin/hgTracks?position=219664_s_at","UCSC")</f>
        <v>UCSC</v>
      </c>
      <c r="E13419" s="1" t="str">
        <f>HYPERLINK("http://www.ncbi.nlm.nih.gov/gene/?term=DECR2 /// NME4","NCBI")</f>
        <v>NCBI</v>
      </c>
      <c r="F13419">
        <v>0.45</v>
      </c>
      <c r="G13419">
        <v>0.56999999999999995</v>
      </c>
      <c r="H13419" s="1" t="str">
        <f>HYPERLINK("http://www.weizmann.ac.il/complex/compphys/software/geview/data/figures/219664_s_at.png","Figure")</f>
        <v>Figure</v>
      </c>
      <c r="I13419">
        <v>1.1599999999999999</v>
      </c>
      <c r="J13419">
        <v>0.46</v>
      </c>
      <c r="K13419">
        <v>1.02</v>
      </c>
      <c r="L13419">
        <v>0.97</v>
      </c>
      <c r="M13419">
        <v>0.88400000000000001</v>
      </c>
      <c r="N13419">
        <v>0.54</v>
      </c>
    </row>
    <row r="13420" spans="1:14" x14ac:dyDescent="0.25">
      <c r="A13420" t="s">
        <v>22912</v>
      </c>
      <c r="B13420" t="s">
        <v>22913</v>
      </c>
      <c r="C13420" s="1" t="str">
        <f>HYPERLINK("http://www.genecards.org/cgi-bin/carddisp.pl?gene=MTR","GeneCards")</f>
        <v>GeneCards</v>
      </c>
      <c r="D13420" s="1" t="str">
        <f>HYPERLINK("http://genome-euro.ucsc.edu/cgi-bin/hgTracks?position=203774_at","UCSC")</f>
        <v>UCSC</v>
      </c>
      <c r="E13420" s="1" t="str">
        <f>HYPERLINK("http://www.ncbi.nlm.nih.gov/gene/?term=MTR","NCBI")</f>
        <v>NCBI</v>
      </c>
      <c r="F13420">
        <v>0.45</v>
      </c>
      <c r="G13420">
        <v>0.56999999999999995</v>
      </c>
      <c r="H13420" s="1" t="str">
        <f>HYPERLINK("http://www.weizmann.ac.il/complex/compphys/software/geview/data/figures/203774_at.png","Figure")</f>
        <v>Figure</v>
      </c>
      <c r="I13420">
        <v>0.79600000000000004</v>
      </c>
      <c r="J13420">
        <v>0.46</v>
      </c>
      <c r="K13420">
        <v>0.96199999999999997</v>
      </c>
      <c r="L13420">
        <v>0.97</v>
      </c>
      <c r="M13420">
        <v>1.21</v>
      </c>
      <c r="N13420">
        <v>0.54</v>
      </c>
    </row>
    <row r="13421" spans="1:14" x14ac:dyDescent="0.25">
      <c r="A13421" t="s">
        <v>22914</v>
      </c>
      <c r="B13421" t="s">
        <v>22915</v>
      </c>
      <c r="C13421" s="1" t="str">
        <f>HYPERLINK("http://www.genecards.org/cgi-bin/carddisp.pl?gene=HSPA9","GeneCards")</f>
        <v>GeneCards</v>
      </c>
      <c r="D13421" s="1" t="str">
        <f>HYPERLINK("http://genome-euro.ucsc.edu/cgi-bin/hgTracks?position=200691_s_at","UCSC")</f>
        <v>UCSC</v>
      </c>
      <c r="E13421" s="1" t="str">
        <f>HYPERLINK("http://www.ncbi.nlm.nih.gov/gene/?term=HSPA9","NCBI")</f>
        <v>NCBI</v>
      </c>
      <c r="F13421">
        <v>0.45</v>
      </c>
      <c r="G13421">
        <v>0.56999999999999995</v>
      </c>
      <c r="H13421" s="1" t="str">
        <f>HYPERLINK("http://www.weizmann.ac.il/complex/compphys/software/geview/data/figures/200691_s_at.png","Figure")</f>
        <v>Figure</v>
      </c>
      <c r="I13421">
        <v>1.26</v>
      </c>
      <c r="J13421">
        <v>0.42</v>
      </c>
      <c r="K13421">
        <v>1.1100000000000001</v>
      </c>
      <c r="L13421">
        <v>0.77</v>
      </c>
      <c r="M13421">
        <v>0.88500000000000001</v>
      </c>
      <c r="N13421">
        <v>0.75</v>
      </c>
    </row>
    <row r="13422" spans="1:14" x14ac:dyDescent="0.25">
      <c r="A13422" t="s">
        <v>22916</v>
      </c>
      <c r="B13422" t="s">
        <v>22762</v>
      </c>
      <c r="C13422" s="1" t="str">
        <f>HYPERLINK("http://www.genecards.org/cgi-bin/carddisp.pl?gene=ALDH5A1","GeneCards")</f>
        <v>GeneCards</v>
      </c>
      <c r="D13422" s="1" t="str">
        <f>HYPERLINK("http://genome-euro.ucsc.edu/cgi-bin/hgTracks?position=203609_s_at","UCSC")</f>
        <v>UCSC</v>
      </c>
      <c r="E13422" s="1" t="str">
        <f>HYPERLINK("http://www.ncbi.nlm.nih.gov/gene/?term=ALDH5A1","NCBI")</f>
        <v>NCBI</v>
      </c>
      <c r="F13422">
        <v>0.45</v>
      </c>
      <c r="G13422">
        <v>0.56999999999999995</v>
      </c>
      <c r="H13422" s="1" t="str">
        <f>HYPERLINK("http://www.weizmann.ac.il/complex/compphys/software/geview/data/figures/203609_s_at.png","Figure")</f>
        <v>Figure</v>
      </c>
      <c r="I13422">
        <v>1.1399999999999999</v>
      </c>
      <c r="J13422">
        <v>0.56999999999999995</v>
      </c>
      <c r="K13422">
        <v>0.98199999999999998</v>
      </c>
      <c r="L13422">
        <v>0.99</v>
      </c>
      <c r="M13422">
        <v>0.86299999999999999</v>
      </c>
      <c r="N13422">
        <v>0.45</v>
      </c>
    </row>
    <row r="13423" spans="1:14" x14ac:dyDescent="0.25">
      <c r="A13423" t="s">
        <v>22917</v>
      </c>
      <c r="B13423" t="s">
        <v>22918</v>
      </c>
      <c r="C13423" s="1" t="str">
        <f>HYPERLINK("http://www.genecards.org/cgi-bin/carddisp.pl?gene=PTPRD","GeneCards")</f>
        <v>GeneCards</v>
      </c>
      <c r="D13423" s="1" t="str">
        <f>HYPERLINK("http://genome-euro.ucsc.edu/cgi-bin/hgTracks?position=205712_at","UCSC")</f>
        <v>UCSC</v>
      </c>
      <c r="E13423" s="1" t="str">
        <f>HYPERLINK("http://www.ncbi.nlm.nih.gov/gene/?term=PTPRD","NCBI")</f>
        <v>NCBI</v>
      </c>
      <c r="F13423">
        <v>0.45</v>
      </c>
      <c r="G13423">
        <v>0.56999999999999995</v>
      </c>
      <c r="H13423" s="1" t="str">
        <f>HYPERLINK("http://www.weizmann.ac.il/complex/compphys/software/geview/data/figures/205712_at.png","Figure")</f>
        <v>Figure</v>
      </c>
      <c r="I13423">
        <v>1.1399999999999999</v>
      </c>
      <c r="J13423">
        <v>0.7</v>
      </c>
      <c r="K13423">
        <v>0.93899999999999995</v>
      </c>
      <c r="L13423">
        <v>0.89</v>
      </c>
      <c r="M13423">
        <v>0.82599999999999996</v>
      </c>
      <c r="N13423">
        <v>0.42</v>
      </c>
    </row>
    <row r="13424" spans="1:14" x14ac:dyDescent="0.25">
      <c r="A13424" t="s">
        <v>22919</v>
      </c>
      <c r="B13424" t="s">
        <v>22920</v>
      </c>
      <c r="C13424" s="1" t="str">
        <f>HYPERLINK("http://www.genecards.org/cgi-bin/carddisp.pl?gene=PRPF4","GeneCards")</f>
        <v>GeneCards</v>
      </c>
      <c r="D13424" s="1" t="str">
        <f>HYPERLINK("http://genome-euro.ucsc.edu/cgi-bin/hgTracks?position=209162_s_at","UCSC")</f>
        <v>UCSC</v>
      </c>
      <c r="E13424" s="1" t="str">
        <f>HYPERLINK("http://www.ncbi.nlm.nih.gov/gene/?term=PRPF4","NCBI")</f>
        <v>NCBI</v>
      </c>
      <c r="F13424">
        <v>0.45</v>
      </c>
      <c r="G13424">
        <v>0.56999999999999995</v>
      </c>
      <c r="H13424" s="1" t="str">
        <f>HYPERLINK("http://www.weizmann.ac.il/complex/compphys/software/geview/data/figures/209162_s_at.png","Figure")</f>
        <v>Figure</v>
      </c>
      <c r="I13424">
        <v>0.90100000000000002</v>
      </c>
      <c r="J13424">
        <v>0.78</v>
      </c>
      <c r="K13424">
        <v>0.84</v>
      </c>
      <c r="L13424">
        <v>0.42</v>
      </c>
      <c r="M13424">
        <v>0.93300000000000005</v>
      </c>
      <c r="N13424">
        <v>0.88</v>
      </c>
    </row>
    <row r="13425" spans="1:14" x14ac:dyDescent="0.25">
      <c r="A13425" t="s">
        <v>22921</v>
      </c>
      <c r="B13425" t="s">
        <v>22922</v>
      </c>
      <c r="C13425" s="1" t="str">
        <f>HYPERLINK("http://www.genecards.org/cgi-bin/carddisp.pl?gene=MTRF1","GeneCards")</f>
        <v>GeneCards</v>
      </c>
      <c r="D13425" s="1" t="str">
        <f>HYPERLINK("http://genome-euro.ucsc.edu/cgi-bin/hgTracks?position=219822_at","UCSC")</f>
        <v>UCSC</v>
      </c>
      <c r="E13425" s="1" t="str">
        <f>HYPERLINK("http://www.ncbi.nlm.nih.gov/gene/?term=MTRF1","NCBI")</f>
        <v>NCBI</v>
      </c>
      <c r="F13425">
        <v>0.45</v>
      </c>
      <c r="G13425">
        <v>0.56999999999999995</v>
      </c>
      <c r="H13425" s="1" t="str">
        <f>HYPERLINK("http://www.weizmann.ac.il/complex/compphys/software/geview/data/figures/219822_at.png","Figure")</f>
        <v>Figure</v>
      </c>
      <c r="I13425">
        <v>0.75600000000000001</v>
      </c>
      <c r="J13425">
        <v>0.45</v>
      </c>
      <c r="K13425">
        <v>0.94099999999999995</v>
      </c>
      <c r="L13425">
        <v>0.95</v>
      </c>
      <c r="M13425">
        <v>1.24</v>
      </c>
      <c r="N13425">
        <v>0.56999999999999995</v>
      </c>
    </row>
    <row r="13426" spans="1:14" x14ac:dyDescent="0.25">
      <c r="A13426" t="s">
        <v>22923</v>
      </c>
      <c r="B13426" t="s">
        <v>22924</v>
      </c>
      <c r="C13426" s="1" t="str">
        <f>HYPERLINK("http://www.genecards.org/cgi-bin/carddisp.pl?gene=XPA","GeneCards")</f>
        <v>GeneCards</v>
      </c>
      <c r="D13426" s="1" t="str">
        <f>HYPERLINK("http://genome-euro.ucsc.edu/cgi-bin/hgTracks?position=205672_at","UCSC")</f>
        <v>UCSC</v>
      </c>
      <c r="E13426" s="1" t="str">
        <f>HYPERLINK("http://www.ncbi.nlm.nih.gov/gene/?term=XPA","NCBI")</f>
        <v>NCBI</v>
      </c>
      <c r="F13426">
        <v>0.45</v>
      </c>
      <c r="G13426">
        <v>0.56999999999999995</v>
      </c>
      <c r="H13426" s="1" t="str">
        <f>HYPERLINK("http://www.weizmann.ac.il/complex/compphys/software/geview/data/figures/205672_at.png","Figure")</f>
        <v>Figure</v>
      </c>
      <c r="I13426">
        <v>0.78300000000000003</v>
      </c>
      <c r="J13426">
        <v>0.44</v>
      </c>
      <c r="K13426">
        <v>0.93700000000000006</v>
      </c>
      <c r="L13426">
        <v>0.92</v>
      </c>
      <c r="M13426">
        <v>1.2</v>
      </c>
      <c r="N13426">
        <v>0.59</v>
      </c>
    </row>
    <row r="13427" spans="1:14" x14ac:dyDescent="0.25">
      <c r="A13427" t="s">
        <v>22925</v>
      </c>
      <c r="B13427" t="s">
        <v>22926</v>
      </c>
      <c r="C13427" s="1" t="str">
        <f>HYPERLINK("http://www.genecards.org/cgi-bin/carddisp.pl?gene=SUMO1","GeneCards")</f>
        <v>GeneCards</v>
      </c>
      <c r="D13427" s="1" t="str">
        <f>HYPERLINK("http://genome-euro.ucsc.edu/cgi-bin/hgTracks?position=208762_at","UCSC")</f>
        <v>UCSC</v>
      </c>
      <c r="E13427" s="1" t="str">
        <f>HYPERLINK("http://www.ncbi.nlm.nih.gov/gene/?term=SUMO1","NCBI")</f>
        <v>NCBI</v>
      </c>
      <c r="F13427">
        <v>0.45</v>
      </c>
      <c r="G13427">
        <v>0.56999999999999995</v>
      </c>
      <c r="H13427" s="1" t="str">
        <f>HYPERLINK("http://www.weizmann.ac.il/complex/compphys/software/geview/data/figures/208762_at.png","Figure")</f>
        <v>Figure</v>
      </c>
      <c r="I13427">
        <v>0.88100000000000001</v>
      </c>
      <c r="J13427">
        <v>0.44</v>
      </c>
      <c r="K13427">
        <v>0.92500000000000004</v>
      </c>
      <c r="L13427">
        <v>0.66</v>
      </c>
      <c r="M13427">
        <v>1.05</v>
      </c>
      <c r="N13427">
        <v>0.86</v>
      </c>
    </row>
    <row r="13428" spans="1:14" x14ac:dyDescent="0.25">
      <c r="A13428" t="s">
        <v>22927</v>
      </c>
      <c r="B13428" t="s">
        <v>17471</v>
      </c>
      <c r="C13428" s="1" t="str">
        <f>HYPERLINK("http://www.genecards.org/cgi-bin/carddisp.pl?gene=FLOT1","GeneCards")</f>
        <v>GeneCards</v>
      </c>
      <c r="D13428" s="1" t="str">
        <f>HYPERLINK("http://genome-euro.ucsc.edu/cgi-bin/hgTracks?position=210142_x_at","UCSC")</f>
        <v>UCSC</v>
      </c>
      <c r="E13428" s="1" t="str">
        <f>HYPERLINK("http://www.ncbi.nlm.nih.gov/gene/?term=FLOT1","NCBI")</f>
        <v>NCBI</v>
      </c>
      <c r="F13428">
        <v>0.45</v>
      </c>
      <c r="G13428">
        <v>0.56999999999999995</v>
      </c>
      <c r="H13428" s="1" t="str">
        <f>HYPERLINK("http://www.weizmann.ac.il/complex/compphys/software/geview/data/figures/210142_x_at.png","Figure")</f>
        <v>Figure</v>
      </c>
      <c r="I13428">
        <v>0.95399999999999996</v>
      </c>
      <c r="J13428">
        <v>0.94</v>
      </c>
      <c r="K13428">
        <v>1.1200000000000001</v>
      </c>
      <c r="L13428">
        <v>0.64</v>
      </c>
      <c r="M13428">
        <v>1.18</v>
      </c>
      <c r="N13428">
        <v>0.47</v>
      </c>
    </row>
    <row r="13429" spans="1:14" x14ac:dyDescent="0.25">
      <c r="A13429" t="s">
        <v>22928</v>
      </c>
      <c r="B13429" t="s">
        <v>22929</v>
      </c>
      <c r="C13429" s="1" t="str">
        <f>HYPERLINK("http://www.genecards.org/cgi-bin/carddisp.pl?gene=KCNK10","GeneCards")</f>
        <v>GeneCards</v>
      </c>
      <c r="D13429" s="1" t="str">
        <f>HYPERLINK("http://genome-euro.ucsc.edu/cgi-bin/hgTracks?position=220727_at","UCSC")</f>
        <v>UCSC</v>
      </c>
      <c r="E13429" s="1" t="str">
        <f>HYPERLINK("http://www.ncbi.nlm.nih.gov/gene/?term=KCNK10","NCBI")</f>
        <v>NCBI</v>
      </c>
      <c r="F13429">
        <v>0.45</v>
      </c>
      <c r="G13429">
        <v>0.56999999999999995</v>
      </c>
      <c r="H13429" s="1" t="str">
        <f>HYPERLINK("http://www.weizmann.ac.il/complex/compphys/software/geview/data/figures/220727_at.png","Figure")</f>
        <v>Figure</v>
      </c>
      <c r="I13429">
        <v>1.06</v>
      </c>
      <c r="J13429">
        <v>0.43</v>
      </c>
      <c r="K13429">
        <v>1.03</v>
      </c>
      <c r="L13429">
        <v>0.69</v>
      </c>
      <c r="M13429">
        <v>0.97399999999999998</v>
      </c>
      <c r="N13429">
        <v>0.82</v>
      </c>
    </row>
    <row r="13430" spans="1:14" x14ac:dyDescent="0.25">
      <c r="A13430" t="s">
        <v>22930</v>
      </c>
      <c r="B13430" t="s">
        <v>22931</v>
      </c>
      <c r="C13430" s="1" t="str">
        <f>HYPERLINK("http://www.genecards.org/cgi-bin/carddisp.pl?gene=CYB5R3","GeneCards")</f>
        <v>GeneCards</v>
      </c>
      <c r="D13430" s="1" t="str">
        <f>HYPERLINK("http://genome-euro.ucsc.edu/cgi-bin/hgTracks?position=201885_s_at","UCSC")</f>
        <v>UCSC</v>
      </c>
      <c r="E13430" s="1" t="str">
        <f>HYPERLINK("http://www.ncbi.nlm.nih.gov/gene/?term=CYB5R3","NCBI")</f>
        <v>NCBI</v>
      </c>
      <c r="F13430">
        <v>0.45</v>
      </c>
      <c r="G13430">
        <v>0.56999999999999995</v>
      </c>
      <c r="H13430" s="1" t="str">
        <f>HYPERLINK("http://www.weizmann.ac.il/complex/compphys/software/geview/data/figures/201885_s_at.png","Figure")</f>
        <v>Figure</v>
      </c>
      <c r="I13430">
        <v>0.97299999999999998</v>
      </c>
      <c r="J13430">
        <v>0.98</v>
      </c>
      <c r="K13430">
        <v>1.1399999999999999</v>
      </c>
      <c r="L13430">
        <v>0.57999999999999996</v>
      </c>
      <c r="M13430">
        <v>1.17</v>
      </c>
      <c r="N13430">
        <v>0.51</v>
      </c>
    </row>
    <row r="13431" spans="1:14" x14ac:dyDescent="0.25">
      <c r="A13431" t="s">
        <v>22932</v>
      </c>
      <c r="B13431" t="s">
        <v>22933</v>
      </c>
      <c r="C13431" s="1" t="str">
        <f>HYPERLINK("http://www.genecards.org/cgi-bin/carddisp.pl?gene=HOXA4","GeneCards")</f>
        <v>GeneCards</v>
      </c>
      <c r="D13431" s="1" t="str">
        <f>HYPERLINK("http://genome-euro.ucsc.edu/cgi-bin/hgTracks?position=206289_at","UCSC")</f>
        <v>UCSC</v>
      </c>
      <c r="E13431" s="1" t="str">
        <f>HYPERLINK("http://www.ncbi.nlm.nih.gov/gene/?term=HOXA4","NCBI")</f>
        <v>NCBI</v>
      </c>
      <c r="F13431">
        <v>0.45</v>
      </c>
      <c r="G13431">
        <v>0.56999999999999995</v>
      </c>
      <c r="H13431" s="1" t="str">
        <f>HYPERLINK("http://www.weizmann.ac.il/complex/compphys/software/geview/data/figures/206289_at.png","Figure")</f>
        <v>Figure</v>
      </c>
      <c r="I13431">
        <v>1.1299999999999999</v>
      </c>
      <c r="J13431">
        <v>0.43</v>
      </c>
      <c r="K13431">
        <v>1.07</v>
      </c>
      <c r="L13431">
        <v>0.71</v>
      </c>
      <c r="M13431">
        <v>0.94599999999999995</v>
      </c>
      <c r="N13431">
        <v>0.81</v>
      </c>
    </row>
    <row r="13432" spans="1:14" x14ac:dyDescent="0.25">
      <c r="A13432" t="s">
        <v>22934</v>
      </c>
      <c r="B13432" t="s">
        <v>10430</v>
      </c>
      <c r="C13432" s="1" t="str">
        <f>HYPERLINK("http://www.genecards.org/cgi-bin/carddisp.pl?gene=TNFRSF25","GeneCards")</f>
        <v>GeneCards</v>
      </c>
      <c r="D13432" s="1" t="str">
        <f>HYPERLINK("http://genome-euro.ucsc.edu/cgi-bin/hgTracks?position=210847_x_at","UCSC")</f>
        <v>UCSC</v>
      </c>
      <c r="E13432" s="1" t="str">
        <f>HYPERLINK("http://www.ncbi.nlm.nih.gov/gene/?term=TNFRSF25","NCBI")</f>
        <v>NCBI</v>
      </c>
      <c r="F13432">
        <v>0.45</v>
      </c>
      <c r="G13432">
        <v>0.56999999999999995</v>
      </c>
      <c r="H13432" s="1" t="str">
        <f>HYPERLINK("http://www.weizmann.ac.il/complex/compphys/software/geview/data/figures/210847_x_at.png","Figure")</f>
        <v>Figure</v>
      </c>
      <c r="I13432">
        <v>0.86299999999999999</v>
      </c>
      <c r="J13432">
        <v>0.43</v>
      </c>
      <c r="K13432">
        <v>0.92300000000000004</v>
      </c>
      <c r="L13432">
        <v>0.71</v>
      </c>
      <c r="M13432">
        <v>1.07</v>
      </c>
      <c r="N13432">
        <v>0.81</v>
      </c>
    </row>
    <row r="13433" spans="1:14" x14ac:dyDescent="0.25">
      <c r="A13433" t="s">
        <v>22935</v>
      </c>
      <c r="B13433" t="s">
        <v>22936</v>
      </c>
      <c r="C13433" s="1" t="str">
        <f>HYPERLINK("http://www.genecards.org/cgi-bin/carddisp.pl?gene=IL2RA","GeneCards")</f>
        <v>GeneCards</v>
      </c>
      <c r="D13433" s="1" t="str">
        <f>HYPERLINK("http://genome-euro.ucsc.edu/cgi-bin/hgTracks?position=211269_s_at","UCSC")</f>
        <v>UCSC</v>
      </c>
      <c r="E13433" s="1" t="str">
        <f>HYPERLINK("http://www.ncbi.nlm.nih.gov/gene/?term=IL2RA","NCBI")</f>
        <v>NCBI</v>
      </c>
      <c r="F13433">
        <v>0.45</v>
      </c>
      <c r="G13433">
        <v>0.56999999999999995</v>
      </c>
      <c r="H13433" s="1" t="str">
        <f>HYPERLINK("http://www.weizmann.ac.il/complex/compphys/software/geview/data/figures/211269_s_at.png","Figure")</f>
        <v>Figure</v>
      </c>
      <c r="I13433">
        <v>1.06</v>
      </c>
      <c r="J13433">
        <v>0.75</v>
      </c>
      <c r="K13433">
        <v>0.96099999999999997</v>
      </c>
      <c r="L13433">
        <v>0.85</v>
      </c>
      <c r="M13433">
        <v>0.90600000000000003</v>
      </c>
      <c r="N13433">
        <v>0.42</v>
      </c>
    </row>
    <row r="13434" spans="1:14" x14ac:dyDescent="0.25">
      <c r="A13434" t="s">
        <v>22937</v>
      </c>
      <c r="B13434" t="s">
        <v>22938</v>
      </c>
      <c r="C13434" s="1" t="str">
        <f>HYPERLINK("http://www.genecards.org/cgi-bin/carddisp.pl?gene=IDO1","GeneCards")</f>
        <v>GeneCards</v>
      </c>
      <c r="D13434" s="1" t="str">
        <f>HYPERLINK("http://genome-euro.ucsc.edu/cgi-bin/hgTracks?position=210029_at","UCSC")</f>
        <v>UCSC</v>
      </c>
      <c r="E13434" s="1" t="str">
        <f>HYPERLINK("http://www.ncbi.nlm.nih.gov/gene/?term=IDO1","NCBI")</f>
        <v>NCBI</v>
      </c>
      <c r="F13434">
        <v>0.45</v>
      </c>
      <c r="G13434">
        <v>0.56999999999999995</v>
      </c>
      <c r="H13434" s="1" t="str">
        <f>HYPERLINK("http://www.weizmann.ac.il/complex/compphys/software/geview/data/figures/210029_at.png","Figure")</f>
        <v>Figure</v>
      </c>
      <c r="I13434">
        <v>1.1000000000000001</v>
      </c>
      <c r="J13434">
        <v>0.56000000000000005</v>
      </c>
      <c r="K13434">
        <v>1.0900000000000001</v>
      </c>
      <c r="L13434">
        <v>0.48</v>
      </c>
      <c r="M13434">
        <v>0.999</v>
      </c>
      <c r="N13434">
        <v>1</v>
      </c>
    </row>
    <row r="13435" spans="1:14" x14ac:dyDescent="0.25">
      <c r="A13435" t="s">
        <v>22939</v>
      </c>
      <c r="B13435" t="s">
        <v>21077</v>
      </c>
      <c r="C13435" s="1" t="str">
        <f>HYPERLINK("http://www.genecards.org/cgi-bin/carddisp.pl?gene=POU3F1","GeneCards")</f>
        <v>GeneCards</v>
      </c>
      <c r="D13435" s="1" t="str">
        <f>HYPERLINK("http://genome-euro.ucsc.edu/cgi-bin/hgTracks?position=210475_at","UCSC")</f>
        <v>UCSC</v>
      </c>
      <c r="E13435" s="1" t="str">
        <f>HYPERLINK("http://www.ncbi.nlm.nih.gov/gene/?term=POU3F1","NCBI")</f>
        <v>NCBI</v>
      </c>
      <c r="F13435">
        <v>0.45</v>
      </c>
      <c r="G13435">
        <v>0.56999999999999995</v>
      </c>
      <c r="H13435" s="1" t="str">
        <f>HYPERLINK("http://www.weizmann.ac.il/complex/compphys/software/geview/data/figures/210475_at.png","Figure")</f>
        <v>Figure</v>
      </c>
      <c r="I13435">
        <v>1.05</v>
      </c>
      <c r="J13435">
        <v>0.74</v>
      </c>
      <c r="K13435">
        <v>0.96899999999999997</v>
      </c>
      <c r="L13435">
        <v>0.86</v>
      </c>
      <c r="M13435">
        <v>0.91900000000000004</v>
      </c>
      <c r="N13435">
        <v>0.42</v>
      </c>
    </row>
    <row r="13436" spans="1:14" x14ac:dyDescent="0.25">
      <c r="A13436" t="s">
        <v>22940</v>
      </c>
      <c r="B13436" t="s">
        <v>22926</v>
      </c>
      <c r="C13436" s="1" t="str">
        <f>HYPERLINK("http://www.genecards.org/cgi-bin/carddisp.pl?gene=SUMO1","GeneCards")</f>
        <v>GeneCards</v>
      </c>
      <c r="D13436" s="1" t="str">
        <f>HYPERLINK("http://genome-euro.ucsc.edu/cgi-bin/hgTracks?position=208761_s_at","UCSC")</f>
        <v>UCSC</v>
      </c>
      <c r="E13436" s="1" t="str">
        <f>HYPERLINK("http://www.ncbi.nlm.nih.gov/gene/?term=SUMO1","NCBI")</f>
        <v>NCBI</v>
      </c>
      <c r="F13436">
        <v>0.45</v>
      </c>
      <c r="G13436">
        <v>0.56999999999999995</v>
      </c>
      <c r="H13436" s="1" t="str">
        <f>HYPERLINK("http://www.weizmann.ac.il/complex/compphys/software/geview/data/figures/208761_s_at.png","Figure")</f>
        <v>Figure</v>
      </c>
      <c r="I13436">
        <v>0.80700000000000005</v>
      </c>
      <c r="J13436">
        <v>0.46</v>
      </c>
      <c r="K13436">
        <v>0.86</v>
      </c>
      <c r="L13436">
        <v>0.6</v>
      </c>
      <c r="M13436">
        <v>1.07</v>
      </c>
      <c r="N13436">
        <v>0.92</v>
      </c>
    </row>
    <row r="13437" spans="1:14" x14ac:dyDescent="0.25">
      <c r="A13437" t="s">
        <v>22941</v>
      </c>
      <c r="B13437" t="s">
        <v>22942</v>
      </c>
      <c r="C13437" s="1" t="str">
        <f>HYPERLINK("http://www.genecards.org/cgi-bin/carddisp.pl?gene=MTL5","GeneCards")</f>
        <v>GeneCards</v>
      </c>
      <c r="D13437" s="1" t="str">
        <f>HYPERLINK("http://genome-euro.ucsc.edu/cgi-bin/hgTracks?position=219786_at","UCSC")</f>
        <v>UCSC</v>
      </c>
      <c r="E13437" s="1" t="str">
        <f>HYPERLINK("http://www.ncbi.nlm.nih.gov/gene/?term=MTL5","NCBI")</f>
        <v>NCBI</v>
      </c>
      <c r="F13437">
        <v>0.45</v>
      </c>
      <c r="G13437">
        <v>0.56999999999999995</v>
      </c>
      <c r="H13437" s="1" t="str">
        <f>HYPERLINK("http://www.weizmann.ac.il/complex/compphys/software/geview/data/figures/219786_at.png","Figure")</f>
        <v>Figure</v>
      </c>
      <c r="I13437">
        <v>1.08</v>
      </c>
      <c r="J13437">
        <v>0.5</v>
      </c>
      <c r="K13437">
        <v>1.06</v>
      </c>
      <c r="L13437">
        <v>0.54</v>
      </c>
      <c r="M13437">
        <v>0.98599999999999999</v>
      </c>
      <c r="N13437">
        <v>0.97</v>
      </c>
    </row>
    <row r="13438" spans="1:14" x14ac:dyDescent="0.25">
      <c r="A13438" t="s">
        <v>22943</v>
      </c>
      <c r="B13438" t="s">
        <v>22944</v>
      </c>
      <c r="C13438" s="1" t="str">
        <f>HYPERLINK("http://www.genecards.org/cgi-bin/carddisp.pl?gene=ZNF235","GeneCards")</f>
        <v>GeneCards</v>
      </c>
      <c r="D13438" s="1" t="str">
        <f>HYPERLINK("http://genome-euro.ucsc.edu/cgi-bin/hgTracks?position=220350_at","UCSC")</f>
        <v>UCSC</v>
      </c>
      <c r="E13438" s="1" t="str">
        <f>HYPERLINK("http://www.ncbi.nlm.nih.gov/gene/?term=ZNF235","NCBI")</f>
        <v>NCBI</v>
      </c>
      <c r="F13438">
        <v>0.45</v>
      </c>
      <c r="G13438">
        <v>0.56999999999999995</v>
      </c>
      <c r="H13438" s="1" t="str">
        <f>HYPERLINK("http://www.weizmann.ac.il/complex/compphys/software/geview/data/figures/220350_at.png","Figure")</f>
        <v>Figure</v>
      </c>
      <c r="I13438">
        <v>0.90500000000000003</v>
      </c>
      <c r="J13438">
        <v>0.42</v>
      </c>
      <c r="K13438">
        <v>0.95099999999999996</v>
      </c>
      <c r="L13438">
        <v>0.74</v>
      </c>
      <c r="M13438">
        <v>1.05</v>
      </c>
      <c r="N13438">
        <v>0.78</v>
      </c>
    </row>
    <row r="13439" spans="1:14" x14ac:dyDescent="0.25">
      <c r="A13439" t="s">
        <v>22945</v>
      </c>
      <c r="B13439" t="s">
        <v>7557</v>
      </c>
      <c r="C13439" s="1" t="str">
        <f>HYPERLINK("http://www.genecards.org/cgi-bin/carddisp.pl?gene=CSNK1A1","GeneCards")</f>
        <v>GeneCards</v>
      </c>
      <c r="D13439" s="1" t="str">
        <f>HYPERLINK("http://genome-euro.ucsc.edu/cgi-bin/hgTracks?position=208865_at","UCSC")</f>
        <v>UCSC</v>
      </c>
      <c r="E13439" s="1" t="str">
        <f>HYPERLINK("http://www.ncbi.nlm.nih.gov/gene/?term=CSNK1A1","NCBI")</f>
        <v>NCBI</v>
      </c>
      <c r="F13439">
        <v>0.45</v>
      </c>
      <c r="G13439">
        <v>0.56999999999999995</v>
      </c>
      <c r="H13439" s="1" t="str">
        <f>HYPERLINK("http://www.weizmann.ac.il/complex/compphys/software/geview/data/figures/208865_at.png","Figure")</f>
        <v>Figure</v>
      </c>
      <c r="I13439">
        <v>1.03</v>
      </c>
      <c r="J13439">
        <v>0.98</v>
      </c>
      <c r="K13439">
        <v>0.86299999999999999</v>
      </c>
      <c r="L13439">
        <v>0.59</v>
      </c>
      <c r="M13439">
        <v>0.83699999999999997</v>
      </c>
      <c r="N13439">
        <v>0.51</v>
      </c>
    </row>
    <row r="13440" spans="1:14" x14ac:dyDescent="0.25">
      <c r="A13440" t="s">
        <v>22946</v>
      </c>
      <c r="B13440" t="s">
        <v>22947</v>
      </c>
      <c r="C13440" s="1" t="str">
        <f>HYPERLINK("http://www.genecards.org/cgi-bin/carddisp.pl?gene=NCRNA00094","GeneCards")</f>
        <v>GeneCards</v>
      </c>
      <c r="D13440" s="1" t="str">
        <f>HYPERLINK("http://genome-euro.ucsc.edu/cgi-bin/hgTracks?position=203245_s_at","UCSC")</f>
        <v>UCSC</v>
      </c>
      <c r="E13440" s="1" t="str">
        <f>HYPERLINK("http://www.ncbi.nlm.nih.gov/gene/?term=NCRNA00094","NCBI")</f>
        <v>NCBI</v>
      </c>
      <c r="F13440">
        <v>0.45</v>
      </c>
      <c r="G13440">
        <v>0.56999999999999995</v>
      </c>
      <c r="H13440" s="1" t="str">
        <f>HYPERLINK("http://www.weizmann.ac.il/complex/compphys/software/geview/data/figures/203245_s_at.png","Figure")</f>
        <v>Figure</v>
      </c>
      <c r="I13440">
        <v>0.99</v>
      </c>
      <c r="J13440">
        <v>0.97</v>
      </c>
      <c r="K13440">
        <v>1.04</v>
      </c>
      <c r="L13440">
        <v>0.6</v>
      </c>
      <c r="M13440">
        <v>1.05</v>
      </c>
      <c r="N13440">
        <v>0.5</v>
      </c>
    </row>
    <row r="13441" spans="1:14" x14ac:dyDescent="0.25">
      <c r="A13441" t="s">
        <v>22948</v>
      </c>
      <c r="B13441" t="s">
        <v>22564</v>
      </c>
      <c r="C13441" s="1" t="str">
        <f>HYPERLINK("http://www.genecards.org/cgi-bin/carddisp.pl?gene=GRIN2C","GeneCards")</f>
        <v>GeneCards</v>
      </c>
      <c r="D13441" s="1" t="str">
        <f>HYPERLINK("http://genome-euro.ucsc.edu/cgi-bin/hgTracks?position=217573_at","UCSC")</f>
        <v>UCSC</v>
      </c>
      <c r="E13441" s="1" t="str">
        <f>HYPERLINK("http://www.ncbi.nlm.nih.gov/gene/?term=GRIN2C","NCBI")</f>
        <v>NCBI</v>
      </c>
      <c r="F13441">
        <v>0.45</v>
      </c>
      <c r="G13441">
        <v>0.56999999999999995</v>
      </c>
      <c r="H13441" s="1" t="str">
        <f>HYPERLINK("http://www.weizmann.ac.il/complex/compphys/software/geview/data/figures/217573_at.png","Figure")</f>
        <v>Figure</v>
      </c>
      <c r="I13441">
        <v>1.07</v>
      </c>
      <c r="J13441">
        <v>0.42</v>
      </c>
      <c r="K13441">
        <v>1.04</v>
      </c>
      <c r="L13441">
        <v>0.75</v>
      </c>
      <c r="M13441">
        <v>0.96499999999999997</v>
      </c>
      <c r="N13441">
        <v>0.77</v>
      </c>
    </row>
    <row r="13442" spans="1:14" x14ac:dyDescent="0.25">
      <c r="A13442" t="s">
        <v>22949</v>
      </c>
      <c r="B13442" t="s">
        <v>13557</v>
      </c>
      <c r="C13442" s="1" t="str">
        <f>HYPERLINK("http://www.genecards.org/cgi-bin/carddisp.pl?gene=RAPGEF3","GeneCards")</f>
        <v>GeneCards</v>
      </c>
      <c r="D13442" s="1" t="str">
        <f>HYPERLINK("http://genome-euro.ucsc.edu/cgi-bin/hgTracks?position=210051_at","UCSC")</f>
        <v>UCSC</v>
      </c>
      <c r="E13442" s="1" t="str">
        <f>HYPERLINK("http://www.ncbi.nlm.nih.gov/gene/?term=RAPGEF3","NCBI")</f>
        <v>NCBI</v>
      </c>
      <c r="F13442">
        <v>0.45</v>
      </c>
      <c r="G13442">
        <v>0.57999999999999996</v>
      </c>
      <c r="H13442" s="1" t="str">
        <f>HYPERLINK("http://www.weizmann.ac.il/complex/compphys/software/geview/data/figures/210051_at.png","Figure")</f>
        <v>Figure</v>
      </c>
      <c r="I13442">
        <v>1.1299999999999999</v>
      </c>
      <c r="J13442">
        <v>0.64</v>
      </c>
      <c r="K13442">
        <v>1.1499999999999999</v>
      </c>
      <c r="L13442">
        <v>0.45</v>
      </c>
      <c r="M13442">
        <v>1.02</v>
      </c>
      <c r="N13442">
        <v>0.98</v>
      </c>
    </row>
    <row r="13443" spans="1:14" x14ac:dyDescent="0.25">
      <c r="A13443" t="s">
        <v>22950</v>
      </c>
      <c r="B13443" t="s">
        <v>22951</v>
      </c>
      <c r="C13443" s="1" t="str">
        <f>HYPERLINK("http://www.genecards.org/cgi-bin/carddisp.pl?gene=NDUFV1","GeneCards")</f>
        <v>GeneCards</v>
      </c>
      <c r="D13443" s="1" t="str">
        <f>HYPERLINK("http://genome-euro.ucsc.edu/cgi-bin/hgTracks?position=208714_at","UCSC")</f>
        <v>UCSC</v>
      </c>
      <c r="E13443" s="1" t="str">
        <f>HYPERLINK("http://www.ncbi.nlm.nih.gov/gene/?term=NDUFV1","NCBI")</f>
        <v>NCBI</v>
      </c>
      <c r="F13443">
        <v>0.46</v>
      </c>
      <c r="G13443">
        <v>0.57999999999999996</v>
      </c>
      <c r="H13443" s="1" t="str">
        <f>HYPERLINK("http://www.weizmann.ac.il/complex/compphys/software/geview/data/figures/208714_at.png","Figure")</f>
        <v>Figure</v>
      </c>
      <c r="I13443">
        <v>1.17</v>
      </c>
      <c r="J13443">
        <v>0.55000000000000004</v>
      </c>
      <c r="K13443">
        <v>1.1599999999999999</v>
      </c>
      <c r="L13443">
        <v>0.49</v>
      </c>
      <c r="M13443">
        <v>0.99299999999999999</v>
      </c>
      <c r="N13443">
        <v>1</v>
      </c>
    </row>
    <row r="13444" spans="1:14" x14ac:dyDescent="0.25">
      <c r="A13444" t="s">
        <v>22952</v>
      </c>
      <c r="B13444" t="s">
        <v>22953</v>
      </c>
      <c r="C13444" s="1" t="str">
        <f>HYPERLINK("http://www.genecards.org/cgi-bin/carddisp.pl?gene=RNH1","GeneCards")</f>
        <v>GeneCards</v>
      </c>
      <c r="D13444" s="1" t="str">
        <f>HYPERLINK("http://genome-euro.ucsc.edu/cgi-bin/hgTracks?position=206050_s_at","UCSC")</f>
        <v>UCSC</v>
      </c>
      <c r="E13444" s="1" t="str">
        <f>HYPERLINK("http://www.ncbi.nlm.nih.gov/gene/?term=RNH1","NCBI")</f>
        <v>NCBI</v>
      </c>
      <c r="F13444">
        <v>0.46</v>
      </c>
      <c r="G13444">
        <v>0.57999999999999996</v>
      </c>
      <c r="H13444" s="1" t="str">
        <f>HYPERLINK("http://www.weizmann.ac.il/complex/compphys/software/geview/data/figures/206050_s_at.png","Figure")</f>
        <v>Figure</v>
      </c>
      <c r="I13444">
        <v>0.83599999999999997</v>
      </c>
      <c r="J13444">
        <v>0.45</v>
      </c>
      <c r="K13444">
        <v>0.88900000000000001</v>
      </c>
      <c r="L13444">
        <v>0.63</v>
      </c>
      <c r="M13444">
        <v>1.06</v>
      </c>
      <c r="N13444">
        <v>0.89</v>
      </c>
    </row>
    <row r="13445" spans="1:14" x14ac:dyDescent="0.25">
      <c r="A13445" t="s">
        <v>22954</v>
      </c>
      <c r="B13445" t="s">
        <v>3183</v>
      </c>
      <c r="C13445" s="1" t="str">
        <f>HYPERLINK("http://www.genecards.org/cgi-bin/carddisp.pl?gene=GK","GeneCards")</f>
        <v>GeneCards</v>
      </c>
      <c r="D13445" s="1" t="str">
        <f>HYPERLINK("http://genome-euro.ucsc.edu/cgi-bin/hgTracks?position=215977_x_at","UCSC")</f>
        <v>UCSC</v>
      </c>
      <c r="E13445" s="1" t="str">
        <f>HYPERLINK("http://www.ncbi.nlm.nih.gov/gene/?term=GK","NCBI")</f>
        <v>NCBI</v>
      </c>
      <c r="F13445">
        <v>0.46</v>
      </c>
      <c r="G13445">
        <v>0.57999999999999996</v>
      </c>
      <c r="H13445" s="1" t="str">
        <f>HYPERLINK("http://www.weizmann.ac.il/complex/compphys/software/geview/data/figures/215977_x_at.png","Figure")</f>
        <v>Figure</v>
      </c>
      <c r="I13445">
        <v>1.03</v>
      </c>
      <c r="J13445">
        <v>0.84</v>
      </c>
      <c r="K13445">
        <v>1.07</v>
      </c>
      <c r="L13445">
        <v>0.43</v>
      </c>
      <c r="M13445">
        <v>1.03</v>
      </c>
      <c r="N13445">
        <v>0.82</v>
      </c>
    </row>
    <row r="13446" spans="1:14" x14ac:dyDescent="0.25">
      <c r="A13446" t="s">
        <v>22955</v>
      </c>
      <c r="B13446" t="s">
        <v>22956</v>
      </c>
      <c r="C13446" s="1" t="str">
        <f>HYPERLINK("http://www.genecards.org/cgi-bin/carddisp.pl?gene=RPS16","GeneCards")</f>
        <v>GeneCards</v>
      </c>
      <c r="D13446" s="1" t="str">
        <f>HYPERLINK("http://genome-euro.ucsc.edu/cgi-bin/hgTracks?position=201258_at","UCSC")</f>
        <v>UCSC</v>
      </c>
      <c r="E13446" s="1" t="str">
        <f>HYPERLINK("http://www.ncbi.nlm.nih.gov/gene/?term=RPS16","NCBI")</f>
        <v>NCBI</v>
      </c>
      <c r="F13446">
        <v>0.46</v>
      </c>
      <c r="G13446">
        <v>0.57999999999999996</v>
      </c>
      <c r="H13446" s="1" t="str">
        <f>HYPERLINK("http://www.weizmann.ac.il/complex/compphys/software/geview/data/figures/201258_at.png","Figure")</f>
        <v>Figure</v>
      </c>
      <c r="I13446">
        <v>1.08</v>
      </c>
      <c r="J13446">
        <v>0.94</v>
      </c>
      <c r="K13446">
        <v>1.26</v>
      </c>
      <c r="L13446">
        <v>0.45</v>
      </c>
      <c r="M13446">
        <v>1.17</v>
      </c>
      <c r="N13446">
        <v>0.71</v>
      </c>
    </row>
    <row r="13447" spans="1:14" x14ac:dyDescent="0.25">
      <c r="A13447" t="s">
        <v>22957</v>
      </c>
      <c r="B13447" t="s">
        <v>22958</v>
      </c>
      <c r="C13447" s="1" t="str">
        <f>HYPERLINK("http://www.genecards.org/cgi-bin/carddisp.pl?gene=ATXN2","GeneCards")</f>
        <v>GeneCards</v>
      </c>
      <c r="D13447" s="1" t="str">
        <f>HYPERLINK("http://genome-euro.ucsc.edu/cgi-bin/hgTracks?position=202622_s_at","UCSC")</f>
        <v>UCSC</v>
      </c>
      <c r="E13447" s="1" t="str">
        <f>HYPERLINK("http://www.ncbi.nlm.nih.gov/gene/?term=ATXN2","NCBI")</f>
        <v>NCBI</v>
      </c>
      <c r="F13447">
        <v>0.46</v>
      </c>
      <c r="G13447">
        <v>0.57999999999999996</v>
      </c>
      <c r="H13447" s="1" t="str">
        <f>HYPERLINK("http://www.weizmann.ac.il/complex/compphys/software/geview/data/figures/202622_s_at.png","Figure")</f>
        <v>Figure</v>
      </c>
      <c r="I13447">
        <v>0.94599999999999995</v>
      </c>
      <c r="J13447">
        <v>0.97</v>
      </c>
      <c r="K13447">
        <v>1.21</v>
      </c>
      <c r="L13447">
        <v>0.61</v>
      </c>
      <c r="M13447">
        <v>1.27</v>
      </c>
      <c r="N13447">
        <v>0.49</v>
      </c>
    </row>
    <row r="13448" spans="1:14" x14ac:dyDescent="0.25">
      <c r="A13448" t="s">
        <v>22959</v>
      </c>
      <c r="B13448" t="s">
        <v>2646</v>
      </c>
      <c r="C13448" s="1" t="str">
        <f>HYPERLINK("http://www.genecards.org/cgi-bin/carddisp.pl?gene=TCF3","GeneCards")</f>
        <v>GeneCards</v>
      </c>
      <c r="D13448" s="1" t="str">
        <f>HYPERLINK("http://genome-euro.ucsc.edu/cgi-bin/hgTracks?position=209153_s_at","UCSC")</f>
        <v>UCSC</v>
      </c>
      <c r="E13448" s="1" t="str">
        <f>HYPERLINK("http://www.ncbi.nlm.nih.gov/gene/?term=TCF3","NCBI")</f>
        <v>NCBI</v>
      </c>
      <c r="F13448">
        <v>0.46</v>
      </c>
      <c r="G13448">
        <v>0.57999999999999996</v>
      </c>
      <c r="H13448" s="1" t="str">
        <f>HYPERLINK("http://www.weizmann.ac.il/complex/compphys/software/geview/data/figures/209153_s_at.png","Figure")</f>
        <v>Figure</v>
      </c>
      <c r="I13448">
        <v>0.72099999999999997</v>
      </c>
      <c r="J13448">
        <v>0.43</v>
      </c>
      <c r="K13448">
        <v>0.83099999999999996</v>
      </c>
      <c r="L13448">
        <v>0.69</v>
      </c>
      <c r="M13448">
        <v>1.1499999999999999</v>
      </c>
      <c r="N13448">
        <v>0.83</v>
      </c>
    </row>
    <row r="13449" spans="1:14" x14ac:dyDescent="0.25">
      <c r="A13449" t="s">
        <v>22960</v>
      </c>
      <c r="B13449" t="s">
        <v>22961</v>
      </c>
      <c r="C13449" s="1" t="str">
        <f>HYPERLINK("http://www.genecards.org/cgi-bin/carddisp.pl?gene=TCF7L1","GeneCards")</f>
        <v>GeneCards</v>
      </c>
      <c r="D13449" s="1" t="str">
        <f>HYPERLINK("http://genome-euro.ucsc.edu/cgi-bin/hgTracks?position=221016_s_at","UCSC")</f>
        <v>UCSC</v>
      </c>
      <c r="E13449" s="1" t="str">
        <f>HYPERLINK("http://www.ncbi.nlm.nih.gov/gene/?term=TCF7L1","NCBI")</f>
        <v>NCBI</v>
      </c>
      <c r="F13449">
        <v>0.46</v>
      </c>
      <c r="G13449">
        <v>0.57999999999999996</v>
      </c>
      <c r="H13449" s="1" t="str">
        <f>HYPERLINK("http://www.weizmann.ac.il/complex/compphys/software/geview/data/figures/221016_s_at.png","Figure")</f>
        <v>Figure</v>
      </c>
      <c r="I13449">
        <v>0.94799999999999995</v>
      </c>
      <c r="J13449">
        <v>0.88</v>
      </c>
      <c r="K13449">
        <v>0.88500000000000001</v>
      </c>
      <c r="L13449">
        <v>0.43</v>
      </c>
      <c r="M13449">
        <v>0.93400000000000005</v>
      </c>
      <c r="N13449">
        <v>0.79</v>
      </c>
    </row>
    <row r="13450" spans="1:14" x14ac:dyDescent="0.25">
      <c r="A13450" t="s">
        <v>22962</v>
      </c>
      <c r="B13450" t="s">
        <v>22963</v>
      </c>
      <c r="C13450" s="1" t="str">
        <f>HYPERLINK("http://www.genecards.org/cgi-bin/carddisp.pl?gene=PIGL","GeneCards")</f>
        <v>GeneCards</v>
      </c>
      <c r="D13450" s="1" t="str">
        <f>HYPERLINK("http://genome-euro.ucsc.edu/cgi-bin/hgTracks?position=205873_at","UCSC")</f>
        <v>UCSC</v>
      </c>
      <c r="E13450" s="1" t="str">
        <f>HYPERLINK("http://www.ncbi.nlm.nih.gov/gene/?term=PIGL","NCBI")</f>
        <v>NCBI</v>
      </c>
      <c r="F13450">
        <v>0.46</v>
      </c>
      <c r="G13450">
        <v>0.57999999999999996</v>
      </c>
      <c r="H13450" s="1" t="str">
        <f>HYPERLINK("http://www.weizmann.ac.il/complex/compphys/software/geview/data/figures/205873_at.png","Figure")</f>
        <v>Figure</v>
      </c>
      <c r="I13450">
        <v>0.90800000000000003</v>
      </c>
      <c r="J13450">
        <v>0.42</v>
      </c>
      <c r="K13450">
        <v>0.96</v>
      </c>
      <c r="L13450">
        <v>0.81</v>
      </c>
      <c r="M13450">
        <v>1.06</v>
      </c>
      <c r="N13450">
        <v>0.71</v>
      </c>
    </row>
    <row r="13451" spans="1:14" x14ac:dyDescent="0.25">
      <c r="A13451" t="s">
        <v>22964</v>
      </c>
      <c r="B13451" t="s">
        <v>22965</v>
      </c>
      <c r="C13451" s="1" t="str">
        <f>HYPERLINK("http://www.genecards.org/cgi-bin/carddisp.pl?gene=SLC9A1","GeneCards")</f>
        <v>GeneCards</v>
      </c>
      <c r="D13451" s="1" t="str">
        <f>HYPERLINK("http://genome-euro.ucsc.edu/cgi-bin/hgTracks?position=209453_at","UCSC")</f>
        <v>UCSC</v>
      </c>
      <c r="E13451" s="1" t="str">
        <f>HYPERLINK("http://www.ncbi.nlm.nih.gov/gene/?term=SLC9A1","NCBI")</f>
        <v>NCBI</v>
      </c>
      <c r="F13451">
        <v>0.46</v>
      </c>
      <c r="G13451">
        <v>0.57999999999999996</v>
      </c>
      <c r="H13451" s="1" t="str">
        <f>HYPERLINK("http://www.weizmann.ac.il/complex/compphys/software/geview/data/figures/209453_at.png","Figure")</f>
        <v>Figure</v>
      </c>
      <c r="I13451">
        <v>1.1200000000000001</v>
      </c>
      <c r="J13451">
        <v>0.47</v>
      </c>
      <c r="K13451">
        <v>1.02</v>
      </c>
      <c r="L13451">
        <v>0.98</v>
      </c>
      <c r="M13451">
        <v>0.91</v>
      </c>
      <c r="N13451">
        <v>0.53</v>
      </c>
    </row>
    <row r="13452" spans="1:14" x14ac:dyDescent="0.25">
      <c r="A13452" t="s">
        <v>22966</v>
      </c>
      <c r="B13452" t="s">
        <v>22967</v>
      </c>
      <c r="C13452" s="1" t="str">
        <f>HYPERLINK("http://www.genecards.org/cgi-bin/carddisp.pl?gene=LOC441258","GeneCards")</f>
        <v>GeneCards</v>
      </c>
      <c r="D13452" s="1" t="str">
        <f>HYPERLINK("http://genome-euro.ucsc.edu/cgi-bin/hgTracks?position=222207_x_at","UCSC")</f>
        <v>UCSC</v>
      </c>
      <c r="E13452" s="1" t="str">
        <f>HYPERLINK("http://www.ncbi.nlm.nih.gov/gene/?term=LOC441258","NCBI")</f>
        <v>NCBI</v>
      </c>
      <c r="F13452">
        <v>0.46</v>
      </c>
      <c r="G13452">
        <v>0.57999999999999996</v>
      </c>
      <c r="H13452" s="1" t="str">
        <f>HYPERLINK("http://www.weizmann.ac.il/complex/compphys/software/geview/data/figures/222207_x_at.png","Figure")</f>
        <v>Figure</v>
      </c>
      <c r="I13452">
        <v>1.04</v>
      </c>
      <c r="J13452">
        <v>0.94</v>
      </c>
      <c r="K13452">
        <v>0.90400000000000003</v>
      </c>
      <c r="L13452">
        <v>0.64</v>
      </c>
      <c r="M13452">
        <v>0.86799999999999999</v>
      </c>
      <c r="N13452">
        <v>0.48</v>
      </c>
    </row>
    <row r="13453" spans="1:14" x14ac:dyDescent="0.25">
      <c r="A13453" t="s">
        <v>22968</v>
      </c>
      <c r="B13453" t="s">
        <v>8517</v>
      </c>
      <c r="C13453" s="1" t="str">
        <f>HYPERLINK("http://www.genecards.org/cgi-bin/carddisp.pl?gene=SSB","GeneCards")</f>
        <v>GeneCards</v>
      </c>
      <c r="D13453" s="1" t="str">
        <f>HYPERLINK("http://genome-euro.ucsc.edu/cgi-bin/hgTracks?position=201139_s_at","UCSC")</f>
        <v>UCSC</v>
      </c>
      <c r="E13453" s="1" t="str">
        <f>HYPERLINK("http://www.ncbi.nlm.nih.gov/gene/?term=SSB","NCBI")</f>
        <v>NCBI</v>
      </c>
      <c r="F13453">
        <v>0.46</v>
      </c>
      <c r="G13453">
        <v>0.57999999999999996</v>
      </c>
      <c r="H13453" s="1" t="str">
        <f>HYPERLINK("http://www.weizmann.ac.il/complex/compphys/software/geview/data/figures/201139_s_at.png","Figure")</f>
        <v>Figure</v>
      </c>
      <c r="I13453">
        <v>0.91100000000000003</v>
      </c>
      <c r="J13453">
        <v>0.67</v>
      </c>
      <c r="K13453">
        <v>0.88800000000000001</v>
      </c>
      <c r="L13453">
        <v>0.44</v>
      </c>
      <c r="M13453">
        <v>0.97399999999999998</v>
      </c>
      <c r="N13453">
        <v>0.96</v>
      </c>
    </row>
    <row r="13454" spans="1:14" x14ac:dyDescent="0.25">
      <c r="A13454" t="s">
        <v>22969</v>
      </c>
      <c r="B13454" t="s">
        <v>10130</v>
      </c>
      <c r="C13454" s="1" t="str">
        <f>HYPERLINK("http://www.genecards.org/cgi-bin/carddisp.pl?gene=CREBZF","GeneCards")</f>
        <v>GeneCards</v>
      </c>
      <c r="D13454" s="1" t="str">
        <f>HYPERLINK("http://genome-euro.ucsc.edu/cgi-bin/hgTracks?position=202979_s_at","UCSC")</f>
        <v>UCSC</v>
      </c>
      <c r="E13454" s="1" t="str">
        <f>HYPERLINK("http://www.ncbi.nlm.nih.gov/gene/?term=CREBZF","NCBI")</f>
        <v>NCBI</v>
      </c>
      <c r="F13454">
        <v>0.46</v>
      </c>
      <c r="G13454">
        <v>0.57999999999999996</v>
      </c>
      <c r="H13454" s="1" t="str">
        <f>HYPERLINK("http://www.weizmann.ac.il/complex/compphys/software/geview/data/figures/202979_s_at.png","Figure")</f>
        <v>Figure</v>
      </c>
      <c r="I13454">
        <v>0.81899999999999995</v>
      </c>
      <c r="J13454">
        <v>0.86</v>
      </c>
      <c r="K13454">
        <v>0.65300000000000002</v>
      </c>
      <c r="L13454">
        <v>0.43</v>
      </c>
      <c r="M13454">
        <v>0.79800000000000004</v>
      </c>
      <c r="N13454">
        <v>0.8</v>
      </c>
    </row>
    <row r="13455" spans="1:14" x14ac:dyDescent="0.25">
      <c r="A13455" t="s">
        <v>22970</v>
      </c>
      <c r="B13455" t="s">
        <v>22971</v>
      </c>
      <c r="C13455" s="1" t="str">
        <f>HYPERLINK("http://www.genecards.org/cgi-bin/carddisp.pl?gene=FCER1G","GeneCards")</f>
        <v>GeneCards</v>
      </c>
      <c r="D13455" s="1" t="str">
        <f>HYPERLINK("http://genome-euro.ucsc.edu/cgi-bin/hgTracks?position=204232_at","UCSC")</f>
        <v>UCSC</v>
      </c>
      <c r="E13455" s="1" t="str">
        <f>HYPERLINK("http://www.ncbi.nlm.nih.gov/gene/?term=FCER1G","NCBI")</f>
        <v>NCBI</v>
      </c>
      <c r="F13455">
        <v>0.46</v>
      </c>
      <c r="G13455">
        <v>0.57999999999999996</v>
      </c>
      <c r="H13455" s="1" t="str">
        <f>HYPERLINK("http://www.weizmann.ac.il/complex/compphys/software/geview/data/figures/204232_at.png","Figure")</f>
        <v>Figure</v>
      </c>
      <c r="I13455">
        <v>1.1100000000000001</v>
      </c>
      <c r="J13455">
        <v>0.77</v>
      </c>
      <c r="K13455">
        <v>1.18</v>
      </c>
      <c r="L13455">
        <v>0.42</v>
      </c>
      <c r="M13455">
        <v>1.06</v>
      </c>
      <c r="N13455">
        <v>0.89</v>
      </c>
    </row>
    <row r="13456" spans="1:14" x14ac:dyDescent="0.25">
      <c r="A13456" t="s">
        <v>22972</v>
      </c>
      <c r="B13456" t="s">
        <v>22973</v>
      </c>
      <c r="C13456" s="1" t="str">
        <f>HYPERLINK("http://www.genecards.org/cgi-bin/carddisp.pl?gene=CCR9","GeneCards")</f>
        <v>GeneCards</v>
      </c>
      <c r="D13456" s="1" t="str">
        <f>HYPERLINK("http://genome-euro.ucsc.edu/cgi-bin/hgTracks?position=207445_s_at","UCSC")</f>
        <v>UCSC</v>
      </c>
      <c r="E13456" s="1" t="str">
        <f>HYPERLINK("http://www.ncbi.nlm.nih.gov/gene/?term=CCR9","NCBI")</f>
        <v>NCBI</v>
      </c>
      <c r="F13456">
        <v>0.46</v>
      </c>
      <c r="G13456">
        <v>0.57999999999999996</v>
      </c>
      <c r="H13456" s="1" t="str">
        <f>HYPERLINK("http://www.weizmann.ac.il/complex/compphys/software/geview/data/figures/207445_s_at.png","Figure")</f>
        <v>Figure</v>
      </c>
      <c r="I13456">
        <v>1</v>
      </c>
      <c r="J13456">
        <v>1</v>
      </c>
      <c r="K13456">
        <v>0.98499999999999999</v>
      </c>
      <c r="L13456">
        <v>0.52</v>
      </c>
      <c r="M13456">
        <v>0.98499999999999999</v>
      </c>
      <c r="N13456">
        <v>0.56999999999999995</v>
      </c>
    </row>
    <row r="13457" spans="1:14" x14ac:dyDescent="0.25">
      <c r="A13457" t="s">
        <v>22974</v>
      </c>
      <c r="B13457" t="s">
        <v>22975</v>
      </c>
      <c r="C13457" s="1" t="str">
        <f>HYPERLINK("http://www.genecards.org/cgi-bin/carddisp.pl?gene=TP53TG5","GeneCards")</f>
        <v>GeneCards</v>
      </c>
      <c r="D13457" s="1" t="str">
        <f>HYPERLINK("http://genome-euro.ucsc.edu/cgi-bin/hgTracks?position=207482_at","UCSC")</f>
        <v>UCSC</v>
      </c>
      <c r="E13457" s="1" t="str">
        <f>HYPERLINK("http://www.ncbi.nlm.nih.gov/gene/?term=TP53TG5","NCBI")</f>
        <v>NCBI</v>
      </c>
      <c r="F13457">
        <v>0.46</v>
      </c>
      <c r="G13457">
        <v>0.57999999999999996</v>
      </c>
      <c r="H13457" s="1" t="str">
        <f>HYPERLINK("http://www.weizmann.ac.il/complex/compphys/software/geview/data/figures/207482_at.png","Figure")</f>
        <v>Figure</v>
      </c>
      <c r="I13457">
        <v>1.1100000000000001</v>
      </c>
      <c r="J13457">
        <v>0.43</v>
      </c>
      <c r="K13457">
        <v>1.04</v>
      </c>
      <c r="L13457">
        <v>0.84</v>
      </c>
      <c r="M13457">
        <v>0.93799999999999994</v>
      </c>
      <c r="N13457">
        <v>0.68</v>
      </c>
    </row>
    <row r="13458" spans="1:14" x14ac:dyDescent="0.25">
      <c r="A13458" t="s">
        <v>22976</v>
      </c>
      <c r="B13458" t="s">
        <v>22977</v>
      </c>
      <c r="C13458" s="1" t="str">
        <f>HYPERLINK("http://www.genecards.org/cgi-bin/carddisp.pl?gene=SNX4","GeneCards")</f>
        <v>GeneCards</v>
      </c>
      <c r="D13458" s="1" t="str">
        <f>HYPERLINK("http://genome-euro.ucsc.edu/cgi-bin/hgTracks?position=212652_s_at","UCSC")</f>
        <v>UCSC</v>
      </c>
      <c r="E13458" s="1" t="str">
        <f>HYPERLINK("http://www.ncbi.nlm.nih.gov/gene/?term=SNX4","NCBI")</f>
        <v>NCBI</v>
      </c>
      <c r="F13458">
        <v>0.46</v>
      </c>
      <c r="G13458">
        <v>0.57999999999999996</v>
      </c>
      <c r="H13458" s="1" t="str">
        <f>HYPERLINK("http://www.weizmann.ac.il/complex/compphys/software/geview/data/figures/212652_s_at.png","Figure")</f>
        <v>Figure</v>
      </c>
      <c r="I13458">
        <v>0.98199999999999998</v>
      </c>
      <c r="J13458">
        <v>1</v>
      </c>
      <c r="K13458">
        <v>0.78900000000000003</v>
      </c>
      <c r="L13458">
        <v>0.5</v>
      </c>
      <c r="M13458">
        <v>0.80300000000000005</v>
      </c>
      <c r="N13458">
        <v>0.6</v>
      </c>
    </row>
    <row r="13459" spans="1:14" x14ac:dyDescent="0.25">
      <c r="A13459" t="s">
        <v>22978</v>
      </c>
      <c r="B13459" t="s">
        <v>19026</v>
      </c>
      <c r="C13459" s="1" t="str">
        <f>HYPERLINK("http://www.genecards.org/cgi-bin/carddisp.pl?gene=UBAP2","GeneCards")</f>
        <v>GeneCards</v>
      </c>
      <c r="D13459" s="1" t="str">
        <f>HYPERLINK("http://genome-euro.ucsc.edu/cgi-bin/hgTracks?position=219192_at","UCSC")</f>
        <v>UCSC</v>
      </c>
      <c r="E13459" s="1" t="str">
        <f>HYPERLINK("http://www.ncbi.nlm.nih.gov/gene/?term=UBAP2","NCBI")</f>
        <v>NCBI</v>
      </c>
      <c r="F13459">
        <v>0.46</v>
      </c>
      <c r="G13459">
        <v>0.57999999999999996</v>
      </c>
      <c r="H13459" s="1" t="str">
        <f>HYPERLINK("http://www.weizmann.ac.il/complex/compphys/software/geview/data/figures/219192_at.png","Figure")</f>
        <v>Figure</v>
      </c>
      <c r="I13459">
        <v>0.71799999999999997</v>
      </c>
      <c r="J13459">
        <v>0.45</v>
      </c>
      <c r="K13459">
        <v>0.93100000000000005</v>
      </c>
      <c r="L13459">
        <v>0.95</v>
      </c>
      <c r="M13459">
        <v>1.3</v>
      </c>
      <c r="N13459">
        <v>0.56999999999999995</v>
      </c>
    </row>
    <row r="13460" spans="1:14" x14ac:dyDescent="0.25">
      <c r="A13460" t="s">
        <v>22979</v>
      </c>
      <c r="B13460" t="s">
        <v>22980</v>
      </c>
      <c r="C13460" s="1" t="str">
        <f>HYPERLINK("http://www.genecards.org/cgi-bin/carddisp.pl?gene=GALNT4 /// WDR51B","GeneCards")</f>
        <v>GeneCards</v>
      </c>
      <c r="D13460" s="1" t="str">
        <f>HYPERLINK("http://genome-euro.ucsc.edu/cgi-bin/hgTracks?position=220442_at","UCSC")</f>
        <v>UCSC</v>
      </c>
      <c r="E13460" s="1" t="str">
        <f>HYPERLINK("http://www.ncbi.nlm.nih.gov/gene/?term=GALNT4 /// WDR51B","NCBI")</f>
        <v>NCBI</v>
      </c>
      <c r="F13460">
        <v>0.46</v>
      </c>
      <c r="G13460">
        <v>0.57999999999999996</v>
      </c>
      <c r="H13460" s="1" t="str">
        <f>HYPERLINK("http://www.weizmann.ac.il/complex/compphys/software/geview/data/figures/220442_at.png","Figure")</f>
        <v>Figure</v>
      </c>
      <c r="I13460">
        <v>1.02</v>
      </c>
      <c r="J13460">
        <v>0.63</v>
      </c>
      <c r="K13460">
        <v>1.02</v>
      </c>
      <c r="L13460">
        <v>0.45</v>
      </c>
      <c r="M13460">
        <v>1</v>
      </c>
      <c r="N13460">
        <v>0.99</v>
      </c>
    </row>
    <row r="13461" spans="1:14" x14ac:dyDescent="0.25">
      <c r="A13461" t="s">
        <v>22981</v>
      </c>
      <c r="B13461" t="s">
        <v>22982</v>
      </c>
      <c r="C13461" s="1" t="str">
        <f>HYPERLINK("http://www.genecards.org/cgi-bin/carddisp.pl?gene=SLC35D2","GeneCards")</f>
        <v>GeneCards</v>
      </c>
      <c r="D13461" s="1" t="str">
        <f>HYPERLINK("http://genome-euro.ucsc.edu/cgi-bin/hgTracks?position=213083_at","UCSC")</f>
        <v>UCSC</v>
      </c>
      <c r="E13461" s="1" t="str">
        <f>HYPERLINK("http://www.ncbi.nlm.nih.gov/gene/?term=SLC35D2","NCBI")</f>
        <v>NCBI</v>
      </c>
      <c r="F13461">
        <v>0.46</v>
      </c>
      <c r="G13461">
        <v>0.57999999999999996</v>
      </c>
      <c r="H13461" s="1" t="str">
        <f>HYPERLINK("http://www.weizmann.ac.il/complex/compphys/software/geview/data/figures/213083_at.png","Figure")</f>
        <v>Figure</v>
      </c>
      <c r="I13461">
        <v>1.02</v>
      </c>
      <c r="J13461">
        <v>0.98</v>
      </c>
      <c r="K13461">
        <v>1.1100000000000001</v>
      </c>
      <c r="L13461">
        <v>0.48</v>
      </c>
      <c r="M13461">
        <v>1.0900000000000001</v>
      </c>
      <c r="N13461">
        <v>0.63</v>
      </c>
    </row>
    <row r="13462" spans="1:14" x14ac:dyDescent="0.25">
      <c r="A13462" t="s">
        <v>22983</v>
      </c>
      <c r="B13462" t="s">
        <v>7563</v>
      </c>
      <c r="C13462" s="1" t="str">
        <f>HYPERLINK("http://www.genecards.org/cgi-bin/carddisp.pl?gene=SLC7A8","GeneCards")</f>
        <v>GeneCards</v>
      </c>
      <c r="D13462" s="1" t="str">
        <f>HYPERLINK("http://genome-euro.ucsc.edu/cgi-bin/hgTracks?position=216604_s_at","UCSC")</f>
        <v>UCSC</v>
      </c>
      <c r="E13462" s="1" t="str">
        <f>HYPERLINK("http://www.ncbi.nlm.nih.gov/gene/?term=SLC7A8","NCBI")</f>
        <v>NCBI</v>
      </c>
      <c r="F13462">
        <v>0.46</v>
      </c>
      <c r="G13462">
        <v>0.57999999999999996</v>
      </c>
      <c r="H13462" s="1" t="str">
        <f>HYPERLINK("http://www.weizmann.ac.il/complex/compphys/software/geview/data/figures/216604_s_at.png","Figure")</f>
        <v>Figure</v>
      </c>
      <c r="I13462">
        <v>1.18</v>
      </c>
      <c r="J13462">
        <v>0.43</v>
      </c>
      <c r="K13462">
        <v>1.06</v>
      </c>
      <c r="L13462">
        <v>0.86</v>
      </c>
      <c r="M13462">
        <v>0.89800000000000002</v>
      </c>
      <c r="N13462">
        <v>0.66</v>
      </c>
    </row>
    <row r="13463" spans="1:14" x14ac:dyDescent="0.25">
      <c r="A13463" t="s">
        <v>22984</v>
      </c>
      <c r="B13463" t="s">
        <v>10050</v>
      </c>
      <c r="C13463" s="1" t="str">
        <f>HYPERLINK("http://www.genecards.org/cgi-bin/carddisp.pl?gene=LOC552889","GeneCards")</f>
        <v>GeneCards</v>
      </c>
      <c r="D13463" s="1" t="str">
        <f>HYPERLINK("http://genome-euro.ucsc.edu/cgi-bin/hgTracks?position=212114_at","UCSC")</f>
        <v>UCSC</v>
      </c>
      <c r="E13463" s="1" t="str">
        <f>HYPERLINK("http://www.ncbi.nlm.nih.gov/gene/?term=LOC552889","NCBI")</f>
        <v>NCBI</v>
      </c>
      <c r="F13463">
        <v>0.46</v>
      </c>
      <c r="G13463">
        <v>0.57999999999999996</v>
      </c>
      <c r="H13463" s="1" t="str">
        <f>HYPERLINK("http://www.weizmann.ac.il/complex/compphys/software/geview/data/figures/212114_at.png","Figure")</f>
        <v>Figure</v>
      </c>
      <c r="I13463">
        <v>1.06</v>
      </c>
      <c r="J13463">
        <v>0.8</v>
      </c>
      <c r="K13463">
        <v>0.95199999999999996</v>
      </c>
      <c r="L13463">
        <v>0.8</v>
      </c>
      <c r="M13463">
        <v>0.9</v>
      </c>
      <c r="N13463">
        <v>0.43</v>
      </c>
    </row>
    <row r="13464" spans="1:14" x14ac:dyDescent="0.25">
      <c r="A13464" t="s">
        <v>22985</v>
      </c>
      <c r="B13464" t="s">
        <v>22986</v>
      </c>
      <c r="C13464" s="1" t="str">
        <f>HYPERLINK("http://www.genecards.org/cgi-bin/carddisp.pl?gene=LRRC14","GeneCards")</f>
        <v>GeneCards</v>
      </c>
      <c r="D13464" s="1" t="str">
        <f>HYPERLINK("http://genome-euro.ucsc.edu/cgi-bin/hgTracks?position=203495_at","UCSC")</f>
        <v>UCSC</v>
      </c>
      <c r="E13464" s="1" t="str">
        <f>HYPERLINK("http://www.ncbi.nlm.nih.gov/gene/?term=LRRC14","NCBI")</f>
        <v>NCBI</v>
      </c>
      <c r="F13464">
        <v>0.46</v>
      </c>
      <c r="G13464">
        <v>0.57999999999999996</v>
      </c>
      <c r="H13464" s="1" t="str">
        <f>HYPERLINK("http://www.weizmann.ac.il/complex/compphys/software/geview/data/figures/203495_at.png","Figure")</f>
        <v>Figure</v>
      </c>
      <c r="I13464">
        <v>0.90200000000000002</v>
      </c>
      <c r="J13464">
        <v>0.56999999999999995</v>
      </c>
      <c r="K13464">
        <v>1.01</v>
      </c>
      <c r="L13464">
        <v>0.99</v>
      </c>
      <c r="M13464">
        <v>1.1200000000000001</v>
      </c>
      <c r="N13464">
        <v>0.46</v>
      </c>
    </row>
    <row r="13465" spans="1:14" x14ac:dyDescent="0.25">
      <c r="A13465" t="s">
        <v>22987</v>
      </c>
      <c r="B13465" t="s">
        <v>22988</v>
      </c>
      <c r="C13465" s="1" t="str">
        <f>HYPERLINK("http://www.genecards.org/cgi-bin/carddisp.pl?gene=CDCA4","GeneCards")</f>
        <v>GeneCards</v>
      </c>
      <c r="D13465" s="1" t="str">
        <f>HYPERLINK("http://genome-euro.ucsc.edu/cgi-bin/hgTracks?position=218399_s_at","UCSC")</f>
        <v>UCSC</v>
      </c>
      <c r="E13465" s="1" t="str">
        <f>HYPERLINK("http://www.ncbi.nlm.nih.gov/gene/?term=CDCA4","NCBI")</f>
        <v>NCBI</v>
      </c>
      <c r="F13465">
        <v>0.46</v>
      </c>
      <c r="G13465">
        <v>0.57999999999999996</v>
      </c>
      <c r="H13465" s="1" t="str">
        <f>HYPERLINK("http://www.weizmann.ac.il/complex/compphys/software/geview/data/figures/218399_s_at.png","Figure")</f>
        <v>Figure</v>
      </c>
      <c r="I13465">
        <v>0.93100000000000005</v>
      </c>
      <c r="J13465">
        <v>0.88</v>
      </c>
      <c r="K13465">
        <v>0.85099999999999998</v>
      </c>
      <c r="L13465">
        <v>0.43</v>
      </c>
      <c r="M13465">
        <v>0.91400000000000003</v>
      </c>
      <c r="N13465">
        <v>0.79</v>
      </c>
    </row>
    <row r="13466" spans="1:14" x14ac:dyDescent="0.25">
      <c r="A13466" t="s">
        <v>22989</v>
      </c>
      <c r="B13466" t="s">
        <v>18413</v>
      </c>
      <c r="C13466" s="1" t="str">
        <f>HYPERLINK("http://www.genecards.org/cgi-bin/carddisp.pl?gene=RALGDS","GeneCards")</f>
        <v>GeneCards</v>
      </c>
      <c r="D13466" s="1" t="str">
        <f>HYPERLINK("http://genome-euro.ucsc.edu/cgi-bin/hgTracks?position=209050_s_at","UCSC")</f>
        <v>UCSC</v>
      </c>
      <c r="E13466" s="1" t="str">
        <f>HYPERLINK("http://www.ncbi.nlm.nih.gov/gene/?term=RALGDS","NCBI")</f>
        <v>NCBI</v>
      </c>
      <c r="F13466">
        <v>0.46</v>
      </c>
      <c r="G13466">
        <v>0.57999999999999996</v>
      </c>
      <c r="H13466" s="1" t="str">
        <f>HYPERLINK("http://www.weizmann.ac.il/complex/compphys/software/geview/data/figures/209050_s_at.png","Figure")</f>
        <v>Figure</v>
      </c>
      <c r="I13466">
        <v>1.06</v>
      </c>
      <c r="J13466">
        <v>0.93</v>
      </c>
      <c r="K13466">
        <v>1.2</v>
      </c>
      <c r="L13466">
        <v>0.45</v>
      </c>
      <c r="M13466">
        <v>1.1299999999999999</v>
      </c>
      <c r="N13466">
        <v>0.72</v>
      </c>
    </row>
    <row r="13467" spans="1:14" x14ac:dyDescent="0.25">
      <c r="A13467" t="s">
        <v>22990</v>
      </c>
      <c r="B13467" t="s">
        <v>22991</v>
      </c>
      <c r="C13467" s="1" t="str">
        <f>HYPERLINK("http://www.genecards.org/cgi-bin/carddisp.pl?gene=HGS","GeneCards")</f>
        <v>GeneCards</v>
      </c>
      <c r="D13467" s="1" t="str">
        <f>HYPERLINK("http://genome-euro.ucsc.edu/cgi-bin/hgTracks?position=210428_s_at","UCSC")</f>
        <v>UCSC</v>
      </c>
      <c r="E13467" s="1" t="str">
        <f>HYPERLINK("http://www.ncbi.nlm.nih.gov/gene/?term=HGS","NCBI")</f>
        <v>NCBI</v>
      </c>
      <c r="F13467">
        <v>0.46</v>
      </c>
      <c r="G13467">
        <v>0.57999999999999996</v>
      </c>
      <c r="H13467" s="1" t="str">
        <f>HYPERLINK("http://www.weizmann.ac.il/complex/compphys/software/geview/data/figures/210428_s_at.png","Figure")</f>
        <v>Figure</v>
      </c>
      <c r="I13467">
        <v>1.02</v>
      </c>
      <c r="J13467">
        <v>0.99</v>
      </c>
      <c r="K13467">
        <v>0.86</v>
      </c>
      <c r="L13467">
        <v>0.56999999999999995</v>
      </c>
      <c r="M13467">
        <v>0.84</v>
      </c>
      <c r="N13467">
        <v>0.52</v>
      </c>
    </row>
    <row r="13468" spans="1:14" x14ac:dyDescent="0.25">
      <c r="A13468" t="s">
        <v>22992</v>
      </c>
      <c r="B13468" t="s">
        <v>11201</v>
      </c>
      <c r="C13468" s="1" t="str">
        <f>HYPERLINK("http://www.genecards.org/cgi-bin/carddisp.pl?gene=MCFD2","GeneCards")</f>
        <v>GeneCards</v>
      </c>
      <c r="D13468" s="1" t="str">
        <f>HYPERLINK("http://genome-euro.ucsc.edu/cgi-bin/hgTracks?position=212245_at","UCSC")</f>
        <v>UCSC</v>
      </c>
      <c r="E13468" s="1" t="str">
        <f>HYPERLINK("http://www.ncbi.nlm.nih.gov/gene/?term=MCFD2","NCBI")</f>
        <v>NCBI</v>
      </c>
      <c r="F13468">
        <v>0.46</v>
      </c>
      <c r="G13468">
        <v>0.57999999999999996</v>
      </c>
      <c r="H13468" s="1" t="str">
        <f>HYPERLINK("http://www.weizmann.ac.il/complex/compphys/software/geview/data/figures/212245_at.png","Figure")</f>
        <v>Figure</v>
      </c>
      <c r="I13468">
        <v>0.68899999999999995</v>
      </c>
      <c r="J13468">
        <v>0.43</v>
      </c>
      <c r="K13468">
        <v>0.81599999999999995</v>
      </c>
      <c r="L13468">
        <v>0.71</v>
      </c>
      <c r="M13468">
        <v>1.18</v>
      </c>
      <c r="N13468">
        <v>0.81</v>
      </c>
    </row>
    <row r="13469" spans="1:14" x14ac:dyDescent="0.25">
      <c r="A13469" t="s">
        <v>22993</v>
      </c>
      <c r="B13469" t="s">
        <v>22994</v>
      </c>
      <c r="C13469" s="1" t="str">
        <f>HYPERLINK("http://www.genecards.org/cgi-bin/carddisp.pl?gene=ROBO3","GeneCards")</f>
        <v>GeneCards</v>
      </c>
      <c r="D13469" s="1" t="str">
        <f>HYPERLINK("http://genome-euro.ucsc.edu/cgi-bin/hgTracks?position=219550_at","UCSC")</f>
        <v>UCSC</v>
      </c>
      <c r="E13469" s="1" t="str">
        <f>HYPERLINK("http://www.ncbi.nlm.nih.gov/gene/?term=ROBO3","NCBI")</f>
        <v>NCBI</v>
      </c>
      <c r="F13469">
        <v>0.46</v>
      </c>
      <c r="G13469">
        <v>0.57999999999999996</v>
      </c>
      <c r="H13469" s="1" t="str">
        <f>HYPERLINK("http://www.weizmann.ac.il/complex/compphys/software/geview/data/figures/219550_at.png","Figure")</f>
        <v>Figure</v>
      </c>
      <c r="I13469">
        <v>1.0900000000000001</v>
      </c>
      <c r="J13469">
        <v>0.43</v>
      </c>
      <c r="K13469">
        <v>1.03</v>
      </c>
      <c r="L13469">
        <v>0.85</v>
      </c>
      <c r="M13469">
        <v>0.94499999999999995</v>
      </c>
      <c r="N13469">
        <v>0.67</v>
      </c>
    </row>
    <row r="13470" spans="1:14" x14ac:dyDescent="0.25">
      <c r="A13470" t="s">
        <v>22995</v>
      </c>
      <c r="B13470" t="s">
        <v>22996</v>
      </c>
      <c r="C13470" s="1" t="str">
        <f>HYPERLINK("http://www.genecards.org/cgi-bin/carddisp.pl?gene=NPIPL2","GeneCards")</f>
        <v>GeneCards</v>
      </c>
      <c r="D13470" s="1" t="str">
        <f>HYPERLINK("http://genome-euro.ucsc.edu/cgi-bin/hgTracks?position=221992_at","UCSC")</f>
        <v>UCSC</v>
      </c>
      <c r="E13470" s="1" t="str">
        <f>HYPERLINK("http://www.ncbi.nlm.nih.gov/gene/?term=NPIPL2","NCBI")</f>
        <v>NCBI</v>
      </c>
      <c r="F13470">
        <v>0.46</v>
      </c>
      <c r="G13470">
        <v>0.57999999999999996</v>
      </c>
      <c r="H13470" s="1" t="str">
        <f>HYPERLINK("http://www.weizmann.ac.il/complex/compphys/software/geview/data/figures/221992_at.png","Figure")</f>
        <v>Figure</v>
      </c>
      <c r="I13470">
        <v>1.1200000000000001</v>
      </c>
      <c r="J13470">
        <v>0.46</v>
      </c>
      <c r="K13470">
        <v>1.08</v>
      </c>
      <c r="L13470">
        <v>0.61</v>
      </c>
      <c r="M13470">
        <v>0.96499999999999997</v>
      </c>
      <c r="N13470">
        <v>0.91</v>
      </c>
    </row>
    <row r="13471" spans="1:14" x14ac:dyDescent="0.25">
      <c r="A13471" t="s">
        <v>22997</v>
      </c>
      <c r="B13471" t="s">
        <v>5432</v>
      </c>
      <c r="C13471" s="1" t="str">
        <f>HYPERLINK("http://www.genecards.org/cgi-bin/carddisp.pl?gene=FBXO42","GeneCards")</f>
        <v>GeneCards</v>
      </c>
      <c r="D13471" s="1" t="str">
        <f>HYPERLINK("http://genome-euro.ucsc.edu/cgi-bin/hgTracks?position=47773_at","UCSC")</f>
        <v>UCSC</v>
      </c>
      <c r="E13471" s="1" t="str">
        <f>HYPERLINK("http://www.ncbi.nlm.nih.gov/gene/?term=FBXO42","NCBI")</f>
        <v>NCBI</v>
      </c>
      <c r="F13471">
        <v>0.46</v>
      </c>
      <c r="G13471">
        <v>0.57999999999999996</v>
      </c>
      <c r="H13471" s="1" t="str">
        <f>HYPERLINK("http://www.weizmann.ac.il/complex/compphys/software/geview/data/figures/47773_at.png","Figure")</f>
        <v>Figure</v>
      </c>
      <c r="I13471">
        <v>0.89200000000000002</v>
      </c>
      <c r="J13471">
        <v>0.83</v>
      </c>
      <c r="K13471">
        <v>0.80400000000000005</v>
      </c>
      <c r="L13471">
        <v>0.43</v>
      </c>
      <c r="M13471">
        <v>0.90100000000000002</v>
      </c>
      <c r="N13471">
        <v>0.84</v>
      </c>
    </row>
    <row r="13472" spans="1:14" x14ac:dyDescent="0.25">
      <c r="A13472" t="s">
        <v>22998</v>
      </c>
      <c r="B13472" t="s">
        <v>22999</v>
      </c>
      <c r="C13472" s="1" t="str">
        <f>HYPERLINK("http://www.genecards.org/cgi-bin/carddisp.pl?gene=CYC1","GeneCards")</f>
        <v>GeneCards</v>
      </c>
      <c r="D13472" s="1" t="str">
        <f>HYPERLINK("http://genome-euro.ucsc.edu/cgi-bin/hgTracks?position=201066_at","UCSC")</f>
        <v>UCSC</v>
      </c>
      <c r="E13472" s="1" t="str">
        <f>HYPERLINK("http://www.ncbi.nlm.nih.gov/gene/?term=CYC1","NCBI")</f>
        <v>NCBI</v>
      </c>
      <c r="F13472">
        <v>0.46</v>
      </c>
      <c r="G13472">
        <v>0.57999999999999996</v>
      </c>
      <c r="H13472" s="1" t="str">
        <f>HYPERLINK("http://www.weizmann.ac.il/complex/compphys/software/geview/data/figures/201066_at.png","Figure")</f>
        <v>Figure</v>
      </c>
      <c r="I13472">
        <v>1.1000000000000001</v>
      </c>
      <c r="J13472">
        <v>0.68</v>
      </c>
      <c r="K13472">
        <v>1.1299999999999999</v>
      </c>
      <c r="L13472">
        <v>0.44</v>
      </c>
      <c r="M13472">
        <v>1.03</v>
      </c>
      <c r="N13472">
        <v>0.96</v>
      </c>
    </row>
    <row r="13473" spans="1:14" x14ac:dyDescent="0.25">
      <c r="A13473" t="s">
        <v>23000</v>
      </c>
      <c r="B13473" t="s">
        <v>8838</v>
      </c>
      <c r="C13473" s="1" t="str">
        <f>HYPERLINK("http://www.genecards.org/cgi-bin/carddisp.pl?gene=HLA-B","GeneCards")</f>
        <v>GeneCards</v>
      </c>
      <c r="D13473" s="1" t="str">
        <f>HYPERLINK("http://genome-euro.ucsc.edu/cgi-bin/hgTracks?position=211911_x_at","UCSC")</f>
        <v>UCSC</v>
      </c>
      <c r="E13473" s="1" t="str">
        <f>HYPERLINK("http://www.ncbi.nlm.nih.gov/gene/?term=HLA-B","NCBI")</f>
        <v>NCBI</v>
      </c>
      <c r="F13473">
        <v>0.46</v>
      </c>
      <c r="G13473">
        <v>0.57999999999999996</v>
      </c>
      <c r="H13473" s="1" t="str">
        <f>HYPERLINK("http://www.weizmann.ac.il/complex/compphys/software/geview/data/figures/211911_x_at.png","Figure")</f>
        <v>Figure</v>
      </c>
      <c r="I13473">
        <v>0.77900000000000003</v>
      </c>
      <c r="J13473">
        <v>0.43</v>
      </c>
      <c r="K13473">
        <v>0.91300000000000003</v>
      </c>
      <c r="L13473">
        <v>0.86</v>
      </c>
      <c r="M13473">
        <v>1.17</v>
      </c>
      <c r="N13473">
        <v>0.67</v>
      </c>
    </row>
    <row r="13474" spans="1:14" x14ac:dyDescent="0.25">
      <c r="A13474" t="s">
        <v>23001</v>
      </c>
      <c r="B13474" t="s">
        <v>23002</v>
      </c>
      <c r="C13474" s="1" t="str">
        <f>HYPERLINK("http://www.genecards.org/cgi-bin/carddisp.pl?gene=TFPT","GeneCards")</f>
        <v>GeneCards</v>
      </c>
      <c r="D13474" s="1" t="str">
        <f>HYPERLINK("http://genome-euro.ucsc.edu/cgi-bin/hgTracks?position=218996_at","UCSC")</f>
        <v>UCSC</v>
      </c>
      <c r="E13474" s="1" t="str">
        <f>HYPERLINK("http://www.ncbi.nlm.nih.gov/gene/?term=TFPT","NCBI")</f>
        <v>NCBI</v>
      </c>
      <c r="F13474">
        <v>0.46</v>
      </c>
      <c r="G13474">
        <v>0.57999999999999996</v>
      </c>
      <c r="H13474" s="1" t="str">
        <f>HYPERLINK("http://www.weizmann.ac.il/complex/compphys/software/geview/data/figures/218996_at.png","Figure")</f>
        <v>Figure</v>
      </c>
      <c r="I13474">
        <v>1.1100000000000001</v>
      </c>
      <c r="J13474">
        <v>0.66</v>
      </c>
      <c r="K13474">
        <v>1.1399999999999999</v>
      </c>
      <c r="L13474">
        <v>0.44</v>
      </c>
      <c r="M13474">
        <v>1.03</v>
      </c>
      <c r="N13474">
        <v>0.97</v>
      </c>
    </row>
    <row r="13475" spans="1:14" x14ac:dyDescent="0.25">
      <c r="A13475" t="s">
        <v>23003</v>
      </c>
      <c r="B13475" t="s">
        <v>3621</v>
      </c>
      <c r="C13475" s="1" t="str">
        <f>HYPERLINK("http://www.genecards.org/cgi-bin/carddisp.pl?gene=CDYL","GeneCards")</f>
        <v>GeneCards</v>
      </c>
      <c r="D13475" s="1" t="str">
        <f>HYPERLINK("http://genome-euro.ucsc.edu/cgi-bin/hgTracks?position=203099_s_at","UCSC")</f>
        <v>UCSC</v>
      </c>
      <c r="E13475" s="1" t="str">
        <f>HYPERLINK("http://www.ncbi.nlm.nih.gov/gene/?term=CDYL","NCBI")</f>
        <v>NCBI</v>
      </c>
      <c r="F13475">
        <v>0.46</v>
      </c>
      <c r="G13475">
        <v>0.57999999999999996</v>
      </c>
      <c r="H13475" s="1" t="str">
        <f>HYPERLINK("http://www.weizmann.ac.il/complex/compphys/software/geview/data/figures/203099_s_at.png","Figure")</f>
        <v>Figure</v>
      </c>
      <c r="I13475">
        <v>1.1100000000000001</v>
      </c>
      <c r="J13475">
        <v>0.66</v>
      </c>
      <c r="K13475">
        <v>0.96599999999999997</v>
      </c>
      <c r="L13475">
        <v>0.94</v>
      </c>
      <c r="M13475">
        <v>0.871</v>
      </c>
      <c r="N13475">
        <v>0.43</v>
      </c>
    </row>
    <row r="13476" spans="1:14" x14ac:dyDescent="0.25">
      <c r="A13476" t="s">
        <v>23004</v>
      </c>
      <c r="B13476" t="s">
        <v>22857</v>
      </c>
      <c r="C13476" s="1" t="str">
        <f>HYPERLINK("http://www.genecards.org/cgi-bin/carddisp.pl?gene=RCE1","GeneCards")</f>
        <v>GeneCards</v>
      </c>
      <c r="D13476" s="1" t="str">
        <f>HYPERLINK("http://genome-euro.ucsc.edu/cgi-bin/hgTracks?position=205332_at","UCSC")</f>
        <v>UCSC</v>
      </c>
      <c r="E13476" s="1" t="str">
        <f>HYPERLINK("http://www.ncbi.nlm.nih.gov/gene/?term=RCE1","NCBI")</f>
        <v>NCBI</v>
      </c>
      <c r="F13476">
        <v>0.46</v>
      </c>
      <c r="G13476">
        <v>0.57999999999999996</v>
      </c>
      <c r="H13476" s="1" t="str">
        <f>HYPERLINK("http://www.weizmann.ac.il/complex/compphys/software/geview/data/figures/205332_at.png","Figure")</f>
        <v>Figure</v>
      </c>
      <c r="I13476">
        <v>1.1100000000000001</v>
      </c>
      <c r="J13476">
        <v>0.44</v>
      </c>
      <c r="K13476">
        <v>1.03</v>
      </c>
      <c r="L13476">
        <v>0.9</v>
      </c>
      <c r="M13476">
        <v>0.92800000000000005</v>
      </c>
      <c r="N13476">
        <v>0.63</v>
      </c>
    </row>
    <row r="13477" spans="1:14" x14ac:dyDescent="0.25">
      <c r="A13477" t="s">
        <v>23005</v>
      </c>
      <c r="B13477" t="s">
        <v>9875</v>
      </c>
      <c r="C13477" s="1" t="str">
        <f>HYPERLINK("http://www.genecards.org/cgi-bin/carddisp.pl?gene=IKBKG","GeneCards")</f>
        <v>GeneCards</v>
      </c>
      <c r="D13477" s="1" t="str">
        <f>HYPERLINK("http://genome-euro.ucsc.edu/cgi-bin/hgTracks?position=209929_s_at","UCSC")</f>
        <v>UCSC</v>
      </c>
      <c r="E13477" s="1" t="str">
        <f>HYPERLINK("http://www.ncbi.nlm.nih.gov/gene/?term=IKBKG","NCBI")</f>
        <v>NCBI</v>
      </c>
      <c r="F13477">
        <v>0.46</v>
      </c>
      <c r="G13477">
        <v>0.57999999999999996</v>
      </c>
      <c r="H13477" s="1" t="str">
        <f>HYPERLINK("http://www.weizmann.ac.il/complex/compphys/software/geview/data/figures/209929_s_at.png","Figure")</f>
        <v>Figure</v>
      </c>
      <c r="I13477">
        <v>0.876</v>
      </c>
      <c r="J13477">
        <v>0.56000000000000005</v>
      </c>
      <c r="K13477">
        <v>0.878</v>
      </c>
      <c r="L13477">
        <v>0.49</v>
      </c>
      <c r="M13477">
        <v>1</v>
      </c>
      <c r="N13477">
        <v>1</v>
      </c>
    </row>
    <row r="13478" spans="1:14" x14ac:dyDescent="0.25">
      <c r="A13478" t="s">
        <v>23006</v>
      </c>
      <c r="B13478" t="s">
        <v>2870</v>
      </c>
      <c r="C13478" s="1" t="str">
        <f>HYPERLINK("http://www.genecards.org/cgi-bin/carddisp.pl?gene=USH1C","GeneCards")</f>
        <v>GeneCards</v>
      </c>
      <c r="D13478" s="1" t="str">
        <f>HYPERLINK("http://genome-euro.ucsc.edu/cgi-bin/hgTracks?position=211184_s_at","UCSC")</f>
        <v>UCSC</v>
      </c>
      <c r="E13478" s="1" t="str">
        <f>HYPERLINK("http://www.ncbi.nlm.nih.gov/gene/?term=USH1C","NCBI")</f>
        <v>NCBI</v>
      </c>
      <c r="F13478">
        <v>0.46</v>
      </c>
      <c r="G13478">
        <v>0.57999999999999996</v>
      </c>
      <c r="H13478" s="1" t="str">
        <f>HYPERLINK("http://www.weizmann.ac.il/complex/compphys/software/geview/data/figures/211184_s_at.png","Figure")</f>
        <v>Figure</v>
      </c>
      <c r="I13478">
        <v>1.08</v>
      </c>
      <c r="J13478">
        <v>0.44</v>
      </c>
      <c r="K13478">
        <v>1.05</v>
      </c>
      <c r="L13478">
        <v>0.67</v>
      </c>
      <c r="M13478">
        <v>0.97099999999999997</v>
      </c>
      <c r="N13478">
        <v>0.86</v>
      </c>
    </row>
    <row r="13479" spans="1:14" x14ac:dyDescent="0.25">
      <c r="A13479" t="s">
        <v>23007</v>
      </c>
      <c r="B13479" t="s">
        <v>23008</v>
      </c>
      <c r="C13479" s="1" t="str">
        <f>HYPERLINK("http://www.genecards.org/cgi-bin/carddisp.pl?gene=HBBP1","GeneCards")</f>
        <v>GeneCards</v>
      </c>
      <c r="D13479" s="1" t="str">
        <f>HYPERLINK("http://genome-euro.ucsc.edu/cgi-bin/hgTracks?position=216063_at","UCSC")</f>
        <v>UCSC</v>
      </c>
      <c r="E13479" s="1" t="str">
        <f>HYPERLINK("http://www.ncbi.nlm.nih.gov/gene/?term=HBBP1","NCBI")</f>
        <v>NCBI</v>
      </c>
      <c r="F13479">
        <v>0.46</v>
      </c>
      <c r="G13479">
        <v>0.57999999999999996</v>
      </c>
      <c r="H13479" s="1" t="str">
        <f>HYPERLINK("http://www.weizmann.ac.il/complex/compphys/software/geview/data/figures/216063_at.png","Figure")</f>
        <v>Figure</v>
      </c>
      <c r="I13479">
        <v>1.05</v>
      </c>
      <c r="J13479">
        <v>0.6</v>
      </c>
      <c r="K13479">
        <v>0.99</v>
      </c>
      <c r="L13479">
        <v>0.98</v>
      </c>
      <c r="M13479">
        <v>0.94</v>
      </c>
      <c r="N13479">
        <v>0.45</v>
      </c>
    </row>
    <row r="13480" spans="1:14" x14ac:dyDescent="0.25">
      <c r="A13480" t="s">
        <v>23009</v>
      </c>
      <c r="B13480" t="s">
        <v>18437</v>
      </c>
      <c r="C13480" s="1" t="str">
        <f>HYPERLINK("http://www.genecards.org/cgi-bin/carddisp.pl?gene=HK2","GeneCards")</f>
        <v>GeneCards</v>
      </c>
      <c r="D13480" s="1" t="str">
        <f>HYPERLINK("http://genome-euro.ucsc.edu/cgi-bin/hgTracks?position=202934_at","UCSC")</f>
        <v>UCSC</v>
      </c>
      <c r="E13480" s="1" t="str">
        <f>HYPERLINK("http://www.ncbi.nlm.nih.gov/gene/?term=HK2","NCBI")</f>
        <v>NCBI</v>
      </c>
      <c r="F13480">
        <v>0.46</v>
      </c>
      <c r="G13480">
        <v>0.57999999999999996</v>
      </c>
      <c r="H13480" s="1" t="str">
        <f>HYPERLINK("http://www.weizmann.ac.il/complex/compphys/software/geview/data/figures/202934_at.png","Figure")</f>
        <v>Figure</v>
      </c>
      <c r="I13480">
        <v>1.19</v>
      </c>
      <c r="J13480">
        <v>0.64</v>
      </c>
      <c r="K13480">
        <v>1.23</v>
      </c>
      <c r="L13480">
        <v>0.45</v>
      </c>
      <c r="M13480">
        <v>1.03</v>
      </c>
      <c r="N13480">
        <v>0.98</v>
      </c>
    </row>
    <row r="13481" spans="1:14" x14ac:dyDescent="0.25">
      <c r="A13481" t="s">
        <v>23010</v>
      </c>
      <c r="B13481" t="s">
        <v>23011</v>
      </c>
      <c r="C13481" s="1" t="str">
        <f>HYPERLINK("http://www.genecards.org/cgi-bin/carddisp.pl?gene=TRIM8","GeneCards")</f>
        <v>GeneCards</v>
      </c>
      <c r="D13481" s="1" t="str">
        <f>HYPERLINK("http://genome-euro.ucsc.edu/cgi-bin/hgTracks?position=221012_s_at","UCSC")</f>
        <v>UCSC</v>
      </c>
      <c r="E13481" s="1" t="str">
        <f>HYPERLINK("http://www.ncbi.nlm.nih.gov/gene/?term=TRIM8","NCBI")</f>
        <v>NCBI</v>
      </c>
      <c r="F13481">
        <v>0.46</v>
      </c>
      <c r="G13481">
        <v>0.57999999999999996</v>
      </c>
      <c r="H13481" s="1" t="str">
        <f>HYPERLINK("http://www.weizmann.ac.il/complex/compphys/software/geview/data/figures/221012_s_at.png","Figure")</f>
        <v>Figure</v>
      </c>
      <c r="I13481">
        <v>0.93100000000000005</v>
      </c>
      <c r="J13481">
        <v>0.95</v>
      </c>
      <c r="K13481">
        <v>1.21</v>
      </c>
      <c r="L13481">
        <v>0.64</v>
      </c>
      <c r="M13481">
        <v>1.3</v>
      </c>
      <c r="N13481">
        <v>0.48</v>
      </c>
    </row>
    <row r="13482" spans="1:14" x14ac:dyDescent="0.25">
      <c r="A13482" t="s">
        <v>23012</v>
      </c>
      <c r="B13482" t="s">
        <v>23013</v>
      </c>
      <c r="C13482" s="1" t="str">
        <f>HYPERLINK("http://www.genecards.org/cgi-bin/carddisp.pl?gene=C16orf35","GeneCards")</f>
        <v>GeneCards</v>
      </c>
      <c r="D13482" s="1" t="str">
        <f>HYPERLINK("http://genome-euro.ucsc.edu/cgi-bin/hgTracks?position=214273_x_at","UCSC")</f>
        <v>UCSC</v>
      </c>
      <c r="E13482" s="1" t="str">
        <f>HYPERLINK("http://www.ncbi.nlm.nih.gov/gene/?term=C16orf35","NCBI")</f>
        <v>NCBI</v>
      </c>
      <c r="F13482">
        <v>0.46</v>
      </c>
      <c r="G13482">
        <v>0.57999999999999996</v>
      </c>
      <c r="H13482" s="1" t="str">
        <f>HYPERLINK("http://www.weizmann.ac.il/complex/compphys/software/geview/data/figures/214273_x_at.png","Figure")</f>
        <v>Figure</v>
      </c>
      <c r="I13482">
        <v>1.1200000000000001</v>
      </c>
      <c r="J13482">
        <v>0.6</v>
      </c>
      <c r="K13482">
        <v>1.1299999999999999</v>
      </c>
      <c r="L13482">
        <v>0.46</v>
      </c>
      <c r="M13482">
        <v>1.01</v>
      </c>
      <c r="N13482">
        <v>1</v>
      </c>
    </row>
    <row r="13483" spans="1:14" x14ac:dyDescent="0.25">
      <c r="A13483" t="s">
        <v>23014</v>
      </c>
      <c r="B13483" t="s">
        <v>23015</v>
      </c>
      <c r="C13483" s="1" t="str">
        <f>HYPERLINK("http://www.genecards.org/cgi-bin/carddisp.pl?gene=ZCCHC11","GeneCards")</f>
        <v>GeneCards</v>
      </c>
      <c r="D13483" s="1" t="str">
        <f>HYPERLINK("http://genome-euro.ucsc.edu/cgi-bin/hgTracks?position=212704_at","UCSC")</f>
        <v>UCSC</v>
      </c>
      <c r="E13483" s="1" t="str">
        <f>HYPERLINK("http://www.ncbi.nlm.nih.gov/gene/?term=ZCCHC11","NCBI")</f>
        <v>NCBI</v>
      </c>
      <c r="F13483">
        <v>0.46</v>
      </c>
      <c r="G13483">
        <v>0.57999999999999996</v>
      </c>
      <c r="H13483" s="1" t="str">
        <f>HYPERLINK("http://www.weizmann.ac.il/complex/compphys/software/geview/data/figures/212704_at.png","Figure")</f>
        <v>Figure</v>
      </c>
      <c r="I13483">
        <v>1.07</v>
      </c>
      <c r="J13483">
        <v>0.94</v>
      </c>
      <c r="K13483">
        <v>0.84699999999999998</v>
      </c>
      <c r="L13483">
        <v>0.65</v>
      </c>
      <c r="M13483">
        <v>0.79100000000000004</v>
      </c>
      <c r="N13483">
        <v>0.48</v>
      </c>
    </row>
    <row r="13484" spans="1:14" x14ac:dyDescent="0.25">
      <c r="A13484" t="s">
        <v>23016</v>
      </c>
      <c r="B13484" t="s">
        <v>18780</v>
      </c>
      <c r="C13484" s="1" t="str">
        <f>HYPERLINK("http://www.genecards.org/cgi-bin/carddisp.pl?gene=GINS3","GeneCards")</f>
        <v>GeneCards</v>
      </c>
      <c r="D13484" s="1" t="str">
        <f>HYPERLINK("http://genome-euro.ucsc.edu/cgi-bin/hgTracks?position=218719_s_at","UCSC")</f>
        <v>UCSC</v>
      </c>
      <c r="E13484" s="1" t="str">
        <f>HYPERLINK("http://www.ncbi.nlm.nih.gov/gene/?term=GINS3","NCBI")</f>
        <v>NCBI</v>
      </c>
      <c r="F13484">
        <v>0.46</v>
      </c>
      <c r="G13484">
        <v>0.57999999999999996</v>
      </c>
      <c r="H13484" s="1" t="str">
        <f>HYPERLINK("http://www.weizmann.ac.il/complex/compphys/software/geview/data/figures/218719_s_at.png","Figure")</f>
        <v>Figure</v>
      </c>
      <c r="I13484">
        <v>1.08</v>
      </c>
      <c r="J13484">
        <v>0.93</v>
      </c>
      <c r="K13484">
        <v>1.25</v>
      </c>
      <c r="L13484">
        <v>0.45</v>
      </c>
      <c r="M13484">
        <v>1.1599999999999999</v>
      </c>
      <c r="N13484">
        <v>0.73</v>
      </c>
    </row>
    <row r="13485" spans="1:14" x14ac:dyDescent="0.25">
      <c r="A13485" t="s">
        <v>23017</v>
      </c>
      <c r="B13485" t="s">
        <v>23018</v>
      </c>
      <c r="C13485" s="1" t="str">
        <f>HYPERLINK("http://www.genecards.org/cgi-bin/carddisp.pl?gene=OR10C1","GeneCards")</f>
        <v>GeneCards</v>
      </c>
      <c r="D13485" s="1" t="str">
        <f>HYPERLINK("http://genome-euro.ucsc.edu/cgi-bin/hgTracks?position=221339_at","UCSC")</f>
        <v>UCSC</v>
      </c>
      <c r="E13485" s="1" t="str">
        <f>HYPERLINK("http://www.ncbi.nlm.nih.gov/gene/?term=OR10C1","NCBI")</f>
        <v>NCBI</v>
      </c>
      <c r="F13485">
        <v>0.46</v>
      </c>
      <c r="G13485">
        <v>0.57999999999999996</v>
      </c>
      <c r="H13485" s="1" t="str">
        <f>HYPERLINK("http://www.weizmann.ac.il/complex/compphys/software/geview/data/figures/221339_at.png","Figure")</f>
        <v>Figure</v>
      </c>
      <c r="I13485">
        <v>1.06</v>
      </c>
      <c r="J13485">
        <v>0.73</v>
      </c>
      <c r="K13485">
        <v>0.96799999999999997</v>
      </c>
      <c r="L13485">
        <v>0.87</v>
      </c>
      <c r="M13485">
        <v>0.91600000000000004</v>
      </c>
      <c r="N13485">
        <v>0.43</v>
      </c>
    </row>
    <row r="13486" spans="1:14" x14ac:dyDescent="0.25">
      <c r="A13486" t="s">
        <v>23019</v>
      </c>
      <c r="B13486" t="s">
        <v>23020</v>
      </c>
      <c r="C13486" s="1" t="str">
        <f>HYPERLINK("http://www.genecards.org/cgi-bin/carddisp.pl?gene=DIO2","GeneCards")</f>
        <v>GeneCards</v>
      </c>
      <c r="D13486" s="1" t="str">
        <f>HYPERLINK("http://genome-euro.ucsc.edu/cgi-bin/hgTracks?position=211215_x_at","UCSC")</f>
        <v>UCSC</v>
      </c>
      <c r="E13486" s="1" t="str">
        <f>HYPERLINK("http://www.ncbi.nlm.nih.gov/gene/?term=DIO2","NCBI")</f>
        <v>NCBI</v>
      </c>
      <c r="F13486">
        <v>0.46</v>
      </c>
      <c r="G13486">
        <v>0.57999999999999996</v>
      </c>
      <c r="H13486" s="1" t="str">
        <f>HYPERLINK("http://www.weizmann.ac.il/complex/compphys/software/geview/data/figures/211215_x_at.png","Figure")</f>
        <v>Figure</v>
      </c>
      <c r="I13486">
        <v>1.1100000000000001</v>
      </c>
      <c r="J13486">
        <v>0.46</v>
      </c>
      <c r="K13486">
        <v>1.02</v>
      </c>
      <c r="L13486">
        <v>0.96</v>
      </c>
      <c r="M13486">
        <v>0.92100000000000004</v>
      </c>
      <c r="N13486">
        <v>0.56000000000000005</v>
      </c>
    </row>
    <row r="13487" spans="1:14" x14ac:dyDescent="0.25">
      <c r="A13487" t="s">
        <v>23021</v>
      </c>
      <c r="B13487" t="s">
        <v>23022</v>
      </c>
      <c r="C13487" s="1" t="str">
        <f>HYPERLINK("http://www.genecards.org/cgi-bin/carddisp.pl?gene=C19orf53","GeneCards")</f>
        <v>GeneCards</v>
      </c>
      <c r="D13487" s="1" t="str">
        <f>HYPERLINK("http://genome-euro.ucsc.edu/cgi-bin/hgTracks?position=217926_at","UCSC")</f>
        <v>UCSC</v>
      </c>
      <c r="E13487" s="1" t="str">
        <f>HYPERLINK("http://www.ncbi.nlm.nih.gov/gene/?term=C19orf53","NCBI")</f>
        <v>NCBI</v>
      </c>
      <c r="F13487">
        <v>0.46</v>
      </c>
      <c r="G13487">
        <v>0.57999999999999996</v>
      </c>
      <c r="H13487" s="1" t="str">
        <f>HYPERLINK("http://www.weizmann.ac.il/complex/compphys/software/geview/data/figures/217926_at.png","Figure")</f>
        <v>Figure</v>
      </c>
      <c r="I13487">
        <v>0.94599999999999995</v>
      </c>
      <c r="J13487">
        <v>0.96</v>
      </c>
      <c r="K13487">
        <v>1.18</v>
      </c>
      <c r="L13487">
        <v>0.63</v>
      </c>
      <c r="M13487">
        <v>1.24</v>
      </c>
      <c r="N13487">
        <v>0.49</v>
      </c>
    </row>
    <row r="13488" spans="1:14" x14ac:dyDescent="0.25">
      <c r="A13488" t="s">
        <v>23023</v>
      </c>
      <c r="B13488" t="s">
        <v>14027</v>
      </c>
      <c r="C13488" s="1" t="str">
        <f>HYPERLINK("http://www.genecards.org/cgi-bin/carddisp.pl?gene=VAC14","GeneCards")</f>
        <v>GeneCards</v>
      </c>
      <c r="D13488" s="1" t="str">
        <f>HYPERLINK("http://genome-euro.ucsc.edu/cgi-bin/hgTracks?position=216501_at","UCSC")</f>
        <v>UCSC</v>
      </c>
      <c r="E13488" s="1" t="str">
        <f>HYPERLINK("http://www.ncbi.nlm.nih.gov/gene/?term=VAC14","NCBI")</f>
        <v>NCBI</v>
      </c>
      <c r="F13488">
        <v>0.46</v>
      </c>
      <c r="G13488">
        <v>0.57999999999999996</v>
      </c>
      <c r="H13488" s="1" t="str">
        <f>HYPERLINK("http://www.weizmann.ac.il/complex/compphys/software/geview/data/figures/216501_at.png","Figure")</f>
        <v>Figure</v>
      </c>
      <c r="I13488">
        <v>1.02</v>
      </c>
      <c r="J13488">
        <v>0.87</v>
      </c>
      <c r="K13488">
        <v>0.98</v>
      </c>
      <c r="L13488">
        <v>0.73</v>
      </c>
      <c r="M13488">
        <v>0.96499999999999997</v>
      </c>
      <c r="N13488">
        <v>0.45</v>
      </c>
    </row>
    <row r="13489" spans="1:14" x14ac:dyDescent="0.25">
      <c r="A13489" t="s">
        <v>23024</v>
      </c>
      <c r="B13489" t="s">
        <v>23025</v>
      </c>
      <c r="C13489" s="1" t="str">
        <f>HYPERLINK("http://www.genecards.org/cgi-bin/carddisp.pl?gene=RNF103 /// VPS24","GeneCards")</f>
        <v>GeneCards</v>
      </c>
      <c r="D13489" s="1" t="str">
        <f>HYPERLINK("http://genome-euro.ucsc.edu/cgi-bin/hgTracks?position=217837_s_at","UCSC")</f>
        <v>UCSC</v>
      </c>
      <c r="E13489" s="1" t="str">
        <f>HYPERLINK("http://www.ncbi.nlm.nih.gov/gene/?term=RNF103 /// VPS24","NCBI")</f>
        <v>NCBI</v>
      </c>
      <c r="F13489">
        <v>0.46</v>
      </c>
      <c r="G13489">
        <v>0.57999999999999996</v>
      </c>
      <c r="H13489" s="1" t="str">
        <f>HYPERLINK("http://www.weizmann.ac.il/complex/compphys/software/geview/data/figures/217837_s_at.png","Figure")</f>
        <v>Figure</v>
      </c>
      <c r="I13489">
        <v>0.80100000000000005</v>
      </c>
      <c r="J13489">
        <v>0.61</v>
      </c>
      <c r="K13489">
        <v>0.78300000000000003</v>
      </c>
      <c r="L13489">
        <v>0.46</v>
      </c>
      <c r="M13489">
        <v>0.97699999999999998</v>
      </c>
      <c r="N13489">
        <v>0.99</v>
      </c>
    </row>
    <row r="13490" spans="1:14" x14ac:dyDescent="0.25">
      <c r="A13490" t="s">
        <v>23026</v>
      </c>
      <c r="B13490" t="s">
        <v>3512</v>
      </c>
      <c r="C13490" s="1" t="str">
        <f>HYPERLINK("http://www.genecards.org/cgi-bin/carddisp.pl?gene=MID1","GeneCards")</f>
        <v>GeneCards</v>
      </c>
      <c r="D13490" s="1" t="str">
        <f>HYPERLINK("http://genome-euro.ucsc.edu/cgi-bin/hgTracks?position=210694_s_at","UCSC")</f>
        <v>UCSC</v>
      </c>
      <c r="E13490" s="1" t="str">
        <f>HYPERLINK("http://www.ncbi.nlm.nih.gov/gene/?term=MID1","NCBI")</f>
        <v>NCBI</v>
      </c>
      <c r="F13490">
        <v>0.46</v>
      </c>
      <c r="G13490">
        <v>0.57999999999999996</v>
      </c>
      <c r="H13490" s="1" t="str">
        <f>HYPERLINK("http://www.weizmann.ac.il/complex/compphys/software/geview/data/figures/210694_s_at.png","Figure")</f>
        <v>Figure</v>
      </c>
      <c r="I13490">
        <v>0.66700000000000004</v>
      </c>
      <c r="J13490">
        <v>0.45</v>
      </c>
      <c r="K13490">
        <v>0.77600000000000002</v>
      </c>
      <c r="L13490">
        <v>0.65</v>
      </c>
      <c r="M13490">
        <v>1.1599999999999999</v>
      </c>
      <c r="N13490">
        <v>0.87</v>
      </c>
    </row>
    <row r="13491" spans="1:14" x14ac:dyDescent="0.25">
      <c r="A13491" t="s">
        <v>23027</v>
      </c>
      <c r="B13491" t="s">
        <v>23028</v>
      </c>
      <c r="C13491" s="1" t="str">
        <f>HYPERLINK("http://www.genecards.org/cgi-bin/carddisp.pl?gene=ZMIZ1","GeneCards")</f>
        <v>GeneCards</v>
      </c>
      <c r="D13491" s="1" t="str">
        <f>HYPERLINK("http://genome-euro.ucsc.edu/cgi-bin/hgTracks?position=212124_at","UCSC")</f>
        <v>UCSC</v>
      </c>
      <c r="E13491" s="1" t="str">
        <f>HYPERLINK("http://www.ncbi.nlm.nih.gov/gene/?term=ZMIZ1","NCBI")</f>
        <v>NCBI</v>
      </c>
      <c r="F13491">
        <v>0.46</v>
      </c>
      <c r="G13491">
        <v>0.57999999999999996</v>
      </c>
      <c r="H13491" s="1" t="str">
        <f>HYPERLINK("http://www.weizmann.ac.il/complex/compphys/software/geview/data/figures/212124_at.png","Figure")</f>
        <v>Figure</v>
      </c>
      <c r="I13491">
        <v>0.71599999999999997</v>
      </c>
      <c r="J13491">
        <v>0.43</v>
      </c>
      <c r="K13491">
        <v>0.85499999999999998</v>
      </c>
      <c r="L13491">
        <v>0.77</v>
      </c>
      <c r="M13491">
        <v>1.19</v>
      </c>
      <c r="N13491">
        <v>0.75</v>
      </c>
    </row>
    <row r="13492" spans="1:14" x14ac:dyDescent="0.25">
      <c r="A13492" t="s">
        <v>23029</v>
      </c>
      <c r="B13492" t="s">
        <v>23030</v>
      </c>
      <c r="C13492" s="1" t="str">
        <f>HYPERLINK("http://www.genecards.org/cgi-bin/carddisp.pl?gene=MAPKAPK5","GeneCards")</f>
        <v>GeneCards</v>
      </c>
      <c r="D13492" s="1" t="str">
        <f>HYPERLINK("http://genome-euro.ucsc.edu/cgi-bin/hgTracks?position=212871_at","UCSC")</f>
        <v>UCSC</v>
      </c>
      <c r="E13492" s="1" t="str">
        <f>HYPERLINK("http://www.ncbi.nlm.nih.gov/gene/?term=MAPKAPK5","NCBI")</f>
        <v>NCBI</v>
      </c>
      <c r="F13492">
        <v>0.46</v>
      </c>
      <c r="G13492">
        <v>0.57999999999999996</v>
      </c>
      <c r="H13492" s="1" t="str">
        <f>HYPERLINK("http://www.weizmann.ac.il/complex/compphys/software/geview/data/figures/212871_at.png","Figure")</f>
        <v>Figure</v>
      </c>
      <c r="I13492">
        <v>0.90800000000000003</v>
      </c>
      <c r="J13492">
        <v>0.9</v>
      </c>
      <c r="K13492">
        <v>0.78400000000000003</v>
      </c>
      <c r="L13492">
        <v>0.44</v>
      </c>
      <c r="M13492">
        <v>0.86399999999999999</v>
      </c>
      <c r="N13492">
        <v>0.76</v>
      </c>
    </row>
    <row r="13493" spans="1:14" x14ac:dyDescent="0.25">
      <c r="A13493" t="s">
        <v>23031</v>
      </c>
      <c r="B13493" t="s">
        <v>23032</v>
      </c>
      <c r="C13493" s="1" t="str">
        <f>HYPERLINK("http://www.genecards.org/cgi-bin/carddisp.pl?gene=TTC4","GeneCards")</f>
        <v>GeneCards</v>
      </c>
      <c r="D13493" s="1" t="str">
        <f>HYPERLINK("http://genome-euro.ucsc.edu/cgi-bin/hgTracks?position=218442_at","UCSC")</f>
        <v>UCSC</v>
      </c>
      <c r="E13493" s="1" t="str">
        <f>HYPERLINK("http://www.ncbi.nlm.nih.gov/gene/?term=TTC4","NCBI")</f>
        <v>NCBI</v>
      </c>
      <c r="F13493">
        <v>0.46</v>
      </c>
      <c r="G13493">
        <v>0.57999999999999996</v>
      </c>
      <c r="H13493" s="1" t="str">
        <f>HYPERLINK("http://www.weizmann.ac.il/complex/compphys/software/geview/data/figures/218442_at.png","Figure")</f>
        <v>Figure</v>
      </c>
      <c r="I13493">
        <v>1.1299999999999999</v>
      </c>
      <c r="J13493">
        <v>0.52</v>
      </c>
      <c r="K13493">
        <v>1</v>
      </c>
      <c r="L13493">
        <v>1</v>
      </c>
      <c r="M13493">
        <v>0.89200000000000002</v>
      </c>
      <c r="N13493">
        <v>0.49</v>
      </c>
    </row>
    <row r="13494" spans="1:14" x14ac:dyDescent="0.25">
      <c r="A13494" t="s">
        <v>23033</v>
      </c>
      <c r="B13494" t="s">
        <v>23034</v>
      </c>
      <c r="C13494" s="1" t="str">
        <f>HYPERLINK("http://www.genecards.org/cgi-bin/carddisp.pl?gene=CCNJ","GeneCards")</f>
        <v>GeneCards</v>
      </c>
      <c r="D13494" s="1" t="str">
        <f>HYPERLINK("http://genome-euro.ucsc.edu/cgi-bin/hgTracks?position=219470_x_at","UCSC")</f>
        <v>UCSC</v>
      </c>
      <c r="E13494" s="1" t="str">
        <f>HYPERLINK("http://www.ncbi.nlm.nih.gov/gene/?term=CCNJ","NCBI")</f>
        <v>NCBI</v>
      </c>
      <c r="F13494">
        <v>0.46</v>
      </c>
      <c r="G13494">
        <v>0.57999999999999996</v>
      </c>
      <c r="H13494" s="1" t="str">
        <f>HYPERLINK("http://www.weizmann.ac.il/complex/compphys/software/geview/data/figures/219470_x_at.png","Figure")</f>
        <v>Figure</v>
      </c>
      <c r="I13494">
        <v>0.85299999999999998</v>
      </c>
      <c r="J13494">
        <v>0.52</v>
      </c>
      <c r="K13494">
        <v>0.871</v>
      </c>
      <c r="L13494">
        <v>0.53</v>
      </c>
      <c r="M13494">
        <v>1.02</v>
      </c>
      <c r="N13494">
        <v>0.99</v>
      </c>
    </row>
    <row r="13495" spans="1:14" x14ac:dyDescent="0.25">
      <c r="A13495" t="s">
        <v>23035</v>
      </c>
      <c r="B13495" t="s">
        <v>7714</v>
      </c>
      <c r="C13495" s="1" t="str">
        <f>HYPERLINK("http://www.genecards.org/cgi-bin/carddisp.pl?gene=LGALS8","GeneCards")</f>
        <v>GeneCards</v>
      </c>
      <c r="D13495" s="1" t="str">
        <f>HYPERLINK("http://genome-euro.ucsc.edu/cgi-bin/hgTracks?position=210731_s_at","UCSC")</f>
        <v>UCSC</v>
      </c>
      <c r="E13495" s="1" t="str">
        <f>HYPERLINK("http://www.ncbi.nlm.nih.gov/gene/?term=LGALS8","NCBI")</f>
        <v>NCBI</v>
      </c>
      <c r="F13495">
        <v>0.46</v>
      </c>
      <c r="G13495">
        <v>0.57999999999999996</v>
      </c>
      <c r="H13495" s="1" t="str">
        <f>HYPERLINK("http://www.weizmann.ac.il/complex/compphys/software/geview/data/figures/210731_s_at.png","Figure")</f>
        <v>Figure</v>
      </c>
      <c r="I13495">
        <v>1.08</v>
      </c>
      <c r="J13495">
        <v>0.52</v>
      </c>
      <c r="K13495">
        <v>1.07</v>
      </c>
      <c r="L13495">
        <v>0.52</v>
      </c>
      <c r="M13495">
        <v>0.99</v>
      </c>
      <c r="N13495">
        <v>0.99</v>
      </c>
    </row>
    <row r="13496" spans="1:14" x14ac:dyDescent="0.25">
      <c r="A13496" t="s">
        <v>23036</v>
      </c>
      <c r="B13496" t="s">
        <v>23037</v>
      </c>
      <c r="C13496" s="1" t="str">
        <f>HYPERLINK("http://www.genecards.org/cgi-bin/carddisp.pl?gene=SDR39U1","GeneCards")</f>
        <v>GeneCards</v>
      </c>
      <c r="D13496" s="1" t="str">
        <f>HYPERLINK("http://genome-euro.ucsc.edu/cgi-bin/hgTracks?position=213398_s_at","UCSC")</f>
        <v>UCSC</v>
      </c>
      <c r="E13496" s="1" t="str">
        <f>HYPERLINK("http://www.ncbi.nlm.nih.gov/gene/?term=SDR39U1","NCBI")</f>
        <v>NCBI</v>
      </c>
      <c r="F13496">
        <v>0.46</v>
      </c>
      <c r="G13496">
        <v>0.57999999999999996</v>
      </c>
      <c r="H13496" s="1" t="str">
        <f>HYPERLINK("http://www.weizmann.ac.il/complex/compphys/software/geview/data/figures/213398_s_at.png","Figure")</f>
        <v>Figure</v>
      </c>
      <c r="I13496">
        <v>0.90400000000000003</v>
      </c>
      <c r="J13496">
        <v>0.9</v>
      </c>
      <c r="K13496">
        <v>1.18</v>
      </c>
      <c r="L13496">
        <v>0.7</v>
      </c>
      <c r="M13496">
        <v>1.3</v>
      </c>
      <c r="N13496">
        <v>0.46</v>
      </c>
    </row>
    <row r="13497" spans="1:14" x14ac:dyDescent="0.25">
      <c r="A13497" t="s">
        <v>23038</v>
      </c>
      <c r="B13497" t="s">
        <v>23039</v>
      </c>
      <c r="C13497" s="1" t="str">
        <f>HYPERLINK("http://www.genecards.org/cgi-bin/carddisp.pl?gene=SS18L2","GeneCards")</f>
        <v>GeneCards</v>
      </c>
      <c r="D13497" s="1" t="str">
        <f>HYPERLINK("http://genome-euro.ucsc.edu/cgi-bin/hgTracks?position=218283_at","UCSC")</f>
        <v>UCSC</v>
      </c>
      <c r="E13497" s="1" t="str">
        <f>HYPERLINK("http://www.ncbi.nlm.nih.gov/gene/?term=SS18L2","NCBI")</f>
        <v>NCBI</v>
      </c>
      <c r="F13497">
        <v>0.46</v>
      </c>
      <c r="G13497">
        <v>0.57999999999999996</v>
      </c>
      <c r="H13497" s="1" t="str">
        <f>HYPERLINK("http://www.weizmann.ac.il/complex/compphys/software/geview/data/figures/218283_at.png","Figure")</f>
        <v>Figure</v>
      </c>
      <c r="I13497">
        <v>1.17</v>
      </c>
      <c r="J13497">
        <v>0.59</v>
      </c>
      <c r="K13497">
        <v>0.97499999999999998</v>
      </c>
      <c r="L13497">
        <v>0.98</v>
      </c>
      <c r="M13497">
        <v>0.83099999999999996</v>
      </c>
      <c r="N13497">
        <v>0.45</v>
      </c>
    </row>
    <row r="13498" spans="1:14" x14ac:dyDescent="0.25">
      <c r="A13498" t="s">
        <v>23040</v>
      </c>
      <c r="B13498" t="s">
        <v>23041</v>
      </c>
      <c r="C13498" s="1" t="str">
        <f>HYPERLINK("http://www.genecards.org/cgi-bin/carddisp.pl?gene=CORO1C","GeneCards")</f>
        <v>GeneCards</v>
      </c>
      <c r="D13498" s="1" t="str">
        <f>HYPERLINK("http://genome-euro.ucsc.edu/cgi-bin/hgTracks?position=221676_s_at","UCSC")</f>
        <v>UCSC</v>
      </c>
      <c r="E13498" s="1" t="str">
        <f>HYPERLINK("http://www.ncbi.nlm.nih.gov/gene/?term=CORO1C","NCBI")</f>
        <v>NCBI</v>
      </c>
      <c r="F13498">
        <v>0.46</v>
      </c>
      <c r="G13498">
        <v>0.57999999999999996</v>
      </c>
      <c r="H13498" s="1" t="str">
        <f>HYPERLINK("http://www.weizmann.ac.il/complex/compphys/software/geview/data/figures/221676_s_at.png","Figure")</f>
        <v>Figure</v>
      </c>
      <c r="I13498">
        <v>1.19</v>
      </c>
      <c r="J13498">
        <v>0.76</v>
      </c>
      <c r="K13498">
        <v>0.88700000000000001</v>
      </c>
      <c r="L13498">
        <v>0.85</v>
      </c>
      <c r="M13498">
        <v>0.74199999999999999</v>
      </c>
      <c r="N13498">
        <v>0.43</v>
      </c>
    </row>
    <row r="13499" spans="1:14" x14ac:dyDescent="0.25">
      <c r="A13499" t="s">
        <v>23042</v>
      </c>
      <c r="B13499" t="s">
        <v>23043</v>
      </c>
      <c r="C13499" s="1" t="str">
        <f>HYPERLINK("http://www.genecards.org/cgi-bin/carddisp.pl?gene=MYL6B","GeneCards")</f>
        <v>GeneCards</v>
      </c>
      <c r="D13499" s="1" t="str">
        <f>HYPERLINK("http://genome-euro.ucsc.edu/cgi-bin/hgTracks?position=204173_at","UCSC")</f>
        <v>UCSC</v>
      </c>
      <c r="E13499" s="1" t="str">
        <f>HYPERLINK("http://www.ncbi.nlm.nih.gov/gene/?term=MYL6B","NCBI")</f>
        <v>NCBI</v>
      </c>
      <c r="F13499">
        <v>0.46</v>
      </c>
      <c r="G13499">
        <v>0.57999999999999996</v>
      </c>
      <c r="H13499" s="1" t="str">
        <f>HYPERLINK("http://www.weizmann.ac.il/complex/compphys/software/geview/data/figures/204173_at.png","Figure")</f>
        <v>Figure</v>
      </c>
      <c r="I13499">
        <v>1.07</v>
      </c>
      <c r="J13499">
        <v>0.93</v>
      </c>
      <c r="K13499">
        <v>1.22</v>
      </c>
      <c r="L13499">
        <v>0.45</v>
      </c>
      <c r="M13499">
        <v>1.1399999999999999</v>
      </c>
      <c r="N13499">
        <v>0.73</v>
      </c>
    </row>
    <row r="13500" spans="1:14" x14ac:dyDescent="0.25">
      <c r="A13500" t="s">
        <v>23044</v>
      </c>
      <c r="B13500" t="s">
        <v>23045</v>
      </c>
      <c r="C13500" s="1" t="str">
        <f>HYPERLINK("http://www.genecards.org/cgi-bin/carddisp.pl?gene=RPL5","GeneCards")</f>
        <v>GeneCards</v>
      </c>
      <c r="D13500" s="1" t="str">
        <f>HYPERLINK("http://genome-euro.ucsc.edu/cgi-bin/hgTracks?position=213080_x_at","UCSC")</f>
        <v>UCSC</v>
      </c>
      <c r="E13500" s="1" t="str">
        <f>HYPERLINK("http://www.ncbi.nlm.nih.gov/gene/?term=RPL5","NCBI")</f>
        <v>NCBI</v>
      </c>
      <c r="F13500">
        <v>0.46</v>
      </c>
      <c r="G13500">
        <v>0.57999999999999996</v>
      </c>
      <c r="H13500" s="1" t="str">
        <f>HYPERLINK("http://www.weizmann.ac.il/complex/compphys/software/geview/data/figures/213080_x_at.png","Figure")</f>
        <v>Figure</v>
      </c>
      <c r="I13500">
        <v>1.03</v>
      </c>
      <c r="J13500">
        <v>0.89</v>
      </c>
      <c r="K13500">
        <v>0.95499999999999996</v>
      </c>
      <c r="L13500">
        <v>0.72</v>
      </c>
      <c r="M13500">
        <v>0.92600000000000005</v>
      </c>
      <c r="N13500">
        <v>0.45</v>
      </c>
    </row>
    <row r="13501" spans="1:14" x14ac:dyDescent="0.25">
      <c r="A13501" t="s">
        <v>23046</v>
      </c>
      <c r="B13501" t="s">
        <v>23047</v>
      </c>
      <c r="C13501" s="1" t="str">
        <f>HYPERLINK("http://www.genecards.org/cgi-bin/carddisp.pl?gene=PPP1R12B","GeneCards")</f>
        <v>GeneCards</v>
      </c>
      <c r="D13501" s="1" t="str">
        <f>HYPERLINK("http://genome-euro.ucsc.edu/cgi-bin/hgTracks?position=201958_s_at","UCSC")</f>
        <v>UCSC</v>
      </c>
      <c r="E13501" s="1" t="str">
        <f>HYPERLINK("http://www.ncbi.nlm.nih.gov/gene/?term=PPP1R12B","NCBI")</f>
        <v>NCBI</v>
      </c>
      <c r="F13501">
        <v>0.46</v>
      </c>
      <c r="G13501">
        <v>0.57999999999999996</v>
      </c>
      <c r="H13501" s="1" t="str">
        <f>HYPERLINK("http://www.weizmann.ac.il/complex/compphys/software/geview/data/figures/201958_s_at.png","Figure")</f>
        <v>Figure</v>
      </c>
      <c r="I13501">
        <v>1.1299999999999999</v>
      </c>
      <c r="J13501">
        <v>0.43</v>
      </c>
      <c r="K13501">
        <v>1.06</v>
      </c>
      <c r="L13501">
        <v>0.77</v>
      </c>
      <c r="M13501">
        <v>0.93799999999999994</v>
      </c>
      <c r="N13501">
        <v>0.75</v>
      </c>
    </row>
    <row r="13502" spans="1:14" x14ac:dyDescent="0.25">
      <c r="A13502" t="s">
        <v>23048</v>
      </c>
      <c r="B13502" t="s">
        <v>15277</v>
      </c>
      <c r="C13502" s="1" t="str">
        <f>HYPERLINK("http://www.genecards.org/cgi-bin/carddisp.pl?gene=HLA-DQB1","GeneCards")</f>
        <v>GeneCards</v>
      </c>
      <c r="D13502" s="1" t="str">
        <f>HYPERLINK("http://genome-euro.ucsc.edu/cgi-bin/hgTracks?position=211654_x_at","UCSC")</f>
        <v>UCSC</v>
      </c>
      <c r="E13502" s="1" t="str">
        <f>HYPERLINK("http://www.ncbi.nlm.nih.gov/gene/?term=HLA-DQB1","NCBI")</f>
        <v>NCBI</v>
      </c>
      <c r="F13502">
        <v>0.46</v>
      </c>
      <c r="G13502">
        <v>0.57999999999999996</v>
      </c>
      <c r="H13502" s="1" t="str">
        <f>HYPERLINK("http://www.weizmann.ac.il/complex/compphys/software/geview/data/figures/211654_x_at.png","Figure")</f>
        <v>Figure</v>
      </c>
      <c r="I13502">
        <v>1.59</v>
      </c>
      <c r="J13502">
        <v>0.64</v>
      </c>
      <c r="K13502">
        <v>0.872</v>
      </c>
      <c r="L13502">
        <v>0.95</v>
      </c>
      <c r="M13502">
        <v>0.54800000000000004</v>
      </c>
      <c r="N13502">
        <v>0.44</v>
      </c>
    </row>
    <row r="13503" spans="1:14" x14ac:dyDescent="0.25">
      <c r="A13503" t="s">
        <v>23049</v>
      </c>
      <c r="B13503" t="s">
        <v>23050</v>
      </c>
      <c r="C13503" s="1" t="str">
        <f>HYPERLINK("http://www.genecards.org/cgi-bin/carddisp.pl?gene=RBMS2","GeneCards")</f>
        <v>GeneCards</v>
      </c>
      <c r="D13503" s="1" t="str">
        <f>HYPERLINK("http://genome-euro.ucsc.edu/cgi-bin/hgTracks?position=205228_at","UCSC")</f>
        <v>UCSC</v>
      </c>
      <c r="E13503" s="1" t="str">
        <f>HYPERLINK("http://www.ncbi.nlm.nih.gov/gene/?term=RBMS2","NCBI")</f>
        <v>NCBI</v>
      </c>
      <c r="F13503">
        <v>0.46</v>
      </c>
      <c r="G13503">
        <v>0.57999999999999996</v>
      </c>
      <c r="H13503" s="1" t="str">
        <f>HYPERLINK("http://www.weizmann.ac.il/complex/compphys/software/geview/data/figures/205228_at.png","Figure")</f>
        <v>Figure</v>
      </c>
      <c r="I13503">
        <v>1.04</v>
      </c>
      <c r="J13503">
        <v>0.86</v>
      </c>
      <c r="K13503">
        <v>0.95699999999999996</v>
      </c>
      <c r="L13503">
        <v>0.75</v>
      </c>
      <c r="M13503">
        <v>0.92300000000000004</v>
      </c>
      <c r="N13503">
        <v>0.44</v>
      </c>
    </row>
    <row r="13504" spans="1:14" x14ac:dyDescent="0.25">
      <c r="A13504" t="s">
        <v>23051</v>
      </c>
      <c r="B13504" t="s">
        <v>23052</v>
      </c>
      <c r="C13504" s="1" t="str">
        <f>HYPERLINK("http://www.genecards.org/cgi-bin/carddisp.pl?gene=TRIM25","GeneCards")</f>
        <v>GeneCards</v>
      </c>
      <c r="D13504" s="1" t="str">
        <f>HYPERLINK("http://genome-euro.ucsc.edu/cgi-bin/hgTracks?position=206911_at","UCSC")</f>
        <v>UCSC</v>
      </c>
      <c r="E13504" s="1" t="str">
        <f>HYPERLINK("http://www.ncbi.nlm.nih.gov/gene/?term=TRIM25","NCBI")</f>
        <v>NCBI</v>
      </c>
      <c r="F13504">
        <v>0.46</v>
      </c>
      <c r="G13504">
        <v>0.57999999999999996</v>
      </c>
      <c r="H13504" s="1" t="str">
        <f>HYPERLINK("http://www.weizmann.ac.il/complex/compphys/software/geview/data/figures/206911_at.png","Figure")</f>
        <v>Figure</v>
      </c>
      <c r="I13504">
        <v>1.1000000000000001</v>
      </c>
      <c r="J13504">
        <v>0.57999999999999996</v>
      </c>
      <c r="K13504">
        <v>0.98799999999999999</v>
      </c>
      <c r="L13504">
        <v>0.99</v>
      </c>
      <c r="M13504">
        <v>0.89400000000000002</v>
      </c>
      <c r="N13504">
        <v>0.46</v>
      </c>
    </row>
    <row r="13505" spans="1:14" x14ac:dyDescent="0.25">
      <c r="A13505" t="s">
        <v>23053</v>
      </c>
      <c r="B13505" t="s">
        <v>23054</v>
      </c>
      <c r="C13505" s="1" t="str">
        <f>HYPERLINK("http://www.genecards.org/cgi-bin/carddisp.pl?gene=SP2","GeneCards")</f>
        <v>GeneCards</v>
      </c>
      <c r="D13505" s="1" t="str">
        <f>HYPERLINK("http://genome-euro.ucsc.edu/cgi-bin/hgTracks?position=204367_at","UCSC")</f>
        <v>UCSC</v>
      </c>
      <c r="E13505" s="1" t="str">
        <f>HYPERLINK("http://www.ncbi.nlm.nih.gov/gene/?term=SP2","NCBI")</f>
        <v>NCBI</v>
      </c>
      <c r="F13505">
        <v>0.46</v>
      </c>
      <c r="G13505">
        <v>0.57999999999999996</v>
      </c>
      <c r="H13505" s="1" t="str">
        <f>HYPERLINK("http://www.weizmann.ac.il/complex/compphys/software/geview/data/figures/204367_at.png","Figure")</f>
        <v>Figure</v>
      </c>
      <c r="I13505">
        <v>0.84599999999999997</v>
      </c>
      <c r="J13505">
        <v>0.74</v>
      </c>
      <c r="K13505">
        <v>0.78</v>
      </c>
      <c r="L13505">
        <v>0.43</v>
      </c>
      <c r="M13505">
        <v>0.92200000000000004</v>
      </c>
      <c r="N13505">
        <v>0.92</v>
      </c>
    </row>
    <row r="13506" spans="1:14" x14ac:dyDescent="0.25">
      <c r="A13506" t="s">
        <v>23055</v>
      </c>
      <c r="B13506" t="s">
        <v>23056</v>
      </c>
      <c r="C13506" s="1" t="str">
        <f>HYPERLINK("http://www.genecards.org/cgi-bin/carddisp.pl?gene=CPS1","GeneCards")</f>
        <v>GeneCards</v>
      </c>
      <c r="D13506" s="1" t="str">
        <f>HYPERLINK("http://genome-euro.ucsc.edu/cgi-bin/hgTracks?position=204920_at","UCSC")</f>
        <v>UCSC</v>
      </c>
      <c r="E13506" s="1" t="str">
        <f>HYPERLINK("http://www.ncbi.nlm.nih.gov/gene/?term=CPS1","NCBI")</f>
        <v>NCBI</v>
      </c>
      <c r="F13506">
        <v>0.46</v>
      </c>
      <c r="G13506">
        <v>0.57999999999999996</v>
      </c>
      <c r="H13506" s="1" t="str">
        <f>HYPERLINK("http://www.weizmann.ac.il/complex/compphys/software/geview/data/figures/204920_at.png","Figure")</f>
        <v>Figure</v>
      </c>
      <c r="I13506">
        <v>1.1000000000000001</v>
      </c>
      <c r="J13506">
        <v>0.45</v>
      </c>
      <c r="K13506">
        <v>1.07</v>
      </c>
      <c r="L13506">
        <v>0.64</v>
      </c>
      <c r="M13506">
        <v>0.96599999999999997</v>
      </c>
      <c r="N13506">
        <v>0.89</v>
      </c>
    </row>
    <row r="13507" spans="1:14" x14ac:dyDescent="0.25">
      <c r="A13507" t="s">
        <v>23057</v>
      </c>
      <c r="B13507" t="s">
        <v>14573</v>
      </c>
      <c r="C13507" s="1" t="str">
        <f>HYPERLINK("http://www.genecards.org/cgi-bin/carddisp.pl?gene=UPF3A","GeneCards")</f>
        <v>GeneCards</v>
      </c>
      <c r="D13507" s="1" t="str">
        <f>HYPERLINK("http://genome-euro.ucsc.edu/cgi-bin/hgTracks?position=206958_s_at","UCSC")</f>
        <v>UCSC</v>
      </c>
      <c r="E13507" s="1" t="str">
        <f>HYPERLINK("http://www.ncbi.nlm.nih.gov/gene/?term=UPF3A","NCBI")</f>
        <v>NCBI</v>
      </c>
      <c r="F13507">
        <v>0.46</v>
      </c>
      <c r="G13507">
        <v>0.57999999999999996</v>
      </c>
      <c r="H13507" s="1" t="str">
        <f>HYPERLINK("http://www.weizmann.ac.il/complex/compphys/software/geview/data/figures/206958_s_at.png","Figure")</f>
        <v>Figure</v>
      </c>
      <c r="I13507">
        <v>0.64400000000000002</v>
      </c>
      <c r="J13507">
        <v>0.48</v>
      </c>
      <c r="K13507">
        <v>0.94299999999999995</v>
      </c>
      <c r="L13507">
        <v>0.98</v>
      </c>
      <c r="M13507">
        <v>1.46</v>
      </c>
      <c r="N13507">
        <v>0.53</v>
      </c>
    </row>
    <row r="13508" spans="1:14" x14ac:dyDescent="0.25">
      <c r="A13508" t="s">
        <v>23058</v>
      </c>
      <c r="B13508" t="s">
        <v>23059</v>
      </c>
      <c r="C13508" s="1" t="str">
        <f>HYPERLINK("http://www.genecards.org/cgi-bin/carddisp.pl?gene=MTMR14","GeneCards")</f>
        <v>GeneCards</v>
      </c>
      <c r="D13508" s="1" t="str">
        <f>HYPERLINK("http://genome-euro.ucsc.edu/cgi-bin/hgTracks?position=222143_s_at","UCSC")</f>
        <v>UCSC</v>
      </c>
      <c r="E13508" s="1" t="str">
        <f>HYPERLINK("http://www.ncbi.nlm.nih.gov/gene/?term=MTMR14","NCBI")</f>
        <v>NCBI</v>
      </c>
      <c r="F13508">
        <v>0.46</v>
      </c>
      <c r="G13508">
        <v>0.57999999999999996</v>
      </c>
      <c r="H13508" s="1" t="str">
        <f>HYPERLINK("http://www.weizmann.ac.il/complex/compphys/software/geview/data/figures/222143_s_at.png","Figure")</f>
        <v>Figure</v>
      </c>
      <c r="I13508">
        <v>1.25</v>
      </c>
      <c r="J13508">
        <v>0.45</v>
      </c>
      <c r="K13508">
        <v>1.1499999999999999</v>
      </c>
      <c r="L13508">
        <v>0.66</v>
      </c>
      <c r="M13508">
        <v>0.92</v>
      </c>
      <c r="N13508">
        <v>0.87</v>
      </c>
    </row>
    <row r="13509" spans="1:14" x14ac:dyDescent="0.25">
      <c r="A13509" t="s">
        <v>23060</v>
      </c>
      <c r="B13509" t="s">
        <v>23061</v>
      </c>
      <c r="C13509" s="1" t="str">
        <f>HYPERLINK("http://www.genecards.org/cgi-bin/carddisp.pl?gene=PHF11","GeneCards")</f>
        <v>GeneCards</v>
      </c>
      <c r="D13509" s="1" t="str">
        <f>HYPERLINK("http://genome-euro.ucsc.edu/cgi-bin/hgTracks?position=221816_s_at","UCSC")</f>
        <v>UCSC</v>
      </c>
      <c r="E13509" s="1" t="str">
        <f>HYPERLINK("http://www.ncbi.nlm.nih.gov/gene/?term=PHF11","NCBI")</f>
        <v>NCBI</v>
      </c>
      <c r="F13509">
        <v>0.46</v>
      </c>
      <c r="G13509">
        <v>0.57999999999999996</v>
      </c>
      <c r="H13509" s="1" t="str">
        <f>HYPERLINK("http://www.weizmann.ac.il/complex/compphys/software/geview/data/figures/221816_s_at.png","Figure")</f>
        <v>Figure</v>
      </c>
      <c r="I13509">
        <v>1.22</v>
      </c>
      <c r="J13509">
        <v>0.64</v>
      </c>
      <c r="K13509">
        <v>1.26</v>
      </c>
      <c r="L13509">
        <v>0.45</v>
      </c>
      <c r="M13509">
        <v>1.03</v>
      </c>
      <c r="N13509">
        <v>0.98</v>
      </c>
    </row>
    <row r="13510" spans="1:14" x14ac:dyDescent="0.25">
      <c r="A13510" t="s">
        <v>23062</v>
      </c>
      <c r="B13510" t="s">
        <v>15023</v>
      </c>
      <c r="C13510" s="1" t="str">
        <f>HYPERLINK("http://www.genecards.org/cgi-bin/carddisp.pl?gene=CBX6","GeneCards")</f>
        <v>GeneCards</v>
      </c>
      <c r="D13510" s="1" t="str">
        <f>HYPERLINK("http://genome-euro.ucsc.edu/cgi-bin/hgTracks?position=202047_s_at","UCSC")</f>
        <v>UCSC</v>
      </c>
      <c r="E13510" s="1" t="str">
        <f>HYPERLINK("http://www.ncbi.nlm.nih.gov/gene/?term=CBX6","NCBI")</f>
        <v>NCBI</v>
      </c>
      <c r="F13510">
        <v>0.46</v>
      </c>
      <c r="G13510">
        <v>0.57999999999999996</v>
      </c>
      <c r="H13510" s="1" t="str">
        <f>HYPERLINK("http://www.weizmann.ac.il/complex/compphys/software/geview/data/figures/202047_s_at.png","Figure")</f>
        <v>Figure</v>
      </c>
      <c r="I13510">
        <v>0.88</v>
      </c>
      <c r="J13510">
        <v>0.49</v>
      </c>
      <c r="K13510">
        <v>0.90700000000000003</v>
      </c>
      <c r="L13510">
        <v>0.56999999999999995</v>
      </c>
      <c r="M13510">
        <v>1.03</v>
      </c>
      <c r="N13510">
        <v>0.95</v>
      </c>
    </row>
    <row r="13511" spans="1:14" x14ac:dyDescent="0.25">
      <c r="A13511" t="s">
        <v>23063</v>
      </c>
      <c r="B13511" t="s">
        <v>15145</v>
      </c>
      <c r="C13511" s="1" t="str">
        <f>HYPERLINK("http://www.genecards.org/cgi-bin/carddisp.pl?gene=MBD4","GeneCards")</f>
        <v>GeneCards</v>
      </c>
      <c r="D13511" s="1" t="str">
        <f>HYPERLINK("http://genome-euro.ucsc.edu/cgi-bin/hgTracks?position=214047_s_at","UCSC")</f>
        <v>UCSC</v>
      </c>
      <c r="E13511" s="1" t="str">
        <f>HYPERLINK("http://www.ncbi.nlm.nih.gov/gene/?term=MBD4","NCBI")</f>
        <v>NCBI</v>
      </c>
      <c r="F13511">
        <v>0.46</v>
      </c>
      <c r="G13511">
        <v>0.57999999999999996</v>
      </c>
      <c r="H13511" s="1" t="str">
        <f>HYPERLINK("http://www.weizmann.ac.il/complex/compphys/software/geview/data/figures/214047_s_at.png","Figure")</f>
        <v>Figure</v>
      </c>
      <c r="I13511">
        <v>0.73299999999999998</v>
      </c>
      <c r="J13511">
        <v>0.46</v>
      </c>
      <c r="K13511">
        <v>0.93500000000000005</v>
      </c>
      <c r="L13511">
        <v>0.95</v>
      </c>
      <c r="M13511">
        <v>1.28</v>
      </c>
      <c r="N13511">
        <v>0.56999999999999995</v>
      </c>
    </row>
    <row r="13512" spans="1:14" x14ac:dyDescent="0.25">
      <c r="A13512" t="s">
        <v>23064</v>
      </c>
      <c r="B13512" t="s">
        <v>16452</v>
      </c>
      <c r="C13512" s="1" t="str">
        <f>HYPERLINK("http://www.genecards.org/cgi-bin/carddisp.pl?gene=RAB31","GeneCards")</f>
        <v>GeneCards</v>
      </c>
      <c r="D13512" s="1" t="str">
        <f>HYPERLINK("http://genome-euro.ucsc.edu/cgi-bin/hgTracks?position=217762_s_at","UCSC")</f>
        <v>UCSC</v>
      </c>
      <c r="E13512" s="1" t="str">
        <f>HYPERLINK("http://www.ncbi.nlm.nih.gov/gene/?term=RAB31","NCBI")</f>
        <v>NCBI</v>
      </c>
      <c r="F13512">
        <v>0.46</v>
      </c>
      <c r="G13512">
        <v>0.57999999999999996</v>
      </c>
      <c r="H13512" s="1" t="str">
        <f>HYPERLINK("http://www.weizmann.ac.il/complex/compphys/software/geview/data/figures/217762_s_at.png","Figure")</f>
        <v>Figure</v>
      </c>
      <c r="I13512">
        <v>1.0900000000000001</v>
      </c>
      <c r="J13512">
        <v>0.61</v>
      </c>
      <c r="K13512">
        <v>0.98399999999999999</v>
      </c>
      <c r="L13512">
        <v>0.97</v>
      </c>
      <c r="M13512">
        <v>0.90600000000000003</v>
      </c>
      <c r="N13512">
        <v>0.45</v>
      </c>
    </row>
    <row r="13513" spans="1:14" x14ac:dyDescent="0.25">
      <c r="A13513" t="s">
        <v>23065</v>
      </c>
      <c r="B13513" t="s">
        <v>23066</v>
      </c>
      <c r="C13513" s="1" t="str">
        <f>HYPERLINK("http://www.genecards.org/cgi-bin/carddisp.pl?gene=ATPAF2","GeneCards")</f>
        <v>GeneCards</v>
      </c>
      <c r="D13513" s="1" t="str">
        <f>HYPERLINK("http://genome-euro.ucsc.edu/cgi-bin/hgTracks?position=213057_at","UCSC")</f>
        <v>UCSC</v>
      </c>
      <c r="E13513" s="1" t="str">
        <f>HYPERLINK("http://www.ncbi.nlm.nih.gov/gene/?term=ATPAF2","NCBI")</f>
        <v>NCBI</v>
      </c>
      <c r="F13513">
        <v>0.46</v>
      </c>
      <c r="G13513">
        <v>0.57999999999999996</v>
      </c>
      <c r="H13513" s="1" t="str">
        <f>HYPERLINK("http://www.weizmann.ac.il/complex/compphys/software/geview/data/figures/213057_at.png","Figure")</f>
        <v>Figure</v>
      </c>
      <c r="I13513">
        <v>0.84099999999999997</v>
      </c>
      <c r="J13513">
        <v>0.48</v>
      </c>
      <c r="K13513">
        <v>0.88</v>
      </c>
      <c r="L13513">
        <v>0.57999999999999996</v>
      </c>
      <c r="M13513">
        <v>1.05</v>
      </c>
      <c r="N13513">
        <v>0.94</v>
      </c>
    </row>
    <row r="13514" spans="1:14" x14ac:dyDescent="0.25">
      <c r="A13514" t="s">
        <v>23067</v>
      </c>
      <c r="B13514" t="s">
        <v>23068</v>
      </c>
      <c r="C13514" s="1" t="str">
        <f>HYPERLINK("http://www.genecards.org/cgi-bin/carddisp.pl?gene=LCMT2","GeneCards")</f>
        <v>GeneCards</v>
      </c>
      <c r="D13514" s="1" t="str">
        <f>HYPERLINK("http://genome-euro.ucsc.edu/cgi-bin/hgTracks?position=204012_s_at","UCSC")</f>
        <v>UCSC</v>
      </c>
      <c r="E13514" s="1" t="str">
        <f>HYPERLINK("http://www.ncbi.nlm.nih.gov/gene/?term=LCMT2","NCBI")</f>
        <v>NCBI</v>
      </c>
      <c r="F13514">
        <v>0.46</v>
      </c>
      <c r="G13514">
        <v>0.57999999999999996</v>
      </c>
      <c r="H13514" s="1" t="str">
        <f>HYPERLINK("http://www.weizmann.ac.il/complex/compphys/software/geview/data/figures/204012_s_at.png","Figure")</f>
        <v>Figure</v>
      </c>
      <c r="I13514">
        <v>0.98099999999999998</v>
      </c>
      <c r="J13514">
        <v>0.99</v>
      </c>
      <c r="K13514">
        <v>0.86199999999999999</v>
      </c>
      <c r="L13514">
        <v>0.49</v>
      </c>
      <c r="M13514">
        <v>0.879</v>
      </c>
      <c r="N13514">
        <v>0.62</v>
      </c>
    </row>
    <row r="13515" spans="1:14" x14ac:dyDescent="0.25">
      <c r="A13515" t="s">
        <v>23069</v>
      </c>
      <c r="B13515" t="s">
        <v>23070</v>
      </c>
      <c r="C13515" s="1" t="str">
        <f>HYPERLINK("http://www.genecards.org/cgi-bin/carddisp.pl?gene=MGC31957","GeneCards")</f>
        <v>GeneCards</v>
      </c>
      <c r="D13515" s="1" t="str">
        <f>HYPERLINK("http://genome-euro.ucsc.edu/cgi-bin/hgTracks?position=210483_at","UCSC")</f>
        <v>UCSC</v>
      </c>
      <c r="E13515" s="1" t="str">
        <f>HYPERLINK("http://www.ncbi.nlm.nih.gov/gene/?term=MGC31957","NCBI")</f>
        <v>NCBI</v>
      </c>
      <c r="F13515">
        <v>0.46</v>
      </c>
      <c r="G13515">
        <v>0.57999999999999996</v>
      </c>
      <c r="H13515" s="1" t="str">
        <f>HYPERLINK("http://www.weizmann.ac.il/complex/compphys/software/geview/data/figures/210483_at.png","Figure")</f>
        <v>Figure</v>
      </c>
      <c r="I13515">
        <v>1.1299999999999999</v>
      </c>
      <c r="J13515">
        <v>0.44</v>
      </c>
      <c r="K13515">
        <v>1.04</v>
      </c>
      <c r="L13515">
        <v>0.9</v>
      </c>
      <c r="M13515">
        <v>0.91700000000000004</v>
      </c>
      <c r="N13515">
        <v>0.63</v>
      </c>
    </row>
    <row r="13516" spans="1:14" x14ac:dyDescent="0.25">
      <c r="A13516" t="s">
        <v>23071</v>
      </c>
      <c r="B13516" t="s">
        <v>23072</v>
      </c>
      <c r="C13516" s="1" t="str">
        <f>HYPERLINK("http://www.genecards.org/cgi-bin/carddisp.pl?gene=ABCF1","GeneCards")</f>
        <v>GeneCards</v>
      </c>
      <c r="D13516" s="1" t="str">
        <f>HYPERLINK("http://genome-euro.ucsc.edu/cgi-bin/hgTracks?position=200045_at","UCSC")</f>
        <v>UCSC</v>
      </c>
      <c r="E13516" s="1" t="str">
        <f>HYPERLINK("http://www.ncbi.nlm.nih.gov/gene/?term=ABCF1","NCBI")</f>
        <v>NCBI</v>
      </c>
      <c r="F13516">
        <v>0.46</v>
      </c>
      <c r="G13516">
        <v>0.57999999999999996</v>
      </c>
      <c r="H13516" s="1" t="str">
        <f>HYPERLINK("http://www.weizmann.ac.il/complex/compphys/software/geview/data/figures/200045_at.png","Figure")</f>
        <v>Figure</v>
      </c>
      <c r="I13516">
        <v>0.93700000000000006</v>
      </c>
      <c r="J13516">
        <v>0.95</v>
      </c>
      <c r="K13516">
        <v>0.79200000000000004</v>
      </c>
      <c r="L13516">
        <v>0.46</v>
      </c>
      <c r="M13516">
        <v>0.84499999999999997</v>
      </c>
      <c r="N13516">
        <v>0.7</v>
      </c>
    </row>
    <row r="13517" spans="1:14" x14ac:dyDescent="0.25">
      <c r="A13517" t="s">
        <v>23073</v>
      </c>
      <c r="B13517" t="s">
        <v>6081</v>
      </c>
      <c r="C13517" s="1" t="str">
        <f>HYPERLINK("http://www.genecards.org/cgi-bin/carddisp.pl?gene=APRT","GeneCards")</f>
        <v>GeneCards</v>
      </c>
      <c r="D13517" s="1" t="str">
        <f>HYPERLINK("http://genome-euro.ucsc.edu/cgi-bin/hgTracks?position=213892_s_at","UCSC")</f>
        <v>UCSC</v>
      </c>
      <c r="E13517" s="1" t="str">
        <f>HYPERLINK("http://www.ncbi.nlm.nih.gov/gene/?term=APRT","NCBI")</f>
        <v>NCBI</v>
      </c>
      <c r="F13517">
        <v>0.46</v>
      </c>
      <c r="G13517">
        <v>0.57999999999999996</v>
      </c>
      <c r="H13517" s="1" t="str">
        <f>HYPERLINK("http://www.weizmann.ac.il/complex/compphys/software/geview/data/figures/213892_s_at.png","Figure")</f>
        <v>Figure</v>
      </c>
      <c r="I13517">
        <v>1.02</v>
      </c>
      <c r="J13517">
        <v>1</v>
      </c>
      <c r="K13517">
        <v>1.19</v>
      </c>
      <c r="L13517">
        <v>0.51</v>
      </c>
      <c r="M13517">
        <v>1.17</v>
      </c>
      <c r="N13517">
        <v>0.61</v>
      </c>
    </row>
    <row r="13518" spans="1:14" x14ac:dyDescent="0.25">
      <c r="A13518" t="s">
        <v>23074</v>
      </c>
      <c r="B13518" t="s">
        <v>23075</v>
      </c>
      <c r="C13518" s="1" t="str">
        <f>HYPERLINK("http://www.genecards.org/cgi-bin/carddisp.pl?gene=MAG","GeneCards")</f>
        <v>GeneCards</v>
      </c>
      <c r="D13518" s="1" t="str">
        <f>HYPERLINK("http://genome-euro.ucsc.edu/cgi-bin/hgTracks?position=217447_at","UCSC")</f>
        <v>UCSC</v>
      </c>
      <c r="E13518" s="1" t="str">
        <f>HYPERLINK("http://www.ncbi.nlm.nih.gov/gene/?term=MAG","NCBI")</f>
        <v>NCBI</v>
      </c>
      <c r="F13518">
        <v>0.46</v>
      </c>
      <c r="G13518">
        <v>0.57999999999999996</v>
      </c>
      <c r="H13518" s="1" t="str">
        <f>HYPERLINK("http://www.weizmann.ac.il/complex/compphys/software/geview/data/figures/217447_at.png","Figure")</f>
        <v>Figure</v>
      </c>
      <c r="I13518">
        <v>1</v>
      </c>
      <c r="J13518">
        <v>1</v>
      </c>
      <c r="K13518">
        <v>0.96099999999999997</v>
      </c>
      <c r="L13518">
        <v>0.53</v>
      </c>
      <c r="M13518">
        <v>0.96099999999999997</v>
      </c>
      <c r="N13518">
        <v>0.56999999999999995</v>
      </c>
    </row>
    <row r="13519" spans="1:14" x14ac:dyDescent="0.25">
      <c r="A13519" t="s">
        <v>23076</v>
      </c>
      <c r="B13519" t="s">
        <v>23077</v>
      </c>
      <c r="C13519" s="1" t="str">
        <f>HYPERLINK("http://www.genecards.org/cgi-bin/carddisp.pl?gene=PSORS1C2","GeneCards")</f>
        <v>GeneCards</v>
      </c>
      <c r="D13519" s="1" t="str">
        <f>HYPERLINK("http://genome-euro.ucsc.edu/cgi-bin/hgTracks?position=220635_at","UCSC")</f>
        <v>UCSC</v>
      </c>
      <c r="E13519" s="1" t="str">
        <f>HYPERLINK("http://www.ncbi.nlm.nih.gov/gene/?term=PSORS1C2","NCBI")</f>
        <v>NCBI</v>
      </c>
      <c r="F13519">
        <v>0.46</v>
      </c>
      <c r="G13519">
        <v>0.57999999999999996</v>
      </c>
      <c r="H13519" s="1" t="str">
        <f>HYPERLINK("http://www.weizmann.ac.il/complex/compphys/software/geview/data/figures/220635_at.png","Figure")</f>
        <v>Figure</v>
      </c>
      <c r="I13519">
        <v>0.97199999999999998</v>
      </c>
      <c r="J13519">
        <v>0.96</v>
      </c>
      <c r="K13519">
        <v>0.89700000000000002</v>
      </c>
      <c r="L13519">
        <v>0.46</v>
      </c>
      <c r="M13519">
        <v>0.92300000000000004</v>
      </c>
      <c r="N13519">
        <v>0.69</v>
      </c>
    </row>
    <row r="13520" spans="1:14" x14ac:dyDescent="0.25">
      <c r="A13520" t="s">
        <v>23078</v>
      </c>
      <c r="B13520" t="s">
        <v>22686</v>
      </c>
      <c r="C13520" s="1" t="str">
        <f>HYPERLINK("http://www.genecards.org/cgi-bin/carddisp.pl?gene=TAF1D","GeneCards")</f>
        <v>GeneCards</v>
      </c>
      <c r="D13520" s="1" t="str">
        <f>HYPERLINK("http://genome-euro.ucsc.edu/cgi-bin/hgTracks?position=221580_s_at","UCSC")</f>
        <v>UCSC</v>
      </c>
      <c r="E13520" s="1" t="str">
        <f>HYPERLINK("http://www.ncbi.nlm.nih.gov/gene/?term=TAF1D","NCBI")</f>
        <v>NCBI</v>
      </c>
      <c r="F13520">
        <v>0.46</v>
      </c>
      <c r="G13520">
        <v>0.57999999999999996</v>
      </c>
      <c r="H13520" s="1" t="str">
        <f>HYPERLINK("http://www.weizmann.ac.il/complex/compphys/software/geview/data/figures/221580_s_at.png","Figure")</f>
        <v>Figure</v>
      </c>
      <c r="I13520">
        <v>0.754</v>
      </c>
      <c r="J13520">
        <v>0.45</v>
      </c>
      <c r="K13520">
        <v>0.83499999999999996</v>
      </c>
      <c r="L13520">
        <v>0.65</v>
      </c>
      <c r="M13520">
        <v>1.1100000000000001</v>
      </c>
      <c r="N13520">
        <v>0.88</v>
      </c>
    </row>
    <row r="13521" spans="1:14" x14ac:dyDescent="0.25">
      <c r="A13521" t="s">
        <v>23079</v>
      </c>
      <c r="B13521" t="s">
        <v>23080</v>
      </c>
      <c r="C13521" s="1" t="str">
        <f>HYPERLINK("http://www.genecards.org/cgi-bin/carddisp.pl?gene=RER1","GeneCards")</f>
        <v>GeneCards</v>
      </c>
      <c r="D13521" s="1" t="str">
        <f>HYPERLINK("http://genome-euro.ucsc.edu/cgi-bin/hgTracks?position=202296_s_at","UCSC")</f>
        <v>UCSC</v>
      </c>
      <c r="E13521" s="1" t="str">
        <f>HYPERLINK("http://www.ncbi.nlm.nih.gov/gene/?term=RER1","NCBI")</f>
        <v>NCBI</v>
      </c>
      <c r="F13521">
        <v>0.46</v>
      </c>
      <c r="G13521">
        <v>0.57999999999999996</v>
      </c>
      <c r="H13521" s="1" t="str">
        <f>HYPERLINK("http://www.weizmann.ac.il/complex/compphys/software/geview/data/figures/202296_s_at.png","Figure")</f>
        <v>Figure</v>
      </c>
      <c r="I13521">
        <v>1.1499999999999999</v>
      </c>
      <c r="J13521">
        <v>0.56999999999999995</v>
      </c>
      <c r="K13521">
        <v>0.98699999999999999</v>
      </c>
      <c r="L13521">
        <v>0.99</v>
      </c>
      <c r="M13521">
        <v>0.85499999999999998</v>
      </c>
      <c r="N13521">
        <v>0.46</v>
      </c>
    </row>
    <row r="13522" spans="1:14" x14ac:dyDescent="0.25">
      <c r="A13522" t="s">
        <v>23081</v>
      </c>
      <c r="B13522" t="s">
        <v>23082</v>
      </c>
      <c r="C13522" s="1" t="str">
        <f>HYPERLINK("http://www.genecards.org/cgi-bin/carddisp.pl?gene=GLTPD1","GeneCards")</f>
        <v>GeneCards</v>
      </c>
      <c r="D13522" s="1" t="str">
        <f>HYPERLINK("http://genome-euro.ucsc.edu/cgi-bin/hgTracks?position=220734_s_at","UCSC")</f>
        <v>UCSC</v>
      </c>
      <c r="E13522" s="1" t="str">
        <f>HYPERLINK("http://www.ncbi.nlm.nih.gov/gene/?term=GLTPD1","NCBI")</f>
        <v>NCBI</v>
      </c>
      <c r="F13522">
        <v>0.46</v>
      </c>
      <c r="G13522">
        <v>0.57999999999999996</v>
      </c>
      <c r="H13522" s="1" t="str">
        <f>HYPERLINK("http://www.weizmann.ac.il/complex/compphys/software/geview/data/figures/220734_s_at.png","Figure")</f>
        <v>Figure</v>
      </c>
      <c r="I13522">
        <v>1.08</v>
      </c>
      <c r="J13522">
        <v>0.79</v>
      </c>
      <c r="K13522">
        <v>1.1499999999999999</v>
      </c>
      <c r="L13522">
        <v>0.43</v>
      </c>
      <c r="M13522">
        <v>1.06</v>
      </c>
      <c r="N13522">
        <v>0.88</v>
      </c>
    </row>
    <row r="13523" spans="1:14" x14ac:dyDescent="0.25">
      <c r="A13523" t="s">
        <v>23083</v>
      </c>
      <c r="B13523" t="s">
        <v>11569</v>
      </c>
      <c r="C13523" s="1" t="str">
        <f>HYPERLINK("http://www.genecards.org/cgi-bin/carddisp.pl?gene=TMEM63A","GeneCards")</f>
        <v>GeneCards</v>
      </c>
      <c r="D13523" s="1" t="str">
        <f>HYPERLINK("http://genome-euro.ucsc.edu/cgi-bin/hgTracks?position=215583_at","UCSC")</f>
        <v>UCSC</v>
      </c>
      <c r="E13523" s="1" t="str">
        <f>HYPERLINK("http://www.ncbi.nlm.nih.gov/gene/?term=TMEM63A","NCBI")</f>
        <v>NCBI</v>
      </c>
      <c r="F13523">
        <v>0.46</v>
      </c>
      <c r="G13523">
        <v>0.57999999999999996</v>
      </c>
      <c r="H13523" s="1" t="str">
        <f>HYPERLINK("http://www.weizmann.ac.il/complex/compphys/software/geview/data/figures/215583_at.png","Figure")</f>
        <v>Figure</v>
      </c>
      <c r="I13523">
        <v>1.2</v>
      </c>
      <c r="J13523">
        <v>0.43</v>
      </c>
      <c r="K13523">
        <v>1.07</v>
      </c>
      <c r="L13523">
        <v>0.84</v>
      </c>
      <c r="M13523">
        <v>0.89600000000000002</v>
      </c>
      <c r="N13523">
        <v>0.69</v>
      </c>
    </row>
    <row r="13524" spans="1:14" x14ac:dyDescent="0.25">
      <c r="A13524" t="s">
        <v>23084</v>
      </c>
      <c r="B13524" t="s">
        <v>23085</v>
      </c>
      <c r="C13524" s="1" t="str">
        <f>HYPERLINK("http://www.genecards.org/cgi-bin/carddisp.pl?gene=VIL1","GeneCards")</f>
        <v>GeneCards</v>
      </c>
      <c r="D13524" s="1" t="str">
        <f>HYPERLINK("http://genome-euro.ucsc.edu/cgi-bin/hgTracks?position=205506_at","UCSC")</f>
        <v>UCSC</v>
      </c>
      <c r="E13524" s="1" t="str">
        <f>HYPERLINK("http://www.ncbi.nlm.nih.gov/gene/?term=VIL1","NCBI")</f>
        <v>NCBI</v>
      </c>
      <c r="F13524">
        <v>0.46</v>
      </c>
      <c r="G13524">
        <v>0.57999999999999996</v>
      </c>
      <c r="H13524" s="1" t="str">
        <f>HYPERLINK("http://www.weizmann.ac.il/complex/compphys/software/geview/data/figures/205506_at.png","Figure")</f>
        <v>Figure</v>
      </c>
      <c r="I13524">
        <v>1.04</v>
      </c>
      <c r="J13524">
        <v>0.47</v>
      </c>
      <c r="K13524">
        <v>1.01</v>
      </c>
      <c r="L13524">
        <v>0.97</v>
      </c>
      <c r="M13524">
        <v>0.96499999999999997</v>
      </c>
      <c r="N13524">
        <v>0.55000000000000004</v>
      </c>
    </row>
    <row r="13525" spans="1:14" x14ac:dyDescent="0.25">
      <c r="A13525" t="s">
        <v>23086</v>
      </c>
      <c r="B13525" t="s">
        <v>23087</v>
      </c>
      <c r="C13525" s="1" t="str">
        <f>HYPERLINK("http://www.genecards.org/cgi-bin/carddisp.pl?gene=IL4R","GeneCards")</f>
        <v>GeneCards</v>
      </c>
      <c r="D13525" s="1" t="str">
        <f>HYPERLINK("http://genome-euro.ucsc.edu/cgi-bin/hgTracks?position=203233_at","UCSC")</f>
        <v>UCSC</v>
      </c>
      <c r="E13525" s="1" t="str">
        <f>HYPERLINK("http://www.ncbi.nlm.nih.gov/gene/?term=IL4R","NCBI")</f>
        <v>NCBI</v>
      </c>
      <c r="F13525">
        <v>0.46</v>
      </c>
      <c r="G13525">
        <v>0.57999999999999996</v>
      </c>
      <c r="H13525" s="1" t="str">
        <f>HYPERLINK("http://www.weizmann.ac.il/complex/compphys/software/geview/data/figures/203233_at.png","Figure")</f>
        <v>Figure</v>
      </c>
      <c r="I13525">
        <v>1.06</v>
      </c>
      <c r="J13525">
        <v>0.96</v>
      </c>
      <c r="K13525">
        <v>0.83899999999999997</v>
      </c>
      <c r="L13525">
        <v>0.63</v>
      </c>
      <c r="M13525">
        <v>0.79300000000000004</v>
      </c>
      <c r="N13525">
        <v>0.49</v>
      </c>
    </row>
    <row r="13526" spans="1:14" x14ac:dyDescent="0.25">
      <c r="A13526" t="s">
        <v>23088</v>
      </c>
      <c r="B13526" t="s">
        <v>14746</v>
      </c>
      <c r="C13526" s="1" t="str">
        <f>HYPERLINK("http://www.genecards.org/cgi-bin/carddisp.pl?gene=ADCK2","GeneCards")</f>
        <v>GeneCards</v>
      </c>
      <c r="D13526" s="1" t="str">
        <f>HYPERLINK("http://genome-euro.ucsc.edu/cgi-bin/hgTracks?position=44120_at","UCSC")</f>
        <v>UCSC</v>
      </c>
      <c r="E13526" s="1" t="str">
        <f>HYPERLINK("http://www.ncbi.nlm.nih.gov/gene/?term=ADCK2","NCBI")</f>
        <v>NCBI</v>
      </c>
      <c r="F13526">
        <v>0.46</v>
      </c>
      <c r="G13526">
        <v>0.57999999999999996</v>
      </c>
      <c r="H13526" s="1" t="str">
        <f>HYPERLINK("http://www.weizmann.ac.il/complex/compphys/software/geview/data/figures/44120_at.png","Figure")</f>
        <v>Figure</v>
      </c>
      <c r="I13526">
        <v>1.06</v>
      </c>
      <c r="J13526">
        <v>0.73</v>
      </c>
      <c r="K13526">
        <v>1.0900000000000001</v>
      </c>
      <c r="L13526">
        <v>0.44</v>
      </c>
      <c r="M13526">
        <v>1.03</v>
      </c>
      <c r="N13526">
        <v>0.93</v>
      </c>
    </row>
    <row r="13527" spans="1:14" x14ac:dyDescent="0.25">
      <c r="A13527" t="s">
        <v>23089</v>
      </c>
      <c r="B13527" t="s">
        <v>23090</v>
      </c>
      <c r="C13527" s="1" t="str">
        <f>HYPERLINK("http://www.genecards.org/cgi-bin/carddisp.pl?gene=EGR1","GeneCards")</f>
        <v>GeneCards</v>
      </c>
      <c r="D13527" s="1" t="str">
        <f>HYPERLINK("http://genome-euro.ucsc.edu/cgi-bin/hgTracks?position=201694_s_at","UCSC")</f>
        <v>UCSC</v>
      </c>
      <c r="E13527" s="1" t="str">
        <f>HYPERLINK("http://www.ncbi.nlm.nih.gov/gene/?term=EGR1","NCBI")</f>
        <v>NCBI</v>
      </c>
      <c r="F13527">
        <v>0.46</v>
      </c>
      <c r="G13527">
        <v>0.57999999999999996</v>
      </c>
      <c r="H13527" s="1" t="str">
        <f>HYPERLINK("http://www.weizmann.ac.il/complex/compphys/software/geview/data/figures/201694_s_at.png","Figure")</f>
        <v>Figure</v>
      </c>
      <c r="I13527">
        <v>0.47299999999999998</v>
      </c>
      <c r="J13527">
        <v>0.53</v>
      </c>
      <c r="K13527">
        <v>0.98899999999999999</v>
      </c>
      <c r="L13527">
        <v>1</v>
      </c>
      <c r="M13527">
        <v>2.09</v>
      </c>
      <c r="N13527">
        <v>0.49</v>
      </c>
    </row>
    <row r="13528" spans="1:14" x14ac:dyDescent="0.25">
      <c r="A13528" t="s">
        <v>23091</v>
      </c>
      <c r="B13528" t="s">
        <v>16985</v>
      </c>
      <c r="C13528" s="1" t="str">
        <f>HYPERLINK("http://www.genecards.org/cgi-bin/carddisp.pl?gene=ANAPC5","GeneCards")</f>
        <v>GeneCards</v>
      </c>
      <c r="D13528" s="1" t="str">
        <f>HYPERLINK("http://genome-euro.ucsc.edu/cgi-bin/hgTracks?position=200098_s_at","UCSC")</f>
        <v>UCSC</v>
      </c>
      <c r="E13528" s="1" t="str">
        <f>HYPERLINK("http://www.ncbi.nlm.nih.gov/gene/?term=ANAPC5","NCBI")</f>
        <v>NCBI</v>
      </c>
      <c r="F13528">
        <v>0.46</v>
      </c>
      <c r="G13528">
        <v>0.57999999999999996</v>
      </c>
      <c r="H13528" s="1" t="str">
        <f>HYPERLINK("http://www.weizmann.ac.il/complex/compphys/software/geview/data/figures/200098_s_at.png","Figure")</f>
        <v>Figure</v>
      </c>
      <c r="I13528">
        <v>1.05</v>
      </c>
      <c r="J13528">
        <v>0.95</v>
      </c>
      <c r="K13528">
        <v>1.19</v>
      </c>
      <c r="L13528">
        <v>0.46</v>
      </c>
      <c r="M13528">
        <v>1.1299999999999999</v>
      </c>
      <c r="N13528">
        <v>0.7</v>
      </c>
    </row>
    <row r="13529" spans="1:14" x14ac:dyDescent="0.25">
      <c r="A13529" t="s">
        <v>23092</v>
      </c>
      <c r="B13529" t="s">
        <v>11230</v>
      </c>
      <c r="C13529" s="1" t="str">
        <f>HYPERLINK("http://www.genecards.org/cgi-bin/carddisp.pl?gene=TRIM33","GeneCards")</f>
        <v>GeneCards</v>
      </c>
      <c r="D13529" s="1" t="str">
        <f>HYPERLINK("http://genome-euro.ucsc.edu/cgi-bin/hgTracks?position=210266_s_at","UCSC")</f>
        <v>UCSC</v>
      </c>
      <c r="E13529" s="1" t="str">
        <f>HYPERLINK("http://www.ncbi.nlm.nih.gov/gene/?term=TRIM33","NCBI")</f>
        <v>NCBI</v>
      </c>
      <c r="F13529">
        <v>0.46</v>
      </c>
      <c r="G13529">
        <v>0.57999999999999996</v>
      </c>
      <c r="H13529" s="1" t="str">
        <f>HYPERLINK("http://www.weizmann.ac.il/complex/compphys/software/geview/data/figures/210266_s_at.png","Figure")</f>
        <v>Figure</v>
      </c>
      <c r="I13529">
        <v>1.1299999999999999</v>
      </c>
      <c r="J13529">
        <v>0.73</v>
      </c>
      <c r="K13529">
        <v>0.93500000000000005</v>
      </c>
      <c r="L13529">
        <v>0.88</v>
      </c>
      <c r="M13529">
        <v>0.82699999999999996</v>
      </c>
      <c r="N13529">
        <v>0.43</v>
      </c>
    </row>
    <row r="13530" spans="1:14" x14ac:dyDescent="0.25">
      <c r="A13530" t="s">
        <v>23093</v>
      </c>
      <c r="B13530" t="s">
        <v>23094</v>
      </c>
      <c r="C13530" s="1" t="str">
        <f>HYPERLINK("http://www.genecards.org/cgi-bin/carddisp.pl?gene=KCTD14","GeneCards")</f>
        <v>GeneCards</v>
      </c>
      <c r="D13530" s="1" t="str">
        <f>HYPERLINK("http://genome-euro.ucsc.edu/cgi-bin/hgTracks?position=219545_at","UCSC")</f>
        <v>UCSC</v>
      </c>
      <c r="E13530" s="1" t="str">
        <f>HYPERLINK("http://www.ncbi.nlm.nih.gov/gene/?term=KCTD14","NCBI")</f>
        <v>NCBI</v>
      </c>
      <c r="F13530">
        <v>0.46</v>
      </c>
      <c r="G13530">
        <v>0.57999999999999996</v>
      </c>
      <c r="H13530" s="1" t="str">
        <f>HYPERLINK("http://www.weizmann.ac.il/complex/compphys/software/geview/data/figures/219545_at.png","Figure")</f>
        <v>Figure</v>
      </c>
      <c r="I13530">
        <v>1.0900000000000001</v>
      </c>
      <c r="J13530">
        <v>0.66</v>
      </c>
      <c r="K13530">
        <v>0.97099999999999997</v>
      </c>
      <c r="L13530">
        <v>0.93</v>
      </c>
      <c r="M13530">
        <v>0.89200000000000002</v>
      </c>
      <c r="N13530">
        <v>0.44</v>
      </c>
    </row>
    <row r="13531" spans="1:14" x14ac:dyDescent="0.25">
      <c r="A13531" t="s">
        <v>23095</v>
      </c>
      <c r="B13531" t="s">
        <v>23096</v>
      </c>
      <c r="C13531" s="1" t="str">
        <f>HYPERLINK("http://www.genecards.org/cgi-bin/carddisp.pl?gene=SDS","GeneCards")</f>
        <v>GeneCards</v>
      </c>
      <c r="D13531" s="1" t="str">
        <f>HYPERLINK("http://genome-euro.ucsc.edu/cgi-bin/hgTracks?position=205695_at","UCSC")</f>
        <v>UCSC</v>
      </c>
      <c r="E13531" s="1" t="str">
        <f>HYPERLINK("http://www.ncbi.nlm.nih.gov/gene/?term=SDS","NCBI")</f>
        <v>NCBI</v>
      </c>
      <c r="F13531">
        <v>0.46</v>
      </c>
      <c r="G13531">
        <v>0.57999999999999996</v>
      </c>
      <c r="H13531" s="1" t="str">
        <f>HYPERLINK("http://www.weizmann.ac.il/complex/compphys/software/geview/data/figures/205695_at.png","Figure")</f>
        <v>Figure</v>
      </c>
      <c r="I13531">
        <v>1.05</v>
      </c>
      <c r="J13531">
        <v>0.43</v>
      </c>
      <c r="K13531">
        <v>1.02</v>
      </c>
      <c r="L13531">
        <v>0.75</v>
      </c>
      <c r="M13531">
        <v>0.97699999999999998</v>
      </c>
      <c r="N13531">
        <v>0.78</v>
      </c>
    </row>
    <row r="13532" spans="1:14" x14ac:dyDescent="0.25">
      <c r="A13532" t="s">
        <v>23097</v>
      </c>
      <c r="B13532" t="s">
        <v>6295</v>
      </c>
      <c r="C13532" s="1" t="str">
        <f>HYPERLINK("http://www.genecards.org/cgi-bin/carddisp.pl?gene=MALT1","GeneCards")</f>
        <v>GeneCards</v>
      </c>
      <c r="D13532" s="1" t="str">
        <f>HYPERLINK("http://genome-euro.ucsc.edu/cgi-bin/hgTracks?position=208309_s_at","UCSC")</f>
        <v>UCSC</v>
      </c>
      <c r="E13532" s="1" t="str">
        <f>HYPERLINK("http://www.ncbi.nlm.nih.gov/gene/?term=MALT1","NCBI")</f>
        <v>NCBI</v>
      </c>
      <c r="F13532">
        <v>0.46</v>
      </c>
      <c r="G13532">
        <v>0.57999999999999996</v>
      </c>
      <c r="H13532" s="1" t="str">
        <f>HYPERLINK("http://www.weizmann.ac.il/complex/compphys/software/geview/data/figures/208309_s_at.png","Figure")</f>
        <v>Figure</v>
      </c>
      <c r="I13532">
        <v>0.75</v>
      </c>
      <c r="J13532">
        <v>0.43</v>
      </c>
      <c r="K13532">
        <v>0.89700000000000002</v>
      </c>
      <c r="L13532">
        <v>0.85</v>
      </c>
      <c r="M13532">
        <v>1.2</v>
      </c>
      <c r="N13532">
        <v>0.68</v>
      </c>
    </row>
    <row r="13533" spans="1:14" x14ac:dyDescent="0.25">
      <c r="A13533" t="s">
        <v>23098</v>
      </c>
      <c r="B13533" t="s">
        <v>23099</v>
      </c>
      <c r="C13533" s="1" t="str">
        <f>HYPERLINK("http://www.genecards.org/cgi-bin/carddisp.pl?gene=MCM9","GeneCards")</f>
        <v>GeneCards</v>
      </c>
      <c r="D13533" s="1" t="str">
        <f>HYPERLINK("http://genome-euro.ucsc.edu/cgi-bin/hgTracks?position=219673_at","UCSC")</f>
        <v>UCSC</v>
      </c>
      <c r="E13533" s="1" t="str">
        <f>HYPERLINK("http://www.ncbi.nlm.nih.gov/gene/?term=MCM9","NCBI")</f>
        <v>NCBI</v>
      </c>
      <c r="F13533">
        <v>0.46</v>
      </c>
      <c r="G13533">
        <v>0.57999999999999996</v>
      </c>
      <c r="H13533" s="1" t="str">
        <f>HYPERLINK("http://www.weizmann.ac.il/complex/compphys/software/geview/data/figures/219673_at.png","Figure")</f>
        <v>Figure</v>
      </c>
      <c r="I13533">
        <v>0.98099999999999998</v>
      </c>
      <c r="J13533">
        <v>0.95</v>
      </c>
      <c r="K13533">
        <v>0.93400000000000005</v>
      </c>
      <c r="L13533">
        <v>0.46</v>
      </c>
      <c r="M13533">
        <v>0.95199999999999996</v>
      </c>
      <c r="N13533">
        <v>0.7</v>
      </c>
    </row>
    <row r="13534" spans="1:14" x14ac:dyDescent="0.25">
      <c r="A13534" t="s">
        <v>23100</v>
      </c>
      <c r="B13534" t="s">
        <v>11967</v>
      </c>
      <c r="C13534" s="1" t="str">
        <f>HYPERLINK("http://www.genecards.org/cgi-bin/carddisp.pl?gene=TRA@","GeneCards")</f>
        <v>GeneCards</v>
      </c>
      <c r="D13534" s="1" t="str">
        <f>HYPERLINK("http://genome-euro.ucsc.edu/cgi-bin/hgTracks?position=215540_at","UCSC")</f>
        <v>UCSC</v>
      </c>
      <c r="E13534" s="1" t="str">
        <f>HYPERLINK("http://www.ncbi.nlm.nih.gov/gene/?term=TRA@","NCBI")</f>
        <v>NCBI</v>
      </c>
      <c r="F13534">
        <v>0.46</v>
      </c>
      <c r="G13534">
        <v>0.57999999999999996</v>
      </c>
      <c r="H13534" s="1" t="str">
        <f>HYPERLINK("http://www.weizmann.ac.il/complex/compphys/software/geview/data/figures/215540_at.png","Figure")</f>
        <v>Figure</v>
      </c>
      <c r="I13534">
        <v>1.1100000000000001</v>
      </c>
      <c r="J13534">
        <v>0.44</v>
      </c>
      <c r="K13534">
        <v>1.06</v>
      </c>
      <c r="L13534">
        <v>0.71</v>
      </c>
      <c r="M13534">
        <v>0.95299999999999996</v>
      </c>
      <c r="N13534">
        <v>0.82</v>
      </c>
    </row>
    <row r="13535" spans="1:14" x14ac:dyDescent="0.25">
      <c r="A13535" t="s">
        <v>23101</v>
      </c>
      <c r="B13535" t="s">
        <v>8937</v>
      </c>
      <c r="C13535" s="1" t="str">
        <f>HYPERLINK("http://www.genecards.org/cgi-bin/carddisp.pl?gene=ZNF224","GeneCards")</f>
        <v>GeneCards</v>
      </c>
      <c r="D13535" s="1" t="str">
        <f>HYPERLINK("http://genome-euro.ucsc.edu/cgi-bin/hgTracks?position=216983_s_at","UCSC")</f>
        <v>UCSC</v>
      </c>
      <c r="E13535" s="1" t="str">
        <f>HYPERLINK("http://www.ncbi.nlm.nih.gov/gene/?term=ZNF224","NCBI")</f>
        <v>NCBI</v>
      </c>
      <c r="F13535">
        <v>0.46</v>
      </c>
      <c r="G13535">
        <v>0.57999999999999996</v>
      </c>
      <c r="H13535" s="1" t="str">
        <f>HYPERLINK("http://www.weizmann.ac.il/complex/compphys/software/geview/data/figures/216983_s_at.png","Figure")</f>
        <v>Figure</v>
      </c>
      <c r="I13535">
        <v>1.06</v>
      </c>
      <c r="J13535">
        <v>0.73</v>
      </c>
      <c r="K13535">
        <v>1.0900000000000001</v>
      </c>
      <c r="L13535">
        <v>0.44</v>
      </c>
      <c r="M13535">
        <v>1.03</v>
      </c>
      <c r="N13535">
        <v>0.93</v>
      </c>
    </row>
    <row r="13536" spans="1:14" x14ac:dyDescent="0.25">
      <c r="A13536" t="s">
        <v>23102</v>
      </c>
      <c r="B13536" t="s">
        <v>14239</v>
      </c>
      <c r="C13536" s="1" t="str">
        <f>HYPERLINK("http://www.genecards.org/cgi-bin/carddisp.pl?gene=VEGFA","GeneCards")</f>
        <v>GeneCards</v>
      </c>
      <c r="D13536" s="1" t="str">
        <f>HYPERLINK("http://genome-euro.ucsc.edu/cgi-bin/hgTracks?position=210512_s_at","UCSC")</f>
        <v>UCSC</v>
      </c>
      <c r="E13536" s="1" t="str">
        <f>HYPERLINK("http://www.ncbi.nlm.nih.gov/gene/?term=VEGFA","NCBI")</f>
        <v>NCBI</v>
      </c>
      <c r="F13536">
        <v>0.46</v>
      </c>
      <c r="G13536">
        <v>0.57999999999999996</v>
      </c>
      <c r="H13536" s="1" t="str">
        <f>HYPERLINK("http://www.weizmann.ac.il/complex/compphys/software/geview/data/figures/210512_s_at.png","Figure")</f>
        <v>Figure</v>
      </c>
      <c r="I13536">
        <v>0.69399999999999995</v>
      </c>
      <c r="J13536">
        <v>0.43</v>
      </c>
      <c r="K13536">
        <v>0.84199999999999997</v>
      </c>
      <c r="L13536">
        <v>0.77</v>
      </c>
      <c r="M13536">
        <v>1.21</v>
      </c>
      <c r="N13536">
        <v>0.76</v>
      </c>
    </row>
    <row r="13537" spans="1:14" x14ac:dyDescent="0.25">
      <c r="A13537" t="s">
        <v>23103</v>
      </c>
      <c r="B13537" t="s">
        <v>13080</v>
      </c>
      <c r="C13537" s="1" t="str">
        <f>HYPERLINK("http://www.genecards.org/cgi-bin/carddisp.pl?gene=ADAMTS2","GeneCards")</f>
        <v>GeneCards</v>
      </c>
      <c r="D13537" s="1" t="str">
        <f>HYPERLINK("http://genome-euro.ucsc.edu/cgi-bin/hgTracks?position=214454_at","UCSC")</f>
        <v>UCSC</v>
      </c>
      <c r="E13537" s="1" t="str">
        <f>HYPERLINK("http://www.ncbi.nlm.nih.gov/gene/?term=ADAMTS2","NCBI")</f>
        <v>NCBI</v>
      </c>
      <c r="F13537">
        <v>0.46</v>
      </c>
      <c r="G13537">
        <v>0.57999999999999996</v>
      </c>
      <c r="H13537" s="1" t="str">
        <f>HYPERLINK("http://www.weizmann.ac.il/complex/compphys/software/geview/data/figures/214454_at.png","Figure")</f>
        <v>Figure</v>
      </c>
      <c r="I13537">
        <v>1.0900000000000001</v>
      </c>
      <c r="J13537">
        <v>0.48</v>
      </c>
      <c r="K13537">
        <v>1.07</v>
      </c>
      <c r="L13537">
        <v>0.59</v>
      </c>
      <c r="M13537">
        <v>0.97699999999999998</v>
      </c>
      <c r="N13537">
        <v>0.94</v>
      </c>
    </row>
    <row r="13538" spans="1:14" x14ac:dyDescent="0.25">
      <c r="A13538" t="s">
        <v>23104</v>
      </c>
      <c r="B13538" t="s">
        <v>372</v>
      </c>
      <c r="C13538" s="1" t="str">
        <f>HYPERLINK("http://www.genecards.org/cgi-bin/carddisp.pl?gene=INSR","GeneCards")</f>
        <v>GeneCards</v>
      </c>
      <c r="D13538" s="1" t="str">
        <f>HYPERLINK("http://genome-euro.ucsc.edu/cgi-bin/hgTracks?position=207851_s_at","UCSC")</f>
        <v>UCSC</v>
      </c>
      <c r="E13538" s="1" t="str">
        <f>HYPERLINK("http://www.ncbi.nlm.nih.gov/gene/?term=INSR","NCBI")</f>
        <v>NCBI</v>
      </c>
      <c r="F13538">
        <v>0.46</v>
      </c>
      <c r="G13538">
        <v>0.57999999999999996</v>
      </c>
      <c r="H13538" s="1" t="str">
        <f>HYPERLINK("http://www.weizmann.ac.il/complex/compphys/software/geview/data/figures/207851_s_at.png","Figure")</f>
        <v>Figure</v>
      </c>
      <c r="I13538">
        <v>1.05</v>
      </c>
      <c r="J13538">
        <v>0.48</v>
      </c>
      <c r="K13538">
        <v>1.01</v>
      </c>
      <c r="L13538">
        <v>0.97</v>
      </c>
      <c r="M13538">
        <v>0.96099999999999997</v>
      </c>
      <c r="N13538">
        <v>0.55000000000000004</v>
      </c>
    </row>
    <row r="13539" spans="1:14" x14ac:dyDescent="0.25">
      <c r="A13539" t="s">
        <v>23105</v>
      </c>
      <c r="B13539" t="s">
        <v>23106</v>
      </c>
      <c r="C13539" s="1" t="str">
        <f>HYPERLINK("http://www.genecards.org/cgi-bin/carddisp.pl?gene=FADD","GeneCards")</f>
        <v>GeneCards</v>
      </c>
      <c r="D13539" s="1" t="str">
        <f>HYPERLINK("http://genome-euro.ucsc.edu/cgi-bin/hgTracks?position=202535_at","UCSC")</f>
        <v>UCSC</v>
      </c>
      <c r="E13539" s="1" t="str">
        <f>HYPERLINK("http://www.ncbi.nlm.nih.gov/gene/?term=FADD","NCBI")</f>
        <v>NCBI</v>
      </c>
      <c r="F13539">
        <v>0.46</v>
      </c>
      <c r="G13539">
        <v>0.57999999999999996</v>
      </c>
      <c r="H13539" s="1" t="str">
        <f>HYPERLINK("http://www.weizmann.ac.il/complex/compphys/software/geview/data/figures/202535_at.png","Figure")</f>
        <v>Figure</v>
      </c>
      <c r="I13539">
        <v>0.88800000000000001</v>
      </c>
      <c r="J13539">
        <v>0.7</v>
      </c>
      <c r="K13539">
        <v>0.85099999999999998</v>
      </c>
      <c r="L13539">
        <v>0.44</v>
      </c>
      <c r="M13539">
        <v>0.95799999999999996</v>
      </c>
      <c r="N13539">
        <v>0.95</v>
      </c>
    </row>
    <row r="13540" spans="1:14" x14ac:dyDescent="0.25">
      <c r="A13540" t="s">
        <v>23107</v>
      </c>
      <c r="B13540" t="s">
        <v>18829</v>
      </c>
      <c r="C13540" s="1" t="str">
        <f>HYPERLINK("http://www.genecards.org/cgi-bin/carddisp.pl?gene=MEF2A","GeneCards")</f>
        <v>GeneCards</v>
      </c>
      <c r="D13540" s="1" t="str">
        <f>HYPERLINK("http://genome-euro.ucsc.edu/cgi-bin/hgTracks?position=208328_s_at","UCSC")</f>
        <v>UCSC</v>
      </c>
      <c r="E13540" s="1" t="str">
        <f>HYPERLINK("http://www.ncbi.nlm.nih.gov/gene/?term=MEF2A","NCBI")</f>
        <v>NCBI</v>
      </c>
      <c r="F13540">
        <v>0.46</v>
      </c>
      <c r="G13540">
        <v>0.57999999999999996</v>
      </c>
      <c r="H13540" s="1" t="str">
        <f>HYPERLINK("http://www.weizmann.ac.il/complex/compphys/software/geview/data/figures/208328_s_at.png","Figure")</f>
        <v>Figure</v>
      </c>
      <c r="I13540">
        <v>0.81799999999999995</v>
      </c>
      <c r="J13540">
        <v>0.52</v>
      </c>
      <c r="K13540">
        <v>0.99399999999999999</v>
      </c>
      <c r="L13540">
        <v>1</v>
      </c>
      <c r="M13540">
        <v>1.22</v>
      </c>
      <c r="N13540">
        <v>0.5</v>
      </c>
    </row>
    <row r="13541" spans="1:14" x14ac:dyDescent="0.25">
      <c r="A13541" t="s">
        <v>23108</v>
      </c>
      <c r="B13541" t="s">
        <v>14860</v>
      </c>
      <c r="C13541" s="1" t="str">
        <f>HYPERLINK("http://www.genecards.org/cgi-bin/carddisp.pl?gene=FOXA2","GeneCards")</f>
        <v>GeneCards</v>
      </c>
      <c r="D13541" s="1" t="str">
        <f>HYPERLINK("http://genome-euro.ucsc.edu/cgi-bin/hgTracks?position=210103_s_at","UCSC")</f>
        <v>UCSC</v>
      </c>
      <c r="E13541" s="1" t="str">
        <f>HYPERLINK("http://www.ncbi.nlm.nih.gov/gene/?term=FOXA2","NCBI")</f>
        <v>NCBI</v>
      </c>
      <c r="F13541">
        <v>0.46</v>
      </c>
      <c r="G13541">
        <v>0.57999999999999996</v>
      </c>
      <c r="H13541" s="1" t="str">
        <f>HYPERLINK("http://www.weizmann.ac.il/complex/compphys/software/geview/data/figures/210103_s_at.png","Figure")</f>
        <v>Figure</v>
      </c>
      <c r="I13541">
        <v>1.1100000000000001</v>
      </c>
      <c r="J13541">
        <v>0.54</v>
      </c>
      <c r="K13541">
        <v>1.1000000000000001</v>
      </c>
      <c r="L13541">
        <v>0.52</v>
      </c>
      <c r="M13541">
        <v>0.99</v>
      </c>
      <c r="N13541">
        <v>0.99</v>
      </c>
    </row>
    <row r="13542" spans="1:14" x14ac:dyDescent="0.25">
      <c r="A13542" t="s">
        <v>23109</v>
      </c>
      <c r="B13542" t="s">
        <v>23110</v>
      </c>
      <c r="C13542" s="1" t="str">
        <f>HYPERLINK("http://www.genecards.org/cgi-bin/carddisp.pl?gene=GRINA","GeneCards")</f>
        <v>GeneCards</v>
      </c>
      <c r="D13542" s="1" t="str">
        <f>HYPERLINK("http://genome-euro.ucsc.edu/cgi-bin/hgTracks?position=212090_at","UCSC")</f>
        <v>UCSC</v>
      </c>
      <c r="E13542" s="1" t="str">
        <f>HYPERLINK("http://www.ncbi.nlm.nih.gov/gene/?term=GRINA","NCBI")</f>
        <v>NCBI</v>
      </c>
      <c r="F13542">
        <v>0.46</v>
      </c>
      <c r="G13542">
        <v>0.57999999999999996</v>
      </c>
      <c r="H13542" s="1" t="str">
        <f>HYPERLINK("http://www.weizmann.ac.il/complex/compphys/software/geview/data/figures/212090_at.png","Figure")</f>
        <v>Figure</v>
      </c>
      <c r="I13542">
        <v>0.84399999999999997</v>
      </c>
      <c r="J13542">
        <v>0.55000000000000004</v>
      </c>
      <c r="K13542">
        <v>0.85499999999999998</v>
      </c>
      <c r="L13542">
        <v>0.51</v>
      </c>
      <c r="M13542">
        <v>1.01</v>
      </c>
      <c r="N13542">
        <v>1</v>
      </c>
    </row>
    <row r="13543" spans="1:14" x14ac:dyDescent="0.25">
      <c r="A13543" t="s">
        <v>23111</v>
      </c>
      <c r="B13543" t="s">
        <v>6813</v>
      </c>
      <c r="C13543" s="1" t="str">
        <f>HYPERLINK("http://www.genecards.org/cgi-bin/carddisp.pl?gene=CYP3A4","GeneCards")</f>
        <v>GeneCards</v>
      </c>
      <c r="D13543" s="1" t="str">
        <f>HYPERLINK("http://genome-euro.ucsc.edu/cgi-bin/hgTracks?position=208367_x_at","UCSC")</f>
        <v>UCSC</v>
      </c>
      <c r="E13543" s="1" t="str">
        <f>HYPERLINK("http://www.ncbi.nlm.nih.gov/gene/?term=CYP3A4","NCBI")</f>
        <v>NCBI</v>
      </c>
      <c r="F13543">
        <v>0.46</v>
      </c>
      <c r="G13543">
        <v>0.57999999999999996</v>
      </c>
      <c r="H13543" s="1" t="str">
        <f>HYPERLINK("http://www.weizmann.ac.il/complex/compphys/software/geview/data/figures/208367_x_at.png","Figure")</f>
        <v>Figure</v>
      </c>
      <c r="I13543">
        <v>1</v>
      </c>
      <c r="J13543">
        <v>1</v>
      </c>
      <c r="K13543">
        <v>0.98299999999999998</v>
      </c>
      <c r="L13543">
        <v>0.53</v>
      </c>
      <c r="M13543">
        <v>0.98299999999999998</v>
      </c>
      <c r="N13543">
        <v>0.56999999999999995</v>
      </c>
    </row>
    <row r="13544" spans="1:14" x14ac:dyDescent="0.25">
      <c r="A13544" t="s">
        <v>23112</v>
      </c>
      <c r="B13544" t="s">
        <v>23113</v>
      </c>
      <c r="C13544" s="1" t="str">
        <f>HYPERLINK("http://www.genecards.org/cgi-bin/carddisp.pl?gene=SLC35F5","GeneCards")</f>
        <v>GeneCards</v>
      </c>
      <c r="D13544" s="1" t="str">
        <f>HYPERLINK("http://genome-euro.ucsc.edu/cgi-bin/hgTracks?position=220123_at","UCSC")</f>
        <v>UCSC</v>
      </c>
      <c r="E13544" s="1" t="str">
        <f>HYPERLINK("http://www.ncbi.nlm.nih.gov/gene/?term=SLC35F5","NCBI")</f>
        <v>NCBI</v>
      </c>
      <c r="F13544">
        <v>0.46</v>
      </c>
      <c r="G13544">
        <v>0.57999999999999996</v>
      </c>
      <c r="H13544" s="1" t="str">
        <f>HYPERLINK("http://www.weizmann.ac.il/complex/compphys/software/geview/data/figures/220123_at.png","Figure")</f>
        <v>Figure</v>
      </c>
      <c r="I13544">
        <v>1</v>
      </c>
      <c r="J13544">
        <v>1</v>
      </c>
      <c r="K13544">
        <v>0.83699999999999997</v>
      </c>
      <c r="L13544">
        <v>0.53</v>
      </c>
      <c r="M13544">
        <v>0.83699999999999997</v>
      </c>
      <c r="N13544">
        <v>0.56999999999999995</v>
      </c>
    </row>
    <row r="13545" spans="1:14" x14ac:dyDescent="0.25">
      <c r="A13545" t="s">
        <v>23114</v>
      </c>
      <c r="B13545" t="s">
        <v>2300</v>
      </c>
      <c r="C13545" s="1" t="str">
        <f>HYPERLINK("http://www.genecards.org/cgi-bin/carddisp.pl?gene=SPON1","GeneCards")</f>
        <v>GeneCards</v>
      </c>
      <c r="D13545" s="1" t="str">
        <f>HYPERLINK("http://genome-euro.ucsc.edu/cgi-bin/hgTracks?position=213994_s_at","UCSC")</f>
        <v>UCSC</v>
      </c>
      <c r="E13545" s="1" t="str">
        <f>HYPERLINK("http://www.ncbi.nlm.nih.gov/gene/?term=SPON1","NCBI")</f>
        <v>NCBI</v>
      </c>
      <c r="F13545">
        <v>0.47</v>
      </c>
      <c r="G13545">
        <v>0.57999999999999996</v>
      </c>
      <c r="H13545" s="1" t="str">
        <f>HYPERLINK("http://www.weizmann.ac.il/complex/compphys/software/geview/data/figures/213994_s_at.png","Figure")</f>
        <v>Figure</v>
      </c>
      <c r="I13545">
        <v>1</v>
      </c>
      <c r="J13545">
        <v>1</v>
      </c>
      <c r="K13545">
        <v>0.96</v>
      </c>
      <c r="L13545">
        <v>0.53</v>
      </c>
      <c r="M13545">
        <v>0.96</v>
      </c>
      <c r="N13545">
        <v>0.56999999999999995</v>
      </c>
    </row>
    <row r="13546" spans="1:14" x14ac:dyDescent="0.25">
      <c r="A13546" t="s">
        <v>23115</v>
      </c>
      <c r="B13546" t="s">
        <v>23116</v>
      </c>
      <c r="C13546" s="1" t="str">
        <f>HYPERLINK("http://www.genecards.org/cgi-bin/carddisp.pl?gene=CTSA","GeneCards")</f>
        <v>GeneCards</v>
      </c>
      <c r="D13546" s="1" t="str">
        <f>HYPERLINK("http://genome-euro.ucsc.edu/cgi-bin/hgTracks?position=200661_at","UCSC")</f>
        <v>UCSC</v>
      </c>
      <c r="E13546" s="1" t="str">
        <f>HYPERLINK("http://www.ncbi.nlm.nih.gov/gene/?term=CTSA","NCBI")</f>
        <v>NCBI</v>
      </c>
      <c r="F13546">
        <v>0.47</v>
      </c>
      <c r="G13546">
        <v>0.57999999999999996</v>
      </c>
      <c r="H13546" s="1" t="str">
        <f>HYPERLINK("http://www.weizmann.ac.il/complex/compphys/software/geview/data/figures/200661_at.png","Figure")</f>
        <v>Figure</v>
      </c>
      <c r="I13546">
        <v>1.1299999999999999</v>
      </c>
      <c r="J13546">
        <v>0.62</v>
      </c>
      <c r="K13546">
        <v>1.1399999999999999</v>
      </c>
      <c r="L13546">
        <v>0.46</v>
      </c>
      <c r="M13546">
        <v>1.02</v>
      </c>
      <c r="N13546">
        <v>0.99</v>
      </c>
    </row>
    <row r="13547" spans="1:14" x14ac:dyDescent="0.25">
      <c r="A13547" t="s">
        <v>23117</v>
      </c>
      <c r="B13547" t="s">
        <v>18866</v>
      </c>
      <c r="C13547" s="1" t="str">
        <f>HYPERLINK("http://www.genecards.org/cgi-bin/carddisp.pl?gene=TNPO1","GeneCards")</f>
        <v>GeneCards</v>
      </c>
      <c r="D13547" s="1" t="str">
        <f>HYPERLINK("http://genome-euro.ucsc.edu/cgi-bin/hgTracks?position=209226_s_at","UCSC")</f>
        <v>UCSC</v>
      </c>
      <c r="E13547" s="1" t="str">
        <f>HYPERLINK("http://www.ncbi.nlm.nih.gov/gene/?term=TNPO1","NCBI")</f>
        <v>NCBI</v>
      </c>
      <c r="F13547">
        <v>0.47</v>
      </c>
      <c r="G13547">
        <v>0.57999999999999996</v>
      </c>
      <c r="H13547" s="1" t="str">
        <f>HYPERLINK("http://www.weizmann.ac.il/complex/compphys/software/geview/data/figures/209226_s_at.png","Figure")</f>
        <v>Figure</v>
      </c>
      <c r="I13547">
        <v>1.05</v>
      </c>
      <c r="J13547">
        <v>0.97</v>
      </c>
      <c r="K13547">
        <v>0.84699999999999998</v>
      </c>
      <c r="L13547">
        <v>0.61</v>
      </c>
      <c r="M13547">
        <v>0.81</v>
      </c>
      <c r="N13547">
        <v>0.51</v>
      </c>
    </row>
    <row r="13548" spans="1:14" x14ac:dyDescent="0.25">
      <c r="A13548" t="s">
        <v>23118</v>
      </c>
      <c r="B13548" t="s">
        <v>23119</v>
      </c>
      <c r="C13548" s="1" t="str">
        <f>HYPERLINK("http://www.genecards.org/cgi-bin/carddisp.pl?gene=GSTA1","GeneCards")</f>
        <v>GeneCards</v>
      </c>
      <c r="D13548" s="1" t="str">
        <f>HYPERLINK("http://genome-euro.ucsc.edu/cgi-bin/hgTracks?position=215766_at","UCSC")</f>
        <v>UCSC</v>
      </c>
      <c r="E13548" s="1" t="str">
        <f>HYPERLINK("http://www.ncbi.nlm.nih.gov/gene/?term=GSTA1","NCBI")</f>
        <v>NCBI</v>
      </c>
      <c r="F13548">
        <v>0.47</v>
      </c>
      <c r="G13548">
        <v>0.57999999999999996</v>
      </c>
      <c r="H13548" s="1" t="str">
        <f>HYPERLINK("http://www.weizmann.ac.il/complex/compphys/software/geview/data/figures/215766_at.png","Figure")</f>
        <v>Figure</v>
      </c>
      <c r="I13548">
        <v>0.90900000000000003</v>
      </c>
      <c r="J13548">
        <v>0.66</v>
      </c>
      <c r="K13548">
        <v>0.88900000000000001</v>
      </c>
      <c r="L13548">
        <v>0.45</v>
      </c>
      <c r="M13548">
        <v>0.97799999999999998</v>
      </c>
      <c r="N13548">
        <v>0.97</v>
      </c>
    </row>
    <row r="13549" spans="1:14" x14ac:dyDescent="0.25">
      <c r="A13549" t="s">
        <v>23120</v>
      </c>
      <c r="B13549" t="s">
        <v>23121</v>
      </c>
      <c r="C13549" s="1" t="str">
        <f>HYPERLINK("http://www.genecards.org/cgi-bin/carddisp.pl?gene=SLC28A1","GeneCards")</f>
        <v>GeneCards</v>
      </c>
      <c r="D13549" s="1" t="str">
        <f>HYPERLINK("http://genome-euro.ucsc.edu/cgi-bin/hgTracks?position=207560_at","UCSC")</f>
        <v>UCSC</v>
      </c>
      <c r="E13549" s="1" t="str">
        <f>HYPERLINK("http://www.ncbi.nlm.nih.gov/gene/?term=SLC28A1","NCBI")</f>
        <v>NCBI</v>
      </c>
      <c r="F13549">
        <v>0.47</v>
      </c>
      <c r="G13549">
        <v>0.57999999999999996</v>
      </c>
      <c r="H13549" s="1" t="str">
        <f>HYPERLINK("http://www.weizmann.ac.il/complex/compphys/software/geview/data/figures/207560_at.png","Figure")</f>
        <v>Figure</v>
      </c>
      <c r="I13549">
        <v>1.1100000000000001</v>
      </c>
      <c r="J13549">
        <v>0.44</v>
      </c>
      <c r="K13549">
        <v>1.04</v>
      </c>
      <c r="L13549">
        <v>0.86</v>
      </c>
      <c r="M13549">
        <v>0.93600000000000005</v>
      </c>
      <c r="N13549">
        <v>0.67</v>
      </c>
    </row>
    <row r="13550" spans="1:14" x14ac:dyDescent="0.25">
      <c r="A13550" t="s">
        <v>23122</v>
      </c>
      <c r="B13550" t="s">
        <v>13371</v>
      </c>
      <c r="C13550" s="1" t="str">
        <f>HYPERLINK("http://www.genecards.org/cgi-bin/carddisp.pl?gene=MOBKL1B","GeneCards")</f>
        <v>GeneCards</v>
      </c>
      <c r="D13550" s="1" t="str">
        <f>HYPERLINK("http://genome-euro.ucsc.edu/cgi-bin/hgTracks?position=201299_s_at","UCSC")</f>
        <v>UCSC</v>
      </c>
      <c r="E13550" s="1" t="str">
        <f>HYPERLINK("http://www.ncbi.nlm.nih.gov/gene/?term=MOBKL1B","NCBI")</f>
        <v>NCBI</v>
      </c>
      <c r="F13550">
        <v>0.47</v>
      </c>
      <c r="G13550">
        <v>0.57999999999999996</v>
      </c>
      <c r="H13550" s="1" t="str">
        <f>HYPERLINK("http://www.weizmann.ac.il/complex/compphys/software/geview/data/figures/201299_s_at.png","Figure")</f>
        <v>Figure</v>
      </c>
      <c r="I13550">
        <v>1.02</v>
      </c>
      <c r="J13550">
        <v>1</v>
      </c>
      <c r="K13550">
        <v>0.78</v>
      </c>
      <c r="L13550">
        <v>0.55000000000000004</v>
      </c>
      <c r="M13550">
        <v>0.76700000000000002</v>
      </c>
      <c r="N13550">
        <v>0.55000000000000004</v>
      </c>
    </row>
    <row r="13551" spans="1:14" x14ac:dyDescent="0.25">
      <c r="A13551" t="s">
        <v>23123</v>
      </c>
      <c r="B13551" t="s">
        <v>23124</v>
      </c>
      <c r="C13551" s="1" t="str">
        <f>HYPERLINK("http://www.genecards.org/cgi-bin/carddisp.pl?gene=RHD","GeneCards")</f>
        <v>GeneCards</v>
      </c>
      <c r="D13551" s="1" t="str">
        <f>HYPERLINK("http://genome-euro.ucsc.edu/cgi-bin/hgTracks?position=210430_x_at","UCSC")</f>
        <v>UCSC</v>
      </c>
      <c r="E13551" s="1" t="str">
        <f>HYPERLINK("http://www.ncbi.nlm.nih.gov/gene/?term=RHD","NCBI")</f>
        <v>NCBI</v>
      </c>
      <c r="F13551">
        <v>0.47</v>
      </c>
      <c r="G13551">
        <v>0.57999999999999996</v>
      </c>
      <c r="H13551" s="1" t="str">
        <f>HYPERLINK("http://www.weizmann.ac.il/complex/compphys/software/geview/data/figures/210430_x_at.png","Figure")</f>
        <v>Figure</v>
      </c>
      <c r="I13551">
        <v>1.29</v>
      </c>
      <c r="J13551">
        <v>0.44</v>
      </c>
      <c r="K13551">
        <v>1.0900000000000001</v>
      </c>
      <c r="L13551">
        <v>0.87</v>
      </c>
      <c r="M13551">
        <v>0.84899999999999998</v>
      </c>
      <c r="N13551">
        <v>0.67</v>
      </c>
    </row>
    <row r="13552" spans="1:14" x14ac:dyDescent="0.25">
      <c r="A13552" t="s">
        <v>23125</v>
      </c>
      <c r="B13552" t="s">
        <v>23126</v>
      </c>
      <c r="C13552" s="1" t="str">
        <f>HYPERLINK("http://www.genecards.org/cgi-bin/carddisp.pl?gene=SLC16A6","GeneCards")</f>
        <v>GeneCards</v>
      </c>
      <c r="D13552" s="1" t="str">
        <f>HYPERLINK("http://genome-euro.ucsc.edu/cgi-bin/hgTracks?position=207038_at","UCSC")</f>
        <v>UCSC</v>
      </c>
      <c r="E13552" s="1" t="str">
        <f>HYPERLINK("http://www.ncbi.nlm.nih.gov/gene/?term=SLC16A6","NCBI")</f>
        <v>NCBI</v>
      </c>
      <c r="F13552">
        <v>0.47</v>
      </c>
      <c r="G13552">
        <v>0.57999999999999996</v>
      </c>
      <c r="H13552" s="1" t="str">
        <f>HYPERLINK("http://www.weizmann.ac.il/complex/compphys/software/geview/data/figures/207038_at.png","Figure")</f>
        <v>Figure</v>
      </c>
      <c r="I13552">
        <v>0.97899999999999998</v>
      </c>
      <c r="J13552">
        <v>0.78</v>
      </c>
      <c r="K13552">
        <v>0.96699999999999997</v>
      </c>
      <c r="L13552">
        <v>0.43</v>
      </c>
      <c r="M13552">
        <v>0.98699999999999999</v>
      </c>
      <c r="N13552">
        <v>0.89</v>
      </c>
    </row>
    <row r="13553" spans="1:14" x14ac:dyDescent="0.25">
      <c r="A13553" t="s">
        <v>23127</v>
      </c>
      <c r="B13553" t="s">
        <v>7576</v>
      </c>
      <c r="C13553" s="1" t="str">
        <f>HYPERLINK("http://www.genecards.org/cgi-bin/carddisp.pl?gene=HCRP1","GeneCards")</f>
        <v>GeneCards</v>
      </c>
      <c r="D13553" s="1" t="str">
        <f>HYPERLINK("http://genome-euro.ucsc.edu/cgi-bin/hgTracks?position=216174_at","UCSC")</f>
        <v>UCSC</v>
      </c>
      <c r="E13553" s="1" t="str">
        <f>HYPERLINK("http://www.ncbi.nlm.nih.gov/gene/?term=HCRP1","NCBI")</f>
        <v>NCBI</v>
      </c>
      <c r="F13553">
        <v>0.47</v>
      </c>
      <c r="G13553">
        <v>0.57999999999999996</v>
      </c>
      <c r="H13553" s="1" t="str">
        <f>HYPERLINK("http://www.weizmann.ac.il/complex/compphys/software/geview/data/figures/216174_at.png","Figure")</f>
        <v>Figure</v>
      </c>
      <c r="I13553">
        <v>0.93600000000000005</v>
      </c>
      <c r="J13553">
        <v>0.61</v>
      </c>
      <c r="K13553">
        <v>1.01</v>
      </c>
      <c r="L13553">
        <v>0.97</v>
      </c>
      <c r="M13553">
        <v>1.08</v>
      </c>
      <c r="N13553">
        <v>0.45</v>
      </c>
    </row>
    <row r="13554" spans="1:14" x14ac:dyDescent="0.25">
      <c r="A13554" t="s">
        <v>23128</v>
      </c>
      <c r="B13554" t="s">
        <v>23129</v>
      </c>
      <c r="C13554" s="1" t="str">
        <f>HYPERLINK("http://www.genecards.org/cgi-bin/carddisp.pl?gene=GCNT3","GeneCards")</f>
        <v>GeneCards</v>
      </c>
      <c r="D13554" s="1" t="str">
        <f>HYPERLINK("http://genome-euro.ucsc.edu/cgi-bin/hgTracks?position=219508_at","UCSC")</f>
        <v>UCSC</v>
      </c>
      <c r="E13554" s="1" t="str">
        <f>HYPERLINK("http://www.ncbi.nlm.nih.gov/gene/?term=GCNT3","NCBI")</f>
        <v>NCBI</v>
      </c>
      <c r="F13554">
        <v>0.47</v>
      </c>
      <c r="G13554">
        <v>0.59</v>
      </c>
      <c r="H13554" s="1" t="str">
        <f>HYPERLINK("http://www.weizmann.ac.il/complex/compphys/software/geview/data/figures/219508_at.png","Figure")</f>
        <v>Figure</v>
      </c>
      <c r="I13554">
        <v>1.0900000000000001</v>
      </c>
      <c r="J13554">
        <v>0.46</v>
      </c>
      <c r="K13554">
        <v>1.02</v>
      </c>
      <c r="L13554">
        <v>0.93</v>
      </c>
      <c r="M13554">
        <v>0.93600000000000005</v>
      </c>
      <c r="N13554">
        <v>0.6</v>
      </c>
    </row>
    <row r="13555" spans="1:14" x14ac:dyDescent="0.25">
      <c r="A13555" t="s">
        <v>23130</v>
      </c>
      <c r="B13555" t="s">
        <v>23131</v>
      </c>
      <c r="C13555" s="1" t="str">
        <f>HYPERLINK("http://www.genecards.org/cgi-bin/carddisp.pl?gene=MAPK8","GeneCards")</f>
        <v>GeneCards</v>
      </c>
      <c r="D13555" s="1" t="str">
        <f>HYPERLINK("http://genome-euro.ucsc.edu/cgi-bin/hgTracks?position=210477_x_at","UCSC")</f>
        <v>UCSC</v>
      </c>
      <c r="E13555" s="1" t="str">
        <f>HYPERLINK("http://www.ncbi.nlm.nih.gov/gene/?term=MAPK8","NCBI")</f>
        <v>NCBI</v>
      </c>
      <c r="F13555">
        <v>0.47</v>
      </c>
      <c r="G13555">
        <v>0.59</v>
      </c>
      <c r="H13555" s="1" t="str">
        <f>HYPERLINK("http://www.weizmann.ac.il/complex/compphys/software/geview/data/figures/210477_x_at.png","Figure")</f>
        <v>Figure</v>
      </c>
      <c r="I13555">
        <v>1.08</v>
      </c>
      <c r="J13555">
        <v>0.86</v>
      </c>
      <c r="K13555">
        <v>0.91200000000000003</v>
      </c>
      <c r="L13555">
        <v>0.75</v>
      </c>
      <c r="M13555">
        <v>0.84399999999999997</v>
      </c>
      <c r="N13555">
        <v>0.45</v>
      </c>
    </row>
    <row r="13556" spans="1:14" x14ac:dyDescent="0.25">
      <c r="A13556" t="s">
        <v>23132</v>
      </c>
      <c r="B13556" t="s">
        <v>16443</v>
      </c>
      <c r="C13556" s="1" t="str">
        <f>HYPERLINK("http://www.genecards.org/cgi-bin/carddisp.pl?gene=ACRV1","GeneCards")</f>
        <v>GeneCards</v>
      </c>
      <c r="D13556" s="1" t="str">
        <f>HYPERLINK("http://genome-euro.ucsc.edu/cgi-bin/hgTracks?position=207990_x_at","UCSC")</f>
        <v>UCSC</v>
      </c>
      <c r="E13556" s="1" t="str">
        <f>HYPERLINK("http://www.ncbi.nlm.nih.gov/gene/?term=ACRV1","NCBI")</f>
        <v>NCBI</v>
      </c>
      <c r="F13556">
        <v>0.47</v>
      </c>
      <c r="G13556">
        <v>0.59</v>
      </c>
      <c r="H13556" s="1" t="str">
        <f>HYPERLINK("http://www.weizmann.ac.il/complex/compphys/software/geview/data/figures/207990_x_at.png","Figure")</f>
        <v>Figure</v>
      </c>
      <c r="I13556">
        <v>0.999</v>
      </c>
      <c r="J13556">
        <v>1</v>
      </c>
      <c r="K13556">
        <v>0.97499999999999998</v>
      </c>
      <c r="L13556">
        <v>0.53</v>
      </c>
      <c r="M13556">
        <v>0.97599999999999998</v>
      </c>
      <c r="N13556">
        <v>0.59</v>
      </c>
    </row>
    <row r="13557" spans="1:14" x14ac:dyDescent="0.25">
      <c r="A13557" t="s">
        <v>23133</v>
      </c>
      <c r="B13557" t="s">
        <v>23134</v>
      </c>
      <c r="C13557" s="1" t="str">
        <f>HYPERLINK("http://www.genecards.org/cgi-bin/carddisp.pl?gene=FBP2","GeneCards")</f>
        <v>GeneCards</v>
      </c>
      <c r="D13557" s="1" t="str">
        <f>HYPERLINK("http://genome-euro.ucsc.edu/cgi-bin/hgTracks?position=206844_at","UCSC")</f>
        <v>UCSC</v>
      </c>
      <c r="E13557" s="1" t="str">
        <f>HYPERLINK("http://www.ncbi.nlm.nih.gov/gene/?term=FBP2","NCBI")</f>
        <v>NCBI</v>
      </c>
      <c r="F13557">
        <v>0.47</v>
      </c>
      <c r="G13557">
        <v>0.59</v>
      </c>
      <c r="H13557" s="1" t="str">
        <f>HYPERLINK("http://www.weizmann.ac.il/complex/compphys/software/geview/data/figures/206844_at.png","Figure")</f>
        <v>Figure</v>
      </c>
      <c r="I13557">
        <v>1</v>
      </c>
      <c r="J13557">
        <v>0.99</v>
      </c>
      <c r="K13557">
        <v>1.03</v>
      </c>
      <c r="L13557">
        <v>0.5</v>
      </c>
      <c r="M13557">
        <v>1.02</v>
      </c>
      <c r="N13557">
        <v>0.63</v>
      </c>
    </row>
    <row r="13558" spans="1:14" x14ac:dyDescent="0.25">
      <c r="A13558" t="s">
        <v>23135</v>
      </c>
      <c r="B13558" t="s">
        <v>16855</v>
      </c>
      <c r="C13558" s="1" t="str">
        <f>HYPERLINK("http://www.genecards.org/cgi-bin/carddisp.pl?gene=LMAN1","GeneCards")</f>
        <v>GeneCards</v>
      </c>
      <c r="D13558" s="1" t="str">
        <f>HYPERLINK("http://genome-euro.ucsc.edu/cgi-bin/hgTracks?position=203294_s_at","UCSC")</f>
        <v>UCSC</v>
      </c>
      <c r="E13558" s="1" t="str">
        <f>HYPERLINK("http://www.ncbi.nlm.nih.gov/gene/?term=LMAN1","NCBI")</f>
        <v>NCBI</v>
      </c>
      <c r="F13558">
        <v>0.47</v>
      </c>
      <c r="G13558">
        <v>0.59</v>
      </c>
      <c r="H13558" s="1" t="str">
        <f>HYPERLINK("http://www.weizmann.ac.il/complex/compphys/software/geview/data/figures/203294_s_at.png","Figure")</f>
        <v>Figure</v>
      </c>
      <c r="I13558">
        <v>1.02</v>
      </c>
      <c r="J13558">
        <v>0.8</v>
      </c>
      <c r="K13558">
        <v>0.98799999999999999</v>
      </c>
      <c r="L13558">
        <v>0.82</v>
      </c>
      <c r="M13558">
        <v>0.97299999999999998</v>
      </c>
      <c r="N13558">
        <v>0.44</v>
      </c>
    </row>
    <row r="13559" spans="1:14" x14ac:dyDescent="0.25">
      <c r="A13559" t="s">
        <v>23136</v>
      </c>
      <c r="B13559" t="s">
        <v>23137</v>
      </c>
      <c r="C13559" s="1" t="str">
        <f>HYPERLINK("http://www.genecards.org/cgi-bin/carddisp.pl?gene=ZNF292","GeneCards")</f>
        <v>GeneCards</v>
      </c>
      <c r="D13559" s="1" t="str">
        <f>HYPERLINK("http://genome-euro.ucsc.edu/cgi-bin/hgTracks?position=212366_at","UCSC")</f>
        <v>UCSC</v>
      </c>
      <c r="E13559" s="1" t="str">
        <f>HYPERLINK("http://www.ncbi.nlm.nih.gov/gene/?term=ZNF292","NCBI")</f>
        <v>NCBI</v>
      </c>
      <c r="F13559">
        <v>0.47</v>
      </c>
      <c r="G13559">
        <v>0.59</v>
      </c>
      <c r="H13559" s="1" t="str">
        <f>HYPERLINK("http://www.weizmann.ac.il/complex/compphys/software/geview/data/figures/212366_at.png","Figure")</f>
        <v>Figure</v>
      </c>
      <c r="I13559">
        <v>0.96799999999999997</v>
      </c>
      <c r="J13559">
        <v>0.82</v>
      </c>
      <c r="K13559">
        <v>0.94099999999999995</v>
      </c>
      <c r="L13559">
        <v>0.44</v>
      </c>
      <c r="M13559">
        <v>0.97299999999999998</v>
      </c>
      <c r="N13559">
        <v>0.85</v>
      </c>
    </row>
    <row r="13560" spans="1:14" x14ac:dyDescent="0.25">
      <c r="A13560" t="s">
        <v>23138</v>
      </c>
      <c r="B13560" t="s">
        <v>12126</v>
      </c>
      <c r="C13560" s="1" t="str">
        <f>HYPERLINK("http://www.genecards.org/cgi-bin/carddisp.pl?gene=XPO6","GeneCards")</f>
        <v>GeneCards</v>
      </c>
      <c r="D13560" s="1" t="str">
        <f>HYPERLINK("http://genome-euro.ucsc.edu/cgi-bin/hgTracks?position=211982_x_at","UCSC")</f>
        <v>UCSC</v>
      </c>
      <c r="E13560" s="1" t="str">
        <f>HYPERLINK("http://www.ncbi.nlm.nih.gov/gene/?term=XPO6","NCBI")</f>
        <v>NCBI</v>
      </c>
      <c r="F13560">
        <v>0.47</v>
      </c>
      <c r="G13560">
        <v>0.59</v>
      </c>
      <c r="H13560" s="1" t="str">
        <f>HYPERLINK("http://www.weizmann.ac.il/complex/compphys/software/geview/data/figures/211982_x_at.png","Figure")</f>
        <v>Figure</v>
      </c>
      <c r="I13560">
        <v>1.1499999999999999</v>
      </c>
      <c r="J13560">
        <v>0.68</v>
      </c>
      <c r="K13560">
        <v>0.94699999999999995</v>
      </c>
      <c r="L13560">
        <v>0.93</v>
      </c>
      <c r="M13560">
        <v>0.82099999999999995</v>
      </c>
      <c r="N13560">
        <v>0.44</v>
      </c>
    </row>
    <row r="13561" spans="1:14" x14ac:dyDescent="0.25">
      <c r="A13561" t="s">
        <v>23139</v>
      </c>
      <c r="B13561" t="s">
        <v>16093</v>
      </c>
      <c r="C13561" s="1" t="str">
        <f>HYPERLINK("http://www.genecards.org/cgi-bin/carddisp.pl?gene=IL16","GeneCards")</f>
        <v>GeneCards</v>
      </c>
      <c r="D13561" s="1" t="str">
        <f>HYPERLINK("http://genome-euro.ucsc.edu/cgi-bin/hgTracks?position=209827_s_at","UCSC")</f>
        <v>UCSC</v>
      </c>
      <c r="E13561" s="1" t="str">
        <f>HYPERLINK("http://www.ncbi.nlm.nih.gov/gene/?term=IL16","NCBI")</f>
        <v>NCBI</v>
      </c>
      <c r="F13561">
        <v>0.47</v>
      </c>
      <c r="G13561">
        <v>0.59</v>
      </c>
      <c r="H13561" s="1" t="str">
        <f>HYPERLINK("http://www.weizmann.ac.il/complex/compphys/software/geview/data/figures/209827_s_at.png","Figure")</f>
        <v>Figure</v>
      </c>
      <c r="I13561">
        <v>1.22</v>
      </c>
      <c r="J13561">
        <v>0.64</v>
      </c>
      <c r="K13561">
        <v>1.26</v>
      </c>
      <c r="L13561">
        <v>0.46</v>
      </c>
      <c r="M13561">
        <v>1.04</v>
      </c>
      <c r="N13561">
        <v>0.98</v>
      </c>
    </row>
    <row r="13562" spans="1:14" x14ac:dyDescent="0.25">
      <c r="A13562" t="s">
        <v>23140</v>
      </c>
      <c r="B13562" t="s">
        <v>4970</v>
      </c>
      <c r="C13562" s="1" t="str">
        <f>HYPERLINK("http://www.genecards.org/cgi-bin/carddisp.pl?gene=PAFAH1B1","GeneCards")</f>
        <v>GeneCards</v>
      </c>
      <c r="D13562" s="1" t="str">
        <f>HYPERLINK("http://genome-euro.ucsc.edu/cgi-bin/hgTracks?position=200816_s_at","UCSC")</f>
        <v>UCSC</v>
      </c>
      <c r="E13562" s="1" t="str">
        <f>HYPERLINK("http://www.ncbi.nlm.nih.gov/gene/?term=PAFAH1B1","NCBI")</f>
        <v>NCBI</v>
      </c>
      <c r="F13562">
        <v>0.47</v>
      </c>
      <c r="G13562">
        <v>0.59</v>
      </c>
      <c r="H13562" s="1" t="str">
        <f>HYPERLINK("http://www.weizmann.ac.il/complex/compphys/software/geview/data/figures/200816_s_at.png","Figure")</f>
        <v>Figure</v>
      </c>
      <c r="I13562">
        <v>0.73499999999999999</v>
      </c>
      <c r="J13562">
        <v>0.55000000000000004</v>
      </c>
      <c r="K13562">
        <v>1.01</v>
      </c>
      <c r="L13562">
        <v>1</v>
      </c>
      <c r="M13562">
        <v>1.37</v>
      </c>
      <c r="N13562">
        <v>0.48</v>
      </c>
    </row>
    <row r="13563" spans="1:14" x14ac:dyDescent="0.25">
      <c r="A13563" t="s">
        <v>23141</v>
      </c>
      <c r="B13563" t="s">
        <v>22883</v>
      </c>
      <c r="C13563" s="1" t="str">
        <f>HYPERLINK("http://www.genecards.org/cgi-bin/carddisp.pl?gene=HBG1 /// HBG2","GeneCards")</f>
        <v>GeneCards</v>
      </c>
      <c r="D13563" s="1" t="str">
        <f>HYPERLINK("http://genome-euro.ucsc.edu/cgi-bin/hgTracks?position=204848_x_at","UCSC")</f>
        <v>UCSC</v>
      </c>
      <c r="E13563" s="1" t="str">
        <f>HYPERLINK("http://www.ncbi.nlm.nih.gov/gene/?term=HBG1 /// HBG2","NCBI")</f>
        <v>NCBI</v>
      </c>
      <c r="F13563">
        <v>0.47</v>
      </c>
      <c r="G13563">
        <v>0.59</v>
      </c>
      <c r="H13563" s="1" t="str">
        <f>HYPERLINK("http://www.weizmann.ac.il/complex/compphys/software/geview/data/figures/204848_x_at.png","Figure")</f>
        <v>Figure</v>
      </c>
      <c r="I13563">
        <v>1.7</v>
      </c>
      <c r="J13563">
        <v>0.7</v>
      </c>
      <c r="K13563">
        <v>0.78900000000000003</v>
      </c>
      <c r="L13563">
        <v>0.91</v>
      </c>
      <c r="M13563">
        <v>0.46400000000000002</v>
      </c>
      <c r="N13563">
        <v>0.44</v>
      </c>
    </row>
    <row r="13564" spans="1:14" x14ac:dyDescent="0.25">
      <c r="A13564" t="s">
        <v>23142</v>
      </c>
      <c r="B13564" t="s">
        <v>8838</v>
      </c>
      <c r="C13564" s="1" t="str">
        <f>HYPERLINK("http://www.genecards.org/cgi-bin/carddisp.pl?gene=HLA-B","GeneCards")</f>
        <v>GeneCards</v>
      </c>
      <c r="D13564" s="1" t="str">
        <f>HYPERLINK("http://genome-euro.ucsc.edu/cgi-bin/hgTracks?position=208729_x_at","UCSC")</f>
        <v>UCSC</v>
      </c>
      <c r="E13564" s="1" t="str">
        <f>HYPERLINK("http://www.ncbi.nlm.nih.gov/gene/?term=HLA-B","NCBI")</f>
        <v>NCBI</v>
      </c>
      <c r="F13564">
        <v>0.47</v>
      </c>
      <c r="G13564">
        <v>0.59</v>
      </c>
      <c r="H13564" s="1" t="str">
        <f>HYPERLINK("http://www.weizmann.ac.il/complex/compphys/software/geview/data/figures/208729_x_at.png","Figure")</f>
        <v>Figure</v>
      </c>
      <c r="I13564">
        <v>0.76</v>
      </c>
      <c r="J13564">
        <v>0.44</v>
      </c>
      <c r="K13564">
        <v>0.86699999999999999</v>
      </c>
      <c r="L13564">
        <v>0.74</v>
      </c>
      <c r="M13564">
        <v>1.1399999999999999</v>
      </c>
      <c r="N13564">
        <v>0.8</v>
      </c>
    </row>
    <row r="13565" spans="1:14" x14ac:dyDescent="0.25">
      <c r="A13565" t="s">
        <v>23143</v>
      </c>
      <c r="B13565" t="s">
        <v>1554</v>
      </c>
      <c r="C13565" s="1" t="str">
        <f>HYPERLINK("http://www.genecards.org/cgi-bin/carddisp.pl?gene=SSX2IP","GeneCards")</f>
        <v>GeneCards</v>
      </c>
      <c r="D13565" s="1" t="str">
        <f>HYPERLINK("http://genome-euro.ucsc.edu/cgi-bin/hgTracks?position=203016_s_at","UCSC")</f>
        <v>UCSC</v>
      </c>
      <c r="E13565" s="1" t="str">
        <f>HYPERLINK("http://www.ncbi.nlm.nih.gov/gene/?term=SSX2IP","NCBI")</f>
        <v>NCBI</v>
      </c>
      <c r="F13565">
        <v>0.47</v>
      </c>
      <c r="G13565">
        <v>0.59</v>
      </c>
      <c r="H13565" s="1" t="str">
        <f>HYPERLINK("http://www.weizmann.ac.il/complex/compphys/software/geview/data/figures/203016_s_at.png","Figure")</f>
        <v>Figure</v>
      </c>
      <c r="I13565">
        <v>1.04</v>
      </c>
      <c r="J13565">
        <v>0.91</v>
      </c>
      <c r="K13565">
        <v>0.93200000000000005</v>
      </c>
      <c r="L13565">
        <v>0.69</v>
      </c>
      <c r="M13565">
        <v>0.89600000000000002</v>
      </c>
      <c r="N13565">
        <v>0.47</v>
      </c>
    </row>
    <row r="13566" spans="1:14" x14ac:dyDescent="0.25">
      <c r="A13566" t="s">
        <v>23144</v>
      </c>
      <c r="B13566" t="s">
        <v>23145</v>
      </c>
      <c r="C13566" s="1" t="str">
        <f>HYPERLINK("http://www.genecards.org/cgi-bin/carddisp.pl?gene=SERPINA5","GeneCards")</f>
        <v>GeneCards</v>
      </c>
      <c r="D13566" s="1" t="str">
        <f>HYPERLINK("http://genome-euro.ucsc.edu/cgi-bin/hgTracks?position=209443_at","UCSC")</f>
        <v>UCSC</v>
      </c>
      <c r="E13566" s="1" t="str">
        <f>HYPERLINK("http://www.ncbi.nlm.nih.gov/gene/?term=SERPINA5","NCBI")</f>
        <v>NCBI</v>
      </c>
      <c r="F13566">
        <v>0.47</v>
      </c>
      <c r="G13566">
        <v>0.59</v>
      </c>
      <c r="H13566" s="1" t="str">
        <f>HYPERLINK("http://www.weizmann.ac.il/complex/compphys/software/geview/data/figures/209443_at.png","Figure")</f>
        <v>Figure</v>
      </c>
      <c r="I13566">
        <v>1.05</v>
      </c>
      <c r="J13566">
        <v>0.57999999999999996</v>
      </c>
      <c r="K13566">
        <v>1.05</v>
      </c>
      <c r="L13566">
        <v>0.49</v>
      </c>
      <c r="M13566">
        <v>1</v>
      </c>
      <c r="N13566">
        <v>1</v>
      </c>
    </row>
    <row r="13567" spans="1:14" x14ac:dyDescent="0.25">
      <c r="A13567" t="s">
        <v>23146</v>
      </c>
      <c r="B13567" t="s">
        <v>23147</v>
      </c>
      <c r="C13567" s="1" t="str">
        <f>HYPERLINK("http://www.genecards.org/cgi-bin/carddisp.pl?gene=ENPP1","GeneCards")</f>
        <v>GeneCards</v>
      </c>
      <c r="D13567" s="1" t="str">
        <f>HYPERLINK("http://genome-euro.ucsc.edu/cgi-bin/hgTracks?position=205066_s_at","UCSC")</f>
        <v>UCSC</v>
      </c>
      <c r="E13567" s="1" t="str">
        <f>HYPERLINK("http://www.ncbi.nlm.nih.gov/gene/?term=ENPP1","NCBI")</f>
        <v>NCBI</v>
      </c>
      <c r="F13567">
        <v>0.47</v>
      </c>
      <c r="G13567">
        <v>0.59</v>
      </c>
      <c r="H13567" s="1" t="str">
        <f>HYPERLINK("http://www.weizmann.ac.il/complex/compphys/software/geview/data/figures/205066_s_at.png","Figure")</f>
        <v>Figure</v>
      </c>
      <c r="I13567">
        <v>1</v>
      </c>
      <c r="J13567">
        <v>1</v>
      </c>
      <c r="K13567">
        <v>0.98299999999999998</v>
      </c>
      <c r="L13567">
        <v>0.54</v>
      </c>
      <c r="M13567">
        <v>0.98299999999999998</v>
      </c>
      <c r="N13567">
        <v>0.57999999999999996</v>
      </c>
    </row>
    <row r="13568" spans="1:14" x14ac:dyDescent="0.25">
      <c r="A13568" t="s">
        <v>23148</v>
      </c>
      <c r="B13568" t="s">
        <v>6744</v>
      </c>
      <c r="C13568" s="1" t="str">
        <f>HYPERLINK("http://www.genecards.org/cgi-bin/carddisp.pl?gene=NFYB","GeneCards")</f>
        <v>GeneCards</v>
      </c>
      <c r="D13568" s="1" t="str">
        <f>HYPERLINK("http://genome-euro.ucsc.edu/cgi-bin/hgTracks?position=218129_s_at","UCSC")</f>
        <v>UCSC</v>
      </c>
      <c r="E13568" s="1" t="str">
        <f>HYPERLINK("http://www.ncbi.nlm.nih.gov/gene/?term=NFYB","NCBI")</f>
        <v>NCBI</v>
      </c>
      <c r="F13568">
        <v>0.47</v>
      </c>
      <c r="G13568">
        <v>0.59</v>
      </c>
      <c r="H13568" s="1" t="str">
        <f>HYPERLINK("http://www.weizmann.ac.il/complex/compphys/software/geview/data/figures/218129_s_at.png","Figure")</f>
        <v>Figure</v>
      </c>
      <c r="I13568">
        <v>0.97899999999999998</v>
      </c>
      <c r="J13568">
        <v>0.44</v>
      </c>
      <c r="K13568">
        <v>0.99199999999999999</v>
      </c>
      <c r="L13568">
        <v>0.85</v>
      </c>
      <c r="M13568">
        <v>1.01</v>
      </c>
      <c r="N13568">
        <v>0.69</v>
      </c>
    </row>
    <row r="13569" spans="1:14" x14ac:dyDescent="0.25">
      <c r="A13569" t="s">
        <v>23149</v>
      </c>
      <c r="B13569" t="s">
        <v>6738</v>
      </c>
      <c r="C13569" s="1" t="str">
        <f>HYPERLINK("http://www.genecards.org/cgi-bin/carddisp.pl?gene=GTF3C2","GeneCards")</f>
        <v>GeneCards</v>
      </c>
      <c r="D13569" s="1" t="str">
        <f>HYPERLINK("http://genome-euro.ucsc.edu/cgi-bin/hgTracks?position=204366_s_at","UCSC")</f>
        <v>UCSC</v>
      </c>
      <c r="E13569" s="1" t="str">
        <f>HYPERLINK("http://www.ncbi.nlm.nih.gov/gene/?term=GTF3C2","NCBI")</f>
        <v>NCBI</v>
      </c>
      <c r="F13569">
        <v>0.47</v>
      </c>
      <c r="G13569">
        <v>0.59</v>
      </c>
      <c r="H13569" s="1" t="str">
        <f>HYPERLINK("http://www.weizmann.ac.il/complex/compphys/software/geview/data/figures/204366_s_at.png","Figure")</f>
        <v>Figure</v>
      </c>
      <c r="I13569">
        <v>1.1599999999999999</v>
      </c>
      <c r="J13569">
        <v>0.75</v>
      </c>
      <c r="K13569">
        <v>1.24</v>
      </c>
      <c r="L13569">
        <v>0.44</v>
      </c>
      <c r="M13569">
        <v>1.07</v>
      </c>
      <c r="N13569">
        <v>0.92</v>
      </c>
    </row>
    <row r="13570" spans="1:14" x14ac:dyDescent="0.25">
      <c r="A13570" t="s">
        <v>23150</v>
      </c>
      <c r="B13570" t="s">
        <v>18684</v>
      </c>
      <c r="C13570" s="1" t="str">
        <f>HYPERLINK("http://www.genecards.org/cgi-bin/carddisp.pl?gene=ELK1","GeneCards")</f>
        <v>GeneCards</v>
      </c>
      <c r="D13570" s="1" t="str">
        <f>HYPERLINK("http://genome-euro.ucsc.edu/cgi-bin/hgTracks?position=210850_s_at","UCSC")</f>
        <v>UCSC</v>
      </c>
      <c r="E13570" s="1" t="str">
        <f>HYPERLINK("http://www.ncbi.nlm.nih.gov/gene/?term=ELK1","NCBI")</f>
        <v>NCBI</v>
      </c>
      <c r="F13570">
        <v>0.47</v>
      </c>
      <c r="G13570">
        <v>0.59</v>
      </c>
      <c r="H13570" s="1" t="str">
        <f>HYPERLINK("http://www.weizmann.ac.il/complex/compphys/software/geview/data/figures/210850_s_at.png","Figure")</f>
        <v>Figure</v>
      </c>
      <c r="I13570">
        <v>1.01</v>
      </c>
      <c r="J13570">
        <v>0.99</v>
      </c>
      <c r="K13570">
        <v>1.08</v>
      </c>
      <c r="L13570">
        <v>0.5</v>
      </c>
      <c r="M13570">
        <v>1.07</v>
      </c>
      <c r="N13570">
        <v>0.62</v>
      </c>
    </row>
    <row r="13571" spans="1:14" x14ac:dyDescent="0.25">
      <c r="A13571" t="s">
        <v>23151</v>
      </c>
      <c r="B13571" t="s">
        <v>23152</v>
      </c>
      <c r="C13571" s="1" t="str">
        <f>HYPERLINK("http://www.genecards.org/cgi-bin/carddisp.pl?gene=RGSL1","GeneCards")</f>
        <v>GeneCards</v>
      </c>
      <c r="D13571" s="1" t="str">
        <f>HYPERLINK("http://genome-euro.ucsc.edu/cgi-bin/hgTracks?position=211446_at","UCSC")</f>
        <v>UCSC</v>
      </c>
      <c r="E13571" s="1" t="str">
        <f>HYPERLINK("http://www.ncbi.nlm.nih.gov/gene/?term=RGSL1","NCBI")</f>
        <v>NCBI</v>
      </c>
      <c r="F13571">
        <v>0.47</v>
      </c>
      <c r="G13571">
        <v>0.59</v>
      </c>
      <c r="H13571" s="1" t="str">
        <f>HYPERLINK("http://www.weizmann.ac.il/complex/compphys/software/geview/data/figures/211446_at.png","Figure")</f>
        <v>Figure</v>
      </c>
      <c r="I13571">
        <v>1.05</v>
      </c>
      <c r="J13571">
        <v>0.63</v>
      </c>
      <c r="K13571">
        <v>0.98599999999999999</v>
      </c>
      <c r="L13571">
        <v>0.96</v>
      </c>
      <c r="M13571">
        <v>0.93600000000000005</v>
      </c>
      <c r="N13571">
        <v>0.45</v>
      </c>
    </row>
    <row r="13572" spans="1:14" x14ac:dyDescent="0.25">
      <c r="A13572" t="s">
        <v>23153</v>
      </c>
      <c r="B13572" t="s">
        <v>23154</v>
      </c>
      <c r="C13572" s="1" t="str">
        <f>HYPERLINK("http://www.genecards.org/cgi-bin/carddisp.pl?gene=SFRS14","GeneCards")</f>
        <v>GeneCards</v>
      </c>
      <c r="D13572" s="1" t="str">
        <f>HYPERLINK("http://genome-euro.ucsc.edu/cgi-bin/hgTracks?position=214092_x_at","UCSC")</f>
        <v>UCSC</v>
      </c>
      <c r="E13572" s="1" t="str">
        <f>HYPERLINK("http://www.ncbi.nlm.nih.gov/gene/?term=SFRS14","NCBI")</f>
        <v>NCBI</v>
      </c>
      <c r="F13572">
        <v>0.47</v>
      </c>
      <c r="G13572">
        <v>0.59</v>
      </c>
      <c r="H13572" s="1" t="str">
        <f>HYPERLINK("http://www.weizmann.ac.il/complex/compphys/software/geview/data/figures/214092_x_at.png","Figure")</f>
        <v>Figure</v>
      </c>
      <c r="I13572">
        <v>1</v>
      </c>
      <c r="J13572">
        <v>1</v>
      </c>
      <c r="K13572">
        <v>0.85299999999999998</v>
      </c>
      <c r="L13572">
        <v>0.54</v>
      </c>
      <c r="M13572">
        <v>0.85299999999999998</v>
      </c>
      <c r="N13572">
        <v>0.57999999999999996</v>
      </c>
    </row>
    <row r="13573" spans="1:14" x14ac:dyDescent="0.25">
      <c r="A13573" t="s">
        <v>23155</v>
      </c>
      <c r="B13573" t="s">
        <v>23156</v>
      </c>
      <c r="C13573" s="1" t="str">
        <f>HYPERLINK("http://www.genecards.org/cgi-bin/carddisp.pl?gene=CACNG3","GeneCards")</f>
        <v>GeneCards</v>
      </c>
      <c r="D13573" s="1" t="str">
        <f>HYPERLINK("http://genome-euro.ucsc.edu/cgi-bin/hgTracks?position=206384_at","UCSC")</f>
        <v>UCSC</v>
      </c>
      <c r="E13573" s="1" t="str">
        <f>HYPERLINK("http://www.ncbi.nlm.nih.gov/gene/?term=CACNG3","NCBI")</f>
        <v>NCBI</v>
      </c>
      <c r="F13573">
        <v>0.47</v>
      </c>
      <c r="G13573">
        <v>0.59</v>
      </c>
      <c r="H13573" s="1" t="str">
        <f>HYPERLINK("http://www.weizmann.ac.il/complex/compphys/software/geview/data/figures/206384_at.png","Figure")</f>
        <v>Figure</v>
      </c>
      <c r="I13573">
        <v>1.1100000000000001</v>
      </c>
      <c r="J13573">
        <v>0.53</v>
      </c>
      <c r="K13573">
        <v>1</v>
      </c>
      <c r="L13573">
        <v>1</v>
      </c>
      <c r="M13573">
        <v>0.90500000000000003</v>
      </c>
      <c r="N13573">
        <v>0.5</v>
      </c>
    </row>
    <row r="13574" spans="1:14" x14ac:dyDescent="0.25">
      <c r="A13574" t="s">
        <v>23157</v>
      </c>
      <c r="B13574" t="s">
        <v>1916</v>
      </c>
      <c r="C13574" s="1" t="str">
        <f>HYPERLINK("http://www.genecards.org/cgi-bin/carddisp.pl?gene=S100A13","GeneCards")</f>
        <v>GeneCards</v>
      </c>
      <c r="D13574" s="1" t="str">
        <f>HYPERLINK("http://genome-euro.ucsc.edu/cgi-bin/hgTracks?position=213481_at","UCSC")</f>
        <v>UCSC</v>
      </c>
      <c r="E13574" s="1" t="str">
        <f>HYPERLINK("http://www.ncbi.nlm.nih.gov/gene/?term=S100A13","NCBI")</f>
        <v>NCBI</v>
      </c>
      <c r="F13574">
        <v>0.47</v>
      </c>
      <c r="G13574">
        <v>0.59</v>
      </c>
      <c r="H13574" s="1" t="str">
        <f>HYPERLINK("http://www.weizmann.ac.il/complex/compphys/software/geview/data/figures/213481_at.png","Figure")</f>
        <v>Figure</v>
      </c>
      <c r="I13574">
        <v>1.1000000000000001</v>
      </c>
      <c r="J13574">
        <v>0.44</v>
      </c>
      <c r="K13574">
        <v>1.04</v>
      </c>
      <c r="L13574">
        <v>0.84</v>
      </c>
      <c r="M13574">
        <v>0.94399999999999995</v>
      </c>
      <c r="N13574">
        <v>0.69</v>
      </c>
    </row>
    <row r="13575" spans="1:14" x14ac:dyDescent="0.25">
      <c r="A13575" t="s">
        <v>23158</v>
      </c>
      <c r="B13575" t="s">
        <v>22883</v>
      </c>
      <c r="C13575" s="1" t="str">
        <f>HYPERLINK("http://www.genecards.org/cgi-bin/carddisp.pl?gene=HBG1 /// HBG2","GeneCards")</f>
        <v>GeneCards</v>
      </c>
      <c r="D13575" s="1" t="str">
        <f>HYPERLINK("http://genome-euro.ucsc.edu/cgi-bin/hgTracks?position=204419_x_at","UCSC")</f>
        <v>UCSC</v>
      </c>
      <c r="E13575" s="1" t="str">
        <f>HYPERLINK("http://www.ncbi.nlm.nih.gov/gene/?term=HBG1 /// HBG2","NCBI")</f>
        <v>NCBI</v>
      </c>
      <c r="F13575">
        <v>0.47</v>
      </c>
      <c r="G13575">
        <v>0.59</v>
      </c>
      <c r="H13575" s="1" t="str">
        <f>HYPERLINK("http://www.weizmann.ac.il/complex/compphys/software/geview/data/figures/204419_x_at.png","Figure")</f>
        <v>Figure</v>
      </c>
      <c r="I13575">
        <v>1.82</v>
      </c>
      <c r="J13575">
        <v>0.7</v>
      </c>
      <c r="K13575">
        <v>0.76800000000000002</v>
      </c>
      <c r="L13575">
        <v>0.91</v>
      </c>
      <c r="M13575">
        <v>0.42099999999999999</v>
      </c>
      <c r="N13575">
        <v>0.44</v>
      </c>
    </row>
    <row r="13576" spans="1:14" x14ac:dyDescent="0.25">
      <c r="A13576" t="s">
        <v>23159</v>
      </c>
      <c r="B13576" t="s">
        <v>8819</v>
      </c>
      <c r="C13576" s="1" t="str">
        <f>HYPERLINK("http://www.genecards.org/cgi-bin/carddisp.pl?gene=C1orf107","GeneCards")</f>
        <v>GeneCards</v>
      </c>
      <c r="D13576" s="1" t="str">
        <f>HYPERLINK("http://genome-euro.ucsc.edu/cgi-bin/hgTracks?position=220251_at","UCSC")</f>
        <v>UCSC</v>
      </c>
      <c r="E13576" s="1" t="str">
        <f>HYPERLINK("http://www.ncbi.nlm.nih.gov/gene/?term=C1orf107","NCBI")</f>
        <v>NCBI</v>
      </c>
      <c r="F13576">
        <v>0.47</v>
      </c>
      <c r="G13576">
        <v>0.59</v>
      </c>
      <c r="H13576" s="1" t="str">
        <f>HYPERLINK("http://www.weizmann.ac.il/complex/compphys/software/geview/data/figures/220251_at.png","Figure")</f>
        <v>Figure</v>
      </c>
      <c r="I13576">
        <v>0.92100000000000004</v>
      </c>
      <c r="J13576">
        <v>0.66</v>
      </c>
      <c r="K13576">
        <v>1.03</v>
      </c>
      <c r="L13576">
        <v>0.95</v>
      </c>
      <c r="M13576">
        <v>1.1100000000000001</v>
      </c>
      <c r="N13576">
        <v>0.44</v>
      </c>
    </row>
    <row r="13577" spans="1:14" x14ac:dyDescent="0.25">
      <c r="A13577" t="s">
        <v>23160</v>
      </c>
      <c r="B13577" t="s">
        <v>23161</v>
      </c>
      <c r="C13577" s="1" t="str">
        <f>HYPERLINK("http://www.genecards.org/cgi-bin/carddisp.pl?gene=ASB13","GeneCards")</f>
        <v>GeneCards</v>
      </c>
      <c r="D13577" s="1" t="str">
        <f>HYPERLINK("http://genome-euro.ucsc.edu/cgi-bin/hgTracks?position=218862_at","UCSC")</f>
        <v>UCSC</v>
      </c>
      <c r="E13577" s="1" t="str">
        <f>HYPERLINK("http://www.ncbi.nlm.nih.gov/gene/?term=ASB13","NCBI")</f>
        <v>NCBI</v>
      </c>
      <c r="F13577">
        <v>0.47</v>
      </c>
      <c r="G13577">
        <v>0.59</v>
      </c>
      <c r="H13577" s="1" t="str">
        <f>HYPERLINK("http://www.weizmann.ac.il/complex/compphys/software/geview/data/figures/218862_at.png","Figure")</f>
        <v>Figure</v>
      </c>
      <c r="I13577">
        <v>1.1299999999999999</v>
      </c>
      <c r="J13577">
        <v>0.82</v>
      </c>
      <c r="K13577">
        <v>0.89</v>
      </c>
      <c r="L13577">
        <v>0.79</v>
      </c>
      <c r="M13577">
        <v>0.78700000000000003</v>
      </c>
      <c r="N13577">
        <v>0.44</v>
      </c>
    </row>
    <row r="13578" spans="1:14" x14ac:dyDescent="0.25">
      <c r="A13578" t="s">
        <v>23162</v>
      </c>
      <c r="B13578" t="s">
        <v>7832</v>
      </c>
      <c r="C13578" s="1" t="str">
        <f>HYPERLINK("http://www.genecards.org/cgi-bin/carddisp.pl?gene=EIF4B","GeneCards")</f>
        <v>GeneCards</v>
      </c>
      <c r="D13578" s="1" t="str">
        <f>HYPERLINK("http://genome-euro.ucsc.edu/cgi-bin/hgTracks?position=219599_at","UCSC")</f>
        <v>UCSC</v>
      </c>
      <c r="E13578" s="1" t="str">
        <f>HYPERLINK("http://www.ncbi.nlm.nih.gov/gene/?term=EIF4B","NCBI")</f>
        <v>NCBI</v>
      </c>
      <c r="F13578">
        <v>0.47</v>
      </c>
      <c r="G13578">
        <v>0.59</v>
      </c>
      <c r="H13578" s="1" t="str">
        <f>HYPERLINK("http://www.weizmann.ac.il/complex/compphys/software/geview/data/figures/219599_at.png","Figure")</f>
        <v>Figure</v>
      </c>
      <c r="I13578">
        <v>1.25</v>
      </c>
      <c r="J13578">
        <v>0.49</v>
      </c>
      <c r="K13578">
        <v>1.18</v>
      </c>
      <c r="L13578">
        <v>0.59</v>
      </c>
      <c r="M13578">
        <v>0.94499999999999995</v>
      </c>
      <c r="N13578">
        <v>0.94</v>
      </c>
    </row>
    <row r="13579" spans="1:14" x14ac:dyDescent="0.25">
      <c r="A13579" t="s">
        <v>23163</v>
      </c>
      <c r="B13579" t="s">
        <v>23164</v>
      </c>
      <c r="C13579" s="1" t="str">
        <f>HYPERLINK("http://www.genecards.org/cgi-bin/carddisp.pl?gene=NEUROG1","GeneCards")</f>
        <v>GeneCards</v>
      </c>
      <c r="D13579" s="1" t="str">
        <f>HYPERLINK("http://genome-euro.ucsc.edu/cgi-bin/hgTracks?position=208497_x_at","UCSC")</f>
        <v>UCSC</v>
      </c>
      <c r="E13579" s="1" t="str">
        <f>HYPERLINK("http://www.ncbi.nlm.nih.gov/gene/?term=NEUROG1","NCBI")</f>
        <v>NCBI</v>
      </c>
      <c r="F13579">
        <v>0.47</v>
      </c>
      <c r="G13579">
        <v>0.59</v>
      </c>
      <c r="H13579" s="1" t="str">
        <f>HYPERLINK("http://www.weizmann.ac.il/complex/compphys/software/geview/data/figures/208497_x_at.png","Figure")</f>
        <v>Figure</v>
      </c>
      <c r="I13579">
        <v>1.04</v>
      </c>
      <c r="J13579">
        <v>0.71</v>
      </c>
      <c r="K13579">
        <v>1.06</v>
      </c>
      <c r="L13579">
        <v>0.45</v>
      </c>
      <c r="M13579">
        <v>1.02</v>
      </c>
      <c r="N13579">
        <v>0.95</v>
      </c>
    </row>
    <row r="13580" spans="1:14" x14ac:dyDescent="0.25">
      <c r="A13580" t="s">
        <v>23165</v>
      </c>
      <c r="B13580" t="s">
        <v>23166</v>
      </c>
      <c r="C13580" s="1" t="str">
        <f>HYPERLINK("http://www.genecards.org/cgi-bin/carddisp.pl?gene=AGPS","GeneCards")</f>
        <v>GeneCards</v>
      </c>
      <c r="D13580" s="1" t="str">
        <f>HYPERLINK("http://genome-euro.ucsc.edu/cgi-bin/hgTracks?position=205401_at","UCSC")</f>
        <v>UCSC</v>
      </c>
      <c r="E13580" s="1" t="str">
        <f>HYPERLINK("http://www.ncbi.nlm.nih.gov/gene/?term=AGPS","NCBI")</f>
        <v>NCBI</v>
      </c>
      <c r="F13580">
        <v>0.47</v>
      </c>
      <c r="G13580">
        <v>0.59</v>
      </c>
      <c r="H13580" s="1" t="str">
        <f>HYPERLINK("http://www.weizmann.ac.il/complex/compphys/software/geview/data/figures/205401_at.png","Figure")</f>
        <v>Figure</v>
      </c>
      <c r="I13580">
        <v>0.89800000000000002</v>
      </c>
      <c r="J13580">
        <v>0.64</v>
      </c>
      <c r="K13580">
        <v>1.03</v>
      </c>
      <c r="L13580">
        <v>0.96</v>
      </c>
      <c r="M13580">
        <v>1.1499999999999999</v>
      </c>
      <c r="N13580">
        <v>0.45</v>
      </c>
    </row>
    <row r="13581" spans="1:14" x14ac:dyDescent="0.25">
      <c r="A13581" t="s">
        <v>23167</v>
      </c>
      <c r="B13581" t="s">
        <v>5742</v>
      </c>
      <c r="C13581" s="1" t="str">
        <f>HYPERLINK("http://www.genecards.org/cgi-bin/carddisp.pl?gene=PAX8","GeneCards")</f>
        <v>GeneCards</v>
      </c>
      <c r="D13581" s="1" t="str">
        <f>HYPERLINK("http://genome-euro.ucsc.edu/cgi-bin/hgTracks?position=207923_x_at","UCSC")</f>
        <v>UCSC</v>
      </c>
      <c r="E13581" s="1" t="str">
        <f>HYPERLINK("http://www.ncbi.nlm.nih.gov/gene/?term=PAX8","NCBI")</f>
        <v>NCBI</v>
      </c>
      <c r="F13581">
        <v>0.47</v>
      </c>
      <c r="G13581">
        <v>0.59</v>
      </c>
      <c r="H13581" s="1" t="str">
        <f>HYPERLINK("http://www.weizmann.ac.il/complex/compphys/software/geview/data/figures/207923_x_at.png","Figure")</f>
        <v>Figure</v>
      </c>
      <c r="I13581">
        <v>0.91800000000000004</v>
      </c>
      <c r="J13581">
        <v>0.62</v>
      </c>
      <c r="K13581">
        <v>1.02</v>
      </c>
      <c r="L13581">
        <v>0.97</v>
      </c>
      <c r="M13581">
        <v>1.1100000000000001</v>
      </c>
      <c r="N13581">
        <v>0.46</v>
      </c>
    </row>
    <row r="13582" spans="1:14" x14ac:dyDescent="0.25">
      <c r="A13582" t="s">
        <v>23168</v>
      </c>
      <c r="B13582" t="s">
        <v>5437</v>
      </c>
      <c r="C13582" s="1" t="str">
        <f>HYPERLINK("http://www.genecards.org/cgi-bin/carddisp.pl?gene=ABCC3","GeneCards")</f>
        <v>GeneCards</v>
      </c>
      <c r="D13582" s="1" t="str">
        <f>HYPERLINK("http://genome-euro.ucsc.edu/cgi-bin/hgTracks?position=208161_s_at","UCSC")</f>
        <v>UCSC</v>
      </c>
      <c r="E13582" s="1" t="str">
        <f>HYPERLINK("http://www.ncbi.nlm.nih.gov/gene/?term=ABCC3","NCBI")</f>
        <v>NCBI</v>
      </c>
      <c r="F13582">
        <v>0.47</v>
      </c>
      <c r="G13582">
        <v>0.59</v>
      </c>
      <c r="H13582" s="1" t="str">
        <f>HYPERLINK("http://www.weizmann.ac.il/complex/compphys/software/geview/data/figures/208161_s_at.png","Figure")</f>
        <v>Figure</v>
      </c>
      <c r="I13582">
        <v>1</v>
      </c>
      <c r="J13582">
        <v>1</v>
      </c>
      <c r="K13582">
        <v>0.95</v>
      </c>
      <c r="L13582">
        <v>0.54</v>
      </c>
      <c r="M13582">
        <v>0.95</v>
      </c>
      <c r="N13582">
        <v>0.57999999999999996</v>
      </c>
    </row>
    <row r="13583" spans="1:14" x14ac:dyDescent="0.25">
      <c r="A13583" t="s">
        <v>23169</v>
      </c>
      <c r="B13583" t="s">
        <v>20622</v>
      </c>
      <c r="C13583" s="1" t="str">
        <f>HYPERLINK("http://www.genecards.org/cgi-bin/carddisp.pl?gene=C19orf66","GeneCards")</f>
        <v>GeneCards</v>
      </c>
      <c r="D13583" s="1" t="str">
        <f>HYPERLINK("http://genome-euro.ucsc.edu/cgi-bin/hgTracks?position=218429_s_at","UCSC")</f>
        <v>UCSC</v>
      </c>
      <c r="E13583" s="1" t="str">
        <f>HYPERLINK("http://www.ncbi.nlm.nih.gov/gene/?term=C19orf66","NCBI")</f>
        <v>NCBI</v>
      </c>
      <c r="F13583">
        <v>0.47</v>
      </c>
      <c r="G13583">
        <v>0.59</v>
      </c>
      <c r="H13583" s="1" t="str">
        <f>HYPERLINK("http://www.weizmann.ac.il/complex/compphys/software/geview/data/figures/218429_s_at.png","Figure")</f>
        <v>Figure</v>
      </c>
      <c r="I13583">
        <v>1.1399999999999999</v>
      </c>
      <c r="J13583">
        <v>0.46</v>
      </c>
      <c r="K13583">
        <v>1.08</v>
      </c>
      <c r="L13583">
        <v>0.66</v>
      </c>
      <c r="M13583">
        <v>0.95399999999999996</v>
      </c>
      <c r="N13583">
        <v>0.88</v>
      </c>
    </row>
    <row r="13584" spans="1:14" x14ac:dyDescent="0.25">
      <c r="A13584" t="s">
        <v>23170</v>
      </c>
      <c r="B13584" t="s">
        <v>14950</v>
      </c>
      <c r="C13584" s="1" t="str">
        <f>HYPERLINK("http://www.genecards.org/cgi-bin/carddisp.pl?gene=FXR2","GeneCards")</f>
        <v>GeneCards</v>
      </c>
      <c r="D13584" s="1" t="str">
        <f>HYPERLINK("http://genome-euro.ucsc.edu/cgi-bin/hgTracks?position=222050_at","UCSC")</f>
        <v>UCSC</v>
      </c>
      <c r="E13584" s="1" t="str">
        <f>HYPERLINK("http://www.ncbi.nlm.nih.gov/gene/?term=FXR2","NCBI")</f>
        <v>NCBI</v>
      </c>
      <c r="F13584">
        <v>0.47</v>
      </c>
      <c r="G13584">
        <v>0.59</v>
      </c>
      <c r="H13584" s="1" t="str">
        <f>HYPERLINK("http://www.weizmann.ac.il/complex/compphys/software/geview/data/figures/222050_at.png","Figure")</f>
        <v>Figure</v>
      </c>
      <c r="I13584">
        <v>1.06</v>
      </c>
      <c r="J13584">
        <v>0.71</v>
      </c>
      <c r="K13584">
        <v>1.08</v>
      </c>
      <c r="L13584">
        <v>0.45</v>
      </c>
      <c r="M13584">
        <v>1.02</v>
      </c>
      <c r="N13584">
        <v>0.95</v>
      </c>
    </row>
    <row r="13585" spans="1:14" x14ac:dyDescent="0.25">
      <c r="A13585" t="s">
        <v>23171</v>
      </c>
      <c r="B13585" t="s">
        <v>23172</v>
      </c>
      <c r="C13585" s="1" t="str">
        <f>HYPERLINK("http://www.genecards.org/cgi-bin/carddisp.pl?gene=A4GALT","GeneCards")</f>
        <v>GeneCards</v>
      </c>
      <c r="D13585" s="1" t="str">
        <f>HYPERLINK("http://genome-euro.ucsc.edu/cgi-bin/hgTracks?position=219488_at","UCSC")</f>
        <v>UCSC</v>
      </c>
      <c r="E13585" s="1" t="str">
        <f>HYPERLINK("http://www.ncbi.nlm.nih.gov/gene/?term=A4GALT","NCBI")</f>
        <v>NCBI</v>
      </c>
      <c r="F13585">
        <v>0.47</v>
      </c>
      <c r="G13585">
        <v>0.59</v>
      </c>
      <c r="H13585" s="1" t="str">
        <f>HYPERLINK("http://www.weizmann.ac.il/complex/compphys/software/geview/data/figures/219488_at.png","Figure")</f>
        <v>Figure</v>
      </c>
      <c r="I13585">
        <v>1.1000000000000001</v>
      </c>
      <c r="J13585">
        <v>0.53</v>
      </c>
      <c r="K13585">
        <v>1.08</v>
      </c>
      <c r="L13585">
        <v>0.54</v>
      </c>
      <c r="M13585">
        <v>0.98699999999999999</v>
      </c>
      <c r="N13585">
        <v>0.98</v>
      </c>
    </row>
    <row r="13586" spans="1:14" x14ac:dyDescent="0.25">
      <c r="A13586" t="s">
        <v>23173</v>
      </c>
      <c r="B13586" t="s">
        <v>11208</v>
      </c>
      <c r="C13586" s="1" t="str">
        <f>HYPERLINK("http://www.genecards.org/cgi-bin/carddisp.pl?gene=KDM6A","GeneCards")</f>
        <v>GeneCards</v>
      </c>
      <c r="D13586" s="1" t="str">
        <f>HYPERLINK("http://genome-euro.ucsc.edu/cgi-bin/hgTracks?position=203990_s_at","UCSC")</f>
        <v>UCSC</v>
      </c>
      <c r="E13586" s="1" t="str">
        <f>HYPERLINK("http://www.ncbi.nlm.nih.gov/gene/?term=KDM6A","NCBI")</f>
        <v>NCBI</v>
      </c>
      <c r="F13586">
        <v>0.47</v>
      </c>
      <c r="G13586">
        <v>0.59</v>
      </c>
      <c r="H13586" s="1" t="str">
        <f>HYPERLINK("http://www.weizmann.ac.il/complex/compphys/software/geview/data/figures/203990_s_at.png","Figure")</f>
        <v>Figure</v>
      </c>
      <c r="I13586">
        <v>0.82699999999999996</v>
      </c>
      <c r="J13586">
        <v>0.61</v>
      </c>
      <c r="K13586">
        <v>0.81399999999999995</v>
      </c>
      <c r="L13586">
        <v>0.48</v>
      </c>
      <c r="M13586">
        <v>0.98399999999999999</v>
      </c>
      <c r="N13586">
        <v>1</v>
      </c>
    </row>
    <row r="13587" spans="1:14" x14ac:dyDescent="0.25">
      <c r="A13587" t="s">
        <v>23174</v>
      </c>
      <c r="B13587" t="s">
        <v>1885</v>
      </c>
      <c r="C13587" s="1" t="str">
        <f>HYPERLINK("http://www.genecards.org/cgi-bin/carddisp.pl?gene=GNA11","GeneCards")</f>
        <v>GeneCards</v>
      </c>
      <c r="D13587" s="1" t="str">
        <f>HYPERLINK("http://genome-euro.ucsc.edu/cgi-bin/hgTracks?position=214679_x_at","UCSC")</f>
        <v>UCSC</v>
      </c>
      <c r="E13587" s="1" t="str">
        <f>HYPERLINK("http://www.ncbi.nlm.nih.gov/gene/?term=GNA11","NCBI")</f>
        <v>NCBI</v>
      </c>
      <c r="F13587">
        <v>0.47</v>
      </c>
      <c r="G13587">
        <v>0.59</v>
      </c>
      <c r="H13587" s="1" t="str">
        <f>HYPERLINK("http://www.weizmann.ac.il/complex/compphys/software/geview/data/figures/214679_x_at.png","Figure")</f>
        <v>Figure</v>
      </c>
      <c r="I13587">
        <v>0.995</v>
      </c>
      <c r="J13587">
        <v>1</v>
      </c>
      <c r="K13587">
        <v>1.07</v>
      </c>
      <c r="L13587">
        <v>0.56000000000000005</v>
      </c>
      <c r="M13587">
        <v>1.08</v>
      </c>
      <c r="N13587">
        <v>0.56000000000000005</v>
      </c>
    </row>
    <row r="13588" spans="1:14" x14ac:dyDescent="0.25">
      <c r="A13588" t="s">
        <v>23175</v>
      </c>
      <c r="B13588" t="s">
        <v>4582</v>
      </c>
      <c r="C13588" s="1" t="str">
        <f>HYPERLINK("http://www.genecards.org/cgi-bin/carddisp.pl?gene=U2AF2","GeneCards")</f>
        <v>GeneCards</v>
      </c>
      <c r="D13588" s="1" t="str">
        <f>HYPERLINK("http://genome-euro.ucsc.edu/cgi-bin/hgTracks?position=218381_s_at","UCSC")</f>
        <v>UCSC</v>
      </c>
      <c r="E13588" s="1" t="str">
        <f>HYPERLINK("http://www.ncbi.nlm.nih.gov/gene/?term=U2AF2","NCBI")</f>
        <v>NCBI</v>
      </c>
      <c r="F13588">
        <v>0.47</v>
      </c>
      <c r="G13588">
        <v>0.59</v>
      </c>
      <c r="H13588" s="1" t="str">
        <f>HYPERLINK("http://www.weizmann.ac.il/complex/compphys/software/geview/data/figures/218381_s_at.png","Figure")</f>
        <v>Figure</v>
      </c>
      <c r="I13588">
        <v>1.08</v>
      </c>
      <c r="J13588">
        <v>0.92</v>
      </c>
      <c r="K13588">
        <v>0.86299999999999999</v>
      </c>
      <c r="L13588">
        <v>0.69</v>
      </c>
      <c r="M13588">
        <v>0.79700000000000004</v>
      </c>
      <c r="N13588">
        <v>0.47</v>
      </c>
    </row>
    <row r="13589" spans="1:14" x14ac:dyDescent="0.25">
      <c r="A13589" t="s">
        <v>23176</v>
      </c>
      <c r="B13589" t="s">
        <v>21682</v>
      </c>
      <c r="C13589" s="1" t="str">
        <f>HYPERLINK("http://www.genecards.org/cgi-bin/carddisp.pl?gene=FBXO38","GeneCards")</f>
        <v>GeneCards</v>
      </c>
      <c r="D13589" s="1" t="str">
        <f>HYPERLINK("http://genome-euro.ucsc.edu/cgi-bin/hgTracks?position=221257_x_at","UCSC")</f>
        <v>UCSC</v>
      </c>
      <c r="E13589" s="1" t="str">
        <f>HYPERLINK("http://www.ncbi.nlm.nih.gov/gene/?term=FBXO38","NCBI")</f>
        <v>NCBI</v>
      </c>
      <c r="F13589">
        <v>0.47</v>
      </c>
      <c r="G13589">
        <v>0.59</v>
      </c>
      <c r="H13589" s="1" t="str">
        <f>HYPERLINK("http://www.weizmann.ac.il/complex/compphys/software/geview/data/figures/221257_x_at.png","Figure")</f>
        <v>Figure</v>
      </c>
      <c r="I13589">
        <v>0.77500000000000002</v>
      </c>
      <c r="J13589">
        <v>0.57999999999999996</v>
      </c>
      <c r="K13589">
        <v>0.77300000000000002</v>
      </c>
      <c r="L13589">
        <v>0.49</v>
      </c>
      <c r="M13589">
        <v>0.998</v>
      </c>
      <c r="N13589">
        <v>1</v>
      </c>
    </row>
    <row r="13590" spans="1:14" x14ac:dyDescent="0.25">
      <c r="A13590" t="s">
        <v>23177</v>
      </c>
      <c r="B13590" t="s">
        <v>12113</v>
      </c>
      <c r="C13590" s="1" t="str">
        <f>HYPERLINK("http://www.genecards.org/cgi-bin/carddisp.pl?gene=ZNF500","GeneCards")</f>
        <v>GeneCards</v>
      </c>
      <c r="D13590" s="1" t="str">
        <f>HYPERLINK("http://genome-euro.ucsc.edu/cgi-bin/hgTracks?position=41113_at","UCSC")</f>
        <v>UCSC</v>
      </c>
      <c r="E13590" s="1" t="str">
        <f>HYPERLINK("http://www.ncbi.nlm.nih.gov/gene/?term=ZNF500","NCBI")</f>
        <v>NCBI</v>
      </c>
      <c r="F13590">
        <v>0.47</v>
      </c>
      <c r="G13590">
        <v>0.59</v>
      </c>
      <c r="H13590" s="1" t="str">
        <f>HYPERLINK("http://www.weizmann.ac.il/complex/compphys/software/geview/data/figures/41113_at.png","Figure")</f>
        <v>Figure</v>
      </c>
      <c r="I13590">
        <v>1.08</v>
      </c>
      <c r="J13590">
        <v>0.67</v>
      </c>
      <c r="K13590">
        <v>0.97499999999999998</v>
      </c>
      <c r="L13590">
        <v>0.94</v>
      </c>
      <c r="M13590">
        <v>0.90400000000000003</v>
      </c>
      <c r="N13590">
        <v>0.44</v>
      </c>
    </row>
    <row r="13591" spans="1:14" x14ac:dyDescent="0.25">
      <c r="A13591" t="s">
        <v>23178</v>
      </c>
      <c r="B13591" t="s">
        <v>23179</v>
      </c>
      <c r="C13591" s="1" t="str">
        <f>HYPERLINK("http://www.genecards.org/cgi-bin/carddisp.pl?gene=ZNHIT1","GeneCards")</f>
        <v>GeneCards</v>
      </c>
      <c r="D13591" s="1" t="str">
        <f>HYPERLINK("http://genome-euro.ucsc.edu/cgi-bin/hgTracks?position=201541_s_at","UCSC")</f>
        <v>UCSC</v>
      </c>
      <c r="E13591" s="1" t="str">
        <f>HYPERLINK("http://www.ncbi.nlm.nih.gov/gene/?term=ZNHIT1","NCBI")</f>
        <v>NCBI</v>
      </c>
      <c r="F13591">
        <v>0.47</v>
      </c>
      <c r="G13591">
        <v>0.59</v>
      </c>
      <c r="H13591" s="1" t="str">
        <f>HYPERLINK("http://www.weizmann.ac.il/complex/compphys/software/geview/data/figures/201541_s_at.png","Figure")</f>
        <v>Figure</v>
      </c>
      <c r="I13591">
        <v>0.97299999999999998</v>
      </c>
      <c r="J13591">
        <v>0.96</v>
      </c>
      <c r="K13591">
        <v>1.08</v>
      </c>
      <c r="L13591">
        <v>0.64</v>
      </c>
      <c r="M13591">
        <v>1.1100000000000001</v>
      </c>
      <c r="N13591">
        <v>0.5</v>
      </c>
    </row>
    <row r="13592" spans="1:14" x14ac:dyDescent="0.25">
      <c r="A13592" t="s">
        <v>23180</v>
      </c>
      <c r="B13592" t="s">
        <v>23181</v>
      </c>
      <c r="C13592" s="1" t="str">
        <f>HYPERLINK("http://www.genecards.org/cgi-bin/carddisp.pl?gene=SLC17A1","GeneCards")</f>
        <v>GeneCards</v>
      </c>
      <c r="D13592" s="1" t="str">
        <f>HYPERLINK("http://genome-euro.ucsc.edu/cgi-bin/hgTracks?position=206872_at","UCSC")</f>
        <v>UCSC</v>
      </c>
      <c r="E13592" s="1" t="str">
        <f>HYPERLINK("http://www.ncbi.nlm.nih.gov/gene/?term=SLC17A1","NCBI")</f>
        <v>NCBI</v>
      </c>
      <c r="F13592">
        <v>0.47</v>
      </c>
      <c r="G13592">
        <v>0.59</v>
      </c>
      <c r="H13592" s="1" t="str">
        <f>HYPERLINK("http://www.weizmann.ac.il/complex/compphys/software/geview/data/figures/206872_at.png","Figure")</f>
        <v>Figure</v>
      </c>
      <c r="I13592">
        <v>1.08</v>
      </c>
      <c r="J13592">
        <v>0.64</v>
      </c>
      <c r="K13592">
        <v>0.98</v>
      </c>
      <c r="L13592">
        <v>0.96</v>
      </c>
      <c r="M13592">
        <v>0.91100000000000003</v>
      </c>
      <c r="N13592">
        <v>0.45</v>
      </c>
    </row>
    <row r="13593" spans="1:14" x14ac:dyDescent="0.25">
      <c r="A13593" t="s">
        <v>23182</v>
      </c>
      <c r="B13593" t="s">
        <v>8447</v>
      </c>
      <c r="C13593" s="1" t="str">
        <f>HYPERLINK("http://www.genecards.org/cgi-bin/carddisp.pl?gene=TBXA2R","GeneCards")</f>
        <v>GeneCards</v>
      </c>
      <c r="D13593" s="1" t="str">
        <f>HYPERLINK("http://genome-euro.ucsc.edu/cgi-bin/hgTracks?position=207555_s_at","UCSC")</f>
        <v>UCSC</v>
      </c>
      <c r="E13593" s="1" t="str">
        <f>HYPERLINK("http://www.ncbi.nlm.nih.gov/gene/?term=TBXA2R","NCBI")</f>
        <v>NCBI</v>
      </c>
      <c r="F13593">
        <v>0.47</v>
      </c>
      <c r="G13593">
        <v>0.59</v>
      </c>
      <c r="H13593" s="1" t="str">
        <f>HYPERLINK("http://www.weizmann.ac.il/complex/compphys/software/geview/data/figures/207555_s_at.png","Figure")</f>
        <v>Figure</v>
      </c>
      <c r="I13593">
        <v>1.04</v>
      </c>
      <c r="J13593">
        <v>0.88</v>
      </c>
      <c r="K13593">
        <v>0.94799999999999995</v>
      </c>
      <c r="L13593">
        <v>0.73</v>
      </c>
      <c r="M13593">
        <v>0.91300000000000003</v>
      </c>
      <c r="N13593">
        <v>0.46</v>
      </c>
    </row>
    <row r="13594" spans="1:14" x14ac:dyDescent="0.25">
      <c r="A13594" t="s">
        <v>23183</v>
      </c>
      <c r="B13594" t="s">
        <v>23184</v>
      </c>
      <c r="C13594" s="1" t="str">
        <f>HYPERLINK("http://www.genecards.org/cgi-bin/carddisp.pl?gene=C12orf5","GeneCards")</f>
        <v>GeneCards</v>
      </c>
      <c r="D13594" s="1" t="str">
        <f>HYPERLINK("http://genome-euro.ucsc.edu/cgi-bin/hgTracks?position=219099_at","UCSC")</f>
        <v>UCSC</v>
      </c>
      <c r="E13594" s="1" t="str">
        <f>HYPERLINK("http://www.ncbi.nlm.nih.gov/gene/?term=C12orf5","NCBI")</f>
        <v>NCBI</v>
      </c>
      <c r="F13594">
        <v>0.47</v>
      </c>
      <c r="G13594">
        <v>0.59</v>
      </c>
      <c r="H13594" s="1" t="str">
        <f>HYPERLINK("http://www.weizmann.ac.il/complex/compphys/software/geview/data/figures/219099_at.png","Figure")</f>
        <v>Figure</v>
      </c>
      <c r="I13594">
        <v>0.73099999999999998</v>
      </c>
      <c r="J13594">
        <v>0.49</v>
      </c>
      <c r="K13594">
        <v>0.78900000000000003</v>
      </c>
      <c r="L13594">
        <v>0.57999999999999996</v>
      </c>
      <c r="M13594">
        <v>1.08</v>
      </c>
      <c r="N13594">
        <v>0.95</v>
      </c>
    </row>
    <row r="13595" spans="1:14" x14ac:dyDescent="0.25">
      <c r="A13595" t="s">
        <v>23185</v>
      </c>
      <c r="B13595" t="s">
        <v>235</v>
      </c>
      <c r="C13595" s="1" t="str">
        <f>HYPERLINK("http://www.genecards.org/cgi-bin/carddisp.pl?gene=ARHGEF4","GeneCards")</f>
        <v>GeneCards</v>
      </c>
      <c r="D13595" s="1" t="str">
        <f>HYPERLINK("http://genome-euro.ucsc.edu/cgi-bin/hgTracks?position=216912_at","UCSC")</f>
        <v>UCSC</v>
      </c>
      <c r="E13595" s="1" t="str">
        <f>HYPERLINK("http://www.ncbi.nlm.nih.gov/gene/?term=ARHGEF4","NCBI")</f>
        <v>NCBI</v>
      </c>
      <c r="F13595">
        <v>0.47</v>
      </c>
      <c r="G13595">
        <v>0.59</v>
      </c>
      <c r="H13595" s="1" t="str">
        <f>HYPERLINK("http://www.weizmann.ac.il/complex/compphys/software/geview/data/figures/216912_at.png","Figure")</f>
        <v>Figure</v>
      </c>
      <c r="I13595">
        <v>1.01</v>
      </c>
      <c r="J13595">
        <v>0.98</v>
      </c>
      <c r="K13595">
        <v>0.96699999999999997</v>
      </c>
      <c r="L13595">
        <v>0.6</v>
      </c>
      <c r="M13595">
        <v>0.96</v>
      </c>
      <c r="N13595">
        <v>0.52</v>
      </c>
    </row>
    <row r="13596" spans="1:14" x14ac:dyDescent="0.25">
      <c r="A13596" t="s">
        <v>23186</v>
      </c>
      <c r="B13596" t="s">
        <v>23187</v>
      </c>
      <c r="C13596" s="1" t="str">
        <f>HYPERLINK("http://www.genecards.org/cgi-bin/carddisp.pl?gene=RALB","GeneCards")</f>
        <v>GeneCards</v>
      </c>
      <c r="D13596" s="1" t="str">
        <f>HYPERLINK("http://genome-euro.ucsc.edu/cgi-bin/hgTracks?position=202101_s_at","UCSC")</f>
        <v>UCSC</v>
      </c>
      <c r="E13596" s="1" t="str">
        <f>HYPERLINK("http://www.ncbi.nlm.nih.gov/gene/?term=RALB","NCBI")</f>
        <v>NCBI</v>
      </c>
      <c r="F13596">
        <v>0.47</v>
      </c>
      <c r="G13596">
        <v>0.59</v>
      </c>
      <c r="H13596" s="1" t="str">
        <f>HYPERLINK("http://www.weizmann.ac.il/complex/compphys/software/geview/data/figures/202101_s_at.png","Figure")</f>
        <v>Figure</v>
      </c>
      <c r="I13596">
        <v>0.92500000000000004</v>
      </c>
      <c r="J13596">
        <v>0.56999999999999995</v>
      </c>
      <c r="K13596">
        <v>1.01</v>
      </c>
      <c r="L13596">
        <v>0.99</v>
      </c>
      <c r="M13596">
        <v>1.0900000000000001</v>
      </c>
      <c r="N13596">
        <v>0.47</v>
      </c>
    </row>
    <row r="13597" spans="1:14" x14ac:dyDescent="0.25">
      <c r="A13597" t="s">
        <v>23188</v>
      </c>
      <c r="B13597" t="s">
        <v>23189</v>
      </c>
      <c r="C13597" s="1" t="str">
        <f>HYPERLINK("http://www.genecards.org/cgi-bin/carddisp.pl?gene=RALGPS1","GeneCards")</f>
        <v>GeneCards</v>
      </c>
      <c r="D13597" s="1" t="str">
        <f>HYPERLINK("http://genome-euro.ucsc.edu/cgi-bin/hgTracks?position=204199_at","UCSC")</f>
        <v>UCSC</v>
      </c>
      <c r="E13597" s="1" t="str">
        <f>HYPERLINK("http://www.ncbi.nlm.nih.gov/gene/?term=RALGPS1","NCBI")</f>
        <v>NCBI</v>
      </c>
      <c r="F13597">
        <v>0.47</v>
      </c>
      <c r="G13597">
        <v>0.59</v>
      </c>
      <c r="H13597" s="1" t="str">
        <f>HYPERLINK("http://www.weizmann.ac.il/complex/compphys/software/geview/data/figures/204199_at.png","Figure")</f>
        <v>Figure</v>
      </c>
      <c r="I13597">
        <v>1.1200000000000001</v>
      </c>
      <c r="J13597">
        <v>0.88</v>
      </c>
      <c r="K13597">
        <v>0.86099999999999999</v>
      </c>
      <c r="L13597">
        <v>0.74</v>
      </c>
      <c r="M13597">
        <v>0.77</v>
      </c>
      <c r="N13597">
        <v>0.46</v>
      </c>
    </row>
    <row r="13598" spans="1:14" x14ac:dyDescent="0.25">
      <c r="A13598" t="s">
        <v>23190</v>
      </c>
      <c r="B13598" t="s">
        <v>23191</v>
      </c>
      <c r="C13598" s="1" t="str">
        <f>HYPERLINK("http://www.genecards.org/cgi-bin/carddisp.pl?gene=BMP8B","GeneCards")</f>
        <v>GeneCards</v>
      </c>
      <c r="D13598" s="1" t="str">
        <f>HYPERLINK("http://genome-euro.ucsc.edu/cgi-bin/hgTracks?position=207865_s_at","UCSC")</f>
        <v>UCSC</v>
      </c>
      <c r="E13598" s="1" t="str">
        <f>HYPERLINK("http://www.ncbi.nlm.nih.gov/gene/?term=BMP8B","NCBI")</f>
        <v>NCBI</v>
      </c>
      <c r="F13598">
        <v>0.47</v>
      </c>
      <c r="G13598">
        <v>0.59</v>
      </c>
      <c r="H13598" s="1" t="str">
        <f>HYPERLINK("http://www.weizmann.ac.il/complex/compphys/software/geview/data/figures/207865_s_at.png","Figure")</f>
        <v>Figure</v>
      </c>
      <c r="I13598">
        <v>1.01</v>
      </c>
      <c r="J13598">
        <v>0.93</v>
      </c>
      <c r="K13598">
        <v>1.02</v>
      </c>
      <c r="L13598">
        <v>0.46</v>
      </c>
      <c r="M13598">
        <v>1.01</v>
      </c>
      <c r="N13598">
        <v>0.73</v>
      </c>
    </row>
    <row r="13599" spans="1:14" x14ac:dyDescent="0.25">
      <c r="A13599" t="s">
        <v>23192</v>
      </c>
      <c r="B13599" t="s">
        <v>10034</v>
      </c>
      <c r="C13599" s="1" t="str">
        <f>HYPERLINK("http://www.genecards.org/cgi-bin/carddisp.pl?gene=ACLY","GeneCards")</f>
        <v>GeneCards</v>
      </c>
      <c r="D13599" s="1" t="str">
        <f>HYPERLINK("http://genome-euro.ucsc.edu/cgi-bin/hgTracks?position=210337_s_at","UCSC")</f>
        <v>UCSC</v>
      </c>
      <c r="E13599" s="1" t="str">
        <f>HYPERLINK("http://www.ncbi.nlm.nih.gov/gene/?term=ACLY","NCBI")</f>
        <v>NCBI</v>
      </c>
      <c r="F13599">
        <v>0.47</v>
      </c>
      <c r="G13599">
        <v>0.59</v>
      </c>
      <c r="H13599" s="1" t="str">
        <f>HYPERLINK("http://www.weizmann.ac.il/complex/compphys/software/geview/data/figures/210337_s_at.png","Figure")</f>
        <v>Figure</v>
      </c>
      <c r="I13599">
        <v>0.91900000000000004</v>
      </c>
      <c r="J13599">
        <v>0.8</v>
      </c>
      <c r="K13599">
        <v>1.07</v>
      </c>
      <c r="L13599">
        <v>0.82</v>
      </c>
      <c r="M13599">
        <v>1.17</v>
      </c>
      <c r="N13599">
        <v>0.44</v>
      </c>
    </row>
    <row r="13600" spans="1:14" x14ac:dyDescent="0.25">
      <c r="A13600" t="s">
        <v>23193</v>
      </c>
      <c r="B13600" t="s">
        <v>23194</v>
      </c>
      <c r="C13600" s="1" t="str">
        <f>HYPERLINK("http://www.genecards.org/cgi-bin/carddisp.pl?gene=FAM111A","GeneCards")</f>
        <v>GeneCards</v>
      </c>
      <c r="D13600" s="1" t="str">
        <f>HYPERLINK("http://genome-euro.ucsc.edu/cgi-bin/hgTracks?position=218248_at","UCSC")</f>
        <v>UCSC</v>
      </c>
      <c r="E13600" s="1" t="str">
        <f>HYPERLINK("http://www.ncbi.nlm.nih.gov/gene/?term=FAM111A","NCBI")</f>
        <v>NCBI</v>
      </c>
      <c r="F13600">
        <v>0.47</v>
      </c>
      <c r="G13600">
        <v>0.59</v>
      </c>
      <c r="H13600" s="1" t="str">
        <f>HYPERLINK("http://www.weizmann.ac.il/complex/compphys/software/geview/data/figures/218248_at.png","Figure")</f>
        <v>Figure</v>
      </c>
      <c r="I13600">
        <v>1.3</v>
      </c>
      <c r="J13600">
        <v>0.54</v>
      </c>
      <c r="K13600">
        <v>1.27</v>
      </c>
      <c r="L13600">
        <v>0.52</v>
      </c>
      <c r="M13600">
        <v>0.97299999999999998</v>
      </c>
      <c r="N13600">
        <v>0.99</v>
      </c>
    </row>
    <row r="13601" spans="1:14" x14ac:dyDescent="0.25">
      <c r="A13601" t="s">
        <v>23195</v>
      </c>
      <c r="B13601" t="s">
        <v>23196</v>
      </c>
      <c r="C13601" s="1" t="str">
        <f>HYPERLINK("http://www.genecards.org/cgi-bin/carddisp.pl?gene=LMNB1","GeneCards")</f>
        <v>GeneCards</v>
      </c>
      <c r="D13601" s="1" t="str">
        <f>HYPERLINK("http://genome-euro.ucsc.edu/cgi-bin/hgTracks?position=203276_at","UCSC")</f>
        <v>UCSC</v>
      </c>
      <c r="E13601" s="1" t="str">
        <f>HYPERLINK("http://www.ncbi.nlm.nih.gov/gene/?term=LMNB1","NCBI")</f>
        <v>NCBI</v>
      </c>
      <c r="F13601">
        <v>0.47</v>
      </c>
      <c r="G13601">
        <v>0.59</v>
      </c>
      <c r="H13601" s="1" t="str">
        <f>HYPERLINK("http://www.weizmann.ac.il/complex/compphys/software/geview/data/figures/203276_at.png","Figure")</f>
        <v>Figure</v>
      </c>
      <c r="I13601">
        <v>0.998</v>
      </c>
      <c r="J13601">
        <v>1</v>
      </c>
      <c r="K13601">
        <v>1.18</v>
      </c>
      <c r="L13601">
        <v>0.54</v>
      </c>
      <c r="M13601">
        <v>1.18</v>
      </c>
      <c r="N13601">
        <v>0.57999999999999996</v>
      </c>
    </row>
    <row r="13602" spans="1:14" x14ac:dyDescent="0.25">
      <c r="A13602" t="s">
        <v>23197</v>
      </c>
      <c r="B13602" t="s">
        <v>23198</v>
      </c>
      <c r="C13602" s="1" t="str">
        <f>HYPERLINK("http://www.genecards.org/cgi-bin/carddisp.pl?gene=BXDC2","GeneCards")</f>
        <v>GeneCards</v>
      </c>
      <c r="D13602" s="1" t="str">
        <f>HYPERLINK("http://genome-euro.ucsc.edu/cgi-bin/hgTracks?position=219177_at","UCSC")</f>
        <v>UCSC</v>
      </c>
      <c r="E13602" s="1" t="str">
        <f>HYPERLINK("http://www.ncbi.nlm.nih.gov/gene/?term=BXDC2","NCBI")</f>
        <v>NCBI</v>
      </c>
      <c r="F13602">
        <v>0.47</v>
      </c>
      <c r="G13602">
        <v>0.59</v>
      </c>
      <c r="H13602" s="1" t="str">
        <f>HYPERLINK("http://www.weizmann.ac.il/complex/compphys/software/geview/data/figures/219177_at.png","Figure")</f>
        <v>Figure</v>
      </c>
      <c r="I13602">
        <v>1.1299999999999999</v>
      </c>
      <c r="J13602">
        <v>0.65</v>
      </c>
      <c r="K13602">
        <v>0.96699999999999997</v>
      </c>
      <c r="L13602">
        <v>0.95</v>
      </c>
      <c r="M13602">
        <v>0.85799999999999998</v>
      </c>
      <c r="N13602">
        <v>0.45</v>
      </c>
    </row>
    <row r="13603" spans="1:14" x14ac:dyDescent="0.25">
      <c r="A13603" t="s">
        <v>23199</v>
      </c>
      <c r="B13603" t="s">
        <v>21922</v>
      </c>
      <c r="C13603" s="1" t="str">
        <f>HYPERLINK("http://www.genecards.org/cgi-bin/carddisp.pl?gene=CSNK1G1","GeneCards")</f>
        <v>GeneCards</v>
      </c>
      <c r="D13603" s="1" t="str">
        <f>HYPERLINK("http://genome-euro.ucsc.edu/cgi-bin/hgTracks?position=221673_s_at","UCSC")</f>
        <v>UCSC</v>
      </c>
      <c r="E13603" s="1" t="str">
        <f>HYPERLINK("http://www.ncbi.nlm.nih.gov/gene/?term=CSNK1G1","NCBI")</f>
        <v>NCBI</v>
      </c>
      <c r="F13603">
        <v>0.47</v>
      </c>
      <c r="G13603">
        <v>0.59</v>
      </c>
      <c r="H13603" s="1" t="str">
        <f>HYPERLINK("http://www.weizmann.ac.il/complex/compphys/software/geview/data/figures/221673_s_at.png","Figure")</f>
        <v>Figure</v>
      </c>
      <c r="I13603">
        <v>1.06</v>
      </c>
      <c r="J13603">
        <v>0.44</v>
      </c>
      <c r="K13603">
        <v>1.03</v>
      </c>
      <c r="L13603">
        <v>0.74</v>
      </c>
      <c r="M13603">
        <v>0.97299999999999998</v>
      </c>
      <c r="N13603">
        <v>0.79</v>
      </c>
    </row>
    <row r="13604" spans="1:14" x14ac:dyDescent="0.25">
      <c r="A13604" t="s">
        <v>23200</v>
      </c>
      <c r="B13604" t="s">
        <v>23201</v>
      </c>
      <c r="C13604" s="1" t="str">
        <f>HYPERLINK("http://www.genecards.org/cgi-bin/carddisp.pl?gene=MYO6","GeneCards")</f>
        <v>GeneCards</v>
      </c>
      <c r="D13604" s="1" t="str">
        <f>HYPERLINK("http://genome-euro.ucsc.edu/cgi-bin/hgTracks?position=210480_s_at","UCSC")</f>
        <v>UCSC</v>
      </c>
      <c r="E13604" s="1" t="str">
        <f>HYPERLINK("http://www.ncbi.nlm.nih.gov/gene/?term=MYO6","NCBI")</f>
        <v>NCBI</v>
      </c>
      <c r="F13604">
        <v>0.47</v>
      </c>
      <c r="G13604">
        <v>0.59</v>
      </c>
      <c r="H13604" s="1" t="str">
        <f>HYPERLINK("http://www.weizmann.ac.il/complex/compphys/software/geview/data/figures/210480_s_at.png","Figure")</f>
        <v>Figure</v>
      </c>
      <c r="I13604">
        <v>1.01</v>
      </c>
      <c r="J13604">
        <v>0.5</v>
      </c>
      <c r="K13604">
        <v>1.01</v>
      </c>
      <c r="L13604">
        <v>0.56999999999999995</v>
      </c>
      <c r="M13604">
        <v>0.997</v>
      </c>
      <c r="N13604">
        <v>0.96</v>
      </c>
    </row>
    <row r="13605" spans="1:14" x14ac:dyDescent="0.25">
      <c r="A13605" t="s">
        <v>23202</v>
      </c>
      <c r="B13605" t="s">
        <v>23203</v>
      </c>
      <c r="C13605" s="1" t="str">
        <f>HYPERLINK("http://www.genecards.org/cgi-bin/carddisp.pl?gene=ANXA9","GeneCards")</f>
        <v>GeneCards</v>
      </c>
      <c r="D13605" s="1" t="str">
        <f>HYPERLINK("http://genome-euro.ucsc.edu/cgi-bin/hgTracks?position=210085_s_at","UCSC")</f>
        <v>UCSC</v>
      </c>
      <c r="E13605" s="1" t="str">
        <f>HYPERLINK("http://www.ncbi.nlm.nih.gov/gene/?term=ANXA9","NCBI")</f>
        <v>NCBI</v>
      </c>
      <c r="F13605">
        <v>0.47</v>
      </c>
      <c r="G13605">
        <v>0.59</v>
      </c>
      <c r="H13605" s="1" t="str">
        <f>HYPERLINK("http://www.weizmann.ac.il/complex/compphys/software/geview/data/figures/210085_s_at.png","Figure")</f>
        <v>Figure</v>
      </c>
      <c r="I13605">
        <v>0.93300000000000005</v>
      </c>
      <c r="J13605">
        <v>0.73</v>
      </c>
      <c r="K13605">
        <v>0.90500000000000003</v>
      </c>
      <c r="L13605">
        <v>0.44</v>
      </c>
      <c r="M13605">
        <v>0.97</v>
      </c>
      <c r="N13605">
        <v>0.93</v>
      </c>
    </row>
    <row r="13606" spans="1:14" x14ac:dyDescent="0.25">
      <c r="A13606" t="s">
        <v>23204</v>
      </c>
      <c r="B13606" t="s">
        <v>23205</v>
      </c>
      <c r="C13606" s="1" t="str">
        <f>HYPERLINK("http://www.genecards.org/cgi-bin/carddisp.pl?gene=LRP8","GeneCards")</f>
        <v>GeneCards</v>
      </c>
      <c r="D13606" s="1" t="str">
        <f>HYPERLINK("http://genome-euro.ucsc.edu/cgi-bin/hgTracks?position=208433_s_at","UCSC")</f>
        <v>UCSC</v>
      </c>
      <c r="E13606" s="1" t="str">
        <f>HYPERLINK("http://www.ncbi.nlm.nih.gov/gene/?term=LRP8","NCBI")</f>
        <v>NCBI</v>
      </c>
      <c r="F13606">
        <v>0.47</v>
      </c>
      <c r="G13606">
        <v>0.59</v>
      </c>
      <c r="H13606" s="1" t="str">
        <f>HYPERLINK("http://www.weizmann.ac.il/complex/compphys/software/geview/data/figures/208433_s_at.png","Figure")</f>
        <v>Figure</v>
      </c>
      <c r="I13606">
        <v>1.33</v>
      </c>
      <c r="J13606">
        <v>0.59</v>
      </c>
      <c r="K13606">
        <v>0.96199999999999997</v>
      </c>
      <c r="L13606">
        <v>0.99</v>
      </c>
      <c r="M13606">
        <v>0.72199999999999998</v>
      </c>
      <c r="N13606">
        <v>0.47</v>
      </c>
    </row>
    <row r="13607" spans="1:14" x14ac:dyDescent="0.25">
      <c r="A13607" t="s">
        <v>23206</v>
      </c>
      <c r="B13607" t="s">
        <v>23207</v>
      </c>
      <c r="C13607" s="1" t="str">
        <f>HYPERLINK("http://www.genecards.org/cgi-bin/carddisp.pl?gene=NTS","GeneCards")</f>
        <v>GeneCards</v>
      </c>
      <c r="D13607" s="1" t="str">
        <f>HYPERLINK("http://genome-euro.ucsc.edu/cgi-bin/hgTracks?position=206291_at","UCSC")</f>
        <v>UCSC</v>
      </c>
      <c r="E13607" s="1" t="str">
        <f>HYPERLINK("http://www.ncbi.nlm.nih.gov/gene/?term=NTS","NCBI")</f>
        <v>NCBI</v>
      </c>
      <c r="F13607">
        <v>0.47</v>
      </c>
      <c r="G13607">
        <v>0.59</v>
      </c>
      <c r="H13607" s="1" t="str">
        <f>HYPERLINK("http://www.weizmann.ac.il/complex/compphys/software/geview/data/figures/206291_at.png","Figure")</f>
        <v>Figure</v>
      </c>
      <c r="I13607">
        <v>1</v>
      </c>
      <c r="J13607">
        <v>1</v>
      </c>
      <c r="K13607">
        <v>1.01</v>
      </c>
      <c r="L13607">
        <v>0.52</v>
      </c>
      <c r="M13607">
        <v>1.01</v>
      </c>
      <c r="N13607">
        <v>0.6</v>
      </c>
    </row>
    <row r="13608" spans="1:14" x14ac:dyDescent="0.25">
      <c r="A13608" t="s">
        <v>23208</v>
      </c>
      <c r="B13608" t="s">
        <v>23209</v>
      </c>
      <c r="C13608" s="1" t="str">
        <f>HYPERLINK("http://www.genecards.org/cgi-bin/carddisp.pl?gene=CCL24","GeneCards")</f>
        <v>GeneCards</v>
      </c>
      <c r="D13608" s="1" t="str">
        <f>HYPERLINK("http://genome-euro.ucsc.edu/cgi-bin/hgTracks?position=221463_at","UCSC")</f>
        <v>UCSC</v>
      </c>
      <c r="E13608" s="1" t="str">
        <f>HYPERLINK("http://www.ncbi.nlm.nih.gov/gene/?term=CCL24","NCBI")</f>
        <v>NCBI</v>
      </c>
      <c r="F13608">
        <v>0.47</v>
      </c>
      <c r="G13608">
        <v>0.59</v>
      </c>
      <c r="H13608" s="1" t="str">
        <f>HYPERLINK("http://www.weizmann.ac.il/complex/compphys/software/geview/data/figures/221463_at.png","Figure")</f>
        <v>Figure</v>
      </c>
      <c r="I13608">
        <v>1.08</v>
      </c>
      <c r="J13608">
        <v>0.44</v>
      </c>
      <c r="K13608">
        <v>1.04</v>
      </c>
      <c r="L13608">
        <v>0.74</v>
      </c>
      <c r="M13608">
        <v>0.96399999999999997</v>
      </c>
      <c r="N13608">
        <v>0.8</v>
      </c>
    </row>
    <row r="13609" spans="1:14" x14ac:dyDescent="0.25">
      <c r="A13609" t="s">
        <v>23210</v>
      </c>
      <c r="B13609" t="s">
        <v>17261</v>
      </c>
      <c r="C13609" s="1" t="str">
        <f>HYPERLINK("http://www.genecards.org/cgi-bin/carddisp.pl?gene=KCNAB2","GeneCards")</f>
        <v>GeneCards</v>
      </c>
      <c r="D13609" s="1" t="str">
        <f>HYPERLINK("http://genome-euro.ucsc.edu/cgi-bin/hgTracks?position=211791_s_at","UCSC")</f>
        <v>UCSC</v>
      </c>
      <c r="E13609" s="1" t="str">
        <f>HYPERLINK("http://www.ncbi.nlm.nih.gov/gene/?term=KCNAB2","NCBI")</f>
        <v>NCBI</v>
      </c>
      <c r="F13609">
        <v>0.47</v>
      </c>
      <c r="G13609">
        <v>0.59</v>
      </c>
      <c r="H13609" s="1" t="str">
        <f>HYPERLINK("http://www.weizmann.ac.il/complex/compphys/software/geview/data/figures/211791_s_at.png","Figure")</f>
        <v>Figure</v>
      </c>
      <c r="I13609">
        <v>1.07</v>
      </c>
      <c r="J13609">
        <v>0.46</v>
      </c>
      <c r="K13609">
        <v>1.04</v>
      </c>
      <c r="L13609">
        <v>0.68</v>
      </c>
      <c r="M13609">
        <v>0.97299999999999998</v>
      </c>
      <c r="N13609">
        <v>0.86</v>
      </c>
    </row>
    <row r="13610" spans="1:14" x14ac:dyDescent="0.25">
      <c r="A13610" t="s">
        <v>23211</v>
      </c>
      <c r="B13610" t="s">
        <v>23212</v>
      </c>
      <c r="C13610" s="1" t="str">
        <f>HYPERLINK("http://www.genecards.org/cgi-bin/carddisp.pl?gene=HNRNPR","GeneCards")</f>
        <v>GeneCards</v>
      </c>
      <c r="D13610" s="1" t="str">
        <f>HYPERLINK("http://genome-euro.ucsc.edu/cgi-bin/hgTracks?position=208765_s_at","UCSC")</f>
        <v>UCSC</v>
      </c>
      <c r="E13610" s="1" t="str">
        <f>HYPERLINK("http://www.ncbi.nlm.nih.gov/gene/?term=HNRNPR","NCBI")</f>
        <v>NCBI</v>
      </c>
      <c r="F13610">
        <v>0.47</v>
      </c>
      <c r="G13610">
        <v>0.59</v>
      </c>
      <c r="H13610" s="1" t="str">
        <f>HYPERLINK("http://www.weizmann.ac.il/complex/compphys/software/geview/data/figures/208765_s_at.png","Figure")</f>
        <v>Figure</v>
      </c>
      <c r="I13610">
        <v>1.2</v>
      </c>
      <c r="J13610">
        <v>0.48</v>
      </c>
      <c r="K13610">
        <v>1.04</v>
      </c>
      <c r="L13610">
        <v>0.96</v>
      </c>
      <c r="M13610">
        <v>0.86099999999999999</v>
      </c>
      <c r="N13610">
        <v>0.56999999999999995</v>
      </c>
    </row>
    <row r="13611" spans="1:14" x14ac:dyDescent="0.25">
      <c r="A13611" t="s">
        <v>23213</v>
      </c>
      <c r="B13611" t="s">
        <v>23214</v>
      </c>
      <c r="C13611" s="1" t="str">
        <f>HYPERLINK("http://www.genecards.org/cgi-bin/carddisp.pl?gene=TRGV5","GeneCards")</f>
        <v>GeneCards</v>
      </c>
      <c r="D13611" s="1" t="str">
        <f>HYPERLINK("http://genome-euro.ucsc.edu/cgi-bin/hgTracks?position=217381_s_at","UCSC")</f>
        <v>UCSC</v>
      </c>
      <c r="E13611" s="1" t="str">
        <f>HYPERLINK("http://www.ncbi.nlm.nih.gov/gene/?term=TRGV5","NCBI")</f>
        <v>NCBI</v>
      </c>
      <c r="F13611">
        <v>0.47</v>
      </c>
      <c r="G13611">
        <v>0.59</v>
      </c>
      <c r="H13611" s="1" t="str">
        <f>HYPERLINK("http://www.weizmann.ac.il/complex/compphys/software/geview/data/figures/217381_s_at.png","Figure")</f>
        <v>Figure</v>
      </c>
      <c r="I13611">
        <v>1.2</v>
      </c>
      <c r="J13611">
        <v>0.44</v>
      </c>
      <c r="K13611">
        <v>1.1000000000000001</v>
      </c>
      <c r="L13611">
        <v>0.75</v>
      </c>
      <c r="M13611">
        <v>0.91400000000000003</v>
      </c>
      <c r="N13611">
        <v>0.79</v>
      </c>
    </row>
    <row r="13612" spans="1:14" x14ac:dyDescent="0.25">
      <c r="A13612" t="s">
        <v>23215</v>
      </c>
      <c r="B13612" t="s">
        <v>23216</v>
      </c>
      <c r="C13612" s="1" t="str">
        <f>HYPERLINK("http://www.genecards.org/cgi-bin/carddisp.pl?gene=ARL4D","GeneCards")</f>
        <v>GeneCards</v>
      </c>
      <c r="D13612" s="1" t="str">
        <f>HYPERLINK("http://genome-euro.ucsc.edu/cgi-bin/hgTracks?position=203586_s_at","UCSC")</f>
        <v>UCSC</v>
      </c>
      <c r="E13612" s="1" t="str">
        <f>HYPERLINK("http://www.ncbi.nlm.nih.gov/gene/?term=ARL4D","NCBI")</f>
        <v>NCBI</v>
      </c>
      <c r="F13612">
        <v>0.47</v>
      </c>
      <c r="G13612">
        <v>0.59</v>
      </c>
      <c r="H13612" s="1" t="str">
        <f>HYPERLINK("http://www.weizmann.ac.il/complex/compphys/software/geview/data/figures/203586_s_at.png","Figure")</f>
        <v>Figure</v>
      </c>
      <c r="I13612">
        <v>1.18</v>
      </c>
      <c r="J13612">
        <v>0.47</v>
      </c>
      <c r="K13612">
        <v>1.04</v>
      </c>
      <c r="L13612">
        <v>0.95</v>
      </c>
      <c r="M13612">
        <v>0.88100000000000001</v>
      </c>
      <c r="N13612">
        <v>0.59</v>
      </c>
    </row>
    <row r="13613" spans="1:14" x14ac:dyDescent="0.25">
      <c r="A13613" t="s">
        <v>23217</v>
      </c>
      <c r="B13613" t="s">
        <v>18632</v>
      </c>
      <c r="C13613" s="1" t="str">
        <f>HYPERLINK("http://www.genecards.org/cgi-bin/carddisp.pl?gene=MFN1","GeneCards")</f>
        <v>GeneCards</v>
      </c>
      <c r="D13613" s="1" t="str">
        <f>HYPERLINK("http://genome-euro.ucsc.edu/cgi-bin/hgTracks?position=207098_s_at","UCSC")</f>
        <v>UCSC</v>
      </c>
      <c r="E13613" s="1" t="str">
        <f>HYPERLINK("http://www.ncbi.nlm.nih.gov/gene/?term=MFN1","NCBI")</f>
        <v>NCBI</v>
      </c>
      <c r="F13613">
        <v>0.47</v>
      </c>
      <c r="G13613">
        <v>0.59</v>
      </c>
      <c r="H13613" s="1" t="str">
        <f>HYPERLINK("http://www.weizmann.ac.il/complex/compphys/software/geview/data/figures/207098_s_at.png","Figure")</f>
        <v>Figure</v>
      </c>
      <c r="I13613">
        <v>0.878</v>
      </c>
      <c r="J13613">
        <v>0.77</v>
      </c>
      <c r="K13613">
        <v>0.81399999999999995</v>
      </c>
      <c r="L13613">
        <v>0.44</v>
      </c>
      <c r="M13613">
        <v>0.92800000000000005</v>
      </c>
      <c r="N13613">
        <v>0.9</v>
      </c>
    </row>
    <row r="13614" spans="1:14" x14ac:dyDescent="0.25">
      <c r="A13614" t="s">
        <v>23218</v>
      </c>
      <c r="B13614" t="s">
        <v>10489</v>
      </c>
      <c r="C13614" s="1" t="str">
        <f>HYPERLINK("http://www.genecards.org/cgi-bin/carddisp.pl?gene=SPAG9","GeneCards")</f>
        <v>GeneCards</v>
      </c>
      <c r="D13614" s="1" t="str">
        <f>HYPERLINK("http://genome-euro.ucsc.edu/cgi-bin/hgTracks?position=212470_at","UCSC")</f>
        <v>UCSC</v>
      </c>
      <c r="E13614" s="1" t="str">
        <f>HYPERLINK("http://www.ncbi.nlm.nih.gov/gene/?term=SPAG9","NCBI")</f>
        <v>NCBI</v>
      </c>
      <c r="F13614">
        <v>0.47</v>
      </c>
      <c r="G13614">
        <v>0.59</v>
      </c>
      <c r="H13614" s="1" t="str">
        <f>HYPERLINK("http://www.weizmann.ac.il/complex/compphys/software/geview/data/figures/212470_at.png","Figure")</f>
        <v>Figure</v>
      </c>
      <c r="I13614">
        <v>0.78600000000000003</v>
      </c>
      <c r="J13614">
        <v>0.56000000000000005</v>
      </c>
      <c r="K13614">
        <v>0.8</v>
      </c>
      <c r="L13614">
        <v>0.52</v>
      </c>
      <c r="M13614">
        <v>1.02</v>
      </c>
      <c r="N13614">
        <v>1</v>
      </c>
    </row>
    <row r="13615" spans="1:14" x14ac:dyDescent="0.25">
      <c r="A13615" t="s">
        <v>23219</v>
      </c>
      <c r="B13615" t="s">
        <v>20593</v>
      </c>
      <c r="C13615" s="1" t="str">
        <f>HYPERLINK("http://www.genecards.org/cgi-bin/carddisp.pl?gene=N4BP2L2","GeneCards")</f>
        <v>GeneCards</v>
      </c>
      <c r="D13615" s="1" t="str">
        <f>HYPERLINK("http://genome-euro.ucsc.edu/cgi-bin/hgTracks?position=221899_at","UCSC")</f>
        <v>UCSC</v>
      </c>
      <c r="E13615" s="1" t="str">
        <f>HYPERLINK("http://www.ncbi.nlm.nih.gov/gene/?term=N4BP2L2","NCBI")</f>
        <v>NCBI</v>
      </c>
      <c r="F13615">
        <v>0.47</v>
      </c>
      <c r="G13615">
        <v>0.59</v>
      </c>
      <c r="H13615" s="1" t="str">
        <f>HYPERLINK("http://www.weizmann.ac.il/complex/compphys/software/geview/data/figures/221899_at.png","Figure")</f>
        <v>Figure</v>
      </c>
      <c r="I13615">
        <v>1.1000000000000001</v>
      </c>
      <c r="J13615">
        <v>0.97</v>
      </c>
      <c r="K13615">
        <v>0.72199999999999998</v>
      </c>
      <c r="L13615">
        <v>0.62</v>
      </c>
      <c r="M13615">
        <v>0.65600000000000003</v>
      </c>
      <c r="N13615">
        <v>0.51</v>
      </c>
    </row>
    <row r="13616" spans="1:14" x14ac:dyDescent="0.25">
      <c r="A13616" t="s">
        <v>23220</v>
      </c>
      <c r="B13616" t="s">
        <v>23221</v>
      </c>
      <c r="C13616" s="1" t="str">
        <f>HYPERLINK("http://www.genecards.org/cgi-bin/carddisp.pl?gene=TARBP2","GeneCards")</f>
        <v>GeneCards</v>
      </c>
      <c r="D13616" s="1" t="str">
        <f>HYPERLINK("http://genome-euro.ucsc.edu/cgi-bin/hgTracks?position=203677_s_at","UCSC")</f>
        <v>UCSC</v>
      </c>
      <c r="E13616" s="1" t="str">
        <f>HYPERLINK("http://www.ncbi.nlm.nih.gov/gene/?term=TARBP2","NCBI")</f>
        <v>NCBI</v>
      </c>
      <c r="F13616">
        <v>0.47</v>
      </c>
      <c r="G13616">
        <v>0.59</v>
      </c>
      <c r="H13616" s="1" t="str">
        <f>HYPERLINK("http://www.weizmann.ac.il/complex/compphys/software/geview/data/figures/203677_s_at.png","Figure")</f>
        <v>Figure</v>
      </c>
      <c r="I13616">
        <v>0.89300000000000002</v>
      </c>
      <c r="J13616">
        <v>0.45</v>
      </c>
      <c r="K13616">
        <v>0.95899999999999996</v>
      </c>
      <c r="L13616">
        <v>0.86</v>
      </c>
      <c r="M13616">
        <v>1.07</v>
      </c>
      <c r="N13616">
        <v>0.68</v>
      </c>
    </row>
    <row r="13617" spans="1:14" x14ac:dyDescent="0.25">
      <c r="A13617" t="s">
        <v>23222</v>
      </c>
      <c r="B13617" t="s">
        <v>21913</v>
      </c>
      <c r="C13617" s="1" t="str">
        <f>HYPERLINK("http://www.genecards.org/cgi-bin/carddisp.pl?gene=ARHGDIA","GeneCards")</f>
        <v>GeneCards</v>
      </c>
      <c r="D13617" s="1" t="str">
        <f>HYPERLINK("http://genome-euro.ucsc.edu/cgi-bin/hgTracks?position=211716_x_at","UCSC")</f>
        <v>UCSC</v>
      </c>
      <c r="E13617" s="1" t="str">
        <f>HYPERLINK("http://www.ncbi.nlm.nih.gov/gene/?term=ARHGDIA","NCBI")</f>
        <v>NCBI</v>
      </c>
      <c r="F13617">
        <v>0.47</v>
      </c>
      <c r="G13617">
        <v>0.59</v>
      </c>
      <c r="H13617" s="1" t="str">
        <f>HYPERLINK("http://www.weizmann.ac.il/complex/compphys/software/geview/data/figures/211716_x_at.png","Figure")</f>
        <v>Figure</v>
      </c>
      <c r="I13617">
        <v>0.90400000000000003</v>
      </c>
      <c r="J13617">
        <v>0.86</v>
      </c>
      <c r="K13617">
        <v>1.1299999999999999</v>
      </c>
      <c r="L13617">
        <v>0.75</v>
      </c>
      <c r="M13617">
        <v>1.25</v>
      </c>
      <c r="N13617">
        <v>0.46</v>
      </c>
    </row>
    <row r="13618" spans="1:14" x14ac:dyDescent="0.25">
      <c r="A13618" t="s">
        <v>23223</v>
      </c>
      <c r="B13618" t="s">
        <v>23224</v>
      </c>
      <c r="C13618" s="1" t="str">
        <f>HYPERLINK("http://www.genecards.org/cgi-bin/carddisp.pl?gene=INPP5J","GeneCards")</f>
        <v>GeneCards</v>
      </c>
      <c r="D13618" s="1" t="str">
        <f>HYPERLINK("http://genome-euro.ucsc.edu/cgi-bin/hgTracks?position=213651_at","UCSC")</f>
        <v>UCSC</v>
      </c>
      <c r="E13618" s="1" t="str">
        <f>HYPERLINK("http://www.ncbi.nlm.nih.gov/gene/?term=INPP5J","NCBI")</f>
        <v>NCBI</v>
      </c>
      <c r="F13618">
        <v>0.47</v>
      </c>
      <c r="G13618">
        <v>0.59</v>
      </c>
      <c r="H13618" s="1" t="str">
        <f>HYPERLINK("http://www.weizmann.ac.il/complex/compphys/software/geview/data/figures/213651_at.png","Figure")</f>
        <v>Figure</v>
      </c>
      <c r="I13618">
        <v>1.1299999999999999</v>
      </c>
      <c r="J13618">
        <v>0.45</v>
      </c>
      <c r="K13618">
        <v>1.07</v>
      </c>
      <c r="L13618">
        <v>0.73</v>
      </c>
      <c r="M13618">
        <v>0.94499999999999995</v>
      </c>
      <c r="N13618">
        <v>0.81</v>
      </c>
    </row>
    <row r="13619" spans="1:14" x14ac:dyDescent="0.25">
      <c r="A13619" t="s">
        <v>23225</v>
      </c>
      <c r="B13619" t="s">
        <v>23226</v>
      </c>
      <c r="C13619" s="1" t="str">
        <f>HYPERLINK("http://www.genecards.org/cgi-bin/carddisp.pl?gene=TRH","GeneCards")</f>
        <v>GeneCards</v>
      </c>
      <c r="D13619" s="1" t="str">
        <f>HYPERLINK("http://genome-euro.ucsc.edu/cgi-bin/hgTracks?position=206622_at","UCSC")</f>
        <v>UCSC</v>
      </c>
      <c r="E13619" s="1" t="str">
        <f>HYPERLINK("http://www.ncbi.nlm.nih.gov/gene/?term=TRH","NCBI")</f>
        <v>NCBI</v>
      </c>
      <c r="F13619">
        <v>0.47</v>
      </c>
      <c r="G13619">
        <v>0.59</v>
      </c>
      <c r="H13619" s="1" t="str">
        <f>HYPERLINK("http://www.weizmann.ac.il/complex/compphys/software/geview/data/figures/206622_at.png","Figure")</f>
        <v>Figure</v>
      </c>
      <c r="I13619">
        <v>1.18</v>
      </c>
      <c r="J13619">
        <v>0.64</v>
      </c>
      <c r="K13619">
        <v>0.95699999999999996</v>
      </c>
      <c r="L13619">
        <v>0.96</v>
      </c>
      <c r="M13619">
        <v>0.81100000000000005</v>
      </c>
      <c r="N13619">
        <v>0.45</v>
      </c>
    </row>
    <row r="13620" spans="1:14" x14ac:dyDescent="0.25">
      <c r="A13620" t="s">
        <v>23227</v>
      </c>
      <c r="B13620" t="s">
        <v>20177</v>
      </c>
      <c r="C13620" s="1" t="str">
        <f>HYPERLINK("http://www.genecards.org/cgi-bin/carddisp.pl?gene=C19orf2","GeneCards")</f>
        <v>GeneCards</v>
      </c>
      <c r="D13620" s="1" t="str">
        <f>HYPERLINK("http://genome-euro.ucsc.edu/cgi-bin/hgTracks?position=211563_s_at","UCSC")</f>
        <v>UCSC</v>
      </c>
      <c r="E13620" s="1" t="str">
        <f>HYPERLINK("http://www.ncbi.nlm.nih.gov/gene/?term=C19orf2","NCBI")</f>
        <v>NCBI</v>
      </c>
      <c r="F13620">
        <v>0.47</v>
      </c>
      <c r="G13620">
        <v>0.59</v>
      </c>
      <c r="H13620" s="1" t="str">
        <f>HYPERLINK("http://www.weizmann.ac.il/complex/compphys/software/geview/data/figures/211563_s_at.png","Figure")</f>
        <v>Figure</v>
      </c>
      <c r="I13620">
        <v>0.9</v>
      </c>
      <c r="J13620">
        <v>0.51</v>
      </c>
      <c r="K13620">
        <v>0.91800000000000004</v>
      </c>
      <c r="L13620">
        <v>0.56000000000000005</v>
      </c>
      <c r="M13620">
        <v>1.02</v>
      </c>
      <c r="N13620">
        <v>0.97</v>
      </c>
    </row>
    <row r="13621" spans="1:14" x14ac:dyDescent="0.25">
      <c r="A13621" t="s">
        <v>23228</v>
      </c>
      <c r="B13621" t="s">
        <v>23229</v>
      </c>
      <c r="C13621" s="1" t="str">
        <f>HYPERLINK("http://www.genecards.org/cgi-bin/carddisp.pl?gene=BCL2A1","GeneCards")</f>
        <v>GeneCards</v>
      </c>
      <c r="D13621" s="1" t="str">
        <f>HYPERLINK("http://genome-euro.ucsc.edu/cgi-bin/hgTracks?position=205681_at","UCSC")</f>
        <v>UCSC</v>
      </c>
      <c r="E13621" s="1" t="str">
        <f>HYPERLINK("http://www.ncbi.nlm.nih.gov/gene/?term=BCL2A1","NCBI")</f>
        <v>NCBI</v>
      </c>
      <c r="F13621">
        <v>0.47</v>
      </c>
      <c r="G13621">
        <v>0.59</v>
      </c>
      <c r="H13621" s="1" t="str">
        <f>HYPERLINK("http://www.weizmann.ac.il/complex/compphys/software/geview/data/figures/205681_at.png","Figure")</f>
        <v>Figure</v>
      </c>
      <c r="I13621">
        <v>0.98799999999999999</v>
      </c>
      <c r="J13621">
        <v>0.94</v>
      </c>
      <c r="K13621">
        <v>0.96199999999999997</v>
      </c>
      <c r="L13621">
        <v>0.47</v>
      </c>
      <c r="M13621">
        <v>0.97399999999999998</v>
      </c>
      <c r="N13621">
        <v>0.72</v>
      </c>
    </row>
    <row r="13622" spans="1:14" x14ac:dyDescent="0.25">
      <c r="A13622" t="s">
        <v>23230</v>
      </c>
      <c r="B13622" t="s">
        <v>6046</v>
      </c>
      <c r="C13622" s="1" t="str">
        <f>HYPERLINK("http://www.genecards.org/cgi-bin/carddisp.pl?gene=ZNF335","GeneCards")</f>
        <v>GeneCards</v>
      </c>
      <c r="D13622" s="1" t="str">
        <f>HYPERLINK("http://genome-euro.ucsc.edu/cgi-bin/hgTracks?position=78330_at","UCSC")</f>
        <v>UCSC</v>
      </c>
      <c r="E13622" s="1" t="str">
        <f>HYPERLINK("http://www.ncbi.nlm.nih.gov/gene/?term=ZNF335","NCBI")</f>
        <v>NCBI</v>
      </c>
      <c r="F13622">
        <v>0.47</v>
      </c>
      <c r="G13622">
        <v>0.59</v>
      </c>
      <c r="H13622" s="1" t="str">
        <f>HYPERLINK("http://www.weizmann.ac.il/complex/compphys/software/geview/data/figures/78330_at.png","Figure")</f>
        <v>Figure</v>
      </c>
      <c r="I13622">
        <v>1.1000000000000001</v>
      </c>
      <c r="J13622">
        <v>0.45</v>
      </c>
      <c r="K13622">
        <v>1.05</v>
      </c>
      <c r="L13622">
        <v>0.75</v>
      </c>
      <c r="M13622">
        <v>0.95299999999999996</v>
      </c>
      <c r="N13622">
        <v>0.8</v>
      </c>
    </row>
    <row r="13623" spans="1:14" x14ac:dyDescent="0.25">
      <c r="A13623" t="s">
        <v>23231</v>
      </c>
      <c r="B13623" t="s">
        <v>23232</v>
      </c>
      <c r="C13623" s="1" t="str">
        <f>HYPERLINK("http://www.genecards.org/cgi-bin/carddisp.pl?gene=CDA","GeneCards")</f>
        <v>GeneCards</v>
      </c>
      <c r="D13623" s="1" t="str">
        <f>HYPERLINK("http://genome-euro.ucsc.edu/cgi-bin/hgTracks?position=205627_at","UCSC")</f>
        <v>UCSC</v>
      </c>
      <c r="E13623" s="1" t="str">
        <f>HYPERLINK("http://www.ncbi.nlm.nih.gov/gene/?term=CDA","NCBI")</f>
        <v>NCBI</v>
      </c>
      <c r="F13623">
        <v>0.47</v>
      </c>
      <c r="G13623">
        <v>0.59</v>
      </c>
      <c r="H13623" s="1" t="str">
        <f>HYPERLINK("http://www.weizmann.ac.il/complex/compphys/software/geview/data/figures/205627_at.png","Figure")</f>
        <v>Figure</v>
      </c>
      <c r="I13623">
        <v>1.1499999999999999</v>
      </c>
      <c r="J13623">
        <v>0.53</v>
      </c>
      <c r="K13623">
        <v>1.1299999999999999</v>
      </c>
      <c r="L13623">
        <v>0.55000000000000004</v>
      </c>
      <c r="M13623">
        <v>0.97799999999999998</v>
      </c>
      <c r="N13623">
        <v>0.98</v>
      </c>
    </row>
    <row r="13624" spans="1:14" x14ac:dyDescent="0.25">
      <c r="A13624" t="s">
        <v>23233</v>
      </c>
      <c r="B13624" t="s">
        <v>6678</v>
      </c>
      <c r="C13624" s="1" t="str">
        <f>HYPERLINK("http://www.genecards.org/cgi-bin/carddisp.pl?gene=MACF1","GeneCards")</f>
        <v>GeneCards</v>
      </c>
      <c r="D13624" s="1" t="str">
        <f>HYPERLINK("http://genome-euro.ucsc.edu/cgi-bin/hgTracks?position=208634_s_at","UCSC")</f>
        <v>UCSC</v>
      </c>
      <c r="E13624" s="1" t="str">
        <f>HYPERLINK("http://www.ncbi.nlm.nih.gov/gene/?term=MACF1","NCBI")</f>
        <v>NCBI</v>
      </c>
      <c r="F13624">
        <v>0.47</v>
      </c>
      <c r="G13624">
        <v>0.59</v>
      </c>
      <c r="H13624" s="1" t="str">
        <f>HYPERLINK("http://www.weizmann.ac.il/complex/compphys/software/geview/data/figures/208634_s_at.png","Figure")</f>
        <v>Figure</v>
      </c>
      <c r="I13624">
        <v>1.19</v>
      </c>
      <c r="J13624">
        <v>0.66</v>
      </c>
      <c r="K13624">
        <v>1.24</v>
      </c>
      <c r="L13624">
        <v>0.46</v>
      </c>
      <c r="M13624">
        <v>1.04</v>
      </c>
      <c r="N13624">
        <v>0.98</v>
      </c>
    </row>
    <row r="13625" spans="1:14" x14ac:dyDescent="0.25">
      <c r="A13625" t="s">
        <v>23234</v>
      </c>
      <c r="B13625" t="s">
        <v>23235</v>
      </c>
      <c r="C13625" s="1" t="str">
        <f>HYPERLINK("http://www.genecards.org/cgi-bin/carddisp.pl?gene=C4A /// C4B /// LOC100292046","GeneCards")</f>
        <v>GeneCards</v>
      </c>
      <c r="D13625" s="1" t="str">
        <f>HYPERLINK("http://genome-euro.ucsc.edu/cgi-bin/hgTracks?position=214428_x_at","UCSC")</f>
        <v>UCSC</v>
      </c>
      <c r="E13625" s="1" t="str">
        <f>HYPERLINK("http://www.ncbi.nlm.nih.gov/gene/?term=C4A /// C4B /// LOC100292046","NCBI")</f>
        <v>NCBI</v>
      </c>
      <c r="F13625">
        <v>0.47</v>
      </c>
      <c r="G13625">
        <v>0.59</v>
      </c>
      <c r="H13625" s="1" t="str">
        <f>HYPERLINK("http://www.weizmann.ac.il/complex/compphys/software/geview/data/figures/214428_x_at.png","Figure")</f>
        <v>Figure</v>
      </c>
      <c r="I13625">
        <v>1.1200000000000001</v>
      </c>
      <c r="J13625">
        <v>0.46</v>
      </c>
      <c r="K13625">
        <v>1.07</v>
      </c>
      <c r="L13625">
        <v>0.68</v>
      </c>
      <c r="M13625">
        <v>0.95599999999999996</v>
      </c>
      <c r="N13625">
        <v>0.86</v>
      </c>
    </row>
    <row r="13626" spans="1:14" x14ac:dyDescent="0.25">
      <c r="A13626" t="s">
        <v>23236</v>
      </c>
      <c r="B13626" t="s">
        <v>16674</v>
      </c>
      <c r="C13626" s="1" t="str">
        <f>HYPERLINK("http://www.genecards.org/cgi-bin/carddisp.pl?gene=RPS17","GeneCards")</f>
        <v>GeneCards</v>
      </c>
      <c r="D13626" s="1" t="str">
        <f>HYPERLINK("http://genome-euro.ucsc.edu/cgi-bin/hgTracks?position=211487_x_at","UCSC")</f>
        <v>UCSC</v>
      </c>
      <c r="E13626" s="1" t="str">
        <f>HYPERLINK("http://www.ncbi.nlm.nih.gov/gene/?term=RPS17","NCBI")</f>
        <v>NCBI</v>
      </c>
      <c r="F13626">
        <v>0.47</v>
      </c>
      <c r="G13626">
        <v>0.59</v>
      </c>
      <c r="H13626" s="1" t="str">
        <f>HYPERLINK("http://www.weizmann.ac.il/complex/compphys/software/geview/data/figures/211487_x_at.png","Figure")</f>
        <v>Figure</v>
      </c>
      <c r="I13626">
        <v>1.25</v>
      </c>
      <c r="J13626">
        <v>0.44</v>
      </c>
      <c r="K13626">
        <v>1.0900000000000001</v>
      </c>
      <c r="L13626">
        <v>0.84</v>
      </c>
      <c r="M13626">
        <v>0.873</v>
      </c>
      <c r="N13626">
        <v>0.7</v>
      </c>
    </row>
    <row r="13627" spans="1:14" x14ac:dyDescent="0.25">
      <c r="A13627" t="s">
        <v>23237</v>
      </c>
      <c r="B13627" t="s">
        <v>23238</v>
      </c>
      <c r="C13627" s="1" t="str">
        <f>HYPERLINK("http://www.genecards.org/cgi-bin/carddisp.pl?gene=C2orf44","GeneCards")</f>
        <v>GeneCards</v>
      </c>
      <c r="D13627" s="1" t="str">
        <f>HYPERLINK("http://genome-euro.ucsc.edu/cgi-bin/hgTracks?position=219120_at","UCSC")</f>
        <v>UCSC</v>
      </c>
      <c r="E13627" s="1" t="str">
        <f>HYPERLINK("http://www.ncbi.nlm.nih.gov/gene/?term=C2orf44","NCBI")</f>
        <v>NCBI</v>
      </c>
      <c r="F13627">
        <v>0.48</v>
      </c>
      <c r="G13627">
        <v>0.59</v>
      </c>
      <c r="H13627" s="1" t="str">
        <f>HYPERLINK("http://www.weizmann.ac.il/complex/compphys/software/geview/data/figures/219120_at.png","Figure")</f>
        <v>Figure</v>
      </c>
      <c r="I13627">
        <v>1.02</v>
      </c>
      <c r="J13627">
        <v>0.81</v>
      </c>
      <c r="K13627">
        <v>1.03</v>
      </c>
      <c r="L13627">
        <v>0.44</v>
      </c>
      <c r="M13627">
        <v>1.01</v>
      </c>
      <c r="N13627">
        <v>0.87</v>
      </c>
    </row>
    <row r="13628" spans="1:14" x14ac:dyDescent="0.25">
      <c r="A13628" t="s">
        <v>23239</v>
      </c>
      <c r="B13628" t="s">
        <v>12005</v>
      </c>
      <c r="C13628" s="1" t="str">
        <f>HYPERLINK("http://www.genecards.org/cgi-bin/carddisp.pl?gene=CUL3","GeneCards")</f>
        <v>GeneCards</v>
      </c>
      <c r="D13628" s="1" t="str">
        <f>HYPERLINK("http://genome-euro.ucsc.edu/cgi-bin/hgTracks?position=201370_s_at","UCSC")</f>
        <v>UCSC</v>
      </c>
      <c r="E13628" s="1" t="str">
        <f>HYPERLINK("http://www.ncbi.nlm.nih.gov/gene/?term=CUL3","NCBI")</f>
        <v>NCBI</v>
      </c>
      <c r="F13628">
        <v>0.48</v>
      </c>
      <c r="G13628">
        <v>0.59</v>
      </c>
      <c r="H13628" s="1" t="str">
        <f>HYPERLINK("http://www.weizmann.ac.il/complex/compphys/software/geview/data/figures/201370_s_at.png","Figure")</f>
        <v>Figure</v>
      </c>
      <c r="I13628">
        <v>0.81399999999999995</v>
      </c>
      <c r="J13628">
        <v>0.59</v>
      </c>
      <c r="K13628">
        <v>0.80900000000000005</v>
      </c>
      <c r="L13628">
        <v>0.49</v>
      </c>
      <c r="M13628">
        <v>0.99399999999999999</v>
      </c>
      <c r="N13628">
        <v>1</v>
      </c>
    </row>
    <row r="13629" spans="1:14" x14ac:dyDescent="0.25">
      <c r="A13629" t="s">
        <v>23240</v>
      </c>
      <c r="B13629" t="s">
        <v>23241</v>
      </c>
      <c r="C13629" s="1" t="str">
        <f>HYPERLINK("http://www.genecards.org/cgi-bin/carddisp.pl?gene=ZCCHC10","GeneCards")</f>
        <v>GeneCards</v>
      </c>
      <c r="D13629" s="1" t="str">
        <f>HYPERLINK("http://genome-euro.ucsc.edu/cgi-bin/hgTracks?position=221193_s_at","UCSC")</f>
        <v>UCSC</v>
      </c>
      <c r="E13629" s="1" t="str">
        <f>HYPERLINK("http://www.ncbi.nlm.nih.gov/gene/?term=ZCCHC10","NCBI")</f>
        <v>NCBI</v>
      </c>
      <c r="F13629">
        <v>0.48</v>
      </c>
      <c r="G13629">
        <v>0.59</v>
      </c>
      <c r="H13629" s="1" t="str">
        <f>HYPERLINK("http://www.weizmann.ac.il/complex/compphys/software/geview/data/figures/221193_s_at.png","Figure")</f>
        <v>Figure</v>
      </c>
      <c r="I13629">
        <v>0.71599999999999997</v>
      </c>
      <c r="J13629">
        <v>0.66</v>
      </c>
      <c r="K13629">
        <v>0.67</v>
      </c>
      <c r="L13629">
        <v>0.47</v>
      </c>
      <c r="M13629">
        <v>0.93600000000000005</v>
      </c>
      <c r="N13629">
        <v>0.98</v>
      </c>
    </row>
    <row r="13630" spans="1:14" x14ac:dyDescent="0.25">
      <c r="A13630" t="s">
        <v>23242</v>
      </c>
      <c r="B13630" t="s">
        <v>23243</v>
      </c>
      <c r="C13630" s="1" t="str">
        <f>HYPERLINK("http://www.genecards.org/cgi-bin/carddisp.pl?gene=FGGY","GeneCards")</f>
        <v>GeneCards</v>
      </c>
      <c r="D13630" s="1" t="str">
        <f>HYPERLINK("http://genome-euro.ucsc.edu/cgi-bin/hgTracks?position=219718_at","UCSC")</f>
        <v>UCSC</v>
      </c>
      <c r="E13630" s="1" t="str">
        <f>HYPERLINK("http://www.ncbi.nlm.nih.gov/gene/?term=FGGY","NCBI")</f>
        <v>NCBI</v>
      </c>
      <c r="F13630">
        <v>0.48</v>
      </c>
      <c r="G13630">
        <v>0.59</v>
      </c>
      <c r="H13630" s="1" t="str">
        <f>HYPERLINK("http://www.weizmann.ac.il/complex/compphys/software/geview/data/figures/219718_at.png","Figure")</f>
        <v>Figure</v>
      </c>
      <c r="I13630">
        <v>1.0900000000000001</v>
      </c>
      <c r="J13630">
        <v>0.49</v>
      </c>
      <c r="K13630">
        <v>1.01</v>
      </c>
      <c r="L13630">
        <v>0.98</v>
      </c>
      <c r="M13630">
        <v>0.93100000000000005</v>
      </c>
      <c r="N13630">
        <v>0.55000000000000004</v>
      </c>
    </row>
    <row r="13631" spans="1:14" x14ac:dyDescent="0.25">
      <c r="A13631" t="s">
        <v>23244</v>
      </c>
      <c r="B13631" t="s">
        <v>23245</v>
      </c>
      <c r="C13631" s="1" t="str">
        <f>HYPERLINK("http://www.genecards.org/cgi-bin/carddisp.pl?gene=ZIC3","GeneCards")</f>
        <v>GeneCards</v>
      </c>
      <c r="D13631" s="1" t="str">
        <f>HYPERLINK("http://genome-euro.ucsc.edu/cgi-bin/hgTracks?position=207197_at","UCSC")</f>
        <v>UCSC</v>
      </c>
      <c r="E13631" s="1" t="str">
        <f>HYPERLINK("http://www.ncbi.nlm.nih.gov/gene/?term=ZIC3","NCBI")</f>
        <v>NCBI</v>
      </c>
      <c r="F13631">
        <v>0.48</v>
      </c>
      <c r="G13631">
        <v>0.59</v>
      </c>
      <c r="H13631" s="1" t="str">
        <f>HYPERLINK("http://www.weizmann.ac.il/complex/compphys/software/geview/data/figures/207197_at.png","Figure")</f>
        <v>Figure</v>
      </c>
      <c r="I13631">
        <v>0.97799999999999998</v>
      </c>
      <c r="J13631">
        <v>0.45</v>
      </c>
      <c r="K13631">
        <v>0.98699999999999999</v>
      </c>
      <c r="L13631">
        <v>0.7</v>
      </c>
      <c r="M13631">
        <v>1.01</v>
      </c>
      <c r="N13631">
        <v>0.84</v>
      </c>
    </row>
    <row r="13632" spans="1:14" x14ac:dyDescent="0.25">
      <c r="A13632" t="s">
        <v>23246</v>
      </c>
      <c r="B13632" t="s">
        <v>23247</v>
      </c>
      <c r="C13632" s="1" t="str">
        <f>HYPERLINK("http://www.genecards.org/cgi-bin/carddisp.pl?gene=SNRPN /// SNURF","GeneCards")</f>
        <v>GeneCards</v>
      </c>
      <c r="D13632" s="1" t="str">
        <f>HYPERLINK("http://genome-euro.ucsc.edu/cgi-bin/hgTracks?position=201522_x_at","UCSC")</f>
        <v>UCSC</v>
      </c>
      <c r="E13632" s="1" t="str">
        <f>HYPERLINK("http://www.ncbi.nlm.nih.gov/gene/?term=SNRPN /// SNURF","NCBI")</f>
        <v>NCBI</v>
      </c>
      <c r="F13632">
        <v>0.48</v>
      </c>
      <c r="G13632">
        <v>0.59</v>
      </c>
      <c r="H13632" s="1" t="str">
        <f>HYPERLINK("http://www.weizmann.ac.il/complex/compphys/software/geview/data/figures/201522_x_at.png","Figure")</f>
        <v>Figure</v>
      </c>
      <c r="I13632">
        <v>1.19</v>
      </c>
      <c r="J13632">
        <v>0.88</v>
      </c>
      <c r="K13632">
        <v>1.49</v>
      </c>
      <c r="L13632">
        <v>0.45</v>
      </c>
      <c r="M13632">
        <v>1.25</v>
      </c>
      <c r="N13632">
        <v>0.79</v>
      </c>
    </row>
    <row r="13633" spans="1:14" x14ac:dyDescent="0.25">
      <c r="A13633" t="s">
        <v>23248</v>
      </c>
      <c r="B13633" t="s">
        <v>23249</v>
      </c>
      <c r="C13633" s="1" t="str">
        <f>HYPERLINK("http://www.genecards.org/cgi-bin/carddisp.pl?gene=NME6","GeneCards")</f>
        <v>GeneCards</v>
      </c>
      <c r="D13633" s="1" t="str">
        <f>HYPERLINK("http://genome-euro.ucsc.edu/cgi-bin/hgTracks?position=205851_at","UCSC")</f>
        <v>UCSC</v>
      </c>
      <c r="E13633" s="1" t="str">
        <f>HYPERLINK("http://www.ncbi.nlm.nih.gov/gene/?term=NME6","NCBI")</f>
        <v>NCBI</v>
      </c>
      <c r="F13633">
        <v>0.48</v>
      </c>
      <c r="G13633">
        <v>0.59</v>
      </c>
      <c r="H13633" s="1" t="str">
        <f>HYPERLINK("http://www.weizmann.ac.il/complex/compphys/software/geview/data/figures/205851_at.png","Figure")</f>
        <v>Figure</v>
      </c>
      <c r="I13633">
        <v>0.94499999999999995</v>
      </c>
      <c r="J13633">
        <v>0.69</v>
      </c>
      <c r="K13633">
        <v>1.02</v>
      </c>
      <c r="L13633">
        <v>0.92</v>
      </c>
      <c r="M13633">
        <v>1.08</v>
      </c>
      <c r="N13633">
        <v>0.45</v>
      </c>
    </row>
    <row r="13634" spans="1:14" x14ac:dyDescent="0.25">
      <c r="A13634" t="s">
        <v>23250</v>
      </c>
      <c r="B13634" t="s">
        <v>23251</v>
      </c>
      <c r="C13634" s="1" t="str">
        <f>HYPERLINK("http://www.genecards.org/cgi-bin/carddisp.pl?gene=STXBP2","GeneCards")</f>
        <v>GeneCards</v>
      </c>
      <c r="D13634" s="1" t="str">
        <f>HYPERLINK("http://genome-euro.ucsc.edu/cgi-bin/hgTracks?position=209367_at","UCSC")</f>
        <v>UCSC</v>
      </c>
      <c r="E13634" s="1" t="str">
        <f>HYPERLINK("http://www.ncbi.nlm.nih.gov/gene/?term=STXBP2","NCBI")</f>
        <v>NCBI</v>
      </c>
      <c r="F13634">
        <v>0.48</v>
      </c>
      <c r="G13634">
        <v>0.59</v>
      </c>
      <c r="H13634" s="1" t="str">
        <f>HYPERLINK("http://www.weizmann.ac.il/complex/compphys/software/geview/data/figures/209367_at.png","Figure")</f>
        <v>Figure</v>
      </c>
      <c r="I13634">
        <v>0.83799999999999997</v>
      </c>
      <c r="J13634">
        <v>0.62</v>
      </c>
      <c r="K13634">
        <v>1.03</v>
      </c>
      <c r="L13634">
        <v>0.98</v>
      </c>
      <c r="M13634">
        <v>1.23</v>
      </c>
      <c r="N13634">
        <v>0.46</v>
      </c>
    </row>
    <row r="13635" spans="1:14" x14ac:dyDescent="0.25">
      <c r="A13635" t="s">
        <v>23252</v>
      </c>
      <c r="B13635" t="s">
        <v>11116</v>
      </c>
      <c r="C13635" s="1" t="str">
        <f>HYPERLINK("http://www.genecards.org/cgi-bin/carddisp.pl?gene=IKBKB","GeneCards")</f>
        <v>GeneCards</v>
      </c>
      <c r="D13635" s="1" t="str">
        <f>HYPERLINK("http://genome-euro.ucsc.edu/cgi-bin/hgTracks?position=209341_s_at","UCSC")</f>
        <v>UCSC</v>
      </c>
      <c r="E13635" s="1" t="str">
        <f>HYPERLINK("http://www.ncbi.nlm.nih.gov/gene/?term=IKBKB","NCBI")</f>
        <v>NCBI</v>
      </c>
      <c r="F13635">
        <v>0.48</v>
      </c>
      <c r="G13635">
        <v>0.59</v>
      </c>
      <c r="H13635" s="1" t="str">
        <f>HYPERLINK("http://www.weizmann.ac.il/complex/compphys/software/geview/data/figures/209341_s_at.png","Figure")</f>
        <v>Figure</v>
      </c>
      <c r="I13635">
        <v>0.76700000000000002</v>
      </c>
      <c r="J13635">
        <v>0.54</v>
      </c>
      <c r="K13635">
        <v>0.99399999999999999</v>
      </c>
      <c r="L13635">
        <v>1</v>
      </c>
      <c r="M13635">
        <v>1.3</v>
      </c>
      <c r="N13635">
        <v>0.51</v>
      </c>
    </row>
    <row r="13636" spans="1:14" x14ac:dyDescent="0.25">
      <c r="A13636" t="s">
        <v>23253</v>
      </c>
      <c r="B13636" t="s">
        <v>23254</v>
      </c>
      <c r="C13636" s="1" t="str">
        <f>HYPERLINK("http://www.genecards.org/cgi-bin/carddisp.pl?gene=E2F5","GeneCards")</f>
        <v>GeneCards</v>
      </c>
      <c r="D13636" s="1" t="str">
        <f>HYPERLINK("http://genome-euro.ucsc.edu/cgi-bin/hgTracks?position=221586_s_at","UCSC")</f>
        <v>UCSC</v>
      </c>
      <c r="E13636" s="1" t="str">
        <f>HYPERLINK("http://www.ncbi.nlm.nih.gov/gene/?term=E2F5","NCBI")</f>
        <v>NCBI</v>
      </c>
      <c r="F13636">
        <v>0.48</v>
      </c>
      <c r="G13636">
        <v>0.59</v>
      </c>
      <c r="H13636" s="1" t="str">
        <f>HYPERLINK("http://www.weizmann.ac.il/complex/compphys/software/geview/data/figures/221586_s_at.png","Figure")</f>
        <v>Figure</v>
      </c>
      <c r="I13636">
        <v>1.1100000000000001</v>
      </c>
      <c r="J13636">
        <v>0.7</v>
      </c>
      <c r="K13636">
        <v>0.95499999999999996</v>
      </c>
      <c r="L13636">
        <v>0.91</v>
      </c>
      <c r="M13636">
        <v>0.85799999999999998</v>
      </c>
      <c r="N13636">
        <v>0.45</v>
      </c>
    </row>
    <row r="13637" spans="1:14" x14ac:dyDescent="0.25">
      <c r="A13637" t="s">
        <v>23255</v>
      </c>
      <c r="B13637" t="s">
        <v>23256</v>
      </c>
      <c r="C13637" s="1" t="str">
        <f>HYPERLINK("http://www.genecards.org/cgi-bin/carddisp.pl?gene=LRRC68","GeneCards")</f>
        <v>GeneCards</v>
      </c>
      <c r="D13637" s="1" t="str">
        <f>HYPERLINK("http://genome-euro.ucsc.edu/cgi-bin/hgTracks?position=213751_at","UCSC")</f>
        <v>UCSC</v>
      </c>
      <c r="E13637" s="1" t="str">
        <f>HYPERLINK("http://www.ncbi.nlm.nih.gov/gene/?term=LRRC68","NCBI")</f>
        <v>NCBI</v>
      </c>
      <c r="F13637">
        <v>0.48</v>
      </c>
      <c r="G13637">
        <v>0.59</v>
      </c>
      <c r="H13637" s="1" t="str">
        <f>HYPERLINK("http://www.weizmann.ac.il/complex/compphys/software/geview/data/figures/213751_at.png","Figure")</f>
        <v>Figure</v>
      </c>
      <c r="I13637">
        <v>1.05</v>
      </c>
      <c r="J13637">
        <v>0.46</v>
      </c>
      <c r="K13637">
        <v>1.03</v>
      </c>
      <c r="L13637">
        <v>0.67</v>
      </c>
      <c r="M13637">
        <v>0.98199999999999998</v>
      </c>
      <c r="N13637">
        <v>0.88</v>
      </c>
    </row>
    <row r="13638" spans="1:14" x14ac:dyDescent="0.25">
      <c r="A13638" t="s">
        <v>23257</v>
      </c>
      <c r="B13638" t="s">
        <v>1696</v>
      </c>
      <c r="C13638" s="1" t="str">
        <f>HYPERLINK("http://www.genecards.org/cgi-bin/carddisp.pl?gene=PER2","GeneCards")</f>
        <v>GeneCards</v>
      </c>
      <c r="D13638" s="1" t="str">
        <f>HYPERLINK("http://genome-euro.ucsc.edu/cgi-bin/hgTracks?position=205251_at","UCSC")</f>
        <v>UCSC</v>
      </c>
      <c r="E13638" s="1" t="str">
        <f>HYPERLINK("http://www.ncbi.nlm.nih.gov/gene/?term=PER2","NCBI")</f>
        <v>NCBI</v>
      </c>
      <c r="F13638">
        <v>0.48</v>
      </c>
      <c r="G13638">
        <v>0.59</v>
      </c>
      <c r="H13638" s="1" t="str">
        <f>HYPERLINK("http://www.weizmann.ac.il/complex/compphys/software/geview/data/figures/205251_at.png","Figure")</f>
        <v>Figure</v>
      </c>
      <c r="I13638">
        <v>0.86799999999999999</v>
      </c>
      <c r="J13638">
        <v>0.92</v>
      </c>
      <c r="K13638">
        <v>0.68</v>
      </c>
      <c r="L13638">
        <v>0.46</v>
      </c>
      <c r="M13638">
        <v>0.78400000000000003</v>
      </c>
      <c r="N13638">
        <v>0.76</v>
      </c>
    </row>
    <row r="13639" spans="1:14" x14ac:dyDescent="0.25">
      <c r="A13639" t="s">
        <v>23258</v>
      </c>
      <c r="B13639" t="s">
        <v>10962</v>
      </c>
      <c r="C13639" s="1" t="str">
        <f>HYPERLINK("http://www.genecards.org/cgi-bin/carddisp.pl?gene=TAF6L","GeneCards")</f>
        <v>GeneCards</v>
      </c>
      <c r="D13639" s="1" t="str">
        <f>HYPERLINK("http://genome-euro.ucsc.edu/cgi-bin/hgTracks?position=213210_at","UCSC")</f>
        <v>UCSC</v>
      </c>
      <c r="E13639" s="1" t="str">
        <f>HYPERLINK("http://www.ncbi.nlm.nih.gov/gene/?term=TAF6L","NCBI")</f>
        <v>NCBI</v>
      </c>
      <c r="F13639">
        <v>0.48</v>
      </c>
      <c r="G13639">
        <v>0.59</v>
      </c>
      <c r="H13639" s="1" t="str">
        <f>HYPERLINK("http://www.weizmann.ac.il/complex/compphys/software/geview/data/figures/213210_at.png","Figure")</f>
        <v>Figure</v>
      </c>
      <c r="I13639">
        <v>1.06</v>
      </c>
      <c r="J13639">
        <v>0.46</v>
      </c>
      <c r="K13639">
        <v>1.02</v>
      </c>
      <c r="L13639">
        <v>0.93</v>
      </c>
      <c r="M13639">
        <v>0.95799999999999996</v>
      </c>
      <c r="N13639">
        <v>0.61</v>
      </c>
    </row>
    <row r="13640" spans="1:14" x14ac:dyDescent="0.25">
      <c r="A13640" t="s">
        <v>23259</v>
      </c>
      <c r="B13640" t="s">
        <v>23260</v>
      </c>
      <c r="C13640" s="1" t="str">
        <f>HYPERLINK("http://www.genecards.org/cgi-bin/carddisp.pl?gene=KIR3DX1","GeneCards")</f>
        <v>GeneCards</v>
      </c>
      <c r="D13640" s="1" t="str">
        <f>HYPERLINK("http://genome-euro.ucsc.edu/cgi-bin/hgTracks?position=216492_at","UCSC")</f>
        <v>UCSC</v>
      </c>
      <c r="E13640" s="1" t="str">
        <f>HYPERLINK("http://www.ncbi.nlm.nih.gov/gene/?term=KIR3DX1","NCBI")</f>
        <v>NCBI</v>
      </c>
      <c r="F13640">
        <v>0.48</v>
      </c>
      <c r="G13640">
        <v>0.59</v>
      </c>
      <c r="H13640" s="1" t="str">
        <f>HYPERLINK("http://www.weizmann.ac.il/complex/compphys/software/geview/data/figures/216492_at.png","Figure")</f>
        <v>Figure</v>
      </c>
      <c r="I13640">
        <v>0.94799999999999995</v>
      </c>
      <c r="J13640">
        <v>0.48</v>
      </c>
      <c r="K13640">
        <v>0.96299999999999997</v>
      </c>
      <c r="L13640">
        <v>0.62</v>
      </c>
      <c r="M13640">
        <v>1.02</v>
      </c>
      <c r="N13640">
        <v>0.92</v>
      </c>
    </row>
    <row r="13641" spans="1:14" x14ac:dyDescent="0.25">
      <c r="A13641" t="s">
        <v>23261</v>
      </c>
      <c r="B13641" t="s">
        <v>23262</v>
      </c>
      <c r="C13641" s="1" t="str">
        <f>HYPERLINK("http://www.genecards.org/cgi-bin/carddisp.pl?gene=SHC1","GeneCards")</f>
        <v>GeneCards</v>
      </c>
      <c r="D13641" s="1" t="str">
        <f>HYPERLINK("http://genome-euro.ucsc.edu/cgi-bin/hgTracks?position=214853_s_at","UCSC")</f>
        <v>UCSC</v>
      </c>
      <c r="E13641" s="1" t="str">
        <f>HYPERLINK("http://www.ncbi.nlm.nih.gov/gene/?term=SHC1","NCBI")</f>
        <v>NCBI</v>
      </c>
      <c r="F13641">
        <v>0.48</v>
      </c>
      <c r="G13641">
        <v>0.59</v>
      </c>
      <c r="H13641" s="1" t="str">
        <f>HYPERLINK("http://www.weizmann.ac.il/complex/compphys/software/geview/data/figures/214853_s_at.png","Figure")</f>
        <v>Figure</v>
      </c>
      <c r="I13641">
        <v>1.02</v>
      </c>
      <c r="J13641">
        <v>1</v>
      </c>
      <c r="K13641">
        <v>0.86099999999999999</v>
      </c>
      <c r="L13641">
        <v>0.56999999999999995</v>
      </c>
      <c r="M13641">
        <v>0.84799999999999998</v>
      </c>
      <c r="N13641">
        <v>0.55000000000000004</v>
      </c>
    </row>
    <row r="13642" spans="1:14" x14ac:dyDescent="0.25">
      <c r="A13642" t="s">
        <v>23263</v>
      </c>
      <c r="B13642" t="s">
        <v>23264</v>
      </c>
      <c r="C13642" s="1" t="str">
        <f>HYPERLINK("http://www.genecards.org/cgi-bin/carddisp.pl?gene=SNAP25","GeneCards")</f>
        <v>GeneCards</v>
      </c>
      <c r="D13642" s="1" t="str">
        <f>HYPERLINK("http://genome-euro.ucsc.edu/cgi-bin/hgTracks?position=202507_s_at","UCSC")</f>
        <v>UCSC</v>
      </c>
      <c r="E13642" s="1" t="str">
        <f>HYPERLINK("http://www.ncbi.nlm.nih.gov/gene/?term=SNAP25","NCBI")</f>
        <v>NCBI</v>
      </c>
      <c r="F13642">
        <v>0.48</v>
      </c>
      <c r="G13642">
        <v>0.6</v>
      </c>
      <c r="H13642" s="1" t="str">
        <f>HYPERLINK("http://www.weizmann.ac.il/complex/compphys/software/geview/data/figures/202507_s_at.png","Figure")</f>
        <v>Figure</v>
      </c>
      <c r="I13642">
        <v>1.08</v>
      </c>
      <c r="J13642">
        <v>0.47</v>
      </c>
      <c r="K13642">
        <v>1.05</v>
      </c>
      <c r="L13642">
        <v>0.65</v>
      </c>
      <c r="M13642">
        <v>0.97399999999999998</v>
      </c>
      <c r="N13642">
        <v>0.9</v>
      </c>
    </row>
    <row r="13643" spans="1:14" x14ac:dyDescent="0.25">
      <c r="A13643" t="s">
        <v>23265</v>
      </c>
      <c r="B13643" t="s">
        <v>14505</v>
      </c>
      <c r="C13643" s="1" t="str">
        <f>HYPERLINK("http://www.genecards.org/cgi-bin/carddisp.pl?gene=SLC7A1","GeneCards")</f>
        <v>GeneCards</v>
      </c>
      <c r="D13643" s="1" t="str">
        <f>HYPERLINK("http://genome-euro.ucsc.edu/cgi-bin/hgTracks?position=215979_s_at","UCSC")</f>
        <v>UCSC</v>
      </c>
      <c r="E13643" s="1" t="str">
        <f>HYPERLINK("http://www.ncbi.nlm.nih.gov/gene/?term=SLC7A1","NCBI")</f>
        <v>NCBI</v>
      </c>
      <c r="F13643">
        <v>0.48</v>
      </c>
      <c r="G13643">
        <v>0.6</v>
      </c>
      <c r="H13643" s="1" t="str">
        <f>HYPERLINK("http://www.weizmann.ac.il/complex/compphys/software/geview/data/figures/215979_s_at.png","Figure")</f>
        <v>Figure</v>
      </c>
      <c r="I13643">
        <v>1.04</v>
      </c>
      <c r="J13643">
        <v>0.45</v>
      </c>
      <c r="K13643">
        <v>1.01</v>
      </c>
      <c r="L13643">
        <v>0.84</v>
      </c>
      <c r="M13643">
        <v>0.97699999999999998</v>
      </c>
      <c r="N13643">
        <v>0.7</v>
      </c>
    </row>
    <row r="13644" spans="1:14" x14ac:dyDescent="0.25">
      <c r="A13644" t="s">
        <v>23266</v>
      </c>
      <c r="B13644" t="s">
        <v>23267</v>
      </c>
      <c r="C13644" s="1" t="str">
        <f>HYPERLINK("http://www.genecards.org/cgi-bin/carddisp.pl?gene=LRCH1","GeneCards")</f>
        <v>GeneCards</v>
      </c>
      <c r="D13644" s="1" t="str">
        <f>HYPERLINK("http://genome-euro.ucsc.edu/cgi-bin/hgTracks?position=214936_at","UCSC")</f>
        <v>UCSC</v>
      </c>
      <c r="E13644" s="1" t="str">
        <f>HYPERLINK("http://www.ncbi.nlm.nih.gov/gene/?term=LRCH1","NCBI")</f>
        <v>NCBI</v>
      </c>
      <c r="F13644">
        <v>0.48</v>
      </c>
      <c r="G13644">
        <v>0.6</v>
      </c>
      <c r="H13644" s="1" t="str">
        <f>HYPERLINK("http://www.weizmann.ac.il/complex/compphys/software/geview/data/figures/214936_at.png","Figure")</f>
        <v>Figure</v>
      </c>
      <c r="I13644">
        <v>1.01</v>
      </c>
      <c r="J13644">
        <v>0.99</v>
      </c>
      <c r="K13644">
        <v>0.94599999999999995</v>
      </c>
      <c r="L13644">
        <v>0.59</v>
      </c>
      <c r="M13644">
        <v>0.93700000000000006</v>
      </c>
      <c r="N13644">
        <v>0.54</v>
      </c>
    </row>
    <row r="13645" spans="1:14" x14ac:dyDescent="0.25">
      <c r="A13645" t="s">
        <v>23268</v>
      </c>
      <c r="B13645" t="s">
        <v>18744</v>
      </c>
      <c r="C13645" s="1" t="str">
        <f>HYPERLINK("http://www.genecards.org/cgi-bin/carddisp.pl?gene=STAT6","GeneCards")</f>
        <v>GeneCards</v>
      </c>
      <c r="D13645" s="1" t="str">
        <f>HYPERLINK("http://genome-euro.ucsc.edu/cgi-bin/hgTracks?position=201331_s_at","UCSC")</f>
        <v>UCSC</v>
      </c>
      <c r="E13645" s="1" t="str">
        <f>HYPERLINK("http://www.ncbi.nlm.nih.gov/gene/?term=STAT6","NCBI")</f>
        <v>NCBI</v>
      </c>
      <c r="F13645">
        <v>0.48</v>
      </c>
      <c r="G13645">
        <v>0.6</v>
      </c>
      <c r="H13645" s="1" t="str">
        <f>HYPERLINK("http://www.weizmann.ac.il/complex/compphys/software/geview/data/figures/201331_s_at.png","Figure")</f>
        <v>Figure</v>
      </c>
      <c r="I13645">
        <v>1.05</v>
      </c>
      <c r="J13645">
        <v>0.99</v>
      </c>
      <c r="K13645">
        <v>1.34</v>
      </c>
      <c r="L13645">
        <v>0.5</v>
      </c>
      <c r="M13645">
        <v>1.28</v>
      </c>
      <c r="N13645">
        <v>0.65</v>
      </c>
    </row>
    <row r="13646" spans="1:14" x14ac:dyDescent="0.25">
      <c r="A13646" t="s">
        <v>23269</v>
      </c>
      <c r="B13646" t="s">
        <v>23270</v>
      </c>
      <c r="C13646" s="1" t="str">
        <f>HYPERLINK("http://www.genecards.org/cgi-bin/carddisp.pl?gene=KRT9","GeneCards")</f>
        <v>GeneCards</v>
      </c>
      <c r="D13646" s="1" t="str">
        <f>HYPERLINK("http://genome-euro.ucsc.edu/cgi-bin/hgTracks?position=208188_at","UCSC")</f>
        <v>UCSC</v>
      </c>
      <c r="E13646" s="1" t="str">
        <f>HYPERLINK("http://www.ncbi.nlm.nih.gov/gene/?term=KRT9","NCBI")</f>
        <v>NCBI</v>
      </c>
      <c r="F13646">
        <v>0.48</v>
      </c>
      <c r="G13646">
        <v>0.6</v>
      </c>
      <c r="H13646" s="1" t="str">
        <f>HYPERLINK("http://www.weizmann.ac.il/complex/compphys/software/geview/data/figures/208188_at.png","Figure")</f>
        <v>Figure</v>
      </c>
      <c r="I13646">
        <v>0.93400000000000005</v>
      </c>
      <c r="J13646">
        <v>0.69</v>
      </c>
      <c r="K13646">
        <v>0.91500000000000004</v>
      </c>
      <c r="L13646">
        <v>0.46</v>
      </c>
      <c r="M13646">
        <v>0.98</v>
      </c>
      <c r="N13646">
        <v>0.96</v>
      </c>
    </row>
    <row r="13647" spans="1:14" x14ac:dyDescent="0.25">
      <c r="A13647" t="s">
        <v>23271</v>
      </c>
      <c r="B13647" t="s">
        <v>15929</v>
      </c>
      <c r="C13647" s="1" t="str">
        <f>HYPERLINK("http://www.genecards.org/cgi-bin/carddisp.pl?gene=RCHY1","GeneCards")</f>
        <v>GeneCards</v>
      </c>
      <c r="D13647" s="1" t="str">
        <f>HYPERLINK("http://genome-euro.ucsc.edu/cgi-bin/hgTracks?position=212743_at","UCSC")</f>
        <v>UCSC</v>
      </c>
      <c r="E13647" s="1" t="str">
        <f>HYPERLINK("http://www.ncbi.nlm.nih.gov/gene/?term=RCHY1","NCBI")</f>
        <v>NCBI</v>
      </c>
      <c r="F13647">
        <v>0.48</v>
      </c>
      <c r="G13647">
        <v>0.6</v>
      </c>
      <c r="H13647" s="1" t="str">
        <f>HYPERLINK("http://www.weizmann.ac.il/complex/compphys/software/geview/data/figures/212743_at.png","Figure")</f>
        <v>Figure</v>
      </c>
      <c r="I13647">
        <v>1.04</v>
      </c>
      <c r="J13647">
        <v>0.73</v>
      </c>
      <c r="K13647">
        <v>0.98099999999999998</v>
      </c>
      <c r="L13647">
        <v>0.89</v>
      </c>
      <c r="M13647">
        <v>0.94599999999999995</v>
      </c>
      <c r="N13647">
        <v>0.45</v>
      </c>
    </row>
    <row r="13648" spans="1:14" x14ac:dyDescent="0.25">
      <c r="A13648" t="s">
        <v>23272</v>
      </c>
      <c r="B13648" t="s">
        <v>23273</v>
      </c>
      <c r="C13648" s="1" t="str">
        <f>HYPERLINK("http://www.genecards.org/cgi-bin/carddisp.pl?gene=NHLRC2","GeneCards")</f>
        <v>GeneCards</v>
      </c>
      <c r="D13648" s="1" t="str">
        <f>HYPERLINK("http://genome-euro.ucsc.edu/cgi-bin/hgTracks?position=219353_at","UCSC")</f>
        <v>UCSC</v>
      </c>
      <c r="E13648" s="1" t="str">
        <f>HYPERLINK("http://www.ncbi.nlm.nih.gov/gene/?term=NHLRC2","NCBI")</f>
        <v>NCBI</v>
      </c>
      <c r="F13648">
        <v>0.48</v>
      </c>
      <c r="G13648">
        <v>0.6</v>
      </c>
      <c r="H13648" s="1" t="str">
        <f>HYPERLINK("http://www.weizmann.ac.il/complex/compphys/software/geview/data/figures/219353_at.png","Figure")</f>
        <v>Figure</v>
      </c>
      <c r="I13648">
        <v>0.93300000000000005</v>
      </c>
      <c r="J13648">
        <v>0.45</v>
      </c>
      <c r="K13648">
        <v>0.96299999999999997</v>
      </c>
      <c r="L13648">
        <v>0.73</v>
      </c>
      <c r="M13648">
        <v>1.03</v>
      </c>
      <c r="N13648">
        <v>0.82</v>
      </c>
    </row>
    <row r="13649" spans="1:14" x14ac:dyDescent="0.25">
      <c r="A13649" t="s">
        <v>23274</v>
      </c>
      <c r="B13649" t="s">
        <v>23275</v>
      </c>
      <c r="C13649" s="1" t="str">
        <f>HYPERLINK("http://www.genecards.org/cgi-bin/carddisp.pl?gene=SGK2","GeneCards")</f>
        <v>GeneCards</v>
      </c>
      <c r="D13649" s="1" t="str">
        <f>HYPERLINK("http://genome-euro.ucsc.edu/cgi-bin/hgTracks?position=220357_s_at","UCSC")</f>
        <v>UCSC</v>
      </c>
      <c r="E13649" s="1" t="str">
        <f>HYPERLINK("http://www.ncbi.nlm.nih.gov/gene/?term=SGK2","NCBI")</f>
        <v>NCBI</v>
      </c>
      <c r="F13649">
        <v>0.48</v>
      </c>
      <c r="G13649">
        <v>0.6</v>
      </c>
      <c r="H13649" s="1" t="str">
        <f>HYPERLINK("http://www.weizmann.ac.il/complex/compphys/software/geview/data/figures/220357_s_at.png","Figure")</f>
        <v>Figure</v>
      </c>
      <c r="I13649">
        <v>1.03</v>
      </c>
      <c r="J13649">
        <v>0.88</v>
      </c>
      <c r="K13649">
        <v>0.96499999999999997</v>
      </c>
      <c r="L13649">
        <v>0.74</v>
      </c>
      <c r="M13649">
        <v>0.93899999999999995</v>
      </c>
      <c r="N13649">
        <v>0.47</v>
      </c>
    </row>
    <row r="13650" spans="1:14" x14ac:dyDescent="0.25">
      <c r="A13650" t="s">
        <v>23276</v>
      </c>
      <c r="B13650" t="s">
        <v>17706</v>
      </c>
      <c r="C13650" s="1" t="str">
        <f>HYPERLINK("http://www.genecards.org/cgi-bin/carddisp.pl?gene=BIN1","GeneCards")</f>
        <v>GeneCards</v>
      </c>
      <c r="D13650" s="1" t="str">
        <f>HYPERLINK("http://genome-euro.ucsc.edu/cgi-bin/hgTracks?position=214643_x_at","UCSC")</f>
        <v>UCSC</v>
      </c>
      <c r="E13650" s="1" t="str">
        <f>HYPERLINK("http://www.ncbi.nlm.nih.gov/gene/?term=BIN1","NCBI")</f>
        <v>NCBI</v>
      </c>
      <c r="F13650">
        <v>0.48</v>
      </c>
      <c r="G13650">
        <v>0.6</v>
      </c>
      <c r="H13650" s="1" t="str">
        <f>HYPERLINK("http://www.weizmann.ac.il/complex/compphys/software/geview/data/figures/214643_x_at.png","Figure")</f>
        <v>Figure</v>
      </c>
      <c r="I13650">
        <v>1.1399999999999999</v>
      </c>
      <c r="J13650">
        <v>0.51</v>
      </c>
      <c r="K13650">
        <v>1.1100000000000001</v>
      </c>
      <c r="L13650">
        <v>0.56999999999999995</v>
      </c>
      <c r="M13650">
        <v>0.97399999999999998</v>
      </c>
      <c r="N13650">
        <v>0.97</v>
      </c>
    </row>
    <row r="13651" spans="1:14" x14ac:dyDescent="0.25">
      <c r="A13651" t="s">
        <v>23277</v>
      </c>
      <c r="B13651" t="s">
        <v>22455</v>
      </c>
      <c r="C13651" s="1" t="str">
        <f>HYPERLINK("http://www.genecards.org/cgi-bin/carddisp.pl?gene=PEX6","GeneCards")</f>
        <v>GeneCards</v>
      </c>
      <c r="D13651" s="1" t="str">
        <f>HYPERLINK("http://genome-euro.ucsc.edu/cgi-bin/hgTracks?position=204545_at","UCSC")</f>
        <v>UCSC</v>
      </c>
      <c r="E13651" s="1" t="str">
        <f>HYPERLINK("http://www.ncbi.nlm.nih.gov/gene/?term=PEX6","NCBI")</f>
        <v>NCBI</v>
      </c>
      <c r="F13651">
        <v>0.48</v>
      </c>
      <c r="G13651">
        <v>0.6</v>
      </c>
      <c r="H13651" s="1" t="str">
        <f>HYPERLINK("http://www.weizmann.ac.il/complex/compphys/software/geview/data/figures/204545_at.png","Figure")</f>
        <v>Figure</v>
      </c>
      <c r="I13651">
        <v>1.07</v>
      </c>
      <c r="J13651">
        <v>0.96</v>
      </c>
      <c r="K13651">
        <v>1.29</v>
      </c>
      <c r="L13651">
        <v>0.48</v>
      </c>
      <c r="M13651">
        <v>1.21</v>
      </c>
      <c r="N13651">
        <v>0.69</v>
      </c>
    </row>
    <row r="13652" spans="1:14" x14ac:dyDescent="0.25">
      <c r="A13652" t="s">
        <v>23278</v>
      </c>
      <c r="B13652" t="s">
        <v>10876</v>
      </c>
      <c r="C13652" s="1" t="str">
        <f>HYPERLINK("http://www.genecards.org/cgi-bin/carddisp.pl?gene=KPNA1","GeneCards")</f>
        <v>GeneCards</v>
      </c>
      <c r="D13652" s="1" t="str">
        <f>HYPERLINK("http://genome-euro.ucsc.edu/cgi-bin/hgTracks?position=202059_s_at","UCSC")</f>
        <v>UCSC</v>
      </c>
      <c r="E13652" s="1" t="str">
        <f>HYPERLINK("http://www.ncbi.nlm.nih.gov/gene/?term=KPNA1","NCBI")</f>
        <v>NCBI</v>
      </c>
      <c r="F13652">
        <v>0.48</v>
      </c>
      <c r="G13652">
        <v>0.6</v>
      </c>
      <c r="H13652" s="1" t="str">
        <f>HYPERLINK("http://www.weizmann.ac.il/complex/compphys/software/geview/data/figures/202059_s_at.png","Figure")</f>
        <v>Figure</v>
      </c>
      <c r="I13652">
        <v>1.24</v>
      </c>
      <c r="J13652">
        <v>0.48</v>
      </c>
      <c r="K13652">
        <v>1.05</v>
      </c>
      <c r="L13652">
        <v>0.95</v>
      </c>
      <c r="M13652">
        <v>0.84799999999999998</v>
      </c>
      <c r="N13652">
        <v>0.59</v>
      </c>
    </row>
    <row r="13653" spans="1:14" x14ac:dyDescent="0.25">
      <c r="A13653" t="s">
        <v>23279</v>
      </c>
      <c r="B13653" t="s">
        <v>23280</v>
      </c>
      <c r="C13653" s="1" t="str">
        <f>HYPERLINK("http://www.genecards.org/cgi-bin/carddisp.pl?gene=KIF2A","GeneCards")</f>
        <v>GeneCards</v>
      </c>
      <c r="D13653" s="1" t="str">
        <f>HYPERLINK("http://genome-euro.ucsc.edu/cgi-bin/hgTracks?position=203086_at","UCSC")</f>
        <v>UCSC</v>
      </c>
      <c r="E13653" s="1" t="str">
        <f>HYPERLINK("http://www.ncbi.nlm.nih.gov/gene/?term=KIF2A","NCBI")</f>
        <v>NCBI</v>
      </c>
      <c r="F13653">
        <v>0.48</v>
      </c>
      <c r="G13653">
        <v>0.6</v>
      </c>
      <c r="H13653" s="1" t="str">
        <f>HYPERLINK("http://www.weizmann.ac.il/complex/compphys/software/geview/data/figures/203086_at.png","Figure")</f>
        <v>Figure</v>
      </c>
      <c r="I13653">
        <v>0.95399999999999996</v>
      </c>
      <c r="J13653">
        <v>0.52</v>
      </c>
      <c r="K13653">
        <v>0.997</v>
      </c>
      <c r="L13653">
        <v>1</v>
      </c>
      <c r="M13653">
        <v>1.04</v>
      </c>
      <c r="N13653">
        <v>0.52</v>
      </c>
    </row>
    <row r="13654" spans="1:14" x14ac:dyDescent="0.25">
      <c r="A13654" t="s">
        <v>23281</v>
      </c>
      <c r="B13654" t="s">
        <v>23282</v>
      </c>
      <c r="C13654" s="1" t="str">
        <f>HYPERLINK("http://www.genecards.org/cgi-bin/carddisp.pl?gene=hCG_2009921","GeneCards")</f>
        <v>GeneCards</v>
      </c>
      <c r="D13654" s="1" t="str">
        <f>HYPERLINK("http://genome-euro.ucsc.edu/cgi-bin/hgTracks?position=215297_at","UCSC")</f>
        <v>UCSC</v>
      </c>
      <c r="E13654" s="1" t="str">
        <f>HYPERLINK("http://www.ncbi.nlm.nih.gov/gene/?term=hCG_2009921","NCBI")</f>
        <v>NCBI</v>
      </c>
      <c r="F13654">
        <v>0.48</v>
      </c>
      <c r="G13654">
        <v>0.6</v>
      </c>
      <c r="H13654" s="1" t="str">
        <f>HYPERLINK("http://www.weizmann.ac.il/complex/compphys/software/geview/data/figures/215297_at.png","Figure")</f>
        <v>Figure</v>
      </c>
      <c r="I13654">
        <v>0.99</v>
      </c>
      <c r="J13654">
        <v>0.8</v>
      </c>
      <c r="K13654">
        <v>0.98199999999999998</v>
      </c>
      <c r="L13654">
        <v>0.45</v>
      </c>
      <c r="M13654">
        <v>0.99299999999999999</v>
      </c>
      <c r="N13654">
        <v>0.88</v>
      </c>
    </row>
    <row r="13655" spans="1:14" x14ac:dyDescent="0.25">
      <c r="A13655" t="s">
        <v>23283</v>
      </c>
      <c r="B13655" t="s">
        <v>21581</v>
      </c>
      <c r="C13655" s="1" t="str">
        <f>HYPERLINK("http://www.genecards.org/cgi-bin/carddisp.pl?gene=ZNF148","GeneCards")</f>
        <v>GeneCards</v>
      </c>
      <c r="D13655" s="1" t="str">
        <f>HYPERLINK("http://genome-euro.ucsc.edu/cgi-bin/hgTracks?position=203319_s_at","UCSC")</f>
        <v>UCSC</v>
      </c>
      <c r="E13655" s="1" t="str">
        <f>HYPERLINK("http://www.ncbi.nlm.nih.gov/gene/?term=ZNF148","NCBI")</f>
        <v>NCBI</v>
      </c>
      <c r="F13655">
        <v>0.48</v>
      </c>
      <c r="G13655">
        <v>0.6</v>
      </c>
      <c r="H13655" s="1" t="str">
        <f>HYPERLINK("http://www.weizmann.ac.il/complex/compphys/software/geview/data/figures/203319_s_at.png","Figure")</f>
        <v>Figure</v>
      </c>
      <c r="I13655">
        <v>0.83099999999999996</v>
      </c>
      <c r="J13655">
        <v>0.69</v>
      </c>
      <c r="K13655">
        <v>1.07</v>
      </c>
      <c r="L13655">
        <v>0.93</v>
      </c>
      <c r="M13655">
        <v>1.29</v>
      </c>
      <c r="N13655">
        <v>0.45</v>
      </c>
    </row>
    <row r="13656" spans="1:14" x14ac:dyDescent="0.25">
      <c r="A13656" t="s">
        <v>23284</v>
      </c>
      <c r="B13656" t="s">
        <v>23285</v>
      </c>
      <c r="C13656" s="1" t="str">
        <f>HYPERLINK("http://www.genecards.org/cgi-bin/carddisp.pl?gene=CHST15","GeneCards")</f>
        <v>GeneCards</v>
      </c>
      <c r="D13656" s="1" t="str">
        <f>HYPERLINK("http://genome-euro.ucsc.edu/cgi-bin/hgTracks?position=203066_at","UCSC")</f>
        <v>UCSC</v>
      </c>
      <c r="E13656" s="1" t="str">
        <f>HYPERLINK("http://www.ncbi.nlm.nih.gov/gene/?term=CHST15","NCBI")</f>
        <v>NCBI</v>
      </c>
      <c r="F13656">
        <v>0.48</v>
      </c>
      <c r="G13656">
        <v>0.6</v>
      </c>
      <c r="H13656" s="1" t="str">
        <f>HYPERLINK("http://www.weizmann.ac.il/complex/compphys/software/geview/data/figures/203066_at.png","Figure")</f>
        <v>Figure</v>
      </c>
      <c r="I13656">
        <v>0.57599999999999996</v>
      </c>
      <c r="J13656">
        <v>0.45</v>
      </c>
      <c r="K13656">
        <v>0.77</v>
      </c>
      <c r="L13656">
        <v>0.78</v>
      </c>
      <c r="M13656">
        <v>1.34</v>
      </c>
      <c r="N13656">
        <v>0.77</v>
      </c>
    </row>
    <row r="13657" spans="1:14" x14ac:dyDescent="0.25">
      <c r="A13657" t="s">
        <v>23286</v>
      </c>
      <c r="B13657" t="s">
        <v>22362</v>
      </c>
      <c r="C13657" s="1" t="str">
        <f>HYPERLINK("http://www.genecards.org/cgi-bin/carddisp.pl?gene=BCLAF1","GeneCards")</f>
        <v>GeneCards</v>
      </c>
      <c r="D13657" s="1" t="str">
        <f>HYPERLINK("http://genome-euro.ucsc.edu/cgi-bin/hgTracks?position=214499_s_at","UCSC")</f>
        <v>UCSC</v>
      </c>
      <c r="E13657" s="1" t="str">
        <f>HYPERLINK("http://www.ncbi.nlm.nih.gov/gene/?term=BCLAF1","NCBI")</f>
        <v>NCBI</v>
      </c>
      <c r="F13657">
        <v>0.48</v>
      </c>
      <c r="G13657">
        <v>0.6</v>
      </c>
      <c r="H13657" s="1" t="str">
        <f>HYPERLINK("http://www.weizmann.ac.il/complex/compphys/software/geview/data/figures/214499_s_at.png","Figure")</f>
        <v>Figure</v>
      </c>
      <c r="I13657">
        <v>0.94499999999999995</v>
      </c>
      <c r="J13657">
        <v>0.98</v>
      </c>
      <c r="K13657">
        <v>0.73799999999999999</v>
      </c>
      <c r="L13657">
        <v>0.5</v>
      </c>
      <c r="M13657">
        <v>0.78100000000000003</v>
      </c>
      <c r="N13657">
        <v>0.66</v>
      </c>
    </row>
    <row r="13658" spans="1:14" x14ac:dyDescent="0.25">
      <c r="A13658" t="s">
        <v>23287</v>
      </c>
      <c r="B13658" t="s">
        <v>23288</v>
      </c>
      <c r="C13658" s="1" t="str">
        <f>HYPERLINK("http://www.genecards.org/cgi-bin/carddisp.pl?gene=C20orf12","GeneCards")</f>
        <v>GeneCards</v>
      </c>
      <c r="D13658" s="1" t="str">
        <f>HYPERLINK("http://genome-euro.ucsc.edu/cgi-bin/hgTracks?position=219951_s_at","UCSC")</f>
        <v>UCSC</v>
      </c>
      <c r="E13658" s="1" t="str">
        <f>HYPERLINK("http://www.ncbi.nlm.nih.gov/gene/?term=C20orf12","NCBI")</f>
        <v>NCBI</v>
      </c>
      <c r="F13658">
        <v>0.48</v>
      </c>
      <c r="G13658">
        <v>0.6</v>
      </c>
      <c r="H13658" s="1" t="str">
        <f>HYPERLINK("http://www.weizmann.ac.il/complex/compphys/software/geview/data/figures/219951_s_at.png","Figure")</f>
        <v>Figure</v>
      </c>
      <c r="I13658">
        <v>1.02</v>
      </c>
      <c r="J13658">
        <v>0.97</v>
      </c>
      <c r="K13658">
        <v>0.94499999999999995</v>
      </c>
      <c r="L13658">
        <v>0.63</v>
      </c>
      <c r="M13658">
        <v>0.93</v>
      </c>
      <c r="N13658">
        <v>0.52</v>
      </c>
    </row>
    <row r="13659" spans="1:14" x14ac:dyDescent="0.25">
      <c r="A13659" t="s">
        <v>23289</v>
      </c>
      <c r="B13659" t="s">
        <v>20050</v>
      </c>
      <c r="C13659" s="1" t="str">
        <f>HYPERLINK("http://www.genecards.org/cgi-bin/carddisp.pl?gene=INPP5B","GeneCards")</f>
        <v>GeneCards</v>
      </c>
      <c r="D13659" s="1" t="str">
        <f>HYPERLINK("http://genome-euro.ucsc.edu/cgi-bin/hgTracks?position=213804_at","UCSC")</f>
        <v>UCSC</v>
      </c>
      <c r="E13659" s="1" t="str">
        <f>HYPERLINK("http://www.ncbi.nlm.nih.gov/gene/?term=INPP5B","NCBI")</f>
        <v>NCBI</v>
      </c>
      <c r="F13659">
        <v>0.48</v>
      </c>
      <c r="G13659">
        <v>0.6</v>
      </c>
      <c r="H13659" s="1" t="str">
        <f>HYPERLINK("http://www.weizmann.ac.il/complex/compphys/software/geview/data/figures/213804_at.png","Figure")</f>
        <v>Figure</v>
      </c>
      <c r="I13659">
        <v>1.03</v>
      </c>
      <c r="J13659">
        <v>0.95</v>
      </c>
      <c r="K13659">
        <v>0.91700000000000004</v>
      </c>
      <c r="L13659">
        <v>0.66</v>
      </c>
      <c r="M13659">
        <v>0.88600000000000001</v>
      </c>
      <c r="N13659">
        <v>0.5</v>
      </c>
    </row>
    <row r="13660" spans="1:14" x14ac:dyDescent="0.25">
      <c r="A13660" t="s">
        <v>23290</v>
      </c>
      <c r="B13660" t="s">
        <v>10988</v>
      </c>
      <c r="C13660" s="1" t="str">
        <f>HYPERLINK("http://www.genecards.org/cgi-bin/carddisp.pl?gene=RPL14","GeneCards")</f>
        <v>GeneCards</v>
      </c>
      <c r="D13660" s="1" t="str">
        <f>HYPERLINK("http://genome-euro.ucsc.edu/cgi-bin/hgTracks?position=200074_s_at","UCSC")</f>
        <v>UCSC</v>
      </c>
      <c r="E13660" s="1" t="str">
        <f>HYPERLINK("http://www.ncbi.nlm.nih.gov/gene/?term=RPL14","NCBI")</f>
        <v>NCBI</v>
      </c>
      <c r="F13660">
        <v>0.48</v>
      </c>
      <c r="G13660">
        <v>0.6</v>
      </c>
      <c r="H13660" s="1" t="str">
        <f>HYPERLINK("http://www.weizmann.ac.il/complex/compphys/software/geview/data/figures/200074_s_at.png","Figure")</f>
        <v>Figure</v>
      </c>
      <c r="I13660">
        <v>0.81200000000000006</v>
      </c>
      <c r="J13660">
        <v>0.61</v>
      </c>
      <c r="K13660">
        <v>1.03</v>
      </c>
      <c r="L13660">
        <v>0.98</v>
      </c>
      <c r="M13660">
        <v>1.27</v>
      </c>
      <c r="N13660">
        <v>0.47</v>
      </c>
    </row>
    <row r="13661" spans="1:14" x14ac:dyDescent="0.25">
      <c r="A13661" t="s">
        <v>23291</v>
      </c>
      <c r="B13661" t="s">
        <v>14593</v>
      </c>
      <c r="C13661" s="1" t="str">
        <f>HYPERLINK("http://www.genecards.org/cgi-bin/carddisp.pl?gene=EXOSC2","GeneCards")</f>
        <v>GeneCards</v>
      </c>
      <c r="D13661" s="1" t="str">
        <f>HYPERLINK("http://genome-euro.ucsc.edu/cgi-bin/hgTracks?position=209527_at","UCSC")</f>
        <v>UCSC</v>
      </c>
      <c r="E13661" s="1" t="str">
        <f>HYPERLINK("http://www.ncbi.nlm.nih.gov/gene/?term=EXOSC2","NCBI")</f>
        <v>NCBI</v>
      </c>
      <c r="F13661">
        <v>0.48</v>
      </c>
      <c r="G13661">
        <v>0.6</v>
      </c>
      <c r="H13661" s="1" t="str">
        <f>HYPERLINK("http://www.weizmann.ac.il/complex/compphys/software/geview/data/figures/209527_at.png","Figure")</f>
        <v>Figure</v>
      </c>
      <c r="I13661">
        <v>0.88800000000000001</v>
      </c>
      <c r="J13661">
        <v>0.83</v>
      </c>
      <c r="K13661">
        <v>1.1200000000000001</v>
      </c>
      <c r="L13661">
        <v>0.8</v>
      </c>
      <c r="M13661">
        <v>1.26</v>
      </c>
      <c r="N13661">
        <v>0.45</v>
      </c>
    </row>
    <row r="13662" spans="1:14" x14ac:dyDescent="0.25">
      <c r="A13662" t="s">
        <v>23292</v>
      </c>
      <c r="B13662" t="s">
        <v>23293</v>
      </c>
      <c r="C13662" s="1" t="str">
        <f>HYPERLINK("http://www.genecards.org/cgi-bin/carddisp.pl?gene=TYROBP","GeneCards")</f>
        <v>GeneCards</v>
      </c>
      <c r="D13662" s="1" t="str">
        <f>HYPERLINK("http://genome-euro.ucsc.edu/cgi-bin/hgTracks?position=204122_at","UCSC")</f>
        <v>UCSC</v>
      </c>
      <c r="E13662" s="1" t="str">
        <f>HYPERLINK("http://www.ncbi.nlm.nih.gov/gene/?term=TYROBP","NCBI")</f>
        <v>NCBI</v>
      </c>
      <c r="F13662">
        <v>0.48</v>
      </c>
      <c r="G13662">
        <v>0.6</v>
      </c>
      <c r="H13662" s="1" t="str">
        <f>HYPERLINK("http://www.weizmann.ac.il/complex/compphys/software/geview/data/figures/204122_at.png","Figure")</f>
        <v>Figure</v>
      </c>
      <c r="I13662">
        <v>0.69299999999999995</v>
      </c>
      <c r="J13662">
        <v>0.46</v>
      </c>
      <c r="K13662">
        <v>0.88600000000000001</v>
      </c>
      <c r="L13662">
        <v>0.89</v>
      </c>
      <c r="M13662">
        <v>1.28</v>
      </c>
      <c r="N13662">
        <v>0.66</v>
      </c>
    </row>
    <row r="13663" spans="1:14" x14ac:dyDescent="0.25">
      <c r="A13663" t="s">
        <v>23294</v>
      </c>
      <c r="B13663" t="s">
        <v>23295</v>
      </c>
      <c r="C13663" s="1" t="str">
        <f>HYPERLINK("http://www.genecards.org/cgi-bin/carddisp.pl?gene=SLC18A1","GeneCards")</f>
        <v>GeneCards</v>
      </c>
      <c r="D13663" s="1" t="str">
        <f>HYPERLINK("http://genome-euro.ucsc.edu/cgi-bin/hgTracks?position=207074_s_at","UCSC")</f>
        <v>UCSC</v>
      </c>
      <c r="E13663" s="1" t="str">
        <f>HYPERLINK("http://www.ncbi.nlm.nih.gov/gene/?term=SLC18A1","NCBI")</f>
        <v>NCBI</v>
      </c>
      <c r="F13663">
        <v>0.48</v>
      </c>
      <c r="G13663">
        <v>0.6</v>
      </c>
      <c r="H13663" s="1" t="str">
        <f>HYPERLINK("http://www.weizmann.ac.il/complex/compphys/software/geview/data/figures/207074_s_at.png","Figure")</f>
        <v>Figure</v>
      </c>
      <c r="I13663">
        <v>1.01</v>
      </c>
      <c r="J13663">
        <v>0.95</v>
      </c>
      <c r="K13663">
        <v>0.96299999999999997</v>
      </c>
      <c r="L13663">
        <v>0.65</v>
      </c>
      <c r="M13663">
        <v>0.94899999999999995</v>
      </c>
      <c r="N13663">
        <v>0.5</v>
      </c>
    </row>
    <row r="13664" spans="1:14" x14ac:dyDescent="0.25">
      <c r="A13664" t="s">
        <v>23296</v>
      </c>
      <c r="B13664" t="s">
        <v>23297</v>
      </c>
      <c r="C13664" s="1" t="str">
        <f>HYPERLINK("http://www.genecards.org/cgi-bin/carddisp.pl?gene=MBTPS1","GeneCards")</f>
        <v>GeneCards</v>
      </c>
      <c r="D13664" s="1" t="str">
        <f>HYPERLINK("http://genome-euro.ucsc.edu/cgi-bin/hgTracks?position=201620_at","UCSC")</f>
        <v>UCSC</v>
      </c>
      <c r="E13664" s="1" t="str">
        <f>HYPERLINK("http://www.ncbi.nlm.nih.gov/gene/?term=MBTPS1","NCBI")</f>
        <v>NCBI</v>
      </c>
      <c r="F13664">
        <v>0.48</v>
      </c>
      <c r="G13664">
        <v>0.6</v>
      </c>
      <c r="H13664" s="1" t="str">
        <f>HYPERLINK("http://www.weizmann.ac.il/complex/compphys/software/geview/data/figures/201620_at.png","Figure")</f>
        <v>Figure</v>
      </c>
      <c r="I13664">
        <v>0.92300000000000004</v>
      </c>
      <c r="J13664">
        <v>0.83</v>
      </c>
      <c r="K13664">
        <v>0.86299999999999999</v>
      </c>
      <c r="L13664">
        <v>0.45</v>
      </c>
      <c r="M13664">
        <v>0.93500000000000005</v>
      </c>
      <c r="N13664">
        <v>0.86</v>
      </c>
    </row>
    <row r="13665" spans="1:14" x14ac:dyDescent="0.25">
      <c r="A13665" t="s">
        <v>23298</v>
      </c>
      <c r="B13665" t="s">
        <v>23299</v>
      </c>
      <c r="C13665" s="1" t="str">
        <f>HYPERLINK("http://www.genecards.org/cgi-bin/carddisp.pl?gene=CYP4F2","GeneCards")</f>
        <v>GeneCards</v>
      </c>
      <c r="D13665" s="1" t="str">
        <f>HYPERLINK("http://genome-euro.ucsc.edu/cgi-bin/hgTracks?position=210452_x_at","UCSC")</f>
        <v>UCSC</v>
      </c>
      <c r="E13665" s="1" t="str">
        <f>HYPERLINK("http://www.ncbi.nlm.nih.gov/gene/?term=CYP4F2","NCBI")</f>
        <v>NCBI</v>
      </c>
      <c r="F13665">
        <v>0.48</v>
      </c>
      <c r="G13665">
        <v>0.6</v>
      </c>
      <c r="H13665" s="1" t="str">
        <f>HYPERLINK("http://www.weizmann.ac.il/complex/compphys/software/geview/data/figures/210452_x_at.png","Figure")</f>
        <v>Figure</v>
      </c>
      <c r="I13665">
        <v>1.07</v>
      </c>
      <c r="J13665">
        <v>0.59</v>
      </c>
      <c r="K13665">
        <v>0.99199999999999999</v>
      </c>
      <c r="L13665">
        <v>0.99</v>
      </c>
      <c r="M13665">
        <v>0.92300000000000004</v>
      </c>
      <c r="N13665">
        <v>0.48</v>
      </c>
    </row>
    <row r="13666" spans="1:14" x14ac:dyDescent="0.25">
      <c r="A13666" t="s">
        <v>23300</v>
      </c>
      <c r="B13666" t="s">
        <v>23301</v>
      </c>
      <c r="C13666" s="1" t="str">
        <f>HYPERLINK("http://www.genecards.org/cgi-bin/carddisp.pl?gene=ABLIM1","GeneCards")</f>
        <v>GeneCards</v>
      </c>
      <c r="D13666" s="1" t="str">
        <f>HYPERLINK("http://genome-euro.ucsc.edu/cgi-bin/hgTracks?position=200965_s_at","UCSC")</f>
        <v>UCSC</v>
      </c>
      <c r="E13666" s="1" t="str">
        <f>HYPERLINK("http://www.ncbi.nlm.nih.gov/gene/?term=ABLIM1","NCBI")</f>
        <v>NCBI</v>
      </c>
      <c r="F13666">
        <v>0.48</v>
      </c>
      <c r="G13666">
        <v>0.6</v>
      </c>
      <c r="H13666" s="1" t="str">
        <f>HYPERLINK("http://www.weizmann.ac.il/complex/compphys/software/geview/data/figures/200965_s_at.png","Figure")</f>
        <v>Figure</v>
      </c>
      <c r="I13666">
        <v>0.71</v>
      </c>
      <c r="J13666">
        <v>0.54</v>
      </c>
      <c r="K13666">
        <v>0.74199999999999999</v>
      </c>
      <c r="L13666">
        <v>0.54</v>
      </c>
      <c r="M13666">
        <v>1.05</v>
      </c>
      <c r="N13666">
        <v>0.99</v>
      </c>
    </row>
    <row r="13667" spans="1:14" x14ac:dyDescent="0.25">
      <c r="A13667" t="s">
        <v>23302</v>
      </c>
      <c r="B13667" t="s">
        <v>23303</v>
      </c>
      <c r="C13667" s="1" t="str">
        <f>HYPERLINK("http://www.genecards.org/cgi-bin/carddisp.pl?gene=RARRES2","GeneCards")</f>
        <v>GeneCards</v>
      </c>
      <c r="D13667" s="1" t="str">
        <f>HYPERLINK("http://genome-euro.ucsc.edu/cgi-bin/hgTracks?position=209496_at","UCSC")</f>
        <v>UCSC</v>
      </c>
      <c r="E13667" s="1" t="str">
        <f>HYPERLINK("http://www.ncbi.nlm.nih.gov/gene/?term=RARRES2","NCBI")</f>
        <v>NCBI</v>
      </c>
      <c r="F13667">
        <v>0.48</v>
      </c>
      <c r="G13667">
        <v>0.6</v>
      </c>
      <c r="H13667" s="1" t="str">
        <f>HYPERLINK("http://www.weizmann.ac.il/complex/compphys/software/geview/data/figures/209496_at.png","Figure")</f>
        <v>Figure</v>
      </c>
      <c r="I13667">
        <v>1.01</v>
      </c>
      <c r="J13667">
        <v>0.88</v>
      </c>
      <c r="K13667">
        <v>0.99299999999999999</v>
      </c>
      <c r="L13667">
        <v>0.75</v>
      </c>
      <c r="M13667">
        <v>0.98699999999999999</v>
      </c>
      <c r="N13667">
        <v>0.47</v>
      </c>
    </row>
    <row r="13668" spans="1:14" x14ac:dyDescent="0.25">
      <c r="A13668" t="s">
        <v>23304</v>
      </c>
      <c r="B13668" t="s">
        <v>23305</v>
      </c>
      <c r="C13668" s="1" t="str">
        <f>HYPERLINK("http://www.genecards.org/cgi-bin/carddisp.pl?gene=SEC16A","GeneCards")</f>
        <v>GeneCards</v>
      </c>
      <c r="D13668" s="1" t="str">
        <f>HYPERLINK("http://genome-euro.ucsc.edu/cgi-bin/hgTracks?position=215696_s_at","UCSC")</f>
        <v>UCSC</v>
      </c>
      <c r="E13668" s="1" t="str">
        <f>HYPERLINK("http://www.ncbi.nlm.nih.gov/gene/?term=SEC16A","NCBI")</f>
        <v>NCBI</v>
      </c>
      <c r="F13668">
        <v>0.48</v>
      </c>
      <c r="G13668">
        <v>0.6</v>
      </c>
      <c r="H13668" s="1" t="str">
        <f>HYPERLINK("http://www.weizmann.ac.il/complex/compphys/software/geview/data/figures/215696_s_at.png","Figure")</f>
        <v>Figure</v>
      </c>
      <c r="I13668">
        <v>1.07</v>
      </c>
      <c r="J13668">
        <v>0.96</v>
      </c>
      <c r="K13668">
        <v>0.81699999999999995</v>
      </c>
      <c r="L13668">
        <v>0.64</v>
      </c>
      <c r="M13668">
        <v>0.76400000000000001</v>
      </c>
      <c r="N13668">
        <v>0.51</v>
      </c>
    </row>
    <row r="13669" spans="1:14" x14ac:dyDescent="0.25">
      <c r="A13669" t="s">
        <v>23306</v>
      </c>
      <c r="B13669" t="s">
        <v>23047</v>
      </c>
      <c r="C13669" s="1" t="str">
        <f>HYPERLINK("http://www.genecards.org/cgi-bin/carddisp.pl?gene=PPP1R12B","GeneCards")</f>
        <v>GeneCards</v>
      </c>
      <c r="D13669" s="1" t="str">
        <f>HYPERLINK("http://genome-euro.ucsc.edu/cgi-bin/hgTracks?position=201957_at","UCSC")</f>
        <v>UCSC</v>
      </c>
      <c r="E13669" s="1" t="str">
        <f>HYPERLINK("http://www.ncbi.nlm.nih.gov/gene/?term=PPP1R12B","NCBI")</f>
        <v>NCBI</v>
      </c>
      <c r="F13669">
        <v>0.48</v>
      </c>
      <c r="G13669">
        <v>0.6</v>
      </c>
      <c r="H13669" s="1" t="str">
        <f>HYPERLINK("http://www.weizmann.ac.il/complex/compphys/software/geview/data/figures/201957_at.png","Figure")</f>
        <v>Figure</v>
      </c>
      <c r="I13669">
        <v>0.99099999999999999</v>
      </c>
      <c r="J13669">
        <v>1</v>
      </c>
      <c r="K13669">
        <v>1.1100000000000001</v>
      </c>
      <c r="L13669">
        <v>0.56999999999999995</v>
      </c>
      <c r="M13669">
        <v>1.1200000000000001</v>
      </c>
      <c r="N13669">
        <v>0.56000000000000005</v>
      </c>
    </row>
    <row r="13670" spans="1:14" x14ac:dyDescent="0.25">
      <c r="A13670" t="s">
        <v>23307</v>
      </c>
      <c r="B13670" t="s">
        <v>23308</v>
      </c>
      <c r="C13670" s="1" t="str">
        <f>HYPERLINK("http://www.genecards.org/cgi-bin/carddisp.pl?gene=BPHL","GeneCards")</f>
        <v>GeneCards</v>
      </c>
      <c r="D13670" s="1" t="str">
        <f>HYPERLINK("http://genome-euro.ucsc.edu/cgi-bin/hgTracks?position=205750_at","UCSC")</f>
        <v>UCSC</v>
      </c>
      <c r="E13670" s="1" t="str">
        <f>HYPERLINK("http://www.ncbi.nlm.nih.gov/gene/?term=BPHL","NCBI")</f>
        <v>NCBI</v>
      </c>
      <c r="F13670">
        <v>0.48</v>
      </c>
      <c r="G13670">
        <v>0.6</v>
      </c>
      <c r="H13670" s="1" t="str">
        <f>HYPERLINK("http://www.weizmann.ac.il/complex/compphys/software/geview/data/figures/205750_at.png","Figure")</f>
        <v>Figure</v>
      </c>
      <c r="I13670">
        <v>1</v>
      </c>
      <c r="J13670">
        <v>1</v>
      </c>
      <c r="K13670">
        <v>1.02</v>
      </c>
      <c r="L13670">
        <v>0.55000000000000004</v>
      </c>
      <c r="M13670">
        <v>1.02</v>
      </c>
      <c r="N13670">
        <v>0.59</v>
      </c>
    </row>
    <row r="13671" spans="1:14" x14ac:dyDescent="0.25">
      <c r="A13671" t="s">
        <v>23309</v>
      </c>
      <c r="B13671" t="s">
        <v>8190</v>
      </c>
      <c r="C13671" s="1" t="str">
        <f>HYPERLINK("http://www.genecards.org/cgi-bin/carddisp.pl?gene=CREB1","GeneCards")</f>
        <v>GeneCards</v>
      </c>
      <c r="D13671" s="1" t="str">
        <f>HYPERLINK("http://genome-euro.ucsc.edu/cgi-bin/hgTracks?position=214513_s_at","UCSC")</f>
        <v>UCSC</v>
      </c>
      <c r="E13671" s="1" t="str">
        <f>HYPERLINK("http://www.ncbi.nlm.nih.gov/gene/?term=CREB1","NCBI")</f>
        <v>NCBI</v>
      </c>
      <c r="F13671">
        <v>0.48</v>
      </c>
      <c r="G13671">
        <v>0.6</v>
      </c>
      <c r="H13671" s="1" t="str">
        <f>HYPERLINK("http://www.weizmann.ac.il/complex/compphys/software/geview/data/figures/214513_s_at.png","Figure")</f>
        <v>Figure</v>
      </c>
      <c r="I13671">
        <v>1.0900000000000001</v>
      </c>
      <c r="J13671">
        <v>0.71</v>
      </c>
      <c r="K13671">
        <v>1.1299999999999999</v>
      </c>
      <c r="L13671">
        <v>0.46</v>
      </c>
      <c r="M13671">
        <v>1.03</v>
      </c>
      <c r="N13671">
        <v>0.95</v>
      </c>
    </row>
    <row r="13672" spans="1:14" x14ac:dyDescent="0.25">
      <c r="A13672" t="s">
        <v>23310</v>
      </c>
      <c r="B13672" t="s">
        <v>23311</v>
      </c>
      <c r="C13672" s="1" t="str">
        <f>HYPERLINK("http://www.genecards.org/cgi-bin/carddisp.pl?gene=CNTNAP1","GeneCards")</f>
        <v>GeneCards</v>
      </c>
      <c r="D13672" s="1" t="str">
        <f>HYPERLINK("http://genome-euro.ucsc.edu/cgi-bin/hgTracks?position=219400_at","UCSC")</f>
        <v>UCSC</v>
      </c>
      <c r="E13672" s="1" t="str">
        <f>HYPERLINK("http://www.ncbi.nlm.nih.gov/gene/?term=CNTNAP1","NCBI")</f>
        <v>NCBI</v>
      </c>
      <c r="F13672">
        <v>0.48</v>
      </c>
      <c r="G13672">
        <v>0.6</v>
      </c>
      <c r="H13672" s="1" t="str">
        <f>HYPERLINK("http://www.weizmann.ac.il/complex/compphys/software/geview/data/figures/219400_at.png","Figure")</f>
        <v>Figure</v>
      </c>
      <c r="I13672">
        <v>1.0900000000000001</v>
      </c>
      <c r="J13672">
        <v>0.48</v>
      </c>
      <c r="K13672">
        <v>1.02</v>
      </c>
      <c r="L13672">
        <v>0.95</v>
      </c>
      <c r="M13672">
        <v>0.93700000000000006</v>
      </c>
      <c r="N13672">
        <v>0.6</v>
      </c>
    </row>
    <row r="13673" spans="1:14" x14ac:dyDescent="0.25">
      <c r="A13673" t="s">
        <v>23312</v>
      </c>
      <c r="B13673" t="s">
        <v>11169</v>
      </c>
      <c r="C13673" s="1" t="str">
        <f>HYPERLINK("http://www.genecards.org/cgi-bin/carddisp.pl?gene=MMP25","GeneCards")</f>
        <v>GeneCards</v>
      </c>
      <c r="D13673" s="1" t="str">
        <f>HYPERLINK("http://genome-euro.ucsc.edu/cgi-bin/hgTracks?position=207289_at","UCSC")</f>
        <v>UCSC</v>
      </c>
      <c r="E13673" s="1" t="str">
        <f>HYPERLINK("http://www.ncbi.nlm.nih.gov/gene/?term=MMP25","NCBI")</f>
        <v>NCBI</v>
      </c>
      <c r="F13673">
        <v>0.48</v>
      </c>
      <c r="G13673">
        <v>0.6</v>
      </c>
      <c r="H13673" s="1" t="str">
        <f>HYPERLINK("http://www.weizmann.ac.il/complex/compphys/software/geview/data/figures/207289_at.png","Figure")</f>
        <v>Figure</v>
      </c>
      <c r="I13673">
        <v>1.1399999999999999</v>
      </c>
      <c r="J13673">
        <v>0.46</v>
      </c>
      <c r="K13673">
        <v>1.04</v>
      </c>
      <c r="L13673">
        <v>0.9</v>
      </c>
      <c r="M13673">
        <v>0.91600000000000004</v>
      </c>
      <c r="N13673">
        <v>0.65</v>
      </c>
    </row>
    <row r="13674" spans="1:14" x14ac:dyDescent="0.25">
      <c r="A13674" t="s">
        <v>23313</v>
      </c>
      <c r="B13674" t="s">
        <v>14072</v>
      </c>
      <c r="C13674" s="1" t="str">
        <f>HYPERLINK("http://www.genecards.org/cgi-bin/carddisp.pl?gene=CAPN3","GeneCards")</f>
        <v>GeneCards</v>
      </c>
      <c r="D13674" s="1" t="str">
        <f>HYPERLINK("http://genome-euro.ucsc.edu/cgi-bin/hgTracks?position=211890_x_at","UCSC")</f>
        <v>UCSC</v>
      </c>
      <c r="E13674" s="1" t="str">
        <f>HYPERLINK("http://www.ncbi.nlm.nih.gov/gene/?term=CAPN3","NCBI")</f>
        <v>NCBI</v>
      </c>
      <c r="F13674">
        <v>0.48</v>
      </c>
      <c r="G13674">
        <v>0.6</v>
      </c>
      <c r="H13674" s="1" t="str">
        <f>HYPERLINK("http://www.weizmann.ac.il/complex/compphys/software/geview/data/figures/211890_x_at.png","Figure")</f>
        <v>Figure</v>
      </c>
      <c r="I13674">
        <v>1.07</v>
      </c>
      <c r="J13674">
        <v>0.84</v>
      </c>
      <c r="K13674">
        <v>1.1399999999999999</v>
      </c>
      <c r="L13674">
        <v>0.45</v>
      </c>
      <c r="M13674">
        <v>1.06</v>
      </c>
      <c r="N13674">
        <v>0.85</v>
      </c>
    </row>
    <row r="13675" spans="1:14" x14ac:dyDescent="0.25">
      <c r="A13675" t="s">
        <v>23314</v>
      </c>
      <c r="B13675" t="s">
        <v>23315</v>
      </c>
      <c r="C13675" s="1" t="str">
        <f>HYPERLINK("http://www.genecards.org/cgi-bin/carddisp.pl?gene=APOBEC3F /// APOBEC3G","GeneCards")</f>
        <v>GeneCards</v>
      </c>
      <c r="D13675" s="1" t="str">
        <f>HYPERLINK("http://genome-euro.ucsc.edu/cgi-bin/hgTracks?position=214995_s_at","UCSC")</f>
        <v>UCSC</v>
      </c>
      <c r="E13675" s="1" t="str">
        <f>HYPERLINK("http://www.ncbi.nlm.nih.gov/gene/?term=APOBEC3F /// APOBEC3G","NCBI")</f>
        <v>NCBI</v>
      </c>
      <c r="F13675">
        <v>0.48</v>
      </c>
      <c r="G13675">
        <v>0.6</v>
      </c>
      <c r="H13675" s="1" t="str">
        <f>HYPERLINK("http://www.weizmann.ac.il/complex/compphys/software/geview/data/figures/214995_s_at.png","Figure")</f>
        <v>Figure</v>
      </c>
      <c r="I13675">
        <v>0.97799999999999998</v>
      </c>
      <c r="J13675">
        <v>0.87</v>
      </c>
      <c r="K13675">
        <v>0.95399999999999996</v>
      </c>
      <c r="L13675">
        <v>0.45</v>
      </c>
      <c r="M13675">
        <v>0.97499999999999998</v>
      </c>
      <c r="N13675">
        <v>0.82</v>
      </c>
    </row>
    <row r="13676" spans="1:14" x14ac:dyDescent="0.25">
      <c r="A13676" t="s">
        <v>23316</v>
      </c>
      <c r="B13676" t="s">
        <v>3819</v>
      </c>
      <c r="C13676" s="1" t="str">
        <f>HYPERLINK("http://www.genecards.org/cgi-bin/carddisp.pl?gene=ARPP19","GeneCards")</f>
        <v>GeneCards</v>
      </c>
      <c r="D13676" s="1" t="str">
        <f>HYPERLINK("http://genome-euro.ucsc.edu/cgi-bin/hgTracks?position=221483_s_at","UCSC")</f>
        <v>UCSC</v>
      </c>
      <c r="E13676" s="1" t="str">
        <f>HYPERLINK("http://www.ncbi.nlm.nih.gov/gene/?term=ARPP19","NCBI")</f>
        <v>NCBI</v>
      </c>
      <c r="F13676">
        <v>0.48</v>
      </c>
      <c r="G13676">
        <v>0.6</v>
      </c>
      <c r="H13676" s="1" t="str">
        <f>HYPERLINK("http://www.weizmann.ac.il/complex/compphys/software/geview/data/figures/221483_s_at.png","Figure")</f>
        <v>Figure</v>
      </c>
      <c r="I13676">
        <v>0.82299999999999995</v>
      </c>
      <c r="J13676">
        <v>0.54</v>
      </c>
      <c r="K13676">
        <v>0.84299999999999997</v>
      </c>
      <c r="L13676">
        <v>0.54</v>
      </c>
      <c r="M13676">
        <v>1.02</v>
      </c>
      <c r="N13676">
        <v>0.99</v>
      </c>
    </row>
    <row r="13677" spans="1:14" x14ac:dyDescent="0.25">
      <c r="A13677" t="s">
        <v>23317</v>
      </c>
      <c r="B13677" t="s">
        <v>23318</v>
      </c>
      <c r="C13677" s="1" t="str">
        <f>HYPERLINK("http://www.genecards.org/cgi-bin/carddisp.pl?gene=ADARB2","GeneCards")</f>
        <v>GeneCards</v>
      </c>
      <c r="D13677" s="1" t="str">
        <f>HYPERLINK("http://genome-euro.ucsc.edu/cgi-bin/hgTracks?position=220648_at","UCSC")</f>
        <v>UCSC</v>
      </c>
      <c r="E13677" s="1" t="str">
        <f>HYPERLINK("http://www.ncbi.nlm.nih.gov/gene/?term=ADARB2","NCBI")</f>
        <v>NCBI</v>
      </c>
      <c r="F13677">
        <v>0.48</v>
      </c>
      <c r="G13677">
        <v>0.6</v>
      </c>
      <c r="H13677" s="1" t="str">
        <f>HYPERLINK("http://www.weizmann.ac.il/complex/compphys/software/geview/data/figures/220648_at.png","Figure")</f>
        <v>Figure</v>
      </c>
      <c r="I13677">
        <v>1.04</v>
      </c>
      <c r="J13677">
        <v>0.62</v>
      </c>
      <c r="K13677">
        <v>0.99299999999999999</v>
      </c>
      <c r="L13677">
        <v>0.97</v>
      </c>
      <c r="M13677">
        <v>0.95899999999999996</v>
      </c>
      <c r="N13677">
        <v>0.47</v>
      </c>
    </row>
    <row r="13678" spans="1:14" x14ac:dyDescent="0.25">
      <c r="A13678" t="s">
        <v>23319</v>
      </c>
      <c r="B13678" t="s">
        <v>23320</v>
      </c>
      <c r="C13678" s="1" t="str">
        <f>HYPERLINK("http://www.genecards.org/cgi-bin/carddisp.pl?gene=HIGD1A","GeneCards")</f>
        <v>GeneCards</v>
      </c>
      <c r="D13678" s="1" t="str">
        <f>HYPERLINK("http://genome-euro.ucsc.edu/cgi-bin/hgTracks?position=217845_x_at","UCSC")</f>
        <v>UCSC</v>
      </c>
      <c r="E13678" s="1" t="str">
        <f>HYPERLINK("http://www.ncbi.nlm.nih.gov/gene/?term=HIGD1A","NCBI")</f>
        <v>NCBI</v>
      </c>
      <c r="F13678">
        <v>0.48</v>
      </c>
      <c r="G13678">
        <v>0.6</v>
      </c>
      <c r="H13678" s="1" t="str">
        <f>HYPERLINK("http://www.weizmann.ac.il/complex/compphys/software/geview/data/figures/217845_x_at.png","Figure")</f>
        <v>Figure</v>
      </c>
      <c r="I13678">
        <v>1.25</v>
      </c>
      <c r="J13678">
        <v>0.46</v>
      </c>
      <c r="K13678">
        <v>1.07</v>
      </c>
      <c r="L13678">
        <v>0.91</v>
      </c>
      <c r="M13678">
        <v>0.85399999999999998</v>
      </c>
      <c r="N13678">
        <v>0.64</v>
      </c>
    </row>
    <row r="13679" spans="1:14" x14ac:dyDescent="0.25">
      <c r="A13679" t="s">
        <v>23321</v>
      </c>
      <c r="B13679" t="s">
        <v>23322</v>
      </c>
      <c r="C13679" s="1" t="str">
        <f>HYPERLINK("http://www.genecards.org/cgi-bin/carddisp.pl?gene=TPCN1","GeneCards")</f>
        <v>GeneCards</v>
      </c>
      <c r="D13679" s="1" t="str">
        <f>HYPERLINK("http://genome-euro.ucsc.edu/cgi-bin/hgTracks?position=217914_at","UCSC")</f>
        <v>UCSC</v>
      </c>
      <c r="E13679" s="1" t="str">
        <f>HYPERLINK("http://www.ncbi.nlm.nih.gov/gene/?term=TPCN1","NCBI")</f>
        <v>NCBI</v>
      </c>
      <c r="F13679">
        <v>0.48</v>
      </c>
      <c r="G13679">
        <v>0.6</v>
      </c>
      <c r="H13679" s="1" t="str">
        <f>HYPERLINK("http://www.weizmann.ac.il/complex/compphys/software/geview/data/figures/217914_at.png","Figure")</f>
        <v>Figure</v>
      </c>
      <c r="I13679">
        <v>1.02</v>
      </c>
      <c r="J13679">
        <v>0.99</v>
      </c>
      <c r="K13679">
        <v>0.90900000000000003</v>
      </c>
      <c r="L13679">
        <v>0.6</v>
      </c>
      <c r="M13679">
        <v>0.89400000000000002</v>
      </c>
      <c r="N13679">
        <v>0.54</v>
      </c>
    </row>
    <row r="13680" spans="1:14" x14ac:dyDescent="0.25">
      <c r="A13680" t="s">
        <v>23323</v>
      </c>
      <c r="B13680" t="s">
        <v>23324</v>
      </c>
      <c r="C13680" s="1" t="str">
        <f>HYPERLINK("http://www.genecards.org/cgi-bin/carddisp.pl?gene=PPP2R5A","GeneCards")</f>
        <v>GeneCards</v>
      </c>
      <c r="D13680" s="1" t="str">
        <f>HYPERLINK("http://genome-euro.ucsc.edu/cgi-bin/hgTracks?position=202187_s_at","UCSC")</f>
        <v>UCSC</v>
      </c>
      <c r="E13680" s="1" t="str">
        <f>HYPERLINK("http://www.ncbi.nlm.nih.gov/gene/?term=PPP2R5A","NCBI")</f>
        <v>NCBI</v>
      </c>
      <c r="F13680">
        <v>0.48</v>
      </c>
      <c r="G13680">
        <v>0.6</v>
      </c>
      <c r="H13680" s="1" t="str">
        <f>HYPERLINK("http://www.weizmann.ac.il/complex/compphys/software/geview/data/figures/202187_s_at.png","Figure")</f>
        <v>Figure</v>
      </c>
      <c r="I13680">
        <v>1.2</v>
      </c>
      <c r="J13680">
        <v>0.48</v>
      </c>
      <c r="K13680">
        <v>1.1299999999999999</v>
      </c>
      <c r="L13680">
        <v>0.64</v>
      </c>
      <c r="M13680">
        <v>0.94299999999999995</v>
      </c>
      <c r="N13680">
        <v>0.91</v>
      </c>
    </row>
    <row r="13681" spans="1:14" x14ac:dyDescent="0.25">
      <c r="A13681" t="s">
        <v>23325</v>
      </c>
      <c r="B13681" t="s">
        <v>9147</v>
      </c>
      <c r="C13681" s="1" t="str">
        <f>HYPERLINK("http://www.genecards.org/cgi-bin/carddisp.pl?gene=PSMD13","GeneCards")</f>
        <v>GeneCards</v>
      </c>
      <c r="D13681" s="1" t="str">
        <f>HYPERLINK("http://genome-euro.ucsc.edu/cgi-bin/hgTracks?position=201232_s_at","UCSC")</f>
        <v>UCSC</v>
      </c>
      <c r="E13681" s="1" t="str">
        <f>HYPERLINK("http://www.ncbi.nlm.nih.gov/gene/?term=PSMD13","NCBI")</f>
        <v>NCBI</v>
      </c>
      <c r="F13681">
        <v>0.48</v>
      </c>
      <c r="G13681">
        <v>0.6</v>
      </c>
      <c r="H13681" s="1" t="str">
        <f>HYPERLINK("http://www.weizmann.ac.il/complex/compphys/software/geview/data/figures/201232_s_at.png","Figure")</f>
        <v>Figure</v>
      </c>
      <c r="I13681">
        <v>1.2</v>
      </c>
      <c r="J13681">
        <v>0.46</v>
      </c>
      <c r="K13681">
        <v>1.06</v>
      </c>
      <c r="L13681">
        <v>0.89</v>
      </c>
      <c r="M13681">
        <v>0.88400000000000001</v>
      </c>
      <c r="N13681">
        <v>0.66</v>
      </c>
    </row>
    <row r="13682" spans="1:14" x14ac:dyDescent="0.25">
      <c r="A13682" t="s">
        <v>23326</v>
      </c>
      <c r="B13682" t="s">
        <v>13932</v>
      </c>
      <c r="C13682" s="1" t="str">
        <f>HYPERLINK("http://www.genecards.org/cgi-bin/carddisp.pl?gene=TXNRD3","GeneCards")</f>
        <v>GeneCards</v>
      </c>
      <c r="D13682" s="1" t="str">
        <f>HYPERLINK("http://genome-euro.ucsc.edu/cgi-bin/hgTracks?position=59631_at","UCSC")</f>
        <v>UCSC</v>
      </c>
      <c r="E13682" s="1" t="str">
        <f>HYPERLINK("http://www.ncbi.nlm.nih.gov/gene/?term=TXNRD3","NCBI")</f>
        <v>NCBI</v>
      </c>
      <c r="F13682">
        <v>0.48</v>
      </c>
      <c r="G13682">
        <v>0.6</v>
      </c>
      <c r="H13682" s="1" t="str">
        <f>HYPERLINK("http://www.weizmann.ac.il/complex/compphys/software/geview/data/figures/59631_at.png","Figure")</f>
        <v>Figure</v>
      </c>
      <c r="I13682">
        <v>1.03</v>
      </c>
      <c r="J13682">
        <v>0.84</v>
      </c>
      <c r="K13682">
        <v>0.96599999999999997</v>
      </c>
      <c r="L13682">
        <v>0.78</v>
      </c>
      <c r="M13682">
        <v>0.93500000000000005</v>
      </c>
      <c r="N13682">
        <v>0.46</v>
      </c>
    </row>
    <row r="13683" spans="1:14" x14ac:dyDescent="0.25">
      <c r="A13683" t="s">
        <v>23327</v>
      </c>
      <c r="B13683" t="s">
        <v>23328</v>
      </c>
      <c r="C13683" s="1" t="str">
        <f>HYPERLINK("http://www.genecards.org/cgi-bin/carddisp.pl?gene=INF2","GeneCards")</f>
        <v>GeneCards</v>
      </c>
      <c r="D13683" s="1" t="str">
        <f>HYPERLINK("http://genome-euro.ucsc.edu/cgi-bin/hgTracks?position=218144_s_at","UCSC")</f>
        <v>UCSC</v>
      </c>
      <c r="E13683" s="1" t="str">
        <f>HYPERLINK("http://www.ncbi.nlm.nih.gov/gene/?term=INF2","NCBI")</f>
        <v>NCBI</v>
      </c>
      <c r="F13683">
        <v>0.48</v>
      </c>
      <c r="G13683">
        <v>0.6</v>
      </c>
      <c r="H13683" s="1" t="str">
        <f>HYPERLINK("http://www.weizmann.ac.il/complex/compphys/software/geview/data/figures/218144_s_at.png","Figure")</f>
        <v>Figure</v>
      </c>
      <c r="I13683">
        <v>1.08</v>
      </c>
      <c r="J13683">
        <v>0.84</v>
      </c>
      <c r="K13683">
        <v>1.17</v>
      </c>
      <c r="L13683">
        <v>0.45</v>
      </c>
      <c r="M13683">
        <v>1.07</v>
      </c>
      <c r="N13683">
        <v>0.85</v>
      </c>
    </row>
    <row r="13684" spans="1:14" x14ac:dyDescent="0.25">
      <c r="A13684" t="s">
        <v>23329</v>
      </c>
      <c r="B13684" t="s">
        <v>23330</v>
      </c>
      <c r="C13684" s="1" t="str">
        <f>HYPERLINK("http://www.genecards.org/cgi-bin/carddisp.pl?gene=GNA14","GeneCards")</f>
        <v>GeneCards</v>
      </c>
      <c r="D13684" s="1" t="str">
        <f>HYPERLINK("http://genome-euro.ucsc.edu/cgi-bin/hgTracks?position=220108_at","UCSC")</f>
        <v>UCSC</v>
      </c>
      <c r="E13684" s="1" t="str">
        <f>HYPERLINK("http://www.ncbi.nlm.nih.gov/gene/?term=GNA14","NCBI")</f>
        <v>NCBI</v>
      </c>
      <c r="F13684">
        <v>0.48</v>
      </c>
      <c r="G13684">
        <v>0.6</v>
      </c>
      <c r="H13684" s="1" t="str">
        <f>HYPERLINK("http://www.weizmann.ac.il/complex/compphys/software/geview/data/figures/220108_at.png","Figure")</f>
        <v>Figure</v>
      </c>
      <c r="I13684">
        <v>1.1299999999999999</v>
      </c>
      <c r="J13684">
        <v>0.45</v>
      </c>
      <c r="K13684">
        <v>1.04</v>
      </c>
      <c r="L13684">
        <v>0.86</v>
      </c>
      <c r="M13684">
        <v>0.92800000000000005</v>
      </c>
      <c r="N13684">
        <v>0.69</v>
      </c>
    </row>
    <row r="13685" spans="1:14" x14ac:dyDescent="0.25">
      <c r="A13685" t="s">
        <v>23331</v>
      </c>
      <c r="B13685" t="s">
        <v>17968</v>
      </c>
      <c r="C13685" s="1" t="str">
        <f>HYPERLINK("http://www.genecards.org/cgi-bin/carddisp.pl?gene=USP46","GeneCards")</f>
        <v>GeneCards</v>
      </c>
      <c r="D13685" s="1" t="str">
        <f>HYPERLINK("http://genome-euro.ucsc.edu/cgi-bin/hgTracks?position=203869_at","UCSC")</f>
        <v>UCSC</v>
      </c>
      <c r="E13685" s="1" t="str">
        <f>HYPERLINK("http://www.ncbi.nlm.nih.gov/gene/?term=USP46","NCBI")</f>
        <v>NCBI</v>
      </c>
      <c r="F13685">
        <v>0.48</v>
      </c>
      <c r="G13685">
        <v>0.6</v>
      </c>
      <c r="H13685" s="1" t="str">
        <f>HYPERLINK("http://www.weizmann.ac.il/complex/compphys/software/geview/data/figures/203869_at.png","Figure")</f>
        <v>Figure</v>
      </c>
      <c r="I13685">
        <v>0.91100000000000003</v>
      </c>
      <c r="J13685">
        <v>0.45</v>
      </c>
      <c r="K13685">
        <v>0.96299999999999997</v>
      </c>
      <c r="L13685">
        <v>0.84</v>
      </c>
      <c r="M13685">
        <v>1.06</v>
      </c>
      <c r="N13685">
        <v>0.71</v>
      </c>
    </row>
    <row r="13686" spans="1:14" x14ac:dyDescent="0.25">
      <c r="A13686" t="s">
        <v>23332</v>
      </c>
      <c r="B13686" t="s">
        <v>23333</v>
      </c>
      <c r="C13686" s="1" t="str">
        <f>HYPERLINK("http://www.genecards.org/cgi-bin/carddisp.pl?gene=APC2","GeneCards")</f>
        <v>GeneCards</v>
      </c>
      <c r="D13686" s="1" t="str">
        <f>HYPERLINK("http://genome-euro.ucsc.edu/cgi-bin/hgTracks?position=205320_at","UCSC")</f>
        <v>UCSC</v>
      </c>
      <c r="E13686" s="1" t="str">
        <f>HYPERLINK("http://www.ncbi.nlm.nih.gov/gene/?term=APC2","NCBI")</f>
        <v>NCBI</v>
      </c>
      <c r="F13686">
        <v>0.48</v>
      </c>
      <c r="G13686">
        <v>0.6</v>
      </c>
      <c r="H13686" s="1" t="str">
        <f>HYPERLINK("http://www.weizmann.ac.il/complex/compphys/software/geview/data/figures/205320_at.png","Figure")</f>
        <v>Figure</v>
      </c>
      <c r="I13686">
        <v>1.06</v>
      </c>
      <c r="J13686">
        <v>0.65</v>
      </c>
      <c r="K13686">
        <v>1.07</v>
      </c>
      <c r="L13686">
        <v>0.48</v>
      </c>
      <c r="M13686">
        <v>1.01</v>
      </c>
      <c r="N13686">
        <v>0.99</v>
      </c>
    </row>
    <row r="13687" spans="1:14" x14ac:dyDescent="0.25">
      <c r="A13687" t="s">
        <v>23334</v>
      </c>
      <c r="B13687" t="s">
        <v>23335</v>
      </c>
      <c r="C13687" s="1" t="str">
        <f>HYPERLINK("http://www.genecards.org/cgi-bin/carddisp.pl?gene=HYOU1","GeneCards")</f>
        <v>GeneCards</v>
      </c>
      <c r="D13687" s="1" t="str">
        <f>HYPERLINK("http://genome-euro.ucsc.edu/cgi-bin/hgTracks?position=200825_s_at","UCSC")</f>
        <v>UCSC</v>
      </c>
      <c r="E13687" s="1" t="str">
        <f>HYPERLINK("http://www.ncbi.nlm.nih.gov/gene/?term=HYOU1","NCBI")</f>
        <v>NCBI</v>
      </c>
      <c r="F13687">
        <v>0.48</v>
      </c>
      <c r="G13687">
        <v>0.6</v>
      </c>
      <c r="H13687" s="1" t="str">
        <f>HYPERLINK("http://www.weizmann.ac.il/complex/compphys/software/geview/data/figures/200825_s_at.png","Figure")</f>
        <v>Figure</v>
      </c>
      <c r="I13687">
        <v>1.18</v>
      </c>
      <c r="J13687">
        <v>0.54</v>
      </c>
      <c r="K13687">
        <v>1.1499999999999999</v>
      </c>
      <c r="L13687">
        <v>0.55000000000000004</v>
      </c>
      <c r="M13687">
        <v>0.97699999999999998</v>
      </c>
      <c r="N13687">
        <v>0.98</v>
      </c>
    </row>
    <row r="13688" spans="1:14" x14ac:dyDescent="0.25">
      <c r="A13688" t="s">
        <v>23336</v>
      </c>
      <c r="B13688" t="s">
        <v>2266</v>
      </c>
      <c r="C13688" s="1" t="str">
        <f>HYPERLINK("http://www.genecards.org/cgi-bin/carddisp.pl?gene=NCOA3","GeneCards")</f>
        <v>GeneCards</v>
      </c>
      <c r="D13688" s="1" t="str">
        <f>HYPERLINK("http://genome-euro.ucsc.edu/cgi-bin/hgTracks?position=209060_x_at","UCSC")</f>
        <v>UCSC</v>
      </c>
      <c r="E13688" s="1" t="str">
        <f>HYPERLINK("http://www.ncbi.nlm.nih.gov/gene/?term=NCOA3","NCBI")</f>
        <v>NCBI</v>
      </c>
      <c r="F13688">
        <v>0.48</v>
      </c>
      <c r="G13688">
        <v>0.6</v>
      </c>
      <c r="H13688" s="1" t="str">
        <f>HYPERLINK("http://www.weizmann.ac.il/complex/compphys/software/geview/data/figures/209060_x_at.png","Figure")</f>
        <v>Figure</v>
      </c>
      <c r="I13688">
        <v>1.07</v>
      </c>
      <c r="J13688">
        <v>0.92</v>
      </c>
      <c r="K13688">
        <v>0.88</v>
      </c>
      <c r="L13688">
        <v>0.7</v>
      </c>
      <c r="M13688">
        <v>0.81899999999999995</v>
      </c>
      <c r="N13688">
        <v>0.48</v>
      </c>
    </row>
    <row r="13689" spans="1:14" x14ac:dyDescent="0.25">
      <c r="A13689" t="s">
        <v>23337</v>
      </c>
      <c r="B13689" t="s">
        <v>9380</v>
      </c>
      <c r="C13689" s="1" t="str">
        <f>HYPERLINK("http://www.genecards.org/cgi-bin/carddisp.pl?gene=UQCRC2","GeneCards")</f>
        <v>GeneCards</v>
      </c>
      <c r="D13689" s="1" t="str">
        <f>HYPERLINK("http://genome-euro.ucsc.edu/cgi-bin/hgTracks?position=200883_at","UCSC")</f>
        <v>UCSC</v>
      </c>
      <c r="E13689" s="1" t="str">
        <f>HYPERLINK("http://www.ncbi.nlm.nih.gov/gene/?term=UQCRC2","NCBI")</f>
        <v>NCBI</v>
      </c>
      <c r="F13689">
        <v>0.48</v>
      </c>
      <c r="G13689">
        <v>0.6</v>
      </c>
      <c r="H13689" s="1" t="str">
        <f>HYPERLINK("http://www.weizmann.ac.il/complex/compphys/software/geview/data/figures/200883_at.png","Figure")</f>
        <v>Figure</v>
      </c>
      <c r="I13689">
        <v>0.93600000000000005</v>
      </c>
      <c r="J13689">
        <v>0.95</v>
      </c>
      <c r="K13689">
        <v>1.17</v>
      </c>
      <c r="L13689">
        <v>0.67</v>
      </c>
      <c r="M13689">
        <v>1.25</v>
      </c>
      <c r="N13689">
        <v>0.5</v>
      </c>
    </row>
    <row r="13690" spans="1:14" x14ac:dyDescent="0.25">
      <c r="A13690" t="s">
        <v>23338</v>
      </c>
      <c r="B13690" t="s">
        <v>23339</v>
      </c>
      <c r="C13690" s="1" t="str">
        <f>HYPERLINK("http://www.genecards.org/cgi-bin/carddisp.pl?gene=FAM3C","GeneCards")</f>
        <v>GeneCards</v>
      </c>
      <c r="D13690" s="1" t="str">
        <f>HYPERLINK("http://genome-euro.ucsc.edu/cgi-bin/hgTracks?position=201889_at","UCSC")</f>
        <v>UCSC</v>
      </c>
      <c r="E13690" s="1" t="str">
        <f>HYPERLINK("http://www.ncbi.nlm.nih.gov/gene/?term=FAM3C","NCBI")</f>
        <v>NCBI</v>
      </c>
      <c r="F13690">
        <v>0.48</v>
      </c>
      <c r="G13690">
        <v>0.6</v>
      </c>
      <c r="H13690" s="1" t="str">
        <f>HYPERLINK("http://www.weizmann.ac.il/complex/compphys/software/geview/data/figures/201889_at.png","Figure")</f>
        <v>Figure</v>
      </c>
      <c r="I13690">
        <v>2.0699999999999998</v>
      </c>
      <c r="J13690">
        <v>0.45</v>
      </c>
      <c r="K13690">
        <v>1.42</v>
      </c>
      <c r="L13690">
        <v>0.77</v>
      </c>
      <c r="M13690">
        <v>0.68700000000000006</v>
      </c>
      <c r="N13690">
        <v>0.78</v>
      </c>
    </row>
    <row r="13691" spans="1:14" x14ac:dyDescent="0.25">
      <c r="A13691" t="s">
        <v>23340</v>
      </c>
      <c r="B13691" t="s">
        <v>23341</v>
      </c>
      <c r="C13691" s="1" t="str">
        <f>HYPERLINK("http://www.genecards.org/cgi-bin/carddisp.pl?gene=RHBDF1","GeneCards")</f>
        <v>GeneCards</v>
      </c>
      <c r="D13691" s="1" t="str">
        <f>HYPERLINK("http://genome-euro.ucsc.edu/cgi-bin/hgTracks?position=218686_s_at","UCSC")</f>
        <v>UCSC</v>
      </c>
      <c r="E13691" s="1" t="str">
        <f>HYPERLINK("http://www.ncbi.nlm.nih.gov/gene/?term=RHBDF1","NCBI")</f>
        <v>NCBI</v>
      </c>
      <c r="F13691">
        <v>0.48</v>
      </c>
      <c r="G13691">
        <v>0.6</v>
      </c>
      <c r="H13691" s="1" t="str">
        <f>HYPERLINK("http://www.weizmann.ac.il/complex/compphys/software/geview/data/figures/218686_s_at.png","Figure")</f>
        <v>Figure</v>
      </c>
      <c r="I13691">
        <v>1.08</v>
      </c>
      <c r="J13691">
        <v>0.7</v>
      </c>
      <c r="K13691">
        <v>0.96899999999999997</v>
      </c>
      <c r="L13691">
        <v>0.92</v>
      </c>
      <c r="M13691">
        <v>0.89800000000000002</v>
      </c>
      <c r="N13691">
        <v>0.45</v>
      </c>
    </row>
    <row r="13692" spans="1:14" x14ac:dyDescent="0.25">
      <c r="A13692" t="s">
        <v>23342</v>
      </c>
      <c r="B13692" t="s">
        <v>17098</v>
      </c>
      <c r="C13692" s="1" t="str">
        <f>HYPERLINK("http://www.genecards.org/cgi-bin/carddisp.pl?gene=PHC3","GeneCards")</f>
        <v>GeneCards</v>
      </c>
      <c r="D13692" s="1" t="str">
        <f>HYPERLINK("http://genome-euro.ucsc.edu/cgi-bin/hgTracks?position=220328_at","UCSC")</f>
        <v>UCSC</v>
      </c>
      <c r="E13692" s="1" t="str">
        <f>HYPERLINK("http://www.ncbi.nlm.nih.gov/gene/?term=PHC3","NCBI")</f>
        <v>NCBI</v>
      </c>
      <c r="F13692">
        <v>0.48</v>
      </c>
      <c r="G13692">
        <v>0.6</v>
      </c>
      <c r="H13692" s="1" t="str">
        <f>HYPERLINK("http://www.weizmann.ac.il/complex/compphys/software/geview/data/figures/220328_at.png","Figure")</f>
        <v>Figure</v>
      </c>
      <c r="I13692">
        <v>1</v>
      </c>
      <c r="J13692">
        <v>1</v>
      </c>
      <c r="K13692">
        <v>0.92100000000000004</v>
      </c>
      <c r="L13692">
        <v>0.55000000000000004</v>
      </c>
      <c r="M13692">
        <v>0.92100000000000004</v>
      </c>
      <c r="N13692">
        <v>0.59</v>
      </c>
    </row>
    <row r="13693" spans="1:14" x14ac:dyDescent="0.25">
      <c r="A13693" t="s">
        <v>23343</v>
      </c>
      <c r="B13693" t="s">
        <v>15958</v>
      </c>
      <c r="C13693" s="1" t="str">
        <f>HYPERLINK("http://www.genecards.org/cgi-bin/carddisp.pl?gene=AURKA","GeneCards")</f>
        <v>GeneCards</v>
      </c>
      <c r="D13693" s="1" t="str">
        <f>HYPERLINK("http://genome-euro.ucsc.edu/cgi-bin/hgTracks?position=208080_at","UCSC")</f>
        <v>UCSC</v>
      </c>
      <c r="E13693" s="1" t="str">
        <f>HYPERLINK("http://www.ncbi.nlm.nih.gov/gene/?term=AURKA","NCBI")</f>
        <v>NCBI</v>
      </c>
      <c r="F13693">
        <v>0.48</v>
      </c>
      <c r="G13693">
        <v>0.6</v>
      </c>
      <c r="H13693" s="1" t="str">
        <f>HYPERLINK("http://www.weizmann.ac.il/complex/compphys/software/geview/data/figures/208080_at.png","Figure")</f>
        <v>Figure</v>
      </c>
      <c r="I13693">
        <v>0.995</v>
      </c>
      <c r="J13693">
        <v>0.51</v>
      </c>
      <c r="K13693">
        <v>0.996</v>
      </c>
      <c r="L13693">
        <v>0.59</v>
      </c>
      <c r="M13693">
        <v>1</v>
      </c>
      <c r="N13693">
        <v>0.95</v>
      </c>
    </row>
    <row r="13694" spans="1:14" x14ac:dyDescent="0.25">
      <c r="A13694" t="s">
        <v>23344</v>
      </c>
      <c r="B13694" t="s">
        <v>3512</v>
      </c>
      <c r="C13694" s="1" t="str">
        <f>HYPERLINK("http://www.genecards.org/cgi-bin/carddisp.pl?gene=MID1","GeneCards")</f>
        <v>GeneCards</v>
      </c>
      <c r="D13694" s="1" t="str">
        <f>HYPERLINK("http://genome-euro.ucsc.edu/cgi-bin/hgTracks?position=203637_s_at","UCSC")</f>
        <v>UCSC</v>
      </c>
      <c r="E13694" s="1" t="str">
        <f>HYPERLINK("http://www.ncbi.nlm.nih.gov/gene/?term=MID1","NCBI")</f>
        <v>NCBI</v>
      </c>
      <c r="F13694">
        <v>0.48</v>
      </c>
      <c r="G13694">
        <v>0.6</v>
      </c>
      <c r="H13694" s="1" t="str">
        <f>HYPERLINK("http://www.weizmann.ac.il/complex/compphys/software/geview/data/figures/203637_s_at.png","Figure")</f>
        <v>Figure</v>
      </c>
      <c r="I13694">
        <v>1.06</v>
      </c>
      <c r="J13694">
        <v>0.53</v>
      </c>
      <c r="K13694">
        <v>1.05</v>
      </c>
      <c r="L13694">
        <v>0.56000000000000005</v>
      </c>
      <c r="M13694">
        <v>0.99</v>
      </c>
      <c r="N13694">
        <v>0.98</v>
      </c>
    </row>
    <row r="13695" spans="1:14" x14ac:dyDescent="0.25">
      <c r="A13695" t="s">
        <v>23345</v>
      </c>
      <c r="B13695" t="s">
        <v>23346</v>
      </c>
      <c r="C13695" s="1" t="str">
        <f>HYPERLINK("http://www.genecards.org/cgi-bin/carddisp.pl?gene=RTN3","GeneCards")</f>
        <v>GeneCards</v>
      </c>
      <c r="D13695" s="1" t="str">
        <f>HYPERLINK("http://genome-euro.ucsc.edu/cgi-bin/hgTracks?position=219549_s_at","UCSC")</f>
        <v>UCSC</v>
      </c>
      <c r="E13695" s="1" t="str">
        <f>HYPERLINK("http://www.ncbi.nlm.nih.gov/gene/?term=RTN3","NCBI")</f>
        <v>NCBI</v>
      </c>
      <c r="F13695">
        <v>0.48</v>
      </c>
      <c r="G13695">
        <v>0.6</v>
      </c>
      <c r="H13695" s="1" t="str">
        <f>HYPERLINK("http://www.weizmann.ac.il/complex/compphys/software/geview/data/figures/219549_s_at.png","Figure")</f>
        <v>Figure</v>
      </c>
      <c r="I13695">
        <v>1</v>
      </c>
      <c r="J13695">
        <v>1</v>
      </c>
      <c r="K13695">
        <v>1.25</v>
      </c>
      <c r="L13695">
        <v>0.55000000000000004</v>
      </c>
      <c r="M13695">
        <v>1.24</v>
      </c>
      <c r="N13695">
        <v>0.6</v>
      </c>
    </row>
    <row r="13696" spans="1:14" x14ac:dyDescent="0.25">
      <c r="A13696" t="s">
        <v>23347</v>
      </c>
      <c r="B13696" t="s">
        <v>23348</v>
      </c>
      <c r="C13696" s="1" t="str">
        <f>HYPERLINK("http://www.genecards.org/cgi-bin/carddisp.pl?gene=CKMT2","GeneCards")</f>
        <v>GeneCards</v>
      </c>
      <c r="D13696" s="1" t="str">
        <f>HYPERLINK("http://genome-euro.ucsc.edu/cgi-bin/hgTracks?position=205295_at","UCSC")</f>
        <v>UCSC</v>
      </c>
      <c r="E13696" s="1" t="str">
        <f>HYPERLINK("http://www.ncbi.nlm.nih.gov/gene/?term=CKMT2","NCBI")</f>
        <v>NCBI</v>
      </c>
      <c r="F13696">
        <v>0.48</v>
      </c>
      <c r="G13696">
        <v>0.6</v>
      </c>
      <c r="H13696" s="1" t="str">
        <f>HYPERLINK("http://www.weizmann.ac.il/complex/compphys/software/geview/data/figures/205295_at.png","Figure")</f>
        <v>Figure</v>
      </c>
      <c r="I13696">
        <v>0.93799999999999994</v>
      </c>
      <c r="J13696">
        <v>0.8</v>
      </c>
      <c r="K13696">
        <v>0.89700000000000002</v>
      </c>
      <c r="L13696">
        <v>0.45</v>
      </c>
      <c r="M13696">
        <v>0.95699999999999996</v>
      </c>
      <c r="N13696">
        <v>0.89</v>
      </c>
    </row>
    <row r="13697" spans="1:14" x14ac:dyDescent="0.25">
      <c r="A13697" t="s">
        <v>23349</v>
      </c>
      <c r="B13697" t="s">
        <v>17019</v>
      </c>
      <c r="C13697" s="1" t="str">
        <f>HYPERLINK("http://www.genecards.org/cgi-bin/carddisp.pl?gene=MDC1","GeneCards")</f>
        <v>GeneCards</v>
      </c>
      <c r="D13697" s="1" t="str">
        <f>HYPERLINK("http://genome-euro.ucsc.edu/cgi-bin/hgTracks?position=203062_s_at","UCSC")</f>
        <v>UCSC</v>
      </c>
      <c r="E13697" s="1" t="str">
        <f>HYPERLINK("http://www.ncbi.nlm.nih.gov/gene/?term=MDC1","NCBI")</f>
        <v>NCBI</v>
      </c>
      <c r="F13697">
        <v>0.48</v>
      </c>
      <c r="G13697">
        <v>0.6</v>
      </c>
      <c r="H13697" s="1" t="str">
        <f>HYPERLINK("http://www.weizmann.ac.il/complex/compphys/software/geview/data/figures/203062_s_at.png","Figure")</f>
        <v>Figure</v>
      </c>
      <c r="I13697">
        <v>0.81299999999999994</v>
      </c>
      <c r="J13697">
        <v>0.63</v>
      </c>
      <c r="K13697">
        <v>1.04</v>
      </c>
      <c r="L13697">
        <v>0.97</v>
      </c>
      <c r="M13697">
        <v>1.28</v>
      </c>
      <c r="N13697">
        <v>0.47</v>
      </c>
    </row>
    <row r="13698" spans="1:14" x14ac:dyDescent="0.25">
      <c r="A13698" t="s">
        <v>23350</v>
      </c>
      <c r="B13698" t="s">
        <v>23351</v>
      </c>
      <c r="C13698" s="1" t="str">
        <f>HYPERLINK("http://www.genecards.org/cgi-bin/carddisp.pl?gene=KIAA0100","GeneCards")</f>
        <v>GeneCards</v>
      </c>
      <c r="D13698" s="1" t="str">
        <f>HYPERLINK("http://genome-euro.ucsc.edu/cgi-bin/hgTracks?position=201728_s_at","UCSC")</f>
        <v>UCSC</v>
      </c>
      <c r="E13698" s="1" t="str">
        <f>HYPERLINK("http://www.ncbi.nlm.nih.gov/gene/?term=KIAA0100","NCBI")</f>
        <v>NCBI</v>
      </c>
      <c r="F13698">
        <v>0.48</v>
      </c>
      <c r="G13698">
        <v>0.6</v>
      </c>
      <c r="H13698" s="1" t="str">
        <f>HYPERLINK("http://www.weizmann.ac.il/complex/compphys/software/geview/data/figures/201728_s_at.png","Figure")</f>
        <v>Figure</v>
      </c>
      <c r="I13698">
        <v>1.28</v>
      </c>
      <c r="J13698">
        <v>0.49</v>
      </c>
      <c r="K13698">
        <v>1.19</v>
      </c>
      <c r="L13698">
        <v>0.63</v>
      </c>
      <c r="M13698">
        <v>0.92800000000000005</v>
      </c>
      <c r="N13698">
        <v>0.92</v>
      </c>
    </row>
    <row r="13699" spans="1:14" x14ac:dyDescent="0.25">
      <c r="A13699" t="s">
        <v>23352</v>
      </c>
      <c r="B13699" t="s">
        <v>13754</v>
      </c>
      <c r="C13699" s="1" t="str">
        <f>HYPERLINK("http://www.genecards.org/cgi-bin/carddisp.pl?gene=CAPZA2","GeneCards")</f>
        <v>GeneCards</v>
      </c>
      <c r="D13699" s="1" t="str">
        <f>HYPERLINK("http://genome-euro.ucsc.edu/cgi-bin/hgTracks?position=201237_at","UCSC")</f>
        <v>UCSC</v>
      </c>
      <c r="E13699" s="1" t="str">
        <f>HYPERLINK("http://www.ncbi.nlm.nih.gov/gene/?term=CAPZA2","NCBI")</f>
        <v>NCBI</v>
      </c>
      <c r="F13699">
        <v>0.48</v>
      </c>
      <c r="G13699">
        <v>0.6</v>
      </c>
      <c r="H13699" s="1" t="str">
        <f>HYPERLINK("http://www.weizmann.ac.il/complex/compphys/software/geview/data/figures/201237_at.png","Figure")</f>
        <v>Figure</v>
      </c>
      <c r="I13699">
        <v>0.84299999999999997</v>
      </c>
      <c r="J13699">
        <v>0.81</v>
      </c>
      <c r="K13699">
        <v>0.745</v>
      </c>
      <c r="L13699">
        <v>0.45</v>
      </c>
      <c r="M13699">
        <v>0.88400000000000001</v>
      </c>
      <c r="N13699">
        <v>0.88</v>
      </c>
    </row>
    <row r="13700" spans="1:14" x14ac:dyDescent="0.25">
      <c r="A13700" t="s">
        <v>23353</v>
      </c>
      <c r="B13700" t="s">
        <v>23354</v>
      </c>
      <c r="C13700" s="1" t="str">
        <f>HYPERLINK("http://www.genecards.org/cgi-bin/carddisp.pl?gene=CAMK1G","GeneCards")</f>
        <v>GeneCards</v>
      </c>
      <c r="D13700" s="1" t="str">
        <f>HYPERLINK("http://genome-euro.ucsc.edu/cgi-bin/hgTracks?position=217128_s_at","UCSC")</f>
        <v>UCSC</v>
      </c>
      <c r="E13700" s="1" t="str">
        <f>HYPERLINK("http://www.ncbi.nlm.nih.gov/gene/?term=CAMK1G","NCBI")</f>
        <v>NCBI</v>
      </c>
      <c r="F13700">
        <v>0.48</v>
      </c>
      <c r="G13700">
        <v>0.6</v>
      </c>
      <c r="H13700" s="1" t="str">
        <f>HYPERLINK("http://www.weizmann.ac.il/complex/compphys/software/geview/data/figures/217128_s_at.png","Figure")</f>
        <v>Figure</v>
      </c>
      <c r="I13700">
        <v>1.07</v>
      </c>
      <c r="J13700">
        <v>0.46</v>
      </c>
      <c r="K13700">
        <v>1.04</v>
      </c>
      <c r="L13700">
        <v>0.73</v>
      </c>
      <c r="M13700">
        <v>0.97</v>
      </c>
      <c r="N13700">
        <v>0.82</v>
      </c>
    </row>
    <row r="13701" spans="1:14" x14ac:dyDescent="0.25">
      <c r="A13701" t="s">
        <v>23355</v>
      </c>
      <c r="B13701" t="s">
        <v>23356</v>
      </c>
      <c r="C13701" s="1" t="str">
        <f>HYPERLINK("http://www.genecards.org/cgi-bin/carddisp.pl?gene=UBE2O","GeneCards")</f>
        <v>GeneCards</v>
      </c>
      <c r="D13701" s="1" t="str">
        <f>HYPERLINK("http://genome-euro.ucsc.edu/cgi-bin/hgTracks?position=218141_at","UCSC")</f>
        <v>UCSC</v>
      </c>
      <c r="E13701" s="1" t="str">
        <f>HYPERLINK("http://www.ncbi.nlm.nih.gov/gene/?term=UBE2O","NCBI")</f>
        <v>NCBI</v>
      </c>
      <c r="F13701">
        <v>0.48</v>
      </c>
      <c r="G13701">
        <v>0.6</v>
      </c>
      <c r="H13701" s="1" t="str">
        <f>HYPERLINK("http://www.weizmann.ac.il/complex/compphys/software/geview/data/figures/218141_at.png","Figure")</f>
        <v>Figure</v>
      </c>
      <c r="I13701">
        <v>0.94099999999999995</v>
      </c>
      <c r="J13701">
        <v>0.94</v>
      </c>
      <c r="K13701">
        <v>1.1399999999999999</v>
      </c>
      <c r="L13701">
        <v>0.68</v>
      </c>
      <c r="M13701">
        <v>1.21</v>
      </c>
      <c r="N13701">
        <v>0.5</v>
      </c>
    </row>
    <row r="13702" spans="1:14" x14ac:dyDescent="0.25">
      <c r="A13702" t="s">
        <v>23357</v>
      </c>
      <c r="B13702" t="s">
        <v>23358</v>
      </c>
      <c r="C13702" s="1" t="str">
        <f>HYPERLINK("http://www.genecards.org/cgi-bin/carddisp.pl?gene=AQP2","GeneCards")</f>
        <v>GeneCards</v>
      </c>
      <c r="D13702" s="1" t="str">
        <f>HYPERLINK("http://genome-euro.ucsc.edu/cgi-bin/hgTracks?position=206672_at","UCSC")</f>
        <v>UCSC</v>
      </c>
      <c r="E13702" s="1" t="str">
        <f>HYPERLINK("http://www.ncbi.nlm.nih.gov/gene/?term=AQP2","NCBI")</f>
        <v>NCBI</v>
      </c>
      <c r="F13702">
        <v>0.48</v>
      </c>
      <c r="G13702">
        <v>0.6</v>
      </c>
      <c r="H13702" s="1" t="str">
        <f>HYPERLINK("http://www.weizmann.ac.il/complex/compphys/software/geview/data/figures/206672_at.png","Figure")</f>
        <v>Figure</v>
      </c>
      <c r="I13702">
        <v>1.07</v>
      </c>
      <c r="J13702">
        <v>0.67</v>
      </c>
      <c r="K13702">
        <v>0.97699999999999998</v>
      </c>
      <c r="L13702">
        <v>0.95</v>
      </c>
      <c r="M13702">
        <v>0.91</v>
      </c>
      <c r="N13702">
        <v>0.46</v>
      </c>
    </row>
    <row r="13703" spans="1:14" x14ac:dyDescent="0.25">
      <c r="A13703" t="s">
        <v>23359</v>
      </c>
      <c r="B13703" t="s">
        <v>23360</v>
      </c>
      <c r="C13703" s="1" t="str">
        <f>HYPERLINK("http://www.genecards.org/cgi-bin/carddisp.pl?gene=RENBP","GeneCards")</f>
        <v>GeneCards</v>
      </c>
      <c r="D13703" s="1" t="str">
        <f>HYPERLINK("http://genome-euro.ucsc.edu/cgi-bin/hgTracks?position=206617_s_at","UCSC")</f>
        <v>UCSC</v>
      </c>
      <c r="E13703" s="1" t="str">
        <f>HYPERLINK("http://www.ncbi.nlm.nih.gov/gene/?term=RENBP","NCBI")</f>
        <v>NCBI</v>
      </c>
      <c r="F13703">
        <v>0.48</v>
      </c>
      <c r="G13703">
        <v>0.6</v>
      </c>
      <c r="H13703" s="1" t="str">
        <f>HYPERLINK("http://www.weizmann.ac.il/complex/compphys/software/geview/data/figures/206617_s_at.png","Figure")</f>
        <v>Figure</v>
      </c>
      <c r="I13703">
        <v>1.04</v>
      </c>
      <c r="J13703">
        <v>0.8</v>
      </c>
      <c r="K13703">
        <v>1.07</v>
      </c>
      <c r="L13703">
        <v>0.45</v>
      </c>
      <c r="M13703">
        <v>1.03</v>
      </c>
      <c r="N13703">
        <v>0.89</v>
      </c>
    </row>
    <row r="13704" spans="1:14" x14ac:dyDescent="0.25">
      <c r="A13704" t="s">
        <v>23361</v>
      </c>
      <c r="B13704" t="s">
        <v>13342</v>
      </c>
      <c r="C13704" s="1" t="str">
        <f>HYPERLINK("http://www.genecards.org/cgi-bin/carddisp.pl?gene=STC2","GeneCards")</f>
        <v>GeneCards</v>
      </c>
      <c r="D13704" s="1" t="str">
        <f>HYPERLINK("http://genome-euro.ucsc.edu/cgi-bin/hgTracks?position=203438_at","UCSC")</f>
        <v>UCSC</v>
      </c>
      <c r="E13704" s="1" t="str">
        <f>HYPERLINK("http://www.ncbi.nlm.nih.gov/gene/?term=STC2","NCBI")</f>
        <v>NCBI</v>
      </c>
      <c r="F13704">
        <v>0.48</v>
      </c>
      <c r="G13704">
        <v>0.6</v>
      </c>
      <c r="H13704" s="1" t="str">
        <f>HYPERLINK("http://www.weizmann.ac.il/complex/compphys/software/geview/data/figures/203438_at.png","Figure")</f>
        <v>Figure</v>
      </c>
      <c r="I13704">
        <v>1.07</v>
      </c>
      <c r="J13704">
        <v>0.46</v>
      </c>
      <c r="K13704">
        <v>1.04</v>
      </c>
      <c r="L13704">
        <v>0.71</v>
      </c>
      <c r="M13704">
        <v>0.97299999999999998</v>
      </c>
      <c r="N13704">
        <v>0.84</v>
      </c>
    </row>
    <row r="13705" spans="1:14" x14ac:dyDescent="0.25">
      <c r="A13705" t="s">
        <v>23362</v>
      </c>
      <c r="B13705" t="s">
        <v>23363</v>
      </c>
      <c r="C13705" s="1" t="str">
        <f>HYPERLINK("http://www.genecards.org/cgi-bin/carddisp.pl?gene=FGFR1OP","GeneCards")</f>
        <v>GeneCards</v>
      </c>
      <c r="D13705" s="1" t="str">
        <f>HYPERLINK("http://genome-euro.ucsc.edu/cgi-bin/hgTracks?position=205588_s_at","UCSC")</f>
        <v>UCSC</v>
      </c>
      <c r="E13705" s="1" t="str">
        <f>HYPERLINK("http://www.ncbi.nlm.nih.gov/gene/?term=FGFR1OP","NCBI")</f>
        <v>NCBI</v>
      </c>
      <c r="F13705">
        <v>0.48</v>
      </c>
      <c r="G13705">
        <v>0.6</v>
      </c>
      <c r="H13705" s="1" t="str">
        <f>HYPERLINK("http://www.weizmann.ac.il/complex/compphys/software/geview/data/figures/205588_s_at.png","Figure")</f>
        <v>Figure</v>
      </c>
      <c r="I13705">
        <v>0.96199999999999997</v>
      </c>
      <c r="J13705">
        <v>0.97</v>
      </c>
      <c r="K13705">
        <v>1.1499999999999999</v>
      </c>
      <c r="L13705">
        <v>0.63</v>
      </c>
      <c r="M13705">
        <v>1.2</v>
      </c>
      <c r="N13705">
        <v>0.52</v>
      </c>
    </row>
    <row r="13706" spans="1:14" x14ac:dyDescent="0.25">
      <c r="A13706" t="s">
        <v>23364</v>
      </c>
      <c r="B13706" t="s">
        <v>23365</v>
      </c>
      <c r="C13706" s="1" t="str">
        <f>HYPERLINK("http://www.genecards.org/cgi-bin/carddisp.pl?gene=ADPRH","GeneCards")</f>
        <v>GeneCards</v>
      </c>
      <c r="D13706" s="1" t="str">
        <f>HYPERLINK("http://genome-euro.ucsc.edu/cgi-bin/hgTracks?position=207863_at","UCSC")</f>
        <v>UCSC</v>
      </c>
      <c r="E13706" s="1" t="str">
        <f>HYPERLINK("http://www.ncbi.nlm.nih.gov/gene/?term=ADPRH","NCBI")</f>
        <v>NCBI</v>
      </c>
      <c r="F13706">
        <v>0.48</v>
      </c>
      <c r="G13706">
        <v>0.6</v>
      </c>
      <c r="H13706" s="1" t="str">
        <f>HYPERLINK("http://www.weizmann.ac.il/complex/compphys/software/geview/data/figures/207863_at.png","Figure")</f>
        <v>Figure</v>
      </c>
      <c r="I13706">
        <v>1.06</v>
      </c>
      <c r="J13706">
        <v>0.53</v>
      </c>
      <c r="K13706">
        <v>1</v>
      </c>
      <c r="L13706">
        <v>1</v>
      </c>
      <c r="M13706">
        <v>0.95</v>
      </c>
      <c r="N13706">
        <v>0.53</v>
      </c>
    </row>
    <row r="13707" spans="1:14" x14ac:dyDescent="0.25">
      <c r="A13707" t="s">
        <v>23366</v>
      </c>
      <c r="B13707" t="s">
        <v>3193</v>
      </c>
      <c r="C13707" s="1" t="str">
        <f>HYPERLINK("http://www.genecards.org/cgi-bin/carddisp.pl?gene=DR1","GeneCards")</f>
        <v>GeneCards</v>
      </c>
      <c r="D13707" s="1" t="str">
        <f>HYPERLINK("http://genome-euro.ucsc.edu/cgi-bin/hgTracks?position=209187_at","UCSC")</f>
        <v>UCSC</v>
      </c>
      <c r="E13707" s="1" t="str">
        <f>HYPERLINK("http://www.ncbi.nlm.nih.gov/gene/?term=DR1","NCBI")</f>
        <v>NCBI</v>
      </c>
      <c r="F13707">
        <v>0.48</v>
      </c>
      <c r="G13707">
        <v>0.6</v>
      </c>
      <c r="H13707" s="1" t="str">
        <f>HYPERLINK("http://www.weizmann.ac.il/complex/compphys/software/geview/data/figures/209187_at.png","Figure")</f>
        <v>Figure</v>
      </c>
      <c r="I13707">
        <v>0.68700000000000006</v>
      </c>
      <c r="J13707">
        <v>0.51</v>
      </c>
      <c r="K13707">
        <v>0.749</v>
      </c>
      <c r="L13707">
        <v>0.59</v>
      </c>
      <c r="M13707">
        <v>1.0900000000000001</v>
      </c>
      <c r="N13707">
        <v>0.96</v>
      </c>
    </row>
    <row r="13708" spans="1:14" x14ac:dyDescent="0.25">
      <c r="A13708" t="s">
        <v>23367</v>
      </c>
      <c r="B13708" t="s">
        <v>20540</v>
      </c>
      <c r="C13708" s="1" t="str">
        <f>HYPERLINK("http://www.genecards.org/cgi-bin/carddisp.pl?gene=TMX4","GeneCards")</f>
        <v>GeneCards</v>
      </c>
      <c r="D13708" s="1" t="str">
        <f>HYPERLINK("http://genome-euro.ucsc.edu/cgi-bin/hgTracks?position=201580_s_at","UCSC")</f>
        <v>UCSC</v>
      </c>
      <c r="E13708" s="1" t="str">
        <f>HYPERLINK("http://www.ncbi.nlm.nih.gov/gene/?term=TMX4","NCBI")</f>
        <v>NCBI</v>
      </c>
      <c r="F13708">
        <v>0.48</v>
      </c>
      <c r="G13708">
        <v>0.6</v>
      </c>
      <c r="H13708" s="1" t="str">
        <f>HYPERLINK("http://www.weizmann.ac.il/complex/compphys/software/geview/data/figures/201580_s_at.png","Figure")</f>
        <v>Figure</v>
      </c>
      <c r="I13708">
        <v>1.1599999999999999</v>
      </c>
      <c r="J13708">
        <v>0.49</v>
      </c>
      <c r="K13708">
        <v>1.1100000000000001</v>
      </c>
      <c r="L13708">
        <v>0.63</v>
      </c>
      <c r="M13708">
        <v>0.95499999999999996</v>
      </c>
      <c r="N13708">
        <v>0.92</v>
      </c>
    </row>
    <row r="13709" spans="1:14" x14ac:dyDescent="0.25">
      <c r="A13709" t="s">
        <v>23368</v>
      </c>
      <c r="B13709" t="s">
        <v>13119</v>
      </c>
      <c r="C13709" s="1" t="str">
        <f>HYPERLINK("http://www.genecards.org/cgi-bin/carddisp.pl?gene=RABL2A /// RABL2B","GeneCards")</f>
        <v>GeneCards</v>
      </c>
      <c r="D13709" s="1" t="str">
        <f>HYPERLINK("http://genome-euro.ucsc.edu/cgi-bin/hgTracks?position=220500_s_at","UCSC")</f>
        <v>UCSC</v>
      </c>
      <c r="E13709" s="1" t="str">
        <f>HYPERLINK("http://www.ncbi.nlm.nih.gov/gene/?term=RABL2A /// RABL2B","NCBI")</f>
        <v>NCBI</v>
      </c>
      <c r="F13709">
        <v>0.48</v>
      </c>
      <c r="G13709">
        <v>0.6</v>
      </c>
      <c r="H13709" s="1" t="str">
        <f>HYPERLINK("http://www.weizmann.ac.il/complex/compphys/software/geview/data/figures/220500_s_at.png","Figure")</f>
        <v>Figure</v>
      </c>
      <c r="I13709">
        <v>1.04</v>
      </c>
      <c r="J13709">
        <v>0.81</v>
      </c>
      <c r="K13709">
        <v>1.07</v>
      </c>
      <c r="L13709">
        <v>0.45</v>
      </c>
      <c r="M13709">
        <v>1.03</v>
      </c>
      <c r="N13709">
        <v>0.88</v>
      </c>
    </row>
    <row r="13710" spans="1:14" x14ac:dyDescent="0.25">
      <c r="A13710" t="s">
        <v>23369</v>
      </c>
      <c r="B13710" t="s">
        <v>23370</v>
      </c>
      <c r="C13710" s="1" t="str">
        <f>HYPERLINK("http://www.genecards.org/cgi-bin/carddisp.pl?gene=C9orf82","GeneCards")</f>
        <v>GeneCards</v>
      </c>
      <c r="D13710" s="1" t="str">
        <f>HYPERLINK("http://genome-euro.ucsc.edu/cgi-bin/hgTracks?position=219276_x_at","UCSC")</f>
        <v>UCSC</v>
      </c>
      <c r="E13710" s="1" t="str">
        <f>HYPERLINK("http://www.ncbi.nlm.nih.gov/gene/?term=C9orf82","NCBI")</f>
        <v>NCBI</v>
      </c>
      <c r="F13710">
        <v>0.48</v>
      </c>
      <c r="G13710">
        <v>0.6</v>
      </c>
      <c r="H13710" s="1" t="str">
        <f>HYPERLINK("http://www.weizmann.ac.il/complex/compphys/software/geview/data/figures/219276_x_at.png","Figure")</f>
        <v>Figure</v>
      </c>
      <c r="I13710">
        <v>0.81699999999999995</v>
      </c>
      <c r="J13710">
        <v>0.5</v>
      </c>
      <c r="K13710">
        <v>0.86199999999999999</v>
      </c>
      <c r="L13710">
        <v>0.61</v>
      </c>
      <c r="M13710">
        <v>1.06</v>
      </c>
      <c r="N13710">
        <v>0.94</v>
      </c>
    </row>
    <row r="13711" spans="1:14" x14ac:dyDescent="0.25">
      <c r="A13711" t="s">
        <v>23371</v>
      </c>
      <c r="B13711" t="s">
        <v>23372</v>
      </c>
      <c r="C13711" s="1" t="str">
        <f>HYPERLINK("http://www.genecards.org/cgi-bin/carddisp.pl?gene=CYP2U1","GeneCards")</f>
        <v>GeneCards</v>
      </c>
      <c r="D13711" s="1" t="str">
        <f>HYPERLINK("http://genome-euro.ucsc.edu/cgi-bin/hgTracks?position=216720_at","UCSC")</f>
        <v>UCSC</v>
      </c>
      <c r="E13711" s="1" t="str">
        <f>HYPERLINK("http://www.ncbi.nlm.nih.gov/gene/?term=CYP2U1","NCBI")</f>
        <v>NCBI</v>
      </c>
      <c r="F13711">
        <v>0.49</v>
      </c>
      <c r="G13711">
        <v>0.6</v>
      </c>
      <c r="H13711" s="1" t="str">
        <f>HYPERLINK("http://www.weizmann.ac.il/complex/compphys/software/geview/data/figures/216720_at.png","Figure")</f>
        <v>Figure</v>
      </c>
      <c r="I13711">
        <v>1.03</v>
      </c>
      <c r="J13711">
        <v>0.64</v>
      </c>
      <c r="K13711">
        <v>0.99299999999999999</v>
      </c>
      <c r="L13711">
        <v>0.96</v>
      </c>
      <c r="M13711">
        <v>0.96599999999999997</v>
      </c>
      <c r="N13711">
        <v>0.47</v>
      </c>
    </row>
    <row r="13712" spans="1:14" x14ac:dyDescent="0.25">
      <c r="A13712" t="s">
        <v>23373</v>
      </c>
      <c r="B13712" t="s">
        <v>23374</v>
      </c>
      <c r="C13712" s="1" t="str">
        <f>HYPERLINK("http://www.genecards.org/cgi-bin/carddisp.pl?gene=SNED1","GeneCards")</f>
        <v>GeneCards</v>
      </c>
      <c r="D13712" s="1" t="str">
        <f>HYPERLINK("http://genome-euro.ucsc.edu/cgi-bin/hgTracks?position=213488_at","UCSC")</f>
        <v>UCSC</v>
      </c>
      <c r="E13712" s="1" t="str">
        <f>HYPERLINK("http://www.ncbi.nlm.nih.gov/gene/?term=SNED1","NCBI")</f>
        <v>NCBI</v>
      </c>
      <c r="F13712">
        <v>0.49</v>
      </c>
      <c r="G13712">
        <v>0.6</v>
      </c>
      <c r="H13712" s="1" t="str">
        <f>HYPERLINK("http://www.weizmann.ac.il/complex/compphys/software/geview/data/figures/213488_at.png","Figure")</f>
        <v>Figure</v>
      </c>
      <c r="I13712">
        <v>1.06</v>
      </c>
      <c r="J13712">
        <v>0.85</v>
      </c>
      <c r="K13712">
        <v>0.94</v>
      </c>
      <c r="L13712">
        <v>0.78</v>
      </c>
      <c r="M13712">
        <v>0.88800000000000001</v>
      </c>
      <c r="N13712">
        <v>0.46</v>
      </c>
    </row>
    <row r="13713" spans="1:14" x14ac:dyDescent="0.25">
      <c r="A13713" t="s">
        <v>23375</v>
      </c>
      <c r="B13713" t="s">
        <v>23376</v>
      </c>
      <c r="C13713" s="1" t="str">
        <f>HYPERLINK("http://www.genecards.org/cgi-bin/carddisp.pl?gene=MKS1","GeneCards")</f>
        <v>GeneCards</v>
      </c>
      <c r="D13713" s="1" t="str">
        <f>HYPERLINK("http://genome-euro.ucsc.edu/cgi-bin/hgTracks?position=218630_at","UCSC")</f>
        <v>UCSC</v>
      </c>
      <c r="E13713" s="1" t="str">
        <f>HYPERLINK("http://www.ncbi.nlm.nih.gov/gene/?term=MKS1","NCBI")</f>
        <v>NCBI</v>
      </c>
      <c r="F13713">
        <v>0.49</v>
      </c>
      <c r="G13713">
        <v>0.6</v>
      </c>
      <c r="H13713" s="1" t="str">
        <f>HYPERLINK("http://www.weizmann.ac.il/complex/compphys/software/geview/data/figures/218630_at.png","Figure")</f>
        <v>Figure</v>
      </c>
      <c r="I13713">
        <v>0.90300000000000002</v>
      </c>
      <c r="J13713">
        <v>0.51</v>
      </c>
      <c r="K13713">
        <v>0.92500000000000004</v>
      </c>
      <c r="L13713">
        <v>0.59</v>
      </c>
      <c r="M13713">
        <v>1.02</v>
      </c>
      <c r="N13713">
        <v>0.95</v>
      </c>
    </row>
    <row r="13714" spans="1:14" x14ac:dyDescent="0.25">
      <c r="A13714" t="s">
        <v>23377</v>
      </c>
      <c r="B13714" t="s">
        <v>23378</v>
      </c>
      <c r="C13714" s="1" t="str">
        <f>HYPERLINK("http://www.genecards.org/cgi-bin/carddisp.pl?gene=SLPI","GeneCards")</f>
        <v>GeneCards</v>
      </c>
      <c r="D13714" s="1" t="str">
        <f>HYPERLINK("http://genome-euro.ucsc.edu/cgi-bin/hgTracks?position=203021_at","UCSC")</f>
        <v>UCSC</v>
      </c>
      <c r="E13714" s="1" t="str">
        <f>HYPERLINK("http://www.ncbi.nlm.nih.gov/gene/?term=SLPI","NCBI")</f>
        <v>NCBI</v>
      </c>
      <c r="F13714">
        <v>0.49</v>
      </c>
      <c r="G13714">
        <v>0.6</v>
      </c>
      <c r="H13714" s="1" t="str">
        <f>HYPERLINK("http://www.weizmann.ac.il/complex/compphys/software/geview/data/figures/203021_at.png","Figure")</f>
        <v>Figure</v>
      </c>
      <c r="I13714">
        <v>1.07</v>
      </c>
      <c r="J13714">
        <v>0.51</v>
      </c>
      <c r="K13714">
        <v>1.01</v>
      </c>
      <c r="L13714">
        <v>0.98</v>
      </c>
      <c r="M13714">
        <v>0.94199999999999995</v>
      </c>
      <c r="N13714">
        <v>0.55000000000000004</v>
      </c>
    </row>
    <row r="13715" spans="1:14" x14ac:dyDescent="0.25">
      <c r="A13715" t="s">
        <v>23379</v>
      </c>
      <c r="B13715" t="s">
        <v>23380</v>
      </c>
      <c r="C13715" s="1" t="str">
        <f>HYPERLINK("http://www.genecards.org/cgi-bin/carddisp.pl?gene=IFNA1 /// IFNA13","GeneCards")</f>
        <v>GeneCards</v>
      </c>
      <c r="D13715" s="1" t="str">
        <f>HYPERLINK("http://genome-euro.ucsc.edu/cgi-bin/hgTracks?position=208344_x_at","UCSC")</f>
        <v>UCSC</v>
      </c>
      <c r="E13715" s="1" t="str">
        <f>HYPERLINK("http://www.ncbi.nlm.nih.gov/gene/?term=IFNA1 /// IFNA13","NCBI")</f>
        <v>NCBI</v>
      </c>
      <c r="F13715">
        <v>0.49</v>
      </c>
      <c r="G13715">
        <v>0.6</v>
      </c>
      <c r="H13715" s="1" t="str">
        <f>HYPERLINK("http://www.weizmann.ac.il/complex/compphys/software/geview/data/figures/208344_x_at.png","Figure")</f>
        <v>Figure</v>
      </c>
      <c r="I13715">
        <v>1.1200000000000001</v>
      </c>
      <c r="J13715">
        <v>0.52</v>
      </c>
      <c r="K13715">
        <v>1.01</v>
      </c>
      <c r="L13715">
        <v>0.99</v>
      </c>
      <c r="M13715">
        <v>0.90300000000000002</v>
      </c>
      <c r="N13715">
        <v>0.54</v>
      </c>
    </row>
    <row r="13716" spans="1:14" x14ac:dyDescent="0.25">
      <c r="A13716" t="s">
        <v>23381</v>
      </c>
      <c r="B13716" t="s">
        <v>20358</v>
      </c>
      <c r="C13716" s="1" t="str">
        <f>HYPERLINK("http://www.genecards.org/cgi-bin/carddisp.pl?gene=VAV3","GeneCards")</f>
        <v>GeneCards</v>
      </c>
      <c r="D13716" s="1" t="str">
        <f>HYPERLINK("http://genome-euro.ucsc.edu/cgi-bin/hgTracks?position=218806_s_at","UCSC")</f>
        <v>UCSC</v>
      </c>
      <c r="E13716" s="1" t="str">
        <f>HYPERLINK("http://www.ncbi.nlm.nih.gov/gene/?term=VAV3","NCBI")</f>
        <v>NCBI</v>
      </c>
      <c r="F13716">
        <v>0.49</v>
      </c>
      <c r="G13716">
        <v>0.6</v>
      </c>
      <c r="H13716" s="1" t="str">
        <f>HYPERLINK("http://www.weizmann.ac.il/complex/compphys/software/geview/data/figures/218806_s_at.png","Figure")</f>
        <v>Figure</v>
      </c>
      <c r="I13716">
        <v>1.38</v>
      </c>
      <c r="J13716">
        <v>0.46</v>
      </c>
      <c r="K13716">
        <v>1.18</v>
      </c>
      <c r="L13716">
        <v>0.76</v>
      </c>
      <c r="M13716">
        <v>0.85199999999999998</v>
      </c>
      <c r="N13716">
        <v>0.8</v>
      </c>
    </row>
    <row r="13717" spans="1:14" x14ac:dyDescent="0.25">
      <c r="A13717" t="s">
        <v>23382</v>
      </c>
      <c r="B13717" t="s">
        <v>10682</v>
      </c>
      <c r="C13717" s="1" t="str">
        <f>HYPERLINK("http://www.genecards.org/cgi-bin/carddisp.pl?gene=PTBP1","GeneCards")</f>
        <v>GeneCards</v>
      </c>
      <c r="D13717" s="1" t="str">
        <f>HYPERLINK("http://genome-euro.ucsc.edu/cgi-bin/hgTracks?position=211270_x_at","UCSC")</f>
        <v>UCSC</v>
      </c>
      <c r="E13717" s="1" t="str">
        <f>HYPERLINK("http://www.ncbi.nlm.nih.gov/gene/?term=PTBP1","NCBI")</f>
        <v>NCBI</v>
      </c>
      <c r="F13717">
        <v>0.49</v>
      </c>
      <c r="G13717">
        <v>0.6</v>
      </c>
      <c r="H13717" s="1" t="str">
        <f>HYPERLINK("http://www.weizmann.ac.il/complex/compphys/software/geview/data/figures/211270_x_at.png","Figure")</f>
        <v>Figure</v>
      </c>
      <c r="I13717">
        <v>0.81499999999999995</v>
      </c>
      <c r="J13717">
        <v>0.49</v>
      </c>
      <c r="K13717">
        <v>0.86499999999999999</v>
      </c>
      <c r="L13717">
        <v>0.62</v>
      </c>
      <c r="M13717">
        <v>1.06</v>
      </c>
      <c r="N13717">
        <v>0.93</v>
      </c>
    </row>
    <row r="13718" spans="1:14" x14ac:dyDescent="0.25">
      <c r="A13718" t="s">
        <v>23383</v>
      </c>
      <c r="B13718" t="s">
        <v>23384</v>
      </c>
      <c r="C13718" s="1" t="str">
        <f>HYPERLINK("http://www.genecards.org/cgi-bin/carddisp.pl?gene=MGAT4B","GeneCards")</f>
        <v>GeneCards</v>
      </c>
      <c r="D13718" s="1" t="str">
        <f>HYPERLINK("http://genome-euro.ucsc.edu/cgi-bin/hgTracks?position=220189_s_at","UCSC")</f>
        <v>UCSC</v>
      </c>
      <c r="E13718" s="1" t="str">
        <f>HYPERLINK("http://www.ncbi.nlm.nih.gov/gene/?term=MGAT4B","NCBI")</f>
        <v>NCBI</v>
      </c>
      <c r="F13718">
        <v>0.49</v>
      </c>
      <c r="G13718">
        <v>0.6</v>
      </c>
      <c r="H13718" s="1" t="str">
        <f>HYPERLINK("http://www.weizmann.ac.il/complex/compphys/software/geview/data/figures/220189_s_at.png","Figure")</f>
        <v>Figure</v>
      </c>
      <c r="I13718">
        <v>1.1100000000000001</v>
      </c>
      <c r="J13718">
        <v>0.51</v>
      </c>
      <c r="K13718">
        <v>1.08</v>
      </c>
      <c r="L13718">
        <v>0.6</v>
      </c>
      <c r="M13718">
        <v>0.97399999999999998</v>
      </c>
      <c r="N13718">
        <v>0.95</v>
      </c>
    </row>
    <row r="13719" spans="1:14" x14ac:dyDescent="0.25">
      <c r="A13719" t="s">
        <v>23385</v>
      </c>
      <c r="B13719" t="s">
        <v>20656</v>
      </c>
      <c r="C13719" s="1" t="str">
        <f>HYPERLINK("http://www.genecards.org/cgi-bin/carddisp.pl?gene=FLII","GeneCards")</f>
        <v>GeneCards</v>
      </c>
      <c r="D13719" s="1" t="str">
        <f>HYPERLINK("http://genome-euro.ucsc.edu/cgi-bin/hgTracks?position=212024_x_at","UCSC")</f>
        <v>UCSC</v>
      </c>
      <c r="E13719" s="1" t="str">
        <f>HYPERLINK("http://www.ncbi.nlm.nih.gov/gene/?term=FLII","NCBI")</f>
        <v>NCBI</v>
      </c>
      <c r="F13719">
        <v>0.49</v>
      </c>
      <c r="G13719">
        <v>0.6</v>
      </c>
      <c r="H13719" s="1" t="str">
        <f>HYPERLINK("http://www.weizmann.ac.il/complex/compphys/software/geview/data/figures/212024_x_at.png","Figure")</f>
        <v>Figure</v>
      </c>
      <c r="I13719">
        <v>1.1299999999999999</v>
      </c>
      <c r="J13719">
        <v>0.81</v>
      </c>
      <c r="K13719">
        <v>1.24</v>
      </c>
      <c r="L13719">
        <v>0.45</v>
      </c>
      <c r="M13719">
        <v>1.1000000000000001</v>
      </c>
      <c r="N13719">
        <v>0.88</v>
      </c>
    </row>
    <row r="13720" spans="1:14" x14ac:dyDescent="0.25">
      <c r="A13720" t="s">
        <v>23386</v>
      </c>
      <c r="B13720" t="s">
        <v>23387</v>
      </c>
      <c r="C13720" s="1" t="str">
        <f>HYPERLINK("http://www.genecards.org/cgi-bin/carddisp.pl?gene=NOL8","GeneCards")</f>
        <v>GeneCards</v>
      </c>
      <c r="D13720" s="1" t="str">
        <f>HYPERLINK("http://genome-euro.ucsc.edu/cgi-bin/hgTracks?position=218244_at","UCSC")</f>
        <v>UCSC</v>
      </c>
      <c r="E13720" s="1" t="str">
        <f>HYPERLINK("http://www.ncbi.nlm.nih.gov/gene/?term=NOL8","NCBI")</f>
        <v>NCBI</v>
      </c>
      <c r="F13720">
        <v>0.49</v>
      </c>
      <c r="G13720">
        <v>0.6</v>
      </c>
      <c r="H13720" s="1" t="str">
        <f>HYPERLINK("http://www.weizmann.ac.il/complex/compphys/software/geview/data/figures/218244_at.png","Figure")</f>
        <v>Figure</v>
      </c>
      <c r="I13720">
        <v>1.1399999999999999</v>
      </c>
      <c r="J13720">
        <v>0.7</v>
      </c>
      <c r="K13720">
        <v>0.94699999999999995</v>
      </c>
      <c r="L13720">
        <v>0.92</v>
      </c>
      <c r="M13720">
        <v>0.83099999999999996</v>
      </c>
      <c r="N13720">
        <v>0.46</v>
      </c>
    </row>
    <row r="13721" spans="1:14" x14ac:dyDescent="0.25">
      <c r="A13721" t="s">
        <v>23388</v>
      </c>
      <c r="B13721" t="s">
        <v>23389</v>
      </c>
      <c r="C13721" s="1" t="str">
        <f>HYPERLINK("http://www.genecards.org/cgi-bin/carddisp.pl?gene=PRSS21","GeneCards")</f>
        <v>GeneCards</v>
      </c>
      <c r="D13721" s="1" t="str">
        <f>HYPERLINK("http://genome-euro.ucsc.edu/cgi-bin/hgTracks?position=220051_at","UCSC")</f>
        <v>UCSC</v>
      </c>
      <c r="E13721" s="1" t="str">
        <f>HYPERLINK("http://www.ncbi.nlm.nih.gov/gene/?term=PRSS21","NCBI")</f>
        <v>NCBI</v>
      </c>
      <c r="F13721">
        <v>0.49</v>
      </c>
      <c r="G13721">
        <v>0.6</v>
      </c>
      <c r="H13721" s="1" t="str">
        <f>HYPERLINK("http://www.weizmann.ac.il/complex/compphys/software/geview/data/figures/220051_at.png","Figure")</f>
        <v>Figure</v>
      </c>
      <c r="I13721">
        <v>0.89400000000000002</v>
      </c>
      <c r="J13721">
        <v>0.47</v>
      </c>
      <c r="K13721">
        <v>0.96899999999999997</v>
      </c>
      <c r="L13721">
        <v>0.92</v>
      </c>
      <c r="M13721">
        <v>1.08</v>
      </c>
      <c r="N13721">
        <v>0.63</v>
      </c>
    </row>
    <row r="13722" spans="1:14" x14ac:dyDescent="0.25">
      <c r="A13722" t="s">
        <v>23390</v>
      </c>
      <c r="B13722" t="s">
        <v>23391</v>
      </c>
      <c r="C13722" s="1" t="str">
        <f>HYPERLINK("http://www.genecards.org/cgi-bin/carddisp.pl?gene=TAAR5","GeneCards")</f>
        <v>GeneCards</v>
      </c>
      <c r="D13722" s="1" t="str">
        <f>HYPERLINK("http://genome-euro.ucsc.edu/cgi-bin/hgTracks?position=221459_at","UCSC")</f>
        <v>UCSC</v>
      </c>
      <c r="E13722" s="1" t="str">
        <f>HYPERLINK("http://www.ncbi.nlm.nih.gov/gene/?term=TAAR5","NCBI")</f>
        <v>NCBI</v>
      </c>
      <c r="F13722">
        <v>0.49</v>
      </c>
      <c r="G13722">
        <v>0.6</v>
      </c>
      <c r="H13722" s="1" t="str">
        <f>HYPERLINK("http://www.weizmann.ac.il/complex/compphys/software/geview/data/figures/221459_at.png","Figure")</f>
        <v>Figure</v>
      </c>
      <c r="I13722">
        <v>1.1100000000000001</v>
      </c>
      <c r="J13722">
        <v>0.51</v>
      </c>
      <c r="K13722">
        <v>1.01</v>
      </c>
      <c r="L13722">
        <v>0.99</v>
      </c>
      <c r="M13722">
        <v>0.91300000000000003</v>
      </c>
      <c r="N13722">
        <v>0.55000000000000004</v>
      </c>
    </row>
    <row r="13723" spans="1:14" x14ac:dyDescent="0.25">
      <c r="A13723" t="s">
        <v>23392</v>
      </c>
      <c r="B13723" t="s">
        <v>23393</v>
      </c>
      <c r="C13723" s="1" t="str">
        <f>HYPERLINK("http://www.genecards.org/cgi-bin/carddisp.pl?gene=MKLN1","GeneCards")</f>
        <v>GeneCards</v>
      </c>
      <c r="D13723" s="1" t="str">
        <f>HYPERLINK("http://genome-euro.ucsc.edu/cgi-bin/hgTracks?position=204423_at","UCSC")</f>
        <v>UCSC</v>
      </c>
      <c r="E13723" s="1" t="str">
        <f>HYPERLINK("http://www.ncbi.nlm.nih.gov/gene/?term=MKLN1","NCBI")</f>
        <v>NCBI</v>
      </c>
      <c r="F13723">
        <v>0.49</v>
      </c>
      <c r="G13723">
        <v>0.6</v>
      </c>
      <c r="H13723" s="1" t="str">
        <f>HYPERLINK("http://www.weizmann.ac.il/complex/compphys/software/geview/data/figures/204423_at.png","Figure")</f>
        <v>Figure</v>
      </c>
      <c r="I13723">
        <v>0.94099999999999995</v>
      </c>
      <c r="J13723">
        <v>0.87</v>
      </c>
      <c r="K13723">
        <v>0.878</v>
      </c>
      <c r="L13723">
        <v>0.46</v>
      </c>
      <c r="M13723">
        <v>0.93300000000000005</v>
      </c>
      <c r="N13723">
        <v>0.82</v>
      </c>
    </row>
    <row r="13724" spans="1:14" x14ac:dyDescent="0.25">
      <c r="A13724" t="s">
        <v>23394</v>
      </c>
      <c r="B13724" t="s">
        <v>15736</v>
      </c>
      <c r="C13724" s="1" t="str">
        <f>HYPERLINK("http://www.genecards.org/cgi-bin/carddisp.pl?gene=SP110","GeneCards")</f>
        <v>GeneCards</v>
      </c>
      <c r="D13724" s="1" t="str">
        <f>HYPERLINK("http://genome-euro.ucsc.edu/cgi-bin/hgTracks?position=209762_x_at","UCSC")</f>
        <v>UCSC</v>
      </c>
      <c r="E13724" s="1" t="str">
        <f>HYPERLINK("http://www.ncbi.nlm.nih.gov/gene/?term=SP110","NCBI")</f>
        <v>NCBI</v>
      </c>
      <c r="F13724">
        <v>0.49</v>
      </c>
      <c r="G13724">
        <v>0.6</v>
      </c>
      <c r="H13724" s="1" t="str">
        <f>HYPERLINK("http://www.weizmann.ac.il/complex/compphys/software/geview/data/figures/209762_x_at.png","Figure")</f>
        <v>Figure</v>
      </c>
      <c r="I13724">
        <v>1.2</v>
      </c>
      <c r="J13724">
        <v>0.5</v>
      </c>
      <c r="K13724">
        <v>1.1499999999999999</v>
      </c>
      <c r="L13724">
        <v>0.61</v>
      </c>
      <c r="M13724">
        <v>0.95299999999999996</v>
      </c>
      <c r="N13724">
        <v>0.94</v>
      </c>
    </row>
    <row r="13725" spans="1:14" x14ac:dyDescent="0.25">
      <c r="A13725" t="s">
        <v>23395</v>
      </c>
      <c r="B13725" t="s">
        <v>16848</v>
      </c>
      <c r="C13725" s="1" t="str">
        <f>HYPERLINK("http://www.genecards.org/cgi-bin/carddisp.pl?gene=DTNB","GeneCards")</f>
        <v>GeneCards</v>
      </c>
      <c r="D13725" s="1" t="str">
        <f>HYPERLINK("http://genome-euro.ucsc.edu/cgi-bin/hgTracks?position=215295_at","UCSC")</f>
        <v>UCSC</v>
      </c>
      <c r="E13725" s="1" t="str">
        <f>HYPERLINK("http://www.ncbi.nlm.nih.gov/gene/?term=DTNB","NCBI")</f>
        <v>NCBI</v>
      </c>
      <c r="F13725">
        <v>0.49</v>
      </c>
      <c r="G13725">
        <v>0.6</v>
      </c>
      <c r="H13725" s="1" t="str">
        <f>HYPERLINK("http://www.weizmann.ac.il/complex/compphys/software/geview/data/figures/215295_at.png","Figure")</f>
        <v>Figure</v>
      </c>
      <c r="I13725">
        <v>1.04</v>
      </c>
      <c r="J13725">
        <v>0.55000000000000004</v>
      </c>
      <c r="K13725">
        <v>1.03</v>
      </c>
      <c r="L13725">
        <v>0.55000000000000004</v>
      </c>
      <c r="M13725">
        <v>0.995</v>
      </c>
      <c r="N13725">
        <v>0.99</v>
      </c>
    </row>
    <row r="13726" spans="1:14" x14ac:dyDescent="0.25">
      <c r="A13726" t="s">
        <v>23396</v>
      </c>
      <c r="B13726" t="s">
        <v>23397</v>
      </c>
      <c r="C13726" s="1" t="str">
        <f>HYPERLINK("http://www.genecards.org/cgi-bin/carddisp.pl?gene=LOC652147","GeneCards")</f>
        <v>GeneCards</v>
      </c>
      <c r="D13726" s="1" t="str">
        <f>HYPERLINK("http://genome-euro.ucsc.edu/cgi-bin/hgTracks?position=217114_at","UCSC")</f>
        <v>UCSC</v>
      </c>
      <c r="E13726" s="1" t="str">
        <f>HYPERLINK("http://www.ncbi.nlm.nih.gov/gene/?term=LOC652147","NCBI")</f>
        <v>NCBI</v>
      </c>
      <c r="F13726">
        <v>0.49</v>
      </c>
      <c r="G13726">
        <v>0.6</v>
      </c>
      <c r="H13726" s="1" t="str">
        <f>HYPERLINK("http://www.weizmann.ac.il/complex/compphys/software/geview/data/figures/217114_at.png","Figure")</f>
        <v>Figure</v>
      </c>
      <c r="I13726">
        <v>1</v>
      </c>
      <c r="J13726">
        <v>1</v>
      </c>
      <c r="K13726">
        <v>0.97899999999999998</v>
      </c>
      <c r="L13726">
        <v>0.55000000000000004</v>
      </c>
      <c r="M13726">
        <v>0.97899999999999998</v>
      </c>
      <c r="N13726">
        <v>0.59</v>
      </c>
    </row>
    <row r="13727" spans="1:14" x14ac:dyDescent="0.25">
      <c r="A13727" t="s">
        <v>23398</v>
      </c>
      <c r="B13727" t="s">
        <v>23399</v>
      </c>
      <c r="C13727" s="1" t="str">
        <f>HYPERLINK("http://www.genecards.org/cgi-bin/carddisp.pl?gene=XAB2","GeneCards")</f>
        <v>GeneCards</v>
      </c>
      <c r="D13727" s="1" t="str">
        <f>HYPERLINK("http://genome-euro.ucsc.edu/cgi-bin/hgTracks?position=218110_at","UCSC")</f>
        <v>UCSC</v>
      </c>
      <c r="E13727" s="1" t="str">
        <f>HYPERLINK("http://www.ncbi.nlm.nih.gov/gene/?term=XAB2","NCBI")</f>
        <v>NCBI</v>
      </c>
      <c r="F13727">
        <v>0.49</v>
      </c>
      <c r="G13727">
        <v>0.6</v>
      </c>
      <c r="H13727" s="1" t="str">
        <f>HYPERLINK("http://www.weizmann.ac.il/complex/compphys/software/geview/data/figures/218110_at.png","Figure")</f>
        <v>Figure</v>
      </c>
      <c r="I13727">
        <v>0.94799999999999995</v>
      </c>
      <c r="J13727">
        <v>0.69</v>
      </c>
      <c r="K13727">
        <v>1.02</v>
      </c>
      <c r="L13727">
        <v>0.93</v>
      </c>
      <c r="M13727">
        <v>1.08</v>
      </c>
      <c r="N13727">
        <v>0.46</v>
      </c>
    </row>
    <row r="13728" spans="1:14" x14ac:dyDescent="0.25">
      <c r="A13728" t="s">
        <v>23400</v>
      </c>
      <c r="B13728" t="s">
        <v>23401</v>
      </c>
      <c r="C13728" s="1" t="str">
        <f>HYPERLINK("http://www.genecards.org/cgi-bin/carddisp.pl?gene=OPLAH","GeneCards")</f>
        <v>GeneCards</v>
      </c>
      <c r="D13728" s="1" t="str">
        <f>HYPERLINK("http://genome-euro.ucsc.edu/cgi-bin/hgTracks?position=222025_s_at","UCSC")</f>
        <v>UCSC</v>
      </c>
      <c r="E13728" s="1" t="str">
        <f>HYPERLINK("http://www.ncbi.nlm.nih.gov/gene/?term=OPLAH","NCBI")</f>
        <v>NCBI</v>
      </c>
      <c r="F13728">
        <v>0.49</v>
      </c>
      <c r="G13728">
        <v>0.6</v>
      </c>
      <c r="H13728" s="1" t="str">
        <f>HYPERLINK("http://www.weizmann.ac.il/complex/compphys/software/geview/data/figures/222025_s_at.png","Figure")</f>
        <v>Figure</v>
      </c>
      <c r="I13728">
        <v>1.01</v>
      </c>
      <c r="J13728">
        <v>0.99</v>
      </c>
      <c r="K13728">
        <v>0.93799999999999994</v>
      </c>
      <c r="L13728">
        <v>0.59</v>
      </c>
      <c r="M13728">
        <v>0.93</v>
      </c>
      <c r="N13728">
        <v>0.56000000000000005</v>
      </c>
    </row>
    <row r="13729" spans="1:14" x14ac:dyDescent="0.25">
      <c r="A13729" t="s">
        <v>23402</v>
      </c>
      <c r="B13729" t="s">
        <v>23403</v>
      </c>
      <c r="C13729" s="1" t="str">
        <f>HYPERLINK("http://www.genecards.org/cgi-bin/carddisp.pl?gene=MUC4","GeneCards")</f>
        <v>GeneCards</v>
      </c>
      <c r="D13729" s="1" t="str">
        <f>HYPERLINK("http://genome-euro.ucsc.edu/cgi-bin/hgTracks?position=204895_x_at","UCSC")</f>
        <v>UCSC</v>
      </c>
      <c r="E13729" s="1" t="str">
        <f>HYPERLINK("http://www.ncbi.nlm.nih.gov/gene/?term=MUC4","NCBI")</f>
        <v>NCBI</v>
      </c>
      <c r="F13729">
        <v>0.49</v>
      </c>
      <c r="G13729">
        <v>0.6</v>
      </c>
      <c r="H13729" s="1" t="str">
        <f>HYPERLINK("http://www.weizmann.ac.il/complex/compphys/software/geview/data/figures/204895_x_at.png","Figure")</f>
        <v>Figure</v>
      </c>
      <c r="I13729">
        <v>1</v>
      </c>
      <c r="J13729">
        <v>0.51</v>
      </c>
      <c r="K13729">
        <v>1</v>
      </c>
      <c r="L13729">
        <v>0.59</v>
      </c>
      <c r="M13729">
        <v>0.999</v>
      </c>
      <c r="N13729">
        <v>0.96</v>
      </c>
    </row>
    <row r="13730" spans="1:14" x14ac:dyDescent="0.25">
      <c r="A13730" t="s">
        <v>23404</v>
      </c>
      <c r="B13730" t="s">
        <v>18439</v>
      </c>
      <c r="C13730" s="1" t="str">
        <f>HYPERLINK("http://www.genecards.org/cgi-bin/carddisp.pl?gene=CDC2L5","GeneCards")</f>
        <v>GeneCards</v>
      </c>
      <c r="D13730" s="1" t="str">
        <f>HYPERLINK("http://genome-euro.ucsc.edu/cgi-bin/hgTracks?position=214287_s_at","UCSC")</f>
        <v>UCSC</v>
      </c>
      <c r="E13730" s="1" t="str">
        <f>HYPERLINK("http://www.ncbi.nlm.nih.gov/gene/?term=CDC2L5","NCBI")</f>
        <v>NCBI</v>
      </c>
      <c r="F13730">
        <v>0.49</v>
      </c>
      <c r="G13730">
        <v>0.6</v>
      </c>
      <c r="H13730" s="1" t="str">
        <f>HYPERLINK("http://www.weizmann.ac.il/complex/compphys/software/geview/data/figures/214287_s_at.png","Figure")</f>
        <v>Figure</v>
      </c>
      <c r="I13730">
        <v>1.01</v>
      </c>
      <c r="J13730">
        <v>0.51</v>
      </c>
      <c r="K13730">
        <v>1.01</v>
      </c>
      <c r="L13730">
        <v>0.59</v>
      </c>
      <c r="M13730">
        <v>0.998</v>
      </c>
      <c r="N13730">
        <v>0.96</v>
      </c>
    </row>
    <row r="13731" spans="1:14" x14ac:dyDescent="0.25">
      <c r="A13731" t="s">
        <v>23405</v>
      </c>
      <c r="B13731" t="s">
        <v>23406</v>
      </c>
      <c r="C13731" s="1" t="str">
        <f>HYPERLINK("http://www.genecards.org/cgi-bin/carddisp.pl?gene=CCDC70","GeneCards")</f>
        <v>GeneCards</v>
      </c>
      <c r="D13731" s="1" t="str">
        <f>HYPERLINK("http://genome-euro.ucsc.edu/cgi-bin/hgTracks?position=221167_s_at","UCSC")</f>
        <v>UCSC</v>
      </c>
      <c r="E13731" s="1" t="str">
        <f>HYPERLINK("http://www.ncbi.nlm.nih.gov/gene/?term=CCDC70","NCBI")</f>
        <v>NCBI</v>
      </c>
      <c r="F13731">
        <v>0.49</v>
      </c>
      <c r="G13731">
        <v>0.6</v>
      </c>
      <c r="H13731" s="1" t="str">
        <f>HYPERLINK("http://www.weizmann.ac.il/complex/compphys/software/geview/data/figures/221167_s_at.png","Figure")</f>
        <v>Figure</v>
      </c>
      <c r="I13731">
        <v>1</v>
      </c>
      <c r="J13731">
        <v>0.51</v>
      </c>
      <c r="K13731">
        <v>1</v>
      </c>
      <c r="L13731">
        <v>0.59</v>
      </c>
      <c r="M13731">
        <v>0.999</v>
      </c>
      <c r="N13731">
        <v>0.96</v>
      </c>
    </row>
    <row r="13732" spans="1:14" x14ac:dyDescent="0.25">
      <c r="A13732" t="s">
        <v>23407</v>
      </c>
      <c r="B13732" t="s">
        <v>13568</v>
      </c>
      <c r="C13732" s="1" t="str">
        <f>HYPERLINK("http://www.genecards.org/cgi-bin/carddisp.pl?gene=THY1","GeneCards")</f>
        <v>GeneCards</v>
      </c>
      <c r="D13732" s="1" t="str">
        <f>HYPERLINK("http://genome-euro.ucsc.edu/cgi-bin/hgTracks?position=208851_s_at","UCSC")</f>
        <v>UCSC</v>
      </c>
      <c r="E13732" s="1" t="str">
        <f>HYPERLINK("http://www.ncbi.nlm.nih.gov/gene/?term=THY1","NCBI")</f>
        <v>NCBI</v>
      </c>
      <c r="F13732">
        <v>0.49</v>
      </c>
      <c r="G13732">
        <v>0.6</v>
      </c>
      <c r="H13732" s="1" t="str">
        <f>HYPERLINK("http://www.weizmann.ac.il/complex/compphys/software/geview/data/figures/208851_s_at.png","Figure")</f>
        <v>Figure</v>
      </c>
      <c r="I13732">
        <v>1.05</v>
      </c>
      <c r="J13732">
        <v>0.82</v>
      </c>
      <c r="K13732">
        <v>0.95599999999999996</v>
      </c>
      <c r="L13732">
        <v>0.82</v>
      </c>
      <c r="M13732">
        <v>0.90800000000000003</v>
      </c>
      <c r="N13732">
        <v>0.46</v>
      </c>
    </row>
    <row r="13733" spans="1:14" x14ac:dyDescent="0.25">
      <c r="A13733" t="s">
        <v>23408</v>
      </c>
      <c r="B13733" t="s">
        <v>17423</v>
      </c>
      <c r="C13733" s="1" t="str">
        <f>HYPERLINK("http://www.genecards.org/cgi-bin/carddisp.pl?gene=SNCA","GeneCards")</f>
        <v>GeneCards</v>
      </c>
      <c r="D13733" s="1" t="str">
        <f>HYPERLINK("http://genome-euro.ucsc.edu/cgi-bin/hgTracks?position=207827_x_at","UCSC")</f>
        <v>UCSC</v>
      </c>
      <c r="E13733" s="1" t="str">
        <f>HYPERLINK("http://www.ncbi.nlm.nih.gov/gene/?term=SNCA","NCBI")</f>
        <v>NCBI</v>
      </c>
      <c r="F13733">
        <v>0.49</v>
      </c>
      <c r="G13733">
        <v>0.6</v>
      </c>
      <c r="H13733" s="1" t="str">
        <f>HYPERLINK("http://www.weizmann.ac.il/complex/compphys/software/geview/data/figures/207827_x_at.png","Figure")</f>
        <v>Figure</v>
      </c>
      <c r="I13733">
        <v>1.2</v>
      </c>
      <c r="J13733">
        <v>0.51</v>
      </c>
      <c r="K13733">
        <v>1.02</v>
      </c>
      <c r="L13733">
        <v>0.99</v>
      </c>
      <c r="M13733">
        <v>0.84899999999999998</v>
      </c>
      <c r="N13733">
        <v>0.55000000000000004</v>
      </c>
    </row>
    <row r="13734" spans="1:14" x14ac:dyDescent="0.25">
      <c r="A13734" t="s">
        <v>23409</v>
      </c>
      <c r="B13734" t="s">
        <v>16822</v>
      </c>
      <c r="C13734" s="1" t="str">
        <f>HYPERLINK("http://www.genecards.org/cgi-bin/carddisp.pl?gene=TNIP2","GeneCards")</f>
        <v>GeneCards</v>
      </c>
      <c r="D13734" s="1" t="str">
        <f>HYPERLINK("http://genome-euro.ucsc.edu/cgi-bin/hgTracks?position=218335_x_at","UCSC")</f>
        <v>UCSC</v>
      </c>
      <c r="E13734" s="1" t="str">
        <f>HYPERLINK("http://www.ncbi.nlm.nih.gov/gene/?term=TNIP2","NCBI")</f>
        <v>NCBI</v>
      </c>
      <c r="F13734">
        <v>0.49</v>
      </c>
      <c r="G13734">
        <v>0.6</v>
      </c>
      <c r="H13734" s="1" t="str">
        <f>HYPERLINK("http://www.weizmann.ac.il/complex/compphys/software/geview/data/figures/218335_x_at.png","Figure")</f>
        <v>Figure</v>
      </c>
      <c r="I13734">
        <v>1.1100000000000001</v>
      </c>
      <c r="J13734">
        <v>0.56999999999999995</v>
      </c>
      <c r="K13734">
        <v>1.1100000000000001</v>
      </c>
      <c r="L13734">
        <v>0.53</v>
      </c>
      <c r="M13734">
        <v>0.99299999999999999</v>
      </c>
      <c r="N13734">
        <v>1</v>
      </c>
    </row>
    <row r="13735" spans="1:14" x14ac:dyDescent="0.25">
      <c r="A13735" t="s">
        <v>23410</v>
      </c>
      <c r="B13735" t="s">
        <v>23411</v>
      </c>
      <c r="C13735" s="1" t="str">
        <f>HYPERLINK("http://www.genecards.org/cgi-bin/carddisp.pl?gene=NUDT18","GeneCards")</f>
        <v>GeneCards</v>
      </c>
      <c r="D13735" s="1" t="str">
        <f>HYPERLINK("http://genome-euro.ucsc.edu/cgi-bin/hgTracks?position=219665_at","UCSC")</f>
        <v>UCSC</v>
      </c>
      <c r="E13735" s="1" t="str">
        <f>HYPERLINK("http://www.ncbi.nlm.nih.gov/gene/?term=NUDT18","NCBI")</f>
        <v>NCBI</v>
      </c>
      <c r="F13735">
        <v>0.49</v>
      </c>
      <c r="G13735">
        <v>0.6</v>
      </c>
      <c r="H13735" s="1" t="str">
        <f>HYPERLINK("http://www.weizmann.ac.il/complex/compphys/software/geview/data/figures/219665_at.png","Figure")</f>
        <v>Figure</v>
      </c>
      <c r="I13735">
        <v>1.06</v>
      </c>
      <c r="J13735">
        <v>0.69</v>
      </c>
      <c r="K13735">
        <v>1.08</v>
      </c>
      <c r="L13735">
        <v>0.47</v>
      </c>
      <c r="M13735">
        <v>1.02</v>
      </c>
      <c r="N13735">
        <v>0.97</v>
      </c>
    </row>
    <row r="13736" spans="1:14" x14ac:dyDescent="0.25">
      <c r="A13736" t="s">
        <v>23412</v>
      </c>
      <c r="B13736" t="s">
        <v>23413</v>
      </c>
      <c r="C13736" s="1" t="str">
        <f>HYPERLINK("http://www.genecards.org/cgi-bin/carddisp.pl?gene=STIL","GeneCards")</f>
        <v>GeneCards</v>
      </c>
      <c r="D13736" s="1" t="str">
        <f>HYPERLINK("http://genome-euro.ucsc.edu/cgi-bin/hgTracks?position=205339_at","UCSC")</f>
        <v>UCSC</v>
      </c>
      <c r="E13736" s="1" t="str">
        <f>HYPERLINK("http://www.ncbi.nlm.nih.gov/gene/?term=STIL","NCBI")</f>
        <v>NCBI</v>
      </c>
      <c r="F13736">
        <v>0.49</v>
      </c>
      <c r="G13736">
        <v>0.6</v>
      </c>
      <c r="H13736" s="1" t="str">
        <f>HYPERLINK("http://www.weizmann.ac.il/complex/compphys/software/geview/data/figures/205339_at.png","Figure")</f>
        <v>Figure</v>
      </c>
      <c r="I13736">
        <v>0.85799999999999998</v>
      </c>
      <c r="J13736">
        <v>0.49</v>
      </c>
      <c r="K13736">
        <v>0.9</v>
      </c>
      <c r="L13736">
        <v>0.63</v>
      </c>
      <c r="M13736">
        <v>1.05</v>
      </c>
      <c r="N13736">
        <v>0.92</v>
      </c>
    </row>
    <row r="13737" spans="1:14" x14ac:dyDescent="0.25">
      <c r="A13737" t="s">
        <v>23414</v>
      </c>
      <c r="B13737" t="s">
        <v>23415</v>
      </c>
      <c r="C13737" s="1" t="str">
        <f>HYPERLINK("http://www.genecards.org/cgi-bin/carddisp.pl?gene=SLC6A11","GeneCards")</f>
        <v>GeneCards</v>
      </c>
      <c r="D13737" s="1" t="str">
        <f>HYPERLINK("http://genome-euro.ucsc.edu/cgi-bin/hgTracks?position=207048_at","UCSC")</f>
        <v>UCSC</v>
      </c>
      <c r="E13737" s="1" t="str">
        <f>HYPERLINK("http://www.ncbi.nlm.nih.gov/gene/?term=SLC6A11","NCBI")</f>
        <v>NCBI</v>
      </c>
      <c r="F13737">
        <v>0.49</v>
      </c>
      <c r="G13737">
        <v>0.6</v>
      </c>
      <c r="H13737" s="1" t="str">
        <f>HYPERLINK("http://www.weizmann.ac.il/complex/compphys/software/geview/data/figures/207048_at.png","Figure")</f>
        <v>Figure</v>
      </c>
      <c r="I13737">
        <v>1.07</v>
      </c>
      <c r="J13737">
        <v>0.5</v>
      </c>
      <c r="K13737">
        <v>1.01</v>
      </c>
      <c r="L13737">
        <v>0.97</v>
      </c>
      <c r="M13737">
        <v>0.94899999999999995</v>
      </c>
      <c r="N13737">
        <v>0.57999999999999996</v>
      </c>
    </row>
    <row r="13738" spans="1:14" x14ac:dyDescent="0.25">
      <c r="A13738" t="s">
        <v>23416</v>
      </c>
      <c r="B13738" t="s">
        <v>95</v>
      </c>
      <c r="C13738" s="1" t="str">
        <f>HYPERLINK("http://www.genecards.org/cgi-bin/carddisp.pl?gene=KANK1","GeneCards")</f>
        <v>GeneCards</v>
      </c>
      <c r="D13738" s="1" t="str">
        <f>HYPERLINK("http://genome-euro.ucsc.edu/cgi-bin/hgTracks?position=216762_at","UCSC")</f>
        <v>UCSC</v>
      </c>
      <c r="E13738" s="1" t="str">
        <f>HYPERLINK("http://www.ncbi.nlm.nih.gov/gene/?term=KANK1","NCBI")</f>
        <v>NCBI</v>
      </c>
      <c r="F13738">
        <v>0.49</v>
      </c>
      <c r="G13738">
        <v>0.6</v>
      </c>
      <c r="H13738" s="1" t="str">
        <f>HYPERLINK("http://www.weizmann.ac.il/complex/compphys/software/geview/data/figures/216762_at.png","Figure")</f>
        <v>Figure</v>
      </c>
      <c r="I13738">
        <v>0.97099999999999997</v>
      </c>
      <c r="J13738">
        <v>0.51</v>
      </c>
      <c r="K13738">
        <v>0.97699999999999998</v>
      </c>
      <c r="L13738">
        <v>0.59</v>
      </c>
      <c r="M13738">
        <v>1.01</v>
      </c>
      <c r="N13738">
        <v>0.96</v>
      </c>
    </row>
    <row r="13739" spans="1:14" x14ac:dyDescent="0.25">
      <c r="A13739" t="s">
        <v>23417</v>
      </c>
      <c r="B13739" t="s">
        <v>23418</v>
      </c>
      <c r="C13739" s="1" t="str">
        <f>HYPERLINK("http://www.genecards.org/cgi-bin/carddisp.pl?gene=ADRM1","GeneCards")</f>
        <v>GeneCards</v>
      </c>
      <c r="D13739" s="1" t="str">
        <f>HYPERLINK("http://genome-euro.ucsc.edu/cgi-bin/hgTracks?position=201281_at","UCSC")</f>
        <v>UCSC</v>
      </c>
      <c r="E13739" s="1" t="str">
        <f>HYPERLINK("http://www.ncbi.nlm.nih.gov/gene/?term=ADRM1","NCBI")</f>
        <v>NCBI</v>
      </c>
      <c r="F13739">
        <v>0.49</v>
      </c>
      <c r="G13739">
        <v>0.6</v>
      </c>
      <c r="H13739" s="1" t="str">
        <f>HYPERLINK("http://www.weizmann.ac.il/complex/compphys/software/geview/data/figures/201281_at.png","Figure")</f>
        <v>Figure</v>
      </c>
      <c r="I13739">
        <v>1.1299999999999999</v>
      </c>
      <c r="J13739">
        <v>0.67</v>
      </c>
      <c r="K13739">
        <v>1.1599999999999999</v>
      </c>
      <c r="L13739">
        <v>0.48</v>
      </c>
      <c r="M13739">
        <v>1.03</v>
      </c>
      <c r="N13739">
        <v>0.98</v>
      </c>
    </row>
    <row r="13740" spans="1:14" x14ac:dyDescent="0.25">
      <c r="A13740" t="s">
        <v>23419</v>
      </c>
      <c r="B13740" t="s">
        <v>3021</v>
      </c>
      <c r="C13740" s="1" t="str">
        <f>HYPERLINK("http://www.genecards.org/cgi-bin/carddisp.pl?gene=PFKFB2","GeneCards")</f>
        <v>GeneCards</v>
      </c>
      <c r="D13740" s="1" t="str">
        <f>HYPERLINK("http://genome-euro.ucsc.edu/cgi-bin/hgTracks?position=207931_s_at","UCSC")</f>
        <v>UCSC</v>
      </c>
      <c r="E13740" s="1" t="str">
        <f>HYPERLINK("http://www.ncbi.nlm.nih.gov/gene/?term=PFKFB2","NCBI")</f>
        <v>NCBI</v>
      </c>
      <c r="F13740">
        <v>0.49</v>
      </c>
      <c r="G13740">
        <v>0.6</v>
      </c>
      <c r="H13740" s="1" t="str">
        <f>HYPERLINK("http://www.weizmann.ac.il/complex/compphys/software/geview/data/figures/207931_s_at.png","Figure")</f>
        <v>Figure</v>
      </c>
      <c r="I13740">
        <v>1.1299999999999999</v>
      </c>
      <c r="J13740">
        <v>0.46</v>
      </c>
      <c r="K13740">
        <v>1.05</v>
      </c>
      <c r="L13740">
        <v>0.85</v>
      </c>
      <c r="M13740">
        <v>0.92700000000000005</v>
      </c>
      <c r="N13740">
        <v>0.71</v>
      </c>
    </row>
    <row r="13741" spans="1:14" x14ac:dyDescent="0.25">
      <c r="A13741" t="s">
        <v>23420</v>
      </c>
      <c r="B13741" t="s">
        <v>23421</v>
      </c>
      <c r="C13741" s="1" t="str">
        <f>HYPERLINK("http://www.genecards.org/cgi-bin/carddisp.pl?gene=EIF2AK1","GeneCards")</f>
        <v>GeneCards</v>
      </c>
      <c r="D13741" s="1" t="str">
        <f>HYPERLINK("http://genome-euro.ucsc.edu/cgi-bin/hgTracks?position=217735_s_at","UCSC")</f>
        <v>UCSC</v>
      </c>
      <c r="E13741" s="1" t="str">
        <f>HYPERLINK("http://www.ncbi.nlm.nih.gov/gene/?term=EIF2AK1","NCBI")</f>
        <v>NCBI</v>
      </c>
      <c r="F13741">
        <v>0.49</v>
      </c>
      <c r="G13741">
        <v>0.6</v>
      </c>
      <c r="H13741" s="1" t="str">
        <f>HYPERLINK("http://www.weizmann.ac.il/complex/compphys/software/geview/data/figures/217735_s_at.png","Figure")</f>
        <v>Figure</v>
      </c>
      <c r="I13741">
        <v>1.1100000000000001</v>
      </c>
      <c r="J13741">
        <v>0.48</v>
      </c>
      <c r="K13741">
        <v>1.07</v>
      </c>
      <c r="L13741">
        <v>0.66</v>
      </c>
      <c r="M13741">
        <v>0.96399999999999997</v>
      </c>
      <c r="N13741">
        <v>0.9</v>
      </c>
    </row>
    <row r="13742" spans="1:14" x14ac:dyDescent="0.25">
      <c r="A13742" t="s">
        <v>23422</v>
      </c>
      <c r="B13742" t="s">
        <v>23423</v>
      </c>
      <c r="C13742" s="1" t="str">
        <f>HYPERLINK("http://www.genecards.org/cgi-bin/carddisp.pl?gene=RBBP4","GeneCards")</f>
        <v>GeneCards</v>
      </c>
      <c r="D13742" s="1" t="str">
        <f>HYPERLINK("http://genome-euro.ucsc.edu/cgi-bin/hgTracks?position=217301_x_at","UCSC")</f>
        <v>UCSC</v>
      </c>
      <c r="E13742" s="1" t="str">
        <f>HYPERLINK("http://www.ncbi.nlm.nih.gov/gene/?term=RBBP4","NCBI")</f>
        <v>NCBI</v>
      </c>
      <c r="F13742">
        <v>0.49</v>
      </c>
      <c r="G13742">
        <v>0.61</v>
      </c>
      <c r="H13742" s="1" t="str">
        <f>HYPERLINK("http://www.weizmann.ac.il/complex/compphys/software/geview/data/figures/217301_x_at.png","Figure")</f>
        <v>Figure</v>
      </c>
      <c r="I13742">
        <v>1.1299999999999999</v>
      </c>
      <c r="J13742">
        <v>0.74</v>
      </c>
      <c r="K13742">
        <v>0.93700000000000006</v>
      </c>
      <c r="L13742">
        <v>0.89</v>
      </c>
      <c r="M13742">
        <v>0.83199999999999996</v>
      </c>
      <c r="N13742">
        <v>0.46</v>
      </c>
    </row>
    <row r="13743" spans="1:14" x14ac:dyDescent="0.25">
      <c r="A13743" t="s">
        <v>23424</v>
      </c>
      <c r="B13743" t="s">
        <v>23425</v>
      </c>
      <c r="C13743" s="1" t="str">
        <f>HYPERLINK("http://www.genecards.org/cgi-bin/carddisp.pl?gene=HYAL2","GeneCards")</f>
        <v>GeneCards</v>
      </c>
      <c r="D13743" s="1" t="str">
        <f>HYPERLINK("http://genome-euro.ucsc.edu/cgi-bin/hgTracks?position=206855_s_at","UCSC")</f>
        <v>UCSC</v>
      </c>
      <c r="E13743" s="1" t="str">
        <f>HYPERLINK("http://www.ncbi.nlm.nih.gov/gene/?term=HYAL2","NCBI")</f>
        <v>NCBI</v>
      </c>
      <c r="F13743">
        <v>0.49</v>
      </c>
      <c r="G13743">
        <v>0.61</v>
      </c>
      <c r="H13743" s="1" t="str">
        <f>HYPERLINK("http://www.weizmann.ac.il/complex/compphys/software/geview/data/figures/206855_s_at.png","Figure")</f>
        <v>Figure</v>
      </c>
      <c r="I13743">
        <v>1.1200000000000001</v>
      </c>
      <c r="J13743">
        <v>0.47</v>
      </c>
      <c r="K13743">
        <v>1.07</v>
      </c>
      <c r="L13743">
        <v>0.71</v>
      </c>
      <c r="M13743">
        <v>0.95299999999999996</v>
      </c>
      <c r="N13743">
        <v>0.85</v>
      </c>
    </row>
    <row r="13744" spans="1:14" x14ac:dyDescent="0.25">
      <c r="A13744" t="s">
        <v>23426</v>
      </c>
      <c r="B13744" t="s">
        <v>23427</v>
      </c>
      <c r="C13744" s="1" t="str">
        <f>HYPERLINK("http://www.genecards.org/cgi-bin/carddisp.pl?gene=APOL3","GeneCards")</f>
        <v>GeneCards</v>
      </c>
      <c r="D13744" s="1" t="str">
        <f>HYPERLINK("http://genome-euro.ucsc.edu/cgi-bin/hgTracks?position=221087_s_at","UCSC")</f>
        <v>UCSC</v>
      </c>
      <c r="E13744" s="1" t="str">
        <f>HYPERLINK("http://www.ncbi.nlm.nih.gov/gene/?term=APOL3","NCBI")</f>
        <v>NCBI</v>
      </c>
      <c r="F13744">
        <v>0.49</v>
      </c>
      <c r="G13744">
        <v>0.61</v>
      </c>
      <c r="H13744" s="1" t="str">
        <f>HYPERLINK("http://www.weizmann.ac.il/complex/compphys/software/geview/data/figures/221087_s_at.png","Figure")</f>
        <v>Figure</v>
      </c>
      <c r="I13744">
        <v>1.1000000000000001</v>
      </c>
      <c r="J13744">
        <v>0.59</v>
      </c>
      <c r="K13744">
        <v>0.99</v>
      </c>
      <c r="L13744">
        <v>0.99</v>
      </c>
      <c r="M13744">
        <v>0.90100000000000002</v>
      </c>
      <c r="N13744">
        <v>0.49</v>
      </c>
    </row>
    <row r="13745" spans="1:14" x14ac:dyDescent="0.25">
      <c r="A13745" t="s">
        <v>23428</v>
      </c>
      <c r="B13745" t="s">
        <v>18398</v>
      </c>
      <c r="C13745" s="1" t="str">
        <f>HYPERLINK("http://www.genecards.org/cgi-bin/carddisp.pl?gene=NBPF10","GeneCards")</f>
        <v>GeneCards</v>
      </c>
      <c r="D13745" s="1" t="str">
        <f>HYPERLINK("http://genome-euro.ucsc.edu/cgi-bin/hgTracks?position=212854_x_at","UCSC")</f>
        <v>UCSC</v>
      </c>
      <c r="E13745" s="1" t="str">
        <f>HYPERLINK("http://www.ncbi.nlm.nih.gov/gene/?term=NBPF10","NCBI")</f>
        <v>NCBI</v>
      </c>
      <c r="F13745">
        <v>0.49</v>
      </c>
      <c r="G13745">
        <v>0.61</v>
      </c>
      <c r="H13745" s="1" t="str">
        <f>HYPERLINK("http://www.weizmann.ac.il/complex/compphys/software/geview/data/figures/212854_x_at.png","Figure")</f>
        <v>Figure</v>
      </c>
      <c r="I13745">
        <v>0.85299999999999998</v>
      </c>
      <c r="J13745">
        <v>0.6</v>
      </c>
      <c r="K13745">
        <v>0.85199999999999998</v>
      </c>
      <c r="L13745">
        <v>0.51</v>
      </c>
      <c r="M13745">
        <v>0.999</v>
      </c>
      <c r="N13745">
        <v>1</v>
      </c>
    </row>
    <row r="13746" spans="1:14" x14ac:dyDescent="0.25">
      <c r="A13746" t="s">
        <v>23429</v>
      </c>
      <c r="B13746" t="s">
        <v>23430</v>
      </c>
      <c r="C13746" s="1" t="str">
        <f>HYPERLINK("http://www.genecards.org/cgi-bin/carddisp.pl?gene=TRMT12","GeneCards")</f>
        <v>GeneCards</v>
      </c>
      <c r="D13746" s="1" t="str">
        <f>HYPERLINK("http://genome-euro.ucsc.edu/cgi-bin/hgTracks?position=219299_at","UCSC")</f>
        <v>UCSC</v>
      </c>
      <c r="E13746" s="1" t="str">
        <f>HYPERLINK("http://www.ncbi.nlm.nih.gov/gene/?term=TRMT12","NCBI")</f>
        <v>NCBI</v>
      </c>
      <c r="F13746">
        <v>0.49</v>
      </c>
      <c r="G13746">
        <v>0.61</v>
      </c>
      <c r="H13746" s="1" t="str">
        <f>HYPERLINK("http://www.weizmann.ac.il/complex/compphys/software/geview/data/figures/219299_at.png","Figure")</f>
        <v>Figure</v>
      </c>
      <c r="I13746">
        <v>0.95599999999999996</v>
      </c>
      <c r="J13746">
        <v>0.97</v>
      </c>
      <c r="K13746">
        <v>0.82399999999999995</v>
      </c>
      <c r="L13746">
        <v>0.5</v>
      </c>
      <c r="M13746">
        <v>0.86199999999999999</v>
      </c>
      <c r="N13746">
        <v>0.69</v>
      </c>
    </row>
    <row r="13747" spans="1:14" x14ac:dyDescent="0.25">
      <c r="A13747" t="s">
        <v>23431</v>
      </c>
      <c r="B13747" t="s">
        <v>23432</v>
      </c>
      <c r="C13747" s="1" t="str">
        <f>HYPERLINK("http://www.genecards.org/cgi-bin/carddisp.pl?gene=DNAJA1","GeneCards")</f>
        <v>GeneCards</v>
      </c>
      <c r="D13747" s="1" t="str">
        <f>HYPERLINK("http://genome-euro.ucsc.edu/cgi-bin/hgTracks?position=200880_at","UCSC")</f>
        <v>UCSC</v>
      </c>
      <c r="E13747" s="1" t="str">
        <f>HYPERLINK("http://www.ncbi.nlm.nih.gov/gene/?term=DNAJA1","NCBI")</f>
        <v>NCBI</v>
      </c>
      <c r="F13747">
        <v>0.49</v>
      </c>
      <c r="G13747">
        <v>0.61</v>
      </c>
      <c r="H13747" s="1" t="str">
        <f>HYPERLINK("http://www.weizmann.ac.il/complex/compphys/software/geview/data/figures/200880_at.png","Figure")</f>
        <v>Figure</v>
      </c>
      <c r="I13747">
        <v>0.77</v>
      </c>
      <c r="J13747">
        <v>0.74</v>
      </c>
      <c r="K13747">
        <v>0.69</v>
      </c>
      <c r="L13747">
        <v>0.46</v>
      </c>
      <c r="M13747">
        <v>0.89700000000000002</v>
      </c>
      <c r="N13747">
        <v>0.94</v>
      </c>
    </row>
    <row r="13748" spans="1:14" x14ac:dyDescent="0.25">
      <c r="A13748" t="s">
        <v>23433</v>
      </c>
      <c r="B13748" t="s">
        <v>9406</v>
      </c>
      <c r="C13748" s="1" t="str">
        <f>HYPERLINK("http://www.genecards.org/cgi-bin/carddisp.pl?gene=GOSR2","GeneCards")</f>
        <v>GeneCards</v>
      </c>
      <c r="D13748" s="1" t="str">
        <f>HYPERLINK("http://genome-euro.ucsc.edu/cgi-bin/hgTracks?position=213180_s_at","UCSC")</f>
        <v>UCSC</v>
      </c>
      <c r="E13748" s="1" t="str">
        <f>HYPERLINK("http://www.ncbi.nlm.nih.gov/gene/?term=GOSR2","NCBI")</f>
        <v>NCBI</v>
      </c>
      <c r="F13748">
        <v>0.49</v>
      </c>
      <c r="G13748">
        <v>0.61</v>
      </c>
      <c r="H13748" s="1" t="str">
        <f>HYPERLINK("http://www.weizmann.ac.il/complex/compphys/software/geview/data/figures/213180_s_at.png","Figure")</f>
        <v>Figure</v>
      </c>
      <c r="I13748">
        <v>0.94199999999999995</v>
      </c>
      <c r="J13748">
        <v>0.79</v>
      </c>
      <c r="K13748">
        <v>0.90900000000000003</v>
      </c>
      <c r="L13748">
        <v>0.46</v>
      </c>
      <c r="M13748">
        <v>0.96399999999999997</v>
      </c>
      <c r="N13748">
        <v>0.9</v>
      </c>
    </row>
    <row r="13749" spans="1:14" x14ac:dyDescent="0.25">
      <c r="A13749" t="s">
        <v>23434</v>
      </c>
      <c r="B13749" t="s">
        <v>8318</v>
      </c>
      <c r="C13749" s="1" t="str">
        <f>HYPERLINK("http://www.genecards.org/cgi-bin/carddisp.pl?gene=AMD1","GeneCards")</f>
        <v>GeneCards</v>
      </c>
      <c r="D13749" s="1" t="str">
        <f>HYPERLINK("http://genome-euro.ucsc.edu/cgi-bin/hgTracks?position=201196_s_at","UCSC")</f>
        <v>UCSC</v>
      </c>
      <c r="E13749" s="1" t="str">
        <f>HYPERLINK("http://www.ncbi.nlm.nih.gov/gene/?term=AMD1","NCBI")</f>
        <v>NCBI</v>
      </c>
      <c r="F13749">
        <v>0.49</v>
      </c>
      <c r="G13749">
        <v>0.61</v>
      </c>
      <c r="H13749" s="1" t="str">
        <f>HYPERLINK("http://www.weizmann.ac.il/complex/compphys/software/geview/data/figures/201196_s_at.png","Figure")</f>
        <v>Figure</v>
      </c>
      <c r="I13749">
        <v>0.70599999999999996</v>
      </c>
      <c r="J13749">
        <v>0.55000000000000004</v>
      </c>
      <c r="K13749">
        <v>0.73699999999999999</v>
      </c>
      <c r="L13749">
        <v>0.55000000000000004</v>
      </c>
      <c r="M13749">
        <v>1.04</v>
      </c>
      <c r="N13749">
        <v>0.99</v>
      </c>
    </row>
    <row r="13750" spans="1:14" x14ac:dyDescent="0.25">
      <c r="A13750" t="s">
        <v>23435</v>
      </c>
      <c r="B13750" t="s">
        <v>23436</v>
      </c>
      <c r="C13750" s="1" t="str">
        <f>HYPERLINK("http://www.genecards.org/cgi-bin/carddisp.pl?gene=GYG2","GeneCards")</f>
        <v>GeneCards</v>
      </c>
      <c r="D13750" s="1" t="str">
        <f>HYPERLINK("http://genome-euro.ucsc.edu/cgi-bin/hgTracks?position=210963_s_at","UCSC")</f>
        <v>UCSC</v>
      </c>
      <c r="E13750" s="1" t="str">
        <f>HYPERLINK("http://www.ncbi.nlm.nih.gov/gene/?term=GYG2","NCBI")</f>
        <v>NCBI</v>
      </c>
      <c r="F13750">
        <v>0.49</v>
      </c>
      <c r="G13750">
        <v>0.61</v>
      </c>
      <c r="H13750" s="1" t="str">
        <f>HYPERLINK("http://www.weizmann.ac.il/complex/compphys/software/geview/data/figures/210963_s_at.png","Figure")</f>
        <v>Figure</v>
      </c>
      <c r="I13750">
        <v>0.98499999999999999</v>
      </c>
      <c r="J13750">
        <v>0.97</v>
      </c>
      <c r="K13750">
        <v>1.05</v>
      </c>
      <c r="L13750">
        <v>0.64</v>
      </c>
      <c r="M13750">
        <v>1.07</v>
      </c>
      <c r="N13750">
        <v>0.52</v>
      </c>
    </row>
    <row r="13751" spans="1:14" x14ac:dyDescent="0.25">
      <c r="A13751" t="s">
        <v>23437</v>
      </c>
      <c r="B13751" t="s">
        <v>23438</v>
      </c>
      <c r="C13751" s="1" t="str">
        <f>HYPERLINK("http://www.genecards.org/cgi-bin/carddisp.pl?gene=POMZP3","GeneCards")</f>
        <v>GeneCards</v>
      </c>
      <c r="D13751" s="1" t="str">
        <f>HYPERLINK("http://genome-euro.ucsc.edu/cgi-bin/hgTracks?position=210910_s_at","UCSC")</f>
        <v>UCSC</v>
      </c>
      <c r="E13751" s="1" t="str">
        <f>HYPERLINK("http://www.ncbi.nlm.nih.gov/gene/?term=POMZP3","NCBI")</f>
        <v>NCBI</v>
      </c>
      <c r="F13751">
        <v>0.49</v>
      </c>
      <c r="G13751">
        <v>0.61</v>
      </c>
      <c r="H13751" s="1" t="str">
        <f>HYPERLINK("http://www.weizmann.ac.il/complex/compphys/software/geview/data/figures/210910_s_at.png","Figure")</f>
        <v>Figure</v>
      </c>
      <c r="I13751">
        <v>1</v>
      </c>
      <c r="J13751">
        <v>1</v>
      </c>
      <c r="K13751">
        <v>0.92200000000000004</v>
      </c>
      <c r="L13751">
        <v>0.56999999999999995</v>
      </c>
      <c r="M13751">
        <v>0.91800000000000004</v>
      </c>
      <c r="N13751">
        <v>0.57999999999999996</v>
      </c>
    </row>
    <row r="13752" spans="1:14" x14ac:dyDescent="0.25">
      <c r="A13752" t="s">
        <v>23439</v>
      </c>
      <c r="B13752" t="s">
        <v>23440</v>
      </c>
      <c r="C13752" s="1" t="str">
        <f>HYPERLINK("http://www.genecards.org/cgi-bin/carddisp.pl?gene=ELN","GeneCards")</f>
        <v>GeneCards</v>
      </c>
      <c r="D13752" s="1" t="str">
        <f>HYPERLINK("http://genome-euro.ucsc.edu/cgi-bin/hgTracks?position=216269_s_at","UCSC")</f>
        <v>UCSC</v>
      </c>
      <c r="E13752" s="1" t="str">
        <f>HYPERLINK("http://www.ncbi.nlm.nih.gov/gene/?term=ELN","NCBI")</f>
        <v>NCBI</v>
      </c>
      <c r="F13752">
        <v>0.49</v>
      </c>
      <c r="G13752">
        <v>0.61</v>
      </c>
      <c r="H13752" s="1" t="str">
        <f>HYPERLINK("http://www.weizmann.ac.il/complex/compphys/software/geview/data/figures/216269_s_at.png","Figure")</f>
        <v>Figure</v>
      </c>
      <c r="I13752">
        <v>0.95299999999999996</v>
      </c>
      <c r="J13752">
        <v>0.46</v>
      </c>
      <c r="K13752">
        <v>0.98</v>
      </c>
      <c r="L13752">
        <v>0.82</v>
      </c>
      <c r="M13752">
        <v>1.03</v>
      </c>
      <c r="N13752">
        <v>0.74</v>
      </c>
    </row>
    <row r="13753" spans="1:14" x14ac:dyDescent="0.25">
      <c r="A13753" t="s">
        <v>23441</v>
      </c>
      <c r="B13753" t="s">
        <v>23442</v>
      </c>
      <c r="C13753" s="1" t="str">
        <f>HYPERLINK("http://www.genecards.org/cgi-bin/carddisp.pl?gene=RPS10P5","GeneCards")</f>
        <v>GeneCards</v>
      </c>
      <c r="D13753" s="1" t="str">
        <f>HYPERLINK("http://genome-euro.ucsc.edu/cgi-bin/hgTracks?position=216505_x_at","UCSC")</f>
        <v>UCSC</v>
      </c>
      <c r="E13753" s="1" t="str">
        <f>HYPERLINK("http://www.ncbi.nlm.nih.gov/gene/?term=RPS10P5","NCBI")</f>
        <v>NCBI</v>
      </c>
      <c r="F13753">
        <v>0.49</v>
      </c>
      <c r="G13753">
        <v>0.61</v>
      </c>
      <c r="H13753" s="1" t="str">
        <f>HYPERLINK("http://www.weizmann.ac.il/complex/compphys/software/geview/data/figures/216505_x_at.png","Figure")</f>
        <v>Figure</v>
      </c>
      <c r="I13753">
        <v>1.0900000000000001</v>
      </c>
      <c r="J13753">
        <v>0.92</v>
      </c>
      <c r="K13753">
        <v>1.26</v>
      </c>
      <c r="L13753">
        <v>0.47</v>
      </c>
      <c r="M13753">
        <v>1.1599999999999999</v>
      </c>
      <c r="N13753">
        <v>0.77</v>
      </c>
    </row>
    <row r="13754" spans="1:14" x14ac:dyDescent="0.25">
      <c r="A13754" t="s">
        <v>23443</v>
      </c>
      <c r="B13754" t="s">
        <v>23444</v>
      </c>
      <c r="C13754" s="1" t="str">
        <f>HYPERLINK("http://www.genecards.org/cgi-bin/carddisp.pl?gene=LOC100291776 /// PABPC1 /// PABPC3 /// RLIM","GeneCards")</f>
        <v>GeneCards</v>
      </c>
      <c r="D13754" s="1" t="str">
        <f>HYPERLINK("http://genome-euro.ucsc.edu/cgi-bin/hgTracks?position=215823_x_at","UCSC")</f>
        <v>UCSC</v>
      </c>
      <c r="E13754" s="1" t="str">
        <f>HYPERLINK("http://www.ncbi.nlm.nih.gov/gene/?term=LOC100291776 /// PABPC1 /// PABPC3 /// RLIM","NCBI")</f>
        <v>NCBI</v>
      </c>
      <c r="F13754">
        <v>0.49</v>
      </c>
      <c r="G13754">
        <v>0.61</v>
      </c>
      <c r="H13754" s="1" t="str">
        <f>HYPERLINK("http://www.weizmann.ac.il/complex/compphys/software/geview/data/figures/215823_x_at.png","Figure")</f>
        <v>Figure</v>
      </c>
      <c r="I13754">
        <v>0.871</v>
      </c>
      <c r="J13754">
        <v>0.47</v>
      </c>
      <c r="K13754">
        <v>0.92400000000000004</v>
      </c>
      <c r="L13754">
        <v>0.71</v>
      </c>
      <c r="M13754">
        <v>1.06</v>
      </c>
      <c r="N13754">
        <v>0.85</v>
      </c>
    </row>
    <row r="13755" spans="1:14" x14ac:dyDescent="0.25">
      <c r="A13755" t="s">
        <v>23445</v>
      </c>
      <c r="B13755" t="s">
        <v>17341</v>
      </c>
      <c r="C13755" s="1" t="str">
        <f>HYPERLINK("http://www.genecards.org/cgi-bin/carddisp.pl?gene=CYP3A7","GeneCards")</f>
        <v>GeneCards</v>
      </c>
      <c r="D13755" s="1" t="str">
        <f>HYPERLINK("http://genome-euro.ucsc.edu/cgi-bin/hgTracks?position=211843_x_at","UCSC")</f>
        <v>UCSC</v>
      </c>
      <c r="E13755" s="1" t="str">
        <f>HYPERLINK("http://www.ncbi.nlm.nih.gov/gene/?term=CYP3A7","NCBI")</f>
        <v>NCBI</v>
      </c>
      <c r="F13755">
        <v>0.49</v>
      </c>
      <c r="G13755">
        <v>0.61</v>
      </c>
      <c r="H13755" s="1" t="str">
        <f>HYPERLINK("http://www.weizmann.ac.il/complex/compphys/software/geview/data/figures/211843_x_at.png","Figure")</f>
        <v>Figure</v>
      </c>
      <c r="I13755">
        <v>1.03</v>
      </c>
      <c r="J13755">
        <v>0.47</v>
      </c>
      <c r="K13755">
        <v>1.01</v>
      </c>
      <c r="L13755">
        <v>0.9</v>
      </c>
      <c r="M13755">
        <v>0.98</v>
      </c>
      <c r="N13755">
        <v>0.66</v>
      </c>
    </row>
    <row r="13756" spans="1:14" x14ac:dyDescent="0.25">
      <c r="A13756" t="s">
        <v>23446</v>
      </c>
      <c r="B13756" t="s">
        <v>18866</v>
      </c>
      <c r="C13756" s="1" t="str">
        <f>HYPERLINK("http://www.genecards.org/cgi-bin/carddisp.pl?gene=TNPO1","GeneCards")</f>
        <v>GeneCards</v>
      </c>
      <c r="D13756" s="1" t="str">
        <f>HYPERLINK("http://genome-euro.ucsc.edu/cgi-bin/hgTracks?position=207657_x_at","UCSC")</f>
        <v>UCSC</v>
      </c>
      <c r="E13756" s="1" t="str">
        <f>HYPERLINK("http://www.ncbi.nlm.nih.gov/gene/?term=TNPO1","NCBI")</f>
        <v>NCBI</v>
      </c>
      <c r="F13756">
        <v>0.49</v>
      </c>
      <c r="G13756">
        <v>0.61</v>
      </c>
      <c r="H13756" s="1" t="str">
        <f>HYPERLINK("http://www.weizmann.ac.il/complex/compphys/software/geview/data/figures/207657_x_at.png","Figure")</f>
        <v>Figure</v>
      </c>
      <c r="I13756">
        <v>1.2</v>
      </c>
      <c r="J13756">
        <v>0.5</v>
      </c>
      <c r="K13756">
        <v>1.03</v>
      </c>
      <c r="L13756">
        <v>0.97</v>
      </c>
      <c r="M13756">
        <v>0.86</v>
      </c>
      <c r="N13756">
        <v>0.57999999999999996</v>
      </c>
    </row>
    <row r="13757" spans="1:14" x14ac:dyDescent="0.25">
      <c r="A13757" t="s">
        <v>23447</v>
      </c>
      <c r="B13757" t="s">
        <v>23448</v>
      </c>
      <c r="C13757" s="1" t="str">
        <f>HYPERLINK("http://www.genecards.org/cgi-bin/carddisp.pl?gene=KIAA0907","GeneCards")</f>
        <v>GeneCards</v>
      </c>
      <c r="D13757" s="1" t="str">
        <f>HYPERLINK("http://genome-euro.ucsc.edu/cgi-bin/hgTracks?position=202220_at","UCSC")</f>
        <v>UCSC</v>
      </c>
      <c r="E13757" s="1" t="str">
        <f>HYPERLINK("http://www.ncbi.nlm.nih.gov/gene/?term=KIAA0907","NCBI")</f>
        <v>NCBI</v>
      </c>
      <c r="F13757">
        <v>0.49</v>
      </c>
      <c r="G13757">
        <v>0.61</v>
      </c>
      <c r="H13757" s="1" t="str">
        <f>HYPERLINK("http://www.weizmann.ac.il/complex/compphys/software/geview/data/figures/202220_at.png","Figure")</f>
        <v>Figure</v>
      </c>
      <c r="I13757">
        <v>0.63500000000000001</v>
      </c>
      <c r="J13757">
        <v>0.48</v>
      </c>
      <c r="K13757">
        <v>0.74399999999999999</v>
      </c>
      <c r="L13757">
        <v>0.66</v>
      </c>
      <c r="M13757">
        <v>1.17</v>
      </c>
      <c r="N13757">
        <v>0.9</v>
      </c>
    </row>
    <row r="13758" spans="1:14" x14ac:dyDescent="0.25">
      <c r="A13758" t="s">
        <v>23449</v>
      </c>
      <c r="B13758" t="s">
        <v>7210</v>
      </c>
      <c r="C13758" s="1" t="str">
        <f>HYPERLINK("http://www.genecards.org/cgi-bin/carddisp.pl?gene=KIAA1751","GeneCards")</f>
        <v>GeneCards</v>
      </c>
      <c r="D13758" s="1" t="str">
        <f>HYPERLINK("http://genome-euro.ucsc.edu/cgi-bin/hgTracks?position=216781_at","UCSC")</f>
        <v>UCSC</v>
      </c>
      <c r="E13758" s="1" t="str">
        <f>HYPERLINK("http://www.ncbi.nlm.nih.gov/gene/?term=KIAA1751","NCBI")</f>
        <v>NCBI</v>
      </c>
      <c r="F13758">
        <v>0.49</v>
      </c>
      <c r="G13758">
        <v>0.61</v>
      </c>
      <c r="H13758" s="1" t="str">
        <f>HYPERLINK("http://www.weizmann.ac.il/complex/compphys/software/geview/data/figures/216781_at.png","Figure")</f>
        <v>Figure</v>
      </c>
      <c r="I13758">
        <v>1.05</v>
      </c>
      <c r="J13758">
        <v>0.47</v>
      </c>
      <c r="K13758">
        <v>1.01</v>
      </c>
      <c r="L13758">
        <v>0.91</v>
      </c>
      <c r="M13758">
        <v>0.96699999999999997</v>
      </c>
      <c r="N13758">
        <v>0.65</v>
      </c>
    </row>
    <row r="13759" spans="1:14" x14ac:dyDescent="0.25">
      <c r="A13759" t="s">
        <v>23450</v>
      </c>
      <c r="B13759" t="s">
        <v>23451</v>
      </c>
      <c r="C13759" s="1" t="str">
        <f>HYPERLINK("http://www.genecards.org/cgi-bin/carddisp.pl?gene=GVIN1","GeneCards")</f>
        <v>GeneCards</v>
      </c>
      <c r="D13759" s="1" t="str">
        <f>HYPERLINK("http://genome-euro.ucsc.edu/cgi-bin/hgTracks?position=220577_at","UCSC")</f>
        <v>UCSC</v>
      </c>
      <c r="E13759" s="1" t="str">
        <f>HYPERLINK("http://www.ncbi.nlm.nih.gov/gene/?term=GVIN1","NCBI")</f>
        <v>NCBI</v>
      </c>
      <c r="F13759">
        <v>0.49</v>
      </c>
      <c r="G13759">
        <v>0.61</v>
      </c>
      <c r="H13759" s="1" t="str">
        <f>HYPERLINK("http://www.weizmann.ac.il/complex/compphys/software/geview/data/figures/220577_at.png","Figure")</f>
        <v>Figure</v>
      </c>
      <c r="I13759">
        <v>0.93300000000000005</v>
      </c>
      <c r="J13759">
        <v>0.59</v>
      </c>
      <c r="K13759">
        <v>1.01</v>
      </c>
      <c r="L13759">
        <v>0.99</v>
      </c>
      <c r="M13759">
        <v>1.08</v>
      </c>
      <c r="N13759">
        <v>0.49</v>
      </c>
    </row>
    <row r="13760" spans="1:14" x14ac:dyDescent="0.25">
      <c r="A13760" t="s">
        <v>23452</v>
      </c>
      <c r="B13760" t="s">
        <v>23453</v>
      </c>
      <c r="C13760" s="1" t="str">
        <f>HYPERLINK("http://www.genecards.org/cgi-bin/carddisp.pl?gene=MED15","GeneCards")</f>
        <v>GeneCards</v>
      </c>
      <c r="D13760" s="1" t="str">
        <f>HYPERLINK("http://genome-euro.ucsc.edu/cgi-bin/hgTracks?position=222175_s_at","UCSC")</f>
        <v>UCSC</v>
      </c>
      <c r="E13760" s="1" t="str">
        <f>HYPERLINK("http://www.ncbi.nlm.nih.gov/gene/?term=MED15","NCBI")</f>
        <v>NCBI</v>
      </c>
      <c r="F13760">
        <v>0.49</v>
      </c>
      <c r="G13760">
        <v>0.61</v>
      </c>
      <c r="H13760" s="1" t="str">
        <f>HYPERLINK("http://www.weizmann.ac.il/complex/compphys/software/geview/data/figures/222175_s_at.png","Figure")</f>
        <v>Figure</v>
      </c>
      <c r="I13760">
        <v>1.17</v>
      </c>
      <c r="J13760">
        <v>0.7</v>
      </c>
      <c r="K13760">
        <v>0.93899999999999995</v>
      </c>
      <c r="L13760">
        <v>0.92</v>
      </c>
      <c r="M13760">
        <v>0.80500000000000005</v>
      </c>
      <c r="N13760">
        <v>0.46</v>
      </c>
    </row>
    <row r="13761" spans="1:14" x14ac:dyDescent="0.25">
      <c r="A13761" t="s">
        <v>23454</v>
      </c>
      <c r="B13761" t="s">
        <v>23131</v>
      </c>
      <c r="C13761" s="1" t="str">
        <f>HYPERLINK("http://www.genecards.org/cgi-bin/carddisp.pl?gene=MAPK8","GeneCards")</f>
        <v>GeneCards</v>
      </c>
      <c r="D13761" s="1" t="str">
        <f>HYPERLINK("http://genome-euro.ucsc.edu/cgi-bin/hgTracks?position=210671_x_at","UCSC")</f>
        <v>UCSC</v>
      </c>
      <c r="E13761" s="1" t="str">
        <f>HYPERLINK("http://www.ncbi.nlm.nih.gov/gene/?term=MAPK8","NCBI")</f>
        <v>NCBI</v>
      </c>
      <c r="F13761">
        <v>0.49</v>
      </c>
      <c r="G13761">
        <v>0.61</v>
      </c>
      <c r="H13761" s="1" t="str">
        <f>HYPERLINK("http://www.weizmann.ac.il/complex/compphys/software/geview/data/figures/210671_x_at.png","Figure")</f>
        <v>Figure</v>
      </c>
      <c r="I13761">
        <v>0.99299999999999999</v>
      </c>
      <c r="J13761">
        <v>1</v>
      </c>
      <c r="K13761">
        <v>0.877</v>
      </c>
      <c r="L13761">
        <v>0.54</v>
      </c>
      <c r="M13761">
        <v>0.88300000000000001</v>
      </c>
      <c r="N13761">
        <v>0.62</v>
      </c>
    </row>
    <row r="13762" spans="1:14" x14ac:dyDescent="0.25">
      <c r="A13762" t="s">
        <v>23455</v>
      </c>
      <c r="B13762" t="s">
        <v>18684</v>
      </c>
      <c r="C13762" s="1" t="str">
        <f>HYPERLINK("http://www.genecards.org/cgi-bin/carddisp.pl?gene=ELK1","GeneCards")</f>
        <v>GeneCards</v>
      </c>
      <c r="D13762" s="1" t="str">
        <f>HYPERLINK("http://genome-euro.ucsc.edu/cgi-bin/hgTracks?position=203617_x_at","UCSC")</f>
        <v>UCSC</v>
      </c>
      <c r="E13762" s="1" t="str">
        <f>HYPERLINK("http://www.ncbi.nlm.nih.gov/gene/?term=ELK1","NCBI")</f>
        <v>NCBI</v>
      </c>
      <c r="F13762">
        <v>0.49</v>
      </c>
      <c r="G13762">
        <v>0.61</v>
      </c>
      <c r="H13762" s="1" t="str">
        <f>HYPERLINK("http://www.weizmann.ac.il/complex/compphys/software/geview/data/figures/203617_x_at.png","Figure")</f>
        <v>Figure</v>
      </c>
      <c r="I13762">
        <v>1.1599999999999999</v>
      </c>
      <c r="J13762">
        <v>0.47</v>
      </c>
      <c r="K13762">
        <v>1.05</v>
      </c>
      <c r="L13762">
        <v>0.89</v>
      </c>
      <c r="M13762">
        <v>0.90300000000000002</v>
      </c>
      <c r="N13762">
        <v>0.67</v>
      </c>
    </row>
    <row r="13763" spans="1:14" x14ac:dyDescent="0.25">
      <c r="A13763" t="s">
        <v>23456</v>
      </c>
      <c r="B13763" t="s">
        <v>23457</v>
      </c>
      <c r="C13763" s="1" t="str">
        <f>HYPERLINK("http://www.genecards.org/cgi-bin/carddisp.pl?gene=FLJ14107","GeneCards")</f>
        <v>GeneCards</v>
      </c>
      <c r="D13763" s="1" t="str">
        <f>HYPERLINK("http://genome-euro.ucsc.edu/cgi-bin/hgTracks?position=207287_at","UCSC")</f>
        <v>UCSC</v>
      </c>
      <c r="E13763" s="1" t="str">
        <f>HYPERLINK("http://www.ncbi.nlm.nih.gov/gene/?term=FLJ14107","NCBI")</f>
        <v>NCBI</v>
      </c>
      <c r="F13763">
        <v>0.49</v>
      </c>
      <c r="G13763">
        <v>0.61</v>
      </c>
      <c r="H13763" s="1" t="str">
        <f>HYPERLINK("http://www.weizmann.ac.il/complex/compphys/software/geview/data/figures/207287_at.png","Figure")</f>
        <v>Figure</v>
      </c>
      <c r="I13763">
        <v>0.94699999999999995</v>
      </c>
      <c r="J13763">
        <v>0.94</v>
      </c>
      <c r="K13763">
        <v>0.84899999999999998</v>
      </c>
      <c r="L13763">
        <v>0.48</v>
      </c>
      <c r="M13763">
        <v>0.89700000000000002</v>
      </c>
      <c r="N13763">
        <v>0.74</v>
      </c>
    </row>
    <row r="13764" spans="1:14" x14ac:dyDescent="0.25">
      <c r="A13764" t="s">
        <v>23458</v>
      </c>
      <c r="B13764" t="s">
        <v>23459</v>
      </c>
      <c r="C13764" s="1" t="str">
        <f>HYPERLINK("http://www.genecards.org/cgi-bin/carddisp.pl?gene=ZSCAN18","GeneCards")</f>
        <v>GeneCards</v>
      </c>
      <c r="D13764" s="1" t="str">
        <f>HYPERLINK("http://genome-euro.ucsc.edu/cgi-bin/hgTracks?position=217593_at","UCSC")</f>
        <v>UCSC</v>
      </c>
      <c r="E13764" s="1" t="str">
        <f>HYPERLINK("http://www.ncbi.nlm.nih.gov/gene/?term=ZSCAN18","NCBI")</f>
        <v>NCBI</v>
      </c>
      <c r="F13764">
        <v>0.49</v>
      </c>
      <c r="G13764">
        <v>0.61</v>
      </c>
      <c r="H13764" s="1" t="str">
        <f>HYPERLINK("http://www.weizmann.ac.il/complex/compphys/software/geview/data/figures/217593_at.png","Figure")</f>
        <v>Figure</v>
      </c>
      <c r="I13764">
        <v>0.92500000000000004</v>
      </c>
      <c r="J13764">
        <v>0.96</v>
      </c>
      <c r="K13764">
        <v>0.751</v>
      </c>
      <c r="L13764">
        <v>0.49</v>
      </c>
      <c r="M13764">
        <v>0.81100000000000005</v>
      </c>
      <c r="N13764">
        <v>0.71</v>
      </c>
    </row>
    <row r="13765" spans="1:14" x14ac:dyDescent="0.25">
      <c r="A13765" t="s">
        <v>23460</v>
      </c>
      <c r="B13765" t="s">
        <v>1425</v>
      </c>
      <c r="C13765" s="1" t="str">
        <f>HYPERLINK("http://www.genecards.org/cgi-bin/carddisp.pl?gene=UBE2L3","GeneCards")</f>
        <v>GeneCards</v>
      </c>
      <c r="D13765" s="1" t="str">
        <f>HYPERLINK("http://genome-euro.ucsc.edu/cgi-bin/hgTracks?position=200682_s_at","UCSC")</f>
        <v>UCSC</v>
      </c>
      <c r="E13765" s="1" t="str">
        <f>HYPERLINK("http://www.ncbi.nlm.nih.gov/gene/?term=UBE2L3","NCBI")</f>
        <v>NCBI</v>
      </c>
      <c r="F13765">
        <v>0.49</v>
      </c>
      <c r="G13765">
        <v>0.61</v>
      </c>
      <c r="H13765" s="1" t="str">
        <f>HYPERLINK("http://www.weizmann.ac.il/complex/compphys/software/geview/data/figures/200682_s_at.png","Figure")</f>
        <v>Figure</v>
      </c>
      <c r="I13765">
        <v>0.97399999999999998</v>
      </c>
      <c r="J13765">
        <v>0.99</v>
      </c>
      <c r="K13765">
        <v>1.19</v>
      </c>
      <c r="L13765">
        <v>0.6</v>
      </c>
      <c r="M13765">
        <v>1.22</v>
      </c>
      <c r="N13765">
        <v>0.56000000000000005</v>
      </c>
    </row>
    <row r="13766" spans="1:14" x14ac:dyDescent="0.25">
      <c r="A13766" t="s">
        <v>23461</v>
      </c>
      <c r="B13766" t="s">
        <v>23462</v>
      </c>
      <c r="C13766" s="1" t="str">
        <f>HYPERLINK("http://www.genecards.org/cgi-bin/carddisp.pl?gene=PDLIM5","GeneCards")</f>
        <v>GeneCards</v>
      </c>
      <c r="D13766" s="1" t="str">
        <f>HYPERLINK("http://genome-euro.ucsc.edu/cgi-bin/hgTracks?position=211681_s_at","UCSC")</f>
        <v>UCSC</v>
      </c>
      <c r="E13766" s="1" t="str">
        <f>HYPERLINK("http://www.ncbi.nlm.nih.gov/gene/?term=PDLIM5","NCBI")</f>
        <v>NCBI</v>
      </c>
      <c r="F13766">
        <v>0.49</v>
      </c>
      <c r="G13766">
        <v>0.61</v>
      </c>
      <c r="H13766" s="1" t="str">
        <f>HYPERLINK("http://www.weizmann.ac.il/complex/compphys/software/geview/data/figures/211681_s_at.png","Figure")</f>
        <v>Figure</v>
      </c>
      <c r="I13766">
        <v>1.05</v>
      </c>
      <c r="J13766">
        <v>0.51</v>
      </c>
      <c r="K13766">
        <v>1.01</v>
      </c>
      <c r="L13766">
        <v>0.98</v>
      </c>
      <c r="M13766">
        <v>0.95799999999999996</v>
      </c>
      <c r="N13766">
        <v>0.56000000000000005</v>
      </c>
    </row>
    <row r="13767" spans="1:14" x14ac:dyDescent="0.25">
      <c r="A13767" t="s">
        <v>23463</v>
      </c>
      <c r="B13767" t="s">
        <v>22362</v>
      </c>
      <c r="C13767" s="1" t="str">
        <f>HYPERLINK("http://www.genecards.org/cgi-bin/carddisp.pl?gene=BCLAF1","GeneCards")</f>
        <v>GeneCards</v>
      </c>
      <c r="D13767" s="1" t="str">
        <f>HYPERLINK("http://genome-euro.ucsc.edu/cgi-bin/hgTracks?position=201083_s_at","UCSC")</f>
        <v>UCSC</v>
      </c>
      <c r="E13767" s="1" t="str">
        <f>HYPERLINK("http://www.ncbi.nlm.nih.gov/gene/?term=BCLAF1","NCBI")</f>
        <v>NCBI</v>
      </c>
      <c r="F13767">
        <v>0.49</v>
      </c>
      <c r="G13767">
        <v>0.61</v>
      </c>
      <c r="H13767" s="1" t="str">
        <f>HYPERLINK("http://www.weizmann.ac.il/complex/compphys/software/geview/data/figures/201083_s_at.png","Figure")</f>
        <v>Figure</v>
      </c>
      <c r="I13767">
        <v>0.71799999999999997</v>
      </c>
      <c r="J13767">
        <v>0.5</v>
      </c>
      <c r="K13767">
        <v>0.79400000000000004</v>
      </c>
      <c r="L13767">
        <v>0.63</v>
      </c>
      <c r="M13767">
        <v>1.1100000000000001</v>
      </c>
      <c r="N13767">
        <v>0.92</v>
      </c>
    </row>
    <row r="13768" spans="1:14" x14ac:dyDescent="0.25">
      <c r="A13768" t="s">
        <v>23464</v>
      </c>
      <c r="B13768" t="s">
        <v>23465</v>
      </c>
      <c r="C13768" s="1" t="str">
        <f>HYPERLINK("http://www.genecards.org/cgi-bin/carddisp.pl?gene=SUZ12","GeneCards")</f>
        <v>GeneCards</v>
      </c>
      <c r="D13768" s="1" t="str">
        <f>HYPERLINK("http://genome-euro.ucsc.edu/cgi-bin/hgTracks?position=212287_at","UCSC")</f>
        <v>UCSC</v>
      </c>
      <c r="E13768" s="1" t="str">
        <f>HYPERLINK("http://www.ncbi.nlm.nih.gov/gene/?term=SUZ12","NCBI")</f>
        <v>NCBI</v>
      </c>
      <c r="F13768">
        <v>0.49</v>
      </c>
      <c r="G13768">
        <v>0.61</v>
      </c>
      <c r="H13768" s="1" t="str">
        <f>HYPERLINK("http://www.weizmann.ac.il/complex/compphys/software/geview/data/figures/212287_at.png","Figure")</f>
        <v>Figure</v>
      </c>
      <c r="I13768">
        <v>0.86499999999999999</v>
      </c>
      <c r="J13768">
        <v>0.61</v>
      </c>
      <c r="K13768">
        <v>1.02</v>
      </c>
      <c r="L13768">
        <v>0.99</v>
      </c>
      <c r="M13768">
        <v>1.18</v>
      </c>
      <c r="N13768">
        <v>0.49</v>
      </c>
    </row>
    <row r="13769" spans="1:14" x14ac:dyDescent="0.25">
      <c r="A13769" t="s">
        <v>23466</v>
      </c>
      <c r="B13769" t="s">
        <v>23467</v>
      </c>
      <c r="C13769" s="1" t="str">
        <f>HYPERLINK("http://www.genecards.org/cgi-bin/carddisp.pl?gene=C12orf44","GeneCards")</f>
        <v>GeneCards</v>
      </c>
      <c r="D13769" s="1" t="str">
        <f>HYPERLINK("http://genome-euro.ucsc.edu/cgi-bin/hgTracks?position=218214_at","UCSC")</f>
        <v>UCSC</v>
      </c>
      <c r="E13769" s="1" t="str">
        <f>HYPERLINK("http://www.ncbi.nlm.nih.gov/gene/?term=C12orf44","NCBI")</f>
        <v>NCBI</v>
      </c>
      <c r="F13769">
        <v>0.49</v>
      </c>
      <c r="G13769">
        <v>0.61</v>
      </c>
      <c r="H13769" s="1" t="str">
        <f>HYPERLINK("http://www.weizmann.ac.il/complex/compphys/software/geview/data/figures/218214_at.png","Figure")</f>
        <v>Figure</v>
      </c>
      <c r="I13769">
        <v>1.28</v>
      </c>
      <c r="J13769">
        <v>0.57999999999999996</v>
      </c>
      <c r="K13769">
        <v>1.27</v>
      </c>
      <c r="L13769">
        <v>0.53</v>
      </c>
      <c r="M13769">
        <v>0.98699999999999999</v>
      </c>
      <c r="N13769">
        <v>1</v>
      </c>
    </row>
    <row r="13770" spans="1:14" x14ac:dyDescent="0.25">
      <c r="A13770" t="s">
        <v>23468</v>
      </c>
      <c r="B13770" t="s">
        <v>6544</v>
      </c>
      <c r="C13770" s="1" t="str">
        <f>HYPERLINK("http://www.genecards.org/cgi-bin/carddisp.pl?gene=SELPLG","GeneCards")</f>
        <v>GeneCards</v>
      </c>
      <c r="D13770" s="1" t="str">
        <f>HYPERLINK("http://genome-euro.ucsc.edu/cgi-bin/hgTracks?position=209879_at","UCSC")</f>
        <v>UCSC</v>
      </c>
      <c r="E13770" s="1" t="str">
        <f>HYPERLINK("http://www.ncbi.nlm.nih.gov/gene/?term=SELPLG","NCBI")</f>
        <v>NCBI</v>
      </c>
      <c r="F13770">
        <v>0.49</v>
      </c>
      <c r="G13770">
        <v>0.61</v>
      </c>
      <c r="H13770" s="1" t="str">
        <f>HYPERLINK("http://www.weizmann.ac.il/complex/compphys/software/geview/data/figures/209879_at.png","Figure")</f>
        <v>Figure</v>
      </c>
      <c r="I13770">
        <v>0.84099999999999997</v>
      </c>
      <c r="J13770">
        <v>0.55000000000000004</v>
      </c>
      <c r="K13770">
        <v>0.995</v>
      </c>
      <c r="L13770">
        <v>1</v>
      </c>
      <c r="M13770">
        <v>1.18</v>
      </c>
      <c r="N13770">
        <v>0.52</v>
      </c>
    </row>
    <row r="13771" spans="1:14" x14ac:dyDescent="0.25">
      <c r="A13771" t="s">
        <v>23469</v>
      </c>
      <c r="B13771" t="s">
        <v>12325</v>
      </c>
      <c r="C13771" s="1" t="str">
        <f>HYPERLINK("http://www.genecards.org/cgi-bin/carddisp.pl?gene=KANK2","GeneCards")</f>
        <v>GeneCards</v>
      </c>
      <c r="D13771" s="1" t="str">
        <f>HYPERLINK("http://genome-euro.ucsc.edu/cgi-bin/hgTracks?position=218418_s_at","UCSC")</f>
        <v>UCSC</v>
      </c>
      <c r="E13771" s="1" t="str">
        <f>HYPERLINK("http://www.ncbi.nlm.nih.gov/gene/?term=KANK2","NCBI")</f>
        <v>NCBI</v>
      </c>
      <c r="F13771">
        <v>0.49</v>
      </c>
      <c r="G13771">
        <v>0.61</v>
      </c>
      <c r="H13771" s="1" t="str">
        <f>HYPERLINK("http://www.weizmann.ac.il/complex/compphys/software/geview/data/figures/218418_s_at.png","Figure")</f>
        <v>Figure</v>
      </c>
      <c r="I13771">
        <v>1.06</v>
      </c>
      <c r="J13771">
        <v>0.98</v>
      </c>
      <c r="K13771">
        <v>0.79300000000000004</v>
      </c>
      <c r="L13771">
        <v>0.62</v>
      </c>
      <c r="M13771">
        <v>0.751</v>
      </c>
      <c r="N13771">
        <v>0.54</v>
      </c>
    </row>
    <row r="13772" spans="1:14" x14ac:dyDescent="0.25">
      <c r="A13772" t="s">
        <v>23470</v>
      </c>
      <c r="B13772" t="s">
        <v>23471</v>
      </c>
      <c r="C13772" s="1" t="str">
        <f>HYPERLINK("http://www.genecards.org/cgi-bin/carddisp.pl?gene=STAP2","GeneCards")</f>
        <v>GeneCards</v>
      </c>
      <c r="D13772" s="1" t="str">
        <f>HYPERLINK("http://genome-euro.ucsc.edu/cgi-bin/hgTracks?position=221610_s_at","UCSC")</f>
        <v>UCSC</v>
      </c>
      <c r="E13772" s="1" t="str">
        <f>HYPERLINK("http://www.ncbi.nlm.nih.gov/gene/?term=STAP2","NCBI")</f>
        <v>NCBI</v>
      </c>
      <c r="F13772">
        <v>0.49</v>
      </c>
      <c r="G13772">
        <v>0.61</v>
      </c>
      <c r="H13772" s="1" t="str">
        <f>HYPERLINK("http://www.weizmann.ac.il/complex/compphys/software/geview/data/figures/221610_s_at.png","Figure")</f>
        <v>Figure</v>
      </c>
      <c r="I13772">
        <v>1.01</v>
      </c>
      <c r="J13772">
        <v>0.98</v>
      </c>
      <c r="K13772">
        <v>0.94299999999999995</v>
      </c>
      <c r="L13772">
        <v>0.62</v>
      </c>
      <c r="M13772">
        <v>0.93100000000000005</v>
      </c>
      <c r="N13772">
        <v>0.54</v>
      </c>
    </row>
    <row r="13773" spans="1:14" x14ac:dyDescent="0.25">
      <c r="A13773" t="s">
        <v>23472</v>
      </c>
      <c r="B13773" t="s">
        <v>23473</v>
      </c>
      <c r="C13773" s="1" t="str">
        <f>HYPERLINK("http://www.genecards.org/cgi-bin/carddisp.pl?gene=MAK16","GeneCards")</f>
        <v>GeneCards</v>
      </c>
      <c r="D13773" s="1" t="str">
        <f>HYPERLINK("http://genome-euro.ucsc.edu/cgi-bin/hgTracks?position=211686_s_at","UCSC")</f>
        <v>UCSC</v>
      </c>
      <c r="E13773" s="1" t="str">
        <f>HYPERLINK("http://www.ncbi.nlm.nih.gov/gene/?term=MAK16","NCBI")</f>
        <v>NCBI</v>
      </c>
      <c r="F13773">
        <v>0.49</v>
      </c>
      <c r="G13773">
        <v>0.61</v>
      </c>
      <c r="H13773" s="1" t="str">
        <f>HYPERLINK("http://www.weizmann.ac.il/complex/compphys/software/geview/data/figures/211686_s_at.png","Figure")</f>
        <v>Figure</v>
      </c>
      <c r="I13773">
        <v>1.1200000000000001</v>
      </c>
      <c r="J13773">
        <v>0.56999999999999995</v>
      </c>
      <c r="K13773">
        <v>0.998</v>
      </c>
      <c r="L13773">
        <v>1</v>
      </c>
      <c r="M13773">
        <v>0.89500000000000002</v>
      </c>
      <c r="N13773">
        <v>0.51</v>
      </c>
    </row>
    <row r="13774" spans="1:14" x14ac:dyDescent="0.25">
      <c r="A13774" t="s">
        <v>23474</v>
      </c>
      <c r="B13774" t="s">
        <v>23475</v>
      </c>
      <c r="C13774" s="1" t="str">
        <f>HYPERLINK("http://www.genecards.org/cgi-bin/carddisp.pl?gene=MRPL46","GeneCards")</f>
        <v>GeneCards</v>
      </c>
      <c r="D13774" s="1" t="str">
        <f>HYPERLINK("http://genome-euro.ucsc.edu/cgi-bin/hgTracks?position=219244_s_at","UCSC")</f>
        <v>UCSC</v>
      </c>
      <c r="E13774" s="1" t="str">
        <f>HYPERLINK("http://www.ncbi.nlm.nih.gov/gene/?term=MRPL46","NCBI")</f>
        <v>NCBI</v>
      </c>
      <c r="F13774">
        <v>0.49</v>
      </c>
      <c r="G13774">
        <v>0.61</v>
      </c>
      <c r="H13774" s="1" t="str">
        <f>HYPERLINK("http://www.weizmann.ac.il/complex/compphys/software/geview/data/figures/219244_s_at.png","Figure")</f>
        <v>Figure</v>
      </c>
      <c r="I13774">
        <v>1.18</v>
      </c>
      <c r="J13774">
        <v>0.46</v>
      </c>
      <c r="K13774">
        <v>1.08</v>
      </c>
      <c r="L13774">
        <v>0.78</v>
      </c>
      <c r="M13774">
        <v>0.91900000000000004</v>
      </c>
      <c r="N13774">
        <v>0.78</v>
      </c>
    </row>
    <row r="13775" spans="1:14" x14ac:dyDescent="0.25">
      <c r="A13775" t="s">
        <v>23476</v>
      </c>
      <c r="B13775" t="s">
        <v>23477</v>
      </c>
      <c r="C13775" s="1" t="str">
        <f>HYPERLINK("http://www.genecards.org/cgi-bin/carddisp.pl?gene=GJB1","GeneCards")</f>
        <v>GeneCards</v>
      </c>
      <c r="D13775" s="1" t="str">
        <f>HYPERLINK("http://genome-euro.ucsc.edu/cgi-bin/hgTracks?position=204973_at","UCSC")</f>
        <v>UCSC</v>
      </c>
      <c r="E13775" s="1" t="str">
        <f>HYPERLINK("http://www.ncbi.nlm.nih.gov/gene/?term=GJB1","NCBI")</f>
        <v>NCBI</v>
      </c>
      <c r="F13775">
        <v>0.49</v>
      </c>
      <c r="G13775">
        <v>0.61</v>
      </c>
      <c r="H13775" s="1" t="str">
        <f>HYPERLINK("http://www.weizmann.ac.il/complex/compphys/software/geview/data/figures/204973_at.png","Figure")</f>
        <v>Figure</v>
      </c>
      <c r="I13775">
        <v>1.1299999999999999</v>
      </c>
      <c r="J13775">
        <v>0.51</v>
      </c>
      <c r="K13775">
        <v>1.02</v>
      </c>
      <c r="L13775">
        <v>0.98</v>
      </c>
      <c r="M13775">
        <v>0.90100000000000002</v>
      </c>
      <c r="N13775">
        <v>0.56000000000000005</v>
      </c>
    </row>
    <row r="13776" spans="1:14" x14ac:dyDescent="0.25">
      <c r="A13776" t="s">
        <v>23478</v>
      </c>
      <c r="B13776" t="s">
        <v>15168</v>
      </c>
      <c r="C13776" s="1" t="str">
        <f>HYPERLINK("http://www.genecards.org/cgi-bin/carddisp.pl?gene=CYP2E1","GeneCards")</f>
        <v>GeneCards</v>
      </c>
      <c r="D13776" s="1" t="str">
        <f>HYPERLINK("http://genome-euro.ucsc.edu/cgi-bin/hgTracks?position=209975_at","UCSC")</f>
        <v>UCSC</v>
      </c>
      <c r="E13776" s="1" t="str">
        <f>HYPERLINK("http://www.ncbi.nlm.nih.gov/gene/?term=CYP2E1","NCBI")</f>
        <v>NCBI</v>
      </c>
      <c r="F13776">
        <v>0.49</v>
      </c>
      <c r="G13776">
        <v>0.61</v>
      </c>
      <c r="H13776" s="1" t="str">
        <f>HYPERLINK("http://www.weizmann.ac.il/complex/compphys/software/geview/data/figures/209975_at.png","Figure")</f>
        <v>Figure</v>
      </c>
      <c r="I13776">
        <v>1.04</v>
      </c>
      <c r="J13776">
        <v>0.93</v>
      </c>
      <c r="K13776">
        <v>0.92700000000000005</v>
      </c>
      <c r="L13776">
        <v>0.7</v>
      </c>
      <c r="M13776">
        <v>0.89300000000000002</v>
      </c>
      <c r="N13776">
        <v>0.5</v>
      </c>
    </row>
    <row r="13777" spans="1:14" x14ac:dyDescent="0.25">
      <c r="A13777" t="s">
        <v>23479</v>
      </c>
      <c r="B13777" t="s">
        <v>23480</v>
      </c>
      <c r="C13777" s="1" t="str">
        <f>HYPERLINK("http://www.genecards.org/cgi-bin/carddisp.pl?gene=LOC55908","GeneCards")</f>
        <v>GeneCards</v>
      </c>
      <c r="D13777" s="1" t="str">
        <f>HYPERLINK("http://genome-euro.ucsc.edu/cgi-bin/hgTracks?position=220437_at","UCSC")</f>
        <v>UCSC</v>
      </c>
      <c r="E13777" s="1" t="str">
        <f>HYPERLINK("http://www.ncbi.nlm.nih.gov/gene/?term=LOC55908","NCBI")</f>
        <v>NCBI</v>
      </c>
      <c r="F13777">
        <v>0.49</v>
      </c>
      <c r="G13777">
        <v>0.61</v>
      </c>
      <c r="H13777" s="1" t="str">
        <f>HYPERLINK("http://www.weizmann.ac.il/complex/compphys/software/geview/data/figures/220437_at.png","Figure")</f>
        <v>Figure</v>
      </c>
      <c r="I13777">
        <v>0.97</v>
      </c>
      <c r="J13777">
        <v>0.46</v>
      </c>
      <c r="K13777">
        <v>0.98599999999999999</v>
      </c>
      <c r="L13777">
        <v>0.8</v>
      </c>
      <c r="M13777">
        <v>1.02</v>
      </c>
      <c r="N13777">
        <v>0.77</v>
      </c>
    </row>
    <row r="13778" spans="1:14" x14ac:dyDescent="0.25">
      <c r="A13778" t="s">
        <v>23481</v>
      </c>
      <c r="B13778" t="s">
        <v>16032</v>
      </c>
      <c r="C13778" s="1" t="str">
        <f>HYPERLINK("http://www.genecards.org/cgi-bin/carddisp.pl?gene=FCGR2C","GeneCards")</f>
        <v>GeneCards</v>
      </c>
      <c r="D13778" s="1" t="str">
        <f>HYPERLINK("http://genome-euro.ucsc.edu/cgi-bin/hgTracks?position=211396_at","UCSC")</f>
        <v>UCSC</v>
      </c>
      <c r="E13778" s="1" t="str">
        <f>HYPERLINK("http://www.ncbi.nlm.nih.gov/gene/?term=FCGR2C","NCBI")</f>
        <v>NCBI</v>
      </c>
      <c r="F13778">
        <v>0.49</v>
      </c>
      <c r="G13778">
        <v>0.61</v>
      </c>
      <c r="H13778" s="1" t="str">
        <f>HYPERLINK("http://www.weizmann.ac.il/complex/compphys/software/geview/data/figures/211396_at.png","Figure")</f>
        <v>Figure</v>
      </c>
      <c r="I13778">
        <v>1.1100000000000001</v>
      </c>
      <c r="J13778">
        <v>0.46</v>
      </c>
      <c r="K13778">
        <v>1.06</v>
      </c>
      <c r="L13778">
        <v>0.77</v>
      </c>
      <c r="M13778">
        <v>0.94699999999999995</v>
      </c>
      <c r="N13778">
        <v>0.8</v>
      </c>
    </row>
    <row r="13779" spans="1:14" x14ac:dyDescent="0.25">
      <c r="A13779" t="s">
        <v>23482</v>
      </c>
      <c r="B13779" t="s">
        <v>23483</v>
      </c>
      <c r="C13779" s="1" t="str">
        <f>HYPERLINK("http://www.genecards.org/cgi-bin/carddisp.pl?gene=KIR2DL2","GeneCards")</f>
        <v>GeneCards</v>
      </c>
      <c r="D13779" s="1" t="str">
        <f>HYPERLINK("http://genome-euro.ucsc.edu/cgi-bin/hgTracks?position=211397_x_at","UCSC")</f>
        <v>UCSC</v>
      </c>
      <c r="E13779" s="1" t="str">
        <f>HYPERLINK("http://www.ncbi.nlm.nih.gov/gene/?term=KIR2DL2","NCBI")</f>
        <v>NCBI</v>
      </c>
      <c r="F13779">
        <v>0.49</v>
      </c>
      <c r="G13779">
        <v>0.61</v>
      </c>
      <c r="H13779" s="1" t="str">
        <f>HYPERLINK("http://www.weizmann.ac.il/complex/compphys/software/geview/data/figures/211397_x_at.png","Figure")</f>
        <v>Figure</v>
      </c>
      <c r="I13779">
        <v>1.1100000000000001</v>
      </c>
      <c r="J13779">
        <v>0.69</v>
      </c>
      <c r="K13779">
        <v>0.96299999999999997</v>
      </c>
      <c r="L13779">
        <v>0.94</v>
      </c>
      <c r="M13779">
        <v>0.86599999999999999</v>
      </c>
      <c r="N13779">
        <v>0.47</v>
      </c>
    </row>
    <row r="13780" spans="1:14" x14ac:dyDescent="0.25">
      <c r="A13780" t="s">
        <v>23484</v>
      </c>
      <c r="B13780" t="s">
        <v>20676</v>
      </c>
      <c r="C13780" s="1" t="str">
        <f>HYPERLINK("http://www.genecards.org/cgi-bin/carddisp.pl?gene=HSPB11","GeneCards")</f>
        <v>GeneCards</v>
      </c>
      <c r="D13780" s="1" t="str">
        <f>HYPERLINK("http://genome-euro.ucsc.edu/cgi-bin/hgTracks?position=203960_s_at","UCSC")</f>
        <v>UCSC</v>
      </c>
      <c r="E13780" s="1" t="str">
        <f>HYPERLINK("http://www.ncbi.nlm.nih.gov/gene/?term=HSPB11","NCBI")</f>
        <v>NCBI</v>
      </c>
      <c r="F13780">
        <v>0.49</v>
      </c>
      <c r="G13780">
        <v>0.61</v>
      </c>
      <c r="H13780" s="1" t="str">
        <f>HYPERLINK("http://www.weizmann.ac.il/complex/compphys/software/geview/data/figures/203960_s_at.png","Figure")</f>
        <v>Figure</v>
      </c>
      <c r="I13780">
        <v>0.91400000000000003</v>
      </c>
      <c r="J13780">
        <v>0.75</v>
      </c>
      <c r="K13780">
        <v>1.05</v>
      </c>
      <c r="L13780">
        <v>0.89</v>
      </c>
      <c r="M13780">
        <v>1.1499999999999999</v>
      </c>
      <c r="N13780">
        <v>0.46</v>
      </c>
    </row>
    <row r="13781" spans="1:14" x14ac:dyDescent="0.25">
      <c r="A13781" t="s">
        <v>23485</v>
      </c>
      <c r="B13781" t="s">
        <v>23486</v>
      </c>
      <c r="C13781" s="1" t="str">
        <f>HYPERLINK("http://www.genecards.org/cgi-bin/carddisp.pl?gene=ABCC8","GeneCards")</f>
        <v>GeneCards</v>
      </c>
      <c r="D13781" s="1" t="str">
        <f>HYPERLINK("http://genome-euro.ucsc.edu/cgi-bin/hgTracks?position=210246_s_at","UCSC")</f>
        <v>UCSC</v>
      </c>
      <c r="E13781" s="1" t="str">
        <f>HYPERLINK("http://www.ncbi.nlm.nih.gov/gene/?term=ABCC8","NCBI")</f>
        <v>NCBI</v>
      </c>
      <c r="F13781">
        <v>0.49</v>
      </c>
      <c r="G13781">
        <v>0.61</v>
      </c>
      <c r="H13781" s="1" t="str">
        <f>HYPERLINK("http://www.weizmann.ac.il/complex/compphys/software/geview/data/figures/210246_s_at.png","Figure")</f>
        <v>Figure</v>
      </c>
      <c r="I13781">
        <v>1.05</v>
      </c>
      <c r="J13781">
        <v>0.75</v>
      </c>
      <c r="K13781">
        <v>1.08</v>
      </c>
      <c r="L13781">
        <v>0.47</v>
      </c>
      <c r="M13781">
        <v>1.02</v>
      </c>
      <c r="N13781">
        <v>0.93</v>
      </c>
    </row>
    <row r="13782" spans="1:14" x14ac:dyDescent="0.25">
      <c r="A13782" t="s">
        <v>23487</v>
      </c>
      <c r="B13782" t="s">
        <v>3787</v>
      </c>
      <c r="C13782" s="1" t="str">
        <f>HYPERLINK("http://www.genecards.org/cgi-bin/carddisp.pl?gene=PRDX3","GeneCards")</f>
        <v>GeneCards</v>
      </c>
      <c r="D13782" s="1" t="str">
        <f>HYPERLINK("http://genome-euro.ucsc.edu/cgi-bin/hgTracks?position=209766_at","UCSC")</f>
        <v>UCSC</v>
      </c>
      <c r="E13782" s="1" t="str">
        <f>HYPERLINK("http://www.ncbi.nlm.nih.gov/gene/?term=PRDX3","NCBI")</f>
        <v>NCBI</v>
      </c>
      <c r="F13782">
        <v>0.49</v>
      </c>
      <c r="G13782">
        <v>0.61</v>
      </c>
      <c r="H13782" s="1" t="str">
        <f>HYPERLINK("http://www.weizmann.ac.il/complex/compphys/software/geview/data/figures/209766_at.png","Figure")</f>
        <v>Figure</v>
      </c>
      <c r="I13782">
        <v>0.98499999999999999</v>
      </c>
      <c r="J13782">
        <v>0.98</v>
      </c>
      <c r="K13782">
        <v>0.92700000000000005</v>
      </c>
      <c r="L13782">
        <v>0.51</v>
      </c>
      <c r="M13782">
        <v>0.94099999999999995</v>
      </c>
      <c r="N13782">
        <v>0.68</v>
      </c>
    </row>
    <row r="13783" spans="1:14" x14ac:dyDescent="0.25">
      <c r="A13783" t="s">
        <v>23488</v>
      </c>
      <c r="B13783" t="s">
        <v>23489</v>
      </c>
      <c r="C13783" s="1" t="str">
        <f>HYPERLINK("http://www.genecards.org/cgi-bin/carddisp.pl?gene=RPL23","GeneCards")</f>
        <v>GeneCards</v>
      </c>
      <c r="D13783" s="1" t="str">
        <f>HYPERLINK("http://genome-euro.ucsc.edu/cgi-bin/hgTracks?position=214744_s_at","UCSC")</f>
        <v>UCSC</v>
      </c>
      <c r="E13783" s="1" t="str">
        <f>HYPERLINK("http://www.ncbi.nlm.nih.gov/gene/?term=RPL23","NCBI")</f>
        <v>NCBI</v>
      </c>
      <c r="F13783">
        <v>0.49</v>
      </c>
      <c r="G13783">
        <v>0.61</v>
      </c>
      <c r="H13783" s="1" t="str">
        <f>HYPERLINK("http://www.weizmann.ac.il/complex/compphys/software/geview/data/figures/214744_s_at.png","Figure")</f>
        <v>Figure</v>
      </c>
      <c r="I13783">
        <v>0.78500000000000003</v>
      </c>
      <c r="J13783">
        <v>0.46</v>
      </c>
      <c r="K13783">
        <v>0.90100000000000002</v>
      </c>
      <c r="L13783">
        <v>0.82</v>
      </c>
      <c r="M13783">
        <v>1.1499999999999999</v>
      </c>
      <c r="N13783">
        <v>0.74</v>
      </c>
    </row>
    <row r="13784" spans="1:14" x14ac:dyDescent="0.25">
      <c r="A13784" t="s">
        <v>23490</v>
      </c>
      <c r="B13784" t="s">
        <v>3088</v>
      </c>
      <c r="C13784" s="1" t="str">
        <f>HYPERLINK("http://www.genecards.org/cgi-bin/carddisp.pl?gene=EFR3B","GeneCards")</f>
        <v>GeneCards</v>
      </c>
      <c r="D13784" s="1" t="str">
        <f>HYPERLINK("http://genome-euro.ucsc.edu/cgi-bin/hgTracks?position=215334_at","UCSC")</f>
        <v>UCSC</v>
      </c>
      <c r="E13784" s="1" t="str">
        <f>HYPERLINK("http://www.ncbi.nlm.nih.gov/gene/?term=EFR3B","NCBI")</f>
        <v>NCBI</v>
      </c>
      <c r="F13784">
        <v>0.49</v>
      </c>
      <c r="G13784">
        <v>0.61</v>
      </c>
      <c r="H13784" s="1" t="str">
        <f>HYPERLINK("http://www.weizmann.ac.il/complex/compphys/software/geview/data/figures/215334_at.png","Figure")</f>
        <v>Figure</v>
      </c>
      <c r="I13784">
        <v>1.05</v>
      </c>
      <c r="J13784">
        <v>0.61</v>
      </c>
      <c r="K13784">
        <v>0.99299999999999999</v>
      </c>
      <c r="L13784">
        <v>0.99</v>
      </c>
      <c r="M13784">
        <v>0.94599999999999995</v>
      </c>
      <c r="N13784">
        <v>0.49</v>
      </c>
    </row>
    <row r="13785" spans="1:14" x14ac:dyDescent="0.25">
      <c r="A13785" t="s">
        <v>23491</v>
      </c>
      <c r="B13785" t="s">
        <v>14064</v>
      </c>
      <c r="C13785" s="1" t="str">
        <f>HYPERLINK("http://www.genecards.org/cgi-bin/carddisp.pl?gene=PTGER3","GeneCards")</f>
        <v>GeneCards</v>
      </c>
      <c r="D13785" s="1" t="str">
        <f>HYPERLINK("http://genome-euro.ucsc.edu/cgi-bin/hgTracks?position=210832_x_at","UCSC")</f>
        <v>UCSC</v>
      </c>
      <c r="E13785" s="1" t="str">
        <f>HYPERLINK("http://www.ncbi.nlm.nih.gov/gene/?term=PTGER3","NCBI")</f>
        <v>NCBI</v>
      </c>
      <c r="F13785">
        <v>0.49</v>
      </c>
      <c r="G13785">
        <v>0.61</v>
      </c>
      <c r="H13785" s="1" t="str">
        <f>HYPERLINK("http://www.weizmann.ac.il/complex/compphys/software/geview/data/figures/210832_x_at.png","Figure")</f>
        <v>Figure</v>
      </c>
      <c r="I13785">
        <v>1.05</v>
      </c>
      <c r="J13785">
        <v>0.68</v>
      </c>
      <c r="K13785">
        <v>0.98599999999999999</v>
      </c>
      <c r="L13785">
        <v>0.95</v>
      </c>
      <c r="M13785">
        <v>0.94299999999999995</v>
      </c>
      <c r="N13785">
        <v>0.47</v>
      </c>
    </row>
    <row r="13786" spans="1:14" x14ac:dyDescent="0.25">
      <c r="A13786" t="s">
        <v>23492</v>
      </c>
      <c r="B13786" t="s">
        <v>23493</v>
      </c>
      <c r="C13786" s="1" t="str">
        <f>HYPERLINK("http://www.genecards.org/cgi-bin/carddisp.pl?gene=HIST1H3B","GeneCards")</f>
        <v>GeneCards</v>
      </c>
      <c r="D13786" s="1" t="str">
        <f>HYPERLINK("http://genome-euro.ucsc.edu/cgi-bin/hgTracks?position=208576_s_at","UCSC")</f>
        <v>UCSC</v>
      </c>
      <c r="E13786" s="1" t="str">
        <f>HYPERLINK("http://www.ncbi.nlm.nih.gov/gene/?term=HIST1H3B","NCBI")</f>
        <v>NCBI</v>
      </c>
      <c r="F13786">
        <v>0.49</v>
      </c>
      <c r="G13786">
        <v>0.61</v>
      </c>
      <c r="H13786" s="1" t="str">
        <f>HYPERLINK("http://www.weizmann.ac.il/complex/compphys/software/geview/data/figures/208576_s_at.png","Figure")</f>
        <v>Figure</v>
      </c>
      <c r="I13786">
        <v>1.1599999999999999</v>
      </c>
      <c r="J13786">
        <v>0.63</v>
      </c>
      <c r="K13786">
        <v>1.17</v>
      </c>
      <c r="L13786">
        <v>0.5</v>
      </c>
      <c r="M13786">
        <v>1.01</v>
      </c>
      <c r="N13786">
        <v>1</v>
      </c>
    </row>
    <row r="13787" spans="1:14" x14ac:dyDescent="0.25">
      <c r="A13787" t="s">
        <v>23494</v>
      </c>
      <c r="B13787" t="s">
        <v>23495</v>
      </c>
      <c r="C13787" s="1" t="str">
        <f>HYPERLINK("http://www.genecards.org/cgi-bin/carddisp.pl?gene=POLG2","GeneCards")</f>
        <v>GeneCards</v>
      </c>
      <c r="D13787" s="1" t="str">
        <f>HYPERLINK("http://genome-euro.ucsc.edu/cgi-bin/hgTracks?position=205811_at","UCSC")</f>
        <v>UCSC</v>
      </c>
      <c r="E13787" s="1" t="str">
        <f>HYPERLINK("http://www.ncbi.nlm.nih.gov/gene/?term=POLG2","NCBI")</f>
        <v>NCBI</v>
      </c>
      <c r="F13787">
        <v>0.5</v>
      </c>
      <c r="G13787">
        <v>0.61</v>
      </c>
      <c r="H13787" s="1" t="str">
        <f>HYPERLINK("http://www.weizmann.ac.il/complex/compphys/software/geview/data/figures/205811_at.png","Figure")</f>
        <v>Figure</v>
      </c>
      <c r="I13787">
        <v>1.1299999999999999</v>
      </c>
      <c r="J13787">
        <v>0.75</v>
      </c>
      <c r="K13787">
        <v>1.19</v>
      </c>
      <c r="L13787">
        <v>0.47</v>
      </c>
      <c r="M13787">
        <v>1.06</v>
      </c>
      <c r="N13787">
        <v>0.94</v>
      </c>
    </row>
    <row r="13788" spans="1:14" x14ac:dyDescent="0.25">
      <c r="A13788" t="s">
        <v>23496</v>
      </c>
      <c r="B13788" t="s">
        <v>15643</v>
      </c>
      <c r="C13788" s="1" t="str">
        <f>HYPERLINK("http://www.genecards.org/cgi-bin/carddisp.pl?gene=WNK1","GeneCards")</f>
        <v>GeneCards</v>
      </c>
      <c r="D13788" s="1" t="str">
        <f>HYPERLINK("http://genome-euro.ucsc.edu/cgi-bin/hgTracks?position=202940_at","UCSC")</f>
        <v>UCSC</v>
      </c>
      <c r="E13788" s="1" t="str">
        <f>HYPERLINK("http://www.ncbi.nlm.nih.gov/gene/?term=WNK1","NCBI")</f>
        <v>NCBI</v>
      </c>
      <c r="F13788">
        <v>0.5</v>
      </c>
      <c r="G13788">
        <v>0.61</v>
      </c>
      <c r="H13788" s="1" t="str">
        <f>HYPERLINK("http://www.weizmann.ac.il/complex/compphys/software/geview/data/figures/202940_at.png","Figure")</f>
        <v>Figure</v>
      </c>
      <c r="I13788">
        <v>0.94299999999999995</v>
      </c>
      <c r="J13788">
        <v>0.74</v>
      </c>
      <c r="K13788">
        <v>1.03</v>
      </c>
      <c r="L13788">
        <v>0.89</v>
      </c>
      <c r="M13788">
        <v>1.0900000000000001</v>
      </c>
      <c r="N13788">
        <v>0.46</v>
      </c>
    </row>
    <row r="13789" spans="1:14" x14ac:dyDescent="0.25">
      <c r="A13789" t="s">
        <v>23497</v>
      </c>
      <c r="B13789" t="s">
        <v>23498</v>
      </c>
      <c r="C13789" s="1" t="str">
        <f>HYPERLINK("http://www.genecards.org/cgi-bin/carddisp.pl?gene=NPDC1","GeneCards")</f>
        <v>GeneCards</v>
      </c>
      <c r="D13789" s="1" t="str">
        <f>HYPERLINK("http://genome-euro.ucsc.edu/cgi-bin/hgTracks?position=218086_at","UCSC")</f>
        <v>UCSC</v>
      </c>
      <c r="E13789" s="1" t="str">
        <f>HYPERLINK("http://www.ncbi.nlm.nih.gov/gene/?term=NPDC1","NCBI")</f>
        <v>NCBI</v>
      </c>
      <c r="F13789">
        <v>0.5</v>
      </c>
      <c r="G13789">
        <v>0.61</v>
      </c>
      <c r="H13789" s="1" t="str">
        <f>HYPERLINK("http://www.weizmann.ac.il/complex/compphys/software/geview/data/figures/218086_at.png","Figure")</f>
        <v>Figure</v>
      </c>
      <c r="I13789">
        <v>0.98899999999999999</v>
      </c>
      <c r="J13789">
        <v>0.99</v>
      </c>
      <c r="K13789">
        <v>0.90100000000000002</v>
      </c>
      <c r="L13789">
        <v>0.53</v>
      </c>
      <c r="M13789">
        <v>0.91100000000000003</v>
      </c>
      <c r="N13789">
        <v>0.64</v>
      </c>
    </row>
    <row r="13790" spans="1:14" x14ac:dyDescent="0.25">
      <c r="A13790" t="s">
        <v>23499</v>
      </c>
      <c r="B13790" t="s">
        <v>8633</v>
      </c>
      <c r="C13790" s="1" t="str">
        <f>HYPERLINK("http://www.genecards.org/cgi-bin/carddisp.pl?gene=JTB","GeneCards")</f>
        <v>GeneCards</v>
      </c>
      <c r="D13790" s="1" t="str">
        <f>HYPERLINK("http://genome-euro.ucsc.edu/cgi-bin/hgTracks?position=200048_s_at","UCSC")</f>
        <v>UCSC</v>
      </c>
      <c r="E13790" s="1" t="str">
        <f>HYPERLINK("http://www.ncbi.nlm.nih.gov/gene/?term=JTB","NCBI")</f>
        <v>NCBI</v>
      </c>
      <c r="F13790">
        <v>0.5</v>
      </c>
      <c r="G13790">
        <v>0.61</v>
      </c>
      <c r="H13790" s="1" t="str">
        <f>HYPERLINK("http://www.weizmann.ac.il/complex/compphys/software/geview/data/figures/200048_s_at.png","Figure")</f>
        <v>Figure</v>
      </c>
      <c r="I13790">
        <v>1.04</v>
      </c>
      <c r="J13790">
        <v>0.93</v>
      </c>
      <c r="K13790">
        <v>1.1200000000000001</v>
      </c>
      <c r="L13790">
        <v>0.48</v>
      </c>
      <c r="M13790">
        <v>1.08</v>
      </c>
      <c r="N13790">
        <v>0.76</v>
      </c>
    </row>
    <row r="13791" spans="1:14" x14ac:dyDescent="0.25">
      <c r="A13791" t="s">
        <v>23500</v>
      </c>
      <c r="B13791" t="s">
        <v>17504</v>
      </c>
      <c r="C13791" s="1" t="str">
        <f>HYPERLINK("http://www.genecards.org/cgi-bin/carddisp.pl?gene=ACTN2","GeneCards")</f>
        <v>GeneCards</v>
      </c>
      <c r="D13791" s="1" t="str">
        <f>HYPERLINK("http://genome-euro.ucsc.edu/cgi-bin/hgTracks?position=203864_s_at","UCSC")</f>
        <v>UCSC</v>
      </c>
      <c r="E13791" s="1" t="str">
        <f>HYPERLINK("http://www.ncbi.nlm.nih.gov/gene/?term=ACTN2","NCBI")</f>
        <v>NCBI</v>
      </c>
      <c r="F13791">
        <v>0.5</v>
      </c>
      <c r="G13791">
        <v>0.61</v>
      </c>
      <c r="H13791" s="1" t="str">
        <f>HYPERLINK("http://www.weizmann.ac.il/complex/compphys/software/geview/data/figures/203864_s_at.png","Figure")</f>
        <v>Figure</v>
      </c>
      <c r="I13791">
        <v>1</v>
      </c>
      <c r="J13791">
        <v>1</v>
      </c>
      <c r="K13791">
        <v>0.94099999999999995</v>
      </c>
      <c r="L13791">
        <v>0.56999999999999995</v>
      </c>
      <c r="M13791">
        <v>0.93799999999999994</v>
      </c>
      <c r="N13791">
        <v>0.59</v>
      </c>
    </row>
    <row r="13792" spans="1:14" x14ac:dyDescent="0.25">
      <c r="A13792" t="s">
        <v>23501</v>
      </c>
      <c r="B13792" t="s">
        <v>2687</v>
      </c>
      <c r="C13792" s="1" t="str">
        <f>HYPERLINK("http://www.genecards.org/cgi-bin/carddisp.pl?gene=RUNX1","GeneCards")</f>
        <v>GeneCards</v>
      </c>
      <c r="D13792" s="1" t="str">
        <f>HYPERLINK("http://genome-euro.ucsc.edu/cgi-bin/hgTracks?position=210805_x_at","UCSC")</f>
        <v>UCSC</v>
      </c>
      <c r="E13792" s="1" t="str">
        <f>HYPERLINK("http://www.ncbi.nlm.nih.gov/gene/?term=RUNX1","NCBI")</f>
        <v>NCBI</v>
      </c>
      <c r="F13792">
        <v>0.5</v>
      </c>
      <c r="G13792">
        <v>0.61</v>
      </c>
      <c r="H13792" s="1" t="str">
        <f>HYPERLINK("http://www.weizmann.ac.il/complex/compphys/software/geview/data/figures/210805_x_at.png","Figure")</f>
        <v>Figure</v>
      </c>
      <c r="I13792">
        <v>1.04</v>
      </c>
      <c r="J13792">
        <v>0.64</v>
      </c>
      <c r="K13792">
        <v>0.99199999999999999</v>
      </c>
      <c r="L13792">
        <v>0.98</v>
      </c>
      <c r="M13792">
        <v>0.95299999999999996</v>
      </c>
      <c r="N13792">
        <v>0.48</v>
      </c>
    </row>
    <row r="13793" spans="1:14" x14ac:dyDescent="0.25">
      <c r="A13793" t="s">
        <v>23502</v>
      </c>
      <c r="B13793" t="s">
        <v>23503</v>
      </c>
      <c r="C13793" s="1" t="str">
        <f>HYPERLINK("http://www.genecards.org/cgi-bin/carddisp.pl?gene=SLC6A4","GeneCards")</f>
        <v>GeneCards</v>
      </c>
      <c r="D13793" s="1" t="str">
        <f>HYPERLINK("http://genome-euro.ucsc.edu/cgi-bin/hgTracks?position=207519_at","UCSC")</f>
        <v>UCSC</v>
      </c>
      <c r="E13793" s="1" t="str">
        <f>HYPERLINK("http://www.ncbi.nlm.nih.gov/gene/?term=SLC6A4","NCBI")</f>
        <v>NCBI</v>
      </c>
      <c r="F13793">
        <v>0.5</v>
      </c>
      <c r="G13793">
        <v>0.61</v>
      </c>
      <c r="H13793" s="1" t="str">
        <f>HYPERLINK("http://www.weizmann.ac.il/complex/compphys/software/geview/data/figures/207519_at.png","Figure")</f>
        <v>Figure</v>
      </c>
      <c r="I13793">
        <v>1.08</v>
      </c>
      <c r="J13793">
        <v>0.56000000000000005</v>
      </c>
      <c r="K13793">
        <v>1</v>
      </c>
      <c r="L13793">
        <v>1</v>
      </c>
      <c r="M13793">
        <v>0.92400000000000004</v>
      </c>
      <c r="N13793">
        <v>0.52</v>
      </c>
    </row>
    <row r="13794" spans="1:14" x14ac:dyDescent="0.25">
      <c r="A13794" t="s">
        <v>23504</v>
      </c>
      <c r="B13794" t="s">
        <v>23505</v>
      </c>
      <c r="C13794" s="1" t="str">
        <f>HYPERLINK("http://www.genecards.org/cgi-bin/carddisp.pl?gene=GTF2H2B","GeneCards")</f>
        <v>GeneCards</v>
      </c>
      <c r="D13794" s="1" t="str">
        <f>HYPERLINK("http://genome-euro.ucsc.edu/cgi-bin/hgTracks?position=215470_at","UCSC")</f>
        <v>UCSC</v>
      </c>
      <c r="E13794" s="1" t="str">
        <f>HYPERLINK("http://www.ncbi.nlm.nih.gov/gene/?term=GTF2H2B","NCBI")</f>
        <v>NCBI</v>
      </c>
      <c r="F13794">
        <v>0.5</v>
      </c>
      <c r="G13794">
        <v>0.61</v>
      </c>
      <c r="H13794" s="1" t="str">
        <f>HYPERLINK("http://www.weizmann.ac.il/complex/compphys/software/geview/data/figures/215470_at.png","Figure")</f>
        <v>Figure</v>
      </c>
      <c r="I13794">
        <v>0.93200000000000005</v>
      </c>
      <c r="J13794">
        <v>0.47</v>
      </c>
      <c r="K13794">
        <v>0.97599999999999998</v>
      </c>
      <c r="L13794">
        <v>0.89</v>
      </c>
      <c r="M13794">
        <v>1.05</v>
      </c>
      <c r="N13794">
        <v>0.68</v>
      </c>
    </row>
    <row r="13795" spans="1:14" x14ac:dyDescent="0.25">
      <c r="A13795" t="s">
        <v>23506</v>
      </c>
      <c r="B13795" t="s">
        <v>7332</v>
      </c>
      <c r="C13795" s="1" t="str">
        <f>HYPERLINK("http://www.genecards.org/cgi-bin/carddisp.pl?gene=PDS5A","GeneCards")</f>
        <v>GeneCards</v>
      </c>
      <c r="D13795" s="1" t="str">
        <f>HYPERLINK("http://genome-euro.ucsc.edu/cgi-bin/hgTracks?position=213984_at","UCSC")</f>
        <v>UCSC</v>
      </c>
      <c r="E13795" s="1" t="str">
        <f>HYPERLINK("http://www.ncbi.nlm.nih.gov/gene/?term=PDS5A","NCBI")</f>
        <v>NCBI</v>
      </c>
      <c r="F13795">
        <v>0.5</v>
      </c>
      <c r="G13795">
        <v>0.61</v>
      </c>
      <c r="H13795" s="1" t="str">
        <f>HYPERLINK("http://www.weizmann.ac.il/complex/compphys/software/geview/data/figures/213984_at.png","Figure")</f>
        <v>Figure</v>
      </c>
      <c r="I13795">
        <v>0.85399999999999998</v>
      </c>
      <c r="J13795">
        <v>0.89</v>
      </c>
      <c r="K13795">
        <v>0.69699999999999995</v>
      </c>
      <c r="L13795">
        <v>0.47</v>
      </c>
      <c r="M13795">
        <v>0.81599999999999995</v>
      </c>
      <c r="N13795">
        <v>0.8</v>
      </c>
    </row>
    <row r="13796" spans="1:14" x14ac:dyDescent="0.25">
      <c r="A13796" t="s">
        <v>23507</v>
      </c>
      <c r="B13796" t="s">
        <v>20656</v>
      </c>
      <c r="C13796" s="1" t="str">
        <f>HYPERLINK("http://www.genecards.org/cgi-bin/carddisp.pl?gene=FLII","GeneCards")</f>
        <v>GeneCards</v>
      </c>
      <c r="D13796" s="1" t="str">
        <f>HYPERLINK("http://genome-euro.ucsc.edu/cgi-bin/hgTracks?position=222065_s_at","UCSC")</f>
        <v>UCSC</v>
      </c>
      <c r="E13796" s="1" t="str">
        <f>HYPERLINK("http://www.ncbi.nlm.nih.gov/gene/?term=FLII","NCBI")</f>
        <v>NCBI</v>
      </c>
      <c r="F13796">
        <v>0.5</v>
      </c>
      <c r="G13796">
        <v>0.61</v>
      </c>
      <c r="H13796" s="1" t="str">
        <f>HYPERLINK("http://www.weizmann.ac.il/complex/compphys/software/geview/data/figures/222065_s_at.png","Figure")</f>
        <v>Figure</v>
      </c>
      <c r="I13796">
        <v>0.83799999999999997</v>
      </c>
      <c r="J13796">
        <v>0.79</v>
      </c>
      <c r="K13796">
        <v>1.1399999999999999</v>
      </c>
      <c r="L13796">
        <v>0.85</v>
      </c>
      <c r="M13796">
        <v>1.36</v>
      </c>
      <c r="N13796">
        <v>0.47</v>
      </c>
    </row>
    <row r="13797" spans="1:14" x14ac:dyDescent="0.25">
      <c r="A13797" t="s">
        <v>23508</v>
      </c>
      <c r="B13797" t="s">
        <v>14277</v>
      </c>
      <c r="C13797" s="1" t="str">
        <f>HYPERLINK("http://www.genecards.org/cgi-bin/carddisp.pl?gene=UBE4B","GeneCards")</f>
        <v>GeneCards</v>
      </c>
      <c r="D13797" s="1" t="str">
        <f>HYPERLINK("http://genome-euro.ucsc.edu/cgi-bin/hgTracks?position=210685_s_at","UCSC")</f>
        <v>UCSC</v>
      </c>
      <c r="E13797" s="1" t="str">
        <f>HYPERLINK("http://www.ncbi.nlm.nih.gov/gene/?term=UBE4B","NCBI")</f>
        <v>NCBI</v>
      </c>
      <c r="F13797">
        <v>0.5</v>
      </c>
      <c r="G13797">
        <v>0.61</v>
      </c>
      <c r="H13797" s="1" t="str">
        <f>HYPERLINK("http://www.weizmann.ac.il/complex/compphys/software/geview/data/figures/210685_s_at.png","Figure")</f>
        <v>Figure</v>
      </c>
      <c r="I13797">
        <v>1.03</v>
      </c>
      <c r="J13797">
        <v>0.47</v>
      </c>
      <c r="K13797">
        <v>1.02</v>
      </c>
      <c r="L13797">
        <v>0.73</v>
      </c>
      <c r="M13797">
        <v>0.98499999999999999</v>
      </c>
      <c r="N13797">
        <v>0.84</v>
      </c>
    </row>
    <row r="13798" spans="1:14" x14ac:dyDescent="0.25">
      <c r="A13798" t="s">
        <v>23509</v>
      </c>
      <c r="B13798" t="s">
        <v>23510</v>
      </c>
      <c r="C13798" s="1" t="str">
        <f>HYPERLINK("http://www.genecards.org/cgi-bin/carddisp.pl?gene=RPP21 /// TRIM39 /// TRIM39R","GeneCards")</f>
        <v>GeneCards</v>
      </c>
      <c r="D13798" s="1" t="str">
        <f>HYPERLINK("http://genome-euro.ucsc.edu/cgi-bin/hgTracks?position=218836_at","UCSC")</f>
        <v>UCSC</v>
      </c>
      <c r="E13798" s="1" t="str">
        <f>HYPERLINK("http://www.ncbi.nlm.nih.gov/gene/?term=RPP21 /// TRIM39 /// TRIM39R","NCBI")</f>
        <v>NCBI</v>
      </c>
      <c r="F13798">
        <v>0.5</v>
      </c>
      <c r="G13798">
        <v>0.61</v>
      </c>
      <c r="H13798" s="1" t="str">
        <f>HYPERLINK("http://www.weizmann.ac.il/complex/compphys/software/geview/data/figures/218836_at.png","Figure")</f>
        <v>Figure</v>
      </c>
      <c r="I13798">
        <v>1.1399999999999999</v>
      </c>
      <c r="J13798">
        <v>0.52</v>
      </c>
      <c r="K13798">
        <v>1.1100000000000001</v>
      </c>
      <c r="L13798">
        <v>0.6</v>
      </c>
      <c r="M13798">
        <v>0.97099999999999997</v>
      </c>
      <c r="N13798">
        <v>0.96</v>
      </c>
    </row>
    <row r="13799" spans="1:14" x14ac:dyDescent="0.25">
      <c r="A13799" t="s">
        <v>23511</v>
      </c>
      <c r="B13799" t="s">
        <v>14553</v>
      </c>
      <c r="C13799" s="1" t="str">
        <f>HYPERLINK("http://www.genecards.org/cgi-bin/carddisp.pl?gene=SEL1L","GeneCards")</f>
        <v>GeneCards</v>
      </c>
      <c r="D13799" s="1" t="str">
        <f>HYPERLINK("http://genome-euro.ucsc.edu/cgi-bin/hgTracks?position=202064_s_at","UCSC")</f>
        <v>UCSC</v>
      </c>
      <c r="E13799" s="1" t="str">
        <f>HYPERLINK("http://www.ncbi.nlm.nih.gov/gene/?term=SEL1L","NCBI")</f>
        <v>NCBI</v>
      </c>
      <c r="F13799">
        <v>0.5</v>
      </c>
      <c r="G13799">
        <v>0.61</v>
      </c>
      <c r="H13799" s="1" t="str">
        <f>HYPERLINK("http://www.weizmann.ac.il/complex/compphys/software/geview/data/figures/202064_s_at.png","Figure")</f>
        <v>Figure</v>
      </c>
      <c r="I13799">
        <v>1.05</v>
      </c>
      <c r="J13799">
        <v>0.81</v>
      </c>
      <c r="K13799">
        <v>0.95899999999999996</v>
      </c>
      <c r="L13799">
        <v>0.83</v>
      </c>
      <c r="M13799">
        <v>0.91</v>
      </c>
      <c r="N13799">
        <v>0.47</v>
      </c>
    </row>
    <row r="13800" spans="1:14" x14ac:dyDescent="0.25">
      <c r="A13800" t="s">
        <v>23512</v>
      </c>
      <c r="B13800" t="s">
        <v>21109</v>
      </c>
      <c r="C13800" s="1" t="str">
        <f>HYPERLINK("http://www.genecards.org/cgi-bin/carddisp.pl?gene=FGF5","GeneCards")</f>
        <v>GeneCards</v>
      </c>
      <c r="D13800" s="1" t="str">
        <f>HYPERLINK("http://genome-euro.ucsc.edu/cgi-bin/hgTracks?position=208378_x_at","UCSC")</f>
        <v>UCSC</v>
      </c>
      <c r="E13800" s="1" t="str">
        <f>HYPERLINK("http://www.ncbi.nlm.nih.gov/gene/?term=FGF5","NCBI")</f>
        <v>NCBI</v>
      </c>
      <c r="F13800">
        <v>0.5</v>
      </c>
      <c r="G13800">
        <v>0.61</v>
      </c>
      <c r="H13800" s="1" t="str">
        <f>HYPERLINK("http://www.weizmann.ac.il/complex/compphys/software/geview/data/figures/208378_x_at.png","Figure")</f>
        <v>Figure</v>
      </c>
      <c r="I13800">
        <v>1</v>
      </c>
      <c r="J13800">
        <v>0.99</v>
      </c>
      <c r="K13800">
        <v>0.98799999999999999</v>
      </c>
      <c r="L13800">
        <v>0.61</v>
      </c>
      <c r="M13800">
        <v>0.98599999999999999</v>
      </c>
      <c r="N13800">
        <v>0.56000000000000005</v>
      </c>
    </row>
    <row r="13801" spans="1:14" x14ac:dyDescent="0.25">
      <c r="A13801" t="s">
        <v>23513</v>
      </c>
      <c r="B13801" t="s">
        <v>23514</v>
      </c>
      <c r="C13801" s="1" t="str">
        <f>HYPERLINK("http://www.genecards.org/cgi-bin/carddisp.pl?gene=MED28","GeneCards")</f>
        <v>GeneCards</v>
      </c>
      <c r="D13801" s="1" t="str">
        <f>HYPERLINK("http://genome-euro.ucsc.edu/cgi-bin/hgTracks?position=218438_s_at","UCSC")</f>
        <v>UCSC</v>
      </c>
      <c r="E13801" s="1" t="str">
        <f>HYPERLINK("http://www.ncbi.nlm.nih.gov/gene/?term=MED28","NCBI")</f>
        <v>NCBI</v>
      </c>
      <c r="F13801">
        <v>0.5</v>
      </c>
      <c r="G13801">
        <v>0.61</v>
      </c>
      <c r="H13801" s="1" t="str">
        <f>HYPERLINK("http://www.weizmann.ac.il/complex/compphys/software/geview/data/figures/218438_s_at.png","Figure")</f>
        <v>Figure</v>
      </c>
      <c r="I13801">
        <v>0.77800000000000002</v>
      </c>
      <c r="J13801">
        <v>0.49</v>
      </c>
      <c r="K13801">
        <v>0.94699999999999995</v>
      </c>
      <c r="L13801">
        <v>0.96</v>
      </c>
      <c r="M13801">
        <v>1.22</v>
      </c>
      <c r="N13801">
        <v>0.6</v>
      </c>
    </row>
    <row r="13802" spans="1:14" x14ac:dyDescent="0.25">
      <c r="A13802" t="s">
        <v>23515</v>
      </c>
      <c r="B13802" t="s">
        <v>15386</v>
      </c>
      <c r="C13802" s="1" t="str">
        <f>HYPERLINK("http://www.genecards.org/cgi-bin/carddisp.pl?gene=ZMYM4","GeneCards")</f>
        <v>GeneCards</v>
      </c>
      <c r="D13802" s="1" t="str">
        <f>HYPERLINK("http://genome-euro.ucsc.edu/cgi-bin/hgTracks?position=202050_s_at","UCSC")</f>
        <v>UCSC</v>
      </c>
      <c r="E13802" s="1" t="str">
        <f>HYPERLINK("http://www.ncbi.nlm.nih.gov/gene/?term=ZMYM4","NCBI")</f>
        <v>NCBI</v>
      </c>
      <c r="F13802">
        <v>0.5</v>
      </c>
      <c r="G13802">
        <v>0.61</v>
      </c>
      <c r="H13802" s="1" t="str">
        <f>HYPERLINK("http://www.weizmann.ac.il/complex/compphys/software/geview/data/figures/202050_s_at.png","Figure")</f>
        <v>Figure</v>
      </c>
      <c r="I13802">
        <v>0.92400000000000004</v>
      </c>
      <c r="J13802">
        <v>0.85</v>
      </c>
      <c r="K13802">
        <v>1.08</v>
      </c>
      <c r="L13802">
        <v>0.8</v>
      </c>
      <c r="M13802">
        <v>1.17</v>
      </c>
      <c r="N13802">
        <v>0.47</v>
      </c>
    </row>
    <row r="13803" spans="1:14" x14ac:dyDescent="0.25">
      <c r="A13803" t="s">
        <v>23516</v>
      </c>
      <c r="B13803" t="s">
        <v>18915</v>
      </c>
      <c r="C13803" s="1" t="str">
        <f>HYPERLINK("http://www.genecards.org/cgi-bin/carddisp.pl?gene=TPD52","GeneCards")</f>
        <v>GeneCards</v>
      </c>
      <c r="D13803" s="1" t="str">
        <f>HYPERLINK("http://genome-euro.ucsc.edu/cgi-bin/hgTracks?position=201689_s_at","UCSC")</f>
        <v>UCSC</v>
      </c>
      <c r="E13803" s="1" t="str">
        <f>HYPERLINK("http://www.ncbi.nlm.nih.gov/gene/?term=TPD52","NCBI")</f>
        <v>NCBI</v>
      </c>
      <c r="F13803">
        <v>0.5</v>
      </c>
      <c r="G13803">
        <v>0.61</v>
      </c>
      <c r="H13803" s="1" t="str">
        <f>HYPERLINK("http://www.weizmann.ac.il/complex/compphys/software/geview/data/figures/201689_s_at.png","Figure")</f>
        <v>Figure</v>
      </c>
      <c r="I13803">
        <v>0.86299999999999999</v>
      </c>
      <c r="J13803">
        <v>0.74</v>
      </c>
      <c r="K13803">
        <v>0.81100000000000005</v>
      </c>
      <c r="L13803">
        <v>0.47</v>
      </c>
      <c r="M13803">
        <v>0.94</v>
      </c>
      <c r="N13803">
        <v>0.94</v>
      </c>
    </row>
    <row r="13804" spans="1:14" x14ac:dyDescent="0.25">
      <c r="A13804" t="s">
        <v>23517</v>
      </c>
      <c r="B13804" t="s">
        <v>23518</v>
      </c>
      <c r="C13804" s="1" t="str">
        <f>HYPERLINK("http://www.genecards.org/cgi-bin/carddisp.pl?gene=LOC100132214 /// RASA4 /// RASA4P","GeneCards")</f>
        <v>GeneCards</v>
      </c>
      <c r="D13804" s="1" t="str">
        <f>HYPERLINK("http://genome-euro.ucsc.edu/cgi-bin/hgTracks?position=208534_s_at","UCSC")</f>
        <v>UCSC</v>
      </c>
      <c r="E13804" s="1" t="str">
        <f>HYPERLINK("http://www.ncbi.nlm.nih.gov/gene/?term=LOC100132214 /// RASA4 /// RASA4P","NCBI")</f>
        <v>NCBI</v>
      </c>
      <c r="F13804">
        <v>0.5</v>
      </c>
      <c r="G13804">
        <v>0.61</v>
      </c>
      <c r="H13804" s="1" t="str">
        <f>HYPERLINK("http://www.weizmann.ac.il/complex/compphys/software/geview/data/figures/208534_s_at.png","Figure")</f>
        <v>Figure</v>
      </c>
      <c r="I13804">
        <v>1</v>
      </c>
      <c r="J13804">
        <v>1</v>
      </c>
      <c r="K13804">
        <v>0.92900000000000005</v>
      </c>
      <c r="L13804">
        <v>0.56000000000000005</v>
      </c>
      <c r="M13804">
        <v>0.92900000000000005</v>
      </c>
      <c r="N13804">
        <v>0.6</v>
      </c>
    </row>
    <row r="13805" spans="1:14" x14ac:dyDescent="0.25">
      <c r="A13805" t="s">
        <v>23519</v>
      </c>
      <c r="B13805" t="s">
        <v>16730</v>
      </c>
      <c r="C13805" s="1" t="str">
        <f>HYPERLINK("http://www.genecards.org/cgi-bin/carddisp.pl?gene=CC2D1A","GeneCards")</f>
        <v>GeneCards</v>
      </c>
      <c r="D13805" s="1" t="str">
        <f>HYPERLINK("http://genome-euro.ucsc.edu/cgi-bin/hgTracks?position=221888_at","UCSC")</f>
        <v>UCSC</v>
      </c>
      <c r="E13805" s="1" t="str">
        <f>HYPERLINK("http://www.ncbi.nlm.nih.gov/gene/?term=CC2D1A","NCBI")</f>
        <v>NCBI</v>
      </c>
      <c r="F13805">
        <v>0.5</v>
      </c>
      <c r="G13805">
        <v>0.61</v>
      </c>
      <c r="H13805" s="1" t="str">
        <f>HYPERLINK("http://www.weizmann.ac.il/complex/compphys/software/geview/data/figures/221888_at.png","Figure")</f>
        <v>Figure</v>
      </c>
      <c r="I13805">
        <v>0.96499999999999997</v>
      </c>
      <c r="J13805">
        <v>0.96</v>
      </c>
      <c r="K13805">
        <v>1.1100000000000001</v>
      </c>
      <c r="L13805">
        <v>0.66</v>
      </c>
      <c r="M13805">
        <v>1.1499999999999999</v>
      </c>
      <c r="N13805">
        <v>0.52</v>
      </c>
    </row>
    <row r="13806" spans="1:14" x14ac:dyDescent="0.25">
      <c r="A13806" t="s">
        <v>23520</v>
      </c>
      <c r="B13806" t="s">
        <v>23521</v>
      </c>
      <c r="C13806" s="1" t="str">
        <f>HYPERLINK("http://www.genecards.org/cgi-bin/carddisp.pl?gene=KCNJ9","GeneCards")</f>
        <v>GeneCards</v>
      </c>
      <c r="D13806" s="1" t="str">
        <f>HYPERLINK("http://genome-euro.ucsc.edu/cgi-bin/hgTracks?position=207527_at","UCSC")</f>
        <v>UCSC</v>
      </c>
      <c r="E13806" s="1" t="str">
        <f>HYPERLINK("http://www.ncbi.nlm.nih.gov/gene/?term=KCNJ9","NCBI")</f>
        <v>NCBI</v>
      </c>
      <c r="F13806">
        <v>0.5</v>
      </c>
      <c r="G13806">
        <v>0.61</v>
      </c>
      <c r="H13806" s="1" t="str">
        <f>HYPERLINK("http://www.weizmann.ac.il/complex/compphys/software/geview/data/figures/207527_at.png","Figure")</f>
        <v>Figure</v>
      </c>
      <c r="I13806">
        <v>1.05</v>
      </c>
      <c r="J13806">
        <v>0.5</v>
      </c>
      <c r="K13806">
        <v>1.04</v>
      </c>
      <c r="L13806">
        <v>0.63</v>
      </c>
      <c r="M13806">
        <v>0.98599999999999999</v>
      </c>
      <c r="N13806">
        <v>0.93</v>
      </c>
    </row>
    <row r="13807" spans="1:14" x14ac:dyDescent="0.25">
      <c r="A13807" t="s">
        <v>23522</v>
      </c>
      <c r="B13807" t="s">
        <v>23523</v>
      </c>
      <c r="C13807" s="1" t="str">
        <f>HYPERLINK("http://www.genecards.org/cgi-bin/carddisp.pl?gene=PLAG1","GeneCards")</f>
        <v>GeneCards</v>
      </c>
      <c r="D13807" s="1" t="str">
        <f>HYPERLINK("http://genome-euro.ucsc.edu/cgi-bin/hgTracks?position=205372_at","UCSC")</f>
        <v>UCSC</v>
      </c>
      <c r="E13807" s="1" t="str">
        <f>HYPERLINK("http://www.ncbi.nlm.nih.gov/gene/?term=PLAG1","NCBI")</f>
        <v>NCBI</v>
      </c>
      <c r="F13807">
        <v>0.5</v>
      </c>
      <c r="G13807">
        <v>0.61</v>
      </c>
      <c r="H13807" s="1" t="str">
        <f>HYPERLINK("http://www.weizmann.ac.il/complex/compphys/software/geview/data/figures/205372_at.png","Figure")</f>
        <v>Figure</v>
      </c>
      <c r="I13807">
        <v>0.92300000000000004</v>
      </c>
      <c r="J13807">
        <v>0.91</v>
      </c>
      <c r="K13807">
        <v>0.82</v>
      </c>
      <c r="L13807">
        <v>0.48</v>
      </c>
      <c r="M13807">
        <v>0.88800000000000001</v>
      </c>
      <c r="N13807">
        <v>0.79</v>
      </c>
    </row>
    <row r="13808" spans="1:14" x14ac:dyDescent="0.25">
      <c r="A13808" t="s">
        <v>23524</v>
      </c>
      <c r="B13808" t="s">
        <v>11193</v>
      </c>
      <c r="C13808" s="1" t="str">
        <f>HYPERLINK("http://www.genecards.org/cgi-bin/carddisp.pl?gene=SIM2","GeneCards")</f>
        <v>GeneCards</v>
      </c>
      <c r="D13808" s="1" t="str">
        <f>HYPERLINK("http://genome-euro.ucsc.edu/cgi-bin/hgTracks?position=208157_at","UCSC")</f>
        <v>UCSC</v>
      </c>
      <c r="E13808" s="1" t="str">
        <f>HYPERLINK("http://www.ncbi.nlm.nih.gov/gene/?term=SIM2","NCBI")</f>
        <v>NCBI</v>
      </c>
      <c r="F13808">
        <v>0.5</v>
      </c>
      <c r="G13808">
        <v>0.61</v>
      </c>
      <c r="H13808" s="1" t="str">
        <f>HYPERLINK("http://www.weizmann.ac.il/complex/compphys/software/geview/data/figures/208157_at.png","Figure")</f>
        <v>Figure</v>
      </c>
      <c r="I13808">
        <v>1.02</v>
      </c>
      <c r="J13808">
        <v>0.96</v>
      </c>
      <c r="K13808">
        <v>0.94299999999999995</v>
      </c>
      <c r="L13808">
        <v>0.66</v>
      </c>
      <c r="M13808">
        <v>0.92500000000000004</v>
      </c>
      <c r="N13808">
        <v>0.53</v>
      </c>
    </row>
    <row r="13809" spans="1:14" x14ac:dyDescent="0.25">
      <c r="A13809" t="s">
        <v>23525</v>
      </c>
      <c r="B13809" t="s">
        <v>15399</v>
      </c>
      <c r="C13809" s="1" t="str">
        <f>HYPERLINK("http://www.genecards.org/cgi-bin/carddisp.pl?gene=ZFR","GeneCards")</f>
        <v>GeneCards</v>
      </c>
      <c r="D13809" s="1" t="str">
        <f>HYPERLINK("http://genome-euro.ucsc.edu/cgi-bin/hgTracks?position=201857_at","UCSC")</f>
        <v>UCSC</v>
      </c>
      <c r="E13809" s="1" t="str">
        <f>HYPERLINK("http://www.ncbi.nlm.nih.gov/gene/?term=ZFR","NCBI")</f>
        <v>NCBI</v>
      </c>
      <c r="F13809">
        <v>0.5</v>
      </c>
      <c r="G13809">
        <v>0.61</v>
      </c>
      <c r="H13809" s="1" t="str">
        <f>HYPERLINK("http://www.weizmann.ac.il/complex/compphys/software/geview/data/figures/201857_at.png","Figure")</f>
        <v>Figure</v>
      </c>
      <c r="I13809">
        <v>0.85799999999999998</v>
      </c>
      <c r="J13809">
        <v>0.63</v>
      </c>
      <c r="K13809">
        <v>0.84899999999999998</v>
      </c>
      <c r="L13809">
        <v>0.51</v>
      </c>
      <c r="M13809">
        <v>0.98899999999999999</v>
      </c>
      <c r="N13809">
        <v>1</v>
      </c>
    </row>
    <row r="13810" spans="1:14" x14ac:dyDescent="0.25">
      <c r="A13810" t="s">
        <v>23526</v>
      </c>
      <c r="B13810" t="s">
        <v>12149</v>
      </c>
      <c r="C13810" s="1" t="str">
        <f>HYPERLINK("http://www.genecards.org/cgi-bin/carddisp.pl?gene=TCF4","GeneCards")</f>
        <v>GeneCards</v>
      </c>
      <c r="D13810" s="1" t="str">
        <f>HYPERLINK("http://genome-euro.ucsc.edu/cgi-bin/hgTracks?position=212387_at","UCSC")</f>
        <v>UCSC</v>
      </c>
      <c r="E13810" s="1" t="str">
        <f>HYPERLINK("http://www.ncbi.nlm.nih.gov/gene/?term=TCF4","NCBI")</f>
        <v>NCBI</v>
      </c>
      <c r="F13810">
        <v>0.5</v>
      </c>
      <c r="G13810">
        <v>0.61</v>
      </c>
      <c r="H13810" s="1" t="str">
        <f>HYPERLINK("http://www.weizmann.ac.il/complex/compphys/software/geview/data/figures/212387_at.png","Figure")</f>
        <v>Figure</v>
      </c>
      <c r="I13810">
        <v>1.28</v>
      </c>
      <c r="J13810">
        <v>0.52</v>
      </c>
      <c r="K13810">
        <v>1.21</v>
      </c>
      <c r="L13810">
        <v>0.6</v>
      </c>
      <c r="M13810">
        <v>0.94599999999999995</v>
      </c>
      <c r="N13810">
        <v>0.96</v>
      </c>
    </row>
    <row r="13811" spans="1:14" x14ac:dyDescent="0.25">
      <c r="A13811" t="s">
        <v>23527</v>
      </c>
      <c r="B13811" t="s">
        <v>23528</v>
      </c>
      <c r="C13811" s="1" t="str">
        <f>HYPERLINK("http://www.genecards.org/cgi-bin/carddisp.pl?gene=GIMAP4","GeneCards")</f>
        <v>GeneCards</v>
      </c>
      <c r="D13811" s="1" t="str">
        <f>HYPERLINK("http://genome-euro.ucsc.edu/cgi-bin/hgTracks?position=219243_at","UCSC")</f>
        <v>UCSC</v>
      </c>
      <c r="E13811" s="1" t="str">
        <f>HYPERLINK("http://www.ncbi.nlm.nih.gov/gene/?term=GIMAP4","NCBI")</f>
        <v>NCBI</v>
      </c>
      <c r="F13811">
        <v>0.5</v>
      </c>
      <c r="G13811">
        <v>0.61</v>
      </c>
      <c r="H13811" s="1" t="str">
        <f>HYPERLINK("http://www.weizmann.ac.il/complex/compphys/software/geview/data/figures/219243_at.png","Figure")</f>
        <v>Figure</v>
      </c>
      <c r="I13811">
        <v>0.79600000000000004</v>
      </c>
      <c r="J13811">
        <v>0.5</v>
      </c>
      <c r="K13811">
        <v>0.85499999999999998</v>
      </c>
      <c r="L13811">
        <v>0.65</v>
      </c>
      <c r="M13811">
        <v>1.07</v>
      </c>
      <c r="N13811">
        <v>0.92</v>
      </c>
    </row>
    <row r="13812" spans="1:14" x14ac:dyDescent="0.25">
      <c r="A13812" t="s">
        <v>23529</v>
      </c>
      <c r="B13812" t="s">
        <v>2978</v>
      </c>
      <c r="C13812" s="1" t="str">
        <f>HYPERLINK("http://www.genecards.org/cgi-bin/carddisp.pl?gene=CD40","GeneCards")</f>
        <v>GeneCards</v>
      </c>
      <c r="D13812" s="1" t="str">
        <f>HYPERLINK("http://genome-euro.ucsc.edu/cgi-bin/hgTracks?position=205153_s_at","UCSC")</f>
        <v>UCSC</v>
      </c>
      <c r="E13812" s="1" t="str">
        <f>HYPERLINK("http://www.ncbi.nlm.nih.gov/gene/?term=CD40","NCBI")</f>
        <v>NCBI</v>
      </c>
      <c r="F13812">
        <v>0.5</v>
      </c>
      <c r="G13812">
        <v>0.61</v>
      </c>
      <c r="H13812" s="1" t="str">
        <f>HYPERLINK("http://www.weizmann.ac.il/complex/compphys/software/geview/data/figures/205153_s_at.png","Figure")</f>
        <v>Figure</v>
      </c>
      <c r="I13812">
        <v>1</v>
      </c>
      <c r="J13812">
        <v>1</v>
      </c>
      <c r="K13812">
        <v>0.97599999999999998</v>
      </c>
      <c r="L13812">
        <v>0.56000000000000005</v>
      </c>
      <c r="M13812">
        <v>0.97599999999999998</v>
      </c>
      <c r="N13812">
        <v>0.6</v>
      </c>
    </row>
    <row r="13813" spans="1:14" x14ac:dyDescent="0.25">
      <c r="A13813" t="s">
        <v>23530</v>
      </c>
      <c r="B13813" t="s">
        <v>23531</v>
      </c>
      <c r="C13813" s="1" t="str">
        <f>HYPERLINK("http://www.genecards.org/cgi-bin/carddisp.pl?gene=HIST1H1A","GeneCards")</f>
        <v>GeneCards</v>
      </c>
      <c r="D13813" s="1" t="str">
        <f>HYPERLINK("http://genome-euro.ucsc.edu/cgi-bin/hgTracks?position=208484_at","UCSC")</f>
        <v>UCSC</v>
      </c>
      <c r="E13813" s="1" t="str">
        <f>HYPERLINK("http://www.ncbi.nlm.nih.gov/gene/?term=HIST1H1A","NCBI")</f>
        <v>NCBI</v>
      </c>
      <c r="F13813">
        <v>0.5</v>
      </c>
      <c r="G13813">
        <v>0.61</v>
      </c>
      <c r="H13813" s="1" t="str">
        <f>HYPERLINK("http://www.weizmann.ac.il/complex/compphys/software/geview/data/figures/208484_at.png","Figure")</f>
        <v>Figure</v>
      </c>
      <c r="I13813">
        <v>1.05</v>
      </c>
      <c r="J13813">
        <v>0.51</v>
      </c>
      <c r="K13813">
        <v>1.01</v>
      </c>
      <c r="L13813">
        <v>0.97</v>
      </c>
      <c r="M13813">
        <v>0.95899999999999996</v>
      </c>
      <c r="N13813">
        <v>0.59</v>
      </c>
    </row>
    <row r="13814" spans="1:14" x14ac:dyDescent="0.25">
      <c r="A13814" t="s">
        <v>23532</v>
      </c>
      <c r="B13814" t="s">
        <v>15434</v>
      </c>
      <c r="C13814" s="1" t="str">
        <f>HYPERLINK("http://www.genecards.org/cgi-bin/carddisp.pl?gene=CDC2L6","GeneCards")</f>
        <v>GeneCards</v>
      </c>
      <c r="D13814" s="1" t="str">
        <f>HYPERLINK("http://genome-euro.ucsc.edu/cgi-bin/hgTracks?position=212897_at","UCSC")</f>
        <v>UCSC</v>
      </c>
      <c r="E13814" s="1" t="str">
        <f>HYPERLINK("http://www.ncbi.nlm.nih.gov/gene/?term=CDC2L6","NCBI")</f>
        <v>NCBI</v>
      </c>
      <c r="F13814">
        <v>0.5</v>
      </c>
      <c r="G13814">
        <v>0.61</v>
      </c>
      <c r="H13814" s="1" t="str">
        <f>HYPERLINK("http://www.weizmann.ac.il/complex/compphys/software/geview/data/figures/212897_at.png","Figure")</f>
        <v>Figure</v>
      </c>
      <c r="I13814">
        <v>1.1200000000000001</v>
      </c>
      <c r="J13814">
        <v>0.87</v>
      </c>
      <c r="K13814">
        <v>1.26</v>
      </c>
      <c r="L13814">
        <v>0.47</v>
      </c>
      <c r="M13814">
        <v>1.1299999999999999</v>
      </c>
      <c r="N13814">
        <v>0.83</v>
      </c>
    </row>
    <row r="13815" spans="1:14" x14ac:dyDescent="0.25">
      <c r="A13815" t="s">
        <v>23533</v>
      </c>
      <c r="B13815" t="s">
        <v>23534</v>
      </c>
      <c r="C13815" s="1" t="str">
        <f>HYPERLINK("http://www.genecards.org/cgi-bin/carddisp.pl?gene=EDN3","GeneCards")</f>
        <v>GeneCards</v>
      </c>
      <c r="D13815" s="1" t="str">
        <f>HYPERLINK("http://genome-euro.ucsc.edu/cgi-bin/hgTracks?position=217154_s_at","UCSC")</f>
        <v>UCSC</v>
      </c>
      <c r="E13815" s="1" t="str">
        <f>HYPERLINK("http://www.ncbi.nlm.nih.gov/gene/?term=EDN3","NCBI")</f>
        <v>NCBI</v>
      </c>
      <c r="F13815">
        <v>0.5</v>
      </c>
      <c r="G13815">
        <v>0.61</v>
      </c>
      <c r="H13815" s="1" t="str">
        <f>HYPERLINK("http://www.weizmann.ac.il/complex/compphys/software/geview/data/figures/217154_s_at.png","Figure")</f>
        <v>Figure</v>
      </c>
      <c r="I13815">
        <v>1.05</v>
      </c>
      <c r="J13815">
        <v>0.5</v>
      </c>
      <c r="K13815">
        <v>1.01</v>
      </c>
      <c r="L13815">
        <v>0.96</v>
      </c>
      <c r="M13815">
        <v>0.96</v>
      </c>
      <c r="N13815">
        <v>0.6</v>
      </c>
    </row>
    <row r="13816" spans="1:14" x14ac:dyDescent="0.25">
      <c r="A13816" t="s">
        <v>23535</v>
      </c>
      <c r="B13816" t="s">
        <v>23536</v>
      </c>
      <c r="C13816" s="1" t="str">
        <f>HYPERLINK("http://www.genecards.org/cgi-bin/carddisp.pl?gene=BMP5","GeneCards")</f>
        <v>GeneCards</v>
      </c>
      <c r="D13816" s="1" t="str">
        <f>HYPERLINK("http://genome-euro.ucsc.edu/cgi-bin/hgTracks?position=205431_s_at","UCSC")</f>
        <v>UCSC</v>
      </c>
      <c r="E13816" s="1" t="str">
        <f>HYPERLINK("http://www.ncbi.nlm.nih.gov/gene/?term=BMP5","NCBI")</f>
        <v>NCBI</v>
      </c>
      <c r="F13816">
        <v>0.5</v>
      </c>
      <c r="G13816">
        <v>0.61</v>
      </c>
      <c r="H13816" s="1" t="str">
        <f>HYPERLINK("http://www.weizmann.ac.il/complex/compphys/software/geview/data/figures/205431_s_at.png","Figure")</f>
        <v>Figure</v>
      </c>
      <c r="I13816">
        <v>1.06</v>
      </c>
      <c r="J13816">
        <v>0.65</v>
      </c>
      <c r="K13816">
        <v>0.98699999999999999</v>
      </c>
      <c r="L13816">
        <v>0.97</v>
      </c>
      <c r="M13816">
        <v>0.93</v>
      </c>
      <c r="N13816">
        <v>0.48</v>
      </c>
    </row>
    <row r="13817" spans="1:14" x14ac:dyDescent="0.25">
      <c r="A13817" t="s">
        <v>23537</v>
      </c>
      <c r="B13817" t="s">
        <v>6148</v>
      </c>
      <c r="C13817" s="1" t="str">
        <f>HYPERLINK("http://www.genecards.org/cgi-bin/carddisp.pl?gene=GTPBP1","GeneCards")</f>
        <v>GeneCards</v>
      </c>
      <c r="D13817" s="1" t="str">
        <f>HYPERLINK("http://genome-euro.ucsc.edu/cgi-bin/hgTracks?position=205274_at","UCSC")</f>
        <v>UCSC</v>
      </c>
      <c r="E13817" s="1" t="str">
        <f>HYPERLINK("http://www.ncbi.nlm.nih.gov/gene/?term=GTPBP1","NCBI")</f>
        <v>NCBI</v>
      </c>
      <c r="F13817">
        <v>0.5</v>
      </c>
      <c r="G13817">
        <v>0.61</v>
      </c>
      <c r="H13817" s="1" t="str">
        <f>HYPERLINK("http://www.weizmann.ac.il/complex/compphys/software/geview/data/figures/205274_at.png","Figure")</f>
        <v>Figure</v>
      </c>
      <c r="I13817">
        <v>1.05</v>
      </c>
      <c r="J13817">
        <v>0.83</v>
      </c>
      <c r="K13817">
        <v>0.95299999999999996</v>
      </c>
      <c r="L13817">
        <v>0.81</v>
      </c>
      <c r="M13817">
        <v>0.90400000000000003</v>
      </c>
      <c r="N13817">
        <v>0.47</v>
      </c>
    </row>
    <row r="13818" spans="1:14" x14ac:dyDescent="0.25">
      <c r="A13818" t="s">
        <v>23538</v>
      </c>
      <c r="B13818" t="s">
        <v>10896</v>
      </c>
      <c r="C13818" s="1" t="str">
        <f>HYPERLINK("http://www.genecards.org/cgi-bin/carddisp.pl?gene=KHSRP","GeneCards")</f>
        <v>GeneCards</v>
      </c>
      <c r="D13818" s="1" t="str">
        <f>HYPERLINK("http://genome-euro.ucsc.edu/cgi-bin/hgTracks?position=212303_x_at","UCSC")</f>
        <v>UCSC</v>
      </c>
      <c r="E13818" s="1" t="str">
        <f>HYPERLINK("http://www.ncbi.nlm.nih.gov/gene/?term=KHSRP","NCBI")</f>
        <v>NCBI</v>
      </c>
      <c r="F13818">
        <v>0.5</v>
      </c>
      <c r="G13818">
        <v>0.61</v>
      </c>
      <c r="H13818" s="1" t="str">
        <f>HYPERLINK("http://www.weizmann.ac.il/complex/compphys/software/geview/data/figures/212303_x_at.png","Figure")</f>
        <v>Figure</v>
      </c>
      <c r="I13818">
        <v>1.03</v>
      </c>
      <c r="J13818">
        <v>0.94</v>
      </c>
      <c r="K13818">
        <v>0.94</v>
      </c>
      <c r="L13818">
        <v>0.69</v>
      </c>
      <c r="M13818">
        <v>0.91400000000000003</v>
      </c>
      <c r="N13818">
        <v>0.51</v>
      </c>
    </row>
    <row r="13819" spans="1:14" x14ac:dyDescent="0.25">
      <c r="A13819" t="s">
        <v>23539</v>
      </c>
      <c r="B13819" t="s">
        <v>23540</v>
      </c>
      <c r="C13819" s="1" t="str">
        <f>HYPERLINK("http://www.genecards.org/cgi-bin/carddisp.pl?gene=GRAMD1B","GeneCards")</f>
        <v>GeneCards</v>
      </c>
      <c r="D13819" s="1" t="str">
        <f>HYPERLINK("http://genome-euro.ucsc.edu/cgi-bin/hgTracks?position=212906_at","UCSC")</f>
        <v>UCSC</v>
      </c>
      <c r="E13819" s="1" t="str">
        <f>HYPERLINK("http://www.ncbi.nlm.nih.gov/gene/?term=GRAMD1B","NCBI")</f>
        <v>NCBI</v>
      </c>
      <c r="F13819">
        <v>0.5</v>
      </c>
      <c r="G13819">
        <v>0.61</v>
      </c>
      <c r="H13819" s="1" t="str">
        <f>HYPERLINK("http://www.weizmann.ac.il/complex/compphys/software/geview/data/figures/212906_at.png","Figure")</f>
        <v>Figure</v>
      </c>
      <c r="I13819">
        <v>1.2</v>
      </c>
      <c r="J13819">
        <v>0.52</v>
      </c>
      <c r="K13819">
        <v>1.03</v>
      </c>
      <c r="L13819">
        <v>0.98</v>
      </c>
      <c r="M13819">
        <v>0.85499999999999998</v>
      </c>
      <c r="N13819">
        <v>0.56999999999999995</v>
      </c>
    </row>
    <row r="13820" spans="1:14" x14ac:dyDescent="0.25">
      <c r="A13820" t="s">
        <v>23541</v>
      </c>
      <c r="B13820" t="s">
        <v>15290</v>
      </c>
      <c r="C13820" s="1" t="str">
        <f>HYPERLINK("http://www.genecards.org/cgi-bin/carddisp.pl?gene=KIAA0368","GeneCards")</f>
        <v>GeneCards</v>
      </c>
      <c r="D13820" s="1" t="str">
        <f>HYPERLINK("http://genome-euro.ucsc.edu/cgi-bin/hgTracks?position=212427_at","UCSC")</f>
        <v>UCSC</v>
      </c>
      <c r="E13820" s="1" t="str">
        <f>HYPERLINK("http://www.ncbi.nlm.nih.gov/gene/?term=KIAA0368","NCBI")</f>
        <v>NCBI</v>
      </c>
      <c r="F13820">
        <v>0.5</v>
      </c>
      <c r="G13820">
        <v>0.61</v>
      </c>
      <c r="H13820" s="1" t="str">
        <f>HYPERLINK("http://www.weizmann.ac.il/complex/compphys/software/geview/data/figures/212427_at.png","Figure")</f>
        <v>Figure</v>
      </c>
      <c r="I13820">
        <v>0.98599999999999999</v>
      </c>
      <c r="J13820">
        <v>0.47</v>
      </c>
      <c r="K13820">
        <v>0.99399999999999999</v>
      </c>
      <c r="L13820">
        <v>0.83</v>
      </c>
      <c r="M13820">
        <v>1.01</v>
      </c>
      <c r="N13820">
        <v>0.74</v>
      </c>
    </row>
    <row r="13821" spans="1:14" x14ac:dyDescent="0.25">
      <c r="A13821" t="s">
        <v>23542</v>
      </c>
      <c r="B13821" t="s">
        <v>18009</v>
      </c>
      <c r="C13821" s="1" t="str">
        <f>HYPERLINK("http://www.genecards.org/cgi-bin/carddisp.pl?gene=ABCD1","GeneCards")</f>
        <v>GeneCards</v>
      </c>
      <c r="D13821" s="1" t="str">
        <f>HYPERLINK("http://genome-euro.ucsc.edu/cgi-bin/hgTracks?position=216418_at","UCSC")</f>
        <v>UCSC</v>
      </c>
      <c r="E13821" s="1" t="str">
        <f>HYPERLINK("http://www.ncbi.nlm.nih.gov/gene/?term=ABCD1","NCBI")</f>
        <v>NCBI</v>
      </c>
      <c r="F13821">
        <v>0.5</v>
      </c>
      <c r="G13821">
        <v>0.61</v>
      </c>
      <c r="H13821" s="1" t="str">
        <f>HYPERLINK("http://www.weizmann.ac.il/complex/compphys/software/geview/data/figures/216418_at.png","Figure")</f>
        <v>Figure</v>
      </c>
      <c r="I13821">
        <v>0.99299999999999999</v>
      </c>
      <c r="J13821">
        <v>0.47</v>
      </c>
      <c r="K13821">
        <v>0.997</v>
      </c>
      <c r="L13821">
        <v>0.83</v>
      </c>
      <c r="M13821">
        <v>1</v>
      </c>
      <c r="N13821">
        <v>0.74</v>
      </c>
    </row>
    <row r="13822" spans="1:14" x14ac:dyDescent="0.25">
      <c r="A13822" t="s">
        <v>23543</v>
      </c>
      <c r="B13822" t="s">
        <v>5831</v>
      </c>
      <c r="C13822" s="1" t="str">
        <f>HYPERLINK("http://www.genecards.org/cgi-bin/carddisp.pl?gene=SLC1A7","GeneCards")</f>
        <v>GeneCards</v>
      </c>
      <c r="D13822" s="1" t="str">
        <f>HYPERLINK("http://genome-euro.ucsc.edu/cgi-bin/hgTracks?position=210923_at","UCSC")</f>
        <v>UCSC</v>
      </c>
      <c r="E13822" s="1" t="str">
        <f>HYPERLINK("http://www.ncbi.nlm.nih.gov/gene/?term=SLC1A7","NCBI")</f>
        <v>NCBI</v>
      </c>
      <c r="F13822">
        <v>0.5</v>
      </c>
      <c r="G13822">
        <v>0.61</v>
      </c>
      <c r="H13822" s="1" t="str">
        <f>HYPERLINK("http://www.weizmann.ac.il/complex/compphys/software/geview/data/figures/210923_at.png","Figure")</f>
        <v>Figure</v>
      </c>
      <c r="I13822">
        <v>1.08</v>
      </c>
      <c r="J13822">
        <v>0.48</v>
      </c>
      <c r="K13822">
        <v>1.05</v>
      </c>
      <c r="L13822">
        <v>0.7</v>
      </c>
      <c r="M13822">
        <v>0.97</v>
      </c>
      <c r="N13822">
        <v>0.87</v>
      </c>
    </row>
    <row r="13823" spans="1:14" x14ac:dyDescent="0.25">
      <c r="A13823" t="s">
        <v>23544</v>
      </c>
      <c r="B13823" t="s">
        <v>23545</v>
      </c>
      <c r="C13823" s="1" t="str">
        <f>HYPERLINK("http://www.genecards.org/cgi-bin/carddisp.pl?gene=NFASC","GeneCards")</f>
        <v>GeneCards</v>
      </c>
      <c r="D13823" s="1" t="str">
        <f>HYPERLINK("http://genome-euro.ucsc.edu/cgi-bin/hgTracks?position=214799_at","UCSC")</f>
        <v>UCSC</v>
      </c>
      <c r="E13823" s="1" t="str">
        <f>HYPERLINK("http://www.ncbi.nlm.nih.gov/gene/?term=NFASC","NCBI")</f>
        <v>NCBI</v>
      </c>
      <c r="F13823">
        <v>0.5</v>
      </c>
      <c r="G13823">
        <v>0.61</v>
      </c>
      <c r="H13823" s="1" t="str">
        <f>HYPERLINK("http://www.weizmann.ac.il/complex/compphys/software/geview/data/figures/214799_at.png","Figure")</f>
        <v>Figure</v>
      </c>
      <c r="I13823">
        <v>1.1000000000000001</v>
      </c>
      <c r="J13823">
        <v>0.47</v>
      </c>
      <c r="K13823">
        <v>1.04</v>
      </c>
      <c r="L13823">
        <v>0.84</v>
      </c>
      <c r="M13823">
        <v>0.94299999999999995</v>
      </c>
      <c r="N13823">
        <v>0.73</v>
      </c>
    </row>
    <row r="13824" spans="1:14" x14ac:dyDescent="0.25">
      <c r="A13824" t="s">
        <v>23546</v>
      </c>
      <c r="B13824" t="s">
        <v>23547</v>
      </c>
      <c r="C13824" s="1" t="str">
        <f>HYPERLINK("http://www.genecards.org/cgi-bin/carddisp.pl?gene=RPL26L1","GeneCards")</f>
        <v>GeneCards</v>
      </c>
      <c r="D13824" s="1" t="str">
        <f>HYPERLINK("http://genome-euro.ucsc.edu/cgi-bin/hgTracks?position=218830_at","UCSC")</f>
        <v>UCSC</v>
      </c>
      <c r="E13824" s="1" t="str">
        <f>HYPERLINK("http://www.ncbi.nlm.nih.gov/gene/?term=RPL26L1","NCBI")</f>
        <v>NCBI</v>
      </c>
      <c r="F13824">
        <v>0.5</v>
      </c>
      <c r="G13824">
        <v>0.61</v>
      </c>
      <c r="H13824" s="1" t="str">
        <f>HYPERLINK("http://www.weizmann.ac.il/complex/compphys/software/geview/data/figures/218830_at.png","Figure")</f>
        <v>Figure</v>
      </c>
      <c r="I13824">
        <v>0.86699999999999999</v>
      </c>
      <c r="J13824">
        <v>0.65</v>
      </c>
      <c r="K13824">
        <v>1.03</v>
      </c>
      <c r="L13824">
        <v>0.97</v>
      </c>
      <c r="M13824">
        <v>1.19</v>
      </c>
      <c r="N13824">
        <v>0.48</v>
      </c>
    </row>
    <row r="13825" spans="1:14" x14ac:dyDescent="0.25">
      <c r="A13825" t="s">
        <v>23548</v>
      </c>
      <c r="B13825" t="s">
        <v>20085</v>
      </c>
      <c r="C13825" s="1" t="str">
        <f>HYPERLINK("http://www.genecards.org/cgi-bin/carddisp.pl?gene=CD24","GeneCards")</f>
        <v>GeneCards</v>
      </c>
      <c r="D13825" s="1" t="str">
        <f>HYPERLINK("http://genome-euro.ucsc.edu/cgi-bin/hgTracks?position=208651_x_at","UCSC")</f>
        <v>UCSC</v>
      </c>
      <c r="E13825" s="1" t="str">
        <f>HYPERLINK("http://www.ncbi.nlm.nih.gov/gene/?term=CD24","NCBI")</f>
        <v>NCBI</v>
      </c>
      <c r="F13825">
        <v>0.5</v>
      </c>
      <c r="G13825">
        <v>0.62</v>
      </c>
      <c r="H13825" s="1" t="str">
        <f>HYPERLINK("http://www.weizmann.ac.il/complex/compphys/software/geview/data/figures/208651_x_at.png","Figure")</f>
        <v>Figure</v>
      </c>
      <c r="I13825">
        <v>1.0900000000000001</v>
      </c>
      <c r="J13825">
        <v>0.95</v>
      </c>
      <c r="K13825">
        <v>1.33</v>
      </c>
      <c r="L13825">
        <v>0.5</v>
      </c>
      <c r="M13825">
        <v>1.22</v>
      </c>
      <c r="N13825">
        <v>0.73</v>
      </c>
    </row>
    <row r="13826" spans="1:14" x14ac:dyDescent="0.25">
      <c r="A13826" t="s">
        <v>23549</v>
      </c>
      <c r="B13826" t="s">
        <v>23550</v>
      </c>
      <c r="C13826" s="1" t="str">
        <f>HYPERLINK("http://www.genecards.org/cgi-bin/carddisp.pl?gene=MAP3K14","GeneCards")</f>
        <v>GeneCards</v>
      </c>
      <c r="D13826" s="1" t="str">
        <f>HYPERLINK("http://genome-euro.ucsc.edu/cgi-bin/hgTracks?position=205192_at","UCSC")</f>
        <v>UCSC</v>
      </c>
      <c r="E13826" s="1" t="str">
        <f>HYPERLINK("http://www.ncbi.nlm.nih.gov/gene/?term=MAP3K14","NCBI")</f>
        <v>NCBI</v>
      </c>
      <c r="F13826">
        <v>0.5</v>
      </c>
      <c r="G13826">
        <v>0.62</v>
      </c>
      <c r="H13826" s="1" t="str">
        <f>HYPERLINK("http://www.weizmann.ac.il/complex/compphys/software/geview/data/figures/205192_at.png","Figure")</f>
        <v>Figure</v>
      </c>
      <c r="I13826">
        <v>1.02</v>
      </c>
      <c r="J13826">
        <v>0.98</v>
      </c>
      <c r="K13826">
        <v>1.0900000000000001</v>
      </c>
      <c r="L13826">
        <v>0.52</v>
      </c>
      <c r="M13826">
        <v>1.07</v>
      </c>
      <c r="N13826">
        <v>0.68</v>
      </c>
    </row>
    <row r="13827" spans="1:14" x14ac:dyDescent="0.25">
      <c r="A13827" t="s">
        <v>23551</v>
      </c>
      <c r="B13827" t="s">
        <v>20079</v>
      </c>
      <c r="C13827" s="1" t="str">
        <f>HYPERLINK("http://www.genecards.org/cgi-bin/carddisp.pl?gene=PCGF1","GeneCards")</f>
        <v>GeneCards</v>
      </c>
      <c r="D13827" s="1" t="str">
        <f>HYPERLINK("http://genome-euro.ucsc.edu/cgi-bin/hgTracks?position=210023_s_at","UCSC")</f>
        <v>UCSC</v>
      </c>
      <c r="E13827" s="1" t="str">
        <f>HYPERLINK("http://www.ncbi.nlm.nih.gov/gene/?term=PCGF1","NCBI")</f>
        <v>NCBI</v>
      </c>
      <c r="F13827">
        <v>0.5</v>
      </c>
      <c r="G13827">
        <v>0.62</v>
      </c>
      <c r="H13827" s="1" t="str">
        <f>HYPERLINK("http://www.weizmann.ac.il/complex/compphys/software/geview/data/figures/210023_s_at.png","Figure")</f>
        <v>Figure</v>
      </c>
      <c r="I13827">
        <v>1.1100000000000001</v>
      </c>
      <c r="J13827">
        <v>0.62</v>
      </c>
      <c r="K13827">
        <v>0.98399999999999999</v>
      </c>
      <c r="L13827">
        <v>0.98</v>
      </c>
      <c r="M13827">
        <v>0.89</v>
      </c>
      <c r="N13827">
        <v>0.49</v>
      </c>
    </row>
    <row r="13828" spans="1:14" x14ac:dyDescent="0.25">
      <c r="A13828" t="s">
        <v>23552</v>
      </c>
      <c r="B13828" t="s">
        <v>23553</v>
      </c>
      <c r="C13828" s="1" t="str">
        <f>HYPERLINK("http://www.genecards.org/cgi-bin/carddisp.pl?gene=NDUFS7","GeneCards")</f>
        <v>GeneCards</v>
      </c>
      <c r="D13828" s="1" t="str">
        <f>HYPERLINK("http://genome-euro.ucsc.edu/cgi-bin/hgTracks?position=211752_s_at","UCSC")</f>
        <v>UCSC</v>
      </c>
      <c r="E13828" s="1" t="str">
        <f>HYPERLINK("http://www.ncbi.nlm.nih.gov/gene/?term=NDUFS7","NCBI")</f>
        <v>NCBI</v>
      </c>
      <c r="F13828">
        <v>0.5</v>
      </c>
      <c r="G13828">
        <v>0.62</v>
      </c>
      <c r="H13828" s="1" t="str">
        <f>HYPERLINK("http://www.weizmann.ac.il/complex/compphys/software/geview/data/figures/211752_s_at.png","Figure")</f>
        <v>Figure</v>
      </c>
      <c r="I13828">
        <v>0.85199999999999998</v>
      </c>
      <c r="J13828">
        <v>0.73</v>
      </c>
      <c r="K13828">
        <v>1.08</v>
      </c>
      <c r="L13828">
        <v>0.91</v>
      </c>
      <c r="M13828">
        <v>1.26</v>
      </c>
      <c r="N13828">
        <v>0.47</v>
      </c>
    </row>
    <row r="13829" spans="1:14" x14ac:dyDescent="0.25">
      <c r="A13829" t="s">
        <v>23554</v>
      </c>
      <c r="B13829" t="s">
        <v>23555</v>
      </c>
      <c r="C13829" s="1" t="str">
        <f>HYPERLINK("http://www.genecards.org/cgi-bin/carddisp.pl?gene=KIAA0467","GeneCards")</f>
        <v>GeneCards</v>
      </c>
      <c r="D13829" s="1" t="str">
        <f>HYPERLINK("http://genome-euro.ucsc.edu/cgi-bin/hgTracks?position=215364_s_at","UCSC")</f>
        <v>UCSC</v>
      </c>
      <c r="E13829" s="1" t="str">
        <f>HYPERLINK("http://www.ncbi.nlm.nih.gov/gene/?term=KIAA0467","NCBI")</f>
        <v>NCBI</v>
      </c>
      <c r="F13829">
        <v>0.5</v>
      </c>
      <c r="G13829">
        <v>0.62</v>
      </c>
      <c r="H13829" s="1" t="str">
        <f>HYPERLINK("http://www.weizmann.ac.il/complex/compphys/software/geview/data/figures/215364_s_at.png","Figure")</f>
        <v>Figure</v>
      </c>
      <c r="I13829">
        <v>0.91100000000000003</v>
      </c>
      <c r="J13829">
        <v>0.48</v>
      </c>
      <c r="K13829">
        <v>0.94499999999999995</v>
      </c>
      <c r="L13829">
        <v>0.69</v>
      </c>
      <c r="M13829">
        <v>1.04</v>
      </c>
      <c r="N13829">
        <v>0.88</v>
      </c>
    </row>
    <row r="13830" spans="1:14" x14ac:dyDescent="0.25">
      <c r="A13830" t="s">
        <v>23556</v>
      </c>
      <c r="B13830" t="s">
        <v>23557</v>
      </c>
      <c r="C13830" s="1" t="str">
        <f>HYPERLINK("http://www.genecards.org/cgi-bin/carddisp.pl?gene=IRX5","GeneCards")</f>
        <v>GeneCards</v>
      </c>
      <c r="D13830" s="1" t="str">
        <f>HYPERLINK("http://genome-euro.ucsc.edu/cgi-bin/hgTracks?position=210239_at","UCSC")</f>
        <v>UCSC</v>
      </c>
      <c r="E13830" s="1" t="str">
        <f>HYPERLINK("http://www.ncbi.nlm.nih.gov/gene/?term=IRX5","NCBI")</f>
        <v>NCBI</v>
      </c>
      <c r="F13830">
        <v>0.5</v>
      </c>
      <c r="G13830">
        <v>0.62</v>
      </c>
      <c r="H13830" s="1" t="str">
        <f>HYPERLINK("http://www.weizmann.ac.il/complex/compphys/software/geview/data/figures/210239_at.png","Figure")</f>
        <v>Figure</v>
      </c>
      <c r="I13830">
        <v>1</v>
      </c>
      <c r="J13830">
        <v>1</v>
      </c>
      <c r="K13830">
        <v>0.98699999999999999</v>
      </c>
      <c r="L13830">
        <v>0.56999999999999995</v>
      </c>
      <c r="M13830">
        <v>0.98699999999999999</v>
      </c>
      <c r="N13830">
        <v>0.61</v>
      </c>
    </row>
    <row r="13831" spans="1:14" x14ac:dyDescent="0.25">
      <c r="A13831" t="s">
        <v>23558</v>
      </c>
      <c r="B13831" t="s">
        <v>3641</v>
      </c>
      <c r="C13831" s="1" t="str">
        <f>HYPERLINK("http://www.genecards.org/cgi-bin/carddisp.pl?gene=SH2D1A","GeneCards")</f>
        <v>GeneCards</v>
      </c>
      <c r="D13831" s="1" t="str">
        <f>HYPERLINK("http://genome-euro.ucsc.edu/cgi-bin/hgTracks?position=211211_x_at","UCSC")</f>
        <v>UCSC</v>
      </c>
      <c r="E13831" s="1" t="str">
        <f>HYPERLINK("http://www.ncbi.nlm.nih.gov/gene/?term=SH2D1A","NCBI")</f>
        <v>NCBI</v>
      </c>
      <c r="F13831">
        <v>0.5</v>
      </c>
      <c r="G13831">
        <v>0.62</v>
      </c>
      <c r="H13831" s="1" t="str">
        <f>HYPERLINK("http://www.weizmann.ac.il/complex/compphys/software/geview/data/figures/211211_x_at.png","Figure")</f>
        <v>Figure</v>
      </c>
      <c r="I13831">
        <v>1.03</v>
      </c>
      <c r="J13831">
        <v>0.56000000000000005</v>
      </c>
      <c r="K13831">
        <v>1</v>
      </c>
      <c r="L13831">
        <v>1</v>
      </c>
      <c r="M13831">
        <v>0.96899999999999997</v>
      </c>
      <c r="N13831">
        <v>0.52</v>
      </c>
    </row>
    <row r="13832" spans="1:14" x14ac:dyDescent="0.25">
      <c r="A13832" t="s">
        <v>23559</v>
      </c>
      <c r="B13832" t="s">
        <v>23560</v>
      </c>
      <c r="C13832" s="1" t="str">
        <f>HYPERLINK("http://www.genecards.org/cgi-bin/carddisp.pl?gene=RPL4","GeneCards")</f>
        <v>GeneCards</v>
      </c>
      <c r="D13832" s="1" t="str">
        <f>HYPERLINK("http://genome-euro.ucsc.edu/cgi-bin/hgTracks?position=211710_x_at","UCSC")</f>
        <v>UCSC</v>
      </c>
      <c r="E13832" s="1" t="str">
        <f>HYPERLINK("http://www.ncbi.nlm.nih.gov/gene/?term=RPL4","NCBI")</f>
        <v>NCBI</v>
      </c>
      <c r="F13832">
        <v>0.5</v>
      </c>
      <c r="G13832">
        <v>0.62</v>
      </c>
      <c r="H13832" s="1" t="str">
        <f>HYPERLINK("http://www.weizmann.ac.il/complex/compphys/software/geview/data/figures/211710_x_at.png","Figure")</f>
        <v>Figure</v>
      </c>
      <c r="I13832">
        <v>1.1599999999999999</v>
      </c>
      <c r="J13832">
        <v>0.63</v>
      </c>
      <c r="K13832">
        <v>1.17</v>
      </c>
      <c r="L13832">
        <v>0.51</v>
      </c>
      <c r="M13832">
        <v>1.01</v>
      </c>
      <c r="N13832">
        <v>1</v>
      </c>
    </row>
    <row r="13833" spans="1:14" x14ac:dyDescent="0.25">
      <c r="A13833" t="s">
        <v>23561</v>
      </c>
      <c r="B13833" t="s">
        <v>8817</v>
      </c>
      <c r="C13833" s="1" t="str">
        <f>HYPERLINK("http://www.genecards.org/cgi-bin/carddisp.pl?gene=CUGBP2","GeneCards")</f>
        <v>GeneCards</v>
      </c>
      <c r="D13833" s="1" t="str">
        <f>HYPERLINK("http://genome-euro.ucsc.edu/cgi-bin/hgTracks?position=202156_s_at","UCSC")</f>
        <v>UCSC</v>
      </c>
      <c r="E13833" s="1" t="str">
        <f>HYPERLINK("http://www.ncbi.nlm.nih.gov/gene/?term=CUGBP2","NCBI")</f>
        <v>NCBI</v>
      </c>
      <c r="F13833">
        <v>0.5</v>
      </c>
      <c r="G13833">
        <v>0.62</v>
      </c>
      <c r="H13833" s="1" t="str">
        <f>HYPERLINK("http://www.weizmann.ac.il/complex/compphys/software/geview/data/figures/202156_s_at.png","Figure")</f>
        <v>Figure</v>
      </c>
      <c r="I13833">
        <v>0.83199999999999996</v>
      </c>
      <c r="J13833">
        <v>0.55000000000000004</v>
      </c>
      <c r="K13833">
        <v>0.99</v>
      </c>
      <c r="L13833">
        <v>1</v>
      </c>
      <c r="M13833">
        <v>1.19</v>
      </c>
      <c r="N13833">
        <v>0.54</v>
      </c>
    </row>
    <row r="13834" spans="1:14" x14ac:dyDescent="0.25">
      <c r="A13834" t="s">
        <v>23562</v>
      </c>
      <c r="B13834" t="s">
        <v>23563</v>
      </c>
      <c r="C13834" s="1" t="str">
        <f>HYPERLINK("http://www.genecards.org/cgi-bin/carddisp.pl?gene=FAM50A","GeneCards")</f>
        <v>GeneCards</v>
      </c>
      <c r="D13834" s="1" t="str">
        <f>HYPERLINK("http://genome-euro.ucsc.edu/cgi-bin/hgTracks?position=203262_s_at","UCSC")</f>
        <v>UCSC</v>
      </c>
      <c r="E13834" s="1" t="str">
        <f>HYPERLINK("http://www.ncbi.nlm.nih.gov/gene/?term=FAM50A","NCBI")</f>
        <v>NCBI</v>
      </c>
      <c r="F13834">
        <v>0.5</v>
      </c>
      <c r="G13834">
        <v>0.62</v>
      </c>
      <c r="H13834" s="1" t="str">
        <f>HYPERLINK("http://www.weizmann.ac.il/complex/compphys/software/geview/data/figures/203262_s_at.png","Figure")</f>
        <v>Figure</v>
      </c>
      <c r="I13834">
        <v>0.77200000000000002</v>
      </c>
      <c r="J13834">
        <v>0.48</v>
      </c>
      <c r="K13834">
        <v>0.85399999999999998</v>
      </c>
      <c r="L13834">
        <v>0.7</v>
      </c>
      <c r="M13834">
        <v>1.1100000000000001</v>
      </c>
      <c r="N13834">
        <v>0.88</v>
      </c>
    </row>
    <row r="13835" spans="1:14" x14ac:dyDescent="0.25">
      <c r="A13835" t="s">
        <v>23564</v>
      </c>
      <c r="B13835" t="s">
        <v>14730</v>
      </c>
      <c r="C13835" s="1" t="str">
        <f>HYPERLINK("http://www.genecards.org/cgi-bin/carddisp.pl?gene=NSUN5B","GeneCards")</f>
        <v>GeneCards</v>
      </c>
      <c r="D13835" s="1" t="str">
        <f>HYPERLINK("http://genome-euro.ucsc.edu/cgi-bin/hgTracks?position=213670_x_at","UCSC")</f>
        <v>UCSC</v>
      </c>
      <c r="E13835" s="1" t="str">
        <f>HYPERLINK("http://www.ncbi.nlm.nih.gov/gene/?term=NSUN5B","NCBI")</f>
        <v>NCBI</v>
      </c>
      <c r="F13835">
        <v>0.5</v>
      </c>
      <c r="G13835">
        <v>0.62</v>
      </c>
      <c r="H13835" s="1" t="str">
        <f>HYPERLINK("http://www.weizmann.ac.il/complex/compphys/software/geview/data/figures/213670_x_at.png","Figure")</f>
        <v>Figure</v>
      </c>
      <c r="I13835">
        <v>1.3</v>
      </c>
      <c r="J13835">
        <v>0.59</v>
      </c>
      <c r="K13835">
        <v>1.28</v>
      </c>
      <c r="L13835">
        <v>0.54</v>
      </c>
      <c r="M13835">
        <v>0.98699999999999999</v>
      </c>
      <c r="N13835">
        <v>1</v>
      </c>
    </row>
    <row r="13836" spans="1:14" x14ac:dyDescent="0.25">
      <c r="A13836" t="s">
        <v>23565</v>
      </c>
      <c r="B13836" t="s">
        <v>23566</v>
      </c>
      <c r="C13836" s="1" t="str">
        <f>HYPERLINK("http://www.genecards.org/cgi-bin/carddisp.pl?gene=QARS","GeneCards")</f>
        <v>GeneCards</v>
      </c>
      <c r="D13836" s="1" t="str">
        <f>HYPERLINK("http://genome-euro.ucsc.edu/cgi-bin/hgTracks?position=217846_at","UCSC")</f>
        <v>UCSC</v>
      </c>
      <c r="E13836" s="1" t="str">
        <f>HYPERLINK("http://www.ncbi.nlm.nih.gov/gene/?term=QARS","NCBI")</f>
        <v>NCBI</v>
      </c>
      <c r="F13836">
        <v>0.5</v>
      </c>
      <c r="G13836">
        <v>0.62</v>
      </c>
      <c r="H13836" s="1" t="str">
        <f>HYPERLINK("http://www.weizmann.ac.il/complex/compphys/software/geview/data/figures/217846_at.png","Figure")</f>
        <v>Figure</v>
      </c>
      <c r="I13836">
        <v>1.1399999999999999</v>
      </c>
      <c r="J13836">
        <v>0.49</v>
      </c>
      <c r="K13836">
        <v>1.03</v>
      </c>
      <c r="L13836">
        <v>0.95</v>
      </c>
      <c r="M13836">
        <v>0.90200000000000002</v>
      </c>
      <c r="N13836">
        <v>0.62</v>
      </c>
    </row>
    <row r="13837" spans="1:14" x14ac:dyDescent="0.25">
      <c r="A13837" t="s">
        <v>23567</v>
      </c>
      <c r="B13837" t="s">
        <v>11171</v>
      </c>
      <c r="C13837" s="1" t="str">
        <f>HYPERLINK("http://www.genecards.org/cgi-bin/carddisp.pl?gene=GAS6","GeneCards")</f>
        <v>GeneCards</v>
      </c>
      <c r="D13837" s="1" t="str">
        <f>HYPERLINK("http://genome-euro.ucsc.edu/cgi-bin/hgTracks?position=202177_at","UCSC")</f>
        <v>UCSC</v>
      </c>
      <c r="E13837" s="1" t="str">
        <f>HYPERLINK("http://www.ncbi.nlm.nih.gov/gene/?term=GAS6","NCBI")</f>
        <v>NCBI</v>
      </c>
      <c r="F13837">
        <v>0.5</v>
      </c>
      <c r="G13837">
        <v>0.62</v>
      </c>
      <c r="H13837" s="1" t="str">
        <f>HYPERLINK("http://www.weizmann.ac.il/complex/compphys/software/geview/data/figures/202177_at.png","Figure")</f>
        <v>Figure</v>
      </c>
      <c r="I13837">
        <v>1.03</v>
      </c>
      <c r="J13837">
        <v>0.56000000000000005</v>
      </c>
      <c r="K13837">
        <v>1.03</v>
      </c>
      <c r="L13837">
        <v>0.56000000000000005</v>
      </c>
      <c r="M13837">
        <v>0.997</v>
      </c>
      <c r="N13837">
        <v>0.99</v>
      </c>
    </row>
    <row r="13838" spans="1:14" x14ac:dyDescent="0.25">
      <c r="A13838" t="s">
        <v>23568</v>
      </c>
      <c r="B13838" t="s">
        <v>2178</v>
      </c>
      <c r="C13838" s="1" t="str">
        <f>HYPERLINK("http://www.genecards.org/cgi-bin/carddisp.pl?gene=SLC24A1","GeneCards")</f>
        <v>GeneCards</v>
      </c>
      <c r="D13838" s="1" t="str">
        <f>HYPERLINK("http://genome-euro.ucsc.edu/cgi-bin/hgTracks?position=211842_s_at","UCSC")</f>
        <v>UCSC</v>
      </c>
      <c r="E13838" s="1" t="str">
        <f>HYPERLINK("http://www.ncbi.nlm.nih.gov/gene/?term=SLC24A1","NCBI")</f>
        <v>NCBI</v>
      </c>
      <c r="F13838">
        <v>0.5</v>
      </c>
      <c r="G13838">
        <v>0.62</v>
      </c>
      <c r="H13838" s="1" t="str">
        <f>HYPERLINK("http://www.weizmann.ac.il/complex/compphys/software/geview/data/figures/211842_s_at.png","Figure")</f>
        <v>Figure</v>
      </c>
      <c r="I13838">
        <v>0.98499999999999999</v>
      </c>
      <c r="J13838">
        <v>0.7</v>
      </c>
      <c r="K13838">
        <v>0.98</v>
      </c>
      <c r="L13838">
        <v>0.48</v>
      </c>
      <c r="M13838">
        <v>0.996</v>
      </c>
      <c r="N13838">
        <v>0.97</v>
      </c>
    </row>
    <row r="13839" spans="1:14" x14ac:dyDescent="0.25">
      <c r="A13839" t="s">
        <v>23569</v>
      </c>
      <c r="B13839" t="s">
        <v>17452</v>
      </c>
      <c r="C13839" s="1" t="str">
        <f>HYPERLINK("http://www.genecards.org/cgi-bin/carddisp.pl?gene=ZBTB20","GeneCards")</f>
        <v>GeneCards</v>
      </c>
      <c r="D13839" s="1" t="str">
        <f>HYPERLINK("http://genome-euro.ucsc.edu/cgi-bin/hgTracks?position=222357_at","UCSC")</f>
        <v>UCSC</v>
      </c>
      <c r="E13839" s="1" t="str">
        <f>HYPERLINK("http://www.ncbi.nlm.nih.gov/gene/?term=ZBTB20","NCBI")</f>
        <v>NCBI</v>
      </c>
      <c r="F13839">
        <v>0.5</v>
      </c>
      <c r="G13839">
        <v>0.62</v>
      </c>
      <c r="H13839" s="1" t="str">
        <f>HYPERLINK("http://www.weizmann.ac.il/complex/compphys/software/geview/data/figures/222357_at.png","Figure")</f>
        <v>Figure</v>
      </c>
      <c r="I13839">
        <v>0.81599999999999995</v>
      </c>
      <c r="J13839">
        <v>0.55000000000000004</v>
      </c>
      <c r="K13839">
        <v>0.99199999999999999</v>
      </c>
      <c r="L13839">
        <v>1</v>
      </c>
      <c r="M13839">
        <v>1.21</v>
      </c>
      <c r="N13839">
        <v>0.54</v>
      </c>
    </row>
    <row r="13840" spans="1:14" x14ac:dyDescent="0.25">
      <c r="A13840" t="s">
        <v>23570</v>
      </c>
      <c r="B13840" t="s">
        <v>23571</v>
      </c>
      <c r="C13840" s="1" t="str">
        <f>HYPERLINK("http://www.genecards.org/cgi-bin/carddisp.pl?gene=CPVL","GeneCards")</f>
        <v>GeneCards</v>
      </c>
      <c r="D13840" s="1" t="str">
        <f>HYPERLINK("http://genome-euro.ucsc.edu/cgi-bin/hgTracks?position=208146_s_at","UCSC")</f>
        <v>UCSC</v>
      </c>
      <c r="E13840" s="1" t="str">
        <f>HYPERLINK("http://www.ncbi.nlm.nih.gov/gene/?term=CPVL","NCBI")</f>
        <v>NCBI</v>
      </c>
      <c r="F13840">
        <v>0.5</v>
      </c>
      <c r="G13840">
        <v>0.62</v>
      </c>
      <c r="H13840" s="1" t="str">
        <f>HYPERLINK("http://www.weizmann.ac.il/complex/compphys/software/geview/data/figures/208146_s_at.png","Figure")</f>
        <v>Figure</v>
      </c>
      <c r="I13840">
        <v>1.01</v>
      </c>
      <c r="J13840">
        <v>1</v>
      </c>
      <c r="K13840">
        <v>1.1100000000000001</v>
      </c>
      <c r="L13840">
        <v>0.54</v>
      </c>
      <c r="M13840">
        <v>1.1000000000000001</v>
      </c>
      <c r="N13840">
        <v>0.64</v>
      </c>
    </row>
    <row r="13841" spans="1:14" x14ac:dyDescent="0.25">
      <c r="A13841" t="s">
        <v>23572</v>
      </c>
      <c r="B13841" t="s">
        <v>23573</v>
      </c>
      <c r="C13841" s="1" t="str">
        <f>HYPERLINK("http://www.genecards.org/cgi-bin/carddisp.pl?gene=C19orf60","GeneCards")</f>
        <v>GeneCards</v>
      </c>
      <c r="D13841" s="1" t="str">
        <f>HYPERLINK("http://genome-euro.ucsc.edu/cgi-bin/hgTracks?position=51200_at","UCSC")</f>
        <v>UCSC</v>
      </c>
      <c r="E13841" s="1" t="str">
        <f>HYPERLINK("http://www.ncbi.nlm.nih.gov/gene/?term=C19orf60","NCBI")</f>
        <v>NCBI</v>
      </c>
      <c r="F13841">
        <v>0.5</v>
      </c>
      <c r="G13841">
        <v>0.62</v>
      </c>
      <c r="H13841" s="1" t="str">
        <f>HYPERLINK("http://www.weizmann.ac.il/complex/compphys/software/geview/data/figures/51200_at.png","Figure")</f>
        <v>Figure</v>
      </c>
      <c r="I13841">
        <v>1</v>
      </c>
      <c r="J13841">
        <v>1</v>
      </c>
      <c r="K13841">
        <v>1.1399999999999999</v>
      </c>
      <c r="L13841">
        <v>0.56999999999999995</v>
      </c>
      <c r="M13841">
        <v>1.1399999999999999</v>
      </c>
      <c r="N13841">
        <v>0.61</v>
      </c>
    </row>
    <row r="13842" spans="1:14" x14ac:dyDescent="0.25">
      <c r="A13842" t="s">
        <v>23574</v>
      </c>
      <c r="B13842" t="s">
        <v>23575</v>
      </c>
      <c r="C13842" s="1" t="str">
        <f>HYPERLINK("http://www.genecards.org/cgi-bin/carddisp.pl?gene=MEX3C","GeneCards")</f>
        <v>GeneCards</v>
      </c>
      <c r="D13842" s="1" t="str">
        <f>HYPERLINK("http://genome-euro.ucsc.edu/cgi-bin/hgTracks?position=218247_s_at","UCSC")</f>
        <v>UCSC</v>
      </c>
      <c r="E13842" s="1" t="str">
        <f>HYPERLINK("http://www.ncbi.nlm.nih.gov/gene/?term=MEX3C","NCBI")</f>
        <v>NCBI</v>
      </c>
      <c r="F13842">
        <v>0.5</v>
      </c>
      <c r="G13842">
        <v>0.62</v>
      </c>
      <c r="H13842" s="1" t="str">
        <f>HYPERLINK("http://www.weizmann.ac.il/complex/compphys/software/geview/data/figures/218247_s_at.png","Figure")</f>
        <v>Figure</v>
      </c>
      <c r="I13842">
        <v>0.77400000000000002</v>
      </c>
      <c r="J13842">
        <v>0.75</v>
      </c>
      <c r="K13842">
        <v>0.69199999999999995</v>
      </c>
      <c r="L13842">
        <v>0.47</v>
      </c>
      <c r="M13842">
        <v>0.89300000000000002</v>
      </c>
      <c r="N13842">
        <v>0.94</v>
      </c>
    </row>
    <row r="13843" spans="1:14" x14ac:dyDescent="0.25">
      <c r="A13843" t="s">
        <v>23576</v>
      </c>
      <c r="B13843" t="s">
        <v>23577</v>
      </c>
      <c r="C13843" s="1" t="str">
        <f>HYPERLINK("http://www.genecards.org/cgi-bin/carddisp.pl?gene=GPAA1","GeneCards")</f>
        <v>GeneCards</v>
      </c>
      <c r="D13843" s="1" t="str">
        <f>HYPERLINK("http://genome-euro.ucsc.edu/cgi-bin/hgTracks?position=201618_x_at","UCSC")</f>
        <v>UCSC</v>
      </c>
      <c r="E13843" s="1" t="str">
        <f>HYPERLINK("http://www.ncbi.nlm.nih.gov/gene/?term=GPAA1","NCBI")</f>
        <v>NCBI</v>
      </c>
      <c r="F13843">
        <v>0.5</v>
      </c>
      <c r="G13843">
        <v>0.62</v>
      </c>
      <c r="H13843" s="1" t="str">
        <f>HYPERLINK("http://www.weizmann.ac.il/complex/compphys/software/geview/data/figures/201618_x_at.png","Figure")</f>
        <v>Figure</v>
      </c>
      <c r="I13843">
        <v>1.03</v>
      </c>
      <c r="J13843">
        <v>0.97</v>
      </c>
      <c r="K13843">
        <v>0.91700000000000004</v>
      </c>
      <c r="L13843">
        <v>0.66</v>
      </c>
      <c r="M13843">
        <v>0.89200000000000002</v>
      </c>
      <c r="N13843">
        <v>0.53</v>
      </c>
    </row>
    <row r="13844" spans="1:14" x14ac:dyDescent="0.25">
      <c r="A13844" t="s">
        <v>23578</v>
      </c>
      <c r="B13844" t="s">
        <v>13697</v>
      </c>
      <c r="C13844" s="1" t="str">
        <f>HYPERLINK("http://www.genecards.org/cgi-bin/carddisp.pl?gene=PASK","GeneCards")</f>
        <v>GeneCards</v>
      </c>
      <c r="D13844" s="1" t="str">
        <f>HYPERLINK("http://genome-euro.ucsc.edu/cgi-bin/hgTracks?position=213534_s_at","UCSC")</f>
        <v>UCSC</v>
      </c>
      <c r="E13844" s="1" t="str">
        <f>HYPERLINK("http://www.ncbi.nlm.nih.gov/gene/?term=PASK","NCBI")</f>
        <v>NCBI</v>
      </c>
      <c r="F13844">
        <v>0.5</v>
      </c>
      <c r="G13844">
        <v>0.62</v>
      </c>
      <c r="H13844" s="1" t="str">
        <f>HYPERLINK("http://www.weizmann.ac.il/complex/compphys/software/geview/data/figures/213534_s_at.png","Figure")</f>
        <v>Figure</v>
      </c>
      <c r="I13844">
        <v>0.99399999999999999</v>
      </c>
      <c r="J13844">
        <v>1</v>
      </c>
      <c r="K13844">
        <v>0.86899999999999999</v>
      </c>
      <c r="L13844">
        <v>0.56000000000000005</v>
      </c>
      <c r="M13844">
        <v>0.874</v>
      </c>
      <c r="N13844">
        <v>0.62</v>
      </c>
    </row>
    <row r="13845" spans="1:14" x14ac:dyDescent="0.25">
      <c r="A13845" t="s">
        <v>23579</v>
      </c>
      <c r="B13845" t="s">
        <v>23580</v>
      </c>
      <c r="C13845" s="1" t="str">
        <f>HYPERLINK("http://www.genecards.org/cgi-bin/carddisp.pl?gene=HIST1H2BG","GeneCards")</f>
        <v>GeneCards</v>
      </c>
      <c r="D13845" s="1" t="str">
        <f>HYPERLINK("http://genome-euro.ucsc.edu/cgi-bin/hgTracks?position=210387_at","UCSC")</f>
        <v>UCSC</v>
      </c>
      <c r="E13845" s="1" t="str">
        <f>HYPERLINK("http://www.ncbi.nlm.nih.gov/gene/?term=HIST1H2BG","NCBI")</f>
        <v>NCBI</v>
      </c>
      <c r="F13845">
        <v>0.5</v>
      </c>
      <c r="G13845">
        <v>0.62</v>
      </c>
      <c r="H13845" s="1" t="str">
        <f>HYPERLINK("http://www.weizmann.ac.il/complex/compphys/software/geview/data/figures/210387_at.png","Figure")</f>
        <v>Figure</v>
      </c>
      <c r="I13845">
        <v>1.98</v>
      </c>
      <c r="J13845">
        <v>0.56999999999999995</v>
      </c>
      <c r="K13845">
        <v>0.98699999999999999</v>
      </c>
      <c r="L13845">
        <v>1</v>
      </c>
      <c r="M13845">
        <v>0.498</v>
      </c>
      <c r="N13845">
        <v>0.52</v>
      </c>
    </row>
    <row r="13846" spans="1:14" x14ac:dyDescent="0.25">
      <c r="A13846" t="s">
        <v>23581</v>
      </c>
      <c r="B13846" t="s">
        <v>23582</v>
      </c>
      <c r="C13846" s="1" t="str">
        <f>HYPERLINK("http://www.genecards.org/cgi-bin/carddisp.pl?gene=CLIP4","GeneCards")</f>
        <v>GeneCards</v>
      </c>
      <c r="D13846" s="1" t="str">
        <f>HYPERLINK("http://genome-euro.ucsc.edu/cgi-bin/hgTracks?position=219944_at","UCSC")</f>
        <v>UCSC</v>
      </c>
      <c r="E13846" s="1" t="str">
        <f>HYPERLINK("http://www.ncbi.nlm.nih.gov/gene/?term=CLIP4","NCBI")</f>
        <v>NCBI</v>
      </c>
      <c r="F13846">
        <v>0.5</v>
      </c>
      <c r="G13846">
        <v>0.62</v>
      </c>
      <c r="H13846" s="1" t="str">
        <f>HYPERLINK("http://www.weizmann.ac.il/complex/compphys/software/geview/data/figures/219944_at.png","Figure")</f>
        <v>Figure</v>
      </c>
      <c r="I13846">
        <v>1.03</v>
      </c>
      <c r="J13846">
        <v>0.62</v>
      </c>
      <c r="K13846">
        <v>1.03</v>
      </c>
      <c r="L13846">
        <v>0.52</v>
      </c>
      <c r="M13846">
        <v>1</v>
      </c>
      <c r="N13846">
        <v>1</v>
      </c>
    </row>
    <row r="13847" spans="1:14" x14ac:dyDescent="0.25">
      <c r="A13847" t="s">
        <v>23583</v>
      </c>
      <c r="B13847" t="s">
        <v>23584</v>
      </c>
      <c r="C13847" s="1" t="str">
        <f>HYPERLINK("http://www.genecards.org/cgi-bin/carddisp.pl?gene=PTDSS1","GeneCards")</f>
        <v>GeneCards</v>
      </c>
      <c r="D13847" s="1" t="str">
        <f>HYPERLINK("http://genome-euro.ucsc.edu/cgi-bin/hgTracks?position=201433_s_at","UCSC")</f>
        <v>UCSC</v>
      </c>
      <c r="E13847" s="1" t="str">
        <f>HYPERLINK("http://www.ncbi.nlm.nih.gov/gene/?term=PTDSS1","NCBI")</f>
        <v>NCBI</v>
      </c>
      <c r="F13847">
        <v>0.5</v>
      </c>
      <c r="G13847">
        <v>0.62</v>
      </c>
      <c r="H13847" s="1" t="str">
        <f>HYPERLINK("http://www.weizmann.ac.il/complex/compphys/software/geview/data/figures/201433_s_at.png","Figure")</f>
        <v>Figure</v>
      </c>
      <c r="I13847">
        <v>0.91500000000000004</v>
      </c>
      <c r="J13847">
        <v>0.72</v>
      </c>
      <c r="K13847">
        <v>1.04</v>
      </c>
      <c r="L13847">
        <v>0.92</v>
      </c>
      <c r="M13847">
        <v>1.1399999999999999</v>
      </c>
      <c r="N13847">
        <v>0.47</v>
      </c>
    </row>
    <row r="13848" spans="1:14" x14ac:dyDescent="0.25">
      <c r="A13848" t="s">
        <v>23585</v>
      </c>
      <c r="B13848" t="s">
        <v>23586</v>
      </c>
      <c r="C13848" s="1" t="str">
        <f>HYPERLINK("http://www.genecards.org/cgi-bin/carddisp.pl?gene=ARFGEF1","GeneCards")</f>
        <v>GeneCards</v>
      </c>
      <c r="D13848" s="1" t="str">
        <f>HYPERLINK("http://genome-euro.ucsc.edu/cgi-bin/hgTracks?position=202955_s_at","UCSC")</f>
        <v>UCSC</v>
      </c>
      <c r="E13848" s="1" t="str">
        <f>HYPERLINK("http://www.ncbi.nlm.nih.gov/gene/?term=ARFGEF1","NCBI")</f>
        <v>NCBI</v>
      </c>
      <c r="F13848">
        <v>0.5</v>
      </c>
      <c r="G13848">
        <v>0.62</v>
      </c>
      <c r="H13848" s="1" t="str">
        <f>HYPERLINK("http://www.weizmann.ac.il/complex/compphys/software/geview/data/figures/202955_s_at.png","Figure")</f>
        <v>Figure</v>
      </c>
      <c r="I13848">
        <v>1.01</v>
      </c>
      <c r="J13848">
        <v>0.99</v>
      </c>
      <c r="K13848">
        <v>0.90700000000000003</v>
      </c>
      <c r="L13848">
        <v>0.61</v>
      </c>
      <c r="M13848">
        <v>0.89500000000000002</v>
      </c>
      <c r="N13848">
        <v>0.56999999999999995</v>
      </c>
    </row>
    <row r="13849" spans="1:14" x14ac:dyDescent="0.25">
      <c r="A13849" t="s">
        <v>23587</v>
      </c>
      <c r="B13849" t="s">
        <v>23588</v>
      </c>
      <c r="C13849" s="1" t="str">
        <f>HYPERLINK("http://www.genecards.org/cgi-bin/carddisp.pl?gene=TRIM17","GeneCards")</f>
        <v>GeneCards</v>
      </c>
      <c r="D13849" s="1" t="str">
        <f>HYPERLINK("http://genome-euro.ucsc.edu/cgi-bin/hgTracks?position=220279_at","UCSC")</f>
        <v>UCSC</v>
      </c>
      <c r="E13849" s="1" t="str">
        <f>HYPERLINK("http://www.ncbi.nlm.nih.gov/gene/?term=TRIM17","NCBI")</f>
        <v>NCBI</v>
      </c>
      <c r="F13849">
        <v>0.5</v>
      </c>
      <c r="G13849">
        <v>0.62</v>
      </c>
      <c r="H13849" s="1" t="str">
        <f>HYPERLINK("http://www.weizmann.ac.il/complex/compphys/software/geview/data/figures/220279_at.png","Figure")</f>
        <v>Figure</v>
      </c>
      <c r="I13849">
        <v>1.1399999999999999</v>
      </c>
      <c r="J13849">
        <v>0.5</v>
      </c>
      <c r="K13849">
        <v>1.0900000000000001</v>
      </c>
      <c r="L13849">
        <v>0.66</v>
      </c>
      <c r="M13849">
        <v>0.95899999999999996</v>
      </c>
      <c r="N13849">
        <v>0.91</v>
      </c>
    </row>
    <row r="13850" spans="1:14" x14ac:dyDescent="0.25">
      <c r="A13850" t="s">
        <v>23589</v>
      </c>
      <c r="B13850" t="s">
        <v>20907</v>
      </c>
      <c r="C13850" s="1" t="str">
        <f>HYPERLINK("http://www.genecards.org/cgi-bin/carddisp.pl?gene=CADM4","GeneCards")</f>
        <v>GeneCards</v>
      </c>
      <c r="D13850" s="1" t="str">
        <f>HYPERLINK("http://genome-euro.ucsc.edu/cgi-bin/hgTracks?position=222293_at","UCSC")</f>
        <v>UCSC</v>
      </c>
      <c r="E13850" s="1" t="str">
        <f>HYPERLINK("http://www.ncbi.nlm.nih.gov/gene/?term=CADM4","NCBI")</f>
        <v>NCBI</v>
      </c>
      <c r="F13850">
        <v>0.5</v>
      </c>
      <c r="G13850">
        <v>0.62</v>
      </c>
      <c r="H13850" s="1" t="str">
        <f>HYPERLINK("http://www.weizmann.ac.il/complex/compphys/software/geview/data/figures/222293_at.png","Figure")</f>
        <v>Figure</v>
      </c>
      <c r="I13850">
        <v>1.02</v>
      </c>
      <c r="J13850">
        <v>0.66</v>
      </c>
      <c r="K13850">
        <v>0.99399999999999999</v>
      </c>
      <c r="L13850">
        <v>0.97</v>
      </c>
      <c r="M13850">
        <v>0.97299999999999998</v>
      </c>
      <c r="N13850">
        <v>0.48</v>
      </c>
    </row>
    <row r="13851" spans="1:14" x14ac:dyDescent="0.25">
      <c r="A13851" t="s">
        <v>23590</v>
      </c>
      <c r="B13851" t="s">
        <v>1982</v>
      </c>
      <c r="C13851" s="1" t="str">
        <f>HYPERLINK("http://www.genecards.org/cgi-bin/carddisp.pl?gene=SF3B3","GeneCards")</f>
        <v>GeneCards</v>
      </c>
      <c r="D13851" s="1" t="str">
        <f>HYPERLINK("http://genome-euro.ucsc.edu/cgi-bin/hgTracks?position=200688_at","UCSC")</f>
        <v>UCSC</v>
      </c>
      <c r="E13851" s="1" t="str">
        <f>HYPERLINK("http://www.ncbi.nlm.nih.gov/gene/?term=SF3B3","NCBI")</f>
        <v>NCBI</v>
      </c>
      <c r="F13851">
        <v>0.5</v>
      </c>
      <c r="G13851">
        <v>0.62</v>
      </c>
      <c r="H13851" s="1" t="str">
        <f>HYPERLINK("http://www.weizmann.ac.il/complex/compphys/software/geview/data/figures/200688_at.png","Figure")</f>
        <v>Figure</v>
      </c>
      <c r="I13851">
        <v>0.97899999999999998</v>
      </c>
      <c r="J13851">
        <v>0.97</v>
      </c>
      <c r="K13851">
        <v>1.07</v>
      </c>
      <c r="L13851">
        <v>0.65</v>
      </c>
      <c r="M13851">
        <v>1.1000000000000001</v>
      </c>
      <c r="N13851">
        <v>0.54</v>
      </c>
    </row>
    <row r="13852" spans="1:14" x14ac:dyDescent="0.25">
      <c r="A13852" t="s">
        <v>23591</v>
      </c>
      <c r="B13852" t="s">
        <v>17474</v>
      </c>
      <c r="C13852" s="1" t="str">
        <f>HYPERLINK("http://www.genecards.org/cgi-bin/carddisp.pl?gene=GNB1","GeneCards")</f>
        <v>GeneCards</v>
      </c>
      <c r="D13852" s="1" t="str">
        <f>HYPERLINK("http://genome-euro.ucsc.edu/cgi-bin/hgTracks?position=200746_s_at","UCSC")</f>
        <v>UCSC</v>
      </c>
      <c r="E13852" s="1" t="str">
        <f>HYPERLINK("http://www.ncbi.nlm.nih.gov/gene/?term=GNB1","NCBI")</f>
        <v>NCBI</v>
      </c>
      <c r="F13852">
        <v>0.5</v>
      </c>
      <c r="G13852">
        <v>0.62</v>
      </c>
      <c r="H13852" s="1" t="str">
        <f>HYPERLINK("http://www.weizmann.ac.il/complex/compphys/software/geview/data/figures/200746_s_at.png","Figure")</f>
        <v>Figure</v>
      </c>
      <c r="I13852">
        <v>1.17</v>
      </c>
      <c r="J13852">
        <v>0.68</v>
      </c>
      <c r="K13852">
        <v>0.95099999999999996</v>
      </c>
      <c r="L13852">
        <v>0.95</v>
      </c>
      <c r="M13852">
        <v>0.81100000000000005</v>
      </c>
      <c r="N13852">
        <v>0.48</v>
      </c>
    </row>
    <row r="13853" spans="1:14" x14ac:dyDescent="0.25">
      <c r="A13853" t="s">
        <v>23592</v>
      </c>
      <c r="B13853" t="s">
        <v>5516</v>
      </c>
      <c r="C13853" s="1" t="str">
        <f>HYPERLINK("http://www.genecards.org/cgi-bin/carddisp.pl?gene=YIPF6","GeneCards")</f>
        <v>GeneCards</v>
      </c>
      <c r="D13853" s="1" t="str">
        <f>HYPERLINK("http://genome-euro.ucsc.edu/cgi-bin/hgTracks?position=212340_at","UCSC")</f>
        <v>UCSC</v>
      </c>
      <c r="E13853" s="1" t="str">
        <f>HYPERLINK("http://www.ncbi.nlm.nih.gov/gene/?term=YIPF6","NCBI")</f>
        <v>NCBI</v>
      </c>
      <c r="F13853">
        <v>0.5</v>
      </c>
      <c r="G13853">
        <v>0.62</v>
      </c>
      <c r="H13853" s="1" t="str">
        <f>HYPERLINK("http://www.weizmann.ac.il/complex/compphys/software/geview/data/figures/212340_at.png","Figure")</f>
        <v>Figure</v>
      </c>
      <c r="I13853">
        <v>0.9</v>
      </c>
      <c r="J13853">
        <v>0.52</v>
      </c>
      <c r="K13853">
        <v>0.92500000000000004</v>
      </c>
      <c r="L13853">
        <v>0.62</v>
      </c>
      <c r="M13853">
        <v>1.03</v>
      </c>
      <c r="N13853">
        <v>0.95</v>
      </c>
    </row>
    <row r="13854" spans="1:14" x14ac:dyDescent="0.25">
      <c r="A13854" t="s">
        <v>23593</v>
      </c>
      <c r="B13854" t="s">
        <v>22053</v>
      </c>
      <c r="C13854" s="1" t="str">
        <f>HYPERLINK("http://www.genecards.org/cgi-bin/carddisp.pl?gene=APOE","GeneCards")</f>
        <v>GeneCards</v>
      </c>
      <c r="D13854" s="1" t="str">
        <f>HYPERLINK("http://genome-euro.ucsc.edu/cgi-bin/hgTracks?position=212884_x_at","UCSC")</f>
        <v>UCSC</v>
      </c>
      <c r="E13854" s="1" t="str">
        <f>HYPERLINK("http://www.ncbi.nlm.nih.gov/gene/?term=APOE","NCBI")</f>
        <v>NCBI</v>
      </c>
      <c r="F13854">
        <v>0.5</v>
      </c>
      <c r="G13854">
        <v>0.62</v>
      </c>
      <c r="H13854" s="1" t="str">
        <f>HYPERLINK("http://www.weizmann.ac.il/complex/compphys/software/geview/data/figures/212884_x_at.png","Figure")</f>
        <v>Figure</v>
      </c>
      <c r="I13854">
        <v>1.0900000000000001</v>
      </c>
      <c r="J13854">
        <v>0.52</v>
      </c>
      <c r="K13854">
        <v>1.01</v>
      </c>
      <c r="L13854">
        <v>0.98</v>
      </c>
      <c r="M13854">
        <v>0.92700000000000005</v>
      </c>
      <c r="N13854">
        <v>0.57999999999999996</v>
      </c>
    </row>
    <row r="13855" spans="1:14" x14ac:dyDescent="0.25">
      <c r="A13855" t="s">
        <v>23594</v>
      </c>
      <c r="B13855" t="s">
        <v>23595</v>
      </c>
      <c r="C13855" s="1" t="str">
        <f>HYPERLINK("http://www.genecards.org/cgi-bin/carddisp.pl?gene=TAF1B","GeneCards")</f>
        <v>GeneCards</v>
      </c>
      <c r="D13855" s="1" t="str">
        <f>HYPERLINK("http://genome-euro.ucsc.edu/cgi-bin/hgTracks?position=216941_s_at","UCSC")</f>
        <v>UCSC</v>
      </c>
      <c r="E13855" s="1" t="str">
        <f>HYPERLINK("http://www.ncbi.nlm.nih.gov/gene/?term=TAF1B","NCBI")</f>
        <v>NCBI</v>
      </c>
      <c r="F13855">
        <v>0.5</v>
      </c>
      <c r="G13855">
        <v>0.62</v>
      </c>
      <c r="H13855" s="1" t="str">
        <f>HYPERLINK("http://www.weizmann.ac.il/complex/compphys/software/geview/data/figures/216941_s_at.png","Figure")</f>
        <v>Figure</v>
      </c>
      <c r="I13855">
        <v>1.07</v>
      </c>
      <c r="J13855">
        <v>0.67</v>
      </c>
      <c r="K13855">
        <v>1.0900000000000001</v>
      </c>
      <c r="L13855">
        <v>0.49</v>
      </c>
      <c r="M13855">
        <v>1.01</v>
      </c>
      <c r="N13855">
        <v>0.98</v>
      </c>
    </row>
    <row r="13856" spans="1:14" x14ac:dyDescent="0.25">
      <c r="A13856" t="s">
        <v>23596</v>
      </c>
      <c r="B13856" t="s">
        <v>23597</v>
      </c>
      <c r="C13856" s="1" t="str">
        <f>HYPERLINK("http://www.genecards.org/cgi-bin/carddisp.pl?gene=KCTD15","GeneCards")</f>
        <v>GeneCards</v>
      </c>
      <c r="D13856" s="1" t="str">
        <f>HYPERLINK("http://genome-euro.ucsc.edu/cgi-bin/hgTracks?position=218553_s_at","UCSC")</f>
        <v>UCSC</v>
      </c>
      <c r="E13856" s="1" t="str">
        <f>HYPERLINK("http://www.ncbi.nlm.nih.gov/gene/?term=KCTD15","NCBI")</f>
        <v>NCBI</v>
      </c>
      <c r="F13856">
        <v>0.5</v>
      </c>
      <c r="G13856">
        <v>0.62</v>
      </c>
      <c r="H13856" s="1" t="str">
        <f>HYPERLINK("http://www.weizmann.ac.il/complex/compphys/software/geview/data/figures/218553_s_at.png","Figure")</f>
        <v>Figure</v>
      </c>
      <c r="I13856">
        <v>1.17</v>
      </c>
      <c r="J13856">
        <v>0.5</v>
      </c>
      <c r="K13856">
        <v>1.1100000000000001</v>
      </c>
      <c r="L13856">
        <v>0.66</v>
      </c>
      <c r="M13856">
        <v>0.94799999999999995</v>
      </c>
      <c r="N13856">
        <v>0.91</v>
      </c>
    </row>
    <row r="13857" spans="1:14" x14ac:dyDescent="0.25">
      <c r="A13857" t="s">
        <v>23598</v>
      </c>
      <c r="B13857" t="s">
        <v>23599</v>
      </c>
      <c r="C13857" s="1" t="str">
        <f>HYPERLINK("http://www.genecards.org/cgi-bin/carddisp.pl?gene=DPP8","GeneCards")</f>
        <v>GeneCards</v>
      </c>
      <c r="D13857" s="1" t="str">
        <f>HYPERLINK("http://genome-euro.ucsc.edu/cgi-bin/hgTracks?position=220939_s_at","UCSC")</f>
        <v>UCSC</v>
      </c>
      <c r="E13857" s="1" t="str">
        <f>HYPERLINK("http://www.ncbi.nlm.nih.gov/gene/?term=DPP8","NCBI")</f>
        <v>NCBI</v>
      </c>
      <c r="F13857">
        <v>0.5</v>
      </c>
      <c r="G13857">
        <v>0.62</v>
      </c>
      <c r="H13857" s="1" t="str">
        <f>HYPERLINK("http://www.weizmann.ac.il/complex/compphys/software/geview/data/figures/220939_s_at.png","Figure")</f>
        <v>Figure</v>
      </c>
      <c r="I13857">
        <v>1.17</v>
      </c>
      <c r="J13857">
        <v>0.8</v>
      </c>
      <c r="K13857">
        <v>1.29</v>
      </c>
      <c r="L13857">
        <v>0.47</v>
      </c>
      <c r="M13857">
        <v>1.1000000000000001</v>
      </c>
      <c r="N13857">
        <v>0.9</v>
      </c>
    </row>
    <row r="13858" spans="1:14" x14ac:dyDescent="0.25">
      <c r="A13858" t="s">
        <v>23600</v>
      </c>
      <c r="B13858" t="s">
        <v>23601</v>
      </c>
      <c r="C13858" s="1" t="str">
        <f>HYPERLINK("http://www.genecards.org/cgi-bin/carddisp.pl?gene=PHLDA2","GeneCards")</f>
        <v>GeneCards</v>
      </c>
      <c r="D13858" s="1" t="str">
        <f>HYPERLINK("http://genome-euro.ucsc.edu/cgi-bin/hgTracks?position=209802_at","UCSC")</f>
        <v>UCSC</v>
      </c>
      <c r="E13858" s="1" t="str">
        <f>HYPERLINK("http://www.ncbi.nlm.nih.gov/gene/?term=PHLDA2","NCBI")</f>
        <v>NCBI</v>
      </c>
      <c r="F13858">
        <v>0.5</v>
      </c>
      <c r="G13858">
        <v>0.62</v>
      </c>
      <c r="H13858" s="1" t="str">
        <f>HYPERLINK("http://www.weizmann.ac.il/complex/compphys/software/geview/data/figures/209802_at.png","Figure")</f>
        <v>Figure</v>
      </c>
      <c r="I13858">
        <v>1.04</v>
      </c>
      <c r="J13858">
        <v>0.48</v>
      </c>
      <c r="K13858">
        <v>1.02</v>
      </c>
      <c r="L13858">
        <v>0.76</v>
      </c>
      <c r="M13858">
        <v>0.97899999999999998</v>
      </c>
      <c r="N13858">
        <v>0.81</v>
      </c>
    </row>
    <row r="13859" spans="1:14" x14ac:dyDescent="0.25">
      <c r="A13859" t="s">
        <v>23602</v>
      </c>
      <c r="B13859" t="s">
        <v>1738</v>
      </c>
      <c r="C13859" s="1" t="str">
        <f>HYPERLINK("http://www.genecards.org/cgi-bin/carddisp.pl?gene=FHL1","GeneCards")</f>
        <v>GeneCards</v>
      </c>
      <c r="D13859" s="1" t="str">
        <f>HYPERLINK("http://genome-euro.ucsc.edu/cgi-bin/hgTracks?position=214505_s_at","UCSC")</f>
        <v>UCSC</v>
      </c>
      <c r="E13859" s="1" t="str">
        <f>HYPERLINK("http://www.ncbi.nlm.nih.gov/gene/?term=FHL1","NCBI")</f>
        <v>NCBI</v>
      </c>
      <c r="F13859">
        <v>0.5</v>
      </c>
      <c r="G13859">
        <v>0.62</v>
      </c>
      <c r="H13859" s="1" t="str">
        <f>HYPERLINK("http://www.weizmann.ac.il/complex/compphys/software/geview/data/figures/214505_s_at.png","Figure")</f>
        <v>Figure</v>
      </c>
      <c r="I13859">
        <v>1.04</v>
      </c>
      <c r="J13859">
        <v>0.97</v>
      </c>
      <c r="K13859">
        <v>0.88400000000000001</v>
      </c>
      <c r="L13859">
        <v>0.65</v>
      </c>
      <c r="M13859">
        <v>0.85199999999999998</v>
      </c>
      <c r="N13859">
        <v>0.54</v>
      </c>
    </row>
    <row r="13860" spans="1:14" x14ac:dyDescent="0.25">
      <c r="A13860" t="s">
        <v>23603</v>
      </c>
      <c r="B13860" t="s">
        <v>20896</v>
      </c>
      <c r="C13860" s="1" t="str">
        <f>HYPERLINK("http://www.genecards.org/cgi-bin/carddisp.pl?gene=FXYD2","GeneCards")</f>
        <v>GeneCards</v>
      </c>
      <c r="D13860" s="1" t="str">
        <f>HYPERLINK("http://genome-euro.ucsc.edu/cgi-bin/hgTracks?position=207434_s_at","UCSC")</f>
        <v>UCSC</v>
      </c>
      <c r="E13860" s="1" t="str">
        <f>HYPERLINK("http://www.ncbi.nlm.nih.gov/gene/?term=FXYD2","NCBI")</f>
        <v>NCBI</v>
      </c>
      <c r="F13860">
        <v>0.5</v>
      </c>
      <c r="G13860">
        <v>0.62</v>
      </c>
      <c r="H13860" s="1" t="str">
        <f>HYPERLINK("http://www.weizmann.ac.il/complex/compphys/software/geview/data/figures/207434_s_at.png","Figure")</f>
        <v>Figure</v>
      </c>
      <c r="I13860">
        <v>0.83199999999999996</v>
      </c>
      <c r="J13860">
        <v>0.83</v>
      </c>
      <c r="K13860">
        <v>1.18</v>
      </c>
      <c r="L13860">
        <v>0.82</v>
      </c>
      <c r="M13860">
        <v>1.42</v>
      </c>
      <c r="N13860">
        <v>0.48</v>
      </c>
    </row>
    <row r="13861" spans="1:14" x14ac:dyDescent="0.25">
      <c r="A13861" t="s">
        <v>23604</v>
      </c>
      <c r="B13861" t="s">
        <v>23605</v>
      </c>
      <c r="C13861" s="1" t="str">
        <f>HYPERLINK("http://www.genecards.org/cgi-bin/carddisp.pl?gene=SLC22A11","GeneCards")</f>
        <v>GeneCards</v>
      </c>
      <c r="D13861" s="1" t="str">
        <f>HYPERLINK("http://genome-euro.ucsc.edu/cgi-bin/hgTracks?position=220100_at","UCSC")</f>
        <v>UCSC</v>
      </c>
      <c r="E13861" s="1" t="str">
        <f>HYPERLINK("http://www.ncbi.nlm.nih.gov/gene/?term=SLC22A11","NCBI")</f>
        <v>NCBI</v>
      </c>
      <c r="F13861">
        <v>0.5</v>
      </c>
      <c r="G13861">
        <v>0.62</v>
      </c>
      <c r="H13861" s="1" t="str">
        <f>HYPERLINK("http://www.weizmann.ac.il/complex/compphys/software/geview/data/figures/220100_at.png","Figure")</f>
        <v>Figure</v>
      </c>
      <c r="I13861">
        <v>1.03</v>
      </c>
      <c r="J13861">
        <v>0.72</v>
      </c>
      <c r="K13861">
        <v>1.04</v>
      </c>
      <c r="L13861">
        <v>0.48</v>
      </c>
      <c r="M13861">
        <v>1.01</v>
      </c>
      <c r="N13861">
        <v>0.96</v>
      </c>
    </row>
    <row r="13862" spans="1:14" x14ac:dyDescent="0.25">
      <c r="A13862" t="s">
        <v>23606</v>
      </c>
      <c r="B13862" t="s">
        <v>23607</v>
      </c>
      <c r="C13862" s="1" t="str">
        <f>HYPERLINK("http://www.genecards.org/cgi-bin/carddisp.pl?gene=FOXK2","GeneCards")</f>
        <v>GeneCards</v>
      </c>
      <c r="D13862" s="1" t="str">
        <f>HYPERLINK("http://genome-euro.ucsc.edu/cgi-bin/hgTracks?position=203064_s_at","UCSC")</f>
        <v>UCSC</v>
      </c>
      <c r="E13862" s="1" t="str">
        <f>HYPERLINK("http://www.ncbi.nlm.nih.gov/gene/?term=FOXK2","NCBI")</f>
        <v>NCBI</v>
      </c>
      <c r="F13862">
        <v>0.5</v>
      </c>
      <c r="G13862">
        <v>0.62</v>
      </c>
      <c r="H13862" s="1" t="str">
        <f>HYPERLINK("http://www.weizmann.ac.il/complex/compphys/software/geview/data/figures/203064_s_at.png","Figure")</f>
        <v>Figure</v>
      </c>
      <c r="I13862">
        <v>0.97099999999999997</v>
      </c>
      <c r="J13862">
        <v>0.99</v>
      </c>
      <c r="K13862">
        <v>0.79500000000000004</v>
      </c>
      <c r="L13862">
        <v>0.54</v>
      </c>
      <c r="M13862">
        <v>0.81899999999999995</v>
      </c>
      <c r="N13862">
        <v>0.66</v>
      </c>
    </row>
    <row r="13863" spans="1:14" x14ac:dyDescent="0.25">
      <c r="A13863" t="s">
        <v>23608</v>
      </c>
      <c r="B13863" t="s">
        <v>12203</v>
      </c>
      <c r="C13863" s="1" t="str">
        <f>HYPERLINK("http://www.genecards.org/cgi-bin/carddisp.pl?gene=MBNL2","GeneCards")</f>
        <v>GeneCards</v>
      </c>
      <c r="D13863" s="1" t="str">
        <f>HYPERLINK("http://genome-euro.ucsc.edu/cgi-bin/hgTracks?position=205018_s_at","UCSC")</f>
        <v>UCSC</v>
      </c>
      <c r="E13863" s="1" t="str">
        <f>HYPERLINK("http://www.ncbi.nlm.nih.gov/gene/?term=MBNL2","NCBI")</f>
        <v>NCBI</v>
      </c>
      <c r="F13863">
        <v>0.5</v>
      </c>
      <c r="G13863">
        <v>0.62</v>
      </c>
      <c r="H13863" s="1" t="str">
        <f>HYPERLINK("http://www.weizmann.ac.il/complex/compphys/software/geview/data/figures/205018_s_at.png","Figure")</f>
        <v>Figure</v>
      </c>
      <c r="I13863">
        <v>1</v>
      </c>
      <c r="J13863">
        <v>1</v>
      </c>
      <c r="K13863">
        <v>0.89400000000000002</v>
      </c>
      <c r="L13863">
        <v>0.56999999999999995</v>
      </c>
      <c r="M13863">
        <v>0.89400000000000002</v>
      </c>
      <c r="N13863">
        <v>0.61</v>
      </c>
    </row>
    <row r="13864" spans="1:14" x14ac:dyDescent="0.25">
      <c r="A13864" t="s">
        <v>23609</v>
      </c>
      <c r="B13864" t="s">
        <v>19044</v>
      </c>
      <c r="C13864" s="1" t="str">
        <f>HYPERLINK("http://www.genecards.org/cgi-bin/carddisp.pl?gene=BTN2A2","GeneCards")</f>
        <v>GeneCards</v>
      </c>
      <c r="D13864" s="1" t="str">
        <f>HYPERLINK("http://genome-euro.ucsc.edu/cgi-bin/hgTracks?position=205299_s_at","UCSC")</f>
        <v>UCSC</v>
      </c>
      <c r="E13864" s="1" t="str">
        <f>HYPERLINK("http://www.ncbi.nlm.nih.gov/gene/?term=BTN2A2","NCBI")</f>
        <v>NCBI</v>
      </c>
      <c r="F13864">
        <v>0.5</v>
      </c>
      <c r="G13864">
        <v>0.62</v>
      </c>
      <c r="H13864" s="1" t="str">
        <f>HYPERLINK("http://www.weizmann.ac.il/complex/compphys/software/geview/data/figures/205299_s_at.png","Figure")</f>
        <v>Figure</v>
      </c>
      <c r="I13864">
        <v>1.04</v>
      </c>
      <c r="J13864">
        <v>0.74</v>
      </c>
      <c r="K13864">
        <v>0.98099999999999998</v>
      </c>
      <c r="L13864">
        <v>0.9</v>
      </c>
      <c r="M13864">
        <v>0.94299999999999995</v>
      </c>
      <c r="N13864">
        <v>0.47</v>
      </c>
    </row>
    <row r="13865" spans="1:14" x14ac:dyDescent="0.25">
      <c r="A13865" t="s">
        <v>23610</v>
      </c>
      <c r="B13865" t="s">
        <v>21360</v>
      </c>
      <c r="C13865" s="1" t="str">
        <f>HYPERLINK("http://www.genecards.org/cgi-bin/carddisp.pl?gene=C19orf10","GeneCards")</f>
        <v>GeneCards</v>
      </c>
      <c r="D13865" s="1" t="str">
        <f>HYPERLINK("http://genome-euro.ucsc.edu/cgi-bin/hgTracks?position=221739_at","UCSC")</f>
        <v>UCSC</v>
      </c>
      <c r="E13865" s="1" t="str">
        <f>HYPERLINK("http://www.ncbi.nlm.nih.gov/gene/?term=C19orf10","NCBI")</f>
        <v>NCBI</v>
      </c>
      <c r="F13865">
        <v>0.5</v>
      </c>
      <c r="G13865">
        <v>0.62</v>
      </c>
      <c r="H13865" s="1" t="str">
        <f>HYPERLINK("http://www.weizmann.ac.il/complex/compphys/software/geview/data/figures/221739_at.png","Figure")</f>
        <v>Figure</v>
      </c>
      <c r="I13865">
        <v>1.1100000000000001</v>
      </c>
      <c r="J13865">
        <v>0.69</v>
      </c>
      <c r="K13865">
        <v>0.96499999999999997</v>
      </c>
      <c r="L13865">
        <v>0.94</v>
      </c>
      <c r="M13865">
        <v>0.871</v>
      </c>
      <c r="N13865">
        <v>0.48</v>
      </c>
    </row>
    <row r="13866" spans="1:14" x14ac:dyDescent="0.25">
      <c r="A13866" t="s">
        <v>23611</v>
      </c>
      <c r="B13866" t="s">
        <v>23612</v>
      </c>
      <c r="C13866" s="1" t="str">
        <f>HYPERLINK("http://www.genecards.org/cgi-bin/carddisp.pl?gene=IK","GeneCards")</f>
        <v>GeneCards</v>
      </c>
      <c r="D13866" s="1" t="str">
        <f>HYPERLINK("http://genome-euro.ucsc.edu/cgi-bin/hgTracks?position=200066_at","UCSC")</f>
        <v>UCSC</v>
      </c>
      <c r="E13866" s="1" t="str">
        <f>HYPERLINK("http://www.ncbi.nlm.nih.gov/gene/?term=IK","NCBI")</f>
        <v>NCBI</v>
      </c>
      <c r="F13866">
        <v>0.5</v>
      </c>
      <c r="G13866">
        <v>0.62</v>
      </c>
      <c r="H13866" s="1" t="str">
        <f>HYPERLINK("http://www.weizmann.ac.il/complex/compphys/software/geview/data/figures/200066_at.png","Figure")</f>
        <v>Figure</v>
      </c>
      <c r="I13866">
        <v>1.19</v>
      </c>
      <c r="J13866">
        <v>0.48</v>
      </c>
      <c r="K13866">
        <v>1.1000000000000001</v>
      </c>
      <c r="L13866">
        <v>0.72</v>
      </c>
      <c r="M13866">
        <v>0.93100000000000005</v>
      </c>
      <c r="N13866">
        <v>0.86</v>
      </c>
    </row>
    <row r="13867" spans="1:14" x14ac:dyDescent="0.25">
      <c r="A13867" t="s">
        <v>23613</v>
      </c>
      <c r="B13867" t="s">
        <v>23614</v>
      </c>
      <c r="C13867" s="1" t="str">
        <f>HYPERLINK("http://www.genecards.org/cgi-bin/carddisp.pl?gene=TRIM3","GeneCards")</f>
        <v>GeneCards</v>
      </c>
      <c r="D13867" s="1" t="str">
        <f>HYPERLINK("http://genome-euro.ucsc.edu/cgi-bin/hgTracks?position=213884_s_at","UCSC")</f>
        <v>UCSC</v>
      </c>
      <c r="E13867" s="1" t="str">
        <f>HYPERLINK("http://www.ncbi.nlm.nih.gov/gene/?term=TRIM3","NCBI")</f>
        <v>NCBI</v>
      </c>
      <c r="F13867">
        <v>0.5</v>
      </c>
      <c r="G13867">
        <v>0.62</v>
      </c>
      <c r="H13867" s="1" t="str">
        <f>HYPERLINK("http://www.weizmann.ac.il/complex/compphys/software/geview/data/figures/213884_s_at.png","Figure")</f>
        <v>Figure</v>
      </c>
      <c r="I13867">
        <v>1</v>
      </c>
      <c r="J13867">
        <v>1</v>
      </c>
      <c r="K13867">
        <v>0.98599999999999999</v>
      </c>
      <c r="L13867">
        <v>0.56999999999999995</v>
      </c>
      <c r="M13867">
        <v>0.98599999999999999</v>
      </c>
      <c r="N13867">
        <v>0.61</v>
      </c>
    </row>
    <row r="13868" spans="1:14" x14ac:dyDescent="0.25">
      <c r="A13868" t="s">
        <v>23615</v>
      </c>
      <c r="B13868" t="s">
        <v>19183</v>
      </c>
      <c r="C13868" s="1" t="str">
        <f>HYPERLINK("http://www.genecards.org/cgi-bin/carddisp.pl?gene=NUP214","GeneCards")</f>
        <v>GeneCards</v>
      </c>
      <c r="D13868" s="1" t="str">
        <f>HYPERLINK("http://genome-euro.ucsc.edu/cgi-bin/hgTracks?position=211261_at","UCSC")</f>
        <v>UCSC</v>
      </c>
      <c r="E13868" s="1" t="str">
        <f>HYPERLINK("http://www.ncbi.nlm.nih.gov/gene/?term=NUP214","NCBI")</f>
        <v>NCBI</v>
      </c>
      <c r="F13868">
        <v>0.5</v>
      </c>
      <c r="G13868">
        <v>0.62</v>
      </c>
      <c r="H13868" s="1" t="str">
        <f>HYPERLINK("http://www.weizmann.ac.il/complex/compphys/software/geview/data/figures/211261_at.png","Figure")</f>
        <v>Figure</v>
      </c>
      <c r="I13868">
        <v>1.1100000000000001</v>
      </c>
      <c r="J13868">
        <v>0.48</v>
      </c>
      <c r="K13868">
        <v>1.06</v>
      </c>
      <c r="L13868">
        <v>0.74</v>
      </c>
      <c r="M13868">
        <v>0.95399999999999996</v>
      </c>
      <c r="N13868">
        <v>0.84</v>
      </c>
    </row>
    <row r="13869" spans="1:14" x14ac:dyDescent="0.25">
      <c r="A13869" t="s">
        <v>23616</v>
      </c>
      <c r="B13869" t="s">
        <v>3885</v>
      </c>
      <c r="C13869" s="1" t="str">
        <f>HYPERLINK("http://www.genecards.org/cgi-bin/carddisp.pl?gene=POM121 /// POM121C","GeneCards")</f>
        <v>GeneCards</v>
      </c>
      <c r="D13869" s="1" t="str">
        <f>HYPERLINK("http://genome-euro.ucsc.edu/cgi-bin/hgTracks?position=212178_s_at","UCSC")</f>
        <v>UCSC</v>
      </c>
      <c r="E13869" s="1" t="str">
        <f>HYPERLINK("http://www.ncbi.nlm.nih.gov/gene/?term=POM121 /// POM121C","NCBI")</f>
        <v>NCBI</v>
      </c>
      <c r="F13869">
        <v>0.5</v>
      </c>
      <c r="G13869">
        <v>0.62</v>
      </c>
      <c r="H13869" s="1" t="str">
        <f>HYPERLINK("http://www.weizmann.ac.il/complex/compphys/software/geview/data/figures/212178_s_at.png","Figure")</f>
        <v>Figure</v>
      </c>
      <c r="I13869">
        <v>1.1200000000000001</v>
      </c>
      <c r="J13869">
        <v>0.8</v>
      </c>
      <c r="K13869">
        <v>0.91800000000000004</v>
      </c>
      <c r="L13869">
        <v>0.85</v>
      </c>
      <c r="M13869">
        <v>0.81799999999999995</v>
      </c>
      <c r="N13869">
        <v>0.48</v>
      </c>
    </row>
    <row r="13870" spans="1:14" x14ac:dyDescent="0.25">
      <c r="A13870" t="s">
        <v>23617</v>
      </c>
      <c r="B13870" t="s">
        <v>21382</v>
      </c>
      <c r="C13870" s="1" t="str">
        <f>HYPERLINK("http://www.genecards.org/cgi-bin/carddisp.pl?gene=GRIK5","GeneCards")</f>
        <v>GeneCards</v>
      </c>
      <c r="D13870" s="1" t="str">
        <f>HYPERLINK("http://genome-euro.ucsc.edu/cgi-bin/hgTracks?position=214966_at","UCSC")</f>
        <v>UCSC</v>
      </c>
      <c r="E13870" s="1" t="str">
        <f>HYPERLINK("http://www.ncbi.nlm.nih.gov/gene/?term=GRIK5","NCBI")</f>
        <v>NCBI</v>
      </c>
      <c r="F13870">
        <v>0.51</v>
      </c>
      <c r="G13870">
        <v>0.62</v>
      </c>
      <c r="H13870" s="1" t="str">
        <f>HYPERLINK("http://www.weizmann.ac.il/complex/compphys/software/geview/data/figures/214966_at.png","Figure")</f>
        <v>Figure</v>
      </c>
      <c r="I13870">
        <v>0.96699999999999997</v>
      </c>
      <c r="J13870">
        <v>0.81</v>
      </c>
      <c r="K13870">
        <v>0.94499999999999995</v>
      </c>
      <c r="L13870">
        <v>0.47</v>
      </c>
      <c r="M13870">
        <v>0.97699999999999998</v>
      </c>
      <c r="N13870">
        <v>0.89</v>
      </c>
    </row>
    <row r="13871" spans="1:14" x14ac:dyDescent="0.25">
      <c r="A13871" t="s">
        <v>23618</v>
      </c>
      <c r="B13871" t="s">
        <v>23619</v>
      </c>
      <c r="C13871" s="1" t="str">
        <f>HYPERLINK("http://www.genecards.org/cgi-bin/carddisp.pl?gene=NEAT1","GeneCards")</f>
        <v>GeneCards</v>
      </c>
      <c r="D13871" s="1" t="str">
        <f>HYPERLINK("http://genome-euro.ucsc.edu/cgi-bin/hgTracks?position=214657_s_at","UCSC")</f>
        <v>UCSC</v>
      </c>
      <c r="E13871" s="1" t="str">
        <f>HYPERLINK("http://www.ncbi.nlm.nih.gov/gene/?term=NEAT1","NCBI")</f>
        <v>NCBI</v>
      </c>
      <c r="F13871">
        <v>0.51</v>
      </c>
      <c r="G13871">
        <v>0.62</v>
      </c>
      <c r="H13871" s="1" t="str">
        <f>HYPERLINK("http://www.weizmann.ac.il/complex/compphys/software/geview/data/figures/214657_s_at.png","Figure")</f>
        <v>Figure</v>
      </c>
      <c r="I13871">
        <v>0.73199999999999998</v>
      </c>
      <c r="J13871">
        <v>0.47</v>
      </c>
      <c r="K13871">
        <v>0.871</v>
      </c>
      <c r="L13871">
        <v>0.82</v>
      </c>
      <c r="M13871">
        <v>1.19</v>
      </c>
      <c r="N13871">
        <v>0.76</v>
      </c>
    </row>
    <row r="13872" spans="1:14" x14ac:dyDescent="0.25">
      <c r="A13872" t="s">
        <v>23620</v>
      </c>
      <c r="B13872" t="s">
        <v>14210</v>
      </c>
      <c r="C13872" s="1" t="str">
        <f>HYPERLINK("http://www.genecards.org/cgi-bin/carddisp.pl?gene=BLVRA","GeneCards")</f>
        <v>GeneCards</v>
      </c>
      <c r="D13872" s="1" t="str">
        <f>HYPERLINK("http://genome-euro.ucsc.edu/cgi-bin/hgTracks?position=203772_at","UCSC")</f>
        <v>UCSC</v>
      </c>
      <c r="E13872" s="1" t="str">
        <f>HYPERLINK("http://www.ncbi.nlm.nih.gov/gene/?term=BLVRA","NCBI")</f>
        <v>NCBI</v>
      </c>
      <c r="F13872">
        <v>0.51</v>
      </c>
      <c r="G13872">
        <v>0.62</v>
      </c>
      <c r="H13872" s="1" t="str">
        <f>HYPERLINK("http://www.weizmann.ac.il/complex/compphys/software/geview/data/figures/203772_at.png","Figure")</f>
        <v>Figure</v>
      </c>
      <c r="I13872">
        <v>1.01</v>
      </c>
      <c r="J13872">
        <v>0.52</v>
      </c>
      <c r="K13872">
        <v>1.01</v>
      </c>
      <c r="L13872">
        <v>0.63</v>
      </c>
      <c r="M13872">
        <v>0.997</v>
      </c>
      <c r="N13872">
        <v>0.94</v>
      </c>
    </row>
    <row r="13873" spans="1:14" x14ac:dyDescent="0.25">
      <c r="A13873" t="s">
        <v>23621</v>
      </c>
      <c r="B13873" t="s">
        <v>4479</v>
      </c>
      <c r="C13873" s="1" t="str">
        <f>HYPERLINK("http://www.genecards.org/cgi-bin/carddisp.pl?gene=ARNTL","GeneCards")</f>
        <v>GeneCards</v>
      </c>
      <c r="D13873" s="1" t="str">
        <f>HYPERLINK("http://genome-euro.ucsc.edu/cgi-bin/hgTracks?position=210971_s_at","UCSC")</f>
        <v>UCSC</v>
      </c>
      <c r="E13873" s="1" t="str">
        <f>HYPERLINK("http://www.ncbi.nlm.nih.gov/gene/?term=ARNTL","NCBI")</f>
        <v>NCBI</v>
      </c>
      <c r="F13873">
        <v>0.51</v>
      </c>
      <c r="G13873">
        <v>0.62</v>
      </c>
      <c r="H13873" s="1" t="str">
        <f>HYPERLINK("http://www.weizmann.ac.il/complex/compphys/software/geview/data/figures/210971_s_at.png","Figure")</f>
        <v>Figure</v>
      </c>
      <c r="I13873">
        <v>1.01</v>
      </c>
      <c r="J13873">
        <v>0.99</v>
      </c>
      <c r="K13873">
        <v>0.93600000000000005</v>
      </c>
      <c r="L13873">
        <v>0.62</v>
      </c>
      <c r="M13873">
        <v>0.92600000000000005</v>
      </c>
      <c r="N13873">
        <v>0.56999999999999995</v>
      </c>
    </row>
    <row r="13874" spans="1:14" x14ac:dyDescent="0.25">
      <c r="A13874" t="s">
        <v>23622</v>
      </c>
      <c r="B13874" t="s">
        <v>14469</v>
      </c>
      <c r="C13874" s="1" t="str">
        <f>HYPERLINK("http://www.genecards.org/cgi-bin/carddisp.pl?gene=EIF4E","GeneCards")</f>
        <v>GeneCards</v>
      </c>
      <c r="D13874" s="1" t="str">
        <f>HYPERLINK("http://genome-euro.ucsc.edu/cgi-bin/hgTracks?position=201435_s_at","UCSC")</f>
        <v>UCSC</v>
      </c>
      <c r="E13874" s="1" t="str">
        <f>HYPERLINK("http://www.ncbi.nlm.nih.gov/gene/?term=EIF4E","NCBI")</f>
        <v>NCBI</v>
      </c>
      <c r="F13874">
        <v>0.51</v>
      </c>
      <c r="G13874">
        <v>0.62</v>
      </c>
      <c r="H13874" s="1" t="str">
        <f>HYPERLINK("http://www.weizmann.ac.il/complex/compphys/software/geview/data/figures/201435_s_at.png","Figure")</f>
        <v>Figure</v>
      </c>
      <c r="I13874">
        <v>0.80200000000000005</v>
      </c>
      <c r="J13874">
        <v>0.51</v>
      </c>
      <c r="K13874">
        <v>0.85499999999999998</v>
      </c>
      <c r="L13874">
        <v>0.64</v>
      </c>
      <c r="M13874">
        <v>1.07</v>
      </c>
      <c r="N13874">
        <v>0.94</v>
      </c>
    </row>
    <row r="13875" spans="1:14" x14ac:dyDescent="0.25">
      <c r="A13875" t="s">
        <v>23623</v>
      </c>
      <c r="B13875" t="s">
        <v>16544</v>
      </c>
      <c r="C13875" s="1" t="str">
        <f>HYPERLINK("http://www.genecards.org/cgi-bin/carddisp.pl?gene=PTGS1","GeneCards")</f>
        <v>GeneCards</v>
      </c>
      <c r="D13875" s="1" t="str">
        <f>HYPERLINK("http://genome-euro.ucsc.edu/cgi-bin/hgTracks?position=215813_s_at","UCSC")</f>
        <v>UCSC</v>
      </c>
      <c r="E13875" s="1" t="str">
        <f>HYPERLINK("http://www.ncbi.nlm.nih.gov/gene/?term=PTGS1","NCBI")</f>
        <v>NCBI</v>
      </c>
      <c r="F13875">
        <v>0.51</v>
      </c>
      <c r="G13875">
        <v>0.62</v>
      </c>
      <c r="H13875" s="1" t="str">
        <f>HYPERLINK("http://www.weizmann.ac.il/complex/compphys/software/geview/data/figures/215813_s_at.png","Figure")</f>
        <v>Figure</v>
      </c>
      <c r="I13875">
        <v>0.93799999999999994</v>
      </c>
      <c r="J13875">
        <v>0.75</v>
      </c>
      <c r="K13875">
        <v>0.91400000000000003</v>
      </c>
      <c r="L13875">
        <v>0.48</v>
      </c>
      <c r="M13875">
        <v>0.97399999999999998</v>
      </c>
      <c r="N13875">
        <v>0.95</v>
      </c>
    </row>
    <row r="13876" spans="1:14" x14ac:dyDescent="0.25">
      <c r="A13876" t="s">
        <v>23624</v>
      </c>
      <c r="B13876" t="s">
        <v>23625</v>
      </c>
      <c r="C13876" s="1" t="str">
        <f>HYPERLINK("http://www.genecards.org/cgi-bin/carddisp.pl?gene=COPZ2","GeneCards")</f>
        <v>GeneCards</v>
      </c>
      <c r="D13876" s="1" t="str">
        <f>HYPERLINK("http://genome-euro.ucsc.edu/cgi-bin/hgTracks?position=219561_at","UCSC")</f>
        <v>UCSC</v>
      </c>
      <c r="E13876" s="1" t="str">
        <f>HYPERLINK("http://www.ncbi.nlm.nih.gov/gene/?term=COPZ2","NCBI")</f>
        <v>NCBI</v>
      </c>
      <c r="F13876">
        <v>0.51</v>
      </c>
      <c r="G13876">
        <v>0.62</v>
      </c>
      <c r="H13876" s="1" t="str">
        <f>HYPERLINK("http://www.weizmann.ac.il/complex/compphys/software/geview/data/figures/219561_at.png","Figure")</f>
        <v>Figure</v>
      </c>
      <c r="I13876">
        <v>1.1000000000000001</v>
      </c>
      <c r="J13876">
        <v>0.49</v>
      </c>
      <c r="K13876">
        <v>1.06</v>
      </c>
      <c r="L13876">
        <v>0.72</v>
      </c>
      <c r="M13876">
        <v>0.96099999999999997</v>
      </c>
      <c r="N13876">
        <v>0.86</v>
      </c>
    </row>
    <row r="13877" spans="1:14" x14ac:dyDescent="0.25">
      <c r="A13877" t="s">
        <v>23626</v>
      </c>
      <c r="B13877" t="s">
        <v>23627</v>
      </c>
      <c r="C13877" s="1" t="str">
        <f>HYPERLINK("http://www.genecards.org/cgi-bin/carddisp.pl?gene=RP2","GeneCards")</f>
        <v>GeneCards</v>
      </c>
      <c r="D13877" s="1" t="str">
        <f>HYPERLINK("http://genome-euro.ucsc.edu/cgi-bin/hgTracks?position=205191_at","UCSC")</f>
        <v>UCSC</v>
      </c>
      <c r="E13877" s="1" t="str">
        <f>HYPERLINK("http://www.ncbi.nlm.nih.gov/gene/?term=RP2","NCBI")</f>
        <v>NCBI</v>
      </c>
      <c r="F13877">
        <v>0.51</v>
      </c>
      <c r="G13877">
        <v>0.62</v>
      </c>
      <c r="H13877" s="1" t="str">
        <f>HYPERLINK("http://www.weizmann.ac.il/complex/compphys/software/geview/data/figures/205191_at.png","Figure")</f>
        <v>Figure</v>
      </c>
      <c r="I13877">
        <v>0.874</v>
      </c>
      <c r="J13877">
        <v>0.47</v>
      </c>
      <c r="K13877">
        <v>0.94199999999999995</v>
      </c>
      <c r="L13877">
        <v>0.82</v>
      </c>
      <c r="M13877">
        <v>1.08</v>
      </c>
      <c r="N13877">
        <v>0.76</v>
      </c>
    </row>
    <row r="13878" spans="1:14" x14ac:dyDescent="0.25">
      <c r="A13878" t="s">
        <v>23628</v>
      </c>
      <c r="B13878" t="s">
        <v>23629</v>
      </c>
      <c r="C13878" s="1" t="str">
        <f>HYPERLINK("http://www.genecards.org/cgi-bin/carddisp.pl?gene=ERMP1","GeneCards")</f>
        <v>GeneCards</v>
      </c>
      <c r="D13878" s="1" t="str">
        <f>HYPERLINK("http://genome-euro.ucsc.edu/cgi-bin/hgTracks?position=218342_s_at","UCSC")</f>
        <v>UCSC</v>
      </c>
      <c r="E13878" s="1" t="str">
        <f>HYPERLINK("http://www.ncbi.nlm.nih.gov/gene/?term=ERMP1","NCBI")</f>
        <v>NCBI</v>
      </c>
      <c r="F13878">
        <v>0.51</v>
      </c>
      <c r="G13878">
        <v>0.62</v>
      </c>
      <c r="H13878" s="1" t="str">
        <f>HYPERLINK("http://www.weizmann.ac.il/complex/compphys/software/geview/data/figures/218342_s_at.png","Figure")</f>
        <v>Figure</v>
      </c>
      <c r="I13878">
        <v>0.89500000000000002</v>
      </c>
      <c r="J13878">
        <v>0.49</v>
      </c>
      <c r="K13878">
        <v>0.96899999999999997</v>
      </c>
      <c r="L13878">
        <v>0.92</v>
      </c>
      <c r="M13878">
        <v>1.08</v>
      </c>
      <c r="N13878">
        <v>0.65</v>
      </c>
    </row>
    <row r="13879" spans="1:14" x14ac:dyDescent="0.25">
      <c r="A13879" t="s">
        <v>23630</v>
      </c>
      <c r="B13879" t="s">
        <v>17695</v>
      </c>
      <c r="C13879" s="1" t="str">
        <f>HYPERLINK("http://www.genecards.org/cgi-bin/carddisp.pl?gene=MBD3","GeneCards")</f>
        <v>GeneCards</v>
      </c>
      <c r="D13879" s="1" t="str">
        <f>HYPERLINK("http://genome-euro.ucsc.edu/cgi-bin/hgTracks?position=202463_s_at","UCSC")</f>
        <v>UCSC</v>
      </c>
      <c r="E13879" s="1" t="str">
        <f>HYPERLINK("http://www.ncbi.nlm.nih.gov/gene/?term=MBD3","NCBI")</f>
        <v>NCBI</v>
      </c>
      <c r="F13879">
        <v>0.51</v>
      </c>
      <c r="G13879">
        <v>0.62</v>
      </c>
      <c r="H13879" s="1" t="str">
        <f>HYPERLINK("http://www.weizmann.ac.il/complex/compphys/software/geview/data/figures/202463_s_at.png","Figure")</f>
        <v>Figure</v>
      </c>
      <c r="I13879">
        <v>1.05</v>
      </c>
      <c r="J13879">
        <v>0.85</v>
      </c>
      <c r="K13879">
        <v>1.1000000000000001</v>
      </c>
      <c r="L13879">
        <v>0.48</v>
      </c>
      <c r="M13879">
        <v>1.05</v>
      </c>
      <c r="N13879">
        <v>0.86</v>
      </c>
    </row>
    <row r="13880" spans="1:14" x14ac:dyDescent="0.25">
      <c r="A13880" t="s">
        <v>23631</v>
      </c>
      <c r="B13880" t="s">
        <v>4186</v>
      </c>
      <c r="C13880" s="1" t="str">
        <f>HYPERLINK("http://www.genecards.org/cgi-bin/carddisp.pl?gene=PRKCQ","GeneCards")</f>
        <v>GeneCards</v>
      </c>
      <c r="D13880" s="1" t="str">
        <f>HYPERLINK("http://genome-euro.ucsc.edu/cgi-bin/hgTracks?position=210038_at","UCSC")</f>
        <v>UCSC</v>
      </c>
      <c r="E13880" s="1" t="str">
        <f>HYPERLINK("http://www.ncbi.nlm.nih.gov/gene/?term=PRKCQ","NCBI")</f>
        <v>NCBI</v>
      </c>
      <c r="F13880">
        <v>0.51</v>
      </c>
      <c r="G13880">
        <v>0.62</v>
      </c>
      <c r="H13880" s="1" t="str">
        <f>HYPERLINK("http://www.weizmann.ac.il/complex/compphys/software/geview/data/figures/210038_at.png","Figure")</f>
        <v>Figure</v>
      </c>
      <c r="I13880">
        <v>1.0900000000000001</v>
      </c>
      <c r="J13880">
        <v>0.93</v>
      </c>
      <c r="K13880">
        <v>0.84599999999999997</v>
      </c>
      <c r="L13880">
        <v>0.71</v>
      </c>
      <c r="M13880">
        <v>0.77700000000000002</v>
      </c>
      <c r="N13880">
        <v>0.51</v>
      </c>
    </row>
    <row r="13881" spans="1:14" x14ac:dyDescent="0.25">
      <c r="A13881" t="s">
        <v>23632</v>
      </c>
      <c r="B13881" t="s">
        <v>9300</v>
      </c>
      <c r="C13881" s="1" t="str">
        <f>HYPERLINK("http://www.genecards.org/cgi-bin/carddisp.pl?gene=GRIN2B","GeneCards")</f>
        <v>GeneCards</v>
      </c>
      <c r="D13881" s="1" t="str">
        <f>HYPERLINK("http://genome-euro.ucsc.edu/cgi-bin/hgTracks?position=210411_s_at","UCSC")</f>
        <v>UCSC</v>
      </c>
      <c r="E13881" s="1" t="str">
        <f>HYPERLINK("http://www.ncbi.nlm.nih.gov/gene/?term=GRIN2B","NCBI")</f>
        <v>NCBI</v>
      </c>
      <c r="F13881">
        <v>0.51</v>
      </c>
      <c r="G13881">
        <v>0.62</v>
      </c>
      <c r="H13881" s="1" t="str">
        <f>HYPERLINK("http://www.weizmann.ac.il/complex/compphys/software/geview/data/figures/210411_s_at.png","Figure")</f>
        <v>Figure</v>
      </c>
      <c r="I13881">
        <v>1.05</v>
      </c>
      <c r="J13881">
        <v>0.78</v>
      </c>
      <c r="K13881">
        <v>0.97</v>
      </c>
      <c r="L13881">
        <v>0.87</v>
      </c>
      <c r="M13881">
        <v>0.92400000000000004</v>
      </c>
      <c r="N13881">
        <v>0.48</v>
      </c>
    </row>
    <row r="13882" spans="1:14" x14ac:dyDescent="0.25">
      <c r="A13882" t="s">
        <v>23633</v>
      </c>
      <c r="B13882" t="s">
        <v>14718</v>
      </c>
      <c r="C13882" s="1" t="str">
        <f>HYPERLINK("http://www.genecards.org/cgi-bin/carddisp.pl?gene=CDC27","GeneCards")</f>
        <v>GeneCards</v>
      </c>
      <c r="D13882" s="1" t="str">
        <f>HYPERLINK("http://genome-euro.ucsc.edu/cgi-bin/hgTracks?position=217881_s_at","UCSC")</f>
        <v>UCSC</v>
      </c>
      <c r="E13882" s="1" t="str">
        <f>HYPERLINK("http://www.ncbi.nlm.nih.gov/gene/?term=CDC27","NCBI")</f>
        <v>NCBI</v>
      </c>
      <c r="F13882">
        <v>0.51</v>
      </c>
      <c r="G13882">
        <v>0.62</v>
      </c>
      <c r="H13882" s="1" t="str">
        <f>HYPERLINK("http://www.weizmann.ac.il/complex/compphys/software/geview/data/figures/217881_s_at.png","Figure")</f>
        <v>Figure</v>
      </c>
      <c r="I13882">
        <v>0.88100000000000001</v>
      </c>
      <c r="J13882">
        <v>0.51</v>
      </c>
      <c r="K13882">
        <v>0.97499999999999998</v>
      </c>
      <c r="L13882">
        <v>0.96</v>
      </c>
      <c r="M13882">
        <v>1.1100000000000001</v>
      </c>
      <c r="N13882">
        <v>0.6</v>
      </c>
    </row>
    <row r="13883" spans="1:14" x14ac:dyDescent="0.25">
      <c r="A13883" t="s">
        <v>23634</v>
      </c>
      <c r="B13883" t="s">
        <v>6728</v>
      </c>
      <c r="C13883" s="1" t="str">
        <f>HYPERLINK("http://www.genecards.org/cgi-bin/carddisp.pl?gene=HNRNPU","GeneCards")</f>
        <v>GeneCards</v>
      </c>
      <c r="D13883" s="1" t="str">
        <f>HYPERLINK("http://genome-euro.ucsc.edu/cgi-bin/hgTracks?position=200594_x_at","UCSC")</f>
        <v>UCSC</v>
      </c>
      <c r="E13883" s="1" t="str">
        <f>HYPERLINK("http://www.ncbi.nlm.nih.gov/gene/?term=HNRNPU","NCBI")</f>
        <v>NCBI</v>
      </c>
      <c r="F13883">
        <v>0.51</v>
      </c>
      <c r="G13883">
        <v>0.62</v>
      </c>
      <c r="H13883" s="1" t="str">
        <f>HYPERLINK("http://www.weizmann.ac.il/complex/compphys/software/geview/data/figures/200594_x_at.png","Figure")</f>
        <v>Figure</v>
      </c>
      <c r="I13883">
        <v>1.24</v>
      </c>
      <c r="J13883">
        <v>0.48</v>
      </c>
      <c r="K13883">
        <v>1.1299999999999999</v>
      </c>
      <c r="L13883">
        <v>0.73</v>
      </c>
      <c r="M13883">
        <v>0.91100000000000003</v>
      </c>
      <c r="N13883">
        <v>0.85</v>
      </c>
    </row>
    <row r="13884" spans="1:14" x14ac:dyDescent="0.25">
      <c r="A13884" t="s">
        <v>23635</v>
      </c>
      <c r="B13884" t="s">
        <v>23636</v>
      </c>
      <c r="C13884" s="1" t="str">
        <f>HYPERLINK("http://www.genecards.org/cgi-bin/carddisp.pl?gene=FAM82A2","GeneCards")</f>
        <v>GeneCards</v>
      </c>
      <c r="D13884" s="1" t="str">
        <f>HYPERLINK("http://genome-euro.ucsc.edu/cgi-bin/hgTracks?position=218126_at","UCSC")</f>
        <v>UCSC</v>
      </c>
      <c r="E13884" s="1" t="str">
        <f>HYPERLINK("http://www.ncbi.nlm.nih.gov/gene/?term=FAM82A2","NCBI")</f>
        <v>NCBI</v>
      </c>
      <c r="F13884">
        <v>0.51</v>
      </c>
      <c r="G13884">
        <v>0.62</v>
      </c>
      <c r="H13884" s="1" t="str">
        <f>HYPERLINK("http://www.weizmann.ac.il/complex/compphys/software/geview/data/figures/218126_at.png","Figure")</f>
        <v>Figure</v>
      </c>
      <c r="I13884">
        <v>1.08</v>
      </c>
      <c r="J13884">
        <v>0.75</v>
      </c>
      <c r="K13884">
        <v>0.96099999999999997</v>
      </c>
      <c r="L13884">
        <v>0.9</v>
      </c>
      <c r="M13884">
        <v>0.89</v>
      </c>
      <c r="N13884">
        <v>0.48</v>
      </c>
    </row>
    <row r="13885" spans="1:14" x14ac:dyDescent="0.25">
      <c r="A13885" t="s">
        <v>23637</v>
      </c>
      <c r="B13885" t="s">
        <v>23638</v>
      </c>
      <c r="C13885" s="1" t="str">
        <f>HYPERLINK("http://www.genecards.org/cgi-bin/carddisp.pl?gene=PPCS","GeneCards")</f>
        <v>GeneCards</v>
      </c>
      <c r="D13885" s="1" t="str">
        <f>HYPERLINK("http://genome-euro.ucsc.edu/cgi-bin/hgTracks?position=218341_at","UCSC")</f>
        <v>UCSC</v>
      </c>
      <c r="E13885" s="1" t="str">
        <f>HYPERLINK("http://www.ncbi.nlm.nih.gov/gene/?term=PPCS","NCBI")</f>
        <v>NCBI</v>
      </c>
      <c r="F13885">
        <v>0.51</v>
      </c>
      <c r="G13885">
        <v>0.62</v>
      </c>
      <c r="H13885" s="1" t="str">
        <f>HYPERLINK("http://www.weizmann.ac.il/complex/compphys/software/geview/data/figures/218341_at.png","Figure")</f>
        <v>Figure</v>
      </c>
      <c r="I13885">
        <v>0.96299999999999997</v>
      </c>
      <c r="J13885">
        <v>0.97</v>
      </c>
      <c r="K13885">
        <v>1.1299999999999999</v>
      </c>
      <c r="L13885">
        <v>0.66</v>
      </c>
      <c r="M13885">
        <v>1.17</v>
      </c>
      <c r="N13885">
        <v>0.54</v>
      </c>
    </row>
    <row r="13886" spans="1:14" x14ac:dyDescent="0.25">
      <c r="A13886" t="s">
        <v>23639</v>
      </c>
      <c r="B13886" t="s">
        <v>23640</v>
      </c>
      <c r="C13886" s="1" t="str">
        <f>HYPERLINK("http://www.genecards.org/cgi-bin/carddisp.pl?gene=C1orf113","GeneCards")</f>
        <v>GeneCards</v>
      </c>
      <c r="D13886" s="1" t="str">
        <f>HYPERLINK("http://genome-euro.ucsc.edu/cgi-bin/hgTracks?position=220193_at","UCSC")</f>
        <v>UCSC</v>
      </c>
      <c r="E13886" s="1" t="str">
        <f>HYPERLINK("http://www.ncbi.nlm.nih.gov/gene/?term=C1orf113","NCBI")</f>
        <v>NCBI</v>
      </c>
      <c r="F13886">
        <v>0.51</v>
      </c>
      <c r="G13886">
        <v>0.62</v>
      </c>
      <c r="H13886" s="1" t="str">
        <f>HYPERLINK("http://www.weizmann.ac.il/complex/compphys/software/geview/data/figures/220193_at.png","Figure")</f>
        <v>Figure</v>
      </c>
      <c r="I13886">
        <v>1.1200000000000001</v>
      </c>
      <c r="J13886">
        <v>0.5</v>
      </c>
      <c r="K13886">
        <v>1.03</v>
      </c>
      <c r="L13886">
        <v>0.95</v>
      </c>
      <c r="M13886">
        <v>0.91600000000000004</v>
      </c>
      <c r="N13886">
        <v>0.62</v>
      </c>
    </row>
    <row r="13887" spans="1:14" x14ac:dyDescent="0.25">
      <c r="A13887" t="s">
        <v>23641</v>
      </c>
      <c r="B13887" t="s">
        <v>23642</v>
      </c>
      <c r="C13887" s="1" t="str">
        <f>HYPERLINK("http://www.genecards.org/cgi-bin/carddisp.pl?gene=CA14","GeneCards")</f>
        <v>GeneCards</v>
      </c>
      <c r="D13887" s="1" t="str">
        <f>HYPERLINK("http://genome-euro.ucsc.edu/cgi-bin/hgTracks?position=219464_at","UCSC")</f>
        <v>UCSC</v>
      </c>
      <c r="E13887" s="1" t="str">
        <f>HYPERLINK("http://www.ncbi.nlm.nih.gov/gene/?term=CA14","NCBI")</f>
        <v>NCBI</v>
      </c>
      <c r="F13887">
        <v>0.51</v>
      </c>
      <c r="G13887">
        <v>0.62</v>
      </c>
      <c r="H13887" s="1" t="str">
        <f>HYPERLINK("http://www.weizmann.ac.il/complex/compphys/software/geview/data/figures/219464_at.png","Figure")</f>
        <v>Figure</v>
      </c>
      <c r="I13887">
        <v>0.97799999999999998</v>
      </c>
      <c r="J13887">
        <v>0.97</v>
      </c>
      <c r="K13887">
        <v>0.91</v>
      </c>
      <c r="L13887">
        <v>0.51</v>
      </c>
      <c r="M13887">
        <v>0.93100000000000005</v>
      </c>
      <c r="N13887">
        <v>0.71</v>
      </c>
    </row>
    <row r="13888" spans="1:14" x14ac:dyDescent="0.25">
      <c r="A13888" t="s">
        <v>23643</v>
      </c>
      <c r="B13888" t="s">
        <v>23644</v>
      </c>
      <c r="C13888" s="1" t="str">
        <f>HYPERLINK("http://www.genecards.org/cgi-bin/carddisp.pl?gene=FLCN","GeneCards")</f>
        <v>GeneCards</v>
      </c>
      <c r="D13888" s="1" t="str">
        <f>HYPERLINK("http://genome-euro.ucsc.edu/cgi-bin/hgTracks?position=215645_at","UCSC")</f>
        <v>UCSC</v>
      </c>
      <c r="E13888" s="1" t="str">
        <f>HYPERLINK("http://www.ncbi.nlm.nih.gov/gene/?term=FLCN","NCBI")</f>
        <v>NCBI</v>
      </c>
      <c r="F13888">
        <v>0.51</v>
      </c>
      <c r="G13888">
        <v>0.62</v>
      </c>
      <c r="H13888" s="1" t="str">
        <f>HYPERLINK("http://www.weizmann.ac.il/complex/compphys/software/geview/data/figures/215645_at.png","Figure")</f>
        <v>Figure</v>
      </c>
      <c r="I13888">
        <v>1.05</v>
      </c>
      <c r="J13888">
        <v>0.48</v>
      </c>
      <c r="K13888">
        <v>1.03</v>
      </c>
      <c r="L13888">
        <v>0.74</v>
      </c>
      <c r="M13888">
        <v>0.97599999999999998</v>
      </c>
      <c r="N13888">
        <v>0.83</v>
      </c>
    </row>
    <row r="13889" spans="1:14" x14ac:dyDescent="0.25">
      <c r="A13889" t="s">
        <v>23645</v>
      </c>
      <c r="B13889" t="s">
        <v>23646</v>
      </c>
      <c r="C13889" s="1" t="str">
        <f>HYPERLINK("http://www.genecards.org/cgi-bin/carddisp.pl?gene=RALYL","GeneCards")</f>
        <v>GeneCards</v>
      </c>
      <c r="D13889" s="1" t="str">
        <f>HYPERLINK("http://genome-euro.ucsc.edu/cgi-bin/hgTracks?position=213967_at","UCSC")</f>
        <v>UCSC</v>
      </c>
      <c r="E13889" s="1" t="str">
        <f>HYPERLINK("http://www.ncbi.nlm.nih.gov/gene/?term=RALYL","NCBI")</f>
        <v>NCBI</v>
      </c>
      <c r="F13889">
        <v>0.51</v>
      </c>
      <c r="G13889">
        <v>0.62</v>
      </c>
      <c r="H13889" s="1" t="str">
        <f>HYPERLINK("http://www.weizmann.ac.il/complex/compphys/software/geview/data/figures/213967_at.png","Figure")</f>
        <v>Figure</v>
      </c>
      <c r="I13889">
        <v>1.07</v>
      </c>
      <c r="J13889">
        <v>0.63</v>
      </c>
      <c r="K13889">
        <v>0.99</v>
      </c>
      <c r="L13889">
        <v>0.99</v>
      </c>
      <c r="M13889">
        <v>0.92800000000000005</v>
      </c>
      <c r="N13889">
        <v>0.5</v>
      </c>
    </row>
    <row r="13890" spans="1:14" x14ac:dyDescent="0.25">
      <c r="A13890" t="s">
        <v>23647</v>
      </c>
      <c r="B13890" t="s">
        <v>23648</v>
      </c>
      <c r="C13890" s="1" t="str">
        <f>HYPERLINK("http://www.genecards.org/cgi-bin/carddisp.pl?gene=SYT2","GeneCards")</f>
        <v>GeneCards</v>
      </c>
      <c r="D13890" s="1" t="str">
        <f>HYPERLINK("http://genome-euro.ucsc.edu/cgi-bin/hgTracks?position=214903_at","UCSC")</f>
        <v>UCSC</v>
      </c>
      <c r="E13890" s="1" t="str">
        <f>HYPERLINK("http://www.ncbi.nlm.nih.gov/gene/?term=SYT2","NCBI")</f>
        <v>NCBI</v>
      </c>
      <c r="F13890">
        <v>0.51</v>
      </c>
      <c r="G13890">
        <v>0.62</v>
      </c>
      <c r="H13890" s="1" t="str">
        <f>HYPERLINK("http://www.weizmann.ac.il/complex/compphys/software/geview/data/figures/214903_at.png","Figure")</f>
        <v>Figure</v>
      </c>
      <c r="I13890">
        <v>1.05</v>
      </c>
      <c r="J13890">
        <v>0.83</v>
      </c>
      <c r="K13890">
        <v>1.1000000000000001</v>
      </c>
      <c r="L13890">
        <v>0.48</v>
      </c>
      <c r="M13890">
        <v>1.04</v>
      </c>
      <c r="N13890">
        <v>0.87</v>
      </c>
    </row>
    <row r="13891" spans="1:14" x14ac:dyDescent="0.25">
      <c r="A13891" t="s">
        <v>23649</v>
      </c>
      <c r="B13891" t="s">
        <v>23650</v>
      </c>
      <c r="C13891" s="1" t="str">
        <f>HYPERLINK("http://www.genecards.org/cgi-bin/carddisp.pl?gene=CTAG1A /// CTAG1B","GeneCards")</f>
        <v>GeneCards</v>
      </c>
      <c r="D13891" s="1" t="str">
        <f>HYPERLINK("http://genome-euro.ucsc.edu/cgi-bin/hgTracks?position=217339_x_at","UCSC")</f>
        <v>UCSC</v>
      </c>
      <c r="E13891" s="1" t="str">
        <f>HYPERLINK("http://www.ncbi.nlm.nih.gov/gene/?term=CTAG1A /// CTAG1B","NCBI")</f>
        <v>NCBI</v>
      </c>
      <c r="F13891">
        <v>0.51</v>
      </c>
      <c r="G13891">
        <v>0.62</v>
      </c>
      <c r="H13891" s="1" t="str">
        <f>HYPERLINK("http://www.weizmann.ac.il/complex/compphys/software/geview/data/figures/217339_x_at.png","Figure")</f>
        <v>Figure</v>
      </c>
      <c r="I13891">
        <v>1.03</v>
      </c>
      <c r="J13891">
        <v>0.69</v>
      </c>
      <c r="K13891">
        <v>0.99199999999999999</v>
      </c>
      <c r="L13891">
        <v>0.95</v>
      </c>
      <c r="M13891">
        <v>0.96599999999999997</v>
      </c>
      <c r="N13891">
        <v>0.48</v>
      </c>
    </row>
    <row r="13892" spans="1:14" x14ac:dyDescent="0.25">
      <c r="A13892" t="s">
        <v>23651</v>
      </c>
      <c r="B13892" t="s">
        <v>17278</v>
      </c>
      <c r="C13892" s="1" t="str">
        <f>HYPERLINK("http://www.genecards.org/cgi-bin/carddisp.pl?gene=KLHDC3","GeneCards")</f>
        <v>GeneCards</v>
      </c>
      <c r="D13892" s="1" t="str">
        <f>HYPERLINK("http://genome-euro.ucsc.edu/cgi-bin/hgTracks?position=214383_x_at","UCSC")</f>
        <v>UCSC</v>
      </c>
      <c r="E13892" s="1" t="str">
        <f>HYPERLINK("http://www.ncbi.nlm.nih.gov/gene/?term=KLHDC3","NCBI")</f>
        <v>NCBI</v>
      </c>
      <c r="F13892">
        <v>0.51</v>
      </c>
      <c r="G13892">
        <v>0.62</v>
      </c>
      <c r="H13892" s="1" t="str">
        <f>HYPERLINK("http://www.weizmann.ac.il/complex/compphys/software/geview/data/figures/214383_x_at.png","Figure")</f>
        <v>Figure</v>
      </c>
      <c r="I13892">
        <v>1.03</v>
      </c>
      <c r="J13892">
        <v>0.93</v>
      </c>
      <c r="K13892">
        <v>1.08</v>
      </c>
      <c r="L13892">
        <v>0.49</v>
      </c>
      <c r="M13892">
        <v>1.05</v>
      </c>
      <c r="N13892">
        <v>0.77</v>
      </c>
    </row>
    <row r="13893" spans="1:14" x14ac:dyDescent="0.25">
      <c r="A13893" t="s">
        <v>23652</v>
      </c>
      <c r="B13893" t="s">
        <v>23653</v>
      </c>
      <c r="C13893" s="1" t="str">
        <f>HYPERLINK("http://www.genecards.org/cgi-bin/carddisp.pl?gene=MYO19","GeneCards")</f>
        <v>GeneCards</v>
      </c>
      <c r="D13893" s="1" t="str">
        <f>HYPERLINK("http://genome-euro.ucsc.edu/cgi-bin/hgTracks?position=219320_at","UCSC")</f>
        <v>UCSC</v>
      </c>
      <c r="E13893" s="1" t="str">
        <f>HYPERLINK("http://www.ncbi.nlm.nih.gov/gene/?term=MYO19","NCBI")</f>
        <v>NCBI</v>
      </c>
      <c r="F13893">
        <v>0.51</v>
      </c>
      <c r="G13893">
        <v>0.62</v>
      </c>
      <c r="H13893" s="1" t="str">
        <f>HYPERLINK("http://www.weizmann.ac.il/complex/compphys/software/geview/data/figures/219320_at.png","Figure")</f>
        <v>Figure</v>
      </c>
      <c r="I13893">
        <v>1.1000000000000001</v>
      </c>
      <c r="J13893">
        <v>0.52</v>
      </c>
      <c r="K13893">
        <v>1.01</v>
      </c>
      <c r="L13893">
        <v>0.98</v>
      </c>
      <c r="M13893">
        <v>0.92500000000000004</v>
      </c>
      <c r="N13893">
        <v>0.59</v>
      </c>
    </row>
    <row r="13894" spans="1:14" x14ac:dyDescent="0.25">
      <c r="A13894" t="s">
        <v>23654</v>
      </c>
      <c r="B13894" t="s">
        <v>23655</v>
      </c>
      <c r="C13894" s="1" t="str">
        <f>HYPERLINK("http://www.genecards.org/cgi-bin/carddisp.pl?gene=CRLF2","GeneCards")</f>
        <v>GeneCards</v>
      </c>
      <c r="D13894" s="1" t="str">
        <f>HYPERLINK("http://genome-euro.ucsc.edu/cgi-bin/hgTracks?position=208303_s_at","UCSC")</f>
        <v>UCSC</v>
      </c>
      <c r="E13894" s="1" t="str">
        <f>HYPERLINK("http://www.ncbi.nlm.nih.gov/gene/?term=CRLF2","NCBI")</f>
        <v>NCBI</v>
      </c>
      <c r="F13894">
        <v>0.51</v>
      </c>
      <c r="G13894">
        <v>0.62</v>
      </c>
      <c r="H13894" s="1" t="str">
        <f>HYPERLINK("http://www.weizmann.ac.il/complex/compphys/software/geview/data/figures/208303_s_at.png","Figure")</f>
        <v>Figure</v>
      </c>
      <c r="I13894">
        <v>0.90900000000000003</v>
      </c>
      <c r="J13894">
        <v>0.7</v>
      </c>
      <c r="K13894">
        <v>1.04</v>
      </c>
      <c r="L13894">
        <v>0.94</v>
      </c>
      <c r="M13894">
        <v>1.1399999999999999</v>
      </c>
      <c r="N13894">
        <v>0.48</v>
      </c>
    </row>
    <row r="13895" spans="1:14" x14ac:dyDescent="0.25">
      <c r="A13895" t="s">
        <v>23656</v>
      </c>
      <c r="B13895" t="s">
        <v>18510</v>
      </c>
      <c r="C13895" s="1" t="str">
        <f>HYPERLINK("http://www.genecards.org/cgi-bin/carddisp.pl?gene=PNLIPRP1","GeneCards")</f>
        <v>GeneCards</v>
      </c>
      <c r="D13895" s="1" t="str">
        <f>HYPERLINK("http://genome-euro.ucsc.edu/cgi-bin/hgTracks?position=210722_at","UCSC")</f>
        <v>UCSC</v>
      </c>
      <c r="E13895" s="1" t="str">
        <f>HYPERLINK("http://www.ncbi.nlm.nih.gov/gene/?term=PNLIPRP1","NCBI")</f>
        <v>NCBI</v>
      </c>
      <c r="F13895">
        <v>0.51</v>
      </c>
      <c r="G13895">
        <v>0.62</v>
      </c>
      <c r="H13895" s="1" t="str">
        <f>HYPERLINK("http://www.weizmann.ac.il/complex/compphys/software/geview/data/figures/210722_at.png","Figure")</f>
        <v>Figure</v>
      </c>
      <c r="I13895">
        <v>1.07</v>
      </c>
      <c r="J13895">
        <v>0.48</v>
      </c>
      <c r="K13895">
        <v>1.03</v>
      </c>
      <c r="L13895">
        <v>0.77</v>
      </c>
      <c r="M13895">
        <v>0.97</v>
      </c>
      <c r="N13895">
        <v>0.81</v>
      </c>
    </row>
    <row r="13896" spans="1:14" x14ac:dyDescent="0.25">
      <c r="A13896" t="s">
        <v>23657</v>
      </c>
      <c r="B13896" t="s">
        <v>23658</v>
      </c>
      <c r="C13896" s="1" t="str">
        <f>HYPERLINK("http://www.genecards.org/cgi-bin/carddisp.pl?gene=ZNF767","GeneCards")</f>
        <v>GeneCards</v>
      </c>
      <c r="D13896" s="1" t="str">
        <f>HYPERLINK("http://genome-euro.ucsc.edu/cgi-bin/hgTracks?position=219627_at","UCSC")</f>
        <v>UCSC</v>
      </c>
      <c r="E13896" s="1" t="str">
        <f>HYPERLINK("http://www.ncbi.nlm.nih.gov/gene/?term=ZNF767","NCBI")</f>
        <v>NCBI</v>
      </c>
      <c r="F13896">
        <v>0.51</v>
      </c>
      <c r="G13896">
        <v>0.62</v>
      </c>
      <c r="H13896" s="1" t="str">
        <f>HYPERLINK("http://www.weizmann.ac.il/complex/compphys/software/geview/data/figures/219627_at.png","Figure")</f>
        <v>Figure</v>
      </c>
      <c r="I13896">
        <v>1.1499999999999999</v>
      </c>
      <c r="J13896">
        <v>0.55000000000000004</v>
      </c>
      <c r="K13896">
        <v>1.1200000000000001</v>
      </c>
      <c r="L13896">
        <v>0.59</v>
      </c>
      <c r="M13896">
        <v>0.97399999999999998</v>
      </c>
      <c r="N13896">
        <v>0.98</v>
      </c>
    </row>
    <row r="13897" spans="1:14" x14ac:dyDescent="0.25">
      <c r="A13897" t="s">
        <v>23659</v>
      </c>
      <c r="B13897" t="s">
        <v>23660</v>
      </c>
      <c r="C13897" s="1" t="str">
        <f>HYPERLINK("http://www.genecards.org/cgi-bin/carddisp.pl?gene=PRSS22","GeneCards")</f>
        <v>GeneCards</v>
      </c>
      <c r="D13897" s="1" t="str">
        <f>HYPERLINK("http://genome-euro.ucsc.edu/cgi-bin/hgTracks?position=205847_at","UCSC")</f>
        <v>UCSC</v>
      </c>
      <c r="E13897" s="1" t="str">
        <f>HYPERLINK("http://www.ncbi.nlm.nih.gov/gene/?term=PRSS22","NCBI")</f>
        <v>NCBI</v>
      </c>
      <c r="F13897">
        <v>0.51</v>
      </c>
      <c r="G13897">
        <v>0.62</v>
      </c>
      <c r="H13897" s="1" t="str">
        <f>HYPERLINK("http://www.weizmann.ac.il/complex/compphys/software/geview/data/figures/205847_at.png","Figure")</f>
        <v>Figure</v>
      </c>
      <c r="I13897">
        <v>0.93500000000000005</v>
      </c>
      <c r="J13897">
        <v>0.69</v>
      </c>
      <c r="K13897">
        <v>1.02</v>
      </c>
      <c r="L13897">
        <v>0.95</v>
      </c>
      <c r="M13897">
        <v>1.0900000000000001</v>
      </c>
      <c r="N13897">
        <v>0.48</v>
      </c>
    </row>
    <row r="13898" spans="1:14" x14ac:dyDescent="0.25">
      <c r="A13898" t="s">
        <v>23661</v>
      </c>
      <c r="B13898" t="s">
        <v>13956</v>
      </c>
      <c r="C13898" s="1" t="str">
        <f>HYPERLINK("http://www.genecards.org/cgi-bin/carddisp.pl?gene=OSBPL7","GeneCards")</f>
        <v>GeneCards</v>
      </c>
      <c r="D13898" s="1" t="str">
        <f>HYPERLINK("http://genome-euro.ucsc.edu/cgi-bin/hgTracks?position=210344_at","UCSC")</f>
        <v>UCSC</v>
      </c>
      <c r="E13898" s="1" t="str">
        <f>HYPERLINK("http://www.ncbi.nlm.nih.gov/gene/?term=OSBPL7","NCBI")</f>
        <v>NCBI</v>
      </c>
      <c r="F13898">
        <v>0.51</v>
      </c>
      <c r="G13898">
        <v>0.62</v>
      </c>
      <c r="H13898" s="1" t="str">
        <f>HYPERLINK("http://www.weizmann.ac.il/complex/compphys/software/geview/data/figures/210344_at.png","Figure")</f>
        <v>Figure</v>
      </c>
      <c r="I13898">
        <v>0.995</v>
      </c>
      <c r="J13898">
        <v>0.94</v>
      </c>
      <c r="K13898">
        <v>0.98399999999999999</v>
      </c>
      <c r="L13898">
        <v>0.5</v>
      </c>
      <c r="M13898">
        <v>0.98899999999999999</v>
      </c>
      <c r="N13898">
        <v>0.75</v>
      </c>
    </row>
    <row r="13899" spans="1:14" x14ac:dyDescent="0.25">
      <c r="A13899" t="s">
        <v>23662</v>
      </c>
      <c r="B13899" t="s">
        <v>23663</v>
      </c>
      <c r="C13899" s="1" t="str">
        <f>HYPERLINK("http://www.genecards.org/cgi-bin/carddisp.pl?gene=RECQL4","GeneCards")</f>
        <v>GeneCards</v>
      </c>
      <c r="D13899" s="1" t="str">
        <f>HYPERLINK("http://genome-euro.ucsc.edu/cgi-bin/hgTracks?position=213520_at","UCSC")</f>
        <v>UCSC</v>
      </c>
      <c r="E13899" s="1" t="str">
        <f>HYPERLINK("http://www.ncbi.nlm.nih.gov/gene/?term=RECQL4","NCBI")</f>
        <v>NCBI</v>
      </c>
      <c r="F13899">
        <v>0.51</v>
      </c>
      <c r="G13899">
        <v>0.62</v>
      </c>
      <c r="H13899" s="1" t="str">
        <f>HYPERLINK("http://www.weizmann.ac.il/complex/compphys/software/geview/data/figures/213520_at.png","Figure")</f>
        <v>Figure</v>
      </c>
      <c r="I13899">
        <v>1.19</v>
      </c>
      <c r="J13899">
        <v>0.55000000000000004</v>
      </c>
      <c r="K13899">
        <v>1.1499999999999999</v>
      </c>
      <c r="L13899">
        <v>0.59</v>
      </c>
      <c r="M13899">
        <v>0.96799999999999997</v>
      </c>
      <c r="N13899">
        <v>0.97</v>
      </c>
    </row>
    <row r="13900" spans="1:14" x14ac:dyDescent="0.25">
      <c r="A13900" t="s">
        <v>23664</v>
      </c>
      <c r="B13900" t="s">
        <v>22187</v>
      </c>
      <c r="C13900" s="1" t="str">
        <f>HYPERLINK("http://www.genecards.org/cgi-bin/carddisp.pl?gene=RPL13A","GeneCards")</f>
        <v>GeneCards</v>
      </c>
      <c r="D13900" s="1" t="str">
        <f>HYPERLINK("http://genome-euro.ucsc.edu/cgi-bin/hgTracks?position=210646_x_at","UCSC")</f>
        <v>UCSC</v>
      </c>
      <c r="E13900" s="1" t="str">
        <f>HYPERLINK("http://www.ncbi.nlm.nih.gov/gene/?term=RPL13A","NCBI")</f>
        <v>NCBI</v>
      </c>
      <c r="F13900">
        <v>0.51</v>
      </c>
      <c r="G13900">
        <v>0.62</v>
      </c>
      <c r="H13900" s="1" t="str">
        <f>HYPERLINK("http://www.weizmann.ac.il/complex/compphys/software/geview/data/figures/210646_x_at.png","Figure")</f>
        <v>Figure</v>
      </c>
      <c r="I13900">
        <v>1.07</v>
      </c>
      <c r="J13900">
        <v>0.68</v>
      </c>
      <c r="K13900">
        <v>0.98</v>
      </c>
      <c r="L13900">
        <v>0.96</v>
      </c>
      <c r="M13900">
        <v>0.91500000000000004</v>
      </c>
      <c r="N13900">
        <v>0.49</v>
      </c>
    </row>
    <row r="13901" spans="1:14" x14ac:dyDescent="0.25">
      <c r="A13901" t="s">
        <v>23665</v>
      </c>
      <c r="B13901" t="s">
        <v>3046</v>
      </c>
      <c r="C13901" s="1" t="str">
        <f>HYPERLINK("http://www.genecards.org/cgi-bin/carddisp.pl?gene=PARVB","GeneCards")</f>
        <v>GeneCards</v>
      </c>
      <c r="D13901" s="1" t="str">
        <f>HYPERLINK("http://genome-euro.ucsc.edu/cgi-bin/hgTracks?position=37965_at","UCSC")</f>
        <v>UCSC</v>
      </c>
      <c r="E13901" s="1" t="str">
        <f>HYPERLINK("http://www.ncbi.nlm.nih.gov/gene/?term=PARVB","NCBI")</f>
        <v>NCBI</v>
      </c>
      <c r="F13901">
        <v>0.51</v>
      </c>
      <c r="G13901">
        <v>0.62</v>
      </c>
      <c r="H13901" s="1" t="str">
        <f>HYPERLINK("http://www.weizmann.ac.il/complex/compphys/software/geview/data/figures/37965_at.png","Figure")</f>
        <v>Figure</v>
      </c>
      <c r="I13901">
        <v>0.99299999999999999</v>
      </c>
      <c r="J13901">
        <v>0.94</v>
      </c>
      <c r="K13901">
        <v>1.01</v>
      </c>
      <c r="L13901">
        <v>0.7</v>
      </c>
      <c r="M13901">
        <v>1.02</v>
      </c>
      <c r="N13901">
        <v>0.52</v>
      </c>
    </row>
    <row r="13902" spans="1:14" x14ac:dyDescent="0.25">
      <c r="A13902" t="s">
        <v>23666</v>
      </c>
      <c r="B13902" t="s">
        <v>23667</v>
      </c>
      <c r="C13902" s="1" t="str">
        <f>HYPERLINK("http://www.genecards.org/cgi-bin/carddisp.pl?gene=ATP8A1","GeneCards")</f>
        <v>GeneCards</v>
      </c>
      <c r="D13902" s="1" t="str">
        <f>HYPERLINK("http://genome-euro.ucsc.edu/cgi-bin/hgTracks?position=213106_at","UCSC")</f>
        <v>UCSC</v>
      </c>
      <c r="E13902" s="1" t="str">
        <f>HYPERLINK("http://www.ncbi.nlm.nih.gov/gene/?term=ATP8A1","NCBI")</f>
        <v>NCBI</v>
      </c>
      <c r="F13902">
        <v>0.51</v>
      </c>
      <c r="G13902">
        <v>0.62</v>
      </c>
      <c r="H13902" s="1" t="str">
        <f>HYPERLINK("http://www.weizmann.ac.il/complex/compphys/software/geview/data/figures/213106_at.png","Figure")</f>
        <v>Figure</v>
      </c>
      <c r="I13902">
        <v>0.85499999999999998</v>
      </c>
      <c r="J13902">
        <v>0.82</v>
      </c>
      <c r="K13902">
        <v>1.1399999999999999</v>
      </c>
      <c r="L13902">
        <v>0.84</v>
      </c>
      <c r="M13902">
        <v>1.33</v>
      </c>
      <c r="N13902">
        <v>0.48</v>
      </c>
    </row>
    <row r="13903" spans="1:14" x14ac:dyDescent="0.25">
      <c r="A13903" t="s">
        <v>23668</v>
      </c>
      <c r="B13903" t="s">
        <v>12429</v>
      </c>
      <c r="C13903" s="1" t="str">
        <f>HYPERLINK("http://www.genecards.org/cgi-bin/carddisp.pl?gene=API5","GeneCards")</f>
        <v>GeneCards</v>
      </c>
      <c r="D13903" s="1" t="str">
        <f>HYPERLINK("http://genome-euro.ucsc.edu/cgi-bin/hgTracks?position=201687_s_at","UCSC")</f>
        <v>UCSC</v>
      </c>
      <c r="E13903" s="1" t="str">
        <f>HYPERLINK("http://www.ncbi.nlm.nih.gov/gene/?term=API5","NCBI")</f>
        <v>NCBI</v>
      </c>
      <c r="F13903">
        <v>0.51</v>
      </c>
      <c r="G13903">
        <v>0.62</v>
      </c>
      <c r="H13903" s="1" t="str">
        <f>HYPERLINK("http://www.weizmann.ac.il/complex/compphys/software/geview/data/figures/201687_s_at.png","Figure")</f>
        <v>Figure</v>
      </c>
      <c r="I13903">
        <v>0.78900000000000003</v>
      </c>
      <c r="J13903">
        <v>0.48</v>
      </c>
      <c r="K13903">
        <v>0.92300000000000004</v>
      </c>
      <c r="L13903">
        <v>0.89</v>
      </c>
      <c r="M13903">
        <v>1.17</v>
      </c>
      <c r="N13903">
        <v>0.69</v>
      </c>
    </row>
    <row r="13904" spans="1:14" x14ac:dyDescent="0.25">
      <c r="A13904" t="s">
        <v>23669</v>
      </c>
      <c r="B13904" t="s">
        <v>23670</v>
      </c>
      <c r="C13904" s="1" t="str">
        <f>HYPERLINK("http://www.genecards.org/cgi-bin/carddisp.pl?gene=RPS6KC1","GeneCards")</f>
        <v>GeneCards</v>
      </c>
      <c r="D13904" s="1" t="str">
        <f>HYPERLINK("http://genome-euro.ucsc.edu/cgi-bin/hgTracks?position=218909_at","UCSC")</f>
        <v>UCSC</v>
      </c>
      <c r="E13904" s="1" t="str">
        <f>HYPERLINK("http://www.ncbi.nlm.nih.gov/gene/?term=RPS6KC1","NCBI")</f>
        <v>NCBI</v>
      </c>
      <c r="F13904">
        <v>0.51</v>
      </c>
      <c r="G13904">
        <v>0.62</v>
      </c>
      <c r="H13904" s="1" t="str">
        <f>HYPERLINK("http://www.weizmann.ac.il/complex/compphys/software/geview/data/figures/218909_at.png","Figure")</f>
        <v>Figure</v>
      </c>
      <c r="I13904">
        <v>0.85699999999999998</v>
      </c>
      <c r="J13904">
        <v>0.66</v>
      </c>
      <c r="K13904">
        <v>1.04</v>
      </c>
      <c r="L13904">
        <v>0.97</v>
      </c>
      <c r="M13904">
        <v>1.21</v>
      </c>
      <c r="N13904">
        <v>0.49</v>
      </c>
    </row>
    <row r="13905" spans="1:14" x14ac:dyDescent="0.25">
      <c r="A13905" t="s">
        <v>23671</v>
      </c>
      <c r="B13905" t="s">
        <v>23672</v>
      </c>
      <c r="C13905" s="1" t="str">
        <f>HYPERLINK("http://www.genecards.org/cgi-bin/carddisp.pl?gene=DHX58","GeneCards")</f>
        <v>GeneCards</v>
      </c>
      <c r="D13905" s="1" t="str">
        <f>HYPERLINK("http://genome-euro.ucsc.edu/cgi-bin/hgTracks?position=219364_at","UCSC")</f>
        <v>UCSC</v>
      </c>
      <c r="E13905" s="1" t="str">
        <f>HYPERLINK("http://www.ncbi.nlm.nih.gov/gene/?term=DHX58","NCBI")</f>
        <v>NCBI</v>
      </c>
      <c r="F13905">
        <v>0.51</v>
      </c>
      <c r="G13905">
        <v>0.62</v>
      </c>
      <c r="H13905" s="1" t="str">
        <f>HYPERLINK("http://www.weizmann.ac.il/complex/compphys/software/geview/data/figures/219364_at.png","Figure")</f>
        <v>Figure</v>
      </c>
      <c r="I13905">
        <v>0.996</v>
      </c>
      <c r="J13905">
        <v>1</v>
      </c>
      <c r="K13905">
        <v>1.1000000000000001</v>
      </c>
      <c r="L13905">
        <v>0.59</v>
      </c>
      <c r="M13905">
        <v>1.1000000000000001</v>
      </c>
      <c r="N13905">
        <v>0.6</v>
      </c>
    </row>
    <row r="13906" spans="1:14" x14ac:dyDescent="0.25">
      <c r="A13906" t="s">
        <v>23673</v>
      </c>
      <c r="B13906" t="s">
        <v>18600</v>
      </c>
      <c r="C13906" s="1" t="str">
        <f>HYPERLINK("http://www.genecards.org/cgi-bin/carddisp.pl?gene=TCEB3","GeneCards")</f>
        <v>GeneCards</v>
      </c>
      <c r="D13906" s="1" t="str">
        <f>HYPERLINK("http://genome-euro.ucsc.edu/cgi-bin/hgTracks?position=202818_s_at","UCSC")</f>
        <v>UCSC</v>
      </c>
      <c r="E13906" s="1" t="str">
        <f>HYPERLINK("http://www.ncbi.nlm.nih.gov/gene/?term=TCEB3","NCBI")</f>
        <v>NCBI</v>
      </c>
      <c r="F13906">
        <v>0.51</v>
      </c>
      <c r="G13906">
        <v>0.62</v>
      </c>
      <c r="H13906" s="1" t="str">
        <f>HYPERLINK("http://www.weizmann.ac.il/complex/compphys/software/geview/data/figures/202818_s_at.png","Figure")</f>
        <v>Figure</v>
      </c>
      <c r="I13906">
        <v>1.21</v>
      </c>
      <c r="J13906">
        <v>0.52</v>
      </c>
      <c r="K13906">
        <v>1.1499999999999999</v>
      </c>
      <c r="L13906">
        <v>0.63</v>
      </c>
      <c r="M13906">
        <v>0.95199999999999996</v>
      </c>
      <c r="N13906">
        <v>0.95</v>
      </c>
    </row>
    <row r="13907" spans="1:14" x14ac:dyDescent="0.25">
      <c r="A13907" t="s">
        <v>23674</v>
      </c>
      <c r="B13907" t="s">
        <v>23675</v>
      </c>
      <c r="C13907" s="1" t="str">
        <f>HYPERLINK("http://www.genecards.org/cgi-bin/carddisp.pl?gene=GGTLC1","GeneCards")</f>
        <v>GeneCards</v>
      </c>
      <c r="D13907" s="1" t="str">
        <f>HYPERLINK("http://genome-euro.ucsc.edu/cgi-bin/hgTracks?position=211416_x_at","UCSC")</f>
        <v>UCSC</v>
      </c>
      <c r="E13907" s="1" t="str">
        <f>HYPERLINK("http://www.ncbi.nlm.nih.gov/gene/?term=GGTLC1","NCBI")</f>
        <v>NCBI</v>
      </c>
      <c r="F13907">
        <v>0.51</v>
      </c>
      <c r="G13907">
        <v>0.62</v>
      </c>
      <c r="H13907" s="1" t="str">
        <f>HYPERLINK("http://www.weizmann.ac.il/complex/compphys/software/geview/data/figures/211416_x_at.png","Figure")</f>
        <v>Figure</v>
      </c>
      <c r="I13907">
        <v>1.1299999999999999</v>
      </c>
      <c r="J13907">
        <v>0.49</v>
      </c>
      <c r="K13907">
        <v>1.07</v>
      </c>
      <c r="L13907">
        <v>0.73</v>
      </c>
      <c r="M13907">
        <v>0.94799999999999995</v>
      </c>
      <c r="N13907">
        <v>0.86</v>
      </c>
    </row>
    <row r="13908" spans="1:14" x14ac:dyDescent="0.25">
      <c r="A13908" t="s">
        <v>23676</v>
      </c>
      <c r="B13908" t="s">
        <v>23677</v>
      </c>
      <c r="C13908" s="1" t="str">
        <f>HYPERLINK("http://www.genecards.org/cgi-bin/carddisp.pl?gene=ZRSR1","GeneCards")</f>
        <v>GeneCards</v>
      </c>
      <c r="D13908" s="1" t="str">
        <f>HYPERLINK("http://genome-euro.ucsc.edu/cgi-bin/hgTracks?position=206512_at","UCSC")</f>
        <v>UCSC</v>
      </c>
      <c r="E13908" s="1" t="str">
        <f>HYPERLINK("http://www.ncbi.nlm.nih.gov/gene/?term=ZRSR1","NCBI")</f>
        <v>NCBI</v>
      </c>
      <c r="F13908">
        <v>0.51</v>
      </c>
      <c r="G13908">
        <v>0.62</v>
      </c>
      <c r="H13908" s="1" t="str">
        <f>HYPERLINK("http://www.weizmann.ac.il/complex/compphys/software/geview/data/figures/206512_at.png","Figure")</f>
        <v>Figure</v>
      </c>
      <c r="I13908">
        <v>0.98699999999999999</v>
      </c>
      <c r="J13908">
        <v>0.73</v>
      </c>
      <c r="K13908">
        <v>1.01</v>
      </c>
      <c r="L13908">
        <v>0.92</v>
      </c>
      <c r="M13908">
        <v>1.02</v>
      </c>
      <c r="N13908">
        <v>0.48</v>
      </c>
    </row>
    <row r="13909" spans="1:14" x14ac:dyDescent="0.25">
      <c r="A13909" t="s">
        <v>23678</v>
      </c>
      <c r="B13909" t="s">
        <v>23679</v>
      </c>
      <c r="C13909" s="1" t="str">
        <f>HYPERLINK("http://www.genecards.org/cgi-bin/carddisp.pl?gene=LYZL6","GeneCards")</f>
        <v>GeneCards</v>
      </c>
      <c r="D13909" s="1" t="str">
        <f>HYPERLINK("http://genome-euro.ucsc.edu/cgi-bin/hgTracks?position=207343_at","UCSC")</f>
        <v>UCSC</v>
      </c>
      <c r="E13909" s="1" t="str">
        <f>HYPERLINK("http://www.ncbi.nlm.nih.gov/gene/?term=LYZL6","NCBI")</f>
        <v>NCBI</v>
      </c>
      <c r="F13909">
        <v>0.51</v>
      </c>
      <c r="G13909">
        <v>0.62</v>
      </c>
      <c r="H13909" s="1" t="str">
        <f>HYPERLINK("http://www.weizmann.ac.il/complex/compphys/software/geview/data/figures/207343_at.png","Figure")</f>
        <v>Figure</v>
      </c>
      <c r="I13909">
        <v>1.06</v>
      </c>
      <c r="J13909">
        <v>0.66</v>
      </c>
      <c r="K13909">
        <v>0.98799999999999999</v>
      </c>
      <c r="L13909">
        <v>0.97</v>
      </c>
      <c r="M13909">
        <v>0.93500000000000005</v>
      </c>
      <c r="N13909">
        <v>0.49</v>
      </c>
    </row>
    <row r="13910" spans="1:14" x14ac:dyDescent="0.25">
      <c r="A13910" t="s">
        <v>23680</v>
      </c>
      <c r="B13910" t="s">
        <v>23681</v>
      </c>
      <c r="C13910" s="1" t="str">
        <f>HYPERLINK("http://www.genecards.org/cgi-bin/carddisp.pl?gene=ZNF222","GeneCards")</f>
        <v>GeneCards</v>
      </c>
      <c r="D13910" s="1" t="str">
        <f>HYPERLINK("http://genome-euro.ucsc.edu/cgi-bin/hgTracks?position=206175_x_at","UCSC")</f>
        <v>UCSC</v>
      </c>
      <c r="E13910" s="1" t="str">
        <f>HYPERLINK("http://www.ncbi.nlm.nih.gov/gene/?term=ZNF222","NCBI")</f>
        <v>NCBI</v>
      </c>
      <c r="F13910">
        <v>0.51</v>
      </c>
      <c r="G13910">
        <v>0.62</v>
      </c>
      <c r="H13910" s="1" t="str">
        <f>HYPERLINK("http://www.weizmann.ac.il/complex/compphys/software/geview/data/figures/206175_x_at.png","Figure")</f>
        <v>Figure</v>
      </c>
      <c r="I13910">
        <v>0.91400000000000003</v>
      </c>
      <c r="J13910">
        <v>0.88</v>
      </c>
      <c r="K13910">
        <v>0.82699999999999996</v>
      </c>
      <c r="L13910">
        <v>0.48</v>
      </c>
      <c r="M13910">
        <v>0.90500000000000003</v>
      </c>
      <c r="N13910">
        <v>0.83</v>
      </c>
    </row>
    <row r="13911" spans="1:14" x14ac:dyDescent="0.25">
      <c r="A13911" t="s">
        <v>23682</v>
      </c>
      <c r="B13911" t="s">
        <v>23683</v>
      </c>
      <c r="C13911" s="1" t="str">
        <f>HYPERLINK("http://www.genecards.org/cgi-bin/carddisp.pl?gene=BZRPL1","GeneCards")</f>
        <v>GeneCards</v>
      </c>
      <c r="D13911" s="1" t="str">
        <f>HYPERLINK("http://genome-euro.ucsc.edu/cgi-bin/hgTracks?position=215449_at","UCSC")</f>
        <v>UCSC</v>
      </c>
      <c r="E13911" s="1" t="str">
        <f>HYPERLINK("http://www.ncbi.nlm.nih.gov/gene/?term=BZRPL1","NCBI")</f>
        <v>NCBI</v>
      </c>
      <c r="F13911">
        <v>0.51</v>
      </c>
      <c r="G13911">
        <v>0.62</v>
      </c>
      <c r="H13911" s="1" t="str">
        <f>HYPERLINK("http://www.weizmann.ac.il/complex/compphys/software/geview/data/figures/215449_at.png","Figure")</f>
        <v>Figure</v>
      </c>
      <c r="I13911">
        <v>1.1100000000000001</v>
      </c>
      <c r="J13911">
        <v>0.5</v>
      </c>
      <c r="K13911">
        <v>1.02</v>
      </c>
      <c r="L13911">
        <v>0.95</v>
      </c>
      <c r="M13911">
        <v>0.92600000000000005</v>
      </c>
      <c r="N13911">
        <v>0.62</v>
      </c>
    </row>
    <row r="13912" spans="1:14" x14ac:dyDescent="0.25">
      <c r="A13912" t="s">
        <v>23684</v>
      </c>
      <c r="B13912" t="s">
        <v>23685</v>
      </c>
      <c r="C13912" s="1" t="str">
        <f>HYPERLINK("http://www.genecards.org/cgi-bin/carddisp.pl?gene=PLEKHA2","GeneCards")</f>
        <v>GeneCards</v>
      </c>
      <c r="D13912" s="1" t="str">
        <f>HYPERLINK("http://genome-euro.ucsc.edu/cgi-bin/hgTracks?position=217677_at","UCSC")</f>
        <v>UCSC</v>
      </c>
      <c r="E13912" s="1" t="str">
        <f>HYPERLINK("http://www.ncbi.nlm.nih.gov/gene/?term=PLEKHA2","NCBI")</f>
        <v>NCBI</v>
      </c>
      <c r="F13912">
        <v>0.51</v>
      </c>
      <c r="G13912">
        <v>0.62</v>
      </c>
      <c r="H13912" s="1" t="str">
        <f>HYPERLINK("http://www.weizmann.ac.il/complex/compphys/software/geview/data/figures/217677_at.png","Figure")</f>
        <v>Figure</v>
      </c>
      <c r="I13912">
        <v>0.99099999999999999</v>
      </c>
      <c r="J13912">
        <v>0.98</v>
      </c>
      <c r="K13912">
        <v>1.04</v>
      </c>
      <c r="L13912">
        <v>0.65</v>
      </c>
      <c r="M13912">
        <v>1.04</v>
      </c>
      <c r="N13912">
        <v>0.55000000000000004</v>
      </c>
    </row>
    <row r="13913" spans="1:14" x14ac:dyDescent="0.25">
      <c r="A13913" t="s">
        <v>23686</v>
      </c>
      <c r="B13913" t="s">
        <v>23687</v>
      </c>
      <c r="C13913" s="1" t="str">
        <f>HYPERLINK("http://www.genecards.org/cgi-bin/carddisp.pl?gene=DNAJB6","GeneCards")</f>
        <v>GeneCards</v>
      </c>
      <c r="D13913" s="1" t="str">
        <f>HYPERLINK("http://genome-euro.ucsc.edu/cgi-bin/hgTracks?position=209015_s_at","UCSC")</f>
        <v>UCSC</v>
      </c>
      <c r="E13913" s="1" t="str">
        <f>HYPERLINK("http://www.ncbi.nlm.nih.gov/gene/?term=DNAJB6","NCBI")</f>
        <v>NCBI</v>
      </c>
      <c r="F13913">
        <v>0.51</v>
      </c>
      <c r="G13913">
        <v>0.62</v>
      </c>
      <c r="H13913" s="1" t="str">
        <f>HYPERLINK("http://www.weizmann.ac.il/complex/compphys/software/geview/data/figures/209015_s_at.png","Figure")</f>
        <v>Figure</v>
      </c>
      <c r="I13913">
        <v>1.17</v>
      </c>
      <c r="J13913">
        <v>0.65</v>
      </c>
      <c r="K13913">
        <v>1.19</v>
      </c>
      <c r="L13913">
        <v>0.51</v>
      </c>
      <c r="M13913">
        <v>1.02</v>
      </c>
      <c r="N13913">
        <v>1</v>
      </c>
    </row>
    <row r="13914" spans="1:14" x14ac:dyDescent="0.25">
      <c r="A13914" t="s">
        <v>23688</v>
      </c>
      <c r="B13914" t="s">
        <v>23689</v>
      </c>
      <c r="C13914" s="1" t="str">
        <f>HYPERLINK("http://www.genecards.org/cgi-bin/carddisp.pl?gene=ZNF280B","GeneCards")</f>
        <v>GeneCards</v>
      </c>
      <c r="D13914" s="1" t="str">
        <f>HYPERLINK("http://genome-euro.ucsc.edu/cgi-bin/hgTracks?position=215048_at","UCSC")</f>
        <v>UCSC</v>
      </c>
      <c r="E13914" s="1" t="str">
        <f>HYPERLINK("http://www.ncbi.nlm.nih.gov/gene/?term=ZNF280B","NCBI")</f>
        <v>NCBI</v>
      </c>
      <c r="F13914">
        <v>0.51</v>
      </c>
      <c r="G13914">
        <v>0.62</v>
      </c>
      <c r="H13914" s="1" t="str">
        <f>HYPERLINK("http://www.weizmann.ac.il/complex/compphys/software/geview/data/figures/215048_at.png","Figure")</f>
        <v>Figure</v>
      </c>
      <c r="I13914">
        <v>1.06</v>
      </c>
      <c r="J13914">
        <v>0.56000000000000005</v>
      </c>
      <c r="K13914">
        <v>1</v>
      </c>
      <c r="L13914">
        <v>1</v>
      </c>
      <c r="M13914">
        <v>0.94199999999999995</v>
      </c>
      <c r="N13914">
        <v>0.54</v>
      </c>
    </row>
    <row r="13915" spans="1:14" x14ac:dyDescent="0.25">
      <c r="A13915" t="s">
        <v>23690</v>
      </c>
      <c r="B13915" t="s">
        <v>15915</v>
      </c>
      <c r="C13915" s="1" t="str">
        <f>HYPERLINK("http://www.genecards.org/cgi-bin/carddisp.pl?gene=MYH14","GeneCards")</f>
        <v>GeneCards</v>
      </c>
      <c r="D13915" s="1" t="str">
        <f>HYPERLINK("http://genome-euro.ucsc.edu/cgi-bin/hgTracks?position=217660_at","UCSC")</f>
        <v>UCSC</v>
      </c>
      <c r="E13915" s="1" t="str">
        <f>HYPERLINK("http://www.ncbi.nlm.nih.gov/gene/?term=MYH14","NCBI")</f>
        <v>NCBI</v>
      </c>
      <c r="F13915">
        <v>0.51</v>
      </c>
      <c r="G13915">
        <v>0.62</v>
      </c>
      <c r="H13915" s="1" t="str">
        <f>HYPERLINK("http://www.weizmann.ac.il/complex/compphys/software/geview/data/figures/217660_at.png","Figure")</f>
        <v>Figure</v>
      </c>
      <c r="I13915">
        <v>1.02</v>
      </c>
      <c r="J13915">
        <v>0.76</v>
      </c>
      <c r="K13915">
        <v>0.99199999999999999</v>
      </c>
      <c r="L13915">
        <v>0.89</v>
      </c>
      <c r="M13915">
        <v>0.97699999999999998</v>
      </c>
      <c r="N13915">
        <v>0.48</v>
      </c>
    </row>
    <row r="13916" spans="1:14" x14ac:dyDescent="0.25">
      <c r="A13916" t="s">
        <v>23691</v>
      </c>
      <c r="B13916" t="s">
        <v>23692</v>
      </c>
      <c r="C13916" s="1" t="str">
        <f>HYPERLINK("http://www.genecards.org/cgi-bin/carddisp.pl?gene=ZNF286A","GeneCards")</f>
        <v>GeneCards</v>
      </c>
      <c r="D13916" s="1" t="str">
        <f>HYPERLINK("http://genome-euro.ucsc.edu/cgi-bin/hgTracks?position=220250_at","UCSC")</f>
        <v>UCSC</v>
      </c>
      <c r="E13916" s="1" t="str">
        <f>HYPERLINK("http://www.ncbi.nlm.nih.gov/gene/?term=ZNF286A","NCBI")</f>
        <v>NCBI</v>
      </c>
      <c r="F13916">
        <v>0.51</v>
      </c>
      <c r="G13916">
        <v>0.62</v>
      </c>
      <c r="H13916" s="1" t="str">
        <f>HYPERLINK("http://www.weizmann.ac.il/complex/compphys/software/geview/data/figures/220250_at.png","Figure")</f>
        <v>Figure</v>
      </c>
      <c r="I13916">
        <v>1.1000000000000001</v>
      </c>
      <c r="J13916">
        <v>0.56999999999999995</v>
      </c>
      <c r="K13916">
        <v>1</v>
      </c>
      <c r="L13916">
        <v>1</v>
      </c>
      <c r="M13916">
        <v>0.91200000000000003</v>
      </c>
      <c r="N13916">
        <v>0.54</v>
      </c>
    </row>
    <row r="13917" spans="1:14" x14ac:dyDescent="0.25">
      <c r="A13917" t="s">
        <v>23693</v>
      </c>
      <c r="B13917" t="s">
        <v>9080</v>
      </c>
      <c r="C13917" s="1" t="str">
        <f>HYPERLINK("http://www.genecards.org/cgi-bin/carddisp.pl?gene=NAB1","GeneCards")</f>
        <v>GeneCards</v>
      </c>
      <c r="D13917" s="1" t="str">
        <f>HYPERLINK("http://genome-euro.ucsc.edu/cgi-bin/hgTracks?position=211139_s_at","UCSC")</f>
        <v>UCSC</v>
      </c>
      <c r="E13917" s="1" t="str">
        <f>HYPERLINK("http://www.ncbi.nlm.nih.gov/gene/?term=NAB1","NCBI")</f>
        <v>NCBI</v>
      </c>
      <c r="F13917">
        <v>0.51</v>
      </c>
      <c r="G13917">
        <v>0.62</v>
      </c>
      <c r="H13917" s="1" t="str">
        <f>HYPERLINK("http://www.weizmann.ac.il/complex/compphys/software/geview/data/figures/211139_s_at.png","Figure")</f>
        <v>Figure</v>
      </c>
      <c r="I13917">
        <v>1.1000000000000001</v>
      </c>
      <c r="J13917">
        <v>0.63</v>
      </c>
      <c r="K13917">
        <v>0.98499999999999999</v>
      </c>
      <c r="L13917">
        <v>0.99</v>
      </c>
      <c r="M13917">
        <v>0.89700000000000002</v>
      </c>
      <c r="N13917">
        <v>0.5</v>
      </c>
    </row>
    <row r="13918" spans="1:14" x14ac:dyDescent="0.25">
      <c r="A13918" t="s">
        <v>23694</v>
      </c>
      <c r="B13918" t="s">
        <v>23695</v>
      </c>
      <c r="C13918" s="1" t="str">
        <f>HYPERLINK("http://www.genecards.org/cgi-bin/carddisp.pl?gene=DHX30","GeneCards")</f>
        <v>GeneCards</v>
      </c>
      <c r="D13918" s="1" t="str">
        <f>HYPERLINK("http://genome-euro.ucsc.edu/cgi-bin/hgTracks?position=212674_s_at","UCSC")</f>
        <v>UCSC</v>
      </c>
      <c r="E13918" s="1" t="str">
        <f>HYPERLINK("http://www.ncbi.nlm.nih.gov/gene/?term=DHX30","NCBI")</f>
        <v>NCBI</v>
      </c>
      <c r="F13918">
        <v>0.51</v>
      </c>
      <c r="G13918">
        <v>0.62</v>
      </c>
      <c r="H13918" s="1" t="str">
        <f>HYPERLINK("http://www.weizmann.ac.il/complex/compphys/software/geview/data/figures/212674_s_at.png","Figure")</f>
        <v>Figure</v>
      </c>
      <c r="I13918">
        <v>1.25</v>
      </c>
      <c r="J13918">
        <v>0.5</v>
      </c>
      <c r="K13918">
        <v>1.1499999999999999</v>
      </c>
      <c r="L13918">
        <v>0.7</v>
      </c>
      <c r="M13918">
        <v>0.91700000000000004</v>
      </c>
      <c r="N13918">
        <v>0.88</v>
      </c>
    </row>
    <row r="13919" spans="1:14" x14ac:dyDescent="0.25">
      <c r="A13919" t="s">
        <v>23696</v>
      </c>
      <c r="B13919" t="s">
        <v>23697</v>
      </c>
      <c r="C13919" s="1" t="str">
        <f>HYPERLINK("http://www.genecards.org/cgi-bin/carddisp.pl?gene=HMGB2","GeneCards")</f>
        <v>GeneCards</v>
      </c>
      <c r="D13919" s="1" t="str">
        <f>HYPERLINK("http://genome-euro.ucsc.edu/cgi-bin/hgTracks?position=208808_s_at","UCSC")</f>
        <v>UCSC</v>
      </c>
      <c r="E13919" s="1" t="str">
        <f>HYPERLINK("http://www.ncbi.nlm.nih.gov/gene/?term=HMGB2","NCBI")</f>
        <v>NCBI</v>
      </c>
      <c r="F13919">
        <v>0.51</v>
      </c>
      <c r="G13919">
        <v>0.62</v>
      </c>
      <c r="H13919" s="1" t="str">
        <f>HYPERLINK("http://www.weizmann.ac.il/complex/compphys/software/geview/data/figures/208808_s_at.png","Figure")</f>
        <v>Figure</v>
      </c>
      <c r="I13919">
        <v>0.85299999999999998</v>
      </c>
      <c r="J13919">
        <v>0.56000000000000005</v>
      </c>
      <c r="K13919">
        <v>0.874</v>
      </c>
      <c r="L13919">
        <v>0.57999999999999996</v>
      </c>
      <c r="M13919">
        <v>1.03</v>
      </c>
      <c r="N13919">
        <v>0.98</v>
      </c>
    </row>
    <row r="13920" spans="1:14" x14ac:dyDescent="0.25">
      <c r="A13920" t="s">
        <v>23698</v>
      </c>
      <c r="B13920" t="s">
        <v>12988</v>
      </c>
      <c r="C13920" s="1" t="str">
        <f>HYPERLINK("http://www.genecards.org/cgi-bin/carddisp.pl?gene=SFN","GeneCards")</f>
        <v>GeneCards</v>
      </c>
      <c r="D13920" s="1" t="str">
        <f>HYPERLINK("http://genome-euro.ucsc.edu/cgi-bin/hgTracks?position=209260_at","UCSC")</f>
        <v>UCSC</v>
      </c>
      <c r="E13920" s="1" t="str">
        <f>HYPERLINK("http://www.ncbi.nlm.nih.gov/gene/?term=SFN","NCBI")</f>
        <v>NCBI</v>
      </c>
      <c r="F13920">
        <v>0.51</v>
      </c>
      <c r="G13920">
        <v>0.62</v>
      </c>
      <c r="H13920" s="1" t="str">
        <f>HYPERLINK("http://www.weizmann.ac.il/complex/compphys/software/geview/data/figures/209260_at.png","Figure")</f>
        <v>Figure</v>
      </c>
      <c r="I13920">
        <v>1.0900000000000001</v>
      </c>
      <c r="J13920">
        <v>0.53</v>
      </c>
      <c r="K13920">
        <v>1.06</v>
      </c>
      <c r="L13920">
        <v>0.63</v>
      </c>
      <c r="M13920">
        <v>0.97899999999999998</v>
      </c>
      <c r="N13920">
        <v>0.95</v>
      </c>
    </row>
    <row r="13921" spans="1:14" x14ac:dyDescent="0.25">
      <c r="A13921" t="s">
        <v>23699</v>
      </c>
      <c r="B13921" t="s">
        <v>2577</v>
      </c>
      <c r="C13921" s="1" t="str">
        <f>HYPERLINK("http://www.genecards.org/cgi-bin/carddisp.pl?gene=ALDH1B1","GeneCards")</f>
        <v>GeneCards</v>
      </c>
      <c r="D13921" s="1" t="str">
        <f>HYPERLINK("http://genome-euro.ucsc.edu/cgi-bin/hgTracks?position=209646_x_at","UCSC")</f>
        <v>UCSC</v>
      </c>
      <c r="E13921" s="1" t="str">
        <f>HYPERLINK("http://www.ncbi.nlm.nih.gov/gene/?term=ALDH1B1","NCBI")</f>
        <v>NCBI</v>
      </c>
      <c r="F13921">
        <v>0.51</v>
      </c>
      <c r="G13921">
        <v>0.62</v>
      </c>
      <c r="H13921" s="1" t="str">
        <f>HYPERLINK("http://www.weizmann.ac.il/complex/compphys/software/geview/data/figures/209646_x_at.png","Figure")</f>
        <v>Figure</v>
      </c>
      <c r="I13921">
        <v>1.01</v>
      </c>
      <c r="J13921">
        <v>0.85</v>
      </c>
      <c r="K13921">
        <v>0.99299999999999999</v>
      </c>
      <c r="L13921">
        <v>0.81</v>
      </c>
      <c r="M13921">
        <v>0.98599999999999999</v>
      </c>
      <c r="N13921">
        <v>0.49</v>
      </c>
    </row>
    <row r="13922" spans="1:14" x14ac:dyDescent="0.25">
      <c r="A13922" t="s">
        <v>23700</v>
      </c>
      <c r="B13922" t="s">
        <v>23701</v>
      </c>
      <c r="C13922" s="1" t="str">
        <f>HYPERLINK("http://www.genecards.org/cgi-bin/carddisp.pl?gene=KIAA0495","GeneCards")</f>
        <v>GeneCards</v>
      </c>
      <c r="D13922" s="1" t="str">
        <f>HYPERLINK("http://genome-euro.ucsc.edu/cgi-bin/hgTracks?position=213339_at","UCSC")</f>
        <v>UCSC</v>
      </c>
      <c r="E13922" s="1" t="str">
        <f>HYPERLINK("http://www.ncbi.nlm.nih.gov/gene/?term=KIAA0495","NCBI")</f>
        <v>NCBI</v>
      </c>
      <c r="F13922">
        <v>0.51</v>
      </c>
      <c r="G13922">
        <v>0.62</v>
      </c>
      <c r="H13922" s="1" t="str">
        <f>HYPERLINK("http://www.weizmann.ac.il/complex/compphys/software/geview/data/figures/213339_at.png","Figure")</f>
        <v>Figure</v>
      </c>
      <c r="I13922">
        <v>1.06</v>
      </c>
      <c r="J13922">
        <v>0.7</v>
      </c>
      <c r="K13922">
        <v>1.07</v>
      </c>
      <c r="L13922">
        <v>0.5</v>
      </c>
      <c r="M13922">
        <v>1.01</v>
      </c>
      <c r="N13922">
        <v>0.97</v>
      </c>
    </row>
    <row r="13923" spans="1:14" x14ac:dyDescent="0.25">
      <c r="A13923" t="s">
        <v>23702</v>
      </c>
      <c r="B13923" t="s">
        <v>23703</v>
      </c>
      <c r="C13923" s="1" t="str">
        <f>HYPERLINK("http://www.genecards.org/cgi-bin/carddisp.pl?gene=DOCK2","GeneCards")</f>
        <v>GeneCards</v>
      </c>
      <c r="D13923" s="1" t="str">
        <f>HYPERLINK("http://genome-euro.ucsc.edu/cgi-bin/hgTracks?position=213160_at","UCSC")</f>
        <v>UCSC</v>
      </c>
      <c r="E13923" s="1" t="str">
        <f>HYPERLINK("http://www.ncbi.nlm.nih.gov/gene/?term=DOCK2","NCBI")</f>
        <v>NCBI</v>
      </c>
      <c r="F13923">
        <v>0.51</v>
      </c>
      <c r="G13923">
        <v>0.62</v>
      </c>
      <c r="H13923" s="1" t="str">
        <f>HYPERLINK("http://www.weizmann.ac.il/complex/compphys/software/geview/data/figures/213160_at.png","Figure")</f>
        <v>Figure</v>
      </c>
      <c r="I13923">
        <v>0.90700000000000003</v>
      </c>
      <c r="J13923">
        <v>0.84</v>
      </c>
      <c r="K13923">
        <v>0.83699999999999997</v>
      </c>
      <c r="L13923">
        <v>0.48</v>
      </c>
      <c r="M13923">
        <v>0.92300000000000004</v>
      </c>
      <c r="N13923">
        <v>0.87</v>
      </c>
    </row>
    <row r="13924" spans="1:14" x14ac:dyDescent="0.25">
      <c r="A13924" t="s">
        <v>23704</v>
      </c>
      <c r="B13924" t="s">
        <v>8188</v>
      </c>
      <c r="C13924" s="1" t="str">
        <f>HYPERLINK("http://www.genecards.org/cgi-bin/carddisp.pl?gene=ANK1","GeneCards")</f>
        <v>GeneCards</v>
      </c>
      <c r="D13924" s="1" t="str">
        <f>HYPERLINK("http://genome-euro.ucsc.edu/cgi-bin/hgTracks?position=205389_s_at","UCSC")</f>
        <v>UCSC</v>
      </c>
      <c r="E13924" s="1" t="str">
        <f>HYPERLINK("http://www.ncbi.nlm.nih.gov/gene/?term=ANK1","NCBI")</f>
        <v>NCBI</v>
      </c>
      <c r="F13924">
        <v>0.51</v>
      </c>
      <c r="G13924">
        <v>0.62</v>
      </c>
      <c r="H13924" s="1" t="str">
        <f>HYPERLINK("http://www.weizmann.ac.il/complex/compphys/software/geview/data/figures/205389_s_at.png","Figure")</f>
        <v>Figure</v>
      </c>
      <c r="I13924">
        <v>1</v>
      </c>
      <c r="J13924">
        <v>0.9</v>
      </c>
      <c r="K13924">
        <v>0.996</v>
      </c>
      <c r="L13924">
        <v>0.75</v>
      </c>
      <c r="M13924">
        <v>0.99299999999999999</v>
      </c>
      <c r="N13924">
        <v>0.5</v>
      </c>
    </row>
    <row r="13925" spans="1:14" x14ac:dyDescent="0.25">
      <c r="A13925" t="s">
        <v>23705</v>
      </c>
      <c r="B13925" t="s">
        <v>23706</v>
      </c>
      <c r="C13925" s="1" t="str">
        <f>HYPERLINK("http://www.genecards.org/cgi-bin/carddisp.pl?gene=RBKS","GeneCards")</f>
        <v>GeneCards</v>
      </c>
      <c r="D13925" s="1" t="str">
        <f>HYPERLINK("http://genome-euro.ucsc.edu/cgi-bin/hgTracks?position=219222_at","UCSC")</f>
        <v>UCSC</v>
      </c>
      <c r="E13925" s="1" t="str">
        <f>HYPERLINK("http://www.ncbi.nlm.nih.gov/gene/?term=RBKS","NCBI")</f>
        <v>NCBI</v>
      </c>
      <c r="F13925">
        <v>0.51</v>
      </c>
      <c r="G13925">
        <v>0.63</v>
      </c>
      <c r="H13925" s="1" t="str">
        <f>HYPERLINK("http://www.weizmann.ac.il/complex/compphys/software/geview/data/figures/219222_at.png","Figure")</f>
        <v>Figure</v>
      </c>
      <c r="I13925">
        <v>1.03</v>
      </c>
      <c r="J13925">
        <v>0.89</v>
      </c>
      <c r="K13925">
        <v>1.06</v>
      </c>
      <c r="L13925">
        <v>0.49</v>
      </c>
      <c r="M13925">
        <v>1.03</v>
      </c>
      <c r="N13925">
        <v>0.82</v>
      </c>
    </row>
    <row r="13926" spans="1:14" x14ac:dyDescent="0.25">
      <c r="A13926" t="s">
        <v>23707</v>
      </c>
      <c r="B13926" t="s">
        <v>23708</v>
      </c>
      <c r="C13926" s="1" t="str">
        <f>HYPERLINK("http://www.genecards.org/cgi-bin/carddisp.pl?gene=APOBEC3A","GeneCards")</f>
        <v>GeneCards</v>
      </c>
      <c r="D13926" s="1" t="str">
        <f>HYPERLINK("http://genome-euro.ucsc.edu/cgi-bin/hgTracks?position=210873_x_at","UCSC")</f>
        <v>UCSC</v>
      </c>
      <c r="E13926" s="1" t="str">
        <f>HYPERLINK("http://www.ncbi.nlm.nih.gov/gene/?term=APOBEC3A","NCBI")</f>
        <v>NCBI</v>
      </c>
      <c r="F13926">
        <v>0.51</v>
      </c>
      <c r="G13926">
        <v>0.63</v>
      </c>
      <c r="H13926" s="1" t="str">
        <f>HYPERLINK("http://www.weizmann.ac.il/complex/compphys/software/geview/data/figures/210873_x_at.png","Figure")</f>
        <v>Figure</v>
      </c>
      <c r="I13926">
        <v>1.07</v>
      </c>
      <c r="J13926">
        <v>0.73</v>
      </c>
      <c r="K13926">
        <v>0.96899999999999997</v>
      </c>
      <c r="L13926">
        <v>0.92</v>
      </c>
      <c r="M13926">
        <v>0.90400000000000003</v>
      </c>
      <c r="N13926">
        <v>0.48</v>
      </c>
    </row>
    <row r="13927" spans="1:14" x14ac:dyDescent="0.25">
      <c r="A13927" t="s">
        <v>23709</v>
      </c>
      <c r="B13927" t="s">
        <v>23710</v>
      </c>
      <c r="C13927" s="1" t="str">
        <f>HYPERLINK("http://www.genecards.org/cgi-bin/carddisp.pl?gene=GBE1","GeneCards")</f>
        <v>GeneCards</v>
      </c>
      <c r="D13927" s="1" t="str">
        <f>HYPERLINK("http://genome-euro.ucsc.edu/cgi-bin/hgTracks?position=203282_at","UCSC")</f>
        <v>UCSC</v>
      </c>
      <c r="E13927" s="1" t="str">
        <f>HYPERLINK("http://www.ncbi.nlm.nih.gov/gene/?term=GBE1","NCBI")</f>
        <v>NCBI</v>
      </c>
      <c r="F13927">
        <v>0.51</v>
      </c>
      <c r="G13927">
        <v>0.63</v>
      </c>
      <c r="H13927" s="1" t="str">
        <f>HYPERLINK("http://www.weizmann.ac.il/complex/compphys/software/geview/data/figures/203282_at.png","Figure")</f>
        <v>Figure</v>
      </c>
      <c r="I13927">
        <v>0.873</v>
      </c>
      <c r="J13927">
        <v>0.83</v>
      </c>
      <c r="K13927">
        <v>1.1299999999999999</v>
      </c>
      <c r="L13927">
        <v>0.83</v>
      </c>
      <c r="M13927">
        <v>1.29</v>
      </c>
      <c r="N13927">
        <v>0.49</v>
      </c>
    </row>
    <row r="13928" spans="1:14" x14ac:dyDescent="0.25">
      <c r="A13928" t="s">
        <v>23711</v>
      </c>
      <c r="B13928" t="s">
        <v>23712</v>
      </c>
      <c r="C13928" s="1" t="str">
        <f>HYPERLINK("http://www.genecards.org/cgi-bin/carddisp.pl?gene=HIST1H2AB","GeneCards")</f>
        <v>GeneCards</v>
      </c>
      <c r="D13928" s="1" t="str">
        <f>HYPERLINK("http://genome-euro.ucsc.edu/cgi-bin/hgTracks?position=208569_at","UCSC")</f>
        <v>UCSC</v>
      </c>
      <c r="E13928" s="1" t="str">
        <f>HYPERLINK("http://www.ncbi.nlm.nih.gov/gene/?term=HIST1H2AB","NCBI")</f>
        <v>NCBI</v>
      </c>
      <c r="F13928">
        <v>0.51</v>
      </c>
      <c r="G13928">
        <v>0.63</v>
      </c>
      <c r="H13928" s="1" t="str">
        <f>HYPERLINK("http://www.weizmann.ac.il/complex/compphys/software/geview/data/figures/208569_at.png","Figure")</f>
        <v>Figure</v>
      </c>
      <c r="I13928">
        <v>1.1499999999999999</v>
      </c>
      <c r="J13928">
        <v>0.49</v>
      </c>
      <c r="K13928">
        <v>1.05</v>
      </c>
      <c r="L13928">
        <v>0.88</v>
      </c>
      <c r="M13928">
        <v>0.91400000000000003</v>
      </c>
      <c r="N13928">
        <v>0.71</v>
      </c>
    </row>
    <row r="13929" spans="1:14" x14ac:dyDescent="0.25">
      <c r="A13929" t="s">
        <v>23713</v>
      </c>
      <c r="B13929" t="s">
        <v>23714</v>
      </c>
      <c r="C13929" s="1" t="str">
        <f>HYPERLINK("http://www.genecards.org/cgi-bin/carddisp.pl?gene=ARF5","GeneCards")</f>
        <v>GeneCards</v>
      </c>
      <c r="D13929" s="1" t="str">
        <f>HYPERLINK("http://genome-euro.ucsc.edu/cgi-bin/hgTracks?position=201526_at","UCSC")</f>
        <v>UCSC</v>
      </c>
      <c r="E13929" s="1" t="str">
        <f>HYPERLINK("http://www.ncbi.nlm.nih.gov/gene/?term=ARF5","NCBI")</f>
        <v>NCBI</v>
      </c>
      <c r="F13929">
        <v>0.51</v>
      </c>
      <c r="G13929">
        <v>0.63</v>
      </c>
      <c r="H13929" s="1" t="str">
        <f>HYPERLINK("http://www.weizmann.ac.il/complex/compphys/software/geview/data/figures/201526_at.png","Figure")</f>
        <v>Figure</v>
      </c>
      <c r="I13929">
        <v>1.1100000000000001</v>
      </c>
      <c r="J13929">
        <v>0.55000000000000004</v>
      </c>
      <c r="K13929">
        <v>1.01</v>
      </c>
      <c r="L13929">
        <v>0.99</v>
      </c>
      <c r="M13929">
        <v>0.91100000000000003</v>
      </c>
      <c r="N13929">
        <v>0.56000000000000005</v>
      </c>
    </row>
    <row r="13930" spans="1:14" x14ac:dyDescent="0.25">
      <c r="A13930" t="s">
        <v>23715</v>
      </c>
      <c r="B13930" t="s">
        <v>23716</v>
      </c>
      <c r="C13930" s="1" t="str">
        <f>HYPERLINK("http://www.genecards.org/cgi-bin/carddisp.pl?gene=MPP3","GeneCards")</f>
        <v>GeneCards</v>
      </c>
      <c r="D13930" s="1" t="str">
        <f>HYPERLINK("http://genome-euro.ucsc.edu/cgi-bin/hgTracks?position=206186_at","UCSC")</f>
        <v>UCSC</v>
      </c>
      <c r="E13930" s="1" t="str">
        <f>HYPERLINK("http://www.ncbi.nlm.nih.gov/gene/?term=MPP3","NCBI")</f>
        <v>NCBI</v>
      </c>
      <c r="F13930">
        <v>0.51</v>
      </c>
      <c r="G13930">
        <v>0.63</v>
      </c>
      <c r="H13930" s="1" t="str">
        <f>HYPERLINK("http://www.weizmann.ac.il/complex/compphys/software/geview/data/figures/206186_at.png","Figure")</f>
        <v>Figure</v>
      </c>
      <c r="I13930">
        <v>1.1200000000000001</v>
      </c>
      <c r="J13930">
        <v>0.56000000000000005</v>
      </c>
      <c r="K13930">
        <v>1</v>
      </c>
      <c r="L13930">
        <v>1</v>
      </c>
      <c r="M13930">
        <v>0.89800000000000002</v>
      </c>
      <c r="N13930">
        <v>0.55000000000000004</v>
      </c>
    </row>
    <row r="13931" spans="1:14" x14ac:dyDescent="0.25">
      <c r="A13931" t="s">
        <v>23717</v>
      </c>
      <c r="B13931" t="s">
        <v>11239</v>
      </c>
      <c r="C13931" s="1" t="str">
        <f>HYPERLINK("http://www.genecards.org/cgi-bin/carddisp.pl?gene=PDE1C","GeneCards")</f>
        <v>GeneCards</v>
      </c>
      <c r="D13931" s="1" t="str">
        <f>HYPERLINK("http://genome-euro.ucsc.edu/cgi-bin/hgTracks?position=207303_at","UCSC")</f>
        <v>UCSC</v>
      </c>
      <c r="E13931" s="1" t="str">
        <f>HYPERLINK("http://www.ncbi.nlm.nih.gov/gene/?term=PDE1C","NCBI")</f>
        <v>NCBI</v>
      </c>
      <c r="F13931">
        <v>0.51</v>
      </c>
      <c r="G13931">
        <v>0.63</v>
      </c>
      <c r="H13931" s="1" t="str">
        <f>HYPERLINK("http://www.weizmann.ac.il/complex/compphys/software/geview/data/figures/207303_at.png","Figure")</f>
        <v>Figure</v>
      </c>
      <c r="I13931">
        <v>1.02</v>
      </c>
      <c r="J13931">
        <v>0.81</v>
      </c>
      <c r="K13931">
        <v>0.98499999999999999</v>
      </c>
      <c r="L13931">
        <v>0.85</v>
      </c>
      <c r="M13931">
        <v>0.96699999999999997</v>
      </c>
      <c r="N13931">
        <v>0.48</v>
      </c>
    </row>
    <row r="13932" spans="1:14" x14ac:dyDescent="0.25">
      <c r="A13932" t="s">
        <v>23718</v>
      </c>
      <c r="B13932" t="s">
        <v>23719</v>
      </c>
      <c r="C13932" s="1" t="str">
        <f>HYPERLINK("http://www.genecards.org/cgi-bin/carddisp.pl?gene=CDR2L","GeneCards")</f>
        <v>GeneCards</v>
      </c>
      <c r="D13932" s="1" t="str">
        <f>HYPERLINK("http://genome-euro.ucsc.edu/cgi-bin/hgTracks?position=213230_at","UCSC")</f>
        <v>UCSC</v>
      </c>
      <c r="E13932" s="1" t="str">
        <f>HYPERLINK("http://www.ncbi.nlm.nih.gov/gene/?term=CDR2L","NCBI")</f>
        <v>NCBI</v>
      </c>
      <c r="F13932">
        <v>0.51</v>
      </c>
      <c r="G13932">
        <v>0.63</v>
      </c>
      <c r="H13932" s="1" t="str">
        <f>HYPERLINK("http://www.weizmann.ac.il/complex/compphys/software/geview/data/figures/213230_at.png","Figure")</f>
        <v>Figure</v>
      </c>
      <c r="I13932">
        <v>1.05</v>
      </c>
      <c r="J13932">
        <v>0.52</v>
      </c>
      <c r="K13932">
        <v>1.01</v>
      </c>
      <c r="L13932">
        <v>0.96</v>
      </c>
      <c r="M13932">
        <v>0.96</v>
      </c>
      <c r="N13932">
        <v>0.61</v>
      </c>
    </row>
    <row r="13933" spans="1:14" x14ac:dyDescent="0.25">
      <c r="A13933" t="s">
        <v>23720</v>
      </c>
      <c r="B13933" t="s">
        <v>22086</v>
      </c>
      <c r="C13933" s="1" t="str">
        <f>HYPERLINK("http://www.genecards.org/cgi-bin/carddisp.pl?gene=SNN","GeneCards")</f>
        <v>GeneCards</v>
      </c>
      <c r="D13933" s="1" t="str">
        <f>HYPERLINK("http://genome-euro.ucsc.edu/cgi-bin/hgTracks?position=218032_at","UCSC")</f>
        <v>UCSC</v>
      </c>
      <c r="E13933" s="1" t="str">
        <f>HYPERLINK("http://www.ncbi.nlm.nih.gov/gene/?term=SNN","NCBI")</f>
        <v>NCBI</v>
      </c>
      <c r="F13933">
        <v>0.51</v>
      </c>
      <c r="G13933">
        <v>0.63</v>
      </c>
      <c r="H13933" s="1" t="str">
        <f>HYPERLINK("http://www.weizmann.ac.il/complex/compphys/software/geview/data/figures/218032_at.png","Figure")</f>
        <v>Figure</v>
      </c>
      <c r="I13933">
        <v>1.24</v>
      </c>
      <c r="J13933">
        <v>0.73</v>
      </c>
      <c r="K13933">
        <v>0.91100000000000003</v>
      </c>
      <c r="L13933">
        <v>0.92</v>
      </c>
      <c r="M13933">
        <v>0.73399999999999999</v>
      </c>
      <c r="N13933">
        <v>0.48</v>
      </c>
    </row>
    <row r="13934" spans="1:14" x14ac:dyDescent="0.25">
      <c r="A13934" t="s">
        <v>23721</v>
      </c>
      <c r="B13934" t="s">
        <v>14072</v>
      </c>
      <c r="C13934" s="1" t="str">
        <f>HYPERLINK("http://www.genecards.org/cgi-bin/carddisp.pl?gene=CAPN3","GeneCards")</f>
        <v>GeneCards</v>
      </c>
      <c r="D13934" s="1" t="str">
        <f>HYPERLINK("http://genome-euro.ucsc.edu/cgi-bin/hgTracks?position=210944_s_at","UCSC")</f>
        <v>UCSC</v>
      </c>
      <c r="E13934" s="1" t="str">
        <f>HYPERLINK("http://www.ncbi.nlm.nih.gov/gene/?term=CAPN3","NCBI")</f>
        <v>NCBI</v>
      </c>
      <c r="F13934">
        <v>0.51</v>
      </c>
      <c r="G13934">
        <v>0.63</v>
      </c>
      <c r="H13934" s="1" t="str">
        <f>HYPERLINK("http://www.weizmann.ac.il/complex/compphys/software/geview/data/figures/210944_s_at.png","Figure")</f>
        <v>Figure</v>
      </c>
      <c r="I13934">
        <v>1.19</v>
      </c>
      <c r="J13934">
        <v>0.56000000000000005</v>
      </c>
      <c r="K13934">
        <v>1.1499999999999999</v>
      </c>
      <c r="L13934">
        <v>0.57999999999999996</v>
      </c>
      <c r="M13934">
        <v>0.97399999999999998</v>
      </c>
      <c r="N13934">
        <v>0.98</v>
      </c>
    </row>
    <row r="13935" spans="1:14" x14ac:dyDescent="0.25">
      <c r="A13935" t="s">
        <v>23722</v>
      </c>
      <c r="B13935" t="s">
        <v>15106</v>
      </c>
      <c r="C13935" s="1" t="str">
        <f>HYPERLINK("http://www.genecards.org/cgi-bin/carddisp.pl?gene=DCAF8","GeneCards")</f>
        <v>GeneCards</v>
      </c>
      <c r="D13935" s="1" t="str">
        <f>HYPERLINK("http://genome-euro.ucsc.edu/cgi-bin/hgTracks?position=202250_s_at","UCSC")</f>
        <v>UCSC</v>
      </c>
      <c r="E13935" s="1" t="str">
        <f>HYPERLINK("http://www.ncbi.nlm.nih.gov/gene/?term=DCAF8","NCBI")</f>
        <v>NCBI</v>
      </c>
      <c r="F13935">
        <v>0.51</v>
      </c>
      <c r="G13935">
        <v>0.63</v>
      </c>
      <c r="H13935" s="1" t="str">
        <f>HYPERLINK("http://www.weizmann.ac.il/complex/compphys/software/geview/data/figures/202250_s_at.png","Figure")</f>
        <v>Figure</v>
      </c>
      <c r="I13935">
        <v>0.77400000000000002</v>
      </c>
      <c r="J13935">
        <v>0.52</v>
      </c>
      <c r="K13935">
        <v>0.95299999999999996</v>
      </c>
      <c r="L13935">
        <v>0.97</v>
      </c>
      <c r="M13935">
        <v>1.23</v>
      </c>
      <c r="N13935">
        <v>0.6</v>
      </c>
    </row>
    <row r="13936" spans="1:14" x14ac:dyDescent="0.25">
      <c r="A13936" t="s">
        <v>23723</v>
      </c>
      <c r="B13936" t="s">
        <v>23724</v>
      </c>
      <c r="C13936" s="1" t="str">
        <f>HYPERLINK("http://www.genecards.org/cgi-bin/carddisp.pl?gene=AGMAT","GeneCards")</f>
        <v>GeneCards</v>
      </c>
      <c r="D13936" s="1" t="str">
        <f>HYPERLINK("http://genome-euro.ucsc.edu/cgi-bin/hgTracks?position=219792_at","UCSC")</f>
        <v>UCSC</v>
      </c>
      <c r="E13936" s="1" t="str">
        <f>HYPERLINK("http://www.ncbi.nlm.nih.gov/gene/?term=AGMAT","NCBI")</f>
        <v>NCBI</v>
      </c>
      <c r="F13936">
        <v>0.51</v>
      </c>
      <c r="G13936">
        <v>0.63</v>
      </c>
      <c r="H13936" s="1" t="str">
        <f>HYPERLINK("http://www.weizmann.ac.il/complex/compphys/software/geview/data/figures/219792_at.png","Figure")</f>
        <v>Figure</v>
      </c>
      <c r="I13936">
        <v>1.01</v>
      </c>
      <c r="J13936">
        <v>0.81</v>
      </c>
      <c r="K13936">
        <v>0.99099999999999999</v>
      </c>
      <c r="L13936">
        <v>0.85</v>
      </c>
      <c r="M13936">
        <v>0.98</v>
      </c>
      <c r="N13936">
        <v>0.49</v>
      </c>
    </row>
    <row r="13937" spans="1:14" x14ac:dyDescent="0.25">
      <c r="A13937" t="s">
        <v>23725</v>
      </c>
      <c r="B13937" t="s">
        <v>4978</v>
      </c>
      <c r="C13937" s="1" t="str">
        <f>HYPERLINK("http://www.genecards.org/cgi-bin/carddisp.pl?gene=TAOK3","GeneCards")</f>
        <v>GeneCards</v>
      </c>
      <c r="D13937" s="1" t="str">
        <f>HYPERLINK("http://genome-euro.ucsc.edu/cgi-bin/hgTracks?position=221508_at","UCSC")</f>
        <v>UCSC</v>
      </c>
      <c r="E13937" s="1" t="str">
        <f>HYPERLINK("http://www.ncbi.nlm.nih.gov/gene/?term=TAOK3","NCBI")</f>
        <v>NCBI</v>
      </c>
      <c r="F13937">
        <v>0.51</v>
      </c>
      <c r="G13937">
        <v>0.63</v>
      </c>
      <c r="H13937" s="1" t="str">
        <f>HYPERLINK("http://www.weizmann.ac.il/complex/compphys/software/geview/data/figures/221508_at.png","Figure")</f>
        <v>Figure</v>
      </c>
      <c r="I13937">
        <v>1.08</v>
      </c>
      <c r="J13937">
        <v>0.55000000000000004</v>
      </c>
      <c r="K13937">
        <v>1.07</v>
      </c>
      <c r="L13937">
        <v>0.6</v>
      </c>
      <c r="M13937">
        <v>0.98399999999999999</v>
      </c>
      <c r="N13937">
        <v>0.97</v>
      </c>
    </row>
    <row r="13938" spans="1:14" x14ac:dyDescent="0.25">
      <c r="A13938" t="s">
        <v>23726</v>
      </c>
      <c r="B13938" t="s">
        <v>12984</v>
      </c>
      <c r="C13938" s="1" t="str">
        <f>HYPERLINK("http://www.genecards.org/cgi-bin/carddisp.pl?gene=MYT1","GeneCards")</f>
        <v>GeneCards</v>
      </c>
      <c r="D13938" s="1" t="str">
        <f>HYPERLINK("http://genome-euro.ucsc.edu/cgi-bin/hgTracks?position=210341_at","UCSC")</f>
        <v>UCSC</v>
      </c>
      <c r="E13938" s="1" t="str">
        <f>HYPERLINK("http://www.ncbi.nlm.nih.gov/gene/?term=MYT1","NCBI")</f>
        <v>NCBI</v>
      </c>
      <c r="F13938">
        <v>0.51</v>
      </c>
      <c r="G13938">
        <v>0.63</v>
      </c>
      <c r="H13938" s="1" t="str">
        <f>HYPERLINK("http://www.weizmann.ac.il/complex/compphys/software/geview/data/figures/210341_at.png","Figure")</f>
        <v>Figure</v>
      </c>
      <c r="I13938">
        <v>0.99299999999999999</v>
      </c>
      <c r="J13938">
        <v>0.56999999999999995</v>
      </c>
      <c r="K13938">
        <v>0.99399999999999999</v>
      </c>
      <c r="L13938">
        <v>0.57999999999999996</v>
      </c>
      <c r="M13938">
        <v>1</v>
      </c>
      <c r="N13938">
        <v>0.99</v>
      </c>
    </row>
    <row r="13939" spans="1:14" x14ac:dyDescent="0.25">
      <c r="A13939" t="s">
        <v>23727</v>
      </c>
      <c r="B13939" t="s">
        <v>23728</v>
      </c>
      <c r="C13939" s="1" t="str">
        <f>HYPERLINK("http://www.genecards.org/cgi-bin/carddisp.pl?gene=POLD4","GeneCards")</f>
        <v>GeneCards</v>
      </c>
      <c r="D13939" s="1" t="str">
        <f>HYPERLINK("http://genome-euro.ucsc.edu/cgi-bin/hgTracks?position=202996_at","UCSC")</f>
        <v>UCSC</v>
      </c>
      <c r="E13939" s="1" t="str">
        <f>HYPERLINK("http://www.ncbi.nlm.nih.gov/gene/?term=POLD4","NCBI")</f>
        <v>NCBI</v>
      </c>
      <c r="F13939">
        <v>0.51</v>
      </c>
      <c r="G13939">
        <v>0.63</v>
      </c>
      <c r="H13939" s="1" t="str">
        <f>HYPERLINK("http://www.weizmann.ac.il/complex/compphys/software/geview/data/figures/202996_at.png","Figure")</f>
        <v>Figure</v>
      </c>
      <c r="I13939">
        <v>1.1000000000000001</v>
      </c>
      <c r="J13939">
        <v>0.55000000000000004</v>
      </c>
      <c r="K13939">
        <v>1.01</v>
      </c>
      <c r="L13939">
        <v>1</v>
      </c>
      <c r="M13939">
        <v>0.91200000000000003</v>
      </c>
      <c r="N13939">
        <v>0.56000000000000005</v>
      </c>
    </row>
    <row r="13940" spans="1:14" x14ac:dyDescent="0.25">
      <c r="A13940" t="s">
        <v>23729</v>
      </c>
      <c r="B13940" t="s">
        <v>19512</v>
      </c>
      <c r="C13940" s="1" t="str">
        <f>HYPERLINK("http://www.genecards.org/cgi-bin/carddisp.pl?gene=NR1D1 /// THRA","GeneCards")</f>
        <v>GeneCards</v>
      </c>
      <c r="D13940" s="1" t="str">
        <f>HYPERLINK("http://genome-euro.ucsc.edu/cgi-bin/hgTracks?position=204760_s_at","UCSC")</f>
        <v>UCSC</v>
      </c>
      <c r="E13940" s="1" t="str">
        <f>HYPERLINK("http://www.ncbi.nlm.nih.gov/gene/?term=NR1D1 /// THRA","NCBI")</f>
        <v>NCBI</v>
      </c>
      <c r="F13940">
        <v>0.51</v>
      </c>
      <c r="G13940">
        <v>0.63</v>
      </c>
      <c r="H13940" s="1" t="str">
        <f>HYPERLINK("http://www.weizmann.ac.il/complex/compphys/software/geview/data/figures/204760_s_at.png","Figure")</f>
        <v>Figure</v>
      </c>
      <c r="I13940">
        <v>0.94399999999999995</v>
      </c>
      <c r="J13940">
        <v>0.86</v>
      </c>
      <c r="K13940">
        <v>1.06</v>
      </c>
      <c r="L13940">
        <v>0.8</v>
      </c>
      <c r="M13940">
        <v>1.1299999999999999</v>
      </c>
      <c r="N13940">
        <v>0.49</v>
      </c>
    </row>
    <row r="13941" spans="1:14" x14ac:dyDescent="0.25">
      <c r="A13941" t="s">
        <v>23730</v>
      </c>
      <c r="B13941" t="s">
        <v>23731</v>
      </c>
      <c r="C13941" s="1" t="str">
        <f>HYPERLINK("http://www.genecards.org/cgi-bin/carddisp.pl?gene=IGH@ /// IGHA1 /// IGHA2 /// IGHD /// IGHG1 /// IGHG2 /// IGHG3 /// IGHM /// IGHV3-23 /// IGHV4-31 /","GeneCards")</f>
        <v>GeneCards</v>
      </c>
      <c r="D13941" s="1" t="str">
        <f>HYPERLINK("http://genome-euro.ucsc.edu/cgi-bin/hgTracks?position=211868_x_at","UCSC")</f>
        <v>UCSC</v>
      </c>
      <c r="E13941" s="1" t="str">
        <f>HYPERLINK("http://www.ncbi.nlm.nih.gov/gene/?term=IGH@ /// IGHA1 /// IGHA2 /// IGHD /// IGHG1 /// IGHG2 /// IGHG3 /// IGHM /// IGHV3-23 /// IGHV4-31 /","NCBI")</f>
        <v>NCBI</v>
      </c>
      <c r="F13941">
        <v>0.51</v>
      </c>
      <c r="G13941">
        <v>0.63</v>
      </c>
      <c r="H13941" s="1" t="str">
        <f>HYPERLINK("http://www.weizmann.ac.il/complex/compphys/software/geview/data/figures/211868_x_at.png","Figure")</f>
        <v>Figure</v>
      </c>
      <c r="I13941">
        <v>1.1100000000000001</v>
      </c>
      <c r="J13941">
        <v>0.51</v>
      </c>
      <c r="K13941">
        <v>1.02</v>
      </c>
      <c r="L13941">
        <v>0.96</v>
      </c>
      <c r="M13941">
        <v>0.91800000000000004</v>
      </c>
      <c r="N13941">
        <v>0.62</v>
      </c>
    </row>
    <row r="13942" spans="1:14" x14ac:dyDescent="0.25">
      <c r="A13942" t="s">
        <v>23732</v>
      </c>
      <c r="B13942" t="s">
        <v>23733</v>
      </c>
      <c r="C13942" s="1" t="str">
        <f>HYPERLINK("http://www.genecards.org/cgi-bin/carddisp.pl?gene=ITGBL1","GeneCards")</f>
        <v>GeneCards</v>
      </c>
      <c r="D13942" s="1" t="str">
        <f>HYPERLINK("http://genome-euro.ucsc.edu/cgi-bin/hgTracks?position=214927_at","UCSC")</f>
        <v>UCSC</v>
      </c>
      <c r="E13942" s="1" t="str">
        <f>HYPERLINK("http://www.ncbi.nlm.nih.gov/gene/?term=ITGBL1","NCBI")</f>
        <v>NCBI</v>
      </c>
      <c r="F13942">
        <v>0.51</v>
      </c>
      <c r="G13942">
        <v>0.63</v>
      </c>
      <c r="H13942" s="1" t="str">
        <f>HYPERLINK("http://www.weizmann.ac.il/complex/compphys/software/geview/data/figures/214927_at.png","Figure")</f>
        <v>Figure</v>
      </c>
      <c r="I13942">
        <v>1</v>
      </c>
      <c r="J13942">
        <v>1</v>
      </c>
      <c r="K13942">
        <v>0.98299999999999998</v>
      </c>
      <c r="L13942">
        <v>0.57999999999999996</v>
      </c>
      <c r="M13942">
        <v>0.98299999999999998</v>
      </c>
      <c r="N13942">
        <v>0.62</v>
      </c>
    </row>
    <row r="13943" spans="1:14" x14ac:dyDescent="0.25">
      <c r="A13943" t="s">
        <v>23734</v>
      </c>
      <c r="B13943" t="s">
        <v>23735</v>
      </c>
      <c r="C13943" s="1" t="str">
        <f>HYPERLINK("http://www.genecards.org/cgi-bin/carddisp.pl?gene=MYL5","GeneCards")</f>
        <v>GeneCards</v>
      </c>
      <c r="D13943" s="1" t="str">
        <f>HYPERLINK("http://genome-euro.ucsc.edu/cgi-bin/hgTracks?position=205145_s_at","UCSC")</f>
        <v>UCSC</v>
      </c>
      <c r="E13943" s="1" t="str">
        <f>HYPERLINK("http://www.ncbi.nlm.nih.gov/gene/?term=MYL5","NCBI")</f>
        <v>NCBI</v>
      </c>
      <c r="F13943">
        <v>0.51</v>
      </c>
      <c r="G13943">
        <v>0.63</v>
      </c>
      <c r="H13943" s="1" t="str">
        <f>HYPERLINK("http://www.weizmann.ac.il/complex/compphys/software/geview/data/figures/205145_s_at.png","Figure")</f>
        <v>Figure</v>
      </c>
      <c r="I13943">
        <v>1.03</v>
      </c>
      <c r="J13943">
        <v>0.97</v>
      </c>
      <c r="K13943">
        <v>0.91900000000000004</v>
      </c>
      <c r="L13943">
        <v>0.67</v>
      </c>
      <c r="M13943">
        <v>0.89300000000000002</v>
      </c>
      <c r="N13943">
        <v>0.54</v>
      </c>
    </row>
    <row r="13944" spans="1:14" x14ac:dyDescent="0.25">
      <c r="A13944" t="s">
        <v>23736</v>
      </c>
      <c r="B13944" t="s">
        <v>18913</v>
      </c>
      <c r="C13944" s="1" t="str">
        <f>HYPERLINK("http://www.genecards.org/cgi-bin/carddisp.pl?gene=CALR","GeneCards")</f>
        <v>GeneCards</v>
      </c>
      <c r="D13944" s="1" t="str">
        <f>HYPERLINK("http://genome-euro.ucsc.edu/cgi-bin/hgTracks?position=214315_x_at","UCSC")</f>
        <v>UCSC</v>
      </c>
      <c r="E13944" s="1" t="str">
        <f>HYPERLINK("http://www.ncbi.nlm.nih.gov/gene/?term=CALR","NCBI")</f>
        <v>NCBI</v>
      </c>
      <c r="F13944">
        <v>0.51</v>
      </c>
      <c r="G13944">
        <v>0.63</v>
      </c>
      <c r="H13944" s="1" t="str">
        <f>HYPERLINK("http://www.weizmann.ac.il/complex/compphys/software/geview/data/figures/214315_x_at.png","Figure")</f>
        <v>Figure</v>
      </c>
      <c r="I13944">
        <v>0.72799999999999998</v>
      </c>
      <c r="J13944">
        <v>0.67</v>
      </c>
      <c r="K13944">
        <v>1.08</v>
      </c>
      <c r="L13944">
        <v>0.97</v>
      </c>
      <c r="M13944">
        <v>1.49</v>
      </c>
      <c r="N13944">
        <v>0.49</v>
      </c>
    </row>
    <row r="13945" spans="1:14" x14ac:dyDescent="0.25">
      <c r="A13945" t="s">
        <v>23737</v>
      </c>
      <c r="B13945" t="s">
        <v>23738</v>
      </c>
      <c r="C13945" s="1" t="str">
        <f>HYPERLINK("http://www.genecards.org/cgi-bin/carddisp.pl?gene=MRPL2","GeneCards")</f>
        <v>GeneCards</v>
      </c>
      <c r="D13945" s="1" t="str">
        <f>HYPERLINK("http://genome-euro.ucsc.edu/cgi-bin/hgTracks?position=218887_at","UCSC")</f>
        <v>UCSC</v>
      </c>
      <c r="E13945" s="1" t="str">
        <f>HYPERLINK("http://www.ncbi.nlm.nih.gov/gene/?term=MRPL2","NCBI")</f>
        <v>NCBI</v>
      </c>
      <c r="F13945">
        <v>0.51</v>
      </c>
      <c r="G13945">
        <v>0.63</v>
      </c>
      <c r="H13945" s="1" t="str">
        <f>HYPERLINK("http://www.weizmann.ac.il/complex/compphys/software/geview/data/figures/218887_at.png","Figure")</f>
        <v>Figure</v>
      </c>
      <c r="I13945">
        <v>0.99199999999999999</v>
      </c>
      <c r="J13945">
        <v>1</v>
      </c>
      <c r="K13945">
        <v>1.1200000000000001</v>
      </c>
      <c r="L13945">
        <v>0.6</v>
      </c>
      <c r="M13945">
        <v>1.1299999999999999</v>
      </c>
      <c r="N13945">
        <v>0.6</v>
      </c>
    </row>
    <row r="13946" spans="1:14" x14ac:dyDescent="0.25">
      <c r="A13946" t="s">
        <v>23739</v>
      </c>
      <c r="B13946" t="s">
        <v>23740</v>
      </c>
      <c r="C13946" s="1" t="str">
        <f>HYPERLINK("http://www.genecards.org/cgi-bin/carddisp.pl?gene=C21orf62","GeneCards")</f>
        <v>GeneCards</v>
      </c>
      <c r="D13946" s="1" t="str">
        <f>HYPERLINK("http://genome-euro.ucsc.edu/cgi-bin/hgTracks?position=220543_at","UCSC")</f>
        <v>UCSC</v>
      </c>
      <c r="E13946" s="1" t="str">
        <f>HYPERLINK("http://www.ncbi.nlm.nih.gov/gene/?term=C21orf62","NCBI")</f>
        <v>NCBI</v>
      </c>
      <c r="F13946">
        <v>0.52</v>
      </c>
      <c r="G13946">
        <v>0.63</v>
      </c>
      <c r="H13946" s="1" t="str">
        <f>HYPERLINK("http://www.weizmann.ac.il/complex/compphys/software/geview/data/figures/220543_at.png","Figure")</f>
        <v>Figure</v>
      </c>
      <c r="I13946">
        <v>1</v>
      </c>
      <c r="J13946">
        <v>1</v>
      </c>
      <c r="K13946">
        <v>1.02</v>
      </c>
      <c r="L13946">
        <v>0.56000000000000005</v>
      </c>
      <c r="M13946">
        <v>1.02</v>
      </c>
      <c r="N13946">
        <v>0.65</v>
      </c>
    </row>
    <row r="13947" spans="1:14" x14ac:dyDescent="0.25">
      <c r="A13947" t="s">
        <v>23741</v>
      </c>
      <c r="B13947" t="s">
        <v>14518</v>
      </c>
      <c r="C13947" s="1" t="str">
        <f>HYPERLINK("http://www.genecards.org/cgi-bin/carddisp.pl?gene=MTRR","GeneCards")</f>
        <v>GeneCards</v>
      </c>
      <c r="D13947" s="1" t="str">
        <f>HYPERLINK("http://genome-euro.ucsc.edu/cgi-bin/hgTracks?position=203200_s_at","UCSC")</f>
        <v>UCSC</v>
      </c>
      <c r="E13947" s="1" t="str">
        <f>HYPERLINK("http://www.ncbi.nlm.nih.gov/gene/?term=MTRR","NCBI")</f>
        <v>NCBI</v>
      </c>
      <c r="F13947">
        <v>0.52</v>
      </c>
      <c r="G13947">
        <v>0.63</v>
      </c>
      <c r="H13947" s="1" t="str">
        <f>HYPERLINK("http://www.weizmann.ac.il/complex/compphys/software/geview/data/figures/203200_s_at.png","Figure")</f>
        <v>Figure</v>
      </c>
      <c r="I13947">
        <v>0.80900000000000005</v>
      </c>
      <c r="J13947">
        <v>0.53</v>
      </c>
      <c r="K13947">
        <v>0.85499999999999998</v>
      </c>
      <c r="L13947">
        <v>0.63</v>
      </c>
      <c r="M13947">
        <v>1.06</v>
      </c>
      <c r="N13947">
        <v>0.95</v>
      </c>
    </row>
    <row r="13948" spans="1:14" x14ac:dyDescent="0.25">
      <c r="A13948" t="s">
        <v>23742</v>
      </c>
      <c r="B13948" t="s">
        <v>22134</v>
      </c>
      <c r="C13948" s="1" t="str">
        <f>HYPERLINK("http://www.genecards.org/cgi-bin/carddisp.pl?gene=MAP2K5","GeneCards")</f>
        <v>GeneCards</v>
      </c>
      <c r="D13948" s="1" t="str">
        <f>HYPERLINK("http://genome-euro.ucsc.edu/cgi-bin/hgTracks?position=216765_at","UCSC")</f>
        <v>UCSC</v>
      </c>
      <c r="E13948" s="1" t="str">
        <f>HYPERLINK("http://www.ncbi.nlm.nih.gov/gene/?term=MAP2K5","NCBI")</f>
        <v>NCBI</v>
      </c>
      <c r="F13948">
        <v>0.52</v>
      </c>
      <c r="G13948">
        <v>0.63</v>
      </c>
      <c r="H13948" s="1" t="str">
        <f>HYPERLINK("http://www.weizmann.ac.il/complex/compphys/software/geview/data/figures/216765_at.png","Figure")</f>
        <v>Figure</v>
      </c>
      <c r="I13948">
        <v>0.89300000000000002</v>
      </c>
      <c r="J13948">
        <v>0.49</v>
      </c>
      <c r="K13948">
        <v>0.94599999999999995</v>
      </c>
      <c r="L13948">
        <v>0.79</v>
      </c>
      <c r="M13948">
        <v>1.06</v>
      </c>
      <c r="N13948">
        <v>0.8</v>
      </c>
    </row>
    <row r="13949" spans="1:14" x14ac:dyDescent="0.25">
      <c r="A13949" t="s">
        <v>23743</v>
      </c>
      <c r="B13949" t="s">
        <v>23744</v>
      </c>
      <c r="C13949" s="1" t="str">
        <f>HYPERLINK("http://www.genecards.org/cgi-bin/carddisp.pl?gene=ARPC1A","GeneCards")</f>
        <v>GeneCards</v>
      </c>
      <c r="D13949" s="1" t="str">
        <f>HYPERLINK("http://genome-euro.ucsc.edu/cgi-bin/hgTracks?position=200950_at","UCSC")</f>
        <v>UCSC</v>
      </c>
      <c r="E13949" s="1" t="str">
        <f>HYPERLINK("http://www.ncbi.nlm.nih.gov/gene/?term=ARPC1A","NCBI")</f>
        <v>NCBI</v>
      </c>
      <c r="F13949">
        <v>0.52</v>
      </c>
      <c r="G13949">
        <v>0.63</v>
      </c>
      <c r="H13949" s="1" t="str">
        <f>HYPERLINK("http://www.weizmann.ac.il/complex/compphys/software/geview/data/figures/200950_at.png","Figure")</f>
        <v>Figure</v>
      </c>
      <c r="I13949">
        <v>0.82499999999999996</v>
      </c>
      <c r="J13949">
        <v>0.56999999999999995</v>
      </c>
      <c r="K13949">
        <v>0.84499999999999997</v>
      </c>
      <c r="L13949">
        <v>0.56999999999999995</v>
      </c>
      <c r="M13949">
        <v>1.03</v>
      </c>
      <c r="N13949">
        <v>0.99</v>
      </c>
    </row>
    <row r="13950" spans="1:14" x14ac:dyDescent="0.25">
      <c r="A13950" t="s">
        <v>23745</v>
      </c>
      <c r="B13950" t="s">
        <v>23746</v>
      </c>
      <c r="C13950" s="1" t="str">
        <f>HYPERLINK("http://www.genecards.org/cgi-bin/carddisp.pl?gene=SSX7","GeneCards")</f>
        <v>GeneCards</v>
      </c>
      <c r="D13950" s="1" t="str">
        <f>HYPERLINK("http://genome-euro.ucsc.edu/cgi-bin/hgTracks?position=215885_at","UCSC")</f>
        <v>UCSC</v>
      </c>
      <c r="E13950" s="1" t="str">
        <f>HYPERLINK("http://www.ncbi.nlm.nih.gov/gene/?term=SSX7","NCBI")</f>
        <v>NCBI</v>
      </c>
      <c r="F13950">
        <v>0.52</v>
      </c>
      <c r="G13950">
        <v>0.63</v>
      </c>
      <c r="H13950" s="1" t="str">
        <f>HYPERLINK("http://www.weizmann.ac.il/complex/compphys/software/geview/data/figures/215885_at.png","Figure")</f>
        <v>Figure</v>
      </c>
      <c r="I13950">
        <v>0.97099999999999997</v>
      </c>
      <c r="J13950">
        <v>0.83</v>
      </c>
      <c r="K13950">
        <v>0.94799999999999995</v>
      </c>
      <c r="L13950">
        <v>0.48</v>
      </c>
      <c r="M13950">
        <v>0.97699999999999998</v>
      </c>
      <c r="N13950">
        <v>0.88</v>
      </c>
    </row>
    <row r="13951" spans="1:14" x14ac:dyDescent="0.25">
      <c r="A13951" t="s">
        <v>23747</v>
      </c>
      <c r="B13951" t="s">
        <v>22415</v>
      </c>
      <c r="C13951" s="1" t="str">
        <f>HYPERLINK("http://www.genecards.org/cgi-bin/carddisp.pl?gene=LUC7L3","GeneCards")</f>
        <v>GeneCards</v>
      </c>
      <c r="D13951" s="1" t="str">
        <f>HYPERLINK("http://genome-euro.ucsc.edu/cgi-bin/hgTracks?position=220044_x_at","UCSC")</f>
        <v>UCSC</v>
      </c>
      <c r="E13951" s="1" t="str">
        <f>HYPERLINK("http://www.ncbi.nlm.nih.gov/gene/?term=LUC7L3","NCBI")</f>
        <v>NCBI</v>
      </c>
      <c r="F13951">
        <v>0.52</v>
      </c>
      <c r="G13951">
        <v>0.63</v>
      </c>
      <c r="H13951" s="1" t="str">
        <f>HYPERLINK("http://www.weizmann.ac.il/complex/compphys/software/geview/data/figures/220044_x_at.png","Figure")</f>
        <v>Figure</v>
      </c>
      <c r="I13951">
        <v>0.69099999999999995</v>
      </c>
      <c r="J13951">
        <v>0.5</v>
      </c>
      <c r="K13951">
        <v>0.79300000000000004</v>
      </c>
      <c r="L13951">
        <v>0.69</v>
      </c>
      <c r="M13951">
        <v>1.1499999999999999</v>
      </c>
      <c r="N13951">
        <v>0.89</v>
      </c>
    </row>
    <row r="13952" spans="1:14" x14ac:dyDescent="0.25">
      <c r="A13952" t="s">
        <v>23748</v>
      </c>
      <c r="B13952" t="s">
        <v>23749</v>
      </c>
      <c r="C13952" s="1" t="str">
        <f>HYPERLINK("http://www.genecards.org/cgi-bin/carddisp.pl?gene=BLOC1S1","GeneCards")</f>
        <v>GeneCards</v>
      </c>
      <c r="D13952" s="1" t="str">
        <f>HYPERLINK("http://genome-euro.ucsc.edu/cgi-bin/hgTracks?position=202592_at","UCSC")</f>
        <v>UCSC</v>
      </c>
      <c r="E13952" s="1" t="str">
        <f>HYPERLINK("http://www.ncbi.nlm.nih.gov/gene/?term=BLOC1S1","NCBI")</f>
        <v>NCBI</v>
      </c>
      <c r="F13952">
        <v>0.52</v>
      </c>
      <c r="G13952">
        <v>0.63</v>
      </c>
      <c r="H13952" s="1" t="str">
        <f>HYPERLINK("http://www.weizmann.ac.il/complex/compphys/software/geview/data/figures/202592_at.png","Figure")</f>
        <v>Figure</v>
      </c>
      <c r="I13952">
        <v>0.93899999999999995</v>
      </c>
      <c r="J13952">
        <v>0.94</v>
      </c>
      <c r="K13952">
        <v>1.1399999999999999</v>
      </c>
      <c r="L13952">
        <v>0.7</v>
      </c>
      <c r="M13952">
        <v>1.22</v>
      </c>
      <c r="N13952">
        <v>0.53</v>
      </c>
    </row>
    <row r="13953" spans="1:14" x14ac:dyDescent="0.25">
      <c r="A13953" t="s">
        <v>23750</v>
      </c>
      <c r="B13953" t="s">
        <v>13732</v>
      </c>
      <c r="C13953" s="1" t="str">
        <f>HYPERLINK("http://www.genecards.org/cgi-bin/carddisp.pl?gene=TGM2","GeneCards")</f>
        <v>GeneCards</v>
      </c>
      <c r="D13953" s="1" t="str">
        <f>HYPERLINK("http://genome-euro.ucsc.edu/cgi-bin/hgTracks?position=211003_x_at","UCSC")</f>
        <v>UCSC</v>
      </c>
      <c r="E13953" s="1" t="str">
        <f>HYPERLINK("http://www.ncbi.nlm.nih.gov/gene/?term=TGM2","NCBI")</f>
        <v>NCBI</v>
      </c>
      <c r="F13953">
        <v>0.52</v>
      </c>
      <c r="G13953">
        <v>0.63</v>
      </c>
      <c r="H13953" s="1" t="str">
        <f>HYPERLINK("http://www.weizmann.ac.il/complex/compphys/software/geview/data/figures/211003_x_at.png","Figure")</f>
        <v>Figure</v>
      </c>
      <c r="I13953">
        <v>1.08</v>
      </c>
      <c r="J13953">
        <v>0.5</v>
      </c>
      <c r="K13953">
        <v>1.05</v>
      </c>
      <c r="L13953">
        <v>0.7</v>
      </c>
      <c r="M13953">
        <v>0.97</v>
      </c>
      <c r="N13953">
        <v>0.89</v>
      </c>
    </row>
    <row r="13954" spans="1:14" x14ac:dyDescent="0.25">
      <c r="A13954" t="s">
        <v>23751</v>
      </c>
      <c r="B13954" t="s">
        <v>23752</v>
      </c>
      <c r="C13954" s="1" t="str">
        <f>HYPERLINK("http://www.genecards.org/cgi-bin/carddisp.pl?gene=COG7","GeneCards")</f>
        <v>GeneCards</v>
      </c>
      <c r="D13954" s="1" t="str">
        <f>HYPERLINK("http://genome-euro.ucsc.edu/cgi-bin/hgTracks?position=213190_at","UCSC")</f>
        <v>UCSC</v>
      </c>
      <c r="E13954" s="1" t="str">
        <f>HYPERLINK("http://www.ncbi.nlm.nih.gov/gene/?term=COG7","NCBI")</f>
        <v>NCBI</v>
      </c>
      <c r="F13954">
        <v>0.52</v>
      </c>
      <c r="G13954">
        <v>0.63</v>
      </c>
      <c r="H13954" s="1" t="str">
        <f>HYPERLINK("http://www.weizmann.ac.il/complex/compphys/software/geview/data/figures/213190_at.png","Figure")</f>
        <v>Figure</v>
      </c>
      <c r="I13954">
        <v>0.89300000000000002</v>
      </c>
      <c r="J13954">
        <v>0.82</v>
      </c>
      <c r="K13954">
        <v>1.1000000000000001</v>
      </c>
      <c r="L13954">
        <v>0.84</v>
      </c>
      <c r="M13954">
        <v>1.23</v>
      </c>
      <c r="N13954">
        <v>0.49</v>
      </c>
    </row>
    <row r="13955" spans="1:14" x14ac:dyDescent="0.25">
      <c r="A13955" t="s">
        <v>23753</v>
      </c>
      <c r="B13955" t="s">
        <v>18114</v>
      </c>
      <c r="C13955" s="1" t="str">
        <f>HYPERLINK("http://www.genecards.org/cgi-bin/carddisp.pl?gene=PML","GeneCards")</f>
        <v>GeneCards</v>
      </c>
      <c r="D13955" s="1" t="str">
        <f>HYPERLINK("http://genome-euro.ucsc.edu/cgi-bin/hgTracks?position=211589_at","UCSC")</f>
        <v>UCSC</v>
      </c>
      <c r="E13955" s="1" t="str">
        <f>HYPERLINK("http://www.ncbi.nlm.nih.gov/gene/?term=PML","NCBI")</f>
        <v>NCBI</v>
      </c>
      <c r="F13955">
        <v>0.52</v>
      </c>
      <c r="G13955">
        <v>0.63</v>
      </c>
      <c r="H13955" s="1" t="str">
        <f>HYPERLINK("http://www.weizmann.ac.il/complex/compphys/software/geview/data/figures/211589_at.png","Figure")</f>
        <v>Figure</v>
      </c>
      <c r="I13955">
        <v>1.04</v>
      </c>
      <c r="J13955">
        <v>0.49</v>
      </c>
      <c r="K13955">
        <v>1.02</v>
      </c>
      <c r="L13955">
        <v>0.84</v>
      </c>
      <c r="M13955">
        <v>0.97799999999999998</v>
      </c>
      <c r="N13955">
        <v>0.75</v>
      </c>
    </row>
    <row r="13956" spans="1:14" x14ac:dyDescent="0.25">
      <c r="A13956" t="s">
        <v>23754</v>
      </c>
      <c r="B13956" t="s">
        <v>17471</v>
      </c>
      <c r="C13956" s="1" t="str">
        <f>HYPERLINK("http://www.genecards.org/cgi-bin/carddisp.pl?gene=FLOT1","GeneCards")</f>
        <v>GeneCards</v>
      </c>
      <c r="D13956" s="1" t="str">
        <f>HYPERLINK("http://genome-euro.ucsc.edu/cgi-bin/hgTracks?position=208748_s_at","UCSC")</f>
        <v>UCSC</v>
      </c>
      <c r="E13956" s="1" t="str">
        <f>HYPERLINK("http://www.ncbi.nlm.nih.gov/gene/?term=FLOT1","NCBI")</f>
        <v>NCBI</v>
      </c>
      <c r="F13956">
        <v>0.52</v>
      </c>
      <c r="G13956">
        <v>0.63</v>
      </c>
      <c r="H13956" s="1" t="str">
        <f>HYPERLINK("http://www.weizmann.ac.il/complex/compphys/software/geview/data/figures/208748_s_at.png","Figure")</f>
        <v>Figure</v>
      </c>
      <c r="I13956">
        <v>0.995</v>
      </c>
      <c r="J13956">
        <v>0.97</v>
      </c>
      <c r="K13956">
        <v>0.97699999999999998</v>
      </c>
      <c r="L13956">
        <v>0.52</v>
      </c>
      <c r="M13956">
        <v>0.98299999999999998</v>
      </c>
      <c r="N13956">
        <v>0.71</v>
      </c>
    </row>
    <row r="13957" spans="1:14" x14ac:dyDescent="0.25">
      <c r="A13957" t="s">
        <v>23755</v>
      </c>
      <c r="B13957" t="s">
        <v>23756</v>
      </c>
      <c r="C13957" s="1" t="str">
        <f>HYPERLINK("http://www.genecards.org/cgi-bin/carddisp.pl?gene=LOC100290129","GeneCards")</f>
        <v>GeneCards</v>
      </c>
      <c r="D13957" s="1" t="str">
        <f>HYPERLINK("http://genome-euro.ucsc.edu/cgi-bin/hgTracks?position=213719_s_at","UCSC")</f>
        <v>UCSC</v>
      </c>
      <c r="E13957" s="1" t="str">
        <f>HYPERLINK("http://www.ncbi.nlm.nih.gov/gene/?term=LOC100290129","NCBI")</f>
        <v>NCBI</v>
      </c>
      <c r="F13957">
        <v>0.52</v>
      </c>
      <c r="G13957">
        <v>0.63</v>
      </c>
      <c r="H13957" s="1" t="str">
        <f>HYPERLINK("http://www.weizmann.ac.il/complex/compphys/software/geview/data/figures/213719_s_at.png","Figure")</f>
        <v>Figure</v>
      </c>
      <c r="I13957">
        <v>1.01</v>
      </c>
      <c r="J13957">
        <v>0.52</v>
      </c>
      <c r="K13957">
        <v>1.01</v>
      </c>
      <c r="L13957">
        <v>0.64</v>
      </c>
      <c r="M13957">
        <v>0.996</v>
      </c>
      <c r="N13957">
        <v>0.94</v>
      </c>
    </row>
    <row r="13958" spans="1:14" x14ac:dyDescent="0.25">
      <c r="A13958" t="s">
        <v>23757</v>
      </c>
      <c r="B13958" t="s">
        <v>10465</v>
      </c>
      <c r="C13958" s="1" t="str">
        <f>HYPERLINK("http://www.genecards.org/cgi-bin/carddisp.pl?gene=PTP4A2","GeneCards")</f>
        <v>GeneCards</v>
      </c>
      <c r="D13958" s="1" t="str">
        <f>HYPERLINK("http://genome-euro.ucsc.edu/cgi-bin/hgTracks?position=208615_s_at","UCSC")</f>
        <v>UCSC</v>
      </c>
      <c r="E13958" s="1" t="str">
        <f>HYPERLINK("http://www.ncbi.nlm.nih.gov/gene/?term=PTP4A2","NCBI")</f>
        <v>NCBI</v>
      </c>
      <c r="F13958">
        <v>0.52</v>
      </c>
      <c r="G13958">
        <v>0.63</v>
      </c>
      <c r="H13958" s="1" t="str">
        <f>HYPERLINK("http://www.weizmann.ac.il/complex/compphys/software/geview/data/figures/208615_s_at.png","Figure")</f>
        <v>Figure</v>
      </c>
      <c r="I13958">
        <v>0.83299999999999996</v>
      </c>
      <c r="J13958">
        <v>0.66</v>
      </c>
      <c r="K13958">
        <v>0.81499999999999995</v>
      </c>
      <c r="L13958">
        <v>0.52</v>
      </c>
      <c r="M13958">
        <v>0.97799999999999998</v>
      </c>
      <c r="N13958">
        <v>0.99</v>
      </c>
    </row>
    <row r="13959" spans="1:14" x14ac:dyDescent="0.25">
      <c r="A13959" t="s">
        <v>23758</v>
      </c>
      <c r="B13959" t="s">
        <v>23759</v>
      </c>
      <c r="C13959" s="1" t="str">
        <f>HYPERLINK("http://www.genecards.org/cgi-bin/carddisp.pl?gene=COPS3","GeneCards")</f>
        <v>GeneCards</v>
      </c>
      <c r="D13959" s="1" t="str">
        <f>HYPERLINK("http://genome-euro.ucsc.edu/cgi-bin/hgTracks?position=202078_at","UCSC")</f>
        <v>UCSC</v>
      </c>
      <c r="E13959" s="1" t="str">
        <f>HYPERLINK("http://www.ncbi.nlm.nih.gov/gene/?term=COPS3","NCBI")</f>
        <v>NCBI</v>
      </c>
      <c r="F13959">
        <v>0.52</v>
      </c>
      <c r="G13959">
        <v>0.63</v>
      </c>
      <c r="H13959" s="1" t="str">
        <f>HYPERLINK("http://www.weizmann.ac.il/complex/compphys/software/geview/data/figures/202078_at.png","Figure")</f>
        <v>Figure</v>
      </c>
      <c r="I13959">
        <v>1.1000000000000001</v>
      </c>
      <c r="J13959">
        <v>0.94</v>
      </c>
      <c r="K13959">
        <v>0.82299999999999995</v>
      </c>
      <c r="L13959">
        <v>0.71</v>
      </c>
      <c r="M13959">
        <v>0.746</v>
      </c>
      <c r="N13959">
        <v>0.52</v>
      </c>
    </row>
    <row r="13960" spans="1:14" x14ac:dyDescent="0.25">
      <c r="A13960" t="s">
        <v>23760</v>
      </c>
      <c r="B13960" t="s">
        <v>23761</v>
      </c>
      <c r="C13960" s="1" t="str">
        <f>HYPERLINK("http://www.genecards.org/cgi-bin/carddisp.pl?gene=ASL","GeneCards")</f>
        <v>GeneCards</v>
      </c>
      <c r="D13960" s="1" t="str">
        <f>HYPERLINK("http://genome-euro.ucsc.edu/cgi-bin/hgTracks?position=204608_at","UCSC")</f>
        <v>UCSC</v>
      </c>
      <c r="E13960" s="1" t="str">
        <f>HYPERLINK("http://www.ncbi.nlm.nih.gov/gene/?term=ASL","NCBI")</f>
        <v>NCBI</v>
      </c>
      <c r="F13960">
        <v>0.52</v>
      </c>
      <c r="G13960">
        <v>0.63</v>
      </c>
      <c r="H13960" s="1" t="str">
        <f>HYPERLINK("http://www.weizmann.ac.il/complex/compphys/software/geview/data/figures/204608_at.png","Figure")</f>
        <v>Figure</v>
      </c>
      <c r="I13960">
        <v>1.05</v>
      </c>
      <c r="J13960">
        <v>0.93</v>
      </c>
      <c r="K13960">
        <v>1.1399999999999999</v>
      </c>
      <c r="L13960">
        <v>0.5</v>
      </c>
      <c r="M13960">
        <v>1.08</v>
      </c>
      <c r="N13960">
        <v>0.78</v>
      </c>
    </row>
    <row r="13961" spans="1:14" x14ac:dyDescent="0.25">
      <c r="A13961" t="s">
        <v>23762</v>
      </c>
      <c r="B13961" t="s">
        <v>20923</v>
      </c>
      <c r="C13961" s="1" t="str">
        <f>HYPERLINK("http://www.genecards.org/cgi-bin/carddisp.pl?gene=RHOQ","GeneCards")</f>
        <v>GeneCards</v>
      </c>
      <c r="D13961" s="1" t="str">
        <f>HYPERLINK("http://genome-euro.ucsc.edu/cgi-bin/hgTracks?position=212120_at","UCSC")</f>
        <v>UCSC</v>
      </c>
      <c r="E13961" s="1" t="str">
        <f>HYPERLINK("http://www.ncbi.nlm.nih.gov/gene/?term=RHOQ","NCBI")</f>
        <v>NCBI</v>
      </c>
      <c r="F13961">
        <v>0.52</v>
      </c>
      <c r="G13961">
        <v>0.63</v>
      </c>
      <c r="H13961" s="1" t="str">
        <f>HYPERLINK("http://www.weizmann.ac.il/complex/compphys/software/geview/data/figures/212120_at.png","Figure")</f>
        <v>Figure</v>
      </c>
      <c r="I13961">
        <v>1.08</v>
      </c>
      <c r="J13961">
        <v>0.95</v>
      </c>
      <c r="K13961">
        <v>0.84399999999999997</v>
      </c>
      <c r="L13961">
        <v>0.7</v>
      </c>
      <c r="M13961">
        <v>0.78400000000000003</v>
      </c>
      <c r="N13961">
        <v>0.53</v>
      </c>
    </row>
    <row r="13962" spans="1:14" x14ac:dyDescent="0.25">
      <c r="A13962" t="s">
        <v>23763</v>
      </c>
      <c r="B13962" t="s">
        <v>18627</v>
      </c>
      <c r="C13962" s="1" t="str">
        <f>HYPERLINK("http://www.genecards.org/cgi-bin/carddisp.pl?gene=KDM3B","GeneCards")</f>
        <v>GeneCards</v>
      </c>
      <c r="D13962" s="1" t="str">
        <f>HYPERLINK("http://genome-euro.ucsc.edu/cgi-bin/hgTracks?position=210878_s_at","UCSC")</f>
        <v>UCSC</v>
      </c>
      <c r="E13962" s="1" t="str">
        <f>HYPERLINK("http://www.ncbi.nlm.nih.gov/gene/?term=KDM3B","NCBI")</f>
        <v>NCBI</v>
      </c>
      <c r="F13962">
        <v>0.52</v>
      </c>
      <c r="G13962">
        <v>0.63</v>
      </c>
      <c r="H13962" s="1" t="str">
        <f>HYPERLINK("http://www.weizmann.ac.il/complex/compphys/software/geview/data/figures/210878_s_at.png","Figure")</f>
        <v>Figure</v>
      </c>
      <c r="I13962">
        <v>0.89100000000000001</v>
      </c>
      <c r="J13962">
        <v>0.82</v>
      </c>
      <c r="K13962">
        <v>0.82199999999999995</v>
      </c>
      <c r="L13962">
        <v>0.49</v>
      </c>
      <c r="M13962">
        <v>0.92300000000000004</v>
      </c>
      <c r="N13962">
        <v>0.89</v>
      </c>
    </row>
    <row r="13963" spans="1:14" x14ac:dyDescent="0.25">
      <c r="A13963" t="s">
        <v>23764</v>
      </c>
      <c r="B13963" t="s">
        <v>13613</v>
      </c>
      <c r="C13963" s="1" t="str">
        <f>HYPERLINK("http://www.genecards.org/cgi-bin/carddisp.pl?gene=KLHL35","GeneCards")</f>
        <v>GeneCards</v>
      </c>
      <c r="D13963" s="1" t="str">
        <f>HYPERLINK("http://genome-euro.ucsc.edu/cgi-bin/hgTracks?position=214208_at","UCSC")</f>
        <v>UCSC</v>
      </c>
      <c r="E13963" s="1" t="str">
        <f>HYPERLINK("http://www.ncbi.nlm.nih.gov/gene/?term=KLHL35","NCBI")</f>
        <v>NCBI</v>
      </c>
      <c r="F13963">
        <v>0.52</v>
      </c>
      <c r="G13963">
        <v>0.63</v>
      </c>
      <c r="H13963" s="1" t="str">
        <f>HYPERLINK("http://www.weizmann.ac.il/complex/compphys/software/geview/data/figures/214208_at.png","Figure")</f>
        <v>Figure</v>
      </c>
      <c r="I13963">
        <v>1.04</v>
      </c>
      <c r="J13963">
        <v>0.71</v>
      </c>
      <c r="K13963">
        <v>1.06</v>
      </c>
      <c r="L13963">
        <v>0.5</v>
      </c>
      <c r="M13963">
        <v>1.01</v>
      </c>
      <c r="N13963">
        <v>0.97</v>
      </c>
    </row>
    <row r="13964" spans="1:14" x14ac:dyDescent="0.25">
      <c r="A13964" t="s">
        <v>23765</v>
      </c>
      <c r="B13964" t="s">
        <v>23766</v>
      </c>
      <c r="C13964" s="1" t="str">
        <f>HYPERLINK("http://www.genecards.org/cgi-bin/carddisp.pl?gene=DLST /// DLSTP","GeneCards")</f>
        <v>GeneCards</v>
      </c>
      <c r="D13964" s="1" t="str">
        <f>HYPERLINK("http://genome-euro.ucsc.edu/cgi-bin/hgTracks?position=215210_s_at","UCSC")</f>
        <v>UCSC</v>
      </c>
      <c r="E13964" s="1" t="str">
        <f>HYPERLINK("http://www.ncbi.nlm.nih.gov/gene/?term=DLST /// DLSTP","NCBI")</f>
        <v>NCBI</v>
      </c>
      <c r="F13964">
        <v>0.52</v>
      </c>
      <c r="G13964">
        <v>0.63</v>
      </c>
      <c r="H13964" s="1" t="str">
        <f>HYPERLINK("http://www.weizmann.ac.il/complex/compphys/software/geview/data/figures/215210_s_at.png","Figure")</f>
        <v>Figure</v>
      </c>
      <c r="I13964">
        <v>0.999</v>
      </c>
      <c r="J13964">
        <v>1</v>
      </c>
      <c r="K13964">
        <v>0.877</v>
      </c>
      <c r="L13964">
        <v>0.57999999999999996</v>
      </c>
      <c r="M13964">
        <v>0.878</v>
      </c>
      <c r="N13964">
        <v>0.62</v>
      </c>
    </row>
    <row r="13965" spans="1:14" x14ac:dyDescent="0.25">
      <c r="A13965" t="s">
        <v>23767</v>
      </c>
      <c r="B13965" t="s">
        <v>8381</v>
      </c>
      <c r="C13965" s="1" t="str">
        <f>HYPERLINK("http://www.genecards.org/cgi-bin/carddisp.pl?gene=CCDC93","GeneCards")</f>
        <v>GeneCards</v>
      </c>
      <c r="D13965" s="1" t="str">
        <f>HYPERLINK("http://genome-euro.ucsc.edu/cgi-bin/hgTracks?position=209689_at","UCSC")</f>
        <v>UCSC</v>
      </c>
      <c r="E13965" s="1" t="str">
        <f>HYPERLINK("http://www.ncbi.nlm.nih.gov/gene/?term=CCDC93","NCBI")</f>
        <v>NCBI</v>
      </c>
      <c r="F13965">
        <v>0.52</v>
      </c>
      <c r="G13965">
        <v>0.63</v>
      </c>
      <c r="H13965" s="1" t="str">
        <f>HYPERLINK("http://www.weizmann.ac.il/complex/compphys/software/geview/data/figures/209689_at.png","Figure")</f>
        <v>Figure</v>
      </c>
      <c r="I13965">
        <v>0.88300000000000001</v>
      </c>
      <c r="J13965">
        <v>0.62</v>
      </c>
      <c r="K13965">
        <v>0.88500000000000001</v>
      </c>
      <c r="L13965">
        <v>0.54</v>
      </c>
      <c r="M13965">
        <v>1</v>
      </c>
      <c r="N13965">
        <v>1</v>
      </c>
    </row>
    <row r="13966" spans="1:14" x14ac:dyDescent="0.25">
      <c r="A13966" t="s">
        <v>23768</v>
      </c>
      <c r="B13966" t="s">
        <v>11493</v>
      </c>
      <c r="C13966" s="1" t="str">
        <f>HYPERLINK("http://www.genecards.org/cgi-bin/carddisp.pl?gene=EPM2A","GeneCards")</f>
        <v>GeneCards</v>
      </c>
      <c r="D13966" s="1" t="str">
        <f>HYPERLINK("http://genome-euro.ucsc.edu/cgi-bin/hgTracks?position=210870_s_at","UCSC")</f>
        <v>UCSC</v>
      </c>
      <c r="E13966" s="1" t="str">
        <f>HYPERLINK("http://www.ncbi.nlm.nih.gov/gene/?term=EPM2A","NCBI")</f>
        <v>NCBI</v>
      </c>
      <c r="F13966">
        <v>0.52</v>
      </c>
      <c r="G13966">
        <v>0.63</v>
      </c>
      <c r="H13966" s="1" t="str">
        <f>HYPERLINK("http://www.weizmann.ac.il/complex/compphys/software/geview/data/figures/210870_s_at.png","Figure")</f>
        <v>Figure</v>
      </c>
      <c r="I13966">
        <v>0.95</v>
      </c>
      <c r="J13966">
        <v>0.61</v>
      </c>
      <c r="K13966">
        <v>0.95199999999999996</v>
      </c>
      <c r="L13966">
        <v>0.55000000000000004</v>
      </c>
      <c r="M13966">
        <v>1</v>
      </c>
      <c r="N13966">
        <v>1</v>
      </c>
    </row>
    <row r="13967" spans="1:14" x14ac:dyDescent="0.25">
      <c r="A13967" t="s">
        <v>23769</v>
      </c>
      <c r="B13967" t="s">
        <v>23560</v>
      </c>
      <c r="C13967" s="1" t="str">
        <f>HYPERLINK("http://www.genecards.org/cgi-bin/carddisp.pl?gene=RPL4","GeneCards")</f>
        <v>GeneCards</v>
      </c>
      <c r="D13967" s="1" t="str">
        <f>HYPERLINK("http://genome-euro.ucsc.edu/cgi-bin/hgTracks?position=200089_s_at","UCSC")</f>
        <v>UCSC</v>
      </c>
      <c r="E13967" s="1" t="str">
        <f>HYPERLINK("http://www.ncbi.nlm.nih.gov/gene/?term=RPL4","NCBI")</f>
        <v>NCBI</v>
      </c>
      <c r="F13967">
        <v>0.52</v>
      </c>
      <c r="G13967">
        <v>0.63</v>
      </c>
      <c r="H13967" s="1" t="str">
        <f>HYPERLINK("http://www.weizmann.ac.il/complex/compphys/software/geview/data/figures/200089_s_at.png","Figure")</f>
        <v>Figure</v>
      </c>
      <c r="I13967">
        <v>0.95599999999999996</v>
      </c>
      <c r="J13967">
        <v>0.97</v>
      </c>
      <c r="K13967">
        <v>1.1599999999999999</v>
      </c>
      <c r="L13967">
        <v>0.67</v>
      </c>
      <c r="M13967">
        <v>1.21</v>
      </c>
      <c r="N13967">
        <v>0.55000000000000004</v>
      </c>
    </row>
    <row r="13968" spans="1:14" x14ac:dyDescent="0.25">
      <c r="A13968" t="s">
        <v>23770</v>
      </c>
      <c r="B13968" t="s">
        <v>23771</v>
      </c>
      <c r="C13968" s="1" t="str">
        <f>HYPERLINK("http://www.genecards.org/cgi-bin/carddisp.pl?gene=SOCS7","GeneCards")</f>
        <v>GeneCards</v>
      </c>
      <c r="D13968" s="1" t="str">
        <f>HYPERLINK("http://genome-euro.ucsc.edu/cgi-bin/hgTracks?position=214015_at","UCSC")</f>
        <v>UCSC</v>
      </c>
      <c r="E13968" s="1" t="str">
        <f>HYPERLINK("http://www.ncbi.nlm.nih.gov/gene/?term=SOCS7","NCBI")</f>
        <v>NCBI</v>
      </c>
      <c r="F13968">
        <v>0.52</v>
      </c>
      <c r="G13968">
        <v>0.63</v>
      </c>
      <c r="H13968" s="1" t="str">
        <f>HYPERLINK("http://www.weizmann.ac.il/complex/compphys/software/geview/data/figures/214015_at.png","Figure")</f>
        <v>Figure</v>
      </c>
      <c r="I13968">
        <v>1.07</v>
      </c>
      <c r="J13968">
        <v>0.57999999999999996</v>
      </c>
      <c r="K13968">
        <v>1</v>
      </c>
      <c r="L13968">
        <v>1</v>
      </c>
      <c r="M13968">
        <v>0.93400000000000005</v>
      </c>
      <c r="N13968">
        <v>0.54</v>
      </c>
    </row>
    <row r="13969" spans="1:14" x14ac:dyDescent="0.25">
      <c r="A13969" t="s">
        <v>23772</v>
      </c>
      <c r="B13969" t="s">
        <v>14844</v>
      </c>
      <c r="C13969" s="1" t="str">
        <f>HYPERLINK("http://www.genecards.org/cgi-bin/carddisp.pl?gene=CDKN1C","GeneCards")</f>
        <v>GeneCards</v>
      </c>
      <c r="D13969" s="1" t="str">
        <f>HYPERLINK("http://genome-euro.ucsc.edu/cgi-bin/hgTracks?position=213348_at","UCSC")</f>
        <v>UCSC</v>
      </c>
      <c r="E13969" s="1" t="str">
        <f>HYPERLINK("http://www.ncbi.nlm.nih.gov/gene/?term=CDKN1C","NCBI")</f>
        <v>NCBI</v>
      </c>
      <c r="F13969">
        <v>0.52</v>
      </c>
      <c r="G13969">
        <v>0.63</v>
      </c>
      <c r="H13969" s="1" t="str">
        <f>HYPERLINK("http://www.weizmann.ac.il/complex/compphys/software/geview/data/figures/213348_at.png","Figure")</f>
        <v>Figure</v>
      </c>
      <c r="I13969">
        <v>1.1000000000000001</v>
      </c>
      <c r="J13969">
        <v>0.91</v>
      </c>
      <c r="K13969">
        <v>1.26</v>
      </c>
      <c r="L13969">
        <v>0.5</v>
      </c>
      <c r="M13969">
        <v>1.1499999999999999</v>
      </c>
      <c r="N13969">
        <v>0.8</v>
      </c>
    </row>
    <row r="13970" spans="1:14" x14ac:dyDescent="0.25">
      <c r="A13970" t="s">
        <v>23773</v>
      </c>
      <c r="B13970" t="s">
        <v>23774</v>
      </c>
      <c r="C13970" s="1" t="str">
        <f>HYPERLINK("http://www.genecards.org/cgi-bin/carddisp.pl?gene=_x001A__x001A__x001A_-08","GeneCards")</f>
        <v>GeneCards</v>
      </c>
      <c r="D13970" s="1" t="str">
        <f>HYPERLINK("http://genome-euro.ucsc.edu/cgi-bin/hgTracks?position=221824_s_at","UCSC")</f>
        <v>UCSC</v>
      </c>
      <c r="E13970" s="1" t="str">
        <f>HYPERLINK("http://www.ncbi.nlm.nih.gov/gene/?term=_x001A__x001A__x001A_-08","NCBI")</f>
        <v>NCBI</v>
      </c>
      <c r="F13970">
        <v>0.52</v>
      </c>
      <c r="G13970">
        <v>0.63</v>
      </c>
      <c r="H13970" s="1" t="str">
        <f>HYPERLINK("http://www.weizmann.ac.il/complex/compphys/software/geview/data/figures/221824_s_at.png","Figure")</f>
        <v>Figure</v>
      </c>
      <c r="I13970">
        <v>0.90600000000000003</v>
      </c>
      <c r="J13970">
        <v>0.89</v>
      </c>
      <c r="K13970">
        <v>0.80200000000000005</v>
      </c>
      <c r="L13970">
        <v>0.49</v>
      </c>
      <c r="M13970">
        <v>0.88500000000000001</v>
      </c>
      <c r="N13970">
        <v>0.82</v>
      </c>
    </row>
    <row r="13971" spans="1:14" x14ac:dyDescent="0.25">
      <c r="A13971" t="s">
        <v>23775</v>
      </c>
      <c r="B13971" t="s">
        <v>17408</v>
      </c>
      <c r="C13971" s="1" t="str">
        <f>HYPERLINK("http://www.genecards.org/cgi-bin/carddisp.pl?gene=RAD52","GeneCards")</f>
        <v>GeneCards</v>
      </c>
      <c r="D13971" s="1" t="str">
        <f>HYPERLINK("http://genome-euro.ucsc.edu/cgi-bin/hgTracks?position=205647_at","UCSC")</f>
        <v>UCSC</v>
      </c>
      <c r="E13971" s="1" t="str">
        <f>HYPERLINK("http://www.ncbi.nlm.nih.gov/gene/?term=RAD52","NCBI")</f>
        <v>NCBI</v>
      </c>
      <c r="F13971">
        <v>0.52</v>
      </c>
      <c r="G13971">
        <v>0.63</v>
      </c>
      <c r="H13971" s="1" t="str">
        <f>HYPERLINK("http://www.weizmann.ac.il/complex/compphys/software/geview/data/figures/205647_at.png","Figure")</f>
        <v>Figure</v>
      </c>
      <c r="I13971">
        <v>0.84</v>
      </c>
      <c r="J13971">
        <v>0.55000000000000004</v>
      </c>
      <c r="K13971">
        <v>0.98499999999999999</v>
      </c>
      <c r="L13971">
        <v>0.99</v>
      </c>
      <c r="M13971">
        <v>1.17</v>
      </c>
      <c r="N13971">
        <v>0.56999999999999995</v>
      </c>
    </row>
    <row r="13972" spans="1:14" x14ac:dyDescent="0.25">
      <c r="A13972" t="s">
        <v>23776</v>
      </c>
      <c r="B13972" t="s">
        <v>23777</v>
      </c>
      <c r="C13972" s="1" t="str">
        <f>HYPERLINK("http://www.genecards.org/cgi-bin/carddisp.pl?gene=MFI2","GeneCards")</f>
        <v>GeneCards</v>
      </c>
      <c r="D13972" s="1" t="str">
        <f>HYPERLINK("http://genome-euro.ucsc.edu/cgi-bin/hgTracks?position=220043_s_at","UCSC")</f>
        <v>UCSC</v>
      </c>
      <c r="E13972" s="1" t="str">
        <f>HYPERLINK("http://www.ncbi.nlm.nih.gov/gene/?term=MFI2","NCBI")</f>
        <v>NCBI</v>
      </c>
      <c r="F13972">
        <v>0.52</v>
      </c>
      <c r="G13972">
        <v>0.63</v>
      </c>
      <c r="H13972" s="1" t="str">
        <f>HYPERLINK("http://www.weizmann.ac.il/complex/compphys/software/geview/data/figures/220043_s_at.png","Figure")</f>
        <v>Figure</v>
      </c>
      <c r="I13972">
        <v>1.06</v>
      </c>
      <c r="J13972">
        <v>0.61</v>
      </c>
      <c r="K13972">
        <v>1.05</v>
      </c>
      <c r="L13972">
        <v>0.55000000000000004</v>
      </c>
      <c r="M13972">
        <v>0.998</v>
      </c>
      <c r="N13972">
        <v>1</v>
      </c>
    </row>
    <row r="13973" spans="1:14" x14ac:dyDescent="0.25">
      <c r="A13973" t="s">
        <v>23778</v>
      </c>
      <c r="B13973" t="s">
        <v>15643</v>
      </c>
      <c r="C13973" s="1" t="str">
        <f>HYPERLINK("http://www.genecards.org/cgi-bin/carddisp.pl?gene=WNK1","GeneCards")</f>
        <v>GeneCards</v>
      </c>
      <c r="D13973" s="1" t="str">
        <f>HYPERLINK("http://genome-euro.ucsc.edu/cgi-bin/hgTracks?position=211992_at","UCSC")</f>
        <v>UCSC</v>
      </c>
      <c r="E13973" s="1" t="str">
        <f>HYPERLINK("http://www.ncbi.nlm.nih.gov/gene/?term=WNK1","NCBI")</f>
        <v>NCBI</v>
      </c>
      <c r="F13973">
        <v>0.52</v>
      </c>
      <c r="G13973">
        <v>0.63</v>
      </c>
      <c r="H13973" s="1" t="str">
        <f>HYPERLINK("http://www.weizmann.ac.il/complex/compphys/software/geview/data/figures/211992_at.png","Figure")</f>
        <v>Figure</v>
      </c>
      <c r="I13973">
        <v>0.94199999999999995</v>
      </c>
      <c r="J13973">
        <v>0.95</v>
      </c>
      <c r="K13973">
        <v>1.1599999999999999</v>
      </c>
      <c r="L13973">
        <v>0.69</v>
      </c>
      <c r="M13973">
        <v>1.23</v>
      </c>
      <c r="N13973">
        <v>0.54</v>
      </c>
    </row>
    <row r="13974" spans="1:14" x14ac:dyDescent="0.25">
      <c r="A13974" t="s">
        <v>23779</v>
      </c>
      <c r="B13974" t="s">
        <v>23780</v>
      </c>
      <c r="C13974" s="1" t="str">
        <f>HYPERLINK("http://www.genecards.org/cgi-bin/carddisp.pl?gene=IMP3","GeneCards")</f>
        <v>GeneCards</v>
      </c>
      <c r="D13974" s="1" t="str">
        <f>HYPERLINK("http://genome-euro.ucsc.edu/cgi-bin/hgTracks?position=221688_s_at","UCSC")</f>
        <v>UCSC</v>
      </c>
      <c r="E13974" s="1" t="str">
        <f>HYPERLINK("http://www.ncbi.nlm.nih.gov/gene/?term=IMP3","NCBI")</f>
        <v>NCBI</v>
      </c>
      <c r="F13974">
        <v>0.52</v>
      </c>
      <c r="G13974">
        <v>0.63</v>
      </c>
      <c r="H13974" s="1" t="str">
        <f>HYPERLINK("http://www.weizmann.ac.il/complex/compphys/software/geview/data/figures/221688_s_at.png","Figure")</f>
        <v>Figure</v>
      </c>
      <c r="I13974">
        <v>1.02</v>
      </c>
      <c r="J13974">
        <v>0.98</v>
      </c>
      <c r="K13974">
        <v>1.1399999999999999</v>
      </c>
      <c r="L13974">
        <v>0.54</v>
      </c>
      <c r="M13974">
        <v>1.1100000000000001</v>
      </c>
      <c r="N13974">
        <v>0.69</v>
      </c>
    </row>
    <row r="13975" spans="1:14" x14ac:dyDescent="0.25">
      <c r="A13975" t="s">
        <v>23781</v>
      </c>
      <c r="B13975" t="s">
        <v>23782</v>
      </c>
      <c r="C13975" s="1" t="str">
        <f>HYPERLINK("http://www.genecards.org/cgi-bin/carddisp.pl?gene=CNGB3","GeneCards")</f>
        <v>GeneCards</v>
      </c>
      <c r="D13975" s="1" t="str">
        <f>HYPERLINK("http://genome-euro.ucsc.edu/cgi-bin/hgTracks?position=220304_s_at","UCSC")</f>
        <v>UCSC</v>
      </c>
      <c r="E13975" s="1" t="str">
        <f>HYPERLINK("http://www.ncbi.nlm.nih.gov/gene/?term=CNGB3","NCBI")</f>
        <v>NCBI</v>
      </c>
      <c r="F13975">
        <v>0.52</v>
      </c>
      <c r="G13975">
        <v>0.63</v>
      </c>
      <c r="H13975" s="1" t="str">
        <f>HYPERLINK("http://www.weizmann.ac.il/complex/compphys/software/geview/data/figures/220304_s_at.png","Figure")</f>
        <v>Figure</v>
      </c>
      <c r="I13975">
        <v>1.06</v>
      </c>
      <c r="J13975">
        <v>0.5</v>
      </c>
      <c r="K13975">
        <v>1.03</v>
      </c>
      <c r="L13975">
        <v>0.73</v>
      </c>
      <c r="M13975">
        <v>0.97699999999999998</v>
      </c>
      <c r="N13975">
        <v>0.86</v>
      </c>
    </row>
    <row r="13976" spans="1:14" x14ac:dyDescent="0.25">
      <c r="A13976" t="s">
        <v>23783</v>
      </c>
      <c r="B13976" t="s">
        <v>17554</v>
      </c>
      <c r="C13976" s="1" t="str">
        <f>HYPERLINK("http://www.genecards.org/cgi-bin/carddisp.pl?gene=MAP4K1","GeneCards")</f>
        <v>GeneCards</v>
      </c>
      <c r="D13976" s="1" t="str">
        <f>HYPERLINK("http://genome-euro.ucsc.edu/cgi-bin/hgTracks?position=206296_x_at","UCSC")</f>
        <v>UCSC</v>
      </c>
      <c r="E13976" s="1" t="str">
        <f>HYPERLINK("http://www.ncbi.nlm.nih.gov/gene/?term=MAP4K1","NCBI")</f>
        <v>NCBI</v>
      </c>
      <c r="F13976">
        <v>0.52</v>
      </c>
      <c r="G13976">
        <v>0.63</v>
      </c>
      <c r="H13976" s="1" t="str">
        <f>HYPERLINK("http://www.weizmann.ac.il/complex/compphys/software/geview/data/figures/206296_x_at.png","Figure")</f>
        <v>Figure</v>
      </c>
      <c r="I13976">
        <v>1.01</v>
      </c>
      <c r="J13976">
        <v>1</v>
      </c>
      <c r="K13976">
        <v>1.22</v>
      </c>
      <c r="L13976">
        <v>0.56999999999999995</v>
      </c>
      <c r="M13976">
        <v>1.21</v>
      </c>
      <c r="N13976">
        <v>0.64</v>
      </c>
    </row>
    <row r="13977" spans="1:14" x14ac:dyDescent="0.25">
      <c r="A13977" t="s">
        <v>23784</v>
      </c>
      <c r="B13977" t="s">
        <v>23785</v>
      </c>
      <c r="C13977" s="1" t="str">
        <f>HYPERLINK("http://www.genecards.org/cgi-bin/carddisp.pl?gene=FZD6","GeneCards")</f>
        <v>GeneCards</v>
      </c>
      <c r="D13977" s="1" t="str">
        <f>HYPERLINK("http://genome-euro.ucsc.edu/cgi-bin/hgTracks?position=203987_at","UCSC")</f>
        <v>UCSC</v>
      </c>
      <c r="E13977" s="1" t="str">
        <f>HYPERLINK("http://www.ncbi.nlm.nih.gov/gene/?term=FZD6","NCBI")</f>
        <v>NCBI</v>
      </c>
      <c r="F13977">
        <v>0.52</v>
      </c>
      <c r="G13977">
        <v>0.63</v>
      </c>
      <c r="H13977" s="1" t="str">
        <f>HYPERLINK("http://www.weizmann.ac.il/complex/compphys/software/geview/data/figures/203987_at.png","Figure")</f>
        <v>Figure</v>
      </c>
      <c r="I13977">
        <v>0.80500000000000005</v>
      </c>
      <c r="J13977">
        <v>0.49</v>
      </c>
      <c r="K13977">
        <v>0.9</v>
      </c>
      <c r="L13977">
        <v>0.8</v>
      </c>
      <c r="M13977">
        <v>1.1200000000000001</v>
      </c>
      <c r="N13977">
        <v>0.8</v>
      </c>
    </row>
    <row r="13978" spans="1:14" x14ac:dyDescent="0.25">
      <c r="A13978" t="s">
        <v>23786</v>
      </c>
      <c r="B13978" t="s">
        <v>23787</v>
      </c>
      <c r="C13978" s="1" t="str">
        <f>HYPERLINK("http://www.genecards.org/cgi-bin/carddisp.pl?gene=KAL1","GeneCards")</f>
        <v>GeneCards</v>
      </c>
      <c r="D13978" s="1" t="str">
        <f>HYPERLINK("http://genome-euro.ucsc.edu/cgi-bin/hgTracks?position=205206_at","UCSC")</f>
        <v>UCSC</v>
      </c>
      <c r="E13978" s="1" t="str">
        <f>HYPERLINK("http://www.ncbi.nlm.nih.gov/gene/?term=KAL1","NCBI")</f>
        <v>NCBI</v>
      </c>
      <c r="F13978">
        <v>0.52</v>
      </c>
      <c r="G13978">
        <v>0.63</v>
      </c>
      <c r="H13978" s="1" t="str">
        <f>HYPERLINK("http://www.weizmann.ac.il/complex/compphys/software/geview/data/figures/205206_at.png","Figure")</f>
        <v>Figure</v>
      </c>
      <c r="I13978">
        <v>1.0900000000000001</v>
      </c>
      <c r="J13978">
        <v>0.51</v>
      </c>
      <c r="K13978">
        <v>1.02</v>
      </c>
      <c r="L13978">
        <v>0.95</v>
      </c>
      <c r="M13978">
        <v>0.93799999999999994</v>
      </c>
      <c r="N13978">
        <v>0.64</v>
      </c>
    </row>
    <row r="13979" spans="1:14" x14ac:dyDescent="0.25">
      <c r="A13979" t="s">
        <v>23788</v>
      </c>
      <c r="B13979" t="s">
        <v>23789</v>
      </c>
      <c r="C13979" s="1" t="str">
        <f>HYPERLINK("http://www.genecards.org/cgi-bin/carddisp.pl?gene=WNT2B","GeneCards")</f>
        <v>GeneCards</v>
      </c>
      <c r="D13979" s="1" t="str">
        <f>HYPERLINK("http://genome-euro.ucsc.edu/cgi-bin/hgTracks?position=206459_s_at","UCSC")</f>
        <v>UCSC</v>
      </c>
      <c r="E13979" s="1" t="str">
        <f>HYPERLINK("http://www.ncbi.nlm.nih.gov/gene/?term=WNT2B","NCBI")</f>
        <v>NCBI</v>
      </c>
      <c r="F13979">
        <v>0.52</v>
      </c>
      <c r="G13979">
        <v>0.63</v>
      </c>
      <c r="H13979" s="1" t="str">
        <f>HYPERLINK("http://www.weizmann.ac.il/complex/compphys/software/geview/data/figures/206459_s_at.png","Figure")</f>
        <v>Figure</v>
      </c>
      <c r="I13979">
        <v>1.05</v>
      </c>
      <c r="J13979">
        <v>0.54</v>
      </c>
      <c r="K13979">
        <v>1.04</v>
      </c>
      <c r="L13979">
        <v>0.62</v>
      </c>
      <c r="M13979">
        <v>0.98799999999999999</v>
      </c>
      <c r="N13979">
        <v>0.96</v>
      </c>
    </row>
    <row r="13980" spans="1:14" x14ac:dyDescent="0.25">
      <c r="A13980" t="s">
        <v>23790</v>
      </c>
      <c r="B13980" t="s">
        <v>23791</v>
      </c>
      <c r="C13980" s="1" t="str">
        <f>HYPERLINK("http://www.genecards.org/cgi-bin/carddisp.pl?gene=HBA1 /// HBA2","GeneCards")</f>
        <v>GeneCards</v>
      </c>
      <c r="D13980" s="1" t="str">
        <f>HYPERLINK("http://genome-euro.ucsc.edu/cgi-bin/hgTracks?position=211699_x_at","UCSC")</f>
        <v>UCSC</v>
      </c>
      <c r="E13980" s="1" t="str">
        <f>HYPERLINK("http://www.ncbi.nlm.nih.gov/gene/?term=HBA1 /// HBA2","NCBI")</f>
        <v>NCBI</v>
      </c>
      <c r="F13980">
        <v>0.52</v>
      </c>
      <c r="G13980">
        <v>0.63</v>
      </c>
      <c r="H13980" s="1" t="str">
        <f>HYPERLINK("http://www.weizmann.ac.il/complex/compphys/software/geview/data/figures/211699_x_at.png","Figure")</f>
        <v>Figure</v>
      </c>
      <c r="I13980">
        <v>2.64</v>
      </c>
      <c r="J13980">
        <v>0.5</v>
      </c>
      <c r="K13980">
        <v>1.38</v>
      </c>
      <c r="L13980">
        <v>0.9</v>
      </c>
      <c r="M13980">
        <v>0.52200000000000002</v>
      </c>
      <c r="N13980">
        <v>0.69</v>
      </c>
    </row>
    <row r="13981" spans="1:14" x14ac:dyDescent="0.25">
      <c r="A13981" t="s">
        <v>23792</v>
      </c>
      <c r="B13981" t="s">
        <v>2760</v>
      </c>
      <c r="C13981" s="1" t="str">
        <f>HYPERLINK("http://www.genecards.org/cgi-bin/carddisp.pl?gene=BTRC","GeneCards")</f>
        <v>GeneCards</v>
      </c>
      <c r="D13981" s="1" t="str">
        <f>HYPERLINK("http://genome-euro.ucsc.edu/cgi-bin/hgTracks?position=222374_at","UCSC")</f>
        <v>UCSC</v>
      </c>
      <c r="E13981" s="1" t="str">
        <f>HYPERLINK("http://www.ncbi.nlm.nih.gov/gene/?term=BTRC","NCBI")</f>
        <v>NCBI</v>
      </c>
      <c r="F13981">
        <v>0.52</v>
      </c>
      <c r="G13981">
        <v>0.63</v>
      </c>
      <c r="H13981" s="1" t="str">
        <f>HYPERLINK("http://www.weizmann.ac.il/complex/compphys/software/geview/data/figures/222374_at.png","Figure")</f>
        <v>Figure</v>
      </c>
      <c r="I13981">
        <v>1.03</v>
      </c>
      <c r="J13981">
        <v>0.9</v>
      </c>
      <c r="K13981">
        <v>0.96</v>
      </c>
      <c r="L13981">
        <v>0.76</v>
      </c>
      <c r="M13981">
        <v>0.93300000000000005</v>
      </c>
      <c r="N13981">
        <v>0.51</v>
      </c>
    </row>
    <row r="13982" spans="1:14" x14ac:dyDescent="0.25">
      <c r="A13982" t="s">
        <v>23793</v>
      </c>
      <c r="B13982" t="s">
        <v>22926</v>
      </c>
      <c r="C13982" s="1" t="str">
        <f>HYPERLINK("http://www.genecards.org/cgi-bin/carddisp.pl?gene=SUMO1","GeneCards")</f>
        <v>GeneCards</v>
      </c>
      <c r="D13982" s="1" t="str">
        <f>HYPERLINK("http://genome-euro.ucsc.edu/cgi-bin/hgTracks?position=211069_s_at","UCSC")</f>
        <v>UCSC</v>
      </c>
      <c r="E13982" s="1" t="str">
        <f>HYPERLINK("http://www.ncbi.nlm.nih.gov/gene/?term=SUMO1","NCBI")</f>
        <v>NCBI</v>
      </c>
      <c r="F13982">
        <v>0.52</v>
      </c>
      <c r="G13982">
        <v>0.63</v>
      </c>
      <c r="H13982" s="1" t="str">
        <f>HYPERLINK("http://www.weizmann.ac.il/complex/compphys/software/geview/data/figures/211069_s_at.png","Figure")</f>
        <v>Figure</v>
      </c>
      <c r="I13982">
        <v>0.88300000000000001</v>
      </c>
      <c r="J13982">
        <v>0.71</v>
      </c>
      <c r="K13982">
        <v>0.85499999999999998</v>
      </c>
      <c r="L13982">
        <v>0.5</v>
      </c>
      <c r="M13982">
        <v>0.96799999999999997</v>
      </c>
      <c r="N13982">
        <v>0.97</v>
      </c>
    </row>
    <row r="13983" spans="1:14" x14ac:dyDescent="0.25">
      <c r="A13983" t="s">
        <v>23794</v>
      </c>
      <c r="B13983" t="s">
        <v>23795</v>
      </c>
      <c r="C13983" s="1" t="str">
        <f>HYPERLINK("http://www.genecards.org/cgi-bin/carddisp.pl?gene=FBXO40","GeneCards")</f>
        <v>GeneCards</v>
      </c>
      <c r="D13983" s="1" t="str">
        <f>HYPERLINK("http://genome-euro.ucsc.edu/cgi-bin/hgTracks?position=220164_s_at","UCSC")</f>
        <v>UCSC</v>
      </c>
      <c r="E13983" s="1" t="str">
        <f>HYPERLINK("http://www.ncbi.nlm.nih.gov/gene/?term=FBXO40","NCBI")</f>
        <v>NCBI</v>
      </c>
      <c r="F13983">
        <v>0.52</v>
      </c>
      <c r="G13983">
        <v>0.63</v>
      </c>
      <c r="H13983" s="1" t="str">
        <f>HYPERLINK("http://www.weizmann.ac.il/complex/compphys/software/geview/data/figures/220164_s_at.png","Figure")</f>
        <v>Figure</v>
      </c>
      <c r="I13983">
        <v>1.03</v>
      </c>
      <c r="J13983">
        <v>0.79</v>
      </c>
      <c r="K13983">
        <v>1.04</v>
      </c>
      <c r="L13983">
        <v>0.49</v>
      </c>
      <c r="M13983">
        <v>1.01</v>
      </c>
      <c r="N13983">
        <v>0.92</v>
      </c>
    </row>
    <row r="13984" spans="1:14" x14ac:dyDescent="0.25">
      <c r="A13984" t="s">
        <v>23796</v>
      </c>
      <c r="B13984" t="s">
        <v>23797</v>
      </c>
      <c r="C13984" s="1" t="str">
        <f>HYPERLINK("http://www.genecards.org/cgi-bin/carddisp.pl?gene=GSS","GeneCards")</f>
        <v>GeneCards</v>
      </c>
      <c r="D13984" s="1" t="str">
        <f>HYPERLINK("http://genome-euro.ucsc.edu/cgi-bin/hgTracks?position=211630_s_at","UCSC")</f>
        <v>UCSC</v>
      </c>
      <c r="E13984" s="1" t="str">
        <f>HYPERLINK("http://www.ncbi.nlm.nih.gov/gene/?term=GSS","NCBI")</f>
        <v>NCBI</v>
      </c>
      <c r="F13984">
        <v>0.52</v>
      </c>
      <c r="G13984">
        <v>0.63</v>
      </c>
      <c r="H13984" s="1" t="str">
        <f>HYPERLINK("http://www.weizmann.ac.il/complex/compphys/software/geview/data/figures/211630_s_at.png","Figure")</f>
        <v>Figure</v>
      </c>
      <c r="I13984">
        <v>0.96899999999999997</v>
      </c>
      <c r="J13984">
        <v>0.95</v>
      </c>
      <c r="K13984">
        <v>0.90800000000000003</v>
      </c>
      <c r="L13984">
        <v>0.51</v>
      </c>
      <c r="M13984">
        <v>0.93600000000000005</v>
      </c>
      <c r="N13984">
        <v>0.76</v>
      </c>
    </row>
    <row r="13985" spans="1:14" x14ac:dyDescent="0.25">
      <c r="A13985" t="s">
        <v>23798</v>
      </c>
      <c r="B13985" t="s">
        <v>23799</v>
      </c>
      <c r="C13985" s="1" t="str">
        <f>HYPERLINK("http://www.genecards.org/cgi-bin/carddisp.pl?gene=HTT","GeneCards")</f>
        <v>GeneCards</v>
      </c>
      <c r="D13985" s="1" t="str">
        <f>HYPERLINK("http://genome-euro.ucsc.edu/cgi-bin/hgTracks?position=202389_s_at","UCSC")</f>
        <v>UCSC</v>
      </c>
      <c r="E13985" s="1" t="str">
        <f>HYPERLINK("http://www.ncbi.nlm.nih.gov/gene/?term=HTT","NCBI")</f>
        <v>NCBI</v>
      </c>
      <c r="F13985">
        <v>0.52</v>
      </c>
      <c r="G13985">
        <v>0.63</v>
      </c>
      <c r="H13985" s="1" t="str">
        <f>HYPERLINK("http://www.weizmann.ac.il/complex/compphys/software/geview/data/figures/202389_s_at.png","Figure")</f>
        <v>Figure</v>
      </c>
      <c r="I13985">
        <v>1.1000000000000001</v>
      </c>
      <c r="J13985">
        <v>0.68</v>
      </c>
      <c r="K13985">
        <v>0.97499999999999998</v>
      </c>
      <c r="L13985">
        <v>0.96</v>
      </c>
      <c r="M13985">
        <v>0.89</v>
      </c>
      <c r="N13985">
        <v>0.5</v>
      </c>
    </row>
    <row r="13986" spans="1:14" x14ac:dyDescent="0.25">
      <c r="A13986" t="s">
        <v>23800</v>
      </c>
      <c r="B13986" t="s">
        <v>23801</v>
      </c>
      <c r="C13986" s="1" t="str">
        <f>HYPERLINK("http://www.genecards.org/cgi-bin/carddisp.pl?gene=ABCA1","GeneCards")</f>
        <v>GeneCards</v>
      </c>
      <c r="D13986" s="1" t="str">
        <f>HYPERLINK("http://genome-euro.ucsc.edu/cgi-bin/hgTracks?position=203505_at","UCSC")</f>
        <v>UCSC</v>
      </c>
      <c r="E13986" s="1" t="str">
        <f>HYPERLINK("http://www.ncbi.nlm.nih.gov/gene/?term=ABCA1","NCBI")</f>
        <v>NCBI</v>
      </c>
      <c r="F13986">
        <v>0.52</v>
      </c>
      <c r="G13986">
        <v>0.63</v>
      </c>
      <c r="H13986" s="1" t="str">
        <f>HYPERLINK("http://www.weizmann.ac.il/complex/compphys/software/geview/data/figures/203505_at.png","Figure")</f>
        <v>Figure</v>
      </c>
      <c r="I13986">
        <v>1.03</v>
      </c>
      <c r="J13986">
        <v>0.99</v>
      </c>
      <c r="K13986">
        <v>0.76100000000000001</v>
      </c>
      <c r="L13986">
        <v>0.62</v>
      </c>
      <c r="M13986">
        <v>0.73699999999999999</v>
      </c>
      <c r="N13986">
        <v>0.59</v>
      </c>
    </row>
    <row r="13987" spans="1:14" x14ac:dyDescent="0.25">
      <c r="A13987" t="s">
        <v>23802</v>
      </c>
      <c r="B13987" t="s">
        <v>23803</v>
      </c>
      <c r="C13987" s="1" t="str">
        <f>HYPERLINK("http://www.genecards.org/cgi-bin/carddisp.pl?gene=KIR3DL3","GeneCards")</f>
        <v>GeneCards</v>
      </c>
      <c r="D13987" s="1" t="str">
        <f>HYPERLINK("http://genome-euro.ucsc.edu/cgi-bin/hgTracks?position=216676_x_at","UCSC")</f>
        <v>UCSC</v>
      </c>
      <c r="E13987" s="1" t="str">
        <f>HYPERLINK("http://www.ncbi.nlm.nih.gov/gene/?term=KIR3DL3","NCBI")</f>
        <v>NCBI</v>
      </c>
      <c r="F13987">
        <v>0.52</v>
      </c>
      <c r="G13987">
        <v>0.63</v>
      </c>
      <c r="H13987" s="1" t="str">
        <f>HYPERLINK("http://www.weizmann.ac.il/complex/compphys/software/geview/data/figures/216676_x_at.png","Figure")</f>
        <v>Figure</v>
      </c>
      <c r="I13987">
        <v>1.04</v>
      </c>
      <c r="J13987">
        <v>0.91</v>
      </c>
      <c r="K13987">
        <v>0.94499999999999995</v>
      </c>
      <c r="L13987">
        <v>0.75</v>
      </c>
      <c r="M13987">
        <v>0.91</v>
      </c>
      <c r="N13987">
        <v>0.51</v>
      </c>
    </row>
    <row r="13988" spans="1:14" x14ac:dyDescent="0.25">
      <c r="A13988" t="s">
        <v>23804</v>
      </c>
      <c r="B13988" t="s">
        <v>20955</v>
      </c>
      <c r="C13988" s="1" t="str">
        <f>HYPERLINK("http://www.genecards.org/cgi-bin/carddisp.pl?gene=PGAP3","GeneCards")</f>
        <v>GeneCards</v>
      </c>
      <c r="D13988" s="1" t="str">
        <f>HYPERLINK("http://genome-euro.ucsc.edu/cgi-bin/hgTracks?position=221811_at","UCSC")</f>
        <v>UCSC</v>
      </c>
      <c r="E13988" s="1" t="str">
        <f>HYPERLINK("http://www.ncbi.nlm.nih.gov/gene/?term=PGAP3","NCBI")</f>
        <v>NCBI</v>
      </c>
      <c r="F13988">
        <v>0.52</v>
      </c>
      <c r="G13988">
        <v>0.63</v>
      </c>
      <c r="H13988" s="1" t="str">
        <f>HYPERLINK("http://www.weizmann.ac.il/complex/compphys/software/geview/data/figures/221811_at.png","Figure")</f>
        <v>Figure</v>
      </c>
      <c r="I13988">
        <v>1.06</v>
      </c>
      <c r="J13988">
        <v>0.83</v>
      </c>
      <c r="K13988">
        <v>1.1000000000000001</v>
      </c>
      <c r="L13988">
        <v>0.49</v>
      </c>
      <c r="M13988">
        <v>1.04</v>
      </c>
      <c r="N13988">
        <v>0.88</v>
      </c>
    </row>
    <row r="13989" spans="1:14" x14ac:dyDescent="0.25">
      <c r="A13989" t="s">
        <v>23805</v>
      </c>
      <c r="B13989" t="s">
        <v>9217</v>
      </c>
      <c r="C13989" s="1" t="str">
        <f>HYPERLINK("http://www.genecards.org/cgi-bin/carddisp.pl?gene=CYP1B1","GeneCards")</f>
        <v>GeneCards</v>
      </c>
      <c r="D13989" s="1" t="str">
        <f>HYPERLINK("http://genome-euro.ucsc.edu/cgi-bin/hgTracks?position=202434_s_at","UCSC")</f>
        <v>UCSC</v>
      </c>
      <c r="E13989" s="1" t="str">
        <f>HYPERLINK("http://www.ncbi.nlm.nih.gov/gene/?term=CYP1B1","NCBI")</f>
        <v>NCBI</v>
      </c>
      <c r="F13989">
        <v>0.52</v>
      </c>
      <c r="G13989">
        <v>0.63</v>
      </c>
      <c r="H13989" s="1" t="str">
        <f>HYPERLINK("http://www.weizmann.ac.il/complex/compphys/software/geview/data/figures/202434_s_at.png","Figure")</f>
        <v>Figure</v>
      </c>
      <c r="I13989">
        <v>1.02</v>
      </c>
      <c r="J13989">
        <v>0.53</v>
      </c>
      <c r="K13989">
        <v>1.02</v>
      </c>
      <c r="L13989">
        <v>0.65</v>
      </c>
      <c r="M13989">
        <v>0.99299999999999999</v>
      </c>
      <c r="N13989">
        <v>0.94</v>
      </c>
    </row>
    <row r="13990" spans="1:14" x14ac:dyDescent="0.25">
      <c r="A13990" t="s">
        <v>23806</v>
      </c>
      <c r="B13990" t="s">
        <v>23807</v>
      </c>
      <c r="C13990" s="1" t="str">
        <f>HYPERLINK("http://www.genecards.org/cgi-bin/carddisp.pl?gene=CBL","GeneCards")</f>
        <v>GeneCards</v>
      </c>
      <c r="D13990" s="1" t="str">
        <f>HYPERLINK("http://genome-euro.ucsc.edu/cgi-bin/hgTracks?position=206607_at","UCSC")</f>
        <v>UCSC</v>
      </c>
      <c r="E13990" s="1" t="str">
        <f>HYPERLINK("http://www.ncbi.nlm.nih.gov/gene/?term=CBL","NCBI")</f>
        <v>NCBI</v>
      </c>
      <c r="F13990">
        <v>0.52</v>
      </c>
      <c r="G13990">
        <v>0.63</v>
      </c>
      <c r="H13990" s="1" t="str">
        <f>HYPERLINK("http://www.weizmann.ac.il/complex/compphys/software/geview/data/figures/206607_at.png","Figure")</f>
        <v>Figure</v>
      </c>
      <c r="I13990">
        <v>0.93300000000000005</v>
      </c>
      <c r="J13990">
        <v>0.66</v>
      </c>
      <c r="K13990">
        <v>0.92700000000000005</v>
      </c>
      <c r="L13990">
        <v>0.52</v>
      </c>
      <c r="M13990">
        <v>0.99299999999999999</v>
      </c>
      <c r="N13990">
        <v>1</v>
      </c>
    </row>
    <row r="13991" spans="1:14" x14ac:dyDescent="0.25">
      <c r="A13991" t="s">
        <v>23808</v>
      </c>
      <c r="B13991" t="s">
        <v>12525</v>
      </c>
      <c r="C13991" s="1" t="str">
        <f>HYPERLINK("http://www.genecards.org/cgi-bin/carddisp.pl?gene=GRB10","GeneCards")</f>
        <v>GeneCards</v>
      </c>
      <c r="D13991" s="1" t="str">
        <f>HYPERLINK("http://genome-euro.ucsc.edu/cgi-bin/hgTracks?position=209410_s_at","UCSC")</f>
        <v>UCSC</v>
      </c>
      <c r="E13991" s="1" t="str">
        <f>HYPERLINK("http://www.ncbi.nlm.nih.gov/gene/?term=GRB10","NCBI")</f>
        <v>NCBI</v>
      </c>
      <c r="F13991">
        <v>0.52</v>
      </c>
      <c r="G13991">
        <v>0.63</v>
      </c>
      <c r="H13991" s="1" t="str">
        <f>HYPERLINK("http://www.weizmann.ac.il/complex/compphys/software/geview/data/figures/209410_s_at.png","Figure")</f>
        <v>Figure</v>
      </c>
      <c r="I13991">
        <v>1.1599999999999999</v>
      </c>
      <c r="J13991">
        <v>0.5</v>
      </c>
      <c r="K13991">
        <v>1.1000000000000001</v>
      </c>
      <c r="L13991">
        <v>0.72</v>
      </c>
      <c r="M13991">
        <v>0.94099999999999995</v>
      </c>
      <c r="N13991">
        <v>0.88</v>
      </c>
    </row>
    <row r="13992" spans="1:14" x14ac:dyDescent="0.25">
      <c r="A13992" t="s">
        <v>23809</v>
      </c>
      <c r="B13992" t="s">
        <v>15184</v>
      </c>
      <c r="C13992" s="1" t="str">
        <f>HYPERLINK("http://www.genecards.org/cgi-bin/carddisp.pl?gene=KCTD2","GeneCards")</f>
        <v>GeneCards</v>
      </c>
      <c r="D13992" s="1" t="str">
        <f>HYPERLINK("http://genome-euro.ucsc.edu/cgi-bin/hgTracks?position=212564_at","UCSC")</f>
        <v>UCSC</v>
      </c>
      <c r="E13992" s="1" t="str">
        <f>HYPERLINK("http://www.ncbi.nlm.nih.gov/gene/?term=KCTD2","NCBI")</f>
        <v>NCBI</v>
      </c>
      <c r="F13992">
        <v>0.52</v>
      </c>
      <c r="G13992">
        <v>0.63</v>
      </c>
      <c r="H13992" s="1" t="str">
        <f>HYPERLINK("http://www.weizmann.ac.il/complex/compphys/software/geview/data/figures/212564_at.png","Figure")</f>
        <v>Figure</v>
      </c>
      <c r="I13992">
        <v>1.1100000000000001</v>
      </c>
      <c r="J13992">
        <v>0.64</v>
      </c>
      <c r="K13992">
        <v>0.98399999999999999</v>
      </c>
      <c r="L13992">
        <v>0.99</v>
      </c>
      <c r="M13992">
        <v>0.88400000000000001</v>
      </c>
      <c r="N13992">
        <v>0.51</v>
      </c>
    </row>
    <row r="13993" spans="1:14" x14ac:dyDescent="0.25">
      <c r="A13993" t="s">
        <v>23810</v>
      </c>
      <c r="B13993" t="s">
        <v>23811</v>
      </c>
      <c r="C13993" s="1" t="str">
        <f>HYPERLINK("http://www.genecards.org/cgi-bin/carddisp.pl?gene=CUL1","GeneCards")</f>
        <v>GeneCards</v>
      </c>
      <c r="D13993" s="1" t="str">
        <f>HYPERLINK("http://genome-euro.ucsc.edu/cgi-bin/hgTracks?position=207614_s_at","UCSC")</f>
        <v>UCSC</v>
      </c>
      <c r="E13993" s="1" t="str">
        <f>HYPERLINK("http://www.ncbi.nlm.nih.gov/gene/?term=CUL1","NCBI")</f>
        <v>NCBI</v>
      </c>
      <c r="F13993">
        <v>0.52</v>
      </c>
      <c r="G13993">
        <v>0.63</v>
      </c>
      <c r="H13993" s="1" t="str">
        <f>HYPERLINK("http://www.weizmann.ac.il/complex/compphys/software/geview/data/figures/207614_s_at.png","Figure")</f>
        <v>Figure</v>
      </c>
      <c r="I13993">
        <v>0.84</v>
      </c>
      <c r="J13993">
        <v>0.52</v>
      </c>
      <c r="K13993">
        <v>0.96299999999999997</v>
      </c>
      <c r="L13993">
        <v>0.96</v>
      </c>
      <c r="M13993">
        <v>1.1499999999999999</v>
      </c>
      <c r="N13993">
        <v>0.63</v>
      </c>
    </row>
    <row r="13994" spans="1:14" x14ac:dyDescent="0.25">
      <c r="A13994" t="s">
        <v>23812</v>
      </c>
      <c r="B13994" t="s">
        <v>23813</v>
      </c>
      <c r="C13994" s="1" t="str">
        <f>HYPERLINK("http://www.genecards.org/cgi-bin/carddisp.pl?gene=IKZF4","GeneCards")</f>
        <v>GeneCards</v>
      </c>
      <c r="D13994" s="1" t="str">
        <f>HYPERLINK("http://genome-euro.ucsc.edu/cgi-bin/hgTracks?position=208472_at","UCSC")</f>
        <v>UCSC</v>
      </c>
      <c r="E13994" s="1" t="str">
        <f>HYPERLINK("http://www.ncbi.nlm.nih.gov/gene/?term=IKZF4","NCBI")</f>
        <v>NCBI</v>
      </c>
      <c r="F13994">
        <v>0.52</v>
      </c>
      <c r="G13994">
        <v>0.63</v>
      </c>
      <c r="H13994" s="1" t="str">
        <f>HYPERLINK("http://www.weizmann.ac.il/complex/compphys/software/geview/data/figures/208472_at.png","Figure")</f>
        <v>Figure</v>
      </c>
      <c r="I13994">
        <v>1.06</v>
      </c>
      <c r="J13994">
        <v>0.7</v>
      </c>
      <c r="K13994">
        <v>1.07</v>
      </c>
      <c r="L13994">
        <v>0.51</v>
      </c>
      <c r="M13994">
        <v>1.01</v>
      </c>
      <c r="N13994">
        <v>0.98</v>
      </c>
    </row>
    <row r="13995" spans="1:14" x14ac:dyDescent="0.25">
      <c r="A13995" t="s">
        <v>23814</v>
      </c>
      <c r="B13995" t="s">
        <v>23815</v>
      </c>
      <c r="C13995" s="1" t="str">
        <f>HYPERLINK("http://www.genecards.org/cgi-bin/carddisp.pl?gene=CCDC64","GeneCards")</f>
        <v>GeneCards</v>
      </c>
      <c r="D13995" s="1" t="str">
        <f>HYPERLINK("http://genome-euro.ucsc.edu/cgi-bin/hgTracks?position=215015_at","UCSC")</f>
        <v>UCSC</v>
      </c>
      <c r="E13995" s="1" t="str">
        <f>HYPERLINK("http://www.ncbi.nlm.nih.gov/gene/?term=CCDC64","NCBI")</f>
        <v>NCBI</v>
      </c>
      <c r="F13995">
        <v>0.52</v>
      </c>
      <c r="G13995">
        <v>0.63</v>
      </c>
      <c r="H13995" s="1" t="str">
        <f>HYPERLINK("http://www.weizmann.ac.il/complex/compphys/software/geview/data/figures/215015_at.png","Figure")</f>
        <v>Figure</v>
      </c>
      <c r="I13995">
        <v>1.04</v>
      </c>
      <c r="J13995">
        <v>0.57999999999999996</v>
      </c>
      <c r="K13995">
        <v>1</v>
      </c>
      <c r="L13995">
        <v>1</v>
      </c>
      <c r="M13995">
        <v>0.96</v>
      </c>
      <c r="N13995">
        <v>0.55000000000000004</v>
      </c>
    </row>
    <row r="13996" spans="1:14" x14ac:dyDescent="0.25">
      <c r="A13996" t="s">
        <v>23816</v>
      </c>
      <c r="B13996" t="s">
        <v>23817</v>
      </c>
      <c r="C13996" s="1" t="str">
        <f>HYPERLINK("http://www.genecards.org/cgi-bin/carddisp.pl?gene=APBB1IP","GeneCards")</f>
        <v>GeneCards</v>
      </c>
      <c r="D13996" s="1" t="str">
        <f>HYPERLINK("http://genome-euro.ucsc.edu/cgi-bin/hgTracks?position=219994_at","UCSC")</f>
        <v>UCSC</v>
      </c>
      <c r="E13996" s="1" t="str">
        <f>HYPERLINK("http://www.ncbi.nlm.nih.gov/gene/?term=APBB1IP","NCBI")</f>
        <v>NCBI</v>
      </c>
      <c r="F13996">
        <v>0.52</v>
      </c>
      <c r="G13996">
        <v>0.63</v>
      </c>
      <c r="H13996" s="1" t="str">
        <f>HYPERLINK("http://www.weizmann.ac.il/complex/compphys/software/geview/data/figures/219994_at.png","Figure")</f>
        <v>Figure</v>
      </c>
      <c r="I13996">
        <v>0.95899999999999996</v>
      </c>
      <c r="J13996">
        <v>0.98</v>
      </c>
      <c r="K13996">
        <v>1.19</v>
      </c>
      <c r="L13996">
        <v>0.65</v>
      </c>
      <c r="M13996">
        <v>1.24</v>
      </c>
      <c r="N13996">
        <v>0.56999999999999995</v>
      </c>
    </row>
    <row r="13997" spans="1:14" x14ac:dyDescent="0.25">
      <c r="A13997" t="s">
        <v>23818</v>
      </c>
      <c r="B13997" t="s">
        <v>23819</v>
      </c>
      <c r="C13997" s="1" t="str">
        <f>HYPERLINK("http://www.genecards.org/cgi-bin/carddisp.pl?gene=NR1D2","GeneCards")</f>
        <v>GeneCards</v>
      </c>
      <c r="D13997" s="1" t="str">
        <f>HYPERLINK("http://genome-euro.ucsc.edu/cgi-bin/hgTracks?position=209750_at","UCSC")</f>
        <v>UCSC</v>
      </c>
      <c r="E13997" s="1" t="str">
        <f>HYPERLINK("http://www.ncbi.nlm.nih.gov/gene/?term=NR1D2","NCBI")</f>
        <v>NCBI</v>
      </c>
      <c r="F13997">
        <v>0.52</v>
      </c>
      <c r="G13997">
        <v>0.63</v>
      </c>
      <c r="H13997" s="1" t="str">
        <f>HYPERLINK("http://www.weizmann.ac.il/complex/compphys/software/geview/data/figures/209750_at.png","Figure")</f>
        <v>Figure</v>
      </c>
      <c r="I13997">
        <v>0.98399999999999999</v>
      </c>
      <c r="J13997">
        <v>1</v>
      </c>
      <c r="K13997">
        <v>0.84299999999999997</v>
      </c>
      <c r="L13997">
        <v>0.56000000000000005</v>
      </c>
      <c r="M13997">
        <v>0.85699999999999998</v>
      </c>
      <c r="N13997">
        <v>0.66</v>
      </c>
    </row>
    <row r="13998" spans="1:14" x14ac:dyDescent="0.25">
      <c r="A13998" t="s">
        <v>23820</v>
      </c>
      <c r="B13998" t="s">
        <v>4022</v>
      </c>
      <c r="C13998" s="1" t="str">
        <f>HYPERLINK("http://www.genecards.org/cgi-bin/carddisp.pl?gene=NKX3-1","GeneCards")</f>
        <v>GeneCards</v>
      </c>
      <c r="D13998" s="1" t="str">
        <f>HYPERLINK("http://genome-euro.ucsc.edu/cgi-bin/hgTracks?position=211497_x_at","UCSC")</f>
        <v>UCSC</v>
      </c>
      <c r="E13998" s="1" t="str">
        <f>HYPERLINK("http://www.ncbi.nlm.nih.gov/gene/?term=NKX3-1","NCBI")</f>
        <v>NCBI</v>
      </c>
      <c r="F13998">
        <v>0.52</v>
      </c>
      <c r="G13998">
        <v>0.63</v>
      </c>
      <c r="H13998" s="1" t="str">
        <f>HYPERLINK("http://www.weizmann.ac.il/complex/compphys/software/geview/data/figures/211497_x_at.png","Figure")</f>
        <v>Figure</v>
      </c>
      <c r="I13998">
        <v>1.1200000000000001</v>
      </c>
      <c r="J13998">
        <v>0.49</v>
      </c>
      <c r="K13998">
        <v>1.05</v>
      </c>
      <c r="L13998">
        <v>0.85</v>
      </c>
      <c r="M13998">
        <v>0.93400000000000005</v>
      </c>
      <c r="N13998">
        <v>0.74</v>
      </c>
    </row>
    <row r="13999" spans="1:14" x14ac:dyDescent="0.25">
      <c r="A13999" t="s">
        <v>23821</v>
      </c>
      <c r="B13999" t="s">
        <v>9700</v>
      </c>
      <c r="C13999" s="1" t="str">
        <f>HYPERLINK("http://www.genecards.org/cgi-bin/carddisp.pl?gene=HRH3","GeneCards")</f>
        <v>GeneCards</v>
      </c>
      <c r="D13999" s="1" t="str">
        <f>HYPERLINK("http://genome-euro.ucsc.edu/cgi-bin/hgTracks?position=220447_at","UCSC")</f>
        <v>UCSC</v>
      </c>
      <c r="E13999" s="1" t="str">
        <f>HYPERLINK("http://www.ncbi.nlm.nih.gov/gene/?term=HRH3","NCBI")</f>
        <v>NCBI</v>
      </c>
      <c r="F13999">
        <v>0.52</v>
      </c>
      <c r="G13999">
        <v>0.63</v>
      </c>
      <c r="H13999" s="1" t="str">
        <f>HYPERLINK("http://www.weizmann.ac.il/complex/compphys/software/geview/data/figures/220447_at.png","Figure")</f>
        <v>Figure</v>
      </c>
      <c r="I13999">
        <v>0.94699999999999995</v>
      </c>
      <c r="J13999">
        <v>0.76</v>
      </c>
      <c r="K13999">
        <v>1.03</v>
      </c>
      <c r="L13999">
        <v>0.9</v>
      </c>
      <c r="M13999">
        <v>1.0900000000000001</v>
      </c>
      <c r="N13999">
        <v>0.49</v>
      </c>
    </row>
    <row r="14000" spans="1:14" x14ac:dyDescent="0.25">
      <c r="A14000" t="s">
        <v>23822</v>
      </c>
      <c r="B14000" t="s">
        <v>850</v>
      </c>
      <c r="C14000" s="1" t="str">
        <f>HYPERLINK("http://www.genecards.org/cgi-bin/carddisp.pl?gene=CAPN2","GeneCards")</f>
        <v>GeneCards</v>
      </c>
      <c r="D14000" s="1" t="str">
        <f>HYPERLINK("http://genome-euro.ucsc.edu/cgi-bin/hgTracks?position=214888_at","UCSC")</f>
        <v>UCSC</v>
      </c>
      <c r="E14000" s="1" t="str">
        <f>HYPERLINK("http://www.ncbi.nlm.nih.gov/gene/?term=CAPN2","NCBI")</f>
        <v>NCBI</v>
      </c>
      <c r="F14000">
        <v>0.52</v>
      </c>
      <c r="G14000">
        <v>0.63</v>
      </c>
      <c r="H14000" s="1" t="str">
        <f>HYPERLINK("http://www.weizmann.ac.il/complex/compphys/software/geview/data/figures/214888_at.png","Figure")</f>
        <v>Figure</v>
      </c>
      <c r="I14000">
        <v>0.93899999999999995</v>
      </c>
      <c r="J14000">
        <v>0.81</v>
      </c>
      <c r="K14000">
        <v>1.05</v>
      </c>
      <c r="L14000">
        <v>0.86</v>
      </c>
      <c r="M14000">
        <v>1.1200000000000001</v>
      </c>
      <c r="N14000">
        <v>0.49</v>
      </c>
    </row>
    <row r="14001" spans="1:14" x14ac:dyDescent="0.25">
      <c r="A14001" t="s">
        <v>23823</v>
      </c>
      <c r="B14001" t="s">
        <v>2731</v>
      </c>
      <c r="C14001" s="1" t="str">
        <f>HYPERLINK("http://www.genecards.org/cgi-bin/carddisp.pl?gene=RAD51C","GeneCards")</f>
        <v>GeneCards</v>
      </c>
      <c r="D14001" s="1" t="str">
        <f>HYPERLINK("http://genome-euro.ucsc.edu/cgi-bin/hgTracks?position=206066_s_at","UCSC")</f>
        <v>UCSC</v>
      </c>
      <c r="E14001" s="1" t="str">
        <f>HYPERLINK("http://www.ncbi.nlm.nih.gov/gene/?term=RAD51C","NCBI")</f>
        <v>NCBI</v>
      </c>
      <c r="F14001">
        <v>0.52</v>
      </c>
      <c r="G14001">
        <v>0.63</v>
      </c>
      <c r="H14001" s="1" t="str">
        <f>HYPERLINK("http://www.weizmann.ac.il/complex/compphys/software/geview/data/figures/206066_s_at.png","Figure")</f>
        <v>Figure</v>
      </c>
      <c r="I14001">
        <v>1.1499999999999999</v>
      </c>
      <c r="J14001">
        <v>0.5</v>
      </c>
      <c r="K14001">
        <v>1.04</v>
      </c>
      <c r="L14001">
        <v>0.92</v>
      </c>
      <c r="M14001">
        <v>0.90700000000000003</v>
      </c>
      <c r="N14001">
        <v>0.67</v>
      </c>
    </row>
    <row r="14002" spans="1:14" x14ac:dyDescent="0.25">
      <c r="A14002" t="s">
        <v>23824</v>
      </c>
      <c r="B14002" t="s">
        <v>6719</v>
      </c>
      <c r="C14002" s="1" t="str">
        <f>HYPERLINK("http://www.genecards.org/cgi-bin/carddisp.pl?gene=PIGO","GeneCards")</f>
        <v>GeneCards</v>
      </c>
      <c r="D14002" s="1" t="str">
        <f>HYPERLINK("http://genome-euro.ucsc.edu/cgi-bin/hgTracks?position=214991_s_at","UCSC")</f>
        <v>UCSC</v>
      </c>
      <c r="E14002" s="1" t="str">
        <f>HYPERLINK("http://www.ncbi.nlm.nih.gov/gene/?term=PIGO","NCBI")</f>
        <v>NCBI</v>
      </c>
      <c r="F14002">
        <v>0.52</v>
      </c>
      <c r="G14002">
        <v>0.63</v>
      </c>
      <c r="H14002" s="1" t="str">
        <f>HYPERLINK("http://www.weizmann.ac.il/complex/compphys/software/geview/data/figures/214991_s_at.png","Figure")</f>
        <v>Figure</v>
      </c>
      <c r="I14002">
        <v>1.01</v>
      </c>
      <c r="J14002">
        <v>0.94</v>
      </c>
      <c r="K14002">
        <v>1.04</v>
      </c>
      <c r="L14002">
        <v>0.51</v>
      </c>
      <c r="M14002">
        <v>1.03</v>
      </c>
      <c r="N14002">
        <v>0.77</v>
      </c>
    </row>
    <row r="14003" spans="1:14" x14ac:dyDescent="0.25">
      <c r="A14003" t="s">
        <v>23825</v>
      </c>
      <c r="B14003" t="s">
        <v>23826</v>
      </c>
      <c r="C14003" s="1" t="str">
        <f>HYPERLINK("http://www.genecards.org/cgi-bin/carddisp.pl?gene=RHOC","GeneCards")</f>
        <v>GeneCards</v>
      </c>
      <c r="D14003" s="1" t="str">
        <f>HYPERLINK("http://genome-euro.ucsc.edu/cgi-bin/hgTracks?position=200885_at","UCSC")</f>
        <v>UCSC</v>
      </c>
      <c r="E14003" s="1" t="str">
        <f>HYPERLINK("http://www.ncbi.nlm.nih.gov/gene/?term=RHOC","NCBI")</f>
        <v>NCBI</v>
      </c>
      <c r="F14003">
        <v>0.52</v>
      </c>
      <c r="G14003">
        <v>0.63</v>
      </c>
      <c r="H14003" s="1" t="str">
        <f>HYPERLINK("http://www.weizmann.ac.il/complex/compphys/software/geview/data/figures/200885_at.png","Figure")</f>
        <v>Figure</v>
      </c>
      <c r="I14003">
        <v>0.88900000000000001</v>
      </c>
      <c r="J14003">
        <v>0.56999999999999995</v>
      </c>
      <c r="K14003">
        <v>0.995</v>
      </c>
      <c r="L14003">
        <v>1</v>
      </c>
      <c r="M14003">
        <v>1.1200000000000001</v>
      </c>
      <c r="N14003">
        <v>0.56000000000000005</v>
      </c>
    </row>
    <row r="14004" spans="1:14" x14ac:dyDescent="0.25">
      <c r="A14004" t="s">
        <v>23827</v>
      </c>
      <c r="B14004" t="s">
        <v>23828</v>
      </c>
      <c r="C14004" s="1" t="str">
        <f>HYPERLINK("http://www.genecards.org/cgi-bin/carddisp.pl?gene=RPL8","GeneCards")</f>
        <v>GeneCards</v>
      </c>
      <c r="D14004" s="1" t="str">
        <f>HYPERLINK("http://genome-euro.ucsc.edu/cgi-bin/hgTracks?position=200936_at","UCSC")</f>
        <v>UCSC</v>
      </c>
      <c r="E14004" s="1" t="str">
        <f>HYPERLINK("http://www.ncbi.nlm.nih.gov/gene/?term=RPL8","NCBI")</f>
        <v>NCBI</v>
      </c>
      <c r="F14004">
        <v>0.52</v>
      </c>
      <c r="G14004">
        <v>0.64</v>
      </c>
      <c r="H14004" s="1" t="str">
        <f>HYPERLINK("http://www.weizmann.ac.il/complex/compphys/software/geview/data/figures/200936_at.png","Figure")</f>
        <v>Figure</v>
      </c>
      <c r="I14004">
        <v>0.97299999999999998</v>
      </c>
      <c r="J14004">
        <v>0.99</v>
      </c>
      <c r="K14004">
        <v>1.1499999999999999</v>
      </c>
      <c r="L14004">
        <v>0.64</v>
      </c>
      <c r="M14004">
        <v>1.18</v>
      </c>
      <c r="N14004">
        <v>0.56999999999999995</v>
      </c>
    </row>
    <row r="14005" spans="1:14" x14ac:dyDescent="0.25">
      <c r="A14005" t="s">
        <v>23829</v>
      </c>
      <c r="B14005" t="s">
        <v>17914</v>
      </c>
      <c r="C14005" s="1" t="str">
        <f>HYPERLINK("http://www.genecards.org/cgi-bin/carddisp.pl?gene=RPL17","GeneCards")</f>
        <v>GeneCards</v>
      </c>
      <c r="D14005" s="1" t="str">
        <f>HYPERLINK("http://genome-euro.ucsc.edu/cgi-bin/hgTracks?position=212270_x_at","UCSC")</f>
        <v>UCSC</v>
      </c>
      <c r="E14005" s="1" t="str">
        <f>HYPERLINK("http://www.ncbi.nlm.nih.gov/gene/?term=RPL17","NCBI")</f>
        <v>NCBI</v>
      </c>
      <c r="F14005">
        <v>0.52</v>
      </c>
      <c r="G14005">
        <v>0.64</v>
      </c>
      <c r="H14005" s="1" t="str">
        <f>HYPERLINK("http://www.weizmann.ac.il/complex/compphys/software/geview/data/figures/212270_x_at.png","Figure")</f>
        <v>Figure</v>
      </c>
      <c r="I14005">
        <v>0.78200000000000003</v>
      </c>
      <c r="J14005">
        <v>0.51</v>
      </c>
      <c r="K14005">
        <v>0.93700000000000006</v>
      </c>
      <c r="L14005">
        <v>0.94</v>
      </c>
      <c r="M14005">
        <v>1.2</v>
      </c>
      <c r="N14005">
        <v>0.65</v>
      </c>
    </row>
    <row r="14006" spans="1:14" x14ac:dyDescent="0.25">
      <c r="A14006" t="s">
        <v>23830</v>
      </c>
      <c r="B14006" t="s">
        <v>23831</v>
      </c>
      <c r="C14006" s="1" t="str">
        <f>HYPERLINK("http://www.genecards.org/cgi-bin/carddisp.pl?gene=DUSP21","GeneCards")</f>
        <v>GeneCards</v>
      </c>
      <c r="D14006" s="1" t="str">
        <f>HYPERLINK("http://genome-euro.ucsc.edu/cgi-bin/hgTracks?position=220515_at","UCSC")</f>
        <v>UCSC</v>
      </c>
      <c r="E14006" s="1" t="str">
        <f>HYPERLINK("http://www.ncbi.nlm.nih.gov/gene/?term=DUSP21","NCBI")</f>
        <v>NCBI</v>
      </c>
      <c r="F14006">
        <v>0.52</v>
      </c>
      <c r="G14006">
        <v>0.64</v>
      </c>
      <c r="H14006" s="1" t="str">
        <f>HYPERLINK("http://www.weizmann.ac.il/complex/compphys/software/geview/data/figures/220515_at.png","Figure")</f>
        <v>Figure</v>
      </c>
      <c r="I14006">
        <v>1.08</v>
      </c>
      <c r="J14006">
        <v>0.5</v>
      </c>
      <c r="K14006">
        <v>1.04</v>
      </c>
      <c r="L14006">
        <v>0.72</v>
      </c>
      <c r="M14006">
        <v>0.97</v>
      </c>
      <c r="N14006">
        <v>0.87</v>
      </c>
    </row>
    <row r="14007" spans="1:14" x14ac:dyDescent="0.25">
      <c r="A14007" t="s">
        <v>23832</v>
      </c>
      <c r="B14007" t="s">
        <v>23833</v>
      </c>
      <c r="C14007" s="1" t="str">
        <f>HYPERLINK("http://www.genecards.org/cgi-bin/carddisp.pl?gene=DDX11 /// DDX12 /// LOC642846","GeneCards")</f>
        <v>GeneCards</v>
      </c>
      <c r="D14007" s="1" t="str">
        <f>HYPERLINK("http://genome-euro.ucsc.edu/cgi-bin/hgTracks?position=213378_s_at","UCSC")</f>
        <v>UCSC</v>
      </c>
      <c r="E14007" s="1" t="str">
        <f>HYPERLINK("http://www.ncbi.nlm.nih.gov/gene/?term=DDX11 /// DDX12 /// LOC642846","NCBI")</f>
        <v>NCBI</v>
      </c>
      <c r="F14007">
        <v>0.52</v>
      </c>
      <c r="G14007">
        <v>0.64</v>
      </c>
      <c r="H14007" s="1" t="str">
        <f>HYPERLINK("http://www.weizmann.ac.il/complex/compphys/software/geview/data/figures/213378_s_at.png","Figure")</f>
        <v>Figure</v>
      </c>
      <c r="I14007">
        <v>1.1200000000000001</v>
      </c>
      <c r="J14007">
        <v>0.55000000000000004</v>
      </c>
      <c r="K14007">
        <v>1.01</v>
      </c>
      <c r="L14007">
        <v>0.99</v>
      </c>
      <c r="M14007">
        <v>0.90300000000000002</v>
      </c>
      <c r="N14007">
        <v>0.59</v>
      </c>
    </row>
    <row r="14008" spans="1:14" x14ac:dyDescent="0.25">
      <c r="A14008" t="s">
        <v>23834</v>
      </c>
      <c r="B14008" t="s">
        <v>23835</v>
      </c>
      <c r="C14008" s="1" t="str">
        <f>HYPERLINK("http://www.genecards.org/cgi-bin/carddisp.pl?gene=ERCC6","GeneCards")</f>
        <v>GeneCards</v>
      </c>
      <c r="D14008" s="1" t="str">
        <f>HYPERLINK("http://genome-euro.ucsc.edu/cgi-bin/hgTracks?position=207347_at","UCSC")</f>
        <v>UCSC</v>
      </c>
      <c r="E14008" s="1" t="str">
        <f>HYPERLINK("http://www.ncbi.nlm.nih.gov/gene/?term=ERCC6","NCBI")</f>
        <v>NCBI</v>
      </c>
      <c r="F14008">
        <v>0.52</v>
      </c>
      <c r="G14008">
        <v>0.64</v>
      </c>
      <c r="H14008" s="1" t="str">
        <f>HYPERLINK("http://www.weizmann.ac.il/complex/compphys/software/geview/data/figures/207347_at.png","Figure")</f>
        <v>Figure</v>
      </c>
      <c r="I14008">
        <v>0.98099999999999998</v>
      </c>
      <c r="J14008">
        <v>0.52</v>
      </c>
      <c r="K14008">
        <v>0.98699999999999999</v>
      </c>
      <c r="L14008">
        <v>0.67</v>
      </c>
      <c r="M14008">
        <v>1.01</v>
      </c>
      <c r="N14008">
        <v>0.92</v>
      </c>
    </row>
    <row r="14009" spans="1:14" x14ac:dyDescent="0.25">
      <c r="A14009" t="s">
        <v>23836</v>
      </c>
      <c r="B14009" t="s">
        <v>7017</v>
      </c>
      <c r="C14009" s="1" t="str">
        <f>HYPERLINK("http://www.genecards.org/cgi-bin/carddisp.pl?gene=PHLDB1","GeneCards")</f>
        <v>GeneCards</v>
      </c>
      <c r="D14009" s="1" t="str">
        <f>HYPERLINK("http://genome-euro.ucsc.edu/cgi-bin/hgTracks?position=216019_x_at","UCSC")</f>
        <v>UCSC</v>
      </c>
      <c r="E14009" s="1" t="str">
        <f>HYPERLINK("http://www.ncbi.nlm.nih.gov/gene/?term=PHLDB1","NCBI")</f>
        <v>NCBI</v>
      </c>
      <c r="F14009">
        <v>0.52</v>
      </c>
      <c r="G14009">
        <v>0.64</v>
      </c>
      <c r="H14009" s="1" t="str">
        <f>HYPERLINK("http://www.weizmann.ac.il/complex/compphys/software/geview/data/figures/216019_x_at.png","Figure")</f>
        <v>Figure</v>
      </c>
      <c r="I14009">
        <v>1.0900000000000001</v>
      </c>
      <c r="J14009">
        <v>0.49</v>
      </c>
      <c r="K14009">
        <v>1.04</v>
      </c>
      <c r="L14009">
        <v>0.81</v>
      </c>
      <c r="M14009">
        <v>0.95299999999999996</v>
      </c>
      <c r="N14009">
        <v>0.79</v>
      </c>
    </row>
    <row r="14010" spans="1:14" x14ac:dyDescent="0.25">
      <c r="A14010" t="s">
        <v>23837</v>
      </c>
      <c r="B14010" t="s">
        <v>23838</v>
      </c>
      <c r="C14010" s="1" t="str">
        <f>HYPERLINK("http://www.genecards.org/cgi-bin/carddisp.pl?gene=ATP5D","GeneCards")</f>
        <v>GeneCards</v>
      </c>
      <c r="D14010" s="1" t="str">
        <f>HYPERLINK("http://genome-euro.ucsc.edu/cgi-bin/hgTracks?position=203926_x_at","UCSC")</f>
        <v>UCSC</v>
      </c>
      <c r="E14010" s="1" t="str">
        <f>HYPERLINK("http://www.ncbi.nlm.nih.gov/gene/?term=ATP5D","NCBI")</f>
        <v>NCBI</v>
      </c>
      <c r="F14010">
        <v>0.52</v>
      </c>
      <c r="G14010">
        <v>0.64</v>
      </c>
      <c r="H14010" s="1" t="str">
        <f>HYPERLINK("http://www.weizmann.ac.il/complex/compphys/software/geview/data/figures/203926_x_at.png","Figure")</f>
        <v>Figure</v>
      </c>
      <c r="I14010">
        <v>0.91100000000000003</v>
      </c>
      <c r="J14010">
        <v>0.87</v>
      </c>
      <c r="K14010">
        <v>1.1100000000000001</v>
      </c>
      <c r="L14010">
        <v>0.8</v>
      </c>
      <c r="M14010">
        <v>1.22</v>
      </c>
      <c r="N14010">
        <v>0.5</v>
      </c>
    </row>
    <row r="14011" spans="1:14" x14ac:dyDescent="0.25">
      <c r="A14011" t="s">
        <v>23839</v>
      </c>
      <c r="B14011" t="s">
        <v>23840</v>
      </c>
      <c r="C14011" s="1" t="str">
        <f>HYPERLINK("http://www.genecards.org/cgi-bin/carddisp.pl?gene=TMCC2","GeneCards")</f>
        <v>GeneCards</v>
      </c>
      <c r="D14011" s="1" t="str">
        <f>HYPERLINK("http://genome-euro.ucsc.edu/cgi-bin/hgTracks?position=213096_at","UCSC")</f>
        <v>UCSC</v>
      </c>
      <c r="E14011" s="1" t="str">
        <f>HYPERLINK("http://www.ncbi.nlm.nih.gov/gene/?term=TMCC2","NCBI")</f>
        <v>NCBI</v>
      </c>
      <c r="F14011">
        <v>0.52</v>
      </c>
      <c r="G14011">
        <v>0.64</v>
      </c>
      <c r="H14011" s="1" t="str">
        <f>HYPERLINK("http://www.weizmann.ac.il/complex/compphys/software/geview/data/figures/213096_at.png","Figure")</f>
        <v>Figure</v>
      </c>
      <c r="I14011">
        <v>1.2</v>
      </c>
      <c r="J14011">
        <v>0.59</v>
      </c>
      <c r="K14011">
        <v>1</v>
      </c>
      <c r="L14011">
        <v>1</v>
      </c>
      <c r="M14011">
        <v>0.83099999999999996</v>
      </c>
      <c r="N14011">
        <v>0.55000000000000004</v>
      </c>
    </row>
    <row r="14012" spans="1:14" x14ac:dyDescent="0.25">
      <c r="A14012" t="s">
        <v>23841</v>
      </c>
      <c r="B14012" t="s">
        <v>23842</v>
      </c>
      <c r="C14012" s="1" t="str">
        <f>HYPERLINK("http://www.genecards.org/cgi-bin/carddisp.pl?gene=PIK3C2B","GeneCards")</f>
        <v>GeneCards</v>
      </c>
      <c r="D14012" s="1" t="str">
        <f>HYPERLINK("http://genome-euro.ucsc.edu/cgi-bin/hgTracks?position=204484_at","UCSC")</f>
        <v>UCSC</v>
      </c>
      <c r="E14012" s="1" t="str">
        <f>HYPERLINK("http://www.ncbi.nlm.nih.gov/gene/?term=PIK3C2B","NCBI")</f>
        <v>NCBI</v>
      </c>
      <c r="F14012">
        <v>0.52</v>
      </c>
      <c r="G14012">
        <v>0.64</v>
      </c>
      <c r="H14012" s="1" t="str">
        <f>HYPERLINK("http://www.weizmann.ac.il/complex/compphys/software/geview/data/figures/204484_at.png","Figure")</f>
        <v>Figure</v>
      </c>
      <c r="I14012">
        <v>0.93100000000000005</v>
      </c>
      <c r="J14012">
        <v>0.93</v>
      </c>
      <c r="K14012">
        <v>0.82399999999999995</v>
      </c>
      <c r="L14012">
        <v>0.51</v>
      </c>
      <c r="M14012">
        <v>0.88400000000000001</v>
      </c>
      <c r="N14012">
        <v>0.78</v>
      </c>
    </row>
    <row r="14013" spans="1:14" x14ac:dyDescent="0.25">
      <c r="A14013" t="s">
        <v>23843</v>
      </c>
      <c r="B14013" t="s">
        <v>5273</v>
      </c>
      <c r="C14013" s="1" t="str">
        <f>HYPERLINK("http://www.genecards.org/cgi-bin/carddisp.pl?gene=STAT1","GeneCards")</f>
        <v>GeneCards</v>
      </c>
      <c r="D14013" s="1" t="str">
        <f>HYPERLINK("http://genome-euro.ucsc.edu/cgi-bin/hgTracks?position=AFFX-HUMISGF3A/M97935_3_at","UCSC")</f>
        <v>UCSC</v>
      </c>
      <c r="E14013" s="1" t="str">
        <f>HYPERLINK("http://www.ncbi.nlm.nih.gov/gene/?term=STAT1","NCBI")</f>
        <v>NCBI</v>
      </c>
      <c r="F14013">
        <v>0.52</v>
      </c>
      <c r="G14013">
        <v>0.64</v>
      </c>
      <c r="H14013" s="1" t="str">
        <f>HYPERLINK("http://www.weizmann.ac.il/complex/compphys/software/geview/data/figures/AFFX-HUMISGF3A/M97935_3_at.png","Figure")</f>
        <v>Figure</v>
      </c>
      <c r="I14013">
        <v>1.1499999999999999</v>
      </c>
      <c r="J14013">
        <v>0.8</v>
      </c>
      <c r="K14013">
        <v>1.25</v>
      </c>
      <c r="L14013">
        <v>0.49</v>
      </c>
      <c r="M14013">
        <v>1.0900000000000001</v>
      </c>
      <c r="N14013">
        <v>0.91</v>
      </c>
    </row>
    <row r="14014" spans="1:14" x14ac:dyDescent="0.25">
      <c r="A14014" t="s">
        <v>23844</v>
      </c>
      <c r="B14014" t="s">
        <v>5561</v>
      </c>
      <c r="C14014" s="1" t="str">
        <f>HYPERLINK("http://www.genecards.org/cgi-bin/carddisp.pl?gene=DCAF15","GeneCards")</f>
        <v>GeneCards</v>
      </c>
      <c r="D14014" s="1" t="str">
        <f>HYPERLINK("http://genome-euro.ucsc.edu/cgi-bin/hgTracks?position=221851_at","UCSC")</f>
        <v>UCSC</v>
      </c>
      <c r="E14014" s="1" t="str">
        <f>HYPERLINK("http://www.ncbi.nlm.nih.gov/gene/?term=DCAF15","NCBI")</f>
        <v>NCBI</v>
      </c>
      <c r="F14014">
        <v>0.52</v>
      </c>
      <c r="G14014">
        <v>0.64</v>
      </c>
      <c r="H14014" s="1" t="str">
        <f>HYPERLINK("http://www.weizmann.ac.il/complex/compphys/software/geview/data/figures/221851_at.png","Figure")</f>
        <v>Figure</v>
      </c>
      <c r="I14014">
        <v>1.05</v>
      </c>
      <c r="J14014">
        <v>0.54</v>
      </c>
      <c r="K14014">
        <v>1.04</v>
      </c>
      <c r="L14014">
        <v>0.63</v>
      </c>
      <c r="M14014">
        <v>0.98799999999999999</v>
      </c>
      <c r="N14014">
        <v>0.95</v>
      </c>
    </row>
    <row r="14015" spans="1:14" x14ac:dyDescent="0.25">
      <c r="A14015" t="s">
        <v>23845</v>
      </c>
      <c r="B14015" t="s">
        <v>23846</v>
      </c>
      <c r="C14015" s="1" t="str">
        <f>HYPERLINK("http://www.genecards.org/cgi-bin/carddisp.pl?gene=CNNM4","GeneCards")</f>
        <v>GeneCards</v>
      </c>
      <c r="D14015" s="1" t="str">
        <f>HYPERLINK("http://genome-euro.ucsc.edu/cgi-bin/hgTracks?position=218900_at","UCSC")</f>
        <v>UCSC</v>
      </c>
      <c r="E14015" s="1" t="str">
        <f>HYPERLINK("http://www.ncbi.nlm.nih.gov/gene/?term=CNNM4","NCBI")</f>
        <v>NCBI</v>
      </c>
      <c r="F14015">
        <v>0.52</v>
      </c>
      <c r="G14015">
        <v>0.64</v>
      </c>
      <c r="H14015" s="1" t="str">
        <f>HYPERLINK("http://www.weizmann.ac.il/complex/compphys/software/geview/data/figures/218900_at.png","Figure")</f>
        <v>Figure</v>
      </c>
      <c r="I14015">
        <v>1.0900000000000001</v>
      </c>
      <c r="J14015">
        <v>0.54</v>
      </c>
      <c r="K14015">
        <v>1.07</v>
      </c>
      <c r="L14015">
        <v>0.63</v>
      </c>
      <c r="M14015">
        <v>0.97899999999999998</v>
      </c>
      <c r="N14015">
        <v>0.96</v>
      </c>
    </row>
    <row r="14016" spans="1:14" x14ac:dyDescent="0.25">
      <c r="A14016" t="s">
        <v>23847</v>
      </c>
      <c r="B14016" t="s">
        <v>23848</v>
      </c>
      <c r="C14016" s="1" t="str">
        <f>HYPERLINK("http://www.genecards.org/cgi-bin/carddisp.pl?gene=CCNG2","GeneCards")</f>
        <v>GeneCards</v>
      </c>
      <c r="D14016" s="1" t="str">
        <f>HYPERLINK("http://genome-euro.ucsc.edu/cgi-bin/hgTracks?position=202769_at","UCSC")</f>
        <v>UCSC</v>
      </c>
      <c r="E14016" s="1" t="str">
        <f>HYPERLINK("http://www.ncbi.nlm.nih.gov/gene/?term=CCNG2","NCBI")</f>
        <v>NCBI</v>
      </c>
      <c r="F14016">
        <v>0.52</v>
      </c>
      <c r="G14016">
        <v>0.64</v>
      </c>
      <c r="H14016" s="1" t="str">
        <f>HYPERLINK("http://www.weizmann.ac.il/complex/compphys/software/geview/data/figures/202769_at.png","Figure")</f>
        <v>Figure</v>
      </c>
      <c r="I14016">
        <v>0.73299999999999998</v>
      </c>
      <c r="J14016">
        <v>0.5</v>
      </c>
      <c r="K14016">
        <v>0.84899999999999998</v>
      </c>
      <c r="L14016">
        <v>0.77</v>
      </c>
      <c r="M14016">
        <v>1.1599999999999999</v>
      </c>
      <c r="N14016">
        <v>0.83</v>
      </c>
    </row>
    <row r="14017" spans="1:14" x14ac:dyDescent="0.25">
      <c r="A14017" t="s">
        <v>23849</v>
      </c>
      <c r="B14017" t="s">
        <v>23850</v>
      </c>
      <c r="C14017" s="1" t="str">
        <f>HYPERLINK("http://www.genecards.org/cgi-bin/carddisp.pl?gene=SCN2A","GeneCards")</f>
        <v>GeneCards</v>
      </c>
      <c r="D14017" s="1" t="str">
        <f>HYPERLINK("http://genome-euro.ucsc.edu/cgi-bin/hgTracks?position=206381_at","UCSC")</f>
        <v>UCSC</v>
      </c>
      <c r="E14017" s="1" t="str">
        <f>HYPERLINK("http://www.ncbi.nlm.nih.gov/gene/?term=SCN2A","NCBI")</f>
        <v>NCBI</v>
      </c>
      <c r="F14017">
        <v>0.52</v>
      </c>
      <c r="G14017">
        <v>0.64</v>
      </c>
      <c r="H14017" s="1" t="str">
        <f>HYPERLINK("http://www.weizmann.ac.il/complex/compphys/software/geview/data/figures/206381_at.png","Figure")</f>
        <v>Figure</v>
      </c>
      <c r="I14017">
        <v>0.99299999999999999</v>
      </c>
      <c r="J14017">
        <v>1</v>
      </c>
      <c r="K14017">
        <v>1.08</v>
      </c>
      <c r="L14017">
        <v>0.61</v>
      </c>
      <c r="M14017">
        <v>1.0900000000000001</v>
      </c>
      <c r="N14017">
        <v>0.6</v>
      </c>
    </row>
    <row r="14018" spans="1:14" x14ac:dyDescent="0.25">
      <c r="A14018" t="s">
        <v>23851</v>
      </c>
      <c r="B14018" t="s">
        <v>6172</v>
      </c>
      <c r="C14018" s="1" t="str">
        <f>HYPERLINK("http://www.genecards.org/cgi-bin/carddisp.pl?gene=HEATR6","GeneCards")</f>
        <v>GeneCards</v>
      </c>
      <c r="D14018" s="1" t="str">
        <f>HYPERLINK("http://genome-euro.ucsc.edu/cgi-bin/hgTracks?position=218991_at","UCSC")</f>
        <v>UCSC</v>
      </c>
      <c r="E14018" s="1" t="str">
        <f>HYPERLINK("http://www.ncbi.nlm.nih.gov/gene/?term=HEATR6","NCBI")</f>
        <v>NCBI</v>
      </c>
      <c r="F14018">
        <v>0.52</v>
      </c>
      <c r="G14018">
        <v>0.64</v>
      </c>
      <c r="H14018" s="1" t="str">
        <f>HYPERLINK("http://www.weizmann.ac.il/complex/compphys/software/geview/data/figures/218991_at.png","Figure")</f>
        <v>Figure</v>
      </c>
      <c r="I14018">
        <v>0.95599999999999996</v>
      </c>
      <c r="J14018">
        <v>0.94</v>
      </c>
      <c r="K14018">
        <v>1.0900000000000001</v>
      </c>
      <c r="L14018">
        <v>0.72</v>
      </c>
      <c r="M14018">
        <v>1.1399999999999999</v>
      </c>
      <c r="N14018">
        <v>0.53</v>
      </c>
    </row>
    <row r="14019" spans="1:14" x14ac:dyDescent="0.25">
      <c r="A14019" t="s">
        <v>23852</v>
      </c>
      <c r="B14019" t="s">
        <v>23853</v>
      </c>
      <c r="C14019" s="1" t="str">
        <f>HYPERLINK("http://www.genecards.org/cgi-bin/carddisp.pl?gene=C3orf52","GeneCards")</f>
        <v>GeneCards</v>
      </c>
      <c r="D14019" s="1" t="str">
        <f>HYPERLINK("http://genome-euro.ucsc.edu/cgi-bin/hgTracks?position=219474_at","UCSC")</f>
        <v>UCSC</v>
      </c>
      <c r="E14019" s="1" t="str">
        <f>HYPERLINK("http://www.ncbi.nlm.nih.gov/gene/?term=C3orf52","NCBI")</f>
        <v>NCBI</v>
      </c>
      <c r="F14019">
        <v>0.52</v>
      </c>
      <c r="G14019">
        <v>0.64</v>
      </c>
      <c r="H14019" s="1" t="str">
        <f>HYPERLINK("http://www.weizmann.ac.il/complex/compphys/software/geview/data/figures/219474_at.png","Figure")</f>
        <v>Figure</v>
      </c>
      <c r="I14019">
        <v>1.07</v>
      </c>
      <c r="J14019">
        <v>0.84</v>
      </c>
      <c r="K14019">
        <v>0.94299999999999995</v>
      </c>
      <c r="L14019">
        <v>0.83</v>
      </c>
      <c r="M14019">
        <v>0.88500000000000001</v>
      </c>
      <c r="N14019">
        <v>0.5</v>
      </c>
    </row>
    <row r="14020" spans="1:14" x14ac:dyDescent="0.25">
      <c r="A14020" t="s">
        <v>23854</v>
      </c>
      <c r="B14020" t="s">
        <v>7234</v>
      </c>
      <c r="C14020" s="1" t="str">
        <f>HYPERLINK("http://www.genecards.org/cgi-bin/carddisp.pl?gene=ITIH4","GeneCards")</f>
        <v>GeneCards</v>
      </c>
      <c r="D14020" s="1" t="str">
        <f>HYPERLINK("http://genome-euro.ucsc.edu/cgi-bin/hgTracks?position=37201_at","UCSC")</f>
        <v>UCSC</v>
      </c>
      <c r="E14020" s="1" t="str">
        <f>HYPERLINK("http://www.ncbi.nlm.nih.gov/gene/?term=ITIH4","NCBI")</f>
        <v>NCBI</v>
      </c>
      <c r="F14020">
        <v>0.52</v>
      </c>
      <c r="G14020">
        <v>0.64</v>
      </c>
      <c r="H14020" s="1" t="str">
        <f>HYPERLINK("http://www.weizmann.ac.il/complex/compphys/software/geview/data/figures/37201_at.png","Figure")</f>
        <v>Figure</v>
      </c>
      <c r="I14020">
        <v>1.1399999999999999</v>
      </c>
      <c r="J14020">
        <v>0.59</v>
      </c>
      <c r="K14020">
        <v>1.1299999999999999</v>
      </c>
      <c r="L14020">
        <v>0.56999999999999995</v>
      </c>
      <c r="M14020">
        <v>0.98699999999999999</v>
      </c>
      <c r="N14020">
        <v>0.99</v>
      </c>
    </row>
    <row r="14021" spans="1:14" x14ac:dyDescent="0.25">
      <c r="A14021" t="s">
        <v>23855</v>
      </c>
      <c r="B14021" t="s">
        <v>23856</v>
      </c>
      <c r="C14021" s="1" t="str">
        <f>HYPERLINK("http://www.genecards.org/cgi-bin/carddisp.pl?gene=MICAL3","GeneCards")</f>
        <v>GeneCards</v>
      </c>
      <c r="D14021" s="1" t="str">
        <f>HYPERLINK("http://genome-euro.ucsc.edu/cgi-bin/hgTracks?position=212715_s_at","UCSC")</f>
        <v>UCSC</v>
      </c>
      <c r="E14021" s="1" t="str">
        <f>HYPERLINK("http://www.ncbi.nlm.nih.gov/gene/?term=MICAL3","NCBI")</f>
        <v>NCBI</v>
      </c>
      <c r="F14021">
        <v>0.52</v>
      </c>
      <c r="G14021">
        <v>0.64</v>
      </c>
      <c r="H14021" s="1" t="str">
        <f>HYPERLINK("http://www.weizmann.ac.il/complex/compphys/software/geview/data/figures/212715_s_at.png","Figure")</f>
        <v>Figure</v>
      </c>
      <c r="I14021">
        <v>1.1599999999999999</v>
      </c>
      <c r="J14021">
        <v>0.55000000000000004</v>
      </c>
      <c r="K14021">
        <v>1.1200000000000001</v>
      </c>
      <c r="L14021">
        <v>0.62</v>
      </c>
      <c r="M14021">
        <v>0.96899999999999997</v>
      </c>
      <c r="N14021">
        <v>0.97</v>
      </c>
    </row>
    <row r="14022" spans="1:14" x14ac:dyDescent="0.25">
      <c r="A14022" t="s">
        <v>23857</v>
      </c>
      <c r="B14022" t="s">
        <v>23858</v>
      </c>
      <c r="C14022" s="1" t="str">
        <f>HYPERLINK("http://www.genecards.org/cgi-bin/carddisp.pl?gene=BMP4","GeneCards")</f>
        <v>GeneCards</v>
      </c>
      <c r="D14022" s="1" t="str">
        <f>HYPERLINK("http://genome-euro.ucsc.edu/cgi-bin/hgTracks?position=211518_s_at","UCSC")</f>
        <v>UCSC</v>
      </c>
      <c r="E14022" s="1" t="str">
        <f>HYPERLINK("http://www.ncbi.nlm.nih.gov/gene/?term=BMP4","NCBI")</f>
        <v>NCBI</v>
      </c>
      <c r="F14022">
        <v>0.52</v>
      </c>
      <c r="G14022">
        <v>0.64</v>
      </c>
      <c r="H14022" s="1" t="str">
        <f>HYPERLINK("http://www.weizmann.ac.il/complex/compphys/software/geview/data/figures/211518_s_at.png","Figure")</f>
        <v>Figure</v>
      </c>
      <c r="I14022">
        <v>0.95699999999999996</v>
      </c>
      <c r="J14022">
        <v>0.92</v>
      </c>
      <c r="K14022">
        <v>1.07</v>
      </c>
      <c r="L14022">
        <v>0.75</v>
      </c>
      <c r="M14022">
        <v>1.1200000000000001</v>
      </c>
      <c r="N14022">
        <v>0.52</v>
      </c>
    </row>
    <row r="14023" spans="1:14" x14ac:dyDescent="0.25">
      <c r="A14023" t="s">
        <v>23859</v>
      </c>
      <c r="B14023" t="s">
        <v>21913</v>
      </c>
      <c r="C14023" s="1" t="str">
        <f>HYPERLINK("http://www.genecards.org/cgi-bin/carddisp.pl?gene=ARHGDIA","GeneCards")</f>
        <v>GeneCards</v>
      </c>
      <c r="D14023" s="1" t="str">
        <f>HYPERLINK("http://genome-euro.ucsc.edu/cgi-bin/hgTracks?position=201168_x_at","UCSC")</f>
        <v>UCSC</v>
      </c>
      <c r="E14023" s="1" t="str">
        <f>HYPERLINK("http://www.ncbi.nlm.nih.gov/gene/?term=ARHGDIA","NCBI")</f>
        <v>NCBI</v>
      </c>
      <c r="F14023">
        <v>0.53</v>
      </c>
      <c r="G14023">
        <v>0.64</v>
      </c>
      <c r="H14023" s="1" t="str">
        <f>HYPERLINK("http://www.weizmann.ac.il/complex/compphys/software/geview/data/figures/201168_x_at.png","Figure")</f>
        <v>Figure</v>
      </c>
      <c r="I14023">
        <v>0.874</v>
      </c>
      <c r="J14023">
        <v>0.66</v>
      </c>
      <c r="K14023">
        <v>1.03</v>
      </c>
      <c r="L14023">
        <v>0.98</v>
      </c>
      <c r="M14023">
        <v>1.18</v>
      </c>
      <c r="N14023">
        <v>0.51</v>
      </c>
    </row>
    <row r="14024" spans="1:14" x14ac:dyDescent="0.25">
      <c r="A14024" t="s">
        <v>23860</v>
      </c>
      <c r="B14024" t="s">
        <v>16148</v>
      </c>
      <c r="C14024" s="1" t="str">
        <f>HYPERLINK("http://www.genecards.org/cgi-bin/carddisp.pl?gene=MAP2K4","GeneCards")</f>
        <v>GeneCards</v>
      </c>
      <c r="D14024" s="1" t="str">
        <f>HYPERLINK("http://genome-euro.ucsc.edu/cgi-bin/hgTracks?position=203265_s_at","UCSC")</f>
        <v>UCSC</v>
      </c>
      <c r="E14024" s="1" t="str">
        <f>HYPERLINK("http://www.ncbi.nlm.nih.gov/gene/?term=MAP2K4","NCBI")</f>
        <v>NCBI</v>
      </c>
      <c r="F14024">
        <v>0.53</v>
      </c>
      <c r="G14024">
        <v>0.64</v>
      </c>
      <c r="H14024" s="1" t="str">
        <f>HYPERLINK("http://www.weizmann.ac.il/complex/compphys/software/geview/data/figures/203265_s_at.png","Figure")</f>
        <v>Figure</v>
      </c>
      <c r="I14024">
        <v>0.8</v>
      </c>
      <c r="J14024">
        <v>0.5</v>
      </c>
      <c r="K14024">
        <v>0.92500000000000004</v>
      </c>
      <c r="L14024">
        <v>0.89</v>
      </c>
      <c r="M14024">
        <v>1.1599999999999999</v>
      </c>
      <c r="N14024">
        <v>0.71</v>
      </c>
    </row>
    <row r="14025" spans="1:14" x14ac:dyDescent="0.25">
      <c r="A14025" t="s">
        <v>23861</v>
      </c>
      <c r="B14025" t="s">
        <v>8494</v>
      </c>
      <c r="C14025" s="1" t="str">
        <f>HYPERLINK("http://www.genecards.org/cgi-bin/carddisp.pl?gene=SNX1","GeneCards")</f>
        <v>GeneCards</v>
      </c>
      <c r="D14025" s="1" t="str">
        <f>HYPERLINK("http://genome-euro.ucsc.edu/cgi-bin/hgTracks?position=214531_s_at","UCSC")</f>
        <v>UCSC</v>
      </c>
      <c r="E14025" s="1" t="str">
        <f>HYPERLINK("http://www.ncbi.nlm.nih.gov/gene/?term=SNX1","NCBI")</f>
        <v>NCBI</v>
      </c>
      <c r="F14025">
        <v>0.53</v>
      </c>
      <c r="G14025">
        <v>0.64</v>
      </c>
      <c r="H14025" s="1" t="str">
        <f>HYPERLINK("http://www.weizmann.ac.il/complex/compphys/software/geview/data/figures/214531_s_at.png","Figure")</f>
        <v>Figure</v>
      </c>
      <c r="I14025">
        <v>1.01</v>
      </c>
      <c r="J14025">
        <v>1</v>
      </c>
      <c r="K14025">
        <v>1.1399999999999999</v>
      </c>
      <c r="L14025">
        <v>0.56000000000000005</v>
      </c>
      <c r="M14025">
        <v>1.1299999999999999</v>
      </c>
      <c r="N14025">
        <v>0.66</v>
      </c>
    </row>
    <row r="14026" spans="1:14" x14ac:dyDescent="0.25">
      <c r="A14026" t="s">
        <v>23862</v>
      </c>
      <c r="B14026" t="s">
        <v>23863</v>
      </c>
      <c r="C14026" s="1" t="str">
        <f>HYPERLINK("http://www.genecards.org/cgi-bin/carddisp.pl?gene=CRYGC","GeneCards")</f>
        <v>GeneCards</v>
      </c>
      <c r="D14026" s="1" t="str">
        <f>HYPERLINK("http://genome-euro.ucsc.edu/cgi-bin/hgTracks?position=207531_at","UCSC")</f>
        <v>UCSC</v>
      </c>
      <c r="E14026" s="1" t="str">
        <f>HYPERLINK("http://www.ncbi.nlm.nih.gov/gene/?term=CRYGC","NCBI")</f>
        <v>NCBI</v>
      </c>
      <c r="F14026">
        <v>0.53</v>
      </c>
      <c r="G14026">
        <v>0.64</v>
      </c>
      <c r="H14026" s="1" t="str">
        <f>HYPERLINK("http://www.weizmann.ac.il/complex/compphys/software/geview/data/figures/207531_at.png","Figure")</f>
        <v>Figure</v>
      </c>
      <c r="I14026">
        <v>1.05</v>
      </c>
      <c r="J14026">
        <v>0.74</v>
      </c>
      <c r="K14026">
        <v>1.07</v>
      </c>
      <c r="L14026">
        <v>0.5</v>
      </c>
      <c r="M14026">
        <v>1.02</v>
      </c>
      <c r="N14026">
        <v>0.96</v>
      </c>
    </row>
    <row r="14027" spans="1:14" x14ac:dyDescent="0.25">
      <c r="A14027" t="s">
        <v>23864</v>
      </c>
      <c r="B14027" t="s">
        <v>23865</v>
      </c>
      <c r="C14027" s="1" t="str">
        <f>HYPERLINK("http://www.genecards.org/cgi-bin/carddisp.pl?gene=DULLARD","GeneCards")</f>
        <v>GeneCards</v>
      </c>
      <c r="D14027" s="1" t="str">
        <f>HYPERLINK("http://genome-euro.ucsc.edu/cgi-bin/hgTracks?position=200035_at","UCSC")</f>
        <v>UCSC</v>
      </c>
      <c r="E14027" s="1" t="str">
        <f>HYPERLINK("http://www.ncbi.nlm.nih.gov/gene/?term=DULLARD","NCBI")</f>
        <v>NCBI</v>
      </c>
      <c r="F14027">
        <v>0.53</v>
      </c>
      <c r="G14027">
        <v>0.64</v>
      </c>
      <c r="H14027" s="1" t="str">
        <f>HYPERLINK("http://www.weizmann.ac.il/complex/compphys/software/geview/data/figures/200035_at.png","Figure")</f>
        <v>Figure</v>
      </c>
      <c r="I14027">
        <v>1.1599999999999999</v>
      </c>
      <c r="J14027">
        <v>0.59</v>
      </c>
      <c r="K14027">
        <v>1.1399999999999999</v>
      </c>
      <c r="L14027">
        <v>0.57999999999999996</v>
      </c>
      <c r="M14027">
        <v>0.98199999999999998</v>
      </c>
      <c r="N14027">
        <v>0.99</v>
      </c>
    </row>
    <row r="14028" spans="1:14" x14ac:dyDescent="0.25">
      <c r="A14028" t="s">
        <v>23866</v>
      </c>
      <c r="B14028" t="s">
        <v>1405</v>
      </c>
      <c r="C14028" s="1" t="str">
        <f>HYPERLINK("http://www.genecards.org/cgi-bin/carddisp.pl?gene=CEP68","GeneCards")</f>
        <v>GeneCards</v>
      </c>
      <c r="D14028" s="1" t="str">
        <f>HYPERLINK("http://genome-euro.ucsc.edu/cgi-bin/hgTracks?position=207971_s_at","UCSC")</f>
        <v>UCSC</v>
      </c>
      <c r="E14028" s="1" t="str">
        <f>HYPERLINK("http://www.ncbi.nlm.nih.gov/gene/?term=CEP68","NCBI")</f>
        <v>NCBI</v>
      </c>
      <c r="F14028">
        <v>0.53</v>
      </c>
      <c r="G14028">
        <v>0.64</v>
      </c>
      <c r="H14028" s="1" t="str">
        <f>HYPERLINK("http://www.weizmann.ac.il/complex/compphys/software/geview/data/figures/207971_s_at.png","Figure")</f>
        <v>Figure</v>
      </c>
      <c r="I14028">
        <v>0.93899999999999995</v>
      </c>
      <c r="J14028">
        <v>0.74</v>
      </c>
      <c r="K14028">
        <v>0.92</v>
      </c>
      <c r="L14028">
        <v>0.5</v>
      </c>
      <c r="M14028">
        <v>0.97899999999999998</v>
      </c>
      <c r="N14028">
        <v>0.96</v>
      </c>
    </row>
    <row r="14029" spans="1:14" x14ac:dyDescent="0.25">
      <c r="A14029" t="s">
        <v>23867</v>
      </c>
      <c r="B14029" t="s">
        <v>4291</v>
      </c>
      <c r="C14029" s="1" t="str">
        <f>HYPERLINK("http://www.genecards.org/cgi-bin/carddisp.pl?gene=DHFR","GeneCards")</f>
        <v>GeneCards</v>
      </c>
      <c r="D14029" s="1" t="str">
        <f>HYPERLINK("http://genome-euro.ucsc.edu/cgi-bin/hgTracks?position=202533_s_at","UCSC")</f>
        <v>UCSC</v>
      </c>
      <c r="E14029" s="1" t="str">
        <f>HYPERLINK("http://www.ncbi.nlm.nih.gov/gene/?term=DHFR","NCBI")</f>
        <v>NCBI</v>
      </c>
      <c r="F14029">
        <v>0.53</v>
      </c>
      <c r="G14029">
        <v>0.64</v>
      </c>
      <c r="H14029" s="1" t="str">
        <f>HYPERLINK("http://www.weizmann.ac.il/complex/compphys/software/geview/data/figures/202533_s_at.png","Figure")</f>
        <v>Figure</v>
      </c>
      <c r="I14029">
        <v>0.98899999999999999</v>
      </c>
      <c r="J14029">
        <v>0.94</v>
      </c>
      <c r="K14029">
        <v>1.02</v>
      </c>
      <c r="L14029">
        <v>0.72</v>
      </c>
      <c r="M14029">
        <v>1.03</v>
      </c>
      <c r="N14029">
        <v>0.53</v>
      </c>
    </row>
    <row r="14030" spans="1:14" x14ac:dyDescent="0.25">
      <c r="A14030" t="s">
        <v>23868</v>
      </c>
      <c r="B14030" t="s">
        <v>23869</v>
      </c>
      <c r="C14030" s="1" t="str">
        <f>HYPERLINK("http://www.genecards.org/cgi-bin/carddisp.pl?gene=ANXA2P1","GeneCards")</f>
        <v>GeneCards</v>
      </c>
      <c r="D14030" s="1" t="str">
        <f>HYPERLINK("http://genome-euro.ucsc.edu/cgi-bin/hgTracks?position=210876_at","UCSC")</f>
        <v>UCSC</v>
      </c>
      <c r="E14030" s="1" t="str">
        <f>HYPERLINK("http://www.ncbi.nlm.nih.gov/gene/?term=ANXA2P1","NCBI")</f>
        <v>NCBI</v>
      </c>
      <c r="F14030">
        <v>0.53</v>
      </c>
      <c r="G14030">
        <v>0.64</v>
      </c>
      <c r="H14030" s="1" t="str">
        <f>HYPERLINK("http://www.weizmann.ac.il/complex/compphys/software/geview/data/figures/210876_at.png","Figure")</f>
        <v>Figure</v>
      </c>
      <c r="I14030">
        <v>1.06</v>
      </c>
      <c r="J14030">
        <v>0.85</v>
      </c>
      <c r="K14030">
        <v>1.1100000000000001</v>
      </c>
      <c r="L14030">
        <v>0.5</v>
      </c>
      <c r="M14030">
        <v>1.05</v>
      </c>
      <c r="N14030">
        <v>0.87</v>
      </c>
    </row>
    <row r="14031" spans="1:14" x14ac:dyDescent="0.25">
      <c r="A14031" t="s">
        <v>23870</v>
      </c>
      <c r="B14031" t="s">
        <v>20145</v>
      </c>
      <c r="C14031" s="1" t="str">
        <f>HYPERLINK("http://www.genecards.org/cgi-bin/carddisp.pl?gene=GGCX","GeneCards")</f>
        <v>GeneCards</v>
      </c>
      <c r="D14031" s="1" t="str">
        <f>HYPERLINK("http://genome-euro.ucsc.edu/cgi-bin/hgTracks?position=214005_at","UCSC")</f>
        <v>UCSC</v>
      </c>
      <c r="E14031" s="1" t="str">
        <f>HYPERLINK("http://www.ncbi.nlm.nih.gov/gene/?term=GGCX","NCBI")</f>
        <v>NCBI</v>
      </c>
      <c r="F14031">
        <v>0.53</v>
      </c>
      <c r="G14031">
        <v>0.64</v>
      </c>
      <c r="H14031" s="1" t="str">
        <f>HYPERLINK("http://www.weizmann.ac.il/complex/compphys/software/geview/data/figures/214005_at.png","Figure")</f>
        <v>Figure</v>
      </c>
      <c r="I14031">
        <v>0.72699999999999998</v>
      </c>
      <c r="J14031">
        <v>0.5</v>
      </c>
      <c r="K14031">
        <v>0.84599999999999997</v>
      </c>
      <c r="L14031">
        <v>0.77</v>
      </c>
      <c r="M14031">
        <v>1.1599999999999999</v>
      </c>
      <c r="N14031">
        <v>0.83</v>
      </c>
    </row>
    <row r="14032" spans="1:14" x14ac:dyDescent="0.25">
      <c r="A14032" t="s">
        <v>23871</v>
      </c>
      <c r="B14032" t="s">
        <v>22511</v>
      </c>
      <c r="C14032" s="1" t="str">
        <f>HYPERLINK("http://www.genecards.org/cgi-bin/carddisp.pl?gene=TSC2","GeneCards")</f>
        <v>GeneCards</v>
      </c>
      <c r="D14032" s="1" t="str">
        <f>HYPERLINK("http://genome-euro.ucsc.edu/cgi-bin/hgTracks?position=215735_s_at","UCSC")</f>
        <v>UCSC</v>
      </c>
      <c r="E14032" s="1" t="str">
        <f>HYPERLINK("http://www.ncbi.nlm.nih.gov/gene/?term=TSC2","NCBI")</f>
        <v>NCBI</v>
      </c>
      <c r="F14032">
        <v>0.53</v>
      </c>
      <c r="G14032">
        <v>0.64</v>
      </c>
      <c r="H14032" s="1" t="str">
        <f>HYPERLINK("http://www.weizmann.ac.il/complex/compphys/software/geview/data/figures/215735_s_at.png","Figure")</f>
        <v>Figure</v>
      </c>
      <c r="I14032">
        <v>0.74299999999999999</v>
      </c>
      <c r="J14032">
        <v>0.5</v>
      </c>
      <c r="K14032">
        <v>0.85099999999999998</v>
      </c>
      <c r="L14032">
        <v>0.76</v>
      </c>
      <c r="M14032">
        <v>1.1499999999999999</v>
      </c>
      <c r="N14032">
        <v>0.84</v>
      </c>
    </row>
    <row r="14033" spans="1:14" x14ac:dyDescent="0.25">
      <c r="A14033" t="s">
        <v>23872</v>
      </c>
      <c r="B14033" t="s">
        <v>11310</v>
      </c>
      <c r="C14033" s="1" t="str">
        <f>HYPERLINK("http://www.genecards.org/cgi-bin/carddisp.pl?gene=HCFC1R1","GeneCards")</f>
        <v>GeneCards</v>
      </c>
      <c r="D14033" s="1" t="str">
        <f>HYPERLINK("http://genome-euro.ucsc.edu/cgi-bin/hgTracks?position=218537_at","UCSC")</f>
        <v>UCSC</v>
      </c>
      <c r="E14033" s="1" t="str">
        <f>HYPERLINK("http://www.ncbi.nlm.nih.gov/gene/?term=HCFC1R1","NCBI")</f>
        <v>NCBI</v>
      </c>
      <c r="F14033">
        <v>0.53</v>
      </c>
      <c r="G14033">
        <v>0.64</v>
      </c>
      <c r="H14033" s="1" t="str">
        <f>HYPERLINK("http://www.weizmann.ac.il/complex/compphys/software/geview/data/figures/218537_at.png","Figure")</f>
        <v>Figure</v>
      </c>
      <c r="I14033">
        <v>1.1299999999999999</v>
      </c>
      <c r="J14033">
        <v>0.5</v>
      </c>
      <c r="K14033">
        <v>1.07</v>
      </c>
      <c r="L14033">
        <v>0.77</v>
      </c>
      <c r="M14033">
        <v>0.94399999999999995</v>
      </c>
      <c r="N14033">
        <v>0.83</v>
      </c>
    </row>
    <row r="14034" spans="1:14" x14ac:dyDescent="0.25">
      <c r="A14034" t="s">
        <v>23873</v>
      </c>
      <c r="B14034" t="s">
        <v>23874</v>
      </c>
      <c r="C14034" s="1" t="str">
        <f>HYPERLINK("http://www.genecards.org/cgi-bin/carddisp.pl?gene=A1CF","GeneCards")</f>
        <v>GeneCards</v>
      </c>
      <c r="D14034" s="1" t="str">
        <f>HYPERLINK("http://genome-euro.ucsc.edu/cgi-bin/hgTracks?position=220951_s_at","UCSC")</f>
        <v>UCSC</v>
      </c>
      <c r="E14034" s="1" t="str">
        <f>HYPERLINK("http://www.ncbi.nlm.nih.gov/gene/?term=A1CF","NCBI")</f>
        <v>NCBI</v>
      </c>
      <c r="F14034">
        <v>0.53</v>
      </c>
      <c r="G14034">
        <v>0.64</v>
      </c>
      <c r="H14034" s="1" t="str">
        <f>HYPERLINK("http://www.weizmann.ac.il/complex/compphys/software/geview/data/figures/220951_s_at.png","Figure")</f>
        <v>Figure</v>
      </c>
      <c r="I14034">
        <v>1.06</v>
      </c>
      <c r="J14034">
        <v>0.66</v>
      </c>
      <c r="K14034">
        <v>0.98799999999999999</v>
      </c>
      <c r="L14034">
        <v>0.98</v>
      </c>
      <c r="M14034">
        <v>0.92900000000000005</v>
      </c>
      <c r="N14034">
        <v>0.51</v>
      </c>
    </row>
    <row r="14035" spans="1:14" x14ac:dyDescent="0.25">
      <c r="A14035" t="s">
        <v>23875</v>
      </c>
      <c r="B14035" t="s">
        <v>23876</v>
      </c>
      <c r="C14035" s="1" t="str">
        <f>HYPERLINK("http://www.genecards.org/cgi-bin/carddisp.pl?gene=LOC642236","GeneCards")</f>
        <v>GeneCards</v>
      </c>
      <c r="D14035" s="1" t="str">
        <f>HYPERLINK("http://genome-euro.ucsc.edu/cgi-bin/hgTracks?position=215160_x_at","UCSC")</f>
        <v>UCSC</v>
      </c>
      <c r="E14035" s="1" t="str">
        <f>HYPERLINK("http://www.ncbi.nlm.nih.gov/gene/?term=LOC642236","NCBI")</f>
        <v>NCBI</v>
      </c>
      <c r="F14035">
        <v>0.53</v>
      </c>
      <c r="G14035">
        <v>0.64</v>
      </c>
      <c r="H14035" s="1" t="str">
        <f>HYPERLINK("http://www.weizmann.ac.il/complex/compphys/software/geview/data/figures/215160_x_at.png","Figure")</f>
        <v>Figure</v>
      </c>
      <c r="I14035">
        <v>0.97899999999999998</v>
      </c>
      <c r="J14035">
        <v>0.99</v>
      </c>
      <c r="K14035">
        <v>0.82299999999999995</v>
      </c>
      <c r="L14035">
        <v>0.56000000000000005</v>
      </c>
      <c r="M14035">
        <v>0.84099999999999997</v>
      </c>
      <c r="N14035">
        <v>0.67</v>
      </c>
    </row>
    <row r="14036" spans="1:14" x14ac:dyDescent="0.25">
      <c r="A14036" t="s">
        <v>23877</v>
      </c>
      <c r="B14036" t="s">
        <v>7585</v>
      </c>
      <c r="C14036" s="1" t="str">
        <f>HYPERLINK("http://www.genecards.org/cgi-bin/carddisp.pl?gene=TOX4","GeneCards")</f>
        <v>GeneCards</v>
      </c>
      <c r="D14036" s="1" t="str">
        <f>HYPERLINK("http://genome-euro.ucsc.edu/cgi-bin/hgTracks?position=201684_s_at","UCSC")</f>
        <v>UCSC</v>
      </c>
      <c r="E14036" s="1" t="str">
        <f>HYPERLINK("http://www.ncbi.nlm.nih.gov/gene/?term=TOX4","NCBI")</f>
        <v>NCBI</v>
      </c>
      <c r="F14036">
        <v>0.53</v>
      </c>
      <c r="G14036">
        <v>0.64</v>
      </c>
      <c r="H14036" s="1" t="str">
        <f>HYPERLINK("http://www.weizmann.ac.il/complex/compphys/software/geview/data/figures/201684_s_at.png","Figure")</f>
        <v>Figure</v>
      </c>
      <c r="I14036">
        <v>1.06</v>
      </c>
      <c r="J14036">
        <v>0.65</v>
      </c>
      <c r="K14036">
        <v>1.07</v>
      </c>
      <c r="L14036">
        <v>0.54</v>
      </c>
      <c r="M14036">
        <v>1</v>
      </c>
      <c r="N14036">
        <v>1</v>
      </c>
    </row>
    <row r="14037" spans="1:14" x14ac:dyDescent="0.25">
      <c r="A14037" t="s">
        <v>23878</v>
      </c>
      <c r="B14037" t="s">
        <v>23879</v>
      </c>
      <c r="C14037" s="1" t="str">
        <f>HYPERLINK("http://www.genecards.org/cgi-bin/carddisp.pl?gene=ZDHHC7","GeneCards")</f>
        <v>GeneCards</v>
      </c>
      <c r="D14037" s="1" t="str">
        <f>HYPERLINK("http://genome-euro.ucsc.edu/cgi-bin/hgTracks?position=218606_at","UCSC")</f>
        <v>UCSC</v>
      </c>
      <c r="E14037" s="1" t="str">
        <f>HYPERLINK("http://www.ncbi.nlm.nih.gov/gene/?term=ZDHHC7","NCBI")</f>
        <v>NCBI</v>
      </c>
      <c r="F14037">
        <v>0.53</v>
      </c>
      <c r="G14037">
        <v>0.64</v>
      </c>
      <c r="H14037" s="1" t="str">
        <f>HYPERLINK("http://www.weizmann.ac.il/complex/compphys/software/geview/data/figures/218606_at.png","Figure")</f>
        <v>Figure</v>
      </c>
      <c r="I14037">
        <v>1.07</v>
      </c>
      <c r="J14037">
        <v>0.92</v>
      </c>
      <c r="K14037">
        <v>0.89100000000000001</v>
      </c>
      <c r="L14037">
        <v>0.74</v>
      </c>
      <c r="M14037">
        <v>0.83299999999999996</v>
      </c>
      <c r="N14037">
        <v>0.52</v>
      </c>
    </row>
    <row r="14038" spans="1:14" x14ac:dyDescent="0.25">
      <c r="A14038" t="s">
        <v>23880</v>
      </c>
      <c r="B14038" t="s">
        <v>2852</v>
      </c>
      <c r="C14038" s="1" t="str">
        <f>HYPERLINK("http://www.genecards.org/cgi-bin/carddisp.pl?gene=EIF3B","GeneCards")</f>
        <v>GeneCards</v>
      </c>
      <c r="D14038" s="1" t="str">
        <f>HYPERLINK("http://genome-euro.ucsc.edu/cgi-bin/hgTracks?position=203462_x_at","UCSC")</f>
        <v>UCSC</v>
      </c>
      <c r="E14038" s="1" t="str">
        <f>HYPERLINK("http://www.ncbi.nlm.nih.gov/gene/?term=EIF3B","NCBI")</f>
        <v>NCBI</v>
      </c>
      <c r="F14038">
        <v>0.53</v>
      </c>
      <c r="G14038">
        <v>0.64</v>
      </c>
      <c r="H14038" s="1" t="str">
        <f>HYPERLINK("http://www.weizmann.ac.il/complex/compphys/software/geview/data/figures/203462_x_at.png","Figure")</f>
        <v>Figure</v>
      </c>
      <c r="I14038">
        <v>1.03</v>
      </c>
      <c r="J14038">
        <v>0.83</v>
      </c>
      <c r="K14038">
        <v>1.06</v>
      </c>
      <c r="L14038">
        <v>0.5</v>
      </c>
      <c r="M14038">
        <v>1.03</v>
      </c>
      <c r="N14038">
        <v>0.89</v>
      </c>
    </row>
    <row r="14039" spans="1:14" x14ac:dyDescent="0.25">
      <c r="A14039" t="s">
        <v>23881</v>
      </c>
      <c r="B14039" t="s">
        <v>23882</v>
      </c>
      <c r="C14039" s="1" t="str">
        <f>HYPERLINK("http://www.genecards.org/cgi-bin/carddisp.pl?gene=LGALS9","GeneCards")</f>
        <v>GeneCards</v>
      </c>
      <c r="D14039" s="1" t="str">
        <f>HYPERLINK("http://genome-euro.ucsc.edu/cgi-bin/hgTracks?position=203236_s_at","UCSC")</f>
        <v>UCSC</v>
      </c>
      <c r="E14039" s="1" t="str">
        <f>HYPERLINK("http://www.ncbi.nlm.nih.gov/gene/?term=LGALS9","NCBI")</f>
        <v>NCBI</v>
      </c>
      <c r="F14039">
        <v>0.53</v>
      </c>
      <c r="G14039">
        <v>0.64</v>
      </c>
      <c r="H14039" s="1" t="str">
        <f>HYPERLINK("http://www.weizmann.ac.il/complex/compphys/software/geview/data/figures/203236_s_at.png","Figure")</f>
        <v>Figure</v>
      </c>
      <c r="I14039">
        <v>1.3</v>
      </c>
      <c r="J14039">
        <v>0.5</v>
      </c>
      <c r="K14039">
        <v>1.1200000000000001</v>
      </c>
      <c r="L14039">
        <v>0.84</v>
      </c>
      <c r="M14039">
        <v>0.85899999999999999</v>
      </c>
      <c r="N14039">
        <v>0.76</v>
      </c>
    </row>
    <row r="14040" spans="1:14" x14ac:dyDescent="0.25">
      <c r="A14040" t="s">
        <v>23883</v>
      </c>
      <c r="B14040" t="s">
        <v>13016</v>
      </c>
      <c r="C14040" s="1" t="str">
        <f>HYPERLINK("http://www.genecards.org/cgi-bin/carddisp.pl?gene=ARPC2","GeneCards")</f>
        <v>GeneCards</v>
      </c>
      <c r="D14040" s="1" t="str">
        <f>HYPERLINK("http://genome-euro.ucsc.edu/cgi-bin/hgTracks?position=207988_s_at","UCSC")</f>
        <v>UCSC</v>
      </c>
      <c r="E14040" s="1" t="str">
        <f>HYPERLINK("http://www.ncbi.nlm.nih.gov/gene/?term=ARPC2","NCBI")</f>
        <v>NCBI</v>
      </c>
      <c r="F14040">
        <v>0.53</v>
      </c>
      <c r="G14040">
        <v>0.64</v>
      </c>
      <c r="H14040" s="1" t="str">
        <f>HYPERLINK("http://www.weizmann.ac.il/complex/compphys/software/geview/data/figures/207988_s_at.png","Figure")</f>
        <v>Figure</v>
      </c>
      <c r="I14040">
        <v>1.05</v>
      </c>
      <c r="J14040">
        <v>0.9</v>
      </c>
      <c r="K14040">
        <v>0.94</v>
      </c>
      <c r="L14040">
        <v>0.77</v>
      </c>
      <c r="M14040">
        <v>0.89800000000000002</v>
      </c>
      <c r="N14040">
        <v>0.52</v>
      </c>
    </row>
    <row r="14041" spans="1:14" x14ac:dyDescent="0.25">
      <c r="A14041" t="s">
        <v>23884</v>
      </c>
      <c r="B14041" t="s">
        <v>23260</v>
      </c>
      <c r="C14041" s="1" t="str">
        <f>HYPERLINK("http://www.genecards.org/cgi-bin/carddisp.pl?gene=KIR3DX1","GeneCards")</f>
        <v>GeneCards</v>
      </c>
      <c r="D14041" s="1" t="str">
        <f>HYPERLINK("http://genome-euro.ucsc.edu/cgi-bin/hgTracks?position=216428_x_at","UCSC")</f>
        <v>UCSC</v>
      </c>
      <c r="E14041" s="1" t="str">
        <f>HYPERLINK("http://www.ncbi.nlm.nih.gov/gene/?term=KIR3DX1","NCBI")</f>
        <v>NCBI</v>
      </c>
      <c r="F14041">
        <v>0.53</v>
      </c>
      <c r="G14041">
        <v>0.64</v>
      </c>
      <c r="H14041" s="1" t="str">
        <f>HYPERLINK("http://www.weizmann.ac.il/complex/compphys/software/geview/data/figures/216428_x_at.png","Figure")</f>
        <v>Figure</v>
      </c>
      <c r="I14041">
        <v>1.01</v>
      </c>
      <c r="J14041">
        <v>1</v>
      </c>
      <c r="K14041">
        <v>0.92300000000000004</v>
      </c>
      <c r="L14041">
        <v>0.61</v>
      </c>
      <c r="M14041">
        <v>0.91700000000000004</v>
      </c>
      <c r="N14041">
        <v>0.61</v>
      </c>
    </row>
    <row r="14042" spans="1:14" x14ac:dyDescent="0.25">
      <c r="A14042" t="s">
        <v>23885</v>
      </c>
      <c r="B14042" t="s">
        <v>9901</v>
      </c>
      <c r="C14042" s="1" t="str">
        <f>HYPERLINK("http://www.genecards.org/cgi-bin/carddisp.pl?gene=COX7A2","GeneCards")</f>
        <v>GeneCards</v>
      </c>
      <c r="D14042" s="1" t="str">
        <f>HYPERLINK("http://genome-euro.ucsc.edu/cgi-bin/hgTracks?position=217249_x_at","UCSC")</f>
        <v>UCSC</v>
      </c>
      <c r="E14042" s="1" t="str">
        <f>HYPERLINK("http://www.ncbi.nlm.nih.gov/gene/?term=COX7A2","NCBI")</f>
        <v>NCBI</v>
      </c>
      <c r="F14042">
        <v>0.53</v>
      </c>
      <c r="G14042">
        <v>0.64</v>
      </c>
      <c r="H14042" s="1" t="str">
        <f>HYPERLINK("http://www.weizmann.ac.il/complex/compphys/software/geview/data/figures/217249_x_at.png","Figure")</f>
        <v>Figure</v>
      </c>
      <c r="I14042">
        <v>1.1399999999999999</v>
      </c>
      <c r="J14042">
        <v>0.56000000000000005</v>
      </c>
      <c r="K14042">
        <v>1.1100000000000001</v>
      </c>
      <c r="L14042">
        <v>0.61</v>
      </c>
      <c r="M14042">
        <v>0.97499999999999998</v>
      </c>
      <c r="N14042">
        <v>0.98</v>
      </c>
    </row>
    <row r="14043" spans="1:14" x14ac:dyDescent="0.25">
      <c r="A14043" t="s">
        <v>23886</v>
      </c>
      <c r="B14043" t="s">
        <v>23887</v>
      </c>
      <c r="C14043" s="1" t="str">
        <f>HYPERLINK("http://www.genecards.org/cgi-bin/carddisp.pl?gene=UTP18","GeneCards")</f>
        <v>GeneCards</v>
      </c>
      <c r="D14043" s="1" t="str">
        <f>HYPERLINK("http://genome-euro.ucsc.edu/cgi-bin/hgTracks?position=203721_s_at","UCSC")</f>
        <v>UCSC</v>
      </c>
      <c r="E14043" s="1" t="str">
        <f>HYPERLINK("http://www.ncbi.nlm.nih.gov/gene/?term=UTP18","NCBI")</f>
        <v>NCBI</v>
      </c>
      <c r="F14043">
        <v>0.53</v>
      </c>
      <c r="G14043">
        <v>0.64</v>
      </c>
      <c r="H14043" s="1" t="str">
        <f>HYPERLINK("http://www.weizmann.ac.il/complex/compphys/software/geview/data/figures/203721_s_at.png","Figure")</f>
        <v>Figure</v>
      </c>
      <c r="I14043">
        <v>0.89800000000000002</v>
      </c>
      <c r="J14043">
        <v>0.86</v>
      </c>
      <c r="K14043">
        <v>1.1200000000000001</v>
      </c>
      <c r="L14043">
        <v>0.81</v>
      </c>
      <c r="M14043">
        <v>1.24</v>
      </c>
      <c r="N14043">
        <v>0.51</v>
      </c>
    </row>
    <row r="14044" spans="1:14" x14ac:dyDescent="0.25">
      <c r="A14044" t="s">
        <v>23888</v>
      </c>
      <c r="B14044" t="s">
        <v>10086</v>
      </c>
      <c r="C14044" s="1" t="str">
        <f>HYPERLINK("http://www.genecards.org/cgi-bin/carddisp.pl?gene=CASP2","GeneCards")</f>
        <v>GeneCards</v>
      </c>
      <c r="D14044" s="1" t="str">
        <f>HYPERLINK("http://genome-euro.ucsc.edu/cgi-bin/hgTracks?position=209812_x_at","UCSC")</f>
        <v>UCSC</v>
      </c>
      <c r="E14044" s="1" t="str">
        <f>HYPERLINK("http://www.ncbi.nlm.nih.gov/gene/?term=CASP2","NCBI")</f>
        <v>NCBI</v>
      </c>
      <c r="F14044">
        <v>0.53</v>
      </c>
      <c r="G14044">
        <v>0.64</v>
      </c>
      <c r="H14044" s="1" t="str">
        <f>HYPERLINK("http://www.weizmann.ac.il/complex/compphys/software/geview/data/figures/209812_x_at.png","Figure")</f>
        <v>Figure</v>
      </c>
      <c r="I14044">
        <v>1.1000000000000001</v>
      </c>
      <c r="J14044">
        <v>0.52</v>
      </c>
      <c r="K14044">
        <v>1.02</v>
      </c>
      <c r="L14044">
        <v>0.95</v>
      </c>
      <c r="M14044">
        <v>0.92800000000000005</v>
      </c>
      <c r="N14044">
        <v>0.64</v>
      </c>
    </row>
    <row r="14045" spans="1:14" x14ac:dyDescent="0.25">
      <c r="A14045" t="s">
        <v>23889</v>
      </c>
      <c r="B14045" t="s">
        <v>20501</v>
      </c>
      <c r="C14045" s="1" t="str">
        <f>HYPERLINK("http://www.genecards.org/cgi-bin/carddisp.pl?gene=ARHGAP1","GeneCards")</f>
        <v>GeneCards</v>
      </c>
      <c r="D14045" s="1" t="str">
        <f>HYPERLINK("http://genome-euro.ucsc.edu/cgi-bin/hgTracks?position=216689_x_at","UCSC")</f>
        <v>UCSC</v>
      </c>
      <c r="E14045" s="1" t="str">
        <f>HYPERLINK("http://www.ncbi.nlm.nih.gov/gene/?term=ARHGAP1","NCBI")</f>
        <v>NCBI</v>
      </c>
      <c r="F14045">
        <v>0.53</v>
      </c>
      <c r="G14045">
        <v>0.64</v>
      </c>
      <c r="H14045" s="1" t="str">
        <f>HYPERLINK("http://www.weizmann.ac.il/complex/compphys/software/geview/data/figures/216689_x_at.png","Figure")</f>
        <v>Figure</v>
      </c>
      <c r="I14045">
        <v>1.06</v>
      </c>
      <c r="J14045">
        <v>0.81</v>
      </c>
      <c r="K14045">
        <v>1.1000000000000001</v>
      </c>
      <c r="L14045">
        <v>0.5</v>
      </c>
      <c r="M14045">
        <v>1.04</v>
      </c>
      <c r="N14045">
        <v>0.91</v>
      </c>
    </row>
    <row r="14046" spans="1:14" x14ac:dyDescent="0.25">
      <c r="A14046" t="s">
        <v>23890</v>
      </c>
      <c r="B14046" t="s">
        <v>23891</v>
      </c>
      <c r="C14046" s="1" t="str">
        <f>HYPERLINK("http://www.genecards.org/cgi-bin/carddisp.pl?gene=C2orf49","GeneCards")</f>
        <v>GeneCards</v>
      </c>
      <c r="D14046" s="1" t="str">
        <f>HYPERLINK("http://genome-euro.ucsc.edu/cgi-bin/hgTracks?position=219662_at","UCSC")</f>
        <v>UCSC</v>
      </c>
      <c r="E14046" s="1" t="str">
        <f>HYPERLINK("http://www.ncbi.nlm.nih.gov/gene/?term=C2orf49","NCBI")</f>
        <v>NCBI</v>
      </c>
      <c r="F14046">
        <v>0.53</v>
      </c>
      <c r="G14046">
        <v>0.64</v>
      </c>
      <c r="H14046" s="1" t="str">
        <f>HYPERLINK("http://www.weizmann.ac.il/complex/compphys/software/geview/data/figures/219662_at.png","Figure")</f>
        <v>Figure</v>
      </c>
      <c r="I14046">
        <v>1</v>
      </c>
      <c r="J14046">
        <v>1</v>
      </c>
      <c r="K14046">
        <v>0.97699999999999998</v>
      </c>
      <c r="L14046">
        <v>0.59</v>
      </c>
      <c r="M14046">
        <v>0.97699999999999998</v>
      </c>
      <c r="N14046">
        <v>0.63</v>
      </c>
    </row>
    <row r="14047" spans="1:14" x14ac:dyDescent="0.25">
      <c r="A14047" t="s">
        <v>23892</v>
      </c>
      <c r="B14047" t="s">
        <v>23791</v>
      </c>
      <c r="C14047" s="1" t="str">
        <f>HYPERLINK("http://www.genecards.org/cgi-bin/carddisp.pl?gene=HBA1 /// HBA2","GeneCards")</f>
        <v>GeneCards</v>
      </c>
      <c r="D14047" s="1" t="str">
        <f>HYPERLINK("http://genome-euro.ucsc.edu/cgi-bin/hgTracks?position=204018_x_at","UCSC")</f>
        <v>UCSC</v>
      </c>
      <c r="E14047" s="1" t="str">
        <f>HYPERLINK("http://www.ncbi.nlm.nih.gov/gene/?term=HBA1 /// HBA2","NCBI")</f>
        <v>NCBI</v>
      </c>
      <c r="F14047">
        <v>0.53</v>
      </c>
      <c r="G14047">
        <v>0.64</v>
      </c>
      <c r="H14047" s="1" t="str">
        <f>HYPERLINK("http://www.weizmann.ac.il/complex/compphys/software/geview/data/figures/204018_x_at.png","Figure")</f>
        <v>Figure</v>
      </c>
      <c r="I14047">
        <v>2.57</v>
      </c>
      <c r="J14047">
        <v>0.5</v>
      </c>
      <c r="K14047">
        <v>1.41</v>
      </c>
      <c r="L14047">
        <v>0.88</v>
      </c>
      <c r="M14047">
        <v>0.54900000000000004</v>
      </c>
      <c r="N14047">
        <v>0.72</v>
      </c>
    </row>
    <row r="14048" spans="1:14" x14ac:dyDescent="0.25">
      <c r="A14048" t="s">
        <v>23893</v>
      </c>
      <c r="B14048" t="s">
        <v>2742</v>
      </c>
      <c r="C14048" s="1" t="str">
        <f>HYPERLINK("http://www.genecards.org/cgi-bin/carddisp.pl?gene=TMEM41B","GeneCards")</f>
        <v>GeneCards</v>
      </c>
      <c r="D14048" s="1" t="str">
        <f>HYPERLINK("http://genome-euro.ucsc.edu/cgi-bin/hgTracks?position=212623_at","UCSC")</f>
        <v>UCSC</v>
      </c>
      <c r="E14048" s="1" t="str">
        <f>HYPERLINK("http://www.ncbi.nlm.nih.gov/gene/?term=TMEM41B","NCBI")</f>
        <v>NCBI</v>
      </c>
      <c r="F14048">
        <v>0.53</v>
      </c>
      <c r="G14048">
        <v>0.64</v>
      </c>
      <c r="H14048" s="1" t="str">
        <f>HYPERLINK("http://www.weizmann.ac.il/complex/compphys/software/geview/data/figures/212623_at.png","Figure")</f>
        <v>Figure</v>
      </c>
      <c r="I14048">
        <v>0.83199999999999996</v>
      </c>
      <c r="J14048">
        <v>0.51</v>
      </c>
      <c r="K14048">
        <v>0.95199999999999996</v>
      </c>
      <c r="L14048">
        <v>0.94</v>
      </c>
      <c r="M14048">
        <v>1.1399999999999999</v>
      </c>
      <c r="N14048">
        <v>0.66</v>
      </c>
    </row>
    <row r="14049" spans="1:14" x14ac:dyDescent="0.25">
      <c r="A14049" t="s">
        <v>23894</v>
      </c>
      <c r="B14049" t="s">
        <v>8069</v>
      </c>
      <c r="C14049" s="1" t="str">
        <f>HYPERLINK("http://www.genecards.org/cgi-bin/carddisp.pl?gene=H3F3B","GeneCards")</f>
        <v>GeneCards</v>
      </c>
      <c r="D14049" s="1" t="str">
        <f>HYPERLINK("http://genome-euro.ucsc.edu/cgi-bin/hgTracks?position=211999_at","UCSC")</f>
        <v>UCSC</v>
      </c>
      <c r="E14049" s="1" t="str">
        <f>HYPERLINK("http://www.ncbi.nlm.nih.gov/gene/?term=H3F3B","NCBI")</f>
        <v>NCBI</v>
      </c>
      <c r="F14049">
        <v>0.53</v>
      </c>
      <c r="G14049">
        <v>0.64</v>
      </c>
      <c r="H14049" s="1" t="str">
        <f>HYPERLINK("http://www.weizmann.ac.il/complex/compphys/software/geview/data/figures/211999_at.png","Figure")</f>
        <v>Figure</v>
      </c>
      <c r="I14049">
        <v>0.84099999999999997</v>
      </c>
      <c r="J14049">
        <v>0.66</v>
      </c>
      <c r="K14049">
        <v>0.82799999999999996</v>
      </c>
      <c r="L14049">
        <v>0.53</v>
      </c>
      <c r="M14049">
        <v>0.98499999999999999</v>
      </c>
      <c r="N14049">
        <v>1</v>
      </c>
    </row>
    <row r="14050" spans="1:14" x14ac:dyDescent="0.25">
      <c r="A14050" t="s">
        <v>23895</v>
      </c>
      <c r="B14050" t="s">
        <v>20501</v>
      </c>
      <c r="C14050" s="1" t="str">
        <f>HYPERLINK("http://www.genecards.org/cgi-bin/carddisp.pl?gene=ARHGAP1","GeneCards")</f>
        <v>GeneCards</v>
      </c>
      <c r="D14050" s="1" t="str">
        <f>HYPERLINK("http://genome-euro.ucsc.edu/cgi-bin/hgTracks?position=202117_at","UCSC")</f>
        <v>UCSC</v>
      </c>
      <c r="E14050" s="1" t="str">
        <f>HYPERLINK("http://www.ncbi.nlm.nih.gov/gene/?term=ARHGAP1","NCBI")</f>
        <v>NCBI</v>
      </c>
      <c r="F14050">
        <v>0.53</v>
      </c>
      <c r="G14050">
        <v>0.64</v>
      </c>
      <c r="H14050" s="1" t="str">
        <f>HYPERLINK("http://www.weizmann.ac.il/complex/compphys/software/geview/data/figures/202117_at.png","Figure")</f>
        <v>Figure</v>
      </c>
      <c r="I14050">
        <v>0.84799999999999998</v>
      </c>
      <c r="J14050">
        <v>0.52</v>
      </c>
      <c r="K14050">
        <v>0.89700000000000002</v>
      </c>
      <c r="L14050">
        <v>0.68</v>
      </c>
      <c r="M14050">
        <v>1.06</v>
      </c>
      <c r="N14050">
        <v>0.91</v>
      </c>
    </row>
    <row r="14051" spans="1:14" x14ac:dyDescent="0.25">
      <c r="A14051" t="s">
        <v>23896</v>
      </c>
      <c r="B14051" t="s">
        <v>23897</v>
      </c>
      <c r="C14051" s="1" t="str">
        <f>HYPERLINK("http://www.genecards.org/cgi-bin/carddisp.pl?gene=KIR2DS2","GeneCards")</f>
        <v>GeneCards</v>
      </c>
      <c r="D14051" s="1" t="str">
        <f>HYPERLINK("http://genome-euro.ucsc.edu/cgi-bin/hgTracks?position=211532_x_at","UCSC")</f>
        <v>UCSC</v>
      </c>
      <c r="E14051" s="1" t="str">
        <f>HYPERLINK("http://www.ncbi.nlm.nih.gov/gene/?term=KIR2DS2","NCBI")</f>
        <v>NCBI</v>
      </c>
      <c r="F14051">
        <v>0.53</v>
      </c>
      <c r="G14051">
        <v>0.64</v>
      </c>
      <c r="H14051" s="1" t="str">
        <f>HYPERLINK("http://www.weizmann.ac.il/complex/compphys/software/geview/data/figures/211532_x_at.png","Figure")</f>
        <v>Figure</v>
      </c>
      <c r="I14051">
        <v>0.996</v>
      </c>
      <c r="J14051">
        <v>1</v>
      </c>
      <c r="K14051">
        <v>0.91100000000000003</v>
      </c>
      <c r="L14051">
        <v>0.57999999999999996</v>
      </c>
      <c r="M14051">
        <v>0.91500000000000004</v>
      </c>
      <c r="N14051">
        <v>0.65</v>
      </c>
    </row>
    <row r="14052" spans="1:14" x14ac:dyDescent="0.25">
      <c r="A14052" t="s">
        <v>23898</v>
      </c>
      <c r="B14052" t="s">
        <v>23899</v>
      </c>
      <c r="C14052" s="1" t="str">
        <f>HYPERLINK("http://www.genecards.org/cgi-bin/carddisp.pl?gene=FSCN3","GeneCards")</f>
        <v>GeneCards</v>
      </c>
      <c r="D14052" s="1" t="str">
        <f>HYPERLINK("http://genome-euro.ucsc.edu/cgi-bin/hgTracks?position=220379_at","UCSC")</f>
        <v>UCSC</v>
      </c>
      <c r="E14052" s="1" t="str">
        <f>HYPERLINK("http://www.ncbi.nlm.nih.gov/gene/?term=FSCN3","NCBI")</f>
        <v>NCBI</v>
      </c>
      <c r="F14052">
        <v>0.53</v>
      </c>
      <c r="G14052">
        <v>0.64</v>
      </c>
      <c r="H14052" s="1" t="str">
        <f>HYPERLINK("http://www.weizmann.ac.il/complex/compphys/software/geview/data/figures/220379_at.png","Figure")</f>
        <v>Figure</v>
      </c>
      <c r="I14052">
        <v>1.1299999999999999</v>
      </c>
      <c r="J14052">
        <v>0.5</v>
      </c>
      <c r="K14052">
        <v>1.06</v>
      </c>
      <c r="L14052">
        <v>0.79</v>
      </c>
      <c r="M14052">
        <v>0.94</v>
      </c>
      <c r="N14052">
        <v>0.81</v>
      </c>
    </row>
    <row r="14053" spans="1:14" x14ac:dyDescent="0.25">
      <c r="A14053" t="s">
        <v>23900</v>
      </c>
      <c r="B14053" t="s">
        <v>23901</v>
      </c>
      <c r="C14053" s="1" t="str">
        <f>HYPERLINK("http://www.genecards.org/cgi-bin/carddisp.pl?gene=LOC653390 /// LOC730092 /// RRN3","GeneCards")</f>
        <v>GeneCards</v>
      </c>
      <c r="D14053" s="1" t="str">
        <f>HYPERLINK("http://genome-euro.ucsc.edu/cgi-bin/hgTracks?position=216902_s_at","UCSC")</f>
        <v>UCSC</v>
      </c>
      <c r="E14053" s="1" t="str">
        <f>HYPERLINK("http://www.ncbi.nlm.nih.gov/gene/?term=LOC653390 /// LOC730092 /// RRN3","NCBI")</f>
        <v>NCBI</v>
      </c>
      <c r="F14053">
        <v>0.53</v>
      </c>
      <c r="G14053">
        <v>0.64</v>
      </c>
      <c r="H14053" s="1" t="str">
        <f>HYPERLINK("http://www.weizmann.ac.il/complex/compphys/software/geview/data/figures/216902_s_at.png","Figure")</f>
        <v>Figure</v>
      </c>
      <c r="I14053">
        <v>0.95099999999999996</v>
      </c>
      <c r="J14053">
        <v>0.65</v>
      </c>
      <c r="K14053">
        <v>0.94899999999999995</v>
      </c>
      <c r="L14053">
        <v>0.54</v>
      </c>
      <c r="M14053">
        <v>0.998</v>
      </c>
      <c r="N14053">
        <v>1</v>
      </c>
    </row>
    <row r="14054" spans="1:14" x14ac:dyDescent="0.25">
      <c r="A14054" t="s">
        <v>23902</v>
      </c>
      <c r="B14054" t="s">
        <v>4519</v>
      </c>
      <c r="C14054" s="1" t="str">
        <f>HYPERLINK("http://www.genecards.org/cgi-bin/carddisp.pl?gene=CNOT1","GeneCards")</f>
        <v>GeneCards</v>
      </c>
      <c r="D14054" s="1" t="str">
        <f>HYPERLINK("http://genome-euro.ucsc.edu/cgi-bin/hgTracks?position=200861_at","UCSC")</f>
        <v>UCSC</v>
      </c>
      <c r="E14054" s="1" t="str">
        <f>HYPERLINK("http://www.ncbi.nlm.nih.gov/gene/?term=CNOT1","NCBI")</f>
        <v>NCBI</v>
      </c>
      <c r="F14054">
        <v>0.53</v>
      </c>
      <c r="G14054">
        <v>0.64</v>
      </c>
      <c r="H14054" s="1" t="str">
        <f>HYPERLINK("http://www.weizmann.ac.il/complex/compphys/software/geview/data/figures/200861_at.png","Figure")</f>
        <v>Figure</v>
      </c>
      <c r="I14054">
        <v>0.998</v>
      </c>
      <c r="J14054">
        <v>1</v>
      </c>
      <c r="K14054">
        <v>1.1100000000000001</v>
      </c>
      <c r="L14054">
        <v>0.6</v>
      </c>
      <c r="M14054">
        <v>1.1100000000000001</v>
      </c>
      <c r="N14054">
        <v>0.63</v>
      </c>
    </row>
    <row r="14055" spans="1:14" x14ac:dyDescent="0.25">
      <c r="A14055" t="s">
        <v>23903</v>
      </c>
      <c r="B14055" t="s">
        <v>23904</v>
      </c>
      <c r="C14055" s="1" t="str">
        <f>HYPERLINK("http://www.genecards.org/cgi-bin/carddisp.pl?gene=CCHCR1","GeneCards")</f>
        <v>GeneCards</v>
      </c>
      <c r="D14055" s="1" t="str">
        <f>HYPERLINK("http://genome-euro.ucsc.edu/cgi-bin/hgTracks?position=37424_at","UCSC")</f>
        <v>UCSC</v>
      </c>
      <c r="E14055" s="1" t="str">
        <f>HYPERLINK("http://www.ncbi.nlm.nih.gov/gene/?term=CCHCR1","NCBI")</f>
        <v>NCBI</v>
      </c>
      <c r="F14055">
        <v>0.53</v>
      </c>
      <c r="G14055">
        <v>0.64</v>
      </c>
      <c r="H14055" s="1" t="str">
        <f>HYPERLINK("http://www.weizmann.ac.il/complex/compphys/software/geview/data/figures/37424_at.png","Figure")</f>
        <v>Figure</v>
      </c>
      <c r="I14055">
        <v>1.1000000000000001</v>
      </c>
      <c r="J14055">
        <v>0.51</v>
      </c>
      <c r="K14055">
        <v>1.03</v>
      </c>
      <c r="L14055">
        <v>0.93</v>
      </c>
      <c r="M14055">
        <v>0.93300000000000005</v>
      </c>
      <c r="N14055">
        <v>0.67</v>
      </c>
    </row>
    <row r="14056" spans="1:14" x14ac:dyDescent="0.25">
      <c r="A14056" t="s">
        <v>23905</v>
      </c>
      <c r="B14056" t="s">
        <v>23906</v>
      </c>
      <c r="C14056" s="1" t="str">
        <f>HYPERLINK("http://www.genecards.org/cgi-bin/carddisp.pl?gene=ULBP2","GeneCards")</f>
        <v>GeneCards</v>
      </c>
      <c r="D14056" s="1" t="str">
        <f>HYPERLINK("http://genome-euro.ucsc.edu/cgi-bin/hgTracks?position=221291_at","UCSC")</f>
        <v>UCSC</v>
      </c>
      <c r="E14056" s="1" t="str">
        <f>HYPERLINK("http://www.ncbi.nlm.nih.gov/gene/?term=ULBP2","NCBI")</f>
        <v>NCBI</v>
      </c>
      <c r="F14056">
        <v>0.53</v>
      </c>
      <c r="G14056">
        <v>0.64</v>
      </c>
      <c r="H14056" s="1" t="str">
        <f>HYPERLINK("http://www.weizmann.ac.il/complex/compphys/software/geview/data/figures/221291_at.png","Figure")</f>
        <v>Figure</v>
      </c>
      <c r="I14056">
        <v>1.06</v>
      </c>
      <c r="J14056">
        <v>0.57999999999999996</v>
      </c>
      <c r="K14056">
        <v>1</v>
      </c>
      <c r="L14056">
        <v>1</v>
      </c>
      <c r="M14056">
        <v>0.94799999999999995</v>
      </c>
      <c r="N14056">
        <v>0.56000000000000005</v>
      </c>
    </row>
    <row r="14057" spans="1:14" x14ac:dyDescent="0.25">
      <c r="A14057" t="s">
        <v>23907</v>
      </c>
      <c r="B14057" t="s">
        <v>23908</v>
      </c>
      <c r="C14057" s="1" t="str">
        <f>HYPERLINK("http://www.genecards.org/cgi-bin/carddisp.pl?gene=TAF10","GeneCards")</f>
        <v>GeneCards</v>
      </c>
      <c r="D14057" s="1" t="str">
        <f>HYPERLINK("http://genome-euro.ucsc.edu/cgi-bin/hgTracks?position=200055_at","UCSC")</f>
        <v>UCSC</v>
      </c>
      <c r="E14057" s="1" t="str">
        <f>HYPERLINK("http://www.ncbi.nlm.nih.gov/gene/?term=TAF10","NCBI")</f>
        <v>NCBI</v>
      </c>
      <c r="F14057">
        <v>0.53</v>
      </c>
      <c r="G14057">
        <v>0.64</v>
      </c>
      <c r="H14057" s="1" t="str">
        <f>HYPERLINK("http://www.weizmann.ac.il/complex/compphys/software/geview/data/figures/200055_at.png","Figure")</f>
        <v>Figure</v>
      </c>
      <c r="I14057">
        <v>1.28</v>
      </c>
      <c r="J14057">
        <v>0.52</v>
      </c>
      <c r="K14057">
        <v>1.17</v>
      </c>
      <c r="L14057">
        <v>0.69</v>
      </c>
      <c r="M14057">
        <v>0.91700000000000004</v>
      </c>
      <c r="N14057">
        <v>0.91</v>
      </c>
    </row>
    <row r="14058" spans="1:14" x14ac:dyDescent="0.25">
      <c r="A14058" t="s">
        <v>23909</v>
      </c>
      <c r="B14058" t="s">
        <v>23910</v>
      </c>
      <c r="C14058" s="1" t="str">
        <f>HYPERLINK("http://www.genecards.org/cgi-bin/carddisp.pl?gene=SIGLEC1","GeneCards")</f>
        <v>GeneCards</v>
      </c>
      <c r="D14058" s="1" t="str">
        <f>HYPERLINK("http://genome-euro.ucsc.edu/cgi-bin/hgTracks?position=44673_at","UCSC")</f>
        <v>UCSC</v>
      </c>
      <c r="E14058" s="1" t="str">
        <f>HYPERLINK("http://www.ncbi.nlm.nih.gov/gene/?term=SIGLEC1","NCBI")</f>
        <v>NCBI</v>
      </c>
      <c r="F14058">
        <v>0.53</v>
      </c>
      <c r="G14058">
        <v>0.64</v>
      </c>
      <c r="H14058" s="1" t="str">
        <f>HYPERLINK("http://www.weizmann.ac.il/complex/compphys/software/geview/data/figures/44673_at.png","Figure")</f>
        <v>Figure</v>
      </c>
      <c r="I14058">
        <v>1.06</v>
      </c>
      <c r="J14058">
        <v>0.61</v>
      </c>
      <c r="K14058">
        <v>1.05</v>
      </c>
      <c r="L14058">
        <v>0.56999999999999995</v>
      </c>
      <c r="M14058">
        <v>0.996</v>
      </c>
      <c r="N14058">
        <v>1</v>
      </c>
    </row>
    <row r="14059" spans="1:14" x14ac:dyDescent="0.25">
      <c r="A14059" t="s">
        <v>23911</v>
      </c>
      <c r="B14059" t="s">
        <v>23912</v>
      </c>
      <c r="C14059" s="1" t="str">
        <f>HYPERLINK("http://www.genecards.org/cgi-bin/carddisp.pl?gene=BCAS2","GeneCards")</f>
        <v>GeneCards</v>
      </c>
      <c r="D14059" s="1" t="str">
        <f>HYPERLINK("http://genome-euro.ucsc.edu/cgi-bin/hgTracks?position=203053_at","UCSC")</f>
        <v>UCSC</v>
      </c>
      <c r="E14059" s="1" t="str">
        <f>HYPERLINK("http://www.ncbi.nlm.nih.gov/gene/?term=BCAS2","NCBI")</f>
        <v>NCBI</v>
      </c>
      <c r="F14059">
        <v>0.53</v>
      </c>
      <c r="G14059">
        <v>0.64</v>
      </c>
      <c r="H14059" s="1" t="str">
        <f>HYPERLINK("http://www.weizmann.ac.il/complex/compphys/software/geview/data/figures/203053_at.png","Figure")</f>
        <v>Figure</v>
      </c>
      <c r="I14059">
        <v>0.80700000000000005</v>
      </c>
      <c r="J14059">
        <v>0.57999999999999996</v>
      </c>
      <c r="K14059">
        <v>0.83099999999999996</v>
      </c>
      <c r="L14059">
        <v>0.59</v>
      </c>
      <c r="M14059">
        <v>1.03</v>
      </c>
      <c r="N14059">
        <v>0.99</v>
      </c>
    </row>
    <row r="14060" spans="1:14" x14ac:dyDescent="0.25">
      <c r="A14060" t="s">
        <v>23913</v>
      </c>
      <c r="B14060" t="s">
        <v>23914</v>
      </c>
      <c r="C14060" s="1" t="str">
        <f>HYPERLINK("http://www.genecards.org/cgi-bin/carddisp.pl?gene=GAMT","GeneCards")</f>
        <v>GeneCards</v>
      </c>
      <c r="D14060" s="1" t="str">
        <f>HYPERLINK("http://genome-euro.ucsc.edu/cgi-bin/hgTracks?position=205354_at","UCSC")</f>
        <v>UCSC</v>
      </c>
      <c r="E14060" s="1" t="str">
        <f>HYPERLINK("http://www.ncbi.nlm.nih.gov/gene/?term=GAMT","NCBI")</f>
        <v>NCBI</v>
      </c>
      <c r="F14060">
        <v>0.53</v>
      </c>
      <c r="G14060">
        <v>0.64</v>
      </c>
      <c r="H14060" s="1" t="str">
        <f>HYPERLINK("http://www.weizmann.ac.il/complex/compphys/software/geview/data/figures/205354_at.png","Figure")</f>
        <v>Figure</v>
      </c>
      <c r="I14060">
        <v>1.1100000000000001</v>
      </c>
      <c r="J14060">
        <v>0.7</v>
      </c>
      <c r="K14060">
        <v>1.1299999999999999</v>
      </c>
      <c r="L14060">
        <v>0.52</v>
      </c>
      <c r="M14060">
        <v>1.02</v>
      </c>
      <c r="N14060">
        <v>0.98</v>
      </c>
    </row>
    <row r="14061" spans="1:14" x14ac:dyDescent="0.25">
      <c r="A14061" t="s">
        <v>23915</v>
      </c>
      <c r="B14061" t="s">
        <v>22389</v>
      </c>
      <c r="C14061" s="1" t="str">
        <f>HYPERLINK("http://www.genecards.org/cgi-bin/carddisp.pl?gene=COPS8","GeneCards")</f>
        <v>GeneCards</v>
      </c>
      <c r="D14061" s="1" t="str">
        <f>HYPERLINK("http://genome-euro.ucsc.edu/cgi-bin/hgTracks?position=202143_s_at","UCSC")</f>
        <v>UCSC</v>
      </c>
      <c r="E14061" s="1" t="str">
        <f>HYPERLINK("http://www.ncbi.nlm.nih.gov/gene/?term=COPS8","NCBI")</f>
        <v>NCBI</v>
      </c>
      <c r="F14061">
        <v>0.53</v>
      </c>
      <c r="G14061">
        <v>0.64</v>
      </c>
      <c r="H14061" s="1" t="str">
        <f>HYPERLINK("http://www.weizmann.ac.il/complex/compphys/software/geview/data/figures/202143_s_at.png","Figure")</f>
        <v>Figure</v>
      </c>
      <c r="I14061">
        <v>1.01</v>
      </c>
      <c r="J14061">
        <v>1</v>
      </c>
      <c r="K14061">
        <v>0.9</v>
      </c>
      <c r="L14061">
        <v>0.61</v>
      </c>
      <c r="M14061">
        <v>0.89300000000000002</v>
      </c>
      <c r="N14061">
        <v>0.61</v>
      </c>
    </row>
    <row r="14062" spans="1:14" x14ac:dyDescent="0.25">
      <c r="A14062" t="s">
        <v>23916</v>
      </c>
      <c r="B14062" t="s">
        <v>23917</v>
      </c>
      <c r="C14062" s="1" t="str">
        <f>HYPERLINK("http://www.genecards.org/cgi-bin/carddisp.pl?gene=PRPH","GeneCards")</f>
        <v>GeneCards</v>
      </c>
      <c r="D14062" s="1" t="str">
        <f>HYPERLINK("http://genome-euro.ucsc.edu/cgi-bin/hgTracks?position=213847_at","UCSC")</f>
        <v>UCSC</v>
      </c>
      <c r="E14062" s="1" t="str">
        <f>HYPERLINK("http://www.ncbi.nlm.nih.gov/gene/?term=PRPH","NCBI")</f>
        <v>NCBI</v>
      </c>
      <c r="F14062">
        <v>0.53</v>
      </c>
      <c r="G14062">
        <v>0.64</v>
      </c>
      <c r="H14062" s="1" t="str">
        <f>HYPERLINK("http://www.weizmann.ac.il/complex/compphys/software/geview/data/figures/213847_at.png","Figure")</f>
        <v>Figure</v>
      </c>
      <c r="I14062">
        <v>1.1499999999999999</v>
      </c>
      <c r="J14062">
        <v>0.53</v>
      </c>
      <c r="K14062">
        <v>1.03</v>
      </c>
      <c r="L14062">
        <v>0.96</v>
      </c>
      <c r="M14062">
        <v>0.89200000000000002</v>
      </c>
      <c r="N14062">
        <v>0.63</v>
      </c>
    </row>
    <row r="14063" spans="1:14" x14ac:dyDescent="0.25">
      <c r="A14063" t="s">
        <v>23918</v>
      </c>
      <c r="B14063" t="s">
        <v>23919</v>
      </c>
      <c r="C14063" s="1" t="str">
        <f>HYPERLINK("http://www.genecards.org/cgi-bin/carddisp.pl?gene=SGCE","GeneCards")</f>
        <v>GeneCards</v>
      </c>
      <c r="D14063" s="1" t="str">
        <f>HYPERLINK("http://genome-euro.ucsc.edu/cgi-bin/hgTracks?position=204688_at","UCSC")</f>
        <v>UCSC</v>
      </c>
      <c r="E14063" s="1" t="str">
        <f>HYPERLINK("http://www.ncbi.nlm.nih.gov/gene/?term=SGCE","NCBI")</f>
        <v>NCBI</v>
      </c>
      <c r="F14063">
        <v>0.53</v>
      </c>
      <c r="G14063">
        <v>0.64</v>
      </c>
      <c r="H14063" s="1" t="str">
        <f>HYPERLINK("http://www.weizmann.ac.il/complex/compphys/software/geview/data/figures/204688_at.png","Figure")</f>
        <v>Figure</v>
      </c>
      <c r="I14063">
        <v>0.70599999999999996</v>
      </c>
      <c r="J14063">
        <v>0.5</v>
      </c>
      <c r="K14063">
        <v>0.83</v>
      </c>
      <c r="L14063">
        <v>0.77</v>
      </c>
      <c r="M14063">
        <v>1.18</v>
      </c>
      <c r="N14063">
        <v>0.84</v>
      </c>
    </row>
    <row r="14064" spans="1:14" x14ac:dyDescent="0.25">
      <c r="A14064" t="s">
        <v>23920</v>
      </c>
      <c r="B14064" t="s">
        <v>18722</v>
      </c>
      <c r="C14064" s="1" t="str">
        <f>HYPERLINK("http://www.genecards.org/cgi-bin/carddisp.pl?gene=GNAI3","GeneCards")</f>
        <v>GeneCards</v>
      </c>
      <c r="D14064" s="1" t="str">
        <f>HYPERLINK("http://genome-euro.ucsc.edu/cgi-bin/hgTracks?position=201179_s_at","UCSC")</f>
        <v>UCSC</v>
      </c>
      <c r="E14064" s="1" t="str">
        <f>HYPERLINK("http://www.ncbi.nlm.nih.gov/gene/?term=GNAI3","NCBI")</f>
        <v>NCBI</v>
      </c>
      <c r="F14064">
        <v>0.53</v>
      </c>
      <c r="G14064">
        <v>0.64</v>
      </c>
      <c r="H14064" s="1" t="str">
        <f>HYPERLINK("http://www.weizmann.ac.il/complex/compphys/software/geview/data/figures/201179_s_at.png","Figure")</f>
        <v>Figure</v>
      </c>
      <c r="I14064">
        <v>0.77300000000000002</v>
      </c>
      <c r="J14064">
        <v>0.57999999999999996</v>
      </c>
      <c r="K14064">
        <v>0.80500000000000005</v>
      </c>
      <c r="L14064">
        <v>0.6</v>
      </c>
      <c r="M14064">
        <v>1.04</v>
      </c>
      <c r="N14064">
        <v>0.98</v>
      </c>
    </row>
    <row r="14065" spans="1:14" x14ac:dyDescent="0.25">
      <c r="A14065" t="s">
        <v>23921</v>
      </c>
      <c r="B14065" t="s">
        <v>23922</v>
      </c>
      <c r="C14065" s="1" t="str">
        <f>HYPERLINK("http://www.genecards.org/cgi-bin/carddisp.pl?gene=DHODH","GeneCards")</f>
        <v>GeneCards</v>
      </c>
      <c r="D14065" s="1" t="str">
        <f>HYPERLINK("http://genome-euro.ucsc.edu/cgi-bin/hgTracks?position=213631_x_at","UCSC")</f>
        <v>UCSC</v>
      </c>
      <c r="E14065" s="1" t="str">
        <f>HYPERLINK("http://www.ncbi.nlm.nih.gov/gene/?term=DHODH","NCBI")</f>
        <v>NCBI</v>
      </c>
      <c r="F14065">
        <v>0.53</v>
      </c>
      <c r="G14065">
        <v>0.64</v>
      </c>
      <c r="H14065" s="1" t="str">
        <f>HYPERLINK("http://www.weizmann.ac.il/complex/compphys/software/geview/data/figures/213631_x_at.png","Figure")</f>
        <v>Figure</v>
      </c>
      <c r="I14065">
        <v>1.02</v>
      </c>
      <c r="J14065">
        <v>0.97</v>
      </c>
      <c r="K14065">
        <v>0.94799999999999995</v>
      </c>
      <c r="L14065">
        <v>0.67</v>
      </c>
      <c r="M14065">
        <v>0.93300000000000005</v>
      </c>
      <c r="N14065">
        <v>0.56000000000000005</v>
      </c>
    </row>
    <row r="14066" spans="1:14" x14ac:dyDescent="0.25">
      <c r="A14066" t="s">
        <v>23923</v>
      </c>
      <c r="B14066" t="s">
        <v>23924</v>
      </c>
      <c r="C14066" s="1" t="str">
        <f>HYPERLINK("http://www.genecards.org/cgi-bin/carddisp.pl?gene=KIF22","GeneCards")</f>
        <v>GeneCards</v>
      </c>
      <c r="D14066" s="1" t="str">
        <f>HYPERLINK("http://genome-euro.ucsc.edu/cgi-bin/hgTracks?position=202183_s_at","UCSC")</f>
        <v>UCSC</v>
      </c>
      <c r="E14066" s="1" t="str">
        <f>HYPERLINK("http://www.ncbi.nlm.nih.gov/gene/?term=KIF22","NCBI")</f>
        <v>NCBI</v>
      </c>
      <c r="F14066">
        <v>0.53</v>
      </c>
      <c r="G14066">
        <v>0.64</v>
      </c>
      <c r="H14066" s="1" t="str">
        <f>HYPERLINK("http://www.weizmann.ac.il/complex/compphys/software/geview/data/figures/202183_s_at.png","Figure")</f>
        <v>Figure</v>
      </c>
      <c r="I14066">
        <v>1.1399999999999999</v>
      </c>
      <c r="J14066">
        <v>0.5</v>
      </c>
      <c r="K14066">
        <v>1.05</v>
      </c>
      <c r="L14066">
        <v>0.89</v>
      </c>
      <c r="M14066">
        <v>0.92100000000000004</v>
      </c>
      <c r="N14066">
        <v>0.71</v>
      </c>
    </row>
    <row r="14067" spans="1:14" x14ac:dyDescent="0.25">
      <c r="A14067" t="s">
        <v>23925</v>
      </c>
      <c r="B14067" t="s">
        <v>23926</v>
      </c>
      <c r="C14067" s="1" t="str">
        <f>HYPERLINK("http://www.genecards.org/cgi-bin/carddisp.pl?gene=NYX","GeneCards")</f>
        <v>GeneCards</v>
      </c>
      <c r="D14067" s="1" t="str">
        <f>HYPERLINK("http://genome-euro.ucsc.edu/cgi-bin/hgTracks?position=221684_s_at","UCSC")</f>
        <v>UCSC</v>
      </c>
      <c r="E14067" s="1" t="str">
        <f>HYPERLINK("http://www.ncbi.nlm.nih.gov/gene/?term=NYX","NCBI")</f>
        <v>NCBI</v>
      </c>
      <c r="F14067">
        <v>0.53</v>
      </c>
      <c r="G14067">
        <v>0.64</v>
      </c>
      <c r="H14067" s="1" t="str">
        <f>HYPERLINK("http://www.weizmann.ac.il/complex/compphys/software/geview/data/figures/221684_s_at.png","Figure")</f>
        <v>Figure</v>
      </c>
      <c r="I14067">
        <v>1.1200000000000001</v>
      </c>
      <c r="J14067">
        <v>0.52</v>
      </c>
      <c r="K14067">
        <v>1.07</v>
      </c>
      <c r="L14067">
        <v>0.71</v>
      </c>
      <c r="M14067">
        <v>0.95699999999999996</v>
      </c>
      <c r="N14067">
        <v>0.89</v>
      </c>
    </row>
    <row r="14068" spans="1:14" x14ac:dyDescent="0.25">
      <c r="A14068" t="s">
        <v>23927</v>
      </c>
      <c r="B14068" t="s">
        <v>22272</v>
      </c>
      <c r="C14068" s="1" t="str">
        <f>HYPERLINK("http://www.genecards.org/cgi-bin/carddisp.pl?gene=PHF2","GeneCards")</f>
        <v>GeneCards</v>
      </c>
      <c r="D14068" s="1" t="str">
        <f>HYPERLINK("http://genome-euro.ucsc.edu/cgi-bin/hgTracks?position=207138_at","UCSC")</f>
        <v>UCSC</v>
      </c>
      <c r="E14068" s="1" t="str">
        <f>HYPERLINK("http://www.ncbi.nlm.nih.gov/gene/?term=PHF2","NCBI")</f>
        <v>NCBI</v>
      </c>
      <c r="F14068">
        <v>0.53</v>
      </c>
      <c r="G14068">
        <v>0.64</v>
      </c>
      <c r="H14068" s="1" t="str">
        <f>HYPERLINK("http://www.weizmann.ac.il/complex/compphys/software/geview/data/figures/207138_at.png","Figure")</f>
        <v>Figure</v>
      </c>
      <c r="I14068">
        <v>1.07</v>
      </c>
      <c r="J14068">
        <v>0.5</v>
      </c>
      <c r="K14068">
        <v>1.04</v>
      </c>
      <c r="L14068">
        <v>0.78</v>
      </c>
      <c r="M14068">
        <v>0.96599999999999997</v>
      </c>
      <c r="N14068">
        <v>0.83</v>
      </c>
    </row>
    <row r="14069" spans="1:14" x14ac:dyDescent="0.25">
      <c r="A14069" t="s">
        <v>23928</v>
      </c>
      <c r="B14069" t="s">
        <v>23929</v>
      </c>
      <c r="C14069" s="1" t="str">
        <f>HYPERLINK("http://www.genecards.org/cgi-bin/carddisp.pl?gene=COX7A2L","GeneCards")</f>
        <v>GeneCards</v>
      </c>
      <c r="D14069" s="1" t="str">
        <f>HYPERLINK("http://genome-euro.ucsc.edu/cgi-bin/hgTracks?position=201256_at","UCSC")</f>
        <v>UCSC</v>
      </c>
      <c r="E14069" s="1" t="str">
        <f>HYPERLINK("http://www.ncbi.nlm.nih.gov/gene/?term=COX7A2L","NCBI")</f>
        <v>NCBI</v>
      </c>
      <c r="F14069">
        <v>0.53</v>
      </c>
      <c r="G14069">
        <v>0.64</v>
      </c>
      <c r="H14069" s="1" t="str">
        <f>HYPERLINK("http://www.weizmann.ac.il/complex/compphys/software/geview/data/figures/201256_at.png","Figure")</f>
        <v>Figure</v>
      </c>
      <c r="I14069">
        <v>1.1399999999999999</v>
      </c>
      <c r="J14069">
        <v>0.71</v>
      </c>
      <c r="K14069">
        <v>1.18</v>
      </c>
      <c r="L14069">
        <v>0.52</v>
      </c>
      <c r="M14069">
        <v>1.03</v>
      </c>
      <c r="N14069">
        <v>0.98</v>
      </c>
    </row>
    <row r="14070" spans="1:14" x14ac:dyDescent="0.25">
      <c r="A14070" t="s">
        <v>23930</v>
      </c>
      <c r="B14070" t="s">
        <v>815</v>
      </c>
      <c r="C14070" s="1" t="str">
        <f>HYPERLINK("http://www.genecards.org/cgi-bin/carddisp.pl?gene=GNL3L","GeneCards")</f>
        <v>GeneCards</v>
      </c>
      <c r="D14070" s="1" t="str">
        <f>HYPERLINK("http://genome-euro.ucsc.edu/cgi-bin/hgTracks?position=222109_at","UCSC")</f>
        <v>UCSC</v>
      </c>
      <c r="E14070" s="1" t="str">
        <f>HYPERLINK("http://www.ncbi.nlm.nih.gov/gene/?term=GNL3L","NCBI")</f>
        <v>NCBI</v>
      </c>
      <c r="F14070">
        <v>0.53</v>
      </c>
      <c r="G14070">
        <v>0.64</v>
      </c>
      <c r="H14070" s="1" t="str">
        <f>HYPERLINK("http://www.weizmann.ac.il/complex/compphys/software/geview/data/figures/222109_at.png","Figure")</f>
        <v>Figure</v>
      </c>
      <c r="I14070">
        <v>1.1299999999999999</v>
      </c>
      <c r="J14070">
        <v>0.5</v>
      </c>
      <c r="K14070">
        <v>1.05</v>
      </c>
      <c r="L14070">
        <v>0.86</v>
      </c>
      <c r="M14070">
        <v>0.92800000000000005</v>
      </c>
      <c r="N14070">
        <v>0.75</v>
      </c>
    </row>
    <row r="14071" spans="1:14" x14ac:dyDescent="0.25">
      <c r="A14071" t="s">
        <v>23931</v>
      </c>
      <c r="B14071" t="s">
        <v>23932</v>
      </c>
      <c r="C14071" s="1" t="str">
        <f>HYPERLINK("http://www.genecards.org/cgi-bin/carddisp.pl?gene=GPR124","GeneCards")</f>
        <v>GeneCards</v>
      </c>
      <c r="D14071" s="1" t="str">
        <f>HYPERLINK("http://genome-euro.ucsc.edu/cgi-bin/hgTracks?position=221814_at","UCSC")</f>
        <v>UCSC</v>
      </c>
      <c r="E14071" s="1" t="str">
        <f>HYPERLINK("http://www.ncbi.nlm.nih.gov/gene/?term=GPR124","NCBI")</f>
        <v>NCBI</v>
      </c>
      <c r="F14071">
        <v>0.53</v>
      </c>
      <c r="G14071">
        <v>0.64</v>
      </c>
      <c r="H14071" s="1" t="str">
        <f>HYPERLINK("http://www.weizmann.ac.il/complex/compphys/software/geview/data/figures/221814_at.png","Figure")</f>
        <v>Figure</v>
      </c>
      <c r="I14071">
        <v>1.1000000000000001</v>
      </c>
      <c r="J14071">
        <v>0.73</v>
      </c>
      <c r="K14071">
        <v>0.96099999999999997</v>
      </c>
      <c r="L14071">
        <v>0.93</v>
      </c>
      <c r="M14071">
        <v>0.871</v>
      </c>
      <c r="N14071">
        <v>0.5</v>
      </c>
    </row>
    <row r="14072" spans="1:14" x14ac:dyDescent="0.25">
      <c r="A14072" t="s">
        <v>23933</v>
      </c>
      <c r="B14072" t="s">
        <v>23934</v>
      </c>
      <c r="C14072" s="1" t="str">
        <f>HYPERLINK("http://www.genecards.org/cgi-bin/carddisp.pl?gene=CLN8","GeneCards")</f>
        <v>GeneCards</v>
      </c>
      <c r="D14072" s="1" t="str">
        <f>HYPERLINK("http://genome-euro.ucsc.edu/cgi-bin/hgTracks?position=219340_s_at","UCSC")</f>
        <v>UCSC</v>
      </c>
      <c r="E14072" s="1" t="str">
        <f>HYPERLINK("http://www.ncbi.nlm.nih.gov/gene/?term=CLN8","NCBI")</f>
        <v>NCBI</v>
      </c>
      <c r="F14072">
        <v>0.53</v>
      </c>
      <c r="G14072">
        <v>0.64</v>
      </c>
      <c r="H14072" s="1" t="str">
        <f>HYPERLINK("http://www.weizmann.ac.il/complex/compphys/software/geview/data/figures/219340_s_at.png","Figure")</f>
        <v>Figure</v>
      </c>
      <c r="I14072">
        <v>0.98499999999999999</v>
      </c>
      <c r="J14072">
        <v>0.99</v>
      </c>
      <c r="K14072">
        <v>0.89900000000000002</v>
      </c>
      <c r="L14072">
        <v>0.56000000000000005</v>
      </c>
      <c r="M14072">
        <v>0.91300000000000003</v>
      </c>
      <c r="N14072">
        <v>0.69</v>
      </c>
    </row>
    <row r="14073" spans="1:14" x14ac:dyDescent="0.25">
      <c r="A14073" t="s">
        <v>23935</v>
      </c>
      <c r="B14073" t="s">
        <v>4384</v>
      </c>
      <c r="C14073" s="1" t="str">
        <f>HYPERLINK("http://www.genecards.org/cgi-bin/carddisp.pl?gene=EPHA1","GeneCards")</f>
        <v>GeneCards</v>
      </c>
      <c r="D14073" s="1" t="str">
        <f>HYPERLINK("http://genome-euro.ucsc.edu/cgi-bin/hgTracks?position=215804_at","UCSC")</f>
        <v>UCSC</v>
      </c>
      <c r="E14073" s="1" t="str">
        <f>HYPERLINK("http://www.ncbi.nlm.nih.gov/gene/?term=EPHA1","NCBI")</f>
        <v>NCBI</v>
      </c>
      <c r="F14073">
        <v>0.53</v>
      </c>
      <c r="G14073">
        <v>0.64</v>
      </c>
      <c r="H14073" s="1" t="str">
        <f>HYPERLINK("http://www.weizmann.ac.il/complex/compphys/software/geview/data/figures/215804_at.png","Figure")</f>
        <v>Figure</v>
      </c>
      <c r="I14073">
        <v>1.02</v>
      </c>
      <c r="J14073">
        <v>0.73</v>
      </c>
      <c r="K14073">
        <v>0.99099999999999999</v>
      </c>
      <c r="L14073">
        <v>0.94</v>
      </c>
      <c r="M14073">
        <v>0.96799999999999997</v>
      </c>
      <c r="N14073">
        <v>0.5</v>
      </c>
    </row>
    <row r="14074" spans="1:14" x14ac:dyDescent="0.25">
      <c r="A14074" t="s">
        <v>23936</v>
      </c>
      <c r="B14074" t="s">
        <v>23937</v>
      </c>
      <c r="C14074" s="1" t="str">
        <f>HYPERLINK("http://www.genecards.org/cgi-bin/carddisp.pl?gene=FAM76A","GeneCards")</f>
        <v>GeneCards</v>
      </c>
      <c r="D14074" s="1" t="str">
        <f>HYPERLINK("http://genome-euro.ucsc.edu/cgi-bin/hgTracks?position=216897_s_at","UCSC")</f>
        <v>UCSC</v>
      </c>
      <c r="E14074" s="1" t="str">
        <f>HYPERLINK("http://www.ncbi.nlm.nih.gov/gene/?term=FAM76A","NCBI")</f>
        <v>NCBI</v>
      </c>
      <c r="F14074">
        <v>0.53</v>
      </c>
      <c r="G14074">
        <v>0.64</v>
      </c>
      <c r="H14074" s="1" t="str">
        <f>HYPERLINK("http://www.weizmann.ac.il/complex/compphys/software/geview/data/figures/216897_s_at.png","Figure")</f>
        <v>Figure</v>
      </c>
      <c r="I14074">
        <v>1.02</v>
      </c>
      <c r="J14074">
        <v>0.53</v>
      </c>
      <c r="K14074">
        <v>1.02</v>
      </c>
      <c r="L14074">
        <v>0.67</v>
      </c>
      <c r="M14074">
        <v>0.99299999999999999</v>
      </c>
      <c r="N14074">
        <v>0.93</v>
      </c>
    </row>
    <row r="14075" spans="1:14" x14ac:dyDescent="0.25">
      <c r="A14075" t="s">
        <v>23938</v>
      </c>
      <c r="B14075" t="s">
        <v>21401</v>
      </c>
      <c r="C14075" s="1" t="str">
        <f>HYPERLINK("http://www.genecards.org/cgi-bin/carddisp.pl?gene=MYCBP2","GeneCards")</f>
        <v>GeneCards</v>
      </c>
      <c r="D14075" s="1" t="str">
        <f>HYPERLINK("http://genome-euro.ucsc.edu/cgi-bin/hgTracks?position=201959_s_at","UCSC")</f>
        <v>UCSC</v>
      </c>
      <c r="E14075" s="1" t="str">
        <f>HYPERLINK("http://www.ncbi.nlm.nih.gov/gene/?term=MYCBP2","NCBI")</f>
        <v>NCBI</v>
      </c>
      <c r="F14075">
        <v>0.53</v>
      </c>
      <c r="G14075">
        <v>0.64</v>
      </c>
      <c r="H14075" s="1" t="str">
        <f>HYPERLINK("http://www.weizmann.ac.il/complex/compphys/software/geview/data/figures/201959_s_at.png","Figure")</f>
        <v>Figure</v>
      </c>
      <c r="I14075">
        <v>0.749</v>
      </c>
      <c r="J14075">
        <v>0.52</v>
      </c>
      <c r="K14075">
        <v>0.92400000000000004</v>
      </c>
      <c r="L14075">
        <v>0.93</v>
      </c>
      <c r="M14075">
        <v>1.23</v>
      </c>
      <c r="N14075">
        <v>0.67</v>
      </c>
    </row>
    <row r="14076" spans="1:14" x14ac:dyDescent="0.25">
      <c r="A14076" t="s">
        <v>23939</v>
      </c>
      <c r="B14076" t="s">
        <v>23940</v>
      </c>
      <c r="C14076" s="1" t="str">
        <f>HYPERLINK("http://www.genecards.org/cgi-bin/carddisp.pl?gene=CD79A","GeneCards")</f>
        <v>GeneCards</v>
      </c>
      <c r="D14076" s="1" t="str">
        <f>HYPERLINK("http://genome-euro.ucsc.edu/cgi-bin/hgTracks?position=205049_s_at","UCSC")</f>
        <v>UCSC</v>
      </c>
      <c r="E14076" s="1" t="str">
        <f>HYPERLINK("http://www.ncbi.nlm.nih.gov/gene/?term=CD79A","NCBI")</f>
        <v>NCBI</v>
      </c>
      <c r="F14076">
        <v>0.53</v>
      </c>
      <c r="G14076">
        <v>0.64</v>
      </c>
      <c r="H14076" s="1" t="str">
        <f>HYPERLINK("http://www.weizmann.ac.il/complex/compphys/software/geview/data/figures/205049_s_at.png","Figure")</f>
        <v>Figure</v>
      </c>
      <c r="I14076">
        <v>0.80700000000000005</v>
      </c>
      <c r="J14076">
        <v>0.71</v>
      </c>
      <c r="K14076">
        <v>0.77</v>
      </c>
      <c r="L14076">
        <v>0.52</v>
      </c>
      <c r="M14076">
        <v>0.95399999999999996</v>
      </c>
      <c r="N14076">
        <v>0.98</v>
      </c>
    </row>
    <row r="14077" spans="1:14" x14ac:dyDescent="0.25">
      <c r="A14077" t="s">
        <v>23941</v>
      </c>
      <c r="B14077" t="s">
        <v>23942</v>
      </c>
      <c r="C14077" s="1" t="str">
        <f>HYPERLINK("http://www.genecards.org/cgi-bin/carddisp.pl?gene=LAS1L","GeneCards")</f>
        <v>GeneCards</v>
      </c>
      <c r="D14077" s="1" t="str">
        <f>HYPERLINK("http://genome-euro.ucsc.edu/cgi-bin/hgTracks?position=208117_s_at","UCSC")</f>
        <v>UCSC</v>
      </c>
      <c r="E14077" s="1" t="str">
        <f>HYPERLINK("http://www.ncbi.nlm.nih.gov/gene/?term=LAS1L","NCBI")</f>
        <v>NCBI</v>
      </c>
      <c r="F14077">
        <v>0.53</v>
      </c>
      <c r="G14077">
        <v>0.64</v>
      </c>
      <c r="H14077" s="1" t="str">
        <f>HYPERLINK("http://www.weizmann.ac.il/complex/compphys/software/geview/data/figures/208117_s_at.png","Figure")</f>
        <v>Figure</v>
      </c>
      <c r="I14077">
        <v>0.96499999999999997</v>
      </c>
      <c r="J14077">
        <v>0.94</v>
      </c>
      <c r="K14077">
        <v>1.08</v>
      </c>
      <c r="L14077">
        <v>0.72</v>
      </c>
      <c r="M14077">
        <v>1.1200000000000001</v>
      </c>
      <c r="N14077">
        <v>0.54</v>
      </c>
    </row>
    <row r="14078" spans="1:14" x14ac:dyDescent="0.25">
      <c r="A14078" t="s">
        <v>23943</v>
      </c>
      <c r="B14078" t="s">
        <v>23944</v>
      </c>
      <c r="C14078" s="1" t="str">
        <f>HYPERLINK("http://www.genecards.org/cgi-bin/carddisp.pl?gene=UNC13B","GeneCards")</f>
        <v>GeneCards</v>
      </c>
      <c r="D14078" s="1" t="str">
        <f>HYPERLINK("http://genome-euro.ucsc.edu/cgi-bin/hgTracks?position=202893_at","UCSC")</f>
        <v>UCSC</v>
      </c>
      <c r="E14078" s="1" t="str">
        <f>HYPERLINK("http://www.ncbi.nlm.nih.gov/gene/?term=UNC13B","NCBI")</f>
        <v>NCBI</v>
      </c>
      <c r="F14078">
        <v>0.53</v>
      </c>
      <c r="G14078">
        <v>0.64</v>
      </c>
      <c r="H14078" s="1" t="str">
        <f>HYPERLINK("http://www.weizmann.ac.il/complex/compphys/software/geview/data/figures/202893_at.png","Figure")</f>
        <v>Figure</v>
      </c>
      <c r="I14078">
        <v>1.1000000000000001</v>
      </c>
      <c r="J14078">
        <v>0.76</v>
      </c>
      <c r="K14078">
        <v>0.95199999999999996</v>
      </c>
      <c r="L14078">
        <v>0.91</v>
      </c>
      <c r="M14078">
        <v>0.86499999999999999</v>
      </c>
      <c r="N14078">
        <v>0.5</v>
      </c>
    </row>
    <row r="14079" spans="1:14" x14ac:dyDescent="0.25">
      <c r="A14079" t="s">
        <v>23945</v>
      </c>
      <c r="B14079" t="s">
        <v>12149</v>
      </c>
      <c r="C14079" s="1" t="str">
        <f>HYPERLINK("http://www.genecards.org/cgi-bin/carddisp.pl?gene=TCF4","GeneCards")</f>
        <v>GeneCards</v>
      </c>
      <c r="D14079" s="1" t="str">
        <f>HYPERLINK("http://genome-euro.ucsc.edu/cgi-bin/hgTracks?position=212385_at","UCSC")</f>
        <v>UCSC</v>
      </c>
      <c r="E14079" s="1" t="str">
        <f>HYPERLINK("http://www.ncbi.nlm.nih.gov/gene/?term=TCF4","NCBI")</f>
        <v>NCBI</v>
      </c>
      <c r="F14079">
        <v>0.53</v>
      </c>
      <c r="G14079">
        <v>0.64</v>
      </c>
      <c r="H14079" s="1" t="str">
        <f>HYPERLINK("http://www.weizmann.ac.il/complex/compphys/software/geview/data/figures/212385_at.png","Figure")</f>
        <v>Figure</v>
      </c>
      <c r="I14079">
        <v>1.1100000000000001</v>
      </c>
      <c r="J14079">
        <v>0.74</v>
      </c>
      <c r="K14079">
        <v>0.95399999999999996</v>
      </c>
      <c r="L14079">
        <v>0.92</v>
      </c>
      <c r="M14079">
        <v>0.85899999999999999</v>
      </c>
      <c r="N14079">
        <v>0.5</v>
      </c>
    </row>
    <row r="14080" spans="1:14" x14ac:dyDescent="0.25">
      <c r="A14080" t="s">
        <v>23946</v>
      </c>
      <c r="B14080" t="s">
        <v>8320</v>
      </c>
      <c r="C14080" s="1" t="str">
        <f>HYPERLINK("http://www.genecards.org/cgi-bin/carddisp.pl?gene=QSK","GeneCards")</f>
        <v>GeneCards</v>
      </c>
      <c r="D14080" s="1" t="str">
        <f>HYPERLINK("http://genome-euro.ucsc.edu/cgi-bin/hgTracks?position=204157_s_at","UCSC")</f>
        <v>UCSC</v>
      </c>
      <c r="E14080" s="1" t="str">
        <f>HYPERLINK("http://www.ncbi.nlm.nih.gov/gene/?term=QSK","NCBI")</f>
        <v>NCBI</v>
      </c>
      <c r="F14080">
        <v>0.53</v>
      </c>
      <c r="G14080">
        <v>0.64</v>
      </c>
      <c r="H14080" s="1" t="str">
        <f>HYPERLINK("http://www.weizmann.ac.il/complex/compphys/software/geview/data/figures/204157_s_at.png","Figure")</f>
        <v>Figure</v>
      </c>
      <c r="I14080">
        <v>1.1399999999999999</v>
      </c>
      <c r="J14080">
        <v>0.57999999999999996</v>
      </c>
      <c r="K14080">
        <v>1.1100000000000001</v>
      </c>
      <c r="L14080">
        <v>0.6</v>
      </c>
      <c r="M14080">
        <v>0.98099999999999998</v>
      </c>
      <c r="N14080">
        <v>0.99</v>
      </c>
    </row>
    <row r="14081" spans="1:14" x14ac:dyDescent="0.25">
      <c r="A14081" t="s">
        <v>23947</v>
      </c>
      <c r="B14081" t="s">
        <v>23948</v>
      </c>
      <c r="C14081" s="1" t="str">
        <f>HYPERLINK("http://www.genecards.org/cgi-bin/carddisp.pl?gene=SLC28A3","GeneCards")</f>
        <v>GeneCards</v>
      </c>
      <c r="D14081" s="1" t="str">
        <f>HYPERLINK("http://genome-euro.ucsc.edu/cgi-bin/hgTracks?position=220475_at","UCSC")</f>
        <v>UCSC</v>
      </c>
      <c r="E14081" s="1" t="str">
        <f>HYPERLINK("http://www.ncbi.nlm.nih.gov/gene/?term=SLC28A3","NCBI")</f>
        <v>NCBI</v>
      </c>
      <c r="F14081">
        <v>0.53</v>
      </c>
      <c r="G14081">
        <v>0.64</v>
      </c>
      <c r="H14081" s="1" t="str">
        <f>HYPERLINK("http://www.weizmann.ac.il/complex/compphys/software/geview/data/figures/220475_at.png","Figure")</f>
        <v>Figure</v>
      </c>
      <c r="I14081">
        <v>1.06</v>
      </c>
      <c r="J14081">
        <v>0.57999999999999996</v>
      </c>
      <c r="K14081">
        <v>1.05</v>
      </c>
      <c r="L14081">
        <v>0.6</v>
      </c>
      <c r="M14081">
        <v>0.99099999999999999</v>
      </c>
      <c r="N14081">
        <v>0.99</v>
      </c>
    </row>
    <row r="14082" spans="1:14" x14ac:dyDescent="0.25">
      <c r="A14082" t="s">
        <v>23949</v>
      </c>
      <c r="B14082" t="s">
        <v>20789</v>
      </c>
      <c r="C14082" s="1" t="str">
        <f>HYPERLINK("http://www.genecards.org/cgi-bin/carddisp.pl?gene=DRG2","GeneCards")</f>
        <v>GeneCards</v>
      </c>
      <c r="D14082" s="1" t="str">
        <f>HYPERLINK("http://genome-euro.ucsc.edu/cgi-bin/hgTracks?position=203267_s_at","UCSC")</f>
        <v>UCSC</v>
      </c>
      <c r="E14082" s="1" t="str">
        <f>HYPERLINK("http://www.ncbi.nlm.nih.gov/gene/?term=DRG2","NCBI")</f>
        <v>NCBI</v>
      </c>
      <c r="F14082">
        <v>0.53</v>
      </c>
      <c r="G14082">
        <v>0.64</v>
      </c>
      <c r="H14082" s="1" t="str">
        <f>HYPERLINK("http://www.weizmann.ac.il/complex/compphys/software/geview/data/figures/203267_s_at.png","Figure")</f>
        <v>Figure</v>
      </c>
      <c r="I14082">
        <v>0.96299999999999997</v>
      </c>
      <c r="J14082">
        <v>0.88</v>
      </c>
      <c r="K14082">
        <v>1.05</v>
      </c>
      <c r="L14082">
        <v>0.79</v>
      </c>
      <c r="M14082">
        <v>1.0900000000000001</v>
      </c>
      <c r="N14082">
        <v>0.52</v>
      </c>
    </row>
    <row r="14083" spans="1:14" x14ac:dyDescent="0.25">
      <c r="A14083" t="s">
        <v>23950</v>
      </c>
      <c r="B14083" t="s">
        <v>23951</v>
      </c>
      <c r="C14083" s="1" t="str">
        <f>HYPERLINK("http://www.genecards.org/cgi-bin/carddisp.pl?gene=LIM2","GeneCards")</f>
        <v>GeneCards</v>
      </c>
      <c r="D14083" s="1" t="str">
        <f>HYPERLINK("http://genome-euro.ucsc.edu/cgi-bin/hgTracks?position=220519_s_at","UCSC")</f>
        <v>UCSC</v>
      </c>
      <c r="E14083" s="1" t="str">
        <f>HYPERLINK("http://www.ncbi.nlm.nih.gov/gene/?term=LIM2","NCBI")</f>
        <v>NCBI</v>
      </c>
      <c r="F14083">
        <v>0.53</v>
      </c>
      <c r="G14083">
        <v>0.64</v>
      </c>
      <c r="H14083" s="1" t="str">
        <f>HYPERLINK("http://www.weizmann.ac.il/complex/compphys/software/geview/data/figures/220519_s_at.png","Figure")</f>
        <v>Figure</v>
      </c>
      <c r="I14083">
        <v>1.08</v>
      </c>
      <c r="J14083">
        <v>0.63</v>
      </c>
      <c r="K14083">
        <v>0.99299999999999999</v>
      </c>
      <c r="L14083">
        <v>0.99</v>
      </c>
      <c r="M14083">
        <v>0.92100000000000004</v>
      </c>
      <c r="N14083">
        <v>0.53</v>
      </c>
    </row>
    <row r="14084" spans="1:14" x14ac:dyDescent="0.25">
      <c r="A14084" t="s">
        <v>23952</v>
      </c>
      <c r="B14084" t="s">
        <v>15353</v>
      </c>
      <c r="C14084" s="1" t="str">
        <f>HYPERLINK("http://www.genecards.org/cgi-bin/carddisp.pl?gene=CSF1","GeneCards")</f>
        <v>GeneCards</v>
      </c>
      <c r="D14084" s="1" t="str">
        <f>HYPERLINK("http://genome-euro.ucsc.edu/cgi-bin/hgTracks?position=210557_x_at","UCSC")</f>
        <v>UCSC</v>
      </c>
      <c r="E14084" s="1" t="str">
        <f>HYPERLINK("http://www.ncbi.nlm.nih.gov/gene/?term=CSF1","NCBI")</f>
        <v>NCBI</v>
      </c>
      <c r="F14084">
        <v>0.53</v>
      </c>
      <c r="G14084">
        <v>0.64</v>
      </c>
      <c r="H14084" s="1" t="str">
        <f>HYPERLINK("http://www.weizmann.ac.il/complex/compphys/software/geview/data/figures/210557_x_at.png","Figure")</f>
        <v>Figure</v>
      </c>
      <c r="I14084">
        <v>1.04</v>
      </c>
      <c r="J14084">
        <v>0.63</v>
      </c>
      <c r="K14084">
        <v>1.04</v>
      </c>
      <c r="L14084">
        <v>0.56000000000000005</v>
      </c>
      <c r="M14084">
        <v>0.999</v>
      </c>
      <c r="N14084">
        <v>1</v>
      </c>
    </row>
    <row r="14085" spans="1:14" x14ac:dyDescent="0.25">
      <c r="A14085" t="s">
        <v>23953</v>
      </c>
      <c r="B14085" t="s">
        <v>9659</v>
      </c>
      <c r="C14085" s="1" t="str">
        <f>HYPERLINK("http://www.genecards.org/cgi-bin/carddisp.pl?gene=CYP2C9","GeneCards")</f>
        <v>GeneCards</v>
      </c>
      <c r="D14085" s="1" t="str">
        <f>HYPERLINK("http://genome-euro.ucsc.edu/cgi-bin/hgTracks?position=214419_s_at","UCSC")</f>
        <v>UCSC</v>
      </c>
      <c r="E14085" s="1" t="str">
        <f>HYPERLINK("http://www.ncbi.nlm.nih.gov/gene/?term=CYP2C9","NCBI")</f>
        <v>NCBI</v>
      </c>
      <c r="F14085">
        <v>0.53</v>
      </c>
      <c r="G14085">
        <v>0.64</v>
      </c>
      <c r="H14085" s="1" t="str">
        <f>HYPERLINK("http://www.weizmann.ac.il/complex/compphys/software/geview/data/figures/214419_s_at.png","Figure")</f>
        <v>Figure</v>
      </c>
      <c r="I14085">
        <v>1.03</v>
      </c>
      <c r="J14085">
        <v>0.56999999999999995</v>
      </c>
      <c r="K14085">
        <v>1</v>
      </c>
      <c r="L14085">
        <v>1</v>
      </c>
      <c r="M14085">
        <v>0.97499999999999998</v>
      </c>
      <c r="N14085">
        <v>0.57999999999999996</v>
      </c>
    </row>
    <row r="14086" spans="1:14" x14ac:dyDescent="0.25">
      <c r="A14086" t="s">
        <v>23954</v>
      </c>
      <c r="B14086" t="s">
        <v>23955</v>
      </c>
      <c r="C14086" s="1" t="str">
        <f>HYPERLINK("http://www.genecards.org/cgi-bin/carddisp.pl?gene=C4orf8","GeneCards")</f>
        <v>GeneCards</v>
      </c>
      <c r="D14086" s="1" t="str">
        <f>HYPERLINK("http://genome-euro.ucsc.edu/cgi-bin/hgTracks?position=203600_s_at","UCSC")</f>
        <v>UCSC</v>
      </c>
      <c r="E14086" s="1" t="str">
        <f>HYPERLINK("http://www.ncbi.nlm.nih.gov/gene/?term=C4orf8","NCBI")</f>
        <v>NCBI</v>
      </c>
      <c r="F14086">
        <v>0.53</v>
      </c>
      <c r="G14086">
        <v>0.64</v>
      </c>
      <c r="H14086" s="1" t="str">
        <f>HYPERLINK("http://www.weizmann.ac.il/complex/compphys/software/geview/data/figures/203600_s_at.png","Figure")</f>
        <v>Figure</v>
      </c>
      <c r="I14086">
        <v>0.85499999999999998</v>
      </c>
      <c r="J14086">
        <v>0.5</v>
      </c>
      <c r="K14086">
        <v>0.92700000000000005</v>
      </c>
      <c r="L14086">
        <v>0.81</v>
      </c>
      <c r="M14086">
        <v>1.08</v>
      </c>
      <c r="N14086">
        <v>0.8</v>
      </c>
    </row>
    <row r="14087" spans="1:14" x14ac:dyDescent="0.25">
      <c r="A14087" t="s">
        <v>23956</v>
      </c>
      <c r="B14087" t="s">
        <v>23957</v>
      </c>
      <c r="C14087" s="1" t="str">
        <f>HYPERLINK("http://www.genecards.org/cgi-bin/carddisp.pl?gene=LONP2","GeneCards")</f>
        <v>GeneCards</v>
      </c>
      <c r="D14087" s="1" t="str">
        <f>HYPERLINK("http://genome-euro.ucsc.edu/cgi-bin/hgTracks?position=221833_at","UCSC")</f>
        <v>UCSC</v>
      </c>
      <c r="E14087" s="1" t="str">
        <f>HYPERLINK("http://www.ncbi.nlm.nih.gov/gene/?term=LONP2","NCBI")</f>
        <v>NCBI</v>
      </c>
      <c r="F14087">
        <v>0.53</v>
      </c>
      <c r="G14087">
        <v>0.64</v>
      </c>
      <c r="H14087" s="1" t="str">
        <f>HYPERLINK("http://www.weizmann.ac.il/complex/compphys/software/geview/data/figures/221833_at.png","Figure")</f>
        <v>Figure</v>
      </c>
      <c r="I14087">
        <v>0.81100000000000005</v>
      </c>
      <c r="J14087">
        <v>0.81</v>
      </c>
      <c r="K14087">
        <v>0.71099999999999997</v>
      </c>
      <c r="L14087">
        <v>0.5</v>
      </c>
      <c r="M14087">
        <v>0.877</v>
      </c>
      <c r="N14087">
        <v>0.91</v>
      </c>
    </row>
    <row r="14088" spans="1:14" x14ac:dyDescent="0.25">
      <c r="A14088" t="s">
        <v>23958</v>
      </c>
      <c r="B14088" t="s">
        <v>23959</v>
      </c>
      <c r="C14088" s="1" t="str">
        <f>HYPERLINK("http://www.genecards.org/cgi-bin/carddisp.pl?gene=CD68","GeneCards")</f>
        <v>GeneCards</v>
      </c>
      <c r="D14088" s="1" t="str">
        <f>HYPERLINK("http://genome-euro.ucsc.edu/cgi-bin/hgTracks?position=203507_at","UCSC")</f>
        <v>UCSC</v>
      </c>
      <c r="E14088" s="1" t="str">
        <f>HYPERLINK("http://www.ncbi.nlm.nih.gov/gene/?term=CD68","NCBI")</f>
        <v>NCBI</v>
      </c>
      <c r="F14088">
        <v>0.53</v>
      </c>
      <c r="G14088">
        <v>0.64</v>
      </c>
      <c r="H14088" s="1" t="str">
        <f>HYPERLINK("http://www.weizmann.ac.il/complex/compphys/software/geview/data/figures/203507_at.png","Figure")</f>
        <v>Figure</v>
      </c>
      <c r="I14088">
        <v>1.03</v>
      </c>
      <c r="J14088">
        <v>0.9</v>
      </c>
      <c r="K14088">
        <v>0.95599999999999996</v>
      </c>
      <c r="L14088">
        <v>0.77</v>
      </c>
      <c r="M14088">
        <v>0.92600000000000005</v>
      </c>
      <c r="N14088">
        <v>0.52</v>
      </c>
    </row>
    <row r="14089" spans="1:14" x14ac:dyDescent="0.25">
      <c r="A14089" t="s">
        <v>23960</v>
      </c>
      <c r="B14089" t="s">
        <v>12560</v>
      </c>
      <c r="C14089" s="1" t="str">
        <f>HYPERLINK("http://www.genecards.org/cgi-bin/carddisp.pl?gene=TDG","GeneCards")</f>
        <v>GeneCards</v>
      </c>
      <c r="D14089" s="1" t="str">
        <f>HYPERLINK("http://genome-euro.ucsc.edu/cgi-bin/hgTracks?position=203743_s_at","UCSC")</f>
        <v>UCSC</v>
      </c>
      <c r="E14089" s="1" t="str">
        <f>HYPERLINK("http://www.ncbi.nlm.nih.gov/gene/?term=TDG","NCBI")</f>
        <v>NCBI</v>
      </c>
      <c r="F14089">
        <v>0.53</v>
      </c>
      <c r="G14089">
        <v>0.64</v>
      </c>
      <c r="H14089" s="1" t="str">
        <f>HYPERLINK("http://www.weizmann.ac.il/complex/compphys/software/geview/data/figures/203743_s_at.png","Figure")</f>
        <v>Figure</v>
      </c>
      <c r="I14089">
        <v>0.69399999999999995</v>
      </c>
      <c r="J14089">
        <v>0.51</v>
      </c>
      <c r="K14089">
        <v>0.81499999999999995</v>
      </c>
      <c r="L14089">
        <v>0.75</v>
      </c>
      <c r="M14089">
        <v>1.18</v>
      </c>
      <c r="N14089">
        <v>0.86</v>
      </c>
    </row>
    <row r="14090" spans="1:14" x14ac:dyDescent="0.25">
      <c r="A14090" t="s">
        <v>23961</v>
      </c>
      <c r="B14090" t="s">
        <v>23962</v>
      </c>
      <c r="C14090" s="1" t="str">
        <f>HYPERLINK("http://www.genecards.org/cgi-bin/carddisp.pl?gene=PSMA1","GeneCards")</f>
        <v>GeneCards</v>
      </c>
      <c r="D14090" s="1" t="str">
        <f>HYPERLINK("http://genome-euro.ucsc.edu/cgi-bin/hgTracks?position=210759_s_at","UCSC")</f>
        <v>UCSC</v>
      </c>
      <c r="E14090" s="1" t="str">
        <f>HYPERLINK("http://www.ncbi.nlm.nih.gov/gene/?term=PSMA1","NCBI")</f>
        <v>NCBI</v>
      </c>
      <c r="F14090">
        <v>0.53</v>
      </c>
      <c r="G14090">
        <v>0.64</v>
      </c>
      <c r="H14090" s="1" t="str">
        <f>HYPERLINK("http://www.weizmann.ac.il/complex/compphys/software/geview/data/figures/210759_s_at.png","Figure")</f>
        <v>Figure</v>
      </c>
      <c r="I14090">
        <v>1.18</v>
      </c>
      <c r="J14090">
        <v>0.63</v>
      </c>
      <c r="K14090">
        <v>1.17</v>
      </c>
      <c r="L14090">
        <v>0.56000000000000005</v>
      </c>
      <c r="M14090">
        <v>0.995</v>
      </c>
      <c r="N14090">
        <v>1</v>
      </c>
    </row>
    <row r="14091" spans="1:14" x14ac:dyDescent="0.25">
      <c r="A14091" t="s">
        <v>23963</v>
      </c>
      <c r="B14091" t="s">
        <v>17801</v>
      </c>
      <c r="C14091" s="1" t="str">
        <f>HYPERLINK("http://www.genecards.org/cgi-bin/carddisp.pl?gene=SIP1","GeneCards")</f>
        <v>GeneCards</v>
      </c>
      <c r="D14091" s="1" t="str">
        <f>HYPERLINK("http://genome-euro.ucsc.edu/cgi-bin/hgTracks?position=210779_x_at","UCSC")</f>
        <v>UCSC</v>
      </c>
      <c r="E14091" s="1" t="str">
        <f>HYPERLINK("http://www.ncbi.nlm.nih.gov/gene/?term=SIP1","NCBI")</f>
        <v>NCBI</v>
      </c>
      <c r="F14091">
        <v>0.53</v>
      </c>
      <c r="G14091">
        <v>0.64</v>
      </c>
      <c r="H14091" s="1" t="str">
        <f>HYPERLINK("http://www.weizmann.ac.il/complex/compphys/software/geview/data/figures/210779_x_at.png","Figure")</f>
        <v>Figure</v>
      </c>
      <c r="I14091">
        <v>0.97199999999999998</v>
      </c>
      <c r="J14091">
        <v>0.51</v>
      </c>
      <c r="K14091">
        <v>0.98399999999999999</v>
      </c>
      <c r="L14091">
        <v>0.76</v>
      </c>
      <c r="M14091">
        <v>1.01</v>
      </c>
      <c r="N14091">
        <v>0.85</v>
      </c>
    </row>
    <row r="14092" spans="1:14" x14ac:dyDescent="0.25">
      <c r="A14092" t="s">
        <v>23964</v>
      </c>
      <c r="B14092" t="s">
        <v>15795</v>
      </c>
      <c r="C14092" s="1" t="str">
        <f>HYPERLINK("http://www.genecards.org/cgi-bin/carddisp.pl?gene=ARMC8","GeneCards")</f>
        <v>GeneCards</v>
      </c>
      <c r="D14092" s="1" t="str">
        <f>HYPERLINK("http://genome-euro.ucsc.edu/cgi-bin/hgTracks?position=203487_s_at","UCSC")</f>
        <v>UCSC</v>
      </c>
      <c r="E14092" s="1" t="str">
        <f>HYPERLINK("http://www.ncbi.nlm.nih.gov/gene/?term=ARMC8","NCBI")</f>
        <v>NCBI</v>
      </c>
      <c r="F14092">
        <v>0.53</v>
      </c>
      <c r="G14092">
        <v>0.65</v>
      </c>
      <c r="H14092" s="1" t="str">
        <f>HYPERLINK("http://www.weizmann.ac.il/complex/compphys/software/geview/data/figures/203487_s_at.png","Figure")</f>
        <v>Figure</v>
      </c>
      <c r="I14092">
        <v>0.84899999999999998</v>
      </c>
      <c r="J14092">
        <v>0.64</v>
      </c>
      <c r="K14092">
        <v>0.84599999999999997</v>
      </c>
      <c r="L14092">
        <v>0.55000000000000004</v>
      </c>
      <c r="M14092">
        <v>0.997</v>
      </c>
      <c r="N14092">
        <v>1</v>
      </c>
    </row>
    <row r="14093" spans="1:14" x14ac:dyDescent="0.25">
      <c r="A14093" t="s">
        <v>23965</v>
      </c>
      <c r="B14093" t="s">
        <v>23966</v>
      </c>
      <c r="C14093" s="1" t="str">
        <f>HYPERLINK("http://www.genecards.org/cgi-bin/carddisp.pl?gene=EIF2AK2","GeneCards")</f>
        <v>GeneCards</v>
      </c>
      <c r="D14093" s="1" t="str">
        <f>HYPERLINK("http://genome-euro.ucsc.edu/cgi-bin/hgTracks?position=204211_x_at","UCSC")</f>
        <v>UCSC</v>
      </c>
      <c r="E14093" s="1" t="str">
        <f>HYPERLINK("http://www.ncbi.nlm.nih.gov/gene/?term=EIF2AK2","NCBI")</f>
        <v>NCBI</v>
      </c>
      <c r="F14093">
        <v>0.53</v>
      </c>
      <c r="G14093">
        <v>0.65</v>
      </c>
      <c r="H14093" s="1" t="str">
        <f>HYPERLINK("http://www.weizmann.ac.il/complex/compphys/software/geview/data/figures/204211_x_at.png","Figure")</f>
        <v>Figure</v>
      </c>
      <c r="I14093">
        <v>0.94799999999999995</v>
      </c>
      <c r="J14093">
        <v>0.76</v>
      </c>
      <c r="K14093">
        <v>0.92800000000000005</v>
      </c>
      <c r="L14093">
        <v>0.51</v>
      </c>
      <c r="M14093">
        <v>0.97899999999999998</v>
      </c>
      <c r="N14093">
        <v>0.95</v>
      </c>
    </row>
    <row r="14094" spans="1:14" x14ac:dyDescent="0.25">
      <c r="A14094" t="s">
        <v>23967</v>
      </c>
      <c r="B14094" t="s">
        <v>23968</v>
      </c>
      <c r="C14094" s="1" t="str">
        <f>HYPERLINK("http://www.genecards.org/cgi-bin/carddisp.pl?gene=TNFRSF9","GeneCards")</f>
        <v>GeneCards</v>
      </c>
      <c r="D14094" s="1" t="str">
        <f>HYPERLINK("http://genome-euro.ucsc.edu/cgi-bin/hgTracks?position=207536_s_at","UCSC")</f>
        <v>UCSC</v>
      </c>
      <c r="E14094" s="1" t="str">
        <f>HYPERLINK("http://www.ncbi.nlm.nih.gov/gene/?term=TNFRSF9","NCBI")</f>
        <v>NCBI</v>
      </c>
      <c r="F14094">
        <v>0.53</v>
      </c>
      <c r="G14094">
        <v>0.65</v>
      </c>
      <c r="H14094" s="1" t="str">
        <f>HYPERLINK("http://www.weizmann.ac.il/complex/compphys/software/geview/data/figures/207536_s_at.png","Figure")</f>
        <v>Figure</v>
      </c>
      <c r="I14094">
        <v>1.04</v>
      </c>
      <c r="J14094">
        <v>0.51</v>
      </c>
      <c r="K14094">
        <v>1.02</v>
      </c>
      <c r="L14094">
        <v>0.87</v>
      </c>
      <c r="M14094">
        <v>0.97599999999999998</v>
      </c>
      <c r="N14094">
        <v>0.74</v>
      </c>
    </row>
    <row r="14095" spans="1:14" x14ac:dyDescent="0.25">
      <c r="A14095" t="s">
        <v>23969</v>
      </c>
      <c r="B14095" t="s">
        <v>23970</v>
      </c>
      <c r="C14095" s="1" t="str">
        <f>HYPERLINK("http://www.genecards.org/cgi-bin/carddisp.pl?gene=NCBP1","GeneCards")</f>
        <v>GeneCards</v>
      </c>
      <c r="D14095" s="1" t="str">
        <f>HYPERLINK("http://genome-euro.ucsc.edu/cgi-bin/hgTracks?position=209520_s_at","UCSC")</f>
        <v>UCSC</v>
      </c>
      <c r="E14095" s="1" t="str">
        <f>HYPERLINK("http://www.ncbi.nlm.nih.gov/gene/?term=NCBP1","NCBI")</f>
        <v>NCBI</v>
      </c>
      <c r="F14095">
        <v>0.53</v>
      </c>
      <c r="G14095">
        <v>0.65</v>
      </c>
      <c r="H14095" s="1" t="str">
        <f>HYPERLINK("http://www.weizmann.ac.il/complex/compphys/software/geview/data/figures/209520_s_at.png","Figure")</f>
        <v>Figure</v>
      </c>
      <c r="I14095">
        <v>1.04</v>
      </c>
      <c r="J14095">
        <v>0.61</v>
      </c>
      <c r="K14095">
        <v>0.999</v>
      </c>
      <c r="L14095">
        <v>1</v>
      </c>
      <c r="M14095">
        <v>0.96199999999999997</v>
      </c>
      <c r="N14095">
        <v>0.55000000000000004</v>
      </c>
    </row>
    <row r="14096" spans="1:14" x14ac:dyDescent="0.25">
      <c r="A14096" t="s">
        <v>23971</v>
      </c>
      <c r="B14096" t="s">
        <v>23972</v>
      </c>
      <c r="C14096" s="1" t="str">
        <f>HYPERLINK("http://www.genecards.org/cgi-bin/carddisp.pl?gene=OR52A1","GeneCards")</f>
        <v>GeneCards</v>
      </c>
      <c r="D14096" s="1" t="str">
        <f>HYPERLINK("http://genome-euro.ucsc.edu/cgi-bin/hgTracks?position=221329_at","UCSC")</f>
        <v>UCSC</v>
      </c>
      <c r="E14096" s="1" t="str">
        <f>HYPERLINK("http://www.ncbi.nlm.nih.gov/gene/?term=OR52A1","NCBI")</f>
        <v>NCBI</v>
      </c>
      <c r="F14096">
        <v>0.53</v>
      </c>
      <c r="G14096">
        <v>0.65</v>
      </c>
      <c r="H14096" s="1" t="str">
        <f>HYPERLINK("http://www.weizmann.ac.il/complex/compphys/software/geview/data/figures/221329_at.png","Figure")</f>
        <v>Figure</v>
      </c>
      <c r="I14096">
        <v>1.03</v>
      </c>
      <c r="J14096">
        <v>0.91</v>
      </c>
      <c r="K14096">
        <v>0.95799999999999996</v>
      </c>
      <c r="L14096">
        <v>0.76</v>
      </c>
      <c r="M14096">
        <v>0.93100000000000005</v>
      </c>
      <c r="N14096">
        <v>0.53</v>
      </c>
    </row>
    <row r="14097" spans="1:14" x14ac:dyDescent="0.25">
      <c r="A14097" t="s">
        <v>23973</v>
      </c>
      <c r="B14097" t="s">
        <v>23974</v>
      </c>
      <c r="C14097" s="1" t="str">
        <f>HYPERLINK("http://www.genecards.org/cgi-bin/carddisp.pl?gene=KCNH4","GeneCards")</f>
        <v>GeneCards</v>
      </c>
      <c r="D14097" s="1" t="str">
        <f>HYPERLINK("http://genome-euro.ucsc.edu/cgi-bin/hgTracks?position=220802_at","UCSC")</f>
        <v>UCSC</v>
      </c>
      <c r="E14097" s="1" t="str">
        <f>HYPERLINK("http://www.ncbi.nlm.nih.gov/gene/?term=KCNH4","NCBI")</f>
        <v>NCBI</v>
      </c>
      <c r="F14097">
        <v>0.54</v>
      </c>
      <c r="G14097">
        <v>0.65</v>
      </c>
      <c r="H14097" s="1" t="str">
        <f>HYPERLINK("http://www.weizmann.ac.il/complex/compphys/software/geview/data/figures/220802_at.png","Figure")</f>
        <v>Figure</v>
      </c>
      <c r="I14097">
        <v>1.07</v>
      </c>
      <c r="J14097">
        <v>0.65</v>
      </c>
      <c r="K14097">
        <v>0.98899999999999999</v>
      </c>
      <c r="L14097">
        <v>0.99</v>
      </c>
      <c r="M14097">
        <v>0.92100000000000004</v>
      </c>
      <c r="N14097">
        <v>0.53</v>
      </c>
    </row>
    <row r="14098" spans="1:14" x14ac:dyDescent="0.25">
      <c r="A14098" t="s">
        <v>23975</v>
      </c>
      <c r="B14098" t="s">
        <v>23976</v>
      </c>
      <c r="C14098" s="1" t="str">
        <f>HYPERLINK("http://www.genecards.org/cgi-bin/carddisp.pl?gene=MMRN2","GeneCards")</f>
        <v>GeneCards</v>
      </c>
      <c r="D14098" s="1" t="str">
        <f>HYPERLINK("http://genome-euro.ucsc.edu/cgi-bin/hgTracks?position=219091_s_at","UCSC")</f>
        <v>UCSC</v>
      </c>
      <c r="E14098" s="1" t="str">
        <f>HYPERLINK("http://www.ncbi.nlm.nih.gov/gene/?term=MMRN2","NCBI")</f>
        <v>NCBI</v>
      </c>
      <c r="F14098">
        <v>0.54</v>
      </c>
      <c r="G14098">
        <v>0.65</v>
      </c>
      <c r="H14098" s="1" t="str">
        <f>HYPERLINK("http://www.weizmann.ac.il/complex/compphys/software/geview/data/figures/219091_s_at.png","Figure")</f>
        <v>Figure</v>
      </c>
      <c r="I14098">
        <v>1.01</v>
      </c>
      <c r="J14098">
        <v>0.54</v>
      </c>
      <c r="K14098">
        <v>1.01</v>
      </c>
      <c r="L14098">
        <v>0.68</v>
      </c>
      <c r="M14098">
        <v>0.996</v>
      </c>
      <c r="N14098">
        <v>0.93</v>
      </c>
    </row>
    <row r="14099" spans="1:14" x14ac:dyDescent="0.25">
      <c r="A14099" t="s">
        <v>23977</v>
      </c>
      <c r="B14099" t="s">
        <v>23978</v>
      </c>
      <c r="C14099" s="1" t="str">
        <f>HYPERLINK("http://www.genecards.org/cgi-bin/carddisp.pl?gene=RCL1","GeneCards")</f>
        <v>GeneCards</v>
      </c>
      <c r="D14099" s="1" t="str">
        <f>HYPERLINK("http://genome-euro.ucsc.edu/cgi-bin/hgTracks?position=218544_s_at","UCSC")</f>
        <v>UCSC</v>
      </c>
      <c r="E14099" s="1" t="str">
        <f>HYPERLINK("http://www.ncbi.nlm.nih.gov/gene/?term=RCL1","NCBI")</f>
        <v>NCBI</v>
      </c>
      <c r="F14099">
        <v>0.54</v>
      </c>
      <c r="G14099">
        <v>0.65</v>
      </c>
      <c r="H14099" s="1" t="str">
        <f>HYPERLINK("http://www.weizmann.ac.il/complex/compphys/software/geview/data/figures/218544_s_at.png","Figure")</f>
        <v>Figure</v>
      </c>
      <c r="I14099">
        <v>0.89800000000000002</v>
      </c>
      <c r="J14099">
        <v>0.63</v>
      </c>
      <c r="K14099">
        <v>0.89900000000000002</v>
      </c>
      <c r="L14099">
        <v>0.56000000000000005</v>
      </c>
      <c r="M14099">
        <v>1</v>
      </c>
      <c r="N14099">
        <v>1</v>
      </c>
    </row>
    <row r="14100" spans="1:14" x14ac:dyDescent="0.25">
      <c r="A14100" t="s">
        <v>23979</v>
      </c>
      <c r="B14100" t="s">
        <v>16032</v>
      </c>
      <c r="C14100" s="1" t="str">
        <f>HYPERLINK("http://www.genecards.org/cgi-bin/carddisp.pl?gene=FCGR2C","GeneCards")</f>
        <v>GeneCards</v>
      </c>
      <c r="D14100" s="1" t="str">
        <f>HYPERLINK("http://genome-euro.ucsc.edu/cgi-bin/hgTracks?position=210992_x_at","UCSC")</f>
        <v>UCSC</v>
      </c>
      <c r="E14100" s="1" t="str">
        <f>HYPERLINK("http://www.ncbi.nlm.nih.gov/gene/?term=FCGR2C","NCBI")</f>
        <v>NCBI</v>
      </c>
      <c r="F14100">
        <v>0.54</v>
      </c>
      <c r="G14100">
        <v>0.65</v>
      </c>
      <c r="H14100" s="1" t="str">
        <f>HYPERLINK("http://www.weizmann.ac.il/complex/compphys/software/geview/data/figures/210992_x_at.png","Figure")</f>
        <v>Figure</v>
      </c>
      <c r="I14100">
        <v>1.03</v>
      </c>
      <c r="J14100">
        <v>0.76</v>
      </c>
      <c r="K14100">
        <v>1.04</v>
      </c>
      <c r="L14100">
        <v>0.51</v>
      </c>
      <c r="M14100">
        <v>1.01</v>
      </c>
      <c r="N14100">
        <v>0.95</v>
      </c>
    </row>
    <row r="14101" spans="1:14" x14ac:dyDescent="0.25">
      <c r="A14101" t="s">
        <v>23980</v>
      </c>
      <c r="B14101" t="s">
        <v>23981</v>
      </c>
      <c r="C14101" s="1" t="str">
        <f>HYPERLINK("http://www.genecards.org/cgi-bin/carddisp.pl?gene=CAMLG","GeneCards")</f>
        <v>GeneCards</v>
      </c>
      <c r="D14101" s="1" t="str">
        <f>HYPERLINK("http://genome-euro.ucsc.edu/cgi-bin/hgTracks?position=203538_at","UCSC")</f>
        <v>UCSC</v>
      </c>
      <c r="E14101" s="1" t="str">
        <f>HYPERLINK("http://www.ncbi.nlm.nih.gov/gene/?term=CAMLG","NCBI")</f>
        <v>NCBI</v>
      </c>
      <c r="F14101">
        <v>0.54</v>
      </c>
      <c r="G14101">
        <v>0.65</v>
      </c>
      <c r="H14101" s="1" t="str">
        <f>HYPERLINK("http://www.weizmann.ac.il/complex/compphys/software/geview/data/figures/203538_at.png","Figure")</f>
        <v>Figure</v>
      </c>
      <c r="I14101">
        <v>0.77600000000000002</v>
      </c>
      <c r="J14101">
        <v>0.51</v>
      </c>
      <c r="K14101">
        <v>0.92300000000000004</v>
      </c>
      <c r="L14101">
        <v>0.91</v>
      </c>
      <c r="M14101">
        <v>1.19</v>
      </c>
      <c r="N14101">
        <v>0.69</v>
      </c>
    </row>
    <row r="14102" spans="1:14" x14ac:dyDescent="0.25">
      <c r="A14102" t="s">
        <v>23982</v>
      </c>
      <c r="B14102" t="s">
        <v>23983</v>
      </c>
      <c r="C14102" s="1" t="str">
        <f>HYPERLINK("http://www.genecards.org/cgi-bin/carddisp.pl?gene=RHCE /// RHD","GeneCards")</f>
        <v>GeneCards</v>
      </c>
      <c r="D14102" s="1" t="str">
        <f>HYPERLINK("http://genome-euro.ucsc.edu/cgi-bin/hgTracks?position=215819_s_at","UCSC")</f>
        <v>UCSC</v>
      </c>
      <c r="E14102" s="1" t="str">
        <f>HYPERLINK("http://www.ncbi.nlm.nih.gov/gene/?term=RHCE /// RHD","NCBI")</f>
        <v>NCBI</v>
      </c>
      <c r="F14102">
        <v>0.54</v>
      </c>
      <c r="G14102">
        <v>0.65</v>
      </c>
      <c r="H14102" s="1" t="str">
        <f>HYPERLINK("http://www.weizmann.ac.il/complex/compphys/software/geview/data/figures/215819_s_at.png","Figure")</f>
        <v>Figure</v>
      </c>
      <c r="I14102">
        <v>1.21</v>
      </c>
      <c r="J14102">
        <v>0.86</v>
      </c>
      <c r="K14102">
        <v>0.82799999999999996</v>
      </c>
      <c r="L14102">
        <v>0.82</v>
      </c>
      <c r="M14102">
        <v>0.68500000000000005</v>
      </c>
      <c r="N14102">
        <v>0.51</v>
      </c>
    </row>
    <row r="14103" spans="1:14" x14ac:dyDescent="0.25">
      <c r="A14103" t="s">
        <v>23984</v>
      </c>
      <c r="B14103" t="s">
        <v>23985</v>
      </c>
      <c r="C14103" s="1" t="str">
        <f>HYPERLINK("http://www.genecards.org/cgi-bin/carddisp.pl?gene=CACNA1B","GeneCards")</f>
        <v>GeneCards</v>
      </c>
      <c r="D14103" s="1" t="str">
        <f>HYPERLINK("http://genome-euro.ucsc.edu/cgi-bin/hgTracks?position=207162_s_at","UCSC")</f>
        <v>UCSC</v>
      </c>
      <c r="E14103" s="1" t="str">
        <f>HYPERLINK("http://www.ncbi.nlm.nih.gov/gene/?term=CACNA1B","NCBI")</f>
        <v>NCBI</v>
      </c>
      <c r="F14103">
        <v>0.54</v>
      </c>
      <c r="G14103">
        <v>0.65</v>
      </c>
      <c r="H14103" s="1" t="str">
        <f>HYPERLINK("http://www.weizmann.ac.il/complex/compphys/software/geview/data/figures/207162_s_at.png","Figure")</f>
        <v>Figure</v>
      </c>
      <c r="I14103">
        <v>1</v>
      </c>
      <c r="J14103">
        <v>1</v>
      </c>
      <c r="K14103">
        <v>1.04</v>
      </c>
      <c r="L14103">
        <v>0.57999999999999996</v>
      </c>
      <c r="M14103">
        <v>1.04</v>
      </c>
      <c r="N14103">
        <v>0.66</v>
      </c>
    </row>
    <row r="14104" spans="1:14" x14ac:dyDescent="0.25">
      <c r="A14104" t="s">
        <v>23986</v>
      </c>
      <c r="B14104" t="s">
        <v>23090</v>
      </c>
      <c r="C14104" s="1" t="str">
        <f>HYPERLINK("http://www.genecards.org/cgi-bin/carddisp.pl?gene=EGR1","GeneCards")</f>
        <v>GeneCards</v>
      </c>
      <c r="D14104" s="1" t="str">
        <f>HYPERLINK("http://genome-euro.ucsc.edu/cgi-bin/hgTracks?position=201693_s_at","UCSC")</f>
        <v>UCSC</v>
      </c>
      <c r="E14104" s="1" t="str">
        <f>HYPERLINK("http://www.ncbi.nlm.nih.gov/gene/?term=EGR1","NCBI")</f>
        <v>NCBI</v>
      </c>
      <c r="F14104">
        <v>0.54</v>
      </c>
      <c r="G14104">
        <v>0.65</v>
      </c>
      <c r="H14104" s="1" t="str">
        <f>HYPERLINK("http://www.weizmann.ac.il/complex/compphys/software/geview/data/figures/201693_s_at.png","Figure")</f>
        <v>Figure</v>
      </c>
      <c r="I14104">
        <v>0.69499999999999995</v>
      </c>
      <c r="J14104">
        <v>0.61</v>
      </c>
      <c r="K14104">
        <v>1.01</v>
      </c>
      <c r="L14104">
        <v>1</v>
      </c>
      <c r="M14104">
        <v>1.45</v>
      </c>
      <c r="N14104">
        <v>0.55000000000000004</v>
      </c>
    </row>
    <row r="14105" spans="1:14" x14ac:dyDescent="0.25">
      <c r="A14105" t="s">
        <v>23987</v>
      </c>
      <c r="B14105" t="s">
        <v>23988</v>
      </c>
      <c r="C14105" s="1" t="str">
        <f>HYPERLINK("http://www.genecards.org/cgi-bin/carddisp.pl?gene=SPIN1","GeneCards")</f>
        <v>GeneCards</v>
      </c>
      <c r="D14105" s="1" t="str">
        <f>HYPERLINK("http://genome-euro.ucsc.edu/cgi-bin/hgTracks?position=217813_s_at","UCSC")</f>
        <v>UCSC</v>
      </c>
      <c r="E14105" s="1" t="str">
        <f>HYPERLINK("http://www.ncbi.nlm.nih.gov/gene/?term=SPIN1","NCBI")</f>
        <v>NCBI</v>
      </c>
      <c r="F14105">
        <v>0.54</v>
      </c>
      <c r="G14105">
        <v>0.65</v>
      </c>
      <c r="H14105" s="1" t="str">
        <f>HYPERLINK("http://www.weizmann.ac.il/complex/compphys/software/geview/data/figures/217813_s_at.png","Figure")</f>
        <v>Figure</v>
      </c>
      <c r="I14105">
        <v>1.17</v>
      </c>
      <c r="J14105">
        <v>0.52</v>
      </c>
      <c r="K14105">
        <v>1.05</v>
      </c>
      <c r="L14105">
        <v>0.92</v>
      </c>
      <c r="M14105">
        <v>0.89900000000000002</v>
      </c>
      <c r="N14105">
        <v>0.69</v>
      </c>
    </row>
    <row r="14106" spans="1:14" x14ac:dyDescent="0.25">
      <c r="A14106" t="s">
        <v>23989</v>
      </c>
      <c r="B14106" t="s">
        <v>23990</v>
      </c>
      <c r="C14106" s="1" t="str">
        <f>HYPERLINK("http://www.genecards.org/cgi-bin/carddisp.pl?gene=KIAA0485","GeneCards")</f>
        <v>GeneCards</v>
      </c>
      <c r="D14106" s="1" t="str">
        <f>HYPERLINK("http://genome-euro.ucsc.edu/cgi-bin/hgTracks?position=214294_at","UCSC")</f>
        <v>UCSC</v>
      </c>
      <c r="E14106" s="1" t="str">
        <f>HYPERLINK("http://www.ncbi.nlm.nih.gov/gene/?term=KIAA0485","NCBI")</f>
        <v>NCBI</v>
      </c>
      <c r="F14106">
        <v>0.54</v>
      </c>
      <c r="G14106">
        <v>0.65</v>
      </c>
      <c r="H14106" s="1" t="str">
        <f>HYPERLINK("http://www.weizmann.ac.il/complex/compphys/software/geview/data/figures/214294_at.png","Figure")</f>
        <v>Figure</v>
      </c>
      <c r="I14106">
        <v>1.02</v>
      </c>
      <c r="J14106">
        <v>0.52</v>
      </c>
      <c r="K14106">
        <v>1.01</v>
      </c>
      <c r="L14106">
        <v>0.72</v>
      </c>
      <c r="M14106">
        <v>0.99299999999999999</v>
      </c>
      <c r="N14106">
        <v>0.89</v>
      </c>
    </row>
    <row r="14107" spans="1:14" x14ac:dyDescent="0.25">
      <c r="A14107" t="s">
        <v>23991</v>
      </c>
      <c r="B14107" t="s">
        <v>23992</v>
      </c>
      <c r="C14107" s="1" t="str">
        <f>HYPERLINK("http://www.genecards.org/cgi-bin/carddisp.pl?gene=SULT2B1","GeneCards")</f>
        <v>GeneCards</v>
      </c>
      <c r="D14107" s="1" t="str">
        <f>HYPERLINK("http://genome-euro.ucsc.edu/cgi-bin/hgTracks?position=205759_s_at","UCSC")</f>
        <v>UCSC</v>
      </c>
      <c r="E14107" s="1" t="str">
        <f>HYPERLINK("http://www.ncbi.nlm.nih.gov/gene/?term=SULT2B1","NCBI")</f>
        <v>NCBI</v>
      </c>
      <c r="F14107">
        <v>0.54</v>
      </c>
      <c r="G14107">
        <v>0.65</v>
      </c>
      <c r="H14107" s="1" t="str">
        <f>HYPERLINK("http://www.weizmann.ac.il/complex/compphys/software/geview/data/figures/205759_s_at.png","Figure")</f>
        <v>Figure</v>
      </c>
      <c r="I14107">
        <v>1.04</v>
      </c>
      <c r="J14107">
        <v>0.54</v>
      </c>
      <c r="K14107">
        <v>1.03</v>
      </c>
      <c r="L14107">
        <v>0.68</v>
      </c>
      <c r="M14107">
        <v>0.98699999999999999</v>
      </c>
      <c r="N14107">
        <v>0.93</v>
      </c>
    </row>
    <row r="14108" spans="1:14" x14ac:dyDescent="0.25">
      <c r="A14108" t="s">
        <v>23993</v>
      </c>
      <c r="B14108" s="3">
        <v>42620</v>
      </c>
      <c r="C14108" s="1" t="str">
        <f>HYPERLINK("http://www.genecards.org/cgi-bin/carddisp.pl?gene=7-Sep","GeneCards")</f>
        <v>GeneCards</v>
      </c>
      <c r="D14108" s="1" t="str">
        <f>HYPERLINK("http://genome-euro.ucsc.edu/cgi-bin/hgTracks?position=213151_s_at","UCSC")</f>
        <v>UCSC</v>
      </c>
      <c r="E14108" s="1" t="str">
        <f>HYPERLINK("http://www.ncbi.nlm.nih.gov/gene/?term=7-Sep","NCBI")</f>
        <v>NCBI</v>
      </c>
      <c r="F14108">
        <v>0.54</v>
      </c>
      <c r="G14108">
        <v>0.65</v>
      </c>
      <c r="H14108" s="1" t="str">
        <f>HYPERLINK("http://www.weizmann.ac.il/complex/compphys/software/geview/data/figures/213151_s_at.png","Figure")</f>
        <v>Figure</v>
      </c>
      <c r="I14108">
        <v>1.1599999999999999</v>
      </c>
      <c r="J14108">
        <v>0.61</v>
      </c>
      <c r="K14108">
        <v>0.99399999999999999</v>
      </c>
      <c r="L14108">
        <v>1</v>
      </c>
      <c r="M14108">
        <v>0.85599999999999998</v>
      </c>
      <c r="N14108">
        <v>0.55000000000000004</v>
      </c>
    </row>
    <row r="14109" spans="1:14" x14ac:dyDescent="0.25">
      <c r="A14109" t="s">
        <v>23994</v>
      </c>
      <c r="B14109" t="s">
        <v>9640</v>
      </c>
      <c r="C14109" s="1" t="str">
        <f>HYPERLINK("http://www.genecards.org/cgi-bin/carddisp.pl?gene=UPF1","GeneCards")</f>
        <v>GeneCards</v>
      </c>
      <c r="D14109" s="1" t="str">
        <f>HYPERLINK("http://genome-euro.ucsc.edu/cgi-bin/hgTracks?position=208947_s_at","UCSC")</f>
        <v>UCSC</v>
      </c>
      <c r="E14109" s="1" t="str">
        <f>HYPERLINK("http://www.ncbi.nlm.nih.gov/gene/?term=UPF1","NCBI")</f>
        <v>NCBI</v>
      </c>
      <c r="F14109">
        <v>0.54</v>
      </c>
      <c r="G14109">
        <v>0.65</v>
      </c>
      <c r="H14109" s="1" t="str">
        <f>HYPERLINK("http://www.weizmann.ac.il/complex/compphys/software/geview/data/figures/208947_s_at.png","Figure")</f>
        <v>Figure</v>
      </c>
      <c r="I14109">
        <v>1.1000000000000001</v>
      </c>
      <c r="J14109">
        <v>0.51</v>
      </c>
      <c r="K14109">
        <v>1.03</v>
      </c>
      <c r="L14109">
        <v>0.9</v>
      </c>
      <c r="M14109">
        <v>0.93899999999999995</v>
      </c>
      <c r="N14109">
        <v>0.71</v>
      </c>
    </row>
    <row r="14110" spans="1:14" x14ac:dyDescent="0.25">
      <c r="A14110" t="s">
        <v>23995</v>
      </c>
      <c r="B14110" t="s">
        <v>18653</v>
      </c>
      <c r="C14110" s="1" t="str">
        <f>HYPERLINK("http://www.genecards.org/cgi-bin/carddisp.pl?gene=TMEM194A","GeneCards")</f>
        <v>GeneCards</v>
      </c>
      <c r="D14110" s="1" t="str">
        <f>HYPERLINK("http://genome-euro.ucsc.edu/cgi-bin/hgTracks?position=212619_at","UCSC")</f>
        <v>UCSC</v>
      </c>
      <c r="E14110" s="1" t="str">
        <f>HYPERLINK("http://www.ncbi.nlm.nih.gov/gene/?term=TMEM194A","NCBI")</f>
        <v>NCBI</v>
      </c>
      <c r="F14110">
        <v>0.54</v>
      </c>
      <c r="G14110">
        <v>0.65</v>
      </c>
      <c r="H14110" s="1" t="str">
        <f>HYPERLINK("http://www.weizmann.ac.il/complex/compphys/software/geview/data/figures/212619_at.png","Figure")</f>
        <v>Figure</v>
      </c>
      <c r="I14110">
        <v>0.96899999999999997</v>
      </c>
      <c r="J14110">
        <v>0.83</v>
      </c>
      <c r="K14110">
        <v>0.94899999999999995</v>
      </c>
      <c r="L14110">
        <v>0.51</v>
      </c>
      <c r="M14110">
        <v>0.97899999999999998</v>
      </c>
      <c r="N14110">
        <v>0.9</v>
      </c>
    </row>
    <row r="14111" spans="1:14" x14ac:dyDescent="0.25">
      <c r="A14111" t="s">
        <v>23996</v>
      </c>
      <c r="B14111" t="s">
        <v>11588</v>
      </c>
      <c r="C14111" s="1" t="str">
        <f>HYPERLINK("http://www.genecards.org/cgi-bin/carddisp.pl?gene=ACTR3","GeneCards")</f>
        <v>GeneCards</v>
      </c>
      <c r="D14111" s="1" t="str">
        <f>HYPERLINK("http://genome-euro.ucsc.edu/cgi-bin/hgTracks?position=213101_s_at","UCSC")</f>
        <v>UCSC</v>
      </c>
      <c r="E14111" s="1" t="str">
        <f>HYPERLINK("http://www.ncbi.nlm.nih.gov/gene/?term=ACTR3","NCBI")</f>
        <v>NCBI</v>
      </c>
      <c r="F14111">
        <v>0.54</v>
      </c>
      <c r="G14111">
        <v>0.65</v>
      </c>
      <c r="H14111" s="1" t="str">
        <f>HYPERLINK("http://www.weizmann.ac.il/complex/compphys/software/geview/data/figures/213101_s_at.png","Figure")</f>
        <v>Figure</v>
      </c>
      <c r="I14111">
        <v>1.05</v>
      </c>
      <c r="J14111">
        <v>0.97</v>
      </c>
      <c r="K14111">
        <v>1.19</v>
      </c>
      <c r="L14111">
        <v>0.54</v>
      </c>
      <c r="M14111">
        <v>1.1399999999999999</v>
      </c>
      <c r="N14111">
        <v>0.74</v>
      </c>
    </row>
    <row r="14112" spans="1:14" x14ac:dyDescent="0.25">
      <c r="A14112" t="s">
        <v>23997</v>
      </c>
      <c r="B14112" t="s">
        <v>10505</v>
      </c>
      <c r="C14112" s="1" t="str">
        <f>HYPERLINK("http://www.genecards.org/cgi-bin/carddisp.pl?gene=FBXO11","GeneCards")</f>
        <v>GeneCards</v>
      </c>
      <c r="D14112" s="1" t="str">
        <f>HYPERLINK("http://genome-euro.ucsc.edu/cgi-bin/hgTracks?position=203255_at","UCSC")</f>
        <v>UCSC</v>
      </c>
      <c r="E14112" s="1" t="str">
        <f>HYPERLINK("http://www.ncbi.nlm.nih.gov/gene/?term=FBXO11","NCBI")</f>
        <v>NCBI</v>
      </c>
      <c r="F14112">
        <v>0.54</v>
      </c>
      <c r="G14112">
        <v>0.65</v>
      </c>
      <c r="H14112" s="1" t="str">
        <f>HYPERLINK("http://www.weizmann.ac.il/complex/compphys/software/geview/data/figures/203255_at.png","Figure")</f>
        <v>Figure</v>
      </c>
      <c r="I14112">
        <v>1.1299999999999999</v>
      </c>
      <c r="J14112">
        <v>0.72</v>
      </c>
      <c r="K14112">
        <v>1.17</v>
      </c>
      <c r="L14112">
        <v>0.52</v>
      </c>
      <c r="M14112">
        <v>1.03</v>
      </c>
      <c r="N14112">
        <v>0.97</v>
      </c>
    </row>
    <row r="14113" spans="1:14" x14ac:dyDescent="0.25">
      <c r="A14113" t="s">
        <v>23998</v>
      </c>
      <c r="B14113" t="s">
        <v>19852</v>
      </c>
      <c r="C14113" s="1" t="str">
        <f>HYPERLINK("http://www.genecards.org/cgi-bin/carddisp.pl?gene=RELA","GeneCards")</f>
        <v>GeneCards</v>
      </c>
      <c r="D14113" s="1" t="str">
        <f>HYPERLINK("http://genome-euro.ucsc.edu/cgi-bin/hgTracks?position=209878_s_at","UCSC")</f>
        <v>UCSC</v>
      </c>
      <c r="E14113" s="1" t="str">
        <f>HYPERLINK("http://www.ncbi.nlm.nih.gov/gene/?term=RELA","NCBI")</f>
        <v>NCBI</v>
      </c>
      <c r="F14113">
        <v>0.54</v>
      </c>
      <c r="G14113">
        <v>0.65</v>
      </c>
      <c r="H14113" s="1" t="str">
        <f>HYPERLINK("http://www.weizmann.ac.il/complex/compphys/software/geview/data/figures/209878_s_at.png","Figure")</f>
        <v>Figure</v>
      </c>
      <c r="I14113">
        <v>1.0900000000000001</v>
      </c>
      <c r="J14113">
        <v>0.52</v>
      </c>
      <c r="K14113">
        <v>1.02</v>
      </c>
      <c r="L14113">
        <v>0.93</v>
      </c>
      <c r="M14113">
        <v>0.93700000000000006</v>
      </c>
      <c r="N14113">
        <v>0.67</v>
      </c>
    </row>
    <row r="14114" spans="1:14" x14ac:dyDescent="0.25">
      <c r="A14114" t="s">
        <v>23999</v>
      </c>
      <c r="B14114" t="s">
        <v>9406</v>
      </c>
      <c r="C14114" s="1" t="str">
        <f>HYPERLINK("http://www.genecards.org/cgi-bin/carddisp.pl?gene=GOSR2","GeneCards")</f>
        <v>GeneCards</v>
      </c>
      <c r="D14114" s="1" t="str">
        <f>HYPERLINK("http://genome-euro.ucsc.edu/cgi-bin/hgTracks?position=213144_at","UCSC")</f>
        <v>UCSC</v>
      </c>
      <c r="E14114" s="1" t="str">
        <f>HYPERLINK("http://www.ncbi.nlm.nih.gov/gene/?term=GOSR2","NCBI")</f>
        <v>NCBI</v>
      </c>
      <c r="F14114">
        <v>0.54</v>
      </c>
      <c r="G14114">
        <v>0.65</v>
      </c>
      <c r="H14114" s="1" t="str">
        <f>HYPERLINK("http://www.weizmann.ac.il/complex/compphys/software/geview/data/figures/213144_at.png","Figure")</f>
        <v>Figure</v>
      </c>
      <c r="I14114">
        <v>1.06</v>
      </c>
      <c r="J14114">
        <v>0.72</v>
      </c>
      <c r="K14114">
        <v>1.07</v>
      </c>
      <c r="L14114">
        <v>0.52</v>
      </c>
      <c r="M14114">
        <v>1.01</v>
      </c>
      <c r="N14114">
        <v>0.98</v>
      </c>
    </row>
    <row r="14115" spans="1:14" x14ac:dyDescent="0.25">
      <c r="A14115" t="s">
        <v>24000</v>
      </c>
      <c r="B14115" t="s">
        <v>24001</v>
      </c>
      <c r="C14115" s="1" t="str">
        <f>HYPERLINK("http://www.genecards.org/cgi-bin/carddisp.pl?gene=ABHD4","GeneCards")</f>
        <v>GeneCards</v>
      </c>
      <c r="D14115" s="1" t="str">
        <f>HYPERLINK("http://genome-euro.ucsc.edu/cgi-bin/hgTracks?position=218581_at","UCSC")</f>
        <v>UCSC</v>
      </c>
      <c r="E14115" s="1" t="str">
        <f>HYPERLINK("http://www.ncbi.nlm.nih.gov/gene/?term=ABHD4","NCBI")</f>
        <v>NCBI</v>
      </c>
      <c r="F14115">
        <v>0.54</v>
      </c>
      <c r="G14115">
        <v>0.65</v>
      </c>
      <c r="H14115" s="1" t="str">
        <f>HYPERLINK("http://www.weizmann.ac.il/complex/compphys/software/geview/data/figures/218581_at.png","Figure")</f>
        <v>Figure</v>
      </c>
      <c r="I14115">
        <v>1.1000000000000001</v>
      </c>
      <c r="J14115">
        <v>0.51</v>
      </c>
      <c r="K14115">
        <v>1.04</v>
      </c>
      <c r="L14115">
        <v>0.87</v>
      </c>
      <c r="M14115">
        <v>0.94299999999999995</v>
      </c>
      <c r="N14115">
        <v>0.75</v>
      </c>
    </row>
    <row r="14116" spans="1:14" x14ac:dyDescent="0.25">
      <c r="A14116" t="s">
        <v>24002</v>
      </c>
      <c r="B14116" t="s">
        <v>18915</v>
      </c>
      <c r="C14116" s="1" t="str">
        <f>HYPERLINK("http://www.genecards.org/cgi-bin/carddisp.pl?gene=TPD52","GeneCards")</f>
        <v>GeneCards</v>
      </c>
      <c r="D14116" s="1" t="str">
        <f>HYPERLINK("http://genome-euro.ucsc.edu/cgi-bin/hgTracks?position=201688_s_at","UCSC")</f>
        <v>UCSC</v>
      </c>
      <c r="E14116" s="1" t="str">
        <f>HYPERLINK("http://www.ncbi.nlm.nih.gov/gene/?term=TPD52","NCBI")</f>
        <v>NCBI</v>
      </c>
      <c r="F14116">
        <v>0.54</v>
      </c>
      <c r="G14116">
        <v>0.65</v>
      </c>
      <c r="H14116" s="1" t="str">
        <f>HYPERLINK("http://www.weizmann.ac.il/complex/compphys/software/geview/data/figures/201688_s_at.png","Figure")</f>
        <v>Figure</v>
      </c>
      <c r="I14116">
        <v>0.82799999999999996</v>
      </c>
      <c r="J14116">
        <v>0.62</v>
      </c>
      <c r="K14116">
        <v>0.83499999999999996</v>
      </c>
      <c r="L14116">
        <v>0.56999999999999995</v>
      </c>
      <c r="M14116">
        <v>1.01</v>
      </c>
      <c r="N14116">
        <v>1</v>
      </c>
    </row>
    <row r="14117" spans="1:14" x14ac:dyDescent="0.25">
      <c r="A14117" t="s">
        <v>24003</v>
      </c>
      <c r="B14117" t="s">
        <v>24004</v>
      </c>
      <c r="C14117" s="1" t="str">
        <f>HYPERLINK("http://www.genecards.org/cgi-bin/carddisp.pl?gene=ATP6V1E1","GeneCards")</f>
        <v>GeneCards</v>
      </c>
      <c r="D14117" s="1" t="str">
        <f>HYPERLINK("http://genome-euro.ucsc.edu/cgi-bin/hgTracks?position=208678_at","UCSC")</f>
        <v>UCSC</v>
      </c>
      <c r="E14117" s="1" t="str">
        <f>HYPERLINK("http://www.ncbi.nlm.nih.gov/gene/?term=ATP6V1E1","NCBI")</f>
        <v>NCBI</v>
      </c>
      <c r="F14117">
        <v>0.54</v>
      </c>
      <c r="G14117">
        <v>0.65</v>
      </c>
      <c r="H14117" s="1" t="str">
        <f>HYPERLINK("http://www.weizmann.ac.il/complex/compphys/software/geview/data/figures/208678_at.png","Figure")</f>
        <v>Figure</v>
      </c>
      <c r="I14117">
        <v>1.18</v>
      </c>
      <c r="J14117">
        <v>0.59</v>
      </c>
      <c r="K14117">
        <v>1</v>
      </c>
      <c r="L14117">
        <v>1</v>
      </c>
      <c r="M14117">
        <v>0.85199999999999998</v>
      </c>
      <c r="N14117">
        <v>0.56999999999999995</v>
      </c>
    </row>
    <row r="14118" spans="1:14" x14ac:dyDescent="0.25">
      <c r="A14118" t="s">
        <v>24005</v>
      </c>
      <c r="B14118" t="s">
        <v>24006</v>
      </c>
      <c r="C14118" s="1" t="str">
        <f>HYPERLINK("http://www.genecards.org/cgi-bin/carddisp.pl?gene=GTF2E1","GeneCards")</f>
        <v>GeneCards</v>
      </c>
      <c r="D14118" s="1" t="str">
        <f>HYPERLINK("http://genome-euro.ucsc.edu/cgi-bin/hgTracks?position=205930_at","UCSC")</f>
        <v>UCSC</v>
      </c>
      <c r="E14118" s="1" t="str">
        <f>HYPERLINK("http://www.ncbi.nlm.nih.gov/gene/?term=GTF2E1","NCBI")</f>
        <v>NCBI</v>
      </c>
      <c r="F14118">
        <v>0.54</v>
      </c>
      <c r="G14118">
        <v>0.65</v>
      </c>
      <c r="H14118" s="1" t="str">
        <f>HYPERLINK("http://www.weizmann.ac.il/complex/compphys/software/geview/data/figures/205930_at.png","Figure")</f>
        <v>Figure</v>
      </c>
      <c r="I14118">
        <v>0.81100000000000005</v>
      </c>
      <c r="J14118">
        <v>0.64</v>
      </c>
      <c r="K14118">
        <v>0.81200000000000006</v>
      </c>
      <c r="L14118">
        <v>0.56000000000000005</v>
      </c>
      <c r="M14118">
        <v>1</v>
      </c>
      <c r="N14118">
        <v>1</v>
      </c>
    </row>
    <row r="14119" spans="1:14" x14ac:dyDescent="0.25">
      <c r="A14119" t="s">
        <v>24007</v>
      </c>
      <c r="B14119" t="s">
        <v>24008</v>
      </c>
      <c r="C14119" s="1" t="str">
        <f>HYPERLINK("http://www.genecards.org/cgi-bin/carddisp.pl?gene=BMS1","GeneCards")</f>
        <v>GeneCards</v>
      </c>
      <c r="D14119" s="1" t="str">
        <f>HYPERLINK("http://genome-euro.ucsc.edu/cgi-bin/hgTracks?position=203082_at","UCSC")</f>
        <v>UCSC</v>
      </c>
      <c r="E14119" s="1" t="str">
        <f>HYPERLINK("http://www.ncbi.nlm.nih.gov/gene/?term=BMS1","NCBI")</f>
        <v>NCBI</v>
      </c>
      <c r="F14119">
        <v>0.54</v>
      </c>
      <c r="G14119">
        <v>0.65</v>
      </c>
      <c r="H14119" s="1" t="str">
        <f>HYPERLINK("http://www.weizmann.ac.il/complex/compphys/software/geview/data/figures/203082_at.png","Figure")</f>
        <v>Figure</v>
      </c>
      <c r="I14119">
        <v>0.85299999999999998</v>
      </c>
      <c r="J14119">
        <v>0.67</v>
      </c>
      <c r="K14119">
        <v>1.03</v>
      </c>
      <c r="L14119">
        <v>0.98</v>
      </c>
      <c r="M14119">
        <v>1.21</v>
      </c>
      <c r="N14119">
        <v>0.53</v>
      </c>
    </row>
    <row r="14120" spans="1:14" x14ac:dyDescent="0.25">
      <c r="A14120" t="s">
        <v>24009</v>
      </c>
      <c r="B14120" t="s">
        <v>24010</v>
      </c>
      <c r="C14120" s="1" t="str">
        <f>HYPERLINK("http://www.genecards.org/cgi-bin/carddisp.pl?gene=TRMT2B","GeneCards")</f>
        <v>GeneCards</v>
      </c>
      <c r="D14120" s="1" t="str">
        <f>HYPERLINK("http://genome-euro.ucsc.edu/cgi-bin/hgTracks?position=205238_at","UCSC")</f>
        <v>UCSC</v>
      </c>
      <c r="E14120" s="1" t="str">
        <f>HYPERLINK("http://www.ncbi.nlm.nih.gov/gene/?term=TRMT2B","NCBI")</f>
        <v>NCBI</v>
      </c>
      <c r="F14120">
        <v>0.54</v>
      </c>
      <c r="G14120">
        <v>0.65</v>
      </c>
      <c r="H14120" s="1" t="str">
        <f>HYPERLINK("http://www.weizmann.ac.il/complex/compphys/software/geview/data/figures/205238_at.png","Figure")</f>
        <v>Figure</v>
      </c>
      <c r="I14120">
        <v>0.89200000000000002</v>
      </c>
      <c r="J14120">
        <v>0.54</v>
      </c>
      <c r="K14120">
        <v>0.92600000000000005</v>
      </c>
      <c r="L14120">
        <v>0.68</v>
      </c>
      <c r="M14120">
        <v>1.04</v>
      </c>
      <c r="N14120">
        <v>0.92</v>
      </c>
    </row>
    <row r="14121" spans="1:14" x14ac:dyDescent="0.25">
      <c r="A14121" t="s">
        <v>24011</v>
      </c>
      <c r="B14121" t="s">
        <v>20746</v>
      </c>
      <c r="C14121" s="1" t="str">
        <f>HYPERLINK("http://www.genecards.org/cgi-bin/carddisp.pl?gene=KPNB1","GeneCards")</f>
        <v>GeneCards</v>
      </c>
      <c r="D14121" s="1" t="str">
        <f>HYPERLINK("http://genome-euro.ucsc.edu/cgi-bin/hgTracks?position=208974_x_at","UCSC")</f>
        <v>UCSC</v>
      </c>
      <c r="E14121" s="1" t="str">
        <f>HYPERLINK("http://www.ncbi.nlm.nih.gov/gene/?term=KPNB1","NCBI")</f>
        <v>NCBI</v>
      </c>
      <c r="F14121">
        <v>0.54</v>
      </c>
      <c r="G14121">
        <v>0.65</v>
      </c>
      <c r="H14121" s="1" t="str">
        <f>HYPERLINK("http://www.weizmann.ac.il/complex/compphys/software/geview/data/figures/208974_x_at.png","Figure")</f>
        <v>Figure</v>
      </c>
      <c r="I14121">
        <v>0.92900000000000005</v>
      </c>
      <c r="J14121">
        <v>0.9</v>
      </c>
      <c r="K14121">
        <v>1.1000000000000001</v>
      </c>
      <c r="L14121">
        <v>0.78</v>
      </c>
      <c r="M14121">
        <v>1.19</v>
      </c>
      <c r="N14121">
        <v>0.53</v>
      </c>
    </row>
    <row r="14122" spans="1:14" x14ac:dyDescent="0.25">
      <c r="A14122" t="s">
        <v>24012</v>
      </c>
      <c r="B14122" t="s">
        <v>24013</v>
      </c>
      <c r="C14122" s="1" t="str">
        <f>HYPERLINK("http://www.genecards.org/cgi-bin/carddisp.pl?gene=C4BPB","GeneCards")</f>
        <v>GeneCards</v>
      </c>
      <c r="D14122" s="1" t="str">
        <f>HYPERLINK("http://genome-euro.ucsc.edu/cgi-bin/hgTracks?position=208209_s_at","UCSC")</f>
        <v>UCSC</v>
      </c>
      <c r="E14122" s="1" t="str">
        <f>HYPERLINK("http://www.ncbi.nlm.nih.gov/gene/?term=C4BPB","NCBI")</f>
        <v>NCBI</v>
      </c>
      <c r="F14122">
        <v>0.54</v>
      </c>
      <c r="G14122">
        <v>0.65</v>
      </c>
      <c r="H14122" s="1" t="str">
        <f>HYPERLINK("http://www.weizmann.ac.il/complex/compphys/software/geview/data/figures/208209_s_at.png","Figure")</f>
        <v>Figure</v>
      </c>
      <c r="I14122">
        <v>1.03</v>
      </c>
      <c r="J14122">
        <v>0.66</v>
      </c>
      <c r="K14122">
        <v>0.996</v>
      </c>
      <c r="L14122">
        <v>0.98</v>
      </c>
      <c r="M14122">
        <v>0.97</v>
      </c>
      <c r="N14122">
        <v>0.53</v>
      </c>
    </row>
    <row r="14123" spans="1:14" x14ac:dyDescent="0.25">
      <c r="A14123" t="s">
        <v>24014</v>
      </c>
      <c r="B14123" t="s">
        <v>24015</v>
      </c>
      <c r="C14123" s="1" t="str">
        <f>HYPERLINK("http://www.genecards.org/cgi-bin/carddisp.pl?gene=CNR1","GeneCards")</f>
        <v>GeneCards</v>
      </c>
      <c r="D14123" s="1" t="str">
        <f>HYPERLINK("http://genome-euro.ucsc.edu/cgi-bin/hgTracks?position=208243_s_at","UCSC")</f>
        <v>UCSC</v>
      </c>
      <c r="E14123" s="1" t="str">
        <f>HYPERLINK("http://www.ncbi.nlm.nih.gov/gene/?term=CNR1","NCBI")</f>
        <v>NCBI</v>
      </c>
      <c r="F14123">
        <v>0.54</v>
      </c>
      <c r="G14123">
        <v>0.65</v>
      </c>
      <c r="H14123" s="1" t="str">
        <f>HYPERLINK("http://www.weizmann.ac.il/complex/compphys/software/geview/data/figures/208243_s_at.png","Figure")</f>
        <v>Figure</v>
      </c>
      <c r="I14123">
        <v>1</v>
      </c>
      <c r="J14123">
        <v>0.74</v>
      </c>
      <c r="K14123">
        <v>1.01</v>
      </c>
      <c r="L14123">
        <v>0.52</v>
      </c>
      <c r="M14123">
        <v>1</v>
      </c>
      <c r="N14123">
        <v>0.97</v>
      </c>
    </row>
    <row r="14124" spans="1:14" x14ac:dyDescent="0.25">
      <c r="A14124" t="s">
        <v>24016</v>
      </c>
      <c r="B14124" t="s">
        <v>24017</v>
      </c>
      <c r="C14124" s="1" t="str">
        <f>HYPERLINK("http://www.genecards.org/cgi-bin/carddisp.pl?gene=KRT18","GeneCards")</f>
        <v>GeneCards</v>
      </c>
      <c r="D14124" s="1" t="str">
        <f>HYPERLINK("http://genome-euro.ucsc.edu/cgi-bin/hgTracks?position=201596_x_at","UCSC")</f>
        <v>UCSC</v>
      </c>
      <c r="E14124" s="1" t="str">
        <f>HYPERLINK("http://www.ncbi.nlm.nih.gov/gene/?term=KRT18","NCBI")</f>
        <v>NCBI</v>
      </c>
      <c r="F14124">
        <v>0.54</v>
      </c>
      <c r="G14124">
        <v>0.65</v>
      </c>
      <c r="H14124" s="1" t="str">
        <f>HYPERLINK("http://www.weizmann.ac.il/complex/compphys/software/geview/data/figures/201596_x_at.png","Figure")</f>
        <v>Figure</v>
      </c>
      <c r="I14124">
        <v>1.08</v>
      </c>
      <c r="J14124">
        <v>0.56999999999999995</v>
      </c>
      <c r="K14124">
        <v>1.06</v>
      </c>
      <c r="L14124">
        <v>0.63</v>
      </c>
      <c r="M14124">
        <v>0.98399999999999999</v>
      </c>
      <c r="N14124">
        <v>0.97</v>
      </c>
    </row>
    <row r="14125" spans="1:14" x14ac:dyDescent="0.25">
      <c r="A14125" t="s">
        <v>24018</v>
      </c>
      <c r="B14125" t="s">
        <v>19160</v>
      </c>
      <c r="C14125" s="1" t="str">
        <f>HYPERLINK("http://www.genecards.org/cgi-bin/carddisp.pl?gene=TRAF4","GeneCards")</f>
        <v>GeneCards</v>
      </c>
      <c r="D14125" s="1" t="str">
        <f>HYPERLINK("http://genome-euro.ucsc.edu/cgi-bin/hgTracks?position=211899_s_at","UCSC")</f>
        <v>UCSC</v>
      </c>
      <c r="E14125" s="1" t="str">
        <f>HYPERLINK("http://www.ncbi.nlm.nih.gov/gene/?term=TRAF4","NCBI")</f>
        <v>NCBI</v>
      </c>
      <c r="F14125">
        <v>0.54</v>
      </c>
      <c r="G14125">
        <v>0.65</v>
      </c>
      <c r="H14125" s="1" t="str">
        <f>HYPERLINK("http://www.weizmann.ac.il/complex/compphys/software/geview/data/figures/211899_s_at.png","Figure")</f>
        <v>Figure</v>
      </c>
      <c r="I14125">
        <v>1.0900000000000001</v>
      </c>
      <c r="J14125">
        <v>0.55000000000000004</v>
      </c>
      <c r="K14125">
        <v>1.01</v>
      </c>
      <c r="L14125">
        <v>0.98</v>
      </c>
      <c r="M14125">
        <v>0.93100000000000005</v>
      </c>
      <c r="N14125">
        <v>0.61</v>
      </c>
    </row>
    <row r="14126" spans="1:14" x14ac:dyDescent="0.25">
      <c r="A14126" t="s">
        <v>24019</v>
      </c>
      <c r="B14126" t="s">
        <v>24020</v>
      </c>
      <c r="C14126" s="1" t="str">
        <f>HYPERLINK("http://www.genecards.org/cgi-bin/carddisp.pl?gene=DDX46","GeneCards")</f>
        <v>GeneCards</v>
      </c>
      <c r="D14126" s="1" t="str">
        <f>HYPERLINK("http://genome-euro.ucsc.edu/cgi-bin/hgTracks?position=202462_s_at","UCSC")</f>
        <v>UCSC</v>
      </c>
      <c r="E14126" s="1" t="str">
        <f>HYPERLINK("http://www.ncbi.nlm.nih.gov/gene/?term=DDX46","NCBI")</f>
        <v>NCBI</v>
      </c>
      <c r="F14126">
        <v>0.54</v>
      </c>
      <c r="G14126">
        <v>0.65</v>
      </c>
      <c r="H14126" s="1" t="str">
        <f>HYPERLINK("http://www.weizmann.ac.il/complex/compphys/software/geview/data/figures/202462_s_at.png","Figure")</f>
        <v>Figure</v>
      </c>
      <c r="I14126">
        <v>1.08</v>
      </c>
      <c r="J14126">
        <v>0.82</v>
      </c>
      <c r="K14126">
        <v>1.1299999999999999</v>
      </c>
      <c r="L14126">
        <v>0.51</v>
      </c>
      <c r="M14126">
        <v>1.05</v>
      </c>
      <c r="N14126">
        <v>0.91</v>
      </c>
    </row>
    <row r="14127" spans="1:14" x14ac:dyDescent="0.25">
      <c r="A14127" t="s">
        <v>24021</v>
      </c>
      <c r="B14127" t="s">
        <v>24022</v>
      </c>
      <c r="C14127" s="1" t="str">
        <f>HYPERLINK("http://www.genecards.org/cgi-bin/carddisp.pl?gene=C16orf45","GeneCards")</f>
        <v>GeneCards</v>
      </c>
      <c r="D14127" s="1" t="str">
        <f>HYPERLINK("http://genome-euro.ucsc.edu/cgi-bin/hgTracks?position=212736_at","UCSC")</f>
        <v>UCSC</v>
      </c>
      <c r="E14127" s="1" t="str">
        <f>HYPERLINK("http://www.ncbi.nlm.nih.gov/gene/?term=C16orf45","NCBI")</f>
        <v>NCBI</v>
      </c>
      <c r="F14127">
        <v>0.54</v>
      </c>
      <c r="G14127">
        <v>0.65</v>
      </c>
      <c r="H14127" s="1" t="str">
        <f>HYPERLINK("http://www.weizmann.ac.il/complex/compphys/software/geview/data/figures/212736_at.png","Figure")</f>
        <v>Figure</v>
      </c>
      <c r="I14127">
        <v>0.89800000000000002</v>
      </c>
      <c r="J14127">
        <v>0.51</v>
      </c>
      <c r="K14127">
        <v>0.94899999999999995</v>
      </c>
      <c r="L14127">
        <v>0.81</v>
      </c>
      <c r="M14127">
        <v>1.06</v>
      </c>
      <c r="N14127">
        <v>0.81</v>
      </c>
    </row>
    <row r="14128" spans="1:14" x14ac:dyDescent="0.25">
      <c r="A14128" t="s">
        <v>24023</v>
      </c>
      <c r="B14128" t="s">
        <v>24024</v>
      </c>
      <c r="C14128" s="1" t="str">
        <f>HYPERLINK("http://www.genecards.org/cgi-bin/carddisp.pl?gene=LOC100289208 /// PHLDA1","GeneCards")</f>
        <v>GeneCards</v>
      </c>
      <c r="D14128" s="1" t="str">
        <f>HYPERLINK("http://genome-euro.ucsc.edu/cgi-bin/hgTracks?position=217998_at","UCSC")</f>
        <v>UCSC</v>
      </c>
      <c r="E14128" s="1" t="str">
        <f>HYPERLINK("http://www.ncbi.nlm.nih.gov/gene/?term=LOC100289208 /// PHLDA1","NCBI")</f>
        <v>NCBI</v>
      </c>
      <c r="F14128">
        <v>0.54</v>
      </c>
      <c r="G14128">
        <v>0.65</v>
      </c>
      <c r="H14128" s="1" t="str">
        <f>HYPERLINK("http://www.weizmann.ac.il/complex/compphys/software/geview/data/figures/217998_at.png","Figure")</f>
        <v>Figure</v>
      </c>
      <c r="I14128">
        <v>1.1399999999999999</v>
      </c>
      <c r="J14128">
        <v>0.64</v>
      </c>
      <c r="K14128">
        <v>0.98399999999999999</v>
      </c>
      <c r="L14128">
        <v>0.99</v>
      </c>
      <c r="M14128">
        <v>0.86699999999999999</v>
      </c>
      <c r="N14128">
        <v>0.54</v>
      </c>
    </row>
    <row r="14129" spans="1:14" x14ac:dyDescent="0.25">
      <c r="A14129" t="s">
        <v>24025</v>
      </c>
      <c r="B14129" t="s">
        <v>11730</v>
      </c>
      <c r="C14129" s="1" t="str">
        <f>HYPERLINK("http://www.genecards.org/cgi-bin/carddisp.pl?gene=ENGASE","GeneCards")</f>
        <v>GeneCards</v>
      </c>
      <c r="D14129" s="1" t="str">
        <f>HYPERLINK("http://genome-euro.ucsc.edu/cgi-bin/hgTracks?position=65635_at","UCSC")</f>
        <v>UCSC</v>
      </c>
      <c r="E14129" s="1" t="str">
        <f>HYPERLINK("http://www.ncbi.nlm.nih.gov/gene/?term=ENGASE","NCBI")</f>
        <v>NCBI</v>
      </c>
      <c r="F14129">
        <v>0.54</v>
      </c>
      <c r="G14129">
        <v>0.65</v>
      </c>
      <c r="H14129" s="1" t="str">
        <f>HYPERLINK("http://www.weizmann.ac.il/complex/compphys/software/geview/data/figures/65635_at.png","Figure")</f>
        <v>Figure</v>
      </c>
      <c r="I14129">
        <v>1.0900000000000001</v>
      </c>
      <c r="J14129">
        <v>0.81</v>
      </c>
      <c r="K14129">
        <v>1.1499999999999999</v>
      </c>
      <c r="L14129">
        <v>0.51</v>
      </c>
      <c r="M14129">
        <v>1.05</v>
      </c>
      <c r="N14129">
        <v>0.92</v>
      </c>
    </row>
    <row r="14130" spans="1:14" x14ac:dyDescent="0.25">
      <c r="A14130" t="s">
        <v>24026</v>
      </c>
      <c r="B14130" t="s">
        <v>13129</v>
      </c>
      <c r="C14130" s="1" t="str">
        <f>HYPERLINK("http://www.genecards.org/cgi-bin/carddisp.pl?gene=MCM4","GeneCards")</f>
        <v>GeneCards</v>
      </c>
      <c r="D14130" s="1" t="str">
        <f>HYPERLINK("http://genome-euro.ucsc.edu/cgi-bin/hgTracks?position=212141_at","UCSC")</f>
        <v>UCSC</v>
      </c>
      <c r="E14130" s="1" t="str">
        <f>HYPERLINK("http://www.ncbi.nlm.nih.gov/gene/?term=MCM4","NCBI")</f>
        <v>NCBI</v>
      </c>
      <c r="F14130">
        <v>0.54</v>
      </c>
      <c r="G14130">
        <v>0.65</v>
      </c>
      <c r="H14130" s="1" t="str">
        <f>HYPERLINK("http://www.weizmann.ac.il/complex/compphys/software/geview/data/figures/212141_at.png","Figure")</f>
        <v>Figure</v>
      </c>
      <c r="I14130">
        <v>1.18</v>
      </c>
      <c r="J14130">
        <v>0.68</v>
      </c>
      <c r="K14130">
        <v>1.21</v>
      </c>
      <c r="L14130">
        <v>0.54</v>
      </c>
      <c r="M14130">
        <v>1.02</v>
      </c>
      <c r="N14130">
        <v>0.99</v>
      </c>
    </row>
    <row r="14131" spans="1:14" x14ac:dyDescent="0.25">
      <c r="A14131" t="s">
        <v>24027</v>
      </c>
      <c r="B14131" t="s">
        <v>24028</v>
      </c>
      <c r="C14131" s="1" t="str">
        <f>HYPERLINK("http://www.genecards.org/cgi-bin/carddisp.pl?gene=DUSP22","GeneCards")</f>
        <v>GeneCards</v>
      </c>
      <c r="D14131" s="1" t="str">
        <f>HYPERLINK("http://genome-euro.ucsc.edu/cgi-bin/hgTracks?position=218845_at","UCSC")</f>
        <v>UCSC</v>
      </c>
      <c r="E14131" s="1" t="str">
        <f>HYPERLINK("http://www.ncbi.nlm.nih.gov/gene/?term=DUSP22","NCBI")</f>
        <v>NCBI</v>
      </c>
      <c r="F14131">
        <v>0.54</v>
      </c>
      <c r="G14131">
        <v>0.65</v>
      </c>
      <c r="H14131" s="1" t="str">
        <f>HYPERLINK("http://www.weizmann.ac.il/complex/compphys/software/geview/data/figures/218845_at.png","Figure")</f>
        <v>Figure</v>
      </c>
      <c r="I14131">
        <v>0.85899999999999999</v>
      </c>
      <c r="J14131">
        <v>0.65</v>
      </c>
      <c r="K14131">
        <v>1.02</v>
      </c>
      <c r="L14131">
        <v>0.99</v>
      </c>
      <c r="M14131">
        <v>1.19</v>
      </c>
      <c r="N14131">
        <v>0.53</v>
      </c>
    </row>
    <row r="14132" spans="1:14" x14ac:dyDescent="0.25">
      <c r="A14132" t="s">
        <v>24029</v>
      </c>
      <c r="B14132" t="s">
        <v>4773</v>
      </c>
      <c r="C14132" s="1" t="str">
        <f>HYPERLINK("http://www.genecards.org/cgi-bin/carddisp.pl?gene=DMPK","GeneCards")</f>
        <v>GeneCards</v>
      </c>
      <c r="D14132" s="1" t="str">
        <f>HYPERLINK("http://genome-euro.ucsc.edu/cgi-bin/hgTracks?position=37996_s_at","UCSC")</f>
        <v>UCSC</v>
      </c>
      <c r="E14132" s="1" t="str">
        <f>HYPERLINK("http://www.ncbi.nlm.nih.gov/gene/?term=DMPK","NCBI")</f>
        <v>NCBI</v>
      </c>
      <c r="F14132">
        <v>0.54</v>
      </c>
      <c r="G14132">
        <v>0.65</v>
      </c>
      <c r="H14132" s="1" t="str">
        <f>HYPERLINK("http://www.weizmann.ac.il/complex/compphys/software/geview/data/figures/37996_s_at.png","Figure")</f>
        <v>Figure</v>
      </c>
      <c r="I14132">
        <v>0.89900000000000002</v>
      </c>
      <c r="J14132">
        <v>0.56000000000000005</v>
      </c>
      <c r="K14132">
        <v>0.92100000000000004</v>
      </c>
      <c r="L14132">
        <v>0.64</v>
      </c>
      <c r="M14132">
        <v>1.02</v>
      </c>
      <c r="N14132">
        <v>0.96</v>
      </c>
    </row>
    <row r="14133" spans="1:14" x14ac:dyDescent="0.25">
      <c r="A14133" t="s">
        <v>24030</v>
      </c>
      <c r="B14133" t="s">
        <v>17591</v>
      </c>
      <c r="C14133" s="1" t="str">
        <f>HYPERLINK("http://www.genecards.org/cgi-bin/carddisp.pl?gene=SLC22A7","GeneCards")</f>
        <v>GeneCards</v>
      </c>
      <c r="D14133" s="1" t="str">
        <f>HYPERLINK("http://genome-euro.ucsc.edu/cgi-bin/hgTracks?position=221662_s_at","UCSC")</f>
        <v>UCSC</v>
      </c>
      <c r="E14133" s="1" t="str">
        <f>HYPERLINK("http://www.ncbi.nlm.nih.gov/gene/?term=SLC22A7","NCBI")</f>
        <v>NCBI</v>
      </c>
      <c r="F14133">
        <v>0.54</v>
      </c>
      <c r="G14133">
        <v>0.65</v>
      </c>
      <c r="H14133" s="1" t="str">
        <f>HYPERLINK("http://www.weizmann.ac.il/complex/compphys/software/geview/data/figures/221662_s_at.png","Figure")</f>
        <v>Figure</v>
      </c>
      <c r="I14133">
        <v>1.02</v>
      </c>
      <c r="J14133">
        <v>0.94</v>
      </c>
      <c r="K14133">
        <v>1.07</v>
      </c>
      <c r="L14133">
        <v>0.53</v>
      </c>
      <c r="M14133">
        <v>1.05</v>
      </c>
      <c r="N14133">
        <v>0.79</v>
      </c>
    </row>
    <row r="14134" spans="1:14" x14ac:dyDescent="0.25">
      <c r="A14134" t="s">
        <v>24031</v>
      </c>
      <c r="B14134" t="s">
        <v>24032</v>
      </c>
      <c r="C14134" s="1" t="str">
        <f>HYPERLINK("http://www.genecards.org/cgi-bin/carddisp.pl?gene=ALPP","GeneCards")</f>
        <v>GeneCards</v>
      </c>
      <c r="D14134" s="1" t="str">
        <f>HYPERLINK("http://genome-euro.ucsc.edu/cgi-bin/hgTracks?position=204664_at","UCSC")</f>
        <v>UCSC</v>
      </c>
      <c r="E14134" s="1" t="str">
        <f>HYPERLINK("http://www.ncbi.nlm.nih.gov/gene/?term=ALPP","NCBI")</f>
        <v>NCBI</v>
      </c>
      <c r="F14134">
        <v>0.54</v>
      </c>
      <c r="G14134">
        <v>0.65</v>
      </c>
      <c r="H14134" s="1" t="str">
        <f>HYPERLINK("http://www.weizmann.ac.il/complex/compphys/software/geview/data/figures/204664_at.png","Figure")</f>
        <v>Figure</v>
      </c>
      <c r="I14134">
        <v>1.04</v>
      </c>
      <c r="J14134">
        <v>0.51</v>
      </c>
      <c r="K14134">
        <v>1.02</v>
      </c>
      <c r="L14134">
        <v>0.83</v>
      </c>
      <c r="M14134">
        <v>0.97899999999999998</v>
      </c>
      <c r="N14134">
        <v>0.79</v>
      </c>
    </row>
    <row r="14135" spans="1:14" x14ac:dyDescent="0.25">
      <c r="A14135" t="s">
        <v>24033</v>
      </c>
      <c r="B14135" t="s">
        <v>7296</v>
      </c>
      <c r="C14135" s="1" t="str">
        <f>HYPERLINK("http://www.genecards.org/cgi-bin/carddisp.pl?gene=SDC1","GeneCards")</f>
        <v>GeneCards</v>
      </c>
      <c r="D14135" s="1" t="str">
        <f>HYPERLINK("http://genome-euro.ucsc.edu/cgi-bin/hgTracks?position=201286_at","UCSC")</f>
        <v>UCSC</v>
      </c>
      <c r="E14135" s="1" t="str">
        <f>HYPERLINK("http://www.ncbi.nlm.nih.gov/gene/?term=SDC1","NCBI")</f>
        <v>NCBI</v>
      </c>
      <c r="F14135">
        <v>0.54</v>
      </c>
      <c r="G14135">
        <v>0.65</v>
      </c>
      <c r="H14135" s="1" t="str">
        <f>HYPERLINK("http://www.weizmann.ac.il/complex/compphys/software/geview/data/figures/201286_at.png","Figure")</f>
        <v>Figure</v>
      </c>
      <c r="I14135">
        <v>1.06</v>
      </c>
      <c r="J14135">
        <v>0.54</v>
      </c>
      <c r="K14135">
        <v>1.04</v>
      </c>
      <c r="L14135">
        <v>0.68</v>
      </c>
      <c r="M14135">
        <v>0.98</v>
      </c>
      <c r="N14135">
        <v>0.92</v>
      </c>
    </row>
    <row r="14136" spans="1:14" x14ac:dyDescent="0.25">
      <c r="A14136" t="s">
        <v>24034</v>
      </c>
      <c r="B14136" t="s">
        <v>24035</v>
      </c>
      <c r="C14136" s="1" t="str">
        <f>HYPERLINK("http://www.genecards.org/cgi-bin/carddisp.pl?gene=C6orf208","GeneCards")</f>
        <v>GeneCards</v>
      </c>
      <c r="D14136" s="1" t="str">
        <f>HYPERLINK("http://genome-euro.ucsc.edu/cgi-bin/hgTracks?position=220904_at","UCSC")</f>
        <v>UCSC</v>
      </c>
      <c r="E14136" s="1" t="str">
        <f>HYPERLINK("http://www.ncbi.nlm.nih.gov/gene/?term=C6orf208","NCBI")</f>
        <v>NCBI</v>
      </c>
      <c r="F14136">
        <v>0.54</v>
      </c>
      <c r="G14136">
        <v>0.65</v>
      </c>
      <c r="H14136" s="1" t="str">
        <f>HYPERLINK("http://www.weizmann.ac.il/complex/compphys/software/geview/data/figures/220904_at.png","Figure")</f>
        <v>Figure</v>
      </c>
      <c r="I14136">
        <v>1.1000000000000001</v>
      </c>
      <c r="J14136">
        <v>0.64</v>
      </c>
      <c r="K14136">
        <v>1.1000000000000001</v>
      </c>
      <c r="L14136">
        <v>0.56000000000000005</v>
      </c>
      <c r="M14136">
        <v>1</v>
      </c>
      <c r="N14136">
        <v>1</v>
      </c>
    </row>
    <row r="14137" spans="1:14" x14ac:dyDescent="0.25">
      <c r="A14137" t="s">
        <v>24036</v>
      </c>
      <c r="B14137" t="s">
        <v>3428</v>
      </c>
      <c r="C14137" s="1" t="str">
        <f>HYPERLINK("http://www.genecards.org/cgi-bin/carddisp.pl?gene=PDIA2","GeneCards")</f>
        <v>GeneCards</v>
      </c>
      <c r="D14137" s="1" t="str">
        <f>HYPERLINK("http://genome-euro.ucsc.edu/cgi-bin/hgTracks?position=206691_s_at","UCSC")</f>
        <v>UCSC</v>
      </c>
      <c r="E14137" s="1" t="str">
        <f>HYPERLINK("http://www.ncbi.nlm.nih.gov/gene/?term=PDIA2","NCBI")</f>
        <v>NCBI</v>
      </c>
      <c r="F14137">
        <v>0.54</v>
      </c>
      <c r="G14137">
        <v>0.65</v>
      </c>
      <c r="H14137" s="1" t="str">
        <f>HYPERLINK("http://www.weizmann.ac.il/complex/compphys/software/geview/data/figures/206691_s_at.png","Figure")</f>
        <v>Figure</v>
      </c>
      <c r="I14137">
        <v>1.07</v>
      </c>
      <c r="J14137">
        <v>0.59</v>
      </c>
      <c r="K14137">
        <v>1.06</v>
      </c>
      <c r="L14137">
        <v>0.6</v>
      </c>
      <c r="M14137">
        <v>0.99</v>
      </c>
      <c r="N14137">
        <v>0.99</v>
      </c>
    </row>
    <row r="14138" spans="1:14" x14ac:dyDescent="0.25">
      <c r="A14138" t="s">
        <v>24037</v>
      </c>
      <c r="B14138" t="s">
        <v>10331</v>
      </c>
      <c r="C14138" s="1" t="str">
        <f>HYPERLINK("http://www.genecards.org/cgi-bin/carddisp.pl?gene=SRPR","GeneCards")</f>
        <v>GeneCards</v>
      </c>
      <c r="D14138" s="1" t="str">
        <f>HYPERLINK("http://genome-euro.ucsc.edu/cgi-bin/hgTracks?position=200917_s_at","UCSC")</f>
        <v>UCSC</v>
      </c>
      <c r="E14138" s="1" t="str">
        <f>HYPERLINK("http://www.ncbi.nlm.nih.gov/gene/?term=SRPR","NCBI")</f>
        <v>NCBI</v>
      </c>
      <c r="F14138">
        <v>0.54</v>
      </c>
      <c r="G14138">
        <v>0.65</v>
      </c>
      <c r="H14138" s="1" t="str">
        <f>HYPERLINK("http://www.weizmann.ac.il/complex/compphys/software/geview/data/figures/200917_s_at.png","Figure")</f>
        <v>Figure</v>
      </c>
      <c r="I14138">
        <v>1.04</v>
      </c>
      <c r="J14138">
        <v>0.96</v>
      </c>
      <c r="K14138">
        <v>0.91400000000000003</v>
      </c>
      <c r="L14138">
        <v>0.7</v>
      </c>
      <c r="M14138">
        <v>0.88300000000000001</v>
      </c>
      <c r="N14138">
        <v>0.56000000000000005</v>
      </c>
    </row>
    <row r="14139" spans="1:14" x14ac:dyDescent="0.25">
      <c r="A14139" t="s">
        <v>24038</v>
      </c>
      <c r="B14139" t="s">
        <v>24039</v>
      </c>
      <c r="C14139" s="1" t="str">
        <f>HYPERLINK("http://www.genecards.org/cgi-bin/carddisp.pl?gene=PI4KA /// PI4KAP1 /// PI4KAP2","GeneCards")</f>
        <v>GeneCards</v>
      </c>
      <c r="D14139" s="1" t="str">
        <f>HYPERLINK("http://genome-euro.ucsc.edu/cgi-bin/hgTracks?position=213408_s_at","UCSC")</f>
        <v>UCSC</v>
      </c>
      <c r="E14139" s="1" t="str">
        <f>HYPERLINK("http://www.ncbi.nlm.nih.gov/gene/?term=PI4KA /// PI4KAP1 /// PI4KAP2","NCBI")</f>
        <v>NCBI</v>
      </c>
      <c r="F14139">
        <v>0.54</v>
      </c>
      <c r="G14139">
        <v>0.65</v>
      </c>
      <c r="H14139" s="1" t="str">
        <f>HYPERLINK("http://www.weizmann.ac.il/complex/compphys/software/geview/data/figures/213408_s_at.png","Figure")</f>
        <v>Figure</v>
      </c>
      <c r="I14139">
        <v>0.80600000000000005</v>
      </c>
      <c r="J14139">
        <v>0.56000000000000005</v>
      </c>
      <c r="K14139">
        <v>0.85199999999999998</v>
      </c>
      <c r="L14139">
        <v>0.65</v>
      </c>
      <c r="M14139">
        <v>1.06</v>
      </c>
      <c r="N14139">
        <v>0.95</v>
      </c>
    </row>
    <row r="14140" spans="1:14" x14ac:dyDescent="0.25">
      <c r="A14140" t="s">
        <v>24040</v>
      </c>
      <c r="B14140" t="s">
        <v>8329</v>
      </c>
      <c r="C14140" s="1" t="str">
        <f>HYPERLINK("http://www.genecards.org/cgi-bin/carddisp.pl?gene=CHP","GeneCards")</f>
        <v>GeneCards</v>
      </c>
      <c r="D14140" s="1" t="str">
        <f>HYPERLINK("http://genome-euro.ucsc.edu/cgi-bin/hgTracks?position=207993_s_at","UCSC")</f>
        <v>UCSC</v>
      </c>
      <c r="E14140" s="1" t="str">
        <f>HYPERLINK("http://www.ncbi.nlm.nih.gov/gene/?term=CHP","NCBI")</f>
        <v>NCBI</v>
      </c>
      <c r="F14140">
        <v>0.54</v>
      </c>
      <c r="G14140">
        <v>0.65</v>
      </c>
      <c r="H14140" s="1" t="str">
        <f>HYPERLINK("http://www.weizmann.ac.il/complex/compphys/software/geview/data/figures/207993_s_at.png","Figure")</f>
        <v>Figure</v>
      </c>
      <c r="I14140">
        <v>1.0900000000000001</v>
      </c>
      <c r="J14140">
        <v>0.51</v>
      </c>
      <c r="K14140">
        <v>1.05</v>
      </c>
      <c r="L14140">
        <v>0.77</v>
      </c>
      <c r="M14140">
        <v>0.95899999999999996</v>
      </c>
      <c r="N14140">
        <v>0.84</v>
      </c>
    </row>
    <row r="14141" spans="1:14" x14ac:dyDescent="0.25">
      <c r="A14141" t="s">
        <v>24041</v>
      </c>
      <c r="B14141" t="s">
        <v>20781</v>
      </c>
      <c r="C14141" s="1" t="str">
        <f>HYPERLINK("http://www.genecards.org/cgi-bin/carddisp.pl?gene=HMG20B","GeneCards")</f>
        <v>GeneCards</v>
      </c>
      <c r="D14141" s="1" t="str">
        <f>HYPERLINK("http://genome-euro.ucsc.edu/cgi-bin/hgTracks?position=209113_s_at","UCSC")</f>
        <v>UCSC</v>
      </c>
      <c r="E14141" s="1" t="str">
        <f>HYPERLINK("http://www.ncbi.nlm.nih.gov/gene/?term=HMG20B","NCBI")</f>
        <v>NCBI</v>
      </c>
      <c r="F14141">
        <v>0.54</v>
      </c>
      <c r="G14141">
        <v>0.65</v>
      </c>
      <c r="H14141" s="1" t="str">
        <f>HYPERLINK("http://www.weizmann.ac.il/complex/compphys/software/geview/data/figures/209113_s_at.png","Figure")</f>
        <v>Figure</v>
      </c>
      <c r="I14141">
        <v>1.04</v>
      </c>
      <c r="J14141">
        <v>0.93</v>
      </c>
      <c r="K14141">
        <v>1.1000000000000001</v>
      </c>
      <c r="L14141">
        <v>0.53</v>
      </c>
      <c r="M14141">
        <v>1.06</v>
      </c>
      <c r="N14141">
        <v>0.79</v>
      </c>
    </row>
    <row r="14142" spans="1:14" x14ac:dyDescent="0.25">
      <c r="A14142" t="s">
        <v>24042</v>
      </c>
      <c r="B14142" t="s">
        <v>19947</v>
      </c>
      <c r="C14142" s="1" t="str">
        <f>HYPERLINK("http://www.genecards.org/cgi-bin/carddisp.pl?gene=TGM4","GeneCards")</f>
        <v>GeneCards</v>
      </c>
      <c r="D14142" s="1" t="str">
        <f>HYPERLINK("http://genome-euro.ucsc.edu/cgi-bin/hgTracks?position=206260_at","UCSC")</f>
        <v>UCSC</v>
      </c>
      <c r="E14142" s="1" t="str">
        <f>HYPERLINK("http://www.ncbi.nlm.nih.gov/gene/?term=TGM4","NCBI")</f>
        <v>NCBI</v>
      </c>
      <c r="F14142">
        <v>0.54</v>
      </c>
      <c r="G14142">
        <v>0.65</v>
      </c>
      <c r="H14142" s="1" t="str">
        <f>HYPERLINK("http://www.weizmann.ac.il/complex/compphys/software/geview/data/figures/206260_at.png","Figure")</f>
        <v>Figure</v>
      </c>
      <c r="I14142">
        <v>1.03</v>
      </c>
      <c r="J14142">
        <v>0.75</v>
      </c>
      <c r="K14142">
        <v>0.98499999999999999</v>
      </c>
      <c r="L14142">
        <v>0.92</v>
      </c>
      <c r="M14142">
        <v>0.95299999999999996</v>
      </c>
      <c r="N14142">
        <v>0.51</v>
      </c>
    </row>
    <row r="14143" spans="1:14" x14ac:dyDescent="0.25">
      <c r="A14143" t="s">
        <v>24043</v>
      </c>
      <c r="B14143" t="s">
        <v>10864</v>
      </c>
      <c r="C14143" s="1" t="str">
        <f>HYPERLINK("http://www.genecards.org/cgi-bin/carddisp.pl?gene=UBE2D3","GeneCards")</f>
        <v>GeneCards</v>
      </c>
      <c r="D14143" s="1" t="str">
        <f>HYPERLINK("http://genome-euro.ucsc.edu/cgi-bin/hgTracks?position=200668_s_at","UCSC")</f>
        <v>UCSC</v>
      </c>
      <c r="E14143" s="1" t="str">
        <f>HYPERLINK("http://www.ncbi.nlm.nih.gov/gene/?term=UBE2D3","NCBI")</f>
        <v>NCBI</v>
      </c>
      <c r="F14143">
        <v>0.54</v>
      </c>
      <c r="G14143">
        <v>0.65</v>
      </c>
      <c r="H14143" s="1" t="str">
        <f>HYPERLINK("http://www.weizmann.ac.il/complex/compphys/software/geview/data/figures/200668_s_at.png","Figure")</f>
        <v>Figure</v>
      </c>
      <c r="I14143">
        <v>0.82699999999999996</v>
      </c>
      <c r="J14143">
        <v>0.51</v>
      </c>
      <c r="K14143">
        <v>0.93</v>
      </c>
      <c r="L14143">
        <v>0.87</v>
      </c>
      <c r="M14143">
        <v>1.1200000000000001</v>
      </c>
      <c r="N14143">
        <v>0.74</v>
      </c>
    </row>
    <row r="14144" spans="1:14" x14ac:dyDescent="0.25">
      <c r="A14144" t="s">
        <v>24044</v>
      </c>
      <c r="B14144" t="s">
        <v>2178</v>
      </c>
      <c r="C14144" s="1" t="str">
        <f>HYPERLINK("http://www.genecards.org/cgi-bin/carddisp.pl?gene=SLC24A1","GeneCards")</f>
        <v>GeneCards</v>
      </c>
      <c r="D14144" s="1" t="str">
        <f>HYPERLINK("http://genome-euro.ucsc.edu/cgi-bin/hgTracks?position=210421_s_at","UCSC")</f>
        <v>UCSC</v>
      </c>
      <c r="E14144" s="1" t="str">
        <f>HYPERLINK("http://www.ncbi.nlm.nih.gov/gene/?term=SLC24A1","NCBI")</f>
        <v>NCBI</v>
      </c>
      <c r="F14144">
        <v>0.54</v>
      </c>
      <c r="G14144">
        <v>0.65</v>
      </c>
      <c r="H14144" s="1" t="str">
        <f>HYPERLINK("http://www.weizmann.ac.il/complex/compphys/software/geview/data/figures/210421_s_at.png","Figure")</f>
        <v>Figure</v>
      </c>
      <c r="I14144">
        <v>1.01</v>
      </c>
      <c r="J14144">
        <v>0.52</v>
      </c>
      <c r="K14144">
        <v>1</v>
      </c>
      <c r="L14144">
        <v>0.93</v>
      </c>
      <c r="M14144">
        <v>0.99399999999999999</v>
      </c>
      <c r="N14144">
        <v>0.68</v>
      </c>
    </row>
    <row r="14145" spans="1:14" x14ac:dyDescent="0.25">
      <c r="A14145" t="s">
        <v>24045</v>
      </c>
      <c r="B14145" t="s">
        <v>24046</v>
      </c>
      <c r="C14145" s="1" t="str">
        <f>HYPERLINK("http://www.genecards.org/cgi-bin/carddisp.pl?gene=MPPED2","GeneCards")</f>
        <v>GeneCards</v>
      </c>
      <c r="D14145" s="1" t="str">
        <f>HYPERLINK("http://genome-euro.ucsc.edu/cgi-bin/hgTracks?position=215692_s_at","UCSC")</f>
        <v>UCSC</v>
      </c>
      <c r="E14145" s="1" t="str">
        <f>HYPERLINK("http://www.ncbi.nlm.nih.gov/gene/?term=MPPED2","NCBI")</f>
        <v>NCBI</v>
      </c>
      <c r="F14145">
        <v>0.54</v>
      </c>
      <c r="G14145">
        <v>0.65</v>
      </c>
      <c r="H14145" s="1" t="str">
        <f>HYPERLINK("http://www.weizmann.ac.il/complex/compphys/software/geview/data/figures/215692_s_at.png","Figure")</f>
        <v>Figure</v>
      </c>
      <c r="I14145">
        <v>1</v>
      </c>
      <c r="J14145">
        <v>1</v>
      </c>
      <c r="K14145">
        <v>0.755</v>
      </c>
      <c r="L14145">
        <v>0.6</v>
      </c>
      <c r="M14145">
        <v>0.755</v>
      </c>
      <c r="N14145">
        <v>0.64</v>
      </c>
    </row>
    <row r="14146" spans="1:14" x14ac:dyDescent="0.25">
      <c r="A14146" t="s">
        <v>24047</v>
      </c>
      <c r="B14146" t="s">
        <v>4582</v>
      </c>
      <c r="C14146" s="1" t="str">
        <f>HYPERLINK("http://www.genecards.org/cgi-bin/carddisp.pl?gene=U2AF2","GeneCards")</f>
        <v>GeneCards</v>
      </c>
      <c r="D14146" s="1" t="str">
        <f>HYPERLINK("http://genome-euro.ucsc.edu/cgi-bin/hgTracks?position=218382_s_at","UCSC")</f>
        <v>UCSC</v>
      </c>
      <c r="E14146" s="1" t="str">
        <f>HYPERLINK("http://www.ncbi.nlm.nih.gov/gene/?term=U2AF2","NCBI")</f>
        <v>NCBI</v>
      </c>
      <c r="F14146">
        <v>0.54</v>
      </c>
      <c r="G14146">
        <v>0.65</v>
      </c>
      <c r="H14146" s="1" t="str">
        <f>HYPERLINK("http://www.weizmann.ac.il/complex/compphys/software/geview/data/figures/218382_s_at.png","Figure")</f>
        <v>Figure</v>
      </c>
      <c r="I14146">
        <v>1.08</v>
      </c>
      <c r="J14146">
        <v>0.61</v>
      </c>
      <c r="K14146">
        <v>1.07</v>
      </c>
      <c r="L14146">
        <v>0.59</v>
      </c>
      <c r="M14146">
        <v>0.99299999999999999</v>
      </c>
      <c r="N14146">
        <v>0.99</v>
      </c>
    </row>
    <row r="14147" spans="1:14" x14ac:dyDescent="0.25">
      <c r="A14147" t="s">
        <v>24048</v>
      </c>
      <c r="B14147" t="s">
        <v>24049</v>
      </c>
      <c r="C14147" s="1" t="str">
        <f>HYPERLINK("http://www.genecards.org/cgi-bin/carddisp.pl?gene=TNFRSF10D","GeneCards")</f>
        <v>GeneCards</v>
      </c>
      <c r="D14147" s="1" t="str">
        <f>HYPERLINK("http://genome-euro.ucsc.edu/cgi-bin/hgTracks?position=210654_at","UCSC")</f>
        <v>UCSC</v>
      </c>
      <c r="E14147" s="1" t="str">
        <f>HYPERLINK("http://www.ncbi.nlm.nih.gov/gene/?term=TNFRSF10D","NCBI")</f>
        <v>NCBI</v>
      </c>
      <c r="F14147">
        <v>0.54</v>
      </c>
      <c r="G14147">
        <v>0.65</v>
      </c>
      <c r="H14147" s="1" t="str">
        <f>HYPERLINK("http://www.weizmann.ac.il/complex/compphys/software/geview/data/figures/210654_at.png","Figure")</f>
        <v>Figure</v>
      </c>
      <c r="I14147">
        <v>0.98599999999999999</v>
      </c>
      <c r="J14147">
        <v>0.51</v>
      </c>
      <c r="K14147">
        <v>0.99299999999999999</v>
      </c>
      <c r="L14147">
        <v>0.8</v>
      </c>
      <c r="M14147">
        <v>1.01</v>
      </c>
      <c r="N14147">
        <v>0.82</v>
      </c>
    </row>
    <row r="14148" spans="1:14" x14ac:dyDescent="0.25">
      <c r="A14148" t="s">
        <v>24050</v>
      </c>
      <c r="B14148" t="s">
        <v>19284</v>
      </c>
      <c r="C14148" s="1" t="str">
        <f>HYPERLINK("http://www.genecards.org/cgi-bin/carddisp.pl?gene=PFDN5","GeneCards")</f>
        <v>GeneCards</v>
      </c>
      <c r="D14148" s="1" t="str">
        <f>HYPERLINK("http://genome-euro.ucsc.edu/cgi-bin/hgTracks?position=210908_s_at","UCSC")</f>
        <v>UCSC</v>
      </c>
      <c r="E14148" s="1" t="str">
        <f>HYPERLINK("http://www.ncbi.nlm.nih.gov/gene/?term=PFDN5","NCBI")</f>
        <v>NCBI</v>
      </c>
      <c r="F14148">
        <v>0.54</v>
      </c>
      <c r="G14148">
        <v>0.65</v>
      </c>
      <c r="H14148" s="1" t="str">
        <f>HYPERLINK("http://www.weizmann.ac.il/complex/compphys/software/geview/data/figures/210908_s_at.png","Figure")</f>
        <v>Figure</v>
      </c>
      <c r="I14148">
        <v>1.24</v>
      </c>
      <c r="J14148">
        <v>0.52</v>
      </c>
      <c r="K14148">
        <v>1.1200000000000001</v>
      </c>
      <c r="L14148">
        <v>0.77</v>
      </c>
      <c r="M14148">
        <v>0.90700000000000003</v>
      </c>
      <c r="N14148">
        <v>0.85</v>
      </c>
    </row>
    <row r="14149" spans="1:14" x14ac:dyDescent="0.25">
      <c r="A14149" t="s">
        <v>24051</v>
      </c>
      <c r="B14149" t="s">
        <v>8320</v>
      </c>
      <c r="C14149" s="1" t="str">
        <f>HYPERLINK("http://www.genecards.org/cgi-bin/carddisp.pl?gene=QSK","GeneCards")</f>
        <v>GeneCards</v>
      </c>
      <c r="D14149" s="1" t="str">
        <f>HYPERLINK("http://genome-euro.ucsc.edu/cgi-bin/hgTracks?position=213034_at","UCSC")</f>
        <v>UCSC</v>
      </c>
      <c r="E14149" s="1" t="str">
        <f>HYPERLINK("http://www.ncbi.nlm.nih.gov/gene/?term=QSK","NCBI")</f>
        <v>NCBI</v>
      </c>
      <c r="F14149">
        <v>0.54</v>
      </c>
      <c r="G14149">
        <v>0.65</v>
      </c>
      <c r="H14149" s="1" t="str">
        <f>HYPERLINK("http://www.weizmann.ac.il/complex/compphys/software/geview/data/figures/213034_at.png","Figure")</f>
        <v>Figure</v>
      </c>
      <c r="I14149">
        <v>1.24</v>
      </c>
      <c r="J14149">
        <v>0.55000000000000004</v>
      </c>
      <c r="K14149">
        <v>1.04</v>
      </c>
      <c r="L14149">
        <v>0.97</v>
      </c>
      <c r="M14149">
        <v>0.83899999999999997</v>
      </c>
      <c r="N14149">
        <v>0.62</v>
      </c>
    </row>
    <row r="14150" spans="1:14" x14ac:dyDescent="0.25">
      <c r="A14150" t="s">
        <v>24052</v>
      </c>
      <c r="B14150" t="s">
        <v>3482</v>
      </c>
      <c r="C14150" s="1" t="str">
        <f>HYPERLINK("http://www.genecards.org/cgi-bin/carddisp.pl?gene=CUL4A","GeneCards")</f>
        <v>GeneCards</v>
      </c>
      <c r="D14150" s="1" t="str">
        <f>HYPERLINK("http://genome-euro.ucsc.edu/cgi-bin/hgTracks?position=201423_s_at","UCSC")</f>
        <v>UCSC</v>
      </c>
      <c r="E14150" s="1" t="str">
        <f>HYPERLINK("http://www.ncbi.nlm.nih.gov/gene/?term=CUL4A","NCBI")</f>
        <v>NCBI</v>
      </c>
      <c r="F14150">
        <v>0.54</v>
      </c>
      <c r="G14150">
        <v>0.65</v>
      </c>
      <c r="H14150" s="1" t="str">
        <f>HYPERLINK("http://www.weizmann.ac.il/complex/compphys/software/geview/data/figures/201423_s_at.png","Figure")</f>
        <v>Figure</v>
      </c>
      <c r="I14150">
        <v>0.79600000000000004</v>
      </c>
      <c r="J14150">
        <v>0.69</v>
      </c>
      <c r="K14150">
        <v>1.06</v>
      </c>
      <c r="L14150">
        <v>0.97</v>
      </c>
      <c r="M14150">
        <v>1.33</v>
      </c>
      <c r="N14150">
        <v>0.52</v>
      </c>
    </row>
    <row r="14151" spans="1:14" x14ac:dyDescent="0.25">
      <c r="A14151" t="s">
        <v>24053</v>
      </c>
      <c r="B14151" t="s">
        <v>19293</v>
      </c>
      <c r="C14151" s="1" t="str">
        <f>HYPERLINK("http://www.genecards.org/cgi-bin/carddisp.pl?gene=UCP2","GeneCards")</f>
        <v>GeneCards</v>
      </c>
      <c r="D14151" s="1" t="str">
        <f>HYPERLINK("http://genome-euro.ucsc.edu/cgi-bin/hgTracks?position=208997_s_at","UCSC")</f>
        <v>UCSC</v>
      </c>
      <c r="E14151" s="1" t="str">
        <f>HYPERLINK("http://www.ncbi.nlm.nih.gov/gene/?term=UCP2","NCBI")</f>
        <v>NCBI</v>
      </c>
      <c r="F14151">
        <v>0.54</v>
      </c>
      <c r="G14151">
        <v>0.65</v>
      </c>
      <c r="H14151" s="1" t="str">
        <f>HYPERLINK("http://www.weizmann.ac.il/complex/compphys/software/geview/data/figures/208997_s_at.png","Figure")</f>
        <v>Figure</v>
      </c>
      <c r="I14151">
        <v>1.17</v>
      </c>
      <c r="J14151">
        <v>0.63</v>
      </c>
      <c r="K14151">
        <v>1.17</v>
      </c>
      <c r="L14151">
        <v>0.56999999999999995</v>
      </c>
      <c r="M14151">
        <v>0.996</v>
      </c>
      <c r="N14151">
        <v>1</v>
      </c>
    </row>
    <row r="14152" spans="1:14" x14ac:dyDescent="0.25">
      <c r="A14152" t="s">
        <v>24054</v>
      </c>
      <c r="B14152" t="s">
        <v>24055</v>
      </c>
      <c r="C14152" s="1" t="str">
        <f>HYPERLINK("http://www.genecards.org/cgi-bin/carddisp.pl?gene=GATAD2A","GeneCards")</f>
        <v>GeneCards</v>
      </c>
      <c r="D14152" s="1" t="str">
        <f>HYPERLINK("http://genome-euro.ucsc.edu/cgi-bin/hgTracks?position=218131_s_at","UCSC")</f>
        <v>UCSC</v>
      </c>
      <c r="E14152" s="1" t="str">
        <f>HYPERLINK("http://www.ncbi.nlm.nih.gov/gene/?term=GATAD2A","NCBI")</f>
        <v>NCBI</v>
      </c>
      <c r="F14152">
        <v>0.54</v>
      </c>
      <c r="G14152">
        <v>0.65</v>
      </c>
      <c r="H14152" s="1" t="str">
        <f>HYPERLINK("http://www.weizmann.ac.il/complex/compphys/software/geview/data/figures/218131_s_at.png","Figure")</f>
        <v>Figure</v>
      </c>
      <c r="I14152">
        <v>1.02</v>
      </c>
      <c r="J14152">
        <v>0.96</v>
      </c>
      <c r="K14152">
        <v>0.93700000000000006</v>
      </c>
      <c r="L14152">
        <v>0.7</v>
      </c>
      <c r="M14152">
        <v>0.91500000000000004</v>
      </c>
      <c r="N14152">
        <v>0.56000000000000005</v>
      </c>
    </row>
    <row r="14153" spans="1:14" x14ac:dyDescent="0.25">
      <c r="A14153" t="s">
        <v>24056</v>
      </c>
      <c r="B14153" t="s">
        <v>24057</v>
      </c>
      <c r="C14153" s="1" t="str">
        <f>HYPERLINK("http://www.genecards.org/cgi-bin/carddisp.pl?gene=MPP6","GeneCards")</f>
        <v>GeneCards</v>
      </c>
      <c r="D14153" s="1" t="str">
        <f>HYPERLINK("http://genome-euro.ucsc.edu/cgi-bin/hgTracks?position=205429_s_at","UCSC")</f>
        <v>UCSC</v>
      </c>
      <c r="E14153" s="1" t="str">
        <f>HYPERLINK("http://www.ncbi.nlm.nih.gov/gene/?term=MPP6","NCBI")</f>
        <v>NCBI</v>
      </c>
      <c r="F14153">
        <v>0.54</v>
      </c>
      <c r="G14153">
        <v>0.65</v>
      </c>
      <c r="H14153" s="1" t="str">
        <f>HYPERLINK("http://www.weizmann.ac.il/complex/compphys/software/geview/data/figures/205429_s_at.png","Figure")</f>
        <v>Figure</v>
      </c>
      <c r="I14153">
        <v>1.02</v>
      </c>
      <c r="J14153">
        <v>0.99</v>
      </c>
      <c r="K14153">
        <v>0.88</v>
      </c>
      <c r="L14153">
        <v>0.64</v>
      </c>
      <c r="M14153">
        <v>0.86299999999999999</v>
      </c>
      <c r="N14153">
        <v>0.6</v>
      </c>
    </row>
    <row r="14154" spans="1:14" x14ac:dyDescent="0.25">
      <c r="A14154" t="s">
        <v>24058</v>
      </c>
      <c r="B14154" t="s">
        <v>6803</v>
      </c>
      <c r="C14154" s="1" t="str">
        <f>HYPERLINK("http://www.genecards.org/cgi-bin/carddisp.pl?gene=HLA-C","GeneCards")</f>
        <v>GeneCards</v>
      </c>
      <c r="D14154" s="1" t="str">
        <f>HYPERLINK("http://genome-euro.ucsc.edu/cgi-bin/hgTracks?position=211799_x_at","UCSC")</f>
        <v>UCSC</v>
      </c>
      <c r="E14154" s="1" t="str">
        <f>HYPERLINK("http://www.ncbi.nlm.nih.gov/gene/?term=HLA-C","NCBI")</f>
        <v>NCBI</v>
      </c>
      <c r="F14154">
        <v>0.54</v>
      </c>
      <c r="G14154">
        <v>0.65</v>
      </c>
      <c r="H14154" s="1" t="str">
        <f>HYPERLINK("http://www.weizmann.ac.il/complex/compphys/software/geview/data/figures/211799_x_at.png","Figure")</f>
        <v>Figure</v>
      </c>
      <c r="I14154">
        <v>1.02</v>
      </c>
      <c r="J14154">
        <v>0.99</v>
      </c>
      <c r="K14154">
        <v>1.1399999999999999</v>
      </c>
      <c r="L14154">
        <v>0.56999999999999995</v>
      </c>
      <c r="M14154">
        <v>1.1200000000000001</v>
      </c>
      <c r="N14154">
        <v>0.7</v>
      </c>
    </row>
    <row r="14155" spans="1:14" x14ac:dyDescent="0.25">
      <c r="A14155" t="s">
        <v>24059</v>
      </c>
      <c r="B14155" t="s">
        <v>6869</v>
      </c>
      <c r="C14155" s="1" t="str">
        <f>HYPERLINK("http://www.genecards.org/cgi-bin/carddisp.pl?gene=EIF5","GeneCards")</f>
        <v>GeneCards</v>
      </c>
      <c r="D14155" s="1" t="str">
        <f>HYPERLINK("http://genome-euro.ucsc.edu/cgi-bin/hgTracks?position=208707_at","UCSC")</f>
        <v>UCSC</v>
      </c>
      <c r="E14155" s="1" t="str">
        <f>HYPERLINK("http://www.ncbi.nlm.nih.gov/gene/?term=EIF5","NCBI")</f>
        <v>NCBI</v>
      </c>
      <c r="F14155">
        <v>0.54</v>
      </c>
      <c r="G14155">
        <v>0.65</v>
      </c>
      <c r="H14155" s="1" t="str">
        <f>HYPERLINK("http://www.weizmann.ac.il/complex/compphys/software/geview/data/figures/208707_at.png","Figure")</f>
        <v>Figure</v>
      </c>
      <c r="I14155">
        <v>0.745</v>
      </c>
      <c r="J14155">
        <v>0.56000000000000005</v>
      </c>
      <c r="K14155">
        <v>0.80100000000000005</v>
      </c>
      <c r="L14155">
        <v>0.65</v>
      </c>
      <c r="M14155">
        <v>1.08</v>
      </c>
      <c r="N14155">
        <v>0.96</v>
      </c>
    </row>
    <row r="14156" spans="1:14" x14ac:dyDescent="0.25">
      <c r="A14156" t="s">
        <v>24060</v>
      </c>
      <c r="B14156" t="s">
        <v>24061</v>
      </c>
      <c r="C14156" s="1" t="str">
        <f>HYPERLINK("http://www.genecards.org/cgi-bin/carddisp.pl?gene=SFRS16","GeneCards")</f>
        <v>GeneCards</v>
      </c>
      <c r="D14156" s="1" t="str">
        <f>HYPERLINK("http://genome-euro.ucsc.edu/cgi-bin/hgTracks?position=204978_at","UCSC")</f>
        <v>UCSC</v>
      </c>
      <c r="E14156" s="1" t="str">
        <f>HYPERLINK("http://www.ncbi.nlm.nih.gov/gene/?term=SFRS16","NCBI")</f>
        <v>NCBI</v>
      </c>
      <c r="F14156">
        <v>0.54</v>
      </c>
      <c r="G14156">
        <v>0.65</v>
      </c>
      <c r="H14156" s="1" t="str">
        <f>HYPERLINK("http://www.weizmann.ac.il/complex/compphys/software/geview/data/figures/204978_at.png","Figure")</f>
        <v>Figure</v>
      </c>
      <c r="I14156">
        <v>1.1200000000000001</v>
      </c>
      <c r="J14156">
        <v>0.67</v>
      </c>
      <c r="K14156">
        <v>0.97699999999999998</v>
      </c>
      <c r="L14156">
        <v>0.98</v>
      </c>
      <c r="M14156">
        <v>0.86899999999999999</v>
      </c>
      <c r="N14156">
        <v>0.53</v>
      </c>
    </row>
    <row r="14157" spans="1:14" x14ac:dyDescent="0.25">
      <c r="A14157" t="s">
        <v>24062</v>
      </c>
      <c r="B14157" t="s">
        <v>24063</v>
      </c>
      <c r="C14157" s="1" t="str">
        <f>HYPERLINK("http://www.genecards.org/cgi-bin/carddisp.pl?gene=NEK7","GeneCards")</f>
        <v>GeneCards</v>
      </c>
      <c r="D14157" s="1" t="str">
        <f>HYPERLINK("http://genome-euro.ucsc.edu/cgi-bin/hgTracks?position=212530_at","UCSC")</f>
        <v>UCSC</v>
      </c>
      <c r="E14157" s="1" t="str">
        <f>HYPERLINK("http://www.ncbi.nlm.nih.gov/gene/?term=NEK7","NCBI")</f>
        <v>NCBI</v>
      </c>
      <c r="F14157">
        <v>0.54</v>
      </c>
      <c r="G14157">
        <v>0.65</v>
      </c>
      <c r="H14157" s="1" t="str">
        <f>HYPERLINK("http://www.weizmann.ac.il/complex/compphys/software/geview/data/figures/212530_at.png","Figure")</f>
        <v>Figure</v>
      </c>
      <c r="I14157">
        <v>0.96799999999999997</v>
      </c>
      <c r="J14157">
        <v>0.99</v>
      </c>
      <c r="K14157">
        <v>1.18</v>
      </c>
      <c r="L14157">
        <v>0.66</v>
      </c>
      <c r="M14157">
        <v>1.22</v>
      </c>
      <c r="N14157">
        <v>0.59</v>
      </c>
    </row>
    <row r="14158" spans="1:14" x14ac:dyDescent="0.25">
      <c r="A14158" t="s">
        <v>24064</v>
      </c>
      <c r="B14158" t="s">
        <v>24065</v>
      </c>
      <c r="C14158" s="1" t="str">
        <f>HYPERLINK("http://www.genecards.org/cgi-bin/carddisp.pl?gene=MFAP1","GeneCards")</f>
        <v>GeneCards</v>
      </c>
      <c r="D14158" s="1" t="str">
        <f>HYPERLINK("http://genome-euro.ucsc.edu/cgi-bin/hgTracks?position=203406_at","UCSC")</f>
        <v>UCSC</v>
      </c>
      <c r="E14158" s="1" t="str">
        <f>HYPERLINK("http://www.ncbi.nlm.nih.gov/gene/?term=MFAP1","NCBI")</f>
        <v>NCBI</v>
      </c>
      <c r="F14158">
        <v>0.54</v>
      </c>
      <c r="G14158">
        <v>0.65</v>
      </c>
      <c r="H14158" s="1" t="str">
        <f>HYPERLINK("http://www.weizmann.ac.il/complex/compphys/software/geview/data/figures/203406_at.png","Figure")</f>
        <v>Figure</v>
      </c>
      <c r="I14158">
        <v>1.28</v>
      </c>
      <c r="J14158">
        <v>0.55000000000000004</v>
      </c>
      <c r="K14158">
        <v>1.04</v>
      </c>
      <c r="L14158">
        <v>0.98</v>
      </c>
      <c r="M14158">
        <v>0.81299999999999994</v>
      </c>
      <c r="N14158">
        <v>0.62</v>
      </c>
    </row>
    <row r="14159" spans="1:14" x14ac:dyDescent="0.25">
      <c r="A14159" t="s">
        <v>24066</v>
      </c>
      <c r="B14159" t="s">
        <v>24067</v>
      </c>
      <c r="C14159" s="1" t="str">
        <f>HYPERLINK("http://www.genecards.org/cgi-bin/carddisp.pl?gene=CCBP2","GeneCards")</f>
        <v>GeneCards</v>
      </c>
      <c r="D14159" s="1" t="str">
        <f>HYPERLINK("http://genome-euro.ucsc.edu/cgi-bin/hgTracks?position=206887_at","UCSC")</f>
        <v>UCSC</v>
      </c>
      <c r="E14159" s="1" t="str">
        <f>HYPERLINK("http://www.ncbi.nlm.nih.gov/gene/?term=CCBP2","NCBI")</f>
        <v>NCBI</v>
      </c>
      <c r="F14159">
        <v>0.54</v>
      </c>
      <c r="G14159">
        <v>0.65</v>
      </c>
      <c r="H14159" s="1" t="str">
        <f>HYPERLINK("http://www.weizmann.ac.il/complex/compphys/software/geview/data/figures/206887_at.png","Figure")</f>
        <v>Figure</v>
      </c>
      <c r="I14159">
        <v>0.93899999999999995</v>
      </c>
      <c r="J14159">
        <v>0.69</v>
      </c>
      <c r="K14159">
        <v>0.93100000000000005</v>
      </c>
      <c r="L14159">
        <v>0.54</v>
      </c>
      <c r="M14159">
        <v>0.99099999999999999</v>
      </c>
      <c r="N14159">
        <v>0.99</v>
      </c>
    </row>
    <row r="14160" spans="1:14" x14ac:dyDescent="0.25">
      <c r="A14160" t="s">
        <v>24068</v>
      </c>
      <c r="B14160" t="s">
        <v>18679</v>
      </c>
      <c r="C14160" s="1" t="str">
        <f>HYPERLINK("http://www.genecards.org/cgi-bin/carddisp.pl?gene=CDC14A","GeneCards")</f>
        <v>GeneCards</v>
      </c>
      <c r="D14160" s="1" t="str">
        <f>HYPERLINK("http://genome-euro.ucsc.edu/cgi-bin/hgTracks?position=210742_at","UCSC")</f>
        <v>UCSC</v>
      </c>
      <c r="E14160" s="1" t="str">
        <f>HYPERLINK("http://www.ncbi.nlm.nih.gov/gene/?term=CDC14A","NCBI")</f>
        <v>NCBI</v>
      </c>
      <c r="F14160">
        <v>0.54</v>
      </c>
      <c r="G14160">
        <v>0.65</v>
      </c>
      <c r="H14160" s="1" t="str">
        <f>HYPERLINK("http://www.weizmann.ac.il/complex/compphys/software/geview/data/figures/210742_at.png","Figure")</f>
        <v>Figure</v>
      </c>
      <c r="I14160">
        <v>0.83499999999999996</v>
      </c>
      <c r="J14160">
        <v>0.55000000000000004</v>
      </c>
      <c r="K14160">
        <v>0.878</v>
      </c>
      <c r="L14160">
        <v>0.66</v>
      </c>
      <c r="M14160">
        <v>1.05</v>
      </c>
      <c r="N14160">
        <v>0.95</v>
      </c>
    </row>
    <row r="14161" spans="1:14" x14ac:dyDescent="0.25">
      <c r="A14161" t="s">
        <v>24069</v>
      </c>
      <c r="B14161" t="s">
        <v>24070</v>
      </c>
      <c r="C14161" s="1" t="str">
        <f>HYPERLINK("http://www.genecards.org/cgi-bin/carddisp.pl?gene=GDI1","GeneCards")</f>
        <v>GeneCards</v>
      </c>
      <c r="D14161" s="1" t="str">
        <f>HYPERLINK("http://genome-euro.ucsc.edu/cgi-bin/hgTracks?position=201864_at","UCSC")</f>
        <v>UCSC</v>
      </c>
      <c r="E14161" s="1" t="str">
        <f>HYPERLINK("http://www.ncbi.nlm.nih.gov/gene/?term=GDI1","NCBI")</f>
        <v>NCBI</v>
      </c>
      <c r="F14161">
        <v>0.54</v>
      </c>
      <c r="G14161">
        <v>0.65</v>
      </c>
      <c r="H14161" s="1" t="str">
        <f>HYPERLINK("http://www.weizmann.ac.il/complex/compphys/software/geview/data/figures/201864_at.png","Figure")</f>
        <v>Figure</v>
      </c>
      <c r="I14161">
        <v>0.879</v>
      </c>
      <c r="J14161">
        <v>0.53</v>
      </c>
      <c r="K14161">
        <v>0.92500000000000004</v>
      </c>
      <c r="L14161">
        <v>0.73</v>
      </c>
      <c r="M14161">
        <v>1.05</v>
      </c>
      <c r="N14161">
        <v>0.89</v>
      </c>
    </row>
    <row r="14162" spans="1:14" x14ac:dyDescent="0.25">
      <c r="A14162" t="s">
        <v>24071</v>
      </c>
      <c r="B14162" t="s">
        <v>13432</v>
      </c>
      <c r="C14162" s="1" t="str">
        <f>HYPERLINK("http://www.genecards.org/cgi-bin/carddisp.pl?gene=PCBP2","GeneCards")</f>
        <v>GeneCards</v>
      </c>
      <c r="D14162" s="1" t="str">
        <f>HYPERLINK("http://genome-euro.ucsc.edu/cgi-bin/hgTracks?position=213263_s_at","UCSC")</f>
        <v>UCSC</v>
      </c>
      <c r="E14162" s="1" t="str">
        <f>HYPERLINK("http://www.ncbi.nlm.nih.gov/gene/?term=PCBP2","NCBI")</f>
        <v>NCBI</v>
      </c>
      <c r="F14162">
        <v>0.54</v>
      </c>
      <c r="G14162">
        <v>0.65</v>
      </c>
      <c r="H14162" s="1" t="str">
        <f>HYPERLINK("http://www.weizmann.ac.il/complex/compphys/software/geview/data/figures/213263_s_at.png","Figure")</f>
        <v>Figure</v>
      </c>
      <c r="I14162">
        <v>0.86499999999999999</v>
      </c>
      <c r="J14162">
        <v>0.53</v>
      </c>
      <c r="K14162">
        <v>0.96</v>
      </c>
      <c r="L14162">
        <v>0.93</v>
      </c>
      <c r="M14162">
        <v>1.1100000000000001</v>
      </c>
      <c r="N14162">
        <v>0.68</v>
      </c>
    </row>
    <row r="14163" spans="1:14" x14ac:dyDescent="0.25">
      <c r="A14163" t="s">
        <v>24072</v>
      </c>
      <c r="B14163" t="s">
        <v>24073</v>
      </c>
      <c r="C14163" s="1" t="str">
        <f>HYPERLINK("http://www.genecards.org/cgi-bin/carddisp.pl?gene=CCDC33","GeneCards")</f>
        <v>GeneCards</v>
      </c>
      <c r="D14163" s="1" t="str">
        <f>HYPERLINK("http://genome-euro.ucsc.edu/cgi-bin/hgTracks?position=220908_at","UCSC")</f>
        <v>UCSC</v>
      </c>
      <c r="E14163" s="1" t="str">
        <f>HYPERLINK("http://www.ncbi.nlm.nih.gov/gene/?term=CCDC33","NCBI")</f>
        <v>NCBI</v>
      </c>
      <c r="F14163">
        <v>0.54</v>
      </c>
      <c r="G14163">
        <v>0.65</v>
      </c>
      <c r="H14163" s="1" t="str">
        <f>HYPERLINK("http://www.weizmann.ac.il/complex/compphys/software/geview/data/figures/220908_at.png","Figure")</f>
        <v>Figure</v>
      </c>
      <c r="I14163">
        <v>1.01</v>
      </c>
      <c r="J14163">
        <v>0.87</v>
      </c>
      <c r="K14163">
        <v>0.99199999999999999</v>
      </c>
      <c r="L14163">
        <v>0.82</v>
      </c>
      <c r="M14163">
        <v>0.98299999999999998</v>
      </c>
      <c r="N14163">
        <v>0.52</v>
      </c>
    </row>
    <row r="14164" spans="1:14" x14ac:dyDescent="0.25">
      <c r="A14164" t="s">
        <v>24074</v>
      </c>
      <c r="B14164" t="s">
        <v>21804</v>
      </c>
      <c r="C14164" s="1" t="str">
        <f>HYPERLINK("http://www.genecards.org/cgi-bin/carddisp.pl?gene=CDV3","GeneCards")</f>
        <v>GeneCards</v>
      </c>
      <c r="D14164" s="1" t="str">
        <f>HYPERLINK("http://genome-euro.ucsc.edu/cgi-bin/hgTracks?position=212010_s_at","UCSC")</f>
        <v>UCSC</v>
      </c>
      <c r="E14164" s="1" t="str">
        <f>HYPERLINK("http://www.ncbi.nlm.nih.gov/gene/?term=CDV3","NCBI")</f>
        <v>NCBI</v>
      </c>
      <c r="F14164">
        <v>0.54</v>
      </c>
      <c r="G14164">
        <v>0.65</v>
      </c>
      <c r="H14164" s="1" t="str">
        <f>HYPERLINK("http://www.weizmann.ac.il/complex/compphys/software/geview/data/figures/212010_s_at.png","Figure")</f>
        <v>Figure</v>
      </c>
      <c r="I14164">
        <v>1.24</v>
      </c>
      <c r="J14164">
        <v>0.52</v>
      </c>
      <c r="K14164">
        <v>1.07</v>
      </c>
      <c r="L14164">
        <v>0.92</v>
      </c>
      <c r="M14164">
        <v>0.86099999999999999</v>
      </c>
      <c r="N14164">
        <v>0.7</v>
      </c>
    </row>
    <row r="14165" spans="1:14" x14ac:dyDescent="0.25">
      <c r="A14165" t="s">
        <v>24075</v>
      </c>
      <c r="B14165" t="s">
        <v>24076</v>
      </c>
      <c r="C14165" s="1" t="str">
        <f>HYPERLINK("http://www.genecards.org/cgi-bin/carddisp.pl?gene=TBCC","GeneCards")</f>
        <v>GeneCards</v>
      </c>
      <c r="D14165" s="1" t="str">
        <f>HYPERLINK("http://genome-euro.ucsc.edu/cgi-bin/hgTracks?position=202495_at","UCSC")</f>
        <v>UCSC</v>
      </c>
      <c r="E14165" s="1" t="str">
        <f>HYPERLINK("http://www.ncbi.nlm.nih.gov/gene/?term=TBCC","NCBI")</f>
        <v>NCBI</v>
      </c>
      <c r="F14165">
        <v>0.54</v>
      </c>
      <c r="G14165">
        <v>0.65</v>
      </c>
      <c r="H14165" s="1" t="str">
        <f>HYPERLINK("http://www.weizmann.ac.il/complex/compphys/software/geview/data/figures/202495_at.png","Figure")</f>
        <v>Figure</v>
      </c>
      <c r="I14165">
        <v>0.85599999999999998</v>
      </c>
      <c r="J14165">
        <v>0.54</v>
      </c>
      <c r="K14165">
        <v>0.9</v>
      </c>
      <c r="L14165">
        <v>0.69</v>
      </c>
      <c r="M14165">
        <v>1.05</v>
      </c>
      <c r="N14165">
        <v>0.93</v>
      </c>
    </row>
    <row r="14166" spans="1:14" x14ac:dyDescent="0.25">
      <c r="A14166" t="s">
        <v>24077</v>
      </c>
      <c r="B14166" t="s">
        <v>3496</v>
      </c>
      <c r="C14166" s="1" t="str">
        <f>HYPERLINK("http://www.genecards.org/cgi-bin/carddisp.pl?gene=SLC38A7","GeneCards")</f>
        <v>GeneCards</v>
      </c>
      <c r="D14166" s="1" t="str">
        <f>HYPERLINK("http://genome-euro.ucsc.edu/cgi-bin/hgTracks?position=218727_at","UCSC")</f>
        <v>UCSC</v>
      </c>
      <c r="E14166" s="1" t="str">
        <f>HYPERLINK("http://www.ncbi.nlm.nih.gov/gene/?term=SLC38A7","NCBI")</f>
        <v>NCBI</v>
      </c>
      <c r="F14166">
        <v>0.54</v>
      </c>
      <c r="G14166">
        <v>0.65</v>
      </c>
      <c r="H14166" s="1" t="str">
        <f>HYPERLINK("http://www.weizmann.ac.il/complex/compphys/software/geview/data/figures/218727_at.png","Figure")</f>
        <v>Figure</v>
      </c>
      <c r="I14166">
        <v>0.89500000000000002</v>
      </c>
      <c r="J14166">
        <v>0.57999999999999996</v>
      </c>
      <c r="K14166">
        <v>0.99099999999999999</v>
      </c>
      <c r="L14166">
        <v>0.99</v>
      </c>
      <c r="M14166">
        <v>1.1100000000000001</v>
      </c>
      <c r="N14166">
        <v>0.59</v>
      </c>
    </row>
    <row r="14167" spans="1:14" x14ac:dyDescent="0.25">
      <c r="A14167" t="s">
        <v>24078</v>
      </c>
      <c r="B14167" t="s">
        <v>24079</v>
      </c>
      <c r="C14167" s="1" t="str">
        <f>HYPERLINK("http://www.genecards.org/cgi-bin/carddisp.pl?gene=ASPHD1","GeneCards")</f>
        <v>GeneCards</v>
      </c>
      <c r="D14167" s="1" t="str">
        <f>HYPERLINK("http://genome-euro.ucsc.edu/cgi-bin/hgTracks?position=214993_at","UCSC")</f>
        <v>UCSC</v>
      </c>
      <c r="E14167" s="1" t="str">
        <f>HYPERLINK("http://www.ncbi.nlm.nih.gov/gene/?term=ASPHD1","NCBI")</f>
        <v>NCBI</v>
      </c>
      <c r="F14167">
        <v>0.54</v>
      </c>
      <c r="G14167">
        <v>0.65</v>
      </c>
      <c r="H14167" s="1" t="str">
        <f>HYPERLINK("http://www.weizmann.ac.il/complex/compphys/software/geview/data/figures/214993_at.png","Figure")</f>
        <v>Figure</v>
      </c>
      <c r="I14167">
        <v>1.0900000000000001</v>
      </c>
      <c r="J14167">
        <v>0.52</v>
      </c>
      <c r="K14167">
        <v>1.05</v>
      </c>
      <c r="L14167">
        <v>0.75</v>
      </c>
      <c r="M14167">
        <v>0.96399999999999997</v>
      </c>
      <c r="N14167">
        <v>0.87</v>
      </c>
    </row>
    <row r="14168" spans="1:14" x14ac:dyDescent="0.25">
      <c r="A14168" t="s">
        <v>24080</v>
      </c>
      <c r="B14168" t="s">
        <v>24081</v>
      </c>
      <c r="C14168" s="1" t="str">
        <f>HYPERLINK("http://www.genecards.org/cgi-bin/carddisp.pl?gene=CCRN4L","GeneCards")</f>
        <v>GeneCards</v>
      </c>
      <c r="D14168" s="1" t="str">
        <f>HYPERLINK("http://genome-euro.ucsc.edu/cgi-bin/hgTracks?position=220671_at","UCSC")</f>
        <v>UCSC</v>
      </c>
      <c r="E14168" s="1" t="str">
        <f>HYPERLINK("http://www.ncbi.nlm.nih.gov/gene/?term=CCRN4L","NCBI")</f>
        <v>NCBI</v>
      </c>
      <c r="F14168">
        <v>0.54</v>
      </c>
      <c r="G14168">
        <v>0.65</v>
      </c>
      <c r="H14168" s="1" t="str">
        <f>HYPERLINK("http://www.weizmann.ac.il/complex/compphys/software/geview/data/figures/220671_at.png","Figure")</f>
        <v>Figure</v>
      </c>
      <c r="I14168">
        <v>1.1299999999999999</v>
      </c>
      <c r="J14168">
        <v>0.52</v>
      </c>
      <c r="K14168">
        <v>1.07</v>
      </c>
      <c r="L14168">
        <v>0.75</v>
      </c>
      <c r="M14168">
        <v>0.95199999999999996</v>
      </c>
      <c r="N14168">
        <v>0.87</v>
      </c>
    </row>
    <row r="14169" spans="1:14" x14ac:dyDescent="0.25">
      <c r="A14169" t="s">
        <v>24082</v>
      </c>
      <c r="B14169" t="s">
        <v>13193</v>
      </c>
      <c r="C14169" s="1" t="str">
        <f>HYPERLINK("http://www.genecards.org/cgi-bin/carddisp.pl?gene=DTNA","GeneCards")</f>
        <v>GeneCards</v>
      </c>
      <c r="D14169" s="1" t="str">
        <f>HYPERLINK("http://genome-euro.ucsc.edu/cgi-bin/hgTracks?position=211493_x_at","UCSC")</f>
        <v>UCSC</v>
      </c>
      <c r="E14169" s="1" t="str">
        <f>HYPERLINK("http://www.ncbi.nlm.nih.gov/gene/?term=DTNA","NCBI")</f>
        <v>NCBI</v>
      </c>
      <c r="F14169">
        <v>0.54</v>
      </c>
      <c r="G14169">
        <v>0.65</v>
      </c>
      <c r="H14169" s="1" t="str">
        <f>HYPERLINK("http://www.weizmann.ac.il/complex/compphys/software/geview/data/figures/211493_x_at.png","Figure")</f>
        <v>Figure</v>
      </c>
      <c r="I14169">
        <v>1.05</v>
      </c>
      <c r="J14169">
        <v>0.53</v>
      </c>
      <c r="K14169">
        <v>1.03</v>
      </c>
      <c r="L14169">
        <v>0.72</v>
      </c>
      <c r="M14169">
        <v>0.98</v>
      </c>
      <c r="N14169">
        <v>0.9</v>
      </c>
    </row>
    <row r="14170" spans="1:14" x14ac:dyDescent="0.25">
      <c r="A14170" t="s">
        <v>24083</v>
      </c>
      <c r="B14170" t="s">
        <v>24084</v>
      </c>
      <c r="C14170" s="1" t="str">
        <f>HYPERLINK("http://www.genecards.org/cgi-bin/carddisp.pl?gene=hCG_1730474","GeneCards")</f>
        <v>GeneCards</v>
      </c>
      <c r="D14170" s="1" t="str">
        <f>HYPERLINK("http://genome-euro.ucsc.edu/cgi-bin/hgTracks?position=215349_at","UCSC")</f>
        <v>UCSC</v>
      </c>
      <c r="E14170" s="1" t="str">
        <f>HYPERLINK("http://www.ncbi.nlm.nih.gov/gene/?term=hCG_1730474","NCBI")</f>
        <v>NCBI</v>
      </c>
      <c r="F14170">
        <v>0.54</v>
      </c>
      <c r="G14170">
        <v>0.65</v>
      </c>
      <c r="H14170" s="1" t="str">
        <f>HYPERLINK("http://www.weizmann.ac.il/complex/compphys/software/geview/data/figures/215349_at.png","Figure")</f>
        <v>Figure</v>
      </c>
      <c r="I14170">
        <v>1.19</v>
      </c>
      <c r="J14170">
        <v>0.77</v>
      </c>
      <c r="K14170">
        <v>0.91500000000000004</v>
      </c>
      <c r="L14170">
        <v>0.91</v>
      </c>
      <c r="M14170">
        <v>0.76800000000000002</v>
      </c>
      <c r="N14170">
        <v>0.51</v>
      </c>
    </row>
    <row r="14171" spans="1:14" x14ac:dyDescent="0.25">
      <c r="A14171" t="s">
        <v>24085</v>
      </c>
      <c r="B14171" t="s">
        <v>24086</v>
      </c>
      <c r="C14171" s="1" t="str">
        <f>HYPERLINK("http://www.genecards.org/cgi-bin/carddisp.pl?gene=VNN2","GeneCards")</f>
        <v>GeneCards</v>
      </c>
      <c r="D14171" s="1" t="str">
        <f>HYPERLINK("http://genome-euro.ucsc.edu/cgi-bin/hgTracks?position=205922_at","UCSC")</f>
        <v>UCSC</v>
      </c>
      <c r="E14171" s="1" t="str">
        <f>HYPERLINK("http://www.ncbi.nlm.nih.gov/gene/?term=VNN2","NCBI")</f>
        <v>NCBI</v>
      </c>
      <c r="F14171">
        <v>0.54</v>
      </c>
      <c r="G14171">
        <v>0.65</v>
      </c>
      <c r="H14171" s="1" t="str">
        <f>HYPERLINK("http://www.weizmann.ac.il/complex/compphys/software/geview/data/figures/205922_at.png","Figure")</f>
        <v>Figure</v>
      </c>
      <c r="I14171">
        <v>1.03</v>
      </c>
      <c r="J14171">
        <v>0.96</v>
      </c>
      <c r="K14171">
        <v>0.93500000000000005</v>
      </c>
      <c r="L14171">
        <v>0.71</v>
      </c>
      <c r="M14171">
        <v>0.91</v>
      </c>
      <c r="N14171">
        <v>0.56000000000000005</v>
      </c>
    </row>
    <row r="14172" spans="1:14" x14ac:dyDescent="0.25">
      <c r="A14172" t="s">
        <v>24087</v>
      </c>
      <c r="B14172" t="s">
        <v>24088</v>
      </c>
      <c r="C14172" s="1" t="str">
        <f>HYPERLINK("http://www.genecards.org/cgi-bin/carddisp.pl?gene=NR2E1","GeneCards")</f>
        <v>GeneCards</v>
      </c>
      <c r="D14172" s="1" t="str">
        <f>HYPERLINK("http://genome-euro.ucsc.edu/cgi-bin/hgTracks?position=207443_at","UCSC")</f>
        <v>UCSC</v>
      </c>
      <c r="E14172" s="1" t="str">
        <f>HYPERLINK("http://www.ncbi.nlm.nih.gov/gene/?term=NR2E1","NCBI")</f>
        <v>NCBI</v>
      </c>
      <c r="F14172">
        <v>0.54</v>
      </c>
      <c r="G14172">
        <v>0.65</v>
      </c>
      <c r="H14172" s="1" t="str">
        <f>HYPERLINK("http://www.weizmann.ac.il/complex/compphys/software/geview/data/figures/207443_at.png","Figure")</f>
        <v>Figure</v>
      </c>
      <c r="I14172">
        <v>1.02</v>
      </c>
      <c r="J14172">
        <v>0.88</v>
      </c>
      <c r="K14172">
        <v>0.97399999999999998</v>
      </c>
      <c r="L14172">
        <v>0.8</v>
      </c>
      <c r="M14172">
        <v>0.95099999999999996</v>
      </c>
      <c r="N14172">
        <v>0.53</v>
      </c>
    </row>
    <row r="14173" spans="1:14" x14ac:dyDescent="0.25">
      <c r="A14173" t="s">
        <v>24089</v>
      </c>
      <c r="B14173" t="s">
        <v>24090</v>
      </c>
      <c r="C14173" s="1" t="str">
        <f>HYPERLINK("http://www.genecards.org/cgi-bin/carddisp.pl?gene=RPL37","GeneCards")</f>
        <v>GeneCards</v>
      </c>
      <c r="D14173" s="1" t="str">
        <f>HYPERLINK("http://genome-euro.ucsc.edu/cgi-bin/hgTracks?position=200092_s_at","UCSC")</f>
        <v>UCSC</v>
      </c>
      <c r="E14173" s="1" t="str">
        <f>HYPERLINK("http://www.ncbi.nlm.nih.gov/gene/?term=RPL37","NCBI")</f>
        <v>NCBI</v>
      </c>
      <c r="F14173">
        <v>0.55000000000000004</v>
      </c>
      <c r="G14173">
        <v>0.65</v>
      </c>
      <c r="H14173" s="1" t="str">
        <f>HYPERLINK("http://www.weizmann.ac.il/complex/compphys/software/geview/data/figures/200092_s_at.png","Figure")</f>
        <v>Figure</v>
      </c>
      <c r="I14173">
        <v>1.0900000000000001</v>
      </c>
      <c r="J14173">
        <v>0.67</v>
      </c>
      <c r="K14173">
        <v>1.1000000000000001</v>
      </c>
      <c r="L14173">
        <v>0.56000000000000005</v>
      </c>
      <c r="M14173">
        <v>1</v>
      </c>
      <c r="N14173">
        <v>1</v>
      </c>
    </row>
    <row r="14174" spans="1:14" x14ac:dyDescent="0.25">
      <c r="A14174" t="s">
        <v>24091</v>
      </c>
      <c r="B14174" t="s">
        <v>8217</v>
      </c>
      <c r="C14174" s="1" t="str">
        <f>HYPERLINK("http://www.genecards.org/cgi-bin/carddisp.pl?gene=RECQL5","GeneCards")</f>
        <v>GeneCards</v>
      </c>
      <c r="D14174" s="1" t="str">
        <f>HYPERLINK("http://genome-euro.ucsc.edu/cgi-bin/hgTracks?position=34063_at","UCSC")</f>
        <v>UCSC</v>
      </c>
      <c r="E14174" s="1" t="str">
        <f>HYPERLINK("http://www.ncbi.nlm.nih.gov/gene/?term=RECQL5","NCBI")</f>
        <v>NCBI</v>
      </c>
      <c r="F14174">
        <v>0.56000000000000005</v>
      </c>
      <c r="G14174">
        <v>0.65</v>
      </c>
      <c r="H14174" s="1" t="str">
        <f>HYPERLINK("http://www.weizmann.ac.il/complex/compphys/software/geview/data/figures/34063_at.png","Figure")</f>
        <v>Figure</v>
      </c>
      <c r="I14174">
        <v>1</v>
      </c>
      <c r="J14174">
        <v>1</v>
      </c>
      <c r="K14174">
        <v>0.99299999999999999</v>
      </c>
      <c r="L14174">
        <v>0.62</v>
      </c>
      <c r="M14174">
        <v>0.99299999999999999</v>
      </c>
      <c r="N14174">
        <v>0.66</v>
      </c>
    </row>
    <row r="14175" spans="1:14" x14ac:dyDescent="0.25">
      <c r="A14175" t="s">
        <v>24092</v>
      </c>
      <c r="B14175" t="s">
        <v>24093</v>
      </c>
      <c r="C14175" s="1" t="str">
        <f>HYPERLINK("http://www.genecards.org/cgi-bin/carddisp.pl?gene=RTN2","GeneCards")</f>
        <v>GeneCards</v>
      </c>
      <c r="D14175" s="1" t="str">
        <f>HYPERLINK("http://genome-euro.ucsc.edu/cgi-bin/hgTracks?position=34408_at","UCSC")</f>
        <v>UCSC</v>
      </c>
      <c r="E14175" s="1" t="str">
        <f>HYPERLINK("http://www.ncbi.nlm.nih.gov/gene/?term=RTN2","NCBI")</f>
        <v>NCBI</v>
      </c>
      <c r="F14175">
        <v>0.56000000000000005</v>
      </c>
      <c r="G14175">
        <v>0.65</v>
      </c>
      <c r="H14175" s="1" t="str">
        <f>HYPERLINK("http://www.weizmann.ac.il/complex/compphys/software/geview/data/figures/34408_at.png","Figure")</f>
        <v>Figure</v>
      </c>
      <c r="I14175">
        <v>1</v>
      </c>
      <c r="J14175">
        <v>1</v>
      </c>
      <c r="K14175">
        <v>0.999</v>
      </c>
      <c r="L14175">
        <v>0.62</v>
      </c>
      <c r="M14175">
        <v>0.999</v>
      </c>
      <c r="N14175">
        <v>0.66</v>
      </c>
    </row>
    <row r="14176" spans="1:14" x14ac:dyDescent="0.25">
      <c r="A14176" t="s">
        <v>24094</v>
      </c>
      <c r="B14176" t="s">
        <v>6185</v>
      </c>
      <c r="C14176" s="1" t="str">
        <f>HYPERLINK("http://www.genecards.org/cgi-bin/carddisp.pl?gene=APBB2","GeneCards")</f>
        <v>GeneCards</v>
      </c>
      <c r="D14176" s="1" t="str">
        <f>HYPERLINK("http://genome-euro.ucsc.edu/cgi-bin/hgTracks?position=40148_at","UCSC")</f>
        <v>UCSC</v>
      </c>
      <c r="E14176" s="1" t="str">
        <f>HYPERLINK("http://www.ncbi.nlm.nih.gov/gene/?term=APBB2","NCBI")</f>
        <v>NCBI</v>
      </c>
      <c r="F14176">
        <v>0.56000000000000005</v>
      </c>
      <c r="G14176">
        <v>0.65</v>
      </c>
      <c r="H14176" s="1" t="str">
        <f>HYPERLINK("http://www.weizmann.ac.il/complex/compphys/software/geview/data/figures/40148_at.png","Figure")</f>
        <v>Figure</v>
      </c>
      <c r="I14176">
        <v>1</v>
      </c>
      <c r="J14176">
        <v>1</v>
      </c>
      <c r="K14176">
        <v>0.94</v>
      </c>
      <c r="L14176">
        <v>0.62</v>
      </c>
      <c r="M14176">
        <v>0.94</v>
      </c>
      <c r="N14176">
        <v>0.66</v>
      </c>
    </row>
    <row r="14177" spans="1:14" x14ac:dyDescent="0.25">
      <c r="A14177" t="s">
        <v>24095</v>
      </c>
      <c r="B14177" t="s">
        <v>11027</v>
      </c>
      <c r="C14177" s="1" t="str">
        <f>HYPERLINK("http://www.genecards.org/cgi-bin/carddisp.pl?gene=CX3CL1","GeneCards")</f>
        <v>GeneCards</v>
      </c>
      <c r="D14177" s="1" t="str">
        <f>HYPERLINK("http://genome-euro.ucsc.edu/cgi-bin/hgTracks?position=823_at","UCSC")</f>
        <v>UCSC</v>
      </c>
      <c r="E14177" s="1" t="str">
        <f>HYPERLINK("http://www.ncbi.nlm.nih.gov/gene/?term=CX3CL1","NCBI")</f>
        <v>NCBI</v>
      </c>
      <c r="F14177">
        <v>0.56000000000000005</v>
      </c>
      <c r="G14177">
        <v>0.65</v>
      </c>
      <c r="H14177" s="1" t="str">
        <f>HYPERLINK("http://www.weizmann.ac.il/complex/compphys/software/geview/data/figures/823_at.png","Figure")</f>
        <v>Figure</v>
      </c>
      <c r="I14177">
        <v>1</v>
      </c>
      <c r="J14177">
        <v>1</v>
      </c>
      <c r="K14177">
        <v>0.999</v>
      </c>
      <c r="L14177">
        <v>0.62</v>
      </c>
      <c r="M14177">
        <v>0.999</v>
      </c>
      <c r="N14177">
        <v>0.66</v>
      </c>
    </row>
    <row r="14178" spans="1:14" x14ac:dyDescent="0.25">
      <c r="A14178" t="s">
        <v>24096</v>
      </c>
      <c r="B14178" t="s">
        <v>24097</v>
      </c>
      <c r="C14178" s="1" t="str">
        <f>HYPERLINK("http://www.genecards.org/cgi-bin/carddisp.pl?gene=SENP5","GeneCards")</f>
        <v>GeneCards</v>
      </c>
      <c r="D14178" s="1" t="str">
        <f>HYPERLINK("http://genome-euro.ucsc.edu/cgi-bin/hgTracks?position=57703_at","UCSC")</f>
        <v>UCSC</v>
      </c>
      <c r="E14178" s="1" t="str">
        <f>HYPERLINK("http://www.ncbi.nlm.nih.gov/gene/?term=SENP5","NCBI")</f>
        <v>NCBI</v>
      </c>
      <c r="F14178">
        <v>0.56000000000000005</v>
      </c>
      <c r="G14178">
        <v>0.65</v>
      </c>
      <c r="H14178" s="1" t="str">
        <f>HYPERLINK("http://www.weizmann.ac.il/complex/compphys/software/geview/data/figures/57703_at.png","Figure")</f>
        <v>Figure</v>
      </c>
      <c r="I14178">
        <v>1</v>
      </c>
      <c r="J14178">
        <v>1</v>
      </c>
      <c r="K14178">
        <v>0.99099999999999999</v>
      </c>
      <c r="L14178">
        <v>0.62</v>
      </c>
      <c r="M14178">
        <v>0.99099999999999999</v>
      </c>
      <c r="N14178">
        <v>0.66</v>
      </c>
    </row>
    <row r="14179" spans="1:14" x14ac:dyDescent="0.25">
      <c r="A14179" t="s">
        <v>24098</v>
      </c>
      <c r="B14179" t="s">
        <v>24099</v>
      </c>
      <c r="C14179" s="1" t="str">
        <f>HYPERLINK("http://www.genecards.org/cgi-bin/carddisp.pl?gene=NOL3","GeneCards")</f>
        <v>GeneCards</v>
      </c>
      <c r="D14179" s="1" t="str">
        <f>HYPERLINK("http://genome-euro.ucsc.edu/cgi-bin/hgTracks?position=59625_at","UCSC")</f>
        <v>UCSC</v>
      </c>
      <c r="E14179" s="1" t="str">
        <f>HYPERLINK("http://www.ncbi.nlm.nih.gov/gene/?term=NOL3","NCBI")</f>
        <v>NCBI</v>
      </c>
      <c r="F14179">
        <v>0.56000000000000005</v>
      </c>
      <c r="G14179">
        <v>0.65</v>
      </c>
      <c r="H14179" s="1" t="str">
        <f>HYPERLINK("http://www.weizmann.ac.il/complex/compphys/software/geview/data/figures/59625_at.png","Figure")</f>
        <v>Figure</v>
      </c>
      <c r="I14179">
        <v>1</v>
      </c>
      <c r="J14179">
        <v>1</v>
      </c>
      <c r="K14179">
        <v>0.999</v>
      </c>
      <c r="L14179">
        <v>0.62</v>
      </c>
      <c r="M14179">
        <v>0.999</v>
      </c>
      <c r="N14179">
        <v>0.66</v>
      </c>
    </row>
    <row r="14180" spans="1:14" x14ac:dyDescent="0.25">
      <c r="A14180" t="s">
        <v>24100</v>
      </c>
      <c r="B14180" t="s">
        <v>2423</v>
      </c>
      <c r="C14180" s="1" t="str">
        <f>HYPERLINK("http://www.genecards.org/cgi-bin/carddisp.pl?gene=C12orf47","GeneCards")</f>
        <v>GeneCards</v>
      </c>
      <c r="D14180" s="1" t="str">
        <f>HYPERLINK("http://genome-euro.ucsc.edu/cgi-bin/hgTracks?position=64432_at","UCSC")</f>
        <v>UCSC</v>
      </c>
      <c r="E14180" s="1" t="str">
        <f>HYPERLINK("http://www.ncbi.nlm.nih.gov/gene/?term=C12orf47","NCBI")</f>
        <v>NCBI</v>
      </c>
      <c r="F14180">
        <v>0.56000000000000005</v>
      </c>
      <c r="G14180">
        <v>0.65</v>
      </c>
      <c r="H14180" s="1" t="str">
        <f>HYPERLINK("http://www.weizmann.ac.il/complex/compphys/software/geview/data/figures/64432_at.png","Figure")</f>
        <v>Figure</v>
      </c>
      <c r="I14180">
        <v>1</v>
      </c>
      <c r="J14180">
        <v>1</v>
      </c>
      <c r="K14180">
        <v>0.97499999999999998</v>
      </c>
      <c r="L14180">
        <v>0.62</v>
      </c>
      <c r="M14180">
        <v>0.97499999999999998</v>
      </c>
      <c r="N14180">
        <v>0.66</v>
      </c>
    </row>
    <row r="14181" spans="1:14" x14ac:dyDescent="0.25">
      <c r="A14181" t="s">
        <v>24101</v>
      </c>
      <c r="B14181" t="s">
        <v>9224</v>
      </c>
      <c r="C14181" s="1" t="str">
        <f>HYPERLINK("http://www.genecards.org/cgi-bin/carddisp.pl?gene=MEX3D","GeneCards")</f>
        <v>GeneCards</v>
      </c>
      <c r="D14181" s="1" t="str">
        <f>HYPERLINK("http://genome-euro.ucsc.edu/cgi-bin/hgTracks?position=91816_f_at","UCSC")</f>
        <v>UCSC</v>
      </c>
      <c r="E14181" s="1" t="str">
        <f>HYPERLINK("http://www.ncbi.nlm.nih.gov/gene/?term=MEX3D","NCBI")</f>
        <v>NCBI</v>
      </c>
      <c r="F14181">
        <v>0.56000000000000005</v>
      </c>
      <c r="G14181">
        <v>0.65</v>
      </c>
      <c r="H14181" s="1" t="str">
        <f>HYPERLINK("http://www.weizmann.ac.il/complex/compphys/software/geview/data/figures/91816_f_at.png","Figure")</f>
        <v>Figure</v>
      </c>
      <c r="I14181">
        <v>1</v>
      </c>
      <c r="J14181">
        <v>1</v>
      </c>
      <c r="K14181">
        <v>0.996</v>
      </c>
      <c r="L14181">
        <v>0.62</v>
      </c>
      <c r="M14181">
        <v>0.996</v>
      </c>
      <c r="N14181">
        <v>0.66</v>
      </c>
    </row>
    <row r="14182" spans="1:14" x14ac:dyDescent="0.25">
      <c r="A14182" t="s">
        <v>24102</v>
      </c>
      <c r="B14182" t="s">
        <v>3789</v>
      </c>
      <c r="C14182" s="1" t="str">
        <f>HYPERLINK("http://www.genecards.org/cgi-bin/carddisp.pl?gene=PTPRF","GeneCards")</f>
        <v>GeneCards</v>
      </c>
      <c r="D14182" s="1" t="str">
        <f>HYPERLINK("http://genome-euro.ucsc.edu/cgi-bin/hgTracks?position=200635_s_at","UCSC")</f>
        <v>UCSC</v>
      </c>
      <c r="E14182" s="1" t="str">
        <f>HYPERLINK("http://www.ncbi.nlm.nih.gov/gene/?term=PTPRF","NCBI")</f>
        <v>NCBI</v>
      </c>
      <c r="F14182">
        <v>0.56000000000000005</v>
      </c>
      <c r="G14182">
        <v>0.65</v>
      </c>
      <c r="H14182" s="1" t="str">
        <f>HYPERLINK("http://www.weizmann.ac.il/complex/compphys/software/geview/data/figures/200635_s_at.png","Figure")</f>
        <v>Figure</v>
      </c>
      <c r="I14182">
        <v>1</v>
      </c>
      <c r="J14182">
        <v>1</v>
      </c>
      <c r="K14182">
        <v>0.997</v>
      </c>
      <c r="L14182">
        <v>0.62</v>
      </c>
      <c r="M14182">
        <v>0.997</v>
      </c>
      <c r="N14182">
        <v>0.66</v>
      </c>
    </row>
    <row r="14183" spans="1:14" x14ac:dyDescent="0.25">
      <c r="A14183" t="s">
        <v>24103</v>
      </c>
      <c r="B14183" t="s">
        <v>24104</v>
      </c>
      <c r="C14183" s="1" t="str">
        <f>HYPERLINK("http://www.genecards.org/cgi-bin/carddisp.pl?gene=GABARAP","GeneCards")</f>
        <v>GeneCards</v>
      </c>
      <c r="D14183" s="1" t="str">
        <f>HYPERLINK("http://genome-euro.ucsc.edu/cgi-bin/hgTracks?position=200645_at","UCSC")</f>
        <v>UCSC</v>
      </c>
      <c r="E14183" s="1" t="str">
        <f>HYPERLINK("http://www.ncbi.nlm.nih.gov/gene/?term=GABARAP","NCBI")</f>
        <v>NCBI</v>
      </c>
      <c r="F14183">
        <v>0.55000000000000004</v>
      </c>
      <c r="G14183">
        <v>0.65</v>
      </c>
      <c r="H14183" s="1" t="str">
        <f>HYPERLINK("http://www.weizmann.ac.il/complex/compphys/software/geview/data/figures/200645_at.png","Figure")</f>
        <v>Figure</v>
      </c>
      <c r="I14183">
        <v>0.86599999999999999</v>
      </c>
      <c r="J14183">
        <v>0.74</v>
      </c>
      <c r="K14183">
        <v>0.83</v>
      </c>
      <c r="L14183">
        <v>0.53</v>
      </c>
      <c r="M14183">
        <v>0.95799999999999996</v>
      </c>
      <c r="N14183">
        <v>0.97</v>
      </c>
    </row>
    <row r="14184" spans="1:14" x14ac:dyDescent="0.25">
      <c r="A14184" t="s">
        <v>24105</v>
      </c>
      <c r="B14184" t="s">
        <v>24106</v>
      </c>
      <c r="C14184" s="1" t="str">
        <f>HYPERLINK("http://www.genecards.org/cgi-bin/carddisp.pl?gene=LOC100291837 /// RPS21","GeneCards")</f>
        <v>GeneCards</v>
      </c>
      <c r="D14184" s="1" t="str">
        <f>HYPERLINK("http://genome-euro.ucsc.edu/cgi-bin/hgTracks?position=200834_s_at","UCSC")</f>
        <v>UCSC</v>
      </c>
      <c r="E14184" s="1" t="str">
        <f>HYPERLINK("http://www.ncbi.nlm.nih.gov/gene/?term=LOC100291837 /// RPS21","NCBI")</f>
        <v>NCBI</v>
      </c>
      <c r="F14184">
        <v>0.55000000000000004</v>
      </c>
      <c r="G14184">
        <v>0.65</v>
      </c>
      <c r="H14184" s="1" t="str">
        <f>HYPERLINK("http://www.weizmann.ac.il/complex/compphys/software/geview/data/figures/200834_s_at.png","Figure")</f>
        <v>Figure</v>
      </c>
      <c r="I14184">
        <v>0.98599999999999999</v>
      </c>
      <c r="J14184">
        <v>1</v>
      </c>
      <c r="K14184">
        <v>1.18</v>
      </c>
      <c r="L14184">
        <v>0.63</v>
      </c>
      <c r="M14184">
        <v>1.2</v>
      </c>
      <c r="N14184">
        <v>0.63</v>
      </c>
    </row>
    <row r="14185" spans="1:14" x14ac:dyDescent="0.25">
      <c r="A14185" t="s">
        <v>24107</v>
      </c>
      <c r="B14185" t="s">
        <v>22184</v>
      </c>
      <c r="C14185" s="1" t="str">
        <f>HYPERLINK("http://www.genecards.org/cgi-bin/carddisp.pl?gene=TSPAN3","GeneCards")</f>
        <v>GeneCards</v>
      </c>
      <c r="D14185" s="1" t="str">
        <f>HYPERLINK("http://genome-euro.ucsc.edu/cgi-bin/hgTracks?position=200973_s_at","UCSC")</f>
        <v>UCSC</v>
      </c>
      <c r="E14185" s="1" t="str">
        <f>HYPERLINK("http://www.ncbi.nlm.nih.gov/gene/?term=TSPAN3","NCBI")</f>
        <v>NCBI</v>
      </c>
      <c r="F14185">
        <v>0.55000000000000004</v>
      </c>
      <c r="G14185">
        <v>0.65</v>
      </c>
      <c r="H14185" s="1" t="str">
        <f>HYPERLINK("http://www.weizmann.ac.il/complex/compphys/software/geview/data/figures/200973_s_at.png","Figure")</f>
        <v>Figure</v>
      </c>
      <c r="I14185">
        <v>1.04</v>
      </c>
      <c r="J14185">
        <v>0.98</v>
      </c>
      <c r="K14185">
        <v>1.2</v>
      </c>
      <c r="L14185">
        <v>0.56000000000000005</v>
      </c>
      <c r="M14185">
        <v>1.1499999999999999</v>
      </c>
      <c r="N14185">
        <v>0.72</v>
      </c>
    </row>
    <row r="14186" spans="1:14" x14ac:dyDescent="0.25">
      <c r="A14186" t="s">
        <v>24108</v>
      </c>
      <c r="B14186" t="s">
        <v>19710</v>
      </c>
      <c r="C14186" s="1" t="str">
        <f>HYPERLINK("http://www.genecards.org/cgi-bin/carddisp.pl?gene=HNRNPA0","GeneCards")</f>
        <v>GeneCards</v>
      </c>
      <c r="D14186" s="1" t="str">
        <f>HYPERLINK("http://genome-euro.ucsc.edu/cgi-bin/hgTracks?position=201054_at","UCSC")</f>
        <v>UCSC</v>
      </c>
      <c r="E14186" s="1" t="str">
        <f>HYPERLINK("http://www.ncbi.nlm.nih.gov/gene/?term=HNRNPA0","NCBI")</f>
        <v>NCBI</v>
      </c>
      <c r="F14186">
        <v>0.55000000000000004</v>
      </c>
      <c r="G14186">
        <v>0.65</v>
      </c>
      <c r="H14186" s="1" t="str">
        <f>HYPERLINK("http://www.weizmann.ac.il/complex/compphys/software/geview/data/figures/201054_at.png","Figure")</f>
        <v>Figure</v>
      </c>
      <c r="I14186">
        <v>0.81100000000000005</v>
      </c>
      <c r="J14186">
        <v>0.67</v>
      </c>
      <c r="K14186">
        <v>1.04</v>
      </c>
      <c r="L14186">
        <v>0.98</v>
      </c>
      <c r="M14186">
        <v>1.28</v>
      </c>
      <c r="N14186">
        <v>0.54</v>
      </c>
    </row>
    <row r="14187" spans="1:14" x14ac:dyDescent="0.25">
      <c r="A14187" t="s">
        <v>24109</v>
      </c>
      <c r="B14187" t="s">
        <v>12406</v>
      </c>
      <c r="C14187" s="1" t="str">
        <f>HYPERLINK("http://www.genecards.org/cgi-bin/carddisp.pl?gene=DCTN1","GeneCards")</f>
        <v>GeneCards</v>
      </c>
      <c r="D14187" s="1" t="str">
        <f>HYPERLINK("http://genome-euro.ucsc.edu/cgi-bin/hgTracks?position=201082_s_at","UCSC")</f>
        <v>UCSC</v>
      </c>
      <c r="E14187" s="1" t="str">
        <f>HYPERLINK("http://www.ncbi.nlm.nih.gov/gene/?term=DCTN1","NCBI")</f>
        <v>NCBI</v>
      </c>
      <c r="F14187">
        <v>0.55000000000000004</v>
      </c>
      <c r="G14187">
        <v>0.65</v>
      </c>
      <c r="H14187" s="1" t="str">
        <f>HYPERLINK("http://www.weizmann.ac.il/complex/compphys/software/geview/data/figures/201082_s_at.png","Figure")</f>
        <v>Figure</v>
      </c>
      <c r="I14187">
        <v>0.91500000000000004</v>
      </c>
      <c r="J14187">
        <v>0.52</v>
      </c>
      <c r="K14187">
        <v>0.96399999999999997</v>
      </c>
      <c r="L14187">
        <v>0.86</v>
      </c>
      <c r="M14187">
        <v>1.05</v>
      </c>
      <c r="N14187">
        <v>0.76</v>
      </c>
    </row>
    <row r="14188" spans="1:14" x14ac:dyDescent="0.25">
      <c r="A14188" t="s">
        <v>24110</v>
      </c>
      <c r="B14188" t="s">
        <v>24111</v>
      </c>
      <c r="C14188" s="1" t="str">
        <f>HYPERLINK("http://www.genecards.org/cgi-bin/carddisp.pl?gene=SEPW1","GeneCards")</f>
        <v>GeneCards</v>
      </c>
      <c r="D14188" s="1" t="str">
        <f>HYPERLINK("http://genome-euro.ucsc.edu/cgi-bin/hgTracks?position=201194_at","UCSC")</f>
        <v>UCSC</v>
      </c>
      <c r="E14188" s="1" t="str">
        <f>HYPERLINK("http://www.ncbi.nlm.nih.gov/gene/?term=SEPW1","NCBI")</f>
        <v>NCBI</v>
      </c>
      <c r="F14188">
        <v>0.55000000000000004</v>
      </c>
      <c r="G14188">
        <v>0.65</v>
      </c>
      <c r="H14188" s="1" t="str">
        <f>HYPERLINK("http://www.weizmann.ac.il/complex/compphys/software/geview/data/figures/201194_at.png","Figure")</f>
        <v>Figure</v>
      </c>
      <c r="I14188">
        <v>0.83199999999999996</v>
      </c>
      <c r="J14188">
        <v>0.52</v>
      </c>
      <c r="K14188">
        <v>0.92400000000000004</v>
      </c>
      <c r="L14188">
        <v>0.85</v>
      </c>
      <c r="M14188">
        <v>1.1100000000000001</v>
      </c>
      <c r="N14188">
        <v>0.78</v>
      </c>
    </row>
    <row r="14189" spans="1:14" x14ac:dyDescent="0.25">
      <c r="A14189" t="s">
        <v>24112</v>
      </c>
      <c r="B14189" t="s">
        <v>11614</v>
      </c>
      <c r="C14189" s="1" t="str">
        <f>HYPERLINK("http://www.genecards.org/cgi-bin/carddisp.pl?gene=SCARB2","GeneCards")</f>
        <v>GeneCards</v>
      </c>
      <c r="D14189" s="1" t="str">
        <f>HYPERLINK("http://genome-euro.ucsc.edu/cgi-bin/hgTracks?position=201647_s_at","UCSC")</f>
        <v>UCSC</v>
      </c>
      <c r="E14189" s="1" t="str">
        <f>HYPERLINK("http://www.ncbi.nlm.nih.gov/gene/?term=SCARB2","NCBI")</f>
        <v>NCBI</v>
      </c>
      <c r="F14189">
        <v>0.56000000000000005</v>
      </c>
      <c r="G14189">
        <v>0.65</v>
      </c>
      <c r="H14189" s="1" t="str">
        <f>HYPERLINK("http://www.weizmann.ac.il/complex/compphys/software/geview/data/figures/201647_s_at.png","Figure")</f>
        <v>Figure</v>
      </c>
      <c r="I14189">
        <v>1</v>
      </c>
      <c r="J14189">
        <v>1</v>
      </c>
      <c r="K14189">
        <v>0.98299999999999998</v>
      </c>
      <c r="L14189">
        <v>0.62</v>
      </c>
      <c r="M14189">
        <v>0.98299999999999998</v>
      </c>
      <c r="N14189">
        <v>0.66</v>
      </c>
    </row>
    <row r="14190" spans="1:14" x14ac:dyDescent="0.25">
      <c r="A14190" t="s">
        <v>24113</v>
      </c>
      <c r="B14190" t="s">
        <v>24114</v>
      </c>
      <c r="C14190" s="1" t="str">
        <f>HYPERLINK("http://www.genecards.org/cgi-bin/carddisp.pl?gene=MARCKS","GeneCards")</f>
        <v>GeneCards</v>
      </c>
      <c r="D14190" s="1" t="str">
        <f>HYPERLINK("http://genome-euro.ucsc.edu/cgi-bin/hgTracks?position=201670_s_at","UCSC")</f>
        <v>UCSC</v>
      </c>
      <c r="E14190" s="1" t="str">
        <f>HYPERLINK("http://www.ncbi.nlm.nih.gov/gene/?term=MARCKS","NCBI")</f>
        <v>NCBI</v>
      </c>
      <c r="F14190">
        <v>0.55000000000000004</v>
      </c>
      <c r="G14190">
        <v>0.65</v>
      </c>
      <c r="H14190" s="1" t="str">
        <f>HYPERLINK("http://www.weizmann.ac.il/complex/compphys/software/geview/data/figures/201670_s_at.png","Figure")</f>
        <v>Figure</v>
      </c>
      <c r="I14190">
        <v>0.72899999999999998</v>
      </c>
      <c r="J14190">
        <v>0.66</v>
      </c>
      <c r="K14190">
        <v>1.05</v>
      </c>
      <c r="L14190">
        <v>0.99</v>
      </c>
      <c r="M14190">
        <v>1.44</v>
      </c>
      <c r="N14190">
        <v>0.54</v>
      </c>
    </row>
    <row r="14191" spans="1:14" x14ac:dyDescent="0.25">
      <c r="A14191" t="s">
        <v>24115</v>
      </c>
      <c r="B14191" t="s">
        <v>22674</v>
      </c>
      <c r="C14191" s="1" t="str">
        <f>HYPERLINK("http://www.genecards.org/cgi-bin/carddisp.pl?gene=SFRS9","GeneCards")</f>
        <v>GeneCards</v>
      </c>
      <c r="D14191" s="1" t="str">
        <f>HYPERLINK("http://genome-euro.ucsc.edu/cgi-bin/hgTracks?position=201698_s_at","UCSC")</f>
        <v>UCSC</v>
      </c>
      <c r="E14191" s="1" t="str">
        <f>HYPERLINK("http://www.ncbi.nlm.nih.gov/gene/?term=SFRS9","NCBI")</f>
        <v>NCBI</v>
      </c>
      <c r="F14191">
        <v>0.56000000000000005</v>
      </c>
      <c r="G14191">
        <v>0.65</v>
      </c>
      <c r="H14191" s="1" t="str">
        <f>HYPERLINK("http://www.weizmann.ac.il/complex/compphys/software/geview/data/figures/201698_s_at.png","Figure")</f>
        <v>Figure</v>
      </c>
      <c r="I14191">
        <v>1.21</v>
      </c>
      <c r="J14191">
        <v>0.53</v>
      </c>
      <c r="K14191">
        <v>1.0900000000000001</v>
      </c>
      <c r="L14191">
        <v>0.83</v>
      </c>
      <c r="M14191">
        <v>0.90400000000000003</v>
      </c>
      <c r="N14191">
        <v>0.81</v>
      </c>
    </row>
    <row r="14192" spans="1:14" x14ac:dyDescent="0.25">
      <c r="A14192" t="s">
        <v>24116</v>
      </c>
      <c r="B14192" t="s">
        <v>14547</v>
      </c>
      <c r="C14192" s="1" t="str">
        <f>HYPERLINK("http://www.genecards.org/cgi-bin/carddisp.pl?gene=WSB2","GeneCards")</f>
        <v>GeneCards</v>
      </c>
      <c r="D14192" s="1" t="str">
        <f>HYPERLINK("http://genome-euro.ucsc.edu/cgi-bin/hgTracks?position=201760_s_at","UCSC")</f>
        <v>UCSC</v>
      </c>
      <c r="E14192" s="1" t="str">
        <f>HYPERLINK("http://www.ncbi.nlm.nih.gov/gene/?term=WSB2","NCBI")</f>
        <v>NCBI</v>
      </c>
      <c r="F14192">
        <v>0.54</v>
      </c>
      <c r="G14192">
        <v>0.65</v>
      </c>
      <c r="H14192" s="1" t="str">
        <f>HYPERLINK("http://www.weizmann.ac.il/complex/compphys/software/geview/data/figures/201760_s_at.png","Figure")</f>
        <v>Figure</v>
      </c>
      <c r="I14192">
        <v>0.85299999999999998</v>
      </c>
      <c r="J14192">
        <v>0.53</v>
      </c>
      <c r="K14192">
        <v>0.95699999999999996</v>
      </c>
      <c r="L14192">
        <v>0.93</v>
      </c>
      <c r="M14192">
        <v>1.1200000000000001</v>
      </c>
      <c r="N14192">
        <v>0.68</v>
      </c>
    </row>
    <row r="14193" spans="1:14" x14ac:dyDescent="0.25">
      <c r="A14193" t="s">
        <v>24117</v>
      </c>
      <c r="B14193" t="s">
        <v>11482</v>
      </c>
      <c r="C14193" s="1" t="str">
        <f>HYPERLINK("http://www.genecards.org/cgi-bin/carddisp.pl?gene=ATP6V1A","GeneCards")</f>
        <v>GeneCards</v>
      </c>
      <c r="D14193" s="1" t="str">
        <f>HYPERLINK("http://genome-euro.ucsc.edu/cgi-bin/hgTracks?position=201971_s_at","UCSC")</f>
        <v>UCSC</v>
      </c>
      <c r="E14193" s="1" t="str">
        <f>HYPERLINK("http://www.ncbi.nlm.nih.gov/gene/?term=ATP6V1A","NCBI")</f>
        <v>NCBI</v>
      </c>
      <c r="F14193">
        <v>0.56000000000000005</v>
      </c>
      <c r="G14193">
        <v>0.65</v>
      </c>
      <c r="H14193" s="1" t="str">
        <f>HYPERLINK("http://www.weizmann.ac.il/complex/compphys/software/geview/data/figures/201971_s_at.png","Figure")</f>
        <v>Figure</v>
      </c>
      <c r="I14193">
        <v>1</v>
      </c>
      <c r="J14193">
        <v>1</v>
      </c>
      <c r="K14193">
        <v>0.97699999999999998</v>
      </c>
      <c r="L14193">
        <v>0.62</v>
      </c>
      <c r="M14193">
        <v>0.97699999999999998</v>
      </c>
      <c r="N14193">
        <v>0.66</v>
      </c>
    </row>
    <row r="14194" spans="1:14" x14ac:dyDescent="0.25">
      <c r="A14194" t="s">
        <v>24118</v>
      </c>
      <c r="B14194" t="s">
        <v>773</v>
      </c>
      <c r="C14194" s="1" t="str">
        <f>HYPERLINK("http://www.genecards.org/cgi-bin/carddisp.pl?gene=HNRPDL","GeneCards")</f>
        <v>GeneCards</v>
      </c>
      <c r="D14194" s="1" t="str">
        <f>HYPERLINK("http://genome-euro.ucsc.edu/cgi-bin/hgTracks?position=201993_x_at","UCSC")</f>
        <v>UCSC</v>
      </c>
      <c r="E14194" s="1" t="str">
        <f>HYPERLINK("http://www.ncbi.nlm.nih.gov/gene/?term=HNRPDL","NCBI")</f>
        <v>NCBI</v>
      </c>
      <c r="F14194">
        <v>0.56000000000000005</v>
      </c>
      <c r="G14194">
        <v>0.65</v>
      </c>
      <c r="H14194" s="1" t="str">
        <f>HYPERLINK("http://www.weizmann.ac.il/complex/compphys/software/geview/data/figures/201993_x_at.png","Figure")</f>
        <v>Figure</v>
      </c>
      <c r="I14194">
        <v>0.91400000000000003</v>
      </c>
      <c r="J14194">
        <v>0.54</v>
      </c>
      <c r="K14194">
        <v>0.94699999999999995</v>
      </c>
      <c r="L14194">
        <v>0.74</v>
      </c>
      <c r="M14194">
        <v>1.04</v>
      </c>
      <c r="N14194">
        <v>0.9</v>
      </c>
    </row>
    <row r="14195" spans="1:14" x14ac:dyDescent="0.25">
      <c r="A14195" t="s">
        <v>24119</v>
      </c>
      <c r="B14195" t="s">
        <v>24120</v>
      </c>
      <c r="C14195" s="1" t="str">
        <f>HYPERLINK("http://www.genecards.org/cgi-bin/carddisp.pl?gene=HARS","GeneCards")</f>
        <v>GeneCards</v>
      </c>
      <c r="D14195" s="1" t="str">
        <f>HYPERLINK("http://genome-euro.ucsc.edu/cgi-bin/hgTracks?position=202042_at","UCSC")</f>
        <v>UCSC</v>
      </c>
      <c r="E14195" s="1" t="str">
        <f>HYPERLINK("http://www.ncbi.nlm.nih.gov/gene/?term=HARS","NCBI")</f>
        <v>NCBI</v>
      </c>
      <c r="F14195">
        <v>0.56000000000000005</v>
      </c>
      <c r="G14195">
        <v>0.65</v>
      </c>
      <c r="H14195" s="1" t="str">
        <f>HYPERLINK("http://www.weizmann.ac.il/complex/compphys/software/geview/data/figures/202042_at.png","Figure")</f>
        <v>Figure</v>
      </c>
      <c r="I14195">
        <v>1.1200000000000001</v>
      </c>
      <c r="J14195">
        <v>0.73</v>
      </c>
      <c r="K14195">
        <v>1.1499999999999999</v>
      </c>
      <c r="L14195">
        <v>0.54</v>
      </c>
      <c r="M14195">
        <v>1.03</v>
      </c>
      <c r="N14195">
        <v>0.98</v>
      </c>
    </row>
    <row r="14196" spans="1:14" x14ac:dyDescent="0.25">
      <c r="A14196" t="s">
        <v>24121</v>
      </c>
      <c r="B14196" t="s">
        <v>24122</v>
      </c>
      <c r="C14196" s="1" t="str">
        <f>HYPERLINK("http://www.genecards.org/cgi-bin/carddisp.pl?gene=PAF1","GeneCards")</f>
        <v>GeneCards</v>
      </c>
      <c r="D14196" s="1" t="str">
        <f>HYPERLINK("http://genome-euro.ucsc.edu/cgi-bin/hgTracks?position=202093_s_at","UCSC")</f>
        <v>UCSC</v>
      </c>
      <c r="E14196" s="1" t="str">
        <f>HYPERLINK("http://www.ncbi.nlm.nih.gov/gene/?term=PAF1","NCBI")</f>
        <v>NCBI</v>
      </c>
      <c r="F14196">
        <v>0.56000000000000005</v>
      </c>
      <c r="G14196">
        <v>0.65</v>
      </c>
      <c r="H14196" s="1" t="str">
        <f>HYPERLINK("http://www.weizmann.ac.il/complex/compphys/software/geview/data/figures/202093_s_at.png","Figure")</f>
        <v>Figure</v>
      </c>
      <c r="I14196">
        <v>0.91800000000000004</v>
      </c>
      <c r="J14196">
        <v>0.88</v>
      </c>
      <c r="K14196">
        <v>0.84399999999999997</v>
      </c>
      <c r="L14196">
        <v>0.53</v>
      </c>
      <c r="M14196">
        <v>0.91900000000000004</v>
      </c>
      <c r="N14196">
        <v>0.87</v>
      </c>
    </row>
    <row r="14197" spans="1:14" x14ac:dyDescent="0.25">
      <c r="A14197" t="s">
        <v>24123</v>
      </c>
      <c r="B14197" t="s">
        <v>24124</v>
      </c>
      <c r="C14197" s="1" t="str">
        <f>HYPERLINK("http://www.genecards.org/cgi-bin/carddisp.pl?gene=LSM3","GeneCards")</f>
        <v>GeneCards</v>
      </c>
      <c r="D14197" s="1" t="str">
        <f>HYPERLINK("http://genome-euro.ucsc.edu/cgi-bin/hgTracks?position=202209_at","UCSC")</f>
        <v>UCSC</v>
      </c>
      <c r="E14197" s="1" t="str">
        <f>HYPERLINK("http://www.ncbi.nlm.nih.gov/gene/?term=LSM3","NCBI")</f>
        <v>NCBI</v>
      </c>
      <c r="F14197">
        <v>0.55000000000000004</v>
      </c>
      <c r="G14197">
        <v>0.65</v>
      </c>
      <c r="H14197" s="1" t="str">
        <f>HYPERLINK("http://www.weizmann.ac.il/complex/compphys/software/geview/data/figures/202209_at.png","Figure")</f>
        <v>Figure</v>
      </c>
      <c r="I14197">
        <v>1.1499999999999999</v>
      </c>
      <c r="J14197">
        <v>0.66</v>
      </c>
      <c r="K14197">
        <v>1.1599999999999999</v>
      </c>
      <c r="L14197">
        <v>0.56000000000000005</v>
      </c>
      <c r="M14197">
        <v>1.01</v>
      </c>
      <c r="N14197">
        <v>1</v>
      </c>
    </row>
    <row r="14198" spans="1:14" x14ac:dyDescent="0.25">
      <c r="A14198" t="s">
        <v>24125</v>
      </c>
      <c r="B14198" t="s">
        <v>14401</v>
      </c>
      <c r="C14198" s="1" t="str">
        <f>HYPERLINK("http://www.genecards.org/cgi-bin/carddisp.pl?gene=CSNK1E","GeneCards")</f>
        <v>GeneCards</v>
      </c>
      <c r="D14198" s="1" t="str">
        <f>HYPERLINK("http://genome-euro.ucsc.edu/cgi-bin/hgTracks?position=202332_at","UCSC")</f>
        <v>UCSC</v>
      </c>
      <c r="E14198" s="1" t="str">
        <f>HYPERLINK("http://www.ncbi.nlm.nih.gov/gene/?term=CSNK1E","NCBI")</f>
        <v>NCBI</v>
      </c>
      <c r="F14198">
        <v>0.55000000000000004</v>
      </c>
      <c r="G14198">
        <v>0.65</v>
      </c>
      <c r="H14198" s="1" t="str">
        <f>HYPERLINK("http://www.weizmann.ac.il/complex/compphys/software/geview/data/figures/202332_at.png","Figure")</f>
        <v>Figure</v>
      </c>
      <c r="I14198">
        <v>0.77500000000000002</v>
      </c>
      <c r="J14198">
        <v>0.53</v>
      </c>
      <c r="K14198">
        <v>0.91300000000000003</v>
      </c>
      <c r="L14198">
        <v>0.89</v>
      </c>
      <c r="M14198">
        <v>1.18</v>
      </c>
      <c r="N14198">
        <v>0.73</v>
      </c>
    </row>
    <row r="14199" spans="1:14" x14ac:dyDescent="0.25">
      <c r="A14199" t="s">
        <v>24126</v>
      </c>
      <c r="B14199" t="s">
        <v>21510</v>
      </c>
      <c r="C14199" s="1" t="str">
        <f>HYPERLINK("http://www.genecards.org/cgi-bin/carddisp.pl?gene=AP3S2","GeneCards")</f>
        <v>GeneCards</v>
      </c>
      <c r="D14199" s="1" t="str">
        <f>HYPERLINK("http://genome-euro.ucsc.edu/cgi-bin/hgTracks?position=202398_at","UCSC")</f>
        <v>UCSC</v>
      </c>
      <c r="E14199" s="1" t="str">
        <f>HYPERLINK("http://www.ncbi.nlm.nih.gov/gene/?term=AP3S2","NCBI")</f>
        <v>NCBI</v>
      </c>
      <c r="F14199">
        <v>0.56000000000000005</v>
      </c>
      <c r="G14199">
        <v>0.65</v>
      </c>
      <c r="H14199" s="1" t="str">
        <f>HYPERLINK("http://www.weizmann.ac.il/complex/compphys/software/geview/data/figures/202398_at.png","Figure")</f>
        <v>Figure</v>
      </c>
      <c r="I14199">
        <v>1</v>
      </c>
      <c r="J14199">
        <v>1</v>
      </c>
      <c r="K14199">
        <v>0.98599999999999999</v>
      </c>
      <c r="L14199">
        <v>0.62</v>
      </c>
      <c r="M14199">
        <v>0.98599999999999999</v>
      </c>
      <c r="N14199">
        <v>0.66</v>
      </c>
    </row>
    <row r="14200" spans="1:14" x14ac:dyDescent="0.25">
      <c r="A14200" t="s">
        <v>24127</v>
      </c>
      <c r="B14200" t="s">
        <v>24128</v>
      </c>
      <c r="C14200" s="1" t="str">
        <f>HYPERLINK("http://www.genecards.org/cgi-bin/carddisp.pl?gene=ERCC5","GeneCards")</f>
        <v>GeneCards</v>
      </c>
      <c r="D14200" s="1" t="str">
        <f>HYPERLINK("http://genome-euro.ucsc.edu/cgi-bin/hgTracks?position=202414_at","UCSC")</f>
        <v>UCSC</v>
      </c>
      <c r="E14200" s="1" t="str">
        <f>HYPERLINK("http://www.ncbi.nlm.nih.gov/gene/?term=ERCC5","NCBI")</f>
        <v>NCBI</v>
      </c>
      <c r="F14200">
        <v>0.55000000000000004</v>
      </c>
      <c r="G14200">
        <v>0.65</v>
      </c>
      <c r="H14200" s="1" t="str">
        <f>HYPERLINK("http://www.weizmann.ac.il/complex/compphys/software/geview/data/figures/202414_at.png","Figure")</f>
        <v>Figure</v>
      </c>
      <c r="I14200">
        <v>0.89900000000000002</v>
      </c>
      <c r="J14200">
        <v>0.81</v>
      </c>
      <c r="K14200">
        <v>0.84899999999999998</v>
      </c>
      <c r="L14200">
        <v>0.53</v>
      </c>
      <c r="M14200">
        <v>0.94399999999999995</v>
      </c>
      <c r="N14200">
        <v>0.93</v>
      </c>
    </row>
    <row r="14201" spans="1:14" x14ac:dyDescent="0.25">
      <c r="A14201" t="s">
        <v>24129</v>
      </c>
      <c r="B14201" t="s">
        <v>24130</v>
      </c>
      <c r="C14201" s="1" t="str">
        <f>HYPERLINK("http://www.genecards.org/cgi-bin/carddisp.pl?gene=MYC","GeneCards")</f>
        <v>GeneCards</v>
      </c>
      <c r="D14201" s="1" t="str">
        <f>HYPERLINK("http://genome-euro.ucsc.edu/cgi-bin/hgTracks?position=202431_s_at","UCSC")</f>
        <v>UCSC</v>
      </c>
      <c r="E14201" s="1" t="str">
        <f>HYPERLINK("http://www.ncbi.nlm.nih.gov/gene/?term=MYC","NCBI")</f>
        <v>NCBI</v>
      </c>
      <c r="F14201">
        <v>0.55000000000000004</v>
      </c>
      <c r="G14201">
        <v>0.65</v>
      </c>
      <c r="H14201" s="1" t="str">
        <f>HYPERLINK("http://www.weizmann.ac.il/complex/compphys/software/geview/data/figures/202431_s_at.png","Figure")</f>
        <v>Figure</v>
      </c>
      <c r="I14201">
        <v>0.76600000000000001</v>
      </c>
      <c r="J14201">
        <v>0.62</v>
      </c>
      <c r="K14201">
        <v>1.01</v>
      </c>
      <c r="L14201">
        <v>1</v>
      </c>
      <c r="M14201">
        <v>1.31</v>
      </c>
      <c r="N14201">
        <v>0.56000000000000005</v>
      </c>
    </row>
    <row r="14202" spans="1:14" x14ac:dyDescent="0.25">
      <c r="A14202" t="s">
        <v>24131</v>
      </c>
      <c r="B14202" t="s">
        <v>24132</v>
      </c>
      <c r="C14202" s="1" t="str">
        <f>HYPERLINK("http://www.genecards.org/cgi-bin/carddisp.pl?gene=PRSS23","GeneCards")</f>
        <v>GeneCards</v>
      </c>
      <c r="D14202" s="1" t="str">
        <f>HYPERLINK("http://genome-euro.ucsc.edu/cgi-bin/hgTracks?position=202458_at","UCSC")</f>
        <v>UCSC</v>
      </c>
      <c r="E14202" s="1" t="str">
        <f>HYPERLINK("http://www.ncbi.nlm.nih.gov/gene/?term=PRSS23","NCBI")</f>
        <v>NCBI</v>
      </c>
      <c r="F14202">
        <v>0.56000000000000005</v>
      </c>
      <c r="G14202">
        <v>0.65</v>
      </c>
      <c r="H14202" s="1" t="str">
        <f>HYPERLINK("http://www.weizmann.ac.il/complex/compphys/software/geview/data/figures/202458_at.png","Figure")</f>
        <v>Figure</v>
      </c>
      <c r="I14202">
        <v>1</v>
      </c>
      <c r="J14202">
        <v>1</v>
      </c>
      <c r="K14202">
        <v>0.996</v>
      </c>
      <c r="L14202">
        <v>0.62</v>
      </c>
      <c r="M14202">
        <v>0.996</v>
      </c>
      <c r="N14202">
        <v>0.66</v>
      </c>
    </row>
    <row r="14203" spans="1:14" x14ac:dyDescent="0.25">
      <c r="A14203" t="s">
        <v>24133</v>
      </c>
      <c r="B14203" t="s">
        <v>20692</v>
      </c>
      <c r="C14203" s="1" t="str">
        <f>HYPERLINK("http://www.genecards.org/cgi-bin/carddisp.pl?gene=TNFSF10","GeneCards")</f>
        <v>GeneCards</v>
      </c>
      <c r="D14203" s="1" t="str">
        <f>HYPERLINK("http://genome-euro.ucsc.edu/cgi-bin/hgTracks?position=202687_s_at","UCSC")</f>
        <v>UCSC</v>
      </c>
      <c r="E14203" s="1" t="str">
        <f>HYPERLINK("http://www.ncbi.nlm.nih.gov/gene/?term=TNFSF10","NCBI")</f>
        <v>NCBI</v>
      </c>
      <c r="F14203">
        <v>0.56000000000000005</v>
      </c>
      <c r="G14203">
        <v>0.65</v>
      </c>
      <c r="H14203" s="1" t="str">
        <f>HYPERLINK("http://www.weizmann.ac.il/complex/compphys/software/geview/data/figures/202687_s_at.png","Figure")</f>
        <v>Figure</v>
      </c>
      <c r="I14203">
        <v>1</v>
      </c>
      <c r="J14203">
        <v>1</v>
      </c>
      <c r="K14203">
        <v>0.96899999999999997</v>
      </c>
      <c r="L14203">
        <v>0.62</v>
      </c>
      <c r="M14203">
        <v>0.96899999999999997</v>
      </c>
      <c r="N14203">
        <v>0.66</v>
      </c>
    </row>
    <row r="14204" spans="1:14" x14ac:dyDescent="0.25">
      <c r="A14204" t="s">
        <v>24134</v>
      </c>
      <c r="B14204" t="s">
        <v>18600</v>
      </c>
      <c r="C14204" s="1" t="str">
        <f>HYPERLINK("http://www.genecards.org/cgi-bin/carddisp.pl?gene=TCEB3","GeneCards")</f>
        <v>GeneCards</v>
      </c>
      <c r="D14204" s="1" t="str">
        <f>HYPERLINK("http://genome-euro.ucsc.edu/cgi-bin/hgTracks?position=202819_s_at","UCSC")</f>
        <v>UCSC</v>
      </c>
      <c r="E14204" s="1" t="str">
        <f>HYPERLINK("http://www.ncbi.nlm.nih.gov/gene/?term=TCEB3","NCBI")</f>
        <v>NCBI</v>
      </c>
      <c r="F14204">
        <v>0.55000000000000004</v>
      </c>
      <c r="G14204">
        <v>0.65</v>
      </c>
      <c r="H14204" s="1" t="str">
        <f>HYPERLINK("http://www.weizmann.ac.il/complex/compphys/software/geview/data/figures/202819_s_at.png","Figure")</f>
        <v>Figure</v>
      </c>
      <c r="I14204">
        <v>1.04</v>
      </c>
      <c r="J14204">
        <v>0.94</v>
      </c>
      <c r="K14204">
        <v>0.92700000000000005</v>
      </c>
      <c r="L14204">
        <v>0.74</v>
      </c>
      <c r="M14204">
        <v>0.89</v>
      </c>
      <c r="N14204">
        <v>0.56000000000000005</v>
      </c>
    </row>
    <row r="14205" spans="1:14" x14ac:dyDescent="0.25">
      <c r="A14205" t="s">
        <v>24135</v>
      </c>
      <c r="B14205" t="s">
        <v>24136</v>
      </c>
      <c r="C14205" s="1" t="str">
        <f>HYPERLINK("http://www.genecards.org/cgi-bin/carddisp.pl?gene=SERPINA1","GeneCards")</f>
        <v>GeneCards</v>
      </c>
      <c r="D14205" s="1" t="str">
        <f>HYPERLINK("http://genome-euro.ucsc.edu/cgi-bin/hgTracks?position=202833_s_at","UCSC")</f>
        <v>UCSC</v>
      </c>
      <c r="E14205" s="1" t="str">
        <f>HYPERLINK("http://www.ncbi.nlm.nih.gov/gene/?term=SERPINA1","NCBI")</f>
        <v>NCBI</v>
      </c>
      <c r="F14205">
        <v>0.56000000000000005</v>
      </c>
      <c r="G14205">
        <v>0.65</v>
      </c>
      <c r="H14205" s="1" t="str">
        <f>HYPERLINK("http://www.weizmann.ac.il/complex/compphys/software/geview/data/figures/202833_s_at.png","Figure")</f>
        <v>Figure</v>
      </c>
      <c r="I14205">
        <v>1</v>
      </c>
      <c r="J14205">
        <v>1</v>
      </c>
      <c r="K14205">
        <v>0.90800000000000003</v>
      </c>
      <c r="L14205">
        <v>0.62</v>
      </c>
      <c r="M14205">
        <v>0.90800000000000003</v>
      </c>
      <c r="N14205">
        <v>0.66</v>
      </c>
    </row>
    <row r="14206" spans="1:14" x14ac:dyDescent="0.25">
      <c r="A14206" t="s">
        <v>24137</v>
      </c>
      <c r="B14206" t="s">
        <v>24138</v>
      </c>
      <c r="C14206" s="1" t="str">
        <f>HYPERLINK("http://www.genecards.org/cgi-bin/carddisp.pl?gene=IFIT1","GeneCards")</f>
        <v>GeneCards</v>
      </c>
      <c r="D14206" s="1" t="str">
        <f>HYPERLINK("http://genome-euro.ucsc.edu/cgi-bin/hgTracks?position=203153_at","UCSC")</f>
        <v>UCSC</v>
      </c>
      <c r="E14206" s="1" t="str">
        <f>HYPERLINK("http://www.ncbi.nlm.nih.gov/gene/?term=IFIT1","NCBI")</f>
        <v>NCBI</v>
      </c>
      <c r="F14206">
        <v>0.56000000000000005</v>
      </c>
      <c r="G14206">
        <v>0.65</v>
      </c>
      <c r="H14206" s="1" t="str">
        <f>HYPERLINK("http://www.weizmann.ac.il/complex/compphys/software/geview/data/figures/203153_at.png","Figure")</f>
        <v>Figure</v>
      </c>
      <c r="I14206">
        <v>1</v>
      </c>
      <c r="J14206">
        <v>1</v>
      </c>
      <c r="K14206">
        <v>0.92700000000000005</v>
      </c>
      <c r="L14206">
        <v>0.62</v>
      </c>
      <c r="M14206">
        <v>0.92700000000000005</v>
      </c>
      <c r="N14206">
        <v>0.66</v>
      </c>
    </row>
    <row r="14207" spans="1:14" x14ac:dyDescent="0.25">
      <c r="A14207" t="s">
        <v>24139</v>
      </c>
      <c r="B14207" t="s">
        <v>11823</v>
      </c>
      <c r="C14207" s="1" t="str">
        <f>HYPERLINK("http://www.genecards.org/cgi-bin/carddisp.pl?gene=HDDC2","GeneCards")</f>
        <v>GeneCards</v>
      </c>
      <c r="D14207" s="1" t="str">
        <f>HYPERLINK("http://genome-euro.ucsc.edu/cgi-bin/hgTracks?position=203260_at","UCSC")</f>
        <v>UCSC</v>
      </c>
      <c r="E14207" s="1" t="str">
        <f>HYPERLINK("http://www.ncbi.nlm.nih.gov/gene/?term=HDDC2","NCBI")</f>
        <v>NCBI</v>
      </c>
      <c r="F14207">
        <v>0.55000000000000004</v>
      </c>
      <c r="G14207">
        <v>0.65</v>
      </c>
      <c r="H14207" s="1" t="str">
        <f>HYPERLINK("http://www.weizmann.ac.il/complex/compphys/software/geview/data/figures/203260_at.png","Figure")</f>
        <v>Figure</v>
      </c>
      <c r="I14207">
        <v>0.90600000000000003</v>
      </c>
      <c r="J14207">
        <v>0.52</v>
      </c>
      <c r="K14207">
        <v>0.96099999999999997</v>
      </c>
      <c r="L14207">
        <v>0.86</v>
      </c>
      <c r="M14207">
        <v>1.06</v>
      </c>
      <c r="N14207">
        <v>0.76</v>
      </c>
    </row>
    <row r="14208" spans="1:14" x14ac:dyDescent="0.25">
      <c r="A14208" t="s">
        <v>24140</v>
      </c>
      <c r="B14208" t="s">
        <v>1676</v>
      </c>
      <c r="C14208" s="1" t="str">
        <f>HYPERLINK("http://www.genecards.org/cgi-bin/carddisp.pl?gene=HPS1","GeneCards")</f>
        <v>GeneCards</v>
      </c>
      <c r="D14208" s="1" t="str">
        <f>HYPERLINK("http://genome-euro.ucsc.edu/cgi-bin/hgTracks?position=203308_x_at","UCSC")</f>
        <v>UCSC</v>
      </c>
      <c r="E14208" s="1" t="str">
        <f>HYPERLINK("http://www.ncbi.nlm.nih.gov/gene/?term=HPS1","NCBI")</f>
        <v>NCBI</v>
      </c>
      <c r="F14208">
        <v>0.56000000000000005</v>
      </c>
      <c r="G14208">
        <v>0.65</v>
      </c>
      <c r="H14208" s="1" t="str">
        <f>HYPERLINK("http://www.weizmann.ac.il/complex/compphys/software/geview/data/figures/203308_x_at.png","Figure")</f>
        <v>Figure</v>
      </c>
      <c r="I14208">
        <v>1.1200000000000001</v>
      </c>
      <c r="J14208">
        <v>0.56999999999999995</v>
      </c>
      <c r="K14208">
        <v>1.0900000000000001</v>
      </c>
      <c r="L14208">
        <v>0.67</v>
      </c>
      <c r="M14208">
        <v>0.96899999999999997</v>
      </c>
      <c r="N14208">
        <v>0.95</v>
      </c>
    </row>
    <row r="14209" spans="1:14" x14ac:dyDescent="0.25">
      <c r="A14209" t="s">
        <v>24141</v>
      </c>
      <c r="B14209" t="s">
        <v>24142</v>
      </c>
      <c r="C14209" s="1" t="str">
        <f>HYPERLINK("http://www.genecards.org/cgi-bin/carddisp.pl?gene=CAV2","GeneCards")</f>
        <v>GeneCards</v>
      </c>
      <c r="D14209" s="1" t="str">
        <f>HYPERLINK("http://genome-euro.ucsc.edu/cgi-bin/hgTracks?position=203323_at","UCSC")</f>
        <v>UCSC</v>
      </c>
      <c r="E14209" s="1" t="str">
        <f>HYPERLINK("http://www.ncbi.nlm.nih.gov/gene/?term=CAV2","NCBI")</f>
        <v>NCBI</v>
      </c>
      <c r="F14209">
        <v>0.56000000000000005</v>
      </c>
      <c r="G14209">
        <v>0.65</v>
      </c>
      <c r="H14209" s="1" t="str">
        <f>HYPERLINK("http://www.weizmann.ac.il/complex/compphys/software/geview/data/figures/203323_at.png","Figure")</f>
        <v>Figure</v>
      </c>
      <c r="I14209">
        <v>1</v>
      </c>
      <c r="J14209">
        <v>1</v>
      </c>
      <c r="K14209">
        <v>0.93799999999999994</v>
      </c>
      <c r="L14209">
        <v>0.62</v>
      </c>
      <c r="M14209">
        <v>0.93799999999999994</v>
      </c>
      <c r="N14209">
        <v>0.66</v>
      </c>
    </row>
    <row r="14210" spans="1:14" x14ac:dyDescent="0.25">
      <c r="A14210" t="s">
        <v>24143</v>
      </c>
      <c r="B14210" t="s">
        <v>22694</v>
      </c>
      <c r="C14210" s="1" t="str">
        <f>HYPERLINK("http://www.genecards.org/cgi-bin/carddisp.pl?gene=CDK10","GeneCards")</f>
        <v>GeneCards</v>
      </c>
      <c r="D14210" s="1" t="str">
        <f>HYPERLINK("http://genome-euro.ucsc.edu/cgi-bin/hgTracks?position=203469_s_at","UCSC")</f>
        <v>UCSC</v>
      </c>
      <c r="E14210" s="1" t="str">
        <f>HYPERLINK("http://www.ncbi.nlm.nih.gov/gene/?term=CDK10","NCBI")</f>
        <v>NCBI</v>
      </c>
      <c r="F14210">
        <v>0.55000000000000004</v>
      </c>
      <c r="G14210">
        <v>0.65</v>
      </c>
      <c r="H14210" s="1" t="str">
        <f>HYPERLINK("http://www.weizmann.ac.il/complex/compphys/software/geview/data/figures/203469_s_at.png","Figure")</f>
        <v>Figure</v>
      </c>
      <c r="I14210">
        <v>1.1399999999999999</v>
      </c>
      <c r="J14210">
        <v>0.6</v>
      </c>
      <c r="K14210">
        <v>1</v>
      </c>
      <c r="L14210">
        <v>1</v>
      </c>
      <c r="M14210">
        <v>0.878</v>
      </c>
      <c r="N14210">
        <v>0.59</v>
      </c>
    </row>
    <row r="14211" spans="1:14" x14ac:dyDescent="0.25">
      <c r="A14211" t="s">
        <v>24144</v>
      </c>
      <c r="B14211" t="s">
        <v>24145</v>
      </c>
      <c r="C14211" s="1" t="str">
        <f>HYPERLINK("http://www.genecards.org/cgi-bin/carddisp.pl?gene=BPGM","GeneCards")</f>
        <v>GeneCards</v>
      </c>
      <c r="D14211" s="1" t="str">
        <f>HYPERLINK("http://genome-euro.ucsc.edu/cgi-bin/hgTracks?position=203502_at","UCSC")</f>
        <v>UCSC</v>
      </c>
      <c r="E14211" s="1" t="str">
        <f>HYPERLINK("http://www.ncbi.nlm.nih.gov/gene/?term=BPGM","NCBI")</f>
        <v>NCBI</v>
      </c>
      <c r="F14211">
        <v>0.56000000000000005</v>
      </c>
      <c r="G14211">
        <v>0.65</v>
      </c>
      <c r="H14211" s="1" t="str">
        <f>HYPERLINK("http://www.weizmann.ac.il/complex/compphys/software/geview/data/figures/203502_at.png","Figure")</f>
        <v>Figure</v>
      </c>
      <c r="I14211">
        <v>1</v>
      </c>
      <c r="J14211">
        <v>1</v>
      </c>
      <c r="K14211">
        <v>0.90800000000000003</v>
      </c>
      <c r="L14211">
        <v>0.62</v>
      </c>
      <c r="M14211">
        <v>0.90800000000000003</v>
      </c>
      <c r="N14211">
        <v>0.66</v>
      </c>
    </row>
    <row r="14212" spans="1:14" x14ac:dyDescent="0.25">
      <c r="A14212" t="s">
        <v>24146</v>
      </c>
      <c r="B14212" t="s">
        <v>22544</v>
      </c>
      <c r="C14212" s="1" t="str">
        <f>HYPERLINK("http://www.genecards.org/cgi-bin/carddisp.pl?gene=APC","GeneCards")</f>
        <v>GeneCards</v>
      </c>
      <c r="D14212" s="1" t="str">
        <f>HYPERLINK("http://genome-euro.ucsc.edu/cgi-bin/hgTracks?position=203526_s_at","UCSC")</f>
        <v>UCSC</v>
      </c>
      <c r="E14212" s="1" t="str">
        <f>HYPERLINK("http://www.ncbi.nlm.nih.gov/gene/?term=APC","NCBI")</f>
        <v>NCBI</v>
      </c>
      <c r="F14212">
        <v>0.56000000000000005</v>
      </c>
      <c r="G14212">
        <v>0.65</v>
      </c>
      <c r="H14212" s="1" t="str">
        <f>HYPERLINK("http://www.weizmann.ac.il/complex/compphys/software/geview/data/figures/203526_s_at.png","Figure")</f>
        <v>Figure</v>
      </c>
      <c r="I14212">
        <v>1</v>
      </c>
      <c r="J14212">
        <v>1</v>
      </c>
      <c r="K14212">
        <v>0.98499999999999999</v>
      </c>
      <c r="L14212">
        <v>0.62</v>
      </c>
      <c r="M14212">
        <v>0.98499999999999999</v>
      </c>
      <c r="N14212">
        <v>0.66</v>
      </c>
    </row>
    <row r="14213" spans="1:14" x14ac:dyDescent="0.25">
      <c r="A14213" t="s">
        <v>24147</v>
      </c>
      <c r="B14213" t="s">
        <v>24148</v>
      </c>
      <c r="C14213" s="1" t="str">
        <f>HYPERLINK("http://www.genecards.org/cgi-bin/carddisp.pl?gene=TATDN2","GeneCards")</f>
        <v>GeneCards</v>
      </c>
      <c r="D14213" s="1" t="str">
        <f>HYPERLINK("http://genome-euro.ucsc.edu/cgi-bin/hgTracks?position=203648_at","UCSC")</f>
        <v>UCSC</v>
      </c>
      <c r="E14213" s="1" t="str">
        <f>HYPERLINK("http://www.ncbi.nlm.nih.gov/gene/?term=TATDN2","NCBI")</f>
        <v>NCBI</v>
      </c>
      <c r="F14213">
        <v>0.55000000000000004</v>
      </c>
      <c r="G14213">
        <v>0.65</v>
      </c>
      <c r="H14213" s="1" t="str">
        <f>HYPERLINK("http://www.weizmann.ac.il/complex/compphys/software/geview/data/figures/203648_at.png","Figure")</f>
        <v>Figure</v>
      </c>
      <c r="I14213">
        <v>1.2</v>
      </c>
      <c r="J14213">
        <v>0.57999999999999996</v>
      </c>
      <c r="K14213">
        <v>1.02</v>
      </c>
      <c r="L14213">
        <v>0.99</v>
      </c>
      <c r="M14213">
        <v>0.85499999999999998</v>
      </c>
      <c r="N14213">
        <v>0.62</v>
      </c>
    </row>
    <row r="14214" spans="1:14" x14ac:dyDescent="0.25">
      <c r="A14214" t="s">
        <v>24149</v>
      </c>
      <c r="B14214" t="s">
        <v>18453</v>
      </c>
      <c r="C14214" s="1" t="str">
        <f>HYPERLINK("http://www.genecards.org/cgi-bin/carddisp.pl?gene=JUND","GeneCards")</f>
        <v>GeneCards</v>
      </c>
      <c r="D14214" s="1" t="str">
        <f>HYPERLINK("http://genome-euro.ucsc.edu/cgi-bin/hgTracks?position=203752_s_at","UCSC")</f>
        <v>UCSC</v>
      </c>
      <c r="E14214" s="1" t="str">
        <f>HYPERLINK("http://www.ncbi.nlm.nih.gov/gene/?term=JUND","NCBI")</f>
        <v>NCBI</v>
      </c>
      <c r="F14214">
        <v>0.55000000000000004</v>
      </c>
      <c r="G14214">
        <v>0.65</v>
      </c>
      <c r="H14214" s="1" t="str">
        <f>HYPERLINK("http://www.weizmann.ac.il/complex/compphys/software/geview/data/figures/203752_s_at.png","Figure")</f>
        <v>Figure</v>
      </c>
      <c r="I14214">
        <v>1.04</v>
      </c>
      <c r="J14214">
        <v>0.98</v>
      </c>
      <c r="K14214">
        <v>0.879</v>
      </c>
      <c r="L14214">
        <v>0.68</v>
      </c>
      <c r="M14214">
        <v>0.84899999999999998</v>
      </c>
      <c r="N14214">
        <v>0.57999999999999996</v>
      </c>
    </row>
    <row r="14215" spans="1:14" x14ac:dyDescent="0.25">
      <c r="A14215" t="s">
        <v>24150</v>
      </c>
      <c r="B14215" t="s">
        <v>22083</v>
      </c>
      <c r="C14215" s="1" t="str">
        <f>HYPERLINK("http://www.genecards.org/cgi-bin/carddisp.pl?gene=VSNL1","GeneCards")</f>
        <v>GeneCards</v>
      </c>
      <c r="D14215" s="1" t="str">
        <f>HYPERLINK("http://genome-euro.ucsc.edu/cgi-bin/hgTracks?position=203798_s_at","UCSC")</f>
        <v>UCSC</v>
      </c>
      <c r="E14215" s="1" t="str">
        <f>HYPERLINK("http://www.ncbi.nlm.nih.gov/gene/?term=VSNL1","NCBI")</f>
        <v>NCBI</v>
      </c>
      <c r="F14215">
        <v>0.56000000000000005</v>
      </c>
      <c r="G14215">
        <v>0.65</v>
      </c>
      <c r="H14215" s="1" t="str">
        <f>HYPERLINK("http://www.weizmann.ac.il/complex/compphys/software/geview/data/figures/203798_s_at.png","Figure")</f>
        <v>Figure</v>
      </c>
      <c r="I14215">
        <v>1</v>
      </c>
      <c r="J14215">
        <v>1</v>
      </c>
      <c r="K14215">
        <v>0.999</v>
      </c>
      <c r="L14215">
        <v>0.62</v>
      </c>
      <c r="M14215">
        <v>0.999</v>
      </c>
      <c r="N14215">
        <v>0.66</v>
      </c>
    </row>
    <row r="14216" spans="1:14" x14ac:dyDescent="0.25">
      <c r="A14216" t="s">
        <v>24151</v>
      </c>
      <c r="B14216" t="s">
        <v>1326</v>
      </c>
      <c r="C14216" s="1" t="str">
        <f>HYPERLINK("http://www.genecards.org/cgi-bin/carddisp.pl?gene=CSH2","GeneCards")</f>
        <v>GeneCards</v>
      </c>
      <c r="D14216" s="1" t="str">
        <f>HYPERLINK("http://genome-euro.ucsc.edu/cgi-bin/hgTracks?position=203807_x_at","UCSC")</f>
        <v>UCSC</v>
      </c>
      <c r="E14216" s="1" t="str">
        <f>HYPERLINK("http://www.ncbi.nlm.nih.gov/gene/?term=CSH2","NCBI")</f>
        <v>NCBI</v>
      </c>
      <c r="F14216">
        <v>0.56000000000000005</v>
      </c>
      <c r="G14216">
        <v>0.65</v>
      </c>
      <c r="H14216" s="1" t="str">
        <f>HYPERLINK("http://www.weizmann.ac.il/complex/compphys/software/geview/data/figures/203807_x_at.png","Figure")</f>
        <v>Figure</v>
      </c>
      <c r="I14216">
        <v>1</v>
      </c>
      <c r="J14216">
        <v>1</v>
      </c>
      <c r="K14216">
        <v>0.99199999999999999</v>
      </c>
      <c r="L14216">
        <v>0.62</v>
      </c>
      <c r="M14216">
        <v>0.99199999999999999</v>
      </c>
      <c r="N14216">
        <v>0.66</v>
      </c>
    </row>
    <row r="14217" spans="1:14" x14ac:dyDescent="0.25">
      <c r="A14217" t="s">
        <v>24152</v>
      </c>
      <c r="B14217" t="s">
        <v>24153</v>
      </c>
      <c r="C14217" s="1" t="str">
        <f>HYPERLINK("http://www.genecards.org/cgi-bin/carddisp.pl?gene=DNAJB4","GeneCards")</f>
        <v>GeneCards</v>
      </c>
      <c r="D14217" s="1" t="str">
        <f>HYPERLINK("http://genome-euro.ucsc.edu/cgi-bin/hgTracks?position=203810_at","UCSC")</f>
        <v>UCSC</v>
      </c>
      <c r="E14217" s="1" t="str">
        <f>HYPERLINK("http://www.ncbi.nlm.nih.gov/gene/?term=DNAJB4","NCBI")</f>
        <v>NCBI</v>
      </c>
      <c r="F14217">
        <v>0.56000000000000005</v>
      </c>
      <c r="G14217">
        <v>0.65</v>
      </c>
      <c r="H14217" s="1" t="str">
        <f>HYPERLINK("http://www.weizmann.ac.il/complex/compphys/software/geview/data/figures/203810_at.png","Figure")</f>
        <v>Figure</v>
      </c>
      <c r="I14217">
        <v>1</v>
      </c>
      <c r="J14217">
        <v>1</v>
      </c>
      <c r="K14217">
        <v>0.99399999999999999</v>
      </c>
      <c r="L14217">
        <v>0.62</v>
      </c>
      <c r="M14217">
        <v>0.99399999999999999</v>
      </c>
      <c r="N14217">
        <v>0.66</v>
      </c>
    </row>
    <row r="14218" spans="1:14" x14ac:dyDescent="0.25">
      <c r="A14218" t="s">
        <v>24154</v>
      </c>
      <c r="B14218" t="s">
        <v>24155</v>
      </c>
      <c r="C14218" s="1" t="str">
        <f>HYPERLINK("http://www.genecards.org/cgi-bin/carddisp.pl?gene=FBLN2","GeneCards")</f>
        <v>GeneCards</v>
      </c>
      <c r="D14218" s="1" t="str">
        <f>HYPERLINK("http://genome-euro.ucsc.edu/cgi-bin/hgTracks?position=203886_s_at","UCSC")</f>
        <v>UCSC</v>
      </c>
      <c r="E14218" s="1" t="str">
        <f>HYPERLINK("http://www.ncbi.nlm.nih.gov/gene/?term=FBLN2","NCBI")</f>
        <v>NCBI</v>
      </c>
      <c r="F14218">
        <v>0.56000000000000005</v>
      </c>
      <c r="G14218">
        <v>0.65</v>
      </c>
      <c r="H14218" s="1" t="str">
        <f>HYPERLINK("http://www.weizmann.ac.il/complex/compphys/software/geview/data/figures/203886_s_at.png","Figure")</f>
        <v>Figure</v>
      </c>
      <c r="I14218">
        <v>1.0900000000000001</v>
      </c>
      <c r="J14218">
        <v>0.57999999999999996</v>
      </c>
      <c r="K14218">
        <v>1.01</v>
      </c>
      <c r="L14218">
        <v>0.99</v>
      </c>
      <c r="M14218">
        <v>0.92800000000000005</v>
      </c>
      <c r="N14218">
        <v>0.62</v>
      </c>
    </row>
    <row r="14219" spans="1:14" x14ac:dyDescent="0.25">
      <c r="A14219" t="s">
        <v>24156</v>
      </c>
      <c r="B14219" t="s">
        <v>24157</v>
      </c>
      <c r="C14219" s="1" t="str">
        <f>HYPERLINK("http://www.genecards.org/cgi-bin/carddisp.pl?gene=PLCB4","GeneCards")</f>
        <v>GeneCards</v>
      </c>
      <c r="D14219" s="1" t="str">
        <f>HYPERLINK("http://genome-euro.ucsc.edu/cgi-bin/hgTracks?position=203895_at","UCSC")</f>
        <v>UCSC</v>
      </c>
      <c r="E14219" s="1" t="str">
        <f>HYPERLINK("http://www.ncbi.nlm.nih.gov/gene/?term=PLCB4","NCBI")</f>
        <v>NCBI</v>
      </c>
      <c r="F14219">
        <v>0.56000000000000005</v>
      </c>
      <c r="G14219">
        <v>0.65</v>
      </c>
      <c r="H14219" s="1" t="str">
        <f>HYPERLINK("http://www.weizmann.ac.il/complex/compphys/software/geview/data/figures/203895_at.png","Figure")</f>
        <v>Figure</v>
      </c>
      <c r="I14219">
        <v>1</v>
      </c>
      <c r="J14219">
        <v>1</v>
      </c>
      <c r="K14219">
        <v>0.98499999999999999</v>
      </c>
      <c r="L14219">
        <v>0.62</v>
      </c>
      <c r="M14219">
        <v>0.98499999999999999</v>
      </c>
      <c r="N14219">
        <v>0.66</v>
      </c>
    </row>
    <row r="14220" spans="1:14" x14ac:dyDescent="0.25">
      <c r="A14220" t="s">
        <v>24158</v>
      </c>
      <c r="B14220" t="s">
        <v>24159</v>
      </c>
      <c r="C14220" s="1" t="str">
        <f>HYPERLINK("http://www.genecards.org/cgi-bin/carddisp.pl?gene=LYRM1","GeneCards")</f>
        <v>GeneCards</v>
      </c>
      <c r="D14220" s="1" t="str">
        <f>HYPERLINK("http://genome-euro.ucsc.edu/cgi-bin/hgTracks?position=203897_at","UCSC")</f>
        <v>UCSC</v>
      </c>
      <c r="E14220" s="1" t="str">
        <f>HYPERLINK("http://www.ncbi.nlm.nih.gov/gene/?term=LYRM1","NCBI")</f>
        <v>NCBI</v>
      </c>
      <c r="F14220">
        <v>0.55000000000000004</v>
      </c>
      <c r="G14220">
        <v>0.65</v>
      </c>
      <c r="H14220" s="1" t="str">
        <f>HYPERLINK("http://www.weizmann.ac.il/complex/compphys/software/geview/data/figures/203897_at.png","Figure")</f>
        <v>Figure</v>
      </c>
      <c r="I14220">
        <v>1.1299999999999999</v>
      </c>
      <c r="J14220">
        <v>0.81</v>
      </c>
      <c r="K14220">
        <v>1.2</v>
      </c>
      <c r="L14220">
        <v>0.52</v>
      </c>
      <c r="M14220">
        <v>1.07</v>
      </c>
      <c r="N14220">
        <v>0.92</v>
      </c>
    </row>
    <row r="14221" spans="1:14" x14ac:dyDescent="0.25">
      <c r="A14221" t="s">
        <v>24160</v>
      </c>
      <c r="B14221" t="s">
        <v>24161</v>
      </c>
      <c r="C14221" s="1" t="str">
        <f>HYPERLINK("http://www.genecards.org/cgi-bin/carddisp.pl?gene=CDC6","GeneCards")</f>
        <v>GeneCards</v>
      </c>
      <c r="D14221" s="1" t="str">
        <f>HYPERLINK("http://genome-euro.ucsc.edu/cgi-bin/hgTracks?position=203968_s_at","UCSC")</f>
        <v>UCSC</v>
      </c>
      <c r="E14221" s="1" t="str">
        <f>HYPERLINK("http://www.ncbi.nlm.nih.gov/gene/?term=CDC6","NCBI")</f>
        <v>NCBI</v>
      </c>
      <c r="F14221">
        <v>0.56000000000000005</v>
      </c>
      <c r="G14221">
        <v>0.65</v>
      </c>
      <c r="H14221" s="1" t="str">
        <f>HYPERLINK("http://www.weizmann.ac.il/complex/compphys/software/geview/data/figures/203968_s_at.png","Figure")</f>
        <v>Figure</v>
      </c>
      <c r="I14221">
        <v>1</v>
      </c>
      <c r="J14221">
        <v>1</v>
      </c>
      <c r="K14221">
        <v>0.998</v>
      </c>
      <c r="L14221">
        <v>0.62</v>
      </c>
      <c r="M14221">
        <v>0.998</v>
      </c>
      <c r="N14221">
        <v>0.66</v>
      </c>
    </row>
    <row r="14222" spans="1:14" x14ac:dyDescent="0.25">
      <c r="A14222" t="s">
        <v>24162</v>
      </c>
      <c r="B14222" t="s">
        <v>24163</v>
      </c>
      <c r="C14222" s="1" t="str">
        <f>HYPERLINK("http://www.genecards.org/cgi-bin/carddisp.pl?gene=SLC31A1","GeneCards")</f>
        <v>GeneCards</v>
      </c>
      <c r="D14222" s="1" t="str">
        <f>HYPERLINK("http://genome-euro.ucsc.edu/cgi-bin/hgTracks?position=203971_at","UCSC")</f>
        <v>UCSC</v>
      </c>
      <c r="E14222" s="1" t="str">
        <f>HYPERLINK("http://www.ncbi.nlm.nih.gov/gene/?term=SLC31A1","NCBI")</f>
        <v>NCBI</v>
      </c>
      <c r="F14222">
        <v>0.56000000000000005</v>
      </c>
      <c r="G14222">
        <v>0.65</v>
      </c>
      <c r="H14222" s="1" t="str">
        <f>HYPERLINK("http://www.weizmann.ac.il/complex/compphys/software/geview/data/figures/203971_at.png","Figure")</f>
        <v>Figure</v>
      </c>
      <c r="I14222">
        <v>1</v>
      </c>
      <c r="J14222">
        <v>1</v>
      </c>
      <c r="K14222">
        <v>0.99199999999999999</v>
      </c>
      <c r="L14222">
        <v>0.62</v>
      </c>
      <c r="M14222">
        <v>0.99199999999999999</v>
      </c>
      <c r="N14222">
        <v>0.66</v>
      </c>
    </row>
    <row r="14223" spans="1:14" x14ac:dyDescent="0.25">
      <c r="A14223" t="s">
        <v>24164</v>
      </c>
      <c r="B14223" t="s">
        <v>24165</v>
      </c>
      <c r="C14223" s="1" t="str">
        <f>HYPERLINK("http://www.genecards.org/cgi-bin/carddisp.pl?gene=OSGIN2","GeneCards")</f>
        <v>GeneCards</v>
      </c>
      <c r="D14223" s="1" t="str">
        <f>HYPERLINK("http://genome-euro.ucsc.edu/cgi-bin/hgTracks?position=204024_at","UCSC")</f>
        <v>UCSC</v>
      </c>
      <c r="E14223" s="1" t="str">
        <f>HYPERLINK("http://www.ncbi.nlm.nih.gov/gene/?term=OSGIN2","NCBI")</f>
        <v>NCBI</v>
      </c>
      <c r="F14223">
        <v>0.56000000000000005</v>
      </c>
      <c r="G14223">
        <v>0.65</v>
      </c>
      <c r="H14223" s="1" t="str">
        <f>HYPERLINK("http://www.weizmann.ac.il/complex/compphys/software/geview/data/figures/204024_at.png","Figure")</f>
        <v>Figure</v>
      </c>
      <c r="I14223">
        <v>0.97399999999999998</v>
      </c>
      <c r="J14223">
        <v>0.59</v>
      </c>
      <c r="K14223">
        <v>0.97899999999999998</v>
      </c>
      <c r="L14223">
        <v>0.64</v>
      </c>
      <c r="M14223">
        <v>1.01</v>
      </c>
      <c r="N14223">
        <v>0.98</v>
      </c>
    </row>
    <row r="14224" spans="1:14" x14ac:dyDescent="0.25">
      <c r="A14224" t="s">
        <v>24166</v>
      </c>
      <c r="B14224" t="s">
        <v>8320</v>
      </c>
      <c r="C14224" s="1" t="str">
        <f>HYPERLINK("http://www.genecards.org/cgi-bin/carddisp.pl?gene=QSK","GeneCards")</f>
        <v>GeneCards</v>
      </c>
      <c r="D14224" s="1" t="str">
        <f>HYPERLINK("http://genome-euro.ucsc.edu/cgi-bin/hgTracks?position=204156_at","UCSC")</f>
        <v>UCSC</v>
      </c>
      <c r="E14224" s="1" t="str">
        <f>HYPERLINK("http://www.ncbi.nlm.nih.gov/gene/?term=QSK","NCBI")</f>
        <v>NCBI</v>
      </c>
      <c r="F14224">
        <v>0.56000000000000005</v>
      </c>
      <c r="G14224">
        <v>0.65</v>
      </c>
      <c r="H14224" s="1" t="str">
        <f>HYPERLINK("http://www.weizmann.ac.il/complex/compphys/software/geview/data/figures/204156_at.png","Figure")</f>
        <v>Figure</v>
      </c>
      <c r="I14224">
        <v>1</v>
      </c>
      <c r="J14224">
        <v>1</v>
      </c>
      <c r="K14224">
        <v>0.98799999999999999</v>
      </c>
      <c r="L14224">
        <v>0.62</v>
      </c>
      <c r="M14224">
        <v>0.98799999999999999</v>
      </c>
      <c r="N14224">
        <v>0.66</v>
      </c>
    </row>
    <row r="14225" spans="1:14" x14ac:dyDescent="0.25">
      <c r="A14225" t="s">
        <v>24167</v>
      </c>
      <c r="B14225" t="s">
        <v>24168</v>
      </c>
      <c r="C14225" s="1" t="str">
        <f>HYPERLINK("http://www.genecards.org/cgi-bin/carddisp.pl?gene=SKI","GeneCards")</f>
        <v>GeneCards</v>
      </c>
      <c r="D14225" s="1" t="str">
        <f>HYPERLINK("http://genome-euro.ucsc.edu/cgi-bin/hgTracks?position=204270_at","UCSC")</f>
        <v>UCSC</v>
      </c>
      <c r="E14225" s="1" t="str">
        <f>HYPERLINK("http://www.ncbi.nlm.nih.gov/gene/?term=SKI","NCBI")</f>
        <v>NCBI</v>
      </c>
      <c r="F14225">
        <v>0.56000000000000005</v>
      </c>
      <c r="G14225">
        <v>0.65</v>
      </c>
      <c r="H14225" s="1" t="str">
        <f>HYPERLINK("http://www.weizmann.ac.il/complex/compphys/software/geview/data/figures/204270_at.png","Figure")</f>
        <v>Figure</v>
      </c>
      <c r="I14225">
        <v>1</v>
      </c>
      <c r="J14225">
        <v>1</v>
      </c>
      <c r="K14225">
        <v>0.98399999999999999</v>
      </c>
      <c r="L14225">
        <v>0.62</v>
      </c>
      <c r="M14225">
        <v>0.98399999999999999</v>
      </c>
      <c r="N14225">
        <v>0.66</v>
      </c>
    </row>
    <row r="14226" spans="1:14" x14ac:dyDescent="0.25">
      <c r="A14226" t="s">
        <v>24169</v>
      </c>
      <c r="B14226" t="s">
        <v>22908</v>
      </c>
      <c r="C14226" s="1" t="str">
        <f>HYPERLINK("http://www.genecards.org/cgi-bin/carddisp.pl?gene=POT1","GeneCards")</f>
        <v>GeneCards</v>
      </c>
      <c r="D14226" s="1" t="str">
        <f>HYPERLINK("http://genome-euro.ucsc.edu/cgi-bin/hgTracks?position=204353_s_at","UCSC")</f>
        <v>UCSC</v>
      </c>
      <c r="E14226" s="1" t="str">
        <f>HYPERLINK("http://www.ncbi.nlm.nih.gov/gene/?term=POT1","NCBI")</f>
        <v>NCBI</v>
      </c>
      <c r="F14226">
        <v>0.55000000000000004</v>
      </c>
      <c r="G14226">
        <v>0.65</v>
      </c>
      <c r="H14226" s="1" t="str">
        <f>HYPERLINK("http://www.weizmann.ac.il/complex/compphys/software/geview/data/figures/204353_s_at.png","Figure")</f>
        <v>Figure</v>
      </c>
      <c r="I14226">
        <v>1.04</v>
      </c>
      <c r="J14226">
        <v>0.94</v>
      </c>
      <c r="K14226">
        <v>1.1299999999999999</v>
      </c>
      <c r="L14226">
        <v>0.54</v>
      </c>
      <c r="M14226">
        <v>1.08</v>
      </c>
      <c r="N14226">
        <v>0.79</v>
      </c>
    </row>
    <row r="14227" spans="1:14" x14ac:dyDescent="0.25">
      <c r="A14227" t="s">
        <v>24170</v>
      </c>
      <c r="B14227" t="s">
        <v>24171</v>
      </c>
      <c r="C14227" s="1" t="str">
        <f>HYPERLINK("http://www.genecards.org/cgi-bin/carddisp.pl?gene=F3","GeneCards")</f>
        <v>GeneCards</v>
      </c>
      <c r="D14227" s="1" t="str">
        <f>HYPERLINK("http://genome-euro.ucsc.edu/cgi-bin/hgTracks?position=204363_at","UCSC")</f>
        <v>UCSC</v>
      </c>
      <c r="E14227" s="1" t="str">
        <f>HYPERLINK("http://www.ncbi.nlm.nih.gov/gene/?term=F3","NCBI")</f>
        <v>NCBI</v>
      </c>
      <c r="F14227">
        <v>0.56000000000000005</v>
      </c>
      <c r="G14227">
        <v>0.65</v>
      </c>
      <c r="H14227" s="1" t="str">
        <f>HYPERLINK("http://www.weizmann.ac.il/complex/compphys/software/geview/data/figures/204363_at.png","Figure")</f>
        <v>Figure</v>
      </c>
      <c r="I14227">
        <v>1</v>
      </c>
      <c r="J14227">
        <v>1</v>
      </c>
      <c r="K14227">
        <v>0.90800000000000003</v>
      </c>
      <c r="L14227">
        <v>0.62</v>
      </c>
      <c r="M14227">
        <v>0.90800000000000003</v>
      </c>
      <c r="N14227">
        <v>0.66</v>
      </c>
    </row>
    <row r="14228" spans="1:14" x14ac:dyDescent="0.25">
      <c r="A14228" t="s">
        <v>24172</v>
      </c>
      <c r="B14228" t="s">
        <v>24173</v>
      </c>
      <c r="C14228" s="1" t="str">
        <f>HYPERLINK("http://www.genecards.org/cgi-bin/carddisp.pl?gene=FGFR3","GeneCards")</f>
        <v>GeneCards</v>
      </c>
      <c r="D14228" s="1" t="str">
        <f>HYPERLINK("http://genome-euro.ucsc.edu/cgi-bin/hgTracks?position=204379_s_at","UCSC")</f>
        <v>UCSC</v>
      </c>
      <c r="E14228" s="1" t="str">
        <f>HYPERLINK("http://www.ncbi.nlm.nih.gov/gene/?term=FGFR3","NCBI")</f>
        <v>NCBI</v>
      </c>
      <c r="F14228">
        <v>0.56000000000000005</v>
      </c>
      <c r="G14228">
        <v>0.65</v>
      </c>
      <c r="H14228" s="1" t="str">
        <f>HYPERLINK("http://www.weizmann.ac.il/complex/compphys/software/geview/data/figures/204379_s_at.png","Figure")</f>
        <v>Figure</v>
      </c>
      <c r="I14228">
        <v>1</v>
      </c>
      <c r="J14228">
        <v>1</v>
      </c>
      <c r="K14228">
        <v>0.999</v>
      </c>
      <c r="L14228">
        <v>0.62</v>
      </c>
      <c r="M14228">
        <v>0.999</v>
      </c>
      <c r="N14228">
        <v>0.66</v>
      </c>
    </row>
    <row r="14229" spans="1:14" x14ac:dyDescent="0.25">
      <c r="A14229" t="s">
        <v>24174</v>
      </c>
      <c r="B14229" t="s">
        <v>24175</v>
      </c>
      <c r="C14229" s="1" t="str">
        <f>HYPERLINK("http://www.genecards.org/cgi-bin/carddisp.pl?gene=ZNF84","GeneCards")</f>
        <v>GeneCards</v>
      </c>
      <c r="D14229" s="1" t="str">
        <f>HYPERLINK("http://genome-euro.ucsc.edu/cgi-bin/hgTracks?position=204453_at","UCSC")</f>
        <v>UCSC</v>
      </c>
      <c r="E14229" s="1" t="str">
        <f>HYPERLINK("http://www.ncbi.nlm.nih.gov/gene/?term=ZNF84","NCBI")</f>
        <v>NCBI</v>
      </c>
      <c r="F14229">
        <v>0.55000000000000004</v>
      </c>
      <c r="G14229">
        <v>0.65</v>
      </c>
      <c r="H14229" s="1" t="str">
        <f>HYPERLINK("http://www.weizmann.ac.il/complex/compphys/software/geview/data/figures/204453_at.png","Figure")</f>
        <v>Figure</v>
      </c>
      <c r="I14229">
        <v>0.89500000000000002</v>
      </c>
      <c r="J14229">
        <v>0.7</v>
      </c>
      <c r="K14229">
        <v>0.88100000000000001</v>
      </c>
      <c r="L14229">
        <v>0.55000000000000004</v>
      </c>
      <c r="M14229">
        <v>0.98399999999999999</v>
      </c>
      <c r="N14229">
        <v>0.99</v>
      </c>
    </row>
    <row r="14230" spans="1:14" x14ac:dyDescent="0.25">
      <c r="A14230" t="s">
        <v>24176</v>
      </c>
      <c r="B14230" t="s">
        <v>24177</v>
      </c>
      <c r="C14230" s="1" t="str">
        <f>HYPERLINK("http://www.genecards.org/cgi-bin/carddisp.pl?gene=PPIC","GeneCards")</f>
        <v>GeneCards</v>
      </c>
      <c r="D14230" s="1" t="str">
        <f>HYPERLINK("http://genome-euro.ucsc.edu/cgi-bin/hgTracks?position=204517_at","UCSC")</f>
        <v>UCSC</v>
      </c>
      <c r="E14230" s="1" t="str">
        <f>HYPERLINK("http://www.ncbi.nlm.nih.gov/gene/?term=PPIC","NCBI")</f>
        <v>NCBI</v>
      </c>
      <c r="F14230">
        <v>0.56000000000000005</v>
      </c>
      <c r="G14230">
        <v>0.65</v>
      </c>
      <c r="H14230" s="1" t="str">
        <f>HYPERLINK("http://www.weizmann.ac.il/complex/compphys/software/geview/data/figures/204517_at.png","Figure")</f>
        <v>Figure</v>
      </c>
      <c r="I14230">
        <v>0.95699999999999996</v>
      </c>
      <c r="J14230">
        <v>0.53</v>
      </c>
      <c r="K14230">
        <v>0.97799999999999998</v>
      </c>
      <c r="L14230">
        <v>0.81</v>
      </c>
      <c r="M14230">
        <v>1.02</v>
      </c>
      <c r="N14230">
        <v>0.83</v>
      </c>
    </row>
    <row r="14231" spans="1:14" x14ac:dyDescent="0.25">
      <c r="A14231" t="s">
        <v>24178</v>
      </c>
      <c r="B14231" t="s">
        <v>24179</v>
      </c>
      <c r="C14231" s="1" t="str">
        <f>HYPERLINK("http://www.genecards.org/cgi-bin/carddisp.pl?gene=ZNF140","GeneCards")</f>
        <v>GeneCards</v>
      </c>
      <c r="D14231" s="1" t="str">
        <f>HYPERLINK("http://genome-euro.ucsc.edu/cgi-bin/hgTracks?position=204523_at","UCSC")</f>
        <v>UCSC</v>
      </c>
      <c r="E14231" s="1" t="str">
        <f>HYPERLINK("http://www.ncbi.nlm.nih.gov/gene/?term=ZNF140","NCBI")</f>
        <v>NCBI</v>
      </c>
      <c r="F14231">
        <v>0.56000000000000005</v>
      </c>
      <c r="G14231">
        <v>0.65</v>
      </c>
      <c r="H14231" s="1" t="str">
        <f>HYPERLINK("http://www.weizmann.ac.il/complex/compphys/software/geview/data/figures/204523_at.png","Figure")</f>
        <v>Figure</v>
      </c>
      <c r="I14231">
        <v>1</v>
      </c>
      <c r="J14231">
        <v>1</v>
      </c>
      <c r="K14231">
        <v>0.99399999999999999</v>
      </c>
      <c r="L14231">
        <v>0.62</v>
      </c>
      <c r="M14231">
        <v>0.99399999999999999</v>
      </c>
      <c r="N14231">
        <v>0.66</v>
      </c>
    </row>
    <row r="14232" spans="1:14" x14ac:dyDescent="0.25">
      <c r="A14232" t="s">
        <v>24180</v>
      </c>
      <c r="B14232" t="s">
        <v>24181</v>
      </c>
      <c r="C14232" s="1" t="str">
        <f>HYPERLINK("http://www.genecards.org/cgi-bin/carddisp.pl?gene=HISPPD2A","GeneCards")</f>
        <v>GeneCards</v>
      </c>
      <c r="D14232" s="1" t="str">
        <f>HYPERLINK("http://genome-euro.ucsc.edu/cgi-bin/hgTracks?position=204578_at","UCSC")</f>
        <v>UCSC</v>
      </c>
      <c r="E14232" s="1" t="str">
        <f>HYPERLINK("http://www.ncbi.nlm.nih.gov/gene/?term=HISPPD2A","NCBI")</f>
        <v>NCBI</v>
      </c>
      <c r="F14232">
        <v>0.56000000000000005</v>
      </c>
      <c r="G14232">
        <v>0.65</v>
      </c>
      <c r="H14232" s="1" t="str">
        <f>HYPERLINK("http://www.weizmann.ac.il/complex/compphys/software/geview/data/figures/204578_at.png","Figure")</f>
        <v>Figure</v>
      </c>
      <c r="I14232">
        <v>1.1200000000000001</v>
      </c>
      <c r="J14232">
        <v>0.61</v>
      </c>
      <c r="K14232">
        <v>1</v>
      </c>
      <c r="L14232">
        <v>1</v>
      </c>
      <c r="M14232">
        <v>0.89400000000000002</v>
      </c>
      <c r="N14232">
        <v>0.59</v>
      </c>
    </row>
    <row r="14233" spans="1:14" x14ac:dyDescent="0.25">
      <c r="A14233" t="s">
        <v>24182</v>
      </c>
      <c r="B14233" t="s">
        <v>16626</v>
      </c>
      <c r="C14233" s="1" t="str">
        <f>HYPERLINK("http://www.genecards.org/cgi-bin/carddisp.pl?gene=KLK3","GeneCards")</f>
        <v>GeneCards</v>
      </c>
      <c r="D14233" s="1" t="str">
        <f>HYPERLINK("http://genome-euro.ucsc.edu/cgi-bin/hgTracks?position=204582_s_at","UCSC")</f>
        <v>UCSC</v>
      </c>
      <c r="E14233" s="1" t="str">
        <f>HYPERLINK("http://www.ncbi.nlm.nih.gov/gene/?term=KLK3","NCBI")</f>
        <v>NCBI</v>
      </c>
      <c r="F14233">
        <v>0.55000000000000004</v>
      </c>
      <c r="G14233">
        <v>0.65</v>
      </c>
      <c r="H14233" s="1" t="str">
        <f>HYPERLINK("http://www.weizmann.ac.il/complex/compphys/software/geview/data/figures/204582_s_at.png","Figure")</f>
        <v>Figure</v>
      </c>
      <c r="I14233">
        <v>1.02</v>
      </c>
      <c r="J14233">
        <v>0.63</v>
      </c>
      <c r="K14233">
        <v>0.999</v>
      </c>
      <c r="L14233">
        <v>1</v>
      </c>
      <c r="M14233">
        <v>0.98399999999999999</v>
      </c>
      <c r="N14233">
        <v>0.56000000000000005</v>
      </c>
    </row>
    <row r="14234" spans="1:14" x14ac:dyDescent="0.25">
      <c r="A14234" t="s">
        <v>24183</v>
      </c>
      <c r="B14234" t="s">
        <v>3046</v>
      </c>
      <c r="C14234" s="1" t="str">
        <f>HYPERLINK("http://www.genecards.org/cgi-bin/carddisp.pl?gene=PARVB","GeneCards")</f>
        <v>GeneCards</v>
      </c>
      <c r="D14234" s="1" t="str">
        <f>HYPERLINK("http://genome-euro.ucsc.edu/cgi-bin/hgTracks?position=204629_at","UCSC")</f>
        <v>UCSC</v>
      </c>
      <c r="E14234" s="1" t="str">
        <f>HYPERLINK("http://www.ncbi.nlm.nih.gov/gene/?term=PARVB","NCBI")</f>
        <v>NCBI</v>
      </c>
      <c r="F14234">
        <v>0.55000000000000004</v>
      </c>
      <c r="G14234">
        <v>0.65</v>
      </c>
      <c r="H14234" s="1" t="str">
        <f>HYPERLINK("http://www.weizmann.ac.il/complex/compphys/software/geview/data/figures/204629_at.png","Figure")</f>
        <v>Figure</v>
      </c>
      <c r="I14234">
        <v>0.90700000000000003</v>
      </c>
      <c r="J14234">
        <v>0.61</v>
      </c>
      <c r="K14234">
        <v>0.91800000000000004</v>
      </c>
      <c r="L14234">
        <v>0.61</v>
      </c>
      <c r="M14234">
        <v>1.01</v>
      </c>
      <c r="N14234">
        <v>0.99</v>
      </c>
    </row>
    <row r="14235" spans="1:14" x14ac:dyDescent="0.25">
      <c r="A14235" t="s">
        <v>24184</v>
      </c>
      <c r="B14235" t="s">
        <v>8209</v>
      </c>
      <c r="C14235" s="1" t="str">
        <f>HYPERLINK("http://www.genecards.org/cgi-bin/carddisp.pl?gene=FAS","GeneCards")</f>
        <v>GeneCards</v>
      </c>
      <c r="D14235" s="1" t="str">
        <f>HYPERLINK("http://genome-euro.ucsc.edu/cgi-bin/hgTracks?position=204780_s_at","UCSC")</f>
        <v>UCSC</v>
      </c>
      <c r="E14235" s="1" t="str">
        <f>HYPERLINK("http://www.ncbi.nlm.nih.gov/gene/?term=FAS","NCBI")</f>
        <v>NCBI</v>
      </c>
      <c r="F14235">
        <v>0.56000000000000005</v>
      </c>
      <c r="G14235">
        <v>0.65</v>
      </c>
      <c r="H14235" s="1" t="str">
        <f>HYPERLINK("http://www.weizmann.ac.il/complex/compphys/software/geview/data/figures/204780_s_at.png","Figure")</f>
        <v>Figure</v>
      </c>
      <c r="I14235">
        <v>1</v>
      </c>
      <c r="J14235">
        <v>1</v>
      </c>
      <c r="K14235">
        <v>0.996</v>
      </c>
      <c r="L14235">
        <v>0.62</v>
      </c>
      <c r="M14235">
        <v>0.996</v>
      </c>
      <c r="N14235">
        <v>0.66</v>
      </c>
    </row>
    <row r="14236" spans="1:14" x14ac:dyDescent="0.25">
      <c r="A14236" t="s">
        <v>24185</v>
      </c>
      <c r="B14236" t="s">
        <v>24186</v>
      </c>
      <c r="C14236" s="1" t="str">
        <f>HYPERLINK("http://www.genecards.org/cgi-bin/carddisp.pl?gene=DUSP2","GeneCards")</f>
        <v>GeneCards</v>
      </c>
      <c r="D14236" s="1" t="str">
        <f>HYPERLINK("http://genome-euro.ucsc.edu/cgi-bin/hgTracks?position=204794_at","UCSC")</f>
        <v>UCSC</v>
      </c>
      <c r="E14236" s="1" t="str">
        <f>HYPERLINK("http://www.ncbi.nlm.nih.gov/gene/?term=DUSP2","NCBI")</f>
        <v>NCBI</v>
      </c>
      <c r="F14236">
        <v>0.55000000000000004</v>
      </c>
      <c r="G14236">
        <v>0.65</v>
      </c>
      <c r="H14236" s="1" t="str">
        <f>HYPERLINK("http://www.weizmann.ac.il/complex/compphys/software/geview/data/figures/204794_at.png","Figure")</f>
        <v>Figure</v>
      </c>
      <c r="I14236">
        <v>0.75800000000000001</v>
      </c>
      <c r="J14236">
        <v>0.75</v>
      </c>
      <c r="K14236">
        <v>0.69399999999999995</v>
      </c>
      <c r="L14236">
        <v>0.53</v>
      </c>
      <c r="M14236">
        <v>0.91600000000000004</v>
      </c>
      <c r="N14236">
        <v>0.97</v>
      </c>
    </row>
    <row r="14237" spans="1:14" x14ac:dyDescent="0.25">
      <c r="A14237" t="s">
        <v>24187</v>
      </c>
      <c r="B14237" t="s">
        <v>24188</v>
      </c>
      <c r="C14237" s="1" t="str">
        <f>HYPERLINK("http://www.genecards.org/cgi-bin/carddisp.pl?gene=TTK","GeneCards")</f>
        <v>GeneCards</v>
      </c>
      <c r="D14237" s="1" t="str">
        <f>HYPERLINK("http://genome-euro.ucsc.edu/cgi-bin/hgTracks?position=204822_at","UCSC")</f>
        <v>UCSC</v>
      </c>
      <c r="E14237" s="1" t="str">
        <f>HYPERLINK("http://www.ncbi.nlm.nih.gov/gene/?term=TTK","NCBI")</f>
        <v>NCBI</v>
      </c>
      <c r="F14237">
        <v>0.54</v>
      </c>
      <c r="G14237">
        <v>0.65</v>
      </c>
      <c r="H14237" s="1" t="str">
        <f>HYPERLINK("http://www.weizmann.ac.il/complex/compphys/software/geview/data/figures/204822_at.png","Figure")</f>
        <v>Figure</v>
      </c>
      <c r="I14237">
        <v>0.69399999999999995</v>
      </c>
      <c r="J14237">
        <v>0.57999999999999996</v>
      </c>
      <c r="K14237">
        <v>0.97199999999999998</v>
      </c>
      <c r="L14237">
        <v>1</v>
      </c>
      <c r="M14237">
        <v>1.4</v>
      </c>
      <c r="N14237">
        <v>0.59</v>
      </c>
    </row>
    <row r="14238" spans="1:14" x14ac:dyDescent="0.25">
      <c r="A14238" t="s">
        <v>24189</v>
      </c>
      <c r="B14238" t="s">
        <v>24190</v>
      </c>
      <c r="C14238" s="1" t="str">
        <f>HYPERLINK("http://www.genecards.org/cgi-bin/carddisp.pl?gene=SERPINB5","GeneCards")</f>
        <v>GeneCards</v>
      </c>
      <c r="D14238" s="1" t="str">
        <f>HYPERLINK("http://genome-euro.ucsc.edu/cgi-bin/hgTracks?position=204855_at","UCSC")</f>
        <v>UCSC</v>
      </c>
      <c r="E14238" s="1" t="str">
        <f>HYPERLINK("http://www.ncbi.nlm.nih.gov/gene/?term=SERPINB5","NCBI")</f>
        <v>NCBI</v>
      </c>
      <c r="F14238">
        <v>0.56000000000000005</v>
      </c>
      <c r="G14238">
        <v>0.65</v>
      </c>
      <c r="H14238" s="1" t="str">
        <f>HYPERLINK("http://www.weizmann.ac.il/complex/compphys/software/geview/data/figures/204855_at.png","Figure")</f>
        <v>Figure</v>
      </c>
      <c r="I14238">
        <v>1</v>
      </c>
      <c r="J14238">
        <v>1</v>
      </c>
      <c r="K14238">
        <v>0.997</v>
      </c>
      <c r="L14238">
        <v>0.62</v>
      </c>
      <c r="M14238">
        <v>0.997</v>
      </c>
      <c r="N14238">
        <v>0.66</v>
      </c>
    </row>
    <row r="14239" spans="1:14" x14ac:dyDescent="0.25">
      <c r="A14239" t="s">
        <v>24191</v>
      </c>
      <c r="B14239" t="s">
        <v>24192</v>
      </c>
      <c r="C14239" s="1" t="str">
        <f>HYPERLINK("http://www.genecards.org/cgi-bin/carddisp.pl?gene=AOC3","GeneCards")</f>
        <v>GeneCards</v>
      </c>
      <c r="D14239" s="1" t="str">
        <f>HYPERLINK("http://genome-euro.ucsc.edu/cgi-bin/hgTracks?position=204894_s_at","UCSC")</f>
        <v>UCSC</v>
      </c>
      <c r="E14239" s="1" t="str">
        <f>HYPERLINK("http://www.ncbi.nlm.nih.gov/gene/?term=AOC3","NCBI")</f>
        <v>NCBI</v>
      </c>
      <c r="F14239">
        <v>0.56000000000000005</v>
      </c>
      <c r="G14239">
        <v>0.65</v>
      </c>
      <c r="H14239" s="1" t="str">
        <f>HYPERLINK("http://www.weizmann.ac.il/complex/compphys/software/geview/data/figures/204894_s_at.png","Figure")</f>
        <v>Figure</v>
      </c>
      <c r="I14239">
        <v>1</v>
      </c>
      <c r="J14239">
        <v>1</v>
      </c>
      <c r="K14239">
        <v>0.96499999999999997</v>
      </c>
      <c r="L14239">
        <v>0.62</v>
      </c>
      <c r="M14239">
        <v>0.96499999999999997</v>
      </c>
      <c r="N14239">
        <v>0.66</v>
      </c>
    </row>
    <row r="14240" spans="1:14" x14ac:dyDescent="0.25">
      <c r="A14240" t="s">
        <v>24193</v>
      </c>
      <c r="B14240" t="s">
        <v>24194</v>
      </c>
      <c r="C14240" s="1" t="str">
        <f>HYPERLINK("http://www.genecards.org/cgi-bin/carddisp.pl?gene=PTPRG","GeneCards")</f>
        <v>GeneCards</v>
      </c>
      <c r="D14240" s="1" t="str">
        <f>HYPERLINK("http://genome-euro.ucsc.edu/cgi-bin/hgTracks?position=204944_at","UCSC")</f>
        <v>UCSC</v>
      </c>
      <c r="E14240" s="1" t="str">
        <f>HYPERLINK("http://www.ncbi.nlm.nih.gov/gene/?term=PTPRG","NCBI")</f>
        <v>NCBI</v>
      </c>
      <c r="F14240">
        <v>0.56000000000000005</v>
      </c>
      <c r="G14240">
        <v>0.65</v>
      </c>
      <c r="H14240" s="1" t="str">
        <f>HYPERLINK("http://www.weizmann.ac.il/complex/compphys/software/geview/data/figures/204944_at.png","Figure")</f>
        <v>Figure</v>
      </c>
      <c r="I14240">
        <v>1</v>
      </c>
      <c r="J14240">
        <v>1</v>
      </c>
      <c r="K14240">
        <v>0.96599999999999997</v>
      </c>
      <c r="L14240">
        <v>0.62</v>
      </c>
      <c r="M14240">
        <v>0.96599999999999997</v>
      </c>
      <c r="N14240">
        <v>0.66</v>
      </c>
    </row>
    <row r="14241" spans="1:14" x14ac:dyDescent="0.25">
      <c r="A14241" t="s">
        <v>24195</v>
      </c>
      <c r="B14241" t="s">
        <v>24196</v>
      </c>
      <c r="C14241" s="1" t="str">
        <f>HYPERLINK("http://www.genecards.org/cgi-bin/carddisp.pl?gene=MNDA","GeneCards")</f>
        <v>GeneCards</v>
      </c>
      <c r="D14241" s="1" t="str">
        <f>HYPERLINK("http://genome-euro.ucsc.edu/cgi-bin/hgTracks?position=204959_at","UCSC")</f>
        <v>UCSC</v>
      </c>
      <c r="E14241" s="1" t="str">
        <f>HYPERLINK("http://www.ncbi.nlm.nih.gov/gene/?term=MNDA","NCBI")</f>
        <v>NCBI</v>
      </c>
      <c r="F14241">
        <v>0.56000000000000005</v>
      </c>
      <c r="G14241">
        <v>0.65</v>
      </c>
      <c r="H14241" s="1" t="str">
        <f>HYPERLINK("http://www.weizmann.ac.il/complex/compphys/software/geview/data/figures/204959_at.png","Figure")</f>
        <v>Figure</v>
      </c>
      <c r="I14241">
        <v>1</v>
      </c>
      <c r="J14241">
        <v>1</v>
      </c>
      <c r="K14241">
        <v>0.999</v>
      </c>
      <c r="L14241">
        <v>0.62</v>
      </c>
      <c r="M14241">
        <v>0.999</v>
      </c>
      <c r="N14241">
        <v>0.66</v>
      </c>
    </row>
    <row r="14242" spans="1:14" x14ac:dyDescent="0.25">
      <c r="A14242" t="s">
        <v>24197</v>
      </c>
      <c r="B14242" t="s">
        <v>15208</v>
      </c>
      <c r="C14242" s="1" t="str">
        <f>HYPERLINK("http://www.genecards.org/cgi-bin/carddisp.pl?gene=NF2","GeneCards")</f>
        <v>GeneCards</v>
      </c>
      <c r="D14242" s="1" t="str">
        <f>HYPERLINK("http://genome-euro.ucsc.edu/cgi-bin/hgTracks?position=204991_s_at","UCSC")</f>
        <v>UCSC</v>
      </c>
      <c r="E14242" s="1" t="str">
        <f>HYPERLINK("http://www.ncbi.nlm.nih.gov/gene/?term=NF2","NCBI")</f>
        <v>NCBI</v>
      </c>
      <c r="F14242">
        <v>0.56000000000000005</v>
      </c>
      <c r="G14242">
        <v>0.65</v>
      </c>
      <c r="H14242" s="1" t="str">
        <f>HYPERLINK("http://www.weizmann.ac.il/complex/compphys/software/geview/data/figures/204991_s_at.png","Figure")</f>
        <v>Figure</v>
      </c>
      <c r="I14242">
        <v>1</v>
      </c>
      <c r="J14242">
        <v>1</v>
      </c>
      <c r="K14242">
        <v>0.997</v>
      </c>
      <c r="L14242">
        <v>0.62</v>
      </c>
      <c r="M14242">
        <v>0.997</v>
      </c>
      <c r="N14242">
        <v>0.66</v>
      </c>
    </row>
    <row r="14243" spans="1:14" x14ac:dyDescent="0.25">
      <c r="A14243" t="s">
        <v>24198</v>
      </c>
      <c r="B14243" t="s">
        <v>24199</v>
      </c>
      <c r="C14243" s="1" t="str">
        <f>HYPERLINK("http://www.genecards.org/cgi-bin/carddisp.pl?gene=NKRF","GeneCards")</f>
        <v>GeneCards</v>
      </c>
      <c r="D14243" s="1" t="str">
        <f>HYPERLINK("http://genome-euro.ucsc.edu/cgi-bin/hgTracks?position=205004_at","UCSC")</f>
        <v>UCSC</v>
      </c>
      <c r="E14243" s="1" t="str">
        <f>HYPERLINK("http://www.ncbi.nlm.nih.gov/gene/?term=NKRF","NCBI")</f>
        <v>NCBI</v>
      </c>
      <c r="F14243">
        <v>0.56000000000000005</v>
      </c>
      <c r="G14243">
        <v>0.65</v>
      </c>
      <c r="H14243" s="1" t="str">
        <f>HYPERLINK("http://www.weizmann.ac.il/complex/compphys/software/geview/data/figures/205004_at.png","Figure")</f>
        <v>Figure</v>
      </c>
      <c r="I14243">
        <v>0.89</v>
      </c>
      <c r="J14243">
        <v>0.54</v>
      </c>
      <c r="K14243">
        <v>0.96499999999999997</v>
      </c>
      <c r="L14243">
        <v>0.92</v>
      </c>
      <c r="M14243">
        <v>1.08</v>
      </c>
      <c r="N14243">
        <v>0.71</v>
      </c>
    </row>
    <row r="14244" spans="1:14" x14ac:dyDescent="0.25">
      <c r="A14244" t="s">
        <v>24200</v>
      </c>
      <c r="B14244" t="s">
        <v>24201</v>
      </c>
      <c r="C14244" s="1" t="str">
        <f>HYPERLINK("http://www.genecards.org/cgi-bin/carddisp.pl?gene=NEB","GeneCards")</f>
        <v>GeneCards</v>
      </c>
      <c r="D14244" s="1" t="str">
        <f>HYPERLINK("http://genome-euro.ucsc.edu/cgi-bin/hgTracks?position=205054_at","UCSC")</f>
        <v>UCSC</v>
      </c>
      <c r="E14244" s="1" t="str">
        <f>HYPERLINK("http://www.ncbi.nlm.nih.gov/gene/?term=NEB","NCBI")</f>
        <v>NCBI</v>
      </c>
      <c r="F14244">
        <v>0.56000000000000005</v>
      </c>
      <c r="G14244">
        <v>0.65</v>
      </c>
      <c r="H14244" s="1" t="str">
        <f>HYPERLINK("http://www.weizmann.ac.il/complex/compphys/software/geview/data/figures/205054_at.png","Figure")</f>
        <v>Figure</v>
      </c>
      <c r="I14244">
        <v>1</v>
      </c>
      <c r="J14244">
        <v>1</v>
      </c>
      <c r="K14244">
        <v>0.99</v>
      </c>
      <c r="L14244">
        <v>0.62</v>
      </c>
      <c r="M14244">
        <v>0.99</v>
      </c>
      <c r="N14244">
        <v>0.66</v>
      </c>
    </row>
    <row r="14245" spans="1:14" x14ac:dyDescent="0.25">
      <c r="A14245" t="s">
        <v>24202</v>
      </c>
      <c r="B14245" t="s">
        <v>24203</v>
      </c>
      <c r="C14245" s="1" t="str">
        <f>HYPERLINK("http://www.genecards.org/cgi-bin/carddisp.pl?gene=POLR3F","GeneCards")</f>
        <v>GeneCards</v>
      </c>
      <c r="D14245" s="1" t="str">
        <f>HYPERLINK("http://genome-euro.ucsc.edu/cgi-bin/hgTracks?position=205218_at","UCSC")</f>
        <v>UCSC</v>
      </c>
      <c r="E14245" s="1" t="str">
        <f>HYPERLINK("http://www.ncbi.nlm.nih.gov/gene/?term=POLR3F","NCBI")</f>
        <v>NCBI</v>
      </c>
      <c r="F14245">
        <v>0.56000000000000005</v>
      </c>
      <c r="G14245">
        <v>0.65</v>
      </c>
      <c r="H14245" s="1" t="str">
        <f>HYPERLINK("http://www.weizmann.ac.il/complex/compphys/software/geview/data/figures/205218_at.png","Figure")</f>
        <v>Figure</v>
      </c>
      <c r="I14245">
        <v>1</v>
      </c>
      <c r="J14245">
        <v>1</v>
      </c>
      <c r="K14245">
        <v>0.97299999999999998</v>
      </c>
      <c r="L14245">
        <v>0.62</v>
      </c>
      <c r="M14245">
        <v>0.97299999999999998</v>
      </c>
      <c r="N14245">
        <v>0.66</v>
      </c>
    </row>
    <row r="14246" spans="1:14" x14ac:dyDescent="0.25">
      <c r="A14246" t="s">
        <v>24204</v>
      </c>
      <c r="B14246" t="s">
        <v>24205</v>
      </c>
      <c r="C14246" s="1" t="str">
        <f>HYPERLINK("http://www.genecards.org/cgi-bin/carddisp.pl?gene=AREG","GeneCards")</f>
        <v>GeneCards</v>
      </c>
      <c r="D14246" s="1" t="str">
        <f>HYPERLINK("http://genome-euro.ucsc.edu/cgi-bin/hgTracks?position=205239_at","UCSC")</f>
        <v>UCSC</v>
      </c>
      <c r="E14246" s="1" t="str">
        <f>HYPERLINK("http://www.ncbi.nlm.nih.gov/gene/?term=AREG","NCBI")</f>
        <v>NCBI</v>
      </c>
      <c r="F14246">
        <v>0.56000000000000005</v>
      </c>
      <c r="G14246">
        <v>0.65</v>
      </c>
      <c r="H14246" s="1" t="str">
        <f>HYPERLINK("http://www.weizmann.ac.il/complex/compphys/software/geview/data/figures/205239_at.png","Figure")</f>
        <v>Figure</v>
      </c>
      <c r="I14246">
        <v>1</v>
      </c>
      <c r="J14246">
        <v>1</v>
      </c>
      <c r="K14246">
        <v>0.78500000000000003</v>
      </c>
      <c r="L14246">
        <v>0.62</v>
      </c>
      <c r="M14246">
        <v>0.78500000000000003</v>
      </c>
      <c r="N14246">
        <v>0.66</v>
      </c>
    </row>
    <row r="14247" spans="1:14" x14ac:dyDescent="0.25">
      <c r="A14247" t="s">
        <v>24206</v>
      </c>
      <c r="B14247" t="s">
        <v>24207</v>
      </c>
      <c r="C14247" s="1" t="str">
        <f>HYPERLINK("http://www.genecards.org/cgi-bin/carddisp.pl?gene=PGC","GeneCards")</f>
        <v>GeneCards</v>
      </c>
      <c r="D14247" s="1" t="str">
        <f>HYPERLINK("http://genome-euro.ucsc.edu/cgi-bin/hgTracks?position=205261_at","UCSC")</f>
        <v>UCSC</v>
      </c>
      <c r="E14247" s="1" t="str">
        <f>HYPERLINK("http://www.ncbi.nlm.nih.gov/gene/?term=PGC","NCBI")</f>
        <v>NCBI</v>
      </c>
      <c r="F14247">
        <v>0.55000000000000004</v>
      </c>
      <c r="G14247">
        <v>0.65</v>
      </c>
      <c r="H14247" s="1" t="str">
        <f>HYPERLINK("http://www.weizmann.ac.il/complex/compphys/software/geview/data/figures/205261_at.png","Figure")</f>
        <v>Figure</v>
      </c>
      <c r="I14247">
        <v>1.08</v>
      </c>
      <c r="J14247">
        <v>0.52</v>
      </c>
      <c r="K14247">
        <v>1.03</v>
      </c>
      <c r="L14247">
        <v>0.83</v>
      </c>
      <c r="M14247">
        <v>0.96099999999999997</v>
      </c>
      <c r="N14247">
        <v>0.79</v>
      </c>
    </row>
    <row r="14248" spans="1:14" x14ac:dyDescent="0.25">
      <c r="A14248" t="s">
        <v>24208</v>
      </c>
      <c r="B14248" t="s">
        <v>24209</v>
      </c>
      <c r="C14248" s="1" t="str">
        <f>HYPERLINK("http://www.genecards.org/cgi-bin/carddisp.pl?gene=SULT1C2","GeneCards")</f>
        <v>GeneCards</v>
      </c>
      <c r="D14248" s="1" t="str">
        <f>HYPERLINK("http://genome-euro.ucsc.edu/cgi-bin/hgTracks?position=205342_s_at","UCSC")</f>
        <v>UCSC</v>
      </c>
      <c r="E14248" s="1" t="str">
        <f>HYPERLINK("http://www.ncbi.nlm.nih.gov/gene/?term=SULT1C2","NCBI")</f>
        <v>NCBI</v>
      </c>
      <c r="F14248">
        <v>0.56000000000000005</v>
      </c>
      <c r="G14248">
        <v>0.65</v>
      </c>
      <c r="H14248" s="1" t="str">
        <f>HYPERLINK("http://www.weizmann.ac.il/complex/compphys/software/geview/data/figures/205342_s_at.png","Figure")</f>
        <v>Figure</v>
      </c>
      <c r="I14248">
        <v>1</v>
      </c>
      <c r="J14248">
        <v>1</v>
      </c>
      <c r="K14248">
        <v>0.96</v>
      </c>
      <c r="L14248">
        <v>0.62</v>
      </c>
      <c r="M14248">
        <v>0.96</v>
      </c>
      <c r="N14248">
        <v>0.66</v>
      </c>
    </row>
    <row r="14249" spans="1:14" x14ac:dyDescent="0.25">
      <c r="A14249" t="s">
        <v>24210</v>
      </c>
      <c r="B14249" t="s">
        <v>20145</v>
      </c>
      <c r="C14249" s="1" t="str">
        <f>HYPERLINK("http://www.genecards.org/cgi-bin/carddisp.pl?gene=GGCX","GeneCards")</f>
        <v>GeneCards</v>
      </c>
      <c r="D14249" s="1" t="str">
        <f>HYPERLINK("http://genome-euro.ucsc.edu/cgi-bin/hgTracks?position=205351_at","UCSC")</f>
        <v>UCSC</v>
      </c>
      <c r="E14249" s="1" t="str">
        <f>HYPERLINK("http://www.ncbi.nlm.nih.gov/gene/?term=GGCX","NCBI")</f>
        <v>NCBI</v>
      </c>
      <c r="F14249">
        <v>0.55000000000000004</v>
      </c>
      <c r="G14249">
        <v>0.65</v>
      </c>
      <c r="H14249" s="1" t="str">
        <f>HYPERLINK("http://www.weizmann.ac.il/complex/compphys/software/geview/data/figures/205351_at.png","Figure")</f>
        <v>Figure</v>
      </c>
      <c r="I14249">
        <v>0.89300000000000002</v>
      </c>
      <c r="J14249">
        <v>0.52</v>
      </c>
      <c r="K14249">
        <v>0.94799999999999995</v>
      </c>
      <c r="L14249">
        <v>0.82</v>
      </c>
      <c r="M14249">
        <v>1.06</v>
      </c>
      <c r="N14249">
        <v>0.8</v>
      </c>
    </row>
    <row r="14250" spans="1:14" x14ac:dyDescent="0.25">
      <c r="A14250" t="s">
        <v>24211</v>
      </c>
      <c r="B14250" t="s">
        <v>24046</v>
      </c>
      <c r="C14250" s="1" t="str">
        <f>HYPERLINK("http://www.genecards.org/cgi-bin/carddisp.pl?gene=MPPED2","GeneCards")</f>
        <v>GeneCards</v>
      </c>
      <c r="D14250" s="1" t="str">
        <f>HYPERLINK("http://genome-euro.ucsc.edu/cgi-bin/hgTracks?position=205413_at","UCSC")</f>
        <v>UCSC</v>
      </c>
      <c r="E14250" s="1" t="str">
        <f>HYPERLINK("http://www.ncbi.nlm.nih.gov/gene/?term=MPPED2","NCBI")</f>
        <v>NCBI</v>
      </c>
      <c r="F14250">
        <v>0.56000000000000005</v>
      </c>
      <c r="G14250">
        <v>0.65</v>
      </c>
      <c r="H14250" s="1" t="str">
        <f>HYPERLINK("http://www.weizmann.ac.il/complex/compphys/software/geview/data/figures/205413_at.png","Figure")</f>
        <v>Figure</v>
      </c>
      <c r="I14250">
        <v>1</v>
      </c>
      <c r="J14250">
        <v>1</v>
      </c>
      <c r="K14250">
        <v>0.90300000000000002</v>
      </c>
      <c r="L14250">
        <v>0.62</v>
      </c>
      <c r="M14250">
        <v>0.90300000000000002</v>
      </c>
      <c r="N14250">
        <v>0.66</v>
      </c>
    </row>
    <row r="14251" spans="1:14" x14ac:dyDescent="0.25">
      <c r="A14251" t="s">
        <v>24212</v>
      </c>
      <c r="B14251" t="s">
        <v>24213</v>
      </c>
      <c r="C14251" s="1" t="str">
        <f>HYPERLINK("http://www.genecards.org/cgi-bin/carddisp.pl?gene=GCNT1","GeneCards")</f>
        <v>GeneCards</v>
      </c>
      <c r="D14251" s="1" t="str">
        <f>HYPERLINK("http://genome-euro.ucsc.edu/cgi-bin/hgTracks?position=205505_at","UCSC")</f>
        <v>UCSC</v>
      </c>
      <c r="E14251" s="1" t="str">
        <f>HYPERLINK("http://www.ncbi.nlm.nih.gov/gene/?term=GCNT1","NCBI")</f>
        <v>NCBI</v>
      </c>
      <c r="F14251">
        <v>0.55000000000000004</v>
      </c>
      <c r="G14251">
        <v>0.65</v>
      </c>
      <c r="H14251" s="1" t="str">
        <f>HYPERLINK("http://www.weizmann.ac.il/complex/compphys/software/geview/data/figures/205505_at.png","Figure")</f>
        <v>Figure</v>
      </c>
      <c r="I14251">
        <v>0.85399999999999998</v>
      </c>
      <c r="J14251">
        <v>0.54</v>
      </c>
      <c r="K14251">
        <v>0.90500000000000003</v>
      </c>
      <c r="L14251">
        <v>0.72</v>
      </c>
      <c r="M14251">
        <v>1.06</v>
      </c>
      <c r="N14251">
        <v>0.91</v>
      </c>
    </row>
    <row r="14252" spans="1:14" x14ac:dyDescent="0.25">
      <c r="A14252" t="s">
        <v>24214</v>
      </c>
      <c r="B14252" t="s">
        <v>24215</v>
      </c>
      <c r="C14252" s="1" t="str">
        <f>HYPERLINK("http://www.genecards.org/cgi-bin/carddisp.pl?gene=LAMP3","GeneCards")</f>
        <v>GeneCards</v>
      </c>
      <c r="D14252" s="1" t="str">
        <f>HYPERLINK("http://genome-euro.ucsc.edu/cgi-bin/hgTracks?position=205569_at","UCSC")</f>
        <v>UCSC</v>
      </c>
      <c r="E14252" s="1" t="str">
        <f>HYPERLINK("http://www.ncbi.nlm.nih.gov/gene/?term=LAMP3","NCBI")</f>
        <v>NCBI</v>
      </c>
      <c r="F14252">
        <v>0.56000000000000005</v>
      </c>
      <c r="G14252">
        <v>0.65</v>
      </c>
      <c r="H14252" s="1" t="str">
        <f>HYPERLINK("http://www.weizmann.ac.il/complex/compphys/software/geview/data/figures/205569_at.png","Figure")</f>
        <v>Figure</v>
      </c>
      <c r="I14252">
        <v>1</v>
      </c>
      <c r="J14252">
        <v>1</v>
      </c>
      <c r="K14252">
        <v>0.998</v>
      </c>
      <c r="L14252">
        <v>0.62</v>
      </c>
      <c r="M14252">
        <v>0.998</v>
      </c>
      <c r="N14252">
        <v>0.66</v>
      </c>
    </row>
    <row r="14253" spans="1:14" x14ac:dyDescent="0.25">
      <c r="A14253" t="s">
        <v>24216</v>
      </c>
      <c r="B14253" t="s">
        <v>15897</v>
      </c>
      <c r="C14253" s="1" t="str">
        <f>HYPERLINK("http://www.genecards.org/cgi-bin/carddisp.pl?gene=CRH","GeneCards")</f>
        <v>GeneCards</v>
      </c>
      <c r="D14253" s="1" t="str">
        <f>HYPERLINK("http://genome-euro.ucsc.edu/cgi-bin/hgTracks?position=205630_at","UCSC")</f>
        <v>UCSC</v>
      </c>
      <c r="E14253" s="1" t="str">
        <f>HYPERLINK("http://www.ncbi.nlm.nih.gov/gene/?term=CRH","NCBI")</f>
        <v>NCBI</v>
      </c>
      <c r="F14253">
        <v>0.55000000000000004</v>
      </c>
      <c r="G14253">
        <v>0.65</v>
      </c>
      <c r="H14253" s="1" t="str">
        <f>HYPERLINK("http://www.weizmann.ac.il/complex/compphys/software/geview/data/figures/205630_at.png","Figure")</f>
        <v>Figure</v>
      </c>
      <c r="I14253">
        <v>1.02</v>
      </c>
      <c r="J14253">
        <v>0.52</v>
      </c>
      <c r="K14253">
        <v>1.01</v>
      </c>
      <c r="L14253">
        <v>0.86</v>
      </c>
      <c r="M14253">
        <v>0.99099999999999999</v>
      </c>
      <c r="N14253">
        <v>0.77</v>
      </c>
    </row>
    <row r="14254" spans="1:14" x14ac:dyDescent="0.25">
      <c r="A14254" t="s">
        <v>24217</v>
      </c>
      <c r="B14254" t="s">
        <v>24218</v>
      </c>
      <c r="C14254" s="1" t="str">
        <f>HYPERLINK("http://www.genecards.org/cgi-bin/carddisp.pl?gene=SYNGR3","GeneCards")</f>
        <v>GeneCards</v>
      </c>
      <c r="D14254" s="1" t="str">
        <f>HYPERLINK("http://genome-euro.ucsc.edu/cgi-bin/hgTracks?position=205691_at","UCSC")</f>
        <v>UCSC</v>
      </c>
      <c r="E14254" s="1" t="str">
        <f>HYPERLINK("http://www.ncbi.nlm.nih.gov/gene/?term=SYNGR3","NCBI")</f>
        <v>NCBI</v>
      </c>
      <c r="F14254">
        <v>0.56000000000000005</v>
      </c>
      <c r="G14254">
        <v>0.65</v>
      </c>
      <c r="H14254" s="1" t="str">
        <f>HYPERLINK("http://www.weizmann.ac.il/complex/compphys/software/geview/data/figures/205691_at.png","Figure")</f>
        <v>Figure</v>
      </c>
      <c r="I14254">
        <v>1</v>
      </c>
      <c r="J14254">
        <v>1</v>
      </c>
      <c r="K14254">
        <v>0.99</v>
      </c>
      <c r="L14254">
        <v>0.62</v>
      </c>
      <c r="M14254">
        <v>0.99</v>
      </c>
      <c r="N14254">
        <v>0.66</v>
      </c>
    </row>
    <row r="14255" spans="1:14" x14ac:dyDescent="0.25">
      <c r="A14255" t="s">
        <v>24219</v>
      </c>
      <c r="B14255" t="s">
        <v>24220</v>
      </c>
      <c r="C14255" s="1" t="str">
        <f>HYPERLINK("http://www.genecards.org/cgi-bin/carddisp.pl?gene=ODZ1","GeneCards")</f>
        <v>GeneCards</v>
      </c>
      <c r="D14255" s="1" t="str">
        <f>HYPERLINK("http://genome-euro.ucsc.edu/cgi-bin/hgTracks?position=205728_at","UCSC")</f>
        <v>UCSC</v>
      </c>
      <c r="E14255" s="1" t="str">
        <f>HYPERLINK("http://www.ncbi.nlm.nih.gov/gene/?term=ODZ1","NCBI")</f>
        <v>NCBI</v>
      </c>
      <c r="F14255">
        <v>0.56000000000000005</v>
      </c>
      <c r="G14255">
        <v>0.65</v>
      </c>
      <c r="H14255" s="1" t="str">
        <f>HYPERLINK("http://www.weizmann.ac.il/complex/compphys/software/geview/data/figures/205728_at.png","Figure")</f>
        <v>Figure</v>
      </c>
      <c r="I14255">
        <v>1</v>
      </c>
      <c r="J14255">
        <v>1</v>
      </c>
      <c r="K14255">
        <v>0.97399999999999998</v>
      </c>
      <c r="L14255">
        <v>0.62</v>
      </c>
      <c r="M14255">
        <v>0.97399999999999998</v>
      </c>
      <c r="N14255">
        <v>0.66</v>
      </c>
    </row>
    <row r="14256" spans="1:14" x14ac:dyDescent="0.25">
      <c r="A14256" t="s">
        <v>24221</v>
      </c>
      <c r="B14256" t="s">
        <v>13193</v>
      </c>
      <c r="C14256" s="1" t="str">
        <f>HYPERLINK("http://www.genecards.org/cgi-bin/carddisp.pl?gene=DTNA","GeneCards")</f>
        <v>GeneCards</v>
      </c>
      <c r="D14256" s="1" t="str">
        <f>HYPERLINK("http://genome-euro.ucsc.edu/cgi-bin/hgTracks?position=205741_s_at","UCSC")</f>
        <v>UCSC</v>
      </c>
      <c r="E14256" s="1" t="str">
        <f>HYPERLINK("http://www.ncbi.nlm.nih.gov/gene/?term=DTNA","NCBI")</f>
        <v>NCBI</v>
      </c>
      <c r="F14256">
        <v>0.56000000000000005</v>
      </c>
      <c r="G14256">
        <v>0.65</v>
      </c>
      <c r="H14256" s="1" t="str">
        <f>HYPERLINK("http://www.weizmann.ac.il/complex/compphys/software/geview/data/figures/205741_s_at.png","Figure")</f>
        <v>Figure</v>
      </c>
      <c r="I14256">
        <v>1</v>
      </c>
      <c r="J14256">
        <v>1</v>
      </c>
      <c r="K14256">
        <v>0.98699999999999999</v>
      </c>
      <c r="L14256">
        <v>0.62</v>
      </c>
      <c r="M14256">
        <v>0.98699999999999999</v>
      </c>
      <c r="N14256">
        <v>0.66</v>
      </c>
    </row>
    <row r="14257" spans="1:14" x14ac:dyDescent="0.25">
      <c r="A14257" t="s">
        <v>24222</v>
      </c>
      <c r="B14257" t="s">
        <v>24223</v>
      </c>
      <c r="C14257" s="1" t="str">
        <f>HYPERLINK("http://www.genecards.org/cgi-bin/carddisp.pl?gene=CD8A","GeneCards")</f>
        <v>GeneCards</v>
      </c>
      <c r="D14257" s="1" t="str">
        <f>HYPERLINK("http://genome-euro.ucsc.edu/cgi-bin/hgTracks?position=205758_at","UCSC")</f>
        <v>UCSC</v>
      </c>
      <c r="E14257" s="1" t="str">
        <f>HYPERLINK("http://www.ncbi.nlm.nih.gov/gene/?term=CD8A","NCBI")</f>
        <v>NCBI</v>
      </c>
      <c r="F14257">
        <v>0.55000000000000004</v>
      </c>
      <c r="G14257">
        <v>0.65</v>
      </c>
      <c r="H14257" s="1" t="str">
        <f>HYPERLINK("http://www.weizmann.ac.il/complex/compphys/software/geview/data/figures/205758_at.png","Figure")</f>
        <v>Figure</v>
      </c>
      <c r="I14257">
        <v>1.1499999999999999</v>
      </c>
      <c r="J14257">
        <v>0.63</v>
      </c>
      <c r="K14257">
        <v>0.99199999999999999</v>
      </c>
      <c r="L14257">
        <v>1</v>
      </c>
      <c r="M14257">
        <v>0.86199999999999999</v>
      </c>
      <c r="N14257">
        <v>0.56000000000000005</v>
      </c>
    </row>
    <row r="14258" spans="1:14" x14ac:dyDescent="0.25">
      <c r="A14258" t="s">
        <v>24224</v>
      </c>
      <c r="B14258" t="s">
        <v>24225</v>
      </c>
      <c r="C14258" s="1" t="str">
        <f>HYPERLINK("http://www.genecards.org/cgi-bin/carddisp.pl?gene=ZNF230","GeneCards")</f>
        <v>GeneCards</v>
      </c>
      <c r="D14258" s="1" t="str">
        <f>HYPERLINK("http://genome-euro.ucsc.edu/cgi-bin/hgTracks?position=205791_x_at","UCSC")</f>
        <v>UCSC</v>
      </c>
      <c r="E14258" s="1" t="str">
        <f>HYPERLINK("http://www.ncbi.nlm.nih.gov/gene/?term=ZNF230","NCBI")</f>
        <v>NCBI</v>
      </c>
      <c r="F14258">
        <v>0.56000000000000005</v>
      </c>
      <c r="G14258">
        <v>0.65</v>
      </c>
      <c r="H14258" s="1" t="str">
        <f>HYPERLINK("http://www.weizmann.ac.il/complex/compphys/software/geview/data/figures/205791_x_at.png","Figure")</f>
        <v>Figure</v>
      </c>
      <c r="I14258">
        <v>1</v>
      </c>
      <c r="J14258">
        <v>1</v>
      </c>
      <c r="K14258">
        <v>0.98699999999999999</v>
      </c>
      <c r="L14258">
        <v>0.62</v>
      </c>
      <c r="M14258">
        <v>0.98699999999999999</v>
      </c>
      <c r="N14258">
        <v>0.66</v>
      </c>
    </row>
    <row r="14259" spans="1:14" x14ac:dyDescent="0.25">
      <c r="A14259" t="s">
        <v>24226</v>
      </c>
      <c r="B14259" t="s">
        <v>24227</v>
      </c>
      <c r="C14259" s="1" t="str">
        <f>HYPERLINK("http://www.genecards.org/cgi-bin/carddisp.pl?gene=GRM3","GeneCards")</f>
        <v>GeneCards</v>
      </c>
      <c r="D14259" s="1" t="str">
        <f>HYPERLINK("http://genome-euro.ucsc.edu/cgi-bin/hgTracks?position=205814_at","UCSC")</f>
        <v>UCSC</v>
      </c>
      <c r="E14259" s="1" t="str">
        <f>HYPERLINK("http://www.ncbi.nlm.nih.gov/gene/?term=GRM3","NCBI")</f>
        <v>NCBI</v>
      </c>
      <c r="F14259">
        <v>0.56000000000000005</v>
      </c>
      <c r="G14259">
        <v>0.65</v>
      </c>
      <c r="H14259" s="1" t="str">
        <f>HYPERLINK("http://www.weizmann.ac.il/complex/compphys/software/geview/data/figures/205814_at.png","Figure")</f>
        <v>Figure</v>
      </c>
      <c r="I14259">
        <v>1</v>
      </c>
      <c r="J14259">
        <v>1</v>
      </c>
      <c r="K14259">
        <v>0.998</v>
      </c>
      <c r="L14259">
        <v>0.62</v>
      </c>
      <c r="M14259">
        <v>0.998</v>
      </c>
      <c r="N14259">
        <v>0.66</v>
      </c>
    </row>
    <row r="14260" spans="1:14" x14ac:dyDescent="0.25">
      <c r="A14260" t="s">
        <v>24228</v>
      </c>
      <c r="B14260" t="s">
        <v>24229</v>
      </c>
      <c r="C14260" s="1" t="str">
        <f>HYPERLINK("http://www.genecards.org/cgi-bin/carddisp.pl?gene=CCK","GeneCards")</f>
        <v>GeneCards</v>
      </c>
      <c r="D14260" s="1" t="str">
        <f>HYPERLINK("http://genome-euro.ucsc.edu/cgi-bin/hgTracks?position=205827_at","UCSC")</f>
        <v>UCSC</v>
      </c>
      <c r="E14260" s="1" t="str">
        <f>HYPERLINK("http://www.ncbi.nlm.nih.gov/gene/?term=CCK","NCBI")</f>
        <v>NCBI</v>
      </c>
      <c r="F14260">
        <v>0.56000000000000005</v>
      </c>
      <c r="G14260">
        <v>0.65</v>
      </c>
      <c r="H14260" s="1" t="str">
        <f>HYPERLINK("http://www.weizmann.ac.il/complex/compphys/software/geview/data/figures/205827_at.png","Figure")</f>
        <v>Figure</v>
      </c>
      <c r="I14260">
        <v>1</v>
      </c>
      <c r="J14260">
        <v>1</v>
      </c>
      <c r="K14260">
        <v>0.995</v>
      </c>
      <c r="L14260">
        <v>0.62</v>
      </c>
      <c r="M14260">
        <v>0.995</v>
      </c>
      <c r="N14260">
        <v>0.66</v>
      </c>
    </row>
    <row r="14261" spans="1:14" x14ac:dyDescent="0.25">
      <c r="A14261" t="s">
        <v>24230</v>
      </c>
      <c r="B14261" t="s">
        <v>21727</v>
      </c>
      <c r="C14261" s="1" t="str">
        <f>HYPERLINK("http://www.genecards.org/cgi-bin/carddisp.pl?gene=CEACAM7","GeneCards")</f>
        <v>GeneCards</v>
      </c>
      <c r="D14261" s="1" t="str">
        <f>HYPERLINK("http://genome-euro.ucsc.edu/cgi-bin/hgTracks?position=206199_at","UCSC")</f>
        <v>UCSC</v>
      </c>
      <c r="E14261" s="1" t="str">
        <f>HYPERLINK("http://www.ncbi.nlm.nih.gov/gene/?term=CEACAM7","NCBI")</f>
        <v>NCBI</v>
      </c>
      <c r="F14261">
        <v>0.56000000000000005</v>
      </c>
      <c r="G14261">
        <v>0.65</v>
      </c>
      <c r="H14261" s="1" t="str">
        <f>HYPERLINK("http://www.weizmann.ac.il/complex/compphys/software/geview/data/figures/206199_at.png","Figure")</f>
        <v>Figure</v>
      </c>
      <c r="I14261">
        <v>1</v>
      </c>
      <c r="J14261">
        <v>1</v>
      </c>
      <c r="K14261">
        <v>0.999</v>
      </c>
      <c r="L14261">
        <v>0.62</v>
      </c>
      <c r="M14261">
        <v>0.999</v>
      </c>
      <c r="N14261">
        <v>0.66</v>
      </c>
    </row>
    <row r="14262" spans="1:14" x14ac:dyDescent="0.25">
      <c r="A14262" t="s">
        <v>24231</v>
      </c>
      <c r="B14262" t="s">
        <v>24232</v>
      </c>
      <c r="C14262" s="1" t="str">
        <f>HYPERLINK("http://www.genecards.org/cgi-bin/carddisp.pl?gene=HRG","GeneCards")</f>
        <v>GeneCards</v>
      </c>
      <c r="D14262" s="1" t="str">
        <f>HYPERLINK("http://genome-euro.ucsc.edu/cgi-bin/hgTracks?position=206226_at","UCSC")</f>
        <v>UCSC</v>
      </c>
      <c r="E14262" s="1" t="str">
        <f>HYPERLINK("http://www.ncbi.nlm.nih.gov/gene/?term=HRG","NCBI")</f>
        <v>NCBI</v>
      </c>
      <c r="F14262">
        <v>0.56000000000000005</v>
      </c>
      <c r="G14262">
        <v>0.65</v>
      </c>
      <c r="H14262" s="1" t="str">
        <f>HYPERLINK("http://www.weizmann.ac.il/complex/compphys/software/geview/data/figures/206226_at.png","Figure")</f>
        <v>Figure</v>
      </c>
      <c r="I14262">
        <v>1.1299999999999999</v>
      </c>
      <c r="J14262">
        <v>0.53</v>
      </c>
      <c r="K14262">
        <v>1.04</v>
      </c>
      <c r="L14262">
        <v>0.9</v>
      </c>
      <c r="M14262">
        <v>0.92200000000000004</v>
      </c>
      <c r="N14262">
        <v>0.73</v>
      </c>
    </row>
    <row r="14263" spans="1:14" x14ac:dyDescent="0.25">
      <c r="A14263" t="s">
        <v>24233</v>
      </c>
      <c r="B14263" t="s">
        <v>22438</v>
      </c>
      <c r="C14263" s="1" t="str">
        <f>HYPERLINK("http://www.genecards.org/cgi-bin/carddisp.pl?gene=AVPR1A","GeneCards")</f>
        <v>GeneCards</v>
      </c>
      <c r="D14263" s="1" t="str">
        <f>HYPERLINK("http://genome-euro.ucsc.edu/cgi-bin/hgTracks?position=206250_x_at","UCSC")</f>
        <v>UCSC</v>
      </c>
      <c r="E14263" s="1" t="str">
        <f>HYPERLINK("http://www.ncbi.nlm.nih.gov/gene/?term=AVPR1A","NCBI")</f>
        <v>NCBI</v>
      </c>
      <c r="F14263">
        <v>0.56000000000000005</v>
      </c>
      <c r="G14263">
        <v>0.65</v>
      </c>
      <c r="H14263" s="1" t="str">
        <f>HYPERLINK("http://www.weizmann.ac.il/complex/compphys/software/geview/data/figures/206250_x_at.png","Figure")</f>
        <v>Figure</v>
      </c>
      <c r="I14263">
        <v>1.07</v>
      </c>
      <c r="J14263">
        <v>0.53</v>
      </c>
      <c r="K14263">
        <v>1.03</v>
      </c>
      <c r="L14263">
        <v>0.8</v>
      </c>
      <c r="M14263">
        <v>0.96799999999999997</v>
      </c>
      <c r="N14263">
        <v>0.83</v>
      </c>
    </row>
    <row r="14264" spans="1:14" x14ac:dyDescent="0.25">
      <c r="A14264" t="s">
        <v>24234</v>
      </c>
      <c r="B14264" t="s">
        <v>18373</v>
      </c>
      <c r="C14264" s="1" t="str">
        <f>HYPERLINK("http://www.genecards.org/cgi-bin/carddisp.pl?gene=GPLD1","GeneCards")</f>
        <v>GeneCards</v>
      </c>
      <c r="D14264" s="1" t="str">
        <f>HYPERLINK("http://genome-euro.ucsc.edu/cgi-bin/hgTracks?position=206264_at","UCSC")</f>
        <v>UCSC</v>
      </c>
      <c r="E14264" s="1" t="str">
        <f>HYPERLINK("http://www.ncbi.nlm.nih.gov/gene/?term=GPLD1","NCBI")</f>
        <v>NCBI</v>
      </c>
      <c r="F14264">
        <v>0.55000000000000004</v>
      </c>
      <c r="G14264">
        <v>0.65</v>
      </c>
      <c r="H14264" s="1" t="str">
        <f>HYPERLINK("http://www.weizmann.ac.il/complex/compphys/software/geview/data/figures/206264_at.png","Figure")</f>
        <v>Figure</v>
      </c>
      <c r="I14264">
        <v>1.03</v>
      </c>
      <c r="J14264">
        <v>0.89</v>
      </c>
      <c r="K14264">
        <v>0.96199999999999997</v>
      </c>
      <c r="L14264">
        <v>0.8</v>
      </c>
      <c r="M14264">
        <v>0.93100000000000005</v>
      </c>
      <c r="N14264">
        <v>0.53</v>
      </c>
    </row>
    <row r="14265" spans="1:14" x14ac:dyDescent="0.25">
      <c r="A14265" t="s">
        <v>24235</v>
      </c>
      <c r="B14265" t="s">
        <v>24236</v>
      </c>
      <c r="C14265" s="1" t="str">
        <f>HYPERLINK("http://www.genecards.org/cgi-bin/carddisp.pl?gene=PRKCG","GeneCards")</f>
        <v>GeneCards</v>
      </c>
      <c r="D14265" s="1" t="str">
        <f>HYPERLINK("http://genome-euro.ucsc.edu/cgi-bin/hgTracks?position=206270_at","UCSC")</f>
        <v>UCSC</v>
      </c>
      <c r="E14265" s="1" t="str">
        <f>HYPERLINK("http://www.ncbi.nlm.nih.gov/gene/?term=PRKCG","NCBI")</f>
        <v>NCBI</v>
      </c>
      <c r="F14265">
        <v>0.56000000000000005</v>
      </c>
      <c r="G14265">
        <v>0.65</v>
      </c>
      <c r="H14265" s="1" t="str">
        <f>HYPERLINK("http://www.weizmann.ac.il/complex/compphys/software/geview/data/figures/206270_at.png","Figure")</f>
        <v>Figure</v>
      </c>
      <c r="I14265">
        <v>1</v>
      </c>
      <c r="J14265">
        <v>1</v>
      </c>
      <c r="K14265">
        <v>0.996</v>
      </c>
      <c r="L14265">
        <v>0.62</v>
      </c>
      <c r="M14265">
        <v>0.996</v>
      </c>
      <c r="N14265">
        <v>0.66</v>
      </c>
    </row>
    <row r="14266" spans="1:14" x14ac:dyDescent="0.25">
      <c r="A14266" t="s">
        <v>24237</v>
      </c>
      <c r="B14266" t="s">
        <v>24238</v>
      </c>
      <c r="C14266" s="1" t="str">
        <f>HYPERLINK("http://www.genecards.org/cgi-bin/carddisp.pl?gene=RYR3","GeneCards")</f>
        <v>GeneCards</v>
      </c>
      <c r="D14266" s="1" t="str">
        <f>HYPERLINK("http://genome-euro.ucsc.edu/cgi-bin/hgTracks?position=206306_at","UCSC")</f>
        <v>UCSC</v>
      </c>
      <c r="E14266" s="1" t="str">
        <f>HYPERLINK("http://www.ncbi.nlm.nih.gov/gene/?term=RYR3","NCBI")</f>
        <v>NCBI</v>
      </c>
      <c r="F14266">
        <v>0.56000000000000005</v>
      </c>
      <c r="G14266">
        <v>0.65</v>
      </c>
      <c r="H14266" s="1" t="str">
        <f>HYPERLINK("http://www.weizmann.ac.il/complex/compphys/software/geview/data/figures/206306_at.png","Figure")</f>
        <v>Figure</v>
      </c>
      <c r="I14266">
        <v>1</v>
      </c>
      <c r="J14266">
        <v>1</v>
      </c>
      <c r="K14266">
        <v>0.97199999999999998</v>
      </c>
      <c r="L14266">
        <v>0.62</v>
      </c>
      <c r="M14266">
        <v>0.97199999999999998</v>
      </c>
      <c r="N14266">
        <v>0.66</v>
      </c>
    </row>
    <row r="14267" spans="1:14" x14ac:dyDescent="0.25">
      <c r="A14267" t="s">
        <v>24239</v>
      </c>
      <c r="B14267" t="s">
        <v>24240</v>
      </c>
      <c r="C14267" s="1" t="str">
        <f>HYPERLINK("http://www.genecards.org/cgi-bin/carddisp.pl?gene=SYN3","GeneCards")</f>
        <v>GeneCards</v>
      </c>
      <c r="D14267" s="1" t="str">
        <f>HYPERLINK("http://genome-euro.ucsc.edu/cgi-bin/hgTracks?position=206322_at","UCSC")</f>
        <v>UCSC</v>
      </c>
      <c r="E14267" s="1" t="str">
        <f>HYPERLINK("http://www.ncbi.nlm.nih.gov/gene/?term=SYN3","NCBI")</f>
        <v>NCBI</v>
      </c>
      <c r="F14267">
        <v>0.56000000000000005</v>
      </c>
      <c r="G14267">
        <v>0.65</v>
      </c>
      <c r="H14267" s="1" t="str">
        <f>HYPERLINK("http://www.weizmann.ac.il/complex/compphys/software/geview/data/figures/206322_at.png","Figure")</f>
        <v>Figure</v>
      </c>
      <c r="I14267">
        <v>1</v>
      </c>
      <c r="J14267">
        <v>1</v>
      </c>
      <c r="K14267">
        <v>0.97599999999999998</v>
      </c>
      <c r="L14267">
        <v>0.62</v>
      </c>
      <c r="M14267">
        <v>0.97599999999999998</v>
      </c>
      <c r="N14267">
        <v>0.66</v>
      </c>
    </row>
    <row r="14268" spans="1:14" x14ac:dyDescent="0.25">
      <c r="A14268" t="s">
        <v>24241</v>
      </c>
      <c r="B14268" t="s">
        <v>24242</v>
      </c>
      <c r="C14268" s="1" t="str">
        <f>HYPERLINK("http://www.genecards.org/cgi-bin/carddisp.pl?gene=LGALS7 /// LGALS7B","GeneCards")</f>
        <v>GeneCards</v>
      </c>
      <c r="D14268" s="1" t="str">
        <f>HYPERLINK("http://genome-euro.ucsc.edu/cgi-bin/hgTracks?position=206400_at","UCSC")</f>
        <v>UCSC</v>
      </c>
      <c r="E14268" s="1" t="str">
        <f>HYPERLINK("http://www.ncbi.nlm.nih.gov/gene/?term=LGALS7 /// LGALS7B","NCBI")</f>
        <v>NCBI</v>
      </c>
      <c r="F14268">
        <v>0.56000000000000005</v>
      </c>
      <c r="G14268">
        <v>0.65</v>
      </c>
      <c r="H14268" s="1" t="str">
        <f>HYPERLINK("http://www.weizmann.ac.il/complex/compphys/software/geview/data/figures/206400_at.png","Figure")</f>
        <v>Figure</v>
      </c>
      <c r="I14268">
        <v>1.06</v>
      </c>
      <c r="J14268">
        <v>0.6</v>
      </c>
      <c r="K14268">
        <v>1</v>
      </c>
      <c r="L14268">
        <v>1</v>
      </c>
      <c r="M14268">
        <v>0.95</v>
      </c>
      <c r="N14268">
        <v>0.59</v>
      </c>
    </row>
    <row r="14269" spans="1:14" x14ac:dyDescent="0.25">
      <c r="A14269" t="s">
        <v>24243</v>
      </c>
      <c r="B14269" t="s">
        <v>24244</v>
      </c>
      <c r="C14269" s="1" t="str">
        <f>HYPERLINK("http://www.genecards.org/cgi-bin/carddisp.pl?gene=ACSBG1","GeneCards")</f>
        <v>GeneCards</v>
      </c>
      <c r="D14269" s="1" t="str">
        <f>HYPERLINK("http://genome-euro.ucsc.edu/cgi-bin/hgTracks?position=206465_at","UCSC")</f>
        <v>UCSC</v>
      </c>
      <c r="E14269" s="1" t="str">
        <f>HYPERLINK("http://www.ncbi.nlm.nih.gov/gene/?term=ACSBG1","NCBI")</f>
        <v>NCBI</v>
      </c>
      <c r="F14269">
        <v>0.56000000000000005</v>
      </c>
      <c r="G14269">
        <v>0.65</v>
      </c>
      <c r="H14269" s="1" t="str">
        <f>HYPERLINK("http://www.weizmann.ac.il/complex/compphys/software/geview/data/figures/206465_at.png","Figure")</f>
        <v>Figure</v>
      </c>
      <c r="I14269">
        <v>1</v>
      </c>
      <c r="J14269">
        <v>1</v>
      </c>
      <c r="K14269">
        <v>0.99399999999999999</v>
      </c>
      <c r="L14269">
        <v>0.62</v>
      </c>
      <c r="M14269">
        <v>0.99399999999999999</v>
      </c>
      <c r="N14269">
        <v>0.66</v>
      </c>
    </row>
    <row r="14270" spans="1:14" x14ac:dyDescent="0.25">
      <c r="A14270" t="s">
        <v>24245</v>
      </c>
      <c r="B14270" t="s">
        <v>24246</v>
      </c>
      <c r="C14270" s="1" t="str">
        <f>HYPERLINK("http://www.genecards.org/cgi-bin/carddisp.pl?gene=LDB2","GeneCards")</f>
        <v>GeneCards</v>
      </c>
      <c r="D14270" s="1" t="str">
        <f>HYPERLINK("http://genome-euro.ucsc.edu/cgi-bin/hgTracks?position=206481_s_at","UCSC")</f>
        <v>UCSC</v>
      </c>
      <c r="E14270" s="1" t="str">
        <f>HYPERLINK("http://www.ncbi.nlm.nih.gov/gene/?term=LDB2","NCBI")</f>
        <v>NCBI</v>
      </c>
      <c r="F14270">
        <v>0.56000000000000005</v>
      </c>
      <c r="G14270">
        <v>0.65</v>
      </c>
      <c r="H14270" s="1" t="str">
        <f>HYPERLINK("http://www.weizmann.ac.il/complex/compphys/software/geview/data/figures/206481_s_at.png","Figure")</f>
        <v>Figure</v>
      </c>
      <c r="I14270">
        <v>1</v>
      </c>
      <c r="J14270">
        <v>1</v>
      </c>
      <c r="K14270">
        <v>0.95799999999999996</v>
      </c>
      <c r="L14270">
        <v>0.62</v>
      </c>
      <c r="M14270">
        <v>0.95799999999999996</v>
      </c>
      <c r="N14270">
        <v>0.66</v>
      </c>
    </row>
    <row r="14271" spans="1:14" x14ac:dyDescent="0.25">
      <c r="A14271" t="s">
        <v>24247</v>
      </c>
      <c r="B14271" t="s">
        <v>24248</v>
      </c>
      <c r="C14271" s="1" t="str">
        <f>HYPERLINK("http://www.genecards.org/cgi-bin/carddisp.pl?gene=CD36","GeneCards")</f>
        <v>GeneCards</v>
      </c>
      <c r="D14271" s="1" t="str">
        <f>HYPERLINK("http://genome-euro.ucsc.edu/cgi-bin/hgTracks?position=206488_s_at","UCSC")</f>
        <v>UCSC</v>
      </c>
      <c r="E14271" s="1" t="str">
        <f>HYPERLINK("http://www.ncbi.nlm.nih.gov/gene/?term=CD36","NCBI")</f>
        <v>NCBI</v>
      </c>
      <c r="F14271">
        <v>0.56000000000000005</v>
      </c>
      <c r="G14271">
        <v>0.65</v>
      </c>
      <c r="H14271" s="1" t="str">
        <f>HYPERLINK("http://www.weizmann.ac.il/complex/compphys/software/geview/data/figures/206488_s_at.png","Figure")</f>
        <v>Figure</v>
      </c>
      <c r="I14271">
        <v>1</v>
      </c>
      <c r="J14271">
        <v>1</v>
      </c>
      <c r="K14271">
        <v>0.97299999999999998</v>
      </c>
      <c r="L14271">
        <v>0.62</v>
      </c>
      <c r="M14271">
        <v>0.97299999999999998</v>
      </c>
      <c r="N14271">
        <v>0.66</v>
      </c>
    </row>
    <row r="14272" spans="1:14" x14ac:dyDescent="0.25">
      <c r="A14272" t="s">
        <v>24249</v>
      </c>
      <c r="B14272" t="s">
        <v>24250</v>
      </c>
      <c r="C14272" s="1" t="str">
        <f>HYPERLINK("http://www.genecards.org/cgi-bin/carddisp.pl?gene=CYP4F3","GeneCards")</f>
        <v>GeneCards</v>
      </c>
      <c r="D14272" s="1" t="str">
        <f>HYPERLINK("http://genome-euro.ucsc.edu/cgi-bin/hgTracks?position=206515_at","UCSC")</f>
        <v>UCSC</v>
      </c>
      <c r="E14272" s="1" t="str">
        <f>HYPERLINK("http://www.ncbi.nlm.nih.gov/gene/?term=CYP4F3","NCBI")</f>
        <v>NCBI</v>
      </c>
      <c r="F14272">
        <v>0.56000000000000005</v>
      </c>
      <c r="G14272">
        <v>0.65</v>
      </c>
      <c r="H14272" s="1" t="str">
        <f>HYPERLINK("http://www.weizmann.ac.il/complex/compphys/software/geview/data/figures/206515_at.png","Figure")</f>
        <v>Figure</v>
      </c>
      <c r="I14272">
        <v>1</v>
      </c>
      <c r="J14272">
        <v>1</v>
      </c>
      <c r="K14272">
        <v>0.997</v>
      </c>
      <c r="L14272">
        <v>0.62</v>
      </c>
      <c r="M14272">
        <v>0.997</v>
      </c>
      <c r="N14272">
        <v>0.66</v>
      </c>
    </row>
    <row r="14273" spans="1:14" x14ac:dyDescent="0.25">
      <c r="A14273" t="s">
        <v>24251</v>
      </c>
      <c r="B14273" t="s">
        <v>24252</v>
      </c>
      <c r="C14273" s="1" t="str">
        <f>HYPERLINK("http://www.genecards.org/cgi-bin/carddisp.pl?gene=CD28","GeneCards")</f>
        <v>GeneCards</v>
      </c>
      <c r="D14273" s="1" t="str">
        <f>HYPERLINK("http://genome-euro.ucsc.edu/cgi-bin/hgTracks?position=206545_at","UCSC")</f>
        <v>UCSC</v>
      </c>
      <c r="E14273" s="1" t="str">
        <f>HYPERLINK("http://www.ncbi.nlm.nih.gov/gene/?term=CD28","NCBI")</f>
        <v>NCBI</v>
      </c>
      <c r="F14273">
        <v>0.56000000000000005</v>
      </c>
      <c r="G14273">
        <v>0.65</v>
      </c>
      <c r="H14273" s="1" t="str">
        <f>HYPERLINK("http://www.weizmann.ac.il/complex/compphys/software/geview/data/figures/206545_at.png","Figure")</f>
        <v>Figure</v>
      </c>
      <c r="I14273">
        <v>1</v>
      </c>
      <c r="J14273">
        <v>1</v>
      </c>
      <c r="K14273">
        <v>0.97499999999999998</v>
      </c>
      <c r="L14273">
        <v>0.62</v>
      </c>
      <c r="M14273">
        <v>0.97499999999999998</v>
      </c>
      <c r="N14273">
        <v>0.66</v>
      </c>
    </row>
    <row r="14274" spans="1:14" x14ac:dyDescent="0.25">
      <c r="A14274" t="s">
        <v>24253</v>
      </c>
      <c r="B14274" t="s">
        <v>24254</v>
      </c>
      <c r="C14274" s="1" t="str">
        <f>HYPERLINK("http://www.genecards.org/cgi-bin/carddisp.pl?gene=SYCP2","GeneCards")</f>
        <v>GeneCards</v>
      </c>
      <c r="D14274" s="1" t="str">
        <f>HYPERLINK("http://genome-euro.ucsc.edu/cgi-bin/hgTracks?position=206546_at","UCSC")</f>
        <v>UCSC</v>
      </c>
      <c r="E14274" s="1" t="str">
        <f>HYPERLINK("http://www.ncbi.nlm.nih.gov/gene/?term=SYCP2","NCBI")</f>
        <v>NCBI</v>
      </c>
      <c r="F14274">
        <v>0.56000000000000005</v>
      </c>
      <c r="G14274">
        <v>0.65</v>
      </c>
      <c r="H14274" s="1" t="str">
        <f>HYPERLINK("http://www.weizmann.ac.il/complex/compphys/software/geview/data/figures/206546_at.png","Figure")</f>
        <v>Figure</v>
      </c>
      <c r="I14274">
        <v>1</v>
      </c>
      <c r="J14274">
        <v>1</v>
      </c>
      <c r="K14274">
        <v>0.92600000000000005</v>
      </c>
      <c r="L14274">
        <v>0.62</v>
      </c>
      <c r="M14274">
        <v>0.92600000000000005</v>
      </c>
      <c r="N14274">
        <v>0.66</v>
      </c>
    </row>
    <row r="14275" spans="1:14" x14ac:dyDescent="0.25">
      <c r="A14275" t="s">
        <v>24255</v>
      </c>
      <c r="B14275" t="s">
        <v>24256</v>
      </c>
      <c r="C14275" s="1" t="str">
        <f>HYPERLINK("http://www.genecards.org/cgi-bin/carddisp.pl?gene=AKR1B10","GeneCards")</f>
        <v>GeneCards</v>
      </c>
      <c r="D14275" s="1" t="str">
        <f>HYPERLINK("http://genome-euro.ucsc.edu/cgi-bin/hgTracks?position=206561_s_at","UCSC")</f>
        <v>UCSC</v>
      </c>
      <c r="E14275" s="1" t="str">
        <f>HYPERLINK("http://www.ncbi.nlm.nih.gov/gene/?term=AKR1B10","NCBI")</f>
        <v>NCBI</v>
      </c>
      <c r="F14275">
        <v>0.56000000000000005</v>
      </c>
      <c r="G14275">
        <v>0.65</v>
      </c>
      <c r="H14275" s="1" t="str">
        <f>HYPERLINK("http://www.weizmann.ac.il/complex/compphys/software/geview/data/figures/206561_s_at.png","Figure")</f>
        <v>Figure</v>
      </c>
      <c r="I14275">
        <v>1</v>
      </c>
      <c r="J14275">
        <v>1</v>
      </c>
      <c r="K14275">
        <v>0.996</v>
      </c>
      <c r="L14275">
        <v>0.62</v>
      </c>
      <c r="M14275">
        <v>0.996</v>
      </c>
      <c r="N14275">
        <v>0.66</v>
      </c>
    </row>
    <row r="14276" spans="1:14" x14ac:dyDescent="0.25">
      <c r="A14276" t="s">
        <v>24257</v>
      </c>
      <c r="B14276" t="s">
        <v>24258</v>
      </c>
      <c r="C14276" s="1" t="str">
        <f>HYPERLINK("http://www.genecards.org/cgi-bin/carddisp.pl?gene=OPRL1","GeneCards")</f>
        <v>GeneCards</v>
      </c>
      <c r="D14276" s="1" t="str">
        <f>HYPERLINK("http://genome-euro.ucsc.edu/cgi-bin/hgTracks?position=206563_s_at","UCSC")</f>
        <v>UCSC</v>
      </c>
      <c r="E14276" s="1" t="str">
        <f>HYPERLINK("http://www.ncbi.nlm.nih.gov/gene/?term=OPRL1","NCBI")</f>
        <v>NCBI</v>
      </c>
      <c r="F14276">
        <v>0.56000000000000005</v>
      </c>
      <c r="G14276">
        <v>0.65</v>
      </c>
      <c r="H14276" s="1" t="str">
        <f>HYPERLINK("http://www.weizmann.ac.il/complex/compphys/software/geview/data/figures/206563_s_at.png","Figure")</f>
        <v>Figure</v>
      </c>
      <c r="I14276">
        <v>1</v>
      </c>
      <c r="J14276">
        <v>1</v>
      </c>
      <c r="K14276">
        <v>0.99</v>
      </c>
      <c r="L14276">
        <v>0.62</v>
      </c>
      <c r="M14276">
        <v>0.99</v>
      </c>
      <c r="N14276">
        <v>0.66</v>
      </c>
    </row>
    <row r="14277" spans="1:14" x14ac:dyDescent="0.25">
      <c r="A14277" t="s">
        <v>24259</v>
      </c>
      <c r="B14277" t="s">
        <v>24260</v>
      </c>
      <c r="C14277" s="1" t="str">
        <f>HYPERLINK("http://www.genecards.org/cgi-bin/carddisp.pl?gene=ATF7","GeneCards")</f>
        <v>GeneCards</v>
      </c>
      <c r="D14277" s="1" t="str">
        <f>HYPERLINK("http://genome-euro.ucsc.edu/cgi-bin/hgTracks?position=206684_s_at","UCSC")</f>
        <v>UCSC</v>
      </c>
      <c r="E14277" s="1" t="str">
        <f>HYPERLINK("http://www.ncbi.nlm.nih.gov/gene/?term=ATF7","NCBI")</f>
        <v>NCBI</v>
      </c>
      <c r="F14277">
        <v>0.56000000000000005</v>
      </c>
      <c r="G14277">
        <v>0.65</v>
      </c>
      <c r="H14277" s="1" t="str">
        <f>HYPERLINK("http://www.weizmann.ac.il/complex/compphys/software/geview/data/figures/206684_s_at.png","Figure")</f>
        <v>Figure</v>
      </c>
      <c r="I14277">
        <v>1</v>
      </c>
      <c r="J14277">
        <v>1</v>
      </c>
      <c r="K14277">
        <v>0.98899999999999999</v>
      </c>
      <c r="L14277">
        <v>0.62</v>
      </c>
      <c r="M14277">
        <v>0.98899999999999999</v>
      </c>
      <c r="N14277">
        <v>0.66</v>
      </c>
    </row>
    <row r="14278" spans="1:14" x14ac:dyDescent="0.25">
      <c r="A14278" t="s">
        <v>24261</v>
      </c>
      <c r="B14278" t="s">
        <v>19017</v>
      </c>
      <c r="C14278" s="1" t="str">
        <f>HYPERLINK("http://www.genecards.org/cgi-bin/carddisp.pl?gene=EDNRB","GeneCards")</f>
        <v>GeneCards</v>
      </c>
      <c r="D14278" s="1" t="str">
        <f>HYPERLINK("http://genome-euro.ucsc.edu/cgi-bin/hgTracks?position=206701_x_at","UCSC")</f>
        <v>UCSC</v>
      </c>
      <c r="E14278" s="1" t="str">
        <f>HYPERLINK("http://www.ncbi.nlm.nih.gov/gene/?term=EDNRB","NCBI")</f>
        <v>NCBI</v>
      </c>
      <c r="F14278">
        <v>0.56000000000000005</v>
      </c>
      <c r="G14278">
        <v>0.65</v>
      </c>
      <c r="H14278" s="1" t="str">
        <f>HYPERLINK("http://www.weizmann.ac.il/complex/compphys/software/geview/data/figures/206701_x_at.png","Figure")</f>
        <v>Figure</v>
      </c>
      <c r="I14278">
        <v>1</v>
      </c>
      <c r="J14278">
        <v>1</v>
      </c>
      <c r="K14278">
        <v>0.98599999999999999</v>
      </c>
      <c r="L14278">
        <v>0.62</v>
      </c>
      <c r="M14278">
        <v>0.98599999999999999</v>
      </c>
      <c r="N14278">
        <v>0.66</v>
      </c>
    </row>
    <row r="14279" spans="1:14" x14ac:dyDescent="0.25">
      <c r="A14279" t="s">
        <v>24262</v>
      </c>
      <c r="B14279" t="s">
        <v>24263</v>
      </c>
      <c r="C14279" s="1" t="str">
        <f>HYPERLINK("http://www.genecards.org/cgi-bin/carddisp.pl?gene=LMO1","GeneCards")</f>
        <v>GeneCards</v>
      </c>
      <c r="D14279" s="1" t="str">
        <f>HYPERLINK("http://genome-euro.ucsc.edu/cgi-bin/hgTracks?position=206718_at","UCSC")</f>
        <v>UCSC</v>
      </c>
      <c r="E14279" s="1" t="str">
        <f>HYPERLINK("http://www.ncbi.nlm.nih.gov/gene/?term=LMO1","NCBI")</f>
        <v>NCBI</v>
      </c>
      <c r="F14279">
        <v>0.55000000000000004</v>
      </c>
      <c r="G14279">
        <v>0.65</v>
      </c>
      <c r="H14279" s="1" t="str">
        <f>HYPERLINK("http://www.weizmann.ac.il/complex/compphys/software/geview/data/figures/206718_at.png","Figure")</f>
        <v>Figure</v>
      </c>
      <c r="I14279">
        <v>0.96799999999999997</v>
      </c>
      <c r="J14279">
        <v>0.88</v>
      </c>
      <c r="K14279">
        <v>0.93600000000000005</v>
      </c>
      <c r="L14279">
        <v>0.52</v>
      </c>
      <c r="M14279">
        <v>0.96699999999999997</v>
      </c>
      <c r="N14279">
        <v>0.86</v>
      </c>
    </row>
    <row r="14280" spans="1:14" x14ac:dyDescent="0.25">
      <c r="A14280" t="s">
        <v>24264</v>
      </c>
      <c r="B14280" t="s">
        <v>24265</v>
      </c>
      <c r="C14280" s="1" t="str">
        <f>HYPERLINK("http://www.genecards.org/cgi-bin/carddisp.pl?gene=DGKI","GeneCards")</f>
        <v>GeneCards</v>
      </c>
      <c r="D14280" s="1" t="str">
        <f>HYPERLINK("http://genome-euro.ucsc.edu/cgi-bin/hgTracks?position=206806_at","UCSC")</f>
        <v>UCSC</v>
      </c>
      <c r="E14280" s="1" t="str">
        <f>HYPERLINK("http://www.ncbi.nlm.nih.gov/gene/?term=DGKI","NCBI")</f>
        <v>NCBI</v>
      </c>
      <c r="F14280">
        <v>0.56000000000000005</v>
      </c>
      <c r="G14280">
        <v>0.65</v>
      </c>
      <c r="H14280" s="1" t="str">
        <f>HYPERLINK("http://www.weizmann.ac.il/complex/compphys/software/geview/data/figures/206806_at.png","Figure")</f>
        <v>Figure</v>
      </c>
      <c r="I14280">
        <v>1</v>
      </c>
      <c r="J14280">
        <v>1</v>
      </c>
      <c r="K14280">
        <v>0.76500000000000001</v>
      </c>
      <c r="L14280">
        <v>0.62</v>
      </c>
      <c r="M14280">
        <v>0.76500000000000001</v>
      </c>
      <c r="N14280">
        <v>0.66</v>
      </c>
    </row>
    <row r="14281" spans="1:14" x14ac:dyDescent="0.25">
      <c r="A14281" t="s">
        <v>24266</v>
      </c>
      <c r="B14281" t="s">
        <v>1298</v>
      </c>
      <c r="C14281" s="1" t="str">
        <f>HYPERLINK("http://www.genecards.org/cgi-bin/carddisp.pl?gene=L3MBTL","GeneCards")</f>
        <v>GeneCards</v>
      </c>
      <c r="D14281" s="1" t="str">
        <f>HYPERLINK("http://genome-euro.ucsc.edu/cgi-bin/hgTracks?position=206822_s_at","UCSC")</f>
        <v>UCSC</v>
      </c>
      <c r="E14281" s="1" t="str">
        <f>HYPERLINK("http://www.ncbi.nlm.nih.gov/gene/?term=L3MBTL","NCBI")</f>
        <v>NCBI</v>
      </c>
      <c r="F14281">
        <v>0.56000000000000005</v>
      </c>
      <c r="G14281">
        <v>0.65</v>
      </c>
      <c r="H14281" s="1" t="str">
        <f>HYPERLINK("http://www.weizmann.ac.il/complex/compphys/software/geview/data/figures/206822_s_at.png","Figure")</f>
        <v>Figure</v>
      </c>
      <c r="I14281">
        <v>1</v>
      </c>
      <c r="J14281">
        <v>1</v>
      </c>
      <c r="K14281">
        <v>0.995</v>
      </c>
      <c r="L14281">
        <v>0.62</v>
      </c>
      <c r="M14281">
        <v>0.995</v>
      </c>
      <c r="N14281">
        <v>0.66</v>
      </c>
    </row>
    <row r="14282" spans="1:14" x14ac:dyDescent="0.25">
      <c r="A14282" t="s">
        <v>24267</v>
      </c>
      <c r="B14282" t="s">
        <v>24268</v>
      </c>
      <c r="C14282" s="1" t="str">
        <f>HYPERLINK("http://www.genecards.org/cgi-bin/carddisp.pl?gene=ZNF254","GeneCards")</f>
        <v>GeneCards</v>
      </c>
      <c r="D14282" s="1" t="str">
        <f>HYPERLINK("http://genome-euro.ucsc.edu/cgi-bin/hgTracks?position=206862_at","UCSC")</f>
        <v>UCSC</v>
      </c>
      <c r="E14282" s="1" t="str">
        <f>HYPERLINK("http://www.ncbi.nlm.nih.gov/gene/?term=ZNF254","NCBI")</f>
        <v>NCBI</v>
      </c>
      <c r="F14282">
        <v>0.56000000000000005</v>
      </c>
      <c r="G14282">
        <v>0.65</v>
      </c>
      <c r="H14282" s="1" t="str">
        <f>HYPERLINK("http://www.weizmann.ac.il/complex/compphys/software/geview/data/figures/206862_at.png","Figure")</f>
        <v>Figure</v>
      </c>
      <c r="I14282">
        <v>1</v>
      </c>
      <c r="J14282">
        <v>1</v>
      </c>
      <c r="K14282">
        <v>0.95799999999999996</v>
      </c>
      <c r="L14282">
        <v>0.62</v>
      </c>
      <c r="M14282">
        <v>0.95799999999999996</v>
      </c>
      <c r="N14282">
        <v>0.66</v>
      </c>
    </row>
    <row r="14283" spans="1:14" x14ac:dyDescent="0.25">
      <c r="A14283" t="s">
        <v>24269</v>
      </c>
      <c r="B14283" t="s">
        <v>24270</v>
      </c>
      <c r="C14283" s="1" t="str">
        <f>HYPERLINK("http://www.genecards.org/cgi-bin/carddisp.pl?gene=GCKR","GeneCards")</f>
        <v>GeneCards</v>
      </c>
      <c r="D14283" s="1" t="str">
        <f>HYPERLINK("http://genome-euro.ucsc.edu/cgi-bin/hgTracks?position=206867_at","UCSC")</f>
        <v>UCSC</v>
      </c>
      <c r="E14283" s="1" t="str">
        <f>HYPERLINK("http://www.ncbi.nlm.nih.gov/gene/?term=GCKR","NCBI")</f>
        <v>NCBI</v>
      </c>
      <c r="F14283">
        <v>0.56000000000000005</v>
      </c>
      <c r="G14283">
        <v>0.65</v>
      </c>
      <c r="H14283" s="1" t="str">
        <f>HYPERLINK("http://www.weizmann.ac.il/complex/compphys/software/geview/data/figures/206867_at.png","Figure")</f>
        <v>Figure</v>
      </c>
      <c r="I14283">
        <v>1</v>
      </c>
      <c r="J14283">
        <v>0.55000000000000004</v>
      </c>
      <c r="K14283">
        <v>1</v>
      </c>
      <c r="L14283">
        <v>0.72</v>
      </c>
      <c r="M14283">
        <v>0.999</v>
      </c>
      <c r="N14283">
        <v>0.91</v>
      </c>
    </row>
    <row r="14284" spans="1:14" x14ac:dyDescent="0.25">
      <c r="A14284" t="s">
        <v>24271</v>
      </c>
      <c r="B14284" t="s">
        <v>24272</v>
      </c>
      <c r="C14284" s="1" t="str">
        <f>HYPERLINK("http://www.genecards.org/cgi-bin/carddisp.pl?gene=CPNE1","GeneCards")</f>
        <v>GeneCards</v>
      </c>
      <c r="D14284" s="1" t="str">
        <f>HYPERLINK("http://genome-euro.ucsc.edu/cgi-bin/hgTracks?position=206918_s_at","UCSC")</f>
        <v>UCSC</v>
      </c>
      <c r="E14284" s="1" t="str">
        <f>HYPERLINK("http://www.ncbi.nlm.nih.gov/gene/?term=CPNE1","NCBI")</f>
        <v>NCBI</v>
      </c>
      <c r="F14284">
        <v>0.56000000000000005</v>
      </c>
      <c r="G14284">
        <v>0.65</v>
      </c>
      <c r="H14284" s="1" t="str">
        <f>HYPERLINK("http://www.weizmann.ac.il/complex/compphys/software/geview/data/figures/206918_s_at.png","Figure")</f>
        <v>Figure</v>
      </c>
      <c r="I14284">
        <v>1.27</v>
      </c>
      <c r="J14284">
        <v>0.7</v>
      </c>
      <c r="K14284">
        <v>1.32</v>
      </c>
      <c r="L14284">
        <v>0.55000000000000004</v>
      </c>
      <c r="M14284">
        <v>1.04</v>
      </c>
      <c r="N14284">
        <v>0.99</v>
      </c>
    </row>
    <row r="14285" spans="1:14" x14ac:dyDescent="0.25">
      <c r="A14285" t="s">
        <v>24273</v>
      </c>
      <c r="B14285" t="s">
        <v>4876</v>
      </c>
      <c r="C14285" s="1" t="str">
        <f>HYPERLINK("http://www.genecards.org/cgi-bin/carddisp.pl?gene=AGXT","GeneCards")</f>
        <v>GeneCards</v>
      </c>
      <c r="D14285" s="1" t="str">
        <f>HYPERLINK("http://genome-euro.ucsc.edu/cgi-bin/hgTracks?position=206957_at","UCSC")</f>
        <v>UCSC</v>
      </c>
      <c r="E14285" s="1" t="str">
        <f>HYPERLINK("http://www.ncbi.nlm.nih.gov/gene/?term=AGXT","NCBI")</f>
        <v>NCBI</v>
      </c>
      <c r="F14285">
        <v>0.56000000000000005</v>
      </c>
      <c r="G14285">
        <v>0.65</v>
      </c>
      <c r="H14285" s="1" t="str">
        <f>HYPERLINK("http://www.weizmann.ac.il/complex/compphys/software/geview/data/figures/206957_at.png","Figure")</f>
        <v>Figure</v>
      </c>
      <c r="I14285">
        <v>1</v>
      </c>
      <c r="J14285">
        <v>1</v>
      </c>
      <c r="K14285">
        <v>0.995</v>
      </c>
      <c r="L14285">
        <v>0.62</v>
      </c>
      <c r="M14285">
        <v>0.995</v>
      </c>
      <c r="N14285">
        <v>0.66</v>
      </c>
    </row>
    <row r="14286" spans="1:14" x14ac:dyDescent="0.25">
      <c r="A14286" t="s">
        <v>24274</v>
      </c>
      <c r="B14286" t="s">
        <v>24275</v>
      </c>
      <c r="C14286" s="1" t="str">
        <f>HYPERLINK("http://www.genecards.org/cgi-bin/carddisp.pl?gene=NR1I3","GeneCards")</f>
        <v>GeneCards</v>
      </c>
      <c r="D14286" s="1" t="str">
        <f>HYPERLINK("http://genome-euro.ucsc.edu/cgi-bin/hgTracks?position=207007_at","UCSC")</f>
        <v>UCSC</v>
      </c>
      <c r="E14286" s="1" t="str">
        <f>HYPERLINK("http://www.ncbi.nlm.nih.gov/gene/?term=NR1I3","NCBI")</f>
        <v>NCBI</v>
      </c>
      <c r="F14286">
        <v>0.56000000000000005</v>
      </c>
      <c r="G14286">
        <v>0.65</v>
      </c>
      <c r="H14286" s="1" t="str">
        <f>HYPERLINK("http://www.weizmann.ac.il/complex/compphys/software/geview/data/figures/207007_at.png","Figure")</f>
        <v>Figure</v>
      </c>
      <c r="I14286">
        <v>1</v>
      </c>
      <c r="J14286">
        <v>1</v>
      </c>
      <c r="K14286">
        <v>0.99199999999999999</v>
      </c>
      <c r="L14286">
        <v>0.62</v>
      </c>
      <c r="M14286">
        <v>0.99199999999999999</v>
      </c>
      <c r="N14286">
        <v>0.66</v>
      </c>
    </row>
    <row r="14287" spans="1:14" x14ac:dyDescent="0.25">
      <c r="A14287" t="s">
        <v>24276</v>
      </c>
      <c r="B14287" t="s">
        <v>24277</v>
      </c>
      <c r="C14287" s="1" t="str">
        <f>HYPERLINK("http://www.genecards.org/cgi-bin/carddisp.pl?gene=GIF","GeneCards")</f>
        <v>GeneCards</v>
      </c>
      <c r="D14287" s="1" t="str">
        <f>HYPERLINK("http://genome-euro.ucsc.edu/cgi-bin/hgTracks?position=207033_at","UCSC")</f>
        <v>UCSC</v>
      </c>
      <c r="E14287" s="1" t="str">
        <f>HYPERLINK("http://www.ncbi.nlm.nih.gov/gene/?term=GIF","NCBI")</f>
        <v>NCBI</v>
      </c>
      <c r="F14287">
        <v>0.56000000000000005</v>
      </c>
      <c r="G14287">
        <v>0.65</v>
      </c>
      <c r="H14287" s="1" t="str">
        <f>HYPERLINK("http://www.weizmann.ac.il/complex/compphys/software/geview/data/figures/207033_at.png","Figure")</f>
        <v>Figure</v>
      </c>
      <c r="I14287">
        <v>1</v>
      </c>
      <c r="J14287">
        <v>1</v>
      </c>
      <c r="K14287">
        <v>0.99</v>
      </c>
      <c r="L14287">
        <v>0.62</v>
      </c>
      <c r="M14287">
        <v>0.99</v>
      </c>
      <c r="N14287">
        <v>0.66</v>
      </c>
    </row>
    <row r="14288" spans="1:14" x14ac:dyDescent="0.25">
      <c r="A14288" t="s">
        <v>24278</v>
      </c>
      <c r="B14288" t="s">
        <v>24279</v>
      </c>
      <c r="C14288" s="1" t="str">
        <f>HYPERLINK("http://www.genecards.org/cgi-bin/carddisp.pl?gene=NCRNA00185","GeneCards")</f>
        <v>GeneCards</v>
      </c>
      <c r="D14288" s="1" t="str">
        <f>HYPERLINK("http://genome-euro.ucsc.edu/cgi-bin/hgTracks?position=207063_at","UCSC")</f>
        <v>UCSC</v>
      </c>
      <c r="E14288" s="1" t="str">
        <f>HYPERLINK("http://www.ncbi.nlm.nih.gov/gene/?term=NCRNA00185","NCBI")</f>
        <v>NCBI</v>
      </c>
      <c r="F14288">
        <v>0.56000000000000005</v>
      </c>
      <c r="G14288">
        <v>0.65</v>
      </c>
      <c r="H14288" s="1" t="str">
        <f>HYPERLINK("http://www.weizmann.ac.il/complex/compphys/software/geview/data/figures/207063_at.png","Figure")</f>
        <v>Figure</v>
      </c>
      <c r="I14288">
        <v>1</v>
      </c>
      <c r="J14288">
        <v>1</v>
      </c>
      <c r="K14288">
        <v>0.98699999999999999</v>
      </c>
      <c r="L14288">
        <v>0.62</v>
      </c>
      <c r="M14288">
        <v>0.98699999999999999</v>
      </c>
      <c r="N14288">
        <v>0.66</v>
      </c>
    </row>
    <row r="14289" spans="1:14" x14ac:dyDescent="0.25">
      <c r="A14289" t="s">
        <v>24280</v>
      </c>
      <c r="B14289" t="s">
        <v>24281</v>
      </c>
      <c r="C14289" s="1" t="str">
        <f>HYPERLINK("http://www.genecards.org/cgi-bin/carddisp.pl?gene=ZFP37","GeneCards")</f>
        <v>GeneCards</v>
      </c>
      <c r="D14289" s="1" t="str">
        <f>HYPERLINK("http://genome-euro.ucsc.edu/cgi-bin/hgTracks?position=207068_at","UCSC")</f>
        <v>UCSC</v>
      </c>
      <c r="E14289" s="1" t="str">
        <f>HYPERLINK("http://www.ncbi.nlm.nih.gov/gene/?term=ZFP37","NCBI")</f>
        <v>NCBI</v>
      </c>
      <c r="F14289">
        <v>0.56000000000000005</v>
      </c>
      <c r="G14289">
        <v>0.65</v>
      </c>
      <c r="H14289" s="1" t="str">
        <f>HYPERLINK("http://www.weizmann.ac.il/complex/compphys/software/geview/data/figures/207068_at.png","Figure")</f>
        <v>Figure</v>
      </c>
      <c r="I14289">
        <v>1</v>
      </c>
      <c r="J14289">
        <v>1</v>
      </c>
      <c r="K14289">
        <v>0.93899999999999995</v>
      </c>
      <c r="L14289">
        <v>0.62</v>
      </c>
      <c r="M14289">
        <v>0.93899999999999995</v>
      </c>
      <c r="N14289">
        <v>0.66</v>
      </c>
    </row>
    <row r="14290" spans="1:14" x14ac:dyDescent="0.25">
      <c r="A14290" t="s">
        <v>24282</v>
      </c>
      <c r="B14290" t="s">
        <v>24283</v>
      </c>
      <c r="C14290" s="1" t="str">
        <f>HYPERLINK("http://www.genecards.org/cgi-bin/carddisp.pl?gene=CELA2B","GeneCards")</f>
        <v>GeneCards</v>
      </c>
      <c r="D14290" s="1" t="str">
        <f>HYPERLINK("http://genome-euro.ucsc.edu/cgi-bin/hgTracks?position=207077_at","UCSC")</f>
        <v>UCSC</v>
      </c>
      <c r="E14290" s="1" t="str">
        <f>HYPERLINK("http://www.ncbi.nlm.nih.gov/gene/?term=CELA2B","NCBI")</f>
        <v>NCBI</v>
      </c>
      <c r="F14290">
        <v>0.56000000000000005</v>
      </c>
      <c r="G14290">
        <v>0.65</v>
      </c>
      <c r="H14290" s="1" t="str">
        <f>HYPERLINK("http://www.weizmann.ac.il/complex/compphys/software/geview/data/figures/207077_at.png","Figure")</f>
        <v>Figure</v>
      </c>
      <c r="I14290">
        <v>1</v>
      </c>
      <c r="J14290">
        <v>1</v>
      </c>
      <c r="K14290">
        <v>0.99299999999999999</v>
      </c>
      <c r="L14290">
        <v>0.62</v>
      </c>
      <c r="M14290">
        <v>0.99299999999999999</v>
      </c>
      <c r="N14290">
        <v>0.66</v>
      </c>
    </row>
    <row r="14291" spans="1:14" x14ac:dyDescent="0.25">
      <c r="A14291" t="s">
        <v>24284</v>
      </c>
      <c r="B14291" t="s">
        <v>24285</v>
      </c>
      <c r="C14291" s="1" t="str">
        <f>HYPERLINK("http://www.genecards.org/cgi-bin/carddisp.pl?gene=POU3F2","GeneCards")</f>
        <v>GeneCards</v>
      </c>
      <c r="D14291" s="1" t="str">
        <f>HYPERLINK("http://genome-euro.ucsc.edu/cgi-bin/hgTracks?position=207084_at","UCSC")</f>
        <v>UCSC</v>
      </c>
      <c r="E14291" s="1" t="str">
        <f>HYPERLINK("http://www.ncbi.nlm.nih.gov/gene/?term=POU3F2","NCBI")</f>
        <v>NCBI</v>
      </c>
      <c r="F14291">
        <v>0.55000000000000004</v>
      </c>
      <c r="G14291">
        <v>0.65</v>
      </c>
      <c r="H14291" s="1" t="str">
        <f>HYPERLINK("http://www.weizmann.ac.il/complex/compphys/software/geview/data/figures/207084_at.png","Figure")</f>
        <v>Figure</v>
      </c>
      <c r="I14291">
        <v>1.01</v>
      </c>
      <c r="J14291">
        <v>0.54</v>
      </c>
      <c r="K14291">
        <v>1</v>
      </c>
      <c r="L14291">
        <v>0.96</v>
      </c>
      <c r="M14291">
        <v>0.98899999999999999</v>
      </c>
      <c r="N14291">
        <v>0.65</v>
      </c>
    </row>
    <row r="14292" spans="1:14" x14ac:dyDescent="0.25">
      <c r="A14292" t="s">
        <v>24286</v>
      </c>
      <c r="B14292" t="s">
        <v>21983</v>
      </c>
      <c r="C14292" s="1" t="str">
        <f>HYPERLINK("http://www.genecards.org/cgi-bin/carddisp.pl?gene=ZNF117","GeneCards")</f>
        <v>GeneCards</v>
      </c>
      <c r="D14292" s="1" t="str">
        <f>HYPERLINK("http://genome-euro.ucsc.edu/cgi-bin/hgTracks?position=207117_at","UCSC")</f>
        <v>UCSC</v>
      </c>
      <c r="E14292" s="1" t="str">
        <f>HYPERLINK("http://www.ncbi.nlm.nih.gov/gene/?term=ZNF117","NCBI")</f>
        <v>NCBI</v>
      </c>
      <c r="F14292">
        <v>0.56000000000000005</v>
      </c>
      <c r="G14292">
        <v>0.65</v>
      </c>
      <c r="H14292" s="1" t="str">
        <f>HYPERLINK("http://www.weizmann.ac.il/complex/compphys/software/geview/data/figures/207117_at.png","Figure")</f>
        <v>Figure</v>
      </c>
      <c r="I14292">
        <v>1</v>
      </c>
      <c r="J14292">
        <v>1</v>
      </c>
      <c r="K14292">
        <v>0.99399999999999999</v>
      </c>
      <c r="L14292">
        <v>0.62</v>
      </c>
      <c r="M14292">
        <v>0.99399999999999999</v>
      </c>
      <c r="N14292">
        <v>0.66</v>
      </c>
    </row>
    <row r="14293" spans="1:14" x14ac:dyDescent="0.25">
      <c r="A14293" t="s">
        <v>24287</v>
      </c>
      <c r="B14293" t="s">
        <v>24288</v>
      </c>
      <c r="C14293" s="1" t="str">
        <f>HYPERLINK("http://www.genecards.org/cgi-bin/carddisp.pl?gene=ZNF667","GeneCards")</f>
        <v>GeneCards</v>
      </c>
      <c r="D14293" s="1" t="str">
        <f>HYPERLINK("http://genome-euro.ucsc.edu/cgi-bin/hgTracks?position=207120_at","UCSC")</f>
        <v>UCSC</v>
      </c>
      <c r="E14293" s="1" t="str">
        <f>HYPERLINK("http://www.ncbi.nlm.nih.gov/gene/?term=ZNF667","NCBI")</f>
        <v>NCBI</v>
      </c>
      <c r="F14293">
        <v>0.56000000000000005</v>
      </c>
      <c r="G14293">
        <v>0.65</v>
      </c>
      <c r="H14293" s="1" t="str">
        <f>HYPERLINK("http://www.weizmann.ac.il/complex/compphys/software/geview/data/figures/207120_at.png","Figure")</f>
        <v>Figure</v>
      </c>
      <c r="I14293">
        <v>1</v>
      </c>
      <c r="J14293">
        <v>1</v>
      </c>
      <c r="K14293">
        <v>0.98599999999999999</v>
      </c>
      <c r="L14293">
        <v>0.62</v>
      </c>
      <c r="M14293">
        <v>0.98599999999999999</v>
      </c>
      <c r="N14293">
        <v>0.66</v>
      </c>
    </row>
    <row r="14294" spans="1:14" x14ac:dyDescent="0.25">
      <c r="A14294" t="s">
        <v>24289</v>
      </c>
      <c r="B14294" t="s">
        <v>24290</v>
      </c>
      <c r="C14294" s="1" t="str">
        <f>HYPERLINK("http://www.genecards.org/cgi-bin/carddisp.pl?gene=ZNF223","GeneCards")</f>
        <v>GeneCards</v>
      </c>
      <c r="D14294" s="1" t="str">
        <f>HYPERLINK("http://genome-euro.ucsc.edu/cgi-bin/hgTracks?position=207128_s_at","UCSC")</f>
        <v>UCSC</v>
      </c>
      <c r="E14294" s="1" t="str">
        <f>HYPERLINK("http://www.ncbi.nlm.nih.gov/gene/?term=ZNF223","NCBI")</f>
        <v>NCBI</v>
      </c>
      <c r="F14294">
        <v>0.56000000000000005</v>
      </c>
      <c r="G14294">
        <v>0.65</v>
      </c>
      <c r="H14294" s="1" t="str">
        <f>HYPERLINK("http://www.weizmann.ac.il/complex/compphys/software/geview/data/figures/207128_s_at.png","Figure")</f>
        <v>Figure</v>
      </c>
      <c r="I14294">
        <v>1</v>
      </c>
      <c r="J14294">
        <v>1</v>
      </c>
      <c r="K14294">
        <v>0.97</v>
      </c>
      <c r="L14294">
        <v>0.62</v>
      </c>
      <c r="M14294">
        <v>0.97</v>
      </c>
      <c r="N14294">
        <v>0.66</v>
      </c>
    </row>
    <row r="14295" spans="1:14" x14ac:dyDescent="0.25">
      <c r="A14295" t="s">
        <v>24291</v>
      </c>
      <c r="B14295" t="s">
        <v>11825</v>
      </c>
      <c r="C14295" s="1" t="str">
        <f>HYPERLINK("http://www.genecards.org/cgi-bin/carddisp.pl?gene=ZMYND8","GeneCards")</f>
        <v>GeneCards</v>
      </c>
      <c r="D14295" s="1" t="str">
        <f>HYPERLINK("http://genome-euro.ucsc.edu/cgi-bin/hgTracks?position=207130_at","UCSC")</f>
        <v>UCSC</v>
      </c>
      <c r="E14295" s="1" t="str">
        <f>HYPERLINK("http://www.ncbi.nlm.nih.gov/gene/?term=ZMYND8","NCBI")</f>
        <v>NCBI</v>
      </c>
      <c r="F14295">
        <v>0.56000000000000005</v>
      </c>
      <c r="G14295">
        <v>0.65</v>
      </c>
      <c r="H14295" s="1" t="str">
        <f>HYPERLINK("http://www.weizmann.ac.il/complex/compphys/software/geview/data/figures/207130_at.png","Figure")</f>
        <v>Figure</v>
      </c>
      <c r="I14295">
        <v>1</v>
      </c>
      <c r="J14295">
        <v>1</v>
      </c>
      <c r="K14295">
        <v>0.98799999999999999</v>
      </c>
      <c r="L14295">
        <v>0.62</v>
      </c>
      <c r="M14295">
        <v>0.98799999999999999</v>
      </c>
      <c r="N14295">
        <v>0.66</v>
      </c>
    </row>
    <row r="14296" spans="1:14" x14ac:dyDescent="0.25">
      <c r="A14296" t="s">
        <v>24292</v>
      </c>
      <c r="B14296" t="s">
        <v>24293</v>
      </c>
      <c r="C14296" s="1" t="str">
        <f>HYPERLINK("http://www.genecards.org/cgi-bin/carddisp.pl?gene=CD80","GeneCards")</f>
        <v>GeneCards</v>
      </c>
      <c r="D14296" s="1" t="str">
        <f>HYPERLINK("http://genome-euro.ucsc.edu/cgi-bin/hgTracks?position=207176_s_at","UCSC")</f>
        <v>UCSC</v>
      </c>
      <c r="E14296" s="1" t="str">
        <f>HYPERLINK("http://www.ncbi.nlm.nih.gov/gene/?term=CD80","NCBI")</f>
        <v>NCBI</v>
      </c>
      <c r="F14296">
        <v>0.55000000000000004</v>
      </c>
      <c r="G14296">
        <v>0.65</v>
      </c>
      <c r="H14296" s="1" t="str">
        <f>HYPERLINK("http://www.weizmann.ac.il/complex/compphys/software/geview/data/figures/207176_s_at.png","Figure")</f>
        <v>Figure</v>
      </c>
      <c r="I14296">
        <v>0.98499999999999999</v>
      </c>
      <c r="J14296">
        <v>0.98</v>
      </c>
      <c r="K14296">
        <v>0.93100000000000005</v>
      </c>
      <c r="L14296">
        <v>0.56000000000000005</v>
      </c>
      <c r="M14296">
        <v>0.94499999999999995</v>
      </c>
      <c r="N14296">
        <v>0.72</v>
      </c>
    </row>
    <row r="14297" spans="1:14" x14ac:dyDescent="0.25">
      <c r="A14297" t="s">
        <v>24294</v>
      </c>
      <c r="B14297" t="s">
        <v>18977</v>
      </c>
      <c r="C14297" s="1" t="str">
        <f>HYPERLINK("http://www.genecards.org/cgi-bin/carddisp.pl?gene=USP2","GeneCards")</f>
        <v>GeneCards</v>
      </c>
      <c r="D14297" s="1" t="str">
        <f>HYPERLINK("http://genome-euro.ucsc.edu/cgi-bin/hgTracks?position=207213_s_at","UCSC")</f>
        <v>UCSC</v>
      </c>
      <c r="E14297" s="1" t="str">
        <f>HYPERLINK("http://www.ncbi.nlm.nih.gov/gene/?term=USP2","NCBI")</f>
        <v>NCBI</v>
      </c>
      <c r="F14297">
        <v>0.56000000000000005</v>
      </c>
      <c r="G14297">
        <v>0.65</v>
      </c>
      <c r="H14297" s="1" t="str">
        <f>HYPERLINK("http://www.weizmann.ac.il/complex/compphys/software/geview/data/figures/207213_s_at.png","Figure")</f>
        <v>Figure</v>
      </c>
      <c r="I14297">
        <v>1</v>
      </c>
      <c r="J14297">
        <v>1</v>
      </c>
      <c r="K14297">
        <v>0.99399999999999999</v>
      </c>
      <c r="L14297">
        <v>0.62</v>
      </c>
      <c r="M14297">
        <v>0.99399999999999999</v>
      </c>
      <c r="N14297">
        <v>0.66</v>
      </c>
    </row>
    <row r="14298" spans="1:14" x14ac:dyDescent="0.25">
      <c r="A14298" t="s">
        <v>24295</v>
      </c>
      <c r="B14298" t="s">
        <v>24296</v>
      </c>
      <c r="C14298" s="1" t="str">
        <f>HYPERLINK("http://www.genecards.org/cgi-bin/carddisp.pl?gene=ZFY","GeneCards")</f>
        <v>GeneCards</v>
      </c>
      <c r="D14298" s="1" t="str">
        <f>HYPERLINK("http://genome-euro.ucsc.edu/cgi-bin/hgTracks?position=207246_at","UCSC")</f>
        <v>UCSC</v>
      </c>
      <c r="E14298" s="1" t="str">
        <f>HYPERLINK("http://www.ncbi.nlm.nih.gov/gene/?term=ZFY","NCBI")</f>
        <v>NCBI</v>
      </c>
      <c r="F14298">
        <v>0.56000000000000005</v>
      </c>
      <c r="G14298">
        <v>0.65</v>
      </c>
      <c r="H14298" s="1" t="str">
        <f>HYPERLINK("http://www.weizmann.ac.il/complex/compphys/software/geview/data/figures/207246_at.png","Figure")</f>
        <v>Figure</v>
      </c>
      <c r="I14298">
        <v>1</v>
      </c>
      <c r="J14298">
        <v>1</v>
      </c>
      <c r="K14298">
        <v>0.92100000000000004</v>
      </c>
      <c r="L14298">
        <v>0.62</v>
      </c>
      <c r="M14298">
        <v>0.92100000000000004</v>
      </c>
      <c r="N14298">
        <v>0.66</v>
      </c>
    </row>
    <row r="14299" spans="1:14" x14ac:dyDescent="0.25">
      <c r="A14299" t="s">
        <v>24297</v>
      </c>
      <c r="B14299" t="s">
        <v>938</v>
      </c>
      <c r="C14299" s="1" t="str">
        <f>HYPERLINK("http://www.genecards.org/cgi-bin/carddisp.pl?gene=FST","GeneCards")</f>
        <v>GeneCards</v>
      </c>
      <c r="D14299" s="1" t="str">
        <f>HYPERLINK("http://genome-euro.ucsc.edu/cgi-bin/hgTracks?position=207345_at","UCSC")</f>
        <v>UCSC</v>
      </c>
      <c r="E14299" s="1" t="str">
        <f>HYPERLINK("http://www.ncbi.nlm.nih.gov/gene/?term=FST","NCBI")</f>
        <v>NCBI</v>
      </c>
      <c r="F14299">
        <v>0.56000000000000005</v>
      </c>
      <c r="G14299">
        <v>0.65</v>
      </c>
      <c r="H14299" s="1" t="str">
        <f>HYPERLINK("http://www.weizmann.ac.il/complex/compphys/software/geview/data/figures/207345_at.png","Figure")</f>
        <v>Figure</v>
      </c>
      <c r="I14299">
        <v>0.99299999999999999</v>
      </c>
      <c r="J14299">
        <v>0.95</v>
      </c>
      <c r="K14299">
        <v>0.97799999999999998</v>
      </c>
      <c r="L14299">
        <v>0.55000000000000004</v>
      </c>
      <c r="M14299">
        <v>0.98499999999999999</v>
      </c>
      <c r="N14299">
        <v>0.78</v>
      </c>
    </row>
    <row r="14300" spans="1:14" x14ac:dyDescent="0.25">
      <c r="A14300" t="s">
        <v>24298</v>
      </c>
      <c r="B14300" t="s">
        <v>24299</v>
      </c>
      <c r="C14300" s="1" t="str">
        <f>HYPERLINK("http://www.genecards.org/cgi-bin/carddisp.pl?gene=TREH","GeneCards")</f>
        <v>GeneCards</v>
      </c>
      <c r="D14300" s="1" t="str">
        <f>HYPERLINK("http://genome-euro.ucsc.edu/cgi-bin/hgTracks?position=207378_at","UCSC")</f>
        <v>UCSC</v>
      </c>
      <c r="E14300" s="1" t="str">
        <f>HYPERLINK("http://www.ncbi.nlm.nih.gov/gene/?term=TREH","NCBI")</f>
        <v>NCBI</v>
      </c>
      <c r="F14300">
        <v>0.56000000000000005</v>
      </c>
      <c r="G14300">
        <v>0.65</v>
      </c>
      <c r="H14300" s="1" t="str">
        <f>HYPERLINK("http://www.weizmann.ac.il/complex/compphys/software/geview/data/figures/207378_at.png","Figure")</f>
        <v>Figure</v>
      </c>
      <c r="I14300">
        <v>1</v>
      </c>
      <c r="J14300">
        <v>1</v>
      </c>
      <c r="K14300">
        <v>0.995</v>
      </c>
      <c r="L14300">
        <v>0.62</v>
      </c>
      <c r="M14300">
        <v>0.995</v>
      </c>
      <c r="N14300">
        <v>0.66</v>
      </c>
    </row>
    <row r="14301" spans="1:14" x14ac:dyDescent="0.25">
      <c r="A14301" t="s">
        <v>24300</v>
      </c>
      <c r="B14301" t="s">
        <v>24301</v>
      </c>
      <c r="C14301" s="1" t="str">
        <f>HYPERLINK("http://www.genecards.org/cgi-bin/carddisp.pl?gene=IL10","GeneCards")</f>
        <v>GeneCards</v>
      </c>
      <c r="D14301" s="1" t="str">
        <f>HYPERLINK("http://genome-euro.ucsc.edu/cgi-bin/hgTracks?position=207433_at","UCSC")</f>
        <v>UCSC</v>
      </c>
      <c r="E14301" s="1" t="str">
        <f>HYPERLINK("http://www.ncbi.nlm.nih.gov/gene/?term=IL10","NCBI")</f>
        <v>NCBI</v>
      </c>
      <c r="F14301">
        <v>0.56000000000000005</v>
      </c>
      <c r="G14301">
        <v>0.65</v>
      </c>
      <c r="H14301" s="1" t="str">
        <f>HYPERLINK("http://www.weizmann.ac.il/complex/compphys/software/geview/data/figures/207433_at.png","Figure")</f>
        <v>Figure</v>
      </c>
      <c r="I14301">
        <v>1</v>
      </c>
      <c r="J14301">
        <v>1</v>
      </c>
      <c r="K14301">
        <v>0.94799999999999995</v>
      </c>
      <c r="L14301">
        <v>0.62</v>
      </c>
      <c r="M14301">
        <v>0.94799999999999995</v>
      </c>
      <c r="N14301">
        <v>0.66</v>
      </c>
    </row>
    <row r="14302" spans="1:14" x14ac:dyDescent="0.25">
      <c r="A14302" t="s">
        <v>24302</v>
      </c>
      <c r="B14302" t="s">
        <v>5559</v>
      </c>
      <c r="C14302" s="1" t="str">
        <f>HYPERLINK("http://www.genecards.org/cgi-bin/carddisp.pl?gene=DNAJB5","GeneCards")</f>
        <v>GeneCards</v>
      </c>
      <c r="D14302" s="1" t="str">
        <f>HYPERLINK("http://genome-euro.ucsc.edu/cgi-bin/hgTracks?position=207453_s_at","UCSC")</f>
        <v>UCSC</v>
      </c>
      <c r="E14302" s="1" t="str">
        <f>HYPERLINK("http://www.ncbi.nlm.nih.gov/gene/?term=DNAJB5","NCBI")</f>
        <v>NCBI</v>
      </c>
      <c r="F14302">
        <v>0.56000000000000005</v>
      </c>
      <c r="G14302">
        <v>0.65</v>
      </c>
      <c r="H14302" s="1" t="str">
        <f>HYPERLINK("http://www.weizmann.ac.il/complex/compphys/software/geview/data/figures/207453_s_at.png","Figure")</f>
        <v>Figure</v>
      </c>
      <c r="I14302">
        <v>1</v>
      </c>
      <c r="J14302">
        <v>1</v>
      </c>
      <c r="K14302">
        <v>0.98499999999999999</v>
      </c>
      <c r="L14302">
        <v>0.62</v>
      </c>
      <c r="M14302">
        <v>0.98499999999999999</v>
      </c>
      <c r="N14302">
        <v>0.66</v>
      </c>
    </row>
    <row r="14303" spans="1:14" x14ac:dyDescent="0.25">
      <c r="A14303" t="s">
        <v>24303</v>
      </c>
      <c r="B14303" t="s">
        <v>15754</v>
      </c>
      <c r="C14303" s="1" t="str">
        <f>HYPERLINK("http://www.genecards.org/cgi-bin/carddisp.pl?gene=CHD1L","GeneCards")</f>
        <v>GeneCards</v>
      </c>
      <c r="D14303" s="1" t="str">
        <f>HYPERLINK("http://genome-euro.ucsc.edu/cgi-bin/hgTracks?position=207645_s_at","UCSC")</f>
        <v>UCSC</v>
      </c>
      <c r="E14303" s="1" t="str">
        <f>HYPERLINK("http://www.ncbi.nlm.nih.gov/gene/?term=CHD1L","NCBI")</f>
        <v>NCBI</v>
      </c>
      <c r="F14303">
        <v>0.56000000000000005</v>
      </c>
      <c r="G14303">
        <v>0.65</v>
      </c>
      <c r="H14303" s="1" t="str">
        <f>HYPERLINK("http://www.weizmann.ac.il/complex/compphys/software/geview/data/figures/207645_s_at.png","Figure")</f>
        <v>Figure</v>
      </c>
      <c r="I14303">
        <v>1.0900000000000001</v>
      </c>
      <c r="J14303">
        <v>0.86</v>
      </c>
      <c r="K14303">
        <v>0.92600000000000005</v>
      </c>
      <c r="L14303">
        <v>0.84</v>
      </c>
      <c r="M14303">
        <v>0.85299999999999998</v>
      </c>
      <c r="N14303">
        <v>0.53</v>
      </c>
    </row>
    <row r="14304" spans="1:14" x14ac:dyDescent="0.25">
      <c r="A14304" t="s">
        <v>24304</v>
      </c>
      <c r="B14304" t="s">
        <v>24305</v>
      </c>
      <c r="C14304" s="1" t="str">
        <f>HYPERLINK("http://www.genecards.org/cgi-bin/carddisp.pl?gene=HIPK3","GeneCards")</f>
        <v>GeneCards</v>
      </c>
      <c r="D14304" s="1" t="str">
        <f>HYPERLINK("http://genome-euro.ucsc.edu/cgi-bin/hgTracks?position=207764_s_at","UCSC")</f>
        <v>UCSC</v>
      </c>
      <c r="E14304" s="1" t="str">
        <f>HYPERLINK("http://www.ncbi.nlm.nih.gov/gene/?term=HIPK3","NCBI")</f>
        <v>NCBI</v>
      </c>
      <c r="F14304">
        <v>0.56000000000000005</v>
      </c>
      <c r="G14304">
        <v>0.65</v>
      </c>
      <c r="H14304" s="1" t="str">
        <f>HYPERLINK("http://www.weizmann.ac.il/complex/compphys/software/geview/data/figures/207764_s_at.png","Figure")</f>
        <v>Figure</v>
      </c>
      <c r="I14304">
        <v>1</v>
      </c>
      <c r="J14304">
        <v>1</v>
      </c>
      <c r="K14304">
        <v>0.998</v>
      </c>
      <c r="L14304">
        <v>0.62</v>
      </c>
      <c r="M14304">
        <v>0.998</v>
      </c>
      <c r="N14304">
        <v>0.66</v>
      </c>
    </row>
    <row r="14305" spans="1:14" x14ac:dyDescent="0.25">
      <c r="A14305" t="s">
        <v>24306</v>
      </c>
      <c r="B14305" t="s">
        <v>24307</v>
      </c>
      <c r="C14305" s="1" t="str">
        <f>HYPERLINK("http://www.genecards.org/cgi-bin/carddisp.pl?gene=CYP2R1","GeneCards")</f>
        <v>GeneCards</v>
      </c>
      <c r="D14305" s="1" t="str">
        <f>HYPERLINK("http://genome-euro.ucsc.edu/cgi-bin/hgTracks?position=207786_at","UCSC")</f>
        <v>UCSC</v>
      </c>
      <c r="E14305" s="1" t="str">
        <f>HYPERLINK("http://www.ncbi.nlm.nih.gov/gene/?term=CYP2R1","NCBI")</f>
        <v>NCBI</v>
      </c>
      <c r="F14305">
        <v>0.56000000000000005</v>
      </c>
      <c r="G14305">
        <v>0.65</v>
      </c>
      <c r="H14305" s="1" t="str">
        <f>HYPERLINK("http://www.weizmann.ac.il/complex/compphys/software/geview/data/figures/207786_at.png","Figure")</f>
        <v>Figure</v>
      </c>
      <c r="I14305">
        <v>1</v>
      </c>
      <c r="J14305">
        <v>1</v>
      </c>
      <c r="K14305">
        <v>0.997</v>
      </c>
      <c r="L14305">
        <v>0.62</v>
      </c>
      <c r="M14305">
        <v>0.997</v>
      </c>
      <c r="N14305">
        <v>0.66</v>
      </c>
    </row>
    <row r="14306" spans="1:14" x14ac:dyDescent="0.25">
      <c r="A14306" t="s">
        <v>24308</v>
      </c>
      <c r="B14306" t="s">
        <v>10475</v>
      </c>
      <c r="C14306" s="1" t="str">
        <f>HYPERLINK("http://www.genecards.org/cgi-bin/carddisp.pl?gene=ATXN2L","GeneCards")</f>
        <v>GeneCards</v>
      </c>
      <c r="D14306" s="1" t="str">
        <f>HYPERLINK("http://genome-euro.ucsc.edu/cgi-bin/hgTracks?position=207798_s_at","UCSC")</f>
        <v>UCSC</v>
      </c>
      <c r="E14306" s="1" t="str">
        <f>HYPERLINK("http://www.ncbi.nlm.nih.gov/gene/?term=ATXN2L","NCBI")</f>
        <v>NCBI</v>
      </c>
      <c r="F14306">
        <v>0.56000000000000005</v>
      </c>
      <c r="G14306">
        <v>0.65</v>
      </c>
      <c r="H14306" s="1" t="str">
        <f>HYPERLINK("http://www.weizmann.ac.il/complex/compphys/software/geview/data/figures/207798_s_at.png","Figure")</f>
        <v>Figure</v>
      </c>
      <c r="I14306">
        <v>1</v>
      </c>
      <c r="J14306">
        <v>1</v>
      </c>
      <c r="K14306">
        <v>0.97899999999999998</v>
      </c>
      <c r="L14306">
        <v>0.62</v>
      </c>
      <c r="M14306">
        <v>0.97899999999999998</v>
      </c>
      <c r="N14306">
        <v>0.66</v>
      </c>
    </row>
    <row r="14307" spans="1:14" x14ac:dyDescent="0.25">
      <c r="A14307" t="s">
        <v>24309</v>
      </c>
      <c r="B14307" t="s">
        <v>24310</v>
      </c>
      <c r="C14307" s="1" t="str">
        <f>HYPERLINK("http://www.genecards.org/cgi-bin/carddisp.pl?gene=ADH1A","GeneCards")</f>
        <v>GeneCards</v>
      </c>
      <c r="D14307" s="1" t="str">
        <f>HYPERLINK("http://genome-euro.ucsc.edu/cgi-bin/hgTracks?position=207820_at","UCSC")</f>
        <v>UCSC</v>
      </c>
      <c r="E14307" s="1" t="str">
        <f>HYPERLINK("http://www.ncbi.nlm.nih.gov/gene/?term=ADH1A","NCBI")</f>
        <v>NCBI</v>
      </c>
      <c r="F14307">
        <v>0.56000000000000005</v>
      </c>
      <c r="G14307">
        <v>0.65</v>
      </c>
      <c r="H14307" s="1" t="str">
        <f>HYPERLINK("http://www.weizmann.ac.il/complex/compphys/software/geview/data/figures/207820_at.png","Figure")</f>
        <v>Figure</v>
      </c>
      <c r="I14307">
        <v>1</v>
      </c>
      <c r="J14307">
        <v>1</v>
      </c>
      <c r="K14307">
        <v>0.995</v>
      </c>
      <c r="L14307">
        <v>0.62</v>
      </c>
      <c r="M14307">
        <v>0.995</v>
      </c>
      <c r="N14307">
        <v>0.66</v>
      </c>
    </row>
    <row r="14308" spans="1:14" x14ac:dyDescent="0.25">
      <c r="A14308" t="s">
        <v>24311</v>
      </c>
      <c r="B14308" t="s">
        <v>19103</v>
      </c>
      <c r="C14308" s="1" t="str">
        <f>HYPERLINK("http://www.genecards.org/cgi-bin/carddisp.pl?gene=BNIP1","GeneCards")</f>
        <v>GeneCards</v>
      </c>
      <c r="D14308" s="1" t="str">
        <f>HYPERLINK("http://genome-euro.ucsc.edu/cgi-bin/hgTracks?position=207829_s_at","UCSC")</f>
        <v>UCSC</v>
      </c>
      <c r="E14308" s="1" t="str">
        <f>HYPERLINK("http://www.ncbi.nlm.nih.gov/gene/?term=BNIP1","NCBI")</f>
        <v>NCBI</v>
      </c>
      <c r="F14308">
        <v>0.55000000000000004</v>
      </c>
      <c r="G14308">
        <v>0.65</v>
      </c>
      <c r="H14308" s="1" t="str">
        <f>HYPERLINK("http://www.weizmann.ac.il/complex/compphys/software/geview/data/figures/207829_s_at.png","Figure")</f>
        <v>Figure</v>
      </c>
      <c r="I14308">
        <v>1.04</v>
      </c>
      <c r="J14308">
        <v>0.91</v>
      </c>
      <c r="K14308">
        <v>0.94799999999999995</v>
      </c>
      <c r="L14308">
        <v>0.78</v>
      </c>
      <c r="M14308">
        <v>0.91400000000000003</v>
      </c>
      <c r="N14308">
        <v>0.55000000000000004</v>
      </c>
    </row>
    <row r="14309" spans="1:14" x14ac:dyDescent="0.25">
      <c r="A14309" t="s">
        <v>24312</v>
      </c>
      <c r="B14309" t="s">
        <v>7116</v>
      </c>
      <c r="C14309" s="1" t="str">
        <f>HYPERLINK("http://www.genecards.org/cgi-bin/carddisp.pl?gene=HLCS","GeneCards")</f>
        <v>GeneCards</v>
      </c>
      <c r="D14309" s="1" t="str">
        <f>HYPERLINK("http://genome-euro.ucsc.edu/cgi-bin/hgTracks?position=207833_s_at","UCSC")</f>
        <v>UCSC</v>
      </c>
      <c r="E14309" s="1" t="str">
        <f>HYPERLINK("http://www.ncbi.nlm.nih.gov/gene/?term=HLCS","NCBI")</f>
        <v>NCBI</v>
      </c>
      <c r="F14309">
        <v>0.56000000000000005</v>
      </c>
      <c r="G14309">
        <v>0.65</v>
      </c>
      <c r="H14309" s="1" t="str">
        <f>HYPERLINK("http://www.weizmann.ac.il/complex/compphys/software/geview/data/figures/207833_s_at.png","Figure")</f>
        <v>Figure</v>
      </c>
      <c r="I14309">
        <v>1</v>
      </c>
      <c r="J14309">
        <v>1</v>
      </c>
      <c r="K14309">
        <v>0.995</v>
      </c>
      <c r="L14309">
        <v>0.62</v>
      </c>
      <c r="M14309">
        <v>0.995</v>
      </c>
      <c r="N14309">
        <v>0.66</v>
      </c>
    </row>
    <row r="14310" spans="1:14" x14ac:dyDescent="0.25">
      <c r="A14310" t="s">
        <v>24313</v>
      </c>
      <c r="B14310" t="s">
        <v>24314</v>
      </c>
      <c r="C14310" s="1" t="str">
        <f>HYPERLINK("http://www.genecards.org/cgi-bin/carddisp.pl?gene=CHRNB3","GeneCards")</f>
        <v>GeneCards</v>
      </c>
      <c r="D14310" s="1" t="str">
        <f>HYPERLINK("http://genome-euro.ucsc.edu/cgi-bin/hgTracks?position=207859_s_at","UCSC")</f>
        <v>UCSC</v>
      </c>
      <c r="E14310" s="1" t="str">
        <f>HYPERLINK("http://www.ncbi.nlm.nih.gov/gene/?term=CHRNB3","NCBI")</f>
        <v>NCBI</v>
      </c>
      <c r="F14310">
        <v>0.56000000000000005</v>
      </c>
      <c r="G14310">
        <v>0.65</v>
      </c>
      <c r="H14310" s="1" t="str">
        <f>HYPERLINK("http://www.weizmann.ac.il/complex/compphys/software/geview/data/figures/207859_s_at.png","Figure")</f>
        <v>Figure</v>
      </c>
      <c r="I14310">
        <v>1</v>
      </c>
      <c r="J14310">
        <v>1</v>
      </c>
      <c r="K14310">
        <v>0.999</v>
      </c>
      <c r="L14310">
        <v>0.62</v>
      </c>
      <c r="M14310">
        <v>0.999</v>
      </c>
      <c r="N14310">
        <v>0.66</v>
      </c>
    </row>
    <row r="14311" spans="1:14" x14ac:dyDescent="0.25">
      <c r="A14311" t="s">
        <v>24315</v>
      </c>
      <c r="B14311" t="s">
        <v>24316</v>
      </c>
      <c r="C14311" s="1" t="str">
        <f>HYPERLINK("http://www.genecards.org/cgi-bin/carddisp.pl?gene=CHRNA2","GeneCards")</f>
        <v>GeneCards</v>
      </c>
      <c r="D14311" s="1" t="str">
        <f>HYPERLINK("http://genome-euro.ucsc.edu/cgi-bin/hgTracks?position=207868_at","UCSC")</f>
        <v>UCSC</v>
      </c>
      <c r="E14311" s="1" t="str">
        <f>HYPERLINK("http://www.ncbi.nlm.nih.gov/gene/?term=CHRNA2","NCBI")</f>
        <v>NCBI</v>
      </c>
      <c r="F14311">
        <v>0.55000000000000004</v>
      </c>
      <c r="G14311">
        <v>0.65</v>
      </c>
      <c r="H14311" s="1" t="str">
        <f>HYPERLINK("http://www.weizmann.ac.il/complex/compphys/software/geview/data/figures/207868_at.png","Figure")</f>
        <v>Figure</v>
      </c>
      <c r="I14311">
        <v>1.04</v>
      </c>
      <c r="J14311">
        <v>0.88</v>
      </c>
      <c r="K14311">
        <v>0.95799999999999996</v>
      </c>
      <c r="L14311">
        <v>0.81</v>
      </c>
      <c r="M14311">
        <v>0.92100000000000004</v>
      </c>
      <c r="N14311">
        <v>0.53</v>
      </c>
    </row>
    <row r="14312" spans="1:14" x14ac:dyDescent="0.25">
      <c r="A14312" t="s">
        <v>24317</v>
      </c>
      <c r="B14312" t="s">
        <v>24318</v>
      </c>
      <c r="C14312" s="1" t="str">
        <f>HYPERLINK("http://www.genecards.org/cgi-bin/carddisp.pl?gene=SRY","GeneCards")</f>
        <v>GeneCards</v>
      </c>
      <c r="D14312" s="1" t="str">
        <f>HYPERLINK("http://genome-euro.ucsc.edu/cgi-bin/hgTracks?position=207893_at","UCSC")</f>
        <v>UCSC</v>
      </c>
      <c r="E14312" s="1" t="str">
        <f>HYPERLINK("http://www.ncbi.nlm.nih.gov/gene/?term=SRY","NCBI")</f>
        <v>NCBI</v>
      </c>
      <c r="F14312">
        <v>0.55000000000000004</v>
      </c>
      <c r="G14312">
        <v>0.65</v>
      </c>
      <c r="H14312" s="1" t="str">
        <f>HYPERLINK("http://www.weizmann.ac.il/complex/compphys/software/geview/data/figures/207893_at.png","Figure")</f>
        <v>Figure</v>
      </c>
      <c r="I14312">
        <v>1.01</v>
      </c>
      <c r="J14312">
        <v>0.98</v>
      </c>
      <c r="K14312">
        <v>0.98</v>
      </c>
      <c r="L14312">
        <v>0.68</v>
      </c>
      <c r="M14312">
        <v>0.97499999999999998</v>
      </c>
      <c r="N14312">
        <v>0.57999999999999996</v>
      </c>
    </row>
    <row r="14313" spans="1:14" x14ac:dyDescent="0.25">
      <c r="A14313" t="s">
        <v>24319</v>
      </c>
      <c r="B14313" t="s">
        <v>24320</v>
      </c>
      <c r="C14313" s="1" t="str">
        <f>HYPERLINK("http://www.genecards.org/cgi-bin/carddisp.pl?gene=CCL17","GeneCards")</f>
        <v>GeneCards</v>
      </c>
      <c r="D14313" s="1" t="str">
        <f>HYPERLINK("http://genome-euro.ucsc.edu/cgi-bin/hgTracks?position=207900_at","UCSC")</f>
        <v>UCSC</v>
      </c>
      <c r="E14313" s="1" t="str">
        <f>HYPERLINK("http://www.ncbi.nlm.nih.gov/gene/?term=CCL17","NCBI")</f>
        <v>NCBI</v>
      </c>
      <c r="F14313">
        <v>0.56000000000000005</v>
      </c>
      <c r="G14313">
        <v>0.65</v>
      </c>
      <c r="H14313" s="1" t="str">
        <f>HYPERLINK("http://www.weizmann.ac.il/complex/compphys/software/geview/data/figures/207900_at.png","Figure")</f>
        <v>Figure</v>
      </c>
      <c r="I14313">
        <v>1</v>
      </c>
      <c r="J14313">
        <v>1</v>
      </c>
      <c r="K14313">
        <v>0.755</v>
      </c>
      <c r="L14313">
        <v>0.62</v>
      </c>
      <c r="M14313">
        <v>0.755</v>
      </c>
      <c r="N14313">
        <v>0.66</v>
      </c>
    </row>
    <row r="14314" spans="1:14" x14ac:dyDescent="0.25">
      <c r="A14314" t="s">
        <v>24321</v>
      </c>
      <c r="B14314" t="s">
        <v>24322</v>
      </c>
      <c r="C14314" s="1" t="str">
        <f>HYPERLINK("http://www.genecards.org/cgi-bin/carddisp.pl?gene=LCN1","GeneCards")</f>
        <v>GeneCards</v>
      </c>
      <c r="D14314" s="1" t="str">
        <f>HYPERLINK("http://genome-euro.ucsc.edu/cgi-bin/hgTracks?position=207930_at","UCSC")</f>
        <v>UCSC</v>
      </c>
      <c r="E14314" s="1" t="str">
        <f>HYPERLINK("http://www.ncbi.nlm.nih.gov/gene/?term=LCN1","NCBI")</f>
        <v>NCBI</v>
      </c>
      <c r="F14314">
        <v>0.56000000000000005</v>
      </c>
      <c r="G14314">
        <v>0.65</v>
      </c>
      <c r="H14314" s="1" t="str">
        <f>HYPERLINK("http://www.weizmann.ac.il/complex/compphys/software/geview/data/figures/207930_at.png","Figure")</f>
        <v>Figure</v>
      </c>
      <c r="I14314">
        <v>1.04</v>
      </c>
      <c r="J14314">
        <v>0.63</v>
      </c>
      <c r="K14314">
        <v>1.03</v>
      </c>
      <c r="L14314">
        <v>0.6</v>
      </c>
      <c r="M14314">
        <v>0.998</v>
      </c>
      <c r="N14314">
        <v>1</v>
      </c>
    </row>
    <row r="14315" spans="1:14" x14ac:dyDescent="0.25">
      <c r="A14315" t="s">
        <v>24323</v>
      </c>
      <c r="B14315" t="s">
        <v>24324</v>
      </c>
      <c r="C14315" s="1" t="str">
        <f>HYPERLINK("http://www.genecards.org/cgi-bin/carddisp.pl?gene=RFPL3","GeneCards")</f>
        <v>GeneCards</v>
      </c>
      <c r="D14315" s="1" t="str">
        <f>HYPERLINK("http://genome-euro.ucsc.edu/cgi-bin/hgTracks?position=207936_x_at","UCSC")</f>
        <v>UCSC</v>
      </c>
      <c r="E14315" s="1" t="str">
        <f>HYPERLINK("http://www.ncbi.nlm.nih.gov/gene/?term=RFPL3","NCBI")</f>
        <v>NCBI</v>
      </c>
      <c r="F14315">
        <v>0.55000000000000004</v>
      </c>
      <c r="G14315">
        <v>0.65</v>
      </c>
      <c r="H14315" s="1" t="str">
        <f>HYPERLINK("http://www.weizmann.ac.il/complex/compphys/software/geview/data/figures/207936_x_at.png","Figure")</f>
        <v>Figure</v>
      </c>
      <c r="I14315">
        <v>1.04</v>
      </c>
      <c r="J14315">
        <v>0.93</v>
      </c>
      <c r="K14315">
        <v>0.93899999999999995</v>
      </c>
      <c r="L14315">
        <v>0.75</v>
      </c>
      <c r="M14315">
        <v>0.90500000000000003</v>
      </c>
      <c r="N14315">
        <v>0.55000000000000004</v>
      </c>
    </row>
    <row r="14316" spans="1:14" x14ac:dyDescent="0.25">
      <c r="A14316" t="s">
        <v>24325</v>
      </c>
      <c r="B14316" t="s">
        <v>24326</v>
      </c>
      <c r="C14316" s="1" t="str">
        <f>HYPERLINK("http://www.genecards.org/cgi-bin/carddisp.pl?gene=IFNA4","GeneCards")</f>
        <v>GeneCards</v>
      </c>
      <c r="D14316" s="1" t="str">
        <f>HYPERLINK("http://genome-euro.ucsc.edu/cgi-bin/hgTracks?position=207964_x_at","UCSC")</f>
        <v>UCSC</v>
      </c>
      <c r="E14316" s="1" t="str">
        <f>HYPERLINK("http://www.ncbi.nlm.nih.gov/gene/?term=IFNA4","NCBI")</f>
        <v>NCBI</v>
      </c>
      <c r="F14316">
        <v>0.56000000000000005</v>
      </c>
      <c r="G14316">
        <v>0.65</v>
      </c>
      <c r="H14316" s="1" t="str">
        <f>HYPERLINK("http://www.weizmann.ac.il/complex/compphys/software/geview/data/figures/207964_x_at.png","Figure")</f>
        <v>Figure</v>
      </c>
      <c r="I14316">
        <v>1</v>
      </c>
      <c r="J14316">
        <v>1</v>
      </c>
      <c r="K14316">
        <v>0.99199999999999999</v>
      </c>
      <c r="L14316">
        <v>0.62</v>
      </c>
      <c r="M14316">
        <v>0.99199999999999999</v>
      </c>
      <c r="N14316">
        <v>0.66</v>
      </c>
    </row>
    <row r="14317" spans="1:14" x14ac:dyDescent="0.25">
      <c r="A14317" t="s">
        <v>24327</v>
      </c>
      <c r="B14317" t="s">
        <v>6136</v>
      </c>
      <c r="C14317" s="1" t="str">
        <f>HYPERLINK("http://www.genecards.org/cgi-bin/carddisp.pl?gene=CYB561","GeneCards")</f>
        <v>GeneCards</v>
      </c>
      <c r="D14317" s="1" t="str">
        <f>HYPERLINK("http://genome-euro.ucsc.edu/cgi-bin/hgTracks?position=207986_x_at","UCSC")</f>
        <v>UCSC</v>
      </c>
      <c r="E14317" s="1" t="str">
        <f>HYPERLINK("http://www.ncbi.nlm.nih.gov/gene/?term=CYB561","NCBI")</f>
        <v>NCBI</v>
      </c>
      <c r="F14317">
        <v>0.56000000000000005</v>
      </c>
      <c r="G14317">
        <v>0.65</v>
      </c>
      <c r="H14317" s="1" t="str">
        <f>HYPERLINK("http://www.weizmann.ac.il/complex/compphys/software/geview/data/figures/207986_x_at.png","Figure")</f>
        <v>Figure</v>
      </c>
      <c r="I14317">
        <v>1</v>
      </c>
      <c r="J14317">
        <v>1</v>
      </c>
      <c r="K14317">
        <v>0.998</v>
      </c>
      <c r="L14317">
        <v>0.62</v>
      </c>
      <c r="M14317">
        <v>0.998</v>
      </c>
      <c r="N14317">
        <v>0.66</v>
      </c>
    </row>
    <row r="14318" spans="1:14" x14ac:dyDescent="0.25">
      <c r="A14318" t="s">
        <v>24328</v>
      </c>
      <c r="B14318" t="s">
        <v>24329</v>
      </c>
      <c r="C14318" s="1" t="str">
        <f>HYPERLINK("http://www.genecards.org/cgi-bin/carddisp.pl?gene=CACNA1D","GeneCards")</f>
        <v>GeneCards</v>
      </c>
      <c r="D14318" s="1" t="str">
        <f>HYPERLINK("http://genome-euro.ucsc.edu/cgi-bin/hgTracks?position=207998_s_at","UCSC")</f>
        <v>UCSC</v>
      </c>
      <c r="E14318" s="1" t="str">
        <f>HYPERLINK("http://www.ncbi.nlm.nih.gov/gene/?term=CACNA1D","NCBI")</f>
        <v>NCBI</v>
      </c>
      <c r="F14318">
        <v>0.55000000000000004</v>
      </c>
      <c r="G14318">
        <v>0.65</v>
      </c>
      <c r="H14318" s="1" t="str">
        <f>HYPERLINK("http://www.weizmann.ac.il/complex/compphys/software/geview/data/figures/207998_s_at.png","Figure")</f>
        <v>Figure</v>
      </c>
      <c r="I14318">
        <v>1.07</v>
      </c>
      <c r="J14318">
        <v>0.57999999999999996</v>
      </c>
      <c r="K14318">
        <v>1.06</v>
      </c>
      <c r="L14318">
        <v>0.64</v>
      </c>
      <c r="M14318">
        <v>0.98599999999999999</v>
      </c>
      <c r="N14318">
        <v>0.97</v>
      </c>
    </row>
    <row r="14319" spans="1:14" x14ac:dyDescent="0.25">
      <c r="A14319" t="s">
        <v>24330</v>
      </c>
      <c r="B14319" t="s">
        <v>24331</v>
      </c>
      <c r="C14319" s="1" t="str">
        <f>HYPERLINK("http://www.genecards.org/cgi-bin/carddisp.pl?gene=DGCR6 /// DGCR6L","GeneCards")</f>
        <v>GeneCards</v>
      </c>
      <c r="D14319" s="1" t="str">
        <f>HYPERLINK("http://genome-euro.ucsc.edu/cgi-bin/hgTracks?position=208024_s_at","UCSC")</f>
        <v>UCSC</v>
      </c>
      <c r="E14319" s="1" t="str">
        <f>HYPERLINK("http://www.ncbi.nlm.nih.gov/gene/?term=DGCR6 /// DGCR6L","NCBI")</f>
        <v>NCBI</v>
      </c>
      <c r="F14319">
        <v>0.54</v>
      </c>
      <c r="G14319">
        <v>0.65</v>
      </c>
      <c r="H14319" s="1" t="str">
        <f>HYPERLINK("http://www.weizmann.ac.il/complex/compphys/software/geview/data/figures/208024_s_at.png","Figure")</f>
        <v>Figure</v>
      </c>
      <c r="I14319">
        <v>0.88900000000000001</v>
      </c>
      <c r="J14319">
        <v>0.67</v>
      </c>
      <c r="K14319">
        <v>1.02</v>
      </c>
      <c r="L14319">
        <v>0.98</v>
      </c>
      <c r="M14319">
        <v>1.1499999999999999</v>
      </c>
      <c r="N14319">
        <v>0.53</v>
      </c>
    </row>
    <row r="14320" spans="1:14" x14ac:dyDescent="0.25">
      <c r="A14320" t="s">
        <v>24332</v>
      </c>
      <c r="B14320" t="s">
        <v>24333</v>
      </c>
      <c r="C14320" s="1" t="str">
        <f>HYPERLINK("http://www.genecards.org/cgi-bin/carddisp.pl?gene=CYP2C8","GeneCards")</f>
        <v>GeneCards</v>
      </c>
      <c r="D14320" s="1" t="str">
        <f>HYPERLINK("http://genome-euro.ucsc.edu/cgi-bin/hgTracks?position=208147_s_at","UCSC")</f>
        <v>UCSC</v>
      </c>
      <c r="E14320" s="1" t="str">
        <f>HYPERLINK("http://www.ncbi.nlm.nih.gov/gene/?term=CYP2C8","NCBI")</f>
        <v>NCBI</v>
      </c>
      <c r="F14320">
        <v>0.56000000000000005</v>
      </c>
      <c r="G14320">
        <v>0.65</v>
      </c>
      <c r="H14320" s="1" t="str">
        <f>HYPERLINK("http://www.weizmann.ac.il/complex/compphys/software/geview/data/figures/208147_s_at.png","Figure")</f>
        <v>Figure</v>
      </c>
      <c r="I14320">
        <v>1</v>
      </c>
      <c r="J14320">
        <v>1</v>
      </c>
      <c r="K14320">
        <v>0.99199999999999999</v>
      </c>
      <c r="L14320">
        <v>0.62</v>
      </c>
      <c r="M14320">
        <v>0.99199999999999999</v>
      </c>
      <c r="N14320">
        <v>0.66</v>
      </c>
    </row>
    <row r="14321" spans="1:14" x14ac:dyDescent="0.25">
      <c r="A14321" t="s">
        <v>24334</v>
      </c>
      <c r="B14321" t="s">
        <v>24335</v>
      </c>
      <c r="C14321" s="1" t="str">
        <f>HYPERLINK("http://www.genecards.org/cgi-bin/carddisp.pl?gene=HIST1H4H","GeneCards")</f>
        <v>GeneCards</v>
      </c>
      <c r="D14321" s="1" t="str">
        <f>HYPERLINK("http://genome-euro.ucsc.edu/cgi-bin/hgTracks?position=208180_s_at","UCSC")</f>
        <v>UCSC</v>
      </c>
      <c r="E14321" s="1" t="str">
        <f>HYPERLINK("http://www.ncbi.nlm.nih.gov/gene/?term=HIST1H4H","NCBI")</f>
        <v>NCBI</v>
      </c>
      <c r="F14321">
        <v>0.55000000000000004</v>
      </c>
      <c r="G14321">
        <v>0.65</v>
      </c>
      <c r="H14321" s="1" t="str">
        <f>HYPERLINK("http://www.weizmann.ac.il/complex/compphys/software/geview/data/figures/208180_s_at.png","Figure")</f>
        <v>Figure</v>
      </c>
      <c r="I14321">
        <v>0.92300000000000004</v>
      </c>
      <c r="J14321">
        <v>0.55000000000000004</v>
      </c>
      <c r="K14321">
        <v>0.94699999999999995</v>
      </c>
      <c r="L14321">
        <v>0.69</v>
      </c>
      <c r="M14321">
        <v>1.03</v>
      </c>
      <c r="N14321">
        <v>0.93</v>
      </c>
    </row>
    <row r="14322" spans="1:14" x14ac:dyDescent="0.25">
      <c r="A14322" t="s">
        <v>24336</v>
      </c>
      <c r="B14322" t="s">
        <v>24337</v>
      </c>
      <c r="C14322" s="1" t="str">
        <f>HYPERLINK("http://www.genecards.org/cgi-bin/carddisp.pl?gene=C3orf51","GeneCards")</f>
        <v>GeneCards</v>
      </c>
      <c r="D14322" s="1" t="str">
        <f>HYPERLINK("http://genome-euro.ucsc.edu/cgi-bin/hgTracks?position=208247_at","UCSC")</f>
        <v>UCSC</v>
      </c>
      <c r="E14322" s="1" t="str">
        <f>HYPERLINK("http://www.ncbi.nlm.nih.gov/gene/?term=C3orf51","NCBI")</f>
        <v>NCBI</v>
      </c>
      <c r="F14322">
        <v>0.56000000000000005</v>
      </c>
      <c r="G14322">
        <v>0.65</v>
      </c>
      <c r="H14322" s="1" t="str">
        <f>HYPERLINK("http://www.weizmann.ac.il/complex/compphys/software/geview/data/figures/208247_at.png","Figure")</f>
        <v>Figure</v>
      </c>
      <c r="I14322">
        <v>1</v>
      </c>
      <c r="J14322">
        <v>1</v>
      </c>
      <c r="K14322">
        <v>0.98499999999999999</v>
      </c>
      <c r="L14322">
        <v>0.62</v>
      </c>
      <c r="M14322">
        <v>0.98499999999999999</v>
      </c>
      <c r="N14322">
        <v>0.66</v>
      </c>
    </row>
    <row r="14323" spans="1:14" x14ac:dyDescent="0.25">
      <c r="A14323" t="s">
        <v>24338</v>
      </c>
      <c r="B14323" t="s">
        <v>24339</v>
      </c>
      <c r="C14323" s="1" t="str">
        <f>HYPERLINK("http://www.genecards.org/cgi-bin/carddisp.pl?gene=NDST4","GeneCards")</f>
        <v>GeneCards</v>
      </c>
      <c r="D14323" s="1" t="str">
        <f>HYPERLINK("http://genome-euro.ucsc.edu/cgi-bin/hgTracks?position=208334_at","UCSC")</f>
        <v>UCSC</v>
      </c>
      <c r="E14323" s="1" t="str">
        <f>HYPERLINK("http://www.ncbi.nlm.nih.gov/gene/?term=NDST4","NCBI")</f>
        <v>NCBI</v>
      </c>
      <c r="F14323">
        <v>0.56000000000000005</v>
      </c>
      <c r="G14323">
        <v>0.65</v>
      </c>
      <c r="H14323" s="1" t="str">
        <f>HYPERLINK("http://www.weizmann.ac.il/complex/compphys/software/geview/data/figures/208334_at.png","Figure")</f>
        <v>Figure</v>
      </c>
      <c r="I14323">
        <v>1</v>
      </c>
      <c r="J14323">
        <v>1</v>
      </c>
      <c r="K14323">
        <v>0.99199999999999999</v>
      </c>
      <c r="L14323">
        <v>0.62</v>
      </c>
      <c r="M14323">
        <v>0.99199999999999999</v>
      </c>
      <c r="N14323">
        <v>0.66</v>
      </c>
    </row>
    <row r="14324" spans="1:14" x14ac:dyDescent="0.25">
      <c r="A14324" t="s">
        <v>24340</v>
      </c>
      <c r="B14324" t="s">
        <v>24341</v>
      </c>
      <c r="C14324" s="1" t="str">
        <f>HYPERLINK("http://www.genecards.org/cgi-bin/carddisp.pl?gene=P2RY6","GeneCards")</f>
        <v>GeneCards</v>
      </c>
      <c r="D14324" s="1" t="str">
        <f>HYPERLINK("http://genome-euro.ucsc.edu/cgi-bin/hgTracks?position=208373_s_at","UCSC")</f>
        <v>UCSC</v>
      </c>
      <c r="E14324" s="1" t="str">
        <f>HYPERLINK("http://www.ncbi.nlm.nih.gov/gene/?term=P2RY6","NCBI")</f>
        <v>NCBI</v>
      </c>
      <c r="F14324">
        <v>0.56000000000000005</v>
      </c>
      <c r="G14324">
        <v>0.65</v>
      </c>
      <c r="H14324" s="1" t="str">
        <f>HYPERLINK("http://www.weizmann.ac.il/complex/compphys/software/geview/data/figures/208373_s_at.png","Figure")</f>
        <v>Figure</v>
      </c>
      <c r="I14324">
        <v>1</v>
      </c>
      <c r="J14324">
        <v>1</v>
      </c>
      <c r="K14324">
        <v>0.99</v>
      </c>
      <c r="L14324">
        <v>0.62</v>
      </c>
      <c r="M14324">
        <v>0.99</v>
      </c>
      <c r="N14324">
        <v>0.66</v>
      </c>
    </row>
    <row r="14325" spans="1:14" x14ac:dyDescent="0.25">
      <c r="A14325" t="s">
        <v>24342</v>
      </c>
      <c r="B14325" t="s">
        <v>11488</v>
      </c>
      <c r="C14325" s="1" t="str">
        <f>HYPERLINK("http://www.genecards.org/cgi-bin/carddisp.pl?gene=URB1","GeneCards")</f>
        <v>GeneCards</v>
      </c>
      <c r="D14325" s="1" t="str">
        <f>HYPERLINK("http://genome-euro.ucsc.edu/cgi-bin/hgTracks?position=208395_s_at","UCSC")</f>
        <v>UCSC</v>
      </c>
      <c r="E14325" s="1" t="str">
        <f>HYPERLINK("http://www.ncbi.nlm.nih.gov/gene/?term=URB1","NCBI")</f>
        <v>NCBI</v>
      </c>
      <c r="F14325">
        <v>0.55000000000000004</v>
      </c>
      <c r="G14325">
        <v>0.65</v>
      </c>
      <c r="H14325" s="1" t="str">
        <f>HYPERLINK("http://www.weizmann.ac.il/complex/compphys/software/geview/data/figures/208395_s_at.png","Figure")</f>
        <v>Figure</v>
      </c>
      <c r="I14325">
        <v>0.97699999999999998</v>
      </c>
      <c r="J14325">
        <v>0.65</v>
      </c>
      <c r="K14325">
        <v>0.97699999999999998</v>
      </c>
      <c r="L14325">
        <v>0.57999999999999996</v>
      </c>
      <c r="M14325">
        <v>1</v>
      </c>
      <c r="N14325">
        <v>1</v>
      </c>
    </row>
    <row r="14326" spans="1:14" x14ac:dyDescent="0.25">
      <c r="A14326" t="s">
        <v>24343</v>
      </c>
      <c r="B14326" t="s">
        <v>4569</v>
      </c>
      <c r="C14326" s="1" t="str">
        <f>HYPERLINK("http://www.genecards.org/cgi-bin/carddisp.pl?gene=RRAS2","GeneCards")</f>
        <v>GeneCards</v>
      </c>
      <c r="D14326" s="1" t="str">
        <f>HYPERLINK("http://genome-euro.ucsc.edu/cgi-bin/hgTracks?position=208456_s_at","UCSC")</f>
        <v>UCSC</v>
      </c>
      <c r="E14326" s="1" t="str">
        <f>HYPERLINK("http://www.ncbi.nlm.nih.gov/gene/?term=RRAS2","NCBI")</f>
        <v>NCBI</v>
      </c>
      <c r="F14326">
        <v>0.55000000000000004</v>
      </c>
      <c r="G14326">
        <v>0.65</v>
      </c>
      <c r="H14326" s="1" t="str">
        <f>HYPERLINK("http://www.weizmann.ac.il/complex/compphys/software/geview/data/figures/208456_s_at.png","Figure")</f>
        <v>Figure</v>
      </c>
      <c r="I14326">
        <v>1</v>
      </c>
      <c r="J14326">
        <v>1</v>
      </c>
      <c r="K14326">
        <v>0.91100000000000003</v>
      </c>
      <c r="L14326">
        <v>0.61</v>
      </c>
      <c r="M14326">
        <v>0.91100000000000003</v>
      </c>
      <c r="N14326">
        <v>0.65</v>
      </c>
    </row>
    <row r="14327" spans="1:14" x14ac:dyDescent="0.25">
      <c r="A14327" t="s">
        <v>24344</v>
      </c>
      <c r="B14327" t="s">
        <v>21083</v>
      </c>
      <c r="C14327" s="1" t="str">
        <f>HYPERLINK("http://www.genecards.org/cgi-bin/carddisp.pl?gene=ABCC9","GeneCards")</f>
        <v>GeneCards</v>
      </c>
      <c r="D14327" s="1" t="str">
        <f>HYPERLINK("http://genome-euro.ucsc.edu/cgi-bin/hgTracks?position=208462_s_at","UCSC")</f>
        <v>UCSC</v>
      </c>
      <c r="E14327" s="1" t="str">
        <f>HYPERLINK("http://www.ncbi.nlm.nih.gov/gene/?term=ABCC9","NCBI")</f>
        <v>NCBI</v>
      </c>
      <c r="F14327">
        <v>0.54</v>
      </c>
      <c r="G14327">
        <v>0.65</v>
      </c>
      <c r="H14327" s="1" t="str">
        <f>HYPERLINK("http://www.weizmann.ac.il/complex/compphys/software/geview/data/figures/208462_s_at.png","Figure")</f>
        <v>Figure</v>
      </c>
      <c r="I14327">
        <v>1.04</v>
      </c>
      <c r="J14327">
        <v>0.89</v>
      </c>
      <c r="K14327">
        <v>0.95699999999999996</v>
      </c>
      <c r="L14327">
        <v>0.79</v>
      </c>
      <c r="M14327">
        <v>0.92500000000000004</v>
      </c>
      <c r="N14327">
        <v>0.53</v>
      </c>
    </row>
    <row r="14328" spans="1:14" x14ac:dyDescent="0.25">
      <c r="A14328" t="s">
        <v>24345</v>
      </c>
      <c r="B14328" t="s">
        <v>24346</v>
      </c>
      <c r="C14328" s="1" t="str">
        <f>HYPERLINK("http://www.genecards.org/cgi-bin/carddisp.pl?gene=HIST1H2AJ","GeneCards")</f>
        <v>GeneCards</v>
      </c>
      <c r="D14328" s="1" t="str">
        <f>HYPERLINK("http://genome-euro.ucsc.edu/cgi-bin/hgTracks?position=208583_x_at","UCSC")</f>
        <v>UCSC</v>
      </c>
      <c r="E14328" s="1" t="str">
        <f>HYPERLINK("http://www.ncbi.nlm.nih.gov/gene/?term=HIST1H2AJ","NCBI")</f>
        <v>NCBI</v>
      </c>
      <c r="F14328">
        <v>0.55000000000000004</v>
      </c>
      <c r="G14328">
        <v>0.65</v>
      </c>
      <c r="H14328" s="1" t="str">
        <f>HYPERLINK("http://www.weizmann.ac.il/complex/compphys/software/geview/data/figures/208583_x_at.png","Figure")</f>
        <v>Figure</v>
      </c>
      <c r="I14328">
        <v>1.39</v>
      </c>
      <c r="J14328">
        <v>0.52</v>
      </c>
      <c r="K14328">
        <v>1.19</v>
      </c>
      <c r="L14328">
        <v>0.78</v>
      </c>
      <c r="M14328">
        <v>0.85899999999999999</v>
      </c>
      <c r="N14328">
        <v>0.85</v>
      </c>
    </row>
    <row r="14329" spans="1:14" x14ac:dyDescent="0.25">
      <c r="A14329" t="s">
        <v>24347</v>
      </c>
      <c r="B14329" t="s">
        <v>24348</v>
      </c>
      <c r="C14329" s="1" t="str">
        <f>HYPERLINK("http://www.genecards.org/cgi-bin/carddisp.pl?gene=FKSG2","GeneCards")</f>
        <v>GeneCards</v>
      </c>
      <c r="D14329" s="1" t="str">
        <f>HYPERLINK("http://genome-euro.ucsc.edu/cgi-bin/hgTracks?position=208588_at","UCSC")</f>
        <v>UCSC</v>
      </c>
      <c r="E14329" s="1" t="str">
        <f>HYPERLINK("http://www.ncbi.nlm.nih.gov/gene/?term=FKSG2","NCBI")</f>
        <v>NCBI</v>
      </c>
      <c r="F14329">
        <v>0.56000000000000005</v>
      </c>
      <c r="G14329">
        <v>0.65</v>
      </c>
      <c r="H14329" s="1" t="str">
        <f>HYPERLINK("http://www.weizmann.ac.il/complex/compphys/software/geview/data/figures/208588_at.png","Figure")</f>
        <v>Figure</v>
      </c>
      <c r="I14329">
        <v>1</v>
      </c>
      <c r="J14329">
        <v>1</v>
      </c>
      <c r="K14329">
        <v>0.97099999999999997</v>
      </c>
      <c r="L14329">
        <v>0.62</v>
      </c>
      <c r="M14329">
        <v>0.97099999999999997</v>
      </c>
      <c r="N14329">
        <v>0.66</v>
      </c>
    </row>
    <row r="14330" spans="1:14" x14ac:dyDescent="0.25">
      <c r="A14330" t="s">
        <v>24349</v>
      </c>
      <c r="B14330" t="s">
        <v>24350</v>
      </c>
      <c r="C14330" s="1" t="str">
        <f>HYPERLINK("http://www.genecards.org/cgi-bin/carddisp.pl?gene=NTRK1","GeneCards")</f>
        <v>GeneCards</v>
      </c>
      <c r="D14330" s="1" t="str">
        <f>HYPERLINK("http://genome-euro.ucsc.edu/cgi-bin/hgTracks?position=208605_s_at","UCSC")</f>
        <v>UCSC</v>
      </c>
      <c r="E14330" s="1" t="str">
        <f>HYPERLINK("http://www.ncbi.nlm.nih.gov/gene/?term=NTRK1","NCBI")</f>
        <v>NCBI</v>
      </c>
      <c r="F14330">
        <v>0.56000000000000005</v>
      </c>
      <c r="G14330">
        <v>0.65</v>
      </c>
      <c r="H14330" s="1" t="str">
        <f>HYPERLINK("http://www.weizmann.ac.il/complex/compphys/software/geview/data/figures/208605_s_at.png","Figure")</f>
        <v>Figure</v>
      </c>
      <c r="I14330">
        <v>1</v>
      </c>
      <c r="J14330">
        <v>1</v>
      </c>
      <c r="K14330">
        <v>0.99099999999999999</v>
      </c>
      <c r="L14330">
        <v>0.62</v>
      </c>
      <c r="M14330">
        <v>0.99099999999999999</v>
      </c>
      <c r="N14330">
        <v>0.66</v>
      </c>
    </row>
    <row r="14331" spans="1:14" x14ac:dyDescent="0.25">
      <c r="A14331" t="s">
        <v>24351</v>
      </c>
      <c r="B14331" t="s">
        <v>12245</v>
      </c>
      <c r="C14331" s="1" t="str">
        <f>HYPERLINK("http://www.genecards.org/cgi-bin/carddisp.pl?gene=RBM10","GeneCards")</f>
        <v>GeneCards</v>
      </c>
      <c r="D14331" s="1" t="str">
        <f>HYPERLINK("http://genome-euro.ucsc.edu/cgi-bin/hgTracks?position=208984_x_at","UCSC")</f>
        <v>UCSC</v>
      </c>
      <c r="E14331" s="1" t="str">
        <f>HYPERLINK("http://www.ncbi.nlm.nih.gov/gene/?term=RBM10","NCBI")</f>
        <v>NCBI</v>
      </c>
      <c r="F14331">
        <v>0.55000000000000004</v>
      </c>
      <c r="G14331">
        <v>0.65</v>
      </c>
      <c r="H14331" s="1" t="str">
        <f>HYPERLINK("http://www.weizmann.ac.il/complex/compphys/software/geview/data/figures/208984_x_at.png","Figure")</f>
        <v>Figure</v>
      </c>
      <c r="I14331">
        <v>1.01</v>
      </c>
      <c r="J14331">
        <v>1</v>
      </c>
      <c r="K14331">
        <v>1.18</v>
      </c>
      <c r="L14331">
        <v>0.6</v>
      </c>
      <c r="M14331">
        <v>1.17</v>
      </c>
      <c r="N14331">
        <v>0.67</v>
      </c>
    </row>
    <row r="14332" spans="1:14" x14ac:dyDescent="0.25">
      <c r="A14332" t="s">
        <v>24352</v>
      </c>
      <c r="B14332" t="s">
        <v>24353</v>
      </c>
      <c r="C14332" s="1" t="str">
        <f>HYPERLINK("http://www.genecards.org/cgi-bin/carddisp.pl?gene=PINK1","GeneCards")</f>
        <v>GeneCards</v>
      </c>
      <c r="D14332" s="1" t="str">
        <f>HYPERLINK("http://genome-euro.ucsc.edu/cgi-bin/hgTracks?position=209019_s_at","UCSC")</f>
        <v>UCSC</v>
      </c>
      <c r="E14332" s="1" t="str">
        <f>HYPERLINK("http://www.ncbi.nlm.nih.gov/gene/?term=PINK1","NCBI")</f>
        <v>NCBI</v>
      </c>
      <c r="F14332">
        <v>0.55000000000000004</v>
      </c>
      <c r="G14332">
        <v>0.65</v>
      </c>
      <c r="H14332" s="1" t="str">
        <f>HYPERLINK("http://www.weizmann.ac.il/complex/compphys/software/geview/data/figures/209019_s_at.png","Figure")</f>
        <v>Figure</v>
      </c>
      <c r="I14332">
        <v>0.90800000000000003</v>
      </c>
      <c r="J14332">
        <v>0.61</v>
      </c>
      <c r="K14332">
        <v>1</v>
      </c>
      <c r="L14332">
        <v>1</v>
      </c>
      <c r="M14332">
        <v>1.1000000000000001</v>
      </c>
      <c r="N14332">
        <v>0.56999999999999995</v>
      </c>
    </row>
    <row r="14333" spans="1:14" x14ac:dyDescent="0.25">
      <c r="A14333" t="s">
        <v>24354</v>
      </c>
      <c r="B14333" t="s">
        <v>24355</v>
      </c>
      <c r="C14333" s="1" t="str">
        <f>HYPERLINK("http://www.genecards.org/cgi-bin/carddisp.pl?gene=TSPAN6","GeneCards")</f>
        <v>GeneCards</v>
      </c>
      <c r="D14333" s="1" t="str">
        <f>HYPERLINK("http://genome-euro.ucsc.edu/cgi-bin/hgTracks?position=209108_at","UCSC")</f>
        <v>UCSC</v>
      </c>
      <c r="E14333" s="1" t="str">
        <f>HYPERLINK("http://www.ncbi.nlm.nih.gov/gene/?term=TSPAN6","NCBI")</f>
        <v>NCBI</v>
      </c>
      <c r="F14333">
        <v>0.56000000000000005</v>
      </c>
      <c r="G14333">
        <v>0.65</v>
      </c>
      <c r="H14333" s="1" t="str">
        <f>HYPERLINK("http://www.weizmann.ac.il/complex/compphys/software/geview/data/figures/209108_at.png","Figure")</f>
        <v>Figure</v>
      </c>
      <c r="I14333">
        <v>1</v>
      </c>
      <c r="J14333">
        <v>1</v>
      </c>
      <c r="K14333">
        <v>0.98</v>
      </c>
      <c r="L14333">
        <v>0.62</v>
      </c>
      <c r="M14333">
        <v>0.98</v>
      </c>
      <c r="N14333">
        <v>0.66</v>
      </c>
    </row>
    <row r="14334" spans="1:14" x14ac:dyDescent="0.25">
      <c r="A14334" t="s">
        <v>24356</v>
      </c>
      <c r="B14334" t="s">
        <v>24357</v>
      </c>
      <c r="C14334" s="1" t="str">
        <f>HYPERLINK("http://www.genecards.org/cgi-bin/carddisp.pl?gene=SC4MOL","GeneCards")</f>
        <v>GeneCards</v>
      </c>
      <c r="D14334" s="1" t="str">
        <f>HYPERLINK("http://genome-euro.ucsc.edu/cgi-bin/hgTracks?position=209146_at","UCSC")</f>
        <v>UCSC</v>
      </c>
      <c r="E14334" s="1" t="str">
        <f>HYPERLINK("http://www.ncbi.nlm.nih.gov/gene/?term=SC4MOL","NCBI")</f>
        <v>NCBI</v>
      </c>
      <c r="F14334">
        <v>0.56000000000000005</v>
      </c>
      <c r="G14334">
        <v>0.65</v>
      </c>
      <c r="H14334" s="1" t="str">
        <f>HYPERLINK("http://www.weizmann.ac.il/complex/compphys/software/geview/data/figures/209146_at.png","Figure")</f>
        <v>Figure</v>
      </c>
      <c r="I14334">
        <v>1</v>
      </c>
      <c r="J14334">
        <v>1</v>
      </c>
      <c r="K14334">
        <v>0.997</v>
      </c>
      <c r="L14334">
        <v>0.62</v>
      </c>
      <c r="M14334">
        <v>0.997</v>
      </c>
      <c r="N14334">
        <v>0.66</v>
      </c>
    </row>
    <row r="14335" spans="1:14" x14ac:dyDescent="0.25">
      <c r="A14335" t="s">
        <v>24358</v>
      </c>
      <c r="B14335" t="s">
        <v>24359</v>
      </c>
      <c r="C14335" s="1" t="str">
        <f>HYPERLINK("http://www.genecards.org/cgi-bin/carddisp.pl?gene=GPC3","GeneCards")</f>
        <v>GeneCards</v>
      </c>
      <c r="D14335" s="1" t="str">
        <f>HYPERLINK("http://genome-euro.ucsc.edu/cgi-bin/hgTracks?position=209220_at","UCSC")</f>
        <v>UCSC</v>
      </c>
      <c r="E14335" s="1" t="str">
        <f>HYPERLINK("http://www.ncbi.nlm.nih.gov/gene/?term=GPC3","NCBI")</f>
        <v>NCBI</v>
      </c>
      <c r="F14335">
        <v>0.56000000000000005</v>
      </c>
      <c r="G14335">
        <v>0.65</v>
      </c>
      <c r="H14335" s="1" t="str">
        <f>HYPERLINK("http://www.weizmann.ac.il/complex/compphys/software/geview/data/figures/209220_at.png","Figure")</f>
        <v>Figure</v>
      </c>
      <c r="I14335">
        <v>1</v>
      </c>
      <c r="J14335">
        <v>1</v>
      </c>
      <c r="K14335">
        <v>0.99</v>
      </c>
      <c r="L14335">
        <v>0.62</v>
      </c>
      <c r="M14335">
        <v>0.99</v>
      </c>
      <c r="N14335">
        <v>0.66</v>
      </c>
    </row>
    <row r="14336" spans="1:14" x14ac:dyDescent="0.25">
      <c r="A14336" t="s">
        <v>24360</v>
      </c>
      <c r="B14336" t="s">
        <v>4378</v>
      </c>
      <c r="C14336" s="1" t="str">
        <f>HYPERLINK("http://www.genecards.org/cgi-bin/carddisp.pl?gene=CDC42EP3","GeneCards")</f>
        <v>GeneCards</v>
      </c>
      <c r="D14336" s="1" t="str">
        <f>HYPERLINK("http://genome-euro.ucsc.edu/cgi-bin/hgTracks?position=209288_s_at","UCSC")</f>
        <v>UCSC</v>
      </c>
      <c r="E14336" s="1" t="str">
        <f>HYPERLINK("http://www.ncbi.nlm.nih.gov/gene/?term=CDC42EP3","NCBI")</f>
        <v>NCBI</v>
      </c>
      <c r="F14336">
        <v>0.56000000000000005</v>
      </c>
      <c r="G14336">
        <v>0.65</v>
      </c>
      <c r="H14336" s="1" t="str">
        <f>HYPERLINK("http://www.weizmann.ac.il/complex/compphys/software/geview/data/figures/209288_s_at.png","Figure")</f>
        <v>Figure</v>
      </c>
      <c r="I14336">
        <v>1</v>
      </c>
      <c r="J14336">
        <v>1</v>
      </c>
      <c r="K14336">
        <v>0.98499999999999999</v>
      </c>
      <c r="L14336">
        <v>0.62</v>
      </c>
      <c r="M14336">
        <v>0.98499999999999999</v>
      </c>
      <c r="N14336">
        <v>0.66</v>
      </c>
    </row>
    <row r="14337" spans="1:14" x14ac:dyDescent="0.25">
      <c r="A14337" t="s">
        <v>24361</v>
      </c>
      <c r="B14337" t="s">
        <v>5588</v>
      </c>
      <c r="C14337" s="1" t="str">
        <f>HYPERLINK("http://www.genecards.org/cgi-bin/carddisp.pl?gene=POLR3C","GeneCards")</f>
        <v>GeneCards</v>
      </c>
      <c r="D14337" s="1" t="str">
        <f>HYPERLINK("http://genome-euro.ucsc.edu/cgi-bin/hgTracks?position=209382_at","UCSC")</f>
        <v>UCSC</v>
      </c>
      <c r="E14337" s="1" t="str">
        <f>HYPERLINK("http://www.ncbi.nlm.nih.gov/gene/?term=POLR3C","NCBI")</f>
        <v>NCBI</v>
      </c>
      <c r="F14337">
        <v>0.56000000000000005</v>
      </c>
      <c r="G14337">
        <v>0.65</v>
      </c>
      <c r="H14337" s="1" t="str">
        <f>HYPERLINK("http://www.weizmann.ac.il/complex/compphys/software/geview/data/figures/209382_at.png","Figure")</f>
        <v>Figure</v>
      </c>
      <c r="I14337">
        <v>1.06</v>
      </c>
      <c r="J14337">
        <v>0.92</v>
      </c>
      <c r="K14337">
        <v>1.1499999999999999</v>
      </c>
      <c r="L14337">
        <v>0.54</v>
      </c>
      <c r="M14337">
        <v>1.0900000000000001</v>
      </c>
      <c r="N14337">
        <v>0.82</v>
      </c>
    </row>
    <row r="14338" spans="1:14" x14ac:dyDescent="0.25">
      <c r="A14338" t="s">
        <v>24362</v>
      </c>
      <c r="B14338" t="s">
        <v>24363</v>
      </c>
      <c r="C14338" s="1" t="str">
        <f>HYPERLINK("http://www.genecards.org/cgi-bin/carddisp.pl?gene=DLK1","GeneCards")</f>
        <v>GeneCards</v>
      </c>
      <c r="D14338" s="1" t="str">
        <f>HYPERLINK("http://genome-euro.ucsc.edu/cgi-bin/hgTracks?position=209560_s_at","UCSC")</f>
        <v>UCSC</v>
      </c>
      <c r="E14338" s="1" t="str">
        <f>HYPERLINK("http://www.ncbi.nlm.nih.gov/gene/?term=DLK1","NCBI")</f>
        <v>NCBI</v>
      </c>
      <c r="F14338">
        <v>0.56000000000000005</v>
      </c>
      <c r="G14338">
        <v>0.65</v>
      </c>
      <c r="H14338" s="1" t="str">
        <f>HYPERLINK("http://www.weizmann.ac.il/complex/compphys/software/geview/data/figures/209560_s_at.png","Figure")</f>
        <v>Figure</v>
      </c>
      <c r="I14338">
        <v>1</v>
      </c>
      <c r="J14338">
        <v>1</v>
      </c>
      <c r="K14338">
        <v>0.997</v>
      </c>
      <c r="L14338">
        <v>0.62</v>
      </c>
      <c r="M14338">
        <v>0.997</v>
      </c>
      <c r="N14338">
        <v>0.66</v>
      </c>
    </row>
    <row r="14339" spans="1:14" x14ac:dyDescent="0.25">
      <c r="A14339" t="s">
        <v>24364</v>
      </c>
      <c r="B14339" t="s">
        <v>24365</v>
      </c>
      <c r="C14339" s="1" t="str">
        <f>HYPERLINK("http://www.genecards.org/cgi-bin/carddisp.pl?gene=PNMA2","GeneCards")</f>
        <v>GeneCards</v>
      </c>
      <c r="D14339" s="1" t="str">
        <f>HYPERLINK("http://genome-euro.ucsc.edu/cgi-bin/hgTracks?position=209597_s_at","UCSC")</f>
        <v>UCSC</v>
      </c>
      <c r="E14339" s="1" t="str">
        <f>HYPERLINK("http://www.ncbi.nlm.nih.gov/gene/?term=PNMA2","NCBI")</f>
        <v>NCBI</v>
      </c>
      <c r="F14339">
        <v>0.55000000000000004</v>
      </c>
      <c r="G14339">
        <v>0.65</v>
      </c>
      <c r="H14339" s="1" t="str">
        <f>HYPERLINK("http://www.weizmann.ac.il/complex/compphys/software/geview/data/figures/209597_s_at.png","Figure")</f>
        <v>Figure</v>
      </c>
      <c r="I14339">
        <v>1.02</v>
      </c>
      <c r="J14339">
        <v>0.62</v>
      </c>
      <c r="K14339">
        <v>0.999</v>
      </c>
      <c r="L14339">
        <v>1</v>
      </c>
      <c r="M14339">
        <v>0.98</v>
      </c>
      <c r="N14339">
        <v>0.56000000000000005</v>
      </c>
    </row>
    <row r="14340" spans="1:14" x14ac:dyDescent="0.25">
      <c r="A14340" t="s">
        <v>24366</v>
      </c>
      <c r="B14340" t="s">
        <v>15920</v>
      </c>
      <c r="C14340" s="1" t="str">
        <f>HYPERLINK("http://www.genecards.org/cgi-bin/carddisp.pl?gene=GATA3","GeneCards")</f>
        <v>GeneCards</v>
      </c>
      <c r="D14340" s="1" t="str">
        <f>HYPERLINK("http://genome-euro.ucsc.edu/cgi-bin/hgTracks?position=209603_at","UCSC")</f>
        <v>UCSC</v>
      </c>
      <c r="E14340" s="1" t="str">
        <f>HYPERLINK("http://www.ncbi.nlm.nih.gov/gene/?term=GATA3","NCBI")</f>
        <v>NCBI</v>
      </c>
      <c r="F14340">
        <v>0.56000000000000005</v>
      </c>
      <c r="G14340">
        <v>0.65</v>
      </c>
      <c r="H14340" s="1" t="str">
        <f>HYPERLINK("http://www.weizmann.ac.il/complex/compphys/software/geview/data/figures/209603_at.png","Figure")</f>
        <v>Figure</v>
      </c>
      <c r="I14340">
        <v>1</v>
      </c>
      <c r="J14340">
        <v>1</v>
      </c>
      <c r="K14340">
        <v>0.98</v>
      </c>
      <c r="L14340">
        <v>0.62</v>
      </c>
      <c r="M14340">
        <v>0.98</v>
      </c>
      <c r="N14340">
        <v>0.66</v>
      </c>
    </row>
    <row r="14341" spans="1:14" x14ac:dyDescent="0.25">
      <c r="A14341" t="s">
        <v>24367</v>
      </c>
      <c r="B14341" t="s">
        <v>24368</v>
      </c>
      <c r="C14341" s="1" t="str">
        <f>HYPERLINK("http://www.genecards.org/cgi-bin/carddisp.pl?gene=CTNND2","GeneCards")</f>
        <v>GeneCards</v>
      </c>
      <c r="D14341" s="1" t="str">
        <f>HYPERLINK("http://genome-euro.ucsc.edu/cgi-bin/hgTracks?position=209617_s_at","UCSC")</f>
        <v>UCSC</v>
      </c>
      <c r="E14341" s="1" t="str">
        <f>HYPERLINK("http://www.ncbi.nlm.nih.gov/gene/?term=CTNND2","NCBI")</f>
        <v>NCBI</v>
      </c>
      <c r="F14341">
        <v>0.56000000000000005</v>
      </c>
      <c r="G14341">
        <v>0.65</v>
      </c>
      <c r="H14341" s="1" t="str">
        <f>HYPERLINK("http://www.weizmann.ac.il/complex/compphys/software/geview/data/figures/209617_s_at.png","Figure")</f>
        <v>Figure</v>
      </c>
      <c r="I14341">
        <v>1</v>
      </c>
      <c r="J14341">
        <v>1</v>
      </c>
      <c r="K14341">
        <v>0.99099999999999999</v>
      </c>
      <c r="L14341">
        <v>0.62</v>
      </c>
      <c r="M14341">
        <v>0.99099999999999999</v>
      </c>
      <c r="N14341">
        <v>0.66</v>
      </c>
    </row>
    <row r="14342" spans="1:14" x14ac:dyDescent="0.25">
      <c r="A14342" t="s">
        <v>24369</v>
      </c>
      <c r="B14342" t="s">
        <v>24370</v>
      </c>
      <c r="C14342" s="1" t="str">
        <f>HYPERLINK("http://www.genecards.org/cgi-bin/carddisp.pl?gene=EYA2","GeneCards")</f>
        <v>GeneCards</v>
      </c>
      <c r="D14342" s="1" t="str">
        <f>HYPERLINK("http://genome-euro.ucsc.edu/cgi-bin/hgTracks?position=209692_at","UCSC")</f>
        <v>UCSC</v>
      </c>
      <c r="E14342" s="1" t="str">
        <f>HYPERLINK("http://www.ncbi.nlm.nih.gov/gene/?term=EYA2","NCBI")</f>
        <v>NCBI</v>
      </c>
      <c r="F14342">
        <v>0.56000000000000005</v>
      </c>
      <c r="G14342">
        <v>0.65</v>
      </c>
      <c r="H14342" s="1" t="str">
        <f>HYPERLINK("http://www.weizmann.ac.il/complex/compphys/software/geview/data/figures/209692_at.png","Figure")</f>
        <v>Figure</v>
      </c>
      <c r="I14342">
        <v>1</v>
      </c>
      <c r="J14342">
        <v>1</v>
      </c>
      <c r="K14342">
        <v>0.997</v>
      </c>
      <c r="L14342">
        <v>0.62</v>
      </c>
      <c r="M14342">
        <v>0.997</v>
      </c>
      <c r="N14342">
        <v>0.66</v>
      </c>
    </row>
    <row r="14343" spans="1:14" x14ac:dyDescent="0.25">
      <c r="A14343" t="s">
        <v>24371</v>
      </c>
      <c r="B14343" t="s">
        <v>11458</v>
      </c>
      <c r="C14343" s="1" t="str">
        <f>HYPERLINK("http://www.genecards.org/cgi-bin/carddisp.pl?gene=MYCN","GeneCards")</f>
        <v>GeneCards</v>
      </c>
      <c r="D14343" s="1" t="str">
        <f>HYPERLINK("http://genome-euro.ucsc.edu/cgi-bin/hgTracks?position=209756_s_at","UCSC")</f>
        <v>UCSC</v>
      </c>
      <c r="E14343" s="1" t="str">
        <f>HYPERLINK("http://www.ncbi.nlm.nih.gov/gene/?term=MYCN","NCBI")</f>
        <v>NCBI</v>
      </c>
      <c r="F14343">
        <v>0.56000000000000005</v>
      </c>
      <c r="G14343">
        <v>0.65</v>
      </c>
      <c r="H14343" s="1" t="str">
        <f>HYPERLINK("http://www.weizmann.ac.il/complex/compphys/software/geview/data/figures/209756_s_at.png","Figure")</f>
        <v>Figure</v>
      </c>
      <c r="I14343">
        <v>1</v>
      </c>
      <c r="J14343">
        <v>1</v>
      </c>
      <c r="K14343">
        <v>0.997</v>
      </c>
      <c r="L14343">
        <v>0.62</v>
      </c>
      <c r="M14343">
        <v>0.997</v>
      </c>
      <c r="N14343">
        <v>0.66</v>
      </c>
    </row>
    <row r="14344" spans="1:14" x14ac:dyDescent="0.25">
      <c r="A14344" t="s">
        <v>24372</v>
      </c>
      <c r="B14344" t="s">
        <v>2113</v>
      </c>
      <c r="C14344" s="1" t="str">
        <f>HYPERLINK("http://www.genecards.org/cgi-bin/carddisp.pl?gene=GP1BB /// SEPT5","GeneCards")</f>
        <v>GeneCards</v>
      </c>
      <c r="D14344" s="1" t="str">
        <f>HYPERLINK("http://genome-euro.ucsc.edu/cgi-bin/hgTracks?position=209767_s_at","UCSC")</f>
        <v>UCSC</v>
      </c>
      <c r="E14344" s="1" t="str">
        <f>HYPERLINK("http://www.ncbi.nlm.nih.gov/gene/?term=GP1BB /// SEPT5","NCBI")</f>
        <v>NCBI</v>
      </c>
      <c r="F14344">
        <v>0.56000000000000005</v>
      </c>
      <c r="G14344">
        <v>0.65</v>
      </c>
      <c r="H14344" s="1" t="str">
        <f>HYPERLINK("http://www.weizmann.ac.il/complex/compphys/software/geview/data/figures/209767_s_at.png","Figure")</f>
        <v>Figure</v>
      </c>
      <c r="I14344">
        <v>1</v>
      </c>
      <c r="J14344">
        <v>1</v>
      </c>
      <c r="K14344">
        <v>0.999</v>
      </c>
      <c r="L14344">
        <v>0.62</v>
      </c>
      <c r="M14344">
        <v>0.999</v>
      </c>
      <c r="N14344">
        <v>0.66</v>
      </c>
    </row>
    <row r="14345" spans="1:14" x14ac:dyDescent="0.25">
      <c r="A14345" t="s">
        <v>24373</v>
      </c>
      <c r="B14345" t="s">
        <v>24374</v>
      </c>
      <c r="C14345" s="1" t="str">
        <f>HYPERLINK("http://www.genecards.org/cgi-bin/carddisp.pl?gene=TRIM9","GeneCards")</f>
        <v>GeneCards</v>
      </c>
      <c r="D14345" s="1" t="str">
        <f>HYPERLINK("http://genome-euro.ucsc.edu/cgi-bin/hgTracks?position=209859_at","UCSC")</f>
        <v>UCSC</v>
      </c>
      <c r="E14345" s="1" t="str">
        <f>HYPERLINK("http://www.ncbi.nlm.nih.gov/gene/?term=TRIM9","NCBI")</f>
        <v>NCBI</v>
      </c>
      <c r="F14345">
        <v>0.56000000000000005</v>
      </c>
      <c r="G14345">
        <v>0.65</v>
      </c>
      <c r="H14345" s="1" t="str">
        <f>HYPERLINK("http://www.weizmann.ac.il/complex/compphys/software/geview/data/figures/209859_at.png","Figure")</f>
        <v>Figure</v>
      </c>
      <c r="I14345">
        <v>1</v>
      </c>
      <c r="J14345">
        <v>1</v>
      </c>
      <c r="K14345">
        <v>0.99299999999999999</v>
      </c>
      <c r="L14345">
        <v>0.62</v>
      </c>
      <c r="M14345">
        <v>0.99299999999999999</v>
      </c>
      <c r="N14345">
        <v>0.66</v>
      </c>
    </row>
    <row r="14346" spans="1:14" x14ac:dyDescent="0.25">
      <c r="A14346" t="s">
        <v>24375</v>
      </c>
      <c r="B14346" t="s">
        <v>24376</v>
      </c>
      <c r="C14346" s="1" t="str">
        <f>HYPERLINK("http://www.genecards.org/cgi-bin/carddisp.pl?gene=SLC7A11","GeneCards")</f>
        <v>GeneCards</v>
      </c>
      <c r="D14346" s="1" t="str">
        <f>HYPERLINK("http://genome-euro.ucsc.edu/cgi-bin/hgTracks?position=209921_at","UCSC")</f>
        <v>UCSC</v>
      </c>
      <c r="E14346" s="1" t="str">
        <f>HYPERLINK("http://www.ncbi.nlm.nih.gov/gene/?term=SLC7A11","NCBI")</f>
        <v>NCBI</v>
      </c>
      <c r="F14346">
        <v>0.56000000000000005</v>
      </c>
      <c r="G14346">
        <v>0.65</v>
      </c>
      <c r="H14346" s="1" t="str">
        <f>HYPERLINK("http://www.weizmann.ac.il/complex/compphys/software/geview/data/figures/209921_at.png","Figure")</f>
        <v>Figure</v>
      </c>
      <c r="I14346">
        <v>1</v>
      </c>
      <c r="J14346">
        <v>1</v>
      </c>
      <c r="K14346">
        <v>0.97899999999999998</v>
      </c>
      <c r="L14346">
        <v>0.62</v>
      </c>
      <c r="M14346">
        <v>0.97899999999999998</v>
      </c>
      <c r="N14346">
        <v>0.66</v>
      </c>
    </row>
    <row r="14347" spans="1:14" x14ac:dyDescent="0.25">
      <c r="A14347" t="s">
        <v>24377</v>
      </c>
      <c r="B14347" t="s">
        <v>24378</v>
      </c>
      <c r="C14347" s="1" t="str">
        <f>HYPERLINK("http://www.genecards.org/cgi-bin/carddisp.pl?gene=PLG","GeneCards")</f>
        <v>GeneCards</v>
      </c>
      <c r="D14347" s="1" t="str">
        <f>HYPERLINK("http://genome-euro.ucsc.edu/cgi-bin/hgTracks?position=209977_at","UCSC")</f>
        <v>UCSC</v>
      </c>
      <c r="E14347" s="1" t="str">
        <f>HYPERLINK("http://www.ncbi.nlm.nih.gov/gene/?term=PLG","NCBI")</f>
        <v>NCBI</v>
      </c>
      <c r="F14347">
        <v>0.56000000000000005</v>
      </c>
      <c r="G14347">
        <v>0.65</v>
      </c>
      <c r="H14347" s="1" t="str">
        <f>HYPERLINK("http://www.weizmann.ac.il/complex/compphys/software/geview/data/figures/209977_at.png","Figure")</f>
        <v>Figure</v>
      </c>
      <c r="I14347">
        <v>1</v>
      </c>
      <c r="J14347">
        <v>1</v>
      </c>
      <c r="K14347">
        <v>0.995</v>
      </c>
      <c r="L14347">
        <v>0.62</v>
      </c>
      <c r="M14347">
        <v>0.995</v>
      </c>
      <c r="N14347">
        <v>0.66</v>
      </c>
    </row>
    <row r="14348" spans="1:14" x14ac:dyDescent="0.25">
      <c r="A14348" t="s">
        <v>24379</v>
      </c>
      <c r="B14348" t="s">
        <v>24380</v>
      </c>
      <c r="C14348" s="1" t="str">
        <f>HYPERLINK("http://www.genecards.org/cgi-bin/carddisp.pl?gene=LPA /// PLG","GeneCards")</f>
        <v>GeneCards</v>
      </c>
      <c r="D14348" s="1" t="str">
        <f>HYPERLINK("http://genome-euro.ucsc.edu/cgi-bin/hgTracks?position=209978_s_at","UCSC")</f>
        <v>UCSC</v>
      </c>
      <c r="E14348" s="1" t="str">
        <f>HYPERLINK("http://www.ncbi.nlm.nih.gov/gene/?term=LPA /// PLG","NCBI")</f>
        <v>NCBI</v>
      </c>
      <c r="F14348">
        <v>0.56000000000000005</v>
      </c>
      <c r="G14348">
        <v>0.65</v>
      </c>
      <c r="H14348" s="1" t="str">
        <f>HYPERLINK("http://www.weizmann.ac.il/complex/compphys/software/geview/data/figures/209978_s_at.png","Figure")</f>
        <v>Figure</v>
      </c>
      <c r="I14348">
        <v>1</v>
      </c>
      <c r="J14348">
        <v>1</v>
      </c>
      <c r="K14348">
        <v>0.99399999999999999</v>
      </c>
      <c r="L14348">
        <v>0.62</v>
      </c>
      <c r="M14348">
        <v>0.99399999999999999</v>
      </c>
      <c r="N14348">
        <v>0.66</v>
      </c>
    </row>
    <row r="14349" spans="1:14" x14ac:dyDescent="0.25">
      <c r="A14349" t="s">
        <v>24381</v>
      </c>
      <c r="B14349" t="s">
        <v>24382</v>
      </c>
      <c r="C14349" s="1" t="str">
        <f>HYPERLINK("http://www.genecards.org/cgi-bin/carddisp.pl?gene=ABCB1","GeneCards")</f>
        <v>GeneCards</v>
      </c>
      <c r="D14349" s="1" t="str">
        <f>HYPERLINK("http://genome-euro.ucsc.edu/cgi-bin/hgTracks?position=209993_at","UCSC")</f>
        <v>UCSC</v>
      </c>
      <c r="E14349" s="1" t="str">
        <f>HYPERLINK("http://www.ncbi.nlm.nih.gov/gene/?term=ABCB1","NCBI")</f>
        <v>NCBI</v>
      </c>
      <c r="F14349">
        <v>0.56000000000000005</v>
      </c>
      <c r="G14349">
        <v>0.65</v>
      </c>
      <c r="H14349" s="1" t="str">
        <f>HYPERLINK("http://www.weizmann.ac.il/complex/compphys/software/geview/data/figures/209993_at.png","Figure")</f>
        <v>Figure</v>
      </c>
      <c r="I14349">
        <v>1</v>
      </c>
      <c r="J14349">
        <v>1</v>
      </c>
      <c r="K14349">
        <v>0.96599999999999997</v>
      </c>
      <c r="L14349">
        <v>0.62</v>
      </c>
      <c r="M14349">
        <v>0.96599999999999997</v>
      </c>
      <c r="N14349">
        <v>0.66</v>
      </c>
    </row>
    <row r="14350" spans="1:14" x14ac:dyDescent="0.25">
      <c r="A14350" t="s">
        <v>24383</v>
      </c>
      <c r="B14350" t="s">
        <v>23045</v>
      </c>
      <c r="C14350" s="1" t="str">
        <f>HYPERLINK("http://www.genecards.org/cgi-bin/carddisp.pl?gene=RPL5","GeneCards")</f>
        <v>GeneCards</v>
      </c>
      <c r="D14350" s="1" t="str">
        <f>HYPERLINK("http://genome-euro.ucsc.edu/cgi-bin/hgTracks?position=210034_s_at","UCSC")</f>
        <v>UCSC</v>
      </c>
      <c r="E14350" s="1" t="str">
        <f>HYPERLINK("http://www.ncbi.nlm.nih.gov/gene/?term=RPL5","NCBI")</f>
        <v>NCBI</v>
      </c>
      <c r="F14350">
        <v>0.56000000000000005</v>
      </c>
      <c r="G14350">
        <v>0.65</v>
      </c>
      <c r="H14350" s="1" t="str">
        <f>HYPERLINK("http://www.weizmann.ac.il/complex/compphys/software/geview/data/figures/210034_s_at.png","Figure")</f>
        <v>Figure</v>
      </c>
      <c r="I14350">
        <v>1</v>
      </c>
      <c r="J14350">
        <v>1</v>
      </c>
      <c r="K14350">
        <v>0.92200000000000004</v>
      </c>
      <c r="L14350">
        <v>0.62</v>
      </c>
      <c r="M14350">
        <v>0.92200000000000004</v>
      </c>
      <c r="N14350">
        <v>0.66</v>
      </c>
    </row>
    <row r="14351" spans="1:14" x14ac:dyDescent="0.25">
      <c r="A14351" t="s">
        <v>24384</v>
      </c>
      <c r="B14351" t="s">
        <v>12037</v>
      </c>
      <c r="C14351" s="1" t="str">
        <f>HYPERLINK("http://www.genecards.org/cgi-bin/carddisp.pl?gene=PSG9","GeneCards")</f>
        <v>GeneCards</v>
      </c>
      <c r="D14351" s="1" t="str">
        <f>HYPERLINK("http://genome-euro.ucsc.edu/cgi-bin/hgTracks?position=210126_at","UCSC")</f>
        <v>UCSC</v>
      </c>
      <c r="E14351" s="1" t="str">
        <f>HYPERLINK("http://www.ncbi.nlm.nih.gov/gene/?term=PSG9","NCBI")</f>
        <v>NCBI</v>
      </c>
      <c r="F14351">
        <v>0.55000000000000004</v>
      </c>
      <c r="G14351">
        <v>0.65</v>
      </c>
      <c r="H14351" s="1" t="str">
        <f>HYPERLINK("http://www.weizmann.ac.il/complex/compphys/software/geview/data/figures/210126_at.png","Figure")</f>
        <v>Figure</v>
      </c>
      <c r="I14351">
        <v>1.05</v>
      </c>
      <c r="J14351">
        <v>0.88</v>
      </c>
      <c r="K14351">
        <v>0.94899999999999995</v>
      </c>
      <c r="L14351">
        <v>0.81</v>
      </c>
      <c r="M14351">
        <v>0.90700000000000003</v>
      </c>
      <c r="N14351">
        <v>0.53</v>
      </c>
    </row>
    <row r="14352" spans="1:14" x14ac:dyDescent="0.25">
      <c r="A14352" t="s">
        <v>24385</v>
      </c>
      <c r="B14352" t="s">
        <v>24305</v>
      </c>
      <c r="C14352" s="1" t="str">
        <f>HYPERLINK("http://www.genecards.org/cgi-bin/carddisp.pl?gene=HIPK3","GeneCards")</f>
        <v>GeneCards</v>
      </c>
      <c r="D14352" s="1" t="str">
        <f>HYPERLINK("http://genome-euro.ucsc.edu/cgi-bin/hgTracks?position=210148_at","UCSC")</f>
        <v>UCSC</v>
      </c>
      <c r="E14352" s="1" t="str">
        <f>HYPERLINK("http://www.ncbi.nlm.nih.gov/gene/?term=HIPK3","NCBI")</f>
        <v>NCBI</v>
      </c>
      <c r="F14352">
        <v>0.56000000000000005</v>
      </c>
      <c r="G14352">
        <v>0.65</v>
      </c>
      <c r="H14352" s="1" t="str">
        <f>HYPERLINK("http://www.weizmann.ac.il/complex/compphys/software/geview/data/figures/210148_at.png","Figure")</f>
        <v>Figure</v>
      </c>
      <c r="I14352">
        <v>1</v>
      </c>
      <c r="J14352">
        <v>1</v>
      </c>
      <c r="K14352">
        <v>0.97499999999999998</v>
      </c>
      <c r="L14352">
        <v>0.62</v>
      </c>
      <c r="M14352">
        <v>0.97499999999999998</v>
      </c>
      <c r="N14352">
        <v>0.66</v>
      </c>
    </row>
    <row r="14353" spans="1:14" x14ac:dyDescent="0.25">
      <c r="A14353" t="s">
        <v>24386</v>
      </c>
      <c r="B14353" t="s">
        <v>836</v>
      </c>
      <c r="C14353" s="1" t="str">
        <f>HYPERLINK("http://www.genecards.org/cgi-bin/carddisp.pl?gene=C2orf3","GeneCards")</f>
        <v>GeneCards</v>
      </c>
      <c r="D14353" s="1" t="str">
        <f>HYPERLINK("http://genome-euro.ucsc.edu/cgi-bin/hgTracks?position=210175_at","UCSC")</f>
        <v>UCSC</v>
      </c>
      <c r="E14353" s="1" t="str">
        <f>HYPERLINK("http://www.ncbi.nlm.nih.gov/gene/?term=C2orf3","NCBI")</f>
        <v>NCBI</v>
      </c>
      <c r="F14353">
        <v>0.56000000000000005</v>
      </c>
      <c r="G14353">
        <v>0.65</v>
      </c>
      <c r="H14353" s="1" t="str">
        <f>HYPERLINK("http://www.weizmann.ac.il/complex/compphys/software/geview/data/figures/210175_at.png","Figure")</f>
        <v>Figure</v>
      </c>
      <c r="I14353">
        <v>1</v>
      </c>
      <c r="J14353">
        <v>1</v>
      </c>
      <c r="K14353">
        <v>0.93</v>
      </c>
      <c r="L14353">
        <v>0.62</v>
      </c>
      <c r="M14353">
        <v>0.93</v>
      </c>
      <c r="N14353">
        <v>0.66</v>
      </c>
    </row>
    <row r="14354" spans="1:14" x14ac:dyDescent="0.25">
      <c r="A14354" t="s">
        <v>24387</v>
      </c>
      <c r="B14354" t="s">
        <v>23667</v>
      </c>
      <c r="C14354" s="1" t="str">
        <f>HYPERLINK("http://www.genecards.org/cgi-bin/carddisp.pl?gene=ATP8A1","GeneCards")</f>
        <v>GeneCards</v>
      </c>
      <c r="D14354" s="1" t="str">
        <f>HYPERLINK("http://genome-euro.ucsc.edu/cgi-bin/hgTracks?position=210192_at","UCSC")</f>
        <v>UCSC</v>
      </c>
      <c r="E14354" s="1" t="str">
        <f>HYPERLINK("http://www.ncbi.nlm.nih.gov/gene/?term=ATP8A1","NCBI")</f>
        <v>NCBI</v>
      </c>
      <c r="F14354">
        <v>0.54</v>
      </c>
      <c r="G14354">
        <v>0.65</v>
      </c>
      <c r="H14354" s="1" t="str">
        <f>HYPERLINK("http://www.weizmann.ac.il/complex/compphys/software/geview/data/figures/210192_at.png","Figure")</f>
        <v>Figure</v>
      </c>
      <c r="I14354">
        <v>1.01</v>
      </c>
      <c r="J14354">
        <v>0.51</v>
      </c>
      <c r="K14354">
        <v>1.01</v>
      </c>
      <c r="L14354">
        <v>0.82</v>
      </c>
      <c r="M14354">
        <v>0.99399999999999999</v>
      </c>
      <c r="N14354">
        <v>0.8</v>
      </c>
    </row>
    <row r="14355" spans="1:14" x14ac:dyDescent="0.25">
      <c r="A14355" t="s">
        <v>24388</v>
      </c>
      <c r="B14355" t="s">
        <v>10252</v>
      </c>
      <c r="C14355" s="1" t="str">
        <f>HYPERLINK("http://www.genecards.org/cgi-bin/carddisp.pl?gene=DLGAP2","GeneCards")</f>
        <v>GeneCards</v>
      </c>
      <c r="D14355" s="1" t="str">
        <f>HYPERLINK("http://genome-euro.ucsc.edu/cgi-bin/hgTracks?position=210227_at","UCSC")</f>
        <v>UCSC</v>
      </c>
      <c r="E14355" s="1" t="str">
        <f>HYPERLINK("http://www.ncbi.nlm.nih.gov/gene/?term=DLGAP2","NCBI")</f>
        <v>NCBI</v>
      </c>
      <c r="F14355">
        <v>0.56000000000000005</v>
      </c>
      <c r="G14355">
        <v>0.65</v>
      </c>
      <c r="H14355" s="1" t="str">
        <f>HYPERLINK("http://www.weizmann.ac.il/complex/compphys/software/geview/data/figures/210227_at.png","Figure")</f>
        <v>Figure</v>
      </c>
      <c r="I14355">
        <v>1</v>
      </c>
      <c r="J14355">
        <v>1</v>
      </c>
      <c r="K14355">
        <v>0.96399999999999997</v>
      </c>
      <c r="L14355">
        <v>0.62</v>
      </c>
      <c r="M14355">
        <v>0.96399999999999997</v>
      </c>
      <c r="N14355">
        <v>0.66</v>
      </c>
    </row>
    <row r="14356" spans="1:14" x14ac:dyDescent="0.25">
      <c r="A14356" t="s">
        <v>24389</v>
      </c>
      <c r="B14356" t="s">
        <v>5518</v>
      </c>
      <c r="C14356" s="1" t="str">
        <f>HYPERLINK("http://www.genecards.org/cgi-bin/carddisp.pl?gene=LGR5","GeneCards")</f>
        <v>GeneCards</v>
      </c>
      <c r="D14356" s="1" t="str">
        <f>HYPERLINK("http://genome-euro.ucsc.edu/cgi-bin/hgTracks?position=210393_at","UCSC")</f>
        <v>UCSC</v>
      </c>
      <c r="E14356" s="1" t="str">
        <f>HYPERLINK("http://www.ncbi.nlm.nih.gov/gene/?term=LGR5","NCBI")</f>
        <v>NCBI</v>
      </c>
      <c r="F14356">
        <v>0.56000000000000005</v>
      </c>
      <c r="G14356">
        <v>0.65</v>
      </c>
      <c r="H14356" s="1" t="str">
        <f>HYPERLINK("http://www.weizmann.ac.il/complex/compphys/software/geview/data/figures/210393_at.png","Figure")</f>
        <v>Figure</v>
      </c>
      <c r="I14356">
        <v>1.07</v>
      </c>
      <c r="J14356">
        <v>0.64</v>
      </c>
      <c r="K14356">
        <v>0.996</v>
      </c>
      <c r="L14356">
        <v>1</v>
      </c>
      <c r="M14356">
        <v>0.92700000000000005</v>
      </c>
      <c r="N14356">
        <v>0.56999999999999995</v>
      </c>
    </row>
    <row r="14357" spans="1:14" x14ac:dyDescent="0.25">
      <c r="A14357" t="s">
        <v>24390</v>
      </c>
      <c r="B14357" t="s">
        <v>24391</v>
      </c>
      <c r="C14357" s="1" t="str">
        <f>HYPERLINK("http://www.genecards.org/cgi-bin/carddisp.pl?gene=C6orf124","GeneCards")</f>
        <v>GeneCards</v>
      </c>
      <c r="D14357" s="1" t="str">
        <f>HYPERLINK("http://genome-euro.ucsc.edu/cgi-bin/hgTracks?position=210409_at","UCSC")</f>
        <v>UCSC</v>
      </c>
      <c r="E14357" s="1" t="str">
        <f>HYPERLINK("http://www.ncbi.nlm.nih.gov/gene/?term=C6orf124","NCBI")</f>
        <v>NCBI</v>
      </c>
      <c r="F14357">
        <v>0.56000000000000005</v>
      </c>
      <c r="G14357">
        <v>0.65</v>
      </c>
      <c r="H14357" s="1" t="str">
        <f>HYPERLINK("http://www.weizmann.ac.il/complex/compphys/software/geview/data/figures/210409_at.png","Figure")</f>
        <v>Figure</v>
      </c>
      <c r="I14357">
        <v>1.02</v>
      </c>
      <c r="J14357">
        <v>0.86</v>
      </c>
      <c r="K14357">
        <v>0.97799999999999998</v>
      </c>
      <c r="L14357">
        <v>0.83</v>
      </c>
      <c r="M14357">
        <v>0.95499999999999996</v>
      </c>
      <c r="N14357">
        <v>0.53</v>
      </c>
    </row>
    <row r="14358" spans="1:14" x14ac:dyDescent="0.25">
      <c r="A14358" t="s">
        <v>24392</v>
      </c>
      <c r="B14358" t="s">
        <v>24393</v>
      </c>
      <c r="C14358" s="1" t="str">
        <f>HYPERLINK("http://www.genecards.org/cgi-bin/carddisp.pl?gene=P2RX5","GeneCards")</f>
        <v>GeneCards</v>
      </c>
      <c r="D14358" s="1" t="str">
        <f>HYPERLINK("http://genome-euro.ucsc.edu/cgi-bin/hgTracks?position=210448_s_at","UCSC")</f>
        <v>UCSC</v>
      </c>
      <c r="E14358" s="1" t="str">
        <f>HYPERLINK("http://www.ncbi.nlm.nih.gov/gene/?term=P2RX5","NCBI")</f>
        <v>NCBI</v>
      </c>
      <c r="F14358">
        <v>0.55000000000000004</v>
      </c>
      <c r="G14358">
        <v>0.65</v>
      </c>
      <c r="H14358" s="1" t="str">
        <f>HYPERLINK("http://www.weizmann.ac.il/complex/compphys/software/geview/data/figures/210448_s_at.png","Figure")</f>
        <v>Figure</v>
      </c>
      <c r="I14358">
        <v>0.80300000000000005</v>
      </c>
      <c r="J14358">
        <v>0.8</v>
      </c>
      <c r="K14358">
        <v>1.1499999999999999</v>
      </c>
      <c r="L14358">
        <v>0.89</v>
      </c>
      <c r="M14358">
        <v>1.43</v>
      </c>
      <c r="N14358">
        <v>0.52</v>
      </c>
    </row>
    <row r="14359" spans="1:14" x14ac:dyDescent="0.25">
      <c r="A14359" t="s">
        <v>24394</v>
      </c>
      <c r="B14359" t="s">
        <v>9679</v>
      </c>
      <c r="C14359" s="1" t="str">
        <f>HYPERLINK("http://www.genecards.org/cgi-bin/carddisp.pl?gene=B9D1","GeneCards")</f>
        <v>GeneCards</v>
      </c>
      <c r="D14359" s="1" t="str">
        <f>HYPERLINK("http://genome-euro.ucsc.edu/cgi-bin/hgTracks?position=210535_at","UCSC")</f>
        <v>UCSC</v>
      </c>
      <c r="E14359" s="1" t="str">
        <f>HYPERLINK("http://www.ncbi.nlm.nih.gov/gene/?term=B9D1","NCBI")</f>
        <v>NCBI</v>
      </c>
      <c r="F14359">
        <v>0.56000000000000005</v>
      </c>
      <c r="G14359">
        <v>0.65</v>
      </c>
      <c r="H14359" s="1" t="str">
        <f>HYPERLINK("http://www.weizmann.ac.il/complex/compphys/software/geview/data/figures/210535_at.png","Figure")</f>
        <v>Figure</v>
      </c>
      <c r="I14359">
        <v>1</v>
      </c>
      <c r="J14359">
        <v>1</v>
      </c>
      <c r="K14359">
        <v>0.998</v>
      </c>
      <c r="L14359">
        <v>0.62</v>
      </c>
      <c r="M14359">
        <v>0.998</v>
      </c>
      <c r="N14359">
        <v>0.66</v>
      </c>
    </row>
    <row r="14360" spans="1:14" x14ac:dyDescent="0.25">
      <c r="A14360" t="s">
        <v>24395</v>
      </c>
      <c r="B14360" t="s">
        <v>5656</v>
      </c>
      <c r="C14360" s="1" t="str">
        <f>HYPERLINK("http://www.genecards.org/cgi-bin/carddisp.pl?gene=CDH6","GeneCards")</f>
        <v>GeneCards</v>
      </c>
      <c r="D14360" s="1" t="str">
        <f>HYPERLINK("http://genome-euro.ucsc.edu/cgi-bin/hgTracks?position=210602_s_at","UCSC")</f>
        <v>UCSC</v>
      </c>
      <c r="E14360" s="1" t="str">
        <f>HYPERLINK("http://www.ncbi.nlm.nih.gov/gene/?term=CDH6","NCBI")</f>
        <v>NCBI</v>
      </c>
      <c r="F14360">
        <v>0.56000000000000005</v>
      </c>
      <c r="G14360">
        <v>0.65</v>
      </c>
      <c r="H14360" s="1" t="str">
        <f>HYPERLINK("http://www.weizmann.ac.il/complex/compphys/software/geview/data/figures/210602_s_at.png","Figure")</f>
        <v>Figure</v>
      </c>
      <c r="I14360">
        <v>1</v>
      </c>
      <c r="J14360">
        <v>1</v>
      </c>
      <c r="K14360">
        <v>0.995</v>
      </c>
      <c r="L14360">
        <v>0.62</v>
      </c>
      <c r="M14360">
        <v>0.995</v>
      </c>
      <c r="N14360">
        <v>0.66</v>
      </c>
    </row>
    <row r="14361" spans="1:14" x14ac:dyDescent="0.25">
      <c r="A14361" t="s">
        <v>24396</v>
      </c>
      <c r="B14361" t="s">
        <v>24397</v>
      </c>
      <c r="C14361" s="1" t="str">
        <f>HYPERLINK("http://www.genecards.org/cgi-bin/carddisp.pl?gene=CLDN14","GeneCards")</f>
        <v>GeneCards</v>
      </c>
      <c r="D14361" s="1" t="str">
        <f>HYPERLINK("http://genome-euro.ucsc.edu/cgi-bin/hgTracks?position=210689_at","UCSC")</f>
        <v>UCSC</v>
      </c>
      <c r="E14361" s="1" t="str">
        <f>HYPERLINK("http://www.ncbi.nlm.nih.gov/gene/?term=CLDN14","NCBI")</f>
        <v>NCBI</v>
      </c>
      <c r="F14361">
        <v>0.56000000000000005</v>
      </c>
      <c r="G14361">
        <v>0.65</v>
      </c>
      <c r="H14361" s="1" t="str">
        <f>HYPERLINK("http://www.weizmann.ac.il/complex/compphys/software/geview/data/figures/210689_at.png","Figure")</f>
        <v>Figure</v>
      </c>
      <c r="I14361">
        <v>1</v>
      </c>
      <c r="J14361">
        <v>1</v>
      </c>
      <c r="K14361">
        <v>0.996</v>
      </c>
      <c r="L14361">
        <v>0.62</v>
      </c>
      <c r="M14361">
        <v>0.996</v>
      </c>
      <c r="N14361">
        <v>0.66</v>
      </c>
    </row>
    <row r="14362" spans="1:14" x14ac:dyDescent="0.25">
      <c r="A14362" t="s">
        <v>24398</v>
      </c>
      <c r="B14362" t="s">
        <v>24399</v>
      </c>
      <c r="C14362" s="1" t="str">
        <f>HYPERLINK("http://www.genecards.org/cgi-bin/carddisp.pl?gene=FEZ2","GeneCards")</f>
        <v>GeneCards</v>
      </c>
      <c r="D14362" s="1" t="str">
        <f>HYPERLINK("http://genome-euro.ucsc.edu/cgi-bin/hgTracks?position=210704_at","UCSC")</f>
        <v>UCSC</v>
      </c>
      <c r="E14362" s="1" t="str">
        <f>HYPERLINK("http://www.ncbi.nlm.nih.gov/gene/?term=FEZ2","NCBI")</f>
        <v>NCBI</v>
      </c>
      <c r="F14362">
        <v>0.56000000000000005</v>
      </c>
      <c r="G14362">
        <v>0.65</v>
      </c>
      <c r="H14362" s="1" t="str">
        <f>HYPERLINK("http://www.weizmann.ac.il/complex/compphys/software/geview/data/figures/210704_at.png","Figure")</f>
        <v>Figure</v>
      </c>
      <c r="I14362">
        <v>1</v>
      </c>
      <c r="J14362">
        <v>1</v>
      </c>
      <c r="K14362">
        <v>0.999</v>
      </c>
      <c r="L14362">
        <v>0.62</v>
      </c>
      <c r="M14362">
        <v>0.999</v>
      </c>
      <c r="N14362">
        <v>0.66</v>
      </c>
    </row>
    <row r="14363" spans="1:14" x14ac:dyDescent="0.25">
      <c r="A14363" t="s">
        <v>24400</v>
      </c>
      <c r="B14363" t="s">
        <v>24401</v>
      </c>
      <c r="C14363" s="1" t="str">
        <f>HYPERLINK("http://www.genecards.org/cgi-bin/carddisp.pl?gene=EMR3","GeneCards")</f>
        <v>GeneCards</v>
      </c>
      <c r="D14363" s="1" t="str">
        <f>HYPERLINK("http://genome-euro.ucsc.edu/cgi-bin/hgTracks?position=210724_at","UCSC")</f>
        <v>UCSC</v>
      </c>
      <c r="E14363" s="1" t="str">
        <f>HYPERLINK("http://www.ncbi.nlm.nih.gov/gene/?term=EMR3","NCBI")</f>
        <v>NCBI</v>
      </c>
      <c r="F14363">
        <v>0.55000000000000004</v>
      </c>
      <c r="G14363">
        <v>0.65</v>
      </c>
      <c r="H14363" s="1" t="str">
        <f>HYPERLINK("http://www.weizmann.ac.il/complex/compphys/software/geview/data/figures/210724_at.png","Figure")</f>
        <v>Figure</v>
      </c>
      <c r="I14363">
        <v>0.95699999999999996</v>
      </c>
      <c r="J14363">
        <v>0.61</v>
      </c>
      <c r="K14363">
        <v>0.96199999999999997</v>
      </c>
      <c r="L14363">
        <v>0.6</v>
      </c>
      <c r="M14363">
        <v>1.01</v>
      </c>
      <c r="N14363">
        <v>0.99</v>
      </c>
    </row>
    <row r="14364" spans="1:14" x14ac:dyDescent="0.25">
      <c r="A14364" t="s">
        <v>24402</v>
      </c>
      <c r="B14364" t="s">
        <v>21224</v>
      </c>
      <c r="C14364" s="1" t="str">
        <f>HYPERLINK("http://www.genecards.org/cgi-bin/carddisp.pl?gene=CALCA","GeneCards")</f>
        <v>GeneCards</v>
      </c>
      <c r="D14364" s="1" t="str">
        <f>HYPERLINK("http://genome-euro.ucsc.edu/cgi-bin/hgTracks?position=210727_at","UCSC")</f>
        <v>UCSC</v>
      </c>
      <c r="E14364" s="1" t="str">
        <f>HYPERLINK("http://www.ncbi.nlm.nih.gov/gene/?term=CALCA","NCBI")</f>
        <v>NCBI</v>
      </c>
      <c r="F14364">
        <v>0.56000000000000005</v>
      </c>
      <c r="G14364">
        <v>0.65</v>
      </c>
      <c r="H14364" s="1" t="str">
        <f>HYPERLINK("http://www.weizmann.ac.il/complex/compphys/software/geview/data/figures/210727_at.png","Figure")</f>
        <v>Figure</v>
      </c>
      <c r="I14364">
        <v>1</v>
      </c>
      <c r="J14364">
        <v>1</v>
      </c>
      <c r="K14364">
        <v>0.995</v>
      </c>
      <c r="L14364">
        <v>0.62</v>
      </c>
      <c r="M14364">
        <v>0.995</v>
      </c>
      <c r="N14364">
        <v>0.66</v>
      </c>
    </row>
    <row r="14365" spans="1:14" x14ac:dyDescent="0.25">
      <c r="A14365" t="s">
        <v>24403</v>
      </c>
      <c r="B14365" t="s">
        <v>24404</v>
      </c>
      <c r="C14365" s="1" t="str">
        <f>HYPERLINK("http://www.genecards.org/cgi-bin/carddisp.pl?gene=ONECUT1","GeneCards")</f>
        <v>GeneCards</v>
      </c>
      <c r="D14365" s="1" t="str">
        <f>HYPERLINK("http://genome-euro.ucsc.edu/cgi-bin/hgTracks?position=210745_at","UCSC")</f>
        <v>UCSC</v>
      </c>
      <c r="E14365" s="1" t="str">
        <f>HYPERLINK("http://www.ncbi.nlm.nih.gov/gene/?term=ONECUT1","NCBI")</f>
        <v>NCBI</v>
      </c>
      <c r="F14365">
        <v>0.56000000000000005</v>
      </c>
      <c r="G14365">
        <v>0.65</v>
      </c>
      <c r="H14365" s="1" t="str">
        <f>HYPERLINK("http://www.weizmann.ac.il/complex/compphys/software/geview/data/figures/210745_at.png","Figure")</f>
        <v>Figure</v>
      </c>
      <c r="I14365">
        <v>1</v>
      </c>
      <c r="J14365">
        <v>1</v>
      </c>
      <c r="K14365">
        <v>0.999</v>
      </c>
      <c r="L14365">
        <v>0.62</v>
      </c>
      <c r="M14365">
        <v>0.999</v>
      </c>
      <c r="N14365">
        <v>0.66</v>
      </c>
    </row>
    <row r="14366" spans="1:14" x14ac:dyDescent="0.25">
      <c r="A14366" t="s">
        <v>24405</v>
      </c>
      <c r="B14366" t="s">
        <v>5770</v>
      </c>
      <c r="C14366" s="1" t="str">
        <f>HYPERLINK("http://www.genecards.org/cgi-bin/carddisp.pl?gene=TTLL5","GeneCards")</f>
        <v>GeneCards</v>
      </c>
      <c r="D14366" s="1" t="str">
        <f>HYPERLINK("http://genome-euro.ucsc.edu/cgi-bin/hgTracks?position=210806_at","UCSC")</f>
        <v>UCSC</v>
      </c>
      <c r="E14366" s="1" t="str">
        <f>HYPERLINK("http://www.ncbi.nlm.nih.gov/gene/?term=TTLL5","NCBI")</f>
        <v>NCBI</v>
      </c>
      <c r="F14366">
        <v>0.56000000000000005</v>
      </c>
      <c r="G14366">
        <v>0.65</v>
      </c>
      <c r="H14366" s="1" t="str">
        <f>HYPERLINK("http://www.weizmann.ac.il/complex/compphys/software/geview/data/figures/210806_at.png","Figure")</f>
        <v>Figure</v>
      </c>
      <c r="I14366">
        <v>1</v>
      </c>
      <c r="J14366">
        <v>1</v>
      </c>
      <c r="K14366">
        <v>0.995</v>
      </c>
      <c r="L14366">
        <v>0.62</v>
      </c>
      <c r="M14366">
        <v>0.995</v>
      </c>
      <c r="N14366">
        <v>0.66</v>
      </c>
    </row>
    <row r="14367" spans="1:14" x14ac:dyDescent="0.25">
      <c r="A14367" t="s">
        <v>24406</v>
      </c>
      <c r="B14367" t="s">
        <v>1364</v>
      </c>
      <c r="C14367" s="1" t="str">
        <f>HYPERLINK("http://www.genecards.org/cgi-bin/carddisp.pl?gene=BACH1","GeneCards")</f>
        <v>GeneCards</v>
      </c>
      <c r="D14367" s="1" t="str">
        <f>HYPERLINK("http://genome-euro.ucsc.edu/cgi-bin/hgTracks?position=210818_s_at","UCSC")</f>
        <v>UCSC</v>
      </c>
      <c r="E14367" s="1" t="str">
        <f>HYPERLINK("http://www.ncbi.nlm.nih.gov/gene/?term=BACH1","NCBI")</f>
        <v>NCBI</v>
      </c>
      <c r="F14367">
        <v>0.56000000000000005</v>
      </c>
      <c r="G14367">
        <v>0.65</v>
      </c>
      <c r="H14367" s="1" t="str">
        <f>HYPERLINK("http://www.weizmann.ac.il/complex/compphys/software/geview/data/figures/210818_s_at.png","Figure")</f>
        <v>Figure</v>
      </c>
      <c r="I14367">
        <v>1</v>
      </c>
      <c r="J14367">
        <v>1</v>
      </c>
      <c r="K14367">
        <v>0.99399999999999999</v>
      </c>
      <c r="L14367">
        <v>0.62</v>
      </c>
      <c r="M14367">
        <v>0.99399999999999999</v>
      </c>
      <c r="N14367">
        <v>0.66</v>
      </c>
    </row>
    <row r="14368" spans="1:14" x14ac:dyDescent="0.25">
      <c r="A14368" t="s">
        <v>24407</v>
      </c>
      <c r="B14368" t="s">
        <v>23020</v>
      </c>
      <c r="C14368" s="1" t="str">
        <f>HYPERLINK("http://www.genecards.org/cgi-bin/carddisp.pl?gene=DIO2","GeneCards")</f>
        <v>GeneCards</v>
      </c>
      <c r="D14368" s="1" t="str">
        <f>HYPERLINK("http://genome-euro.ucsc.edu/cgi-bin/hgTracks?position=210819_x_at","UCSC")</f>
        <v>UCSC</v>
      </c>
      <c r="E14368" s="1" t="str">
        <f>HYPERLINK("http://www.ncbi.nlm.nih.gov/gene/?term=DIO2","NCBI")</f>
        <v>NCBI</v>
      </c>
      <c r="F14368">
        <v>0.56000000000000005</v>
      </c>
      <c r="G14368">
        <v>0.65</v>
      </c>
      <c r="H14368" s="1" t="str">
        <f>HYPERLINK("http://www.weizmann.ac.il/complex/compphys/software/geview/data/figures/210819_x_at.png","Figure")</f>
        <v>Figure</v>
      </c>
      <c r="I14368">
        <v>1</v>
      </c>
      <c r="J14368">
        <v>1</v>
      </c>
      <c r="K14368">
        <v>0.99399999999999999</v>
      </c>
      <c r="L14368">
        <v>0.62</v>
      </c>
      <c r="M14368">
        <v>0.99399999999999999</v>
      </c>
      <c r="N14368">
        <v>0.66</v>
      </c>
    </row>
    <row r="14369" spans="1:14" x14ac:dyDescent="0.25">
      <c r="A14369" t="s">
        <v>24408</v>
      </c>
      <c r="B14369" t="s">
        <v>14064</v>
      </c>
      <c r="C14369" s="1" t="str">
        <f>HYPERLINK("http://www.genecards.org/cgi-bin/carddisp.pl?gene=PTGER3","GeneCards")</f>
        <v>GeneCards</v>
      </c>
      <c r="D14369" s="1" t="str">
        <f>HYPERLINK("http://genome-euro.ucsc.edu/cgi-bin/hgTracks?position=210834_s_at","UCSC")</f>
        <v>UCSC</v>
      </c>
      <c r="E14369" s="1" t="str">
        <f>HYPERLINK("http://www.ncbi.nlm.nih.gov/gene/?term=PTGER3","NCBI")</f>
        <v>NCBI</v>
      </c>
      <c r="F14369">
        <v>0.56000000000000005</v>
      </c>
      <c r="G14369">
        <v>0.65</v>
      </c>
      <c r="H14369" s="1" t="str">
        <f>HYPERLINK("http://www.weizmann.ac.il/complex/compphys/software/geview/data/figures/210834_s_at.png","Figure")</f>
        <v>Figure</v>
      </c>
      <c r="I14369">
        <v>1</v>
      </c>
      <c r="J14369">
        <v>1</v>
      </c>
      <c r="K14369">
        <v>0.997</v>
      </c>
      <c r="L14369">
        <v>0.62</v>
      </c>
      <c r="M14369">
        <v>0.997</v>
      </c>
      <c r="N14369">
        <v>0.66</v>
      </c>
    </row>
    <row r="14370" spans="1:14" x14ac:dyDescent="0.25">
      <c r="A14370" t="s">
        <v>24409</v>
      </c>
      <c r="B14370" t="s">
        <v>3249</v>
      </c>
      <c r="C14370" s="1" t="str">
        <f>HYPERLINK("http://www.genecards.org/cgi-bin/carddisp.pl?gene=PDE4D","GeneCards")</f>
        <v>GeneCards</v>
      </c>
      <c r="D14370" s="1" t="str">
        <f>HYPERLINK("http://genome-euro.ucsc.edu/cgi-bin/hgTracks?position=210836_x_at","UCSC")</f>
        <v>UCSC</v>
      </c>
      <c r="E14370" s="1" t="str">
        <f>HYPERLINK("http://www.ncbi.nlm.nih.gov/gene/?term=PDE4D","NCBI")</f>
        <v>NCBI</v>
      </c>
      <c r="F14370">
        <v>0.56000000000000005</v>
      </c>
      <c r="G14370">
        <v>0.65</v>
      </c>
      <c r="H14370" s="1" t="str">
        <f>HYPERLINK("http://www.weizmann.ac.il/complex/compphys/software/geview/data/figures/210836_x_at.png","Figure")</f>
        <v>Figure</v>
      </c>
      <c r="I14370">
        <v>1</v>
      </c>
      <c r="J14370">
        <v>1</v>
      </c>
      <c r="K14370">
        <v>0.999</v>
      </c>
      <c r="L14370">
        <v>0.62</v>
      </c>
      <c r="M14370">
        <v>0.999</v>
      </c>
      <c r="N14370">
        <v>0.66</v>
      </c>
    </row>
    <row r="14371" spans="1:14" x14ac:dyDescent="0.25">
      <c r="A14371" t="s">
        <v>24410</v>
      </c>
      <c r="B14371" t="s">
        <v>2948</v>
      </c>
      <c r="C14371" s="1" t="str">
        <f>HYPERLINK("http://www.genecards.org/cgi-bin/carddisp.pl?gene=NRP2","GeneCards")</f>
        <v>GeneCards</v>
      </c>
      <c r="D14371" s="1" t="str">
        <f>HYPERLINK("http://genome-euro.ucsc.edu/cgi-bin/hgTracks?position=210842_at","UCSC")</f>
        <v>UCSC</v>
      </c>
      <c r="E14371" s="1" t="str">
        <f>HYPERLINK("http://www.ncbi.nlm.nih.gov/gene/?term=NRP2","NCBI")</f>
        <v>NCBI</v>
      </c>
      <c r="F14371">
        <v>0.56000000000000005</v>
      </c>
      <c r="G14371">
        <v>0.65</v>
      </c>
      <c r="H14371" s="1" t="str">
        <f>HYPERLINK("http://www.weizmann.ac.il/complex/compphys/software/geview/data/figures/210842_at.png","Figure")</f>
        <v>Figure</v>
      </c>
      <c r="I14371">
        <v>1</v>
      </c>
      <c r="J14371">
        <v>1</v>
      </c>
      <c r="K14371">
        <v>0.99199999999999999</v>
      </c>
      <c r="L14371">
        <v>0.62</v>
      </c>
      <c r="M14371">
        <v>0.99199999999999999</v>
      </c>
      <c r="N14371">
        <v>0.66</v>
      </c>
    </row>
    <row r="14372" spans="1:14" x14ac:dyDescent="0.25">
      <c r="A14372" t="s">
        <v>24411</v>
      </c>
      <c r="B14372" t="s">
        <v>24412</v>
      </c>
      <c r="C14372" s="1" t="str">
        <f>HYPERLINK("http://www.genecards.org/cgi-bin/carddisp.pl?gene=FCGR2B","GeneCards")</f>
        <v>GeneCards</v>
      </c>
      <c r="D14372" s="1" t="str">
        <f>HYPERLINK("http://genome-euro.ucsc.edu/cgi-bin/hgTracks?position=210889_s_at","UCSC")</f>
        <v>UCSC</v>
      </c>
      <c r="E14372" s="1" t="str">
        <f>HYPERLINK("http://www.ncbi.nlm.nih.gov/gene/?term=FCGR2B","NCBI")</f>
        <v>NCBI</v>
      </c>
      <c r="F14372">
        <v>0.56000000000000005</v>
      </c>
      <c r="G14372">
        <v>0.65</v>
      </c>
      <c r="H14372" s="1" t="str">
        <f>HYPERLINK("http://www.weizmann.ac.il/complex/compphys/software/geview/data/figures/210889_s_at.png","Figure")</f>
        <v>Figure</v>
      </c>
      <c r="I14372">
        <v>1</v>
      </c>
      <c r="J14372">
        <v>1</v>
      </c>
      <c r="K14372">
        <v>0.997</v>
      </c>
      <c r="L14372">
        <v>0.62</v>
      </c>
      <c r="M14372">
        <v>0.997</v>
      </c>
      <c r="N14372">
        <v>0.66</v>
      </c>
    </row>
    <row r="14373" spans="1:14" x14ac:dyDescent="0.25">
      <c r="A14373" t="s">
        <v>24413</v>
      </c>
      <c r="B14373" t="s">
        <v>9953</v>
      </c>
      <c r="C14373" s="1" t="str">
        <f>HYPERLINK("http://www.genecards.org/cgi-bin/carddisp.pl?gene=GTF2I /// GTF2IP1 /// LOC100093631","GeneCards")</f>
        <v>GeneCards</v>
      </c>
      <c r="D14373" s="1" t="str">
        <f>HYPERLINK("http://genome-euro.ucsc.edu/cgi-bin/hgTracks?position=210891_s_at","UCSC")</f>
        <v>UCSC</v>
      </c>
      <c r="E14373" s="1" t="str">
        <f>HYPERLINK("http://www.ncbi.nlm.nih.gov/gene/?term=GTF2I /// GTF2IP1 /// LOC100093631","NCBI")</f>
        <v>NCBI</v>
      </c>
      <c r="F14373">
        <v>0.56000000000000005</v>
      </c>
      <c r="G14373">
        <v>0.65</v>
      </c>
      <c r="H14373" s="1" t="str">
        <f>HYPERLINK("http://www.weizmann.ac.il/complex/compphys/software/geview/data/figures/210891_s_at.png","Figure")</f>
        <v>Figure</v>
      </c>
      <c r="I14373">
        <v>0.997</v>
      </c>
      <c r="J14373">
        <v>1</v>
      </c>
      <c r="K14373">
        <v>0.81</v>
      </c>
      <c r="L14373">
        <v>0.61</v>
      </c>
      <c r="M14373">
        <v>0.81299999999999994</v>
      </c>
      <c r="N14373">
        <v>0.66</v>
      </c>
    </row>
    <row r="14374" spans="1:14" x14ac:dyDescent="0.25">
      <c r="A14374" t="s">
        <v>24414</v>
      </c>
      <c r="B14374" t="s">
        <v>16868</v>
      </c>
      <c r="C14374" s="1" t="str">
        <f>HYPERLINK("http://www.genecards.org/cgi-bin/carddisp.pl?gene=TRIM23","GeneCards")</f>
        <v>GeneCards</v>
      </c>
      <c r="D14374" s="1" t="str">
        <f>HYPERLINK("http://genome-euro.ucsc.edu/cgi-bin/hgTracks?position=210995_s_at","UCSC")</f>
        <v>UCSC</v>
      </c>
      <c r="E14374" s="1" t="str">
        <f>HYPERLINK("http://www.ncbi.nlm.nih.gov/gene/?term=TRIM23","NCBI")</f>
        <v>NCBI</v>
      </c>
      <c r="F14374">
        <v>0.56000000000000005</v>
      </c>
      <c r="G14374">
        <v>0.65</v>
      </c>
      <c r="H14374" s="1" t="str">
        <f>HYPERLINK("http://www.weizmann.ac.il/complex/compphys/software/geview/data/figures/210995_s_at.png","Figure")</f>
        <v>Figure</v>
      </c>
      <c r="I14374">
        <v>1</v>
      </c>
      <c r="J14374">
        <v>1</v>
      </c>
      <c r="K14374">
        <v>0.99299999999999999</v>
      </c>
      <c r="L14374">
        <v>0.62</v>
      </c>
      <c r="M14374">
        <v>0.99299999999999999</v>
      </c>
      <c r="N14374">
        <v>0.66</v>
      </c>
    </row>
    <row r="14375" spans="1:14" x14ac:dyDescent="0.25">
      <c r="A14375" t="s">
        <v>24415</v>
      </c>
      <c r="B14375" t="s">
        <v>24416</v>
      </c>
      <c r="C14375" s="1" t="str">
        <f>HYPERLINK("http://www.genecards.org/cgi-bin/carddisp.pl?gene=PYY","GeneCards")</f>
        <v>GeneCards</v>
      </c>
      <c r="D14375" s="1" t="str">
        <f>HYPERLINK("http://genome-euro.ucsc.edu/cgi-bin/hgTracks?position=211253_x_at","UCSC")</f>
        <v>UCSC</v>
      </c>
      <c r="E14375" s="1" t="str">
        <f>HYPERLINK("http://www.ncbi.nlm.nih.gov/gene/?term=PYY","NCBI")</f>
        <v>NCBI</v>
      </c>
      <c r="F14375">
        <v>0.55000000000000004</v>
      </c>
      <c r="G14375">
        <v>0.65</v>
      </c>
      <c r="H14375" s="1" t="str">
        <f>HYPERLINK("http://www.weizmann.ac.il/complex/compphys/software/geview/data/figures/211253_x_at.png","Figure")</f>
        <v>Figure</v>
      </c>
      <c r="I14375">
        <v>1.06</v>
      </c>
      <c r="J14375">
        <v>0.71</v>
      </c>
      <c r="K14375">
        <v>0.98199999999999998</v>
      </c>
      <c r="L14375">
        <v>0.96</v>
      </c>
      <c r="M14375">
        <v>0.92400000000000004</v>
      </c>
      <c r="N14375">
        <v>0.52</v>
      </c>
    </row>
    <row r="14376" spans="1:14" x14ac:dyDescent="0.25">
      <c r="A14376" t="s">
        <v>24417</v>
      </c>
      <c r="B14376" t="s">
        <v>14742</v>
      </c>
      <c r="C14376" s="1" t="str">
        <f>HYPERLINK("http://www.genecards.org/cgi-bin/carddisp.pl?gene=CACNA1G","GeneCards")</f>
        <v>GeneCards</v>
      </c>
      <c r="D14376" s="1" t="str">
        <f>HYPERLINK("http://genome-euro.ucsc.edu/cgi-bin/hgTracks?position=211315_s_at","UCSC")</f>
        <v>UCSC</v>
      </c>
      <c r="E14376" s="1" t="str">
        <f>HYPERLINK("http://www.ncbi.nlm.nih.gov/gene/?term=CACNA1G","NCBI")</f>
        <v>NCBI</v>
      </c>
      <c r="F14376">
        <v>0.56000000000000005</v>
      </c>
      <c r="G14376">
        <v>0.65</v>
      </c>
      <c r="H14376" s="1" t="str">
        <f>HYPERLINK("http://www.weizmann.ac.il/complex/compphys/software/geview/data/figures/211315_s_at.png","Figure")</f>
        <v>Figure</v>
      </c>
      <c r="I14376">
        <v>1</v>
      </c>
      <c r="J14376">
        <v>1</v>
      </c>
      <c r="K14376">
        <v>0.99099999999999999</v>
      </c>
      <c r="L14376">
        <v>0.62</v>
      </c>
      <c r="M14376">
        <v>0.99099999999999999</v>
      </c>
      <c r="N14376">
        <v>0.66</v>
      </c>
    </row>
    <row r="14377" spans="1:14" x14ac:dyDescent="0.25">
      <c r="A14377" t="s">
        <v>24418</v>
      </c>
      <c r="B14377" t="s">
        <v>15756</v>
      </c>
      <c r="C14377" s="1" t="str">
        <f>HYPERLINK("http://www.genecards.org/cgi-bin/carddisp.pl?gene=CDC14B","GeneCards")</f>
        <v>GeneCards</v>
      </c>
      <c r="D14377" s="1" t="str">
        <f>HYPERLINK("http://genome-euro.ucsc.edu/cgi-bin/hgTracks?position=211347_at","UCSC")</f>
        <v>UCSC</v>
      </c>
      <c r="E14377" s="1" t="str">
        <f>HYPERLINK("http://www.ncbi.nlm.nih.gov/gene/?term=CDC14B","NCBI")</f>
        <v>NCBI</v>
      </c>
      <c r="F14377">
        <v>0.56000000000000005</v>
      </c>
      <c r="G14377">
        <v>0.65</v>
      </c>
      <c r="H14377" s="1" t="str">
        <f>HYPERLINK("http://www.weizmann.ac.il/complex/compphys/software/geview/data/figures/211347_at.png","Figure")</f>
        <v>Figure</v>
      </c>
      <c r="I14377">
        <v>0.94599999999999995</v>
      </c>
      <c r="J14377">
        <v>0.66</v>
      </c>
      <c r="K14377">
        <v>0.94499999999999995</v>
      </c>
      <c r="L14377">
        <v>0.56999999999999995</v>
      </c>
      <c r="M14377">
        <v>0.999</v>
      </c>
      <c r="N14377">
        <v>1</v>
      </c>
    </row>
    <row r="14378" spans="1:14" x14ac:dyDescent="0.25">
      <c r="A14378" t="s">
        <v>24419</v>
      </c>
      <c r="B14378" t="s">
        <v>24420</v>
      </c>
      <c r="C14378" s="1" t="str">
        <f>HYPERLINK("http://www.genecards.org/cgi-bin/carddisp.pl?gene=DSTYK","GeneCards")</f>
        <v>GeneCards</v>
      </c>
      <c r="D14378" s="1" t="str">
        <f>HYPERLINK("http://genome-euro.ucsc.edu/cgi-bin/hgTracks?position=211515_s_at","UCSC")</f>
        <v>UCSC</v>
      </c>
      <c r="E14378" s="1" t="str">
        <f>HYPERLINK("http://www.ncbi.nlm.nih.gov/gene/?term=DSTYK","NCBI")</f>
        <v>NCBI</v>
      </c>
      <c r="F14378">
        <v>0.56000000000000005</v>
      </c>
      <c r="G14378">
        <v>0.65</v>
      </c>
      <c r="H14378" s="1" t="str">
        <f>HYPERLINK("http://www.weizmann.ac.il/complex/compphys/software/geview/data/figures/211515_s_at.png","Figure")</f>
        <v>Figure</v>
      </c>
      <c r="I14378">
        <v>1</v>
      </c>
      <c r="J14378">
        <v>1</v>
      </c>
      <c r="K14378">
        <v>0.99399999999999999</v>
      </c>
      <c r="L14378">
        <v>0.62</v>
      </c>
      <c r="M14378">
        <v>0.99399999999999999</v>
      </c>
      <c r="N14378">
        <v>0.66</v>
      </c>
    </row>
    <row r="14379" spans="1:14" x14ac:dyDescent="0.25">
      <c r="A14379" t="s">
        <v>24421</v>
      </c>
      <c r="B14379" t="s">
        <v>24422</v>
      </c>
      <c r="C14379" s="1" t="str">
        <f>HYPERLINK("http://www.genecards.org/cgi-bin/carddisp.pl?gene=ALPP /// ALPPL2","GeneCards")</f>
        <v>GeneCards</v>
      </c>
      <c r="D14379" s="1" t="str">
        <f>HYPERLINK("http://genome-euro.ucsc.edu/cgi-bin/hgTracks?position=211619_s_at","UCSC")</f>
        <v>UCSC</v>
      </c>
      <c r="E14379" s="1" t="str">
        <f>HYPERLINK("http://www.ncbi.nlm.nih.gov/gene/?term=ALPP /// ALPPL2","NCBI")</f>
        <v>NCBI</v>
      </c>
      <c r="F14379">
        <v>0.56000000000000005</v>
      </c>
      <c r="G14379">
        <v>0.65</v>
      </c>
      <c r="H14379" s="1" t="str">
        <f>HYPERLINK("http://www.weizmann.ac.il/complex/compphys/software/geview/data/figures/211619_s_at.png","Figure")</f>
        <v>Figure</v>
      </c>
      <c r="I14379">
        <v>1</v>
      </c>
      <c r="J14379">
        <v>1</v>
      </c>
      <c r="K14379">
        <v>0.998</v>
      </c>
      <c r="L14379">
        <v>0.62</v>
      </c>
      <c r="M14379">
        <v>0.998</v>
      </c>
      <c r="N14379">
        <v>0.66</v>
      </c>
    </row>
    <row r="14380" spans="1:14" x14ac:dyDescent="0.25">
      <c r="A14380" t="s">
        <v>24423</v>
      </c>
      <c r="B14380" t="s">
        <v>24424</v>
      </c>
      <c r="C14380" s="1" t="str">
        <f>HYPERLINK("http://www.genecards.org/cgi-bin/carddisp.pl?gene=ZNF551","GeneCards")</f>
        <v>GeneCards</v>
      </c>
      <c r="D14380" s="1" t="str">
        <f>HYPERLINK("http://genome-euro.ucsc.edu/cgi-bin/hgTracks?position=211721_s_at","UCSC")</f>
        <v>UCSC</v>
      </c>
      <c r="E14380" s="1" t="str">
        <f>HYPERLINK("http://www.ncbi.nlm.nih.gov/gene/?term=ZNF551","NCBI")</f>
        <v>NCBI</v>
      </c>
      <c r="F14380">
        <v>0.56000000000000005</v>
      </c>
      <c r="G14380">
        <v>0.65</v>
      </c>
      <c r="H14380" s="1" t="str">
        <f>HYPERLINK("http://www.weizmann.ac.il/complex/compphys/software/geview/data/figures/211721_s_at.png","Figure")</f>
        <v>Figure</v>
      </c>
      <c r="I14380">
        <v>1</v>
      </c>
      <c r="J14380">
        <v>1</v>
      </c>
      <c r="K14380">
        <v>0.97899999999999998</v>
      </c>
      <c r="L14380">
        <v>0.62</v>
      </c>
      <c r="M14380">
        <v>0.97899999999999998</v>
      </c>
      <c r="N14380">
        <v>0.66</v>
      </c>
    </row>
    <row r="14381" spans="1:14" x14ac:dyDescent="0.25">
      <c r="A14381" t="s">
        <v>24425</v>
      </c>
      <c r="B14381" t="s">
        <v>19313</v>
      </c>
      <c r="C14381" s="1" t="str">
        <f>HYPERLINK("http://www.genecards.org/cgi-bin/carddisp.pl?gene=CELA3A","GeneCards")</f>
        <v>GeneCards</v>
      </c>
      <c r="D14381" s="1" t="str">
        <f>HYPERLINK("http://genome-euro.ucsc.edu/cgi-bin/hgTracks?position=211738_x_at","UCSC")</f>
        <v>UCSC</v>
      </c>
      <c r="E14381" s="1" t="str">
        <f>HYPERLINK("http://www.ncbi.nlm.nih.gov/gene/?term=CELA3A","NCBI")</f>
        <v>NCBI</v>
      </c>
      <c r="F14381">
        <v>0.56000000000000005</v>
      </c>
      <c r="G14381">
        <v>0.65</v>
      </c>
      <c r="H14381" s="1" t="str">
        <f>HYPERLINK("http://www.weizmann.ac.il/complex/compphys/software/geview/data/figures/211738_x_at.png","Figure")</f>
        <v>Figure</v>
      </c>
      <c r="I14381">
        <v>1.07</v>
      </c>
      <c r="J14381">
        <v>0.55000000000000004</v>
      </c>
      <c r="K14381">
        <v>1.04</v>
      </c>
      <c r="L14381">
        <v>0.72</v>
      </c>
      <c r="M14381">
        <v>0.97699999999999998</v>
      </c>
      <c r="N14381">
        <v>0.91</v>
      </c>
    </row>
    <row r="14382" spans="1:14" x14ac:dyDescent="0.25">
      <c r="A14382" t="s">
        <v>24426</v>
      </c>
      <c r="B14382" t="s">
        <v>24427</v>
      </c>
      <c r="C14382" s="1" t="str">
        <f>HYPERLINK("http://www.genecards.org/cgi-bin/carddisp.pl?gene=PARD6B","GeneCards")</f>
        <v>GeneCards</v>
      </c>
      <c r="D14382" s="1" t="str">
        <f>HYPERLINK("http://genome-euro.ucsc.edu/cgi-bin/hgTracks?position=211907_s_at","UCSC")</f>
        <v>UCSC</v>
      </c>
      <c r="E14382" s="1" t="str">
        <f>HYPERLINK("http://www.ncbi.nlm.nih.gov/gene/?term=PARD6B","NCBI")</f>
        <v>NCBI</v>
      </c>
      <c r="F14382">
        <v>0.56000000000000005</v>
      </c>
      <c r="G14382">
        <v>0.65</v>
      </c>
      <c r="H14382" s="1" t="str">
        <f>HYPERLINK("http://www.weizmann.ac.il/complex/compphys/software/geview/data/figures/211907_s_at.png","Figure")</f>
        <v>Figure</v>
      </c>
      <c r="I14382">
        <v>1</v>
      </c>
      <c r="J14382">
        <v>1</v>
      </c>
      <c r="K14382">
        <v>0.995</v>
      </c>
      <c r="L14382">
        <v>0.62</v>
      </c>
      <c r="M14382">
        <v>0.995</v>
      </c>
      <c r="N14382">
        <v>0.66</v>
      </c>
    </row>
    <row r="14383" spans="1:14" x14ac:dyDescent="0.25">
      <c r="A14383" t="s">
        <v>24428</v>
      </c>
      <c r="B14383" t="s">
        <v>7199</v>
      </c>
      <c r="C14383" s="1" t="str">
        <f>HYPERLINK("http://www.genecards.org/cgi-bin/carddisp.pl?gene=C1orf144","GeneCards")</f>
        <v>GeneCards</v>
      </c>
      <c r="D14383" s="1" t="str">
        <f>HYPERLINK("http://genome-euro.ucsc.edu/cgi-bin/hgTracks?position=212005_at","UCSC")</f>
        <v>UCSC</v>
      </c>
      <c r="E14383" s="1" t="str">
        <f>HYPERLINK("http://www.ncbi.nlm.nih.gov/gene/?term=C1orf144","NCBI")</f>
        <v>NCBI</v>
      </c>
      <c r="F14383">
        <v>0.55000000000000004</v>
      </c>
      <c r="G14383">
        <v>0.65</v>
      </c>
      <c r="H14383" s="1" t="str">
        <f>HYPERLINK("http://www.weizmann.ac.il/complex/compphys/software/geview/data/figures/212005_at.png","Figure")</f>
        <v>Figure</v>
      </c>
      <c r="I14383">
        <v>1.04</v>
      </c>
      <c r="J14383">
        <v>0.94</v>
      </c>
      <c r="K14383">
        <v>0.93400000000000005</v>
      </c>
      <c r="L14383">
        <v>0.74</v>
      </c>
      <c r="M14383">
        <v>0.90200000000000002</v>
      </c>
      <c r="N14383">
        <v>0.56000000000000005</v>
      </c>
    </row>
    <row r="14384" spans="1:14" x14ac:dyDescent="0.25">
      <c r="A14384" t="s">
        <v>24429</v>
      </c>
      <c r="B14384" t="s">
        <v>16579</v>
      </c>
      <c r="C14384" s="1" t="str">
        <f>HYPERLINK("http://www.genecards.org/cgi-bin/carddisp.pl?gene=RPL7","GeneCards")</f>
        <v>GeneCards</v>
      </c>
      <c r="D14384" s="1" t="str">
        <f>HYPERLINK("http://genome-euro.ucsc.edu/cgi-bin/hgTracks?position=212042_x_at","UCSC")</f>
        <v>UCSC</v>
      </c>
      <c r="E14384" s="1" t="str">
        <f>HYPERLINK("http://www.ncbi.nlm.nih.gov/gene/?term=RPL7","NCBI")</f>
        <v>NCBI</v>
      </c>
      <c r="F14384">
        <v>0.55000000000000004</v>
      </c>
      <c r="G14384">
        <v>0.65</v>
      </c>
      <c r="H14384" s="1" t="str">
        <f>HYPERLINK("http://www.weizmann.ac.il/complex/compphys/software/geview/data/figures/212042_x_at.png","Figure")</f>
        <v>Figure</v>
      </c>
      <c r="I14384">
        <v>1.02</v>
      </c>
      <c r="J14384">
        <v>0.98</v>
      </c>
      <c r="K14384">
        <v>0.94199999999999995</v>
      </c>
      <c r="L14384">
        <v>0.69</v>
      </c>
      <c r="M14384">
        <v>0.92600000000000005</v>
      </c>
      <c r="N14384">
        <v>0.57999999999999996</v>
      </c>
    </row>
    <row r="14385" spans="1:14" x14ac:dyDescent="0.25">
      <c r="A14385" t="s">
        <v>24430</v>
      </c>
      <c r="B14385" t="s">
        <v>20472</v>
      </c>
      <c r="C14385" s="1" t="str">
        <f>HYPERLINK("http://www.genecards.org/cgi-bin/carddisp.pl?gene=CAV1","GeneCards")</f>
        <v>GeneCards</v>
      </c>
      <c r="D14385" s="1" t="str">
        <f>HYPERLINK("http://genome-euro.ucsc.edu/cgi-bin/hgTracks?position=212097_at","UCSC")</f>
        <v>UCSC</v>
      </c>
      <c r="E14385" s="1" t="str">
        <f>HYPERLINK("http://www.ncbi.nlm.nih.gov/gene/?term=CAV1","NCBI")</f>
        <v>NCBI</v>
      </c>
      <c r="F14385">
        <v>0.56000000000000005</v>
      </c>
      <c r="G14385">
        <v>0.65</v>
      </c>
      <c r="H14385" s="1" t="str">
        <f>HYPERLINK("http://www.weizmann.ac.il/complex/compphys/software/geview/data/figures/212097_at.png","Figure")</f>
        <v>Figure</v>
      </c>
      <c r="I14385">
        <v>1</v>
      </c>
      <c r="J14385">
        <v>1</v>
      </c>
      <c r="K14385">
        <v>0.89300000000000002</v>
      </c>
      <c r="L14385">
        <v>0.62</v>
      </c>
      <c r="M14385">
        <v>0.89300000000000002</v>
      </c>
      <c r="N14385">
        <v>0.66</v>
      </c>
    </row>
    <row r="14386" spans="1:14" x14ac:dyDescent="0.25">
      <c r="A14386" t="s">
        <v>24431</v>
      </c>
      <c r="B14386" t="s">
        <v>12599</v>
      </c>
      <c r="C14386" s="1" t="str">
        <f>HYPERLINK("http://www.genecards.org/cgi-bin/carddisp.pl?gene=KPNA6","GeneCards")</f>
        <v>GeneCards</v>
      </c>
      <c r="D14386" s="1" t="str">
        <f>HYPERLINK("http://genome-euro.ucsc.edu/cgi-bin/hgTracks?position=212102_s_at","UCSC")</f>
        <v>UCSC</v>
      </c>
      <c r="E14386" s="1" t="str">
        <f>HYPERLINK("http://www.ncbi.nlm.nih.gov/gene/?term=KPNA6","NCBI")</f>
        <v>NCBI</v>
      </c>
      <c r="F14386">
        <v>0.56000000000000005</v>
      </c>
      <c r="G14386">
        <v>0.65</v>
      </c>
      <c r="H14386" s="1" t="str">
        <f>HYPERLINK("http://www.weizmann.ac.il/complex/compphys/software/geview/data/figures/212102_s_at.png","Figure")</f>
        <v>Figure</v>
      </c>
      <c r="I14386">
        <v>1</v>
      </c>
      <c r="J14386">
        <v>1</v>
      </c>
      <c r="K14386">
        <v>0.998</v>
      </c>
      <c r="L14386">
        <v>0.62</v>
      </c>
      <c r="M14386">
        <v>0.998</v>
      </c>
      <c r="N14386">
        <v>0.66</v>
      </c>
    </row>
    <row r="14387" spans="1:14" x14ac:dyDescent="0.25">
      <c r="A14387" t="s">
        <v>24432</v>
      </c>
      <c r="B14387" t="s">
        <v>20923</v>
      </c>
      <c r="C14387" s="1" t="str">
        <f>HYPERLINK("http://www.genecards.org/cgi-bin/carddisp.pl?gene=RHOQ","GeneCards")</f>
        <v>GeneCards</v>
      </c>
      <c r="D14387" s="1" t="str">
        <f>HYPERLINK("http://genome-euro.ucsc.edu/cgi-bin/hgTracks?position=212122_at","UCSC")</f>
        <v>UCSC</v>
      </c>
      <c r="E14387" s="1" t="str">
        <f>HYPERLINK("http://www.ncbi.nlm.nih.gov/gene/?term=RHOQ","NCBI")</f>
        <v>NCBI</v>
      </c>
      <c r="F14387">
        <v>0.56000000000000005</v>
      </c>
      <c r="G14387">
        <v>0.65</v>
      </c>
      <c r="H14387" s="1" t="str">
        <f>HYPERLINK("http://www.weizmann.ac.il/complex/compphys/software/geview/data/figures/212122_at.png","Figure")</f>
        <v>Figure</v>
      </c>
      <c r="I14387">
        <v>1</v>
      </c>
      <c r="J14387">
        <v>1</v>
      </c>
      <c r="K14387">
        <v>0.97399999999999998</v>
      </c>
      <c r="L14387">
        <v>0.62</v>
      </c>
      <c r="M14387">
        <v>0.97399999999999998</v>
      </c>
      <c r="N14387">
        <v>0.66</v>
      </c>
    </row>
    <row r="14388" spans="1:14" x14ac:dyDescent="0.25">
      <c r="A14388" t="s">
        <v>24433</v>
      </c>
      <c r="B14388" t="s">
        <v>24434</v>
      </c>
      <c r="C14388" s="1" t="str">
        <f>HYPERLINK("http://www.genecards.org/cgi-bin/carddisp.pl?gene=GNG12","GeneCards")</f>
        <v>GeneCards</v>
      </c>
      <c r="D14388" s="1" t="str">
        <f>HYPERLINK("http://genome-euro.ucsc.edu/cgi-bin/hgTracks?position=212294_at","UCSC")</f>
        <v>UCSC</v>
      </c>
      <c r="E14388" s="1" t="str">
        <f>HYPERLINK("http://www.ncbi.nlm.nih.gov/gene/?term=GNG12","NCBI")</f>
        <v>NCBI</v>
      </c>
      <c r="F14388">
        <v>0.56000000000000005</v>
      </c>
      <c r="G14388">
        <v>0.65</v>
      </c>
      <c r="H14388" s="1" t="str">
        <f>HYPERLINK("http://www.weizmann.ac.il/complex/compphys/software/geview/data/figures/212294_at.png","Figure")</f>
        <v>Figure</v>
      </c>
      <c r="I14388">
        <v>1</v>
      </c>
      <c r="J14388">
        <v>1</v>
      </c>
      <c r="K14388">
        <v>0.97499999999999998</v>
      </c>
      <c r="L14388">
        <v>0.62</v>
      </c>
      <c r="M14388">
        <v>0.97499999999999998</v>
      </c>
      <c r="N14388">
        <v>0.66</v>
      </c>
    </row>
    <row r="14389" spans="1:14" x14ac:dyDescent="0.25">
      <c r="A14389" t="s">
        <v>24435</v>
      </c>
      <c r="B14389" t="s">
        <v>1948</v>
      </c>
      <c r="C14389" s="1" t="str">
        <f>HYPERLINK("http://www.genecards.org/cgi-bin/carddisp.pl?gene=EP400","GeneCards")</f>
        <v>GeneCards</v>
      </c>
      <c r="D14389" s="1" t="str">
        <f>HYPERLINK("http://genome-euro.ucsc.edu/cgi-bin/hgTracks?position=212375_at","UCSC")</f>
        <v>UCSC</v>
      </c>
      <c r="E14389" s="1" t="str">
        <f>HYPERLINK("http://www.ncbi.nlm.nih.gov/gene/?term=EP400","NCBI")</f>
        <v>NCBI</v>
      </c>
      <c r="F14389">
        <v>0.54</v>
      </c>
      <c r="G14389">
        <v>0.65</v>
      </c>
      <c r="H14389" s="1" t="str">
        <f>HYPERLINK("http://www.weizmann.ac.il/complex/compphys/software/geview/data/figures/212375_at.png","Figure")</f>
        <v>Figure</v>
      </c>
      <c r="I14389">
        <v>1.1100000000000001</v>
      </c>
      <c r="J14389">
        <v>0.6</v>
      </c>
      <c r="K14389">
        <v>1.0900000000000001</v>
      </c>
      <c r="L14389">
        <v>0.6</v>
      </c>
      <c r="M14389">
        <v>0.98599999999999999</v>
      </c>
      <c r="N14389">
        <v>0.99</v>
      </c>
    </row>
    <row r="14390" spans="1:14" x14ac:dyDescent="0.25">
      <c r="A14390" t="s">
        <v>24436</v>
      </c>
      <c r="B14390" t="s">
        <v>2479</v>
      </c>
      <c r="C14390" s="1" t="str">
        <f>HYPERLINK("http://www.genecards.org/cgi-bin/carddisp.pl?gene=UBE3B","GeneCards")</f>
        <v>GeneCards</v>
      </c>
      <c r="D14390" s="1" t="str">
        <f>HYPERLINK("http://genome-euro.ucsc.edu/cgi-bin/hgTracks?position=212403_at","UCSC")</f>
        <v>UCSC</v>
      </c>
      <c r="E14390" s="1" t="str">
        <f>HYPERLINK("http://www.ncbi.nlm.nih.gov/gene/?term=UBE3B","NCBI")</f>
        <v>NCBI</v>
      </c>
      <c r="F14390">
        <v>0.55000000000000004</v>
      </c>
      <c r="G14390">
        <v>0.65</v>
      </c>
      <c r="H14390" s="1" t="str">
        <f>HYPERLINK("http://www.weizmann.ac.il/complex/compphys/software/geview/data/figures/212403_at.png","Figure")</f>
        <v>Figure</v>
      </c>
      <c r="I14390">
        <v>0.84499999999999997</v>
      </c>
      <c r="J14390">
        <v>0.6</v>
      </c>
      <c r="K14390">
        <v>0.99399999999999999</v>
      </c>
      <c r="L14390">
        <v>1</v>
      </c>
      <c r="M14390">
        <v>1.18</v>
      </c>
      <c r="N14390">
        <v>0.57999999999999996</v>
      </c>
    </row>
    <row r="14391" spans="1:14" x14ac:dyDescent="0.25">
      <c r="A14391" t="s">
        <v>24437</v>
      </c>
      <c r="B14391" t="s">
        <v>6738</v>
      </c>
      <c r="C14391" s="1" t="str">
        <f>HYPERLINK("http://www.genecards.org/cgi-bin/carddisp.pl?gene=GTF3C2","GeneCards")</f>
        <v>GeneCards</v>
      </c>
      <c r="D14391" s="1" t="str">
        <f>HYPERLINK("http://genome-euro.ucsc.edu/cgi-bin/hgTracks?position=212429_s_at","UCSC")</f>
        <v>UCSC</v>
      </c>
      <c r="E14391" s="1" t="str">
        <f>HYPERLINK("http://www.ncbi.nlm.nih.gov/gene/?term=GTF3C2","NCBI")</f>
        <v>NCBI</v>
      </c>
      <c r="F14391">
        <v>0.55000000000000004</v>
      </c>
      <c r="G14391">
        <v>0.65</v>
      </c>
      <c r="H14391" s="1" t="str">
        <f>HYPERLINK("http://www.weizmann.ac.il/complex/compphys/software/geview/data/figures/212429_s_at.png","Figure")</f>
        <v>Figure</v>
      </c>
      <c r="I14391">
        <v>1.06</v>
      </c>
      <c r="J14391">
        <v>0.94</v>
      </c>
      <c r="K14391">
        <v>1.19</v>
      </c>
      <c r="L14391">
        <v>0.53</v>
      </c>
      <c r="M14391">
        <v>1.1200000000000001</v>
      </c>
      <c r="N14391">
        <v>0.79</v>
      </c>
    </row>
    <row r="14392" spans="1:14" x14ac:dyDescent="0.25">
      <c r="A14392" t="s">
        <v>24438</v>
      </c>
      <c r="B14392" t="s">
        <v>16614</v>
      </c>
      <c r="C14392" s="1" t="str">
        <f>HYPERLINK("http://www.genecards.org/cgi-bin/carddisp.pl?gene=ZNF24","GeneCards")</f>
        <v>GeneCards</v>
      </c>
      <c r="D14392" s="1" t="str">
        <f>HYPERLINK("http://genome-euro.ucsc.edu/cgi-bin/hgTracks?position=212534_at","UCSC")</f>
        <v>UCSC</v>
      </c>
      <c r="E14392" s="1" t="str">
        <f>HYPERLINK("http://www.ncbi.nlm.nih.gov/gene/?term=ZNF24","NCBI")</f>
        <v>NCBI</v>
      </c>
      <c r="F14392">
        <v>0.55000000000000004</v>
      </c>
      <c r="G14392">
        <v>0.65</v>
      </c>
      <c r="H14392" s="1" t="str">
        <f>HYPERLINK("http://www.weizmann.ac.il/complex/compphys/software/geview/data/figures/212534_at.png","Figure")</f>
        <v>Figure</v>
      </c>
      <c r="I14392">
        <v>1.0900000000000001</v>
      </c>
      <c r="J14392">
        <v>0.86</v>
      </c>
      <c r="K14392">
        <v>1.18</v>
      </c>
      <c r="L14392">
        <v>0.52</v>
      </c>
      <c r="M14392">
        <v>1.08</v>
      </c>
      <c r="N14392">
        <v>0.88</v>
      </c>
    </row>
    <row r="14393" spans="1:14" x14ac:dyDescent="0.25">
      <c r="A14393" t="s">
        <v>24439</v>
      </c>
      <c r="B14393" t="s">
        <v>24440</v>
      </c>
      <c r="C14393" s="1" t="str">
        <f>HYPERLINK("http://www.genecards.org/cgi-bin/carddisp.pl?gene=TUBB4","GeneCards")</f>
        <v>GeneCards</v>
      </c>
      <c r="D14393" s="1" t="str">
        <f>HYPERLINK("http://genome-euro.ucsc.edu/cgi-bin/hgTracks?position=212664_at","UCSC")</f>
        <v>UCSC</v>
      </c>
      <c r="E14393" s="1" t="str">
        <f>HYPERLINK("http://www.ncbi.nlm.nih.gov/gene/?term=TUBB4","NCBI")</f>
        <v>NCBI</v>
      </c>
      <c r="F14393">
        <v>0.55000000000000004</v>
      </c>
      <c r="G14393">
        <v>0.65</v>
      </c>
      <c r="H14393" s="1" t="str">
        <f>HYPERLINK("http://www.weizmann.ac.il/complex/compphys/software/geview/data/figures/212664_at.png","Figure")</f>
        <v>Figure</v>
      </c>
      <c r="I14393">
        <v>1.0900000000000001</v>
      </c>
      <c r="J14393">
        <v>0.66</v>
      </c>
      <c r="K14393">
        <v>0.98899999999999999</v>
      </c>
      <c r="L14393">
        <v>0.99</v>
      </c>
      <c r="M14393">
        <v>0.90500000000000003</v>
      </c>
      <c r="N14393">
        <v>0.55000000000000004</v>
      </c>
    </row>
    <row r="14394" spans="1:14" x14ac:dyDescent="0.25">
      <c r="A14394" t="s">
        <v>24441</v>
      </c>
      <c r="B14394" t="s">
        <v>14245</v>
      </c>
      <c r="C14394" s="1" t="str">
        <f>HYPERLINK("http://www.genecards.org/cgi-bin/carddisp.pl?gene=NUP160","GeneCards")</f>
        <v>GeneCards</v>
      </c>
      <c r="D14394" s="1" t="str">
        <f>HYPERLINK("http://genome-euro.ucsc.edu/cgi-bin/hgTracks?position=212709_at","UCSC")</f>
        <v>UCSC</v>
      </c>
      <c r="E14394" s="1" t="str">
        <f>HYPERLINK("http://www.ncbi.nlm.nih.gov/gene/?term=NUP160","NCBI")</f>
        <v>NCBI</v>
      </c>
      <c r="F14394">
        <v>0.55000000000000004</v>
      </c>
      <c r="G14394">
        <v>0.65</v>
      </c>
      <c r="H14394" s="1" t="str">
        <f>HYPERLINK("http://www.weizmann.ac.il/complex/compphys/software/geview/data/figures/212709_at.png","Figure")</f>
        <v>Figure</v>
      </c>
      <c r="I14394">
        <v>0.84399999999999997</v>
      </c>
      <c r="J14394">
        <v>0.55000000000000004</v>
      </c>
      <c r="K14394">
        <v>0.89200000000000002</v>
      </c>
      <c r="L14394">
        <v>0.69</v>
      </c>
      <c r="M14394">
        <v>1.06</v>
      </c>
      <c r="N14394">
        <v>0.93</v>
      </c>
    </row>
    <row r="14395" spans="1:14" x14ac:dyDescent="0.25">
      <c r="A14395" t="s">
        <v>24442</v>
      </c>
      <c r="B14395" t="s">
        <v>24443</v>
      </c>
      <c r="C14395" s="1" t="str">
        <f>HYPERLINK("http://www.genecards.org/cgi-bin/carddisp.pl?gene=TUG1","GeneCards")</f>
        <v>GeneCards</v>
      </c>
      <c r="D14395" s="1" t="str">
        <f>HYPERLINK("http://genome-euro.ucsc.edu/cgi-bin/hgTracks?position=212725_s_at","UCSC")</f>
        <v>UCSC</v>
      </c>
      <c r="E14395" s="1" t="str">
        <f>HYPERLINK("http://www.ncbi.nlm.nih.gov/gene/?term=TUG1","NCBI")</f>
        <v>NCBI</v>
      </c>
      <c r="F14395">
        <v>0.55000000000000004</v>
      </c>
      <c r="G14395">
        <v>0.65</v>
      </c>
      <c r="H14395" s="1" t="str">
        <f>HYPERLINK("http://www.weizmann.ac.il/complex/compphys/software/geview/data/figures/212725_s_at.png","Figure")</f>
        <v>Figure</v>
      </c>
      <c r="I14395">
        <v>0.79200000000000004</v>
      </c>
      <c r="J14395">
        <v>0.53</v>
      </c>
      <c r="K14395">
        <v>0.88600000000000001</v>
      </c>
      <c r="L14395">
        <v>0.79</v>
      </c>
      <c r="M14395">
        <v>1.1200000000000001</v>
      </c>
      <c r="N14395">
        <v>0.84</v>
      </c>
    </row>
    <row r="14396" spans="1:14" x14ac:dyDescent="0.25">
      <c r="A14396" t="s">
        <v>24444</v>
      </c>
      <c r="B14396" t="s">
        <v>10396</v>
      </c>
      <c r="C14396" s="1" t="str">
        <f>HYPERLINK("http://www.genecards.org/cgi-bin/carddisp.pl?gene=OBSL1","GeneCards")</f>
        <v>GeneCards</v>
      </c>
      <c r="D14396" s="1" t="str">
        <f>HYPERLINK("http://genome-euro.ucsc.edu/cgi-bin/hgTracks?position=212775_at","UCSC")</f>
        <v>UCSC</v>
      </c>
      <c r="E14396" s="1" t="str">
        <f>HYPERLINK("http://www.ncbi.nlm.nih.gov/gene/?term=OBSL1","NCBI")</f>
        <v>NCBI</v>
      </c>
      <c r="F14396">
        <v>0.56000000000000005</v>
      </c>
      <c r="G14396">
        <v>0.65</v>
      </c>
      <c r="H14396" s="1" t="str">
        <f>HYPERLINK("http://www.weizmann.ac.il/complex/compphys/software/geview/data/figures/212775_at.png","Figure")</f>
        <v>Figure</v>
      </c>
      <c r="I14396">
        <v>1</v>
      </c>
      <c r="J14396">
        <v>1</v>
      </c>
      <c r="K14396">
        <v>0.99099999999999999</v>
      </c>
      <c r="L14396">
        <v>0.62</v>
      </c>
      <c r="M14396">
        <v>0.99099999999999999</v>
      </c>
      <c r="N14396">
        <v>0.66</v>
      </c>
    </row>
    <row r="14397" spans="1:14" x14ac:dyDescent="0.25">
      <c r="A14397" t="s">
        <v>24445</v>
      </c>
      <c r="B14397" t="s">
        <v>5919</v>
      </c>
      <c r="C14397" s="1" t="str">
        <f>HYPERLINK("http://www.genecards.org/cgi-bin/carddisp.pl?gene=TROVE2","GeneCards")</f>
        <v>GeneCards</v>
      </c>
      <c r="D14397" s="1" t="str">
        <f>HYPERLINK("http://genome-euro.ucsc.edu/cgi-bin/hgTracks?position=212839_s_at","UCSC")</f>
        <v>UCSC</v>
      </c>
      <c r="E14397" s="1" t="str">
        <f>HYPERLINK("http://www.ncbi.nlm.nih.gov/gene/?term=TROVE2","NCBI")</f>
        <v>NCBI</v>
      </c>
      <c r="F14397">
        <v>0.56000000000000005</v>
      </c>
      <c r="G14397">
        <v>0.65</v>
      </c>
      <c r="H14397" s="1" t="str">
        <f>HYPERLINK("http://www.weizmann.ac.il/complex/compphys/software/geview/data/figures/212839_s_at.png","Figure")</f>
        <v>Figure</v>
      </c>
      <c r="I14397">
        <v>1</v>
      </c>
      <c r="J14397">
        <v>1</v>
      </c>
      <c r="K14397">
        <v>0.997</v>
      </c>
      <c r="L14397">
        <v>0.62</v>
      </c>
      <c r="M14397">
        <v>0.997</v>
      </c>
      <c r="N14397">
        <v>0.66</v>
      </c>
    </row>
    <row r="14398" spans="1:14" x14ac:dyDescent="0.25">
      <c r="A14398" t="s">
        <v>24446</v>
      </c>
      <c r="B14398" t="s">
        <v>24447</v>
      </c>
      <c r="C14398" s="1" t="str">
        <f>HYPERLINK("http://www.genecards.org/cgi-bin/carddisp.pl?gene=ABR","GeneCards")</f>
        <v>GeneCards</v>
      </c>
      <c r="D14398" s="1" t="str">
        <f>HYPERLINK("http://genome-euro.ucsc.edu/cgi-bin/hgTracks?position=212895_s_at","UCSC")</f>
        <v>UCSC</v>
      </c>
      <c r="E14398" s="1" t="str">
        <f>HYPERLINK("http://www.ncbi.nlm.nih.gov/gene/?term=ABR","NCBI")</f>
        <v>NCBI</v>
      </c>
      <c r="F14398">
        <v>0.55000000000000004</v>
      </c>
      <c r="G14398">
        <v>0.65</v>
      </c>
      <c r="H14398" s="1" t="str">
        <f>HYPERLINK("http://www.weizmann.ac.il/complex/compphys/software/geview/data/figures/212895_s_at.png","Figure")</f>
        <v>Figure</v>
      </c>
      <c r="I14398">
        <v>0.876</v>
      </c>
      <c r="J14398">
        <v>0.8</v>
      </c>
      <c r="K14398">
        <v>0.82</v>
      </c>
      <c r="L14398">
        <v>0.52</v>
      </c>
      <c r="M14398">
        <v>0.93600000000000005</v>
      </c>
      <c r="N14398">
        <v>0.94</v>
      </c>
    </row>
    <row r="14399" spans="1:14" x14ac:dyDescent="0.25">
      <c r="A14399" t="s">
        <v>24448</v>
      </c>
      <c r="B14399" t="s">
        <v>20706</v>
      </c>
      <c r="C14399" s="1" t="str">
        <f>HYPERLINK("http://www.genecards.org/cgi-bin/carddisp.pl?gene=FAM21A /// FAM21B /// FAM21C /// FAM21D","GeneCards")</f>
        <v>GeneCards</v>
      </c>
      <c r="D14399" s="1" t="str">
        <f>HYPERLINK("http://genome-euro.ucsc.edu/cgi-bin/hgTracks?position=212929_s_at","UCSC")</f>
        <v>UCSC</v>
      </c>
      <c r="E14399" s="1" t="str">
        <f>HYPERLINK("http://www.ncbi.nlm.nih.gov/gene/?term=FAM21A /// FAM21B /// FAM21C /// FAM21D","NCBI")</f>
        <v>NCBI</v>
      </c>
      <c r="F14399">
        <v>0.55000000000000004</v>
      </c>
      <c r="G14399">
        <v>0.65</v>
      </c>
      <c r="H14399" s="1" t="str">
        <f>HYPERLINK("http://www.weizmann.ac.il/complex/compphys/software/geview/data/figures/212929_s_at.png","Figure")</f>
        <v>Figure</v>
      </c>
      <c r="I14399">
        <v>0.875</v>
      </c>
      <c r="J14399">
        <v>0.55000000000000004</v>
      </c>
      <c r="K14399">
        <v>0.91300000000000003</v>
      </c>
      <c r="L14399">
        <v>0.69</v>
      </c>
      <c r="M14399">
        <v>1.04</v>
      </c>
      <c r="N14399">
        <v>0.93</v>
      </c>
    </row>
    <row r="14400" spans="1:14" x14ac:dyDescent="0.25">
      <c r="A14400" t="s">
        <v>24449</v>
      </c>
      <c r="B14400" t="s">
        <v>7752</v>
      </c>
      <c r="C14400" s="1" t="str">
        <f>HYPERLINK("http://www.genecards.org/cgi-bin/carddisp.pl?gene=COL6A1","GeneCards")</f>
        <v>GeneCards</v>
      </c>
      <c r="D14400" s="1" t="str">
        <f>HYPERLINK("http://genome-euro.ucsc.edu/cgi-bin/hgTracks?position=212939_at","UCSC")</f>
        <v>UCSC</v>
      </c>
      <c r="E14400" s="1" t="str">
        <f>HYPERLINK("http://www.ncbi.nlm.nih.gov/gene/?term=COL6A1","NCBI")</f>
        <v>NCBI</v>
      </c>
      <c r="F14400">
        <v>0.56000000000000005</v>
      </c>
      <c r="G14400">
        <v>0.65</v>
      </c>
      <c r="H14400" s="1" t="str">
        <f>HYPERLINK("http://www.weizmann.ac.il/complex/compphys/software/geview/data/figures/212939_at.png","Figure")</f>
        <v>Figure</v>
      </c>
      <c r="I14400">
        <v>1</v>
      </c>
      <c r="J14400">
        <v>1</v>
      </c>
      <c r="K14400">
        <v>0.99399999999999999</v>
      </c>
      <c r="L14400">
        <v>0.62</v>
      </c>
      <c r="M14400">
        <v>0.99399999999999999</v>
      </c>
      <c r="N14400">
        <v>0.66</v>
      </c>
    </row>
    <row r="14401" spans="1:14" x14ac:dyDescent="0.25">
      <c r="A14401" t="s">
        <v>24450</v>
      </c>
      <c r="B14401" t="s">
        <v>23838</v>
      </c>
      <c r="C14401" s="1" t="str">
        <f>HYPERLINK("http://www.genecards.org/cgi-bin/carddisp.pl?gene=ATP5D","GeneCards")</f>
        <v>GeneCards</v>
      </c>
      <c r="D14401" s="1" t="str">
        <f>HYPERLINK("http://genome-euro.ucsc.edu/cgi-bin/hgTracks?position=213041_s_at","UCSC")</f>
        <v>UCSC</v>
      </c>
      <c r="E14401" s="1" t="str">
        <f>HYPERLINK("http://www.ncbi.nlm.nih.gov/gene/?term=ATP5D","NCBI")</f>
        <v>NCBI</v>
      </c>
      <c r="F14401">
        <v>0.56000000000000005</v>
      </c>
      <c r="G14401">
        <v>0.65</v>
      </c>
      <c r="H14401" s="1" t="str">
        <f>HYPERLINK("http://www.weizmann.ac.il/complex/compphys/software/geview/data/figures/213041_s_at.png","Figure")</f>
        <v>Figure</v>
      </c>
      <c r="I14401">
        <v>0.81899999999999995</v>
      </c>
      <c r="J14401">
        <v>0.75</v>
      </c>
      <c r="K14401">
        <v>1.0900000000000001</v>
      </c>
      <c r="L14401">
        <v>0.93</v>
      </c>
      <c r="M14401">
        <v>1.33</v>
      </c>
      <c r="N14401">
        <v>0.53</v>
      </c>
    </row>
    <row r="14402" spans="1:14" x14ac:dyDescent="0.25">
      <c r="A14402" t="s">
        <v>24451</v>
      </c>
      <c r="B14402" t="s">
        <v>23080</v>
      </c>
      <c r="C14402" s="1" t="str">
        <f>HYPERLINK("http://www.genecards.org/cgi-bin/carddisp.pl?gene=RER1","GeneCards")</f>
        <v>GeneCards</v>
      </c>
      <c r="D14402" s="1" t="str">
        <f>HYPERLINK("http://genome-euro.ucsc.edu/cgi-bin/hgTracks?position=213296_at","UCSC")</f>
        <v>UCSC</v>
      </c>
      <c r="E14402" s="1" t="str">
        <f>HYPERLINK("http://www.ncbi.nlm.nih.gov/gene/?term=RER1","NCBI")</f>
        <v>NCBI</v>
      </c>
      <c r="F14402">
        <v>0.55000000000000004</v>
      </c>
      <c r="G14402">
        <v>0.65</v>
      </c>
      <c r="H14402" s="1" t="str">
        <f>HYPERLINK("http://www.weizmann.ac.il/complex/compphys/software/geview/data/figures/213296_at.png","Figure")</f>
        <v>Figure</v>
      </c>
      <c r="I14402">
        <v>1.1000000000000001</v>
      </c>
      <c r="J14402">
        <v>0.72</v>
      </c>
      <c r="K14402">
        <v>1.1200000000000001</v>
      </c>
      <c r="L14402">
        <v>0.54</v>
      </c>
      <c r="M14402">
        <v>1.02</v>
      </c>
      <c r="N14402">
        <v>0.98</v>
      </c>
    </row>
    <row r="14403" spans="1:14" x14ac:dyDescent="0.25">
      <c r="A14403" t="s">
        <v>24452</v>
      </c>
      <c r="B14403" t="s">
        <v>24453</v>
      </c>
      <c r="C14403" s="1" t="str">
        <f>HYPERLINK("http://www.genecards.org/cgi-bin/carddisp.pl?gene=SHANK2","GeneCards")</f>
        <v>GeneCards</v>
      </c>
      <c r="D14403" s="1" t="str">
        <f>HYPERLINK("http://genome-euro.ucsc.edu/cgi-bin/hgTracks?position=213307_at","UCSC")</f>
        <v>UCSC</v>
      </c>
      <c r="E14403" s="1" t="str">
        <f>HYPERLINK("http://www.ncbi.nlm.nih.gov/gene/?term=SHANK2","NCBI")</f>
        <v>NCBI</v>
      </c>
      <c r="F14403">
        <v>0.56000000000000005</v>
      </c>
      <c r="G14403">
        <v>0.65</v>
      </c>
      <c r="H14403" s="1" t="str">
        <f>HYPERLINK("http://www.weizmann.ac.il/complex/compphys/software/geview/data/figures/213307_at.png","Figure")</f>
        <v>Figure</v>
      </c>
      <c r="I14403">
        <v>1</v>
      </c>
      <c r="J14403">
        <v>1</v>
      </c>
      <c r="K14403">
        <v>0.94699999999999995</v>
      </c>
      <c r="L14403">
        <v>0.62</v>
      </c>
      <c r="M14403">
        <v>0.94699999999999995</v>
      </c>
      <c r="N14403">
        <v>0.66</v>
      </c>
    </row>
    <row r="14404" spans="1:14" x14ac:dyDescent="0.25">
      <c r="A14404" t="s">
        <v>24454</v>
      </c>
      <c r="B14404" t="s">
        <v>24453</v>
      </c>
      <c r="C14404" s="1" t="str">
        <f>HYPERLINK("http://www.genecards.org/cgi-bin/carddisp.pl?gene=SHANK2","GeneCards")</f>
        <v>GeneCards</v>
      </c>
      <c r="D14404" s="1" t="str">
        <f>HYPERLINK("http://genome-euro.ucsc.edu/cgi-bin/hgTracks?position=213308_at","UCSC")</f>
        <v>UCSC</v>
      </c>
      <c r="E14404" s="1" t="str">
        <f>HYPERLINK("http://www.ncbi.nlm.nih.gov/gene/?term=SHANK2","NCBI")</f>
        <v>NCBI</v>
      </c>
      <c r="F14404">
        <v>0.56000000000000005</v>
      </c>
      <c r="G14404">
        <v>0.65</v>
      </c>
      <c r="H14404" s="1" t="str">
        <f>HYPERLINK("http://www.weizmann.ac.il/complex/compphys/software/geview/data/figures/213308_at.png","Figure")</f>
        <v>Figure</v>
      </c>
      <c r="I14404">
        <v>1.02</v>
      </c>
      <c r="J14404">
        <v>0.99</v>
      </c>
      <c r="K14404">
        <v>0.91100000000000003</v>
      </c>
      <c r="L14404">
        <v>0.66</v>
      </c>
      <c r="M14404">
        <v>0.89600000000000002</v>
      </c>
      <c r="N14404">
        <v>0.61</v>
      </c>
    </row>
    <row r="14405" spans="1:14" x14ac:dyDescent="0.25">
      <c r="A14405" t="s">
        <v>24455</v>
      </c>
      <c r="B14405" t="s">
        <v>24142</v>
      </c>
      <c r="C14405" s="1" t="str">
        <f>HYPERLINK("http://www.genecards.org/cgi-bin/carddisp.pl?gene=CAV2","GeneCards")</f>
        <v>GeneCards</v>
      </c>
      <c r="D14405" s="1" t="str">
        <f>HYPERLINK("http://genome-euro.ucsc.edu/cgi-bin/hgTracks?position=213426_s_at","UCSC")</f>
        <v>UCSC</v>
      </c>
      <c r="E14405" s="1" t="str">
        <f>HYPERLINK("http://www.ncbi.nlm.nih.gov/gene/?term=CAV2","NCBI")</f>
        <v>NCBI</v>
      </c>
      <c r="F14405">
        <v>0.56000000000000005</v>
      </c>
      <c r="G14405">
        <v>0.65</v>
      </c>
      <c r="H14405" s="1" t="str">
        <f>HYPERLINK("http://www.weizmann.ac.il/complex/compphys/software/geview/data/figures/213426_s_at.png","Figure")</f>
        <v>Figure</v>
      </c>
      <c r="I14405">
        <v>1</v>
      </c>
      <c r="J14405">
        <v>1</v>
      </c>
      <c r="K14405">
        <v>0.997</v>
      </c>
      <c r="L14405">
        <v>0.62</v>
      </c>
      <c r="M14405">
        <v>0.997</v>
      </c>
      <c r="N14405">
        <v>0.66</v>
      </c>
    </row>
    <row r="14406" spans="1:14" x14ac:dyDescent="0.25">
      <c r="A14406" t="s">
        <v>24456</v>
      </c>
      <c r="B14406" t="s">
        <v>2622</v>
      </c>
      <c r="C14406" s="1" t="str">
        <f>HYPERLINK("http://www.genecards.org/cgi-bin/carddisp.pl?gene=TRADD","GeneCards")</f>
        <v>GeneCards</v>
      </c>
      <c r="D14406" s="1" t="str">
        <f>HYPERLINK("http://genome-euro.ucsc.edu/cgi-bin/hgTracks?position=213443_at","UCSC")</f>
        <v>UCSC</v>
      </c>
      <c r="E14406" s="1" t="str">
        <f>HYPERLINK("http://www.ncbi.nlm.nih.gov/gene/?term=TRADD","NCBI")</f>
        <v>NCBI</v>
      </c>
      <c r="F14406">
        <v>0.56000000000000005</v>
      </c>
      <c r="G14406">
        <v>0.65</v>
      </c>
      <c r="H14406" s="1" t="str">
        <f>HYPERLINK("http://www.weizmann.ac.il/complex/compphys/software/geview/data/figures/213443_at.png","Figure")</f>
        <v>Figure</v>
      </c>
      <c r="I14406">
        <v>1</v>
      </c>
      <c r="J14406">
        <v>1</v>
      </c>
      <c r="K14406">
        <v>0.98799999999999999</v>
      </c>
      <c r="L14406">
        <v>0.62</v>
      </c>
      <c r="M14406">
        <v>0.98799999999999999</v>
      </c>
      <c r="N14406">
        <v>0.66</v>
      </c>
    </row>
    <row r="14407" spans="1:14" x14ac:dyDescent="0.25">
      <c r="A14407" t="s">
        <v>24457</v>
      </c>
      <c r="B14407" t="s">
        <v>14443</v>
      </c>
      <c r="C14407" s="1" t="str">
        <f>HYPERLINK("http://www.genecards.org/cgi-bin/carddisp.pl?gene=SMAD6","GeneCards")</f>
        <v>GeneCards</v>
      </c>
      <c r="D14407" s="1" t="str">
        <f>HYPERLINK("http://genome-euro.ucsc.edu/cgi-bin/hgTracks?position=213565_s_at","UCSC")</f>
        <v>UCSC</v>
      </c>
      <c r="E14407" s="1" t="str">
        <f>HYPERLINK("http://www.ncbi.nlm.nih.gov/gene/?term=SMAD6","NCBI")</f>
        <v>NCBI</v>
      </c>
      <c r="F14407">
        <v>0.55000000000000004</v>
      </c>
      <c r="G14407">
        <v>0.65</v>
      </c>
      <c r="H14407" s="1" t="str">
        <f>HYPERLINK("http://www.weizmann.ac.il/complex/compphys/software/geview/data/figures/213565_s_at.png","Figure")</f>
        <v>Figure</v>
      </c>
      <c r="I14407">
        <v>1.04</v>
      </c>
      <c r="J14407">
        <v>0.55000000000000004</v>
      </c>
      <c r="K14407">
        <v>1.01</v>
      </c>
      <c r="L14407">
        <v>0.96</v>
      </c>
      <c r="M14407">
        <v>0.97299999999999998</v>
      </c>
      <c r="N14407">
        <v>0.66</v>
      </c>
    </row>
    <row r="14408" spans="1:14" x14ac:dyDescent="0.25">
      <c r="A14408" t="s">
        <v>24458</v>
      </c>
      <c r="B14408" t="s">
        <v>3769</v>
      </c>
      <c r="C14408" s="1" t="str">
        <f>HYPERLINK("http://www.genecards.org/cgi-bin/carddisp.pl?gene=EIF4E2","GeneCards")</f>
        <v>GeneCards</v>
      </c>
      <c r="D14408" s="1" t="str">
        <f>HYPERLINK("http://genome-euro.ucsc.edu/cgi-bin/hgTracks?position=213570_at","UCSC")</f>
        <v>UCSC</v>
      </c>
      <c r="E14408" s="1" t="str">
        <f>HYPERLINK("http://www.ncbi.nlm.nih.gov/gene/?term=EIF4E2","NCBI")</f>
        <v>NCBI</v>
      </c>
      <c r="F14408">
        <v>0.56000000000000005</v>
      </c>
      <c r="G14408">
        <v>0.65</v>
      </c>
      <c r="H14408" s="1" t="str">
        <f>HYPERLINK("http://www.weizmann.ac.il/complex/compphys/software/geview/data/figures/213570_at.png","Figure")</f>
        <v>Figure</v>
      </c>
      <c r="I14408">
        <v>0.95699999999999996</v>
      </c>
      <c r="J14408">
        <v>0.93</v>
      </c>
      <c r="K14408">
        <v>0.88900000000000001</v>
      </c>
      <c r="L14408">
        <v>0.54</v>
      </c>
      <c r="M14408">
        <v>0.92900000000000005</v>
      </c>
      <c r="N14408">
        <v>0.81</v>
      </c>
    </row>
    <row r="14409" spans="1:14" x14ac:dyDescent="0.25">
      <c r="A14409" t="s">
        <v>24459</v>
      </c>
      <c r="B14409" t="s">
        <v>6682</v>
      </c>
      <c r="C14409" s="1" t="str">
        <f>HYPERLINK("http://www.genecards.org/cgi-bin/carddisp.pl?gene=SEZ6L","GeneCards")</f>
        <v>GeneCards</v>
      </c>
      <c r="D14409" s="1" t="str">
        <f>HYPERLINK("http://genome-euro.ucsc.edu/cgi-bin/hgTracks?position=213609_s_at","UCSC")</f>
        <v>UCSC</v>
      </c>
      <c r="E14409" s="1" t="str">
        <f>HYPERLINK("http://www.ncbi.nlm.nih.gov/gene/?term=SEZ6L","NCBI")</f>
        <v>NCBI</v>
      </c>
      <c r="F14409">
        <v>0.56000000000000005</v>
      </c>
      <c r="G14409">
        <v>0.65</v>
      </c>
      <c r="H14409" s="1" t="str">
        <f>HYPERLINK("http://www.weizmann.ac.il/complex/compphys/software/geview/data/figures/213609_s_at.png","Figure")</f>
        <v>Figure</v>
      </c>
      <c r="I14409">
        <v>1</v>
      </c>
      <c r="J14409">
        <v>1</v>
      </c>
      <c r="K14409">
        <v>0.999</v>
      </c>
      <c r="L14409">
        <v>0.62</v>
      </c>
      <c r="M14409">
        <v>0.999</v>
      </c>
      <c r="N14409">
        <v>0.66</v>
      </c>
    </row>
    <row r="14410" spans="1:14" x14ac:dyDescent="0.25">
      <c r="A14410" t="s">
        <v>24460</v>
      </c>
      <c r="B14410" t="s">
        <v>8681</v>
      </c>
      <c r="C14410" s="1" t="str">
        <f>HYPERLINK("http://www.genecards.org/cgi-bin/carddisp.pl?gene=SOX2","GeneCards")</f>
        <v>GeneCards</v>
      </c>
      <c r="D14410" s="1" t="str">
        <f>HYPERLINK("http://genome-euro.ucsc.edu/cgi-bin/hgTracks?position=213722_at","UCSC")</f>
        <v>UCSC</v>
      </c>
      <c r="E14410" s="1" t="str">
        <f>HYPERLINK("http://www.ncbi.nlm.nih.gov/gene/?term=SOX2","NCBI")</f>
        <v>NCBI</v>
      </c>
      <c r="F14410">
        <v>0.55000000000000004</v>
      </c>
      <c r="G14410">
        <v>0.65</v>
      </c>
      <c r="H14410" s="1" t="str">
        <f>HYPERLINK("http://www.weizmann.ac.il/complex/compphys/software/geview/data/figures/213722_at.png","Figure")</f>
        <v>Figure</v>
      </c>
      <c r="I14410">
        <v>1.05</v>
      </c>
      <c r="J14410">
        <v>0.8</v>
      </c>
      <c r="K14410">
        <v>0.96899999999999997</v>
      </c>
      <c r="L14410">
        <v>0.89</v>
      </c>
      <c r="M14410">
        <v>0.92300000000000004</v>
      </c>
      <c r="N14410">
        <v>0.52</v>
      </c>
    </row>
    <row r="14411" spans="1:14" x14ac:dyDescent="0.25">
      <c r="A14411" t="s">
        <v>24461</v>
      </c>
      <c r="B14411" t="s">
        <v>8350</v>
      </c>
      <c r="C14411" s="1" t="str">
        <f>HYPERLINK("http://www.genecards.org/cgi-bin/carddisp.pl?gene=PTPRA","GeneCards")</f>
        <v>GeneCards</v>
      </c>
      <c r="D14411" s="1" t="str">
        <f>HYPERLINK("http://genome-euro.ucsc.edu/cgi-bin/hgTracks?position=213795_s_at","UCSC")</f>
        <v>UCSC</v>
      </c>
      <c r="E14411" s="1" t="str">
        <f>HYPERLINK("http://www.ncbi.nlm.nih.gov/gene/?term=PTPRA","NCBI")</f>
        <v>NCBI</v>
      </c>
      <c r="F14411">
        <v>0.55000000000000004</v>
      </c>
      <c r="G14411">
        <v>0.65</v>
      </c>
      <c r="H14411" s="1" t="str">
        <f>HYPERLINK("http://www.weizmann.ac.il/complex/compphys/software/geview/data/figures/213795_s_at.png","Figure")</f>
        <v>Figure</v>
      </c>
      <c r="I14411">
        <v>1.05</v>
      </c>
      <c r="J14411">
        <v>0.89</v>
      </c>
      <c r="K14411">
        <v>1.1200000000000001</v>
      </c>
      <c r="L14411">
        <v>0.52</v>
      </c>
      <c r="M14411">
        <v>1.06</v>
      </c>
      <c r="N14411">
        <v>0.85</v>
      </c>
    </row>
    <row r="14412" spans="1:14" x14ac:dyDescent="0.25">
      <c r="A14412" t="s">
        <v>24462</v>
      </c>
      <c r="B14412" t="s">
        <v>24463</v>
      </c>
      <c r="C14412" s="1" t="str">
        <f>HYPERLINK("http://www.genecards.org/cgi-bin/carddisp.pl?gene=RSAD2","GeneCards")</f>
        <v>GeneCards</v>
      </c>
      <c r="D14412" s="1" t="str">
        <f>HYPERLINK("http://genome-euro.ucsc.edu/cgi-bin/hgTracks?position=213797_at","UCSC")</f>
        <v>UCSC</v>
      </c>
      <c r="E14412" s="1" t="str">
        <f>HYPERLINK("http://www.ncbi.nlm.nih.gov/gene/?term=RSAD2","NCBI")</f>
        <v>NCBI</v>
      </c>
      <c r="F14412">
        <v>0.56000000000000005</v>
      </c>
      <c r="G14412">
        <v>0.65</v>
      </c>
      <c r="H14412" s="1" t="str">
        <f>HYPERLINK("http://www.weizmann.ac.il/complex/compphys/software/geview/data/figures/213797_at.png","Figure")</f>
        <v>Figure</v>
      </c>
      <c r="I14412">
        <v>1</v>
      </c>
      <c r="J14412">
        <v>1</v>
      </c>
      <c r="K14412">
        <v>0.995</v>
      </c>
      <c r="L14412">
        <v>0.62</v>
      </c>
      <c r="M14412">
        <v>0.995</v>
      </c>
      <c r="N14412">
        <v>0.66</v>
      </c>
    </row>
    <row r="14413" spans="1:14" x14ac:dyDescent="0.25">
      <c r="A14413" t="s">
        <v>24464</v>
      </c>
      <c r="B14413" t="s">
        <v>24465</v>
      </c>
      <c r="C14413" s="1" t="str">
        <f>HYPERLINK("http://www.genecards.org/cgi-bin/carddisp.pl?gene=CFH","GeneCards")</f>
        <v>GeneCards</v>
      </c>
      <c r="D14413" s="1" t="str">
        <f>HYPERLINK("http://genome-euro.ucsc.edu/cgi-bin/hgTracks?position=213800_at","UCSC")</f>
        <v>UCSC</v>
      </c>
      <c r="E14413" s="1" t="str">
        <f>HYPERLINK("http://www.ncbi.nlm.nih.gov/gene/?term=CFH","NCBI")</f>
        <v>NCBI</v>
      </c>
      <c r="F14413">
        <v>0.55000000000000004</v>
      </c>
      <c r="G14413">
        <v>0.65</v>
      </c>
      <c r="H14413" s="1" t="str">
        <f>HYPERLINK("http://www.weizmann.ac.il/complex/compphys/software/geview/data/figures/213800_at.png","Figure")</f>
        <v>Figure</v>
      </c>
      <c r="I14413">
        <v>1.03</v>
      </c>
      <c r="J14413">
        <v>0.81</v>
      </c>
      <c r="K14413">
        <v>0.98199999999999998</v>
      </c>
      <c r="L14413">
        <v>0.88</v>
      </c>
      <c r="M14413">
        <v>0.95599999999999996</v>
      </c>
      <c r="N14413">
        <v>0.52</v>
      </c>
    </row>
    <row r="14414" spans="1:14" x14ac:dyDescent="0.25">
      <c r="A14414" t="s">
        <v>24466</v>
      </c>
      <c r="B14414" t="s">
        <v>24467</v>
      </c>
      <c r="C14414" s="1" t="str">
        <f>HYPERLINK("http://www.genecards.org/cgi-bin/carddisp.pl?gene=STARD5","GeneCards")</f>
        <v>GeneCards</v>
      </c>
      <c r="D14414" s="1" t="str">
        <f>HYPERLINK("http://genome-euro.ucsc.edu/cgi-bin/hgTracks?position=213820_s_at","UCSC")</f>
        <v>UCSC</v>
      </c>
      <c r="E14414" s="1" t="str">
        <f>HYPERLINK("http://www.ncbi.nlm.nih.gov/gene/?term=STARD5","NCBI")</f>
        <v>NCBI</v>
      </c>
      <c r="F14414">
        <v>0.55000000000000004</v>
      </c>
      <c r="G14414">
        <v>0.65</v>
      </c>
      <c r="H14414" s="1" t="str">
        <f>HYPERLINK("http://www.weizmann.ac.il/complex/compphys/software/geview/data/figures/213820_s_at.png","Figure")</f>
        <v>Figure</v>
      </c>
      <c r="I14414">
        <v>1.1200000000000001</v>
      </c>
      <c r="J14414">
        <v>0.54</v>
      </c>
      <c r="K14414">
        <v>1.08</v>
      </c>
      <c r="L14414">
        <v>0.72</v>
      </c>
      <c r="M14414">
        <v>0.95799999999999996</v>
      </c>
      <c r="N14414">
        <v>0.9</v>
      </c>
    </row>
    <row r="14415" spans="1:14" x14ac:dyDescent="0.25">
      <c r="A14415" t="s">
        <v>24468</v>
      </c>
      <c r="B14415" t="s">
        <v>24469</v>
      </c>
      <c r="C14415" s="1" t="str">
        <f>HYPERLINK("http://www.genecards.org/cgi-bin/carddisp.pl?gene=OLIG2","GeneCards")</f>
        <v>GeneCards</v>
      </c>
      <c r="D14415" s="1" t="str">
        <f>HYPERLINK("http://genome-euro.ucsc.edu/cgi-bin/hgTracks?position=213825_at","UCSC")</f>
        <v>UCSC</v>
      </c>
      <c r="E14415" s="1" t="str">
        <f>HYPERLINK("http://www.ncbi.nlm.nih.gov/gene/?term=OLIG2","NCBI")</f>
        <v>NCBI</v>
      </c>
      <c r="F14415">
        <v>0.56000000000000005</v>
      </c>
      <c r="G14415">
        <v>0.65</v>
      </c>
      <c r="H14415" s="1" t="str">
        <f>HYPERLINK("http://www.weizmann.ac.il/complex/compphys/software/geview/data/figures/213825_at.png","Figure")</f>
        <v>Figure</v>
      </c>
      <c r="I14415">
        <v>1</v>
      </c>
      <c r="J14415">
        <v>1</v>
      </c>
      <c r="K14415">
        <v>0.97299999999999998</v>
      </c>
      <c r="L14415">
        <v>0.62</v>
      </c>
      <c r="M14415">
        <v>0.97299999999999998</v>
      </c>
      <c r="N14415">
        <v>0.66</v>
      </c>
    </row>
    <row r="14416" spans="1:14" x14ac:dyDescent="0.25">
      <c r="A14416" t="s">
        <v>24470</v>
      </c>
      <c r="B14416" t="s">
        <v>19119</v>
      </c>
      <c r="C14416" s="1" t="str">
        <f>HYPERLINK("http://www.genecards.org/cgi-bin/carddisp.pl?gene=HLA-DQA1","GeneCards")</f>
        <v>GeneCards</v>
      </c>
      <c r="D14416" s="1" t="str">
        <f>HYPERLINK("http://genome-euro.ucsc.edu/cgi-bin/hgTracks?position=213831_at","UCSC")</f>
        <v>UCSC</v>
      </c>
      <c r="E14416" s="1" t="str">
        <f>HYPERLINK("http://www.ncbi.nlm.nih.gov/gene/?term=HLA-DQA1","NCBI")</f>
        <v>NCBI</v>
      </c>
      <c r="F14416">
        <v>0.56000000000000005</v>
      </c>
      <c r="G14416">
        <v>0.65</v>
      </c>
      <c r="H14416" s="1" t="str">
        <f>HYPERLINK("http://www.weizmann.ac.il/complex/compphys/software/geview/data/figures/213831_at.png","Figure")</f>
        <v>Figure</v>
      </c>
      <c r="I14416">
        <v>0.64100000000000001</v>
      </c>
      <c r="J14416">
        <v>0.79</v>
      </c>
      <c r="K14416">
        <v>0.52200000000000002</v>
      </c>
      <c r="L14416">
        <v>0.53</v>
      </c>
      <c r="M14416">
        <v>0.81399999999999995</v>
      </c>
      <c r="N14416">
        <v>0.94</v>
      </c>
    </row>
    <row r="14417" spans="1:14" x14ac:dyDescent="0.25">
      <c r="A14417" t="s">
        <v>24471</v>
      </c>
      <c r="B14417" t="s">
        <v>24472</v>
      </c>
      <c r="C14417" s="1" t="str">
        <f>HYPERLINK("http://www.genecards.org/cgi-bin/carddisp.pl?gene=WHAMML1 /// WHAMML2","GeneCards")</f>
        <v>GeneCards</v>
      </c>
      <c r="D14417" s="1" t="str">
        <f>HYPERLINK("http://genome-euro.ucsc.edu/cgi-bin/hgTracks?position=213908_at","UCSC")</f>
        <v>UCSC</v>
      </c>
      <c r="E14417" s="1" t="str">
        <f>HYPERLINK("http://www.ncbi.nlm.nih.gov/gene/?term=WHAMML1 /// WHAMML2","NCBI")</f>
        <v>NCBI</v>
      </c>
      <c r="F14417">
        <v>0.56000000000000005</v>
      </c>
      <c r="G14417">
        <v>0.65</v>
      </c>
      <c r="H14417" s="1" t="str">
        <f>HYPERLINK("http://www.weizmann.ac.il/complex/compphys/software/geview/data/figures/213908_at.png","Figure")</f>
        <v>Figure</v>
      </c>
      <c r="I14417">
        <v>1</v>
      </c>
      <c r="J14417">
        <v>1</v>
      </c>
      <c r="K14417">
        <v>0.9</v>
      </c>
      <c r="L14417">
        <v>0.62</v>
      </c>
      <c r="M14417">
        <v>0.9</v>
      </c>
      <c r="N14417">
        <v>0.66</v>
      </c>
    </row>
    <row r="14418" spans="1:14" x14ac:dyDescent="0.25">
      <c r="A14418" t="s">
        <v>24473</v>
      </c>
      <c r="B14418" t="s">
        <v>8595</v>
      </c>
      <c r="C14418" s="1" t="str">
        <f>HYPERLINK("http://www.genecards.org/cgi-bin/carddisp.pl?gene=ABHD5","GeneCards")</f>
        <v>GeneCards</v>
      </c>
      <c r="D14418" s="1" t="str">
        <f>HYPERLINK("http://genome-euro.ucsc.edu/cgi-bin/hgTracks?position=213935_at","UCSC")</f>
        <v>UCSC</v>
      </c>
      <c r="E14418" s="1" t="str">
        <f>HYPERLINK("http://www.ncbi.nlm.nih.gov/gene/?term=ABHD5","NCBI")</f>
        <v>NCBI</v>
      </c>
      <c r="F14418">
        <v>0.56000000000000005</v>
      </c>
      <c r="G14418">
        <v>0.65</v>
      </c>
      <c r="H14418" s="1" t="str">
        <f>HYPERLINK("http://www.weizmann.ac.il/complex/compphys/software/geview/data/figures/213935_at.png","Figure")</f>
        <v>Figure</v>
      </c>
      <c r="I14418">
        <v>0.98399999999999999</v>
      </c>
      <c r="J14418">
        <v>0.97</v>
      </c>
      <c r="K14418">
        <v>0.94099999999999995</v>
      </c>
      <c r="L14418">
        <v>0.56000000000000005</v>
      </c>
      <c r="M14418">
        <v>0.95599999999999996</v>
      </c>
      <c r="N14418">
        <v>0.76</v>
      </c>
    </row>
    <row r="14419" spans="1:14" x14ac:dyDescent="0.25">
      <c r="A14419" t="s">
        <v>24474</v>
      </c>
      <c r="B14419" t="s">
        <v>5728</v>
      </c>
      <c r="C14419" s="1" t="str">
        <f>HYPERLINK("http://www.genecards.org/cgi-bin/carddisp.pl?gene=PSMC3IP","GeneCards")</f>
        <v>GeneCards</v>
      </c>
      <c r="D14419" s="1" t="str">
        <f>HYPERLINK("http://genome-euro.ucsc.edu/cgi-bin/hgTracks?position=213951_s_at","UCSC")</f>
        <v>UCSC</v>
      </c>
      <c r="E14419" s="1" t="str">
        <f>HYPERLINK("http://www.ncbi.nlm.nih.gov/gene/?term=PSMC3IP","NCBI")</f>
        <v>NCBI</v>
      </c>
      <c r="F14419">
        <v>0.56000000000000005</v>
      </c>
      <c r="G14419">
        <v>0.65</v>
      </c>
      <c r="H14419" s="1" t="str">
        <f>HYPERLINK("http://www.weizmann.ac.il/complex/compphys/software/geview/data/figures/213951_s_at.png","Figure")</f>
        <v>Figure</v>
      </c>
      <c r="I14419">
        <v>1</v>
      </c>
      <c r="J14419">
        <v>1</v>
      </c>
      <c r="K14419">
        <v>0.99099999999999999</v>
      </c>
      <c r="L14419">
        <v>0.62</v>
      </c>
      <c r="M14419">
        <v>0.99099999999999999</v>
      </c>
      <c r="N14419">
        <v>0.66</v>
      </c>
    </row>
    <row r="14420" spans="1:14" x14ac:dyDescent="0.25">
      <c r="A14420" t="s">
        <v>24475</v>
      </c>
      <c r="B14420" t="s">
        <v>3658</v>
      </c>
      <c r="C14420" s="1" t="str">
        <f>HYPERLINK("http://www.genecards.org/cgi-bin/carddisp.pl?gene=TWF1","GeneCards")</f>
        <v>GeneCards</v>
      </c>
      <c r="D14420" s="1" t="str">
        <f>HYPERLINK("http://genome-euro.ucsc.edu/cgi-bin/hgTracks?position=214007_s_at","UCSC")</f>
        <v>UCSC</v>
      </c>
      <c r="E14420" s="1" t="str">
        <f>HYPERLINK("http://www.ncbi.nlm.nih.gov/gene/?term=TWF1","NCBI")</f>
        <v>NCBI</v>
      </c>
      <c r="F14420">
        <v>0.56000000000000005</v>
      </c>
      <c r="G14420">
        <v>0.65</v>
      </c>
      <c r="H14420" s="1" t="str">
        <f>HYPERLINK("http://www.weizmann.ac.il/complex/compphys/software/geview/data/figures/214007_s_at.png","Figure")</f>
        <v>Figure</v>
      </c>
      <c r="I14420">
        <v>1</v>
      </c>
      <c r="J14420">
        <v>1</v>
      </c>
      <c r="K14420">
        <v>0.995</v>
      </c>
      <c r="L14420">
        <v>0.62</v>
      </c>
      <c r="M14420">
        <v>0.995</v>
      </c>
      <c r="N14420">
        <v>0.66</v>
      </c>
    </row>
    <row r="14421" spans="1:14" x14ac:dyDescent="0.25">
      <c r="A14421" t="s">
        <v>24476</v>
      </c>
      <c r="B14421" t="s">
        <v>12140</v>
      </c>
      <c r="C14421" s="1" t="str">
        <f>HYPERLINK("http://www.genecards.org/cgi-bin/carddisp.pl?gene=TBC1D1","GeneCards")</f>
        <v>GeneCards</v>
      </c>
      <c r="D14421" s="1" t="str">
        <f>HYPERLINK("http://genome-euro.ucsc.edu/cgi-bin/hgTracks?position=214013_s_at","UCSC")</f>
        <v>UCSC</v>
      </c>
      <c r="E14421" s="1" t="str">
        <f>HYPERLINK("http://www.ncbi.nlm.nih.gov/gene/?term=TBC1D1","NCBI")</f>
        <v>NCBI</v>
      </c>
      <c r="F14421">
        <v>0.56000000000000005</v>
      </c>
      <c r="G14421">
        <v>0.65</v>
      </c>
      <c r="H14421" s="1" t="str">
        <f>HYPERLINK("http://www.weizmann.ac.il/complex/compphys/software/geview/data/figures/214013_s_at.png","Figure")</f>
        <v>Figure</v>
      </c>
      <c r="I14421">
        <v>1</v>
      </c>
      <c r="J14421">
        <v>1</v>
      </c>
      <c r="K14421">
        <v>0.997</v>
      </c>
      <c r="L14421">
        <v>0.62</v>
      </c>
      <c r="M14421">
        <v>0.997</v>
      </c>
      <c r="N14421">
        <v>0.66</v>
      </c>
    </row>
    <row r="14422" spans="1:14" x14ac:dyDescent="0.25">
      <c r="A14422" t="s">
        <v>24477</v>
      </c>
      <c r="B14422" t="s">
        <v>22918</v>
      </c>
      <c r="C14422" s="1" t="str">
        <f>HYPERLINK("http://www.genecards.org/cgi-bin/carddisp.pl?gene=PTPRD","GeneCards")</f>
        <v>GeneCards</v>
      </c>
      <c r="D14422" s="1" t="str">
        <f>HYPERLINK("http://genome-euro.ucsc.edu/cgi-bin/hgTracks?position=214043_at","UCSC")</f>
        <v>UCSC</v>
      </c>
      <c r="E14422" s="1" t="str">
        <f>HYPERLINK("http://www.ncbi.nlm.nih.gov/gene/?term=PTPRD","NCBI")</f>
        <v>NCBI</v>
      </c>
      <c r="F14422">
        <v>0.56000000000000005</v>
      </c>
      <c r="G14422">
        <v>0.65</v>
      </c>
      <c r="H14422" s="1" t="str">
        <f>HYPERLINK("http://www.weizmann.ac.il/complex/compphys/software/geview/data/figures/214043_at.png","Figure")</f>
        <v>Figure</v>
      </c>
      <c r="I14422">
        <v>1</v>
      </c>
      <c r="J14422">
        <v>1</v>
      </c>
      <c r="K14422">
        <v>0.98499999999999999</v>
      </c>
      <c r="L14422">
        <v>0.62</v>
      </c>
      <c r="M14422">
        <v>0.98499999999999999</v>
      </c>
      <c r="N14422">
        <v>0.66</v>
      </c>
    </row>
    <row r="14423" spans="1:14" x14ac:dyDescent="0.25">
      <c r="A14423" t="s">
        <v>24478</v>
      </c>
      <c r="B14423" t="s">
        <v>457</v>
      </c>
      <c r="C14423" s="1" t="str">
        <f>HYPERLINK("http://www.genecards.org/cgi-bin/carddisp.pl?gene=ATP5C1","GeneCards")</f>
        <v>GeneCards</v>
      </c>
      <c r="D14423" s="1" t="str">
        <f>HYPERLINK("http://genome-euro.ucsc.edu/cgi-bin/hgTracks?position=214132_at","UCSC")</f>
        <v>UCSC</v>
      </c>
      <c r="E14423" s="1" t="str">
        <f>HYPERLINK("http://www.ncbi.nlm.nih.gov/gene/?term=ATP5C1","NCBI")</f>
        <v>NCBI</v>
      </c>
      <c r="F14423">
        <v>0.55000000000000004</v>
      </c>
      <c r="G14423">
        <v>0.65</v>
      </c>
      <c r="H14423" s="1" t="str">
        <f>HYPERLINK("http://www.weizmann.ac.il/complex/compphys/software/geview/data/figures/214132_at.png","Figure")</f>
        <v>Figure</v>
      </c>
      <c r="I14423">
        <v>1.1000000000000001</v>
      </c>
      <c r="J14423">
        <v>0.89</v>
      </c>
      <c r="K14423">
        <v>0.88900000000000001</v>
      </c>
      <c r="L14423">
        <v>0.79</v>
      </c>
      <c r="M14423">
        <v>0.80900000000000005</v>
      </c>
      <c r="N14423">
        <v>0.53</v>
      </c>
    </row>
    <row r="14424" spans="1:14" x14ac:dyDescent="0.25">
      <c r="A14424" t="s">
        <v>24479</v>
      </c>
      <c r="B14424" t="s">
        <v>21931</v>
      </c>
      <c r="C14424" s="1" t="str">
        <f>HYPERLINK("http://www.genecards.org/cgi-bin/carddisp.pl?gene=RPL24","GeneCards")</f>
        <v>GeneCards</v>
      </c>
      <c r="D14424" s="1" t="str">
        <f>HYPERLINK("http://genome-euro.ucsc.edu/cgi-bin/hgTracks?position=214143_x_at","UCSC")</f>
        <v>UCSC</v>
      </c>
      <c r="E14424" s="1" t="str">
        <f>HYPERLINK("http://www.ncbi.nlm.nih.gov/gene/?term=RPL24","NCBI")</f>
        <v>NCBI</v>
      </c>
      <c r="F14424">
        <v>0.56000000000000005</v>
      </c>
      <c r="G14424">
        <v>0.65</v>
      </c>
      <c r="H14424" s="1" t="str">
        <f>HYPERLINK("http://www.weizmann.ac.il/complex/compphys/software/geview/data/figures/214143_x_at.png","Figure")</f>
        <v>Figure</v>
      </c>
      <c r="I14424">
        <v>0.95899999999999996</v>
      </c>
      <c r="J14424">
        <v>0.96</v>
      </c>
      <c r="K14424">
        <v>1.1000000000000001</v>
      </c>
      <c r="L14424">
        <v>0.73</v>
      </c>
      <c r="M14424">
        <v>1.1499999999999999</v>
      </c>
      <c r="N14424">
        <v>0.56999999999999995</v>
      </c>
    </row>
    <row r="14425" spans="1:14" x14ac:dyDescent="0.25">
      <c r="A14425" t="s">
        <v>24480</v>
      </c>
      <c r="B14425" t="s">
        <v>16875</v>
      </c>
      <c r="C14425" s="1" t="str">
        <f>HYPERLINK("http://www.genecards.org/cgi-bin/carddisp.pl?gene=ABCB9","GeneCards")</f>
        <v>GeneCards</v>
      </c>
      <c r="D14425" s="1" t="str">
        <f>HYPERLINK("http://genome-euro.ucsc.edu/cgi-bin/hgTracks?position=214209_s_at","UCSC")</f>
        <v>UCSC</v>
      </c>
      <c r="E14425" s="1" t="str">
        <f>HYPERLINK("http://www.ncbi.nlm.nih.gov/gene/?term=ABCB9","NCBI")</f>
        <v>NCBI</v>
      </c>
      <c r="F14425">
        <v>0.55000000000000004</v>
      </c>
      <c r="G14425">
        <v>0.65</v>
      </c>
      <c r="H14425" s="1" t="str">
        <f>HYPERLINK("http://www.weizmann.ac.il/complex/compphys/software/geview/data/figures/214209_s_at.png","Figure")</f>
        <v>Figure</v>
      </c>
      <c r="I14425">
        <v>1.04</v>
      </c>
      <c r="J14425">
        <v>0.85</v>
      </c>
      <c r="K14425">
        <v>1.07</v>
      </c>
      <c r="L14425">
        <v>0.52</v>
      </c>
      <c r="M14425">
        <v>1.03</v>
      </c>
      <c r="N14425">
        <v>0.88</v>
      </c>
    </row>
    <row r="14426" spans="1:14" x14ac:dyDescent="0.25">
      <c r="A14426" t="s">
        <v>24481</v>
      </c>
      <c r="B14426" t="s">
        <v>23990</v>
      </c>
      <c r="C14426" s="1" t="str">
        <f>HYPERLINK("http://www.genecards.org/cgi-bin/carddisp.pl?gene=KIAA0485","GeneCards")</f>
        <v>GeneCards</v>
      </c>
      <c r="D14426" s="1" t="str">
        <f>HYPERLINK("http://genome-euro.ucsc.edu/cgi-bin/hgTracks?position=214295_at","UCSC")</f>
        <v>UCSC</v>
      </c>
      <c r="E14426" s="1" t="str">
        <f>HYPERLINK("http://www.ncbi.nlm.nih.gov/gene/?term=KIAA0485","NCBI")</f>
        <v>NCBI</v>
      </c>
      <c r="F14426">
        <v>0.56000000000000005</v>
      </c>
      <c r="G14426">
        <v>0.65</v>
      </c>
      <c r="H14426" s="1" t="str">
        <f>HYPERLINK("http://www.weizmann.ac.il/complex/compphys/software/geview/data/figures/214295_at.png","Figure")</f>
        <v>Figure</v>
      </c>
      <c r="I14426">
        <v>1</v>
      </c>
      <c r="J14426">
        <v>1</v>
      </c>
      <c r="K14426">
        <v>0.96399999999999997</v>
      </c>
      <c r="L14426">
        <v>0.62</v>
      </c>
      <c r="M14426">
        <v>0.96399999999999997</v>
      </c>
      <c r="N14426">
        <v>0.66</v>
      </c>
    </row>
    <row r="14427" spans="1:14" x14ac:dyDescent="0.25">
      <c r="A14427" t="s">
        <v>24482</v>
      </c>
      <c r="B14427" t="s">
        <v>24483</v>
      </c>
      <c r="C14427" s="1" t="str">
        <f>HYPERLINK("http://www.genecards.org/cgi-bin/carddisp.pl?gene=TPM3","GeneCards")</f>
        <v>GeneCards</v>
      </c>
      <c r="D14427" s="1" t="str">
        <f>HYPERLINK("http://genome-euro.ucsc.edu/cgi-bin/hgTracks?position=214365_at","UCSC")</f>
        <v>UCSC</v>
      </c>
      <c r="E14427" s="1" t="str">
        <f>HYPERLINK("http://www.ncbi.nlm.nih.gov/gene/?term=TPM3","NCBI")</f>
        <v>NCBI</v>
      </c>
      <c r="F14427">
        <v>0.56000000000000005</v>
      </c>
      <c r="G14427">
        <v>0.65</v>
      </c>
      <c r="H14427" s="1" t="str">
        <f>HYPERLINK("http://www.weizmann.ac.il/complex/compphys/software/geview/data/figures/214365_at.png","Figure")</f>
        <v>Figure</v>
      </c>
      <c r="I14427">
        <v>1</v>
      </c>
      <c r="J14427">
        <v>1</v>
      </c>
      <c r="K14427">
        <v>0.99399999999999999</v>
      </c>
      <c r="L14427">
        <v>0.62</v>
      </c>
      <c r="M14427">
        <v>0.99399999999999999</v>
      </c>
      <c r="N14427">
        <v>0.66</v>
      </c>
    </row>
    <row r="14428" spans="1:14" x14ac:dyDescent="0.25">
      <c r="A14428" t="s">
        <v>24484</v>
      </c>
      <c r="B14428" t="s">
        <v>24485</v>
      </c>
      <c r="C14428" s="1" t="str">
        <f>HYPERLINK("http://www.genecards.org/cgi-bin/carddisp.pl?gene=RFPL1S /// RFPL3S","GeneCards")</f>
        <v>GeneCards</v>
      </c>
      <c r="D14428" s="1" t="str">
        <f>HYPERLINK("http://genome-euro.ucsc.edu/cgi-bin/hgTracks?position=214408_s_at","UCSC")</f>
        <v>UCSC</v>
      </c>
      <c r="E14428" s="1" t="str">
        <f>HYPERLINK("http://www.ncbi.nlm.nih.gov/gene/?term=RFPL1S /// RFPL3S","NCBI")</f>
        <v>NCBI</v>
      </c>
      <c r="F14428">
        <v>0.56000000000000005</v>
      </c>
      <c r="G14428">
        <v>0.65</v>
      </c>
      <c r="H14428" s="1" t="str">
        <f>HYPERLINK("http://www.weizmann.ac.il/complex/compphys/software/geview/data/figures/214408_s_at.png","Figure")</f>
        <v>Figure</v>
      </c>
      <c r="I14428">
        <v>1</v>
      </c>
      <c r="J14428">
        <v>1</v>
      </c>
      <c r="K14428">
        <v>0.997</v>
      </c>
      <c r="L14428">
        <v>0.62</v>
      </c>
      <c r="M14428">
        <v>0.997</v>
      </c>
      <c r="N14428">
        <v>0.66</v>
      </c>
    </row>
    <row r="14429" spans="1:14" x14ac:dyDescent="0.25">
      <c r="A14429" t="s">
        <v>24486</v>
      </c>
      <c r="B14429" t="s">
        <v>24487</v>
      </c>
      <c r="C14429" s="1" t="str">
        <f>HYPERLINK("http://www.genecards.org/cgi-bin/carddisp.pl?gene=RFPL3S","GeneCards")</f>
        <v>GeneCards</v>
      </c>
      <c r="D14429" s="1" t="str">
        <f>HYPERLINK("http://genome-euro.ucsc.edu/cgi-bin/hgTracks?position=214409_at","UCSC")</f>
        <v>UCSC</v>
      </c>
      <c r="E14429" s="1" t="str">
        <f>HYPERLINK("http://www.ncbi.nlm.nih.gov/gene/?term=RFPL3S","NCBI")</f>
        <v>NCBI</v>
      </c>
      <c r="F14429">
        <v>0.56000000000000005</v>
      </c>
      <c r="G14429">
        <v>0.65</v>
      </c>
      <c r="H14429" s="1" t="str">
        <f>HYPERLINK("http://www.weizmann.ac.il/complex/compphys/software/geview/data/figures/214409_at.png","Figure")</f>
        <v>Figure</v>
      </c>
      <c r="I14429">
        <v>1</v>
      </c>
      <c r="J14429">
        <v>1</v>
      </c>
      <c r="K14429">
        <v>0.98799999999999999</v>
      </c>
      <c r="L14429">
        <v>0.62</v>
      </c>
      <c r="M14429">
        <v>0.98799999999999999</v>
      </c>
      <c r="N14429">
        <v>0.66</v>
      </c>
    </row>
    <row r="14430" spans="1:14" x14ac:dyDescent="0.25">
      <c r="A14430" t="s">
        <v>24488</v>
      </c>
      <c r="B14430" t="s">
        <v>24489</v>
      </c>
      <c r="C14430" s="1" t="str">
        <f>HYPERLINK("http://www.genecards.org/cgi-bin/carddisp.pl?gene=TAT","GeneCards")</f>
        <v>GeneCards</v>
      </c>
      <c r="D14430" s="1" t="str">
        <f>HYPERLINK("http://genome-euro.ucsc.edu/cgi-bin/hgTracks?position=214413_at","UCSC")</f>
        <v>UCSC</v>
      </c>
      <c r="E14430" s="1" t="str">
        <f>HYPERLINK("http://www.ncbi.nlm.nih.gov/gene/?term=TAT","NCBI")</f>
        <v>NCBI</v>
      </c>
      <c r="F14430">
        <v>0.56000000000000005</v>
      </c>
      <c r="G14430">
        <v>0.65</v>
      </c>
      <c r="H14430" s="1" t="str">
        <f>HYPERLINK("http://www.weizmann.ac.il/complex/compphys/software/geview/data/figures/214413_at.png","Figure")</f>
        <v>Figure</v>
      </c>
      <c r="I14430">
        <v>1</v>
      </c>
      <c r="J14430">
        <v>1</v>
      </c>
      <c r="K14430">
        <v>0.99399999999999999</v>
      </c>
      <c r="L14430">
        <v>0.62</v>
      </c>
      <c r="M14430">
        <v>0.99399999999999999</v>
      </c>
      <c r="N14430">
        <v>0.66</v>
      </c>
    </row>
    <row r="14431" spans="1:14" x14ac:dyDescent="0.25">
      <c r="A14431" t="s">
        <v>24490</v>
      </c>
      <c r="B14431" t="s">
        <v>10556</v>
      </c>
      <c r="C14431" s="1" t="str">
        <f>HYPERLINK("http://www.genecards.org/cgi-bin/carddisp.pl?gene=SOCS6","GeneCards")</f>
        <v>GeneCards</v>
      </c>
      <c r="D14431" s="1" t="str">
        <f>HYPERLINK("http://genome-euro.ucsc.edu/cgi-bin/hgTracks?position=214462_at","UCSC")</f>
        <v>UCSC</v>
      </c>
      <c r="E14431" s="1" t="str">
        <f>HYPERLINK("http://www.ncbi.nlm.nih.gov/gene/?term=SOCS6","NCBI")</f>
        <v>NCBI</v>
      </c>
      <c r="F14431">
        <v>0.56000000000000005</v>
      </c>
      <c r="G14431">
        <v>0.65</v>
      </c>
      <c r="H14431" s="1" t="str">
        <f>HYPERLINK("http://www.weizmann.ac.il/complex/compphys/software/geview/data/figures/214462_at.png","Figure")</f>
        <v>Figure</v>
      </c>
      <c r="I14431">
        <v>1</v>
      </c>
      <c r="J14431">
        <v>1</v>
      </c>
      <c r="K14431">
        <v>0.99199999999999999</v>
      </c>
      <c r="L14431">
        <v>0.62</v>
      </c>
      <c r="M14431">
        <v>0.99199999999999999</v>
      </c>
      <c r="N14431">
        <v>0.66</v>
      </c>
    </row>
    <row r="14432" spans="1:14" x14ac:dyDescent="0.25">
      <c r="A14432" t="s">
        <v>24491</v>
      </c>
      <c r="B14432" t="s">
        <v>24492</v>
      </c>
      <c r="C14432" s="1" t="str">
        <f>HYPERLINK("http://www.genecards.org/cgi-bin/carddisp.pl?gene=ETV3","GeneCards")</f>
        <v>GeneCards</v>
      </c>
      <c r="D14432" s="1" t="str">
        <f>HYPERLINK("http://genome-euro.ucsc.edu/cgi-bin/hgTracks?position=214480_at","UCSC")</f>
        <v>UCSC</v>
      </c>
      <c r="E14432" s="1" t="str">
        <f>HYPERLINK("http://www.ncbi.nlm.nih.gov/gene/?term=ETV3","NCBI")</f>
        <v>NCBI</v>
      </c>
      <c r="F14432">
        <v>0.56000000000000005</v>
      </c>
      <c r="G14432">
        <v>0.65</v>
      </c>
      <c r="H14432" s="1" t="str">
        <f>HYPERLINK("http://www.weizmann.ac.il/complex/compphys/software/geview/data/figures/214480_at.png","Figure")</f>
        <v>Figure</v>
      </c>
      <c r="I14432">
        <v>1</v>
      </c>
      <c r="J14432">
        <v>1</v>
      </c>
      <c r="K14432">
        <v>0.997</v>
      </c>
      <c r="L14432">
        <v>0.62</v>
      </c>
      <c r="M14432">
        <v>0.997</v>
      </c>
      <c r="N14432">
        <v>0.66</v>
      </c>
    </row>
    <row r="14433" spans="1:14" x14ac:dyDescent="0.25">
      <c r="A14433" t="s">
        <v>24493</v>
      </c>
      <c r="B14433" t="s">
        <v>24494</v>
      </c>
      <c r="C14433" s="1" t="str">
        <f>HYPERLINK("http://www.genecards.org/cgi-bin/carddisp.pl?gene=LILRP2","GeneCards")</f>
        <v>GeneCards</v>
      </c>
      <c r="D14433" s="1" t="str">
        <f>HYPERLINK("http://genome-euro.ucsc.edu/cgi-bin/hgTracks?position=214561_at","UCSC")</f>
        <v>UCSC</v>
      </c>
      <c r="E14433" s="1" t="str">
        <f>HYPERLINK("http://www.ncbi.nlm.nih.gov/gene/?term=LILRP2","NCBI")</f>
        <v>NCBI</v>
      </c>
      <c r="F14433">
        <v>0.56000000000000005</v>
      </c>
      <c r="G14433">
        <v>0.65</v>
      </c>
      <c r="H14433" s="1" t="str">
        <f>HYPERLINK("http://www.weizmann.ac.il/complex/compphys/software/geview/data/figures/214561_at.png","Figure")</f>
        <v>Figure</v>
      </c>
      <c r="I14433">
        <v>1</v>
      </c>
      <c r="J14433">
        <v>1</v>
      </c>
      <c r="K14433">
        <v>0.99199999999999999</v>
      </c>
      <c r="L14433">
        <v>0.62</v>
      </c>
      <c r="M14433">
        <v>0.99199999999999999</v>
      </c>
      <c r="N14433">
        <v>0.66</v>
      </c>
    </row>
    <row r="14434" spans="1:14" x14ac:dyDescent="0.25">
      <c r="A14434" t="s">
        <v>24495</v>
      </c>
      <c r="B14434" t="s">
        <v>24496</v>
      </c>
      <c r="C14434" s="1" t="str">
        <f>HYPERLINK("http://www.genecards.org/cgi-bin/carddisp.pl?gene=HOXA1","GeneCards")</f>
        <v>GeneCards</v>
      </c>
      <c r="D14434" s="1" t="str">
        <f>HYPERLINK("http://genome-euro.ucsc.edu/cgi-bin/hgTracks?position=214639_s_at","UCSC")</f>
        <v>UCSC</v>
      </c>
      <c r="E14434" s="1" t="str">
        <f>HYPERLINK("http://www.ncbi.nlm.nih.gov/gene/?term=HOXA1","NCBI")</f>
        <v>NCBI</v>
      </c>
      <c r="F14434">
        <v>0.56000000000000005</v>
      </c>
      <c r="G14434">
        <v>0.65</v>
      </c>
      <c r="H14434" s="1" t="str">
        <f>HYPERLINK("http://www.weizmann.ac.il/complex/compphys/software/geview/data/figures/214639_s_at.png","Figure")</f>
        <v>Figure</v>
      </c>
      <c r="I14434">
        <v>1</v>
      </c>
      <c r="J14434">
        <v>1</v>
      </c>
      <c r="K14434">
        <v>0.996</v>
      </c>
      <c r="L14434">
        <v>0.62</v>
      </c>
      <c r="M14434">
        <v>0.996</v>
      </c>
      <c r="N14434">
        <v>0.66</v>
      </c>
    </row>
    <row r="14435" spans="1:14" x14ac:dyDescent="0.25">
      <c r="A14435" t="s">
        <v>24497</v>
      </c>
      <c r="B14435" t="s">
        <v>12205</v>
      </c>
      <c r="C14435" s="1" t="str">
        <f>HYPERLINK("http://www.genecards.org/cgi-bin/carddisp.pl?gene=IGKC","GeneCards")</f>
        <v>GeneCards</v>
      </c>
      <c r="D14435" s="1" t="str">
        <f>HYPERLINK("http://genome-euro.ucsc.edu/cgi-bin/hgTracks?position=214669_x_at","UCSC")</f>
        <v>UCSC</v>
      </c>
      <c r="E14435" s="1" t="str">
        <f>HYPERLINK("http://www.ncbi.nlm.nih.gov/gene/?term=IGKC","NCBI")</f>
        <v>NCBI</v>
      </c>
      <c r="F14435">
        <v>0.55000000000000004</v>
      </c>
      <c r="G14435">
        <v>0.65</v>
      </c>
      <c r="H14435" s="1" t="str">
        <f>HYPERLINK("http://www.weizmann.ac.il/complex/compphys/software/geview/data/figures/214669_x_at.png","Figure")</f>
        <v>Figure</v>
      </c>
      <c r="I14435">
        <v>0.78900000000000003</v>
      </c>
      <c r="J14435">
        <v>0.67</v>
      </c>
      <c r="K14435">
        <v>0.77500000000000002</v>
      </c>
      <c r="L14435">
        <v>0.56000000000000005</v>
      </c>
      <c r="M14435">
        <v>0.98299999999999998</v>
      </c>
      <c r="N14435">
        <v>1</v>
      </c>
    </row>
    <row r="14436" spans="1:14" x14ac:dyDescent="0.25">
      <c r="A14436" t="s">
        <v>24498</v>
      </c>
      <c r="B14436" t="s">
        <v>9267</v>
      </c>
      <c r="C14436" s="1" t="str">
        <f>HYPERLINK("http://www.genecards.org/cgi-bin/carddisp.pl?gene=NTRK2","GeneCards")</f>
        <v>GeneCards</v>
      </c>
      <c r="D14436" s="1" t="str">
        <f>HYPERLINK("http://genome-euro.ucsc.edu/cgi-bin/hgTracks?position=214680_at","UCSC")</f>
        <v>UCSC</v>
      </c>
      <c r="E14436" s="1" t="str">
        <f>HYPERLINK("http://www.ncbi.nlm.nih.gov/gene/?term=NTRK2","NCBI")</f>
        <v>NCBI</v>
      </c>
      <c r="F14436">
        <v>0.56000000000000005</v>
      </c>
      <c r="G14436">
        <v>0.65</v>
      </c>
      <c r="H14436" s="1" t="str">
        <f>HYPERLINK("http://www.weizmann.ac.il/complex/compphys/software/geview/data/figures/214680_at.png","Figure")</f>
        <v>Figure</v>
      </c>
      <c r="I14436">
        <v>1</v>
      </c>
      <c r="J14436">
        <v>1</v>
      </c>
      <c r="K14436">
        <v>0.99399999999999999</v>
      </c>
      <c r="L14436">
        <v>0.62</v>
      </c>
      <c r="M14436">
        <v>0.99399999999999999</v>
      </c>
      <c r="N14436">
        <v>0.66</v>
      </c>
    </row>
    <row r="14437" spans="1:14" x14ac:dyDescent="0.25">
      <c r="A14437" t="s">
        <v>24499</v>
      </c>
      <c r="B14437" t="s">
        <v>24500</v>
      </c>
      <c r="C14437" s="1" t="str">
        <f>HYPERLINK("http://www.genecards.org/cgi-bin/carddisp.pl?gene=RRP15","GeneCards")</f>
        <v>GeneCards</v>
      </c>
      <c r="D14437" s="1" t="str">
        <f>HYPERLINK("http://genome-euro.ucsc.edu/cgi-bin/hgTracks?position=214764_at","UCSC")</f>
        <v>UCSC</v>
      </c>
      <c r="E14437" s="1" t="str">
        <f>HYPERLINK("http://www.ncbi.nlm.nih.gov/gene/?term=RRP15","NCBI")</f>
        <v>NCBI</v>
      </c>
      <c r="F14437">
        <v>0.56000000000000005</v>
      </c>
      <c r="G14437">
        <v>0.65</v>
      </c>
      <c r="H14437" s="1" t="str">
        <f>HYPERLINK("http://www.weizmann.ac.il/complex/compphys/software/geview/data/figures/214764_at.png","Figure")</f>
        <v>Figure</v>
      </c>
      <c r="I14437">
        <v>1</v>
      </c>
      <c r="J14437">
        <v>1</v>
      </c>
      <c r="K14437">
        <v>0.98799999999999999</v>
      </c>
      <c r="L14437">
        <v>0.62</v>
      </c>
      <c r="M14437">
        <v>0.98799999999999999</v>
      </c>
      <c r="N14437">
        <v>0.66</v>
      </c>
    </row>
    <row r="14438" spans="1:14" x14ac:dyDescent="0.25">
      <c r="A14438" t="s">
        <v>24501</v>
      </c>
      <c r="B14438" t="s">
        <v>12839</v>
      </c>
      <c r="C14438" s="1" t="str">
        <f>HYPERLINK("http://www.genecards.org/cgi-bin/carddisp.pl?gene=VPS13A","GeneCards")</f>
        <v>GeneCards</v>
      </c>
      <c r="D14438" s="1" t="str">
        <f>HYPERLINK("http://genome-euro.ucsc.edu/cgi-bin/hgTracks?position=214852_x_at","UCSC")</f>
        <v>UCSC</v>
      </c>
      <c r="E14438" s="1" t="str">
        <f>HYPERLINK("http://www.ncbi.nlm.nih.gov/gene/?term=VPS13A","NCBI")</f>
        <v>NCBI</v>
      </c>
      <c r="F14438">
        <v>0.56000000000000005</v>
      </c>
      <c r="G14438">
        <v>0.65</v>
      </c>
      <c r="H14438" s="1" t="str">
        <f>HYPERLINK("http://www.weizmann.ac.il/complex/compphys/software/geview/data/figures/214852_x_at.png","Figure")</f>
        <v>Figure</v>
      </c>
      <c r="I14438">
        <v>1</v>
      </c>
      <c r="J14438">
        <v>1</v>
      </c>
      <c r="K14438">
        <v>0.996</v>
      </c>
      <c r="L14438">
        <v>0.62</v>
      </c>
      <c r="M14438">
        <v>0.996</v>
      </c>
      <c r="N14438">
        <v>0.66</v>
      </c>
    </row>
    <row r="14439" spans="1:14" x14ac:dyDescent="0.25">
      <c r="A14439" t="s">
        <v>24502</v>
      </c>
      <c r="B14439" t="s">
        <v>24503</v>
      </c>
      <c r="C14439" s="1" t="str">
        <f>HYPERLINK("http://www.genecards.org/cgi-bin/carddisp.pl?gene=LOC100287602","GeneCards")</f>
        <v>GeneCards</v>
      </c>
      <c r="D14439" s="1" t="str">
        <f>HYPERLINK("http://genome-euro.ucsc.edu/cgi-bin/hgTracks?position=214863_at","UCSC")</f>
        <v>UCSC</v>
      </c>
      <c r="E14439" s="1" t="str">
        <f>HYPERLINK("http://www.ncbi.nlm.nih.gov/gene/?term=LOC100287602","NCBI")</f>
        <v>NCBI</v>
      </c>
      <c r="F14439">
        <v>0.56000000000000005</v>
      </c>
      <c r="G14439">
        <v>0.65</v>
      </c>
      <c r="H14439" s="1" t="str">
        <f>HYPERLINK("http://www.weizmann.ac.il/complex/compphys/software/geview/data/figures/214863_at.png","Figure")</f>
        <v>Figure</v>
      </c>
      <c r="I14439">
        <v>1</v>
      </c>
      <c r="J14439">
        <v>1</v>
      </c>
      <c r="K14439">
        <v>0.998</v>
      </c>
      <c r="L14439">
        <v>0.62</v>
      </c>
      <c r="M14439">
        <v>0.998</v>
      </c>
      <c r="N14439">
        <v>0.66</v>
      </c>
    </row>
    <row r="14440" spans="1:14" x14ac:dyDescent="0.25">
      <c r="A14440" t="s">
        <v>24504</v>
      </c>
      <c r="B14440" t="s">
        <v>24505</v>
      </c>
      <c r="C14440" s="1" t="str">
        <f>HYPERLINK("http://www.genecards.org/cgi-bin/carddisp.pl?gene=APOM","GeneCards")</f>
        <v>GeneCards</v>
      </c>
      <c r="D14440" s="1" t="str">
        <f>HYPERLINK("http://genome-euro.ucsc.edu/cgi-bin/hgTracks?position=214910_s_at","UCSC")</f>
        <v>UCSC</v>
      </c>
      <c r="E14440" s="1" t="str">
        <f>HYPERLINK("http://www.ncbi.nlm.nih.gov/gene/?term=APOM","NCBI")</f>
        <v>NCBI</v>
      </c>
      <c r="F14440">
        <v>0.56000000000000005</v>
      </c>
      <c r="G14440">
        <v>0.65</v>
      </c>
      <c r="H14440" s="1" t="str">
        <f>HYPERLINK("http://www.weizmann.ac.il/complex/compphys/software/geview/data/figures/214910_s_at.png","Figure")</f>
        <v>Figure</v>
      </c>
      <c r="I14440">
        <v>1.0900000000000001</v>
      </c>
      <c r="J14440">
        <v>0.68</v>
      </c>
      <c r="K14440">
        <v>1.1000000000000001</v>
      </c>
      <c r="L14440">
        <v>0.56000000000000005</v>
      </c>
      <c r="M14440">
        <v>1.01</v>
      </c>
      <c r="N14440">
        <v>1</v>
      </c>
    </row>
    <row r="14441" spans="1:14" x14ac:dyDescent="0.25">
      <c r="A14441" t="s">
        <v>24506</v>
      </c>
      <c r="B14441" t="s">
        <v>2787</v>
      </c>
      <c r="C14441" s="1" t="str">
        <f>HYPERLINK("http://www.genecards.org/cgi-bin/carddisp.pl?gene=RBM34","GeneCards")</f>
        <v>GeneCards</v>
      </c>
      <c r="D14441" s="1" t="str">
        <f>HYPERLINK("http://genome-euro.ucsc.edu/cgi-bin/hgTracks?position=214942_at","UCSC")</f>
        <v>UCSC</v>
      </c>
      <c r="E14441" s="1" t="str">
        <f>HYPERLINK("http://www.ncbi.nlm.nih.gov/gene/?term=RBM34","NCBI")</f>
        <v>NCBI</v>
      </c>
      <c r="F14441">
        <v>0.56000000000000005</v>
      </c>
      <c r="G14441">
        <v>0.65</v>
      </c>
      <c r="H14441" s="1" t="str">
        <f>HYPERLINK("http://www.weizmann.ac.il/complex/compphys/software/geview/data/figures/214942_at.png","Figure")</f>
        <v>Figure</v>
      </c>
      <c r="I14441">
        <v>1</v>
      </c>
      <c r="J14441">
        <v>1</v>
      </c>
      <c r="K14441">
        <v>0.996</v>
      </c>
      <c r="L14441">
        <v>0.62</v>
      </c>
      <c r="M14441">
        <v>0.996</v>
      </c>
      <c r="N14441">
        <v>0.66</v>
      </c>
    </row>
    <row r="14442" spans="1:14" x14ac:dyDescent="0.25">
      <c r="A14442" t="s">
        <v>24507</v>
      </c>
      <c r="B14442" t="s">
        <v>14245</v>
      </c>
      <c r="C14442" s="1" t="str">
        <f>HYPERLINK("http://www.genecards.org/cgi-bin/carddisp.pl?gene=NUP160","GeneCards")</f>
        <v>GeneCards</v>
      </c>
      <c r="D14442" s="1" t="str">
        <f>HYPERLINK("http://genome-euro.ucsc.edu/cgi-bin/hgTracks?position=214962_s_at","UCSC")</f>
        <v>UCSC</v>
      </c>
      <c r="E14442" s="1" t="str">
        <f>HYPERLINK("http://www.ncbi.nlm.nih.gov/gene/?term=NUP160","NCBI")</f>
        <v>NCBI</v>
      </c>
      <c r="F14442">
        <v>0.56000000000000005</v>
      </c>
      <c r="G14442">
        <v>0.65</v>
      </c>
      <c r="H14442" s="1" t="str">
        <f>HYPERLINK("http://www.weizmann.ac.il/complex/compphys/software/geview/data/figures/214962_s_at.png","Figure")</f>
        <v>Figure</v>
      </c>
      <c r="I14442">
        <v>1</v>
      </c>
      <c r="J14442">
        <v>1</v>
      </c>
      <c r="K14442">
        <v>0.97499999999999998</v>
      </c>
      <c r="L14442">
        <v>0.62</v>
      </c>
      <c r="M14442">
        <v>0.97499999999999998</v>
      </c>
      <c r="N14442">
        <v>0.66</v>
      </c>
    </row>
    <row r="14443" spans="1:14" x14ac:dyDescent="0.25">
      <c r="A14443" t="s">
        <v>24508</v>
      </c>
      <c r="B14443" t="s">
        <v>11189</v>
      </c>
      <c r="C14443" s="1" t="str">
        <f>HYPERLINK("http://www.genecards.org/cgi-bin/carddisp.pl?gene=NRXN3","GeneCards")</f>
        <v>GeneCards</v>
      </c>
      <c r="D14443" s="1" t="str">
        <f>HYPERLINK("http://genome-euro.ucsc.edu/cgi-bin/hgTracks?position=215021_s_at","UCSC")</f>
        <v>UCSC</v>
      </c>
      <c r="E14443" s="1" t="str">
        <f>HYPERLINK("http://www.ncbi.nlm.nih.gov/gene/?term=NRXN3","NCBI")</f>
        <v>NCBI</v>
      </c>
      <c r="F14443">
        <v>0.56000000000000005</v>
      </c>
      <c r="G14443">
        <v>0.65</v>
      </c>
      <c r="H14443" s="1" t="str">
        <f>HYPERLINK("http://www.weizmann.ac.il/complex/compphys/software/geview/data/figures/215021_s_at.png","Figure")</f>
        <v>Figure</v>
      </c>
      <c r="I14443">
        <v>1</v>
      </c>
      <c r="J14443">
        <v>1</v>
      </c>
      <c r="K14443">
        <v>0.96899999999999997</v>
      </c>
      <c r="L14443">
        <v>0.62</v>
      </c>
      <c r="M14443">
        <v>0.96899999999999997</v>
      </c>
      <c r="N14443">
        <v>0.66</v>
      </c>
    </row>
    <row r="14444" spans="1:14" x14ac:dyDescent="0.25">
      <c r="A14444" t="s">
        <v>24509</v>
      </c>
      <c r="B14444" t="s">
        <v>24510</v>
      </c>
      <c r="C14444" s="1" t="str">
        <f>HYPERLINK("http://www.genecards.org/cgi-bin/carddisp.pl?gene=SMA4 /// SMA5","GeneCards")</f>
        <v>GeneCards</v>
      </c>
      <c r="D14444" s="1" t="str">
        <f>HYPERLINK("http://genome-euro.ucsc.edu/cgi-bin/hgTracks?position=215043_s_at","UCSC")</f>
        <v>UCSC</v>
      </c>
      <c r="E14444" s="1" t="str">
        <f>HYPERLINK("http://www.ncbi.nlm.nih.gov/gene/?term=SMA4 /// SMA5","NCBI")</f>
        <v>NCBI</v>
      </c>
      <c r="F14444">
        <v>0.56000000000000005</v>
      </c>
      <c r="G14444">
        <v>0.65</v>
      </c>
      <c r="H14444" s="1" t="str">
        <f>HYPERLINK("http://www.weizmann.ac.il/complex/compphys/software/geview/data/figures/215043_s_at.png","Figure")</f>
        <v>Figure</v>
      </c>
      <c r="I14444">
        <v>1</v>
      </c>
      <c r="J14444">
        <v>1</v>
      </c>
      <c r="K14444">
        <v>0.96699999999999997</v>
      </c>
      <c r="L14444">
        <v>0.62</v>
      </c>
      <c r="M14444">
        <v>0.96699999999999997</v>
      </c>
      <c r="N14444">
        <v>0.66</v>
      </c>
    </row>
    <row r="14445" spans="1:14" x14ac:dyDescent="0.25">
      <c r="A14445" t="s">
        <v>24511</v>
      </c>
      <c r="B14445" t="s">
        <v>24512</v>
      </c>
      <c r="C14445" s="1" t="str">
        <f>HYPERLINK("http://www.genecards.org/cgi-bin/carddisp.pl?gene=LOC100272228","GeneCards")</f>
        <v>GeneCards</v>
      </c>
      <c r="D14445" s="1" t="str">
        <f>HYPERLINK("http://genome-euro.ucsc.edu/cgi-bin/hgTracks?position=215057_at","UCSC")</f>
        <v>UCSC</v>
      </c>
      <c r="E14445" s="1" t="str">
        <f>HYPERLINK("http://www.ncbi.nlm.nih.gov/gene/?term=LOC100272228","NCBI")</f>
        <v>NCBI</v>
      </c>
      <c r="F14445">
        <v>0.56000000000000005</v>
      </c>
      <c r="G14445">
        <v>0.65</v>
      </c>
      <c r="H14445" s="1" t="str">
        <f>HYPERLINK("http://www.weizmann.ac.il/complex/compphys/software/geview/data/figures/215057_at.png","Figure")</f>
        <v>Figure</v>
      </c>
      <c r="I14445">
        <v>1.08</v>
      </c>
      <c r="J14445">
        <v>0.53</v>
      </c>
      <c r="K14445">
        <v>1.04</v>
      </c>
      <c r="L14445">
        <v>0.82</v>
      </c>
      <c r="M14445">
        <v>0.96099999999999997</v>
      </c>
      <c r="N14445">
        <v>0.82</v>
      </c>
    </row>
    <row r="14446" spans="1:14" x14ac:dyDescent="0.25">
      <c r="A14446" t="s">
        <v>24513</v>
      </c>
      <c r="B14446" t="s">
        <v>20100</v>
      </c>
      <c r="C14446" s="1" t="str">
        <f>HYPERLINK("http://www.genecards.org/cgi-bin/carddisp.pl?gene=IQCK","GeneCards")</f>
        <v>GeneCards</v>
      </c>
      <c r="D14446" s="1" t="str">
        <f>HYPERLINK("http://genome-euro.ucsc.edu/cgi-bin/hgTracks?position=215131_at","UCSC")</f>
        <v>UCSC</v>
      </c>
      <c r="E14446" s="1" t="str">
        <f>HYPERLINK("http://www.ncbi.nlm.nih.gov/gene/?term=IQCK","NCBI")</f>
        <v>NCBI</v>
      </c>
      <c r="F14446">
        <v>0.56000000000000005</v>
      </c>
      <c r="G14446">
        <v>0.65</v>
      </c>
      <c r="H14446" s="1" t="str">
        <f>HYPERLINK("http://www.weizmann.ac.il/complex/compphys/software/geview/data/figures/215131_at.png","Figure")</f>
        <v>Figure</v>
      </c>
      <c r="I14446">
        <v>1.01</v>
      </c>
      <c r="J14446">
        <v>0.78</v>
      </c>
      <c r="K14446">
        <v>0.995</v>
      </c>
      <c r="L14446">
        <v>0.91</v>
      </c>
      <c r="M14446">
        <v>0.98499999999999999</v>
      </c>
      <c r="N14446">
        <v>0.53</v>
      </c>
    </row>
    <row r="14447" spans="1:14" x14ac:dyDescent="0.25">
      <c r="A14447" t="s">
        <v>24514</v>
      </c>
      <c r="B14447" t="s">
        <v>781</v>
      </c>
      <c r="C14447" s="1" t="str">
        <f>HYPERLINK("http://www.genecards.org/cgi-bin/carddisp.pl?gene=GARNL1","GeneCards")</f>
        <v>GeneCards</v>
      </c>
      <c r="D14447" s="1" t="str">
        <f>HYPERLINK("http://genome-euro.ucsc.edu/cgi-bin/hgTracks?position=215162_at","UCSC")</f>
        <v>UCSC</v>
      </c>
      <c r="E14447" s="1" t="str">
        <f>HYPERLINK("http://www.ncbi.nlm.nih.gov/gene/?term=GARNL1","NCBI")</f>
        <v>NCBI</v>
      </c>
      <c r="F14447">
        <v>0.55000000000000004</v>
      </c>
      <c r="G14447">
        <v>0.65</v>
      </c>
      <c r="H14447" s="1" t="str">
        <f>HYPERLINK("http://www.weizmann.ac.il/complex/compphys/software/geview/data/figures/215162_at.png","Figure")</f>
        <v>Figure</v>
      </c>
      <c r="I14447">
        <v>0.91800000000000004</v>
      </c>
      <c r="J14447">
        <v>0.54</v>
      </c>
      <c r="K14447">
        <v>0.94899999999999995</v>
      </c>
      <c r="L14447">
        <v>0.73</v>
      </c>
      <c r="M14447">
        <v>1.03</v>
      </c>
      <c r="N14447">
        <v>0.9</v>
      </c>
    </row>
    <row r="14448" spans="1:14" x14ac:dyDescent="0.25">
      <c r="A14448" t="s">
        <v>24515</v>
      </c>
      <c r="B14448" t="s">
        <v>24516</v>
      </c>
      <c r="C14448" s="1" t="str">
        <f>HYPERLINK("http://www.genecards.org/cgi-bin/carddisp.pl?gene=TNN","GeneCards")</f>
        <v>GeneCards</v>
      </c>
      <c r="D14448" s="1" t="str">
        <f>HYPERLINK("http://genome-euro.ucsc.edu/cgi-bin/hgTracks?position=215271_at","UCSC")</f>
        <v>UCSC</v>
      </c>
      <c r="E14448" s="1" t="str">
        <f>HYPERLINK("http://www.ncbi.nlm.nih.gov/gene/?term=TNN","NCBI")</f>
        <v>NCBI</v>
      </c>
      <c r="F14448">
        <v>0.56000000000000005</v>
      </c>
      <c r="G14448">
        <v>0.65</v>
      </c>
      <c r="H14448" s="1" t="str">
        <f>HYPERLINK("http://www.weizmann.ac.il/complex/compphys/software/geview/data/figures/215271_at.png","Figure")</f>
        <v>Figure</v>
      </c>
      <c r="I14448">
        <v>1</v>
      </c>
      <c r="J14448">
        <v>1</v>
      </c>
      <c r="K14448">
        <v>0.98899999999999999</v>
      </c>
      <c r="L14448">
        <v>0.62</v>
      </c>
      <c r="M14448">
        <v>0.98899999999999999</v>
      </c>
      <c r="N14448">
        <v>0.66</v>
      </c>
    </row>
    <row r="14449" spans="1:14" x14ac:dyDescent="0.25">
      <c r="A14449" t="s">
        <v>24517</v>
      </c>
      <c r="B14449" t="s">
        <v>550</v>
      </c>
      <c r="C14449" s="1" t="str">
        <f>HYPERLINK("http://www.genecards.org/cgi-bin/carddisp.pl?gene=OGG1","GeneCards")</f>
        <v>GeneCards</v>
      </c>
      <c r="D14449" s="1" t="str">
        <f>HYPERLINK("http://genome-euro.ucsc.edu/cgi-bin/hgTracks?position=215272_at","UCSC")</f>
        <v>UCSC</v>
      </c>
      <c r="E14449" s="1" t="str">
        <f>HYPERLINK("http://www.ncbi.nlm.nih.gov/gene/?term=OGG1","NCBI")</f>
        <v>NCBI</v>
      </c>
      <c r="F14449">
        <v>0.56000000000000005</v>
      </c>
      <c r="G14449">
        <v>0.65</v>
      </c>
      <c r="H14449" s="1" t="str">
        <f>HYPERLINK("http://www.weizmann.ac.il/complex/compphys/software/geview/data/figures/215272_at.png","Figure")</f>
        <v>Figure</v>
      </c>
      <c r="I14449">
        <v>1</v>
      </c>
      <c r="J14449">
        <v>1</v>
      </c>
      <c r="K14449">
        <v>0.99299999999999999</v>
      </c>
      <c r="L14449">
        <v>0.62</v>
      </c>
      <c r="M14449">
        <v>0.99299999999999999</v>
      </c>
      <c r="N14449">
        <v>0.66</v>
      </c>
    </row>
    <row r="14450" spans="1:14" x14ac:dyDescent="0.25">
      <c r="A14450" t="s">
        <v>24518</v>
      </c>
      <c r="B14450" t="s">
        <v>24519</v>
      </c>
      <c r="C14450" s="1" t="str">
        <f>HYPERLINK("http://www.genecards.org/cgi-bin/carddisp.pl?gene=TRPC2","GeneCards")</f>
        <v>GeneCards</v>
      </c>
      <c r="D14450" s="1" t="str">
        <f>HYPERLINK("http://genome-euro.ucsc.edu/cgi-bin/hgTracks?position=215288_at","UCSC")</f>
        <v>UCSC</v>
      </c>
      <c r="E14450" s="1" t="str">
        <f>HYPERLINK("http://www.ncbi.nlm.nih.gov/gene/?term=TRPC2","NCBI")</f>
        <v>NCBI</v>
      </c>
      <c r="F14450">
        <v>0.56000000000000005</v>
      </c>
      <c r="G14450">
        <v>0.65</v>
      </c>
      <c r="H14450" s="1" t="str">
        <f>HYPERLINK("http://www.weizmann.ac.il/complex/compphys/software/geview/data/figures/215288_at.png","Figure")</f>
        <v>Figure</v>
      </c>
      <c r="I14450">
        <v>1</v>
      </c>
      <c r="J14450">
        <v>1</v>
      </c>
      <c r="K14450">
        <v>0.99299999999999999</v>
      </c>
      <c r="L14450">
        <v>0.62</v>
      </c>
      <c r="M14450">
        <v>0.99299999999999999</v>
      </c>
      <c r="N14450">
        <v>0.66</v>
      </c>
    </row>
    <row r="14451" spans="1:14" x14ac:dyDescent="0.25">
      <c r="A14451" t="s">
        <v>24520</v>
      </c>
      <c r="B14451" t="s">
        <v>7678</v>
      </c>
      <c r="C14451" s="1" t="str">
        <f>HYPERLINK("http://www.genecards.org/cgi-bin/carddisp.pl?gene=SMURF1","GeneCards")</f>
        <v>GeneCards</v>
      </c>
      <c r="D14451" s="1" t="str">
        <f>HYPERLINK("http://genome-euro.ucsc.edu/cgi-bin/hgTracks?position=215458_s_at","UCSC")</f>
        <v>UCSC</v>
      </c>
      <c r="E14451" s="1" t="str">
        <f>HYPERLINK("http://www.ncbi.nlm.nih.gov/gene/?term=SMURF1","NCBI")</f>
        <v>NCBI</v>
      </c>
      <c r="F14451">
        <v>0.56000000000000005</v>
      </c>
      <c r="G14451">
        <v>0.65</v>
      </c>
      <c r="H14451" s="1" t="str">
        <f>HYPERLINK("http://www.weizmann.ac.il/complex/compphys/software/geview/data/figures/215458_s_at.png","Figure")</f>
        <v>Figure</v>
      </c>
      <c r="I14451">
        <v>1</v>
      </c>
      <c r="J14451">
        <v>1</v>
      </c>
      <c r="K14451">
        <v>0.98799999999999999</v>
      </c>
      <c r="L14451">
        <v>0.62</v>
      </c>
      <c r="M14451">
        <v>0.98799999999999999</v>
      </c>
      <c r="N14451">
        <v>0.66</v>
      </c>
    </row>
    <row r="14452" spans="1:14" x14ac:dyDescent="0.25">
      <c r="A14452" t="s">
        <v>24521</v>
      </c>
      <c r="B14452" t="s">
        <v>24522</v>
      </c>
      <c r="C14452" s="1" t="str">
        <f>HYPERLINK("http://www.genecards.org/cgi-bin/carddisp.pl?gene=PRPS1L1","GeneCards")</f>
        <v>GeneCards</v>
      </c>
      <c r="D14452" s="1" t="str">
        <f>HYPERLINK("http://genome-euro.ucsc.edu/cgi-bin/hgTracks?position=215486_at","UCSC")</f>
        <v>UCSC</v>
      </c>
      <c r="E14452" s="1" t="str">
        <f>HYPERLINK("http://www.ncbi.nlm.nih.gov/gene/?term=PRPS1L1","NCBI")</f>
        <v>NCBI</v>
      </c>
      <c r="F14452">
        <v>0.56000000000000005</v>
      </c>
      <c r="G14452">
        <v>0.65</v>
      </c>
      <c r="H14452" s="1" t="str">
        <f>HYPERLINK("http://www.weizmann.ac.il/complex/compphys/software/geview/data/figures/215486_at.png","Figure")</f>
        <v>Figure</v>
      </c>
      <c r="I14452">
        <v>1</v>
      </c>
      <c r="J14452">
        <v>1</v>
      </c>
      <c r="K14452">
        <v>0.98899999999999999</v>
      </c>
      <c r="L14452">
        <v>0.62</v>
      </c>
      <c r="M14452">
        <v>0.98899999999999999</v>
      </c>
      <c r="N14452">
        <v>0.66</v>
      </c>
    </row>
    <row r="14453" spans="1:14" x14ac:dyDescent="0.25">
      <c r="A14453" t="s">
        <v>24523</v>
      </c>
      <c r="B14453" t="s">
        <v>24524</v>
      </c>
      <c r="C14453" s="1" t="str">
        <f>HYPERLINK("http://www.genecards.org/cgi-bin/carddisp.pl?gene=HYMAI","GeneCards")</f>
        <v>GeneCards</v>
      </c>
      <c r="D14453" s="1" t="str">
        <f>HYPERLINK("http://genome-euro.ucsc.edu/cgi-bin/hgTracks?position=215513_at","UCSC")</f>
        <v>UCSC</v>
      </c>
      <c r="E14453" s="1" t="str">
        <f>HYPERLINK("http://www.ncbi.nlm.nih.gov/gene/?term=HYMAI","NCBI")</f>
        <v>NCBI</v>
      </c>
      <c r="F14453">
        <v>0.56000000000000005</v>
      </c>
      <c r="G14453">
        <v>0.65</v>
      </c>
      <c r="H14453" s="1" t="str">
        <f>HYPERLINK("http://www.weizmann.ac.il/complex/compphys/software/geview/data/figures/215513_at.png","Figure")</f>
        <v>Figure</v>
      </c>
      <c r="I14453">
        <v>1</v>
      </c>
      <c r="J14453">
        <v>1</v>
      </c>
      <c r="K14453">
        <v>0.996</v>
      </c>
      <c r="L14453">
        <v>0.62</v>
      </c>
      <c r="M14453">
        <v>0.996</v>
      </c>
      <c r="N14453">
        <v>0.66</v>
      </c>
    </row>
    <row r="14454" spans="1:14" x14ac:dyDescent="0.25">
      <c r="A14454" t="s">
        <v>24525</v>
      </c>
      <c r="B14454" t="s">
        <v>24526</v>
      </c>
      <c r="C14454" s="1" t="str">
        <f>HYPERLINK("http://www.genecards.org/cgi-bin/carddisp.pl?gene=ZNF492","GeneCards")</f>
        <v>GeneCards</v>
      </c>
      <c r="D14454" s="1" t="str">
        <f>HYPERLINK("http://genome-euro.ucsc.edu/cgi-bin/hgTracks?position=215532_x_at","UCSC")</f>
        <v>UCSC</v>
      </c>
      <c r="E14454" s="1" t="str">
        <f>HYPERLINK("http://www.ncbi.nlm.nih.gov/gene/?term=ZNF492","NCBI")</f>
        <v>NCBI</v>
      </c>
      <c r="F14454">
        <v>0.56000000000000005</v>
      </c>
      <c r="G14454">
        <v>0.65</v>
      </c>
      <c r="H14454" s="1" t="str">
        <f>HYPERLINK("http://www.weizmann.ac.il/complex/compphys/software/geview/data/figures/215532_x_at.png","Figure")</f>
        <v>Figure</v>
      </c>
      <c r="I14454">
        <v>1</v>
      </c>
      <c r="J14454">
        <v>1</v>
      </c>
      <c r="K14454">
        <v>0.999</v>
      </c>
      <c r="L14454">
        <v>0.62</v>
      </c>
      <c r="M14454">
        <v>0.999</v>
      </c>
      <c r="N14454">
        <v>0.66</v>
      </c>
    </row>
    <row r="14455" spans="1:14" x14ac:dyDescent="0.25">
      <c r="A14455" t="s">
        <v>24527</v>
      </c>
      <c r="B14455" t="s">
        <v>17111</v>
      </c>
      <c r="C14455" s="1" t="str">
        <f>HYPERLINK("http://www.genecards.org/cgi-bin/carddisp.pl?gene=SDHD","GeneCards")</f>
        <v>GeneCards</v>
      </c>
      <c r="D14455" s="1" t="str">
        <f>HYPERLINK("http://genome-euro.ucsc.edu/cgi-bin/hgTracks?position=215652_at","UCSC")</f>
        <v>UCSC</v>
      </c>
      <c r="E14455" s="1" t="str">
        <f>HYPERLINK("http://www.ncbi.nlm.nih.gov/gene/?term=SDHD","NCBI")</f>
        <v>NCBI</v>
      </c>
      <c r="F14455">
        <v>0.56000000000000005</v>
      </c>
      <c r="G14455">
        <v>0.65</v>
      </c>
      <c r="H14455" s="1" t="str">
        <f>HYPERLINK("http://www.weizmann.ac.il/complex/compphys/software/geview/data/figures/215652_at.png","Figure")</f>
        <v>Figure</v>
      </c>
      <c r="I14455">
        <v>1</v>
      </c>
      <c r="J14455">
        <v>1</v>
      </c>
      <c r="K14455">
        <v>0.996</v>
      </c>
      <c r="L14455">
        <v>0.62</v>
      </c>
      <c r="M14455">
        <v>0.996</v>
      </c>
      <c r="N14455">
        <v>0.66</v>
      </c>
    </row>
    <row r="14456" spans="1:14" x14ac:dyDescent="0.25">
      <c r="A14456" t="s">
        <v>24528</v>
      </c>
      <c r="B14456" t="s">
        <v>7380</v>
      </c>
      <c r="C14456" s="1" t="str">
        <f>HYPERLINK("http://www.genecards.org/cgi-bin/carddisp.pl?gene=PHF3","GeneCards")</f>
        <v>GeneCards</v>
      </c>
      <c r="D14456" s="1" t="str">
        <f>HYPERLINK("http://genome-euro.ucsc.edu/cgi-bin/hgTracks?position=215718_s_at","UCSC")</f>
        <v>UCSC</v>
      </c>
      <c r="E14456" s="1" t="str">
        <f>HYPERLINK("http://www.ncbi.nlm.nih.gov/gene/?term=PHF3","NCBI")</f>
        <v>NCBI</v>
      </c>
      <c r="F14456">
        <v>0.56000000000000005</v>
      </c>
      <c r="G14456">
        <v>0.65</v>
      </c>
      <c r="H14456" s="1" t="str">
        <f>HYPERLINK("http://www.weizmann.ac.il/complex/compphys/software/geview/data/figures/215718_s_at.png","Figure")</f>
        <v>Figure</v>
      </c>
      <c r="I14456">
        <v>1</v>
      </c>
      <c r="J14456">
        <v>1</v>
      </c>
      <c r="K14456">
        <v>0.94499999999999995</v>
      </c>
      <c r="L14456">
        <v>0.62</v>
      </c>
      <c r="M14456">
        <v>0.94499999999999995</v>
      </c>
      <c r="N14456">
        <v>0.66</v>
      </c>
    </row>
    <row r="14457" spans="1:14" x14ac:dyDescent="0.25">
      <c r="A14457" t="s">
        <v>24529</v>
      </c>
      <c r="B14457" t="s">
        <v>2506</v>
      </c>
      <c r="C14457" s="1" t="str">
        <f>HYPERLINK("http://www.genecards.org/cgi-bin/carddisp.pl?gene=FUS","GeneCards")</f>
        <v>GeneCards</v>
      </c>
      <c r="D14457" s="1" t="str">
        <f>HYPERLINK("http://genome-euro.ucsc.edu/cgi-bin/hgTracks?position=215744_at","UCSC")</f>
        <v>UCSC</v>
      </c>
      <c r="E14457" s="1" t="str">
        <f>HYPERLINK("http://www.ncbi.nlm.nih.gov/gene/?term=FUS","NCBI")</f>
        <v>NCBI</v>
      </c>
      <c r="F14457">
        <v>0.56000000000000005</v>
      </c>
      <c r="G14457">
        <v>0.65</v>
      </c>
      <c r="H14457" s="1" t="str">
        <f>HYPERLINK("http://www.weizmann.ac.il/complex/compphys/software/geview/data/figures/215744_at.png","Figure")</f>
        <v>Figure</v>
      </c>
      <c r="I14457">
        <v>1</v>
      </c>
      <c r="J14457">
        <v>1</v>
      </c>
      <c r="K14457">
        <v>0.995</v>
      </c>
      <c r="L14457">
        <v>0.62</v>
      </c>
      <c r="M14457">
        <v>0.995</v>
      </c>
      <c r="N14457">
        <v>0.66</v>
      </c>
    </row>
    <row r="14458" spans="1:14" x14ac:dyDescent="0.25">
      <c r="A14458" t="s">
        <v>24530</v>
      </c>
      <c r="B14458" t="s">
        <v>1485</v>
      </c>
      <c r="C14458" s="1" t="str">
        <f>HYPERLINK("http://www.genecards.org/cgi-bin/carddisp.pl?gene=CUL4B","GeneCards")</f>
        <v>GeneCards</v>
      </c>
      <c r="D14458" s="1" t="str">
        <f>HYPERLINK("http://genome-euro.ucsc.edu/cgi-bin/hgTracks?position=215997_s_at","UCSC")</f>
        <v>UCSC</v>
      </c>
      <c r="E14458" s="1" t="str">
        <f>HYPERLINK("http://www.ncbi.nlm.nih.gov/gene/?term=CUL4B","NCBI")</f>
        <v>NCBI</v>
      </c>
      <c r="F14458">
        <v>0.56000000000000005</v>
      </c>
      <c r="G14458">
        <v>0.65</v>
      </c>
      <c r="H14458" s="1" t="str">
        <f>HYPERLINK("http://www.weizmann.ac.il/complex/compphys/software/geview/data/figures/215997_s_at.png","Figure")</f>
        <v>Figure</v>
      </c>
      <c r="I14458">
        <v>1</v>
      </c>
      <c r="J14458">
        <v>1</v>
      </c>
      <c r="K14458">
        <v>0.91100000000000003</v>
      </c>
      <c r="L14458">
        <v>0.62</v>
      </c>
      <c r="M14458">
        <v>0.91100000000000003</v>
      </c>
      <c r="N14458">
        <v>0.66</v>
      </c>
    </row>
    <row r="14459" spans="1:14" x14ac:dyDescent="0.25">
      <c r="A14459" t="s">
        <v>24531</v>
      </c>
      <c r="B14459" t="s">
        <v>13254</v>
      </c>
      <c r="C14459" s="1" t="str">
        <f>HYPERLINK("http://www.genecards.org/cgi-bin/carddisp.pl?gene=RHOBTB3","GeneCards")</f>
        <v>GeneCards</v>
      </c>
      <c r="D14459" s="1" t="str">
        <f>HYPERLINK("http://genome-euro.ucsc.edu/cgi-bin/hgTracks?position=216049_at","UCSC")</f>
        <v>UCSC</v>
      </c>
      <c r="E14459" s="1" t="str">
        <f>HYPERLINK("http://www.ncbi.nlm.nih.gov/gene/?term=RHOBTB3","NCBI")</f>
        <v>NCBI</v>
      </c>
      <c r="F14459">
        <v>0.56000000000000005</v>
      </c>
      <c r="G14459">
        <v>0.65</v>
      </c>
      <c r="H14459" s="1" t="str">
        <f>HYPERLINK("http://www.weizmann.ac.il/complex/compphys/software/geview/data/figures/216049_at.png","Figure")</f>
        <v>Figure</v>
      </c>
      <c r="I14459">
        <v>1</v>
      </c>
      <c r="J14459">
        <v>1</v>
      </c>
      <c r="K14459">
        <v>0.99199999999999999</v>
      </c>
      <c r="L14459">
        <v>0.62</v>
      </c>
      <c r="M14459">
        <v>0.99199999999999999</v>
      </c>
      <c r="N14459">
        <v>0.66</v>
      </c>
    </row>
    <row r="14460" spans="1:14" x14ac:dyDescent="0.25">
      <c r="A14460" t="s">
        <v>24532</v>
      </c>
      <c r="B14460" t="s">
        <v>7687</v>
      </c>
      <c r="C14460" s="1" t="str">
        <f>HYPERLINK("http://www.genecards.org/cgi-bin/carddisp.pl?gene=FRMD4B","GeneCards")</f>
        <v>GeneCards</v>
      </c>
      <c r="D14460" s="1" t="str">
        <f>HYPERLINK("http://genome-euro.ucsc.edu/cgi-bin/hgTracks?position=216134_at","UCSC")</f>
        <v>UCSC</v>
      </c>
      <c r="E14460" s="1" t="str">
        <f>HYPERLINK("http://www.ncbi.nlm.nih.gov/gene/?term=FRMD4B","NCBI")</f>
        <v>NCBI</v>
      </c>
      <c r="F14460">
        <v>0.55000000000000004</v>
      </c>
      <c r="G14460">
        <v>0.65</v>
      </c>
      <c r="H14460" s="1" t="str">
        <f>HYPERLINK("http://www.weizmann.ac.il/complex/compphys/software/geview/data/figures/216134_at.png","Figure")</f>
        <v>Figure</v>
      </c>
      <c r="I14460">
        <v>0.98699999999999999</v>
      </c>
      <c r="J14460">
        <v>0.84</v>
      </c>
      <c r="K14460">
        <v>1.01</v>
      </c>
      <c r="L14460">
        <v>0.85</v>
      </c>
      <c r="M14460">
        <v>1.03</v>
      </c>
      <c r="N14460">
        <v>0.53</v>
      </c>
    </row>
    <row r="14461" spans="1:14" x14ac:dyDescent="0.25">
      <c r="A14461" t="s">
        <v>24533</v>
      </c>
      <c r="B14461" t="s">
        <v>13963</v>
      </c>
      <c r="C14461" s="1" t="str">
        <f>HYPERLINK("http://www.genecards.org/cgi-bin/carddisp.pl?gene=SBNO1","GeneCards")</f>
        <v>GeneCards</v>
      </c>
      <c r="D14461" s="1" t="str">
        <f>HYPERLINK("http://genome-euro.ucsc.edu/cgi-bin/hgTracks?position=216162_at","UCSC")</f>
        <v>UCSC</v>
      </c>
      <c r="E14461" s="1" t="str">
        <f>HYPERLINK("http://www.ncbi.nlm.nih.gov/gene/?term=SBNO1","NCBI")</f>
        <v>NCBI</v>
      </c>
      <c r="F14461">
        <v>0.56000000000000005</v>
      </c>
      <c r="G14461">
        <v>0.65</v>
      </c>
      <c r="H14461" s="1" t="str">
        <f>HYPERLINK("http://www.weizmann.ac.il/complex/compphys/software/geview/data/figures/216162_at.png","Figure")</f>
        <v>Figure</v>
      </c>
      <c r="I14461">
        <v>1</v>
      </c>
      <c r="J14461">
        <v>1</v>
      </c>
      <c r="K14461">
        <v>0.998</v>
      </c>
      <c r="L14461">
        <v>0.62</v>
      </c>
      <c r="M14461">
        <v>0.998</v>
      </c>
      <c r="N14461">
        <v>0.66</v>
      </c>
    </row>
    <row r="14462" spans="1:14" x14ac:dyDescent="0.25">
      <c r="A14462" t="s">
        <v>24534</v>
      </c>
      <c r="B14462" t="s">
        <v>7956</v>
      </c>
      <c r="C14462" s="1" t="str">
        <f>HYPERLINK("http://www.genecards.org/cgi-bin/carddisp.pl?gene=BUB1","GeneCards")</f>
        <v>GeneCards</v>
      </c>
      <c r="D14462" s="1" t="str">
        <f>HYPERLINK("http://genome-euro.ucsc.edu/cgi-bin/hgTracks?position=216277_at","UCSC")</f>
        <v>UCSC</v>
      </c>
      <c r="E14462" s="1" t="str">
        <f>HYPERLINK("http://www.ncbi.nlm.nih.gov/gene/?term=BUB1","NCBI")</f>
        <v>NCBI</v>
      </c>
      <c r="F14462">
        <v>0.54</v>
      </c>
      <c r="G14462">
        <v>0.65</v>
      </c>
      <c r="H14462" s="1" t="str">
        <f>HYPERLINK("http://www.weizmann.ac.il/complex/compphys/software/geview/data/figures/216277_at.png","Figure")</f>
        <v>Figure</v>
      </c>
      <c r="I14462">
        <v>0.97799999999999998</v>
      </c>
      <c r="J14462">
        <v>0.55000000000000004</v>
      </c>
      <c r="K14462">
        <v>0.98399999999999999</v>
      </c>
      <c r="L14462">
        <v>0.67</v>
      </c>
      <c r="M14462">
        <v>1.01</v>
      </c>
      <c r="N14462">
        <v>0.94</v>
      </c>
    </row>
    <row r="14463" spans="1:14" x14ac:dyDescent="0.25">
      <c r="A14463" t="s">
        <v>24535</v>
      </c>
      <c r="B14463" t="s">
        <v>24536</v>
      </c>
      <c r="C14463" s="1" t="str">
        <f>HYPERLINK("http://www.genecards.org/cgi-bin/carddisp.pl?gene=GK /// GK3P","GeneCards")</f>
        <v>GeneCards</v>
      </c>
      <c r="D14463" s="1" t="str">
        <f>HYPERLINK("http://genome-euro.ucsc.edu/cgi-bin/hgTracks?position=216316_x_at","UCSC")</f>
        <v>UCSC</v>
      </c>
      <c r="E14463" s="1" t="str">
        <f>HYPERLINK("http://www.ncbi.nlm.nih.gov/gene/?term=GK /// GK3P","NCBI")</f>
        <v>NCBI</v>
      </c>
      <c r="F14463">
        <v>0.56000000000000005</v>
      </c>
      <c r="G14463">
        <v>0.65</v>
      </c>
      <c r="H14463" s="1" t="str">
        <f>HYPERLINK("http://www.weizmann.ac.il/complex/compphys/software/geview/data/figures/216316_x_at.png","Figure")</f>
        <v>Figure</v>
      </c>
      <c r="I14463">
        <v>1.07</v>
      </c>
      <c r="J14463">
        <v>0.55000000000000004</v>
      </c>
      <c r="K14463">
        <v>1.05</v>
      </c>
      <c r="L14463">
        <v>0.72</v>
      </c>
      <c r="M14463">
        <v>0.97499999999999998</v>
      </c>
      <c r="N14463">
        <v>0.91</v>
      </c>
    </row>
    <row r="14464" spans="1:14" x14ac:dyDescent="0.25">
      <c r="A14464" t="s">
        <v>24537</v>
      </c>
      <c r="B14464" t="s">
        <v>19630</v>
      </c>
      <c r="C14464" s="1" t="str">
        <f>HYPERLINK("http://www.genecards.org/cgi-bin/carddisp.pl?gene=TKTL1","GeneCards")</f>
        <v>GeneCards</v>
      </c>
      <c r="D14464" s="1" t="str">
        <f>HYPERLINK("http://genome-euro.ucsc.edu/cgi-bin/hgTracks?position=216370_s_at","UCSC")</f>
        <v>UCSC</v>
      </c>
      <c r="E14464" s="1" t="str">
        <f>HYPERLINK("http://www.ncbi.nlm.nih.gov/gene/?term=TKTL1","NCBI")</f>
        <v>NCBI</v>
      </c>
      <c r="F14464">
        <v>0.56000000000000005</v>
      </c>
      <c r="G14464">
        <v>0.65</v>
      </c>
      <c r="H14464" s="1" t="str">
        <f>HYPERLINK("http://www.weizmann.ac.il/complex/compphys/software/geview/data/figures/216370_s_at.png","Figure")</f>
        <v>Figure</v>
      </c>
      <c r="I14464">
        <v>1</v>
      </c>
      <c r="J14464">
        <v>1</v>
      </c>
      <c r="K14464">
        <v>0.999</v>
      </c>
      <c r="L14464">
        <v>0.62</v>
      </c>
      <c r="M14464">
        <v>0.999</v>
      </c>
      <c r="N14464">
        <v>0.66</v>
      </c>
    </row>
    <row r="14465" spans="1:14" x14ac:dyDescent="0.25">
      <c r="A14465" t="s">
        <v>24538</v>
      </c>
      <c r="B14465" t="s">
        <v>14027</v>
      </c>
      <c r="C14465" s="1" t="str">
        <f>HYPERLINK("http://www.genecards.org/cgi-bin/carddisp.pl?gene=VAC14","GeneCards")</f>
        <v>GeneCards</v>
      </c>
      <c r="D14465" s="1" t="str">
        <f>HYPERLINK("http://genome-euro.ucsc.edu/cgi-bin/hgTracks?position=216407_at","UCSC")</f>
        <v>UCSC</v>
      </c>
      <c r="E14465" s="1" t="str">
        <f>HYPERLINK("http://www.ncbi.nlm.nih.gov/gene/?term=VAC14","NCBI")</f>
        <v>NCBI</v>
      </c>
      <c r="F14465">
        <v>0.56000000000000005</v>
      </c>
      <c r="G14465">
        <v>0.65</v>
      </c>
      <c r="H14465" s="1" t="str">
        <f>HYPERLINK("http://www.weizmann.ac.il/complex/compphys/software/geview/data/figures/216407_at.png","Figure")</f>
        <v>Figure</v>
      </c>
      <c r="I14465">
        <v>1</v>
      </c>
      <c r="J14465">
        <v>1</v>
      </c>
      <c r="K14465">
        <v>0.99</v>
      </c>
      <c r="L14465">
        <v>0.62</v>
      </c>
      <c r="M14465">
        <v>0.99</v>
      </c>
      <c r="N14465">
        <v>0.66</v>
      </c>
    </row>
    <row r="14466" spans="1:14" x14ac:dyDescent="0.25">
      <c r="A14466" t="s">
        <v>24539</v>
      </c>
      <c r="B14466" t="s">
        <v>6214</v>
      </c>
      <c r="C14466" s="1" t="str">
        <f>HYPERLINK("http://www.genecards.org/cgi-bin/carddisp.pl?gene=IGF2BP3","GeneCards")</f>
        <v>GeneCards</v>
      </c>
      <c r="D14466" s="1" t="str">
        <f>HYPERLINK("http://genome-euro.ucsc.edu/cgi-bin/hgTracks?position=216493_s_at","UCSC")</f>
        <v>UCSC</v>
      </c>
      <c r="E14466" s="1" t="str">
        <f>HYPERLINK("http://www.ncbi.nlm.nih.gov/gene/?term=IGF2BP3","NCBI")</f>
        <v>NCBI</v>
      </c>
      <c r="F14466">
        <v>0.56000000000000005</v>
      </c>
      <c r="G14466">
        <v>0.65</v>
      </c>
      <c r="H14466" s="1" t="str">
        <f>HYPERLINK("http://www.weizmann.ac.il/complex/compphys/software/geview/data/figures/216493_s_at.png","Figure")</f>
        <v>Figure</v>
      </c>
      <c r="I14466">
        <v>1</v>
      </c>
      <c r="J14466">
        <v>1</v>
      </c>
      <c r="K14466">
        <v>0.998</v>
      </c>
      <c r="L14466">
        <v>0.62</v>
      </c>
      <c r="M14466">
        <v>0.998</v>
      </c>
      <c r="N14466">
        <v>0.66</v>
      </c>
    </row>
    <row r="14467" spans="1:14" x14ac:dyDescent="0.25">
      <c r="A14467" t="s">
        <v>24540</v>
      </c>
      <c r="B14467" t="s">
        <v>24541</v>
      </c>
      <c r="C14467" s="1" t="str">
        <f>HYPERLINK("http://www.genecards.org/cgi-bin/carddisp.pl?gene=DCT","GeneCards")</f>
        <v>GeneCards</v>
      </c>
      <c r="D14467" s="1" t="str">
        <f>HYPERLINK("http://genome-euro.ucsc.edu/cgi-bin/hgTracks?position=216512_s_at","UCSC")</f>
        <v>UCSC</v>
      </c>
      <c r="E14467" s="1" t="str">
        <f>HYPERLINK("http://www.ncbi.nlm.nih.gov/gene/?term=DCT","NCBI")</f>
        <v>NCBI</v>
      </c>
      <c r="F14467">
        <v>0.56000000000000005</v>
      </c>
      <c r="G14467">
        <v>0.65</v>
      </c>
      <c r="H14467" s="1" t="str">
        <f>HYPERLINK("http://www.weizmann.ac.il/complex/compphys/software/geview/data/figures/216512_s_at.png","Figure")</f>
        <v>Figure</v>
      </c>
      <c r="I14467">
        <v>1</v>
      </c>
      <c r="J14467">
        <v>1</v>
      </c>
      <c r="K14467">
        <v>0.999</v>
      </c>
      <c r="L14467">
        <v>0.62</v>
      </c>
      <c r="M14467">
        <v>0.999</v>
      </c>
      <c r="N14467">
        <v>0.66</v>
      </c>
    </row>
    <row r="14468" spans="1:14" x14ac:dyDescent="0.25">
      <c r="A14468" t="s">
        <v>24542</v>
      </c>
      <c r="B14468" t="s">
        <v>24543</v>
      </c>
      <c r="C14468" s="1" t="str">
        <f>HYPERLINK("http://www.genecards.org/cgi-bin/carddisp.pl?gene=C22orf30","GeneCards")</f>
        <v>GeneCards</v>
      </c>
      <c r="D14468" s="1" t="str">
        <f>HYPERLINK("http://genome-euro.ucsc.edu/cgi-bin/hgTracks?position=216555_at","UCSC")</f>
        <v>UCSC</v>
      </c>
      <c r="E14468" s="1" t="str">
        <f>HYPERLINK("http://www.ncbi.nlm.nih.gov/gene/?term=C22orf30","NCBI")</f>
        <v>NCBI</v>
      </c>
      <c r="F14468">
        <v>0.56000000000000005</v>
      </c>
      <c r="G14468">
        <v>0.65</v>
      </c>
      <c r="H14468" s="1" t="str">
        <f>HYPERLINK("http://www.weizmann.ac.il/complex/compphys/software/geview/data/figures/216555_at.png","Figure")</f>
        <v>Figure</v>
      </c>
      <c r="I14468">
        <v>1.02</v>
      </c>
      <c r="J14468">
        <v>0.96</v>
      </c>
      <c r="K14468">
        <v>0.95499999999999996</v>
      </c>
      <c r="L14468">
        <v>0.71</v>
      </c>
      <c r="M14468">
        <v>0.93899999999999995</v>
      </c>
      <c r="N14468">
        <v>0.57999999999999996</v>
      </c>
    </row>
    <row r="14469" spans="1:14" x14ac:dyDescent="0.25">
      <c r="A14469" t="s">
        <v>24544</v>
      </c>
      <c r="B14469" t="s">
        <v>3867</v>
      </c>
      <c r="C14469" s="1" t="str">
        <f>HYPERLINK("http://www.genecards.org/cgi-bin/carddisp.pl?gene=ZNF154","GeneCards")</f>
        <v>GeneCards</v>
      </c>
      <c r="D14469" s="1" t="str">
        <f>HYPERLINK("http://genome-euro.ucsc.edu/cgi-bin/hgTracks?position=216677_at","UCSC")</f>
        <v>UCSC</v>
      </c>
      <c r="E14469" s="1" t="str">
        <f>HYPERLINK("http://www.ncbi.nlm.nih.gov/gene/?term=ZNF154","NCBI")</f>
        <v>NCBI</v>
      </c>
      <c r="F14469">
        <v>0.55000000000000004</v>
      </c>
      <c r="G14469">
        <v>0.65</v>
      </c>
      <c r="H14469" s="1" t="str">
        <f>HYPERLINK("http://www.weizmann.ac.il/complex/compphys/software/geview/data/figures/216677_at.png","Figure")</f>
        <v>Figure</v>
      </c>
      <c r="I14469">
        <v>1.05</v>
      </c>
      <c r="J14469">
        <v>0.6</v>
      </c>
      <c r="K14469">
        <v>1.05</v>
      </c>
      <c r="L14469">
        <v>0.61</v>
      </c>
      <c r="M14469">
        <v>0.99299999999999999</v>
      </c>
      <c r="N14469">
        <v>0.99</v>
      </c>
    </row>
    <row r="14470" spans="1:14" x14ac:dyDescent="0.25">
      <c r="A14470" t="s">
        <v>24545</v>
      </c>
      <c r="B14470" t="s">
        <v>16644</v>
      </c>
      <c r="C14470" s="1" t="str">
        <f>HYPERLINK("http://www.genecards.org/cgi-bin/carddisp.pl?gene=STK38","GeneCards")</f>
        <v>GeneCards</v>
      </c>
      <c r="D14470" s="1" t="str">
        <f>HYPERLINK("http://genome-euro.ucsc.edu/cgi-bin/hgTracks?position=216727_at","UCSC")</f>
        <v>UCSC</v>
      </c>
      <c r="E14470" s="1" t="str">
        <f>HYPERLINK("http://www.ncbi.nlm.nih.gov/gene/?term=STK38","NCBI")</f>
        <v>NCBI</v>
      </c>
      <c r="F14470">
        <v>0.55000000000000004</v>
      </c>
      <c r="G14470">
        <v>0.65</v>
      </c>
      <c r="H14470" s="1" t="str">
        <f>HYPERLINK("http://www.weizmann.ac.il/complex/compphys/software/geview/data/figures/216727_at.png","Figure")</f>
        <v>Figure</v>
      </c>
      <c r="I14470">
        <v>0.88100000000000001</v>
      </c>
      <c r="J14470">
        <v>0.92</v>
      </c>
      <c r="K14470">
        <v>0.73299999999999998</v>
      </c>
      <c r="L14470">
        <v>0.53</v>
      </c>
      <c r="M14470">
        <v>0.83199999999999996</v>
      </c>
      <c r="N14470">
        <v>0.82</v>
      </c>
    </row>
    <row r="14471" spans="1:14" x14ac:dyDescent="0.25">
      <c r="A14471" t="s">
        <v>24546</v>
      </c>
      <c r="B14471" t="s">
        <v>14844</v>
      </c>
      <c r="C14471" s="1" t="str">
        <f>HYPERLINK("http://www.genecards.org/cgi-bin/carddisp.pl?gene=CDKN1C","GeneCards")</f>
        <v>GeneCards</v>
      </c>
      <c r="D14471" s="1" t="str">
        <f>HYPERLINK("http://genome-euro.ucsc.edu/cgi-bin/hgTracks?position=216894_x_at","UCSC")</f>
        <v>UCSC</v>
      </c>
      <c r="E14471" s="1" t="str">
        <f>HYPERLINK("http://www.ncbi.nlm.nih.gov/gene/?term=CDKN1C","NCBI")</f>
        <v>NCBI</v>
      </c>
      <c r="F14471">
        <v>0.55000000000000004</v>
      </c>
      <c r="G14471">
        <v>0.65</v>
      </c>
      <c r="H14471" s="1" t="str">
        <f>HYPERLINK("http://www.weizmann.ac.il/complex/compphys/software/geview/data/figures/216894_x_at.png","Figure")</f>
        <v>Figure</v>
      </c>
      <c r="I14471">
        <v>1.0900000000000001</v>
      </c>
      <c r="J14471">
        <v>0.78</v>
      </c>
      <c r="K14471">
        <v>1.1299999999999999</v>
      </c>
      <c r="L14471">
        <v>0.53</v>
      </c>
      <c r="M14471">
        <v>1.04</v>
      </c>
      <c r="N14471">
        <v>0.95</v>
      </c>
    </row>
    <row r="14472" spans="1:14" x14ac:dyDescent="0.25">
      <c r="A14472" t="s">
        <v>24547</v>
      </c>
      <c r="B14472" t="s">
        <v>22544</v>
      </c>
      <c r="C14472" s="1" t="str">
        <f>HYPERLINK("http://www.genecards.org/cgi-bin/carddisp.pl?gene=APC","GeneCards")</f>
        <v>GeneCards</v>
      </c>
      <c r="D14472" s="1" t="str">
        <f>HYPERLINK("http://genome-euro.ucsc.edu/cgi-bin/hgTracks?position=216933_x_at","UCSC")</f>
        <v>UCSC</v>
      </c>
      <c r="E14472" s="1" t="str">
        <f>HYPERLINK("http://www.ncbi.nlm.nih.gov/gene/?term=APC","NCBI")</f>
        <v>NCBI</v>
      </c>
      <c r="F14472">
        <v>0.56000000000000005</v>
      </c>
      <c r="G14472">
        <v>0.65</v>
      </c>
      <c r="H14472" s="1" t="str">
        <f>HYPERLINK("http://www.weizmann.ac.il/complex/compphys/software/geview/data/figures/216933_x_at.png","Figure")</f>
        <v>Figure</v>
      </c>
      <c r="I14472">
        <v>1</v>
      </c>
      <c r="J14472">
        <v>1</v>
      </c>
      <c r="K14472">
        <v>0.90300000000000002</v>
      </c>
      <c r="L14472">
        <v>0.62</v>
      </c>
      <c r="M14472">
        <v>0.90300000000000002</v>
      </c>
      <c r="N14472">
        <v>0.66</v>
      </c>
    </row>
    <row r="14473" spans="1:14" x14ac:dyDescent="0.25">
      <c r="A14473" t="s">
        <v>24548</v>
      </c>
      <c r="B14473" t="s">
        <v>24549</v>
      </c>
      <c r="C14473" s="1" t="str">
        <f>HYPERLINK("http://www.genecards.org/cgi-bin/carddisp.pl?gene=IGK@ /// IGKC /// LOC652694","GeneCards")</f>
        <v>GeneCards</v>
      </c>
      <c r="D14473" s="1" t="str">
        <f>HYPERLINK("http://genome-euro.ucsc.edu/cgi-bin/hgTracks?position=217145_at","UCSC")</f>
        <v>UCSC</v>
      </c>
      <c r="E14473" s="1" t="str">
        <f>HYPERLINK("http://www.ncbi.nlm.nih.gov/gene/?term=IGK@ /// IGKC /// LOC652694","NCBI")</f>
        <v>NCBI</v>
      </c>
      <c r="F14473">
        <v>0.56000000000000005</v>
      </c>
      <c r="G14473">
        <v>0.65</v>
      </c>
      <c r="H14473" s="1" t="str">
        <f>HYPERLINK("http://www.weizmann.ac.il/complex/compphys/software/geview/data/figures/217145_at.png","Figure")</f>
        <v>Figure</v>
      </c>
      <c r="I14473">
        <v>1</v>
      </c>
      <c r="J14473">
        <v>1</v>
      </c>
      <c r="K14473">
        <v>0.98099999999999998</v>
      </c>
      <c r="L14473">
        <v>0.62</v>
      </c>
      <c r="M14473">
        <v>0.98099999999999998</v>
      </c>
      <c r="N14473">
        <v>0.66</v>
      </c>
    </row>
    <row r="14474" spans="1:14" x14ac:dyDescent="0.25">
      <c r="A14474" t="s">
        <v>24550</v>
      </c>
      <c r="B14474" t="s">
        <v>18026</v>
      </c>
      <c r="C14474" s="1" t="str">
        <f>HYPERLINK("http://www.genecards.org/cgi-bin/carddisp.pl?gene=ACAN","GeneCards")</f>
        <v>GeneCards</v>
      </c>
      <c r="D14474" s="1" t="str">
        <f>HYPERLINK("http://genome-euro.ucsc.edu/cgi-bin/hgTracks?position=217161_x_at","UCSC")</f>
        <v>UCSC</v>
      </c>
      <c r="E14474" s="1" t="str">
        <f>HYPERLINK("http://www.ncbi.nlm.nih.gov/gene/?term=ACAN","NCBI")</f>
        <v>NCBI</v>
      </c>
      <c r="F14474">
        <v>0.56000000000000005</v>
      </c>
      <c r="G14474">
        <v>0.65</v>
      </c>
      <c r="H14474" s="1" t="str">
        <f>HYPERLINK("http://www.weizmann.ac.il/complex/compphys/software/geview/data/figures/217161_x_at.png","Figure")</f>
        <v>Figure</v>
      </c>
      <c r="I14474">
        <v>1.0900000000000001</v>
      </c>
      <c r="J14474">
        <v>0.53</v>
      </c>
      <c r="K14474">
        <v>1.03</v>
      </c>
      <c r="L14474">
        <v>0.92</v>
      </c>
      <c r="M14474">
        <v>0.94</v>
      </c>
      <c r="N14474">
        <v>0.71</v>
      </c>
    </row>
    <row r="14475" spans="1:14" x14ac:dyDescent="0.25">
      <c r="A14475" t="s">
        <v>24551</v>
      </c>
      <c r="B14475" t="s">
        <v>10394</v>
      </c>
      <c r="C14475" s="1" t="str">
        <f>HYPERLINK("http://www.genecards.org/cgi-bin/carddisp.pl?gene=NBN","GeneCards")</f>
        <v>GeneCards</v>
      </c>
      <c r="D14475" s="1" t="str">
        <f>HYPERLINK("http://genome-euro.ucsc.edu/cgi-bin/hgTracks?position=217299_s_at","UCSC")</f>
        <v>UCSC</v>
      </c>
      <c r="E14475" s="1" t="str">
        <f>HYPERLINK("http://www.ncbi.nlm.nih.gov/gene/?term=NBN","NCBI")</f>
        <v>NCBI</v>
      </c>
      <c r="F14475">
        <v>0.56000000000000005</v>
      </c>
      <c r="G14475">
        <v>0.65</v>
      </c>
      <c r="H14475" s="1" t="str">
        <f>HYPERLINK("http://www.weizmann.ac.il/complex/compphys/software/geview/data/figures/217299_s_at.png","Figure")</f>
        <v>Figure</v>
      </c>
      <c r="I14475">
        <v>1</v>
      </c>
      <c r="J14475">
        <v>1</v>
      </c>
      <c r="K14475">
        <v>0.98599999999999999</v>
      </c>
      <c r="L14475">
        <v>0.62</v>
      </c>
      <c r="M14475">
        <v>0.98599999999999999</v>
      </c>
      <c r="N14475">
        <v>0.66</v>
      </c>
    </row>
    <row r="14476" spans="1:14" x14ac:dyDescent="0.25">
      <c r="A14476" t="s">
        <v>24552</v>
      </c>
      <c r="B14476" t="s">
        <v>22790</v>
      </c>
      <c r="C14476" s="1" t="str">
        <f>HYPERLINK("http://www.genecards.org/cgi-bin/carddisp.pl?gene=IL23A","GeneCards")</f>
        <v>GeneCards</v>
      </c>
      <c r="D14476" s="1" t="str">
        <f>HYPERLINK("http://genome-euro.ucsc.edu/cgi-bin/hgTracks?position=217326_x_at","UCSC")</f>
        <v>UCSC</v>
      </c>
      <c r="E14476" s="1" t="str">
        <f>HYPERLINK("http://www.ncbi.nlm.nih.gov/gene/?term=IL23A","NCBI")</f>
        <v>NCBI</v>
      </c>
      <c r="F14476">
        <v>0.56000000000000005</v>
      </c>
      <c r="G14476">
        <v>0.65</v>
      </c>
      <c r="H14476" s="1" t="str">
        <f>HYPERLINK("http://www.weizmann.ac.il/complex/compphys/software/geview/data/figures/217326_x_at.png","Figure")</f>
        <v>Figure</v>
      </c>
      <c r="I14476">
        <v>1</v>
      </c>
      <c r="J14476">
        <v>1</v>
      </c>
      <c r="K14476">
        <v>0.999</v>
      </c>
      <c r="L14476">
        <v>0.62</v>
      </c>
      <c r="M14476">
        <v>0.999</v>
      </c>
      <c r="N14476">
        <v>0.66</v>
      </c>
    </row>
    <row r="14477" spans="1:14" x14ac:dyDescent="0.25">
      <c r="A14477" t="s">
        <v>24553</v>
      </c>
      <c r="B14477" t="s">
        <v>20336</v>
      </c>
      <c r="C14477" s="1" t="str">
        <f>HYPERLINK("http://www.genecards.org/cgi-bin/carddisp.pl?gene=KNG1","GeneCards")</f>
        <v>GeneCards</v>
      </c>
      <c r="D14477" s="1" t="str">
        <f>HYPERLINK("http://genome-euro.ucsc.edu/cgi-bin/hgTracks?position=217512_at","UCSC")</f>
        <v>UCSC</v>
      </c>
      <c r="E14477" s="1" t="str">
        <f>HYPERLINK("http://www.ncbi.nlm.nih.gov/gene/?term=KNG1","NCBI")</f>
        <v>NCBI</v>
      </c>
      <c r="F14477">
        <v>0.56000000000000005</v>
      </c>
      <c r="G14477">
        <v>0.65</v>
      </c>
      <c r="H14477" s="1" t="str">
        <f>HYPERLINK("http://www.weizmann.ac.il/complex/compphys/software/geview/data/figures/217512_at.png","Figure")</f>
        <v>Figure</v>
      </c>
      <c r="I14477">
        <v>1</v>
      </c>
      <c r="J14477">
        <v>1</v>
      </c>
      <c r="K14477">
        <v>0.98399999999999999</v>
      </c>
      <c r="L14477">
        <v>0.62</v>
      </c>
      <c r="M14477">
        <v>0.98399999999999999</v>
      </c>
      <c r="N14477">
        <v>0.66</v>
      </c>
    </row>
    <row r="14478" spans="1:14" x14ac:dyDescent="0.25">
      <c r="A14478" t="s">
        <v>24554</v>
      </c>
      <c r="B14478" t="s">
        <v>21224</v>
      </c>
      <c r="C14478" s="1" t="str">
        <f>HYPERLINK("http://www.genecards.org/cgi-bin/carddisp.pl?gene=CALCA","GeneCards")</f>
        <v>GeneCards</v>
      </c>
      <c r="D14478" s="1" t="str">
        <f>HYPERLINK("http://genome-euro.ucsc.edu/cgi-bin/hgTracks?position=217561_at","UCSC")</f>
        <v>UCSC</v>
      </c>
      <c r="E14478" s="1" t="str">
        <f>HYPERLINK("http://www.ncbi.nlm.nih.gov/gene/?term=CALCA","NCBI")</f>
        <v>NCBI</v>
      </c>
      <c r="F14478">
        <v>0.56000000000000005</v>
      </c>
      <c r="G14478">
        <v>0.65</v>
      </c>
      <c r="H14478" s="1" t="str">
        <f>HYPERLINK("http://www.weizmann.ac.il/complex/compphys/software/geview/data/figures/217561_at.png","Figure")</f>
        <v>Figure</v>
      </c>
      <c r="I14478">
        <v>1</v>
      </c>
      <c r="J14478">
        <v>1</v>
      </c>
      <c r="K14478">
        <v>0.995</v>
      </c>
      <c r="L14478">
        <v>0.62</v>
      </c>
      <c r="M14478">
        <v>0.995</v>
      </c>
      <c r="N14478">
        <v>0.66</v>
      </c>
    </row>
    <row r="14479" spans="1:14" x14ac:dyDescent="0.25">
      <c r="A14479" t="s">
        <v>24555</v>
      </c>
      <c r="B14479" t="s">
        <v>24556</v>
      </c>
      <c r="C14479" s="1" t="str">
        <f>HYPERLINK("http://www.genecards.org/cgi-bin/carddisp.pl?gene=NPC1","GeneCards")</f>
        <v>GeneCards</v>
      </c>
      <c r="D14479" s="1" t="str">
        <f>HYPERLINK("http://genome-euro.ucsc.edu/cgi-bin/hgTracks?position=217584_at","UCSC")</f>
        <v>UCSC</v>
      </c>
      <c r="E14479" s="1" t="str">
        <f>HYPERLINK("http://www.ncbi.nlm.nih.gov/gene/?term=NPC1","NCBI")</f>
        <v>NCBI</v>
      </c>
      <c r="F14479">
        <v>0.56000000000000005</v>
      </c>
      <c r="G14479">
        <v>0.65</v>
      </c>
      <c r="H14479" s="1" t="str">
        <f>HYPERLINK("http://www.weizmann.ac.il/complex/compphys/software/geview/data/figures/217584_at.png","Figure")</f>
        <v>Figure</v>
      </c>
      <c r="I14479">
        <v>1</v>
      </c>
      <c r="J14479">
        <v>1</v>
      </c>
      <c r="K14479">
        <v>0.97699999999999998</v>
      </c>
      <c r="L14479">
        <v>0.62</v>
      </c>
      <c r="M14479">
        <v>0.97699999999999998</v>
      </c>
      <c r="N14479">
        <v>0.66</v>
      </c>
    </row>
    <row r="14480" spans="1:14" x14ac:dyDescent="0.25">
      <c r="A14480" t="s">
        <v>24557</v>
      </c>
      <c r="B14480" t="s">
        <v>6532</v>
      </c>
      <c r="C14480" s="1" t="str">
        <f>HYPERLINK("http://www.genecards.org/cgi-bin/carddisp.pl?gene=SOS2","GeneCards")</f>
        <v>GeneCards</v>
      </c>
      <c r="D14480" s="1" t="str">
        <f>HYPERLINK("http://genome-euro.ucsc.edu/cgi-bin/hgTracks?position=217644_s_at","UCSC")</f>
        <v>UCSC</v>
      </c>
      <c r="E14480" s="1" t="str">
        <f>HYPERLINK("http://www.ncbi.nlm.nih.gov/gene/?term=SOS2","NCBI")</f>
        <v>NCBI</v>
      </c>
      <c r="F14480">
        <v>0.56000000000000005</v>
      </c>
      <c r="G14480">
        <v>0.65</v>
      </c>
      <c r="H14480" s="1" t="str">
        <f>HYPERLINK("http://www.weizmann.ac.il/complex/compphys/software/geview/data/figures/217644_s_at.png","Figure")</f>
        <v>Figure</v>
      </c>
      <c r="I14480">
        <v>1</v>
      </c>
      <c r="J14480">
        <v>1</v>
      </c>
      <c r="K14480">
        <v>0.99199999999999999</v>
      </c>
      <c r="L14480">
        <v>0.62</v>
      </c>
      <c r="M14480">
        <v>0.99199999999999999</v>
      </c>
      <c r="N14480">
        <v>0.66</v>
      </c>
    </row>
    <row r="14481" spans="1:14" x14ac:dyDescent="0.25">
      <c r="A14481" t="s">
        <v>24558</v>
      </c>
      <c r="B14481" t="s">
        <v>4737</v>
      </c>
      <c r="C14481" s="1" t="str">
        <f>HYPERLINK("http://www.genecards.org/cgi-bin/carddisp.pl?gene=YKT6","GeneCards")</f>
        <v>GeneCards</v>
      </c>
      <c r="D14481" s="1" t="str">
        <f>HYPERLINK("http://genome-euro.ucsc.edu/cgi-bin/hgTracks?position=217785_s_at","UCSC")</f>
        <v>UCSC</v>
      </c>
      <c r="E14481" s="1" t="str">
        <f>HYPERLINK("http://www.ncbi.nlm.nih.gov/gene/?term=YKT6","NCBI")</f>
        <v>NCBI</v>
      </c>
      <c r="F14481">
        <v>0.56000000000000005</v>
      </c>
      <c r="G14481">
        <v>0.65</v>
      </c>
      <c r="H14481" s="1" t="str">
        <f>HYPERLINK("http://www.weizmann.ac.il/complex/compphys/software/geview/data/figures/217785_s_at.png","Figure")</f>
        <v>Figure</v>
      </c>
      <c r="I14481">
        <v>1</v>
      </c>
      <c r="J14481">
        <v>1</v>
      </c>
      <c r="K14481">
        <v>0.99199999999999999</v>
      </c>
      <c r="L14481">
        <v>0.62</v>
      </c>
      <c r="M14481">
        <v>0.99199999999999999</v>
      </c>
      <c r="N14481">
        <v>0.66</v>
      </c>
    </row>
    <row r="14482" spans="1:14" x14ac:dyDescent="0.25">
      <c r="A14482" t="s">
        <v>24559</v>
      </c>
      <c r="B14482" t="s">
        <v>24560</v>
      </c>
      <c r="C14482" s="1" t="str">
        <f>HYPERLINK("http://www.genecards.org/cgi-bin/carddisp.pl?gene=BAG3","GeneCards")</f>
        <v>GeneCards</v>
      </c>
      <c r="D14482" s="1" t="str">
        <f>HYPERLINK("http://genome-euro.ucsc.edu/cgi-bin/hgTracks?position=217911_s_at","UCSC")</f>
        <v>UCSC</v>
      </c>
      <c r="E14482" s="1" t="str">
        <f>HYPERLINK("http://www.ncbi.nlm.nih.gov/gene/?term=BAG3","NCBI")</f>
        <v>NCBI</v>
      </c>
      <c r="F14482">
        <v>0.56000000000000005</v>
      </c>
      <c r="G14482">
        <v>0.65</v>
      </c>
      <c r="H14482" s="1" t="str">
        <f>HYPERLINK("http://www.weizmann.ac.il/complex/compphys/software/geview/data/figures/217911_s_at.png","Figure")</f>
        <v>Figure</v>
      </c>
      <c r="I14482">
        <v>1</v>
      </c>
      <c r="J14482">
        <v>1</v>
      </c>
      <c r="K14482">
        <v>0.98899999999999999</v>
      </c>
      <c r="L14482">
        <v>0.62</v>
      </c>
      <c r="M14482">
        <v>0.98899999999999999</v>
      </c>
      <c r="N14482">
        <v>0.66</v>
      </c>
    </row>
    <row r="14483" spans="1:14" x14ac:dyDescent="0.25">
      <c r="A14483" t="s">
        <v>24561</v>
      </c>
      <c r="B14483" t="s">
        <v>24562</v>
      </c>
      <c r="C14483" s="1" t="str">
        <f>HYPERLINK("http://www.genecards.org/cgi-bin/carddisp.pl?gene=UBE2Q1","GeneCards")</f>
        <v>GeneCards</v>
      </c>
      <c r="D14483" s="1" t="str">
        <f>HYPERLINK("http://genome-euro.ucsc.edu/cgi-bin/hgTracks?position=217978_s_at","UCSC")</f>
        <v>UCSC</v>
      </c>
      <c r="E14483" s="1" t="str">
        <f>HYPERLINK("http://www.ncbi.nlm.nih.gov/gene/?term=UBE2Q1","NCBI")</f>
        <v>NCBI</v>
      </c>
      <c r="F14483">
        <v>0.55000000000000004</v>
      </c>
      <c r="G14483">
        <v>0.65</v>
      </c>
      <c r="H14483" s="1" t="str">
        <f>HYPERLINK("http://www.weizmann.ac.il/complex/compphys/software/geview/data/figures/217978_s_at.png","Figure")</f>
        <v>Figure</v>
      </c>
      <c r="I14483">
        <v>0.91500000000000004</v>
      </c>
      <c r="J14483">
        <v>0.81</v>
      </c>
      <c r="K14483">
        <v>0.87</v>
      </c>
      <c r="L14483">
        <v>0.52</v>
      </c>
      <c r="M14483">
        <v>0.95099999999999996</v>
      </c>
      <c r="N14483">
        <v>0.92</v>
      </c>
    </row>
    <row r="14484" spans="1:14" x14ac:dyDescent="0.25">
      <c r="A14484" t="s">
        <v>24563</v>
      </c>
      <c r="B14484" t="s">
        <v>24564</v>
      </c>
      <c r="C14484" s="1" t="str">
        <f>HYPERLINK("http://www.genecards.org/cgi-bin/carddisp.pl?gene=PHLDA1","GeneCards")</f>
        <v>GeneCards</v>
      </c>
      <c r="D14484" s="1" t="str">
        <f>HYPERLINK("http://genome-euro.ucsc.edu/cgi-bin/hgTracks?position=217996_at","UCSC")</f>
        <v>UCSC</v>
      </c>
      <c r="E14484" s="1" t="str">
        <f>HYPERLINK("http://www.ncbi.nlm.nih.gov/gene/?term=PHLDA1","NCBI")</f>
        <v>NCBI</v>
      </c>
      <c r="F14484">
        <v>0.56000000000000005</v>
      </c>
      <c r="G14484">
        <v>0.65</v>
      </c>
      <c r="H14484" s="1" t="str">
        <f>HYPERLINK("http://www.weizmann.ac.il/complex/compphys/software/geview/data/figures/217996_at.png","Figure")</f>
        <v>Figure</v>
      </c>
      <c r="I14484">
        <v>1</v>
      </c>
      <c r="J14484">
        <v>1</v>
      </c>
      <c r="K14484">
        <v>0.97299999999999998</v>
      </c>
      <c r="L14484">
        <v>0.62</v>
      </c>
      <c r="M14484">
        <v>0.97299999999999998</v>
      </c>
      <c r="N14484">
        <v>0.66</v>
      </c>
    </row>
    <row r="14485" spans="1:14" x14ac:dyDescent="0.25">
      <c r="A14485" t="s">
        <v>24565</v>
      </c>
      <c r="B14485" t="s">
        <v>24564</v>
      </c>
      <c r="C14485" s="1" t="str">
        <f>HYPERLINK("http://www.genecards.org/cgi-bin/carddisp.pl?gene=PHLDA1","GeneCards")</f>
        <v>GeneCards</v>
      </c>
      <c r="D14485" s="1" t="str">
        <f>HYPERLINK("http://genome-euro.ucsc.edu/cgi-bin/hgTracks?position=217997_at","UCSC")</f>
        <v>UCSC</v>
      </c>
      <c r="E14485" s="1" t="str">
        <f>HYPERLINK("http://www.ncbi.nlm.nih.gov/gene/?term=PHLDA1","NCBI")</f>
        <v>NCBI</v>
      </c>
      <c r="F14485">
        <v>0.56000000000000005</v>
      </c>
      <c r="G14485">
        <v>0.65</v>
      </c>
      <c r="H14485" s="1" t="str">
        <f>HYPERLINK("http://www.weizmann.ac.il/complex/compphys/software/geview/data/figures/217997_at.png","Figure")</f>
        <v>Figure</v>
      </c>
      <c r="I14485">
        <v>1</v>
      </c>
      <c r="J14485">
        <v>1</v>
      </c>
      <c r="K14485">
        <v>0.98799999999999999</v>
      </c>
      <c r="L14485">
        <v>0.62</v>
      </c>
      <c r="M14485">
        <v>0.98799999999999999</v>
      </c>
      <c r="N14485">
        <v>0.66</v>
      </c>
    </row>
    <row r="14486" spans="1:14" x14ac:dyDescent="0.25">
      <c r="A14486" t="s">
        <v>24566</v>
      </c>
      <c r="B14486" t="s">
        <v>24567</v>
      </c>
      <c r="C14486" s="1" t="str">
        <f>HYPERLINK("http://www.genecards.org/cgi-bin/carddisp.pl?gene=AZI2","GeneCards")</f>
        <v>GeneCards</v>
      </c>
      <c r="D14486" s="1" t="str">
        <f>HYPERLINK("http://genome-euro.ucsc.edu/cgi-bin/hgTracks?position=218043_s_at","UCSC")</f>
        <v>UCSC</v>
      </c>
      <c r="E14486" s="1" t="str">
        <f>HYPERLINK("http://www.ncbi.nlm.nih.gov/gene/?term=AZI2","NCBI")</f>
        <v>NCBI</v>
      </c>
      <c r="F14486">
        <v>0.56000000000000005</v>
      </c>
      <c r="G14486">
        <v>0.65</v>
      </c>
      <c r="H14486" s="1" t="str">
        <f>HYPERLINK("http://www.weizmann.ac.il/complex/compphys/software/geview/data/figures/218043_s_at.png","Figure")</f>
        <v>Figure</v>
      </c>
      <c r="I14486">
        <v>1</v>
      </c>
      <c r="J14486">
        <v>1</v>
      </c>
      <c r="K14486">
        <v>0.96499999999999997</v>
      </c>
      <c r="L14486">
        <v>0.62</v>
      </c>
      <c r="M14486">
        <v>0.96499999999999997</v>
      </c>
      <c r="N14486">
        <v>0.66</v>
      </c>
    </row>
    <row r="14487" spans="1:14" x14ac:dyDescent="0.25">
      <c r="A14487" t="s">
        <v>24568</v>
      </c>
      <c r="B14487" t="s">
        <v>24569</v>
      </c>
      <c r="C14487" s="1" t="str">
        <f>HYPERLINK("http://www.genecards.org/cgi-bin/carddisp.pl?gene=FYCO1","GeneCards")</f>
        <v>GeneCards</v>
      </c>
      <c r="D14487" s="1" t="str">
        <f>HYPERLINK("http://genome-euro.ucsc.edu/cgi-bin/hgTracks?position=218204_s_at","UCSC")</f>
        <v>UCSC</v>
      </c>
      <c r="E14487" s="1" t="str">
        <f>HYPERLINK("http://www.ncbi.nlm.nih.gov/gene/?term=FYCO1","NCBI")</f>
        <v>NCBI</v>
      </c>
      <c r="F14487">
        <v>0.56000000000000005</v>
      </c>
      <c r="G14487">
        <v>0.65</v>
      </c>
      <c r="H14487" s="1" t="str">
        <f>HYPERLINK("http://www.weizmann.ac.il/complex/compphys/software/geview/data/figures/218204_s_at.png","Figure")</f>
        <v>Figure</v>
      </c>
      <c r="I14487">
        <v>1</v>
      </c>
      <c r="J14487">
        <v>1</v>
      </c>
      <c r="K14487">
        <v>0.96899999999999997</v>
      </c>
      <c r="L14487">
        <v>0.62</v>
      </c>
      <c r="M14487">
        <v>0.96899999999999997</v>
      </c>
      <c r="N14487">
        <v>0.66</v>
      </c>
    </row>
    <row r="14488" spans="1:14" x14ac:dyDescent="0.25">
      <c r="A14488" t="s">
        <v>24570</v>
      </c>
      <c r="B14488" t="s">
        <v>24571</v>
      </c>
      <c r="C14488" s="1" t="str">
        <f>HYPERLINK("http://www.genecards.org/cgi-bin/carddisp.pl?gene=CAMK2N1","GeneCards")</f>
        <v>GeneCards</v>
      </c>
      <c r="D14488" s="1" t="str">
        <f>HYPERLINK("http://genome-euro.ucsc.edu/cgi-bin/hgTracks?position=218309_at","UCSC")</f>
        <v>UCSC</v>
      </c>
      <c r="E14488" s="1" t="str">
        <f>HYPERLINK("http://www.ncbi.nlm.nih.gov/gene/?term=CAMK2N1","NCBI")</f>
        <v>NCBI</v>
      </c>
      <c r="F14488">
        <v>0.56000000000000005</v>
      </c>
      <c r="G14488">
        <v>0.65</v>
      </c>
      <c r="H14488" s="1" t="str">
        <f>HYPERLINK("http://www.weizmann.ac.il/complex/compphys/software/geview/data/figures/218309_at.png","Figure")</f>
        <v>Figure</v>
      </c>
      <c r="I14488">
        <v>1</v>
      </c>
      <c r="J14488">
        <v>1</v>
      </c>
      <c r="K14488">
        <v>0.99299999999999999</v>
      </c>
      <c r="L14488">
        <v>0.62</v>
      </c>
      <c r="M14488">
        <v>0.99299999999999999</v>
      </c>
      <c r="N14488">
        <v>0.66</v>
      </c>
    </row>
    <row r="14489" spans="1:14" x14ac:dyDescent="0.25">
      <c r="A14489" t="s">
        <v>24572</v>
      </c>
      <c r="B14489" t="s">
        <v>24573</v>
      </c>
      <c r="C14489" s="1" t="str">
        <f>HYPERLINK("http://www.genecards.org/cgi-bin/carddisp.pl?gene=PGLS","GeneCards")</f>
        <v>GeneCards</v>
      </c>
      <c r="D14489" s="1" t="str">
        <f>HYPERLINK("http://genome-euro.ucsc.edu/cgi-bin/hgTracks?position=218387_s_at","UCSC")</f>
        <v>UCSC</v>
      </c>
      <c r="E14489" s="1" t="str">
        <f>HYPERLINK("http://www.ncbi.nlm.nih.gov/gene/?term=PGLS","NCBI")</f>
        <v>NCBI</v>
      </c>
      <c r="F14489">
        <v>0.55000000000000004</v>
      </c>
      <c r="G14489">
        <v>0.65</v>
      </c>
      <c r="H14489" s="1" t="str">
        <f>HYPERLINK("http://www.weizmann.ac.il/complex/compphys/software/geview/data/figures/218387_s_at.png","Figure")</f>
        <v>Figure</v>
      </c>
      <c r="I14489">
        <v>0.81599999999999995</v>
      </c>
      <c r="J14489">
        <v>0.69</v>
      </c>
      <c r="K14489">
        <v>1.05</v>
      </c>
      <c r="L14489">
        <v>0.97</v>
      </c>
      <c r="M14489">
        <v>1.29</v>
      </c>
      <c r="N14489">
        <v>0.53</v>
      </c>
    </row>
    <row r="14490" spans="1:14" x14ac:dyDescent="0.25">
      <c r="A14490" t="s">
        <v>24574</v>
      </c>
      <c r="B14490" t="s">
        <v>24575</v>
      </c>
      <c r="C14490" s="1" t="str">
        <f>HYPERLINK("http://www.genecards.org/cgi-bin/carddisp.pl?gene=SNX10","GeneCards")</f>
        <v>GeneCards</v>
      </c>
      <c r="D14490" s="1" t="str">
        <f>HYPERLINK("http://genome-euro.ucsc.edu/cgi-bin/hgTracks?position=218404_at","UCSC")</f>
        <v>UCSC</v>
      </c>
      <c r="E14490" s="1" t="str">
        <f>HYPERLINK("http://www.ncbi.nlm.nih.gov/gene/?term=SNX10","NCBI")</f>
        <v>NCBI</v>
      </c>
      <c r="F14490">
        <v>0.55000000000000004</v>
      </c>
      <c r="G14490">
        <v>0.65</v>
      </c>
      <c r="H14490" s="1" t="str">
        <f>HYPERLINK("http://www.weizmann.ac.il/complex/compphys/software/geview/data/figures/218404_at.png","Figure")</f>
        <v>Figure</v>
      </c>
      <c r="I14490">
        <v>1.1399999999999999</v>
      </c>
      <c r="J14490">
        <v>0.57999999999999996</v>
      </c>
      <c r="K14490">
        <v>1.1100000000000001</v>
      </c>
      <c r="L14490">
        <v>0.65</v>
      </c>
      <c r="M14490">
        <v>0.97</v>
      </c>
      <c r="N14490">
        <v>0.97</v>
      </c>
    </row>
    <row r="14491" spans="1:14" x14ac:dyDescent="0.25">
      <c r="A14491" t="s">
        <v>24576</v>
      </c>
      <c r="B14491" t="s">
        <v>24577</v>
      </c>
      <c r="C14491" s="1" t="str">
        <f>HYPERLINK("http://www.genecards.org/cgi-bin/carddisp.pl?gene=PELO","GeneCards")</f>
        <v>GeneCards</v>
      </c>
      <c r="D14491" s="1" t="str">
        <f>HYPERLINK("http://genome-euro.ucsc.edu/cgi-bin/hgTracks?position=218472_s_at","UCSC")</f>
        <v>UCSC</v>
      </c>
      <c r="E14491" s="1" t="str">
        <f>HYPERLINK("http://www.ncbi.nlm.nih.gov/gene/?term=PELO","NCBI")</f>
        <v>NCBI</v>
      </c>
      <c r="F14491">
        <v>0.56000000000000005</v>
      </c>
      <c r="G14491">
        <v>0.65</v>
      </c>
      <c r="H14491" s="1" t="str">
        <f>HYPERLINK("http://www.weizmann.ac.il/complex/compphys/software/geview/data/figures/218472_s_at.png","Figure")</f>
        <v>Figure</v>
      </c>
      <c r="I14491">
        <v>1</v>
      </c>
      <c r="J14491">
        <v>1</v>
      </c>
      <c r="K14491">
        <v>0.97899999999999998</v>
      </c>
      <c r="L14491">
        <v>0.62</v>
      </c>
      <c r="M14491">
        <v>0.97899999999999998</v>
      </c>
      <c r="N14491">
        <v>0.66</v>
      </c>
    </row>
    <row r="14492" spans="1:14" x14ac:dyDescent="0.25">
      <c r="A14492" t="s">
        <v>24578</v>
      </c>
      <c r="B14492" t="s">
        <v>24579</v>
      </c>
      <c r="C14492" s="1" t="str">
        <f>HYPERLINK("http://www.genecards.org/cgi-bin/carddisp.pl?gene=C5orf44","GeneCards")</f>
        <v>GeneCards</v>
      </c>
      <c r="D14492" s="1" t="str">
        <f>HYPERLINK("http://genome-euro.ucsc.edu/cgi-bin/hgTracks?position=218674_at","UCSC")</f>
        <v>UCSC</v>
      </c>
      <c r="E14492" s="1" t="str">
        <f>HYPERLINK("http://www.ncbi.nlm.nih.gov/gene/?term=C5orf44","NCBI")</f>
        <v>NCBI</v>
      </c>
      <c r="F14492">
        <v>0.56000000000000005</v>
      </c>
      <c r="G14492">
        <v>0.65</v>
      </c>
      <c r="H14492" s="1" t="str">
        <f>HYPERLINK("http://www.weizmann.ac.il/complex/compphys/software/geview/data/figures/218674_at.png","Figure")</f>
        <v>Figure</v>
      </c>
      <c r="I14492">
        <v>1</v>
      </c>
      <c r="J14492">
        <v>1</v>
      </c>
      <c r="K14492">
        <v>0.91800000000000004</v>
      </c>
      <c r="L14492">
        <v>0.62</v>
      </c>
      <c r="M14492">
        <v>0.91800000000000004</v>
      </c>
      <c r="N14492">
        <v>0.66</v>
      </c>
    </row>
    <row r="14493" spans="1:14" x14ac:dyDescent="0.25">
      <c r="A14493" t="s">
        <v>24580</v>
      </c>
      <c r="B14493" t="s">
        <v>24581</v>
      </c>
      <c r="C14493" s="1" t="str">
        <f>HYPERLINK("http://www.genecards.org/cgi-bin/carddisp.pl?gene=GOLSYN","GeneCards")</f>
        <v>GeneCards</v>
      </c>
      <c r="D14493" s="1" t="str">
        <f>HYPERLINK("http://genome-euro.ucsc.edu/cgi-bin/hgTracks?position=218692_at","UCSC")</f>
        <v>UCSC</v>
      </c>
      <c r="E14493" s="1" t="str">
        <f>HYPERLINK("http://www.ncbi.nlm.nih.gov/gene/?term=GOLSYN","NCBI")</f>
        <v>NCBI</v>
      </c>
      <c r="F14493">
        <v>0.56000000000000005</v>
      </c>
      <c r="G14493">
        <v>0.65</v>
      </c>
      <c r="H14493" s="1" t="str">
        <f>HYPERLINK("http://www.weizmann.ac.il/complex/compphys/software/geview/data/figures/218692_at.png","Figure")</f>
        <v>Figure</v>
      </c>
      <c r="I14493">
        <v>1</v>
      </c>
      <c r="J14493">
        <v>1</v>
      </c>
      <c r="K14493">
        <v>0.98799999999999999</v>
      </c>
      <c r="L14493">
        <v>0.62</v>
      </c>
      <c r="M14493">
        <v>0.98799999999999999</v>
      </c>
      <c r="N14493">
        <v>0.66</v>
      </c>
    </row>
    <row r="14494" spans="1:14" x14ac:dyDescent="0.25">
      <c r="A14494" t="s">
        <v>24582</v>
      </c>
      <c r="B14494" t="s">
        <v>24583</v>
      </c>
      <c r="C14494" s="1" t="str">
        <f>HYPERLINK("http://www.genecards.org/cgi-bin/carddisp.pl?gene=ANO1","GeneCards")</f>
        <v>GeneCards</v>
      </c>
      <c r="D14494" s="1" t="str">
        <f>HYPERLINK("http://genome-euro.ucsc.edu/cgi-bin/hgTracks?position=218804_at","UCSC")</f>
        <v>UCSC</v>
      </c>
      <c r="E14494" s="1" t="str">
        <f>HYPERLINK("http://www.ncbi.nlm.nih.gov/gene/?term=ANO1","NCBI")</f>
        <v>NCBI</v>
      </c>
      <c r="F14494">
        <v>0.55000000000000004</v>
      </c>
      <c r="G14494">
        <v>0.65</v>
      </c>
      <c r="H14494" s="1" t="str">
        <f>HYPERLINK("http://www.weizmann.ac.il/complex/compphys/software/geview/data/figures/218804_at.png","Figure")</f>
        <v>Figure</v>
      </c>
      <c r="I14494">
        <v>1</v>
      </c>
      <c r="J14494">
        <v>1</v>
      </c>
      <c r="K14494">
        <v>0.83399999999999996</v>
      </c>
      <c r="L14494">
        <v>0.62</v>
      </c>
      <c r="M14494">
        <v>0.83399999999999996</v>
      </c>
      <c r="N14494">
        <v>0.65</v>
      </c>
    </row>
    <row r="14495" spans="1:14" x14ac:dyDescent="0.25">
      <c r="A14495" t="s">
        <v>24584</v>
      </c>
      <c r="B14495" t="s">
        <v>24585</v>
      </c>
      <c r="C14495" s="1" t="str">
        <f>HYPERLINK("http://www.genecards.org/cgi-bin/carddisp.pl?gene=NADSYN1","GeneCards")</f>
        <v>GeneCards</v>
      </c>
      <c r="D14495" s="1" t="str">
        <f>HYPERLINK("http://genome-euro.ucsc.edu/cgi-bin/hgTracks?position=218840_s_at","UCSC")</f>
        <v>UCSC</v>
      </c>
      <c r="E14495" s="1" t="str">
        <f>HYPERLINK("http://www.ncbi.nlm.nih.gov/gene/?term=NADSYN1","NCBI")</f>
        <v>NCBI</v>
      </c>
      <c r="F14495">
        <v>0.55000000000000004</v>
      </c>
      <c r="G14495">
        <v>0.65</v>
      </c>
      <c r="H14495" s="1" t="str">
        <f>HYPERLINK("http://www.weizmann.ac.il/complex/compphys/software/geview/data/figures/218840_s_at.png","Figure")</f>
        <v>Figure</v>
      </c>
      <c r="I14495">
        <v>1.1299999999999999</v>
      </c>
      <c r="J14495">
        <v>0.84</v>
      </c>
      <c r="K14495">
        <v>1.23</v>
      </c>
      <c r="L14495">
        <v>0.52</v>
      </c>
      <c r="M14495">
        <v>1.0900000000000001</v>
      </c>
      <c r="N14495">
        <v>0.9</v>
      </c>
    </row>
    <row r="14496" spans="1:14" x14ac:dyDescent="0.25">
      <c r="A14496" t="s">
        <v>24586</v>
      </c>
      <c r="B14496" t="s">
        <v>24587</v>
      </c>
      <c r="C14496" s="1" t="str">
        <f>HYPERLINK("http://www.genecards.org/cgi-bin/carddisp.pl?gene=ANO10","GeneCards")</f>
        <v>GeneCards</v>
      </c>
      <c r="D14496" s="1" t="str">
        <f>HYPERLINK("http://genome-euro.ucsc.edu/cgi-bin/hgTracks?position=218910_at","UCSC")</f>
        <v>UCSC</v>
      </c>
      <c r="E14496" s="1" t="str">
        <f>HYPERLINK("http://www.ncbi.nlm.nih.gov/gene/?term=ANO10","NCBI")</f>
        <v>NCBI</v>
      </c>
      <c r="F14496">
        <v>0.54</v>
      </c>
      <c r="G14496">
        <v>0.65</v>
      </c>
      <c r="H14496" s="1" t="str">
        <f>HYPERLINK("http://www.weizmann.ac.il/complex/compphys/software/geview/data/figures/218910_at.png","Figure")</f>
        <v>Figure</v>
      </c>
      <c r="I14496">
        <v>1.07</v>
      </c>
      <c r="J14496">
        <v>0.87</v>
      </c>
      <c r="K14496">
        <v>1.1399999999999999</v>
      </c>
      <c r="L14496">
        <v>0.52</v>
      </c>
      <c r="M14496">
        <v>1.06</v>
      </c>
      <c r="N14496">
        <v>0.87</v>
      </c>
    </row>
    <row r="14497" spans="1:14" x14ac:dyDescent="0.25">
      <c r="A14497" t="s">
        <v>24588</v>
      </c>
      <c r="B14497" t="s">
        <v>24589</v>
      </c>
      <c r="C14497" s="1" t="str">
        <f>HYPERLINK("http://www.genecards.org/cgi-bin/carddisp.pl?gene=SIGIRR","GeneCards")</f>
        <v>GeneCards</v>
      </c>
      <c r="D14497" s="1" t="str">
        <f>HYPERLINK("http://genome-euro.ucsc.edu/cgi-bin/hgTracks?position=218921_at","UCSC")</f>
        <v>UCSC</v>
      </c>
      <c r="E14497" s="1" t="str">
        <f>HYPERLINK("http://www.ncbi.nlm.nih.gov/gene/?term=SIGIRR","NCBI")</f>
        <v>NCBI</v>
      </c>
      <c r="F14497">
        <v>0.55000000000000004</v>
      </c>
      <c r="G14497">
        <v>0.65</v>
      </c>
      <c r="H14497" s="1" t="str">
        <f>HYPERLINK("http://www.weizmann.ac.il/complex/compphys/software/geview/data/figures/218921_at.png","Figure")</f>
        <v>Figure</v>
      </c>
      <c r="I14497">
        <v>0.80700000000000005</v>
      </c>
      <c r="J14497">
        <v>0.63</v>
      </c>
      <c r="K14497">
        <v>1.01</v>
      </c>
      <c r="L14497">
        <v>1</v>
      </c>
      <c r="M14497">
        <v>1.26</v>
      </c>
      <c r="N14497">
        <v>0.55000000000000004</v>
      </c>
    </row>
    <row r="14498" spans="1:14" x14ac:dyDescent="0.25">
      <c r="A14498" t="s">
        <v>24590</v>
      </c>
      <c r="B14498" t="s">
        <v>15554</v>
      </c>
      <c r="C14498" s="1" t="str">
        <f>HYPERLINK("http://www.genecards.org/cgi-bin/carddisp.pl?gene=CROCCL2","GeneCards")</f>
        <v>GeneCards</v>
      </c>
      <c r="D14498" s="1" t="str">
        <f>HYPERLINK("http://genome-euro.ucsc.edu/cgi-bin/hgTracks?position=219139_s_at","UCSC")</f>
        <v>UCSC</v>
      </c>
      <c r="E14498" s="1" t="str">
        <f>HYPERLINK("http://www.ncbi.nlm.nih.gov/gene/?term=CROCCL2","NCBI")</f>
        <v>NCBI</v>
      </c>
      <c r="F14498">
        <v>0.56000000000000005</v>
      </c>
      <c r="G14498">
        <v>0.65</v>
      </c>
      <c r="H14498" s="1" t="str">
        <f>HYPERLINK("http://www.weizmann.ac.il/complex/compphys/software/geview/data/figures/219139_s_at.png","Figure")</f>
        <v>Figure</v>
      </c>
      <c r="I14498">
        <v>1</v>
      </c>
      <c r="J14498">
        <v>1</v>
      </c>
      <c r="K14498">
        <v>0.99199999999999999</v>
      </c>
      <c r="L14498">
        <v>0.62</v>
      </c>
      <c r="M14498">
        <v>0.99199999999999999</v>
      </c>
      <c r="N14498">
        <v>0.66</v>
      </c>
    </row>
    <row r="14499" spans="1:14" x14ac:dyDescent="0.25">
      <c r="A14499" t="s">
        <v>24591</v>
      </c>
      <c r="B14499" t="s">
        <v>24592</v>
      </c>
      <c r="C14499" s="1" t="str">
        <f>HYPERLINK("http://www.genecards.org/cgi-bin/carddisp.pl?gene=C17orf42","GeneCards")</f>
        <v>GeneCards</v>
      </c>
      <c r="D14499" s="1" t="str">
        <f>HYPERLINK("http://genome-euro.ucsc.edu/cgi-bin/hgTracks?position=219146_at","UCSC")</f>
        <v>UCSC</v>
      </c>
      <c r="E14499" s="1" t="str">
        <f>HYPERLINK("http://www.ncbi.nlm.nih.gov/gene/?term=C17orf42","NCBI")</f>
        <v>NCBI</v>
      </c>
      <c r="F14499">
        <v>0.55000000000000004</v>
      </c>
      <c r="G14499">
        <v>0.65</v>
      </c>
      <c r="H14499" s="1" t="str">
        <f>HYPERLINK("http://www.weizmann.ac.il/complex/compphys/software/geview/data/figures/219146_at.png","Figure")</f>
        <v>Figure</v>
      </c>
      <c r="I14499">
        <v>0.98099999999999998</v>
      </c>
      <c r="J14499">
        <v>0.85</v>
      </c>
      <c r="K14499">
        <v>0.96499999999999997</v>
      </c>
      <c r="L14499">
        <v>0.52</v>
      </c>
      <c r="M14499">
        <v>0.98399999999999999</v>
      </c>
      <c r="N14499">
        <v>0.89</v>
      </c>
    </row>
    <row r="14500" spans="1:14" x14ac:dyDescent="0.25">
      <c r="A14500" t="s">
        <v>24593</v>
      </c>
      <c r="B14500" t="s">
        <v>24594</v>
      </c>
      <c r="C14500" s="1" t="str">
        <f>HYPERLINK("http://www.genecards.org/cgi-bin/carddisp.pl?gene=TMEM100","GeneCards")</f>
        <v>GeneCards</v>
      </c>
      <c r="D14500" s="1" t="str">
        <f>HYPERLINK("http://genome-euro.ucsc.edu/cgi-bin/hgTracks?position=219230_at","UCSC")</f>
        <v>UCSC</v>
      </c>
      <c r="E14500" s="1" t="str">
        <f>HYPERLINK("http://www.ncbi.nlm.nih.gov/gene/?term=TMEM100","NCBI")</f>
        <v>NCBI</v>
      </c>
      <c r="F14500">
        <v>0.56000000000000005</v>
      </c>
      <c r="G14500">
        <v>0.65</v>
      </c>
      <c r="H14500" s="1" t="str">
        <f>HYPERLINK("http://www.weizmann.ac.il/complex/compphys/software/geview/data/figures/219230_at.png","Figure")</f>
        <v>Figure</v>
      </c>
      <c r="I14500">
        <v>1</v>
      </c>
      <c r="J14500">
        <v>1</v>
      </c>
      <c r="K14500">
        <v>0.79900000000000004</v>
      </c>
      <c r="L14500">
        <v>0.62</v>
      </c>
      <c r="M14500">
        <v>0.79900000000000004</v>
      </c>
      <c r="N14500">
        <v>0.66</v>
      </c>
    </row>
    <row r="14501" spans="1:14" x14ac:dyDescent="0.25">
      <c r="A14501" t="s">
        <v>24595</v>
      </c>
      <c r="B14501" t="s">
        <v>24596</v>
      </c>
      <c r="C14501" s="1" t="str">
        <f>HYPERLINK("http://www.genecards.org/cgi-bin/carddisp.pl?gene=BRWD1","GeneCards")</f>
        <v>GeneCards</v>
      </c>
      <c r="D14501" s="1" t="str">
        <f>HYPERLINK("http://genome-euro.ucsc.edu/cgi-bin/hgTracks?position=219280_at","UCSC")</f>
        <v>UCSC</v>
      </c>
      <c r="E14501" s="1" t="str">
        <f>HYPERLINK("http://www.ncbi.nlm.nih.gov/gene/?term=BRWD1","NCBI")</f>
        <v>NCBI</v>
      </c>
      <c r="F14501">
        <v>0.56000000000000005</v>
      </c>
      <c r="G14501">
        <v>0.65</v>
      </c>
      <c r="H14501" s="1" t="str">
        <f>HYPERLINK("http://www.weizmann.ac.il/complex/compphys/software/geview/data/figures/219280_at.png","Figure")</f>
        <v>Figure</v>
      </c>
      <c r="I14501">
        <v>1</v>
      </c>
      <c r="J14501">
        <v>1</v>
      </c>
      <c r="K14501">
        <v>0.97699999999999998</v>
      </c>
      <c r="L14501">
        <v>0.62</v>
      </c>
      <c r="M14501">
        <v>0.97699999999999998</v>
      </c>
      <c r="N14501">
        <v>0.66</v>
      </c>
    </row>
    <row r="14502" spans="1:14" x14ac:dyDescent="0.25">
      <c r="A14502" t="s">
        <v>24597</v>
      </c>
      <c r="B14502" t="s">
        <v>24598</v>
      </c>
      <c r="C14502" s="1" t="str">
        <f>HYPERLINK("http://www.genecards.org/cgi-bin/carddisp.pl?gene=C3orf14","GeneCards")</f>
        <v>GeneCards</v>
      </c>
      <c r="D14502" s="1" t="str">
        <f>HYPERLINK("http://genome-euro.ucsc.edu/cgi-bin/hgTracks?position=219288_at","UCSC")</f>
        <v>UCSC</v>
      </c>
      <c r="E14502" s="1" t="str">
        <f>HYPERLINK("http://www.ncbi.nlm.nih.gov/gene/?term=C3orf14","NCBI")</f>
        <v>NCBI</v>
      </c>
      <c r="F14502">
        <v>0.56000000000000005</v>
      </c>
      <c r="G14502">
        <v>0.65</v>
      </c>
      <c r="H14502" s="1" t="str">
        <f>HYPERLINK("http://www.weizmann.ac.il/complex/compphys/software/geview/data/figures/219288_at.png","Figure")</f>
        <v>Figure</v>
      </c>
      <c r="I14502">
        <v>1</v>
      </c>
      <c r="J14502">
        <v>1</v>
      </c>
      <c r="K14502">
        <v>0.93899999999999995</v>
      </c>
      <c r="L14502">
        <v>0.62</v>
      </c>
      <c r="M14502">
        <v>0.93899999999999995</v>
      </c>
      <c r="N14502">
        <v>0.66</v>
      </c>
    </row>
    <row r="14503" spans="1:14" x14ac:dyDescent="0.25">
      <c r="A14503" t="s">
        <v>24599</v>
      </c>
      <c r="B14503" t="s">
        <v>23910</v>
      </c>
      <c r="C14503" s="1" t="str">
        <f>HYPERLINK("http://www.genecards.org/cgi-bin/carddisp.pl?gene=SIGLEC1","GeneCards")</f>
        <v>GeneCards</v>
      </c>
      <c r="D14503" s="1" t="str">
        <f>HYPERLINK("http://genome-euro.ucsc.edu/cgi-bin/hgTracks?position=219519_s_at","UCSC")</f>
        <v>UCSC</v>
      </c>
      <c r="E14503" s="1" t="str">
        <f>HYPERLINK("http://www.ncbi.nlm.nih.gov/gene/?term=SIGLEC1","NCBI")</f>
        <v>NCBI</v>
      </c>
      <c r="F14503">
        <v>0.56000000000000005</v>
      </c>
      <c r="G14503">
        <v>0.65</v>
      </c>
      <c r="H14503" s="1" t="str">
        <f>HYPERLINK("http://www.weizmann.ac.il/complex/compphys/software/geview/data/figures/219519_s_at.png","Figure")</f>
        <v>Figure</v>
      </c>
      <c r="I14503">
        <v>1</v>
      </c>
      <c r="J14503">
        <v>1</v>
      </c>
      <c r="K14503">
        <v>0.99</v>
      </c>
      <c r="L14503">
        <v>0.62</v>
      </c>
      <c r="M14503">
        <v>0.99</v>
      </c>
      <c r="N14503">
        <v>0.66</v>
      </c>
    </row>
    <row r="14504" spans="1:14" x14ac:dyDescent="0.25">
      <c r="A14504" t="s">
        <v>24600</v>
      </c>
      <c r="B14504" t="s">
        <v>14844</v>
      </c>
      <c r="C14504" s="1" t="str">
        <f>HYPERLINK("http://www.genecards.org/cgi-bin/carddisp.pl?gene=CDKN1C","GeneCards")</f>
        <v>GeneCards</v>
      </c>
      <c r="D14504" s="1" t="str">
        <f>HYPERLINK("http://genome-euro.ucsc.edu/cgi-bin/hgTracks?position=219533_at","UCSC")</f>
        <v>UCSC</v>
      </c>
      <c r="E14504" s="1" t="str">
        <f>HYPERLINK("http://www.ncbi.nlm.nih.gov/gene/?term=CDKN1C","NCBI")</f>
        <v>NCBI</v>
      </c>
      <c r="F14504">
        <v>0.56000000000000005</v>
      </c>
      <c r="G14504">
        <v>0.65</v>
      </c>
      <c r="H14504" s="1" t="str">
        <f>HYPERLINK("http://www.weizmann.ac.il/complex/compphys/software/geview/data/figures/219533_at.png","Figure")</f>
        <v>Figure</v>
      </c>
      <c r="I14504">
        <v>1</v>
      </c>
      <c r="J14504">
        <v>1</v>
      </c>
      <c r="K14504">
        <v>0.996</v>
      </c>
      <c r="L14504">
        <v>0.62</v>
      </c>
      <c r="M14504">
        <v>0.996</v>
      </c>
      <c r="N14504">
        <v>0.66</v>
      </c>
    </row>
    <row r="14505" spans="1:14" x14ac:dyDescent="0.25">
      <c r="A14505" t="s">
        <v>24601</v>
      </c>
      <c r="B14505" t="s">
        <v>24602</v>
      </c>
      <c r="C14505" s="1" t="str">
        <f>HYPERLINK("http://www.genecards.org/cgi-bin/carddisp.pl?gene=TTC12","GeneCards")</f>
        <v>GeneCards</v>
      </c>
      <c r="D14505" s="1" t="str">
        <f>HYPERLINK("http://genome-euro.ucsc.edu/cgi-bin/hgTracks?position=219587_at","UCSC")</f>
        <v>UCSC</v>
      </c>
      <c r="E14505" s="1" t="str">
        <f>HYPERLINK("http://www.ncbi.nlm.nih.gov/gene/?term=TTC12","NCBI")</f>
        <v>NCBI</v>
      </c>
      <c r="F14505">
        <v>0.55000000000000004</v>
      </c>
      <c r="G14505">
        <v>0.65</v>
      </c>
      <c r="H14505" s="1" t="str">
        <f>HYPERLINK("http://www.weizmann.ac.il/complex/compphys/software/geview/data/figures/219587_at.png","Figure")</f>
        <v>Figure</v>
      </c>
      <c r="I14505">
        <v>0.97199999999999998</v>
      </c>
      <c r="J14505">
        <v>0.6</v>
      </c>
      <c r="K14505">
        <v>0.999</v>
      </c>
      <c r="L14505">
        <v>1</v>
      </c>
      <c r="M14505">
        <v>1.03</v>
      </c>
      <c r="N14505">
        <v>0.59</v>
      </c>
    </row>
    <row r="14506" spans="1:14" x14ac:dyDescent="0.25">
      <c r="A14506" t="s">
        <v>24603</v>
      </c>
      <c r="B14506" t="s">
        <v>24604</v>
      </c>
      <c r="C14506" s="1" t="str">
        <f>HYPERLINK("http://www.genecards.org/cgi-bin/carddisp.pl?gene=MCPH1","GeneCards")</f>
        <v>GeneCards</v>
      </c>
      <c r="D14506" s="1" t="str">
        <f>HYPERLINK("http://genome-euro.ucsc.edu/cgi-bin/hgTracks?position=219592_at","UCSC")</f>
        <v>UCSC</v>
      </c>
      <c r="E14506" s="1" t="str">
        <f>HYPERLINK("http://www.ncbi.nlm.nih.gov/gene/?term=MCPH1","NCBI")</f>
        <v>NCBI</v>
      </c>
      <c r="F14506">
        <v>0.56000000000000005</v>
      </c>
      <c r="G14506">
        <v>0.65</v>
      </c>
      <c r="H14506" s="1" t="str">
        <f>HYPERLINK("http://www.weizmann.ac.il/complex/compphys/software/geview/data/figures/219592_at.png","Figure")</f>
        <v>Figure</v>
      </c>
      <c r="I14506">
        <v>1</v>
      </c>
      <c r="J14506">
        <v>1</v>
      </c>
      <c r="K14506">
        <v>0.999</v>
      </c>
      <c r="L14506">
        <v>0.62</v>
      </c>
      <c r="M14506">
        <v>0.999</v>
      </c>
      <c r="N14506">
        <v>0.66</v>
      </c>
    </row>
    <row r="14507" spans="1:14" x14ac:dyDescent="0.25">
      <c r="A14507" t="s">
        <v>24605</v>
      </c>
      <c r="B14507" t="s">
        <v>24606</v>
      </c>
      <c r="C14507" s="1" t="str">
        <f>HYPERLINK("http://www.genecards.org/cgi-bin/carddisp.pl?gene=CASQ1","GeneCards")</f>
        <v>GeneCards</v>
      </c>
      <c r="D14507" s="1" t="str">
        <f>HYPERLINK("http://genome-euro.ucsc.edu/cgi-bin/hgTracks?position=219645_at","UCSC")</f>
        <v>UCSC</v>
      </c>
      <c r="E14507" s="1" t="str">
        <f>HYPERLINK("http://www.ncbi.nlm.nih.gov/gene/?term=CASQ1","NCBI")</f>
        <v>NCBI</v>
      </c>
      <c r="F14507">
        <v>0.56000000000000005</v>
      </c>
      <c r="G14507">
        <v>0.65</v>
      </c>
      <c r="H14507" s="1" t="str">
        <f>HYPERLINK("http://www.weizmann.ac.il/complex/compphys/software/geview/data/figures/219645_at.png","Figure")</f>
        <v>Figure</v>
      </c>
      <c r="I14507">
        <v>1</v>
      </c>
      <c r="J14507">
        <v>1</v>
      </c>
      <c r="K14507">
        <v>0.99199999999999999</v>
      </c>
      <c r="L14507">
        <v>0.62</v>
      </c>
      <c r="M14507">
        <v>0.99199999999999999</v>
      </c>
      <c r="N14507">
        <v>0.66</v>
      </c>
    </row>
    <row r="14508" spans="1:14" x14ac:dyDescent="0.25">
      <c r="A14508" t="s">
        <v>24607</v>
      </c>
      <c r="B14508" t="s">
        <v>24608</v>
      </c>
      <c r="C14508" s="1" t="str">
        <f>HYPERLINK("http://www.genecards.org/cgi-bin/carddisp.pl?gene=PLXDC1","GeneCards")</f>
        <v>GeneCards</v>
      </c>
      <c r="D14508" s="1" t="str">
        <f>HYPERLINK("http://genome-euro.ucsc.edu/cgi-bin/hgTracks?position=219700_at","UCSC")</f>
        <v>UCSC</v>
      </c>
      <c r="E14508" s="1" t="str">
        <f>HYPERLINK("http://www.ncbi.nlm.nih.gov/gene/?term=PLXDC1","NCBI")</f>
        <v>NCBI</v>
      </c>
      <c r="F14508">
        <v>0.56000000000000005</v>
      </c>
      <c r="G14508">
        <v>0.65</v>
      </c>
      <c r="H14508" s="1" t="str">
        <f>HYPERLINK("http://www.weizmann.ac.il/complex/compphys/software/geview/data/figures/219700_at.png","Figure")</f>
        <v>Figure</v>
      </c>
      <c r="I14508">
        <v>1</v>
      </c>
      <c r="J14508">
        <v>1</v>
      </c>
      <c r="K14508">
        <v>0.998</v>
      </c>
      <c r="L14508">
        <v>0.62</v>
      </c>
      <c r="M14508">
        <v>0.998</v>
      </c>
      <c r="N14508">
        <v>0.66</v>
      </c>
    </row>
    <row r="14509" spans="1:14" x14ac:dyDescent="0.25">
      <c r="A14509" t="s">
        <v>24609</v>
      </c>
      <c r="B14509" t="s">
        <v>24610</v>
      </c>
      <c r="C14509" s="1" t="str">
        <f>HYPERLINK("http://www.genecards.org/cgi-bin/carddisp.pl?gene=QSER1","GeneCards")</f>
        <v>GeneCards</v>
      </c>
      <c r="D14509" s="1" t="str">
        <f>HYPERLINK("http://genome-euro.ucsc.edu/cgi-bin/hgTracks?position=219705_at","UCSC")</f>
        <v>UCSC</v>
      </c>
      <c r="E14509" s="1" t="str">
        <f>HYPERLINK("http://www.ncbi.nlm.nih.gov/gene/?term=QSER1","NCBI")</f>
        <v>NCBI</v>
      </c>
      <c r="F14509">
        <v>0.56000000000000005</v>
      </c>
      <c r="G14509">
        <v>0.65</v>
      </c>
      <c r="H14509" s="1" t="str">
        <f>HYPERLINK("http://www.weizmann.ac.il/complex/compphys/software/geview/data/figures/219705_at.png","Figure")</f>
        <v>Figure</v>
      </c>
      <c r="I14509">
        <v>1</v>
      </c>
      <c r="J14509">
        <v>1</v>
      </c>
      <c r="K14509">
        <v>0.97299999999999998</v>
      </c>
      <c r="L14509">
        <v>0.62</v>
      </c>
      <c r="M14509">
        <v>0.97299999999999998</v>
      </c>
      <c r="N14509">
        <v>0.66</v>
      </c>
    </row>
    <row r="14510" spans="1:14" x14ac:dyDescent="0.25">
      <c r="A14510" t="s">
        <v>24611</v>
      </c>
      <c r="B14510" t="s">
        <v>24612</v>
      </c>
      <c r="C14510" s="1" t="str">
        <f>HYPERLINK("http://www.genecards.org/cgi-bin/carddisp.pl?gene=GPATCH1","GeneCards")</f>
        <v>GeneCards</v>
      </c>
      <c r="D14510" s="1" t="str">
        <f>HYPERLINK("http://genome-euro.ucsc.edu/cgi-bin/hgTracks?position=219818_s_at","UCSC")</f>
        <v>UCSC</v>
      </c>
      <c r="E14510" s="1" t="str">
        <f>HYPERLINK("http://www.ncbi.nlm.nih.gov/gene/?term=GPATCH1","NCBI")</f>
        <v>NCBI</v>
      </c>
      <c r="F14510">
        <v>0.56000000000000005</v>
      </c>
      <c r="G14510">
        <v>0.65</v>
      </c>
      <c r="H14510" s="1" t="str">
        <f>HYPERLINK("http://www.weizmann.ac.il/complex/compphys/software/geview/data/figures/219818_s_at.png","Figure")</f>
        <v>Figure</v>
      </c>
      <c r="I14510">
        <v>0.85899999999999999</v>
      </c>
      <c r="J14510">
        <v>0.55000000000000004</v>
      </c>
      <c r="K14510">
        <v>0.96299999999999997</v>
      </c>
      <c r="L14510">
        <v>0.95</v>
      </c>
      <c r="M14510">
        <v>1.1200000000000001</v>
      </c>
      <c r="N14510">
        <v>0.67</v>
      </c>
    </row>
    <row r="14511" spans="1:14" x14ac:dyDescent="0.25">
      <c r="A14511" t="s">
        <v>24613</v>
      </c>
      <c r="B14511" t="s">
        <v>24614</v>
      </c>
      <c r="C14511" s="1" t="str">
        <f>HYPERLINK("http://www.genecards.org/cgi-bin/carddisp.pl?gene=ODAM","GeneCards")</f>
        <v>GeneCards</v>
      </c>
      <c r="D14511" s="1" t="str">
        <f>HYPERLINK("http://genome-euro.ucsc.edu/cgi-bin/hgTracks?position=220133_at","UCSC")</f>
        <v>UCSC</v>
      </c>
      <c r="E14511" s="1" t="str">
        <f>HYPERLINK("http://www.ncbi.nlm.nih.gov/gene/?term=ODAM","NCBI")</f>
        <v>NCBI</v>
      </c>
      <c r="F14511">
        <v>0.55000000000000004</v>
      </c>
      <c r="G14511">
        <v>0.65</v>
      </c>
      <c r="H14511" s="1" t="str">
        <f>HYPERLINK("http://www.weizmann.ac.il/complex/compphys/software/geview/data/figures/220133_at.png","Figure")</f>
        <v>Figure</v>
      </c>
      <c r="I14511">
        <v>0.995</v>
      </c>
      <c r="J14511">
        <v>0.93</v>
      </c>
      <c r="K14511">
        <v>0.98599999999999999</v>
      </c>
      <c r="L14511">
        <v>0.53</v>
      </c>
      <c r="M14511">
        <v>0.99099999999999999</v>
      </c>
      <c r="N14511">
        <v>0.8</v>
      </c>
    </row>
    <row r="14512" spans="1:14" x14ac:dyDescent="0.25">
      <c r="A14512" t="s">
        <v>24615</v>
      </c>
      <c r="B14512" t="s">
        <v>12818</v>
      </c>
      <c r="C14512" s="1" t="str">
        <f>HYPERLINK("http://www.genecards.org/cgi-bin/carddisp.pl?gene=EPB41L4B","GeneCards")</f>
        <v>GeneCards</v>
      </c>
      <c r="D14512" s="1" t="str">
        <f>HYPERLINK("http://genome-euro.ucsc.edu/cgi-bin/hgTracks?position=220161_s_at","UCSC")</f>
        <v>UCSC</v>
      </c>
      <c r="E14512" s="1" t="str">
        <f>HYPERLINK("http://www.ncbi.nlm.nih.gov/gene/?term=EPB41L4B","NCBI")</f>
        <v>NCBI</v>
      </c>
      <c r="F14512">
        <v>0.55000000000000004</v>
      </c>
      <c r="G14512">
        <v>0.65</v>
      </c>
      <c r="H14512" s="1" t="str">
        <f>HYPERLINK("http://www.weizmann.ac.il/complex/compphys/software/geview/data/figures/220161_s_at.png","Figure")</f>
        <v>Figure</v>
      </c>
      <c r="I14512">
        <v>0.96399999999999997</v>
      </c>
      <c r="J14512">
        <v>0.53</v>
      </c>
      <c r="K14512">
        <v>0.98899999999999999</v>
      </c>
      <c r="L14512">
        <v>0.93</v>
      </c>
      <c r="M14512">
        <v>1.03</v>
      </c>
      <c r="N14512">
        <v>0.69</v>
      </c>
    </row>
    <row r="14513" spans="1:14" x14ac:dyDescent="0.25">
      <c r="A14513" t="s">
        <v>24616</v>
      </c>
      <c r="B14513" t="s">
        <v>13570</v>
      </c>
      <c r="C14513" s="1" t="str">
        <f>HYPERLINK("http://www.genecards.org/cgi-bin/carddisp.pl?gene=ATG3","GeneCards")</f>
        <v>GeneCards</v>
      </c>
      <c r="D14513" s="1" t="str">
        <f>HYPERLINK("http://genome-euro.ucsc.edu/cgi-bin/hgTracks?position=220237_at","UCSC")</f>
        <v>UCSC</v>
      </c>
      <c r="E14513" s="1" t="str">
        <f>HYPERLINK("http://www.ncbi.nlm.nih.gov/gene/?term=ATG3","NCBI")</f>
        <v>NCBI</v>
      </c>
      <c r="F14513">
        <v>0.56000000000000005</v>
      </c>
      <c r="G14513">
        <v>0.65</v>
      </c>
      <c r="H14513" s="1" t="str">
        <f>HYPERLINK("http://www.weizmann.ac.il/complex/compphys/software/geview/data/figures/220237_at.png","Figure")</f>
        <v>Figure</v>
      </c>
      <c r="I14513">
        <v>1</v>
      </c>
      <c r="J14513">
        <v>1</v>
      </c>
      <c r="K14513">
        <v>0.98899999999999999</v>
      </c>
      <c r="L14513">
        <v>0.62</v>
      </c>
      <c r="M14513">
        <v>0.98899999999999999</v>
      </c>
      <c r="N14513">
        <v>0.66</v>
      </c>
    </row>
    <row r="14514" spans="1:14" x14ac:dyDescent="0.25">
      <c r="A14514" t="s">
        <v>24617</v>
      </c>
      <c r="B14514" t="s">
        <v>24618</v>
      </c>
      <c r="C14514" s="1" t="str">
        <f>HYPERLINK("http://www.genecards.org/cgi-bin/carddisp.pl?gene=ABCG5","GeneCards")</f>
        <v>GeneCards</v>
      </c>
      <c r="D14514" s="1" t="str">
        <f>HYPERLINK("http://genome-euro.ucsc.edu/cgi-bin/hgTracks?position=220383_at","UCSC")</f>
        <v>UCSC</v>
      </c>
      <c r="E14514" s="1" t="str">
        <f>HYPERLINK("http://www.ncbi.nlm.nih.gov/gene/?term=ABCG5","NCBI")</f>
        <v>NCBI</v>
      </c>
      <c r="F14514">
        <v>0.56000000000000005</v>
      </c>
      <c r="G14514">
        <v>0.65</v>
      </c>
      <c r="H14514" s="1" t="str">
        <f>HYPERLINK("http://www.weizmann.ac.il/complex/compphys/software/geview/data/figures/220383_at.png","Figure")</f>
        <v>Figure</v>
      </c>
      <c r="I14514">
        <v>1</v>
      </c>
      <c r="J14514">
        <v>1</v>
      </c>
      <c r="K14514">
        <v>0.997</v>
      </c>
      <c r="L14514">
        <v>0.62</v>
      </c>
      <c r="M14514">
        <v>0.997</v>
      </c>
      <c r="N14514">
        <v>0.66</v>
      </c>
    </row>
    <row r="14515" spans="1:14" x14ac:dyDescent="0.25">
      <c r="A14515" t="s">
        <v>24619</v>
      </c>
      <c r="B14515" t="s">
        <v>24620</v>
      </c>
      <c r="C14515" s="1" t="str">
        <f>HYPERLINK("http://www.genecards.org/cgi-bin/carddisp.pl?gene=EML4","GeneCards")</f>
        <v>GeneCards</v>
      </c>
      <c r="D14515" s="1" t="str">
        <f>HYPERLINK("http://genome-euro.ucsc.edu/cgi-bin/hgTracks?position=220386_s_at","UCSC")</f>
        <v>UCSC</v>
      </c>
      <c r="E14515" s="1" t="str">
        <f>HYPERLINK("http://www.ncbi.nlm.nih.gov/gene/?term=EML4","NCBI")</f>
        <v>NCBI</v>
      </c>
      <c r="F14515">
        <v>0.56000000000000005</v>
      </c>
      <c r="G14515">
        <v>0.65</v>
      </c>
      <c r="H14515" s="1" t="str">
        <f>HYPERLINK("http://www.weizmann.ac.il/complex/compphys/software/geview/data/figures/220386_s_at.png","Figure")</f>
        <v>Figure</v>
      </c>
      <c r="I14515">
        <v>1</v>
      </c>
      <c r="J14515">
        <v>1</v>
      </c>
      <c r="K14515">
        <v>0.97199999999999998</v>
      </c>
      <c r="L14515">
        <v>0.62</v>
      </c>
      <c r="M14515">
        <v>0.97199999999999998</v>
      </c>
      <c r="N14515">
        <v>0.66</v>
      </c>
    </row>
    <row r="14516" spans="1:14" x14ac:dyDescent="0.25">
      <c r="A14516" t="s">
        <v>24621</v>
      </c>
      <c r="B14516" t="s">
        <v>12382</v>
      </c>
      <c r="C14516" s="1" t="str">
        <f>HYPERLINK("http://www.genecards.org/cgi-bin/carddisp.pl?gene=VPS13B","GeneCards")</f>
        <v>GeneCards</v>
      </c>
      <c r="D14516" s="1" t="str">
        <f>HYPERLINK("http://genome-euro.ucsc.edu/cgi-bin/hgTracks?position=220400_at","UCSC")</f>
        <v>UCSC</v>
      </c>
      <c r="E14516" s="1" t="str">
        <f>HYPERLINK("http://www.ncbi.nlm.nih.gov/gene/?term=VPS13B","NCBI")</f>
        <v>NCBI</v>
      </c>
      <c r="F14516">
        <v>0.56000000000000005</v>
      </c>
      <c r="G14516">
        <v>0.65</v>
      </c>
      <c r="H14516" s="1" t="str">
        <f>HYPERLINK("http://www.weizmann.ac.il/complex/compphys/software/geview/data/figures/220400_at.png","Figure")</f>
        <v>Figure</v>
      </c>
      <c r="I14516">
        <v>1</v>
      </c>
      <c r="J14516">
        <v>1</v>
      </c>
      <c r="K14516">
        <v>0.94399999999999995</v>
      </c>
      <c r="L14516">
        <v>0.62</v>
      </c>
      <c r="M14516">
        <v>0.94399999999999995</v>
      </c>
      <c r="N14516">
        <v>0.66</v>
      </c>
    </row>
    <row r="14517" spans="1:14" x14ac:dyDescent="0.25">
      <c r="A14517" t="s">
        <v>24622</v>
      </c>
      <c r="B14517" t="s">
        <v>24623</v>
      </c>
      <c r="C14517" s="1" t="str">
        <f>HYPERLINK("http://www.genecards.org/cgi-bin/carddisp.pl?gene=UBASH3A","GeneCards")</f>
        <v>GeneCards</v>
      </c>
      <c r="D14517" s="1" t="str">
        <f>HYPERLINK("http://genome-euro.ucsc.edu/cgi-bin/hgTracks?position=220418_at","UCSC")</f>
        <v>UCSC</v>
      </c>
      <c r="E14517" s="1" t="str">
        <f>HYPERLINK("http://www.ncbi.nlm.nih.gov/gene/?term=UBASH3A","NCBI")</f>
        <v>NCBI</v>
      </c>
      <c r="F14517">
        <v>0.56000000000000005</v>
      </c>
      <c r="G14517">
        <v>0.65</v>
      </c>
      <c r="H14517" s="1" t="str">
        <f>HYPERLINK("http://www.weizmann.ac.il/complex/compphys/software/geview/data/figures/220418_at.png","Figure")</f>
        <v>Figure</v>
      </c>
      <c r="I14517">
        <v>1</v>
      </c>
      <c r="J14517">
        <v>1</v>
      </c>
      <c r="K14517">
        <v>0.996</v>
      </c>
      <c r="L14517">
        <v>0.62</v>
      </c>
      <c r="M14517">
        <v>0.996</v>
      </c>
      <c r="N14517">
        <v>0.66</v>
      </c>
    </row>
    <row r="14518" spans="1:14" x14ac:dyDescent="0.25">
      <c r="A14518" t="s">
        <v>24624</v>
      </c>
      <c r="B14518" t="s">
        <v>14597</v>
      </c>
      <c r="C14518" s="1" t="str">
        <f>HYPERLINK("http://www.genecards.org/cgi-bin/carddisp.pl?gene=MTMR8","GeneCards")</f>
        <v>GeneCards</v>
      </c>
      <c r="D14518" s="1" t="str">
        <f>HYPERLINK("http://genome-euro.ucsc.edu/cgi-bin/hgTracks?position=220537_at","UCSC")</f>
        <v>UCSC</v>
      </c>
      <c r="E14518" s="1" t="str">
        <f>HYPERLINK("http://www.ncbi.nlm.nih.gov/gene/?term=MTMR8","NCBI")</f>
        <v>NCBI</v>
      </c>
      <c r="F14518">
        <v>0.56000000000000005</v>
      </c>
      <c r="G14518">
        <v>0.65</v>
      </c>
      <c r="H14518" s="1" t="str">
        <f>HYPERLINK("http://www.weizmann.ac.il/complex/compphys/software/geview/data/figures/220537_at.png","Figure")</f>
        <v>Figure</v>
      </c>
      <c r="I14518">
        <v>1</v>
      </c>
      <c r="J14518">
        <v>1</v>
      </c>
      <c r="K14518">
        <v>0.996</v>
      </c>
      <c r="L14518">
        <v>0.62</v>
      </c>
      <c r="M14518">
        <v>0.996</v>
      </c>
      <c r="N14518">
        <v>0.66</v>
      </c>
    </row>
    <row r="14519" spans="1:14" x14ac:dyDescent="0.25">
      <c r="A14519" t="s">
        <v>24625</v>
      </c>
      <c r="B14519" t="s">
        <v>24626</v>
      </c>
      <c r="C14519" s="1" t="str">
        <f>HYPERLINK("http://www.genecards.org/cgi-bin/carddisp.pl?gene=CCR10","GeneCards")</f>
        <v>GeneCards</v>
      </c>
      <c r="D14519" s="1" t="str">
        <f>HYPERLINK("http://genome-euro.ucsc.edu/cgi-bin/hgTracks?position=220565_at","UCSC")</f>
        <v>UCSC</v>
      </c>
      <c r="E14519" s="1" t="str">
        <f>HYPERLINK("http://www.ncbi.nlm.nih.gov/gene/?term=CCR10","NCBI")</f>
        <v>NCBI</v>
      </c>
      <c r="F14519">
        <v>0.56000000000000005</v>
      </c>
      <c r="G14519">
        <v>0.65</v>
      </c>
      <c r="H14519" s="1" t="str">
        <f>HYPERLINK("http://www.weizmann.ac.il/complex/compphys/software/geview/data/figures/220565_at.png","Figure")</f>
        <v>Figure</v>
      </c>
      <c r="I14519">
        <v>1</v>
      </c>
      <c r="J14519">
        <v>1</v>
      </c>
      <c r="K14519">
        <v>0.99</v>
      </c>
      <c r="L14519">
        <v>0.62</v>
      </c>
      <c r="M14519">
        <v>0.99</v>
      </c>
      <c r="N14519">
        <v>0.66</v>
      </c>
    </row>
    <row r="14520" spans="1:14" x14ac:dyDescent="0.25">
      <c r="A14520" t="s">
        <v>24627</v>
      </c>
      <c r="B14520" t="s">
        <v>24628</v>
      </c>
      <c r="C14520" s="1" t="str">
        <f>HYPERLINK("http://www.genecards.org/cgi-bin/carddisp.pl?gene=RETN","GeneCards")</f>
        <v>GeneCards</v>
      </c>
      <c r="D14520" s="1" t="str">
        <f>HYPERLINK("http://genome-euro.ucsc.edu/cgi-bin/hgTracks?position=220570_at","UCSC")</f>
        <v>UCSC</v>
      </c>
      <c r="E14520" s="1" t="str">
        <f>HYPERLINK("http://www.ncbi.nlm.nih.gov/gene/?term=RETN","NCBI")</f>
        <v>NCBI</v>
      </c>
      <c r="F14520">
        <v>0.56000000000000005</v>
      </c>
      <c r="G14520">
        <v>0.65</v>
      </c>
      <c r="H14520" s="1" t="str">
        <f>HYPERLINK("http://www.weizmann.ac.il/complex/compphys/software/geview/data/figures/220570_at.png","Figure")</f>
        <v>Figure</v>
      </c>
      <c r="I14520">
        <v>1.03</v>
      </c>
      <c r="J14520">
        <v>0.89</v>
      </c>
      <c r="K14520">
        <v>1.06</v>
      </c>
      <c r="L14520">
        <v>0.53</v>
      </c>
      <c r="M14520">
        <v>1.03</v>
      </c>
      <c r="N14520">
        <v>0.85</v>
      </c>
    </row>
    <row r="14521" spans="1:14" x14ac:dyDescent="0.25">
      <c r="A14521" t="s">
        <v>24629</v>
      </c>
      <c r="B14521" t="s">
        <v>24630</v>
      </c>
      <c r="C14521" s="1" t="str">
        <f>HYPERLINK("http://www.genecards.org/cgi-bin/carddisp.pl?gene=C16orf70","GeneCards")</f>
        <v>GeneCards</v>
      </c>
      <c r="D14521" s="1" t="str">
        <f>HYPERLINK("http://genome-euro.ucsc.edu/cgi-bin/hgTracks?position=220601_at","UCSC")</f>
        <v>UCSC</v>
      </c>
      <c r="E14521" s="1" t="str">
        <f>HYPERLINK("http://www.ncbi.nlm.nih.gov/gene/?term=C16orf70","NCBI")</f>
        <v>NCBI</v>
      </c>
      <c r="F14521">
        <v>0.56000000000000005</v>
      </c>
      <c r="G14521">
        <v>0.65</v>
      </c>
      <c r="H14521" s="1" t="str">
        <f>HYPERLINK("http://www.weizmann.ac.il/complex/compphys/software/geview/data/figures/220601_at.png","Figure")</f>
        <v>Figure</v>
      </c>
      <c r="I14521">
        <v>1</v>
      </c>
      <c r="J14521">
        <v>1</v>
      </c>
      <c r="K14521">
        <v>0.99099999999999999</v>
      </c>
      <c r="L14521">
        <v>0.62</v>
      </c>
      <c r="M14521">
        <v>0.99099999999999999</v>
      </c>
      <c r="N14521">
        <v>0.66</v>
      </c>
    </row>
    <row r="14522" spans="1:14" x14ac:dyDescent="0.25">
      <c r="A14522" t="s">
        <v>24631</v>
      </c>
      <c r="B14522" t="s">
        <v>24632</v>
      </c>
      <c r="C14522" s="1" t="str">
        <f>HYPERLINK("http://www.genecards.org/cgi-bin/carddisp.pl?gene=CBLC","GeneCards")</f>
        <v>GeneCards</v>
      </c>
      <c r="D14522" s="1" t="str">
        <f>HYPERLINK("http://genome-euro.ucsc.edu/cgi-bin/hgTracks?position=220638_s_at","UCSC")</f>
        <v>UCSC</v>
      </c>
      <c r="E14522" s="1" t="str">
        <f>HYPERLINK("http://www.ncbi.nlm.nih.gov/gene/?term=CBLC","NCBI")</f>
        <v>NCBI</v>
      </c>
      <c r="F14522">
        <v>0.56000000000000005</v>
      </c>
      <c r="G14522">
        <v>0.65</v>
      </c>
      <c r="H14522" s="1" t="str">
        <f>HYPERLINK("http://www.weizmann.ac.il/complex/compphys/software/geview/data/figures/220638_s_at.png","Figure")</f>
        <v>Figure</v>
      </c>
      <c r="I14522">
        <v>1</v>
      </c>
      <c r="J14522">
        <v>1</v>
      </c>
      <c r="K14522">
        <v>0.997</v>
      </c>
      <c r="L14522">
        <v>0.62</v>
      </c>
      <c r="M14522">
        <v>0.997</v>
      </c>
      <c r="N14522">
        <v>0.66</v>
      </c>
    </row>
    <row r="14523" spans="1:14" x14ac:dyDescent="0.25">
      <c r="A14523" t="s">
        <v>24633</v>
      </c>
      <c r="B14523" t="s">
        <v>24634</v>
      </c>
      <c r="C14523" s="1" t="str">
        <f>HYPERLINK("http://www.genecards.org/cgi-bin/carddisp.pl?gene=C10orf110","GeneCards")</f>
        <v>GeneCards</v>
      </c>
      <c r="D14523" s="1" t="str">
        <f>HYPERLINK("http://genome-euro.ucsc.edu/cgi-bin/hgTracks?position=220703_at","UCSC")</f>
        <v>UCSC</v>
      </c>
      <c r="E14523" s="1" t="str">
        <f>HYPERLINK("http://www.ncbi.nlm.nih.gov/gene/?term=C10orf110","NCBI")</f>
        <v>NCBI</v>
      </c>
      <c r="F14523">
        <v>0.56000000000000005</v>
      </c>
      <c r="G14523">
        <v>0.65</v>
      </c>
      <c r="H14523" s="1" t="str">
        <f>HYPERLINK("http://www.weizmann.ac.il/complex/compphys/software/geview/data/figures/220703_at.png","Figure")</f>
        <v>Figure</v>
      </c>
      <c r="I14523">
        <v>1</v>
      </c>
      <c r="J14523">
        <v>1</v>
      </c>
      <c r="K14523">
        <v>0.98299999999999998</v>
      </c>
      <c r="L14523">
        <v>0.62</v>
      </c>
      <c r="M14523">
        <v>0.98299999999999998</v>
      </c>
      <c r="N14523">
        <v>0.66</v>
      </c>
    </row>
    <row r="14524" spans="1:14" x14ac:dyDescent="0.25">
      <c r="A14524" t="s">
        <v>24635</v>
      </c>
      <c r="B14524" t="s">
        <v>12986</v>
      </c>
      <c r="C14524" s="1" t="str">
        <f>HYPERLINK("http://www.genecards.org/cgi-bin/carddisp.pl?gene=IKZF1","GeneCards")</f>
        <v>GeneCards</v>
      </c>
      <c r="D14524" s="1" t="str">
        <f>HYPERLINK("http://genome-euro.ucsc.edu/cgi-bin/hgTracks?position=220704_at","UCSC")</f>
        <v>UCSC</v>
      </c>
      <c r="E14524" s="1" t="str">
        <f>HYPERLINK("http://www.ncbi.nlm.nih.gov/gene/?term=IKZF1","NCBI")</f>
        <v>NCBI</v>
      </c>
      <c r="F14524">
        <v>0.56000000000000005</v>
      </c>
      <c r="G14524">
        <v>0.65</v>
      </c>
      <c r="H14524" s="1" t="str">
        <f>HYPERLINK("http://www.weizmann.ac.il/complex/compphys/software/geview/data/figures/220704_at.png","Figure")</f>
        <v>Figure</v>
      </c>
      <c r="I14524">
        <v>1</v>
      </c>
      <c r="J14524">
        <v>1</v>
      </c>
      <c r="K14524">
        <v>0.98099999999999998</v>
      </c>
      <c r="L14524">
        <v>0.62</v>
      </c>
      <c r="M14524">
        <v>0.98099999999999998</v>
      </c>
      <c r="N14524">
        <v>0.66</v>
      </c>
    </row>
    <row r="14525" spans="1:14" x14ac:dyDescent="0.25">
      <c r="A14525" t="s">
        <v>24636</v>
      </c>
      <c r="B14525" t="s">
        <v>24637</v>
      </c>
      <c r="C14525" s="1" t="str">
        <f>HYPERLINK("http://www.genecards.org/cgi-bin/carddisp.pl?gene=PREX2","GeneCards")</f>
        <v>GeneCards</v>
      </c>
      <c r="D14525" s="1" t="str">
        <f>HYPERLINK("http://genome-euro.ucsc.edu/cgi-bin/hgTracks?position=220732_at","UCSC")</f>
        <v>UCSC</v>
      </c>
      <c r="E14525" s="1" t="str">
        <f>HYPERLINK("http://www.ncbi.nlm.nih.gov/gene/?term=PREX2","NCBI")</f>
        <v>NCBI</v>
      </c>
      <c r="F14525">
        <v>0.56000000000000005</v>
      </c>
      <c r="G14525">
        <v>0.65</v>
      </c>
      <c r="H14525" s="1" t="str">
        <f>HYPERLINK("http://www.weizmann.ac.il/complex/compphys/software/geview/data/figures/220732_at.png","Figure")</f>
        <v>Figure</v>
      </c>
      <c r="I14525">
        <v>1</v>
      </c>
      <c r="J14525">
        <v>1</v>
      </c>
      <c r="K14525">
        <v>0.99299999999999999</v>
      </c>
      <c r="L14525">
        <v>0.62</v>
      </c>
      <c r="M14525">
        <v>0.99299999999999999</v>
      </c>
      <c r="N14525">
        <v>0.66</v>
      </c>
    </row>
    <row r="14526" spans="1:14" x14ac:dyDescent="0.25">
      <c r="A14526" t="s">
        <v>24638</v>
      </c>
      <c r="B14526" t="s">
        <v>17630</v>
      </c>
      <c r="C14526" s="1" t="str">
        <f>HYPERLINK("http://www.genecards.org/cgi-bin/carddisp.pl?gene=RPS6KA6","GeneCards")</f>
        <v>GeneCards</v>
      </c>
      <c r="D14526" s="1" t="str">
        <f>HYPERLINK("http://genome-euro.ucsc.edu/cgi-bin/hgTracks?position=220738_s_at","UCSC")</f>
        <v>UCSC</v>
      </c>
      <c r="E14526" s="1" t="str">
        <f>HYPERLINK("http://www.ncbi.nlm.nih.gov/gene/?term=RPS6KA6","NCBI")</f>
        <v>NCBI</v>
      </c>
      <c r="F14526">
        <v>0.56000000000000005</v>
      </c>
      <c r="G14526">
        <v>0.65</v>
      </c>
      <c r="H14526" s="1" t="str">
        <f>HYPERLINK("http://www.weizmann.ac.il/complex/compphys/software/geview/data/figures/220738_s_at.png","Figure")</f>
        <v>Figure</v>
      </c>
      <c r="I14526">
        <v>1</v>
      </c>
      <c r="J14526">
        <v>1</v>
      </c>
      <c r="K14526">
        <v>0.997</v>
      </c>
      <c r="L14526">
        <v>0.62</v>
      </c>
      <c r="M14526">
        <v>0.997</v>
      </c>
      <c r="N14526">
        <v>0.66</v>
      </c>
    </row>
    <row r="14527" spans="1:14" x14ac:dyDescent="0.25">
      <c r="A14527" t="s">
        <v>24639</v>
      </c>
      <c r="B14527" t="s">
        <v>24640</v>
      </c>
      <c r="C14527" s="1" t="str">
        <f>HYPERLINK("http://www.genecards.org/cgi-bin/carddisp.pl?gene=ZNF580","GeneCards")</f>
        <v>GeneCards</v>
      </c>
      <c r="D14527" s="1" t="str">
        <f>HYPERLINK("http://genome-euro.ucsc.edu/cgi-bin/hgTracks?position=220748_s_at","UCSC")</f>
        <v>UCSC</v>
      </c>
      <c r="E14527" s="1" t="str">
        <f>HYPERLINK("http://www.ncbi.nlm.nih.gov/gene/?term=ZNF580","NCBI")</f>
        <v>NCBI</v>
      </c>
      <c r="F14527">
        <v>0.56000000000000005</v>
      </c>
      <c r="G14527">
        <v>0.65</v>
      </c>
      <c r="H14527" s="1" t="str">
        <f>HYPERLINK("http://www.weizmann.ac.il/complex/compphys/software/geview/data/figures/220748_s_at.png","Figure")</f>
        <v>Figure</v>
      </c>
      <c r="I14527">
        <v>1.1399999999999999</v>
      </c>
      <c r="J14527">
        <v>0.64</v>
      </c>
      <c r="K14527">
        <v>0.99299999999999999</v>
      </c>
      <c r="L14527">
        <v>1</v>
      </c>
      <c r="M14527">
        <v>0.873</v>
      </c>
      <c r="N14527">
        <v>0.56000000000000005</v>
      </c>
    </row>
    <row r="14528" spans="1:14" x14ac:dyDescent="0.25">
      <c r="A14528" t="s">
        <v>24641</v>
      </c>
      <c r="B14528" t="s">
        <v>16593</v>
      </c>
      <c r="C14528" s="1" t="str">
        <f>HYPERLINK("http://www.genecards.org/cgi-bin/carddisp.pl?gene=C5orf4","GeneCards")</f>
        <v>GeneCards</v>
      </c>
      <c r="D14528" s="1" t="str">
        <f>HYPERLINK("http://genome-euro.ucsc.edu/cgi-bin/hgTracks?position=220751_s_at","UCSC")</f>
        <v>UCSC</v>
      </c>
      <c r="E14528" s="1" t="str">
        <f>HYPERLINK("http://www.ncbi.nlm.nih.gov/gene/?term=C5orf4","NCBI")</f>
        <v>NCBI</v>
      </c>
      <c r="F14528">
        <v>0.55000000000000004</v>
      </c>
      <c r="G14528">
        <v>0.65</v>
      </c>
      <c r="H14528" s="1" t="str">
        <f>HYPERLINK("http://www.weizmann.ac.il/complex/compphys/software/geview/data/figures/220751_s_at.png","Figure")</f>
        <v>Figure</v>
      </c>
      <c r="I14528">
        <v>1.03</v>
      </c>
      <c r="J14528">
        <v>0.95</v>
      </c>
      <c r="K14528">
        <v>0.94299999999999995</v>
      </c>
      <c r="L14528">
        <v>0.72</v>
      </c>
      <c r="M14528">
        <v>0.91900000000000004</v>
      </c>
      <c r="N14528">
        <v>0.56000000000000005</v>
      </c>
    </row>
    <row r="14529" spans="1:14" x14ac:dyDescent="0.25">
      <c r="A14529" t="s">
        <v>24642</v>
      </c>
      <c r="B14529" t="s">
        <v>24643</v>
      </c>
      <c r="C14529" s="1" t="str">
        <f>HYPERLINK("http://www.genecards.org/cgi-bin/carddisp.pl?gene=UBA6","GeneCards")</f>
        <v>GeneCards</v>
      </c>
      <c r="D14529" s="1" t="str">
        <f>HYPERLINK("http://genome-euro.ucsc.edu/cgi-bin/hgTracks?position=220869_at","UCSC")</f>
        <v>UCSC</v>
      </c>
      <c r="E14529" s="1" t="str">
        <f>HYPERLINK("http://www.ncbi.nlm.nih.gov/gene/?term=UBA6","NCBI")</f>
        <v>NCBI</v>
      </c>
      <c r="F14529">
        <v>0.56000000000000005</v>
      </c>
      <c r="G14529">
        <v>0.65</v>
      </c>
      <c r="H14529" s="1" t="str">
        <f>HYPERLINK("http://www.weizmann.ac.il/complex/compphys/software/geview/data/figures/220869_at.png","Figure")</f>
        <v>Figure</v>
      </c>
      <c r="I14529">
        <v>1</v>
      </c>
      <c r="J14529">
        <v>1</v>
      </c>
      <c r="K14529">
        <v>0.998</v>
      </c>
      <c r="L14529">
        <v>0.62</v>
      </c>
      <c r="M14529">
        <v>0.998</v>
      </c>
      <c r="N14529">
        <v>0.66</v>
      </c>
    </row>
    <row r="14530" spans="1:14" x14ac:dyDescent="0.25">
      <c r="A14530" t="s">
        <v>24644</v>
      </c>
      <c r="B14530" t="s">
        <v>24645</v>
      </c>
      <c r="C14530" s="1" t="str">
        <f>HYPERLINK("http://www.genecards.org/cgi-bin/carddisp.pl?gene=PGLYRP4","GeneCards")</f>
        <v>GeneCards</v>
      </c>
      <c r="D14530" s="1" t="str">
        <f>HYPERLINK("http://genome-euro.ucsc.edu/cgi-bin/hgTracks?position=220944_at","UCSC")</f>
        <v>UCSC</v>
      </c>
      <c r="E14530" s="1" t="str">
        <f>HYPERLINK("http://www.ncbi.nlm.nih.gov/gene/?term=PGLYRP4","NCBI")</f>
        <v>NCBI</v>
      </c>
      <c r="F14530">
        <v>0.56000000000000005</v>
      </c>
      <c r="G14530">
        <v>0.65</v>
      </c>
      <c r="H14530" s="1" t="str">
        <f>HYPERLINK("http://www.weizmann.ac.il/complex/compphys/software/geview/data/figures/220944_at.png","Figure")</f>
        <v>Figure</v>
      </c>
      <c r="I14530">
        <v>1.04</v>
      </c>
      <c r="J14530">
        <v>0.89</v>
      </c>
      <c r="K14530">
        <v>0.95799999999999996</v>
      </c>
      <c r="L14530">
        <v>0.8</v>
      </c>
      <c r="M14530">
        <v>0.92500000000000004</v>
      </c>
      <c r="N14530">
        <v>0.54</v>
      </c>
    </row>
    <row r="14531" spans="1:14" x14ac:dyDescent="0.25">
      <c r="A14531" t="s">
        <v>24646</v>
      </c>
      <c r="B14531" t="s">
        <v>24647</v>
      </c>
      <c r="C14531" s="1" t="str">
        <f>HYPERLINK("http://www.genecards.org/cgi-bin/carddisp.pl?gene=ZNF696","GeneCards")</f>
        <v>GeneCards</v>
      </c>
      <c r="D14531" s="1" t="str">
        <f>HYPERLINK("http://genome-euro.ucsc.edu/cgi-bin/hgTracks?position=220967_s_at","UCSC")</f>
        <v>UCSC</v>
      </c>
      <c r="E14531" s="1" t="str">
        <f>HYPERLINK("http://www.ncbi.nlm.nih.gov/gene/?term=ZNF696","NCBI")</f>
        <v>NCBI</v>
      </c>
      <c r="F14531">
        <v>0.56000000000000005</v>
      </c>
      <c r="G14531">
        <v>0.65</v>
      </c>
      <c r="H14531" s="1" t="str">
        <f>HYPERLINK("http://www.weizmann.ac.il/complex/compphys/software/geview/data/figures/220967_s_at.png","Figure")</f>
        <v>Figure</v>
      </c>
      <c r="I14531">
        <v>1</v>
      </c>
      <c r="J14531">
        <v>1</v>
      </c>
      <c r="K14531">
        <v>0.98199999999999998</v>
      </c>
      <c r="L14531">
        <v>0.62</v>
      </c>
      <c r="M14531">
        <v>0.98199999999999998</v>
      </c>
      <c r="N14531">
        <v>0.66</v>
      </c>
    </row>
    <row r="14532" spans="1:14" x14ac:dyDescent="0.25">
      <c r="A14532" t="s">
        <v>24648</v>
      </c>
      <c r="B14532" t="s">
        <v>24649</v>
      </c>
      <c r="C14532" s="1" t="str">
        <f>HYPERLINK("http://www.genecards.org/cgi-bin/carddisp.pl?gene=CDADC1","GeneCards")</f>
        <v>GeneCards</v>
      </c>
      <c r="D14532" s="1" t="str">
        <f>HYPERLINK("http://genome-euro.ucsc.edu/cgi-bin/hgTracks?position=221015_s_at","UCSC")</f>
        <v>UCSC</v>
      </c>
      <c r="E14532" s="1" t="str">
        <f>HYPERLINK("http://www.ncbi.nlm.nih.gov/gene/?term=CDADC1","NCBI")</f>
        <v>NCBI</v>
      </c>
      <c r="F14532">
        <v>0.56000000000000005</v>
      </c>
      <c r="G14532">
        <v>0.65</v>
      </c>
      <c r="H14532" s="1" t="str">
        <f>HYPERLINK("http://www.weizmann.ac.il/complex/compphys/software/geview/data/figures/221015_s_at.png","Figure")</f>
        <v>Figure</v>
      </c>
      <c r="I14532">
        <v>1</v>
      </c>
      <c r="J14532">
        <v>1</v>
      </c>
      <c r="K14532">
        <v>0.997</v>
      </c>
      <c r="L14532">
        <v>0.62</v>
      </c>
      <c r="M14532">
        <v>0.997</v>
      </c>
      <c r="N14532">
        <v>0.66</v>
      </c>
    </row>
    <row r="14533" spans="1:14" x14ac:dyDescent="0.25">
      <c r="A14533" t="s">
        <v>24650</v>
      </c>
      <c r="B14533" t="s">
        <v>24651</v>
      </c>
      <c r="C14533" s="1" t="str">
        <f>HYPERLINK("http://www.genecards.org/cgi-bin/carddisp.pl?gene=IKZF3","GeneCards")</f>
        <v>GeneCards</v>
      </c>
      <c r="D14533" s="1" t="str">
        <f>HYPERLINK("http://genome-euro.ucsc.edu/cgi-bin/hgTracks?position=221092_at","UCSC")</f>
        <v>UCSC</v>
      </c>
      <c r="E14533" s="1" t="str">
        <f>HYPERLINK("http://www.ncbi.nlm.nih.gov/gene/?term=IKZF3","NCBI")</f>
        <v>NCBI</v>
      </c>
      <c r="F14533">
        <v>0.56000000000000005</v>
      </c>
      <c r="G14533">
        <v>0.65</v>
      </c>
      <c r="H14533" s="1" t="str">
        <f>HYPERLINK("http://www.weizmann.ac.il/complex/compphys/software/geview/data/figures/221092_at.png","Figure")</f>
        <v>Figure</v>
      </c>
      <c r="I14533">
        <v>1</v>
      </c>
      <c r="J14533">
        <v>1</v>
      </c>
      <c r="K14533">
        <v>0.996</v>
      </c>
      <c r="L14533">
        <v>0.62</v>
      </c>
      <c r="M14533">
        <v>0.996</v>
      </c>
      <c r="N14533">
        <v>0.66</v>
      </c>
    </row>
    <row r="14534" spans="1:14" x14ac:dyDescent="0.25">
      <c r="A14534" t="s">
        <v>24652</v>
      </c>
      <c r="B14534" t="s">
        <v>24653</v>
      </c>
      <c r="C14534" s="1" t="str">
        <f>HYPERLINK("http://www.genecards.org/cgi-bin/carddisp.pl?gene=CHRNA9","GeneCards")</f>
        <v>GeneCards</v>
      </c>
      <c r="D14534" s="1" t="str">
        <f>HYPERLINK("http://genome-euro.ucsc.edu/cgi-bin/hgTracks?position=221107_at","UCSC")</f>
        <v>UCSC</v>
      </c>
      <c r="E14534" s="1" t="str">
        <f>HYPERLINK("http://www.ncbi.nlm.nih.gov/gene/?term=CHRNA9","NCBI")</f>
        <v>NCBI</v>
      </c>
      <c r="F14534">
        <v>0.56000000000000005</v>
      </c>
      <c r="G14534">
        <v>0.65</v>
      </c>
      <c r="H14534" s="1" t="str">
        <f>HYPERLINK("http://www.weizmann.ac.il/complex/compphys/software/geview/data/figures/221107_at.png","Figure")</f>
        <v>Figure</v>
      </c>
      <c r="I14534">
        <v>1</v>
      </c>
      <c r="J14534">
        <v>1</v>
      </c>
      <c r="K14534">
        <v>0.98599999999999999</v>
      </c>
      <c r="L14534">
        <v>0.62</v>
      </c>
      <c r="M14534">
        <v>0.98599999999999999</v>
      </c>
      <c r="N14534">
        <v>0.66</v>
      </c>
    </row>
    <row r="14535" spans="1:14" x14ac:dyDescent="0.25">
      <c r="A14535" t="s">
        <v>24654</v>
      </c>
      <c r="B14535" t="s">
        <v>24655</v>
      </c>
      <c r="C14535" s="1" t="str">
        <f>HYPERLINK("http://www.genecards.org/cgi-bin/carddisp.pl?gene=C1orf56","GeneCards")</f>
        <v>GeneCards</v>
      </c>
      <c r="D14535" s="1" t="str">
        <f>HYPERLINK("http://genome-euro.ucsc.edu/cgi-bin/hgTracks?position=221222_s_at","UCSC")</f>
        <v>UCSC</v>
      </c>
      <c r="E14535" s="1" t="str">
        <f>HYPERLINK("http://www.ncbi.nlm.nih.gov/gene/?term=C1orf56","NCBI")</f>
        <v>NCBI</v>
      </c>
      <c r="F14535">
        <v>0.56000000000000005</v>
      </c>
      <c r="G14535">
        <v>0.65</v>
      </c>
      <c r="H14535" s="1" t="str">
        <f>HYPERLINK("http://www.weizmann.ac.il/complex/compphys/software/geview/data/figures/221222_s_at.png","Figure")</f>
        <v>Figure</v>
      </c>
      <c r="I14535">
        <v>1</v>
      </c>
      <c r="J14535">
        <v>1</v>
      </c>
      <c r="K14535">
        <v>0.997</v>
      </c>
      <c r="L14535">
        <v>0.62</v>
      </c>
      <c r="M14535">
        <v>0.997</v>
      </c>
      <c r="N14535">
        <v>0.66</v>
      </c>
    </row>
    <row r="14536" spans="1:14" x14ac:dyDescent="0.25">
      <c r="A14536" t="s">
        <v>24656</v>
      </c>
      <c r="B14536" t="s">
        <v>24657</v>
      </c>
      <c r="C14536" s="1" t="str">
        <f>HYPERLINK("http://www.genecards.org/cgi-bin/carddisp.pl?gene=DEF6","GeneCards")</f>
        <v>GeneCards</v>
      </c>
      <c r="D14536" s="1" t="str">
        <f>HYPERLINK("http://genome-euro.ucsc.edu/cgi-bin/hgTracks?position=221293_s_at","UCSC")</f>
        <v>UCSC</v>
      </c>
      <c r="E14536" s="1" t="str">
        <f>HYPERLINK("http://www.ncbi.nlm.nih.gov/gene/?term=DEF6","NCBI")</f>
        <v>NCBI</v>
      </c>
      <c r="F14536">
        <v>0.55000000000000004</v>
      </c>
      <c r="G14536">
        <v>0.65</v>
      </c>
      <c r="H14536" s="1" t="str">
        <f>HYPERLINK("http://www.weizmann.ac.il/complex/compphys/software/geview/data/figures/221293_s_at.png","Figure")</f>
        <v>Figure</v>
      </c>
      <c r="I14536">
        <v>0.876</v>
      </c>
      <c r="J14536">
        <v>0.52</v>
      </c>
      <c r="K14536">
        <v>0.93400000000000005</v>
      </c>
      <c r="L14536">
        <v>0.79</v>
      </c>
      <c r="M14536">
        <v>1.07</v>
      </c>
      <c r="N14536">
        <v>0.83</v>
      </c>
    </row>
    <row r="14537" spans="1:14" x14ac:dyDescent="0.25">
      <c r="A14537" t="s">
        <v>24658</v>
      </c>
      <c r="B14537" t="s">
        <v>24659</v>
      </c>
      <c r="C14537" s="1" t="str">
        <f>HYPERLINK("http://www.genecards.org/cgi-bin/carddisp.pl?gene=GPRC5D","GeneCards")</f>
        <v>GeneCards</v>
      </c>
      <c r="D14537" s="1" t="str">
        <f>HYPERLINK("http://genome-euro.ucsc.edu/cgi-bin/hgTracks?position=221297_at","UCSC")</f>
        <v>UCSC</v>
      </c>
      <c r="E14537" s="1" t="str">
        <f>HYPERLINK("http://www.ncbi.nlm.nih.gov/gene/?term=GPRC5D","NCBI")</f>
        <v>NCBI</v>
      </c>
      <c r="F14537">
        <v>0.55000000000000004</v>
      </c>
      <c r="G14537">
        <v>0.65</v>
      </c>
      <c r="H14537" s="1" t="str">
        <f>HYPERLINK("http://www.weizmann.ac.il/complex/compphys/software/geview/data/figures/221297_at.png","Figure")</f>
        <v>Figure</v>
      </c>
      <c r="I14537">
        <v>1.04</v>
      </c>
      <c r="J14537">
        <v>0.8</v>
      </c>
      <c r="K14537">
        <v>0.97399999999999998</v>
      </c>
      <c r="L14537">
        <v>0.89</v>
      </c>
      <c r="M14537">
        <v>0.93300000000000005</v>
      </c>
      <c r="N14537">
        <v>0.52</v>
      </c>
    </row>
    <row r="14538" spans="1:14" x14ac:dyDescent="0.25">
      <c r="A14538" t="s">
        <v>24660</v>
      </c>
      <c r="B14538" t="s">
        <v>24661</v>
      </c>
      <c r="C14538" s="1" t="str">
        <f>HYPERLINK("http://www.genecards.org/cgi-bin/carddisp.pl?gene=KCNIP1","GeneCards")</f>
        <v>GeneCards</v>
      </c>
      <c r="D14538" s="1" t="str">
        <f>HYPERLINK("http://genome-euro.ucsc.edu/cgi-bin/hgTracks?position=221307_at","UCSC")</f>
        <v>UCSC</v>
      </c>
      <c r="E14538" s="1" t="str">
        <f>HYPERLINK("http://www.ncbi.nlm.nih.gov/gene/?term=KCNIP1","NCBI")</f>
        <v>NCBI</v>
      </c>
      <c r="F14538">
        <v>0.56000000000000005</v>
      </c>
      <c r="G14538">
        <v>0.65</v>
      </c>
      <c r="H14538" s="1" t="str">
        <f>HYPERLINK("http://www.weizmann.ac.il/complex/compphys/software/geview/data/figures/221307_at.png","Figure")</f>
        <v>Figure</v>
      </c>
      <c r="I14538">
        <v>1</v>
      </c>
      <c r="J14538">
        <v>1</v>
      </c>
      <c r="K14538">
        <v>0.98399999999999999</v>
      </c>
      <c r="L14538">
        <v>0.62</v>
      </c>
      <c r="M14538">
        <v>0.98399999999999999</v>
      </c>
      <c r="N14538">
        <v>0.66</v>
      </c>
    </row>
    <row r="14539" spans="1:14" x14ac:dyDescent="0.25">
      <c r="A14539" t="s">
        <v>24662</v>
      </c>
      <c r="B14539" t="s">
        <v>24663</v>
      </c>
      <c r="C14539" s="1" t="str">
        <f>HYPERLINK("http://www.genecards.org/cgi-bin/carddisp.pl?gene=TAS2R8","GeneCards")</f>
        <v>GeneCards</v>
      </c>
      <c r="D14539" s="1" t="str">
        <f>HYPERLINK("http://genome-euro.ucsc.edu/cgi-bin/hgTracks?position=221398_at","UCSC")</f>
        <v>UCSC</v>
      </c>
      <c r="E14539" s="1" t="str">
        <f>HYPERLINK("http://www.ncbi.nlm.nih.gov/gene/?term=TAS2R8","NCBI")</f>
        <v>NCBI</v>
      </c>
      <c r="F14539">
        <v>0.55000000000000004</v>
      </c>
      <c r="G14539">
        <v>0.65</v>
      </c>
      <c r="H14539" s="1" t="str">
        <f>HYPERLINK("http://www.weizmann.ac.il/complex/compphys/software/geview/data/figures/221398_at.png","Figure")</f>
        <v>Figure</v>
      </c>
      <c r="I14539">
        <v>0.97899999999999998</v>
      </c>
      <c r="J14539">
        <v>0.53</v>
      </c>
      <c r="K14539">
        <v>0.98899999999999999</v>
      </c>
      <c r="L14539">
        <v>0.79</v>
      </c>
      <c r="M14539">
        <v>1.01</v>
      </c>
      <c r="N14539">
        <v>0.84</v>
      </c>
    </row>
    <row r="14540" spans="1:14" x14ac:dyDescent="0.25">
      <c r="A14540" t="s">
        <v>24664</v>
      </c>
      <c r="B14540" t="s">
        <v>24665</v>
      </c>
      <c r="C14540" s="1" t="str">
        <f>HYPERLINK("http://www.genecards.org/cgi-bin/carddisp.pl?gene=OR1A2","GeneCards")</f>
        <v>GeneCards</v>
      </c>
      <c r="D14540" s="1" t="str">
        <f>HYPERLINK("http://genome-euro.ucsc.edu/cgi-bin/hgTracks?position=221445_at","UCSC")</f>
        <v>UCSC</v>
      </c>
      <c r="E14540" s="1" t="str">
        <f>HYPERLINK("http://www.ncbi.nlm.nih.gov/gene/?term=OR1A2","NCBI")</f>
        <v>NCBI</v>
      </c>
      <c r="F14540">
        <v>0.56000000000000005</v>
      </c>
      <c r="G14540">
        <v>0.65</v>
      </c>
      <c r="H14540" s="1" t="str">
        <f>HYPERLINK("http://www.weizmann.ac.il/complex/compphys/software/geview/data/figures/221445_at.png","Figure")</f>
        <v>Figure</v>
      </c>
      <c r="I14540">
        <v>1</v>
      </c>
      <c r="J14540">
        <v>1</v>
      </c>
      <c r="K14540">
        <v>0.996</v>
      </c>
      <c r="L14540">
        <v>0.62</v>
      </c>
      <c r="M14540">
        <v>0.996</v>
      </c>
      <c r="N14540">
        <v>0.66</v>
      </c>
    </row>
    <row r="14541" spans="1:14" x14ac:dyDescent="0.25">
      <c r="A14541" t="s">
        <v>24666</v>
      </c>
      <c r="B14541" t="s">
        <v>24667</v>
      </c>
      <c r="C14541" s="1" t="str">
        <f>HYPERLINK("http://www.genecards.org/cgi-bin/carddisp.pl?gene=KLK15","GeneCards")</f>
        <v>GeneCards</v>
      </c>
      <c r="D14541" s="1" t="str">
        <f>HYPERLINK("http://genome-euro.ucsc.edu/cgi-bin/hgTracks?position=221462_x_at","UCSC")</f>
        <v>UCSC</v>
      </c>
      <c r="E14541" s="1" t="str">
        <f>HYPERLINK("http://www.ncbi.nlm.nih.gov/gene/?term=KLK15","NCBI")</f>
        <v>NCBI</v>
      </c>
      <c r="F14541">
        <v>0.56000000000000005</v>
      </c>
      <c r="G14541">
        <v>0.65</v>
      </c>
      <c r="H14541" s="1" t="str">
        <f>HYPERLINK("http://www.weizmann.ac.il/complex/compphys/software/geview/data/figures/221462_x_at.png","Figure")</f>
        <v>Figure</v>
      </c>
      <c r="I14541">
        <v>1.02</v>
      </c>
      <c r="J14541">
        <v>0.55000000000000004</v>
      </c>
      <c r="K14541">
        <v>1.01</v>
      </c>
      <c r="L14541">
        <v>0.72</v>
      </c>
      <c r="M14541">
        <v>0.99399999999999999</v>
      </c>
      <c r="N14541">
        <v>0.91</v>
      </c>
    </row>
    <row r="14542" spans="1:14" x14ac:dyDescent="0.25">
      <c r="A14542" t="s">
        <v>24668</v>
      </c>
      <c r="B14542" t="s">
        <v>24669</v>
      </c>
      <c r="C14542" s="1" t="str">
        <f>HYPERLINK("http://www.genecards.org/cgi-bin/carddisp.pl?gene=SOAT1","GeneCards")</f>
        <v>GeneCards</v>
      </c>
      <c r="D14542" s="1" t="str">
        <f>HYPERLINK("http://genome-euro.ucsc.edu/cgi-bin/hgTracks?position=221561_at","UCSC")</f>
        <v>UCSC</v>
      </c>
      <c r="E14542" s="1" t="str">
        <f>HYPERLINK("http://www.ncbi.nlm.nih.gov/gene/?term=SOAT1","NCBI")</f>
        <v>NCBI</v>
      </c>
      <c r="F14542">
        <v>0.56000000000000005</v>
      </c>
      <c r="G14542">
        <v>0.65</v>
      </c>
      <c r="H14542" s="1" t="str">
        <f>HYPERLINK("http://www.weizmann.ac.il/complex/compphys/software/geview/data/figures/221561_at.png","Figure")</f>
        <v>Figure</v>
      </c>
      <c r="I14542">
        <v>1</v>
      </c>
      <c r="J14542">
        <v>1</v>
      </c>
      <c r="K14542">
        <v>0.91200000000000003</v>
      </c>
      <c r="L14542">
        <v>0.62</v>
      </c>
      <c r="M14542">
        <v>0.91200000000000003</v>
      </c>
      <c r="N14542">
        <v>0.66</v>
      </c>
    </row>
    <row r="14543" spans="1:14" x14ac:dyDescent="0.25">
      <c r="A14543" t="s">
        <v>24670</v>
      </c>
      <c r="B14543" t="s">
        <v>16777</v>
      </c>
      <c r="C14543" s="1" t="str">
        <f>HYPERLINK("http://www.genecards.org/cgi-bin/carddisp.pl?gene=TBC1D8","GeneCards")</f>
        <v>GeneCards</v>
      </c>
      <c r="D14543" s="1" t="str">
        <f>HYPERLINK("http://genome-euro.ucsc.edu/cgi-bin/hgTracks?position=221592_at","UCSC")</f>
        <v>UCSC</v>
      </c>
      <c r="E14543" s="1" t="str">
        <f>HYPERLINK("http://www.ncbi.nlm.nih.gov/gene/?term=TBC1D8","NCBI")</f>
        <v>NCBI</v>
      </c>
      <c r="F14543">
        <v>0.56000000000000005</v>
      </c>
      <c r="G14543">
        <v>0.65</v>
      </c>
      <c r="H14543" s="1" t="str">
        <f>HYPERLINK("http://www.weizmann.ac.il/complex/compphys/software/geview/data/figures/221592_at.png","Figure")</f>
        <v>Figure</v>
      </c>
      <c r="I14543">
        <v>1</v>
      </c>
      <c r="J14543">
        <v>1</v>
      </c>
      <c r="K14543">
        <v>0.98599999999999999</v>
      </c>
      <c r="L14543">
        <v>0.62</v>
      </c>
      <c r="M14543">
        <v>0.98599999999999999</v>
      </c>
      <c r="N14543">
        <v>0.66</v>
      </c>
    </row>
    <row r="14544" spans="1:14" x14ac:dyDescent="0.25">
      <c r="A14544" t="s">
        <v>24671</v>
      </c>
      <c r="B14544" t="s">
        <v>24672</v>
      </c>
      <c r="C14544" s="1" t="str">
        <f>HYPERLINK("http://www.genecards.org/cgi-bin/carddisp.pl?gene=IL21R","GeneCards")</f>
        <v>GeneCards</v>
      </c>
      <c r="D14544" s="1" t="str">
        <f>HYPERLINK("http://genome-euro.ucsc.edu/cgi-bin/hgTracks?position=221658_s_at","UCSC")</f>
        <v>UCSC</v>
      </c>
      <c r="E14544" s="1" t="str">
        <f>HYPERLINK("http://www.ncbi.nlm.nih.gov/gene/?term=IL21R","NCBI")</f>
        <v>NCBI</v>
      </c>
      <c r="F14544">
        <v>0.55000000000000004</v>
      </c>
      <c r="G14544">
        <v>0.65</v>
      </c>
      <c r="H14544" s="1" t="str">
        <f>HYPERLINK("http://www.weizmann.ac.il/complex/compphys/software/geview/data/figures/221658_s_at.png","Figure")</f>
        <v>Figure</v>
      </c>
      <c r="I14544">
        <v>0.82899999999999996</v>
      </c>
      <c r="J14544">
        <v>0.54</v>
      </c>
      <c r="K14544">
        <v>0.95199999999999996</v>
      </c>
      <c r="L14544">
        <v>0.94</v>
      </c>
      <c r="M14544">
        <v>1.1499999999999999</v>
      </c>
      <c r="N14544">
        <v>0.68</v>
      </c>
    </row>
    <row r="14545" spans="1:14" x14ac:dyDescent="0.25">
      <c r="A14545" t="s">
        <v>24673</v>
      </c>
      <c r="B14545" t="s">
        <v>19871</v>
      </c>
      <c r="C14545" s="1" t="str">
        <f>HYPERLINK("http://www.genecards.org/cgi-bin/carddisp.pl?gene=USE1","GeneCards")</f>
        <v>GeneCards</v>
      </c>
      <c r="D14545" s="1" t="str">
        <f>HYPERLINK("http://genome-euro.ucsc.edu/cgi-bin/hgTracks?position=221706_s_at","UCSC")</f>
        <v>UCSC</v>
      </c>
      <c r="E14545" s="1" t="str">
        <f>HYPERLINK("http://www.ncbi.nlm.nih.gov/gene/?term=USE1","NCBI")</f>
        <v>NCBI</v>
      </c>
      <c r="F14545">
        <v>0.56000000000000005</v>
      </c>
      <c r="G14545">
        <v>0.65</v>
      </c>
      <c r="H14545" s="1" t="str">
        <f>HYPERLINK("http://www.weizmann.ac.il/complex/compphys/software/geview/data/figures/221706_s_at.png","Figure")</f>
        <v>Figure</v>
      </c>
      <c r="I14545">
        <v>0.99299999999999999</v>
      </c>
      <c r="J14545">
        <v>1</v>
      </c>
      <c r="K14545">
        <v>1.1000000000000001</v>
      </c>
      <c r="L14545">
        <v>0.64</v>
      </c>
      <c r="M14545">
        <v>1.1000000000000001</v>
      </c>
      <c r="N14545">
        <v>0.64</v>
      </c>
    </row>
    <row r="14546" spans="1:14" x14ac:dyDescent="0.25">
      <c r="A14546" t="s">
        <v>24674</v>
      </c>
      <c r="B14546" t="s">
        <v>24675</v>
      </c>
      <c r="C14546" s="1" t="str">
        <f>HYPERLINK("http://www.genecards.org/cgi-bin/carddisp.pl?gene=NRBF2","GeneCards")</f>
        <v>GeneCards</v>
      </c>
      <c r="D14546" s="1" t="str">
        <f>HYPERLINK("http://genome-euro.ucsc.edu/cgi-bin/hgTracks?position=221803_s_at","UCSC")</f>
        <v>UCSC</v>
      </c>
      <c r="E14546" s="1" t="str">
        <f>HYPERLINK("http://www.ncbi.nlm.nih.gov/gene/?term=NRBF2","NCBI")</f>
        <v>NCBI</v>
      </c>
      <c r="F14546">
        <v>0.56000000000000005</v>
      </c>
      <c r="G14546">
        <v>0.65</v>
      </c>
      <c r="H14546" s="1" t="str">
        <f>HYPERLINK("http://www.weizmann.ac.il/complex/compphys/software/geview/data/figures/221803_s_at.png","Figure")</f>
        <v>Figure</v>
      </c>
      <c r="I14546">
        <v>1</v>
      </c>
      <c r="J14546">
        <v>1</v>
      </c>
      <c r="K14546">
        <v>0.94899999999999995</v>
      </c>
      <c r="L14546">
        <v>0.62</v>
      </c>
      <c r="M14546">
        <v>0.94899999999999995</v>
      </c>
      <c r="N14546">
        <v>0.66</v>
      </c>
    </row>
    <row r="14547" spans="1:14" x14ac:dyDescent="0.25">
      <c r="A14547" t="s">
        <v>24676</v>
      </c>
      <c r="B14547" t="s">
        <v>23887</v>
      </c>
      <c r="C14547" s="1" t="str">
        <f>HYPERLINK("http://www.genecards.org/cgi-bin/carddisp.pl?gene=UTP18","GeneCards")</f>
        <v>GeneCards</v>
      </c>
      <c r="D14547" s="1" t="str">
        <f>HYPERLINK("http://genome-euro.ucsc.edu/cgi-bin/hgTracks?position=222038_s_at","UCSC")</f>
        <v>UCSC</v>
      </c>
      <c r="E14547" s="1" t="str">
        <f>HYPERLINK("http://www.ncbi.nlm.nih.gov/gene/?term=UTP18","NCBI")</f>
        <v>NCBI</v>
      </c>
      <c r="F14547">
        <v>0.56000000000000005</v>
      </c>
      <c r="G14547">
        <v>0.65</v>
      </c>
      <c r="H14547" s="1" t="str">
        <f>HYPERLINK("http://www.weizmann.ac.il/complex/compphys/software/geview/data/figures/222038_s_at.png","Figure")</f>
        <v>Figure</v>
      </c>
      <c r="I14547">
        <v>1</v>
      </c>
      <c r="J14547">
        <v>1</v>
      </c>
      <c r="K14547">
        <v>0.997</v>
      </c>
      <c r="L14547">
        <v>0.62</v>
      </c>
      <c r="M14547">
        <v>0.997</v>
      </c>
      <c r="N14547">
        <v>0.66</v>
      </c>
    </row>
    <row r="14548" spans="1:14" x14ac:dyDescent="0.25">
      <c r="A14548" t="s">
        <v>24677</v>
      </c>
      <c r="B14548" t="s">
        <v>10952</v>
      </c>
      <c r="C14548" s="1" t="str">
        <f>HYPERLINK("http://www.genecards.org/cgi-bin/carddisp.pl?gene=PDE3B","GeneCards")</f>
        <v>GeneCards</v>
      </c>
      <c r="D14548" s="1" t="str">
        <f>HYPERLINK("http://genome-euro.ucsc.edu/cgi-bin/hgTracks?position=222317_at","UCSC")</f>
        <v>UCSC</v>
      </c>
      <c r="E14548" s="1" t="str">
        <f>HYPERLINK("http://www.ncbi.nlm.nih.gov/gene/?term=PDE3B","NCBI")</f>
        <v>NCBI</v>
      </c>
      <c r="F14548">
        <v>0.56000000000000005</v>
      </c>
      <c r="G14548">
        <v>0.65</v>
      </c>
      <c r="H14548" s="1" t="str">
        <f>HYPERLINK("http://www.weizmann.ac.il/complex/compphys/software/geview/data/figures/222317_at.png","Figure")</f>
        <v>Figure</v>
      </c>
      <c r="I14548">
        <v>1</v>
      </c>
      <c r="J14548">
        <v>1</v>
      </c>
      <c r="K14548">
        <v>0.94099999999999995</v>
      </c>
      <c r="L14548">
        <v>0.62</v>
      </c>
      <c r="M14548">
        <v>0.94099999999999995</v>
      </c>
      <c r="N14548">
        <v>0.66</v>
      </c>
    </row>
    <row r="14549" spans="1:14" x14ac:dyDescent="0.25">
      <c r="A14549" t="s">
        <v>24678</v>
      </c>
      <c r="B14549" t="s">
        <v>15279</v>
      </c>
      <c r="C14549" s="1" t="str">
        <f>HYPERLINK("http://www.genecards.org/cgi-bin/carddisp.pl?gene=NUP205","GeneCards")</f>
        <v>GeneCards</v>
      </c>
      <c r="D14549" s="1" t="str">
        <f>HYPERLINK("http://genome-euro.ucsc.edu/cgi-bin/hgTracks?position=222382_x_at","UCSC")</f>
        <v>UCSC</v>
      </c>
      <c r="E14549" s="1" t="str">
        <f>HYPERLINK("http://www.ncbi.nlm.nih.gov/gene/?term=NUP205","NCBI")</f>
        <v>NCBI</v>
      </c>
      <c r="F14549">
        <v>0.56000000000000005</v>
      </c>
      <c r="G14549">
        <v>0.65</v>
      </c>
      <c r="H14549" s="1" t="str">
        <f>HYPERLINK("http://www.weizmann.ac.il/complex/compphys/software/geview/data/figures/222382_x_at.png","Figure")</f>
        <v>Figure</v>
      </c>
      <c r="I14549">
        <v>1</v>
      </c>
      <c r="J14549">
        <v>1</v>
      </c>
      <c r="K14549">
        <v>0.97699999999999998</v>
      </c>
      <c r="L14549">
        <v>0.62</v>
      </c>
      <c r="M14549">
        <v>0.97699999999999998</v>
      </c>
      <c r="N14549">
        <v>0.66</v>
      </c>
    </row>
    <row r="14550" spans="1:14" x14ac:dyDescent="0.25">
      <c r="A14550" t="s">
        <v>24679</v>
      </c>
      <c r="B14550" t="s">
        <v>24114</v>
      </c>
      <c r="C14550" s="1" t="str">
        <f>HYPERLINK("http://www.genecards.org/cgi-bin/carddisp.pl?gene=MARCKS","GeneCards")</f>
        <v>GeneCards</v>
      </c>
      <c r="D14550" s="1" t="str">
        <f>HYPERLINK("http://genome-euro.ucsc.edu/cgi-bin/hgTracks?position=201669_s_at","UCSC")</f>
        <v>UCSC</v>
      </c>
      <c r="E14550" s="1" t="str">
        <f>HYPERLINK("http://www.ncbi.nlm.nih.gov/gene/?term=MARCKS","NCBI")</f>
        <v>NCBI</v>
      </c>
      <c r="F14550">
        <v>0.56000000000000005</v>
      </c>
      <c r="G14550">
        <v>0.65</v>
      </c>
      <c r="H14550" s="1" t="str">
        <f>HYPERLINK("http://www.weizmann.ac.il/complex/compphys/software/geview/data/figures/201669_s_at.png","Figure")</f>
        <v>Figure</v>
      </c>
      <c r="I14550">
        <v>0.57699999999999996</v>
      </c>
      <c r="J14550">
        <v>0.53</v>
      </c>
      <c r="K14550">
        <v>0.8</v>
      </c>
      <c r="L14550">
        <v>0.87</v>
      </c>
      <c r="M14550">
        <v>1.39</v>
      </c>
      <c r="N14550">
        <v>0.77</v>
      </c>
    </row>
    <row r="14551" spans="1:14" x14ac:dyDescent="0.25">
      <c r="A14551" t="s">
        <v>24680</v>
      </c>
      <c r="B14551" t="s">
        <v>24681</v>
      </c>
      <c r="C14551" s="1" t="str">
        <f>HYPERLINK("http://www.genecards.org/cgi-bin/carddisp.pl?gene=SPTLC1","GeneCards")</f>
        <v>GeneCards</v>
      </c>
      <c r="D14551" s="1" t="str">
        <f>HYPERLINK("http://genome-euro.ucsc.edu/cgi-bin/hgTracks?position=202277_at","UCSC")</f>
        <v>UCSC</v>
      </c>
      <c r="E14551" s="1" t="str">
        <f>HYPERLINK("http://www.ncbi.nlm.nih.gov/gene/?term=SPTLC1","NCBI")</f>
        <v>NCBI</v>
      </c>
      <c r="F14551">
        <v>0.56000000000000005</v>
      </c>
      <c r="G14551">
        <v>0.65</v>
      </c>
      <c r="H14551" s="1" t="str">
        <f>HYPERLINK("http://www.weizmann.ac.il/complex/compphys/software/geview/data/figures/202277_at.png","Figure")</f>
        <v>Figure</v>
      </c>
      <c r="I14551">
        <v>0.96699999999999997</v>
      </c>
      <c r="J14551">
        <v>0.99</v>
      </c>
      <c r="K14551">
        <v>0.81799999999999995</v>
      </c>
      <c r="L14551">
        <v>0.57999999999999996</v>
      </c>
      <c r="M14551">
        <v>0.84599999999999997</v>
      </c>
      <c r="N14551">
        <v>0.71</v>
      </c>
    </row>
    <row r="14552" spans="1:14" x14ac:dyDescent="0.25">
      <c r="A14552" t="s">
        <v>24682</v>
      </c>
      <c r="B14552" t="s">
        <v>24683</v>
      </c>
      <c r="C14552" s="1" t="str">
        <f>HYPERLINK("http://www.genecards.org/cgi-bin/carddisp.pl?gene=KIR2DL3 /// KIR2DL4 /// KIR2DL5A","GeneCards")</f>
        <v>GeneCards</v>
      </c>
      <c r="D14552" s="1" t="str">
        <f>HYPERLINK("http://genome-euro.ucsc.edu/cgi-bin/hgTracks?position=208426_x_at","UCSC")</f>
        <v>UCSC</v>
      </c>
      <c r="E14552" s="1" t="str">
        <f>HYPERLINK("http://www.ncbi.nlm.nih.gov/gene/?term=KIR2DL3 /// KIR2DL4 /// KIR2DL5A","NCBI")</f>
        <v>NCBI</v>
      </c>
      <c r="F14552">
        <v>0.56000000000000005</v>
      </c>
      <c r="G14552">
        <v>0.65</v>
      </c>
      <c r="H14552" s="1" t="str">
        <f>HYPERLINK("http://www.weizmann.ac.il/complex/compphys/software/geview/data/figures/208426_x_at.png","Figure")</f>
        <v>Figure</v>
      </c>
      <c r="I14552">
        <v>0.997</v>
      </c>
      <c r="J14552">
        <v>1</v>
      </c>
      <c r="K14552">
        <v>0.91200000000000003</v>
      </c>
      <c r="L14552">
        <v>0.61</v>
      </c>
      <c r="M14552">
        <v>0.91500000000000004</v>
      </c>
      <c r="N14552">
        <v>0.67</v>
      </c>
    </row>
    <row r="14553" spans="1:14" x14ac:dyDescent="0.25">
      <c r="A14553" t="s">
        <v>24684</v>
      </c>
      <c r="B14553" t="s">
        <v>7964</v>
      </c>
      <c r="C14553" s="1" t="str">
        <f>HYPERLINK("http://www.genecards.org/cgi-bin/carddisp.pl?gene=PIK3R1","GeneCards")</f>
        <v>GeneCards</v>
      </c>
      <c r="D14553" s="1" t="str">
        <f>HYPERLINK("http://genome-euro.ucsc.edu/cgi-bin/hgTracks?position=212239_at","UCSC")</f>
        <v>UCSC</v>
      </c>
      <c r="E14553" s="1" t="str">
        <f>HYPERLINK("http://www.ncbi.nlm.nih.gov/gene/?term=PIK3R1","NCBI")</f>
        <v>NCBI</v>
      </c>
      <c r="F14553">
        <v>0.56000000000000005</v>
      </c>
      <c r="G14553">
        <v>0.65</v>
      </c>
      <c r="H14553" s="1" t="str">
        <f>HYPERLINK("http://www.weizmann.ac.il/complex/compphys/software/geview/data/figures/212239_at.png","Figure")</f>
        <v>Figure</v>
      </c>
      <c r="I14553">
        <v>1.1599999999999999</v>
      </c>
      <c r="J14553">
        <v>0.71</v>
      </c>
      <c r="K14553">
        <v>0.96099999999999997</v>
      </c>
      <c r="L14553">
        <v>0.97</v>
      </c>
      <c r="M14553">
        <v>0.82799999999999996</v>
      </c>
      <c r="N14553">
        <v>0.54</v>
      </c>
    </row>
    <row r="14554" spans="1:14" x14ac:dyDescent="0.25">
      <c r="A14554" t="s">
        <v>24685</v>
      </c>
      <c r="B14554" t="s">
        <v>17143</v>
      </c>
      <c r="C14554" s="1" t="str">
        <f>HYPERLINK("http://www.genecards.org/cgi-bin/carddisp.pl?gene=AZIN1","GeneCards")</f>
        <v>GeneCards</v>
      </c>
      <c r="D14554" s="1" t="str">
        <f>HYPERLINK("http://genome-euro.ucsc.edu/cgi-bin/hgTracks?position=201772_at","UCSC")</f>
        <v>UCSC</v>
      </c>
      <c r="E14554" s="1" t="str">
        <f>HYPERLINK("http://www.ncbi.nlm.nih.gov/gene/?term=AZIN1","NCBI")</f>
        <v>NCBI</v>
      </c>
      <c r="F14554">
        <v>0.56000000000000005</v>
      </c>
      <c r="G14554">
        <v>0.65</v>
      </c>
      <c r="H14554" s="1" t="str">
        <f>HYPERLINK("http://www.weizmann.ac.il/complex/compphys/software/geview/data/figures/201772_at.png","Figure")</f>
        <v>Figure</v>
      </c>
      <c r="I14554">
        <v>0.75600000000000001</v>
      </c>
      <c r="J14554">
        <v>0.65</v>
      </c>
      <c r="K14554">
        <v>0.76400000000000001</v>
      </c>
      <c r="L14554">
        <v>0.59</v>
      </c>
      <c r="M14554">
        <v>1.01</v>
      </c>
      <c r="N14554">
        <v>1</v>
      </c>
    </row>
    <row r="14555" spans="1:14" x14ac:dyDescent="0.25">
      <c r="A14555" t="s">
        <v>24686</v>
      </c>
      <c r="B14555" t="s">
        <v>5104</v>
      </c>
      <c r="C14555" s="1" t="str">
        <f>HYPERLINK("http://www.genecards.org/cgi-bin/carddisp.pl?gene=VEZF1","GeneCards")</f>
        <v>GeneCards</v>
      </c>
      <c r="D14555" s="1" t="str">
        <f>HYPERLINK("http://genome-euro.ucsc.edu/cgi-bin/hgTracks?position=202171_at","UCSC")</f>
        <v>UCSC</v>
      </c>
      <c r="E14555" s="1" t="str">
        <f>HYPERLINK("http://www.ncbi.nlm.nih.gov/gene/?term=VEZF1","NCBI")</f>
        <v>NCBI</v>
      </c>
      <c r="F14555">
        <v>0.56000000000000005</v>
      </c>
      <c r="G14555">
        <v>0.65</v>
      </c>
      <c r="H14555" s="1" t="str">
        <f>HYPERLINK("http://www.weizmann.ac.il/complex/compphys/software/geview/data/figures/202171_at.png","Figure")</f>
        <v>Figure</v>
      </c>
      <c r="I14555">
        <v>1.1000000000000001</v>
      </c>
      <c r="J14555">
        <v>0.95</v>
      </c>
      <c r="K14555">
        <v>1.35</v>
      </c>
      <c r="L14555">
        <v>0.55000000000000004</v>
      </c>
      <c r="M14555">
        <v>1.22</v>
      </c>
      <c r="N14555">
        <v>0.78</v>
      </c>
    </row>
    <row r="14556" spans="1:14" x14ac:dyDescent="0.25">
      <c r="A14556" t="s">
        <v>24687</v>
      </c>
      <c r="B14556" t="s">
        <v>24688</v>
      </c>
      <c r="C14556" s="1" t="str">
        <f>HYPERLINK("http://www.genecards.org/cgi-bin/carddisp.pl?gene=CASP3","GeneCards")</f>
        <v>GeneCards</v>
      </c>
      <c r="D14556" s="1" t="str">
        <f>HYPERLINK("http://genome-euro.ucsc.edu/cgi-bin/hgTracks?position=202763_at","UCSC")</f>
        <v>UCSC</v>
      </c>
      <c r="E14556" s="1" t="str">
        <f>HYPERLINK("http://www.ncbi.nlm.nih.gov/gene/?term=CASP3","NCBI")</f>
        <v>NCBI</v>
      </c>
      <c r="F14556">
        <v>0.56000000000000005</v>
      </c>
      <c r="G14556">
        <v>0.65</v>
      </c>
      <c r="H14556" s="1" t="str">
        <f>HYPERLINK("http://www.weizmann.ac.il/complex/compphys/software/geview/data/figures/202763_at.png","Figure")</f>
        <v>Figure</v>
      </c>
      <c r="I14556">
        <v>0.84399999999999997</v>
      </c>
      <c r="J14556">
        <v>0.68</v>
      </c>
      <c r="K14556">
        <v>0.83299999999999996</v>
      </c>
      <c r="L14556">
        <v>0.56999999999999995</v>
      </c>
      <c r="M14556">
        <v>0.98799999999999999</v>
      </c>
      <c r="N14556">
        <v>1</v>
      </c>
    </row>
    <row r="14557" spans="1:14" x14ac:dyDescent="0.25">
      <c r="A14557" t="s">
        <v>24689</v>
      </c>
      <c r="B14557" t="s">
        <v>24690</v>
      </c>
      <c r="C14557" s="1" t="str">
        <f>HYPERLINK("http://www.genecards.org/cgi-bin/carddisp.pl?gene=KRT76","GeneCards")</f>
        <v>GeneCards</v>
      </c>
      <c r="D14557" s="1" t="str">
        <f>HYPERLINK("http://genome-euro.ucsc.edu/cgi-bin/hgTracks?position=207878_at","UCSC")</f>
        <v>UCSC</v>
      </c>
      <c r="E14557" s="1" t="str">
        <f>HYPERLINK("http://www.ncbi.nlm.nih.gov/gene/?term=KRT76","NCBI")</f>
        <v>NCBI</v>
      </c>
      <c r="F14557">
        <v>0.56000000000000005</v>
      </c>
      <c r="G14557">
        <v>0.65</v>
      </c>
      <c r="H14557" s="1" t="str">
        <f>HYPERLINK("http://www.weizmann.ac.il/complex/compphys/software/geview/data/figures/207878_at.png","Figure")</f>
        <v>Figure</v>
      </c>
      <c r="I14557">
        <v>1.05</v>
      </c>
      <c r="J14557">
        <v>0.88</v>
      </c>
      <c r="K14557">
        <v>0.95299999999999996</v>
      </c>
      <c r="L14557">
        <v>0.82</v>
      </c>
      <c r="M14557">
        <v>0.91100000000000003</v>
      </c>
      <c r="N14557">
        <v>0.54</v>
      </c>
    </row>
    <row r="14558" spans="1:14" x14ac:dyDescent="0.25">
      <c r="A14558" t="s">
        <v>24691</v>
      </c>
      <c r="B14558" t="s">
        <v>12052</v>
      </c>
      <c r="C14558" s="1" t="str">
        <f>HYPERLINK("http://www.genecards.org/cgi-bin/carddisp.pl?gene=VAPB","GeneCards")</f>
        <v>GeneCards</v>
      </c>
      <c r="D14558" s="1" t="str">
        <f>HYPERLINK("http://genome-euro.ucsc.edu/cgi-bin/hgTracks?position=202549_at","UCSC")</f>
        <v>UCSC</v>
      </c>
      <c r="E14558" s="1" t="str">
        <f>HYPERLINK("http://www.ncbi.nlm.nih.gov/gene/?term=VAPB","NCBI")</f>
        <v>NCBI</v>
      </c>
      <c r="F14558">
        <v>0.56000000000000005</v>
      </c>
      <c r="G14558">
        <v>0.65</v>
      </c>
      <c r="H14558" s="1" t="str">
        <f>HYPERLINK("http://www.weizmann.ac.il/complex/compphys/software/geview/data/figures/202549_at.png","Figure")</f>
        <v>Figure</v>
      </c>
      <c r="I14558">
        <v>1.07</v>
      </c>
      <c r="J14558">
        <v>0.56999999999999995</v>
      </c>
      <c r="K14558">
        <v>1.01</v>
      </c>
      <c r="L14558">
        <v>0.98</v>
      </c>
      <c r="M14558">
        <v>0.94199999999999995</v>
      </c>
      <c r="N14558">
        <v>0.63</v>
      </c>
    </row>
    <row r="14559" spans="1:14" x14ac:dyDescent="0.25">
      <c r="A14559" t="s">
        <v>24692</v>
      </c>
      <c r="B14559" t="s">
        <v>17783</v>
      </c>
      <c r="C14559" s="1" t="str">
        <f>HYPERLINK("http://www.genecards.org/cgi-bin/carddisp.pl?gene=ZBED4","GeneCards")</f>
        <v>GeneCards</v>
      </c>
      <c r="D14559" s="1" t="str">
        <f>HYPERLINK("http://genome-euro.ucsc.edu/cgi-bin/hgTracks?position=204799_at","UCSC")</f>
        <v>UCSC</v>
      </c>
      <c r="E14559" s="1" t="str">
        <f>HYPERLINK("http://www.ncbi.nlm.nih.gov/gene/?term=ZBED4","NCBI")</f>
        <v>NCBI</v>
      </c>
      <c r="F14559">
        <v>0.56000000000000005</v>
      </c>
      <c r="G14559">
        <v>0.65</v>
      </c>
      <c r="H14559" s="1" t="str">
        <f>HYPERLINK("http://www.weizmann.ac.il/complex/compphys/software/geview/data/figures/204799_at.png","Figure")</f>
        <v>Figure</v>
      </c>
      <c r="I14559">
        <v>0.80200000000000005</v>
      </c>
      <c r="J14559">
        <v>0.53</v>
      </c>
      <c r="K14559">
        <v>0.91800000000000004</v>
      </c>
      <c r="L14559">
        <v>0.88</v>
      </c>
      <c r="M14559">
        <v>1.1499999999999999</v>
      </c>
      <c r="N14559">
        <v>0.76</v>
      </c>
    </row>
    <row r="14560" spans="1:14" x14ac:dyDescent="0.25">
      <c r="A14560" t="s">
        <v>24693</v>
      </c>
      <c r="B14560" t="s">
        <v>24694</v>
      </c>
      <c r="C14560" s="1" t="str">
        <f>HYPERLINK("http://www.genecards.org/cgi-bin/carddisp.pl?gene=TARP /// TRGC2","GeneCards")</f>
        <v>GeneCards</v>
      </c>
      <c r="D14560" s="1" t="str">
        <f>HYPERLINK("http://genome-euro.ucsc.edu/cgi-bin/hgTracks?position=216920_s_at","UCSC")</f>
        <v>UCSC</v>
      </c>
      <c r="E14560" s="1" t="str">
        <f>HYPERLINK("http://www.ncbi.nlm.nih.gov/gene/?term=TARP /// TRGC2","NCBI")</f>
        <v>NCBI</v>
      </c>
      <c r="F14560">
        <v>0.56000000000000005</v>
      </c>
      <c r="G14560">
        <v>0.65</v>
      </c>
      <c r="H14560" s="1" t="str">
        <f>HYPERLINK("http://www.weizmann.ac.il/complex/compphys/software/geview/data/figures/216920_s_at.png","Figure")</f>
        <v>Figure</v>
      </c>
      <c r="I14560">
        <v>0.73899999999999999</v>
      </c>
      <c r="J14560">
        <v>0.69</v>
      </c>
      <c r="K14560">
        <v>0.72099999999999997</v>
      </c>
      <c r="L14560">
        <v>0.56999999999999995</v>
      </c>
      <c r="M14560">
        <v>0.97499999999999998</v>
      </c>
      <c r="N14560">
        <v>1</v>
      </c>
    </row>
    <row r="14561" spans="1:14" x14ac:dyDescent="0.25">
      <c r="A14561" t="s">
        <v>24695</v>
      </c>
      <c r="B14561" t="s">
        <v>24696</v>
      </c>
      <c r="C14561" s="1" t="str">
        <f>HYPERLINK("http://www.genecards.org/cgi-bin/carddisp.pl?gene=ZNF432","GeneCards")</f>
        <v>GeneCards</v>
      </c>
      <c r="D14561" s="1" t="str">
        <f>HYPERLINK("http://genome-euro.ucsc.edu/cgi-bin/hgTracks?position=219848_s_at","UCSC")</f>
        <v>UCSC</v>
      </c>
      <c r="E14561" s="1" t="str">
        <f>HYPERLINK("http://www.ncbi.nlm.nih.gov/gene/?term=ZNF432","NCBI")</f>
        <v>NCBI</v>
      </c>
      <c r="F14561">
        <v>0.56000000000000005</v>
      </c>
      <c r="G14561">
        <v>0.65</v>
      </c>
      <c r="H14561" s="1" t="str">
        <f>HYPERLINK("http://www.weizmann.ac.il/complex/compphys/software/geview/data/figures/219848_s_at.png","Figure")</f>
        <v>Figure</v>
      </c>
      <c r="I14561">
        <v>1.32</v>
      </c>
      <c r="J14561">
        <v>0.64</v>
      </c>
      <c r="K14561">
        <v>0.98499999999999999</v>
      </c>
      <c r="L14561">
        <v>1</v>
      </c>
      <c r="M14561">
        <v>0.747</v>
      </c>
      <c r="N14561">
        <v>0.56999999999999995</v>
      </c>
    </row>
    <row r="14562" spans="1:14" x14ac:dyDescent="0.25">
      <c r="A14562" t="s">
        <v>24697</v>
      </c>
      <c r="B14562" t="s">
        <v>24698</v>
      </c>
      <c r="C14562" s="1" t="str">
        <f>HYPERLINK("http://www.genecards.org/cgi-bin/carddisp.pl?gene=KDELR1","GeneCards")</f>
        <v>GeneCards</v>
      </c>
      <c r="D14562" s="1" t="str">
        <f>HYPERLINK("http://genome-euro.ucsc.edu/cgi-bin/hgTracks?position=200922_at","UCSC")</f>
        <v>UCSC</v>
      </c>
      <c r="E14562" s="1" t="str">
        <f>HYPERLINK("http://www.ncbi.nlm.nih.gov/gene/?term=KDELR1","NCBI")</f>
        <v>NCBI</v>
      </c>
      <c r="F14562">
        <v>0.56000000000000005</v>
      </c>
      <c r="G14562">
        <v>0.65</v>
      </c>
      <c r="H14562" s="1" t="str">
        <f>HYPERLINK("http://www.weizmann.ac.il/complex/compphys/software/geview/data/figures/200922_at.png","Figure")</f>
        <v>Figure</v>
      </c>
      <c r="I14562">
        <v>1.03</v>
      </c>
      <c r="J14562">
        <v>0.83</v>
      </c>
      <c r="K14562">
        <v>0.97599999999999998</v>
      </c>
      <c r="L14562">
        <v>0.88</v>
      </c>
      <c r="M14562">
        <v>0.94399999999999995</v>
      </c>
      <c r="N14562">
        <v>0.53</v>
      </c>
    </row>
    <row r="14563" spans="1:14" x14ac:dyDescent="0.25">
      <c r="A14563" t="s">
        <v>24699</v>
      </c>
      <c r="B14563" t="s">
        <v>24700</v>
      </c>
      <c r="C14563" s="1" t="str">
        <f>HYPERLINK("http://www.genecards.org/cgi-bin/carddisp.pl?gene=IL32","GeneCards")</f>
        <v>GeneCards</v>
      </c>
      <c r="D14563" s="1" t="str">
        <f>HYPERLINK("http://genome-euro.ucsc.edu/cgi-bin/hgTracks?position=203828_s_at","UCSC")</f>
        <v>UCSC</v>
      </c>
      <c r="E14563" s="1" t="str">
        <f>HYPERLINK("http://www.ncbi.nlm.nih.gov/gene/?term=IL32","NCBI")</f>
        <v>NCBI</v>
      </c>
      <c r="F14563">
        <v>0.56000000000000005</v>
      </c>
      <c r="G14563">
        <v>0.65</v>
      </c>
      <c r="H14563" s="1" t="str">
        <f>HYPERLINK("http://www.weizmann.ac.il/complex/compphys/software/geview/data/figures/203828_s_at.png","Figure")</f>
        <v>Figure</v>
      </c>
      <c r="I14563">
        <v>0.93899999999999995</v>
      </c>
      <c r="J14563">
        <v>0.79</v>
      </c>
      <c r="K14563">
        <v>1.04</v>
      </c>
      <c r="L14563">
        <v>0.9</v>
      </c>
      <c r="M14563">
        <v>1.1000000000000001</v>
      </c>
      <c r="N14563">
        <v>0.53</v>
      </c>
    </row>
    <row r="14564" spans="1:14" x14ac:dyDescent="0.25">
      <c r="A14564" t="s">
        <v>24701</v>
      </c>
      <c r="B14564" t="s">
        <v>24702</v>
      </c>
      <c r="C14564" s="1" t="str">
        <f>HYPERLINK("http://www.genecards.org/cgi-bin/carddisp.pl?gene=GSR","GeneCards")</f>
        <v>GeneCards</v>
      </c>
      <c r="D14564" s="1" t="str">
        <f>HYPERLINK("http://genome-euro.ucsc.edu/cgi-bin/hgTracks?position=205770_at","UCSC")</f>
        <v>UCSC</v>
      </c>
      <c r="E14564" s="1" t="str">
        <f>HYPERLINK("http://www.ncbi.nlm.nih.gov/gene/?term=GSR","NCBI")</f>
        <v>NCBI</v>
      </c>
      <c r="F14564">
        <v>0.56000000000000005</v>
      </c>
      <c r="G14564">
        <v>0.65</v>
      </c>
      <c r="H14564" s="1" t="str">
        <f>HYPERLINK("http://www.weizmann.ac.il/complex/compphys/software/geview/data/figures/205770_at.png","Figure")</f>
        <v>Figure</v>
      </c>
      <c r="I14564">
        <v>0.91</v>
      </c>
      <c r="J14564">
        <v>0.7</v>
      </c>
      <c r="K14564">
        <v>1.02</v>
      </c>
      <c r="L14564">
        <v>0.97</v>
      </c>
      <c r="M14564">
        <v>1.1200000000000001</v>
      </c>
      <c r="N14564">
        <v>0.54</v>
      </c>
    </row>
    <row r="14565" spans="1:14" x14ac:dyDescent="0.25">
      <c r="A14565" t="s">
        <v>24703</v>
      </c>
      <c r="B14565" t="s">
        <v>16443</v>
      </c>
      <c r="C14565" s="1" t="str">
        <f>HYPERLINK("http://www.genecards.org/cgi-bin/carddisp.pl?gene=ACRV1","GeneCards")</f>
        <v>GeneCards</v>
      </c>
      <c r="D14565" s="1" t="str">
        <f>HYPERLINK("http://genome-euro.ucsc.edu/cgi-bin/hgTracks?position=207973_x_at","UCSC")</f>
        <v>UCSC</v>
      </c>
      <c r="E14565" s="1" t="str">
        <f>HYPERLINK("http://www.ncbi.nlm.nih.gov/gene/?term=ACRV1","NCBI")</f>
        <v>NCBI</v>
      </c>
      <c r="F14565">
        <v>0.56000000000000005</v>
      </c>
      <c r="G14565">
        <v>0.65</v>
      </c>
      <c r="H14565" s="1" t="str">
        <f>HYPERLINK("http://www.weizmann.ac.il/complex/compphys/software/geview/data/figures/207973_x_at.png","Figure")</f>
        <v>Figure</v>
      </c>
      <c r="I14565">
        <v>0.95599999999999996</v>
      </c>
      <c r="J14565">
        <v>0.71</v>
      </c>
      <c r="K14565">
        <v>0.94899999999999995</v>
      </c>
      <c r="L14565">
        <v>0.56000000000000005</v>
      </c>
      <c r="M14565">
        <v>0.99299999999999999</v>
      </c>
      <c r="N14565">
        <v>0.99</v>
      </c>
    </row>
    <row r="14566" spans="1:14" x14ac:dyDescent="0.25">
      <c r="A14566" t="s">
        <v>24704</v>
      </c>
      <c r="B14566" t="s">
        <v>24705</v>
      </c>
      <c r="C14566" s="1" t="str">
        <f>HYPERLINK("http://www.genecards.org/cgi-bin/carddisp.pl?gene=SEZ6L2","GeneCards")</f>
        <v>GeneCards</v>
      </c>
      <c r="D14566" s="1" t="str">
        <f>HYPERLINK("http://genome-euro.ucsc.edu/cgi-bin/hgTracks?position=218720_x_at","UCSC")</f>
        <v>UCSC</v>
      </c>
      <c r="E14566" s="1" t="str">
        <f>HYPERLINK("http://www.ncbi.nlm.nih.gov/gene/?term=SEZ6L2","NCBI")</f>
        <v>NCBI</v>
      </c>
      <c r="F14566">
        <v>0.56000000000000005</v>
      </c>
      <c r="G14566">
        <v>0.65</v>
      </c>
      <c r="H14566" s="1" t="str">
        <f>HYPERLINK("http://www.weizmann.ac.il/complex/compphys/software/geview/data/figures/218720_x_at.png","Figure")</f>
        <v>Figure</v>
      </c>
      <c r="I14566">
        <v>0.96499999999999997</v>
      </c>
      <c r="J14566">
        <v>0.68</v>
      </c>
      <c r="K14566">
        <v>0.96299999999999997</v>
      </c>
      <c r="L14566">
        <v>0.56999999999999995</v>
      </c>
      <c r="M14566">
        <v>0.998</v>
      </c>
      <c r="N14566">
        <v>1</v>
      </c>
    </row>
    <row r="14567" spans="1:14" x14ac:dyDescent="0.25">
      <c r="A14567" t="s">
        <v>24706</v>
      </c>
      <c r="B14567" t="s">
        <v>24707</v>
      </c>
      <c r="C14567" s="1" t="str">
        <f>HYPERLINK("http://www.genecards.org/cgi-bin/carddisp.pl?gene=BFAR","GeneCards")</f>
        <v>GeneCards</v>
      </c>
      <c r="D14567" s="1" t="str">
        <f>HYPERLINK("http://genome-euro.ucsc.edu/cgi-bin/hgTracks?position=218056_at","UCSC")</f>
        <v>UCSC</v>
      </c>
      <c r="E14567" s="1" t="str">
        <f>HYPERLINK("http://www.ncbi.nlm.nih.gov/gene/?term=BFAR","NCBI")</f>
        <v>NCBI</v>
      </c>
      <c r="F14567">
        <v>0.56000000000000005</v>
      </c>
      <c r="G14567">
        <v>0.65</v>
      </c>
      <c r="H14567" s="1" t="str">
        <f>HYPERLINK("http://www.weizmann.ac.il/complex/compphys/software/geview/data/figures/218056_at.png","Figure")</f>
        <v>Figure</v>
      </c>
      <c r="I14567">
        <v>0.94099999999999995</v>
      </c>
      <c r="J14567">
        <v>0.85</v>
      </c>
      <c r="K14567">
        <v>1.05</v>
      </c>
      <c r="L14567">
        <v>0.85</v>
      </c>
      <c r="M14567">
        <v>1.1200000000000001</v>
      </c>
      <c r="N14567">
        <v>0.54</v>
      </c>
    </row>
    <row r="14568" spans="1:14" x14ac:dyDescent="0.25">
      <c r="A14568" t="s">
        <v>24708</v>
      </c>
      <c r="B14568" t="s">
        <v>24709</v>
      </c>
      <c r="C14568" s="1" t="str">
        <f>HYPERLINK("http://www.genecards.org/cgi-bin/carddisp.pl?gene=UBAC1","GeneCards")</f>
        <v>GeneCards</v>
      </c>
      <c r="D14568" s="1" t="str">
        <f>HYPERLINK("http://genome-euro.ucsc.edu/cgi-bin/hgTracks?position=202151_s_at","UCSC")</f>
        <v>UCSC</v>
      </c>
      <c r="E14568" s="1" t="str">
        <f>HYPERLINK("http://www.ncbi.nlm.nih.gov/gene/?term=UBAC1","NCBI")</f>
        <v>NCBI</v>
      </c>
      <c r="F14568">
        <v>0.56000000000000005</v>
      </c>
      <c r="G14568">
        <v>0.65</v>
      </c>
      <c r="H14568" s="1" t="str">
        <f>HYPERLINK("http://www.weizmann.ac.il/complex/compphys/software/geview/data/figures/202151_s_at.png","Figure")</f>
        <v>Figure</v>
      </c>
      <c r="I14568">
        <v>0.95699999999999996</v>
      </c>
      <c r="J14568">
        <v>0.98</v>
      </c>
      <c r="K14568">
        <v>1.18</v>
      </c>
      <c r="L14568">
        <v>0.69</v>
      </c>
      <c r="M14568">
        <v>1.23</v>
      </c>
      <c r="N14568">
        <v>0.6</v>
      </c>
    </row>
    <row r="14569" spans="1:14" x14ac:dyDescent="0.25">
      <c r="A14569" t="s">
        <v>24710</v>
      </c>
      <c r="B14569" t="s">
        <v>15814</v>
      </c>
      <c r="C14569" s="1" t="str">
        <f>HYPERLINK("http://www.genecards.org/cgi-bin/carddisp.pl?gene=GJB3","GeneCards")</f>
        <v>GeneCards</v>
      </c>
      <c r="D14569" s="1" t="str">
        <f>HYPERLINK("http://genome-euro.ucsc.edu/cgi-bin/hgTracks?position=215243_s_at","UCSC")</f>
        <v>UCSC</v>
      </c>
      <c r="E14569" s="1" t="str">
        <f>HYPERLINK("http://www.ncbi.nlm.nih.gov/gene/?term=GJB3","NCBI")</f>
        <v>NCBI</v>
      </c>
      <c r="F14569">
        <v>0.56000000000000005</v>
      </c>
      <c r="G14569">
        <v>0.65</v>
      </c>
      <c r="H14569" s="1" t="str">
        <f>HYPERLINK("http://www.weizmann.ac.il/complex/compphys/software/geview/data/figures/215243_s_at.png","Figure")</f>
        <v>Figure</v>
      </c>
      <c r="I14569">
        <v>1.07</v>
      </c>
      <c r="J14569">
        <v>0.59</v>
      </c>
      <c r="K14569">
        <v>1.01</v>
      </c>
      <c r="L14569">
        <v>0.99</v>
      </c>
      <c r="M14569">
        <v>0.93799999999999994</v>
      </c>
      <c r="N14569">
        <v>0.61</v>
      </c>
    </row>
    <row r="14570" spans="1:14" x14ac:dyDescent="0.25">
      <c r="A14570" t="s">
        <v>24711</v>
      </c>
      <c r="B14570" t="s">
        <v>22059</v>
      </c>
      <c r="C14570" s="1" t="str">
        <f>HYPERLINK("http://www.genecards.org/cgi-bin/carddisp.pl?gene=GBP1","GeneCards")</f>
        <v>GeneCards</v>
      </c>
      <c r="D14570" s="1" t="str">
        <f>HYPERLINK("http://genome-euro.ucsc.edu/cgi-bin/hgTracks?position=202269_x_at","UCSC")</f>
        <v>UCSC</v>
      </c>
      <c r="E14570" s="1" t="str">
        <f>HYPERLINK("http://www.ncbi.nlm.nih.gov/gene/?term=GBP1","NCBI")</f>
        <v>NCBI</v>
      </c>
      <c r="F14570">
        <v>0.56000000000000005</v>
      </c>
      <c r="G14570">
        <v>0.65</v>
      </c>
      <c r="H14570" s="1" t="str">
        <f>HYPERLINK("http://www.weizmann.ac.il/complex/compphys/software/geview/data/figures/202269_x_at.png","Figure")</f>
        <v>Figure</v>
      </c>
      <c r="I14570">
        <v>1.35</v>
      </c>
      <c r="J14570">
        <v>0.59</v>
      </c>
      <c r="K14570">
        <v>1.26</v>
      </c>
      <c r="L14570">
        <v>0.66</v>
      </c>
      <c r="M14570">
        <v>0.93300000000000005</v>
      </c>
      <c r="N14570">
        <v>0.97</v>
      </c>
    </row>
    <row r="14571" spans="1:14" x14ac:dyDescent="0.25">
      <c r="A14571" t="s">
        <v>24712</v>
      </c>
      <c r="B14571" t="s">
        <v>7221</v>
      </c>
      <c r="C14571" s="1" t="str">
        <f>HYPERLINK("http://www.genecards.org/cgi-bin/carddisp.pl?gene=MPHOSPH9","GeneCards")</f>
        <v>GeneCards</v>
      </c>
      <c r="D14571" s="1" t="str">
        <f>HYPERLINK("http://genome-euro.ucsc.edu/cgi-bin/hgTracks?position=215731_s_at","UCSC")</f>
        <v>UCSC</v>
      </c>
      <c r="E14571" s="1" t="str">
        <f>HYPERLINK("http://www.ncbi.nlm.nih.gov/gene/?term=MPHOSPH9","NCBI")</f>
        <v>NCBI</v>
      </c>
      <c r="F14571">
        <v>0.56000000000000005</v>
      </c>
      <c r="G14571">
        <v>0.66</v>
      </c>
      <c r="H14571" s="1" t="str">
        <f>HYPERLINK("http://www.weizmann.ac.il/complex/compphys/software/geview/data/figures/215731_s_at.png","Figure")</f>
        <v>Figure</v>
      </c>
      <c r="I14571">
        <v>0.747</v>
      </c>
      <c r="J14571">
        <v>0.55000000000000004</v>
      </c>
      <c r="K14571">
        <v>0.83799999999999997</v>
      </c>
      <c r="L14571">
        <v>0.74</v>
      </c>
      <c r="M14571">
        <v>1.1200000000000001</v>
      </c>
      <c r="N14571">
        <v>0.89</v>
      </c>
    </row>
    <row r="14572" spans="1:14" x14ac:dyDescent="0.25">
      <c r="A14572" t="s">
        <v>24713</v>
      </c>
      <c r="B14572" t="s">
        <v>4564</v>
      </c>
      <c r="C14572" s="1" t="str">
        <f>HYPERLINK("http://www.genecards.org/cgi-bin/carddisp.pl?gene=AKR1C2","GeneCards")</f>
        <v>GeneCards</v>
      </c>
      <c r="D14572" s="1" t="str">
        <f>HYPERLINK("http://genome-euro.ucsc.edu/cgi-bin/hgTracks?position=211653_x_at","UCSC")</f>
        <v>UCSC</v>
      </c>
      <c r="E14572" s="1" t="str">
        <f>HYPERLINK("http://www.ncbi.nlm.nih.gov/gene/?term=AKR1C2","NCBI")</f>
        <v>NCBI</v>
      </c>
      <c r="F14572">
        <v>0.56000000000000005</v>
      </c>
      <c r="G14572">
        <v>0.66</v>
      </c>
      <c r="H14572" s="1" t="str">
        <f>HYPERLINK("http://www.weizmann.ac.il/complex/compphys/software/geview/data/figures/211653_x_at.png","Figure")</f>
        <v>Figure</v>
      </c>
      <c r="I14572">
        <v>1.1000000000000001</v>
      </c>
      <c r="J14572">
        <v>0.61</v>
      </c>
      <c r="K14572">
        <v>1.0900000000000001</v>
      </c>
      <c r="L14572">
        <v>0.62</v>
      </c>
      <c r="M14572">
        <v>0.98599999999999999</v>
      </c>
      <c r="N14572">
        <v>0.99</v>
      </c>
    </row>
    <row r="14573" spans="1:14" x14ac:dyDescent="0.25">
      <c r="A14573" t="s">
        <v>24714</v>
      </c>
      <c r="B14573" t="s">
        <v>15715</v>
      </c>
      <c r="C14573" s="1" t="str">
        <f>HYPERLINK("http://www.genecards.org/cgi-bin/carddisp.pl?gene=STRADA","GeneCards")</f>
        <v>GeneCards</v>
      </c>
      <c r="D14573" s="1" t="str">
        <f>HYPERLINK("http://genome-euro.ucsc.edu/cgi-bin/hgTracks?position=52169_at","UCSC")</f>
        <v>UCSC</v>
      </c>
      <c r="E14573" s="1" t="str">
        <f>HYPERLINK("http://www.ncbi.nlm.nih.gov/gene/?term=STRADA","NCBI")</f>
        <v>NCBI</v>
      </c>
      <c r="F14573">
        <v>0.56000000000000005</v>
      </c>
      <c r="G14573">
        <v>0.66</v>
      </c>
      <c r="H14573" s="1" t="str">
        <f>HYPERLINK("http://www.weizmann.ac.il/complex/compphys/software/geview/data/figures/52169_at.png","Figure")</f>
        <v>Figure</v>
      </c>
      <c r="I14573">
        <v>1.1299999999999999</v>
      </c>
      <c r="J14573">
        <v>0.54</v>
      </c>
      <c r="K14573">
        <v>1.07</v>
      </c>
      <c r="L14573">
        <v>0.79</v>
      </c>
      <c r="M14573">
        <v>0.94299999999999995</v>
      </c>
      <c r="N14573">
        <v>0.85</v>
      </c>
    </row>
    <row r="14574" spans="1:14" x14ac:dyDescent="0.25">
      <c r="A14574" t="s">
        <v>24715</v>
      </c>
      <c r="B14574" t="s">
        <v>22335</v>
      </c>
      <c r="C14574" s="1" t="str">
        <f>HYPERLINK("http://www.genecards.org/cgi-bin/carddisp.pl?gene=ELAC2","GeneCards")</f>
        <v>GeneCards</v>
      </c>
      <c r="D14574" s="1" t="str">
        <f>HYPERLINK("http://genome-euro.ucsc.edu/cgi-bin/hgTracks?position=201767_s_at","UCSC")</f>
        <v>UCSC</v>
      </c>
      <c r="E14574" s="1" t="str">
        <f>HYPERLINK("http://www.ncbi.nlm.nih.gov/gene/?term=ELAC2","NCBI")</f>
        <v>NCBI</v>
      </c>
      <c r="F14574">
        <v>0.56000000000000005</v>
      </c>
      <c r="G14574">
        <v>0.66</v>
      </c>
      <c r="H14574" s="1" t="str">
        <f>HYPERLINK("http://www.weizmann.ac.il/complex/compphys/software/geview/data/figures/201767_s_at.png","Figure")</f>
        <v>Figure</v>
      </c>
      <c r="I14574">
        <v>1.19</v>
      </c>
      <c r="J14574">
        <v>0.77</v>
      </c>
      <c r="K14574">
        <v>1.27</v>
      </c>
      <c r="L14574">
        <v>0.54</v>
      </c>
      <c r="M14574">
        <v>1.06</v>
      </c>
      <c r="N14574">
        <v>0.96</v>
      </c>
    </row>
    <row r="14575" spans="1:14" x14ac:dyDescent="0.25">
      <c r="A14575" t="s">
        <v>24716</v>
      </c>
      <c r="B14575" t="s">
        <v>24717</v>
      </c>
      <c r="C14575" s="1" t="str">
        <f>HYPERLINK("http://www.genecards.org/cgi-bin/carddisp.pl?gene=PCDHA5","GeneCards")</f>
        <v>GeneCards</v>
      </c>
      <c r="D14575" s="1" t="str">
        <f>HYPERLINK("http://genome-euro.ucsc.edu/cgi-bin/hgTracks?position=211838_x_at","UCSC")</f>
        <v>UCSC</v>
      </c>
      <c r="E14575" s="1" t="str">
        <f>HYPERLINK("http://www.ncbi.nlm.nih.gov/gene/?term=PCDHA5","NCBI")</f>
        <v>NCBI</v>
      </c>
      <c r="F14575">
        <v>0.56000000000000005</v>
      </c>
      <c r="G14575">
        <v>0.66</v>
      </c>
      <c r="H14575" s="1" t="str">
        <f>HYPERLINK("http://www.weizmann.ac.il/complex/compphys/software/geview/data/figures/211838_x_at.png","Figure")</f>
        <v>Figure</v>
      </c>
      <c r="I14575">
        <v>1</v>
      </c>
      <c r="J14575">
        <v>0.97</v>
      </c>
      <c r="K14575">
        <v>0.98699999999999999</v>
      </c>
      <c r="L14575">
        <v>0.71</v>
      </c>
      <c r="M14575">
        <v>0.98299999999999998</v>
      </c>
      <c r="N14575">
        <v>0.59</v>
      </c>
    </row>
    <row r="14576" spans="1:14" x14ac:dyDescent="0.25">
      <c r="A14576" t="s">
        <v>24718</v>
      </c>
      <c r="B14576" t="s">
        <v>24719</v>
      </c>
      <c r="C14576" s="1" t="str">
        <f>HYPERLINK("http://www.genecards.org/cgi-bin/carddisp.pl?gene=C7orf16","GeneCards")</f>
        <v>GeneCards</v>
      </c>
      <c r="D14576" s="1" t="str">
        <f>HYPERLINK("http://genome-euro.ucsc.edu/cgi-bin/hgTracks?position=220231_at","UCSC")</f>
        <v>UCSC</v>
      </c>
      <c r="E14576" s="1" t="str">
        <f>HYPERLINK("http://www.ncbi.nlm.nih.gov/gene/?term=C7orf16","NCBI")</f>
        <v>NCBI</v>
      </c>
      <c r="F14576">
        <v>0.56000000000000005</v>
      </c>
      <c r="G14576">
        <v>0.66</v>
      </c>
      <c r="H14576" s="1" t="str">
        <f>HYPERLINK("http://www.weizmann.ac.il/complex/compphys/software/geview/data/figures/220231_at.png","Figure")</f>
        <v>Figure</v>
      </c>
      <c r="I14576">
        <v>0.95799999999999996</v>
      </c>
      <c r="J14576">
        <v>0.68</v>
      </c>
      <c r="K14576">
        <v>1.01</v>
      </c>
      <c r="L14576">
        <v>0.98</v>
      </c>
      <c r="M14576">
        <v>1.05</v>
      </c>
      <c r="N14576">
        <v>0.55000000000000004</v>
      </c>
    </row>
    <row r="14577" spans="1:14" x14ac:dyDescent="0.25">
      <c r="A14577" t="s">
        <v>24720</v>
      </c>
      <c r="B14577" t="s">
        <v>24721</v>
      </c>
      <c r="C14577" s="1" t="str">
        <f>HYPERLINK("http://www.genecards.org/cgi-bin/carddisp.pl?gene=CABIN1","GeneCards")</f>
        <v>GeneCards</v>
      </c>
      <c r="D14577" s="1" t="str">
        <f>HYPERLINK("http://genome-euro.ucsc.edu/cgi-bin/hgTracks?position=37652_at","UCSC")</f>
        <v>UCSC</v>
      </c>
      <c r="E14577" s="1" t="str">
        <f>HYPERLINK("http://www.ncbi.nlm.nih.gov/gene/?term=CABIN1","NCBI")</f>
        <v>NCBI</v>
      </c>
      <c r="F14577">
        <v>0.56000000000000005</v>
      </c>
      <c r="G14577">
        <v>0.66</v>
      </c>
      <c r="H14577" s="1" t="str">
        <f>HYPERLINK("http://www.weizmann.ac.il/complex/compphys/software/geview/data/figures/37652_at.png","Figure")</f>
        <v>Figure</v>
      </c>
      <c r="I14577">
        <v>0.84799999999999998</v>
      </c>
      <c r="J14577">
        <v>0.61</v>
      </c>
      <c r="K14577">
        <v>0.99399999999999999</v>
      </c>
      <c r="L14577">
        <v>1</v>
      </c>
      <c r="M14577">
        <v>1.17</v>
      </c>
      <c r="N14577">
        <v>0.59</v>
      </c>
    </row>
    <row r="14578" spans="1:14" x14ac:dyDescent="0.25">
      <c r="A14578" t="s">
        <v>24722</v>
      </c>
      <c r="B14578" t="s">
        <v>24723</v>
      </c>
      <c r="C14578" s="1" t="str">
        <f>HYPERLINK("http://www.genecards.org/cgi-bin/carddisp.pl?gene=XCL1 /// XCL2","GeneCards")</f>
        <v>GeneCards</v>
      </c>
      <c r="D14578" s="1" t="str">
        <f>HYPERLINK("http://genome-euro.ucsc.edu/cgi-bin/hgTracks?position=214567_s_at","UCSC")</f>
        <v>UCSC</v>
      </c>
      <c r="E14578" s="1" t="str">
        <f>HYPERLINK("http://www.ncbi.nlm.nih.gov/gene/?term=XCL1 /// XCL2","NCBI")</f>
        <v>NCBI</v>
      </c>
      <c r="F14578">
        <v>0.56000000000000005</v>
      </c>
      <c r="G14578">
        <v>0.66</v>
      </c>
      <c r="H14578" s="1" t="str">
        <f>HYPERLINK("http://www.weizmann.ac.il/complex/compphys/software/geview/data/figures/214567_s_at.png","Figure")</f>
        <v>Figure</v>
      </c>
      <c r="I14578">
        <v>0.95199999999999996</v>
      </c>
      <c r="J14578">
        <v>0.93</v>
      </c>
      <c r="K14578">
        <v>0.88</v>
      </c>
      <c r="L14578">
        <v>0.55000000000000004</v>
      </c>
      <c r="M14578">
        <v>0.92400000000000004</v>
      </c>
      <c r="N14578">
        <v>0.81</v>
      </c>
    </row>
    <row r="14579" spans="1:14" x14ac:dyDescent="0.25">
      <c r="A14579" t="s">
        <v>24724</v>
      </c>
      <c r="B14579" t="s">
        <v>24725</v>
      </c>
      <c r="C14579" s="1" t="str">
        <f>HYPERLINK("http://www.genecards.org/cgi-bin/carddisp.pl?gene=RFNG","GeneCards")</f>
        <v>GeneCards</v>
      </c>
      <c r="D14579" s="1" t="str">
        <f>HYPERLINK("http://genome-euro.ucsc.edu/cgi-bin/hgTracks?position=212968_at","UCSC")</f>
        <v>UCSC</v>
      </c>
      <c r="E14579" s="1" t="str">
        <f>HYPERLINK("http://www.ncbi.nlm.nih.gov/gene/?term=RFNG","NCBI")</f>
        <v>NCBI</v>
      </c>
      <c r="F14579">
        <v>0.56000000000000005</v>
      </c>
      <c r="G14579">
        <v>0.66</v>
      </c>
      <c r="H14579" s="1" t="str">
        <f>HYPERLINK("http://www.weizmann.ac.il/complex/compphys/software/geview/data/figures/212968_at.png","Figure")</f>
        <v>Figure</v>
      </c>
      <c r="I14579">
        <v>0.96899999999999997</v>
      </c>
      <c r="J14579">
        <v>0.97</v>
      </c>
      <c r="K14579">
        <v>1.0900000000000001</v>
      </c>
      <c r="L14579">
        <v>0.71</v>
      </c>
      <c r="M14579">
        <v>1.1299999999999999</v>
      </c>
      <c r="N14579">
        <v>0.59</v>
      </c>
    </row>
    <row r="14580" spans="1:14" x14ac:dyDescent="0.25">
      <c r="A14580" t="s">
        <v>24726</v>
      </c>
      <c r="B14580" t="s">
        <v>6339</v>
      </c>
      <c r="C14580" s="1" t="str">
        <f>HYPERLINK("http://www.genecards.org/cgi-bin/carddisp.pl?gene=LAD1","GeneCards")</f>
        <v>GeneCards</v>
      </c>
      <c r="D14580" s="1" t="str">
        <f>HYPERLINK("http://genome-euro.ucsc.edu/cgi-bin/hgTracks?position=203287_at","UCSC")</f>
        <v>UCSC</v>
      </c>
      <c r="E14580" s="1" t="str">
        <f>HYPERLINK("http://www.ncbi.nlm.nih.gov/gene/?term=LAD1","NCBI")</f>
        <v>NCBI</v>
      </c>
      <c r="F14580">
        <v>0.56000000000000005</v>
      </c>
      <c r="G14580">
        <v>0.66</v>
      </c>
      <c r="H14580" s="1" t="str">
        <f>HYPERLINK("http://www.weizmann.ac.il/complex/compphys/software/geview/data/figures/203287_at.png","Figure")</f>
        <v>Figure</v>
      </c>
      <c r="I14580">
        <v>1.05</v>
      </c>
      <c r="J14580">
        <v>0.78</v>
      </c>
      <c r="K14580">
        <v>0.97699999999999998</v>
      </c>
      <c r="L14580">
        <v>0.92</v>
      </c>
      <c r="M14580">
        <v>0.93200000000000005</v>
      </c>
      <c r="N14580">
        <v>0.53</v>
      </c>
    </row>
    <row r="14581" spans="1:14" x14ac:dyDescent="0.25">
      <c r="A14581" t="s">
        <v>24727</v>
      </c>
      <c r="B14581" t="s">
        <v>24728</v>
      </c>
      <c r="C14581" s="1" t="str">
        <f>HYPERLINK("http://www.genecards.org/cgi-bin/carddisp.pl?gene=IGHA1 /// IGHD /// IGHG1 /// IGHG3 /// IGHM /// IGHV3-23 /// IGHV4-31 /// LOC100126583 /// LOC100132","GeneCards")</f>
        <v>GeneCards</v>
      </c>
      <c r="D14581" s="1" t="str">
        <f>HYPERLINK("http://genome-euro.ucsc.edu/cgi-bin/hgTracks?position=211650_x_at","UCSC")</f>
        <v>UCSC</v>
      </c>
      <c r="E14581" s="1" t="str">
        <f>HYPERLINK("http://www.ncbi.nlm.nih.gov/gene/?term=IGHA1 /// IGHD /// IGHG1 /// IGHG3 /// IGHM /// IGHV3-23 /// IGHV4-31 /// LOC100126583 /// LOC100132","NCBI")</f>
        <v>NCBI</v>
      </c>
      <c r="F14581">
        <v>0.56000000000000005</v>
      </c>
      <c r="G14581">
        <v>0.66</v>
      </c>
      <c r="H14581" s="1" t="str">
        <f>HYPERLINK("http://www.weizmann.ac.il/complex/compphys/software/geview/data/figures/211650_x_at.png","Figure")</f>
        <v>Figure</v>
      </c>
      <c r="I14581">
        <v>1.21</v>
      </c>
      <c r="J14581">
        <v>0.53</v>
      </c>
      <c r="K14581">
        <v>1.08</v>
      </c>
      <c r="L14581">
        <v>0.88</v>
      </c>
      <c r="M14581">
        <v>0.89100000000000001</v>
      </c>
      <c r="N14581">
        <v>0.76</v>
      </c>
    </row>
    <row r="14582" spans="1:14" x14ac:dyDescent="0.25">
      <c r="A14582" t="s">
        <v>24729</v>
      </c>
      <c r="B14582" t="s">
        <v>5849</v>
      </c>
      <c r="C14582" s="1" t="str">
        <f>HYPERLINK("http://www.genecards.org/cgi-bin/carddisp.pl?gene=SQSTM1","GeneCards")</f>
        <v>GeneCards</v>
      </c>
      <c r="D14582" s="1" t="str">
        <f>HYPERLINK("http://genome-euro.ucsc.edu/cgi-bin/hgTracks?position=217255_at","UCSC")</f>
        <v>UCSC</v>
      </c>
      <c r="E14582" s="1" t="str">
        <f>HYPERLINK("http://www.ncbi.nlm.nih.gov/gene/?term=SQSTM1","NCBI")</f>
        <v>NCBI</v>
      </c>
      <c r="F14582">
        <v>0.56000000000000005</v>
      </c>
      <c r="G14582">
        <v>0.66</v>
      </c>
      <c r="H14582" s="1" t="str">
        <f>HYPERLINK("http://www.weizmann.ac.il/complex/compphys/software/geview/data/figures/217255_at.png","Figure")</f>
        <v>Figure</v>
      </c>
      <c r="I14582">
        <v>1.07</v>
      </c>
      <c r="J14582">
        <v>0.75</v>
      </c>
      <c r="K14582">
        <v>1.0900000000000001</v>
      </c>
      <c r="L14582">
        <v>0.55000000000000004</v>
      </c>
      <c r="M14582">
        <v>1.02</v>
      </c>
      <c r="N14582">
        <v>0.97</v>
      </c>
    </row>
    <row r="14583" spans="1:14" x14ac:dyDescent="0.25">
      <c r="A14583" t="s">
        <v>24730</v>
      </c>
      <c r="B14583" t="s">
        <v>24731</v>
      </c>
      <c r="C14583" s="1" t="str">
        <f>HYPERLINK("http://www.genecards.org/cgi-bin/carddisp.pl?gene=RPSA","GeneCards")</f>
        <v>GeneCards</v>
      </c>
      <c r="D14583" s="1" t="str">
        <f>HYPERLINK("http://genome-euro.ucsc.edu/cgi-bin/hgTracks?position=213801_x_at","UCSC")</f>
        <v>UCSC</v>
      </c>
      <c r="E14583" s="1" t="str">
        <f>HYPERLINK("http://www.ncbi.nlm.nih.gov/gene/?term=RPSA","NCBI")</f>
        <v>NCBI</v>
      </c>
      <c r="F14583">
        <v>0.56000000000000005</v>
      </c>
      <c r="G14583">
        <v>0.66</v>
      </c>
      <c r="H14583" s="1" t="str">
        <f>HYPERLINK("http://www.weizmann.ac.il/complex/compphys/software/geview/data/figures/213801_x_at.png","Figure")</f>
        <v>Figure</v>
      </c>
      <c r="I14583">
        <v>0.997</v>
      </c>
      <c r="J14583">
        <v>1</v>
      </c>
      <c r="K14583">
        <v>1.1100000000000001</v>
      </c>
      <c r="L14583">
        <v>0.63</v>
      </c>
      <c r="M14583">
        <v>1.1100000000000001</v>
      </c>
      <c r="N14583">
        <v>0.65</v>
      </c>
    </row>
    <row r="14584" spans="1:14" x14ac:dyDescent="0.25">
      <c r="A14584" t="s">
        <v>24732</v>
      </c>
      <c r="B14584" t="s">
        <v>24733</v>
      </c>
      <c r="C14584" s="1" t="str">
        <f>HYPERLINK("http://www.genecards.org/cgi-bin/carddisp.pl?gene=RFWD3","GeneCards")</f>
        <v>GeneCards</v>
      </c>
      <c r="D14584" s="1" t="str">
        <f>HYPERLINK("http://genome-euro.ucsc.edu/cgi-bin/hgTracks?position=218564_at","UCSC")</f>
        <v>UCSC</v>
      </c>
      <c r="E14584" s="1" t="str">
        <f>HYPERLINK("http://www.ncbi.nlm.nih.gov/gene/?term=RFWD3","NCBI")</f>
        <v>NCBI</v>
      </c>
      <c r="F14584">
        <v>0.56000000000000005</v>
      </c>
      <c r="G14584">
        <v>0.66</v>
      </c>
      <c r="H14584" s="1" t="str">
        <f>HYPERLINK("http://www.weizmann.ac.il/complex/compphys/software/geview/data/figures/218564_at.png","Figure")</f>
        <v>Figure</v>
      </c>
      <c r="I14584">
        <v>0.91600000000000004</v>
      </c>
      <c r="J14584">
        <v>0.94</v>
      </c>
      <c r="K14584">
        <v>0.78</v>
      </c>
      <c r="L14584">
        <v>0.55000000000000004</v>
      </c>
      <c r="M14584">
        <v>0.85199999999999998</v>
      </c>
      <c r="N14584">
        <v>0.8</v>
      </c>
    </row>
    <row r="14585" spans="1:14" x14ac:dyDescent="0.25">
      <c r="A14585" t="s">
        <v>24734</v>
      </c>
      <c r="B14585" t="s">
        <v>24735</v>
      </c>
      <c r="C14585" s="1" t="str">
        <f>HYPERLINK("http://www.genecards.org/cgi-bin/carddisp.pl?gene=OR2H2","GeneCards")</f>
        <v>GeneCards</v>
      </c>
      <c r="D14585" s="1" t="str">
        <f>HYPERLINK("http://genome-euro.ucsc.edu/cgi-bin/hgTracks?position=208573_s_at","UCSC")</f>
        <v>UCSC</v>
      </c>
      <c r="E14585" s="1" t="str">
        <f>HYPERLINK("http://www.ncbi.nlm.nih.gov/gene/?term=OR2H2","NCBI")</f>
        <v>NCBI</v>
      </c>
      <c r="F14585">
        <v>0.56000000000000005</v>
      </c>
      <c r="G14585">
        <v>0.66</v>
      </c>
      <c r="H14585" s="1" t="str">
        <f>HYPERLINK("http://www.weizmann.ac.il/complex/compphys/software/geview/data/figures/208573_s_at.png","Figure")</f>
        <v>Figure</v>
      </c>
      <c r="I14585">
        <v>1.03</v>
      </c>
      <c r="J14585">
        <v>0.74</v>
      </c>
      <c r="K14585">
        <v>1.03</v>
      </c>
      <c r="L14585">
        <v>0.55000000000000004</v>
      </c>
      <c r="M14585">
        <v>1.01</v>
      </c>
      <c r="N14585">
        <v>0.98</v>
      </c>
    </row>
    <row r="14586" spans="1:14" x14ac:dyDescent="0.25">
      <c r="A14586" t="s">
        <v>24736</v>
      </c>
      <c r="B14586" t="s">
        <v>24737</v>
      </c>
      <c r="C14586" s="1" t="str">
        <f>HYPERLINK("http://www.genecards.org/cgi-bin/carddisp.pl?gene=GABRA4","GeneCards")</f>
        <v>GeneCards</v>
      </c>
      <c r="D14586" s="1" t="str">
        <f>HYPERLINK("http://genome-euro.ucsc.edu/cgi-bin/hgTracks?position=208463_at","UCSC")</f>
        <v>UCSC</v>
      </c>
      <c r="E14586" s="1" t="str">
        <f>HYPERLINK("http://www.ncbi.nlm.nih.gov/gene/?term=GABRA4","NCBI")</f>
        <v>NCBI</v>
      </c>
      <c r="F14586">
        <v>0.56000000000000005</v>
      </c>
      <c r="G14586">
        <v>0.66</v>
      </c>
      <c r="H14586" s="1" t="str">
        <f>HYPERLINK("http://www.weizmann.ac.il/complex/compphys/software/geview/data/figures/208463_at.png","Figure")</f>
        <v>Figure</v>
      </c>
      <c r="I14586">
        <v>0.98599999999999999</v>
      </c>
      <c r="J14586">
        <v>0.87</v>
      </c>
      <c r="K14586">
        <v>0.97499999999999998</v>
      </c>
      <c r="L14586">
        <v>0.53</v>
      </c>
      <c r="M14586">
        <v>0.98799999999999999</v>
      </c>
      <c r="N14586">
        <v>0.89</v>
      </c>
    </row>
    <row r="14587" spans="1:14" x14ac:dyDescent="0.25">
      <c r="A14587" t="s">
        <v>24738</v>
      </c>
      <c r="B14587" t="s">
        <v>14239</v>
      </c>
      <c r="C14587" s="1" t="str">
        <f>HYPERLINK("http://www.genecards.org/cgi-bin/carddisp.pl?gene=VEGFA","GeneCards")</f>
        <v>GeneCards</v>
      </c>
      <c r="D14587" s="1" t="str">
        <f>HYPERLINK("http://genome-euro.ucsc.edu/cgi-bin/hgTracks?position=212171_x_at","UCSC")</f>
        <v>UCSC</v>
      </c>
      <c r="E14587" s="1" t="str">
        <f>HYPERLINK("http://www.ncbi.nlm.nih.gov/gene/?term=VEGFA","NCBI")</f>
        <v>NCBI</v>
      </c>
      <c r="F14587">
        <v>0.56000000000000005</v>
      </c>
      <c r="G14587">
        <v>0.66</v>
      </c>
      <c r="H14587" s="1" t="str">
        <f>HYPERLINK("http://www.weizmann.ac.il/complex/compphys/software/geview/data/figures/212171_x_at.png","Figure")</f>
        <v>Figure</v>
      </c>
      <c r="I14587">
        <v>1.1499999999999999</v>
      </c>
      <c r="J14587">
        <v>0.53</v>
      </c>
      <c r="K14587">
        <v>1.07</v>
      </c>
      <c r="L14587">
        <v>0.82</v>
      </c>
      <c r="M14587">
        <v>0.93300000000000005</v>
      </c>
      <c r="N14587">
        <v>0.82</v>
      </c>
    </row>
    <row r="14588" spans="1:14" x14ac:dyDescent="0.25">
      <c r="A14588" t="s">
        <v>24739</v>
      </c>
      <c r="B14588" t="s">
        <v>24740</v>
      </c>
      <c r="C14588" s="1" t="str">
        <f>HYPERLINK("http://www.genecards.org/cgi-bin/carddisp.pl?gene=TIMM23 /// TIMM23B","GeneCards")</f>
        <v>GeneCards</v>
      </c>
      <c r="D14588" s="1" t="str">
        <f>HYPERLINK("http://genome-euro.ucsc.edu/cgi-bin/hgTracks?position=218119_at","UCSC")</f>
        <v>UCSC</v>
      </c>
      <c r="E14588" s="1" t="str">
        <f>HYPERLINK("http://www.ncbi.nlm.nih.gov/gene/?term=TIMM23 /// TIMM23B","NCBI")</f>
        <v>NCBI</v>
      </c>
      <c r="F14588">
        <v>0.56000000000000005</v>
      </c>
      <c r="G14588">
        <v>0.66</v>
      </c>
      <c r="H14588" s="1" t="str">
        <f>HYPERLINK("http://www.weizmann.ac.il/complex/compphys/software/geview/data/figures/218119_at.png","Figure")</f>
        <v>Figure</v>
      </c>
      <c r="I14588">
        <v>1.07</v>
      </c>
      <c r="J14588">
        <v>0.89</v>
      </c>
      <c r="K14588">
        <v>0.92300000000000004</v>
      </c>
      <c r="L14588">
        <v>0.82</v>
      </c>
      <c r="M14588">
        <v>0.85899999999999999</v>
      </c>
      <c r="N14588">
        <v>0.55000000000000004</v>
      </c>
    </row>
    <row r="14589" spans="1:14" x14ac:dyDescent="0.25">
      <c r="A14589" t="s">
        <v>24741</v>
      </c>
      <c r="B14589" t="s">
        <v>24742</v>
      </c>
      <c r="C14589" s="1" t="str">
        <f>HYPERLINK("http://www.genecards.org/cgi-bin/carddisp.pl?gene=CXorf21","GeneCards")</f>
        <v>GeneCards</v>
      </c>
      <c r="D14589" s="1" t="str">
        <f>HYPERLINK("http://genome-euro.ucsc.edu/cgi-bin/hgTracks?position=220252_x_at","UCSC")</f>
        <v>UCSC</v>
      </c>
      <c r="E14589" s="1" t="str">
        <f>HYPERLINK("http://www.ncbi.nlm.nih.gov/gene/?term=CXorf21","NCBI")</f>
        <v>NCBI</v>
      </c>
      <c r="F14589">
        <v>0.56000000000000005</v>
      </c>
      <c r="G14589">
        <v>0.66</v>
      </c>
      <c r="H14589" s="1" t="str">
        <f>HYPERLINK("http://www.weizmann.ac.il/complex/compphys/software/geview/data/figures/220252_x_at.png","Figure")</f>
        <v>Figure</v>
      </c>
      <c r="I14589">
        <v>1.25</v>
      </c>
      <c r="J14589">
        <v>0.77</v>
      </c>
      <c r="K14589">
        <v>1.36</v>
      </c>
      <c r="L14589">
        <v>0.54</v>
      </c>
      <c r="M14589">
        <v>1.0900000000000001</v>
      </c>
      <c r="N14589">
        <v>0.96</v>
      </c>
    </row>
    <row r="14590" spans="1:14" x14ac:dyDescent="0.25">
      <c r="A14590" t="s">
        <v>24743</v>
      </c>
      <c r="B14590" t="s">
        <v>16096</v>
      </c>
      <c r="C14590" s="1" t="str">
        <f>HYPERLINK("http://www.genecards.org/cgi-bin/carddisp.pl?gene=VCP","GeneCards")</f>
        <v>GeneCards</v>
      </c>
      <c r="D14590" s="1" t="str">
        <f>HYPERLINK("http://genome-euro.ucsc.edu/cgi-bin/hgTracks?position=208648_at","UCSC")</f>
        <v>UCSC</v>
      </c>
      <c r="E14590" s="1" t="str">
        <f>HYPERLINK("http://www.ncbi.nlm.nih.gov/gene/?term=VCP","NCBI")</f>
        <v>NCBI</v>
      </c>
      <c r="F14590">
        <v>0.56000000000000005</v>
      </c>
      <c r="G14590">
        <v>0.66</v>
      </c>
      <c r="H14590" s="1" t="str">
        <f>HYPERLINK("http://www.weizmann.ac.il/complex/compphys/software/geview/data/figures/208648_at.png","Figure")</f>
        <v>Figure</v>
      </c>
      <c r="I14590">
        <v>0.876</v>
      </c>
      <c r="J14590">
        <v>0.8</v>
      </c>
      <c r="K14590">
        <v>0.82399999999999995</v>
      </c>
      <c r="L14590">
        <v>0.54</v>
      </c>
      <c r="M14590">
        <v>0.94</v>
      </c>
      <c r="N14590">
        <v>0.94</v>
      </c>
    </row>
    <row r="14591" spans="1:14" x14ac:dyDescent="0.25">
      <c r="A14591" t="s">
        <v>24744</v>
      </c>
      <c r="B14591" t="s">
        <v>10071</v>
      </c>
      <c r="C14591" s="1" t="str">
        <f>HYPERLINK("http://www.genecards.org/cgi-bin/carddisp.pl?gene=CALU","GeneCards")</f>
        <v>GeneCards</v>
      </c>
      <c r="D14591" s="1" t="str">
        <f>HYPERLINK("http://genome-euro.ucsc.edu/cgi-bin/hgTracks?position=200756_x_at","UCSC")</f>
        <v>UCSC</v>
      </c>
      <c r="E14591" s="1" t="str">
        <f>HYPERLINK("http://www.ncbi.nlm.nih.gov/gene/?term=CALU","NCBI")</f>
        <v>NCBI</v>
      </c>
      <c r="F14591">
        <v>0.56000000000000005</v>
      </c>
      <c r="G14591">
        <v>0.66</v>
      </c>
      <c r="H14591" s="1" t="str">
        <f>HYPERLINK("http://www.weizmann.ac.il/complex/compphys/software/geview/data/figures/200756_x_at.png","Figure")</f>
        <v>Figure</v>
      </c>
      <c r="I14591">
        <v>1.1000000000000001</v>
      </c>
      <c r="J14591">
        <v>0.7</v>
      </c>
      <c r="K14591">
        <v>0.98</v>
      </c>
      <c r="L14591">
        <v>0.98</v>
      </c>
      <c r="M14591">
        <v>0.89100000000000001</v>
      </c>
      <c r="N14591">
        <v>0.55000000000000004</v>
      </c>
    </row>
    <row r="14592" spans="1:14" x14ac:dyDescent="0.25">
      <c r="A14592" t="s">
        <v>24745</v>
      </c>
      <c r="B14592" t="s">
        <v>10030</v>
      </c>
      <c r="C14592" s="1" t="str">
        <f>HYPERLINK("http://www.genecards.org/cgi-bin/carddisp.pl?gene=IFFO1","GeneCards")</f>
        <v>GeneCards</v>
      </c>
      <c r="D14592" s="1" t="str">
        <f>HYPERLINK("http://genome-euro.ucsc.edu/cgi-bin/hgTracks?position=36030_at","UCSC")</f>
        <v>UCSC</v>
      </c>
      <c r="E14592" s="1" t="str">
        <f>HYPERLINK("http://www.ncbi.nlm.nih.gov/gene/?term=IFFO1","NCBI")</f>
        <v>NCBI</v>
      </c>
      <c r="F14592">
        <v>0.56000000000000005</v>
      </c>
      <c r="G14592">
        <v>0.66</v>
      </c>
      <c r="H14592" s="1" t="str">
        <f>HYPERLINK("http://www.weizmann.ac.il/complex/compphys/software/geview/data/figures/36030_at.png","Figure")</f>
        <v>Figure</v>
      </c>
      <c r="I14592">
        <v>1.08</v>
      </c>
      <c r="J14592">
        <v>0.94</v>
      </c>
      <c r="K14592">
        <v>1.25</v>
      </c>
      <c r="L14592">
        <v>0.55000000000000004</v>
      </c>
      <c r="M14592">
        <v>1.1599999999999999</v>
      </c>
      <c r="N14592">
        <v>0.8</v>
      </c>
    </row>
    <row r="14593" spans="1:14" x14ac:dyDescent="0.25">
      <c r="A14593" t="s">
        <v>24746</v>
      </c>
      <c r="B14593" t="s">
        <v>17709</v>
      </c>
      <c r="C14593" s="1" t="str">
        <f>HYPERLINK("http://www.genecards.org/cgi-bin/carddisp.pl?gene=ZNF451","GeneCards")</f>
        <v>GeneCards</v>
      </c>
      <c r="D14593" s="1" t="str">
        <f>HYPERLINK("http://genome-euro.ucsc.edu/cgi-bin/hgTracks?position=212557_at","UCSC")</f>
        <v>UCSC</v>
      </c>
      <c r="E14593" s="1" t="str">
        <f>HYPERLINK("http://www.ncbi.nlm.nih.gov/gene/?term=ZNF451","NCBI")</f>
        <v>NCBI</v>
      </c>
      <c r="F14593">
        <v>0.56000000000000005</v>
      </c>
      <c r="G14593">
        <v>0.66</v>
      </c>
      <c r="H14593" s="1" t="str">
        <f>HYPERLINK("http://www.weizmann.ac.il/complex/compphys/software/geview/data/figures/212557_at.png","Figure")</f>
        <v>Figure</v>
      </c>
      <c r="I14593">
        <v>0.81699999999999995</v>
      </c>
      <c r="J14593">
        <v>0.72</v>
      </c>
      <c r="K14593">
        <v>0.78800000000000003</v>
      </c>
      <c r="L14593">
        <v>0.56000000000000005</v>
      </c>
      <c r="M14593">
        <v>0.96499999999999997</v>
      </c>
      <c r="N14593">
        <v>0.99</v>
      </c>
    </row>
    <row r="14594" spans="1:14" x14ac:dyDescent="0.25">
      <c r="A14594" t="s">
        <v>24747</v>
      </c>
      <c r="B14594" t="s">
        <v>8999</v>
      </c>
      <c r="C14594" s="1" t="str">
        <f>HYPERLINK("http://www.genecards.org/cgi-bin/carddisp.pl?gene=CLTA","GeneCards")</f>
        <v>GeneCards</v>
      </c>
      <c r="D14594" s="1" t="str">
        <f>HYPERLINK("http://genome-euro.ucsc.edu/cgi-bin/hgTracks?position=204050_s_at","UCSC")</f>
        <v>UCSC</v>
      </c>
      <c r="E14594" s="1" t="str">
        <f>HYPERLINK("http://www.ncbi.nlm.nih.gov/gene/?term=CLTA","NCBI")</f>
        <v>NCBI</v>
      </c>
      <c r="F14594">
        <v>0.56000000000000005</v>
      </c>
      <c r="G14594">
        <v>0.66</v>
      </c>
      <c r="H14594" s="1" t="str">
        <f>HYPERLINK("http://www.weizmann.ac.il/complex/compphys/software/geview/data/figures/204050_s_at.png","Figure")</f>
        <v>Figure</v>
      </c>
      <c r="I14594">
        <v>1.33</v>
      </c>
      <c r="J14594">
        <v>0.61</v>
      </c>
      <c r="K14594">
        <v>1.28</v>
      </c>
      <c r="L14594">
        <v>0.63</v>
      </c>
      <c r="M14594">
        <v>0.96</v>
      </c>
      <c r="N14594">
        <v>0.99</v>
      </c>
    </row>
    <row r="14595" spans="1:14" x14ac:dyDescent="0.25">
      <c r="A14595" t="s">
        <v>24748</v>
      </c>
      <c r="B14595" t="s">
        <v>14364</v>
      </c>
      <c r="C14595" s="1" t="str">
        <f>HYPERLINK("http://www.genecards.org/cgi-bin/carddisp.pl?gene=ITPK1","GeneCards")</f>
        <v>GeneCards</v>
      </c>
      <c r="D14595" s="1" t="str">
        <f>HYPERLINK("http://genome-euro.ucsc.edu/cgi-bin/hgTracks?position=217710_x_at","UCSC")</f>
        <v>UCSC</v>
      </c>
      <c r="E14595" s="1" t="str">
        <f>HYPERLINK("http://www.ncbi.nlm.nih.gov/gene/?term=ITPK1","NCBI")</f>
        <v>NCBI</v>
      </c>
      <c r="F14595">
        <v>0.56000000000000005</v>
      </c>
      <c r="G14595">
        <v>0.66</v>
      </c>
      <c r="H14595" s="1" t="str">
        <f>HYPERLINK("http://www.weizmann.ac.il/complex/compphys/software/geview/data/figures/217710_x_at.png","Figure")</f>
        <v>Figure</v>
      </c>
      <c r="I14595">
        <v>1.08</v>
      </c>
      <c r="J14595">
        <v>0.54</v>
      </c>
      <c r="K14595">
        <v>1.04</v>
      </c>
      <c r="L14595">
        <v>0.83</v>
      </c>
      <c r="M14595">
        <v>0.95899999999999996</v>
      </c>
      <c r="N14595">
        <v>0.82</v>
      </c>
    </row>
    <row r="14596" spans="1:14" x14ac:dyDescent="0.25">
      <c r="A14596" t="s">
        <v>24749</v>
      </c>
      <c r="B14596" t="s">
        <v>13380</v>
      </c>
      <c r="C14596" s="1" t="str">
        <f>HYPERLINK("http://www.genecards.org/cgi-bin/carddisp.pl?gene=BAT2L","GeneCards")</f>
        <v>GeneCards</v>
      </c>
      <c r="D14596" s="1" t="str">
        <f>HYPERLINK("http://genome-euro.ucsc.edu/cgi-bin/hgTracks?position=212068_s_at","UCSC")</f>
        <v>UCSC</v>
      </c>
      <c r="E14596" s="1" t="str">
        <f>HYPERLINK("http://www.ncbi.nlm.nih.gov/gene/?term=BAT2L","NCBI")</f>
        <v>NCBI</v>
      </c>
      <c r="F14596">
        <v>0.56000000000000005</v>
      </c>
      <c r="G14596">
        <v>0.66</v>
      </c>
      <c r="H14596" s="1" t="str">
        <f>HYPERLINK("http://www.weizmann.ac.il/complex/compphys/software/geview/data/figures/212068_s_at.png","Figure")</f>
        <v>Figure</v>
      </c>
      <c r="I14596">
        <v>1.17</v>
      </c>
      <c r="J14596">
        <v>0.54</v>
      </c>
      <c r="K14596">
        <v>1.0900000000000001</v>
      </c>
      <c r="L14596">
        <v>0.79</v>
      </c>
      <c r="M14596">
        <v>0.92900000000000005</v>
      </c>
      <c r="N14596">
        <v>0.85</v>
      </c>
    </row>
    <row r="14597" spans="1:14" x14ac:dyDescent="0.25">
      <c r="A14597" t="s">
        <v>24750</v>
      </c>
      <c r="B14597" t="s">
        <v>20512</v>
      </c>
      <c r="C14597" s="1" t="str">
        <f>HYPERLINK("http://www.genecards.org/cgi-bin/carddisp.pl?gene=DCAF11","GeneCards")</f>
        <v>GeneCards</v>
      </c>
      <c r="D14597" s="1" t="str">
        <f>HYPERLINK("http://genome-euro.ucsc.edu/cgi-bin/hgTracks?position=216389_s_at","UCSC")</f>
        <v>UCSC</v>
      </c>
      <c r="E14597" s="1" t="str">
        <f>HYPERLINK("http://www.ncbi.nlm.nih.gov/gene/?term=DCAF11","NCBI")</f>
        <v>NCBI</v>
      </c>
      <c r="F14597">
        <v>0.56999999999999995</v>
      </c>
      <c r="G14597">
        <v>0.66</v>
      </c>
      <c r="H14597" s="1" t="str">
        <f>HYPERLINK("http://www.weizmann.ac.il/complex/compphys/software/geview/data/figures/216389_s_at.png","Figure")</f>
        <v>Figure</v>
      </c>
      <c r="I14597">
        <v>1.0900000000000001</v>
      </c>
      <c r="J14597">
        <v>0.57999999999999996</v>
      </c>
      <c r="K14597">
        <v>1.06</v>
      </c>
      <c r="L14597">
        <v>0.68</v>
      </c>
      <c r="M14597">
        <v>0.97699999999999998</v>
      </c>
      <c r="N14597">
        <v>0.95</v>
      </c>
    </row>
    <row r="14598" spans="1:14" x14ac:dyDescent="0.25">
      <c r="A14598" t="s">
        <v>24751</v>
      </c>
      <c r="B14598" t="s">
        <v>24752</v>
      </c>
      <c r="C14598" s="1" t="str">
        <f>HYPERLINK("http://www.genecards.org/cgi-bin/carddisp.pl?gene=RNF115","GeneCards")</f>
        <v>GeneCards</v>
      </c>
      <c r="D14598" s="1" t="str">
        <f>HYPERLINK("http://genome-euro.ucsc.edu/cgi-bin/hgTracks?position=212742_at","UCSC")</f>
        <v>UCSC</v>
      </c>
      <c r="E14598" s="1" t="str">
        <f>HYPERLINK("http://www.ncbi.nlm.nih.gov/gene/?term=RNF115","NCBI")</f>
        <v>NCBI</v>
      </c>
      <c r="F14598">
        <v>0.56999999999999995</v>
      </c>
      <c r="G14598">
        <v>0.66</v>
      </c>
      <c r="H14598" s="1" t="str">
        <f>HYPERLINK("http://www.weizmann.ac.il/complex/compphys/software/geview/data/figures/212742_at.png","Figure")</f>
        <v>Figure</v>
      </c>
      <c r="I14598">
        <v>1.1100000000000001</v>
      </c>
      <c r="J14598">
        <v>0.79</v>
      </c>
      <c r="K14598">
        <v>0.94499999999999995</v>
      </c>
      <c r="L14598">
        <v>0.91</v>
      </c>
      <c r="M14598">
        <v>0.85399999999999998</v>
      </c>
      <c r="N14598">
        <v>0.54</v>
      </c>
    </row>
    <row r="14599" spans="1:14" x14ac:dyDescent="0.25">
      <c r="A14599" t="s">
        <v>24753</v>
      </c>
      <c r="B14599" t="s">
        <v>24754</v>
      </c>
      <c r="C14599" s="1" t="str">
        <f>HYPERLINK("http://www.genecards.org/cgi-bin/carddisp.pl?gene=PGCP","GeneCards")</f>
        <v>GeneCards</v>
      </c>
      <c r="D14599" s="1" t="str">
        <f>HYPERLINK("http://genome-euro.ucsc.edu/cgi-bin/hgTracks?position=208454_s_at","UCSC")</f>
        <v>UCSC</v>
      </c>
      <c r="E14599" s="1" t="str">
        <f>HYPERLINK("http://www.ncbi.nlm.nih.gov/gene/?term=PGCP","NCBI")</f>
        <v>NCBI</v>
      </c>
      <c r="F14599">
        <v>0.56999999999999995</v>
      </c>
      <c r="G14599">
        <v>0.66</v>
      </c>
      <c r="H14599" s="1" t="str">
        <f>HYPERLINK("http://www.weizmann.ac.il/complex/compphys/software/geview/data/figures/208454_s_at.png","Figure")</f>
        <v>Figure</v>
      </c>
      <c r="I14599">
        <v>0.89700000000000002</v>
      </c>
      <c r="J14599">
        <v>0.61</v>
      </c>
      <c r="K14599">
        <v>0.91200000000000003</v>
      </c>
      <c r="L14599">
        <v>0.63</v>
      </c>
      <c r="M14599">
        <v>1.02</v>
      </c>
      <c r="N14599">
        <v>0.99</v>
      </c>
    </row>
    <row r="14600" spans="1:14" x14ac:dyDescent="0.25">
      <c r="A14600" t="s">
        <v>24755</v>
      </c>
      <c r="B14600" t="s">
        <v>1121</v>
      </c>
      <c r="C14600" s="1" t="str">
        <f>HYPERLINK("http://www.genecards.org/cgi-bin/carddisp.pl?gene=PRKCH","GeneCards")</f>
        <v>GeneCards</v>
      </c>
      <c r="D14600" s="1" t="str">
        <f>HYPERLINK("http://genome-euro.ucsc.edu/cgi-bin/hgTracks?position=206099_at","UCSC")</f>
        <v>UCSC</v>
      </c>
      <c r="E14600" s="1" t="str">
        <f>HYPERLINK("http://www.ncbi.nlm.nih.gov/gene/?term=PRKCH","NCBI")</f>
        <v>NCBI</v>
      </c>
      <c r="F14600">
        <v>0.56999999999999995</v>
      </c>
      <c r="G14600">
        <v>0.66</v>
      </c>
      <c r="H14600" s="1" t="str">
        <f>HYPERLINK("http://www.weizmann.ac.il/complex/compphys/software/geview/data/figures/206099_at.png","Figure")</f>
        <v>Figure</v>
      </c>
      <c r="I14600">
        <v>1.07</v>
      </c>
      <c r="J14600">
        <v>0.57999999999999996</v>
      </c>
      <c r="K14600">
        <v>1.05</v>
      </c>
      <c r="L14600">
        <v>0.67</v>
      </c>
      <c r="M14600">
        <v>0.98399999999999999</v>
      </c>
      <c r="N14600">
        <v>0.96</v>
      </c>
    </row>
    <row r="14601" spans="1:14" x14ac:dyDescent="0.25">
      <c r="A14601" t="s">
        <v>24756</v>
      </c>
      <c r="B14601" t="s">
        <v>12510</v>
      </c>
      <c r="C14601" s="1" t="str">
        <f>HYPERLINK("http://www.genecards.org/cgi-bin/carddisp.pl?gene=NR3C1","GeneCards")</f>
        <v>GeneCards</v>
      </c>
      <c r="D14601" s="1" t="str">
        <f>HYPERLINK("http://genome-euro.ucsc.edu/cgi-bin/hgTracks?position=201865_x_at","UCSC")</f>
        <v>UCSC</v>
      </c>
      <c r="E14601" s="1" t="str">
        <f>HYPERLINK("http://www.ncbi.nlm.nih.gov/gene/?term=NR3C1","NCBI")</f>
        <v>NCBI</v>
      </c>
      <c r="F14601">
        <v>0.56999999999999995</v>
      </c>
      <c r="G14601">
        <v>0.66</v>
      </c>
      <c r="H14601" s="1" t="str">
        <f>HYPERLINK("http://www.weizmann.ac.il/complex/compphys/software/geview/data/figures/201865_x_at.png","Figure")</f>
        <v>Figure</v>
      </c>
      <c r="I14601">
        <v>1.0900000000000001</v>
      </c>
      <c r="J14601">
        <v>0.83</v>
      </c>
      <c r="K14601">
        <v>0.93500000000000005</v>
      </c>
      <c r="L14601">
        <v>0.87</v>
      </c>
      <c r="M14601">
        <v>0.85499999999999998</v>
      </c>
      <c r="N14601">
        <v>0.54</v>
      </c>
    </row>
    <row r="14602" spans="1:14" x14ac:dyDescent="0.25">
      <c r="A14602" t="s">
        <v>24757</v>
      </c>
      <c r="B14602" t="s">
        <v>13904</v>
      </c>
      <c r="C14602" s="1" t="str">
        <f>HYPERLINK("http://www.genecards.org/cgi-bin/carddisp.pl?gene=LIG3","GeneCards")</f>
        <v>GeneCards</v>
      </c>
      <c r="D14602" s="1" t="str">
        <f>HYPERLINK("http://genome-euro.ucsc.edu/cgi-bin/hgTracks?position=204123_at","UCSC")</f>
        <v>UCSC</v>
      </c>
      <c r="E14602" s="1" t="str">
        <f>HYPERLINK("http://www.ncbi.nlm.nih.gov/gene/?term=LIG3","NCBI")</f>
        <v>NCBI</v>
      </c>
      <c r="F14602">
        <v>0.56999999999999995</v>
      </c>
      <c r="G14602">
        <v>0.66</v>
      </c>
      <c r="H14602" s="1" t="str">
        <f>HYPERLINK("http://www.weizmann.ac.il/complex/compphys/software/geview/data/figures/204123_at.png","Figure")</f>
        <v>Figure</v>
      </c>
      <c r="I14602">
        <v>1.05</v>
      </c>
      <c r="J14602">
        <v>0.83</v>
      </c>
      <c r="K14602">
        <v>1.08</v>
      </c>
      <c r="L14602">
        <v>0.54</v>
      </c>
      <c r="M14602">
        <v>1.03</v>
      </c>
      <c r="N14602">
        <v>0.92</v>
      </c>
    </row>
    <row r="14603" spans="1:14" x14ac:dyDescent="0.25">
      <c r="A14603" t="s">
        <v>24758</v>
      </c>
      <c r="B14603" t="s">
        <v>24759</v>
      </c>
      <c r="C14603" s="1" t="str">
        <f>HYPERLINK("http://www.genecards.org/cgi-bin/carddisp.pl?gene=GNLY","GeneCards")</f>
        <v>GeneCards</v>
      </c>
      <c r="D14603" s="1" t="str">
        <f>HYPERLINK("http://genome-euro.ucsc.edu/cgi-bin/hgTracks?position=37145_at","UCSC")</f>
        <v>UCSC</v>
      </c>
      <c r="E14603" s="1" t="str">
        <f>HYPERLINK("http://www.ncbi.nlm.nih.gov/gene/?term=GNLY","NCBI")</f>
        <v>NCBI</v>
      </c>
      <c r="F14603">
        <v>0.56999999999999995</v>
      </c>
      <c r="G14603">
        <v>0.66</v>
      </c>
      <c r="H14603" s="1" t="str">
        <f>HYPERLINK("http://www.weizmann.ac.il/complex/compphys/software/geview/data/figures/37145_at.png","Figure")</f>
        <v>Figure</v>
      </c>
      <c r="I14603">
        <v>0.625</v>
      </c>
      <c r="J14603">
        <v>0.64</v>
      </c>
      <c r="K14603">
        <v>0.64500000000000002</v>
      </c>
      <c r="L14603">
        <v>0.6</v>
      </c>
      <c r="M14603">
        <v>1.03</v>
      </c>
      <c r="N14603">
        <v>1</v>
      </c>
    </row>
    <row r="14604" spans="1:14" x14ac:dyDescent="0.25">
      <c r="A14604" t="s">
        <v>24760</v>
      </c>
      <c r="B14604" t="s">
        <v>24761</v>
      </c>
      <c r="C14604" s="1" t="str">
        <f>HYPERLINK("http://www.genecards.org/cgi-bin/carddisp.pl?gene=C7orf28B","GeneCards")</f>
        <v>GeneCards</v>
      </c>
      <c r="D14604" s="1" t="str">
        <f>HYPERLINK("http://genome-euro.ucsc.edu/cgi-bin/hgTracks?position=215024_at","UCSC")</f>
        <v>UCSC</v>
      </c>
      <c r="E14604" s="1" t="str">
        <f>HYPERLINK("http://www.ncbi.nlm.nih.gov/gene/?term=C7orf28B","NCBI")</f>
        <v>NCBI</v>
      </c>
      <c r="F14604">
        <v>0.56999999999999995</v>
      </c>
      <c r="G14604">
        <v>0.66</v>
      </c>
      <c r="H14604" s="1" t="str">
        <f>HYPERLINK("http://www.weizmann.ac.il/complex/compphys/software/geview/data/figures/215024_at.png","Figure")</f>
        <v>Figure</v>
      </c>
      <c r="I14604">
        <v>0.76800000000000002</v>
      </c>
      <c r="J14604">
        <v>0.56000000000000005</v>
      </c>
      <c r="K14604">
        <v>0.84599999999999997</v>
      </c>
      <c r="L14604">
        <v>0.73</v>
      </c>
      <c r="M14604">
        <v>1.1000000000000001</v>
      </c>
      <c r="N14604">
        <v>0.91</v>
      </c>
    </row>
    <row r="14605" spans="1:14" x14ac:dyDescent="0.25">
      <c r="A14605" t="s">
        <v>24762</v>
      </c>
      <c r="B14605" t="s">
        <v>24763</v>
      </c>
      <c r="C14605" s="1" t="str">
        <f>HYPERLINK("http://www.genecards.org/cgi-bin/carddisp.pl?gene=RPS10 /// RPS10P5 /// RPS10P7","GeneCards")</f>
        <v>GeneCards</v>
      </c>
      <c r="D14605" s="1" t="str">
        <f>HYPERLINK("http://genome-euro.ucsc.edu/cgi-bin/hgTracks?position=217336_at","UCSC")</f>
        <v>UCSC</v>
      </c>
      <c r="E14605" s="1" t="str">
        <f>HYPERLINK("http://www.ncbi.nlm.nih.gov/gene/?term=RPS10 /// RPS10P5 /// RPS10P7","NCBI")</f>
        <v>NCBI</v>
      </c>
      <c r="F14605">
        <v>0.56999999999999995</v>
      </c>
      <c r="G14605">
        <v>0.66</v>
      </c>
      <c r="H14605" s="1" t="str">
        <f>HYPERLINK("http://www.weizmann.ac.il/complex/compphys/software/geview/data/figures/217336_at.png","Figure")</f>
        <v>Figure</v>
      </c>
      <c r="I14605">
        <v>1.0900000000000001</v>
      </c>
      <c r="J14605">
        <v>0.7</v>
      </c>
      <c r="K14605">
        <v>1.1000000000000001</v>
      </c>
      <c r="L14605">
        <v>0.56999999999999995</v>
      </c>
      <c r="M14605">
        <v>1.01</v>
      </c>
      <c r="N14605">
        <v>1</v>
      </c>
    </row>
    <row r="14606" spans="1:14" x14ac:dyDescent="0.25">
      <c r="A14606" t="s">
        <v>24764</v>
      </c>
      <c r="B14606" t="s">
        <v>24765</v>
      </c>
      <c r="C14606" s="1" t="str">
        <f>HYPERLINK("http://www.genecards.org/cgi-bin/carddisp.pl?gene=CASC3","GeneCards")</f>
        <v>GeneCards</v>
      </c>
      <c r="D14606" s="1" t="str">
        <f>HYPERLINK("http://genome-euro.ucsc.edu/cgi-bin/hgTracks?position=207842_s_at","UCSC")</f>
        <v>UCSC</v>
      </c>
      <c r="E14606" s="1" t="str">
        <f>HYPERLINK("http://www.ncbi.nlm.nih.gov/gene/?term=CASC3","NCBI")</f>
        <v>NCBI</v>
      </c>
      <c r="F14606">
        <v>0.56999999999999995</v>
      </c>
      <c r="G14606">
        <v>0.66</v>
      </c>
      <c r="H14606" s="1" t="str">
        <f>HYPERLINK("http://www.weizmann.ac.il/complex/compphys/software/geview/data/figures/207842_s_at.png","Figure")</f>
        <v>Figure</v>
      </c>
      <c r="I14606">
        <v>0.92400000000000004</v>
      </c>
      <c r="J14606">
        <v>0.55000000000000004</v>
      </c>
      <c r="K14606">
        <v>0.97499999999999998</v>
      </c>
      <c r="L14606">
        <v>0.92</v>
      </c>
      <c r="M14606">
        <v>1.06</v>
      </c>
      <c r="N14606">
        <v>0.72</v>
      </c>
    </row>
    <row r="14607" spans="1:14" x14ac:dyDescent="0.25">
      <c r="A14607" t="s">
        <v>24766</v>
      </c>
      <c r="B14607" t="s">
        <v>24767</v>
      </c>
      <c r="C14607" s="1" t="str">
        <f>HYPERLINK("http://www.genecards.org/cgi-bin/carddisp.pl?gene=ADI1","GeneCards")</f>
        <v>GeneCards</v>
      </c>
      <c r="D14607" s="1" t="str">
        <f>HYPERLINK("http://genome-euro.ucsc.edu/cgi-bin/hgTracks?position=217761_at","UCSC")</f>
        <v>UCSC</v>
      </c>
      <c r="E14607" s="1" t="str">
        <f>HYPERLINK("http://www.ncbi.nlm.nih.gov/gene/?term=ADI1","NCBI")</f>
        <v>NCBI</v>
      </c>
      <c r="F14607">
        <v>0.56999999999999995</v>
      </c>
      <c r="G14607">
        <v>0.66</v>
      </c>
      <c r="H14607" s="1" t="str">
        <f>HYPERLINK("http://www.weizmann.ac.il/complex/compphys/software/geview/data/figures/217761_at.png","Figure")</f>
        <v>Figure</v>
      </c>
      <c r="I14607">
        <v>0.88600000000000001</v>
      </c>
      <c r="J14607">
        <v>0.87</v>
      </c>
      <c r="K14607">
        <v>1.1200000000000001</v>
      </c>
      <c r="L14607">
        <v>0.84</v>
      </c>
      <c r="M14607">
        <v>1.27</v>
      </c>
      <c r="N14607">
        <v>0.54</v>
      </c>
    </row>
    <row r="14608" spans="1:14" x14ac:dyDescent="0.25">
      <c r="A14608" t="s">
        <v>24768</v>
      </c>
      <c r="B14608" t="s">
        <v>24769</v>
      </c>
      <c r="C14608" s="1" t="str">
        <f>HYPERLINK("http://www.genecards.org/cgi-bin/carddisp.pl?gene=LOC390940","GeneCards")</f>
        <v>GeneCards</v>
      </c>
      <c r="D14608" s="1" t="str">
        <f>HYPERLINK("http://genome-euro.ucsc.edu/cgi-bin/hgTracks?position=213556_at","UCSC")</f>
        <v>UCSC</v>
      </c>
      <c r="E14608" s="1" t="str">
        <f>HYPERLINK("http://www.ncbi.nlm.nih.gov/gene/?term=LOC390940","NCBI")</f>
        <v>NCBI</v>
      </c>
      <c r="F14608">
        <v>0.56999999999999995</v>
      </c>
      <c r="G14608">
        <v>0.66</v>
      </c>
      <c r="H14608" s="1" t="str">
        <f>HYPERLINK("http://www.weizmann.ac.il/complex/compphys/software/geview/data/figures/213556_at.png","Figure")</f>
        <v>Figure</v>
      </c>
      <c r="I14608">
        <v>0.97399999999999998</v>
      </c>
      <c r="J14608">
        <v>0.94</v>
      </c>
      <c r="K14608">
        <v>0.92700000000000005</v>
      </c>
      <c r="L14608">
        <v>0.55000000000000004</v>
      </c>
      <c r="M14608">
        <v>0.95199999999999996</v>
      </c>
      <c r="N14608">
        <v>0.8</v>
      </c>
    </row>
    <row r="14609" spans="1:14" x14ac:dyDescent="0.25">
      <c r="A14609" t="s">
        <v>24770</v>
      </c>
      <c r="B14609" t="s">
        <v>16007</v>
      </c>
      <c r="C14609" s="1" t="str">
        <f>HYPERLINK("http://www.genecards.org/cgi-bin/carddisp.pl?gene=TOMM70A","GeneCards")</f>
        <v>GeneCards</v>
      </c>
      <c r="D14609" s="1" t="str">
        <f>HYPERLINK("http://genome-euro.ucsc.edu/cgi-bin/hgTracks?position=201519_at","UCSC")</f>
        <v>UCSC</v>
      </c>
      <c r="E14609" s="1" t="str">
        <f>HYPERLINK("http://www.ncbi.nlm.nih.gov/gene/?term=TOMM70A","NCBI")</f>
        <v>NCBI</v>
      </c>
      <c r="F14609">
        <v>0.56999999999999995</v>
      </c>
      <c r="G14609">
        <v>0.66</v>
      </c>
      <c r="H14609" s="1" t="str">
        <f>HYPERLINK("http://www.weizmann.ac.il/complex/compphys/software/geview/data/figures/201519_at.png","Figure")</f>
        <v>Figure</v>
      </c>
      <c r="I14609">
        <v>1.08</v>
      </c>
      <c r="J14609">
        <v>0.9</v>
      </c>
      <c r="K14609">
        <v>1.17</v>
      </c>
      <c r="L14609">
        <v>0.54</v>
      </c>
      <c r="M14609">
        <v>1.0900000000000001</v>
      </c>
      <c r="N14609">
        <v>0.85</v>
      </c>
    </row>
    <row r="14610" spans="1:14" x14ac:dyDescent="0.25">
      <c r="A14610" t="s">
        <v>24771</v>
      </c>
      <c r="B14610" t="s">
        <v>24772</v>
      </c>
      <c r="C14610" s="1" t="str">
        <f>HYPERLINK("http://www.genecards.org/cgi-bin/carddisp.pl?gene=PAK7","GeneCards")</f>
        <v>GeneCards</v>
      </c>
      <c r="D14610" s="1" t="str">
        <f>HYPERLINK("http://genome-euro.ucsc.edu/cgi-bin/hgTracks?position=213990_s_at","UCSC")</f>
        <v>UCSC</v>
      </c>
      <c r="E14610" s="1" t="str">
        <f>HYPERLINK("http://www.ncbi.nlm.nih.gov/gene/?term=PAK7","NCBI")</f>
        <v>NCBI</v>
      </c>
      <c r="F14610">
        <v>0.56999999999999995</v>
      </c>
      <c r="G14610">
        <v>0.66</v>
      </c>
      <c r="H14610" s="1" t="str">
        <f>HYPERLINK("http://www.weizmann.ac.il/complex/compphys/software/geview/data/figures/213990_s_at.png","Figure")</f>
        <v>Figure</v>
      </c>
      <c r="I14610">
        <v>0.997</v>
      </c>
      <c r="J14610">
        <v>1</v>
      </c>
      <c r="K14610">
        <v>0.94699999999999995</v>
      </c>
      <c r="L14610">
        <v>0.61</v>
      </c>
      <c r="M14610">
        <v>0.95</v>
      </c>
      <c r="N14610">
        <v>0.68</v>
      </c>
    </row>
    <row r="14611" spans="1:14" x14ac:dyDescent="0.25">
      <c r="A14611" t="s">
        <v>24773</v>
      </c>
      <c r="B14611" t="s">
        <v>24774</v>
      </c>
      <c r="C14611" s="1" t="str">
        <f>HYPERLINK("http://www.genecards.org/cgi-bin/carddisp.pl?gene=YIPF4","GeneCards")</f>
        <v>GeneCards</v>
      </c>
      <c r="D14611" s="1" t="str">
        <f>HYPERLINK("http://genome-euro.ucsc.edu/cgi-bin/hgTracks?position=213999_at","UCSC")</f>
        <v>UCSC</v>
      </c>
      <c r="E14611" s="1" t="str">
        <f>HYPERLINK("http://www.ncbi.nlm.nih.gov/gene/?term=YIPF4","NCBI")</f>
        <v>NCBI</v>
      </c>
      <c r="F14611">
        <v>0.56999999999999995</v>
      </c>
      <c r="G14611">
        <v>0.66</v>
      </c>
      <c r="H14611" s="1" t="str">
        <f>HYPERLINK("http://www.weizmann.ac.il/complex/compphys/software/geview/data/figures/213999_at.png","Figure")</f>
        <v>Figure</v>
      </c>
      <c r="I14611">
        <v>1.02</v>
      </c>
      <c r="J14611">
        <v>0.93</v>
      </c>
      <c r="K14611">
        <v>1.05</v>
      </c>
      <c r="L14611">
        <v>0.55000000000000004</v>
      </c>
      <c r="M14611">
        <v>1.03</v>
      </c>
      <c r="N14611">
        <v>0.82</v>
      </c>
    </row>
    <row r="14612" spans="1:14" x14ac:dyDescent="0.25">
      <c r="A14612" t="s">
        <v>24775</v>
      </c>
      <c r="B14612" t="s">
        <v>24776</v>
      </c>
      <c r="C14612" s="1" t="str">
        <f>HYPERLINK("http://www.genecards.org/cgi-bin/carddisp.pl?gene=IGK@ /// IGKC /// IGKV1-5 /// LOC652694","GeneCards")</f>
        <v>GeneCards</v>
      </c>
      <c r="D14612" s="1" t="str">
        <f>HYPERLINK("http://genome-euro.ucsc.edu/cgi-bin/hgTracks?position=216576_x_at","UCSC")</f>
        <v>UCSC</v>
      </c>
      <c r="E14612" s="1" t="str">
        <f>HYPERLINK("http://www.ncbi.nlm.nih.gov/gene/?term=IGK@ /// IGKC /// IGKV1-5 /// LOC652694","NCBI")</f>
        <v>NCBI</v>
      </c>
      <c r="F14612">
        <v>0.56999999999999995</v>
      </c>
      <c r="G14612">
        <v>0.66</v>
      </c>
      <c r="H14612" s="1" t="str">
        <f>HYPERLINK("http://www.weizmann.ac.il/complex/compphys/software/geview/data/figures/216576_x_at.png","Figure")</f>
        <v>Figure</v>
      </c>
      <c r="I14612">
        <v>0.91200000000000003</v>
      </c>
      <c r="J14612">
        <v>0.82</v>
      </c>
      <c r="K14612">
        <v>0.86699999999999999</v>
      </c>
      <c r="L14612">
        <v>0.54</v>
      </c>
      <c r="M14612">
        <v>0.95</v>
      </c>
      <c r="N14612">
        <v>0.93</v>
      </c>
    </row>
    <row r="14613" spans="1:14" x14ac:dyDescent="0.25">
      <c r="A14613" t="s">
        <v>24777</v>
      </c>
      <c r="B14613" t="s">
        <v>13133</v>
      </c>
      <c r="C14613" s="1" t="str">
        <f>HYPERLINK("http://www.genecards.org/cgi-bin/carddisp.pl?gene=HEMK1","GeneCards")</f>
        <v>GeneCards</v>
      </c>
      <c r="D14613" s="1" t="str">
        <f>HYPERLINK("http://genome-euro.ucsc.edu/cgi-bin/hgTracks?position=218621_at","UCSC")</f>
        <v>UCSC</v>
      </c>
      <c r="E14613" s="1" t="str">
        <f>HYPERLINK("http://www.ncbi.nlm.nih.gov/gene/?term=HEMK1","NCBI")</f>
        <v>NCBI</v>
      </c>
      <c r="F14613">
        <v>0.56999999999999995</v>
      </c>
      <c r="G14613">
        <v>0.66</v>
      </c>
      <c r="H14613" s="1" t="str">
        <f>HYPERLINK("http://www.weizmann.ac.il/complex/compphys/software/geview/data/figures/218621_at.png","Figure")</f>
        <v>Figure</v>
      </c>
      <c r="I14613">
        <v>0.95699999999999996</v>
      </c>
      <c r="J14613">
        <v>0.87</v>
      </c>
      <c r="K14613">
        <v>0.91900000000000004</v>
      </c>
      <c r="L14613">
        <v>0.54</v>
      </c>
      <c r="M14613">
        <v>0.96</v>
      </c>
      <c r="N14613">
        <v>0.88</v>
      </c>
    </row>
    <row r="14614" spans="1:14" x14ac:dyDescent="0.25">
      <c r="A14614" t="s">
        <v>24778</v>
      </c>
      <c r="B14614" t="s">
        <v>24779</v>
      </c>
      <c r="C14614" s="1" t="str">
        <f>HYPERLINK("http://www.genecards.org/cgi-bin/carddisp.pl?gene=CALCOCO2","GeneCards")</f>
        <v>GeneCards</v>
      </c>
      <c r="D14614" s="1" t="str">
        <f>HYPERLINK("http://genome-euro.ucsc.edu/cgi-bin/hgTracks?position=210817_s_at","UCSC")</f>
        <v>UCSC</v>
      </c>
      <c r="E14614" s="1" t="str">
        <f>HYPERLINK("http://www.ncbi.nlm.nih.gov/gene/?term=CALCOCO2","NCBI")</f>
        <v>NCBI</v>
      </c>
      <c r="F14614">
        <v>0.56999999999999995</v>
      </c>
      <c r="G14614">
        <v>0.66</v>
      </c>
      <c r="H14614" s="1" t="str">
        <f>HYPERLINK("http://www.weizmann.ac.il/complex/compphys/software/geview/data/figures/210817_s_at.png","Figure")</f>
        <v>Figure</v>
      </c>
      <c r="I14614">
        <v>1.2</v>
      </c>
      <c r="J14614">
        <v>0.67</v>
      </c>
      <c r="K14614">
        <v>1.2</v>
      </c>
      <c r="L14614">
        <v>0.59</v>
      </c>
      <c r="M14614">
        <v>1</v>
      </c>
      <c r="N14614">
        <v>1</v>
      </c>
    </row>
    <row r="14615" spans="1:14" x14ac:dyDescent="0.25">
      <c r="A14615" t="s">
        <v>24780</v>
      </c>
      <c r="B14615" t="s">
        <v>24781</v>
      </c>
      <c r="C14615" s="1" t="str">
        <f>HYPERLINK("http://www.genecards.org/cgi-bin/carddisp.pl?gene=CP110","GeneCards")</f>
        <v>GeneCards</v>
      </c>
      <c r="D14615" s="1" t="str">
        <f>HYPERLINK("http://genome-euro.ucsc.edu/cgi-bin/hgTracks?position=204662_at","UCSC")</f>
        <v>UCSC</v>
      </c>
      <c r="E14615" s="1" t="str">
        <f>HYPERLINK("http://www.ncbi.nlm.nih.gov/gene/?term=CP110","NCBI")</f>
        <v>NCBI</v>
      </c>
      <c r="F14615">
        <v>0.56999999999999995</v>
      </c>
      <c r="G14615">
        <v>0.66</v>
      </c>
      <c r="H14615" s="1" t="str">
        <f>HYPERLINK("http://www.weizmann.ac.il/complex/compphys/software/geview/data/figures/204662_at.png","Figure")</f>
        <v>Figure</v>
      </c>
      <c r="I14615">
        <v>0.93899999999999995</v>
      </c>
      <c r="J14615">
        <v>0.87</v>
      </c>
      <c r="K14615">
        <v>1.07</v>
      </c>
      <c r="L14615">
        <v>0.83</v>
      </c>
      <c r="M14615">
        <v>1.1399999999999999</v>
      </c>
      <c r="N14615">
        <v>0.55000000000000004</v>
      </c>
    </row>
    <row r="14616" spans="1:14" x14ac:dyDescent="0.25">
      <c r="A14616" t="s">
        <v>24782</v>
      </c>
      <c r="B14616" t="s">
        <v>24783</v>
      </c>
      <c r="C14616" s="1" t="str">
        <f>HYPERLINK("http://www.genecards.org/cgi-bin/carddisp.pl?gene=CASR","GeneCards")</f>
        <v>GeneCards</v>
      </c>
      <c r="D14616" s="1" t="str">
        <f>HYPERLINK("http://genome-euro.ucsc.edu/cgi-bin/hgTracks?position=210577_at","UCSC")</f>
        <v>UCSC</v>
      </c>
      <c r="E14616" s="1" t="str">
        <f>HYPERLINK("http://www.ncbi.nlm.nih.gov/gene/?term=CASR","NCBI")</f>
        <v>NCBI</v>
      </c>
      <c r="F14616">
        <v>0.56999999999999995</v>
      </c>
      <c r="G14616">
        <v>0.66</v>
      </c>
      <c r="H14616" s="1" t="str">
        <f>HYPERLINK("http://www.weizmann.ac.il/complex/compphys/software/geview/data/figures/210577_at.png","Figure")</f>
        <v>Figure</v>
      </c>
      <c r="I14616">
        <v>1.1000000000000001</v>
      </c>
      <c r="J14616">
        <v>0.68</v>
      </c>
      <c r="K14616">
        <v>1.1100000000000001</v>
      </c>
      <c r="L14616">
        <v>0.57999999999999996</v>
      </c>
      <c r="M14616">
        <v>1.01</v>
      </c>
      <c r="N14616">
        <v>1</v>
      </c>
    </row>
    <row r="14617" spans="1:14" x14ac:dyDescent="0.25">
      <c r="A14617" t="s">
        <v>24784</v>
      </c>
      <c r="B14617" t="s">
        <v>24785</v>
      </c>
      <c r="C14617" s="1" t="str">
        <f>HYPERLINK("http://www.genecards.org/cgi-bin/carddisp.pl?gene=DUSP13","GeneCards")</f>
        <v>GeneCards</v>
      </c>
      <c r="D14617" s="1" t="str">
        <f>HYPERLINK("http://genome-euro.ucsc.edu/cgi-bin/hgTracks?position=219963_at","UCSC")</f>
        <v>UCSC</v>
      </c>
      <c r="E14617" s="1" t="str">
        <f>HYPERLINK("http://www.ncbi.nlm.nih.gov/gene/?term=DUSP13","NCBI")</f>
        <v>NCBI</v>
      </c>
      <c r="F14617">
        <v>0.56999999999999995</v>
      </c>
      <c r="G14617">
        <v>0.66</v>
      </c>
      <c r="H14617" s="1" t="str">
        <f>HYPERLINK("http://www.weizmann.ac.il/complex/compphys/software/geview/data/figures/219963_at.png","Figure")</f>
        <v>Figure</v>
      </c>
      <c r="I14617">
        <v>1.07</v>
      </c>
      <c r="J14617">
        <v>0.54</v>
      </c>
      <c r="K14617">
        <v>1.02</v>
      </c>
      <c r="L14617">
        <v>0.91</v>
      </c>
      <c r="M14617">
        <v>0.95399999999999996</v>
      </c>
      <c r="N14617">
        <v>0.73</v>
      </c>
    </row>
    <row r="14618" spans="1:14" x14ac:dyDescent="0.25">
      <c r="A14618" t="s">
        <v>24786</v>
      </c>
      <c r="B14618" t="s">
        <v>13517</v>
      </c>
      <c r="C14618" s="1" t="str">
        <f>HYPERLINK("http://www.genecards.org/cgi-bin/carddisp.pl?gene=DAXX","GeneCards")</f>
        <v>GeneCards</v>
      </c>
      <c r="D14618" s="1" t="str">
        <f>HYPERLINK("http://genome-euro.ucsc.edu/cgi-bin/hgTracks?position=201763_s_at","UCSC")</f>
        <v>UCSC</v>
      </c>
      <c r="E14618" s="1" t="str">
        <f>HYPERLINK("http://www.ncbi.nlm.nih.gov/gene/?term=DAXX","NCBI")</f>
        <v>NCBI</v>
      </c>
      <c r="F14618">
        <v>0.56999999999999995</v>
      </c>
      <c r="G14618">
        <v>0.66</v>
      </c>
      <c r="H14618" s="1" t="str">
        <f>HYPERLINK("http://www.weizmann.ac.il/complex/compphys/software/geview/data/figures/201763_s_at.png","Figure")</f>
        <v>Figure</v>
      </c>
      <c r="I14618">
        <v>1.05</v>
      </c>
      <c r="J14618">
        <v>0.82</v>
      </c>
      <c r="K14618">
        <v>1.07</v>
      </c>
      <c r="L14618">
        <v>0.54</v>
      </c>
      <c r="M14618">
        <v>1.03</v>
      </c>
      <c r="N14618">
        <v>0.93</v>
      </c>
    </row>
    <row r="14619" spans="1:14" x14ac:dyDescent="0.25">
      <c r="A14619" t="s">
        <v>24787</v>
      </c>
      <c r="B14619" t="s">
        <v>11881</v>
      </c>
      <c r="C14619" s="1" t="str">
        <f>HYPERLINK("http://www.genecards.org/cgi-bin/carddisp.pl?gene=ABCD4","GeneCards")</f>
        <v>GeneCards</v>
      </c>
      <c r="D14619" s="1" t="str">
        <f>HYPERLINK("http://genome-euro.ucsc.edu/cgi-bin/hgTracks?position=203982_s_at","UCSC")</f>
        <v>UCSC</v>
      </c>
      <c r="E14619" s="1" t="str">
        <f>HYPERLINK("http://www.ncbi.nlm.nih.gov/gene/?term=ABCD4","NCBI")</f>
        <v>NCBI</v>
      </c>
      <c r="F14619">
        <v>0.56999999999999995</v>
      </c>
      <c r="G14619">
        <v>0.66</v>
      </c>
      <c r="H14619" s="1" t="str">
        <f>HYPERLINK("http://www.weizmann.ac.il/complex/compphys/software/geview/data/figures/203982_s_at.png","Figure")</f>
        <v>Figure</v>
      </c>
      <c r="I14619">
        <v>1.04</v>
      </c>
      <c r="J14619">
        <v>0.82</v>
      </c>
      <c r="K14619">
        <v>0.97399999999999998</v>
      </c>
      <c r="L14619">
        <v>0.89</v>
      </c>
      <c r="M14619">
        <v>0.93700000000000006</v>
      </c>
      <c r="N14619">
        <v>0.54</v>
      </c>
    </row>
    <row r="14620" spans="1:14" x14ac:dyDescent="0.25">
      <c r="A14620" t="s">
        <v>24788</v>
      </c>
      <c r="B14620" t="s">
        <v>24789</v>
      </c>
      <c r="C14620" s="1" t="str">
        <f>HYPERLINK("http://www.genecards.org/cgi-bin/carddisp.pl?gene=FAM108A1","GeneCards")</f>
        <v>GeneCards</v>
      </c>
      <c r="D14620" s="1" t="str">
        <f>HYPERLINK("http://genome-euro.ucsc.edu/cgi-bin/hgTracks?position=221267_s_at","UCSC")</f>
        <v>UCSC</v>
      </c>
      <c r="E14620" s="1" t="str">
        <f>HYPERLINK("http://www.ncbi.nlm.nih.gov/gene/?term=FAM108A1","NCBI")</f>
        <v>NCBI</v>
      </c>
      <c r="F14620">
        <v>0.56999999999999995</v>
      </c>
      <c r="G14620">
        <v>0.66</v>
      </c>
      <c r="H14620" s="1" t="str">
        <f>HYPERLINK("http://www.weizmann.ac.il/complex/compphys/software/geview/data/figures/221267_s_at.png","Figure")</f>
        <v>Figure</v>
      </c>
      <c r="I14620">
        <v>0.95399999999999996</v>
      </c>
      <c r="J14620">
        <v>0.99</v>
      </c>
      <c r="K14620">
        <v>1.28</v>
      </c>
      <c r="L14620">
        <v>0.68</v>
      </c>
      <c r="M14620">
        <v>1.34</v>
      </c>
      <c r="N14620">
        <v>0.62</v>
      </c>
    </row>
    <row r="14621" spans="1:14" x14ac:dyDescent="0.25">
      <c r="A14621" t="s">
        <v>24790</v>
      </c>
      <c r="B14621" t="s">
        <v>11710</v>
      </c>
      <c r="C14621" s="1" t="str">
        <f>HYPERLINK("http://www.genecards.org/cgi-bin/carddisp.pl?gene=WHSC1L1","GeneCards")</f>
        <v>GeneCards</v>
      </c>
      <c r="D14621" s="1" t="str">
        <f>HYPERLINK("http://genome-euro.ucsc.edu/cgi-bin/hgTracks?position=221248_s_at","UCSC")</f>
        <v>UCSC</v>
      </c>
      <c r="E14621" s="1" t="str">
        <f>HYPERLINK("http://www.ncbi.nlm.nih.gov/gene/?term=WHSC1L1","NCBI")</f>
        <v>NCBI</v>
      </c>
      <c r="F14621">
        <v>0.56999999999999995</v>
      </c>
      <c r="G14621">
        <v>0.66</v>
      </c>
      <c r="H14621" s="1" t="str">
        <f>HYPERLINK("http://www.weizmann.ac.il/complex/compphys/software/geview/data/figures/221248_s_at.png","Figure")</f>
        <v>Figure</v>
      </c>
      <c r="I14621">
        <v>0.94499999999999995</v>
      </c>
      <c r="J14621">
        <v>0.8</v>
      </c>
      <c r="K14621">
        <v>0.92100000000000004</v>
      </c>
      <c r="L14621">
        <v>0.54</v>
      </c>
      <c r="M14621">
        <v>0.97499999999999998</v>
      </c>
      <c r="N14621">
        <v>0.95</v>
      </c>
    </row>
    <row r="14622" spans="1:14" x14ac:dyDescent="0.25">
      <c r="A14622" t="s">
        <v>24791</v>
      </c>
      <c r="B14622" t="s">
        <v>5145</v>
      </c>
      <c r="C14622" s="1" t="str">
        <f>HYPERLINK("http://www.genecards.org/cgi-bin/carddisp.pl?gene=CIITA","GeneCards")</f>
        <v>GeneCards</v>
      </c>
      <c r="D14622" s="1" t="str">
        <f>HYPERLINK("http://genome-euro.ucsc.edu/cgi-bin/hgTracks?position=205101_at","UCSC")</f>
        <v>UCSC</v>
      </c>
      <c r="E14622" s="1" t="str">
        <f>HYPERLINK("http://www.ncbi.nlm.nih.gov/gene/?term=CIITA","NCBI")</f>
        <v>NCBI</v>
      </c>
      <c r="F14622">
        <v>0.56999999999999995</v>
      </c>
      <c r="G14622">
        <v>0.66</v>
      </c>
      <c r="H14622" s="1" t="str">
        <f>HYPERLINK("http://www.weizmann.ac.il/complex/compphys/software/geview/data/figures/205101_at.png","Figure")</f>
        <v>Figure</v>
      </c>
      <c r="I14622">
        <v>1.23</v>
      </c>
      <c r="J14622">
        <v>0.75</v>
      </c>
      <c r="K14622">
        <v>1.31</v>
      </c>
      <c r="L14622">
        <v>0.55000000000000004</v>
      </c>
      <c r="M14622">
        <v>1.06</v>
      </c>
      <c r="N14622">
        <v>0.97</v>
      </c>
    </row>
    <row r="14623" spans="1:14" x14ac:dyDescent="0.25">
      <c r="A14623" t="s">
        <v>24792</v>
      </c>
      <c r="B14623" t="s">
        <v>4909</v>
      </c>
      <c r="C14623" s="1" t="str">
        <f>HYPERLINK("http://www.genecards.org/cgi-bin/carddisp.pl?gene=SYDE1","GeneCards")</f>
        <v>GeneCards</v>
      </c>
      <c r="D14623" s="1" t="str">
        <f>HYPERLINK("http://genome-euro.ucsc.edu/cgi-bin/hgTracks?position=216271_x_at","UCSC")</f>
        <v>UCSC</v>
      </c>
      <c r="E14623" s="1" t="str">
        <f>HYPERLINK("http://www.ncbi.nlm.nih.gov/gene/?term=SYDE1","NCBI")</f>
        <v>NCBI</v>
      </c>
      <c r="F14623">
        <v>0.56999999999999995</v>
      </c>
      <c r="G14623">
        <v>0.66</v>
      </c>
      <c r="H14623" s="1" t="str">
        <f>HYPERLINK("http://www.weizmann.ac.il/complex/compphys/software/geview/data/figures/216271_x_at.png","Figure")</f>
        <v>Figure</v>
      </c>
      <c r="I14623">
        <v>1.04</v>
      </c>
      <c r="J14623">
        <v>0.85</v>
      </c>
      <c r="K14623">
        <v>0.96899999999999997</v>
      </c>
      <c r="L14623">
        <v>0.85</v>
      </c>
      <c r="M14623">
        <v>0.93400000000000005</v>
      </c>
      <c r="N14623">
        <v>0.54</v>
      </c>
    </row>
    <row r="14624" spans="1:14" x14ac:dyDescent="0.25">
      <c r="A14624" t="s">
        <v>24793</v>
      </c>
      <c r="B14624" t="s">
        <v>24794</v>
      </c>
      <c r="C14624" s="1" t="str">
        <f>HYPERLINK("http://www.genecards.org/cgi-bin/carddisp.pl?gene=EDNRA","GeneCards")</f>
        <v>GeneCards</v>
      </c>
      <c r="D14624" s="1" t="str">
        <f>HYPERLINK("http://genome-euro.ucsc.edu/cgi-bin/hgTracks?position=216235_s_at","UCSC")</f>
        <v>UCSC</v>
      </c>
      <c r="E14624" s="1" t="str">
        <f>HYPERLINK("http://www.ncbi.nlm.nih.gov/gene/?term=EDNRA","NCBI")</f>
        <v>NCBI</v>
      </c>
      <c r="F14624">
        <v>0.56999999999999995</v>
      </c>
      <c r="G14624">
        <v>0.66</v>
      </c>
      <c r="H14624" s="1" t="str">
        <f>HYPERLINK("http://www.weizmann.ac.il/complex/compphys/software/geview/data/figures/216235_s_at.png","Figure")</f>
        <v>Figure</v>
      </c>
      <c r="I14624">
        <v>1</v>
      </c>
      <c r="J14624">
        <v>1</v>
      </c>
      <c r="K14624">
        <v>0.96399999999999997</v>
      </c>
      <c r="L14624">
        <v>0.65</v>
      </c>
      <c r="M14624">
        <v>0.96099999999999997</v>
      </c>
      <c r="N14624">
        <v>0.64</v>
      </c>
    </row>
    <row r="14625" spans="1:14" x14ac:dyDescent="0.25">
      <c r="A14625" t="s">
        <v>24795</v>
      </c>
      <c r="B14625" t="s">
        <v>24796</v>
      </c>
      <c r="C14625" s="1" t="str">
        <f>HYPERLINK("http://www.genecards.org/cgi-bin/carddisp.pl?gene=COL4A6","GeneCards")</f>
        <v>GeneCards</v>
      </c>
      <c r="D14625" s="1" t="str">
        <f>HYPERLINK("http://genome-euro.ucsc.edu/cgi-bin/hgTracks?position=211473_s_at","UCSC")</f>
        <v>UCSC</v>
      </c>
      <c r="E14625" s="1" t="str">
        <f>HYPERLINK("http://www.ncbi.nlm.nih.gov/gene/?term=COL4A6","NCBI")</f>
        <v>NCBI</v>
      </c>
      <c r="F14625">
        <v>0.56999999999999995</v>
      </c>
      <c r="G14625">
        <v>0.66</v>
      </c>
      <c r="H14625" s="1" t="str">
        <f>HYPERLINK("http://www.weizmann.ac.il/complex/compphys/software/geview/data/figures/211473_s_at.png","Figure")</f>
        <v>Figure</v>
      </c>
      <c r="I14625">
        <v>1.0900000000000001</v>
      </c>
      <c r="J14625">
        <v>0.56999999999999995</v>
      </c>
      <c r="K14625">
        <v>1.02</v>
      </c>
      <c r="L14625">
        <v>0.96</v>
      </c>
      <c r="M14625">
        <v>0.93700000000000006</v>
      </c>
      <c r="N14625">
        <v>0.67</v>
      </c>
    </row>
    <row r="14626" spans="1:14" x14ac:dyDescent="0.25">
      <c r="A14626" t="s">
        <v>24797</v>
      </c>
      <c r="B14626" t="s">
        <v>24798</v>
      </c>
      <c r="C14626" s="1" t="str">
        <f>HYPERLINK("http://www.genecards.org/cgi-bin/carddisp.pl?gene=RBP1","GeneCards")</f>
        <v>GeneCards</v>
      </c>
      <c r="D14626" s="1" t="str">
        <f>HYPERLINK("http://genome-euro.ucsc.edu/cgi-bin/hgTracks?position=203423_at","UCSC")</f>
        <v>UCSC</v>
      </c>
      <c r="E14626" s="1" t="str">
        <f>HYPERLINK("http://www.ncbi.nlm.nih.gov/gene/?term=RBP1","NCBI")</f>
        <v>NCBI</v>
      </c>
      <c r="F14626">
        <v>0.56999999999999995</v>
      </c>
      <c r="G14626">
        <v>0.66</v>
      </c>
      <c r="H14626" s="1" t="str">
        <f>HYPERLINK("http://www.weizmann.ac.il/complex/compphys/software/geview/data/figures/203423_at.png","Figure")</f>
        <v>Figure</v>
      </c>
      <c r="I14626">
        <v>1.03</v>
      </c>
      <c r="J14626">
        <v>0.56000000000000005</v>
      </c>
      <c r="K14626">
        <v>1.02</v>
      </c>
      <c r="L14626">
        <v>0.73</v>
      </c>
      <c r="M14626">
        <v>0.98899999999999999</v>
      </c>
      <c r="N14626">
        <v>0.91</v>
      </c>
    </row>
    <row r="14627" spans="1:14" x14ac:dyDescent="0.25">
      <c r="A14627" t="s">
        <v>24799</v>
      </c>
      <c r="B14627" t="s">
        <v>24800</v>
      </c>
      <c r="C14627" s="1" t="str">
        <f>HYPERLINK("http://www.genecards.org/cgi-bin/carddisp.pl?gene=HINFP","GeneCards")</f>
        <v>GeneCards</v>
      </c>
      <c r="D14627" s="1" t="str">
        <f>HYPERLINK("http://genome-euro.ucsc.edu/cgi-bin/hgTracks?position=206495_s_at","UCSC")</f>
        <v>UCSC</v>
      </c>
      <c r="E14627" s="1" t="str">
        <f>HYPERLINK("http://www.ncbi.nlm.nih.gov/gene/?term=HINFP","NCBI")</f>
        <v>NCBI</v>
      </c>
      <c r="F14627">
        <v>0.56999999999999995</v>
      </c>
      <c r="G14627">
        <v>0.66</v>
      </c>
      <c r="H14627" s="1" t="str">
        <f>HYPERLINK("http://www.weizmann.ac.il/complex/compphys/software/geview/data/figures/206495_s_at.png","Figure")</f>
        <v>Figure</v>
      </c>
      <c r="I14627">
        <v>1.08</v>
      </c>
      <c r="J14627">
        <v>0.76</v>
      </c>
      <c r="K14627">
        <v>1.1100000000000001</v>
      </c>
      <c r="L14627">
        <v>0.55000000000000004</v>
      </c>
      <c r="M14627">
        <v>1.03</v>
      </c>
      <c r="N14627">
        <v>0.97</v>
      </c>
    </row>
    <row r="14628" spans="1:14" x14ac:dyDescent="0.25">
      <c r="A14628" t="s">
        <v>24801</v>
      </c>
      <c r="B14628" t="s">
        <v>23421</v>
      </c>
      <c r="C14628" s="1" t="str">
        <f>HYPERLINK("http://www.genecards.org/cgi-bin/carddisp.pl?gene=EIF2AK1","GeneCards")</f>
        <v>GeneCards</v>
      </c>
      <c r="D14628" s="1" t="str">
        <f>HYPERLINK("http://genome-euro.ucsc.edu/cgi-bin/hgTracks?position=217736_s_at","UCSC")</f>
        <v>UCSC</v>
      </c>
      <c r="E14628" s="1" t="str">
        <f>HYPERLINK("http://www.ncbi.nlm.nih.gov/gene/?term=EIF2AK1","NCBI")</f>
        <v>NCBI</v>
      </c>
      <c r="F14628">
        <v>0.56999999999999995</v>
      </c>
      <c r="G14628">
        <v>0.66</v>
      </c>
      <c r="H14628" s="1" t="str">
        <f>HYPERLINK("http://www.weizmann.ac.il/complex/compphys/software/geview/data/figures/217736_s_at.png","Figure")</f>
        <v>Figure</v>
      </c>
      <c r="I14628">
        <v>0.91800000000000004</v>
      </c>
      <c r="J14628">
        <v>0.79</v>
      </c>
      <c r="K14628">
        <v>1.05</v>
      </c>
      <c r="L14628">
        <v>0.91</v>
      </c>
      <c r="M14628">
        <v>1.1399999999999999</v>
      </c>
      <c r="N14628">
        <v>0.54</v>
      </c>
    </row>
    <row r="14629" spans="1:14" x14ac:dyDescent="0.25">
      <c r="A14629" t="s">
        <v>24802</v>
      </c>
      <c r="B14629" t="s">
        <v>24803</v>
      </c>
      <c r="C14629" s="1" t="str">
        <f>HYPERLINK("http://www.genecards.org/cgi-bin/carddisp.pl?gene=TMEM48","GeneCards")</f>
        <v>GeneCards</v>
      </c>
      <c r="D14629" s="1" t="str">
        <f>HYPERLINK("http://genome-euro.ucsc.edu/cgi-bin/hgTracks?position=218073_s_at","UCSC")</f>
        <v>UCSC</v>
      </c>
      <c r="E14629" s="1" t="str">
        <f>HYPERLINK("http://www.ncbi.nlm.nih.gov/gene/?term=TMEM48","NCBI")</f>
        <v>NCBI</v>
      </c>
      <c r="F14629">
        <v>0.56999999999999995</v>
      </c>
      <c r="G14629">
        <v>0.66</v>
      </c>
      <c r="H14629" s="1" t="str">
        <f>HYPERLINK("http://www.weizmann.ac.il/complex/compphys/software/geview/data/figures/218073_s_at.png","Figure")</f>
        <v>Figure</v>
      </c>
      <c r="I14629">
        <v>0.94499999999999995</v>
      </c>
      <c r="J14629">
        <v>0.68</v>
      </c>
      <c r="K14629">
        <v>0.94199999999999995</v>
      </c>
      <c r="L14629">
        <v>0.57999999999999996</v>
      </c>
      <c r="M14629">
        <v>0.997</v>
      </c>
      <c r="N14629">
        <v>1</v>
      </c>
    </row>
    <row r="14630" spans="1:14" x14ac:dyDescent="0.25">
      <c r="A14630" t="s">
        <v>24804</v>
      </c>
      <c r="B14630" t="s">
        <v>1561</v>
      </c>
      <c r="C14630" s="1" t="str">
        <f>HYPERLINK("http://www.genecards.org/cgi-bin/carddisp.pl?gene=FAM190B","GeneCards")</f>
        <v>GeneCards</v>
      </c>
      <c r="D14630" s="1" t="str">
        <f>HYPERLINK("http://genome-euro.ucsc.edu/cgi-bin/hgTracks?position=209378_s_at","UCSC")</f>
        <v>UCSC</v>
      </c>
      <c r="E14630" s="1" t="str">
        <f>HYPERLINK("http://www.ncbi.nlm.nih.gov/gene/?term=FAM190B","NCBI")</f>
        <v>NCBI</v>
      </c>
      <c r="F14630">
        <v>0.56999999999999995</v>
      </c>
      <c r="G14630">
        <v>0.66</v>
      </c>
      <c r="H14630" s="1" t="str">
        <f>HYPERLINK("http://www.weizmann.ac.il/complex/compphys/software/geview/data/figures/209378_s_at.png","Figure")</f>
        <v>Figure</v>
      </c>
      <c r="I14630">
        <v>1.01</v>
      </c>
      <c r="J14630">
        <v>1</v>
      </c>
      <c r="K14630">
        <v>0.871</v>
      </c>
      <c r="L14630">
        <v>0.65</v>
      </c>
      <c r="M14630">
        <v>0.86099999999999999</v>
      </c>
      <c r="N14630">
        <v>0.64</v>
      </c>
    </row>
    <row r="14631" spans="1:14" x14ac:dyDescent="0.25">
      <c r="A14631" t="s">
        <v>24805</v>
      </c>
      <c r="B14631" t="s">
        <v>22492</v>
      </c>
      <c r="C14631" s="1" t="str">
        <f>HYPERLINK("http://www.genecards.org/cgi-bin/carddisp.pl?gene=DCLRE1C","GeneCards")</f>
        <v>GeneCards</v>
      </c>
      <c r="D14631" s="1" t="str">
        <f>HYPERLINK("http://genome-euro.ucsc.edu/cgi-bin/hgTracks?position=222233_s_at","UCSC")</f>
        <v>UCSC</v>
      </c>
      <c r="E14631" s="1" t="str">
        <f>HYPERLINK("http://www.ncbi.nlm.nih.gov/gene/?term=DCLRE1C","NCBI")</f>
        <v>NCBI</v>
      </c>
      <c r="F14631">
        <v>0.56999999999999995</v>
      </c>
      <c r="G14631">
        <v>0.66</v>
      </c>
      <c r="H14631" s="1" t="str">
        <f>HYPERLINK("http://www.weizmann.ac.il/complex/compphys/software/geview/data/figures/222233_s_at.png","Figure")</f>
        <v>Figure</v>
      </c>
      <c r="I14631">
        <v>0.80100000000000005</v>
      </c>
      <c r="J14631">
        <v>0.77</v>
      </c>
      <c r="K14631">
        <v>1.1000000000000001</v>
      </c>
      <c r="L14631">
        <v>0.93</v>
      </c>
      <c r="M14631">
        <v>1.38</v>
      </c>
      <c r="N14631">
        <v>0.54</v>
      </c>
    </row>
    <row r="14632" spans="1:14" x14ac:dyDescent="0.25">
      <c r="A14632" t="s">
        <v>24806</v>
      </c>
      <c r="B14632" s="3">
        <v>42617</v>
      </c>
      <c r="C14632" s="1" t="str">
        <f>HYPERLINK("http://www.genecards.org/cgi-bin/carddisp.pl?gene=4-Sep","GeneCards")</f>
        <v>GeneCards</v>
      </c>
      <c r="D14632" s="1" t="str">
        <f>HYPERLINK("http://genome-euro.ucsc.edu/cgi-bin/hgTracks?position=210348_at","UCSC")</f>
        <v>UCSC</v>
      </c>
      <c r="E14632" s="1" t="str">
        <f>HYPERLINK("http://www.ncbi.nlm.nih.gov/gene/?term=4-Sep","NCBI")</f>
        <v>NCBI</v>
      </c>
      <c r="F14632">
        <v>0.56999999999999995</v>
      </c>
      <c r="G14632">
        <v>0.66</v>
      </c>
      <c r="H14632" s="1" t="str">
        <f>HYPERLINK("http://www.weizmann.ac.il/complex/compphys/software/geview/data/figures/210348_at.png","Figure")</f>
        <v>Figure</v>
      </c>
      <c r="I14632">
        <v>1.03</v>
      </c>
      <c r="J14632">
        <v>0.68</v>
      </c>
      <c r="K14632">
        <v>0.996</v>
      </c>
      <c r="L14632">
        <v>0.99</v>
      </c>
      <c r="M14632">
        <v>0.97</v>
      </c>
      <c r="N14632">
        <v>0.56000000000000005</v>
      </c>
    </row>
    <row r="14633" spans="1:14" x14ac:dyDescent="0.25">
      <c r="A14633" t="s">
        <v>24807</v>
      </c>
      <c r="B14633" t="s">
        <v>24808</v>
      </c>
      <c r="C14633" s="1" t="str">
        <f>HYPERLINK("http://www.genecards.org/cgi-bin/carddisp.pl?gene=CSNK2A2","GeneCards")</f>
        <v>GeneCards</v>
      </c>
      <c r="D14633" s="1" t="str">
        <f>HYPERLINK("http://genome-euro.ucsc.edu/cgi-bin/hgTracks?position=203575_at","UCSC")</f>
        <v>UCSC</v>
      </c>
      <c r="E14633" s="1" t="str">
        <f>HYPERLINK("http://www.ncbi.nlm.nih.gov/gene/?term=CSNK2A2","NCBI")</f>
        <v>NCBI</v>
      </c>
      <c r="F14633">
        <v>0.56999999999999995</v>
      </c>
      <c r="G14633">
        <v>0.66</v>
      </c>
      <c r="H14633" s="1" t="str">
        <f>HYPERLINK("http://www.weizmann.ac.il/complex/compphys/software/geview/data/figures/203575_at.png","Figure")</f>
        <v>Figure</v>
      </c>
      <c r="I14633">
        <v>0.94799999999999995</v>
      </c>
      <c r="J14633">
        <v>0.91</v>
      </c>
      <c r="K14633">
        <v>0.88800000000000001</v>
      </c>
      <c r="L14633">
        <v>0.55000000000000004</v>
      </c>
      <c r="M14633">
        <v>0.93600000000000005</v>
      </c>
      <c r="N14633">
        <v>0.85</v>
      </c>
    </row>
    <row r="14634" spans="1:14" x14ac:dyDescent="0.25">
      <c r="A14634" t="s">
        <v>24809</v>
      </c>
      <c r="B14634" t="s">
        <v>24810</v>
      </c>
      <c r="C14634" s="1" t="str">
        <f>HYPERLINK("http://www.genecards.org/cgi-bin/carddisp.pl?gene=DDX41","GeneCards")</f>
        <v>GeneCards</v>
      </c>
      <c r="D14634" s="1" t="str">
        <f>HYPERLINK("http://genome-euro.ucsc.edu/cgi-bin/hgTracks?position=217840_at","UCSC")</f>
        <v>UCSC</v>
      </c>
      <c r="E14634" s="1" t="str">
        <f>HYPERLINK("http://www.ncbi.nlm.nih.gov/gene/?term=DDX41","NCBI")</f>
        <v>NCBI</v>
      </c>
      <c r="F14634">
        <v>0.56999999999999995</v>
      </c>
      <c r="G14634">
        <v>0.66</v>
      </c>
      <c r="H14634" s="1" t="str">
        <f>HYPERLINK("http://www.weizmann.ac.il/complex/compphys/software/geview/data/figures/217840_at.png","Figure")</f>
        <v>Figure</v>
      </c>
      <c r="I14634">
        <v>1.21</v>
      </c>
      <c r="J14634">
        <v>0.75</v>
      </c>
      <c r="K14634">
        <v>1.28</v>
      </c>
      <c r="L14634">
        <v>0.55000000000000004</v>
      </c>
      <c r="M14634">
        <v>1.05</v>
      </c>
      <c r="N14634">
        <v>0.98</v>
      </c>
    </row>
    <row r="14635" spans="1:14" x14ac:dyDescent="0.25">
      <c r="A14635" t="s">
        <v>24811</v>
      </c>
      <c r="B14635" t="s">
        <v>24812</v>
      </c>
      <c r="C14635" s="1" t="str">
        <f>HYPERLINK("http://www.genecards.org/cgi-bin/carddisp.pl?gene=POU5F1B","GeneCards")</f>
        <v>GeneCards</v>
      </c>
      <c r="D14635" s="1" t="str">
        <f>HYPERLINK("http://genome-euro.ucsc.edu/cgi-bin/hgTracks?position=214532_x_at","UCSC")</f>
        <v>UCSC</v>
      </c>
      <c r="E14635" s="1" t="str">
        <f>HYPERLINK("http://www.ncbi.nlm.nih.gov/gene/?term=POU5F1B","NCBI")</f>
        <v>NCBI</v>
      </c>
      <c r="F14635">
        <v>0.56999999999999995</v>
      </c>
      <c r="G14635">
        <v>0.66</v>
      </c>
      <c r="H14635" s="1" t="str">
        <f>HYPERLINK("http://www.weizmann.ac.il/complex/compphys/software/geview/data/figures/214532_x_at.png","Figure")</f>
        <v>Figure</v>
      </c>
      <c r="I14635">
        <v>1.0900000000000001</v>
      </c>
      <c r="J14635">
        <v>0.56999999999999995</v>
      </c>
      <c r="K14635">
        <v>1.02</v>
      </c>
      <c r="L14635">
        <v>0.96</v>
      </c>
      <c r="M14635">
        <v>0.93700000000000006</v>
      </c>
      <c r="N14635">
        <v>0.67</v>
      </c>
    </row>
    <row r="14636" spans="1:14" x14ac:dyDescent="0.25">
      <c r="A14636" t="s">
        <v>24813</v>
      </c>
      <c r="B14636" t="s">
        <v>3651</v>
      </c>
      <c r="C14636" s="1" t="str">
        <f>HYPERLINK("http://www.genecards.org/cgi-bin/carddisp.pl?gene=GLRX3","GeneCards")</f>
        <v>GeneCards</v>
      </c>
      <c r="D14636" s="1" t="str">
        <f>HYPERLINK("http://genome-euro.ucsc.edu/cgi-bin/hgTracks?position=207506_at","UCSC")</f>
        <v>UCSC</v>
      </c>
      <c r="E14636" s="1" t="str">
        <f>HYPERLINK("http://www.ncbi.nlm.nih.gov/gene/?term=GLRX3","NCBI")</f>
        <v>NCBI</v>
      </c>
      <c r="F14636">
        <v>0.56999999999999995</v>
      </c>
      <c r="G14636">
        <v>0.66</v>
      </c>
      <c r="H14636" s="1" t="str">
        <f>HYPERLINK("http://www.weizmann.ac.il/complex/compphys/software/geview/data/figures/207506_at.png","Figure")</f>
        <v>Figure</v>
      </c>
      <c r="I14636">
        <v>1.0900000000000001</v>
      </c>
      <c r="J14636">
        <v>0.54</v>
      </c>
      <c r="K14636">
        <v>1.04</v>
      </c>
      <c r="L14636">
        <v>0.82</v>
      </c>
      <c r="M14636">
        <v>0.95499999999999996</v>
      </c>
      <c r="N14636">
        <v>0.83</v>
      </c>
    </row>
    <row r="14637" spans="1:14" x14ac:dyDescent="0.25">
      <c r="A14637" t="s">
        <v>24814</v>
      </c>
      <c r="B14637" t="s">
        <v>24815</v>
      </c>
      <c r="C14637" s="1" t="str">
        <f>HYPERLINK("http://www.genecards.org/cgi-bin/carddisp.pl?gene=PRPF38B","GeneCards")</f>
        <v>GeneCards</v>
      </c>
      <c r="D14637" s="1" t="str">
        <f>HYPERLINK("http://genome-euro.ucsc.edu/cgi-bin/hgTracks?position=218040_at","UCSC")</f>
        <v>UCSC</v>
      </c>
      <c r="E14637" s="1" t="str">
        <f>HYPERLINK("http://www.ncbi.nlm.nih.gov/gene/?term=PRPF38B","NCBI")</f>
        <v>NCBI</v>
      </c>
      <c r="F14637">
        <v>0.56999999999999995</v>
      </c>
      <c r="G14637">
        <v>0.66</v>
      </c>
      <c r="H14637" s="1" t="str">
        <f>HYPERLINK("http://www.weizmann.ac.il/complex/compphys/software/geview/data/figures/218040_at.png","Figure")</f>
        <v>Figure</v>
      </c>
      <c r="I14637">
        <v>0.90300000000000002</v>
      </c>
      <c r="J14637">
        <v>0.54</v>
      </c>
      <c r="K14637">
        <v>0.95799999999999996</v>
      </c>
      <c r="L14637">
        <v>0.86</v>
      </c>
      <c r="M14637">
        <v>1.06</v>
      </c>
      <c r="N14637">
        <v>0.78</v>
      </c>
    </row>
    <row r="14638" spans="1:14" x14ac:dyDescent="0.25">
      <c r="A14638" t="s">
        <v>24816</v>
      </c>
      <c r="B14638" t="s">
        <v>24817</v>
      </c>
      <c r="C14638" s="1" t="str">
        <f>HYPERLINK("http://www.genecards.org/cgi-bin/carddisp.pl?gene=NOL12","GeneCards")</f>
        <v>GeneCards</v>
      </c>
      <c r="D14638" s="1" t="str">
        <f>HYPERLINK("http://genome-euro.ucsc.edu/cgi-bin/hgTracks?position=222057_at","UCSC")</f>
        <v>UCSC</v>
      </c>
      <c r="E14638" s="1" t="str">
        <f>HYPERLINK("http://www.ncbi.nlm.nih.gov/gene/?term=NOL12","NCBI")</f>
        <v>NCBI</v>
      </c>
      <c r="F14638">
        <v>0.56999999999999995</v>
      </c>
      <c r="G14638">
        <v>0.66</v>
      </c>
      <c r="H14638" s="1" t="str">
        <f>HYPERLINK("http://www.weizmann.ac.il/complex/compphys/software/geview/data/figures/222057_at.png","Figure")</f>
        <v>Figure</v>
      </c>
      <c r="I14638">
        <v>0.97899999999999998</v>
      </c>
      <c r="J14638">
        <v>0.95</v>
      </c>
      <c r="K14638">
        <v>0.93600000000000005</v>
      </c>
      <c r="L14638">
        <v>0.56000000000000005</v>
      </c>
      <c r="M14638">
        <v>0.95599999999999996</v>
      </c>
      <c r="N14638">
        <v>0.79</v>
      </c>
    </row>
    <row r="14639" spans="1:14" x14ac:dyDescent="0.25">
      <c r="A14639" t="s">
        <v>24818</v>
      </c>
      <c r="B14639" t="s">
        <v>17924</v>
      </c>
      <c r="C14639" s="1" t="str">
        <f>HYPERLINK("http://www.genecards.org/cgi-bin/carddisp.pl?gene=C2orf68","GeneCards")</f>
        <v>GeneCards</v>
      </c>
      <c r="D14639" s="1" t="str">
        <f>HYPERLINK("http://genome-euro.ucsc.edu/cgi-bin/hgTracks?position=221878_at","UCSC")</f>
        <v>UCSC</v>
      </c>
      <c r="E14639" s="1" t="str">
        <f>HYPERLINK("http://www.ncbi.nlm.nih.gov/gene/?term=C2orf68","NCBI")</f>
        <v>NCBI</v>
      </c>
      <c r="F14639">
        <v>0.56999999999999995</v>
      </c>
      <c r="G14639">
        <v>0.66</v>
      </c>
      <c r="H14639" s="1" t="str">
        <f>HYPERLINK("http://www.weizmann.ac.il/complex/compphys/software/geview/data/figures/221878_at.png","Figure")</f>
        <v>Figure</v>
      </c>
      <c r="I14639">
        <v>0.91700000000000004</v>
      </c>
      <c r="J14639">
        <v>0.78</v>
      </c>
      <c r="K14639">
        <v>1.04</v>
      </c>
      <c r="L14639">
        <v>0.93</v>
      </c>
      <c r="M14639">
        <v>1.1399999999999999</v>
      </c>
      <c r="N14639">
        <v>0.54</v>
      </c>
    </row>
    <row r="14640" spans="1:14" x14ac:dyDescent="0.25">
      <c r="A14640" t="s">
        <v>24819</v>
      </c>
      <c r="B14640" t="s">
        <v>605</v>
      </c>
      <c r="C14640" s="1" t="str">
        <f>HYPERLINK("http://www.genecards.org/cgi-bin/carddisp.pl?gene=PDE4DIP","GeneCards")</f>
        <v>GeneCards</v>
      </c>
      <c r="D14640" s="1" t="str">
        <f>HYPERLINK("http://genome-euro.ucsc.edu/cgi-bin/hgTracks?position=205872_x_at","UCSC")</f>
        <v>UCSC</v>
      </c>
      <c r="E14640" s="1" t="str">
        <f>HYPERLINK("http://www.ncbi.nlm.nih.gov/gene/?term=PDE4DIP","NCBI")</f>
        <v>NCBI</v>
      </c>
      <c r="F14640">
        <v>0.56999999999999995</v>
      </c>
      <c r="G14640">
        <v>0.66</v>
      </c>
      <c r="H14640" s="1" t="str">
        <f>HYPERLINK("http://www.weizmann.ac.il/complex/compphys/software/geview/data/figures/205872_x_at.png","Figure")</f>
        <v>Figure</v>
      </c>
      <c r="I14640">
        <v>1.03</v>
      </c>
      <c r="J14640">
        <v>0.59</v>
      </c>
      <c r="K14640">
        <v>1</v>
      </c>
      <c r="L14640">
        <v>0.99</v>
      </c>
      <c r="M14640">
        <v>0.97199999999999998</v>
      </c>
      <c r="N14640">
        <v>0.63</v>
      </c>
    </row>
    <row r="14641" spans="1:14" x14ac:dyDescent="0.25">
      <c r="A14641" t="s">
        <v>24820</v>
      </c>
      <c r="B14641" t="s">
        <v>24821</v>
      </c>
      <c r="C14641" s="1" t="str">
        <f>HYPERLINK("http://www.genecards.org/cgi-bin/carddisp.pl?gene=NANS","GeneCards")</f>
        <v>GeneCards</v>
      </c>
      <c r="D14641" s="1" t="str">
        <f>HYPERLINK("http://genome-euro.ucsc.edu/cgi-bin/hgTracks?position=218189_s_at","UCSC")</f>
        <v>UCSC</v>
      </c>
      <c r="E14641" s="1" t="str">
        <f>HYPERLINK("http://www.ncbi.nlm.nih.gov/gene/?term=NANS","NCBI")</f>
        <v>NCBI</v>
      </c>
      <c r="F14641">
        <v>0.56999999999999995</v>
      </c>
      <c r="G14641">
        <v>0.66</v>
      </c>
      <c r="H14641" s="1" t="str">
        <f>HYPERLINK("http://www.weizmann.ac.il/complex/compphys/software/geview/data/figures/218189_s_at.png","Figure")</f>
        <v>Figure</v>
      </c>
      <c r="I14641">
        <v>0.87</v>
      </c>
      <c r="J14641">
        <v>0.59</v>
      </c>
      <c r="K14641">
        <v>0.98099999999999998</v>
      </c>
      <c r="L14641">
        <v>0.99</v>
      </c>
      <c r="M14641">
        <v>1.1299999999999999</v>
      </c>
      <c r="N14641">
        <v>0.64</v>
      </c>
    </row>
    <row r="14642" spans="1:14" x14ac:dyDescent="0.25">
      <c r="A14642" t="s">
        <v>24822</v>
      </c>
      <c r="B14642" t="s">
        <v>24823</v>
      </c>
      <c r="C14642" s="1" t="str">
        <f>HYPERLINK("http://www.genecards.org/cgi-bin/carddisp.pl?gene=COX6A2","GeneCards")</f>
        <v>GeneCards</v>
      </c>
      <c r="D14642" s="1" t="str">
        <f>HYPERLINK("http://genome-euro.ucsc.edu/cgi-bin/hgTracks?position=206353_at","UCSC")</f>
        <v>UCSC</v>
      </c>
      <c r="E14642" s="1" t="str">
        <f>HYPERLINK("http://www.ncbi.nlm.nih.gov/gene/?term=COX6A2","NCBI")</f>
        <v>NCBI</v>
      </c>
      <c r="F14642">
        <v>0.56999999999999995</v>
      </c>
      <c r="G14642">
        <v>0.66</v>
      </c>
      <c r="H14642" s="1" t="str">
        <f>HYPERLINK("http://www.weizmann.ac.il/complex/compphys/software/geview/data/figures/206353_at.png","Figure")</f>
        <v>Figure</v>
      </c>
      <c r="I14642">
        <v>1.1000000000000001</v>
      </c>
      <c r="J14642">
        <v>0.56000000000000005</v>
      </c>
      <c r="K14642">
        <v>1.06</v>
      </c>
      <c r="L14642">
        <v>0.74</v>
      </c>
      <c r="M14642">
        <v>0.96499999999999997</v>
      </c>
      <c r="N14642">
        <v>0.9</v>
      </c>
    </row>
    <row r="14643" spans="1:14" x14ac:dyDescent="0.25">
      <c r="A14643" t="s">
        <v>24824</v>
      </c>
      <c r="B14643" t="s">
        <v>24825</v>
      </c>
      <c r="C14643" s="1" t="str">
        <f>HYPERLINK("http://www.genecards.org/cgi-bin/carddisp.pl?gene=PFKM","GeneCards")</f>
        <v>GeneCards</v>
      </c>
      <c r="D14643" s="1" t="str">
        <f>HYPERLINK("http://genome-euro.ucsc.edu/cgi-bin/hgTracks?position=210976_s_at","UCSC")</f>
        <v>UCSC</v>
      </c>
      <c r="E14643" s="1" t="str">
        <f>HYPERLINK("http://www.ncbi.nlm.nih.gov/gene/?term=PFKM","NCBI")</f>
        <v>NCBI</v>
      </c>
      <c r="F14643">
        <v>0.56999999999999995</v>
      </c>
      <c r="G14643">
        <v>0.66</v>
      </c>
      <c r="H14643" s="1" t="str">
        <f>HYPERLINK("http://www.weizmann.ac.il/complex/compphys/software/geview/data/figures/210976_s_at.png","Figure")</f>
        <v>Figure</v>
      </c>
      <c r="I14643">
        <v>1.19</v>
      </c>
      <c r="J14643">
        <v>0.74</v>
      </c>
      <c r="K14643">
        <v>1.24</v>
      </c>
      <c r="L14643">
        <v>0.56000000000000005</v>
      </c>
      <c r="M14643">
        <v>1.04</v>
      </c>
      <c r="N14643">
        <v>0.98</v>
      </c>
    </row>
    <row r="14644" spans="1:14" x14ac:dyDescent="0.25">
      <c r="A14644" t="s">
        <v>24826</v>
      </c>
      <c r="B14644" t="s">
        <v>24694</v>
      </c>
      <c r="C14644" s="1" t="str">
        <f>HYPERLINK("http://www.genecards.org/cgi-bin/carddisp.pl?gene=TARP /// TRGC2","GeneCards")</f>
        <v>GeneCards</v>
      </c>
      <c r="D14644" s="1" t="str">
        <f>HYPERLINK("http://genome-euro.ucsc.edu/cgi-bin/hgTracks?position=211144_x_at","UCSC")</f>
        <v>UCSC</v>
      </c>
      <c r="E14644" s="1" t="str">
        <f>HYPERLINK("http://www.ncbi.nlm.nih.gov/gene/?term=TARP /// TRGC2","NCBI")</f>
        <v>NCBI</v>
      </c>
      <c r="F14644">
        <v>0.56999999999999995</v>
      </c>
      <c r="G14644">
        <v>0.66</v>
      </c>
      <c r="H14644" s="1" t="str">
        <f>HYPERLINK("http://www.weizmann.ac.il/complex/compphys/software/geview/data/figures/211144_x_at.png","Figure")</f>
        <v>Figure</v>
      </c>
      <c r="I14644">
        <v>0.73599999999999999</v>
      </c>
      <c r="J14644">
        <v>0.55000000000000004</v>
      </c>
      <c r="K14644">
        <v>0.83399999999999996</v>
      </c>
      <c r="L14644">
        <v>0.76</v>
      </c>
      <c r="M14644">
        <v>1.1299999999999999</v>
      </c>
      <c r="N14644">
        <v>0.89</v>
      </c>
    </row>
    <row r="14645" spans="1:14" x14ac:dyDescent="0.25">
      <c r="A14645" t="s">
        <v>24827</v>
      </c>
      <c r="B14645" t="s">
        <v>2067</v>
      </c>
      <c r="C14645" s="1" t="str">
        <f>HYPERLINK("http://www.genecards.org/cgi-bin/carddisp.pl?gene=CD84","GeneCards")</f>
        <v>GeneCards</v>
      </c>
      <c r="D14645" s="1" t="str">
        <f>HYPERLINK("http://genome-euro.ucsc.edu/cgi-bin/hgTracks?position=211188_at","UCSC")</f>
        <v>UCSC</v>
      </c>
      <c r="E14645" s="1" t="str">
        <f>HYPERLINK("http://www.ncbi.nlm.nih.gov/gene/?term=CD84","NCBI")</f>
        <v>NCBI</v>
      </c>
      <c r="F14645">
        <v>0.56999999999999995</v>
      </c>
      <c r="G14645">
        <v>0.66</v>
      </c>
      <c r="H14645" s="1" t="str">
        <f>HYPERLINK("http://www.weizmann.ac.il/complex/compphys/software/geview/data/figures/211188_at.png","Figure")</f>
        <v>Figure</v>
      </c>
      <c r="I14645">
        <v>1.04</v>
      </c>
      <c r="J14645">
        <v>0.81</v>
      </c>
      <c r="K14645">
        <v>1.06</v>
      </c>
      <c r="L14645">
        <v>0.54</v>
      </c>
      <c r="M14645">
        <v>1.02</v>
      </c>
      <c r="N14645">
        <v>0.94</v>
      </c>
    </row>
    <row r="14646" spans="1:14" x14ac:dyDescent="0.25">
      <c r="A14646" t="s">
        <v>24828</v>
      </c>
      <c r="B14646" t="s">
        <v>24829</v>
      </c>
      <c r="C14646" s="1" t="str">
        <f>HYPERLINK("http://www.genecards.org/cgi-bin/carddisp.pl?gene=CA5B","GeneCards")</f>
        <v>GeneCards</v>
      </c>
      <c r="D14646" s="1" t="str">
        <f>HYPERLINK("http://genome-euro.ucsc.edu/cgi-bin/hgTracks?position=214082_at","UCSC")</f>
        <v>UCSC</v>
      </c>
      <c r="E14646" s="1" t="str">
        <f>HYPERLINK("http://www.ncbi.nlm.nih.gov/gene/?term=CA5B","NCBI")</f>
        <v>NCBI</v>
      </c>
      <c r="F14646">
        <v>0.56999999999999995</v>
      </c>
      <c r="G14646">
        <v>0.66</v>
      </c>
      <c r="H14646" s="1" t="str">
        <f>HYPERLINK("http://www.weizmann.ac.il/complex/compphys/software/geview/data/figures/214082_at.png","Figure")</f>
        <v>Figure</v>
      </c>
      <c r="I14646">
        <v>1.06</v>
      </c>
      <c r="J14646">
        <v>0.61</v>
      </c>
      <c r="K14646">
        <v>1.05</v>
      </c>
      <c r="L14646">
        <v>0.64</v>
      </c>
      <c r="M14646">
        <v>0.98899999999999999</v>
      </c>
      <c r="N14646">
        <v>0.98</v>
      </c>
    </row>
    <row r="14647" spans="1:14" x14ac:dyDescent="0.25">
      <c r="A14647" t="s">
        <v>24830</v>
      </c>
      <c r="B14647" t="s">
        <v>24831</v>
      </c>
      <c r="C14647" s="1" t="str">
        <f>HYPERLINK("http://www.genecards.org/cgi-bin/carddisp.pl?gene=GCGR","GeneCards")</f>
        <v>GeneCards</v>
      </c>
      <c r="D14647" s="1" t="str">
        <f>HYPERLINK("http://genome-euro.ucsc.edu/cgi-bin/hgTracks?position=210565_at","UCSC")</f>
        <v>UCSC</v>
      </c>
      <c r="E14647" s="1" t="str">
        <f>HYPERLINK("http://www.ncbi.nlm.nih.gov/gene/?term=GCGR","NCBI")</f>
        <v>NCBI</v>
      </c>
      <c r="F14647">
        <v>0.56999999999999995</v>
      </c>
      <c r="G14647">
        <v>0.66</v>
      </c>
      <c r="H14647" s="1" t="str">
        <f>HYPERLINK("http://www.weizmann.ac.il/complex/compphys/software/geview/data/figures/210565_at.png","Figure")</f>
        <v>Figure</v>
      </c>
      <c r="I14647">
        <v>1.05</v>
      </c>
      <c r="J14647">
        <v>0.65</v>
      </c>
      <c r="K14647">
        <v>0.998</v>
      </c>
      <c r="L14647">
        <v>1</v>
      </c>
      <c r="M14647">
        <v>0.94699999999999995</v>
      </c>
      <c r="N14647">
        <v>0.57999999999999996</v>
      </c>
    </row>
    <row r="14648" spans="1:14" x14ac:dyDescent="0.25">
      <c r="A14648" t="s">
        <v>24832</v>
      </c>
      <c r="B14648" t="s">
        <v>18415</v>
      </c>
      <c r="C14648" s="1" t="str">
        <f>HYPERLINK("http://www.genecards.org/cgi-bin/carddisp.pl?gene=COL18A1","GeneCards")</f>
        <v>GeneCards</v>
      </c>
      <c r="D14648" s="1" t="str">
        <f>HYPERLINK("http://genome-euro.ucsc.edu/cgi-bin/hgTracks?position=209082_s_at","UCSC")</f>
        <v>UCSC</v>
      </c>
      <c r="E14648" s="1" t="str">
        <f>HYPERLINK("http://www.ncbi.nlm.nih.gov/gene/?term=COL18A1","NCBI")</f>
        <v>NCBI</v>
      </c>
      <c r="F14648">
        <v>0.56999999999999995</v>
      </c>
      <c r="G14648">
        <v>0.66</v>
      </c>
      <c r="H14648" s="1" t="str">
        <f>HYPERLINK("http://www.weizmann.ac.il/complex/compphys/software/geview/data/figures/209082_s_at.png","Figure")</f>
        <v>Figure</v>
      </c>
      <c r="I14648">
        <v>0.91900000000000004</v>
      </c>
      <c r="J14648">
        <v>0.57999999999999996</v>
      </c>
      <c r="K14648">
        <v>0.98499999999999999</v>
      </c>
      <c r="L14648">
        <v>0.98</v>
      </c>
      <c r="M14648">
        <v>1.07</v>
      </c>
      <c r="N14648">
        <v>0.65</v>
      </c>
    </row>
    <row r="14649" spans="1:14" x14ac:dyDescent="0.25">
      <c r="A14649" t="s">
        <v>24833</v>
      </c>
      <c r="B14649" t="s">
        <v>24834</v>
      </c>
      <c r="C14649" s="1" t="str">
        <f>HYPERLINK("http://www.genecards.org/cgi-bin/carddisp.pl?gene=DUS4L","GeneCards")</f>
        <v>GeneCards</v>
      </c>
      <c r="D14649" s="1" t="str">
        <f>HYPERLINK("http://genome-euro.ucsc.edu/cgi-bin/hgTracks?position=205761_s_at","UCSC")</f>
        <v>UCSC</v>
      </c>
      <c r="E14649" s="1" t="str">
        <f>HYPERLINK("http://www.ncbi.nlm.nih.gov/gene/?term=DUS4L","NCBI")</f>
        <v>NCBI</v>
      </c>
      <c r="F14649">
        <v>0.56999999999999995</v>
      </c>
      <c r="G14649">
        <v>0.66</v>
      </c>
      <c r="H14649" s="1" t="str">
        <f>HYPERLINK("http://www.weizmann.ac.il/complex/compphys/software/geview/data/figures/205761_s_at.png","Figure")</f>
        <v>Figure</v>
      </c>
      <c r="I14649">
        <v>0.93400000000000005</v>
      </c>
      <c r="J14649">
        <v>0.7</v>
      </c>
      <c r="K14649">
        <v>0.92800000000000005</v>
      </c>
      <c r="L14649">
        <v>0.56999999999999995</v>
      </c>
      <c r="M14649">
        <v>0.99399999999999999</v>
      </c>
      <c r="N14649">
        <v>1</v>
      </c>
    </row>
    <row r="14650" spans="1:14" x14ac:dyDescent="0.25">
      <c r="A14650" t="s">
        <v>24835</v>
      </c>
      <c r="B14650" t="s">
        <v>24836</v>
      </c>
      <c r="C14650" s="1" t="str">
        <f>HYPERLINK("http://www.genecards.org/cgi-bin/carddisp.pl?gene=SERPINB3","GeneCards")</f>
        <v>GeneCards</v>
      </c>
      <c r="D14650" s="1" t="str">
        <f>HYPERLINK("http://genome-euro.ucsc.edu/cgi-bin/hgTracks?position=209719_x_at","UCSC")</f>
        <v>UCSC</v>
      </c>
      <c r="E14650" s="1" t="str">
        <f>HYPERLINK("http://www.ncbi.nlm.nih.gov/gene/?term=SERPINB3","NCBI")</f>
        <v>NCBI</v>
      </c>
      <c r="F14650">
        <v>0.56999999999999995</v>
      </c>
      <c r="G14650">
        <v>0.66</v>
      </c>
      <c r="H14650" s="1" t="str">
        <f>HYPERLINK("http://www.weizmann.ac.il/complex/compphys/software/geview/data/figures/209719_x_at.png","Figure")</f>
        <v>Figure</v>
      </c>
      <c r="I14650">
        <v>1.0900000000000001</v>
      </c>
      <c r="J14650">
        <v>0.54</v>
      </c>
      <c r="K14650">
        <v>1.04</v>
      </c>
      <c r="L14650">
        <v>0.84</v>
      </c>
      <c r="M14650">
        <v>0.95499999999999996</v>
      </c>
      <c r="N14650">
        <v>0.8</v>
      </c>
    </row>
    <row r="14651" spans="1:14" x14ac:dyDescent="0.25">
      <c r="A14651" t="s">
        <v>24837</v>
      </c>
      <c r="B14651" t="s">
        <v>24838</v>
      </c>
      <c r="C14651" s="1" t="str">
        <f>HYPERLINK("http://www.genecards.org/cgi-bin/carddisp.pl?gene=HERPUD1","GeneCards")</f>
        <v>GeneCards</v>
      </c>
      <c r="D14651" s="1" t="str">
        <f>HYPERLINK("http://genome-euro.ucsc.edu/cgi-bin/hgTracks?position=217168_s_at","UCSC")</f>
        <v>UCSC</v>
      </c>
      <c r="E14651" s="1" t="str">
        <f>HYPERLINK("http://www.ncbi.nlm.nih.gov/gene/?term=HERPUD1","NCBI")</f>
        <v>NCBI</v>
      </c>
      <c r="F14651">
        <v>0.56999999999999995</v>
      </c>
      <c r="G14651">
        <v>0.66</v>
      </c>
      <c r="H14651" s="1" t="str">
        <f>HYPERLINK("http://www.weizmann.ac.il/complex/compphys/software/geview/data/figures/217168_s_at.png","Figure")</f>
        <v>Figure</v>
      </c>
      <c r="I14651">
        <v>0.755</v>
      </c>
      <c r="J14651">
        <v>0.62</v>
      </c>
      <c r="K14651">
        <v>0.78300000000000003</v>
      </c>
      <c r="L14651">
        <v>0.63</v>
      </c>
      <c r="M14651">
        <v>1.04</v>
      </c>
      <c r="N14651">
        <v>0.99</v>
      </c>
    </row>
    <row r="14652" spans="1:14" x14ac:dyDescent="0.25">
      <c r="A14652" t="s">
        <v>24839</v>
      </c>
      <c r="B14652" t="s">
        <v>24840</v>
      </c>
      <c r="C14652" s="1" t="str">
        <f>HYPERLINK("http://www.genecards.org/cgi-bin/carddisp.pl?gene=ARL6IP5","GeneCards")</f>
        <v>GeneCards</v>
      </c>
      <c r="D14652" s="1" t="str">
        <f>HYPERLINK("http://genome-euro.ucsc.edu/cgi-bin/hgTracks?position=200761_s_at","UCSC")</f>
        <v>UCSC</v>
      </c>
      <c r="E14652" s="1" t="str">
        <f>HYPERLINK("http://www.ncbi.nlm.nih.gov/gene/?term=ARL6IP5","NCBI")</f>
        <v>NCBI</v>
      </c>
      <c r="F14652">
        <v>0.56999999999999995</v>
      </c>
      <c r="G14652">
        <v>0.66</v>
      </c>
      <c r="H14652" s="1" t="str">
        <f>HYPERLINK("http://www.weizmann.ac.il/complex/compphys/software/geview/data/figures/200761_s_at.png","Figure")</f>
        <v>Figure</v>
      </c>
      <c r="I14652">
        <v>1.1499999999999999</v>
      </c>
      <c r="J14652">
        <v>0.65</v>
      </c>
      <c r="K14652">
        <v>1.1399999999999999</v>
      </c>
      <c r="L14652">
        <v>0.6</v>
      </c>
      <c r="M14652">
        <v>0.99199999999999999</v>
      </c>
      <c r="N14652">
        <v>1</v>
      </c>
    </row>
    <row r="14653" spans="1:14" x14ac:dyDescent="0.25">
      <c r="A14653" t="s">
        <v>24841</v>
      </c>
      <c r="B14653" t="s">
        <v>24842</v>
      </c>
      <c r="C14653" s="1" t="str">
        <f>HYPERLINK("http://www.genecards.org/cgi-bin/carddisp.pl?gene=EFNA1","GeneCards")</f>
        <v>GeneCards</v>
      </c>
      <c r="D14653" s="1" t="str">
        <f>HYPERLINK("http://genome-euro.ucsc.edu/cgi-bin/hgTracks?position=202023_at","UCSC")</f>
        <v>UCSC</v>
      </c>
      <c r="E14653" s="1" t="str">
        <f>HYPERLINK("http://www.ncbi.nlm.nih.gov/gene/?term=EFNA1","NCBI")</f>
        <v>NCBI</v>
      </c>
      <c r="F14653">
        <v>0.56999999999999995</v>
      </c>
      <c r="G14653">
        <v>0.66</v>
      </c>
      <c r="H14653" s="1" t="str">
        <f>HYPERLINK("http://www.weizmann.ac.il/complex/compphys/software/geview/data/figures/202023_at.png","Figure")</f>
        <v>Figure</v>
      </c>
      <c r="I14653">
        <v>0.84</v>
      </c>
      <c r="J14653">
        <v>0.61</v>
      </c>
      <c r="K14653">
        <v>0.98799999999999999</v>
      </c>
      <c r="L14653">
        <v>1</v>
      </c>
      <c r="M14653">
        <v>1.18</v>
      </c>
      <c r="N14653">
        <v>0.61</v>
      </c>
    </row>
    <row r="14654" spans="1:14" x14ac:dyDescent="0.25">
      <c r="A14654" t="s">
        <v>24843</v>
      </c>
      <c r="B14654" t="s">
        <v>24844</v>
      </c>
      <c r="C14654" s="1" t="str">
        <f>HYPERLINK("http://www.genecards.org/cgi-bin/carddisp.pl?gene=EGFL8 /// PPT2","GeneCards")</f>
        <v>GeneCards</v>
      </c>
      <c r="D14654" s="1" t="str">
        <f>HYPERLINK("http://genome-euro.ucsc.edu/cgi-bin/hgTracks?position=209826_at","UCSC")</f>
        <v>UCSC</v>
      </c>
      <c r="E14654" s="1" t="str">
        <f>HYPERLINK("http://www.ncbi.nlm.nih.gov/gene/?term=EGFL8 /// PPT2","NCBI")</f>
        <v>NCBI</v>
      </c>
      <c r="F14654">
        <v>0.56999999999999995</v>
      </c>
      <c r="G14654">
        <v>0.66</v>
      </c>
      <c r="H14654" s="1" t="str">
        <f>HYPERLINK("http://www.weizmann.ac.il/complex/compphys/software/geview/data/figures/209826_at.png","Figure")</f>
        <v>Figure</v>
      </c>
      <c r="I14654">
        <v>0.84899999999999998</v>
      </c>
      <c r="J14654">
        <v>0.57999999999999996</v>
      </c>
      <c r="K14654">
        <v>0.97199999999999998</v>
      </c>
      <c r="L14654">
        <v>0.98</v>
      </c>
      <c r="M14654">
        <v>1.1499999999999999</v>
      </c>
      <c r="N14654">
        <v>0.65</v>
      </c>
    </row>
    <row r="14655" spans="1:14" x14ac:dyDescent="0.25">
      <c r="A14655" t="s">
        <v>24845</v>
      </c>
      <c r="B14655" t="s">
        <v>17899</v>
      </c>
      <c r="C14655" s="1" t="str">
        <f>HYPERLINK("http://www.genecards.org/cgi-bin/carddisp.pl?gene=IRGQ","GeneCards")</f>
        <v>GeneCards</v>
      </c>
      <c r="D14655" s="1" t="str">
        <f>HYPERLINK("http://genome-euro.ucsc.edu/cgi-bin/hgTracks?position=221877_at","UCSC")</f>
        <v>UCSC</v>
      </c>
      <c r="E14655" s="1" t="str">
        <f>HYPERLINK("http://www.ncbi.nlm.nih.gov/gene/?term=IRGQ","NCBI")</f>
        <v>NCBI</v>
      </c>
      <c r="F14655">
        <v>0.56999999999999995</v>
      </c>
      <c r="G14655">
        <v>0.66</v>
      </c>
      <c r="H14655" s="1" t="str">
        <f>HYPERLINK("http://www.weizmann.ac.il/complex/compphys/software/geview/data/figures/221877_at.png","Figure")</f>
        <v>Figure</v>
      </c>
      <c r="I14655">
        <v>1.08</v>
      </c>
      <c r="J14655">
        <v>0.81</v>
      </c>
      <c r="K14655">
        <v>0.95299999999999996</v>
      </c>
      <c r="L14655">
        <v>0.9</v>
      </c>
      <c r="M14655">
        <v>0.88200000000000001</v>
      </c>
      <c r="N14655">
        <v>0.54</v>
      </c>
    </row>
    <row r="14656" spans="1:14" x14ac:dyDescent="0.25">
      <c r="A14656" t="s">
        <v>24846</v>
      </c>
      <c r="B14656" t="s">
        <v>9657</v>
      </c>
      <c r="C14656" s="1" t="str">
        <f>HYPERLINK("http://www.genecards.org/cgi-bin/carddisp.pl?gene=CYTH4","GeneCards")</f>
        <v>GeneCards</v>
      </c>
      <c r="D14656" s="1" t="str">
        <f>HYPERLINK("http://genome-euro.ucsc.edu/cgi-bin/hgTracks?position=219183_s_at","UCSC")</f>
        <v>UCSC</v>
      </c>
      <c r="E14656" s="1" t="str">
        <f>HYPERLINK("http://www.ncbi.nlm.nih.gov/gene/?term=CYTH4","NCBI")</f>
        <v>NCBI</v>
      </c>
      <c r="F14656">
        <v>0.56999999999999995</v>
      </c>
      <c r="G14656">
        <v>0.66</v>
      </c>
      <c r="H14656" s="1" t="str">
        <f>HYPERLINK("http://www.weizmann.ac.il/complex/compphys/software/geview/data/figures/219183_s_at.png","Figure")</f>
        <v>Figure</v>
      </c>
      <c r="I14656">
        <v>0.77100000000000002</v>
      </c>
      <c r="J14656">
        <v>0.55000000000000004</v>
      </c>
      <c r="K14656">
        <v>0.92100000000000004</v>
      </c>
      <c r="L14656">
        <v>0.92</v>
      </c>
      <c r="M14656">
        <v>1.19</v>
      </c>
      <c r="N14656">
        <v>0.72</v>
      </c>
    </row>
    <row r="14657" spans="1:14" x14ac:dyDescent="0.25">
      <c r="A14657" t="s">
        <v>24847</v>
      </c>
      <c r="B14657" t="s">
        <v>17958</v>
      </c>
      <c r="C14657" s="1" t="str">
        <f>HYPERLINK("http://www.genecards.org/cgi-bin/carddisp.pl?gene=TRIM38","GeneCards")</f>
        <v>GeneCards</v>
      </c>
      <c r="D14657" s="1" t="str">
        <f>HYPERLINK("http://genome-euro.ucsc.edu/cgi-bin/hgTracks?position=203610_s_at","UCSC")</f>
        <v>UCSC</v>
      </c>
      <c r="E14657" s="1" t="str">
        <f>HYPERLINK("http://www.ncbi.nlm.nih.gov/gene/?term=TRIM38","NCBI")</f>
        <v>NCBI</v>
      </c>
      <c r="F14657">
        <v>0.56999999999999995</v>
      </c>
      <c r="G14657">
        <v>0.66</v>
      </c>
      <c r="H14657" s="1" t="str">
        <f>HYPERLINK("http://www.weizmann.ac.il/complex/compphys/software/geview/data/figures/203610_s_at.png","Figure")</f>
        <v>Figure</v>
      </c>
      <c r="I14657">
        <v>0.88500000000000001</v>
      </c>
      <c r="J14657">
        <v>0.78</v>
      </c>
      <c r="K14657">
        <v>0.84399999999999997</v>
      </c>
      <c r="L14657">
        <v>0.55000000000000004</v>
      </c>
      <c r="M14657">
        <v>0.95299999999999996</v>
      </c>
      <c r="N14657">
        <v>0.96</v>
      </c>
    </row>
    <row r="14658" spans="1:14" x14ac:dyDescent="0.25">
      <c r="A14658" t="s">
        <v>24848</v>
      </c>
      <c r="B14658" t="s">
        <v>24849</v>
      </c>
      <c r="C14658" s="1" t="str">
        <f>HYPERLINK("http://www.genecards.org/cgi-bin/carddisp.pl?gene=RIMBP2","GeneCards")</f>
        <v>GeneCards</v>
      </c>
      <c r="D14658" s="1" t="str">
        <f>HYPERLINK("http://genome-euro.ucsc.edu/cgi-bin/hgTracks?position=214811_at","UCSC")</f>
        <v>UCSC</v>
      </c>
      <c r="E14658" s="1" t="str">
        <f>HYPERLINK("http://www.ncbi.nlm.nih.gov/gene/?term=RIMBP2","NCBI")</f>
        <v>NCBI</v>
      </c>
      <c r="F14658">
        <v>0.56999999999999995</v>
      </c>
      <c r="G14658">
        <v>0.66</v>
      </c>
      <c r="H14658" s="1" t="str">
        <f>HYPERLINK("http://www.weizmann.ac.il/complex/compphys/software/geview/data/figures/214811_at.png","Figure")</f>
        <v>Figure</v>
      </c>
      <c r="I14658">
        <v>1</v>
      </c>
      <c r="J14658">
        <v>1</v>
      </c>
      <c r="K14658">
        <v>0.94799999999999995</v>
      </c>
      <c r="L14658">
        <v>0.65</v>
      </c>
      <c r="M14658">
        <v>0.94399999999999995</v>
      </c>
      <c r="N14658">
        <v>0.65</v>
      </c>
    </row>
    <row r="14659" spans="1:14" x14ac:dyDescent="0.25">
      <c r="A14659" t="s">
        <v>24850</v>
      </c>
      <c r="B14659" t="s">
        <v>24851</v>
      </c>
      <c r="C14659" s="1" t="str">
        <f>HYPERLINK("http://www.genecards.org/cgi-bin/carddisp.pl?gene=BCL2L10","GeneCards")</f>
        <v>GeneCards</v>
      </c>
      <c r="D14659" s="1" t="str">
        <f>HYPERLINK("http://genome-euro.ucsc.edu/cgi-bin/hgTracks?position=221320_at","UCSC")</f>
        <v>UCSC</v>
      </c>
      <c r="E14659" s="1" t="str">
        <f>HYPERLINK("http://www.ncbi.nlm.nih.gov/gene/?term=BCL2L10","NCBI")</f>
        <v>NCBI</v>
      </c>
      <c r="F14659">
        <v>0.56999999999999995</v>
      </c>
      <c r="G14659">
        <v>0.66</v>
      </c>
      <c r="H14659" s="1" t="str">
        <f>HYPERLINK("http://www.weizmann.ac.il/complex/compphys/software/geview/data/figures/221320_at.png","Figure")</f>
        <v>Figure</v>
      </c>
      <c r="I14659">
        <v>1.03</v>
      </c>
      <c r="J14659">
        <v>0.54</v>
      </c>
      <c r="K14659">
        <v>1.01</v>
      </c>
      <c r="L14659">
        <v>0.85</v>
      </c>
      <c r="M14659">
        <v>0.98299999999999998</v>
      </c>
      <c r="N14659">
        <v>0.8</v>
      </c>
    </row>
    <row r="14660" spans="1:14" x14ac:dyDescent="0.25">
      <c r="A14660" t="s">
        <v>24852</v>
      </c>
      <c r="B14660" t="s">
        <v>24853</v>
      </c>
      <c r="C14660" s="1" t="str">
        <f>HYPERLINK("http://www.genecards.org/cgi-bin/carddisp.pl?gene=AVPR1B","GeneCards")</f>
        <v>GeneCards</v>
      </c>
      <c r="D14660" s="1" t="str">
        <f>HYPERLINK("http://genome-euro.ucsc.edu/cgi-bin/hgTracks?position=208260_at","UCSC")</f>
        <v>UCSC</v>
      </c>
      <c r="E14660" s="1" t="str">
        <f>HYPERLINK("http://www.ncbi.nlm.nih.gov/gene/?term=AVPR1B","NCBI")</f>
        <v>NCBI</v>
      </c>
      <c r="F14660">
        <v>0.56999999999999995</v>
      </c>
      <c r="G14660">
        <v>0.66</v>
      </c>
      <c r="H14660" s="1" t="str">
        <f>HYPERLINK("http://www.weizmann.ac.il/complex/compphys/software/geview/data/figures/208260_at.png","Figure")</f>
        <v>Figure</v>
      </c>
      <c r="I14660">
        <v>1.08</v>
      </c>
      <c r="J14660">
        <v>0.73</v>
      </c>
      <c r="K14660">
        <v>0.97599999999999998</v>
      </c>
      <c r="L14660">
        <v>0.96</v>
      </c>
      <c r="M14660">
        <v>0.90500000000000003</v>
      </c>
      <c r="N14660">
        <v>0.55000000000000004</v>
      </c>
    </row>
    <row r="14661" spans="1:14" x14ac:dyDescent="0.25">
      <c r="A14661" t="s">
        <v>24854</v>
      </c>
      <c r="B14661" t="s">
        <v>17204</v>
      </c>
      <c r="C14661" s="1" t="str">
        <f>HYPERLINK("http://www.genecards.org/cgi-bin/carddisp.pl?gene=IPO5","GeneCards")</f>
        <v>GeneCards</v>
      </c>
      <c r="D14661" s="1" t="str">
        <f>HYPERLINK("http://genome-euro.ucsc.edu/cgi-bin/hgTracks?position=211952_at","UCSC")</f>
        <v>UCSC</v>
      </c>
      <c r="E14661" s="1" t="str">
        <f>HYPERLINK("http://www.ncbi.nlm.nih.gov/gene/?term=IPO5","NCBI")</f>
        <v>NCBI</v>
      </c>
      <c r="F14661">
        <v>0.56999999999999995</v>
      </c>
      <c r="G14661">
        <v>0.66</v>
      </c>
      <c r="H14661" s="1" t="str">
        <f>HYPERLINK("http://www.weizmann.ac.il/complex/compphys/software/geview/data/figures/211952_at.png","Figure")</f>
        <v>Figure</v>
      </c>
      <c r="I14661">
        <v>1</v>
      </c>
      <c r="J14661">
        <v>1</v>
      </c>
      <c r="K14661">
        <v>1.03</v>
      </c>
      <c r="L14661">
        <v>0.61</v>
      </c>
      <c r="M14661">
        <v>1.03</v>
      </c>
      <c r="N14661">
        <v>0.7</v>
      </c>
    </row>
    <row r="14662" spans="1:14" x14ac:dyDescent="0.25">
      <c r="A14662" t="s">
        <v>24855</v>
      </c>
      <c r="B14662" t="s">
        <v>24856</v>
      </c>
      <c r="C14662" s="1" t="str">
        <f>HYPERLINK("http://www.genecards.org/cgi-bin/carddisp.pl?gene=IFNA7","GeneCards")</f>
        <v>GeneCards</v>
      </c>
      <c r="D14662" s="1" t="str">
        <f>HYPERLINK("http://genome-euro.ucsc.edu/cgi-bin/hgTracks?position=208259_x_at","UCSC")</f>
        <v>UCSC</v>
      </c>
      <c r="E14662" s="1" t="str">
        <f>HYPERLINK("http://www.ncbi.nlm.nih.gov/gene/?term=IFNA7","NCBI")</f>
        <v>NCBI</v>
      </c>
      <c r="F14662">
        <v>0.56999999999999995</v>
      </c>
      <c r="G14662">
        <v>0.66</v>
      </c>
      <c r="H14662" s="1" t="str">
        <f>HYPERLINK("http://www.weizmann.ac.il/complex/compphys/software/geview/data/figures/208259_x_at.png","Figure")</f>
        <v>Figure</v>
      </c>
      <c r="I14662">
        <v>1.03</v>
      </c>
      <c r="J14662">
        <v>0.9</v>
      </c>
      <c r="K14662">
        <v>0.96199999999999997</v>
      </c>
      <c r="L14662">
        <v>0.81</v>
      </c>
      <c r="M14662">
        <v>0.93100000000000005</v>
      </c>
      <c r="N14662">
        <v>0.56000000000000005</v>
      </c>
    </row>
    <row r="14663" spans="1:14" x14ac:dyDescent="0.25">
      <c r="A14663" t="s">
        <v>24857</v>
      </c>
      <c r="B14663" t="s">
        <v>10930</v>
      </c>
      <c r="C14663" s="1" t="str">
        <f>HYPERLINK("http://www.genecards.org/cgi-bin/carddisp.pl?gene=IGF2R","GeneCards")</f>
        <v>GeneCards</v>
      </c>
      <c r="D14663" s="1" t="str">
        <f>HYPERLINK("http://genome-euro.ucsc.edu/cgi-bin/hgTracks?position=201393_s_at","UCSC")</f>
        <v>UCSC</v>
      </c>
      <c r="E14663" s="1" t="str">
        <f>HYPERLINK("http://www.ncbi.nlm.nih.gov/gene/?term=IGF2R","NCBI")</f>
        <v>NCBI</v>
      </c>
      <c r="F14663">
        <v>0.56999999999999995</v>
      </c>
      <c r="G14663">
        <v>0.66</v>
      </c>
      <c r="H14663" s="1" t="str">
        <f>HYPERLINK("http://www.weizmann.ac.il/complex/compphys/software/geview/data/figures/201393_s_at.png","Figure")</f>
        <v>Figure</v>
      </c>
      <c r="I14663">
        <v>1.06</v>
      </c>
      <c r="J14663">
        <v>0.98</v>
      </c>
      <c r="K14663">
        <v>0.80700000000000005</v>
      </c>
      <c r="L14663">
        <v>0.7</v>
      </c>
      <c r="M14663">
        <v>0.76300000000000001</v>
      </c>
      <c r="N14663">
        <v>0.61</v>
      </c>
    </row>
    <row r="14664" spans="1:14" x14ac:dyDescent="0.25">
      <c r="A14664" t="s">
        <v>24858</v>
      </c>
      <c r="B14664" t="s">
        <v>12282</v>
      </c>
      <c r="C14664" s="1" t="str">
        <f>HYPERLINK("http://www.genecards.org/cgi-bin/carddisp.pl?gene=S100A11","GeneCards")</f>
        <v>GeneCards</v>
      </c>
      <c r="D14664" s="1" t="str">
        <f>HYPERLINK("http://genome-euro.ucsc.edu/cgi-bin/hgTracks?position=200660_at","UCSC")</f>
        <v>UCSC</v>
      </c>
      <c r="E14664" s="1" t="str">
        <f>HYPERLINK("http://www.ncbi.nlm.nih.gov/gene/?term=S100A11","NCBI")</f>
        <v>NCBI</v>
      </c>
      <c r="F14664">
        <v>0.56999999999999995</v>
      </c>
      <c r="G14664">
        <v>0.66</v>
      </c>
      <c r="H14664" s="1" t="str">
        <f>HYPERLINK("http://www.weizmann.ac.il/complex/compphys/software/geview/data/figures/200660_at.png","Figure")</f>
        <v>Figure</v>
      </c>
      <c r="I14664">
        <v>1.06</v>
      </c>
      <c r="J14664">
        <v>0.56999999999999995</v>
      </c>
      <c r="K14664">
        <v>1.04</v>
      </c>
      <c r="L14664">
        <v>0.72</v>
      </c>
      <c r="M14664">
        <v>0.98</v>
      </c>
      <c r="N14664">
        <v>0.93</v>
      </c>
    </row>
    <row r="14665" spans="1:14" x14ac:dyDescent="0.25">
      <c r="A14665" t="s">
        <v>24859</v>
      </c>
      <c r="B14665" t="s">
        <v>24860</v>
      </c>
      <c r="C14665" s="1" t="str">
        <f>HYPERLINK("http://www.genecards.org/cgi-bin/carddisp.pl?gene=GPA33","GeneCards")</f>
        <v>GeneCards</v>
      </c>
      <c r="D14665" s="1" t="str">
        <f>HYPERLINK("http://genome-euro.ucsc.edu/cgi-bin/hgTracks?position=205929_at","UCSC")</f>
        <v>UCSC</v>
      </c>
      <c r="E14665" s="1" t="str">
        <f>HYPERLINK("http://www.ncbi.nlm.nih.gov/gene/?term=GPA33","NCBI")</f>
        <v>NCBI</v>
      </c>
      <c r="F14665">
        <v>0.56999999999999995</v>
      </c>
      <c r="G14665">
        <v>0.66</v>
      </c>
      <c r="H14665" s="1" t="str">
        <f>HYPERLINK("http://www.weizmann.ac.il/complex/compphys/software/geview/data/figures/205929_at.png","Figure")</f>
        <v>Figure</v>
      </c>
      <c r="I14665">
        <v>0.90500000000000003</v>
      </c>
      <c r="J14665">
        <v>0.59</v>
      </c>
      <c r="K14665">
        <v>0.98799999999999999</v>
      </c>
      <c r="L14665">
        <v>0.99</v>
      </c>
      <c r="M14665">
        <v>1.0900000000000001</v>
      </c>
      <c r="N14665">
        <v>0.63</v>
      </c>
    </row>
    <row r="14666" spans="1:14" x14ac:dyDescent="0.25">
      <c r="A14666" t="s">
        <v>24861</v>
      </c>
      <c r="B14666" t="s">
        <v>24862</v>
      </c>
      <c r="C14666" s="1" t="str">
        <f>HYPERLINK("http://www.genecards.org/cgi-bin/carddisp.pl?gene=DND1","GeneCards")</f>
        <v>GeneCards</v>
      </c>
      <c r="D14666" s="1" t="str">
        <f>HYPERLINK("http://genome-euro.ucsc.edu/cgi-bin/hgTracks?position=222070_at","UCSC")</f>
        <v>UCSC</v>
      </c>
      <c r="E14666" s="1" t="str">
        <f>HYPERLINK("http://www.ncbi.nlm.nih.gov/gene/?term=DND1","NCBI")</f>
        <v>NCBI</v>
      </c>
      <c r="F14666">
        <v>0.56999999999999995</v>
      </c>
      <c r="G14666">
        <v>0.66</v>
      </c>
      <c r="H14666" s="1" t="str">
        <f>HYPERLINK("http://www.weizmann.ac.il/complex/compphys/software/geview/data/figures/222070_at.png","Figure")</f>
        <v>Figure</v>
      </c>
      <c r="I14666">
        <v>1.1100000000000001</v>
      </c>
      <c r="J14666">
        <v>0.61</v>
      </c>
      <c r="K14666">
        <v>1.01</v>
      </c>
      <c r="L14666">
        <v>1</v>
      </c>
      <c r="M14666">
        <v>0.90300000000000002</v>
      </c>
      <c r="N14666">
        <v>0.61</v>
      </c>
    </row>
    <row r="14667" spans="1:14" x14ac:dyDescent="0.25">
      <c r="A14667" t="s">
        <v>24863</v>
      </c>
      <c r="B14667" t="s">
        <v>12280</v>
      </c>
      <c r="C14667" s="1" t="str">
        <f>HYPERLINK("http://www.genecards.org/cgi-bin/carddisp.pl?gene=DUSP4","GeneCards")</f>
        <v>GeneCards</v>
      </c>
      <c r="D14667" s="1" t="str">
        <f>HYPERLINK("http://genome-euro.ucsc.edu/cgi-bin/hgTracks?position=204014_at","UCSC")</f>
        <v>UCSC</v>
      </c>
      <c r="E14667" s="1" t="str">
        <f>HYPERLINK("http://www.ncbi.nlm.nih.gov/gene/?term=DUSP4","NCBI")</f>
        <v>NCBI</v>
      </c>
      <c r="F14667">
        <v>0.56999999999999995</v>
      </c>
      <c r="G14667">
        <v>0.66</v>
      </c>
      <c r="H14667" s="1" t="str">
        <f>HYPERLINK("http://www.weizmann.ac.il/complex/compphys/software/geview/data/figures/204014_at.png","Figure")</f>
        <v>Figure</v>
      </c>
      <c r="I14667">
        <v>1</v>
      </c>
      <c r="J14667">
        <v>1</v>
      </c>
      <c r="K14667">
        <v>0.93700000000000006</v>
      </c>
      <c r="L14667">
        <v>0.64</v>
      </c>
      <c r="M14667">
        <v>0.93500000000000005</v>
      </c>
      <c r="N14667">
        <v>0.66</v>
      </c>
    </row>
    <row r="14668" spans="1:14" x14ac:dyDescent="0.25">
      <c r="A14668" t="s">
        <v>24864</v>
      </c>
      <c r="B14668" t="s">
        <v>24865</v>
      </c>
      <c r="C14668" s="1" t="str">
        <f>HYPERLINK("http://www.genecards.org/cgi-bin/carddisp.pl?gene=TSPAN15","GeneCards")</f>
        <v>GeneCards</v>
      </c>
      <c r="D14668" s="1" t="str">
        <f>HYPERLINK("http://genome-euro.ucsc.edu/cgi-bin/hgTracks?position=218693_at","UCSC")</f>
        <v>UCSC</v>
      </c>
      <c r="E14668" s="1" t="str">
        <f>HYPERLINK("http://www.ncbi.nlm.nih.gov/gene/?term=TSPAN15","NCBI")</f>
        <v>NCBI</v>
      </c>
      <c r="F14668">
        <v>0.56999999999999995</v>
      </c>
      <c r="G14668">
        <v>0.66</v>
      </c>
      <c r="H14668" s="1" t="str">
        <f>HYPERLINK("http://www.weizmann.ac.il/complex/compphys/software/geview/data/figures/218693_at.png","Figure")</f>
        <v>Figure</v>
      </c>
      <c r="I14668">
        <v>1.1000000000000001</v>
      </c>
      <c r="J14668">
        <v>0.56000000000000005</v>
      </c>
      <c r="K14668">
        <v>1.02</v>
      </c>
      <c r="L14668">
        <v>0.95</v>
      </c>
      <c r="M14668">
        <v>0.93200000000000005</v>
      </c>
      <c r="N14668">
        <v>0.68</v>
      </c>
    </row>
    <row r="14669" spans="1:14" x14ac:dyDescent="0.25">
      <c r="A14669" t="s">
        <v>24866</v>
      </c>
      <c r="B14669" t="s">
        <v>24867</v>
      </c>
      <c r="C14669" s="1" t="str">
        <f>HYPERLINK("http://www.genecards.org/cgi-bin/carddisp.pl?gene=PHF7","GeneCards")</f>
        <v>GeneCards</v>
      </c>
      <c r="D14669" s="1" t="str">
        <f>HYPERLINK("http://genome-euro.ucsc.edu/cgi-bin/hgTracks?position=221611_s_at","UCSC")</f>
        <v>UCSC</v>
      </c>
      <c r="E14669" s="1" t="str">
        <f>HYPERLINK("http://www.ncbi.nlm.nih.gov/gene/?term=PHF7","NCBI")</f>
        <v>NCBI</v>
      </c>
      <c r="F14669">
        <v>0.56999999999999995</v>
      </c>
      <c r="G14669">
        <v>0.66</v>
      </c>
      <c r="H14669" s="1" t="str">
        <f>HYPERLINK("http://www.weizmann.ac.il/complex/compphys/software/geview/data/figures/221611_s_at.png","Figure")</f>
        <v>Figure</v>
      </c>
      <c r="I14669">
        <v>1</v>
      </c>
      <c r="J14669">
        <v>1</v>
      </c>
      <c r="K14669">
        <v>1.03</v>
      </c>
      <c r="L14669">
        <v>0.61</v>
      </c>
      <c r="M14669">
        <v>1.02</v>
      </c>
      <c r="N14669">
        <v>0.7</v>
      </c>
    </row>
    <row r="14670" spans="1:14" x14ac:dyDescent="0.25">
      <c r="A14670" t="s">
        <v>24868</v>
      </c>
      <c r="B14670" t="s">
        <v>24869</v>
      </c>
      <c r="C14670" s="1" t="str">
        <f>HYPERLINK("http://www.genecards.org/cgi-bin/carddisp.pl?gene=CAP1","GeneCards")</f>
        <v>GeneCards</v>
      </c>
      <c r="D14670" s="1" t="str">
        <f>HYPERLINK("http://genome-euro.ucsc.edu/cgi-bin/hgTracks?position=200625_s_at","UCSC")</f>
        <v>UCSC</v>
      </c>
      <c r="E14670" s="1" t="str">
        <f>HYPERLINK("http://www.ncbi.nlm.nih.gov/gene/?term=CAP1","NCBI")</f>
        <v>NCBI</v>
      </c>
      <c r="F14670">
        <v>0.56999999999999995</v>
      </c>
      <c r="G14670">
        <v>0.66</v>
      </c>
      <c r="H14670" s="1" t="str">
        <f>HYPERLINK("http://www.weizmann.ac.il/complex/compphys/software/geview/data/figures/200625_s_at.png","Figure")</f>
        <v>Figure</v>
      </c>
      <c r="I14670">
        <v>0.89300000000000002</v>
      </c>
      <c r="J14670">
        <v>0.88</v>
      </c>
      <c r="K14670">
        <v>1.1299999999999999</v>
      </c>
      <c r="L14670">
        <v>0.83</v>
      </c>
      <c r="M14670">
        <v>1.26</v>
      </c>
      <c r="N14670">
        <v>0.55000000000000004</v>
      </c>
    </row>
    <row r="14671" spans="1:14" x14ac:dyDescent="0.25">
      <c r="A14671" t="s">
        <v>24870</v>
      </c>
      <c r="B14671" t="s">
        <v>10870</v>
      </c>
      <c r="C14671" s="1" t="str">
        <f>HYPERLINK("http://www.genecards.org/cgi-bin/carddisp.pl?gene=NIPBL","GeneCards")</f>
        <v>GeneCards</v>
      </c>
      <c r="D14671" s="1" t="str">
        <f>HYPERLINK("http://genome-euro.ucsc.edu/cgi-bin/hgTracks?position=213918_s_at","UCSC")</f>
        <v>UCSC</v>
      </c>
      <c r="E14671" s="1" t="str">
        <f>HYPERLINK("http://www.ncbi.nlm.nih.gov/gene/?term=NIPBL","NCBI")</f>
        <v>NCBI</v>
      </c>
      <c r="F14671">
        <v>0.56999999999999995</v>
      </c>
      <c r="G14671">
        <v>0.66</v>
      </c>
      <c r="H14671" s="1" t="str">
        <f>HYPERLINK("http://www.weizmann.ac.il/complex/compphys/software/geview/data/figures/213918_s_at.png","Figure")</f>
        <v>Figure</v>
      </c>
      <c r="I14671">
        <v>1.2</v>
      </c>
      <c r="J14671">
        <v>0.55000000000000004</v>
      </c>
      <c r="K14671">
        <v>1.07</v>
      </c>
      <c r="L14671">
        <v>0.89</v>
      </c>
      <c r="M14671">
        <v>0.89100000000000001</v>
      </c>
      <c r="N14671">
        <v>0.76</v>
      </c>
    </row>
    <row r="14672" spans="1:14" x14ac:dyDescent="0.25">
      <c r="A14672" t="s">
        <v>24871</v>
      </c>
      <c r="B14672" t="s">
        <v>24872</v>
      </c>
      <c r="C14672" s="1" t="str">
        <f>HYPERLINK("http://www.genecards.org/cgi-bin/carddisp.pl?gene=ASCC2","GeneCards")</f>
        <v>GeneCards</v>
      </c>
      <c r="D14672" s="1" t="str">
        <f>HYPERLINK("http://genome-euro.ucsc.edu/cgi-bin/hgTracks?position=215684_s_at","UCSC")</f>
        <v>UCSC</v>
      </c>
      <c r="E14672" s="1" t="str">
        <f>HYPERLINK("http://www.ncbi.nlm.nih.gov/gene/?term=ASCC2","NCBI")</f>
        <v>NCBI</v>
      </c>
      <c r="F14672">
        <v>0.56999999999999995</v>
      </c>
      <c r="G14672">
        <v>0.66</v>
      </c>
      <c r="H14672" s="1" t="str">
        <f>HYPERLINK("http://www.weizmann.ac.il/complex/compphys/software/geview/data/figures/215684_s_at.png","Figure")</f>
        <v>Figure</v>
      </c>
      <c r="I14672">
        <v>0.82299999999999995</v>
      </c>
      <c r="J14672">
        <v>0.63</v>
      </c>
      <c r="K14672">
        <v>0.995</v>
      </c>
      <c r="L14672">
        <v>1</v>
      </c>
      <c r="M14672">
        <v>1.21</v>
      </c>
      <c r="N14672">
        <v>0.6</v>
      </c>
    </row>
    <row r="14673" spans="1:14" x14ac:dyDescent="0.25">
      <c r="A14673" t="s">
        <v>24873</v>
      </c>
      <c r="B14673" t="s">
        <v>24874</v>
      </c>
      <c r="C14673" s="1" t="str">
        <f>HYPERLINK("http://www.genecards.org/cgi-bin/carddisp.pl?gene=MECR","GeneCards")</f>
        <v>GeneCards</v>
      </c>
      <c r="D14673" s="1" t="str">
        <f>HYPERLINK("http://genome-euro.ucsc.edu/cgi-bin/hgTracks?position=218664_at","UCSC")</f>
        <v>UCSC</v>
      </c>
      <c r="E14673" s="1" t="str">
        <f>HYPERLINK("http://www.ncbi.nlm.nih.gov/gene/?term=MECR","NCBI")</f>
        <v>NCBI</v>
      </c>
      <c r="F14673">
        <v>0.56999999999999995</v>
      </c>
      <c r="G14673">
        <v>0.66</v>
      </c>
      <c r="H14673" s="1" t="str">
        <f>HYPERLINK("http://www.weizmann.ac.il/complex/compphys/software/geview/data/figures/218664_at.png","Figure")</f>
        <v>Figure</v>
      </c>
      <c r="I14673">
        <v>1.06</v>
      </c>
      <c r="J14673">
        <v>0.67</v>
      </c>
      <c r="K14673">
        <v>1.06</v>
      </c>
      <c r="L14673">
        <v>0.6</v>
      </c>
      <c r="M14673">
        <v>0.999</v>
      </c>
      <c r="N14673">
        <v>1</v>
      </c>
    </row>
    <row r="14674" spans="1:14" x14ac:dyDescent="0.25">
      <c r="A14674" t="s">
        <v>24875</v>
      </c>
      <c r="B14674" t="s">
        <v>24876</v>
      </c>
      <c r="C14674" s="1" t="str">
        <f>HYPERLINK("http://www.genecards.org/cgi-bin/carddisp.pl?gene=PHKG2","GeneCards")</f>
        <v>GeneCards</v>
      </c>
      <c r="D14674" s="1" t="str">
        <f>HYPERLINK("http://genome-euro.ucsc.edu/cgi-bin/hgTracks?position=203709_at","UCSC")</f>
        <v>UCSC</v>
      </c>
      <c r="E14674" s="1" t="str">
        <f>HYPERLINK("http://www.ncbi.nlm.nih.gov/gene/?term=PHKG2","NCBI")</f>
        <v>NCBI</v>
      </c>
      <c r="F14674">
        <v>0.56999999999999995</v>
      </c>
      <c r="G14674">
        <v>0.67</v>
      </c>
      <c r="H14674" s="1" t="str">
        <f>HYPERLINK("http://www.weizmann.ac.il/complex/compphys/software/geview/data/figures/203709_at.png","Figure")</f>
        <v>Figure</v>
      </c>
      <c r="I14674">
        <v>1.06</v>
      </c>
      <c r="J14674">
        <v>0.9</v>
      </c>
      <c r="K14674">
        <v>1.1299999999999999</v>
      </c>
      <c r="L14674">
        <v>0.55000000000000004</v>
      </c>
      <c r="M14674">
        <v>1.07</v>
      </c>
      <c r="N14674">
        <v>0.86</v>
      </c>
    </row>
    <row r="14675" spans="1:14" x14ac:dyDescent="0.25">
      <c r="A14675" t="s">
        <v>24877</v>
      </c>
      <c r="B14675" t="s">
        <v>24878</v>
      </c>
      <c r="C14675" s="1" t="str">
        <f>HYPERLINK("http://www.genecards.org/cgi-bin/carddisp.pl?gene=H1FX","GeneCards")</f>
        <v>GeneCards</v>
      </c>
      <c r="D14675" s="1" t="str">
        <f>HYPERLINK("http://genome-euro.ucsc.edu/cgi-bin/hgTracks?position=204805_s_at","UCSC")</f>
        <v>UCSC</v>
      </c>
      <c r="E14675" s="1" t="str">
        <f>HYPERLINK("http://www.ncbi.nlm.nih.gov/gene/?term=H1FX","NCBI")</f>
        <v>NCBI</v>
      </c>
      <c r="F14675">
        <v>0.56999999999999995</v>
      </c>
      <c r="G14675">
        <v>0.67</v>
      </c>
      <c r="H14675" s="1" t="str">
        <f>HYPERLINK("http://www.weizmann.ac.il/complex/compphys/software/geview/data/figures/204805_s_at.png","Figure")</f>
        <v>Figure</v>
      </c>
      <c r="I14675">
        <v>1.39</v>
      </c>
      <c r="J14675">
        <v>0.62</v>
      </c>
      <c r="K14675">
        <v>1.33</v>
      </c>
      <c r="L14675">
        <v>0.63</v>
      </c>
      <c r="M14675">
        <v>0.95499999999999996</v>
      </c>
      <c r="N14675">
        <v>0.99</v>
      </c>
    </row>
    <row r="14676" spans="1:14" x14ac:dyDescent="0.25">
      <c r="A14676" t="s">
        <v>24879</v>
      </c>
      <c r="B14676" t="s">
        <v>10870</v>
      </c>
      <c r="C14676" s="1" t="str">
        <f>HYPERLINK("http://www.genecards.org/cgi-bin/carddisp.pl?gene=NIPBL","GeneCards")</f>
        <v>GeneCards</v>
      </c>
      <c r="D14676" s="1" t="str">
        <f>HYPERLINK("http://genome-euro.ucsc.edu/cgi-bin/hgTracks?position=207108_s_at","UCSC")</f>
        <v>UCSC</v>
      </c>
      <c r="E14676" s="1" t="str">
        <f>HYPERLINK("http://www.ncbi.nlm.nih.gov/gene/?term=NIPBL","NCBI")</f>
        <v>NCBI</v>
      </c>
      <c r="F14676">
        <v>0.56999999999999995</v>
      </c>
      <c r="G14676">
        <v>0.67</v>
      </c>
      <c r="H14676" s="1" t="str">
        <f>HYPERLINK("http://www.weizmann.ac.il/complex/compphys/software/geview/data/figures/207108_s_at.png","Figure")</f>
        <v>Figure</v>
      </c>
      <c r="I14676">
        <v>1.0900000000000001</v>
      </c>
      <c r="J14676">
        <v>0.56000000000000005</v>
      </c>
      <c r="K14676">
        <v>1.06</v>
      </c>
      <c r="L14676">
        <v>0.74</v>
      </c>
      <c r="M14676">
        <v>0.96799999999999997</v>
      </c>
      <c r="N14676">
        <v>0.91</v>
      </c>
    </row>
    <row r="14677" spans="1:14" x14ac:dyDescent="0.25">
      <c r="A14677" t="s">
        <v>24880</v>
      </c>
      <c r="B14677" t="s">
        <v>24881</v>
      </c>
      <c r="C14677" s="1" t="str">
        <f>HYPERLINK("http://www.genecards.org/cgi-bin/carddisp.pl?gene=KLHL12","GeneCards")</f>
        <v>GeneCards</v>
      </c>
      <c r="D14677" s="1" t="str">
        <f>HYPERLINK("http://genome-euro.ucsc.edu/cgi-bin/hgTracks?position=219931_s_at","UCSC")</f>
        <v>UCSC</v>
      </c>
      <c r="E14677" s="1" t="str">
        <f>HYPERLINK("http://www.ncbi.nlm.nih.gov/gene/?term=KLHL12","NCBI")</f>
        <v>NCBI</v>
      </c>
      <c r="F14677">
        <v>0.56999999999999995</v>
      </c>
      <c r="G14677">
        <v>0.67</v>
      </c>
      <c r="H14677" s="1" t="str">
        <f>HYPERLINK("http://www.weizmann.ac.il/complex/compphys/software/geview/data/figures/219931_s_at.png","Figure")</f>
        <v>Figure</v>
      </c>
      <c r="I14677">
        <v>1.06</v>
      </c>
      <c r="J14677">
        <v>0.68</v>
      </c>
      <c r="K14677">
        <v>0.99199999999999999</v>
      </c>
      <c r="L14677">
        <v>0.99</v>
      </c>
      <c r="M14677">
        <v>0.93600000000000005</v>
      </c>
      <c r="N14677">
        <v>0.56999999999999995</v>
      </c>
    </row>
    <row r="14678" spans="1:14" x14ac:dyDescent="0.25">
      <c r="A14678" t="s">
        <v>24882</v>
      </c>
      <c r="B14678" t="s">
        <v>4323</v>
      </c>
      <c r="C14678" s="1" t="str">
        <f>HYPERLINK("http://www.genecards.org/cgi-bin/carddisp.pl?gene=OSBPL2","GeneCards")</f>
        <v>GeneCards</v>
      </c>
      <c r="D14678" s="1" t="str">
        <f>HYPERLINK("http://genome-euro.ucsc.edu/cgi-bin/hgTracks?position=209221_s_at","UCSC")</f>
        <v>UCSC</v>
      </c>
      <c r="E14678" s="1" t="str">
        <f>HYPERLINK("http://www.ncbi.nlm.nih.gov/gene/?term=OSBPL2","NCBI")</f>
        <v>NCBI</v>
      </c>
      <c r="F14678">
        <v>0.56999999999999995</v>
      </c>
      <c r="G14678">
        <v>0.67</v>
      </c>
      <c r="H14678" s="1" t="str">
        <f>HYPERLINK("http://www.weizmann.ac.il/complex/compphys/software/geview/data/figures/209221_s_at.png","Figure")</f>
        <v>Figure</v>
      </c>
      <c r="I14678">
        <v>0.98599999999999999</v>
      </c>
      <c r="J14678">
        <v>0.99</v>
      </c>
      <c r="K14678">
        <v>0.9</v>
      </c>
      <c r="L14678">
        <v>0.6</v>
      </c>
      <c r="M14678">
        <v>0.91300000000000003</v>
      </c>
      <c r="N14678">
        <v>0.71</v>
      </c>
    </row>
    <row r="14679" spans="1:14" x14ac:dyDescent="0.25">
      <c r="A14679" t="s">
        <v>24883</v>
      </c>
      <c r="B14679" t="s">
        <v>24884</v>
      </c>
      <c r="C14679" s="1" t="str">
        <f>HYPERLINK("http://www.genecards.org/cgi-bin/carddisp.pl?gene=UPB1","GeneCards")</f>
        <v>GeneCards</v>
      </c>
      <c r="D14679" s="1" t="str">
        <f>HYPERLINK("http://genome-euro.ucsc.edu/cgi-bin/hgTracks?position=220507_s_at","UCSC")</f>
        <v>UCSC</v>
      </c>
      <c r="E14679" s="1" t="str">
        <f>HYPERLINK("http://www.ncbi.nlm.nih.gov/gene/?term=UPB1","NCBI")</f>
        <v>NCBI</v>
      </c>
      <c r="F14679">
        <v>0.56999999999999995</v>
      </c>
      <c r="G14679">
        <v>0.67</v>
      </c>
      <c r="H14679" s="1" t="str">
        <f>HYPERLINK("http://www.weizmann.ac.il/complex/compphys/software/geview/data/figures/220507_s_at.png","Figure")</f>
        <v>Figure</v>
      </c>
      <c r="I14679">
        <v>0.95599999999999996</v>
      </c>
      <c r="J14679">
        <v>0.77</v>
      </c>
      <c r="K14679">
        <v>1.02</v>
      </c>
      <c r="L14679">
        <v>0.93</v>
      </c>
      <c r="M14679">
        <v>1.07</v>
      </c>
      <c r="N14679">
        <v>0.55000000000000004</v>
      </c>
    </row>
    <row r="14680" spans="1:14" x14ac:dyDescent="0.25">
      <c r="A14680" t="s">
        <v>24885</v>
      </c>
      <c r="B14680" t="s">
        <v>24886</v>
      </c>
      <c r="C14680" s="1" t="str">
        <f>HYPERLINK("http://www.genecards.org/cgi-bin/carddisp.pl?gene=CACNA1E","GeneCards")</f>
        <v>GeneCards</v>
      </c>
      <c r="D14680" s="1" t="str">
        <f>HYPERLINK("http://genome-euro.ucsc.edu/cgi-bin/hgTracks?position=208432_s_at","UCSC")</f>
        <v>UCSC</v>
      </c>
      <c r="E14680" s="1" t="str">
        <f>HYPERLINK("http://www.ncbi.nlm.nih.gov/gene/?term=CACNA1E","NCBI")</f>
        <v>NCBI</v>
      </c>
      <c r="F14680">
        <v>0.56999999999999995</v>
      </c>
      <c r="G14680">
        <v>0.67</v>
      </c>
      <c r="H14680" s="1" t="str">
        <f>HYPERLINK("http://www.weizmann.ac.il/complex/compphys/software/geview/data/figures/208432_s_at.png","Figure")</f>
        <v>Figure</v>
      </c>
      <c r="I14680">
        <v>1.03</v>
      </c>
      <c r="J14680">
        <v>0.66</v>
      </c>
      <c r="K14680">
        <v>0.997</v>
      </c>
      <c r="L14680">
        <v>1</v>
      </c>
      <c r="M14680">
        <v>0.96599999999999997</v>
      </c>
      <c r="N14680">
        <v>0.57999999999999996</v>
      </c>
    </row>
    <row r="14681" spans="1:14" x14ac:dyDescent="0.25">
      <c r="A14681" t="s">
        <v>24887</v>
      </c>
      <c r="B14681" t="s">
        <v>7807</v>
      </c>
      <c r="C14681" s="1" t="str">
        <f>HYPERLINK("http://www.genecards.org/cgi-bin/carddisp.pl?gene=UBE3A","GeneCards")</f>
        <v>GeneCards</v>
      </c>
      <c r="D14681" s="1" t="str">
        <f>HYPERLINK("http://genome-euro.ucsc.edu/cgi-bin/hgTracks?position=211575_s_at","UCSC")</f>
        <v>UCSC</v>
      </c>
      <c r="E14681" s="1" t="str">
        <f>HYPERLINK("http://www.ncbi.nlm.nih.gov/gene/?term=UBE3A","NCBI")</f>
        <v>NCBI</v>
      </c>
      <c r="F14681">
        <v>0.56999999999999995</v>
      </c>
      <c r="G14681">
        <v>0.67</v>
      </c>
      <c r="H14681" s="1" t="str">
        <f>HYPERLINK("http://www.weizmann.ac.il/complex/compphys/software/geview/data/figures/211575_s_at.png","Figure")</f>
        <v>Figure</v>
      </c>
      <c r="I14681">
        <v>1.1299999999999999</v>
      </c>
      <c r="J14681">
        <v>0.76</v>
      </c>
      <c r="K14681">
        <v>0.95199999999999996</v>
      </c>
      <c r="L14681">
        <v>0.94</v>
      </c>
      <c r="M14681">
        <v>0.84399999999999997</v>
      </c>
      <c r="N14681">
        <v>0.55000000000000004</v>
      </c>
    </row>
    <row r="14682" spans="1:14" x14ac:dyDescent="0.25">
      <c r="A14682" t="s">
        <v>24888</v>
      </c>
      <c r="B14682" t="s">
        <v>5379</v>
      </c>
      <c r="C14682" s="1" t="str">
        <f>HYPERLINK("http://www.genecards.org/cgi-bin/carddisp.pl?gene=ABCC10","GeneCards")</f>
        <v>GeneCards</v>
      </c>
      <c r="D14682" s="1" t="str">
        <f>HYPERLINK("http://genome-euro.ucsc.edu/cgi-bin/hgTracks?position=213485_s_at","UCSC")</f>
        <v>UCSC</v>
      </c>
      <c r="E14682" s="1" t="str">
        <f>HYPERLINK("http://www.ncbi.nlm.nih.gov/gene/?term=ABCC10","NCBI")</f>
        <v>NCBI</v>
      </c>
      <c r="F14682">
        <v>0.56999999999999995</v>
      </c>
      <c r="G14682">
        <v>0.67</v>
      </c>
      <c r="H14682" s="1" t="str">
        <f>HYPERLINK("http://www.weizmann.ac.il/complex/compphys/software/geview/data/figures/213485_s_at.png","Figure")</f>
        <v>Figure</v>
      </c>
      <c r="I14682">
        <v>0.85599999999999998</v>
      </c>
      <c r="J14682">
        <v>0.55000000000000004</v>
      </c>
      <c r="K14682">
        <v>0.92600000000000005</v>
      </c>
      <c r="L14682">
        <v>0.82</v>
      </c>
      <c r="M14682">
        <v>1.08</v>
      </c>
      <c r="N14682">
        <v>0.83</v>
      </c>
    </row>
    <row r="14683" spans="1:14" x14ac:dyDescent="0.25">
      <c r="A14683" t="s">
        <v>24889</v>
      </c>
      <c r="B14683" t="s">
        <v>24890</v>
      </c>
      <c r="C14683" s="1" t="str">
        <f>HYPERLINK("http://www.genecards.org/cgi-bin/carddisp.pl?gene=A2BP1","GeneCards")</f>
        <v>GeneCards</v>
      </c>
      <c r="D14683" s="1" t="str">
        <f>HYPERLINK("http://genome-euro.ucsc.edu/cgi-bin/hgTracks?position=221217_s_at","UCSC")</f>
        <v>UCSC</v>
      </c>
      <c r="E14683" s="1" t="str">
        <f>HYPERLINK("http://www.ncbi.nlm.nih.gov/gene/?term=A2BP1","NCBI")</f>
        <v>NCBI</v>
      </c>
      <c r="F14683">
        <v>0.56999999999999995</v>
      </c>
      <c r="G14683">
        <v>0.67</v>
      </c>
      <c r="H14683" s="1" t="str">
        <f>HYPERLINK("http://www.weizmann.ac.il/complex/compphys/software/geview/data/figures/221217_s_at.png","Figure")</f>
        <v>Figure</v>
      </c>
      <c r="I14683">
        <v>1.05</v>
      </c>
      <c r="J14683">
        <v>0.55000000000000004</v>
      </c>
      <c r="K14683">
        <v>1.02</v>
      </c>
      <c r="L14683">
        <v>0.86</v>
      </c>
      <c r="M14683">
        <v>0.97299999999999998</v>
      </c>
      <c r="N14683">
        <v>0.79</v>
      </c>
    </row>
    <row r="14684" spans="1:14" x14ac:dyDescent="0.25">
      <c r="A14684" t="s">
        <v>24891</v>
      </c>
      <c r="B14684" t="s">
        <v>24892</v>
      </c>
      <c r="C14684" s="1" t="str">
        <f>HYPERLINK("http://www.genecards.org/cgi-bin/carddisp.pl?gene=DNM3","GeneCards")</f>
        <v>GeneCards</v>
      </c>
      <c r="D14684" s="1" t="str">
        <f>HYPERLINK("http://genome-euro.ucsc.edu/cgi-bin/hgTracks?position=209839_at","UCSC")</f>
        <v>UCSC</v>
      </c>
      <c r="E14684" s="1" t="str">
        <f>HYPERLINK("http://www.ncbi.nlm.nih.gov/gene/?term=DNM3","NCBI")</f>
        <v>NCBI</v>
      </c>
      <c r="F14684">
        <v>0.56999999999999995</v>
      </c>
      <c r="G14684">
        <v>0.67</v>
      </c>
      <c r="H14684" s="1" t="str">
        <f>HYPERLINK("http://www.weizmann.ac.il/complex/compphys/software/geview/data/figures/209839_at.png","Figure")</f>
        <v>Figure</v>
      </c>
      <c r="I14684">
        <v>0.98799999999999999</v>
      </c>
      <c r="J14684">
        <v>0.55000000000000004</v>
      </c>
      <c r="K14684">
        <v>0.99299999999999999</v>
      </c>
      <c r="L14684">
        <v>0.77</v>
      </c>
      <c r="M14684">
        <v>1.01</v>
      </c>
      <c r="N14684">
        <v>0.88</v>
      </c>
    </row>
    <row r="14685" spans="1:14" x14ac:dyDescent="0.25">
      <c r="A14685" t="s">
        <v>24893</v>
      </c>
      <c r="B14685" t="s">
        <v>24894</v>
      </c>
      <c r="C14685" s="1" t="str">
        <f>HYPERLINK("http://www.genecards.org/cgi-bin/carddisp.pl?gene=MEGF6","GeneCards")</f>
        <v>GeneCards</v>
      </c>
      <c r="D14685" s="1" t="str">
        <f>HYPERLINK("http://genome-euro.ucsc.edu/cgi-bin/hgTracks?position=213942_at","UCSC")</f>
        <v>UCSC</v>
      </c>
      <c r="E14685" s="1" t="str">
        <f>HYPERLINK("http://www.ncbi.nlm.nih.gov/gene/?term=MEGF6","NCBI")</f>
        <v>NCBI</v>
      </c>
      <c r="F14685">
        <v>0.57999999999999996</v>
      </c>
      <c r="G14685">
        <v>0.67</v>
      </c>
      <c r="H14685" s="1" t="str">
        <f>HYPERLINK("http://www.weizmann.ac.il/complex/compphys/software/geview/data/figures/213942_at.png","Figure")</f>
        <v>Figure</v>
      </c>
      <c r="I14685">
        <v>0.875</v>
      </c>
      <c r="J14685">
        <v>0.6</v>
      </c>
      <c r="K14685">
        <v>0.9</v>
      </c>
      <c r="L14685">
        <v>0.66</v>
      </c>
      <c r="M14685">
        <v>1.03</v>
      </c>
      <c r="N14685">
        <v>0.97</v>
      </c>
    </row>
    <row r="14686" spans="1:14" x14ac:dyDescent="0.25">
      <c r="A14686" t="s">
        <v>24895</v>
      </c>
      <c r="B14686" t="s">
        <v>24896</v>
      </c>
      <c r="C14686" s="1" t="str">
        <f>HYPERLINK("http://www.genecards.org/cgi-bin/carddisp.pl?gene=ATXN7L1","GeneCards")</f>
        <v>GeneCards</v>
      </c>
      <c r="D14686" s="1" t="str">
        <f>HYPERLINK("http://genome-euro.ucsc.edu/cgi-bin/hgTracks?position=214342_at","UCSC")</f>
        <v>UCSC</v>
      </c>
      <c r="E14686" s="1" t="str">
        <f>HYPERLINK("http://www.ncbi.nlm.nih.gov/gene/?term=ATXN7L1","NCBI")</f>
        <v>NCBI</v>
      </c>
      <c r="F14686">
        <v>0.57999999999999996</v>
      </c>
      <c r="G14686">
        <v>0.67</v>
      </c>
      <c r="H14686" s="1" t="str">
        <f>HYPERLINK("http://www.weizmann.ac.il/complex/compphys/software/geview/data/figures/214342_at.png","Figure")</f>
        <v>Figure</v>
      </c>
      <c r="I14686">
        <v>0.97399999999999998</v>
      </c>
      <c r="J14686">
        <v>0.63</v>
      </c>
      <c r="K14686">
        <v>1</v>
      </c>
      <c r="L14686">
        <v>1</v>
      </c>
      <c r="M14686">
        <v>1.03</v>
      </c>
      <c r="N14686">
        <v>0.6</v>
      </c>
    </row>
    <row r="14687" spans="1:14" x14ac:dyDescent="0.25">
      <c r="A14687" t="s">
        <v>24897</v>
      </c>
      <c r="B14687" t="s">
        <v>14607</v>
      </c>
      <c r="C14687" s="1" t="str">
        <f>HYPERLINK("http://www.genecards.org/cgi-bin/carddisp.pl?gene=TRD@","GeneCards")</f>
        <v>GeneCards</v>
      </c>
      <c r="D14687" s="1" t="str">
        <f>HYPERLINK("http://genome-euro.ucsc.edu/cgi-bin/hgTracks?position=216133_at","UCSC")</f>
        <v>UCSC</v>
      </c>
      <c r="E14687" s="1" t="str">
        <f>HYPERLINK("http://www.ncbi.nlm.nih.gov/gene/?term=TRD@","NCBI")</f>
        <v>NCBI</v>
      </c>
      <c r="F14687">
        <v>0.56999999999999995</v>
      </c>
      <c r="G14687">
        <v>0.67</v>
      </c>
      <c r="H14687" s="1" t="str">
        <f>HYPERLINK("http://www.weizmann.ac.il/complex/compphys/software/geview/data/figures/216133_at.png","Figure")</f>
        <v>Figure</v>
      </c>
      <c r="I14687">
        <v>0.996</v>
      </c>
      <c r="J14687">
        <v>0.98</v>
      </c>
      <c r="K14687">
        <v>1.01</v>
      </c>
      <c r="L14687">
        <v>0.71</v>
      </c>
      <c r="M14687">
        <v>1.02</v>
      </c>
      <c r="N14687">
        <v>0.61</v>
      </c>
    </row>
    <row r="14688" spans="1:14" x14ac:dyDescent="0.25">
      <c r="A14688" t="s">
        <v>24898</v>
      </c>
      <c r="B14688" t="s">
        <v>12378</v>
      </c>
      <c r="C14688" s="1" t="str">
        <f>HYPERLINK("http://www.genecards.org/cgi-bin/carddisp.pl?gene=NEU3","GeneCards")</f>
        <v>GeneCards</v>
      </c>
      <c r="D14688" s="1" t="str">
        <f>HYPERLINK("http://genome-euro.ucsc.edu/cgi-bin/hgTracks?position=216082_at","UCSC")</f>
        <v>UCSC</v>
      </c>
      <c r="E14688" s="1" t="str">
        <f>HYPERLINK("http://www.ncbi.nlm.nih.gov/gene/?term=NEU3","NCBI")</f>
        <v>NCBI</v>
      </c>
      <c r="F14688">
        <v>0.57999999999999996</v>
      </c>
      <c r="G14688">
        <v>0.67</v>
      </c>
      <c r="H14688" s="1" t="str">
        <f>HYPERLINK("http://www.weizmann.ac.il/complex/compphys/software/geview/data/figures/216082_at.png","Figure")</f>
        <v>Figure</v>
      </c>
      <c r="I14688">
        <v>1.06</v>
      </c>
      <c r="J14688">
        <v>0.78</v>
      </c>
      <c r="K14688">
        <v>1.08</v>
      </c>
      <c r="L14688">
        <v>0.55000000000000004</v>
      </c>
      <c r="M14688">
        <v>1.02</v>
      </c>
      <c r="N14688">
        <v>0.96</v>
      </c>
    </row>
    <row r="14689" spans="1:14" x14ac:dyDescent="0.25">
      <c r="A14689" t="s">
        <v>24899</v>
      </c>
      <c r="B14689" t="s">
        <v>24093</v>
      </c>
      <c r="C14689" s="1" t="str">
        <f>HYPERLINK("http://www.genecards.org/cgi-bin/carddisp.pl?gene=RTN2","GeneCards")</f>
        <v>GeneCards</v>
      </c>
      <c r="D14689" s="1" t="str">
        <f>HYPERLINK("http://genome-euro.ucsc.edu/cgi-bin/hgTracks?position=204217_s_at","UCSC")</f>
        <v>UCSC</v>
      </c>
      <c r="E14689" s="1" t="str">
        <f>HYPERLINK("http://www.ncbi.nlm.nih.gov/gene/?term=RTN2","NCBI")</f>
        <v>NCBI</v>
      </c>
      <c r="F14689">
        <v>0.57999999999999996</v>
      </c>
      <c r="G14689">
        <v>0.67</v>
      </c>
      <c r="H14689" s="1" t="str">
        <f>HYPERLINK("http://www.weizmann.ac.il/complex/compphys/software/geview/data/figures/204217_s_at.png","Figure")</f>
        <v>Figure</v>
      </c>
      <c r="I14689">
        <v>1.03</v>
      </c>
      <c r="J14689">
        <v>0.64</v>
      </c>
      <c r="K14689">
        <v>1</v>
      </c>
      <c r="L14689">
        <v>1</v>
      </c>
      <c r="M14689">
        <v>0.97199999999999998</v>
      </c>
      <c r="N14689">
        <v>0.59</v>
      </c>
    </row>
    <row r="14690" spans="1:14" x14ac:dyDescent="0.25">
      <c r="A14690" t="s">
        <v>24900</v>
      </c>
      <c r="B14690" t="s">
        <v>4329</v>
      </c>
      <c r="C14690" s="1" t="str">
        <f>HYPERLINK("http://www.genecards.org/cgi-bin/carddisp.pl?gene=CTSB","GeneCards")</f>
        <v>GeneCards</v>
      </c>
      <c r="D14690" s="1" t="str">
        <f>HYPERLINK("http://genome-euro.ucsc.edu/cgi-bin/hgTracks?position=200839_s_at","UCSC")</f>
        <v>UCSC</v>
      </c>
      <c r="E14690" s="1" t="str">
        <f>HYPERLINK("http://www.ncbi.nlm.nih.gov/gene/?term=CTSB","NCBI")</f>
        <v>NCBI</v>
      </c>
      <c r="F14690">
        <v>0.57999999999999996</v>
      </c>
      <c r="G14690">
        <v>0.67</v>
      </c>
      <c r="H14690" s="1" t="str">
        <f>HYPERLINK("http://www.weizmann.ac.il/complex/compphys/software/geview/data/figures/200839_s_at.png","Figure")</f>
        <v>Figure</v>
      </c>
      <c r="I14690">
        <v>0.85299999999999998</v>
      </c>
      <c r="J14690">
        <v>0.6</v>
      </c>
      <c r="K14690">
        <v>0.88600000000000001</v>
      </c>
      <c r="L14690">
        <v>0.67</v>
      </c>
      <c r="M14690">
        <v>1.04</v>
      </c>
      <c r="N14690">
        <v>0.97</v>
      </c>
    </row>
    <row r="14691" spans="1:14" x14ac:dyDescent="0.25">
      <c r="A14691" t="s">
        <v>24901</v>
      </c>
      <c r="B14691" t="s">
        <v>24902</v>
      </c>
      <c r="C14691" s="1" t="str">
        <f>HYPERLINK("http://www.genecards.org/cgi-bin/carddisp.pl?gene=OR1D4 /// OR1D5","GeneCards")</f>
        <v>GeneCards</v>
      </c>
      <c r="D14691" s="1" t="str">
        <f>HYPERLINK("http://genome-euro.ucsc.edu/cgi-bin/hgTracks?position=221341_s_at","UCSC")</f>
        <v>UCSC</v>
      </c>
      <c r="E14691" s="1" t="str">
        <f>HYPERLINK("http://www.ncbi.nlm.nih.gov/gene/?term=OR1D4 /// OR1D5","NCBI")</f>
        <v>NCBI</v>
      </c>
      <c r="F14691">
        <v>0.57999999999999996</v>
      </c>
      <c r="G14691">
        <v>0.67</v>
      </c>
      <c r="H14691" s="1" t="str">
        <f>HYPERLINK("http://www.weizmann.ac.il/complex/compphys/software/geview/data/figures/221341_s_at.png","Figure")</f>
        <v>Figure</v>
      </c>
      <c r="I14691">
        <v>0.998</v>
      </c>
      <c r="J14691">
        <v>1</v>
      </c>
      <c r="K14691">
        <v>0.97399999999999998</v>
      </c>
      <c r="L14691">
        <v>0.62</v>
      </c>
      <c r="M14691">
        <v>0.97499999999999998</v>
      </c>
      <c r="N14691">
        <v>0.69</v>
      </c>
    </row>
    <row r="14692" spans="1:14" x14ac:dyDescent="0.25">
      <c r="A14692" t="s">
        <v>24903</v>
      </c>
      <c r="B14692" t="s">
        <v>10896</v>
      </c>
      <c r="C14692" s="1" t="str">
        <f>HYPERLINK("http://www.genecards.org/cgi-bin/carddisp.pl?gene=KHSRP","GeneCards")</f>
        <v>GeneCards</v>
      </c>
      <c r="D14692" s="1" t="str">
        <f>HYPERLINK("http://genome-euro.ucsc.edu/cgi-bin/hgTracks?position=204372_s_at","UCSC")</f>
        <v>UCSC</v>
      </c>
      <c r="E14692" s="1" t="str">
        <f>HYPERLINK("http://www.ncbi.nlm.nih.gov/gene/?term=KHSRP","NCBI")</f>
        <v>NCBI</v>
      </c>
      <c r="F14692">
        <v>0.57999999999999996</v>
      </c>
      <c r="G14692">
        <v>0.67</v>
      </c>
      <c r="H14692" s="1" t="str">
        <f>HYPERLINK("http://www.weizmann.ac.il/complex/compphys/software/geview/data/figures/204372_s_at.png","Figure")</f>
        <v>Figure</v>
      </c>
      <c r="I14692">
        <v>0.999</v>
      </c>
      <c r="J14692">
        <v>1</v>
      </c>
      <c r="K14692">
        <v>0.91400000000000003</v>
      </c>
      <c r="L14692">
        <v>0.63</v>
      </c>
      <c r="M14692">
        <v>0.91500000000000004</v>
      </c>
      <c r="N14692">
        <v>0.68</v>
      </c>
    </row>
    <row r="14693" spans="1:14" x14ac:dyDescent="0.25">
      <c r="A14693" t="s">
        <v>24904</v>
      </c>
      <c r="B14693" t="s">
        <v>20593</v>
      </c>
      <c r="C14693" s="1" t="str">
        <f>HYPERLINK("http://www.genecards.org/cgi-bin/carddisp.pl?gene=N4BP2L2","GeneCards")</f>
        <v>GeneCards</v>
      </c>
      <c r="D14693" s="1" t="str">
        <f>HYPERLINK("http://genome-euro.ucsc.edu/cgi-bin/hgTracks?position=202259_s_at","UCSC")</f>
        <v>UCSC</v>
      </c>
      <c r="E14693" s="1" t="str">
        <f>HYPERLINK("http://www.ncbi.nlm.nih.gov/gene/?term=N4BP2L2","NCBI")</f>
        <v>NCBI</v>
      </c>
      <c r="F14693">
        <v>0.57999999999999996</v>
      </c>
      <c r="G14693">
        <v>0.67</v>
      </c>
      <c r="H14693" s="1" t="str">
        <f>HYPERLINK("http://www.weizmann.ac.il/complex/compphys/software/geview/data/figures/202259_s_at.png","Figure")</f>
        <v>Figure</v>
      </c>
      <c r="I14693">
        <v>0.86</v>
      </c>
      <c r="J14693">
        <v>0.84</v>
      </c>
      <c r="K14693">
        <v>0.77600000000000002</v>
      </c>
      <c r="L14693">
        <v>0.55000000000000004</v>
      </c>
      <c r="M14693">
        <v>0.90200000000000002</v>
      </c>
      <c r="N14693">
        <v>0.91</v>
      </c>
    </row>
    <row r="14694" spans="1:14" x14ac:dyDescent="0.25">
      <c r="A14694" t="s">
        <v>24905</v>
      </c>
      <c r="B14694" t="s">
        <v>24906</v>
      </c>
      <c r="C14694" s="1" t="str">
        <f>HYPERLINK("http://www.genecards.org/cgi-bin/carddisp.pl?gene=C1orf175 /// TTC4","GeneCards")</f>
        <v>GeneCards</v>
      </c>
      <c r="D14694" s="1" t="str">
        <f>HYPERLINK("http://genome-euro.ucsc.edu/cgi-bin/hgTracks?position=214147_at","UCSC")</f>
        <v>UCSC</v>
      </c>
      <c r="E14694" s="1" t="str">
        <f>HYPERLINK("http://www.ncbi.nlm.nih.gov/gene/?term=C1orf175 /// TTC4","NCBI")</f>
        <v>NCBI</v>
      </c>
      <c r="F14694">
        <v>0.57999999999999996</v>
      </c>
      <c r="G14694">
        <v>0.67</v>
      </c>
      <c r="H14694" s="1" t="str">
        <f>HYPERLINK("http://www.weizmann.ac.il/complex/compphys/software/geview/data/figures/214147_at.png","Figure")</f>
        <v>Figure</v>
      </c>
      <c r="I14694">
        <v>0.98899999999999999</v>
      </c>
      <c r="J14694">
        <v>0.97</v>
      </c>
      <c r="K14694">
        <v>0.95599999999999996</v>
      </c>
      <c r="L14694">
        <v>0.57999999999999996</v>
      </c>
      <c r="M14694">
        <v>0.96699999999999997</v>
      </c>
      <c r="N14694">
        <v>0.76</v>
      </c>
    </row>
    <row r="14695" spans="1:14" x14ac:dyDescent="0.25">
      <c r="A14695" t="s">
        <v>24907</v>
      </c>
      <c r="B14695" t="s">
        <v>8866</v>
      </c>
      <c r="C14695" s="1" t="str">
        <f>HYPERLINK("http://www.genecards.org/cgi-bin/carddisp.pl?gene=CALM3","GeneCards")</f>
        <v>GeneCards</v>
      </c>
      <c r="D14695" s="1" t="str">
        <f>HYPERLINK("http://genome-euro.ucsc.edu/cgi-bin/hgTracks?position=200623_s_at","UCSC")</f>
        <v>UCSC</v>
      </c>
      <c r="E14695" s="1" t="str">
        <f>HYPERLINK("http://www.ncbi.nlm.nih.gov/gene/?term=CALM3","NCBI")</f>
        <v>NCBI</v>
      </c>
      <c r="F14695">
        <v>0.57999999999999996</v>
      </c>
      <c r="G14695">
        <v>0.67</v>
      </c>
      <c r="H14695" s="1" t="str">
        <f>HYPERLINK("http://www.weizmann.ac.il/complex/compphys/software/geview/data/figures/200623_s_at.png","Figure")</f>
        <v>Figure</v>
      </c>
      <c r="I14695">
        <v>0.91</v>
      </c>
      <c r="J14695">
        <v>0.83</v>
      </c>
      <c r="K14695">
        <v>1.07</v>
      </c>
      <c r="L14695">
        <v>0.88</v>
      </c>
      <c r="M14695">
        <v>1.17</v>
      </c>
      <c r="N14695">
        <v>0.55000000000000004</v>
      </c>
    </row>
    <row r="14696" spans="1:14" x14ac:dyDescent="0.25">
      <c r="A14696" t="s">
        <v>24908</v>
      </c>
      <c r="B14696" t="s">
        <v>24909</v>
      </c>
      <c r="C14696" s="1" t="str">
        <f>HYPERLINK("http://www.genecards.org/cgi-bin/carddisp.pl?gene=ZFYVE9","GeneCards")</f>
        <v>GeneCards</v>
      </c>
      <c r="D14696" s="1" t="str">
        <f>HYPERLINK("http://genome-euro.ucsc.edu/cgi-bin/hgTracks?position=204893_s_at","UCSC")</f>
        <v>UCSC</v>
      </c>
      <c r="E14696" s="1" t="str">
        <f>HYPERLINK("http://www.ncbi.nlm.nih.gov/gene/?term=ZFYVE9","NCBI")</f>
        <v>NCBI</v>
      </c>
      <c r="F14696">
        <v>0.57999999999999996</v>
      </c>
      <c r="G14696">
        <v>0.67</v>
      </c>
      <c r="H14696" s="1" t="str">
        <f>HYPERLINK("http://www.weizmann.ac.il/complex/compphys/software/geview/data/figures/204893_s_at.png","Figure")</f>
        <v>Figure</v>
      </c>
      <c r="I14696">
        <v>1.1399999999999999</v>
      </c>
      <c r="J14696">
        <v>0.62</v>
      </c>
      <c r="K14696">
        <v>1.1100000000000001</v>
      </c>
      <c r="L14696">
        <v>0.65</v>
      </c>
      <c r="M14696">
        <v>0.97799999999999998</v>
      </c>
      <c r="N14696">
        <v>0.98</v>
      </c>
    </row>
    <row r="14697" spans="1:14" x14ac:dyDescent="0.25">
      <c r="A14697" t="s">
        <v>24910</v>
      </c>
      <c r="B14697" t="s">
        <v>24911</v>
      </c>
      <c r="C14697" s="1" t="str">
        <f>HYPERLINK("http://www.genecards.org/cgi-bin/carddisp.pl?gene=MAPK7","GeneCards")</f>
        <v>GeneCards</v>
      </c>
      <c r="D14697" s="1" t="str">
        <f>HYPERLINK("http://genome-euro.ucsc.edu/cgi-bin/hgTracks?position=207292_s_at","UCSC")</f>
        <v>UCSC</v>
      </c>
      <c r="E14697" s="1" t="str">
        <f>HYPERLINK("http://www.ncbi.nlm.nih.gov/gene/?term=MAPK7","NCBI")</f>
        <v>NCBI</v>
      </c>
      <c r="F14697">
        <v>0.57999999999999996</v>
      </c>
      <c r="G14697">
        <v>0.67</v>
      </c>
      <c r="H14697" s="1" t="str">
        <f>HYPERLINK("http://www.weizmann.ac.il/complex/compphys/software/geview/data/figures/207292_s_at.png","Figure")</f>
        <v>Figure</v>
      </c>
      <c r="I14697">
        <v>0.92900000000000005</v>
      </c>
      <c r="J14697">
        <v>0.82</v>
      </c>
      <c r="K14697">
        <v>0.89100000000000001</v>
      </c>
      <c r="L14697">
        <v>0.55000000000000004</v>
      </c>
      <c r="M14697">
        <v>0.95899999999999996</v>
      </c>
      <c r="N14697">
        <v>0.93</v>
      </c>
    </row>
    <row r="14698" spans="1:14" x14ac:dyDescent="0.25">
      <c r="A14698" t="s">
        <v>24912</v>
      </c>
      <c r="B14698" t="s">
        <v>13707</v>
      </c>
      <c r="C14698" s="1" t="str">
        <f>HYPERLINK("http://www.genecards.org/cgi-bin/carddisp.pl?gene=NPR3","GeneCards")</f>
        <v>GeneCards</v>
      </c>
      <c r="D14698" s="1" t="str">
        <f>HYPERLINK("http://genome-euro.ucsc.edu/cgi-bin/hgTracks?position=219789_at","UCSC")</f>
        <v>UCSC</v>
      </c>
      <c r="E14698" s="1" t="str">
        <f>HYPERLINK("http://www.ncbi.nlm.nih.gov/gene/?term=NPR3","NCBI")</f>
        <v>NCBI</v>
      </c>
      <c r="F14698">
        <v>0.57999999999999996</v>
      </c>
      <c r="G14698">
        <v>0.67</v>
      </c>
      <c r="H14698" s="1" t="str">
        <f>HYPERLINK("http://www.weizmann.ac.il/complex/compphys/software/geview/data/figures/219789_at.png","Figure")</f>
        <v>Figure</v>
      </c>
      <c r="I14698">
        <v>0.98499999999999999</v>
      </c>
      <c r="J14698">
        <v>0.98</v>
      </c>
      <c r="K14698">
        <v>0.93500000000000005</v>
      </c>
      <c r="L14698">
        <v>0.57999999999999996</v>
      </c>
      <c r="M14698">
        <v>0.95</v>
      </c>
      <c r="N14698">
        <v>0.75</v>
      </c>
    </row>
    <row r="14699" spans="1:14" x14ac:dyDescent="0.25">
      <c r="A14699" t="s">
        <v>24913</v>
      </c>
      <c r="B14699" t="s">
        <v>24914</v>
      </c>
      <c r="C14699" s="1" t="str">
        <f>HYPERLINK("http://www.genecards.org/cgi-bin/carddisp.pl?gene=GTPBP2","GeneCards")</f>
        <v>GeneCards</v>
      </c>
      <c r="D14699" s="1" t="str">
        <f>HYPERLINK("http://genome-euro.ucsc.edu/cgi-bin/hgTracks?position=221050_s_at","UCSC")</f>
        <v>UCSC</v>
      </c>
      <c r="E14699" s="1" t="str">
        <f>HYPERLINK("http://www.ncbi.nlm.nih.gov/gene/?term=GTPBP2","NCBI")</f>
        <v>NCBI</v>
      </c>
      <c r="F14699">
        <v>0.57999999999999996</v>
      </c>
      <c r="G14699">
        <v>0.67</v>
      </c>
      <c r="H14699" s="1" t="str">
        <f>HYPERLINK("http://www.weizmann.ac.il/complex/compphys/software/geview/data/figures/221050_s_at.png","Figure")</f>
        <v>Figure</v>
      </c>
      <c r="I14699">
        <v>0.85599999999999998</v>
      </c>
      <c r="J14699">
        <v>0.6</v>
      </c>
      <c r="K14699">
        <v>0.98099999999999998</v>
      </c>
      <c r="L14699">
        <v>0.99</v>
      </c>
      <c r="M14699">
        <v>1.1499999999999999</v>
      </c>
      <c r="N14699">
        <v>0.63</v>
      </c>
    </row>
    <row r="14700" spans="1:14" x14ac:dyDescent="0.25">
      <c r="A14700" t="s">
        <v>24915</v>
      </c>
      <c r="B14700" t="s">
        <v>24916</v>
      </c>
      <c r="C14700" s="1" t="str">
        <f>HYPERLINK("http://www.genecards.org/cgi-bin/carddisp.pl?gene=ALKBH1","GeneCards")</f>
        <v>GeneCards</v>
      </c>
      <c r="D14700" s="1" t="str">
        <f>HYPERLINK("http://genome-euro.ucsc.edu/cgi-bin/hgTracks?position=205621_at","UCSC")</f>
        <v>UCSC</v>
      </c>
      <c r="E14700" s="1" t="str">
        <f>HYPERLINK("http://www.ncbi.nlm.nih.gov/gene/?term=ALKBH1","NCBI")</f>
        <v>NCBI</v>
      </c>
      <c r="F14700">
        <v>0.57999999999999996</v>
      </c>
      <c r="G14700">
        <v>0.67</v>
      </c>
      <c r="H14700" s="1" t="str">
        <f>HYPERLINK("http://www.weizmann.ac.il/complex/compphys/software/geview/data/figures/205621_at.png","Figure")</f>
        <v>Figure</v>
      </c>
      <c r="I14700">
        <v>0.85</v>
      </c>
      <c r="J14700">
        <v>0.62</v>
      </c>
      <c r="K14700">
        <v>0.99</v>
      </c>
      <c r="L14700">
        <v>1</v>
      </c>
      <c r="M14700">
        <v>1.1599999999999999</v>
      </c>
      <c r="N14700">
        <v>0.61</v>
      </c>
    </row>
    <row r="14701" spans="1:14" x14ac:dyDescent="0.25">
      <c r="A14701" t="s">
        <v>24917</v>
      </c>
      <c r="B14701" t="s">
        <v>20971</v>
      </c>
      <c r="C14701" s="1" t="str">
        <f>HYPERLINK("http://www.genecards.org/cgi-bin/carddisp.pl?gene=PPIE","GeneCards")</f>
        <v>GeneCards</v>
      </c>
      <c r="D14701" s="1" t="str">
        <f>HYPERLINK("http://genome-euro.ucsc.edu/cgi-bin/hgTracks?position=210502_s_at","UCSC")</f>
        <v>UCSC</v>
      </c>
      <c r="E14701" s="1" t="str">
        <f>HYPERLINK("http://www.ncbi.nlm.nih.gov/gene/?term=PPIE","NCBI")</f>
        <v>NCBI</v>
      </c>
      <c r="F14701">
        <v>0.57999999999999996</v>
      </c>
      <c r="G14701">
        <v>0.67</v>
      </c>
      <c r="H14701" s="1" t="str">
        <f>HYPERLINK("http://www.weizmann.ac.il/complex/compphys/software/geview/data/figures/210502_s_at.png","Figure")</f>
        <v>Figure</v>
      </c>
      <c r="I14701">
        <v>1.1399999999999999</v>
      </c>
      <c r="J14701">
        <v>0.8</v>
      </c>
      <c r="K14701">
        <v>1.2</v>
      </c>
      <c r="L14701">
        <v>0.55000000000000004</v>
      </c>
      <c r="M14701">
        <v>1.06</v>
      </c>
      <c r="N14701">
        <v>0.95</v>
      </c>
    </row>
    <row r="14702" spans="1:14" x14ac:dyDescent="0.25">
      <c r="A14702" t="s">
        <v>24918</v>
      </c>
      <c r="B14702" t="s">
        <v>24919</v>
      </c>
      <c r="C14702" s="1" t="str">
        <f>HYPERLINK("http://www.genecards.org/cgi-bin/carddisp.pl?gene=TUBB2A","GeneCards")</f>
        <v>GeneCards</v>
      </c>
      <c r="D14702" s="1" t="str">
        <f>HYPERLINK("http://genome-euro.ucsc.edu/cgi-bin/hgTracks?position=204141_at","UCSC")</f>
        <v>UCSC</v>
      </c>
      <c r="E14702" s="1" t="str">
        <f>HYPERLINK("http://www.ncbi.nlm.nih.gov/gene/?term=TUBB2A","NCBI")</f>
        <v>NCBI</v>
      </c>
      <c r="F14702">
        <v>0.57999999999999996</v>
      </c>
      <c r="G14702">
        <v>0.67</v>
      </c>
      <c r="H14702" s="1" t="str">
        <f>HYPERLINK("http://www.weizmann.ac.il/complex/compphys/software/geview/data/figures/204141_at.png","Figure")</f>
        <v>Figure</v>
      </c>
      <c r="I14702">
        <v>1.81</v>
      </c>
      <c r="J14702">
        <v>0.61</v>
      </c>
      <c r="K14702">
        <v>1.06</v>
      </c>
      <c r="L14702">
        <v>0.99</v>
      </c>
      <c r="M14702">
        <v>0.58599999999999997</v>
      </c>
      <c r="N14702">
        <v>0.63</v>
      </c>
    </row>
    <row r="14703" spans="1:14" x14ac:dyDescent="0.25">
      <c r="A14703" t="s">
        <v>24920</v>
      </c>
      <c r="B14703" t="s">
        <v>24921</v>
      </c>
      <c r="C14703" s="1" t="str">
        <f>HYPERLINK("http://www.genecards.org/cgi-bin/carddisp.pl?gene=MORC2","GeneCards")</f>
        <v>GeneCards</v>
      </c>
      <c r="D14703" s="1" t="str">
        <f>HYPERLINK("http://genome-euro.ucsc.edu/cgi-bin/hgTracks?position=203956_at","UCSC")</f>
        <v>UCSC</v>
      </c>
      <c r="E14703" s="1" t="str">
        <f>HYPERLINK("http://www.ncbi.nlm.nih.gov/gene/?term=MORC2","NCBI")</f>
        <v>NCBI</v>
      </c>
      <c r="F14703">
        <v>0.57999999999999996</v>
      </c>
      <c r="G14703">
        <v>0.67</v>
      </c>
      <c r="H14703" s="1" t="str">
        <f>HYPERLINK("http://www.weizmann.ac.il/complex/compphys/software/geview/data/figures/203956_at.png","Figure")</f>
        <v>Figure</v>
      </c>
      <c r="I14703">
        <v>0.91900000000000004</v>
      </c>
      <c r="J14703">
        <v>0.9</v>
      </c>
      <c r="K14703">
        <v>0.83799999999999997</v>
      </c>
      <c r="L14703">
        <v>0.55000000000000004</v>
      </c>
      <c r="M14703">
        <v>0.91200000000000003</v>
      </c>
      <c r="N14703">
        <v>0.86</v>
      </c>
    </row>
    <row r="14704" spans="1:14" x14ac:dyDescent="0.25">
      <c r="A14704" t="s">
        <v>24922</v>
      </c>
      <c r="B14704" t="s">
        <v>10483</v>
      </c>
      <c r="C14704" s="1" t="str">
        <f>HYPERLINK("http://www.genecards.org/cgi-bin/carddisp.pl?gene=DOM3Z","GeneCards")</f>
        <v>GeneCards</v>
      </c>
      <c r="D14704" s="1" t="str">
        <f>HYPERLINK("http://genome-euro.ucsc.edu/cgi-bin/hgTracks?position=215982_s_at","UCSC")</f>
        <v>UCSC</v>
      </c>
      <c r="E14704" s="1" t="str">
        <f>HYPERLINK("http://www.ncbi.nlm.nih.gov/gene/?term=DOM3Z","NCBI")</f>
        <v>NCBI</v>
      </c>
      <c r="F14704">
        <v>0.57999999999999996</v>
      </c>
      <c r="G14704">
        <v>0.67</v>
      </c>
      <c r="H14704" s="1" t="str">
        <f>HYPERLINK("http://www.weizmann.ac.il/complex/compphys/software/geview/data/figures/215982_s_at.png","Figure")</f>
        <v>Figure</v>
      </c>
      <c r="I14704">
        <v>0.89900000000000002</v>
      </c>
      <c r="J14704">
        <v>0.55000000000000004</v>
      </c>
      <c r="K14704">
        <v>0.95899999999999996</v>
      </c>
      <c r="L14704">
        <v>0.88</v>
      </c>
      <c r="M14704">
        <v>1.07</v>
      </c>
      <c r="N14704">
        <v>0.77</v>
      </c>
    </row>
    <row r="14705" spans="1:14" x14ac:dyDescent="0.25">
      <c r="A14705" t="s">
        <v>24923</v>
      </c>
      <c r="B14705" t="s">
        <v>24924</v>
      </c>
      <c r="C14705" s="1" t="str">
        <f>HYPERLINK("http://www.genecards.org/cgi-bin/carddisp.pl?gene=ANXA5","GeneCards")</f>
        <v>GeneCards</v>
      </c>
      <c r="D14705" s="1" t="str">
        <f>HYPERLINK("http://genome-euro.ucsc.edu/cgi-bin/hgTracks?position=200782_at","UCSC")</f>
        <v>UCSC</v>
      </c>
      <c r="E14705" s="1" t="str">
        <f>HYPERLINK("http://www.ncbi.nlm.nih.gov/gene/?term=ANXA5","NCBI")</f>
        <v>NCBI</v>
      </c>
      <c r="F14705">
        <v>0.57999999999999996</v>
      </c>
      <c r="G14705">
        <v>0.67</v>
      </c>
      <c r="H14705" s="1" t="str">
        <f>HYPERLINK("http://www.weizmann.ac.il/complex/compphys/software/geview/data/figures/200782_at.png","Figure")</f>
        <v>Figure</v>
      </c>
      <c r="I14705">
        <v>1.39</v>
      </c>
      <c r="J14705">
        <v>0.84</v>
      </c>
      <c r="K14705">
        <v>1.72</v>
      </c>
      <c r="L14705">
        <v>0.55000000000000004</v>
      </c>
      <c r="M14705">
        <v>1.23</v>
      </c>
      <c r="N14705">
        <v>0.92</v>
      </c>
    </row>
    <row r="14706" spans="1:14" x14ac:dyDescent="0.25">
      <c r="A14706" t="s">
        <v>24925</v>
      </c>
      <c r="B14706" t="s">
        <v>10430</v>
      </c>
      <c r="C14706" s="1" t="str">
        <f>HYPERLINK("http://www.genecards.org/cgi-bin/carddisp.pl?gene=TNFRSF25","GeneCards")</f>
        <v>GeneCards</v>
      </c>
      <c r="D14706" s="1" t="str">
        <f>HYPERLINK("http://genome-euro.ucsc.edu/cgi-bin/hgTracks?position=219423_x_at","UCSC")</f>
        <v>UCSC</v>
      </c>
      <c r="E14706" s="1" t="str">
        <f>HYPERLINK("http://www.ncbi.nlm.nih.gov/gene/?term=TNFRSF25","NCBI")</f>
        <v>NCBI</v>
      </c>
      <c r="F14706">
        <v>0.57999999999999996</v>
      </c>
      <c r="G14706">
        <v>0.67</v>
      </c>
      <c r="H14706" s="1" t="str">
        <f>HYPERLINK("http://www.weizmann.ac.il/complex/compphys/software/geview/data/figures/219423_x_at.png","Figure")</f>
        <v>Figure</v>
      </c>
      <c r="I14706">
        <v>0.88100000000000001</v>
      </c>
      <c r="J14706">
        <v>0.55000000000000004</v>
      </c>
      <c r="K14706">
        <v>0.94499999999999995</v>
      </c>
      <c r="L14706">
        <v>0.85</v>
      </c>
      <c r="M14706">
        <v>1.07</v>
      </c>
      <c r="N14706">
        <v>0.8</v>
      </c>
    </row>
    <row r="14707" spans="1:14" x14ac:dyDescent="0.25">
      <c r="A14707" t="s">
        <v>24926</v>
      </c>
      <c r="B14707" t="s">
        <v>24927</v>
      </c>
      <c r="C14707" s="1" t="str">
        <f>HYPERLINK("http://www.genecards.org/cgi-bin/carddisp.pl?gene=DKK4","GeneCards")</f>
        <v>GeneCards</v>
      </c>
      <c r="D14707" s="1" t="str">
        <f>HYPERLINK("http://genome-euro.ucsc.edu/cgi-bin/hgTracks?position=206619_at","UCSC")</f>
        <v>UCSC</v>
      </c>
      <c r="E14707" s="1" t="str">
        <f>HYPERLINK("http://www.ncbi.nlm.nih.gov/gene/?term=DKK4","NCBI")</f>
        <v>NCBI</v>
      </c>
      <c r="F14707">
        <v>0.57999999999999996</v>
      </c>
      <c r="G14707">
        <v>0.67</v>
      </c>
      <c r="H14707" s="1" t="str">
        <f>HYPERLINK("http://www.weizmann.ac.il/complex/compphys/software/geview/data/figures/206619_at.png","Figure")</f>
        <v>Figure</v>
      </c>
      <c r="I14707">
        <v>1.03</v>
      </c>
      <c r="J14707">
        <v>0.56999999999999995</v>
      </c>
      <c r="K14707">
        <v>1.02</v>
      </c>
      <c r="L14707">
        <v>0.72</v>
      </c>
      <c r="M14707">
        <v>0.99</v>
      </c>
      <c r="N14707">
        <v>0.93</v>
      </c>
    </row>
    <row r="14708" spans="1:14" x14ac:dyDescent="0.25">
      <c r="A14708" t="s">
        <v>24928</v>
      </c>
      <c r="B14708" t="s">
        <v>21814</v>
      </c>
      <c r="C14708" s="1" t="str">
        <f>HYPERLINK("http://www.genecards.org/cgi-bin/carddisp.pl?gene=NAPA","GeneCards")</f>
        <v>GeneCards</v>
      </c>
      <c r="D14708" s="1" t="str">
        <f>HYPERLINK("http://genome-euro.ucsc.edu/cgi-bin/hgTracks?position=208751_at","UCSC")</f>
        <v>UCSC</v>
      </c>
      <c r="E14708" s="1" t="str">
        <f>HYPERLINK("http://www.ncbi.nlm.nih.gov/gene/?term=NAPA","NCBI")</f>
        <v>NCBI</v>
      </c>
      <c r="F14708">
        <v>0.57999999999999996</v>
      </c>
      <c r="G14708">
        <v>0.67</v>
      </c>
      <c r="H14708" s="1" t="str">
        <f>HYPERLINK("http://www.weizmann.ac.il/complex/compphys/software/geview/data/figures/208751_at.png","Figure")</f>
        <v>Figure</v>
      </c>
      <c r="I14708">
        <v>0.99</v>
      </c>
      <c r="J14708">
        <v>0.97</v>
      </c>
      <c r="K14708">
        <v>1.03</v>
      </c>
      <c r="L14708">
        <v>0.72</v>
      </c>
      <c r="M14708">
        <v>1.04</v>
      </c>
      <c r="N14708">
        <v>0.6</v>
      </c>
    </row>
    <row r="14709" spans="1:14" x14ac:dyDescent="0.25">
      <c r="A14709" t="s">
        <v>24929</v>
      </c>
      <c r="B14709" t="s">
        <v>13371</v>
      </c>
      <c r="C14709" s="1" t="str">
        <f>HYPERLINK("http://www.genecards.org/cgi-bin/carddisp.pl?gene=MOBKL1B","GeneCards")</f>
        <v>GeneCards</v>
      </c>
      <c r="D14709" s="1" t="str">
        <f>HYPERLINK("http://genome-euro.ucsc.edu/cgi-bin/hgTracks?position=214812_s_at","UCSC")</f>
        <v>UCSC</v>
      </c>
      <c r="E14709" s="1" t="str">
        <f>HYPERLINK("http://www.ncbi.nlm.nih.gov/gene/?term=MOBKL1B","NCBI")</f>
        <v>NCBI</v>
      </c>
      <c r="F14709">
        <v>0.57999999999999996</v>
      </c>
      <c r="G14709">
        <v>0.67</v>
      </c>
      <c r="H14709" s="1" t="str">
        <f>HYPERLINK("http://www.weizmann.ac.il/complex/compphys/software/geview/data/figures/214812_s_at.png","Figure")</f>
        <v>Figure</v>
      </c>
      <c r="I14709">
        <v>1.03</v>
      </c>
      <c r="J14709">
        <v>0.97</v>
      </c>
      <c r="K14709">
        <v>0.92500000000000004</v>
      </c>
      <c r="L14709">
        <v>0.72</v>
      </c>
      <c r="M14709">
        <v>0.9</v>
      </c>
      <c r="N14709">
        <v>0.6</v>
      </c>
    </row>
    <row r="14710" spans="1:14" x14ac:dyDescent="0.25">
      <c r="A14710" t="s">
        <v>24930</v>
      </c>
      <c r="B14710" t="s">
        <v>24931</v>
      </c>
      <c r="C14710" s="1" t="str">
        <f>HYPERLINK("http://www.genecards.org/cgi-bin/carddisp.pl?gene=MARK3","GeneCards")</f>
        <v>GeneCards</v>
      </c>
      <c r="D14710" s="1" t="str">
        <f>HYPERLINK("http://genome-euro.ucsc.edu/cgi-bin/hgTracks?position=202568_s_at","UCSC")</f>
        <v>UCSC</v>
      </c>
      <c r="E14710" s="1" t="str">
        <f>HYPERLINK("http://www.ncbi.nlm.nih.gov/gene/?term=MARK3","NCBI")</f>
        <v>NCBI</v>
      </c>
      <c r="F14710">
        <v>0.57999999999999996</v>
      </c>
      <c r="G14710">
        <v>0.67</v>
      </c>
      <c r="H14710" s="1" t="str">
        <f>HYPERLINK("http://www.weizmann.ac.il/complex/compphys/software/geview/data/figures/202568_s_at.png","Figure")</f>
        <v>Figure</v>
      </c>
      <c r="I14710">
        <v>1.02</v>
      </c>
      <c r="J14710">
        <v>0.97</v>
      </c>
      <c r="K14710">
        <v>1.0900000000000001</v>
      </c>
      <c r="L14710">
        <v>0.57999999999999996</v>
      </c>
      <c r="M14710">
        <v>1.06</v>
      </c>
      <c r="N14710">
        <v>0.77</v>
      </c>
    </row>
    <row r="14711" spans="1:14" x14ac:dyDescent="0.25">
      <c r="A14711" t="s">
        <v>24932</v>
      </c>
      <c r="B14711" t="s">
        <v>24933</v>
      </c>
      <c r="C14711" s="1" t="str">
        <f>HYPERLINK("http://www.genecards.org/cgi-bin/carddisp.pl?gene=S100PBP","GeneCards")</f>
        <v>GeneCards</v>
      </c>
      <c r="D14711" s="1" t="str">
        <f>HYPERLINK("http://genome-euro.ucsc.edu/cgi-bin/hgTracks?position=218370_s_at","UCSC")</f>
        <v>UCSC</v>
      </c>
      <c r="E14711" s="1" t="str">
        <f>HYPERLINK("http://www.ncbi.nlm.nih.gov/gene/?term=S100PBP","NCBI")</f>
        <v>NCBI</v>
      </c>
      <c r="F14711">
        <v>0.57999999999999996</v>
      </c>
      <c r="G14711">
        <v>0.67</v>
      </c>
      <c r="H14711" s="1" t="str">
        <f>HYPERLINK("http://www.weizmann.ac.il/complex/compphys/software/geview/data/figures/218370_s_at.png","Figure")</f>
        <v>Figure</v>
      </c>
      <c r="I14711">
        <v>0.70199999999999996</v>
      </c>
      <c r="J14711">
        <v>0.56999999999999995</v>
      </c>
      <c r="K14711">
        <v>0.91700000000000004</v>
      </c>
      <c r="L14711">
        <v>0.96</v>
      </c>
      <c r="M14711">
        <v>1.31</v>
      </c>
      <c r="N14711">
        <v>0.69</v>
      </c>
    </row>
    <row r="14712" spans="1:14" x14ac:dyDescent="0.25">
      <c r="A14712" t="s">
        <v>24934</v>
      </c>
      <c r="B14712" t="s">
        <v>24935</v>
      </c>
      <c r="C14712" s="1" t="str">
        <f>HYPERLINK("http://www.genecards.org/cgi-bin/carddisp.pl?gene=ARID5B","GeneCards")</f>
        <v>GeneCards</v>
      </c>
      <c r="D14712" s="1" t="str">
        <f>HYPERLINK("http://genome-euro.ucsc.edu/cgi-bin/hgTracks?position=212614_at","UCSC")</f>
        <v>UCSC</v>
      </c>
      <c r="E14712" s="1" t="str">
        <f>HYPERLINK("http://www.ncbi.nlm.nih.gov/gene/?term=ARID5B","NCBI")</f>
        <v>NCBI</v>
      </c>
      <c r="F14712">
        <v>0.57999999999999996</v>
      </c>
      <c r="G14712">
        <v>0.67</v>
      </c>
      <c r="H14712" s="1" t="str">
        <f>HYPERLINK("http://www.weizmann.ac.il/complex/compphys/software/geview/data/figures/212614_at.png","Figure")</f>
        <v>Figure</v>
      </c>
      <c r="I14712">
        <v>0.78200000000000003</v>
      </c>
      <c r="J14712">
        <v>0.7</v>
      </c>
      <c r="K14712">
        <v>0.76700000000000002</v>
      </c>
      <c r="L14712">
        <v>0.59</v>
      </c>
      <c r="M14712">
        <v>0.98099999999999998</v>
      </c>
      <c r="N14712">
        <v>1</v>
      </c>
    </row>
    <row r="14713" spans="1:14" x14ac:dyDescent="0.25">
      <c r="A14713" t="s">
        <v>24936</v>
      </c>
      <c r="B14713" t="s">
        <v>24937</v>
      </c>
      <c r="C14713" s="1" t="str">
        <f>HYPERLINK("http://www.genecards.org/cgi-bin/carddisp.pl?gene=RHCG","GeneCards")</f>
        <v>GeneCards</v>
      </c>
      <c r="D14713" s="1" t="str">
        <f>HYPERLINK("http://genome-euro.ucsc.edu/cgi-bin/hgTracks?position=219554_at","UCSC")</f>
        <v>UCSC</v>
      </c>
      <c r="E14713" s="1" t="str">
        <f>HYPERLINK("http://www.ncbi.nlm.nih.gov/gene/?term=RHCG","NCBI")</f>
        <v>NCBI</v>
      </c>
      <c r="F14713">
        <v>0.57999999999999996</v>
      </c>
      <c r="G14713">
        <v>0.67</v>
      </c>
      <c r="H14713" s="1" t="str">
        <f>HYPERLINK("http://www.weizmann.ac.il/complex/compphys/software/geview/data/figures/219554_at.png","Figure")</f>
        <v>Figure</v>
      </c>
      <c r="I14713">
        <v>1.05</v>
      </c>
      <c r="J14713">
        <v>0.61</v>
      </c>
      <c r="K14713">
        <v>1.01</v>
      </c>
      <c r="L14713">
        <v>0.99</v>
      </c>
      <c r="M14713">
        <v>0.95399999999999996</v>
      </c>
      <c r="N14713">
        <v>0.63</v>
      </c>
    </row>
    <row r="14714" spans="1:14" x14ac:dyDescent="0.25">
      <c r="A14714" t="s">
        <v>24938</v>
      </c>
      <c r="B14714" t="s">
        <v>18658</v>
      </c>
      <c r="C14714" s="1" t="str">
        <f>HYPERLINK("http://www.genecards.org/cgi-bin/carddisp.pl?gene=SASH1","GeneCards")</f>
        <v>GeneCards</v>
      </c>
      <c r="D14714" s="1" t="str">
        <f>HYPERLINK("http://genome-euro.ucsc.edu/cgi-bin/hgTracks?position=213236_at","UCSC")</f>
        <v>UCSC</v>
      </c>
      <c r="E14714" s="1" t="str">
        <f>HYPERLINK("http://www.ncbi.nlm.nih.gov/gene/?term=SASH1","NCBI")</f>
        <v>NCBI</v>
      </c>
      <c r="F14714">
        <v>0.57999999999999996</v>
      </c>
      <c r="G14714">
        <v>0.67</v>
      </c>
      <c r="H14714" s="1" t="str">
        <f>HYPERLINK("http://www.weizmann.ac.il/complex/compphys/software/geview/data/figures/213236_at.png","Figure")</f>
        <v>Figure</v>
      </c>
      <c r="I14714">
        <v>0.93400000000000005</v>
      </c>
      <c r="J14714">
        <v>0.55000000000000004</v>
      </c>
      <c r="K14714">
        <v>0.96899999999999997</v>
      </c>
      <c r="L14714">
        <v>0.84</v>
      </c>
      <c r="M14714">
        <v>1.04</v>
      </c>
      <c r="N14714">
        <v>0.81</v>
      </c>
    </row>
    <row r="14715" spans="1:14" x14ac:dyDescent="0.25">
      <c r="A14715" t="s">
        <v>24939</v>
      </c>
      <c r="B14715" t="s">
        <v>2800</v>
      </c>
      <c r="C14715" s="1" t="str">
        <f>HYPERLINK("http://www.genecards.org/cgi-bin/carddisp.pl?gene=MARK2","GeneCards")</f>
        <v>GeneCards</v>
      </c>
      <c r="D14715" s="1" t="str">
        <f>HYPERLINK("http://genome-euro.ucsc.edu/cgi-bin/hgTracks?position=203942_s_at","UCSC")</f>
        <v>UCSC</v>
      </c>
      <c r="E14715" s="1" t="str">
        <f>HYPERLINK("http://www.ncbi.nlm.nih.gov/gene/?term=MARK2","NCBI")</f>
        <v>NCBI</v>
      </c>
      <c r="F14715">
        <v>0.57999999999999996</v>
      </c>
      <c r="G14715">
        <v>0.67</v>
      </c>
      <c r="H14715" s="1" t="str">
        <f>HYPERLINK("http://www.weizmann.ac.il/complex/compphys/software/geview/data/figures/203942_s_at.png","Figure")</f>
        <v>Figure</v>
      </c>
      <c r="I14715">
        <v>0.94599999999999995</v>
      </c>
      <c r="J14715">
        <v>0.57999999999999996</v>
      </c>
      <c r="K14715">
        <v>0.98899999999999999</v>
      </c>
      <c r="L14715">
        <v>0.97</v>
      </c>
      <c r="M14715">
        <v>1.05</v>
      </c>
      <c r="N14715">
        <v>0.67</v>
      </c>
    </row>
    <row r="14716" spans="1:14" x14ac:dyDescent="0.25">
      <c r="A14716" t="s">
        <v>24940</v>
      </c>
      <c r="B14716" t="s">
        <v>24573</v>
      </c>
      <c r="C14716" s="1" t="str">
        <f>HYPERLINK("http://www.genecards.org/cgi-bin/carddisp.pl?gene=PGLS","GeneCards")</f>
        <v>GeneCards</v>
      </c>
      <c r="D14716" s="1" t="str">
        <f>HYPERLINK("http://genome-euro.ucsc.edu/cgi-bin/hgTracks?position=218388_at","UCSC")</f>
        <v>UCSC</v>
      </c>
      <c r="E14716" s="1" t="str">
        <f>HYPERLINK("http://www.ncbi.nlm.nih.gov/gene/?term=PGLS","NCBI")</f>
        <v>NCBI</v>
      </c>
      <c r="F14716">
        <v>0.57999999999999996</v>
      </c>
      <c r="G14716">
        <v>0.67</v>
      </c>
      <c r="H14716" s="1" t="str">
        <f>HYPERLINK("http://www.weizmann.ac.il/complex/compphys/software/geview/data/figures/218388_at.png","Figure")</f>
        <v>Figure</v>
      </c>
      <c r="I14716">
        <v>0.79600000000000004</v>
      </c>
      <c r="J14716">
        <v>0.62</v>
      </c>
      <c r="K14716">
        <v>0.98499999999999999</v>
      </c>
      <c r="L14716">
        <v>1</v>
      </c>
      <c r="M14716">
        <v>1.24</v>
      </c>
      <c r="N14716">
        <v>0.62</v>
      </c>
    </row>
    <row r="14717" spans="1:14" x14ac:dyDescent="0.25">
      <c r="A14717" t="s">
        <v>24941</v>
      </c>
      <c r="B14717" t="s">
        <v>24942</v>
      </c>
      <c r="C14717" s="1" t="str">
        <f>HYPERLINK("http://www.genecards.org/cgi-bin/carddisp.pl?gene=EPHB6","GeneCards")</f>
        <v>GeneCards</v>
      </c>
      <c r="D14717" s="1" t="str">
        <f>HYPERLINK("http://genome-euro.ucsc.edu/cgi-bin/hgTracks?position=204718_at","UCSC")</f>
        <v>UCSC</v>
      </c>
      <c r="E14717" s="1" t="str">
        <f>HYPERLINK("http://www.ncbi.nlm.nih.gov/gene/?term=EPHB6","NCBI")</f>
        <v>NCBI</v>
      </c>
      <c r="F14717">
        <v>0.57999999999999996</v>
      </c>
      <c r="G14717">
        <v>0.67</v>
      </c>
      <c r="H14717" s="1" t="str">
        <f>HYPERLINK("http://www.weizmann.ac.il/complex/compphys/software/geview/data/figures/204718_at.png","Figure")</f>
        <v>Figure</v>
      </c>
      <c r="I14717">
        <v>0.90400000000000003</v>
      </c>
      <c r="J14717">
        <v>0.72</v>
      </c>
      <c r="K14717">
        <v>1.02</v>
      </c>
      <c r="L14717">
        <v>0.98</v>
      </c>
      <c r="M14717">
        <v>1.1299999999999999</v>
      </c>
      <c r="N14717">
        <v>0.56000000000000005</v>
      </c>
    </row>
    <row r="14718" spans="1:14" x14ac:dyDescent="0.25">
      <c r="A14718" t="s">
        <v>24943</v>
      </c>
      <c r="B14718" t="s">
        <v>24944</v>
      </c>
      <c r="C14718" s="1" t="str">
        <f>HYPERLINK("http://www.genecards.org/cgi-bin/carddisp.pl?gene=SUMO2","GeneCards")</f>
        <v>GeneCards</v>
      </c>
      <c r="D14718" s="1" t="str">
        <f>HYPERLINK("http://genome-euro.ucsc.edu/cgi-bin/hgTracks?position=208739_x_at","UCSC")</f>
        <v>UCSC</v>
      </c>
      <c r="E14718" s="1" t="str">
        <f>HYPERLINK("http://www.ncbi.nlm.nih.gov/gene/?term=SUMO2","NCBI")</f>
        <v>NCBI</v>
      </c>
      <c r="F14718">
        <v>0.57999999999999996</v>
      </c>
      <c r="G14718">
        <v>0.67</v>
      </c>
      <c r="H14718" s="1" t="str">
        <f>HYPERLINK("http://www.weizmann.ac.il/complex/compphys/software/geview/data/figures/208739_x_at.png","Figure")</f>
        <v>Figure</v>
      </c>
      <c r="I14718">
        <v>0.88200000000000001</v>
      </c>
      <c r="J14718">
        <v>0.81</v>
      </c>
      <c r="K14718">
        <v>1.08</v>
      </c>
      <c r="L14718">
        <v>0.9</v>
      </c>
      <c r="M14718">
        <v>1.22</v>
      </c>
      <c r="N14718">
        <v>0.55000000000000004</v>
      </c>
    </row>
    <row r="14719" spans="1:14" x14ac:dyDescent="0.25">
      <c r="A14719" t="s">
        <v>24945</v>
      </c>
      <c r="B14719" t="s">
        <v>9908</v>
      </c>
      <c r="C14719" s="1" t="str">
        <f>HYPERLINK("http://www.genecards.org/cgi-bin/carddisp.pl?gene=NF1","GeneCards")</f>
        <v>GeneCards</v>
      </c>
      <c r="D14719" s="1" t="str">
        <f>HYPERLINK("http://genome-euro.ucsc.edu/cgi-bin/hgTracks?position=216115_at","UCSC")</f>
        <v>UCSC</v>
      </c>
      <c r="E14719" s="1" t="str">
        <f>HYPERLINK("http://www.ncbi.nlm.nih.gov/gene/?term=NF1","NCBI")</f>
        <v>NCBI</v>
      </c>
      <c r="F14719">
        <v>0.57999999999999996</v>
      </c>
      <c r="G14719">
        <v>0.67</v>
      </c>
      <c r="H14719" s="1" t="str">
        <f>HYPERLINK("http://www.weizmann.ac.il/complex/compphys/software/geview/data/figures/216115_at.png","Figure")</f>
        <v>Figure</v>
      </c>
      <c r="I14719">
        <v>0.89900000000000002</v>
      </c>
      <c r="J14719">
        <v>0.77</v>
      </c>
      <c r="K14719">
        <v>0.86799999999999999</v>
      </c>
      <c r="L14719">
        <v>0.56000000000000005</v>
      </c>
      <c r="M14719">
        <v>0.96499999999999997</v>
      </c>
      <c r="N14719">
        <v>0.97</v>
      </c>
    </row>
    <row r="14720" spans="1:14" x14ac:dyDescent="0.25">
      <c r="A14720" t="s">
        <v>24946</v>
      </c>
      <c r="B14720" t="s">
        <v>3520</v>
      </c>
      <c r="C14720" s="1" t="str">
        <f>HYPERLINK("http://www.genecards.org/cgi-bin/carddisp.pl?gene=CA12","GeneCards")</f>
        <v>GeneCards</v>
      </c>
      <c r="D14720" s="1" t="str">
        <f>HYPERLINK("http://genome-euro.ucsc.edu/cgi-bin/hgTracks?position=214164_x_at","UCSC")</f>
        <v>UCSC</v>
      </c>
      <c r="E14720" s="1" t="str">
        <f>HYPERLINK("http://www.ncbi.nlm.nih.gov/gene/?term=CA12","NCBI")</f>
        <v>NCBI</v>
      </c>
      <c r="F14720">
        <v>0.57999999999999996</v>
      </c>
      <c r="G14720">
        <v>0.67</v>
      </c>
      <c r="H14720" s="1" t="str">
        <f>HYPERLINK("http://www.weizmann.ac.il/complex/compphys/software/geview/data/figures/214164_x_at.png","Figure")</f>
        <v>Figure</v>
      </c>
      <c r="I14720">
        <v>1.05</v>
      </c>
      <c r="J14720">
        <v>0.55000000000000004</v>
      </c>
      <c r="K14720">
        <v>1.02</v>
      </c>
      <c r="L14720">
        <v>0.84</v>
      </c>
      <c r="M14720">
        <v>0.97599999999999998</v>
      </c>
      <c r="N14720">
        <v>0.82</v>
      </c>
    </row>
    <row r="14721" spans="1:14" x14ac:dyDescent="0.25">
      <c r="A14721" t="s">
        <v>24947</v>
      </c>
      <c r="B14721" t="s">
        <v>24948</v>
      </c>
      <c r="C14721" s="1" t="str">
        <f>HYPERLINK("http://www.genecards.org/cgi-bin/carddisp.pl?gene=RALY","GeneCards")</f>
        <v>GeneCards</v>
      </c>
      <c r="D14721" s="1" t="str">
        <f>HYPERLINK("http://genome-euro.ucsc.edu/cgi-bin/hgTracks?position=201271_s_at","UCSC")</f>
        <v>UCSC</v>
      </c>
      <c r="E14721" s="1" t="str">
        <f>HYPERLINK("http://www.ncbi.nlm.nih.gov/gene/?term=RALY","NCBI")</f>
        <v>NCBI</v>
      </c>
      <c r="F14721">
        <v>0.57999999999999996</v>
      </c>
      <c r="G14721">
        <v>0.67</v>
      </c>
      <c r="H14721" s="1" t="str">
        <f>HYPERLINK("http://www.weizmann.ac.il/complex/compphys/software/geview/data/figures/201271_s_at.png","Figure")</f>
        <v>Figure</v>
      </c>
      <c r="I14721">
        <v>1.17</v>
      </c>
      <c r="J14721">
        <v>0.59</v>
      </c>
      <c r="K14721">
        <v>1.1200000000000001</v>
      </c>
      <c r="L14721">
        <v>0.7</v>
      </c>
      <c r="M14721">
        <v>0.95599999999999996</v>
      </c>
      <c r="N14721">
        <v>0.95</v>
      </c>
    </row>
    <row r="14722" spans="1:14" x14ac:dyDescent="0.25">
      <c r="A14722" t="s">
        <v>24949</v>
      </c>
      <c r="B14722" t="s">
        <v>8624</v>
      </c>
      <c r="C14722" s="1" t="str">
        <f>HYPERLINK("http://www.genecards.org/cgi-bin/carddisp.pl?gene=MMP19","GeneCards")</f>
        <v>GeneCards</v>
      </c>
      <c r="D14722" s="1" t="str">
        <f>HYPERLINK("http://genome-euro.ucsc.edu/cgi-bin/hgTracks?position=204575_s_at","UCSC")</f>
        <v>UCSC</v>
      </c>
      <c r="E14722" s="1" t="str">
        <f>HYPERLINK("http://www.ncbi.nlm.nih.gov/gene/?term=MMP19","NCBI")</f>
        <v>NCBI</v>
      </c>
      <c r="F14722">
        <v>0.57999999999999996</v>
      </c>
      <c r="G14722">
        <v>0.67</v>
      </c>
      <c r="H14722" s="1" t="str">
        <f>HYPERLINK("http://www.weizmann.ac.il/complex/compphys/software/geview/data/figures/204575_s_at.png","Figure")</f>
        <v>Figure</v>
      </c>
      <c r="I14722">
        <v>1.06</v>
      </c>
      <c r="J14722">
        <v>0.68</v>
      </c>
      <c r="K14722">
        <v>1.06</v>
      </c>
      <c r="L14722">
        <v>0.6</v>
      </c>
      <c r="M14722">
        <v>1</v>
      </c>
      <c r="N14722">
        <v>1</v>
      </c>
    </row>
    <row r="14723" spans="1:14" x14ac:dyDescent="0.25">
      <c r="A14723" t="s">
        <v>24950</v>
      </c>
      <c r="B14723" t="s">
        <v>24951</v>
      </c>
      <c r="C14723" s="1" t="str">
        <f>HYPERLINK("http://www.genecards.org/cgi-bin/carddisp.pl?gene=ADAR","GeneCards")</f>
        <v>GeneCards</v>
      </c>
      <c r="D14723" s="1" t="str">
        <f>HYPERLINK("http://genome-euro.ucsc.edu/cgi-bin/hgTracks?position=201786_s_at","UCSC")</f>
        <v>UCSC</v>
      </c>
      <c r="E14723" s="1" t="str">
        <f>HYPERLINK("http://www.ncbi.nlm.nih.gov/gene/?term=ADAR","NCBI")</f>
        <v>NCBI</v>
      </c>
      <c r="F14723">
        <v>0.57999999999999996</v>
      </c>
      <c r="G14723">
        <v>0.67</v>
      </c>
      <c r="H14723" s="1" t="str">
        <f>HYPERLINK("http://www.weizmann.ac.il/complex/compphys/software/geview/data/figures/201786_s_at.png","Figure")</f>
        <v>Figure</v>
      </c>
      <c r="I14723">
        <v>0.98499999999999999</v>
      </c>
      <c r="J14723">
        <v>1</v>
      </c>
      <c r="K14723">
        <v>0.85299999999999998</v>
      </c>
      <c r="L14723">
        <v>0.62</v>
      </c>
      <c r="M14723">
        <v>0.86599999999999999</v>
      </c>
      <c r="N14723">
        <v>0.71</v>
      </c>
    </row>
    <row r="14724" spans="1:14" x14ac:dyDescent="0.25">
      <c r="A14724" t="s">
        <v>24952</v>
      </c>
      <c r="B14724" t="s">
        <v>21348</v>
      </c>
      <c r="C14724" s="1" t="str">
        <f>HYPERLINK("http://www.genecards.org/cgi-bin/carddisp.pl?gene=ETV5","GeneCards")</f>
        <v>GeneCards</v>
      </c>
      <c r="D14724" s="1" t="str">
        <f>HYPERLINK("http://genome-euro.ucsc.edu/cgi-bin/hgTracks?position=203348_s_at","UCSC")</f>
        <v>UCSC</v>
      </c>
      <c r="E14724" s="1" t="str">
        <f>HYPERLINK("http://www.ncbi.nlm.nih.gov/gene/?term=ETV5","NCBI")</f>
        <v>NCBI</v>
      </c>
      <c r="F14724">
        <v>0.57999999999999996</v>
      </c>
      <c r="G14724">
        <v>0.67</v>
      </c>
      <c r="H14724" s="1" t="str">
        <f>HYPERLINK("http://www.weizmann.ac.il/complex/compphys/software/geview/data/figures/203348_s_at.png","Figure")</f>
        <v>Figure</v>
      </c>
      <c r="I14724">
        <v>1.06</v>
      </c>
      <c r="J14724">
        <v>0.88</v>
      </c>
      <c r="K14724">
        <v>0.94499999999999995</v>
      </c>
      <c r="L14724">
        <v>0.84</v>
      </c>
      <c r="M14724">
        <v>0.89300000000000002</v>
      </c>
      <c r="N14724">
        <v>0.56000000000000005</v>
      </c>
    </row>
    <row r="14725" spans="1:14" x14ac:dyDescent="0.25">
      <c r="A14725" t="s">
        <v>24953</v>
      </c>
      <c r="B14725" t="s">
        <v>17123</v>
      </c>
      <c r="C14725" s="1" t="str">
        <f>HYPERLINK("http://www.genecards.org/cgi-bin/carddisp.pl?gene=RABIF","GeneCards")</f>
        <v>GeneCards</v>
      </c>
      <c r="D14725" s="1" t="str">
        <f>HYPERLINK("http://genome-euro.ucsc.edu/cgi-bin/hgTracks?position=204478_s_at","UCSC")</f>
        <v>UCSC</v>
      </c>
      <c r="E14725" s="1" t="str">
        <f>HYPERLINK("http://www.ncbi.nlm.nih.gov/gene/?term=RABIF","NCBI")</f>
        <v>NCBI</v>
      </c>
      <c r="F14725">
        <v>0.57999999999999996</v>
      </c>
      <c r="G14725">
        <v>0.67</v>
      </c>
      <c r="H14725" s="1" t="str">
        <f>HYPERLINK("http://www.weizmann.ac.il/complex/compphys/software/geview/data/figures/204478_s_at.png","Figure")</f>
        <v>Figure</v>
      </c>
      <c r="I14725">
        <v>1.1599999999999999</v>
      </c>
      <c r="J14725">
        <v>0.55000000000000004</v>
      </c>
      <c r="K14725">
        <v>1.08</v>
      </c>
      <c r="L14725">
        <v>0.81</v>
      </c>
      <c r="M14725">
        <v>0.92900000000000005</v>
      </c>
      <c r="N14725">
        <v>0.85</v>
      </c>
    </row>
    <row r="14726" spans="1:14" x14ac:dyDescent="0.25">
      <c r="A14726" t="s">
        <v>24954</v>
      </c>
      <c r="B14726" t="s">
        <v>24955</v>
      </c>
      <c r="C14726" s="1" t="str">
        <f>HYPERLINK("http://www.genecards.org/cgi-bin/carddisp.pl?gene=EN2","GeneCards")</f>
        <v>GeneCards</v>
      </c>
      <c r="D14726" s="1" t="str">
        <f>HYPERLINK("http://genome-euro.ucsc.edu/cgi-bin/hgTracks?position=207060_at","UCSC")</f>
        <v>UCSC</v>
      </c>
      <c r="E14726" s="1" t="str">
        <f>HYPERLINK("http://www.ncbi.nlm.nih.gov/gene/?term=EN2","NCBI")</f>
        <v>NCBI</v>
      </c>
      <c r="F14726">
        <v>0.57999999999999996</v>
      </c>
      <c r="G14726">
        <v>0.67</v>
      </c>
      <c r="H14726" s="1" t="str">
        <f>HYPERLINK("http://www.weizmann.ac.il/complex/compphys/software/geview/data/figures/207060_at.png","Figure")</f>
        <v>Figure</v>
      </c>
      <c r="I14726">
        <v>1</v>
      </c>
      <c r="J14726">
        <v>0.98</v>
      </c>
      <c r="K14726">
        <v>0.99099999999999999</v>
      </c>
      <c r="L14726">
        <v>0.71</v>
      </c>
      <c r="M14726">
        <v>0.98799999999999999</v>
      </c>
      <c r="N14726">
        <v>0.61</v>
      </c>
    </row>
    <row r="14727" spans="1:14" x14ac:dyDescent="0.25">
      <c r="A14727" t="s">
        <v>24956</v>
      </c>
      <c r="B14727" t="s">
        <v>10283</v>
      </c>
      <c r="C14727" s="1" t="str">
        <f>HYPERLINK("http://www.genecards.org/cgi-bin/carddisp.pl?gene=GNB5","GeneCards")</f>
        <v>GeneCards</v>
      </c>
      <c r="D14727" s="1" t="str">
        <f>HYPERLINK("http://genome-euro.ucsc.edu/cgi-bin/hgTracks?position=207124_s_at","UCSC")</f>
        <v>UCSC</v>
      </c>
      <c r="E14727" s="1" t="str">
        <f>HYPERLINK("http://www.ncbi.nlm.nih.gov/gene/?term=GNB5","NCBI")</f>
        <v>NCBI</v>
      </c>
      <c r="F14727">
        <v>0.57999999999999996</v>
      </c>
      <c r="G14727">
        <v>0.67</v>
      </c>
      <c r="H14727" s="1" t="str">
        <f>HYPERLINK("http://www.weizmann.ac.il/complex/compphys/software/geview/data/figures/207124_s_at.png","Figure")</f>
        <v>Figure</v>
      </c>
      <c r="I14727">
        <v>1.07</v>
      </c>
      <c r="J14727">
        <v>0.7</v>
      </c>
      <c r="K14727">
        <v>1.07</v>
      </c>
      <c r="L14727">
        <v>0.59</v>
      </c>
      <c r="M14727">
        <v>1</v>
      </c>
      <c r="N14727">
        <v>1</v>
      </c>
    </row>
    <row r="14728" spans="1:14" x14ac:dyDescent="0.25">
      <c r="A14728" t="s">
        <v>24957</v>
      </c>
      <c r="B14728" t="s">
        <v>24958</v>
      </c>
      <c r="C14728" s="1" t="str">
        <f>HYPERLINK("http://www.genecards.org/cgi-bin/carddisp.pl?gene=MITF","GeneCards")</f>
        <v>GeneCards</v>
      </c>
      <c r="D14728" s="1" t="str">
        <f>HYPERLINK("http://genome-euro.ucsc.edu/cgi-bin/hgTracks?position=207233_s_at","UCSC")</f>
        <v>UCSC</v>
      </c>
      <c r="E14728" s="1" t="str">
        <f>HYPERLINK("http://www.ncbi.nlm.nih.gov/gene/?term=MITF","NCBI")</f>
        <v>NCBI</v>
      </c>
      <c r="F14728">
        <v>0.57999999999999996</v>
      </c>
      <c r="G14728">
        <v>0.67</v>
      </c>
      <c r="H14728" s="1" t="str">
        <f>HYPERLINK("http://www.weizmann.ac.il/complex/compphys/software/geview/data/figures/207233_s_at.png","Figure")</f>
        <v>Figure</v>
      </c>
      <c r="I14728">
        <v>1.06</v>
      </c>
      <c r="J14728">
        <v>0.7</v>
      </c>
      <c r="K14728">
        <v>1.07</v>
      </c>
      <c r="L14728">
        <v>0.59</v>
      </c>
      <c r="M14728">
        <v>1</v>
      </c>
      <c r="N14728">
        <v>1</v>
      </c>
    </row>
    <row r="14729" spans="1:14" x14ac:dyDescent="0.25">
      <c r="A14729" t="s">
        <v>24959</v>
      </c>
      <c r="B14729" t="s">
        <v>24960</v>
      </c>
      <c r="C14729" s="1" t="str">
        <f>HYPERLINK("http://www.genecards.org/cgi-bin/carddisp.pl?gene=IGH@ /// IGHA1 /// IGHA2 /// IGHD /// IGHG1 /// IGHG3 /// IGHG4 /// IGHM /// IGHV4-31 /// LOC1001265","GeneCards")</f>
        <v>GeneCards</v>
      </c>
      <c r="D14729" s="1" t="str">
        <f>HYPERLINK("http://genome-euro.ucsc.edu/cgi-bin/hgTracks?position=211639_x_at","UCSC")</f>
        <v>UCSC</v>
      </c>
      <c r="E14729" s="1" t="str">
        <f>HYPERLINK("http://www.ncbi.nlm.nih.gov/gene/?term=IGH@ /// IGHA1 /// IGHA2 /// IGHD /// IGHG1 /// IGHG3 /// IGHG4 /// IGHM /// IGHV4-31 /// LOC1001265","NCBI")</f>
        <v>NCBI</v>
      </c>
      <c r="F14729">
        <v>0.57999999999999996</v>
      </c>
      <c r="G14729">
        <v>0.67</v>
      </c>
      <c r="H14729" s="1" t="str">
        <f>HYPERLINK("http://www.weizmann.ac.il/complex/compphys/software/geview/data/figures/211639_x_at.png","Figure")</f>
        <v>Figure</v>
      </c>
      <c r="I14729">
        <v>1.1100000000000001</v>
      </c>
      <c r="J14729">
        <v>0.74</v>
      </c>
      <c r="K14729">
        <v>1.1299999999999999</v>
      </c>
      <c r="L14729">
        <v>0.56999999999999995</v>
      </c>
      <c r="M14729">
        <v>1.02</v>
      </c>
      <c r="N14729">
        <v>0.98</v>
      </c>
    </row>
    <row r="14730" spans="1:14" x14ac:dyDescent="0.25">
      <c r="A14730" t="s">
        <v>24961</v>
      </c>
      <c r="B14730" t="s">
        <v>20935</v>
      </c>
      <c r="C14730" s="1" t="str">
        <f>HYPERLINK("http://www.genecards.org/cgi-bin/carddisp.pl?gene=GOLGA8C /// GOLGA8D /// GOLGA8E /// GOLGA8G /// LOC653061","GeneCards")</f>
        <v>GeneCards</v>
      </c>
      <c r="D14730" s="1" t="str">
        <f>HYPERLINK("http://genome-euro.ucsc.edu/cgi-bin/hgTracks?position=213737_x_at","UCSC")</f>
        <v>UCSC</v>
      </c>
      <c r="E14730" s="1" t="str">
        <f>HYPERLINK("http://www.ncbi.nlm.nih.gov/gene/?term=GOLGA8C /// GOLGA8D /// GOLGA8E /// GOLGA8G /// LOC653061","NCBI")</f>
        <v>NCBI</v>
      </c>
      <c r="F14730">
        <v>0.57999999999999996</v>
      </c>
      <c r="G14730">
        <v>0.67</v>
      </c>
      <c r="H14730" s="1" t="str">
        <f>HYPERLINK("http://www.weizmann.ac.il/complex/compphys/software/geview/data/figures/213737_x_at.png","Figure")</f>
        <v>Figure</v>
      </c>
      <c r="I14730">
        <v>0.747</v>
      </c>
      <c r="J14730">
        <v>0.56000000000000005</v>
      </c>
      <c r="K14730">
        <v>0.91400000000000003</v>
      </c>
      <c r="L14730">
        <v>0.93</v>
      </c>
      <c r="M14730">
        <v>1.22</v>
      </c>
      <c r="N14730">
        <v>0.72</v>
      </c>
    </row>
    <row r="14731" spans="1:14" x14ac:dyDescent="0.25">
      <c r="A14731" t="s">
        <v>24962</v>
      </c>
      <c r="B14731" t="s">
        <v>24963</v>
      </c>
      <c r="C14731" s="1" t="str">
        <f>HYPERLINK("http://www.genecards.org/cgi-bin/carddisp.pl?gene=RPL3","GeneCards")</f>
        <v>GeneCards</v>
      </c>
      <c r="D14731" s="1" t="str">
        <f>HYPERLINK("http://genome-euro.ucsc.edu/cgi-bin/hgTracks?position=201217_x_at","UCSC")</f>
        <v>UCSC</v>
      </c>
      <c r="E14731" s="1" t="str">
        <f>HYPERLINK("http://www.ncbi.nlm.nih.gov/gene/?term=RPL3","NCBI")</f>
        <v>NCBI</v>
      </c>
      <c r="F14731">
        <v>0.57999999999999996</v>
      </c>
      <c r="G14731">
        <v>0.67</v>
      </c>
      <c r="H14731" s="1" t="str">
        <f>HYPERLINK("http://www.weizmann.ac.il/complex/compphys/software/geview/data/figures/201217_x_at.png","Figure")</f>
        <v>Figure</v>
      </c>
      <c r="I14731">
        <v>1.1100000000000001</v>
      </c>
      <c r="J14731">
        <v>0.62</v>
      </c>
      <c r="K14731">
        <v>1.0900000000000001</v>
      </c>
      <c r="L14731">
        <v>0.65</v>
      </c>
      <c r="M14731">
        <v>0.98299999999999998</v>
      </c>
      <c r="N14731">
        <v>0.98</v>
      </c>
    </row>
    <row r="14732" spans="1:14" x14ac:dyDescent="0.25">
      <c r="A14732" t="s">
        <v>24964</v>
      </c>
      <c r="B14732" t="s">
        <v>9275</v>
      </c>
      <c r="C14732" s="1" t="str">
        <f>HYPERLINK("http://www.genecards.org/cgi-bin/carddisp.pl?gene=SKP1","GeneCards")</f>
        <v>GeneCards</v>
      </c>
      <c r="D14732" s="1" t="str">
        <f>HYPERLINK("http://genome-euro.ucsc.edu/cgi-bin/hgTracks?position=200719_at","UCSC")</f>
        <v>UCSC</v>
      </c>
      <c r="E14732" s="1" t="str">
        <f>HYPERLINK("http://www.ncbi.nlm.nih.gov/gene/?term=SKP1","NCBI")</f>
        <v>NCBI</v>
      </c>
      <c r="F14732">
        <v>0.57999999999999996</v>
      </c>
      <c r="G14732">
        <v>0.67</v>
      </c>
      <c r="H14732" s="1" t="str">
        <f>HYPERLINK("http://www.weizmann.ac.il/complex/compphys/software/geview/data/figures/200719_at.png","Figure")</f>
        <v>Figure</v>
      </c>
      <c r="I14732">
        <v>0.995</v>
      </c>
      <c r="J14732">
        <v>1</v>
      </c>
      <c r="K14732">
        <v>0.80100000000000005</v>
      </c>
      <c r="L14732">
        <v>0.63</v>
      </c>
      <c r="M14732">
        <v>0.80500000000000005</v>
      </c>
      <c r="N14732">
        <v>0.68</v>
      </c>
    </row>
    <row r="14733" spans="1:14" x14ac:dyDescent="0.25">
      <c r="A14733" t="s">
        <v>24965</v>
      </c>
      <c r="B14733" t="s">
        <v>18598</v>
      </c>
      <c r="C14733" s="1" t="str">
        <f>HYPERLINK("http://www.genecards.org/cgi-bin/carddisp.pl?gene=PFTK1","GeneCards")</f>
        <v>GeneCards</v>
      </c>
      <c r="D14733" s="1" t="str">
        <f>HYPERLINK("http://genome-euro.ucsc.edu/cgi-bin/hgTracks?position=204604_at","UCSC")</f>
        <v>UCSC</v>
      </c>
      <c r="E14733" s="1" t="str">
        <f>HYPERLINK("http://www.ncbi.nlm.nih.gov/gene/?term=PFTK1","NCBI")</f>
        <v>NCBI</v>
      </c>
      <c r="F14733">
        <v>0.57999999999999996</v>
      </c>
      <c r="G14733">
        <v>0.67</v>
      </c>
      <c r="H14733" s="1" t="str">
        <f>HYPERLINK("http://www.weizmann.ac.il/complex/compphys/software/geview/data/figures/204604_at.png","Figure")</f>
        <v>Figure</v>
      </c>
      <c r="I14733">
        <v>0.86899999999999999</v>
      </c>
      <c r="J14733">
        <v>0.6</v>
      </c>
      <c r="K14733">
        <v>0.98</v>
      </c>
      <c r="L14733">
        <v>0.99</v>
      </c>
      <c r="M14733">
        <v>1.1299999999999999</v>
      </c>
      <c r="N14733">
        <v>0.65</v>
      </c>
    </row>
    <row r="14734" spans="1:14" x14ac:dyDescent="0.25">
      <c r="A14734" t="s">
        <v>24966</v>
      </c>
      <c r="B14734" t="s">
        <v>14371</v>
      </c>
      <c r="C14734" s="1" t="str">
        <f>HYPERLINK("http://www.genecards.org/cgi-bin/carddisp.pl?gene=PEBP1","GeneCards")</f>
        <v>GeneCards</v>
      </c>
      <c r="D14734" s="1" t="str">
        <f>HYPERLINK("http://genome-euro.ucsc.edu/cgi-bin/hgTracks?position=210825_s_at","UCSC")</f>
        <v>UCSC</v>
      </c>
      <c r="E14734" s="1" t="str">
        <f>HYPERLINK("http://www.ncbi.nlm.nih.gov/gene/?term=PEBP1","NCBI")</f>
        <v>NCBI</v>
      </c>
      <c r="F14734">
        <v>0.57999999999999996</v>
      </c>
      <c r="G14734">
        <v>0.67</v>
      </c>
      <c r="H14734" s="1" t="str">
        <f>HYPERLINK("http://www.weizmann.ac.il/complex/compphys/software/geview/data/figures/210825_s_at.png","Figure")</f>
        <v>Figure</v>
      </c>
      <c r="I14734">
        <v>0.871</v>
      </c>
      <c r="J14734">
        <v>0.82</v>
      </c>
      <c r="K14734">
        <v>1.0900000000000001</v>
      </c>
      <c r="L14734">
        <v>0.9</v>
      </c>
      <c r="M14734">
        <v>1.26</v>
      </c>
      <c r="N14734">
        <v>0.55000000000000004</v>
      </c>
    </row>
    <row r="14735" spans="1:14" x14ac:dyDescent="0.25">
      <c r="A14735" t="s">
        <v>24967</v>
      </c>
      <c r="B14735" t="s">
        <v>3133</v>
      </c>
      <c r="C14735" s="1" t="str">
        <f>HYPERLINK("http://www.genecards.org/cgi-bin/carddisp.pl?gene=ADRBK2","GeneCards")</f>
        <v>GeneCards</v>
      </c>
      <c r="D14735" s="1" t="str">
        <f>HYPERLINK("http://genome-euro.ucsc.edu/cgi-bin/hgTracks?position=204183_s_at","UCSC")</f>
        <v>UCSC</v>
      </c>
      <c r="E14735" s="1" t="str">
        <f>HYPERLINK("http://www.ncbi.nlm.nih.gov/gene/?term=ADRBK2","NCBI")</f>
        <v>NCBI</v>
      </c>
      <c r="F14735">
        <v>0.57999999999999996</v>
      </c>
      <c r="G14735">
        <v>0.67</v>
      </c>
      <c r="H14735" s="1" t="str">
        <f>HYPERLINK("http://www.weizmann.ac.il/complex/compphys/software/geview/data/figures/204183_s_at.png","Figure")</f>
        <v>Figure</v>
      </c>
      <c r="I14735">
        <v>1.1299999999999999</v>
      </c>
      <c r="J14735">
        <v>0.56999999999999995</v>
      </c>
      <c r="K14735">
        <v>1.03</v>
      </c>
      <c r="L14735">
        <v>0.96</v>
      </c>
      <c r="M14735">
        <v>0.91500000000000004</v>
      </c>
      <c r="N14735">
        <v>0.69</v>
      </c>
    </row>
    <row r="14736" spans="1:14" x14ac:dyDescent="0.25">
      <c r="A14736" t="s">
        <v>24968</v>
      </c>
      <c r="B14736" t="s">
        <v>7912</v>
      </c>
      <c r="C14736" s="1" t="str">
        <f>HYPERLINK("http://www.genecards.org/cgi-bin/carddisp.pl?gene=SNX13","GeneCards")</f>
        <v>GeneCards</v>
      </c>
      <c r="D14736" s="1" t="str">
        <f>HYPERLINK("http://genome-euro.ucsc.edu/cgi-bin/hgTracks?position=213292_s_at","UCSC")</f>
        <v>UCSC</v>
      </c>
      <c r="E14736" s="1" t="str">
        <f>HYPERLINK("http://www.ncbi.nlm.nih.gov/gene/?term=SNX13","NCBI")</f>
        <v>NCBI</v>
      </c>
      <c r="F14736">
        <v>0.57999999999999996</v>
      </c>
      <c r="G14736">
        <v>0.67</v>
      </c>
      <c r="H14736" s="1" t="str">
        <f>HYPERLINK("http://www.weizmann.ac.il/complex/compphys/software/geview/data/figures/213292_s_at.png","Figure")</f>
        <v>Figure</v>
      </c>
      <c r="I14736">
        <v>1.08</v>
      </c>
      <c r="J14736">
        <v>0.76</v>
      </c>
      <c r="K14736">
        <v>0.96899999999999997</v>
      </c>
      <c r="L14736">
        <v>0.95</v>
      </c>
      <c r="M14736">
        <v>0.89500000000000002</v>
      </c>
      <c r="N14736">
        <v>0.55000000000000004</v>
      </c>
    </row>
    <row r="14737" spans="1:14" x14ac:dyDescent="0.25">
      <c r="A14737" t="s">
        <v>24969</v>
      </c>
      <c r="B14737" t="s">
        <v>24970</v>
      </c>
      <c r="C14737" s="1" t="str">
        <f>HYPERLINK("http://www.genecards.org/cgi-bin/carddisp.pl?gene=LOC339047","GeneCards")</f>
        <v>GeneCards</v>
      </c>
      <c r="D14737" s="1" t="str">
        <f>HYPERLINK("http://genome-euro.ucsc.edu/cgi-bin/hgTracks?position=221501_x_at","UCSC")</f>
        <v>UCSC</v>
      </c>
      <c r="E14737" s="1" t="str">
        <f>HYPERLINK("http://www.ncbi.nlm.nih.gov/gene/?term=LOC339047","NCBI")</f>
        <v>NCBI</v>
      </c>
      <c r="F14737">
        <v>0.57999999999999996</v>
      </c>
      <c r="G14737">
        <v>0.67</v>
      </c>
      <c r="H14737" s="1" t="str">
        <f>HYPERLINK("http://www.weizmann.ac.il/complex/compphys/software/geview/data/figures/221501_x_at.png","Figure")</f>
        <v>Figure</v>
      </c>
      <c r="I14737">
        <v>1.04</v>
      </c>
      <c r="J14737">
        <v>0.99</v>
      </c>
      <c r="K14737">
        <v>1.27</v>
      </c>
      <c r="L14737">
        <v>0.6</v>
      </c>
      <c r="M14737">
        <v>1.22</v>
      </c>
      <c r="N14737">
        <v>0.73</v>
      </c>
    </row>
    <row r="14738" spans="1:14" x14ac:dyDescent="0.25">
      <c r="A14738" t="s">
        <v>24971</v>
      </c>
      <c r="B14738" t="s">
        <v>15420</v>
      </c>
      <c r="C14738" s="1" t="str">
        <f>HYPERLINK("http://www.genecards.org/cgi-bin/carddisp.pl?gene=RABGAP1","GeneCards")</f>
        <v>GeneCards</v>
      </c>
      <c r="D14738" s="1" t="str">
        <f>HYPERLINK("http://genome-euro.ucsc.edu/cgi-bin/hgTracks?position=213313_at","UCSC")</f>
        <v>UCSC</v>
      </c>
      <c r="E14738" s="1" t="str">
        <f>HYPERLINK("http://www.ncbi.nlm.nih.gov/gene/?term=RABGAP1","NCBI")</f>
        <v>NCBI</v>
      </c>
      <c r="F14738">
        <v>0.57999999999999996</v>
      </c>
      <c r="G14738">
        <v>0.67</v>
      </c>
      <c r="H14738" s="1" t="str">
        <f>HYPERLINK("http://www.weizmann.ac.il/complex/compphys/software/geview/data/figures/213313_at.png","Figure")</f>
        <v>Figure</v>
      </c>
      <c r="I14738">
        <v>0.746</v>
      </c>
      <c r="J14738">
        <v>0.63</v>
      </c>
      <c r="K14738">
        <v>0.99399999999999999</v>
      </c>
      <c r="L14738">
        <v>1</v>
      </c>
      <c r="M14738">
        <v>1.33</v>
      </c>
      <c r="N14738">
        <v>0.61</v>
      </c>
    </row>
    <row r="14739" spans="1:14" x14ac:dyDescent="0.25">
      <c r="A14739" t="s">
        <v>24972</v>
      </c>
      <c r="B14739" t="s">
        <v>24973</v>
      </c>
      <c r="C14739" s="1" t="str">
        <f>HYPERLINK("http://www.genecards.org/cgi-bin/carddisp.pl?gene=C20orf30","GeneCards")</f>
        <v>GeneCards</v>
      </c>
      <c r="D14739" s="1" t="str">
        <f>HYPERLINK("http://genome-euro.ucsc.edu/cgi-bin/hgTracks?position=220477_s_at","UCSC")</f>
        <v>UCSC</v>
      </c>
      <c r="E14739" s="1" t="str">
        <f>HYPERLINK("http://www.ncbi.nlm.nih.gov/gene/?term=C20orf30","NCBI")</f>
        <v>NCBI</v>
      </c>
      <c r="F14739">
        <v>0.57999999999999996</v>
      </c>
      <c r="G14739">
        <v>0.67</v>
      </c>
      <c r="H14739" s="1" t="str">
        <f>HYPERLINK("http://www.weizmann.ac.il/complex/compphys/software/geview/data/figures/220477_s_at.png","Figure")</f>
        <v>Figure</v>
      </c>
      <c r="I14739">
        <v>1.04</v>
      </c>
      <c r="J14739">
        <v>0.98</v>
      </c>
      <c r="K14739">
        <v>1.19</v>
      </c>
      <c r="L14739">
        <v>0.59</v>
      </c>
      <c r="M14739">
        <v>1.1499999999999999</v>
      </c>
      <c r="N14739">
        <v>0.75</v>
      </c>
    </row>
    <row r="14740" spans="1:14" x14ac:dyDescent="0.25">
      <c r="A14740" t="s">
        <v>24974</v>
      </c>
      <c r="B14740" t="s">
        <v>14318</v>
      </c>
      <c r="C14740" s="1" t="str">
        <f>HYPERLINK("http://www.genecards.org/cgi-bin/carddisp.pl?gene=PPP1R10","GeneCards")</f>
        <v>GeneCards</v>
      </c>
      <c r="D14740" s="1" t="str">
        <f>HYPERLINK("http://genome-euro.ucsc.edu/cgi-bin/hgTracks?position=201702_s_at","UCSC")</f>
        <v>UCSC</v>
      </c>
      <c r="E14740" s="1" t="str">
        <f>HYPERLINK("http://www.ncbi.nlm.nih.gov/gene/?term=PPP1R10","NCBI")</f>
        <v>NCBI</v>
      </c>
      <c r="F14740">
        <v>0.57999999999999996</v>
      </c>
      <c r="G14740">
        <v>0.67</v>
      </c>
      <c r="H14740" s="1" t="str">
        <f>HYPERLINK("http://www.weizmann.ac.il/complex/compphys/software/geview/data/figures/201702_s_at.png","Figure")</f>
        <v>Figure</v>
      </c>
      <c r="I14740">
        <v>0.89900000000000002</v>
      </c>
      <c r="J14740">
        <v>0.78</v>
      </c>
      <c r="K14740">
        <v>1.05</v>
      </c>
      <c r="L14740">
        <v>0.93</v>
      </c>
      <c r="M14740">
        <v>1.17</v>
      </c>
      <c r="N14740">
        <v>0.55000000000000004</v>
      </c>
    </row>
    <row r="14741" spans="1:14" x14ac:dyDescent="0.25">
      <c r="A14741" t="s">
        <v>24975</v>
      </c>
      <c r="B14741" t="s">
        <v>24976</v>
      </c>
      <c r="C14741" s="1" t="str">
        <f>HYPERLINK("http://www.genecards.org/cgi-bin/carddisp.pl?gene=SCARB1","GeneCards")</f>
        <v>GeneCards</v>
      </c>
      <c r="D14741" s="1" t="str">
        <f>HYPERLINK("http://genome-euro.ucsc.edu/cgi-bin/hgTracks?position=201819_at","UCSC")</f>
        <v>UCSC</v>
      </c>
      <c r="E14741" s="1" t="str">
        <f>HYPERLINK("http://www.ncbi.nlm.nih.gov/gene/?term=SCARB1","NCBI")</f>
        <v>NCBI</v>
      </c>
      <c r="F14741">
        <v>0.57999999999999996</v>
      </c>
      <c r="G14741">
        <v>0.67</v>
      </c>
      <c r="H14741" s="1" t="str">
        <f>HYPERLINK("http://www.weizmann.ac.il/complex/compphys/software/geview/data/figures/201819_at.png","Figure")</f>
        <v>Figure</v>
      </c>
      <c r="I14741">
        <v>0.84899999999999998</v>
      </c>
      <c r="J14741">
        <v>0.74</v>
      </c>
      <c r="K14741">
        <v>0.82199999999999995</v>
      </c>
      <c r="L14741">
        <v>0.56999999999999995</v>
      </c>
      <c r="M14741">
        <v>0.96799999999999997</v>
      </c>
      <c r="N14741">
        <v>0.99</v>
      </c>
    </row>
    <row r="14742" spans="1:14" x14ac:dyDescent="0.25">
      <c r="A14742" t="s">
        <v>24977</v>
      </c>
      <c r="B14742" t="s">
        <v>23580</v>
      </c>
      <c r="C14742" s="1" t="str">
        <f>HYPERLINK("http://www.genecards.org/cgi-bin/carddisp.pl?gene=HIST1H2BG","GeneCards")</f>
        <v>GeneCards</v>
      </c>
      <c r="D14742" s="1" t="str">
        <f>HYPERLINK("http://genome-euro.ucsc.edu/cgi-bin/hgTracks?position=215779_s_at","UCSC")</f>
        <v>UCSC</v>
      </c>
      <c r="E14742" s="1" t="str">
        <f>HYPERLINK("http://www.ncbi.nlm.nih.gov/gene/?term=HIST1H2BG","NCBI")</f>
        <v>NCBI</v>
      </c>
      <c r="F14742">
        <v>0.57999999999999996</v>
      </c>
      <c r="G14742">
        <v>0.67</v>
      </c>
      <c r="H14742" s="1" t="str">
        <f>HYPERLINK("http://www.weizmann.ac.il/complex/compphys/software/geview/data/figures/215779_s_at.png","Figure")</f>
        <v>Figure</v>
      </c>
      <c r="I14742">
        <v>1.22</v>
      </c>
      <c r="J14742">
        <v>0.55000000000000004</v>
      </c>
      <c r="K14742">
        <v>1.1000000000000001</v>
      </c>
      <c r="L14742">
        <v>0.82</v>
      </c>
      <c r="M14742">
        <v>0.90500000000000003</v>
      </c>
      <c r="N14742">
        <v>0.84</v>
      </c>
    </row>
    <row r="14743" spans="1:14" x14ac:dyDescent="0.25">
      <c r="A14743" t="s">
        <v>24978</v>
      </c>
      <c r="B14743" t="s">
        <v>24979</v>
      </c>
      <c r="C14743" s="1" t="str">
        <f>HYPERLINK("http://www.genecards.org/cgi-bin/carddisp.pl?gene=IGK@ /// IGKC /// LOC650405 /// LOC652493","GeneCards")</f>
        <v>GeneCards</v>
      </c>
      <c r="D14743" s="1" t="str">
        <f>HYPERLINK("http://genome-euro.ucsc.edu/cgi-bin/hgTracks?position=217157_x_at","UCSC")</f>
        <v>UCSC</v>
      </c>
      <c r="E14743" s="1" t="str">
        <f>HYPERLINK("http://www.ncbi.nlm.nih.gov/gene/?term=IGK@ /// IGKC /// LOC650405 /// LOC652493","NCBI")</f>
        <v>NCBI</v>
      </c>
      <c r="F14743">
        <v>0.57999999999999996</v>
      </c>
      <c r="G14743">
        <v>0.67</v>
      </c>
      <c r="H14743" s="1" t="str">
        <f>HYPERLINK("http://www.weizmann.ac.il/complex/compphys/software/geview/data/figures/217157_x_at.png","Figure")</f>
        <v>Figure</v>
      </c>
      <c r="I14743">
        <v>1.02</v>
      </c>
      <c r="J14743">
        <v>0.97</v>
      </c>
      <c r="K14743">
        <v>0.93100000000000005</v>
      </c>
      <c r="L14743">
        <v>0.72</v>
      </c>
      <c r="M14743">
        <v>0.90800000000000003</v>
      </c>
      <c r="N14743">
        <v>0.61</v>
      </c>
    </row>
    <row r="14744" spans="1:14" x14ac:dyDescent="0.25">
      <c r="A14744" t="s">
        <v>24980</v>
      </c>
      <c r="B14744" t="s">
        <v>24981</v>
      </c>
      <c r="C14744" s="1" t="str">
        <f>HYPERLINK("http://www.genecards.org/cgi-bin/carddisp.pl?gene=TFB2M","GeneCards")</f>
        <v>GeneCards</v>
      </c>
      <c r="D14744" s="1" t="str">
        <f>HYPERLINK("http://genome-euro.ucsc.edu/cgi-bin/hgTracks?position=218605_at","UCSC")</f>
        <v>UCSC</v>
      </c>
      <c r="E14744" s="1" t="str">
        <f>HYPERLINK("http://www.ncbi.nlm.nih.gov/gene/?term=TFB2M","NCBI")</f>
        <v>NCBI</v>
      </c>
      <c r="F14744">
        <v>0.57999999999999996</v>
      </c>
      <c r="G14744">
        <v>0.67</v>
      </c>
      <c r="H14744" s="1" t="str">
        <f>HYPERLINK("http://www.weizmann.ac.il/complex/compphys/software/geview/data/figures/218605_at.png","Figure")</f>
        <v>Figure</v>
      </c>
      <c r="I14744">
        <v>1.28</v>
      </c>
      <c r="J14744">
        <v>0.57999999999999996</v>
      </c>
      <c r="K14744">
        <v>1.05</v>
      </c>
      <c r="L14744">
        <v>0.97</v>
      </c>
      <c r="M14744">
        <v>0.82299999999999995</v>
      </c>
      <c r="N14744">
        <v>0.68</v>
      </c>
    </row>
    <row r="14745" spans="1:14" x14ac:dyDescent="0.25">
      <c r="A14745" t="s">
        <v>24982</v>
      </c>
      <c r="B14745" t="s">
        <v>13626</v>
      </c>
      <c r="C14745" s="1" t="str">
        <f>HYPERLINK("http://www.genecards.org/cgi-bin/carddisp.pl?gene=GCAT","GeneCards")</f>
        <v>GeneCards</v>
      </c>
      <c r="D14745" s="1" t="str">
        <f>HYPERLINK("http://genome-euro.ucsc.edu/cgi-bin/hgTracks?position=205164_at","UCSC")</f>
        <v>UCSC</v>
      </c>
      <c r="E14745" s="1" t="str">
        <f>HYPERLINK("http://www.ncbi.nlm.nih.gov/gene/?term=GCAT","NCBI")</f>
        <v>NCBI</v>
      </c>
      <c r="F14745">
        <v>0.57999999999999996</v>
      </c>
      <c r="G14745">
        <v>0.67</v>
      </c>
      <c r="H14745" s="1" t="str">
        <f>HYPERLINK("http://www.weizmann.ac.il/complex/compphys/software/geview/data/figures/205164_at.png","Figure")</f>
        <v>Figure</v>
      </c>
      <c r="I14745">
        <v>1.06</v>
      </c>
      <c r="J14745">
        <v>0.75</v>
      </c>
      <c r="K14745">
        <v>0.98099999999999998</v>
      </c>
      <c r="L14745">
        <v>0.96</v>
      </c>
      <c r="M14745">
        <v>0.92700000000000005</v>
      </c>
      <c r="N14745">
        <v>0.56000000000000005</v>
      </c>
    </row>
    <row r="14746" spans="1:14" x14ac:dyDescent="0.25">
      <c r="A14746" t="s">
        <v>24983</v>
      </c>
      <c r="B14746" t="s">
        <v>24984</v>
      </c>
      <c r="C14746" s="1" t="str">
        <f>HYPERLINK("http://www.genecards.org/cgi-bin/carddisp.pl?gene=RTEL1 /// TNFRSF6B","GeneCards")</f>
        <v>GeneCards</v>
      </c>
      <c r="D14746" s="1" t="str">
        <f>HYPERLINK("http://genome-euro.ucsc.edu/cgi-bin/hgTracks?position=206467_x_at","UCSC")</f>
        <v>UCSC</v>
      </c>
      <c r="E14746" s="1" t="str">
        <f>HYPERLINK("http://www.ncbi.nlm.nih.gov/gene/?term=RTEL1 /// TNFRSF6B","NCBI")</f>
        <v>NCBI</v>
      </c>
      <c r="F14746">
        <v>0.57999999999999996</v>
      </c>
      <c r="G14746">
        <v>0.67</v>
      </c>
      <c r="H14746" s="1" t="str">
        <f>HYPERLINK("http://www.weizmann.ac.il/complex/compphys/software/geview/data/figures/206467_x_at.png","Figure")</f>
        <v>Figure</v>
      </c>
      <c r="I14746">
        <v>0.99099999999999999</v>
      </c>
      <c r="J14746">
        <v>0.99</v>
      </c>
      <c r="K14746">
        <v>0.93200000000000005</v>
      </c>
      <c r="L14746">
        <v>0.61</v>
      </c>
      <c r="M14746">
        <v>0.94</v>
      </c>
      <c r="N14746">
        <v>0.72</v>
      </c>
    </row>
    <row r="14747" spans="1:14" x14ac:dyDescent="0.25">
      <c r="A14747" t="s">
        <v>24985</v>
      </c>
      <c r="B14747" t="s">
        <v>5845</v>
      </c>
      <c r="C14747" s="1" t="str">
        <f>HYPERLINK("http://www.genecards.org/cgi-bin/carddisp.pl?gene=PQBP1","GeneCards")</f>
        <v>GeneCards</v>
      </c>
      <c r="D14747" s="1" t="str">
        <f>HYPERLINK("http://genome-euro.ucsc.edu/cgi-bin/hgTracks?position=214527_s_at","UCSC")</f>
        <v>UCSC</v>
      </c>
      <c r="E14747" s="1" t="str">
        <f>HYPERLINK("http://www.ncbi.nlm.nih.gov/gene/?term=PQBP1","NCBI")</f>
        <v>NCBI</v>
      </c>
      <c r="F14747">
        <v>0.57999999999999996</v>
      </c>
      <c r="G14747">
        <v>0.67</v>
      </c>
      <c r="H14747" s="1" t="str">
        <f>HYPERLINK("http://www.weizmann.ac.il/complex/compphys/software/geview/data/figures/214527_s_at.png","Figure")</f>
        <v>Figure</v>
      </c>
      <c r="I14747">
        <v>0.86399999999999999</v>
      </c>
      <c r="J14747">
        <v>0.74</v>
      </c>
      <c r="K14747">
        <v>0.84</v>
      </c>
      <c r="L14747">
        <v>0.56999999999999995</v>
      </c>
      <c r="M14747">
        <v>0.97299999999999998</v>
      </c>
      <c r="N14747">
        <v>0.99</v>
      </c>
    </row>
    <row r="14748" spans="1:14" x14ac:dyDescent="0.25">
      <c r="A14748" t="s">
        <v>24986</v>
      </c>
      <c r="B14748" t="s">
        <v>24987</v>
      </c>
      <c r="C14748" s="1" t="str">
        <f>HYPERLINK("http://www.genecards.org/cgi-bin/carddisp.pl?gene=NDUFC2","GeneCards")</f>
        <v>GeneCards</v>
      </c>
      <c r="D14748" s="1" t="str">
        <f>HYPERLINK("http://genome-euro.ucsc.edu/cgi-bin/hgTracks?position=218101_s_at","UCSC")</f>
        <v>UCSC</v>
      </c>
      <c r="E14748" s="1" t="str">
        <f>HYPERLINK("http://www.ncbi.nlm.nih.gov/gene/?term=NDUFC2","NCBI")</f>
        <v>NCBI</v>
      </c>
      <c r="F14748">
        <v>0.57999999999999996</v>
      </c>
      <c r="G14748">
        <v>0.67</v>
      </c>
      <c r="H14748" s="1" t="str">
        <f>HYPERLINK("http://www.weizmann.ac.il/complex/compphys/software/geview/data/figures/218101_s_at.png","Figure")</f>
        <v>Figure</v>
      </c>
      <c r="I14748">
        <v>0.92300000000000004</v>
      </c>
      <c r="J14748">
        <v>0.9</v>
      </c>
      <c r="K14748">
        <v>1.1000000000000001</v>
      </c>
      <c r="L14748">
        <v>0.82</v>
      </c>
      <c r="M14748">
        <v>1.2</v>
      </c>
      <c r="N14748">
        <v>0.56999999999999995</v>
      </c>
    </row>
    <row r="14749" spans="1:14" x14ac:dyDescent="0.25">
      <c r="A14749" t="s">
        <v>24988</v>
      </c>
      <c r="B14749" t="s">
        <v>24989</v>
      </c>
      <c r="C14749" s="1" t="str">
        <f>HYPERLINK("http://www.genecards.org/cgi-bin/carddisp.pl?gene=GATC","GeneCards")</f>
        <v>GeneCards</v>
      </c>
      <c r="D14749" s="1" t="str">
        <f>HYPERLINK("http://genome-euro.ucsc.edu/cgi-bin/hgTracks?position=214711_at","UCSC")</f>
        <v>UCSC</v>
      </c>
      <c r="E14749" s="1" t="str">
        <f>HYPERLINK("http://www.ncbi.nlm.nih.gov/gene/?term=GATC","NCBI")</f>
        <v>NCBI</v>
      </c>
      <c r="F14749">
        <v>0.57999999999999996</v>
      </c>
      <c r="G14749">
        <v>0.67</v>
      </c>
      <c r="H14749" s="1" t="str">
        <f>HYPERLINK("http://www.weizmann.ac.il/complex/compphys/software/geview/data/figures/214711_at.png","Figure")</f>
        <v>Figure</v>
      </c>
      <c r="I14749">
        <v>1.01</v>
      </c>
      <c r="J14749">
        <v>0.96</v>
      </c>
      <c r="K14749">
        <v>0.97099999999999997</v>
      </c>
      <c r="L14749">
        <v>0.74</v>
      </c>
      <c r="M14749">
        <v>0.95899999999999996</v>
      </c>
      <c r="N14749">
        <v>0.6</v>
      </c>
    </row>
    <row r="14750" spans="1:14" x14ac:dyDescent="0.25">
      <c r="A14750" t="s">
        <v>24990</v>
      </c>
      <c r="B14750" t="s">
        <v>12173</v>
      </c>
      <c r="C14750" s="1" t="str">
        <f>HYPERLINK("http://www.genecards.org/cgi-bin/carddisp.pl?gene=LOC645139 /// PAIP1","GeneCards")</f>
        <v>GeneCards</v>
      </c>
      <c r="D14750" s="1" t="str">
        <f>HYPERLINK("http://genome-euro.ucsc.edu/cgi-bin/hgTracks?position=210283_x_at","UCSC")</f>
        <v>UCSC</v>
      </c>
      <c r="E14750" s="1" t="str">
        <f>HYPERLINK("http://www.ncbi.nlm.nih.gov/gene/?term=LOC645139 /// PAIP1","NCBI")</f>
        <v>NCBI</v>
      </c>
      <c r="F14750">
        <v>0.57999999999999996</v>
      </c>
      <c r="G14750">
        <v>0.67</v>
      </c>
      <c r="H14750" s="1" t="str">
        <f>HYPERLINK("http://www.weizmann.ac.il/complex/compphys/software/geview/data/figures/210283_x_at.png","Figure")</f>
        <v>Figure</v>
      </c>
      <c r="I14750">
        <v>0.92500000000000004</v>
      </c>
      <c r="J14750">
        <v>0.93</v>
      </c>
      <c r="K14750">
        <v>0.82599999999999996</v>
      </c>
      <c r="L14750">
        <v>0.56000000000000005</v>
      </c>
      <c r="M14750">
        <v>0.89300000000000002</v>
      </c>
      <c r="N14750">
        <v>0.83</v>
      </c>
    </row>
    <row r="14751" spans="1:14" x14ac:dyDescent="0.25">
      <c r="A14751" t="s">
        <v>24991</v>
      </c>
      <c r="B14751" t="s">
        <v>24541</v>
      </c>
      <c r="C14751" s="1" t="str">
        <f>HYPERLINK("http://www.genecards.org/cgi-bin/carddisp.pl?gene=DCT","GeneCards")</f>
        <v>GeneCards</v>
      </c>
      <c r="D14751" s="1" t="str">
        <f>HYPERLINK("http://genome-euro.ucsc.edu/cgi-bin/hgTracks?position=205338_s_at","UCSC")</f>
        <v>UCSC</v>
      </c>
      <c r="E14751" s="1" t="str">
        <f>HYPERLINK("http://www.ncbi.nlm.nih.gov/gene/?term=DCT","NCBI")</f>
        <v>NCBI</v>
      </c>
      <c r="F14751">
        <v>0.57999999999999996</v>
      </c>
      <c r="G14751">
        <v>0.67</v>
      </c>
      <c r="H14751" s="1" t="str">
        <f>HYPERLINK("http://www.weizmann.ac.il/complex/compphys/software/geview/data/figures/205338_s_at.png","Figure")</f>
        <v>Figure</v>
      </c>
      <c r="I14751">
        <v>1.05</v>
      </c>
      <c r="J14751">
        <v>0.72</v>
      </c>
      <c r="K14751">
        <v>0.98899999999999999</v>
      </c>
      <c r="L14751">
        <v>0.98</v>
      </c>
      <c r="M14751">
        <v>0.94399999999999995</v>
      </c>
      <c r="N14751">
        <v>0.56999999999999995</v>
      </c>
    </row>
    <row r="14752" spans="1:14" x14ac:dyDescent="0.25">
      <c r="A14752" t="s">
        <v>24992</v>
      </c>
      <c r="B14752" t="s">
        <v>9264</v>
      </c>
      <c r="C14752" s="1" t="str">
        <f>HYPERLINK("http://www.genecards.org/cgi-bin/carddisp.pl?gene=KDM5B","GeneCards")</f>
        <v>GeneCards</v>
      </c>
      <c r="D14752" s="1" t="str">
        <f>HYPERLINK("http://genome-euro.ucsc.edu/cgi-bin/hgTracks?position=201549_x_at","UCSC")</f>
        <v>UCSC</v>
      </c>
      <c r="E14752" s="1" t="str">
        <f>HYPERLINK("http://www.ncbi.nlm.nih.gov/gene/?term=KDM5B","NCBI")</f>
        <v>NCBI</v>
      </c>
      <c r="F14752">
        <v>0.57999999999999996</v>
      </c>
      <c r="G14752">
        <v>0.67</v>
      </c>
      <c r="H14752" s="1" t="str">
        <f>HYPERLINK("http://www.weizmann.ac.il/complex/compphys/software/geview/data/figures/201549_x_at.png","Figure")</f>
        <v>Figure</v>
      </c>
      <c r="I14752">
        <v>1.0900000000000001</v>
      </c>
      <c r="J14752">
        <v>0.93</v>
      </c>
      <c r="K14752">
        <v>0.876</v>
      </c>
      <c r="L14752">
        <v>0.79</v>
      </c>
      <c r="M14752">
        <v>0.80500000000000005</v>
      </c>
      <c r="N14752">
        <v>0.57999999999999996</v>
      </c>
    </row>
    <row r="14753" spans="1:14" x14ac:dyDescent="0.25">
      <c r="A14753" t="s">
        <v>24993</v>
      </c>
      <c r="B14753" t="s">
        <v>24994</v>
      </c>
      <c r="C14753" s="1" t="str">
        <f>HYPERLINK("http://www.genecards.org/cgi-bin/carddisp.pl?gene=CHD3","GeneCards")</f>
        <v>GeneCards</v>
      </c>
      <c r="D14753" s="1" t="str">
        <f>HYPERLINK("http://genome-euro.ucsc.edu/cgi-bin/hgTracks?position=208807_s_at","UCSC")</f>
        <v>UCSC</v>
      </c>
      <c r="E14753" s="1" t="str">
        <f>HYPERLINK("http://www.ncbi.nlm.nih.gov/gene/?term=CHD3","NCBI")</f>
        <v>NCBI</v>
      </c>
      <c r="F14753">
        <v>0.57999999999999996</v>
      </c>
      <c r="G14753">
        <v>0.67</v>
      </c>
      <c r="H14753" s="1" t="str">
        <f>HYPERLINK("http://www.weizmann.ac.il/complex/compphys/software/geview/data/figures/208807_s_at.png","Figure")</f>
        <v>Figure</v>
      </c>
      <c r="I14753">
        <v>1.06</v>
      </c>
      <c r="J14753">
        <v>0.91</v>
      </c>
      <c r="K14753">
        <v>1.1399999999999999</v>
      </c>
      <c r="L14753">
        <v>0.56000000000000005</v>
      </c>
      <c r="M14753">
        <v>1.07</v>
      </c>
      <c r="N14753">
        <v>0.86</v>
      </c>
    </row>
    <row r="14754" spans="1:14" x14ac:dyDescent="0.25">
      <c r="A14754" t="s">
        <v>24995</v>
      </c>
      <c r="B14754" t="s">
        <v>24996</v>
      </c>
      <c r="C14754" s="1" t="str">
        <f>HYPERLINK("http://www.genecards.org/cgi-bin/carddisp.pl?gene=IRF1","GeneCards")</f>
        <v>GeneCards</v>
      </c>
      <c r="D14754" s="1" t="str">
        <f>HYPERLINK("http://genome-euro.ucsc.edu/cgi-bin/hgTracks?position=202531_at","UCSC")</f>
        <v>UCSC</v>
      </c>
      <c r="E14754" s="1" t="str">
        <f>HYPERLINK("http://www.ncbi.nlm.nih.gov/gene/?term=IRF1","NCBI")</f>
        <v>NCBI</v>
      </c>
      <c r="F14754">
        <v>0.57999999999999996</v>
      </c>
      <c r="G14754">
        <v>0.67</v>
      </c>
      <c r="H14754" s="1" t="str">
        <f>HYPERLINK("http://www.weizmann.ac.il/complex/compphys/software/geview/data/figures/202531_at.png","Figure")</f>
        <v>Figure</v>
      </c>
      <c r="I14754">
        <v>0.95499999999999996</v>
      </c>
      <c r="J14754">
        <v>0.98</v>
      </c>
      <c r="K14754">
        <v>0.79700000000000004</v>
      </c>
      <c r="L14754">
        <v>0.6</v>
      </c>
      <c r="M14754">
        <v>0.83499999999999996</v>
      </c>
      <c r="N14754">
        <v>0.75</v>
      </c>
    </row>
    <row r="14755" spans="1:14" x14ac:dyDescent="0.25">
      <c r="A14755" t="s">
        <v>24997</v>
      </c>
      <c r="B14755" t="s">
        <v>24998</v>
      </c>
      <c r="C14755" s="1" t="str">
        <f>HYPERLINK("http://www.genecards.org/cgi-bin/carddisp.pl?gene=PCDHB6","GeneCards")</f>
        <v>GeneCards</v>
      </c>
      <c r="D14755" s="1" t="str">
        <f>HYPERLINK("http://genome-euro.ucsc.edu/cgi-bin/hgTracks?position=221317_x_at","UCSC")</f>
        <v>UCSC</v>
      </c>
      <c r="E14755" s="1" t="str">
        <f>HYPERLINK("http://www.ncbi.nlm.nih.gov/gene/?term=PCDHB6","NCBI")</f>
        <v>NCBI</v>
      </c>
      <c r="F14755">
        <v>0.57999999999999996</v>
      </c>
      <c r="G14755">
        <v>0.67</v>
      </c>
      <c r="H14755" s="1" t="str">
        <f>HYPERLINK("http://www.weizmann.ac.il/complex/compphys/software/geview/data/figures/221317_x_at.png","Figure")</f>
        <v>Figure</v>
      </c>
      <c r="I14755">
        <v>1.04</v>
      </c>
      <c r="J14755">
        <v>0.91</v>
      </c>
      <c r="K14755">
        <v>0.95599999999999996</v>
      </c>
      <c r="L14755">
        <v>0.81</v>
      </c>
      <c r="M14755">
        <v>0.92200000000000004</v>
      </c>
      <c r="N14755">
        <v>0.56999999999999995</v>
      </c>
    </row>
    <row r="14756" spans="1:14" x14ac:dyDescent="0.25">
      <c r="A14756" t="s">
        <v>24999</v>
      </c>
      <c r="B14756" t="s">
        <v>25000</v>
      </c>
      <c r="C14756" s="1" t="str">
        <f>HYPERLINK("http://www.genecards.org/cgi-bin/carddisp.pl?gene=DUSP26","GeneCards")</f>
        <v>GeneCards</v>
      </c>
      <c r="D14756" s="1" t="str">
        <f>HYPERLINK("http://genome-euro.ucsc.edu/cgi-bin/hgTracks?position=219144_at","UCSC")</f>
        <v>UCSC</v>
      </c>
      <c r="E14756" s="1" t="str">
        <f>HYPERLINK("http://www.ncbi.nlm.nih.gov/gene/?term=DUSP26","NCBI")</f>
        <v>NCBI</v>
      </c>
      <c r="F14756">
        <v>0.57999999999999996</v>
      </c>
      <c r="G14756">
        <v>0.67</v>
      </c>
      <c r="H14756" s="1" t="str">
        <f>HYPERLINK("http://www.weizmann.ac.il/complex/compphys/software/geview/data/figures/219144_at.png","Figure")</f>
        <v>Figure</v>
      </c>
      <c r="I14756">
        <v>1.07</v>
      </c>
      <c r="J14756">
        <v>0.91</v>
      </c>
      <c r="K14756">
        <v>0.91600000000000004</v>
      </c>
      <c r="L14756">
        <v>0.81</v>
      </c>
      <c r="M14756">
        <v>0.85599999999999998</v>
      </c>
      <c r="N14756">
        <v>0.56999999999999995</v>
      </c>
    </row>
    <row r="14757" spans="1:14" x14ac:dyDescent="0.25">
      <c r="A14757" t="s">
        <v>25001</v>
      </c>
      <c r="B14757" t="s">
        <v>25002</v>
      </c>
      <c r="C14757" s="1" t="str">
        <f>HYPERLINK("http://www.genecards.org/cgi-bin/carddisp.pl?gene=NSF","GeneCards")</f>
        <v>GeneCards</v>
      </c>
      <c r="D14757" s="1" t="str">
        <f>HYPERLINK("http://genome-euro.ucsc.edu/cgi-bin/hgTracks?position=202395_at","UCSC")</f>
        <v>UCSC</v>
      </c>
      <c r="E14757" s="1" t="str">
        <f>HYPERLINK("http://www.ncbi.nlm.nih.gov/gene/?term=NSF","NCBI")</f>
        <v>NCBI</v>
      </c>
      <c r="F14757">
        <v>0.57999999999999996</v>
      </c>
      <c r="G14757">
        <v>0.67</v>
      </c>
      <c r="H14757" s="1" t="str">
        <f>HYPERLINK("http://www.weizmann.ac.il/complex/compphys/software/geview/data/figures/202395_at.png","Figure")</f>
        <v>Figure</v>
      </c>
      <c r="I14757">
        <v>0.86599999999999999</v>
      </c>
      <c r="J14757">
        <v>0.78</v>
      </c>
      <c r="K14757">
        <v>1.07</v>
      </c>
      <c r="L14757">
        <v>0.93</v>
      </c>
      <c r="M14757">
        <v>1.23</v>
      </c>
      <c r="N14757">
        <v>0.56000000000000005</v>
      </c>
    </row>
    <row r="14758" spans="1:14" x14ac:dyDescent="0.25">
      <c r="A14758" t="s">
        <v>25003</v>
      </c>
      <c r="B14758" t="s">
        <v>25004</v>
      </c>
      <c r="C14758" s="1" t="str">
        <f>HYPERLINK("http://www.genecards.org/cgi-bin/carddisp.pl?gene=FAM189A2","GeneCards")</f>
        <v>GeneCards</v>
      </c>
      <c r="D14758" s="1" t="str">
        <f>HYPERLINK("http://genome-euro.ucsc.edu/cgi-bin/hgTracks?position=213900_at","UCSC")</f>
        <v>UCSC</v>
      </c>
      <c r="E14758" s="1" t="str">
        <f>HYPERLINK("http://www.ncbi.nlm.nih.gov/gene/?term=FAM189A2","NCBI")</f>
        <v>NCBI</v>
      </c>
      <c r="F14758">
        <v>0.57999999999999996</v>
      </c>
      <c r="G14758">
        <v>0.67</v>
      </c>
      <c r="H14758" s="1" t="str">
        <f>HYPERLINK("http://www.weizmann.ac.il/complex/compphys/software/geview/data/figures/213900_at.png","Figure")</f>
        <v>Figure</v>
      </c>
      <c r="I14758">
        <v>1.0900000000000001</v>
      </c>
      <c r="J14758">
        <v>0.56000000000000005</v>
      </c>
      <c r="K14758">
        <v>1.03</v>
      </c>
      <c r="L14758">
        <v>0.89</v>
      </c>
      <c r="M14758">
        <v>0.94799999999999995</v>
      </c>
      <c r="N14758">
        <v>0.77</v>
      </c>
    </row>
    <row r="14759" spans="1:14" x14ac:dyDescent="0.25">
      <c r="A14759" t="s">
        <v>25005</v>
      </c>
      <c r="B14759" t="s">
        <v>25006</v>
      </c>
      <c r="C14759" s="1" t="str">
        <f>HYPERLINK("http://www.genecards.org/cgi-bin/carddisp.pl?gene=MGA","GeneCards")</f>
        <v>GeneCards</v>
      </c>
      <c r="D14759" s="1" t="str">
        <f>HYPERLINK("http://genome-euro.ucsc.edu/cgi-bin/hgTracks?position=212945_s_at","UCSC")</f>
        <v>UCSC</v>
      </c>
      <c r="E14759" s="1" t="str">
        <f>HYPERLINK("http://www.ncbi.nlm.nih.gov/gene/?term=MGA","NCBI")</f>
        <v>NCBI</v>
      </c>
      <c r="F14759">
        <v>0.59</v>
      </c>
      <c r="G14759">
        <v>0.67</v>
      </c>
      <c r="H14759" s="1" t="str">
        <f>HYPERLINK("http://www.weizmann.ac.il/complex/compphys/software/geview/data/figures/212945_s_at.png","Figure")</f>
        <v>Figure</v>
      </c>
      <c r="I14759">
        <v>1.01</v>
      </c>
      <c r="J14759">
        <v>0.99</v>
      </c>
      <c r="K14759">
        <v>1.06</v>
      </c>
      <c r="L14759">
        <v>0.61</v>
      </c>
      <c r="M14759">
        <v>1.05</v>
      </c>
      <c r="N14759">
        <v>0.73</v>
      </c>
    </row>
    <row r="14760" spans="1:14" x14ac:dyDescent="0.25">
      <c r="A14760" t="s">
        <v>25007</v>
      </c>
      <c r="B14760" t="s">
        <v>25008</v>
      </c>
      <c r="C14760" s="1" t="str">
        <f>HYPERLINK("http://www.genecards.org/cgi-bin/carddisp.pl?gene=ADSL /// TNRC6B","GeneCards")</f>
        <v>GeneCards</v>
      </c>
      <c r="D14760" s="1" t="str">
        <f>HYPERLINK("http://genome-euro.ucsc.edu/cgi-bin/hgTracks?position=213254_at","UCSC")</f>
        <v>UCSC</v>
      </c>
      <c r="E14760" s="1" t="str">
        <f>HYPERLINK("http://www.ncbi.nlm.nih.gov/gene/?term=ADSL /// TNRC6B","NCBI")</f>
        <v>NCBI</v>
      </c>
      <c r="F14760">
        <v>0.59</v>
      </c>
      <c r="G14760">
        <v>0.67</v>
      </c>
      <c r="H14760" s="1" t="str">
        <f>HYPERLINK("http://www.weizmann.ac.il/complex/compphys/software/geview/data/figures/213254_at.png","Figure")</f>
        <v>Figure</v>
      </c>
      <c r="I14760">
        <v>1.07</v>
      </c>
      <c r="J14760">
        <v>0.84</v>
      </c>
      <c r="K14760">
        <v>0.95</v>
      </c>
      <c r="L14760">
        <v>0.88</v>
      </c>
      <c r="M14760">
        <v>0.88700000000000001</v>
      </c>
      <c r="N14760">
        <v>0.56000000000000005</v>
      </c>
    </row>
    <row r="14761" spans="1:14" x14ac:dyDescent="0.25">
      <c r="A14761" t="s">
        <v>25009</v>
      </c>
      <c r="B14761" t="s">
        <v>25010</v>
      </c>
      <c r="C14761" s="1" t="str">
        <f>HYPERLINK("http://www.genecards.org/cgi-bin/carddisp.pl?gene=USP39","GeneCards")</f>
        <v>GeneCards</v>
      </c>
      <c r="D14761" s="1" t="str">
        <f>HYPERLINK("http://genome-euro.ucsc.edu/cgi-bin/hgTracks?position=217829_s_at","UCSC")</f>
        <v>UCSC</v>
      </c>
      <c r="E14761" s="1" t="str">
        <f>HYPERLINK("http://www.ncbi.nlm.nih.gov/gene/?term=USP39","NCBI")</f>
        <v>NCBI</v>
      </c>
      <c r="F14761">
        <v>0.59</v>
      </c>
      <c r="G14761">
        <v>0.67</v>
      </c>
      <c r="H14761" s="1" t="str">
        <f>HYPERLINK("http://www.weizmann.ac.il/complex/compphys/software/geview/data/figures/217829_s_at.png","Figure")</f>
        <v>Figure</v>
      </c>
      <c r="I14761">
        <v>1.02</v>
      </c>
      <c r="J14761">
        <v>0.99</v>
      </c>
      <c r="K14761">
        <v>0.89100000000000001</v>
      </c>
      <c r="L14761">
        <v>0.68</v>
      </c>
      <c r="M14761">
        <v>0.876</v>
      </c>
      <c r="N14761">
        <v>0.64</v>
      </c>
    </row>
    <row r="14762" spans="1:14" x14ac:dyDescent="0.25">
      <c r="A14762" t="s">
        <v>25011</v>
      </c>
      <c r="B14762" t="s">
        <v>25012</v>
      </c>
      <c r="C14762" s="1" t="str">
        <f>HYPERLINK("http://www.genecards.org/cgi-bin/carddisp.pl?gene=TESK1","GeneCards")</f>
        <v>GeneCards</v>
      </c>
      <c r="D14762" s="1" t="str">
        <f>HYPERLINK("http://genome-euro.ucsc.edu/cgi-bin/hgTracks?position=204106_at","UCSC")</f>
        <v>UCSC</v>
      </c>
      <c r="E14762" s="1" t="str">
        <f>HYPERLINK("http://www.ncbi.nlm.nih.gov/gene/?term=TESK1","NCBI")</f>
        <v>NCBI</v>
      </c>
      <c r="F14762">
        <v>0.59</v>
      </c>
      <c r="G14762">
        <v>0.67</v>
      </c>
      <c r="H14762" s="1" t="str">
        <f>HYPERLINK("http://www.weizmann.ac.il/complex/compphys/software/geview/data/figures/204106_at.png","Figure")</f>
        <v>Figure</v>
      </c>
      <c r="I14762">
        <v>0.998</v>
      </c>
      <c r="J14762">
        <v>1</v>
      </c>
      <c r="K14762">
        <v>1.1100000000000001</v>
      </c>
      <c r="L14762">
        <v>0.65</v>
      </c>
      <c r="M14762">
        <v>1.1100000000000001</v>
      </c>
      <c r="N14762">
        <v>0.67</v>
      </c>
    </row>
    <row r="14763" spans="1:14" x14ac:dyDescent="0.25">
      <c r="A14763" t="s">
        <v>25013</v>
      </c>
      <c r="B14763" t="s">
        <v>25014</v>
      </c>
      <c r="C14763" s="1" t="str">
        <f>HYPERLINK("http://www.genecards.org/cgi-bin/carddisp.pl?gene=KLRC1 /// KLRC2","GeneCards")</f>
        <v>GeneCards</v>
      </c>
      <c r="D14763" s="1" t="str">
        <f>HYPERLINK("http://genome-euro.ucsc.edu/cgi-bin/hgTracks?position=206785_s_at","UCSC")</f>
        <v>UCSC</v>
      </c>
      <c r="E14763" s="1" t="str">
        <f>HYPERLINK("http://www.ncbi.nlm.nih.gov/gene/?term=KLRC1 /// KLRC2","NCBI")</f>
        <v>NCBI</v>
      </c>
      <c r="F14763">
        <v>0.59</v>
      </c>
      <c r="G14763">
        <v>0.67</v>
      </c>
      <c r="H14763" s="1" t="str">
        <f>HYPERLINK("http://www.weizmann.ac.il/complex/compphys/software/geview/data/figures/206785_s_at.png","Figure")</f>
        <v>Figure</v>
      </c>
      <c r="I14763">
        <v>0.96099999999999997</v>
      </c>
      <c r="J14763">
        <v>0.56999999999999995</v>
      </c>
      <c r="K14763">
        <v>0.97699999999999998</v>
      </c>
      <c r="L14763">
        <v>0.76</v>
      </c>
      <c r="M14763">
        <v>1.02</v>
      </c>
      <c r="N14763">
        <v>0.9</v>
      </c>
    </row>
    <row r="14764" spans="1:14" x14ac:dyDescent="0.25">
      <c r="A14764" t="s">
        <v>25015</v>
      </c>
      <c r="B14764" t="s">
        <v>1393</v>
      </c>
      <c r="C14764" s="1" t="str">
        <f>HYPERLINK("http://www.genecards.org/cgi-bin/carddisp.pl?gene=TRAPPC10","GeneCards")</f>
        <v>GeneCards</v>
      </c>
      <c r="D14764" s="1" t="str">
        <f>HYPERLINK("http://genome-euro.ucsc.edu/cgi-bin/hgTracks?position=215269_at","UCSC")</f>
        <v>UCSC</v>
      </c>
      <c r="E14764" s="1" t="str">
        <f>HYPERLINK("http://www.ncbi.nlm.nih.gov/gene/?term=TRAPPC10","NCBI")</f>
        <v>NCBI</v>
      </c>
      <c r="F14764">
        <v>0.59</v>
      </c>
      <c r="G14764">
        <v>0.67</v>
      </c>
      <c r="H14764" s="1" t="str">
        <f>HYPERLINK("http://www.weizmann.ac.il/complex/compphys/software/geview/data/figures/215269_at.png","Figure")</f>
        <v>Figure</v>
      </c>
      <c r="I14764">
        <v>0.67200000000000004</v>
      </c>
      <c r="J14764">
        <v>0.56000000000000005</v>
      </c>
      <c r="K14764">
        <v>0.86299999999999999</v>
      </c>
      <c r="L14764">
        <v>0.9</v>
      </c>
      <c r="M14764">
        <v>1.29</v>
      </c>
      <c r="N14764">
        <v>0.76</v>
      </c>
    </row>
    <row r="14765" spans="1:14" x14ac:dyDescent="0.25">
      <c r="A14765" t="s">
        <v>25016</v>
      </c>
      <c r="B14765" t="s">
        <v>4269</v>
      </c>
      <c r="C14765" s="1" t="str">
        <f>HYPERLINK("http://www.genecards.org/cgi-bin/carddisp.pl?gene=SCAPER","GeneCards")</f>
        <v>GeneCards</v>
      </c>
      <c r="D14765" s="1" t="str">
        <f>HYPERLINK("http://genome-euro.ucsc.edu/cgi-bin/hgTracks?position=215848_at","UCSC")</f>
        <v>UCSC</v>
      </c>
      <c r="E14765" s="1" t="str">
        <f>HYPERLINK("http://www.ncbi.nlm.nih.gov/gene/?term=SCAPER","NCBI")</f>
        <v>NCBI</v>
      </c>
      <c r="F14765">
        <v>0.59</v>
      </c>
      <c r="G14765">
        <v>0.67</v>
      </c>
      <c r="H14765" s="1" t="str">
        <f>HYPERLINK("http://www.weizmann.ac.il/complex/compphys/software/geview/data/figures/215848_at.png","Figure")</f>
        <v>Figure</v>
      </c>
      <c r="I14765">
        <v>1.1200000000000001</v>
      </c>
      <c r="J14765">
        <v>0.64</v>
      </c>
      <c r="K14765">
        <v>1.1000000000000001</v>
      </c>
      <c r="L14765">
        <v>0.64</v>
      </c>
      <c r="M14765">
        <v>0.98599999999999999</v>
      </c>
      <c r="N14765">
        <v>0.99</v>
      </c>
    </row>
    <row r="14766" spans="1:14" x14ac:dyDescent="0.25">
      <c r="A14766" t="s">
        <v>25017</v>
      </c>
      <c r="B14766" t="s">
        <v>25018</v>
      </c>
      <c r="C14766" s="1" t="str">
        <f>HYPERLINK("http://www.genecards.org/cgi-bin/carddisp.pl?gene=ILF2","GeneCards")</f>
        <v>GeneCards</v>
      </c>
      <c r="D14766" s="1" t="str">
        <f>HYPERLINK("http://genome-euro.ucsc.edu/cgi-bin/hgTracks?position=200052_s_at","UCSC")</f>
        <v>UCSC</v>
      </c>
      <c r="E14766" s="1" t="str">
        <f>HYPERLINK("http://www.ncbi.nlm.nih.gov/gene/?term=ILF2","NCBI")</f>
        <v>NCBI</v>
      </c>
      <c r="F14766">
        <v>0.59</v>
      </c>
      <c r="G14766">
        <v>0.67</v>
      </c>
      <c r="H14766" s="1" t="str">
        <f>HYPERLINK("http://www.weizmann.ac.il/complex/compphys/software/geview/data/figures/200052_s_at.png","Figure")</f>
        <v>Figure</v>
      </c>
      <c r="I14766">
        <v>1.1299999999999999</v>
      </c>
      <c r="J14766">
        <v>0.81</v>
      </c>
      <c r="K14766">
        <v>0.93500000000000005</v>
      </c>
      <c r="L14766">
        <v>0.91</v>
      </c>
      <c r="M14766">
        <v>0.83099999999999996</v>
      </c>
      <c r="N14766">
        <v>0.56000000000000005</v>
      </c>
    </row>
    <row r="14767" spans="1:14" x14ac:dyDescent="0.25">
      <c r="A14767" t="s">
        <v>25019</v>
      </c>
      <c r="B14767" t="s">
        <v>24608</v>
      </c>
      <c r="C14767" s="1" t="str">
        <f>HYPERLINK("http://www.genecards.org/cgi-bin/carddisp.pl?gene=PLXDC1","GeneCards")</f>
        <v>GeneCards</v>
      </c>
      <c r="D14767" s="1" t="str">
        <f>HYPERLINK("http://genome-euro.ucsc.edu/cgi-bin/hgTracks?position=214081_at","UCSC")</f>
        <v>UCSC</v>
      </c>
      <c r="E14767" s="1" t="str">
        <f>HYPERLINK("http://www.ncbi.nlm.nih.gov/gene/?term=PLXDC1","NCBI")</f>
        <v>NCBI</v>
      </c>
      <c r="F14767">
        <v>0.59</v>
      </c>
      <c r="G14767">
        <v>0.67</v>
      </c>
      <c r="H14767" s="1" t="str">
        <f>HYPERLINK("http://www.weizmann.ac.il/complex/compphys/software/geview/data/figures/214081_at.png","Figure")</f>
        <v>Figure</v>
      </c>
      <c r="I14767">
        <v>1.01</v>
      </c>
      <c r="J14767">
        <v>1</v>
      </c>
      <c r="K14767">
        <v>0.93700000000000006</v>
      </c>
      <c r="L14767">
        <v>0.67</v>
      </c>
      <c r="M14767">
        <v>0.93200000000000005</v>
      </c>
      <c r="N14767">
        <v>0.66</v>
      </c>
    </row>
    <row r="14768" spans="1:14" x14ac:dyDescent="0.25">
      <c r="A14768" t="s">
        <v>25020</v>
      </c>
      <c r="B14768" t="s">
        <v>22915</v>
      </c>
      <c r="C14768" s="1" t="str">
        <f>HYPERLINK("http://www.genecards.org/cgi-bin/carddisp.pl?gene=HSPA9","GeneCards")</f>
        <v>GeneCards</v>
      </c>
      <c r="D14768" s="1" t="str">
        <f>HYPERLINK("http://genome-euro.ucsc.edu/cgi-bin/hgTracks?position=200692_s_at","UCSC")</f>
        <v>UCSC</v>
      </c>
      <c r="E14768" s="1" t="str">
        <f>HYPERLINK("http://www.ncbi.nlm.nih.gov/gene/?term=HSPA9","NCBI")</f>
        <v>NCBI</v>
      </c>
      <c r="F14768">
        <v>0.59</v>
      </c>
      <c r="G14768">
        <v>0.67</v>
      </c>
      <c r="H14768" s="1" t="str">
        <f>HYPERLINK("http://www.weizmann.ac.il/complex/compphys/software/geview/data/figures/200692_s_at.png","Figure")</f>
        <v>Figure</v>
      </c>
      <c r="I14768">
        <v>1.1499999999999999</v>
      </c>
      <c r="J14768">
        <v>0.74</v>
      </c>
      <c r="K14768">
        <v>0.95699999999999996</v>
      </c>
      <c r="L14768">
        <v>0.96</v>
      </c>
      <c r="M14768">
        <v>0.83199999999999996</v>
      </c>
      <c r="N14768">
        <v>0.56000000000000005</v>
      </c>
    </row>
    <row r="14769" spans="1:14" x14ac:dyDescent="0.25">
      <c r="A14769" t="s">
        <v>25021</v>
      </c>
      <c r="B14769" t="s">
        <v>25022</v>
      </c>
      <c r="C14769" s="1" t="str">
        <f>HYPERLINK("http://www.genecards.org/cgi-bin/carddisp.pl?gene=PLA2G5","GeneCards")</f>
        <v>GeneCards</v>
      </c>
      <c r="D14769" s="1" t="str">
        <f>HYPERLINK("http://genome-euro.ucsc.edu/cgi-bin/hgTracks?position=215871_at","UCSC")</f>
        <v>UCSC</v>
      </c>
      <c r="E14769" s="1" t="str">
        <f>HYPERLINK("http://www.ncbi.nlm.nih.gov/gene/?term=PLA2G5","NCBI")</f>
        <v>NCBI</v>
      </c>
      <c r="F14769">
        <v>0.59</v>
      </c>
      <c r="G14769">
        <v>0.67</v>
      </c>
      <c r="H14769" s="1" t="str">
        <f>HYPERLINK("http://www.weizmann.ac.il/complex/compphys/software/geview/data/figures/215871_at.png","Figure")</f>
        <v>Figure</v>
      </c>
      <c r="I14769">
        <v>1.02</v>
      </c>
      <c r="J14769">
        <v>0.56000000000000005</v>
      </c>
      <c r="K14769">
        <v>1.01</v>
      </c>
      <c r="L14769">
        <v>0.91</v>
      </c>
      <c r="M14769">
        <v>0.98799999999999999</v>
      </c>
      <c r="N14769">
        <v>0.75</v>
      </c>
    </row>
    <row r="14770" spans="1:14" x14ac:dyDescent="0.25">
      <c r="A14770" t="s">
        <v>25023</v>
      </c>
      <c r="B14770" t="s">
        <v>23486</v>
      </c>
      <c r="C14770" s="1" t="str">
        <f>HYPERLINK("http://www.genecards.org/cgi-bin/carddisp.pl?gene=ABCC8","GeneCards")</f>
        <v>GeneCards</v>
      </c>
      <c r="D14770" s="1" t="str">
        <f>HYPERLINK("http://genome-euro.ucsc.edu/cgi-bin/hgTracks?position=210245_at","UCSC")</f>
        <v>UCSC</v>
      </c>
      <c r="E14770" s="1" t="str">
        <f>HYPERLINK("http://www.ncbi.nlm.nih.gov/gene/?term=ABCC8","NCBI")</f>
        <v>NCBI</v>
      </c>
      <c r="F14770">
        <v>0.59</v>
      </c>
      <c r="G14770">
        <v>0.67</v>
      </c>
      <c r="H14770" s="1" t="str">
        <f>HYPERLINK("http://www.weizmann.ac.il/complex/compphys/software/geview/data/figures/210245_at.png","Figure")</f>
        <v>Figure</v>
      </c>
      <c r="I14770">
        <v>1.03</v>
      </c>
      <c r="J14770">
        <v>0.85</v>
      </c>
      <c r="K14770">
        <v>0.97499999999999998</v>
      </c>
      <c r="L14770">
        <v>0.87</v>
      </c>
      <c r="M14770">
        <v>0.94399999999999995</v>
      </c>
      <c r="N14770">
        <v>0.56000000000000005</v>
      </c>
    </row>
    <row r="14771" spans="1:14" x14ac:dyDescent="0.25">
      <c r="A14771" t="s">
        <v>25024</v>
      </c>
      <c r="B14771" t="s">
        <v>25025</v>
      </c>
      <c r="C14771" s="1" t="str">
        <f>HYPERLINK("http://www.genecards.org/cgi-bin/carddisp.pl?gene=KIR2DS5","GeneCards")</f>
        <v>GeneCards</v>
      </c>
      <c r="D14771" s="1" t="str">
        <f>HYPERLINK("http://genome-euro.ucsc.edu/cgi-bin/hgTracks?position=208203_x_at","UCSC")</f>
        <v>UCSC</v>
      </c>
      <c r="E14771" s="1" t="str">
        <f>HYPERLINK("http://www.ncbi.nlm.nih.gov/gene/?term=KIR2DS5","NCBI")</f>
        <v>NCBI</v>
      </c>
      <c r="F14771">
        <v>0.59</v>
      </c>
      <c r="G14771">
        <v>0.68</v>
      </c>
      <c r="H14771" s="1" t="str">
        <f>HYPERLINK("http://www.weizmann.ac.il/complex/compphys/software/geview/data/figures/208203_x_at.png","Figure")</f>
        <v>Figure</v>
      </c>
      <c r="I14771">
        <v>1.0900000000000001</v>
      </c>
      <c r="J14771">
        <v>0.86</v>
      </c>
      <c r="K14771">
        <v>0.92800000000000005</v>
      </c>
      <c r="L14771">
        <v>0.87</v>
      </c>
      <c r="M14771">
        <v>0.85</v>
      </c>
      <c r="N14771">
        <v>0.56000000000000005</v>
      </c>
    </row>
    <row r="14772" spans="1:14" x14ac:dyDescent="0.25">
      <c r="A14772" t="s">
        <v>25026</v>
      </c>
      <c r="B14772" t="s">
        <v>25027</v>
      </c>
      <c r="C14772" s="1" t="str">
        <f>HYPERLINK("http://www.genecards.org/cgi-bin/carddisp.pl?gene=BAT3","GeneCards")</f>
        <v>GeneCards</v>
      </c>
      <c r="D14772" s="1" t="str">
        <f>HYPERLINK("http://genome-euro.ucsc.edu/cgi-bin/hgTracks?position=201255_x_at","UCSC")</f>
        <v>UCSC</v>
      </c>
      <c r="E14772" s="1" t="str">
        <f>HYPERLINK("http://www.ncbi.nlm.nih.gov/gene/?term=BAT3","NCBI")</f>
        <v>NCBI</v>
      </c>
      <c r="F14772">
        <v>0.59</v>
      </c>
      <c r="G14772">
        <v>0.68</v>
      </c>
      <c r="H14772" s="1" t="str">
        <f>HYPERLINK("http://www.weizmann.ac.il/complex/compphys/software/geview/data/figures/201255_x_at.png","Figure")</f>
        <v>Figure</v>
      </c>
      <c r="I14772">
        <v>0.95</v>
      </c>
      <c r="J14772">
        <v>0.89</v>
      </c>
      <c r="K14772">
        <v>1.06</v>
      </c>
      <c r="L14772">
        <v>0.84</v>
      </c>
      <c r="M14772">
        <v>1.1100000000000001</v>
      </c>
      <c r="N14772">
        <v>0.56999999999999995</v>
      </c>
    </row>
    <row r="14773" spans="1:14" x14ac:dyDescent="0.25">
      <c r="A14773" t="s">
        <v>25028</v>
      </c>
      <c r="B14773" t="s">
        <v>4832</v>
      </c>
      <c r="C14773" s="1" t="str">
        <f>HYPERLINK("http://www.genecards.org/cgi-bin/carddisp.pl?gene=TMPO","GeneCards")</f>
        <v>GeneCards</v>
      </c>
      <c r="D14773" s="1" t="str">
        <f>HYPERLINK("http://genome-euro.ucsc.edu/cgi-bin/hgTracks?position=209754_s_at","UCSC")</f>
        <v>UCSC</v>
      </c>
      <c r="E14773" s="1" t="str">
        <f>HYPERLINK("http://www.ncbi.nlm.nih.gov/gene/?term=TMPO","NCBI")</f>
        <v>NCBI</v>
      </c>
      <c r="F14773">
        <v>0.59</v>
      </c>
      <c r="G14773">
        <v>0.68</v>
      </c>
      <c r="H14773" s="1" t="str">
        <f>HYPERLINK("http://www.weizmann.ac.il/complex/compphys/software/geview/data/figures/209754_s_at.png","Figure")</f>
        <v>Figure</v>
      </c>
      <c r="I14773">
        <v>0.93899999999999995</v>
      </c>
      <c r="J14773">
        <v>0.96</v>
      </c>
      <c r="K14773">
        <v>1.1599999999999999</v>
      </c>
      <c r="L14773">
        <v>0.75</v>
      </c>
      <c r="M14773">
        <v>1.24</v>
      </c>
      <c r="N14773">
        <v>0.6</v>
      </c>
    </row>
    <row r="14774" spans="1:14" x14ac:dyDescent="0.25">
      <c r="A14774" t="s">
        <v>25029</v>
      </c>
      <c r="B14774" t="s">
        <v>25030</v>
      </c>
      <c r="C14774" s="1" t="str">
        <f>HYPERLINK("http://www.genecards.org/cgi-bin/carddisp.pl?gene=GNG7","GeneCards")</f>
        <v>GeneCards</v>
      </c>
      <c r="D14774" s="1" t="str">
        <f>HYPERLINK("http://genome-euro.ucsc.edu/cgi-bin/hgTracks?position=214227_at","UCSC")</f>
        <v>UCSC</v>
      </c>
      <c r="E14774" s="1" t="str">
        <f>HYPERLINK("http://www.ncbi.nlm.nih.gov/gene/?term=GNG7","NCBI")</f>
        <v>NCBI</v>
      </c>
      <c r="F14774">
        <v>0.59</v>
      </c>
      <c r="G14774">
        <v>0.68</v>
      </c>
      <c r="H14774" s="1" t="str">
        <f>HYPERLINK("http://www.weizmann.ac.il/complex/compphys/software/geview/data/figures/214227_at.png","Figure")</f>
        <v>Figure</v>
      </c>
      <c r="I14774">
        <v>1.08</v>
      </c>
      <c r="J14774">
        <v>0.62</v>
      </c>
      <c r="K14774">
        <v>1.07</v>
      </c>
      <c r="L14774">
        <v>0.67</v>
      </c>
      <c r="M14774">
        <v>0.98399999999999999</v>
      </c>
      <c r="N14774">
        <v>0.98</v>
      </c>
    </row>
    <row r="14775" spans="1:14" x14ac:dyDescent="0.25">
      <c r="A14775" t="s">
        <v>25031</v>
      </c>
      <c r="B14775" t="s">
        <v>25032</v>
      </c>
      <c r="C14775" s="1" t="str">
        <f>HYPERLINK("http://www.genecards.org/cgi-bin/carddisp.pl?gene=CR2","GeneCards")</f>
        <v>GeneCards</v>
      </c>
      <c r="D14775" s="1" t="str">
        <f>HYPERLINK("http://genome-euro.ucsc.edu/cgi-bin/hgTracks?position=205544_s_at","UCSC")</f>
        <v>UCSC</v>
      </c>
      <c r="E14775" s="1" t="str">
        <f>HYPERLINK("http://www.ncbi.nlm.nih.gov/gene/?term=CR2","NCBI")</f>
        <v>NCBI</v>
      </c>
      <c r="F14775">
        <v>0.59</v>
      </c>
      <c r="G14775">
        <v>0.68</v>
      </c>
      <c r="H14775" s="1" t="str">
        <f>HYPERLINK("http://www.weizmann.ac.il/complex/compphys/software/geview/data/figures/205544_s_at.png","Figure")</f>
        <v>Figure</v>
      </c>
      <c r="I14775">
        <v>0.97099999999999997</v>
      </c>
      <c r="J14775">
        <v>0.93</v>
      </c>
      <c r="K14775">
        <v>0.93100000000000005</v>
      </c>
      <c r="L14775">
        <v>0.56999999999999995</v>
      </c>
      <c r="M14775">
        <v>0.95899999999999996</v>
      </c>
      <c r="N14775">
        <v>0.84</v>
      </c>
    </row>
    <row r="14776" spans="1:14" x14ac:dyDescent="0.25">
      <c r="A14776" t="s">
        <v>25033</v>
      </c>
      <c r="B14776" t="s">
        <v>25034</v>
      </c>
      <c r="C14776" s="1" t="str">
        <f>HYPERLINK("http://www.genecards.org/cgi-bin/carddisp.pl?gene=RC3H2","GeneCards")</f>
        <v>GeneCards</v>
      </c>
      <c r="D14776" s="1" t="str">
        <f>HYPERLINK("http://genome-euro.ucsc.edu/cgi-bin/hgTracks?position=220201_at","UCSC")</f>
        <v>UCSC</v>
      </c>
      <c r="E14776" s="1" t="str">
        <f>HYPERLINK("http://www.ncbi.nlm.nih.gov/gene/?term=RC3H2","NCBI")</f>
        <v>NCBI</v>
      </c>
      <c r="F14776">
        <v>0.59</v>
      </c>
      <c r="G14776">
        <v>0.68</v>
      </c>
      <c r="H14776" s="1" t="str">
        <f>HYPERLINK("http://www.weizmann.ac.il/complex/compphys/software/geview/data/figures/220201_at.png","Figure")</f>
        <v>Figure</v>
      </c>
      <c r="I14776">
        <v>0.89800000000000002</v>
      </c>
      <c r="J14776">
        <v>0.64</v>
      </c>
      <c r="K14776">
        <v>0.91100000000000003</v>
      </c>
      <c r="L14776">
        <v>0.64</v>
      </c>
      <c r="M14776">
        <v>1.01</v>
      </c>
      <c r="N14776">
        <v>0.99</v>
      </c>
    </row>
    <row r="14777" spans="1:14" x14ac:dyDescent="0.25">
      <c r="A14777" t="s">
        <v>25035</v>
      </c>
      <c r="B14777" t="s">
        <v>3823</v>
      </c>
      <c r="C14777" s="1" t="str">
        <f>HYPERLINK("http://www.genecards.org/cgi-bin/carddisp.pl?gene=WWOX","GeneCards")</f>
        <v>GeneCards</v>
      </c>
      <c r="D14777" s="1" t="str">
        <f>HYPERLINK("http://genome-euro.ucsc.edu/cgi-bin/hgTracks?position=221147_x_at","UCSC")</f>
        <v>UCSC</v>
      </c>
      <c r="E14777" s="1" t="str">
        <f>HYPERLINK("http://www.ncbi.nlm.nih.gov/gene/?term=WWOX","NCBI")</f>
        <v>NCBI</v>
      </c>
      <c r="F14777">
        <v>0.59</v>
      </c>
      <c r="G14777">
        <v>0.68</v>
      </c>
      <c r="H14777" s="1" t="str">
        <f>HYPERLINK("http://www.weizmann.ac.il/complex/compphys/software/geview/data/figures/221147_x_at.png","Figure")</f>
        <v>Figure</v>
      </c>
      <c r="I14777">
        <v>1.07</v>
      </c>
      <c r="J14777">
        <v>0.56000000000000005</v>
      </c>
      <c r="K14777">
        <v>1.03</v>
      </c>
      <c r="L14777">
        <v>0.88</v>
      </c>
      <c r="M14777">
        <v>0.96</v>
      </c>
      <c r="N14777">
        <v>0.78</v>
      </c>
    </row>
    <row r="14778" spans="1:14" x14ac:dyDescent="0.25">
      <c r="A14778" t="s">
        <v>25036</v>
      </c>
      <c r="B14778" t="s">
        <v>16703</v>
      </c>
      <c r="C14778" s="1" t="str">
        <f>HYPERLINK("http://www.genecards.org/cgi-bin/carddisp.pl?gene=WWTR1","GeneCards")</f>
        <v>GeneCards</v>
      </c>
      <c r="D14778" s="1" t="str">
        <f>HYPERLINK("http://genome-euro.ucsc.edu/cgi-bin/hgTracks?position=202132_at","UCSC")</f>
        <v>UCSC</v>
      </c>
      <c r="E14778" s="1" t="str">
        <f>HYPERLINK("http://www.ncbi.nlm.nih.gov/gene/?term=WWTR1","NCBI")</f>
        <v>NCBI</v>
      </c>
      <c r="F14778">
        <v>0.59</v>
      </c>
      <c r="G14778">
        <v>0.68</v>
      </c>
      <c r="H14778" s="1" t="str">
        <f>HYPERLINK("http://www.weizmann.ac.il/complex/compphys/software/geview/data/figures/202132_at.png","Figure")</f>
        <v>Figure</v>
      </c>
      <c r="I14778">
        <v>1.06</v>
      </c>
      <c r="J14778">
        <v>0.59</v>
      </c>
      <c r="K14778">
        <v>1.04</v>
      </c>
      <c r="L14778">
        <v>0.71</v>
      </c>
      <c r="M14778">
        <v>0.98199999999999998</v>
      </c>
      <c r="N14778">
        <v>0.94</v>
      </c>
    </row>
    <row r="14779" spans="1:14" x14ac:dyDescent="0.25">
      <c r="A14779" t="s">
        <v>25037</v>
      </c>
      <c r="B14779" t="s">
        <v>25038</v>
      </c>
      <c r="C14779" s="1" t="str">
        <f>HYPERLINK("http://www.genecards.org/cgi-bin/carddisp.pl?gene=NTSR1","GeneCards")</f>
        <v>GeneCards</v>
      </c>
      <c r="D14779" s="1" t="str">
        <f>HYPERLINK("http://genome-euro.ucsc.edu/cgi-bin/hgTracks?position=207360_s_at","UCSC")</f>
        <v>UCSC</v>
      </c>
      <c r="E14779" s="1" t="str">
        <f>HYPERLINK("http://www.ncbi.nlm.nih.gov/gene/?term=NTSR1","NCBI")</f>
        <v>NCBI</v>
      </c>
      <c r="F14779">
        <v>0.59</v>
      </c>
      <c r="G14779">
        <v>0.68</v>
      </c>
      <c r="H14779" s="1" t="str">
        <f>HYPERLINK("http://www.weizmann.ac.il/complex/compphys/software/geview/data/figures/207360_s_at.png","Figure")</f>
        <v>Figure</v>
      </c>
      <c r="I14779">
        <v>0.95599999999999996</v>
      </c>
      <c r="J14779">
        <v>0.93</v>
      </c>
      <c r="K14779">
        <v>0.89300000000000002</v>
      </c>
      <c r="L14779">
        <v>0.56999999999999995</v>
      </c>
      <c r="M14779">
        <v>0.93400000000000005</v>
      </c>
      <c r="N14779">
        <v>0.83</v>
      </c>
    </row>
    <row r="14780" spans="1:14" x14ac:dyDescent="0.25">
      <c r="A14780" t="s">
        <v>25039</v>
      </c>
      <c r="B14780" t="s">
        <v>25040</v>
      </c>
      <c r="C14780" s="1" t="str">
        <f>HYPERLINK("http://www.genecards.org/cgi-bin/carddisp.pl?gene=ERBB2IP","GeneCards")</f>
        <v>GeneCards</v>
      </c>
      <c r="D14780" s="1" t="str">
        <f>HYPERLINK("http://genome-euro.ucsc.edu/cgi-bin/hgTracks?position=217941_s_at","UCSC")</f>
        <v>UCSC</v>
      </c>
      <c r="E14780" s="1" t="str">
        <f>HYPERLINK("http://www.ncbi.nlm.nih.gov/gene/?term=ERBB2IP","NCBI")</f>
        <v>NCBI</v>
      </c>
      <c r="F14780">
        <v>0.59</v>
      </c>
      <c r="G14780">
        <v>0.68</v>
      </c>
      <c r="H14780" s="1" t="str">
        <f>HYPERLINK("http://www.weizmann.ac.il/complex/compphys/software/geview/data/figures/217941_s_at.png","Figure")</f>
        <v>Figure</v>
      </c>
      <c r="I14780">
        <v>0.94799999999999995</v>
      </c>
      <c r="J14780">
        <v>0.94</v>
      </c>
      <c r="K14780">
        <v>1.1100000000000001</v>
      </c>
      <c r="L14780">
        <v>0.77</v>
      </c>
      <c r="M14780">
        <v>1.17</v>
      </c>
      <c r="N14780">
        <v>0.59</v>
      </c>
    </row>
    <row r="14781" spans="1:14" x14ac:dyDescent="0.25">
      <c r="A14781" t="s">
        <v>25041</v>
      </c>
      <c r="B14781" t="s">
        <v>25042</v>
      </c>
      <c r="C14781" s="1" t="str">
        <f>HYPERLINK("http://www.genecards.org/cgi-bin/carddisp.pl?gene=ACBD4","GeneCards")</f>
        <v>GeneCards</v>
      </c>
      <c r="D14781" s="1" t="str">
        <f>HYPERLINK("http://genome-euro.ucsc.edu/cgi-bin/hgTracks?position=219413_at","UCSC")</f>
        <v>UCSC</v>
      </c>
      <c r="E14781" s="1" t="str">
        <f>HYPERLINK("http://www.ncbi.nlm.nih.gov/gene/?term=ACBD4","NCBI")</f>
        <v>NCBI</v>
      </c>
      <c r="F14781">
        <v>0.59</v>
      </c>
      <c r="G14781">
        <v>0.68</v>
      </c>
      <c r="H14781" s="1" t="str">
        <f>HYPERLINK("http://www.weizmann.ac.il/complex/compphys/software/geview/data/figures/219413_at.png","Figure")</f>
        <v>Figure</v>
      </c>
      <c r="I14781">
        <v>1.1100000000000001</v>
      </c>
      <c r="J14781">
        <v>0.56000000000000005</v>
      </c>
      <c r="K14781">
        <v>1.04</v>
      </c>
      <c r="L14781">
        <v>0.87</v>
      </c>
      <c r="M14781">
        <v>0.94199999999999995</v>
      </c>
      <c r="N14781">
        <v>0.79</v>
      </c>
    </row>
    <row r="14782" spans="1:14" x14ac:dyDescent="0.25">
      <c r="A14782" t="s">
        <v>25043</v>
      </c>
      <c r="B14782" t="s">
        <v>22517</v>
      </c>
      <c r="C14782" s="1" t="str">
        <f>HYPERLINK("http://www.genecards.org/cgi-bin/carddisp.pl?gene=CXCR6","GeneCards")</f>
        <v>GeneCards</v>
      </c>
      <c r="D14782" s="1" t="str">
        <f>HYPERLINK("http://genome-euro.ucsc.edu/cgi-bin/hgTracks?position=206974_at","UCSC")</f>
        <v>UCSC</v>
      </c>
      <c r="E14782" s="1" t="str">
        <f>HYPERLINK("http://www.ncbi.nlm.nih.gov/gene/?term=CXCR6","NCBI")</f>
        <v>NCBI</v>
      </c>
      <c r="F14782">
        <v>0.59</v>
      </c>
      <c r="G14782">
        <v>0.68</v>
      </c>
      <c r="H14782" s="1" t="str">
        <f>HYPERLINK("http://www.weizmann.ac.il/complex/compphys/software/geview/data/figures/206974_at.png","Figure")</f>
        <v>Figure</v>
      </c>
      <c r="I14782">
        <v>1.01</v>
      </c>
      <c r="J14782">
        <v>0.86</v>
      </c>
      <c r="K14782">
        <v>0.98799999999999999</v>
      </c>
      <c r="L14782">
        <v>0.86</v>
      </c>
      <c r="M14782">
        <v>0.97499999999999998</v>
      </c>
      <c r="N14782">
        <v>0.56000000000000005</v>
      </c>
    </row>
    <row r="14783" spans="1:14" x14ac:dyDescent="0.25">
      <c r="A14783" t="s">
        <v>25044</v>
      </c>
      <c r="B14783" t="s">
        <v>6198</v>
      </c>
      <c r="C14783" s="1" t="str">
        <f>HYPERLINK("http://www.genecards.org/cgi-bin/carddisp.pl?gene=WIPF2","GeneCards")</f>
        <v>GeneCards</v>
      </c>
      <c r="D14783" s="1" t="str">
        <f>HYPERLINK("http://genome-euro.ucsc.edu/cgi-bin/hgTracks?position=212050_at","UCSC")</f>
        <v>UCSC</v>
      </c>
      <c r="E14783" s="1" t="str">
        <f>HYPERLINK("http://www.ncbi.nlm.nih.gov/gene/?term=WIPF2","NCBI")</f>
        <v>NCBI</v>
      </c>
      <c r="F14783">
        <v>0.59</v>
      </c>
      <c r="G14783">
        <v>0.68</v>
      </c>
      <c r="H14783" s="1" t="str">
        <f>HYPERLINK("http://www.weizmann.ac.il/complex/compphys/software/geview/data/figures/212050_at.png","Figure")</f>
        <v>Figure</v>
      </c>
      <c r="I14783">
        <v>0.96599999999999997</v>
      </c>
      <c r="J14783">
        <v>0.97</v>
      </c>
      <c r="K14783">
        <v>0.874</v>
      </c>
      <c r="L14783">
        <v>0.59</v>
      </c>
      <c r="M14783">
        <v>0.90500000000000003</v>
      </c>
      <c r="N14783">
        <v>0.77</v>
      </c>
    </row>
    <row r="14784" spans="1:14" x14ac:dyDescent="0.25">
      <c r="A14784" t="s">
        <v>25045</v>
      </c>
      <c r="B14784" t="s">
        <v>25046</v>
      </c>
      <c r="C14784" s="1" t="str">
        <f>HYPERLINK("http://www.genecards.org/cgi-bin/carddisp.pl?gene=PCDHA9","GeneCards")</f>
        <v>GeneCards</v>
      </c>
      <c r="D14784" s="1" t="str">
        <f>HYPERLINK("http://genome-euro.ucsc.edu/cgi-bin/hgTracks?position=208205_at","UCSC")</f>
        <v>UCSC</v>
      </c>
      <c r="E14784" s="1" t="str">
        <f>HYPERLINK("http://www.ncbi.nlm.nih.gov/gene/?term=PCDHA9","NCBI")</f>
        <v>NCBI</v>
      </c>
      <c r="F14784">
        <v>0.59</v>
      </c>
      <c r="G14784">
        <v>0.68</v>
      </c>
      <c r="H14784" s="1" t="str">
        <f>HYPERLINK("http://www.weizmann.ac.il/complex/compphys/software/geview/data/figures/208205_at.png","Figure")</f>
        <v>Figure</v>
      </c>
      <c r="I14784">
        <v>0.97299999999999998</v>
      </c>
      <c r="J14784">
        <v>0.79</v>
      </c>
      <c r="K14784">
        <v>0.96299999999999997</v>
      </c>
      <c r="L14784">
        <v>0.56999999999999995</v>
      </c>
      <c r="M14784">
        <v>0.99</v>
      </c>
      <c r="N14784">
        <v>0.96</v>
      </c>
    </row>
    <row r="14785" spans="1:14" x14ac:dyDescent="0.25">
      <c r="A14785" t="s">
        <v>25047</v>
      </c>
      <c r="B14785" t="s">
        <v>25048</v>
      </c>
      <c r="C14785" s="1" t="str">
        <f>HYPERLINK("http://www.genecards.org/cgi-bin/carddisp.pl?gene=PPRC1","GeneCards")</f>
        <v>GeneCards</v>
      </c>
      <c r="D14785" s="1" t="str">
        <f>HYPERLINK("http://genome-euro.ucsc.edu/cgi-bin/hgTracks?position=203737_s_at","UCSC")</f>
        <v>UCSC</v>
      </c>
      <c r="E14785" s="1" t="str">
        <f>HYPERLINK("http://www.ncbi.nlm.nih.gov/gene/?term=PPRC1","NCBI")</f>
        <v>NCBI</v>
      </c>
      <c r="F14785">
        <v>0.59</v>
      </c>
      <c r="G14785">
        <v>0.68</v>
      </c>
      <c r="H14785" s="1" t="str">
        <f>HYPERLINK("http://www.weizmann.ac.il/complex/compphys/software/geview/data/figures/203737_s_at.png","Figure")</f>
        <v>Figure</v>
      </c>
      <c r="I14785">
        <v>0.83399999999999996</v>
      </c>
      <c r="J14785">
        <v>0.56000000000000005</v>
      </c>
      <c r="K14785">
        <v>0.92300000000000004</v>
      </c>
      <c r="L14785">
        <v>0.86</v>
      </c>
      <c r="M14785">
        <v>1.1100000000000001</v>
      </c>
      <c r="N14785">
        <v>0.81</v>
      </c>
    </row>
    <row r="14786" spans="1:14" x14ac:dyDescent="0.25">
      <c r="A14786" t="s">
        <v>25049</v>
      </c>
      <c r="B14786" t="s">
        <v>20025</v>
      </c>
      <c r="C14786" s="1" t="str">
        <f>HYPERLINK("http://www.genecards.org/cgi-bin/carddisp.pl?gene=BRE","GeneCards")</f>
        <v>GeneCards</v>
      </c>
      <c r="D14786" s="1" t="str">
        <f>HYPERLINK("http://genome-euro.ucsc.edu/cgi-bin/hgTracks?position=212645_x_at","UCSC")</f>
        <v>UCSC</v>
      </c>
      <c r="E14786" s="1" t="str">
        <f>HYPERLINK("http://www.ncbi.nlm.nih.gov/gene/?term=BRE","NCBI")</f>
        <v>NCBI</v>
      </c>
      <c r="F14786">
        <v>0.59</v>
      </c>
      <c r="G14786">
        <v>0.68</v>
      </c>
      <c r="H14786" s="1" t="str">
        <f>HYPERLINK("http://www.weizmann.ac.il/complex/compphys/software/geview/data/figures/212645_x_at.png","Figure")</f>
        <v>Figure</v>
      </c>
      <c r="I14786">
        <v>1.03</v>
      </c>
      <c r="J14786">
        <v>0.93</v>
      </c>
      <c r="K14786">
        <v>1.07</v>
      </c>
      <c r="L14786">
        <v>0.56999999999999995</v>
      </c>
      <c r="M14786">
        <v>1.04</v>
      </c>
      <c r="N14786">
        <v>0.84</v>
      </c>
    </row>
    <row r="14787" spans="1:14" x14ac:dyDescent="0.25">
      <c r="A14787" t="s">
        <v>25050</v>
      </c>
      <c r="B14787" t="s">
        <v>23560</v>
      </c>
      <c r="C14787" s="1" t="str">
        <f>HYPERLINK("http://www.genecards.org/cgi-bin/carddisp.pl?gene=RPL4","GeneCards")</f>
        <v>GeneCards</v>
      </c>
      <c r="D14787" s="1" t="str">
        <f>HYPERLINK("http://genome-euro.ucsc.edu/cgi-bin/hgTracks?position=201154_x_at","UCSC")</f>
        <v>UCSC</v>
      </c>
      <c r="E14787" s="1" t="str">
        <f>HYPERLINK("http://www.ncbi.nlm.nih.gov/gene/?term=RPL4","NCBI")</f>
        <v>NCBI</v>
      </c>
      <c r="F14787">
        <v>0.59</v>
      </c>
      <c r="G14787">
        <v>0.68</v>
      </c>
      <c r="H14787" s="1" t="str">
        <f>HYPERLINK("http://www.weizmann.ac.il/complex/compphys/software/geview/data/figures/201154_x_at.png","Figure")</f>
        <v>Figure</v>
      </c>
      <c r="I14787">
        <v>1.04</v>
      </c>
      <c r="J14787">
        <v>0.97</v>
      </c>
      <c r="K14787">
        <v>1.1499999999999999</v>
      </c>
      <c r="L14787">
        <v>0.59</v>
      </c>
      <c r="M14787">
        <v>1.1100000000000001</v>
      </c>
      <c r="N14787">
        <v>0.77</v>
      </c>
    </row>
    <row r="14788" spans="1:14" x14ac:dyDescent="0.25">
      <c r="A14788" t="s">
        <v>25051</v>
      </c>
      <c r="B14788" t="s">
        <v>1220</v>
      </c>
      <c r="C14788" s="1" t="str">
        <f>HYPERLINK("http://www.genecards.org/cgi-bin/carddisp.pl?gene=KIAA0391","GeneCards")</f>
        <v>GeneCards</v>
      </c>
      <c r="D14788" s="1" t="str">
        <f>HYPERLINK("http://genome-euro.ucsc.edu/cgi-bin/hgTracks?position=202714_s_at","UCSC")</f>
        <v>UCSC</v>
      </c>
      <c r="E14788" s="1" t="str">
        <f>HYPERLINK("http://www.ncbi.nlm.nih.gov/gene/?term=KIAA0391","NCBI")</f>
        <v>NCBI</v>
      </c>
      <c r="F14788">
        <v>0.59</v>
      </c>
      <c r="G14788">
        <v>0.68</v>
      </c>
      <c r="H14788" s="1" t="str">
        <f>HYPERLINK("http://www.weizmann.ac.il/complex/compphys/software/geview/data/figures/202714_s_at.png","Figure")</f>
        <v>Figure</v>
      </c>
      <c r="I14788">
        <v>1.07</v>
      </c>
      <c r="J14788">
        <v>0.7</v>
      </c>
      <c r="K14788">
        <v>1.07</v>
      </c>
      <c r="L14788">
        <v>0.6</v>
      </c>
      <c r="M14788">
        <v>1</v>
      </c>
      <c r="N14788">
        <v>1</v>
      </c>
    </row>
    <row r="14789" spans="1:14" x14ac:dyDescent="0.25">
      <c r="A14789" t="s">
        <v>25052</v>
      </c>
      <c r="B14789" t="s">
        <v>22100</v>
      </c>
      <c r="C14789" s="1" t="str">
        <f>HYPERLINK("http://www.genecards.org/cgi-bin/carddisp.pl?gene=CORO1B","GeneCards")</f>
        <v>GeneCards</v>
      </c>
      <c r="D14789" s="1" t="str">
        <f>HYPERLINK("http://genome-euro.ucsc.edu/cgi-bin/hgTracks?position=221754_s_at","UCSC")</f>
        <v>UCSC</v>
      </c>
      <c r="E14789" s="1" t="str">
        <f>HYPERLINK("http://www.ncbi.nlm.nih.gov/gene/?term=CORO1B","NCBI")</f>
        <v>NCBI</v>
      </c>
      <c r="F14789">
        <v>0.59</v>
      </c>
      <c r="G14789">
        <v>0.68</v>
      </c>
      <c r="H14789" s="1" t="str">
        <f>HYPERLINK("http://www.weizmann.ac.il/complex/compphys/software/geview/data/figures/221754_s_at.png","Figure")</f>
        <v>Figure</v>
      </c>
      <c r="I14789">
        <v>1.07</v>
      </c>
      <c r="J14789">
        <v>0.88</v>
      </c>
      <c r="K14789">
        <v>0.93600000000000005</v>
      </c>
      <c r="L14789">
        <v>0.85</v>
      </c>
      <c r="M14789">
        <v>0.876</v>
      </c>
      <c r="N14789">
        <v>0.56999999999999995</v>
      </c>
    </row>
    <row r="14790" spans="1:14" x14ac:dyDescent="0.25">
      <c r="A14790" t="s">
        <v>25053</v>
      </c>
      <c r="B14790" t="s">
        <v>6154</v>
      </c>
      <c r="C14790" s="1" t="str">
        <f>HYPERLINK("http://www.genecards.org/cgi-bin/carddisp.pl?gene=SNAP23","GeneCards")</f>
        <v>GeneCards</v>
      </c>
      <c r="D14790" s="1" t="str">
        <f>HYPERLINK("http://genome-euro.ucsc.edu/cgi-bin/hgTracks?position=214544_s_at","UCSC")</f>
        <v>UCSC</v>
      </c>
      <c r="E14790" s="1" t="str">
        <f>HYPERLINK("http://www.ncbi.nlm.nih.gov/gene/?term=SNAP23","NCBI")</f>
        <v>NCBI</v>
      </c>
      <c r="F14790">
        <v>0.59</v>
      </c>
      <c r="G14790">
        <v>0.68</v>
      </c>
      <c r="H14790" s="1" t="str">
        <f>HYPERLINK("http://www.weizmann.ac.il/complex/compphys/software/geview/data/figures/214544_s_at.png","Figure")</f>
        <v>Figure</v>
      </c>
      <c r="I14790">
        <v>0.998</v>
      </c>
      <c r="J14790">
        <v>0.99</v>
      </c>
      <c r="K14790">
        <v>0.98499999999999999</v>
      </c>
      <c r="L14790">
        <v>0.62</v>
      </c>
      <c r="M14790">
        <v>0.98699999999999999</v>
      </c>
      <c r="N14790">
        <v>0.72</v>
      </c>
    </row>
    <row r="14791" spans="1:14" x14ac:dyDescent="0.25">
      <c r="A14791" t="s">
        <v>25054</v>
      </c>
      <c r="B14791" t="s">
        <v>25055</v>
      </c>
      <c r="C14791" s="1" t="str">
        <f>HYPERLINK("http://www.genecards.org/cgi-bin/carddisp.pl?gene=HYAL4","GeneCards")</f>
        <v>GeneCards</v>
      </c>
      <c r="D14791" s="1" t="str">
        <f>HYPERLINK("http://genome-euro.ucsc.edu/cgi-bin/hgTracks?position=220249_at","UCSC")</f>
        <v>UCSC</v>
      </c>
      <c r="E14791" s="1" t="str">
        <f>HYPERLINK("http://www.ncbi.nlm.nih.gov/gene/?term=HYAL4","NCBI")</f>
        <v>NCBI</v>
      </c>
      <c r="F14791">
        <v>0.59</v>
      </c>
      <c r="G14791">
        <v>0.68</v>
      </c>
      <c r="H14791" s="1" t="str">
        <f>HYPERLINK("http://www.weizmann.ac.il/complex/compphys/software/geview/data/figures/220249_at.png","Figure")</f>
        <v>Figure</v>
      </c>
      <c r="I14791">
        <v>1</v>
      </c>
      <c r="J14791">
        <v>1</v>
      </c>
      <c r="K14791">
        <v>0.97199999999999998</v>
      </c>
      <c r="L14791">
        <v>0.67</v>
      </c>
      <c r="M14791">
        <v>0.97</v>
      </c>
      <c r="N14791">
        <v>0.66</v>
      </c>
    </row>
    <row r="14792" spans="1:14" x14ac:dyDescent="0.25">
      <c r="A14792" t="s">
        <v>25056</v>
      </c>
      <c r="B14792" t="s">
        <v>25057</v>
      </c>
      <c r="C14792" s="1" t="str">
        <f>HYPERLINK("http://www.genecards.org/cgi-bin/carddisp.pl?gene=PON3","GeneCards")</f>
        <v>GeneCards</v>
      </c>
      <c r="D14792" s="1" t="str">
        <f>HYPERLINK("http://genome-euro.ucsc.edu/cgi-bin/hgTracks?position=213695_at","UCSC")</f>
        <v>UCSC</v>
      </c>
      <c r="E14792" s="1" t="str">
        <f>HYPERLINK("http://www.ncbi.nlm.nih.gov/gene/?term=PON3","NCBI")</f>
        <v>NCBI</v>
      </c>
      <c r="F14792">
        <v>0.59</v>
      </c>
      <c r="G14792">
        <v>0.68</v>
      </c>
      <c r="H14792" s="1" t="str">
        <f>HYPERLINK("http://www.weizmann.ac.il/complex/compphys/software/geview/data/figures/213695_at.png","Figure")</f>
        <v>Figure</v>
      </c>
      <c r="I14792">
        <v>1.05</v>
      </c>
      <c r="J14792">
        <v>0.61</v>
      </c>
      <c r="K14792">
        <v>1.01</v>
      </c>
      <c r="L14792">
        <v>0.99</v>
      </c>
      <c r="M14792">
        <v>0.95499999999999996</v>
      </c>
      <c r="N14792">
        <v>0.64</v>
      </c>
    </row>
    <row r="14793" spans="1:14" x14ac:dyDescent="0.25">
      <c r="A14793" t="s">
        <v>25058</v>
      </c>
      <c r="B14793" t="s">
        <v>20748</v>
      </c>
      <c r="C14793" s="1" t="str">
        <f>HYPERLINK("http://www.genecards.org/cgi-bin/carddisp.pl?gene=RPS10","GeneCards")</f>
        <v>GeneCards</v>
      </c>
      <c r="D14793" s="1" t="str">
        <f>HYPERLINK("http://genome-euro.ucsc.edu/cgi-bin/hgTracks?position=200095_x_at","UCSC")</f>
        <v>UCSC</v>
      </c>
      <c r="E14793" s="1" t="str">
        <f>HYPERLINK("http://www.ncbi.nlm.nih.gov/gene/?term=RPS10","NCBI")</f>
        <v>NCBI</v>
      </c>
      <c r="F14793">
        <v>0.59</v>
      </c>
      <c r="G14793">
        <v>0.68</v>
      </c>
      <c r="H14793" s="1" t="str">
        <f>HYPERLINK("http://www.weizmann.ac.il/complex/compphys/software/geview/data/figures/200095_x_at.png","Figure")</f>
        <v>Figure</v>
      </c>
      <c r="I14793">
        <v>0.93300000000000005</v>
      </c>
      <c r="J14793">
        <v>0.56999999999999995</v>
      </c>
      <c r="K14793">
        <v>0.98</v>
      </c>
      <c r="L14793">
        <v>0.94</v>
      </c>
      <c r="M14793">
        <v>1.05</v>
      </c>
      <c r="N14793">
        <v>0.72</v>
      </c>
    </row>
    <row r="14794" spans="1:14" x14ac:dyDescent="0.25">
      <c r="A14794" t="s">
        <v>25059</v>
      </c>
      <c r="B14794" t="s">
        <v>25060</v>
      </c>
      <c r="C14794" s="1" t="str">
        <f>HYPERLINK("http://www.genecards.org/cgi-bin/carddisp.pl?gene=SLC10A2","GeneCards")</f>
        <v>GeneCards</v>
      </c>
      <c r="D14794" s="1" t="str">
        <f>HYPERLINK("http://genome-euro.ucsc.edu/cgi-bin/hgTracks?position=207095_at","UCSC")</f>
        <v>UCSC</v>
      </c>
      <c r="E14794" s="1" t="str">
        <f>HYPERLINK("http://www.ncbi.nlm.nih.gov/gene/?term=SLC10A2","NCBI")</f>
        <v>NCBI</v>
      </c>
      <c r="F14794">
        <v>0.59</v>
      </c>
      <c r="G14794">
        <v>0.68</v>
      </c>
      <c r="H14794" s="1" t="str">
        <f>HYPERLINK("http://www.weizmann.ac.il/complex/compphys/software/geview/data/figures/207095_at.png","Figure")</f>
        <v>Figure</v>
      </c>
      <c r="I14794">
        <v>1.06</v>
      </c>
      <c r="J14794">
        <v>0.56000000000000005</v>
      </c>
      <c r="K14794">
        <v>1.03</v>
      </c>
      <c r="L14794">
        <v>0.84</v>
      </c>
      <c r="M14794">
        <v>0.96799999999999997</v>
      </c>
      <c r="N14794">
        <v>0.83</v>
      </c>
    </row>
    <row r="14795" spans="1:14" x14ac:dyDescent="0.25">
      <c r="A14795" t="s">
        <v>25061</v>
      </c>
      <c r="B14795" t="s">
        <v>25062</v>
      </c>
      <c r="C14795" s="1" t="str">
        <f>HYPERLINK("http://www.genecards.org/cgi-bin/carddisp.pl?gene=CDC73","GeneCards")</f>
        <v>GeneCards</v>
      </c>
      <c r="D14795" s="1" t="str">
        <f>HYPERLINK("http://genome-euro.ucsc.edu/cgi-bin/hgTracks?position=218578_at","UCSC")</f>
        <v>UCSC</v>
      </c>
      <c r="E14795" s="1" t="str">
        <f>HYPERLINK("http://www.ncbi.nlm.nih.gov/gene/?term=CDC73","NCBI")</f>
        <v>NCBI</v>
      </c>
      <c r="F14795">
        <v>0.59</v>
      </c>
      <c r="G14795">
        <v>0.68</v>
      </c>
      <c r="H14795" s="1" t="str">
        <f>HYPERLINK("http://www.weizmann.ac.il/complex/compphys/software/geview/data/figures/218578_at.png","Figure")</f>
        <v>Figure</v>
      </c>
      <c r="I14795">
        <v>0.97899999999999998</v>
      </c>
      <c r="J14795">
        <v>0.99</v>
      </c>
      <c r="K14795">
        <v>1.1299999999999999</v>
      </c>
      <c r="L14795">
        <v>0.69</v>
      </c>
      <c r="M14795">
        <v>1.1499999999999999</v>
      </c>
      <c r="N14795">
        <v>0.64</v>
      </c>
    </row>
    <row r="14796" spans="1:14" x14ac:dyDescent="0.25">
      <c r="A14796" t="s">
        <v>25063</v>
      </c>
      <c r="B14796" t="s">
        <v>25064</v>
      </c>
      <c r="C14796" s="1" t="str">
        <f>HYPERLINK("http://www.genecards.org/cgi-bin/carddisp.pl?gene=LOC100288387","GeneCards")</f>
        <v>GeneCards</v>
      </c>
      <c r="D14796" s="1" t="str">
        <f>HYPERLINK("http://genome-euro.ucsc.edu/cgi-bin/hgTracks?position=213281_at","UCSC")</f>
        <v>UCSC</v>
      </c>
      <c r="E14796" s="1" t="str">
        <f>HYPERLINK("http://www.ncbi.nlm.nih.gov/gene/?term=LOC100288387","NCBI")</f>
        <v>NCBI</v>
      </c>
      <c r="F14796">
        <v>0.59</v>
      </c>
      <c r="G14796">
        <v>0.68</v>
      </c>
      <c r="H14796" s="1" t="str">
        <f>HYPERLINK("http://www.weizmann.ac.il/complex/compphys/software/geview/data/figures/213281_at.png","Figure")</f>
        <v>Figure</v>
      </c>
      <c r="I14796">
        <v>1.07</v>
      </c>
      <c r="J14796">
        <v>0.96</v>
      </c>
      <c r="K14796">
        <v>0.87</v>
      </c>
      <c r="L14796">
        <v>0.76</v>
      </c>
      <c r="M14796">
        <v>0.81599999999999995</v>
      </c>
      <c r="N14796">
        <v>0.6</v>
      </c>
    </row>
    <row r="14797" spans="1:14" x14ac:dyDescent="0.25">
      <c r="A14797" t="s">
        <v>25065</v>
      </c>
      <c r="B14797" t="s">
        <v>23791</v>
      </c>
      <c r="C14797" s="1" t="str">
        <f>HYPERLINK("http://www.genecards.org/cgi-bin/carddisp.pl?gene=HBA1 /// HBA2","GeneCards")</f>
        <v>GeneCards</v>
      </c>
      <c r="D14797" s="1" t="str">
        <f>HYPERLINK("http://genome-euro.ucsc.edu/cgi-bin/hgTracks?position=217414_x_at","UCSC")</f>
        <v>UCSC</v>
      </c>
      <c r="E14797" s="1" t="str">
        <f>HYPERLINK("http://www.ncbi.nlm.nih.gov/gene/?term=HBA1 /// HBA2","NCBI")</f>
        <v>NCBI</v>
      </c>
      <c r="F14797">
        <v>0.59</v>
      </c>
      <c r="G14797">
        <v>0.68</v>
      </c>
      <c r="H14797" s="1" t="str">
        <f>HYPERLINK("http://www.weizmann.ac.il/complex/compphys/software/geview/data/figures/217414_x_at.png","Figure")</f>
        <v>Figure</v>
      </c>
      <c r="I14797">
        <v>2.35</v>
      </c>
      <c r="J14797">
        <v>0.56000000000000005</v>
      </c>
      <c r="K14797">
        <v>1.5</v>
      </c>
      <c r="L14797">
        <v>0.84</v>
      </c>
      <c r="M14797">
        <v>0.63900000000000001</v>
      </c>
      <c r="N14797">
        <v>0.83</v>
      </c>
    </row>
    <row r="14798" spans="1:14" x14ac:dyDescent="0.25">
      <c r="A14798" t="s">
        <v>25066</v>
      </c>
      <c r="B14798" t="s">
        <v>25067</v>
      </c>
      <c r="C14798" s="1" t="str">
        <f>HYPERLINK("http://www.genecards.org/cgi-bin/carddisp.pl?gene=PGP","GeneCards")</f>
        <v>GeneCards</v>
      </c>
      <c r="D14798" s="1" t="str">
        <f>HYPERLINK("http://genome-euro.ucsc.edu/cgi-bin/hgTracks?position=218410_s_at","UCSC")</f>
        <v>UCSC</v>
      </c>
      <c r="E14798" s="1" t="str">
        <f>HYPERLINK("http://www.ncbi.nlm.nih.gov/gene/?term=PGP","NCBI")</f>
        <v>NCBI</v>
      </c>
      <c r="F14798">
        <v>0.59</v>
      </c>
      <c r="G14798">
        <v>0.68</v>
      </c>
      <c r="H14798" s="1" t="str">
        <f>HYPERLINK("http://www.weizmann.ac.il/complex/compphys/software/geview/data/figures/218410_s_at.png","Figure")</f>
        <v>Figure</v>
      </c>
      <c r="I14798">
        <v>1.01</v>
      </c>
      <c r="J14798">
        <v>0.99</v>
      </c>
      <c r="K14798">
        <v>1.05</v>
      </c>
      <c r="L14798">
        <v>0.61</v>
      </c>
      <c r="M14798">
        <v>1.04</v>
      </c>
      <c r="N14798">
        <v>0.75</v>
      </c>
    </row>
    <row r="14799" spans="1:14" x14ac:dyDescent="0.25">
      <c r="A14799" t="s">
        <v>25068</v>
      </c>
      <c r="B14799" t="s">
        <v>25069</v>
      </c>
      <c r="C14799" s="1" t="str">
        <f>HYPERLINK("http://www.genecards.org/cgi-bin/carddisp.pl?gene=PPP1R15A","GeneCards")</f>
        <v>GeneCards</v>
      </c>
      <c r="D14799" s="1" t="str">
        <f>HYPERLINK("http://genome-euro.ucsc.edu/cgi-bin/hgTracks?position=202014_at","UCSC")</f>
        <v>UCSC</v>
      </c>
      <c r="E14799" s="1" t="str">
        <f>HYPERLINK("http://www.ncbi.nlm.nih.gov/gene/?term=PPP1R15A","NCBI")</f>
        <v>NCBI</v>
      </c>
      <c r="F14799">
        <v>0.59</v>
      </c>
      <c r="G14799">
        <v>0.68</v>
      </c>
      <c r="H14799" s="1" t="str">
        <f>HYPERLINK("http://www.weizmann.ac.il/complex/compphys/software/geview/data/figures/202014_at.png","Figure")</f>
        <v>Figure</v>
      </c>
      <c r="I14799">
        <v>0.83499999999999996</v>
      </c>
      <c r="J14799">
        <v>0.82</v>
      </c>
      <c r="K14799">
        <v>0.76200000000000001</v>
      </c>
      <c r="L14799">
        <v>0.56000000000000005</v>
      </c>
      <c r="M14799">
        <v>0.91200000000000003</v>
      </c>
      <c r="N14799">
        <v>0.94</v>
      </c>
    </row>
    <row r="14800" spans="1:14" x14ac:dyDescent="0.25">
      <c r="A14800" t="s">
        <v>25070</v>
      </c>
      <c r="B14800" t="s">
        <v>5764</v>
      </c>
      <c r="C14800" s="1" t="str">
        <f>HYPERLINK("http://www.genecards.org/cgi-bin/carddisp.pl?gene=FOSL2","GeneCards")</f>
        <v>GeneCards</v>
      </c>
      <c r="D14800" s="1" t="str">
        <f>HYPERLINK("http://genome-euro.ucsc.edu/cgi-bin/hgTracks?position=205409_at","UCSC")</f>
        <v>UCSC</v>
      </c>
      <c r="E14800" s="1" t="str">
        <f>HYPERLINK("http://www.ncbi.nlm.nih.gov/gene/?term=FOSL2","NCBI")</f>
        <v>NCBI</v>
      </c>
      <c r="F14800">
        <v>0.59</v>
      </c>
      <c r="G14800">
        <v>0.68</v>
      </c>
      <c r="H14800" s="1" t="str">
        <f>HYPERLINK("http://www.weizmann.ac.il/complex/compphys/software/geview/data/figures/205409_at.png","Figure")</f>
        <v>Figure</v>
      </c>
      <c r="I14800">
        <v>0.97599999999999998</v>
      </c>
      <c r="J14800">
        <v>0.96</v>
      </c>
      <c r="K14800">
        <v>1.06</v>
      </c>
      <c r="L14800">
        <v>0.75</v>
      </c>
      <c r="M14800">
        <v>1.0900000000000001</v>
      </c>
      <c r="N14800">
        <v>0.61</v>
      </c>
    </row>
    <row r="14801" spans="1:14" x14ac:dyDescent="0.25">
      <c r="A14801" t="s">
        <v>25071</v>
      </c>
      <c r="B14801" t="s">
        <v>25072</v>
      </c>
      <c r="C14801" s="1" t="str">
        <f>HYPERLINK("http://www.genecards.org/cgi-bin/carddisp.pl?gene=IMP4","GeneCards")</f>
        <v>GeneCards</v>
      </c>
      <c r="D14801" s="1" t="str">
        <f>HYPERLINK("http://genome-euro.ucsc.edu/cgi-bin/hgTracks?position=212411_at","UCSC")</f>
        <v>UCSC</v>
      </c>
      <c r="E14801" s="1" t="str">
        <f>HYPERLINK("http://www.ncbi.nlm.nih.gov/gene/?term=IMP4","NCBI")</f>
        <v>NCBI</v>
      </c>
      <c r="F14801">
        <v>0.59</v>
      </c>
      <c r="G14801">
        <v>0.68</v>
      </c>
      <c r="H14801" s="1" t="str">
        <f>HYPERLINK("http://www.weizmann.ac.il/complex/compphys/software/geview/data/figures/212411_at.png","Figure")</f>
        <v>Figure</v>
      </c>
      <c r="I14801">
        <v>1.1499999999999999</v>
      </c>
      <c r="J14801">
        <v>0.73</v>
      </c>
      <c r="K14801">
        <v>0.96399999999999997</v>
      </c>
      <c r="L14801">
        <v>0.97</v>
      </c>
      <c r="M14801">
        <v>0.83599999999999997</v>
      </c>
      <c r="N14801">
        <v>0.56999999999999995</v>
      </c>
    </row>
    <row r="14802" spans="1:14" x14ac:dyDescent="0.25">
      <c r="A14802" t="s">
        <v>25073</v>
      </c>
      <c r="B14802" t="s">
        <v>15186</v>
      </c>
      <c r="C14802" s="1" t="str">
        <f>HYPERLINK("http://www.genecards.org/cgi-bin/carddisp.pl?gene=SMARCC1","GeneCards")</f>
        <v>GeneCards</v>
      </c>
      <c r="D14802" s="1" t="str">
        <f>HYPERLINK("http://genome-euro.ucsc.edu/cgi-bin/hgTracks?position=201074_at","UCSC")</f>
        <v>UCSC</v>
      </c>
      <c r="E14802" s="1" t="str">
        <f>HYPERLINK("http://www.ncbi.nlm.nih.gov/gene/?term=SMARCC1","NCBI")</f>
        <v>NCBI</v>
      </c>
      <c r="F14802">
        <v>0.59</v>
      </c>
      <c r="G14802">
        <v>0.68</v>
      </c>
      <c r="H14802" s="1" t="str">
        <f>HYPERLINK("http://www.weizmann.ac.il/complex/compphys/software/geview/data/figures/201074_at.png","Figure")</f>
        <v>Figure</v>
      </c>
      <c r="I14802">
        <v>1.01</v>
      </c>
      <c r="J14802">
        <v>1</v>
      </c>
      <c r="K14802">
        <v>1.1200000000000001</v>
      </c>
      <c r="L14802">
        <v>0.63</v>
      </c>
      <c r="M14802">
        <v>1.1100000000000001</v>
      </c>
      <c r="N14802">
        <v>0.7</v>
      </c>
    </row>
    <row r="14803" spans="1:14" x14ac:dyDescent="0.25">
      <c r="A14803" t="s">
        <v>25074</v>
      </c>
      <c r="B14803" t="s">
        <v>773</v>
      </c>
      <c r="C14803" s="1" t="str">
        <f>HYPERLINK("http://www.genecards.org/cgi-bin/carddisp.pl?gene=HNRPDL","GeneCards")</f>
        <v>GeneCards</v>
      </c>
      <c r="D14803" s="1" t="str">
        <f>HYPERLINK("http://genome-euro.ucsc.edu/cgi-bin/hgTracks?position=209067_s_at","UCSC")</f>
        <v>UCSC</v>
      </c>
      <c r="E14803" s="1" t="str">
        <f>HYPERLINK("http://www.ncbi.nlm.nih.gov/gene/?term=HNRPDL","NCBI")</f>
        <v>NCBI</v>
      </c>
      <c r="F14803">
        <v>0.59</v>
      </c>
      <c r="G14803">
        <v>0.68</v>
      </c>
      <c r="H14803" s="1" t="str">
        <f>HYPERLINK("http://www.weizmann.ac.il/complex/compphys/software/geview/data/figures/209067_s_at.png","Figure")</f>
        <v>Figure</v>
      </c>
      <c r="I14803">
        <v>0.996</v>
      </c>
      <c r="J14803">
        <v>1</v>
      </c>
      <c r="K14803">
        <v>0.92600000000000005</v>
      </c>
      <c r="L14803">
        <v>0.63</v>
      </c>
      <c r="M14803">
        <v>0.93</v>
      </c>
      <c r="N14803">
        <v>0.7</v>
      </c>
    </row>
    <row r="14804" spans="1:14" x14ac:dyDescent="0.25">
      <c r="A14804" t="s">
        <v>25075</v>
      </c>
      <c r="B14804" t="s">
        <v>25076</v>
      </c>
      <c r="C14804" s="1" t="str">
        <f>HYPERLINK("http://www.genecards.org/cgi-bin/carddisp.pl?gene=SEC14L5","GeneCards")</f>
        <v>GeneCards</v>
      </c>
      <c r="D14804" s="1" t="str">
        <f>HYPERLINK("http://genome-euro.ucsc.edu/cgi-bin/hgTracks?position=210169_at","UCSC")</f>
        <v>UCSC</v>
      </c>
      <c r="E14804" s="1" t="str">
        <f>HYPERLINK("http://www.ncbi.nlm.nih.gov/gene/?term=SEC14L5","NCBI")</f>
        <v>NCBI</v>
      </c>
      <c r="F14804">
        <v>0.59</v>
      </c>
      <c r="G14804">
        <v>0.68</v>
      </c>
      <c r="H14804" s="1" t="str">
        <f>HYPERLINK("http://www.weizmann.ac.il/complex/compphys/software/geview/data/figures/210169_at.png","Figure")</f>
        <v>Figure</v>
      </c>
      <c r="I14804">
        <v>0.995</v>
      </c>
      <c r="J14804">
        <v>0.73</v>
      </c>
      <c r="K14804">
        <v>0.99399999999999999</v>
      </c>
      <c r="L14804">
        <v>0.59</v>
      </c>
      <c r="M14804">
        <v>0.999</v>
      </c>
      <c r="N14804">
        <v>0.99</v>
      </c>
    </row>
    <row r="14805" spans="1:14" x14ac:dyDescent="0.25">
      <c r="A14805" t="s">
        <v>25077</v>
      </c>
      <c r="B14805" t="s">
        <v>9581</v>
      </c>
      <c r="C14805" s="1" t="str">
        <f>HYPERLINK("http://www.genecards.org/cgi-bin/carddisp.pl?gene=HDLBP","GeneCards")</f>
        <v>GeneCards</v>
      </c>
      <c r="D14805" s="1" t="str">
        <f>HYPERLINK("http://genome-euro.ucsc.edu/cgi-bin/hgTracks?position=219674_s_at","UCSC")</f>
        <v>UCSC</v>
      </c>
      <c r="E14805" s="1" t="str">
        <f>HYPERLINK("http://www.ncbi.nlm.nih.gov/gene/?term=HDLBP","NCBI")</f>
        <v>NCBI</v>
      </c>
      <c r="F14805">
        <v>0.59</v>
      </c>
      <c r="G14805">
        <v>0.68</v>
      </c>
      <c r="H14805" s="1" t="str">
        <f>HYPERLINK("http://www.weizmann.ac.il/complex/compphys/software/geview/data/figures/219674_s_at.png","Figure")</f>
        <v>Figure</v>
      </c>
      <c r="I14805">
        <v>1</v>
      </c>
      <c r="J14805">
        <v>1</v>
      </c>
      <c r="K14805">
        <v>0.98699999999999999</v>
      </c>
      <c r="L14805">
        <v>0.67</v>
      </c>
      <c r="M14805">
        <v>0.98499999999999999</v>
      </c>
      <c r="N14805">
        <v>0.66</v>
      </c>
    </row>
    <row r="14806" spans="1:14" x14ac:dyDescent="0.25">
      <c r="A14806" t="s">
        <v>25078</v>
      </c>
      <c r="B14806" t="s">
        <v>25079</v>
      </c>
      <c r="C14806" s="1" t="str">
        <f>HYPERLINK("http://www.genecards.org/cgi-bin/carddisp.pl?gene=KDM1","GeneCards")</f>
        <v>GeneCards</v>
      </c>
      <c r="D14806" s="1" t="str">
        <f>HYPERLINK("http://genome-euro.ucsc.edu/cgi-bin/hgTracks?position=212348_s_at","UCSC")</f>
        <v>UCSC</v>
      </c>
      <c r="E14806" s="1" t="str">
        <f>HYPERLINK("http://www.ncbi.nlm.nih.gov/gene/?term=KDM1","NCBI")</f>
        <v>NCBI</v>
      </c>
      <c r="F14806">
        <v>0.59</v>
      </c>
      <c r="G14806">
        <v>0.68</v>
      </c>
      <c r="H14806" s="1" t="str">
        <f>HYPERLINK("http://www.weizmann.ac.il/complex/compphys/software/geview/data/figures/212348_s_at.png","Figure")</f>
        <v>Figure</v>
      </c>
      <c r="I14806">
        <v>1.2</v>
      </c>
      <c r="J14806">
        <v>0.64</v>
      </c>
      <c r="K14806">
        <v>1.17</v>
      </c>
      <c r="L14806">
        <v>0.65</v>
      </c>
      <c r="M14806">
        <v>0.97299999999999998</v>
      </c>
      <c r="N14806">
        <v>0.99</v>
      </c>
    </row>
    <row r="14807" spans="1:14" x14ac:dyDescent="0.25">
      <c r="A14807" t="s">
        <v>25080</v>
      </c>
      <c r="B14807" t="s">
        <v>21613</v>
      </c>
      <c r="C14807" s="1" t="str">
        <f>HYPERLINK("http://www.genecards.org/cgi-bin/carddisp.pl?gene=KCNAB1","GeneCards")</f>
        <v>GeneCards</v>
      </c>
      <c r="D14807" s="1" t="str">
        <f>HYPERLINK("http://genome-euro.ucsc.edu/cgi-bin/hgTracks?position=210471_s_at","UCSC")</f>
        <v>UCSC</v>
      </c>
      <c r="E14807" s="1" t="str">
        <f>HYPERLINK("http://www.ncbi.nlm.nih.gov/gene/?term=KCNAB1","NCBI")</f>
        <v>NCBI</v>
      </c>
      <c r="F14807">
        <v>0.59</v>
      </c>
      <c r="G14807">
        <v>0.68</v>
      </c>
      <c r="H14807" s="1" t="str">
        <f>HYPERLINK("http://www.weizmann.ac.il/complex/compphys/software/geview/data/figures/210471_s_at.png","Figure")</f>
        <v>Figure</v>
      </c>
      <c r="I14807">
        <v>1.01</v>
      </c>
      <c r="J14807">
        <v>0.72</v>
      </c>
      <c r="K14807">
        <v>0.998</v>
      </c>
      <c r="L14807">
        <v>0.98</v>
      </c>
      <c r="M14807">
        <v>0.98799999999999999</v>
      </c>
      <c r="N14807">
        <v>0.57999999999999996</v>
      </c>
    </row>
    <row r="14808" spans="1:14" x14ac:dyDescent="0.25">
      <c r="A14808" t="s">
        <v>25081</v>
      </c>
      <c r="B14808" t="s">
        <v>8431</v>
      </c>
      <c r="C14808" s="1" t="str">
        <f>HYPERLINK("http://www.genecards.org/cgi-bin/carddisp.pl?gene=CEACAM1","GeneCards")</f>
        <v>GeneCards</v>
      </c>
      <c r="D14808" s="1" t="str">
        <f>HYPERLINK("http://genome-euro.ucsc.edu/cgi-bin/hgTracks?position=206576_s_at","UCSC")</f>
        <v>UCSC</v>
      </c>
      <c r="E14808" s="1" t="str">
        <f>HYPERLINK("http://www.ncbi.nlm.nih.gov/gene/?term=CEACAM1","NCBI")</f>
        <v>NCBI</v>
      </c>
      <c r="F14808">
        <v>0.59</v>
      </c>
      <c r="G14808">
        <v>0.68</v>
      </c>
      <c r="H14808" s="1" t="str">
        <f>HYPERLINK("http://www.weizmann.ac.il/complex/compphys/software/geview/data/figures/206576_s_at.png","Figure")</f>
        <v>Figure</v>
      </c>
      <c r="I14808">
        <v>1.1000000000000001</v>
      </c>
      <c r="J14808">
        <v>0.56999999999999995</v>
      </c>
      <c r="K14808">
        <v>1.06</v>
      </c>
      <c r="L14808">
        <v>0.77</v>
      </c>
      <c r="M14808">
        <v>0.96</v>
      </c>
      <c r="N14808">
        <v>0.89</v>
      </c>
    </row>
    <row r="14809" spans="1:14" x14ac:dyDescent="0.25">
      <c r="A14809" t="s">
        <v>25082</v>
      </c>
      <c r="B14809" t="s">
        <v>11279</v>
      </c>
      <c r="C14809" s="1" t="str">
        <f>HYPERLINK("http://www.genecards.org/cgi-bin/carddisp.pl?gene=ATP2A3","GeneCards")</f>
        <v>GeneCards</v>
      </c>
      <c r="D14809" s="1" t="str">
        <f>HYPERLINK("http://genome-euro.ucsc.edu/cgi-bin/hgTracks?position=213042_s_at","UCSC")</f>
        <v>UCSC</v>
      </c>
      <c r="E14809" s="1" t="str">
        <f>HYPERLINK("http://www.ncbi.nlm.nih.gov/gene/?term=ATP2A3","NCBI")</f>
        <v>NCBI</v>
      </c>
      <c r="F14809">
        <v>0.59</v>
      </c>
      <c r="G14809">
        <v>0.68</v>
      </c>
      <c r="H14809" s="1" t="str">
        <f>HYPERLINK("http://www.weizmann.ac.il/complex/compphys/software/geview/data/figures/213042_s_at.png","Figure")</f>
        <v>Figure</v>
      </c>
      <c r="I14809">
        <v>1.08</v>
      </c>
      <c r="J14809">
        <v>0.68</v>
      </c>
      <c r="K14809">
        <v>1.08</v>
      </c>
      <c r="L14809">
        <v>0.61</v>
      </c>
      <c r="M14809">
        <v>0.999</v>
      </c>
      <c r="N14809">
        <v>1</v>
      </c>
    </row>
    <row r="14810" spans="1:14" x14ac:dyDescent="0.25">
      <c r="A14810" t="s">
        <v>25083</v>
      </c>
      <c r="B14810" t="s">
        <v>4201</v>
      </c>
      <c r="C14810" s="1" t="str">
        <f>HYPERLINK("http://www.genecards.org/cgi-bin/carddisp.pl?gene=ACVR1B","GeneCards")</f>
        <v>GeneCards</v>
      </c>
      <c r="D14810" s="1" t="str">
        <f>HYPERLINK("http://genome-euro.ucsc.edu/cgi-bin/hgTracks?position=205209_at","UCSC")</f>
        <v>UCSC</v>
      </c>
      <c r="E14810" s="1" t="str">
        <f>HYPERLINK("http://www.ncbi.nlm.nih.gov/gene/?term=ACVR1B","NCBI")</f>
        <v>NCBI</v>
      </c>
      <c r="F14810">
        <v>0.59</v>
      </c>
      <c r="G14810">
        <v>0.68</v>
      </c>
      <c r="H14810" s="1" t="str">
        <f>HYPERLINK("http://www.weizmann.ac.il/complex/compphys/software/geview/data/figures/205209_at.png","Figure")</f>
        <v>Figure</v>
      </c>
      <c r="I14810">
        <v>0.872</v>
      </c>
      <c r="J14810">
        <v>0.61</v>
      </c>
      <c r="K14810">
        <v>0.98399999999999999</v>
      </c>
      <c r="L14810">
        <v>0.99</v>
      </c>
      <c r="M14810">
        <v>1.1299999999999999</v>
      </c>
      <c r="N14810">
        <v>0.65</v>
      </c>
    </row>
    <row r="14811" spans="1:14" x14ac:dyDescent="0.25">
      <c r="A14811" t="s">
        <v>25084</v>
      </c>
      <c r="B14811" t="s">
        <v>24252</v>
      </c>
      <c r="C14811" s="1" t="str">
        <f>HYPERLINK("http://www.genecards.org/cgi-bin/carddisp.pl?gene=CD28","GeneCards")</f>
        <v>GeneCards</v>
      </c>
      <c r="D14811" s="1" t="str">
        <f>HYPERLINK("http://genome-euro.ucsc.edu/cgi-bin/hgTracks?position=211856_x_at","UCSC")</f>
        <v>UCSC</v>
      </c>
      <c r="E14811" s="1" t="str">
        <f>HYPERLINK("http://www.ncbi.nlm.nih.gov/gene/?term=CD28","NCBI")</f>
        <v>NCBI</v>
      </c>
      <c r="F14811">
        <v>0.59</v>
      </c>
      <c r="G14811">
        <v>0.68</v>
      </c>
      <c r="H14811" s="1" t="str">
        <f>HYPERLINK("http://www.weizmann.ac.il/complex/compphys/software/geview/data/figures/211856_x_at.png","Figure")</f>
        <v>Figure</v>
      </c>
      <c r="I14811">
        <v>1.01</v>
      </c>
      <c r="J14811">
        <v>0.88</v>
      </c>
      <c r="K14811">
        <v>1.02</v>
      </c>
      <c r="L14811">
        <v>0.56000000000000005</v>
      </c>
      <c r="M14811">
        <v>1.01</v>
      </c>
      <c r="N14811">
        <v>0.89</v>
      </c>
    </row>
    <row r="14812" spans="1:14" x14ac:dyDescent="0.25">
      <c r="A14812" t="s">
        <v>25085</v>
      </c>
      <c r="B14812" t="s">
        <v>10890</v>
      </c>
      <c r="C14812" s="1" t="str">
        <f>HYPERLINK("http://www.genecards.org/cgi-bin/carddisp.pl?gene=NONO","GeneCards")</f>
        <v>GeneCards</v>
      </c>
      <c r="D14812" s="1" t="str">
        <f>HYPERLINK("http://genome-euro.ucsc.edu/cgi-bin/hgTracks?position=210470_x_at","UCSC")</f>
        <v>UCSC</v>
      </c>
      <c r="E14812" s="1" t="str">
        <f>HYPERLINK("http://www.ncbi.nlm.nih.gov/gene/?term=NONO","NCBI")</f>
        <v>NCBI</v>
      </c>
      <c r="F14812">
        <v>0.59</v>
      </c>
      <c r="G14812">
        <v>0.68</v>
      </c>
      <c r="H14812" s="1" t="str">
        <f>HYPERLINK("http://www.weizmann.ac.il/complex/compphys/software/geview/data/figures/210470_x_at.png","Figure")</f>
        <v>Figure</v>
      </c>
      <c r="I14812">
        <v>0.89700000000000002</v>
      </c>
      <c r="J14812">
        <v>0.67</v>
      </c>
      <c r="K14812">
        <v>1.01</v>
      </c>
      <c r="L14812">
        <v>1</v>
      </c>
      <c r="M14812">
        <v>1.1200000000000001</v>
      </c>
      <c r="N14812">
        <v>0.6</v>
      </c>
    </row>
    <row r="14813" spans="1:14" x14ac:dyDescent="0.25">
      <c r="A14813" t="s">
        <v>25086</v>
      </c>
      <c r="B14813" t="s">
        <v>25087</v>
      </c>
      <c r="C14813" s="1" t="str">
        <f>HYPERLINK("http://www.genecards.org/cgi-bin/carddisp.pl?gene=KCNE1","GeneCards")</f>
        <v>GeneCards</v>
      </c>
      <c r="D14813" s="1" t="str">
        <f>HYPERLINK("http://genome-euro.ucsc.edu/cgi-bin/hgTracks?position=208514_at","UCSC")</f>
        <v>UCSC</v>
      </c>
      <c r="E14813" s="1" t="str">
        <f>HYPERLINK("http://www.ncbi.nlm.nih.gov/gene/?term=KCNE1","NCBI")</f>
        <v>NCBI</v>
      </c>
      <c r="F14813">
        <v>0.59</v>
      </c>
      <c r="G14813">
        <v>0.68</v>
      </c>
      <c r="H14813" s="1" t="str">
        <f>HYPERLINK("http://www.weizmann.ac.il/complex/compphys/software/geview/data/figures/208514_at.png","Figure")</f>
        <v>Figure</v>
      </c>
      <c r="I14813">
        <v>1.02</v>
      </c>
      <c r="J14813">
        <v>0.56999999999999995</v>
      </c>
      <c r="K14813">
        <v>1.01</v>
      </c>
      <c r="L14813">
        <v>0.77</v>
      </c>
      <c r="M14813">
        <v>0.99299999999999999</v>
      </c>
      <c r="N14813">
        <v>0.89</v>
      </c>
    </row>
    <row r="14814" spans="1:14" x14ac:dyDescent="0.25">
      <c r="A14814" t="s">
        <v>25088</v>
      </c>
      <c r="B14814" t="s">
        <v>19200</v>
      </c>
      <c r="C14814" s="1" t="str">
        <f>HYPERLINK("http://www.genecards.org/cgi-bin/carddisp.pl?gene=BCL3","GeneCards")</f>
        <v>GeneCards</v>
      </c>
      <c r="D14814" s="1" t="str">
        <f>HYPERLINK("http://genome-euro.ucsc.edu/cgi-bin/hgTracks?position=204907_s_at","UCSC")</f>
        <v>UCSC</v>
      </c>
      <c r="E14814" s="1" t="str">
        <f>HYPERLINK("http://www.ncbi.nlm.nih.gov/gene/?term=BCL3","NCBI")</f>
        <v>NCBI</v>
      </c>
      <c r="F14814">
        <v>0.59</v>
      </c>
      <c r="G14814">
        <v>0.68</v>
      </c>
      <c r="H14814" s="1" t="str">
        <f>HYPERLINK("http://www.weizmann.ac.il/complex/compphys/software/geview/data/figures/204907_s_at.png","Figure")</f>
        <v>Figure</v>
      </c>
      <c r="I14814">
        <v>1.08</v>
      </c>
      <c r="J14814">
        <v>0.63</v>
      </c>
      <c r="K14814">
        <v>1.01</v>
      </c>
      <c r="L14814">
        <v>1</v>
      </c>
      <c r="M14814">
        <v>0.92900000000000005</v>
      </c>
      <c r="N14814">
        <v>0.63</v>
      </c>
    </row>
    <row r="14815" spans="1:14" x14ac:dyDescent="0.25">
      <c r="A14815" t="s">
        <v>25089</v>
      </c>
      <c r="B14815" t="s">
        <v>25090</v>
      </c>
      <c r="C14815" s="1" t="str">
        <f>HYPERLINK("http://www.genecards.org/cgi-bin/carddisp.pl?gene=METTL10","GeneCards")</f>
        <v>GeneCards</v>
      </c>
      <c r="D14815" s="1" t="str">
        <f>HYPERLINK("http://genome-euro.ucsc.edu/cgi-bin/hgTracks?position=215061_at","UCSC")</f>
        <v>UCSC</v>
      </c>
      <c r="E14815" s="1" t="str">
        <f>HYPERLINK("http://www.ncbi.nlm.nih.gov/gene/?term=METTL10","NCBI")</f>
        <v>NCBI</v>
      </c>
      <c r="F14815">
        <v>0.59</v>
      </c>
      <c r="G14815">
        <v>0.68</v>
      </c>
      <c r="H14815" s="1" t="str">
        <f>HYPERLINK("http://www.weizmann.ac.il/complex/compphys/software/geview/data/figures/215061_at.png","Figure")</f>
        <v>Figure</v>
      </c>
      <c r="I14815">
        <v>1.07</v>
      </c>
      <c r="J14815">
        <v>0.61</v>
      </c>
      <c r="K14815">
        <v>1.05</v>
      </c>
      <c r="L14815">
        <v>0.69</v>
      </c>
      <c r="M14815">
        <v>0.98399999999999999</v>
      </c>
      <c r="N14815">
        <v>0.96</v>
      </c>
    </row>
    <row r="14816" spans="1:14" x14ac:dyDescent="0.25">
      <c r="A14816" t="s">
        <v>25091</v>
      </c>
      <c r="B14816" t="s">
        <v>15420</v>
      </c>
      <c r="C14816" s="1" t="str">
        <f>HYPERLINK("http://www.genecards.org/cgi-bin/carddisp.pl?gene=RABGAP1","GeneCards")</f>
        <v>GeneCards</v>
      </c>
      <c r="D14816" s="1" t="str">
        <f>HYPERLINK("http://genome-euro.ucsc.edu/cgi-bin/hgTracks?position=204028_s_at","UCSC")</f>
        <v>UCSC</v>
      </c>
      <c r="E14816" s="1" t="str">
        <f>HYPERLINK("http://www.ncbi.nlm.nih.gov/gene/?term=RABGAP1","NCBI")</f>
        <v>NCBI</v>
      </c>
      <c r="F14816">
        <v>0.59</v>
      </c>
      <c r="G14816">
        <v>0.68</v>
      </c>
      <c r="H14816" s="1" t="str">
        <f>HYPERLINK("http://www.weizmann.ac.il/complex/compphys/software/geview/data/figures/204028_s_at.png","Figure")</f>
        <v>Figure</v>
      </c>
      <c r="I14816">
        <v>1.18</v>
      </c>
      <c r="J14816">
        <v>0.64</v>
      </c>
      <c r="K14816">
        <v>1.1499999999999999</v>
      </c>
      <c r="L14816">
        <v>0.65</v>
      </c>
      <c r="M14816">
        <v>0.97699999999999998</v>
      </c>
      <c r="N14816">
        <v>0.99</v>
      </c>
    </row>
    <row r="14817" spans="1:14" x14ac:dyDescent="0.25">
      <c r="A14817" t="s">
        <v>25092</v>
      </c>
      <c r="B14817" t="s">
        <v>25027</v>
      </c>
      <c r="C14817" s="1" t="str">
        <f>HYPERLINK("http://www.genecards.org/cgi-bin/carddisp.pl?gene=BAT3","GeneCards")</f>
        <v>GeneCards</v>
      </c>
      <c r="D14817" s="1" t="str">
        <f>HYPERLINK("http://genome-euro.ucsc.edu/cgi-bin/hgTracks?position=210208_x_at","UCSC")</f>
        <v>UCSC</v>
      </c>
      <c r="E14817" s="1" t="str">
        <f>HYPERLINK("http://www.ncbi.nlm.nih.gov/gene/?term=BAT3","NCBI")</f>
        <v>NCBI</v>
      </c>
      <c r="F14817">
        <v>0.59</v>
      </c>
      <c r="G14817">
        <v>0.68</v>
      </c>
      <c r="H14817" s="1" t="str">
        <f>HYPERLINK("http://www.weizmann.ac.il/complex/compphys/software/geview/data/figures/210208_x_at.png","Figure")</f>
        <v>Figure</v>
      </c>
      <c r="I14817">
        <v>0.88500000000000001</v>
      </c>
      <c r="J14817">
        <v>0.73</v>
      </c>
      <c r="K14817">
        <v>1.03</v>
      </c>
      <c r="L14817">
        <v>0.97</v>
      </c>
      <c r="M14817">
        <v>1.17</v>
      </c>
      <c r="N14817">
        <v>0.56999999999999995</v>
      </c>
    </row>
    <row r="14818" spans="1:14" x14ac:dyDescent="0.25">
      <c r="A14818" t="s">
        <v>25093</v>
      </c>
      <c r="B14818" t="s">
        <v>25094</v>
      </c>
      <c r="C14818" s="1" t="str">
        <f>HYPERLINK("http://www.genecards.org/cgi-bin/carddisp.pl?gene=ISG15","GeneCards")</f>
        <v>GeneCards</v>
      </c>
      <c r="D14818" s="1" t="str">
        <f>HYPERLINK("http://genome-euro.ucsc.edu/cgi-bin/hgTracks?position=205483_s_at","UCSC")</f>
        <v>UCSC</v>
      </c>
      <c r="E14818" s="1" t="str">
        <f>HYPERLINK("http://www.ncbi.nlm.nih.gov/gene/?term=ISG15","NCBI")</f>
        <v>NCBI</v>
      </c>
      <c r="F14818">
        <v>0.59</v>
      </c>
      <c r="G14818">
        <v>0.68</v>
      </c>
      <c r="H14818" s="1" t="str">
        <f>HYPERLINK("http://www.weizmann.ac.il/complex/compphys/software/geview/data/figures/205483_s_at.png","Figure")</f>
        <v>Figure</v>
      </c>
      <c r="I14818">
        <v>0.78500000000000003</v>
      </c>
      <c r="J14818">
        <v>0.65</v>
      </c>
      <c r="K14818">
        <v>1</v>
      </c>
      <c r="L14818">
        <v>1</v>
      </c>
      <c r="M14818">
        <v>1.28</v>
      </c>
      <c r="N14818">
        <v>0.61</v>
      </c>
    </row>
    <row r="14819" spans="1:14" x14ac:dyDescent="0.25">
      <c r="A14819" t="s">
        <v>25095</v>
      </c>
      <c r="B14819" t="s">
        <v>25096</v>
      </c>
      <c r="C14819" s="1" t="str">
        <f>HYPERLINK("http://www.genecards.org/cgi-bin/carddisp.pl?gene=SNCAIP","GeneCards")</f>
        <v>GeneCards</v>
      </c>
      <c r="D14819" s="1" t="str">
        <f>HYPERLINK("http://genome-euro.ucsc.edu/cgi-bin/hgTracks?position=219511_s_at","UCSC")</f>
        <v>UCSC</v>
      </c>
      <c r="E14819" s="1" t="str">
        <f>HYPERLINK("http://www.ncbi.nlm.nih.gov/gene/?term=SNCAIP","NCBI")</f>
        <v>NCBI</v>
      </c>
      <c r="F14819">
        <v>0.59</v>
      </c>
      <c r="G14819">
        <v>0.68</v>
      </c>
      <c r="H14819" s="1" t="str">
        <f>HYPERLINK("http://www.weizmann.ac.il/complex/compphys/software/geview/data/figures/219511_s_at.png","Figure")</f>
        <v>Figure</v>
      </c>
      <c r="I14819">
        <v>0.97899999999999998</v>
      </c>
      <c r="J14819">
        <v>0.81</v>
      </c>
      <c r="K14819">
        <v>0.97</v>
      </c>
      <c r="L14819">
        <v>0.56999999999999995</v>
      </c>
      <c r="M14819">
        <v>0.99099999999999999</v>
      </c>
      <c r="N14819">
        <v>0.95</v>
      </c>
    </row>
    <row r="14820" spans="1:14" x14ac:dyDescent="0.25">
      <c r="A14820" t="s">
        <v>25097</v>
      </c>
      <c r="B14820" t="s">
        <v>25098</v>
      </c>
      <c r="C14820" s="1" t="str">
        <f>HYPERLINK("http://www.genecards.org/cgi-bin/carddisp.pl?gene=R3HDM2","GeneCards")</f>
        <v>GeneCards</v>
      </c>
      <c r="D14820" s="1" t="str">
        <f>HYPERLINK("http://genome-euro.ucsc.edu/cgi-bin/hgTracks?position=203831_at","UCSC")</f>
        <v>UCSC</v>
      </c>
      <c r="E14820" s="1" t="str">
        <f>HYPERLINK("http://www.ncbi.nlm.nih.gov/gene/?term=R3HDM2","NCBI")</f>
        <v>NCBI</v>
      </c>
      <c r="F14820">
        <v>0.59</v>
      </c>
      <c r="G14820">
        <v>0.68</v>
      </c>
      <c r="H14820" s="1" t="str">
        <f>HYPERLINK("http://www.weizmann.ac.il/complex/compphys/software/geview/data/figures/203831_at.png","Figure")</f>
        <v>Figure</v>
      </c>
      <c r="I14820">
        <v>0.91500000000000004</v>
      </c>
      <c r="J14820">
        <v>0.85</v>
      </c>
      <c r="K14820">
        <v>1.07</v>
      </c>
      <c r="L14820">
        <v>0.88</v>
      </c>
      <c r="M14820">
        <v>1.17</v>
      </c>
      <c r="N14820">
        <v>0.56999999999999995</v>
      </c>
    </row>
    <row r="14821" spans="1:14" x14ac:dyDescent="0.25">
      <c r="A14821" t="s">
        <v>25099</v>
      </c>
      <c r="B14821" t="s">
        <v>5716</v>
      </c>
      <c r="C14821" s="1" t="str">
        <f>HYPERLINK("http://www.genecards.org/cgi-bin/carddisp.pl?gene=CEACAM21","GeneCards")</f>
        <v>GeneCards</v>
      </c>
      <c r="D14821" s="1" t="str">
        <f>HYPERLINK("http://genome-euro.ucsc.edu/cgi-bin/hgTracks?position=214907_at","UCSC")</f>
        <v>UCSC</v>
      </c>
      <c r="E14821" s="1" t="str">
        <f>HYPERLINK("http://www.ncbi.nlm.nih.gov/gene/?term=CEACAM21","NCBI")</f>
        <v>NCBI</v>
      </c>
      <c r="F14821">
        <v>0.59</v>
      </c>
      <c r="G14821">
        <v>0.68</v>
      </c>
      <c r="H14821" s="1" t="str">
        <f>HYPERLINK("http://www.weizmann.ac.il/complex/compphys/software/geview/data/figures/214907_at.png","Figure")</f>
        <v>Figure</v>
      </c>
      <c r="I14821">
        <v>1.1000000000000001</v>
      </c>
      <c r="J14821">
        <v>0.65</v>
      </c>
      <c r="K14821">
        <v>1</v>
      </c>
      <c r="L14821">
        <v>1</v>
      </c>
      <c r="M14821">
        <v>0.91200000000000003</v>
      </c>
      <c r="N14821">
        <v>0.61</v>
      </c>
    </row>
    <row r="14822" spans="1:14" x14ac:dyDescent="0.25">
      <c r="A14822" t="s">
        <v>25100</v>
      </c>
      <c r="B14822" t="s">
        <v>25101</v>
      </c>
      <c r="C14822" s="1" t="str">
        <f>HYPERLINK("http://www.genecards.org/cgi-bin/carddisp.pl?gene=ERCC3","GeneCards")</f>
        <v>GeneCards</v>
      </c>
      <c r="D14822" s="1" t="str">
        <f>HYPERLINK("http://genome-euro.ucsc.edu/cgi-bin/hgTracks?position=202176_at","UCSC")</f>
        <v>UCSC</v>
      </c>
      <c r="E14822" s="1" t="str">
        <f>HYPERLINK("http://www.ncbi.nlm.nih.gov/gene/?term=ERCC3","NCBI")</f>
        <v>NCBI</v>
      </c>
      <c r="F14822">
        <v>0.59</v>
      </c>
      <c r="G14822">
        <v>0.68</v>
      </c>
      <c r="H14822" s="1" t="str">
        <f>HYPERLINK("http://www.weizmann.ac.il/complex/compphys/software/geview/data/figures/202176_at.png","Figure")</f>
        <v>Figure</v>
      </c>
      <c r="I14822">
        <v>0.89500000000000002</v>
      </c>
      <c r="J14822">
        <v>0.86</v>
      </c>
      <c r="K14822">
        <v>0.82499999999999996</v>
      </c>
      <c r="L14822">
        <v>0.56000000000000005</v>
      </c>
      <c r="M14822">
        <v>0.92100000000000004</v>
      </c>
      <c r="N14822">
        <v>0.91</v>
      </c>
    </row>
    <row r="14823" spans="1:14" x14ac:dyDescent="0.25">
      <c r="A14823" t="s">
        <v>25102</v>
      </c>
      <c r="B14823" t="s">
        <v>25103</v>
      </c>
      <c r="C14823" s="1" t="str">
        <f>HYPERLINK("http://www.genecards.org/cgi-bin/carddisp.pl?gene=MRPL49","GeneCards")</f>
        <v>GeneCards</v>
      </c>
      <c r="D14823" s="1" t="str">
        <f>HYPERLINK("http://genome-euro.ucsc.edu/cgi-bin/hgTracks?position=201717_at","UCSC")</f>
        <v>UCSC</v>
      </c>
      <c r="E14823" s="1" t="str">
        <f>HYPERLINK("http://www.ncbi.nlm.nih.gov/gene/?term=MRPL49","NCBI")</f>
        <v>NCBI</v>
      </c>
      <c r="F14823">
        <v>0.59</v>
      </c>
      <c r="G14823">
        <v>0.68</v>
      </c>
      <c r="H14823" s="1" t="str">
        <f>HYPERLINK("http://www.weizmann.ac.il/complex/compphys/software/geview/data/figures/201717_at.png","Figure")</f>
        <v>Figure</v>
      </c>
      <c r="I14823">
        <v>1.1399999999999999</v>
      </c>
      <c r="J14823">
        <v>0.6</v>
      </c>
      <c r="K14823">
        <v>1.1000000000000001</v>
      </c>
      <c r="L14823">
        <v>0.7</v>
      </c>
      <c r="M14823">
        <v>0.96499999999999997</v>
      </c>
      <c r="N14823">
        <v>0.96</v>
      </c>
    </row>
    <row r="14824" spans="1:14" x14ac:dyDescent="0.25">
      <c r="A14824" t="s">
        <v>25104</v>
      </c>
      <c r="B14824" t="s">
        <v>25105</v>
      </c>
      <c r="C14824" s="1" t="str">
        <f>HYPERLINK("http://www.genecards.org/cgi-bin/carddisp.pl?gene=ENO3","GeneCards")</f>
        <v>GeneCards</v>
      </c>
      <c r="D14824" s="1" t="str">
        <f>HYPERLINK("http://genome-euro.ucsc.edu/cgi-bin/hgTracks?position=204483_at","UCSC")</f>
        <v>UCSC</v>
      </c>
      <c r="E14824" s="1" t="str">
        <f>HYPERLINK("http://www.ncbi.nlm.nih.gov/gene/?term=ENO3","NCBI")</f>
        <v>NCBI</v>
      </c>
      <c r="F14824">
        <v>0.59</v>
      </c>
      <c r="G14824">
        <v>0.68</v>
      </c>
      <c r="H14824" s="1" t="str">
        <f>HYPERLINK("http://www.weizmann.ac.il/complex/compphys/software/geview/data/figures/204483_at.png","Figure")</f>
        <v>Figure</v>
      </c>
      <c r="I14824">
        <v>0.89</v>
      </c>
      <c r="J14824">
        <v>0.56999999999999995</v>
      </c>
      <c r="K14824">
        <v>0.95599999999999996</v>
      </c>
      <c r="L14824">
        <v>0.89</v>
      </c>
      <c r="M14824">
        <v>1.07</v>
      </c>
      <c r="N14824">
        <v>0.78</v>
      </c>
    </row>
    <row r="14825" spans="1:14" x14ac:dyDescent="0.25">
      <c r="A14825" t="s">
        <v>25106</v>
      </c>
      <c r="B14825" t="s">
        <v>2372</v>
      </c>
      <c r="C14825" s="1" t="str">
        <f>HYPERLINK("http://www.genecards.org/cgi-bin/carddisp.pl?gene=ZKSCAN1","GeneCards")</f>
        <v>GeneCards</v>
      </c>
      <c r="D14825" s="1" t="str">
        <f>HYPERLINK("http://genome-euro.ucsc.edu/cgi-bin/hgTracks?position=214900_at","UCSC")</f>
        <v>UCSC</v>
      </c>
      <c r="E14825" s="1" t="str">
        <f>HYPERLINK("http://www.ncbi.nlm.nih.gov/gene/?term=ZKSCAN1","NCBI")</f>
        <v>NCBI</v>
      </c>
      <c r="F14825">
        <v>0.59</v>
      </c>
      <c r="G14825">
        <v>0.68</v>
      </c>
      <c r="H14825" s="1" t="str">
        <f>HYPERLINK("http://www.weizmann.ac.il/complex/compphys/software/geview/data/figures/214900_at.png","Figure")</f>
        <v>Figure</v>
      </c>
      <c r="I14825">
        <v>1.01</v>
      </c>
      <c r="J14825">
        <v>0.99</v>
      </c>
      <c r="K14825">
        <v>0.94099999999999995</v>
      </c>
      <c r="L14825">
        <v>0.7</v>
      </c>
      <c r="M14825">
        <v>0.92900000000000005</v>
      </c>
      <c r="N14825">
        <v>0.64</v>
      </c>
    </row>
    <row r="14826" spans="1:14" x14ac:dyDescent="0.25">
      <c r="A14826" t="s">
        <v>25107</v>
      </c>
      <c r="B14826" t="s">
        <v>25108</v>
      </c>
      <c r="C14826" s="1" t="str">
        <f>HYPERLINK("http://www.genecards.org/cgi-bin/carddisp.pl?gene=LEPREL1","GeneCards")</f>
        <v>GeneCards</v>
      </c>
      <c r="D14826" s="1" t="str">
        <f>HYPERLINK("http://genome-euro.ucsc.edu/cgi-bin/hgTracks?position=218717_s_at","UCSC")</f>
        <v>UCSC</v>
      </c>
      <c r="E14826" s="1" t="str">
        <f>HYPERLINK("http://www.ncbi.nlm.nih.gov/gene/?term=LEPREL1","NCBI")</f>
        <v>NCBI</v>
      </c>
      <c r="F14826">
        <v>0.59</v>
      </c>
      <c r="G14826">
        <v>0.68</v>
      </c>
      <c r="H14826" s="1" t="str">
        <f>HYPERLINK("http://www.weizmann.ac.il/complex/compphys/software/geview/data/figures/218717_s_at.png","Figure")</f>
        <v>Figure</v>
      </c>
      <c r="I14826">
        <v>1.01</v>
      </c>
      <c r="J14826">
        <v>1</v>
      </c>
      <c r="K14826">
        <v>0.94699999999999995</v>
      </c>
      <c r="L14826">
        <v>0.68</v>
      </c>
      <c r="M14826">
        <v>0.94199999999999995</v>
      </c>
      <c r="N14826">
        <v>0.66</v>
      </c>
    </row>
    <row r="14827" spans="1:14" x14ac:dyDescent="0.25">
      <c r="A14827" t="s">
        <v>25109</v>
      </c>
      <c r="B14827" t="s">
        <v>25110</v>
      </c>
      <c r="C14827" s="1" t="str">
        <f>HYPERLINK("http://www.genecards.org/cgi-bin/carddisp.pl?gene=GUCY1B2","GeneCards")</f>
        <v>GeneCards</v>
      </c>
      <c r="D14827" s="1" t="str">
        <f>HYPERLINK("http://genome-euro.ucsc.edu/cgi-bin/hgTracks?position=220506_at","UCSC")</f>
        <v>UCSC</v>
      </c>
      <c r="E14827" s="1" t="str">
        <f>HYPERLINK("http://www.ncbi.nlm.nih.gov/gene/?term=GUCY1B2","NCBI")</f>
        <v>NCBI</v>
      </c>
      <c r="F14827">
        <v>0.59</v>
      </c>
      <c r="G14827">
        <v>0.68</v>
      </c>
      <c r="H14827" s="1" t="str">
        <f>HYPERLINK("http://www.weizmann.ac.il/complex/compphys/software/geview/data/figures/220506_at.png","Figure")</f>
        <v>Figure</v>
      </c>
      <c r="I14827">
        <v>1.01</v>
      </c>
      <c r="J14827">
        <v>0.95</v>
      </c>
      <c r="K14827">
        <v>1.02</v>
      </c>
      <c r="L14827">
        <v>0.57999999999999996</v>
      </c>
      <c r="M14827">
        <v>1.01</v>
      </c>
      <c r="N14827">
        <v>0.81</v>
      </c>
    </row>
    <row r="14828" spans="1:14" x14ac:dyDescent="0.25">
      <c r="A14828" t="s">
        <v>25111</v>
      </c>
      <c r="B14828" t="s">
        <v>12117</v>
      </c>
      <c r="C14828" s="1" t="str">
        <f>HYPERLINK("http://www.genecards.org/cgi-bin/carddisp.pl?gene=ZNF434","GeneCards")</f>
        <v>GeneCards</v>
      </c>
      <c r="D14828" s="1" t="str">
        <f>HYPERLINK("http://genome-euro.ucsc.edu/cgi-bin/hgTracks?position=218937_at","UCSC")</f>
        <v>UCSC</v>
      </c>
      <c r="E14828" s="1" t="str">
        <f>HYPERLINK("http://www.ncbi.nlm.nih.gov/gene/?term=ZNF434","NCBI")</f>
        <v>NCBI</v>
      </c>
      <c r="F14828">
        <v>0.59</v>
      </c>
      <c r="G14828">
        <v>0.68</v>
      </c>
      <c r="H14828" s="1" t="str">
        <f>HYPERLINK("http://www.weizmann.ac.il/complex/compphys/software/geview/data/figures/218937_at.png","Figure")</f>
        <v>Figure</v>
      </c>
      <c r="I14828">
        <v>0.93700000000000006</v>
      </c>
      <c r="J14828">
        <v>0.92</v>
      </c>
      <c r="K14828">
        <v>0.86</v>
      </c>
      <c r="L14828">
        <v>0.56999999999999995</v>
      </c>
      <c r="M14828">
        <v>0.91800000000000004</v>
      </c>
      <c r="N14828">
        <v>0.85</v>
      </c>
    </row>
    <row r="14829" spans="1:14" x14ac:dyDescent="0.25">
      <c r="A14829" t="s">
        <v>25112</v>
      </c>
      <c r="B14829" t="s">
        <v>20915</v>
      </c>
      <c r="C14829" s="1" t="str">
        <f>HYPERLINK("http://www.genecards.org/cgi-bin/carddisp.pl?gene=HLA-DRB4","GeneCards")</f>
        <v>GeneCards</v>
      </c>
      <c r="D14829" s="1" t="str">
        <f>HYPERLINK("http://genome-euro.ucsc.edu/cgi-bin/hgTracks?position=209728_at","UCSC")</f>
        <v>UCSC</v>
      </c>
      <c r="E14829" s="1" t="str">
        <f>HYPERLINK("http://www.ncbi.nlm.nih.gov/gene/?term=HLA-DRB4","NCBI")</f>
        <v>NCBI</v>
      </c>
      <c r="F14829">
        <v>0.59</v>
      </c>
      <c r="G14829">
        <v>0.68</v>
      </c>
      <c r="H14829" s="1" t="str">
        <f>HYPERLINK("http://www.weizmann.ac.il/complex/compphys/software/geview/data/figures/209728_at.png","Figure")</f>
        <v>Figure</v>
      </c>
      <c r="I14829">
        <v>0.39</v>
      </c>
      <c r="J14829">
        <v>0.68</v>
      </c>
      <c r="K14829">
        <v>0.40300000000000002</v>
      </c>
      <c r="L14829">
        <v>0.62</v>
      </c>
      <c r="M14829">
        <v>1.04</v>
      </c>
      <c r="N14829">
        <v>1</v>
      </c>
    </row>
    <row r="14830" spans="1:14" x14ac:dyDescent="0.25">
      <c r="A14830" t="s">
        <v>25113</v>
      </c>
      <c r="B14830" t="s">
        <v>12687</v>
      </c>
      <c r="C14830" s="1" t="str">
        <f>HYPERLINK("http://www.genecards.org/cgi-bin/carddisp.pl?gene=SDHC","GeneCards")</f>
        <v>GeneCards</v>
      </c>
      <c r="D14830" s="1" t="str">
        <f>HYPERLINK("http://genome-euro.ucsc.edu/cgi-bin/hgTracks?position=216591_s_at","UCSC")</f>
        <v>UCSC</v>
      </c>
      <c r="E14830" s="1" t="str">
        <f>HYPERLINK("http://www.ncbi.nlm.nih.gov/gene/?term=SDHC","NCBI")</f>
        <v>NCBI</v>
      </c>
      <c r="F14830">
        <v>0.59</v>
      </c>
      <c r="G14830">
        <v>0.68</v>
      </c>
      <c r="H14830" s="1" t="str">
        <f>HYPERLINK("http://www.weizmann.ac.il/complex/compphys/software/geview/data/figures/216591_s_at.png","Figure")</f>
        <v>Figure</v>
      </c>
      <c r="I14830">
        <v>1.02</v>
      </c>
      <c r="J14830">
        <v>0.92</v>
      </c>
      <c r="K14830">
        <v>1.05</v>
      </c>
      <c r="L14830">
        <v>0.56999999999999995</v>
      </c>
      <c r="M14830">
        <v>1.03</v>
      </c>
      <c r="N14830">
        <v>0.85</v>
      </c>
    </row>
    <row r="14831" spans="1:14" x14ac:dyDescent="0.25">
      <c r="A14831" t="s">
        <v>25114</v>
      </c>
      <c r="B14831" t="s">
        <v>23701</v>
      </c>
      <c r="C14831" s="1" t="str">
        <f>HYPERLINK("http://www.genecards.org/cgi-bin/carddisp.pl?gene=KIAA0495","GeneCards")</f>
        <v>GeneCards</v>
      </c>
      <c r="D14831" s="1" t="str">
        <f>HYPERLINK("http://genome-euro.ucsc.edu/cgi-bin/hgTracks?position=213340_s_at","UCSC")</f>
        <v>UCSC</v>
      </c>
      <c r="E14831" s="1" t="str">
        <f>HYPERLINK("http://www.ncbi.nlm.nih.gov/gene/?term=KIAA0495","NCBI")</f>
        <v>NCBI</v>
      </c>
      <c r="F14831">
        <v>0.59</v>
      </c>
      <c r="G14831">
        <v>0.68</v>
      </c>
      <c r="H14831" s="1" t="str">
        <f>HYPERLINK("http://www.weizmann.ac.il/complex/compphys/software/geview/data/figures/213340_s_at.png","Figure")</f>
        <v>Figure</v>
      </c>
      <c r="I14831">
        <v>0.874</v>
      </c>
      <c r="J14831">
        <v>0.63</v>
      </c>
      <c r="K14831">
        <v>0.89500000000000002</v>
      </c>
      <c r="L14831">
        <v>0.66</v>
      </c>
      <c r="M14831">
        <v>1.02</v>
      </c>
      <c r="N14831">
        <v>0.98</v>
      </c>
    </row>
    <row r="14832" spans="1:14" x14ac:dyDescent="0.25">
      <c r="A14832" t="s">
        <v>25115</v>
      </c>
      <c r="B14832" t="s">
        <v>25116</v>
      </c>
      <c r="C14832" s="1" t="str">
        <f>HYPERLINK("http://www.genecards.org/cgi-bin/carddisp.pl?gene=RNFT1","GeneCards")</f>
        <v>GeneCards</v>
      </c>
      <c r="D14832" s="1" t="str">
        <f>HYPERLINK("http://genome-euro.ucsc.edu/cgi-bin/hgTracks?position=221194_s_at","UCSC")</f>
        <v>UCSC</v>
      </c>
      <c r="E14832" s="1" t="str">
        <f>HYPERLINK("http://www.ncbi.nlm.nih.gov/gene/?term=RNFT1","NCBI")</f>
        <v>NCBI</v>
      </c>
      <c r="F14832">
        <v>0.59</v>
      </c>
      <c r="G14832">
        <v>0.68</v>
      </c>
      <c r="H14832" s="1" t="str">
        <f>HYPERLINK("http://www.weizmann.ac.il/complex/compphys/software/geview/data/figures/221194_s_at.png","Figure")</f>
        <v>Figure</v>
      </c>
      <c r="I14832">
        <v>1.02</v>
      </c>
      <c r="J14832">
        <v>0.97</v>
      </c>
      <c r="K14832">
        <v>0.93899999999999995</v>
      </c>
      <c r="L14832">
        <v>0.73</v>
      </c>
      <c r="M14832">
        <v>0.92100000000000004</v>
      </c>
      <c r="N14832">
        <v>0.62</v>
      </c>
    </row>
    <row r="14833" spans="1:14" x14ac:dyDescent="0.25">
      <c r="A14833" t="s">
        <v>25117</v>
      </c>
      <c r="B14833" t="s">
        <v>17697</v>
      </c>
      <c r="C14833" s="1" t="str">
        <f>HYPERLINK("http://www.genecards.org/cgi-bin/carddisp.pl?gene=LRRFIP1","GeneCards")</f>
        <v>GeneCards</v>
      </c>
      <c r="D14833" s="1" t="str">
        <f>HYPERLINK("http://genome-euro.ucsc.edu/cgi-bin/hgTracks?position=201862_s_at","UCSC")</f>
        <v>UCSC</v>
      </c>
      <c r="E14833" s="1" t="str">
        <f>HYPERLINK("http://www.ncbi.nlm.nih.gov/gene/?term=LRRFIP1","NCBI")</f>
        <v>NCBI</v>
      </c>
      <c r="F14833">
        <v>0.59</v>
      </c>
      <c r="G14833">
        <v>0.68</v>
      </c>
      <c r="H14833" s="1" t="str">
        <f>HYPERLINK("http://www.weizmann.ac.il/complex/compphys/software/geview/data/figures/201862_s_at.png","Figure")</f>
        <v>Figure</v>
      </c>
      <c r="I14833">
        <v>0.752</v>
      </c>
      <c r="J14833">
        <v>0.62</v>
      </c>
      <c r="K14833">
        <v>0.79900000000000004</v>
      </c>
      <c r="L14833">
        <v>0.68</v>
      </c>
      <c r="M14833">
        <v>1.06</v>
      </c>
      <c r="N14833">
        <v>0.98</v>
      </c>
    </row>
    <row r="14834" spans="1:14" x14ac:dyDescent="0.25">
      <c r="A14834" t="s">
        <v>25118</v>
      </c>
      <c r="B14834" t="s">
        <v>25119</v>
      </c>
      <c r="C14834" s="1" t="str">
        <f>HYPERLINK("http://www.genecards.org/cgi-bin/carddisp.pl?gene=SHROOM2","GeneCards")</f>
        <v>GeneCards</v>
      </c>
      <c r="D14834" s="1" t="str">
        <f>HYPERLINK("http://genome-euro.ucsc.edu/cgi-bin/hgTracks?position=204967_at","UCSC")</f>
        <v>UCSC</v>
      </c>
      <c r="E14834" s="1" t="str">
        <f>HYPERLINK("http://www.ncbi.nlm.nih.gov/gene/?term=SHROOM2","NCBI")</f>
        <v>NCBI</v>
      </c>
      <c r="F14834">
        <v>0.59</v>
      </c>
      <c r="G14834">
        <v>0.68</v>
      </c>
      <c r="H14834" s="1" t="str">
        <f>HYPERLINK("http://www.weizmann.ac.il/complex/compphys/software/geview/data/figures/204967_at.png","Figure")</f>
        <v>Figure</v>
      </c>
      <c r="I14834">
        <v>0.97499999999999998</v>
      </c>
      <c r="J14834">
        <v>0.94</v>
      </c>
      <c r="K14834">
        <v>0.93500000000000005</v>
      </c>
      <c r="L14834">
        <v>0.57999999999999996</v>
      </c>
      <c r="M14834">
        <v>0.95899999999999996</v>
      </c>
      <c r="N14834">
        <v>0.83</v>
      </c>
    </row>
    <row r="14835" spans="1:14" x14ac:dyDescent="0.25">
      <c r="A14835" t="s">
        <v>25120</v>
      </c>
      <c r="B14835" t="s">
        <v>24596</v>
      </c>
      <c r="C14835" s="1" t="str">
        <f>HYPERLINK("http://www.genecards.org/cgi-bin/carddisp.pl?gene=BRWD1","GeneCards")</f>
        <v>GeneCards</v>
      </c>
      <c r="D14835" s="1" t="str">
        <f>HYPERLINK("http://genome-euro.ucsc.edu/cgi-bin/hgTracks?position=214820_at","UCSC")</f>
        <v>UCSC</v>
      </c>
      <c r="E14835" s="1" t="str">
        <f>HYPERLINK("http://www.ncbi.nlm.nih.gov/gene/?term=BRWD1","NCBI")</f>
        <v>NCBI</v>
      </c>
      <c r="F14835">
        <v>0.59</v>
      </c>
      <c r="G14835">
        <v>0.68</v>
      </c>
      <c r="H14835" s="1" t="str">
        <f>HYPERLINK("http://www.weizmann.ac.il/complex/compphys/software/geview/data/figures/214820_at.png","Figure")</f>
        <v>Figure</v>
      </c>
      <c r="I14835">
        <v>1</v>
      </c>
      <c r="J14835">
        <v>1</v>
      </c>
      <c r="K14835">
        <v>0.97699999999999998</v>
      </c>
      <c r="L14835">
        <v>0.68</v>
      </c>
      <c r="M14835">
        <v>0.97499999999999998</v>
      </c>
      <c r="N14835">
        <v>0.66</v>
      </c>
    </row>
    <row r="14836" spans="1:14" x14ac:dyDescent="0.25">
      <c r="A14836" t="s">
        <v>25121</v>
      </c>
      <c r="B14836" t="s">
        <v>16728</v>
      </c>
      <c r="C14836" s="1" t="str">
        <f>HYPERLINK("http://www.genecards.org/cgi-bin/carddisp.pl?gene=STK11","GeneCards")</f>
        <v>GeneCards</v>
      </c>
      <c r="D14836" s="1" t="str">
        <f>HYPERLINK("http://genome-euro.ucsc.edu/cgi-bin/hgTracks?position=204292_x_at","UCSC")</f>
        <v>UCSC</v>
      </c>
      <c r="E14836" s="1" t="str">
        <f>HYPERLINK("http://www.ncbi.nlm.nih.gov/gene/?term=STK11","NCBI")</f>
        <v>NCBI</v>
      </c>
      <c r="F14836">
        <v>0.59</v>
      </c>
      <c r="G14836">
        <v>0.68</v>
      </c>
      <c r="H14836" s="1" t="str">
        <f>HYPERLINK("http://www.weizmann.ac.il/complex/compphys/software/geview/data/figures/204292_x_at.png","Figure")</f>
        <v>Figure</v>
      </c>
      <c r="I14836">
        <v>1.1299999999999999</v>
      </c>
      <c r="J14836">
        <v>0.6</v>
      </c>
      <c r="K14836">
        <v>1.02</v>
      </c>
      <c r="L14836">
        <v>0.97</v>
      </c>
      <c r="M14836">
        <v>0.90700000000000003</v>
      </c>
      <c r="N14836">
        <v>0.68</v>
      </c>
    </row>
    <row r="14837" spans="1:14" x14ac:dyDescent="0.25">
      <c r="A14837" t="s">
        <v>25122</v>
      </c>
      <c r="B14837" t="s">
        <v>25123</v>
      </c>
      <c r="C14837" s="1" t="str">
        <f>HYPERLINK("http://www.genecards.org/cgi-bin/carddisp.pl?gene=SNX15","GeneCards")</f>
        <v>GeneCards</v>
      </c>
      <c r="D14837" s="1" t="str">
        <f>HYPERLINK("http://genome-euro.ucsc.edu/cgi-bin/hgTracks?position=205482_x_at","UCSC")</f>
        <v>UCSC</v>
      </c>
      <c r="E14837" s="1" t="str">
        <f>HYPERLINK("http://www.ncbi.nlm.nih.gov/gene/?term=SNX15","NCBI")</f>
        <v>NCBI</v>
      </c>
      <c r="F14837">
        <v>0.59</v>
      </c>
      <c r="G14837">
        <v>0.68</v>
      </c>
      <c r="H14837" s="1" t="str">
        <f>HYPERLINK("http://www.weizmann.ac.il/complex/compphys/software/geview/data/figures/205482_x_at.png","Figure")</f>
        <v>Figure</v>
      </c>
      <c r="I14837">
        <v>1.0900000000000001</v>
      </c>
      <c r="J14837">
        <v>0.57999999999999996</v>
      </c>
      <c r="K14837">
        <v>1.05</v>
      </c>
      <c r="L14837">
        <v>0.78</v>
      </c>
      <c r="M14837">
        <v>0.96499999999999997</v>
      </c>
      <c r="N14837">
        <v>0.89</v>
      </c>
    </row>
    <row r="14838" spans="1:14" x14ac:dyDescent="0.25">
      <c r="A14838" t="s">
        <v>25124</v>
      </c>
      <c r="B14838" t="s">
        <v>25125</v>
      </c>
      <c r="C14838" s="1" t="str">
        <f>HYPERLINK("http://www.genecards.org/cgi-bin/carddisp.pl?gene=NPY2R","GeneCards")</f>
        <v>GeneCards</v>
      </c>
      <c r="D14838" s="1" t="str">
        <f>HYPERLINK("http://genome-euro.ucsc.edu/cgi-bin/hgTracks?position=208379_x_at","UCSC")</f>
        <v>UCSC</v>
      </c>
      <c r="E14838" s="1" t="str">
        <f>HYPERLINK("http://www.ncbi.nlm.nih.gov/gene/?term=NPY2R","NCBI")</f>
        <v>NCBI</v>
      </c>
      <c r="F14838">
        <v>0.59</v>
      </c>
      <c r="G14838">
        <v>0.68</v>
      </c>
      <c r="H14838" s="1" t="str">
        <f>HYPERLINK("http://www.weizmann.ac.il/complex/compphys/software/geview/data/figures/208379_x_at.png","Figure")</f>
        <v>Figure</v>
      </c>
      <c r="I14838">
        <v>0.98399999999999999</v>
      </c>
      <c r="J14838">
        <v>0.97</v>
      </c>
      <c r="K14838">
        <v>0.94399999999999995</v>
      </c>
      <c r="L14838">
        <v>0.59</v>
      </c>
      <c r="M14838">
        <v>0.96</v>
      </c>
      <c r="N14838">
        <v>0.79</v>
      </c>
    </row>
    <row r="14839" spans="1:14" x14ac:dyDescent="0.25">
      <c r="A14839" t="s">
        <v>25126</v>
      </c>
      <c r="B14839" t="s">
        <v>2094</v>
      </c>
      <c r="C14839" s="1" t="str">
        <f>HYPERLINK("http://www.genecards.org/cgi-bin/carddisp.pl?gene=UBAP2L","GeneCards")</f>
        <v>GeneCards</v>
      </c>
      <c r="D14839" s="1" t="str">
        <f>HYPERLINK("http://genome-euro.ucsc.edu/cgi-bin/hgTracks?position=209947_at","UCSC")</f>
        <v>UCSC</v>
      </c>
      <c r="E14839" s="1" t="str">
        <f>HYPERLINK("http://www.ncbi.nlm.nih.gov/gene/?term=UBAP2L","NCBI")</f>
        <v>NCBI</v>
      </c>
      <c r="F14839">
        <v>0.59</v>
      </c>
      <c r="G14839">
        <v>0.68</v>
      </c>
      <c r="H14839" s="1" t="str">
        <f>HYPERLINK("http://www.weizmann.ac.il/complex/compphys/software/geview/data/figures/209947_at.png","Figure")</f>
        <v>Figure</v>
      </c>
      <c r="I14839">
        <v>1.02</v>
      </c>
      <c r="J14839">
        <v>0.98</v>
      </c>
      <c r="K14839">
        <v>1.08</v>
      </c>
      <c r="L14839">
        <v>0.6</v>
      </c>
      <c r="M14839">
        <v>1.06</v>
      </c>
      <c r="N14839">
        <v>0.77</v>
      </c>
    </row>
    <row r="14840" spans="1:14" x14ac:dyDescent="0.25">
      <c r="A14840" t="s">
        <v>25127</v>
      </c>
      <c r="B14840" t="s">
        <v>3349</v>
      </c>
      <c r="C14840" s="1" t="str">
        <f>HYPERLINK("http://www.genecards.org/cgi-bin/carddisp.pl?gene=EEF1D","GeneCards")</f>
        <v>GeneCards</v>
      </c>
      <c r="D14840" s="1" t="str">
        <f>HYPERLINK("http://genome-euro.ucsc.edu/cgi-bin/hgTracks?position=213087_s_at","UCSC")</f>
        <v>UCSC</v>
      </c>
      <c r="E14840" s="1" t="str">
        <f>HYPERLINK("http://www.ncbi.nlm.nih.gov/gene/?term=EEF1D","NCBI")</f>
        <v>NCBI</v>
      </c>
      <c r="F14840">
        <v>0.59</v>
      </c>
      <c r="G14840">
        <v>0.68</v>
      </c>
      <c r="H14840" s="1" t="str">
        <f>HYPERLINK("http://www.weizmann.ac.il/complex/compphys/software/geview/data/figures/213087_s_at.png","Figure")</f>
        <v>Figure</v>
      </c>
      <c r="I14840">
        <v>1.08</v>
      </c>
      <c r="J14840">
        <v>0.56999999999999995</v>
      </c>
      <c r="K14840">
        <v>1.03</v>
      </c>
      <c r="L14840">
        <v>0.87</v>
      </c>
      <c r="M14840">
        <v>0.95399999999999996</v>
      </c>
      <c r="N14840">
        <v>0.8</v>
      </c>
    </row>
    <row r="14841" spans="1:14" x14ac:dyDescent="0.25">
      <c r="A14841" t="s">
        <v>25128</v>
      </c>
      <c r="B14841" t="s">
        <v>25030</v>
      </c>
      <c r="C14841" s="1" t="str">
        <f>HYPERLINK("http://www.genecards.org/cgi-bin/carddisp.pl?gene=GNG7","GeneCards")</f>
        <v>GeneCards</v>
      </c>
      <c r="D14841" s="1" t="str">
        <f>HYPERLINK("http://genome-euro.ucsc.edu/cgi-bin/hgTracks?position=206896_s_at","UCSC")</f>
        <v>UCSC</v>
      </c>
      <c r="E14841" s="1" t="str">
        <f>HYPERLINK("http://www.ncbi.nlm.nih.gov/gene/?term=GNG7","NCBI")</f>
        <v>NCBI</v>
      </c>
      <c r="F14841">
        <v>0.59</v>
      </c>
      <c r="G14841">
        <v>0.68</v>
      </c>
      <c r="H14841" s="1" t="str">
        <f>HYPERLINK("http://www.weizmann.ac.il/complex/compphys/software/geview/data/figures/206896_s_at.png","Figure")</f>
        <v>Figure</v>
      </c>
      <c r="I14841">
        <v>0.81499999999999995</v>
      </c>
      <c r="J14841">
        <v>0.59</v>
      </c>
      <c r="K14841">
        <v>0.878</v>
      </c>
      <c r="L14841">
        <v>0.75</v>
      </c>
      <c r="M14841">
        <v>1.08</v>
      </c>
      <c r="N14841">
        <v>0.92</v>
      </c>
    </row>
    <row r="14842" spans="1:14" x14ac:dyDescent="0.25">
      <c r="A14842" t="s">
        <v>25129</v>
      </c>
      <c r="B14842" t="s">
        <v>7271</v>
      </c>
      <c r="C14842" s="1" t="str">
        <f>HYPERLINK("http://www.genecards.org/cgi-bin/carddisp.pl?gene=COL13A1","GeneCards")</f>
        <v>GeneCards</v>
      </c>
      <c r="D14842" s="1" t="str">
        <f>HYPERLINK("http://genome-euro.ucsc.edu/cgi-bin/hgTracks?position=211809_x_at","UCSC")</f>
        <v>UCSC</v>
      </c>
      <c r="E14842" s="1" t="str">
        <f>HYPERLINK("http://www.ncbi.nlm.nih.gov/gene/?term=COL13A1","NCBI")</f>
        <v>NCBI</v>
      </c>
      <c r="F14842">
        <v>0.6</v>
      </c>
      <c r="G14842">
        <v>0.68</v>
      </c>
      <c r="H14842" s="1" t="str">
        <f>HYPERLINK("http://www.weizmann.ac.il/complex/compphys/software/geview/data/figures/211809_x_at.png","Figure")</f>
        <v>Figure</v>
      </c>
      <c r="I14842">
        <v>1.04</v>
      </c>
      <c r="J14842">
        <v>0.71</v>
      </c>
      <c r="K14842">
        <v>1.04</v>
      </c>
      <c r="L14842">
        <v>0.6</v>
      </c>
      <c r="M14842">
        <v>1</v>
      </c>
      <c r="N14842">
        <v>1</v>
      </c>
    </row>
    <row r="14843" spans="1:14" x14ac:dyDescent="0.25">
      <c r="A14843" t="s">
        <v>25130</v>
      </c>
      <c r="B14843" t="s">
        <v>23848</v>
      </c>
      <c r="C14843" s="1" t="str">
        <f>HYPERLINK("http://www.genecards.org/cgi-bin/carddisp.pl?gene=CCNG2","GeneCards")</f>
        <v>GeneCards</v>
      </c>
      <c r="D14843" s="1" t="str">
        <f>HYPERLINK("http://genome-euro.ucsc.edu/cgi-bin/hgTracks?position=202770_s_at","UCSC")</f>
        <v>UCSC</v>
      </c>
      <c r="E14843" s="1" t="str">
        <f>HYPERLINK("http://www.ncbi.nlm.nih.gov/gene/?term=CCNG2","NCBI")</f>
        <v>NCBI</v>
      </c>
      <c r="F14843">
        <v>0.6</v>
      </c>
      <c r="G14843">
        <v>0.68</v>
      </c>
      <c r="H14843" s="1" t="str">
        <f>HYPERLINK("http://www.weizmann.ac.il/complex/compphys/software/geview/data/figures/202770_s_at.png","Figure")</f>
        <v>Figure</v>
      </c>
      <c r="I14843">
        <v>0.79200000000000004</v>
      </c>
      <c r="J14843">
        <v>0.56999999999999995</v>
      </c>
      <c r="K14843">
        <v>0.89</v>
      </c>
      <c r="L14843">
        <v>0.82</v>
      </c>
      <c r="M14843">
        <v>1.1200000000000001</v>
      </c>
      <c r="N14843">
        <v>0.85</v>
      </c>
    </row>
    <row r="14844" spans="1:14" x14ac:dyDescent="0.25">
      <c r="A14844" t="s">
        <v>25131</v>
      </c>
      <c r="B14844" t="s">
        <v>25132</v>
      </c>
      <c r="C14844" s="1" t="str">
        <f>HYPERLINK("http://www.genecards.org/cgi-bin/carddisp.pl?gene=S100A12","GeneCards")</f>
        <v>GeneCards</v>
      </c>
      <c r="D14844" s="1" t="str">
        <f>HYPERLINK("http://genome-euro.ucsc.edu/cgi-bin/hgTracks?position=205863_at","UCSC")</f>
        <v>UCSC</v>
      </c>
      <c r="E14844" s="1" t="str">
        <f>HYPERLINK("http://www.ncbi.nlm.nih.gov/gene/?term=S100A12","NCBI")</f>
        <v>NCBI</v>
      </c>
      <c r="F14844">
        <v>0.6</v>
      </c>
      <c r="G14844">
        <v>0.68</v>
      </c>
      <c r="H14844" s="1" t="str">
        <f>HYPERLINK("http://www.weizmann.ac.il/complex/compphys/software/geview/data/figures/205863_at.png","Figure")</f>
        <v>Figure</v>
      </c>
      <c r="I14844">
        <v>1.06</v>
      </c>
      <c r="J14844">
        <v>0.57999999999999996</v>
      </c>
      <c r="K14844">
        <v>1.03</v>
      </c>
      <c r="L14844">
        <v>0.77</v>
      </c>
      <c r="M14844">
        <v>0.97899999999999998</v>
      </c>
      <c r="N14844">
        <v>0.9</v>
      </c>
    </row>
    <row r="14845" spans="1:14" x14ac:dyDescent="0.25">
      <c r="A14845" t="s">
        <v>25133</v>
      </c>
      <c r="B14845" t="s">
        <v>7221</v>
      </c>
      <c r="C14845" s="1" t="str">
        <f>HYPERLINK("http://www.genecards.org/cgi-bin/carddisp.pl?gene=MPHOSPH9","GeneCards")</f>
        <v>GeneCards</v>
      </c>
      <c r="D14845" s="1" t="str">
        <f>HYPERLINK("http://genome-euro.ucsc.edu/cgi-bin/hgTracks?position=206205_at","UCSC")</f>
        <v>UCSC</v>
      </c>
      <c r="E14845" s="1" t="str">
        <f>HYPERLINK("http://www.ncbi.nlm.nih.gov/gene/?term=MPHOSPH9","NCBI")</f>
        <v>NCBI</v>
      </c>
      <c r="F14845">
        <v>0.6</v>
      </c>
      <c r="G14845">
        <v>0.68</v>
      </c>
      <c r="H14845" s="1" t="str">
        <f>HYPERLINK("http://www.weizmann.ac.il/complex/compphys/software/geview/data/figures/206205_at.png","Figure")</f>
        <v>Figure</v>
      </c>
      <c r="I14845">
        <v>0.98199999999999998</v>
      </c>
      <c r="J14845">
        <v>0.95</v>
      </c>
      <c r="K14845">
        <v>0.95</v>
      </c>
      <c r="L14845">
        <v>0.57999999999999996</v>
      </c>
      <c r="M14845">
        <v>0.96699999999999997</v>
      </c>
      <c r="N14845">
        <v>0.81</v>
      </c>
    </row>
    <row r="14846" spans="1:14" x14ac:dyDescent="0.25">
      <c r="A14846" t="s">
        <v>25134</v>
      </c>
      <c r="B14846" t="s">
        <v>23066</v>
      </c>
      <c r="C14846" s="1" t="str">
        <f>HYPERLINK("http://www.genecards.org/cgi-bin/carddisp.pl?gene=ATPAF2","GeneCards")</f>
        <v>GeneCards</v>
      </c>
      <c r="D14846" s="1" t="str">
        <f>HYPERLINK("http://genome-euro.ucsc.edu/cgi-bin/hgTracks?position=214330_at","UCSC")</f>
        <v>UCSC</v>
      </c>
      <c r="E14846" s="1" t="str">
        <f>HYPERLINK("http://www.ncbi.nlm.nih.gov/gene/?term=ATPAF2","NCBI")</f>
        <v>NCBI</v>
      </c>
      <c r="F14846">
        <v>0.6</v>
      </c>
      <c r="G14846">
        <v>0.68</v>
      </c>
      <c r="H14846" s="1" t="str">
        <f>HYPERLINK("http://www.weizmann.ac.il/complex/compphys/software/geview/data/figures/214330_at.png","Figure")</f>
        <v>Figure</v>
      </c>
      <c r="I14846">
        <v>1.0900000000000001</v>
      </c>
      <c r="J14846">
        <v>0.7</v>
      </c>
      <c r="K14846">
        <v>0.98699999999999999</v>
      </c>
      <c r="L14846">
        <v>0.99</v>
      </c>
      <c r="M14846">
        <v>0.90700000000000003</v>
      </c>
      <c r="N14846">
        <v>0.59</v>
      </c>
    </row>
    <row r="14847" spans="1:14" x14ac:dyDescent="0.25">
      <c r="A14847" t="s">
        <v>25135</v>
      </c>
      <c r="B14847" t="s">
        <v>25136</v>
      </c>
      <c r="C14847" s="1" t="str">
        <f>HYPERLINK("http://www.genecards.org/cgi-bin/carddisp.pl?gene=LOC100290629 /// LOC390561","GeneCards")</f>
        <v>GeneCards</v>
      </c>
      <c r="D14847" s="1" t="str">
        <f>HYPERLINK("http://genome-euro.ucsc.edu/cgi-bin/hgTracks?position=216830_at","UCSC")</f>
        <v>UCSC</v>
      </c>
      <c r="E14847" s="1" t="str">
        <f>HYPERLINK("http://www.ncbi.nlm.nih.gov/gene/?term=LOC100290629 /// LOC390561","NCBI")</f>
        <v>NCBI</v>
      </c>
      <c r="F14847">
        <v>0.6</v>
      </c>
      <c r="G14847">
        <v>0.68</v>
      </c>
      <c r="H14847" s="1" t="str">
        <f>HYPERLINK("http://www.weizmann.ac.il/complex/compphys/software/geview/data/figures/216830_at.png","Figure")</f>
        <v>Figure</v>
      </c>
      <c r="I14847">
        <v>1.0900000000000001</v>
      </c>
      <c r="J14847">
        <v>0.62</v>
      </c>
      <c r="K14847">
        <v>1.07</v>
      </c>
      <c r="L14847">
        <v>0.69</v>
      </c>
      <c r="M14847">
        <v>0.98</v>
      </c>
      <c r="N14847">
        <v>0.97</v>
      </c>
    </row>
    <row r="14848" spans="1:14" x14ac:dyDescent="0.25">
      <c r="A14848" t="s">
        <v>25137</v>
      </c>
      <c r="B14848" t="s">
        <v>15067</v>
      </c>
      <c r="C14848" s="1" t="str">
        <f>HYPERLINK("http://www.genecards.org/cgi-bin/carddisp.pl?gene=RPL28","GeneCards")</f>
        <v>GeneCards</v>
      </c>
      <c r="D14848" s="1" t="str">
        <f>HYPERLINK("http://genome-euro.ucsc.edu/cgi-bin/hgTracks?position=200003_s_at","UCSC")</f>
        <v>UCSC</v>
      </c>
      <c r="E14848" s="1" t="str">
        <f>HYPERLINK("http://www.ncbi.nlm.nih.gov/gene/?term=RPL28","NCBI")</f>
        <v>NCBI</v>
      </c>
      <c r="F14848">
        <v>0.6</v>
      </c>
      <c r="G14848">
        <v>0.68</v>
      </c>
      <c r="H14848" s="1" t="str">
        <f>HYPERLINK("http://www.weizmann.ac.il/complex/compphys/software/geview/data/figures/200003_s_at.png","Figure")</f>
        <v>Figure</v>
      </c>
      <c r="I14848">
        <v>0.85</v>
      </c>
      <c r="J14848">
        <v>0.73</v>
      </c>
      <c r="K14848">
        <v>1.04</v>
      </c>
      <c r="L14848">
        <v>0.97</v>
      </c>
      <c r="M14848">
        <v>1.23</v>
      </c>
      <c r="N14848">
        <v>0.57999999999999996</v>
      </c>
    </row>
    <row r="14849" spans="1:14" x14ac:dyDescent="0.25">
      <c r="A14849" t="s">
        <v>25138</v>
      </c>
      <c r="B14849" t="s">
        <v>15113</v>
      </c>
      <c r="C14849" s="1" t="str">
        <f>HYPERLINK("http://www.genecards.org/cgi-bin/carddisp.pl?gene=CD55","GeneCards")</f>
        <v>GeneCards</v>
      </c>
      <c r="D14849" s="1" t="str">
        <f>HYPERLINK("http://genome-euro.ucsc.edu/cgi-bin/hgTracks?position=201926_s_at","UCSC")</f>
        <v>UCSC</v>
      </c>
      <c r="E14849" s="1" t="str">
        <f>HYPERLINK("http://www.ncbi.nlm.nih.gov/gene/?term=CD55","NCBI")</f>
        <v>NCBI</v>
      </c>
      <c r="F14849">
        <v>0.6</v>
      </c>
      <c r="G14849">
        <v>0.68</v>
      </c>
      <c r="H14849" s="1" t="str">
        <f>HYPERLINK("http://www.weizmann.ac.il/complex/compphys/software/geview/data/figures/201926_s_at.png","Figure")</f>
        <v>Figure</v>
      </c>
      <c r="I14849">
        <v>0.83899999999999997</v>
      </c>
      <c r="J14849">
        <v>0.92</v>
      </c>
      <c r="K14849">
        <v>0.67700000000000005</v>
      </c>
      <c r="L14849">
        <v>0.56999999999999995</v>
      </c>
      <c r="M14849">
        <v>0.80600000000000005</v>
      </c>
      <c r="N14849">
        <v>0.86</v>
      </c>
    </row>
    <row r="14850" spans="1:14" x14ac:dyDescent="0.25">
      <c r="A14850" t="s">
        <v>25139</v>
      </c>
      <c r="B14850" t="s">
        <v>18137</v>
      </c>
      <c r="C14850" s="1" t="str">
        <f>HYPERLINK("http://www.genecards.org/cgi-bin/carddisp.pl?gene=CASP10","GeneCards")</f>
        <v>GeneCards</v>
      </c>
      <c r="D14850" s="1" t="str">
        <f>HYPERLINK("http://genome-euro.ucsc.edu/cgi-bin/hgTracks?position=205467_at","UCSC")</f>
        <v>UCSC</v>
      </c>
      <c r="E14850" s="1" t="str">
        <f>HYPERLINK("http://www.ncbi.nlm.nih.gov/gene/?term=CASP10","NCBI")</f>
        <v>NCBI</v>
      </c>
      <c r="F14850">
        <v>0.6</v>
      </c>
      <c r="G14850">
        <v>0.68</v>
      </c>
      <c r="H14850" s="1" t="str">
        <f>HYPERLINK("http://www.weizmann.ac.il/complex/compphys/software/geview/data/figures/205467_at.png","Figure")</f>
        <v>Figure</v>
      </c>
      <c r="I14850">
        <v>1.05</v>
      </c>
      <c r="J14850">
        <v>0.72</v>
      </c>
      <c r="K14850">
        <v>0.99</v>
      </c>
      <c r="L14850">
        <v>0.98</v>
      </c>
      <c r="M14850">
        <v>0.94299999999999995</v>
      </c>
      <c r="N14850">
        <v>0.57999999999999996</v>
      </c>
    </row>
    <row r="14851" spans="1:14" x14ac:dyDescent="0.25">
      <c r="A14851" t="s">
        <v>25140</v>
      </c>
      <c r="B14851" t="s">
        <v>7260</v>
      </c>
      <c r="C14851" s="1" t="str">
        <f>HYPERLINK("http://www.genecards.org/cgi-bin/carddisp.pl?gene=TTLL3","GeneCards")</f>
        <v>GeneCards</v>
      </c>
      <c r="D14851" s="1" t="str">
        <f>HYPERLINK("http://genome-euro.ucsc.edu/cgi-bin/hgTracks?position=210129_s_at","UCSC")</f>
        <v>UCSC</v>
      </c>
      <c r="E14851" s="1" t="str">
        <f>HYPERLINK("http://www.ncbi.nlm.nih.gov/gene/?term=TTLL3","NCBI")</f>
        <v>NCBI</v>
      </c>
      <c r="F14851">
        <v>0.6</v>
      </c>
      <c r="G14851">
        <v>0.68</v>
      </c>
      <c r="H14851" s="1" t="str">
        <f>HYPERLINK("http://www.weizmann.ac.il/complex/compphys/software/geview/data/figures/210129_s_at.png","Figure")</f>
        <v>Figure</v>
      </c>
      <c r="I14851">
        <v>0.91200000000000003</v>
      </c>
      <c r="J14851">
        <v>0.56999999999999995</v>
      </c>
      <c r="K14851">
        <v>0.96699999999999997</v>
      </c>
      <c r="L14851">
        <v>0.91</v>
      </c>
      <c r="M14851">
        <v>1.06</v>
      </c>
      <c r="N14851">
        <v>0.76</v>
      </c>
    </row>
    <row r="14852" spans="1:14" x14ac:dyDescent="0.25">
      <c r="A14852" t="s">
        <v>25141</v>
      </c>
      <c r="B14852" t="s">
        <v>10567</v>
      </c>
      <c r="C14852" s="1" t="str">
        <f>HYPERLINK("http://www.genecards.org/cgi-bin/carddisp.pl?gene=RIMS3","GeneCards")</f>
        <v>GeneCards</v>
      </c>
      <c r="D14852" s="1" t="str">
        <f>HYPERLINK("http://genome-euro.ucsc.edu/cgi-bin/hgTracks?position=210991_s_at","UCSC")</f>
        <v>UCSC</v>
      </c>
      <c r="E14852" s="1" t="str">
        <f>HYPERLINK("http://www.ncbi.nlm.nih.gov/gene/?term=RIMS3","NCBI")</f>
        <v>NCBI</v>
      </c>
      <c r="F14852">
        <v>0.6</v>
      </c>
      <c r="G14852">
        <v>0.68</v>
      </c>
      <c r="H14852" s="1" t="str">
        <f>HYPERLINK("http://www.weizmann.ac.il/complex/compphys/software/geview/data/figures/210991_s_at.png","Figure")</f>
        <v>Figure</v>
      </c>
      <c r="I14852">
        <v>1.08</v>
      </c>
      <c r="J14852">
        <v>0.6</v>
      </c>
      <c r="K14852">
        <v>1.01</v>
      </c>
      <c r="L14852">
        <v>0.98</v>
      </c>
      <c r="M14852">
        <v>0.94</v>
      </c>
      <c r="N14852">
        <v>0.67</v>
      </c>
    </row>
    <row r="14853" spans="1:14" x14ac:dyDescent="0.25">
      <c r="A14853" t="s">
        <v>25142</v>
      </c>
      <c r="B14853" t="s">
        <v>12799</v>
      </c>
      <c r="C14853" s="1" t="str">
        <f>HYPERLINK("http://www.genecards.org/cgi-bin/carddisp.pl?gene=NFYC","GeneCards")</f>
        <v>GeneCards</v>
      </c>
      <c r="D14853" s="1" t="str">
        <f>HYPERLINK("http://genome-euro.ucsc.edu/cgi-bin/hgTracks?position=211251_x_at","UCSC")</f>
        <v>UCSC</v>
      </c>
      <c r="E14853" s="1" t="str">
        <f>HYPERLINK("http://www.ncbi.nlm.nih.gov/gene/?term=NFYC","NCBI")</f>
        <v>NCBI</v>
      </c>
      <c r="F14853">
        <v>0.6</v>
      </c>
      <c r="G14853">
        <v>0.68</v>
      </c>
      <c r="H14853" s="1" t="str">
        <f>HYPERLINK("http://www.weizmann.ac.il/complex/compphys/software/geview/data/figures/211251_x_at.png","Figure")</f>
        <v>Figure</v>
      </c>
      <c r="I14853">
        <v>0.96899999999999997</v>
      </c>
      <c r="J14853">
        <v>0.89</v>
      </c>
      <c r="K14853">
        <v>1.04</v>
      </c>
      <c r="L14853">
        <v>0.84</v>
      </c>
      <c r="M14853">
        <v>1.07</v>
      </c>
      <c r="N14853">
        <v>0.57999999999999996</v>
      </c>
    </row>
    <row r="14854" spans="1:14" x14ac:dyDescent="0.25">
      <c r="A14854" t="s">
        <v>25143</v>
      </c>
      <c r="B14854" t="s">
        <v>25144</v>
      </c>
      <c r="C14854" s="1" t="str">
        <f>HYPERLINK("http://www.genecards.org/cgi-bin/carddisp.pl?gene=KRT4","GeneCards")</f>
        <v>GeneCards</v>
      </c>
      <c r="D14854" s="1" t="str">
        <f>HYPERLINK("http://genome-euro.ucsc.edu/cgi-bin/hgTracks?position=213240_s_at","UCSC")</f>
        <v>UCSC</v>
      </c>
      <c r="E14854" s="1" t="str">
        <f>HYPERLINK("http://www.ncbi.nlm.nih.gov/gene/?term=KRT4","NCBI")</f>
        <v>NCBI</v>
      </c>
      <c r="F14854">
        <v>0.6</v>
      </c>
      <c r="G14854">
        <v>0.68</v>
      </c>
      <c r="H14854" s="1" t="str">
        <f>HYPERLINK("http://www.weizmann.ac.il/complex/compphys/software/geview/data/figures/213240_s_at.png","Figure")</f>
        <v>Figure</v>
      </c>
      <c r="I14854">
        <v>1.08</v>
      </c>
      <c r="J14854">
        <v>0.74</v>
      </c>
      <c r="K14854">
        <v>0.97699999999999998</v>
      </c>
      <c r="L14854">
        <v>0.97</v>
      </c>
      <c r="M14854">
        <v>0.90100000000000002</v>
      </c>
      <c r="N14854">
        <v>0.57999999999999996</v>
      </c>
    </row>
    <row r="14855" spans="1:14" x14ac:dyDescent="0.25">
      <c r="A14855" t="s">
        <v>25145</v>
      </c>
      <c r="B14855" t="s">
        <v>12782</v>
      </c>
      <c r="C14855" s="1" t="str">
        <f>HYPERLINK("http://www.genecards.org/cgi-bin/carddisp.pl?gene=ESR1","GeneCards")</f>
        <v>GeneCards</v>
      </c>
      <c r="D14855" s="1" t="str">
        <f>HYPERLINK("http://genome-euro.ucsc.edu/cgi-bin/hgTracks?position=217163_at","UCSC")</f>
        <v>UCSC</v>
      </c>
      <c r="E14855" s="1" t="str">
        <f>HYPERLINK("http://www.ncbi.nlm.nih.gov/gene/?term=ESR1","NCBI")</f>
        <v>NCBI</v>
      </c>
      <c r="F14855">
        <v>0.6</v>
      </c>
      <c r="G14855">
        <v>0.68</v>
      </c>
      <c r="H14855" s="1" t="str">
        <f>HYPERLINK("http://www.weizmann.ac.il/complex/compphys/software/geview/data/figures/217163_at.png","Figure")</f>
        <v>Figure</v>
      </c>
      <c r="I14855">
        <v>1.02</v>
      </c>
      <c r="J14855">
        <v>0.67</v>
      </c>
      <c r="K14855">
        <v>1.02</v>
      </c>
      <c r="L14855">
        <v>0.63</v>
      </c>
      <c r="M14855">
        <v>0.999</v>
      </c>
      <c r="N14855">
        <v>1</v>
      </c>
    </row>
    <row r="14856" spans="1:14" x14ac:dyDescent="0.25">
      <c r="A14856" t="s">
        <v>25146</v>
      </c>
      <c r="B14856" t="s">
        <v>25147</v>
      </c>
      <c r="C14856" s="1" t="str">
        <f>HYPERLINK("http://www.genecards.org/cgi-bin/carddisp.pl?gene=RAB13","GeneCards")</f>
        <v>GeneCards</v>
      </c>
      <c r="D14856" s="1" t="str">
        <f>HYPERLINK("http://genome-euro.ucsc.edu/cgi-bin/hgTracks?position=202252_at","UCSC")</f>
        <v>UCSC</v>
      </c>
      <c r="E14856" s="1" t="str">
        <f>HYPERLINK("http://www.ncbi.nlm.nih.gov/gene/?term=RAB13","NCBI")</f>
        <v>NCBI</v>
      </c>
      <c r="F14856">
        <v>0.6</v>
      </c>
      <c r="G14856">
        <v>0.68</v>
      </c>
      <c r="H14856" s="1" t="str">
        <f>HYPERLINK("http://www.weizmann.ac.il/complex/compphys/software/geview/data/figures/202252_at.png","Figure")</f>
        <v>Figure</v>
      </c>
      <c r="I14856">
        <v>0.78</v>
      </c>
      <c r="J14856">
        <v>0.56999999999999995</v>
      </c>
      <c r="K14856">
        <v>0.90400000000000003</v>
      </c>
      <c r="L14856">
        <v>0.88</v>
      </c>
      <c r="M14856">
        <v>1.1599999999999999</v>
      </c>
      <c r="N14856">
        <v>0.79</v>
      </c>
    </row>
    <row r="14857" spans="1:14" x14ac:dyDescent="0.25">
      <c r="A14857" t="s">
        <v>25148</v>
      </c>
      <c r="B14857" t="s">
        <v>17687</v>
      </c>
      <c r="C14857" s="1" t="str">
        <f>HYPERLINK("http://www.genecards.org/cgi-bin/carddisp.pl?gene=WAC","GeneCards")</f>
        <v>GeneCards</v>
      </c>
      <c r="D14857" s="1" t="str">
        <f>HYPERLINK("http://genome-euro.ucsc.edu/cgi-bin/hgTracks?position=217742_s_at","UCSC")</f>
        <v>UCSC</v>
      </c>
      <c r="E14857" s="1" t="str">
        <f>HYPERLINK("http://www.ncbi.nlm.nih.gov/gene/?term=WAC","NCBI")</f>
        <v>NCBI</v>
      </c>
      <c r="F14857">
        <v>0.6</v>
      </c>
      <c r="G14857">
        <v>0.68</v>
      </c>
      <c r="H14857" s="1" t="str">
        <f>HYPERLINK("http://www.weizmann.ac.il/complex/compphys/software/geview/data/figures/217742_s_at.png","Figure")</f>
        <v>Figure</v>
      </c>
      <c r="I14857">
        <v>0.83599999999999997</v>
      </c>
      <c r="J14857">
        <v>0.57999999999999996</v>
      </c>
      <c r="K14857">
        <v>0.90200000000000002</v>
      </c>
      <c r="L14857">
        <v>0.78</v>
      </c>
      <c r="M14857">
        <v>1.08</v>
      </c>
      <c r="N14857">
        <v>0.89</v>
      </c>
    </row>
    <row r="14858" spans="1:14" x14ac:dyDescent="0.25">
      <c r="A14858" t="s">
        <v>25149</v>
      </c>
      <c r="B14858" t="s">
        <v>25150</v>
      </c>
      <c r="C14858" s="1" t="str">
        <f>HYPERLINK("http://www.genecards.org/cgi-bin/carddisp.pl?gene=PFKFB1","GeneCards")</f>
        <v>GeneCards</v>
      </c>
      <c r="D14858" s="1" t="str">
        <f>HYPERLINK("http://genome-euro.ucsc.edu/cgi-bin/hgTracks?position=207537_at","UCSC")</f>
        <v>UCSC</v>
      </c>
      <c r="E14858" s="1" t="str">
        <f>HYPERLINK("http://www.ncbi.nlm.nih.gov/gene/?term=PFKFB1","NCBI")</f>
        <v>NCBI</v>
      </c>
      <c r="F14858">
        <v>0.6</v>
      </c>
      <c r="G14858">
        <v>0.68</v>
      </c>
      <c r="H14858" s="1" t="str">
        <f>HYPERLINK("http://www.weizmann.ac.il/complex/compphys/software/geview/data/figures/207537_at.png","Figure")</f>
        <v>Figure</v>
      </c>
      <c r="I14858">
        <v>1.06</v>
      </c>
      <c r="J14858">
        <v>0.56999999999999995</v>
      </c>
      <c r="K14858">
        <v>1.03</v>
      </c>
      <c r="L14858">
        <v>0.86</v>
      </c>
      <c r="M14858">
        <v>0.96899999999999997</v>
      </c>
      <c r="N14858">
        <v>0.81</v>
      </c>
    </row>
    <row r="14859" spans="1:14" x14ac:dyDescent="0.25">
      <c r="A14859" t="s">
        <v>25151</v>
      </c>
      <c r="B14859" t="s">
        <v>13846</v>
      </c>
      <c r="C14859" s="1" t="str">
        <f>HYPERLINK("http://www.genecards.org/cgi-bin/carddisp.pl?gene=HTRA2","GeneCards")</f>
        <v>GeneCards</v>
      </c>
      <c r="D14859" s="1" t="str">
        <f>HYPERLINK("http://genome-euro.ucsc.edu/cgi-bin/hgTracks?position=211152_s_at","UCSC")</f>
        <v>UCSC</v>
      </c>
      <c r="E14859" s="1" t="str">
        <f>HYPERLINK("http://www.ncbi.nlm.nih.gov/gene/?term=HTRA2","NCBI")</f>
        <v>NCBI</v>
      </c>
      <c r="F14859">
        <v>0.6</v>
      </c>
      <c r="G14859">
        <v>0.68</v>
      </c>
      <c r="H14859" s="1" t="str">
        <f>HYPERLINK("http://www.weizmann.ac.il/complex/compphys/software/geview/data/figures/211152_s_at.png","Figure")</f>
        <v>Figure</v>
      </c>
      <c r="I14859">
        <v>0.95299999999999996</v>
      </c>
      <c r="J14859">
        <v>0.83</v>
      </c>
      <c r="K14859">
        <v>0.92800000000000005</v>
      </c>
      <c r="L14859">
        <v>0.56999999999999995</v>
      </c>
      <c r="M14859">
        <v>0.97399999999999998</v>
      </c>
      <c r="N14859">
        <v>0.94</v>
      </c>
    </row>
    <row r="14860" spans="1:14" x14ac:dyDescent="0.25">
      <c r="A14860" t="s">
        <v>25152</v>
      </c>
      <c r="B14860" t="s">
        <v>25153</v>
      </c>
      <c r="C14860" s="1" t="str">
        <f>HYPERLINK("http://www.genecards.org/cgi-bin/carddisp.pl?gene=FETUB","GeneCards")</f>
        <v>GeneCards</v>
      </c>
      <c r="D14860" s="1" t="str">
        <f>HYPERLINK("http://genome-euro.ucsc.edu/cgi-bin/hgTracks?position=214417_s_at","UCSC")</f>
        <v>UCSC</v>
      </c>
      <c r="E14860" s="1" t="str">
        <f>HYPERLINK("http://www.ncbi.nlm.nih.gov/gene/?term=FETUB","NCBI")</f>
        <v>NCBI</v>
      </c>
      <c r="F14860">
        <v>0.6</v>
      </c>
      <c r="G14860">
        <v>0.68</v>
      </c>
      <c r="H14860" s="1" t="str">
        <f>HYPERLINK("http://www.weizmann.ac.il/complex/compphys/software/geview/data/figures/214417_s_at.png","Figure")</f>
        <v>Figure</v>
      </c>
      <c r="I14860">
        <v>1.02</v>
      </c>
      <c r="J14860">
        <v>0.69</v>
      </c>
      <c r="K14860">
        <v>0.997</v>
      </c>
      <c r="L14860">
        <v>0.99</v>
      </c>
      <c r="M14860">
        <v>0.97599999999999998</v>
      </c>
      <c r="N14860">
        <v>0.59</v>
      </c>
    </row>
    <row r="14861" spans="1:14" x14ac:dyDescent="0.25">
      <c r="A14861" t="s">
        <v>25154</v>
      </c>
      <c r="B14861" t="s">
        <v>20137</v>
      </c>
      <c r="C14861" s="1" t="str">
        <f>HYPERLINK("http://www.genecards.org/cgi-bin/carddisp.pl?gene=RREB1","GeneCards")</f>
        <v>GeneCards</v>
      </c>
      <c r="D14861" s="1" t="str">
        <f>HYPERLINK("http://genome-euro.ucsc.edu/cgi-bin/hgTracks?position=215620_at","UCSC")</f>
        <v>UCSC</v>
      </c>
      <c r="E14861" s="1" t="str">
        <f>HYPERLINK("http://www.ncbi.nlm.nih.gov/gene/?term=RREB1","NCBI")</f>
        <v>NCBI</v>
      </c>
      <c r="F14861">
        <v>0.6</v>
      </c>
      <c r="G14861">
        <v>0.68</v>
      </c>
      <c r="H14861" s="1" t="str">
        <f>HYPERLINK("http://www.weizmann.ac.il/complex/compphys/software/geview/data/figures/215620_at.png","Figure")</f>
        <v>Figure</v>
      </c>
      <c r="I14861">
        <v>0.88400000000000001</v>
      </c>
      <c r="J14861">
        <v>0.57999999999999996</v>
      </c>
      <c r="K14861">
        <v>0.92700000000000005</v>
      </c>
      <c r="L14861">
        <v>0.76</v>
      </c>
      <c r="M14861">
        <v>1.05</v>
      </c>
      <c r="N14861">
        <v>0.91</v>
      </c>
    </row>
    <row r="14862" spans="1:14" x14ac:dyDescent="0.25">
      <c r="A14862" t="s">
        <v>25155</v>
      </c>
      <c r="B14862" t="s">
        <v>25156</v>
      </c>
      <c r="C14862" s="1" t="str">
        <f>HYPERLINK("http://www.genecards.org/cgi-bin/carddisp.pl?gene=COL4A2","GeneCards")</f>
        <v>GeneCards</v>
      </c>
      <c r="D14862" s="1" t="str">
        <f>HYPERLINK("http://genome-euro.ucsc.edu/cgi-bin/hgTracks?position=211964_at","UCSC")</f>
        <v>UCSC</v>
      </c>
      <c r="E14862" s="1" t="str">
        <f>HYPERLINK("http://www.ncbi.nlm.nih.gov/gene/?term=COL4A2","NCBI")</f>
        <v>NCBI</v>
      </c>
      <c r="F14862">
        <v>0.6</v>
      </c>
      <c r="G14862">
        <v>0.68</v>
      </c>
      <c r="H14862" s="1" t="str">
        <f>HYPERLINK("http://www.weizmann.ac.il/complex/compphys/software/geview/data/figures/211964_at.png","Figure")</f>
        <v>Figure</v>
      </c>
      <c r="I14862">
        <v>1.03</v>
      </c>
      <c r="J14862">
        <v>0.56999999999999995</v>
      </c>
      <c r="K14862">
        <v>1.01</v>
      </c>
      <c r="L14862">
        <v>0.9</v>
      </c>
      <c r="M14862">
        <v>0.98399999999999999</v>
      </c>
      <c r="N14862">
        <v>0.77</v>
      </c>
    </row>
    <row r="14863" spans="1:14" x14ac:dyDescent="0.25">
      <c r="A14863" t="s">
        <v>25157</v>
      </c>
      <c r="B14863" t="s">
        <v>25158</v>
      </c>
      <c r="C14863" s="1" t="str">
        <f>HYPERLINK("http://www.genecards.org/cgi-bin/carddisp.pl?gene=TLX2","GeneCards")</f>
        <v>GeneCards</v>
      </c>
      <c r="D14863" s="1" t="str">
        <f>HYPERLINK("http://genome-euro.ucsc.edu/cgi-bin/hgTracks?position=211049_at","UCSC")</f>
        <v>UCSC</v>
      </c>
      <c r="E14863" s="1" t="str">
        <f>HYPERLINK("http://www.ncbi.nlm.nih.gov/gene/?term=TLX2","NCBI")</f>
        <v>NCBI</v>
      </c>
      <c r="F14863">
        <v>0.6</v>
      </c>
      <c r="G14863">
        <v>0.68</v>
      </c>
      <c r="H14863" s="1" t="str">
        <f>HYPERLINK("http://www.weizmann.ac.il/complex/compphys/software/geview/data/figures/211049_at.png","Figure")</f>
        <v>Figure</v>
      </c>
      <c r="I14863">
        <v>1.01</v>
      </c>
      <c r="J14863">
        <v>0.57999999999999996</v>
      </c>
      <c r="K14863">
        <v>1</v>
      </c>
      <c r="L14863">
        <v>0.79</v>
      </c>
      <c r="M14863">
        <v>0.997</v>
      </c>
      <c r="N14863">
        <v>0.89</v>
      </c>
    </row>
    <row r="14864" spans="1:14" x14ac:dyDescent="0.25">
      <c r="A14864" t="s">
        <v>25159</v>
      </c>
      <c r="B14864" t="s">
        <v>25160</v>
      </c>
      <c r="C14864" s="1" t="str">
        <f>HYPERLINK("http://www.genecards.org/cgi-bin/carddisp.pl?gene=TP73","GeneCards")</f>
        <v>GeneCards</v>
      </c>
      <c r="D14864" s="1" t="str">
        <f>HYPERLINK("http://genome-euro.ucsc.edu/cgi-bin/hgTracks?position=220804_s_at","UCSC")</f>
        <v>UCSC</v>
      </c>
      <c r="E14864" s="1" t="str">
        <f>HYPERLINK("http://www.ncbi.nlm.nih.gov/gene/?term=TP73","NCBI")</f>
        <v>NCBI</v>
      </c>
      <c r="F14864">
        <v>0.6</v>
      </c>
      <c r="G14864">
        <v>0.68</v>
      </c>
      <c r="H14864" s="1" t="str">
        <f>HYPERLINK("http://www.weizmann.ac.il/complex/compphys/software/geview/data/figures/220804_s_at.png","Figure")</f>
        <v>Figure</v>
      </c>
      <c r="I14864">
        <v>1.01</v>
      </c>
      <c r="J14864">
        <v>0.57999999999999996</v>
      </c>
      <c r="K14864">
        <v>1.01</v>
      </c>
      <c r="L14864">
        <v>0.79</v>
      </c>
      <c r="M14864">
        <v>0.99399999999999999</v>
      </c>
      <c r="N14864">
        <v>0.89</v>
      </c>
    </row>
    <row r="14865" spans="1:14" x14ac:dyDescent="0.25">
      <c r="A14865" t="s">
        <v>25161</v>
      </c>
      <c r="B14865" t="s">
        <v>25162</v>
      </c>
      <c r="C14865" s="1" t="str">
        <f>HYPERLINK("http://www.genecards.org/cgi-bin/carddisp.pl?gene=CD207","GeneCards")</f>
        <v>GeneCards</v>
      </c>
      <c r="D14865" s="1" t="str">
        <f>HYPERLINK("http://genome-euro.ucsc.edu/cgi-bin/hgTracks?position=220428_at","UCSC")</f>
        <v>UCSC</v>
      </c>
      <c r="E14865" s="1" t="str">
        <f>HYPERLINK("http://www.ncbi.nlm.nih.gov/gene/?term=CD207","NCBI")</f>
        <v>NCBI</v>
      </c>
      <c r="F14865">
        <v>0.6</v>
      </c>
      <c r="G14865">
        <v>0.68</v>
      </c>
      <c r="H14865" s="1" t="str">
        <f>HYPERLINK("http://www.weizmann.ac.il/complex/compphys/software/geview/data/figures/220428_at.png","Figure")</f>
        <v>Figure</v>
      </c>
      <c r="I14865">
        <v>0.95299999999999996</v>
      </c>
      <c r="J14865">
        <v>0.59</v>
      </c>
      <c r="K14865">
        <v>0.96899999999999997</v>
      </c>
      <c r="L14865">
        <v>0.74</v>
      </c>
      <c r="M14865">
        <v>1.02</v>
      </c>
      <c r="N14865">
        <v>0.92</v>
      </c>
    </row>
    <row r="14866" spans="1:14" x14ac:dyDescent="0.25">
      <c r="A14866" t="s">
        <v>25163</v>
      </c>
      <c r="B14866" t="s">
        <v>9673</v>
      </c>
      <c r="C14866" s="1" t="str">
        <f>HYPERLINK("http://www.genecards.org/cgi-bin/carddisp.pl?gene=CPSF6","GeneCards")</f>
        <v>GeneCards</v>
      </c>
      <c r="D14866" s="1" t="str">
        <f>HYPERLINK("http://genome-euro.ucsc.edu/cgi-bin/hgTracks?position=202469_s_at","UCSC")</f>
        <v>UCSC</v>
      </c>
      <c r="E14866" s="1" t="str">
        <f>HYPERLINK("http://www.ncbi.nlm.nih.gov/gene/?term=CPSF6","NCBI")</f>
        <v>NCBI</v>
      </c>
      <c r="F14866">
        <v>0.6</v>
      </c>
      <c r="G14866">
        <v>0.68</v>
      </c>
      <c r="H14866" s="1" t="str">
        <f>HYPERLINK("http://www.weizmann.ac.il/complex/compphys/software/geview/data/figures/202469_s_at.png","Figure")</f>
        <v>Figure</v>
      </c>
      <c r="I14866">
        <v>1.07</v>
      </c>
      <c r="J14866">
        <v>0.92</v>
      </c>
      <c r="K14866">
        <v>0.90400000000000003</v>
      </c>
      <c r="L14866">
        <v>0.81</v>
      </c>
      <c r="M14866">
        <v>0.84099999999999997</v>
      </c>
      <c r="N14866">
        <v>0.59</v>
      </c>
    </row>
    <row r="14867" spans="1:14" x14ac:dyDescent="0.25">
      <c r="A14867" t="s">
        <v>25164</v>
      </c>
      <c r="B14867" t="s">
        <v>25165</v>
      </c>
      <c r="C14867" s="1" t="str">
        <f>HYPERLINK("http://www.genecards.org/cgi-bin/carddisp.pl?gene=CRELD1","GeneCards")</f>
        <v>GeneCards</v>
      </c>
      <c r="D14867" s="1" t="str">
        <f>HYPERLINK("http://genome-euro.ucsc.edu/cgi-bin/hgTracks?position=203368_at","UCSC")</f>
        <v>UCSC</v>
      </c>
      <c r="E14867" s="1" t="str">
        <f>HYPERLINK("http://www.ncbi.nlm.nih.gov/gene/?term=CRELD1","NCBI")</f>
        <v>NCBI</v>
      </c>
      <c r="F14867">
        <v>0.6</v>
      </c>
      <c r="G14867">
        <v>0.68</v>
      </c>
      <c r="H14867" s="1" t="str">
        <f>HYPERLINK("http://www.weizmann.ac.il/complex/compphys/software/geview/data/figures/203368_at.png","Figure")</f>
        <v>Figure</v>
      </c>
      <c r="I14867">
        <v>0.98199999999999998</v>
      </c>
      <c r="J14867">
        <v>0.9</v>
      </c>
      <c r="K14867">
        <v>0.96299999999999997</v>
      </c>
      <c r="L14867">
        <v>0.56999999999999995</v>
      </c>
      <c r="M14867">
        <v>0.98</v>
      </c>
      <c r="N14867">
        <v>0.87</v>
      </c>
    </row>
    <row r="14868" spans="1:14" x14ac:dyDescent="0.25">
      <c r="A14868" t="s">
        <v>25166</v>
      </c>
      <c r="B14868" t="s">
        <v>4016</v>
      </c>
      <c r="C14868" s="1" t="str">
        <f>HYPERLINK("http://www.genecards.org/cgi-bin/carddisp.pl?gene=CYLD","GeneCards")</f>
        <v>GeneCards</v>
      </c>
      <c r="D14868" s="1" t="str">
        <f>HYPERLINK("http://genome-euro.ucsc.edu/cgi-bin/hgTracks?position=213295_at","UCSC")</f>
        <v>UCSC</v>
      </c>
      <c r="E14868" s="1" t="str">
        <f>HYPERLINK("http://www.ncbi.nlm.nih.gov/gene/?term=CYLD","NCBI")</f>
        <v>NCBI</v>
      </c>
      <c r="F14868">
        <v>0.6</v>
      </c>
      <c r="G14868">
        <v>0.68</v>
      </c>
      <c r="H14868" s="1" t="str">
        <f>HYPERLINK("http://www.weizmann.ac.il/complex/compphys/software/geview/data/figures/213295_at.png","Figure")</f>
        <v>Figure</v>
      </c>
      <c r="I14868">
        <v>0.84499999999999997</v>
      </c>
      <c r="J14868">
        <v>0.72</v>
      </c>
      <c r="K14868">
        <v>0.83199999999999996</v>
      </c>
      <c r="L14868">
        <v>0.6</v>
      </c>
      <c r="M14868">
        <v>0.98399999999999999</v>
      </c>
      <c r="N14868">
        <v>1</v>
      </c>
    </row>
    <row r="14869" spans="1:14" x14ac:dyDescent="0.25">
      <c r="A14869" t="s">
        <v>25167</v>
      </c>
      <c r="B14869" t="s">
        <v>17361</v>
      </c>
      <c r="C14869" s="1" t="str">
        <f>HYPERLINK("http://www.genecards.org/cgi-bin/carddisp.pl?gene=SSH3","GeneCards")</f>
        <v>GeneCards</v>
      </c>
      <c r="D14869" s="1" t="str">
        <f>HYPERLINK("http://genome-euro.ucsc.edu/cgi-bin/hgTracks?position=51192_at","UCSC")</f>
        <v>UCSC</v>
      </c>
      <c r="E14869" s="1" t="str">
        <f>HYPERLINK("http://www.ncbi.nlm.nih.gov/gene/?term=SSH3","NCBI")</f>
        <v>NCBI</v>
      </c>
      <c r="F14869">
        <v>0.6</v>
      </c>
      <c r="G14869">
        <v>0.68</v>
      </c>
      <c r="H14869" s="1" t="str">
        <f>HYPERLINK("http://www.weizmann.ac.il/complex/compphys/software/geview/data/figures/51192_at.png","Figure")</f>
        <v>Figure</v>
      </c>
      <c r="I14869">
        <v>1.05</v>
      </c>
      <c r="J14869">
        <v>0.79</v>
      </c>
      <c r="K14869">
        <v>1.06</v>
      </c>
      <c r="L14869">
        <v>0.57999999999999996</v>
      </c>
      <c r="M14869">
        <v>1.02</v>
      </c>
      <c r="N14869">
        <v>0.97</v>
      </c>
    </row>
    <row r="14870" spans="1:14" x14ac:dyDescent="0.25">
      <c r="A14870" t="s">
        <v>25168</v>
      </c>
      <c r="B14870" t="s">
        <v>19891</v>
      </c>
      <c r="C14870" s="1" t="str">
        <f>HYPERLINK("http://www.genecards.org/cgi-bin/carddisp.pl?gene=FNDC3A","GeneCards")</f>
        <v>GeneCards</v>
      </c>
      <c r="D14870" s="1" t="str">
        <f>HYPERLINK("http://genome-euro.ucsc.edu/cgi-bin/hgTracks?position=215910_s_at","UCSC")</f>
        <v>UCSC</v>
      </c>
      <c r="E14870" s="1" t="str">
        <f>HYPERLINK("http://www.ncbi.nlm.nih.gov/gene/?term=FNDC3A","NCBI")</f>
        <v>NCBI</v>
      </c>
      <c r="F14870">
        <v>0.6</v>
      </c>
      <c r="G14870">
        <v>0.68</v>
      </c>
      <c r="H14870" s="1" t="str">
        <f>HYPERLINK("http://www.weizmann.ac.il/complex/compphys/software/geview/data/figures/215910_s_at.png","Figure")</f>
        <v>Figure</v>
      </c>
      <c r="I14870">
        <v>1.04</v>
      </c>
      <c r="J14870">
        <v>0.77</v>
      </c>
      <c r="K14870">
        <v>0.98399999999999999</v>
      </c>
      <c r="L14870">
        <v>0.95</v>
      </c>
      <c r="M14870">
        <v>0.94299999999999995</v>
      </c>
      <c r="N14870">
        <v>0.56999999999999995</v>
      </c>
    </row>
    <row r="14871" spans="1:14" x14ac:dyDescent="0.25">
      <c r="A14871" t="s">
        <v>25169</v>
      </c>
      <c r="B14871" t="s">
        <v>25170</v>
      </c>
      <c r="C14871" s="1" t="str">
        <f>HYPERLINK("http://www.genecards.org/cgi-bin/carddisp.pl?gene=C2orf83","GeneCards")</f>
        <v>GeneCards</v>
      </c>
      <c r="D14871" s="1" t="str">
        <f>HYPERLINK("http://genome-euro.ucsc.edu/cgi-bin/hgTracks?position=208265_at","UCSC")</f>
        <v>UCSC</v>
      </c>
      <c r="E14871" s="1" t="str">
        <f>HYPERLINK("http://www.ncbi.nlm.nih.gov/gene/?term=C2orf83","NCBI")</f>
        <v>NCBI</v>
      </c>
      <c r="F14871">
        <v>0.6</v>
      </c>
      <c r="G14871">
        <v>0.68</v>
      </c>
      <c r="H14871" s="1" t="str">
        <f>HYPERLINK("http://www.weizmann.ac.il/complex/compphys/software/geview/data/figures/208265_at.png","Figure")</f>
        <v>Figure</v>
      </c>
      <c r="I14871">
        <v>1.1000000000000001</v>
      </c>
      <c r="J14871">
        <v>0.56999999999999995</v>
      </c>
      <c r="K14871">
        <v>1.05</v>
      </c>
      <c r="L14871">
        <v>0.82</v>
      </c>
      <c r="M14871">
        <v>0.95399999999999996</v>
      </c>
      <c r="N14871">
        <v>0.85</v>
      </c>
    </row>
    <row r="14872" spans="1:14" x14ac:dyDescent="0.25">
      <c r="A14872" t="s">
        <v>25171</v>
      </c>
      <c r="B14872" t="s">
        <v>12073</v>
      </c>
      <c r="C14872" s="1" t="str">
        <f>HYPERLINK("http://www.genecards.org/cgi-bin/carddisp.pl?gene=UBTF","GeneCards")</f>
        <v>GeneCards</v>
      </c>
      <c r="D14872" s="1" t="str">
        <f>HYPERLINK("http://genome-euro.ucsc.edu/cgi-bin/hgTracks?position=214881_s_at","UCSC")</f>
        <v>UCSC</v>
      </c>
      <c r="E14872" s="1" t="str">
        <f>HYPERLINK("http://www.ncbi.nlm.nih.gov/gene/?term=UBTF","NCBI")</f>
        <v>NCBI</v>
      </c>
      <c r="F14872">
        <v>0.6</v>
      </c>
      <c r="G14872">
        <v>0.68</v>
      </c>
      <c r="H14872" s="1" t="str">
        <f>HYPERLINK("http://www.weizmann.ac.il/complex/compphys/software/geview/data/figures/214881_s_at.png","Figure")</f>
        <v>Figure</v>
      </c>
      <c r="I14872">
        <v>0.90700000000000003</v>
      </c>
      <c r="J14872">
        <v>0.77</v>
      </c>
      <c r="K14872">
        <v>1.04</v>
      </c>
      <c r="L14872">
        <v>0.95</v>
      </c>
      <c r="M14872">
        <v>1.1399999999999999</v>
      </c>
      <c r="N14872">
        <v>0.56999999999999995</v>
      </c>
    </row>
    <row r="14873" spans="1:14" x14ac:dyDescent="0.25">
      <c r="A14873" t="s">
        <v>25172</v>
      </c>
      <c r="B14873" t="s">
        <v>22240</v>
      </c>
      <c r="C14873" s="1" t="str">
        <f>HYPERLINK("http://www.genecards.org/cgi-bin/carddisp.pl?gene=ATP6V0A2","GeneCards")</f>
        <v>GeneCards</v>
      </c>
      <c r="D14873" s="1" t="str">
        <f>HYPERLINK("http://genome-euro.ucsc.edu/cgi-bin/hgTracks?position=217603_at","UCSC")</f>
        <v>UCSC</v>
      </c>
      <c r="E14873" s="1" t="str">
        <f>HYPERLINK("http://www.ncbi.nlm.nih.gov/gene/?term=ATP6V0A2","NCBI")</f>
        <v>NCBI</v>
      </c>
      <c r="F14873">
        <v>0.6</v>
      </c>
      <c r="G14873">
        <v>0.68</v>
      </c>
      <c r="H14873" s="1" t="str">
        <f>HYPERLINK("http://www.weizmann.ac.il/complex/compphys/software/geview/data/figures/217603_at.png","Figure")</f>
        <v>Figure</v>
      </c>
      <c r="I14873">
        <v>1.1200000000000001</v>
      </c>
      <c r="J14873">
        <v>0.73</v>
      </c>
      <c r="K14873">
        <v>0.97399999999999998</v>
      </c>
      <c r="L14873">
        <v>0.98</v>
      </c>
      <c r="M14873">
        <v>0.86799999999999999</v>
      </c>
      <c r="N14873">
        <v>0.57999999999999996</v>
      </c>
    </row>
    <row r="14874" spans="1:14" x14ac:dyDescent="0.25">
      <c r="A14874" t="s">
        <v>25173</v>
      </c>
      <c r="B14874" t="s">
        <v>25174</v>
      </c>
      <c r="C14874" s="1" t="str">
        <f>HYPERLINK("http://www.genecards.org/cgi-bin/carddisp.pl?gene=RNF185","GeneCards")</f>
        <v>GeneCards</v>
      </c>
      <c r="D14874" s="1" t="str">
        <f>HYPERLINK("http://genome-euro.ucsc.edu/cgi-bin/hgTracks?position=207280_at","UCSC")</f>
        <v>UCSC</v>
      </c>
      <c r="E14874" s="1" t="str">
        <f>HYPERLINK("http://www.ncbi.nlm.nih.gov/gene/?term=RNF185","NCBI")</f>
        <v>NCBI</v>
      </c>
      <c r="F14874">
        <v>0.6</v>
      </c>
      <c r="G14874">
        <v>0.68</v>
      </c>
      <c r="H14874" s="1" t="str">
        <f>HYPERLINK("http://www.weizmann.ac.il/complex/compphys/software/geview/data/figures/207280_at.png","Figure")</f>
        <v>Figure</v>
      </c>
      <c r="I14874">
        <v>1.04</v>
      </c>
      <c r="J14874">
        <v>0.84</v>
      </c>
      <c r="K14874">
        <v>0.97499999999999998</v>
      </c>
      <c r="L14874">
        <v>0.89</v>
      </c>
      <c r="M14874">
        <v>0.94099999999999995</v>
      </c>
      <c r="N14874">
        <v>0.56999999999999995</v>
      </c>
    </row>
    <row r="14875" spans="1:14" x14ac:dyDescent="0.25">
      <c r="A14875" t="s">
        <v>25175</v>
      </c>
      <c r="B14875" t="s">
        <v>12979</v>
      </c>
      <c r="C14875" s="1" t="str">
        <f>HYPERLINK("http://www.genecards.org/cgi-bin/carddisp.pl?gene=ATF5","GeneCards")</f>
        <v>GeneCards</v>
      </c>
      <c r="D14875" s="1" t="str">
        <f>HYPERLINK("http://genome-euro.ucsc.edu/cgi-bin/hgTracks?position=204999_s_at","UCSC")</f>
        <v>UCSC</v>
      </c>
      <c r="E14875" s="1" t="str">
        <f>HYPERLINK("http://www.ncbi.nlm.nih.gov/gene/?term=ATF5","NCBI")</f>
        <v>NCBI</v>
      </c>
      <c r="F14875">
        <v>0.6</v>
      </c>
      <c r="G14875">
        <v>0.68</v>
      </c>
      <c r="H14875" s="1" t="str">
        <f>HYPERLINK("http://www.weizmann.ac.il/complex/compphys/software/geview/data/figures/204999_s_at.png","Figure")</f>
        <v>Figure</v>
      </c>
      <c r="I14875">
        <v>0.87</v>
      </c>
      <c r="J14875">
        <v>0.64</v>
      </c>
      <c r="K14875">
        <v>0.89100000000000001</v>
      </c>
      <c r="L14875">
        <v>0.67</v>
      </c>
      <c r="M14875">
        <v>1.02</v>
      </c>
      <c r="N14875">
        <v>0.98</v>
      </c>
    </row>
    <row r="14876" spans="1:14" x14ac:dyDescent="0.25">
      <c r="A14876" t="s">
        <v>25176</v>
      </c>
      <c r="B14876" t="s">
        <v>8746</v>
      </c>
      <c r="C14876" s="1" t="str">
        <f>HYPERLINK("http://www.genecards.org/cgi-bin/carddisp.pl?gene=POLR2K","GeneCards")</f>
        <v>GeneCards</v>
      </c>
      <c r="D14876" s="1" t="str">
        <f>HYPERLINK("http://genome-euro.ucsc.edu/cgi-bin/hgTracks?position=202635_s_at","UCSC")</f>
        <v>UCSC</v>
      </c>
      <c r="E14876" s="1" t="str">
        <f>HYPERLINK("http://www.ncbi.nlm.nih.gov/gene/?term=POLR2K","NCBI")</f>
        <v>NCBI</v>
      </c>
      <c r="F14876">
        <v>0.6</v>
      </c>
      <c r="G14876">
        <v>0.68</v>
      </c>
      <c r="H14876" s="1" t="str">
        <f>HYPERLINK("http://www.weizmann.ac.il/complex/compphys/software/geview/data/figures/202635_s_at.png","Figure")</f>
        <v>Figure</v>
      </c>
      <c r="I14876">
        <v>0.97099999999999997</v>
      </c>
      <c r="J14876">
        <v>0.97</v>
      </c>
      <c r="K14876">
        <v>1.0900000000000001</v>
      </c>
      <c r="L14876">
        <v>0.74</v>
      </c>
      <c r="M14876">
        <v>1.1200000000000001</v>
      </c>
      <c r="N14876">
        <v>0.62</v>
      </c>
    </row>
    <row r="14877" spans="1:14" x14ac:dyDescent="0.25">
      <c r="A14877" t="s">
        <v>25177</v>
      </c>
      <c r="B14877" t="s">
        <v>25178</v>
      </c>
      <c r="C14877" s="1" t="str">
        <f>HYPERLINK("http://www.genecards.org/cgi-bin/carddisp.pl?gene=CBY1","GeneCards")</f>
        <v>GeneCards</v>
      </c>
      <c r="D14877" s="1" t="str">
        <f>HYPERLINK("http://genome-euro.ucsc.edu/cgi-bin/hgTracks?position=203450_at","UCSC")</f>
        <v>UCSC</v>
      </c>
      <c r="E14877" s="1" t="str">
        <f>HYPERLINK("http://www.ncbi.nlm.nih.gov/gene/?term=CBY1","NCBI")</f>
        <v>NCBI</v>
      </c>
      <c r="F14877">
        <v>0.6</v>
      </c>
      <c r="G14877">
        <v>0.69</v>
      </c>
      <c r="H14877" s="1" t="str">
        <f>HYPERLINK("http://www.weizmann.ac.il/complex/compphys/software/geview/data/figures/203450_at.png","Figure")</f>
        <v>Figure</v>
      </c>
      <c r="I14877">
        <v>0.88400000000000001</v>
      </c>
      <c r="J14877">
        <v>0.57999999999999996</v>
      </c>
      <c r="K14877">
        <v>0.96</v>
      </c>
      <c r="L14877">
        <v>0.92</v>
      </c>
      <c r="M14877">
        <v>1.0900000000000001</v>
      </c>
      <c r="N14877">
        <v>0.75</v>
      </c>
    </row>
    <row r="14878" spans="1:14" x14ac:dyDescent="0.25">
      <c r="A14878" t="s">
        <v>25179</v>
      </c>
      <c r="B14878" t="s">
        <v>25180</v>
      </c>
      <c r="C14878" s="1" t="str">
        <f>HYPERLINK("http://www.genecards.org/cgi-bin/carddisp.pl?gene=LOC100294102","GeneCards")</f>
        <v>GeneCards</v>
      </c>
      <c r="D14878" s="1" t="str">
        <f>HYPERLINK("http://genome-euro.ucsc.edu/cgi-bin/hgTracks?position=215974_at","UCSC")</f>
        <v>UCSC</v>
      </c>
      <c r="E14878" s="1" t="str">
        <f>HYPERLINK("http://www.ncbi.nlm.nih.gov/gene/?term=LOC100294102","NCBI")</f>
        <v>NCBI</v>
      </c>
      <c r="F14878">
        <v>0.6</v>
      </c>
      <c r="G14878">
        <v>0.69</v>
      </c>
      <c r="H14878" s="1" t="str">
        <f>HYPERLINK("http://www.weizmann.ac.il/complex/compphys/software/geview/data/figures/215974_at.png","Figure")</f>
        <v>Figure</v>
      </c>
      <c r="I14878">
        <v>1.0900000000000001</v>
      </c>
      <c r="J14878">
        <v>0.6</v>
      </c>
      <c r="K14878">
        <v>1.06</v>
      </c>
      <c r="L14878">
        <v>0.73</v>
      </c>
      <c r="M14878">
        <v>0.97299999999999998</v>
      </c>
      <c r="N14878">
        <v>0.94</v>
      </c>
    </row>
    <row r="14879" spans="1:14" x14ac:dyDescent="0.25">
      <c r="A14879" t="s">
        <v>25181</v>
      </c>
      <c r="B14879" t="s">
        <v>25182</v>
      </c>
      <c r="C14879" s="1" t="str">
        <f>HYPERLINK("http://www.genecards.org/cgi-bin/carddisp.pl?gene=CA5BP","GeneCards")</f>
        <v>GeneCards</v>
      </c>
      <c r="D14879" s="1" t="str">
        <f>HYPERLINK("http://genome-euro.ucsc.edu/cgi-bin/hgTracks?position=213363_at","UCSC")</f>
        <v>UCSC</v>
      </c>
      <c r="E14879" s="1" t="str">
        <f>HYPERLINK("http://www.ncbi.nlm.nih.gov/gene/?term=CA5BP","NCBI")</f>
        <v>NCBI</v>
      </c>
      <c r="F14879">
        <v>0.6</v>
      </c>
      <c r="G14879">
        <v>0.69</v>
      </c>
      <c r="H14879" s="1" t="str">
        <f>HYPERLINK("http://www.weizmann.ac.il/complex/compphys/software/geview/data/figures/213363_at.png","Figure")</f>
        <v>Figure</v>
      </c>
      <c r="I14879">
        <v>1.06</v>
      </c>
      <c r="J14879">
        <v>0.6</v>
      </c>
      <c r="K14879">
        <v>1.01</v>
      </c>
      <c r="L14879">
        <v>0.97</v>
      </c>
      <c r="M14879">
        <v>0.95799999999999996</v>
      </c>
      <c r="N14879">
        <v>0.7</v>
      </c>
    </row>
    <row r="14880" spans="1:14" x14ac:dyDescent="0.25">
      <c r="A14880" t="s">
        <v>25183</v>
      </c>
      <c r="B14880" t="s">
        <v>25184</v>
      </c>
      <c r="C14880" s="1" t="str">
        <f>HYPERLINK("http://www.genecards.org/cgi-bin/carddisp.pl?gene=CHRM3","GeneCards")</f>
        <v>GeneCards</v>
      </c>
      <c r="D14880" s="1" t="str">
        <f>HYPERLINK("http://genome-euro.ucsc.edu/cgi-bin/hgTracks?position=214596_at","UCSC")</f>
        <v>UCSC</v>
      </c>
      <c r="E14880" s="1" t="str">
        <f>HYPERLINK("http://www.ncbi.nlm.nih.gov/gene/?term=CHRM3","NCBI")</f>
        <v>NCBI</v>
      </c>
      <c r="F14880">
        <v>0.6</v>
      </c>
      <c r="G14880">
        <v>0.69</v>
      </c>
      <c r="H14880" s="1" t="str">
        <f>HYPERLINK("http://www.weizmann.ac.il/complex/compphys/software/geview/data/figures/214596_at.png","Figure")</f>
        <v>Figure</v>
      </c>
      <c r="I14880">
        <v>1.01</v>
      </c>
      <c r="J14880">
        <v>0.98</v>
      </c>
      <c r="K14880">
        <v>0.96699999999999997</v>
      </c>
      <c r="L14880">
        <v>0.72</v>
      </c>
      <c r="M14880">
        <v>0.95799999999999996</v>
      </c>
      <c r="N14880">
        <v>0.63</v>
      </c>
    </row>
    <row r="14881" spans="1:14" x14ac:dyDescent="0.25">
      <c r="A14881" t="s">
        <v>25185</v>
      </c>
      <c r="B14881" t="s">
        <v>12848</v>
      </c>
      <c r="C14881" s="1" t="str">
        <f>HYPERLINK("http://www.genecards.org/cgi-bin/carddisp.pl?gene=RPS20","GeneCards")</f>
        <v>GeneCards</v>
      </c>
      <c r="D14881" s="1" t="str">
        <f>HYPERLINK("http://genome-euro.ucsc.edu/cgi-bin/hgTracks?position=200949_x_at","UCSC")</f>
        <v>UCSC</v>
      </c>
      <c r="E14881" s="1" t="str">
        <f>HYPERLINK("http://www.ncbi.nlm.nih.gov/gene/?term=RPS20","NCBI")</f>
        <v>NCBI</v>
      </c>
      <c r="F14881">
        <v>0.6</v>
      </c>
      <c r="G14881">
        <v>0.69</v>
      </c>
      <c r="H14881" s="1" t="str">
        <f>HYPERLINK("http://www.weizmann.ac.il/complex/compphys/software/geview/data/figures/200949_x_at.png","Figure")</f>
        <v>Figure</v>
      </c>
      <c r="I14881">
        <v>0.85299999999999998</v>
      </c>
      <c r="J14881">
        <v>0.7</v>
      </c>
      <c r="K14881">
        <v>1.02</v>
      </c>
      <c r="L14881">
        <v>0.99</v>
      </c>
      <c r="M14881">
        <v>1.2</v>
      </c>
      <c r="N14881">
        <v>0.6</v>
      </c>
    </row>
    <row r="14882" spans="1:14" x14ac:dyDescent="0.25">
      <c r="A14882" t="s">
        <v>25186</v>
      </c>
      <c r="B14882" t="s">
        <v>25187</v>
      </c>
      <c r="C14882" s="1" t="str">
        <f>HYPERLINK("http://www.genecards.org/cgi-bin/carddisp.pl?gene=UAP1","GeneCards")</f>
        <v>GeneCards</v>
      </c>
      <c r="D14882" s="1" t="str">
        <f>HYPERLINK("http://genome-euro.ucsc.edu/cgi-bin/hgTracks?position=209340_at","UCSC")</f>
        <v>UCSC</v>
      </c>
      <c r="E14882" s="1" t="str">
        <f>HYPERLINK("http://www.ncbi.nlm.nih.gov/gene/?term=UAP1","NCBI")</f>
        <v>NCBI</v>
      </c>
      <c r="F14882">
        <v>0.6</v>
      </c>
      <c r="G14882">
        <v>0.69</v>
      </c>
      <c r="H14882" s="1" t="str">
        <f>HYPERLINK("http://www.weizmann.ac.il/complex/compphys/software/geview/data/figures/209340_at.png","Figure")</f>
        <v>Figure</v>
      </c>
      <c r="I14882">
        <v>1.62</v>
      </c>
      <c r="J14882">
        <v>0.67</v>
      </c>
      <c r="K14882">
        <v>1.57</v>
      </c>
      <c r="L14882">
        <v>0.64</v>
      </c>
      <c r="M14882">
        <v>0.96699999999999997</v>
      </c>
      <c r="N14882">
        <v>1</v>
      </c>
    </row>
    <row r="14883" spans="1:14" x14ac:dyDescent="0.25">
      <c r="A14883" t="s">
        <v>25188</v>
      </c>
      <c r="B14883" t="s">
        <v>24248</v>
      </c>
      <c r="C14883" s="1" t="str">
        <f>HYPERLINK("http://www.genecards.org/cgi-bin/carddisp.pl?gene=CD36","GeneCards")</f>
        <v>GeneCards</v>
      </c>
      <c r="D14883" s="1" t="str">
        <f>HYPERLINK("http://genome-euro.ucsc.edu/cgi-bin/hgTracks?position=209555_s_at","UCSC")</f>
        <v>UCSC</v>
      </c>
      <c r="E14883" s="1" t="str">
        <f>HYPERLINK("http://www.ncbi.nlm.nih.gov/gene/?term=CD36","NCBI")</f>
        <v>NCBI</v>
      </c>
      <c r="F14883">
        <v>0.6</v>
      </c>
      <c r="G14883">
        <v>0.69</v>
      </c>
      <c r="H14883" s="1" t="str">
        <f>HYPERLINK("http://www.weizmann.ac.il/complex/compphys/software/geview/data/figures/209555_s_at.png","Figure")</f>
        <v>Figure</v>
      </c>
      <c r="I14883">
        <v>1.18</v>
      </c>
      <c r="J14883">
        <v>0.78</v>
      </c>
      <c r="K14883">
        <v>0.93700000000000006</v>
      </c>
      <c r="L14883">
        <v>0.95</v>
      </c>
      <c r="M14883">
        <v>0.79700000000000004</v>
      </c>
      <c r="N14883">
        <v>0.56999999999999995</v>
      </c>
    </row>
    <row r="14884" spans="1:14" x14ac:dyDescent="0.25">
      <c r="A14884" t="s">
        <v>25189</v>
      </c>
      <c r="B14884" t="s">
        <v>17419</v>
      </c>
      <c r="C14884" s="1" t="str">
        <f>HYPERLINK("http://www.genecards.org/cgi-bin/carddisp.pl?gene=GGT1","GeneCards")</f>
        <v>GeneCards</v>
      </c>
      <c r="D14884" s="1" t="str">
        <f>HYPERLINK("http://genome-euro.ucsc.edu/cgi-bin/hgTracks?position=209919_x_at","UCSC")</f>
        <v>UCSC</v>
      </c>
      <c r="E14884" s="1" t="str">
        <f>HYPERLINK("http://www.ncbi.nlm.nih.gov/gene/?term=GGT1","NCBI")</f>
        <v>NCBI</v>
      </c>
      <c r="F14884">
        <v>0.6</v>
      </c>
      <c r="G14884">
        <v>0.69</v>
      </c>
      <c r="H14884" s="1" t="str">
        <f>HYPERLINK("http://www.weizmann.ac.il/complex/compphys/software/geview/data/figures/209919_x_at.png","Figure")</f>
        <v>Figure</v>
      </c>
      <c r="I14884">
        <v>1.05</v>
      </c>
      <c r="J14884">
        <v>0.8</v>
      </c>
      <c r="K14884">
        <v>1.07</v>
      </c>
      <c r="L14884">
        <v>0.57999999999999996</v>
      </c>
      <c r="M14884">
        <v>1.02</v>
      </c>
      <c r="N14884">
        <v>0.96</v>
      </c>
    </row>
    <row r="14885" spans="1:14" x14ac:dyDescent="0.25">
      <c r="A14885" t="s">
        <v>25190</v>
      </c>
      <c r="B14885" t="s">
        <v>4345</v>
      </c>
      <c r="C14885" s="1" t="str">
        <f>HYPERLINK("http://www.genecards.org/cgi-bin/carddisp.pl?gene=SP100","GeneCards")</f>
        <v>GeneCards</v>
      </c>
      <c r="D14885" s="1" t="str">
        <f>HYPERLINK("http://genome-euro.ucsc.edu/cgi-bin/hgTracks?position=210219_at","UCSC")</f>
        <v>UCSC</v>
      </c>
      <c r="E14885" s="1" t="str">
        <f>HYPERLINK("http://www.ncbi.nlm.nih.gov/gene/?term=SP100","NCBI")</f>
        <v>NCBI</v>
      </c>
      <c r="F14885">
        <v>0.6</v>
      </c>
      <c r="G14885">
        <v>0.69</v>
      </c>
      <c r="H14885" s="1" t="str">
        <f>HYPERLINK("http://www.weizmann.ac.il/complex/compphys/software/geview/data/figures/210219_at.png","Figure")</f>
        <v>Figure</v>
      </c>
      <c r="I14885">
        <v>0.998</v>
      </c>
      <c r="J14885">
        <v>0.99</v>
      </c>
      <c r="K14885">
        <v>0.98899999999999999</v>
      </c>
      <c r="L14885">
        <v>0.62</v>
      </c>
      <c r="M14885">
        <v>0.99099999999999999</v>
      </c>
      <c r="N14885">
        <v>0.74</v>
      </c>
    </row>
    <row r="14886" spans="1:14" x14ac:dyDescent="0.25">
      <c r="A14886" t="s">
        <v>25191</v>
      </c>
      <c r="B14886" t="s">
        <v>15434</v>
      </c>
      <c r="C14886" s="1" t="str">
        <f>HYPERLINK("http://www.genecards.org/cgi-bin/carddisp.pl?gene=CDC2L6","GeneCards")</f>
        <v>GeneCards</v>
      </c>
      <c r="D14886" s="1" t="str">
        <f>HYPERLINK("http://genome-euro.ucsc.edu/cgi-bin/hgTracks?position=211706_s_at","UCSC")</f>
        <v>UCSC</v>
      </c>
      <c r="E14886" s="1" t="str">
        <f>HYPERLINK("http://www.ncbi.nlm.nih.gov/gene/?term=CDC2L6","NCBI")</f>
        <v>NCBI</v>
      </c>
      <c r="F14886">
        <v>0.6</v>
      </c>
      <c r="G14886">
        <v>0.69</v>
      </c>
      <c r="H14886" s="1" t="str">
        <f>HYPERLINK("http://www.weizmann.ac.il/complex/compphys/software/geview/data/figures/211706_s_at.png","Figure")</f>
        <v>Figure</v>
      </c>
      <c r="I14886">
        <v>0.95399999999999996</v>
      </c>
      <c r="J14886">
        <v>0.8</v>
      </c>
      <c r="K14886">
        <v>0.93600000000000005</v>
      </c>
      <c r="L14886">
        <v>0.57999999999999996</v>
      </c>
      <c r="M14886">
        <v>0.98099999999999998</v>
      </c>
      <c r="N14886">
        <v>0.96</v>
      </c>
    </row>
    <row r="14887" spans="1:14" x14ac:dyDescent="0.25">
      <c r="A14887" t="s">
        <v>25192</v>
      </c>
      <c r="B14887" t="s">
        <v>5843</v>
      </c>
      <c r="C14887" s="1" t="str">
        <f>HYPERLINK("http://www.genecards.org/cgi-bin/carddisp.pl?gene=CARD10","GeneCards")</f>
        <v>GeneCards</v>
      </c>
      <c r="D14887" s="1" t="str">
        <f>HYPERLINK("http://genome-euro.ucsc.edu/cgi-bin/hgTracks?position=214207_s_at","UCSC")</f>
        <v>UCSC</v>
      </c>
      <c r="E14887" s="1" t="str">
        <f>HYPERLINK("http://www.ncbi.nlm.nih.gov/gene/?term=CARD10","NCBI")</f>
        <v>NCBI</v>
      </c>
      <c r="F14887">
        <v>0.6</v>
      </c>
      <c r="G14887">
        <v>0.69</v>
      </c>
      <c r="H14887" s="1" t="str">
        <f>HYPERLINK("http://www.weizmann.ac.il/complex/compphys/software/geview/data/figures/214207_s_at.png","Figure")</f>
        <v>Figure</v>
      </c>
      <c r="I14887">
        <v>1.02</v>
      </c>
      <c r="J14887">
        <v>0.56999999999999995</v>
      </c>
      <c r="K14887">
        <v>1.01</v>
      </c>
      <c r="L14887">
        <v>0.84</v>
      </c>
      <c r="M14887">
        <v>0.99099999999999999</v>
      </c>
      <c r="N14887">
        <v>0.84</v>
      </c>
    </row>
    <row r="14888" spans="1:14" x14ac:dyDescent="0.25">
      <c r="A14888" t="s">
        <v>25193</v>
      </c>
      <c r="B14888" t="s">
        <v>25194</v>
      </c>
      <c r="C14888" s="1" t="str">
        <f>HYPERLINK("http://www.genecards.org/cgi-bin/carddisp.pl?gene=SPRR1A","GeneCards")</f>
        <v>GeneCards</v>
      </c>
      <c r="D14888" s="1" t="str">
        <f>HYPERLINK("http://genome-euro.ucsc.edu/cgi-bin/hgTracks?position=214549_x_at","UCSC")</f>
        <v>UCSC</v>
      </c>
      <c r="E14888" s="1" t="str">
        <f>HYPERLINK("http://www.ncbi.nlm.nih.gov/gene/?term=SPRR1A","NCBI")</f>
        <v>NCBI</v>
      </c>
      <c r="F14888">
        <v>0.6</v>
      </c>
      <c r="G14888">
        <v>0.69</v>
      </c>
      <c r="H14888" s="1" t="str">
        <f>HYPERLINK("http://www.weizmann.ac.il/complex/compphys/software/geview/data/figures/214549_x_at.png","Figure")</f>
        <v>Figure</v>
      </c>
      <c r="I14888">
        <v>1.07</v>
      </c>
      <c r="J14888">
        <v>0.68</v>
      </c>
      <c r="K14888">
        <v>1.07</v>
      </c>
      <c r="L14888">
        <v>0.63</v>
      </c>
      <c r="M14888">
        <v>0.998</v>
      </c>
      <c r="N14888">
        <v>1</v>
      </c>
    </row>
    <row r="14889" spans="1:14" x14ac:dyDescent="0.25">
      <c r="A14889" t="s">
        <v>25195</v>
      </c>
      <c r="B14889" t="s">
        <v>25196</v>
      </c>
      <c r="C14889" s="1" t="str">
        <f>HYPERLINK("http://www.genecards.org/cgi-bin/carddisp.pl?gene=AZI1","GeneCards")</f>
        <v>GeneCards</v>
      </c>
      <c r="D14889" s="1" t="str">
        <f>HYPERLINK("http://genome-euro.ucsc.edu/cgi-bin/hgTracks?position=214742_at","UCSC")</f>
        <v>UCSC</v>
      </c>
      <c r="E14889" s="1" t="str">
        <f>HYPERLINK("http://www.ncbi.nlm.nih.gov/gene/?term=AZI1","NCBI")</f>
        <v>NCBI</v>
      </c>
      <c r="F14889">
        <v>0.6</v>
      </c>
      <c r="G14889">
        <v>0.69</v>
      </c>
      <c r="H14889" s="1" t="str">
        <f>HYPERLINK("http://www.weizmann.ac.il/complex/compphys/software/geview/data/figures/214742_at.png","Figure")</f>
        <v>Figure</v>
      </c>
      <c r="I14889">
        <v>1.08</v>
      </c>
      <c r="J14889">
        <v>0.76</v>
      </c>
      <c r="K14889">
        <v>0.97199999999999998</v>
      </c>
      <c r="L14889">
        <v>0.96</v>
      </c>
      <c r="M14889">
        <v>0.89700000000000002</v>
      </c>
      <c r="N14889">
        <v>0.57999999999999996</v>
      </c>
    </row>
    <row r="14890" spans="1:14" x14ac:dyDescent="0.25">
      <c r="A14890" t="s">
        <v>25197</v>
      </c>
      <c r="B14890" t="s">
        <v>25198</v>
      </c>
      <c r="C14890" s="1" t="str">
        <f>HYPERLINK("http://www.genecards.org/cgi-bin/carddisp.pl?gene=IGH@ /// IGHA1 /// IGHA2 /// LOC100126583","GeneCards")</f>
        <v>GeneCards</v>
      </c>
      <c r="D14890" s="1" t="str">
        <f>HYPERLINK("http://genome-euro.ucsc.edu/cgi-bin/hgTracks?position=217022_s_at","UCSC")</f>
        <v>UCSC</v>
      </c>
      <c r="E14890" s="1" t="str">
        <f>HYPERLINK("http://www.ncbi.nlm.nih.gov/gene/?term=IGH@ /// IGHA1 /// IGHA2 /// LOC100126583","NCBI")</f>
        <v>NCBI</v>
      </c>
      <c r="F14890">
        <v>0.6</v>
      </c>
      <c r="G14890">
        <v>0.69</v>
      </c>
      <c r="H14890" s="1" t="str">
        <f>HYPERLINK("http://www.weizmann.ac.il/complex/compphys/software/geview/data/figures/217022_s_at.png","Figure")</f>
        <v>Figure</v>
      </c>
      <c r="I14890">
        <v>0.57899999999999996</v>
      </c>
      <c r="J14890">
        <v>0.57999999999999996</v>
      </c>
      <c r="K14890">
        <v>0.73099999999999998</v>
      </c>
      <c r="L14890">
        <v>0.79</v>
      </c>
      <c r="M14890">
        <v>1.26</v>
      </c>
      <c r="N14890">
        <v>0.89</v>
      </c>
    </row>
    <row r="14891" spans="1:14" x14ac:dyDescent="0.25">
      <c r="A14891" t="s">
        <v>25199</v>
      </c>
      <c r="B14891" t="s">
        <v>25200</v>
      </c>
      <c r="C14891" s="1" t="str">
        <f>HYPERLINK("http://www.genecards.org/cgi-bin/carddisp.pl?gene=SLC24A3","GeneCards")</f>
        <v>GeneCards</v>
      </c>
      <c r="D14891" s="1" t="str">
        <f>HYPERLINK("http://genome-euro.ucsc.edu/cgi-bin/hgTracks?position=219090_at","UCSC")</f>
        <v>UCSC</v>
      </c>
      <c r="E14891" s="1" t="str">
        <f>HYPERLINK("http://www.ncbi.nlm.nih.gov/gene/?term=SLC24A3","NCBI")</f>
        <v>NCBI</v>
      </c>
      <c r="F14891">
        <v>0.6</v>
      </c>
      <c r="G14891">
        <v>0.69</v>
      </c>
      <c r="H14891" s="1" t="str">
        <f>HYPERLINK("http://www.weizmann.ac.il/complex/compphys/software/geview/data/figures/219090_at.png","Figure")</f>
        <v>Figure</v>
      </c>
      <c r="I14891">
        <v>0.98499999999999999</v>
      </c>
      <c r="J14891">
        <v>0.62</v>
      </c>
      <c r="K14891">
        <v>0.98799999999999999</v>
      </c>
      <c r="L14891">
        <v>0.69</v>
      </c>
      <c r="M14891">
        <v>1</v>
      </c>
      <c r="N14891">
        <v>0.97</v>
      </c>
    </row>
    <row r="14892" spans="1:14" x14ac:dyDescent="0.25">
      <c r="A14892" t="s">
        <v>25201</v>
      </c>
      <c r="B14892" t="s">
        <v>24443</v>
      </c>
      <c r="C14892" s="1" t="str">
        <f>HYPERLINK("http://www.genecards.org/cgi-bin/carddisp.pl?gene=TUG1","GeneCards")</f>
        <v>GeneCards</v>
      </c>
      <c r="D14892" s="1" t="str">
        <f>HYPERLINK("http://genome-euro.ucsc.edu/cgi-bin/hgTracks?position=222244_s_at","UCSC")</f>
        <v>UCSC</v>
      </c>
      <c r="E14892" s="1" t="str">
        <f>HYPERLINK("http://www.ncbi.nlm.nih.gov/gene/?term=TUG1","NCBI")</f>
        <v>NCBI</v>
      </c>
      <c r="F14892">
        <v>0.6</v>
      </c>
      <c r="G14892">
        <v>0.69</v>
      </c>
      <c r="H14892" s="1" t="str">
        <f>HYPERLINK("http://www.weizmann.ac.il/complex/compphys/software/geview/data/figures/222244_s_at.png","Figure")</f>
        <v>Figure</v>
      </c>
      <c r="I14892">
        <v>0.85199999999999998</v>
      </c>
      <c r="J14892">
        <v>0.66</v>
      </c>
      <c r="K14892">
        <v>0.86599999999999999</v>
      </c>
      <c r="L14892">
        <v>0.64</v>
      </c>
      <c r="M14892">
        <v>1.02</v>
      </c>
      <c r="N14892">
        <v>1</v>
      </c>
    </row>
    <row r="14893" spans="1:14" x14ac:dyDescent="0.25">
      <c r="A14893" t="s">
        <v>25202</v>
      </c>
      <c r="B14893" t="s">
        <v>25203</v>
      </c>
      <c r="C14893" s="1" t="str">
        <f>HYPERLINK("http://www.genecards.org/cgi-bin/carddisp.pl?gene=EEF1G /// TUT1","GeneCards")</f>
        <v>GeneCards</v>
      </c>
      <c r="D14893" s="1" t="str">
        <f>HYPERLINK("http://genome-euro.ucsc.edu/cgi-bin/hgTracks?position=211345_x_at","UCSC")</f>
        <v>UCSC</v>
      </c>
      <c r="E14893" s="1" t="str">
        <f>HYPERLINK("http://www.ncbi.nlm.nih.gov/gene/?term=EEF1G /// TUT1","NCBI")</f>
        <v>NCBI</v>
      </c>
      <c r="F14893">
        <v>0.6</v>
      </c>
      <c r="G14893">
        <v>0.69</v>
      </c>
      <c r="H14893" s="1" t="str">
        <f>HYPERLINK("http://www.weizmann.ac.il/complex/compphys/software/geview/data/figures/211345_x_at.png","Figure")</f>
        <v>Figure</v>
      </c>
      <c r="I14893">
        <v>1.04</v>
      </c>
      <c r="J14893">
        <v>0.94</v>
      </c>
      <c r="K14893">
        <v>0.93899999999999995</v>
      </c>
      <c r="L14893">
        <v>0.79</v>
      </c>
      <c r="M14893">
        <v>0.90300000000000002</v>
      </c>
      <c r="N14893">
        <v>0.6</v>
      </c>
    </row>
    <row r="14894" spans="1:14" x14ac:dyDescent="0.25">
      <c r="A14894" t="s">
        <v>25204</v>
      </c>
      <c r="B14894" t="s">
        <v>25205</v>
      </c>
      <c r="C14894" s="1" t="str">
        <f>HYPERLINK("http://www.genecards.org/cgi-bin/carddisp.pl?gene=BMP6","GeneCards")</f>
        <v>GeneCards</v>
      </c>
      <c r="D14894" s="1" t="str">
        <f>HYPERLINK("http://genome-euro.ucsc.edu/cgi-bin/hgTracks?position=206176_at","UCSC")</f>
        <v>UCSC</v>
      </c>
      <c r="E14894" s="1" t="str">
        <f>HYPERLINK("http://www.ncbi.nlm.nih.gov/gene/?term=BMP6","NCBI")</f>
        <v>NCBI</v>
      </c>
      <c r="F14894">
        <v>0.6</v>
      </c>
      <c r="G14894">
        <v>0.69</v>
      </c>
      <c r="H14894" s="1" t="str">
        <f>HYPERLINK("http://www.weizmann.ac.il/complex/compphys/software/geview/data/figures/206176_at.png","Figure")</f>
        <v>Figure</v>
      </c>
      <c r="I14894">
        <v>1.06</v>
      </c>
      <c r="J14894">
        <v>0.56999999999999995</v>
      </c>
      <c r="K14894">
        <v>1.02</v>
      </c>
      <c r="L14894">
        <v>0.87</v>
      </c>
      <c r="M14894">
        <v>0.96799999999999997</v>
      </c>
      <c r="N14894">
        <v>0.81</v>
      </c>
    </row>
    <row r="14895" spans="1:14" x14ac:dyDescent="0.25">
      <c r="A14895" t="s">
        <v>25206</v>
      </c>
      <c r="B14895" t="s">
        <v>25207</v>
      </c>
      <c r="C14895" s="1" t="str">
        <f>HYPERLINK("http://www.genecards.org/cgi-bin/carddisp.pl?gene=MAGEA9 /// MAGEA9B","GeneCards")</f>
        <v>GeneCards</v>
      </c>
      <c r="D14895" s="1" t="str">
        <f>HYPERLINK("http://genome-euro.ucsc.edu/cgi-bin/hgTracks?position=210437_at","UCSC")</f>
        <v>UCSC</v>
      </c>
      <c r="E14895" s="1" t="str">
        <f>HYPERLINK("http://www.ncbi.nlm.nih.gov/gene/?term=MAGEA9 /// MAGEA9B","NCBI")</f>
        <v>NCBI</v>
      </c>
      <c r="F14895">
        <v>0.6</v>
      </c>
      <c r="G14895">
        <v>0.69</v>
      </c>
      <c r="H14895" s="1" t="str">
        <f>HYPERLINK("http://www.weizmann.ac.il/complex/compphys/software/geview/data/figures/210437_at.png","Figure")</f>
        <v>Figure</v>
      </c>
      <c r="I14895">
        <v>1.02</v>
      </c>
      <c r="J14895">
        <v>0.96</v>
      </c>
      <c r="K14895">
        <v>0.95899999999999996</v>
      </c>
      <c r="L14895">
        <v>0.76</v>
      </c>
      <c r="M14895">
        <v>0.94099999999999995</v>
      </c>
      <c r="N14895">
        <v>0.61</v>
      </c>
    </row>
    <row r="14896" spans="1:14" x14ac:dyDescent="0.25">
      <c r="A14896" t="s">
        <v>25208</v>
      </c>
      <c r="B14896" t="s">
        <v>3504</v>
      </c>
      <c r="C14896" s="1" t="str">
        <f>HYPERLINK("http://www.genecards.org/cgi-bin/carddisp.pl?gene=MKL1","GeneCards")</f>
        <v>GeneCards</v>
      </c>
      <c r="D14896" s="1" t="str">
        <f>HYPERLINK("http://genome-euro.ucsc.edu/cgi-bin/hgTracks?position=215291_at","UCSC")</f>
        <v>UCSC</v>
      </c>
      <c r="E14896" s="1" t="str">
        <f>HYPERLINK("http://www.ncbi.nlm.nih.gov/gene/?term=MKL1","NCBI")</f>
        <v>NCBI</v>
      </c>
      <c r="F14896">
        <v>0.6</v>
      </c>
      <c r="G14896">
        <v>0.69</v>
      </c>
      <c r="H14896" s="1" t="str">
        <f>HYPERLINK("http://www.weizmann.ac.il/complex/compphys/software/geview/data/figures/215291_at.png","Figure")</f>
        <v>Figure</v>
      </c>
      <c r="I14896">
        <v>1.01</v>
      </c>
      <c r="J14896">
        <v>0.99</v>
      </c>
      <c r="K14896">
        <v>0.96499999999999997</v>
      </c>
      <c r="L14896">
        <v>0.69</v>
      </c>
      <c r="M14896">
        <v>0.95899999999999996</v>
      </c>
      <c r="N14896">
        <v>0.66</v>
      </c>
    </row>
    <row r="14897" spans="1:14" x14ac:dyDescent="0.25">
      <c r="A14897" t="s">
        <v>25209</v>
      </c>
      <c r="B14897" t="s">
        <v>25210</v>
      </c>
      <c r="C14897" s="1" t="str">
        <f>HYPERLINK("http://www.genecards.org/cgi-bin/carddisp.pl?gene=TRIP4","GeneCards")</f>
        <v>GeneCards</v>
      </c>
      <c r="D14897" s="1" t="str">
        <f>HYPERLINK("http://genome-euro.ucsc.edu/cgi-bin/hgTracks?position=203732_at","UCSC")</f>
        <v>UCSC</v>
      </c>
      <c r="E14897" s="1" t="str">
        <f>HYPERLINK("http://www.ncbi.nlm.nih.gov/gene/?term=TRIP4","NCBI")</f>
        <v>NCBI</v>
      </c>
      <c r="F14897">
        <v>0.6</v>
      </c>
      <c r="G14897">
        <v>0.69</v>
      </c>
      <c r="H14897" s="1" t="str">
        <f>HYPERLINK("http://www.weizmann.ac.il/complex/compphys/software/geview/data/figures/203732_at.png","Figure")</f>
        <v>Figure</v>
      </c>
      <c r="I14897">
        <v>0.96799999999999997</v>
      </c>
      <c r="J14897">
        <v>0.99</v>
      </c>
      <c r="K14897">
        <v>1.18</v>
      </c>
      <c r="L14897">
        <v>0.71</v>
      </c>
      <c r="M14897">
        <v>1.22</v>
      </c>
      <c r="N14897">
        <v>0.65</v>
      </c>
    </row>
    <row r="14898" spans="1:14" x14ac:dyDescent="0.25">
      <c r="A14898" t="s">
        <v>25211</v>
      </c>
      <c r="B14898" t="s">
        <v>25212</v>
      </c>
      <c r="C14898" s="1" t="str">
        <f>HYPERLINK("http://www.genecards.org/cgi-bin/carddisp.pl?gene=FAM21A /// FAM21B /// FAM21C","GeneCards")</f>
        <v>GeneCards</v>
      </c>
      <c r="D14898" s="1" t="str">
        <f>HYPERLINK("http://genome-euro.ucsc.edu/cgi-bin/hgTracks?position=212370_x_at","UCSC")</f>
        <v>UCSC</v>
      </c>
      <c r="E14898" s="1" t="str">
        <f>HYPERLINK("http://www.ncbi.nlm.nih.gov/gene/?term=FAM21A /// FAM21B /// FAM21C","NCBI")</f>
        <v>NCBI</v>
      </c>
      <c r="F14898">
        <v>0.6</v>
      </c>
      <c r="G14898">
        <v>0.69</v>
      </c>
      <c r="H14898" s="1" t="str">
        <f>HYPERLINK("http://www.weizmann.ac.il/complex/compphys/software/geview/data/figures/212370_x_at.png","Figure")</f>
        <v>Figure</v>
      </c>
      <c r="I14898">
        <v>1.06</v>
      </c>
      <c r="J14898">
        <v>0.87</v>
      </c>
      <c r="K14898">
        <v>1.1000000000000001</v>
      </c>
      <c r="L14898">
        <v>0.56999999999999995</v>
      </c>
      <c r="M14898">
        <v>1.05</v>
      </c>
      <c r="N14898">
        <v>0.9</v>
      </c>
    </row>
    <row r="14899" spans="1:14" x14ac:dyDescent="0.25">
      <c r="A14899" t="s">
        <v>25213</v>
      </c>
      <c r="B14899" t="s">
        <v>6647</v>
      </c>
      <c r="C14899" s="1" t="str">
        <f>HYPERLINK("http://www.genecards.org/cgi-bin/carddisp.pl?gene=RHAG","GeneCards")</f>
        <v>GeneCards</v>
      </c>
      <c r="D14899" s="1" t="str">
        <f>HYPERLINK("http://genome-euro.ucsc.edu/cgi-bin/hgTracks?position=206145_at","UCSC")</f>
        <v>UCSC</v>
      </c>
      <c r="E14899" s="1" t="str">
        <f>HYPERLINK("http://www.ncbi.nlm.nih.gov/gene/?term=RHAG","NCBI")</f>
        <v>NCBI</v>
      </c>
      <c r="F14899">
        <v>0.6</v>
      </c>
      <c r="G14899">
        <v>0.69</v>
      </c>
      <c r="H14899" s="1" t="str">
        <f>HYPERLINK("http://www.weizmann.ac.il/complex/compphys/software/geview/data/figures/206145_at.png","Figure")</f>
        <v>Figure</v>
      </c>
      <c r="I14899">
        <v>1.23</v>
      </c>
      <c r="J14899">
        <v>0.64</v>
      </c>
      <c r="K14899">
        <v>1.01</v>
      </c>
      <c r="L14899">
        <v>1</v>
      </c>
      <c r="M14899">
        <v>0.82199999999999995</v>
      </c>
      <c r="N14899">
        <v>0.63</v>
      </c>
    </row>
    <row r="14900" spans="1:14" x14ac:dyDescent="0.25">
      <c r="A14900" t="s">
        <v>25214</v>
      </c>
      <c r="B14900" t="s">
        <v>25215</v>
      </c>
      <c r="C14900" s="1" t="str">
        <f>HYPERLINK("http://www.genecards.org/cgi-bin/carddisp.pl?gene=RABL5","GeneCards")</f>
        <v>GeneCards</v>
      </c>
      <c r="D14900" s="1" t="str">
        <f>HYPERLINK("http://genome-euro.ucsc.edu/cgi-bin/hgTracks?position=218785_s_at","UCSC")</f>
        <v>UCSC</v>
      </c>
      <c r="E14900" s="1" t="str">
        <f>HYPERLINK("http://www.ncbi.nlm.nih.gov/gene/?term=RABL5","NCBI")</f>
        <v>NCBI</v>
      </c>
      <c r="F14900">
        <v>0.6</v>
      </c>
      <c r="G14900">
        <v>0.69</v>
      </c>
      <c r="H14900" s="1" t="str">
        <f>HYPERLINK("http://www.weizmann.ac.il/complex/compphys/software/geview/data/figures/218785_s_at.png","Figure")</f>
        <v>Figure</v>
      </c>
      <c r="I14900">
        <v>0.99</v>
      </c>
      <c r="J14900">
        <v>0.99</v>
      </c>
      <c r="K14900">
        <v>0.92600000000000005</v>
      </c>
      <c r="L14900">
        <v>0.63</v>
      </c>
      <c r="M14900">
        <v>0.93600000000000005</v>
      </c>
      <c r="N14900">
        <v>0.73</v>
      </c>
    </row>
    <row r="14901" spans="1:14" x14ac:dyDescent="0.25">
      <c r="A14901" t="s">
        <v>25216</v>
      </c>
      <c r="B14901" t="s">
        <v>13016</v>
      </c>
      <c r="C14901" s="1" t="str">
        <f>HYPERLINK("http://www.genecards.org/cgi-bin/carddisp.pl?gene=ARPC2","GeneCards")</f>
        <v>GeneCards</v>
      </c>
      <c r="D14901" s="1" t="str">
        <f>HYPERLINK("http://genome-euro.ucsc.edu/cgi-bin/hgTracks?position=208679_s_at","UCSC")</f>
        <v>UCSC</v>
      </c>
      <c r="E14901" s="1" t="str">
        <f>HYPERLINK("http://www.ncbi.nlm.nih.gov/gene/?term=ARPC2","NCBI")</f>
        <v>NCBI</v>
      </c>
      <c r="F14901">
        <v>0.6</v>
      </c>
      <c r="G14901">
        <v>0.69</v>
      </c>
      <c r="H14901" s="1" t="str">
        <f>HYPERLINK("http://www.weizmann.ac.il/complex/compphys/software/geview/data/figures/208679_s_at.png","Figure")</f>
        <v>Figure</v>
      </c>
      <c r="I14901">
        <v>0.94699999999999995</v>
      </c>
      <c r="J14901">
        <v>0.94</v>
      </c>
      <c r="K14901">
        <v>0.86799999999999999</v>
      </c>
      <c r="L14901">
        <v>0.57999999999999996</v>
      </c>
      <c r="M14901">
        <v>0.91700000000000004</v>
      </c>
      <c r="N14901">
        <v>0.83</v>
      </c>
    </row>
    <row r="14902" spans="1:14" x14ac:dyDescent="0.25">
      <c r="A14902" t="s">
        <v>25217</v>
      </c>
      <c r="B14902" t="s">
        <v>25218</v>
      </c>
      <c r="C14902" s="1" t="str">
        <f>HYPERLINK("http://www.genecards.org/cgi-bin/carddisp.pl?gene=RBM12","GeneCards")</f>
        <v>GeneCards</v>
      </c>
      <c r="D14902" s="1" t="str">
        <f>HYPERLINK("http://genome-euro.ucsc.edu/cgi-bin/hgTracks?position=212168_at","UCSC")</f>
        <v>UCSC</v>
      </c>
      <c r="E14902" s="1" t="str">
        <f>HYPERLINK("http://www.ncbi.nlm.nih.gov/gene/?term=RBM12","NCBI")</f>
        <v>NCBI</v>
      </c>
      <c r="F14902">
        <v>0.6</v>
      </c>
      <c r="G14902">
        <v>0.69</v>
      </c>
      <c r="H14902" s="1" t="str">
        <f>HYPERLINK("http://www.weizmann.ac.il/complex/compphys/software/geview/data/figures/212168_at.png","Figure")</f>
        <v>Figure</v>
      </c>
      <c r="I14902">
        <v>0.68799999999999994</v>
      </c>
      <c r="J14902">
        <v>0.59</v>
      </c>
      <c r="K14902">
        <v>0.79700000000000004</v>
      </c>
      <c r="L14902">
        <v>0.77</v>
      </c>
      <c r="M14902">
        <v>1.1599999999999999</v>
      </c>
      <c r="N14902">
        <v>0.91</v>
      </c>
    </row>
    <row r="14903" spans="1:14" x14ac:dyDescent="0.25">
      <c r="A14903" t="s">
        <v>25219</v>
      </c>
      <c r="B14903" t="s">
        <v>24840</v>
      </c>
      <c r="C14903" s="1" t="str">
        <f>HYPERLINK("http://www.genecards.org/cgi-bin/carddisp.pl?gene=ARL6IP5","GeneCards")</f>
        <v>GeneCards</v>
      </c>
      <c r="D14903" s="1" t="str">
        <f>HYPERLINK("http://genome-euro.ucsc.edu/cgi-bin/hgTracks?position=200760_s_at","UCSC")</f>
        <v>UCSC</v>
      </c>
      <c r="E14903" s="1" t="str">
        <f>HYPERLINK("http://www.ncbi.nlm.nih.gov/gene/?term=ARL6IP5","NCBI")</f>
        <v>NCBI</v>
      </c>
      <c r="F14903">
        <v>0.6</v>
      </c>
      <c r="G14903">
        <v>0.69</v>
      </c>
      <c r="H14903" s="1" t="str">
        <f>HYPERLINK("http://www.weizmann.ac.il/complex/compphys/software/geview/data/figures/200760_s_at.png","Figure")</f>
        <v>Figure</v>
      </c>
      <c r="I14903">
        <v>1.25</v>
      </c>
      <c r="J14903">
        <v>0.59</v>
      </c>
      <c r="K14903">
        <v>1.1499999999999999</v>
      </c>
      <c r="L14903">
        <v>0.76</v>
      </c>
      <c r="M14903">
        <v>0.91900000000000004</v>
      </c>
      <c r="N14903">
        <v>0.91</v>
      </c>
    </row>
    <row r="14904" spans="1:14" x14ac:dyDescent="0.25">
      <c r="A14904" t="s">
        <v>25220</v>
      </c>
      <c r="B14904" t="s">
        <v>25221</v>
      </c>
      <c r="C14904" s="1" t="str">
        <f>HYPERLINK("http://www.genecards.org/cgi-bin/carddisp.pl?gene=C17orf39","GeneCards")</f>
        <v>GeneCards</v>
      </c>
      <c r="D14904" s="1" t="str">
        <f>HYPERLINK("http://genome-euro.ucsc.edu/cgi-bin/hgTracks?position=220058_at","UCSC")</f>
        <v>UCSC</v>
      </c>
      <c r="E14904" s="1" t="str">
        <f>HYPERLINK("http://www.ncbi.nlm.nih.gov/gene/?term=C17orf39","NCBI")</f>
        <v>NCBI</v>
      </c>
      <c r="F14904">
        <v>0.6</v>
      </c>
      <c r="G14904">
        <v>0.69</v>
      </c>
      <c r="H14904" s="1" t="str">
        <f>HYPERLINK("http://www.weizmann.ac.il/complex/compphys/software/geview/data/figures/220058_at.png","Figure")</f>
        <v>Figure</v>
      </c>
      <c r="I14904">
        <v>1.1000000000000001</v>
      </c>
      <c r="J14904">
        <v>0.57999999999999996</v>
      </c>
      <c r="K14904">
        <v>1.06</v>
      </c>
      <c r="L14904">
        <v>0.78</v>
      </c>
      <c r="M14904">
        <v>0.96099999999999997</v>
      </c>
      <c r="N14904">
        <v>0.9</v>
      </c>
    </row>
    <row r="14905" spans="1:14" x14ac:dyDescent="0.25">
      <c r="A14905" t="s">
        <v>25222</v>
      </c>
      <c r="B14905" t="s">
        <v>25223</v>
      </c>
      <c r="C14905" s="1" t="str">
        <f>HYPERLINK("http://www.genecards.org/cgi-bin/carddisp.pl?gene=LOC100287163 /// ZNF717 /// ZNF73","GeneCards")</f>
        <v>GeneCards</v>
      </c>
      <c r="D14905" s="1" t="str">
        <f>HYPERLINK("http://genome-euro.ucsc.edu/cgi-bin/hgTracks?position=221370_at","UCSC")</f>
        <v>UCSC</v>
      </c>
      <c r="E14905" s="1" t="str">
        <f>HYPERLINK("http://www.ncbi.nlm.nih.gov/gene/?term=LOC100287163 /// ZNF717 /// ZNF73","NCBI")</f>
        <v>NCBI</v>
      </c>
      <c r="F14905">
        <v>0.6</v>
      </c>
      <c r="G14905">
        <v>0.69</v>
      </c>
      <c r="H14905" s="1" t="str">
        <f>HYPERLINK("http://www.weizmann.ac.il/complex/compphys/software/geview/data/figures/221370_at.png","Figure")</f>
        <v>Figure</v>
      </c>
      <c r="I14905">
        <v>1.02</v>
      </c>
      <c r="J14905">
        <v>0.57999999999999996</v>
      </c>
      <c r="K14905">
        <v>1.01</v>
      </c>
      <c r="L14905">
        <v>0.92</v>
      </c>
      <c r="M14905">
        <v>0.98799999999999999</v>
      </c>
      <c r="N14905">
        <v>0.76</v>
      </c>
    </row>
    <row r="14906" spans="1:14" x14ac:dyDescent="0.25">
      <c r="A14906" t="s">
        <v>25224</v>
      </c>
      <c r="B14906" t="s">
        <v>15695</v>
      </c>
      <c r="C14906" s="1" t="str">
        <f>HYPERLINK("http://www.genecards.org/cgi-bin/carddisp.pl?gene=KIAA1654","GeneCards")</f>
        <v>GeneCards</v>
      </c>
      <c r="D14906" s="1" t="str">
        <f>HYPERLINK("http://genome-euro.ucsc.edu/cgi-bin/hgTracks?position=215681_at","UCSC")</f>
        <v>UCSC</v>
      </c>
      <c r="E14906" s="1" t="str">
        <f>HYPERLINK("http://www.ncbi.nlm.nih.gov/gene/?term=KIAA1654","NCBI")</f>
        <v>NCBI</v>
      </c>
      <c r="F14906">
        <v>0.6</v>
      </c>
      <c r="G14906">
        <v>0.69</v>
      </c>
      <c r="H14906" s="1" t="str">
        <f>HYPERLINK("http://www.weizmann.ac.il/complex/compphys/software/geview/data/figures/215681_at.png","Figure")</f>
        <v>Figure</v>
      </c>
      <c r="I14906">
        <v>0.98499999999999999</v>
      </c>
      <c r="J14906">
        <v>0.97</v>
      </c>
      <c r="K14906">
        <v>0.94299999999999995</v>
      </c>
      <c r="L14906">
        <v>0.6</v>
      </c>
      <c r="M14906">
        <v>0.95799999999999996</v>
      </c>
      <c r="N14906">
        <v>0.78</v>
      </c>
    </row>
    <row r="14907" spans="1:14" x14ac:dyDescent="0.25">
      <c r="A14907" t="s">
        <v>25225</v>
      </c>
      <c r="B14907" t="s">
        <v>25226</v>
      </c>
      <c r="C14907" s="1" t="str">
        <f>HYPERLINK("http://www.genecards.org/cgi-bin/carddisp.pl?gene=SPINT2","GeneCards")</f>
        <v>GeneCards</v>
      </c>
      <c r="D14907" s="1" t="str">
        <f>HYPERLINK("http://genome-euro.ucsc.edu/cgi-bin/hgTracks?position=210715_s_at","UCSC")</f>
        <v>UCSC</v>
      </c>
      <c r="E14907" s="1" t="str">
        <f>HYPERLINK("http://www.ncbi.nlm.nih.gov/gene/?term=SPINT2","NCBI")</f>
        <v>NCBI</v>
      </c>
      <c r="F14907">
        <v>0.6</v>
      </c>
      <c r="G14907">
        <v>0.69</v>
      </c>
      <c r="H14907" s="1" t="str">
        <f>HYPERLINK("http://www.weizmann.ac.il/complex/compphys/software/geview/data/figures/210715_s_at.png","Figure")</f>
        <v>Figure</v>
      </c>
      <c r="I14907">
        <v>1.24</v>
      </c>
      <c r="J14907">
        <v>0.57999999999999996</v>
      </c>
      <c r="K14907">
        <v>1.07</v>
      </c>
      <c r="L14907">
        <v>0.92</v>
      </c>
      <c r="M14907">
        <v>0.86499999999999999</v>
      </c>
      <c r="N14907">
        <v>0.75</v>
      </c>
    </row>
    <row r="14908" spans="1:14" x14ac:dyDescent="0.25">
      <c r="A14908" t="s">
        <v>25227</v>
      </c>
      <c r="B14908" t="s">
        <v>25228</v>
      </c>
      <c r="C14908" s="1" t="str">
        <f>HYPERLINK("http://www.genecards.org/cgi-bin/carddisp.pl?gene=IFT88","GeneCards")</f>
        <v>GeneCards</v>
      </c>
      <c r="D14908" s="1" t="str">
        <f>HYPERLINK("http://genome-euro.ucsc.edu/cgi-bin/hgTracks?position=204703_at","UCSC")</f>
        <v>UCSC</v>
      </c>
      <c r="E14908" s="1" t="str">
        <f>HYPERLINK("http://www.ncbi.nlm.nih.gov/gene/?term=IFT88","NCBI")</f>
        <v>NCBI</v>
      </c>
      <c r="F14908">
        <v>0.6</v>
      </c>
      <c r="G14908">
        <v>0.69</v>
      </c>
      <c r="H14908" s="1" t="str">
        <f>HYPERLINK("http://www.weizmann.ac.il/complex/compphys/software/geview/data/figures/204703_at.png","Figure")</f>
        <v>Figure</v>
      </c>
      <c r="I14908">
        <v>1.0900000000000001</v>
      </c>
      <c r="J14908">
        <v>0.78</v>
      </c>
      <c r="K14908">
        <v>1.1200000000000001</v>
      </c>
      <c r="L14908">
        <v>0.57999999999999996</v>
      </c>
      <c r="M14908">
        <v>1.03</v>
      </c>
      <c r="N14908">
        <v>0.97</v>
      </c>
    </row>
    <row r="14909" spans="1:14" x14ac:dyDescent="0.25">
      <c r="A14909" t="s">
        <v>25229</v>
      </c>
      <c r="B14909" t="s">
        <v>10019</v>
      </c>
      <c r="C14909" s="1" t="str">
        <f>HYPERLINK("http://www.genecards.org/cgi-bin/carddisp.pl?gene=MAP2K2","GeneCards")</f>
        <v>GeneCards</v>
      </c>
      <c r="D14909" s="1" t="str">
        <f>HYPERLINK("http://genome-euro.ucsc.edu/cgi-bin/hgTracks?position=202424_at","UCSC")</f>
        <v>UCSC</v>
      </c>
      <c r="E14909" s="1" t="str">
        <f>HYPERLINK("http://www.ncbi.nlm.nih.gov/gene/?term=MAP2K2","NCBI")</f>
        <v>NCBI</v>
      </c>
      <c r="F14909">
        <v>0.6</v>
      </c>
      <c r="G14909">
        <v>0.69</v>
      </c>
      <c r="H14909" s="1" t="str">
        <f>HYPERLINK("http://www.weizmann.ac.il/complex/compphys/software/geview/data/figures/202424_at.png","Figure")</f>
        <v>Figure</v>
      </c>
      <c r="I14909">
        <v>1.0900000000000001</v>
      </c>
      <c r="J14909">
        <v>0.91</v>
      </c>
      <c r="K14909">
        <v>1.22</v>
      </c>
      <c r="L14909">
        <v>0.57999999999999996</v>
      </c>
      <c r="M14909">
        <v>1.1100000000000001</v>
      </c>
      <c r="N14909">
        <v>0.87</v>
      </c>
    </row>
    <row r="14910" spans="1:14" x14ac:dyDescent="0.25">
      <c r="A14910" t="s">
        <v>25230</v>
      </c>
      <c r="B14910" t="s">
        <v>25231</v>
      </c>
      <c r="C14910" s="1" t="str">
        <f>HYPERLINK("http://www.genecards.org/cgi-bin/carddisp.pl?gene=DLEU1","GeneCards")</f>
        <v>GeneCards</v>
      </c>
      <c r="D14910" s="1" t="str">
        <f>HYPERLINK("http://genome-euro.ucsc.edu/cgi-bin/hgTracks?position=205677_s_at","UCSC")</f>
        <v>UCSC</v>
      </c>
      <c r="E14910" s="1" t="str">
        <f>HYPERLINK("http://www.ncbi.nlm.nih.gov/gene/?term=DLEU1","NCBI")</f>
        <v>NCBI</v>
      </c>
      <c r="F14910">
        <v>0.6</v>
      </c>
      <c r="G14910">
        <v>0.69</v>
      </c>
      <c r="H14910" s="1" t="str">
        <f>HYPERLINK("http://www.weizmann.ac.il/complex/compphys/software/geview/data/figures/205677_s_at.png","Figure")</f>
        <v>Figure</v>
      </c>
      <c r="I14910">
        <v>0.94399999999999995</v>
      </c>
      <c r="J14910">
        <v>0.79</v>
      </c>
      <c r="K14910">
        <v>1.03</v>
      </c>
      <c r="L14910">
        <v>0.94</v>
      </c>
      <c r="M14910">
        <v>1.0900000000000001</v>
      </c>
      <c r="N14910">
        <v>0.57999999999999996</v>
      </c>
    </row>
    <row r="14911" spans="1:14" x14ac:dyDescent="0.25">
      <c r="A14911" t="s">
        <v>25232</v>
      </c>
      <c r="B14911" t="s">
        <v>991</v>
      </c>
      <c r="C14911" s="1" t="str">
        <f>HYPERLINK("http://www.genecards.org/cgi-bin/carddisp.pl?gene=SIRT5","GeneCards")</f>
        <v>GeneCards</v>
      </c>
      <c r="D14911" s="1" t="str">
        <f>HYPERLINK("http://genome-euro.ucsc.edu/cgi-bin/hgTracks?position=222081_at","UCSC")</f>
        <v>UCSC</v>
      </c>
      <c r="E14911" s="1" t="str">
        <f>HYPERLINK("http://www.ncbi.nlm.nih.gov/gene/?term=SIRT5","NCBI")</f>
        <v>NCBI</v>
      </c>
      <c r="F14911">
        <v>0.6</v>
      </c>
      <c r="G14911">
        <v>0.69</v>
      </c>
      <c r="H14911" s="1" t="str">
        <f>HYPERLINK("http://www.weizmann.ac.il/complex/compphys/software/geview/data/figures/222081_at.png","Figure")</f>
        <v>Figure</v>
      </c>
      <c r="I14911">
        <v>1.01</v>
      </c>
      <c r="J14911">
        <v>0.75</v>
      </c>
      <c r="K14911">
        <v>0.998</v>
      </c>
      <c r="L14911">
        <v>0.97</v>
      </c>
      <c r="M14911">
        <v>0.99099999999999999</v>
      </c>
      <c r="N14911">
        <v>0.57999999999999996</v>
      </c>
    </row>
    <row r="14912" spans="1:14" x14ac:dyDescent="0.25">
      <c r="A14912" t="s">
        <v>25233</v>
      </c>
      <c r="B14912" t="s">
        <v>25234</v>
      </c>
      <c r="C14912" s="1" t="str">
        <f>HYPERLINK("http://www.genecards.org/cgi-bin/carddisp.pl?gene=IRF7","GeneCards")</f>
        <v>GeneCards</v>
      </c>
      <c r="D14912" s="1" t="str">
        <f>HYPERLINK("http://genome-euro.ucsc.edu/cgi-bin/hgTracks?position=208436_s_at","UCSC")</f>
        <v>UCSC</v>
      </c>
      <c r="E14912" s="1" t="str">
        <f>HYPERLINK("http://www.ncbi.nlm.nih.gov/gene/?term=IRF7","NCBI")</f>
        <v>NCBI</v>
      </c>
      <c r="F14912">
        <v>0.6</v>
      </c>
      <c r="G14912">
        <v>0.69</v>
      </c>
      <c r="H14912" s="1" t="str">
        <f>HYPERLINK("http://www.weizmann.ac.il/complex/compphys/software/geview/data/figures/208436_s_at.png","Figure")</f>
        <v>Figure</v>
      </c>
      <c r="I14912">
        <v>0.76</v>
      </c>
      <c r="J14912">
        <v>0.6</v>
      </c>
      <c r="K14912">
        <v>0.94</v>
      </c>
      <c r="L14912">
        <v>0.96</v>
      </c>
      <c r="M14912">
        <v>1.24</v>
      </c>
      <c r="N14912">
        <v>0.7</v>
      </c>
    </row>
    <row r="14913" spans="1:14" x14ac:dyDescent="0.25">
      <c r="A14913" t="s">
        <v>25235</v>
      </c>
      <c r="B14913" t="s">
        <v>25236</v>
      </c>
      <c r="C14913" s="1" t="str">
        <f>HYPERLINK("http://www.genecards.org/cgi-bin/carddisp.pl?gene=ABT1","GeneCards")</f>
        <v>GeneCards</v>
      </c>
      <c r="D14913" s="1" t="str">
        <f>HYPERLINK("http://genome-euro.ucsc.edu/cgi-bin/hgTracks?position=218405_at","UCSC")</f>
        <v>UCSC</v>
      </c>
      <c r="E14913" s="1" t="str">
        <f>HYPERLINK("http://www.ncbi.nlm.nih.gov/gene/?term=ABT1","NCBI")</f>
        <v>NCBI</v>
      </c>
      <c r="F14913">
        <v>0.6</v>
      </c>
      <c r="G14913">
        <v>0.69</v>
      </c>
      <c r="H14913" s="1" t="str">
        <f>HYPERLINK("http://www.weizmann.ac.il/complex/compphys/software/geview/data/figures/218405_at.png","Figure")</f>
        <v>Figure</v>
      </c>
      <c r="I14913">
        <v>0.96399999999999997</v>
      </c>
      <c r="J14913">
        <v>0.95</v>
      </c>
      <c r="K14913">
        <v>0.89800000000000002</v>
      </c>
      <c r="L14913">
        <v>0.59</v>
      </c>
      <c r="M14913">
        <v>0.93100000000000005</v>
      </c>
      <c r="N14913">
        <v>0.82</v>
      </c>
    </row>
    <row r="14914" spans="1:14" x14ac:dyDescent="0.25">
      <c r="A14914" t="s">
        <v>25237</v>
      </c>
      <c r="B14914" t="s">
        <v>10544</v>
      </c>
      <c r="C14914" s="1" t="str">
        <f>HYPERLINK("http://www.genecards.org/cgi-bin/carddisp.pl?gene=KLHL18","GeneCards")</f>
        <v>GeneCards</v>
      </c>
      <c r="D14914" s="1" t="str">
        <f>HYPERLINK("http://genome-euro.ucsc.edu/cgi-bin/hgTracks?position=212882_at","UCSC")</f>
        <v>UCSC</v>
      </c>
      <c r="E14914" s="1" t="str">
        <f>HYPERLINK("http://www.ncbi.nlm.nih.gov/gene/?term=KLHL18","NCBI")</f>
        <v>NCBI</v>
      </c>
      <c r="F14914">
        <v>0.6</v>
      </c>
      <c r="G14914">
        <v>0.69</v>
      </c>
      <c r="H14914" s="1" t="str">
        <f>HYPERLINK("http://www.weizmann.ac.il/complex/compphys/software/geview/data/figures/212882_at.png","Figure")</f>
        <v>Figure</v>
      </c>
      <c r="I14914">
        <v>1.21</v>
      </c>
      <c r="J14914">
        <v>0.57999999999999996</v>
      </c>
      <c r="K14914">
        <v>1.07</v>
      </c>
      <c r="L14914">
        <v>0.9</v>
      </c>
      <c r="M14914">
        <v>0.88700000000000001</v>
      </c>
      <c r="N14914">
        <v>0.78</v>
      </c>
    </row>
    <row r="14915" spans="1:14" x14ac:dyDescent="0.25">
      <c r="A14915" t="s">
        <v>25238</v>
      </c>
      <c r="B14915" t="s">
        <v>25239</v>
      </c>
      <c r="C14915" s="1" t="str">
        <f>HYPERLINK("http://www.genecards.org/cgi-bin/carddisp.pl?gene=FSCN1","GeneCards")</f>
        <v>GeneCards</v>
      </c>
      <c r="D14915" s="1" t="str">
        <f>HYPERLINK("http://genome-euro.ucsc.edu/cgi-bin/hgTracks?position=201564_s_at","UCSC")</f>
        <v>UCSC</v>
      </c>
      <c r="E14915" s="1" t="str">
        <f>HYPERLINK("http://www.ncbi.nlm.nih.gov/gene/?term=FSCN1","NCBI")</f>
        <v>NCBI</v>
      </c>
      <c r="F14915">
        <v>0.6</v>
      </c>
      <c r="G14915">
        <v>0.69</v>
      </c>
      <c r="H14915" s="1" t="str">
        <f>HYPERLINK("http://www.weizmann.ac.il/complex/compphys/software/geview/data/figures/201564_s_at.png","Figure")</f>
        <v>Figure</v>
      </c>
      <c r="I14915">
        <v>0.89</v>
      </c>
      <c r="J14915">
        <v>0.59</v>
      </c>
      <c r="K14915">
        <v>0.92800000000000005</v>
      </c>
      <c r="L14915">
        <v>0.75</v>
      </c>
      <c r="M14915">
        <v>1.04</v>
      </c>
      <c r="N14915">
        <v>0.92</v>
      </c>
    </row>
    <row r="14916" spans="1:14" x14ac:dyDescent="0.25">
      <c r="A14916" t="s">
        <v>25240</v>
      </c>
      <c r="B14916" t="s">
        <v>9607</v>
      </c>
      <c r="C14916" s="1" t="str">
        <f>HYPERLINK("http://www.genecards.org/cgi-bin/carddisp.pl?gene=RAB40B","GeneCards")</f>
        <v>GeneCards</v>
      </c>
      <c r="D14916" s="1" t="str">
        <f>HYPERLINK("http://genome-euro.ucsc.edu/cgi-bin/hgTracks?position=204547_at","UCSC")</f>
        <v>UCSC</v>
      </c>
      <c r="E14916" s="1" t="str">
        <f>HYPERLINK("http://www.ncbi.nlm.nih.gov/gene/?term=RAB40B","NCBI")</f>
        <v>NCBI</v>
      </c>
      <c r="F14916">
        <v>0.6</v>
      </c>
      <c r="G14916">
        <v>0.69</v>
      </c>
      <c r="H14916" s="1" t="str">
        <f>HYPERLINK("http://www.weizmann.ac.il/complex/compphys/software/geview/data/figures/204547_at.png","Figure")</f>
        <v>Figure</v>
      </c>
      <c r="I14916">
        <v>0.86799999999999999</v>
      </c>
      <c r="J14916">
        <v>0.62</v>
      </c>
      <c r="K14916">
        <v>0.9</v>
      </c>
      <c r="L14916">
        <v>0.71</v>
      </c>
      <c r="M14916">
        <v>1.04</v>
      </c>
      <c r="N14916">
        <v>0.96</v>
      </c>
    </row>
    <row r="14917" spans="1:14" x14ac:dyDescent="0.25">
      <c r="A14917" t="s">
        <v>25241</v>
      </c>
      <c r="B14917" t="s">
        <v>3763</v>
      </c>
      <c r="C14917" s="1" t="str">
        <f>HYPERLINK("http://www.genecards.org/cgi-bin/carddisp.pl?gene=ITGAM","GeneCards")</f>
        <v>GeneCards</v>
      </c>
      <c r="D14917" s="1" t="str">
        <f>HYPERLINK("http://genome-euro.ucsc.edu/cgi-bin/hgTracks?position=205785_at","UCSC")</f>
        <v>UCSC</v>
      </c>
      <c r="E14917" s="1" t="str">
        <f>HYPERLINK("http://www.ncbi.nlm.nih.gov/gene/?term=ITGAM","NCBI")</f>
        <v>NCBI</v>
      </c>
      <c r="F14917">
        <v>0.6</v>
      </c>
      <c r="G14917">
        <v>0.69</v>
      </c>
      <c r="H14917" s="1" t="str">
        <f>HYPERLINK("http://www.weizmann.ac.il/complex/compphys/software/geview/data/figures/205785_at.png","Figure")</f>
        <v>Figure</v>
      </c>
      <c r="I14917">
        <v>1.05</v>
      </c>
      <c r="J14917">
        <v>0.71</v>
      </c>
      <c r="K14917">
        <v>1.06</v>
      </c>
      <c r="L14917">
        <v>0.61</v>
      </c>
      <c r="M14917">
        <v>1</v>
      </c>
      <c r="N14917">
        <v>1</v>
      </c>
    </row>
    <row r="14918" spans="1:14" x14ac:dyDescent="0.25">
      <c r="A14918" t="s">
        <v>25242</v>
      </c>
      <c r="B14918" t="s">
        <v>4149</v>
      </c>
      <c r="C14918" s="1" t="str">
        <f>HYPERLINK("http://www.genecards.org/cgi-bin/carddisp.pl?gene=DLEC1","GeneCards")</f>
        <v>GeneCards</v>
      </c>
      <c r="D14918" s="1" t="str">
        <f>HYPERLINK("http://genome-euro.ucsc.edu/cgi-bin/hgTracks?position=206798_x_at","UCSC")</f>
        <v>UCSC</v>
      </c>
      <c r="E14918" s="1" t="str">
        <f>HYPERLINK("http://www.ncbi.nlm.nih.gov/gene/?term=DLEC1","NCBI")</f>
        <v>NCBI</v>
      </c>
      <c r="F14918">
        <v>0.6</v>
      </c>
      <c r="G14918">
        <v>0.69</v>
      </c>
      <c r="H14918" s="1" t="str">
        <f>HYPERLINK("http://www.weizmann.ac.il/complex/compphys/software/geview/data/figures/206798_x_at.png","Figure")</f>
        <v>Figure</v>
      </c>
      <c r="I14918">
        <v>1.1000000000000001</v>
      </c>
      <c r="J14918">
        <v>0.59</v>
      </c>
      <c r="K14918">
        <v>1.06</v>
      </c>
      <c r="L14918">
        <v>0.76</v>
      </c>
      <c r="M14918">
        <v>0.96599999999999997</v>
      </c>
      <c r="N14918">
        <v>0.92</v>
      </c>
    </row>
    <row r="14919" spans="1:14" x14ac:dyDescent="0.25">
      <c r="A14919" t="s">
        <v>25243</v>
      </c>
      <c r="B14919" t="s">
        <v>25244</v>
      </c>
      <c r="C14919" s="1" t="str">
        <f>HYPERLINK("http://www.genecards.org/cgi-bin/carddisp.pl?gene=CENPT","GeneCards")</f>
        <v>GeneCards</v>
      </c>
      <c r="D14919" s="1" t="str">
        <f>HYPERLINK("http://genome-euro.ucsc.edu/cgi-bin/hgTracks?position=218148_at","UCSC")</f>
        <v>UCSC</v>
      </c>
      <c r="E14919" s="1" t="str">
        <f>HYPERLINK("http://www.ncbi.nlm.nih.gov/gene/?term=CENPT","NCBI")</f>
        <v>NCBI</v>
      </c>
      <c r="F14919">
        <v>0.6</v>
      </c>
      <c r="G14919">
        <v>0.69</v>
      </c>
      <c r="H14919" s="1" t="str">
        <f>HYPERLINK("http://www.weizmann.ac.il/complex/compphys/software/geview/data/figures/218148_at.png","Figure")</f>
        <v>Figure</v>
      </c>
      <c r="I14919">
        <v>0.70299999999999996</v>
      </c>
      <c r="J14919">
        <v>0.7</v>
      </c>
      <c r="K14919">
        <v>1.05</v>
      </c>
      <c r="L14919">
        <v>0.99</v>
      </c>
      <c r="M14919">
        <v>1.49</v>
      </c>
      <c r="N14919">
        <v>0.6</v>
      </c>
    </row>
    <row r="14920" spans="1:14" x14ac:dyDescent="0.25">
      <c r="A14920" t="s">
        <v>25245</v>
      </c>
      <c r="B14920" t="s">
        <v>25246</v>
      </c>
      <c r="C14920" s="1" t="str">
        <f>HYPERLINK("http://www.genecards.org/cgi-bin/carddisp.pl?gene=PAN2","GeneCards")</f>
        <v>GeneCards</v>
      </c>
      <c r="D14920" s="1" t="str">
        <f>HYPERLINK("http://genome-euro.ucsc.edu/cgi-bin/hgTracks?position=203117_s_at","UCSC")</f>
        <v>UCSC</v>
      </c>
      <c r="E14920" s="1" t="str">
        <f>HYPERLINK("http://www.ncbi.nlm.nih.gov/gene/?term=PAN2","NCBI")</f>
        <v>NCBI</v>
      </c>
      <c r="F14920">
        <v>0.6</v>
      </c>
      <c r="G14920">
        <v>0.69</v>
      </c>
      <c r="H14920" s="1" t="str">
        <f>HYPERLINK("http://www.weizmann.ac.il/complex/compphys/software/geview/data/figures/203117_s_at.png","Figure")</f>
        <v>Figure</v>
      </c>
      <c r="I14920">
        <v>0.84599999999999997</v>
      </c>
      <c r="J14920">
        <v>0.57999999999999996</v>
      </c>
      <c r="K14920">
        <v>0.92400000000000004</v>
      </c>
      <c r="L14920">
        <v>0.85</v>
      </c>
      <c r="M14920">
        <v>1.0900000000000001</v>
      </c>
      <c r="N14920">
        <v>0.83</v>
      </c>
    </row>
    <row r="14921" spans="1:14" x14ac:dyDescent="0.25">
      <c r="A14921" t="s">
        <v>25247</v>
      </c>
      <c r="B14921" t="s">
        <v>17813</v>
      </c>
      <c r="C14921" s="1" t="str">
        <f>HYPERLINK("http://www.genecards.org/cgi-bin/carddisp.pl?gene=WBP11","GeneCards")</f>
        <v>GeneCards</v>
      </c>
      <c r="D14921" s="1" t="str">
        <f>HYPERLINK("http://genome-euro.ucsc.edu/cgi-bin/hgTracks?position=217821_s_at","UCSC")</f>
        <v>UCSC</v>
      </c>
      <c r="E14921" s="1" t="str">
        <f>HYPERLINK("http://www.ncbi.nlm.nih.gov/gene/?term=WBP11","NCBI")</f>
        <v>NCBI</v>
      </c>
      <c r="F14921">
        <v>0.6</v>
      </c>
      <c r="G14921">
        <v>0.69</v>
      </c>
      <c r="H14921" s="1" t="str">
        <f>HYPERLINK("http://www.weizmann.ac.il/complex/compphys/software/geview/data/figures/217821_s_at.png","Figure")</f>
        <v>Figure</v>
      </c>
      <c r="I14921">
        <v>0.90400000000000003</v>
      </c>
      <c r="J14921">
        <v>0.87</v>
      </c>
      <c r="K14921">
        <v>0.83699999999999997</v>
      </c>
      <c r="L14921">
        <v>0.57999999999999996</v>
      </c>
      <c r="M14921">
        <v>0.92600000000000005</v>
      </c>
      <c r="N14921">
        <v>0.91</v>
      </c>
    </row>
    <row r="14922" spans="1:14" x14ac:dyDescent="0.25">
      <c r="A14922" t="s">
        <v>25248</v>
      </c>
      <c r="B14922" t="s">
        <v>10048</v>
      </c>
      <c r="C14922" s="1" t="str">
        <f>HYPERLINK("http://www.genecards.org/cgi-bin/carddisp.pl?gene=ADCY2","GeneCards")</f>
        <v>GeneCards</v>
      </c>
      <c r="D14922" s="1" t="str">
        <f>HYPERLINK("http://genome-euro.ucsc.edu/cgi-bin/hgTracks?position=217687_at","UCSC")</f>
        <v>UCSC</v>
      </c>
      <c r="E14922" s="1" t="str">
        <f>HYPERLINK("http://www.ncbi.nlm.nih.gov/gene/?term=ADCY2","NCBI")</f>
        <v>NCBI</v>
      </c>
      <c r="F14922">
        <v>0.6</v>
      </c>
      <c r="G14922">
        <v>0.69</v>
      </c>
      <c r="H14922" s="1" t="str">
        <f>HYPERLINK("http://www.weizmann.ac.il/complex/compphys/software/geview/data/figures/217687_at.png","Figure")</f>
        <v>Figure</v>
      </c>
      <c r="I14922">
        <v>0.97</v>
      </c>
      <c r="J14922">
        <v>0.68</v>
      </c>
      <c r="K14922">
        <v>1</v>
      </c>
      <c r="L14922">
        <v>1</v>
      </c>
      <c r="M14922">
        <v>1.03</v>
      </c>
      <c r="N14922">
        <v>0.61</v>
      </c>
    </row>
    <row r="14923" spans="1:14" x14ac:dyDescent="0.25">
      <c r="A14923" t="s">
        <v>25249</v>
      </c>
      <c r="B14923" t="s">
        <v>12237</v>
      </c>
      <c r="C14923" s="1" t="str">
        <f>HYPERLINK("http://www.genecards.org/cgi-bin/carddisp.pl?gene=EIF3M","GeneCards")</f>
        <v>GeneCards</v>
      </c>
      <c r="D14923" s="1" t="str">
        <f>HYPERLINK("http://genome-euro.ucsc.edu/cgi-bin/hgTracks?position=202232_s_at","UCSC")</f>
        <v>UCSC</v>
      </c>
      <c r="E14923" s="1" t="str">
        <f>HYPERLINK("http://www.ncbi.nlm.nih.gov/gene/?term=EIF3M","NCBI")</f>
        <v>NCBI</v>
      </c>
      <c r="F14923">
        <v>0.61</v>
      </c>
      <c r="G14923">
        <v>0.69</v>
      </c>
      <c r="H14923" s="1" t="str">
        <f>HYPERLINK("http://www.weizmann.ac.il/complex/compphys/software/geview/data/figures/202232_s_at.png","Figure")</f>
        <v>Figure</v>
      </c>
      <c r="I14923">
        <v>0.93700000000000006</v>
      </c>
      <c r="J14923">
        <v>0.96</v>
      </c>
      <c r="K14923">
        <v>1.1499999999999999</v>
      </c>
      <c r="L14923">
        <v>0.77</v>
      </c>
      <c r="M14923">
        <v>1.22</v>
      </c>
      <c r="N14923">
        <v>0.61</v>
      </c>
    </row>
    <row r="14924" spans="1:14" x14ac:dyDescent="0.25">
      <c r="A14924" t="s">
        <v>25250</v>
      </c>
      <c r="B14924" t="s">
        <v>1751</v>
      </c>
      <c r="C14924" s="1" t="str">
        <f>HYPERLINK("http://www.genecards.org/cgi-bin/carddisp.pl?gene=HNRNPD","GeneCards")</f>
        <v>GeneCards</v>
      </c>
      <c r="D14924" s="1" t="str">
        <f>HYPERLINK("http://genome-euro.ucsc.edu/cgi-bin/hgTracks?position=205183_at","UCSC")</f>
        <v>UCSC</v>
      </c>
      <c r="E14924" s="1" t="str">
        <f>HYPERLINK("http://www.ncbi.nlm.nih.gov/gene/?term=HNRNPD","NCBI")</f>
        <v>NCBI</v>
      </c>
      <c r="F14924">
        <v>0.61</v>
      </c>
      <c r="G14924">
        <v>0.69</v>
      </c>
      <c r="H14924" s="1" t="str">
        <f>HYPERLINK("http://www.weizmann.ac.il/complex/compphys/software/geview/data/figures/205183_at.png","Figure")</f>
        <v>Figure</v>
      </c>
      <c r="I14924">
        <v>1</v>
      </c>
      <c r="J14924">
        <v>0.59</v>
      </c>
      <c r="K14924">
        <v>1</v>
      </c>
      <c r="L14924">
        <v>0.94</v>
      </c>
      <c r="M14924">
        <v>0.998</v>
      </c>
      <c r="N14924">
        <v>0.73</v>
      </c>
    </row>
    <row r="14925" spans="1:14" x14ac:dyDescent="0.25">
      <c r="A14925" t="s">
        <v>25251</v>
      </c>
      <c r="B14925" t="s">
        <v>25252</v>
      </c>
      <c r="C14925" s="1" t="str">
        <f>HYPERLINK("http://www.genecards.org/cgi-bin/carddisp.pl?gene=RPA2","GeneCards")</f>
        <v>GeneCards</v>
      </c>
      <c r="D14925" s="1" t="str">
        <f>HYPERLINK("http://genome-euro.ucsc.edu/cgi-bin/hgTracks?position=201756_at","UCSC")</f>
        <v>UCSC</v>
      </c>
      <c r="E14925" s="1" t="str">
        <f>HYPERLINK("http://www.ncbi.nlm.nih.gov/gene/?term=RPA2","NCBI")</f>
        <v>NCBI</v>
      </c>
      <c r="F14925">
        <v>0.61</v>
      </c>
      <c r="G14925">
        <v>0.69</v>
      </c>
      <c r="H14925" s="1" t="str">
        <f>HYPERLINK("http://www.weizmann.ac.il/complex/compphys/software/geview/data/figures/201756_at.png","Figure")</f>
        <v>Figure</v>
      </c>
      <c r="I14925">
        <v>0.95799999999999996</v>
      </c>
      <c r="J14925">
        <v>0.97</v>
      </c>
      <c r="K14925">
        <v>1.1200000000000001</v>
      </c>
      <c r="L14925">
        <v>0.75</v>
      </c>
      <c r="M14925">
        <v>1.1599999999999999</v>
      </c>
      <c r="N14925">
        <v>0.62</v>
      </c>
    </row>
    <row r="14926" spans="1:14" x14ac:dyDescent="0.25">
      <c r="A14926" t="s">
        <v>25253</v>
      </c>
      <c r="B14926" t="s">
        <v>25254</v>
      </c>
      <c r="C14926" s="1" t="str">
        <f>HYPERLINK("http://www.genecards.org/cgi-bin/carddisp.pl?gene=UBA5","GeneCards")</f>
        <v>GeneCards</v>
      </c>
      <c r="D14926" s="1" t="str">
        <f>HYPERLINK("http://genome-euro.ucsc.edu/cgi-bin/hgTracks?position=218289_s_at","UCSC")</f>
        <v>UCSC</v>
      </c>
      <c r="E14926" s="1" t="str">
        <f>HYPERLINK("http://www.ncbi.nlm.nih.gov/gene/?term=UBA5","NCBI")</f>
        <v>NCBI</v>
      </c>
      <c r="F14926">
        <v>0.61</v>
      </c>
      <c r="G14926">
        <v>0.69</v>
      </c>
      <c r="H14926" s="1" t="str">
        <f>HYPERLINK("http://www.weizmann.ac.il/complex/compphys/software/geview/data/figures/218289_s_at.png","Figure")</f>
        <v>Figure</v>
      </c>
      <c r="I14926">
        <v>0.97899999999999998</v>
      </c>
      <c r="J14926">
        <v>0.98</v>
      </c>
      <c r="K14926">
        <v>1.08</v>
      </c>
      <c r="L14926">
        <v>0.73</v>
      </c>
      <c r="M14926">
        <v>1.1000000000000001</v>
      </c>
      <c r="N14926">
        <v>0.64</v>
      </c>
    </row>
    <row r="14927" spans="1:14" x14ac:dyDescent="0.25">
      <c r="A14927" t="s">
        <v>25255</v>
      </c>
      <c r="B14927" t="s">
        <v>25256</v>
      </c>
      <c r="C14927" s="1" t="str">
        <f>HYPERLINK("http://www.genecards.org/cgi-bin/carddisp.pl?gene=ACVR1","GeneCards")</f>
        <v>GeneCards</v>
      </c>
      <c r="D14927" s="1" t="str">
        <f>HYPERLINK("http://genome-euro.ucsc.edu/cgi-bin/hgTracks?position=203935_at","UCSC")</f>
        <v>UCSC</v>
      </c>
      <c r="E14927" s="1" t="str">
        <f>HYPERLINK("http://www.ncbi.nlm.nih.gov/gene/?term=ACVR1","NCBI")</f>
        <v>NCBI</v>
      </c>
      <c r="F14927">
        <v>0.61</v>
      </c>
      <c r="G14927">
        <v>0.69</v>
      </c>
      <c r="H14927" s="1" t="str">
        <f>HYPERLINK("http://www.weizmann.ac.il/complex/compphys/software/geview/data/figures/203935_at.png","Figure")</f>
        <v>Figure</v>
      </c>
      <c r="I14927">
        <v>0.99299999999999999</v>
      </c>
      <c r="J14927">
        <v>0.99</v>
      </c>
      <c r="K14927">
        <v>0.96299999999999997</v>
      </c>
      <c r="L14927">
        <v>0.62</v>
      </c>
      <c r="M14927">
        <v>0.97</v>
      </c>
      <c r="N14927">
        <v>0.76</v>
      </c>
    </row>
    <row r="14928" spans="1:14" x14ac:dyDescent="0.25">
      <c r="A14928" t="s">
        <v>25257</v>
      </c>
      <c r="B14928" t="s">
        <v>17801</v>
      </c>
      <c r="C14928" s="1" t="str">
        <f>HYPERLINK("http://www.genecards.org/cgi-bin/carddisp.pl?gene=SIP1","GeneCards")</f>
        <v>GeneCards</v>
      </c>
      <c r="D14928" s="1" t="str">
        <f>HYPERLINK("http://genome-euro.ucsc.edu/cgi-bin/hgTracks?position=211114_x_at","UCSC")</f>
        <v>UCSC</v>
      </c>
      <c r="E14928" s="1" t="str">
        <f>HYPERLINK("http://www.ncbi.nlm.nih.gov/gene/?term=SIP1","NCBI")</f>
        <v>NCBI</v>
      </c>
      <c r="F14928">
        <v>0.61</v>
      </c>
      <c r="G14928">
        <v>0.69</v>
      </c>
      <c r="H14928" s="1" t="str">
        <f>HYPERLINK("http://www.weizmann.ac.il/complex/compphys/software/geview/data/figures/211114_x_at.png","Figure")</f>
        <v>Figure</v>
      </c>
      <c r="I14928">
        <v>0.98299999999999998</v>
      </c>
      <c r="J14928">
        <v>0.97</v>
      </c>
      <c r="K14928">
        <v>1.05</v>
      </c>
      <c r="L14928">
        <v>0.74</v>
      </c>
      <c r="M14928">
        <v>1.07</v>
      </c>
      <c r="N14928">
        <v>0.63</v>
      </c>
    </row>
    <row r="14929" spans="1:14" x14ac:dyDescent="0.25">
      <c r="A14929" t="s">
        <v>25258</v>
      </c>
      <c r="B14929" t="s">
        <v>25259</v>
      </c>
      <c r="C14929" s="1" t="str">
        <f>HYPERLINK("http://www.genecards.org/cgi-bin/carddisp.pl?gene=PNKP","GeneCards")</f>
        <v>GeneCards</v>
      </c>
      <c r="D14929" s="1" t="str">
        <f>HYPERLINK("http://genome-euro.ucsc.edu/cgi-bin/hgTracks?position=218961_s_at","UCSC")</f>
        <v>UCSC</v>
      </c>
      <c r="E14929" s="1" t="str">
        <f>HYPERLINK("http://www.ncbi.nlm.nih.gov/gene/?term=PNKP","NCBI")</f>
        <v>NCBI</v>
      </c>
      <c r="F14929">
        <v>0.61</v>
      </c>
      <c r="G14929">
        <v>0.69</v>
      </c>
      <c r="H14929" s="1" t="str">
        <f>HYPERLINK("http://www.weizmann.ac.il/complex/compphys/software/geview/data/figures/218961_s_at.png","Figure")</f>
        <v>Figure</v>
      </c>
      <c r="I14929">
        <v>1.1299999999999999</v>
      </c>
      <c r="J14929">
        <v>0.88</v>
      </c>
      <c r="K14929">
        <v>1.26</v>
      </c>
      <c r="L14929">
        <v>0.57999999999999996</v>
      </c>
      <c r="M14929">
        <v>1.1100000000000001</v>
      </c>
      <c r="N14929">
        <v>0.9</v>
      </c>
    </row>
    <row r="14930" spans="1:14" x14ac:dyDescent="0.25">
      <c r="A14930" t="s">
        <v>25260</v>
      </c>
      <c r="B14930" t="s">
        <v>25261</v>
      </c>
      <c r="C14930" s="1" t="str">
        <f>HYPERLINK("http://www.genecards.org/cgi-bin/carddisp.pl?gene=VEGFB","GeneCards")</f>
        <v>GeneCards</v>
      </c>
      <c r="D14930" s="1" t="str">
        <f>HYPERLINK("http://genome-euro.ucsc.edu/cgi-bin/hgTracks?position=203683_s_at","UCSC")</f>
        <v>UCSC</v>
      </c>
      <c r="E14930" s="1" t="str">
        <f>HYPERLINK("http://www.ncbi.nlm.nih.gov/gene/?term=VEGFB","NCBI")</f>
        <v>NCBI</v>
      </c>
      <c r="F14930">
        <v>0.61</v>
      </c>
      <c r="G14930">
        <v>0.69</v>
      </c>
      <c r="H14930" s="1" t="str">
        <f>HYPERLINK("http://www.weizmann.ac.il/complex/compphys/software/geview/data/figures/203683_s_at.png","Figure")</f>
        <v>Figure</v>
      </c>
      <c r="I14930">
        <v>1.1599999999999999</v>
      </c>
      <c r="J14930">
        <v>0.59</v>
      </c>
      <c r="K14930">
        <v>1.05</v>
      </c>
      <c r="L14930">
        <v>0.93</v>
      </c>
      <c r="M14930">
        <v>0.90700000000000003</v>
      </c>
      <c r="N14930">
        <v>0.75</v>
      </c>
    </row>
    <row r="14931" spans="1:14" x14ac:dyDescent="0.25">
      <c r="A14931" t="s">
        <v>25262</v>
      </c>
      <c r="B14931" t="s">
        <v>4578</v>
      </c>
      <c r="C14931" s="1" t="str">
        <f>HYPERLINK("http://www.genecards.org/cgi-bin/carddisp.pl?gene=HLA-E","GeneCards")</f>
        <v>GeneCards</v>
      </c>
      <c r="D14931" s="1" t="str">
        <f>HYPERLINK("http://genome-euro.ucsc.edu/cgi-bin/hgTracks?position=217456_x_at","UCSC")</f>
        <v>UCSC</v>
      </c>
      <c r="E14931" s="1" t="str">
        <f>HYPERLINK("http://www.ncbi.nlm.nih.gov/gene/?term=HLA-E","NCBI")</f>
        <v>NCBI</v>
      </c>
      <c r="F14931">
        <v>0.61</v>
      </c>
      <c r="G14931">
        <v>0.69</v>
      </c>
      <c r="H14931" s="1" t="str">
        <f>HYPERLINK("http://www.weizmann.ac.il/complex/compphys/software/geview/data/figures/217456_x_at.png","Figure")</f>
        <v>Figure</v>
      </c>
      <c r="I14931">
        <v>0.879</v>
      </c>
      <c r="J14931">
        <v>0.7</v>
      </c>
      <c r="K14931">
        <v>0.88</v>
      </c>
      <c r="L14931">
        <v>0.63</v>
      </c>
      <c r="M14931">
        <v>1</v>
      </c>
      <c r="N14931">
        <v>1</v>
      </c>
    </row>
    <row r="14932" spans="1:14" x14ac:dyDescent="0.25">
      <c r="A14932" t="s">
        <v>25263</v>
      </c>
      <c r="B14932" t="s">
        <v>2687</v>
      </c>
      <c r="C14932" s="1" t="str">
        <f>HYPERLINK("http://www.genecards.org/cgi-bin/carddisp.pl?gene=RUNX1","GeneCards")</f>
        <v>GeneCards</v>
      </c>
      <c r="D14932" s="1" t="str">
        <f>HYPERLINK("http://genome-euro.ucsc.edu/cgi-bin/hgTracks?position=217263_x_at","UCSC")</f>
        <v>UCSC</v>
      </c>
      <c r="E14932" s="1" t="str">
        <f>HYPERLINK("http://www.ncbi.nlm.nih.gov/gene/?term=RUNX1","NCBI")</f>
        <v>NCBI</v>
      </c>
      <c r="F14932">
        <v>0.61</v>
      </c>
      <c r="G14932">
        <v>0.69</v>
      </c>
      <c r="H14932" s="1" t="str">
        <f>HYPERLINK("http://www.weizmann.ac.il/complex/compphys/software/geview/data/figures/217263_x_at.png","Figure")</f>
        <v>Figure</v>
      </c>
      <c r="I14932">
        <v>1.05</v>
      </c>
      <c r="J14932">
        <v>0.62</v>
      </c>
      <c r="K14932">
        <v>1.04</v>
      </c>
      <c r="L14932">
        <v>0.7</v>
      </c>
      <c r="M14932">
        <v>0.98799999999999999</v>
      </c>
      <c r="N14932">
        <v>0.96</v>
      </c>
    </row>
    <row r="14933" spans="1:14" x14ac:dyDescent="0.25">
      <c r="A14933" t="s">
        <v>25264</v>
      </c>
      <c r="B14933" t="s">
        <v>23280</v>
      </c>
      <c r="C14933" s="1" t="str">
        <f>HYPERLINK("http://www.genecards.org/cgi-bin/carddisp.pl?gene=KIF2A","GeneCards")</f>
        <v>GeneCards</v>
      </c>
      <c r="D14933" s="1" t="str">
        <f>HYPERLINK("http://genome-euro.ucsc.edu/cgi-bin/hgTracks?position=203087_s_at","UCSC")</f>
        <v>UCSC</v>
      </c>
      <c r="E14933" s="1" t="str">
        <f>HYPERLINK("http://www.ncbi.nlm.nih.gov/gene/?term=KIF2A","NCBI")</f>
        <v>NCBI</v>
      </c>
      <c r="F14933">
        <v>0.61</v>
      </c>
      <c r="G14933">
        <v>0.69</v>
      </c>
      <c r="H14933" s="1" t="str">
        <f>HYPERLINK("http://www.weizmann.ac.il/complex/compphys/software/geview/data/figures/203087_s_at.png","Figure")</f>
        <v>Figure</v>
      </c>
      <c r="I14933">
        <v>1.31</v>
      </c>
      <c r="J14933">
        <v>0.61</v>
      </c>
      <c r="K14933">
        <v>1.2</v>
      </c>
      <c r="L14933">
        <v>0.73</v>
      </c>
      <c r="M14933">
        <v>0.91800000000000004</v>
      </c>
      <c r="N14933">
        <v>0.94</v>
      </c>
    </row>
    <row r="14934" spans="1:14" x14ac:dyDescent="0.25">
      <c r="A14934" t="s">
        <v>25265</v>
      </c>
      <c r="B14934" t="s">
        <v>24114</v>
      </c>
      <c r="C14934" s="1" t="str">
        <f>HYPERLINK("http://www.genecards.org/cgi-bin/carddisp.pl?gene=MARCKS","GeneCards")</f>
        <v>GeneCards</v>
      </c>
      <c r="D14934" s="1" t="str">
        <f>HYPERLINK("http://genome-euro.ucsc.edu/cgi-bin/hgTracks?position=213002_at","UCSC")</f>
        <v>UCSC</v>
      </c>
      <c r="E14934" s="1" t="str">
        <f>HYPERLINK("http://www.ncbi.nlm.nih.gov/gene/?term=MARCKS","NCBI")</f>
        <v>NCBI</v>
      </c>
      <c r="F14934">
        <v>0.61</v>
      </c>
      <c r="G14934">
        <v>0.69</v>
      </c>
      <c r="H14934" s="1" t="str">
        <f>HYPERLINK("http://www.weizmann.ac.il/complex/compphys/software/geview/data/figures/213002_at.png","Figure")</f>
        <v>Figure</v>
      </c>
      <c r="I14934">
        <v>0.86499999999999999</v>
      </c>
      <c r="J14934">
        <v>0.71</v>
      </c>
      <c r="K14934">
        <v>1.02</v>
      </c>
      <c r="L14934">
        <v>0.99</v>
      </c>
      <c r="M14934">
        <v>1.18</v>
      </c>
      <c r="N14934">
        <v>0.6</v>
      </c>
    </row>
    <row r="14935" spans="1:14" x14ac:dyDescent="0.25">
      <c r="A14935" t="s">
        <v>25266</v>
      </c>
      <c r="B14935" t="s">
        <v>23577</v>
      </c>
      <c r="C14935" s="1" t="str">
        <f>HYPERLINK("http://www.genecards.org/cgi-bin/carddisp.pl?gene=GPAA1","GeneCards")</f>
        <v>GeneCards</v>
      </c>
      <c r="D14935" s="1" t="str">
        <f>HYPERLINK("http://genome-euro.ucsc.edu/cgi-bin/hgTracks?position=215690_x_at","UCSC")</f>
        <v>UCSC</v>
      </c>
      <c r="E14935" s="1" t="str">
        <f>HYPERLINK("http://www.ncbi.nlm.nih.gov/gene/?term=GPAA1","NCBI")</f>
        <v>NCBI</v>
      </c>
      <c r="F14935">
        <v>0.61</v>
      </c>
      <c r="G14935">
        <v>0.69</v>
      </c>
      <c r="H14935" s="1" t="str">
        <f>HYPERLINK("http://www.weizmann.ac.il/complex/compphys/software/geview/data/figures/215690_x_at.png","Figure")</f>
        <v>Figure</v>
      </c>
      <c r="I14935">
        <v>1.08</v>
      </c>
      <c r="J14935">
        <v>0.79</v>
      </c>
      <c r="K14935">
        <v>0.96399999999999997</v>
      </c>
      <c r="L14935">
        <v>0.94</v>
      </c>
      <c r="M14935">
        <v>0.88900000000000001</v>
      </c>
      <c r="N14935">
        <v>0.57999999999999996</v>
      </c>
    </row>
    <row r="14936" spans="1:14" x14ac:dyDescent="0.25">
      <c r="A14936" t="s">
        <v>25267</v>
      </c>
      <c r="B14936" t="s">
        <v>25268</v>
      </c>
      <c r="C14936" s="1" t="str">
        <f>HYPERLINK("http://www.genecards.org/cgi-bin/carddisp.pl?gene=ZSCAN12","GeneCards")</f>
        <v>GeneCards</v>
      </c>
      <c r="D14936" s="1" t="str">
        <f>HYPERLINK("http://genome-euro.ucsc.edu/cgi-bin/hgTracks?position=206507_at","UCSC")</f>
        <v>UCSC</v>
      </c>
      <c r="E14936" s="1" t="str">
        <f>HYPERLINK("http://www.ncbi.nlm.nih.gov/gene/?term=ZSCAN12","NCBI")</f>
        <v>NCBI</v>
      </c>
      <c r="F14936">
        <v>0.61</v>
      </c>
      <c r="G14936">
        <v>0.69</v>
      </c>
      <c r="H14936" s="1" t="str">
        <f>HYPERLINK("http://www.weizmann.ac.il/complex/compphys/software/geview/data/figures/206507_at.png","Figure")</f>
        <v>Figure</v>
      </c>
      <c r="I14936">
        <v>0.99099999999999999</v>
      </c>
      <c r="J14936">
        <v>0.99</v>
      </c>
      <c r="K14936">
        <v>0.95499999999999996</v>
      </c>
      <c r="L14936">
        <v>0.62</v>
      </c>
      <c r="M14936">
        <v>0.96399999999999997</v>
      </c>
      <c r="N14936">
        <v>0.76</v>
      </c>
    </row>
    <row r="14937" spans="1:14" x14ac:dyDescent="0.25">
      <c r="A14937" t="s">
        <v>25269</v>
      </c>
      <c r="B14937" t="s">
        <v>10312</v>
      </c>
      <c r="C14937" s="1" t="str">
        <f>HYPERLINK("http://www.genecards.org/cgi-bin/carddisp.pl?gene=NAGLU","GeneCards")</f>
        <v>GeneCards</v>
      </c>
      <c r="D14937" s="1" t="str">
        <f>HYPERLINK("http://genome-euro.ucsc.edu/cgi-bin/hgTracks?position=204360_s_at","UCSC")</f>
        <v>UCSC</v>
      </c>
      <c r="E14937" s="1" t="str">
        <f>HYPERLINK("http://www.ncbi.nlm.nih.gov/gene/?term=NAGLU","NCBI")</f>
        <v>NCBI</v>
      </c>
      <c r="F14937">
        <v>0.61</v>
      </c>
      <c r="G14937">
        <v>0.69</v>
      </c>
      <c r="H14937" s="1" t="str">
        <f>HYPERLINK("http://www.weizmann.ac.il/complex/compphys/software/geview/data/figures/204360_s_at.png","Figure")</f>
        <v>Figure</v>
      </c>
      <c r="I14937">
        <v>1.1000000000000001</v>
      </c>
      <c r="J14937">
        <v>0.57999999999999996</v>
      </c>
      <c r="K14937">
        <v>1.05</v>
      </c>
      <c r="L14937">
        <v>0.81</v>
      </c>
      <c r="M14937">
        <v>0.95799999999999996</v>
      </c>
      <c r="N14937">
        <v>0.87</v>
      </c>
    </row>
    <row r="14938" spans="1:14" x14ac:dyDescent="0.25">
      <c r="A14938" t="s">
        <v>25270</v>
      </c>
      <c r="B14938" t="s">
        <v>19030</v>
      </c>
      <c r="C14938" s="1" t="str">
        <f>HYPERLINK("http://www.genecards.org/cgi-bin/carddisp.pl?gene=PEA15","GeneCards")</f>
        <v>GeneCards</v>
      </c>
      <c r="D14938" s="1" t="str">
        <f>HYPERLINK("http://genome-euro.ucsc.edu/cgi-bin/hgTracks?position=200788_s_at","UCSC")</f>
        <v>UCSC</v>
      </c>
      <c r="E14938" s="1" t="str">
        <f>HYPERLINK("http://www.ncbi.nlm.nih.gov/gene/?term=PEA15","NCBI")</f>
        <v>NCBI</v>
      </c>
      <c r="F14938">
        <v>0.61</v>
      </c>
      <c r="G14938">
        <v>0.69</v>
      </c>
      <c r="H14938" s="1" t="str">
        <f>HYPERLINK("http://www.weizmann.ac.il/complex/compphys/software/geview/data/figures/200788_s_at.png","Figure")</f>
        <v>Figure</v>
      </c>
      <c r="I14938">
        <v>1.07</v>
      </c>
      <c r="J14938">
        <v>0.75</v>
      </c>
      <c r="K14938">
        <v>1.08</v>
      </c>
      <c r="L14938">
        <v>0.6</v>
      </c>
      <c r="M14938">
        <v>1.01</v>
      </c>
      <c r="N14938">
        <v>0.99</v>
      </c>
    </row>
    <row r="14939" spans="1:14" x14ac:dyDescent="0.25">
      <c r="A14939" t="s">
        <v>25271</v>
      </c>
      <c r="B14939" t="s">
        <v>25272</v>
      </c>
      <c r="C14939" s="1" t="str">
        <f>HYPERLINK("http://www.genecards.org/cgi-bin/carddisp.pl?gene=ATP7B","GeneCards")</f>
        <v>GeneCards</v>
      </c>
      <c r="D14939" s="1" t="str">
        <f>HYPERLINK("http://genome-euro.ucsc.edu/cgi-bin/hgTracks?position=204624_at","UCSC")</f>
        <v>UCSC</v>
      </c>
      <c r="E14939" s="1" t="str">
        <f>HYPERLINK("http://www.ncbi.nlm.nih.gov/gene/?term=ATP7B","NCBI")</f>
        <v>NCBI</v>
      </c>
      <c r="F14939">
        <v>0.61</v>
      </c>
      <c r="G14939">
        <v>0.69</v>
      </c>
      <c r="H14939" s="1" t="str">
        <f>HYPERLINK("http://www.weizmann.ac.il/complex/compphys/software/geview/data/figures/204624_at.png","Figure")</f>
        <v>Figure</v>
      </c>
      <c r="I14939">
        <v>0.91</v>
      </c>
      <c r="J14939">
        <v>0.59</v>
      </c>
      <c r="K14939">
        <v>0.94499999999999995</v>
      </c>
      <c r="L14939">
        <v>0.78</v>
      </c>
      <c r="M14939">
        <v>1.04</v>
      </c>
      <c r="N14939">
        <v>0.91</v>
      </c>
    </row>
    <row r="14940" spans="1:14" x14ac:dyDescent="0.25">
      <c r="A14940" t="s">
        <v>25273</v>
      </c>
      <c r="B14940" t="s">
        <v>25274</v>
      </c>
      <c r="C14940" s="1" t="str">
        <f>HYPERLINK("http://www.genecards.org/cgi-bin/carddisp.pl?gene=TRPV5","GeneCards")</f>
        <v>GeneCards</v>
      </c>
      <c r="D14940" s="1" t="str">
        <f>HYPERLINK("http://genome-euro.ucsc.edu/cgi-bin/hgTracks?position=208267_at","UCSC")</f>
        <v>UCSC</v>
      </c>
      <c r="E14940" s="1" t="str">
        <f>HYPERLINK("http://www.ncbi.nlm.nih.gov/gene/?term=TRPV5","NCBI")</f>
        <v>NCBI</v>
      </c>
      <c r="F14940">
        <v>0.61</v>
      </c>
      <c r="G14940">
        <v>0.69</v>
      </c>
      <c r="H14940" s="1" t="str">
        <f>HYPERLINK("http://www.weizmann.ac.il/complex/compphys/software/geview/data/figures/208267_at.png","Figure")</f>
        <v>Figure</v>
      </c>
      <c r="I14940">
        <v>1.07</v>
      </c>
      <c r="J14940">
        <v>0.64</v>
      </c>
      <c r="K14940">
        <v>1.01</v>
      </c>
      <c r="L14940">
        <v>1</v>
      </c>
      <c r="M14940">
        <v>0.93799999999999994</v>
      </c>
      <c r="N14940">
        <v>0.65</v>
      </c>
    </row>
    <row r="14941" spans="1:14" x14ac:dyDescent="0.25">
      <c r="A14941" t="s">
        <v>25275</v>
      </c>
      <c r="B14941" t="s">
        <v>25276</v>
      </c>
      <c r="C14941" s="1" t="str">
        <f>HYPERLINK("http://www.genecards.org/cgi-bin/carddisp.pl?gene=UGT2B28","GeneCards")</f>
        <v>GeneCards</v>
      </c>
      <c r="D14941" s="1" t="str">
        <f>HYPERLINK("http://genome-euro.ucsc.edu/cgi-bin/hgTracks?position=211682_x_at","UCSC")</f>
        <v>UCSC</v>
      </c>
      <c r="E14941" s="1" t="str">
        <f>HYPERLINK("http://www.ncbi.nlm.nih.gov/gene/?term=UGT2B28","NCBI")</f>
        <v>NCBI</v>
      </c>
      <c r="F14941">
        <v>0.61</v>
      </c>
      <c r="G14941">
        <v>0.69</v>
      </c>
      <c r="H14941" s="1" t="str">
        <f>HYPERLINK("http://www.weizmann.ac.il/complex/compphys/software/geview/data/figures/211682_x_at.png","Figure")</f>
        <v>Figure</v>
      </c>
      <c r="I14941">
        <v>1.06</v>
      </c>
      <c r="J14941">
        <v>0.57999999999999996</v>
      </c>
      <c r="K14941">
        <v>1.02</v>
      </c>
      <c r="L14941">
        <v>0.88</v>
      </c>
      <c r="M14941">
        <v>0.96799999999999997</v>
      </c>
      <c r="N14941">
        <v>0.81</v>
      </c>
    </row>
    <row r="14942" spans="1:14" x14ac:dyDescent="0.25">
      <c r="A14942" t="s">
        <v>25277</v>
      </c>
      <c r="B14942" t="s">
        <v>25278</v>
      </c>
      <c r="C14942" s="1" t="str">
        <f>HYPERLINK("http://www.genecards.org/cgi-bin/carddisp.pl?gene=LOC100272216","GeneCards")</f>
        <v>GeneCards</v>
      </c>
      <c r="D14942" s="1" t="str">
        <f>HYPERLINK("http://genome-euro.ucsc.edu/cgi-bin/hgTracks?position=213089_at","UCSC")</f>
        <v>UCSC</v>
      </c>
      <c r="E14942" s="1" t="str">
        <f>HYPERLINK("http://www.ncbi.nlm.nih.gov/gene/?term=LOC100272216","NCBI")</f>
        <v>NCBI</v>
      </c>
      <c r="F14942">
        <v>0.61</v>
      </c>
      <c r="G14942">
        <v>0.69</v>
      </c>
      <c r="H14942" s="1" t="str">
        <f>HYPERLINK("http://www.weizmann.ac.il/complex/compphys/software/geview/data/figures/213089_at.png","Figure")</f>
        <v>Figure</v>
      </c>
      <c r="I14942">
        <v>1.52</v>
      </c>
      <c r="J14942">
        <v>0.57999999999999996</v>
      </c>
      <c r="K14942">
        <v>1.17</v>
      </c>
      <c r="L14942">
        <v>0.9</v>
      </c>
      <c r="M14942">
        <v>0.77</v>
      </c>
      <c r="N14942">
        <v>0.78</v>
      </c>
    </row>
    <row r="14943" spans="1:14" x14ac:dyDescent="0.25">
      <c r="A14943" t="s">
        <v>25279</v>
      </c>
      <c r="B14943" t="s">
        <v>17608</v>
      </c>
      <c r="C14943" s="1" t="str">
        <f>HYPERLINK("http://www.genecards.org/cgi-bin/carddisp.pl?gene=C16orf42","GeneCards")</f>
        <v>GeneCards</v>
      </c>
      <c r="D14943" s="1" t="str">
        <f>HYPERLINK("http://genome-euro.ucsc.edu/cgi-bin/hgTracks?position=213104_at","UCSC")</f>
        <v>UCSC</v>
      </c>
      <c r="E14943" s="1" t="str">
        <f>HYPERLINK("http://www.ncbi.nlm.nih.gov/gene/?term=C16orf42","NCBI")</f>
        <v>NCBI</v>
      </c>
      <c r="F14943">
        <v>0.61</v>
      </c>
      <c r="G14943">
        <v>0.69</v>
      </c>
      <c r="H14943" s="1" t="str">
        <f>HYPERLINK("http://www.weizmann.ac.il/complex/compphys/software/geview/data/figures/213104_at.png","Figure")</f>
        <v>Figure</v>
      </c>
      <c r="I14943">
        <v>0.92100000000000004</v>
      </c>
      <c r="J14943">
        <v>0.71</v>
      </c>
      <c r="K14943">
        <v>1.01</v>
      </c>
      <c r="L14943">
        <v>0.99</v>
      </c>
      <c r="M14943">
        <v>1.1000000000000001</v>
      </c>
      <c r="N14943">
        <v>0.6</v>
      </c>
    </row>
    <row r="14944" spans="1:14" x14ac:dyDescent="0.25">
      <c r="A14944" t="s">
        <v>25280</v>
      </c>
      <c r="B14944" t="s">
        <v>5820</v>
      </c>
      <c r="C14944" s="1" t="str">
        <f>HYPERLINK("http://www.genecards.org/cgi-bin/carddisp.pl?gene=PRNP","GeneCards")</f>
        <v>GeneCards</v>
      </c>
      <c r="D14944" s="1" t="str">
        <f>HYPERLINK("http://genome-euro.ucsc.edu/cgi-bin/hgTracks?position=215707_s_at","UCSC")</f>
        <v>UCSC</v>
      </c>
      <c r="E14944" s="1" t="str">
        <f>HYPERLINK("http://www.ncbi.nlm.nih.gov/gene/?term=PRNP","NCBI")</f>
        <v>NCBI</v>
      </c>
      <c r="F14944">
        <v>0.61</v>
      </c>
      <c r="G14944">
        <v>0.69</v>
      </c>
      <c r="H14944" s="1" t="str">
        <f>HYPERLINK("http://www.weizmann.ac.il/complex/compphys/software/geview/data/figures/215707_s_at.png","Figure")</f>
        <v>Figure</v>
      </c>
      <c r="I14944">
        <v>0.91100000000000003</v>
      </c>
      <c r="J14944">
        <v>0.78</v>
      </c>
      <c r="K14944">
        <v>0.88600000000000001</v>
      </c>
      <c r="L14944">
        <v>0.59</v>
      </c>
      <c r="M14944">
        <v>0.97299999999999998</v>
      </c>
      <c r="N14944">
        <v>0.98</v>
      </c>
    </row>
    <row r="14945" spans="1:14" x14ac:dyDescent="0.25">
      <c r="A14945" t="s">
        <v>25281</v>
      </c>
      <c r="B14945" t="s">
        <v>5914</v>
      </c>
      <c r="C14945" s="1" t="str">
        <f>HYPERLINK("http://www.genecards.org/cgi-bin/carddisp.pl?gene=NPM1","GeneCards")</f>
        <v>GeneCards</v>
      </c>
      <c r="D14945" s="1" t="str">
        <f>HYPERLINK("http://genome-euro.ucsc.edu/cgi-bin/hgTracks?position=221923_s_at","UCSC")</f>
        <v>UCSC</v>
      </c>
      <c r="E14945" s="1" t="str">
        <f>HYPERLINK("http://www.ncbi.nlm.nih.gov/gene/?term=NPM1","NCBI")</f>
        <v>NCBI</v>
      </c>
      <c r="F14945">
        <v>0.61</v>
      </c>
      <c r="G14945">
        <v>0.69</v>
      </c>
      <c r="H14945" s="1" t="str">
        <f>HYPERLINK("http://www.weizmann.ac.il/complex/compphys/software/geview/data/figures/221923_s_at.png","Figure")</f>
        <v>Figure</v>
      </c>
      <c r="I14945">
        <v>1.21</v>
      </c>
      <c r="J14945">
        <v>0.63</v>
      </c>
      <c r="K14945">
        <v>1.02</v>
      </c>
      <c r="L14945">
        <v>0.99</v>
      </c>
      <c r="M14945">
        <v>0.84699999999999998</v>
      </c>
      <c r="N14945">
        <v>0.66</v>
      </c>
    </row>
    <row r="14946" spans="1:14" x14ac:dyDescent="0.25">
      <c r="A14946" t="s">
        <v>25282</v>
      </c>
      <c r="B14946" t="s">
        <v>15736</v>
      </c>
      <c r="C14946" s="1" t="str">
        <f>HYPERLINK("http://www.genecards.org/cgi-bin/carddisp.pl?gene=SP110","GeneCards")</f>
        <v>GeneCards</v>
      </c>
      <c r="D14946" s="1" t="str">
        <f>HYPERLINK("http://genome-euro.ucsc.edu/cgi-bin/hgTracks?position=208392_x_at","UCSC")</f>
        <v>UCSC</v>
      </c>
      <c r="E14946" s="1" t="str">
        <f>HYPERLINK("http://www.ncbi.nlm.nih.gov/gene/?term=SP110","NCBI")</f>
        <v>NCBI</v>
      </c>
      <c r="F14946">
        <v>0.61</v>
      </c>
      <c r="G14946">
        <v>0.69</v>
      </c>
      <c r="H14946" s="1" t="str">
        <f>HYPERLINK("http://www.weizmann.ac.il/complex/compphys/software/geview/data/figures/208392_x_at.png","Figure")</f>
        <v>Figure</v>
      </c>
      <c r="I14946">
        <v>0.99299999999999999</v>
      </c>
      <c r="J14946">
        <v>1</v>
      </c>
      <c r="K14946">
        <v>1.0900000000000001</v>
      </c>
      <c r="L14946">
        <v>0.69</v>
      </c>
      <c r="M14946">
        <v>1.0900000000000001</v>
      </c>
      <c r="N14946">
        <v>0.68</v>
      </c>
    </row>
    <row r="14947" spans="1:14" x14ac:dyDescent="0.25">
      <c r="A14947" t="s">
        <v>25283</v>
      </c>
      <c r="B14947" t="s">
        <v>25284</v>
      </c>
      <c r="C14947" s="1" t="str">
        <f>HYPERLINK("http://www.genecards.org/cgi-bin/carddisp.pl?gene=KIAA0528","GeneCards")</f>
        <v>GeneCards</v>
      </c>
      <c r="D14947" s="1" t="str">
        <f>HYPERLINK("http://genome-euro.ucsc.edu/cgi-bin/hgTracks?position=212943_at","UCSC")</f>
        <v>UCSC</v>
      </c>
      <c r="E14947" s="1" t="str">
        <f>HYPERLINK("http://www.ncbi.nlm.nih.gov/gene/?term=KIAA0528","NCBI")</f>
        <v>NCBI</v>
      </c>
      <c r="F14947">
        <v>0.61</v>
      </c>
      <c r="G14947">
        <v>0.69</v>
      </c>
      <c r="H14947" s="1" t="str">
        <f>HYPERLINK("http://www.weizmann.ac.il/complex/compphys/software/geview/data/figures/212943_at.png","Figure")</f>
        <v>Figure</v>
      </c>
      <c r="I14947">
        <v>0.85899999999999999</v>
      </c>
      <c r="J14947">
        <v>0.61</v>
      </c>
      <c r="K14947">
        <v>0.90200000000000002</v>
      </c>
      <c r="L14947">
        <v>0.74</v>
      </c>
      <c r="M14947">
        <v>1.05</v>
      </c>
      <c r="N14947">
        <v>0.94</v>
      </c>
    </row>
    <row r="14948" spans="1:14" x14ac:dyDescent="0.25">
      <c r="A14948" t="s">
        <v>25285</v>
      </c>
      <c r="B14948" t="s">
        <v>6951</v>
      </c>
      <c r="C14948" s="1" t="str">
        <f>HYPERLINK("http://www.genecards.org/cgi-bin/carddisp.pl?gene=GRSF1","GeneCards")</f>
        <v>GeneCards</v>
      </c>
      <c r="D14948" s="1" t="str">
        <f>HYPERLINK("http://genome-euro.ucsc.edu/cgi-bin/hgTracks?position=201520_s_at","UCSC")</f>
        <v>UCSC</v>
      </c>
      <c r="E14948" s="1" t="str">
        <f>HYPERLINK("http://www.ncbi.nlm.nih.gov/gene/?term=GRSF1","NCBI")</f>
        <v>NCBI</v>
      </c>
      <c r="F14948">
        <v>0.61</v>
      </c>
      <c r="G14948">
        <v>0.69</v>
      </c>
      <c r="H14948" s="1" t="str">
        <f>HYPERLINK("http://www.weizmann.ac.il/complex/compphys/software/geview/data/figures/201520_s_at.png","Figure")</f>
        <v>Figure</v>
      </c>
      <c r="I14948">
        <v>0.97599999999999998</v>
      </c>
      <c r="J14948">
        <v>0.98</v>
      </c>
      <c r="K14948">
        <v>1.0900000000000001</v>
      </c>
      <c r="L14948">
        <v>0.73</v>
      </c>
      <c r="M14948">
        <v>1.1200000000000001</v>
      </c>
      <c r="N14948">
        <v>0.64</v>
      </c>
    </row>
    <row r="14949" spans="1:14" x14ac:dyDescent="0.25">
      <c r="A14949" t="s">
        <v>25286</v>
      </c>
      <c r="B14949" t="s">
        <v>8182</v>
      </c>
      <c r="C14949" s="1" t="str">
        <f>HYPERLINK("http://www.genecards.org/cgi-bin/carddisp.pl?gene=MRPS18B","GeneCards")</f>
        <v>GeneCards</v>
      </c>
      <c r="D14949" s="1" t="str">
        <f>HYPERLINK("http://genome-euro.ucsc.edu/cgi-bin/hgTracks?position=208907_s_at","UCSC")</f>
        <v>UCSC</v>
      </c>
      <c r="E14949" s="1" t="str">
        <f>HYPERLINK("http://www.ncbi.nlm.nih.gov/gene/?term=MRPS18B","NCBI")</f>
        <v>NCBI</v>
      </c>
      <c r="F14949">
        <v>0.61</v>
      </c>
      <c r="G14949">
        <v>0.69</v>
      </c>
      <c r="H14949" s="1" t="str">
        <f>HYPERLINK("http://www.weizmann.ac.il/complex/compphys/software/geview/data/figures/208907_s_at.png","Figure")</f>
        <v>Figure</v>
      </c>
      <c r="I14949">
        <v>0.96499999999999997</v>
      </c>
      <c r="J14949">
        <v>0.95</v>
      </c>
      <c r="K14949">
        <v>1.07</v>
      </c>
      <c r="L14949">
        <v>0.78</v>
      </c>
      <c r="M14949">
        <v>1.1100000000000001</v>
      </c>
      <c r="N14949">
        <v>0.62</v>
      </c>
    </row>
    <row r="14950" spans="1:14" x14ac:dyDescent="0.25">
      <c r="A14950" t="s">
        <v>25287</v>
      </c>
      <c r="B14950" t="s">
        <v>25288</v>
      </c>
      <c r="C14950" s="1" t="str">
        <f>HYPERLINK("http://www.genecards.org/cgi-bin/carddisp.pl?gene=BFSP1","GeneCards")</f>
        <v>GeneCards</v>
      </c>
      <c r="D14950" s="1" t="str">
        <f>HYPERLINK("http://genome-euro.ucsc.edu/cgi-bin/hgTracks?position=206746_at","UCSC")</f>
        <v>UCSC</v>
      </c>
      <c r="E14950" s="1" t="str">
        <f>HYPERLINK("http://www.ncbi.nlm.nih.gov/gene/?term=BFSP1","NCBI")</f>
        <v>NCBI</v>
      </c>
      <c r="F14950">
        <v>0.61</v>
      </c>
      <c r="G14950">
        <v>0.69</v>
      </c>
      <c r="H14950" s="1" t="str">
        <f>HYPERLINK("http://www.weizmann.ac.il/complex/compphys/software/geview/data/figures/206746_at.png","Figure")</f>
        <v>Figure</v>
      </c>
      <c r="I14950">
        <v>1.02</v>
      </c>
      <c r="J14950">
        <v>0.71</v>
      </c>
      <c r="K14950">
        <v>0.998</v>
      </c>
      <c r="L14950">
        <v>0.99</v>
      </c>
      <c r="M14950">
        <v>0.98099999999999998</v>
      </c>
      <c r="N14950">
        <v>0.6</v>
      </c>
    </row>
    <row r="14951" spans="1:14" x14ac:dyDescent="0.25">
      <c r="A14951" t="s">
        <v>25289</v>
      </c>
      <c r="B14951" t="s">
        <v>25290</v>
      </c>
      <c r="C14951" s="1" t="str">
        <f>HYPERLINK("http://www.genecards.org/cgi-bin/carddisp.pl?gene=WDR60","GeneCards")</f>
        <v>GeneCards</v>
      </c>
      <c r="D14951" s="1" t="str">
        <f>HYPERLINK("http://genome-euro.ucsc.edu/cgi-bin/hgTracks?position=219251_s_at","UCSC")</f>
        <v>UCSC</v>
      </c>
      <c r="E14951" s="1" t="str">
        <f>HYPERLINK("http://www.ncbi.nlm.nih.gov/gene/?term=WDR60","NCBI")</f>
        <v>NCBI</v>
      </c>
      <c r="F14951">
        <v>0.61</v>
      </c>
      <c r="G14951">
        <v>0.69</v>
      </c>
      <c r="H14951" s="1" t="str">
        <f>HYPERLINK("http://www.weizmann.ac.il/complex/compphys/software/geview/data/figures/219251_s_at.png","Figure")</f>
        <v>Figure</v>
      </c>
      <c r="I14951">
        <v>1.0900000000000001</v>
      </c>
      <c r="J14951">
        <v>0.82</v>
      </c>
      <c r="K14951">
        <v>0.95199999999999996</v>
      </c>
      <c r="L14951">
        <v>0.92</v>
      </c>
      <c r="M14951">
        <v>0.872</v>
      </c>
      <c r="N14951">
        <v>0.57999999999999996</v>
      </c>
    </row>
    <row r="14952" spans="1:14" x14ac:dyDescent="0.25">
      <c r="A14952" t="s">
        <v>25291</v>
      </c>
      <c r="B14952" t="s">
        <v>24783</v>
      </c>
      <c r="C14952" s="1" t="str">
        <f>HYPERLINK("http://www.genecards.org/cgi-bin/carddisp.pl?gene=CASR","GeneCards")</f>
        <v>GeneCards</v>
      </c>
      <c r="D14952" s="1" t="str">
        <f>HYPERLINK("http://genome-euro.ucsc.edu/cgi-bin/hgTracks?position=211384_s_at","UCSC")</f>
        <v>UCSC</v>
      </c>
      <c r="E14952" s="1" t="str">
        <f>HYPERLINK("http://www.ncbi.nlm.nih.gov/gene/?term=CASR","NCBI")</f>
        <v>NCBI</v>
      </c>
      <c r="F14952">
        <v>0.61</v>
      </c>
      <c r="G14952">
        <v>0.69</v>
      </c>
      <c r="H14952" s="1" t="str">
        <f>HYPERLINK("http://www.weizmann.ac.il/complex/compphys/software/geview/data/figures/211384_s_at.png","Figure")</f>
        <v>Figure</v>
      </c>
      <c r="I14952">
        <v>0.96099999999999997</v>
      </c>
      <c r="J14952">
        <v>0.69</v>
      </c>
      <c r="K14952">
        <v>1</v>
      </c>
      <c r="L14952">
        <v>1</v>
      </c>
      <c r="M14952">
        <v>1.04</v>
      </c>
      <c r="N14952">
        <v>0.61</v>
      </c>
    </row>
    <row r="14953" spans="1:14" x14ac:dyDescent="0.25">
      <c r="A14953" t="s">
        <v>25292</v>
      </c>
      <c r="B14953" t="s">
        <v>25293</v>
      </c>
      <c r="C14953" s="1" t="str">
        <f>HYPERLINK("http://www.genecards.org/cgi-bin/carddisp.pl?gene=ZFAND3","GeneCards")</f>
        <v>GeneCards</v>
      </c>
      <c r="D14953" s="1" t="str">
        <f>HYPERLINK("http://genome-euro.ucsc.edu/cgi-bin/hgTracks?position=218020_s_at","UCSC")</f>
        <v>UCSC</v>
      </c>
      <c r="E14953" s="1" t="str">
        <f>HYPERLINK("http://www.ncbi.nlm.nih.gov/gene/?term=ZFAND3","NCBI")</f>
        <v>NCBI</v>
      </c>
      <c r="F14953">
        <v>0.61</v>
      </c>
      <c r="G14953">
        <v>0.69</v>
      </c>
      <c r="H14953" s="1" t="str">
        <f>HYPERLINK("http://www.weizmann.ac.il/complex/compphys/software/geview/data/figures/218020_s_at.png","Figure")</f>
        <v>Figure</v>
      </c>
      <c r="I14953">
        <v>0.91</v>
      </c>
      <c r="J14953">
        <v>0.72</v>
      </c>
      <c r="K14953">
        <v>1.02</v>
      </c>
      <c r="L14953">
        <v>0.99</v>
      </c>
      <c r="M14953">
        <v>1.1200000000000001</v>
      </c>
      <c r="N14953">
        <v>0.6</v>
      </c>
    </row>
    <row r="14954" spans="1:14" x14ac:dyDescent="0.25">
      <c r="A14954" t="s">
        <v>25294</v>
      </c>
      <c r="B14954" t="s">
        <v>12371</v>
      </c>
      <c r="C14954" s="1" t="str">
        <f>HYPERLINK("http://www.genecards.org/cgi-bin/carddisp.pl?gene=ATP9A","GeneCards")</f>
        <v>GeneCards</v>
      </c>
      <c r="D14954" s="1" t="str">
        <f>HYPERLINK("http://genome-euro.ucsc.edu/cgi-bin/hgTracks?position=216129_at","UCSC")</f>
        <v>UCSC</v>
      </c>
      <c r="E14954" s="1" t="str">
        <f>HYPERLINK("http://www.ncbi.nlm.nih.gov/gene/?term=ATP9A","NCBI")</f>
        <v>NCBI</v>
      </c>
      <c r="F14954">
        <v>0.61</v>
      </c>
      <c r="G14954">
        <v>0.69</v>
      </c>
      <c r="H14954" s="1" t="str">
        <f>HYPERLINK("http://www.weizmann.ac.il/complex/compphys/software/geview/data/figures/216129_at.png","Figure")</f>
        <v>Figure</v>
      </c>
      <c r="I14954">
        <v>0.98099999999999998</v>
      </c>
      <c r="J14954">
        <v>0.98</v>
      </c>
      <c r="K14954">
        <v>0.91</v>
      </c>
      <c r="L14954">
        <v>0.62</v>
      </c>
      <c r="M14954">
        <v>0.92800000000000005</v>
      </c>
      <c r="N14954">
        <v>0.77</v>
      </c>
    </row>
    <row r="14955" spans="1:14" x14ac:dyDescent="0.25">
      <c r="A14955" t="s">
        <v>25295</v>
      </c>
      <c r="B14955" t="s">
        <v>25296</v>
      </c>
      <c r="C14955" s="1" t="str">
        <f>HYPERLINK("http://www.genecards.org/cgi-bin/carddisp.pl?gene=BAT2","GeneCards")</f>
        <v>GeneCards</v>
      </c>
      <c r="D14955" s="1" t="str">
        <f>HYPERLINK("http://genome-euro.ucsc.edu/cgi-bin/hgTracks?position=208132_x_at","UCSC")</f>
        <v>UCSC</v>
      </c>
      <c r="E14955" s="1" t="str">
        <f>HYPERLINK("http://www.ncbi.nlm.nih.gov/gene/?term=BAT2","NCBI")</f>
        <v>NCBI</v>
      </c>
      <c r="F14955">
        <v>0.61</v>
      </c>
      <c r="G14955">
        <v>0.69</v>
      </c>
      <c r="H14955" s="1" t="str">
        <f>HYPERLINK("http://www.weizmann.ac.il/complex/compphys/software/geview/data/figures/208132_x_at.png","Figure")</f>
        <v>Figure</v>
      </c>
      <c r="I14955">
        <v>1.1299999999999999</v>
      </c>
      <c r="J14955">
        <v>0.57999999999999996</v>
      </c>
      <c r="K14955">
        <v>1.05</v>
      </c>
      <c r="L14955">
        <v>0.89</v>
      </c>
      <c r="M14955">
        <v>0.93</v>
      </c>
      <c r="N14955">
        <v>0.79</v>
      </c>
    </row>
    <row r="14956" spans="1:14" x14ac:dyDescent="0.25">
      <c r="A14956" t="s">
        <v>25297</v>
      </c>
      <c r="B14956" t="s">
        <v>25298</v>
      </c>
      <c r="C14956" s="1" t="str">
        <f>HYPERLINK("http://www.genecards.org/cgi-bin/carddisp.pl?gene=RPL9","GeneCards")</f>
        <v>GeneCards</v>
      </c>
      <c r="D14956" s="1" t="str">
        <f>HYPERLINK("http://genome-euro.ucsc.edu/cgi-bin/hgTracks?position=200032_s_at","UCSC")</f>
        <v>UCSC</v>
      </c>
      <c r="E14956" s="1" t="str">
        <f>HYPERLINK("http://www.ncbi.nlm.nih.gov/gene/?term=RPL9","NCBI")</f>
        <v>NCBI</v>
      </c>
      <c r="F14956">
        <v>0.61</v>
      </c>
      <c r="G14956">
        <v>0.69</v>
      </c>
      <c r="H14956" s="1" t="str">
        <f>HYPERLINK("http://www.weizmann.ac.il/complex/compphys/software/geview/data/figures/200032_s_at.png","Figure")</f>
        <v>Figure</v>
      </c>
      <c r="I14956">
        <v>0.93300000000000005</v>
      </c>
      <c r="J14956">
        <v>0.6</v>
      </c>
      <c r="K14956">
        <v>0.98</v>
      </c>
      <c r="L14956">
        <v>0.94</v>
      </c>
      <c r="M14956">
        <v>1.05</v>
      </c>
      <c r="N14956">
        <v>0.73</v>
      </c>
    </row>
    <row r="14957" spans="1:14" x14ac:dyDescent="0.25">
      <c r="A14957" t="s">
        <v>25299</v>
      </c>
      <c r="B14957" t="s">
        <v>11584</v>
      </c>
      <c r="C14957" s="1" t="str">
        <f>HYPERLINK("http://www.genecards.org/cgi-bin/carddisp.pl?gene=NCR3","GeneCards")</f>
        <v>GeneCards</v>
      </c>
      <c r="D14957" s="1" t="str">
        <f>HYPERLINK("http://genome-euro.ucsc.edu/cgi-bin/hgTracks?position=211583_x_at","UCSC")</f>
        <v>UCSC</v>
      </c>
      <c r="E14957" s="1" t="str">
        <f>HYPERLINK("http://www.ncbi.nlm.nih.gov/gene/?term=NCR3","NCBI")</f>
        <v>NCBI</v>
      </c>
      <c r="F14957">
        <v>0.61</v>
      </c>
      <c r="G14957">
        <v>0.69</v>
      </c>
      <c r="H14957" s="1" t="str">
        <f>HYPERLINK("http://www.weizmann.ac.il/complex/compphys/software/geview/data/figures/211583_x_at.png","Figure")</f>
        <v>Figure</v>
      </c>
      <c r="I14957">
        <v>1.05</v>
      </c>
      <c r="J14957">
        <v>0.9</v>
      </c>
      <c r="K14957">
        <v>0.95199999999999996</v>
      </c>
      <c r="L14957">
        <v>0.84</v>
      </c>
      <c r="M14957">
        <v>0.91</v>
      </c>
      <c r="N14957">
        <v>0.59</v>
      </c>
    </row>
    <row r="14958" spans="1:14" x14ac:dyDescent="0.25">
      <c r="A14958" t="s">
        <v>25300</v>
      </c>
      <c r="B14958" t="s">
        <v>14646</v>
      </c>
      <c r="C14958" s="1" t="str">
        <f>HYPERLINK("http://www.genecards.org/cgi-bin/carddisp.pl?gene=RFC5","GeneCards")</f>
        <v>GeneCards</v>
      </c>
      <c r="D14958" s="1" t="str">
        <f>HYPERLINK("http://genome-euro.ucsc.edu/cgi-bin/hgTracks?position=203210_s_at","UCSC")</f>
        <v>UCSC</v>
      </c>
      <c r="E14958" s="1" t="str">
        <f>HYPERLINK("http://www.ncbi.nlm.nih.gov/gene/?term=RFC5","NCBI")</f>
        <v>NCBI</v>
      </c>
      <c r="F14958">
        <v>0.61</v>
      </c>
      <c r="G14958">
        <v>0.69</v>
      </c>
      <c r="H14958" s="1" t="str">
        <f>HYPERLINK("http://www.weizmann.ac.il/complex/compphys/software/geview/data/figures/203210_s_at.png","Figure")</f>
        <v>Figure</v>
      </c>
      <c r="I14958">
        <v>0.91200000000000003</v>
      </c>
      <c r="J14958">
        <v>0.6</v>
      </c>
      <c r="K14958">
        <v>0.97399999999999998</v>
      </c>
      <c r="L14958">
        <v>0.95</v>
      </c>
      <c r="M14958">
        <v>1.07</v>
      </c>
      <c r="N14958">
        <v>0.73</v>
      </c>
    </row>
    <row r="14959" spans="1:14" x14ac:dyDescent="0.25">
      <c r="A14959" t="s">
        <v>25301</v>
      </c>
      <c r="B14959" t="s">
        <v>20250</v>
      </c>
      <c r="C14959" s="1" t="str">
        <f>HYPERLINK("http://www.genecards.org/cgi-bin/carddisp.pl?gene=LOC399491","GeneCards")</f>
        <v>GeneCards</v>
      </c>
      <c r="D14959" s="1" t="str">
        <f>HYPERLINK("http://genome-euro.ucsc.edu/cgi-bin/hgTracks?position=214035_x_at","UCSC")</f>
        <v>UCSC</v>
      </c>
      <c r="E14959" s="1" t="str">
        <f>HYPERLINK("http://www.ncbi.nlm.nih.gov/gene/?term=LOC399491","NCBI")</f>
        <v>NCBI</v>
      </c>
      <c r="F14959">
        <v>0.61</v>
      </c>
      <c r="G14959">
        <v>0.69</v>
      </c>
      <c r="H14959" s="1" t="str">
        <f>HYPERLINK("http://www.weizmann.ac.il/complex/compphys/software/geview/data/figures/214035_x_at.png","Figure")</f>
        <v>Figure</v>
      </c>
      <c r="I14959">
        <v>1.1100000000000001</v>
      </c>
      <c r="J14959">
        <v>0.9</v>
      </c>
      <c r="K14959">
        <v>1.22</v>
      </c>
      <c r="L14959">
        <v>0.57999999999999996</v>
      </c>
      <c r="M14959">
        <v>1.1100000000000001</v>
      </c>
      <c r="N14959">
        <v>0.88</v>
      </c>
    </row>
    <row r="14960" spans="1:14" x14ac:dyDescent="0.25">
      <c r="A14960" t="s">
        <v>25302</v>
      </c>
      <c r="B14960" t="s">
        <v>25303</v>
      </c>
      <c r="C14960" s="1" t="str">
        <f>HYPERLINK("http://www.genecards.org/cgi-bin/carddisp.pl?gene=REV1","GeneCards")</f>
        <v>GeneCards</v>
      </c>
      <c r="D14960" s="1" t="str">
        <f>HYPERLINK("http://genome-euro.ucsc.edu/cgi-bin/hgTracks?position=218428_s_at","UCSC")</f>
        <v>UCSC</v>
      </c>
      <c r="E14960" s="1" t="str">
        <f>HYPERLINK("http://www.ncbi.nlm.nih.gov/gene/?term=REV1","NCBI")</f>
        <v>NCBI</v>
      </c>
      <c r="F14960">
        <v>0.61</v>
      </c>
      <c r="G14960">
        <v>0.69</v>
      </c>
      <c r="H14960" s="1" t="str">
        <f>HYPERLINK("http://www.weizmann.ac.il/complex/compphys/software/geview/data/figures/218428_s_at.png","Figure")</f>
        <v>Figure</v>
      </c>
      <c r="I14960">
        <v>0.86399999999999999</v>
      </c>
      <c r="J14960">
        <v>0.86</v>
      </c>
      <c r="K14960">
        <v>1.1200000000000001</v>
      </c>
      <c r="L14960">
        <v>0.89</v>
      </c>
      <c r="M14960">
        <v>1.29</v>
      </c>
      <c r="N14960">
        <v>0.57999999999999996</v>
      </c>
    </row>
    <row r="14961" spans="1:14" x14ac:dyDescent="0.25">
      <c r="A14961" t="s">
        <v>25304</v>
      </c>
      <c r="B14961" t="s">
        <v>23791</v>
      </c>
      <c r="C14961" s="1" t="str">
        <f>HYPERLINK("http://www.genecards.org/cgi-bin/carddisp.pl?gene=HBA1 /// HBA2","GeneCards")</f>
        <v>GeneCards</v>
      </c>
      <c r="D14961" s="1" t="str">
        <f>HYPERLINK("http://genome-euro.ucsc.edu/cgi-bin/hgTracks?position=209458_x_at","UCSC")</f>
        <v>UCSC</v>
      </c>
      <c r="E14961" s="1" t="str">
        <f>HYPERLINK("http://www.ncbi.nlm.nih.gov/gene/?term=HBA1 /// HBA2","NCBI")</f>
        <v>NCBI</v>
      </c>
      <c r="F14961">
        <v>0.61</v>
      </c>
      <c r="G14961">
        <v>0.7</v>
      </c>
      <c r="H14961" s="1" t="str">
        <f>HYPERLINK("http://www.weizmann.ac.il/complex/compphys/software/geview/data/figures/209458_x_at.png","Figure")</f>
        <v>Figure</v>
      </c>
      <c r="I14961">
        <v>2.5499999999999998</v>
      </c>
      <c r="J14961">
        <v>0.57999999999999996</v>
      </c>
      <c r="K14961">
        <v>1.47</v>
      </c>
      <c r="L14961">
        <v>0.88</v>
      </c>
      <c r="M14961">
        <v>0.57699999999999996</v>
      </c>
      <c r="N14961">
        <v>0.8</v>
      </c>
    </row>
    <row r="14962" spans="1:14" x14ac:dyDescent="0.25">
      <c r="A14962" t="s">
        <v>25305</v>
      </c>
      <c r="B14962" t="s">
        <v>21853</v>
      </c>
      <c r="C14962" s="1" t="str">
        <f>HYPERLINK("http://www.genecards.org/cgi-bin/carddisp.pl?gene=UPK1B","GeneCards")</f>
        <v>GeneCards</v>
      </c>
      <c r="D14962" s="1" t="str">
        <f>HYPERLINK("http://genome-euro.ucsc.edu/cgi-bin/hgTracks?position=210064_s_at","UCSC")</f>
        <v>UCSC</v>
      </c>
      <c r="E14962" s="1" t="str">
        <f>HYPERLINK("http://www.ncbi.nlm.nih.gov/gene/?term=UPK1B","NCBI")</f>
        <v>NCBI</v>
      </c>
      <c r="F14962">
        <v>0.61</v>
      </c>
      <c r="G14962">
        <v>0.7</v>
      </c>
      <c r="H14962" s="1" t="str">
        <f>HYPERLINK("http://www.weizmann.ac.il/complex/compphys/software/geview/data/figures/210064_s_at.png","Figure")</f>
        <v>Figure</v>
      </c>
      <c r="I14962">
        <v>1.1000000000000001</v>
      </c>
      <c r="J14962">
        <v>0.63</v>
      </c>
      <c r="K14962">
        <v>1.01</v>
      </c>
      <c r="L14962">
        <v>0.99</v>
      </c>
      <c r="M14962">
        <v>0.92200000000000004</v>
      </c>
      <c r="N14962">
        <v>0.67</v>
      </c>
    </row>
    <row r="14963" spans="1:14" x14ac:dyDescent="0.25">
      <c r="A14963" t="s">
        <v>25306</v>
      </c>
      <c r="B14963" t="s">
        <v>25307</v>
      </c>
      <c r="C14963" s="1" t="str">
        <f>HYPERLINK("http://www.genecards.org/cgi-bin/carddisp.pl?gene=CHRND","GeneCards")</f>
        <v>GeneCards</v>
      </c>
      <c r="D14963" s="1" t="str">
        <f>HYPERLINK("http://genome-euro.ucsc.edu/cgi-bin/hgTracks?position=207024_at","UCSC")</f>
        <v>UCSC</v>
      </c>
      <c r="E14963" s="1" t="str">
        <f>HYPERLINK("http://www.ncbi.nlm.nih.gov/gene/?term=CHRND","NCBI")</f>
        <v>NCBI</v>
      </c>
      <c r="F14963">
        <v>0.61</v>
      </c>
      <c r="G14963">
        <v>0.7</v>
      </c>
      <c r="H14963" s="1" t="str">
        <f>HYPERLINK("http://www.weizmann.ac.il/complex/compphys/software/geview/data/figures/207024_at.png","Figure")</f>
        <v>Figure</v>
      </c>
      <c r="I14963">
        <v>1.03</v>
      </c>
      <c r="J14963">
        <v>0.75</v>
      </c>
      <c r="K14963">
        <v>0.99199999999999999</v>
      </c>
      <c r="L14963">
        <v>0.97</v>
      </c>
      <c r="M14963">
        <v>0.96399999999999997</v>
      </c>
      <c r="N14963">
        <v>0.59</v>
      </c>
    </row>
    <row r="14964" spans="1:14" x14ac:dyDescent="0.25">
      <c r="A14964" t="s">
        <v>25308</v>
      </c>
      <c r="B14964" t="s">
        <v>25309</v>
      </c>
      <c r="C14964" s="1" t="str">
        <f>HYPERLINK("http://www.genecards.org/cgi-bin/carddisp.pl?gene=CYP4F2 /// CYP4F3","GeneCards")</f>
        <v>GeneCards</v>
      </c>
      <c r="D14964" s="1" t="str">
        <f>HYPERLINK("http://genome-euro.ucsc.edu/cgi-bin/hgTracks?position=206514_s_at","UCSC")</f>
        <v>UCSC</v>
      </c>
      <c r="E14964" s="1" t="str">
        <f>HYPERLINK("http://www.ncbi.nlm.nih.gov/gene/?term=CYP4F2 /// CYP4F3","NCBI")</f>
        <v>NCBI</v>
      </c>
      <c r="F14964">
        <v>0.61</v>
      </c>
      <c r="G14964">
        <v>0.7</v>
      </c>
      <c r="H14964" s="1" t="str">
        <f>HYPERLINK("http://www.weizmann.ac.il/complex/compphys/software/geview/data/figures/206514_s_at.png","Figure")</f>
        <v>Figure</v>
      </c>
      <c r="I14964">
        <v>1.01</v>
      </c>
      <c r="J14964">
        <v>0.67</v>
      </c>
      <c r="K14964">
        <v>1</v>
      </c>
      <c r="L14964">
        <v>1</v>
      </c>
      <c r="M14964">
        <v>0.99</v>
      </c>
      <c r="N14964">
        <v>0.63</v>
      </c>
    </row>
    <row r="14965" spans="1:14" x14ac:dyDescent="0.25">
      <c r="A14965" t="s">
        <v>25310</v>
      </c>
      <c r="B14965" t="s">
        <v>22344</v>
      </c>
      <c r="C14965" s="1" t="str">
        <f>HYPERLINK("http://www.genecards.org/cgi-bin/carddisp.pl?gene=MICAL2","GeneCards")</f>
        <v>GeneCards</v>
      </c>
      <c r="D14965" s="1" t="str">
        <f>HYPERLINK("http://genome-euro.ucsc.edu/cgi-bin/hgTracks?position=212473_s_at","UCSC")</f>
        <v>UCSC</v>
      </c>
      <c r="E14965" s="1" t="str">
        <f>HYPERLINK("http://www.ncbi.nlm.nih.gov/gene/?term=MICAL2","NCBI")</f>
        <v>NCBI</v>
      </c>
      <c r="F14965">
        <v>0.61</v>
      </c>
      <c r="G14965">
        <v>0.7</v>
      </c>
      <c r="H14965" s="1" t="str">
        <f>HYPERLINK("http://www.weizmann.ac.il/complex/compphys/software/geview/data/figures/212473_s_at.png","Figure")</f>
        <v>Figure</v>
      </c>
      <c r="I14965">
        <v>1.1299999999999999</v>
      </c>
      <c r="J14965">
        <v>0.66</v>
      </c>
      <c r="K14965">
        <v>1.01</v>
      </c>
      <c r="L14965">
        <v>1</v>
      </c>
      <c r="M14965">
        <v>0.88900000000000001</v>
      </c>
      <c r="N14965">
        <v>0.64</v>
      </c>
    </row>
    <row r="14966" spans="1:14" x14ac:dyDescent="0.25">
      <c r="A14966" t="s">
        <v>25311</v>
      </c>
      <c r="B14966" t="s">
        <v>25312</v>
      </c>
      <c r="C14966" s="1" t="str">
        <f>HYPERLINK("http://www.genecards.org/cgi-bin/carddisp.pl?gene=FKBP1B /// MFSD2B","GeneCards")</f>
        <v>GeneCards</v>
      </c>
      <c r="D14966" s="1" t="str">
        <f>HYPERLINK("http://genome-euro.ucsc.edu/cgi-bin/hgTracks?position=209931_s_at","UCSC")</f>
        <v>UCSC</v>
      </c>
      <c r="E14966" s="1" t="str">
        <f>HYPERLINK("http://www.ncbi.nlm.nih.gov/gene/?term=FKBP1B /// MFSD2B","NCBI")</f>
        <v>NCBI</v>
      </c>
      <c r="F14966">
        <v>0.61</v>
      </c>
      <c r="G14966">
        <v>0.7</v>
      </c>
      <c r="H14966" s="1" t="str">
        <f>HYPERLINK("http://www.weizmann.ac.il/complex/compphys/software/geview/data/figures/209931_s_at.png","Figure")</f>
        <v>Figure</v>
      </c>
      <c r="I14966">
        <v>1.02</v>
      </c>
      <c r="J14966">
        <v>0.7</v>
      </c>
      <c r="K14966">
        <v>0.998</v>
      </c>
      <c r="L14966">
        <v>1</v>
      </c>
      <c r="M14966">
        <v>0.97699999999999998</v>
      </c>
      <c r="N14966">
        <v>0.61</v>
      </c>
    </row>
    <row r="14967" spans="1:14" x14ac:dyDescent="0.25">
      <c r="A14967" t="s">
        <v>25313</v>
      </c>
      <c r="B14967" t="s">
        <v>23934</v>
      </c>
      <c r="C14967" s="1" t="str">
        <f>HYPERLINK("http://www.genecards.org/cgi-bin/carddisp.pl?gene=CLN8","GeneCards")</f>
        <v>GeneCards</v>
      </c>
      <c r="D14967" s="1" t="str">
        <f>HYPERLINK("http://genome-euro.ucsc.edu/cgi-bin/hgTracks?position=219341_at","UCSC")</f>
        <v>UCSC</v>
      </c>
      <c r="E14967" s="1" t="str">
        <f>HYPERLINK("http://www.ncbi.nlm.nih.gov/gene/?term=CLN8","NCBI")</f>
        <v>NCBI</v>
      </c>
      <c r="F14967">
        <v>0.61</v>
      </c>
      <c r="G14967">
        <v>0.7</v>
      </c>
      <c r="H14967" s="1" t="str">
        <f>HYPERLINK("http://www.weizmann.ac.il/complex/compphys/software/geview/data/figures/219341_at.png","Figure")</f>
        <v>Figure</v>
      </c>
      <c r="I14967">
        <v>1.27</v>
      </c>
      <c r="J14967">
        <v>0.67</v>
      </c>
      <c r="K14967">
        <v>0.999</v>
      </c>
      <c r="L14967">
        <v>1</v>
      </c>
      <c r="M14967">
        <v>0.78800000000000003</v>
      </c>
      <c r="N14967">
        <v>0.63</v>
      </c>
    </row>
    <row r="14968" spans="1:14" x14ac:dyDescent="0.25">
      <c r="A14968" t="s">
        <v>25314</v>
      </c>
      <c r="B14968" t="s">
        <v>22187</v>
      </c>
      <c r="C14968" s="1" t="str">
        <f>HYPERLINK("http://www.genecards.org/cgi-bin/carddisp.pl?gene=RPL13A","GeneCards")</f>
        <v>GeneCards</v>
      </c>
      <c r="D14968" s="1" t="str">
        <f>HYPERLINK("http://genome-euro.ucsc.edu/cgi-bin/hgTracks?position=200716_x_at","UCSC")</f>
        <v>UCSC</v>
      </c>
      <c r="E14968" s="1" t="str">
        <f>HYPERLINK("http://www.ncbi.nlm.nih.gov/gene/?term=RPL13A","NCBI")</f>
        <v>NCBI</v>
      </c>
      <c r="F14968">
        <v>0.61</v>
      </c>
      <c r="G14968">
        <v>0.7</v>
      </c>
      <c r="H14968" s="1" t="str">
        <f>HYPERLINK("http://www.weizmann.ac.il/complex/compphys/software/geview/data/figures/200716_x_at.png","Figure")</f>
        <v>Figure</v>
      </c>
      <c r="I14968">
        <v>1.01</v>
      </c>
      <c r="J14968">
        <v>0.99</v>
      </c>
      <c r="K14968">
        <v>0.91800000000000004</v>
      </c>
      <c r="L14968">
        <v>0.71</v>
      </c>
      <c r="M14968">
        <v>0.90600000000000003</v>
      </c>
      <c r="N14968">
        <v>0.67</v>
      </c>
    </row>
    <row r="14969" spans="1:14" x14ac:dyDescent="0.25">
      <c r="A14969" t="s">
        <v>25315</v>
      </c>
      <c r="B14969" t="s">
        <v>4697</v>
      </c>
      <c r="C14969" s="1" t="str">
        <f>HYPERLINK("http://www.genecards.org/cgi-bin/carddisp.pl?gene=YLPM1","GeneCards")</f>
        <v>GeneCards</v>
      </c>
      <c r="D14969" s="1" t="str">
        <f>HYPERLINK("http://genome-euro.ucsc.edu/cgi-bin/hgTracks?position=214713_at","UCSC")</f>
        <v>UCSC</v>
      </c>
      <c r="E14969" s="1" t="str">
        <f>HYPERLINK("http://www.ncbi.nlm.nih.gov/gene/?term=YLPM1","NCBI")</f>
        <v>NCBI</v>
      </c>
      <c r="F14969">
        <v>0.61</v>
      </c>
      <c r="G14969">
        <v>0.7</v>
      </c>
      <c r="H14969" s="1" t="str">
        <f>HYPERLINK("http://www.weizmann.ac.il/complex/compphys/software/geview/data/figures/214713_at.png","Figure")</f>
        <v>Figure</v>
      </c>
      <c r="I14969">
        <v>0.91900000000000004</v>
      </c>
      <c r="J14969">
        <v>0.62</v>
      </c>
      <c r="K14969">
        <v>0.98399999999999999</v>
      </c>
      <c r="L14969">
        <v>0.98</v>
      </c>
      <c r="M14969">
        <v>1.07</v>
      </c>
      <c r="N14969">
        <v>0.69</v>
      </c>
    </row>
    <row r="14970" spans="1:14" x14ac:dyDescent="0.25">
      <c r="A14970" t="s">
        <v>25316</v>
      </c>
      <c r="B14970" t="s">
        <v>25317</v>
      </c>
      <c r="C14970" s="1" t="str">
        <f>HYPERLINK("http://www.genecards.org/cgi-bin/carddisp.pl?gene=LOC100292959","GeneCards")</f>
        <v>GeneCards</v>
      </c>
      <c r="D14970" s="1" t="str">
        <f>HYPERLINK("http://genome-euro.ucsc.edu/cgi-bin/hgTracks?position=213789_at","UCSC")</f>
        <v>UCSC</v>
      </c>
      <c r="E14970" s="1" t="str">
        <f>HYPERLINK("http://www.ncbi.nlm.nih.gov/gene/?term=LOC100292959","NCBI")</f>
        <v>NCBI</v>
      </c>
      <c r="F14970">
        <v>0.61</v>
      </c>
      <c r="G14970">
        <v>0.7</v>
      </c>
      <c r="H14970" s="1" t="str">
        <f>HYPERLINK("http://www.weizmann.ac.il/complex/compphys/software/geview/data/figures/213789_at.png","Figure")</f>
        <v>Figure</v>
      </c>
      <c r="I14970">
        <v>0.85399999999999998</v>
      </c>
      <c r="J14970">
        <v>0.59</v>
      </c>
      <c r="K14970">
        <v>0.92500000000000004</v>
      </c>
      <c r="L14970">
        <v>0.84</v>
      </c>
      <c r="M14970">
        <v>1.08</v>
      </c>
      <c r="N14970">
        <v>0.85</v>
      </c>
    </row>
    <row r="14971" spans="1:14" x14ac:dyDescent="0.25">
      <c r="A14971" t="s">
        <v>25318</v>
      </c>
      <c r="B14971" t="s">
        <v>23514</v>
      </c>
      <c r="C14971" s="1" t="str">
        <f>HYPERLINK("http://www.genecards.org/cgi-bin/carddisp.pl?gene=MED28","GeneCards")</f>
        <v>GeneCards</v>
      </c>
      <c r="D14971" s="1" t="str">
        <f>HYPERLINK("http://genome-euro.ucsc.edu/cgi-bin/hgTracks?position=214831_at","UCSC")</f>
        <v>UCSC</v>
      </c>
      <c r="E14971" s="1" t="str">
        <f>HYPERLINK("http://www.ncbi.nlm.nih.gov/gene/?term=MED28","NCBI")</f>
        <v>NCBI</v>
      </c>
      <c r="F14971">
        <v>0.61</v>
      </c>
      <c r="G14971">
        <v>0.7</v>
      </c>
      <c r="H14971" s="1" t="str">
        <f>HYPERLINK("http://www.weizmann.ac.il/complex/compphys/software/geview/data/figures/214831_at.png","Figure")</f>
        <v>Figure</v>
      </c>
      <c r="I14971">
        <v>1.0900000000000001</v>
      </c>
      <c r="J14971">
        <v>0.68</v>
      </c>
      <c r="K14971">
        <v>0.998</v>
      </c>
      <c r="L14971">
        <v>1</v>
      </c>
      <c r="M14971">
        <v>0.91600000000000004</v>
      </c>
      <c r="N14971">
        <v>0.63</v>
      </c>
    </row>
    <row r="14972" spans="1:14" x14ac:dyDescent="0.25">
      <c r="A14972" t="s">
        <v>25319</v>
      </c>
      <c r="B14972" t="s">
        <v>11458</v>
      </c>
      <c r="C14972" s="1" t="str">
        <f>HYPERLINK("http://www.genecards.org/cgi-bin/carddisp.pl?gene=MYCN","GeneCards")</f>
        <v>GeneCards</v>
      </c>
      <c r="D14972" s="1" t="str">
        <f>HYPERLINK("http://genome-euro.ucsc.edu/cgi-bin/hgTracks?position=209757_s_at","UCSC")</f>
        <v>UCSC</v>
      </c>
      <c r="E14972" s="1" t="str">
        <f>HYPERLINK("http://www.ncbi.nlm.nih.gov/gene/?term=MYCN","NCBI")</f>
        <v>NCBI</v>
      </c>
      <c r="F14972">
        <v>0.61</v>
      </c>
      <c r="G14972">
        <v>0.7</v>
      </c>
      <c r="H14972" s="1" t="str">
        <f>HYPERLINK("http://www.weizmann.ac.il/complex/compphys/software/geview/data/figures/209757_s_at.png","Figure")</f>
        <v>Figure</v>
      </c>
      <c r="I14972">
        <v>0.99199999999999999</v>
      </c>
      <c r="J14972">
        <v>0.98</v>
      </c>
      <c r="K14972">
        <v>1.02</v>
      </c>
      <c r="L14972">
        <v>0.75</v>
      </c>
      <c r="M14972">
        <v>1.03</v>
      </c>
      <c r="N14972">
        <v>0.64</v>
      </c>
    </row>
    <row r="14973" spans="1:14" x14ac:dyDescent="0.25">
      <c r="A14973" t="s">
        <v>25320</v>
      </c>
      <c r="B14973" t="s">
        <v>8471</v>
      </c>
      <c r="C14973" s="1" t="str">
        <f>HYPERLINK("http://www.genecards.org/cgi-bin/carddisp.pl?gene=MKRN2","GeneCards")</f>
        <v>GeneCards</v>
      </c>
      <c r="D14973" s="1" t="str">
        <f>HYPERLINK("http://genome-euro.ucsc.edu/cgi-bin/hgTracks?position=216995_x_at","UCSC")</f>
        <v>UCSC</v>
      </c>
      <c r="E14973" s="1" t="str">
        <f>HYPERLINK("http://www.ncbi.nlm.nih.gov/gene/?term=MKRN2","NCBI")</f>
        <v>NCBI</v>
      </c>
      <c r="F14973">
        <v>0.61</v>
      </c>
      <c r="G14973">
        <v>0.7</v>
      </c>
      <c r="H14973" s="1" t="str">
        <f>HYPERLINK("http://www.weizmann.ac.il/complex/compphys/software/geview/data/figures/216995_x_at.png","Figure")</f>
        <v>Figure</v>
      </c>
      <c r="I14973">
        <v>1.07</v>
      </c>
      <c r="J14973">
        <v>0.6</v>
      </c>
      <c r="K14973">
        <v>1.02</v>
      </c>
      <c r="L14973">
        <v>0.94</v>
      </c>
      <c r="M14973">
        <v>0.95599999999999996</v>
      </c>
      <c r="N14973">
        <v>0.74</v>
      </c>
    </row>
    <row r="14974" spans="1:14" x14ac:dyDescent="0.25">
      <c r="A14974" t="s">
        <v>25321</v>
      </c>
      <c r="B14974" t="s">
        <v>25322</v>
      </c>
      <c r="C14974" s="1" t="str">
        <f>HYPERLINK("http://www.genecards.org/cgi-bin/carddisp.pl?gene=TAS2R3","GeneCards")</f>
        <v>GeneCards</v>
      </c>
      <c r="D14974" s="1" t="str">
        <f>HYPERLINK("http://genome-euro.ucsc.edu/cgi-bin/hgTracks?position=221456_at","UCSC")</f>
        <v>UCSC</v>
      </c>
      <c r="E14974" s="1" t="str">
        <f>HYPERLINK("http://www.ncbi.nlm.nih.gov/gene/?term=TAS2R3","NCBI")</f>
        <v>NCBI</v>
      </c>
      <c r="F14974">
        <v>0.61</v>
      </c>
      <c r="G14974">
        <v>0.7</v>
      </c>
      <c r="H14974" s="1" t="str">
        <f>HYPERLINK("http://www.weizmann.ac.il/complex/compphys/software/geview/data/figures/221456_at.png","Figure")</f>
        <v>Figure</v>
      </c>
      <c r="I14974">
        <v>0.98699999999999999</v>
      </c>
      <c r="J14974">
        <v>0.97</v>
      </c>
      <c r="K14974">
        <v>0.95099999999999996</v>
      </c>
      <c r="L14974">
        <v>0.61</v>
      </c>
      <c r="M14974">
        <v>0.96399999999999997</v>
      </c>
      <c r="N14974">
        <v>0.79</v>
      </c>
    </row>
    <row r="14975" spans="1:14" x14ac:dyDescent="0.25">
      <c r="A14975" t="s">
        <v>25323</v>
      </c>
      <c r="B14975" t="s">
        <v>25324</v>
      </c>
      <c r="C14975" s="1" t="str">
        <f>HYPERLINK("http://www.genecards.org/cgi-bin/carddisp.pl?gene=GNB2","GeneCards")</f>
        <v>GeneCards</v>
      </c>
      <c r="D14975" s="1" t="str">
        <f>HYPERLINK("http://genome-euro.ucsc.edu/cgi-bin/hgTracks?position=200852_x_at","UCSC")</f>
        <v>UCSC</v>
      </c>
      <c r="E14975" s="1" t="str">
        <f>HYPERLINK("http://www.ncbi.nlm.nih.gov/gene/?term=GNB2","NCBI")</f>
        <v>NCBI</v>
      </c>
      <c r="F14975">
        <v>0.61</v>
      </c>
      <c r="G14975">
        <v>0.7</v>
      </c>
      <c r="H14975" s="1" t="str">
        <f>HYPERLINK("http://www.weizmann.ac.il/complex/compphys/software/geview/data/figures/200852_x_at.png","Figure")</f>
        <v>Figure</v>
      </c>
      <c r="I14975">
        <v>1.17</v>
      </c>
      <c r="J14975">
        <v>0.59</v>
      </c>
      <c r="K14975">
        <v>1.07</v>
      </c>
      <c r="L14975">
        <v>0.87</v>
      </c>
      <c r="M14975">
        <v>0.91400000000000003</v>
      </c>
      <c r="N14975">
        <v>0.82</v>
      </c>
    </row>
    <row r="14976" spans="1:14" x14ac:dyDescent="0.25">
      <c r="A14976" t="s">
        <v>25325</v>
      </c>
      <c r="B14976" t="s">
        <v>25326</v>
      </c>
      <c r="C14976" s="1" t="str">
        <f>HYPERLINK("http://www.genecards.org/cgi-bin/carddisp.pl?gene=LOC100292328","GeneCards")</f>
        <v>GeneCards</v>
      </c>
      <c r="D14976" s="1" t="str">
        <f>HYPERLINK("http://genome-euro.ucsc.edu/cgi-bin/hgTracks?position=201205_at","UCSC")</f>
        <v>UCSC</v>
      </c>
      <c r="E14976" s="1" t="str">
        <f>HYPERLINK("http://www.ncbi.nlm.nih.gov/gene/?term=LOC100292328","NCBI")</f>
        <v>NCBI</v>
      </c>
      <c r="F14976">
        <v>0.61</v>
      </c>
      <c r="G14976">
        <v>0.7</v>
      </c>
      <c r="H14976" s="1" t="str">
        <f>HYPERLINK("http://www.weizmann.ac.il/complex/compphys/software/geview/data/figures/201205_at.png","Figure")</f>
        <v>Figure</v>
      </c>
      <c r="I14976">
        <v>1.1000000000000001</v>
      </c>
      <c r="J14976">
        <v>0.69</v>
      </c>
      <c r="K14976">
        <v>0.99299999999999999</v>
      </c>
      <c r="L14976">
        <v>1</v>
      </c>
      <c r="M14976">
        <v>0.89900000000000002</v>
      </c>
      <c r="N14976">
        <v>0.62</v>
      </c>
    </row>
    <row r="14977" spans="1:14" x14ac:dyDescent="0.25">
      <c r="A14977" t="s">
        <v>25327</v>
      </c>
      <c r="B14977" t="s">
        <v>25328</v>
      </c>
      <c r="C14977" s="1" t="str">
        <f>HYPERLINK("http://www.genecards.org/cgi-bin/carddisp.pl?gene=_x001A__x001A__x001A__x001A__x001A__x001A_-15","GeneCards")</f>
        <v>GeneCards</v>
      </c>
      <c r="D14977" s="1" t="str">
        <f>HYPERLINK("http://genome-euro.ucsc.edu/cgi-bin/hgTracks?position=200902_at","UCSC")</f>
        <v>UCSC</v>
      </c>
      <c r="E14977" s="1" t="str">
        <f>HYPERLINK("http://www.ncbi.nlm.nih.gov/gene/?term=_x001A__x001A__x001A__x001A__x001A__x001A_-15","NCBI")</f>
        <v>NCBI</v>
      </c>
      <c r="F14977">
        <v>0.61</v>
      </c>
      <c r="G14977">
        <v>0.7</v>
      </c>
      <c r="H14977" s="1" t="str">
        <f>HYPERLINK("http://www.weizmann.ac.il/complex/compphys/software/geview/data/figures/200902_at.png","Figure")</f>
        <v>Figure</v>
      </c>
      <c r="I14977">
        <v>0.83799999999999997</v>
      </c>
      <c r="J14977">
        <v>0.62</v>
      </c>
      <c r="K14977">
        <v>0.96599999999999997</v>
      </c>
      <c r="L14977">
        <v>0.98</v>
      </c>
      <c r="M14977">
        <v>1.1499999999999999</v>
      </c>
      <c r="N14977">
        <v>0.7</v>
      </c>
    </row>
    <row r="14978" spans="1:14" x14ac:dyDescent="0.25">
      <c r="A14978" t="s">
        <v>25329</v>
      </c>
      <c r="B14978" t="s">
        <v>14205</v>
      </c>
      <c r="C14978" s="1" t="str">
        <f>HYPERLINK("http://www.genecards.org/cgi-bin/carddisp.pl?gene=ICA1","GeneCards")</f>
        <v>GeneCards</v>
      </c>
      <c r="D14978" s="1" t="str">
        <f>HYPERLINK("http://genome-euro.ucsc.edu/cgi-bin/hgTracks?position=207949_s_at","UCSC")</f>
        <v>UCSC</v>
      </c>
      <c r="E14978" s="1" t="str">
        <f>HYPERLINK("http://www.ncbi.nlm.nih.gov/gene/?term=ICA1","NCBI")</f>
        <v>NCBI</v>
      </c>
      <c r="F14978">
        <v>0.61</v>
      </c>
      <c r="G14978">
        <v>0.7</v>
      </c>
      <c r="H14978" s="1" t="str">
        <f>HYPERLINK("http://www.weizmann.ac.il/complex/compphys/software/geview/data/figures/207949_s_at.png","Figure")</f>
        <v>Figure</v>
      </c>
      <c r="I14978">
        <v>1.1000000000000001</v>
      </c>
      <c r="J14978">
        <v>0.74</v>
      </c>
      <c r="K14978">
        <v>1.1200000000000001</v>
      </c>
      <c r="L14978">
        <v>0.61</v>
      </c>
      <c r="M14978">
        <v>1.01</v>
      </c>
      <c r="N14978">
        <v>0.99</v>
      </c>
    </row>
    <row r="14979" spans="1:14" x14ac:dyDescent="0.25">
      <c r="A14979" t="s">
        <v>25330</v>
      </c>
      <c r="B14979" t="s">
        <v>25331</v>
      </c>
      <c r="C14979" s="1" t="str">
        <f>HYPERLINK("http://www.genecards.org/cgi-bin/carddisp.pl?gene=SLC26A10","GeneCards")</f>
        <v>GeneCards</v>
      </c>
      <c r="D14979" s="1" t="str">
        <f>HYPERLINK("http://genome-euro.ucsc.edu/cgi-bin/hgTracks?position=214951_at","UCSC")</f>
        <v>UCSC</v>
      </c>
      <c r="E14979" s="1" t="str">
        <f>HYPERLINK("http://www.ncbi.nlm.nih.gov/gene/?term=SLC26A10","NCBI")</f>
        <v>NCBI</v>
      </c>
      <c r="F14979">
        <v>0.61</v>
      </c>
      <c r="G14979">
        <v>0.7</v>
      </c>
      <c r="H14979" s="1" t="str">
        <f>HYPERLINK("http://www.weizmann.ac.il/complex/compphys/software/geview/data/figures/214951_at.png","Figure")</f>
        <v>Figure</v>
      </c>
      <c r="I14979">
        <v>1.1200000000000001</v>
      </c>
      <c r="J14979">
        <v>0.82</v>
      </c>
      <c r="K14979">
        <v>1.18</v>
      </c>
      <c r="L14979">
        <v>0.59</v>
      </c>
      <c r="M14979">
        <v>1.05</v>
      </c>
      <c r="N14979">
        <v>0.96</v>
      </c>
    </row>
    <row r="14980" spans="1:14" x14ac:dyDescent="0.25">
      <c r="A14980" t="s">
        <v>25332</v>
      </c>
      <c r="B14980" t="s">
        <v>5998</v>
      </c>
      <c r="C14980" s="1" t="str">
        <f>HYPERLINK("http://www.genecards.org/cgi-bin/carddisp.pl?gene=NAP1L1","GeneCards")</f>
        <v>GeneCards</v>
      </c>
      <c r="D14980" s="1" t="str">
        <f>HYPERLINK("http://genome-euro.ucsc.edu/cgi-bin/hgTracks?position=208753_s_at","UCSC")</f>
        <v>UCSC</v>
      </c>
      <c r="E14980" s="1" t="str">
        <f>HYPERLINK("http://www.ncbi.nlm.nih.gov/gene/?term=NAP1L1","NCBI")</f>
        <v>NCBI</v>
      </c>
      <c r="F14980">
        <v>0.61</v>
      </c>
      <c r="G14980">
        <v>0.7</v>
      </c>
      <c r="H14980" s="1" t="str">
        <f>HYPERLINK("http://www.weizmann.ac.il/complex/compphys/software/geview/data/figures/208753_s_at.png","Figure")</f>
        <v>Figure</v>
      </c>
      <c r="I14980">
        <v>0.91800000000000004</v>
      </c>
      <c r="J14980">
        <v>0.86</v>
      </c>
      <c r="K14980">
        <v>1.07</v>
      </c>
      <c r="L14980">
        <v>0.89</v>
      </c>
      <c r="M14980">
        <v>1.1599999999999999</v>
      </c>
      <c r="N14980">
        <v>0.59</v>
      </c>
    </row>
    <row r="14981" spans="1:14" x14ac:dyDescent="0.25">
      <c r="A14981" t="s">
        <v>25333</v>
      </c>
      <c r="B14981" t="s">
        <v>25334</v>
      </c>
      <c r="C14981" s="1" t="str">
        <f>HYPERLINK("http://www.genecards.org/cgi-bin/carddisp.pl?gene=ODF2","GeneCards")</f>
        <v>GeneCards</v>
      </c>
      <c r="D14981" s="1" t="str">
        <f>HYPERLINK("http://genome-euro.ucsc.edu/cgi-bin/hgTracks?position=210415_s_at","UCSC")</f>
        <v>UCSC</v>
      </c>
      <c r="E14981" s="1" t="str">
        <f>HYPERLINK("http://www.ncbi.nlm.nih.gov/gene/?term=ODF2","NCBI")</f>
        <v>NCBI</v>
      </c>
      <c r="F14981">
        <v>0.61</v>
      </c>
      <c r="G14981">
        <v>0.7</v>
      </c>
      <c r="H14981" s="1" t="str">
        <f>HYPERLINK("http://www.weizmann.ac.il/complex/compphys/software/geview/data/figures/210415_s_at.png","Figure")</f>
        <v>Figure</v>
      </c>
      <c r="I14981">
        <v>0.874</v>
      </c>
      <c r="J14981">
        <v>0.61</v>
      </c>
      <c r="K14981">
        <v>0.97099999999999997</v>
      </c>
      <c r="L14981">
        <v>0.97</v>
      </c>
      <c r="M14981">
        <v>1.1100000000000001</v>
      </c>
      <c r="N14981">
        <v>0.71</v>
      </c>
    </row>
    <row r="14982" spans="1:14" x14ac:dyDescent="0.25">
      <c r="A14982" t="s">
        <v>25335</v>
      </c>
      <c r="B14982" t="s">
        <v>3096</v>
      </c>
      <c r="C14982" s="1" t="str">
        <f>HYPERLINK("http://www.genecards.org/cgi-bin/carddisp.pl?gene=CLOCK","GeneCards")</f>
        <v>GeneCards</v>
      </c>
      <c r="D14982" s="1" t="str">
        <f>HYPERLINK("http://genome-euro.ucsc.edu/cgi-bin/hgTracks?position=217563_at","UCSC")</f>
        <v>UCSC</v>
      </c>
      <c r="E14982" s="1" t="str">
        <f>HYPERLINK("http://www.ncbi.nlm.nih.gov/gene/?term=CLOCK","NCBI")</f>
        <v>NCBI</v>
      </c>
      <c r="F14982">
        <v>0.61</v>
      </c>
      <c r="G14982">
        <v>0.7</v>
      </c>
      <c r="H14982" s="1" t="str">
        <f>HYPERLINK("http://www.weizmann.ac.il/complex/compphys/software/geview/data/figures/217563_at.png","Figure")</f>
        <v>Figure</v>
      </c>
      <c r="I14982">
        <v>1.07</v>
      </c>
      <c r="J14982">
        <v>0.59</v>
      </c>
      <c r="K14982">
        <v>1.04</v>
      </c>
      <c r="L14982">
        <v>0.85</v>
      </c>
      <c r="M14982">
        <v>0.96299999999999997</v>
      </c>
      <c r="N14982">
        <v>0.84</v>
      </c>
    </row>
    <row r="14983" spans="1:14" x14ac:dyDescent="0.25">
      <c r="A14983" t="s">
        <v>25336</v>
      </c>
      <c r="B14983" t="s">
        <v>19213</v>
      </c>
      <c r="C14983" s="1" t="str">
        <f>HYPERLINK("http://www.genecards.org/cgi-bin/carddisp.pl?gene=HSP90B1","GeneCards")</f>
        <v>GeneCards</v>
      </c>
      <c r="D14983" s="1" t="str">
        <f>HYPERLINK("http://genome-euro.ucsc.edu/cgi-bin/hgTracks?position=216450_x_at","UCSC")</f>
        <v>UCSC</v>
      </c>
      <c r="E14983" s="1" t="str">
        <f>HYPERLINK("http://www.ncbi.nlm.nih.gov/gene/?term=HSP90B1","NCBI")</f>
        <v>NCBI</v>
      </c>
      <c r="F14983">
        <v>0.61</v>
      </c>
      <c r="G14983">
        <v>0.7</v>
      </c>
      <c r="H14983" s="1" t="str">
        <f>HYPERLINK("http://www.weizmann.ac.il/complex/compphys/software/geview/data/figures/216450_x_at.png","Figure")</f>
        <v>Figure</v>
      </c>
      <c r="I14983">
        <v>1.08</v>
      </c>
      <c r="J14983">
        <v>0.9</v>
      </c>
      <c r="K14983">
        <v>1.1599999999999999</v>
      </c>
      <c r="L14983">
        <v>0.59</v>
      </c>
      <c r="M14983">
        <v>1.08</v>
      </c>
      <c r="N14983">
        <v>0.89</v>
      </c>
    </row>
    <row r="14984" spans="1:14" x14ac:dyDescent="0.25">
      <c r="A14984" t="s">
        <v>25337</v>
      </c>
      <c r="B14984" t="s">
        <v>23586</v>
      </c>
      <c r="C14984" s="1" t="str">
        <f>HYPERLINK("http://www.genecards.org/cgi-bin/carddisp.pl?gene=ARFGEF1","GeneCards")</f>
        <v>GeneCards</v>
      </c>
      <c r="D14984" s="1" t="str">
        <f>HYPERLINK("http://genome-euro.ucsc.edu/cgi-bin/hgTracks?position=216266_s_at","UCSC")</f>
        <v>UCSC</v>
      </c>
      <c r="E14984" s="1" t="str">
        <f>HYPERLINK("http://www.ncbi.nlm.nih.gov/gene/?term=ARFGEF1","NCBI")</f>
        <v>NCBI</v>
      </c>
      <c r="F14984">
        <v>0.61</v>
      </c>
      <c r="G14984">
        <v>0.7</v>
      </c>
      <c r="H14984" s="1" t="str">
        <f>HYPERLINK("http://www.weizmann.ac.il/complex/compphys/software/geview/data/figures/216266_s_at.png","Figure")</f>
        <v>Figure</v>
      </c>
      <c r="I14984">
        <v>0.91700000000000004</v>
      </c>
      <c r="J14984">
        <v>0.75</v>
      </c>
      <c r="K14984">
        <v>0.90600000000000003</v>
      </c>
      <c r="L14984">
        <v>0.61</v>
      </c>
      <c r="M14984">
        <v>0.98799999999999999</v>
      </c>
      <c r="N14984">
        <v>0.99</v>
      </c>
    </row>
    <row r="14985" spans="1:14" x14ac:dyDescent="0.25">
      <c r="A14985" t="s">
        <v>25338</v>
      </c>
      <c r="B14985" t="s">
        <v>25339</v>
      </c>
      <c r="C14985" s="1" t="str">
        <f>HYPERLINK("http://www.genecards.org/cgi-bin/carddisp.pl?gene=STX12","GeneCards")</f>
        <v>GeneCards</v>
      </c>
      <c r="D14985" s="1" t="str">
        <f>HYPERLINK("http://genome-euro.ucsc.edu/cgi-bin/hgTracks?position=212112_s_at","UCSC")</f>
        <v>UCSC</v>
      </c>
      <c r="E14985" s="1" t="str">
        <f>HYPERLINK("http://www.ncbi.nlm.nih.gov/gene/?term=STX12","NCBI")</f>
        <v>NCBI</v>
      </c>
      <c r="F14985">
        <v>0.61</v>
      </c>
      <c r="G14985">
        <v>0.7</v>
      </c>
      <c r="H14985" s="1" t="str">
        <f>HYPERLINK("http://www.weizmann.ac.il/complex/compphys/software/geview/data/figures/212112_s_at.png","Figure")</f>
        <v>Figure</v>
      </c>
      <c r="I14985">
        <v>0.93600000000000005</v>
      </c>
      <c r="J14985">
        <v>0.92</v>
      </c>
      <c r="K14985">
        <v>0.86599999999999999</v>
      </c>
      <c r="L14985">
        <v>0.59</v>
      </c>
      <c r="M14985">
        <v>0.92500000000000004</v>
      </c>
      <c r="N14985">
        <v>0.87</v>
      </c>
    </row>
    <row r="14986" spans="1:14" x14ac:dyDescent="0.25">
      <c r="A14986" t="s">
        <v>25340</v>
      </c>
      <c r="B14986" t="s">
        <v>25341</v>
      </c>
      <c r="C14986" s="1" t="str">
        <f>HYPERLINK("http://www.genecards.org/cgi-bin/carddisp.pl?gene=LOC100287723 /// LOC642424 /// LOC642838","GeneCards")</f>
        <v>GeneCards</v>
      </c>
      <c r="D14986" s="1" t="str">
        <f>HYPERLINK("http://genome-euro.ucsc.edu/cgi-bin/hgTracks?position=217480_x_at","UCSC")</f>
        <v>UCSC</v>
      </c>
      <c r="E14986" s="1" t="str">
        <f>HYPERLINK("http://www.ncbi.nlm.nih.gov/gene/?term=LOC100287723 /// LOC642424 /// LOC642838","NCBI")</f>
        <v>NCBI</v>
      </c>
      <c r="F14986">
        <v>0.61</v>
      </c>
      <c r="G14986">
        <v>0.7</v>
      </c>
      <c r="H14986" s="1" t="str">
        <f>HYPERLINK("http://www.weizmann.ac.il/complex/compphys/software/geview/data/figures/217480_x_at.png","Figure")</f>
        <v>Figure</v>
      </c>
      <c r="I14986">
        <v>1.1200000000000001</v>
      </c>
      <c r="J14986">
        <v>0.79</v>
      </c>
      <c r="K14986">
        <v>1.1499999999999999</v>
      </c>
      <c r="L14986">
        <v>0.6</v>
      </c>
      <c r="M14986">
        <v>1.03</v>
      </c>
      <c r="N14986">
        <v>0.98</v>
      </c>
    </row>
    <row r="14987" spans="1:14" x14ac:dyDescent="0.25">
      <c r="A14987" t="s">
        <v>25342</v>
      </c>
      <c r="B14987" t="s">
        <v>23799</v>
      </c>
      <c r="C14987" s="1" t="str">
        <f>HYPERLINK("http://www.genecards.org/cgi-bin/carddisp.pl?gene=HTT","GeneCards")</f>
        <v>GeneCards</v>
      </c>
      <c r="D14987" s="1" t="str">
        <f>HYPERLINK("http://genome-euro.ucsc.edu/cgi-bin/hgTracks?position=202390_s_at","UCSC")</f>
        <v>UCSC</v>
      </c>
      <c r="E14987" s="1" t="str">
        <f>HYPERLINK("http://www.ncbi.nlm.nih.gov/gene/?term=HTT","NCBI")</f>
        <v>NCBI</v>
      </c>
      <c r="F14987">
        <v>0.62</v>
      </c>
      <c r="G14987">
        <v>0.7</v>
      </c>
      <c r="H14987" s="1" t="str">
        <f>HYPERLINK("http://www.weizmann.ac.il/complex/compphys/software/geview/data/figures/202390_s_at.png","Figure")</f>
        <v>Figure</v>
      </c>
      <c r="I14987">
        <v>1.03</v>
      </c>
      <c r="J14987">
        <v>0.95</v>
      </c>
      <c r="K14987">
        <v>1.0900000000000001</v>
      </c>
      <c r="L14987">
        <v>0.6</v>
      </c>
      <c r="M14987">
        <v>1.06</v>
      </c>
      <c r="N14987">
        <v>0.83</v>
      </c>
    </row>
    <row r="14988" spans="1:14" x14ac:dyDescent="0.25">
      <c r="A14988" t="s">
        <v>25343</v>
      </c>
      <c r="B14988" t="s">
        <v>25344</v>
      </c>
      <c r="C14988" s="1" t="str">
        <f>HYPERLINK("http://www.genecards.org/cgi-bin/carddisp.pl?gene=FMO2","GeneCards")</f>
        <v>GeneCards</v>
      </c>
      <c r="D14988" s="1" t="str">
        <f>HYPERLINK("http://genome-euro.ucsc.edu/cgi-bin/hgTracks?position=211726_s_at","UCSC")</f>
        <v>UCSC</v>
      </c>
      <c r="E14988" s="1" t="str">
        <f>HYPERLINK("http://www.ncbi.nlm.nih.gov/gene/?term=FMO2","NCBI")</f>
        <v>NCBI</v>
      </c>
      <c r="F14988">
        <v>0.62</v>
      </c>
      <c r="G14988">
        <v>0.7</v>
      </c>
      <c r="H14988" s="1" t="str">
        <f>HYPERLINK("http://www.weizmann.ac.il/complex/compphys/software/geview/data/figures/211726_s_at.png","Figure")</f>
        <v>Figure</v>
      </c>
      <c r="I14988">
        <v>1.01</v>
      </c>
      <c r="J14988">
        <v>0.96</v>
      </c>
      <c r="K14988">
        <v>0.97</v>
      </c>
      <c r="L14988">
        <v>0.77</v>
      </c>
      <c r="M14988">
        <v>0.95699999999999996</v>
      </c>
      <c r="N14988">
        <v>0.63</v>
      </c>
    </row>
    <row r="14989" spans="1:14" x14ac:dyDescent="0.25">
      <c r="A14989" t="s">
        <v>25345</v>
      </c>
      <c r="B14989" t="s">
        <v>25346</v>
      </c>
      <c r="C14989" s="1" t="str">
        <f>HYPERLINK("http://www.genecards.org/cgi-bin/carddisp.pl?gene=DLEU2","GeneCards")</f>
        <v>GeneCards</v>
      </c>
      <c r="D14989" s="1" t="str">
        <f>HYPERLINK("http://genome-euro.ucsc.edu/cgi-bin/hgTracks?position=216870_x_at","UCSC")</f>
        <v>UCSC</v>
      </c>
      <c r="E14989" s="1" t="str">
        <f>HYPERLINK("http://www.ncbi.nlm.nih.gov/gene/?term=DLEU2","NCBI")</f>
        <v>NCBI</v>
      </c>
      <c r="F14989">
        <v>0.62</v>
      </c>
      <c r="G14989">
        <v>0.7</v>
      </c>
      <c r="H14989" s="1" t="str">
        <f>HYPERLINK("http://www.weizmann.ac.il/complex/compphys/software/geview/data/figures/216870_x_at.png","Figure")</f>
        <v>Figure</v>
      </c>
      <c r="I14989">
        <v>1.05</v>
      </c>
      <c r="J14989">
        <v>0.96</v>
      </c>
      <c r="K14989">
        <v>0.90600000000000003</v>
      </c>
      <c r="L14989">
        <v>0.78</v>
      </c>
      <c r="M14989">
        <v>0.86399999999999999</v>
      </c>
      <c r="N14989">
        <v>0.62</v>
      </c>
    </row>
    <row r="14990" spans="1:14" x14ac:dyDescent="0.25">
      <c r="A14990" t="s">
        <v>25347</v>
      </c>
      <c r="B14990" t="s">
        <v>2845</v>
      </c>
      <c r="C14990" s="1" t="str">
        <f>HYPERLINK("http://www.genecards.org/cgi-bin/carddisp.pl?gene=DSCR3","GeneCards")</f>
        <v>GeneCards</v>
      </c>
      <c r="D14990" s="1" t="str">
        <f>HYPERLINK("http://genome-euro.ucsc.edu/cgi-bin/hgTracks?position=217309_s_at","UCSC")</f>
        <v>UCSC</v>
      </c>
      <c r="E14990" s="1" t="str">
        <f>HYPERLINK("http://www.ncbi.nlm.nih.gov/gene/?term=DSCR3","NCBI")</f>
        <v>NCBI</v>
      </c>
      <c r="F14990">
        <v>0.62</v>
      </c>
      <c r="G14990">
        <v>0.7</v>
      </c>
      <c r="H14990" s="1" t="str">
        <f>HYPERLINK("http://www.weizmann.ac.il/complex/compphys/software/geview/data/figures/217309_s_at.png","Figure")</f>
        <v>Figure</v>
      </c>
      <c r="I14990">
        <v>0.92400000000000004</v>
      </c>
      <c r="J14990">
        <v>0.66</v>
      </c>
      <c r="K14990">
        <v>0.996</v>
      </c>
      <c r="L14990">
        <v>1</v>
      </c>
      <c r="M14990">
        <v>1.08</v>
      </c>
      <c r="N14990">
        <v>0.65</v>
      </c>
    </row>
    <row r="14991" spans="1:14" x14ac:dyDescent="0.25">
      <c r="A14991" t="s">
        <v>25348</v>
      </c>
      <c r="B14991" t="s">
        <v>25349</v>
      </c>
      <c r="C14991" s="1" t="str">
        <f>HYPERLINK("http://www.genecards.org/cgi-bin/carddisp.pl?gene=FBXO46","GeneCards")</f>
        <v>GeneCards</v>
      </c>
      <c r="D14991" s="1" t="str">
        <f>HYPERLINK("http://genome-euro.ucsc.edu/cgi-bin/hgTracks?position=205310_at","UCSC")</f>
        <v>UCSC</v>
      </c>
      <c r="E14991" s="1" t="str">
        <f>HYPERLINK("http://www.ncbi.nlm.nih.gov/gene/?term=FBXO46","NCBI")</f>
        <v>NCBI</v>
      </c>
      <c r="F14991">
        <v>0.62</v>
      </c>
      <c r="G14991">
        <v>0.7</v>
      </c>
      <c r="H14991" s="1" t="str">
        <f>HYPERLINK("http://www.weizmann.ac.il/complex/compphys/software/geview/data/figures/205310_at.png","Figure")</f>
        <v>Figure</v>
      </c>
      <c r="I14991">
        <v>1.03</v>
      </c>
      <c r="J14991">
        <v>0.95</v>
      </c>
      <c r="K14991">
        <v>0.94799999999999995</v>
      </c>
      <c r="L14991">
        <v>0.78</v>
      </c>
      <c r="M14991">
        <v>0.92200000000000004</v>
      </c>
      <c r="N14991">
        <v>0.62</v>
      </c>
    </row>
    <row r="14992" spans="1:14" x14ac:dyDescent="0.25">
      <c r="A14992" t="s">
        <v>25350</v>
      </c>
      <c r="B14992" t="s">
        <v>25351</v>
      </c>
      <c r="C14992" s="1" t="str">
        <f>HYPERLINK("http://www.genecards.org/cgi-bin/carddisp.pl?gene=TEKT2","GeneCards")</f>
        <v>GeneCards</v>
      </c>
      <c r="D14992" s="1" t="str">
        <f>HYPERLINK("http://genome-euro.ucsc.edu/cgi-bin/hgTracks?position=210323_at","UCSC")</f>
        <v>UCSC</v>
      </c>
      <c r="E14992" s="1" t="str">
        <f>HYPERLINK("http://www.ncbi.nlm.nih.gov/gene/?term=TEKT2","NCBI")</f>
        <v>NCBI</v>
      </c>
      <c r="F14992">
        <v>0.62</v>
      </c>
      <c r="G14992">
        <v>0.7</v>
      </c>
      <c r="H14992" s="1" t="str">
        <f>HYPERLINK("http://www.weizmann.ac.il/complex/compphys/software/geview/data/figures/210323_at.png","Figure")</f>
        <v>Figure</v>
      </c>
      <c r="I14992">
        <v>1.03</v>
      </c>
      <c r="J14992">
        <v>0.65</v>
      </c>
      <c r="K14992">
        <v>1.02</v>
      </c>
      <c r="L14992">
        <v>0.69</v>
      </c>
      <c r="M14992">
        <v>0.995</v>
      </c>
      <c r="N14992">
        <v>0.98</v>
      </c>
    </row>
    <row r="14993" spans="1:14" x14ac:dyDescent="0.25">
      <c r="A14993" t="s">
        <v>25352</v>
      </c>
      <c r="B14993" t="s">
        <v>11074</v>
      </c>
      <c r="C14993" s="1" t="str">
        <f>HYPERLINK("http://www.genecards.org/cgi-bin/carddisp.pl?gene=FAM48A","GeneCards")</f>
        <v>GeneCards</v>
      </c>
      <c r="D14993" s="1" t="str">
        <f>HYPERLINK("http://genome-euro.ucsc.edu/cgi-bin/hgTracks?position=216682_s_at","UCSC")</f>
        <v>UCSC</v>
      </c>
      <c r="E14993" s="1" t="str">
        <f>HYPERLINK("http://www.ncbi.nlm.nih.gov/gene/?term=FAM48A","NCBI")</f>
        <v>NCBI</v>
      </c>
      <c r="F14993">
        <v>0.62</v>
      </c>
      <c r="G14993">
        <v>0.7</v>
      </c>
      <c r="H14993" s="1" t="str">
        <f>HYPERLINK("http://www.weizmann.ac.il/complex/compphys/software/geview/data/figures/216682_s_at.png","Figure")</f>
        <v>Figure</v>
      </c>
      <c r="I14993">
        <v>1.01</v>
      </c>
      <c r="J14993">
        <v>0.96</v>
      </c>
      <c r="K14993">
        <v>0.98799999999999999</v>
      </c>
      <c r="L14993">
        <v>0.77</v>
      </c>
      <c r="M14993">
        <v>0.98199999999999998</v>
      </c>
      <c r="N14993">
        <v>0.63</v>
      </c>
    </row>
    <row r="14994" spans="1:14" x14ac:dyDescent="0.25">
      <c r="A14994" t="s">
        <v>25353</v>
      </c>
      <c r="B14994" t="s">
        <v>25354</v>
      </c>
      <c r="C14994" s="1" t="str">
        <f>HYPERLINK("http://www.genecards.org/cgi-bin/carddisp.pl?gene=SEPHS2","GeneCards")</f>
        <v>GeneCards</v>
      </c>
      <c r="D14994" s="1" t="str">
        <f>HYPERLINK("http://genome-euro.ucsc.edu/cgi-bin/hgTracks?position=200961_at","UCSC")</f>
        <v>UCSC</v>
      </c>
      <c r="E14994" s="1" t="str">
        <f>HYPERLINK("http://www.ncbi.nlm.nih.gov/gene/?term=SEPHS2","NCBI")</f>
        <v>NCBI</v>
      </c>
      <c r="F14994">
        <v>0.62</v>
      </c>
      <c r="G14994">
        <v>0.7</v>
      </c>
      <c r="H14994" s="1" t="str">
        <f>HYPERLINK("http://www.weizmann.ac.il/complex/compphys/software/geview/data/figures/200961_at.png","Figure")</f>
        <v>Figure</v>
      </c>
      <c r="I14994">
        <v>0.92500000000000004</v>
      </c>
      <c r="J14994">
        <v>0.91</v>
      </c>
      <c r="K14994">
        <v>0.85199999999999998</v>
      </c>
      <c r="L14994">
        <v>0.59</v>
      </c>
      <c r="M14994">
        <v>0.92100000000000004</v>
      </c>
      <c r="N14994">
        <v>0.88</v>
      </c>
    </row>
    <row r="14995" spans="1:14" x14ac:dyDescent="0.25">
      <c r="A14995" t="s">
        <v>25355</v>
      </c>
      <c r="B14995" t="s">
        <v>25356</v>
      </c>
      <c r="C14995" s="1" t="str">
        <f>HYPERLINK("http://www.genecards.org/cgi-bin/carddisp.pl?gene=NUPL2","GeneCards")</f>
        <v>GeneCards</v>
      </c>
      <c r="D14995" s="1" t="str">
        <f>HYPERLINK("http://genome-euro.ucsc.edu/cgi-bin/hgTracks?position=204003_s_at","UCSC")</f>
        <v>UCSC</v>
      </c>
      <c r="E14995" s="1" t="str">
        <f>HYPERLINK("http://www.ncbi.nlm.nih.gov/gene/?term=NUPL2","NCBI")</f>
        <v>NCBI</v>
      </c>
      <c r="F14995">
        <v>0.62</v>
      </c>
      <c r="G14995">
        <v>0.7</v>
      </c>
      <c r="H14995" s="1" t="str">
        <f>HYPERLINK("http://www.weizmann.ac.il/complex/compphys/software/geview/data/figures/204003_s_at.png","Figure")</f>
        <v>Figure</v>
      </c>
      <c r="I14995">
        <v>0.872</v>
      </c>
      <c r="J14995">
        <v>0.61</v>
      </c>
      <c r="K14995">
        <v>0.96499999999999997</v>
      </c>
      <c r="L14995">
        <v>0.96</v>
      </c>
      <c r="M14995">
        <v>1.1100000000000001</v>
      </c>
      <c r="N14995">
        <v>0.73</v>
      </c>
    </row>
    <row r="14996" spans="1:14" x14ac:dyDescent="0.25">
      <c r="A14996" t="s">
        <v>25357</v>
      </c>
      <c r="B14996" t="s">
        <v>7066</v>
      </c>
      <c r="C14996" s="1" t="str">
        <f>HYPERLINK("http://www.genecards.org/cgi-bin/carddisp.pl?gene=PEX1","GeneCards")</f>
        <v>GeneCards</v>
      </c>
      <c r="D14996" s="1" t="str">
        <f>HYPERLINK("http://genome-euro.ucsc.edu/cgi-bin/hgTracks?position=204873_at","UCSC")</f>
        <v>UCSC</v>
      </c>
      <c r="E14996" s="1" t="str">
        <f>HYPERLINK("http://www.ncbi.nlm.nih.gov/gene/?term=PEX1","NCBI")</f>
        <v>NCBI</v>
      </c>
      <c r="F14996">
        <v>0.62</v>
      </c>
      <c r="G14996">
        <v>0.7</v>
      </c>
      <c r="H14996" s="1" t="str">
        <f>HYPERLINK("http://www.weizmann.ac.il/complex/compphys/software/geview/data/figures/204873_at.png","Figure")</f>
        <v>Figure</v>
      </c>
      <c r="I14996">
        <v>0.92200000000000004</v>
      </c>
      <c r="J14996">
        <v>0.64</v>
      </c>
      <c r="K14996">
        <v>0.94</v>
      </c>
      <c r="L14996">
        <v>0.7</v>
      </c>
      <c r="M14996">
        <v>1.02</v>
      </c>
      <c r="N14996">
        <v>0.97</v>
      </c>
    </row>
    <row r="14997" spans="1:14" x14ac:dyDescent="0.25">
      <c r="A14997" t="s">
        <v>25358</v>
      </c>
      <c r="B14997" t="s">
        <v>25359</v>
      </c>
      <c r="C14997" s="1" t="str">
        <f>HYPERLINK("http://www.genecards.org/cgi-bin/carddisp.pl?gene=RGS5","GeneCards")</f>
        <v>GeneCards</v>
      </c>
      <c r="D14997" s="1" t="str">
        <f>HYPERLINK("http://genome-euro.ucsc.edu/cgi-bin/hgTracks?position=209070_s_at","UCSC")</f>
        <v>UCSC</v>
      </c>
      <c r="E14997" s="1" t="str">
        <f>HYPERLINK("http://www.ncbi.nlm.nih.gov/gene/?term=RGS5","NCBI")</f>
        <v>NCBI</v>
      </c>
      <c r="F14997">
        <v>0.62</v>
      </c>
      <c r="G14997">
        <v>0.7</v>
      </c>
      <c r="H14997" s="1" t="str">
        <f>HYPERLINK("http://www.weizmann.ac.il/complex/compphys/software/geview/data/figures/209070_s_at.png","Figure")</f>
        <v>Figure</v>
      </c>
      <c r="I14997">
        <v>1.06</v>
      </c>
      <c r="J14997">
        <v>0.61</v>
      </c>
      <c r="K14997">
        <v>1.02</v>
      </c>
      <c r="L14997">
        <v>0.96</v>
      </c>
      <c r="M14997">
        <v>0.95499999999999996</v>
      </c>
      <c r="N14997">
        <v>0.72</v>
      </c>
    </row>
    <row r="14998" spans="1:14" x14ac:dyDescent="0.25">
      <c r="A14998" t="s">
        <v>25360</v>
      </c>
      <c r="B14998" t="s">
        <v>25361</v>
      </c>
      <c r="C14998" s="1" t="str">
        <f>HYPERLINK("http://www.genecards.org/cgi-bin/carddisp.pl?gene=KIAA0406","GeneCards")</f>
        <v>GeneCards</v>
      </c>
      <c r="D14998" s="1" t="str">
        <f>HYPERLINK("http://genome-euro.ucsc.edu/cgi-bin/hgTracks?position=212898_at","UCSC")</f>
        <v>UCSC</v>
      </c>
      <c r="E14998" s="1" t="str">
        <f>HYPERLINK("http://www.ncbi.nlm.nih.gov/gene/?term=KIAA0406","NCBI")</f>
        <v>NCBI</v>
      </c>
      <c r="F14998">
        <v>0.62</v>
      </c>
      <c r="G14998">
        <v>0.7</v>
      </c>
      <c r="H14998" s="1" t="str">
        <f>HYPERLINK("http://www.weizmann.ac.il/complex/compphys/software/geview/data/figures/212898_at.png","Figure")</f>
        <v>Figure</v>
      </c>
      <c r="I14998">
        <v>0.81799999999999995</v>
      </c>
      <c r="J14998">
        <v>0.61</v>
      </c>
      <c r="K14998">
        <v>0.88</v>
      </c>
      <c r="L14998">
        <v>0.76</v>
      </c>
      <c r="M14998">
        <v>1.08</v>
      </c>
      <c r="N14998">
        <v>0.93</v>
      </c>
    </row>
    <row r="14999" spans="1:14" x14ac:dyDescent="0.25">
      <c r="A14999" t="s">
        <v>25362</v>
      </c>
      <c r="B14999" t="s">
        <v>11861</v>
      </c>
      <c r="C14999" s="1" t="str">
        <f>HYPERLINK("http://www.genecards.org/cgi-bin/carddisp.pl?gene=UBE2D2","GeneCards")</f>
        <v>GeneCards</v>
      </c>
      <c r="D14999" s="1" t="str">
        <f>HYPERLINK("http://genome-euro.ucsc.edu/cgi-bin/hgTracks?position=201345_s_at","UCSC")</f>
        <v>UCSC</v>
      </c>
      <c r="E14999" s="1" t="str">
        <f>HYPERLINK("http://www.ncbi.nlm.nih.gov/gene/?term=UBE2D2","NCBI")</f>
        <v>NCBI</v>
      </c>
      <c r="F14999">
        <v>0.62</v>
      </c>
      <c r="G14999">
        <v>0.7</v>
      </c>
      <c r="H14999" s="1" t="str">
        <f>HYPERLINK("http://www.weizmann.ac.il/complex/compphys/software/geview/data/figures/201345_s_at.png","Figure")</f>
        <v>Figure</v>
      </c>
      <c r="I14999">
        <v>1.1000000000000001</v>
      </c>
      <c r="J14999">
        <v>0.91</v>
      </c>
      <c r="K14999">
        <v>0.89300000000000002</v>
      </c>
      <c r="L14999">
        <v>0.84</v>
      </c>
      <c r="M14999">
        <v>0.81200000000000006</v>
      </c>
      <c r="N14999">
        <v>0.6</v>
      </c>
    </row>
    <row r="15000" spans="1:14" x14ac:dyDescent="0.25">
      <c r="A15000" t="s">
        <v>25363</v>
      </c>
      <c r="B15000" t="s">
        <v>25364</v>
      </c>
      <c r="C15000" s="1" t="str">
        <f>HYPERLINK("http://www.genecards.org/cgi-bin/carddisp.pl?gene=KIAA0746","GeneCards")</f>
        <v>GeneCards</v>
      </c>
      <c r="D15000" s="1" t="str">
        <f>HYPERLINK("http://genome-euro.ucsc.edu/cgi-bin/hgTracks?position=212314_at","UCSC")</f>
        <v>UCSC</v>
      </c>
      <c r="E15000" s="1" t="str">
        <f>HYPERLINK("http://www.ncbi.nlm.nih.gov/gene/?term=KIAA0746","NCBI")</f>
        <v>NCBI</v>
      </c>
      <c r="F15000">
        <v>0.62</v>
      </c>
      <c r="G15000">
        <v>0.7</v>
      </c>
      <c r="H15000" s="1" t="str">
        <f>HYPERLINK("http://www.weizmann.ac.il/complex/compphys/software/geview/data/figures/212314_at.png","Figure")</f>
        <v>Figure</v>
      </c>
      <c r="I15000">
        <v>1.64</v>
      </c>
      <c r="J15000">
        <v>0.67</v>
      </c>
      <c r="K15000">
        <v>1.53</v>
      </c>
      <c r="L15000">
        <v>0.67</v>
      </c>
      <c r="M15000">
        <v>0.93600000000000005</v>
      </c>
      <c r="N15000">
        <v>0.99</v>
      </c>
    </row>
    <row r="15001" spans="1:14" x14ac:dyDescent="0.25">
      <c r="A15001" t="s">
        <v>25365</v>
      </c>
      <c r="B15001" t="s">
        <v>25366</v>
      </c>
      <c r="C15001" s="1" t="str">
        <f>HYPERLINK("http://www.genecards.org/cgi-bin/carddisp.pl?gene=DOK1","GeneCards")</f>
        <v>GeneCards</v>
      </c>
      <c r="D15001" s="1" t="str">
        <f>HYPERLINK("http://genome-euro.ucsc.edu/cgi-bin/hgTracks?position=216835_s_at","UCSC")</f>
        <v>UCSC</v>
      </c>
      <c r="E15001" s="1" t="str">
        <f>HYPERLINK("http://www.ncbi.nlm.nih.gov/gene/?term=DOK1","NCBI")</f>
        <v>NCBI</v>
      </c>
      <c r="F15001">
        <v>0.62</v>
      </c>
      <c r="G15001">
        <v>0.7</v>
      </c>
      <c r="H15001" s="1" t="str">
        <f>HYPERLINK("http://www.weizmann.ac.il/complex/compphys/software/geview/data/figures/216835_s_at.png","Figure")</f>
        <v>Figure</v>
      </c>
      <c r="I15001">
        <v>1.03</v>
      </c>
      <c r="J15001">
        <v>0.92</v>
      </c>
      <c r="K15001">
        <v>1.08</v>
      </c>
      <c r="L15001">
        <v>0.6</v>
      </c>
      <c r="M15001">
        <v>1.04</v>
      </c>
      <c r="N15001">
        <v>0.86</v>
      </c>
    </row>
    <row r="15002" spans="1:14" x14ac:dyDescent="0.25">
      <c r="A15002" t="s">
        <v>25367</v>
      </c>
      <c r="B15002" t="s">
        <v>13758</v>
      </c>
      <c r="C15002" s="1" t="str">
        <f>HYPERLINK("http://www.genecards.org/cgi-bin/carddisp.pl?gene=CLIC4","GeneCards")</f>
        <v>GeneCards</v>
      </c>
      <c r="D15002" s="1" t="str">
        <f>HYPERLINK("http://genome-euro.ucsc.edu/cgi-bin/hgTracks?position=201560_at","UCSC")</f>
        <v>UCSC</v>
      </c>
      <c r="E15002" s="1" t="str">
        <f>HYPERLINK("http://www.ncbi.nlm.nih.gov/gene/?term=CLIC4","NCBI")</f>
        <v>NCBI</v>
      </c>
      <c r="F15002">
        <v>0.62</v>
      </c>
      <c r="G15002">
        <v>0.7</v>
      </c>
      <c r="H15002" s="1" t="str">
        <f>HYPERLINK("http://www.weizmann.ac.il/complex/compphys/software/geview/data/figures/201560_at.png","Figure")</f>
        <v>Figure</v>
      </c>
      <c r="I15002">
        <v>0.80200000000000005</v>
      </c>
      <c r="J15002">
        <v>0.77</v>
      </c>
      <c r="K15002">
        <v>0.76700000000000002</v>
      </c>
      <c r="L15002">
        <v>0.61</v>
      </c>
      <c r="M15002">
        <v>0.95599999999999996</v>
      </c>
      <c r="N15002">
        <v>0.99</v>
      </c>
    </row>
    <row r="15003" spans="1:14" x14ac:dyDescent="0.25">
      <c r="A15003" t="s">
        <v>25368</v>
      </c>
      <c r="B15003" t="s">
        <v>24759</v>
      </c>
      <c r="C15003" s="1" t="str">
        <f>HYPERLINK("http://www.genecards.org/cgi-bin/carddisp.pl?gene=GNLY","GeneCards")</f>
        <v>GeneCards</v>
      </c>
      <c r="D15003" s="1" t="str">
        <f>HYPERLINK("http://genome-euro.ucsc.edu/cgi-bin/hgTracks?position=205495_s_at","UCSC")</f>
        <v>UCSC</v>
      </c>
      <c r="E15003" s="1" t="str">
        <f>HYPERLINK("http://www.ncbi.nlm.nih.gov/gene/?term=GNLY","NCBI")</f>
        <v>NCBI</v>
      </c>
      <c r="F15003">
        <v>0.62</v>
      </c>
      <c r="G15003">
        <v>0.7</v>
      </c>
      <c r="H15003" s="1" t="str">
        <f>HYPERLINK("http://www.weizmann.ac.il/complex/compphys/software/geview/data/figures/205495_s_at.png","Figure")</f>
        <v>Figure</v>
      </c>
      <c r="I15003">
        <v>0.68500000000000005</v>
      </c>
      <c r="J15003">
        <v>0.72</v>
      </c>
      <c r="K15003">
        <v>0.67100000000000004</v>
      </c>
      <c r="L15003">
        <v>0.63</v>
      </c>
      <c r="M15003">
        <v>0.97899999999999998</v>
      </c>
      <c r="N15003">
        <v>1</v>
      </c>
    </row>
    <row r="15004" spans="1:14" x14ac:dyDescent="0.25">
      <c r="A15004" t="s">
        <v>25369</v>
      </c>
      <c r="B15004" t="s">
        <v>25370</v>
      </c>
      <c r="C15004" s="1" t="str">
        <f>HYPERLINK("http://www.genecards.org/cgi-bin/carddisp.pl?gene=UPK3A","GeneCards")</f>
        <v>GeneCards</v>
      </c>
      <c r="D15004" s="1" t="str">
        <f>HYPERLINK("http://genome-euro.ucsc.edu/cgi-bin/hgTracks?position=206771_at","UCSC")</f>
        <v>UCSC</v>
      </c>
      <c r="E15004" s="1" t="str">
        <f>HYPERLINK("http://www.ncbi.nlm.nih.gov/gene/?term=UPK3A","NCBI")</f>
        <v>NCBI</v>
      </c>
      <c r="F15004">
        <v>0.62</v>
      </c>
      <c r="G15004">
        <v>0.7</v>
      </c>
      <c r="H15004" s="1" t="str">
        <f>HYPERLINK("http://www.weizmann.ac.il/complex/compphys/software/geview/data/figures/206771_at.png","Figure")</f>
        <v>Figure</v>
      </c>
      <c r="I15004">
        <v>1.01</v>
      </c>
      <c r="J15004">
        <v>0.9</v>
      </c>
      <c r="K15004">
        <v>1.03</v>
      </c>
      <c r="L15004">
        <v>0.59</v>
      </c>
      <c r="M15004">
        <v>1.01</v>
      </c>
      <c r="N15004">
        <v>0.89</v>
      </c>
    </row>
    <row r="15005" spans="1:14" x14ac:dyDescent="0.25">
      <c r="A15005" t="s">
        <v>25371</v>
      </c>
      <c r="B15005" t="s">
        <v>20775</v>
      </c>
      <c r="C15005" s="1" t="str">
        <f>HYPERLINK("http://www.genecards.org/cgi-bin/carddisp.pl?gene=GYPA /// GYPB","GeneCards")</f>
        <v>GeneCards</v>
      </c>
      <c r="D15005" s="1" t="str">
        <f>HYPERLINK("http://genome-euro.ucsc.edu/cgi-bin/hgTracks?position=205838_at","UCSC")</f>
        <v>UCSC</v>
      </c>
      <c r="E15005" s="1" t="str">
        <f>HYPERLINK("http://www.ncbi.nlm.nih.gov/gene/?term=GYPA /// GYPB","NCBI")</f>
        <v>NCBI</v>
      </c>
      <c r="F15005">
        <v>0.62</v>
      </c>
      <c r="G15005">
        <v>0.7</v>
      </c>
      <c r="H15005" s="1" t="str">
        <f>HYPERLINK("http://www.weizmann.ac.il/complex/compphys/software/geview/data/figures/205838_at.png","Figure")</f>
        <v>Figure</v>
      </c>
      <c r="I15005">
        <v>1.1299999999999999</v>
      </c>
      <c r="J15005">
        <v>0.66</v>
      </c>
      <c r="K15005">
        <v>1.01</v>
      </c>
      <c r="L15005">
        <v>1</v>
      </c>
      <c r="M15005">
        <v>0.89100000000000001</v>
      </c>
      <c r="N15005">
        <v>0.65</v>
      </c>
    </row>
    <row r="15006" spans="1:14" x14ac:dyDescent="0.25">
      <c r="A15006" t="s">
        <v>25372</v>
      </c>
      <c r="B15006" t="s">
        <v>25373</v>
      </c>
      <c r="C15006" s="1" t="str">
        <f>HYPERLINK("http://www.genecards.org/cgi-bin/carddisp.pl?gene=CKB","GeneCards")</f>
        <v>GeneCards</v>
      </c>
      <c r="D15006" s="1" t="str">
        <f>HYPERLINK("http://genome-euro.ucsc.edu/cgi-bin/hgTracks?position=200884_at","UCSC")</f>
        <v>UCSC</v>
      </c>
      <c r="E15006" s="1" t="str">
        <f>HYPERLINK("http://www.ncbi.nlm.nih.gov/gene/?term=CKB","NCBI")</f>
        <v>NCBI</v>
      </c>
      <c r="F15006">
        <v>0.62</v>
      </c>
      <c r="G15006">
        <v>0.7</v>
      </c>
      <c r="H15006" s="1" t="str">
        <f>HYPERLINK("http://www.weizmann.ac.il/complex/compphys/software/geview/data/figures/200884_at.png","Figure")</f>
        <v>Figure</v>
      </c>
      <c r="I15006">
        <v>1.1000000000000001</v>
      </c>
      <c r="J15006">
        <v>0.75</v>
      </c>
      <c r="K15006">
        <v>0.97699999999999998</v>
      </c>
      <c r="L15006">
        <v>0.98</v>
      </c>
      <c r="M15006">
        <v>0.88800000000000001</v>
      </c>
      <c r="N15006">
        <v>0.6</v>
      </c>
    </row>
    <row r="15007" spans="1:14" x14ac:dyDescent="0.25">
      <c r="A15007" t="s">
        <v>25374</v>
      </c>
      <c r="B15007" t="s">
        <v>25375</v>
      </c>
      <c r="C15007" s="1" t="str">
        <f>HYPERLINK("http://www.genecards.org/cgi-bin/carddisp.pl?gene=HNRNPA1 /// HNRNPA1L2 /// HNRPA1L-2 /// HNRPA1P5 /// LOC100290205 /// LOC120364 /// LOC642817 /// LO","GeneCards")</f>
        <v>GeneCards</v>
      </c>
      <c r="D15007" s="1" t="str">
        <f>HYPERLINK("http://genome-euro.ucsc.edu/cgi-bin/hgTracks?position=216497_at","UCSC")</f>
        <v>UCSC</v>
      </c>
      <c r="E15007" s="1" t="str">
        <f>HYPERLINK("http://www.ncbi.nlm.nih.gov/gene/?term=HNRNPA1 /// HNRNPA1L2 /// HNRPA1L-2 /// HNRPA1P5 /// LOC100290205 /// LOC120364 /// LOC642817 /// LO","NCBI")</f>
        <v>NCBI</v>
      </c>
      <c r="F15007">
        <v>0.62</v>
      </c>
      <c r="G15007">
        <v>0.7</v>
      </c>
      <c r="H15007" s="1" t="str">
        <f>HYPERLINK("http://www.weizmann.ac.il/complex/compphys/software/geview/data/figures/216497_at.png","Figure")</f>
        <v>Figure</v>
      </c>
      <c r="I15007">
        <v>0.95199999999999996</v>
      </c>
      <c r="J15007">
        <v>0.71</v>
      </c>
      <c r="K15007">
        <v>1.01</v>
      </c>
      <c r="L15007">
        <v>0.99</v>
      </c>
      <c r="M15007">
        <v>1.06</v>
      </c>
      <c r="N15007">
        <v>0.61</v>
      </c>
    </row>
    <row r="15008" spans="1:14" x14ac:dyDescent="0.25">
      <c r="A15008" t="s">
        <v>25376</v>
      </c>
      <c r="B15008" t="s">
        <v>25377</v>
      </c>
      <c r="C15008" s="1" t="str">
        <f>HYPERLINK("http://www.genecards.org/cgi-bin/carddisp.pl?gene=SH3GL1","GeneCards")</f>
        <v>GeneCards</v>
      </c>
      <c r="D15008" s="1" t="str">
        <f>HYPERLINK("http://genome-euro.ucsc.edu/cgi-bin/hgTracks?position=201851_at","UCSC")</f>
        <v>UCSC</v>
      </c>
      <c r="E15008" s="1" t="str">
        <f>HYPERLINK("http://www.ncbi.nlm.nih.gov/gene/?term=SH3GL1","NCBI")</f>
        <v>NCBI</v>
      </c>
      <c r="F15008">
        <v>0.62</v>
      </c>
      <c r="G15008">
        <v>0.7</v>
      </c>
      <c r="H15008" s="1" t="str">
        <f>HYPERLINK("http://www.weizmann.ac.il/complex/compphys/software/geview/data/figures/201851_at.png","Figure")</f>
        <v>Figure</v>
      </c>
      <c r="I15008">
        <v>1.1299999999999999</v>
      </c>
      <c r="J15008">
        <v>0.59</v>
      </c>
      <c r="K15008">
        <v>1.05</v>
      </c>
      <c r="L15008">
        <v>0.87</v>
      </c>
      <c r="M15008">
        <v>0.93700000000000006</v>
      </c>
      <c r="N15008">
        <v>0.83</v>
      </c>
    </row>
    <row r="15009" spans="1:14" x14ac:dyDescent="0.25">
      <c r="A15009" t="s">
        <v>25378</v>
      </c>
      <c r="B15009" t="s">
        <v>12186</v>
      </c>
      <c r="C15009" s="1" t="str">
        <f>HYPERLINK("http://www.genecards.org/cgi-bin/carddisp.pl?gene=RPS3A","GeneCards")</f>
        <v>GeneCards</v>
      </c>
      <c r="D15009" s="1" t="str">
        <f>HYPERLINK("http://genome-euro.ucsc.edu/cgi-bin/hgTracks?position=201257_x_at","UCSC")</f>
        <v>UCSC</v>
      </c>
      <c r="E15009" s="1" t="str">
        <f>HYPERLINK("http://www.ncbi.nlm.nih.gov/gene/?term=RPS3A","NCBI")</f>
        <v>NCBI</v>
      </c>
      <c r="F15009">
        <v>0.62</v>
      </c>
      <c r="G15009">
        <v>0.7</v>
      </c>
      <c r="H15009" s="1" t="str">
        <f>HYPERLINK("http://www.weizmann.ac.il/complex/compphys/software/geview/data/figures/201257_x_at.png","Figure")</f>
        <v>Figure</v>
      </c>
      <c r="I15009">
        <v>1.01</v>
      </c>
      <c r="J15009">
        <v>0.99</v>
      </c>
      <c r="K15009">
        <v>0.95399999999999996</v>
      </c>
      <c r="L15009">
        <v>0.71</v>
      </c>
      <c r="M15009">
        <v>0.94699999999999995</v>
      </c>
      <c r="N15009">
        <v>0.67</v>
      </c>
    </row>
    <row r="15010" spans="1:14" x14ac:dyDescent="0.25">
      <c r="A15010" t="s">
        <v>25379</v>
      </c>
      <c r="B15010" t="s">
        <v>8462</v>
      </c>
      <c r="C15010" s="1" t="str">
        <f>HYPERLINK("http://www.genecards.org/cgi-bin/carddisp.pl?gene=PART1","GeneCards")</f>
        <v>GeneCards</v>
      </c>
      <c r="D15010" s="1" t="str">
        <f>HYPERLINK("http://genome-euro.ucsc.edu/cgi-bin/hgTracks?position=205833_s_at","UCSC")</f>
        <v>UCSC</v>
      </c>
      <c r="E15010" s="1" t="str">
        <f>HYPERLINK("http://www.ncbi.nlm.nih.gov/gene/?term=PART1","NCBI")</f>
        <v>NCBI</v>
      </c>
      <c r="F15010">
        <v>0.62</v>
      </c>
      <c r="G15010">
        <v>0.7</v>
      </c>
      <c r="H15010" s="1" t="str">
        <f>HYPERLINK("http://www.weizmann.ac.il/complex/compphys/software/geview/data/figures/205833_s_at.png","Figure")</f>
        <v>Figure</v>
      </c>
      <c r="I15010">
        <v>1.1000000000000001</v>
      </c>
      <c r="J15010">
        <v>0.67</v>
      </c>
      <c r="K15010">
        <v>1</v>
      </c>
      <c r="L15010">
        <v>1</v>
      </c>
      <c r="M15010">
        <v>0.91</v>
      </c>
      <c r="N15010">
        <v>0.64</v>
      </c>
    </row>
    <row r="15011" spans="1:14" x14ac:dyDescent="0.25">
      <c r="A15011" t="s">
        <v>25380</v>
      </c>
      <c r="B15011" t="s">
        <v>25381</v>
      </c>
      <c r="C15011" s="1" t="str">
        <f>HYPERLINK("http://www.genecards.org/cgi-bin/carddisp.pl?gene=BSCL2","GeneCards")</f>
        <v>GeneCards</v>
      </c>
      <c r="D15011" s="1" t="str">
        <f>HYPERLINK("http://genome-euro.ucsc.edu/cgi-bin/hgTracks?position=208906_at","UCSC")</f>
        <v>UCSC</v>
      </c>
      <c r="E15011" s="1" t="str">
        <f>HYPERLINK("http://www.ncbi.nlm.nih.gov/gene/?term=BSCL2","NCBI")</f>
        <v>NCBI</v>
      </c>
      <c r="F15011">
        <v>0.62</v>
      </c>
      <c r="G15011">
        <v>0.7</v>
      </c>
      <c r="H15011" s="1" t="str">
        <f>HYPERLINK("http://www.weizmann.ac.il/complex/compphys/software/geview/data/figures/208906_at.png","Figure")</f>
        <v>Figure</v>
      </c>
      <c r="I15011">
        <v>1.08</v>
      </c>
      <c r="J15011">
        <v>0.81</v>
      </c>
      <c r="K15011">
        <v>1.1100000000000001</v>
      </c>
      <c r="L15011">
        <v>0.6</v>
      </c>
      <c r="M15011">
        <v>1.03</v>
      </c>
      <c r="N15011">
        <v>0.96</v>
      </c>
    </row>
    <row r="15012" spans="1:14" x14ac:dyDescent="0.25">
      <c r="A15012" t="s">
        <v>25382</v>
      </c>
      <c r="B15012" t="s">
        <v>23301</v>
      </c>
      <c r="C15012" s="1" t="str">
        <f>HYPERLINK("http://www.genecards.org/cgi-bin/carddisp.pl?gene=ABLIM1","GeneCards")</f>
        <v>GeneCards</v>
      </c>
      <c r="D15012" s="1" t="str">
        <f>HYPERLINK("http://genome-euro.ucsc.edu/cgi-bin/hgTracks?position=210461_s_at","UCSC")</f>
        <v>UCSC</v>
      </c>
      <c r="E15012" s="1" t="str">
        <f>HYPERLINK("http://www.ncbi.nlm.nih.gov/gene/?term=ABLIM1","NCBI")</f>
        <v>NCBI</v>
      </c>
      <c r="F15012">
        <v>0.62</v>
      </c>
      <c r="G15012">
        <v>0.7</v>
      </c>
      <c r="H15012" s="1" t="str">
        <f>HYPERLINK("http://www.weizmann.ac.il/complex/compphys/software/geview/data/figures/210461_s_at.png","Figure")</f>
        <v>Figure</v>
      </c>
      <c r="I15012">
        <v>0.998</v>
      </c>
      <c r="J15012">
        <v>1</v>
      </c>
      <c r="K15012">
        <v>0.88200000000000001</v>
      </c>
      <c r="L15012">
        <v>0.67</v>
      </c>
      <c r="M15012">
        <v>0.88300000000000001</v>
      </c>
      <c r="N15012">
        <v>0.71</v>
      </c>
    </row>
    <row r="15013" spans="1:14" x14ac:dyDescent="0.25">
      <c r="A15013" t="s">
        <v>25383</v>
      </c>
      <c r="B15013" t="s">
        <v>6832</v>
      </c>
      <c r="C15013" s="1" t="str">
        <f>HYPERLINK("http://www.genecards.org/cgi-bin/carddisp.pl?gene=MYO9B","GeneCards")</f>
        <v>GeneCards</v>
      </c>
      <c r="D15013" s="1" t="str">
        <f>HYPERLINK("http://genome-euro.ucsc.edu/cgi-bin/hgTracks?position=217297_s_at","UCSC")</f>
        <v>UCSC</v>
      </c>
      <c r="E15013" s="1" t="str">
        <f>HYPERLINK("http://www.ncbi.nlm.nih.gov/gene/?term=MYO9B","NCBI")</f>
        <v>NCBI</v>
      </c>
      <c r="F15013">
        <v>0.62</v>
      </c>
      <c r="G15013">
        <v>0.7</v>
      </c>
      <c r="H15013" s="1" t="str">
        <f>HYPERLINK("http://www.weizmann.ac.il/complex/compphys/software/geview/data/figures/217297_s_at.png","Figure")</f>
        <v>Figure</v>
      </c>
      <c r="I15013">
        <v>1.1499999999999999</v>
      </c>
      <c r="J15013">
        <v>0.65</v>
      </c>
      <c r="K15013">
        <v>1.01</v>
      </c>
      <c r="L15013">
        <v>0.99</v>
      </c>
      <c r="M15013">
        <v>0.88100000000000001</v>
      </c>
      <c r="N15013">
        <v>0.67</v>
      </c>
    </row>
    <row r="15014" spans="1:14" x14ac:dyDescent="0.25">
      <c r="A15014" t="s">
        <v>25384</v>
      </c>
      <c r="B15014" t="s">
        <v>25385</v>
      </c>
      <c r="C15014" s="1" t="str">
        <f>HYPERLINK("http://www.genecards.org/cgi-bin/carddisp.pl?gene=TMEM104","GeneCards")</f>
        <v>GeneCards</v>
      </c>
      <c r="D15014" s="1" t="str">
        <f>HYPERLINK("http://genome-euro.ucsc.edu/cgi-bin/hgTracks?position=220097_s_at","UCSC")</f>
        <v>UCSC</v>
      </c>
      <c r="E15014" s="1" t="str">
        <f>HYPERLINK("http://www.ncbi.nlm.nih.gov/gene/?term=TMEM104","NCBI")</f>
        <v>NCBI</v>
      </c>
      <c r="F15014">
        <v>0.62</v>
      </c>
      <c r="G15014">
        <v>0.7</v>
      </c>
      <c r="H15014" s="1" t="str">
        <f>HYPERLINK("http://www.weizmann.ac.il/complex/compphys/software/geview/data/figures/220097_s_at.png","Figure")</f>
        <v>Figure</v>
      </c>
      <c r="I15014">
        <v>1.02</v>
      </c>
      <c r="J15014">
        <v>0.95</v>
      </c>
      <c r="K15014">
        <v>1.05</v>
      </c>
      <c r="L15014">
        <v>0.6</v>
      </c>
      <c r="M15014">
        <v>1.03</v>
      </c>
      <c r="N15014">
        <v>0.84</v>
      </c>
    </row>
    <row r="15015" spans="1:14" x14ac:dyDescent="0.25">
      <c r="A15015" t="s">
        <v>25386</v>
      </c>
      <c r="B15015" t="s">
        <v>14580</v>
      </c>
      <c r="C15015" s="1" t="str">
        <f>HYPERLINK("http://www.genecards.org/cgi-bin/carddisp.pl?gene=DDX52","GeneCards")</f>
        <v>GeneCards</v>
      </c>
      <c r="D15015" s="1" t="str">
        <f>HYPERLINK("http://genome-euro.ucsc.edu/cgi-bin/hgTracks?position=210320_s_at","UCSC")</f>
        <v>UCSC</v>
      </c>
      <c r="E15015" s="1" t="str">
        <f>HYPERLINK("http://www.ncbi.nlm.nih.gov/gene/?term=DDX52","NCBI")</f>
        <v>NCBI</v>
      </c>
      <c r="F15015">
        <v>0.62</v>
      </c>
      <c r="G15015">
        <v>0.7</v>
      </c>
      <c r="H15015" s="1" t="str">
        <f>HYPERLINK("http://www.weizmann.ac.il/complex/compphys/software/geview/data/figures/210320_s_at.png","Figure")</f>
        <v>Figure</v>
      </c>
      <c r="I15015">
        <v>0.92400000000000004</v>
      </c>
      <c r="J15015">
        <v>0.61</v>
      </c>
      <c r="K15015">
        <v>0.94899999999999995</v>
      </c>
      <c r="L15015">
        <v>0.75</v>
      </c>
      <c r="M15015">
        <v>1.03</v>
      </c>
      <c r="N15015">
        <v>0.94</v>
      </c>
    </row>
    <row r="15016" spans="1:14" x14ac:dyDescent="0.25">
      <c r="A15016" t="s">
        <v>25387</v>
      </c>
      <c r="B15016" t="s">
        <v>15394</v>
      </c>
      <c r="C15016" s="1" t="str">
        <f>HYPERLINK("http://www.genecards.org/cgi-bin/carddisp.pl?gene=AP1S1","GeneCards")</f>
        <v>GeneCards</v>
      </c>
      <c r="D15016" s="1" t="str">
        <f>HYPERLINK("http://genome-euro.ucsc.edu/cgi-bin/hgTracks?position=205195_at","UCSC")</f>
        <v>UCSC</v>
      </c>
      <c r="E15016" s="1" t="str">
        <f>HYPERLINK("http://www.ncbi.nlm.nih.gov/gene/?term=AP1S1","NCBI")</f>
        <v>NCBI</v>
      </c>
      <c r="F15016">
        <v>0.62</v>
      </c>
      <c r="G15016">
        <v>0.7</v>
      </c>
      <c r="H15016" s="1" t="str">
        <f>HYPERLINK("http://www.weizmann.ac.il/complex/compphys/software/geview/data/figures/205195_at.png","Figure")</f>
        <v>Figure</v>
      </c>
      <c r="I15016">
        <v>1.03</v>
      </c>
      <c r="J15016">
        <v>0.63</v>
      </c>
      <c r="K15016">
        <v>1.02</v>
      </c>
      <c r="L15016">
        <v>0.72</v>
      </c>
      <c r="M15016">
        <v>0.99199999999999999</v>
      </c>
      <c r="N15016">
        <v>0.96</v>
      </c>
    </row>
    <row r="15017" spans="1:14" x14ac:dyDescent="0.25">
      <c r="A15017" t="s">
        <v>25388</v>
      </c>
      <c r="B15017" t="s">
        <v>25389</v>
      </c>
      <c r="C15017" s="1" t="str">
        <f>HYPERLINK("http://www.genecards.org/cgi-bin/carddisp.pl?gene=UTP20","GeneCards")</f>
        <v>GeneCards</v>
      </c>
      <c r="D15017" s="1" t="str">
        <f>HYPERLINK("http://genome-euro.ucsc.edu/cgi-bin/hgTracks?position=209725_at","UCSC")</f>
        <v>UCSC</v>
      </c>
      <c r="E15017" s="1" t="str">
        <f>HYPERLINK("http://www.ncbi.nlm.nih.gov/gene/?term=UTP20","NCBI")</f>
        <v>NCBI</v>
      </c>
      <c r="F15017">
        <v>0.62</v>
      </c>
      <c r="G15017">
        <v>0.7</v>
      </c>
      <c r="H15017" s="1" t="str">
        <f>HYPERLINK("http://www.weizmann.ac.il/complex/compphys/software/geview/data/figures/209725_at.png","Figure")</f>
        <v>Figure</v>
      </c>
      <c r="I15017">
        <v>1.0900000000000001</v>
      </c>
      <c r="J15017">
        <v>0.82</v>
      </c>
      <c r="K15017">
        <v>0.95399999999999996</v>
      </c>
      <c r="L15017">
        <v>0.93</v>
      </c>
      <c r="M15017">
        <v>0.874</v>
      </c>
      <c r="N15017">
        <v>0.59</v>
      </c>
    </row>
    <row r="15018" spans="1:14" x14ac:dyDescent="0.25">
      <c r="A15018" t="s">
        <v>25390</v>
      </c>
      <c r="B15018" t="s">
        <v>25391</v>
      </c>
      <c r="C15018" s="1" t="str">
        <f>HYPERLINK("http://www.genecards.org/cgi-bin/carddisp.pl?gene=TMEM206","GeneCards")</f>
        <v>GeneCards</v>
      </c>
      <c r="D15018" s="1" t="str">
        <f>HYPERLINK("http://genome-euro.ucsc.edu/cgi-bin/hgTracks?position=218814_s_at","UCSC")</f>
        <v>UCSC</v>
      </c>
      <c r="E15018" s="1" t="str">
        <f>HYPERLINK("http://www.ncbi.nlm.nih.gov/gene/?term=TMEM206","NCBI")</f>
        <v>NCBI</v>
      </c>
      <c r="F15018">
        <v>0.62</v>
      </c>
      <c r="G15018">
        <v>0.7</v>
      </c>
      <c r="H15018" s="1" t="str">
        <f>HYPERLINK("http://www.weizmann.ac.il/complex/compphys/software/geview/data/figures/218814_s_at.png","Figure")</f>
        <v>Figure</v>
      </c>
      <c r="I15018">
        <v>1.08</v>
      </c>
      <c r="J15018">
        <v>0.61</v>
      </c>
      <c r="K15018">
        <v>1.02</v>
      </c>
      <c r="L15018">
        <v>0.95</v>
      </c>
      <c r="M15018">
        <v>0.94699999999999995</v>
      </c>
      <c r="N15018">
        <v>0.74</v>
      </c>
    </row>
    <row r="15019" spans="1:14" x14ac:dyDescent="0.25">
      <c r="A15019" t="s">
        <v>25392</v>
      </c>
      <c r="B15019" t="s">
        <v>13852</v>
      </c>
      <c r="C15019" s="1" t="str">
        <f>HYPERLINK("http://www.genecards.org/cgi-bin/carddisp.pl?gene=STK10","GeneCards")</f>
        <v>GeneCards</v>
      </c>
      <c r="D15019" s="1" t="str">
        <f>HYPERLINK("http://genome-euro.ucsc.edu/cgi-bin/hgTracks?position=40420_at","UCSC")</f>
        <v>UCSC</v>
      </c>
      <c r="E15019" s="1" t="str">
        <f>HYPERLINK("http://www.ncbi.nlm.nih.gov/gene/?term=STK10","NCBI")</f>
        <v>NCBI</v>
      </c>
      <c r="F15019">
        <v>0.62</v>
      </c>
      <c r="G15019">
        <v>0.7</v>
      </c>
      <c r="H15019" s="1" t="str">
        <f>HYPERLINK("http://www.weizmann.ac.il/complex/compphys/software/geview/data/figures/40420_at.png","Figure")</f>
        <v>Figure</v>
      </c>
      <c r="I15019">
        <v>1.1299999999999999</v>
      </c>
      <c r="J15019">
        <v>0.59</v>
      </c>
      <c r="K15019">
        <v>1.06</v>
      </c>
      <c r="L15019">
        <v>0.87</v>
      </c>
      <c r="M15019">
        <v>0.93300000000000005</v>
      </c>
      <c r="N15019">
        <v>0.82</v>
      </c>
    </row>
    <row r="15020" spans="1:14" x14ac:dyDescent="0.25">
      <c r="A15020" t="s">
        <v>25393</v>
      </c>
      <c r="B15020" t="s">
        <v>22427</v>
      </c>
      <c r="C15020" s="1" t="str">
        <f>HYPERLINK("http://www.genecards.org/cgi-bin/carddisp.pl?gene=COX10","GeneCards")</f>
        <v>GeneCards</v>
      </c>
      <c r="D15020" s="1" t="str">
        <f>HYPERLINK("http://genome-euro.ucsc.edu/cgi-bin/hgTracks?position=203858_s_at","UCSC")</f>
        <v>UCSC</v>
      </c>
      <c r="E15020" s="1" t="str">
        <f>HYPERLINK("http://www.ncbi.nlm.nih.gov/gene/?term=COX10","NCBI")</f>
        <v>NCBI</v>
      </c>
      <c r="F15020">
        <v>0.62</v>
      </c>
      <c r="G15020">
        <v>0.7</v>
      </c>
      <c r="H15020" s="1" t="str">
        <f>HYPERLINK("http://www.weizmann.ac.il/complex/compphys/software/geview/data/figures/203858_s_at.png","Figure")</f>
        <v>Figure</v>
      </c>
      <c r="I15020">
        <v>1.02</v>
      </c>
      <c r="J15020">
        <v>0.97</v>
      </c>
      <c r="K15020">
        <v>1.06</v>
      </c>
      <c r="L15020">
        <v>0.62</v>
      </c>
      <c r="M15020">
        <v>1.04</v>
      </c>
      <c r="N15020">
        <v>0.81</v>
      </c>
    </row>
    <row r="15021" spans="1:14" x14ac:dyDescent="0.25">
      <c r="A15021" t="s">
        <v>25394</v>
      </c>
      <c r="B15021" t="s">
        <v>25395</v>
      </c>
      <c r="C15021" s="1" t="str">
        <f>HYPERLINK("http://www.genecards.org/cgi-bin/carddisp.pl?gene=YAF2","GeneCards")</f>
        <v>GeneCards</v>
      </c>
      <c r="D15021" s="1" t="str">
        <f>HYPERLINK("http://genome-euro.ucsc.edu/cgi-bin/hgTracks?position=206238_s_at","UCSC")</f>
        <v>UCSC</v>
      </c>
      <c r="E15021" s="1" t="str">
        <f>HYPERLINK("http://www.ncbi.nlm.nih.gov/gene/?term=YAF2","NCBI")</f>
        <v>NCBI</v>
      </c>
      <c r="F15021">
        <v>0.62</v>
      </c>
      <c r="G15021">
        <v>0.7</v>
      </c>
      <c r="H15021" s="1" t="str">
        <f>HYPERLINK("http://www.weizmann.ac.il/complex/compphys/software/geview/data/figures/206238_s_at.png","Figure")</f>
        <v>Figure</v>
      </c>
      <c r="I15021">
        <v>1.1000000000000001</v>
      </c>
      <c r="J15021">
        <v>0.74</v>
      </c>
      <c r="K15021">
        <v>0.98099999999999998</v>
      </c>
      <c r="L15021">
        <v>0.98</v>
      </c>
      <c r="M15021">
        <v>0.89500000000000002</v>
      </c>
      <c r="N15021">
        <v>0.61</v>
      </c>
    </row>
    <row r="15022" spans="1:14" x14ac:dyDescent="0.25">
      <c r="A15022" t="s">
        <v>25396</v>
      </c>
      <c r="B15022" t="s">
        <v>15643</v>
      </c>
      <c r="C15022" s="1" t="str">
        <f>HYPERLINK("http://www.genecards.org/cgi-bin/carddisp.pl?gene=WNK1","GeneCards")</f>
        <v>GeneCards</v>
      </c>
      <c r="D15022" s="1" t="str">
        <f>HYPERLINK("http://genome-euro.ucsc.edu/cgi-bin/hgTracks?position=211993_at","UCSC")</f>
        <v>UCSC</v>
      </c>
      <c r="E15022" s="1" t="str">
        <f>HYPERLINK("http://www.ncbi.nlm.nih.gov/gene/?term=WNK1","NCBI")</f>
        <v>NCBI</v>
      </c>
      <c r="F15022">
        <v>0.62</v>
      </c>
      <c r="G15022">
        <v>0.7</v>
      </c>
      <c r="H15022" s="1" t="str">
        <f>HYPERLINK("http://www.weizmann.ac.il/complex/compphys/software/geview/data/figures/211993_at.png","Figure")</f>
        <v>Figure</v>
      </c>
      <c r="I15022">
        <v>0.97599999999999998</v>
      </c>
      <c r="J15022">
        <v>0.99</v>
      </c>
      <c r="K15022">
        <v>1.1100000000000001</v>
      </c>
      <c r="L15022">
        <v>0.73</v>
      </c>
      <c r="M15022">
        <v>1.1399999999999999</v>
      </c>
      <c r="N15022">
        <v>0.66</v>
      </c>
    </row>
    <row r="15023" spans="1:14" x14ac:dyDescent="0.25">
      <c r="A15023" t="s">
        <v>25397</v>
      </c>
      <c r="B15023" t="s">
        <v>16901</v>
      </c>
      <c r="C15023" s="1" t="str">
        <f>HYPERLINK("http://www.genecards.org/cgi-bin/carddisp.pl?gene=ATF6","GeneCards")</f>
        <v>GeneCards</v>
      </c>
      <c r="D15023" s="1" t="str">
        <f>HYPERLINK("http://genome-euro.ucsc.edu/cgi-bin/hgTracks?position=203952_at","UCSC")</f>
        <v>UCSC</v>
      </c>
      <c r="E15023" s="1" t="str">
        <f>HYPERLINK("http://www.ncbi.nlm.nih.gov/gene/?term=ATF6","NCBI")</f>
        <v>NCBI</v>
      </c>
      <c r="F15023">
        <v>0.62</v>
      </c>
      <c r="G15023">
        <v>0.7</v>
      </c>
      <c r="H15023" s="1" t="str">
        <f>HYPERLINK("http://www.weizmann.ac.il/complex/compphys/software/geview/data/figures/203952_at.png","Figure")</f>
        <v>Figure</v>
      </c>
      <c r="I15023">
        <v>0.97699999999999998</v>
      </c>
      <c r="J15023">
        <v>0.98</v>
      </c>
      <c r="K15023">
        <v>1.07</v>
      </c>
      <c r="L15023">
        <v>0.75</v>
      </c>
      <c r="M15023">
        <v>1.1000000000000001</v>
      </c>
      <c r="N15023">
        <v>0.64</v>
      </c>
    </row>
    <row r="15024" spans="1:14" x14ac:dyDescent="0.25">
      <c r="A15024" t="s">
        <v>25398</v>
      </c>
      <c r="B15024" t="s">
        <v>13869</v>
      </c>
      <c r="C15024" s="1" t="str">
        <f>HYPERLINK("http://www.genecards.org/cgi-bin/carddisp.pl?gene=VPRBP","GeneCards")</f>
        <v>GeneCards</v>
      </c>
      <c r="D15024" s="1" t="str">
        <f>HYPERLINK("http://genome-euro.ucsc.edu/cgi-bin/hgTracks?position=204376_at","UCSC")</f>
        <v>UCSC</v>
      </c>
      <c r="E15024" s="1" t="str">
        <f>HYPERLINK("http://www.ncbi.nlm.nih.gov/gene/?term=VPRBP","NCBI")</f>
        <v>NCBI</v>
      </c>
      <c r="F15024">
        <v>0.62</v>
      </c>
      <c r="G15024">
        <v>0.7</v>
      </c>
      <c r="H15024" s="1" t="str">
        <f>HYPERLINK("http://www.weizmann.ac.il/complex/compphys/software/geview/data/figures/204376_at.png","Figure")</f>
        <v>Figure</v>
      </c>
      <c r="I15024">
        <v>1.08</v>
      </c>
      <c r="J15024">
        <v>0.86</v>
      </c>
      <c r="K15024">
        <v>0.94199999999999995</v>
      </c>
      <c r="L15024">
        <v>0.89</v>
      </c>
      <c r="M15024">
        <v>0.872</v>
      </c>
      <c r="N15024">
        <v>0.59</v>
      </c>
    </row>
    <row r="15025" spans="1:14" x14ac:dyDescent="0.25">
      <c r="A15025" t="s">
        <v>25399</v>
      </c>
      <c r="B15025" t="s">
        <v>23256</v>
      </c>
      <c r="C15025" s="1" t="str">
        <f>HYPERLINK("http://www.genecards.org/cgi-bin/carddisp.pl?gene=LRRC68","GeneCards")</f>
        <v>GeneCards</v>
      </c>
      <c r="D15025" s="1" t="str">
        <f>HYPERLINK("http://genome-euro.ucsc.edu/cgi-bin/hgTracks?position=213781_at","UCSC")</f>
        <v>UCSC</v>
      </c>
      <c r="E15025" s="1" t="str">
        <f>HYPERLINK("http://www.ncbi.nlm.nih.gov/gene/?term=LRRC68","NCBI")</f>
        <v>NCBI</v>
      </c>
      <c r="F15025">
        <v>0.62</v>
      </c>
      <c r="G15025">
        <v>0.7</v>
      </c>
      <c r="H15025" s="1" t="str">
        <f>HYPERLINK("http://www.weizmann.ac.il/complex/compphys/software/geview/data/figures/213781_at.png","Figure")</f>
        <v>Figure</v>
      </c>
      <c r="I15025">
        <v>1.02</v>
      </c>
      <c r="J15025">
        <v>0.93</v>
      </c>
      <c r="K15025">
        <v>0.97799999999999998</v>
      </c>
      <c r="L15025">
        <v>0.82</v>
      </c>
      <c r="M15025">
        <v>0.96299999999999997</v>
      </c>
      <c r="N15025">
        <v>0.61</v>
      </c>
    </row>
    <row r="15026" spans="1:14" x14ac:dyDescent="0.25">
      <c r="A15026" t="s">
        <v>25400</v>
      </c>
      <c r="B15026" t="s">
        <v>22309</v>
      </c>
      <c r="C15026" s="1" t="str">
        <f>HYPERLINK("http://www.genecards.org/cgi-bin/carddisp.pl?gene=MAN1A2","GeneCards")</f>
        <v>GeneCards</v>
      </c>
      <c r="D15026" s="1" t="str">
        <f>HYPERLINK("http://genome-euro.ucsc.edu/cgi-bin/hgTracks?position=217920_at","UCSC")</f>
        <v>UCSC</v>
      </c>
      <c r="E15026" s="1" t="str">
        <f>HYPERLINK("http://www.ncbi.nlm.nih.gov/gene/?term=MAN1A2","NCBI")</f>
        <v>NCBI</v>
      </c>
      <c r="F15026">
        <v>0.62</v>
      </c>
      <c r="G15026">
        <v>0.7</v>
      </c>
      <c r="H15026" s="1" t="str">
        <f>HYPERLINK("http://www.weizmann.ac.il/complex/compphys/software/geview/data/figures/217920_at.png","Figure")</f>
        <v>Figure</v>
      </c>
      <c r="I15026">
        <v>0.98899999999999999</v>
      </c>
      <c r="J15026">
        <v>0.98</v>
      </c>
      <c r="K15026">
        <v>0.95699999999999996</v>
      </c>
      <c r="L15026">
        <v>0.62</v>
      </c>
      <c r="M15026">
        <v>0.96799999999999997</v>
      </c>
      <c r="N15026">
        <v>0.79</v>
      </c>
    </row>
    <row r="15027" spans="1:14" x14ac:dyDescent="0.25">
      <c r="A15027" t="s">
        <v>25401</v>
      </c>
      <c r="B15027" t="s">
        <v>25402</v>
      </c>
      <c r="C15027" s="1" t="str">
        <f>HYPERLINK("http://www.genecards.org/cgi-bin/carddisp.pl?gene=FMO5","GeneCards")</f>
        <v>GeneCards</v>
      </c>
      <c r="D15027" s="1" t="str">
        <f>HYPERLINK("http://genome-euro.ucsc.edu/cgi-bin/hgTracks?position=205776_at","UCSC")</f>
        <v>UCSC</v>
      </c>
      <c r="E15027" s="1" t="str">
        <f>HYPERLINK("http://www.ncbi.nlm.nih.gov/gene/?term=FMO5","NCBI")</f>
        <v>NCBI</v>
      </c>
      <c r="F15027">
        <v>0.62</v>
      </c>
      <c r="G15027">
        <v>0.7</v>
      </c>
      <c r="H15027" s="1" t="str">
        <f>HYPERLINK("http://www.weizmann.ac.il/complex/compphys/software/geview/data/figures/205776_at.png","Figure")</f>
        <v>Figure</v>
      </c>
      <c r="I15027">
        <v>1.03</v>
      </c>
      <c r="J15027">
        <v>0.93</v>
      </c>
      <c r="K15027">
        <v>0.96</v>
      </c>
      <c r="L15027">
        <v>0.82</v>
      </c>
      <c r="M15027">
        <v>0.93200000000000005</v>
      </c>
      <c r="N15027">
        <v>0.61</v>
      </c>
    </row>
    <row r="15028" spans="1:14" x14ac:dyDescent="0.25">
      <c r="A15028" t="s">
        <v>25403</v>
      </c>
      <c r="B15028" t="s">
        <v>25404</v>
      </c>
      <c r="C15028" s="1" t="str">
        <f>HYPERLINK("http://www.genecards.org/cgi-bin/carddisp.pl?gene=GPR50","GeneCards")</f>
        <v>GeneCards</v>
      </c>
      <c r="D15028" s="1" t="str">
        <f>HYPERLINK("http://genome-euro.ucsc.edu/cgi-bin/hgTracks?position=208311_at","UCSC")</f>
        <v>UCSC</v>
      </c>
      <c r="E15028" s="1" t="str">
        <f>HYPERLINK("http://www.ncbi.nlm.nih.gov/gene/?term=GPR50","NCBI")</f>
        <v>NCBI</v>
      </c>
      <c r="F15028">
        <v>0.62</v>
      </c>
      <c r="G15028">
        <v>0.7</v>
      </c>
      <c r="H15028" s="1" t="str">
        <f>HYPERLINK("http://www.weizmann.ac.il/complex/compphys/software/geview/data/figures/208311_at.png","Figure")</f>
        <v>Figure</v>
      </c>
      <c r="I15028">
        <v>1.01</v>
      </c>
      <c r="J15028">
        <v>0.62</v>
      </c>
      <c r="K15028">
        <v>1</v>
      </c>
      <c r="L15028">
        <v>0.97</v>
      </c>
      <c r="M15028">
        <v>0.98899999999999999</v>
      </c>
      <c r="N15028">
        <v>0.71</v>
      </c>
    </row>
    <row r="15029" spans="1:14" x14ac:dyDescent="0.25">
      <c r="A15029" t="s">
        <v>25405</v>
      </c>
      <c r="B15029" t="s">
        <v>25406</v>
      </c>
      <c r="C15029" s="1" t="str">
        <f>HYPERLINK("http://www.genecards.org/cgi-bin/carddisp.pl?gene=STX10","GeneCards")</f>
        <v>GeneCards</v>
      </c>
      <c r="D15029" s="1" t="str">
        <f>HYPERLINK("http://genome-euro.ucsc.edu/cgi-bin/hgTracks?position=212625_at","UCSC")</f>
        <v>UCSC</v>
      </c>
      <c r="E15029" s="1" t="str">
        <f>HYPERLINK("http://www.ncbi.nlm.nih.gov/gene/?term=STX10","NCBI")</f>
        <v>NCBI</v>
      </c>
      <c r="F15029">
        <v>0.62</v>
      </c>
      <c r="G15029">
        <v>0.7</v>
      </c>
      <c r="H15029" s="1" t="str">
        <f>HYPERLINK("http://www.weizmann.ac.il/complex/compphys/software/geview/data/figures/212625_at.png","Figure")</f>
        <v>Figure</v>
      </c>
      <c r="I15029">
        <v>1.1100000000000001</v>
      </c>
      <c r="J15029">
        <v>0.6</v>
      </c>
      <c r="K15029">
        <v>1.03</v>
      </c>
      <c r="L15029">
        <v>0.93</v>
      </c>
      <c r="M15029">
        <v>0.93400000000000005</v>
      </c>
      <c r="N15029">
        <v>0.76</v>
      </c>
    </row>
    <row r="15030" spans="1:14" x14ac:dyDescent="0.25">
      <c r="A15030" t="s">
        <v>25407</v>
      </c>
      <c r="B15030" t="s">
        <v>25027</v>
      </c>
      <c r="C15030" s="1" t="str">
        <f>HYPERLINK("http://www.genecards.org/cgi-bin/carddisp.pl?gene=BAT3","GeneCards")</f>
        <v>GeneCards</v>
      </c>
      <c r="D15030" s="1" t="str">
        <f>HYPERLINK("http://genome-euro.ucsc.edu/cgi-bin/hgTracks?position=213318_s_at","UCSC")</f>
        <v>UCSC</v>
      </c>
      <c r="E15030" s="1" t="str">
        <f>HYPERLINK("http://www.ncbi.nlm.nih.gov/gene/?term=BAT3","NCBI")</f>
        <v>NCBI</v>
      </c>
      <c r="F15030">
        <v>0.62</v>
      </c>
      <c r="G15030">
        <v>0.7</v>
      </c>
      <c r="H15030" s="1" t="str">
        <f>HYPERLINK("http://www.weizmann.ac.il/complex/compphys/software/geview/data/figures/213318_s_at.png","Figure")</f>
        <v>Figure</v>
      </c>
      <c r="I15030">
        <v>0.86099999999999999</v>
      </c>
      <c r="J15030">
        <v>0.62</v>
      </c>
      <c r="K15030">
        <v>0.97099999999999997</v>
      </c>
      <c r="L15030">
        <v>0.97</v>
      </c>
      <c r="M15030">
        <v>1.1299999999999999</v>
      </c>
      <c r="N15030">
        <v>0.7</v>
      </c>
    </row>
    <row r="15031" spans="1:14" x14ac:dyDescent="0.25">
      <c r="A15031" t="s">
        <v>25408</v>
      </c>
      <c r="B15031" t="s">
        <v>4392</v>
      </c>
      <c r="C15031" s="1" t="str">
        <f>HYPERLINK("http://www.genecards.org/cgi-bin/carddisp.pl?gene=VRK3","GeneCards")</f>
        <v>GeneCards</v>
      </c>
      <c r="D15031" s="1" t="str">
        <f>HYPERLINK("http://genome-euro.ucsc.edu/cgi-bin/hgTracks?position=221998_s_at","UCSC")</f>
        <v>UCSC</v>
      </c>
      <c r="E15031" s="1" t="str">
        <f>HYPERLINK("http://www.ncbi.nlm.nih.gov/gene/?term=VRK3","NCBI")</f>
        <v>NCBI</v>
      </c>
      <c r="F15031">
        <v>0.62</v>
      </c>
      <c r="G15031">
        <v>0.7</v>
      </c>
      <c r="H15031" s="1" t="str">
        <f>HYPERLINK("http://www.weizmann.ac.il/complex/compphys/software/geview/data/figures/221998_s_at.png","Figure")</f>
        <v>Figure</v>
      </c>
      <c r="I15031">
        <v>1.01</v>
      </c>
      <c r="J15031">
        <v>1</v>
      </c>
      <c r="K15031">
        <v>1.17</v>
      </c>
      <c r="L15031">
        <v>0.66</v>
      </c>
      <c r="M15031">
        <v>1.1499999999999999</v>
      </c>
      <c r="N15031">
        <v>0.73</v>
      </c>
    </row>
    <row r="15032" spans="1:14" x14ac:dyDescent="0.25">
      <c r="A15032" t="s">
        <v>25409</v>
      </c>
      <c r="B15032" t="s">
        <v>25410</v>
      </c>
      <c r="C15032" s="1" t="str">
        <f>HYPERLINK("http://www.genecards.org/cgi-bin/carddisp.pl?gene=CFTR","GeneCards")</f>
        <v>GeneCards</v>
      </c>
      <c r="D15032" s="1" t="str">
        <f>HYPERLINK("http://genome-euro.ucsc.edu/cgi-bin/hgTracks?position=205043_at","UCSC")</f>
        <v>UCSC</v>
      </c>
      <c r="E15032" s="1" t="str">
        <f>HYPERLINK("http://www.ncbi.nlm.nih.gov/gene/?term=CFTR","NCBI")</f>
        <v>NCBI</v>
      </c>
      <c r="F15032">
        <v>0.62</v>
      </c>
      <c r="G15032">
        <v>0.7</v>
      </c>
      <c r="H15032" s="1" t="str">
        <f>HYPERLINK("http://www.weizmann.ac.il/complex/compphys/software/geview/data/figures/205043_at.png","Figure")</f>
        <v>Figure</v>
      </c>
      <c r="I15032">
        <v>1.02</v>
      </c>
      <c r="J15032">
        <v>0.65</v>
      </c>
      <c r="K15032">
        <v>1.02</v>
      </c>
      <c r="L15032">
        <v>0.7</v>
      </c>
      <c r="M15032">
        <v>0.995</v>
      </c>
      <c r="N15032">
        <v>0.98</v>
      </c>
    </row>
    <row r="15033" spans="1:14" x14ac:dyDescent="0.25">
      <c r="A15033" t="s">
        <v>25411</v>
      </c>
      <c r="B15033" t="s">
        <v>21185</v>
      </c>
      <c r="C15033" s="1" t="str">
        <f>HYPERLINK("http://www.genecards.org/cgi-bin/carddisp.pl?gene=SENP3","GeneCards")</f>
        <v>GeneCards</v>
      </c>
      <c r="D15033" s="1" t="str">
        <f>HYPERLINK("http://genome-euro.ucsc.edu/cgi-bin/hgTracks?position=215113_s_at","UCSC")</f>
        <v>UCSC</v>
      </c>
      <c r="E15033" s="1" t="str">
        <f>HYPERLINK("http://www.ncbi.nlm.nih.gov/gene/?term=SENP3","NCBI")</f>
        <v>NCBI</v>
      </c>
      <c r="F15033">
        <v>0.62</v>
      </c>
      <c r="G15033">
        <v>0.7</v>
      </c>
      <c r="H15033" s="1" t="str">
        <f>HYPERLINK("http://www.weizmann.ac.il/complex/compphys/software/geview/data/figures/215113_s_at.png","Figure")</f>
        <v>Figure</v>
      </c>
      <c r="I15033">
        <v>1.1000000000000001</v>
      </c>
      <c r="J15033">
        <v>0.69</v>
      </c>
      <c r="K15033">
        <v>0.995</v>
      </c>
      <c r="L15033">
        <v>1</v>
      </c>
      <c r="M15033">
        <v>0.90500000000000003</v>
      </c>
      <c r="N15033">
        <v>0.63</v>
      </c>
    </row>
    <row r="15034" spans="1:14" x14ac:dyDescent="0.25">
      <c r="A15034" t="s">
        <v>25412</v>
      </c>
      <c r="B15034" t="s">
        <v>25413</v>
      </c>
      <c r="C15034" s="1" t="str">
        <f>HYPERLINK("http://www.genecards.org/cgi-bin/carddisp.pl?gene=SNRPB","GeneCards")</f>
        <v>GeneCards</v>
      </c>
      <c r="D15034" s="1" t="str">
        <f>HYPERLINK("http://genome-euro.ucsc.edu/cgi-bin/hgTracks?position=213175_s_at","UCSC")</f>
        <v>UCSC</v>
      </c>
      <c r="E15034" s="1" t="str">
        <f>HYPERLINK("http://www.ncbi.nlm.nih.gov/gene/?term=SNRPB","NCBI")</f>
        <v>NCBI</v>
      </c>
      <c r="F15034">
        <v>0.62</v>
      </c>
      <c r="G15034">
        <v>0.7</v>
      </c>
      <c r="H15034" s="1" t="str">
        <f>HYPERLINK("http://www.weizmann.ac.il/complex/compphys/software/geview/data/figures/213175_s_at.png","Figure")</f>
        <v>Figure</v>
      </c>
      <c r="I15034">
        <v>1.08</v>
      </c>
      <c r="J15034">
        <v>0.93</v>
      </c>
      <c r="K15034">
        <v>0.89700000000000002</v>
      </c>
      <c r="L15034">
        <v>0.82</v>
      </c>
      <c r="M15034">
        <v>0.83299999999999996</v>
      </c>
      <c r="N15034">
        <v>0.61</v>
      </c>
    </row>
    <row r="15035" spans="1:14" x14ac:dyDescent="0.25">
      <c r="A15035" t="s">
        <v>25414</v>
      </c>
      <c r="B15035" t="s">
        <v>25415</v>
      </c>
      <c r="C15035" s="1" t="str">
        <f>HYPERLINK("http://www.genecards.org/cgi-bin/carddisp.pl?gene=DNMT1","GeneCards")</f>
        <v>GeneCards</v>
      </c>
      <c r="D15035" s="1" t="str">
        <f>HYPERLINK("http://genome-euro.ucsc.edu/cgi-bin/hgTracks?position=201697_s_at","UCSC")</f>
        <v>UCSC</v>
      </c>
      <c r="E15035" s="1" t="str">
        <f>HYPERLINK("http://www.ncbi.nlm.nih.gov/gene/?term=DNMT1","NCBI")</f>
        <v>NCBI</v>
      </c>
      <c r="F15035">
        <v>0.62</v>
      </c>
      <c r="G15035">
        <v>0.7</v>
      </c>
      <c r="H15035" s="1" t="str">
        <f>HYPERLINK("http://www.weizmann.ac.il/complex/compphys/software/geview/data/figures/201697_s_at.png","Figure")</f>
        <v>Figure</v>
      </c>
      <c r="I15035">
        <v>1.19</v>
      </c>
      <c r="J15035">
        <v>0.61</v>
      </c>
      <c r="K15035">
        <v>1.1200000000000001</v>
      </c>
      <c r="L15035">
        <v>0.76</v>
      </c>
      <c r="M15035">
        <v>0.93899999999999995</v>
      </c>
      <c r="N15035">
        <v>0.93</v>
      </c>
    </row>
    <row r="15036" spans="1:14" x14ac:dyDescent="0.25">
      <c r="A15036" t="s">
        <v>25416</v>
      </c>
      <c r="B15036" t="s">
        <v>25417</v>
      </c>
      <c r="C15036" s="1" t="str">
        <f>HYPERLINK("http://www.genecards.org/cgi-bin/carddisp.pl?gene=DPM2","GeneCards")</f>
        <v>GeneCards</v>
      </c>
      <c r="D15036" s="1" t="str">
        <f>HYPERLINK("http://genome-euro.ucsc.edu/cgi-bin/hgTracks?position=209391_at","UCSC")</f>
        <v>UCSC</v>
      </c>
      <c r="E15036" s="1" t="str">
        <f>HYPERLINK("http://www.ncbi.nlm.nih.gov/gene/?term=DPM2","NCBI")</f>
        <v>NCBI</v>
      </c>
      <c r="F15036">
        <v>0.62</v>
      </c>
      <c r="G15036">
        <v>0.7</v>
      </c>
      <c r="H15036" s="1" t="str">
        <f>HYPERLINK("http://www.weizmann.ac.il/complex/compphys/software/geview/data/figures/209391_at.png","Figure")</f>
        <v>Figure</v>
      </c>
      <c r="I15036">
        <v>1.02</v>
      </c>
      <c r="J15036">
        <v>0.96</v>
      </c>
      <c r="K15036">
        <v>1.08</v>
      </c>
      <c r="L15036">
        <v>0.61</v>
      </c>
      <c r="M15036">
        <v>1.05</v>
      </c>
      <c r="N15036">
        <v>0.81</v>
      </c>
    </row>
    <row r="15037" spans="1:14" x14ac:dyDescent="0.25">
      <c r="A15037" t="s">
        <v>25418</v>
      </c>
      <c r="B15037" t="s">
        <v>25419</v>
      </c>
      <c r="C15037" s="1" t="str">
        <f>HYPERLINK("http://www.genecards.org/cgi-bin/carddisp.pl?gene=TAF4B","GeneCards")</f>
        <v>GeneCards</v>
      </c>
      <c r="D15037" s="1" t="str">
        <f>HYPERLINK("http://genome-euro.ucsc.edu/cgi-bin/hgTracks?position=216226_at","UCSC")</f>
        <v>UCSC</v>
      </c>
      <c r="E15037" s="1" t="str">
        <f>HYPERLINK("http://www.ncbi.nlm.nih.gov/gene/?term=TAF4B","NCBI")</f>
        <v>NCBI</v>
      </c>
      <c r="F15037">
        <v>0.62</v>
      </c>
      <c r="G15037">
        <v>0.7</v>
      </c>
      <c r="H15037" s="1" t="str">
        <f>HYPERLINK("http://www.weizmann.ac.il/complex/compphys/software/geview/data/figures/216226_at.png","Figure")</f>
        <v>Figure</v>
      </c>
      <c r="I15037">
        <v>1.06</v>
      </c>
      <c r="J15037">
        <v>0.71</v>
      </c>
      <c r="K15037">
        <v>1.06</v>
      </c>
      <c r="L15037">
        <v>0.64</v>
      </c>
      <c r="M15037">
        <v>1</v>
      </c>
      <c r="N15037">
        <v>1</v>
      </c>
    </row>
    <row r="15038" spans="1:14" x14ac:dyDescent="0.25">
      <c r="A15038" t="s">
        <v>25420</v>
      </c>
      <c r="B15038" t="s">
        <v>5874</v>
      </c>
      <c r="C15038" s="1" t="str">
        <f>HYPERLINK("http://www.genecards.org/cgi-bin/carddisp.pl?gene=KDM6B","GeneCards")</f>
        <v>GeneCards</v>
      </c>
      <c r="D15038" s="1" t="str">
        <f>HYPERLINK("http://genome-euro.ucsc.edu/cgi-bin/hgTracks?position=213146_at","UCSC")</f>
        <v>UCSC</v>
      </c>
      <c r="E15038" s="1" t="str">
        <f>HYPERLINK("http://www.ncbi.nlm.nih.gov/gene/?term=KDM6B","NCBI")</f>
        <v>NCBI</v>
      </c>
      <c r="F15038">
        <v>0.62</v>
      </c>
      <c r="G15038">
        <v>0.7</v>
      </c>
      <c r="H15038" s="1" t="str">
        <f>HYPERLINK("http://www.weizmann.ac.il/complex/compphys/software/geview/data/figures/213146_at.png","Figure")</f>
        <v>Figure</v>
      </c>
      <c r="I15038">
        <v>0.96899999999999997</v>
      </c>
      <c r="J15038">
        <v>0.97</v>
      </c>
      <c r="K15038">
        <v>0.90200000000000002</v>
      </c>
      <c r="L15038">
        <v>0.62</v>
      </c>
      <c r="M15038">
        <v>0.93</v>
      </c>
      <c r="N15038">
        <v>0.81</v>
      </c>
    </row>
    <row r="15039" spans="1:14" x14ac:dyDescent="0.25">
      <c r="A15039" t="s">
        <v>25421</v>
      </c>
      <c r="B15039" t="s">
        <v>25422</v>
      </c>
      <c r="C15039" s="1" t="str">
        <f>HYPERLINK("http://www.genecards.org/cgi-bin/carddisp.pl?gene=C9orf53","GeneCards")</f>
        <v>GeneCards</v>
      </c>
      <c r="D15039" s="1" t="str">
        <f>HYPERLINK("http://genome-euro.ucsc.edu/cgi-bin/hgTracks?position=220505_at","UCSC")</f>
        <v>UCSC</v>
      </c>
      <c r="E15039" s="1" t="str">
        <f>HYPERLINK("http://www.ncbi.nlm.nih.gov/gene/?term=C9orf53","NCBI")</f>
        <v>NCBI</v>
      </c>
      <c r="F15039">
        <v>0.62</v>
      </c>
      <c r="G15039">
        <v>0.7</v>
      </c>
      <c r="H15039" s="1" t="str">
        <f>HYPERLINK("http://www.weizmann.ac.il/complex/compphys/software/geview/data/figures/220505_at.png","Figure")</f>
        <v>Figure</v>
      </c>
      <c r="I15039">
        <v>1.05</v>
      </c>
      <c r="J15039">
        <v>0.76</v>
      </c>
      <c r="K15039">
        <v>0.98599999999999999</v>
      </c>
      <c r="L15039">
        <v>0.97</v>
      </c>
      <c r="M15039">
        <v>0.94099999999999995</v>
      </c>
      <c r="N15039">
        <v>0.6</v>
      </c>
    </row>
    <row r="15040" spans="1:14" x14ac:dyDescent="0.25">
      <c r="A15040" t="s">
        <v>25423</v>
      </c>
      <c r="B15040" t="s">
        <v>7768</v>
      </c>
      <c r="C15040" s="1" t="str">
        <f>HYPERLINK("http://www.genecards.org/cgi-bin/carddisp.pl?gene=ZZEF1","GeneCards")</f>
        <v>GeneCards</v>
      </c>
      <c r="D15040" s="1" t="str">
        <f>HYPERLINK("http://genome-euro.ucsc.edu/cgi-bin/hgTracks?position=212601_at","UCSC")</f>
        <v>UCSC</v>
      </c>
      <c r="E15040" s="1" t="str">
        <f>HYPERLINK("http://www.ncbi.nlm.nih.gov/gene/?term=ZZEF1","NCBI")</f>
        <v>NCBI</v>
      </c>
      <c r="F15040">
        <v>0.62</v>
      </c>
      <c r="G15040">
        <v>0.7</v>
      </c>
      <c r="H15040" s="1" t="str">
        <f>HYPERLINK("http://www.weizmann.ac.il/complex/compphys/software/geview/data/figures/212601_at.png","Figure")</f>
        <v>Figure</v>
      </c>
      <c r="I15040">
        <v>0.82</v>
      </c>
      <c r="J15040">
        <v>0.64</v>
      </c>
      <c r="K15040">
        <v>0.97599999999999998</v>
      </c>
      <c r="L15040">
        <v>0.99</v>
      </c>
      <c r="M15040">
        <v>1.19</v>
      </c>
      <c r="N15040">
        <v>0.68</v>
      </c>
    </row>
    <row r="15041" spans="1:14" x14ac:dyDescent="0.25">
      <c r="A15041" t="s">
        <v>25424</v>
      </c>
      <c r="B15041" t="s">
        <v>13473</v>
      </c>
      <c r="C15041" s="1" t="str">
        <f>HYPERLINK("http://www.genecards.org/cgi-bin/carddisp.pl?gene=STK17A","GeneCards")</f>
        <v>GeneCards</v>
      </c>
      <c r="D15041" s="1" t="str">
        <f>HYPERLINK("http://genome-euro.ucsc.edu/cgi-bin/hgTracks?position=202695_s_at","UCSC")</f>
        <v>UCSC</v>
      </c>
      <c r="E15041" s="1" t="str">
        <f>HYPERLINK("http://www.ncbi.nlm.nih.gov/gene/?term=STK17A","NCBI")</f>
        <v>NCBI</v>
      </c>
      <c r="F15041">
        <v>0.62</v>
      </c>
      <c r="G15041">
        <v>0.7</v>
      </c>
      <c r="H15041" s="1" t="str">
        <f>HYPERLINK("http://www.weizmann.ac.il/complex/compphys/software/geview/data/figures/202695_s_at.png","Figure")</f>
        <v>Figure</v>
      </c>
      <c r="I15041">
        <v>0.92500000000000004</v>
      </c>
      <c r="J15041">
        <v>0.6</v>
      </c>
      <c r="K15041">
        <v>0.96899999999999997</v>
      </c>
      <c r="L15041">
        <v>0.89</v>
      </c>
      <c r="M15041">
        <v>1.05</v>
      </c>
      <c r="N15041">
        <v>0.8</v>
      </c>
    </row>
    <row r="15042" spans="1:14" x14ac:dyDescent="0.25">
      <c r="A15042" t="s">
        <v>25425</v>
      </c>
      <c r="B15042" t="s">
        <v>15574</v>
      </c>
      <c r="C15042" s="1" t="str">
        <f>HYPERLINK("http://www.genecards.org/cgi-bin/carddisp.pl?gene=SLC12A3","GeneCards")</f>
        <v>GeneCards</v>
      </c>
      <c r="D15042" s="1" t="str">
        <f>HYPERLINK("http://genome-euro.ucsc.edu/cgi-bin/hgTracks?position=215274_at","UCSC")</f>
        <v>UCSC</v>
      </c>
      <c r="E15042" s="1" t="str">
        <f>HYPERLINK("http://www.ncbi.nlm.nih.gov/gene/?term=SLC12A3","NCBI")</f>
        <v>NCBI</v>
      </c>
      <c r="F15042">
        <v>0.62</v>
      </c>
      <c r="G15042">
        <v>0.7</v>
      </c>
      <c r="H15042" s="1" t="str">
        <f>HYPERLINK("http://www.weizmann.ac.il/complex/compphys/software/geview/data/figures/215274_at.png","Figure")</f>
        <v>Figure</v>
      </c>
      <c r="I15042">
        <v>1.01</v>
      </c>
      <c r="J15042">
        <v>0.99</v>
      </c>
      <c r="K15042">
        <v>0.96</v>
      </c>
      <c r="L15042">
        <v>0.72</v>
      </c>
      <c r="M15042">
        <v>0.95299999999999996</v>
      </c>
      <c r="N15042">
        <v>0.67</v>
      </c>
    </row>
    <row r="15043" spans="1:14" x14ac:dyDescent="0.25">
      <c r="A15043" t="s">
        <v>25426</v>
      </c>
      <c r="B15043" t="s">
        <v>17213</v>
      </c>
      <c r="C15043" s="1" t="str">
        <f>HYPERLINK("http://www.genecards.org/cgi-bin/carddisp.pl?gene=TRMT1","GeneCards")</f>
        <v>GeneCards</v>
      </c>
      <c r="D15043" s="1" t="str">
        <f>HYPERLINK("http://genome-euro.ucsc.edu/cgi-bin/hgTracks?position=210463_x_at","UCSC")</f>
        <v>UCSC</v>
      </c>
      <c r="E15043" s="1" t="str">
        <f>HYPERLINK("http://www.ncbi.nlm.nih.gov/gene/?term=TRMT1","NCBI")</f>
        <v>NCBI</v>
      </c>
      <c r="F15043">
        <v>0.62</v>
      </c>
      <c r="G15043">
        <v>0.7</v>
      </c>
      <c r="H15043" s="1" t="str">
        <f>HYPERLINK("http://www.weizmann.ac.il/complex/compphys/software/geview/data/figures/210463_x_at.png","Figure")</f>
        <v>Figure</v>
      </c>
      <c r="I15043">
        <v>0.91800000000000004</v>
      </c>
      <c r="J15043">
        <v>0.83</v>
      </c>
      <c r="K15043">
        <v>1.05</v>
      </c>
      <c r="L15043">
        <v>0.92</v>
      </c>
      <c r="M15043">
        <v>1.1499999999999999</v>
      </c>
      <c r="N15043">
        <v>0.59</v>
      </c>
    </row>
    <row r="15044" spans="1:14" x14ac:dyDescent="0.25">
      <c r="A15044" t="s">
        <v>25427</v>
      </c>
      <c r="B15044" t="s">
        <v>20729</v>
      </c>
      <c r="C15044" s="1" t="str">
        <f>HYPERLINK("http://www.genecards.org/cgi-bin/carddisp.pl?gene=ARF4","GeneCards")</f>
        <v>GeneCards</v>
      </c>
      <c r="D15044" s="1" t="str">
        <f>HYPERLINK("http://genome-euro.ucsc.edu/cgi-bin/hgTracks?position=201097_s_at","UCSC")</f>
        <v>UCSC</v>
      </c>
      <c r="E15044" s="1" t="str">
        <f>HYPERLINK("http://www.ncbi.nlm.nih.gov/gene/?term=ARF4","NCBI")</f>
        <v>NCBI</v>
      </c>
      <c r="F15044">
        <v>0.62</v>
      </c>
      <c r="G15044">
        <v>0.7</v>
      </c>
      <c r="H15044" s="1" t="str">
        <f>HYPERLINK("http://www.weizmann.ac.il/complex/compphys/software/geview/data/figures/201097_s_at.png","Figure")</f>
        <v>Figure</v>
      </c>
      <c r="I15044">
        <v>0.97599999999999998</v>
      </c>
      <c r="J15044">
        <v>0.99</v>
      </c>
      <c r="K15044">
        <v>0.88700000000000001</v>
      </c>
      <c r="L15044">
        <v>0.63</v>
      </c>
      <c r="M15044">
        <v>0.90900000000000003</v>
      </c>
      <c r="N15044">
        <v>0.77</v>
      </c>
    </row>
    <row r="15045" spans="1:14" x14ac:dyDescent="0.25">
      <c r="A15045" t="s">
        <v>25428</v>
      </c>
      <c r="B15045" t="s">
        <v>23791</v>
      </c>
      <c r="C15045" s="1" t="str">
        <f>HYPERLINK("http://www.genecards.org/cgi-bin/carddisp.pl?gene=HBA1 /// HBA2","GeneCards")</f>
        <v>GeneCards</v>
      </c>
      <c r="D15045" s="1" t="str">
        <f>HYPERLINK("http://genome-euro.ucsc.edu/cgi-bin/hgTracks?position=211745_x_at","UCSC")</f>
        <v>UCSC</v>
      </c>
      <c r="E15045" s="1" t="str">
        <f>HYPERLINK("http://www.ncbi.nlm.nih.gov/gene/?term=HBA1 /// HBA2","NCBI")</f>
        <v>NCBI</v>
      </c>
      <c r="F15045">
        <v>0.62</v>
      </c>
      <c r="G15045">
        <v>0.7</v>
      </c>
      <c r="H15045" s="1" t="str">
        <f>HYPERLINK("http://www.weizmann.ac.il/complex/compphys/software/geview/data/figures/211745_x_at.png","Figure")</f>
        <v>Figure</v>
      </c>
      <c r="I15045">
        <v>2.48</v>
      </c>
      <c r="J15045">
        <v>0.6</v>
      </c>
      <c r="K15045">
        <v>1.41</v>
      </c>
      <c r="L15045">
        <v>0.9</v>
      </c>
      <c r="M15045">
        <v>0.56899999999999995</v>
      </c>
      <c r="N15045">
        <v>0.79</v>
      </c>
    </row>
    <row r="15046" spans="1:14" x14ac:dyDescent="0.25">
      <c r="A15046" t="s">
        <v>25429</v>
      </c>
      <c r="B15046" t="s">
        <v>25430</v>
      </c>
      <c r="C15046" s="1" t="str">
        <f>HYPERLINK("http://www.genecards.org/cgi-bin/carddisp.pl?gene=CTSD","GeneCards")</f>
        <v>GeneCards</v>
      </c>
      <c r="D15046" s="1" t="str">
        <f>HYPERLINK("http://genome-euro.ucsc.edu/cgi-bin/hgTracks?position=200766_at","UCSC")</f>
        <v>UCSC</v>
      </c>
      <c r="E15046" s="1" t="str">
        <f>HYPERLINK("http://www.ncbi.nlm.nih.gov/gene/?term=CTSD","NCBI")</f>
        <v>NCBI</v>
      </c>
      <c r="F15046">
        <v>0.62</v>
      </c>
      <c r="G15046">
        <v>0.7</v>
      </c>
      <c r="H15046" s="1" t="str">
        <f>HYPERLINK("http://www.weizmann.ac.il/complex/compphys/software/geview/data/figures/200766_at.png","Figure")</f>
        <v>Figure</v>
      </c>
      <c r="I15046">
        <v>1.07</v>
      </c>
      <c r="J15046">
        <v>0.67</v>
      </c>
      <c r="K15046">
        <v>1</v>
      </c>
      <c r="L15046">
        <v>1</v>
      </c>
      <c r="M15046">
        <v>0.94</v>
      </c>
      <c r="N15046">
        <v>0.65</v>
      </c>
    </row>
    <row r="15047" spans="1:14" x14ac:dyDescent="0.25">
      <c r="A15047" t="s">
        <v>25431</v>
      </c>
      <c r="B15047" t="s">
        <v>25432</v>
      </c>
      <c r="C15047" s="1" t="str">
        <f>HYPERLINK("http://www.genecards.org/cgi-bin/carddisp.pl?gene=RTDR1","GeneCards")</f>
        <v>GeneCards</v>
      </c>
      <c r="D15047" s="1" t="str">
        <f>HYPERLINK("http://genome-euro.ucsc.edu/cgi-bin/hgTracks?position=220105_at","UCSC")</f>
        <v>UCSC</v>
      </c>
      <c r="E15047" s="1" t="str">
        <f>HYPERLINK("http://www.ncbi.nlm.nih.gov/gene/?term=RTDR1","NCBI")</f>
        <v>NCBI</v>
      </c>
      <c r="F15047">
        <v>0.62</v>
      </c>
      <c r="G15047">
        <v>0.7</v>
      </c>
      <c r="H15047" s="1" t="str">
        <f>HYPERLINK("http://www.weizmann.ac.il/complex/compphys/software/geview/data/figures/220105_at.png","Figure")</f>
        <v>Figure</v>
      </c>
      <c r="I15047">
        <v>1</v>
      </c>
      <c r="J15047">
        <v>1</v>
      </c>
      <c r="K15047">
        <v>1.01</v>
      </c>
      <c r="L15047">
        <v>0.66</v>
      </c>
      <c r="M15047">
        <v>1.01</v>
      </c>
      <c r="N15047">
        <v>0.73</v>
      </c>
    </row>
    <row r="15048" spans="1:14" x14ac:dyDescent="0.25">
      <c r="A15048" t="s">
        <v>25433</v>
      </c>
      <c r="B15048" t="s">
        <v>20704</v>
      </c>
      <c r="C15048" s="1" t="str">
        <f>HYPERLINK("http://www.genecards.org/cgi-bin/carddisp.pl?gene=TRIM27","GeneCards")</f>
        <v>GeneCards</v>
      </c>
      <c r="D15048" s="1" t="str">
        <f>HYPERLINK("http://genome-euro.ucsc.edu/cgi-bin/hgTracks?position=212118_at","UCSC")</f>
        <v>UCSC</v>
      </c>
      <c r="E15048" s="1" t="str">
        <f>HYPERLINK("http://www.ncbi.nlm.nih.gov/gene/?term=TRIM27","NCBI")</f>
        <v>NCBI</v>
      </c>
      <c r="F15048">
        <v>0.62</v>
      </c>
      <c r="G15048">
        <v>0.7</v>
      </c>
      <c r="H15048" s="1" t="str">
        <f>HYPERLINK("http://www.weizmann.ac.il/complex/compphys/software/geview/data/figures/212118_at.png","Figure")</f>
        <v>Figure</v>
      </c>
      <c r="I15048">
        <v>0.996</v>
      </c>
      <c r="J15048">
        <v>1</v>
      </c>
      <c r="K15048">
        <v>1.1200000000000001</v>
      </c>
      <c r="L15048">
        <v>0.69</v>
      </c>
      <c r="M15048">
        <v>1.1299999999999999</v>
      </c>
      <c r="N15048">
        <v>0.7</v>
      </c>
    </row>
    <row r="15049" spans="1:14" x14ac:dyDescent="0.25">
      <c r="A15049" t="s">
        <v>25434</v>
      </c>
      <c r="B15049" t="s">
        <v>15915</v>
      </c>
      <c r="C15049" s="1" t="str">
        <f>HYPERLINK("http://www.genecards.org/cgi-bin/carddisp.pl?gene=MYH14","GeneCards")</f>
        <v>GeneCards</v>
      </c>
      <c r="D15049" s="1" t="str">
        <f>HYPERLINK("http://genome-euro.ucsc.edu/cgi-bin/hgTracks?position=217545_at","UCSC")</f>
        <v>UCSC</v>
      </c>
      <c r="E15049" s="1" t="str">
        <f>HYPERLINK("http://www.ncbi.nlm.nih.gov/gene/?term=MYH14","NCBI")</f>
        <v>NCBI</v>
      </c>
      <c r="F15049">
        <v>0.62</v>
      </c>
      <c r="G15049">
        <v>0.7</v>
      </c>
      <c r="H15049" s="1" t="str">
        <f>HYPERLINK("http://www.weizmann.ac.il/complex/compphys/software/geview/data/figures/217545_at.png","Figure")</f>
        <v>Figure</v>
      </c>
      <c r="I15049">
        <v>1.03</v>
      </c>
      <c r="J15049">
        <v>0.6</v>
      </c>
      <c r="K15049">
        <v>1.01</v>
      </c>
      <c r="L15049">
        <v>0.91</v>
      </c>
      <c r="M15049">
        <v>0.98</v>
      </c>
      <c r="N15049">
        <v>0.79</v>
      </c>
    </row>
    <row r="15050" spans="1:14" x14ac:dyDescent="0.25">
      <c r="A15050" t="s">
        <v>25435</v>
      </c>
      <c r="B15050" t="s">
        <v>20595</v>
      </c>
      <c r="C15050" s="1" t="str">
        <f>HYPERLINK("http://www.genecards.org/cgi-bin/carddisp.pl?gene=CHPF2","GeneCards")</f>
        <v>GeneCards</v>
      </c>
      <c r="D15050" s="1" t="str">
        <f>HYPERLINK("http://genome-euro.ucsc.edu/cgi-bin/hgTracks?position=55093_at","UCSC")</f>
        <v>UCSC</v>
      </c>
      <c r="E15050" s="1" t="str">
        <f>HYPERLINK("http://www.ncbi.nlm.nih.gov/gene/?term=CHPF2","NCBI")</f>
        <v>NCBI</v>
      </c>
      <c r="F15050">
        <v>0.62</v>
      </c>
      <c r="G15050">
        <v>0.7</v>
      </c>
      <c r="H15050" s="1" t="str">
        <f>HYPERLINK("http://www.weizmann.ac.il/complex/compphys/software/geview/data/figures/55093_at.png","Figure")</f>
        <v>Figure</v>
      </c>
      <c r="I15050">
        <v>1.04</v>
      </c>
      <c r="J15050">
        <v>0.85</v>
      </c>
      <c r="K15050">
        <v>0.97</v>
      </c>
      <c r="L15050">
        <v>0.9</v>
      </c>
      <c r="M15050">
        <v>0.92900000000000005</v>
      </c>
      <c r="N15050">
        <v>0.6</v>
      </c>
    </row>
    <row r="15051" spans="1:14" x14ac:dyDescent="0.25">
      <c r="A15051" t="s">
        <v>25436</v>
      </c>
      <c r="B15051" t="s">
        <v>12932</v>
      </c>
      <c r="C15051" s="1" t="str">
        <f>HYPERLINK("http://www.genecards.org/cgi-bin/carddisp.pl?gene=KIAA0141","GeneCards")</f>
        <v>GeneCards</v>
      </c>
      <c r="D15051" s="1" t="str">
        <f>HYPERLINK("http://genome-euro.ucsc.edu/cgi-bin/hgTracks?position=201977_s_at","UCSC")</f>
        <v>UCSC</v>
      </c>
      <c r="E15051" s="1" t="str">
        <f>HYPERLINK("http://www.ncbi.nlm.nih.gov/gene/?term=KIAA0141","NCBI")</f>
        <v>NCBI</v>
      </c>
      <c r="F15051">
        <v>0.62</v>
      </c>
      <c r="G15051">
        <v>0.7</v>
      </c>
      <c r="H15051" s="1" t="str">
        <f>HYPERLINK("http://www.weizmann.ac.il/complex/compphys/software/geview/data/figures/201977_s_at.png","Figure")</f>
        <v>Figure</v>
      </c>
      <c r="I15051">
        <v>1.1200000000000001</v>
      </c>
      <c r="J15051">
        <v>0.6</v>
      </c>
      <c r="K15051">
        <v>1.06</v>
      </c>
      <c r="L15051">
        <v>0.81</v>
      </c>
      <c r="M15051">
        <v>0.95299999999999996</v>
      </c>
      <c r="N15051">
        <v>0.89</v>
      </c>
    </row>
    <row r="15052" spans="1:14" x14ac:dyDescent="0.25">
      <c r="A15052" t="s">
        <v>25437</v>
      </c>
      <c r="B15052" t="s">
        <v>25438</v>
      </c>
      <c r="C15052" s="1" t="str">
        <f>HYPERLINK("http://www.genecards.org/cgi-bin/carddisp.pl?gene=SLC31A2","GeneCards")</f>
        <v>GeneCards</v>
      </c>
      <c r="D15052" s="1" t="str">
        <f>HYPERLINK("http://genome-euro.ucsc.edu/cgi-bin/hgTracks?position=204204_at","UCSC")</f>
        <v>UCSC</v>
      </c>
      <c r="E15052" s="1" t="str">
        <f>HYPERLINK("http://www.ncbi.nlm.nih.gov/gene/?term=SLC31A2","NCBI")</f>
        <v>NCBI</v>
      </c>
      <c r="F15052">
        <v>0.62</v>
      </c>
      <c r="G15052">
        <v>0.7</v>
      </c>
      <c r="H15052" s="1" t="str">
        <f>HYPERLINK("http://www.weizmann.ac.il/complex/compphys/software/geview/data/figures/204204_at.png","Figure")</f>
        <v>Figure</v>
      </c>
      <c r="I15052">
        <v>0.94699999999999995</v>
      </c>
      <c r="J15052">
        <v>0.83</v>
      </c>
      <c r="K15052">
        <v>0.92400000000000004</v>
      </c>
      <c r="L15052">
        <v>0.6</v>
      </c>
      <c r="M15052">
        <v>0.97599999999999998</v>
      </c>
      <c r="N15052">
        <v>0.96</v>
      </c>
    </row>
    <row r="15053" spans="1:14" x14ac:dyDescent="0.25">
      <c r="A15053" t="s">
        <v>25439</v>
      </c>
      <c r="B15053" t="s">
        <v>7458</v>
      </c>
      <c r="C15053" s="1" t="str">
        <f>HYPERLINK("http://www.genecards.org/cgi-bin/carddisp.pl?gene=GABBR2","GeneCards")</f>
        <v>GeneCards</v>
      </c>
      <c r="D15053" s="1" t="str">
        <f>HYPERLINK("http://genome-euro.ucsc.edu/cgi-bin/hgTracks?position=211679_x_at","UCSC")</f>
        <v>UCSC</v>
      </c>
      <c r="E15053" s="1" t="str">
        <f>HYPERLINK("http://www.ncbi.nlm.nih.gov/gene/?term=GABBR2","NCBI")</f>
        <v>NCBI</v>
      </c>
      <c r="F15053">
        <v>0.62</v>
      </c>
      <c r="G15053">
        <v>0.7</v>
      </c>
      <c r="H15053" s="1" t="str">
        <f>HYPERLINK("http://www.weizmann.ac.il/complex/compphys/software/geview/data/figures/211679_x_at.png","Figure")</f>
        <v>Figure</v>
      </c>
      <c r="I15053">
        <v>1.06</v>
      </c>
      <c r="J15053">
        <v>0.62</v>
      </c>
      <c r="K15053">
        <v>1.04</v>
      </c>
      <c r="L15053">
        <v>0.76</v>
      </c>
      <c r="M15053">
        <v>0.98099999999999998</v>
      </c>
      <c r="N15053">
        <v>0.93</v>
      </c>
    </row>
    <row r="15054" spans="1:14" x14ac:dyDescent="0.25">
      <c r="A15054" t="s">
        <v>25440</v>
      </c>
      <c r="B15054" t="s">
        <v>25441</v>
      </c>
      <c r="C15054" s="1" t="str">
        <f>HYPERLINK("http://www.genecards.org/cgi-bin/carddisp.pl?gene=ANKRD40","GeneCards")</f>
        <v>GeneCards</v>
      </c>
      <c r="D15054" s="1" t="str">
        <f>HYPERLINK("http://genome-euro.ucsc.edu/cgi-bin/hgTracks?position=211717_at","UCSC")</f>
        <v>UCSC</v>
      </c>
      <c r="E15054" s="1" t="str">
        <f>HYPERLINK("http://www.ncbi.nlm.nih.gov/gene/?term=ANKRD40","NCBI")</f>
        <v>NCBI</v>
      </c>
      <c r="F15054">
        <v>0.62</v>
      </c>
      <c r="G15054">
        <v>0.7</v>
      </c>
      <c r="H15054" s="1" t="str">
        <f>HYPERLINK("http://www.weizmann.ac.il/complex/compphys/software/geview/data/figures/211717_at.png","Figure")</f>
        <v>Figure</v>
      </c>
      <c r="I15054">
        <v>1.03</v>
      </c>
      <c r="J15054">
        <v>0.92</v>
      </c>
      <c r="K15054">
        <v>1.06</v>
      </c>
      <c r="L15054">
        <v>0.6</v>
      </c>
      <c r="M15054">
        <v>1.03</v>
      </c>
      <c r="N15054">
        <v>0.87</v>
      </c>
    </row>
    <row r="15055" spans="1:14" x14ac:dyDescent="0.25">
      <c r="A15055" t="s">
        <v>25442</v>
      </c>
      <c r="B15055" t="s">
        <v>25443</v>
      </c>
      <c r="C15055" s="1" t="str">
        <f>HYPERLINK("http://www.genecards.org/cgi-bin/carddisp.pl?gene=MVP","GeneCards")</f>
        <v>GeneCards</v>
      </c>
      <c r="D15055" s="1" t="str">
        <f>HYPERLINK("http://genome-euro.ucsc.edu/cgi-bin/hgTracks?position=202180_s_at","UCSC")</f>
        <v>UCSC</v>
      </c>
      <c r="E15055" s="1" t="str">
        <f>HYPERLINK("http://www.ncbi.nlm.nih.gov/gene/?term=MVP","NCBI")</f>
        <v>NCBI</v>
      </c>
      <c r="F15055">
        <v>0.62</v>
      </c>
      <c r="G15055">
        <v>0.7</v>
      </c>
      <c r="H15055" s="1" t="str">
        <f>HYPERLINK("http://www.weizmann.ac.il/complex/compphys/software/geview/data/figures/202180_s_at.png","Figure")</f>
        <v>Figure</v>
      </c>
      <c r="I15055">
        <v>1.08</v>
      </c>
      <c r="J15055">
        <v>0.65</v>
      </c>
      <c r="K15055">
        <v>1.01</v>
      </c>
      <c r="L15055">
        <v>0.99</v>
      </c>
      <c r="M15055">
        <v>0.93300000000000005</v>
      </c>
      <c r="N15055">
        <v>0.67</v>
      </c>
    </row>
    <row r="15056" spans="1:14" x14ac:dyDescent="0.25">
      <c r="A15056" t="s">
        <v>25444</v>
      </c>
      <c r="B15056" t="s">
        <v>19702</v>
      </c>
      <c r="C15056" s="1" t="str">
        <f>HYPERLINK("http://www.genecards.org/cgi-bin/carddisp.pl?gene=ERAP1","GeneCards")</f>
        <v>GeneCards</v>
      </c>
      <c r="D15056" s="1" t="str">
        <f>HYPERLINK("http://genome-euro.ucsc.edu/cgi-bin/hgTracks?position=210385_s_at","UCSC")</f>
        <v>UCSC</v>
      </c>
      <c r="E15056" s="1" t="str">
        <f>HYPERLINK("http://www.ncbi.nlm.nih.gov/gene/?term=ERAP1","NCBI")</f>
        <v>NCBI</v>
      </c>
      <c r="F15056">
        <v>0.62</v>
      </c>
      <c r="G15056">
        <v>0.7</v>
      </c>
      <c r="H15056" s="1" t="str">
        <f>HYPERLINK("http://www.weizmann.ac.il/complex/compphys/software/geview/data/figures/210385_s_at.png","Figure")</f>
        <v>Figure</v>
      </c>
      <c r="I15056">
        <v>1</v>
      </c>
      <c r="J15056">
        <v>1</v>
      </c>
      <c r="K15056">
        <v>1.08</v>
      </c>
      <c r="L15056">
        <v>0.67</v>
      </c>
      <c r="M15056">
        <v>1.07</v>
      </c>
      <c r="N15056">
        <v>0.73</v>
      </c>
    </row>
    <row r="15057" spans="1:14" x14ac:dyDescent="0.25">
      <c r="A15057" t="s">
        <v>25445</v>
      </c>
      <c r="B15057" t="s">
        <v>24114</v>
      </c>
      <c r="C15057" s="1" t="str">
        <f>HYPERLINK("http://www.genecards.org/cgi-bin/carddisp.pl?gene=MARCKS","GeneCards")</f>
        <v>GeneCards</v>
      </c>
      <c r="D15057" s="1" t="str">
        <f>HYPERLINK("http://genome-euro.ucsc.edu/cgi-bin/hgTracks?position=201668_x_at","UCSC")</f>
        <v>UCSC</v>
      </c>
      <c r="E15057" s="1" t="str">
        <f>HYPERLINK("http://www.ncbi.nlm.nih.gov/gene/?term=MARCKS","NCBI")</f>
        <v>NCBI</v>
      </c>
      <c r="F15057">
        <v>0.62</v>
      </c>
      <c r="G15057">
        <v>0.7</v>
      </c>
      <c r="H15057" s="1" t="str">
        <f>HYPERLINK("http://www.weizmann.ac.il/complex/compphys/software/geview/data/figures/201668_x_at.png","Figure")</f>
        <v>Figure</v>
      </c>
      <c r="I15057">
        <v>1.1000000000000001</v>
      </c>
      <c r="J15057">
        <v>0.72</v>
      </c>
      <c r="K15057">
        <v>0.98599999999999999</v>
      </c>
      <c r="L15057">
        <v>0.99</v>
      </c>
      <c r="M15057">
        <v>0.89900000000000002</v>
      </c>
      <c r="N15057">
        <v>0.62</v>
      </c>
    </row>
    <row r="15058" spans="1:14" x14ac:dyDescent="0.25">
      <c r="A15058" t="s">
        <v>25446</v>
      </c>
      <c r="B15058" t="s">
        <v>24911</v>
      </c>
      <c r="C15058" s="1" t="str">
        <f>HYPERLINK("http://www.genecards.org/cgi-bin/carddisp.pl?gene=MAPK7","GeneCards")</f>
        <v>GeneCards</v>
      </c>
      <c r="D15058" s="1" t="str">
        <f>HYPERLINK("http://genome-euro.ucsc.edu/cgi-bin/hgTracks?position=35617_at","UCSC")</f>
        <v>UCSC</v>
      </c>
      <c r="E15058" s="1" t="str">
        <f>HYPERLINK("http://www.ncbi.nlm.nih.gov/gene/?term=MAPK7","NCBI")</f>
        <v>NCBI</v>
      </c>
      <c r="F15058">
        <v>0.62</v>
      </c>
      <c r="G15058">
        <v>0.7</v>
      </c>
      <c r="H15058" s="1" t="str">
        <f>HYPERLINK("http://www.weizmann.ac.il/complex/compphys/software/geview/data/figures/35617_at.png","Figure")</f>
        <v>Figure</v>
      </c>
      <c r="I15058">
        <v>1.08</v>
      </c>
      <c r="J15058">
        <v>0.6</v>
      </c>
      <c r="K15058">
        <v>1.03</v>
      </c>
      <c r="L15058">
        <v>0.93</v>
      </c>
      <c r="M15058">
        <v>0.94799999999999995</v>
      </c>
      <c r="N15058">
        <v>0.76</v>
      </c>
    </row>
    <row r="15059" spans="1:14" x14ac:dyDescent="0.25">
      <c r="A15059" t="s">
        <v>25447</v>
      </c>
      <c r="B15059" t="s">
        <v>17271</v>
      </c>
      <c r="C15059" s="1" t="str">
        <f>HYPERLINK("http://www.genecards.org/cgi-bin/carddisp.pl?gene=GSPT1","GeneCards")</f>
        <v>GeneCards</v>
      </c>
      <c r="D15059" s="1" t="str">
        <f>HYPERLINK("http://genome-euro.ucsc.edu/cgi-bin/hgTracks?position=201912_s_at","UCSC")</f>
        <v>UCSC</v>
      </c>
      <c r="E15059" s="1" t="str">
        <f>HYPERLINK("http://www.ncbi.nlm.nih.gov/gene/?term=GSPT1","NCBI")</f>
        <v>NCBI</v>
      </c>
      <c r="F15059">
        <v>0.62</v>
      </c>
      <c r="G15059">
        <v>0.7</v>
      </c>
      <c r="H15059" s="1" t="str">
        <f>HYPERLINK("http://www.weizmann.ac.il/complex/compphys/software/geview/data/figures/201912_s_at.png","Figure")</f>
        <v>Figure</v>
      </c>
      <c r="I15059">
        <v>1.1399999999999999</v>
      </c>
      <c r="J15059">
        <v>0.89</v>
      </c>
      <c r="K15059">
        <v>0.88300000000000001</v>
      </c>
      <c r="L15059">
        <v>0.87</v>
      </c>
      <c r="M15059">
        <v>0.77500000000000002</v>
      </c>
      <c r="N15059">
        <v>0.6</v>
      </c>
    </row>
    <row r="15060" spans="1:14" x14ac:dyDescent="0.25">
      <c r="A15060" t="s">
        <v>25448</v>
      </c>
      <c r="B15060" t="s">
        <v>7674</v>
      </c>
      <c r="C15060" s="1" t="str">
        <f>HYPERLINK("http://www.genecards.org/cgi-bin/carddisp.pl?gene=EIF5A","GeneCards")</f>
        <v>GeneCards</v>
      </c>
      <c r="D15060" s="1" t="str">
        <f>HYPERLINK("http://genome-euro.ucsc.edu/cgi-bin/hgTracks?position=201123_s_at","UCSC")</f>
        <v>UCSC</v>
      </c>
      <c r="E15060" s="1" t="str">
        <f>HYPERLINK("http://www.ncbi.nlm.nih.gov/gene/?term=EIF5A","NCBI")</f>
        <v>NCBI</v>
      </c>
      <c r="F15060">
        <v>0.62</v>
      </c>
      <c r="G15060">
        <v>0.71</v>
      </c>
      <c r="H15060" s="1" t="str">
        <f>HYPERLINK("http://www.weizmann.ac.il/complex/compphys/software/geview/data/figures/201123_s_at.png","Figure")</f>
        <v>Figure</v>
      </c>
      <c r="I15060">
        <v>0.84799999999999998</v>
      </c>
      <c r="J15060">
        <v>0.75</v>
      </c>
      <c r="K15060">
        <v>1.04</v>
      </c>
      <c r="L15060">
        <v>0.98</v>
      </c>
      <c r="M15060">
        <v>1.23</v>
      </c>
      <c r="N15060">
        <v>0.61</v>
      </c>
    </row>
    <row r="15061" spans="1:14" x14ac:dyDescent="0.25">
      <c r="A15061" t="s">
        <v>25449</v>
      </c>
      <c r="B15061" t="s">
        <v>25450</v>
      </c>
      <c r="C15061" s="1" t="str">
        <f>HYPERLINK("http://www.genecards.org/cgi-bin/carddisp.pl?gene=MMP16","GeneCards")</f>
        <v>GeneCards</v>
      </c>
      <c r="D15061" s="1" t="str">
        <f>HYPERLINK("http://genome-euro.ucsc.edu/cgi-bin/hgTracks?position=207013_s_at","UCSC")</f>
        <v>UCSC</v>
      </c>
      <c r="E15061" s="1" t="str">
        <f>HYPERLINK("http://www.ncbi.nlm.nih.gov/gene/?term=MMP16","NCBI")</f>
        <v>NCBI</v>
      </c>
      <c r="F15061">
        <v>0.62</v>
      </c>
      <c r="G15061">
        <v>0.71</v>
      </c>
      <c r="H15061" s="1" t="str">
        <f>HYPERLINK("http://www.weizmann.ac.il/complex/compphys/software/geview/data/figures/207013_s_at.png","Figure")</f>
        <v>Figure</v>
      </c>
      <c r="I15061">
        <v>1.07</v>
      </c>
      <c r="J15061">
        <v>0.62</v>
      </c>
      <c r="K15061">
        <v>1.01</v>
      </c>
      <c r="L15061">
        <v>0.97</v>
      </c>
      <c r="M15061">
        <v>0.95099999999999996</v>
      </c>
      <c r="N15061">
        <v>0.71</v>
      </c>
    </row>
    <row r="15062" spans="1:14" x14ac:dyDescent="0.25">
      <c r="A15062" t="s">
        <v>25451</v>
      </c>
      <c r="B15062" t="s">
        <v>386</v>
      </c>
      <c r="C15062" s="1" t="str">
        <f>HYPERLINK("http://www.genecards.org/cgi-bin/carddisp.pl?gene=EPRS","GeneCards")</f>
        <v>GeneCards</v>
      </c>
      <c r="D15062" s="1" t="str">
        <f>HYPERLINK("http://genome-euro.ucsc.edu/cgi-bin/hgTracks?position=200841_s_at","UCSC")</f>
        <v>UCSC</v>
      </c>
      <c r="E15062" s="1" t="str">
        <f>HYPERLINK("http://www.ncbi.nlm.nih.gov/gene/?term=EPRS","NCBI")</f>
        <v>NCBI</v>
      </c>
      <c r="F15062">
        <v>0.62</v>
      </c>
      <c r="G15062">
        <v>0.71</v>
      </c>
      <c r="H15062" s="1" t="str">
        <f>HYPERLINK("http://www.weizmann.ac.il/complex/compphys/software/geview/data/figures/200841_s_at.png","Figure")</f>
        <v>Figure</v>
      </c>
      <c r="I15062">
        <v>1.1000000000000001</v>
      </c>
      <c r="J15062">
        <v>0.61</v>
      </c>
      <c r="K15062">
        <v>1.06</v>
      </c>
      <c r="L15062">
        <v>0.78</v>
      </c>
      <c r="M15062">
        <v>0.96499999999999997</v>
      </c>
      <c r="N15062">
        <v>0.92</v>
      </c>
    </row>
    <row r="15063" spans="1:14" x14ac:dyDescent="0.25">
      <c r="A15063" t="s">
        <v>25452</v>
      </c>
      <c r="B15063" t="s">
        <v>25453</v>
      </c>
      <c r="C15063" s="1" t="str">
        <f>HYPERLINK("http://www.genecards.org/cgi-bin/carddisp.pl?gene=SGCG","GeneCards")</f>
        <v>GeneCards</v>
      </c>
      <c r="D15063" s="1" t="str">
        <f>HYPERLINK("http://genome-euro.ucsc.edu/cgi-bin/hgTracks?position=207302_at","UCSC")</f>
        <v>UCSC</v>
      </c>
      <c r="E15063" s="1" t="str">
        <f>HYPERLINK("http://www.ncbi.nlm.nih.gov/gene/?term=SGCG","NCBI")</f>
        <v>NCBI</v>
      </c>
      <c r="F15063">
        <v>0.62</v>
      </c>
      <c r="G15063">
        <v>0.71</v>
      </c>
      <c r="H15063" s="1" t="str">
        <f>HYPERLINK("http://www.weizmann.ac.il/complex/compphys/software/geview/data/figures/207302_at.png","Figure")</f>
        <v>Figure</v>
      </c>
      <c r="I15063">
        <v>0.99299999999999999</v>
      </c>
      <c r="J15063">
        <v>0.63</v>
      </c>
      <c r="K15063">
        <v>0.995</v>
      </c>
      <c r="L15063">
        <v>0.73</v>
      </c>
      <c r="M15063">
        <v>1</v>
      </c>
      <c r="N15063">
        <v>0.96</v>
      </c>
    </row>
    <row r="15064" spans="1:14" x14ac:dyDescent="0.25">
      <c r="A15064" t="s">
        <v>25454</v>
      </c>
      <c r="B15064" t="s">
        <v>25455</v>
      </c>
      <c r="C15064" s="1" t="str">
        <f>HYPERLINK("http://www.genecards.org/cgi-bin/carddisp.pl?gene=LOC286434","GeneCards")</f>
        <v>GeneCards</v>
      </c>
      <c r="D15064" s="1" t="str">
        <f>HYPERLINK("http://genome-euro.ucsc.edu/cgi-bin/hgTracks?position=59433_at","UCSC")</f>
        <v>UCSC</v>
      </c>
      <c r="E15064" s="1" t="str">
        <f>HYPERLINK("http://www.ncbi.nlm.nih.gov/gene/?term=LOC286434","NCBI")</f>
        <v>NCBI</v>
      </c>
      <c r="F15064">
        <v>0.62</v>
      </c>
      <c r="G15064">
        <v>0.71</v>
      </c>
      <c r="H15064" s="1" t="str">
        <f>HYPERLINK("http://www.weizmann.ac.il/complex/compphys/software/geview/data/figures/59433_at.png","Figure")</f>
        <v>Figure</v>
      </c>
      <c r="I15064">
        <v>0.93400000000000005</v>
      </c>
      <c r="J15064">
        <v>0.82</v>
      </c>
      <c r="K15064">
        <v>1.04</v>
      </c>
      <c r="L15064">
        <v>0.93</v>
      </c>
      <c r="M15064">
        <v>1.1100000000000001</v>
      </c>
      <c r="N15064">
        <v>0.6</v>
      </c>
    </row>
    <row r="15065" spans="1:14" x14ac:dyDescent="0.25">
      <c r="A15065" t="s">
        <v>25456</v>
      </c>
      <c r="B15065" t="s">
        <v>25457</v>
      </c>
      <c r="C15065" s="1" t="str">
        <f>HYPERLINK("http://www.genecards.org/cgi-bin/carddisp.pl?gene=ZNF195","GeneCards")</f>
        <v>GeneCards</v>
      </c>
      <c r="D15065" s="1" t="str">
        <f>HYPERLINK("http://genome-euro.ucsc.edu/cgi-bin/hgTracks?position=204234_s_at","UCSC")</f>
        <v>UCSC</v>
      </c>
      <c r="E15065" s="1" t="str">
        <f>HYPERLINK("http://www.ncbi.nlm.nih.gov/gene/?term=ZNF195","NCBI")</f>
        <v>NCBI</v>
      </c>
      <c r="F15065">
        <v>0.62</v>
      </c>
      <c r="G15065">
        <v>0.71</v>
      </c>
      <c r="H15065" s="1" t="str">
        <f>HYPERLINK("http://www.weizmann.ac.il/complex/compphys/software/geview/data/figures/204234_s_at.png","Figure")</f>
        <v>Figure</v>
      </c>
      <c r="I15065">
        <v>1.19</v>
      </c>
      <c r="J15065">
        <v>0.65</v>
      </c>
      <c r="K15065">
        <v>1.02</v>
      </c>
      <c r="L15065">
        <v>0.99</v>
      </c>
      <c r="M15065">
        <v>0.86</v>
      </c>
      <c r="N15065">
        <v>0.68</v>
      </c>
    </row>
    <row r="15066" spans="1:14" x14ac:dyDescent="0.25">
      <c r="A15066" t="s">
        <v>25458</v>
      </c>
      <c r="B15066" t="s">
        <v>25459</v>
      </c>
      <c r="C15066" s="1" t="str">
        <f>HYPERLINK("http://www.genecards.org/cgi-bin/carddisp.pl?gene=DSTN","GeneCards")</f>
        <v>GeneCards</v>
      </c>
      <c r="D15066" s="1" t="str">
        <f>HYPERLINK("http://genome-euro.ucsc.edu/cgi-bin/hgTracks?position=201021_s_at","UCSC")</f>
        <v>UCSC</v>
      </c>
      <c r="E15066" s="1" t="str">
        <f>HYPERLINK("http://www.ncbi.nlm.nih.gov/gene/?term=DSTN","NCBI")</f>
        <v>NCBI</v>
      </c>
      <c r="F15066">
        <v>0.63</v>
      </c>
      <c r="G15066">
        <v>0.71</v>
      </c>
      <c r="H15066" s="1" t="str">
        <f>HYPERLINK("http://www.weizmann.ac.il/complex/compphys/software/geview/data/figures/201021_s_at.png","Figure")</f>
        <v>Figure</v>
      </c>
      <c r="I15066">
        <v>1.1000000000000001</v>
      </c>
      <c r="J15066">
        <v>0.95</v>
      </c>
      <c r="K15066">
        <v>1.32</v>
      </c>
      <c r="L15066">
        <v>0.61</v>
      </c>
      <c r="M15066">
        <v>1.2</v>
      </c>
      <c r="N15066">
        <v>0.83</v>
      </c>
    </row>
    <row r="15067" spans="1:14" x14ac:dyDescent="0.25">
      <c r="A15067" t="s">
        <v>25460</v>
      </c>
      <c r="B15067" t="s">
        <v>18448</v>
      </c>
      <c r="C15067" s="1" t="str">
        <f>HYPERLINK("http://www.genecards.org/cgi-bin/carddisp.pl?gene=SEC14L1","GeneCards")</f>
        <v>GeneCards</v>
      </c>
      <c r="D15067" s="1" t="str">
        <f>HYPERLINK("http://genome-euro.ucsc.edu/cgi-bin/hgTracks?position=202082_s_at","UCSC")</f>
        <v>UCSC</v>
      </c>
      <c r="E15067" s="1" t="str">
        <f>HYPERLINK("http://www.ncbi.nlm.nih.gov/gene/?term=SEC14L1","NCBI")</f>
        <v>NCBI</v>
      </c>
      <c r="F15067">
        <v>0.63</v>
      </c>
      <c r="G15067">
        <v>0.71</v>
      </c>
      <c r="H15067" s="1" t="str">
        <f>HYPERLINK("http://www.weizmann.ac.il/complex/compphys/software/geview/data/figures/202082_s_at.png","Figure")</f>
        <v>Figure</v>
      </c>
      <c r="I15067">
        <v>1.0900000000000001</v>
      </c>
      <c r="J15067">
        <v>0.93</v>
      </c>
      <c r="K15067">
        <v>1.22</v>
      </c>
      <c r="L15067">
        <v>0.6</v>
      </c>
      <c r="M15067">
        <v>1.1200000000000001</v>
      </c>
      <c r="N15067">
        <v>0.86</v>
      </c>
    </row>
    <row r="15068" spans="1:14" x14ac:dyDescent="0.25">
      <c r="A15068" t="s">
        <v>25461</v>
      </c>
      <c r="B15068" t="s">
        <v>415</v>
      </c>
      <c r="C15068" s="1" t="str">
        <f>HYPERLINK("http://www.genecards.org/cgi-bin/carddisp.pl?gene=IDS","GeneCards")</f>
        <v>GeneCards</v>
      </c>
      <c r="D15068" s="1" t="str">
        <f>HYPERLINK("http://genome-euro.ucsc.edu/cgi-bin/hgTracks?position=210666_at","UCSC")</f>
        <v>UCSC</v>
      </c>
      <c r="E15068" s="1" t="str">
        <f>HYPERLINK("http://www.ncbi.nlm.nih.gov/gene/?term=IDS","NCBI")</f>
        <v>NCBI</v>
      </c>
      <c r="F15068">
        <v>0.63</v>
      </c>
      <c r="G15068">
        <v>0.71</v>
      </c>
      <c r="H15068" s="1" t="str">
        <f>HYPERLINK("http://www.weizmann.ac.il/complex/compphys/software/geview/data/figures/210666_at.png","Figure")</f>
        <v>Figure</v>
      </c>
      <c r="I15068">
        <v>1.07</v>
      </c>
      <c r="J15068">
        <v>0.89</v>
      </c>
      <c r="K15068">
        <v>0.93600000000000005</v>
      </c>
      <c r="L15068">
        <v>0.87</v>
      </c>
      <c r="M15068">
        <v>0.873</v>
      </c>
      <c r="N15068">
        <v>0.6</v>
      </c>
    </row>
    <row r="15069" spans="1:14" x14ac:dyDescent="0.25">
      <c r="A15069" t="s">
        <v>25462</v>
      </c>
      <c r="B15069" t="s">
        <v>22003</v>
      </c>
      <c r="C15069" s="1" t="str">
        <f>HYPERLINK("http://www.genecards.org/cgi-bin/carddisp.pl?gene=GOSR1","GeneCards")</f>
        <v>GeneCards</v>
      </c>
      <c r="D15069" s="1" t="str">
        <f>HYPERLINK("http://genome-euro.ucsc.edu/cgi-bin/hgTracks?position=213021_at","UCSC")</f>
        <v>UCSC</v>
      </c>
      <c r="E15069" s="1" t="str">
        <f>HYPERLINK("http://www.ncbi.nlm.nih.gov/gene/?term=GOSR1","NCBI")</f>
        <v>NCBI</v>
      </c>
      <c r="F15069">
        <v>0.63</v>
      </c>
      <c r="G15069">
        <v>0.71</v>
      </c>
      <c r="H15069" s="1" t="str">
        <f>HYPERLINK("http://www.weizmann.ac.il/complex/compphys/software/geview/data/figures/213021_at.png","Figure")</f>
        <v>Figure</v>
      </c>
      <c r="I15069">
        <v>0.91600000000000004</v>
      </c>
      <c r="J15069">
        <v>0.78</v>
      </c>
      <c r="K15069">
        <v>0.89600000000000002</v>
      </c>
      <c r="L15069">
        <v>0.61</v>
      </c>
      <c r="M15069">
        <v>0.97799999999999998</v>
      </c>
      <c r="N15069">
        <v>0.98</v>
      </c>
    </row>
    <row r="15070" spans="1:14" x14ac:dyDescent="0.25">
      <c r="A15070" t="s">
        <v>25463</v>
      </c>
      <c r="B15070" t="s">
        <v>25022</v>
      </c>
      <c r="C15070" s="1" t="str">
        <f>HYPERLINK("http://www.genecards.org/cgi-bin/carddisp.pl?gene=PLA2G5","GeneCards")</f>
        <v>GeneCards</v>
      </c>
      <c r="D15070" s="1" t="str">
        <f>HYPERLINK("http://genome-euro.ucsc.edu/cgi-bin/hgTracks?position=206178_at","UCSC")</f>
        <v>UCSC</v>
      </c>
      <c r="E15070" s="1" t="str">
        <f>HYPERLINK("http://www.ncbi.nlm.nih.gov/gene/?term=PLA2G5","NCBI")</f>
        <v>NCBI</v>
      </c>
      <c r="F15070">
        <v>0.63</v>
      </c>
      <c r="G15070">
        <v>0.71</v>
      </c>
      <c r="H15070" s="1" t="str">
        <f>HYPERLINK("http://www.weizmann.ac.il/complex/compphys/software/geview/data/figures/206178_at.png","Figure")</f>
        <v>Figure</v>
      </c>
      <c r="I15070">
        <v>1.03</v>
      </c>
      <c r="J15070">
        <v>0.9</v>
      </c>
      <c r="K15070">
        <v>1.06</v>
      </c>
      <c r="L15070">
        <v>0.6</v>
      </c>
      <c r="M15070">
        <v>1.03</v>
      </c>
      <c r="N15070">
        <v>0.89</v>
      </c>
    </row>
    <row r="15071" spans="1:14" x14ac:dyDescent="0.25">
      <c r="A15071" t="s">
        <v>25464</v>
      </c>
      <c r="B15071" t="s">
        <v>20025</v>
      </c>
      <c r="C15071" s="1" t="str">
        <f>HYPERLINK("http://www.genecards.org/cgi-bin/carddisp.pl?gene=BRE","GeneCards")</f>
        <v>GeneCards</v>
      </c>
      <c r="D15071" s="1" t="str">
        <f>HYPERLINK("http://genome-euro.ucsc.edu/cgi-bin/hgTracks?position=205550_s_at","UCSC")</f>
        <v>UCSC</v>
      </c>
      <c r="E15071" s="1" t="str">
        <f>HYPERLINK("http://www.ncbi.nlm.nih.gov/gene/?term=BRE","NCBI")</f>
        <v>NCBI</v>
      </c>
      <c r="F15071">
        <v>0.63</v>
      </c>
      <c r="G15071">
        <v>0.71</v>
      </c>
      <c r="H15071" s="1" t="str">
        <f>HYPERLINK("http://www.weizmann.ac.il/complex/compphys/software/geview/data/figures/205550_s_at.png","Figure")</f>
        <v>Figure</v>
      </c>
      <c r="I15071">
        <v>1.02</v>
      </c>
      <c r="J15071">
        <v>0.99</v>
      </c>
      <c r="K15071">
        <v>1.1200000000000001</v>
      </c>
      <c r="L15071">
        <v>0.65</v>
      </c>
      <c r="M15071">
        <v>1.1000000000000001</v>
      </c>
      <c r="N15071">
        <v>0.76</v>
      </c>
    </row>
    <row r="15072" spans="1:14" x14ac:dyDescent="0.25">
      <c r="A15072" t="s">
        <v>25465</v>
      </c>
      <c r="B15072" t="s">
        <v>25466</v>
      </c>
      <c r="C15072" s="1" t="str">
        <f>HYPERLINK("http://www.genecards.org/cgi-bin/carddisp.pl?gene=PDIA3","GeneCards")</f>
        <v>GeneCards</v>
      </c>
      <c r="D15072" s="1" t="str">
        <f>HYPERLINK("http://genome-euro.ucsc.edu/cgi-bin/hgTracks?position=208612_at","UCSC")</f>
        <v>UCSC</v>
      </c>
      <c r="E15072" s="1" t="str">
        <f>HYPERLINK("http://www.ncbi.nlm.nih.gov/gene/?term=PDIA3","NCBI")</f>
        <v>NCBI</v>
      </c>
      <c r="F15072">
        <v>0.63</v>
      </c>
      <c r="G15072">
        <v>0.71</v>
      </c>
      <c r="H15072" s="1" t="str">
        <f>HYPERLINK("http://www.weizmann.ac.il/complex/compphys/software/geview/data/figures/208612_at.png","Figure")</f>
        <v>Figure</v>
      </c>
      <c r="I15072">
        <v>0.81599999999999995</v>
      </c>
      <c r="J15072">
        <v>0.65</v>
      </c>
      <c r="K15072">
        <v>0.85</v>
      </c>
      <c r="L15072">
        <v>0.7</v>
      </c>
      <c r="M15072">
        <v>1.04</v>
      </c>
      <c r="N15072">
        <v>0.98</v>
      </c>
    </row>
    <row r="15073" spans="1:14" x14ac:dyDescent="0.25">
      <c r="A15073" t="s">
        <v>25467</v>
      </c>
      <c r="B15073" t="s">
        <v>23801</v>
      </c>
      <c r="C15073" s="1" t="str">
        <f>HYPERLINK("http://www.genecards.org/cgi-bin/carddisp.pl?gene=ABCA1","GeneCards")</f>
        <v>GeneCards</v>
      </c>
      <c r="D15073" s="1" t="str">
        <f>HYPERLINK("http://genome-euro.ucsc.edu/cgi-bin/hgTracks?position=216066_at","UCSC")</f>
        <v>UCSC</v>
      </c>
      <c r="E15073" s="1" t="str">
        <f>HYPERLINK("http://www.ncbi.nlm.nih.gov/gene/?term=ABCA1","NCBI")</f>
        <v>NCBI</v>
      </c>
      <c r="F15073">
        <v>0.63</v>
      </c>
      <c r="G15073">
        <v>0.71</v>
      </c>
      <c r="H15073" s="1" t="str">
        <f>HYPERLINK("http://www.weizmann.ac.il/complex/compphys/software/geview/data/figures/216066_at.png","Figure")</f>
        <v>Figure</v>
      </c>
      <c r="I15073">
        <v>0.94899999999999995</v>
      </c>
      <c r="J15073">
        <v>0.96</v>
      </c>
      <c r="K15073">
        <v>0.84399999999999997</v>
      </c>
      <c r="L15073">
        <v>0.62</v>
      </c>
      <c r="M15073">
        <v>0.89</v>
      </c>
      <c r="N15073">
        <v>0.82</v>
      </c>
    </row>
    <row r="15074" spans="1:14" x14ac:dyDescent="0.25">
      <c r="A15074" t="s">
        <v>25468</v>
      </c>
      <c r="B15074" t="s">
        <v>25469</v>
      </c>
      <c r="C15074" s="1" t="str">
        <f>HYPERLINK("http://www.genecards.org/cgi-bin/carddisp.pl?gene=FAM128A","GeneCards")</f>
        <v>GeneCards</v>
      </c>
      <c r="D15074" s="1" t="str">
        <f>HYPERLINK("http://genome-euro.ucsc.edu/cgi-bin/hgTracks?position=213166_x_at","UCSC")</f>
        <v>UCSC</v>
      </c>
      <c r="E15074" s="1" t="str">
        <f>HYPERLINK("http://www.ncbi.nlm.nih.gov/gene/?term=FAM128A","NCBI")</f>
        <v>NCBI</v>
      </c>
      <c r="F15074">
        <v>0.63</v>
      </c>
      <c r="G15074">
        <v>0.71</v>
      </c>
      <c r="H15074" s="1" t="str">
        <f>HYPERLINK("http://www.weizmann.ac.il/complex/compphys/software/geview/data/figures/213166_x_at.png","Figure")</f>
        <v>Figure</v>
      </c>
      <c r="I15074">
        <v>1</v>
      </c>
      <c r="J15074">
        <v>1</v>
      </c>
      <c r="K15074">
        <v>1.22</v>
      </c>
      <c r="L15074">
        <v>0.68</v>
      </c>
      <c r="M15074">
        <v>1.22</v>
      </c>
      <c r="N15074">
        <v>0.71</v>
      </c>
    </row>
    <row r="15075" spans="1:14" x14ac:dyDescent="0.25">
      <c r="A15075" t="s">
        <v>25470</v>
      </c>
      <c r="B15075" t="s">
        <v>25471</v>
      </c>
      <c r="C15075" s="1" t="str">
        <f>HYPERLINK("http://www.genecards.org/cgi-bin/carddisp.pl?gene=GBAP","GeneCards")</f>
        <v>GeneCards</v>
      </c>
      <c r="D15075" s="1" t="str">
        <f>HYPERLINK("http://genome-euro.ucsc.edu/cgi-bin/hgTracks?position=210589_s_at","UCSC")</f>
        <v>UCSC</v>
      </c>
      <c r="E15075" s="1" t="str">
        <f>HYPERLINK("http://www.ncbi.nlm.nih.gov/gene/?term=GBAP","NCBI")</f>
        <v>NCBI</v>
      </c>
      <c r="F15075">
        <v>0.63</v>
      </c>
      <c r="G15075">
        <v>0.71</v>
      </c>
      <c r="H15075" s="1" t="str">
        <f>HYPERLINK("http://www.weizmann.ac.il/complex/compphys/software/geview/data/figures/210589_s_at.png","Figure")</f>
        <v>Figure</v>
      </c>
      <c r="I15075">
        <v>1.01</v>
      </c>
      <c r="J15075">
        <v>1</v>
      </c>
      <c r="K15075">
        <v>1.1299999999999999</v>
      </c>
      <c r="L15075">
        <v>0.66</v>
      </c>
      <c r="M15075">
        <v>1.1200000000000001</v>
      </c>
      <c r="N15075">
        <v>0.74</v>
      </c>
    </row>
    <row r="15076" spans="1:14" x14ac:dyDescent="0.25">
      <c r="A15076" t="s">
        <v>25472</v>
      </c>
      <c r="B15076" t="s">
        <v>25473</v>
      </c>
      <c r="C15076" s="1" t="str">
        <f>HYPERLINK("http://www.genecards.org/cgi-bin/carddisp.pl?gene=HS3ST1","GeneCards")</f>
        <v>GeneCards</v>
      </c>
      <c r="D15076" s="1" t="str">
        <f>HYPERLINK("http://genome-euro.ucsc.edu/cgi-bin/hgTracks?position=213991_s_at","UCSC")</f>
        <v>UCSC</v>
      </c>
      <c r="E15076" s="1" t="str">
        <f>HYPERLINK("http://www.ncbi.nlm.nih.gov/gene/?term=HS3ST1","NCBI")</f>
        <v>NCBI</v>
      </c>
      <c r="F15076">
        <v>0.63</v>
      </c>
      <c r="G15076">
        <v>0.71</v>
      </c>
      <c r="H15076" s="1" t="str">
        <f>HYPERLINK("http://www.weizmann.ac.il/complex/compphys/software/geview/data/figures/213991_s_at.png","Figure")</f>
        <v>Figure</v>
      </c>
      <c r="I15076">
        <v>1</v>
      </c>
      <c r="J15076">
        <v>0.99</v>
      </c>
      <c r="K15076">
        <v>0.99399999999999999</v>
      </c>
      <c r="L15076">
        <v>0.74</v>
      </c>
      <c r="M15076">
        <v>0.99299999999999999</v>
      </c>
      <c r="N15076">
        <v>0.66</v>
      </c>
    </row>
    <row r="15077" spans="1:14" x14ac:dyDescent="0.25">
      <c r="A15077" t="s">
        <v>25474</v>
      </c>
      <c r="B15077" t="s">
        <v>25475</v>
      </c>
      <c r="C15077" s="1" t="str">
        <f>HYPERLINK("http://www.genecards.org/cgi-bin/carddisp.pl?gene=TAF15","GeneCards")</f>
        <v>GeneCards</v>
      </c>
      <c r="D15077" s="1" t="str">
        <f>HYPERLINK("http://genome-euro.ucsc.edu/cgi-bin/hgTracks?position=202840_at","UCSC")</f>
        <v>UCSC</v>
      </c>
      <c r="E15077" s="1" t="str">
        <f>HYPERLINK("http://www.ncbi.nlm.nih.gov/gene/?term=TAF15","NCBI")</f>
        <v>NCBI</v>
      </c>
      <c r="F15077">
        <v>0.63</v>
      </c>
      <c r="G15077">
        <v>0.71</v>
      </c>
      <c r="H15077" s="1" t="str">
        <f>HYPERLINK("http://www.weizmann.ac.il/complex/compphys/software/geview/data/figures/202840_at.png","Figure")</f>
        <v>Figure</v>
      </c>
      <c r="I15077">
        <v>0.91800000000000004</v>
      </c>
      <c r="J15077">
        <v>0.88</v>
      </c>
      <c r="K15077">
        <v>1.08</v>
      </c>
      <c r="L15077">
        <v>0.87</v>
      </c>
      <c r="M15077">
        <v>1.18</v>
      </c>
      <c r="N15077">
        <v>0.6</v>
      </c>
    </row>
    <row r="15078" spans="1:14" x14ac:dyDescent="0.25">
      <c r="A15078" t="s">
        <v>25476</v>
      </c>
      <c r="B15078" t="s">
        <v>25477</v>
      </c>
      <c r="C15078" s="1" t="str">
        <f>HYPERLINK("http://www.genecards.org/cgi-bin/carddisp.pl?gene=IGFBP2","GeneCards")</f>
        <v>GeneCards</v>
      </c>
      <c r="D15078" s="1" t="str">
        <f>HYPERLINK("http://genome-euro.ucsc.edu/cgi-bin/hgTracks?position=202718_at","UCSC")</f>
        <v>UCSC</v>
      </c>
      <c r="E15078" s="1" t="str">
        <f>HYPERLINK("http://www.ncbi.nlm.nih.gov/gene/?term=IGFBP2","NCBI")</f>
        <v>NCBI</v>
      </c>
      <c r="F15078">
        <v>0.63</v>
      </c>
      <c r="G15078">
        <v>0.71</v>
      </c>
      <c r="H15078" s="1" t="str">
        <f>HYPERLINK("http://www.weizmann.ac.il/complex/compphys/software/geview/data/figures/202718_at.png","Figure")</f>
        <v>Figure</v>
      </c>
      <c r="I15078">
        <v>0.996</v>
      </c>
      <c r="J15078">
        <v>1</v>
      </c>
      <c r="K15078">
        <v>0.96</v>
      </c>
      <c r="L15078">
        <v>0.66</v>
      </c>
      <c r="M15078">
        <v>0.96399999999999997</v>
      </c>
      <c r="N15078">
        <v>0.74</v>
      </c>
    </row>
    <row r="15079" spans="1:14" x14ac:dyDescent="0.25">
      <c r="A15079" t="s">
        <v>25478</v>
      </c>
      <c r="B15079" t="s">
        <v>5921</v>
      </c>
      <c r="C15079" s="1" t="str">
        <f>HYPERLINK("http://www.genecards.org/cgi-bin/carddisp.pl?gene=RANBP3","GeneCards")</f>
        <v>GeneCards</v>
      </c>
      <c r="D15079" s="1" t="str">
        <f>HYPERLINK("http://genome-euro.ucsc.edu/cgi-bin/hgTracks?position=210120_s_at","UCSC")</f>
        <v>UCSC</v>
      </c>
      <c r="E15079" s="1" t="str">
        <f>HYPERLINK("http://www.ncbi.nlm.nih.gov/gene/?term=RANBP3","NCBI")</f>
        <v>NCBI</v>
      </c>
      <c r="F15079">
        <v>0.63</v>
      </c>
      <c r="G15079">
        <v>0.71</v>
      </c>
      <c r="H15079" s="1" t="str">
        <f>HYPERLINK("http://www.weizmann.ac.il/complex/compphys/software/geview/data/figures/210120_s_at.png","Figure")</f>
        <v>Figure</v>
      </c>
      <c r="I15079">
        <v>1.1100000000000001</v>
      </c>
      <c r="J15079">
        <v>0.62</v>
      </c>
      <c r="K15079">
        <v>1.07</v>
      </c>
      <c r="L15079">
        <v>0.76</v>
      </c>
      <c r="M15079">
        <v>0.96499999999999997</v>
      </c>
      <c r="N15079">
        <v>0.93</v>
      </c>
    </row>
    <row r="15080" spans="1:14" x14ac:dyDescent="0.25">
      <c r="A15080" t="s">
        <v>25479</v>
      </c>
      <c r="B15080" t="s">
        <v>25480</v>
      </c>
      <c r="C15080" s="1" t="str">
        <f>HYPERLINK("http://www.genecards.org/cgi-bin/carddisp.pl?gene=LSAMP","GeneCards")</f>
        <v>GeneCards</v>
      </c>
      <c r="D15080" s="1" t="str">
        <f>HYPERLINK("http://genome-euro.ucsc.edu/cgi-bin/hgTracks?position=214460_at","UCSC")</f>
        <v>UCSC</v>
      </c>
      <c r="E15080" s="1" t="str">
        <f>HYPERLINK("http://www.ncbi.nlm.nih.gov/gene/?term=LSAMP","NCBI")</f>
        <v>NCBI</v>
      </c>
      <c r="F15080">
        <v>0.63</v>
      </c>
      <c r="G15080">
        <v>0.71</v>
      </c>
      <c r="H15080" s="1" t="str">
        <f>HYPERLINK("http://www.weizmann.ac.il/complex/compphys/software/geview/data/figures/214460_at.png","Figure")</f>
        <v>Figure</v>
      </c>
      <c r="I15080">
        <v>1.05</v>
      </c>
      <c r="J15080">
        <v>0.68</v>
      </c>
      <c r="K15080">
        <v>1.04</v>
      </c>
      <c r="L15080">
        <v>0.67</v>
      </c>
      <c r="M15080">
        <v>0.995</v>
      </c>
      <c r="N15080">
        <v>0.99</v>
      </c>
    </row>
    <row r="15081" spans="1:14" x14ac:dyDescent="0.25">
      <c r="A15081" t="s">
        <v>25481</v>
      </c>
      <c r="B15081" t="s">
        <v>25482</v>
      </c>
      <c r="C15081" s="1" t="str">
        <f>HYPERLINK("http://www.genecards.org/cgi-bin/carddisp.pl?gene=KCNJ10","GeneCards")</f>
        <v>GeneCards</v>
      </c>
      <c r="D15081" s="1" t="str">
        <f>HYPERLINK("http://genome-euro.ucsc.edu/cgi-bin/hgTracks?position=206692_at","UCSC")</f>
        <v>UCSC</v>
      </c>
      <c r="E15081" s="1" t="str">
        <f>HYPERLINK("http://www.ncbi.nlm.nih.gov/gene/?term=KCNJ10","NCBI")</f>
        <v>NCBI</v>
      </c>
      <c r="F15081">
        <v>0.63</v>
      </c>
      <c r="G15081">
        <v>0.71</v>
      </c>
      <c r="H15081" s="1" t="str">
        <f>HYPERLINK("http://www.weizmann.ac.il/complex/compphys/software/geview/data/figures/206692_at.png","Figure")</f>
        <v>Figure</v>
      </c>
      <c r="I15081">
        <v>1.04</v>
      </c>
      <c r="J15081">
        <v>0.77</v>
      </c>
      <c r="K15081">
        <v>0.98699999999999999</v>
      </c>
      <c r="L15081">
        <v>0.97</v>
      </c>
      <c r="M15081">
        <v>0.94599999999999995</v>
      </c>
      <c r="N15081">
        <v>0.61</v>
      </c>
    </row>
    <row r="15082" spans="1:14" x14ac:dyDescent="0.25">
      <c r="A15082" t="s">
        <v>25483</v>
      </c>
      <c r="B15082" t="s">
        <v>25484</v>
      </c>
      <c r="C15082" s="1" t="str">
        <f>HYPERLINK("http://www.genecards.org/cgi-bin/carddisp.pl?gene=IGK@ /// IGKC /// IGKV3-20 /// IGKV3D-11 /// IGKV3D-15 /// LOC100291682 /// LOC440871","GeneCards")</f>
        <v>GeneCards</v>
      </c>
      <c r="D15082" s="1" t="str">
        <f>HYPERLINK("http://genome-euro.ucsc.edu/cgi-bin/hgTracks?position=211644_x_at","UCSC")</f>
        <v>UCSC</v>
      </c>
      <c r="E15082" s="1" t="str">
        <f>HYPERLINK("http://www.ncbi.nlm.nih.gov/gene/?term=IGK@ /// IGKC /// IGKV3-20 /// IGKV3D-11 /// IGKV3D-15 /// LOC100291682 /// LOC440871","NCBI")</f>
        <v>NCBI</v>
      </c>
      <c r="F15082">
        <v>0.63</v>
      </c>
      <c r="G15082">
        <v>0.71</v>
      </c>
      <c r="H15082" s="1" t="str">
        <f>HYPERLINK("http://www.weizmann.ac.il/complex/compphys/software/geview/data/figures/211644_x_at.png","Figure")</f>
        <v>Figure</v>
      </c>
      <c r="I15082">
        <v>0.873</v>
      </c>
      <c r="J15082">
        <v>0.74</v>
      </c>
      <c r="K15082">
        <v>0.86299999999999999</v>
      </c>
      <c r="L15082">
        <v>0.63</v>
      </c>
      <c r="M15082">
        <v>0.98799999999999999</v>
      </c>
      <c r="N15082">
        <v>1</v>
      </c>
    </row>
    <row r="15083" spans="1:14" x14ac:dyDescent="0.25">
      <c r="A15083" t="s">
        <v>25485</v>
      </c>
      <c r="B15083" t="s">
        <v>25486</v>
      </c>
      <c r="C15083" s="1" t="str">
        <f>HYPERLINK("http://www.genecards.org/cgi-bin/carddisp.pl?gene=ARL6IP4","GeneCards")</f>
        <v>GeneCards</v>
      </c>
      <c r="D15083" s="1" t="str">
        <f>HYPERLINK("http://genome-euro.ucsc.edu/cgi-bin/hgTracks?position=218216_x_at","UCSC")</f>
        <v>UCSC</v>
      </c>
      <c r="E15083" s="1" t="str">
        <f>HYPERLINK("http://www.ncbi.nlm.nih.gov/gene/?term=ARL6IP4","NCBI")</f>
        <v>NCBI</v>
      </c>
      <c r="F15083">
        <v>0.63</v>
      </c>
      <c r="G15083">
        <v>0.71</v>
      </c>
      <c r="H15083" s="1" t="str">
        <f>HYPERLINK("http://www.weizmann.ac.il/complex/compphys/software/geview/data/figures/218216_x_at.png","Figure")</f>
        <v>Figure</v>
      </c>
      <c r="I15083">
        <v>1.1499999999999999</v>
      </c>
      <c r="J15083">
        <v>0.63</v>
      </c>
      <c r="K15083">
        <v>1.1100000000000001</v>
      </c>
      <c r="L15083">
        <v>0.74</v>
      </c>
      <c r="M15083">
        <v>0.95699999999999996</v>
      </c>
      <c r="N15083">
        <v>0.95</v>
      </c>
    </row>
    <row r="15084" spans="1:14" x14ac:dyDescent="0.25">
      <c r="A15084" t="s">
        <v>25487</v>
      </c>
      <c r="B15084" t="s">
        <v>10353</v>
      </c>
      <c r="C15084" s="1" t="str">
        <f>HYPERLINK("http://www.genecards.org/cgi-bin/carddisp.pl?gene=SEC62","GeneCards")</f>
        <v>GeneCards</v>
      </c>
      <c r="D15084" s="1" t="str">
        <f>HYPERLINK("http://genome-euro.ucsc.edu/cgi-bin/hgTracks?position=208943_s_at","UCSC")</f>
        <v>UCSC</v>
      </c>
      <c r="E15084" s="1" t="str">
        <f>HYPERLINK("http://www.ncbi.nlm.nih.gov/gene/?term=SEC62","NCBI")</f>
        <v>NCBI</v>
      </c>
      <c r="F15084">
        <v>0.63</v>
      </c>
      <c r="G15084">
        <v>0.71</v>
      </c>
      <c r="H15084" s="1" t="str">
        <f>HYPERLINK("http://www.weizmann.ac.il/complex/compphys/software/geview/data/figures/208943_s_at.png","Figure")</f>
        <v>Figure</v>
      </c>
      <c r="I15084">
        <v>0.84599999999999997</v>
      </c>
      <c r="J15084">
        <v>0.71</v>
      </c>
      <c r="K15084">
        <v>0.84699999999999998</v>
      </c>
      <c r="L15084">
        <v>0.65</v>
      </c>
      <c r="M15084">
        <v>1</v>
      </c>
      <c r="N15084">
        <v>1</v>
      </c>
    </row>
    <row r="15085" spans="1:14" x14ac:dyDescent="0.25">
      <c r="A15085" t="s">
        <v>25488</v>
      </c>
      <c r="B15085" t="s">
        <v>12061</v>
      </c>
      <c r="C15085" s="1" t="str">
        <f>HYPERLINK("http://www.genecards.org/cgi-bin/carddisp.pl?gene=ZNF79","GeneCards")</f>
        <v>GeneCards</v>
      </c>
      <c r="D15085" s="1" t="str">
        <f>HYPERLINK("http://genome-euro.ucsc.edu/cgi-bin/hgTracks?position=214138_at","UCSC")</f>
        <v>UCSC</v>
      </c>
      <c r="E15085" s="1" t="str">
        <f>HYPERLINK("http://www.ncbi.nlm.nih.gov/gene/?term=ZNF79","NCBI")</f>
        <v>NCBI</v>
      </c>
      <c r="F15085">
        <v>0.63</v>
      </c>
      <c r="G15085">
        <v>0.71</v>
      </c>
      <c r="H15085" s="1" t="str">
        <f>HYPERLINK("http://www.weizmann.ac.il/complex/compphys/software/geview/data/figures/214138_at.png","Figure")</f>
        <v>Figure</v>
      </c>
      <c r="I15085">
        <v>0.99099999999999999</v>
      </c>
      <c r="J15085">
        <v>0.89</v>
      </c>
      <c r="K15085">
        <v>1.01</v>
      </c>
      <c r="L15085">
        <v>0.87</v>
      </c>
      <c r="M15085">
        <v>1.02</v>
      </c>
      <c r="N15085">
        <v>0.6</v>
      </c>
    </row>
    <row r="15086" spans="1:14" x14ac:dyDescent="0.25">
      <c r="A15086" t="s">
        <v>25489</v>
      </c>
      <c r="B15086" t="s">
        <v>25490</v>
      </c>
      <c r="C15086" s="1" t="str">
        <f>HYPERLINK("http://www.genecards.org/cgi-bin/carddisp.pl?gene=LYN","GeneCards")</f>
        <v>GeneCards</v>
      </c>
      <c r="D15086" s="1" t="str">
        <f>HYPERLINK("http://genome-euro.ucsc.edu/cgi-bin/hgTracks?position=202626_s_at","UCSC")</f>
        <v>UCSC</v>
      </c>
      <c r="E15086" s="1" t="str">
        <f>HYPERLINK("http://www.ncbi.nlm.nih.gov/gene/?term=LYN","NCBI")</f>
        <v>NCBI</v>
      </c>
      <c r="F15086">
        <v>0.63</v>
      </c>
      <c r="G15086">
        <v>0.71</v>
      </c>
      <c r="H15086" s="1" t="str">
        <f>HYPERLINK("http://www.weizmann.ac.il/complex/compphys/software/geview/data/figures/202626_s_at.png","Figure")</f>
        <v>Figure</v>
      </c>
      <c r="I15086">
        <v>1.41</v>
      </c>
      <c r="J15086">
        <v>0.7</v>
      </c>
      <c r="K15086">
        <v>1.39</v>
      </c>
      <c r="L15086">
        <v>0.66</v>
      </c>
      <c r="M15086">
        <v>0.98499999999999999</v>
      </c>
      <c r="N15086">
        <v>1</v>
      </c>
    </row>
    <row r="15087" spans="1:14" x14ac:dyDescent="0.25">
      <c r="A15087" t="s">
        <v>25491</v>
      </c>
      <c r="B15087" t="s">
        <v>25492</v>
      </c>
      <c r="C15087" s="1" t="str">
        <f>HYPERLINK("http://www.genecards.org/cgi-bin/carddisp.pl?gene=WDHD1","GeneCards")</f>
        <v>GeneCards</v>
      </c>
      <c r="D15087" s="1" t="str">
        <f>HYPERLINK("http://genome-euro.ucsc.edu/cgi-bin/hgTracks?position=204728_s_at","UCSC")</f>
        <v>UCSC</v>
      </c>
      <c r="E15087" s="1" t="str">
        <f>HYPERLINK("http://www.ncbi.nlm.nih.gov/gene/?term=WDHD1","NCBI")</f>
        <v>NCBI</v>
      </c>
      <c r="F15087">
        <v>0.63</v>
      </c>
      <c r="G15087">
        <v>0.71</v>
      </c>
      <c r="H15087" s="1" t="str">
        <f>HYPERLINK("http://www.weizmann.ac.il/complex/compphys/software/geview/data/figures/204728_s_at.png","Figure")</f>
        <v>Figure</v>
      </c>
      <c r="I15087">
        <v>0.97399999999999998</v>
      </c>
      <c r="J15087">
        <v>0.64</v>
      </c>
      <c r="K15087">
        <v>0.98099999999999998</v>
      </c>
      <c r="L15087">
        <v>0.73</v>
      </c>
      <c r="M15087">
        <v>1.01</v>
      </c>
      <c r="N15087">
        <v>0.96</v>
      </c>
    </row>
    <row r="15088" spans="1:14" x14ac:dyDescent="0.25">
      <c r="A15088" t="s">
        <v>25493</v>
      </c>
      <c r="B15088" t="s">
        <v>8267</v>
      </c>
      <c r="C15088" s="1" t="str">
        <f>HYPERLINK("http://www.genecards.org/cgi-bin/carddisp.pl?gene=RQCD1","GeneCards")</f>
        <v>GeneCards</v>
      </c>
      <c r="D15088" s="1" t="str">
        <f>HYPERLINK("http://genome-euro.ucsc.edu/cgi-bin/hgTracks?position=213903_s_at","UCSC")</f>
        <v>UCSC</v>
      </c>
      <c r="E15088" s="1" t="str">
        <f>HYPERLINK("http://www.ncbi.nlm.nih.gov/gene/?term=RQCD1","NCBI")</f>
        <v>NCBI</v>
      </c>
      <c r="F15088">
        <v>0.63</v>
      </c>
      <c r="G15088">
        <v>0.71</v>
      </c>
      <c r="H15088" s="1" t="str">
        <f>HYPERLINK("http://www.weizmann.ac.il/complex/compphys/software/geview/data/figures/213903_s_at.png","Figure")</f>
        <v>Figure</v>
      </c>
      <c r="I15088">
        <v>1</v>
      </c>
      <c r="J15088">
        <v>1</v>
      </c>
      <c r="K15088">
        <v>0.98399999999999999</v>
      </c>
      <c r="L15088">
        <v>0.69</v>
      </c>
      <c r="M15088">
        <v>0.98399999999999999</v>
      </c>
      <c r="N15088">
        <v>0.7</v>
      </c>
    </row>
    <row r="15089" spans="1:14" x14ac:dyDescent="0.25">
      <c r="A15089" t="s">
        <v>25494</v>
      </c>
      <c r="B15089" t="s">
        <v>8853</v>
      </c>
      <c r="C15089" s="1" t="str">
        <f>HYPERLINK("http://www.genecards.org/cgi-bin/carddisp.pl?gene=LDLR","GeneCards")</f>
        <v>GeneCards</v>
      </c>
      <c r="D15089" s="1" t="str">
        <f>HYPERLINK("http://genome-euro.ucsc.edu/cgi-bin/hgTracks?position=217173_s_at","UCSC")</f>
        <v>UCSC</v>
      </c>
      <c r="E15089" s="1" t="str">
        <f>HYPERLINK("http://www.ncbi.nlm.nih.gov/gene/?term=LDLR","NCBI")</f>
        <v>NCBI</v>
      </c>
      <c r="F15089">
        <v>0.63</v>
      </c>
      <c r="G15089">
        <v>0.71</v>
      </c>
      <c r="H15089" s="1" t="str">
        <f>HYPERLINK("http://www.weizmann.ac.il/complex/compphys/software/geview/data/figures/217173_s_at.png","Figure")</f>
        <v>Figure</v>
      </c>
      <c r="I15089">
        <v>1.05</v>
      </c>
      <c r="J15089">
        <v>0.62</v>
      </c>
      <c r="K15089">
        <v>1.04</v>
      </c>
      <c r="L15089">
        <v>0.76</v>
      </c>
      <c r="M15089">
        <v>0.98199999999999998</v>
      </c>
      <c r="N15089">
        <v>0.93</v>
      </c>
    </row>
    <row r="15090" spans="1:14" x14ac:dyDescent="0.25">
      <c r="A15090" t="s">
        <v>25495</v>
      </c>
      <c r="B15090" t="s">
        <v>17506</v>
      </c>
      <c r="C15090" s="1" t="str">
        <f>HYPERLINK("http://www.genecards.org/cgi-bin/carddisp.pl?gene=RBL2","GeneCards")</f>
        <v>GeneCards</v>
      </c>
      <c r="D15090" s="1" t="str">
        <f>HYPERLINK("http://genome-euro.ucsc.edu/cgi-bin/hgTracks?position=212332_at","UCSC")</f>
        <v>UCSC</v>
      </c>
      <c r="E15090" s="1" t="str">
        <f>HYPERLINK("http://www.ncbi.nlm.nih.gov/gene/?term=RBL2","NCBI")</f>
        <v>NCBI</v>
      </c>
      <c r="F15090">
        <v>0.63</v>
      </c>
      <c r="G15090">
        <v>0.71</v>
      </c>
      <c r="H15090" s="1" t="str">
        <f>HYPERLINK("http://www.weizmann.ac.il/complex/compphys/software/geview/data/figures/212332_at.png","Figure")</f>
        <v>Figure</v>
      </c>
      <c r="I15090">
        <v>0.82399999999999995</v>
      </c>
      <c r="J15090">
        <v>0.6</v>
      </c>
      <c r="K15090">
        <v>0.90600000000000003</v>
      </c>
      <c r="L15090">
        <v>0.84</v>
      </c>
      <c r="M15090">
        <v>1.1000000000000001</v>
      </c>
      <c r="N15090">
        <v>0.87</v>
      </c>
    </row>
    <row r="15091" spans="1:14" x14ac:dyDescent="0.25">
      <c r="A15091" t="s">
        <v>25496</v>
      </c>
      <c r="B15091" t="s">
        <v>25497</v>
      </c>
      <c r="C15091" s="1" t="str">
        <f>HYPERLINK("http://www.genecards.org/cgi-bin/carddisp.pl?gene=LYPD1","GeneCards")</f>
        <v>GeneCards</v>
      </c>
      <c r="D15091" s="1" t="str">
        <f>HYPERLINK("http://genome-euro.ucsc.edu/cgi-bin/hgTracks?position=212909_at","UCSC")</f>
        <v>UCSC</v>
      </c>
      <c r="E15091" s="1" t="str">
        <f>HYPERLINK("http://www.ncbi.nlm.nih.gov/gene/?term=LYPD1","NCBI")</f>
        <v>NCBI</v>
      </c>
      <c r="F15091">
        <v>0.63</v>
      </c>
      <c r="G15091">
        <v>0.71</v>
      </c>
      <c r="H15091" s="1" t="str">
        <f>HYPERLINK("http://www.weizmann.ac.il/complex/compphys/software/geview/data/figures/212909_at.png","Figure")</f>
        <v>Figure</v>
      </c>
      <c r="I15091">
        <v>1.06</v>
      </c>
      <c r="J15091">
        <v>0.75</v>
      </c>
      <c r="K15091">
        <v>0.98599999999999999</v>
      </c>
      <c r="L15091">
        <v>0.98</v>
      </c>
      <c r="M15091">
        <v>0.92800000000000005</v>
      </c>
      <c r="N15091">
        <v>0.61</v>
      </c>
    </row>
    <row r="15092" spans="1:14" x14ac:dyDescent="0.25">
      <c r="A15092" t="s">
        <v>25498</v>
      </c>
      <c r="B15092" t="s">
        <v>25499</v>
      </c>
      <c r="C15092" s="1" t="str">
        <f>HYPERLINK("http://www.genecards.org/cgi-bin/carddisp.pl?gene=FOS","GeneCards")</f>
        <v>GeneCards</v>
      </c>
      <c r="D15092" s="1" t="str">
        <f>HYPERLINK("http://genome-euro.ucsc.edu/cgi-bin/hgTracks?position=209189_at","UCSC")</f>
        <v>UCSC</v>
      </c>
      <c r="E15092" s="1" t="str">
        <f>HYPERLINK("http://www.ncbi.nlm.nih.gov/gene/?term=FOS","NCBI")</f>
        <v>NCBI</v>
      </c>
      <c r="F15092">
        <v>0.63</v>
      </c>
      <c r="G15092">
        <v>0.71</v>
      </c>
      <c r="H15092" s="1" t="str">
        <f>HYPERLINK("http://www.weizmann.ac.il/complex/compphys/software/geview/data/figures/209189_at.png","Figure")</f>
        <v>Figure</v>
      </c>
      <c r="I15092">
        <v>0.97599999999999998</v>
      </c>
      <c r="J15092">
        <v>1</v>
      </c>
      <c r="K15092">
        <v>1.54</v>
      </c>
      <c r="L15092">
        <v>0.7</v>
      </c>
      <c r="M15092">
        <v>1.58</v>
      </c>
      <c r="N15092">
        <v>0.7</v>
      </c>
    </row>
    <row r="15093" spans="1:14" x14ac:dyDescent="0.25">
      <c r="A15093" t="s">
        <v>25500</v>
      </c>
      <c r="B15093" t="s">
        <v>8447</v>
      </c>
      <c r="C15093" s="1" t="str">
        <f>HYPERLINK("http://www.genecards.org/cgi-bin/carddisp.pl?gene=TBXA2R","GeneCards")</f>
        <v>GeneCards</v>
      </c>
      <c r="D15093" s="1" t="str">
        <f>HYPERLINK("http://genome-euro.ucsc.edu/cgi-bin/hgTracks?position=336_at","UCSC")</f>
        <v>UCSC</v>
      </c>
      <c r="E15093" s="1" t="str">
        <f>HYPERLINK("http://www.ncbi.nlm.nih.gov/gene/?term=TBXA2R","NCBI")</f>
        <v>NCBI</v>
      </c>
      <c r="F15093">
        <v>0.63</v>
      </c>
      <c r="G15093">
        <v>0.71</v>
      </c>
      <c r="H15093" s="1" t="str">
        <f>HYPERLINK("http://www.weizmann.ac.il/complex/compphys/software/geview/data/figures/336_at.png","Figure")</f>
        <v>Figure</v>
      </c>
      <c r="I15093">
        <v>0.95399999999999996</v>
      </c>
      <c r="J15093">
        <v>0.89</v>
      </c>
      <c r="K15093">
        <v>1.05</v>
      </c>
      <c r="L15093">
        <v>0.87</v>
      </c>
      <c r="M15093">
        <v>1.1000000000000001</v>
      </c>
      <c r="N15093">
        <v>0.61</v>
      </c>
    </row>
    <row r="15094" spans="1:14" x14ac:dyDescent="0.25">
      <c r="A15094" t="s">
        <v>25501</v>
      </c>
      <c r="B15094" t="s">
        <v>25502</v>
      </c>
      <c r="C15094" s="1" t="str">
        <f>HYPERLINK("http://www.genecards.org/cgi-bin/carddisp.pl?gene=LHFPL2","GeneCards")</f>
        <v>GeneCards</v>
      </c>
      <c r="D15094" s="1" t="str">
        <f>HYPERLINK("http://genome-euro.ucsc.edu/cgi-bin/hgTracks?position=212658_at","UCSC")</f>
        <v>UCSC</v>
      </c>
      <c r="E15094" s="1" t="str">
        <f>HYPERLINK("http://www.ncbi.nlm.nih.gov/gene/?term=LHFPL2","NCBI")</f>
        <v>NCBI</v>
      </c>
      <c r="F15094">
        <v>0.63</v>
      </c>
      <c r="G15094">
        <v>0.71</v>
      </c>
      <c r="H15094" s="1" t="str">
        <f>HYPERLINK("http://www.weizmann.ac.il/complex/compphys/software/geview/data/figures/212658_at.png","Figure")</f>
        <v>Figure</v>
      </c>
      <c r="I15094">
        <v>1.0900000000000001</v>
      </c>
      <c r="J15094">
        <v>0.62</v>
      </c>
      <c r="K15094">
        <v>1.02</v>
      </c>
      <c r="L15094">
        <v>0.96</v>
      </c>
      <c r="M15094">
        <v>0.94</v>
      </c>
      <c r="N15094">
        <v>0.73</v>
      </c>
    </row>
    <row r="15095" spans="1:14" x14ac:dyDescent="0.25">
      <c r="A15095" t="s">
        <v>25503</v>
      </c>
      <c r="B15095" t="s">
        <v>25504</v>
      </c>
      <c r="C15095" s="1" t="str">
        <f>HYPERLINK("http://www.genecards.org/cgi-bin/carddisp.pl?gene=PAK3","GeneCards")</f>
        <v>GeneCards</v>
      </c>
      <c r="D15095" s="1" t="str">
        <f>HYPERLINK("http://genome-euro.ucsc.edu/cgi-bin/hgTracks?position=214607_at","UCSC")</f>
        <v>UCSC</v>
      </c>
      <c r="E15095" s="1" t="str">
        <f>HYPERLINK("http://www.ncbi.nlm.nih.gov/gene/?term=PAK3","NCBI")</f>
        <v>NCBI</v>
      </c>
      <c r="F15095">
        <v>0.63</v>
      </c>
      <c r="G15095">
        <v>0.71</v>
      </c>
      <c r="H15095" s="1" t="str">
        <f>HYPERLINK("http://www.weizmann.ac.il/complex/compphys/software/geview/data/figures/214607_at.png","Figure")</f>
        <v>Figure</v>
      </c>
      <c r="I15095">
        <v>1.1100000000000001</v>
      </c>
      <c r="J15095">
        <v>0.64</v>
      </c>
      <c r="K15095">
        <v>1.02</v>
      </c>
      <c r="L15095">
        <v>0.99</v>
      </c>
      <c r="M15095">
        <v>0.91200000000000003</v>
      </c>
      <c r="N15095">
        <v>0.69</v>
      </c>
    </row>
    <row r="15096" spans="1:14" x14ac:dyDescent="0.25">
      <c r="A15096" t="s">
        <v>25505</v>
      </c>
      <c r="B15096" t="s">
        <v>2956</v>
      </c>
      <c r="C15096" s="1" t="str">
        <f>HYPERLINK("http://www.genecards.org/cgi-bin/carddisp.pl?gene=MGAT2","GeneCards")</f>
        <v>GeneCards</v>
      </c>
      <c r="D15096" s="1" t="str">
        <f>HYPERLINK("http://genome-euro.ucsc.edu/cgi-bin/hgTracks?position=211061_s_at","UCSC")</f>
        <v>UCSC</v>
      </c>
      <c r="E15096" s="1" t="str">
        <f>HYPERLINK("http://www.ncbi.nlm.nih.gov/gene/?term=MGAT2","NCBI")</f>
        <v>NCBI</v>
      </c>
      <c r="F15096">
        <v>0.63</v>
      </c>
      <c r="G15096">
        <v>0.71</v>
      </c>
      <c r="H15096" s="1" t="str">
        <f>HYPERLINK("http://www.weizmann.ac.il/complex/compphys/software/geview/data/figures/211061_s_at.png","Figure")</f>
        <v>Figure</v>
      </c>
      <c r="I15096">
        <v>0.88500000000000001</v>
      </c>
      <c r="J15096">
        <v>0.76</v>
      </c>
      <c r="K15096">
        <v>1.03</v>
      </c>
      <c r="L15096">
        <v>0.97</v>
      </c>
      <c r="M15096">
        <v>1.17</v>
      </c>
      <c r="N15096">
        <v>0.61</v>
      </c>
    </row>
    <row r="15097" spans="1:14" x14ac:dyDescent="0.25">
      <c r="A15097" t="s">
        <v>25506</v>
      </c>
      <c r="B15097" t="s">
        <v>12803</v>
      </c>
      <c r="C15097" s="1" t="str">
        <f>HYPERLINK("http://www.genecards.org/cgi-bin/carddisp.pl?gene=MASP1","GeneCards")</f>
        <v>GeneCards</v>
      </c>
      <c r="D15097" s="1" t="str">
        <f>HYPERLINK("http://genome-euro.ucsc.edu/cgi-bin/hgTracks?position=213749_at","UCSC")</f>
        <v>UCSC</v>
      </c>
      <c r="E15097" s="1" t="str">
        <f>HYPERLINK("http://www.ncbi.nlm.nih.gov/gene/?term=MASP1","NCBI")</f>
        <v>NCBI</v>
      </c>
      <c r="F15097">
        <v>0.63</v>
      </c>
      <c r="G15097">
        <v>0.71</v>
      </c>
      <c r="H15097" s="1" t="str">
        <f>HYPERLINK("http://www.weizmann.ac.il/complex/compphys/software/geview/data/figures/213749_at.png","Figure")</f>
        <v>Figure</v>
      </c>
      <c r="I15097">
        <v>1.06</v>
      </c>
      <c r="J15097">
        <v>0.67</v>
      </c>
      <c r="K15097">
        <v>1</v>
      </c>
      <c r="L15097">
        <v>1</v>
      </c>
      <c r="M15097">
        <v>0.94699999999999995</v>
      </c>
      <c r="N15097">
        <v>0.66</v>
      </c>
    </row>
    <row r="15098" spans="1:14" x14ac:dyDescent="0.25">
      <c r="A15098" t="s">
        <v>25507</v>
      </c>
      <c r="B15098" t="s">
        <v>25508</v>
      </c>
      <c r="C15098" s="1" t="str">
        <f>HYPERLINK("http://www.genecards.org/cgi-bin/carddisp.pl?gene=SSBP3","GeneCards")</f>
        <v>GeneCards</v>
      </c>
      <c r="D15098" s="1" t="str">
        <f>HYPERLINK("http://genome-euro.ucsc.edu/cgi-bin/hgTracks?position=217991_x_at","UCSC")</f>
        <v>UCSC</v>
      </c>
      <c r="E15098" s="1" t="str">
        <f>HYPERLINK("http://www.ncbi.nlm.nih.gov/gene/?term=SSBP3","NCBI")</f>
        <v>NCBI</v>
      </c>
      <c r="F15098">
        <v>0.63</v>
      </c>
      <c r="G15098">
        <v>0.71</v>
      </c>
      <c r="H15098" s="1" t="str">
        <f>HYPERLINK("http://www.weizmann.ac.il/complex/compphys/software/geview/data/figures/217991_x_at.png","Figure")</f>
        <v>Figure</v>
      </c>
      <c r="I15098">
        <v>1.0900000000000001</v>
      </c>
      <c r="J15098">
        <v>0.79</v>
      </c>
      <c r="K15098">
        <v>0.96799999999999997</v>
      </c>
      <c r="L15098">
        <v>0.96</v>
      </c>
      <c r="M15098">
        <v>0.88900000000000001</v>
      </c>
      <c r="N15098">
        <v>0.61</v>
      </c>
    </row>
    <row r="15099" spans="1:14" x14ac:dyDescent="0.25">
      <c r="A15099" t="s">
        <v>25509</v>
      </c>
      <c r="B15099" t="s">
        <v>25510</v>
      </c>
      <c r="C15099" s="1" t="str">
        <f>HYPERLINK("http://www.genecards.org/cgi-bin/carddisp.pl?gene=BSDC1","GeneCards")</f>
        <v>GeneCards</v>
      </c>
      <c r="D15099" s="1" t="str">
        <f>HYPERLINK("http://genome-euro.ucsc.edu/cgi-bin/hgTracks?position=218004_at","UCSC")</f>
        <v>UCSC</v>
      </c>
      <c r="E15099" s="1" t="str">
        <f>HYPERLINK("http://www.ncbi.nlm.nih.gov/gene/?term=BSDC1","NCBI")</f>
        <v>NCBI</v>
      </c>
      <c r="F15099">
        <v>0.63</v>
      </c>
      <c r="G15099">
        <v>0.71</v>
      </c>
      <c r="H15099" s="1" t="str">
        <f>HYPERLINK("http://www.weizmann.ac.il/complex/compphys/software/geview/data/figures/218004_at.png","Figure")</f>
        <v>Figure</v>
      </c>
      <c r="I15099">
        <v>1.04</v>
      </c>
      <c r="J15099">
        <v>0.97</v>
      </c>
      <c r="K15099">
        <v>0.91100000000000003</v>
      </c>
      <c r="L15099">
        <v>0.78</v>
      </c>
      <c r="M15099">
        <v>0.875</v>
      </c>
      <c r="N15099">
        <v>0.64</v>
      </c>
    </row>
    <row r="15100" spans="1:14" x14ac:dyDescent="0.25">
      <c r="A15100" t="s">
        <v>25511</v>
      </c>
      <c r="B15100" t="s">
        <v>18175</v>
      </c>
      <c r="C15100" s="1" t="str">
        <f>HYPERLINK("http://www.genecards.org/cgi-bin/carddisp.pl?gene=NEK3","GeneCards")</f>
        <v>GeneCards</v>
      </c>
      <c r="D15100" s="1" t="str">
        <f>HYPERLINK("http://genome-euro.ucsc.edu/cgi-bin/hgTracks?position=211089_s_at","UCSC")</f>
        <v>UCSC</v>
      </c>
      <c r="E15100" s="1" t="str">
        <f>HYPERLINK("http://www.ncbi.nlm.nih.gov/gene/?term=NEK3","NCBI")</f>
        <v>NCBI</v>
      </c>
      <c r="F15100">
        <v>0.63</v>
      </c>
      <c r="G15100">
        <v>0.71</v>
      </c>
      <c r="H15100" s="1" t="str">
        <f>HYPERLINK("http://www.weizmann.ac.il/complex/compphys/software/geview/data/figures/211089_s_at.png","Figure")</f>
        <v>Figure</v>
      </c>
      <c r="I15100">
        <v>0.998</v>
      </c>
      <c r="J15100">
        <v>0.97</v>
      </c>
      <c r="K15100">
        <v>0.99399999999999999</v>
      </c>
      <c r="L15100">
        <v>0.63</v>
      </c>
      <c r="M15100">
        <v>0.996</v>
      </c>
      <c r="N15100">
        <v>0.81</v>
      </c>
    </row>
    <row r="15101" spans="1:14" x14ac:dyDescent="0.25">
      <c r="A15101" t="s">
        <v>25512</v>
      </c>
      <c r="B15101" t="s">
        <v>12622</v>
      </c>
      <c r="C15101" s="1" t="str">
        <f>HYPERLINK("http://www.genecards.org/cgi-bin/carddisp.pl?gene=ACCN2","GeneCards")</f>
        <v>GeneCards</v>
      </c>
      <c r="D15101" s="1" t="str">
        <f>HYPERLINK("http://genome-euro.ucsc.edu/cgi-bin/hgTracks?position=37953_s_at","UCSC")</f>
        <v>UCSC</v>
      </c>
      <c r="E15101" s="1" t="str">
        <f>HYPERLINK("http://www.ncbi.nlm.nih.gov/gene/?term=ACCN2","NCBI")</f>
        <v>NCBI</v>
      </c>
      <c r="F15101">
        <v>0.63</v>
      </c>
      <c r="G15101">
        <v>0.71</v>
      </c>
      <c r="H15101" s="1" t="str">
        <f>HYPERLINK("http://www.weizmann.ac.il/complex/compphys/software/geview/data/figures/37953_s_at.png","Figure")</f>
        <v>Figure</v>
      </c>
      <c r="I15101">
        <v>0.99399999999999999</v>
      </c>
      <c r="J15101">
        <v>0.74</v>
      </c>
      <c r="K15101">
        <v>1</v>
      </c>
      <c r="L15101">
        <v>0.99</v>
      </c>
      <c r="M15101">
        <v>1.01</v>
      </c>
      <c r="N15101">
        <v>0.62</v>
      </c>
    </row>
    <row r="15102" spans="1:14" x14ac:dyDescent="0.25">
      <c r="A15102" t="s">
        <v>25513</v>
      </c>
      <c r="B15102" t="s">
        <v>7573</v>
      </c>
      <c r="C15102" s="1" t="str">
        <f>HYPERLINK("http://www.genecards.org/cgi-bin/carddisp.pl?gene=FBXL18","GeneCards")</f>
        <v>GeneCards</v>
      </c>
      <c r="D15102" s="1" t="str">
        <f>HYPERLINK("http://genome-euro.ucsc.edu/cgi-bin/hgTracks?position=215068_s_at","UCSC")</f>
        <v>UCSC</v>
      </c>
      <c r="E15102" s="1" t="str">
        <f>HYPERLINK("http://www.ncbi.nlm.nih.gov/gene/?term=FBXL18","NCBI")</f>
        <v>NCBI</v>
      </c>
      <c r="F15102">
        <v>0.63</v>
      </c>
      <c r="G15102">
        <v>0.71</v>
      </c>
      <c r="H15102" s="1" t="str">
        <f>HYPERLINK("http://www.weizmann.ac.il/complex/compphys/software/geview/data/figures/215068_s_at.png","Figure")</f>
        <v>Figure</v>
      </c>
      <c r="I15102">
        <v>1.05</v>
      </c>
      <c r="J15102">
        <v>0.65</v>
      </c>
      <c r="K15102">
        <v>1.01</v>
      </c>
      <c r="L15102">
        <v>0.99</v>
      </c>
      <c r="M15102">
        <v>0.95899999999999996</v>
      </c>
      <c r="N15102">
        <v>0.68</v>
      </c>
    </row>
    <row r="15103" spans="1:14" x14ac:dyDescent="0.25">
      <c r="A15103" t="s">
        <v>25514</v>
      </c>
      <c r="B15103" t="s">
        <v>25515</v>
      </c>
      <c r="C15103" s="1" t="str">
        <f>HYPERLINK("http://www.genecards.org/cgi-bin/carddisp.pl?gene=BAMBI","GeneCards")</f>
        <v>GeneCards</v>
      </c>
      <c r="D15103" s="1" t="str">
        <f>HYPERLINK("http://genome-euro.ucsc.edu/cgi-bin/hgTracks?position=203304_at","UCSC")</f>
        <v>UCSC</v>
      </c>
      <c r="E15103" s="1" t="str">
        <f>HYPERLINK("http://www.ncbi.nlm.nih.gov/gene/?term=BAMBI","NCBI")</f>
        <v>NCBI</v>
      </c>
      <c r="F15103">
        <v>0.63</v>
      </c>
      <c r="G15103">
        <v>0.71</v>
      </c>
      <c r="H15103" s="1" t="str">
        <f>HYPERLINK("http://www.weizmann.ac.il/complex/compphys/software/geview/data/figures/203304_at.png","Figure")</f>
        <v>Figure</v>
      </c>
      <c r="I15103">
        <v>1.43</v>
      </c>
      <c r="J15103">
        <v>0.6</v>
      </c>
      <c r="K15103">
        <v>1.1599999999999999</v>
      </c>
      <c r="L15103">
        <v>0.89</v>
      </c>
      <c r="M15103">
        <v>0.81399999999999995</v>
      </c>
      <c r="N15103">
        <v>0.82</v>
      </c>
    </row>
    <row r="15104" spans="1:14" x14ac:dyDescent="0.25">
      <c r="A15104" t="s">
        <v>25516</v>
      </c>
      <c r="B15104" t="s">
        <v>25517</v>
      </c>
      <c r="C15104" s="1" t="str">
        <f>HYPERLINK("http://www.genecards.org/cgi-bin/carddisp.pl?gene=RCBTB1","GeneCards")</f>
        <v>GeneCards</v>
      </c>
      <c r="D15104" s="1" t="str">
        <f>HYPERLINK("http://genome-euro.ucsc.edu/cgi-bin/hgTracks?position=218352_at","UCSC")</f>
        <v>UCSC</v>
      </c>
      <c r="E15104" s="1" t="str">
        <f>HYPERLINK("http://www.ncbi.nlm.nih.gov/gene/?term=RCBTB1","NCBI")</f>
        <v>NCBI</v>
      </c>
      <c r="F15104">
        <v>0.63</v>
      </c>
      <c r="G15104">
        <v>0.71</v>
      </c>
      <c r="H15104" s="1" t="str">
        <f>HYPERLINK("http://www.weizmann.ac.il/complex/compphys/software/geview/data/figures/218352_at.png","Figure")</f>
        <v>Figure</v>
      </c>
      <c r="I15104">
        <v>0.754</v>
      </c>
      <c r="J15104">
        <v>0.77</v>
      </c>
      <c r="K15104">
        <v>0.71399999999999997</v>
      </c>
      <c r="L15104">
        <v>0.62</v>
      </c>
      <c r="M15104">
        <v>0.94599999999999995</v>
      </c>
      <c r="N15104">
        <v>0.99</v>
      </c>
    </row>
    <row r="15105" spans="1:14" x14ac:dyDescent="0.25">
      <c r="A15105" t="s">
        <v>25518</v>
      </c>
      <c r="B15105" t="s">
        <v>6651</v>
      </c>
      <c r="C15105" s="1" t="str">
        <f>HYPERLINK("http://www.genecards.org/cgi-bin/carddisp.pl?gene=COPE","GeneCards")</f>
        <v>GeneCards</v>
      </c>
      <c r="D15105" s="1" t="str">
        <f>HYPERLINK("http://genome-euro.ucsc.edu/cgi-bin/hgTracks?position=201264_at","UCSC")</f>
        <v>UCSC</v>
      </c>
      <c r="E15105" s="1" t="str">
        <f>HYPERLINK("http://www.ncbi.nlm.nih.gov/gene/?term=COPE","NCBI")</f>
        <v>NCBI</v>
      </c>
      <c r="F15105">
        <v>0.63</v>
      </c>
      <c r="G15105">
        <v>0.71</v>
      </c>
      <c r="H15105" s="1" t="str">
        <f>HYPERLINK("http://www.weizmann.ac.il/complex/compphys/software/geview/data/figures/201264_at.png","Figure")</f>
        <v>Figure</v>
      </c>
      <c r="I15105">
        <v>1.18</v>
      </c>
      <c r="J15105">
        <v>0.7</v>
      </c>
      <c r="K15105">
        <v>0.99299999999999999</v>
      </c>
      <c r="L15105">
        <v>1</v>
      </c>
      <c r="M15105">
        <v>0.84299999999999997</v>
      </c>
      <c r="N15105">
        <v>0.64</v>
      </c>
    </row>
    <row r="15106" spans="1:14" x14ac:dyDescent="0.25">
      <c r="A15106" t="s">
        <v>25519</v>
      </c>
      <c r="B15106" t="s">
        <v>11728</v>
      </c>
      <c r="C15106" s="1" t="str">
        <f>HYPERLINK("http://www.genecards.org/cgi-bin/carddisp.pl?gene=CHMP1B","GeneCards")</f>
        <v>GeneCards</v>
      </c>
      <c r="D15106" s="1" t="str">
        <f>HYPERLINK("http://genome-euro.ucsc.edu/cgi-bin/hgTracks?position=218178_s_at","UCSC")</f>
        <v>UCSC</v>
      </c>
      <c r="E15106" s="1" t="str">
        <f>HYPERLINK("http://www.ncbi.nlm.nih.gov/gene/?term=CHMP1B","NCBI")</f>
        <v>NCBI</v>
      </c>
      <c r="F15106">
        <v>0.63</v>
      </c>
      <c r="G15106">
        <v>0.71</v>
      </c>
      <c r="H15106" s="1" t="str">
        <f>HYPERLINK("http://www.weizmann.ac.il/complex/compphys/software/geview/data/figures/218178_s_at.png","Figure")</f>
        <v>Figure</v>
      </c>
      <c r="I15106">
        <v>1.1000000000000001</v>
      </c>
      <c r="J15106">
        <v>0.79</v>
      </c>
      <c r="K15106">
        <v>1.1200000000000001</v>
      </c>
      <c r="L15106">
        <v>0.62</v>
      </c>
      <c r="M15106">
        <v>1.02</v>
      </c>
      <c r="N15106">
        <v>0.98</v>
      </c>
    </row>
    <row r="15107" spans="1:14" x14ac:dyDescent="0.25">
      <c r="A15107" t="s">
        <v>25520</v>
      </c>
      <c r="B15107" t="s">
        <v>8933</v>
      </c>
      <c r="C15107" s="1" t="str">
        <f>HYPERLINK("http://www.genecards.org/cgi-bin/carddisp.pl?gene=ZNF609","GeneCards")</f>
        <v>GeneCards</v>
      </c>
      <c r="D15107" s="1" t="str">
        <f>HYPERLINK("http://genome-euro.ucsc.edu/cgi-bin/hgTracks?position=212617_at","UCSC")</f>
        <v>UCSC</v>
      </c>
      <c r="E15107" s="1" t="str">
        <f>HYPERLINK("http://www.ncbi.nlm.nih.gov/gene/?term=ZNF609","NCBI")</f>
        <v>NCBI</v>
      </c>
      <c r="F15107">
        <v>0.63</v>
      </c>
      <c r="G15107">
        <v>0.71</v>
      </c>
      <c r="H15107" s="1" t="str">
        <f>HYPERLINK("http://www.weizmann.ac.il/complex/compphys/software/geview/data/figures/212617_at.png","Figure")</f>
        <v>Figure</v>
      </c>
      <c r="I15107">
        <v>0.93100000000000005</v>
      </c>
      <c r="J15107">
        <v>0.77</v>
      </c>
      <c r="K15107">
        <v>1.02</v>
      </c>
      <c r="L15107">
        <v>0.97</v>
      </c>
      <c r="M15107">
        <v>1.1000000000000001</v>
      </c>
      <c r="N15107">
        <v>0.61</v>
      </c>
    </row>
    <row r="15108" spans="1:14" x14ac:dyDescent="0.25">
      <c r="A15108" t="s">
        <v>25521</v>
      </c>
      <c r="B15108" t="s">
        <v>12245</v>
      </c>
      <c r="C15108" s="1" t="str">
        <f>HYPERLINK("http://www.genecards.org/cgi-bin/carddisp.pl?gene=RBM10","GeneCards")</f>
        <v>GeneCards</v>
      </c>
      <c r="D15108" s="1" t="str">
        <f>HYPERLINK("http://genome-euro.ucsc.edu/cgi-bin/hgTracks?position=217221_x_at","UCSC")</f>
        <v>UCSC</v>
      </c>
      <c r="E15108" s="1" t="str">
        <f>HYPERLINK("http://www.ncbi.nlm.nih.gov/gene/?term=RBM10","NCBI")</f>
        <v>NCBI</v>
      </c>
      <c r="F15108">
        <v>0.63</v>
      </c>
      <c r="G15108">
        <v>0.71</v>
      </c>
      <c r="H15108" s="1" t="str">
        <f>HYPERLINK("http://www.weizmann.ac.il/complex/compphys/software/geview/data/figures/217221_x_at.png","Figure")</f>
        <v>Figure</v>
      </c>
      <c r="I15108">
        <v>0.9</v>
      </c>
      <c r="J15108">
        <v>0.89</v>
      </c>
      <c r="K15108">
        <v>1.1000000000000001</v>
      </c>
      <c r="L15108">
        <v>0.87</v>
      </c>
      <c r="M15108">
        <v>1.22</v>
      </c>
      <c r="N15108">
        <v>0.61</v>
      </c>
    </row>
    <row r="15109" spans="1:14" x14ac:dyDescent="0.25">
      <c r="A15109" t="s">
        <v>25522</v>
      </c>
      <c r="B15109" t="s">
        <v>25523</v>
      </c>
      <c r="C15109" s="1" t="str">
        <f>HYPERLINK("http://www.genecards.org/cgi-bin/carddisp.pl?gene=ECHDC3","GeneCards")</f>
        <v>GeneCards</v>
      </c>
      <c r="D15109" s="1" t="str">
        <f>HYPERLINK("http://genome-euro.ucsc.edu/cgi-bin/hgTracks?position=219298_at","UCSC")</f>
        <v>UCSC</v>
      </c>
      <c r="E15109" s="1" t="str">
        <f>HYPERLINK("http://www.ncbi.nlm.nih.gov/gene/?term=ECHDC3","NCBI")</f>
        <v>NCBI</v>
      </c>
      <c r="F15109">
        <v>0.63</v>
      </c>
      <c r="G15109">
        <v>0.71</v>
      </c>
      <c r="H15109" s="1" t="str">
        <f>HYPERLINK("http://www.weizmann.ac.il/complex/compphys/software/geview/data/figures/219298_at.png","Figure")</f>
        <v>Figure</v>
      </c>
      <c r="I15109">
        <v>0.95399999999999996</v>
      </c>
      <c r="J15109">
        <v>0.82</v>
      </c>
      <c r="K15109">
        <v>0.93600000000000005</v>
      </c>
      <c r="L15109">
        <v>0.61</v>
      </c>
      <c r="M15109">
        <v>0.98099999999999998</v>
      </c>
      <c r="N15109">
        <v>0.96</v>
      </c>
    </row>
    <row r="15110" spans="1:14" x14ac:dyDescent="0.25">
      <c r="A15110" t="s">
        <v>25524</v>
      </c>
      <c r="B15110" t="s">
        <v>9359</v>
      </c>
      <c r="C15110" s="1" t="str">
        <f>HYPERLINK("http://www.genecards.org/cgi-bin/carddisp.pl?gene=TP53","GeneCards")</f>
        <v>GeneCards</v>
      </c>
      <c r="D15110" s="1" t="str">
        <f>HYPERLINK("http://genome-euro.ucsc.edu/cgi-bin/hgTracks?position=211300_s_at","UCSC")</f>
        <v>UCSC</v>
      </c>
      <c r="E15110" s="1" t="str">
        <f>HYPERLINK("http://www.ncbi.nlm.nih.gov/gene/?term=TP53","NCBI")</f>
        <v>NCBI</v>
      </c>
      <c r="F15110">
        <v>0.63</v>
      </c>
      <c r="G15110">
        <v>0.71</v>
      </c>
      <c r="H15110" s="1" t="str">
        <f>HYPERLINK("http://www.weizmann.ac.il/complex/compphys/software/geview/data/figures/211300_s_at.png","Figure")</f>
        <v>Figure</v>
      </c>
      <c r="I15110">
        <v>0.98199999999999998</v>
      </c>
      <c r="J15110">
        <v>0.61</v>
      </c>
      <c r="K15110">
        <v>0.99399999999999999</v>
      </c>
      <c r="L15110">
        <v>0.94</v>
      </c>
      <c r="M15110">
        <v>1.01</v>
      </c>
      <c r="N15110">
        <v>0.76</v>
      </c>
    </row>
    <row r="15111" spans="1:14" x14ac:dyDescent="0.25">
      <c r="A15111" t="s">
        <v>25525</v>
      </c>
      <c r="B15111" t="s">
        <v>18354</v>
      </c>
      <c r="C15111" s="1" t="str">
        <f>HYPERLINK("http://www.genecards.org/cgi-bin/carddisp.pl?gene=C6orf26 /// MSH5","GeneCards")</f>
        <v>GeneCards</v>
      </c>
      <c r="D15111" s="1" t="str">
        <f>HYPERLINK("http://genome-euro.ucsc.edu/cgi-bin/hgTracks?position=212913_at","UCSC")</f>
        <v>UCSC</v>
      </c>
      <c r="E15111" s="1" t="str">
        <f>HYPERLINK("http://www.ncbi.nlm.nih.gov/gene/?term=C6orf26 /// MSH5","NCBI")</f>
        <v>NCBI</v>
      </c>
      <c r="F15111">
        <v>0.63</v>
      </c>
      <c r="G15111">
        <v>0.71</v>
      </c>
      <c r="H15111" s="1" t="str">
        <f>HYPERLINK("http://www.weizmann.ac.il/complex/compphys/software/geview/data/figures/212913_at.png","Figure")</f>
        <v>Figure</v>
      </c>
      <c r="I15111">
        <v>0.89</v>
      </c>
      <c r="J15111">
        <v>0.69</v>
      </c>
      <c r="K15111">
        <v>1</v>
      </c>
      <c r="L15111">
        <v>1</v>
      </c>
      <c r="M15111">
        <v>1.1299999999999999</v>
      </c>
      <c r="N15111">
        <v>0.65</v>
      </c>
    </row>
    <row r="15112" spans="1:14" x14ac:dyDescent="0.25">
      <c r="A15112" t="s">
        <v>25526</v>
      </c>
      <c r="B15112" t="s">
        <v>22134</v>
      </c>
      <c r="C15112" s="1" t="str">
        <f>HYPERLINK("http://www.genecards.org/cgi-bin/carddisp.pl?gene=MAP2K5","GeneCards")</f>
        <v>GeneCards</v>
      </c>
      <c r="D15112" s="1" t="str">
        <f>HYPERLINK("http://genome-euro.ucsc.edu/cgi-bin/hgTracks?position=210482_x_at","UCSC")</f>
        <v>UCSC</v>
      </c>
      <c r="E15112" s="1" t="str">
        <f>HYPERLINK("http://www.ncbi.nlm.nih.gov/gene/?term=MAP2K5","NCBI")</f>
        <v>NCBI</v>
      </c>
      <c r="F15112">
        <v>0.63</v>
      </c>
      <c r="G15112">
        <v>0.71</v>
      </c>
      <c r="H15112" s="1" t="str">
        <f>HYPERLINK("http://www.weizmann.ac.il/complex/compphys/software/geview/data/figures/210482_x_at.png","Figure")</f>
        <v>Figure</v>
      </c>
      <c r="I15112">
        <v>0.93500000000000005</v>
      </c>
      <c r="J15112">
        <v>0.67</v>
      </c>
      <c r="K15112">
        <v>0.996</v>
      </c>
      <c r="L15112">
        <v>1</v>
      </c>
      <c r="M15112">
        <v>1.07</v>
      </c>
      <c r="N15112">
        <v>0.67</v>
      </c>
    </row>
    <row r="15113" spans="1:14" x14ac:dyDescent="0.25">
      <c r="A15113" t="s">
        <v>25527</v>
      </c>
      <c r="B15113" t="s">
        <v>25528</v>
      </c>
      <c r="C15113" s="1" t="str">
        <f>HYPERLINK("http://www.genecards.org/cgi-bin/carddisp.pl?gene=COG8 /// PDF","GeneCards")</f>
        <v>GeneCards</v>
      </c>
      <c r="D15113" s="1" t="str">
        <f>HYPERLINK("http://genome-euro.ucsc.edu/cgi-bin/hgTracks?position=219575_s_at","UCSC")</f>
        <v>UCSC</v>
      </c>
      <c r="E15113" s="1" t="str">
        <f>HYPERLINK("http://www.ncbi.nlm.nih.gov/gene/?term=COG8 /// PDF","NCBI")</f>
        <v>NCBI</v>
      </c>
      <c r="F15113">
        <v>0.63</v>
      </c>
      <c r="G15113">
        <v>0.71</v>
      </c>
      <c r="H15113" s="1" t="str">
        <f>HYPERLINK("http://www.weizmann.ac.il/complex/compphys/software/geview/data/figures/219575_s_at.png","Figure")</f>
        <v>Figure</v>
      </c>
      <c r="I15113">
        <v>0.79200000000000004</v>
      </c>
      <c r="J15113">
        <v>0.64</v>
      </c>
      <c r="K15113">
        <v>0.84399999999999997</v>
      </c>
      <c r="L15113">
        <v>0.73</v>
      </c>
      <c r="M15113">
        <v>1.07</v>
      </c>
      <c r="N15113">
        <v>0.96</v>
      </c>
    </row>
    <row r="15114" spans="1:14" x14ac:dyDescent="0.25">
      <c r="A15114" t="s">
        <v>25529</v>
      </c>
      <c r="B15114" t="s">
        <v>3859</v>
      </c>
      <c r="C15114" s="1" t="str">
        <f>HYPERLINK("http://www.genecards.org/cgi-bin/carddisp.pl?gene=CSE1L","GeneCards")</f>
        <v>GeneCards</v>
      </c>
      <c r="D15114" s="1" t="str">
        <f>HYPERLINK("http://genome-euro.ucsc.edu/cgi-bin/hgTracks?position=201111_at","UCSC")</f>
        <v>UCSC</v>
      </c>
      <c r="E15114" s="1" t="str">
        <f>HYPERLINK("http://www.ncbi.nlm.nih.gov/gene/?term=CSE1L","NCBI")</f>
        <v>NCBI</v>
      </c>
      <c r="F15114">
        <v>0.63</v>
      </c>
      <c r="G15114">
        <v>0.71</v>
      </c>
      <c r="H15114" s="1" t="str">
        <f>HYPERLINK("http://www.weizmann.ac.il/complex/compphys/software/geview/data/figures/201111_at.png","Figure")</f>
        <v>Figure</v>
      </c>
      <c r="I15114">
        <v>1.1000000000000001</v>
      </c>
      <c r="J15114">
        <v>0.95</v>
      </c>
      <c r="K15114">
        <v>1.32</v>
      </c>
      <c r="L15114">
        <v>0.62</v>
      </c>
      <c r="M15114">
        <v>1.19</v>
      </c>
      <c r="N15114">
        <v>0.84</v>
      </c>
    </row>
    <row r="15115" spans="1:14" x14ac:dyDescent="0.25">
      <c r="A15115" t="s">
        <v>25530</v>
      </c>
      <c r="B15115" t="s">
        <v>25531</v>
      </c>
      <c r="C15115" s="1" t="str">
        <f>HYPERLINK("http://www.genecards.org/cgi-bin/carddisp.pl?gene=BSN","GeneCards")</f>
        <v>GeneCards</v>
      </c>
      <c r="D15115" s="1" t="str">
        <f>HYPERLINK("http://genome-euro.ucsc.edu/cgi-bin/hgTracks?position=204586_at","UCSC")</f>
        <v>UCSC</v>
      </c>
      <c r="E15115" s="1" t="str">
        <f>HYPERLINK("http://www.ncbi.nlm.nih.gov/gene/?term=BSN","NCBI")</f>
        <v>NCBI</v>
      </c>
      <c r="F15115">
        <v>0.63</v>
      </c>
      <c r="G15115">
        <v>0.71</v>
      </c>
      <c r="H15115" s="1" t="str">
        <f>HYPERLINK("http://www.weizmann.ac.il/complex/compphys/software/geview/data/figures/204586_at.png","Figure")</f>
        <v>Figure</v>
      </c>
      <c r="I15115">
        <v>1.0900000000000001</v>
      </c>
      <c r="J15115">
        <v>0.64</v>
      </c>
      <c r="K15115">
        <v>1.06</v>
      </c>
      <c r="L15115">
        <v>0.74</v>
      </c>
      <c r="M15115">
        <v>0.97699999999999998</v>
      </c>
      <c r="N15115">
        <v>0.96</v>
      </c>
    </row>
    <row r="15116" spans="1:14" x14ac:dyDescent="0.25">
      <c r="A15116" t="s">
        <v>25532</v>
      </c>
      <c r="B15116" t="s">
        <v>14196</v>
      </c>
      <c r="C15116" s="1" t="str">
        <f>HYPERLINK("http://www.genecards.org/cgi-bin/carddisp.pl?gene=IL1RL1","GeneCards")</f>
        <v>GeneCards</v>
      </c>
      <c r="D15116" s="1" t="str">
        <f>HYPERLINK("http://genome-euro.ucsc.edu/cgi-bin/hgTracks?position=207526_s_at","UCSC")</f>
        <v>UCSC</v>
      </c>
      <c r="E15116" s="1" t="str">
        <f>HYPERLINK("http://www.ncbi.nlm.nih.gov/gene/?term=IL1RL1","NCBI")</f>
        <v>NCBI</v>
      </c>
      <c r="F15116">
        <v>0.63</v>
      </c>
      <c r="G15116">
        <v>0.71</v>
      </c>
      <c r="H15116" s="1" t="str">
        <f>HYPERLINK("http://www.weizmann.ac.il/complex/compphys/software/geview/data/figures/207526_s_at.png","Figure")</f>
        <v>Figure</v>
      </c>
      <c r="I15116">
        <v>0.99099999999999999</v>
      </c>
      <c r="J15116">
        <v>0.96</v>
      </c>
      <c r="K15116">
        <v>0.97499999999999998</v>
      </c>
      <c r="L15116">
        <v>0.62</v>
      </c>
      <c r="M15116">
        <v>0.98299999999999998</v>
      </c>
      <c r="N15116">
        <v>0.83</v>
      </c>
    </row>
    <row r="15117" spans="1:14" x14ac:dyDescent="0.25">
      <c r="A15117" t="s">
        <v>25533</v>
      </c>
      <c r="B15117" t="s">
        <v>15151</v>
      </c>
      <c r="C15117" s="1" t="str">
        <f>HYPERLINK("http://www.genecards.org/cgi-bin/carddisp.pl?gene=NCOA2","GeneCards")</f>
        <v>GeneCards</v>
      </c>
      <c r="D15117" s="1" t="str">
        <f>HYPERLINK("http://genome-euro.ucsc.edu/cgi-bin/hgTracks?position=215605_at","UCSC")</f>
        <v>UCSC</v>
      </c>
      <c r="E15117" s="1" t="str">
        <f>HYPERLINK("http://www.ncbi.nlm.nih.gov/gene/?term=NCOA2","NCBI")</f>
        <v>NCBI</v>
      </c>
      <c r="F15117">
        <v>0.63</v>
      </c>
      <c r="G15117">
        <v>0.71</v>
      </c>
      <c r="H15117" s="1" t="str">
        <f>HYPERLINK("http://www.weizmann.ac.il/complex/compphys/software/geview/data/figures/215605_at.png","Figure")</f>
        <v>Figure</v>
      </c>
      <c r="I15117">
        <v>1.22</v>
      </c>
      <c r="J15117">
        <v>0.65</v>
      </c>
      <c r="K15117">
        <v>1.03</v>
      </c>
      <c r="L15117">
        <v>0.99</v>
      </c>
      <c r="M15117">
        <v>0.84299999999999997</v>
      </c>
      <c r="N15117">
        <v>0.69</v>
      </c>
    </row>
    <row r="15118" spans="1:14" x14ac:dyDescent="0.25">
      <c r="A15118" t="s">
        <v>25534</v>
      </c>
      <c r="B15118" t="s">
        <v>25535</v>
      </c>
      <c r="C15118" s="1" t="str">
        <f>HYPERLINK("http://www.genecards.org/cgi-bin/carddisp.pl?gene=FAM131A","GeneCards")</f>
        <v>GeneCards</v>
      </c>
      <c r="D15118" s="1" t="str">
        <f>HYPERLINK("http://genome-euro.ucsc.edu/cgi-bin/hgTracks?position=221904_at","UCSC")</f>
        <v>UCSC</v>
      </c>
      <c r="E15118" s="1" t="str">
        <f>HYPERLINK("http://www.ncbi.nlm.nih.gov/gene/?term=FAM131A","NCBI")</f>
        <v>NCBI</v>
      </c>
      <c r="F15118">
        <v>0.63</v>
      </c>
      <c r="G15118">
        <v>0.71</v>
      </c>
      <c r="H15118" s="1" t="str">
        <f>HYPERLINK("http://www.weizmann.ac.il/complex/compphys/software/geview/data/figures/221904_at.png","Figure")</f>
        <v>Figure</v>
      </c>
      <c r="I15118">
        <v>0.876</v>
      </c>
      <c r="J15118">
        <v>0.62</v>
      </c>
      <c r="K15118">
        <v>0.91900000000000004</v>
      </c>
      <c r="L15118">
        <v>0.77</v>
      </c>
      <c r="M15118">
        <v>1.05</v>
      </c>
      <c r="N15118">
        <v>0.93</v>
      </c>
    </row>
    <row r="15119" spans="1:14" x14ac:dyDescent="0.25">
      <c r="A15119" t="s">
        <v>25536</v>
      </c>
      <c r="B15119" t="s">
        <v>25537</v>
      </c>
      <c r="C15119" s="1" t="str">
        <f>HYPERLINK("http://www.genecards.org/cgi-bin/carddisp.pl?gene=C14orf132","GeneCards")</f>
        <v>GeneCards</v>
      </c>
      <c r="D15119" s="1" t="str">
        <f>HYPERLINK("http://genome-euro.ucsc.edu/cgi-bin/hgTracks?position=218820_at","UCSC")</f>
        <v>UCSC</v>
      </c>
      <c r="E15119" s="1" t="str">
        <f>HYPERLINK("http://www.ncbi.nlm.nih.gov/gene/?term=C14orf132","NCBI")</f>
        <v>NCBI</v>
      </c>
      <c r="F15119">
        <v>0.63</v>
      </c>
      <c r="G15119">
        <v>0.71</v>
      </c>
      <c r="H15119" s="1" t="str">
        <f>HYPERLINK("http://www.weizmann.ac.il/complex/compphys/software/geview/data/figures/218820_at.png","Figure")</f>
        <v>Figure</v>
      </c>
      <c r="I15119">
        <v>0.81200000000000006</v>
      </c>
      <c r="J15119">
        <v>0.72</v>
      </c>
      <c r="K15119">
        <v>1.02</v>
      </c>
      <c r="L15119">
        <v>0.99</v>
      </c>
      <c r="M15119">
        <v>1.26</v>
      </c>
      <c r="N15119">
        <v>0.63</v>
      </c>
    </row>
    <row r="15120" spans="1:14" x14ac:dyDescent="0.25">
      <c r="A15120" t="s">
        <v>25538</v>
      </c>
      <c r="B15120" t="s">
        <v>25539</v>
      </c>
      <c r="C15120" s="1" t="str">
        <f>HYPERLINK("http://www.genecards.org/cgi-bin/carddisp.pl?gene=GTDC1","GeneCards")</f>
        <v>GeneCards</v>
      </c>
      <c r="D15120" s="1" t="str">
        <f>HYPERLINK("http://genome-euro.ucsc.edu/cgi-bin/hgTracks?position=220853_at","UCSC")</f>
        <v>UCSC</v>
      </c>
      <c r="E15120" s="1" t="str">
        <f>HYPERLINK("http://www.ncbi.nlm.nih.gov/gene/?term=GTDC1","NCBI")</f>
        <v>NCBI</v>
      </c>
      <c r="F15120">
        <v>0.63</v>
      </c>
      <c r="G15120">
        <v>0.71</v>
      </c>
      <c r="H15120" s="1" t="str">
        <f>HYPERLINK("http://www.weizmann.ac.il/complex/compphys/software/geview/data/figures/220853_at.png","Figure")</f>
        <v>Figure</v>
      </c>
      <c r="I15120">
        <v>0.99299999999999999</v>
      </c>
      <c r="J15120">
        <v>1</v>
      </c>
      <c r="K15120">
        <v>0.93899999999999995</v>
      </c>
      <c r="L15120">
        <v>0.66</v>
      </c>
      <c r="M15120">
        <v>0.94499999999999995</v>
      </c>
      <c r="N15120">
        <v>0.75</v>
      </c>
    </row>
    <row r="15121" spans="1:14" x14ac:dyDescent="0.25">
      <c r="A15121" t="s">
        <v>25540</v>
      </c>
      <c r="B15121" t="s">
        <v>6500</v>
      </c>
      <c r="C15121" s="1" t="str">
        <f>HYPERLINK("http://www.genecards.org/cgi-bin/carddisp.pl?gene=PSMD9","GeneCards")</f>
        <v>GeneCards</v>
      </c>
      <c r="D15121" s="1" t="str">
        <f>HYPERLINK("http://genome-euro.ucsc.edu/cgi-bin/hgTracks?position=209334_s_at","UCSC")</f>
        <v>UCSC</v>
      </c>
      <c r="E15121" s="1" t="str">
        <f>HYPERLINK("http://www.ncbi.nlm.nih.gov/gene/?term=PSMD9","NCBI")</f>
        <v>NCBI</v>
      </c>
      <c r="F15121">
        <v>0.63</v>
      </c>
      <c r="G15121">
        <v>0.71</v>
      </c>
      <c r="H15121" s="1" t="str">
        <f>HYPERLINK("http://www.weizmann.ac.il/complex/compphys/software/geview/data/figures/209334_s_at.png","Figure")</f>
        <v>Figure</v>
      </c>
      <c r="I15121">
        <v>0.88</v>
      </c>
      <c r="J15121">
        <v>0.71</v>
      </c>
      <c r="K15121">
        <v>0.88400000000000001</v>
      </c>
      <c r="L15121">
        <v>0.66</v>
      </c>
      <c r="M15121">
        <v>1</v>
      </c>
      <c r="N15121">
        <v>1</v>
      </c>
    </row>
    <row r="15122" spans="1:14" x14ac:dyDescent="0.25">
      <c r="A15122" t="s">
        <v>25541</v>
      </c>
      <c r="B15122" t="s">
        <v>25542</v>
      </c>
      <c r="C15122" s="1" t="str">
        <f>HYPERLINK("http://www.genecards.org/cgi-bin/carddisp.pl?gene=AURKC","GeneCards")</f>
        <v>GeneCards</v>
      </c>
      <c r="D15122" s="1" t="str">
        <f>HYPERLINK("http://genome-euro.ucsc.edu/cgi-bin/hgTracks?position=211107_s_at","UCSC")</f>
        <v>UCSC</v>
      </c>
      <c r="E15122" s="1" t="str">
        <f>HYPERLINK("http://www.ncbi.nlm.nih.gov/gene/?term=AURKC","NCBI")</f>
        <v>NCBI</v>
      </c>
      <c r="F15122">
        <v>0.63</v>
      </c>
      <c r="G15122">
        <v>0.71</v>
      </c>
      <c r="H15122" s="1" t="str">
        <f>HYPERLINK("http://www.weizmann.ac.il/complex/compphys/software/geview/data/figures/211107_s_at.png","Figure")</f>
        <v>Figure</v>
      </c>
      <c r="I15122">
        <v>1.05</v>
      </c>
      <c r="J15122">
        <v>0.78</v>
      </c>
      <c r="K15122">
        <v>1.06</v>
      </c>
      <c r="L15122">
        <v>0.62</v>
      </c>
      <c r="M15122">
        <v>1.01</v>
      </c>
      <c r="N15122">
        <v>0.99</v>
      </c>
    </row>
    <row r="15123" spans="1:14" x14ac:dyDescent="0.25">
      <c r="A15123" t="s">
        <v>25543</v>
      </c>
      <c r="B15123" t="s">
        <v>25544</v>
      </c>
      <c r="C15123" s="1" t="str">
        <f>HYPERLINK("http://www.genecards.org/cgi-bin/carddisp.pl?gene=IGHA1 /// IGHG1 /// IGHM /// IGHV3-23 /// IGHV4-31 /// LOC100132941 /// LOC100289290 /// LOC10029105","GeneCards")</f>
        <v>GeneCards</v>
      </c>
      <c r="D15123" s="1" t="str">
        <f>HYPERLINK("http://genome-euro.ucsc.edu/cgi-bin/hgTracks?position=216510_x_at","UCSC")</f>
        <v>UCSC</v>
      </c>
      <c r="E15123" s="1" t="str">
        <f>HYPERLINK("http://www.ncbi.nlm.nih.gov/gene/?term=IGHA1 /// IGHG1 /// IGHM /// IGHV3-23 /// IGHV4-31 /// LOC100132941 /// LOC100289290 /// LOC10029105","NCBI")</f>
        <v>NCBI</v>
      </c>
      <c r="F15123">
        <v>0.63</v>
      </c>
      <c r="G15123">
        <v>0.71</v>
      </c>
      <c r="H15123" s="1" t="str">
        <f>HYPERLINK("http://www.weizmann.ac.il/complex/compphys/software/geview/data/figures/216510_x_at.png","Figure")</f>
        <v>Figure</v>
      </c>
      <c r="I15123">
        <v>0.98599999999999999</v>
      </c>
      <c r="J15123">
        <v>0.97</v>
      </c>
      <c r="K15123">
        <v>0.95599999999999996</v>
      </c>
      <c r="L15123">
        <v>0.63</v>
      </c>
      <c r="M15123">
        <v>0.97</v>
      </c>
      <c r="N15123">
        <v>0.82</v>
      </c>
    </row>
    <row r="15124" spans="1:14" x14ac:dyDescent="0.25">
      <c r="A15124" t="s">
        <v>25545</v>
      </c>
      <c r="B15124" t="s">
        <v>25546</v>
      </c>
      <c r="C15124" s="1" t="str">
        <f>HYPERLINK("http://www.genecards.org/cgi-bin/carddisp.pl?gene=ZNF358","GeneCards")</f>
        <v>GeneCards</v>
      </c>
      <c r="D15124" s="1" t="str">
        <f>HYPERLINK("http://genome-euro.ucsc.edu/cgi-bin/hgTracks?position=219379_x_at","UCSC")</f>
        <v>UCSC</v>
      </c>
      <c r="E15124" s="1" t="str">
        <f>HYPERLINK("http://www.ncbi.nlm.nih.gov/gene/?term=ZNF358","NCBI")</f>
        <v>NCBI</v>
      </c>
      <c r="F15124">
        <v>0.63</v>
      </c>
      <c r="G15124">
        <v>0.71</v>
      </c>
      <c r="H15124" s="1" t="str">
        <f>HYPERLINK("http://www.weizmann.ac.il/complex/compphys/software/geview/data/figures/219379_x_at.png","Figure")</f>
        <v>Figure</v>
      </c>
      <c r="I15124">
        <v>1.07</v>
      </c>
      <c r="J15124">
        <v>0.77</v>
      </c>
      <c r="K15124">
        <v>1.0900000000000001</v>
      </c>
      <c r="L15124">
        <v>0.63</v>
      </c>
      <c r="M15124">
        <v>1.01</v>
      </c>
      <c r="N15124">
        <v>0.99</v>
      </c>
    </row>
    <row r="15125" spans="1:14" x14ac:dyDescent="0.25">
      <c r="A15125" t="s">
        <v>25547</v>
      </c>
      <c r="B15125" t="s">
        <v>5273</v>
      </c>
      <c r="C15125" s="1" t="str">
        <f>HYPERLINK("http://www.genecards.org/cgi-bin/carddisp.pl?gene=STAT1","GeneCards")</f>
        <v>GeneCards</v>
      </c>
      <c r="D15125" s="1" t="str">
        <f>HYPERLINK("http://genome-euro.ucsc.edu/cgi-bin/hgTracks?position=209969_s_at","UCSC")</f>
        <v>UCSC</v>
      </c>
      <c r="E15125" s="1" t="str">
        <f>HYPERLINK("http://www.ncbi.nlm.nih.gov/gene/?term=STAT1","NCBI")</f>
        <v>NCBI</v>
      </c>
      <c r="F15125">
        <v>0.63</v>
      </c>
      <c r="G15125">
        <v>0.71</v>
      </c>
      <c r="H15125" s="1" t="str">
        <f>HYPERLINK("http://www.weizmann.ac.il/complex/compphys/software/geview/data/figures/209969_s_at.png","Figure")</f>
        <v>Figure</v>
      </c>
      <c r="I15125">
        <v>0.91100000000000003</v>
      </c>
      <c r="J15125">
        <v>0.94</v>
      </c>
      <c r="K15125">
        <v>0.78800000000000003</v>
      </c>
      <c r="L15125">
        <v>0.62</v>
      </c>
      <c r="M15125">
        <v>0.86499999999999999</v>
      </c>
      <c r="N15125">
        <v>0.85</v>
      </c>
    </row>
    <row r="15126" spans="1:14" x14ac:dyDescent="0.25">
      <c r="A15126" t="s">
        <v>25548</v>
      </c>
      <c r="B15126" t="s">
        <v>25549</v>
      </c>
      <c r="C15126" s="1" t="str">
        <f>HYPERLINK("http://www.genecards.org/cgi-bin/carddisp.pl?gene=ZBTB48","GeneCards")</f>
        <v>GeneCards</v>
      </c>
      <c r="D15126" s="1" t="str">
        <f>HYPERLINK("http://genome-euro.ucsc.edu/cgi-bin/hgTracks?position=205025_at","UCSC")</f>
        <v>UCSC</v>
      </c>
      <c r="E15126" s="1" t="str">
        <f>HYPERLINK("http://www.ncbi.nlm.nih.gov/gene/?term=ZBTB48","NCBI")</f>
        <v>NCBI</v>
      </c>
      <c r="F15126">
        <v>0.63</v>
      </c>
      <c r="G15126">
        <v>0.71</v>
      </c>
      <c r="H15126" s="1" t="str">
        <f>HYPERLINK("http://www.weizmann.ac.il/complex/compphys/software/geview/data/figures/205025_at.png","Figure")</f>
        <v>Figure</v>
      </c>
      <c r="I15126">
        <v>1</v>
      </c>
      <c r="J15126">
        <v>1</v>
      </c>
      <c r="K15126">
        <v>1.1499999999999999</v>
      </c>
      <c r="L15126">
        <v>0.68</v>
      </c>
      <c r="M15126">
        <v>1.1399999999999999</v>
      </c>
      <c r="N15126">
        <v>0.73</v>
      </c>
    </row>
    <row r="15127" spans="1:14" x14ac:dyDescent="0.25">
      <c r="A15127" t="s">
        <v>25550</v>
      </c>
      <c r="B15127" t="s">
        <v>25551</v>
      </c>
      <c r="C15127" s="1" t="str">
        <f>HYPERLINK("http://www.genecards.org/cgi-bin/carddisp.pl?gene=FAM114A1","GeneCards")</f>
        <v>GeneCards</v>
      </c>
      <c r="D15127" s="1" t="str">
        <f>HYPERLINK("http://genome-euro.ucsc.edu/cgi-bin/hgTracks?position=213455_at","UCSC")</f>
        <v>UCSC</v>
      </c>
      <c r="E15127" s="1" t="str">
        <f>HYPERLINK("http://www.ncbi.nlm.nih.gov/gene/?term=FAM114A1","NCBI")</f>
        <v>NCBI</v>
      </c>
      <c r="F15127">
        <v>0.63</v>
      </c>
      <c r="G15127">
        <v>0.71</v>
      </c>
      <c r="H15127" s="1" t="str">
        <f>HYPERLINK("http://www.weizmann.ac.il/complex/compphys/software/geview/data/figures/213455_at.png","Figure")</f>
        <v>Figure</v>
      </c>
      <c r="I15127">
        <v>0.93400000000000005</v>
      </c>
      <c r="J15127">
        <v>0.81</v>
      </c>
      <c r="K15127">
        <v>0.91400000000000003</v>
      </c>
      <c r="L15127">
        <v>0.62</v>
      </c>
      <c r="M15127">
        <v>0.97799999999999998</v>
      </c>
      <c r="N15127">
        <v>0.97</v>
      </c>
    </row>
    <row r="15128" spans="1:14" x14ac:dyDescent="0.25">
      <c r="A15128" t="s">
        <v>25552</v>
      </c>
      <c r="B15128" t="s">
        <v>25553</v>
      </c>
      <c r="C15128" s="1" t="str">
        <f>HYPERLINK("http://www.genecards.org/cgi-bin/carddisp.pl?gene=MALL","GeneCards")</f>
        <v>GeneCards</v>
      </c>
      <c r="D15128" s="1" t="str">
        <f>HYPERLINK("http://genome-euro.ucsc.edu/cgi-bin/hgTracks?position=209373_at","UCSC")</f>
        <v>UCSC</v>
      </c>
      <c r="E15128" s="1" t="str">
        <f>HYPERLINK("http://www.ncbi.nlm.nih.gov/gene/?term=MALL","NCBI")</f>
        <v>NCBI</v>
      </c>
      <c r="F15128">
        <v>0.63</v>
      </c>
      <c r="G15128">
        <v>0.71</v>
      </c>
      <c r="H15128" s="1" t="str">
        <f>HYPERLINK("http://www.weizmann.ac.il/complex/compphys/software/geview/data/figures/209373_at.png","Figure")</f>
        <v>Figure</v>
      </c>
      <c r="I15128">
        <v>1.01</v>
      </c>
      <c r="J15128">
        <v>0.98</v>
      </c>
      <c r="K15128">
        <v>0.96399999999999997</v>
      </c>
      <c r="L15128">
        <v>0.76</v>
      </c>
      <c r="M15128">
        <v>0.95199999999999996</v>
      </c>
      <c r="N15128">
        <v>0.66</v>
      </c>
    </row>
    <row r="15129" spans="1:14" x14ac:dyDescent="0.25">
      <c r="A15129" t="s">
        <v>25554</v>
      </c>
      <c r="B15129" t="s">
        <v>25555</v>
      </c>
      <c r="C15129" s="1" t="str">
        <f>HYPERLINK("http://www.genecards.org/cgi-bin/carddisp.pl?gene=TAX1BP1","GeneCards")</f>
        <v>GeneCards</v>
      </c>
      <c r="D15129" s="1" t="str">
        <f>HYPERLINK("http://genome-euro.ucsc.edu/cgi-bin/hgTracks?position=200976_s_at","UCSC")</f>
        <v>UCSC</v>
      </c>
      <c r="E15129" s="1" t="str">
        <f>HYPERLINK("http://www.ncbi.nlm.nih.gov/gene/?term=TAX1BP1","NCBI")</f>
        <v>NCBI</v>
      </c>
      <c r="F15129">
        <v>0.63</v>
      </c>
      <c r="G15129">
        <v>0.71</v>
      </c>
      <c r="H15129" s="1" t="str">
        <f>HYPERLINK("http://www.weizmann.ac.il/complex/compphys/software/geview/data/figures/200976_s_at.png","Figure")</f>
        <v>Figure</v>
      </c>
      <c r="I15129">
        <v>1.22</v>
      </c>
      <c r="J15129">
        <v>0.67</v>
      </c>
      <c r="K15129">
        <v>1.18</v>
      </c>
      <c r="L15129">
        <v>0.7</v>
      </c>
      <c r="M15129">
        <v>0.96299999999999997</v>
      </c>
      <c r="N15129">
        <v>0.98</v>
      </c>
    </row>
    <row r="15130" spans="1:14" x14ac:dyDescent="0.25">
      <c r="A15130" t="s">
        <v>25556</v>
      </c>
      <c r="B15130" t="s">
        <v>5448</v>
      </c>
      <c r="C15130" s="1" t="str">
        <f>HYPERLINK("http://www.genecards.org/cgi-bin/carddisp.pl?gene=KIAA0226","GeneCards")</f>
        <v>GeneCards</v>
      </c>
      <c r="D15130" s="1" t="str">
        <f>HYPERLINK("http://genome-euro.ucsc.edu/cgi-bin/hgTracks?position=212733_at","UCSC")</f>
        <v>UCSC</v>
      </c>
      <c r="E15130" s="1" t="str">
        <f>HYPERLINK("http://www.ncbi.nlm.nih.gov/gene/?term=KIAA0226","NCBI")</f>
        <v>NCBI</v>
      </c>
      <c r="F15130">
        <v>0.63</v>
      </c>
      <c r="G15130">
        <v>0.71</v>
      </c>
      <c r="H15130" s="1" t="str">
        <f>HYPERLINK("http://www.weizmann.ac.il/complex/compphys/software/geview/data/figures/212733_at.png","Figure")</f>
        <v>Figure</v>
      </c>
      <c r="I15130">
        <v>1.29</v>
      </c>
      <c r="J15130">
        <v>0.61</v>
      </c>
      <c r="K15130">
        <v>1.1299999999999999</v>
      </c>
      <c r="L15130">
        <v>0.85</v>
      </c>
      <c r="M15130">
        <v>0.877</v>
      </c>
      <c r="N15130">
        <v>0.86</v>
      </c>
    </row>
    <row r="15131" spans="1:14" x14ac:dyDescent="0.25">
      <c r="A15131" t="s">
        <v>25557</v>
      </c>
      <c r="B15131" t="s">
        <v>25558</v>
      </c>
      <c r="C15131" s="1" t="str">
        <f>HYPERLINK("http://www.genecards.org/cgi-bin/carddisp.pl?gene=PFDN1","GeneCards")</f>
        <v>GeneCards</v>
      </c>
      <c r="D15131" s="1" t="str">
        <f>HYPERLINK("http://genome-euro.ucsc.edu/cgi-bin/hgTracks?position=201507_at","UCSC")</f>
        <v>UCSC</v>
      </c>
      <c r="E15131" s="1" t="str">
        <f>HYPERLINK("http://www.ncbi.nlm.nih.gov/gene/?term=PFDN1","NCBI")</f>
        <v>NCBI</v>
      </c>
      <c r="F15131">
        <v>0.63</v>
      </c>
      <c r="G15131">
        <v>0.71</v>
      </c>
      <c r="H15131" s="1" t="str">
        <f>HYPERLINK("http://www.weizmann.ac.il/complex/compphys/software/geview/data/figures/201507_at.png","Figure")</f>
        <v>Figure</v>
      </c>
      <c r="I15131">
        <v>0.88900000000000001</v>
      </c>
      <c r="J15131">
        <v>0.73</v>
      </c>
      <c r="K15131">
        <v>1.02</v>
      </c>
      <c r="L15131">
        <v>0.99</v>
      </c>
      <c r="M15131">
        <v>1.1499999999999999</v>
      </c>
      <c r="N15131">
        <v>0.63</v>
      </c>
    </row>
    <row r="15132" spans="1:14" x14ac:dyDescent="0.25">
      <c r="A15132" t="s">
        <v>25559</v>
      </c>
      <c r="B15132" t="s">
        <v>25560</v>
      </c>
      <c r="C15132" s="1" t="str">
        <f>HYPERLINK("http://www.genecards.org/cgi-bin/carddisp.pl?gene=RHCE","GeneCards")</f>
        <v>GeneCards</v>
      </c>
      <c r="D15132" s="1" t="str">
        <f>HYPERLINK("http://genome-euro.ucsc.edu/cgi-bin/hgTracks?position=216317_x_at","UCSC")</f>
        <v>UCSC</v>
      </c>
      <c r="E15132" s="1" t="str">
        <f>HYPERLINK("http://www.ncbi.nlm.nih.gov/gene/?term=RHCE","NCBI")</f>
        <v>NCBI</v>
      </c>
      <c r="F15132">
        <v>0.63</v>
      </c>
      <c r="G15132">
        <v>0.71</v>
      </c>
      <c r="H15132" s="1" t="str">
        <f>HYPERLINK("http://www.weizmann.ac.il/complex/compphys/software/geview/data/figures/216317_x_at.png","Figure")</f>
        <v>Figure</v>
      </c>
      <c r="I15132">
        <v>1.2</v>
      </c>
      <c r="J15132">
        <v>0.81</v>
      </c>
      <c r="K15132">
        <v>0.92200000000000004</v>
      </c>
      <c r="L15132">
        <v>0.94</v>
      </c>
      <c r="M15132">
        <v>0.76900000000000002</v>
      </c>
      <c r="N15132">
        <v>0.61</v>
      </c>
    </row>
    <row r="15133" spans="1:14" x14ac:dyDescent="0.25">
      <c r="A15133" t="s">
        <v>25561</v>
      </c>
      <c r="B15133" t="s">
        <v>14697</v>
      </c>
      <c r="C15133" s="1" t="str">
        <f>HYPERLINK("http://www.genecards.org/cgi-bin/carddisp.pl?gene=ANGEL2","GeneCards")</f>
        <v>GeneCards</v>
      </c>
      <c r="D15133" s="1" t="str">
        <f>HYPERLINK("http://genome-euro.ucsc.edu/cgi-bin/hgTracks?position=221825_at","UCSC")</f>
        <v>UCSC</v>
      </c>
      <c r="E15133" s="1" t="str">
        <f>HYPERLINK("http://www.ncbi.nlm.nih.gov/gene/?term=ANGEL2","NCBI")</f>
        <v>NCBI</v>
      </c>
      <c r="F15133">
        <v>0.63</v>
      </c>
      <c r="G15133">
        <v>0.71</v>
      </c>
      <c r="H15133" s="1" t="str">
        <f>HYPERLINK("http://www.weizmann.ac.il/complex/compphys/software/geview/data/figures/221825_at.png","Figure")</f>
        <v>Figure</v>
      </c>
      <c r="I15133">
        <v>0.69899999999999995</v>
      </c>
      <c r="J15133">
        <v>0.64</v>
      </c>
      <c r="K15133">
        <v>0.94</v>
      </c>
      <c r="L15133">
        <v>0.98</v>
      </c>
      <c r="M15133">
        <v>1.34</v>
      </c>
      <c r="N15133">
        <v>0.71</v>
      </c>
    </row>
    <row r="15134" spans="1:14" x14ac:dyDescent="0.25">
      <c r="A15134" t="s">
        <v>25562</v>
      </c>
      <c r="B15134" t="s">
        <v>25563</v>
      </c>
      <c r="C15134" s="1" t="str">
        <f>HYPERLINK("http://www.genecards.org/cgi-bin/carddisp.pl?gene=IL1R2","GeneCards")</f>
        <v>GeneCards</v>
      </c>
      <c r="D15134" s="1" t="str">
        <f>HYPERLINK("http://genome-euro.ucsc.edu/cgi-bin/hgTracks?position=205403_at","UCSC")</f>
        <v>UCSC</v>
      </c>
      <c r="E15134" s="1" t="str">
        <f>HYPERLINK("http://www.ncbi.nlm.nih.gov/gene/?term=IL1R2","NCBI")</f>
        <v>NCBI</v>
      </c>
      <c r="F15134">
        <v>0.64</v>
      </c>
      <c r="G15134">
        <v>0.71</v>
      </c>
      <c r="H15134" s="1" t="str">
        <f>HYPERLINK("http://www.weizmann.ac.il/complex/compphys/software/geview/data/figures/205403_at.png","Figure")</f>
        <v>Figure</v>
      </c>
      <c r="I15134">
        <v>1.01</v>
      </c>
      <c r="J15134">
        <v>0.96</v>
      </c>
      <c r="K15134">
        <v>0.97199999999999998</v>
      </c>
      <c r="L15134">
        <v>0.79</v>
      </c>
      <c r="M15134">
        <v>0.95799999999999996</v>
      </c>
      <c r="N15134">
        <v>0.64</v>
      </c>
    </row>
    <row r="15135" spans="1:14" x14ac:dyDescent="0.25">
      <c r="A15135" t="s">
        <v>25564</v>
      </c>
      <c r="B15135" t="s">
        <v>25565</v>
      </c>
      <c r="C15135" s="1" t="str">
        <f>HYPERLINK("http://www.genecards.org/cgi-bin/carddisp.pl?gene=PTPLAD1","GeneCards")</f>
        <v>GeneCards</v>
      </c>
      <c r="D15135" s="1" t="str">
        <f>HYPERLINK("http://genome-euro.ucsc.edu/cgi-bin/hgTracks?position=217777_s_at","UCSC")</f>
        <v>UCSC</v>
      </c>
      <c r="E15135" s="1" t="str">
        <f>HYPERLINK("http://www.ncbi.nlm.nih.gov/gene/?term=PTPLAD1","NCBI")</f>
        <v>NCBI</v>
      </c>
      <c r="F15135">
        <v>0.64</v>
      </c>
      <c r="G15135">
        <v>0.71</v>
      </c>
      <c r="H15135" s="1" t="str">
        <f>HYPERLINK("http://www.weizmann.ac.il/complex/compphys/software/geview/data/figures/217777_s_at.png","Figure")</f>
        <v>Figure</v>
      </c>
      <c r="I15135">
        <v>0.95299999999999996</v>
      </c>
      <c r="J15135">
        <v>0.92</v>
      </c>
      <c r="K15135">
        <v>1.06</v>
      </c>
      <c r="L15135">
        <v>0.84</v>
      </c>
      <c r="M15135">
        <v>1.1100000000000001</v>
      </c>
      <c r="N15135">
        <v>0.62</v>
      </c>
    </row>
    <row r="15136" spans="1:14" x14ac:dyDescent="0.25">
      <c r="A15136" t="s">
        <v>25566</v>
      </c>
      <c r="B15136" t="s">
        <v>2783</v>
      </c>
      <c r="C15136" s="1" t="str">
        <f>HYPERLINK("http://www.genecards.org/cgi-bin/carddisp.pl?gene=ROCK2","GeneCards")</f>
        <v>GeneCards</v>
      </c>
      <c r="D15136" s="1" t="str">
        <f>HYPERLINK("http://genome-euro.ucsc.edu/cgi-bin/hgTracks?position=202762_at","UCSC")</f>
        <v>UCSC</v>
      </c>
      <c r="E15136" s="1" t="str">
        <f>HYPERLINK("http://www.ncbi.nlm.nih.gov/gene/?term=ROCK2","NCBI")</f>
        <v>NCBI</v>
      </c>
      <c r="F15136">
        <v>0.64</v>
      </c>
      <c r="G15136">
        <v>0.71</v>
      </c>
      <c r="H15136" s="1" t="str">
        <f>HYPERLINK("http://www.weizmann.ac.il/complex/compphys/software/geview/data/figures/202762_at.png","Figure")</f>
        <v>Figure</v>
      </c>
      <c r="I15136">
        <v>1.01</v>
      </c>
      <c r="J15136">
        <v>1</v>
      </c>
      <c r="K15136">
        <v>1.25</v>
      </c>
      <c r="L15136">
        <v>0.68</v>
      </c>
      <c r="M15136">
        <v>1.24</v>
      </c>
      <c r="N15136">
        <v>0.73</v>
      </c>
    </row>
    <row r="15137" spans="1:14" x14ac:dyDescent="0.25">
      <c r="A15137" t="s">
        <v>25567</v>
      </c>
      <c r="B15137" t="s">
        <v>25568</v>
      </c>
      <c r="C15137" s="1" t="str">
        <f>HYPERLINK("http://www.genecards.org/cgi-bin/carddisp.pl?gene=BST2","GeneCards")</f>
        <v>GeneCards</v>
      </c>
      <c r="D15137" s="1" t="str">
        <f>HYPERLINK("http://genome-euro.ucsc.edu/cgi-bin/hgTracks?position=201641_at","UCSC")</f>
        <v>UCSC</v>
      </c>
      <c r="E15137" s="1" t="str">
        <f>HYPERLINK("http://www.ncbi.nlm.nih.gov/gene/?term=BST2","NCBI")</f>
        <v>NCBI</v>
      </c>
      <c r="F15137">
        <v>0.64</v>
      </c>
      <c r="G15137">
        <v>0.71</v>
      </c>
      <c r="H15137" s="1" t="str">
        <f>HYPERLINK("http://www.weizmann.ac.il/complex/compphys/software/geview/data/figures/201641_at.png","Figure")</f>
        <v>Figure</v>
      </c>
      <c r="I15137">
        <v>0.92200000000000004</v>
      </c>
      <c r="J15137">
        <v>0.88</v>
      </c>
      <c r="K15137">
        <v>1.07</v>
      </c>
      <c r="L15137">
        <v>0.88</v>
      </c>
      <c r="M15137">
        <v>1.1599999999999999</v>
      </c>
      <c r="N15137">
        <v>0.61</v>
      </c>
    </row>
    <row r="15138" spans="1:14" x14ac:dyDescent="0.25">
      <c r="A15138" t="s">
        <v>25569</v>
      </c>
      <c r="B15138" t="s">
        <v>25570</v>
      </c>
      <c r="C15138" s="1" t="str">
        <f>HYPERLINK("http://www.genecards.org/cgi-bin/carddisp.pl?gene=SERPINB3 /// SERPINB4","GeneCards")</f>
        <v>GeneCards</v>
      </c>
      <c r="D15138" s="1" t="str">
        <f>HYPERLINK("http://genome-euro.ucsc.edu/cgi-bin/hgTracks?position=210413_x_at","UCSC")</f>
        <v>UCSC</v>
      </c>
      <c r="E15138" s="1" t="str">
        <f>HYPERLINK("http://www.ncbi.nlm.nih.gov/gene/?term=SERPINB3 /// SERPINB4","NCBI")</f>
        <v>NCBI</v>
      </c>
      <c r="F15138">
        <v>0.64</v>
      </c>
      <c r="G15138">
        <v>0.71</v>
      </c>
      <c r="H15138" s="1" t="str">
        <f>HYPERLINK("http://www.weizmann.ac.il/complex/compphys/software/geview/data/figures/210413_x_at.png","Figure")</f>
        <v>Figure</v>
      </c>
      <c r="I15138">
        <v>0.95199999999999996</v>
      </c>
      <c r="J15138">
        <v>0.62</v>
      </c>
      <c r="K15138">
        <v>0.97099999999999997</v>
      </c>
      <c r="L15138">
        <v>0.79</v>
      </c>
      <c r="M15138">
        <v>1.02</v>
      </c>
      <c r="N15138">
        <v>0.92</v>
      </c>
    </row>
    <row r="15139" spans="1:14" x14ac:dyDescent="0.25">
      <c r="A15139" t="s">
        <v>25571</v>
      </c>
      <c r="B15139" t="s">
        <v>24136</v>
      </c>
      <c r="C15139" s="1" t="str">
        <f>HYPERLINK("http://www.genecards.org/cgi-bin/carddisp.pl?gene=SERPINA1","GeneCards")</f>
        <v>GeneCards</v>
      </c>
      <c r="D15139" s="1" t="str">
        <f>HYPERLINK("http://genome-euro.ucsc.edu/cgi-bin/hgTracks?position=211429_s_at","UCSC")</f>
        <v>UCSC</v>
      </c>
      <c r="E15139" s="1" t="str">
        <f>HYPERLINK("http://www.ncbi.nlm.nih.gov/gene/?term=SERPINA1","NCBI")</f>
        <v>NCBI</v>
      </c>
      <c r="F15139">
        <v>0.64</v>
      </c>
      <c r="G15139">
        <v>0.71</v>
      </c>
      <c r="H15139" s="1" t="str">
        <f>HYPERLINK("http://www.weizmann.ac.il/complex/compphys/software/geview/data/figures/211429_s_at.png","Figure")</f>
        <v>Figure</v>
      </c>
      <c r="I15139">
        <v>1.27</v>
      </c>
      <c r="J15139">
        <v>0.67</v>
      </c>
      <c r="K15139">
        <v>1.02</v>
      </c>
      <c r="L15139">
        <v>1</v>
      </c>
      <c r="M15139">
        <v>0.80200000000000005</v>
      </c>
      <c r="N15139">
        <v>0.68</v>
      </c>
    </row>
    <row r="15140" spans="1:14" x14ac:dyDescent="0.25">
      <c r="A15140" t="s">
        <v>25572</v>
      </c>
      <c r="B15140" t="s">
        <v>16493</v>
      </c>
      <c r="C15140" s="1" t="str">
        <f>HYPERLINK("http://www.genecards.org/cgi-bin/carddisp.pl?gene=TNIK","GeneCards")</f>
        <v>GeneCards</v>
      </c>
      <c r="D15140" s="1" t="str">
        <f>HYPERLINK("http://genome-euro.ucsc.edu/cgi-bin/hgTracks?position=213107_at","UCSC")</f>
        <v>UCSC</v>
      </c>
      <c r="E15140" s="1" t="str">
        <f>HYPERLINK("http://www.ncbi.nlm.nih.gov/gene/?term=TNIK","NCBI")</f>
        <v>NCBI</v>
      </c>
      <c r="F15140">
        <v>0.64</v>
      </c>
      <c r="G15140">
        <v>0.71</v>
      </c>
      <c r="H15140" s="1" t="str">
        <f>HYPERLINK("http://www.weizmann.ac.il/complex/compphys/software/geview/data/figures/213107_at.png","Figure")</f>
        <v>Figure</v>
      </c>
      <c r="I15140">
        <v>1.1100000000000001</v>
      </c>
      <c r="J15140">
        <v>0.62</v>
      </c>
      <c r="K15140">
        <v>1.03</v>
      </c>
      <c r="L15140">
        <v>0.94</v>
      </c>
      <c r="M15140">
        <v>0.93300000000000005</v>
      </c>
      <c r="N15140">
        <v>0.77</v>
      </c>
    </row>
    <row r="15141" spans="1:14" x14ac:dyDescent="0.25">
      <c r="A15141" t="s">
        <v>25573</v>
      </c>
      <c r="B15141" t="s">
        <v>15044</v>
      </c>
      <c r="C15141" s="1" t="str">
        <f>HYPERLINK("http://www.genecards.org/cgi-bin/carddisp.pl?gene=C20orf27","GeneCards")</f>
        <v>GeneCards</v>
      </c>
      <c r="D15141" s="1" t="str">
        <f>HYPERLINK("http://genome-euro.ucsc.edu/cgi-bin/hgTracks?position=50314_i_at","UCSC")</f>
        <v>UCSC</v>
      </c>
      <c r="E15141" s="1" t="str">
        <f>HYPERLINK("http://www.ncbi.nlm.nih.gov/gene/?term=C20orf27","NCBI")</f>
        <v>NCBI</v>
      </c>
      <c r="F15141">
        <v>0.64</v>
      </c>
      <c r="G15141">
        <v>0.71</v>
      </c>
      <c r="H15141" s="1" t="str">
        <f>HYPERLINK("http://www.weizmann.ac.il/complex/compphys/software/geview/data/figures/50314_i_at.png","Figure")</f>
        <v>Figure</v>
      </c>
      <c r="I15141">
        <v>0.93300000000000005</v>
      </c>
      <c r="J15141">
        <v>0.66</v>
      </c>
      <c r="K15141">
        <v>0.99199999999999999</v>
      </c>
      <c r="L15141">
        <v>0.99</v>
      </c>
      <c r="M15141">
        <v>1.06</v>
      </c>
      <c r="N15141">
        <v>0.69</v>
      </c>
    </row>
    <row r="15142" spans="1:14" x14ac:dyDescent="0.25">
      <c r="A15142" t="s">
        <v>25574</v>
      </c>
      <c r="B15142" t="s">
        <v>20195</v>
      </c>
      <c r="C15142" s="1" t="str">
        <f>HYPERLINK("http://www.genecards.org/cgi-bin/carddisp.pl?gene=NDUFS8","GeneCards")</f>
        <v>GeneCards</v>
      </c>
      <c r="D15142" s="1" t="str">
        <f>HYPERLINK("http://genome-euro.ucsc.edu/cgi-bin/hgTracks?position=203189_s_at","UCSC")</f>
        <v>UCSC</v>
      </c>
      <c r="E15142" s="1" t="str">
        <f>HYPERLINK("http://www.ncbi.nlm.nih.gov/gene/?term=NDUFS8","NCBI")</f>
        <v>NCBI</v>
      </c>
      <c r="F15142">
        <v>0.64</v>
      </c>
      <c r="G15142">
        <v>0.71</v>
      </c>
      <c r="H15142" s="1" t="str">
        <f>HYPERLINK("http://www.weizmann.ac.il/complex/compphys/software/geview/data/figures/203189_s_at.png","Figure")</f>
        <v>Figure</v>
      </c>
      <c r="I15142">
        <v>1</v>
      </c>
      <c r="J15142">
        <v>0.98</v>
      </c>
      <c r="K15142">
        <v>0.98599999999999999</v>
      </c>
      <c r="L15142">
        <v>0.76</v>
      </c>
      <c r="M15142">
        <v>0.98199999999999998</v>
      </c>
      <c r="N15142">
        <v>0.66</v>
      </c>
    </row>
    <row r="15143" spans="1:14" x14ac:dyDescent="0.25">
      <c r="A15143" t="s">
        <v>25575</v>
      </c>
      <c r="B15143" t="s">
        <v>25576</v>
      </c>
      <c r="C15143" s="1" t="str">
        <f>HYPERLINK("http://www.genecards.org/cgi-bin/carddisp.pl?gene=ABCC6","GeneCards")</f>
        <v>GeneCards</v>
      </c>
      <c r="D15143" s="1" t="str">
        <f>HYPERLINK("http://genome-euro.ucsc.edu/cgi-bin/hgTracks?position=214033_at","UCSC")</f>
        <v>UCSC</v>
      </c>
      <c r="E15143" s="1" t="str">
        <f>HYPERLINK("http://www.ncbi.nlm.nih.gov/gene/?term=ABCC6","NCBI")</f>
        <v>NCBI</v>
      </c>
      <c r="F15143">
        <v>0.64</v>
      </c>
      <c r="G15143">
        <v>0.71</v>
      </c>
      <c r="H15143" s="1" t="str">
        <f>HYPERLINK("http://www.weizmann.ac.il/complex/compphys/software/geview/data/figures/214033_at.png","Figure")</f>
        <v>Figure</v>
      </c>
      <c r="I15143">
        <v>1</v>
      </c>
      <c r="J15143">
        <v>0.98</v>
      </c>
      <c r="K15143">
        <v>0.995</v>
      </c>
      <c r="L15143">
        <v>0.76</v>
      </c>
      <c r="M15143">
        <v>0.99399999999999999</v>
      </c>
      <c r="N15143">
        <v>0.66</v>
      </c>
    </row>
    <row r="15144" spans="1:14" x14ac:dyDescent="0.25">
      <c r="A15144" t="s">
        <v>25577</v>
      </c>
      <c r="B15144" t="s">
        <v>25578</v>
      </c>
      <c r="C15144" s="1" t="str">
        <f>HYPERLINK("http://www.genecards.org/cgi-bin/carddisp.pl?gene=ZNF142","GeneCards")</f>
        <v>GeneCards</v>
      </c>
      <c r="D15144" s="1" t="str">
        <f>HYPERLINK("http://genome-euro.ucsc.edu/cgi-bin/hgTracks?position=204474_at","UCSC")</f>
        <v>UCSC</v>
      </c>
      <c r="E15144" s="1" t="str">
        <f>HYPERLINK("http://www.ncbi.nlm.nih.gov/gene/?term=ZNF142","NCBI")</f>
        <v>NCBI</v>
      </c>
      <c r="F15144">
        <v>0.64</v>
      </c>
      <c r="G15144">
        <v>0.71</v>
      </c>
      <c r="H15144" s="1" t="str">
        <f>HYPERLINK("http://www.weizmann.ac.il/complex/compphys/software/geview/data/figures/204474_at.png","Figure")</f>
        <v>Figure</v>
      </c>
      <c r="I15144">
        <v>0.94099999999999995</v>
      </c>
      <c r="J15144">
        <v>0.72</v>
      </c>
      <c r="K15144">
        <v>0.94199999999999995</v>
      </c>
      <c r="L15144">
        <v>0.66</v>
      </c>
      <c r="M15144">
        <v>1</v>
      </c>
      <c r="N15144">
        <v>1</v>
      </c>
    </row>
    <row r="15145" spans="1:14" x14ac:dyDescent="0.25">
      <c r="A15145" t="s">
        <v>25579</v>
      </c>
      <c r="B15145" t="s">
        <v>19997</v>
      </c>
      <c r="C15145" s="1" t="str">
        <f>HYPERLINK("http://www.genecards.org/cgi-bin/carddisp.pl?gene=SMPD1","GeneCards")</f>
        <v>GeneCards</v>
      </c>
      <c r="D15145" s="1" t="str">
        <f>HYPERLINK("http://genome-euro.ucsc.edu/cgi-bin/hgTracks?position=209420_s_at","UCSC")</f>
        <v>UCSC</v>
      </c>
      <c r="E15145" s="1" t="str">
        <f>HYPERLINK("http://www.ncbi.nlm.nih.gov/gene/?term=SMPD1","NCBI")</f>
        <v>NCBI</v>
      </c>
      <c r="F15145">
        <v>0.64</v>
      </c>
      <c r="G15145">
        <v>0.71</v>
      </c>
      <c r="H15145" s="1" t="str">
        <f>HYPERLINK("http://www.weizmann.ac.il/complex/compphys/software/geview/data/figures/209420_s_at.png","Figure")</f>
        <v>Figure</v>
      </c>
      <c r="I15145">
        <v>0.997</v>
      </c>
      <c r="J15145">
        <v>1</v>
      </c>
      <c r="K15145">
        <v>0.94899999999999995</v>
      </c>
      <c r="L15145">
        <v>0.68</v>
      </c>
      <c r="M15145">
        <v>0.95199999999999996</v>
      </c>
      <c r="N15145">
        <v>0.74</v>
      </c>
    </row>
    <row r="15146" spans="1:14" x14ac:dyDescent="0.25">
      <c r="A15146" t="s">
        <v>25580</v>
      </c>
      <c r="B15146" t="s">
        <v>17717</v>
      </c>
      <c r="C15146" s="1" t="str">
        <f>HYPERLINK("http://www.genecards.org/cgi-bin/carddisp.pl?gene=HIST1H2BD","GeneCards")</f>
        <v>GeneCards</v>
      </c>
      <c r="D15146" s="1" t="str">
        <f>HYPERLINK("http://genome-euro.ucsc.edu/cgi-bin/hgTracks?position=209911_x_at","UCSC")</f>
        <v>UCSC</v>
      </c>
      <c r="E15146" s="1" t="str">
        <f>HYPERLINK("http://www.ncbi.nlm.nih.gov/gene/?term=HIST1H2BD","NCBI")</f>
        <v>NCBI</v>
      </c>
      <c r="F15146">
        <v>0.64</v>
      </c>
      <c r="G15146">
        <v>0.71</v>
      </c>
      <c r="H15146" s="1" t="str">
        <f>HYPERLINK("http://www.weizmann.ac.il/complex/compphys/software/geview/data/figures/209911_x_at.png","Figure")</f>
        <v>Figure</v>
      </c>
      <c r="I15146">
        <v>0.92700000000000005</v>
      </c>
      <c r="J15146">
        <v>0.98</v>
      </c>
      <c r="K15146">
        <v>1.24</v>
      </c>
      <c r="L15146">
        <v>0.77</v>
      </c>
      <c r="M15146">
        <v>1.34</v>
      </c>
      <c r="N15146">
        <v>0.66</v>
      </c>
    </row>
    <row r="15147" spans="1:14" x14ac:dyDescent="0.25">
      <c r="A15147" t="s">
        <v>25581</v>
      </c>
      <c r="B15147" t="s">
        <v>25582</v>
      </c>
      <c r="C15147" s="1" t="str">
        <f>HYPERLINK("http://www.genecards.org/cgi-bin/carddisp.pl?gene=TSTD2","GeneCards")</f>
        <v>GeneCards</v>
      </c>
      <c r="D15147" s="1" t="str">
        <f>HYPERLINK("http://genome-euro.ucsc.edu/cgi-bin/hgTracks?position=213161_at","UCSC")</f>
        <v>UCSC</v>
      </c>
      <c r="E15147" s="1" t="str">
        <f>HYPERLINK("http://www.ncbi.nlm.nih.gov/gene/?term=TSTD2","NCBI")</f>
        <v>NCBI</v>
      </c>
      <c r="F15147">
        <v>0.64</v>
      </c>
      <c r="G15147">
        <v>0.71</v>
      </c>
      <c r="H15147" s="1" t="str">
        <f>HYPERLINK("http://www.weizmann.ac.il/complex/compphys/software/geview/data/figures/213161_at.png","Figure")</f>
        <v>Figure</v>
      </c>
      <c r="I15147">
        <v>1.1299999999999999</v>
      </c>
      <c r="J15147">
        <v>0.87</v>
      </c>
      <c r="K15147">
        <v>0.91100000000000003</v>
      </c>
      <c r="L15147">
        <v>0.89</v>
      </c>
      <c r="M15147">
        <v>0.80900000000000005</v>
      </c>
      <c r="N15147">
        <v>0.61</v>
      </c>
    </row>
    <row r="15148" spans="1:14" x14ac:dyDescent="0.25">
      <c r="A15148" t="s">
        <v>25583</v>
      </c>
      <c r="B15148" t="s">
        <v>25584</v>
      </c>
      <c r="C15148" s="1" t="str">
        <f>HYPERLINK("http://www.genecards.org/cgi-bin/carddisp.pl?gene=ITGAL","GeneCards")</f>
        <v>GeneCards</v>
      </c>
      <c r="D15148" s="1" t="str">
        <f>HYPERLINK("http://genome-euro.ucsc.edu/cgi-bin/hgTracks?position=213475_s_at","UCSC")</f>
        <v>UCSC</v>
      </c>
      <c r="E15148" s="1" t="str">
        <f>HYPERLINK("http://www.ncbi.nlm.nih.gov/gene/?term=ITGAL","NCBI")</f>
        <v>NCBI</v>
      </c>
      <c r="F15148">
        <v>0.64</v>
      </c>
      <c r="G15148">
        <v>0.71</v>
      </c>
      <c r="H15148" s="1" t="str">
        <f>HYPERLINK("http://www.weizmann.ac.il/complex/compphys/software/geview/data/figures/213475_s_at.png","Figure")</f>
        <v>Figure</v>
      </c>
      <c r="I15148">
        <v>0.82399999999999995</v>
      </c>
      <c r="J15148">
        <v>0.64</v>
      </c>
      <c r="K15148">
        <v>0.875</v>
      </c>
      <c r="L15148">
        <v>0.75</v>
      </c>
      <c r="M15148">
        <v>1.06</v>
      </c>
      <c r="N15148">
        <v>0.95</v>
      </c>
    </row>
    <row r="15149" spans="1:14" x14ac:dyDescent="0.25">
      <c r="A15149" t="s">
        <v>25585</v>
      </c>
      <c r="B15149" t="s">
        <v>25586</v>
      </c>
      <c r="C15149" s="1" t="str">
        <f>HYPERLINK("http://www.genecards.org/cgi-bin/carddisp.pl?gene=TMEM204","GeneCards")</f>
        <v>GeneCards</v>
      </c>
      <c r="D15149" s="1" t="str">
        <f>HYPERLINK("http://genome-euro.ucsc.edu/cgi-bin/hgTracks?position=219315_s_at","UCSC")</f>
        <v>UCSC</v>
      </c>
      <c r="E15149" s="1" t="str">
        <f>HYPERLINK("http://www.ncbi.nlm.nih.gov/gene/?term=TMEM204","NCBI")</f>
        <v>NCBI</v>
      </c>
      <c r="F15149">
        <v>0.64</v>
      </c>
      <c r="G15149">
        <v>0.71</v>
      </c>
      <c r="H15149" s="1" t="str">
        <f>HYPERLINK("http://www.weizmann.ac.il/complex/compphys/software/geview/data/figures/219315_s_at.png","Figure")</f>
        <v>Figure</v>
      </c>
      <c r="I15149">
        <v>0.96399999999999997</v>
      </c>
      <c r="J15149">
        <v>0.95</v>
      </c>
      <c r="K15149">
        <v>0.90700000000000003</v>
      </c>
      <c r="L15149">
        <v>0.62</v>
      </c>
      <c r="M15149">
        <v>0.94199999999999995</v>
      </c>
      <c r="N15149">
        <v>0.85</v>
      </c>
    </row>
    <row r="15150" spans="1:14" x14ac:dyDescent="0.25">
      <c r="A15150" t="s">
        <v>25587</v>
      </c>
      <c r="B15150" t="s">
        <v>25588</v>
      </c>
      <c r="C15150" s="1" t="str">
        <f>HYPERLINK("http://www.genecards.org/cgi-bin/carddisp.pl?gene=HOXD4","GeneCards")</f>
        <v>GeneCards</v>
      </c>
      <c r="D15150" s="1" t="str">
        <f>HYPERLINK("http://genome-euro.ucsc.edu/cgi-bin/hgTracks?position=205522_at","UCSC")</f>
        <v>UCSC</v>
      </c>
      <c r="E15150" s="1" t="str">
        <f>HYPERLINK("http://www.ncbi.nlm.nih.gov/gene/?term=HOXD4","NCBI")</f>
        <v>NCBI</v>
      </c>
      <c r="F15150">
        <v>0.64</v>
      </c>
      <c r="G15150">
        <v>0.71</v>
      </c>
      <c r="H15150" s="1" t="str">
        <f>HYPERLINK("http://www.weizmann.ac.il/complex/compphys/software/geview/data/figures/205522_at.png","Figure")</f>
        <v>Figure</v>
      </c>
      <c r="I15150">
        <v>1.05</v>
      </c>
      <c r="J15150">
        <v>0.62</v>
      </c>
      <c r="K15150">
        <v>1.02</v>
      </c>
      <c r="L15150">
        <v>0.94</v>
      </c>
      <c r="M15150">
        <v>0.96799999999999997</v>
      </c>
      <c r="N15150">
        <v>0.77</v>
      </c>
    </row>
    <row r="15151" spans="1:14" x14ac:dyDescent="0.25">
      <c r="A15151" t="s">
        <v>25589</v>
      </c>
      <c r="B15151" t="s">
        <v>21139</v>
      </c>
      <c r="C15151" s="1" t="str">
        <f>HYPERLINK("http://www.genecards.org/cgi-bin/carddisp.pl?gene=LARP7","GeneCards")</f>
        <v>GeneCards</v>
      </c>
      <c r="D15151" s="1" t="str">
        <f>HYPERLINK("http://genome-euro.ucsc.edu/cgi-bin/hgTracks?position=215246_at","UCSC")</f>
        <v>UCSC</v>
      </c>
      <c r="E15151" s="1" t="str">
        <f>HYPERLINK("http://www.ncbi.nlm.nih.gov/gene/?term=LARP7","NCBI")</f>
        <v>NCBI</v>
      </c>
      <c r="F15151">
        <v>0.64</v>
      </c>
      <c r="G15151">
        <v>0.71</v>
      </c>
      <c r="H15151" s="1" t="str">
        <f>HYPERLINK("http://www.weizmann.ac.il/complex/compphys/software/geview/data/figures/215246_at.png","Figure")</f>
        <v>Figure</v>
      </c>
      <c r="I15151">
        <v>1.06</v>
      </c>
      <c r="J15151">
        <v>0.8</v>
      </c>
      <c r="K15151">
        <v>0.97899999999999998</v>
      </c>
      <c r="L15151">
        <v>0.95</v>
      </c>
      <c r="M15151">
        <v>0.92800000000000005</v>
      </c>
      <c r="N15151">
        <v>0.61</v>
      </c>
    </row>
    <row r="15152" spans="1:14" x14ac:dyDescent="0.25">
      <c r="A15152" t="s">
        <v>25590</v>
      </c>
      <c r="B15152" t="s">
        <v>6798</v>
      </c>
      <c r="C15152" s="1" t="str">
        <f>HYPERLINK("http://www.genecards.org/cgi-bin/carddisp.pl?gene=DGCR8","GeneCards")</f>
        <v>GeneCards</v>
      </c>
      <c r="D15152" s="1" t="str">
        <f>HYPERLINK("http://genome-euro.ucsc.edu/cgi-bin/hgTracks?position=64474_g_at","UCSC")</f>
        <v>UCSC</v>
      </c>
      <c r="E15152" s="1" t="str">
        <f>HYPERLINK("http://www.ncbi.nlm.nih.gov/gene/?term=DGCR8","NCBI")</f>
        <v>NCBI</v>
      </c>
      <c r="F15152">
        <v>0.64</v>
      </c>
      <c r="G15152">
        <v>0.72</v>
      </c>
      <c r="H15152" s="1" t="str">
        <f>HYPERLINK("http://www.weizmann.ac.il/complex/compphys/software/geview/data/figures/64474_g_at.png","Figure")</f>
        <v>Figure</v>
      </c>
      <c r="I15152">
        <v>1.1200000000000001</v>
      </c>
      <c r="J15152">
        <v>0.68</v>
      </c>
      <c r="K15152">
        <v>1</v>
      </c>
      <c r="L15152">
        <v>1</v>
      </c>
      <c r="M15152">
        <v>0.89200000000000002</v>
      </c>
      <c r="N15152">
        <v>0.66</v>
      </c>
    </row>
    <row r="15153" spans="1:14" x14ac:dyDescent="0.25">
      <c r="A15153" t="s">
        <v>25591</v>
      </c>
      <c r="B15153" t="s">
        <v>25592</v>
      </c>
      <c r="C15153" s="1" t="str">
        <f>HYPERLINK("http://www.genecards.org/cgi-bin/carddisp.pl?gene=LAMC2","GeneCards")</f>
        <v>GeneCards</v>
      </c>
      <c r="D15153" s="1" t="str">
        <f>HYPERLINK("http://genome-euro.ucsc.edu/cgi-bin/hgTracks?position=202267_at","UCSC")</f>
        <v>UCSC</v>
      </c>
      <c r="E15153" s="1" t="str">
        <f>HYPERLINK("http://www.ncbi.nlm.nih.gov/gene/?term=LAMC2","NCBI")</f>
        <v>NCBI</v>
      </c>
      <c r="F15153">
        <v>0.64</v>
      </c>
      <c r="G15153">
        <v>0.72</v>
      </c>
      <c r="H15153" s="1" t="str">
        <f>HYPERLINK("http://www.weizmann.ac.il/complex/compphys/software/geview/data/figures/202267_at.png","Figure")</f>
        <v>Figure</v>
      </c>
      <c r="I15153">
        <v>1.04</v>
      </c>
      <c r="J15153">
        <v>0.87</v>
      </c>
      <c r="K15153">
        <v>0.97</v>
      </c>
      <c r="L15153">
        <v>0.9</v>
      </c>
      <c r="M15153">
        <v>0.93300000000000005</v>
      </c>
      <c r="N15153">
        <v>0.61</v>
      </c>
    </row>
    <row r="15154" spans="1:14" x14ac:dyDescent="0.25">
      <c r="A15154" t="s">
        <v>25593</v>
      </c>
      <c r="B15154" t="s">
        <v>25594</v>
      </c>
      <c r="C15154" s="1" t="str">
        <f>HYPERLINK("http://www.genecards.org/cgi-bin/carddisp.pl?gene=PIGB","GeneCards")</f>
        <v>GeneCards</v>
      </c>
      <c r="D15154" s="1" t="str">
        <f>HYPERLINK("http://genome-euro.ucsc.edu/cgi-bin/hgTracks?position=205452_at","UCSC")</f>
        <v>UCSC</v>
      </c>
      <c r="E15154" s="1" t="str">
        <f>HYPERLINK("http://www.ncbi.nlm.nih.gov/gene/?term=PIGB","NCBI")</f>
        <v>NCBI</v>
      </c>
      <c r="F15154">
        <v>0.64</v>
      </c>
      <c r="G15154">
        <v>0.72</v>
      </c>
      <c r="H15154" s="1" t="str">
        <f>HYPERLINK("http://www.weizmann.ac.il/complex/compphys/software/geview/data/figures/205452_at.png","Figure")</f>
        <v>Figure</v>
      </c>
      <c r="I15154">
        <v>1.32</v>
      </c>
      <c r="J15154">
        <v>0.65</v>
      </c>
      <c r="K15154">
        <v>1.04</v>
      </c>
      <c r="L15154">
        <v>0.99</v>
      </c>
      <c r="M15154">
        <v>0.78900000000000003</v>
      </c>
      <c r="N15154">
        <v>0.69</v>
      </c>
    </row>
    <row r="15155" spans="1:14" x14ac:dyDescent="0.25">
      <c r="A15155" t="s">
        <v>25595</v>
      </c>
      <c r="B15155" t="s">
        <v>25596</v>
      </c>
      <c r="C15155" s="1" t="str">
        <f>HYPERLINK("http://www.genecards.org/cgi-bin/carddisp.pl?gene=NETO2","GeneCards")</f>
        <v>GeneCards</v>
      </c>
      <c r="D15155" s="1" t="str">
        <f>HYPERLINK("http://genome-euro.ucsc.edu/cgi-bin/hgTracks?position=218888_s_at","UCSC")</f>
        <v>UCSC</v>
      </c>
      <c r="E15155" s="1" t="str">
        <f>HYPERLINK("http://www.ncbi.nlm.nih.gov/gene/?term=NETO2","NCBI")</f>
        <v>NCBI</v>
      </c>
      <c r="F15155">
        <v>0.64</v>
      </c>
      <c r="G15155">
        <v>0.72</v>
      </c>
      <c r="H15155" s="1" t="str">
        <f>HYPERLINK("http://www.weizmann.ac.il/complex/compphys/software/geview/data/figures/218888_s_at.png","Figure")</f>
        <v>Figure</v>
      </c>
      <c r="I15155">
        <v>1.01</v>
      </c>
      <c r="J15155">
        <v>0.98</v>
      </c>
      <c r="K15155">
        <v>0.96499999999999997</v>
      </c>
      <c r="L15155">
        <v>0.76</v>
      </c>
      <c r="M15155">
        <v>0.95499999999999996</v>
      </c>
      <c r="N15155">
        <v>0.66</v>
      </c>
    </row>
    <row r="15156" spans="1:14" x14ac:dyDescent="0.25">
      <c r="A15156" t="s">
        <v>25597</v>
      </c>
      <c r="B15156" t="s">
        <v>25598</v>
      </c>
      <c r="C15156" s="1" t="str">
        <f>HYPERLINK("http://www.genecards.org/cgi-bin/carddisp.pl?gene=TSC22D3","GeneCards")</f>
        <v>GeneCards</v>
      </c>
      <c r="D15156" s="1" t="str">
        <f>HYPERLINK("http://genome-euro.ucsc.edu/cgi-bin/hgTracks?position=208763_s_at","UCSC")</f>
        <v>UCSC</v>
      </c>
      <c r="E15156" s="1" t="str">
        <f>HYPERLINK("http://www.ncbi.nlm.nih.gov/gene/?term=TSC22D3","NCBI")</f>
        <v>NCBI</v>
      </c>
      <c r="F15156">
        <v>0.64</v>
      </c>
      <c r="G15156">
        <v>0.72</v>
      </c>
      <c r="H15156" s="1" t="str">
        <f>HYPERLINK("http://www.weizmann.ac.il/complex/compphys/software/geview/data/figures/208763_s_at.png","Figure")</f>
        <v>Figure</v>
      </c>
      <c r="I15156">
        <v>0.871</v>
      </c>
      <c r="J15156">
        <v>0.66</v>
      </c>
      <c r="K15156">
        <v>0.89700000000000002</v>
      </c>
      <c r="L15156">
        <v>0.71</v>
      </c>
      <c r="M15156">
        <v>1.03</v>
      </c>
      <c r="N15156">
        <v>0.98</v>
      </c>
    </row>
    <row r="15157" spans="1:14" x14ac:dyDescent="0.25">
      <c r="A15157" t="s">
        <v>25599</v>
      </c>
      <c r="B15157" t="s">
        <v>25600</v>
      </c>
      <c r="C15157" s="1" t="str">
        <f>HYPERLINK("http://www.genecards.org/cgi-bin/carddisp.pl?gene=OCLM","GeneCards")</f>
        <v>GeneCards</v>
      </c>
      <c r="D15157" s="1" t="str">
        <f>HYPERLINK("http://genome-euro.ucsc.edu/cgi-bin/hgTracks?position=208274_at","UCSC")</f>
        <v>UCSC</v>
      </c>
      <c r="E15157" s="1" t="str">
        <f>HYPERLINK("http://www.ncbi.nlm.nih.gov/gene/?term=OCLM","NCBI")</f>
        <v>NCBI</v>
      </c>
      <c r="F15157">
        <v>0.64</v>
      </c>
      <c r="G15157">
        <v>0.72</v>
      </c>
      <c r="H15157" s="1" t="str">
        <f>HYPERLINK("http://www.weizmann.ac.il/complex/compphys/software/geview/data/figures/208274_at.png","Figure")</f>
        <v>Figure</v>
      </c>
      <c r="I15157">
        <v>1.03</v>
      </c>
      <c r="J15157">
        <v>0.83</v>
      </c>
      <c r="K15157">
        <v>0.98199999999999998</v>
      </c>
      <c r="L15157">
        <v>0.93</v>
      </c>
      <c r="M15157">
        <v>0.94899999999999995</v>
      </c>
      <c r="N15157">
        <v>0.61</v>
      </c>
    </row>
    <row r="15158" spans="1:14" x14ac:dyDescent="0.25">
      <c r="A15158" t="s">
        <v>25601</v>
      </c>
      <c r="B15158" t="s">
        <v>21127</v>
      </c>
      <c r="C15158" s="1" t="str">
        <f>HYPERLINK("http://www.genecards.org/cgi-bin/carddisp.pl?gene=ICOSLG","GeneCards")</f>
        <v>GeneCards</v>
      </c>
      <c r="D15158" s="1" t="str">
        <f>HYPERLINK("http://genome-euro.ucsc.edu/cgi-bin/hgTracks?position=211199_s_at","UCSC")</f>
        <v>UCSC</v>
      </c>
      <c r="E15158" s="1" t="str">
        <f>HYPERLINK("http://www.ncbi.nlm.nih.gov/gene/?term=ICOSLG","NCBI")</f>
        <v>NCBI</v>
      </c>
      <c r="F15158">
        <v>0.64</v>
      </c>
      <c r="G15158">
        <v>0.72</v>
      </c>
      <c r="H15158" s="1" t="str">
        <f>HYPERLINK("http://www.weizmann.ac.il/complex/compphys/software/geview/data/figures/211199_s_at.png","Figure")</f>
        <v>Figure</v>
      </c>
      <c r="I15158">
        <v>1.1100000000000001</v>
      </c>
      <c r="J15158">
        <v>0.95</v>
      </c>
      <c r="K15158">
        <v>0.83799999999999997</v>
      </c>
      <c r="L15158">
        <v>0.81</v>
      </c>
      <c r="M15158">
        <v>0.755</v>
      </c>
      <c r="N15158">
        <v>0.64</v>
      </c>
    </row>
    <row r="15159" spans="1:14" x14ac:dyDescent="0.25">
      <c r="A15159" t="s">
        <v>25602</v>
      </c>
      <c r="B15159" t="s">
        <v>25603</v>
      </c>
      <c r="C15159" s="1" t="str">
        <f>HYPERLINK("http://www.genecards.org/cgi-bin/carddisp.pl?gene=LOC100128640","GeneCards")</f>
        <v>GeneCards</v>
      </c>
      <c r="D15159" s="1" t="str">
        <f>HYPERLINK("http://genome-euro.ucsc.edu/cgi-bin/hgTracks?position=215590_x_at","UCSC")</f>
        <v>UCSC</v>
      </c>
      <c r="E15159" s="1" t="str">
        <f>HYPERLINK("http://www.ncbi.nlm.nih.gov/gene/?term=LOC100128640","NCBI")</f>
        <v>NCBI</v>
      </c>
      <c r="F15159">
        <v>0.64</v>
      </c>
      <c r="G15159">
        <v>0.72</v>
      </c>
      <c r="H15159" s="1" t="str">
        <f>HYPERLINK("http://www.weizmann.ac.il/complex/compphys/software/geview/data/figures/215590_x_at.png","Figure")</f>
        <v>Figure</v>
      </c>
      <c r="I15159">
        <v>1.05</v>
      </c>
      <c r="J15159">
        <v>0.63</v>
      </c>
      <c r="K15159">
        <v>1.01</v>
      </c>
      <c r="L15159">
        <v>0.96</v>
      </c>
      <c r="M15159">
        <v>0.96299999999999997</v>
      </c>
      <c r="N15159">
        <v>0.75</v>
      </c>
    </row>
    <row r="15160" spans="1:14" x14ac:dyDescent="0.25">
      <c r="A15160" t="s">
        <v>25604</v>
      </c>
      <c r="B15160" t="s">
        <v>25605</v>
      </c>
      <c r="C15160" s="1" t="str">
        <f>HYPERLINK("http://www.genecards.org/cgi-bin/carddisp.pl?gene=OAZ1","GeneCards")</f>
        <v>GeneCards</v>
      </c>
      <c r="D15160" s="1" t="str">
        <f>HYPERLINK("http://genome-euro.ucsc.edu/cgi-bin/hgTracks?position=215952_s_at","UCSC")</f>
        <v>UCSC</v>
      </c>
      <c r="E15160" s="1" t="str">
        <f>HYPERLINK("http://www.ncbi.nlm.nih.gov/gene/?term=OAZ1","NCBI")</f>
        <v>NCBI</v>
      </c>
      <c r="F15160">
        <v>0.64</v>
      </c>
      <c r="G15160">
        <v>0.72</v>
      </c>
      <c r="H15160" s="1" t="str">
        <f>HYPERLINK("http://www.weizmann.ac.il/complex/compphys/software/geview/data/figures/215952_s_at.png","Figure")</f>
        <v>Figure</v>
      </c>
      <c r="I15160">
        <v>0.9</v>
      </c>
      <c r="J15160">
        <v>0.88</v>
      </c>
      <c r="K15160">
        <v>1.1000000000000001</v>
      </c>
      <c r="L15160">
        <v>0.88</v>
      </c>
      <c r="M15160">
        <v>1.22</v>
      </c>
      <c r="N15160">
        <v>0.62</v>
      </c>
    </row>
    <row r="15161" spans="1:14" x14ac:dyDescent="0.25">
      <c r="A15161" t="s">
        <v>25606</v>
      </c>
      <c r="B15161" t="s">
        <v>11488</v>
      </c>
      <c r="C15161" s="1" t="str">
        <f>HYPERLINK("http://www.genecards.org/cgi-bin/carddisp.pl?gene=URB1","GeneCards")</f>
        <v>GeneCards</v>
      </c>
      <c r="D15161" s="1" t="str">
        <f>HYPERLINK("http://genome-euro.ucsc.edu/cgi-bin/hgTracks?position=217633_at","UCSC")</f>
        <v>UCSC</v>
      </c>
      <c r="E15161" s="1" t="str">
        <f>HYPERLINK("http://www.ncbi.nlm.nih.gov/gene/?term=URB1","NCBI")</f>
        <v>NCBI</v>
      </c>
      <c r="F15161">
        <v>0.64</v>
      </c>
      <c r="G15161">
        <v>0.72</v>
      </c>
      <c r="H15161" s="1" t="str">
        <f>HYPERLINK("http://www.weizmann.ac.il/complex/compphys/software/geview/data/figures/217633_at.png","Figure")</f>
        <v>Figure</v>
      </c>
      <c r="I15161">
        <v>0.878</v>
      </c>
      <c r="J15161">
        <v>0.62</v>
      </c>
      <c r="K15161">
        <v>0.92800000000000005</v>
      </c>
      <c r="L15161">
        <v>0.81</v>
      </c>
      <c r="M15161">
        <v>1.06</v>
      </c>
      <c r="N15161">
        <v>0.9</v>
      </c>
    </row>
    <row r="15162" spans="1:14" x14ac:dyDescent="0.25">
      <c r="A15162" t="s">
        <v>25607</v>
      </c>
      <c r="B15162" t="s">
        <v>25608</v>
      </c>
      <c r="C15162" s="1" t="str">
        <f>HYPERLINK("http://www.genecards.org/cgi-bin/carddisp.pl?gene=RGPD4 /// RGPD5 /// RGPD6 /// RGPD8","GeneCards")</f>
        <v>GeneCards</v>
      </c>
      <c r="D15162" s="1" t="str">
        <f>HYPERLINK("http://genome-euro.ucsc.edu/cgi-bin/hgTracks?position=212842_x_at","UCSC")</f>
        <v>UCSC</v>
      </c>
      <c r="E15162" s="1" t="str">
        <f>HYPERLINK("http://www.ncbi.nlm.nih.gov/gene/?term=RGPD4 /// RGPD5 /// RGPD6 /// RGPD8","NCBI")</f>
        <v>NCBI</v>
      </c>
      <c r="F15162">
        <v>0.64</v>
      </c>
      <c r="G15162">
        <v>0.72</v>
      </c>
      <c r="H15162" s="1" t="str">
        <f>HYPERLINK("http://www.weizmann.ac.il/complex/compphys/software/geview/data/figures/212842_x_at.png","Figure")</f>
        <v>Figure</v>
      </c>
      <c r="I15162">
        <v>0.74399999999999999</v>
      </c>
      <c r="J15162">
        <v>0.63</v>
      </c>
      <c r="K15162">
        <v>0.93300000000000005</v>
      </c>
      <c r="L15162">
        <v>0.97</v>
      </c>
      <c r="M15162">
        <v>1.25</v>
      </c>
      <c r="N15162">
        <v>0.73</v>
      </c>
    </row>
    <row r="15163" spans="1:14" x14ac:dyDescent="0.25">
      <c r="A15163" t="s">
        <v>25609</v>
      </c>
      <c r="B15163" t="s">
        <v>25610</v>
      </c>
      <c r="C15163" s="1" t="str">
        <f>HYPERLINK("http://www.genecards.org/cgi-bin/carddisp.pl?gene=ZNF107","GeneCards")</f>
        <v>GeneCards</v>
      </c>
      <c r="D15163" s="1" t="str">
        <f>HYPERLINK("http://genome-euro.ucsc.edu/cgi-bin/hgTracks?position=205739_x_at","UCSC")</f>
        <v>UCSC</v>
      </c>
      <c r="E15163" s="1" t="str">
        <f>HYPERLINK("http://www.ncbi.nlm.nih.gov/gene/?term=ZNF107","NCBI")</f>
        <v>NCBI</v>
      </c>
      <c r="F15163">
        <v>0.64</v>
      </c>
      <c r="G15163">
        <v>0.72</v>
      </c>
      <c r="H15163" s="1" t="str">
        <f>HYPERLINK("http://www.weizmann.ac.il/complex/compphys/software/geview/data/figures/205739_x_at.png","Figure")</f>
        <v>Figure</v>
      </c>
      <c r="I15163">
        <v>0.92400000000000004</v>
      </c>
      <c r="J15163">
        <v>0.97</v>
      </c>
      <c r="K15163">
        <v>0.75800000000000001</v>
      </c>
      <c r="L15163">
        <v>0.64</v>
      </c>
      <c r="M15163">
        <v>0.82099999999999995</v>
      </c>
      <c r="N15163">
        <v>0.81</v>
      </c>
    </row>
    <row r="15164" spans="1:14" x14ac:dyDescent="0.25">
      <c r="A15164" t="s">
        <v>25611</v>
      </c>
      <c r="B15164" t="s">
        <v>25612</v>
      </c>
      <c r="C15164" s="1" t="str">
        <f>HYPERLINK("http://www.genecards.org/cgi-bin/carddisp.pl?gene=REG1B","GeneCards")</f>
        <v>GeneCards</v>
      </c>
      <c r="D15164" s="1" t="str">
        <f>HYPERLINK("http://genome-euro.ucsc.edu/cgi-bin/hgTracks?position=205886_at","UCSC")</f>
        <v>UCSC</v>
      </c>
      <c r="E15164" s="1" t="str">
        <f>HYPERLINK("http://www.ncbi.nlm.nih.gov/gene/?term=REG1B","NCBI")</f>
        <v>NCBI</v>
      </c>
      <c r="F15164">
        <v>0.64</v>
      </c>
      <c r="G15164">
        <v>0.72</v>
      </c>
      <c r="H15164" s="1" t="str">
        <f>HYPERLINK("http://www.weizmann.ac.il/complex/compphys/software/geview/data/figures/205886_at.png","Figure")</f>
        <v>Figure</v>
      </c>
      <c r="I15164">
        <v>1.08</v>
      </c>
      <c r="J15164">
        <v>0.62</v>
      </c>
      <c r="K15164">
        <v>1.02</v>
      </c>
      <c r="L15164">
        <v>0.95</v>
      </c>
      <c r="M15164">
        <v>0.94699999999999995</v>
      </c>
      <c r="N15164">
        <v>0.76</v>
      </c>
    </row>
    <row r="15165" spans="1:14" x14ac:dyDescent="0.25">
      <c r="A15165" t="s">
        <v>25613</v>
      </c>
      <c r="B15165" t="s">
        <v>25614</v>
      </c>
      <c r="C15165" s="1" t="str">
        <f>HYPERLINK("http://www.genecards.org/cgi-bin/carddisp.pl?gene=RPS23","GeneCards")</f>
        <v>GeneCards</v>
      </c>
      <c r="D15165" s="1" t="str">
        <f>HYPERLINK("http://genome-euro.ucsc.edu/cgi-bin/hgTracks?position=200926_at","UCSC")</f>
        <v>UCSC</v>
      </c>
      <c r="E15165" s="1" t="str">
        <f>HYPERLINK("http://www.ncbi.nlm.nih.gov/gene/?term=RPS23","NCBI")</f>
        <v>NCBI</v>
      </c>
      <c r="F15165">
        <v>0.64</v>
      </c>
      <c r="G15165">
        <v>0.72</v>
      </c>
      <c r="H15165" s="1" t="str">
        <f>HYPERLINK("http://www.weizmann.ac.il/complex/compphys/software/geview/data/figures/200926_at.png","Figure")</f>
        <v>Figure</v>
      </c>
      <c r="I15165">
        <v>0.92300000000000004</v>
      </c>
      <c r="J15165">
        <v>0.85</v>
      </c>
      <c r="K15165">
        <v>1.05</v>
      </c>
      <c r="L15165">
        <v>0.91</v>
      </c>
      <c r="M15165">
        <v>1.1399999999999999</v>
      </c>
      <c r="N15165">
        <v>0.61</v>
      </c>
    </row>
    <row r="15166" spans="1:14" x14ac:dyDescent="0.25">
      <c r="A15166" t="s">
        <v>25615</v>
      </c>
      <c r="B15166" t="s">
        <v>25616</v>
      </c>
      <c r="C15166" s="1" t="str">
        <f>HYPERLINK("http://www.genecards.org/cgi-bin/carddisp.pl?gene=ZNF175","GeneCards")</f>
        <v>GeneCards</v>
      </c>
      <c r="D15166" s="1" t="str">
        <f>HYPERLINK("http://genome-euro.ucsc.edu/cgi-bin/hgTracks?position=205497_at","UCSC")</f>
        <v>UCSC</v>
      </c>
      <c r="E15166" s="1" t="str">
        <f>HYPERLINK("http://www.ncbi.nlm.nih.gov/gene/?term=ZNF175","NCBI")</f>
        <v>NCBI</v>
      </c>
      <c r="F15166">
        <v>0.64</v>
      </c>
      <c r="G15166">
        <v>0.72</v>
      </c>
      <c r="H15166" s="1" t="str">
        <f>HYPERLINK("http://www.weizmann.ac.il/complex/compphys/software/geview/data/figures/205497_at.png","Figure")</f>
        <v>Figure</v>
      </c>
      <c r="I15166">
        <v>0.93799999999999994</v>
      </c>
      <c r="J15166">
        <v>0.75</v>
      </c>
      <c r="K15166">
        <v>1.01</v>
      </c>
      <c r="L15166">
        <v>0.99</v>
      </c>
      <c r="M15166">
        <v>1.08</v>
      </c>
      <c r="N15166">
        <v>0.63</v>
      </c>
    </row>
    <row r="15167" spans="1:14" x14ac:dyDescent="0.25">
      <c r="A15167" t="s">
        <v>25617</v>
      </c>
      <c r="B15167" t="s">
        <v>25618</v>
      </c>
      <c r="C15167" s="1" t="str">
        <f>HYPERLINK("http://www.genecards.org/cgi-bin/carddisp.pl?gene=MCTP2","GeneCards")</f>
        <v>GeneCards</v>
      </c>
      <c r="D15167" s="1" t="str">
        <f>HYPERLINK("http://genome-euro.ucsc.edu/cgi-bin/hgTracks?position=220603_s_at","UCSC")</f>
        <v>UCSC</v>
      </c>
      <c r="E15167" s="1" t="str">
        <f>HYPERLINK("http://www.ncbi.nlm.nih.gov/gene/?term=MCTP2","NCBI")</f>
        <v>NCBI</v>
      </c>
      <c r="F15167">
        <v>0.64</v>
      </c>
      <c r="G15167">
        <v>0.72</v>
      </c>
      <c r="H15167" s="1" t="str">
        <f>HYPERLINK("http://www.weizmann.ac.il/complex/compphys/software/geview/data/figures/220603_s_at.png","Figure")</f>
        <v>Figure</v>
      </c>
      <c r="I15167">
        <v>1.26</v>
      </c>
      <c r="J15167">
        <v>0.66</v>
      </c>
      <c r="K15167">
        <v>1.03</v>
      </c>
      <c r="L15167">
        <v>0.99</v>
      </c>
      <c r="M15167">
        <v>0.81399999999999995</v>
      </c>
      <c r="N15167">
        <v>0.69</v>
      </c>
    </row>
    <row r="15168" spans="1:14" x14ac:dyDescent="0.25">
      <c r="A15168" t="s">
        <v>25619</v>
      </c>
      <c r="B15168" t="s">
        <v>25620</v>
      </c>
      <c r="C15168" s="1" t="str">
        <f>HYPERLINK("http://www.genecards.org/cgi-bin/carddisp.pl?gene=HLA-F","GeneCards")</f>
        <v>GeneCards</v>
      </c>
      <c r="D15168" s="1" t="str">
        <f>HYPERLINK("http://genome-euro.ucsc.edu/cgi-bin/hgTracks?position=221978_at","UCSC")</f>
        <v>UCSC</v>
      </c>
      <c r="E15168" s="1" t="str">
        <f>HYPERLINK("http://www.ncbi.nlm.nih.gov/gene/?term=HLA-F","NCBI")</f>
        <v>NCBI</v>
      </c>
      <c r="F15168">
        <v>0.64</v>
      </c>
      <c r="G15168">
        <v>0.72</v>
      </c>
      <c r="H15168" s="1" t="str">
        <f>HYPERLINK("http://www.weizmann.ac.il/complex/compphys/software/geview/data/figures/221978_at.png","Figure")</f>
        <v>Figure</v>
      </c>
      <c r="I15168">
        <v>0.91900000000000004</v>
      </c>
      <c r="J15168">
        <v>0.67</v>
      </c>
      <c r="K15168">
        <v>0.99299999999999999</v>
      </c>
      <c r="L15168">
        <v>1</v>
      </c>
      <c r="M15168">
        <v>1.08</v>
      </c>
      <c r="N15168">
        <v>0.68</v>
      </c>
    </row>
    <row r="15169" spans="1:14" x14ac:dyDescent="0.25">
      <c r="A15169" t="s">
        <v>25621</v>
      </c>
      <c r="B15169" t="s">
        <v>18964</v>
      </c>
      <c r="C15169" s="1" t="str">
        <f>HYPERLINK("http://www.genecards.org/cgi-bin/carddisp.pl?gene=IGK@ /// IGKC","GeneCards")</f>
        <v>GeneCards</v>
      </c>
      <c r="D15169" s="1" t="str">
        <f>HYPERLINK("http://genome-euro.ucsc.edu/cgi-bin/hgTracks?position=214836_x_at","UCSC")</f>
        <v>UCSC</v>
      </c>
      <c r="E15169" s="1" t="str">
        <f>HYPERLINK("http://www.ncbi.nlm.nih.gov/gene/?term=IGK@ /// IGKC","NCBI")</f>
        <v>NCBI</v>
      </c>
      <c r="F15169">
        <v>0.64</v>
      </c>
      <c r="G15169">
        <v>0.72</v>
      </c>
      <c r="H15169" s="1" t="str">
        <f>HYPERLINK("http://www.weizmann.ac.il/complex/compphys/software/geview/data/figures/214836_x_at.png","Figure")</f>
        <v>Figure</v>
      </c>
      <c r="I15169">
        <v>0.86799999999999999</v>
      </c>
      <c r="J15169">
        <v>0.82</v>
      </c>
      <c r="K15169">
        <v>0.82599999999999996</v>
      </c>
      <c r="L15169">
        <v>0.62</v>
      </c>
      <c r="M15169">
        <v>0.95199999999999996</v>
      </c>
      <c r="N15169">
        <v>0.97</v>
      </c>
    </row>
    <row r="15170" spans="1:14" x14ac:dyDescent="0.25">
      <c r="A15170" t="s">
        <v>25622</v>
      </c>
      <c r="B15170" t="s">
        <v>2488</v>
      </c>
      <c r="C15170" s="1" t="str">
        <f>HYPERLINK("http://www.genecards.org/cgi-bin/carddisp.pl?gene=USP33","GeneCards")</f>
        <v>GeneCards</v>
      </c>
      <c r="D15170" s="1" t="str">
        <f>HYPERLINK("http://genome-euro.ucsc.edu/cgi-bin/hgTracks?position=212513_s_at","UCSC")</f>
        <v>UCSC</v>
      </c>
      <c r="E15170" s="1" t="str">
        <f>HYPERLINK("http://www.ncbi.nlm.nih.gov/gene/?term=USP33","NCBI")</f>
        <v>NCBI</v>
      </c>
      <c r="F15170">
        <v>0.64</v>
      </c>
      <c r="G15170">
        <v>0.72</v>
      </c>
      <c r="H15170" s="1" t="str">
        <f>HYPERLINK("http://www.weizmann.ac.il/complex/compphys/software/geview/data/figures/212513_s_at.png","Figure")</f>
        <v>Figure</v>
      </c>
      <c r="I15170">
        <v>0.77100000000000002</v>
      </c>
      <c r="J15170">
        <v>0.79</v>
      </c>
      <c r="K15170">
        <v>1.0900000000000001</v>
      </c>
      <c r="L15170">
        <v>0.96</v>
      </c>
      <c r="M15170">
        <v>1.42</v>
      </c>
      <c r="N15170">
        <v>0.62</v>
      </c>
    </row>
    <row r="15171" spans="1:14" x14ac:dyDescent="0.25">
      <c r="A15171" t="s">
        <v>25623</v>
      </c>
      <c r="B15171" t="s">
        <v>25624</v>
      </c>
      <c r="C15171" s="1" t="str">
        <f>HYPERLINK("http://www.genecards.org/cgi-bin/carddisp.pl?gene=ABCD3","GeneCards")</f>
        <v>GeneCards</v>
      </c>
      <c r="D15171" s="1" t="str">
        <f>HYPERLINK("http://genome-euro.ucsc.edu/cgi-bin/hgTracks?position=202850_at","UCSC")</f>
        <v>UCSC</v>
      </c>
      <c r="E15171" s="1" t="str">
        <f>HYPERLINK("http://www.ncbi.nlm.nih.gov/gene/?term=ABCD3","NCBI")</f>
        <v>NCBI</v>
      </c>
      <c r="F15171">
        <v>0.64</v>
      </c>
      <c r="G15171">
        <v>0.72</v>
      </c>
      <c r="H15171" s="1" t="str">
        <f>HYPERLINK("http://www.weizmann.ac.il/complex/compphys/software/geview/data/figures/202850_at.png","Figure")</f>
        <v>Figure</v>
      </c>
      <c r="I15171">
        <v>0.76800000000000002</v>
      </c>
      <c r="J15171">
        <v>0.65</v>
      </c>
      <c r="K15171">
        <v>0.95699999999999996</v>
      </c>
      <c r="L15171">
        <v>0.98</v>
      </c>
      <c r="M15171">
        <v>1.25</v>
      </c>
      <c r="N15171">
        <v>0.71</v>
      </c>
    </row>
    <row r="15172" spans="1:14" x14ac:dyDescent="0.25">
      <c r="A15172" t="s">
        <v>25625</v>
      </c>
      <c r="B15172" t="s">
        <v>15563</v>
      </c>
      <c r="C15172" s="1" t="str">
        <f>HYPERLINK("http://www.genecards.org/cgi-bin/carddisp.pl?gene=EFNA5","GeneCards")</f>
        <v>GeneCards</v>
      </c>
      <c r="D15172" s="1" t="str">
        <f>HYPERLINK("http://genome-euro.ucsc.edu/cgi-bin/hgTracks?position=214036_at","UCSC")</f>
        <v>UCSC</v>
      </c>
      <c r="E15172" s="1" t="str">
        <f>HYPERLINK("http://www.ncbi.nlm.nih.gov/gene/?term=EFNA5","NCBI")</f>
        <v>NCBI</v>
      </c>
      <c r="F15172">
        <v>0.64</v>
      </c>
      <c r="G15172">
        <v>0.72</v>
      </c>
      <c r="H15172" s="1" t="str">
        <f>HYPERLINK("http://www.weizmann.ac.il/complex/compphys/software/geview/data/figures/214036_at.png","Figure")</f>
        <v>Figure</v>
      </c>
      <c r="I15172">
        <v>1.07</v>
      </c>
      <c r="J15172">
        <v>0.62</v>
      </c>
      <c r="K15172">
        <v>1.04</v>
      </c>
      <c r="L15172">
        <v>0.8</v>
      </c>
      <c r="M15172">
        <v>0.97199999999999998</v>
      </c>
      <c r="N15172">
        <v>0.91</v>
      </c>
    </row>
    <row r="15173" spans="1:14" x14ac:dyDescent="0.25">
      <c r="A15173" t="s">
        <v>25626</v>
      </c>
      <c r="B15173" t="s">
        <v>25627</v>
      </c>
      <c r="C15173" s="1" t="str">
        <f>HYPERLINK("http://www.genecards.org/cgi-bin/carddisp.pl?gene=ZNF665","GeneCards")</f>
        <v>GeneCards</v>
      </c>
      <c r="D15173" s="1" t="str">
        <f>HYPERLINK("http://genome-euro.ucsc.edu/cgi-bin/hgTracks?position=220760_x_at","UCSC")</f>
        <v>UCSC</v>
      </c>
      <c r="E15173" s="1" t="str">
        <f>HYPERLINK("http://www.ncbi.nlm.nih.gov/gene/?term=ZNF665","NCBI")</f>
        <v>NCBI</v>
      </c>
      <c r="F15173">
        <v>0.64</v>
      </c>
      <c r="G15173">
        <v>0.72</v>
      </c>
      <c r="H15173" s="1" t="str">
        <f>HYPERLINK("http://www.weizmann.ac.il/complex/compphys/software/geview/data/figures/220760_x_at.png","Figure")</f>
        <v>Figure</v>
      </c>
      <c r="I15173">
        <v>1.04</v>
      </c>
      <c r="J15173">
        <v>0.95</v>
      </c>
      <c r="K15173">
        <v>0.92800000000000005</v>
      </c>
      <c r="L15173">
        <v>0.81</v>
      </c>
      <c r="M15173">
        <v>0.88800000000000001</v>
      </c>
      <c r="N15173">
        <v>0.64</v>
      </c>
    </row>
    <row r="15174" spans="1:14" x14ac:dyDescent="0.25">
      <c r="A15174" t="s">
        <v>25628</v>
      </c>
      <c r="B15174" t="s">
        <v>24694</v>
      </c>
      <c r="C15174" s="1" t="str">
        <f>HYPERLINK("http://www.genecards.org/cgi-bin/carddisp.pl?gene=TARP /// TRGC2","GeneCards")</f>
        <v>GeneCards</v>
      </c>
      <c r="D15174" s="1" t="str">
        <f>HYPERLINK("http://genome-euro.ucsc.edu/cgi-bin/hgTracks?position=215806_x_at","UCSC")</f>
        <v>UCSC</v>
      </c>
      <c r="E15174" s="1" t="str">
        <f>HYPERLINK("http://www.ncbi.nlm.nih.gov/gene/?term=TARP /// TRGC2","NCBI")</f>
        <v>NCBI</v>
      </c>
      <c r="F15174">
        <v>0.64</v>
      </c>
      <c r="G15174">
        <v>0.72</v>
      </c>
      <c r="H15174" s="1" t="str">
        <f>HYPERLINK("http://www.weizmann.ac.il/complex/compphys/software/geview/data/figures/215806_x_at.png","Figure")</f>
        <v>Figure</v>
      </c>
      <c r="I15174">
        <v>0.75900000000000001</v>
      </c>
      <c r="J15174">
        <v>0.63</v>
      </c>
      <c r="K15174">
        <v>0.84599999999999997</v>
      </c>
      <c r="L15174">
        <v>0.8</v>
      </c>
      <c r="M15174">
        <v>1.1200000000000001</v>
      </c>
      <c r="N15174">
        <v>0.92</v>
      </c>
    </row>
    <row r="15175" spans="1:14" x14ac:dyDescent="0.25">
      <c r="A15175" t="s">
        <v>25629</v>
      </c>
      <c r="B15175" t="s">
        <v>23797</v>
      </c>
      <c r="C15175" s="1" t="str">
        <f>HYPERLINK("http://www.genecards.org/cgi-bin/carddisp.pl?gene=GSS","GeneCards")</f>
        <v>GeneCards</v>
      </c>
      <c r="D15175" s="1" t="str">
        <f>HYPERLINK("http://genome-euro.ucsc.edu/cgi-bin/hgTracks?position=201415_at","UCSC")</f>
        <v>UCSC</v>
      </c>
      <c r="E15175" s="1" t="str">
        <f>HYPERLINK("http://www.ncbi.nlm.nih.gov/gene/?term=GSS","NCBI")</f>
        <v>NCBI</v>
      </c>
      <c r="F15175">
        <v>0.64</v>
      </c>
      <c r="G15175">
        <v>0.72</v>
      </c>
      <c r="H15175" s="1" t="str">
        <f>HYPERLINK("http://www.weizmann.ac.il/complex/compphys/software/geview/data/figures/201415_at.png","Figure")</f>
        <v>Figure</v>
      </c>
      <c r="I15175">
        <v>0.90800000000000003</v>
      </c>
      <c r="J15175">
        <v>0.63</v>
      </c>
      <c r="K15175">
        <v>0.97399999999999998</v>
      </c>
      <c r="L15175">
        <v>0.96</v>
      </c>
      <c r="M15175">
        <v>1.07</v>
      </c>
      <c r="N15175">
        <v>0.75</v>
      </c>
    </row>
    <row r="15176" spans="1:14" x14ac:dyDescent="0.25">
      <c r="A15176" t="s">
        <v>25630</v>
      </c>
      <c r="B15176" t="s">
        <v>25631</v>
      </c>
      <c r="C15176" s="1" t="str">
        <f>HYPERLINK("http://www.genecards.org/cgi-bin/carddisp.pl?gene=PHC1","GeneCards")</f>
        <v>GeneCards</v>
      </c>
      <c r="D15176" s="1" t="str">
        <f>HYPERLINK("http://genome-euro.ucsc.edu/cgi-bin/hgTracks?position=218338_at","UCSC")</f>
        <v>UCSC</v>
      </c>
      <c r="E15176" s="1" t="str">
        <f>HYPERLINK("http://www.ncbi.nlm.nih.gov/gene/?term=PHC1","NCBI")</f>
        <v>NCBI</v>
      </c>
      <c r="F15176">
        <v>0.64</v>
      </c>
      <c r="G15176">
        <v>0.72</v>
      </c>
      <c r="H15176" s="1" t="str">
        <f>HYPERLINK("http://www.weizmann.ac.il/complex/compphys/software/geview/data/figures/218338_at.png","Figure")</f>
        <v>Figure</v>
      </c>
      <c r="I15176">
        <v>0.91800000000000004</v>
      </c>
      <c r="J15176">
        <v>0.87</v>
      </c>
      <c r="K15176">
        <v>1.07</v>
      </c>
      <c r="L15176">
        <v>0.9</v>
      </c>
      <c r="M15176">
        <v>1.1599999999999999</v>
      </c>
      <c r="N15176">
        <v>0.62</v>
      </c>
    </row>
    <row r="15177" spans="1:14" x14ac:dyDescent="0.25">
      <c r="A15177" t="s">
        <v>25632</v>
      </c>
      <c r="B15177" t="s">
        <v>25633</v>
      </c>
      <c r="C15177" s="1" t="str">
        <f>HYPERLINK("http://www.genecards.org/cgi-bin/carddisp.pl?gene=SNRPN","GeneCards")</f>
        <v>GeneCards</v>
      </c>
      <c r="D15177" s="1" t="str">
        <f>HYPERLINK("http://genome-euro.ucsc.edu/cgi-bin/hgTracks?position=216850_at","UCSC")</f>
        <v>UCSC</v>
      </c>
      <c r="E15177" s="1" t="str">
        <f>HYPERLINK("http://www.ncbi.nlm.nih.gov/gene/?term=SNRPN","NCBI")</f>
        <v>NCBI</v>
      </c>
      <c r="F15177">
        <v>0.64</v>
      </c>
      <c r="G15177">
        <v>0.72</v>
      </c>
      <c r="H15177" s="1" t="str">
        <f>HYPERLINK("http://www.weizmann.ac.il/complex/compphys/software/geview/data/figures/216850_at.png","Figure")</f>
        <v>Figure</v>
      </c>
      <c r="I15177">
        <v>0.96399999999999997</v>
      </c>
      <c r="J15177">
        <v>0.67</v>
      </c>
      <c r="K15177">
        <v>0.97199999999999998</v>
      </c>
      <c r="L15177">
        <v>0.72</v>
      </c>
      <c r="M15177">
        <v>1.01</v>
      </c>
      <c r="N15177">
        <v>0.98</v>
      </c>
    </row>
    <row r="15178" spans="1:14" x14ac:dyDescent="0.25">
      <c r="A15178" t="s">
        <v>25634</v>
      </c>
      <c r="B15178" t="s">
        <v>742</v>
      </c>
      <c r="C15178" s="1" t="str">
        <f>HYPERLINK("http://www.genecards.org/cgi-bin/carddisp.pl?gene=SF3A1","GeneCards")</f>
        <v>GeneCards</v>
      </c>
      <c r="D15178" s="1" t="str">
        <f>HYPERLINK("http://genome-euro.ucsc.edu/cgi-bin/hgTracks?position=216457_s_at","UCSC")</f>
        <v>UCSC</v>
      </c>
      <c r="E15178" s="1" t="str">
        <f>HYPERLINK("http://www.ncbi.nlm.nih.gov/gene/?term=SF3A1","NCBI")</f>
        <v>NCBI</v>
      </c>
      <c r="F15178">
        <v>0.64</v>
      </c>
      <c r="G15178">
        <v>0.72</v>
      </c>
      <c r="H15178" s="1" t="str">
        <f>HYPERLINK("http://www.weizmann.ac.il/complex/compphys/software/geview/data/figures/216457_s_at.png","Figure")</f>
        <v>Figure</v>
      </c>
      <c r="I15178">
        <v>1</v>
      </c>
      <c r="J15178">
        <v>1</v>
      </c>
      <c r="K15178">
        <v>1.19</v>
      </c>
      <c r="L15178">
        <v>0.7</v>
      </c>
      <c r="M15178">
        <v>1.19</v>
      </c>
      <c r="N15178">
        <v>0.73</v>
      </c>
    </row>
    <row r="15179" spans="1:14" x14ac:dyDescent="0.25">
      <c r="A15179" t="s">
        <v>25635</v>
      </c>
      <c r="B15179" t="s">
        <v>22977</v>
      </c>
      <c r="C15179" s="1" t="str">
        <f>HYPERLINK("http://www.genecards.org/cgi-bin/carddisp.pl?gene=SNX4","GeneCards")</f>
        <v>GeneCards</v>
      </c>
      <c r="D15179" s="1" t="str">
        <f>HYPERLINK("http://genome-euro.ucsc.edu/cgi-bin/hgTracks?position=205329_s_at","UCSC")</f>
        <v>UCSC</v>
      </c>
      <c r="E15179" s="1" t="str">
        <f>HYPERLINK("http://www.ncbi.nlm.nih.gov/gene/?term=SNX4","NCBI")</f>
        <v>NCBI</v>
      </c>
      <c r="F15179">
        <v>0.64</v>
      </c>
      <c r="G15179">
        <v>0.72</v>
      </c>
      <c r="H15179" s="1" t="str">
        <f>HYPERLINK("http://www.weizmann.ac.il/complex/compphys/software/geview/data/figures/205329_s_at.png","Figure")</f>
        <v>Figure</v>
      </c>
      <c r="I15179">
        <v>0.83799999999999997</v>
      </c>
      <c r="J15179">
        <v>0.72</v>
      </c>
      <c r="K15179">
        <v>0.84199999999999997</v>
      </c>
      <c r="L15179">
        <v>0.67</v>
      </c>
      <c r="M15179">
        <v>1.01</v>
      </c>
      <c r="N15179">
        <v>1</v>
      </c>
    </row>
    <row r="15180" spans="1:14" x14ac:dyDescent="0.25">
      <c r="A15180" t="s">
        <v>25636</v>
      </c>
      <c r="B15180" t="s">
        <v>25637</v>
      </c>
      <c r="C15180" s="1" t="str">
        <f>HYPERLINK("http://www.genecards.org/cgi-bin/carddisp.pl?gene=TTC21B","GeneCards")</f>
        <v>GeneCards</v>
      </c>
      <c r="D15180" s="1" t="str">
        <f>HYPERLINK("http://genome-euro.ucsc.edu/cgi-bin/hgTracks?position=220064_at","UCSC")</f>
        <v>UCSC</v>
      </c>
      <c r="E15180" s="1" t="str">
        <f>HYPERLINK("http://www.ncbi.nlm.nih.gov/gene/?term=TTC21B","NCBI")</f>
        <v>NCBI</v>
      </c>
      <c r="F15180">
        <v>0.64</v>
      </c>
      <c r="G15180">
        <v>0.72</v>
      </c>
      <c r="H15180" s="1" t="str">
        <f>HYPERLINK("http://www.weizmann.ac.il/complex/compphys/software/geview/data/figures/220064_at.png","Figure")</f>
        <v>Figure</v>
      </c>
      <c r="I15180">
        <v>1.02</v>
      </c>
      <c r="J15180">
        <v>0.67</v>
      </c>
      <c r="K15180">
        <v>1.02</v>
      </c>
      <c r="L15180">
        <v>0.71</v>
      </c>
      <c r="M15180">
        <v>0.995</v>
      </c>
      <c r="N15180">
        <v>0.98</v>
      </c>
    </row>
    <row r="15181" spans="1:14" x14ac:dyDescent="0.25">
      <c r="A15181" t="s">
        <v>25638</v>
      </c>
      <c r="B15181" t="s">
        <v>20884</v>
      </c>
      <c r="C15181" s="1" t="str">
        <f>HYPERLINK("http://www.genecards.org/cgi-bin/carddisp.pl?gene=RAD1","GeneCards")</f>
        <v>GeneCards</v>
      </c>
      <c r="D15181" s="1" t="str">
        <f>HYPERLINK("http://genome-euro.ucsc.edu/cgi-bin/hgTracks?position=204461_x_at","UCSC")</f>
        <v>UCSC</v>
      </c>
      <c r="E15181" s="1" t="str">
        <f>HYPERLINK("http://www.ncbi.nlm.nih.gov/gene/?term=RAD1","NCBI")</f>
        <v>NCBI</v>
      </c>
      <c r="F15181">
        <v>0.64</v>
      </c>
      <c r="G15181">
        <v>0.72</v>
      </c>
      <c r="H15181" s="1" t="str">
        <f>HYPERLINK("http://www.weizmann.ac.il/complex/compphys/software/geview/data/figures/204461_x_at.png","Figure")</f>
        <v>Figure</v>
      </c>
      <c r="I15181">
        <v>0.92300000000000004</v>
      </c>
      <c r="J15181">
        <v>0.7</v>
      </c>
      <c r="K15181">
        <v>0.92900000000000005</v>
      </c>
      <c r="L15181">
        <v>0.68</v>
      </c>
      <c r="M15181">
        <v>1.01</v>
      </c>
      <c r="N15181">
        <v>1</v>
      </c>
    </row>
    <row r="15182" spans="1:14" x14ac:dyDescent="0.25">
      <c r="A15182" t="s">
        <v>25639</v>
      </c>
      <c r="B15182" t="s">
        <v>25640</v>
      </c>
      <c r="C15182" s="1" t="str">
        <f>HYPERLINK("http://www.genecards.org/cgi-bin/carddisp.pl?gene=DNAL4","GeneCards")</f>
        <v>GeneCards</v>
      </c>
      <c r="D15182" s="1" t="str">
        <f>HYPERLINK("http://genome-euro.ucsc.edu/cgi-bin/hgTracks?position=204008_at","UCSC")</f>
        <v>UCSC</v>
      </c>
      <c r="E15182" s="1" t="str">
        <f>HYPERLINK("http://www.ncbi.nlm.nih.gov/gene/?term=DNAL4","NCBI")</f>
        <v>NCBI</v>
      </c>
      <c r="F15182">
        <v>0.64</v>
      </c>
      <c r="G15182">
        <v>0.72</v>
      </c>
      <c r="H15182" s="1" t="str">
        <f>HYPERLINK("http://www.weizmann.ac.il/complex/compphys/software/geview/data/figures/204008_at.png","Figure")</f>
        <v>Figure</v>
      </c>
      <c r="I15182">
        <v>0.99399999999999999</v>
      </c>
      <c r="J15182">
        <v>0.99</v>
      </c>
      <c r="K15182">
        <v>1.04</v>
      </c>
      <c r="L15182">
        <v>0.73</v>
      </c>
      <c r="M15182">
        <v>1.05</v>
      </c>
      <c r="N15182">
        <v>0.7</v>
      </c>
    </row>
    <row r="15183" spans="1:14" x14ac:dyDescent="0.25">
      <c r="A15183" t="s">
        <v>25641</v>
      </c>
      <c r="B15183" t="s">
        <v>25642</v>
      </c>
      <c r="C15183" s="1" t="str">
        <f>HYPERLINK("http://www.genecards.org/cgi-bin/carddisp.pl?gene=ZNF669","GeneCards")</f>
        <v>GeneCards</v>
      </c>
      <c r="D15183" s="1" t="str">
        <f>HYPERLINK("http://genome-euro.ucsc.edu/cgi-bin/hgTracks?position=220215_at","UCSC")</f>
        <v>UCSC</v>
      </c>
      <c r="E15183" s="1" t="str">
        <f>HYPERLINK("http://www.ncbi.nlm.nih.gov/gene/?term=ZNF669","NCBI")</f>
        <v>NCBI</v>
      </c>
      <c r="F15183">
        <v>0.64</v>
      </c>
      <c r="G15183">
        <v>0.72</v>
      </c>
      <c r="H15183" s="1" t="str">
        <f>HYPERLINK("http://www.weizmann.ac.il/complex/compphys/software/geview/data/figures/220215_at.png","Figure")</f>
        <v>Figure</v>
      </c>
      <c r="I15183">
        <v>1.1000000000000001</v>
      </c>
      <c r="J15183">
        <v>0.85</v>
      </c>
      <c r="K15183">
        <v>0.94299999999999995</v>
      </c>
      <c r="L15183">
        <v>0.92</v>
      </c>
      <c r="M15183">
        <v>0.86</v>
      </c>
      <c r="N15183">
        <v>0.62</v>
      </c>
    </row>
    <row r="15184" spans="1:14" x14ac:dyDescent="0.25">
      <c r="A15184" t="s">
        <v>25643</v>
      </c>
      <c r="B15184" t="s">
        <v>25644</v>
      </c>
      <c r="C15184" s="1" t="str">
        <f>HYPERLINK("http://www.genecards.org/cgi-bin/carddisp.pl?gene=RASA3","GeneCards")</f>
        <v>GeneCards</v>
      </c>
      <c r="D15184" s="1" t="str">
        <f>HYPERLINK("http://genome-euro.ucsc.edu/cgi-bin/hgTracks?position=206220_s_at","UCSC")</f>
        <v>UCSC</v>
      </c>
      <c r="E15184" s="1" t="str">
        <f>HYPERLINK("http://www.ncbi.nlm.nih.gov/gene/?term=RASA3","NCBI")</f>
        <v>NCBI</v>
      </c>
      <c r="F15184">
        <v>0.64</v>
      </c>
      <c r="G15184">
        <v>0.72</v>
      </c>
      <c r="H15184" s="1" t="str">
        <f>HYPERLINK("http://www.weizmann.ac.il/complex/compphys/software/geview/data/figures/206220_s_at.png","Figure")</f>
        <v>Figure</v>
      </c>
      <c r="I15184">
        <v>1</v>
      </c>
      <c r="J15184">
        <v>1</v>
      </c>
      <c r="K15184">
        <v>1.05</v>
      </c>
      <c r="L15184">
        <v>0.69</v>
      </c>
      <c r="M15184">
        <v>1.05</v>
      </c>
      <c r="N15184">
        <v>0.74</v>
      </c>
    </row>
    <row r="15185" spans="1:14" x14ac:dyDescent="0.25">
      <c r="A15185" t="s">
        <v>25645</v>
      </c>
      <c r="B15185" t="s">
        <v>25646</v>
      </c>
      <c r="C15185" s="1" t="str">
        <f>HYPERLINK("http://www.genecards.org/cgi-bin/carddisp.pl?gene=HIST1H2AM","GeneCards")</f>
        <v>GeneCards</v>
      </c>
      <c r="D15185" s="1" t="str">
        <f>HYPERLINK("http://genome-euro.ucsc.edu/cgi-bin/hgTracks?position=214481_at","UCSC")</f>
        <v>UCSC</v>
      </c>
      <c r="E15185" s="1" t="str">
        <f>HYPERLINK("http://www.ncbi.nlm.nih.gov/gene/?term=HIST1H2AM","NCBI")</f>
        <v>NCBI</v>
      </c>
      <c r="F15185">
        <v>0.64</v>
      </c>
      <c r="G15185">
        <v>0.72</v>
      </c>
      <c r="H15185" s="1" t="str">
        <f>HYPERLINK("http://www.weizmann.ac.il/complex/compphys/software/geview/data/figures/214481_at.png","Figure")</f>
        <v>Figure</v>
      </c>
      <c r="I15185">
        <v>1.17</v>
      </c>
      <c r="J15185">
        <v>0.77</v>
      </c>
      <c r="K15185">
        <v>1.2</v>
      </c>
      <c r="L15185">
        <v>0.64</v>
      </c>
      <c r="M15185">
        <v>1.02</v>
      </c>
      <c r="N15185">
        <v>0.99</v>
      </c>
    </row>
    <row r="15186" spans="1:14" x14ac:dyDescent="0.25">
      <c r="A15186" t="s">
        <v>25647</v>
      </c>
      <c r="B15186" t="s">
        <v>11355</v>
      </c>
      <c r="C15186" s="1" t="str">
        <f>HYPERLINK("http://www.genecards.org/cgi-bin/carddisp.pl?gene=WDR59","GeneCards")</f>
        <v>GeneCards</v>
      </c>
      <c r="D15186" s="1" t="str">
        <f>HYPERLINK("http://genome-euro.ucsc.edu/cgi-bin/hgTracks?position=218505_at","UCSC")</f>
        <v>UCSC</v>
      </c>
      <c r="E15186" s="1" t="str">
        <f>HYPERLINK("http://www.ncbi.nlm.nih.gov/gene/?term=WDR59","NCBI")</f>
        <v>NCBI</v>
      </c>
      <c r="F15186">
        <v>0.64</v>
      </c>
      <c r="G15186">
        <v>0.72</v>
      </c>
      <c r="H15186" s="1" t="str">
        <f>HYPERLINK("http://www.weizmann.ac.il/complex/compphys/software/geview/data/figures/218505_at.png","Figure")</f>
        <v>Figure</v>
      </c>
      <c r="I15186">
        <v>1.1399999999999999</v>
      </c>
      <c r="J15186">
        <v>0.84</v>
      </c>
      <c r="K15186">
        <v>1.21</v>
      </c>
      <c r="L15186">
        <v>0.62</v>
      </c>
      <c r="M15186">
        <v>1.06</v>
      </c>
      <c r="N15186">
        <v>0.96</v>
      </c>
    </row>
    <row r="15187" spans="1:14" x14ac:dyDescent="0.25">
      <c r="A15187" t="s">
        <v>25648</v>
      </c>
      <c r="B15187" t="s">
        <v>25649</v>
      </c>
      <c r="C15187" s="1" t="str">
        <f>HYPERLINK("http://www.genecards.org/cgi-bin/carddisp.pl?gene=RP11-159J2.1","GeneCards")</f>
        <v>GeneCards</v>
      </c>
      <c r="D15187" s="1" t="str">
        <f>HYPERLINK("http://genome-euro.ucsc.edu/cgi-bin/hgTracks?position=217332_at","UCSC")</f>
        <v>UCSC</v>
      </c>
      <c r="E15187" s="1" t="str">
        <f>HYPERLINK("http://www.ncbi.nlm.nih.gov/gene/?term=RP11-159J2.1","NCBI")</f>
        <v>NCBI</v>
      </c>
      <c r="F15187">
        <v>0.64</v>
      </c>
      <c r="G15187">
        <v>0.72</v>
      </c>
      <c r="H15187" s="1" t="str">
        <f>HYPERLINK("http://www.weizmann.ac.il/complex/compphys/software/geview/data/figures/217332_at.png","Figure")</f>
        <v>Figure</v>
      </c>
      <c r="I15187">
        <v>1.01</v>
      </c>
      <c r="J15187">
        <v>0.62</v>
      </c>
      <c r="K15187">
        <v>1</v>
      </c>
      <c r="L15187">
        <v>0.92</v>
      </c>
      <c r="M15187">
        <v>0.99199999999999999</v>
      </c>
      <c r="N15187">
        <v>0.8</v>
      </c>
    </row>
    <row r="15188" spans="1:14" x14ac:dyDescent="0.25">
      <c r="A15188" t="s">
        <v>25650</v>
      </c>
      <c r="B15188" t="s">
        <v>25651</v>
      </c>
      <c r="C15188" s="1" t="str">
        <f>HYPERLINK("http://www.genecards.org/cgi-bin/carddisp.pl?gene=SPRED2","GeneCards")</f>
        <v>GeneCards</v>
      </c>
      <c r="D15188" s="1" t="str">
        <f>HYPERLINK("http://genome-euro.ucsc.edu/cgi-bin/hgTracks?position=212458_at","UCSC")</f>
        <v>UCSC</v>
      </c>
      <c r="E15188" s="1" t="str">
        <f>HYPERLINK("http://www.ncbi.nlm.nih.gov/gene/?term=SPRED2","NCBI")</f>
        <v>NCBI</v>
      </c>
      <c r="F15188">
        <v>0.64</v>
      </c>
      <c r="G15188">
        <v>0.72</v>
      </c>
      <c r="H15188" s="1" t="str">
        <f>HYPERLINK("http://www.weizmann.ac.il/complex/compphys/software/geview/data/figures/212458_at.png","Figure")</f>
        <v>Figure</v>
      </c>
      <c r="I15188">
        <v>0.96099999999999997</v>
      </c>
      <c r="J15188">
        <v>0.67</v>
      </c>
      <c r="K15188">
        <v>0.96899999999999997</v>
      </c>
      <c r="L15188">
        <v>0.72</v>
      </c>
      <c r="M15188">
        <v>1.01</v>
      </c>
      <c r="N15188">
        <v>0.98</v>
      </c>
    </row>
    <row r="15189" spans="1:14" x14ac:dyDescent="0.25">
      <c r="A15189" t="s">
        <v>25652</v>
      </c>
      <c r="B15189" t="s">
        <v>20738</v>
      </c>
      <c r="C15189" s="1" t="str">
        <f>HYPERLINK("http://www.genecards.org/cgi-bin/carddisp.pl?gene=EZH1","GeneCards")</f>
        <v>GeneCards</v>
      </c>
      <c r="D15189" s="1" t="str">
        <f>HYPERLINK("http://genome-euro.ucsc.edu/cgi-bin/hgTracks?position=32259_at","UCSC")</f>
        <v>UCSC</v>
      </c>
      <c r="E15189" s="1" t="str">
        <f>HYPERLINK("http://www.ncbi.nlm.nih.gov/gene/?term=EZH1","NCBI")</f>
        <v>NCBI</v>
      </c>
      <c r="F15189">
        <v>0.64</v>
      </c>
      <c r="G15189">
        <v>0.72</v>
      </c>
      <c r="H15189" s="1" t="str">
        <f>HYPERLINK("http://www.weizmann.ac.il/complex/compphys/software/geview/data/figures/32259_at.png","Figure")</f>
        <v>Figure</v>
      </c>
      <c r="I15189">
        <v>0.98399999999999999</v>
      </c>
      <c r="J15189">
        <v>0.99</v>
      </c>
      <c r="K15189">
        <v>0.90300000000000002</v>
      </c>
      <c r="L15189">
        <v>0.66</v>
      </c>
      <c r="M15189">
        <v>0.91800000000000004</v>
      </c>
      <c r="N15189">
        <v>0.77</v>
      </c>
    </row>
    <row r="15190" spans="1:14" x14ac:dyDescent="0.25">
      <c r="A15190" t="s">
        <v>25653</v>
      </c>
      <c r="B15190" t="s">
        <v>19332</v>
      </c>
      <c r="C15190" s="1" t="str">
        <f>HYPERLINK("http://www.genecards.org/cgi-bin/carddisp.pl?gene=RPA1","GeneCards")</f>
        <v>GeneCards</v>
      </c>
      <c r="D15190" s="1" t="str">
        <f>HYPERLINK("http://genome-euro.ucsc.edu/cgi-bin/hgTracks?position=201529_s_at","UCSC")</f>
        <v>UCSC</v>
      </c>
      <c r="E15190" s="1" t="str">
        <f>HYPERLINK("http://www.ncbi.nlm.nih.gov/gene/?term=RPA1","NCBI")</f>
        <v>NCBI</v>
      </c>
      <c r="F15190">
        <v>0.64</v>
      </c>
      <c r="G15190">
        <v>0.72</v>
      </c>
      <c r="H15190" s="1" t="str">
        <f>HYPERLINK("http://www.weizmann.ac.il/complex/compphys/software/geview/data/figures/201529_s_at.png","Figure")</f>
        <v>Figure</v>
      </c>
      <c r="I15190">
        <v>1.07</v>
      </c>
      <c r="J15190">
        <v>0.97</v>
      </c>
      <c r="K15190">
        <v>1.24</v>
      </c>
      <c r="L15190">
        <v>0.64</v>
      </c>
      <c r="M15190">
        <v>1.1599999999999999</v>
      </c>
      <c r="N15190">
        <v>0.83</v>
      </c>
    </row>
    <row r="15191" spans="1:14" x14ac:dyDescent="0.25">
      <c r="A15191" t="s">
        <v>25654</v>
      </c>
      <c r="B15191" t="s">
        <v>17484</v>
      </c>
      <c r="C15191" s="1" t="str">
        <f>HYPERLINK("http://www.genecards.org/cgi-bin/carddisp.pl?gene=LAPTM4B","GeneCards")</f>
        <v>GeneCards</v>
      </c>
      <c r="D15191" s="1" t="str">
        <f>HYPERLINK("http://genome-euro.ucsc.edu/cgi-bin/hgTracks?position=208767_s_at","UCSC")</f>
        <v>UCSC</v>
      </c>
      <c r="E15191" s="1" t="str">
        <f>HYPERLINK("http://www.ncbi.nlm.nih.gov/gene/?term=LAPTM4B","NCBI")</f>
        <v>NCBI</v>
      </c>
      <c r="F15191">
        <v>0.64</v>
      </c>
      <c r="G15191">
        <v>0.72</v>
      </c>
      <c r="H15191" s="1" t="str">
        <f>HYPERLINK("http://www.weizmann.ac.il/complex/compphys/software/geview/data/figures/208767_s_at.png","Figure")</f>
        <v>Figure</v>
      </c>
      <c r="I15191">
        <v>1.07</v>
      </c>
      <c r="J15191">
        <v>0.63</v>
      </c>
      <c r="K15191">
        <v>1.02</v>
      </c>
      <c r="L15191">
        <v>0.94</v>
      </c>
      <c r="M15191">
        <v>0.95499999999999996</v>
      </c>
      <c r="N15191">
        <v>0.77</v>
      </c>
    </row>
    <row r="15192" spans="1:14" x14ac:dyDescent="0.25">
      <c r="A15192" t="s">
        <v>25655</v>
      </c>
      <c r="B15192" t="s">
        <v>25656</v>
      </c>
      <c r="C15192" s="1" t="str">
        <f>HYPERLINK("http://www.genecards.org/cgi-bin/carddisp.pl?gene=CAMK1D","GeneCards")</f>
        <v>GeneCards</v>
      </c>
      <c r="D15192" s="1" t="str">
        <f>HYPERLINK("http://genome-euro.ucsc.edu/cgi-bin/hgTracks?position=220246_at","UCSC")</f>
        <v>UCSC</v>
      </c>
      <c r="E15192" s="1" t="str">
        <f>HYPERLINK("http://www.ncbi.nlm.nih.gov/gene/?term=CAMK1D","NCBI")</f>
        <v>NCBI</v>
      </c>
      <c r="F15192">
        <v>0.64</v>
      </c>
      <c r="G15192">
        <v>0.72</v>
      </c>
      <c r="H15192" s="1" t="str">
        <f>HYPERLINK("http://www.weizmann.ac.il/complex/compphys/software/geview/data/figures/220246_at.png","Figure")</f>
        <v>Figure</v>
      </c>
      <c r="I15192">
        <v>0.99099999999999999</v>
      </c>
      <c r="J15192">
        <v>1</v>
      </c>
      <c r="K15192">
        <v>1.07</v>
      </c>
      <c r="L15192">
        <v>0.73</v>
      </c>
      <c r="M15192">
        <v>1.08</v>
      </c>
      <c r="N15192">
        <v>0.7</v>
      </c>
    </row>
    <row r="15193" spans="1:14" x14ac:dyDescent="0.25">
      <c r="A15193" t="s">
        <v>25657</v>
      </c>
      <c r="B15193" t="s">
        <v>6719</v>
      </c>
      <c r="C15193" s="1" t="str">
        <f>HYPERLINK("http://www.genecards.org/cgi-bin/carddisp.pl?gene=PIGO","GeneCards")</f>
        <v>GeneCards</v>
      </c>
      <c r="D15193" s="1" t="str">
        <f>HYPERLINK("http://genome-euro.ucsc.edu/cgi-bin/hgTracks?position=209998_at","UCSC")</f>
        <v>UCSC</v>
      </c>
      <c r="E15193" s="1" t="str">
        <f>HYPERLINK("http://www.ncbi.nlm.nih.gov/gene/?term=PIGO","NCBI")</f>
        <v>NCBI</v>
      </c>
      <c r="F15193">
        <v>0.64</v>
      </c>
      <c r="G15193">
        <v>0.72</v>
      </c>
      <c r="H15193" s="1" t="str">
        <f>HYPERLINK("http://www.weizmann.ac.il/complex/compphys/software/geview/data/figures/209998_at.png","Figure")</f>
        <v>Figure</v>
      </c>
      <c r="I15193">
        <v>0.92100000000000004</v>
      </c>
      <c r="J15193">
        <v>0.69</v>
      </c>
      <c r="K15193">
        <v>0.998</v>
      </c>
      <c r="L15193">
        <v>1</v>
      </c>
      <c r="M15193">
        <v>1.08</v>
      </c>
      <c r="N15193">
        <v>0.67</v>
      </c>
    </row>
    <row r="15194" spans="1:14" x14ac:dyDescent="0.25">
      <c r="A15194" t="s">
        <v>25658</v>
      </c>
      <c r="B15194" t="s">
        <v>8324</v>
      </c>
      <c r="C15194" s="1" t="str">
        <f>HYPERLINK("http://www.genecards.org/cgi-bin/carddisp.pl?gene=EDA","GeneCards")</f>
        <v>GeneCards</v>
      </c>
      <c r="D15194" s="1" t="str">
        <f>HYPERLINK("http://genome-euro.ucsc.edu/cgi-bin/hgTracks?position=211130_x_at","UCSC")</f>
        <v>UCSC</v>
      </c>
      <c r="E15194" s="1" t="str">
        <f>HYPERLINK("http://www.ncbi.nlm.nih.gov/gene/?term=EDA","NCBI")</f>
        <v>NCBI</v>
      </c>
      <c r="F15194">
        <v>0.64</v>
      </c>
      <c r="G15194">
        <v>0.72</v>
      </c>
      <c r="H15194" s="1" t="str">
        <f>HYPERLINK("http://www.weizmann.ac.il/complex/compphys/software/geview/data/figures/211130_x_at.png","Figure")</f>
        <v>Figure</v>
      </c>
      <c r="I15194">
        <v>0.98099999999999998</v>
      </c>
      <c r="J15194">
        <v>0.96</v>
      </c>
      <c r="K15194">
        <v>0.94599999999999995</v>
      </c>
      <c r="L15194">
        <v>0.64</v>
      </c>
      <c r="M15194">
        <v>0.96399999999999997</v>
      </c>
      <c r="N15194">
        <v>0.84</v>
      </c>
    </row>
    <row r="15195" spans="1:14" x14ac:dyDescent="0.25">
      <c r="A15195" t="s">
        <v>25659</v>
      </c>
      <c r="B15195" t="s">
        <v>14016</v>
      </c>
      <c r="C15195" s="1" t="str">
        <f>HYPERLINK("http://www.genecards.org/cgi-bin/carddisp.pl?gene=ATP2B2","GeneCards")</f>
        <v>GeneCards</v>
      </c>
      <c r="D15195" s="1" t="str">
        <f>HYPERLINK("http://genome-euro.ucsc.edu/cgi-bin/hgTracks?position=211586_s_at","UCSC")</f>
        <v>UCSC</v>
      </c>
      <c r="E15195" s="1" t="str">
        <f>HYPERLINK("http://www.ncbi.nlm.nih.gov/gene/?term=ATP2B2","NCBI")</f>
        <v>NCBI</v>
      </c>
      <c r="F15195">
        <v>0.65</v>
      </c>
      <c r="G15195">
        <v>0.72</v>
      </c>
      <c r="H15195" s="1" t="str">
        <f>HYPERLINK("http://www.weizmann.ac.il/complex/compphys/software/geview/data/figures/211586_s_at.png","Figure")</f>
        <v>Figure</v>
      </c>
      <c r="I15195">
        <v>1.02</v>
      </c>
      <c r="J15195">
        <v>0.99</v>
      </c>
      <c r="K15195">
        <v>0.92800000000000005</v>
      </c>
      <c r="L15195">
        <v>0.75</v>
      </c>
      <c r="M15195">
        <v>0.91100000000000003</v>
      </c>
      <c r="N15195">
        <v>0.68</v>
      </c>
    </row>
    <row r="15196" spans="1:14" x14ac:dyDescent="0.25">
      <c r="A15196" t="s">
        <v>25660</v>
      </c>
      <c r="B15196" t="s">
        <v>25661</v>
      </c>
      <c r="C15196" s="1" t="str">
        <f>HYPERLINK("http://www.genecards.org/cgi-bin/carddisp.pl?gene=PIN1L","GeneCards")</f>
        <v>GeneCards</v>
      </c>
      <c r="D15196" s="1" t="str">
        <f>HYPERLINK("http://genome-euro.ucsc.edu/cgi-bin/hgTracks?position=207582_at","UCSC")</f>
        <v>UCSC</v>
      </c>
      <c r="E15196" s="1" t="str">
        <f>HYPERLINK("http://www.ncbi.nlm.nih.gov/gene/?term=PIN1L","NCBI")</f>
        <v>NCBI</v>
      </c>
      <c r="F15196">
        <v>0.65</v>
      </c>
      <c r="G15196">
        <v>0.72</v>
      </c>
      <c r="H15196" s="1" t="str">
        <f>HYPERLINK("http://www.weizmann.ac.il/complex/compphys/software/geview/data/figures/207582_at.png","Figure")</f>
        <v>Figure</v>
      </c>
      <c r="I15196">
        <v>1.02</v>
      </c>
      <c r="J15196">
        <v>0.65</v>
      </c>
      <c r="K15196">
        <v>1</v>
      </c>
      <c r="L15196">
        <v>0.98</v>
      </c>
      <c r="M15196">
        <v>0.98299999999999998</v>
      </c>
      <c r="N15196">
        <v>0.72</v>
      </c>
    </row>
    <row r="15197" spans="1:14" x14ac:dyDescent="0.25">
      <c r="A15197" t="s">
        <v>25662</v>
      </c>
      <c r="B15197" t="s">
        <v>25663</v>
      </c>
      <c r="C15197" s="1" t="str">
        <f>HYPERLINK("http://www.genecards.org/cgi-bin/carddisp.pl?gene=BTG1","GeneCards")</f>
        <v>GeneCards</v>
      </c>
      <c r="D15197" s="1" t="str">
        <f>HYPERLINK("http://genome-euro.ucsc.edu/cgi-bin/hgTracks?position=200920_s_at","UCSC")</f>
        <v>UCSC</v>
      </c>
      <c r="E15197" s="1" t="str">
        <f>HYPERLINK("http://www.ncbi.nlm.nih.gov/gene/?term=BTG1","NCBI")</f>
        <v>NCBI</v>
      </c>
      <c r="F15197">
        <v>0.65</v>
      </c>
      <c r="G15197">
        <v>0.72</v>
      </c>
      <c r="H15197" s="1" t="str">
        <f>HYPERLINK("http://www.weizmann.ac.il/complex/compphys/software/geview/data/figures/200920_s_at.png","Figure")</f>
        <v>Figure</v>
      </c>
      <c r="I15197">
        <v>1.36</v>
      </c>
      <c r="J15197">
        <v>0.72</v>
      </c>
      <c r="K15197">
        <v>0.97899999999999998</v>
      </c>
      <c r="L15197">
        <v>1</v>
      </c>
      <c r="M15197">
        <v>0.72099999999999997</v>
      </c>
      <c r="N15197">
        <v>0.65</v>
      </c>
    </row>
    <row r="15198" spans="1:14" x14ac:dyDescent="0.25">
      <c r="A15198" t="s">
        <v>25664</v>
      </c>
      <c r="B15198" t="s">
        <v>25665</v>
      </c>
      <c r="C15198" s="1" t="str">
        <f>HYPERLINK("http://www.genecards.org/cgi-bin/carddisp.pl?gene=VSX1","GeneCards")</f>
        <v>GeneCards</v>
      </c>
      <c r="D15198" s="1" t="str">
        <f>HYPERLINK("http://genome-euro.ucsc.edu/cgi-bin/hgTracks?position=221124_s_at","UCSC")</f>
        <v>UCSC</v>
      </c>
      <c r="E15198" s="1" t="str">
        <f>HYPERLINK("http://www.ncbi.nlm.nih.gov/gene/?term=VSX1","NCBI")</f>
        <v>NCBI</v>
      </c>
      <c r="F15198">
        <v>0.65</v>
      </c>
      <c r="G15198">
        <v>0.72</v>
      </c>
      <c r="H15198" s="1" t="str">
        <f>HYPERLINK("http://www.weizmann.ac.il/complex/compphys/software/geview/data/figures/221124_s_at.png","Figure")</f>
        <v>Figure</v>
      </c>
      <c r="I15198">
        <v>1.01</v>
      </c>
      <c r="J15198">
        <v>0.65</v>
      </c>
      <c r="K15198">
        <v>1</v>
      </c>
      <c r="L15198">
        <v>0.98</v>
      </c>
      <c r="M15198">
        <v>0.99199999999999999</v>
      </c>
      <c r="N15198">
        <v>0.72</v>
      </c>
    </row>
    <row r="15199" spans="1:14" x14ac:dyDescent="0.25">
      <c r="A15199" t="s">
        <v>25666</v>
      </c>
      <c r="B15199" t="s">
        <v>25667</v>
      </c>
      <c r="C15199" s="1" t="str">
        <f>HYPERLINK("http://www.genecards.org/cgi-bin/carddisp.pl?gene=NT5DC2","GeneCards")</f>
        <v>GeneCards</v>
      </c>
      <c r="D15199" s="1" t="str">
        <f>HYPERLINK("http://genome-euro.ucsc.edu/cgi-bin/hgTracks?position=218051_s_at","UCSC")</f>
        <v>UCSC</v>
      </c>
      <c r="E15199" s="1" t="str">
        <f>HYPERLINK("http://www.ncbi.nlm.nih.gov/gene/?term=NT5DC2","NCBI")</f>
        <v>NCBI</v>
      </c>
      <c r="F15199">
        <v>0.65</v>
      </c>
      <c r="G15199">
        <v>0.72</v>
      </c>
      <c r="H15199" s="1" t="str">
        <f>HYPERLINK("http://www.weizmann.ac.il/complex/compphys/software/geview/data/figures/218051_s_at.png","Figure")</f>
        <v>Figure</v>
      </c>
      <c r="I15199">
        <v>0.88700000000000001</v>
      </c>
      <c r="J15199">
        <v>0.9</v>
      </c>
      <c r="K15199">
        <v>1.1299999999999999</v>
      </c>
      <c r="L15199">
        <v>0.87</v>
      </c>
      <c r="M15199">
        <v>1.27</v>
      </c>
      <c r="N15199">
        <v>0.63</v>
      </c>
    </row>
    <row r="15200" spans="1:14" x14ac:dyDescent="0.25">
      <c r="A15200" t="s">
        <v>25668</v>
      </c>
      <c r="B15200" t="s">
        <v>25669</v>
      </c>
      <c r="C15200" s="1" t="str">
        <f>HYPERLINK("http://www.genecards.org/cgi-bin/carddisp.pl?gene=BCL2L11","GeneCards")</f>
        <v>GeneCards</v>
      </c>
      <c r="D15200" s="1" t="str">
        <f>HYPERLINK("http://genome-euro.ucsc.edu/cgi-bin/hgTracks?position=222343_at","UCSC")</f>
        <v>UCSC</v>
      </c>
      <c r="E15200" s="1" t="str">
        <f>HYPERLINK("http://www.ncbi.nlm.nih.gov/gene/?term=BCL2L11","NCBI")</f>
        <v>NCBI</v>
      </c>
      <c r="F15200">
        <v>0.65</v>
      </c>
      <c r="G15200">
        <v>0.72</v>
      </c>
      <c r="H15200" s="1" t="str">
        <f>HYPERLINK("http://www.weizmann.ac.il/complex/compphys/software/geview/data/figures/222343_at.png","Figure")</f>
        <v>Figure</v>
      </c>
      <c r="I15200">
        <v>1.05</v>
      </c>
      <c r="J15200">
        <v>0.62</v>
      </c>
      <c r="K15200">
        <v>1.02</v>
      </c>
      <c r="L15200">
        <v>0.91</v>
      </c>
      <c r="M15200">
        <v>0.96799999999999997</v>
      </c>
      <c r="N15200">
        <v>0.81</v>
      </c>
    </row>
    <row r="15201" spans="1:14" x14ac:dyDescent="0.25">
      <c r="A15201" t="s">
        <v>25670</v>
      </c>
      <c r="B15201" t="s">
        <v>25671</v>
      </c>
      <c r="C15201" s="1" t="str">
        <f>HYPERLINK("http://www.genecards.org/cgi-bin/carddisp.pl?gene=TREM1","GeneCards")</f>
        <v>GeneCards</v>
      </c>
      <c r="D15201" s="1" t="str">
        <f>HYPERLINK("http://genome-euro.ucsc.edu/cgi-bin/hgTracks?position=219434_at","UCSC")</f>
        <v>UCSC</v>
      </c>
      <c r="E15201" s="1" t="str">
        <f>HYPERLINK("http://www.ncbi.nlm.nih.gov/gene/?term=TREM1","NCBI")</f>
        <v>NCBI</v>
      </c>
      <c r="F15201">
        <v>0.65</v>
      </c>
      <c r="G15201">
        <v>0.72</v>
      </c>
      <c r="H15201" s="1" t="str">
        <f>HYPERLINK("http://www.weizmann.ac.il/complex/compphys/software/geview/data/figures/219434_at.png","Figure")</f>
        <v>Figure</v>
      </c>
      <c r="I15201">
        <v>1.08</v>
      </c>
      <c r="J15201">
        <v>0.66</v>
      </c>
      <c r="K15201">
        <v>1.06</v>
      </c>
      <c r="L15201">
        <v>0.74</v>
      </c>
      <c r="M15201">
        <v>0.98</v>
      </c>
      <c r="N15201">
        <v>0.97</v>
      </c>
    </row>
    <row r="15202" spans="1:14" x14ac:dyDescent="0.25">
      <c r="A15202" t="s">
        <v>25672</v>
      </c>
      <c r="B15202" t="s">
        <v>25673</v>
      </c>
      <c r="C15202" s="1" t="str">
        <f>HYPERLINK("http://www.genecards.org/cgi-bin/carddisp.pl?gene=PAIP2B","GeneCards")</f>
        <v>GeneCards</v>
      </c>
      <c r="D15202" s="1" t="str">
        <f>HYPERLINK("http://genome-euro.ucsc.edu/cgi-bin/hgTracks?position=221868_at","UCSC")</f>
        <v>UCSC</v>
      </c>
      <c r="E15202" s="1" t="str">
        <f>HYPERLINK("http://www.ncbi.nlm.nih.gov/gene/?term=PAIP2B","NCBI")</f>
        <v>NCBI</v>
      </c>
      <c r="F15202">
        <v>0.65</v>
      </c>
      <c r="G15202">
        <v>0.72</v>
      </c>
      <c r="H15202" s="1" t="str">
        <f>HYPERLINK("http://www.weizmann.ac.il/complex/compphys/software/geview/data/figures/221868_at.png","Figure")</f>
        <v>Figure</v>
      </c>
      <c r="I15202">
        <v>1.07</v>
      </c>
      <c r="J15202">
        <v>0.64</v>
      </c>
      <c r="K15202">
        <v>1.05</v>
      </c>
      <c r="L15202">
        <v>0.78</v>
      </c>
      <c r="M15202">
        <v>0.97499999999999998</v>
      </c>
      <c r="N15202">
        <v>0.94</v>
      </c>
    </row>
    <row r="15203" spans="1:14" x14ac:dyDescent="0.25">
      <c r="A15203" t="s">
        <v>25674</v>
      </c>
      <c r="B15203" t="s">
        <v>2136</v>
      </c>
      <c r="C15203" s="1" t="str">
        <f>HYPERLINK("http://www.genecards.org/cgi-bin/carddisp.pl?gene=KIAA0652","GeneCards")</f>
        <v>GeneCards</v>
      </c>
      <c r="D15203" s="1" t="str">
        <f>HYPERLINK("http://genome-euro.ucsc.edu/cgi-bin/hgTracks?position=203364_s_at","UCSC")</f>
        <v>UCSC</v>
      </c>
      <c r="E15203" s="1" t="str">
        <f>HYPERLINK("http://www.ncbi.nlm.nih.gov/gene/?term=KIAA0652","NCBI")</f>
        <v>NCBI</v>
      </c>
      <c r="F15203">
        <v>0.65</v>
      </c>
      <c r="G15203">
        <v>0.72</v>
      </c>
      <c r="H15203" s="1" t="str">
        <f>HYPERLINK("http://www.weizmann.ac.il/complex/compphys/software/geview/data/figures/203364_s_at.png","Figure")</f>
        <v>Figure</v>
      </c>
      <c r="I15203">
        <v>1.01</v>
      </c>
      <c r="J15203">
        <v>1</v>
      </c>
      <c r="K15203">
        <v>0.90100000000000002</v>
      </c>
      <c r="L15203">
        <v>0.72</v>
      </c>
      <c r="M15203">
        <v>0.89</v>
      </c>
      <c r="N15203">
        <v>0.7</v>
      </c>
    </row>
    <row r="15204" spans="1:14" x14ac:dyDescent="0.25">
      <c r="A15204" t="s">
        <v>25675</v>
      </c>
      <c r="B15204" t="s">
        <v>8786</v>
      </c>
      <c r="C15204" s="1" t="str">
        <f>HYPERLINK("http://www.genecards.org/cgi-bin/carddisp.pl?gene=MAPK8IP3","GeneCards")</f>
        <v>GeneCards</v>
      </c>
      <c r="D15204" s="1" t="str">
        <f>HYPERLINK("http://genome-euro.ucsc.edu/cgi-bin/hgTracks?position=216139_s_at","UCSC")</f>
        <v>UCSC</v>
      </c>
      <c r="E15204" s="1" t="str">
        <f>HYPERLINK("http://www.ncbi.nlm.nih.gov/gene/?term=MAPK8IP3","NCBI")</f>
        <v>NCBI</v>
      </c>
      <c r="F15204">
        <v>0.65</v>
      </c>
      <c r="G15204">
        <v>0.72</v>
      </c>
      <c r="H15204" s="1" t="str">
        <f>HYPERLINK("http://www.weizmann.ac.il/complex/compphys/software/geview/data/figures/216139_s_at.png","Figure")</f>
        <v>Figure</v>
      </c>
      <c r="I15204">
        <v>0.98199999999999998</v>
      </c>
      <c r="J15204">
        <v>0.63</v>
      </c>
      <c r="K15204">
        <v>0.995</v>
      </c>
      <c r="L15204">
        <v>0.95</v>
      </c>
      <c r="M15204">
        <v>1.01</v>
      </c>
      <c r="N15204">
        <v>0.76</v>
      </c>
    </row>
    <row r="15205" spans="1:14" x14ac:dyDescent="0.25">
      <c r="A15205" t="s">
        <v>25676</v>
      </c>
      <c r="B15205" t="s">
        <v>25677</v>
      </c>
      <c r="C15205" s="1" t="str">
        <f>HYPERLINK("http://www.genecards.org/cgi-bin/carddisp.pl?gene=SPATS2","GeneCards")</f>
        <v>GeneCards</v>
      </c>
      <c r="D15205" s="1" t="str">
        <f>HYPERLINK("http://genome-euro.ucsc.edu/cgi-bin/hgTracks?position=218324_s_at","UCSC")</f>
        <v>UCSC</v>
      </c>
      <c r="E15205" s="1" t="str">
        <f>HYPERLINK("http://www.ncbi.nlm.nih.gov/gene/?term=SPATS2","NCBI")</f>
        <v>NCBI</v>
      </c>
      <c r="F15205">
        <v>0.65</v>
      </c>
      <c r="G15205">
        <v>0.72</v>
      </c>
      <c r="H15205" s="1" t="str">
        <f>HYPERLINK("http://www.weizmann.ac.il/complex/compphys/software/geview/data/figures/218324_s_at.png","Figure")</f>
        <v>Figure</v>
      </c>
      <c r="I15205">
        <v>1.1100000000000001</v>
      </c>
      <c r="J15205">
        <v>0.64</v>
      </c>
      <c r="K15205">
        <v>1.07</v>
      </c>
      <c r="L15205">
        <v>0.78</v>
      </c>
      <c r="M15205">
        <v>0.96399999999999997</v>
      </c>
      <c r="N15205">
        <v>0.94</v>
      </c>
    </row>
    <row r="15206" spans="1:14" x14ac:dyDescent="0.25">
      <c r="A15206" t="s">
        <v>25678</v>
      </c>
      <c r="B15206" t="s">
        <v>25679</v>
      </c>
      <c r="C15206" s="1" t="str">
        <f>HYPERLINK("http://www.genecards.org/cgi-bin/carddisp.pl?gene=PARP12","GeneCards")</f>
        <v>GeneCards</v>
      </c>
      <c r="D15206" s="1" t="str">
        <f>HYPERLINK("http://genome-euro.ucsc.edu/cgi-bin/hgTracks?position=218543_s_at","UCSC")</f>
        <v>UCSC</v>
      </c>
      <c r="E15206" s="1" t="str">
        <f>HYPERLINK("http://www.ncbi.nlm.nih.gov/gene/?term=PARP12","NCBI")</f>
        <v>NCBI</v>
      </c>
      <c r="F15206">
        <v>0.65</v>
      </c>
      <c r="G15206">
        <v>0.72</v>
      </c>
      <c r="H15206" s="1" t="str">
        <f>HYPERLINK("http://www.weizmann.ac.il/complex/compphys/software/geview/data/figures/218543_s_at.png","Figure")</f>
        <v>Figure</v>
      </c>
      <c r="I15206">
        <v>1.17</v>
      </c>
      <c r="J15206">
        <v>0.74</v>
      </c>
      <c r="K15206">
        <v>0.97499999999999998</v>
      </c>
      <c r="L15206">
        <v>0.99</v>
      </c>
      <c r="M15206">
        <v>0.83299999999999996</v>
      </c>
      <c r="N15206">
        <v>0.64</v>
      </c>
    </row>
    <row r="15207" spans="1:14" x14ac:dyDescent="0.25">
      <c r="A15207" t="s">
        <v>25680</v>
      </c>
      <c r="B15207" t="s">
        <v>25681</v>
      </c>
      <c r="C15207" s="1" t="str">
        <f>HYPERLINK("http://www.genecards.org/cgi-bin/carddisp.pl?gene=NARS2","GeneCards")</f>
        <v>GeneCards</v>
      </c>
      <c r="D15207" s="1" t="str">
        <f>HYPERLINK("http://genome-euro.ucsc.edu/cgi-bin/hgTracks?position=219217_at","UCSC")</f>
        <v>UCSC</v>
      </c>
      <c r="E15207" s="1" t="str">
        <f>HYPERLINK("http://www.ncbi.nlm.nih.gov/gene/?term=NARS2","NCBI")</f>
        <v>NCBI</v>
      </c>
      <c r="F15207">
        <v>0.65</v>
      </c>
      <c r="G15207">
        <v>0.72</v>
      </c>
      <c r="H15207" s="1" t="str">
        <f>HYPERLINK("http://www.weizmann.ac.il/complex/compphys/software/geview/data/figures/219217_at.png","Figure")</f>
        <v>Figure</v>
      </c>
      <c r="I15207">
        <v>0.877</v>
      </c>
      <c r="J15207">
        <v>0.77</v>
      </c>
      <c r="K15207">
        <v>1.03</v>
      </c>
      <c r="L15207">
        <v>0.98</v>
      </c>
      <c r="M15207">
        <v>1.18</v>
      </c>
      <c r="N15207">
        <v>0.63</v>
      </c>
    </row>
    <row r="15208" spans="1:14" x14ac:dyDescent="0.25">
      <c r="A15208" t="s">
        <v>25682</v>
      </c>
      <c r="B15208" t="s">
        <v>25683</v>
      </c>
      <c r="C15208" s="1" t="str">
        <f>HYPERLINK("http://www.genecards.org/cgi-bin/carddisp.pl?gene=TIAM2","GeneCards")</f>
        <v>GeneCards</v>
      </c>
      <c r="D15208" s="1" t="str">
        <f>HYPERLINK("http://genome-euro.ucsc.edu/cgi-bin/hgTracks?position=219950_s_at","UCSC")</f>
        <v>UCSC</v>
      </c>
      <c r="E15208" s="1" t="str">
        <f>HYPERLINK("http://www.ncbi.nlm.nih.gov/gene/?term=TIAM2","NCBI")</f>
        <v>NCBI</v>
      </c>
      <c r="F15208">
        <v>0.65</v>
      </c>
      <c r="G15208">
        <v>0.72</v>
      </c>
      <c r="H15208" s="1" t="str">
        <f>HYPERLINK("http://www.weizmann.ac.il/complex/compphys/software/geview/data/figures/219950_s_at.png","Figure")</f>
        <v>Figure</v>
      </c>
      <c r="I15208">
        <v>1.05</v>
      </c>
      <c r="J15208">
        <v>0.76</v>
      </c>
      <c r="K15208">
        <v>1.05</v>
      </c>
      <c r="L15208">
        <v>0.65</v>
      </c>
      <c r="M15208">
        <v>1</v>
      </c>
      <c r="N15208">
        <v>1</v>
      </c>
    </row>
    <row r="15209" spans="1:14" x14ac:dyDescent="0.25">
      <c r="A15209" t="s">
        <v>25684</v>
      </c>
      <c r="B15209" t="s">
        <v>16774</v>
      </c>
      <c r="C15209" s="1" t="str">
        <f>HYPERLINK("http://www.genecards.org/cgi-bin/carddisp.pl?gene=BUD31","GeneCards")</f>
        <v>GeneCards</v>
      </c>
      <c r="D15209" s="1" t="str">
        <f>HYPERLINK("http://genome-euro.ucsc.edu/cgi-bin/hgTracks?position=205690_s_at","UCSC")</f>
        <v>UCSC</v>
      </c>
      <c r="E15209" s="1" t="str">
        <f>HYPERLINK("http://www.ncbi.nlm.nih.gov/gene/?term=BUD31","NCBI")</f>
        <v>NCBI</v>
      </c>
      <c r="F15209">
        <v>0.65</v>
      </c>
      <c r="G15209">
        <v>0.72</v>
      </c>
      <c r="H15209" s="1" t="str">
        <f>HYPERLINK("http://www.weizmann.ac.il/complex/compphys/software/geview/data/figures/205690_s_at.png","Figure")</f>
        <v>Figure</v>
      </c>
      <c r="I15209">
        <v>1.22</v>
      </c>
      <c r="J15209">
        <v>0.71</v>
      </c>
      <c r="K15209">
        <v>0.99299999999999999</v>
      </c>
      <c r="L15209">
        <v>1</v>
      </c>
      <c r="M15209">
        <v>0.81299999999999994</v>
      </c>
      <c r="N15209">
        <v>0.66</v>
      </c>
    </row>
    <row r="15210" spans="1:14" x14ac:dyDescent="0.25">
      <c r="A15210" t="s">
        <v>25685</v>
      </c>
      <c r="B15210" t="s">
        <v>25686</v>
      </c>
      <c r="C15210" s="1" t="str">
        <f>HYPERLINK("http://www.genecards.org/cgi-bin/carddisp.pl?gene=C11orf17","GeneCards")</f>
        <v>GeneCards</v>
      </c>
      <c r="D15210" s="1" t="str">
        <f>HYPERLINK("http://genome-euro.ucsc.edu/cgi-bin/hgTracks?position=219953_s_at","UCSC")</f>
        <v>UCSC</v>
      </c>
      <c r="E15210" s="1" t="str">
        <f>HYPERLINK("http://www.ncbi.nlm.nih.gov/gene/?term=C11orf17","NCBI")</f>
        <v>NCBI</v>
      </c>
      <c r="F15210">
        <v>0.65</v>
      </c>
      <c r="G15210">
        <v>0.72</v>
      </c>
      <c r="H15210" s="1" t="str">
        <f>HYPERLINK("http://www.weizmann.ac.il/complex/compphys/software/geview/data/figures/219953_s_at.png","Figure")</f>
        <v>Figure</v>
      </c>
      <c r="I15210">
        <v>1.08</v>
      </c>
      <c r="J15210">
        <v>0.65</v>
      </c>
      <c r="K15210">
        <v>1.06</v>
      </c>
      <c r="L15210">
        <v>0.76</v>
      </c>
      <c r="M15210">
        <v>0.97599999999999998</v>
      </c>
      <c r="N15210">
        <v>0.96</v>
      </c>
    </row>
    <row r="15211" spans="1:14" x14ac:dyDescent="0.25">
      <c r="A15211" t="s">
        <v>25687</v>
      </c>
      <c r="B15211" t="s">
        <v>3437</v>
      </c>
      <c r="C15211" s="1" t="str">
        <f>HYPERLINK("http://www.genecards.org/cgi-bin/carddisp.pl?gene=IGHG1","GeneCards")</f>
        <v>GeneCards</v>
      </c>
      <c r="D15211" s="1" t="str">
        <f>HYPERLINK("http://genome-euro.ucsc.edu/cgi-bin/hgTracks?position=216892_at","UCSC")</f>
        <v>UCSC</v>
      </c>
      <c r="E15211" s="1" t="str">
        <f>HYPERLINK("http://www.ncbi.nlm.nih.gov/gene/?term=IGHG1","NCBI")</f>
        <v>NCBI</v>
      </c>
      <c r="F15211">
        <v>0.65</v>
      </c>
      <c r="G15211">
        <v>0.72</v>
      </c>
      <c r="H15211" s="1" t="str">
        <f>HYPERLINK("http://www.weizmann.ac.il/complex/compphys/software/geview/data/figures/216892_at.png","Figure")</f>
        <v>Figure</v>
      </c>
      <c r="I15211">
        <v>1.05</v>
      </c>
      <c r="J15211">
        <v>0.84</v>
      </c>
      <c r="K15211">
        <v>1.07</v>
      </c>
      <c r="L15211">
        <v>0.62</v>
      </c>
      <c r="M15211">
        <v>1.02</v>
      </c>
      <c r="N15211">
        <v>0.96</v>
      </c>
    </row>
    <row r="15212" spans="1:14" x14ac:dyDescent="0.25">
      <c r="A15212" t="s">
        <v>25688</v>
      </c>
      <c r="B15212" t="s">
        <v>23695</v>
      </c>
      <c r="C15212" s="1" t="str">
        <f>HYPERLINK("http://www.genecards.org/cgi-bin/carddisp.pl?gene=DHX30","GeneCards")</f>
        <v>GeneCards</v>
      </c>
      <c r="D15212" s="1" t="str">
        <f>HYPERLINK("http://genome-euro.ucsc.edu/cgi-bin/hgTracks?position=204355_at","UCSC")</f>
        <v>UCSC</v>
      </c>
      <c r="E15212" s="1" t="str">
        <f>HYPERLINK("http://www.ncbi.nlm.nih.gov/gene/?term=DHX30","NCBI")</f>
        <v>NCBI</v>
      </c>
      <c r="F15212">
        <v>0.65</v>
      </c>
      <c r="G15212">
        <v>0.72</v>
      </c>
      <c r="H15212" s="1" t="str">
        <f>HYPERLINK("http://www.weizmann.ac.il/complex/compphys/software/geview/data/figures/204355_at.png","Figure")</f>
        <v>Figure</v>
      </c>
      <c r="I15212">
        <v>1.23</v>
      </c>
      <c r="J15212">
        <v>0.7</v>
      </c>
      <c r="K15212">
        <v>1.2</v>
      </c>
      <c r="L15212">
        <v>0.69</v>
      </c>
      <c r="M15212">
        <v>0.97399999999999998</v>
      </c>
      <c r="N15212">
        <v>0.99</v>
      </c>
    </row>
    <row r="15213" spans="1:14" x14ac:dyDescent="0.25">
      <c r="A15213" t="s">
        <v>25689</v>
      </c>
      <c r="B15213" t="s">
        <v>23080</v>
      </c>
      <c r="C15213" s="1" t="str">
        <f>HYPERLINK("http://www.genecards.org/cgi-bin/carddisp.pl?gene=RER1","GeneCards")</f>
        <v>GeneCards</v>
      </c>
      <c r="D15213" s="1" t="str">
        <f>HYPERLINK("http://genome-euro.ucsc.edu/cgi-bin/hgTracks?position=202297_s_at","UCSC")</f>
        <v>UCSC</v>
      </c>
      <c r="E15213" s="1" t="str">
        <f>HYPERLINK("http://www.ncbi.nlm.nih.gov/gene/?term=RER1","NCBI")</f>
        <v>NCBI</v>
      </c>
      <c r="F15213">
        <v>0.65</v>
      </c>
      <c r="G15213">
        <v>0.72</v>
      </c>
      <c r="H15213" s="1" t="str">
        <f>HYPERLINK("http://www.weizmann.ac.il/complex/compphys/software/geview/data/figures/202297_s_at.png","Figure")</f>
        <v>Figure</v>
      </c>
      <c r="I15213">
        <v>1.04</v>
      </c>
      <c r="J15213">
        <v>0.96</v>
      </c>
      <c r="K15213">
        <v>1.1299999999999999</v>
      </c>
      <c r="L15213">
        <v>0.63</v>
      </c>
      <c r="M15213">
        <v>1.08</v>
      </c>
      <c r="N15213">
        <v>0.85</v>
      </c>
    </row>
    <row r="15214" spans="1:14" x14ac:dyDescent="0.25">
      <c r="A15214" t="s">
        <v>25690</v>
      </c>
      <c r="B15214" t="s">
        <v>12570</v>
      </c>
      <c r="C15214" s="1" t="str">
        <f>HYPERLINK("http://www.genecards.org/cgi-bin/carddisp.pl?gene=FDX1","GeneCards")</f>
        <v>GeneCards</v>
      </c>
      <c r="D15214" s="1" t="str">
        <f>HYPERLINK("http://genome-euro.ucsc.edu/cgi-bin/hgTracks?position=203646_at","UCSC")</f>
        <v>UCSC</v>
      </c>
      <c r="E15214" s="1" t="str">
        <f>HYPERLINK("http://www.ncbi.nlm.nih.gov/gene/?term=FDX1","NCBI")</f>
        <v>NCBI</v>
      </c>
      <c r="F15214">
        <v>0.65</v>
      </c>
      <c r="G15214">
        <v>0.72</v>
      </c>
      <c r="H15214" s="1" t="str">
        <f>HYPERLINK("http://www.weizmann.ac.il/complex/compphys/software/geview/data/figures/203646_at.png","Figure")</f>
        <v>Figure</v>
      </c>
      <c r="I15214">
        <v>0.93200000000000005</v>
      </c>
      <c r="J15214">
        <v>0.93</v>
      </c>
      <c r="K15214">
        <v>1.1000000000000001</v>
      </c>
      <c r="L15214">
        <v>0.84</v>
      </c>
      <c r="M15214">
        <v>1.18</v>
      </c>
      <c r="N15214">
        <v>0.64</v>
      </c>
    </row>
    <row r="15215" spans="1:14" x14ac:dyDescent="0.25">
      <c r="A15215" t="s">
        <v>25691</v>
      </c>
      <c r="B15215" t="s">
        <v>25692</v>
      </c>
      <c r="C15215" s="1" t="str">
        <f>HYPERLINK("http://www.genecards.org/cgi-bin/carddisp.pl?gene=KIAA0319","GeneCards")</f>
        <v>GeneCards</v>
      </c>
      <c r="D15215" s="1" t="str">
        <f>HYPERLINK("http://genome-euro.ucsc.edu/cgi-bin/hgTracks?position=206017_at","UCSC")</f>
        <v>UCSC</v>
      </c>
      <c r="E15215" s="1" t="str">
        <f>HYPERLINK("http://www.ncbi.nlm.nih.gov/gene/?term=KIAA0319","NCBI")</f>
        <v>NCBI</v>
      </c>
      <c r="F15215">
        <v>0.65</v>
      </c>
      <c r="G15215">
        <v>0.72</v>
      </c>
      <c r="H15215" s="1" t="str">
        <f>HYPERLINK("http://www.weizmann.ac.il/complex/compphys/software/geview/data/figures/206017_at.png","Figure")</f>
        <v>Figure</v>
      </c>
      <c r="I15215">
        <v>1.02</v>
      </c>
      <c r="J15215">
        <v>0.64</v>
      </c>
      <c r="K15215">
        <v>1</v>
      </c>
      <c r="L15215">
        <v>0.97</v>
      </c>
      <c r="M15215">
        <v>0.98399999999999999</v>
      </c>
      <c r="N15215">
        <v>0.74</v>
      </c>
    </row>
    <row r="15216" spans="1:14" x14ac:dyDescent="0.25">
      <c r="A15216" t="s">
        <v>25693</v>
      </c>
      <c r="B15216" t="s">
        <v>25694</v>
      </c>
      <c r="C15216" s="1" t="str">
        <f>HYPERLINK("http://www.genecards.org/cgi-bin/carddisp.pl?gene=UFD1L","GeneCards")</f>
        <v>GeneCards</v>
      </c>
      <c r="D15216" s="1" t="str">
        <f>HYPERLINK("http://genome-euro.ucsc.edu/cgi-bin/hgTracks?position=209103_s_at","UCSC")</f>
        <v>UCSC</v>
      </c>
      <c r="E15216" s="1" t="str">
        <f>HYPERLINK("http://www.ncbi.nlm.nih.gov/gene/?term=UFD1L","NCBI")</f>
        <v>NCBI</v>
      </c>
      <c r="F15216">
        <v>0.65</v>
      </c>
      <c r="G15216">
        <v>0.72</v>
      </c>
      <c r="H15216" s="1" t="str">
        <f>HYPERLINK("http://www.weizmann.ac.il/complex/compphys/software/geview/data/figures/209103_s_at.png","Figure")</f>
        <v>Figure</v>
      </c>
      <c r="I15216">
        <v>0.96199999999999997</v>
      </c>
      <c r="J15216">
        <v>0.97</v>
      </c>
      <c r="K15216">
        <v>1.1000000000000001</v>
      </c>
      <c r="L15216">
        <v>0.79</v>
      </c>
      <c r="M15216">
        <v>1.1399999999999999</v>
      </c>
      <c r="N15216">
        <v>0.66</v>
      </c>
    </row>
    <row r="15217" spans="1:14" x14ac:dyDescent="0.25">
      <c r="A15217" t="s">
        <v>25695</v>
      </c>
      <c r="B15217" t="s">
        <v>6284</v>
      </c>
      <c r="C15217" s="1" t="str">
        <f>HYPERLINK("http://www.genecards.org/cgi-bin/carddisp.pl?gene=DBP","GeneCards")</f>
        <v>GeneCards</v>
      </c>
      <c r="D15217" s="1" t="str">
        <f>HYPERLINK("http://genome-euro.ucsc.edu/cgi-bin/hgTracks?position=209782_s_at","UCSC")</f>
        <v>UCSC</v>
      </c>
      <c r="E15217" s="1" t="str">
        <f>HYPERLINK("http://www.ncbi.nlm.nih.gov/gene/?term=DBP","NCBI")</f>
        <v>NCBI</v>
      </c>
      <c r="F15217">
        <v>0.65</v>
      </c>
      <c r="G15217">
        <v>0.72</v>
      </c>
      <c r="H15217" s="1" t="str">
        <f>HYPERLINK("http://www.weizmann.ac.il/complex/compphys/software/geview/data/figures/209782_s_at.png","Figure")</f>
        <v>Figure</v>
      </c>
      <c r="I15217">
        <v>0.99099999999999999</v>
      </c>
      <c r="J15217">
        <v>1</v>
      </c>
      <c r="K15217">
        <v>1.07</v>
      </c>
      <c r="L15217">
        <v>0.73</v>
      </c>
      <c r="M15217">
        <v>1.08</v>
      </c>
      <c r="N15217">
        <v>0.7</v>
      </c>
    </row>
    <row r="15218" spans="1:14" x14ac:dyDescent="0.25">
      <c r="A15218" t="s">
        <v>25696</v>
      </c>
      <c r="B15218" t="s">
        <v>25697</v>
      </c>
      <c r="C15218" s="1" t="str">
        <f>HYPERLINK("http://www.genecards.org/cgi-bin/carddisp.pl?gene=PI4KA /// TOP3B","GeneCards")</f>
        <v>GeneCards</v>
      </c>
      <c r="D15218" s="1" t="str">
        <f>HYPERLINK("http://genome-euro.ucsc.edu/cgi-bin/hgTracks?position=213660_s_at","UCSC")</f>
        <v>UCSC</v>
      </c>
      <c r="E15218" s="1" t="str">
        <f>HYPERLINK("http://www.ncbi.nlm.nih.gov/gene/?term=PI4KA /// TOP3B","NCBI")</f>
        <v>NCBI</v>
      </c>
      <c r="F15218">
        <v>0.65</v>
      </c>
      <c r="G15218">
        <v>0.72</v>
      </c>
      <c r="H15218" s="1" t="str">
        <f>HYPERLINK("http://www.weizmann.ac.il/complex/compphys/software/geview/data/figures/213660_s_at.png","Figure")</f>
        <v>Figure</v>
      </c>
      <c r="I15218">
        <v>0.90400000000000003</v>
      </c>
      <c r="J15218">
        <v>0.77</v>
      </c>
      <c r="K15218">
        <v>1.02</v>
      </c>
      <c r="L15218">
        <v>0.98</v>
      </c>
      <c r="M15218">
        <v>1.1299999999999999</v>
      </c>
      <c r="N15218">
        <v>0.63</v>
      </c>
    </row>
    <row r="15219" spans="1:14" x14ac:dyDescent="0.25">
      <c r="A15219" t="s">
        <v>25698</v>
      </c>
      <c r="B15219" t="s">
        <v>25699</v>
      </c>
      <c r="C15219" s="1" t="str">
        <f>HYPERLINK("http://www.genecards.org/cgi-bin/carddisp.pl?gene=LASS4","GeneCards")</f>
        <v>GeneCards</v>
      </c>
      <c r="D15219" s="1" t="str">
        <f>HYPERLINK("http://genome-euro.ucsc.edu/cgi-bin/hgTracks?position=218922_s_at","UCSC")</f>
        <v>UCSC</v>
      </c>
      <c r="E15219" s="1" t="str">
        <f>HYPERLINK("http://www.ncbi.nlm.nih.gov/gene/?term=LASS4","NCBI")</f>
        <v>NCBI</v>
      </c>
      <c r="F15219">
        <v>0.65</v>
      </c>
      <c r="G15219">
        <v>0.72</v>
      </c>
      <c r="H15219" s="1" t="str">
        <f>HYPERLINK("http://www.weizmann.ac.il/complex/compphys/software/geview/data/figures/218922_s_at.png","Figure")</f>
        <v>Figure</v>
      </c>
      <c r="I15219">
        <v>1.06</v>
      </c>
      <c r="J15219">
        <v>0.79</v>
      </c>
      <c r="K15219">
        <v>1.07</v>
      </c>
      <c r="L15219">
        <v>0.64</v>
      </c>
      <c r="M15219">
        <v>1.01</v>
      </c>
      <c r="N15219">
        <v>0.99</v>
      </c>
    </row>
    <row r="15220" spans="1:14" x14ac:dyDescent="0.25">
      <c r="A15220" t="s">
        <v>25700</v>
      </c>
      <c r="B15220" t="s">
        <v>25701</v>
      </c>
      <c r="C15220" s="1" t="str">
        <f>HYPERLINK("http://www.genecards.org/cgi-bin/carddisp.pl?gene=CIT","GeneCards")</f>
        <v>GeneCards</v>
      </c>
      <c r="D15220" s="1" t="str">
        <f>HYPERLINK("http://genome-euro.ucsc.edu/cgi-bin/hgTracks?position=212801_at","UCSC")</f>
        <v>UCSC</v>
      </c>
      <c r="E15220" s="1" t="str">
        <f>HYPERLINK("http://www.ncbi.nlm.nih.gov/gene/?term=CIT","NCBI")</f>
        <v>NCBI</v>
      </c>
      <c r="F15220">
        <v>0.65</v>
      </c>
      <c r="G15220">
        <v>0.72</v>
      </c>
      <c r="H15220" s="1" t="str">
        <f>HYPERLINK("http://www.weizmann.ac.il/complex/compphys/software/geview/data/figures/212801_at.png","Figure")</f>
        <v>Figure</v>
      </c>
      <c r="I15220">
        <v>1.1000000000000001</v>
      </c>
      <c r="J15220">
        <v>0.71</v>
      </c>
      <c r="K15220">
        <v>1.0900000000000001</v>
      </c>
      <c r="L15220">
        <v>0.69</v>
      </c>
      <c r="M15220">
        <v>0.99199999999999999</v>
      </c>
      <c r="N15220">
        <v>1</v>
      </c>
    </row>
    <row r="15221" spans="1:14" x14ac:dyDescent="0.25">
      <c r="A15221" t="s">
        <v>25702</v>
      </c>
      <c r="B15221" t="s">
        <v>6630</v>
      </c>
      <c r="C15221" s="1" t="str">
        <f>HYPERLINK("http://www.genecards.org/cgi-bin/carddisp.pl?gene=PLK3","GeneCards")</f>
        <v>GeneCards</v>
      </c>
      <c r="D15221" s="1" t="str">
        <f>HYPERLINK("http://genome-euro.ucsc.edu/cgi-bin/hgTracks?position=215462_at","UCSC")</f>
        <v>UCSC</v>
      </c>
      <c r="E15221" s="1" t="str">
        <f>HYPERLINK("http://www.ncbi.nlm.nih.gov/gene/?term=PLK3","NCBI")</f>
        <v>NCBI</v>
      </c>
      <c r="F15221">
        <v>0.65</v>
      </c>
      <c r="G15221">
        <v>0.72</v>
      </c>
      <c r="H15221" s="1" t="str">
        <f>HYPERLINK("http://www.weizmann.ac.il/complex/compphys/software/geview/data/figures/215462_at.png","Figure")</f>
        <v>Figure</v>
      </c>
      <c r="I15221">
        <v>0.96699999999999997</v>
      </c>
      <c r="J15221">
        <v>0.98</v>
      </c>
      <c r="K15221">
        <v>0.86899999999999999</v>
      </c>
      <c r="L15221">
        <v>0.65</v>
      </c>
      <c r="M15221">
        <v>0.89800000000000002</v>
      </c>
      <c r="N15221">
        <v>0.8</v>
      </c>
    </row>
    <row r="15222" spans="1:14" x14ac:dyDescent="0.25">
      <c r="A15222" t="s">
        <v>25703</v>
      </c>
      <c r="B15222" t="s">
        <v>23154</v>
      </c>
      <c r="C15222" s="1" t="str">
        <f>HYPERLINK("http://www.genecards.org/cgi-bin/carddisp.pl?gene=SFRS14","GeneCards")</f>
        <v>GeneCards</v>
      </c>
      <c r="D15222" s="1" t="str">
        <f>HYPERLINK("http://genome-euro.ucsc.edu/cgi-bin/hgTracks?position=213505_s_at","UCSC")</f>
        <v>UCSC</v>
      </c>
      <c r="E15222" s="1" t="str">
        <f>HYPERLINK("http://www.ncbi.nlm.nih.gov/gene/?term=SFRS14","NCBI")</f>
        <v>NCBI</v>
      </c>
      <c r="F15222">
        <v>0.65</v>
      </c>
      <c r="G15222">
        <v>0.72</v>
      </c>
      <c r="H15222" s="1" t="str">
        <f>HYPERLINK("http://www.weizmann.ac.il/complex/compphys/software/geview/data/figures/213505_s_at.png","Figure")</f>
        <v>Figure</v>
      </c>
      <c r="I15222">
        <v>0.89500000000000002</v>
      </c>
      <c r="J15222">
        <v>0.87</v>
      </c>
      <c r="K15222">
        <v>0.83399999999999996</v>
      </c>
      <c r="L15222">
        <v>0.62</v>
      </c>
      <c r="M15222">
        <v>0.93200000000000005</v>
      </c>
      <c r="N15222">
        <v>0.94</v>
      </c>
    </row>
    <row r="15223" spans="1:14" x14ac:dyDescent="0.25">
      <c r="A15223" t="s">
        <v>25704</v>
      </c>
      <c r="B15223" t="s">
        <v>25705</v>
      </c>
      <c r="C15223" s="1" t="str">
        <f>HYPERLINK("http://www.genecards.org/cgi-bin/carddisp.pl?gene=WDR70","GeneCards")</f>
        <v>GeneCards</v>
      </c>
      <c r="D15223" s="1" t="str">
        <f>HYPERLINK("http://genome-euro.ucsc.edu/cgi-bin/hgTracks?position=219193_at","UCSC")</f>
        <v>UCSC</v>
      </c>
      <c r="E15223" s="1" t="str">
        <f>HYPERLINK("http://www.ncbi.nlm.nih.gov/gene/?term=WDR70","NCBI")</f>
        <v>NCBI</v>
      </c>
      <c r="F15223">
        <v>0.65</v>
      </c>
      <c r="G15223">
        <v>0.72</v>
      </c>
      <c r="H15223" s="1" t="str">
        <f>HYPERLINK("http://www.weizmann.ac.il/complex/compphys/software/geview/data/figures/219193_at.png","Figure")</f>
        <v>Figure</v>
      </c>
      <c r="I15223">
        <v>1.06</v>
      </c>
      <c r="J15223">
        <v>0.91</v>
      </c>
      <c r="K15223">
        <v>1.1299999999999999</v>
      </c>
      <c r="L15223">
        <v>0.62</v>
      </c>
      <c r="M15223">
        <v>1.07</v>
      </c>
      <c r="N15223">
        <v>0.9</v>
      </c>
    </row>
    <row r="15224" spans="1:14" x14ac:dyDescent="0.25">
      <c r="A15224" t="s">
        <v>25706</v>
      </c>
      <c r="B15224" t="s">
        <v>13498</v>
      </c>
      <c r="C15224" s="1" t="str">
        <f>HYPERLINK("http://www.genecards.org/cgi-bin/carddisp.pl?gene=CDKN2A","GeneCards")</f>
        <v>GeneCards</v>
      </c>
      <c r="D15224" s="1" t="str">
        <f>HYPERLINK("http://genome-euro.ucsc.edu/cgi-bin/hgTracks?position=207039_at","UCSC")</f>
        <v>UCSC</v>
      </c>
      <c r="E15224" s="1" t="str">
        <f>HYPERLINK("http://www.ncbi.nlm.nih.gov/gene/?term=CDKN2A","NCBI")</f>
        <v>NCBI</v>
      </c>
      <c r="F15224">
        <v>0.65</v>
      </c>
      <c r="G15224">
        <v>0.73</v>
      </c>
      <c r="H15224" s="1" t="str">
        <f>HYPERLINK("http://www.weizmann.ac.il/complex/compphys/software/geview/data/figures/207039_at.png","Figure")</f>
        <v>Figure</v>
      </c>
      <c r="I15224">
        <v>0.93600000000000005</v>
      </c>
      <c r="J15224">
        <v>0.68</v>
      </c>
      <c r="K15224">
        <v>0.94699999999999995</v>
      </c>
      <c r="L15224">
        <v>0.71</v>
      </c>
      <c r="M15224">
        <v>1.01</v>
      </c>
      <c r="N15224">
        <v>0.99</v>
      </c>
    </row>
    <row r="15225" spans="1:14" x14ac:dyDescent="0.25">
      <c r="A15225" t="s">
        <v>25707</v>
      </c>
      <c r="B15225" t="s">
        <v>11571</v>
      </c>
      <c r="C15225" s="1" t="str">
        <f>HYPERLINK("http://www.genecards.org/cgi-bin/carddisp.pl?gene=FGF18","GeneCards")</f>
        <v>GeneCards</v>
      </c>
      <c r="D15225" s="1" t="str">
        <f>HYPERLINK("http://genome-euro.ucsc.edu/cgi-bin/hgTracks?position=211029_x_at","UCSC")</f>
        <v>UCSC</v>
      </c>
      <c r="E15225" s="1" t="str">
        <f>HYPERLINK("http://www.ncbi.nlm.nih.gov/gene/?term=FGF18","NCBI")</f>
        <v>NCBI</v>
      </c>
      <c r="F15225">
        <v>0.65</v>
      </c>
      <c r="G15225">
        <v>0.73</v>
      </c>
      <c r="H15225" s="1" t="str">
        <f>HYPERLINK("http://www.weizmann.ac.il/complex/compphys/software/geview/data/figures/211029_x_at.png","Figure")</f>
        <v>Figure</v>
      </c>
      <c r="I15225">
        <v>1.07</v>
      </c>
      <c r="J15225">
        <v>0.73</v>
      </c>
      <c r="K15225">
        <v>0.99299999999999999</v>
      </c>
      <c r="L15225">
        <v>1</v>
      </c>
      <c r="M15225">
        <v>0.93200000000000005</v>
      </c>
      <c r="N15225">
        <v>0.65</v>
      </c>
    </row>
    <row r="15226" spans="1:14" x14ac:dyDescent="0.25">
      <c r="A15226" t="s">
        <v>25708</v>
      </c>
      <c r="B15226" t="s">
        <v>25709</v>
      </c>
      <c r="C15226" s="1" t="str">
        <f>HYPERLINK("http://www.genecards.org/cgi-bin/carddisp.pl?gene=USP20","GeneCards")</f>
        <v>GeneCards</v>
      </c>
      <c r="D15226" s="1" t="str">
        <f>HYPERLINK("http://genome-euro.ucsc.edu/cgi-bin/hgTracks?position=203965_at","UCSC")</f>
        <v>UCSC</v>
      </c>
      <c r="E15226" s="1" t="str">
        <f>HYPERLINK("http://www.ncbi.nlm.nih.gov/gene/?term=USP20","NCBI")</f>
        <v>NCBI</v>
      </c>
      <c r="F15226">
        <v>0.65</v>
      </c>
      <c r="G15226">
        <v>0.73</v>
      </c>
      <c r="H15226" s="1" t="str">
        <f>HYPERLINK("http://www.weizmann.ac.il/complex/compphys/software/geview/data/figures/203965_at.png","Figure")</f>
        <v>Figure</v>
      </c>
      <c r="I15226">
        <v>1.06</v>
      </c>
      <c r="J15226">
        <v>0.78</v>
      </c>
      <c r="K15226">
        <v>1.07</v>
      </c>
      <c r="L15226">
        <v>0.64</v>
      </c>
      <c r="M15226">
        <v>1.01</v>
      </c>
      <c r="N15226">
        <v>0.99</v>
      </c>
    </row>
    <row r="15227" spans="1:14" x14ac:dyDescent="0.25">
      <c r="A15227" t="s">
        <v>25710</v>
      </c>
      <c r="B15227" t="s">
        <v>25711</v>
      </c>
      <c r="C15227" s="1" t="str">
        <f>HYPERLINK("http://www.genecards.org/cgi-bin/carddisp.pl?gene=NAIP","GeneCards")</f>
        <v>GeneCards</v>
      </c>
      <c r="D15227" s="1" t="str">
        <f>HYPERLINK("http://genome-euro.ucsc.edu/cgi-bin/hgTracks?position=204860_s_at","UCSC")</f>
        <v>UCSC</v>
      </c>
      <c r="E15227" s="1" t="str">
        <f>HYPERLINK("http://www.ncbi.nlm.nih.gov/gene/?term=NAIP","NCBI")</f>
        <v>NCBI</v>
      </c>
      <c r="F15227">
        <v>0.65</v>
      </c>
      <c r="G15227">
        <v>0.73</v>
      </c>
      <c r="H15227" s="1" t="str">
        <f>HYPERLINK("http://www.weizmann.ac.il/complex/compphys/software/geview/data/figures/204860_s_at.png","Figure")</f>
        <v>Figure</v>
      </c>
      <c r="I15227">
        <v>1.21</v>
      </c>
      <c r="J15227">
        <v>0.8</v>
      </c>
      <c r="K15227">
        <v>0.93500000000000005</v>
      </c>
      <c r="L15227">
        <v>0.96</v>
      </c>
      <c r="M15227">
        <v>0.77300000000000002</v>
      </c>
      <c r="N15227">
        <v>0.63</v>
      </c>
    </row>
    <row r="15228" spans="1:14" x14ac:dyDescent="0.25">
      <c r="A15228" t="s">
        <v>25712</v>
      </c>
      <c r="B15228" t="s">
        <v>25713</v>
      </c>
      <c r="C15228" s="1" t="str">
        <f>HYPERLINK("http://www.genecards.org/cgi-bin/carddisp.pl?gene=LCMT1","GeneCards")</f>
        <v>GeneCards</v>
      </c>
      <c r="D15228" s="1" t="str">
        <f>HYPERLINK("http://genome-euro.ucsc.edu/cgi-bin/hgTracks?position=221515_s_at","UCSC")</f>
        <v>UCSC</v>
      </c>
      <c r="E15228" s="1" t="str">
        <f>HYPERLINK("http://www.ncbi.nlm.nih.gov/gene/?term=LCMT1","NCBI")</f>
        <v>NCBI</v>
      </c>
      <c r="F15228">
        <v>0.65</v>
      </c>
      <c r="G15228">
        <v>0.73</v>
      </c>
      <c r="H15228" s="1" t="str">
        <f>HYPERLINK("http://www.weizmann.ac.il/complex/compphys/software/geview/data/figures/221515_s_at.png","Figure")</f>
        <v>Figure</v>
      </c>
      <c r="I15228">
        <v>1.04</v>
      </c>
      <c r="J15228">
        <v>0.95</v>
      </c>
      <c r="K15228">
        <v>1.0900000000000001</v>
      </c>
      <c r="L15228">
        <v>0.63</v>
      </c>
      <c r="M15228">
        <v>1.06</v>
      </c>
      <c r="N15228">
        <v>0.86</v>
      </c>
    </row>
    <row r="15229" spans="1:14" x14ac:dyDescent="0.25">
      <c r="A15229" t="s">
        <v>25714</v>
      </c>
      <c r="B15229" t="s">
        <v>25715</v>
      </c>
      <c r="C15229" s="1" t="str">
        <f>HYPERLINK("http://www.genecards.org/cgi-bin/carddisp.pl?gene=PSMD3","GeneCards")</f>
        <v>GeneCards</v>
      </c>
      <c r="D15229" s="1" t="str">
        <f>HYPERLINK("http://genome-euro.ucsc.edu/cgi-bin/hgTracks?position=201388_at","UCSC")</f>
        <v>UCSC</v>
      </c>
      <c r="E15229" s="1" t="str">
        <f>HYPERLINK("http://www.ncbi.nlm.nih.gov/gene/?term=PSMD3","NCBI")</f>
        <v>NCBI</v>
      </c>
      <c r="F15229">
        <v>0.65</v>
      </c>
      <c r="G15229">
        <v>0.73</v>
      </c>
      <c r="H15229" s="1" t="str">
        <f>HYPERLINK("http://www.weizmann.ac.il/complex/compphys/software/geview/data/figures/201388_at.png","Figure")</f>
        <v>Figure</v>
      </c>
      <c r="I15229">
        <v>0.88700000000000001</v>
      </c>
      <c r="J15229">
        <v>0.66</v>
      </c>
      <c r="K15229">
        <v>0.97899999999999998</v>
      </c>
      <c r="L15229">
        <v>0.98</v>
      </c>
      <c r="M15229">
        <v>1.1000000000000001</v>
      </c>
      <c r="N15229">
        <v>0.72</v>
      </c>
    </row>
    <row r="15230" spans="1:14" x14ac:dyDescent="0.25">
      <c r="A15230" t="s">
        <v>25716</v>
      </c>
      <c r="B15230" t="s">
        <v>25717</v>
      </c>
      <c r="C15230" s="1" t="str">
        <f>HYPERLINK("http://www.genecards.org/cgi-bin/carddisp.pl?gene=OR51E2","GeneCards")</f>
        <v>GeneCards</v>
      </c>
      <c r="D15230" s="1" t="str">
        <f>HYPERLINK("http://genome-euro.ucsc.edu/cgi-bin/hgTracks?position=221424_s_at","UCSC")</f>
        <v>UCSC</v>
      </c>
      <c r="E15230" s="1" t="str">
        <f>HYPERLINK("http://www.ncbi.nlm.nih.gov/gene/?term=OR51E2","NCBI")</f>
        <v>NCBI</v>
      </c>
      <c r="F15230">
        <v>0.65</v>
      </c>
      <c r="G15230">
        <v>0.73</v>
      </c>
      <c r="H15230" s="1" t="str">
        <f>HYPERLINK("http://www.weizmann.ac.il/complex/compphys/software/geview/data/figures/221424_s_at.png","Figure")</f>
        <v>Figure</v>
      </c>
      <c r="I15230">
        <v>1.05</v>
      </c>
      <c r="J15230">
        <v>0.72</v>
      </c>
      <c r="K15230">
        <v>0.997</v>
      </c>
      <c r="L15230">
        <v>1</v>
      </c>
      <c r="M15230">
        <v>0.94899999999999995</v>
      </c>
      <c r="N15230">
        <v>0.66</v>
      </c>
    </row>
    <row r="15231" spans="1:14" x14ac:dyDescent="0.25">
      <c r="A15231" t="s">
        <v>25718</v>
      </c>
      <c r="B15231" t="s">
        <v>25719</v>
      </c>
      <c r="C15231" s="1" t="str">
        <f>HYPERLINK("http://www.genecards.org/cgi-bin/carddisp.pl?gene=PAGE4","GeneCards")</f>
        <v>GeneCards</v>
      </c>
      <c r="D15231" s="1" t="str">
        <f>HYPERLINK("http://genome-euro.ucsc.edu/cgi-bin/hgTracks?position=205564_at","UCSC")</f>
        <v>UCSC</v>
      </c>
      <c r="E15231" s="1" t="str">
        <f>HYPERLINK("http://www.ncbi.nlm.nih.gov/gene/?term=PAGE4","NCBI")</f>
        <v>NCBI</v>
      </c>
      <c r="F15231">
        <v>0.65</v>
      </c>
      <c r="G15231">
        <v>0.73</v>
      </c>
      <c r="H15231" s="1" t="str">
        <f>HYPERLINK("http://www.weizmann.ac.il/complex/compphys/software/geview/data/figures/205564_at.png","Figure")</f>
        <v>Figure</v>
      </c>
      <c r="I15231">
        <v>1.04</v>
      </c>
      <c r="J15231">
        <v>0.66</v>
      </c>
      <c r="K15231">
        <v>1.03</v>
      </c>
      <c r="L15231">
        <v>0.76</v>
      </c>
      <c r="M15231">
        <v>0.98799999999999999</v>
      </c>
      <c r="N15231">
        <v>0.96</v>
      </c>
    </row>
    <row r="15232" spans="1:14" x14ac:dyDescent="0.25">
      <c r="A15232" t="s">
        <v>25720</v>
      </c>
      <c r="B15232" t="s">
        <v>25721</v>
      </c>
      <c r="C15232" s="1" t="str">
        <f>HYPERLINK("http://www.genecards.org/cgi-bin/carddisp.pl?gene=PYROXD1","GeneCards")</f>
        <v>GeneCards</v>
      </c>
      <c r="D15232" s="1" t="str">
        <f>HYPERLINK("http://genome-euro.ucsc.edu/cgi-bin/hgTracks?position=219802_at","UCSC")</f>
        <v>UCSC</v>
      </c>
      <c r="E15232" s="1" t="str">
        <f>HYPERLINK("http://www.ncbi.nlm.nih.gov/gene/?term=PYROXD1","NCBI")</f>
        <v>NCBI</v>
      </c>
      <c r="F15232">
        <v>0.65</v>
      </c>
      <c r="G15232">
        <v>0.73</v>
      </c>
      <c r="H15232" s="1" t="str">
        <f>HYPERLINK("http://www.weizmann.ac.il/complex/compphys/software/geview/data/figures/219802_at.png","Figure")</f>
        <v>Figure</v>
      </c>
      <c r="I15232">
        <v>0.81</v>
      </c>
      <c r="J15232">
        <v>0.67</v>
      </c>
      <c r="K15232">
        <v>0.85099999999999998</v>
      </c>
      <c r="L15232">
        <v>0.73</v>
      </c>
      <c r="M15232">
        <v>1.05</v>
      </c>
      <c r="N15232">
        <v>0.97</v>
      </c>
    </row>
    <row r="15233" spans="1:14" x14ac:dyDescent="0.25">
      <c r="A15233" t="s">
        <v>25722</v>
      </c>
      <c r="B15233" t="s">
        <v>14792</v>
      </c>
      <c r="C15233" s="1" t="str">
        <f>HYPERLINK("http://www.genecards.org/cgi-bin/carddisp.pl?gene=DICER1","GeneCards")</f>
        <v>GeneCards</v>
      </c>
      <c r="D15233" s="1" t="str">
        <f>HYPERLINK("http://genome-euro.ucsc.edu/cgi-bin/hgTracks?position=216281_at","UCSC")</f>
        <v>UCSC</v>
      </c>
      <c r="E15233" s="1" t="str">
        <f>HYPERLINK("http://www.ncbi.nlm.nih.gov/gene/?term=DICER1","NCBI")</f>
        <v>NCBI</v>
      </c>
      <c r="F15233">
        <v>0.65</v>
      </c>
      <c r="G15233">
        <v>0.73</v>
      </c>
      <c r="H15233" s="1" t="str">
        <f>HYPERLINK("http://www.weizmann.ac.il/complex/compphys/software/geview/data/figures/216281_at.png","Figure")</f>
        <v>Figure</v>
      </c>
      <c r="I15233">
        <v>1.01</v>
      </c>
      <c r="J15233">
        <v>0.97</v>
      </c>
      <c r="K15233">
        <v>1.03</v>
      </c>
      <c r="L15233">
        <v>0.65</v>
      </c>
      <c r="M15233">
        <v>1.02</v>
      </c>
      <c r="N15233">
        <v>0.82</v>
      </c>
    </row>
    <row r="15234" spans="1:14" x14ac:dyDescent="0.25">
      <c r="A15234" t="s">
        <v>25723</v>
      </c>
      <c r="B15234" t="s">
        <v>18196</v>
      </c>
      <c r="C15234" s="1" t="str">
        <f>HYPERLINK("http://www.genecards.org/cgi-bin/carddisp.pl?gene=ASAH1","GeneCards")</f>
        <v>GeneCards</v>
      </c>
      <c r="D15234" s="1" t="str">
        <f>HYPERLINK("http://genome-euro.ucsc.edu/cgi-bin/hgTracks?position=210980_s_at","UCSC")</f>
        <v>UCSC</v>
      </c>
      <c r="E15234" s="1" t="str">
        <f>HYPERLINK("http://www.ncbi.nlm.nih.gov/gene/?term=ASAH1","NCBI")</f>
        <v>NCBI</v>
      </c>
      <c r="F15234">
        <v>0.65</v>
      </c>
      <c r="G15234">
        <v>0.73</v>
      </c>
      <c r="H15234" s="1" t="str">
        <f>HYPERLINK("http://www.weizmann.ac.il/complex/compphys/software/geview/data/figures/210980_s_at.png","Figure")</f>
        <v>Figure</v>
      </c>
      <c r="I15234">
        <v>0.85399999999999998</v>
      </c>
      <c r="J15234">
        <v>0.64</v>
      </c>
      <c r="K15234">
        <v>0.95799999999999996</v>
      </c>
      <c r="L15234">
        <v>0.96</v>
      </c>
      <c r="M15234">
        <v>1.1200000000000001</v>
      </c>
      <c r="N15234">
        <v>0.76</v>
      </c>
    </row>
    <row r="15235" spans="1:14" x14ac:dyDescent="0.25">
      <c r="A15235" t="s">
        <v>25724</v>
      </c>
      <c r="B15235" t="s">
        <v>25725</v>
      </c>
      <c r="C15235" s="1" t="str">
        <f>HYPERLINK("http://www.genecards.org/cgi-bin/carddisp.pl?gene=GPR110","GeneCards")</f>
        <v>GeneCards</v>
      </c>
      <c r="D15235" s="1" t="str">
        <f>HYPERLINK("http://genome-euro.ucsc.edu/cgi-bin/hgTracks?position=220907_at","UCSC")</f>
        <v>UCSC</v>
      </c>
      <c r="E15235" s="1" t="str">
        <f>HYPERLINK("http://www.ncbi.nlm.nih.gov/gene/?term=GPR110","NCBI")</f>
        <v>NCBI</v>
      </c>
      <c r="F15235">
        <v>0.65</v>
      </c>
      <c r="G15235">
        <v>0.73</v>
      </c>
      <c r="H15235" s="1" t="str">
        <f>HYPERLINK("http://www.weizmann.ac.il/complex/compphys/software/geview/data/figures/220907_at.png","Figure")</f>
        <v>Figure</v>
      </c>
      <c r="I15235">
        <v>1.04</v>
      </c>
      <c r="J15235">
        <v>0.84</v>
      </c>
      <c r="K15235">
        <v>0.98</v>
      </c>
      <c r="L15235">
        <v>0.93</v>
      </c>
      <c r="M15235">
        <v>0.94699999999999995</v>
      </c>
      <c r="N15235">
        <v>0.62</v>
      </c>
    </row>
    <row r="15236" spans="1:14" x14ac:dyDescent="0.25">
      <c r="A15236" t="s">
        <v>25726</v>
      </c>
      <c r="B15236" t="s">
        <v>12875</v>
      </c>
      <c r="C15236" s="1" t="str">
        <f>HYPERLINK("http://www.genecards.org/cgi-bin/carddisp.pl?gene=MYH10","GeneCards")</f>
        <v>GeneCards</v>
      </c>
      <c r="D15236" s="1" t="str">
        <f>HYPERLINK("http://genome-euro.ucsc.edu/cgi-bin/hgTracks?position=213067_at","UCSC")</f>
        <v>UCSC</v>
      </c>
      <c r="E15236" s="1" t="str">
        <f>HYPERLINK("http://www.ncbi.nlm.nih.gov/gene/?term=MYH10","NCBI")</f>
        <v>NCBI</v>
      </c>
      <c r="F15236">
        <v>0.65</v>
      </c>
      <c r="G15236">
        <v>0.73</v>
      </c>
      <c r="H15236" s="1" t="str">
        <f>HYPERLINK("http://www.weizmann.ac.il/complex/compphys/software/geview/data/figures/213067_at.png","Figure")</f>
        <v>Figure</v>
      </c>
      <c r="I15236">
        <v>1.1399999999999999</v>
      </c>
      <c r="J15236">
        <v>0.72</v>
      </c>
      <c r="K15236">
        <v>1.1299999999999999</v>
      </c>
      <c r="L15236">
        <v>0.68</v>
      </c>
      <c r="M15236">
        <v>0.99199999999999999</v>
      </c>
      <c r="N15236">
        <v>1</v>
      </c>
    </row>
    <row r="15237" spans="1:14" x14ac:dyDescent="0.25">
      <c r="A15237" t="s">
        <v>25727</v>
      </c>
      <c r="B15237" t="s">
        <v>25728</v>
      </c>
      <c r="C15237" s="1" t="str">
        <f>HYPERLINK("http://www.genecards.org/cgi-bin/carddisp.pl?gene=SPTBN5","GeneCards")</f>
        <v>GeneCards</v>
      </c>
      <c r="D15237" s="1" t="str">
        <f>HYPERLINK("http://genome-euro.ucsc.edu/cgi-bin/hgTracks?position=220067_at","UCSC")</f>
        <v>UCSC</v>
      </c>
      <c r="E15237" s="1" t="str">
        <f>HYPERLINK("http://www.ncbi.nlm.nih.gov/gene/?term=SPTBN5","NCBI")</f>
        <v>NCBI</v>
      </c>
      <c r="F15237">
        <v>0.65</v>
      </c>
      <c r="G15237">
        <v>0.73</v>
      </c>
      <c r="H15237" s="1" t="str">
        <f>HYPERLINK("http://www.weizmann.ac.il/complex/compphys/software/geview/data/figures/220067_at.png","Figure")</f>
        <v>Figure</v>
      </c>
      <c r="I15237">
        <v>1.08</v>
      </c>
      <c r="J15237">
        <v>0.66</v>
      </c>
      <c r="K15237">
        <v>1.01</v>
      </c>
      <c r="L15237">
        <v>0.99</v>
      </c>
      <c r="M15237">
        <v>0.94</v>
      </c>
      <c r="N15237">
        <v>0.71</v>
      </c>
    </row>
    <row r="15238" spans="1:14" x14ac:dyDescent="0.25">
      <c r="A15238" t="s">
        <v>25729</v>
      </c>
      <c r="B15238" t="s">
        <v>25730</v>
      </c>
      <c r="C15238" s="1" t="str">
        <f>HYPERLINK("http://www.genecards.org/cgi-bin/carddisp.pl?gene=TRIM32","GeneCards")</f>
        <v>GeneCards</v>
      </c>
      <c r="D15238" s="1" t="str">
        <f>HYPERLINK("http://genome-euro.ucsc.edu/cgi-bin/hgTracks?position=203846_at","UCSC")</f>
        <v>UCSC</v>
      </c>
      <c r="E15238" s="1" t="str">
        <f>HYPERLINK("http://www.ncbi.nlm.nih.gov/gene/?term=TRIM32","NCBI")</f>
        <v>NCBI</v>
      </c>
      <c r="F15238">
        <v>0.65</v>
      </c>
      <c r="G15238">
        <v>0.73</v>
      </c>
      <c r="H15238" s="1" t="str">
        <f>HYPERLINK("http://www.weizmann.ac.il/complex/compphys/software/geview/data/figures/203846_at.png","Figure")</f>
        <v>Figure</v>
      </c>
      <c r="I15238">
        <v>0.89</v>
      </c>
      <c r="J15238">
        <v>0.69</v>
      </c>
      <c r="K15238">
        <v>0.90800000000000003</v>
      </c>
      <c r="L15238">
        <v>0.71</v>
      </c>
      <c r="M15238">
        <v>1.02</v>
      </c>
      <c r="N15238">
        <v>0.99</v>
      </c>
    </row>
    <row r="15239" spans="1:14" x14ac:dyDescent="0.25">
      <c r="A15239" t="s">
        <v>25731</v>
      </c>
      <c r="B15239" t="s">
        <v>25732</v>
      </c>
      <c r="C15239" s="1" t="str">
        <f>HYPERLINK("http://www.genecards.org/cgi-bin/carddisp.pl?gene=TRIT1","GeneCards")</f>
        <v>GeneCards</v>
      </c>
      <c r="D15239" s="1" t="str">
        <f>HYPERLINK("http://genome-euro.ucsc.edu/cgi-bin/hgTracks?position=218617_at","UCSC")</f>
        <v>UCSC</v>
      </c>
      <c r="E15239" s="1" t="str">
        <f>HYPERLINK("http://www.ncbi.nlm.nih.gov/gene/?term=TRIT1","NCBI")</f>
        <v>NCBI</v>
      </c>
      <c r="F15239">
        <v>0.65</v>
      </c>
      <c r="G15239">
        <v>0.73</v>
      </c>
      <c r="H15239" s="1" t="str">
        <f>HYPERLINK("http://www.weizmann.ac.il/complex/compphys/software/geview/data/figures/218617_at.png","Figure")</f>
        <v>Figure</v>
      </c>
      <c r="I15239">
        <v>0.83399999999999996</v>
      </c>
      <c r="J15239">
        <v>0.65</v>
      </c>
      <c r="K15239">
        <v>0.88200000000000001</v>
      </c>
      <c r="L15239">
        <v>0.76</v>
      </c>
      <c r="M15239">
        <v>1.06</v>
      </c>
      <c r="N15239">
        <v>0.95</v>
      </c>
    </row>
    <row r="15240" spans="1:14" x14ac:dyDescent="0.25">
      <c r="A15240" t="s">
        <v>25733</v>
      </c>
      <c r="B15240" t="s">
        <v>15662</v>
      </c>
      <c r="C15240" s="1" t="str">
        <f>HYPERLINK("http://www.genecards.org/cgi-bin/carddisp.pl?gene=NKIRAS2","GeneCards")</f>
        <v>GeneCards</v>
      </c>
      <c r="D15240" s="1" t="str">
        <f>HYPERLINK("http://genome-euro.ucsc.edu/cgi-bin/hgTracks?position=218240_at","UCSC")</f>
        <v>UCSC</v>
      </c>
      <c r="E15240" s="1" t="str">
        <f>HYPERLINK("http://www.ncbi.nlm.nih.gov/gene/?term=NKIRAS2","NCBI")</f>
        <v>NCBI</v>
      </c>
      <c r="F15240">
        <v>0.65</v>
      </c>
      <c r="G15240">
        <v>0.73</v>
      </c>
      <c r="H15240" s="1" t="str">
        <f>HYPERLINK("http://www.weizmann.ac.il/complex/compphys/software/geview/data/figures/218240_at.png","Figure")</f>
        <v>Figure</v>
      </c>
      <c r="I15240">
        <v>0.89500000000000002</v>
      </c>
      <c r="J15240">
        <v>0.63</v>
      </c>
      <c r="K15240">
        <v>0.95099999999999996</v>
      </c>
      <c r="L15240">
        <v>0.88</v>
      </c>
      <c r="M15240">
        <v>1.06</v>
      </c>
      <c r="N15240">
        <v>0.85</v>
      </c>
    </row>
    <row r="15241" spans="1:14" x14ac:dyDescent="0.25">
      <c r="A15241" t="s">
        <v>25734</v>
      </c>
      <c r="B15241" t="s">
        <v>23459</v>
      </c>
      <c r="C15241" s="1" t="str">
        <f>HYPERLINK("http://www.genecards.org/cgi-bin/carddisp.pl?gene=ZSCAN18","GeneCards")</f>
        <v>GeneCards</v>
      </c>
      <c r="D15241" s="1" t="str">
        <f>HYPERLINK("http://genome-euro.ucsc.edu/cgi-bin/hgTracks?position=218312_s_at","UCSC")</f>
        <v>UCSC</v>
      </c>
      <c r="E15241" s="1" t="str">
        <f>HYPERLINK("http://www.ncbi.nlm.nih.gov/gene/?term=ZSCAN18","NCBI")</f>
        <v>NCBI</v>
      </c>
      <c r="F15241">
        <v>0.65</v>
      </c>
      <c r="G15241">
        <v>0.73</v>
      </c>
      <c r="H15241" s="1" t="str">
        <f>HYPERLINK("http://www.weizmann.ac.il/complex/compphys/software/geview/data/figures/218312_s_at.png","Figure")</f>
        <v>Figure</v>
      </c>
      <c r="I15241">
        <v>0.94499999999999995</v>
      </c>
      <c r="J15241">
        <v>0.98</v>
      </c>
      <c r="K15241">
        <v>0.80600000000000005</v>
      </c>
      <c r="L15241">
        <v>0.65</v>
      </c>
      <c r="M15241">
        <v>0.85299999999999998</v>
      </c>
      <c r="N15241">
        <v>0.81</v>
      </c>
    </row>
    <row r="15242" spans="1:14" x14ac:dyDescent="0.25">
      <c r="A15242" t="s">
        <v>25735</v>
      </c>
      <c r="B15242" t="s">
        <v>10795</v>
      </c>
      <c r="C15242" s="1" t="str">
        <f>HYPERLINK("http://www.genecards.org/cgi-bin/carddisp.pl?gene=NFX1","GeneCards")</f>
        <v>GeneCards</v>
      </c>
      <c r="D15242" s="1" t="str">
        <f>HYPERLINK("http://genome-euro.ucsc.edu/cgi-bin/hgTracks?position=202584_at","UCSC")</f>
        <v>UCSC</v>
      </c>
      <c r="E15242" s="1" t="str">
        <f>HYPERLINK("http://www.ncbi.nlm.nih.gov/gene/?term=NFX1","NCBI")</f>
        <v>NCBI</v>
      </c>
      <c r="F15242">
        <v>0.65</v>
      </c>
      <c r="G15242">
        <v>0.73</v>
      </c>
      <c r="H15242" s="1" t="str">
        <f>HYPERLINK("http://www.weizmann.ac.il/complex/compphys/software/geview/data/figures/202584_at.png","Figure")</f>
        <v>Figure</v>
      </c>
      <c r="I15242">
        <v>1.1200000000000001</v>
      </c>
      <c r="J15242">
        <v>0.64</v>
      </c>
      <c r="K15242">
        <v>1.07</v>
      </c>
      <c r="L15242">
        <v>0.8</v>
      </c>
      <c r="M15242">
        <v>0.95699999999999996</v>
      </c>
      <c r="N15242">
        <v>0.92</v>
      </c>
    </row>
    <row r="15243" spans="1:14" x14ac:dyDescent="0.25">
      <c r="A15243" t="s">
        <v>25736</v>
      </c>
      <c r="B15243" t="s">
        <v>25737</v>
      </c>
      <c r="C15243" s="1" t="str">
        <f>HYPERLINK("http://www.genecards.org/cgi-bin/carddisp.pl?gene=MC5R","GeneCards")</f>
        <v>GeneCards</v>
      </c>
      <c r="D15243" s="1" t="str">
        <f>HYPERLINK("http://genome-euro.ucsc.edu/cgi-bin/hgTracks?position=208565_at","UCSC")</f>
        <v>UCSC</v>
      </c>
      <c r="E15243" s="1" t="str">
        <f>HYPERLINK("http://www.ncbi.nlm.nih.gov/gene/?term=MC5R","NCBI")</f>
        <v>NCBI</v>
      </c>
      <c r="F15243">
        <v>0.65</v>
      </c>
      <c r="G15243">
        <v>0.73</v>
      </c>
      <c r="H15243" s="1" t="str">
        <f>HYPERLINK("http://www.weizmann.ac.il/complex/compphys/software/geview/data/figures/208565_at.png","Figure")</f>
        <v>Figure</v>
      </c>
      <c r="I15243">
        <v>1.04</v>
      </c>
      <c r="J15243">
        <v>0.82</v>
      </c>
      <c r="K15243">
        <v>0.98299999999999998</v>
      </c>
      <c r="L15243">
        <v>0.95</v>
      </c>
      <c r="M15243">
        <v>0.94499999999999995</v>
      </c>
      <c r="N15243">
        <v>0.63</v>
      </c>
    </row>
    <row r="15244" spans="1:14" x14ac:dyDescent="0.25">
      <c r="A15244" t="s">
        <v>25738</v>
      </c>
      <c r="B15244" t="s">
        <v>477</v>
      </c>
      <c r="C15244" s="1" t="str">
        <f>HYPERLINK("http://www.genecards.org/cgi-bin/carddisp.pl?gene=LYST","GeneCards")</f>
        <v>GeneCards</v>
      </c>
      <c r="D15244" s="1" t="str">
        <f>HYPERLINK("http://genome-euro.ucsc.edu/cgi-bin/hgTracks?position=215415_s_at","UCSC")</f>
        <v>UCSC</v>
      </c>
      <c r="E15244" s="1" t="str">
        <f>HYPERLINK("http://www.ncbi.nlm.nih.gov/gene/?term=LYST","NCBI")</f>
        <v>NCBI</v>
      </c>
      <c r="F15244">
        <v>0.65</v>
      </c>
      <c r="G15244">
        <v>0.73</v>
      </c>
      <c r="H15244" s="1" t="str">
        <f>HYPERLINK("http://www.weizmann.ac.il/complex/compphys/software/geview/data/figures/215415_s_at.png","Figure")</f>
        <v>Figure</v>
      </c>
      <c r="I15244">
        <v>1.05</v>
      </c>
      <c r="J15244">
        <v>0.7</v>
      </c>
      <c r="K15244">
        <v>1.04</v>
      </c>
      <c r="L15244">
        <v>0.7</v>
      </c>
      <c r="M15244">
        <v>0.99299999999999999</v>
      </c>
      <c r="N15244">
        <v>0.99</v>
      </c>
    </row>
    <row r="15245" spans="1:14" x14ac:dyDescent="0.25">
      <c r="A15245" t="s">
        <v>25739</v>
      </c>
      <c r="B15245" t="s">
        <v>25740</v>
      </c>
      <c r="C15245" s="1" t="str">
        <f>HYPERLINK("http://www.genecards.org/cgi-bin/carddisp.pl?gene=CRYBB2 /// CRYBB2P1","GeneCards")</f>
        <v>GeneCards</v>
      </c>
      <c r="D15245" s="1" t="str">
        <f>HYPERLINK("http://genome-euro.ucsc.edu/cgi-bin/hgTracks?position=206777_s_at","UCSC")</f>
        <v>UCSC</v>
      </c>
      <c r="E15245" s="1" t="str">
        <f>HYPERLINK("http://www.ncbi.nlm.nih.gov/gene/?term=CRYBB2 /// CRYBB2P1","NCBI")</f>
        <v>NCBI</v>
      </c>
      <c r="F15245">
        <v>0.65</v>
      </c>
      <c r="G15245">
        <v>0.73</v>
      </c>
      <c r="H15245" s="1" t="str">
        <f>HYPERLINK("http://www.weizmann.ac.il/complex/compphys/software/geview/data/figures/206777_s_at.png","Figure")</f>
        <v>Figure</v>
      </c>
      <c r="I15245">
        <v>1.03</v>
      </c>
      <c r="J15245">
        <v>0.98</v>
      </c>
      <c r="K15245">
        <v>1.1299999999999999</v>
      </c>
      <c r="L15245">
        <v>0.66</v>
      </c>
      <c r="M15245">
        <v>1.1000000000000001</v>
      </c>
      <c r="N15245">
        <v>0.81</v>
      </c>
    </row>
    <row r="15246" spans="1:14" x14ac:dyDescent="0.25">
      <c r="A15246" t="s">
        <v>25741</v>
      </c>
      <c r="B15246" t="s">
        <v>25742</v>
      </c>
      <c r="C15246" s="1" t="str">
        <f>HYPERLINK("http://www.genecards.org/cgi-bin/carddisp.pl?gene=PACS2","GeneCards")</f>
        <v>GeneCards</v>
      </c>
      <c r="D15246" s="1" t="str">
        <f>HYPERLINK("http://genome-euro.ucsc.edu/cgi-bin/hgTracks?position=212778_at","UCSC")</f>
        <v>UCSC</v>
      </c>
      <c r="E15246" s="1" t="str">
        <f>HYPERLINK("http://www.ncbi.nlm.nih.gov/gene/?term=PACS2","NCBI")</f>
        <v>NCBI</v>
      </c>
      <c r="F15246">
        <v>0.65</v>
      </c>
      <c r="G15246">
        <v>0.73</v>
      </c>
      <c r="H15246" s="1" t="str">
        <f>HYPERLINK("http://www.weizmann.ac.il/complex/compphys/software/geview/data/figures/212778_at.png","Figure")</f>
        <v>Figure</v>
      </c>
      <c r="I15246">
        <v>0.86699999999999999</v>
      </c>
      <c r="J15246">
        <v>0.63</v>
      </c>
      <c r="K15246">
        <v>0.93400000000000005</v>
      </c>
      <c r="L15246">
        <v>0.87</v>
      </c>
      <c r="M15246">
        <v>1.08</v>
      </c>
      <c r="N15246">
        <v>0.86</v>
      </c>
    </row>
    <row r="15247" spans="1:14" x14ac:dyDescent="0.25">
      <c r="A15247" t="s">
        <v>25743</v>
      </c>
      <c r="B15247" t="s">
        <v>25744</v>
      </c>
      <c r="C15247" s="1" t="str">
        <f>HYPERLINK("http://www.genecards.org/cgi-bin/carddisp.pl?gene=TARP /// TRGV3 /// TRGV5","GeneCards")</f>
        <v>GeneCards</v>
      </c>
      <c r="D15247" s="1" t="str">
        <f>HYPERLINK("http://genome-euro.ucsc.edu/cgi-bin/hgTracks?position=217374_x_at","UCSC")</f>
        <v>UCSC</v>
      </c>
      <c r="E15247" s="1" t="str">
        <f>HYPERLINK("http://www.ncbi.nlm.nih.gov/gene/?term=TARP /// TRGV3 /// TRGV5","NCBI")</f>
        <v>NCBI</v>
      </c>
      <c r="F15247">
        <v>0.65</v>
      </c>
      <c r="G15247">
        <v>0.73</v>
      </c>
      <c r="H15247" s="1" t="str">
        <f>HYPERLINK("http://www.weizmann.ac.il/complex/compphys/software/geview/data/figures/217374_x_at.png","Figure")</f>
        <v>Figure</v>
      </c>
      <c r="I15247">
        <v>1.03</v>
      </c>
      <c r="J15247">
        <v>0.94</v>
      </c>
      <c r="K15247">
        <v>1.07</v>
      </c>
      <c r="L15247">
        <v>0.63</v>
      </c>
      <c r="M15247">
        <v>1.04</v>
      </c>
      <c r="N15247">
        <v>0.87</v>
      </c>
    </row>
    <row r="15248" spans="1:14" x14ac:dyDescent="0.25">
      <c r="A15248" t="s">
        <v>25745</v>
      </c>
      <c r="B15248" t="s">
        <v>1566</v>
      </c>
      <c r="C15248" s="1" t="str">
        <f>HYPERLINK("http://www.genecards.org/cgi-bin/carddisp.pl?gene=PPIL2","GeneCards")</f>
        <v>GeneCards</v>
      </c>
      <c r="D15248" s="1" t="str">
        <f>HYPERLINK("http://genome-euro.ucsc.edu/cgi-bin/hgTracks?position=206064_s_at","UCSC")</f>
        <v>UCSC</v>
      </c>
      <c r="E15248" s="1" t="str">
        <f>HYPERLINK("http://www.ncbi.nlm.nih.gov/gene/?term=PPIL2","NCBI")</f>
        <v>NCBI</v>
      </c>
      <c r="F15248">
        <v>0.65</v>
      </c>
      <c r="G15248">
        <v>0.73</v>
      </c>
      <c r="H15248" s="1" t="str">
        <f>HYPERLINK("http://www.weizmann.ac.il/complex/compphys/software/geview/data/figures/206064_s_at.png","Figure")</f>
        <v>Figure</v>
      </c>
      <c r="I15248">
        <v>1.04</v>
      </c>
      <c r="J15248">
        <v>0.69</v>
      </c>
      <c r="K15248">
        <v>1</v>
      </c>
      <c r="L15248">
        <v>1</v>
      </c>
      <c r="M15248">
        <v>0.96399999999999997</v>
      </c>
      <c r="N15248">
        <v>0.68</v>
      </c>
    </row>
    <row r="15249" spans="1:14" x14ac:dyDescent="0.25">
      <c r="A15249" t="s">
        <v>25746</v>
      </c>
      <c r="B15249" t="s">
        <v>25747</v>
      </c>
      <c r="C15249" s="1" t="str">
        <f>HYPERLINK("http://www.genecards.org/cgi-bin/carddisp.pl?gene=CLK2","GeneCards")</f>
        <v>GeneCards</v>
      </c>
      <c r="D15249" s="1" t="str">
        <f>HYPERLINK("http://genome-euro.ucsc.edu/cgi-bin/hgTracks?position=203229_s_at","UCSC")</f>
        <v>UCSC</v>
      </c>
      <c r="E15249" s="1" t="str">
        <f>HYPERLINK("http://www.ncbi.nlm.nih.gov/gene/?term=CLK2","NCBI")</f>
        <v>NCBI</v>
      </c>
      <c r="F15249">
        <v>0.65</v>
      </c>
      <c r="G15249">
        <v>0.73</v>
      </c>
      <c r="H15249" s="1" t="str">
        <f>HYPERLINK("http://www.weizmann.ac.il/complex/compphys/software/geview/data/figures/203229_s_at.png","Figure")</f>
        <v>Figure</v>
      </c>
      <c r="I15249">
        <v>1.1599999999999999</v>
      </c>
      <c r="J15249">
        <v>0.79</v>
      </c>
      <c r="K15249">
        <v>1.19</v>
      </c>
      <c r="L15249">
        <v>0.64</v>
      </c>
      <c r="M15249">
        <v>1.03</v>
      </c>
      <c r="N15249">
        <v>0.99</v>
      </c>
    </row>
    <row r="15250" spans="1:14" x14ac:dyDescent="0.25">
      <c r="A15250" t="s">
        <v>25748</v>
      </c>
      <c r="B15250" t="s">
        <v>25749</v>
      </c>
      <c r="C15250" s="1" t="str">
        <f>HYPERLINK("http://www.genecards.org/cgi-bin/carddisp.pl?gene=XK","GeneCards")</f>
        <v>GeneCards</v>
      </c>
      <c r="D15250" s="1" t="str">
        <f>HYPERLINK("http://genome-euro.ucsc.edu/cgi-bin/hgTracks?position=206698_at","UCSC")</f>
        <v>UCSC</v>
      </c>
      <c r="E15250" s="1" t="str">
        <f>HYPERLINK("http://www.ncbi.nlm.nih.gov/gene/?term=XK","NCBI")</f>
        <v>NCBI</v>
      </c>
      <c r="F15250">
        <v>0.65</v>
      </c>
      <c r="G15250">
        <v>0.73</v>
      </c>
      <c r="H15250" s="1" t="str">
        <f>HYPERLINK("http://www.weizmann.ac.il/complex/compphys/software/geview/data/figures/206698_at.png","Figure")</f>
        <v>Figure</v>
      </c>
      <c r="I15250">
        <v>1.04</v>
      </c>
      <c r="J15250">
        <v>0.68</v>
      </c>
      <c r="K15250">
        <v>1</v>
      </c>
      <c r="L15250">
        <v>1</v>
      </c>
      <c r="M15250">
        <v>0.96299999999999997</v>
      </c>
      <c r="N15250">
        <v>0.7</v>
      </c>
    </row>
    <row r="15251" spans="1:14" x14ac:dyDescent="0.25">
      <c r="A15251" t="s">
        <v>25750</v>
      </c>
      <c r="B15251" t="s">
        <v>25751</v>
      </c>
      <c r="C15251" s="1" t="str">
        <f>HYPERLINK("http://www.genecards.org/cgi-bin/carddisp.pl?gene=LAG3","GeneCards")</f>
        <v>GeneCards</v>
      </c>
      <c r="D15251" s="1" t="str">
        <f>HYPERLINK("http://genome-euro.ucsc.edu/cgi-bin/hgTracks?position=206486_at","UCSC")</f>
        <v>UCSC</v>
      </c>
      <c r="E15251" s="1" t="str">
        <f>HYPERLINK("http://www.ncbi.nlm.nih.gov/gene/?term=LAG3","NCBI")</f>
        <v>NCBI</v>
      </c>
      <c r="F15251">
        <v>0.65</v>
      </c>
      <c r="G15251">
        <v>0.73</v>
      </c>
      <c r="H15251" s="1" t="str">
        <f>HYPERLINK("http://www.weizmann.ac.il/complex/compphys/software/geview/data/figures/206486_at.png","Figure")</f>
        <v>Figure</v>
      </c>
      <c r="I15251">
        <v>1.08</v>
      </c>
      <c r="J15251">
        <v>0.66</v>
      </c>
      <c r="K15251">
        <v>1.01</v>
      </c>
      <c r="L15251">
        <v>0.99</v>
      </c>
      <c r="M15251">
        <v>0.93600000000000005</v>
      </c>
      <c r="N15251">
        <v>0.72</v>
      </c>
    </row>
    <row r="15252" spans="1:14" x14ac:dyDescent="0.25">
      <c r="A15252" t="s">
        <v>25752</v>
      </c>
      <c r="B15252" t="s">
        <v>25753</v>
      </c>
      <c r="C15252" s="1" t="str">
        <f>HYPERLINK("http://www.genecards.org/cgi-bin/carddisp.pl?gene=HIST1H2AL","GeneCards")</f>
        <v>GeneCards</v>
      </c>
      <c r="D15252" s="1" t="str">
        <f>HYPERLINK("http://genome-euro.ucsc.edu/cgi-bin/hgTracks?position=214554_at","UCSC")</f>
        <v>UCSC</v>
      </c>
      <c r="E15252" s="1" t="str">
        <f>HYPERLINK("http://www.ncbi.nlm.nih.gov/gene/?term=HIST1H2AL","NCBI")</f>
        <v>NCBI</v>
      </c>
      <c r="F15252">
        <v>0.65</v>
      </c>
      <c r="G15252">
        <v>0.73</v>
      </c>
      <c r="H15252" s="1" t="str">
        <f>HYPERLINK("http://www.weizmann.ac.il/complex/compphys/software/geview/data/figures/214554_at.png","Figure")</f>
        <v>Figure</v>
      </c>
      <c r="I15252">
        <v>0.94099999999999995</v>
      </c>
      <c r="J15252">
        <v>0.94</v>
      </c>
      <c r="K15252">
        <v>0.86699999999999999</v>
      </c>
      <c r="L15252">
        <v>0.63</v>
      </c>
      <c r="M15252">
        <v>0.92100000000000004</v>
      </c>
      <c r="N15252">
        <v>0.87</v>
      </c>
    </row>
    <row r="15253" spans="1:14" x14ac:dyDescent="0.25">
      <c r="A15253" t="s">
        <v>25754</v>
      </c>
      <c r="B15253" t="s">
        <v>25755</v>
      </c>
      <c r="C15253" s="1" t="str">
        <f>HYPERLINK("http://www.genecards.org/cgi-bin/carddisp.pl?gene=PPP1R3C","GeneCards")</f>
        <v>GeneCards</v>
      </c>
      <c r="D15253" s="1" t="str">
        <f>HYPERLINK("http://genome-euro.ucsc.edu/cgi-bin/hgTracks?position=204284_at","UCSC")</f>
        <v>UCSC</v>
      </c>
      <c r="E15253" s="1" t="str">
        <f>HYPERLINK("http://www.ncbi.nlm.nih.gov/gene/?term=PPP1R3C","NCBI")</f>
        <v>NCBI</v>
      </c>
      <c r="F15253">
        <v>0.65</v>
      </c>
      <c r="G15253">
        <v>0.73</v>
      </c>
      <c r="H15253" s="1" t="str">
        <f>HYPERLINK("http://www.weizmann.ac.il/complex/compphys/software/geview/data/figures/204284_at.png","Figure")</f>
        <v>Figure</v>
      </c>
      <c r="I15253">
        <v>1.03</v>
      </c>
      <c r="J15253">
        <v>0.63</v>
      </c>
      <c r="K15253">
        <v>1.01</v>
      </c>
      <c r="L15253">
        <v>0.88</v>
      </c>
      <c r="M15253">
        <v>0.98299999999999998</v>
      </c>
      <c r="N15253">
        <v>0.84</v>
      </c>
    </row>
    <row r="15254" spans="1:14" x14ac:dyDescent="0.25">
      <c r="A15254" t="s">
        <v>25756</v>
      </c>
      <c r="B15254" t="s">
        <v>9603</v>
      </c>
      <c r="C15254" s="1" t="str">
        <f>HYPERLINK("http://www.genecards.org/cgi-bin/carddisp.pl?gene=ADORA1","GeneCards")</f>
        <v>GeneCards</v>
      </c>
      <c r="D15254" s="1" t="str">
        <f>HYPERLINK("http://genome-euro.ucsc.edu/cgi-bin/hgTracks?position=205481_at","UCSC")</f>
        <v>UCSC</v>
      </c>
      <c r="E15254" s="1" t="str">
        <f>HYPERLINK("http://www.ncbi.nlm.nih.gov/gene/?term=ADORA1","NCBI")</f>
        <v>NCBI</v>
      </c>
      <c r="F15254">
        <v>0.65</v>
      </c>
      <c r="G15254">
        <v>0.73</v>
      </c>
      <c r="H15254" s="1" t="str">
        <f>HYPERLINK("http://www.weizmann.ac.il/complex/compphys/software/geview/data/figures/205481_at.png","Figure")</f>
        <v>Figure</v>
      </c>
      <c r="I15254">
        <v>1.01</v>
      </c>
      <c r="J15254">
        <v>0.76</v>
      </c>
      <c r="K15254">
        <v>0.997</v>
      </c>
      <c r="L15254">
        <v>0.99</v>
      </c>
      <c r="M15254">
        <v>0.98299999999999998</v>
      </c>
      <c r="N15254">
        <v>0.64</v>
      </c>
    </row>
    <row r="15255" spans="1:14" x14ac:dyDescent="0.25">
      <c r="A15255" t="s">
        <v>25757</v>
      </c>
      <c r="B15255" t="s">
        <v>25758</v>
      </c>
      <c r="C15255" s="1" t="str">
        <f>HYPERLINK("http://www.genecards.org/cgi-bin/carddisp.pl?gene=RCVRN","GeneCards")</f>
        <v>GeneCards</v>
      </c>
      <c r="D15255" s="1" t="str">
        <f>HYPERLINK("http://genome-euro.ucsc.edu/cgi-bin/hgTracks?position=206203_at","UCSC")</f>
        <v>UCSC</v>
      </c>
      <c r="E15255" s="1" t="str">
        <f>HYPERLINK("http://www.ncbi.nlm.nih.gov/gene/?term=RCVRN","NCBI")</f>
        <v>NCBI</v>
      </c>
      <c r="F15255">
        <v>0.65</v>
      </c>
      <c r="G15255">
        <v>0.73</v>
      </c>
      <c r="H15255" s="1" t="str">
        <f>HYPERLINK("http://www.weizmann.ac.il/complex/compphys/software/geview/data/figures/206203_at.png","Figure")</f>
        <v>Figure</v>
      </c>
      <c r="I15255">
        <v>0.98199999999999998</v>
      </c>
      <c r="J15255">
        <v>0.95</v>
      </c>
      <c r="K15255">
        <v>0.95199999999999996</v>
      </c>
      <c r="L15255">
        <v>0.64</v>
      </c>
      <c r="M15255">
        <v>0.97</v>
      </c>
      <c r="N15255">
        <v>0.85</v>
      </c>
    </row>
    <row r="15256" spans="1:14" x14ac:dyDescent="0.25">
      <c r="A15256" t="s">
        <v>25759</v>
      </c>
      <c r="B15256" t="s">
        <v>25760</v>
      </c>
      <c r="C15256" s="1" t="str">
        <f>HYPERLINK("http://www.genecards.org/cgi-bin/carddisp.pl?gene=NFS1","GeneCards")</f>
        <v>GeneCards</v>
      </c>
      <c r="D15256" s="1" t="str">
        <f>HYPERLINK("http://genome-euro.ucsc.edu/cgi-bin/hgTracks?position=218455_at","UCSC")</f>
        <v>UCSC</v>
      </c>
      <c r="E15256" s="1" t="str">
        <f>HYPERLINK("http://www.ncbi.nlm.nih.gov/gene/?term=NFS1","NCBI")</f>
        <v>NCBI</v>
      </c>
      <c r="F15256">
        <v>0.65</v>
      </c>
      <c r="G15256">
        <v>0.73</v>
      </c>
      <c r="H15256" s="1" t="str">
        <f>HYPERLINK("http://www.weizmann.ac.il/complex/compphys/software/geview/data/figures/218455_at.png","Figure")</f>
        <v>Figure</v>
      </c>
      <c r="I15256">
        <v>0.94099999999999995</v>
      </c>
      <c r="J15256">
        <v>0.87</v>
      </c>
      <c r="K15256">
        <v>0.90800000000000003</v>
      </c>
      <c r="L15256">
        <v>0.63</v>
      </c>
      <c r="M15256">
        <v>0.96399999999999997</v>
      </c>
      <c r="N15256">
        <v>0.94</v>
      </c>
    </row>
    <row r="15257" spans="1:14" x14ac:dyDescent="0.25">
      <c r="A15257" t="s">
        <v>25761</v>
      </c>
      <c r="B15257" t="s">
        <v>25762</v>
      </c>
      <c r="C15257" s="1" t="str">
        <f>HYPERLINK("http://www.genecards.org/cgi-bin/carddisp.pl?gene=DYNC1I1","GeneCards")</f>
        <v>GeneCards</v>
      </c>
      <c r="D15257" s="1" t="str">
        <f>HYPERLINK("http://genome-euro.ucsc.edu/cgi-bin/hgTracks?position=205348_s_at","UCSC")</f>
        <v>UCSC</v>
      </c>
      <c r="E15257" s="1" t="str">
        <f>HYPERLINK("http://www.ncbi.nlm.nih.gov/gene/?term=DYNC1I1","NCBI")</f>
        <v>NCBI</v>
      </c>
      <c r="F15257">
        <v>0.65</v>
      </c>
      <c r="G15257">
        <v>0.73</v>
      </c>
      <c r="H15257" s="1" t="str">
        <f>HYPERLINK("http://www.weizmann.ac.il/complex/compphys/software/geview/data/figures/205348_s_at.png","Figure")</f>
        <v>Figure</v>
      </c>
      <c r="I15257">
        <v>1.05</v>
      </c>
      <c r="J15257">
        <v>0.84</v>
      </c>
      <c r="K15257">
        <v>0.97199999999999998</v>
      </c>
      <c r="L15257">
        <v>0.93</v>
      </c>
      <c r="M15257">
        <v>0.92500000000000004</v>
      </c>
      <c r="N15257">
        <v>0.63</v>
      </c>
    </row>
    <row r="15258" spans="1:14" x14ac:dyDescent="0.25">
      <c r="A15258" t="s">
        <v>25763</v>
      </c>
      <c r="B15258" t="s">
        <v>23351</v>
      </c>
      <c r="C15258" s="1" t="str">
        <f>HYPERLINK("http://www.genecards.org/cgi-bin/carddisp.pl?gene=KIAA0100","GeneCards")</f>
        <v>GeneCards</v>
      </c>
      <c r="D15258" s="1" t="str">
        <f>HYPERLINK("http://genome-euro.ucsc.edu/cgi-bin/hgTracks?position=201729_s_at","UCSC")</f>
        <v>UCSC</v>
      </c>
      <c r="E15258" s="1" t="str">
        <f>HYPERLINK("http://www.ncbi.nlm.nih.gov/gene/?term=KIAA0100","NCBI")</f>
        <v>NCBI</v>
      </c>
      <c r="F15258">
        <v>0.65</v>
      </c>
      <c r="G15258">
        <v>0.73</v>
      </c>
      <c r="H15258" s="1" t="str">
        <f>HYPERLINK("http://www.weizmann.ac.il/complex/compphys/software/geview/data/figures/201729_s_at.png","Figure")</f>
        <v>Figure</v>
      </c>
      <c r="I15258">
        <v>0.86</v>
      </c>
      <c r="J15258">
        <v>0.69</v>
      </c>
      <c r="K15258">
        <v>0.99</v>
      </c>
      <c r="L15258">
        <v>1</v>
      </c>
      <c r="M15258">
        <v>1.1499999999999999</v>
      </c>
      <c r="N15258">
        <v>0.69</v>
      </c>
    </row>
    <row r="15259" spans="1:14" x14ac:dyDescent="0.25">
      <c r="A15259" t="s">
        <v>25764</v>
      </c>
      <c r="B15259" t="s">
        <v>25765</v>
      </c>
      <c r="C15259" s="1" t="str">
        <f>HYPERLINK("http://www.genecards.org/cgi-bin/carddisp.pl?gene=DHX34","GeneCards")</f>
        <v>GeneCards</v>
      </c>
      <c r="D15259" s="1" t="str">
        <f>HYPERLINK("http://genome-euro.ucsc.edu/cgi-bin/hgTracks?position=204815_s_at","UCSC")</f>
        <v>UCSC</v>
      </c>
      <c r="E15259" s="1" t="str">
        <f>HYPERLINK("http://www.ncbi.nlm.nih.gov/gene/?term=DHX34","NCBI")</f>
        <v>NCBI</v>
      </c>
      <c r="F15259">
        <v>0.65</v>
      </c>
      <c r="G15259">
        <v>0.73</v>
      </c>
      <c r="H15259" s="1" t="str">
        <f>HYPERLINK("http://www.weizmann.ac.il/complex/compphys/software/geview/data/figures/204815_s_at.png","Figure")</f>
        <v>Figure</v>
      </c>
      <c r="I15259">
        <v>1.02</v>
      </c>
      <c r="J15259">
        <v>0.93</v>
      </c>
      <c r="K15259">
        <v>0.96899999999999997</v>
      </c>
      <c r="L15259">
        <v>0.84</v>
      </c>
      <c r="M15259">
        <v>0.94699999999999995</v>
      </c>
      <c r="N15259">
        <v>0.65</v>
      </c>
    </row>
    <row r="15260" spans="1:14" x14ac:dyDescent="0.25">
      <c r="A15260" t="s">
        <v>25766</v>
      </c>
      <c r="B15260" t="s">
        <v>12929</v>
      </c>
      <c r="C15260" s="1" t="str">
        <f>HYPERLINK("http://www.genecards.org/cgi-bin/carddisp.pl?gene=TAOK2","GeneCards")</f>
        <v>GeneCards</v>
      </c>
      <c r="D15260" s="1" t="str">
        <f>HYPERLINK("http://genome-euro.ucsc.edu/cgi-bin/hgTracks?position=204877_s_at","UCSC")</f>
        <v>UCSC</v>
      </c>
      <c r="E15260" s="1" t="str">
        <f>HYPERLINK("http://www.ncbi.nlm.nih.gov/gene/?term=TAOK2","NCBI")</f>
        <v>NCBI</v>
      </c>
      <c r="F15260">
        <v>0.65</v>
      </c>
      <c r="G15260">
        <v>0.73</v>
      </c>
      <c r="H15260" s="1" t="str">
        <f>HYPERLINK("http://www.weizmann.ac.il/complex/compphys/software/geview/data/figures/204877_s_at.png","Figure")</f>
        <v>Figure</v>
      </c>
      <c r="I15260">
        <v>0.96899999999999997</v>
      </c>
      <c r="J15260">
        <v>0.7</v>
      </c>
      <c r="K15260">
        <v>0.97399999999999998</v>
      </c>
      <c r="L15260">
        <v>0.71</v>
      </c>
      <c r="M15260">
        <v>1</v>
      </c>
      <c r="N15260">
        <v>0.99</v>
      </c>
    </row>
    <row r="15261" spans="1:14" x14ac:dyDescent="0.25">
      <c r="A15261" t="s">
        <v>25767</v>
      </c>
      <c r="B15261" t="s">
        <v>9273</v>
      </c>
      <c r="C15261" s="1" t="str">
        <f>HYPERLINK("http://www.genecards.org/cgi-bin/carddisp.pl?gene=SLC2A1","GeneCards")</f>
        <v>GeneCards</v>
      </c>
      <c r="D15261" s="1" t="str">
        <f>HYPERLINK("http://genome-euro.ucsc.edu/cgi-bin/hgTracks?position=201249_at","UCSC")</f>
        <v>UCSC</v>
      </c>
      <c r="E15261" s="1" t="str">
        <f>HYPERLINK("http://www.ncbi.nlm.nih.gov/gene/?term=SLC2A1","NCBI")</f>
        <v>NCBI</v>
      </c>
      <c r="F15261">
        <v>0.65</v>
      </c>
      <c r="G15261">
        <v>0.73</v>
      </c>
      <c r="H15261" s="1" t="str">
        <f>HYPERLINK("http://www.weizmann.ac.il/complex/compphys/software/geview/data/figures/201249_at.png","Figure")</f>
        <v>Figure</v>
      </c>
      <c r="I15261">
        <v>1.05</v>
      </c>
      <c r="J15261">
        <v>0.63</v>
      </c>
      <c r="K15261">
        <v>1.02</v>
      </c>
      <c r="L15261">
        <v>0.88</v>
      </c>
      <c r="M15261">
        <v>0.97299999999999998</v>
      </c>
      <c r="N15261">
        <v>0.84</v>
      </c>
    </row>
    <row r="15262" spans="1:14" x14ac:dyDescent="0.25">
      <c r="A15262" t="s">
        <v>25768</v>
      </c>
      <c r="B15262" t="s">
        <v>25769</v>
      </c>
      <c r="C15262" s="1" t="str">
        <f>HYPERLINK("http://www.genecards.org/cgi-bin/carddisp.pl?gene=C19orf36","GeneCards")</f>
        <v>GeneCards</v>
      </c>
      <c r="D15262" s="1" t="str">
        <f>HYPERLINK("http://genome-euro.ucsc.edu/cgi-bin/hgTracks?position=214296_x_at","UCSC")</f>
        <v>UCSC</v>
      </c>
      <c r="E15262" s="1" t="str">
        <f>HYPERLINK("http://www.ncbi.nlm.nih.gov/gene/?term=C19orf36","NCBI")</f>
        <v>NCBI</v>
      </c>
      <c r="F15262">
        <v>0.65</v>
      </c>
      <c r="G15262">
        <v>0.73</v>
      </c>
      <c r="H15262" s="1" t="str">
        <f>HYPERLINK("http://www.weizmann.ac.il/complex/compphys/software/geview/data/figures/214296_x_at.png","Figure")</f>
        <v>Figure</v>
      </c>
      <c r="I15262">
        <v>1.0900000000000001</v>
      </c>
      <c r="J15262">
        <v>0.66</v>
      </c>
      <c r="K15262">
        <v>1.06</v>
      </c>
      <c r="L15262">
        <v>0.77</v>
      </c>
      <c r="M15262">
        <v>0.97199999999999998</v>
      </c>
      <c r="N15262">
        <v>0.95</v>
      </c>
    </row>
    <row r="15263" spans="1:14" x14ac:dyDescent="0.25">
      <c r="A15263" t="s">
        <v>25770</v>
      </c>
      <c r="B15263" t="s">
        <v>25364</v>
      </c>
      <c r="C15263" s="1" t="str">
        <f>HYPERLINK("http://www.genecards.org/cgi-bin/carddisp.pl?gene=KIAA0746","GeneCards")</f>
        <v>GeneCards</v>
      </c>
      <c r="D15263" s="1" t="str">
        <f>HYPERLINK("http://genome-euro.ucsc.edu/cgi-bin/hgTracks?position=212311_at","UCSC")</f>
        <v>UCSC</v>
      </c>
      <c r="E15263" s="1" t="str">
        <f>HYPERLINK("http://www.ncbi.nlm.nih.gov/gene/?term=KIAA0746","NCBI")</f>
        <v>NCBI</v>
      </c>
      <c r="F15263">
        <v>0.65</v>
      </c>
      <c r="G15263">
        <v>0.73</v>
      </c>
      <c r="H15263" s="1" t="str">
        <f>HYPERLINK("http://www.weizmann.ac.il/complex/compphys/software/geview/data/figures/212311_at.png","Figure")</f>
        <v>Figure</v>
      </c>
      <c r="I15263">
        <v>1.28</v>
      </c>
      <c r="J15263">
        <v>0.63</v>
      </c>
      <c r="K15263">
        <v>1.1100000000000001</v>
      </c>
      <c r="L15263">
        <v>0.89</v>
      </c>
      <c r="M15263">
        <v>0.86899999999999999</v>
      </c>
      <c r="N15263">
        <v>0.83</v>
      </c>
    </row>
    <row r="15264" spans="1:14" x14ac:dyDescent="0.25">
      <c r="A15264" t="s">
        <v>25771</v>
      </c>
      <c r="B15264" t="s">
        <v>25772</v>
      </c>
      <c r="C15264" s="1" t="str">
        <f>HYPERLINK("http://www.genecards.org/cgi-bin/carddisp.pl?gene=C10orf68","GeneCards")</f>
        <v>GeneCards</v>
      </c>
      <c r="D15264" s="1" t="str">
        <f>HYPERLINK("http://genome-euro.ucsc.edu/cgi-bin/hgTracks?position=220749_at","UCSC")</f>
        <v>UCSC</v>
      </c>
      <c r="E15264" s="1" t="str">
        <f>HYPERLINK("http://www.ncbi.nlm.nih.gov/gene/?term=C10orf68","NCBI")</f>
        <v>NCBI</v>
      </c>
      <c r="F15264">
        <v>0.66</v>
      </c>
      <c r="G15264">
        <v>0.73</v>
      </c>
      <c r="H15264" s="1" t="str">
        <f>HYPERLINK("http://www.weizmann.ac.il/complex/compphys/software/geview/data/figures/220749_at.png","Figure")</f>
        <v>Figure</v>
      </c>
      <c r="I15264">
        <v>1.03</v>
      </c>
      <c r="J15264">
        <v>0.93</v>
      </c>
      <c r="K15264">
        <v>0.96199999999999997</v>
      </c>
      <c r="L15264">
        <v>0.84</v>
      </c>
      <c r="M15264">
        <v>0.93500000000000005</v>
      </c>
      <c r="N15264">
        <v>0.65</v>
      </c>
    </row>
    <row r="15265" spans="1:14" x14ac:dyDescent="0.25">
      <c r="A15265" t="s">
        <v>25773</v>
      </c>
      <c r="B15265" t="s">
        <v>22476</v>
      </c>
      <c r="C15265" s="1" t="str">
        <f>HYPERLINK("http://www.genecards.org/cgi-bin/carddisp.pl?gene=KIAA0323","GeneCards")</f>
        <v>GeneCards</v>
      </c>
      <c r="D15265" s="1" t="str">
        <f>HYPERLINK("http://genome-euro.ucsc.edu/cgi-bin/hgTracks?position=212356_at","UCSC")</f>
        <v>UCSC</v>
      </c>
      <c r="E15265" s="1" t="str">
        <f>HYPERLINK("http://www.ncbi.nlm.nih.gov/gene/?term=KIAA0323","NCBI")</f>
        <v>NCBI</v>
      </c>
      <c r="F15265">
        <v>0.66</v>
      </c>
      <c r="G15265">
        <v>0.73</v>
      </c>
      <c r="H15265" s="1" t="str">
        <f>HYPERLINK("http://www.weizmann.ac.il/complex/compphys/software/geview/data/figures/212356_at.png","Figure")</f>
        <v>Figure</v>
      </c>
      <c r="I15265">
        <v>1.1499999999999999</v>
      </c>
      <c r="J15265">
        <v>0.72</v>
      </c>
      <c r="K15265">
        <v>1.1399999999999999</v>
      </c>
      <c r="L15265">
        <v>0.69</v>
      </c>
      <c r="M15265">
        <v>0.98899999999999999</v>
      </c>
      <c r="N15265">
        <v>1</v>
      </c>
    </row>
    <row r="15266" spans="1:14" x14ac:dyDescent="0.25">
      <c r="A15266" t="s">
        <v>25774</v>
      </c>
      <c r="B15266" t="s">
        <v>25775</v>
      </c>
      <c r="C15266" s="1" t="str">
        <f>HYPERLINK("http://www.genecards.org/cgi-bin/carddisp.pl?gene=ATG12","GeneCards")</f>
        <v>GeneCards</v>
      </c>
      <c r="D15266" s="1" t="str">
        <f>HYPERLINK("http://genome-euro.ucsc.edu/cgi-bin/hgTracks?position=204833_at","UCSC")</f>
        <v>UCSC</v>
      </c>
      <c r="E15266" s="1" t="str">
        <f>HYPERLINK("http://www.ncbi.nlm.nih.gov/gene/?term=ATG12","NCBI")</f>
        <v>NCBI</v>
      </c>
      <c r="F15266">
        <v>0.66</v>
      </c>
      <c r="G15266">
        <v>0.73</v>
      </c>
      <c r="H15266" s="1" t="str">
        <f>HYPERLINK("http://www.weizmann.ac.il/complex/compphys/software/geview/data/figures/204833_at.png","Figure")</f>
        <v>Figure</v>
      </c>
      <c r="I15266">
        <v>0.93500000000000005</v>
      </c>
      <c r="J15266">
        <v>0.65</v>
      </c>
      <c r="K15266">
        <v>0.95699999999999996</v>
      </c>
      <c r="L15266">
        <v>0.78</v>
      </c>
      <c r="M15266">
        <v>1.02</v>
      </c>
      <c r="N15266">
        <v>0.94</v>
      </c>
    </row>
    <row r="15267" spans="1:14" x14ac:dyDescent="0.25">
      <c r="A15267" t="s">
        <v>25776</v>
      </c>
      <c r="B15267" t="s">
        <v>18970</v>
      </c>
      <c r="C15267" s="1" t="str">
        <f>HYPERLINK("http://www.genecards.org/cgi-bin/carddisp.pl?gene=BBX","GeneCards")</f>
        <v>GeneCards</v>
      </c>
      <c r="D15267" s="1" t="str">
        <f>HYPERLINK("http://genome-euro.ucsc.edu/cgi-bin/hgTracks?position=213015_at","UCSC")</f>
        <v>UCSC</v>
      </c>
      <c r="E15267" s="1" t="str">
        <f>HYPERLINK("http://www.ncbi.nlm.nih.gov/gene/?term=BBX","NCBI")</f>
        <v>NCBI</v>
      </c>
      <c r="F15267">
        <v>0.66</v>
      </c>
      <c r="G15267">
        <v>0.73</v>
      </c>
      <c r="H15267" s="1" t="str">
        <f>HYPERLINK("http://www.weizmann.ac.il/complex/compphys/software/geview/data/figures/213015_at.png","Figure")</f>
        <v>Figure</v>
      </c>
      <c r="I15267">
        <v>1.17</v>
      </c>
      <c r="J15267">
        <v>0.63</v>
      </c>
      <c r="K15267">
        <v>1.06</v>
      </c>
      <c r="L15267">
        <v>0.91</v>
      </c>
      <c r="M15267">
        <v>0.90600000000000003</v>
      </c>
      <c r="N15267">
        <v>0.81</v>
      </c>
    </row>
    <row r="15268" spans="1:14" x14ac:dyDescent="0.25">
      <c r="A15268" t="s">
        <v>25777</v>
      </c>
      <c r="B15268" t="s">
        <v>25778</v>
      </c>
      <c r="C15268" s="1" t="str">
        <f>HYPERLINK("http://www.genecards.org/cgi-bin/carddisp.pl?gene=ZNHIT6","GeneCards")</f>
        <v>GeneCards</v>
      </c>
      <c r="D15268" s="1" t="str">
        <f>HYPERLINK("http://genome-euro.ucsc.edu/cgi-bin/hgTracks?position=218932_at","UCSC")</f>
        <v>UCSC</v>
      </c>
      <c r="E15268" s="1" t="str">
        <f>HYPERLINK("http://www.ncbi.nlm.nih.gov/gene/?term=ZNHIT6","NCBI")</f>
        <v>NCBI</v>
      </c>
      <c r="F15268">
        <v>0.66</v>
      </c>
      <c r="G15268">
        <v>0.73</v>
      </c>
      <c r="H15268" s="1" t="str">
        <f>HYPERLINK("http://www.weizmann.ac.il/complex/compphys/software/geview/data/figures/218932_at.png","Figure")</f>
        <v>Figure</v>
      </c>
      <c r="I15268">
        <v>0.88500000000000001</v>
      </c>
      <c r="J15268">
        <v>0.89</v>
      </c>
      <c r="K15268">
        <v>0.80800000000000005</v>
      </c>
      <c r="L15268">
        <v>0.63</v>
      </c>
      <c r="M15268">
        <v>0.91300000000000003</v>
      </c>
      <c r="N15268">
        <v>0.93</v>
      </c>
    </row>
    <row r="15269" spans="1:14" x14ac:dyDescent="0.25">
      <c r="A15269" t="s">
        <v>25779</v>
      </c>
      <c r="B15269" t="s">
        <v>25780</v>
      </c>
      <c r="C15269" s="1" t="str">
        <f>HYPERLINK("http://www.genecards.org/cgi-bin/carddisp.pl?gene=OR1A1","GeneCards")</f>
        <v>GeneCards</v>
      </c>
      <c r="D15269" s="1" t="str">
        <f>HYPERLINK("http://genome-euro.ucsc.edu/cgi-bin/hgTracks?position=221388_at","UCSC")</f>
        <v>UCSC</v>
      </c>
      <c r="E15269" s="1" t="str">
        <f>HYPERLINK("http://www.ncbi.nlm.nih.gov/gene/?term=OR1A1","NCBI")</f>
        <v>NCBI</v>
      </c>
      <c r="F15269">
        <v>0.66</v>
      </c>
      <c r="G15269">
        <v>0.73</v>
      </c>
      <c r="H15269" s="1" t="str">
        <f>HYPERLINK("http://www.weizmann.ac.il/complex/compphys/software/geview/data/figures/221388_at.png","Figure")</f>
        <v>Figure</v>
      </c>
      <c r="I15269">
        <v>1.04</v>
      </c>
      <c r="J15269">
        <v>0.9</v>
      </c>
      <c r="K15269">
        <v>0.96599999999999997</v>
      </c>
      <c r="L15269">
        <v>0.88</v>
      </c>
      <c r="M15269">
        <v>0.93100000000000005</v>
      </c>
      <c r="N15269">
        <v>0.63</v>
      </c>
    </row>
    <row r="15270" spans="1:14" x14ac:dyDescent="0.25">
      <c r="A15270" t="s">
        <v>25781</v>
      </c>
      <c r="B15270" t="s">
        <v>12417</v>
      </c>
      <c r="C15270" s="1" t="str">
        <f>HYPERLINK("http://www.genecards.org/cgi-bin/carddisp.pl?gene=RMND5A","GeneCards")</f>
        <v>GeneCards</v>
      </c>
      <c r="D15270" s="1" t="str">
        <f>HYPERLINK("http://genome-euro.ucsc.edu/cgi-bin/hgTracks?position=212482_at","UCSC")</f>
        <v>UCSC</v>
      </c>
      <c r="E15270" s="1" t="str">
        <f>HYPERLINK("http://www.ncbi.nlm.nih.gov/gene/?term=RMND5A","NCBI")</f>
        <v>NCBI</v>
      </c>
      <c r="F15270">
        <v>0.66</v>
      </c>
      <c r="G15270">
        <v>0.73</v>
      </c>
      <c r="H15270" s="1" t="str">
        <f>HYPERLINK("http://www.weizmann.ac.il/complex/compphys/software/geview/data/figures/212482_at.png","Figure")</f>
        <v>Figure</v>
      </c>
      <c r="I15270">
        <v>1.19</v>
      </c>
      <c r="J15270">
        <v>0.67</v>
      </c>
      <c r="K15270">
        <v>1.02</v>
      </c>
      <c r="L15270">
        <v>0.99</v>
      </c>
      <c r="M15270">
        <v>0.85899999999999999</v>
      </c>
      <c r="N15270">
        <v>0.71</v>
      </c>
    </row>
    <row r="15271" spans="1:14" x14ac:dyDescent="0.25">
      <c r="A15271" t="s">
        <v>25782</v>
      </c>
      <c r="B15271" t="s">
        <v>23614</v>
      </c>
      <c r="C15271" s="1" t="str">
        <f>HYPERLINK("http://www.genecards.org/cgi-bin/carddisp.pl?gene=TRIM3","GeneCards")</f>
        <v>GeneCards</v>
      </c>
      <c r="D15271" s="1" t="str">
        <f>HYPERLINK("http://genome-euro.ucsc.edu/cgi-bin/hgTracks?position=213885_at","UCSC")</f>
        <v>UCSC</v>
      </c>
      <c r="E15271" s="1" t="str">
        <f>HYPERLINK("http://www.ncbi.nlm.nih.gov/gene/?term=TRIM3","NCBI")</f>
        <v>NCBI</v>
      </c>
      <c r="F15271">
        <v>0.66</v>
      </c>
      <c r="G15271">
        <v>0.73</v>
      </c>
      <c r="H15271" s="1" t="str">
        <f>HYPERLINK("http://www.weizmann.ac.il/complex/compphys/software/geview/data/figures/213885_at.png","Figure")</f>
        <v>Figure</v>
      </c>
      <c r="I15271">
        <v>1.07</v>
      </c>
      <c r="J15271">
        <v>0.64</v>
      </c>
      <c r="K15271">
        <v>1.02</v>
      </c>
      <c r="L15271">
        <v>0.95</v>
      </c>
      <c r="M15271">
        <v>0.95499999999999996</v>
      </c>
      <c r="N15271">
        <v>0.77</v>
      </c>
    </row>
    <row r="15272" spans="1:14" x14ac:dyDescent="0.25">
      <c r="A15272" t="s">
        <v>25783</v>
      </c>
      <c r="B15272" t="s">
        <v>25784</v>
      </c>
      <c r="C15272" s="1" t="str">
        <f>HYPERLINK("http://www.genecards.org/cgi-bin/carddisp.pl?gene=CCR3","GeneCards")</f>
        <v>GeneCards</v>
      </c>
      <c r="D15272" s="1" t="str">
        <f>HYPERLINK("http://genome-euro.ucsc.edu/cgi-bin/hgTracks?position=208304_at","UCSC")</f>
        <v>UCSC</v>
      </c>
      <c r="E15272" s="1" t="str">
        <f>HYPERLINK("http://www.ncbi.nlm.nih.gov/gene/?term=CCR3","NCBI")</f>
        <v>NCBI</v>
      </c>
      <c r="F15272">
        <v>0.66</v>
      </c>
      <c r="G15272">
        <v>0.73</v>
      </c>
      <c r="H15272" s="1" t="str">
        <f>HYPERLINK("http://www.weizmann.ac.il/complex/compphys/software/geview/data/figures/208304_at.png","Figure")</f>
        <v>Figure</v>
      </c>
      <c r="I15272">
        <v>1.03</v>
      </c>
      <c r="J15272">
        <v>0.8</v>
      </c>
      <c r="K15272">
        <v>1.03</v>
      </c>
      <c r="L15272">
        <v>0.64</v>
      </c>
      <c r="M15272">
        <v>1.01</v>
      </c>
      <c r="N15272">
        <v>0.98</v>
      </c>
    </row>
    <row r="15273" spans="1:14" x14ac:dyDescent="0.25">
      <c r="A15273" t="s">
        <v>25785</v>
      </c>
      <c r="B15273" t="s">
        <v>25786</v>
      </c>
      <c r="C15273" s="1" t="str">
        <f>HYPERLINK("http://www.genecards.org/cgi-bin/carddisp.pl?gene=PTGDR","GeneCards")</f>
        <v>GeneCards</v>
      </c>
      <c r="D15273" s="1" t="str">
        <f>HYPERLINK("http://genome-euro.ucsc.edu/cgi-bin/hgTracks?position=215894_at","UCSC")</f>
        <v>UCSC</v>
      </c>
      <c r="E15273" s="1" t="str">
        <f>HYPERLINK("http://www.ncbi.nlm.nih.gov/gene/?term=PTGDR","NCBI")</f>
        <v>NCBI</v>
      </c>
      <c r="F15273">
        <v>0.66</v>
      </c>
      <c r="G15273">
        <v>0.73</v>
      </c>
      <c r="H15273" s="1" t="str">
        <f>HYPERLINK("http://www.weizmann.ac.il/complex/compphys/software/geview/data/figures/215894_at.png","Figure")</f>
        <v>Figure</v>
      </c>
      <c r="I15273">
        <v>1.1299999999999999</v>
      </c>
      <c r="J15273">
        <v>0.88</v>
      </c>
      <c r="K15273">
        <v>0.90600000000000003</v>
      </c>
      <c r="L15273">
        <v>0.9</v>
      </c>
      <c r="M15273">
        <v>0.80200000000000005</v>
      </c>
      <c r="N15273">
        <v>0.63</v>
      </c>
    </row>
    <row r="15274" spans="1:14" x14ac:dyDescent="0.25">
      <c r="A15274" t="s">
        <v>25787</v>
      </c>
      <c r="B15274" t="s">
        <v>12259</v>
      </c>
      <c r="C15274" s="1" t="str">
        <f>HYPERLINK("http://www.genecards.org/cgi-bin/carddisp.pl?gene=CRK","GeneCards")</f>
        <v>GeneCards</v>
      </c>
      <c r="D15274" s="1" t="str">
        <f>HYPERLINK("http://genome-euro.ucsc.edu/cgi-bin/hgTracks?position=202224_at","UCSC")</f>
        <v>UCSC</v>
      </c>
      <c r="E15274" s="1" t="str">
        <f>HYPERLINK("http://www.ncbi.nlm.nih.gov/gene/?term=CRK","NCBI")</f>
        <v>NCBI</v>
      </c>
      <c r="F15274">
        <v>0.66</v>
      </c>
      <c r="G15274">
        <v>0.73</v>
      </c>
      <c r="H15274" s="1" t="str">
        <f>HYPERLINK("http://www.weizmann.ac.il/complex/compphys/software/geview/data/figures/202224_at.png","Figure")</f>
        <v>Figure</v>
      </c>
      <c r="I15274">
        <v>0.93500000000000005</v>
      </c>
      <c r="J15274">
        <v>0.95</v>
      </c>
      <c r="K15274">
        <v>0.83599999999999997</v>
      </c>
      <c r="L15274">
        <v>0.64</v>
      </c>
      <c r="M15274">
        <v>0.89400000000000002</v>
      </c>
      <c r="N15274">
        <v>0.86</v>
      </c>
    </row>
    <row r="15275" spans="1:14" x14ac:dyDescent="0.25">
      <c r="A15275" t="s">
        <v>25788</v>
      </c>
      <c r="B15275" t="s">
        <v>25789</v>
      </c>
      <c r="C15275" s="1" t="str">
        <f>HYPERLINK("http://www.genecards.org/cgi-bin/carddisp.pl?gene=BTN1A1","GeneCards")</f>
        <v>GeneCards</v>
      </c>
      <c r="D15275" s="1" t="str">
        <f>HYPERLINK("http://genome-euro.ucsc.edu/cgi-bin/hgTracks?position=207395_at","UCSC")</f>
        <v>UCSC</v>
      </c>
      <c r="E15275" s="1" t="str">
        <f>HYPERLINK("http://www.ncbi.nlm.nih.gov/gene/?term=BTN1A1","NCBI")</f>
        <v>NCBI</v>
      </c>
      <c r="F15275">
        <v>0.66</v>
      </c>
      <c r="G15275">
        <v>0.73</v>
      </c>
      <c r="H15275" s="1" t="str">
        <f>HYPERLINK("http://www.weizmann.ac.il/complex/compphys/software/geview/data/figures/207395_at.png","Figure")</f>
        <v>Figure</v>
      </c>
      <c r="I15275">
        <v>0.98799999999999999</v>
      </c>
      <c r="J15275">
        <v>0.96</v>
      </c>
      <c r="K15275">
        <v>0.96199999999999997</v>
      </c>
      <c r="L15275">
        <v>0.65</v>
      </c>
      <c r="M15275">
        <v>0.97499999999999998</v>
      </c>
      <c r="N15275">
        <v>0.84</v>
      </c>
    </row>
    <row r="15276" spans="1:14" x14ac:dyDescent="0.25">
      <c r="A15276" t="s">
        <v>25790</v>
      </c>
      <c r="B15276" t="s">
        <v>12289</v>
      </c>
      <c r="C15276" s="1" t="str">
        <f>HYPERLINK("http://www.genecards.org/cgi-bin/carddisp.pl?gene=FERMT2","GeneCards")</f>
        <v>GeneCards</v>
      </c>
      <c r="D15276" s="1" t="str">
        <f>HYPERLINK("http://genome-euro.ucsc.edu/cgi-bin/hgTracks?position=214212_x_at","UCSC")</f>
        <v>UCSC</v>
      </c>
      <c r="E15276" s="1" t="str">
        <f>HYPERLINK("http://www.ncbi.nlm.nih.gov/gene/?term=FERMT2","NCBI")</f>
        <v>NCBI</v>
      </c>
      <c r="F15276">
        <v>0.66</v>
      </c>
      <c r="G15276">
        <v>0.73</v>
      </c>
      <c r="H15276" s="1" t="str">
        <f>HYPERLINK("http://www.weizmann.ac.il/complex/compphys/software/geview/data/figures/214212_x_at.png","Figure")</f>
        <v>Figure</v>
      </c>
      <c r="I15276">
        <v>0.97599999999999998</v>
      </c>
      <c r="J15276">
        <v>0.77</v>
      </c>
      <c r="K15276">
        <v>0.97399999999999998</v>
      </c>
      <c r="L15276">
        <v>0.66</v>
      </c>
      <c r="M15276">
        <v>0.998</v>
      </c>
      <c r="N15276">
        <v>1</v>
      </c>
    </row>
    <row r="15277" spans="1:14" x14ac:dyDescent="0.25">
      <c r="A15277" t="s">
        <v>25791</v>
      </c>
      <c r="B15277" t="s">
        <v>21137</v>
      </c>
      <c r="C15277" s="1" t="str">
        <f>HYPERLINK("http://www.genecards.org/cgi-bin/carddisp.pl?gene=CAMK2G","GeneCards")</f>
        <v>GeneCards</v>
      </c>
      <c r="D15277" s="1" t="str">
        <f>HYPERLINK("http://genome-euro.ucsc.edu/cgi-bin/hgTracks?position=212757_s_at","UCSC")</f>
        <v>UCSC</v>
      </c>
      <c r="E15277" s="1" t="str">
        <f>HYPERLINK("http://www.ncbi.nlm.nih.gov/gene/?term=CAMK2G","NCBI")</f>
        <v>NCBI</v>
      </c>
      <c r="F15277">
        <v>0.66</v>
      </c>
      <c r="G15277">
        <v>0.73</v>
      </c>
      <c r="H15277" s="1" t="str">
        <f>HYPERLINK("http://www.weizmann.ac.il/complex/compphys/software/geview/data/figures/212757_s_at.png","Figure")</f>
        <v>Figure</v>
      </c>
      <c r="I15277">
        <v>0.88900000000000001</v>
      </c>
      <c r="J15277">
        <v>0.63</v>
      </c>
      <c r="K15277">
        <v>0.95199999999999996</v>
      </c>
      <c r="L15277">
        <v>0.9</v>
      </c>
      <c r="M15277">
        <v>1.07</v>
      </c>
      <c r="N15277">
        <v>0.83</v>
      </c>
    </row>
    <row r="15278" spans="1:14" x14ac:dyDescent="0.25">
      <c r="A15278" t="s">
        <v>25792</v>
      </c>
      <c r="B15278" t="s">
        <v>25793</v>
      </c>
      <c r="C15278" s="1" t="str">
        <f>HYPERLINK("http://www.genecards.org/cgi-bin/carddisp.pl?gene=LY6G6C","GeneCards")</f>
        <v>GeneCards</v>
      </c>
      <c r="D15278" s="1" t="str">
        <f>HYPERLINK("http://genome-euro.ucsc.edu/cgi-bin/hgTracks?position=207114_at","UCSC")</f>
        <v>UCSC</v>
      </c>
      <c r="E15278" s="1" t="str">
        <f>HYPERLINK("http://www.ncbi.nlm.nih.gov/gene/?term=LY6G6C","NCBI")</f>
        <v>NCBI</v>
      </c>
      <c r="F15278">
        <v>0.66</v>
      </c>
      <c r="G15278">
        <v>0.73</v>
      </c>
      <c r="H15278" s="1" t="str">
        <f>HYPERLINK("http://www.weizmann.ac.il/complex/compphys/software/geview/data/figures/207114_at.png","Figure")</f>
        <v>Figure</v>
      </c>
      <c r="I15278">
        <v>1</v>
      </c>
      <c r="J15278">
        <v>1</v>
      </c>
      <c r="K15278">
        <v>0.96099999999999997</v>
      </c>
      <c r="L15278">
        <v>0.73</v>
      </c>
      <c r="M15278">
        <v>0.95699999999999996</v>
      </c>
      <c r="N15278">
        <v>0.72</v>
      </c>
    </row>
    <row r="15279" spans="1:14" x14ac:dyDescent="0.25">
      <c r="A15279" t="s">
        <v>25794</v>
      </c>
      <c r="B15279" t="s">
        <v>25795</v>
      </c>
      <c r="C15279" s="1" t="str">
        <f>HYPERLINK("http://www.genecards.org/cgi-bin/carddisp.pl?gene=ERLIN1","GeneCards")</f>
        <v>GeneCards</v>
      </c>
      <c r="D15279" s="1" t="str">
        <f>HYPERLINK("http://genome-euro.ucsc.edu/cgi-bin/hgTracks?position=202441_at","UCSC")</f>
        <v>UCSC</v>
      </c>
      <c r="E15279" s="1" t="str">
        <f>HYPERLINK("http://www.ncbi.nlm.nih.gov/gene/?term=ERLIN1","NCBI")</f>
        <v>NCBI</v>
      </c>
      <c r="F15279">
        <v>0.66</v>
      </c>
      <c r="G15279">
        <v>0.73</v>
      </c>
      <c r="H15279" s="1" t="str">
        <f>HYPERLINK("http://www.weizmann.ac.il/complex/compphys/software/geview/data/figures/202441_at.png","Figure")</f>
        <v>Figure</v>
      </c>
      <c r="I15279">
        <v>1.03</v>
      </c>
      <c r="J15279">
        <v>0.98</v>
      </c>
      <c r="K15279">
        <v>1.1399999999999999</v>
      </c>
      <c r="L15279">
        <v>0.66</v>
      </c>
      <c r="M15279">
        <v>1.1000000000000001</v>
      </c>
      <c r="N15279">
        <v>0.82</v>
      </c>
    </row>
    <row r="15280" spans="1:14" x14ac:dyDescent="0.25">
      <c r="A15280" t="s">
        <v>25796</v>
      </c>
      <c r="B15280" t="s">
        <v>25797</v>
      </c>
      <c r="C15280" s="1" t="str">
        <f>HYPERLINK("http://www.genecards.org/cgi-bin/carddisp.pl?gene=MAP3K5","GeneCards")</f>
        <v>GeneCards</v>
      </c>
      <c r="D15280" s="1" t="str">
        <f>HYPERLINK("http://genome-euro.ucsc.edu/cgi-bin/hgTracks?position=203836_s_at","UCSC")</f>
        <v>UCSC</v>
      </c>
      <c r="E15280" s="1" t="str">
        <f>HYPERLINK("http://www.ncbi.nlm.nih.gov/gene/?term=MAP3K5","NCBI")</f>
        <v>NCBI</v>
      </c>
      <c r="F15280">
        <v>0.66</v>
      </c>
      <c r="G15280">
        <v>0.73</v>
      </c>
      <c r="H15280" s="1" t="str">
        <f>HYPERLINK("http://www.weizmann.ac.il/complex/compphys/software/geview/data/figures/203836_s_at.png","Figure")</f>
        <v>Figure</v>
      </c>
      <c r="I15280">
        <v>1.1000000000000001</v>
      </c>
      <c r="J15280">
        <v>0.76</v>
      </c>
      <c r="K15280">
        <v>1.1000000000000001</v>
      </c>
      <c r="L15280">
        <v>0.67</v>
      </c>
      <c r="M15280">
        <v>1.01</v>
      </c>
      <c r="N15280">
        <v>1</v>
      </c>
    </row>
    <row r="15281" spans="1:14" x14ac:dyDescent="0.25">
      <c r="A15281" t="s">
        <v>25798</v>
      </c>
      <c r="B15281" t="s">
        <v>14544</v>
      </c>
      <c r="C15281" s="1" t="str">
        <f>HYPERLINK("http://www.genecards.org/cgi-bin/carddisp.pl?gene=ITSN2","GeneCards")</f>
        <v>GeneCards</v>
      </c>
      <c r="D15281" s="1" t="str">
        <f>HYPERLINK("http://genome-euro.ucsc.edu/cgi-bin/hgTracks?position=209907_s_at","UCSC")</f>
        <v>UCSC</v>
      </c>
      <c r="E15281" s="1" t="str">
        <f>HYPERLINK("http://www.ncbi.nlm.nih.gov/gene/?term=ITSN2","NCBI")</f>
        <v>NCBI</v>
      </c>
      <c r="F15281">
        <v>0.66</v>
      </c>
      <c r="G15281">
        <v>0.73</v>
      </c>
      <c r="H15281" s="1" t="str">
        <f>HYPERLINK("http://www.weizmann.ac.il/complex/compphys/software/geview/data/figures/209907_s_at.png","Figure")</f>
        <v>Figure</v>
      </c>
      <c r="I15281">
        <v>1.0900000000000001</v>
      </c>
      <c r="J15281">
        <v>0.93</v>
      </c>
      <c r="K15281">
        <v>0.89500000000000002</v>
      </c>
      <c r="L15281">
        <v>0.85</v>
      </c>
      <c r="M15281">
        <v>0.82299999999999995</v>
      </c>
      <c r="N15281">
        <v>0.65</v>
      </c>
    </row>
    <row r="15282" spans="1:14" x14ac:dyDescent="0.25">
      <c r="A15282" t="s">
        <v>25799</v>
      </c>
      <c r="B15282" t="s">
        <v>19712</v>
      </c>
      <c r="C15282" s="1" t="str">
        <f>HYPERLINK("http://www.genecards.org/cgi-bin/carddisp.pl?gene=RPS14","GeneCards")</f>
        <v>GeneCards</v>
      </c>
      <c r="D15282" s="1" t="str">
        <f>HYPERLINK("http://genome-euro.ucsc.edu/cgi-bin/hgTracks?position=214245_at","UCSC")</f>
        <v>UCSC</v>
      </c>
      <c r="E15282" s="1" t="str">
        <f>HYPERLINK("http://www.ncbi.nlm.nih.gov/gene/?term=RPS14","NCBI")</f>
        <v>NCBI</v>
      </c>
      <c r="F15282">
        <v>0.66</v>
      </c>
      <c r="G15282">
        <v>0.73</v>
      </c>
      <c r="H15282" s="1" t="str">
        <f>HYPERLINK("http://www.weizmann.ac.il/complex/compphys/software/geview/data/figures/214245_at.png","Figure")</f>
        <v>Figure</v>
      </c>
      <c r="I15282">
        <v>1</v>
      </c>
      <c r="J15282">
        <v>0.76</v>
      </c>
      <c r="K15282">
        <v>0.999</v>
      </c>
      <c r="L15282">
        <v>0.99</v>
      </c>
      <c r="M15282">
        <v>0.995</v>
      </c>
      <c r="N15282">
        <v>0.65</v>
      </c>
    </row>
    <row r="15283" spans="1:14" x14ac:dyDescent="0.25">
      <c r="A15283" t="s">
        <v>25800</v>
      </c>
      <c r="B15283" t="s">
        <v>25801</v>
      </c>
      <c r="C15283" s="1" t="str">
        <f>HYPERLINK("http://www.genecards.org/cgi-bin/carddisp.pl?gene=GNA12","GeneCards")</f>
        <v>GeneCards</v>
      </c>
      <c r="D15283" s="1" t="str">
        <f>HYPERLINK("http://genome-euro.ucsc.edu/cgi-bin/hgTracks?position=221737_at","UCSC")</f>
        <v>UCSC</v>
      </c>
      <c r="E15283" s="1" t="str">
        <f>HYPERLINK("http://www.ncbi.nlm.nih.gov/gene/?term=GNA12","NCBI")</f>
        <v>NCBI</v>
      </c>
      <c r="F15283">
        <v>0.66</v>
      </c>
      <c r="G15283">
        <v>0.73</v>
      </c>
      <c r="H15283" s="1" t="str">
        <f>HYPERLINK("http://www.weizmann.ac.il/complex/compphys/software/geview/data/figures/221737_at.png","Figure")</f>
        <v>Figure</v>
      </c>
      <c r="I15283">
        <v>1.1000000000000001</v>
      </c>
      <c r="J15283">
        <v>0.83</v>
      </c>
      <c r="K15283">
        <v>0.95699999999999996</v>
      </c>
      <c r="L15283">
        <v>0.94</v>
      </c>
      <c r="M15283">
        <v>0.873</v>
      </c>
      <c r="N15283">
        <v>0.63</v>
      </c>
    </row>
    <row r="15284" spans="1:14" x14ac:dyDescent="0.25">
      <c r="A15284" t="s">
        <v>25802</v>
      </c>
      <c r="B15284" t="s">
        <v>12380</v>
      </c>
      <c r="C15284" s="1" t="str">
        <f>HYPERLINK("http://www.genecards.org/cgi-bin/carddisp.pl?gene=ZNF131","GeneCards")</f>
        <v>GeneCards</v>
      </c>
      <c r="D15284" s="1" t="str">
        <f>HYPERLINK("http://genome-euro.ucsc.edu/cgi-bin/hgTracks?position=221842_s_at","UCSC")</f>
        <v>UCSC</v>
      </c>
      <c r="E15284" s="1" t="str">
        <f>HYPERLINK("http://www.ncbi.nlm.nih.gov/gene/?term=ZNF131","NCBI")</f>
        <v>NCBI</v>
      </c>
      <c r="F15284">
        <v>0.66</v>
      </c>
      <c r="G15284">
        <v>0.73</v>
      </c>
      <c r="H15284" s="1" t="str">
        <f>HYPERLINK("http://www.weizmann.ac.il/complex/compphys/software/geview/data/figures/221842_s_at.png","Figure")</f>
        <v>Figure</v>
      </c>
      <c r="I15284">
        <v>1.01</v>
      </c>
      <c r="J15284">
        <v>1</v>
      </c>
      <c r="K15284">
        <v>0.88700000000000001</v>
      </c>
      <c r="L15284">
        <v>0.73</v>
      </c>
      <c r="M15284">
        <v>0.877</v>
      </c>
      <c r="N15284">
        <v>0.72</v>
      </c>
    </row>
    <row r="15285" spans="1:14" x14ac:dyDescent="0.25">
      <c r="A15285" t="s">
        <v>25803</v>
      </c>
      <c r="B15285" t="s">
        <v>14043</v>
      </c>
      <c r="C15285" s="1" t="str">
        <f>HYPERLINK("http://www.genecards.org/cgi-bin/carddisp.pl?gene=ACBD3","GeneCards")</f>
        <v>GeneCards</v>
      </c>
      <c r="D15285" s="1" t="str">
        <f>HYPERLINK("http://genome-euro.ucsc.edu/cgi-bin/hgTracks?position=202324_s_at","UCSC")</f>
        <v>UCSC</v>
      </c>
      <c r="E15285" s="1" t="str">
        <f>HYPERLINK("http://www.ncbi.nlm.nih.gov/gene/?term=ACBD3","NCBI")</f>
        <v>NCBI</v>
      </c>
      <c r="F15285">
        <v>0.66</v>
      </c>
      <c r="G15285">
        <v>0.73</v>
      </c>
      <c r="H15285" s="1" t="str">
        <f>HYPERLINK("http://www.weizmann.ac.il/complex/compphys/software/geview/data/figures/202324_s_at.png","Figure")</f>
        <v>Figure</v>
      </c>
      <c r="I15285">
        <v>1.06</v>
      </c>
      <c r="J15285">
        <v>0.96</v>
      </c>
      <c r="K15285">
        <v>0.878</v>
      </c>
      <c r="L15285">
        <v>0.8</v>
      </c>
      <c r="M15285">
        <v>0.82599999999999996</v>
      </c>
      <c r="N15285">
        <v>0.67</v>
      </c>
    </row>
    <row r="15286" spans="1:14" x14ac:dyDescent="0.25">
      <c r="A15286" t="s">
        <v>25804</v>
      </c>
      <c r="B15286" t="s">
        <v>25805</v>
      </c>
      <c r="C15286" s="1" t="str">
        <f>HYPERLINK("http://www.genecards.org/cgi-bin/carddisp.pl?gene=KIF16B","GeneCards")</f>
        <v>GeneCards</v>
      </c>
      <c r="D15286" s="1" t="str">
        <f>HYPERLINK("http://genome-euro.ucsc.edu/cgi-bin/hgTracks?position=219570_at","UCSC")</f>
        <v>UCSC</v>
      </c>
      <c r="E15286" s="1" t="str">
        <f>HYPERLINK("http://www.ncbi.nlm.nih.gov/gene/?term=KIF16B","NCBI")</f>
        <v>NCBI</v>
      </c>
      <c r="F15286">
        <v>0.66</v>
      </c>
      <c r="G15286">
        <v>0.73</v>
      </c>
      <c r="H15286" s="1" t="str">
        <f>HYPERLINK("http://www.weizmann.ac.il/complex/compphys/software/geview/data/figures/219570_at.png","Figure")</f>
        <v>Figure</v>
      </c>
      <c r="I15286">
        <v>0.94599999999999995</v>
      </c>
      <c r="J15286">
        <v>0.64</v>
      </c>
      <c r="K15286">
        <v>0.96899999999999997</v>
      </c>
      <c r="L15286">
        <v>0.83</v>
      </c>
      <c r="M15286">
        <v>1.02</v>
      </c>
      <c r="N15286">
        <v>0.9</v>
      </c>
    </row>
    <row r="15287" spans="1:14" x14ac:dyDescent="0.25">
      <c r="A15287" t="s">
        <v>25806</v>
      </c>
      <c r="B15287" t="s">
        <v>25807</v>
      </c>
      <c r="C15287" s="1" t="str">
        <f>HYPERLINK("http://www.genecards.org/cgi-bin/carddisp.pl?gene=TMEM50A","GeneCards")</f>
        <v>GeneCards</v>
      </c>
      <c r="D15287" s="1" t="str">
        <f>HYPERLINK("http://genome-euro.ucsc.edu/cgi-bin/hgTracks?position=217766_s_at","UCSC")</f>
        <v>UCSC</v>
      </c>
      <c r="E15287" s="1" t="str">
        <f>HYPERLINK("http://www.ncbi.nlm.nih.gov/gene/?term=TMEM50A","NCBI")</f>
        <v>NCBI</v>
      </c>
      <c r="F15287">
        <v>0.66</v>
      </c>
      <c r="G15287">
        <v>0.73</v>
      </c>
      <c r="H15287" s="1" t="str">
        <f>HYPERLINK("http://www.weizmann.ac.il/complex/compphys/software/geview/data/figures/217766_s_at.png","Figure")</f>
        <v>Figure</v>
      </c>
      <c r="I15287">
        <v>0.85899999999999999</v>
      </c>
      <c r="J15287">
        <v>0.72</v>
      </c>
      <c r="K15287">
        <v>0.86899999999999999</v>
      </c>
      <c r="L15287">
        <v>0.69</v>
      </c>
      <c r="M15287">
        <v>1.01</v>
      </c>
      <c r="N15287">
        <v>1</v>
      </c>
    </row>
    <row r="15288" spans="1:14" x14ac:dyDescent="0.25">
      <c r="A15288" t="s">
        <v>25808</v>
      </c>
      <c r="B15288" t="s">
        <v>13371</v>
      </c>
      <c r="C15288" s="1" t="str">
        <f>HYPERLINK("http://www.genecards.org/cgi-bin/carddisp.pl?gene=MOBKL1B","GeneCards")</f>
        <v>GeneCards</v>
      </c>
      <c r="D15288" s="1" t="str">
        <f>HYPERLINK("http://genome-euro.ucsc.edu/cgi-bin/hgTracks?position=201297_s_at","UCSC")</f>
        <v>UCSC</v>
      </c>
      <c r="E15288" s="1" t="str">
        <f>HYPERLINK("http://www.ncbi.nlm.nih.gov/gene/?term=MOBKL1B","NCBI")</f>
        <v>NCBI</v>
      </c>
      <c r="F15288">
        <v>0.66</v>
      </c>
      <c r="G15288">
        <v>0.73</v>
      </c>
      <c r="H15288" s="1" t="str">
        <f>HYPERLINK("http://www.weizmann.ac.il/complex/compphys/software/geview/data/figures/201297_s_at.png","Figure")</f>
        <v>Figure</v>
      </c>
      <c r="I15288">
        <v>0.88</v>
      </c>
      <c r="J15288">
        <v>0.78</v>
      </c>
      <c r="K15288">
        <v>1.04</v>
      </c>
      <c r="L15288">
        <v>0.98</v>
      </c>
      <c r="M15288">
        <v>1.18</v>
      </c>
      <c r="N15288">
        <v>0.64</v>
      </c>
    </row>
    <row r="15289" spans="1:14" x14ac:dyDescent="0.25">
      <c r="A15289" t="s">
        <v>25809</v>
      </c>
      <c r="B15289" t="s">
        <v>20676</v>
      </c>
      <c r="C15289" s="1" t="str">
        <f>HYPERLINK("http://www.genecards.org/cgi-bin/carddisp.pl?gene=HSPB11","GeneCards")</f>
        <v>GeneCards</v>
      </c>
      <c r="D15289" s="1" t="str">
        <f>HYPERLINK("http://genome-euro.ucsc.edu/cgi-bin/hgTracks?position=215691_x_at","UCSC")</f>
        <v>UCSC</v>
      </c>
      <c r="E15289" s="1" t="str">
        <f>HYPERLINK("http://www.ncbi.nlm.nih.gov/gene/?term=HSPB11","NCBI")</f>
        <v>NCBI</v>
      </c>
      <c r="F15289">
        <v>0.66</v>
      </c>
      <c r="G15289">
        <v>0.73</v>
      </c>
      <c r="H15289" s="1" t="str">
        <f>HYPERLINK("http://www.weizmann.ac.il/complex/compphys/software/geview/data/figures/215691_x_at.png","Figure")</f>
        <v>Figure</v>
      </c>
      <c r="I15289">
        <v>1</v>
      </c>
      <c r="J15289">
        <v>1</v>
      </c>
      <c r="K15289">
        <v>1.1100000000000001</v>
      </c>
      <c r="L15289">
        <v>0.71</v>
      </c>
      <c r="M15289">
        <v>1.1100000000000001</v>
      </c>
      <c r="N15289">
        <v>0.75</v>
      </c>
    </row>
    <row r="15290" spans="1:14" x14ac:dyDescent="0.25">
      <c r="A15290" t="s">
        <v>25810</v>
      </c>
      <c r="B15290" t="s">
        <v>8020</v>
      </c>
      <c r="C15290" s="1" t="str">
        <f>HYPERLINK("http://www.genecards.org/cgi-bin/carddisp.pl?gene=NRG1","GeneCards")</f>
        <v>GeneCards</v>
      </c>
      <c r="D15290" s="1" t="str">
        <f>HYPERLINK("http://genome-euro.ucsc.edu/cgi-bin/hgTracks?position=206237_s_at","UCSC")</f>
        <v>UCSC</v>
      </c>
      <c r="E15290" s="1" t="str">
        <f>HYPERLINK("http://www.ncbi.nlm.nih.gov/gene/?term=NRG1","NCBI")</f>
        <v>NCBI</v>
      </c>
      <c r="F15290">
        <v>0.66</v>
      </c>
      <c r="G15290">
        <v>0.73</v>
      </c>
      <c r="H15290" s="1" t="str">
        <f>HYPERLINK("http://www.weizmann.ac.il/complex/compphys/software/geview/data/figures/206237_s_at.png","Figure")</f>
        <v>Figure</v>
      </c>
      <c r="I15290">
        <v>1.04</v>
      </c>
      <c r="J15290">
        <v>0.83</v>
      </c>
      <c r="K15290">
        <v>0.98</v>
      </c>
      <c r="L15290">
        <v>0.94</v>
      </c>
      <c r="M15290">
        <v>0.94099999999999995</v>
      </c>
      <c r="N15290">
        <v>0.63</v>
      </c>
    </row>
    <row r="15291" spans="1:14" x14ac:dyDescent="0.25">
      <c r="A15291" t="s">
        <v>25811</v>
      </c>
      <c r="B15291" t="s">
        <v>19069</v>
      </c>
      <c r="C15291" s="1" t="str">
        <f>HYPERLINK("http://www.genecards.org/cgi-bin/carddisp.pl?gene=CDSN","GeneCards")</f>
        <v>GeneCards</v>
      </c>
      <c r="D15291" s="1" t="str">
        <f>HYPERLINK("http://genome-euro.ucsc.edu/cgi-bin/hgTracks?position=206193_s_at","UCSC")</f>
        <v>UCSC</v>
      </c>
      <c r="E15291" s="1" t="str">
        <f>HYPERLINK("http://www.ncbi.nlm.nih.gov/gene/?term=CDSN","NCBI")</f>
        <v>NCBI</v>
      </c>
      <c r="F15291">
        <v>0.66</v>
      </c>
      <c r="G15291">
        <v>0.73</v>
      </c>
      <c r="H15291" s="1" t="str">
        <f>HYPERLINK("http://www.weizmann.ac.il/complex/compphys/software/geview/data/figures/206193_s_at.png","Figure")</f>
        <v>Figure</v>
      </c>
      <c r="I15291">
        <v>1.07</v>
      </c>
      <c r="J15291">
        <v>0.68</v>
      </c>
      <c r="K15291">
        <v>1.05</v>
      </c>
      <c r="L15291">
        <v>0.74</v>
      </c>
      <c r="M15291">
        <v>0.98399999999999999</v>
      </c>
      <c r="N15291">
        <v>0.97</v>
      </c>
    </row>
    <row r="15292" spans="1:14" x14ac:dyDescent="0.25">
      <c r="A15292" t="s">
        <v>25812</v>
      </c>
      <c r="B15292" t="s">
        <v>11952</v>
      </c>
      <c r="C15292" s="1" t="str">
        <f>HYPERLINK("http://www.genecards.org/cgi-bin/carddisp.pl?gene=OSBPL10","GeneCards")</f>
        <v>GeneCards</v>
      </c>
      <c r="D15292" s="1" t="str">
        <f>HYPERLINK("http://genome-euro.ucsc.edu/cgi-bin/hgTracks?position=219073_s_at","UCSC")</f>
        <v>UCSC</v>
      </c>
      <c r="E15292" s="1" t="str">
        <f>HYPERLINK("http://www.ncbi.nlm.nih.gov/gene/?term=OSBPL10","NCBI")</f>
        <v>NCBI</v>
      </c>
      <c r="F15292">
        <v>0.66</v>
      </c>
      <c r="G15292">
        <v>0.73</v>
      </c>
      <c r="H15292" s="1" t="str">
        <f>HYPERLINK("http://www.weizmann.ac.il/complex/compphys/software/geview/data/figures/219073_s_at.png","Figure")</f>
        <v>Figure</v>
      </c>
      <c r="I15292">
        <v>0.90100000000000002</v>
      </c>
      <c r="J15292">
        <v>0.71</v>
      </c>
      <c r="K15292">
        <v>0.91100000000000003</v>
      </c>
      <c r="L15292">
        <v>0.7</v>
      </c>
      <c r="M15292">
        <v>1.01</v>
      </c>
      <c r="N15292">
        <v>1</v>
      </c>
    </row>
    <row r="15293" spans="1:14" x14ac:dyDescent="0.25">
      <c r="A15293" t="s">
        <v>25813</v>
      </c>
      <c r="B15293" t="s">
        <v>20109</v>
      </c>
      <c r="C15293" s="1" t="str">
        <f>HYPERLINK("http://www.genecards.org/cgi-bin/carddisp.pl?gene=CEACAM5","GeneCards")</f>
        <v>GeneCards</v>
      </c>
      <c r="D15293" s="1" t="str">
        <f>HYPERLINK("http://genome-euro.ucsc.edu/cgi-bin/hgTracks?position=217291_at","UCSC")</f>
        <v>UCSC</v>
      </c>
      <c r="E15293" s="1" t="str">
        <f>HYPERLINK("http://www.ncbi.nlm.nih.gov/gene/?term=CEACAM5","NCBI")</f>
        <v>NCBI</v>
      </c>
      <c r="F15293">
        <v>0.66</v>
      </c>
      <c r="G15293">
        <v>0.73</v>
      </c>
      <c r="H15293" s="1" t="str">
        <f>HYPERLINK("http://www.weizmann.ac.il/complex/compphys/software/geview/data/figures/217291_at.png","Figure")</f>
        <v>Figure</v>
      </c>
      <c r="I15293">
        <v>0.995</v>
      </c>
      <c r="J15293">
        <v>1</v>
      </c>
      <c r="K15293">
        <v>0.94899999999999995</v>
      </c>
      <c r="L15293">
        <v>0.69</v>
      </c>
      <c r="M15293">
        <v>0.95399999999999996</v>
      </c>
      <c r="N15293">
        <v>0.77</v>
      </c>
    </row>
    <row r="15294" spans="1:14" x14ac:dyDescent="0.25">
      <c r="A15294" t="s">
        <v>25814</v>
      </c>
      <c r="B15294" t="s">
        <v>25815</v>
      </c>
      <c r="C15294" s="1" t="str">
        <f>HYPERLINK("http://www.genecards.org/cgi-bin/carddisp.pl?gene=C11orf20","GeneCards")</f>
        <v>GeneCards</v>
      </c>
      <c r="D15294" s="1" t="str">
        <f>HYPERLINK("http://genome-euro.ucsc.edu/cgi-bin/hgTracks?position=219883_at","UCSC")</f>
        <v>UCSC</v>
      </c>
      <c r="E15294" s="1" t="str">
        <f>HYPERLINK("http://www.ncbi.nlm.nih.gov/gene/?term=C11orf20","NCBI")</f>
        <v>NCBI</v>
      </c>
      <c r="F15294">
        <v>0.66</v>
      </c>
      <c r="G15294">
        <v>0.73</v>
      </c>
      <c r="H15294" s="1" t="str">
        <f>HYPERLINK("http://www.weizmann.ac.il/complex/compphys/software/geview/data/figures/219883_at.png","Figure")</f>
        <v>Figure</v>
      </c>
      <c r="I15294">
        <v>1.06</v>
      </c>
      <c r="J15294">
        <v>0.69</v>
      </c>
      <c r="K15294">
        <v>1</v>
      </c>
      <c r="L15294">
        <v>1</v>
      </c>
      <c r="M15294">
        <v>0.94299999999999995</v>
      </c>
      <c r="N15294">
        <v>0.69</v>
      </c>
    </row>
    <row r="15295" spans="1:14" x14ac:dyDescent="0.25">
      <c r="A15295" t="s">
        <v>25816</v>
      </c>
      <c r="B15295" t="s">
        <v>25817</v>
      </c>
      <c r="C15295" s="1" t="str">
        <f>HYPERLINK("http://www.genecards.org/cgi-bin/carddisp.pl?gene=TAF5","GeneCards")</f>
        <v>GeneCards</v>
      </c>
      <c r="D15295" s="1" t="str">
        <f>HYPERLINK("http://genome-euro.ucsc.edu/cgi-bin/hgTracks?position=210053_at","UCSC")</f>
        <v>UCSC</v>
      </c>
      <c r="E15295" s="1" t="str">
        <f>HYPERLINK("http://www.ncbi.nlm.nih.gov/gene/?term=TAF5","NCBI")</f>
        <v>NCBI</v>
      </c>
      <c r="F15295">
        <v>0.66</v>
      </c>
      <c r="G15295">
        <v>0.73</v>
      </c>
      <c r="H15295" s="1" t="str">
        <f>HYPERLINK("http://www.weizmann.ac.il/complex/compphys/software/geview/data/figures/210053_at.png","Figure")</f>
        <v>Figure</v>
      </c>
      <c r="I15295">
        <v>1.0900000000000001</v>
      </c>
      <c r="J15295">
        <v>0.9</v>
      </c>
      <c r="K15295">
        <v>1.17</v>
      </c>
      <c r="L15295">
        <v>0.63</v>
      </c>
      <c r="M15295">
        <v>1.08</v>
      </c>
      <c r="N15295">
        <v>0.92</v>
      </c>
    </row>
    <row r="15296" spans="1:14" x14ac:dyDescent="0.25">
      <c r="A15296" t="s">
        <v>25818</v>
      </c>
      <c r="B15296" t="s">
        <v>10702</v>
      </c>
      <c r="C15296" s="1" t="str">
        <f>HYPERLINK("http://www.genecards.org/cgi-bin/carddisp.pl?gene=ARID1A","GeneCards")</f>
        <v>GeneCards</v>
      </c>
      <c r="D15296" s="1" t="str">
        <f>HYPERLINK("http://genome-euro.ucsc.edu/cgi-bin/hgTracks?position=212152_x_at","UCSC")</f>
        <v>UCSC</v>
      </c>
      <c r="E15296" s="1" t="str">
        <f>HYPERLINK("http://www.ncbi.nlm.nih.gov/gene/?term=ARID1A","NCBI")</f>
        <v>NCBI</v>
      </c>
      <c r="F15296">
        <v>0.66</v>
      </c>
      <c r="G15296">
        <v>0.73</v>
      </c>
      <c r="H15296" s="1" t="str">
        <f>HYPERLINK("http://www.weizmann.ac.il/complex/compphys/software/geview/data/figures/212152_x_at.png","Figure")</f>
        <v>Figure</v>
      </c>
      <c r="I15296">
        <v>1.1299999999999999</v>
      </c>
      <c r="J15296">
        <v>0.66</v>
      </c>
      <c r="K15296">
        <v>1.0900000000000001</v>
      </c>
      <c r="L15296">
        <v>0.77</v>
      </c>
      <c r="M15296">
        <v>0.96199999999999997</v>
      </c>
      <c r="N15296">
        <v>0.95</v>
      </c>
    </row>
    <row r="15297" spans="1:14" x14ac:dyDescent="0.25">
      <c r="A15297" t="s">
        <v>25819</v>
      </c>
      <c r="B15297" t="s">
        <v>25820</v>
      </c>
      <c r="C15297" s="1" t="str">
        <f>HYPERLINK("http://www.genecards.org/cgi-bin/carddisp.pl?gene=PRX","GeneCards")</f>
        <v>GeneCards</v>
      </c>
      <c r="D15297" s="1" t="str">
        <f>HYPERLINK("http://genome-euro.ucsc.edu/cgi-bin/hgTracks?position=220024_s_at","UCSC")</f>
        <v>UCSC</v>
      </c>
      <c r="E15297" s="1" t="str">
        <f>HYPERLINK("http://www.ncbi.nlm.nih.gov/gene/?term=PRX","NCBI")</f>
        <v>NCBI</v>
      </c>
      <c r="F15297">
        <v>0.66</v>
      </c>
      <c r="G15297">
        <v>0.73</v>
      </c>
      <c r="H15297" s="1" t="str">
        <f>HYPERLINK("http://www.weizmann.ac.il/complex/compphys/software/geview/data/figures/220024_s_at.png","Figure")</f>
        <v>Figure</v>
      </c>
      <c r="I15297">
        <v>0.84599999999999997</v>
      </c>
      <c r="J15297">
        <v>0.64</v>
      </c>
      <c r="K15297">
        <v>0.91100000000000003</v>
      </c>
      <c r="L15297">
        <v>0.83</v>
      </c>
      <c r="M15297">
        <v>1.08</v>
      </c>
      <c r="N15297">
        <v>0.9</v>
      </c>
    </row>
    <row r="15298" spans="1:14" x14ac:dyDescent="0.25">
      <c r="A15298" t="s">
        <v>25821</v>
      </c>
      <c r="B15298" t="s">
        <v>12971</v>
      </c>
      <c r="C15298" s="1" t="str">
        <f>HYPERLINK("http://www.genecards.org/cgi-bin/carddisp.pl?gene=PPP2R1B","GeneCards")</f>
        <v>GeneCards</v>
      </c>
      <c r="D15298" s="1" t="str">
        <f>HYPERLINK("http://genome-euro.ucsc.edu/cgi-bin/hgTracks?position=202883_s_at","UCSC")</f>
        <v>UCSC</v>
      </c>
      <c r="E15298" s="1" t="str">
        <f>HYPERLINK("http://www.ncbi.nlm.nih.gov/gene/?term=PPP2R1B","NCBI")</f>
        <v>NCBI</v>
      </c>
      <c r="F15298">
        <v>0.66</v>
      </c>
      <c r="G15298">
        <v>0.73</v>
      </c>
      <c r="H15298" s="1" t="str">
        <f>HYPERLINK("http://www.weizmann.ac.il/complex/compphys/software/geview/data/figures/202883_s_at.png","Figure")</f>
        <v>Figure</v>
      </c>
      <c r="I15298">
        <v>1</v>
      </c>
      <c r="J15298">
        <v>1</v>
      </c>
      <c r="K15298">
        <v>0.86799999999999999</v>
      </c>
      <c r="L15298">
        <v>0.71</v>
      </c>
      <c r="M15298">
        <v>0.86799999999999999</v>
      </c>
      <c r="N15298">
        <v>0.74</v>
      </c>
    </row>
    <row r="15299" spans="1:14" x14ac:dyDescent="0.25">
      <c r="A15299" t="s">
        <v>25822</v>
      </c>
      <c r="B15299" t="s">
        <v>6953</v>
      </c>
      <c r="C15299" s="1" t="str">
        <f>HYPERLINK("http://www.genecards.org/cgi-bin/carddisp.pl?gene=CPT1A","GeneCards")</f>
        <v>GeneCards</v>
      </c>
      <c r="D15299" s="1" t="str">
        <f>HYPERLINK("http://genome-euro.ucsc.edu/cgi-bin/hgTracks?position=210687_at","UCSC")</f>
        <v>UCSC</v>
      </c>
      <c r="E15299" s="1" t="str">
        <f>HYPERLINK("http://www.ncbi.nlm.nih.gov/gene/?term=CPT1A","NCBI")</f>
        <v>NCBI</v>
      </c>
      <c r="F15299">
        <v>0.66</v>
      </c>
      <c r="G15299">
        <v>0.73</v>
      </c>
      <c r="H15299" s="1" t="str">
        <f>HYPERLINK("http://www.weizmann.ac.il/complex/compphys/software/geview/data/figures/210687_at.png","Figure")</f>
        <v>Figure</v>
      </c>
      <c r="I15299">
        <v>1.02</v>
      </c>
      <c r="J15299">
        <v>0.63</v>
      </c>
      <c r="K15299">
        <v>1.01</v>
      </c>
      <c r="L15299">
        <v>0.89</v>
      </c>
      <c r="M15299">
        <v>0.98799999999999999</v>
      </c>
      <c r="N15299">
        <v>0.84</v>
      </c>
    </row>
    <row r="15300" spans="1:14" x14ac:dyDescent="0.25">
      <c r="A15300" t="s">
        <v>25823</v>
      </c>
      <c r="B15300" t="s">
        <v>13985</v>
      </c>
      <c r="C15300" s="1" t="str">
        <f>HYPERLINK("http://www.genecards.org/cgi-bin/carddisp.pl?gene=RAB22A","GeneCards")</f>
        <v>GeneCards</v>
      </c>
      <c r="D15300" s="1" t="str">
        <f>HYPERLINK("http://genome-euro.ucsc.edu/cgi-bin/hgTracks?position=213405_at","UCSC")</f>
        <v>UCSC</v>
      </c>
      <c r="E15300" s="1" t="str">
        <f>HYPERLINK("http://www.ncbi.nlm.nih.gov/gene/?term=RAB22A","NCBI")</f>
        <v>NCBI</v>
      </c>
      <c r="F15300">
        <v>0.66</v>
      </c>
      <c r="G15300">
        <v>0.73</v>
      </c>
      <c r="H15300" s="1" t="str">
        <f>HYPERLINK("http://www.weizmann.ac.il/complex/compphys/software/geview/data/figures/213405_at.png","Figure")</f>
        <v>Figure</v>
      </c>
      <c r="I15300">
        <v>0.83099999999999996</v>
      </c>
      <c r="J15300">
        <v>0.69</v>
      </c>
      <c r="K15300">
        <v>0.85899999999999999</v>
      </c>
      <c r="L15300">
        <v>0.72</v>
      </c>
      <c r="M15300">
        <v>1.03</v>
      </c>
      <c r="N15300">
        <v>0.99</v>
      </c>
    </row>
    <row r="15301" spans="1:14" x14ac:dyDescent="0.25">
      <c r="A15301" t="s">
        <v>25824</v>
      </c>
      <c r="B15301" t="s">
        <v>13697</v>
      </c>
      <c r="C15301" s="1" t="str">
        <f>HYPERLINK("http://www.genecards.org/cgi-bin/carddisp.pl?gene=PASK","GeneCards")</f>
        <v>GeneCards</v>
      </c>
      <c r="D15301" s="1" t="str">
        <f>HYPERLINK("http://genome-euro.ucsc.edu/cgi-bin/hgTracks?position=216945_x_at","UCSC")</f>
        <v>UCSC</v>
      </c>
      <c r="E15301" s="1" t="str">
        <f>HYPERLINK("http://www.ncbi.nlm.nih.gov/gene/?term=PASK","NCBI")</f>
        <v>NCBI</v>
      </c>
      <c r="F15301">
        <v>0.66</v>
      </c>
      <c r="G15301">
        <v>0.73</v>
      </c>
      <c r="H15301" s="1" t="str">
        <f>HYPERLINK("http://www.weizmann.ac.il/complex/compphys/software/geview/data/figures/216945_x_at.png","Figure")</f>
        <v>Figure</v>
      </c>
      <c r="I15301">
        <v>0.97799999999999998</v>
      </c>
      <c r="J15301">
        <v>0.99</v>
      </c>
      <c r="K15301">
        <v>0.88500000000000001</v>
      </c>
      <c r="L15301">
        <v>0.68</v>
      </c>
      <c r="M15301">
        <v>0.90400000000000003</v>
      </c>
      <c r="N15301">
        <v>0.79</v>
      </c>
    </row>
    <row r="15302" spans="1:14" x14ac:dyDescent="0.25">
      <c r="A15302" t="s">
        <v>25825</v>
      </c>
      <c r="B15302" t="s">
        <v>25826</v>
      </c>
      <c r="C15302" s="1" t="str">
        <f>HYPERLINK("http://www.genecards.org/cgi-bin/carddisp.pl?gene=STRN4","GeneCards")</f>
        <v>GeneCards</v>
      </c>
      <c r="D15302" s="1" t="str">
        <f>HYPERLINK("http://genome-euro.ucsc.edu/cgi-bin/hgTracks?position=217903_at","UCSC")</f>
        <v>UCSC</v>
      </c>
      <c r="E15302" s="1" t="str">
        <f>HYPERLINK("http://www.ncbi.nlm.nih.gov/gene/?term=STRN4","NCBI")</f>
        <v>NCBI</v>
      </c>
      <c r="F15302">
        <v>0.66</v>
      </c>
      <c r="G15302">
        <v>0.73</v>
      </c>
      <c r="H15302" s="1" t="str">
        <f>HYPERLINK("http://www.weizmann.ac.il/complex/compphys/software/geview/data/figures/217903_at.png","Figure")</f>
        <v>Figure</v>
      </c>
      <c r="I15302">
        <v>0.98399999999999999</v>
      </c>
      <c r="J15302">
        <v>0.99</v>
      </c>
      <c r="K15302">
        <v>1.1100000000000001</v>
      </c>
      <c r="L15302">
        <v>0.74</v>
      </c>
      <c r="M15302">
        <v>1.1299999999999999</v>
      </c>
      <c r="N15302">
        <v>0.71</v>
      </c>
    </row>
    <row r="15303" spans="1:14" x14ac:dyDescent="0.25">
      <c r="A15303" t="s">
        <v>25827</v>
      </c>
      <c r="B15303" t="s">
        <v>25828</v>
      </c>
      <c r="C15303" s="1" t="str">
        <f>HYPERLINK("http://www.genecards.org/cgi-bin/carddisp.pl?gene=CNOT6","GeneCards")</f>
        <v>GeneCards</v>
      </c>
      <c r="D15303" s="1" t="str">
        <f>HYPERLINK("http://genome-euro.ucsc.edu/cgi-bin/hgTracks?position=217970_s_at","UCSC")</f>
        <v>UCSC</v>
      </c>
      <c r="E15303" s="1" t="str">
        <f>HYPERLINK("http://www.ncbi.nlm.nih.gov/gene/?term=CNOT6","NCBI")</f>
        <v>NCBI</v>
      </c>
      <c r="F15303">
        <v>0.66</v>
      </c>
      <c r="G15303">
        <v>0.73</v>
      </c>
      <c r="H15303" s="1" t="str">
        <f>HYPERLINK("http://www.weizmann.ac.il/complex/compphys/software/geview/data/figures/217970_s_at.png","Figure")</f>
        <v>Figure</v>
      </c>
      <c r="I15303">
        <v>1.0900000000000001</v>
      </c>
      <c r="J15303">
        <v>0.76</v>
      </c>
      <c r="K15303">
        <v>0.98499999999999999</v>
      </c>
      <c r="L15303">
        <v>0.99</v>
      </c>
      <c r="M15303">
        <v>0.90500000000000003</v>
      </c>
      <c r="N15303">
        <v>0.65</v>
      </c>
    </row>
    <row r="15304" spans="1:14" x14ac:dyDescent="0.25">
      <c r="A15304" t="s">
        <v>25829</v>
      </c>
      <c r="B15304" t="s">
        <v>25830</v>
      </c>
      <c r="C15304" s="1" t="str">
        <f>HYPERLINK("http://www.genecards.org/cgi-bin/carddisp.pl?gene=SC65","GeneCards")</f>
        <v>GeneCards</v>
      </c>
      <c r="D15304" s="1" t="str">
        <f>HYPERLINK("http://genome-euro.ucsc.edu/cgi-bin/hgTracks?position=204078_at","UCSC")</f>
        <v>UCSC</v>
      </c>
      <c r="E15304" s="1" t="str">
        <f>HYPERLINK("http://www.ncbi.nlm.nih.gov/gene/?term=SC65","NCBI")</f>
        <v>NCBI</v>
      </c>
      <c r="F15304">
        <v>0.66</v>
      </c>
      <c r="G15304">
        <v>0.74</v>
      </c>
      <c r="H15304" s="1" t="str">
        <f>HYPERLINK("http://www.weizmann.ac.il/complex/compphys/software/geview/data/figures/204078_at.png","Figure")</f>
        <v>Figure</v>
      </c>
      <c r="I15304">
        <v>0.99099999999999999</v>
      </c>
      <c r="J15304">
        <v>0.72</v>
      </c>
      <c r="K15304">
        <v>0.99199999999999999</v>
      </c>
      <c r="L15304">
        <v>0.7</v>
      </c>
      <c r="M15304">
        <v>1</v>
      </c>
      <c r="N15304">
        <v>1</v>
      </c>
    </row>
    <row r="15305" spans="1:14" x14ac:dyDescent="0.25">
      <c r="A15305" t="s">
        <v>25831</v>
      </c>
      <c r="B15305" t="s">
        <v>20295</v>
      </c>
      <c r="C15305" s="1" t="str">
        <f>HYPERLINK("http://www.genecards.org/cgi-bin/carddisp.pl?gene=RRP12","GeneCards")</f>
        <v>GeneCards</v>
      </c>
      <c r="D15305" s="1" t="str">
        <f>HYPERLINK("http://genome-euro.ucsc.edu/cgi-bin/hgTracks?position=216360_x_at","UCSC")</f>
        <v>UCSC</v>
      </c>
      <c r="E15305" s="1" t="str">
        <f>HYPERLINK("http://www.ncbi.nlm.nih.gov/gene/?term=RRP12","NCBI")</f>
        <v>NCBI</v>
      </c>
      <c r="F15305">
        <v>0.66</v>
      </c>
      <c r="G15305">
        <v>0.74</v>
      </c>
      <c r="H15305" s="1" t="str">
        <f>HYPERLINK("http://www.weizmann.ac.il/complex/compphys/software/geview/data/figures/216360_x_at.png","Figure")</f>
        <v>Figure</v>
      </c>
      <c r="I15305">
        <v>1.05</v>
      </c>
      <c r="J15305">
        <v>0.73</v>
      </c>
      <c r="K15305">
        <v>1.05</v>
      </c>
      <c r="L15305">
        <v>0.69</v>
      </c>
      <c r="M15305">
        <v>0.998</v>
      </c>
      <c r="N15305">
        <v>1</v>
      </c>
    </row>
    <row r="15306" spans="1:14" x14ac:dyDescent="0.25">
      <c r="A15306" t="s">
        <v>25832</v>
      </c>
      <c r="B15306" t="s">
        <v>25833</v>
      </c>
      <c r="C15306" s="1" t="str">
        <f>HYPERLINK("http://www.genecards.org/cgi-bin/carddisp.pl?gene=CPB1","GeneCards")</f>
        <v>GeneCards</v>
      </c>
      <c r="D15306" s="1" t="str">
        <f>HYPERLINK("http://genome-euro.ucsc.edu/cgi-bin/hgTracks?position=205509_at","UCSC")</f>
        <v>UCSC</v>
      </c>
      <c r="E15306" s="1" t="str">
        <f>HYPERLINK("http://www.ncbi.nlm.nih.gov/gene/?term=CPB1","NCBI")</f>
        <v>NCBI</v>
      </c>
      <c r="F15306">
        <v>0.66</v>
      </c>
      <c r="G15306">
        <v>0.74</v>
      </c>
      <c r="H15306" s="1" t="str">
        <f>HYPERLINK("http://www.weizmann.ac.il/complex/compphys/software/geview/data/figures/205509_at.png","Figure")</f>
        <v>Figure</v>
      </c>
      <c r="I15306">
        <v>1.05</v>
      </c>
      <c r="J15306">
        <v>0.81</v>
      </c>
      <c r="K15306">
        <v>0.98199999999999998</v>
      </c>
      <c r="L15306">
        <v>0.96</v>
      </c>
      <c r="M15306">
        <v>0.93200000000000005</v>
      </c>
      <c r="N15306">
        <v>0.64</v>
      </c>
    </row>
    <row r="15307" spans="1:14" x14ac:dyDescent="0.25">
      <c r="A15307" t="s">
        <v>25834</v>
      </c>
      <c r="B15307" t="s">
        <v>19702</v>
      </c>
      <c r="C15307" s="1" t="str">
        <f>HYPERLINK("http://www.genecards.org/cgi-bin/carddisp.pl?gene=ERAP1","GeneCards")</f>
        <v>GeneCards</v>
      </c>
      <c r="D15307" s="1" t="str">
        <f>HYPERLINK("http://genome-euro.ucsc.edu/cgi-bin/hgTracks?position=209788_s_at","UCSC")</f>
        <v>UCSC</v>
      </c>
      <c r="E15307" s="1" t="str">
        <f>HYPERLINK("http://www.ncbi.nlm.nih.gov/gene/?term=ERAP1","NCBI")</f>
        <v>NCBI</v>
      </c>
      <c r="F15307">
        <v>0.66</v>
      </c>
      <c r="G15307">
        <v>0.74</v>
      </c>
      <c r="H15307" s="1" t="str">
        <f>HYPERLINK("http://www.weizmann.ac.il/complex/compphys/software/geview/data/figures/209788_s_at.png","Figure")</f>
        <v>Figure</v>
      </c>
      <c r="I15307">
        <v>0.80300000000000005</v>
      </c>
      <c r="J15307">
        <v>0.7</v>
      </c>
      <c r="K15307">
        <v>0.98699999999999999</v>
      </c>
      <c r="L15307">
        <v>1</v>
      </c>
      <c r="M15307">
        <v>1.23</v>
      </c>
      <c r="N15307">
        <v>0.69</v>
      </c>
    </row>
    <row r="15308" spans="1:14" x14ac:dyDescent="0.25">
      <c r="A15308" t="s">
        <v>25835</v>
      </c>
      <c r="B15308" t="s">
        <v>25836</v>
      </c>
      <c r="C15308" s="1" t="str">
        <f>HYPERLINK("http://www.genecards.org/cgi-bin/carddisp.pl?gene=C10orf95","GeneCards")</f>
        <v>GeneCards</v>
      </c>
      <c r="D15308" s="1" t="str">
        <f>HYPERLINK("http://genome-euro.ucsc.edu/cgi-bin/hgTracks?position=220152_at","UCSC")</f>
        <v>UCSC</v>
      </c>
      <c r="E15308" s="1" t="str">
        <f>HYPERLINK("http://www.ncbi.nlm.nih.gov/gene/?term=C10orf95","NCBI")</f>
        <v>NCBI</v>
      </c>
      <c r="F15308">
        <v>0.66</v>
      </c>
      <c r="G15308">
        <v>0.74</v>
      </c>
      <c r="H15308" s="1" t="str">
        <f>HYPERLINK("http://www.weizmann.ac.il/complex/compphys/software/geview/data/figures/220152_at.png","Figure")</f>
        <v>Figure</v>
      </c>
      <c r="I15308">
        <v>0.97199999999999998</v>
      </c>
      <c r="J15308">
        <v>0.88</v>
      </c>
      <c r="K15308">
        <v>0.95399999999999996</v>
      </c>
      <c r="L15308">
        <v>0.64</v>
      </c>
      <c r="M15308">
        <v>0.98199999999999998</v>
      </c>
      <c r="N15308">
        <v>0.94</v>
      </c>
    </row>
    <row r="15309" spans="1:14" x14ac:dyDescent="0.25">
      <c r="A15309" t="s">
        <v>25837</v>
      </c>
      <c r="B15309" t="s">
        <v>25838</v>
      </c>
      <c r="C15309" s="1" t="str">
        <f>HYPERLINK("http://www.genecards.org/cgi-bin/carddisp.pl?gene=KLHL11","GeneCards")</f>
        <v>GeneCards</v>
      </c>
      <c r="D15309" s="1" t="str">
        <f>HYPERLINK("http://genome-euro.ucsc.edu/cgi-bin/hgTracks?position=220657_at","UCSC")</f>
        <v>UCSC</v>
      </c>
      <c r="E15309" s="1" t="str">
        <f>HYPERLINK("http://www.ncbi.nlm.nih.gov/gene/?term=KLHL11","NCBI")</f>
        <v>NCBI</v>
      </c>
      <c r="F15309">
        <v>0.66</v>
      </c>
      <c r="G15309">
        <v>0.74</v>
      </c>
      <c r="H15309" s="1" t="str">
        <f>HYPERLINK("http://www.weizmann.ac.il/complex/compphys/software/geview/data/figures/220657_at.png","Figure")</f>
        <v>Figure</v>
      </c>
      <c r="I15309">
        <v>1.05</v>
      </c>
      <c r="J15309">
        <v>0.64</v>
      </c>
      <c r="K15309">
        <v>1.02</v>
      </c>
      <c r="L15309">
        <v>0.92</v>
      </c>
      <c r="M15309">
        <v>0.96799999999999997</v>
      </c>
      <c r="N15309">
        <v>0.81</v>
      </c>
    </row>
    <row r="15310" spans="1:14" x14ac:dyDescent="0.25">
      <c r="A15310" t="s">
        <v>25839</v>
      </c>
      <c r="B15310" t="s">
        <v>11750</v>
      </c>
      <c r="C15310" s="1" t="str">
        <f>HYPERLINK("http://www.genecards.org/cgi-bin/carddisp.pl?gene=KCNMA1","GeneCards")</f>
        <v>GeneCards</v>
      </c>
      <c r="D15310" s="1" t="str">
        <f>HYPERLINK("http://genome-euro.ucsc.edu/cgi-bin/hgTracks?position=214921_at","UCSC")</f>
        <v>UCSC</v>
      </c>
      <c r="E15310" s="1" t="str">
        <f>HYPERLINK("http://www.ncbi.nlm.nih.gov/gene/?term=KCNMA1","NCBI")</f>
        <v>NCBI</v>
      </c>
      <c r="F15310">
        <v>0.66</v>
      </c>
      <c r="G15310">
        <v>0.74</v>
      </c>
      <c r="H15310" s="1" t="str">
        <f>HYPERLINK("http://www.weizmann.ac.il/complex/compphys/software/geview/data/figures/214921_at.png","Figure")</f>
        <v>Figure</v>
      </c>
      <c r="I15310">
        <v>0.997</v>
      </c>
      <c r="J15310">
        <v>0.92</v>
      </c>
      <c r="K15310">
        <v>0.99299999999999999</v>
      </c>
      <c r="L15310">
        <v>0.64</v>
      </c>
      <c r="M15310">
        <v>0.997</v>
      </c>
      <c r="N15310">
        <v>0.9</v>
      </c>
    </row>
    <row r="15311" spans="1:14" x14ac:dyDescent="0.25">
      <c r="A15311" t="s">
        <v>25840</v>
      </c>
      <c r="B15311" t="s">
        <v>8573</v>
      </c>
      <c r="C15311" s="1" t="str">
        <f>HYPERLINK("http://www.genecards.org/cgi-bin/carddisp.pl?gene=KIAA1609","GeneCards")</f>
        <v>GeneCards</v>
      </c>
      <c r="D15311" s="1" t="str">
        <f>HYPERLINK("http://genome-euro.ucsc.edu/cgi-bin/hgTracks?position=221843_s_at","UCSC")</f>
        <v>UCSC</v>
      </c>
      <c r="E15311" s="1" t="str">
        <f>HYPERLINK("http://www.ncbi.nlm.nih.gov/gene/?term=KIAA1609","NCBI")</f>
        <v>NCBI</v>
      </c>
      <c r="F15311">
        <v>0.66</v>
      </c>
      <c r="G15311">
        <v>0.74</v>
      </c>
      <c r="H15311" s="1" t="str">
        <f>HYPERLINK("http://www.weizmann.ac.il/complex/compphys/software/geview/data/figures/221843_s_at.png","Figure")</f>
        <v>Figure</v>
      </c>
      <c r="I15311">
        <v>1</v>
      </c>
      <c r="J15311">
        <v>1</v>
      </c>
      <c r="K15311">
        <v>1.07</v>
      </c>
      <c r="L15311">
        <v>0.71</v>
      </c>
      <c r="M15311">
        <v>1.07</v>
      </c>
      <c r="N15311">
        <v>0.75</v>
      </c>
    </row>
    <row r="15312" spans="1:14" x14ac:dyDescent="0.25">
      <c r="A15312" t="s">
        <v>25841</v>
      </c>
      <c r="B15312" t="s">
        <v>10396</v>
      </c>
      <c r="C15312" s="1" t="str">
        <f>HYPERLINK("http://www.genecards.org/cgi-bin/carddisp.pl?gene=OBSL1","GeneCards")</f>
        <v>GeneCards</v>
      </c>
      <c r="D15312" s="1" t="str">
        <f>HYPERLINK("http://genome-euro.ucsc.edu/cgi-bin/hgTracks?position=213946_s_at","UCSC")</f>
        <v>UCSC</v>
      </c>
      <c r="E15312" s="1" t="str">
        <f>HYPERLINK("http://www.ncbi.nlm.nih.gov/gene/?term=OBSL1","NCBI")</f>
        <v>NCBI</v>
      </c>
      <c r="F15312">
        <v>0.66</v>
      </c>
      <c r="G15312">
        <v>0.74</v>
      </c>
      <c r="H15312" s="1" t="str">
        <f>HYPERLINK("http://www.weizmann.ac.il/complex/compphys/software/geview/data/figures/213946_s_at.png","Figure")</f>
        <v>Figure</v>
      </c>
      <c r="I15312">
        <v>0.98599999999999999</v>
      </c>
      <c r="J15312">
        <v>0.72</v>
      </c>
      <c r="K15312">
        <v>0.98699999999999999</v>
      </c>
      <c r="L15312">
        <v>0.7</v>
      </c>
      <c r="M15312">
        <v>1</v>
      </c>
      <c r="N15312">
        <v>1</v>
      </c>
    </row>
    <row r="15313" spans="1:14" x14ac:dyDescent="0.25">
      <c r="A15313" t="s">
        <v>25842</v>
      </c>
      <c r="B15313" t="s">
        <v>25843</v>
      </c>
      <c r="C15313" s="1" t="str">
        <f>HYPERLINK("http://www.genecards.org/cgi-bin/carddisp.pl?gene=TRBC1","GeneCards")</f>
        <v>GeneCards</v>
      </c>
      <c r="D15313" s="1" t="str">
        <f>HYPERLINK("http://genome-euro.ucsc.edu/cgi-bin/hgTracks?position=213193_x_at","UCSC")</f>
        <v>UCSC</v>
      </c>
      <c r="E15313" s="1" t="str">
        <f>HYPERLINK("http://www.ncbi.nlm.nih.gov/gene/?term=TRBC1","NCBI")</f>
        <v>NCBI</v>
      </c>
      <c r="F15313">
        <v>0.66</v>
      </c>
      <c r="G15313">
        <v>0.74</v>
      </c>
      <c r="H15313" s="1" t="str">
        <f>HYPERLINK("http://www.weizmann.ac.il/complex/compphys/software/geview/data/figures/213193_x_at.png","Figure")</f>
        <v>Figure</v>
      </c>
      <c r="I15313">
        <v>1.19</v>
      </c>
      <c r="J15313">
        <v>0.66</v>
      </c>
      <c r="K15313">
        <v>1.1299999999999999</v>
      </c>
      <c r="L15313">
        <v>0.77</v>
      </c>
      <c r="M15313">
        <v>0.94599999999999995</v>
      </c>
      <c r="N15313">
        <v>0.95</v>
      </c>
    </row>
    <row r="15314" spans="1:14" x14ac:dyDescent="0.25">
      <c r="A15314" t="s">
        <v>25844</v>
      </c>
      <c r="B15314" t="s">
        <v>20668</v>
      </c>
      <c r="C15314" s="1" t="str">
        <f>HYPERLINK("http://www.genecards.org/cgi-bin/carddisp.pl?gene=HUS1","GeneCards")</f>
        <v>GeneCards</v>
      </c>
      <c r="D15314" s="1" t="str">
        <f>HYPERLINK("http://genome-euro.ucsc.edu/cgi-bin/hgTracks?position=217618_x_at","UCSC")</f>
        <v>UCSC</v>
      </c>
      <c r="E15314" s="1" t="str">
        <f>HYPERLINK("http://www.ncbi.nlm.nih.gov/gene/?term=HUS1","NCBI")</f>
        <v>NCBI</v>
      </c>
      <c r="F15314">
        <v>0.66</v>
      </c>
      <c r="G15314">
        <v>0.74</v>
      </c>
      <c r="H15314" s="1" t="str">
        <f>HYPERLINK("http://www.weizmann.ac.il/complex/compphys/software/geview/data/figures/217618_x_at.png","Figure")</f>
        <v>Figure</v>
      </c>
      <c r="I15314">
        <v>1</v>
      </c>
      <c r="J15314">
        <v>1</v>
      </c>
      <c r="K15314">
        <v>0.96799999999999997</v>
      </c>
      <c r="L15314">
        <v>0.73</v>
      </c>
      <c r="M15314">
        <v>0.96499999999999997</v>
      </c>
      <c r="N15314">
        <v>0.72</v>
      </c>
    </row>
    <row r="15315" spans="1:14" x14ac:dyDescent="0.25">
      <c r="A15315" t="s">
        <v>25845</v>
      </c>
      <c r="B15315" t="s">
        <v>15302</v>
      </c>
      <c r="C15315" s="1" t="str">
        <f>HYPERLINK("http://www.genecards.org/cgi-bin/carddisp.pl?gene=ABCB6","GeneCards")</f>
        <v>GeneCards</v>
      </c>
      <c r="D15315" s="1" t="str">
        <f>HYPERLINK("http://genome-euro.ucsc.edu/cgi-bin/hgTracks?position=203191_at","UCSC")</f>
        <v>UCSC</v>
      </c>
      <c r="E15315" s="1" t="str">
        <f>HYPERLINK("http://www.ncbi.nlm.nih.gov/gene/?term=ABCB6","NCBI")</f>
        <v>NCBI</v>
      </c>
      <c r="F15315">
        <v>0.66</v>
      </c>
      <c r="G15315">
        <v>0.74</v>
      </c>
      <c r="H15315" s="1" t="str">
        <f>HYPERLINK("http://www.weizmann.ac.il/complex/compphys/software/geview/data/figures/203191_at.png","Figure")</f>
        <v>Figure</v>
      </c>
      <c r="I15315">
        <v>1.03</v>
      </c>
      <c r="J15315">
        <v>0.73</v>
      </c>
      <c r="K15315">
        <v>0.998</v>
      </c>
      <c r="L15315">
        <v>1</v>
      </c>
      <c r="M15315">
        <v>0.96699999999999997</v>
      </c>
      <c r="N15315">
        <v>0.67</v>
      </c>
    </row>
    <row r="15316" spans="1:14" x14ac:dyDescent="0.25">
      <c r="A15316" t="s">
        <v>25846</v>
      </c>
      <c r="B15316" t="s">
        <v>25847</v>
      </c>
      <c r="C15316" s="1" t="str">
        <f>HYPERLINK("http://www.genecards.org/cgi-bin/carddisp.pl?gene=PAX6","GeneCards")</f>
        <v>GeneCards</v>
      </c>
      <c r="D15316" s="1" t="str">
        <f>HYPERLINK("http://genome-euro.ucsc.edu/cgi-bin/hgTracks?position=205646_s_at","UCSC")</f>
        <v>UCSC</v>
      </c>
      <c r="E15316" s="1" t="str">
        <f>HYPERLINK("http://www.ncbi.nlm.nih.gov/gene/?term=PAX6","NCBI")</f>
        <v>NCBI</v>
      </c>
      <c r="F15316">
        <v>0.66</v>
      </c>
      <c r="G15316">
        <v>0.74</v>
      </c>
      <c r="H15316" s="1" t="str">
        <f>HYPERLINK("http://www.weizmann.ac.il/complex/compphys/software/geview/data/figures/205646_s_at.png","Figure")</f>
        <v>Figure</v>
      </c>
      <c r="I15316">
        <v>1.05</v>
      </c>
      <c r="J15316">
        <v>0.65</v>
      </c>
      <c r="K15316">
        <v>1.01</v>
      </c>
      <c r="L15316">
        <v>0.96</v>
      </c>
      <c r="M15316">
        <v>0.96299999999999997</v>
      </c>
      <c r="N15316">
        <v>0.77</v>
      </c>
    </row>
    <row r="15317" spans="1:14" x14ac:dyDescent="0.25">
      <c r="A15317" t="s">
        <v>25848</v>
      </c>
      <c r="B15317" t="s">
        <v>25849</v>
      </c>
      <c r="C15317" s="1" t="str">
        <f>HYPERLINK("http://www.genecards.org/cgi-bin/carddisp.pl?gene=DNASE1","GeneCards")</f>
        <v>GeneCards</v>
      </c>
      <c r="D15317" s="1" t="str">
        <f>HYPERLINK("http://genome-euro.ucsc.edu/cgi-bin/hgTracks?position=210165_at","UCSC")</f>
        <v>UCSC</v>
      </c>
      <c r="E15317" s="1" t="str">
        <f>HYPERLINK("http://www.ncbi.nlm.nih.gov/gene/?term=DNASE1","NCBI")</f>
        <v>NCBI</v>
      </c>
      <c r="F15317">
        <v>0.66</v>
      </c>
      <c r="G15317">
        <v>0.74</v>
      </c>
      <c r="H15317" s="1" t="str">
        <f>HYPERLINK("http://www.weizmann.ac.il/complex/compphys/software/geview/data/figures/210165_at.png","Figure")</f>
        <v>Figure</v>
      </c>
      <c r="I15317">
        <v>1.01</v>
      </c>
      <c r="J15317">
        <v>0.82</v>
      </c>
      <c r="K15317">
        <v>0.996</v>
      </c>
      <c r="L15317">
        <v>0.95</v>
      </c>
      <c r="M15317">
        <v>0.98599999999999999</v>
      </c>
      <c r="N15317">
        <v>0.64</v>
      </c>
    </row>
    <row r="15318" spans="1:14" x14ac:dyDescent="0.25">
      <c r="A15318" t="s">
        <v>25850</v>
      </c>
      <c r="B15318" t="s">
        <v>6351</v>
      </c>
      <c r="C15318" s="1" t="str">
        <f>HYPERLINK("http://www.genecards.org/cgi-bin/carddisp.pl?gene=ITCH","GeneCards")</f>
        <v>GeneCards</v>
      </c>
      <c r="D15318" s="1" t="str">
        <f>HYPERLINK("http://genome-euro.ucsc.edu/cgi-bin/hgTracks?position=217094_s_at","UCSC")</f>
        <v>UCSC</v>
      </c>
      <c r="E15318" s="1" t="str">
        <f>HYPERLINK("http://www.ncbi.nlm.nih.gov/gene/?term=ITCH","NCBI")</f>
        <v>NCBI</v>
      </c>
      <c r="F15318">
        <v>0.66</v>
      </c>
      <c r="G15318">
        <v>0.74</v>
      </c>
      <c r="H15318" s="1" t="str">
        <f>HYPERLINK("http://www.weizmann.ac.il/complex/compphys/software/geview/data/figures/217094_s_at.png","Figure")</f>
        <v>Figure</v>
      </c>
      <c r="I15318">
        <v>1.01</v>
      </c>
      <c r="J15318">
        <v>1</v>
      </c>
      <c r="K15318">
        <v>0.88900000000000001</v>
      </c>
      <c r="L15318">
        <v>0.74</v>
      </c>
      <c r="M15318">
        <v>0.878</v>
      </c>
      <c r="N15318">
        <v>0.72</v>
      </c>
    </row>
    <row r="15319" spans="1:14" x14ac:dyDescent="0.25">
      <c r="A15319" t="s">
        <v>25851</v>
      </c>
      <c r="B15319" t="s">
        <v>25852</v>
      </c>
      <c r="C15319" s="1" t="str">
        <f>HYPERLINK("http://www.genecards.org/cgi-bin/carddisp.pl?gene=POLD3","GeneCards")</f>
        <v>GeneCards</v>
      </c>
      <c r="D15319" s="1" t="str">
        <f>HYPERLINK("http://genome-euro.ucsc.edu/cgi-bin/hgTracks?position=212836_at","UCSC")</f>
        <v>UCSC</v>
      </c>
      <c r="E15319" s="1" t="str">
        <f>HYPERLINK("http://www.ncbi.nlm.nih.gov/gene/?term=POLD3","NCBI")</f>
        <v>NCBI</v>
      </c>
      <c r="F15319">
        <v>0.66</v>
      </c>
      <c r="G15319">
        <v>0.74</v>
      </c>
      <c r="H15319" s="1" t="str">
        <f>HYPERLINK("http://www.weizmann.ac.il/complex/compphys/software/geview/data/figures/212836_at.png","Figure")</f>
        <v>Figure</v>
      </c>
      <c r="I15319">
        <v>1.02</v>
      </c>
      <c r="J15319">
        <v>1</v>
      </c>
      <c r="K15319">
        <v>1.1499999999999999</v>
      </c>
      <c r="L15319">
        <v>0.69</v>
      </c>
      <c r="M15319">
        <v>1.1299999999999999</v>
      </c>
      <c r="N15319">
        <v>0.77</v>
      </c>
    </row>
    <row r="15320" spans="1:14" x14ac:dyDescent="0.25">
      <c r="A15320" t="s">
        <v>25853</v>
      </c>
      <c r="B15320" t="s">
        <v>25854</v>
      </c>
      <c r="C15320" s="1" t="str">
        <f>HYPERLINK("http://www.genecards.org/cgi-bin/carddisp.pl?gene=ARL8B","GeneCards")</f>
        <v>GeneCards</v>
      </c>
      <c r="D15320" s="1" t="str">
        <f>HYPERLINK("http://genome-euro.ucsc.edu/cgi-bin/hgTracks?position=217852_s_at","UCSC")</f>
        <v>UCSC</v>
      </c>
      <c r="E15320" s="1" t="str">
        <f>HYPERLINK("http://www.ncbi.nlm.nih.gov/gene/?term=ARL8B","NCBI")</f>
        <v>NCBI</v>
      </c>
      <c r="F15320">
        <v>0.66</v>
      </c>
      <c r="G15320">
        <v>0.74</v>
      </c>
      <c r="H15320" s="1" t="str">
        <f>HYPERLINK("http://www.weizmann.ac.il/complex/compphys/software/geview/data/figures/217852_s_at.png","Figure")</f>
        <v>Figure</v>
      </c>
      <c r="I15320">
        <v>0.98299999999999998</v>
      </c>
      <c r="J15320">
        <v>1</v>
      </c>
      <c r="K15320">
        <v>0.82799999999999996</v>
      </c>
      <c r="L15320">
        <v>0.7</v>
      </c>
      <c r="M15320">
        <v>0.84199999999999997</v>
      </c>
      <c r="N15320">
        <v>0.77</v>
      </c>
    </row>
    <row r="15321" spans="1:14" x14ac:dyDescent="0.25">
      <c r="A15321" t="s">
        <v>25855</v>
      </c>
      <c r="B15321" t="s">
        <v>25856</v>
      </c>
      <c r="C15321" s="1" t="str">
        <f>HYPERLINK("http://www.genecards.org/cgi-bin/carddisp.pl?gene=SPANXC","GeneCards")</f>
        <v>GeneCards</v>
      </c>
      <c r="D15321" s="1" t="str">
        <f>HYPERLINK("http://genome-euro.ucsc.edu/cgi-bin/hgTracks?position=220217_x_at","UCSC")</f>
        <v>UCSC</v>
      </c>
      <c r="E15321" s="1" t="str">
        <f>HYPERLINK("http://www.ncbi.nlm.nih.gov/gene/?term=SPANXC","NCBI")</f>
        <v>NCBI</v>
      </c>
      <c r="F15321">
        <v>0.66</v>
      </c>
      <c r="G15321">
        <v>0.74</v>
      </c>
      <c r="H15321" s="1" t="str">
        <f>HYPERLINK("http://www.weizmann.ac.il/complex/compphys/software/geview/data/figures/220217_x_at.png","Figure")</f>
        <v>Figure</v>
      </c>
      <c r="I15321">
        <v>1</v>
      </c>
      <c r="J15321">
        <v>1</v>
      </c>
      <c r="K15321">
        <v>0.91900000000000004</v>
      </c>
      <c r="L15321">
        <v>0.72</v>
      </c>
      <c r="M15321">
        <v>0.91700000000000004</v>
      </c>
      <c r="N15321">
        <v>0.74</v>
      </c>
    </row>
    <row r="15322" spans="1:14" x14ac:dyDescent="0.25">
      <c r="A15322" t="s">
        <v>25857</v>
      </c>
      <c r="B15322" t="s">
        <v>8436</v>
      </c>
      <c r="C15322" s="1" t="str">
        <f>HYPERLINK("http://www.genecards.org/cgi-bin/carddisp.pl?gene=SMARCA2","GeneCards")</f>
        <v>GeneCards</v>
      </c>
      <c r="D15322" s="1" t="str">
        <f>HYPERLINK("http://genome-euro.ucsc.edu/cgi-bin/hgTracks?position=212257_s_at","UCSC")</f>
        <v>UCSC</v>
      </c>
      <c r="E15322" s="1" t="str">
        <f>HYPERLINK("http://www.ncbi.nlm.nih.gov/gene/?term=SMARCA2","NCBI")</f>
        <v>NCBI</v>
      </c>
      <c r="F15322">
        <v>0.66</v>
      </c>
      <c r="G15322">
        <v>0.74</v>
      </c>
      <c r="H15322" s="1" t="str">
        <f>HYPERLINK("http://www.weizmann.ac.il/complex/compphys/software/geview/data/figures/212257_s_at.png","Figure")</f>
        <v>Figure</v>
      </c>
      <c r="I15322">
        <v>0.90300000000000002</v>
      </c>
      <c r="J15322">
        <v>0.68</v>
      </c>
      <c r="K15322">
        <v>0.92400000000000004</v>
      </c>
      <c r="L15322">
        <v>0.74</v>
      </c>
      <c r="M15322">
        <v>1.02</v>
      </c>
      <c r="N15322">
        <v>0.98</v>
      </c>
    </row>
    <row r="15323" spans="1:14" x14ac:dyDescent="0.25">
      <c r="A15323" t="s">
        <v>25858</v>
      </c>
      <c r="B15323" t="s">
        <v>25859</v>
      </c>
      <c r="C15323" s="1" t="str">
        <f>HYPERLINK("http://www.genecards.org/cgi-bin/carddisp.pl?gene=STARD13","GeneCards")</f>
        <v>GeneCards</v>
      </c>
      <c r="D15323" s="1" t="str">
        <f>HYPERLINK("http://genome-euro.ucsc.edu/cgi-bin/hgTracks?position=213103_at","UCSC")</f>
        <v>UCSC</v>
      </c>
      <c r="E15323" s="1" t="str">
        <f>HYPERLINK("http://www.ncbi.nlm.nih.gov/gene/?term=STARD13","NCBI")</f>
        <v>NCBI</v>
      </c>
      <c r="F15323">
        <v>0.67</v>
      </c>
      <c r="G15323">
        <v>0.74</v>
      </c>
      <c r="H15323" s="1" t="str">
        <f>HYPERLINK("http://www.weizmann.ac.il/complex/compphys/software/geview/data/figures/213103_at.png","Figure")</f>
        <v>Figure</v>
      </c>
      <c r="I15323">
        <v>0.91900000000000004</v>
      </c>
      <c r="J15323">
        <v>0.75</v>
      </c>
      <c r="K15323">
        <v>0.91700000000000004</v>
      </c>
      <c r="L15323">
        <v>0.68</v>
      </c>
      <c r="M15323">
        <v>0.997</v>
      </c>
      <c r="N15323">
        <v>1</v>
      </c>
    </row>
    <row r="15324" spans="1:14" x14ac:dyDescent="0.25">
      <c r="A15324" t="s">
        <v>25860</v>
      </c>
      <c r="B15324" t="s">
        <v>25861</v>
      </c>
      <c r="C15324" s="1" t="str">
        <f>HYPERLINK("http://www.genecards.org/cgi-bin/carddisp.pl?gene=VAV1","GeneCards")</f>
        <v>GeneCards</v>
      </c>
      <c r="D15324" s="1" t="str">
        <f>HYPERLINK("http://genome-euro.ucsc.edu/cgi-bin/hgTracks?position=206219_s_at","UCSC")</f>
        <v>UCSC</v>
      </c>
      <c r="E15324" s="1" t="str">
        <f>HYPERLINK("http://www.ncbi.nlm.nih.gov/gene/?term=VAV1","NCBI")</f>
        <v>NCBI</v>
      </c>
      <c r="F15324">
        <v>0.67</v>
      </c>
      <c r="G15324">
        <v>0.74</v>
      </c>
      <c r="H15324" s="1" t="str">
        <f>HYPERLINK("http://www.weizmann.ac.il/complex/compphys/software/geview/data/figures/206219_s_at.png","Figure")</f>
        <v>Figure</v>
      </c>
      <c r="I15324">
        <v>0.97399999999999998</v>
      </c>
      <c r="J15324">
        <v>0.98</v>
      </c>
      <c r="K15324">
        <v>0.9</v>
      </c>
      <c r="L15324">
        <v>0.67</v>
      </c>
      <c r="M15324">
        <v>0.92400000000000004</v>
      </c>
      <c r="N15324">
        <v>0.82</v>
      </c>
    </row>
    <row r="15325" spans="1:14" x14ac:dyDescent="0.25">
      <c r="A15325" t="s">
        <v>25862</v>
      </c>
      <c r="B15325" t="s">
        <v>25863</v>
      </c>
      <c r="C15325" s="1" t="str">
        <f>HYPERLINK("http://www.genecards.org/cgi-bin/carddisp.pl?gene=DEPDC1","GeneCards")</f>
        <v>GeneCards</v>
      </c>
      <c r="D15325" s="1" t="str">
        <f>HYPERLINK("http://genome-euro.ucsc.edu/cgi-bin/hgTracks?position=220295_x_at","UCSC")</f>
        <v>UCSC</v>
      </c>
      <c r="E15325" s="1" t="str">
        <f>HYPERLINK("http://www.ncbi.nlm.nih.gov/gene/?term=DEPDC1","NCBI")</f>
        <v>NCBI</v>
      </c>
      <c r="F15325">
        <v>0.67</v>
      </c>
      <c r="G15325">
        <v>0.74</v>
      </c>
      <c r="H15325" s="1" t="str">
        <f>HYPERLINK("http://www.weizmann.ac.il/complex/compphys/software/geview/data/figures/220295_x_at.png","Figure")</f>
        <v>Figure</v>
      </c>
      <c r="I15325">
        <v>0.96299999999999997</v>
      </c>
      <c r="J15325">
        <v>0.79</v>
      </c>
      <c r="K15325">
        <v>1.01</v>
      </c>
      <c r="L15325">
        <v>0.98</v>
      </c>
      <c r="M15325">
        <v>1.05</v>
      </c>
      <c r="N15325">
        <v>0.65</v>
      </c>
    </row>
    <row r="15326" spans="1:14" x14ac:dyDescent="0.25">
      <c r="A15326" t="s">
        <v>25864</v>
      </c>
      <c r="B15326" t="s">
        <v>25865</v>
      </c>
      <c r="C15326" s="1" t="str">
        <f>HYPERLINK("http://www.genecards.org/cgi-bin/carddisp.pl?gene=PLAA","GeneCards")</f>
        <v>GeneCards</v>
      </c>
      <c r="D15326" s="1" t="str">
        <f>HYPERLINK("http://genome-euro.ucsc.edu/cgi-bin/hgTracks?position=209533_s_at","UCSC")</f>
        <v>UCSC</v>
      </c>
      <c r="E15326" s="1" t="str">
        <f>HYPERLINK("http://www.ncbi.nlm.nih.gov/gene/?term=PLAA","NCBI")</f>
        <v>NCBI</v>
      </c>
      <c r="F15326">
        <v>0.67</v>
      </c>
      <c r="G15326">
        <v>0.74</v>
      </c>
      <c r="H15326" s="1" t="str">
        <f>HYPERLINK("http://www.weizmann.ac.il/complex/compphys/software/geview/data/figures/209533_s_at.png","Figure")</f>
        <v>Figure</v>
      </c>
      <c r="I15326">
        <v>0.995</v>
      </c>
      <c r="J15326">
        <v>0.91</v>
      </c>
      <c r="K15326">
        <v>0.99</v>
      </c>
      <c r="L15326">
        <v>0.64</v>
      </c>
      <c r="M15326">
        <v>0.995</v>
      </c>
      <c r="N15326">
        <v>0.91</v>
      </c>
    </row>
    <row r="15327" spans="1:14" x14ac:dyDescent="0.25">
      <c r="A15327" t="s">
        <v>25866</v>
      </c>
      <c r="B15327" t="s">
        <v>25867</v>
      </c>
      <c r="C15327" s="1" t="str">
        <f>HYPERLINK("http://www.genecards.org/cgi-bin/carddisp.pl?gene=ZCCHC6","GeneCards")</f>
        <v>GeneCards</v>
      </c>
      <c r="D15327" s="1" t="str">
        <f>HYPERLINK("http://genome-euro.ucsc.edu/cgi-bin/hgTracks?position=220933_s_at","UCSC")</f>
        <v>UCSC</v>
      </c>
      <c r="E15327" s="1" t="str">
        <f>HYPERLINK("http://www.ncbi.nlm.nih.gov/gene/?term=ZCCHC6","NCBI")</f>
        <v>NCBI</v>
      </c>
      <c r="F15327">
        <v>0.67</v>
      </c>
      <c r="G15327">
        <v>0.74</v>
      </c>
      <c r="H15327" s="1" t="str">
        <f>HYPERLINK("http://www.weizmann.ac.il/complex/compphys/software/geview/data/figures/220933_s_at.png","Figure")</f>
        <v>Figure</v>
      </c>
      <c r="I15327">
        <v>1.1100000000000001</v>
      </c>
      <c r="J15327">
        <v>0.91</v>
      </c>
      <c r="K15327">
        <v>1.21</v>
      </c>
      <c r="L15327">
        <v>0.64</v>
      </c>
      <c r="M15327">
        <v>1.1000000000000001</v>
      </c>
      <c r="N15327">
        <v>0.91</v>
      </c>
    </row>
    <row r="15328" spans="1:14" x14ac:dyDescent="0.25">
      <c r="A15328" t="s">
        <v>25868</v>
      </c>
      <c r="B15328" t="s">
        <v>25869</v>
      </c>
      <c r="C15328" s="1" t="str">
        <f>HYPERLINK("http://www.genecards.org/cgi-bin/carddisp.pl?gene=CAB39L","GeneCards")</f>
        <v>GeneCards</v>
      </c>
      <c r="D15328" s="1" t="str">
        <f>HYPERLINK("http://genome-euro.ucsc.edu/cgi-bin/hgTracks?position=221003_s_at","UCSC")</f>
        <v>UCSC</v>
      </c>
      <c r="E15328" s="1" t="str">
        <f>HYPERLINK("http://www.ncbi.nlm.nih.gov/gene/?term=CAB39L","NCBI")</f>
        <v>NCBI</v>
      </c>
      <c r="F15328">
        <v>0.67</v>
      </c>
      <c r="G15328">
        <v>0.74</v>
      </c>
      <c r="H15328" s="1" t="str">
        <f>HYPERLINK("http://www.weizmann.ac.il/complex/compphys/software/geview/data/figures/221003_s_at.png","Figure")</f>
        <v>Figure</v>
      </c>
      <c r="I15328">
        <v>1.08</v>
      </c>
      <c r="J15328">
        <v>0.67</v>
      </c>
      <c r="K15328">
        <v>1.01</v>
      </c>
      <c r="L15328">
        <v>0.98</v>
      </c>
      <c r="M15328">
        <v>0.94199999999999995</v>
      </c>
      <c r="N15328">
        <v>0.74</v>
      </c>
    </row>
    <row r="15329" spans="1:14" x14ac:dyDescent="0.25">
      <c r="A15329" t="s">
        <v>25870</v>
      </c>
      <c r="B15329" t="s">
        <v>25871</v>
      </c>
      <c r="C15329" s="1" t="str">
        <f>HYPERLINK("http://www.genecards.org/cgi-bin/carddisp.pl?gene=CPM","GeneCards")</f>
        <v>GeneCards</v>
      </c>
      <c r="D15329" s="1" t="str">
        <f>HYPERLINK("http://genome-euro.ucsc.edu/cgi-bin/hgTracks?position=206100_at","UCSC")</f>
        <v>UCSC</v>
      </c>
      <c r="E15329" s="1" t="str">
        <f>HYPERLINK("http://www.ncbi.nlm.nih.gov/gene/?term=CPM","NCBI")</f>
        <v>NCBI</v>
      </c>
      <c r="F15329">
        <v>0.67</v>
      </c>
      <c r="G15329">
        <v>0.74</v>
      </c>
      <c r="H15329" s="1" t="str">
        <f>HYPERLINK("http://www.weizmann.ac.il/complex/compphys/software/geview/data/figures/206100_at.png","Figure")</f>
        <v>Figure</v>
      </c>
      <c r="I15329">
        <v>1.01</v>
      </c>
      <c r="J15329">
        <v>0.96</v>
      </c>
      <c r="K15329">
        <v>0.98099999999999998</v>
      </c>
      <c r="L15329">
        <v>0.82</v>
      </c>
      <c r="M15329">
        <v>0.97199999999999998</v>
      </c>
      <c r="N15329">
        <v>0.67</v>
      </c>
    </row>
    <row r="15330" spans="1:14" x14ac:dyDescent="0.25">
      <c r="A15330" t="s">
        <v>25872</v>
      </c>
      <c r="B15330" t="s">
        <v>25578</v>
      </c>
      <c r="C15330" s="1" t="str">
        <f>HYPERLINK("http://www.genecards.org/cgi-bin/carddisp.pl?gene=ZNF142","GeneCards")</f>
        <v>GeneCards</v>
      </c>
      <c r="D15330" s="1" t="str">
        <f>HYPERLINK("http://genome-euro.ucsc.edu/cgi-bin/hgTracks?position=37586_at","UCSC")</f>
        <v>UCSC</v>
      </c>
      <c r="E15330" s="1" t="str">
        <f>HYPERLINK("http://www.ncbi.nlm.nih.gov/gene/?term=ZNF142","NCBI")</f>
        <v>NCBI</v>
      </c>
      <c r="F15330">
        <v>0.67</v>
      </c>
      <c r="G15330">
        <v>0.74</v>
      </c>
      <c r="H15330" s="1" t="str">
        <f>HYPERLINK("http://www.weizmann.ac.il/complex/compphys/software/geview/data/figures/37586_at.png","Figure")</f>
        <v>Figure</v>
      </c>
      <c r="I15330">
        <v>1.03</v>
      </c>
      <c r="J15330">
        <v>0.78</v>
      </c>
      <c r="K15330">
        <v>1.03</v>
      </c>
      <c r="L15330">
        <v>0.66</v>
      </c>
      <c r="M15330">
        <v>1</v>
      </c>
      <c r="N15330">
        <v>0.99</v>
      </c>
    </row>
    <row r="15331" spans="1:14" x14ac:dyDescent="0.25">
      <c r="A15331" t="s">
        <v>25873</v>
      </c>
      <c r="B15331" t="s">
        <v>25874</v>
      </c>
      <c r="C15331" s="1" t="str">
        <f>HYPERLINK("http://www.genecards.org/cgi-bin/carddisp.pl?gene=CPT2","GeneCards")</f>
        <v>GeneCards</v>
      </c>
      <c r="D15331" s="1" t="str">
        <f>HYPERLINK("http://genome-euro.ucsc.edu/cgi-bin/hgTracks?position=204263_s_at","UCSC")</f>
        <v>UCSC</v>
      </c>
      <c r="E15331" s="1" t="str">
        <f>HYPERLINK("http://www.ncbi.nlm.nih.gov/gene/?term=CPT2","NCBI")</f>
        <v>NCBI</v>
      </c>
      <c r="F15331">
        <v>0.67</v>
      </c>
      <c r="G15331">
        <v>0.74</v>
      </c>
      <c r="H15331" s="1" t="str">
        <f>HYPERLINK("http://www.weizmann.ac.il/complex/compphys/software/geview/data/figures/204263_s_at.png","Figure")</f>
        <v>Figure</v>
      </c>
      <c r="I15331">
        <v>1.07</v>
      </c>
      <c r="J15331">
        <v>0.64</v>
      </c>
      <c r="K15331">
        <v>1.04</v>
      </c>
      <c r="L15331">
        <v>0.85</v>
      </c>
      <c r="M15331">
        <v>0.96699999999999997</v>
      </c>
      <c r="N15331">
        <v>0.89</v>
      </c>
    </row>
    <row r="15332" spans="1:14" x14ac:dyDescent="0.25">
      <c r="A15332" t="s">
        <v>25875</v>
      </c>
      <c r="B15332" t="s">
        <v>11344</v>
      </c>
      <c r="C15332" s="1" t="str">
        <f>HYPERLINK("http://www.genecards.org/cgi-bin/carddisp.pl?gene=DCBLD2","GeneCards")</f>
        <v>GeneCards</v>
      </c>
      <c r="D15332" s="1" t="str">
        <f>HYPERLINK("http://genome-euro.ucsc.edu/cgi-bin/hgTracks?position=213865_at","UCSC")</f>
        <v>UCSC</v>
      </c>
      <c r="E15332" s="1" t="str">
        <f>HYPERLINK("http://www.ncbi.nlm.nih.gov/gene/?term=DCBLD2","NCBI")</f>
        <v>NCBI</v>
      </c>
      <c r="F15332">
        <v>0.67</v>
      </c>
      <c r="G15332">
        <v>0.74</v>
      </c>
      <c r="H15332" s="1" t="str">
        <f>HYPERLINK("http://www.weizmann.ac.il/complex/compphys/software/geview/data/figures/213865_at.png","Figure")</f>
        <v>Figure</v>
      </c>
      <c r="I15332">
        <v>1.06</v>
      </c>
      <c r="J15332">
        <v>0.65</v>
      </c>
      <c r="K15332">
        <v>1.02</v>
      </c>
      <c r="L15332">
        <v>0.94</v>
      </c>
      <c r="M15332">
        <v>0.96</v>
      </c>
      <c r="N15332">
        <v>0.79</v>
      </c>
    </row>
    <row r="15333" spans="1:14" x14ac:dyDescent="0.25">
      <c r="A15333" t="s">
        <v>25876</v>
      </c>
      <c r="B15333" t="s">
        <v>9739</v>
      </c>
      <c r="C15333" s="1" t="str">
        <f>HYPERLINK("http://www.genecards.org/cgi-bin/carddisp.pl?gene=TCF20","GeneCards")</f>
        <v>GeneCards</v>
      </c>
      <c r="D15333" s="1" t="str">
        <f>HYPERLINK("http://genome-euro.ucsc.edu/cgi-bin/hgTracks?position=215511_at","UCSC")</f>
        <v>UCSC</v>
      </c>
      <c r="E15333" s="1" t="str">
        <f>HYPERLINK("http://www.ncbi.nlm.nih.gov/gene/?term=TCF20","NCBI")</f>
        <v>NCBI</v>
      </c>
      <c r="F15333">
        <v>0.67</v>
      </c>
      <c r="G15333">
        <v>0.74</v>
      </c>
      <c r="H15333" s="1" t="str">
        <f>HYPERLINK("http://www.weizmann.ac.il/complex/compphys/software/geview/data/figures/215511_at.png","Figure")</f>
        <v>Figure</v>
      </c>
      <c r="I15333">
        <v>1.08</v>
      </c>
      <c r="J15333">
        <v>0.64</v>
      </c>
      <c r="K15333">
        <v>1.03</v>
      </c>
      <c r="L15333">
        <v>0.91</v>
      </c>
      <c r="M15333">
        <v>0.95299999999999996</v>
      </c>
      <c r="N15333">
        <v>0.83</v>
      </c>
    </row>
    <row r="15334" spans="1:14" x14ac:dyDescent="0.25">
      <c r="A15334" t="s">
        <v>25877</v>
      </c>
      <c r="B15334" t="s">
        <v>18722</v>
      </c>
      <c r="C15334" s="1" t="str">
        <f>HYPERLINK("http://www.genecards.org/cgi-bin/carddisp.pl?gene=GNAI3","GeneCards")</f>
        <v>GeneCards</v>
      </c>
      <c r="D15334" s="1" t="str">
        <f>HYPERLINK("http://genome-euro.ucsc.edu/cgi-bin/hgTracks?position=201180_s_at","UCSC")</f>
        <v>UCSC</v>
      </c>
      <c r="E15334" s="1" t="str">
        <f>HYPERLINK("http://www.ncbi.nlm.nih.gov/gene/?term=GNAI3","NCBI")</f>
        <v>NCBI</v>
      </c>
      <c r="F15334">
        <v>0.67</v>
      </c>
      <c r="G15334">
        <v>0.74</v>
      </c>
      <c r="H15334" s="1" t="str">
        <f>HYPERLINK("http://www.weizmann.ac.il/complex/compphys/software/geview/data/figures/201180_s_at.png","Figure")</f>
        <v>Figure</v>
      </c>
      <c r="I15334">
        <v>0.99</v>
      </c>
      <c r="J15334">
        <v>1</v>
      </c>
      <c r="K15334">
        <v>1.18</v>
      </c>
      <c r="L15334">
        <v>0.73</v>
      </c>
      <c r="M15334">
        <v>1.2</v>
      </c>
      <c r="N15334">
        <v>0.73</v>
      </c>
    </row>
    <row r="15335" spans="1:14" x14ac:dyDescent="0.25">
      <c r="A15335" t="s">
        <v>25878</v>
      </c>
      <c r="B15335" t="s">
        <v>25879</v>
      </c>
      <c r="C15335" s="1" t="str">
        <f>HYPERLINK("http://www.genecards.org/cgi-bin/carddisp.pl?gene=STARD8","GeneCards")</f>
        <v>GeneCards</v>
      </c>
      <c r="D15335" s="1" t="str">
        <f>HYPERLINK("http://genome-euro.ucsc.edu/cgi-bin/hgTracks?position=206868_at","UCSC")</f>
        <v>UCSC</v>
      </c>
      <c r="E15335" s="1" t="str">
        <f>HYPERLINK("http://www.ncbi.nlm.nih.gov/gene/?term=STARD8","NCBI")</f>
        <v>NCBI</v>
      </c>
      <c r="F15335">
        <v>0.67</v>
      </c>
      <c r="G15335">
        <v>0.74</v>
      </c>
      <c r="H15335" s="1" t="str">
        <f>HYPERLINK("http://www.weizmann.ac.il/complex/compphys/software/geview/data/figures/206868_at.png","Figure")</f>
        <v>Figure</v>
      </c>
      <c r="I15335">
        <v>0.91300000000000003</v>
      </c>
      <c r="J15335">
        <v>0.75</v>
      </c>
      <c r="K15335">
        <v>0.91300000000000003</v>
      </c>
      <c r="L15335">
        <v>0.69</v>
      </c>
      <c r="M15335">
        <v>1</v>
      </c>
      <c r="N15335">
        <v>1</v>
      </c>
    </row>
    <row r="15336" spans="1:14" x14ac:dyDescent="0.25">
      <c r="A15336" t="s">
        <v>25880</v>
      </c>
      <c r="B15336" t="s">
        <v>25881</v>
      </c>
      <c r="C15336" s="1" t="str">
        <f>HYPERLINK("http://www.genecards.org/cgi-bin/carddisp.pl?gene=MYO1E","GeneCards")</f>
        <v>GeneCards</v>
      </c>
      <c r="D15336" s="1" t="str">
        <f>HYPERLINK("http://genome-euro.ucsc.edu/cgi-bin/hgTracks?position=203072_at","UCSC")</f>
        <v>UCSC</v>
      </c>
      <c r="E15336" s="1" t="str">
        <f>HYPERLINK("http://www.ncbi.nlm.nih.gov/gene/?term=MYO1E","NCBI")</f>
        <v>NCBI</v>
      </c>
      <c r="F15336">
        <v>0.67</v>
      </c>
      <c r="G15336">
        <v>0.74</v>
      </c>
      <c r="H15336" s="1" t="str">
        <f>HYPERLINK("http://www.weizmann.ac.il/complex/compphys/software/geview/data/figures/203072_at.png","Figure")</f>
        <v>Figure</v>
      </c>
      <c r="I15336">
        <v>1.04</v>
      </c>
      <c r="J15336">
        <v>0.66</v>
      </c>
      <c r="K15336">
        <v>1.02</v>
      </c>
      <c r="L15336">
        <v>0.8</v>
      </c>
      <c r="M15336">
        <v>0.98699999999999999</v>
      </c>
      <c r="N15336">
        <v>0.94</v>
      </c>
    </row>
    <row r="15337" spans="1:14" x14ac:dyDescent="0.25">
      <c r="A15337" t="s">
        <v>25882</v>
      </c>
      <c r="B15337" t="s">
        <v>25883</v>
      </c>
      <c r="C15337" s="1" t="str">
        <f>HYPERLINK("http://www.genecards.org/cgi-bin/carddisp.pl?gene=C16orf59","GeneCards")</f>
        <v>GeneCards</v>
      </c>
      <c r="D15337" s="1" t="str">
        <f>HYPERLINK("http://genome-euro.ucsc.edu/cgi-bin/hgTracks?position=219556_at","UCSC")</f>
        <v>UCSC</v>
      </c>
      <c r="E15337" s="1" t="str">
        <f>HYPERLINK("http://www.ncbi.nlm.nih.gov/gene/?term=C16orf59","NCBI")</f>
        <v>NCBI</v>
      </c>
      <c r="F15337">
        <v>0.67</v>
      </c>
      <c r="G15337">
        <v>0.74</v>
      </c>
      <c r="H15337" s="1" t="str">
        <f>HYPERLINK("http://www.weizmann.ac.il/complex/compphys/software/geview/data/figures/219556_at.png","Figure")</f>
        <v>Figure</v>
      </c>
      <c r="I15337">
        <v>1.01</v>
      </c>
      <c r="J15337">
        <v>0.99</v>
      </c>
      <c r="K15337">
        <v>1.07</v>
      </c>
      <c r="L15337">
        <v>0.69</v>
      </c>
      <c r="M15337">
        <v>1.06</v>
      </c>
      <c r="N15337">
        <v>0.79</v>
      </c>
    </row>
    <row r="15338" spans="1:14" x14ac:dyDescent="0.25">
      <c r="A15338" t="s">
        <v>25884</v>
      </c>
      <c r="B15338" t="s">
        <v>11269</v>
      </c>
      <c r="C15338" s="1" t="str">
        <f>HYPERLINK("http://www.genecards.org/cgi-bin/carddisp.pl?gene=DLG1","GeneCards")</f>
        <v>GeneCards</v>
      </c>
      <c r="D15338" s="1" t="str">
        <f>HYPERLINK("http://genome-euro.ucsc.edu/cgi-bin/hgTracks?position=202515_at","UCSC")</f>
        <v>UCSC</v>
      </c>
      <c r="E15338" s="1" t="str">
        <f>HYPERLINK("http://www.ncbi.nlm.nih.gov/gene/?term=DLG1","NCBI")</f>
        <v>NCBI</v>
      </c>
      <c r="F15338">
        <v>0.67</v>
      </c>
      <c r="G15338">
        <v>0.74</v>
      </c>
      <c r="H15338" s="1" t="str">
        <f>HYPERLINK("http://www.weizmann.ac.il/complex/compphys/software/geview/data/figures/202515_at.png","Figure")</f>
        <v>Figure</v>
      </c>
      <c r="I15338">
        <v>1.1299999999999999</v>
      </c>
      <c r="J15338">
        <v>0.64</v>
      </c>
      <c r="K15338">
        <v>1.06</v>
      </c>
      <c r="L15338">
        <v>0.87</v>
      </c>
      <c r="M15338">
        <v>0.93799999999999994</v>
      </c>
      <c r="N15338">
        <v>0.87</v>
      </c>
    </row>
    <row r="15339" spans="1:14" x14ac:dyDescent="0.25">
      <c r="A15339" t="s">
        <v>25885</v>
      </c>
      <c r="B15339" t="s">
        <v>5775</v>
      </c>
      <c r="C15339" s="1" t="str">
        <f>HYPERLINK("http://www.genecards.org/cgi-bin/carddisp.pl?gene=CAMSAP1","GeneCards")</f>
        <v>GeneCards</v>
      </c>
      <c r="D15339" s="1" t="str">
        <f>HYPERLINK("http://genome-euro.ucsc.edu/cgi-bin/hgTracks?position=220410_s_at","UCSC")</f>
        <v>UCSC</v>
      </c>
      <c r="E15339" s="1" t="str">
        <f>HYPERLINK("http://www.ncbi.nlm.nih.gov/gene/?term=CAMSAP1","NCBI")</f>
        <v>NCBI</v>
      </c>
      <c r="F15339">
        <v>0.67</v>
      </c>
      <c r="G15339">
        <v>0.74</v>
      </c>
      <c r="H15339" s="1" t="str">
        <f>HYPERLINK("http://www.weizmann.ac.il/complex/compphys/software/geview/data/figures/220410_s_at.png","Figure")</f>
        <v>Figure</v>
      </c>
      <c r="I15339">
        <v>0.98299999999999998</v>
      </c>
      <c r="J15339">
        <v>0.9</v>
      </c>
      <c r="K15339">
        <v>0.96899999999999997</v>
      </c>
      <c r="L15339">
        <v>0.64</v>
      </c>
      <c r="M15339">
        <v>0.98599999999999999</v>
      </c>
      <c r="N15339">
        <v>0.92</v>
      </c>
    </row>
    <row r="15340" spans="1:14" x14ac:dyDescent="0.25">
      <c r="A15340" t="s">
        <v>25886</v>
      </c>
      <c r="B15340" t="s">
        <v>17204</v>
      </c>
      <c r="C15340" s="1" t="str">
        <f>HYPERLINK("http://www.genecards.org/cgi-bin/carddisp.pl?gene=IPO5","GeneCards")</f>
        <v>GeneCards</v>
      </c>
      <c r="D15340" s="1" t="str">
        <f>HYPERLINK("http://genome-euro.ucsc.edu/cgi-bin/hgTracks?position=211954_s_at","UCSC")</f>
        <v>UCSC</v>
      </c>
      <c r="E15340" s="1" t="str">
        <f>HYPERLINK("http://www.ncbi.nlm.nih.gov/gene/?term=IPO5","NCBI")</f>
        <v>NCBI</v>
      </c>
      <c r="F15340">
        <v>0.67</v>
      </c>
      <c r="G15340">
        <v>0.74</v>
      </c>
      <c r="H15340" s="1" t="str">
        <f>HYPERLINK("http://www.weizmann.ac.il/complex/compphys/software/geview/data/figures/211954_s_at.png","Figure")</f>
        <v>Figure</v>
      </c>
      <c r="I15340">
        <v>1.04</v>
      </c>
      <c r="J15340">
        <v>0.96</v>
      </c>
      <c r="K15340">
        <v>1.1299999999999999</v>
      </c>
      <c r="L15340">
        <v>0.66</v>
      </c>
      <c r="M15340">
        <v>1.08</v>
      </c>
      <c r="N15340">
        <v>0.85</v>
      </c>
    </row>
    <row r="15341" spans="1:14" x14ac:dyDescent="0.25">
      <c r="A15341" t="s">
        <v>25887</v>
      </c>
      <c r="B15341" t="s">
        <v>13806</v>
      </c>
      <c r="C15341" s="1" t="str">
        <f>HYPERLINK("http://www.genecards.org/cgi-bin/carddisp.pl?gene=RAB2A","GeneCards")</f>
        <v>GeneCards</v>
      </c>
      <c r="D15341" s="1" t="str">
        <f>HYPERLINK("http://genome-euro.ucsc.edu/cgi-bin/hgTracks?position=221960_s_at","UCSC")</f>
        <v>UCSC</v>
      </c>
      <c r="E15341" s="1" t="str">
        <f>HYPERLINK("http://www.ncbi.nlm.nih.gov/gene/?term=RAB2A","NCBI")</f>
        <v>NCBI</v>
      </c>
      <c r="F15341">
        <v>0.67</v>
      </c>
      <c r="G15341">
        <v>0.74</v>
      </c>
      <c r="H15341" s="1" t="str">
        <f>HYPERLINK("http://www.weizmann.ac.il/complex/compphys/software/geview/data/figures/221960_s_at.png","Figure")</f>
        <v>Figure</v>
      </c>
      <c r="I15341">
        <v>0.98099999999999998</v>
      </c>
      <c r="J15341">
        <v>0.99</v>
      </c>
      <c r="K15341">
        <v>0.90700000000000003</v>
      </c>
      <c r="L15341">
        <v>0.68</v>
      </c>
      <c r="M15341">
        <v>0.92500000000000004</v>
      </c>
      <c r="N15341">
        <v>0.8</v>
      </c>
    </row>
    <row r="15342" spans="1:14" x14ac:dyDescent="0.25">
      <c r="A15342" t="s">
        <v>25888</v>
      </c>
      <c r="B15342" t="s">
        <v>16443</v>
      </c>
      <c r="C15342" s="1" t="str">
        <f>HYPERLINK("http://www.genecards.org/cgi-bin/carddisp.pl?gene=ACRV1","GeneCards")</f>
        <v>GeneCards</v>
      </c>
      <c r="D15342" s="1" t="str">
        <f>HYPERLINK("http://genome-euro.ucsc.edu/cgi-bin/hgTracks?position=207969_x_at","UCSC")</f>
        <v>UCSC</v>
      </c>
      <c r="E15342" s="1" t="str">
        <f>HYPERLINK("http://www.ncbi.nlm.nih.gov/gene/?term=ACRV1","NCBI")</f>
        <v>NCBI</v>
      </c>
      <c r="F15342">
        <v>0.67</v>
      </c>
      <c r="G15342">
        <v>0.74</v>
      </c>
      <c r="H15342" s="1" t="str">
        <f>HYPERLINK("http://www.weizmann.ac.il/complex/compphys/software/geview/data/figures/207969_x_at.png","Figure")</f>
        <v>Figure</v>
      </c>
      <c r="I15342">
        <v>1.03</v>
      </c>
      <c r="J15342">
        <v>0.91</v>
      </c>
      <c r="K15342">
        <v>0.97</v>
      </c>
      <c r="L15342">
        <v>0.88</v>
      </c>
      <c r="M15342">
        <v>0.94099999999999995</v>
      </c>
      <c r="N15342">
        <v>0.65</v>
      </c>
    </row>
    <row r="15343" spans="1:14" x14ac:dyDescent="0.25">
      <c r="A15343" t="s">
        <v>25889</v>
      </c>
      <c r="B15343" t="s">
        <v>25205</v>
      </c>
      <c r="C15343" s="1" t="str">
        <f>HYPERLINK("http://www.genecards.org/cgi-bin/carddisp.pl?gene=BMP6","GeneCards")</f>
        <v>GeneCards</v>
      </c>
      <c r="D15343" s="1" t="str">
        <f>HYPERLINK("http://genome-euro.ucsc.edu/cgi-bin/hgTracks?position=215042_at","UCSC")</f>
        <v>UCSC</v>
      </c>
      <c r="E15343" s="1" t="str">
        <f>HYPERLINK("http://www.ncbi.nlm.nih.gov/gene/?term=BMP6","NCBI")</f>
        <v>NCBI</v>
      </c>
      <c r="F15343">
        <v>0.67</v>
      </c>
      <c r="G15343">
        <v>0.74</v>
      </c>
      <c r="H15343" s="1" t="str">
        <f>HYPERLINK("http://www.weizmann.ac.il/complex/compphys/software/geview/data/figures/215042_at.png","Figure")</f>
        <v>Figure</v>
      </c>
      <c r="I15343">
        <v>1.03</v>
      </c>
      <c r="J15343">
        <v>0.81</v>
      </c>
      <c r="K15343">
        <v>1.03</v>
      </c>
      <c r="L15343">
        <v>0.66</v>
      </c>
      <c r="M15343">
        <v>1.01</v>
      </c>
      <c r="N15343">
        <v>0.99</v>
      </c>
    </row>
    <row r="15344" spans="1:14" x14ac:dyDescent="0.25">
      <c r="A15344" t="s">
        <v>25890</v>
      </c>
      <c r="B15344" t="s">
        <v>25891</v>
      </c>
      <c r="C15344" s="1" t="str">
        <f>HYPERLINK("http://www.genecards.org/cgi-bin/carddisp.pl?gene=EIF2C4","GeneCards")</f>
        <v>GeneCards</v>
      </c>
      <c r="D15344" s="1" t="str">
        <f>HYPERLINK("http://genome-euro.ucsc.edu/cgi-bin/hgTracks?position=219190_s_at","UCSC")</f>
        <v>UCSC</v>
      </c>
      <c r="E15344" s="1" t="str">
        <f>HYPERLINK("http://www.ncbi.nlm.nih.gov/gene/?term=EIF2C4","NCBI")</f>
        <v>NCBI</v>
      </c>
      <c r="F15344">
        <v>0.67</v>
      </c>
      <c r="G15344">
        <v>0.74</v>
      </c>
      <c r="H15344" s="1" t="str">
        <f>HYPERLINK("http://www.weizmann.ac.il/complex/compphys/software/geview/data/figures/219190_s_at.png","Figure")</f>
        <v>Figure</v>
      </c>
      <c r="I15344">
        <v>0.90800000000000003</v>
      </c>
      <c r="J15344">
        <v>0.65</v>
      </c>
      <c r="K15344">
        <v>0.94399999999999995</v>
      </c>
      <c r="L15344">
        <v>0.82</v>
      </c>
      <c r="M15344">
        <v>1.04</v>
      </c>
      <c r="N15344">
        <v>0.92</v>
      </c>
    </row>
    <row r="15345" spans="1:14" x14ac:dyDescent="0.25">
      <c r="A15345" t="s">
        <v>25892</v>
      </c>
      <c r="B15345" t="s">
        <v>25893</v>
      </c>
      <c r="C15345" s="1" t="str">
        <f>HYPERLINK("http://www.genecards.org/cgi-bin/carddisp.pl?gene=CNTF /// ZFP91 /// ZFP91-CNTF","GeneCards")</f>
        <v>GeneCards</v>
      </c>
      <c r="D15345" s="1" t="str">
        <f>HYPERLINK("http://genome-euro.ucsc.edu/cgi-bin/hgTracks?position=208597_at","UCSC")</f>
        <v>UCSC</v>
      </c>
      <c r="E15345" s="1" t="str">
        <f>HYPERLINK("http://www.ncbi.nlm.nih.gov/gene/?term=CNTF /// ZFP91 /// ZFP91-CNTF","NCBI")</f>
        <v>NCBI</v>
      </c>
      <c r="F15345">
        <v>0.67</v>
      </c>
      <c r="G15345">
        <v>0.74</v>
      </c>
      <c r="H15345" s="1" t="str">
        <f>HYPERLINK("http://www.weizmann.ac.il/complex/compphys/software/geview/data/figures/208597_at.png","Figure")</f>
        <v>Figure</v>
      </c>
      <c r="I15345">
        <v>1.01</v>
      </c>
      <c r="J15345">
        <v>0.9</v>
      </c>
      <c r="K15345">
        <v>1.02</v>
      </c>
      <c r="L15345">
        <v>0.64</v>
      </c>
      <c r="M15345">
        <v>1.01</v>
      </c>
      <c r="N15345">
        <v>0.92</v>
      </c>
    </row>
    <row r="15346" spans="1:14" x14ac:dyDescent="0.25">
      <c r="A15346" t="s">
        <v>25894</v>
      </c>
      <c r="B15346" t="s">
        <v>25895</v>
      </c>
      <c r="C15346" s="1" t="str">
        <f>HYPERLINK("http://www.genecards.org/cgi-bin/carddisp.pl?gene=CSPP1","GeneCards")</f>
        <v>GeneCards</v>
      </c>
      <c r="D15346" s="1" t="str">
        <f>HYPERLINK("http://genome-euro.ucsc.edu/cgi-bin/hgTracks?position=220072_at","UCSC")</f>
        <v>UCSC</v>
      </c>
      <c r="E15346" s="1" t="str">
        <f>HYPERLINK("http://www.ncbi.nlm.nih.gov/gene/?term=CSPP1","NCBI")</f>
        <v>NCBI</v>
      </c>
      <c r="F15346">
        <v>0.67</v>
      </c>
      <c r="G15346">
        <v>0.74</v>
      </c>
      <c r="H15346" s="1" t="str">
        <f>HYPERLINK("http://www.weizmann.ac.il/complex/compphys/software/geview/data/figures/220072_at.png","Figure")</f>
        <v>Figure</v>
      </c>
      <c r="I15346">
        <v>0.83899999999999997</v>
      </c>
      <c r="J15346">
        <v>0.71</v>
      </c>
      <c r="K15346">
        <v>0.85899999999999999</v>
      </c>
      <c r="L15346">
        <v>0.72</v>
      </c>
      <c r="M15346">
        <v>1.02</v>
      </c>
      <c r="N15346">
        <v>0.99</v>
      </c>
    </row>
    <row r="15347" spans="1:14" x14ac:dyDescent="0.25">
      <c r="A15347" t="s">
        <v>25896</v>
      </c>
      <c r="B15347" t="s">
        <v>20048</v>
      </c>
      <c r="C15347" s="1" t="str">
        <f>HYPERLINK("http://www.genecards.org/cgi-bin/carddisp.pl?gene=ALK","GeneCards")</f>
        <v>GeneCards</v>
      </c>
      <c r="D15347" s="1" t="str">
        <f>HYPERLINK("http://genome-euro.ucsc.edu/cgi-bin/hgTracks?position=208212_s_at","UCSC")</f>
        <v>UCSC</v>
      </c>
      <c r="E15347" s="1" t="str">
        <f>HYPERLINK("http://www.ncbi.nlm.nih.gov/gene/?term=ALK","NCBI")</f>
        <v>NCBI</v>
      </c>
      <c r="F15347">
        <v>0.67</v>
      </c>
      <c r="G15347">
        <v>0.74</v>
      </c>
      <c r="H15347" s="1" t="str">
        <f>HYPERLINK("http://www.weizmann.ac.il/complex/compphys/software/geview/data/figures/208212_s_at.png","Figure")</f>
        <v>Figure</v>
      </c>
      <c r="I15347">
        <v>0.995</v>
      </c>
      <c r="J15347">
        <v>1</v>
      </c>
      <c r="K15347">
        <v>0.94899999999999995</v>
      </c>
      <c r="L15347">
        <v>0.7</v>
      </c>
      <c r="M15347">
        <v>0.95399999999999996</v>
      </c>
      <c r="N15347">
        <v>0.77</v>
      </c>
    </row>
    <row r="15348" spans="1:14" x14ac:dyDescent="0.25">
      <c r="A15348" t="s">
        <v>25897</v>
      </c>
      <c r="B15348" t="s">
        <v>16800</v>
      </c>
      <c r="C15348" s="1" t="str">
        <f>HYPERLINK("http://www.genecards.org/cgi-bin/carddisp.pl?gene=LEPR","GeneCards")</f>
        <v>GeneCards</v>
      </c>
      <c r="D15348" s="1" t="str">
        <f>HYPERLINK("http://genome-euro.ucsc.edu/cgi-bin/hgTracks?position=207255_at","UCSC")</f>
        <v>UCSC</v>
      </c>
      <c r="E15348" s="1" t="str">
        <f>HYPERLINK("http://www.ncbi.nlm.nih.gov/gene/?term=LEPR","NCBI")</f>
        <v>NCBI</v>
      </c>
      <c r="F15348">
        <v>0.67</v>
      </c>
      <c r="G15348">
        <v>0.74</v>
      </c>
      <c r="H15348" s="1" t="str">
        <f>HYPERLINK("http://www.weizmann.ac.il/complex/compphys/software/geview/data/figures/207255_at.png","Figure")</f>
        <v>Figure</v>
      </c>
      <c r="I15348">
        <v>1</v>
      </c>
      <c r="J15348">
        <v>0.96</v>
      </c>
      <c r="K15348">
        <v>0.995</v>
      </c>
      <c r="L15348">
        <v>0.82</v>
      </c>
      <c r="M15348">
        <v>0.99199999999999999</v>
      </c>
      <c r="N15348">
        <v>0.67</v>
      </c>
    </row>
    <row r="15349" spans="1:14" x14ac:dyDescent="0.25">
      <c r="A15349" t="s">
        <v>25898</v>
      </c>
      <c r="B15349" t="s">
        <v>25899</v>
      </c>
      <c r="C15349" s="1" t="str">
        <f>HYPERLINK("http://www.genecards.org/cgi-bin/carddisp.pl?gene=EIF3I","GeneCards")</f>
        <v>GeneCards</v>
      </c>
      <c r="D15349" s="1" t="str">
        <f>HYPERLINK("http://genome-euro.ucsc.edu/cgi-bin/hgTracks?position=208756_at","UCSC")</f>
        <v>UCSC</v>
      </c>
      <c r="E15349" s="1" t="str">
        <f>HYPERLINK("http://www.ncbi.nlm.nih.gov/gene/?term=EIF3I","NCBI")</f>
        <v>NCBI</v>
      </c>
      <c r="F15349">
        <v>0.67</v>
      </c>
      <c r="G15349">
        <v>0.74</v>
      </c>
      <c r="H15349" s="1" t="str">
        <f>HYPERLINK("http://www.weizmann.ac.il/complex/compphys/software/geview/data/figures/208756_at.png","Figure")</f>
        <v>Figure</v>
      </c>
      <c r="I15349">
        <v>1.1100000000000001</v>
      </c>
      <c r="J15349">
        <v>0.73</v>
      </c>
      <c r="K15349">
        <v>0.996</v>
      </c>
      <c r="L15349">
        <v>1</v>
      </c>
      <c r="M15349">
        <v>0.9</v>
      </c>
      <c r="N15349">
        <v>0.68</v>
      </c>
    </row>
    <row r="15350" spans="1:14" x14ac:dyDescent="0.25">
      <c r="A15350" t="s">
        <v>25900</v>
      </c>
      <c r="B15350" t="s">
        <v>25901</v>
      </c>
      <c r="C15350" s="1" t="str">
        <f>HYPERLINK("http://www.genecards.org/cgi-bin/carddisp.pl?gene=CCNO","GeneCards")</f>
        <v>GeneCards</v>
      </c>
      <c r="D15350" s="1" t="str">
        <f>HYPERLINK("http://genome-euro.ucsc.edu/cgi-bin/hgTracks?position=210021_s_at","UCSC")</f>
        <v>UCSC</v>
      </c>
      <c r="E15350" s="1" t="str">
        <f>HYPERLINK("http://www.ncbi.nlm.nih.gov/gene/?term=CCNO","NCBI")</f>
        <v>NCBI</v>
      </c>
      <c r="F15350">
        <v>0.67</v>
      </c>
      <c r="G15350">
        <v>0.74</v>
      </c>
      <c r="H15350" s="1" t="str">
        <f>HYPERLINK("http://www.weizmann.ac.il/complex/compphys/software/geview/data/figures/210021_s_at.png","Figure")</f>
        <v>Figure</v>
      </c>
      <c r="I15350">
        <v>1</v>
      </c>
      <c r="J15350">
        <v>0.96</v>
      </c>
      <c r="K15350">
        <v>0.997</v>
      </c>
      <c r="L15350">
        <v>0.82</v>
      </c>
      <c r="M15350">
        <v>0.996</v>
      </c>
      <c r="N15350">
        <v>0.67</v>
      </c>
    </row>
    <row r="15351" spans="1:14" x14ac:dyDescent="0.25">
      <c r="A15351" t="s">
        <v>25902</v>
      </c>
      <c r="B15351" t="s">
        <v>25903</v>
      </c>
      <c r="C15351" s="1" t="str">
        <f>HYPERLINK("http://www.genecards.org/cgi-bin/carddisp.pl?gene=NXT1","GeneCards")</f>
        <v>GeneCards</v>
      </c>
      <c r="D15351" s="1" t="str">
        <f>HYPERLINK("http://genome-euro.ucsc.edu/cgi-bin/hgTracks?position=218708_at","UCSC")</f>
        <v>UCSC</v>
      </c>
      <c r="E15351" s="1" t="str">
        <f>HYPERLINK("http://www.ncbi.nlm.nih.gov/gene/?term=NXT1","NCBI")</f>
        <v>NCBI</v>
      </c>
      <c r="F15351">
        <v>0.67</v>
      </c>
      <c r="G15351">
        <v>0.74</v>
      </c>
      <c r="H15351" s="1" t="str">
        <f>HYPERLINK("http://www.weizmann.ac.il/complex/compphys/software/geview/data/figures/218708_at.png","Figure")</f>
        <v>Figure</v>
      </c>
      <c r="I15351">
        <v>1.02</v>
      </c>
      <c r="J15351">
        <v>0.99</v>
      </c>
      <c r="K15351">
        <v>0.92600000000000005</v>
      </c>
      <c r="L15351">
        <v>0.77</v>
      </c>
      <c r="M15351">
        <v>0.90800000000000003</v>
      </c>
      <c r="N15351">
        <v>0.7</v>
      </c>
    </row>
    <row r="15352" spans="1:14" x14ac:dyDescent="0.25">
      <c r="A15352" t="s">
        <v>25904</v>
      </c>
      <c r="B15352" t="s">
        <v>25905</v>
      </c>
      <c r="C15352" s="1" t="str">
        <f>HYPERLINK("http://www.genecards.org/cgi-bin/carddisp.pl?gene=TULP1","GeneCards")</f>
        <v>GeneCards</v>
      </c>
      <c r="D15352" s="1" t="str">
        <f>HYPERLINK("http://genome-euro.ucsc.edu/cgi-bin/hgTracks?position=206705_at","UCSC")</f>
        <v>UCSC</v>
      </c>
      <c r="E15352" s="1" t="str">
        <f>HYPERLINK("http://www.ncbi.nlm.nih.gov/gene/?term=TULP1","NCBI")</f>
        <v>NCBI</v>
      </c>
      <c r="F15352">
        <v>0.67</v>
      </c>
      <c r="G15352">
        <v>0.74</v>
      </c>
      <c r="H15352" s="1" t="str">
        <f>HYPERLINK("http://www.weizmann.ac.il/complex/compphys/software/geview/data/figures/206705_at.png","Figure")</f>
        <v>Figure</v>
      </c>
      <c r="I15352">
        <v>1.04</v>
      </c>
      <c r="J15352">
        <v>0.75</v>
      </c>
      <c r="K15352">
        <v>1.04</v>
      </c>
      <c r="L15352">
        <v>0.69</v>
      </c>
      <c r="M15352">
        <v>1</v>
      </c>
      <c r="N15352">
        <v>1</v>
      </c>
    </row>
    <row r="15353" spans="1:14" x14ac:dyDescent="0.25">
      <c r="A15353" t="s">
        <v>25906</v>
      </c>
      <c r="B15353" t="s">
        <v>25907</v>
      </c>
      <c r="C15353" s="1" t="str">
        <f>HYPERLINK("http://www.genecards.org/cgi-bin/carddisp.pl?gene=BBS4","GeneCards")</f>
        <v>GeneCards</v>
      </c>
      <c r="D15353" s="1" t="str">
        <f>HYPERLINK("http://genome-euro.ucsc.edu/cgi-bin/hgTracks?position=212744_at","UCSC")</f>
        <v>UCSC</v>
      </c>
      <c r="E15353" s="1" t="str">
        <f>HYPERLINK("http://www.ncbi.nlm.nih.gov/gene/?term=BBS4","NCBI")</f>
        <v>NCBI</v>
      </c>
      <c r="F15353">
        <v>0.67</v>
      </c>
      <c r="G15353">
        <v>0.74</v>
      </c>
      <c r="H15353" s="1" t="str">
        <f>HYPERLINK("http://www.weizmann.ac.il/complex/compphys/software/geview/data/figures/212744_at.png","Figure")</f>
        <v>Figure</v>
      </c>
      <c r="I15353">
        <v>0.998</v>
      </c>
      <c r="J15353">
        <v>1</v>
      </c>
      <c r="K15353">
        <v>1.07</v>
      </c>
      <c r="L15353">
        <v>0.73</v>
      </c>
      <c r="M15353">
        <v>1.07</v>
      </c>
      <c r="N15353">
        <v>0.74</v>
      </c>
    </row>
    <row r="15354" spans="1:14" x14ac:dyDescent="0.25">
      <c r="A15354" t="s">
        <v>25908</v>
      </c>
      <c r="B15354" t="s">
        <v>25909</v>
      </c>
      <c r="C15354" s="1" t="str">
        <f>HYPERLINK("http://www.genecards.org/cgi-bin/carddisp.pl?gene=SDK2","GeneCards")</f>
        <v>GeneCards</v>
      </c>
      <c r="D15354" s="1" t="str">
        <f>HYPERLINK("http://genome-euro.ucsc.edu/cgi-bin/hgTracks?position=220628_s_at","UCSC")</f>
        <v>UCSC</v>
      </c>
      <c r="E15354" s="1" t="str">
        <f>HYPERLINK("http://www.ncbi.nlm.nih.gov/gene/?term=SDK2","NCBI")</f>
        <v>NCBI</v>
      </c>
      <c r="F15354">
        <v>0.67</v>
      </c>
      <c r="G15354">
        <v>0.74</v>
      </c>
      <c r="H15354" s="1" t="str">
        <f>HYPERLINK("http://www.weizmann.ac.il/complex/compphys/software/geview/data/figures/220628_s_at.png","Figure")</f>
        <v>Figure</v>
      </c>
      <c r="I15354">
        <v>1.1399999999999999</v>
      </c>
      <c r="J15354">
        <v>0.65</v>
      </c>
      <c r="K15354">
        <v>1.06</v>
      </c>
      <c r="L15354">
        <v>0.89</v>
      </c>
      <c r="M15354">
        <v>0.93200000000000005</v>
      </c>
      <c r="N15354">
        <v>0.85</v>
      </c>
    </row>
    <row r="15355" spans="1:14" x14ac:dyDescent="0.25">
      <c r="A15355" t="s">
        <v>25910</v>
      </c>
      <c r="B15355" t="s">
        <v>16962</v>
      </c>
      <c r="C15355" s="1" t="str">
        <f>HYPERLINK("http://www.genecards.org/cgi-bin/carddisp.pl?gene=UBN1","GeneCards")</f>
        <v>GeneCards</v>
      </c>
      <c r="D15355" s="1" t="str">
        <f>HYPERLINK("http://genome-euro.ucsc.edu/cgi-bin/hgTracks?position=207253_s_at","UCSC")</f>
        <v>UCSC</v>
      </c>
      <c r="E15355" s="1" t="str">
        <f>HYPERLINK("http://www.ncbi.nlm.nih.gov/gene/?term=UBN1","NCBI")</f>
        <v>NCBI</v>
      </c>
      <c r="F15355">
        <v>0.67</v>
      </c>
      <c r="G15355">
        <v>0.74</v>
      </c>
      <c r="H15355" s="1" t="str">
        <f>HYPERLINK("http://www.weizmann.ac.il/complex/compphys/software/geview/data/figures/207253_s_at.png","Figure")</f>
        <v>Figure</v>
      </c>
      <c r="I15355">
        <v>1.0900000000000001</v>
      </c>
      <c r="J15355">
        <v>0.76</v>
      </c>
      <c r="K15355">
        <v>0.98799999999999999</v>
      </c>
      <c r="L15355">
        <v>0.99</v>
      </c>
      <c r="M15355">
        <v>0.90300000000000002</v>
      </c>
      <c r="N15355">
        <v>0.67</v>
      </c>
    </row>
    <row r="15356" spans="1:14" x14ac:dyDescent="0.25">
      <c r="A15356" t="s">
        <v>25911</v>
      </c>
      <c r="B15356" t="s">
        <v>25912</v>
      </c>
      <c r="C15356" s="1" t="str">
        <f>HYPERLINK("http://www.genecards.org/cgi-bin/carddisp.pl?gene=LILRA4","GeneCards")</f>
        <v>GeneCards</v>
      </c>
      <c r="D15356" s="1" t="str">
        <f>HYPERLINK("http://genome-euro.ucsc.edu/cgi-bin/hgTracks?position=210313_at","UCSC")</f>
        <v>UCSC</v>
      </c>
      <c r="E15356" s="1" t="str">
        <f>HYPERLINK("http://www.ncbi.nlm.nih.gov/gene/?term=LILRA4","NCBI")</f>
        <v>NCBI</v>
      </c>
      <c r="F15356">
        <v>0.67</v>
      </c>
      <c r="G15356">
        <v>0.74</v>
      </c>
      <c r="H15356" s="1" t="str">
        <f>HYPERLINK("http://www.weizmann.ac.il/complex/compphys/software/geview/data/figures/210313_at.png","Figure")</f>
        <v>Figure</v>
      </c>
      <c r="I15356">
        <v>0.94299999999999995</v>
      </c>
      <c r="J15356">
        <v>0.82</v>
      </c>
      <c r="K15356">
        <v>1.02</v>
      </c>
      <c r="L15356">
        <v>0.96</v>
      </c>
      <c r="M15356">
        <v>1.0900000000000001</v>
      </c>
      <c r="N15356">
        <v>0.65</v>
      </c>
    </row>
    <row r="15357" spans="1:14" x14ac:dyDescent="0.25">
      <c r="A15357" t="s">
        <v>25913</v>
      </c>
      <c r="B15357" t="s">
        <v>25914</v>
      </c>
      <c r="C15357" s="1" t="str">
        <f>HYPERLINK("http://www.genecards.org/cgi-bin/carddisp.pl?gene=YY2","GeneCards")</f>
        <v>GeneCards</v>
      </c>
      <c r="D15357" s="1" t="str">
        <f>HYPERLINK("http://genome-euro.ucsc.edu/cgi-bin/hgTracks?position=216531_at","UCSC")</f>
        <v>UCSC</v>
      </c>
      <c r="E15357" s="1" t="str">
        <f>HYPERLINK("http://www.ncbi.nlm.nih.gov/gene/?term=YY2","NCBI")</f>
        <v>NCBI</v>
      </c>
      <c r="F15357">
        <v>0.67</v>
      </c>
      <c r="G15357">
        <v>0.74</v>
      </c>
      <c r="H15357" s="1" t="str">
        <f>HYPERLINK("http://www.weizmann.ac.il/complex/compphys/software/geview/data/figures/216531_at.png","Figure")</f>
        <v>Figure</v>
      </c>
      <c r="I15357">
        <v>1.0900000000000001</v>
      </c>
      <c r="J15357">
        <v>0.66</v>
      </c>
      <c r="K15357">
        <v>1.05</v>
      </c>
      <c r="L15357">
        <v>0.8</v>
      </c>
      <c r="M15357">
        <v>0.97</v>
      </c>
      <c r="N15357">
        <v>0.94</v>
      </c>
    </row>
    <row r="15358" spans="1:14" x14ac:dyDescent="0.25">
      <c r="A15358" t="s">
        <v>25915</v>
      </c>
      <c r="B15358" t="s">
        <v>8185</v>
      </c>
      <c r="C15358" s="1" t="str">
        <f>HYPERLINK("http://www.genecards.org/cgi-bin/carddisp.pl?gene=NPAS2","GeneCards")</f>
        <v>GeneCards</v>
      </c>
      <c r="D15358" s="1" t="str">
        <f>HYPERLINK("http://genome-euro.ucsc.edu/cgi-bin/hgTracks?position=205459_s_at","UCSC")</f>
        <v>UCSC</v>
      </c>
      <c r="E15358" s="1" t="str">
        <f>HYPERLINK("http://www.ncbi.nlm.nih.gov/gene/?term=NPAS2","NCBI")</f>
        <v>NCBI</v>
      </c>
      <c r="F15358">
        <v>0.67</v>
      </c>
      <c r="G15358">
        <v>0.74</v>
      </c>
      <c r="H15358" s="1" t="str">
        <f>HYPERLINK("http://www.weizmann.ac.il/complex/compphys/software/geview/data/figures/205459_s_at.png","Figure")</f>
        <v>Figure</v>
      </c>
      <c r="I15358">
        <v>1.03</v>
      </c>
      <c r="J15358">
        <v>0.73</v>
      </c>
      <c r="K15358">
        <v>0.999</v>
      </c>
      <c r="L15358">
        <v>1</v>
      </c>
      <c r="M15358">
        <v>0.97</v>
      </c>
      <c r="N15358">
        <v>0.68</v>
      </c>
    </row>
    <row r="15359" spans="1:14" x14ac:dyDescent="0.25">
      <c r="A15359" t="s">
        <v>25916</v>
      </c>
      <c r="B15359" t="s">
        <v>14670</v>
      </c>
      <c r="C15359" s="1" t="str">
        <f>HYPERLINK("http://www.genecards.org/cgi-bin/carddisp.pl?gene=GPATCH8","GeneCards")</f>
        <v>GeneCards</v>
      </c>
      <c r="D15359" s="1" t="str">
        <f>HYPERLINK("http://genome-euro.ucsc.edu/cgi-bin/hgTracks?position=212485_at","UCSC")</f>
        <v>UCSC</v>
      </c>
      <c r="E15359" s="1" t="str">
        <f>HYPERLINK("http://www.ncbi.nlm.nih.gov/gene/?term=GPATCH8","NCBI")</f>
        <v>NCBI</v>
      </c>
      <c r="F15359">
        <v>0.67</v>
      </c>
      <c r="G15359">
        <v>0.74</v>
      </c>
      <c r="H15359" s="1" t="str">
        <f>HYPERLINK("http://www.weizmann.ac.il/complex/compphys/software/geview/data/figures/212485_at.png","Figure")</f>
        <v>Figure</v>
      </c>
      <c r="I15359">
        <v>1</v>
      </c>
      <c r="J15359">
        <v>1</v>
      </c>
      <c r="K15359">
        <v>0.9</v>
      </c>
      <c r="L15359">
        <v>0.73</v>
      </c>
      <c r="M15359">
        <v>0.89600000000000002</v>
      </c>
      <c r="N15359">
        <v>0.74</v>
      </c>
    </row>
    <row r="15360" spans="1:14" x14ac:dyDescent="0.25">
      <c r="A15360" t="s">
        <v>25917</v>
      </c>
      <c r="B15360" t="s">
        <v>19253</v>
      </c>
      <c r="C15360" s="1" t="str">
        <f>HYPERLINK("http://www.genecards.org/cgi-bin/carddisp.pl?gene=SART3","GeneCards")</f>
        <v>GeneCards</v>
      </c>
      <c r="D15360" s="1" t="str">
        <f>HYPERLINK("http://genome-euro.ucsc.edu/cgi-bin/hgTracks?position=200069_at","UCSC")</f>
        <v>UCSC</v>
      </c>
      <c r="E15360" s="1" t="str">
        <f>HYPERLINK("http://www.ncbi.nlm.nih.gov/gene/?term=SART3","NCBI")</f>
        <v>NCBI</v>
      </c>
      <c r="F15360">
        <v>0.67</v>
      </c>
      <c r="G15360">
        <v>0.74</v>
      </c>
      <c r="H15360" s="1" t="str">
        <f>HYPERLINK("http://www.weizmann.ac.il/complex/compphys/software/geview/data/figures/200069_at.png","Figure")</f>
        <v>Figure</v>
      </c>
      <c r="I15360">
        <v>0.81399999999999995</v>
      </c>
      <c r="J15360">
        <v>0.74</v>
      </c>
      <c r="K15360">
        <v>0.82399999999999995</v>
      </c>
      <c r="L15360">
        <v>0.7</v>
      </c>
      <c r="M15360">
        <v>1.01</v>
      </c>
      <c r="N15360">
        <v>1</v>
      </c>
    </row>
    <row r="15361" spans="1:14" x14ac:dyDescent="0.25">
      <c r="A15361" t="s">
        <v>25918</v>
      </c>
      <c r="B15361" t="s">
        <v>25919</v>
      </c>
      <c r="C15361" s="1" t="str">
        <f>HYPERLINK("http://www.genecards.org/cgi-bin/carddisp.pl?gene=CDC45L","GeneCards")</f>
        <v>GeneCards</v>
      </c>
      <c r="D15361" s="1" t="str">
        <f>HYPERLINK("http://genome-euro.ucsc.edu/cgi-bin/hgTracks?position=204126_s_at","UCSC")</f>
        <v>UCSC</v>
      </c>
      <c r="E15361" s="1" t="str">
        <f>HYPERLINK("http://www.ncbi.nlm.nih.gov/gene/?term=CDC45L","NCBI")</f>
        <v>NCBI</v>
      </c>
      <c r="F15361">
        <v>0.67</v>
      </c>
      <c r="G15361">
        <v>0.74</v>
      </c>
      <c r="H15361" s="1" t="str">
        <f>HYPERLINK("http://www.weizmann.ac.il/complex/compphys/software/geview/data/figures/204126_s_at.png","Figure")</f>
        <v>Figure</v>
      </c>
      <c r="I15361">
        <v>0.97399999999999998</v>
      </c>
      <c r="J15361">
        <v>0.98</v>
      </c>
      <c r="K15361">
        <v>0.89200000000000002</v>
      </c>
      <c r="L15361">
        <v>0.68</v>
      </c>
      <c r="M15361">
        <v>0.91600000000000004</v>
      </c>
      <c r="N15361">
        <v>0.82</v>
      </c>
    </row>
    <row r="15362" spans="1:14" x14ac:dyDescent="0.25">
      <c r="A15362" t="s">
        <v>25920</v>
      </c>
      <c r="B15362" t="s">
        <v>25921</v>
      </c>
      <c r="C15362" s="1" t="str">
        <f>HYPERLINK("http://www.genecards.org/cgi-bin/carddisp.pl?gene=SEMA4D","GeneCards")</f>
        <v>GeneCards</v>
      </c>
      <c r="D15362" s="1" t="str">
        <f>HYPERLINK("http://genome-euro.ucsc.edu/cgi-bin/hgTracks?position=203528_at","UCSC")</f>
        <v>UCSC</v>
      </c>
      <c r="E15362" s="1" t="str">
        <f>HYPERLINK("http://www.ncbi.nlm.nih.gov/gene/?term=SEMA4D","NCBI")</f>
        <v>NCBI</v>
      </c>
      <c r="F15362">
        <v>0.67</v>
      </c>
      <c r="G15362">
        <v>0.74</v>
      </c>
      <c r="H15362" s="1" t="str">
        <f>HYPERLINK("http://www.weizmann.ac.il/complex/compphys/software/geview/data/figures/203528_at.png","Figure")</f>
        <v>Figure</v>
      </c>
      <c r="I15362">
        <v>1.1299999999999999</v>
      </c>
      <c r="J15362">
        <v>0.7</v>
      </c>
      <c r="K15362">
        <v>1.1100000000000001</v>
      </c>
      <c r="L15362">
        <v>0.74</v>
      </c>
      <c r="M15362">
        <v>0.97599999999999998</v>
      </c>
      <c r="N15362">
        <v>0.98</v>
      </c>
    </row>
    <row r="15363" spans="1:14" x14ac:dyDescent="0.25">
      <c r="A15363" t="s">
        <v>25922</v>
      </c>
      <c r="B15363" t="s">
        <v>25923</v>
      </c>
      <c r="C15363" s="1" t="str">
        <f>HYPERLINK("http://www.genecards.org/cgi-bin/carddisp.pl?gene=SLC10A3","GeneCards")</f>
        <v>GeneCards</v>
      </c>
      <c r="D15363" s="1" t="str">
        <f>HYPERLINK("http://genome-euro.ucsc.edu/cgi-bin/hgTracks?position=204928_s_at","UCSC")</f>
        <v>UCSC</v>
      </c>
      <c r="E15363" s="1" t="str">
        <f>HYPERLINK("http://www.ncbi.nlm.nih.gov/gene/?term=SLC10A3","NCBI")</f>
        <v>NCBI</v>
      </c>
      <c r="F15363">
        <v>0.67</v>
      </c>
      <c r="G15363">
        <v>0.74</v>
      </c>
      <c r="H15363" s="1" t="str">
        <f>HYPERLINK("http://www.weizmann.ac.il/complex/compphys/software/geview/data/figures/204928_s_at.png","Figure")</f>
        <v>Figure</v>
      </c>
      <c r="I15363">
        <v>0.90300000000000002</v>
      </c>
      <c r="J15363">
        <v>0.66</v>
      </c>
      <c r="K15363">
        <v>0.93700000000000006</v>
      </c>
      <c r="L15363">
        <v>0.8</v>
      </c>
      <c r="M15363">
        <v>1.04</v>
      </c>
      <c r="N15363">
        <v>0.94</v>
      </c>
    </row>
    <row r="15364" spans="1:14" x14ac:dyDescent="0.25">
      <c r="A15364" t="s">
        <v>25924</v>
      </c>
      <c r="B15364" t="s">
        <v>25925</v>
      </c>
      <c r="C15364" s="1" t="str">
        <f>HYPERLINK("http://www.genecards.org/cgi-bin/carddisp.pl?gene=CRHR2","GeneCards")</f>
        <v>GeneCards</v>
      </c>
      <c r="D15364" s="1" t="str">
        <f>HYPERLINK("http://genome-euro.ucsc.edu/cgi-bin/hgTracks?position=207897_at","UCSC")</f>
        <v>UCSC</v>
      </c>
      <c r="E15364" s="1" t="str">
        <f>HYPERLINK("http://www.ncbi.nlm.nih.gov/gene/?term=CRHR2","NCBI")</f>
        <v>NCBI</v>
      </c>
      <c r="F15364">
        <v>0.67</v>
      </c>
      <c r="G15364">
        <v>0.74</v>
      </c>
      <c r="H15364" s="1" t="str">
        <f>HYPERLINK("http://www.weizmann.ac.il/complex/compphys/software/geview/data/figures/207897_at.png","Figure")</f>
        <v>Figure</v>
      </c>
      <c r="I15364">
        <v>0.94199999999999995</v>
      </c>
      <c r="J15364">
        <v>0.65</v>
      </c>
      <c r="K15364">
        <v>0.97499999999999998</v>
      </c>
      <c r="L15364">
        <v>0.9</v>
      </c>
      <c r="M15364">
        <v>1.03</v>
      </c>
      <c r="N15364">
        <v>0.85</v>
      </c>
    </row>
    <row r="15365" spans="1:14" x14ac:dyDescent="0.25">
      <c r="A15365" t="s">
        <v>25926</v>
      </c>
      <c r="B15365" t="s">
        <v>20137</v>
      </c>
      <c r="C15365" s="1" t="str">
        <f>HYPERLINK("http://www.genecards.org/cgi-bin/carddisp.pl?gene=RREB1","GeneCards")</f>
        <v>GeneCards</v>
      </c>
      <c r="D15365" s="1" t="str">
        <f>HYPERLINK("http://genome-euro.ucsc.edu/cgi-bin/hgTracks?position=217411_s_at","UCSC")</f>
        <v>UCSC</v>
      </c>
      <c r="E15365" s="1" t="str">
        <f>HYPERLINK("http://www.ncbi.nlm.nih.gov/gene/?term=RREB1","NCBI")</f>
        <v>NCBI</v>
      </c>
      <c r="F15365">
        <v>0.67</v>
      </c>
      <c r="G15365">
        <v>0.74</v>
      </c>
      <c r="H15365" s="1" t="str">
        <f>HYPERLINK("http://www.weizmann.ac.il/complex/compphys/software/geview/data/figures/217411_s_at.png","Figure")</f>
        <v>Figure</v>
      </c>
      <c r="I15365">
        <v>1.03</v>
      </c>
      <c r="J15365">
        <v>0.86</v>
      </c>
      <c r="K15365">
        <v>0.98399999999999999</v>
      </c>
      <c r="L15365">
        <v>0.93</v>
      </c>
      <c r="M15365">
        <v>0.95799999999999996</v>
      </c>
      <c r="N15365">
        <v>0.65</v>
      </c>
    </row>
    <row r="15366" spans="1:14" x14ac:dyDescent="0.25">
      <c r="A15366" t="s">
        <v>25927</v>
      </c>
      <c r="B15366" t="s">
        <v>25928</v>
      </c>
      <c r="C15366" s="1" t="str">
        <f>HYPERLINK("http://www.genecards.org/cgi-bin/carddisp.pl?gene=LZTFL1","GeneCards")</f>
        <v>GeneCards</v>
      </c>
      <c r="D15366" s="1" t="str">
        <f>HYPERLINK("http://genome-euro.ucsc.edu/cgi-bin/hgTracks?position=218437_s_at","UCSC")</f>
        <v>UCSC</v>
      </c>
      <c r="E15366" s="1" t="str">
        <f>HYPERLINK("http://www.ncbi.nlm.nih.gov/gene/?term=LZTFL1","NCBI")</f>
        <v>NCBI</v>
      </c>
      <c r="F15366">
        <v>0.67</v>
      </c>
      <c r="G15366">
        <v>0.74</v>
      </c>
      <c r="H15366" s="1" t="str">
        <f>HYPERLINK("http://www.weizmann.ac.il/complex/compphys/software/geview/data/figures/218437_s_at.png","Figure")</f>
        <v>Figure</v>
      </c>
      <c r="I15366">
        <v>1.01</v>
      </c>
      <c r="J15366">
        <v>1</v>
      </c>
      <c r="K15366">
        <v>0.80600000000000005</v>
      </c>
      <c r="L15366">
        <v>0.73</v>
      </c>
      <c r="M15366">
        <v>0.79800000000000004</v>
      </c>
      <c r="N15366">
        <v>0.74</v>
      </c>
    </row>
    <row r="15367" spans="1:14" x14ac:dyDescent="0.25">
      <c r="A15367" t="s">
        <v>25929</v>
      </c>
      <c r="B15367" t="s">
        <v>25930</v>
      </c>
      <c r="C15367" s="1" t="str">
        <f>HYPERLINK("http://www.genecards.org/cgi-bin/carddisp.pl?gene=PLK2","GeneCards")</f>
        <v>GeneCards</v>
      </c>
      <c r="D15367" s="1" t="str">
        <f>HYPERLINK("http://genome-euro.ucsc.edu/cgi-bin/hgTracks?position=201939_at","UCSC")</f>
        <v>UCSC</v>
      </c>
      <c r="E15367" s="1" t="str">
        <f>HYPERLINK("http://www.ncbi.nlm.nih.gov/gene/?term=PLK2","NCBI")</f>
        <v>NCBI</v>
      </c>
      <c r="F15367">
        <v>0.67</v>
      </c>
      <c r="G15367">
        <v>0.74</v>
      </c>
      <c r="H15367" s="1" t="str">
        <f>HYPERLINK("http://www.weizmann.ac.il/complex/compphys/software/geview/data/figures/201939_at.png","Figure")</f>
        <v>Figure</v>
      </c>
      <c r="I15367">
        <v>0.85299999999999998</v>
      </c>
      <c r="J15367">
        <v>0.88</v>
      </c>
      <c r="K15367">
        <v>0.76700000000000002</v>
      </c>
      <c r="L15367">
        <v>0.65</v>
      </c>
      <c r="M15367">
        <v>0.89900000000000002</v>
      </c>
      <c r="N15367">
        <v>0.94</v>
      </c>
    </row>
    <row r="15368" spans="1:14" x14ac:dyDescent="0.25">
      <c r="A15368" t="s">
        <v>25931</v>
      </c>
      <c r="B15368" t="s">
        <v>5718</v>
      </c>
      <c r="C15368" s="1" t="str">
        <f>HYPERLINK("http://www.genecards.org/cgi-bin/carddisp.pl?gene=B4GALT5","GeneCards")</f>
        <v>GeneCards</v>
      </c>
      <c r="D15368" s="1" t="str">
        <f>HYPERLINK("http://genome-euro.ucsc.edu/cgi-bin/hgTracks?position=221484_at","UCSC")</f>
        <v>UCSC</v>
      </c>
      <c r="E15368" s="1" t="str">
        <f>HYPERLINK("http://www.ncbi.nlm.nih.gov/gene/?term=B4GALT5","NCBI")</f>
        <v>NCBI</v>
      </c>
      <c r="F15368">
        <v>0.67</v>
      </c>
      <c r="G15368">
        <v>0.74</v>
      </c>
      <c r="H15368" s="1" t="str">
        <f>HYPERLINK("http://www.weizmann.ac.il/complex/compphys/software/geview/data/figures/221484_at.png","Figure")</f>
        <v>Figure</v>
      </c>
      <c r="I15368">
        <v>0.877</v>
      </c>
      <c r="J15368">
        <v>0.66</v>
      </c>
      <c r="K15368">
        <v>0.96499999999999997</v>
      </c>
      <c r="L15368">
        <v>0.96</v>
      </c>
      <c r="M15368">
        <v>1.1000000000000001</v>
      </c>
      <c r="N15368">
        <v>0.78</v>
      </c>
    </row>
    <row r="15369" spans="1:14" x14ac:dyDescent="0.25">
      <c r="A15369" t="s">
        <v>25932</v>
      </c>
      <c r="B15369" t="s">
        <v>25933</v>
      </c>
      <c r="C15369" s="1" t="str">
        <f>HYPERLINK("http://www.genecards.org/cgi-bin/carddisp.pl?gene=IFIT3","GeneCards")</f>
        <v>GeneCards</v>
      </c>
      <c r="D15369" s="1" t="str">
        <f>HYPERLINK("http://genome-euro.ucsc.edu/cgi-bin/hgTracks?position=204747_at","UCSC")</f>
        <v>UCSC</v>
      </c>
      <c r="E15369" s="1" t="str">
        <f>HYPERLINK("http://www.ncbi.nlm.nih.gov/gene/?term=IFIT3","NCBI")</f>
        <v>NCBI</v>
      </c>
      <c r="F15369">
        <v>0.67</v>
      </c>
      <c r="G15369">
        <v>0.74</v>
      </c>
      <c r="H15369" s="1" t="str">
        <f>HYPERLINK("http://www.weizmann.ac.il/complex/compphys/software/geview/data/figures/204747_at.png","Figure")</f>
        <v>Figure</v>
      </c>
      <c r="I15369">
        <v>1.0900000000000001</v>
      </c>
      <c r="J15369">
        <v>0.76</v>
      </c>
      <c r="K15369">
        <v>0.98599999999999999</v>
      </c>
      <c r="L15369">
        <v>0.99</v>
      </c>
      <c r="M15369">
        <v>0.90100000000000002</v>
      </c>
      <c r="N15369">
        <v>0.67</v>
      </c>
    </row>
    <row r="15370" spans="1:14" x14ac:dyDescent="0.25">
      <c r="A15370" t="s">
        <v>25934</v>
      </c>
      <c r="B15370" t="s">
        <v>9071</v>
      </c>
      <c r="C15370" s="1" t="str">
        <f>HYPERLINK("http://www.genecards.org/cgi-bin/carddisp.pl?gene=YWHAQ","GeneCards")</f>
        <v>GeneCards</v>
      </c>
      <c r="D15370" s="1" t="str">
        <f>HYPERLINK("http://genome-euro.ucsc.edu/cgi-bin/hgTracks?position=213699_s_at","UCSC")</f>
        <v>UCSC</v>
      </c>
      <c r="E15370" s="1" t="str">
        <f>HYPERLINK("http://www.ncbi.nlm.nih.gov/gene/?term=YWHAQ","NCBI")</f>
        <v>NCBI</v>
      </c>
      <c r="F15370">
        <v>0.67</v>
      </c>
      <c r="G15370">
        <v>0.74</v>
      </c>
      <c r="H15370" s="1" t="str">
        <f>HYPERLINK("http://www.weizmann.ac.il/complex/compphys/software/geview/data/figures/213699_s_at.png","Figure")</f>
        <v>Figure</v>
      </c>
      <c r="I15370">
        <v>1.1599999999999999</v>
      </c>
      <c r="J15370">
        <v>0.67</v>
      </c>
      <c r="K15370">
        <v>1.1100000000000001</v>
      </c>
      <c r="L15370">
        <v>0.78</v>
      </c>
      <c r="M15370">
        <v>0.95599999999999996</v>
      </c>
      <c r="N15370">
        <v>0.96</v>
      </c>
    </row>
    <row r="15371" spans="1:14" x14ac:dyDescent="0.25">
      <c r="A15371" t="s">
        <v>25935</v>
      </c>
      <c r="B15371" t="s">
        <v>14205</v>
      </c>
      <c r="C15371" s="1" t="str">
        <f>HYPERLINK("http://www.genecards.org/cgi-bin/carddisp.pl?gene=ICA1","GeneCards")</f>
        <v>GeneCards</v>
      </c>
      <c r="D15371" s="1" t="str">
        <f>HYPERLINK("http://genome-euro.ucsc.edu/cgi-bin/hgTracks?position=210547_x_at","UCSC")</f>
        <v>UCSC</v>
      </c>
      <c r="E15371" s="1" t="str">
        <f>HYPERLINK("http://www.ncbi.nlm.nih.gov/gene/?term=ICA1","NCBI")</f>
        <v>NCBI</v>
      </c>
      <c r="F15371">
        <v>0.67</v>
      </c>
      <c r="G15371">
        <v>0.74</v>
      </c>
      <c r="H15371" s="1" t="str">
        <f>HYPERLINK("http://www.weizmann.ac.il/complex/compphys/software/geview/data/figures/210547_x_at.png","Figure")</f>
        <v>Figure</v>
      </c>
      <c r="I15371">
        <v>1.04</v>
      </c>
      <c r="J15371">
        <v>0.87</v>
      </c>
      <c r="K15371">
        <v>1.06</v>
      </c>
      <c r="L15371">
        <v>0.65</v>
      </c>
      <c r="M15371">
        <v>1.02</v>
      </c>
      <c r="N15371">
        <v>0.95</v>
      </c>
    </row>
    <row r="15372" spans="1:14" x14ac:dyDescent="0.25">
      <c r="A15372" t="s">
        <v>25936</v>
      </c>
      <c r="B15372" t="s">
        <v>25937</v>
      </c>
      <c r="C15372" s="1" t="str">
        <f>HYPERLINK("http://www.genecards.org/cgi-bin/carddisp.pl?gene=ZNF135","GeneCards")</f>
        <v>GeneCards</v>
      </c>
      <c r="D15372" s="1" t="str">
        <f>HYPERLINK("http://genome-euro.ucsc.edu/cgi-bin/hgTracks?position=206142_at","UCSC")</f>
        <v>UCSC</v>
      </c>
      <c r="E15372" s="1" t="str">
        <f>HYPERLINK("http://www.ncbi.nlm.nih.gov/gene/?term=ZNF135","NCBI")</f>
        <v>NCBI</v>
      </c>
      <c r="F15372">
        <v>0.67</v>
      </c>
      <c r="G15372">
        <v>0.74</v>
      </c>
      <c r="H15372" s="1" t="str">
        <f>HYPERLINK("http://www.weizmann.ac.il/complex/compphys/software/geview/data/figures/206142_at.png","Figure")</f>
        <v>Figure</v>
      </c>
      <c r="I15372">
        <v>0.98799999999999999</v>
      </c>
      <c r="J15372">
        <v>0.77</v>
      </c>
      <c r="K15372">
        <v>0.98699999999999999</v>
      </c>
      <c r="L15372">
        <v>0.68</v>
      </c>
      <c r="M15372">
        <v>0.999</v>
      </c>
      <c r="N15372">
        <v>1</v>
      </c>
    </row>
    <row r="15373" spans="1:14" x14ac:dyDescent="0.25">
      <c r="A15373" t="s">
        <v>25938</v>
      </c>
      <c r="B15373" t="s">
        <v>11854</v>
      </c>
      <c r="C15373" s="1" t="str">
        <f>HYPERLINK("http://www.genecards.org/cgi-bin/carddisp.pl?gene=C11orf9","GeneCards")</f>
        <v>GeneCards</v>
      </c>
      <c r="D15373" s="1" t="str">
        <f>HYPERLINK("http://genome-euro.ucsc.edu/cgi-bin/hgTracks?position=217462_at","UCSC")</f>
        <v>UCSC</v>
      </c>
      <c r="E15373" s="1" t="str">
        <f>HYPERLINK("http://www.ncbi.nlm.nih.gov/gene/?term=C11orf9","NCBI")</f>
        <v>NCBI</v>
      </c>
      <c r="F15373">
        <v>0.67</v>
      </c>
      <c r="G15373">
        <v>0.75</v>
      </c>
      <c r="H15373" s="1" t="str">
        <f>HYPERLINK("http://www.weizmann.ac.il/complex/compphys/software/geview/data/figures/217462_at.png","Figure")</f>
        <v>Figure</v>
      </c>
      <c r="I15373">
        <v>1.01</v>
      </c>
      <c r="J15373">
        <v>0.94</v>
      </c>
      <c r="K15373">
        <v>0.98399999999999999</v>
      </c>
      <c r="L15373">
        <v>0.85</v>
      </c>
      <c r="M15373">
        <v>0.97399999999999998</v>
      </c>
      <c r="N15373">
        <v>0.67</v>
      </c>
    </row>
    <row r="15374" spans="1:14" x14ac:dyDescent="0.25">
      <c r="A15374" t="s">
        <v>25939</v>
      </c>
      <c r="B15374" t="s">
        <v>18846</v>
      </c>
      <c r="C15374" s="1" t="str">
        <f>HYPERLINK("http://www.genecards.org/cgi-bin/carddisp.pl?gene=GFPT1","GeneCards")</f>
        <v>GeneCards</v>
      </c>
      <c r="D15374" s="1" t="str">
        <f>HYPERLINK("http://genome-euro.ucsc.edu/cgi-bin/hgTracks?position=202722_s_at","UCSC")</f>
        <v>UCSC</v>
      </c>
      <c r="E15374" s="1" t="str">
        <f>HYPERLINK("http://www.ncbi.nlm.nih.gov/gene/?term=GFPT1","NCBI")</f>
        <v>NCBI</v>
      </c>
      <c r="F15374">
        <v>0.67</v>
      </c>
      <c r="G15374">
        <v>0.75</v>
      </c>
      <c r="H15374" s="1" t="str">
        <f>HYPERLINK("http://www.weizmann.ac.il/complex/compphys/software/geview/data/figures/202722_s_at.png","Figure")</f>
        <v>Figure</v>
      </c>
      <c r="I15374">
        <v>1.06</v>
      </c>
      <c r="J15374">
        <v>0.98</v>
      </c>
      <c r="K15374">
        <v>0.85899999999999999</v>
      </c>
      <c r="L15374">
        <v>0.79</v>
      </c>
      <c r="M15374">
        <v>0.81299999999999994</v>
      </c>
      <c r="N15374">
        <v>0.69</v>
      </c>
    </row>
    <row r="15375" spans="1:14" x14ac:dyDescent="0.25">
      <c r="A15375" t="s">
        <v>25940</v>
      </c>
      <c r="B15375" t="s">
        <v>2850</v>
      </c>
      <c r="C15375" s="1" t="str">
        <f>HYPERLINK("http://www.genecards.org/cgi-bin/carddisp.pl?gene=GATA2","GeneCards")</f>
        <v>GeneCards</v>
      </c>
      <c r="D15375" s="1" t="str">
        <f>HYPERLINK("http://genome-euro.ucsc.edu/cgi-bin/hgTracks?position=207954_at","UCSC")</f>
        <v>UCSC</v>
      </c>
      <c r="E15375" s="1" t="str">
        <f>HYPERLINK("http://www.ncbi.nlm.nih.gov/gene/?term=GATA2","NCBI")</f>
        <v>NCBI</v>
      </c>
      <c r="F15375">
        <v>0.67</v>
      </c>
      <c r="G15375">
        <v>0.75</v>
      </c>
      <c r="H15375" s="1" t="str">
        <f>HYPERLINK("http://www.weizmann.ac.il/complex/compphys/software/geview/data/figures/207954_at.png","Figure")</f>
        <v>Figure</v>
      </c>
      <c r="I15375">
        <v>1.0900000000000001</v>
      </c>
      <c r="J15375">
        <v>0.68</v>
      </c>
      <c r="K15375">
        <v>1.02</v>
      </c>
      <c r="L15375">
        <v>0.98</v>
      </c>
      <c r="M15375">
        <v>0.93300000000000005</v>
      </c>
      <c r="N15375">
        <v>0.74</v>
      </c>
    </row>
    <row r="15376" spans="1:14" x14ac:dyDescent="0.25">
      <c r="A15376" t="s">
        <v>25941</v>
      </c>
      <c r="B15376" t="s">
        <v>15633</v>
      </c>
      <c r="C15376" s="1" t="str">
        <f>HYPERLINK("http://www.genecards.org/cgi-bin/carddisp.pl?gene=ROD1","GeneCards")</f>
        <v>GeneCards</v>
      </c>
      <c r="D15376" s="1" t="str">
        <f>HYPERLINK("http://genome-euro.ucsc.edu/cgi-bin/hgTracks?position=214697_s_at","UCSC")</f>
        <v>UCSC</v>
      </c>
      <c r="E15376" s="1" t="str">
        <f>HYPERLINK("http://www.ncbi.nlm.nih.gov/gene/?term=ROD1","NCBI")</f>
        <v>NCBI</v>
      </c>
      <c r="F15376">
        <v>0.67</v>
      </c>
      <c r="G15376">
        <v>0.75</v>
      </c>
      <c r="H15376" s="1" t="str">
        <f>HYPERLINK("http://www.weizmann.ac.il/complex/compphys/software/geview/data/figures/214697_s_at.png","Figure")</f>
        <v>Figure</v>
      </c>
      <c r="I15376">
        <v>1.01</v>
      </c>
      <c r="J15376">
        <v>1</v>
      </c>
      <c r="K15376">
        <v>1.0900000000000001</v>
      </c>
      <c r="L15376">
        <v>0.71</v>
      </c>
      <c r="M15376">
        <v>1.08</v>
      </c>
      <c r="N15376">
        <v>0.77</v>
      </c>
    </row>
    <row r="15377" spans="1:14" x14ac:dyDescent="0.25">
      <c r="A15377" t="s">
        <v>25942</v>
      </c>
      <c r="B15377" t="s">
        <v>14098</v>
      </c>
      <c r="C15377" s="1" t="str">
        <f>HYPERLINK("http://www.genecards.org/cgi-bin/carddisp.pl?gene=CLU","GeneCards")</f>
        <v>GeneCards</v>
      </c>
      <c r="D15377" s="1" t="str">
        <f>HYPERLINK("http://genome-euro.ucsc.edu/cgi-bin/hgTracks?position=208791_at","UCSC")</f>
        <v>UCSC</v>
      </c>
      <c r="E15377" s="1" t="str">
        <f>HYPERLINK("http://www.ncbi.nlm.nih.gov/gene/?term=CLU","NCBI")</f>
        <v>NCBI</v>
      </c>
      <c r="F15377">
        <v>0.67</v>
      </c>
      <c r="G15377">
        <v>0.75</v>
      </c>
      <c r="H15377" s="1" t="str">
        <f>HYPERLINK("http://www.weizmann.ac.il/complex/compphys/software/geview/data/figures/208791_at.png","Figure")</f>
        <v>Figure</v>
      </c>
      <c r="I15377">
        <v>1.02</v>
      </c>
      <c r="J15377">
        <v>0.9</v>
      </c>
      <c r="K15377">
        <v>1.03</v>
      </c>
      <c r="L15377">
        <v>0.65</v>
      </c>
      <c r="M15377">
        <v>1.01</v>
      </c>
      <c r="N15377">
        <v>0.93</v>
      </c>
    </row>
    <row r="15378" spans="1:14" x14ac:dyDescent="0.25">
      <c r="A15378" t="s">
        <v>25943</v>
      </c>
      <c r="B15378" t="s">
        <v>25944</v>
      </c>
      <c r="C15378" s="1" t="str">
        <f>HYPERLINK("http://www.genecards.org/cgi-bin/carddisp.pl?gene=LOC729806","GeneCards")</f>
        <v>GeneCards</v>
      </c>
      <c r="D15378" s="1" t="str">
        <f>HYPERLINK("http://genome-euro.ucsc.edu/cgi-bin/hgTracks?position=217544_at","UCSC")</f>
        <v>UCSC</v>
      </c>
      <c r="E15378" s="1" t="str">
        <f>HYPERLINK("http://www.ncbi.nlm.nih.gov/gene/?term=LOC729806","NCBI")</f>
        <v>NCBI</v>
      </c>
      <c r="F15378">
        <v>0.67</v>
      </c>
      <c r="G15378">
        <v>0.75</v>
      </c>
      <c r="H15378" s="1" t="str">
        <f>HYPERLINK("http://www.weizmann.ac.il/complex/compphys/software/geview/data/figures/217544_at.png","Figure")</f>
        <v>Figure</v>
      </c>
      <c r="I15378">
        <v>0.98299999999999998</v>
      </c>
      <c r="J15378">
        <v>0.88</v>
      </c>
      <c r="K15378">
        <v>0.97299999999999998</v>
      </c>
      <c r="L15378">
        <v>0.65</v>
      </c>
      <c r="M15378">
        <v>0.99</v>
      </c>
      <c r="N15378">
        <v>0.95</v>
      </c>
    </row>
    <row r="15379" spans="1:14" x14ac:dyDescent="0.25">
      <c r="A15379" t="s">
        <v>25945</v>
      </c>
      <c r="B15379" t="s">
        <v>25946</v>
      </c>
      <c r="C15379" s="1" t="str">
        <f>HYPERLINK("http://www.genecards.org/cgi-bin/carddisp.pl?gene=PMEPA1","GeneCards")</f>
        <v>GeneCards</v>
      </c>
      <c r="D15379" s="1" t="str">
        <f>HYPERLINK("http://genome-euro.ucsc.edu/cgi-bin/hgTracks?position=217875_s_at","UCSC")</f>
        <v>UCSC</v>
      </c>
      <c r="E15379" s="1" t="str">
        <f>HYPERLINK("http://www.ncbi.nlm.nih.gov/gene/?term=PMEPA1","NCBI")</f>
        <v>NCBI</v>
      </c>
      <c r="F15379">
        <v>0.67</v>
      </c>
      <c r="G15379">
        <v>0.75</v>
      </c>
      <c r="H15379" s="1" t="str">
        <f>HYPERLINK("http://www.weizmann.ac.il/complex/compphys/software/geview/data/figures/217875_s_at.png","Figure")</f>
        <v>Figure</v>
      </c>
      <c r="I15379">
        <v>1.05</v>
      </c>
      <c r="J15379">
        <v>0.65</v>
      </c>
      <c r="K15379">
        <v>1.02</v>
      </c>
      <c r="L15379">
        <v>0.92</v>
      </c>
      <c r="M15379">
        <v>0.97099999999999997</v>
      </c>
      <c r="N15379">
        <v>0.83</v>
      </c>
    </row>
    <row r="15380" spans="1:14" x14ac:dyDescent="0.25">
      <c r="A15380" t="s">
        <v>25947</v>
      </c>
      <c r="B15380" t="s">
        <v>25948</v>
      </c>
      <c r="C15380" s="1" t="str">
        <f>HYPERLINK("http://www.genecards.org/cgi-bin/carddisp.pl?gene=PAXIP1","GeneCards")</f>
        <v>GeneCards</v>
      </c>
      <c r="D15380" s="1" t="str">
        <f>HYPERLINK("http://genome-euro.ucsc.edu/cgi-bin/hgTracks?position=212825_at","UCSC")</f>
        <v>UCSC</v>
      </c>
      <c r="E15380" s="1" t="str">
        <f>HYPERLINK("http://www.ncbi.nlm.nih.gov/gene/?term=PAXIP1","NCBI")</f>
        <v>NCBI</v>
      </c>
      <c r="F15380">
        <v>0.67</v>
      </c>
      <c r="G15380">
        <v>0.75</v>
      </c>
      <c r="H15380" s="1" t="str">
        <f>HYPERLINK("http://www.weizmann.ac.il/complex/compphys/software/geview/data/figures/212825_at.png","Figure")</f>
        <v>Figure</v>
      </c>
      <c r="I15380">
        <v>0.75900000000000001</v>
      </c>
      <c r="J15380">
        <v>0.7</v>
      </c>
      <c r="K15380">
        <v>0.97799999999999998</v>
      </c>
      <c r="L15380">
        <v>1</v>
      </c>
      <c r="M15380">
        <v>1.29</v>
      </c>
      <c r="N15380">
        <v>0.71</v>
      </c>
    </row>
    <row r="15381" spans="1:14" x14ac:dyDescent="0.25">
      <c r="A15381" t="s">
        <v>25949</v>
      </c>
      <c r="B15381" t="s">
        <v>25950</v>
      </c>
      <c r="C15381" s="1" t="str">
        <f>HYPERLINK("http://www.genecards.org/cgi-bin/carddisp.pl?gene=MIOS","GeneCards")</f>
        <v>GeneCards</v>
      </c>
      <c r="D15381" s="1" t="str">
        <f>HYPERLINK("http://genome-euro.ucsc.edu/cgi-bin/hgTracks?position=211724_x_at","UCSC")</f>
        <v>UCSC</v>
      </c>
      <c r="E15381" s="1" t="str">
        <f>HYPERLINK("http://www.ncbi.nlm.nih.gov/gene/?term=MIOS","NCBI")</f>
        <v>NCBI</v>
      </c>
      <c r="F15381">
        <v>0.67</v>
      </c>
      <c r="G15381">
        <v>0.75</v>
      </c>
      <c r="H15381" s="1" t="str">
        <f>HYPERLINK("http://www.weizmann.ac.il/complex/compphys/software/geview/data/figures/211724_x_at.png","Figure")</f>
        <v>Figure</v>
      </c>
      <c r="I15381">
        <v>1.2</v>
      </c>
      <c r="J15381">
        <v>0.71</v>
      </c>
      <c r="K15381">
        <v>1.01</v>
      </c>
      <c r="L15381">
        <v>1</v>
      </c>
      <c r="M15381">
        <v>0.83699999999999997</v>
      </c>
      <c r="N15381">
        <v>0.7</v>
      </c>
    </row>
    <row r="15382" spans="1:14" x14ac:dyDescent="0.25">
      <c r="A15382" t="s">
        <v>25951</v>
      </c>
      <c r="B15382" t="s">
        <v>25952</v>
      </c>
      <c r="C15382" s="1" t="str">
        <f>HYPERLINK("http://www.genecards.org/cgi-bin/carddisp.pl?gene=F5","GeneCards")</f>
        <v>GeneCards</v>
      </c>
      <c r="D15382" s="1" t="str">
        <f>HYPERLINK("http://genome-euro.ucsc.edu/cgi-bin/hgTracks?position=204713_s_at","UCSC")</f>
        <v>UCSC</v>
      </c>
      <c r="E15382" s="1" t="str">
        <f>HYPERLINK("http://www.ncbi.nlm.nih.gov/gene/?term=F5","NCBI")</f>
        <v>NCBI</v>
      </c>
      <c r="F15382">
        <v>0.67</v>
      </c>
      <c r="G15382">
        <v>0.75</v>
      </c>
      <c r="H15382" s="1" t="str">
        <f>HYPERLINK("http://www.weizmann.ac.il/complex/compphys/software/geview/data/figures/204713_s_at.png","Figure")</f>
        <v>Figure</v>
      </c>
      <c r="I15382">
        <v>0.99099999999999999</v>
      </c>
      <c r="J15382">
        <v>0.99</v>
      </c>
      <c r="K15382">
        <v>0.95</v>
      </c>
      <c r="L15382">
        <v>0.69</v>
      </c>
      <c r="M15382">
        <v>0.95899999999999996</v>
      </c>
      <c r="N15382">
        <v>0.8</v>
      </c>
    </row>
    <row r="15383" spans="1:14" x14ac:dyDescent="0.25">
      <c r="A15383" t="s">
        <v>25953</v>
      </c>
      <c r="B15383" t="s">
        <v>25954</v>
      </c>
      <c r="C15383" s="1" t="str">
        <f>HYPERLINK("http://www.genecards.org/cgi-bin/carddisp.pl?gene=CCNB1IP1","GeneCards")</f>
        <v>GeneCards</v>
      </c>
      <c r="D15383" s="1" t="str">
        <f>HYPERLINK("http://genome-euro.ucsc.edu/cgi-bin/hgTracks?position=217988_at","UCSC")</f>
        <v>UCSC</v>
      </c>
      <c r="E15383" s="1" t="str">
        <f>HYPERLINK("http://www.ncbi.nlm.nih.gov/gene/?term=CCNB1IP1","NCBI")</f>
        <v>NCBI</v>
      </c>
      <c r="F15383">
        <v>0.68</v>
      </c>
      <c r="G15383">
        <v>0.75</v>
      </c>
      <c r="H15383" s="1" t="str">
        <f>HYPERLINK("http://www.weizmann.ac.il/complex/compphys/software/geview/data/figures/217988_at.png","Figure")</f>
        <v>Figure</v>
      </c>
      <c r="I15383">
        <v>1.1200000000000001</v>
      </c>
      <c r="J15383">
        <v>0.8</v>
      </c>
      <c r="K15383">
        <v>1.1399999999999999</v>
      </c>
      <c r="L15383">
        <v>0.67</v>
      </c>
      <c r="M15383">
        <v>1.02</v>
      </c>
      <c r="N15383">
        <v>0.99</v>
      </c>
    </row>
    <row r="15384" spans="1:14" x14ac:dyDescent="0.25">
      <c r="A15384" t="s">
        <v>25955</v>
      </c>
      <c r="B15384" t="s">
        <v>25956</v>
      </c>
      <c r="C15384" s="1" t="str">
        <f>HYPERLINK("http://www.genecards.org/cgi-bin/carddisp.pl?gene=C19orf54","GeneCards")</f>
        <v>GeneCards</v>
      </c>
      <c r="D15384" s="1" t="str">
        <f>HYPERLINK("http://genome-euro.ucsc.edu/cgi-bin/hgTracks?position=222052_at","UCSC")</f>
        <v>UCSC</v>
      </c>
      <c r="E15384" s="1" t="str">
        <f>HYPERLINK("http://www.ncbi.nlm.nih.gov/gene/?term=C19orf54","NCBI")</f>
        <v>NCBI</v>
      </c>
      <c r="F15384">
        <v>0.68</v>
      </c>
      <c r="G15384">
        <v>0.75</v>
      </c>
      <c r="H15384" s="1" t="str">
        <f>HYPERLINK("http://www.weizmann.ac.il/complex/compphys/software/geview/data/figures/222052_at.png","Figure")</f>
        <v>Figure</v>
      </c>
      <c r="I15384">
        <v>0.89800000000000002</v>
      </c>
      <c r="J15384">
        <v>0.73</v>
      </c>
      <c r="K15384">
        <v>0.90800000000000003</v>
      </c>
      <c r="L15384">
        <v>0.71</v>
      </c>
      <c r="M15384">
        <v>1.01</v>
      </c>
      <c r="N15384">
        <v>1</v>
      </c>
    </row>
    <row r="15385" spans="1:14" x14ac:dyDescent="0.25">
      <c r="A15385" t="s">
        <v>25957</v>
      </c>
      <c r="B15385" t="s">
        <v>25958</v>
      </c>
      <c r="C15385" s="1" t="str">
        <f>HYPERLINK("http://www.genecards.org/cgi-bin/carddisp.pl?gene=CEP72","GeneCards")</f>
        <v>GeneCards</v>
      </c>
      <c r="D15385" s="1" t="str">
        <f>HYPERLINK("http://genome-euro.ucsc.edu/cgi-bin/hgTracks?position=219531_at","UCSC")</f>
        <v>UCSC</v>
      </c>
      <c r="E15385" s="1" t="str">
        <f>HYPERLINK("http://www.ncbi.nlm.nih.gov/gene/?term=CEP72","NCBI")</f>
        <v>NCBI</v>
      </c>
      <c r="F15385">
        <v>0.68</v>
      </c>
      <c r="G15385">
        <v>0.75</v>
      </c>
      <c r="H15385" s="1" t="str">
        <f>HYPERLINK("http://www.weizmann.ac.il/complex/compphys/software/geview/data/figures/219531_at.png","Figure")</f>
        <v>Figure</v>
      </c>
      <c r="I15385">
        <v>0.93899999999999995</v>
      </c>
      <c r="J15385">
        <v>0.75</v>
      </c>
      <c r="K15385">
        <v>0.93899999999999995</v>
      </c>
      <c r="L15385">
        <v>0.69</v>
      </c>
      <c r="M15385">
        <v>1</v>
      </c>
      <c r="N15385">
        <v>1</v>
      </c>
    </row>
    <row r="15386" spans="1:14" x14ac:dyDescent="0.25">
      <c r="A15386" t="s">
        <v>25959</v>
      </c>
      <c r="B15386" t="s">
        <v>12971</v>
      </c>
      <c r="C15386" s="1" t="str">
        <f>HYPERLINK("http://www.genecards.org/cgi-bin/carddisp.pl?gene=PPP2R1B","GeneCards")</f>
        <v>GeneCards</v>
      </c>
      <c r="D15386" s="1" t="str">
        <f>HYPERLINK("http://genome-euro.ucsc.edu/cgi-bin/hgTracks?position=202886_s_at","UCSC")</f>
        <v>UCSC</v>
      </c>
      <c r="E15386" s="1" t="str">
        <f>HYPERLINK("http://www.ncbi.nlm.nih.gov/gene/?term=PPP2R1B","NCBI")</f>
        <v>NCBI</v>
      </c>
      <c r="F15386">
        <v>0.68</v>
      </c>
      <c r="G15386">
        <v>0.75</v>
      </c>
      <c r="H15386" s="1" t="str">
        <f>HYPERLINK("http://www.weizmann.ac.il/complex/compphys/software/geview/data/figures/202886_s_at.png","Figure")</f>
        <v>Figure</v>
      </c>
      <c r="I15386">
        <v>0.98199999999999998</v>
      </c>
      <c r="J15386">
        <v>0.72</v>
      </c>
      <c r="K15386">
        <v>0.98399999999999999</v>
      </c>
      <c r="L15386">
        <v>0.73</v>
      </c>
      <c r="M15386">
        <v>1</v>
      </c>
      <c r="N15386">
        <v>0.99</v>
      </c>
    </row>
    <row r="15387" spans="1:14" x14ac:dyDescent="0.25">
      <c r="A15387" t="s">
        <v>25960</v>
      </c>
      <c r="B15387" t="s">
        <v>3549</v>
      </c>
      <c r="C15387" s="1" t="str">
        <f>HYPERLINK("http://www.genecards.org/cgi-bin/carddisp.pl?gene=SF4","GeneCards")</f>
        <v>GeneCards</v>
      </c>
      <c r="D15387" s="1" t="str">
        <f>HYPERLINK("http://genome-euro.ucsc.edu/cgi-bin/hgTracks?position=215004_s_at","UCSC")</f>
        <v>UCSC</v>
      </c>
      <c r="E15387" s="1" t="str">
        <f>HYPERLINK("http://www.ncbi.nlm.nih.gov/gene/?term=SF4","NCBI")</f>
        <v>NCBI</v>
      </c>
      <c r="F15387">
        <v>0.68</v>
      </c>
      <c r="G15387">
        <v>0.75</v>
      </c>
      <c r="H15387" s="1" t="str">
        <f>HYPERLINK("http://www.weizmann.ac.il/complex/compphys/software/geview/data/figures/215004_s_at.png","Figure")</f>
        <v>Figure</v>
      </c>
      <c r="I15387">
        <v>0.9</v>
      </c>
      <c r="J15387">
        <v>0.78</v>
      </c>
      <c r="K15387">
        <v>1.02</v>
      </c>
      <c r="L15387">
        <v>0.99</v>
      </c>
      <c r="M15387">
        <v>1.1299999999999999</v>
      </c>
      <c r="N15387">
        <v>0.66</v>
      </c>
    </row>
    <row r="15388" spans="1:14" x14ac:dyDescent="0.25">
      <c r="A15388" t="s">
        <v>25961</v>
      </c>
      <c r="B15388" t="s">
        <v>23573</v>
      </c>
      <c r="C15388" s="1" t="str">
        <f>HYPERLINK("http://www.genecards.org/cgi-bin/carddisp.pl?gene=C19orf60","GeneCards")</f>
        <v>GeneCards</v>
      </c>
      <c r="D15388" s="1" t="str">
        <f>HYPERLINK("http://genome-euro.ucsc.edu/cgi-bin/hgTracks?position=218958_at","UCSC")</f>
        <v>UCSC</v>
      </c>
      <c r="E15388" s="1" t="str">
        <f>HYPERLINK("http://www.ncbi.nlm.nih.gov/gene/?term=C19orf60","NCBI")</f>
        <v>NCBI</v>
      </c>
      <c r="F15388">
        <v>0.68</v>
      </c>
      <c r="G15388">
        <v>0.75</v>
      </c>
      <c r="H15388" s="1" t="str">
        <f>HYPERLINK("http://www.weizmann.ac.il/complex/compphys/software/geview/data/figures/218958_at.png","Figure")</f>
        <v>Figure</v>
      </c>
      <c r="I15388">
        <v>1.1000000000000001</v>
      </c>
      <c r="J15388">
        <v>0.75</v>
      </c>
      <c r="K15388">
        <v>1.1000000000000001</v>
      </c>
      <c r="L15388">
        <v>0.69</v>
      </c>
      <c r="M15388">
        <v>0.999</v>
      </c>
      <c r="N15388">
        <v>1</v>
      </c>
    </row>
    <row r="15389" spans="1:14" x14ac:dyDescent="0.25">
      <c r="A15389" t="s">
        <v>25962</v>
      </c>
      <c r="B15389" t="s">
        <v>12745</v>
      </c>
      <c r="C15389" s="1" t="str">
        <f>HYPERLINK("http://www.genecards.org/cgi-bin/carddisp.pl?gene=CEP350","GeneCards")</f>
        <v>GeneCards</v>
      </c>
      <c r="D15389" s="1" t="str">
        <f>HYPERLINK("http://genome-euro.ucsc.edu/cgi-bin/hgTracks?position=213957_s_at","UCSC")</f>
        <v>UCSC</v>
      </c>
      <c r="E15389" s="1" t="str">
        <f>HYPERLINK("http://www.ncbi.nlm.nih.gov/gene/?term=CEP350","NCBI")</f>
        <v>NCBI</v>
      </c>
      <c r="F15389">
        <v>0.68</v>
      </c>
      <c r="G15389">
        <v>0.75</v>
      </c>
      <c r="H15389" s="1" t="str">
        <f>HYPERLINK("http://www.weizmann.ac.il/complex/compphys/software/geview/data/figures/213957_s_at.png","Figure")</f>
        <v>Figure</v>
      </c>
      <c r="I15389">
        <v>1.0900000000000001</v>
      </c>
      <c r="J15389">
        <v>0.85</v>
      </c>
      <c r="K15389">
        <v>1.1299999999999999</v>
      </c>
      <c r="L15389">
        <v>0.65</v>
      </c>
      <c r="M15389">
        <v>1.04</v>
      </c>
      <c r="N15389">
        <v>0.97</v>
      </c>
    </row>
    <row r="15390" spans="1:14" x14ac:dyDescent="0.25">
      <c r="A15390" t="s">
        <v>25963</v>
      </c>
      <c r="B15390" t="s">
        <v>25964</v>
      </c>
      <c r="C15390" s="1" t="str">
        <f>HYPERLINK("http://www.genecards.org/cgi-bin/carddisp.pl?gene=ZP2","GeneCards")</f>
        <v>GeneCards</v>
      </c>
      <c r="D15390" s="1" t="str">
        <f>HYPERLINK("http://genome-euro.ucsc.edu/cgi-bin/hgTracks?position=207933_at","UCSC")</f>
        <v>UCSC</v>
      </c>
      <c r="E15390" s="1" t="str">
        <f>HYPERLINK("http://www.ncbi.nlm.nih.gov/gene/?term=ZP2","NCBI")</f>
        <v>NCBI</v>
      </c>
      <c r="F15390">
        <v>0.68</v>
      </c>
      <c r="G15390">
        <v>0.75</v>
      </c>
      <c r="H15390" s="1" t="str">
        <f>HYPERLINK("http://www.weizmann.ac.il/complex/compphys/software/geview/data/figures/207933_at.png","Figure")</f>
        <v>Figure</v>
      </c>
      <c r="I15390">
        <v>0.997</v>
      </c>
      <c r="J15390">
        <v>0.79</v>
      </c>
      <c r="K15390">
        <v>0.996</v>
      </c>
      <c r="L15390">
        <v>0.67</v>
      </c>
      <c r="M15390">
        <v>1</v>
      </c>
      <c r="N15390">
        <v>0.99</v>
      </c>
    </row>
    <row r="15391" spans="1:14" x14ac:dyDescent="0.25">
      <c r="A15391" t="s">
        <v>25965</v>
      </c>
      <c r="B15391" t="s">
        <v>4881</v>
      </c>
      <c r="C15391" s="1" t="str">
        <f>HYPERLINK("http://www.genecards.org/cgi-bin/carddisp.pl?gene=CLPTM1","GeneCards")</f>
        <v>GeneCards</v>
      </c>
      <c r="D15391" s="1" t="str">
        <f>HYPERLINK("http://genome-euro.ucsc.edu/cgi-bin/hgTracks?position=211136_s_at","UCSC")</f>
        <v>UCSC</v>
      </c>
      <c r="E15391" s="1" t="str">
        <f>HYPERLINK("http://www.ncbi.nlm.nih.gov/gene/?term=CLPTM1","NCBI")</f>
        <v>NCBI</v>
      </c>
      <c r="F15391">
        <v>0.68</v>
      </c>
      <c r="G15391">
        <v>0.75</v>
      </c>
      <c r="H15391" s="1" t="str">
        <f>HYPERLINK("http://www.weizmann.ac.il/complex/compphys/software/geview/data/figures/211136_s_at.png","Figure")</f>
        <v>Figure</v>
      </c>
      <c r="I15391">
        <v>0.94399999999999995</v>
      </c>
      <c r="J15391">
        <v>0.67</v>
      </c>
      <c r="K15391">
        <v>0.96399999999999997</v>
      </c>
      <c r="L15391">
        <v>0.81</v>
      </c>
      <c r="M15391">
        <v>1.02</v>
      </c>
      <c r="N15391">
        <v>0.94</v>
      </c>
    </row>
    <row r="15392" spans="1:14" x14ac:dyDescent="0.25">
      <c r="A15392" t="s">
        <v>25966</v>
      </c>
      <c r="B15392" t="s">
        <v>6198</v>
      </c>
      <c r="C15392" s="1" t="str">
        <f>HYPERLINK("http://www.genecards.org/cgi-bin/carddisp.pl?gene=WIPF2","GeneCards")</f>
        <v>GeneCards</v>
      </c>
      <c r="D15392" s="1" t="str">
        <f>HYPERLINK("http://genome-euro.ucsc.edu/cgi-bin/hgTracks?position=212051_at","UCSC")</f>
        <v>UCSC</v>
      </c>
      <c r="E15392" s="1" t="str">
        <f>HYPERLINK("http://www.ncbi.nlm.nih.gov/gene/?term=WIPF2","NCBI")</f>
        <v>NCBI</v>
      </c>
      <c r="F15392">
        <v>0.68</v>
      </c>
      <c r="G15392">
        <v>0.75</v>
      </c>
      <c r="H15392" s="1" t="str">
        <f>HYPERLINK("http://www.weizmann.ac.il/complex/compphys/software/geview/data/figures/212051_at.png","Figure")</f>
        <v>Figure</v>
      </c>
      <c r="I15392">
        <v>0.89900000000000002</v>
      </c>
      <c r="J15392">
        <v>0.65</v>
      </c>
      <c r="K15392">
        <v>0.95799999999999996</v>
      </c>
      <c r="L15392">
        <v>0.91</v>
      </c>
      <c r="M15392">
        <v>1.07</v>
      </c>
      <c r="N15392">
        <v>0.84</v>
      </c>
    </row>
    <row r="15393" spans="1:14" x14ac:dyDescent="0.25">
      <c r="A15393" t="s">
        <v>25967</v>
      </c>
      <c r="B15393" t="s">
        <v>6414</v>
      </c>
      <c r="C15393" s="1" t="str">
        <f>HYPERLINK("http://www.genecards.org/cgi-bin/carddisp.pl?gene=TACC1","GeneCards")</f>
        <v>GeneCards</v>
      </c>
      <c r="D15393" s="1" t="str">
        <f>HYPERLINK("http://genome-euro.ucsc.edu/cgi-bin/hgTracks?position=217433_at","UCSC")</f>
        <v>UCSC</v>
      </c>
      <c r="E15393" s="1" t="str">
        <f>HYPERLINK("http://www.ncbi.nlm.nih.gov/gene/?term=TACC1","NCBI")</f>
        <v>NCBI</v>
      </c>
      <c r="F15393">
        <v>0.68</v>
      </c>
      <c r="G15393">
        <v>0.75</v>
      </c>
      <c r="H15393" s="1" t="str">
        <f>HYPERLINK("http://www.weizmann.ac.il/complex/compphys/software/geview/data/figures/217433_at.png","Figure")</f>
        <v>Figure</v>
      </c>
      <c r="I15393">
        <v>0.997</v>
      </c>
      <c r="J15393">
        <v>0.79</v>
      </c>
      <c r="K15393">
        <v>0.996</v>
      </c>
      <c r="L15393">
        <v>0.67</v>
      </c>
      <c r="M15393">
        <v>1</v>
      </c>
      <c r="N15393">
        <v>0.99</v>
      </c>
    </row>
    <row r="15394" spans="1:14" x14ac:dyDescent="0.25">
      <c r="A15394" t="s">
        <v>25968</v>
      </c>
      <c r="B15394" t="s">
        <v>25969</v>
      </c>
      <c r="C15394" s="1" t="str">
        <f>HYPERLINK("http://www.genecards.org/cgi-bin/carddisp.pl?gene=DOCK5","GeneCards")</f>
        <v>GeneCards</v>
      </c>
      <c r="D15394" s="1" t="str">
        <f>HYPERLINK("http://genome-euro.ucsc.edu/cgi-bin/hgTracks?position=219921_s_at","UCSC")</f>
        <v>UCSC</v>
      </c>
      <c r="E15394" s="1" t="str">
        <f>HYPERLINK("http://www.ncbi.nlm.nih.gov/gene/?term=DOCK5","NCBI")</f>
        <v>NCBI</v>
      </c>
      <c r="F15394">
        <v>0.68</v>
      </c>
      <c r="G15394">
        <v>0.75</v>
      </c>
      <c r="H15394" s="1" t="str">
        <f>HYPERLINK("http://www.weizmann.ac.il/complex/compphys/software/geview/data/figures/219921_s_at.png","Figure")</f>
        <v>Figure</v>
      </c>
      <c r="I15394">
        <v>0.995</v>
      </c>
      <c r="J15394">
        <v>0.79</v>
      </c>
      <c r="K15394">
        <v>0.99399999999999999</v>
      </c>
      <c r="L15394">
        <v>0.67</v>
      </c>
      <c r="M15394">
        <v>0.999</v>
      </c>
      <c r="N15394">
        <v>0.99</v>
      </c>
    </row>
    <row r="15395" spans="1:14" x14ac:dyDescent="0.25">
      <c r="A15395" t="s">
        <v>25970</v>
      </c>
      <c r="B15395" t="s">
        <v>25971</v>
      </c>
      <c r="C15395" s="1" t="str">
        <f>HYPERLINK("http://www.genecards.org/cgi-bin/carddisp.pl?gene=KIR3DS1","GeneCards")</f>
        <v>GeneCards</v>
      </c>
      <c r="D15395" s="1" t="str">
        <f>HYPERLINK("http://genome-euro.ucsc.edu/cgi-bin/hgTracks?position=211389_x_at","UCSC")</f>
        <v>UCSC</v>
      </c>
      <c r="E15395" s="1" t="str">
        <f>HYPERLINK("http://www.ncbi.nlm.nih.gov/gene/?term=KIR3DS1","NCBI")</f>
        <v>NCBI</v>
      </c>
      <c r="F15395">
        <v>0.68</v>
      </c>
      <c r="G15395">
        <v>0.75</v>
      </c>
      <c r="H15395" s="1" t="str">
        <f>HYPERLINK("http://www.weizmann.ac.il/complex/compphys/software/geview/data/figures/211389_x_at.png","Figure")</f>
        <v>Figure</v>
      </c>
      <c r="I15395">
        <v>1.02</v>
      </c>
      <c r="J15395">
        <v>0.84</v>
      </c>
      <c r="K15395">
        <v>0.99</v>
      </c>
      <c r="L15395">
        <v>0.95</v>
      </c>
      <c r="M15395">
        <v>0.97</v>
      </c>
      <c r="N15395">
        <v>0.65</v>
      </c>
    </row>
    <row r="15396" spans="1:14" x14ac:dyDescent="0.25">
      <c r="A15396" t="s">
        <v>25972</v>
      </c>
      <c r="B15396" t="s">
        <v>25973</v>
      </c>
      <c r="C15396" s="1" t="str">
        <f>HYPERLINK("http://www.genecards.org/cgi-bin/carddisp.pl?gene=C7orf58","GeneCards")</f>
        <v>GeneCards</v>
      </c>
      <c r="D15396" s="1" t="str">
        <f>HYPERLINK("http://genome-euro.ucsc.edu/cgi-bin/hgTracks?position=220032_at","UCSC")</f>
        <v>UCSC</v>
      </c>
      <c r="E15396" s="1" t="str">
        <f>HYPERLINK("http://www.ncbi.nlm.nih.gov/gene/?term=C7orf58","NCBI")</f>
        <v>NCBI</v>
      </c>
      <c r="F15396">
        <v>0.68</v>
      </c>
      <c r="G15396">
        <v>0.75</v>
      </c>
      <c r="H15396" s="1" t="str">
        <f>HYPERLINK("http://www.weizmann.ac.il/complex/compphys/software/geview/data/figures/220032_at.png","Figure")</f>
        <v>Figure</v>
      </c>
      <c r="I15396">
        <v>1.04</v>
      </c>
      <c r="J15396">
        <v>0.86</v>
      </c>
      <c r="K15396">
        <v>0.97899999999999998</v>
      </c>
      <c r="L15396">
        <v>0.93</v>
      </c>
      <c r="M15396">
        <v>0.94599999999999995</v>
      </c>
      <c r="N15396">
        <v>0.65</v>
      </c>
    </row>
    <row r="15397" spans="1:14" x14ac:dyDescent="0.25">
      <c r="A15397" t="s">
        <v>25974</v>
      </c>
      <c r="B15397" t="s">
        <v>10876</v>
      </c>
      <c r="C15397" s="1" t="str">
        <f>HYPERLINK("http://www.genecards.org/cgi-bin/carddisp.pl?gene=KPNA1","GeneCards")</f>
        <v>GeneCards</v>
      </c>
      <c r="D15397" s="1" t="str">
        <f>HYPERLINK("http://genome-euro.ucsc.edu/cgi-bin/hgTracks?position=213741_s_at","UCSC")</f>
        <v>UCSC</v>
      </c>
      <c r="E15397" s="1" t="str">
        <f>HYPERLINK("http://www.ncbi.nlm.nih.gov/gene/?term=KPNA1","NCBI")</f>
        <v>NCBI</v>
      </c>
      <c r="F15397">
        <v>0.68</v>
      </c>
      <c r="G15397">
        <v>0.75</v>
      </c>
      <c r="H15397" s="1" t="str">
        <f>HYPERLINK("http://www.weizmann.ac.il/complex/compphys/software/geview/data/figures/213741_s_at.png","Figure")</f>
        <v>Figure</v>
      </c>
      <c r="I15397">
        <v>1.0900000000000001</v>
      </c>
      <c r="J15397">
        <v>0.86</v>
      </c>
      <c r="K15397">
        <v>0.95</v>
      </c>
      <c r="L15397">
        <v>0.93</v>
      </c>
      <c r="M15397">
        <v>0.874</v>
      </c>
      <c r="N15397">
        <v>0.65</v>
      </c>
    </row>
    <row r="15398" spans="1:14" x14ac:dyDescent="0.25">
      <c r="A15398" t="s">
        <v>25975</v>
      </c>
      <c r="B15398" t="s">
        <v>9959</v>
      </c>
      <c r="C15398" s="1" t="str">
        <f>HYPERLINK("http://www.genecards.org/cgi-bin/carddisp.pl?gene=DISC1","GeneCards")</f>
        <v>GeneCards</v>
      </c>
      <c r="D15398" s="1" t="str">
        <f>HYPERLINK("http://genome-euro.ucsc.edu/cgi-bin/hgTracks?position=217330_at","UCSC")</f>
        <v>UCSC</v>
      </c>
      <c r="E15398" s="1" t="str">
        <f>HYPERLINK("http://www.ncbi.nlm.nih.gov/gene/?term=DISC1","NCBI")</f>
        <v>NCBI</v>
      </c>
      <c r="F15398">
        <v>0.68</v>
      </c>
      <c r="G15398">
        <v>0.75</v>
      </c>
      <c r="H15398" s="1" t="str">
        <f>HYPERLINK("http://www.weizmann.ac.il/complex/compphys/software/geview/data/figures/217330_at.png","Figure")</f>
        <v>Figure</v>
      </c>
      <c r="I15398">
        <v>0.95299999999999996</v>
      </c>
      <c r="J15398">
        <v>0.65</v>
      </c>
      <c r="K15398">
        <v>0.97599999999999998</v>
      </c>
      <c r="L15398">
        <v>0.86</v>
      </c>
      <c r="M15398">
        <v>1.02</v>
      </c>
      <c r="N15398">
        <v>0.89</v>
      </c>
    </row>
    <row r="15399" spans="1:14" x14ac:dyDescent="0.25">
      <c r="A15399" t="s">
        <v>25976</v>
      </c>
      <c r="B15399" t="s">
        <v>25977</v>
      </c>
      <c r="C15399" s="1" t="str">
        <f>HYPERLINK("http://www.genecards.org/cgi-bin/carddisp.pl?gene=RPS5","GeneCards")</f>
        <v>GeneCards</v>
      </c>
      <c r="D15399" s="1" t="str">
        <f>HYPERLINK("http://genome-euro.ucsc.edu/cgi-bin/hgTracks?position=200024_at","UCSC")</f>
        <v>UCSC</v>
      </c>
      <c r="E15399" s="1" t="str">
        <f>HYPERLINK("http://www.ncbi.nlm.nih.gov/gene/?term=RPS5","NCBI")</f>
        <v>NCBI</v>
      </c>
      <c r="F15399">
        <v>0.68</v>
      </c>
      <c r="G15399">
        <v>0.75</v>
      </c>
      <c r="H15399" s="1" t="str">
        <f>HYPERLINK("http://www.weizmann.ac.il/complex/compphys/software/geview/data/figures/200024_at.png","Figure")</f>
        <v>Figure</v>
      </c>
      <c r="I15399">
        <v>0.95599999999999996</v>
      </c>
      <c r="J15399">
        <v>0.98</v>
      </c>
      <c r="K15399">
        <v>1.1399999999999999</v>
      </c>
      <c r="L15399">
        <v>0.8</v>
      </c>
      <c r="M15399">
        <v>1.19</v>
      </c>
      <c r="N15399">
        <v>0.7</v>
      </c>
    </row>
    <row r="15400" spans="1:14" x14ac:dyDescent="0.25">
      <c r="A15400" t="s">
        <v>25978</v>
      </c>
      <c r="B15400" t="s">
        <v>1776</v>
      </c>
      <c r="C15400" s="1" t="str">
        <f>HYPERLINK("http://www.genecards.org/cgi-bin/carddisp.pl?gene=DDX3X","GeneCards")</f>
        <v>GeneCards</v>
      </c>
      <c r="D15400" s="1" t="str">
        <f>HYPERLINK("http://genome-euro.ucsc.edu/cgi-bin/hgTracks?position=201211_s_at","UCSC")</f>
        <v>UCSC</v>
      </c>
      <c r="E15400" s="1" t="str">
        <f>HYPERLINK("http://www.ncbi.nlm.nih.gov/gene/?term=DDX3X","NCBI")</f>
        <v>NCBI</v>
      </c>
      <c r="F15400">
        <v>0.68</v>
      </c>
      <c r="G15400">
        <v>0.75</v>
      </c>
      <c r="H15400" s="1" t="str">
        <f>HYPERLINK("http://www.weizmann.ac.il/complex/compphys/software/geview/data/figures/201211_s_at.png","Figure")</f>
        <v>Figure</v>
      </c>
      <c r="I15400">
        <v>0.88700000000000001</v>
      </c>
      <c r="J15400">
        <v>0.65</v>
      </c>
      <c r="K15400">
        <v>0.95499999999999996</v>
      </c>
      <c r="L15400">
        <v>0.92</v>
      </c>
      <c r="M15400">
        <v>1.08</v>
      </c>
      <c r="N15400">
        <v>0.83</v>
      </c>
    </row>
    <row r="15401" spans="1:14" x14ac:dyDescent="0.25">
      <c r="A15401" t="s">
        <v>25979</v>
      </c>
      <c r="B15401" t="s">
        <v>25980</v>
      </c>
      <c r="C15401" s="1" t="str">
        <f>HYPERLINK("http://www.genecards.org/cgi-bin/carddisp.pl?gene=MCM5","GeneCards")</f>
        <v>GeneCards</v>
      </c>
      <c r="D15401" s="1" t="str">
        <f>HYPERLINK("http://genome-euro.ucsc.edu/cgi-bin/hgTracks?position=201755_at","UCSC")</f>
        <v>UCSC</v>
      </c>
      <c r="E15401" s="1" t="str">
        <f>HYPERLINK("http://www.ncbi.nlm.nih.gov/gene/?term=MCM5","NCBI")</f>
        <v>NCBI</v>
      </c>
      <c r="F15401">
        <v>0.68</v>
      </c>
      <c r="G15401">
        <v>0.75</v>
      </c>
      <c r="H15401" s="1" t="str">
        <f>HYPERLINK("http://www.weizmann.ac.il/complex/compphys/software/geview/data/figures/201755_at.png","Figure")</f>
        <v>Figure</v>
      </c>
      <c r="I15401">
        <v>0.98799999999999999</v>
      </c>
      <c r="J15401">
        <v>1</v>
      </c>
      <c r="K15401">
        <v>0.85199999999999998</v>
      </c>
      <c r="L15401">
        <v>0.71</v>
      </c>
      <c r="M15401">
        <v>0.86299999999999999</v>
      </c>
      <c r="N15401">
        <v>0.78</v>
      </c>
    </row>
    <row r="15402" spans="1:14" x14ac:dyDescent="0.25">
      <c r="A15402" t="s">
        <v>25981</v>
      </c>
      <c r="B15402" t="s">
        <v>25982</v>
      </c>
      <c r="C15402" s="1" t="str">
        <f>HYPERLINK("http://www.genecards.org/cgi-bin/carddisp.pl?gene=HES1","GeneCards")</f>
        <v>GeneCards</v>
      </c>
      <c r="D15402" s="1" t="str">
        <f>HYPERLINK("http://genome-euro.ucsc.edu/cgi-bin/hgTracks?position=203393_at","UCSC")</f>
        <v>UCSC</v>
      </c>
      <c r="E15402" s="1" t="str">
        <f>HYPERLINK("http://www.ncbi.nlm.nih.gov/gene/?term=HES1","NCBI")</f>
        <v>NCBI</v>
      </c>
      <c r="F15402">
        <v>0.68</v>
      </c>
      <c r="G15402">
        <v>0.75</v>
      </c>
      <c r="H15402" s="1" t="str">
        <f>HYPERLINK("http://www.weizmann.ac.il/complex/compphys/software/geview/data/figures/203393_at.png","Figure")</f>
        <v>Figure</v>
      </c>
      <c r="I15402">
        <v>0.997</v>
      </c>
      <c r="J15402">
        <v>0.85</v>
      </c>
      <c r="K15402">
        <v>0.995</v>
      </c>
      <c r="L15402">
        <v>0.66</v>
      </c>
      <c r="M15402">
        <v>0.999</v>
      </c>
      <c r="N15402">
        <v>0.97</v>
      </c>
    </row>
    <row r="15403" spans="1:14" x14ac:dyDescent="0.25">
      <c r="A15403" t="s">
        <v>25983</v>
      </c>
      <c r="B15403" t="s">
        <v>1996</v>
      </c>
      <c r="C15403" s="1" t="str">
        <f>HYPERLINK("http://www.genecards.org/cgi-bin/carddisp.pl?gene=MRPS14","GeneCards")</f>
        <v>GeneCards</v>
      </c>
      <c r="D15403" s="1" t="str">
        <f>HYPERLINK("http://genome-euro.ucsc.edu/cgi-bin/hgTracks?position=203801_at","UCSC")</f>
        <v>UCSC</v>
      </c>
      <c r="E15403" s="1" t="str">
        <f>HYPERLINK("http://www.ncbi.nlm.nih.gov/gene/?term=MRPS14","NCBI")</f>
        <v>NCBI</v>
      </c>
      <c r="F15403">
        <v>0.68</v>
      </c>
      <c r="G15403">
        <v>0.75</v>
      </c>
      <c r="H15403" s="1" t="str">
        <f>HYPERLINK("http://www.weizmann.ac.il/complex/compphys/software/geview/data/figures/203801_at.png","Figure")</f>
        <v>Figure</v>
      </c>
      <c r="I15403">
        <v>0.98499999999999999</v>
      </c>
      <c r="J15403">
        <v>0.98</v>
      </c>
      <c r="K15403">
        <v>0.94399999999999995</v>
      </c>
      <c r="L15403">
        <v>0.68</v>
      </c>
      <c r="M15403">
        <v>0.95799999999999996</v>
      </c>
      <c r="N15403">
        <v>0.83</v>
      </c>
    </row>
    <row r="15404" spans="1:14" x14ac:dyDescent="0.25">
      <c r="A15404" t="s">
        <v>25984</v>
      </c>
      <c r="B15404" t="s">
        <v>2633</v>
      </c>
      <c r="C15404" s="1" t="str">
        <f>HYPERLINK("http://www.genecards.org/cgi-bin/carddisp.pl?gene=FAM115A","GeneCards")</f>
        <v>GeneCards</v>
      </c>
      <c r="D15404" s="1" t="str">
        <f>HYPERLINK("http://genome-euro.ucsc.edu/cgi-bin/hgTracks?position=204403_x_at","UCSC")</f>
        <v>UCSC</v>
      </c>
      <c r="E15404" s="1" t="str">
        <f>HYPERLINK("http://www.ncbi.nlm.nih.gov/gene/?term=FAM115A","NCBI")</f>
        <v>NCBI</v>
      </c>
      <c r="F15404">
        <v>0.68</v>
      </c>
      <c r="G15404">
        <v>0.75</v>
      </c>
      <c r="H15404" s="1" t="str">
        <f>HYPERLINK("http://www.weizmann.ac.il/complex/compphys/software/geview/data/figures/204403_x_at.png","Figure")</f>
        <v>Figure</v>
      </c>
      <c r="I15404">
        <v>0.95599999999999996</v>
      </c>
      <c r="J15404">
        <v>0.8</v>
      </c>
      <c r="K15404">
        <v>0.94899999999999995</v>
      </c>
      <c r="L15404">
        <v>0.67</v>
      </c>
      <c r="M15404">
        <v>0.99299999999999999</v>
      </c>
      <c r="N15404">
        <v>0.99</v>
      </c>
    </row>
    <row r="15405" spans="1:14" x14ac:dyDescent="0.25">
      <c r="A15405" t="s">
        <v>25985</v>
      </c>
      <c r="B15405" t="s">
        <v>18002</v>
      </c>
      <c r="C15405" s="1" t="str">
        <f>HYPERLINK("http://www.genecards.org/cgi-bin/carddisp.pl?gene=XRCC4","GeneCards")</f>
        <v>GeneCards</v>
      </c>
      <c r="D15405" s="1" t="str">
        <f>HYPERLINK("http://genome-euro.ucsc.edu/cgi-bin/hgTracks?position=210812_at","UCSC")</f>
        <v>UCSC</v>
      </c>
      <c r="E15405" s="1" t="str">
        <f>HYPERLINK("http://www.ncbi.nlm.nih.gov/gene/?term=XRCC4","NCBI")</f>
        <v>NCBI</v>
      </c>
      <c r="F15405">
        <v>0.68</v>
      </c>
      <c r="G15405">
        <v>0.75</v>
      </c>
      <c r="H15405" s="1" t="str">
        <f>HYPERLINK("http://www.weizmann.ac.il/complex/compphys/software/geview/data/figures/210812_at.png","Figure")</f>
        <v>Figure</v>
      </c>
      <c r="I15405">
        <v>1.01</v>
      </c>
      <c r="J15405">
        <v>1</v>
      </c>
      <c r="K15405">
        <v>1.06</v>
      </c>
      <c r="L15405">
        <v>0.7</v>
      </c>
      <c r="M15405">
        <v>1.05</v>
      </c>
      <c r="N15405">
        <v>0.79</v>
      </c>
    </row>
    <row r="15406" spans="1:14" x14ac:dyDescent="0.25">
      <c r="A15406" t="s">
        <v>25986</v>
      </c>
      <c r="B15406" t="s">
        <v>15838</v>
      </c>
      <c r="C15406" s="1" t="str">
        <f>HYPERLINK("http://www.genecards.org/cgi-bin/carddisp.pl?gene=MLX","GeneCards")</f>
        <v>GeneCards</v>
      </c>
      <c r="D15406" s="1" t="str">
        <f>HYPERLINK("http://genome-euro.ucsc.edu/cgi-bin/hgTracks?position=217909_s_at","UCSC")</f>
        <v>UCSC</v>
      </c>
      <c r="E15406" s="1" t="str">
        <f>HYPERLINK("http://www.ncbi.nlm.nih.gov/gene/?term=MLX","NCBI")</f>
        <v>NCBI</v>
      </c>
      <c r="F15406">
        <v>0.68</v>
      </c>
      <c r="G15406">
        <v>0.75</v>
      </c>
      <c r="H15406" s="1" t="str">
        <f>HYPERLINK("http://www.weizmann.ac.il/complex/compphys/software/geview/data/figures/217909_s_at.png","Figure")</f>
        <v>Figure</v>
      </c>
      <c r="I15406">
        <v>0.92500000000000004</v>
      </c>
      <c r="J15406">
        <v>0.71</v>
      </c>
      <c r="K15406">
        <v>0.995</v>
      </c>
      <c r="L15406">
        <v>1</v>
      </c>
      <c r="M15406">
        <v>1.08</v>
      </c>
      <c r="N15406">
        <v>0.71</v>
      </c>
    </row>
    <row r="15407" spans="1:14" x14ac:dyDescent="0.25">
      <c r="A15407" t="s">
        <v>25987</v>
      </c>
      <c r="B15407" t="s">
        <v>25988</v>
      </c>
      <c r="C15407" s="1" t="str">
        <f>HYPERLINK("http://www.genecards.org/cgi-bin/carddisp.pl?gene=C8orf44","GeneCards")</f>
        <v>GeneCards</v>
      </c>
      <c r="D15407" s="1" t="str">
        <f>HYPERLINK("http://genome-euro.ucsc.edu/cgi-bin/hgTracks?position=220216_at","UCSC")</f>
        <v>UCSC</v>
      </c>
      <c r="E15407" s="1" t="str">
        <f>HYPERLINK("http://www.ncbi.nlm.nih.gov/gene/?term=C8orf44","NCBI")</f>
        <v>NCBI</v>
      </c>
      <c r="F15407">
        <v>0.68</v>
      </c>
      <c r="G15407">
        <v>0.75</v>
      </c>
      <c r="H15407" s="1" t="str">
        <f>HYPERLINK("http://www.weizmann.ac.il/complex/compphys/software/geview/data/figures/220216_at.png","Figure")</f>
        <v>Figure</v>
      </c>
      <c r="I15407">
        <v>1.06</v>
      </c>
      <c r="J15407">
        <v>0.67</v>
      </c>
      <c r="K15407">
        <v>1.02</v>
      </c>
      <c r="L15407">
        <v>0.96</v>
      </c>
      <c r="M15407">
        <v>0.95699999999999996</v>
      </c>
      <c r="N15407">
        <v>0.78</v>
      </c>
    </row>
    <row r="15408" spans="1:14" x14ac:dyDescent="0.25">
      <c r="A15408" t="s">
        <v>25989</v>
      </c>
      <c r="B15408" t="s">
        <v>25990</v>
      </c>
      <c r="C15408" s="1" t="str">
        <f>HYPERLINK("http://www.genecards.org/cgi-bin/carddisp.pl?gene=LOC100134713","GeneCards")</f>
        <v>GeneCards</v>
      </c>
      <c r="D15408" s="1" t="str">
        <f>HYPERLINK("http://genome-euro.ucsc.edu/cgi-bin/hgTracks?position=222090_at","UCSC")</f>
        <v>UCSC</v>
      </c>
      <c r="E15408" s="1" t="str">
        <f>HYPERLINK("http://www.ncbi.nlm.nih.gov/gene/?term=LOC100134713","NCBI")</f>
        <v>NCBI</v>
      </c>
      <c r="F15408">
        <v>0.68</v>
      </c>
      <c r="G15408">
        <v>0.75</v>
      </c>
      <c r="H15408" s="1" t="str">
        <f>HYPERLINK("http://www.weizmann.ac.il/complex/compphys/software/geview/data/figures/222090_at.png","Figure")</f>
        <v>Figure</v>
      </c>
      <c r="I15408">
        <v>0.96899999999999997</v>
      </c>
      <c r="J15408">
        <v>0.8</v>
      </c>
      <c r="K15408">
        <v>0.96399999999999997</v>
      </c>
      <c r="L15408">
        <v>0.67</v>
      </c>
      <c r="M15408">
        <v>0.995</v>
      </c>
      <c r="N15408">
        <v>0.99</v>
      </c>
    </row>
    <row r="15409" spans="1:14" x14ac:dyDescent="0.25">
      <c r="A15409" t="s">
        <v>25991</v>
      </c>
      <c r="B15409" t="s">
        <v>24963</v>
      </c>
      <c r="C15409" s="1" t="str">
        <f>HYPERLINK("http://www.genecards.org/cgi-bin/carddisp.pl?gene=RPL3","GeneCards")</f>
        <v>GeneCards</v>
      </c>
      <c r="D15409" s="1" t="str">
        <f>HYPERLINK("http://genome-euro.ucsc.edu/cgi-bin/hgTracks?position=211666_x_at","UCSC")</f>
        <v>UCSC</v>
      </c>
      <c r="E15409" s="1" t="str">
        <f>HYPERLINK("http://www.ncbi.nlm.nih.gov/gene/?term=RPL3","NCBI")</f>
        <v>NCBI</v>
      </c>
      <c r="F15409">
        <v>0.68</v>
      </c>
      <c r="G15409">
        <v>0.75</v>
      </c>
      <c r="H15409" s="1" t="str">
        <f>HYPERLINK("http://www.weizmann.ac.il/complex/compphys/software/geview/data/figures/211666_x_at.png","Figure")</f>
        <v>Figure</v>
      </c>
      <c r="I15409">
        <v>0.89200000000000002</v>
      </c>
      <c r="J15409">
        <v>0.85</v>
      </c>
      <c r="K15409">
        <v>1.06</v>
      </c>
      <c r="L15409">
        <v>0.94</v>
      </c>
      <c r="M15409">
        <v>1.19</v>
      </c>
      <c r="N15409">
        <v>0.65</v>
      </c>
    </row>
    <row r="15410" spans="1:14" x14ac:dyDescent="0.25">
      <c r="A15410" t="s">
        <v>25992</v>
      </c>
      <c r="B15410" t="s">
        <v>25993</v>
      </c>
      <c r="C15410" s="1" t="str">
        <f>HYPERLINK("http://www.genecards.org/cgi-bin/carddisp.pl?gene=NDFIP1","GeneCards")</f>
        <v>GeneCards</v>
      </c>
      <c r="D15410" s="1" t="str">
        <f>HYPERLINK("http://genome-euro.ucsc.edu/cgi-bin/hgTracks?position=217800_s_at","UCSC")</f>
        <v>UCSC</v>
      </c>
      <c r="E15410" s="1" t="str">
        <f>HYPERLINK("http://www.ncbi.nlm.nih.gov/gene/?term=NDFIP1","NCBI")</f>
        <v>NCBI</v>
      </c>
      <c r="F15410">
        <v>0.68</v>
      </c>
      <c r="G15410">
        <v>0.75</v>
      </c>
      <c r="H15410" s="1" t="str">
        <f>HYPERLINK("http://www.weizmann.ac.il/complex/compphys/software/geview/data/figures/217800_s_at.png","Figure")</f>
        <v>Figure</v>
      </c>
      <c r="I15410">
        <v>0.93100000000000005</v>
      </c>
      <c r="J15410">
        <v>0.85</v>
      </c>
      <c r="K15410">
        <v>0.90500000000000003</v>
      </c>
      <c r="L15410">
        <v>0.66</v>
      </c>
      <c r="M15410">
        <v>0.97099999999999997</v>
      </c>
      <c r="N15410">
        <v>0.97</v>
      </c>
    </row>
    <row r="15411" spans="1:14" x14ac:dyDescent="0.25">
      <c r="A15411" t="s">
        <v>25994</v>
      </c>
      <c r="B15411" t="s">
        <v>364</v>
      </c>
      <c r="C15411" s="1" t="str">
        <f>HYPERLINK("http://www.genecards.org/cgi-bin/carddisp.pl?gene=BMP2K","GeneCards")</f>
        <v>GeneCards</v>
      </c>
      <c r="D15411" s="1" t="str">
        <f>HYPERLINK("http://genome-euro.ucsc.edu/cgi-bin/hgTracks?position=214716_at","UCSC")</f>
        <v>UCSC</v>
      </c>
      <c r="E15411" s="1" t="str">
        <f>HYPERLINK("http://www.ncbi.nlm.nih.gov/gene/?term=BMP2K","NCBI")</f>
        <v>NCBI</v>
      </c>
      <c r="F15411">
        <v>0.68</v>
      </c>
      <c r="G15411">
        <v>0.75</v>
      </c>
      <c r="H15411" s="1" t="str">
        <f>HYPERLINK("http://www.weizmann.ac.il/complex/compphys/software/geview/data/figures/214716_at.png","Figure")</f>
        <v>Figure</v>
      </c>
      <c r="I15411">
        <v>0.94799999999999995</v>
      </c>
      <c r="J15411">
        <v>0.81</v>
      </c>
      <c r="K15411">
        <v>0.93799999999999994</v>
      </c>
      <c r="L15411">
        <v>0.67</v>
      </c>
      <c r="M15411">
        <v>0.98899999999999999</v>
      </c>
      <c r="N15411">
        <v>0.99</v>
      </c>
    </row>
    <row r="15412" spans="1:14" x14ac:dyDescent="0.25">
      <c r="A15412" t="s">
        <v>25995</v>
      </c>
      <c r="B15412" t="s">
        <v>4096</v>
      </c>
      <c r="C15412" s="1" t="str">
        <f>HYPERLINK("http://www.genecards.org/cgi-bin/carddisp.pl?gene=SRPK1","GeneCards")</f>
        <v>GeneCards</v>
      </c>
      <c r="D15412" s="1" t="str">
        <f>HYPERLINK("http://genome-euro.ucsc.edu/cgi-bin/hgTracks?position=202199_s_at","UCSC")</f>
        <v>UCSC</v>
      </c>
      <c r="E15412" s="1" t="str">
        <f>HYPERLINK("http://www.ncbi.nlm.nih.gov/gene/?term=SRPK1","NCBI")</f>
        <v>NCBI</v>
      </c>
      <c r="F15412">
        <v>0.68</v>
      </c>
      <c r="G15412">
        <v>0.75</v>
      </c>
      <c r="H15412" s="1" t="str">
        <f>HYPERLINK("http://www.weizmann.ac.il/complex/compphys/software/geview/data/figures/202199_s_at.png","Figure")</f>
        <v>Figure</v>
      </c>
      <c r="I15412">
        <v>1.1100000000000001</v>
      </c>
      <c r="J15412">
        <v>0.65</v>
      </c>
      <c r="K15412">
        <v>1.04</v>
      </c>
      <c r="L15412">
        <v>0.91</v>
      </c>
      <c r="M15412">
        <v>0.94</v>
      </c>
      <c r="N15412">
        <v>0.84</v>
      </c>
    </row>
    <row r="15413" spans="1:14" x14ac:dyDescent="0.25">
      <c r="A15413" t="s">
        <v>25996</v>
      </c>
      <c r="B15413" t="s">
        <v>25997</v>
      </c>
      <c r="C15413" s="1" t="str">
        <f>HYPERLINK("http://www.genecards.org/cgi-bin/carddisp.pl?gene=LAMC3","GeneCards")</f>
        <v>GeneCards</v>
      </c>
      <c r="D15413" s="1" t="str">
        <f>HYPERLINK("http://genome-euro.ucsc.edu/cgi-bin/hgTracks?position=219407_s_at","UCSC")</f>
        <v>UCSC</v>
      </c>
      <c r="E15413" s="1" t="str">
        <f>HYPERLINK("http://www.ncbi.nlm.nih.gov/gene/?term=LAMC3","NCBI")</f>
        <v>NCBI</v>
      </c>
      <c r="F15413">
        <v>0.68</v>
      </c>
      <c r="G15413">
        <v>0.75</v>
      </c>
      <c r="H15413" s="1" t="str">
        <f>HYPERLINK("http://www.weizmann.ac.il/complex/compphys/software/geview/data/figures/219407_s_at.png","Figure")</f>
        <v>Figure</v>
      </c>
      <c r="I15413">
        <v>0.995</v>
      </c>
      <c r="J15413">
        <v>0.83</v>
      </c>
      <c r="K15413">
        <v>0.99299999999999999</v>
      </c>
      <c r="L15413">
        <v>0.66</v>
      </c>
      <c r="M15413">
        <v>0.998</v>
      </c>
      <c r="N15413">
        <v>0.98</v>
      </c>
    </row>
    <row r="15414" spans="1:14" x14ac:dyDescent="0.25">
      <c r="A15414" t="s">
        <v>25998</v>
      </c>
      <c r="B15414" t="s">
        <v>25999</v>
      </c>
      <c r="C15414" s="1" t="str">
        <f>HYPERLINK("http://www.genecards.org/cgi-bin/carddisp.pl?gene=PLA2G15","GeneCards")</f>
        <v>GeneCards</v>
      </c>
      <c r="D15414" s="1" t="str">
        <f>HYPERLINK("http://genome-euro.ucsc.edu/cgi-bin/hgTracks?position=204458_at","UCSC")</f>
        <v>UCSC</v>
      </c>
      <c r="E15414" s="1" t="str">
        <f>HYPERLINK("http://www.ncbi.nlm.nih.gov/gene/?term=PLA2G15","NCBI")</f>
        <v>NCBI</v>
      </c>
      <c r="F15414">
        <v>0.68</v>
      </c>
      <c r="G15414">
        <v>0.75</v>
      </c>
      <c r="H15414" s="1" t="str">
        <f>HYPERLINK("http://www.weizmann.ac.il/complex/compphys/software/geview/data/figures/204458_at.png","Figure")</f>
        <v>Figure</v>
      </c>
      <c r="I15414">
        <v>1.03</v>
      </c>
      <c r="J15414">
        <v>0.99</v>
      </c>
      <c r="K15414">
        <v>0.88300000000000001</v>
      </c>
      <c r="L15414">
        <v>0.77</v>
      </c>
      <c r="M15414">
        <v>0.86099999999999999</v>
      </c>
      <c r="N15414">
        <v>0.72</v>
      </c>
    </row>
    <row r="15415" spans="1:14" x14ac:dyDescent="0.25">
      <c r="A15415" t="s">
        <v>26000</v>
      </c>
      <c r="B15415" t="s">
        <v>8116</v>
      </c>
      <c r="C15415" s="1" t="str">
        <f>HYPERLINK("http://www.genecards.org/cgi-bin/carddisp.pl?gene=PATZ1","GeneCards")</f>
        <v>GeneCards</v>
      </c>
      <c r="D15415" s="1" t="str">
        <f>HYPERLINK("http://genome-euro.ucsc.edu/cgi-bin/hgTracks?position=211391_s_at","UCSC")</f>
        <v>UCSC</v>
      </c>
      <c r="E15415" s="1" t="str">
        <f>HYPERLINK("http://www.ncbi.nlm.nih.gov/gene/?term=PATZ1","NCBI")</f>
        <v>NCBI</v>
      </c>
      <c r="F15415">
        <v>0.68</v>
      </c>
      <c r="G15415">
        <v>0.75</v>
      </c>
      <c r="H15415" s="1" t="str">
        <f>HYPERLINK("http://www.weizmann.ac.il/complex/compphys/software/geview/data/figures/211391_s_at.png","Figure")</f>
        <v>Figure</v>
      </c>
      <c r="I15415">
        <v>1.02</v>
      </c>
      <c r="J15415">
        <v>0.96</v>
      </c>
      <c r="K15415">
        <v>1.06</v>
      </c>
      <c r="L15415">
        <v>0.66</v>
      </c>
      <c r="M15415">
        <v>1.04</v>
      </c>
      <c r="N15415">
        <v>0.87</v>
      </c>
    </row>
    <row r="15416" spans="1:14" x14ac:dyDescent="0.25">
      <c r="A15416" t="s">
        <v>26001</v>
      </c>
      <c r="B15416" t="s">
        <v>23440</v>
      </c>
      <c r="C15416" s="1" t="str">
        <f>HYPERLINK("http://www.genecards.org/cgi-bin/carddisp.pl?gene=ELN","GeneCards")</f>
        <v>GeneCards</v>
      </c>
      <c r="D15416" s="1" t="str">
        <f>HYPERLINK("http://genome-euro.ucsc.edu/cgi-bin/hgTracks?position=212670_at","UCSC")</f>
        <v>UCSC</v>
      </c>
      <c r="E15416" s="1" t="str">
        <f>HYPERLINK("http://www.ncbi.nlm.nih.gov/gene/?term=ELN","NCBI")</f>
        <v>NCBI</v>
      </c>
      <c r="F15416">
        <v>0.68</v>
      </c>
      <c r="G15416">
        <v>0.75</v>
      </c>
      <c r="H15416" s="1" t="str">
        <f>HYPERLINK("http://www.weizmann.ac.il/complex/compphys/software/geview/data/figures/212670_at.png","Figure")</f>
        <v>Figure</v>
      </c>
      <c r="I15416">
        <v>0.97499999999999998</v>
      </c>
      <c r="J15416">
        <v>0.95</v>
      </c>
      <c r="K15416">
        <v>1.04</v>
      </c>
      <c r="L15416">
        <v>0.84</v>
      </c>
      <c r="M15416">
        <v>1.07</v>
      </c>
      <c r="N15416">
        <v>0.67</v>
      </c>
    </row>
    <row r="15417" spans="1:14" x14ac:dyDescent="0.25">
      <c r="A15417" t="s">
        <v>26002</v>
      </c>
      <c r="B15417" t="s">
        <v>26003</v>
      </c>
      <c r="C15417" s="1" t="str">
        <f>HYPERLINK("http://www.genecards.org/cgi-bin/carddisp.pl?gene=EDEM2","GeneCards")</f>
        <v>GeneCards</v>
      </c>
      <c r="D15417" s="1" t="str">
        <f>HYPERLINK("http://genome-euro.ucsc.edu/cgi-bin/hgTracks?position=218282_at","UCSC")</f>
        <v>UCSC</v>
      </c>
      <c r="E15417" s="1" t="str">
        <f>HYPERLINK("http://www.ncbi.nlm.nih.gov/gene/?term=EDEM2","NCBI")</f>
        <v>NCBI</v>
      </c>
      <c r="F15417">
        <v>0.68</v>
      </c>
      <c r="G15417">
        <v>0.75</v>
      </c>
      <c r="H15417" s="1" t="str">
        <f>HYPERLINK("http://www.weizmann.ac.il/complex/compphys/software/geview/data/figures/218282_at.png","Figure")</f>
        <v>Figure</v>
      </c>
      <c r="I15417">
        <v>0.95</v>
      </c>
      <c r="J15417">
        <v>0.68</v>
      </c>
      <c r="K15417">
        <v>0.98899999999999999</v>
      </c>
      <c r="L15417">
        <v>0.98</v>
      </c>
      <c r="M15417">
        <v>1.04</v>
      </c>
      <c r="N15417">
        <v>0.76</v>
      </c>
    </row>
    <row r="15418" spans="1:14" x14ac:dyDescent="0.25">
      <c r="A15418" t="s">
        <v>26004</v>
      </c>
      <c r="B15418" t="s">
        <v>26005</v>
      </c>
      <c r="C15418" s="1" t="str">
        <f>HYPERLINK("http://www.genecards.org/cgi-bin/carddisp.pl?gene=DDX10","GeneCards")</f>
        <v>GeneCards</v>
      </c>
      <c r="D15418" s="1" t="str">
        <f>HYPERLINK("http://genome-euro.ucsc.edu/cgi-bin/hgTracks?position=204977_at","UCSC")</f>
        <v>UCSC</v>
      </c>
      <c r="E15418" s="1" t="str">
        <f>HYPERLINK("http://www.ncbi.nlm.nih.gov/gene/?term=DDX10","NCBI")</f>
        <v>NCBI</v>
      </c>
      <c r="F15418">
        <v>0.68</v>
      </c>
      <c r="G15418">
        <v>0.75</v>
      </c>
      <c r="H15418" s="1" t="str">
        <f>HYPERLINK("http://www.weizmann.ac.il/complex/compphys/software/geview/data/figures/204977_at.png","Figure")</f>
        <v>Figure</v>
      </c>
      <c r="I15418">
        <v>0.91</v>
      </c>
      <c r="J15418">
        <v>0.72</v>
      </c>
      <c r="K15418">
        <v>0.92</v>
      </c>
      <c r="L15418">
        <v>0.72</v>
      </c>
      <c r="M15418">
        <v>1.01</v>
      </c>
      <c r="N15418">
        <v>0.99</v>
      </c>
    </row>
    <row r="15419" spans="1:14" x14ac:dyDescent="0.25">
      <c r="A15419" t="s">
        <v>26006</v>
      </c>
      <c r="B15419" t="s">
        <v>3539</v>
      </c>
      <c r="C15419" s="1" t="str">
        <f>HYPERLINK("http://www.genecards.org/cgi-bin/carddisp.pl?gene=PI4KB","GeneCards")</f>
        <v>GeneCards</v>
      </c>
      <c r="D15419" s="1" t="str">
        <f>HYPERLINK("http://genome-euro.ucsc.edu/cgi-bin/hgTracks?position=206139_at","UCSC")</f>
        <v>UCSC</v>
      </c>
      <c r="E15419" s="1" t="str">
        <f>HYPERLINK("http://www.ncbi.nlm.nih.gov/gene/?term=PI4KB","NCBI")</f>
        <v>NCBI</v>
      </c>
      <c r="F15419">
        <v>0.68</v>
      </c>
      <c r="G15419">
        <v>0.75</v>
      </c>
      <c r="H15419" s="1" t="str">
        <f>HYPERLINK("http://www.weizmann.ac.il/complex/compphys/software/geview/data/figures/206139_at.png","Figure")</f>
        <v>Figure</v>
      </c>
      <c r="I15419">
        <v>1.0900000000000001</v>
      </c>
      <c r="J15419">
        <v>0.66</v>
      </c>
      <c r="K15419">
        <v>1.04</v>
      </c>
      <c r="L15419">
        <v>0.86</v>
      </c>
      <c r="M15419">
        <v>0.96099999999999997</v>
      </c>
      <c r="N15419">
        <v>0.89</v>
      </c>
    </row>
    <row r="15420" spans="1:14" x14ac:dyDescent="0.25">
      <c r="A15420" t="s">
        <v>26007</v>
      </c>
      <c r="B15420" t="s">
        <v>10159</v>
      </c>
      <c r="C15420" s="1" t="str">
        <f>HYPERLINK("http://www.genecards.org/cgi-bin/carddisp.pl?gene=RANBP2","GeneCards")</f>
        <v>GeneCards</v>
      </c>
      <c r="D15420" s="1" t="str">
        <f>HYPERLINK("http://genome-euro.ucsc.edu/cgi-bin/hgTracks?position=201711_x_at","UCSC")</f>
        <v>UCSC</v>
      </c>
      <c r="E15420" s="1" t="str">
        <f>HYPERLINK("http://www.ncbi.nlm.nih.gov/gene/?term=RANBP2","NCBI")</f>
        <v>NCBI</v>
      </c>
      <c r="F15420">
        <v>0.68</v>
      </c>
      <c r="G15420">
        <v>0.75</v>
      </c>
      <c r="H15420" s="1" t="str">
        <f>HYPERLINK("http://www.weizmann.ac.il/complex/compphys/software/geview/data/figures/201711_x_at.png","Figure")</f>
        <v>Figure</v>
      </c>
      <c r="I15420">
        <v>0.93899999999999995</v>
      </c>
      <c r="J15420">
        <v>0.98</v>
      </c>
      <c r="K15420">
        <v>0.78300000000000003</v>
      </c>
      <c r="L15420">
        <v>0.68</v>
      </c>
      <c r="M15420">
        <v>0.83299999999999996</v>
      </c>
      <c r="N15420">
        <v>0.83</v>
      </c>
    </row>
    <row r="15421" spans="1:14" x14ac:dyDescent="0.25">
      <c r="A15421" t="s">
        <v>26008</v>
      </c>
      <c r="B15421" t="s">
        <v>21757</v>
      </c>
      <c r="C15421" s="1" t="str">
        <f>HYPERLINK("http://www.genecards.org/cgi-bin/carddisp.pl?gene=MARS","GeneCards")</f>
        <v>GeneCards</v>
      </c>
      <c r="D15421" s="1" t="str">
        <f>HYPERLINK("http://genome-euro.ucsc.edu/cgi-bin/hgTracks?position=213672_at","UCSC")</f>
        <v>UCSC</v>
      </c>
      <c r="E15421" s="1" t="str">
        <f>HYPERLINK("http://www.ncbi.nlm.nih.gov/gene/?term=MARS","NCBI")</f>
        <v>NCBI</v>
      </c>
      <c r="F15421">
        <v>0.68</v>
      </c>
      <c r="G15421">
        <v>0.75</v>
      </c>
      <c r="H15421" s="1" t="str">
        <f>HYPERLINK("http://www.weizmann.ac.il/complex/compphys/software/geview/data/figures/213672_at.png","Figure")</f>
        <v>Figure</v>
      </c>
      <c r="I15421">
        <v>0.998</v>
      </c>
      <c r="J15421">
        <v>1</v>
      </c>
      <c r="K15421">
        <v>0.92100000000000004</v>
      </c>
      <c r="L15421">
        <v>0.72</v>
      </c>
      <c r="M15421">
        <v>0.92300000000000004</v>
      </c>
      <c r="N15421">
        <v>0.76</v>
      </c>
    </row>
    <row r="15422" spans="1:14" x14ac:dyDescent="0.25">
      <c r="A15422" t="s">
        <v>26009</v>
      </c>
      <c r="B15422" t="s">
        <v>26010</v>
      </c>
      <c r="C15422" s="1" t="str">
        <f>HYPERLINK("http://www.genecards.org/cgi-bin/carddisp.pl?gene=REEP1","GeneCards")</f>
        <v>GeneCards</v>
      </c>
      <c r="D15422" s="1" t="str">
        <f>HYPERLINK("http://genome-euro.ucsc.edu/cgi-bin/hgTracks?position=204365_s_at","UCSC")</f>
        <v>UCSC</v>
      </c>
      <c r="E15422" s="1" t="str">
        <f>HYPERLINK("http://www.ncbi.nlm.nih.gov/gene/?term=REEP1","NCBI")</f>
        <v>NCBI</v>
      </c>
      <c r="F15422">
        <v>0.68</v>
      </c>
      <c r="G15422">
        <v>0.75</v>
      </c>
      <c r="H15422" s="1" t="str">
        <f>HYPERLINK("http://www.weizmann.ac.il/complex/compphys/software/geview/data/figures/204365_s_at.png","Figure")</f>
        <v>Figure</v>
      </c>
      <c r="I15422">
        <v>0.99</v>
      </c>
      <c r="J15422">
        <v>0.99</v>
      </c>
      <c r="K15422">
        <v>0.93799999999999994</v>
      </c>
      <c r="L15422">
        <v>0.7</v>
      </c>
      <c r="M15422">
        <v>0.94699999999999995</v>
      </c>
      <c r="N15422">
        <v>0.8</v>
      </c>
    </row>
    <row r="15423" spans="1:14" x14ac:dyDescent="0.25">
      <c r="A15423" t="s">
        <v>26011</v>
      </c>
      <c r="B15423" t="s">
        <v>4050</v>
      </c>
      <c r="C15423" s="1" t="str">
        <f>HYPERLINK("http://www.genecards.org/cgi-bin/carddisp.pl?gene=UBE2K","GeneCards")</f>
        <v>GeneCards</v>
      </c>
      <c r="D15423" s="1" t="str">
        <f>HYPERLINK("http://genome-euro.ucsc.edu/cgi-bin/hgTracks?position=202347_s_at","UCSC")</f>
        <v>UCSC</v>
      </c>
      <c r="E15423" s="1" t="str">
        <f>HYPERLINK("http://www.ncbi.nlm.nih.gov/gene/?term=UBE2K","NCBI")</f>
        <v>NCBI</v>
      </c>
      <c r="F15423">
        <v>0.68</v>
      </c>
      <c r="G15423">
        <v>0.75</v>
      </c>
      <c r="H15423" s="1" t="str">
        <f>HYPERLINK("http://www.weizmann.ac.il/complex/compphys/software/geview/data/figures/202347_s_at.png","Figure")</f>
        <v>Figure</v>
      </c>
      <c r="I15423">
        <v>0.92700000000000005</v>
      </c>
      <c r="J15423">
        <v>0.88</v>
      </c>
      <c r="K15423">
        <v>1.05</v>
      </c>
      <c r="L15423">
        <v>0.92</v>
      </c>
      <c r="M15423">
        <v>1.1399999999999999</v>
      </c>
      <c r="N15423">
        <v>0.66</v>
      </c>
    </row>
    <row r="15424" spans="1:14" x14ac:dyDescent="0.25">
      <c r="A15424" t="s">
        <v>26012</v>
      </c>
      <c r="B15424" t="s">
        <v>26013</v>
      </c>
      <c r="C15424" s="1" t="str">
        <f>HYPERLINK("http://www.genecards.org/cgi-bin/carddisp.pl?gene=MED21","GeneCards")</f>
        <v>GeneCards</v>
      </c>
      <c r="D15424" s="1" t="str">
        <f>HYPERLINK("http://genome-euro.ucsc.edu/cgi-bin/hgTracks?position=209362_at","UCSC")</f>
        <v>UCSC</v>
      </c>
      <c r="E15424" s="1" t="str">
        <f>HYPERLINK("http://www.ncbi.nlm.nih.gov/gene/?term=MED21","NCBI")</f>
        <v>NCBI</v>
      </c>
      <c r="F15424">
        <v>0.68</v>
      </c>
      <c r="G15424">
        <v>0.75</v>
      </c>
      <c r="H15424" s="1" t="str">
        <f>HYPERLINK("http://www.weizmann.ac.il/complex/compphys/software/geview/data/figures/209362_at.png","Figure")</f>
        <v>Figure</v>
      </c>
      <c r="I15424">
        <v>0.9</v>
      </c>
      <c r="J15424">
        <v>0.88</v>
      </c>
      <c r="K15424">
        <v>0.84599999999999997</v>
      </c>
      <c r="L15424">
        <v>0.66</v>
      </c>
      <c r="M15424">
        <v>0.94</v>
      </c>
      <c r="N15424">
        <v>0.95</v>
      </c>
    </row>
    <row r="15425" spans="1:14" x14ac:dyDescent="0.25">
      <c r="A15425" t="s">
        <v>26014</v>
      </c>
      <c r="B15425" t="s">
        <v>26015</v>
      </c>
      <c r="C15425" s="1" t="str">
        <f>HYPERLINK("http://www.genecards.org/cgi-bin/carddisp.pl?gene=ECT2","GeneCards")</f>
        <v>GeneCards</v>
      </c>
      <c r="D15425" s="1" t="str">
        <f>HYPERLINK("http://genome-euro.ucsc.edu/cgi-bin/hgTracks?position=219787_s_at","UCSC")</f>
        <v>UCSC</v>
      </c>
      <c r="E15425" s="1" t="str">
        <f>HYPERLINK("http://www.ncbi.nlm.nih.gov/gene/?term=ECT2","NCBI")</f>
        <v>NCBI</v>
      </c>
      <c r="F15425">
        <v>0.68</v>
      </c>
      <c r="G15425">
        <v>0.75</v>
      </c>
      <c r="H15425" s="1" t="str">
        <f>HYPERLINK("http://www.weizmann.ac.il/complex/compphys/software/geview/data/figures/219787_s_at.png","Figure")</f>
        <v>Figure</v>
      </c>
      <c r="I15425">
        <v>0.95499999999999996</v>
      </c>
      <c r="J15425">
        <v>0.93</v>
      </c>
      <c r="K15425">
        <v>0.90400000000000003</v>
      </c>
      <c r="L15425">
        <v>0.66</v>
      </c>
      <c r="M15425">
        <v>0.94699999999999995</v>
      </c>
      <c r="N15425">
        <v>0.9</v>
      </c>
    </row>
    <row r="15426" spans="1:14" x14ac:dyDescent="0.25">
      <c r="A15426" t="s">
        <v>26016</v>
      </c>
      <c r="B15426" t="s">
        <v>4717</v>
      </c>
      <c r="C15426" s="1" t="str">
        <f>HYPERLINK("http://www.genecards.org/cgi-bin/carddisp.pl?gene=LTB4R","GeneCards")</f>
        <v>GeneCards</v>
      </c>
      <c r="D15426" s="1" t="str">
        <f>HYPERLINK("http://genome-euro.ucsc.edu/cgi-bin/hgTracks?position=216388_s_at","UCSC")</f>
        <v>UCSC</v>
      </c>
      <c r="E15426" s="1" t="str">
        <f>HYPERLINK("http://www.ncbi.nlm.nih.gov/gene/?term=LTB4R","NCBI")</f>
        <v>NCBI</v>
      </c>
      <c r="F15426">
        <v>0.68</v>
      </c>
      <c r="G15426">
        <v>0.75</v>
      </c>
      <c r="H15426" s="1" t="str">
        <f>HYPERLINK("http://www.weizmann.ac.il/complex/compphys/software/geview/data/figures/216388_s_at.png","Figure")</f>
        <v>Figure</v>
      </c>
      <c r="I15426">
        <v>1.1100000000000001</v>
      </c>
      <c r="J15426">
        <v>0.68</v>
      </c>
      <c r="K15426">
        <v>1.07</v>
      </c>
      <c r="L15426">
        <v>0.79</v>
      </c>
      <c r="M15426">
        <v>0.96799999999999997</v>
      </c>
      <c r="N15426">
        <v>0.96</v>
      </c>
    </row>
    <row r="15427" spans="1:14" x14ac:dyDescent="0.25">
      <c r="A15427" t="s">
        <v>26017</v>
      </c>
      <c r="B15427" t="s">
        <v>26018</v>
      </c>
      <c r="C15427" s="1" t="str">
        <f>HYPERLINK("http://www.genecards.org/cgi-bin/carddisp.pl?gene=CSTF1","GeneCards")</f>
        <v>GeneCards</v>
      </c>
      <c r="D15427" s="1" t="str">
        <f>HYPERLINK("http://genome-euro.ucsc.edu/cgi-bin/hgTracks?position=202190_at","UCSC")</f>
        <v>UCSC</v>
      </c>
      <c r="E15427" s="1" t="str">
        <f>HYPERLINK("http://www.ncbi.nlm.nih.gov/gene/?term=CSTF1","NCBI")</f>
        <v>NCBI</v>
      </c>
      <c r="F15427">
        <v>0.68</v>
      </c>
      <c r="G15427">
        <v>0.75</v>
      </c>
      <c r="H15427" s="1" t="str">
        <f>HYPERLINK("http://www.weizmann.ac.il/complex/compphys/software/geview/data/figures/202190_at.png","Figure")</f>
        <v>Figure</v>
      </c>
      <c r="I15427">
        <v>0.93899999999999995</v>
      </c>
      <c r="J15427">
        <v>0.86</v>
      </c>
      <c r="K15427">
        <v>0.91300000000000003</v>
      </c>
      <c r="L15427">
        <v>0.66</v>
      </c>
      <c r="M15427">
        <v>0.97199999999999998</v>
      </c>
      <c r="N15427">
        <v>0.96</v>
      </c>
    </row>
    <row r="15428" spans="1:14" x14ac:dyDescent="0.25">
      <c r="A15428" t="s">
        <v>26019</v>
      </c>
      <c r="B15428" t="s">
        <v>26020</v>
      </c>
      <c r="C15428" s="1" t="str">
        <f>HYPERLINK("http://www.genecards.org/cgi-bin/carddisp.pl?gene=ZBED5","GeneCards")</f>
        <v>GeneCards</v>
      </c>
      <c r="D15428" s="1" t="str">
        <f>HYPERLINK("http://genome-euro.ucsc.edu/cgi-bin/hgTracks?position=218263_s_at","UCSC")</f>
        <v>UCSC</v>
      </c>
      <c r="E15428" s="1" t="str">
        <f>HYPERLINK("http://www.ncbi.nlm.nih.gov/gene/?term=ZBED5","NCBI")</f>
        <v>NCBI</v>
      </c>
      <c r="F15428">
        <v>0.68</v>
      </c>
      <c r="G15428">
        <v>0.75</v>
      </c>
      <c r="H15428" s="1" t="str">
        <f>HYPERLINK("http://www.weizmann.ac.il/complex/compphys/software/geview/data/figures/218263_s_at.png","Figure")</f>
        <v>Figure</v>
      </c>
      <c r="I15428">
        <v>0.98</v>
      </c>
      <c r="J15428">
        <v>1</v>
      </c>
      <c r="K15428">
        <v>0.82699999999999996</v>
      </c>
      <c r="L15428">
        <v>0.71</v>
      </c>
      <c r="M15428">
        <v>0.84299999999999997</v>
      </c>
      <c r="N15428">
        <v>0.78</v>
      </c>
    </row>
    <row r="15429" spans="1:14" x14ac:dyDescent="0.25">
      <c r="A15429" t="s">
        <v>26021</v>
      </c>
      <c r="B15429" t="s">
        <v>26022</v>
      </c>
      <c r="C15429" s="1" t="str">
        <f>HYPERLINK("http://www.genecards.org/cgi-bin/carddisp.pl?gene=VASP","GeneCards")</f>
        <v>GeneCards</v>
      </c>
      <c r="D15429" s="1" t="str">
        <f>HYPERLINK("http://genome-euro.ucsc.edu/cgi-bin/hgTracks?position=202205_at","UCSC")</f>
        <v>UCSC</v>
      </c>
      <c r="E15429" s="1" t="str">
        <f>HYPERLINK("http://www.ncbi.nlm.nih.gov/gene/?term=VASP","NCBI")</f>
        <v>NCBI</v>
      </c>
      <c r="F15429">
        <v>0.68</v>
      </c>
      <c r="G15429">
        <v>0.75</v>
      </c>
      <c r="H15429" s="1" t="str">
        <f>HYPERLINK("http://www.weizmann.ac.il/complex/compphys/software/geview/data/figures/202205_at.png","Figure")</f>
        <v>Figure</v>
      </c>
      <c r="I15429">
        <v>1.04</v>
      </c>
      <c r="J15429">
        <v>0.97</v>
      </c>
      <c r="K15429">
        <v>1.1200000000000001</v>
      </c>
      <c r="L15429">
        <v>0.68</v>
      </c>
      <c r="M15429">
        <v>1.08</v>
      </c>
      <c r="N15429">
        <v>0.85</v>
      </c>
    </row>
    <row r="15430" spans="1:14" x14ac:dyDescent="0.25">
      <c r="A15430" t="s">
        <v>26023</v>
      </c>
      <c r="B15430" t="s">
        <v>26024</v>
      </c>
      <c r="C15430" s="1" t="str">
        <f>HYPERLINK("http://www.genecards.org/cgi-bin/carddisp.pl?gene=PPL","GeneCards")</f>
        <v>GeneCards</v>
      </c>
      <c r="D15430" s="1" t="str">
        <f>HYPERLINK("http://genome-euro.ucsc.edu/cgi-bin/hgTracks?position=203407_at","UCSC")</f>
        <v>UCSC</v>
      </c>
      <c r="E15430" s="1" t="str">
        <f>HYPERLINK("http://www.ncbi.nlm.nih.gov/gene/?term=PPL","NCBI")</f>
        <v>NCBI</v>
      </c>
      <c r="F15430">
        <v>0.68</v>
      </c>
      <c r="G15430">
        <v>0.75</v>
      </c>
      <c r="H15430" s="1" t="str">
        <f>HYPERLINK("http://www.weizmann.ac.il/complex/compphys/software/geview/data/figures/203407_at.png","Figure")</f>
        <v>Figure</v>
      </c>
      <c r="I15430">
        <v>1.04</v>
      </c>
      <c r="J15430">
        <v>0.85</v>
      </c>
      <c r="K15430">
        <v>0.98</v>
      </c>
      <c r="L15430">
        <v>0.94</v>
      </c>
      <c r="M15430">
        <v>0.94499999999999995</v>
      </c>
      <c r="N15430">
        <v>0.66</v>
      </c>
    </row>
    <row r="15431" spans="1:14" x14ac:dyDescent="0.25">
      <c r="A15431" t="s">
        <v>26025</v>
      </c>
      <c r="B15431" t="s">
        <v>26026</v>
      </c>
      <c r="C15431" s="1" t="str">
        <f>HYPERLINK("http://www.genecards.org/cgi-bin/carddisp.pl?gene=RHOBTB2","GeneCards")</f>
        <v>GeneCards</v>
      </c>
      <c r="D15431" s="1" t="str">
        <f>HYPERLINK("http://genome-euro.ucsc.edu/cgi-bin/hgTracks?position=209441_at","UCSC")</f>
        <v>UCSC</v>
      </c>
      <c r="E15431" s="1" t="str">
        <f>HYPERLINK("http://www.ncbi.nlm.nih.gov/gene/?term=RHOBTB2","NCBI")</f>
        <v>NCBI</v>
      </c>
      <c r="F15431">
        <v>0.68</v>
      </c>
      <c r="G15431">
        <v>0.75</v>
      </c>
      <c r="H15431" s="1" t="str">
        <f>HYPERLINK("http://www.weizmann.ac.il/complex/compphys/software/geview/data/figures/209441_at.png","Figure")</f>
        <v>Figure</v>
      </c>
      <c r="I15431">
        <v>0.96799999999999997</v>
      </c>
      <c r="J15431">
        <v>0.92</v>
      </c>
      <c r="K15431">
        <v>1.04</v>
      </c>
      <c r="L15431">
        <v>0.87</v>
      </c>
      <c r="M15431">
        <v>1.07</v>
      </c>
      <c r="N15431">
        <v>0.67</v>
      </c>
    </row>
    <row r="15432" spans="1:14" x14ac:dyDescent="0.25">
      <c r="A15432" t="s">
        <v>26027</v>
      </c>
      <c r="B15432" t="s">
        <v>12822</v>
      </c>
      <c r="C15432" s="1" t="str">
        <f>HYPERLINK("http://www.genecards.org/cgi-bin/carddisp.pl?gene=TM9SF4","GeneCards")</f>
        <v>GeneCards</v>
      </c>
      <c r="D15432" s="1" t="str">
        <f>HYPERLINK("http://genome-euro.ucsc.edu/cgi-bin/hgTracks?position=212198_s_at","UCSC")</f>
        <v>UCSC</v>
      </c>
      <c r="E15432" s="1" t="str">
        <f>HYPERLINK("http://www.ncbi.nlm.nih.gov/gene/?term=TM9SF4","NCBI")</f>
        <v>NCBI</v>
      </c>
      <c r="F15432">
        <v>0.68</v>
      </c>
      <c r="G15432">
        <v>0.75</v>
      </c>
      <c r="H15432" s="1" t="str">
        <f>HYPERLINK("http://www.weizmann.ac.il/complex/compphys/software/geview/data/figures/212198_s_at.png","Figure")</f>
        <v>Figure</v>
      </c>
      <c r="I15432">
        <v>0.98399999999999999</v>
      </c>
      <c r="J15432">
        <v>0.98</v>
      </c>
      <c r="K15432">
        <v>1.06</v>
      </c>
      <c r="L15432">
        <v>0.79</v>
      </c>
      <c r="M15432">
        <v>1.07</v>
      </c>
      <c r="N15432">
        <v>0.71</v>
      </c>
    </row>
    <row r="15433" spans="1:14" x14ac:dyDescent="0.25">
      <c r="A15433" t="s">
        <v>26028</v>
      </c>
      <c r="B15433" t="s">
        <v>21228</v>
      </c>
      <c r="C15433" s="1" t="str">
        <f>HYPERLINK("http://www.genecards.org/cgi-bin/carddisp.pl?gene=C16orf58","GeneCards")</f>
        <v>GeneCards</v>
      </c>
      <c r="D15433" s="1" t="str">
        <f>HYPERLINK("http://genome-euro.ucsc.edu/cgi-bin/hgTracks?position=222190_s_at","UCSC")</f>
        <v>UCSC</v>
      </c>
      <c r="E15433" s="1" t="str">
        <f>HYPERLINK("http://www.ncbi.nlm.nih.gov/gene/?term=C16orf58","NCBI")</f>
        <v>NCBI</v>
      </c>
      <c r="F15433">
        <v>0.68</v>
      </c>
      <c r="G15433">
        <v>0.75</v>
      </c>
      <c r="H15433" s="1" t="str">
        <f>HYPERLINK("http://www.weizmann.ac.il/complex/compphys/software/geview/data/figures/222190_s_at.png","Figure")</f>
        <v>Figure</v>
      </c>
      <c r="I15433">
        <v>1.08</v>
      </c>
      <c r="J15433">
        <v>0.72</v>
      </c>
      <c r="K15433">
        <v>1.06</v>
      </c>
      <c r="L15433">
        <v>0.73</v>
      </c>
      <c r="M15433">
        <v>0.98799999999999999</v>
      </c>
      <c r="N15433">
        <v>0.99</v>
      </c>
    </row>
    <row r="15434" spans="1:14" x14ac:dyDescent="0.25">
      <c r="A15434" t="s">
        <v>26029</v>
      </c>
      <c r="B15434" t="s">
        <v>26030</v>
      </c>
      <c r="C15434" s="1" t="str">
        <f>HYPERLINK("http://www.genecards.org/cgi-bin/carddisp.pl?gene=C21orf91","GeneCards")</f>
        <v>GeneCards</v>
      </c>
      <c r="D15434" s="1" t="str">
        <f>HYPERLINK("http://genome-euro.ucsc.edu/cgi-bin/hgTracks?position=220941_s_at","UCSC")</f>
        <v>UCSC</v>
      </c>
      <c r="E15434" s="1" t="str">
        <f>HYPERLINK("http://www.ncbi.nlm.nih.gov/gene/?term=C21orf91","NCBI")</f>
        <v>NCBI</v>
      </c>
      <c r="F15434">
        <v>0.68</v>
      </c>
      <c r="G15434">
        <v>0.75</v>
      </c>
      <c r="H15434" s="1" t="str">
        <f>HYPERLINK("http://www.weizmann.ac.il/complex/compphys/software/geview/data/figures/220941_s_at.png","Figure")</f>
        <v>Figure</v>
      </c>
      <c r="I15434">
        <v>0.98699999999999999</v>
      </c>
      <c r="J15434">
        <v>1</v>
      </c>
      <c r="K15434">
        <v>0.9</v>
      </c>
      <c r="L15434">
        <v>0.71</v>
      </c>
      <c r="M15434">
        <v>0.91200000000000003</v>
      </c>
      <c r="N15434">
        <v>0.79</v>
      </c>
    </row>
    <row r="15435" spans="1:14" x14ac:dyDescent="0.25">
      <c r="A15435" t="s">
        <v>26031</v>
      </c>
      <c r="B15435" t="s">
        <v>13479</v>
      </c>
      <c r="C15435" s="1" t="str">
        <f>HYPERLINK("http://www.genecards.org/cgi-bin/carddisp.pl?gene=IGF2 /// INS-IGF2","GeneCards")</f>
        <v>GeneCards</v>
      </c>
      <c r="D15435" s="1" t="str">
        <f>HYPERLINK("http://genome-euro.ucsc.edu/cgi-bin/hgTracks?position=202410_x_at","UCSC")</f>
        <v>UCSC</v>
      </c>
      <c r="E15435" s="1" t="str">
        <f>HYPERLINK("http://www.ncbi.nlm.nih.gov/gene/?term=IGF2 /// INS-IGF2","NCBI")</f>
        <v>NCBI</v>
      </c>
      <c r="F15435">
        <v>0.68</v>
      </c>
      <c r="G15435">
        <v>0.75</v>
      </c>
      <c r="H15435" s="1" t="str">
        <f>HYPERLINK("http://www.weizmann.ac.il/complex/compphys/software/geview/data/figures/202410_x_at.png","Figure")</f>
        <v>Figure</v>
      </c>
      <c r="I15435">
        <v>1.1000000000000001</v>
      </c>
      <c r="J15435">
        <v>0.67</v>
      </c>
      <c r="K15435">
        <v>1.03</v>
      </c>
      <c r="L15435">
        <v>0.96</v>
      </c>
      <c r="M15435">
        <v>0.93700000000000006</v>
      </c>
      <c r="N15435">
        <v>0.79</v>
      </c>
    </row>
    <row r="15436" spans="1:14" x14ac:dyDescent="0.25">
      <c r="A15436" t="s">
        <v>26032</v>
      </c>
      <c r="B15436" t="s">
        <v>26033</v>
      </c>
      <c r="C15436" s="1" t="str">
        <f>HYPERLINK("http://www.genecards.org/cgi-bin/carddisp.pl?gene=FBXO17 /// SARS2","GeneCards")</f>
        <v>GeneCards</v>
      </c>
      <c r="D15436" s="1" t="str">
        <f>HYPERLINK("http://genome-euro.ucsc.edu/cgi-bin/hgTracks?position=220233_at","UCSC")</f>
        <v>UCSC</v>
      </c>
      <c r="E15436" s="1" t="str">
        <f>HYPERLINK("http://www.ncbi.nlm.nih.gov/gene/?term=FBXO17 /// SARS2","NCBI")</f>
        <v>NCBI</v>
      </c>
      <c r="F15436">
        <v>0.68</v>
      </c>
      <c r="G15436">
        <v>0.75</v>
      </c>
      <c r="H15436" s="1" t="str">
        <f>HYPERLINK("http://www.weizmann.ac.il/complex/compphys/software/geview/data/figures/220233_at.png","Figure")</f>
        <v>Figure</v>
      </c>
      <c r="I15436">
        <v>0.98</v>
      </c>
      <c r="J15436">
        <v>0.96</v>
      </c>
      <c r="K15436">
        <v>0.94299999999999995</v>
      </c>
      <c r="L15436">
        <v>0.67</v>
      </c>
      <c r="M15436">
        <v>0.96299999999999997</v>
      </c>
      <c r="N15436">
        <v>0.86</v>
      </c>
    </row>
    <row r="15437" spans="1:14" x14ac:dyDescent="0.25">
      <c r="A15437" t="s">
        <v>26034</v>
      </c>
      <c r="B15437" t="s">
        <v>5770</v>
      </c>
      <c r="C15437" s="1" t="str">
        <f>HYPERLINK("http://www.genecards.org/cgi-bin/carddisp.pl?gene=TTLL5","GeneCards")</f>
        <v>GeneCards</v>
      </c>
      <c r="D15437" s="1" t="str">
        <f>HYPERLINK("http://genome-euro.ucsc.edu/cgi-bin/hgTracks?position=215898_at","UCSC")</f>
        <v>UCSC</v>
      </c>
      <c r="E15437" s="1" t="str">
        <f>HYPERLINK("http://www.ncbi.nlm.nih.gov/gene/?term=TTLL5","NCBI")</f>
        <v>NCBI</v>
      </c>
      <c r="F15437">
        <v>0.68</v>
      </c>
      <c r="G15437">
        <v>0.75</v>
      </c>
      <c r="H15437" s="1" t="str">
        <f>HYPERLINK("http://www.weizmann.ac.il/complex/compphys/software/geview/data/figures/215898_at.png","Figure")</f>
        <v>Figure</v>
      </c>
      <c r="I15437">
        <v>0.89800000000000002</v>
      </c>
      <c r="J15437">
        <v>0.86</v>
      </c>
      <c r="K15437">
        <v>0.85499999999999998</v>
      </c>
      <c r="L15437">
        <v>0.66</v>
      </c>
      <c r="M15437">
        <v>0.95199999999999996</v>
      </c>
      <c r="N15437">
        <v>0.96</v>
      </c>
    </row>
    <row r="15438" spans="1:14" x14ac:dyDescent="0.25">
      <c r="A15438" t="s">
        <v>26035</v>
      </c>
      <c r="B15438" t="s">
        <v>26036</v>
      </c>
      <c r="C15438" s="1" t="str">
        <f>HYPERLINK("http://www.genecards.org/cgi-bin/carddisp.pl?gene=SERPINI2","GeneCards")</f>
        <v>GeneCards</v>
      </c>
      <c r="D15438" s="1" t="str">
        <f>HYPERLINK("http://genome-euro.ucsc.edu/cgi-bin/hgTracks?position=207636_at","UCSC")</f>
        <v>UCSC</v>
      </c>
      <c r="E15438" s="1" t="str">
        <f>HYPERLINK("http://www.ncbi.nlm.nih.gov/gene/?term=SERPINI2","NCBI")</f>
        <v>NCBI</v>
      </c>
      <c r="F15438">
        <v>0.68</v>
      </c>
      <c r="G15438">
        <v>0.75</v>
      </c>
      <c r="H15438" s="1" t="str">
        <f>HYPERLINK("http://www.weizmann.ac.il/complex/compphys/software/geview/data/figures/207636_at.png","Figure")</f>
        <v>Figure</v>
      </c>
      <c r="I15438">
        <v>1.03</v>
      </c>
      <c r="J15438">
        <v>0.81</v>
      </c>
      <c r="K15438">
        <v>1.03</v>
      </c>
      <c r="L15438">
        <v>0.67</v>
      </c>
      <c r="M15438">
        <v>1.01</v>
      </c>
      <c r="N15438">
        <v>0.99</v>
      </c>
    </row>
    <row r="15439" spans="1:14" x14ac:dyDescent="0.25">
      <c r="A15439" t="s">
        <v>26037</v>
      </c>
      <c r="B15439" t="s">
        <v>26038</v>
      </c>
      <c r="C15439" s="1" t="str">
        <f>HYPERLINK("http://www.genecards.org/cgi-bin/carddisp.pl?gene=KRT33B","GeneCards")</f>
        <v>GeneCards</v>
      </c>
      <c r="D15439" s="1" t="str">
        <f>HYPERLINK("http://genome-euro.ucsc.edu/cgi-bin/hgTracks?position=207787_at","UCSC")</f>
        <v>UCSC</v>
      </c>
      <c r="E15439" s="1" t="str">
        <f>HYPERLINK("http://www.ncbi.nlm.nih.gov/gene/?term=KRT33B","NCBI")</f>
        <v>NCBI</v>
      </c>
      <c r="F15439">
        <v>0.68</v>
      </c>
      <c r="G15439">
        <v>0.75</v>
      </c>
      <c r="H15439" s="1" t="str">
        <f>HYPERLINK("http://www.weizmann.ac.il/complex/compphys/software/geview/data/figures/207787_at.png","Figure")</f>
        <v>Figure</v>
      </c>
      <c r="I15439">
        <v>0.99</v>
      </c>
      <c r="J15439">
        <v>0.99</v>
      </c>
      <c r="K15439">
        <v>0.95199999999999996</v>
      </c>
      <c r="L15439">
        <v>0.69</v>
      </c>
      <c r="M15439">
        <v>0.96199999999999997</v>
      </c>
      <c r="N15439">
        <v>0.82</v>
      </c>
    </row>
    <row r="15440" spans="1:14" x14ac:dyDescent="0.25">
      <c r="A15440" t="s">
        <v>26039</v>
      </c>
      <c r="B15440" t="s">
        <v>26040</v>
      </c>
      <c r="C15440" s="1" t="str">
        <f>HYPERLINK("http://www.genecards.org/cgi-bin/carddisp.pl?gene=TAPBPL","GeneCards")</f>
        <v>GeneCards</v>
      </c>
      <c r="D15440" s="1" t="str">
        <f>HYPERLINK("http://genome-euro.ucsc.edu/cgi-bin/hgTracks?position=218746_at","UCSC")</f>
        <v>UCSC</v>
      </c>
      <c r="E15440" s="1" t="str">
        <f>HYPERLINK("http://www.ncbi.nlm.nih.gov/gene/?term=TAPBPL","NCBI")</f>
        <v>NCBI</v>
      </c>
      <c r="F15440">
        <v>0.68</v>
      </c>
      <c r="G15440">
        <v>0.75</v>
      </c>
      <c r="H15440" s="1" t="str">
        <f>HYPERLINK("http://www.weizmann.ac.il/complex/compphys/software/geview/data/figures/218746_at.png","Figure")</f>
        <v>Figure</v>
      </c>
      <c r="I15440">
        <v>1.1100000000000001</v>
      </c>
      <c r="J15440">
        <v>0.66</v>
      </c>
      <c r="K15440">
        <v>1.04</v>
      </c>
      <c r="L15440">
        <v>0.94</v>
      </c>
      <c r="M15440">
        <v>0.93400000000000005</v>
      </c>
      <c r="N15440">
        <v>0.81</v>
      </c>
    </row>
    <row r="15441" spans="1:14" x14ac:dyDescent="0.25">
      <c r="A15441" t="s">
        <v>26041</v>
      </c>
      <c r="B15441" t="s">
        <v>26042</v>
      </c>
      <c r="C15441" s="1" t="str">
        <f>HYPERLINK("http://www.genecards.org/cgi-bin/carddisp.pl?gene=SMAD7","GeneCards")</f>
        <v>GeneCards</v>
      </c>
      <c r="D15441" s="1" t="str">
        <f>HYPERLINK("http://genome-euro.ucsc.edu/cgi-bin/hgTracks?position=204790_at","UCSC")</f>
        <v>UCSC</v>
      </c>
      <c r="E15441" s="1" t="str">
        <f>HYPERLINK("http://www.ncbi.nlm.nih.gov/gene/?term=SMAD7","NCBI")</f>
        <v>NCBI</v>
      </c>
      <c r="F15441">
        <v>0.68</v>
      </c>
      <c r="G15441">
        <v>0.75</v>
      </c>
      <c r="H15441" s="1" t="str">
        <f>HYPERLINK("http://www.weizmann.ac.il/complex/compphys/software/geview/data/figures/204790_at.png","Figure")</f>
        <v>Figure</v>
      </c>
      <c r="I15441">
        <v>1.1100000000000001</v>
      </c>
      <c r="J15441">
        <v>0.96</v>
      </c>
      <c r="K15441">
        <v>0.82799999999999996</v>
      </c>
      <c r="L15441">
        <v>0.83</v>
      </c>
      <c r="M15441">
        <v>0.748</v>
      </c>
      <c r="N15441">
        <v>0.69</v>
      </c>
    </row>
    <row r="15442" spans="1:14" x14ac:dyDescent="0.25">
      <c r="A15442" t="s">
        <v>26043</v>
      </c>
      <c r="B15442" t="s">
        <v>25218</v>
      </c>
      <c r="C15442" s="1" t="str">
        <f>HYPERLINK("http://www.genecards.org/cgi-bin/carddisp.pl?gene=RBM12","GeneCards")</f>
        <v>GeneCards</v>
      </c>
      <c r="D15442" s="1" t="str">
        <f>HYPERLINK("http://genome-euro.ucsc.edu/cgi-bin/hgTracks?position=212170_at","UCSC")</f>
        <v>UCSC</v>
      </c>
      <c r="E15442" s="1" t="str">
        <f>HYPERLINK("http://www.ncbi.nlm.nih.gov/gene/?term=RBM12","NCBI")</f>
        <v>NCBI</v>
      </c>
      <c r="F15442">
        <v>0.68</v>
      </c>
      <c r="G15442">
        <v>0.75</v>
      </c>
      <c r="H15442" s="1" t="str">
        <f>HYPERLINK("http://www.weizmann.ac.il/complex/compphys/software/geview/data/figures/212170_at.png","Figure")</f>
        <v>Figure</v>
      </c>
      <c r="I15442">
        <v>0.96799999999999997</v>
      </c>
      <c r="J15442">
        <v>0.98</v>
      </c>
      <c r="K15442">
        <v>1.1000000000000001</v>
      </c>
      <c r="L15442">
        <v>0.8</v>
      </c>
      <c r="M15442">
        <v>1.1299999999999999</v>
      </c>
      <c r="N15442">
        <v>0.7</v>
      </c>
    </row>
    <row r="15443" spans="1:14" x14ac:dyDescent="0.25">
      <c r="A15443" t="s">
        <v>26044</v>
      </c>
      <c r="B15443" t="s">
        <v>26045</v>
      </c>
      <c r="C15443" s="1" t="str">
        <f>HYPERLINK("http://www.genecards.org/cgi-bin/carddisp.pl?gene=SLC25A6","GeneCards")</f>
        <v>GeneCards</v>
      </c>
      <c r="D15443" s="1" t="str">
        <f>HYPERLINK("http://genome-euro.ucsc.edu/cgi-bin/hgTracks?position=212826_s_at","UCSC")</f>
        <v>UCSC</v>
      </c>
      <c r="E15443" s="1" t="str">
        <f>HYPERLINK("http://www.ncbi.nlm.nih.gov/gene/?term=SLC25A6","NCBI")</f>
        <v>NCBI</v>
      </c>
      <c r="F15443">
        <v>0.68</v>
      </c>
      <c r="G15443">
        <v>0.75</v>
      </c>
      <c r="H15443" s="1" t="str">
        <f>HYPERLINK("http://www.weizmann.ac.il/complex/compphys/software/geview/data/figures/212826_s_at.png","Figure")</f>
        <v>Figure</v>
      </c>
      <c r="I15443">
        <v>1.04</v>
      </c>
      <c r="J15443">
        <v>0.99</v>
      </c>
      <c r="K15443">
        <v>1.2</v>
      </c>
      <c r="L15443">
        <v>0.69</v>
      </c>
      <c r="M15443">
        <v>1.1499999999999999</v>
      </c>
      <c r="N15443">
        <v>0.81</v>
      </c>
    </row>
    <row r="15444" spans="1:14" x14ac:dyDescent="0.25">
      <c r="A15444" t="s">
        <v>26046</v>
      </c>
      <c r="B15444" t="s">
        <v>26047</v>
      </c>
      <c r="C15444" s="1" t="str">
        <f>HYPERLINK("http://www.genecards.org/cgi-bin/carddisp.pl?gene=SERF1A /// SERF1B","GeneCards")</f>
        <v>GeneCards</v>
      </c>
      <c r="D15444" s="1" t="str">
        <f>HYPERLINK("http://genome-euro.ucsc.edu/cgi-bin/hgTracks?position=219982_s_at","UCSC")</f>
        <v>UCSC</v>
      </c>
      <c r="E15444" s="1" t="str">
        <f>HYPERLINK("http://www.ncbi.nlm.nih.gov/gene/?term=SERF1A /// SERF1B","NCBI")</f>
        <v>NCBI</v>
      </c>
      <c r="F15444">
        <v>0.68</v>
      </c>
      <c r="G15444">
        <v>0.75</v>
      </c>
      <c r="H15444" s="1" t="str">
        <f>HYPERLINK("http://www.weizmann.ac.il/complex/compphys/software/geview/data/figures/219982_s_at.png","Figure")</f>
        <v>Figure</v>
      </c>
      <c r="I15444">
        <v>0.90100000000000002</v>
      </c>
      <c r="J15444">
        <v>0.69</v>
      </c>
      <c r="K15444">
        <v>0.92800000000000005</v>
      </c>
      <c r="L15444">
        <v>0.77</v>
      </c>
      <c r="M15444">
        <v>1.03</v>
      </c>
      <c r="N15444">
        <v>0.97</v>
      </c>
    </row>
    <row r="15445" spans="1:14" x14ac:dyDescent="0.25">
      <c r="A15445" t="s">
        <v>26048</v>
      </c>
      <c r="B15445" t="s">
        <v>26049</v>
      </c>
      <c r="C15445" s="1" t="str">
        <f>HYPERLINK("http://www.genecards.org/cgi-bin/carddisp.pl?gene=NBAS","GeneCards")</f>
        <v>GeneCards</v>
      </c>
      <c r="D15445" s="1" t="str">
        <f>HYPERLINK("http://genome-euro.ucsc.edu/cgi-bin/hgTracks?position=202926_at","UCSC")</f>
        <v>UCSC</v>
      </c>
      <c r="E15445" s="1" t="str">
        <f>HYPERLINK("http://www.ncbi.nlm.nih.gov/gene/?term=NBAS","NCBI")</f>
        <v>NCBI</v>
      </c>
      <c r="F15445">
        <v>0.68</v>
      </c>
      <c r="G15445">
        <v>0.75</v>
      </c>
      <c r="H15445" s="1" t="str">
        <f>HYPERLINK("http://www.weizmann.ac.il/complex/compphys/software/geview/data/figures/202926_at.png","Figure")</f>
        <v>Figure</v>
      </c>
      <c r="I15445">
        <v>1.08</v>
      </c>
      <c r="J15445">
        <v>0.7</v>
      </c>
      <c r="K15445">
        <v>1.06</v>
      </c>
      <c r="L15445">
        <v>0.76</v>
      </c>
      <c r="M15445">
        <v>0.98099999999999998</v>
      </c>
      <c r="N15445">
        <v>0.98</v>
      </c>
    </row>
    <row r="15446" spans="1:14" x14ac:dyDescent="0.25">
      <c r="A15446" t="s">
        <v>26050</v>
      </c>
      <c r="B15446" t="s">
        <v>26051</v>
      </c>
      <c r="C15446" s="1" t="str">
        <f>HYPERLINK("http://www.genecards.org/cgi-bin/carddisp.pl?gene=GRM2","GeneCards")</f>
        <v>GeneCards</v>
      </c>
      <c r="D15446" s="1" t="str">
        <f>HYPERLINK("http://genome-euro.ucsc.edu/cgi-bin/hgTracks?position=208465_at","UCSC")</f>
        <v>UCSC</v>
      </c>
      <c r="E15446" s="1" t="str">
        <f>HYPERLINK("http://www.ncbi.nlm.nih.gov/gene/?term=GRM2","NCBI")</f>
        <v>NCBI</v>
      </c>
      <c r="F15446">
        <v>0.68</v>
      </c>
      <c r="G15446">
        <v>0.75</v>
      </c>
      <c r="H15446" s="1" t="str">
        <f>HYPERLINK("http://www.weizmann.ac.il/complex/compphys/software/geview/data/figures/208465_at.png","Figure")</f>
        <v>Figure</v>
      </c>
      <c r="I15446">
        <v>1.05</v>
      </c>
      <c r="J15446">
        <v>0.89</v>
      </c>
      <c r="K15446">
        <v>1.0900000000000001</v>
      </c>
      <c r="L15446">
        <v>0.66</v>
      </c>
      <c r="M15446">
        <v>1.04</v>
      </c>
      <c r="N15446">
        <v>0.94</v>
      </c>
    </row>
    <row r="15447" spans="1:14" x14ac:dyDescent="0.25">
      <c r="A15447" t="s">
        <v>26052</v>
      </c>
      <c r="B15447" t="s">
        <v>26053</v>
      </c>
      <c r="C15447" s="1" t="str">
        <f>HYPERLINK("http://www.genecards.org/cgi-bin/carddisp.pl?gene=TGM5","GeneCards")</f>
        <v>GeneCards</v>
      </c>
      <c r="D15447" s="1" t="str">
        <f>HYPERLINK("http://genome-euro.ucsc.edu/cgi-bin/hgTracks?position=207911_s_at","UCSC")</f>
        <v>UCSC</v>
      </c>
      <c r="E15447" s="1" t="str">
        <f>HYPERLINK("http://www.ncbi.nlm.nih.gov/gene/?term=TGM5","NCBI")</f>
        <v>NCBI</v>
      </c>
      <c r="F15447">
        <v>0.68</v>
      </c>
      <c r="G15447">
        <v>0.75</v>
      </c>
      <c r="H15447" s="1" t="str">
        <f>HYPERLINK("http://www.weizmann.ac.il/complex/compphys/software/geview/data/figures/207911_s_at.png","Figure")</f>
        <v>Figure</v>
      </c>
      <c r="I15447">
        <v>1.1100000000000001</v>
      </c>
      <c r="J15447">
        <v>0.68</v>
      </c>
      <c r="K15447">
        <v>1.07</v>
      </c>
      <c r="L15447">
        <v>0.81</v>
      </c>
      <c r="M15447">
        <v>0.96299999999999997</v>
      </c>
      <c r="N15447">
        <v>0.94</v>
      </c>
    </row>
    <row r="15448" spans="1:14" x14ac:dyDescent="0.25">
      <c r="A15448" t="s">
        <v>26054</v>
      </c>
      <c r="B15448" t="s">
        <v>26055</v>
      </c>
      <c r="C15448" s="1" t="str">
        <f>HYPERLINK("http://www.genecards.org/cgi-bin/carddisp.pl?gene=USP6","GeneCards")</f>
        <v>GeneCards</v>
      </c>
      <c r="D15448" s="1" t="str">
        <f>HYPERLINK("http://genome-euro.ucsc.edu/cgi-bin/hgTracks?position=206405_x_at","UCSC")</f>
        <v>UCSC</v>
      </c>
      <c r="E15448" s="1" t="str">
        <f>HYPERLINK("http://www.ncbi.nlm.nih.gov/gene/?term=USP6","NCBI")</f>
        <v>NCBI</v>
      </c>
      <c r="F15448">
        <v>0.68</v>
      </c>
      <c r="G15448">
        <v>0.75</v>
      </c>
      <c r="H15448" s="1" t="str">
        <f>HYPERLINK("http://www.weizmann.ac.il/complex/compphys/software/geview/data/figures/206405_x_at.png","Figure")</f>
        <v>Figure</v>
      </c>
      <c r="I15448">
        <v>0.80400000000000005</v>
      </c>
      <c r="J15448">
        <v>0.68</v>
      </c>
      <c r="K15448">
        <v>0.94599999999999995</v>
      </c>
      <c r="L15448">
        <v>0.97</v>
      </c>
      <c r="M15448">
        <v>1.18</v>
      </c>
      <c r="N15448">
        <v>0.78</v>
      </c>
    </row>
    <row r="15449" spans="1:14" x14ac:dyDescent="0.25">
      <c r="A15449" t="s">
        <v>26056</v>
      </c>
      <c r="B15449" t="s">
        <v>26057</v>
      </c>
      <c r="C15449" s="1" t="str">
        <f>HYPERLINK("http://www.genecards.org/cgi-bin/carddisp.pl?gene=WFDC2","GeneCards")</f>
        <v>GeneCards</v>
      </c>
      <c r="D15449" s="1" t="str">
        <f>HYPERLINK("http://genome-euro.ucsc.edu/cgi-bin/hgTracks?position=203892_at","UCSC")</f>
        <v>UCSC</v>
      </c>
      <c r="E15449" s="1" t="str">
        <f>HYPERLINK("http://www.ncbi.nlm.nih.gov/gene/?term=WFDC2","NCBI")</f>
        <v>NCBI</v>
      </c>
      <c r="F15449">
        <v>0.68</v>
      </c>
      <c r="G15449">
        <v>0.75</v>
      </c>
      <c r="H15449" s="1" t="str">
        <f>HYPERLINK("http://www.weizmann.ac.il/complex/compphys/software/geview/data/figures/203892_at.png","Figure")</f>
        <v>Figure</v>
      </c>
      <c r="I15449">
        <v>1.03</v>
      </c>
      <c r="J15449">
        <v>0.92</v>
      </c>
      <c r="K15449">
        <v>1.06</v>
      </c>
      <c r="L15449">
        <v>0.66</v>
      </c>
      <c r="M15449">
        <v>1.03</v>
      </c>
      <c r="N15449">
        <v>0.91</v>
      </c>
    </row>
    <row r="15450" spans="1:14" x14ac:dyDescent="0.25">
      <c r="A15450" t="s">
        <v>26058</v>
      </c>
      <c r="B15450" t="s">
        <v>733</v>
      </c>
      <c r="C15450" s="1" t="str">
        <f>HYPERLINK("http://www.genecards.org/cgi-bin/carddisp.pl?gene=C10orf76","GeneCards")</f>
        <v>GeneCards</v>
      </c>
      <c r="D15450" s="1" t="str">
        <f>HYPERLINK("http://genome-euro.ucsc.edu/cgi-bin/hgTracks?position=218891_at","UCSC")</f>
        <v>UCSC</v>
      </c>
      <c r="E15450" s="1" t="str">
        <f>HYPERLINK("http://www.ncbi.nlm.nih.gov/gene/?term=C10orf76","NCBI")</f>
        <v>NCBI</v>
      </c>
      <c r="F15450">
        <v>0.68</v>
      </c>
      <c r="G15450">
        <v>0.75</v>
      </c>
      <c r="H15450" s="1" t="str">
        <f>HYPERLINK("http://www.weizmann.ac.il/complex/compphys/software/geview/data/figures/218891_at.png","Figure")</f>
        <v>Figure</v>
      </c>
      <c r="I15450">
        <v>0.93300000000000005</v>
      </c>
      <c r="J15450">
        <v>0.73</v>
      </c>
      <c r="K15450">
        <v>0.998</v>
      </c>
      <c r="L15450">
        <v>1</v>
      </c>
      <c r="M15450">
        <v>1.07</v>
      </c>
      <c r="N15450">
        <v>0.71</v>
      </c>
    </row>
    <row r="15451" spans="1:14" x14ac:dyDescent="0.25">
      <c r="A15451" t="s">
        <v>26059</v>
      </c>
      <c r="B15451" t="s">
        <v>21722</v>
      </c>
      <c r="C15451" s="1" t="str">
        <f>HYPERLINK("http://www.genecards.org/cgi-bin/carddisp.pl?gene=MAPKAPK3","GeneCards")</f>
        <v>GeneCards</v>
      </c>
      <c r="D15451" s="1" t="str">
        <f>HYPERLINK("http://genome-euro.ucsc.edu/cgi-bin/hgTracks?position=202787_s_at","UCSC")</f>
        <v>UCSC</v>
      </c>
      <c r="E15451" s="1" t="str">
        <f>HYPERLINK("http://www.ncbi.nlm.nih.gov/gene/?term=MAPKAPK3","NCBI")</f>
        <v>NCBI</v>
      </c>
      <c r="F15451">
        <v>0.68</v>
      </c>
      <c r="G15451">
        <v>0.75</v>
      </c>
      <c r="H15451" s="1" t="str">
        <f>HYPERLINK("http://www.weizmann.ac.il/complex/compphys/software/geview/data/figures/202787_s_at.png","Figure")</f>
        <v>Figure</v>
      </c>
      <c r="I15451">
        <v>0.92100000000000004</v>
      </c>
      <c r="J15451">
        <v>0.68</v>
      </c>
      <c r="K15451">
        <v>0.94499999999999995</v>
      </c>
      <c r="L15451">
        <v>0.79</v>
      </c>
      <c r="M15451">
        <v>1.03</v>
      </c>
      <c r="N15451">
        <v>0.96</v>
      </c>
    </row>
    <row r="15452" spans="1:14" x14ac:dyDescent="0.25">
      <c r="A15452" t="s">
        <v>26060</v>
      </c>
      <c r="B15452" t="s">
        <v>15752</v>
      </c>
      <c r="C15452" s="1" t="str">
        <f>HYPERLINK("http://www.genecards.org/cgi-bin/carddisp.pl?gene=SUPT6H","GeneCards")</f>
        <v>GeneCards</v>
      </c>
      <c r="D15452" s="1" t="str">
        <f>HYPERLINK("http://genome-euro.ucsc.edu/cgi-bin/hgTracks?position=208420_x_at","UCSC")</f>
        <v>UCSC</v>
      </c>
      <c r="E15452" s="1" t="str">
        <f>HYPERLINK("http://www.ncbi.nlm.nih.gov/gene/?term=SUPT6H","NCBI")</f>
        <v>NCBI</v>
      </c>
      <c r="F15452">
        <v>0.68</v>
      </c>
      <c r="G15452">
        <v>0.75</v>
      </c>
      <c r="H15452" s="1" t="str">
        <f>HYPERLINK("http://www.weizmann.ac.il/complex/compphys/software/geview/data/figures/208420_x_at.png","Figure")</f>
        <v>Figure</v>
      </c>
      <c r="I15452">
        <v>0.91200000000000003</v>
      </c>
      <c r="J15452">
        <v>0.8</v>
      </c>
      <c r="K15452">
        <v>0.9</v>
      </c>
      <c r="L15452">
        <v>0.68</v>
      </c>
      <c r="M15452">
        <v>0.98699999999999999</v>
      </c>
      <c r="N15452">
        <v>0.99</v>
      </c>
    </row>
    <row r="15453" spans="1:14" x14ac:dyDescent="0.25">
      <c r="A15453" t="s">
        <v>26061</v>
      </c>
      <c r="B15453" t="s">
        <v>15355</v>
      </c>
      <c r="C15453" s="1" t="str">
        <f>HYPERLINK("http://www.genecards.org/cgi-bin/carddisp.pl?gene=HLA-G","GeneCards")</f>
        <v>GeneCards</v>
      </c>
      <c r="D15453" s="1" t="str">
        <f>HYPERLINK("http://genome-euro.ucsc.edu/cgi-bin/hgTracks?position=211528_x_at","UCSC")</f>
        <v>UCSC</v>
      </c>
      <c r="E15453" s="1" t="str">
        <f>HYPERLINK("http://www.ncbi.nlm.nih.gov/gene/?term=HLA-G","NCBI")</f>
        <v>NCBI</v>
      </c>
      <c r="F15453">
        <v>0.68</v>
      </c>
      <c r="G15453">
        <v>0.75</v>
      </c>
      <c r="H15453" s="1" t="str">
        <f>HYPERLINK("http://www.weizmann.ac.il/complex/compphys/software/geview/data/figures/211528_x_at.png","Figure")</f>
        <v>Figure</v>
      </c>
      <c r="I15453">
        <v>0.96299999999999997</v>
      </c>
      <c r="J15453">
        <v>0.96</v>
      </c>
      <c r="K15453">
        <v>0.9</v>
      </c>
      <c r="L15453">
        <v>0.67</v>
      </c>
      <c r="M15453">
        <v>0.93500000000000005</v>
      </c>
      <c r="N15453">
        <v>0.87</v>
      </c>
    </row>
    <row r="15454" spans="1:14" x14ac:dyDescent="0.25">
      <c r="A15454" t="s">
        <v>26062</v>
      </c>
      <c r="B15454" t="s">
        <v>26063</v>
      </c>
      <c r="C15454" s="1" t="str">
        <f>HYPERLINK("http://www.genecards.org/cgi-bin/carddisp.pl?gene=TLX3","GeneCards")</f>
        <v>GeneCards</v>
      </c>
      <c r="D15454" s="1" t="str">
        <f>HYPERLINK("http://genome-euro.ucsc.edu/cgi-bin/hgTracks?position=208495_at","UCSC")</f>
        <v>UCSC</v>
      </c>
      <c r="E15454" s="1" t="str">
        <f>HYPERLINK("http://www.ncbi.nlm.nih.gov/gene/?term=TLX3","NCBI")</f>
        <v>NCBI</v>
      </c>
      <c r="F15454">
        <v>0.68</v>
      </c>
      <c r="G15454">
        <v>0.75</v>
      </c>
      <c r="H15454" s="1" t="str">
        <f>HYPERLINK("http://www.weizmann.ac.il/complex/compphys/software/geview/data/figures/208495_at.png","Figure")</f>
        <v>Figure</v>
      </c>
      <c r="I15454">
        <v>0.97399999999999998</v>
      </c>
      <c r="J15454">
        <v>0.67</v>
      </c>
      <c r="K15454">
        <v>0.98499999999999999</v>
      </c>
      <c r="L15454">
        <v>0.84</v>
      </c>
      <c r="M15454">
        <v>1.01</v>
      </c>
      <c r="N15454">
        <v>0.92</v>
      </c>
    </row>
    <row r="15455" spans="1:14" x14ac:dyDescent="0.25">
      <c r="A15455" t="s">
        <v>26064</v>
      </c>
      <c r="B15455" t="s">
        <v>26065</v>
      </c>
      <c r="C15455" s="1" t="str">
        <f>HYPERLINK("http://www.genecards.org/cgi-bin/carddisp.pl?gene=ANKMY1","GeneCards")</f>
        <v>GeneCards</v>
      </c>
      <c r="D15455" s="1" t="str">
        <f>HYPERLINK("http://genome-euro.ucsc.edu/cgi-bin/hgTracks?position=210486_at","UCSC")</f>
        <v>UCSC</v>
      </c>
      <c r="E15455" s="1" t="str">
        <f>HYPERLINK("http://www.ncbi.nlm.nih.gov/gene/?term=ANKMY1","NCBI")</f>
        <v>NCBI</v>
      </c>
      <c r="F15455">
        <v>0.68</v>
      </c>
      <c r="G15455">
        <v>0.75</v>
      </c>
      <c r="H15455" s="1" t="str">
        <f>HYPERLINK("http://www.weizmann.ac.il/complex/compphys/software/geview/data/figures/210486_at.png","Figure")</f>
        <v>Figure</v>
      </c>
      <c r="I15455">
        <v>0.96299999999999997</v>
      </c>
      <c r="J15455">
        <v>0.7</v>
      </c>
      <c r="K15455">
        <v>0.996</v>
      </c>
      <c r="L15455">
        <v>0.99</v>
      </c>
      <c r="M15455">
        <v>1.03</v>
      </c>
      <c r="N15455">
        <v>0.73</v>
      </c>
    </row>
    <row r="15456" spans="1:14" x14ac:dyDescent="0.25">
      <c r="A15456" t="s">
        <v>26066</v>
      </c>
      <c r="B15456" t="s">
        <v>6034</v>
      </c>
      <c r="C15456" s="1" t="str">
        <f>HYPERLINK("http://www.genecards.org/cgi-bin/carddisp.pl?gene=NPHP4","GeneCards")</f>
        <v>GeneCards</v>
      </c>
      <c r="D15456" s="1" t="str">
        <f>HYPERLINK("http://genome-euro.ucsc.edu/cgi-bin/hgTracks?position=213471_at","UCSC")</f>
        <v>UCSC</v>
      </c>
      <c r="E15456" s="1" t="str">
        <f>HYPERLINK("http://www.ncbi.nlm.nih.gov/gene/?term=NPHP4","NCBI")</f>
        <v>NCBI</v>
      </c>
      <c r="F15456">
        <v>0.69</v>
      </c>
      <c r="G15456">
        <v>0.75</v>
      </c>
      <c r="H15456" s="1" t="str">
        <f>HYPERLINK("http://www.weizmann.ac.il/complex/compphys/software/geview/data/figures/213471_at.png","Figure")</f>
        <v>Figure</v>
      </c>
      <c r="I15456">
        <v>0.98899999999999999</v>
      </c>
      <c r="J15456">
        <v>1</v>
      </c>
      <c r="K15456">
        <v>0.82799999999999996</v>
      </c>
      <c r="L15456">
        <v>0.72</v>
      </c>
      <c r="M15456">
        <v>0.83799999999999997</v>
      </c>
      <c r="N15456">
        <v>0.78</v>
      </c>
    </row>
    <row r="15457" spans="1:14" x14ac:dyDescent="0.25">
      <c r="A15457" t="s">
        <v>26067</v>
      </c>
      <c r="B15457" t="s">
        <v>26068</v>
      </c>
      <c r="C15457" s="1" t="str">
        <f>HYPERLINK("http://www.genecards.org/cgi-bin/carddisp.pl?gene=KLRK1","GeneCards")</f>
        <v>GeneCards</v>
      </c>
      <c r="D15457" s="1" t="str">
        <f>HYPERLINK("http://genome-euro.ucsc.edu/cgi-bin/hgTracks?position=205821_at","UCSC")</f>
        <v>UCSC</v>
      </c>
      <c r="E15457" s="1" t="str">
        <f>HYPERLINK("http://www.ncbi.nlm.nih.gov/gene/?term=KLRK1","NCBI")</f>
        <v>NCBI</v>
      </c>
      <c r="F15457">
        <v>0.69</v>
      </c>
      <c r="G15457">
        <v>0.75</v>
      </c>
      <c r="H15457" s="1" t="str">
        <f>HYPERLINK("http://www.weizmann.ac.il/complex/compphys/software/geview/data/figures/205821_at.png","Figure")</f>
        <v>Figure</v>
      </c>
      <c r="I15457">
        <v>0.97099999999999997</v>
      </c>
      <c r="J15457">
        <v>0.98</v>
      </c>
      <c r="K15457">
        <v>0.89</v>
      </c>
      <c r="L15457">
        <v>0.69</v>
      </c>
      <c r="M15457">
        <v>0.91600000000000004</v>
      </c>
      <c r="N15457">
        <v>0.83</v>
      </c>
    </row>
    <row r="15458" spans="1:14" x14ac:dyDescent="0.25">
      <c r="A15458" t="s">
        <v>26069</v>
      </c>
      <c r="B15458" t="s">
        <v>26070</v>
      </c>
      <c r="C15458" s="1" t="str">
        <f>HYPERLINK("http://www.genecards.org/cgi-bin/carddisp.pl?gene=NPY6R","GeneCards")</f>
        <v>GeneCards</v>
      </c>
      <c r="D15458" s="1" t="str">
        <f>HYPERLINK("http://genome-euro.ucsc.edu/cgi-bin/hgTracks?position=210444_at","UCSC")</f>
        <v>UCSC</v>
      </c>
      <c r="E15458" s="1" t="str">
        <f>HYPERLINK("http://www.ncbi.nlm.nih.gov/gene/?term=NPY6R","NCBI")</f>
        <v>NCBI</v>
      </c>
      <c r="F15458">
        <v>0.69</v>
      </c>
      <c r="G15458">
        <v>0.75</v>
      </c>
      <c r="H15458" s="1" t="str">
        <f>HYPERLINK("http://www.weizmann.ac.il/complex/compphys/software/geview/data/figures/210444_at.png","Figure")</f>
        <v>Figure</v>
      </c>
      <c r="I15458">
        <v>1.02</v>
      </c>
      <c r="J15458">
        <v>0.98</v>
      </c>
      <c r="K15458">
        <v>0.95</v>
      </c>
      <c r="L15458">
        <v>0.8</v>
      </c>
      <c r="M15458">
        <v>0.93200000000000005</v>
      </c>
      <c r="N15458">
        <v>0.7</v>
      </c>
    </row>
    <row r="15459" spans="1:14" x14ac:dyDescent="0.25">
      <c r="A15459" t="s">
        <v>26071</v>
      </c>
      <c r="B15459" t="s">
        <v>26072</v>
      </c>
      <c r="C15459" s="1" t="str">
        <f>HYPERLINK("http://www.genecards.org/cgi-bin/carddisp.pl?gene=TBC1D3 /// TBC1D3C /// TBC1D3D /// TBC1D3F /// TBC1D3H","GeneCards")</f>
        <v>GeneCards</v>
      </c>
      <c r="D15459" s="1" t="str">
        <f>HYPERLINK("http://genome-euro.ucsc.edu/cgi-bin/hgTracks?position=209403_at","UCSC")</f>
        <v>UCSC</v>
      </c>
      <c r="E15459" s="1" t="str">
        <f>HYPERLINK("http://www.ncbi.nlm.nih.gov/gene/?term=TBC1D3 /// TBC1D3C /// TBC1D3D /// TBC1D3F /// TBC1D3H","NCBI")</f>
        <v>NCBI</v>
      </c>
      <c r="F15459">
        <v>0.69</v>
      </c>
      <c r="G15459">
        <v>0.75</v>
      </c>
      <c r="H15459" s="1" t="str">
        <f>HYPERLINK("http://www.weizmann.ac.il/complex/compphys/software/geview/data/figures/209403_at.png","Figure")</f>
        <v>Figure</v>
      </c>
      <c r="I15459">
        <v>1.03</v>
      </c>
      <c r="J15459">
        <v>0.99</v>
      </c>
      <c r="K15459">
        <v>1.18</v>
      </c>
      <c r="L15459">
        <v>0.7</v>
      </c>
      <c r="M15459">
        <v>1.1499999999999999</v>
      </c>
      <c r="N15459">
        <v>0.8</v>
      </c>
    </row>
    <row r="15460" spans="1:14" x14ac:dyDescent="0.25">
      <c r="A15460" t="s">
        <v>26073</v>
      </c>
      <c r="B15460" t="s">
        <v>26074</v>
      </c>
      <c r="C15460" s="1" t="str">
        <f>HYPERLINK("http://www.genecards.org/cgi-bin/carddisp.pl?gene=FMNL1","GeneCards")</f>
        <v>GeneCards</v>
      </c>
      <c r="D15460" s="1" t="str">
        <f>HYPERLINK("http://genome-euro.ucsc.edu/cgi-bin/hgTracks?position=204789_at","UCSC")</f>
        <v>UCSC</v>
      </c>
      <c r="E15460" s="1" t="str">
        <f>HYPERLINK("http://www.ncbi.nlm.nih.gov/gene/?term=FMNL1","NCBI")</f>
        <v>NCBI</v>
      </c>
      <c r="F15460">
        <v>0.69</v>
      </c>
      <c r="G15460">
        <v>0.76</v>
      </c>
      <c r="H15460" s="1" t="str">
        <f>HYPERLINK("http://www.weizmann.ac.il/complex/compphys/software/geview/data/figures/204789_at.png","Figure")</f>
        <v>Figure</v>
      </c>
      <c r="I15460">
        <v>1.1100000000000001</v>
      </c>
      <c r="J15460">
        <v>0.86</v>
      </c>
      <c r="K15460">
        <v>1.17</v>
      </c>
      <c r="L15460">
        <v>0.67</v>
      </c>
      <c r="M15460">
        <v>1.05</v>
      </c>
      <c r="N15460">
        <v>0.97</v>
      </c>
    </row>
    <row r="15461" spans="1:14" x14ac:dyDescent="0.25">
      <c r="A15461" t="s">
        <v>26075</v>
      </c>
      <c r="B15461" t="s">
        <v>22402</v>
      </c>
      <c r="C15461" s="1" t="str">
        <f>HYPERLINK("http://www.genecards.org/cgi-bin/carddisp.pl?gene=PHKB","GeneCards")</f>
        <v>GeneCards</v>
      </c>
      <c r="D15461" s="1" t="str">
        <f>HYPERLINK("http://genome-euro.ucsc.edu/cgi-bin/hgTracks?position=202738_s_at","UCSC")</f>
        <v>UCSC</v>
      </c>
      <c r="E15461" s="1" t="str">
        <f>HYPERLINK("http://www.ncbi.nlm.nih.gov/gene/?term=PHKB","NCBI")</f>
        <v>NCBI</v>
      </c>
      <c r="F15461">
        <v>0.69</v>
      </c>
      <c r="G15461">
        <v>0.76</v>
      </c>
      <c r="H15461" s="1" t="str">
        <f>HYPERLINK("http://www.weizmann.ac.il/complex/compphys/software/geview/data/figures/202738_s_at.png","Figure")</f>
        <v>Figure</v>
      </c>
      <c r="I15461">
        <v>0.85499999999999998</v>
      </c>
      <c r="J15461">
        <v>0.84</v>
      </c>
      <c r="K15461">
        <v>1.07</v>
      </c>
      <c r="L15461">
        <v>0.95</v>
      </c>
      <c r="M15461">
        <v>1.25</v>
      </c>
      <c r="N15461">
        <v>0.66</v>
      </c>
    </row>
    <row r="15462" spans="1:14" x14ac:dyDescent="0.25">
      <c r="A15462" t="s">
        <v>26076</v>
      </c>
      <c r="B15462" t="s">
        <v>10086</v>
      </c>
      <c r="C15462" s="1" t="str">
        <f>HYPERLINK("http://www.genecards.org/cgi-bin/carddisp.pl?gene=CASP2","GeneCards")</f>
        <v>GeneCards</v>
      </c>
      <c r="D15462" s="1" t="str">
        <f>HYPERLINK("http://genome-euro.ucsc.edu/cgi-bin/hgTracks?position=208050_s_at","UCSC")</f>
        <v>UCSC</v>
      </c>
      <c r="E15462" s="1" t="str">
        <f>HYPERLINK("http://www.ncbi.nlm.nih.gov/gene/?term=CASP2","NCBI")</f>
        <v>NCBI</v>
      </c>
      <c r="F15462">
        <v>0.69</v>
      </c>
      <c r="G15462">
        <v>0.76</v>
      </c>
      <c r="H15462" s="1" t="str">
        <f>HYPERLINK("http://www.weizmann.ac.il/complex/compphys/software/geview/data/figures/208050_s_at.png","Figure")</f>
        <v>Figure</v>
      </c>
      <c r="I15462">
        <v>0.96699999999999997</v>
      </c>
      <c r="J15462">
        <v>0.93</v>
      </c>
      <c r="K15462">
        <v>0.93300000000000005</v>
      </c>
      <c r="L15462">
        <v>0.66</v>
      </c>
      <c r="M15462">
        <v>0.96499999999999997</v>
      </c>
      <c r="N15462">
        <v>0.91</v>
      </c>
    </row>
    <row r="15463" spans="1:14" x14ac:dyDescent="0.25">
      <c r="A15463" t="s">
        <v>26077</v>
      </c>
      <c r="B15463" t="s">
        <v>26078</v>
      </c>
      <c r="C15463" s="1" t="str">
        <f>HYPERLINK("http://www.genecards.org/cgi-bin/carddisp.pl?gene=CDH8","GeneCards")</f>
        <v>GeneCards</v>
      </c>
      <c r="D15463" s="1" t="str">
        <f>HYPERLINK("http://genome-euro.ucsc.edu/cgi-bin/hgTracks?position=210518_at","UCSC")</f>
        <v>UCSC</v>
      </c>
      <c r="E15463" s="1" t="str">
        <f>HYPERLINK("http://www.ncbi.nlm.nih.gov/gene/?term=CDH8","NCBI")</f>
        <v>NCBI</v>
      </c>
      <c r="F15463">
        <v>0.69</v>
      </c>
      <c r="G15463">
        <v>0.76</v>
      </c>
      <c r="H15463" s="1" t="str">
        <f>HYPERLINK("http://www.weizmann.ac.il/complex/compphys/software/geview/data/figures/210518_at.png","Figure")</f>
        <v>Figure</v>
      </c>
      <c r="I15463">
        <v>0.997</v>
      </c>
      <c r="J15463">
        <v>1</v>
      </c>
      <c r="K15463">
        <v>0.97499999999999998</v>
      </c>
      <c r="L15463">
        <v>0.71</v>
      </c>
      <c r="M15463">
        <v>0.97799999999999998</v>
      </c>
      <c r="N15463">
        <v>0.8</v>
      </c>
    </row>
    <row r="15464" spans="1:14" x14ac:dyDescent="0.25">
      <c r="A15464" t="s">
        <v>26079</v>
      </c>
      <c r="B15464" t="s">
        <v>12895</v>
      </c>
      <c r="C15464" s="1" t="str">
        <f>HYPERLINK("http://www.genecards.org/cgi-bin/carddisp.pl?gene=PTEN","GeneCards")</f>
        <v>GeneCards</v>
      </c>
      <c r="D15464" s="1" t="str">
        <f>HYPERLINK("http://genome-euro.ucsc.edu/cgi-bin/hgTracks?position=204054_at","UCSC")</f>
        <v>UCSC</v>
      </c>
      <c r="E15464" s="1" t="str">
        <f>HYPERLINK("http://www.ncbi.nlm.nih.gov/gene/?term=PTEN","NCBI")</f>
        <v>NCBI</v>
      </c>
      <c r="F15464">
        <v>0.69</v>
      </c>
      <c r="G15464">
        <v>0.76</v>
      </c>
      <c r="H15464" s="1" t="str">
        <f>HYPERLINK("http://www.weizmann.ac.il/complex/compphys/software/geview/data/figures/204054_at.png","Figure")</f>
        <v>Figure</v>
      </c>
      <c r="I15464">
        <v>1.02</v>
      </c>
      <c r="J15464">
        <v>0.99</v>
      </c>
      <c r="K15464">
        <v>0.879</v>
      </c>
      <c r="L15464">
        <v>0.77</v>
      </c>
      <c r="M15464">
        <v>0.85899999999999999</v>
      </c>
      <c r="N15464">
        <v>0.73</v>
      </c>
    </row>
    <row r="15465" spans="1:14" x14ac:dyDescent="0.25">
      <c r="A15465" t="s">
        <v>26080</v>
      </c>
      <c r="B15465" t="s">
        <v>26081</v>
      </c>
      <c r="C15465" s="1" t="str">
        <f>HYPERLINK("http://www.genecards.org/cgi-bin/carddisp.pl?gene=NMI","GeneCards")</f>
        <v>GeneCards</v>
      </c>
      <c r="D15465" s="1" t="str">
        <f>HYPERLINK("http://genome-euro.ucsc.edu/cgi-bin/hgTracks?position=203964_at","UCSC")</f>
        <v>UCSC</v>
      </c>
      <c r="E15465" s="1" t="str">
        <f>HYPERLINK("http://www.ncbi.nlm.nih.gov/gene/?term=NMI","NCBI")</f>
        <v>NCBI</v>
      </c>
      <c r="F15465">
        <v>0.69</v>
      </c>
      <c r="G15465">
        <v>0.76</v>
      </c>
      <c r="H15465" s="1" t="str">
        <f>HYPERLINK("http://www.weizmann.ac.il/complex/compphys/software/geview/data/figures/203964_at.png","Figure")</f>
        <v>Figure</v>
      </c>
      <c r="I15465">
        <v>1.06</v>
      </c>
      <c r="J15465">
        <v>0.94</v>
      </c>
      <c r="K15465">
        <v>1.1599999999999999</v>
      </c>
      <c r="L15465">
        <v>0.67</v>
      </c>
      <c r="M15465">
        <v>1.0900000000000001</v>
      </c>
      <c r="N15465">
        <v>0.89</v>
      </c>
    </row>
    <row r="15466" spans="1:14" x14ac:dyDescent="0.25">
      <c r="A15466" t="s">
        <v>26082</v>
      </c>
      <c r="B15466" t="s">
        <v>10025</v>
      </c>
      <c r="C15466" s="1" t="str">
        <f>HYPERLINK("http://www.genecards.org/cgi-bin/carddisp.pl?gene=PLA2G6","GeneCards")</f>
        <v>GeneCards</v>
      </c>
      <c r="D15466" s="1" t="str">
        <f>HYPERLINK("http://genome-euro.ucsc.edu/cgi-bin/hgTracks?position=215938_s_at","UCSC")</f>
        <v>UCSC</v>
      </c>
      <c r="E15466" s="1" t="str">
        <f>HYPERLINK("http://www.ncbi.nlm.nih.gov/gene/?term=PLA2G6","NCBI")</f>
        <v>NCBI</v>
      </c>
      <c r="F15466">
        <v>0.69</v>
      </c>
      <c r="G15466">
        <v>0.76</v>
      </c>
      <c r="H15466" s="1" t="str">
        <f>HYPERLINK("http://www.weizmann.ac.il/complex/compphys/software/geview/data/figures/215938_s_at.png","Figure")</f>
        <v>Figure</v>
      </c>
      <c r="I15466">
        <v>1.07</v>
      </c>
      <c r="J15466">
        <v>0.76</v>
      </c>
      <c r="K15466">
        <v>1.07</v>
      </c>
      <c r="L15466">
        <v>0.71</v>
      </c>
      <c r="M15466">
        <v>0.999</v>
      </c>
      <c r="N15466">
        <v>1</v>
      </c>
    </row>
    <row r="15467" spans="1:14" x14ac:dyDescent="0.25">
      <c r="A15467" t="s">
        <v>26083</v>
      </c>
      <c r="B15467" t="s">
        <v>16495</v>
      </c>
      <c r="C15467" s="1" t="str">
        <f>HYPERLINK("http://www.genecards.org/cgi-bin/carddisp.pl?gene=IDH3G","GeneCards")</f>
        <v>GeneCards</v>
      </c>
      <c r="D15467" s="1" t="str">
        <f>HYPERLINK("http://genome-euro.ucsc.edu/cgi-bin/hgTracks?position=214333_x_at","UCSC")</f>
        <v>UCSC</v>
      </c>
      <c r="E15467" s="1" t="str">
        <f>HYPERLINK("http://www.ncbi.nlm.nih.gov/gene/?term=IDH3G","NCBI")</f>
        <v>NCBI</v>
      </c>
      <c r="F15467">
        <v>0.69</v>
      </c>
      <c r="G15467">
        <v>0.76</v>
      </c>
      <c r="H15467" s="1" t="str">
        <f>HYPERLINK("http://www.weizmann.ac.il/complex/compphys/software/geview/data/figures/214333_x_at.png","Figure")</f>
        <v>Figure</v>
      </c>
      <c r="I15467">
        <v>1.03</v>
      </c>
      <c r="J15467">
        <v>0.96</v>
      </c>
      <c r="K15467">
        <v>1.08</v>
      </c>
      <c r="L15467">
        <v>0.67</v>
      </c>
      <c r="M15467">
        <v>1.05</v>
      </c>
      <c r="N15467">
        <v>0.87</v>
      </c>
    </row>
    <row r="15468" spans="1:14" x14ac:dyDescent="0.25">
      <c r="A15468" t="s">
        <v>26084</v>
      </c>
      <c r="B15468" t="s">
        <v>26085</v>
      </c>
      <c r="C15468" s="1" t="str">
        <f>HYPERLINK("http://www.genecards.org/cgi-bin/carddisp.pl?gene=NEK4","GeneCards")</f>
        <v>GeneCards</v>
      </c>
      <c r="D15468" s="1" t="str">
        <f>HYPERLINK("http://genome-euro.ucsc.edu/cgi-bin/hgTracks?position=204634_at","UCSC")</f>
        <v>UCSC</v>
      </c>
      <c r="E15468" s="1" t="str">
        <f>HYPERLINK("http://www.ncbi.nlm.nih.gov/gene/?term=NEK4","NCBI")</f>
        <v>NCBI</v>
      </c>
      <c r="F15468">
        <v>0.69</v>
      </c>
      <c r="G15468">
        <v>0.76</v>
      </c>
      <c r="H15468" s="1" t="str">
        <f>HYPERLINK("http://www.weizmann.ac.il/complex/compphys/software/geview/data/figures/204634_at.png","Figure")</f>
        <v>Figure</v>
      </c>
      <c r="I15468">
        <v>1.01</v>
      </c>
      <c r="J15468">
        <v>1</v>
      </c>
      <c r="K15468">
        <v>1.2</v>
      </c>
      <c r="L15468">
        <v>0.73</v>
      </c>
      <c r="M15468">
        <v>1.19</v>
      </c>
      <c r="N15468">
        <v>0.77</v>
      </c>
    </row>
    <row r="15469" spans="1:14" x14ac:dyDescent="0.25">
      <c r="A15469" t="s">
        <v>26086</v>
      </c>
      <c r="B15469" t="s">
        <v>13160</v>
      </c>
      <c r="C15469" s="1" t="str">
        <f>HYPERLINK("http://www.genecards.org/cgi-bin/carddisp.pl?gene=TAF9","GeneCards")</f>
        <v>GeneCards</v>
      </c>
      <c r="D15469" s="1" t="str">
        <f>HYPERLINK("http://genome-euro.ucsc.edu/cgi-bin/hgTracks?position=202168_at","UCSC")</f>
        <v>UCSC</v>
      </c>
      <c r="E15469" s="1" t="str">
        <f>HYPERLINK("http://www.ncbi.nlm.nih.gov/gene/?term=TAF9","NCBI")</f>
        <v>NCBI</v>
      </c>
      <c r="F15469">
        <v>0.69</v>
      </c>
      <c r="G15469">
        <v>0.76</v>
      </c>
      <c r="H15469" s="1" t="str">
        <f>HYPERLINK("http://www.weizmann.ac.il/complex/compphys/software/geview/data/figures/202168_at.png","Figure")</f>
        <v>Figure</v>
      </c>
      <c r="I15469">
        <v>0.83399999999999996</v>
      </c>
      <c r="J15469">
        <v>0.67</v>
      </c>
      <c r="K15469">
        <v>0.90500000000000003</v>
      </c>
      <c r="L15469">
        <v>0.85</v>
      </c>
      <c r="M15469">
        <v>1.0900000000000001</v>
      </c>
      <c r="N15469">
        <v>0.91</v>
      </c>
    </row>
    <row r="15470" spans="1:14" x14ac:dyDescent="0.25">
      <c r="A15470" t="s">
        <v>26087</v>
      </c>
      <c r="B15470" t="s">
        <v>26088</v>
      </c>
      <c r="C15470" s="1" t="str">
        <f>HYPERLINK("http://www.genecards.org/cgi-bin/carddisp.pl?gene=NPTX2","GeneCards")</f>
        <v>GeneCards</v>
      </c>
      <c r="D15470" s="1" t="str">
        <f>HYPERLINK("http://genome-euro.ucsc.edu/cgi-bin/hgTracks?position=213479_at","UCSC")</f>
        <v>UCSC</v>
      </c>
      <c r="E15470" s="1" t="str">
        <f>HYPERLINK("http://www.ncbi.nlm.nih.gov/gene/?term=NPTX2","NCBI")</f>
        <v>NCBI</v>
      </c>
      <c r="F15470">
        <v>0.69</v>
      </c>
      <c r="G15470">
        <v>0.76</v>
      </c>
      <c r="H15470" s="1" t="str">
        <f>HYPERLINK("http://www.weizmann.ac.il/complex/compphys/software/geview/data/figures/213479_at.png","Figure")</f>
        <v>Figure</v>
      </c>
      <c r="I15470">
        <v>1.04</v>
      </c>
      <c r="J15470">
        <v>0.94</v>
      </c>
      <c r="K15470">
        <v>0.95499999999999996</v>
      </c>
      <c r="L15470">
        <v>0.86</v>
      </c>
      <c r="M15470">
        <v>0.92300000000000004</v>
      </c>
      <c r="N15470">
        <v>0.68</v>
      </c>
    </row>
    <row r="15471" spans="1:14" x14ac:dyDescent="0.25">
      <c r="A15471" t="s">
        <v>26089</v>
      </c>
      <c r="B15471" t="s">
        <v>26090</v>
      </c>
      <c r="C15471" s="1" t="str">
        <f>HYPERLINK("http://www.genecards.org/cgi-bin/carddisp.pl?gene=ARPC1B","GeneCards")</f>
        <v>GeneCards</v>
      </c>
      <c r="D15471" s="1" t="str">
        <f>HYPERLINK("http://genome-euro.ucsc.edu/cgi-bin/hgTracks?position=201954_at","UCSC")</f>
        <v>UCSC</v>
      </c>
      <c r="E15471" s="1" t="str">
        <f>HYPERLINK("http://www.ncbi.nlm.nih.gov/gene/?term=ARPC1B","NCBI")</f>
        <v>NCBI</v>
      </c>
      <c r="F15471">
        <v>0.69</v>
      </c>
      <c r="G15471">
        <v>0.76</v>
      </c>
      <c r="H15471" s="1" t="str">
        <f>HYPERLINK("http://www.weizmann.ac.il/complex/compphys/software/geview/data/figures/201954_at.png","Figure")</f>
        <v>Figure</v>
      </c>
      <c r="I15471">
        <v>0.99399999999999999</v>
      </c>
      <c r="J15471">
        <v>1</v>
      </c>
      <c r="K15471">
        <v>1.18</v>
      </c>
      <c r="L15471">
        <v>0.74</v>
      </c>
      <c r="M15471">
        <v>1.18</v>
      </c>
      <c r="N15471">
        <v>0.76</v>
      </c>
    </row>
    <row r="15472" spans="1:14" x14ac:dyDescent="0.25">
      <c r="A15472" t="s">
        <v>26091</v>
      </c>
      <c r="B15472" t="s">
        <v>26092</v>
      </c>
      <c r="C15472" s="1" t="str">
        <f>HYPERLINK("http://www.genecards.org/cgi-bin/carddisp.pl?gene=RANBP17","GeneCards")</f>
        <v>GeneCards</v>
      </c>
      <c r="D15472" s="1" t="str">
        <f>HYPERLINK("http://genome-euro.ucsc.edu/cgi-bin/hgTracks?position=219661_at","UCSC")</f>
        <v>UCSC</v>
      </c>
      <c r="E15472" s="1" t="str">
        <f>HYPERLINK("http://www.ncbi.nlm.nih.gov/gene/?term=RANBP17","NCBI")</f>
        <v>NCBI</v>
      </c>
      <c r="F15472">
        <v>0.69</v>
      </c>
      <c r="G15472">
        <v>0.76</v>
      </c>
      <c r="H15472" s="1" t="str">
        <f>HYPERLINK("http://www.weizmann.ac.il/complex/compphys/software/geview/data/figures/219661_at.png","Figure")</f>
        <v>Figure</v>
      </c>
      <c r="I15472">
        <v>1.03</v>
      </c>
      <c r="J15472">
        <v>0.67</v>
      </c>
      <c r="K15472">
        <v>1.01</v>
      </c>
      <c r="L15472">
        <v>0.92</v>
      </c>
      <c r="M15472">
        <v>0.98499999999999999</v>
      </c>
      <c r="N15472">
        <v>0.84</v>
      </c>
    </row>
    <row r="15473" spans="1:14" x14ac:dyDescent="0.25">
      <c r="A15473" t="s">
        <v>26093</v>
      </c>
      <c r="B15473" t="s">
        <v>26094</v>
      </c>
      <c r="C15473" s="1" t="str">
        <f>HYPERLINK("http://www.genecards.org/cgi-bin/carddisp.pl?gene=MYO5C","GeneCards")</f>
        <v>GeneCards</v>
      </c>
      <c r="D15473" s="1" t="str">
        <f>HYPERLINK("http://genome-euro.ucsc.edu/cgi-bin/hgTracks?position=218966_at","UCSC")</f>
        <v>UCSC</v>
      </c>
      <c r="E15473" s="1" t="str">
        <f>HYPERLINK("http://www.ncbi.nlm.nih.gov/gene/?term=MYO5C","NCBI")</f>
        <v>NCBI</v>
      </c>
      <c r="F15473">
        <v>0.69</v>
      </c>
      <c r="G15473">
        <v>0.76</v>
      </c>
      <c r="H15473" s="1" t="str">
        <f>HYPERLINK("http://www.weizmann.ac.il/complex/compphys/software/geview/data/figures/218966_at.png","Figure")</f>
        <v>Figure</v>
      </c>
      <c r="I15473">
        <v>0.90100000000000002</v>
      </c>
      <c r="J15473">
        <v>0.87</v>
      </c>
      <c r="K15473">
        <v>0.85199999999999998</v>
      </c>
      <c r="L15473">
        <v>0.67</v>
      </c>
      <c r="M15473">
        <v>0.94599999999999995</v>
      </c>
      <c r="N15473">
        <v>0.96</v>
      </c>
    </row>
    <row r="15474" spans="1:14" x14ac:dyDescent="0.25">
      <c r="A15474" t="s">
        <v>26095</v>
      </c>
      <c r="B15474" t="s">
        <v>26096</v>
      </c>
      <c r="C15474" s="1" t="str">
        <f>HYPERLINK("http://www.genecards.org/cgi-bin/carddisp.pl?gene=FAF1","GeneCards")</f>
        <v>GeneCards</v>
      </c>
      <c r="D15474" s="1" t="str">
        <f>HYPERLINK("http://genome-euro.ucsc.edu/cgi-bin/hgTracks?position=218080_x_at","UCSC")</f>
        <v>UCSC</v>
      </c>
      <c r="E15474" s="1" t="str">
        <f>HYPERLINK("http://www.ncbi.nlm.nih.gov/gene/?term=FAF1","NCBI")</f>
        <v>NCBI</v>
      </c>
      <c r="F15474">
        <v>0.69</v>
      </c>
      <c r="G15474">
        <v>0.76</v>
      </c>
      <c r="H15474" s="1" t="str">
        <f>HYPERLINK("http://www.weizmann.ac.il/complex/compphys/software/geview/data/figures/218080_x_at.png","Figure")</f>
        <v>Figure</v>
      </c>
      <c r="I15474">
        <v>1.01</v>
      </c>
      <c r="J15474">
        <v>0.99</v>
      </c>
      <c r="K15474">
        <v>1.08</v>
      </c>
      <c r="L15474">
        <v>0.71</v>
      </c>
      <c r="M15474">
        <v>1.07</v>
      </c>
      <c r="N15474">
        <v>0.8</v>
      </c>
    </row>
    <row r="15475" spans="1:14" x14ac:dyDescent="0.25">
      <c r="A15475" t="s">
        <v>26097</v>
      </c>
      <c r="B15475" t="s">
        <v>15208</v>
      </c>
      <c r="C15475" s="1" t="str">
        <f>HYPERLINK("http://www.genecards.org/cgi-bin/carddisp.pl?gene=NF2","GeneCards")</f>
        <v>GeneCards</v>
      </c>
      <c r="D15475" s="1" t="str">
        <f>HYPERLINK("http://genome-euro.ucsc.edu/cgi-bin/hgTracks?position=217150_s_at","UCSC")</f>
        <v>UCSC</v>
      </c>
      <c r="E15475" s="1" t="str">
        <f>HYPERLINK("http://www.ncbi.nlm.nih.gov/gene/?term=NF2","NCBI")</f>
        <v>NCBI</v>
      </c>
      <c r="F15475">
        <v>0.69</v>
      </c>
      <c r="G15475">
        <v>0.76</v>
      </c>
      <c r="H15475" s="1" t="str">
        <f>HYPERLINK("http://www.weizmann.ac.il/complex/compphys/software/geview/data/figures/217150_s_at.png","Figure")</f>
        <v>Figure</v>
      </c>
      <c r="I15475">
        <v>0.94</v>
      </c>
      <c r="J15475">
        <v>0.8</v>
      </c>
      <c r="K15475">
        <v>0.93300000000000005</v>
      </c>
      <c r="L15475">
        <v>0.69</v>
      </c>
      <c r="M15475">
        <v>0.99299999999999999</v>
      </c>
      <c r="N15475">
        <v>1</v>
      </c>
    </row>
    <row r="15476" spans="1:14" x14ac:dyDescent="0.25">
      <c r="A15476" t="s">
        <v>26098</v>
      </c>
      <c r="B15476" t="s">
        <v>26099</v>
      </c>
      <c r="C15476" s="1" t="str">
        <f>HYPERLINK("http://www.genecards.org/cgi-bin/carddisp.pl?gene=SULT1A1","GeneCards")</f>
        <v>GeneCards</v>
      </c>
      <c r="D15476" s="1" t="str">
        <f>HYPERLINK("http://genome-euro.ucsc.edu/cgi-bin/hgTracks?position=203615_x_at","UCSC")</f>
        <v>UCSC</v>
      </c>
      <c r="E15476" s="1" t="str">
        <f>HYPERLINK("http://www.ncbi.nlm.nih.gov/gene/?term=SULT1A1","NCBI")</f>
        <v>NCBI</v>
      </c>
      <c r="F15476">
        <v>0.69</v>
      </c>
      <c r="G15476">
        <v>0.76</v>
      </c>
      <c r="H15476" s="1" t="str">
        <f>HYPERLINK("http://www.weizmann.ac.il/complex/compphys/software/geview/data/figures/203615_x_at.png","Figure")</f>
        <v>Figure</v>
      </c>
      <c r="I15476">
        <v>1.1499999999999999</v>
      </c>
      <c r="J15476">
        <v>0.76</v>
      </c>
      <c r="K15476">
        <v>1.1399999999999999</v>
      </c>
      <c r="L15476">
        <v>0.72</v>
      </c>
      <c r="M15476">
        <v>0.995</v>
      </c>
      <c r="N15476">
        <v>1</v>
      </c>
    </row>
    <row r="15477" spans="1:14" x14ac:dyDescent="0.25">
      <c r="A15477" t="s">
        <v>26100</v>
      </c>
      <c r="B15477" t="s">
        <v>26101</v>
      </c>
      <c r="C15477" s="1" t="str">
        <f>HYPERLINK("http://www.genecards.org/cgi-bin/carddisp.pl?gene=NFYA","GeneCards")</f>
        <v>GeneCards</v>
      </c>
      <c r="D15477" s="1" t="str">
        <f>HYPERLINK("http://genome-euro.ucsc.edu/cgi-bin/hgTracks?position=204109_s_at","UCSC")</f>
        <v>UCSC</v>
      </c>
      <c r="E15477" s="1" t="str">
        <f>HYPERLINK("http://www.ncbi.nlm.nih.gov/gene/?term=NFYA","NCBI")</f>
        <v>NCBI</v>
      </c>
      <c r="F15477">
        <v>0.69</v>
      </c>
      <c r="G15477">
        <v>0.76</v>
      </c>
      <c r="H15477" s="1" t="str">
        <f>HYPERLINK("http://www.weizmann.ac.il/complex/compphys/software/geview/data/figures/204109_s_at.png","Figure")</f>
        <v>Figure</v>
      </c>
      <c r="I15477">
        <v>1.19</v>
      </c>
      <c r="J15477">
        <v>0.69</v>
      </c>
      <c r="K15477">
        <v>1.03</v>
      </c>
      <c r="L15477">
        <v>0.98</v>
      </c>
      <c r="M15477">
        <v>0.87</v>
      </c>
      <c r="N15477">
        <v>0.76</v>
      </c>
    </row>
    <row r="15478" spans="1:14" x14ac:dyDescent="0.25">
      <c r="A15478" t="s">
        <v>26102</v>
      </c>
      <c r="B15478" t="s">
        <v>26103</v>
      </c>
      <c r="C15478" s="1" t="str">
        <f>HYPERLINK("http://www.genecards.org/cgi-bin/carddisp.pl?gene=APOC2","GeneCards")</f>
        <v>GeneCards</v>
      </c>
      <c r="D15478" s="1" t="str">
        <f>HYPERLINK("http://genome-euro.ucsc.edu/cgi-bin/hgTracks?position=204561_x_at","UCSC")</f>
        <v>UCSC</v>
      </c>
      <c r="E15478" s="1" t="str">
        <f>HYPERLINK("http://www.ncbi.nlm.nih.gov/gene/?term=APOC2","NCBI")</f>
        <v>NCBI</v>
      </c>
      <c r="F15478">
        <v>0.69</v>
      </c>
      <c r="G15478">
        <v>0.76</v>
      </c>
      <c r="H15478" s="1" t="str">
        <f>HYPERLINK("http://www.weizmann.ac.il/complex/compphys/software/geview/data/figures/204561_x_at.png","Figure")</f>
        <v>Figure</v>
      </c>
      <c r="I15478">
        <v>1.06</v>
      </c>
      <c r="J15478">
        <v>0.72</v>
      </c>
      <c r="K15478">
        <v>1</v>
      </c>
      <c r="L15478">
        <v>1</v>
      </c>
      <c r="M15478">
        <v>0.95</v>
      </c>
      <c r="N15478">
        <v>0.72</v>
      </c>
    </row>
    <row r="15479" spans="1:14" x14ac:dyDescent="0.25">
      <c r="A15479" t="s">
        <v>26104</v>
      </c>
      <c r="B15479" t="s">
        <v>13835</v>
      </c>
      <c r="C15479" s="1" t="str">
        <f>HYPERLINK("http://www.genecards.org/cgi-bin/carddisp.pl?gene=KIAA0195","GeneCards")</f>
        <v>GeneCards</v>
      </c>
      <c r="D15479" s="1" t="str">
        <f>HYPERLINK("http://genome-euro.ucsc.edu/cgi-bin/hgTracks?position=202650_s_at","UCSC")</f>
        <v>UCSC</v>
      </c>
      <c r="E15479" s="1" t="str">
        <f>HYPERLINK("http://www.ncbi.nlm.nih.gov/gene/?term=KIAA0195","NCBI")</f>
        <v>NCBI</v>
      </c>
      <c r="F15479">
        <v>0.69</v>
      </c>
      <c r="G15479">
        <v>0.76</v>
      </c>
      <c r="H15479" s="1" t="str">
        <f>HYPERLINK("http://www.weizmann.ac.il/complex/compphys/software/geview/data/figures/202650_s_at.png","Figure")</f>
        <v>Figure</v>
      </c>
      <c r="I15479">
        <v>0.89600000000000002</v>
      </c>
      <c r="J15479">
        <v>0.7</v>
      </c>
      <c r="K15479">
        <v>0.98099999999999998</v>
      </c>
      <c r="L15479">
        <v>0.98</v>
      </c>
      <c r="M15479">
        <v>1.0900000000000001</v>
      </c>
      <c r="N15479">
        <v>0.76</v>
      </c>
    </row>
    <row r="15480" spans="1:14" x14ac:dyDescent="0.25">
      <c r="A15480" t="s">
        <v>26105</v>
      </c>
      <c r="B15480" t="s">
        <v>14781</v>
      </c>
      <c r="C15480" s="1" t="str">
        <f>HYPERLINK("http://www.genecards.org/cgi-bin/carddisp.pl?gene=PDLIM7","GeneCards")</f>
        <v>GeneCards</v>
      </c>
      <c r="D15480" s="1" t="str">
        <f>HYPERLINK("http://genome-euro.ucsc.edu/cgi-bin/hgTracks?position=203370_s_at","UCSC")</f>
        <v>UCSC</v>
      </c>
      <c r="E15480" s="1" t="str">
        <f>HYPERLINK("http://www.ncbi.nlm.nih.gov/gene/?term=PDLIM7","NCBI")</f>
        <v>NCBI</v>
      </c>
      <c r="F15480">
        <v>0.69</v>
      </c>
      <c r="G15480">
        <v>0.76</v>
      </c>
      <c r="H15480" s="1" t="str">
        <f>HYPERLINK("http://www.weizmann.ac.il/complex/compphys/software/geview/data/figures/203370_s_at.png","Figure")</f>
        <v>Figure</v>
      </c>
      <c r="I15480">
        <v>1.1599999999999999</v>
      </c>
      <c r="J15480">
        <v>0.7</v>
      </c>
      <c r="K15480">
        <v>1.02</v>
      </c>
      <c r="L15480">
        <v>0.99</v>
      </c>
      <c r="M15480">
        <v>0.88400000000000001</v>
      </c>
      <c r="N15480">
        <v>0.75</v>
      </c>
    </row>
    <row r="15481" spans="1:14" x14ac:dyDescent="0.25">
      <c r="A15481" t="s">
        <v>26106</v>
      </c>
      <c r="B15481" t="s">
        <v>26107</v>
      </c>
      <c r="C15481" s="1" t="str">
        <f>HYPERLINK("http://www.genecards.org/cgi-bin/carddisp.pl?gene=TARP","GeneCards")</f>
        <v>GeneCards</v>
      </c>
      <c r="D15481" s="1" t="str">
        <f>HYPERLINK("http://genome-euro.ucsc.edu/cgi-bin/hgTracks?position=209813_x_at","UCSC")</f>
        <v>UCSC</v>
      </c>
      <c r="E15481" s="1" t="str">
        <f>HYPERLINK("http://www.ncbi.nlm.nih.gov/gene/?term=TARP","NCBI")</f>
        <v>NCBI</v>
      </c>
      <c r="F15481">
        <v>0.69</v>
      </c>
      <c r="G15481">
        <v>0.76</v>
      </c>
      <c r="H15481" s="1" t="str">
        <f>HYPERLINK("http://www.weizmann.ac.il/complex/compphys/software/geview/data/figures/209813_x_at.png","Figure")</f>
        <v>Figure</v>
      </c>
      <c r="I15481">
        <v>0.77500000000000002</v>
      </c>
      <c r="J15481">
        <v>0.71</v>
      </c>
      <c r="K15481">
        <v>0.82399999999999995</v>
      </c>
      <c r="L15481">
        <v>0.77</v>
      </c>
      <c r="M15481">
        <v>1.06</v>
      </c>
      <c r="N15481">
        <v>0.98</v>
      </c>
    </row>
    <row r="15482" spans="1:14" x14ac:dyDescent="0.25">
      <c r="A15482" t="s">
        <v>26108</v>
      </c>
      <c r="B15482" t="s">
        <v>26109</v>
      </c>
      <c r="C15482" s="1" t="str">
        <f>HYPERLINK("http://www.genecards.org/cgi-bin/carddisp.pl?gene=ALAS1","GeneCards")</f>
        <v>GeneCards</v>
      </c>
      <c r="D15482" s="1" t="str">
        <f>HYPERLINK("http://genome-euro.ucsc.edu/cgi-bin/hgTracks?position=205633_s_at","UCSC")</f>
        <v>UCSC</v>
      </c>
      <c r="E15482" s="1" t="str">
        <f>HYPERLINK("http://www.ncbi.nlm.nih.gov/gene/?term=ALAS1","NCBI")</f>
        <v>NCBI</v>
      </c>
      <c r="F15482">
        <v>0.69</v>
      </c>
      <c r="G15482">
        <v>0.76</v>
      </c>
      <c r="H15482" s="1" t="str">
        <f>HYPERLINK("http://www.weizmann.ac.il/complex/compphys/software/geview/data/figures/205633_s_at.png","Figure")</f>
        <v>Figure</v>
      </c>
      <c r="I15482">
        <v>0.81100000000000005</v>
      </c>
      <c r="J15482">
        <v>0.67</v>
      </c>
      <c r="K15482">
        <v>0.90900000000000003</v>
      </c>
      <c r="L15482">
        <v>0.89</v>
      </c>
      <c r="M15482">
        <v>1.1200000000000001</v>
      </c>
      <c r="N15482">
        <v>0.87</v>
      </c>
    </row>
    <row r="15483" spans="1:14" x14ac:dyDescent="0.25">
      <c r="A15483" t="s">
        <v>26110</v>
      </c>
      <c r="B15483" t="s">
        <v>20869</v>
      </c>
      <c r="C15483" s="1" t="str">
        <f>HYPERLINK("http://www.genecards.org/cgi-bin/carddisp.pl?gene=RING1","GeneCards")</f>
        <v>GeneCards</v>
      </c>
      <c r="D15483" s="1" t="str">
        <f>HYPERLINK("http://genome-euro.ucsc.edu/cgi-bin/hgTracks?position=208371_s_at","UCSC")</f>
        <v>UCSC</v>
      </c>
      <c r="E15483" s="1" t="str">
        <f>HYPERLINK("http://www.ncbi.nlm.nih.gov/gene/?term=RING1","NCBI")</f>
        <v>NCBI</v>
      </c>
      <c r="F15483">
        <v>0.69</v>
      </c>
      <c r="G15483">
        <v>0.76</v>
      </c>
      <c r="H15483" s="1" t="str">
        <f>HYPERLINK("http://www.weizmann.ac.il/complex/compphys/software/geview/data/figures/208371_s_at.png","Figure")</f>
        <v>Figure</v>
      </c>
      <c r="I15483">
        <v>0.96199999999999997</v>
      </c>
      <c r="J15483">
        <v>0.97</v>
      </c>
      <c r="K15483">
        <v>1.0900000000000001</v>
      </c>
      <c r="L15483">
        <v>0.82</v>
      </c>
      <c r="M15483">
        <v>1.1299999999999999</v>
      </c>
      <c r="N15483">
        <v>0.7</v>
      </c>
    </row>
    <row r="15484" spans="1:14" x14ac:dyDescent="0.25">
      <c r="A15484" t="s">
        <v>26111</v>
      </c>
      <c r="B15484" t="s">
        <v>26112</v>
      </c>
      <c r="C15484" s="1" t="str">
        <f>HYPERLINK("http://www.genecards.org/cgi-bin/carddisp.pl?gene=KIAA0913 /// SAT1","GeneCards")</f>
        <v>GeneCards</v>
      </c>
      <c r="D15484" s="1" t="str">
        <f>HYPERLINK("http://genome-euro.ucsc.edu/cgi-bin/hgTracks?position=210593_at","UCSC")</f>
        <v>UCSC</v>
      </c>
      <c r="E15484" s="1" t="str">
        <f>HYPERLINK("http://www.ncbi.nlm.nih.gov/gene/?term=KIAA0913 /// SAT1","NCBI")</f>
        <v>NCBI</v>
      </c>
      <c r="F15484">
        <v>0.69</v>
      </c>
      <c r="G15484">
        <v>0.76</v>
      </c>
      <c r="H15484" s="1" t="str">
        <f>HYPERLINK("http://www.weizmann.ac.il/complex/compphys/software/geview/data/figures/210593_at.png","Figure")</f>
        <v>Figure</v>
      </c>
      <c r="I15484">
        <v>1.02</v>
      </c>
      <c r="J15484">
        <v>0.69</v>
      </c>
      <c r="K15484">
        <v>1</v>
      </c>
      <c r="L15484">
        <v>0.98</v>
      </c>
      <c r="M15484">
        <v>0.98299999999999998</v>
      </c>
      <c r="N15484">
        <v>0.76</v>
      </c>
    </row>
    <row r="15485" spans="1:14" x14ac:dyDescent="0.25">
      <c r="A15485" t="s">
        <v>26113</v>
      </c>
      <c r="B15485" t="s">
        <v>15038</v>
      </c>
      <c r="C15485" s="1" t="str">
        <f>HYPERLINK("http://www.genecards.org/cgi-bin/carddisp.pl?gene=JUN","GeneCards")</f>
        <v>GeneCards</v>
      </c>
      <c r="D15485" s="1" t="str">
        <f>HYPERLINK("http://genome-euro.ucsc.edu/cgi-bin/hgTracks?position=201464_x_at","UCSC")</f>
        <v>UCSC</v>
      </c>
      <c r="E15485" s="1" t="str">
        <f>HYPERLINK("http://www.ncbi.nlm.nih.gov/gene/?term=JUN","NCBI")</f>
        <v>NCBI</v>
      </c>
      <c r="F15485">
        <v>0.69</v>
      </c>
      <c r="G15485">
        <v>0.76</v>
      </c>
      <c r="H15485" s="1" t="str">
        <f>HYPERLINK("http://www.weizmann.ac.il/complex/compphys/software/geview/data/figures/201464_x_at.png","Figure")</f>
        <v>Figure</v>
      </c>
      <c r="I15485">
        <v>1.46</v>
      </c>
      <c r="J15485">
        <v>0.67</v>
      </c>
      <c r="K15485">
        <v>1.1599999999999999</v>
      </c>
      <c r="L15485">
        <v>0.92</v>
      </c>
      <c r="M15485">
        <v>0.79700000000000004</v>
      </c>
      <c r="N15485">
        <v>0.84</v>
      </c>
    </row>
    <row r="15486" spans="1:14" x14ac:dyDescent="0.25">
      <c r="A15486" t="s">
        <v>26114</v>
      </c>
      <c r="B15486" t="s">
        <v>14863</v>
      </c>
      <c r="C15486" s="1" t="str">
        <f>HYPERLINK("http://www.genecards.org/cgi-bin/carddisp.pl?gene=INPP5D","GeneCards")</f>
        <v>GeneCards</v>
      </c>
      <c r="D15486" s="1" t="str">
        <f>HYPERLINK("http://genome-euro.ucsc.edu/cgi-bin/hgTracks?position=203331_s_at","UCSC")</f>
        <v>UCSC</v>
      </c>
      <c r="E15486" s="1" t="str">
        <f>HYPERLINK("http://www.ncbi.nlm.nih.gov/gene/?term=INPP5D","NCBI")</f>
        <v>NCBI</v>
      </c>
      <c r="F15486">
        <v>0.69</v>
      </c>
      <c r="G15486">
        <v>0.76</v>
      </c>
      <c r="H15486" s="1" t="str">
        <f>HYPERLINK("http://www.weizmann.ac.il/complex/compphys/software/geview/data/figures/203331_s_at.png","Figure")</f>
        <v>Figure</v>
      </c>
      <c r="I15486">
        <v>1.07</v>
      </c>
      <c r="J15486">
        <v>0.67</v>
      </c>
      <c r="K15486">
        <v>1.04</v>
      </c>
      <c r="L15486">
        <v>0.88</v>
      </c>
      <c r="M15486">
        <v>0.96399999999999997</v>
      </c>
      <c r="N15486">
        <v>0.89</v>
      </c>
    </row>
    <row r="15487" spans="1:14" x14ac:dyDescent="0.25">
      <c r="A15487" t="s">
        <v>26115</v>
      </c>
      <c r="B15487" t="s">
        <v>26116</v>
      </c>
      <c r="C15487" s="1" t="str">
        <f>HYPERLINK("http://www.genecards.org/cgi-bin/carddisp.pl?gene=XPO7","GeneCards")</f>
        <v>GeneCards</v>
      </c>
      <c r="D15487" s="1" t="str">
        <f>HYPERLINK("http://genome-euro.ucsc.edu/cgi-bin/hgTracks?position=208459_s_at","UCSC")</f>
        <v>UCSC</v>
      </c>
      <c r="E15487" s="1" t="str">
        <f>HYPERLINK("http://www.ncbi.nlm.nih.gov/gene/?term=XPO7","NCBI")</f>
        <v>NCBI</v>
      </c>
      <c r="F15487">
        <v>0.69</v>
      </c>
      <c r="G15487">
        <v>0.76</v>
      </c>
      <c r="H15487" s="1" t="str">
        <f>HYPERLINK("http://www.weizmann.ac.il/complex/compphys/software/geview/data/figures/208459_s_at.png","Figure")</f>
        <v>Figure</v>
      </c>
      <c r="I15487">
        <v>1.02</v>
      </c>
      <c r="J15487">
        <v>0.98</v>
      </c>
      <c r="K15487">
        <v>1.0900000000000001</v>
      </c>
      <c r="L15487">
        <v>0.69</v>
      </c>
      <c r="M15487">
        <v>1.06</v>
      </c>
      <c r="N15487">
        <v>0.85</v>
      </c>
    </row>
    <row r="15488" spans="1:14" x14ac:dyDescent="0.25">
      <c r="A15488" t="s">
        <v>26117</v>
      </c>
      <c r="B15488" t="s">
        <v>22805</v>
      </c>
      <c r="C15488" s="1" t="str">
        <f>HYPERLINK("http://www.genecards.org/cgi-bin/carddisp.pl?gene=NLRP1","GeneCards")</f>
        <v>GeneCards</v>
      </c>
      <c r="D15488" s="1" t="str">
        <f>HYPERLINK("http://genome-euro.ucsc.edu/cgi-bin/hgTracks?position=211822_s_at","UCSC")</f>
        <v>UCSC</v>
      </c>
      <c r="E15488" s="1" t="str">
        <f>HYPERLINK("http://www.ncbi.nlm.nih.gov/gene/?term=NLRP1","NCBI")</f>
        <v>NCBI</v>
      </c>
      <c r="F15488">
        <v>0.69</v>
      </c>
      <c r="G15488">
        <v>0.76</v>
      </c>
      <c r="H15488" s="1" t="str">
        <f>HYPERLINK("http://www.weizmann.ac.il/complex/compphys/software/geview/data/figures/211822_s_at.png","Figure")</f>
        <v>Figure</v>
      </c>
      <c r="I15488">
        <v>0.85599999999999998</v>
      </c>
      <c r="J15488">
        <v>0.82</v>
      </c>
      <c r="K15488">
        <v>0.82699999999999996</v>
      </c>
      <c r="L15488">
        <v>0.68</v>
      </c>
      <c r="M15488">
        <v>0.96599999999999997</v>
      </c>
      <c r="N15488">
        <v>0.99</v>
      </c>
    </row>
    <row r="15489" spans="1:14" x14ac:dyDescent="0.25">
      <c r="A15489" t="s">
        <v>26118</v>
      </c>
      <c r="B15489" t="s">
        <v>26119</v>
      </c>
      <c r="C15489" s="1" t="str">
        <f>HYPERLINK("http://www.genecards.org/cgi-bin/carddisp.pl?gene=TTC13","GeneCards")</f>
        <v>GeneCards</v>
      </c>
      <c r="D15489" s="1" t="str">
        <f>HYPERLINK("http://genome-euro.ucsc.edu/cgi-bin/hgTracks?position=219481_at","UCSC")</f>
        <v>UCSC</v>
      </c>
      <c r="E15489" s="1" t="str">
        <f>HYPERLINK("http://www.ncbi.nlm.nih.gov/gene/?term=TTC13","NCBI")</f>
        <v>NCBI</v>
      </c>
      <c r="F15489">
        <v>0.69</v>
      </c>
      <c r="G15489">
        <v>0.76</v>
      </c>
      <c r="H15489" s="1" t="str">
        <f>HYPERLINK("http://www.weizmann.ac.il/complex/compphys/software/geview/data/figures/219481_at.png","Figure")</f>
        <v>Figure</v>
      </c>
      <c r="I15489">
        <v>1.19</v>
      </c>
      <c r="J15489">
        <v>0.73</v>
      </c>
      <c r="K15489">
        <v>1.1499999999999999</v>
      </c>
      <c r="L15489">
        <v>0.75</v>
      </c>
      <c r="M15489">
        <v>0.97199999999999998</v>
      </c>
      <c r="N15489">
        <v>0.99</v>
      </c>
    </row>
    <row r="15490" spans="1:14" x14ac:dyDescent="0.25">
      <c r="A15490" t="s">
        <v>26120</v>
      </c>
      <c r="B15490" t="s">
        <v>13019</v>
      </c>
      <c r="C15490" s="1" t="str">
        <f>HYPERLINK("http://www.genecards.org/cgi-bin/carddisp.pl?gene=MRP63","GeneCards")</f>
        <v>GeneCards</v>
      </c>
      <c r="D15490" s="1" t="str">
        <f>HYPERLINK("http://genome-euro.ucsc.edu/cgi-bin/hgTracks?position=204387_x_at","UCSC")</f>
        <v>UCSC</v>
      </c>
      <c r="E15490" s="1" t="str">
        <f>HYPERLINK("http://www.ncbi.nlm.nih.gov/gene/?term=MRP63","NCBI")</f>
        <v>NCBI</v>
      </c>
      <c r="F15490">
        <v>0.69</v>
      </c>
      <c r="G15490">
        <v>0.76</v>
      </c>
      <c r="H15490" s="1" t="str">
        <f>HYPERLINK("http://www.weizmann.ac.il/complex/compphys/software/geview/data/figures/204387_x_at.png","Figure")</f>
        <v>Figure</v>
      </c>
      <c r="I15490">
        <v>1.19</v>
      </c>
      <c r="J15490">
        <v>0.73</v>
      </c>
      <c r="K15490">
        <v>1</v>
      </c>
      <c r="L15490">
        <v>1</v>
      </c>
      <c r="M15490">
        <v>0.84699999999999998</v>
      </c>
      <c r="N15490">
        <v>0.72</v>
      </c>
    </row>
    <row r="15491" spans="1:14" x14ac:dyDescent="0.25">
      <c r="A15491" t="s">
        <v>26121</v>
      </c>
      <c r="B15491" t="s">
        <v>19156</v>
      </c>
      <c r="C15491" s="1" t="str">
        <f>HYPERLINK("http://www.genecards.org/cgi-bin/carddisp.pl?gene=GDPD5","GeneCards")</f>
        <v>GeneCards</v>
      </c>
      <c r="D15491" s="1" t="str">
        <f>HYPERLINK("http://genome-euro.ucsc.edu/cgi-bin/hgTracks?position=213343_s_at","UCSC")</f>
        <v>UCSC</v>
      </c>
      <c r="E15491" s="1" t="str">
        <f>HYPERLINK("http://www.ncbi.nlm.nih.gov/gene/?term=GDPD5","NCBI")</f>
        <v>NCBI</v>
      </c>
      <c r="F15491">
        <v>0.69</v>
      </c>
      <c r="G15491">
        <v>0.76</v>
      </c>
      <c r="H15491" s="1" t="str">
        <f>HYPERLINK("http://www.weizmann.ac.il/complex/compphys/software/geview/data/figures/213343_s_at.png","Figure")</f>
        <v>Figure</v>
      </c>
      <c r="I15491">
        <v>1.08</v>
      </c>
      <c r="J15491">
        <v>0.67</v>
      </c>
      <c r="K15491">
        <v>1.04</v>
      </c>
      <c r="L15491">
        <v>0.87</v>
      </c>
      <c r="M15491">
        <v>0.96199999999999997</v>
      </c>
      <c r="N15491">
        <v>0.89</v>
      </c>
    </row>
    <row r="15492" spans="1:14" x14ac:dyDescent="0.25">
      <c r="A15492" t="s">
        <v>26122</v>
      </c>
      <c r="B15492" t="s">
        <v>26123</v>
      </c>
      <c r="C15492" s="1" t="str">
        <f>HYPERLINK("http://www.genecards.org/cgi-bin/carddisp.pl?gene=ADCY6","GeneCards")</f>
        <v>GeneCards</v>
      </c>
      <c r="D15492" s="1" t="str">
        <f>HYPERLINK("http://genome-euro.ucsc.edu/cgi-bin/hgTracks?position=209195_s_at","UCSC")</f>
        <v>UCSC</v>
      </c>
      <c r="E15492" s="1" t="str">
        <f>HYPERLINK("http://www.ncbi.nlm.nih.gov/gene/?term=ADCY6","NCBI")</f>
        <v>NCBI</v>
      </c>
      <c r="F15492">
        <v>0.69</v>
      </c>
      <c r="G15492">
        <v>0.76</v>
      </c>
      <c r="H15492" s="1" t="str">
        <f>HYPERLINK("http://www.weizmann.ac.il/complex/compphys/software/geview/data/figures/209195_s_at.png","Figure")</f>
        <v>Figure</v>
      </c>
      <c r="I15492">
        <v>1.0900000000000001</v>
      </c>
      <c r="J15492">
        <v>0.67</v>
      </c>
      <c r="K15492">
        <v>1.03</v>
      </c>
      <c r="L15492">
        <v>0.92</v>
      </c>
      <c r="M15492">
        <v>0.95</v>
      </c>
      <c r="N15492">
        <v>0.84</v>
      </c>
    </row>
    <row r="15493" spans="1:14" x14ac:dyDescent="0.25">
      <c r="A15493" t="s">
        <v>26124</v>
      </c>
      <c r="B15493" t="s">
        <v>22003</v>
      </c>
      <c r="C15493" s="1" t="str">
        <f>HYPERLINK("http://www.genecards.org/cgi-bin/carddisp.pl?gene=GOSR1","GeneCards")</f>
        <v>GeneCards</v>
      </c>
      <c r="D15493" s="1" t="str">
        <f>HYPERLINK("http://genome-euro.ucsc.edu/cgi-bin/hgTracks?position=204630_s_at","UCSC")</f>
        <v>UCSC</v>
      </c>
      <c r="E15493" s="1" t="str">
        <f>HYPERLINK("http://www.ncbi.nlm.nih.gov/gene/?term=GOSR1","NCBI")</f>
        <v>NCBI</v>
      </c>
      <c r="F15493">
        <v>0.69</v>
      </c>
      <c r="G15493">
        <v>0.76</v>
      </c>
      <c r="H15493" s="1" t="str">
        <f>HYPERLINK("http://www.weizmann.ac.il/complex/compphys/software/geview/data/figures/204630_s_at.png","Figure")</f>
        <v>Figure</v>
      </c>
      <c r="I15493">
        <v>0.84899999999999998</v>
      </c>
      <c r="J15493">
        <v>0.69</v>
      </c>
      <c r="K15493">
        <v>0.89700000000000002</v>
      </c>
      <c r="L15493">
        <v>0.81</v>
      </c>
      <c r="M15493">
        <v>1.06</v>
      </c>
      <c r="N15493">
        <v>0.95</v>
      </c>
    </row>
    <row r="15494" spans="1:14" x14ac:dyDescent="0.25">
      <c r="A15494" t="s">
        <v>26125</v>
      </c>
      <c r="B15494" t="s">
        <v>24505</v>
      </c>
      <c r="C15494" s="1" t="str">
        <f>HYPERLINK("http://www.genecards.org/cgi-bin/carddisp.pl?gene=APOM","GeneCards")</f>
        <v>GeneCards</v>
      </c>
      <c r="D15494" s="1" t="str">
        <f>HYPERLINK("http://genome-euro.ucsc.edu/cgi-bin/hgTracks?position=205682_x_at","UCSC")</f>
        <v>UCSC</v>
      </c>
      <c r="E15494" s="1" t="str">
        <f>HYPERLINK("http://www.ncbi.nlm.nih.gov/gene/?term=APOM","NCBI")</f>
        <v>NCBI</v>
      </c>
      <c r="F15494">
        <v>0.69</v>
      </c>
      <c r="G15494">
        <v>0.76</v>
      </c>
      <c r="H15494" s="1" t="str">
        <f>HYPERLINK("http://www.weizmann.ac.il/complex/compphys/software/geview/data/figures/205682_x_at.png","Figure")</f>
        <v>Figure</v>
      </c>
      <c r="I15494">
        <v>0.94</v>
      </c>
      <c r="J15494">
        <v>0.75</v>
      </c>
      <c r="K15494">
        <v>1</v>
      </c>
      <c r="L15494">
        <v>1</v>
      </c>
      <c r="M15494">
        <v>1.07</v>
      </c>
      <c r="N15494">
        <v>0.7</v>
      </c>
    </row>
    <row r="15495" spans="1:14" x14ac:dyDescent="0.25">
      <c r="A15495" t="s">
        <v>26126</v>
      </c>
      <c r="B15495" t="s">
        <v>22362</v>
      </c>
      <c r="C15495" s="1" t="str">
        <f>HYPERLINK("http://www.genecards.org/cgi-bin/carddisp.pl?gene=BCLAF1","GeneCards")</f>
        <v>GeneCards</v>
      </c>
      <c r="D15495" s="1" t="str">
        <f>HYPERLINK("http://genome-euro.ucsc.edu/cgi-bin/hgTracks?position=201084_s_at","UCSC")</f>
        <v>UCSC</v>
      </c>
      <c r="E15495" s="1" t="str">
        <f>HYPERLINK("http://www.ncbi.nlm.nih.gov/gene/?term=BCLAF1","NCBI")</f>
        <v>NCBI</v>
      </c>
      <c r="F15495">
        <v>0.69</v>
      </c>
      <c r="G15495">
        <v>0.76</v>
      </c>
      <c r="H15495" s="1" t="str">
        <f>HYPERLINK("http://www.weizmann.ac.il/complex/compphys/software/geview/data/figures/201084_s_at.png","Figure")</f>
        <v>Figure</v>
      </c>
      <c r="I15495">
        <v>1.01</v>
      </c>
      <c r="J15495">
        <v>1</v>
      </c>
      <c r="K15495">
        <v>0.85699999999999998</v>
      </c>
      <c r="L15495">
        <v>0.75</v>
      </c>
      <c r="M15495">
        <v>0.85199999999999998</v>
      </c>
      <c r="N15495">
        <v>0.76</v>
      </c>
    </row>
    <row r="15496" spans="1:14" x14ac:dyDescent="0.25">
      <c r="A15496" t="s">
        <v>26127</v>
      </c>
      <c r="B15496" t="s">
        <v>25539</v>
      </c>
      <c r="C15496" s="1" t="str">
        <f>HYPERLINK("http://www.genecards.org/cgi-bin/carddisp.pl?gene=GTDC1","GeneCards")</f>
        <v>GeneCards</v>
      </c>
      <c r="D15496" s="1" t="str">
        <f>HYPERLINK("http://genome-euro.ucsc.edu/cgi-bin/hgTracks?position=219770_at","UCSC")</f>
        <v>UCSC</v>
      </c>
      <c r="E15496" s="1" t="str">
        <f>HYPERLINK("http://www.ncbi.nlm.nih.gov/gene/?term=GTDC1","NCBI")</f>
        <v>NCBI</v>
      </c>
      <c r="F15496">
        <v>0.69</v>
      </c>
      <c r="G15496">
        <v>0.76</v>
      </c>
      <c r="H15496" s="1" t="str">
        <f>HYPERLINK("http://www.weizmann.ac.il/complex/compphys/software/geview/data/figures/219770_at.png","Figure")</f>
        <v>Figure</v>
      </c>
      <c r="I15496">
        <v>0.88500000000000001</v>
      </c>
      <c r="J15496">
        <v>0.68</v>
      </c>
      <c r="K15496">
        <v>0.95899999999999996</v>
      </c>
      <c r="L15496">
        <v>0.94</v>
      </c>
      <c r="M15496">
        <v>1.08</v>
      </c>
      <c r="N15496">
        <v>0.82</v>
      </c>
    </row>
    <row r="15497" spans="1:14" x14ac:dyDescent="0.25">
      <c r="A15497" t="s">
        <v>26128</v>
      </c>
      <c r="B15497" t="s">
        <v>26129</v>
      </c>
      <c r="C15497" s="1" t="str">
        <f>HYPERLINK("http://www.genecards.org/cgi-bin/carddisp.pl?gene=PLOD1","GeneCards")</f>
        <v>GeneCards</v>
      </c>
      <c r="D15497" s="1" t="str">
        <f>HYPERLINK("http://genome-euro.ucsc.edu/cgi-bin/hgTracks?position=200827_at","UCSC")</f>
        <v>UCSC</v>
      </c>
      <c r="E15497" s="1" t="str">
        <f>HYPERLINK("http://www.ncbi.nlm.nih.gov/gene/?term=PLOD1","NCBI")</f>
        <v>NCBI</v>
      </c>
      <c r="F15497">
        <v>0.7</v>
      </c>
      <c r="G15497">
        <v>0.76</v>
      </c>
      <c r="H15497" s="1" t="str">
        <f>HYPERLINK("http://www.weizmann.ac.il/complex/compphys/software/geview/data/figures/200827_at.png","Figure")</f>
        <v>Figure</v>
      </c>
      <c r="I15497">
        <v>1.04</v>
      </c>
      <c r="J15497">
        <v>0.8</v>
      </c>
      <c r="K15497">
        <v>1.05</v>
      </c>
      <c r="L15497">
        <v>0.7</v>
      </c>
      <c r="M15497">
        <v>1</v>
      </c>
      <c r="N15497">
        <v>1</v>
      </c>
    </row>
    <row r="15498" spans="1:14" x14ac:dyDescent="0.25">
      <c r="A15498" t="s">
        <v>26130</v>
      </c>
      <c r="B15498" t="s">
        <v>26131</v>
      </c>
      <c r="C15498" s="1" t="str">
        <f>HYPERLINK("http://www.genecards.org/cgi-bin/carddisp.pl?gene=ARL6IP1","GeneCards")</f>
        <v>GeneCards</v>
      </c>
      <c r="D15498" s="1" t="str">
        <f>HYPERLINK("http://genome-euro.ucsc.edu/cgi-bin/hgTracks?position=211935_at","UCSC")</f>
        <v>UCSC</v>
      </c>
      <c r="E15498" s="1" t="str">
        <f>HYPERLINK("http://www.ncbi.nlm.nih.gov/gene/?term=ARL6IP1","NCBI")</f>
        <v>NCBI</v>
      </c>
      <c r="F15498">
        <v>0.7</v>
      </c>
      <c r="G15498">
        <v>0.76</v>
      </c>
      <c r="H15498" s="1" t="str">
        <f>HYPERLINK("http://www.weizmann.ac.il/complex/compphys/software/geview/data/figures/211935_at.png","Figure")</f>
        <v>Figure</v>
      </c>
      <c r="I15498">
        <v>1.1000000000000001</v>
      </c>
      <c r="J15498">
        <v>0.71</v>
      </c>
      <c r="K15498">
        <v>1.01</v>
      </c>
      <c r="L15498">
        <v>0.99</v>
      </c>
      <c r="M15498">
        <v>0.91900000000000004</v>
      </c>
      <c r="N15498">
        <v>0.74</v>
      </c>
    </row>
    <row r="15499" spans="1:14" x14ac:dyDescent="0.25">
      <c r="A15499" t="s">
        <v>26132</v>
      </c>
      <c r="B15499" t="s">
        <v>26133</v>
      </c>
      <c r="C15499" s="1" t="str">
        <f>HYPERLINK("http://www.genecards.org/cgi-bin/carddisp.pl?gene=PTH1R","GeneCards")</f>
        <v>GeneCards</v>
      </c>
      <c r="D15499" s="1" t="str">
        <f>HYPERLINK("http://genome-euro.ucsc.edu/cgi-bin/hgTracks?position=205911_at","UCSC")</f>
        <v>UCSC</v>
      </c>
      <c r="E15499" s="1" t="str">
        <f>HYPERLINK("http://www.ncbi.nlm.nih.gov/gene/?term=PTH1R","NCBI")</f>
        <v>NCBI</v>
      </c>
      <c r="F15499">
        <v>0.7</v>
      </c>
      <c r="G15499">
        <v>0.76</v>
      </c>
      <c r="H15499" s="1" t="str">
        <f>HYPERLINK("http://www.weizmann.ac.il/complex/compphys/software/geview/data/figures/205911_at.png","Figure")</f>
        <v>Figure</v>
      </c>
      <c r="I15499">
        <v>1.02</v>
      </c>
      <c r="J15499">
        <v>0.92</v>
      </c>
      <c r="K15499">
        <v>1.05</v>
      </c>
      <c r="L15499">
        <v>0.67</v>
      </c>
      <c r="M15499">
        <v>1.02</v>
      </c>
      <c r="N15499">
        <v>0.92</v>
      </c>
    </row>
    <row r="15500" spans="1:14" x14ac:dyDescent="0.25">
      <c r="A15500" t="s">
        <v>26134</v>
      </c>
      <c r="B15500" t="s">
        <v>26135</v>
      </c>
      <c r="C15500" s="1" t="str">
        <f>HYPERLINK("http://www.genecards.org/cgi-bin/carddisp.pl?gene=SPINK4","GeneCards")</f>
        <v>GeneCards</v>
      </c>
      <c r="D15500" s="1" t="str">
        <f>HYPERLINK("http://genome-euro.ucsc.edu/cgi-bin/hgTracks?position=207214_at","UCSC")</f>
        <v>UCSC</v>
      </c>
      <c r="E15500" s="1" t="str">
        <f>HYPERLINK("http://www.ncbi.nlm.nih.gov/gene/?term=SPINK4","NCBI")</f>
        <v>NCBI</v>
      </c>
      <c r="F15500">
        <v>0.7</v>
      </c>
      <c r="G15500">
        <v>0.76</v>
      </c>
      <c r="H15500" s="1" t="str">
        <f>HYPERLINK("http://www.weizmann.ac.il/complex/compphys/software/geview/data/figures/207214_at.png","Figure")</f>
        <v>Figure</v>
      </c>
      <c r="I15500">
        <v>1.07</v>
      </c>
      <c r="J15500">
        <v>0.68</v>
      </c>
      <c r="K15500">
        <v>1.04</v>
      </c>
      <c r="L15500">
        <v>0.86</v>
      </c>
      <c r="M15500">
        <v>0.96799999999999997</v>
      </c>
      <c r="N15500">
        <v>0.91</v>
      </c>
    </row>
    <row r="15501" spans="1:14" x14ac:dyDescent="0.25">
      <c r="A15501" t="s">
        <v>26136</v>
      </c>
      <c r="B15501" t="s">
        <v>26137</v>
      </c>
      <c r="C15501" s="1" t="str">
        <f>HYPERLINK("http://www.genecards.org/cgi-bin/carddisp.pl?gene=SLC37A1","GeneCards")</f>
        <v>GeneCards</v>
      </c>
      <c r="D15501" s="1" t="str">
        <f>HYPERLINK("http://genome-euro.ucsc.edu/cgi-bin/hgTracks?position=218928_s_at","UCSC")</f>
        <v>UCSC</v>
      </c>
      <c r="E15501" s="1" t="str">
        <f>HYPERLINK("http://www.ncbi.nlm.nih.gov/gene/?term=SLC37A1","NCBI")</f>
        <v>NCBI</v>
      </c>
      <c r="F15501">
        <v>0.7</v>
      </c>
      <c r="G15501">
        <v>0.76</v>
      </c>
      <c r="H15501" s="1" t="str">
        <f>HYPERLINK("http://www.weizmann.ac.il/complex/compphys/software/geview/data/figures/218928_s_at.png","Figure")</f>
        <v>Figure</v>
      </c>
      <c r="I15501">
        <v>0.97499999999999998</v>
      </c>
      <c r="J15501">
        <v>0.98</v>
      </c>
      <c r="K15501">
        <v>1.08</v>
      </c>
      <c r="L15501">
        <v>0.81</v>
      </c>
      <c r="M15501">
        <v>1.1100000000000001</v>
      </c>
      <c r="N15501">
        <v>0.72</v>
      </c>
    </row>
    <row r="15502" spans="1:14" x14ac:dyDescent="0.25">
      <c r="A15502" t="s">
        <v>26138</v>
      </c>
      <c r="B15502" t="s">
        <v>26139</v>
      </c>
      <c r="C15502" s="1" t="str">
        <f>HYPERLINK("http://www.genecards.org/cgi-bin/carddisp.pl?gene=IFT52","GeneCards")</f>
        <v>GeneCards</v>
      </c>
      <c r="D15502" s="1" t="str">
        <f>HYPERLINK("http://genome-euro.ucsc.edu/cgi-bin/hgTracks?position=218709_s_at","UCSC")</f>
        <v>UCSC</v>
      </c>
      <c r="E15502" s="1" t="str">
        <f>HYPERLINK("http://www.ncbi.nlm.nih.gov/gene/?term=IFT52","NCBI")</f>
        <v>NCBI</v>
      </c>
      <c r="F15502">
        <v>0.7</v>
      </c>
      <c r="G15502">
        <v>0.76</v>
      </c>
      <c r="H15502" s="1" t="str">
        <f>HYPERLINK("http://www.weizmann.ac.il/complex/compphys/software/geview/data/figures/218709_s_at.png","Figure")</f>
        <v>Figure</v>
      </c>
      <c r="I15502">
        <v>0.94899999999999995</v>
      </c>
      <c r="J15502">
        <v>0.9</v>
      </c>
      <c r="K15502">
        <v>1.04</v>
      </c>
      <c r="L15502">
        <v>0.91</v>
      </c>
      <c r="M15502">
        <v>1.1000000000000001</v>
      </c>
      <c r="N15502">
        <v>0.67</v>
      </c>
    </row>
    <row r="15503" spans="1:14" x14ac:dyDescent="0.25">
      <c r="A15503" t="s">
        <v>26140</v>
      </c>
      <c r="B15503" t="s">
        <v>26141</v>
      </c>
      <c r="C15503" s="1" t="str">
        <f>HYPERLINK("http://www.genecards.org/cgi-bin/carddisp.pl?gene=C12orf4","GeneCards")</f>
        <v>GeneCards</v>
      </c>
      <c r="D15503" s="1" t="str">
        <f>HYPERLINK("http://genome-euro.ucsc.edu/cgi-bin/hgTracks?position=218374_s_at","UCSC")</f>
        <v>UCSC</v>
      </c>
      <c r="E15503" s="1" t="str">
        <f>HYPERLINK("http://www.ncbi.nlm.nih.gov/gene/?term=C12orf4","NCBI")</f>
        <v>NCBI</v>
      </c>
      <c r="F15503">
        <v>0.7</v>
      </c>
      <c r="G15503">
        <v>0.76</v>
      </c>
      <c r="H15503" s="1" t="str">
        <f>HYPERLINK("http://www.weizmann.ac.il/complex/compphys/software/geview/data/figures/218374_s_at.png","Figure")</f>
        <v>Figure</v>
      </c>
      <c r="I15503">
        <v>1.17</v>
      </c>
      <c r="J15503">
        <v>0.7</v>
      </c>
      <c r="K15503">
        <v>1.03</v>
      </c>
      <c r="L15503">
        <v>0.98</v>
      </c>
      <c r="M15503">
        <v>0.88</v>
      </c>
      <c r="N15503">
        <v>0.76</v>
      </c>
    </row>
    <row r="15504" spans="1:14" x14ac:dyDescent="0.25">
      <c r="A15504" t="s">
        <v>26142</v>
      </c>
      <c r="B15504" t="s">
        <v>26143</v>
      </c>
      <c r="C15504" s="1" t="str">
        <f>HYPERLINK("http://www.genecards.org/cgi-bin/carddisp.pl?gene=HOMER3","GeneCards")</f>
        <v>GeneCards</v>
      </c>
      <c r="D15504" s="1" t="str">
        <f>HYPERLINK("http://genome-euro.ucsc.edu/cgi-bin/hgTracks?position=215489_x_at","UCSC")</f>
        <v>UCSC</v>
      </c>
      <c r="E15504" s="1" t="str">
        <f>HYPERLINK("http://www.ncbi.nlm.nih.gov/gene/?term=HOMER3","NCBI")</f>
        <v>NCBI</v>
      </c>
      <c r="F15504">
        <v>0.7</v>
      </c>
      <c r="G15504">
        <v>0.76</v>
      </c>
      <c r="H15504" s="1" t="str">
        <f>HYPERLINK("http://www.weizmann.ac.il/complex/compphys/software/geview/data/figures/215489_x_at.png","Figure")</f>
        <v>Figure</v>
      </c>
      <c r="I15504">
        <v>1.06</v>
      </c>
      <c r="J15504">
        <v>0.67</v>
      </c>
      <c r="K15504">
        <v>1.03</v>
      </c>
      <c r="L15504">
        <v>0.87</v>
      </c>
      <c r="M15504">
        <v>0.97099999999999997</v>
      </c>
      <c r="N15504">
        <v>0.9</v>
      </c>
    </row>
    <row r="15505" spans="1:14" x14ac:dyDescent="0.25">
      <c r="A15505" t="s">
        <v>26144</v>
      </c>
      <c r="B15505" t="s">
        <v>19263</v>
      </c>
      <c r="C15505" s="1" t="str">
        <f>HYPERLINK("http://www.genecards.org/cgi-bin/carddisp.pl?gene=CHD9","GeneCards")</f>
        <v>GeneCards</v>
      </c>
      <c r="D15505" s="1" t="str">
        <f>HYPERLINK("http://genome-euro.ucsc.edu/cgi-bin/hgTracks?position=212616_at","UCSC")</f>
        <v>UCSC</v>
      </c>
      <c r="E15505" s="1" t="str">
        <f>HYPERLINK("http://www.ncbi.nlm.nih.gov/gene/?term=CHD9","NCBI")</f>
        <v>NCBI</v>
      </c>
      <c r="F15505">
        <v>0.7</v>
      </c>
      <c r="G15505">
        <v>0.76</v>
      </c>
      <c r="H15505" s="1" t="str">
        <f>HYPERLINK("http://www.weizmann.ac.il/complex/compphys/software/geview/data/figures/212616_at.png","Figure")</f>
        <v>Figure</v>
      </c>
      <c r="I15505">
        <v>0.87</v>
      </c>
      <c r="J15505">
        <v>0.77</v>
      </c>
      <c r="K15505">
        <v>1.01</v>
      </c>
      <c r="L15505">
        <v>1</v>
      </c>
      <c r="M15505">
        <v>1.17</v>
      </c>
      <c r="N15505">
        <v>0.7</v>
      </c>
    </row>
    <row r="15506" spans="1:14" x14ac:dyDescent="0.25">
      <c r="A15506" t="s">
        <v>26145</v>
      </c>
      <c r="B15506" t="s">
        <v>12525</v>
      </c>
      <c r="C15506" s="1" t="str">
        <f>HYPERLINK("http://www.genecards.org/cgi-bin/carddisp.pl?gene=GRB10","GeneCards")</f>
        <v>GeneCards</v>
      </c>
      <c r="D15506" s="1" t="str">
        <f>HYPERLINK("http://genome-euro.ucsc.edu/cgi-bin/hgTracks?position=210999_s_at","UCSC")</f>
        <v>UCSC</v>
      </c>
      <c r="E15506" s="1" t="str">
        <f>HYPERLINK("http://www.ncbi.nlm.nih.gov/gene/?term=GRB10","NCBI")</f>
        <v>NCBI</v>
      </c>
      <c r="F15506">
        <v>0.7</v>
      </c>
      <c r="G15506">
        <v>0.76</v>
      </c>
      <c r="H15506" s="1" t="str">
        <f>HYPERLINK("http://www.weizmann.ac.il/complex/compphys/software/geview/data/figures/210999_s_at.png","Figure")</f>
        <v>Figure</v>
      </c>
      <c r="I15506">
        <v>1.1499999999999999</v>
      </c>
      <c r="J15506">
        <v>0.72</v>
      </c>
      <c r="K15506">
        <v>1.01</v>
      </c>
      <c r="L15506">
        <v>1</v>
      </c>
      <c r="M15506">
        <v>0.88400000000000001</v>
      </c>
      <c r="N15506">
        <v>0.74</v>
      </c>
    </row>
    <row r="15507" spans="1:14" x14ac:dyDescent="0.25">
      <c r="A15507" t="s">
        <v>26146</v>
      </c>
      <c r="B15507" t="s">
        <v>15120</v>
      </c>
      <c r="C15507" s="1" t="str">
        <f>HYPERLINK("http://www.genecards.org/cgi-bin/carddisp.pl?gene=RAB3GAP1","GeneCards")</f>
        <v>GeneCards</v>
      </c>
      <c r="D15507" s="1" t="str">
        <f>HYPERLINK("http://genome-euro.ucsc.edu/cgi-bin/hgTracks?position=212932_at","UCSC")</f>
        <v>UCSC</v>
      </c>
      <c r="E15507" s="1" t="str">
        <f>HYPERLINK("http://www.ncbi.nlm.nih.gov/gene/?term=RAB3GAP1","NCBI")</f>
        <v>NCBI</v>
      </c>
      <c r="F15507">
        <v>0.7</v>
      </c>
      <c r="G15507">
        <v>0.76</v>
      </c>
      <c r="H15507" s="1" t="str">
        <f>HYPERLINK("http://www.weizmann.ac.il/complex/compphys/software/geview/data/figures/212932_at.png","Figure")</f>
        <v>Figure</v>
      </c>
      <c r="I15507">
        <v>0.90500000000000003</v>
      </c>
      <c r="J15507">
        <v>0.7</v>
      </c>
      <c r="K15507">
        <v>0.98399999999999999</v>
      </c>
      <c r="L15507">
        <v>0.99</v>
      </c>
      <c r="M15507">
        <v>1.0900000000000001</v>
      </c>
      <c r="N15507">
        <v>0.76</v>
      </c>
    </row>
    <row r="15508" spans="1:14" x14ac:dyDescent="0.25">
      <c r="A15508" t="s">
        <v>26147</v>
      </c>
      <c r="B15508" t="s">
        <v>13500</v>
      </c>
      <c r="C15508" s="1" t="str">
        <f>HYPERLINK("http://www.genecards.org/cgi-bin/carddisp.pl?gene=HIC2","GeneCards")</f>
        <v>GeneCards</v>
      </c>
      <c r="D15508" s="1" t="str">
        <f>HYPERLINK("http://genome-euro.ucsc.edu/cgi-bin/hgTracks?position=212964_at","UCSC")</f>
        <v>UCSC</v>
      </c>
      <c r="E15508" s="1" t="str">
        <f>HYPERLINK("http://www.ncbi.nlm.nih.gov/gene/?term=HIC2","NCBI")</f>
        <v>NCBI</v>
      </c>
      <c r="F15508">
        <v>0.7</v>
      </c>
      <c r="G15508">
        <v>0.76</v>
      </c>
      <c r="H15508" s="1" t="str">
        <f>HYPERLINK("http://www.weizmann.ac.il/complex/compphys/software/geview/data/figures/212964_at.png","Figure")</f>
        <v>Figure</v>
      </c>
      <c r="I15508">
        <v>0.91</v>
      </c>
      <c r="J15508">
        <v>0.92</v>
      </c>
      <c r="K15508">
        <v>0.83599999999999997</v>
      </c>
      <c r="L15508">
        <v>0.67</v>
      </c>
      <c r="M15508">
        <v>0.91900000000000004</v>
      </c>
      <c r="N15508">
        <v>0.92</v>
      </c>
    </row>
    <row r="15509" spans="1:14" x14ac:dyDescent="0.25">
      <c r="A15509" t="s">
        <v>26148</v>
      </c>
      <c r="B15509" t="s">
        <v>26149</v>
      </c>
      <c r="C15509" s="1" t="str">
        <f>HYPERLINK("http://www.genecards.org/cgi-bin/carddisp.pl?gene=NNMT","GeneCards")</f>
        <v>GeneCards</v>
      </c>
      <c r="D15509" s="1" t="str">
        <f>HYPERLINK("http://genome-euro.ucsc.edu/cgi-bin/hgTracks?position=202237_at","UCSC")</f>
        <v>UCSC</v>
      </c>
      <c r="E15509" s="1" t="str">
        <f>HYPERLINK("http://www.ncbi.nlm.nih.gov/gene/?term=NNMT","NCBI")</f>
        <v>NCBI</v>
      </c>
      <c r="F15509">
        <v>0.7</v>
      </c>
      <c r="G15509">
        <v>0.76</v>
      </c>
      <c r="H15509" s="1" t="str">
        <f>HYPERLINK("http://www.weizmann.ac.il/complex/compphys/software/geview/data/figures/202237_at.png","Figure")</f>
        <v>Figure</v>
      </c>
      <c r="I15509">
        <v>1</v>
      </c>
      <c r="J15509">
        <v>0.93</v>
      </c>
      <c r="K15509">
        <v>0.998</v>
      </c>
      <c r="L15509">
        <v>0.88</v>
      </c>
      <c r="M15509">
        <v>0.997</v>
      </c>
      <c r="N15509">
        <v>0.68</v>
      </c>
    </row>
    <row r="15510" spans="1:14" x14ac:dyDescent="0.25">
      <c r="A15510" t="s">
        <v>26150</v>
      </c>
      <c r="B15510" t="s">
        <v>26151</v>
      </c>
      <c r="C15510" s="1" t="str">
        <f>HYPERLINK("http://www.genecards.org/cgi-bin/carddisp.pl?gene=TMPRSS11D","GeneCards")</f>
        <v>GeneCards</v>
      </c>
      <c r="D15510" s="1" t="str">
        <f>HYPERLINK("http://genome-euro.ucsc.edu/cgi-bin/hgTracks?position=207602_at","UCSC")</f>
        <v>UCSC</v>
      </c>
      <c r="E15510" s="1" t="str">
        <f>HYPERLINK("http://www.ncbi.nlm.nih.gov/gene/?term=TMPRSS11D","NCBI")</f>
        <v>NCBI</v>
      </c>
      <c r="F15510">
        <v>0.7</v>
      </c>
      <c r="G15510">
        <v>0.76</v>
      </c>
      <c r="H15510" s="1" t="str">
        <f>HYPERLINK("http://www.weizmann.ac.il/complex/compphys/software/geview/data/figures/207602_at.png","Figure")</f>
        <v>Figure</v>
      </c>
      <c r="I15510">
        <v>1.03</v>
      </c>
      <c r="J15510">
        <v>0.91</v>
      </c>
      <c r="K15510">
        <v>1.06</v>
      </c>
      <c r="L15510">
        <v>0.67</v>
      </c>
      <c r="M15510">
        <v>1.03</v>
      </c>
      <c r="N15510">
        <v>0.93</v>
      </c>
    </row>
    <row r="15511" spans="1:14" x14ac:dyDescent="0.25">
      <c r="A15511" t="s">
        <v>26152</v>
      </c>
      <c r="B15511" t="s">
        <v>26153</v>
      </c>
      <c r="C15511" s="1" t="str">
        <f>HYPERLINK("http://www.genecards.org/cgi-bin/carddisp.pl?gene=LOC100101116 /// TTTY1","GeneCards")</f>
        <v>GeneCards</v>
      </c>
      <c r="D15511" s="1" t="str">
        <f>HYPERLINK("http://genome-euro.ucsc.edu/cgi-bin/hgTracks?position=216673_at","UCSC")</f>
        <v>UCSC</v>
      </c>
      <c r="E15511" s="1" t="str">
        <f>HYPERLINK("http://www.ncbi.nlm.nih.gov/gene/?term=LOC100101116 /// TTTY1","NCBI")</f>
        <v>NCBI</v>
      </c>
      <c r="F15511">
        <v>0.7</v>
      </c>
      <c r="G15511">
        <v>0.76</v>
      </c>
      <c r="H15511" s="1" t="str">
        <f>HYPERLINK("http://www.weizmann.ac.il/complex/compphys/software/geview/data/figures/216673_at.png","Figure")</f>
        <v>Figure</v>
      </c>
      <c r="I15511">
        <v>1.01</v>
      </c>
      <c r="J15511">
        <v>0.93</v>
      </c>
      <c r="K15511">
        <v>0.99199999999999999</v>
      </c>
      <c r="L15511">
        <v>0.88</v>
      </c>
      <c r="M15511">
        <v>0.98499999999999999</v>
      </c>
      <c r="N15511">
        <v>0.68</v>
      </c>
    </row>
    <row r="15512" spans="1:14" x14ac:dyDescent="0.25">
      <c r="A15512" t="s">
        <v>26154</v>
      </c>
      <c r="B15512" t="s">
        <v>24015</v>
      </c>
      <c r="C15512" s="1" t="str">
        <f>HYPERLINK("http://www.genecards.org/cgi-bin/carddisp.pl?gene=CNR1","GeneCards")</f>
        <v>GeneCards</v>
      </c>
      <c r="D15512" s="1" t="str">
        <f>HYPERLINK("http://genome-euro.ucsc.edu/cgi-bin/hgTracks?position=207940_x_at","UCSC")</f>
        <v>UCSC</v>
      </c>
      <c r="E15512" s="1" t="str">
        <f>HYPERLINK("http://www.ncbi.nlm.nih.gov/gene/?term=CNR1","NCBI")</f>
        <v>NCBI</v>
      </c>
      <c r="F15512">
        <v>0.7</v>
      </c>
      <c r="G15512">
        <v>0.76</v>
      </c>
      <c r="H15512" s="1" t="str">
        <f>HYPERLINK("http://www.weizmann.ac.il/complex/compphys/software/geview/data/figures/207940_x_at.png","Figure")</f>
        <v>Figure</v>
      </c>
      <c r="I15512">
        <v>1.04</v>
      </c>
      <c r="J15512">
        <v>0.72</v>
      </c>
      <c r="K15512">
        <v>1.03</v>
      </c>
      <c r="L15512">
        <v>0.76</v>
      </c>
      <c r="M15512">
        <v>0.99299999999999999</v>
      </c>
      <c r="N15512">
        <v>0.99</v>
      </c>
    </row>
    <row r="15513" spans="1:14" x14ac:dyDescent="0.25">
      <c r="A15513" t="s">
        <v>26155</v>
      </c>
      <c r="B15513" t="s">
        <v>26156</v>
      </c>
      <c r="C15513" s="1" t="str">
        <f>HYPERLINK("http://www.genecards.org/cgi-bin/carddisp.pl?gene=LOC100129648","GeneCards")</f>
        <v>GeneCards</v>
      </c>
      <c r="D15513" s="1" t="str">
        <f>HYPERLINK("http://genome-euro.ucsc.edu/cgi-bin/hgTracks?position=215675_at","UCSC")</f>
        <v>UCSC</v>
      </c>
      <c r="E15513" s="1" t="str">
        <f>HYPERLINK("http://www.ncbi.nlm.nih.gov/gene/?term=LOC100129648","NCBI")</f>
        <v>NCBI</v>
      </c>
      <c r="F15513">
        <v>0.7</v>
      </c>
      <c r="G15513">
        <v>0.76</v>
      </c>
      <c r="H15513" s="1" t="str">
        <f>HYPERLINK("http://www.weizmann.ac.il/complex/compphys/software/geview/data/figures/215675_at.png","Figure")</f>
        <v>Figure</v>
      </c>
      <c r="I15513">
        <v>1</v>
      </c>
      <c r="J15513">
        <v>1</v>
      </c>
      <c r="K15513">
        <v>1.03</v>
      </c>
      <c r="L15513">
        <v>0.75</v>
      </c>
      <c r="M15513">
        <v>1.03</v>
      </c>
      <c r="N15513">
        <v>0.77</v>
      </c>
    </row>
    <row r="15514" spans="1:14" x14ac:dyDescent="0.25">
      <c r="A15514" t="s">
        <v>26157</v>
      </c>
      <c r="B15514" t="s">
        <v>26158</v>
      </c>
      <c r="C15514" s="1" t="str">
        <f>HYPERLINK("http://www.genecards.org/cgi-bin/carddisp.pl?gene=FBLN5","GeneCards")</f>
        <v>GeneCards</v>
      </c>
      <c r="D15514" s="1" t="str">
        <f>HYPERLINK("http://genome-euro.ucsc.edu/cgi-bin/hgTracks?position=203088_at","UCSC")</f>
        <v>UCSC</v>
      </c>
      <c r="E15514" s="1" t="str">
        <f>HYPERLINK("http://www.ncbi.nlm.nih.gov/gene/?term=FBLN5","NCBI")</f>
        <v>NCBI</v>
      </c>
      <c r="F15514">
        <v>0.7</v>
      </c>
      <c r="G15514">
        <v>0.76</v>
      </c>
      <c r="H15514" s="1" t="str">
        <f>HYPERLINK("http://www.weizmann.ac.il/complex/compphys/software/geview/data/figures/203088_at.png","Figure")</f>
        <v>Figure</v>
      </c>
      <c r="I15514">
        <v>1.02</v>
      </c>
      <c r="J15514">
        <v>0.95</v>
      </c>
      <c r="K15514">
        <v>1.06</v>
      </c>
      <c r="L15514">
        <v>0.68</v>
      </c>
      <c r="M15514">
        <v>1.03</v>
      </c>
      <c r="N15514">
        <v>0.89</v>
      </c>
    </row>
    <row r="15515" spans="1:14" x14ac:dyDescent="0.25">
      <c r="A15515" t="s">
        <v>26159</v>
      </c>
      <c r="B15515" t="s">
        <v>26160</v>
      </c>
      <c r="C15515" s="1" t="str">
        <f>HYPERLINK("http://www.genecards.org/cgi-bin/carddisp.pl?gene=SLC22A4","GeneCards")</f>
        <v>GeneCards</v>
      </c>
      <c r="D15515" s="1" t="str">
        <f>HYPERLINK("http://genome-euro.ucsc.edu/cgi-bin/hgTracks?position=205896_at","UCSC")</f>
        <v>UCSC</v>
      </c>
      <c r="E15515" s="1" t="str">
        <f>HYPERLINK("http://www.ncbi.nlm.nih.gov/gene/?term=SLC22A4","NCBI")</f>
        <v>NCBI</v>
      </c>
      <c r="F15515">
        <v>0.7</v>
      </c>
      <c r="G15515">
        <v>0.76</v>
      </c>
      <c r="H15515" s="1" t="str">
        <f>HYPERLINK("http://www.weizmann.ac.il/complex/compphys/software/geview/data/figures/205896_at.png","Figure")</f>
        <v>Figure</v>
      </c>
      <c r="I15515">
        <v>0.95899999999999996</v>
      </c>
      <c r="J15515">
        <v>0.87</v>
      </c>
      <c r="K15515">
        <v>0.93899999999999995</v>
      </c>
      <c r="L15515">
        <v>0.68</v>
      </c>
      <c r="M15515">
        <v>0.97899999999999998</v>
      </c>
      <c r="N15515">
        <v>0.96</v>
      </c>
    </row>
    <row r="15516" spans="1:14" x14ac:dyDescent="0.25">
      <c r="A15516" t="s">
        <v>26161</v>
      </c>
      <c r="B15516" t="s">
        <v>23124</v>
      </c>
      <c r="C15516" s="1" t="str">
        <f>HYPERLINK("http://www.genecards.org/cgi-bin/carddisp.pl?gene=RHD","GeneCards")</f>
        <v>GeneCards</v>
      </c>
      <c r="D15516" s="1" t="str">
        <f>HYPERLINK("http://genome-euro.ucsc.edu/cgi-bin/hgTracks?position=210586_x_at","UCSC")</f>
        <v>UCSC</v>
      </c>
      <c r="E15516" s="1" t="str">
        <f>HYPERLINK("http://www.ncbi.nlm.nih.gov/gene/?term=RHD","NCBI")</f>
        <v>NCBI</v>
      </c>
      <c r="F15516">
        <v>0.7</v>
      </c>
      <c r="G15516">
        <v>0.76</v>
      </c>
      <c r="H15516" s="1" t="str">
        <f>HYPERLINK("http://www.weizmann.ac.il/complex/compphys/software/geview/data/figures/210586_x_at.png","Figure")</f>
        <v>Figure</v>
      </c>
      <c r="I15516">
        <v>1.19</v>
      </c>
      <c r="J15516">
        <v>0.76</v>
      </c>
      <c r="K15516">
        <v>0.99</v>
      </c>
      <c r="L15516">
        <v>1</v>
      </c>
      <c r="M15516">
        <v>0.83199999999999996</v>
      </c>
      <c r="N15516">
        <v>0.7</v>
      </c>
    </row>
    <row r="15517" spans="1:14" x14ac:dyDescent="0.25">
      <c r="A15517" t="s">
        <v>26162</v>
      </c>
      <c r="B15517" t="s">
        <v>26163</v>
      </c>
      <c r="C15517" s="1" t="str">
        <f>HYPERLINK("http://www.genecards.org/cgi-bin/carddisp.pl?gene=NAPG","GeneCards")</f>
        <v>GeneCards</v>
      </c>
      <c r="D15517" s="1" t="str">
        <f>HYPERLINK("http://genome-euro.ucsc.edu/cgi-bin/hgTracks?position=210048_at","UCSC")</f>
        <v>UCSC</v>
      </c>
      <c r="E15517" s="1" t="str">
        <f>HYPERLINK("http://www.ncbi.nlm.nih.gov/gene/?term=NAPG","NCBI")</f>
        <v>NCBI</v>
      </c>
      <c r="F15517">
        <v>0.7</v>
      </c>
      <c r="G15517">
        <v>0.77</v>
      </c>
      <c r="H15517" s="1" t="str">
        <f>HYPERLINK("http://www.weizmann.ac.il/complex/compphys/software/geview/data/figures/210048_at.png","Figure")</f>
        <v>Figure</v>
      </c>
      <c r="I15517">
        <v>1.08</v>
      </c>
      <c r="J15517">
        <v>0.88</v>
      </c>
      <c r="K15517">
        <v>0.95</v>
      </c>
      <c r="L15517">
        <v>0.93</v>
      </c>
      <c r="M15517">
        <v>0.879</v>
      </c>
      <c r="N15517">
        <v>0.67</v>
      </c>
    </row>
    <row r="15518" spans="1:14" x14ac:dyDescent="0.25">
      <c r="A15518" t="s">
        <v>26164</v>
      </c>
      <c r="B15518" t="s">
        <v>26165</v>
      </c>
      <c r="C15518" s="1" t="str">
        <f>HYPERLINK("http://www.genecards.org/cgi-bin/carddisp.pl?gene=PRH1 /// PRH2","GeneCards")</f>
        <v>GeneCards</v>
      </c>
      <c r="D15518" s="1" t="str">
        <f>HYPERLINK("http://genome-euro.ucsc.edu/cgi-bin/hgTracks?position=205272_s_at","UCSC")</f>
        <v>UCSC</v>
      </c>
      <c r="E15518" s="1" t="str">
        <f>HYPERLINK("http://www.ncbi.nlm.nih.gov/gene/?term=PRH1 /// PRH2","NCBI")</f>
        <v>NCBI</v>
      </c>
      <c r="F15518">
        <v>0.7</v>
      </c>
      <c r="G15518">
        <v>0.77</v>
      </c>
      <c r="H15518" s="1" t="str">
        <f>HYPERLINK("http://www.weizmann.ac.il/complex/compphys/software/geview/data/figures/205272_s_at.png","Figure")</f>
        <v>Figure</v>
      </c>
      <c r="I15518">
        <v>1.05</v>
      </c>
      <c r="J15518">
        <v>0.68</v>
      </c>
      <c r="K15518">
        <v>1.03</v>
      </c>
      <c r="L15518">
        <v>0.85</v>
      </c>
      <c r="M15518">
        <v>0.97799999999999998</v>
      </c>
      <c r="N15518">
        <v>0.91</v>
      </c>
    </row>
    <row r="15519" spans="1:14" x14ac:dyDescent="0.25">
      <c r="A15519" t="s">
        <v>26166</v>
      </c>
      <c r="B15519" t="s">
        <v>3859</v>
      </c>
      <c r="C15519" s="1" t="str">
        <f>HYPERLINK("http://www.genecards.org/cgi-bin/carddisp.pl?gene=CSE1L","GeneCards")</f>
        <v>GeneCards</v>
      </c>
      <c r="D15519" s="1" t="str">
        <f>HYPERLINK("http://genome-euro.ucsc.edu/cgi-bin/hgTracks?position=201112_s_at","UCSC")</f>
        <v>UCSC</v>
      </c>
      <c r="E15519" s="1" t="str">
        <f>HYPERLINK("http://www.ncbi.nlm.nih.gov/gene/?term=CSE1L","NCBI")</f>
        <v>NCBI</v>
      </c>
      <c r="F15519">
        <v>0.7</v>
      </c>
      <c r="G15519">
        <v>0.77</v>
      </c>
      <c r="H15519" s="1" t="str">
        <f>HYPERLINK("http://www.weizmann.ac.il/complex/compphys/software/geview/data/figures/201112_s_at.png","Figure")</f>
        <v>Figure</v>
      </c>
      <c r="I15519">
        <v>1.03</v>
      </c>
      <c r="J15519">
        <v>0.98</v>
      </c>
      <c r="K15519">
        <v>0.93200000000000005</v>
      </c>
      <c r="L15519">
        <v>0.81</v>
      </c>
      <c r="M15519">
        <v>0.90900000000000003</v>
      </c>
      <c r="N15519">
        <v>0.72</v>
      </c>
    </row>
    <row r="15520" spans="1:14" x14ac:dyDescent="0.25">
      <c r="A15520" t="s">
        <v>26167</v>
      </c>
      <c r="B15520" t="s">
        <v>18946</v>
      </c>
      <c r="C15520" s="1" t="str">
        <f>HYPERLINK("http://www.genecards.org/cgi-bin/carddisp.pl?gene=SETD2","GeneCards")</f>
        <v>GeneCards</v>
      </c>
      <c r="D15520" s="1" t="str">
        <f>HYPERLINK("http://genome-euro.ucsc.edu/cgi-bin/hgTracks?position=215038_s_at","UCSC")</f>
        <v>UCSC</v>
      </c>
      <c r="E15520" s="1" t="str">
        <f>HYPERLINK("http://www.ncbi.nlm.nih.gov/gene/?term=SETD2","NCBI")</f>
        <v>NCBI</v>
      </c>
      <c r="F15520">
        <v>0.7</v>
      </c>
      <c r="G15520">
        <v>0.77</v>
      </c>
      <c r="H15520" s="1" t="str">
        <f>HYPERLINK("http://www.weizmann.ac.il/complex/compphys/software/geview/data/figures/215038_s_at.png","Figure")</f>
        <v>Figure</v>
      </c>
      <c r="I15520">
        <v>1.04</v>
      </c>
      <c r="J15520">
        <v>0.92</v>
      </c>
      <c r="K15520">
        <v>0.95699999999999996</v>
      </c>
      <c r="L15520">
        <v>0.89</v>
      </c>
      <c r="M15520">
        <v>0.91800000000000004</v>
      </c>
      <c r="N15520">
        <v>0.68</v>
      </c>
    </row>
    <row r="15521" spans="1:14" x14ac:dyDescent="0.25">
      <c r="A15521" t="s">
        <v>26168</v>
      </c>
      <c r="B15521" t="s">
        <v>26169</v>
      </c>
      <c r="C15521" s="1" t="str">
        <f>HYPERLINK("http://www.genecards.org/cgi-bin/carddisp.pl?gene=SLC17A4","GeneCards")</f>
        <v>GeneCards</v>
      </c>
      <c r="D15521" s="1" t="str">
        <f>HYPERLINK("http://genome-euro.ucsc.edu/cgi-bin/hgTracks?position=207051_at","UCSC")</f>
        <v>UCSC</v>
      </c>
      <c r="E15521" s="1" t="str">
        <f>HYPERLINK("http://www.ncbi.nlm.nih.gov/gene/?term=SLC17A4","NCBI")</f>
        <v>NCBI</v>
      </c>
      <c r="F15521">
        <v>0.7</v>
      </c>
      <c r="G15521">
        <v>0.77</v>
      </c>
      <c r="H15521" s="1" t="str">
        <f>HYPERLINK("http://www.weizmann.ac.il/complex/compphys/software/geview/data/figures/207051_at.png","Figure")</f>
        <v>Figure</v>
      </c>
      <c r="I15521">
        <v>1.01</v>
      </c>
      <c r="J15521">
        <v>0.99</v>
      </c>
      <c r="K15521">
        <v>0.96399999999999997</v>
      </c>
      <c r="L15521">
        <v>0.79</v>
      </c>
      <c r="M15521">
        <v>0.95599999999999996</v>
      </c>
      <c r="N15521">
        <v>0.73</v>
      </c>
    </row>
    <row r="15522" spans="1:14" x14ac:dyDescent="0.25">
      <c r="A15522" t="s">
        <v>26170</v>
      </c>
      <c r="B15522" t="s">
        <v>23904</v>
      </c>
      <c r="C15522" s="1" t="str">
        <f>HYPERLINK("http://www.genecards.org/cgi-bin/carddisp.pl?gene=CCHCR1","GeneCards")</f>
        <v>GeneCards</v>
      </c>
      <c r="D15522" s="1" t="str">
        <f>HYPERLINK("http://genome-euro.ucsc.edu/cgi-bin/hgTracks?position=209698_at","UCSC")</f>
        <v>UCSC</v>
      </c>
      <c r="E15522" s="1" t="str">
        <f>HYPERLINK("http://www.ncbi.nlm.nih.gov/gene/?term=CCHCR1","NCBI")</f>
        <v>NCBI</v>
      </c>
      <c r="F15522">
        <v>0.7</v>
      </c>
      <c r="G15522">
        <v>0.77</v>
      </c>
      <c r="H15522" s="1" t="str">
        <f>HYPERLINK("http://www.weizmann.ac.il/complex/compphys/software/geview/data/figures/209698_at.png","Figure")</f>
        <v>Figure</v>
      </c>
      <c r="I15522">
        <v>1.07</v>
      </c>
      <c r="J15522">
        <v>0.76</v>
      </c>
      <c r="K15522">
        <v>0.997</v>
      </c>
      <c r="L15522">
        <v>1</v>
      </c>
      <c r="M15522">
        <v>0.93400000000000005</v>
      </c>
      <c r="N15522">
        <v>0.71</v>
      </c>
    </row>
    <row r="15523" spans="1:14" x14ac:dyDescent="0.25">
      <c r="A15523" t="s">
        <v>26171</v>
      </c>
      <c r="B15523" t="s">
        <v>26172</v>
      </c>
      <c r="C15523" s="1" t="str">
        <f>HYPERLINK("http://www.genecards.org/cgi-bin/carddisp.pl?gene=GNAT2","GeneCards")</f>
        <v>GeneCards</v>
      </c>
      <c r="D15523" s="1" t="str">
        <f>HYPERLINK("http://genome-euro.ucsc.edu/cgi-bin/hgTracks?position=210604_at","UCSC")</f>
        <v>UCSC</v>
      </c>
      <c r="E15523" s="1" t="str">
        <f>HYPERLINK("http://www.ncbi.nlm.nih.gov/gene/?term=GNAT2","NCBI")</f>
        <v>NCBI</v>
      </c>
      <c r="F15523">
        <v>0.7</v>
      </c>
      <c r="G15523">
        <v>0.77</v>
      </c>
      <c r="H15523" s="1" t="str">
        <f>HYPERLINK("http://www.weizmann.ac.il/complex/compphys/software/geview/data/figures/210604_at.png","Figure")</f>
        <v>Figure</v>
      </c>
      <c r="I15523">
        <v>0.99099999999999999</v>
      </c>
      <c r="J15523">
        <v>0.91</v>
      </c>
      <c r="K15523">
        <v>1.01</v>
      </c>
      <c r="L15523">
        <v>0.9</v>
      </c>
      <c r="M15523">
        <v>1.02</v>
      </c>
      <c r="N15523">
        <v>0.68</v>
      </c>
    </row>
    <row r="15524" spans="1:14" x14ac:dyDescent="0.25">
      <c r="A15524" t="s">
        <v>26173</v>
      </c>
      <c r="B15524" t="s">
        <v>21498</v>
      </c>
      <c r="C15524" s="1" t="str">
        <f>HYPERLINK("http://www.genecards.org/cgi-bin/carddisp.pl?gene=KIAA1539","GeneCards")</f>
        <v>GeneCards</v>
      </c>
      <c r="D15524" s="1" t="str">
        <f>HYPERLINK("http://genome-euro.ucsc.edu/cgi-bin/hgTracks?position=207765_s_at","UCSC")</f>
        <v>UCSC</v>
      </c>
      <c r="E15524" s="1" t="str">
        <f>HYPERLINK("http://www.ncbi.nlm.nih.gov/gene/?term=KIAA1539","NCBI")</f>
        <v>NCBI</v>
      </c>
      <c r="F15524">
        <v>0.7</v>
      </c>
      <c r="G15524">
        <v>0.77</v>
      </c>
      <c r="H15524" s="1" t="str">
        <f>HYPERLINK("http://www.weizmann.ac.il/complex/compphys/software/geview/data/figures/207765_s_at.png","Figure")</f>
        <v>Figure</v>
      </c>
      <c r="I15524">
        <v>1.08</v>
      </c>
      <c r="J15524">
        <v>0.7</v>
      </c>
      <c r="K15524">
        <v>1.05</v>
      </c>
      <c r="L15524">
        <v>0.79</v>
      </c>
      <c r="M15524">
        <v>0.97899999999999998</v>
      </c>
      <c r="N15524">
        <v>0.97</v>
      </c>
    </row>
    <row r="15525" spans="1:14" x14ac:dyDescent="0.25">
      <c r="A15525" t="s">
        <v>26174</v>
      </c>
      <c r="B15525" t="s">
        <v>26175</v>
      </c>
      <c r="C15525" s="1" t="str">
        <f>HYPERLINK("http://www.genecards.org/cgi-bin/carddisp.pl?gene=BDKRB1","GeneCards")</f>
        <v>GeneCards</v>
      </c>
      <c r="D15525" s="1" t="str">
        <f>HYPERLINK("http://genome-euro.ucsc.edu/cgi-bin/hgTracks?position=207510_at","UCSC")</f>
        <v>UCSC</v>
      </c>
      <c r="E15525" s="1" t="str">
        <f>HYPERLINK("http://www.ncbi.nlm.nih.gov/gene/?term=BDKRB1","NCBI")</f>
        <v>NCBI</v>
      </c>
      <c r="F15525">
        <v>0.7</v>
      </c>
      <c r="G15525">
        <v>0.77</v>
      </c>
      <c r="H15525" s="1" t="str">
        <f>HYPERLINK("http://www.weizmann.ac.il/complex/compphys/software/geview/data/figures/207510_at.png","Figure")</f>
        <v>Figure</v>
      </c>
      <c r="I15525">
        <v>1.07</v>
      </c>
      <c r="J15525">
        <v>0.68</v>
      </c>
      <c r="K15525">
        <v>1.03</v>
      </c>
      <c r="L15525">
        <v>0.93</v>
      </c>
      <c r="M15525">
        <v>0.95599999999999996</v>
      </c>
      <c r="N15525">
        <v>0.84</v>
      </c>
    </row>
    <row r="15526" spans="1:14" x14ac:dyDescent="0.25">
      <c r="A15526" t="s">
        <v>26176</v>
      </c>
      <c r="B15526" t="s">
        <v>10614</v>
      </c>
      <c r="C15526" s="1" t="str">
        <f>HYPERLINK("http://www.genecards.org/cgi-bin/carddisp.pl?gene=MLL","GeneCards")</f>
        <v>GeneCards</v>
      </c>
      <c r="D15526" s="1" t="str">
        <f>HYPERLINK("http://genome-euro.ucsc.edu/cgi-bin/hgTracks?position=212076_at","UCSC")</f>
        <v>UCSC</v>
      </c>
      <c r="E15526" s="1" t="str">
        <f>HYPERLINK("http://www.ncbi.nlm.nih.gov/gene/?term=MLL","NCBI")</f>
        <v>NCBI</v>
      </c>
      <c r="F15526">
        <v>0.7</v>
      </c>
      <c r="G15526">
        <v>0.77</v>
      </c>
      <c r="H15526" s="1" t="str">
        <f>HYPERLINK("http://www.weizmann.ac.il/complex/compphys/software/geview/data/figures/212076_at.png","Figure")</f>
        <v>Figure</v>
      </c>
      <c r="I15526">
        <v>1.1399999999999999</v>
      </c>
      <c r="J15526">
        <v>0.7</v>
      </c>
      <c r="K15526">
        <v>1.1000000000000001</v>
      </c>
      <c r="L15526">
        <v>0.8</v>
      </c>
      <c r="M15526">
        <v>0.96</v>
      </c>
      <c r="N15526">
        <v>0.96</v>
      </c>
    </row>
    <row r="15527" spans="1:14" x14ac:dyDescent="0.25">
      <c r="A15527" t="s">
        <v>26177</v>
      </c>
      <c r="B15527" t="s">
        <v>26178</v>
      </c>
      <c r="C15527" s="1" t="str">
        <f>HYPERLINK("http://www.genecards.org/cgi-bin/carddisp.pl?gene=FLJ20712","GeneCards")</f>
        <v>GeneCards</v>
      </c>
      <c r="D15527" s="1" t="str">
        <f>HYPERLINK("http://genome-euro.ucsc.edu/cgi-bin/hgTracks?position=220678_at","UCSC")</f>
        <v>UCSC</v>
      </c>
      <c r="E15527" s="1" t="str">
        <f>HYPERLINK("http://www.ncbi.nlm.nih.gov/gene/?term=FLJ20712","NCBI")</f>
        <v>NCBI</v>
      </c>
      <c r="F15527">
        <v>0.7</v>
      </c>
      <c r="G15527">
        <v>0.77</v>
      </c>
      <c r="H15527" s="1" t="str">
        <f>HYPERLINK("http://www.weizmann.ac.il/complex/compphys/software/geview/data/figures/220678_at.png","Figure")</f>
        <v>Figure</v>
      </c>
      <c r="I15527">
        <v>1.05</v>
      </c>
      <c r="J15527">
        <v>0.74</v>
      </c>
      <c r="K15527">
        <v>1.04</v>
      </c>
      <c r="L15527">
        <v>0.75</v>
      </c>
      <c r="M15527">
        <v>0.99199999999999999</v>
      </c>
      <c r="N15527">
        <v>0.99</v>
      </c>
    </row>
    <row r="15528" spans="1:14" x14ac:dyDescent="0.25">
      <c r="A15528" t="s">
        <v>26179</v>
      </c>
      <c r="B15528" t="s">
        <v>1271</v>
      </c>
      <c r="C15528" s="1" t="str">
        <f>HYPERLINK("http://www.genecards.org/cgi-bin/carddisp.pl?gene=RANGAP1","GeneCards")</f>
        <v>GeneCards</v>
      </c>
      <c r="D15528" s="1" t="str">
        <f>HYPERLINK("http://genome-euro.ucsc.edu/cgi-bin/hgTracks?position=212125_at","UCSC")</f>
        <v>UCSC</v>
      </c>
      <c r="E15528" s="1" t="str">
        <f>HYPERLINK("http://www.ncbi.nlm.nih.gov/gene/?term=RANGAP1","NCBI")</f>
        <v>NCBI</v>
      </c>
      <c r="F15528">
        <v>0.7</v>
      </c>
      <c r="G15528">
        <v>0.77</v>
      </c>
      <c r="H15528" s="1" t="str">
        <f>HYPERLINK("http://www.weizmann.ac.il/complex/compphys/software/geview/data/figures/212125_at.png","Figure")</f>
        <v>Figure</v>
      </c>
      <c r="I15528">
        <v>1.06</v>
      </c>
      <c r="J15528">
        <v>0.79</v>
      </c>
      <c r="K15528">
        <v>1.07</v>
      </c>
      <c r="L15528">
        <v>0.7</v>
      </c>
      <c r="M15528">
        <v>1.01</v>
      </c>
      <c r="N15528">
        <v>1</v>
      </c>
    </row>
    <row r="15529" spans="1:14" x14ac:dyDescent="0.25">
      <c r="A15529" t="s">
        <v>26180</v>
      </c>
      <c r="B15529" t="s">
        <v>22449</v>
      </c>
      <c r="C15529" s="1" t="str">
        <f>HYPERLINK("http://www.genecards.org/cgi-bin/carddisp.pl?gene=IPW","GeneCards")</f>
        <v>GeneCards</v>
      </c>
      <c r="D15529" s="1" t="str">
        <f>HYPERLINK("http://genome-euro.ucsc.edu/cgi-bin/hgTracks?position=213447_at","UCSC")</f>
        <v>UCSC</v>
      </c>
      <c r="E15529" s="1" t="str">
        <f>HYPERLINK("http://www.ncbi.nlm.nih.gov/gene/?term=IPW","NCBI")</f>
        <v>NCBI</v>
      </c>
      <c r="F15529">
        <v>0.7</v>
      </c>
      <c r="G15529">
        <v>0.77</v>
      </c>
      <c r="H15529" s="1" t="str">
        <f>HYPERLINK("http://www.weizmann.ac.il/complex/compphys/software/geview/data/figures/213447_at.png","Figure")</f>
        <v>Figure</v>
      </c>
      <c r="I15529">
        <v>0.85899999999999999</v>
      </c>
      <c r="J15529">
        <v>0.68</v>
      </c>
      <c r="K15529">
        <v>0.93300000000000005</v>
      </c>
      <c r="L15529">
        <v>0.9</v>
      </c>
      <c r="M15529">
        <v>1.0900000000000001</v>
      </c>
      <c r="N15529">
        <v>0.87</v>
      </c>
    </row>
    <row r="15530" spans="1:14" x14ac:dyDescent="0.25">
      <c r="A15530" t="s">
        <v>26181</v>
      </c>
      <c r="B15530" t="s">
        <v>26182</v>
      </c>
      <c r="C15530" s="1" t="str">
        <f>HYPERLINK("http://www.genecards.org/cgi-bin/carddisp.pl?gene=ALOXE3","GeneCards")</f>
        <v>GeneCards</v>
      </c>
      <c r="D15530" s="1" t="str">
        <f>HYPERLINK("http://genome-euro.ucsc.edu/cgi-bin/hgTracks?position=207708_at","UCSC")</f>
        <v>UCSC</v>
      </c>
      <c r="E15530" s="1" t="str">
        <f>HYPERLINK("http://www.ncbi.nlm.nih.gov/gene/?term=ALOXE3","NCBI")</f>
        <v>NCBI</v>
      </c>
      <c r="F15530">
        <v>0.7</v>
      </c>
      <c r="G15530">
        <v>0.77</v>
      </c>
      <c r="H15530" s="1" t="str">
        <f>HYPERLINK("http://www.weizmann.ac.il/complex/compphys/software/geview/data/figures/207708_at.png","Figure")</f>
        <v>Figure</v>
      </c>
      <c r="I15530">
        <v>0.97599999999999998</v>
      </c>
      <c r="J15530">
        <v>0.91</v>
      </c>
      <c r="K15530">
        <v>0.95699999999999996</v>
      </c>
      <c r="L15530">
        <v>0.68</v>
      </c>
      <c r="M15530">
        <v>0.98099999999999998</v>
      </c>
      <c r="N15530">
        <v>0.93</v>
      </c>
    </row>
    <row r="15531" spans="1:14" x14ac:dyDescent="0.25">
      <c r="A15531" t="s">
        <v>26183</v>
      </c>
      <c r="B15531" t="s">
        <v>26184</v>
      </c>
      <c r="C15531" s="1" t="str">
        <f>HYPERLINK("http://www.genecards.org/cgi-bin/carddisp.pl?gene=LOC100272216 /// LOC100292101","GeneCards")</f>
        <v>GeneCards</v>
      </c>
      <c r="D15531" s="1" t="str">
        <f>HYPERLINK("http://genome-euro.ucsc.edu/cgi-bin/hgTracks?position=213605_s_at","UCSC")</f>
        <v>UCSC</v>
      </c>
      <c r="E15531" s="1" t="str">
        <f>HYPERLINK("http://www.ncbi.nlm.nih.gov/gene/?term=LOC100272216 /// LOC100292101","NCBI")</f>
        <v>NCBI</v>
      </c>
      <c r="F15531">
        <v>0.7</v>
      </c>
      <c r="G15531">
        <v>0.77</v>
      </c>
      <c r="H15531" s="1" t="str">
        <f>HYPERLINK("http://www.weizmann.ac.il/complex/compphys/software/geview/data/figures/213605_s_at.png","Figure")</f>
        <v>Figure</v>
      </c>
      <c r="I15531">
        <v>1.35</v>
      </c>
      <c r="J15531">
        <v>0.72</v>
      </c>
      <c r="K15531">
        <v>1.03</v>
      </c>
      <c r="L15531">
        <v>1</v>
      </c>
      <c r="M15531">
        <v>0.76400000000000001</v>
      </c>
      <c r="N15531">
        <v>0.74</v>
      </c>
    </row>
    <row r="15532" spans="1:14" x14ac:dyDescent="0.25">
      <c r="A15532" t="s">
        <v>26185</v>
      </c>
      <c r="B15532" t="s">
        <v>26186</v>
      </c>
      <c r="C15532" s="1" t="str">
        <f>HYPERLINK("http://www.genecards.org/cgi-bin/carddisp.pl?gene=APOBEC2","GeneCards")</f>
        <v>GeneCards</v>
      </c>
      <c r="D15532" s="1" t="str">
        <f>HYPERLINK("http://genome-euro.ucsc.edu/cgi-bin/hgTracks?position=206160_at","UCSC")</f>
        <v>UCSC</v>
      </c>
      <c r="E15532" s="1" t="str">
        <f>HYPERLINK("http://www.ncbi.nlm.nih.gov/gene/?term=APOBEC2","NCBI")</f>
        <v>NCBI</v>
      </c>
      <c r="F15532">
        <v>0.7</v>
      </c>
      <c r="G15532">
        <v>0.77</v>
      </c>
      <c r="H15532" s="1" t="str">
        <f>HYPERLINK("http://www.weizmann.ac.il/complex/compphys/software/geview/data/figures/206160_at.png","Figure")</f>
        <v>Figure</v>
      </c>
      <c r="I15532">
        <v>1.07</v>
      </c>
      <c r="J15532">
        <v>0.68</v>
      </c>
      <c r="K15532">
        <v>1.04</v>
      </c>
      <c r="L15532">
        <v>0.84</v>
      </c>
      <c r="M15532">
        <v>0.97</v>
      </c>
      <c r="N15532">
        <v>0.93</v>
      </c>
    </row>
    <row r="15533" spans="1:14" x14ac:dyDescent="0.25">
      <c r="A15533" t="s">
        <v>26187</v>
      </c>
      <c r="B15533" t="s">
        <v>26188</v>
      </c>
      <c r="C15533" s="1" t="str">
        <f>HYPERLINK("http://www.genecards.org/cgi-bin/carddisp.pl?gene=UBE2S","GeneCards")</f>
        <v>GeneCards</v>
      </c>
      <c r="D15533" s="1" t="str">
        <f>HYPERLINK("http://genome-euro.ucsc.edu/cgi-bin/hgTracks?position=202779_s_at","UCSC")</f>
        <v>UCSC</v>
      </c>
      <c r="E15533" s="1" t="str">
        <f>HYPERLINK("http://www.ncbi.nlm.nih.gov/gene/?term=UBE2S","NCBI")</f>
        <v>NCBI</v>
      </c>
      <c r="F15533">
        <v>0.7</v>
      </c>
      <c r="G15533">
        <v>0.77</v>
      </c>
      <c r="H15533" s="1" t="str">
        <f>HYPERLINK("http://www.weizmann.ac.il/complex/compphys/software/geview/data/figures/202779_s_at.png","Figure")</f>
        <v>Figure</v>
      </c>
      <c r="I15533">
        <v>0.97299999999999998</v>
      </c>
      <c r="J15533">
        <v>0.99</v>
      </c>
      <c r="K15533">
        <v>1.1599999999999999</v>
      </c>
      <c r="L15533">
        <v>0.78</v>
      </c>
      <c r="M15533">
        <v>1.2</v>
      </c>
      <c r="N15533">
        <v>0.74</v>
      </c>
    </row>
    <row r="15534" spans="1:14" x14ac:dyDescent="0.25">
      <c r="A15534" t="s">
        <v>26189</v>
      </c>
      <c r="B15534" t="s">
        <v>15038</v>
      </c>
      <c r="C15534" s="1" t="str">
        <f>HYPERLINK("http://www.genecards.org/cgi-bin/carddisp.pl?gene=JUN","GeneCards")</f>
        <v>GeneCards</v>
      </c>
      <c r="D15534" s="1" t="str">
        <f>HYPERLINK("http://genome-euro.ucsc.edu/cgi-bin/hgTracks?position=201466_s_at","UCSC")</f>
        <v>UCSC</v>
      </c>
      <c r="E15534" s="1" t="str">
        <f>HYPERLINK("http://www.ncbi.nlm.nih.gov/gene/?term=JUN","NCBI")</f>
        <v>NCBI</v>
      </c>
      <c r="F15534">
        <v>0.7</v>
      </c>
      <c r="G15534">
        <v>0.77</v>
      </c>
      <c r="H15534" s="1" t="str">
        <f>HYPERLINK("http://www.weizmann.ac.il/complex/compphys/software/geview/data/figures/201466_s_at.png","Figure")</f>
        <v>Figure</v>
      </c>
      <c r="I15534">
        <v>1.55</v>
      </c>
      <c r="J15534">
        <v>0.69</v>
      </c>
      <c r="K15534">
        <v>1.32</v>
      </c>
      <c r="L15534">
        <v>0.82</v>
      </c>
      <c r="M15534">
        <v>0.85399999999999998</v>
      </c>
      <c r="N15534">
        <v>0.95</v>
      </c>
    </row>
    <row r="15535" spans="1:14" x14ac:dyDescent="0.25">
      <c r="A15535" t="s">
        <v>26190</v>
      </c>
      <c r="B15535" t="s">
        <v>26191</v>
      </c>
      <c r="C15535" s="1" t="str">
        <f>HYPERLINK("http://www.genecards.org/cgi-bin/carddisp.pl?gene=CPSF3L","GeneCards")</f>
        <v>GeneCards</v>
      </c>
      <c r="D15535" s="1" t="str">
        <f>HYPERLINK("http://genome-euro.ucsc.edu/cgi-bin/hgTracks?position=217994_x_at","UCSC")</f>
        <v>UCSC</v>
      </c>
      <c r="E15535" s="1" t="str">
        <f>HYPERLINK("http://www.ncbi.nlm.nih.gov/gene/?term=CPSF3L","NCBI")</f>
        <v>NCBI</v>
      </c>
      <c r="F15535">
        <v>0.7</v>
      </c>
      <c r="G15535">
        <v>0.77</v>
      </c>
      <c r="H15535" s="1" t="str">
        <f>HYPERLINK("http://www.weizmann.ac.il/complex/compphys/software/geview/data/figures/217994_x_at.png","Figure")</f>
        <v>Figure</v>
      </c>
      <c r="I15535">
        <v>1.08</v>
      </c>
      <c r="J15535">
        <v>0.7</v>
      </c>
      <c r="K15535">
        <v>1.06</v>
      </c>
      <c r="L15535">
        <v>0.8</v>
      </c>
      <c r="M15535">
        <v>0.97399999999999998</v>
      </c>
      <c r="N15535">
        <v>0.96</v>
      </c>
    </row>
    <row r="15536" spans="1:14" x14ac:dyDescent="0.25">
      <c r="A15536" t="s">
        <v>26192</v>
      </c>
      <c r="B15536" t="s">
        <v>26193</v>
      </c>
      <c r="C15536" s="1" t="str">
        <f>HYPERLINK("http://www.genecards.org/cgi-bin/carddisp.pl?gene=GMNN","GeneCards")</f>
        <v>GeneCards</v>
      </c>
      <c r="D15536" s="1" t="str">
        <f>HYPERLINK("http://genome-euro.ucsc.edu/cgi-bin/hgTracks?position=218350_s_at","UCSC")</f>
        <v>UCSC</v>
      </c>
      <c r="E15536" s="1" t="str">
        <f>HYPERLINK("http://www.ncbi.nlm.nih.gov/gene/?term=GMNN","NCBI")</f>
        <v>NCBI</v>
      </c>
      <c r="F15536">
        <v>0.7</v>
      </c>
      <c r="G15536">
        <v>0.77</v>
      </c>
      <c r="H15536" s="1" t="str">
        <f>HYPERLINK("http://www.weizmann.ac.il/complex/compphys/software/geview/data/figures/218350_s_at.png","Figure")</f>
        <v>Figure</v>
      </c>
      <c r="I15536">
        <v>1.07</v>
      </c>
      <c r="J15536">
        <v>0.96</v>
      </c>
      <c r="K15536">
        <v>0.88300000000000001</v>
      </c>
      <c r="L15536">
        <v>0.84</v>
      </c>
      <c r="M15536">
        <v>0.82399999999999995</v>
      </c>
      <c r="N15536">
        <v>0.7</v>
      </c>
    </row>
    <row r="15537" spans="1:14" x14ac:dyDescent="0.25">
      <c r="A15537" t="s">
        <v>26194</v>
      </c>
      <c r="B15537" t="s">
        <v>26195</v>
      </c>
      <c r="C15537" s="1" t="str">
        <f>HYPERLINK("http://www.genecards.org/cgi-bin/carddisp.pl?gene=IGKC /// IGKV1-5 /// LOC100291464 /// LOC650405 /// LOC652493 /// LOC652694","GeneCards")</f>
        <v>GeneCards</v>
      </c>
      <c r="D15537" s="1" t="str">
        <f>HYPERLINK("http://genome-euro.ucsc.edu/cgi-bin/hgTracks?position=216207_x_at","UCSC")</f>
        <v>UCSC</v>
      </c>
      <c r="E15537" s="1" t="str">
        <f>HYPERLINK("http://www.ncbi.nlm.nih.gov/gene/?term=IGKC /// IGKV1-5 /// LOC100291464 /// LOC650405 /// LOC652493 /// LOC652694","NCBI")</f>
        <v>NCBI</v>
      </c>
      <c r="F15537">
        <v>0.7</v>
      </c>
      <c r="G15537">
        <v>0.77</v>
      </c>
      <c r="H15537" s="1" t="str">
        <f>HYPERLINK("http://www.weizmann.ac.il/complex/compphys/software/geview/data/figures/216207_x_at.png","Figure")</f>
        <v>Figure</v>
      </c>
      <c r="I15537">
        <v>1.0900000000000001</v>
      </c>
      <c r="J15537">
        <v>0.85</v>
      </c>
      <c r="K15537">
        <v>0.95899999999999996</v>
      </c>
      <c r="L15537">
        <v>0.95</v>
      </c>
      <c r="M15537">
        <v>0.878</v>
      </c>
      <c r="N15537">
        <v>0.68</v>
      </c>
    </row>
    <row r="15538" spans="1:14" x14ac:dyDescent="0.25">
      <c r="A15538" t="s">
        <v>26196</v>
      </c>
      <c r="B15538" t="s">
        <v>5899</v>
      </c>
      <c r="C15538" s="1" t="str">
        <f>HYPERLINK("http://www.genecards.org/cgi-bin/carddisp.pl?gene=FEZ1","GeneCards")</f>
        <v>GeneCards</v>
      </c>
      <c r="D15538" s="1" t="str">
        <f>HYPERLINK("http://genome-euro.ucsc.edu/cgi-bin/hgTracks?position=203562_at","UCSC")</f>
        <v>UCSC</v>
      </c>
      <c r="E15538" s="1" t="str">
        <f>HYPERLINK("http://www.ncbi.nlm.nih.gov/gene/?term=FEZ1","NCBI")</f>
        <v>NCBI</v>
      </c>
      <c r="F15538">
        <v>0.7</v>
      </c>
      <c r="G15538">
        <v>0.77</v>
      </c>
      <c r="H15538" s="1" t="str">
        <f>HYPERLINK("http://www.weizmann.ac.il/complex/compphys/software/geview/data/figures/203562_at.png","Figure")</f>
        <v>Figure</v>
      </c>
      <c r="I15538">
        <v>1.01</v>
      </c>
      <c r="J15538">
        <v>0.68</v>
      </c>
      <c r="K15538">
        <v>1.01</v>
      </c>
      <c r="L15538">
        <v>0.94</v>
      </c>
      <c r="M15538">
        <v>0.99099999999999999</v>
      </c>
      <c r="N15538">
        <v>0.83</v>
      </c>
    </row>
    <row r="15539" spans="1:14" x14ac:dyDescent="0.25">
      <c r="A15539" t="s">
        <v>26197</v>
      </c>
      <c r="B15539" t="s">
        <v>4343</v>
      </c>
      <c r="C15539" s="1" t="str">
        <f>HYPERLINK("http://www.genecards.org/cgi-bin/carddisp.pl?gene=EPAS1","GeneCards")</f>
        <v>GeneCards</v>
      </c>
      <c r="D15539" s="1" t="str">
        <f>HYPERLINK("http://genome-euro.ucsc.edu/cgi-bin/hgTracks?position=200879_s_at","UCSC")</f>
        <v>UCSC</v>
      </c>
      <c r="E15539" s="1" t="str">
        <f>HYPERLINK("http://www.ncbi.nlm.nih.gov/gene/?term=EPAS1","NCBI")</f>
        <v>NCBI</v>
      </c>
      <c r="F15539">
        <v>0.7</v>
      </c>
      <c r="G15539">
        <v>0.77</v>
      </c>
      <c r="H15539" s="1" t="str">
        <f>HYPERLINK("http://www.weizmann.ac.il/complex/compphys/software/geview/data/figures/200879_s_at.png","Figure")</f>
        <v>Figure</v>
      </c>
      <c r="I15539">
        <v>1.01</v>
      </c>
      <c r="J15539">
        <v>0.69</v>
      </c>
      <c r="K15539">
        <v>1</v>
      </c>
      <c r="L15539">
        <v>0.96</v>
      </c>
      <c r="M15539">
        <v>0.996</v>
      </c>
      <c r="N15539">
        <v>0.8</v>
      </c>
    </row>
    <row r="15540" spans="1:14" x14ac:dyDescent="0.25">
      <c r="A15540" t="s">
        <v>26198</v>
      </c>
      <c r="B15540" t="s">
        <v>26199</v>
      </c>
      <c r="C15540" s="1" t="str">
        <f>HYPERLINK("http://www.genecards.org/cgi-bin/carddisp.pl?gene=HSD11B2","GeneCards")</f>
        <v>GeneCards</v>
      </c>
      <c r="D15540" s="1" t="str">
        <f>HYPERLINK("http://genome-euro.ucsc.edu/cgi-bin/hgTracks?position=204130_at","UCSC")</f>
        <v>UCSC</v>
      </c>
      <c r="E15540" s="1" t="str">
        <f>HYPERLINK("http://www.ncbi.nlm.nih.gov/gene/?term=HSD11B2","NCBI")</f>
        <v>NCBI</v>
      </c>
      <c r="F15540">
        <v>0.7</v>
      </c>
      <c r="G15540">
        <v>0.77</v>
      </c>
      <c r="H15540" s="1" t="str">
        <f>HYPERLINK("http://www.weizmann.ac.il/complex/compphys/software/geview/data/figures/204130_at.png","Figure")</f>
        <v>Figure</v>
      </c>
      <c r="I15540">
        <v>1</v>
      </c>
      <c r="J15540">
        <v>0.69</v>
      </c>
      <c r="K15540">
        <v>1</v>
      </c>
      <c r="L15540">
        <v>0.96</v>
      </c>
      <c r="M15540">
        <v>0.998</v>
      </c>
      <c r="N15540">
        <v>0.8</v>
      </c>
    </row>
    <row r="15541" spans="1:14" x14ac:dyDescent="0.25">
      <c r="A15541" t="s">
        <v>26200</v>
      </c>
      <c r="B15541" t="s">
        <v>7764</v>
      </c>
      <c r="C15541" s="1" t="str">
        <f>HYPERLINK("http://www.genecards.org/cgi-bin/carddisp.pl?gene=PFDN4","GeneCards")</f>
        <v>GeneCards</v>
      </c>
      <c r="D15541" s="1" t="str">
        <f>HYPERLINK("http://genome-euro.ucsc.edu/cgi-bin/hgTracks?position=205362_s_at","UCSC")</f>
        <v>UCSC</v>
      </c>
      <c r="E15541" s="1" t="str">
        <f>HYPERLINK("http://www.ncbi.nlm.nih.gov/gene/?term=PFDN4","NCBI")</f>
        <v>NCBI</v>
      </c>
      <c r="F15541">
        <v>0.7</v>
      </c>
      <c r="G15541">
        <v>0.77</v>
      </c>
      <c r="H15541" s="1" t="str">
        <f>HYPERLINK("http://www.weizmann.ac.il/complex/compphys/software/geview/data/figures/205362_s_at.png","Figure")</f>
        <v>Figure</v>
      </c>
      <c r="I15541">
        <v>1.02</v>
      </c>
      <c r="J15541">
        <v>0.98</v>
      </c>
      <c r="K15541">
        <v>1.06</v>
      </c>
      <c r="L15541">
        <v>0.7</v>
      </c>
      <c r="M15541">
        <v>1.04</v>
      </c>
      <c r="N15541">
        <v>0.85</v>
      </c>
    </row>
    <row r="15542" spans="1:14" x14ac:dyDescent="0.25">
      <c r="A15542" t="s">
        <v>26201</v>
      </c>
      <c r="B15542" t="s">
        <v>2962</v>
      </c>
      <c r="C15542" s="1" t="str">
        <f>HYPERLINK("http://www.genecards.org/cgi-bin/carddisp.pl?gene=BCL2","GeneCards")</f>
        <v>GeneCards</v>
      </c>
      <c r="D15542" s="1" t="str">
        <f>HYPERLINK("http://genome-euro.ucsc.edu/cgi-bin/hgTracks?position=207004_at","UCSC")</f>
        <v>UCSC</v>
      </c>
      <c r="E15542" s="1" t="str">
        <f>HYPERLINK("http://www.ncbi.nlm.nih.gov/gene/?term=BCL2","NCBI")</f>
        <v>NCBI</v>
      </c>
      <c r="F15542">
        <v>0.7</v>
      </c>
      <c r="G15542">
        <v>0.77</v>
      </c>
      <c r="H15542" s="1" t="str">
        <f>HYPERLINK("http://www.weizmann.ac.il/complex/compphys/software/geview/data/figures/207004_at.png","Figure")</f>
        <v>Figure</v>
      </c>
      <c r="I15542">
        <v>1.1200000000000001</v>
      </c>
      <c r="J15542">
        <v>0.74</v>
      </c>
      <c r="K15542">
        <v>1</v>
      </c>
      <c r="L15542">
        <v>1</v>
      </c>
      <c r="M15542">
        <v>0.89600000000000002</v>
      </c>
      <c r="N15542">
        <v>0.73</v>
      </c>
    </row>
    <row r="15543" spans="1:14" x14ac:dyDescent="0.25">
      <c r="A15543" t="s">
        <v>26202</v>
      </c>
      <c r="B15543" t="s">
        <v>26203</v>
      </c>
      <c r="C15543" s="1" t="str">
        <f>HYPERLINK("http://www.genecards.org/cgi-bin/carddisp.pl?gene=CCDC132","GeneCards")</f>
        <v>GeneCards</v>
      </c>
      <c r="D15543" s="1" t="str">
        <f>HYPERLINK("http://genome-euro.ucsc.edu/cgi-bin/hgTracks?position=207045_at","UCSC")</f>
        <v>UCSC</v>
      </c>
      <c r="E15543" s="1" t="str">
        <f>HYPERLINK("http://www.ncbi.nlm.nih.gov/gene/?term=CCDC132","NCBI")</f>
        <v>NCBI</v>
      </c>
      <c r="F15543">
        <v>0.7</v>
      </c>
      <c r="G15543">
        <v>0.77</v>
      </c>
      <c r="H15543" s="1" t="str">
        <f>HYPERLINK("http://www.weizmann.ac.il/complex/compphys/software/geview/data/figures/207045_at.png","Figure")</f>
        <v>Figure</v>
      </c>
      <c r="I15543">
        <v>1</v>
      </c>
      <c r="J15543">
        <v>0.69</v>
      </c>
      <c r="K15543">
        <v>1</v>
      </c>
      <c r="L15543">
        <v>0.96</v>
      </c>
      <c r="M15543">
        <v>0.997</v>
      </c>
      <c r="N15543">
        <v>0.8</v>
      </c>
    </row>
    <row r="15544" spans="1:14" x14ac:dyDescent="0.25">
      <c r="A15544" t="s">
        <v>26204</v>
      </c>
      <c r="B15544" t="s">
        <v>7807</v>
      </c>
      <c r="C15544" s="1" t="str">
        <f>HYPERLINK("http://www.genecards.org/cgi-bin/carddisp.pl?gene=UBE3A","GeneCards")</f>
        <v>GeneCards</v>
      </c>
      <c r="D15544" s="1" t="str">
        <f>HYPERLINK("http://genome-euro.ucsc.edu/cgi-bin/hgTracks?position=214980_at","UCSC")</f>
        <v>UCSC</v>
      </c>
      <c r="E15544" s="1" t="str">
        <f>HYPERLINK("http://www.ncbi.nlm.nih.gov/gene/?term=UBE3A","NCBI")</f>
        <v>NCBI</v>
      </c>
      <c r="F15544">
        <v>0.7</v>
      </c>
      <c r="G15544">
        <v>0.77</v>
      </c>
      <c r="H15544" s="1" t="str">
        <f>HYPERLINK("http://www.weizmann.ac.il/complex/compphys/software/geview/data/figures/214980_at.png","Figure")</f>
        <v>Figure</v>
      </c>
      <c r="I15544">
        <v>0.98099999999999998</v>
      </c>
      <c r="J15544">
        <v>0.99</v>
      </c>
      <c r="K15544">
        <v>1.07</v>
      </c>
      <c r="L15544">
        <v>0.8</v>
      </c>
      <c r="M15544">
        <v>1.0900000000000001</v>
      </c>
      <c r="N15544">
        <v>0.73</v>
      </c>
    </row>
    <row r="15545" spans="1:14" x14ac:dyDescent="0.25">
      <c r="A15545" t="s">
        <v>26205</v>
      </c>
      <c r="B15545" t="s">
        <v>26206</v>
      </c>
      <c r="C15545" s="1" t="str">
        <f>HYPERLINK("http://www.genecards.org/cgi-bin/carddisp.pl?gene=OR7E19P","GeneCards")</f>
        <v>GeneCards</v>
      </c>
      <c r="D15545" s="1" t="str">
        <f>HYPERLINK("http://genome-euro.ucsc.edu/cgi-bin/hgTracks?position=216536_at","UCSC")</f>
        <v>UCSC</v>
      </c>
      <c r="E15545" s="1" t="str">
        <f>HYPERLINK("http://www.ncbi.nlm.nih.gov/gene/?term=OR7E19P","NCBI")</f>
        <v>NCBI</v>
      </c>
      <c r="F15545">
        <v>0.7</v>
      </c>
      <c r="G15545">
        <v>0.77</v>
      </c>
      <c r="H15545" s="1" t="str">
        <f>HYPERLINK("http://www.weizmann.ac.il/complex/compphys/software/geview/data/figures/216536_at.png","Figure")</f>
        <v>Figure</v>
      </c>
      <c r="I15545">
        <v>1</v>
      </c>
      <c r="J15545">
        <v>0.69</v>
      </c>
      <c r="K15545">
        <v>1</v>
      </c>
      <c r="L15545">
        <v>0.96</v>
      </c>
      <c r="M15545">
        <v>0.998</v>
      </c>
      <c r="N15545">
        <v>0.8</v>
      </c>
    </row>
    <row r="15546" spans="1:14" x14ac:dyDescent="0.25">
      <c r="A15546" t="s">
        <v>26207</v>
      </c>
      <c r="B15546" t="s">
        <v>26040</v>
      </c>
      <c r="C15546" s="1" t="str">
        <f>HYPERLINK("http://www.genecards.org/cgi-bin/carddisp.pl?gene=TAPBPL","GeneCards")</f>
        <v>GeneCards</v>
      </c>
      <c r="D15546" s="1" t="str">
        <f>HYPERLINK("http://genome-euro.ucsc.edu/cgi-bin/hgTracks?position=218747_s_at","UCSC")</f>
        <v>UCSC</v>
      </c>
      <c r="E15546" s="1" t="str">
        <f>HYPERLINK("http://www.ncbi.nlm.nih.gov/gene/?term=TAPBPL","NCBI")</f>
        <v>NCBI</v>
      </c>
      <c r="F15546">
        <v>0.7</v>
      </c>
      <c r="G15546">
        <v>0.77</v>
      </c>
      <c r="H15546" s="1" t="str">
        <f>HYPERLINK("http://www.weizmann.ac.il/complex/compphys/software/geview/data/figures/218747_s_at.png","Figure")</f>
        <v>Figure</v>
      </c>
      <c r="I15546">
        <v>1.04</v>
      </c>
      <c r="J15546">
        <v>0.94</v>
      </c>
      <c r="K15546">
        <v>1.1000000000000001</v>
      </c>
      <c r="L15546">
        <v>0.68</v>
      </c>
      <c r="M15546">
        <v>1.06</v>
      </c>
      <c r="N15546">
        <v>0.9</v>
      </c>
    </row>
    <row r="15547" spans="1:14" x14ac:dyDescent="0.25">
      <c r="A15547" t="s">
        <v>26208</v>
      </c>
      <c r="B15547" t="s">
        <v>26209</v>
      </c>
      <c r="C15547" s="1" t="str">
        <f>HYPERLINK("http://www.genecards.org/cgi-bin/carddisp.pl?gene=ERAP2","GeneCards")</f>
        <v>GeneCards</v>
      </c>
      <c r="D15547" s="1" t="str">
        <f>HYPERLINK("http://genome-euro.ucsc.edu/cgi-bin/hgTracks?position=219759_at","UCSC")</f>
        <v>UCSC</v>
      </c>
      <c r="E15547" s="1" t="str">
        <f>HYPERLINK("http://www.ncbi.nlm.nih.gov/gene/?term=ERAP2","NCBI")</f>
        <v>NCBI</v>
      </c>
      <c r="F15547">
        <v>0.7</v>
      </c>
      <c r="G15547">
        <v>0.77</v>
      </c>
      <c r="H15547" s="1" t="str">
        <f>HYPERLINK("http://www.weizmann.ac.il/complex/compphys/software/geview/data/figures/219759_at.png","Figure")</f>
        <v>Figure</v>
      </c>
      <c r="I15547">
        <v>0.79400000000000004</v>
      </c>
      <c r="J15547">
        <v>0.75</v>
      </c>
      <c r="K15547">
        <v>0.81699999999999995</v>
      </c>
      <c r="L15547">
        <v>0.74</v>
      </c>
      <c r="M15547">
        <v>1.03</v>
      </c>
      <c r="N15547">
        <v>0.99</v>
      </c>
    </row>
    <row r="15548" spans="1:14" x14ac:dyDescent="0.25">
      <c r="A15548" t="s">
        <v>26210</v>
      </c>
      <c r="B15548" t="s">
        <v>26211</v>
      </c>
      <c r="C15548" s="1" t="str">
        <f>HYPERLINK("http://www.genecards.org/cgi-bin/carddisp.pl?gene=ADAMTS12","GeneCards")</f>
        <v>GeneCards</v>
      </c>
      <c r="D15548" s="1" t="str">
        <f>HYPERLINK("http://genome-euro.ucsc.edu/cgi-bin/hgTracks?position=221421_s_at","UCSC")</f>
        <v>UCSC</v>
      </c>
      <c r="E15548" s="1" t="str">
        <f>HYPERLINK("http://www.ncbi.nlm.nih.gov/gene/?term=ADAMTS12","NCBI")</f>
        <v>NCBI</v>
      </c>
      <c r="F15548">
        <v>0.7</v>
      </c>
      <c r="G15548">
        <v>0.77</v>
      </c>
      <c r="H15548" s="1" t="str">
        <f>HYPERLINK("http://www.weizmann.ac.il/complex/compphys/software/geview/data/figures/221421_s_at.png","Figure")</f>
        <v>Figure</v>
      </c>
      <c r="I15548">
        <v>1.07</v>
      </c>
      <c r="J15548">
        <v>0.69</v>
      </c>
      <c r="K15548">
        <v>1.04</v>
      </c>
      <c r="L15548">
        <v>0.85</v>
      </c>
      <c r="M15548">
        <v>0.97299999999999998</v>
      </c>
      <c r="N15548">
        <v>0.92</v>
      </c>
    </row>
    <row r="15549" spans="1:14" x14ac:dyDescent="0.25">
      <c r="A15549" t="s">
        <v>26212</v>
      </c>
      <c r="B15549" t="s">
        <v>5742</v>
      </c>
      <c r="C15549" s="1" t="str">
        <f>HYPERLINK("http://www.genecards.org/cgi-bin/carddisp.pl?gene=PAX8","GeneCards")</f>
        <v>GeneCards</v>
      </c>
      <c r="D15549" s="1" t="str">
        <f>HYPERLINK("http://genome-euro.ucsc.edu/cgi-bin/hgTracks?position=221990_at","UCSC")</f>
        <v>UCSC</v>
      </c>
      <c r="E15549" s="1" t="str">
        <f>HYPERLINK("http://www.ncbi.nlm.nih.gov/gene/?term=PAX8","NCBI")</f>
        <v>NCBI</v>
      </c>
      <c r="F15549">
        <v>0.7</v>
      </c>
      <c r="G15549">
        <v>0.77</v>
      </c>
      <c r="H15549" s="1" t="str">
        <f>HYPERLINK("http://www.weizmann.ac.il/complex/compphys/software/geview/data/figures/221990_at.png","Figure")</f>
        <v>Figure</v>
      </c>
      <c r="I15549">
        <v>1.04</v>
      </c>
      <c r="J15549">
        <v>0.78</v>
      </c>
      <c r="K15549">
        <v>0.99399999999999999</v>
      </c>
      <c r="L15549">
        <v>0.99</v>
      </c>
      <c r="M15549">
        <v>0.95399999999999996</v>
      </c>
      <c r="N15549">
        <v>0.7</v>
      </c>
    </row>
    <row r="15550" spans="1:14" x14ac:dyDescent="0.25">
      <c r="A15550" t="s">
        <v>26213</v>
      </c>
      <c r="B15550" t="s">
        <v>26214</v>
      </c>
      <c r="C15550" s="1" t="str">
        <f>HYPERLINK("http://www.genecards.org/cgi-bin/carddisp.pl?gene=SPAG5","GeneCards")</f>
        <v>GeneCards</v>
      </c>
      <c r="D15550" s="1" t="str">
        <f>HYPERLINK("http://genome-euro.ucsc.edu/cgi-bin/hgTracks?position=203145_at","UCSC")</f>
        <v>UCSC</v>
      </c>
      <c r="E15550" s="1" t="str">
        <f>HYPERLINK("http://www.ncbi.nlm.nih.gov/gene/?term=SPAG5","NCBI")</f>
        <v>NCBI</v>
      </c>
      <c r="F15550">
        <v>0.7</v>
      </c>
      <c r="G15550">
        <v>0.77</v>
      </c>
      <c r="H15550" s="1" t="str">
        <f>HYPERLINK("http://www.weizmann.ac.il/complex/compphys/software/geview/data/figures/203145_at.png","Figure")</f>
        <v>Figure</v>
      </c>
      <c r="I15550">
        <v>1.08</v>
      </c>
      <c r="J15550">
        <v>0.72</v>
      </c>
      <c r="K15550">
        <v>1.06</v>
      </c>
      <c r="L15550">
        <v>0.77</v>
      </c>
      <c r="M15550">
        <v>0.98399999999999999</v>
      </c>
      <c r="N15550">
        <v>0.98</v>
      </c>
    </row>
    <row r="15551" spans="1:14" x14ac:dyDescent="0.25">
      <c r="A15551" t="s">
        <v>26215</v>
      </c>
      <c r="B15551" t="s">
        <v>5311</v>
      </c>
      <c r="C15551" s="1" t="str">
        <f>HYPERLINK("http://www.genecards.org/cgi-bin/carddisp.pl?gene=LANCL1","GeneCards")</f>
        <v>GeneCards</v>
      </c>
      <c r="D15551" s="1" t="str">
        <f>HYPERLINK("http://genome-euro.ucsc.edu/cgi-bin/hgTracks?position=202020_s_at","UCSC")</f>
        <v>UCSC</v>
      </c>
      <c r="E15551" s="1" t="str">
        <f>HYPERLINK("http://www.ncbi.nlm.nih.gov/gene/?term=LANCL1","NCBI")</f>
        <v>NCBI</v>
      </c>
      <c r="F15551">
        <v>0.7</v>
      </c>
      <c r="G15551">
        <v>0.77</v>
      </c>
      <c r="H15551" s="1" t="str">
        <f>HYPERLINK("http://www.weizmann.ac.il/complex/compphys/software/geview/data/figures/202020_s_at.png","Figure")</f>
        <v>Figure</v>
      </c>
      <c r="I15551">
        <v>0.90200000000000002</v>
      </c>
      <c r="J15551">
        <v>0.9</v>
      </c>
      <c r="K15551">
        <v>1.0900000000000001</v>
      </c>
      <c r="L15551">
        <v>0.91</v>
      </c>
      <c r="M15551">
        <v>1.21</v>
      </c>
      <c r="N15551">
        <v>0.68</v>
      </c>
    </row>
    <row r="15552" spans="1:14" x14ac:dyDescent="0.25">
      <c r="A15552" t="s">
        <v>26216</v>
      </c>
      <c r="B15552" t="s">
        <v>18903</v>
      </c>
      <c r="C15552" s="1" t="str">
        <f>HYPERLINK("http://www.genecards.org/cgi-bin/carddisp.pl?gene=TCP1","GeneCards")</f>
        <v>GeneCards</v>
      </c>
      <c r="D15552" s="1" t="str">
        <f>HYPERLINK("http://genome-euro.ucsc.edu/cgi-bin/hgTracks?position=208778_s_at","UCSC")</f>
        <v>UCSC</v>
      </c>
      <c r="E15552" s="1" t="str">
        <f>HYPERLINK("http://www.ncbi.nlm.nih.gov/gene/?term=TCP1","NCBI")</f>
        <v>NCBI</v>
      </c>
      <c r="F15552">
        <v>0.7</v>
      </c>
      <c r="G15552">
        <v>0.77</v>
      </c>
      <c r="H15552" s="1" t="str">
        <f>HYPERLINK("http://www.weizmann.ac.il/complex/compphys/software/geview/data/figures/208778_s_at.png","Figure")</f>
        <v>Figure</v>
      </c>
      <c r="I15552">
        <v>0.89200000000000002</v>
      </c>
      <c r="J15552">
        <v>0.8</v>
      </c>
      <c r="K15552">
        <v>1.03</v>
      </c>
      <c r="L15552">
        <v>0.98</v>
      </c>
      <c r="M15552">
        <v>1.1499999999999999</v>
      </c>
      <c r="N15552">
        <v>0.69</v>
      </c>
    </row>
    <row r="15553" spans="1:14" x14ac:dyDescent="0.25">
      <c r="A15553" t="s">
        <v>26217</v>
      </c>
      <c r="B15553" t="s">
        <v>26218</v>
      </c>
      <c r="C15553" s="1" t="str">
        <f>HYPERLINK("http://www.genecards.org/cgi-bin/carddisp.pl?gene=SYNE1","GeneCards")</f>
        <v>GeneCards</v>
      </c>
      <c r="D15553" s="1" t="str">
        <f>HYPERLINK("http://genome-euro.ucsc.edu/cgi-bin/hgTracks?position=209447_at","UCSC")</f>
        <v>UCSC</v>
      </c>
      <c r="E15553" s="1" t="str">
        <f>HYPERLINK("http://www.ncbi.nlm.nih.gov/gene/?term=SYNE1","NCBI")</f>
        <v>NCBI</v>
      </c>
      <c r="F15553">
        <v>0.7</v>
      </c>
      <c r="G15553">
        <v>0.77</v>
      </c>
      <c r="H15553" s="1" t="str">
        <f>HYPERLINK("http://www.weizmann.ac.il/complex/compphys/software/geview/data/figures/209447_at.png","Figure")</f>
        <v>Figure</v>
      </c>
      <c r="I15553">
        <v>0.91600000000000004</v>
      </c>
      <c r="J15553">
        <v>0.96</v>
      </c>
      <c r="K15553">
        <v>1.17</v>
      </c>
      <c r="L15553">
        <v>0.85</v>
      </c>
      <c r="M15553">
        <v>1.27</v>
      </c>
      <c r="N15553">
        <v>0.7</v>
      </c>
    </row>
    <row r="15554" spans="1:14" x14ac:dyDescent="0.25">
      <c r="A15554" t="s">
        <v>26219</v>
      </c>
      <c r="B15554" t="s">
        <v>26220</v>
      </c>
      <c r="C15554" s="1" t="str">
        <f>HYPERLINK("http://www.genecards.org/cgi-bin/carddisp.pl?gene=GMPPA","GeneCards")</f>
        <v>GeneCards</v>
      </c>
      <c r="D15554" s="1" t="str">
        <f>HYPERLINK("http://genome-euro.ucsc.edu/cgi-bin/hgTracks?position=218070_s_at","UCSC")</f>
        <v>UCSC</v>
      </c>
      <c r="E15554" s="1" t="str">
        <f>HYPERLINK("http://www.ncbi.nlm.nih.gov/gene/?term=GMPPA","NCBI")</f>
        <v>NCBI</v>
      </c>
      <c r="F15554">
        <v>0.7</v>
      </c>
      <c r="G15554">
        <v>0.77</v>
      </c>
      <c r="H15554" s="1" t="str">
        <f>HYPERLINK("http://www.weizmann.ac.il/complex/compphys/software/geview/data/figures/218070_s_at.png","Figure")</f>
        <v>Figure</v>
      </c>
      <c r="I15554">
        <v>1.02</v>
      </c>
      <c r="J15554">
        <v>0.97</v>
      </c>
      <c r="K15554">
        <v>1.06</v>
      </c>
      <c r="L15554">
        <v>0.69</v>
      </c>
      <c r="M15554">
        <v>1.04</v>
      </c>
      <c r="N15554">
        <v>0.87</v>
      </c>
    </row>
    <row r="15555" spans="1:14" x14ac:dyDescent="0.25">
      <c r="A15555" t="s">
        <v>26221</v>
      </c>
      <c r="B15555" t="s">
        <v>19213</v>
      </c>
      <c r="C15555" s="1" t="str">
        <f>HYPERLINK("http://www.genecards.org/cgi-bin/carddisp.pl?gene=HSP90B1","GeneCards")</f>
        <v>GeneCards</v>
      </c>
      <c r="D15555" s="1" t="str">
        <f>HYPERLINK("http://genome-euro.ucsc.edu/cgi-bin/hgTracks?position=216449_x_at","UCSC")</f>
        <v>UCSC</v>
      </c>
      <c r="E15555" s="1" t="str">
        <f>HYPERLINK("http://www.ncbi.nlm.nih.gov/gene/?term=HSP90B1","NCBI")</f>
        <v>NCBI</v>
      </c>
      <c r="F15555">
        <v>0.7</v>
      </c>
      <c r="G15555">
        <v>0.77</v>
      </c>
      <c r="H15555" s="1" t="str">
        <f>HYPERLINK("http://www.weizmann.ac.il/complex/compphys/software/geview/data/figures/216449_x_at.png","Figure")</f>
        <v>Figure</v>
      </c>
      <c r="I15555">
        <v>1.07</v>
      </c>
      <c r="J15555">
        <v>0.81</v>
      </c>
      <c r="K15555">
        <v>0.98199999999999998</v>
      </c>
      <c r="L15555">
        <v>0.98</v>
      </c>
      <c r="M15555">
        <v>0.92</v>
      </c>
      <c r="N15555">
        <v>0.69</v>
      </c>
    </row>
    <row r="15556" spans="1:14" x14ac:dyDescent="0.25">
      <c r="A15556" t="s">
        <v>26222</v>
      </c>
      <c r="B15556" t="s">
        <v>26223</v>
      </c>
      <c r="C15556" s="1" t="str">
        <f>HYPERLINK("http://www.genecards.org/cgi-bin/carddisp.pl?gene=S100A5","GeneCards")</f>
        <v>GeneCards</v>
      </c>
      <c r="D15556" s="1" t="str">
        <f>HYPERLINK("http://genome-euro.ucsc.edu/cgi-bin/hgTracks?position=207763_at","UCSC")</f>
        <v>UCSC</v>
      </c>
      <c r="E15556" s="1" t="str">
        <f>HYPERLINK("http://www.ncbi.nlm.nih.gov/gene/?term=S100A5","NCBI")</f>
        <v>NCBI</v>
      </c>
      <c r="F15556">
        <v>0.7</v>
      </c>
      <c r="G15556">
        <v>0.77</v>
      </c>
      <c r="H15556" s="1" t="str">
        <f>HYPERLINK("http://www.weizmann.ac.il/complex/compphys/software/geview/data/figures/207763_at.png","Figure")</f>
        <v>Figure</v>
      </c>
      <c r="I15556">
        <v>1.01</v>
      </c>
      <c r="J15556">
        <v>0.96</v>
      </c>
      <c r="K15556">
        <v>1.02</v>
      </c>
      <c r="L15556">
        <v>0.69</v>
      </c>
      <c r="M15556">
        <v>1.02</v>
      </c>
      <c r="N15556">
        <v>0.88</v>
      </c>
    </row>
    <row r="15557" spans="1:14" x14ac:dyDescent="0.25">
      <c r="A15557" t="s">
        <v>26224</v>
      </c>
      <c r="B15557" t="s">
        <v>26225</v>
      </c>
      <c r="C15557" s="1" t="str">
        <f>HYPERLINK("http://www.genecards.org/cgi-bin/carddisp.pl?gene=TMEM115","GeneCards")</f>
        <v>GeneCards</v>
      </c>
      <c r="D15557" s="1" t="str">
        <f>HYPERLINK("http://genome-euro.ucsc.edu/cgi-bin/hgTracks?position=216267_s_at","UCSC")</f>
        <v>UCSC</v>
      </c>
      <c r="E15557" s="1" t="str">
        <f>HYPERLINK("http://www.ncbi.nlm.nih.gov/gene/?term=TMEM115","NCBI")</f>
        <v>NCBI</v>
      </c>
      <c r="F15557">
        <v>0.7</v>
      </c>
      <c r="G15557">
        <v>0.77</v>
      </c>
      <c r="H15557" s="1" t="str">
        <f>HYPERLINK("http://www.weizmann.ac.il/complex/compphys/software/geview/data/figures/216267_s_at.png","Figure")</f>
        <v>Figure</v>
      </c>
      <c r="I15557">
        <v>1.06</v>
      </c>
      <c r="J15557">
        <v>0.87</v>
      </c>
      <c r="K15557">
        <v>1.0900000000000001</v>
      </c>
      <c r="L15557">
        <v>0.68</v>
      </c>
      <c r="M15557">
        <v>1.03</v>
      </c>
      <c r="N15557">
        <v>0.97</v>
      </c>
    </row>
    <row r="15558" spans="1:14" x14ac:dyDescent="0.25">
      <c r="A15558" t="s">
        <v>26226</v>
      </c>
      <c r="B15558" t="s">
        <v>26227</v>
      </c>
      <c r="C15558" s="1" t="str">
        <f>HYPERLINK("http://www.genecards.org/cgi-bin/carddisp.pl?gene=DLX6","GeneCards")</f>
        <v>GeneCards</v>
      </c>
      <c r="D15558" s="1" t="str">
        <f>HYPERLINK("http://genome-euro.ucsc.edu/cgi-bin/hgTracks?position=221289_at","UCSC")</f>
        <v>UCSC</v>
      </c>
      <c r="E15558" s="1" t="str">
        <f>HYPERLINK("http://www.ncbi.nlm.nih.gov/gene/?term=DLX6","NCBI")</f>
        <v>NCBI</v>
      </c>
      <c r="F15558">
        <v>0.7</v>
      </c>
      <c r="G15558">
        <v>0.77</v>
      </c>
      <c r="H15558" s="1" t="str">
        <f>HYPERLINK("http://www.weizmann.ac.il/complex/compphys/software/geview/data/figures/221289_at.png","Figure")</f>
        <v>Figure</v>
      </c>
      <c r="I15558">
        <v>1.03</v>
      </c>
      <c r="J15558">
        <v>0.79</v>
      </c>
      <c r="K15558">
        <v>1.04</v>
      </c>
      <c r="L15558">
        <v>0.71</v>
      </c>
      <c r="M15558">
        <v>1</v>
      </c>
      <c r="N15558">
        <v>1</v>
      </c>
    </row>
    <row r="15559" spans="1:14" x14ac:dyDescent="0.25">
      <c r="A15559" t="s">
        <v>26228</v>
      </c>
      <c r="B15559" t="s">
        <v>26229</v>
      </c>
      <c r="C15559" s="1" t="str">
        <f>HYPERLINK("http://www.genecards.org/cgi-bin/carddisp.pl?gene=VCX2","GeneCards")</f>
        <v>GeneCards</v>
      </c>
      <c r="D15559" s="1" t="str">
        <f>HYPERLINK("http://genome-euro.ucsc.edu/cgi-bin/hgTracks?position=207281_x_at","UCSC")</f>
        <v>UCSC</v>
      </c>
      <c r="E15559" s="1" t="str">
        <f>HYPERLINK("http://www.ncbi.nlm.nih.gov/gene/?term=VCX2","NCBI")</f>
        <v>NCBI</v>
      </c>
      <c r="F15559">
        <v>0.7</v>
      </c>
      <c r="G15559">
        <v>0.77</v>
      </c>
      <c r="H15559" s="1" t="str">
        <f>HYPERLINK("http://www.weizmann.ac.il/complex/compphys/software/geview/data/figures/207281_x_at.png","Figure")</f>
        <v>Figure</v>
      </c>
      <c r="I15559">
        <v>1.01</v>
      </c>
      <c r="J15559">
        <v>0.77</v>
      </c>
      <c r="K15559">
        <v>1</v>
      </c>
      <c r="L15559">
        <v>1</v>
      </c>
      <c r="M15559">
        <v>0.99399999999999999</v>
      </c>
      <c r="N15559">
        <v>0.71</v>
      </c>
    </row>
    <row r="15560" spans="1:14" x14ac:dyDescent="0.25">
      <c r="A15560" t="s">
        <v>26230</v>
      </c>
      <c r="B15560" t="s">
        <v>10234</v>
      </c>
      <c r="C15560" s="1" t="str">
        <f>HYPERLINK("http://www.genecards.org/cgi-bin/carddisp.pl?gene=TAF1","GeneCards")</f>
        <v>GeneCards</v>
      </c>
      <c r="D15560" s="1" t="str">
        <f>HYPERLINK("http://genome-euro.ucsc.edu/cgi-bin/hgTracks?position=216711_s_at","UCSC")</f>
        <v>UCSC</v>
      </c>
      <c r="E15560" s="1" t="str">
        <f>HYPERLINK("http://www.ncbi.nlm.nih.gov/gene/?term=TAF1","NCBI")</f>
        <v>NCBI</v>
      </c>
      <c r="F15560">
        <v>0.7</v>
      </c>
      <c r="G15560">
        <v>0.77</v>
      </c>
      <c r="H15560" s="1" t="str">
        <f>HYPERLINK("http://www.weizmann.ac.il/complex/compphys/software/geview/data/figures/216711_s_at.png","Figure")</f>
        <v>Figure</v>
      </c>
      <c r="I15560">
        <v>1.07</v>
      </c>
      <c r="J15560">
        <v>0.8</v>
      </c>
      <c r="K15560">
        <v>1.07</v>
      </c>
      <c r="L15560">
        <v>0.71</v>
      </c>
      <c r="M15560">
        <v>1.01</v>
      </c>
      <c r="N15560">
        <v>1</v>
      </c>
    </row>
    <row r="15561" spans="1:14" x14ac:dyDescent="0.25">
      <c r="A15561" t="s">
        <v>26231</v>
      </c>
      <c r="B15561" t="s">
        <v>26232</v>
      </c>
      <c r="C15561" s="1" t="str">
        <f>HYPERLINK("http://www.genecards.org/cgi-bin/carddisp.pl?gene=ATP4B","GeneCards")</f>
        <v>GeneCards</v>
      </c>
      <c r="D15561" s="1" t="str">
        <f>HYPERLINK("http://genome-euro.ucsc.edu/cgi-bin/hgTracks?position=207546_at","UCSC")</f>
        <v>UCSC</v>
      </c>
      <c r="E15561" s="1" t="str">
        <f>HYPERLINK("http://www.ncbi.nlm.nih.gov/gene/?term=ATP4B","NCBI")</f>
        <v>NCBI</v>
      </c>
      <c r="F15561">
        <v>0.7</v>
      </c>
      <c r="G15561">
        <v>0.77</v>
      </c>
      <c r="H15561" s="1" t="str">
        <f>HYPERLINK("http://www.weizmann.ac.il/complex/compphys/software/geview/data/figures/207546_at.png","Figure")</f>
        <v>Figure</v>
      </c>
      <c r="I15561">
        <v>1.02</v>
      </c>
      <c r="J15561">
        <v>0.92</v>
      </c>
      <c r="K15561">
        <v>0.97899999999999998</v>
      </c>
      <c r="L15561">
        <v>0.9</v>
      </c>
      <c r="M15561">
        <v>0.95899999999999996</v>
      </c>
      <c r="N15561">
        <v>0.69</v>
      </c>
    </row>
    <row r="15562" spans="1:14" x14ac:dyDescent="0.25">
      <c r="A15562" t="s">
        <v>26233</v>
      </c>
      <c r="B15562" t="s">
        <v>26234</v>
      </c>
      <c r="C15562" s="1" t="str">
        <f>HYPERLINK("http://www.genecards.org/cgi-bin/carddisp.pl?gene=ZNF544","GeneCards")</f>
        <v>GeneCards</v>
      </c>
      <c r="D15562" s="1" t="str">
        <f>HYPERLINK("http://genome-euro.ucsc.edu/cgi-bin/hgTracks?position=218735_s_at","UCSC")</f>
        <v>UCSC</v>
      </c>
      <c r="E15562" s="1" t="str">
        <f>HYPERLINK("http://www.ncbi.nlm.nih.gov/gene/?term=ZNF544","NCBI")</f>
        <v>NCBI</v>
      </c>
      <c r="F15562">
        <v>0.7</v>
      </c>
      <c r="G15562">
        <v>0.77</v>
      </c>
      <c r="H15562" s="1" t="str">
        <f>HYPERLINK("http://www.weizmann.ac.il/complex/compphys/software/geview/data/figures/218735_s_at.png","Figure")</f>
        <v>Figure</v>
      </c>
      <c r="I15562">
        <v>1.1200000000000001</v>
      </c>
      <c r="J15562">
        <v>0.72</v>
      </c>
      <c r="K15562">
        <v>1.0900000000000001</v>
      </c>
      <c r="L15562">
        <v>0.77</v>
      </c>
      <c r="M15562">
        <v>0.97599999999999998</v>
      </c>
      <c r="N15562">
        <v>0.98</v>
      </c>
    </row>
    <row r="15563" spans="1:14" x14ac:dyDescent="0.25">
      <c r="A15563" t="s">
        <v>26235</v>
      </c>
      <c r="B15563" t="s">
        <v>26236</v>
      </c>
      <c r="C15563" s="1" t="str">
        <f>HYPERLINK("http://www.genecards.org/cgi-bin/carddisp.pl?gene=SLC17A9","GeneCards")</f>
        <v>GeneCards</v>
      </c>
      <c r="D15563" s="1" t="str">
        <f>HYPERLINK("http://genome-euro.ucsc.edu/cgi-bin/hgTracks?position=219559_at","UCSC")</f>
        <v>UCSC</v>
      </c>
      <c r="E15563" s="1" t="str">
        <f>HYPERLINK("http://www.ncbi.nlm.nih.gov/gene/?term=SLC17A9","NCBI")</f>
        <v>NCBI</v>
      </c>
      <c r="F15563">
        <v>0.7</v>
      </c>
      <c r="G15563">
        <v>0.77</v>
      </c>
      <c r="H15563" s="1" t="str">
        <f>HYPERLINK("http://www.weizmann.ac.il/complex/compphys/software/geview/data/figures/219559_at.png","Figure")</f>
        <v>Figure</v>
      </c>
      <c r="I15563">
        <v>1.03</v>
      </c>
      <c r="J15563">
        <v>0.98</v>
      </c>
      <c r="K15563">
        <v>0.92500000000000004</v>
      </c>
      <c r="L15563">
        <v>0.81</v>
      </c>
      <c r="M15563">
        <v>0.9</v>
      </c>
      <c r="N15563">
        <v>0.72</v>
      </c>
    </row>
    <row r="15564" spans="1:14" x14ac:dyDescent="0.25">
      <c r="A15564" t="s">
        <v>26237</v>
      </c>
      <c r="B15564" t="s">
        <v>10876</v>
      </c>
      <c r="C15564" s="1" t="str">
        <f>HYPERLINK("http://www.genecards.org/cgi-bin/carddisp.pl?gene=KPNA1","GeneCards")</f>
        <v>GeneCards</v>
      </c>
      <c r="D15564" s="1" t="str">
        <f>HYPERLINK("http://genome-euro.ucsc.edu/cgi-bin/hgTracks?position=202058_s_at","UCSC")</f>
        <v>UCSC</v>
      </c>
      <c r="E15564" s="1" t="str">
        <f>HYPERLINK("http://www.ncbi.nlm.nih.gov/gene/?term=KPNA1","NCBI")</f>
        <v>NCBI</v>
      </c>
      <c r="F15564">
        <v>0.7</v>
      </c>
      <c r="G15564">
        <v>0.77</v>
      </c>
      <c r="H15564" s="1" t="str">
        <f>HYPERLINK("http://www.weizmann.ac.il/complex/compphys/software/geview/data/figures/202058_s_at.png","Figure")</f>
        <v>Figure</v>
      </c>
      <c r="I15564">
        <v>0.91700000000000004</v>
      </c>
      <c r="J15564">
        <v>0.77</v>
      </c>
      <c r="K15564">
        <v>0.91900000000000004</v>
      </c>
      <c r="L15564">
        <v>0.72</v>
      </c>
      <c r="M15564">
        <v>1</v>
      </c>
      <c r="N15564">
        <v>1</v>
      </c>
    </row>
    <row r="15565" spans="1:14" x14ac:dyDescent="0.25">
      <c r="A15565" t="s">
        <v>26238</v>
      </c>
      <c r="B15565" t="s">
        <v>13969</v>
      </c>
      <c r="C15565" s="1" t="str">
        <f>HYPERLINK("http://www.genecards.org/cgi-bin/carddisp.pl?gene=TBC1D5","GeneCards")</f>
        <v>GeneCards</v>
      </c>
      <c r="D15565" s="1" t="str">
        <f>HYPERLINK("http://genome-euro.ucsc.edu/cgi-bin/hgTracks?position=201813_s_at","UCSC")</f>
        <v>UCSC</v>
      </c>
      <c r="E15565" s="1" t="str">
        <f>HYPERLINK("http://www.ncbi.nlm.nih.gov/gene/?term=TBC1D5","NCBI")</f>
        <v>NCBI</v>
      </c>
      <c r="F15565">
        <v>0.7</v>
      </c>
      <c r="G15565">
        <v>0.77</v>
      </c>
      <c r="H15565" s="1" t="str">
        <f>HYPERLINK("http://www.weizmann.ac.il/complex/compphys/software/geview/data/figures/201813_s_at.png","Figure")</f>
        <v>Figure</v>
      </c>
      <c r="I15565">
        <v>1.04</v>
      </c>
      <c r="J15565">
        <v>0.95</v>
      </c>
      <c r="K15565">
        <v>1.1100000000000001</v>
      </c>
      <c r="L15565">
        <v>0.69</v>
      </c>
      <c r="M15565">
        <v>1.06</v>
      </c>
      <c r="N15565">
        <v>0.89</v>
      </c>
    </row>
    <row r="15566" spans="1:14" x14ac:dyDescent="0.25">
      <c r="A15566" t="s">
        <v>26239</v>
      </c>
      <c r="B15566" t="s">
        <v>13800</v>
      </c>
      <c r="C15566" s="1" t="str">
        <f>HYPERLINK("http://www.genecards.org/cgi-bin/carddisp.pl?gene=FASN","GeneCards")</f>
        <v>GeneCards</v>
      </c>
      <c r="D15566" s="1" t="str">
        <f>HYPERLINK("http://genome-euro.ucsc.edu/cgi-bin/hgTracks?position=212218_s_at","UCSC")</f>
        <v>UCSC</v>
      </c>
      <c r="E15566" s="1" t="str">
        <f>HYPERLINK("http://www.ncbi.nlm.nih.gov/gene/?term=FASN","NCBI")</f>
        <v>NCBI</v>
      </c>
      <c r="F15566">
        <v>0.7</v>
      </c>
      <c r="G15566">
        <v>0.77</v>
      </c>
      <c r="H15566" s="1" t="str">
        <f>HYPERLINK("http://www.weizmann.ac.il/complex/compphys/software/geview/data/figures/212218_s_at.png","Figure")</f>
        <v>Figure</v>
      </c>
      <c r="I15566">
        <v>1.01</v>
      </c>
      <c r="J15566">
        <v>0.99</v>
      </c>
      <c r="K15566">
        <v>1.08</v>
      </c>
      <c r="L15566">
        <v>0.72</v>
      </c>
      <c r="M15566">
        <v>1.06</v>
      </c>
      <c r="N15566">
        <v>0.82</v>
      </c>
    </row>
    <row r="15567" spans="1:14" x14ac:dyDescent="0.25">
      <c r="A15567" t="s">
        <v>26240</v>
      </c>
      <c r="B15567" t="s">
        <v>8396</v>
      </c>
      <c r="C15567" s="1" t="str">
        <f>HYPERLINK("http://www.genecards.org/cgi-bin/carddisp.pl?gene=LRPPRC","GeneCards")</f>
        <v>GeneCards</v>
      </c>
      <c r="D15567" s="1" t="str">
        <f>HYPERLINK("http://genome-euro.ucsc.edu/cgi-bin/hgTracks?position=211615_s_at","UCSC")</f>
        <v>UCSC</v>
      </c>
      <c r="E15567" s="1" t="str">
        <f>HYPERLINK("http://www.ncbi.nlm.nih.gov/gene/?term=LRPPRC","NCBI")</f>
        <v>NCBI</v>
      </c>
      <c r="F15567">
        <v>0.7</v>
      </c>
      <c r="G15567">
        <v>0.77</v>
      </c>
      <c r="H15567" s="1" t="str">
        <f>HYPERLINK("http://www.weizmann.ac.il/complex/compphys/software/geview/data/figures/211615_s_at.png","Figure")</f>
        <v>Figure</v>
      </c>
      <c r="I15567">
        <v>1.1299999999999999</v>
      </c>
      <c r="J15567">
        <v>0.82</v>
      </c>
      <c r="K15567">
        <v>1.1599999999999999</v>
      </c>
      <c r="L15567">
        <v>0.7</v>
      </c>
      <c r="M15567">
        <v>1.02</v>
      </c>
      <c r="N15567">
        <v>0.99</v>
      </c>
    </row>
    <row r="15568" spans="1:14" x14ac:dyDescent="0.25">
      <c r="A15568" t="s">
        <v>26241</v>
      </c>
      <c r="B15568" t="s">
        <v>20085</v>
      </c>
      <c r="C15568" s="1" t="str">
        <f>HYPERLINK("http://www.genecards.org/cgi-bin/carddisp.pl?gene=CD24","GeneCards")</f>
        <v>GeneCards</v>
      </c>
      <c r="D15568" s="1" t="str">
        <f>HYPERLINK("http://genome-euro.ucsc.edu/cgi-bin/hgTracks?position=266_s_at","UCSC")</f>
        <v>UCSC</v>
      </c>
      <c r="E15568" s="1" t="str">
        <f>HYPERLINK("http://www.ncbi.nlm.nih.gov/gene/?term=CD24","NCBI")</f>
        <v>NCBI</v>
      </c>
      <c r="F15568">
        <v>0.71</v>
      </c>
      <c r="G15568">
        <v>0.77</v>
      </c>
      <c r="H15568" s="1" t="str">
        <f>HYPERLINK("http://www.weizmann.ac.il/complex/compphys/software/geview/data/figures/266_s_at.png","Figure")</f>
        <v>Figure</v>
      </c>
      <c r="I15568">
        <v>0.94</v>
      </c>
      <c r="J15568">
        <v>0.98</v>
      </c>
      <c r="K15568">
        <v>1.17</v>
      </c>
      <c r="L15568">
        <v>0.82</v>
      </c>
      <c r="M15568">
        <v>1.25</v>
      </c>
      <c r="N15568">
        <v>0.72</v>
      </c>
    </row>
    <row r="15569" spans="1:14" x14ac:dyDescent="0.25">
      <c r="A15569" t="s">
        <v>26242</v>
      </c>
      <c r="B15569" t="s">
        <v>17202</v>
      </c>
      <c r="C15569" s="1" t="str">
        <f>HYPERLINK("http://www.genecards.org/cgi-bin/carddisp.pl?gene=TMCC1","GeneCards")</f>
        <v>GeneCards</v>
      </c>
      <c r="D15569" s="1" t="str">
        <f>HYPERLINK("http://genome-euro.ucsc.edu/cgi-bin/hgTracks?position=213352_at","UCSC")</f>
        <v>UCSC</v>
      </c>
      <c r="E15569" s="1" t="str">
        <f>HYPERLINK("http://www.ncbi.nlm.nih.gov/gene/?term=TMCC1","NCBI")</f>
        <v>NCBI</v>
      </c>
      <c r="F15569">
        <v>0.71</v>
      </c>
      <c r="G15569">
        <v>0.77</v>
      </c>
      <c r="H15569" s="1" t="str">
        <f>HYPERLINK("http://www.weizmann.ac.il/complex/compphys/software/geview/data/figures/213352_at.png","Figure")</f>
        <v>Figure</v>
      </c>
      <c r="I15569">
        <v>0.95099999999999996</v>
      </c>
      <c r="J15569">
        <v>0.74</v>
      </c>
      <c r="K15569">
        <v>0.95799999999999996</v>
      </c>
      <c r="L15569">
        <v>0.75</v>
      </c>
      <c r="M15569">
        <v>1.01</v>
      </c>
      <c r="N15569">
        <v>0.99</v>
      </c>
    </row>
    <row r="15570" spans="1:14" x14ac:dyDescent="0.25">
      <c r="A15570" t="s">
        <v>26243</v>
      </c>
      <c r="B15570" t="s">
        <v>26244</v>
      </c>
      <c r="C15570" s="1" t="str">
        <f>HYPERLINK("http://www.genecards.org/cgi-bin/carddisp.pl?gene=POLE","GeneCards")</f>
        <v>GeneCards</v>
      </c>
      <c r="D15570" s="1" t="str">
        <f>HYPERLINK("http://genome-euro.ucsc.edu/cgi-bin/hgTracks?position=216026_s_at","UCSC")</f>
        <v>UCSC</v>
      </c>
      <c r="E15570" s="1" t="str">
        <f>HYPERLINK("http://www.ncbi.nlm.nih.gov/gene/?term=POLE","NCBI")</f>
        <v>NCBI</v>
      </c>
      <c r="F15570">
        <v>0.71</v>
      </c>
      <c r="G15570">
        <v>0.77</v>
      </c>
      <c r="H15570" s="1" t="str">
        <f>HYPERLINK("http://www.weizmann.ac.il/complex/compphys/software/geview/data/figures/216026_s_at.png","Figure")</f>
        <v>Figure</v>
      </c>
      <c r="I15570">
        <v>0.94699999999999995</v>
      </c>
      <c r="J15570">
        <v>0.94</v>
      </c>
      <c r="K15570">
        <v>0.89</v>
      </c>
      <c r="L15570">
        <v>0.68</v>
      </c>
      <c r="M15570">
        <v>0.94</v>
      </c>
      <c r="N15570">
        <v>0.91</v>
      </c>
    </row>
    <row r="15571" spans="1:14" x14ac:dyDescent="0.25">
      <c r="A15571" t="s">
        <v>26245</v>
      </c>
      <c r="B15571" t="s">
        <v>8874</v>
      </c>
      <c r="C15571" s="1" t="str">
        <f>HYPERLINK("http://www.genecards.org/cgi-bin/carddisp.pl?gene=ATP13A3","GeneCards")</f>
        <v>GeneCards</v>
      </c>
      <c r="D15571" s="1" t="str">
        <f>HYPERLINK("http://genome-euro.ucsc.edu/cgi-bin/hgTracks?position=219558_at","UCSC")</f>
        <v>UCSC</v>
      </c>
      <c r="E15571" s="1" t="str">
        <f>HYPERLINK("http://www.ncbi.nlm.nih.gov/gene/?term=ATP13A3","NCBI")</f>
        <v>NCBI</v>
      </c>
      <c r="F15571">
        <v>0.71</v>
      </c>
      <c r="G15571">
        <v>0.77</v>
      </c>
      <c r="H15571" s="1" t="str">
        <f>HYPERLINK("http://www.weizmann.ac.il/complex/compphys/software/geview/data/figures/219558_at.png","Figure")</f>
        <v>Figure</v>
      </c>
      <c r="I15571">
        <v>1.0900000000000001</v>
      </c>
      <c r="J15571">
        <v>0.79</v>
      </c>
      <c r="K15571">
        <v>0.98599999999999999</v>
      </c>
      <c r="L15571">
        <v>0.99</v>
      </c>
      <c r="M15571">
        <v>0.90600000000000003</v>
      </c>
      <c r="N15571">
        <v>0.7</v>
      </c>
    </row>
    <row r="15572" spans="1:14" x14ac:dyDescent="0.25">
      <c r="A15572" t="s">
        <v>26246</v>
      </c>
      <c r="B15572" t="s">
        <v>20609</v>
      </c>
      <c r="C15572" s="1" t="str">
        <f>HYPERLINK("http://www.genecards.org/cgi-bin/carddisp.pl?gene=IQCB1","GeneCards")</f>
        <v>GeneCards</v>
      </c>
      <c r="D15572" s="1" t="str">
        <f>HYPERLINK("http://genome-euro.ucsc.edu/cgi-bin/hgTracks?position=205995_x_at","UCSC")</f>
        <v>UCSC</v>
      </c>
      <c r="E15572" s="1" t="str">
        <f>HYPERLINK("http://www.ncbi.nlm.nih.gov/gene/?term=IQCB1","NCBI")</f>
        <v>NCBI</v>
      </c>
      <c r="F15572">
        <v>0.71</v>
      </c>
      <c r="G15572">
        <v>0.77</v>
      </c>
      <c r="H15572" s="1" t="str">
        <f>HYPERLINK("http://www.weizmann.ac.il/complex/compphys/software/geview/data/figures/205995_x_at.png","Figure")</f>
        <v>Figure</v>
      </c>
      <c r="I15572">
        <v>1.08</v>
      </c>
      <c r="J15572">
        <v>0.8</v>
      </c>
      <c r="K15572">
        <v>0.98499999999999999</v>
      </c>
      <c r="L15572">
        <v>0.99</v>
      </c>
      <c r="M15572">
        <v>0.91400000000000003</v>
      </c>
      <c r="N15572">
        <v>0.7</v>
      </c>
    </row>
    <row r="15573" spans="1:14" x14ac:dyDescent="0.25">
      <c r="A15573" t="s">
        <v>26247</v>
      </c>
      <c r="B15573" t="s">
        <v>14152</v>
      </c>
      <c r="C15573" s="1" t="str">
        <f>HYPERLINK("http://www.genecards.org/cgi-bin/carddisp.pl?gene=LYPLA1","GeneCards")</f>
        <v>GeneCards</v>
      </c>
      <c r="D15573" s="1" t="str">
        <f>HYPERLINK("http://genome-euro.ucsc.edu/cgi-bin/hgTracks?position=203007_x_at","UCSC")</f>
        <v>UCSC</v>
      </c>
      <c r="E15573" s="1" t="str">
        <f>HYPERLINK("http://www.ncbi.nlm.nih.gov/gene/?term=LYPLA1","NCBI")</f>
        <v>NCBI</v>
      </c>
      <c r="F15573">
        <v>0.71</v>
      </c>
      <c r="G15573">
        <v>0.77</v>
      </c>
      <c r="H15573" s="1" t="str">
        <f>HYPERLINK("http://www.weizmann.ac.il/complex/compphys/software/geview/data/figures/203007_x_at.png","Figure")</f>
        <v>Figure</v>
      </c>
      <c r="I15573">
        <v>0.86</v>
      </c>
      <c r="J15573">
        <v>0.85</v>
      </c>
      <c r="K15573">
        <v>0.81599999999999995</v>
      </c>
      <c r="L15573">
        <v>0.69</v>
      </c>
      <c r="M15573">
        <v>0.94799999999999995</v>
      </c>
      <c r="N15573">
        <v>0.98</v>
      </c>
    </row>
    <row r="15574" spans="1:14" x14ac:dyDescent="0.25">
      <c r="A15574" t="s">
        <v>26248</v>
      </c>
      <c r="B15574" t="s">
        <v>3601</v>
      </c>
      <c r="C15574" s="1" t="str">
        <f>HYPERLINK("http://www.genecards.org/cgi-bin/carddisp.pl?gene=RSL1D1","GeneCards")</f>
        <v>GeneCards</v>
      </c>
      <c r="D15574" s="1" t="str">
        <f>HYPERLINK("http://genome-euro.ucsc.edu/cgi-bin/hgTracks?position=212018_s_at","UCSC")</f>
        <v>UCSC</v>
      </c>
      <c r="E15574" s="1" t="str">
        <f>HYPERLINK("http://www.ncbi.nlm.nih.gov/gene/?term=RSL1D1","NCBI")</f>
        <v>NCBI</v>
      </c>
      <c r="F15574">
        <v>0.71</v>
      </c>
      <c r="G15574">
        <v>0.77</v>
      </c>
      <c r="H15574" s="1" t="str">
        <f>HYPERLINK("http://www.weizmann.ac.il/complex/compphys/software/geview/data/figures/212018_s_at.png","Figure")</f>
        <v>Figure</v>
      </c>
      <c r="I15574">
        <v>1.04</v>
      </c>
      <c r="J15574">
        <v>0.85</v>
      </c>
      <c r="K15574">
        <v>1.05</v>
      </c>
      <c r="L15574">
        <v>0.69</v>
      </c>
      <c r="M15574">
        <v>1.01</v>
      </c>
      <c r="N15574">
        <v>0.98</v>
      </c>
    </row>
    <row r="15575" spans="1:14" x14ac:dyDescent="0.25">
      <c r="A15575" t="s">
        <v>26249</v>
      </c>
      <c r="B15575" t="s">
        <v>10071</v>
      </c>
      <c r="C15575" s="1" t="str">
        <f>HYPERLINK("http://www.genecards.org/cgi-bin/carddisp.pl?gene=CALU","GeneCards")</f>
        <v>GeneCards</v>
      </c>
      <c r="D15575" s="1" t="str">
        <f>HYPERLINK("http://genome-euro.ucsc.edu/cgi-bin/hgTracks?position=200757_s_at","UCSC")</f>
        <v>UCSC</v>
      </c>
      <c r="E15575" s="1" t="str">
        <f>HYPERLINK("http://www.ncbi.nlm.nih.gov/gene/?term=CALU","NCBI")</f>
        <v>NCBI</v>
      </c>
      <c r="F15575">
        <v>0.71</v>
      </c>
      <c r="G15575">
        <v>0.77</v>
      </c>
      <c r="H15575" s="1" t="str">
        <f>HYPERLINK("http://www.weizmann.ac.il/complex/compphys/software/geview/data/figures/200757_s_at.png","Figure")</f>
        <v>Figure</v>
      </c>
      <c r="I15575">
        <v>0.96699999999999997</v>
      </c>
      <c r="J15575">
        <v>0.9</v>
      </c>
      <c r="K15575">
        <v>0.94299999999999995</v>
      </c>
      <c r="L15575">
        <v>0.68</v>
      </c>
      <c r="M15575">
        <v>0.97599999999999998</v>
      </c>
      <c r="N15575">
        <v>0.94</v>
      </c>
    </row>
    <row r="15576" spans="1:14" x14ac:dyDescent="0.25">
      <c r="A15576" t="s">
        <v>26250</v>
      </c>
      <c r="B15576" t="s">
        <v>26251</v>
      </c>
      <c r="C15576" s="1" t="str">
        <f>HYPERLINK("http://www.genecards.org/cgi-bin/carddisp.pl?gene=KCNMB1","GeneCards")</f>
        <v>GeneCards</v>
      </c>
      <c r="D15576" s="1" t="str">
        <f>HYPERLINK("http://genome-euro.ucsc.edu/cgi-bin/hgTracks?position=209948_at","UCSC")</f>
        <v>UCSC</v>
      </c>
      <c r="E15576" s="1" t="str">
        <f>HYPERLINK("http://www.ncbi.nlm.nih.gov/gene/?term=KCNMB1","NCBI")</f>
        <v>NCBI</v>
      </c>
      <c r="F15576">
        <v>0.71</v>
      </c>
      <c r="G15576">
        <v>0.77</v>
      </c>
      <c r="H15576" s="1" t="str">
        <f>HYPERLINK("http://www.weizmann.ac.il/complex/compphys/software/geview/data/figures/209948_at.png","Figure")</f>
        <v>Figure</v>
      </c>
      <c r="I15576">
        <v>1.04</v>
      </c>
      <c r="J15576">
        <v>0.8</v>
      </c>
      <c r="K15576">
        <v>0.99299999999999999</v>
      </c>
      <c r="L15576">
        <v>0.99</v>
      </c>
      <c r="M15576">
        <v>0.95699999999999996</v>
      </c>
      <c r="N15576">
        <v>0.7</v>
      </c>
    </row>
    <row r="15577" spans="1:14" x14ac:dyDescent="0.25">
      <c r="A15577" t="s">
        <v>26252</v>
      </c>
      <c r="B15577" t="s">
        <v>18632</v>
      </c>
      <c r="C15577" s="1" t="str">
        <f>HYPERLINK("http://www.genecards.org/cgi-bin/carddisp.pl?gene=MFN1","GeneCards")</f>
        <v>GeneCards</v>
      </c>
      <c r="D15577" s="1" t="str">
        <f>HYPERLINK("http://genome-euro.ucsc.edu/cgi-bin/hgTracks?position=217043_s_at","UCSC")</f>
        <v>UCSC</v>
      </c>
      <c r="E15577" s="1" t="str">
        <f>HYPERLINK("http://www.ncbi.nlm.nih.gov/gene/?term=MFN1","NCBI")</f>
        <v>NCBI</v>
      </c>
      <c r="F15577">
        <v>0.71</v>
      </c>
      <c r="G15577">
        <v>0.77</v>
      </c>
      <c r="H15577" s="1" t="str">
        <f>HYPERLINK("http://www.weizmann.ac.il/complex/compphys/software/geview/data/figures/217043_s_at.png","Figure")</f>
        <v>Figure</v>
      </c>
      <c r="I15577">
        <v>0.97099999999999997</v>
      </c>
      <c r="J15577">
        <v>0.98</v>
      </c>
      <c r="K15577">
        <v>0.89900000000000002</v>
      </c>
      <c r="L15577">
        <v>0.71</v>
      </c>
      <c r="M15577">
        <v>0.92600000000000005</v>
      </c>
      <c r="N15577">
        <v>0.85</v>
      </c>
    </row>
    <row r="15578" spans="1:14" x14ac:dyDescent="0.25">
      <c r="A15578" t="s">
        <v>26253</v>
      </c>
      <c r="B15578" t="s">
        <v>26254</v>
      </c>
      <c r="C15578" s="1" t="str">
        <f>HYPERLINK("http://www.genecards.org/cgi-bin/carddisp.pl?gene=RBX1","GeneCards")</f>
        <v>GeneCards</v>
      </c>
      <c r="D15578" s="1" t="str">
        <f>HYPERLINK("http://genome-euro.ucsc.edu/cgi-bin/hgTracks?position=218117_at","UCSC")</f>
        <v>UCSC</v>
      </c>
      <c r="E15578" s="1" t="str">
        <f>HYPERLINK("http://www.ncbi.nlm.nih.gov/gene/?term=RBX1","NCBI")</f>
        <v>NCBI</v>
      </c>
      <c r="F15578">
        <v>0.71</v>
      </c>
      <c r="G15578">
        <v>0.77</v>
      </c>
      <c r="H15578" s="1" t="str">
        <f>HYPERLINK("http://www.weizmann.ac.il/complex/compphys/software/geview/data/figures/218117_at.png","Figure")</f>
        <v>Figure</v>
      </c>
      <c r="I15578">
        <v>1.1299999999999999</v>
      </c>
      <c r="J15578">
        <v>0.7</v>
      </c>
      <c r="K15578">
        <v>1.08</v>
      </c>
      <c r="L15578">
        <v>0.82</v>
      </c>
      <c r="M15578">
        <v>0.95899999999999996</v>
      </c>
      <c r="N15578">
        <v>0.95</v>
      </c>
    </row>
    <row r="15579" spans="1:14" x14ac:dyDescent="0.25">
      <c r="A15579" t="s">
        <v>26255</v>
      </c>
      <c r="B15579" t="s">
        <v>26256</v>
      </c>
      <c r="C15579" s="1" t="str">
        <f>HYPERLINK("http://www.genecards.org/cgi-bin/carddisp.pl?gene=UTP6","GeneCards")</f>
        <v>GeneCards</v>
      </c>
      <c r="D15579" s="1" t="str">
        <f>HYPERLINK("http://genome-euro.ucsc.edu/cgi-bin/hgTracks?position=218715_at","UCSC")</f>
        <v>UCSC</v>
      </c>
      <c r="E15579" s="1" t="str">
        <f>HYPERLINK("http://www.ncbi.nlm.nih.gov/gene/?term=UTP6","NCBI")</f>
        <v>NCBI</v>
      </c>
      <c r="F15579">
        <v>0.71</v>
      </c>
      <c r="G15579">
        <v>0.77</v>
      </c>
      <c r="H15579" s="1" t="str">
        <f>HYPERLINK("http://www.weizmann.ac.il/complex/compphys/software/geview/data/figures/218715_at.png","Figure")</f>
        <v>Figure</v>
      </c>
      <c r="I15579">
        <v>0.91200000000000003</v>
      </c>
      <c r="J15579">
        <v>0.86</v>
      </c>
      <c r="K15579">
        <v>1.05</v>
      </c>
      <c r="L15579">
        <v>0.95</v>
      </c>
      <c r="M15579">
        <v>1.1499999999999999</v>
      </c>
      <c r="N15579">
        <v>0.68</v>
      </c>
    </row>
    <row r="15580" spans="1:14" x14ac:dyDescent="0.25">
      <c r="A15580" t="s">
        <v>26257</v>
      </c>
      <c r="B15580" t="s">
        <v>26258</v>
      </c>
      <c r="C15580" s="1" t="str">
        <f>HYPERLINK("http://www.genecards.org/cgi-bin/carddisp.pl?gene=IL22","GeneCards")</f>
        <v>GeneCards</v>
      </c>
      <c r="D15580" s="1" t="str">
        <f>HYPERLINK("http://genome-euro.ucsc.edu/cgi-bin/hgTracks?position=221165_s_at","UCSC")</f>
        <v>UCSC</v>
      </c>
      <c r="E15580" s="1" t="str">
        <f>HYPERLINK("http://www.ncbi.nlm.nih.gov/gene/?term=IL22","NCBI")</f>
        <v>NCBI</v>
      </c>
      <c r="F15580">
        <v>0.71</v>
      </c>
      <c r="G15580">
        <v>0.77</v>
      </c>
      <c r="H15580" s="1" t="str">
        <f>HYPERLINK("http://www.weizmann.ac.il/complex/compphys/software/geview/data/figures/221165_s_at.png","Figure")</f>
        <v>Figure</v>
      </c>
      <c r="I15580">
        <v>1.06</v>
      </c>
      <c r="J15580">
        <v>0.71</v>
      </c>
      <c r="K15580">
        <v>1.05</v>
      </c>
      <c r="L15580">
        <v>0.79</v>
      </c>
      <c r="M15580">
        <v>0.98299999999999998</v>
      </c>
      <c r="N15580">
        <v>0.97</v>
      </c>
    </row>
    <row r="15581" spans="1:14" x14ac:dyDescent="0.25">
      <c r="A15581" t="s">
        <v>26259</v>
      </c>
      <c r="B15581" t="s">
        <v>26260</v>
      </c>
      <c r="C15581" s="1" t="str">
        <f>HYPERLINK("http://www.genecards.org/cgi-bin/carddisp.pl?gene=MCAT","GeneCards")</f>
        <v>GeneCards</v>
      </c>
      <c r="D15581" s="1" t="str">
        <f>HYPERLINK("http://genome-euro.ucsc.edu/cgi-bin/hgTracks?position=213132_s_at","UCSC")</f>
        <v>UCSC</v>
      </c>
      <c r="E15581" s="1" t="str">
        <f>HYPERLINK("http://www.ncbi.nlm.nih.gov/gene/?term=MCAT","NCBI")</f>
        <v>NCBI</v>
      </c>
      <c r="F15581">
        <v>0.71</v>
      </c>
      <c r="G15581">
        <v>0.77</v>
      </c>
      <c r="H15581" s="1" t="str">
        <f>HYPERLINK("http://www.weizmann.ac.il/complex/compphys/software/geview/data/figures/213132_s_at.png","Figure")</f>
        <v>Figure</v>
      </c>
      <c r="I15581">
        <v>1.05</v>
      </c>
      <c r="J15581">
        <v>0.73</v>
      </c>
      <c r="K15581">
        <v>1.04</v>
      </c>
      <c r="L15581">
        <v>0.77</v>
      </c>
      <c r="M15581">
        <v>0.99</v>
      </c>
      <c r="N15581">
        <v>0.98</v>
      </c>
    </row>
    <row r="15582" spans="1:14" x14ac:dyDescent="0.25">
      <c r="A15582" t="s">
        <v>26261</v>
      </c>
      <c r="B15582" t="s">
        <v>26262</v>
      </c>
      <c r="C15582" s="1" t="str">
        <f>HYPERLINK("http://www.genecards.org/cgi-bin/carddisp.pl?gene=TAF1A","GeneCards")</f>
        <v>GeneCards</v>
      </c>
      <c r="D15582" s="1" t="str">
        <f>HYPERLINK("http://genome-euro.ucsc.edu/cgi-bin/hgTracks?position=206613_s_at","UCSC")</f>
        <v>UCSC</v>
      </c>
      <c r="E15582" s="1" t="str">
        <f>HYPERLINK("http://www.ncbi.nlm.nih.gov/gene/?term=TAF1A","NCBI")</f>
        <v>NCBI</v>
      </c>
      <c r="F15582">
        <v>0.71</v>
      </c>
      <c r="G15582">
        <v>0.77</v>
      </c>
      <c r="H15582" s="1" t="str">
        <f>HYPERLINK("http://www.weizmann.ac.il/complex/compphys/software/geview/data/figures/206613_s_at.png","Figure")</f>
        <v>Figure</v>
      </c>
      <c r="I15582">
        <v>1.1000000000000001</v>
      </c>
      <c r="J15582">
        <v>0.81</v>
      </c>
      <c r="K15582">
        <v>0.97799999999999998</v>
      </c>
      <c r="L15582">
        <v>0.98</v>
      </c>
      <c r="M15582">
        <v>0.88800000000000001</v>
      </c>
      <c r="N15582">
        <v>0.69</v>
      </c>
    </row>
    <row r="15583" spans="1:14" x14ac:dyDescent="0.25">
      <c r="A15583" t="s">
        <v>26263</v>
      </c>
      <c r="B15583" t="s">
        <v>25950</v>
      </c>
      <c r="C15583" s="1" t="str">
        <f>HYPERLINK("http://www.genecards.org/cgi-bin/carddisp.pl?gene=MIOS","GeneCards")</f>
        <v>GeneCards</v>
      </c>
      <c r="D15583" s="1" t="str">
        <f>HYPERLINK("http://genome-euro.ucsc.edu/cgi-bin/hgTracks?position=206860_s_at","UCSC")</f>
        <v>UCSC</v>
      </c>
      <c r="E15583" s="1" t="str">
        <f>HYPERLINK("http://www.ncbi.nlm.nih.gov/gene/?term=MIOS","NCBI")</f>
        <v>NCBI</v>
      </c>
      <c r="F15583">
        <v>0.71</v>
      </c>
      <c r="G15583">
        <v>0.77</v>
      </c>
      <c r="H15583" s="1" t="str">
        <f>HYPERLINK("http://www.weizmann.ac.il/complex/compphys/software/geview/data/figures/206860_s_at.png","Figure")</f>
        <v>Figure</v>
      </c>
      <c r="I15583">
        <v>1</v>
      </c>
      <c r="J15583">
        <v>1</v>
      </c>
      <c r="K15583">
        <v>0.86199999999999999</v>
      </c>
      <c r="L15583">
        <v>0.75</v>
      </c>
      <c r="M15583">
        <v>0.86199999999999999</v>
      </c>
      <c r="N15583">
        <v>0.78</v>
      </c>
    </row>
    <row r="15584" spans="1:14" x14ac:dyDescent="0.25">
      <c r="A15584" t="s">
        <v>26264</v>
      </c>
      <c r="B15584" t="s">
        <v>26265</v>
      </c>
      <c r="C15584" s="1" t="str">
        <f>HYPERLINK("http://www.genecards.org/cgi-bin/carddisp.pl?gene=SC5DL","GeneCards")</f>
        <v>GeneCards</v>
      </c>
      <c r="D15584" s="1" t="str">
        <f>HYPERLINK("http://genome-euro.ucsc.edu/cgi-bin/hgTracks?position=211423_s_at","UCSC")</f>
        <v>UCSC</v>
      </c>
      <c r="E15584" s="1" t="str">
        <f>HYPERLINK("http://www.ncbi.nlm.nih.gov/gene/?term=SC5DL","NCBI")</f>
        <v>NCBI</v>
      </c>
      <c r="F15584">
        <v>0.71</v>
      </c>
      <c r="G15584">
        <v>0.77</v>
      </c>
      <c r="H15584" s="1" t="str">
        <f>HYPERLINK("http://www.weizmann.ac.il/complex/compphys/software/geview/data/figures/211423_s_at.png","Figure")</f>
        <v>Figure</v>
      </c>
      <c r="I15584">
        <v>0.81799999999999995</v>
      </c>
      <c r="J15584">
        <v>0.79</v>
      </c>
      <c r="K15584">
        <v>0.81</v>
      </c>
      <c r="L15584">
        <v>0.72</v>
      </c>
      <c r="M15584">
        <v>0.99</v>
      </c>
      <c r="N15584">
        <v>1</v>
      </c>
    </row>
    <row r="15585" spans="1:14" x14ac:dyDescent="0.25">
      <c r="A15585" t="s">
        <v>26266</v>
      </c>
      <c r="B15585" t="s">
        <v>25843</v>
      </c>
      <c r="C15585" s="1" t="str">
        <f>HYPERLINK("http://www.genecards.org/cgi-bin/carddisp.pl?gene=TRBC1","GeneCards")</f>
        <v>GeneCards</v>
      </c>
      <c r="D15585" s="1" t="str">
        <f>HYPERLINK("http://genome-euro.ucsc.edu/cgi-bin/hgTracks?position=211796_s_at","UCSC")</f>
        <v>UCSC</v>
      </c>
      <c r="E15585" s="1" t="str">
        <f>HYPERLINK("http://www.ncbi.nlm.nih.gov/gene/?term=TRBC1","NCBI")</f>
        <v>NCBI</v>
      </c>
      <c r="F15585">
        <v>0.71</v>
      </c>
      <c r="G15585">
        <v>0.77</v>
      </c>
      <c r="H15585" s="1" t="str">
        <f>HYPERLINK("http://www.weizmann.ac.il/complex/compphys/software/geview/data/figures/211796_s_at.png","Figure")</f>
        <v>Figure</v>
      </c>
      <c r="I15585">
        <v>1.1100000000000001</v>
      </c>
      <c r="J15585">
        <v>0.91</v>
      </c>
      <c r="K15585">
        <v>0.91500000000000004</v>
      </c>
      <c r="L15585">
        <v>0.91</v>
      </c>
      <c r="M15585">
        <v>0.82299999999999995</v>
      </c>
      <c r="N15585">
        <v>0.69</v>
      </c>
    </row>
    <row r="15586" spans="1:14" x14ac:dyDescent="0.25">
      <c r="A15586" t="s">
        <v>26267</v>
      </c>
      <c r="B15586" t="s">
        <v>26268</v>
      </c>
      <c r="C15586" s="1" t="str">
        <f>HYPERLINK("http://www.genecards.org/cgi-bin/carddisp.pl?gene=ADSS","GeneCards")</f>
        <v>GeneCards</v>
      </c>
      <c r="D15586" s="1" t="str">
        <f>HYPERLINK("http://genome-euro.ucsc.edu/cgi-bin/hgTracks?position=221761_at","UCSC")</f>
        <v>UCSC</v>
      </c>
      <c r="E15586" s="1" t="str">
        <f>HYPERLINK("http://www.ncbi.nlm.nih.gov/gene/?term=ADSS","NCBI")</f>
        <v>NCBI</v>
      </c>
      <c r="F15586">
        <v>0.71</v>
      </c>
      <c r="G15586">
        <v>0.77</v>
      </c>
      <c r="H15586" s="1" t="str">
        <f>HYPERLINK("http://www.weizmann.ac.il/complex/compphys/software/geview/data/figures/221761_at.png","Figure")</f>
        <v>Figure</v>
      </c>
      <c r="I15586">
        <v>0.92800000000000005</v>
      </c>
      <c r="J15586">
        <v>0.95</v>
      </c>
      <c r="K15586">
        <v>1.1100000000000001</v>
      </c>
      <c r="L15586">
        <v>0.87</v>
      </c>
      <c r="M15586">
        <v>1.2</v>
      </c>
      <c r="N15586">
        <v>0.7</v>
      </c>
    </row>
    <row r="15587" spans="1:14" x14ac:dyDescent="0.25">
      <c r="A15587" t="s">
        <v>26269</v>
      </c>
      <c r="B15587" t="s">
        <v>26270</v>
      </c>
      <c r="C15587" s="1" t="str">
        <f>HYPERLINK("http://www.genecards.org/cgi-bin/carddisp.pl?gene=PRF1","GeneCards")</f>
        <v>GeneCards</v>
      </c>
      <c r="D15587" s="1" t="str">
        <f>HYPERLINK("http://genome-euro.ucsc.edu/cgi-bin/hgTracks?position=214617_at","UCSC")</f>
        <v>UCSC</v>
      </c>
      <c r="E15587" s="1" t="str">
        <f>HYPERLINK("http://www.ncbi.nlm.nih.gov/gene/?term=PRF1","NCBI")</f>
        <v>NCBI</v>
      </c>
      <c r="F15587">
        <v>0.71</v>
      </c>
      <c r="G15587">
        <v>0.77</v>
      </c>
      <c r="H15587" s="1" t="str">
        <f>HYPERLINK("http://www.weizmann.ac.il/complex/compphys/software/geview/data/figures/214617_at.png","Figure")</f>
        <v>Figure</v>
      </c>
      <c r="I15587">
        <v>0.93400000000000005</v>
      </c>
      <c r="J15587">
        <v>0.95</v>
      </c>
      <c r="K15587">
        <v>1.1100000000000001</v>
      </c>
      <c r="L15587">
        <v>0.86</v>
      </c>
      <c r="M15587">
        <v>1.19</v>
      </c>
      <c r="N15587">
        <v>0.7</v>
      </c>
    </row>
    <row r="15588" spans="1:14" x14ac:dyDescent="0.25">
      <c r="A15588" t="s">
        <v>26271</v>
      </c>
      <c r="B15588" t="s">
        <v>26272</v>
      </c>
      <c r="C15588" s="1" t="str">
        <f>HYPERLINK("http://www.genecards.org/cgi-bin/carddisp.pl?gene=HIST1H2BF","GeneCards")</f>
        <v>GeneCards</v>
      </c>
      <c r="D15588" s="1" t="str">
        <f>HYPERLINK("http://genome-euro.ucsc.edu/cgi-bin/hgTracks?position=208490_x_at","UCSC")</f>
        <v>UCSC</v>
      </c>
      <c r="E15588" s="1" t="str">
        <f>HYPERLINK("http://www.ncbi.nlm.nih.gov/gene/?term=HIST1H2BF","NCBI")</f>
        <v>NCBI</v>
      </c>
      <c r="F15588">
        <v>0.71</v>
      </c>
      <c r="G15588">
        <v>0.77</v>
      </c>
      <c r="H15588" s="1" t="str">
        <f>HYPERLINK("http://www.weizmann.ac.il/complex/compphys/software/geview/data/figures/208490_x_at.png","Figure")</f>
        <v>Figure</v>
      </c>
      <c r="I15588">
        <v>1.36</v>
      </c>
      <c r="J15588">
        <v>0.68</v>
      </c>
      <c r="K15588">
        <v>1.1499999999999999</v>
      </c>
      <c r="L15588">
        <v>0.91</v>
      </c>
      <c r="M15588">
        <v>0.84099999999999997</v>
      </c>
      <c r="N15588">
        <v>0.87</v>
      </c>
    </row>
    <row r="15589" spans="1:14" x14ac:dyDescent="0.25">
      <c r="A15589" t="s">
        <v>26273</v>
      </c>
      <c r="B15589" t="s">
        <v>21503</v>
      </c>
      <c r="C15589" s="1" t="str">
        <f>HYPERLINK("http://www.genecards.org/cgi-bin/carddisp.pl?gene=HINT1","GeneCards")</f>
        <v>GeneCards</v>
      </c>
      <c r="D15589" s="1" t="str">
        <f>HYPERLINK("http://genome-euro.ucsc.edu/cgi-bin/hgTracks?position=200093_s_at","UCSC")</f>
        <v>UCSC</v>
      </c>
      <c r="E15589" s="1" t="str">
        <f>HYPERLINK("http://www.ncbi.nlm.nih.gov/gene/?term=HINT1","NCBI")</f>
        <v>NCBI</v>
      </c>
      <c r="F15589">
        <v>0.71</v>
      </c>
      <c r="G15589">
        <v>0.77</v>
      </c>
      <c r="H15589" s="1" t="str">
        <f>HYPERLINK("http://www.weizmann.ac.il/complex/compphys/software/geview/data/figures/200093_s_at.png","Figure")</f>
        <v>Figure</v>
      </c>
      <c r="I15589">
        <v>1.02</v>
      </c>
      <c r="J15589">
        <v>1</v>
      </c>
      <c r="K15589">
        <v>1.1599999999999999</v>
      </c>
      <c r="L15589">
        <v>0.73</v>
      </c>
      <c r="M15589">
        <v>1.1399999999999999</v>
      </c>
      <c r="N15589">
        <v>0.81</v>
      </c>
    </row>
    <row r="15590" spans="1:14" x14ac:dyDescent="0.25">
      <c r="A15590" t="s">
        <v>26274</v>
      </c>
      <c r="B15590" t="s">
        <v>26275</v>
      </c>
      <c r="C15590" s="1" t="str">
        <f>HYPERLINK("http://www.genecards.org/cgi-bin/carddisp.pl?gene=DNASE1L3","GeneCards")</f>
        <v>GeneCards</v>
      </c>
      <c r="D15590" s="1" t="str">
        <f>HYPERLINK("http://genome-euro.ucsc.edu/cgi-bin/hgTracks?position=205554_s_at","UCSC")</f>
        <v>UCSC</v>
      </c>
      <c r="E15590" s="1" t="str">
        <f>HYPERLINK("http://www.ncbi.nlm.nih.gov/gene/?term=DNASE1L3","NCBI")</f>
        <v>NCBI</v>
      </c>
      <c r="F15590">
        <v>0.71</v>
      </c>
      <c r="G15590">
        <v>0.77</v>
      </c>
      <c r="H15590" s="1" t="str">
        <f>HYPERLINK("http://www.weizmann.ac.il/complex/compphys/software/geview/data/figures/205554_s_at.png","Figure")</f>
        <v>Figure</v>
      </c>
      <c r="I15590">
        <v>1.01</v>
      </c>
      <c r="J15590">
        <v>0.78</v>
      </c>
      <c r="K15590">
        <v>0.999</v>
      </c>
      <c r="L15590">
        <v>1</v>
      </c>
      <c r="M15590">
        <v>0.98599999999999999</v>
      </c>
      <c r="N15590">
        <v>0.71</v>
      </c>
    </row>
    <row r="15591" spans="1:14" x14ac:dyDescent="0.25">
      <c r="A15591" t="s">
        <v>26276</v>
      </c>
      <c r="B15591" t="s">
        <v>26277</v>
      </c>
      <c r="C15591" s="1" t="str">
        <f>HYPERLINK("http://www.genecards.org/cgi-bin/carddisp.pl?gene=KIAA0649","GeneCards")</f>
        <v>GeneCards</v>
      </c>
      <c r="D15591" s="1" t="str">
        <f>HYPERLINK("http://genome-euro.ucsc.edu/cgi-bin/hgTracks?position=203955_at","UCSC")</f>
        <v>UCSC</v>
      </c>
      <c r="E15591" s="1" t="str">
        <f>HYPERLINK("http://www.ncbi.nlm.nih.gov/gene/?term=KIAA0649","NCBI")</f>
        <v>NCBI</v>
      </c>
      <c r="F15591">
        <v>0.71</v>
      </c>
      <c r="G15591">
        <v>0.77</v>
      </c>
      <c r="H15591" s="1" t="str">
        <f>HYPERLINK("http://www.weizmann.ac.il/complex/compphys/software/geview/data/figures/203955_at.png","Figure")</f>
        <v>Figure</v>
      </c>
      <c r="I15591">
        <v>1.06</v>
      </c>
      <c r="J15591">
        <v>0.72</v>
      </c>
      <c r="K15591">
        <v>1.01</v>
      </c>
      <c r="L15591">
        <v>0.99</v>
      </c>
      <c r="M15591">
        <v>0.95499999999999996</v>
      </c>
      <c r="N15591">
        <v>0.76</v>
      </c>
    </row>
    <row r="15592" spans="1:14" x14ac:dyDescent="0.25">
      <c r="A15592" t="s">
        <v>26278</v>
      </c>
      <c r="B15592" t="s">
        <v>26279</v>
      </c>
      <c r="C15592" s="1" t="str">
        <f>HYPERLINK("http://www.genecards.org/cgi-bin/carddisp.pl?gene=SPRR2B","GeneCards")</f>
        <v>GeneCards</v>
      </c>
      <c r="D15592" s="1" t="str">
        <f>HYPERLINK("http://genome-euro.ucsc.edu/cgi-bin/hgTracks?position=208539_x_at","UCSC")</f>
        <v>UCSC</v>
      </c>
      <c r="E15592" s="1" t="str">
        <f>HYPERLINK("http://www.ncbi.nlm.nih.gov/gene/?term=SPRR2B","NCBI")</f>
        <v>NCBI</v>
      </c>
      <c r="F15592">
        <v>0.71</v>
      </c>
      <c r="G15592">
        <v>0.77</v>
      </c>
      <c r="H15592" s="1" t="str">
        <f>HYPERLINK("http://www.weizmann.ac.il/complex/compphys/software/geview/data/figures/208539_x_at.png","Figure")</f>
        <v>Figure</v>
      </c>
      <c r="I15592">
        <v>0.88700000000000001</v>
      </c>
      <c r="J15592">
        <v>0.72</v>
      </c>
      <c r="K15592">
        <v>0.98199999999999998</v>
      </c>
      <c r="L15592">
        <v>0.99</v>
      </c>
      <c r="M15592">
        <v>1.1100000000000001</v>
      </c>
      <c r="N15592">
        <v>0.76</v>
      </c>
    </row>
    <row r="15593" spans="1:14" x14ac:dyDescent="0.25">
      <c r="A15593" t="s">
        <v>26280</v>
      </c>
      <c r="B15593" t="s">
        <v>26281</v>
      </c>
      <c r="C15593" s="1" t="str">
        <f>HYPERLINK("http://www.genecards.org/cgi-bin/carddisp.pl?gene=ANP32B","GeneCards")</f>
        <v>GeneCards</v>
      </c>
      <c r="D15593" s="1" t="str">
        <f>HYPERLINK("http://genome-euro.ucsc.edu/cgi-bin/hgTracks?position=201306_s_at","UCSC")</f>
        <v>UCSC</v>
      </c>
      <c r="E15593" s="1" t="str">
        <f>HYPERLINK("http://www.ncbi.nlm.nih.gov/gene/?term=ANP32B","NCBI")</f>
        <v>NCBI</v>
      </c>
      <c r="F15593">
        <v>0.71</v>
      </c>
      <c r="G15593">
        <v>0.77</v>
      </c>
      <c r="H15593" s="1" t="str">
        <f>HYPERLINK("http://www.weizmann.ac.il/complex/compphys/software/geview/data/figures/201306_s_at.png","Figure")</f>
        <v>Figure</v>
      </c>
      <c r="I15593">
        <v>1.1200000000000001</v>
      </c>
      <c r="J15593">
        <v>0.76</v>
      </c>
      <c r="K15593">
        <v>0.998</v>
      </c>
      <c r="L15593">
        <v>1</v>
      </c>
      <c r="M15593">
        <v>0.89</v>
      </c>
      <c r="N15593">
        <v>0.72</v>
      </c>
    </row>
    <row r="15594" spans="1:14" x14ac:dyDescent="0.25">
      <c r="A15594" t="s">
        <v>26282</v>
      </c>
      <c r="B15594" t="s">
        <v>26283</v>
      </c>
      <c r="C15594" s="1" t="str">
        <f>HYPERLINK("http://www.genecards.org/cgi-bin/carddisp.pl?gene=POLE3","GeneCards")</f>
        <v>GeneCards</v>
      </c>
      <c r="D15594" s="1" t="str">
        <f>HYPERLINK("http://genome-euro.ucsc.edu/cgi-bin/hgTracks?position=208828_at","UCSC")</f>
        <v>UCSC</v>
      </c>
      <c r="E15594" s="1" t="str">
        <f>HYPERLINK("http://www.ncbi.nlm.nih.gov/gene/?term=POLE3","NCBI")</f>
        <v>NCBI</v>
      </c>
      <c r="F15594">
        <v>0.71</v>
      </c>
      <c r="G15594">
        <v>0.77</v>
      </c>
      <c r="H15594" s="1" t="str">
        <f>HYPERLINK("http://www.weizmann.ac.il/complex/compphys/software/geview/data/figures/208828_at.png","Figure")</f>
        <v>Figure</v>
      </c>
      <c r="I15594">
        <v>0.96</v>
      </c>
      <c r="J15594">
        <v>0.97</v>
      </c>
      <c r="K15594">
        <v>0.88900000000000001</v>
      </c>
      <c r="L15594">
        <v>0.7</v>
      </c>
      <c r="M15594">
        <v>0.92500000000000004</v>
      </c>
      <c r="N15594">
        <v>0.87</v>
      </c>
    </row>
    <row r="15595" spans="1:14" x14ac:dyDescent="0.25">
      <c r="A15595" t="s">
        <v>26284</v>
      </c>
      <c r="B15595" t="s">
        <v>18799</v>
      </c>
      <c r="C15595" s="1" t="str">
        <f>HYPERLINK("http://www.genecards.org/cgi-bin/carddisp.pl?gene=PPP1R2","GeneCards")</f>
        <v>GeneCards</v>
      </c>
      <c r="D15595" s="1" t="str">
        <f>HYPERLINK("http://genome-euro.ucsc.edu/cgi-bin/hgTracks?position=202165_at","UCSC")</f>
        <v>UCSC</v>
      </c>
      <c r="E15595" s="1" t="str">
        <f>HYPERLINK("http://www.ncbi.nlm.nih.gov/gene/?term=PPP1R2","NCBI")</f>
        <v>NCBI</v>
      </c>
      <c r="F15595">
        <v>0.71</v>
      </c>
      <c r="G15595">
        <v>0.77</v>
      </c>
      <c r="H15595" s="1" t="str">
        <f>HYPERLINK("http://www.weizmann.ac.il/complex/compphys/software/geview/data/figures/202165_at.png","Figure")</f>
        <v>Figure</v>
      </c>
      <c r="I15595">
        <v>1.01</v>
      </c>
      <c r="J15595">
        <v>1</v>
      </c>
      <c r="K15595">
        <v>0.83</v>
      </c>
      <c r="L15595">
        <v>0.77</v>
      </c>
      <c r="M15595">
        <v>0.82199999999999995</v>
      </c>
      <c r="N15595">
        <v>0.77</v>
      </c>
    </row>
    <row r="15596" spans="1:14" x14ac:dyDescent="0.25">
      <c r="A15596" t="s">
        <v>26285</v>
      </c>
      <c r="B15596" t="s">
        <v>10876</v>
      </c>
      <c r="C15596" s="1" t="str">
        <f>HYPERLINK("http://www.genecards.org/cgi-bin/carddisp.pl?gene=KPNA1","GeneCards")</f>
        <v>GeneCards</v>
      </c>
      <c r="D15596" s="1" t="str">
        <f>HYPERLINK("http://genome-euro.ucsc.edu/cgi-bin/hgTracks?position=202056_at","UCSC")</f>
        <v>UCSC</v>
      </c>
      <c r="E15596" s="1" t="str">
        <f>HYPERLINK("http://www.ncbi.nlm.nih.gov/gene/?term=KPNA1","NCBI")</f>
        <v>NCBI</v>
      </c>
      <c r="F15596">
        <v>0.71</v>
      </c>
      <c r="G15596">
        <v>0.77</v>
      </c>
      <c r="H15596" s="1" t="str">
        <f>HYPERLINK("http://www.weizmann.ac.il/complex/compphys/software/geview/data/figures/202056_at.png","Figure")</f>
        <v>Figure</v>
      </c>
      <c r="I15596">
        <v>1.1399999999999999</v>
      </c>
      <c r="J15596">
        <v>0.86</v>
      </c>
      <c r="K15596">
        <v>1.2</v>
      </c>
      <c r="L15596">
        <v>0.69</v>
      </c>
      <c r="M15596">
        <v>1.05</v>
      </c>
      <c r="N15596">
        <v>0.97</v>
      </c>
    </row>
    <row r="15597" spans="1:14" x14ac:dyDescent="0.25">
      <c r="A15597" t="s">
        <v>26286</v>
      </c>
      <c r="B15597" t="s">
        <v>21491</v>
      </c>
      <c r="C15597" s="1" t="str">
        <f>HYPERLINK("http://www.genecards.org/cgi-bin/carddisp.pl?gene=PITPNA","GeneCards")</f>
        <v>GeneCards</v>
      </c>
      <c r="D15597" s="1" t="str">
        <f>HYPERLINK("http://genome-euro.ucsc.edu/cgi-bin/hgTracks?position=201192_s_at","UCSC")</f>
        <v>UCSC</v>
      </c>
      <c r="E15597" s="1" t="str">
        <f>HYPERLINK("http://www.ncbi.nlm.nih.gov/gene/?term=PITPNA","NCBI")</f>
        <v>NCBI</v>
      </c>
      <c r="F15597">
        <v>0.71</v>
      </c>
      <c r="G15597">
        <v>0.77</v>
      </c>
      <c r="H15597" s="1" t="str">
        <f>HYPERLINK("http://www.weizmann.ac.il/complex/compphys/software/geview/data/figures/201192_s_at.png","Figure")</f>
        <v>Figure</v>
      </c>
      <c r="I15597">
        <v>1.1100000000000001</v>
      </c>
      <c r="J15597">
        <v>0.89</v>
      </c>
      <c r="K15597">
        <v>1.18</v>
      </c>
      <c r="L15597">
        <v>0.69</v>
      </c>
      <c r="M15597">
        <v>1.06</v>
      </c>
      <c r="N15597">
        <v>0.95</v>
      </c>
    </row>
    <row r="15598" spans="1:14" x14ac:dyDescent="0.25">
      <c r="A15598" t="s">
        <v>26287</v>
      </c>
      <c r="B15598" t="s">
        <v>17376</v>
      </c>
      <c r="C15598" s="1" t="str">
        <f>HYPERLINK("http://www.genecards.org/cgi-bin/carddisp.pl?gene=EPHB2","GeneCards")</f>
        <v>GeneCards</v>
      </c>
      <c r="D15598" s="1" t="str">
        <f>HYPERLINK("http://genome-euro.ucsc.edu/cgi-bin/hgTracks?position=209588_at","UCSC")</f>
        <v>UCSC</v>
      </c>
      <c r="E15598" s="1" t="str">
        <f>HYPERLINK("http://www.ncbi.nlm.nih.gov/gene/?term=EPHB2","NCBI")</f>
        <v>NCBI</v>
      </c>
      <c r="F15598">
        <v>0.71</v>
      </c>
      <c r="G15598">
        <v>0.77</v>
      </c>
      <c r="H15598" s="1" t="str">
        <f>HYPERLINK("http://www.weizmann.ac.il/complex/compphys/software/geview/data/figures/209588_at.png","Figure")</f>
        <v>Figure</v>
      </c>
      <c r="I15598">
        <v>1.06</v>
      </c>
      <c r="J15598">
        <v>0.73</v>
      </c>
      <c r="K15598">
        <v>1.05</v>
      </c>
      <c r="L15598">
        <v>0.77</v>
      </c>
      <c r="M15598">
        <v>0.98699999999999999</v>
      </c>
      <c r="N15598">
        <v>0.98</v>
      </c>
    </row>
    <row r="15599" spans="1:14" x14ac:dyDescent="0.25">
      <c r="A15599" t="s">
        <v>26288</v>
      </c>
      <c r="B15599" t="s">
        <v>26289</v>
      </c>
      <c r="C15599" s="1" t="str">
        <f>HYPERLINK("http://www.genecards.org/cgi-bin/carddisp.pl?gene=GOLGA8A /// GOLGA8B /// LOC100292334","GeneCards")</f>
        <v>GeneCards</v>
      </c>
      <c r="D15599" s="1" t="str">
        <f>HYPERLINK("http://genome-euro.ucsc.edu/cgi-bin/hgTracks?position=210424_s_at","UCSC")</f>
        <v>UCSC</v>
      </c>
      <c r="E15599" s="1" t="str">
        <f>HYPERLINK("http://www.ncbi.nlm.nih.gov/gene/?term=GOLGA8A /// GOLGA8B /// LOC100292334","NCBI")</f>
        <v>NCBI</v>
      </c>
      <c r="F15599">
        <v>0.71</v>
      </c>
      <c r="G15599">
        <v>0.77</v>
      </c>
      <c r="H15599" s="1" t="str">
        <f>HYPERLINK("http://www.weizmann.ac.il/complex/compphys/software/geview/data/figures/210424_s_at.png","Figure")</f>
        <v>Figure</v>
      </c>
      <c r="I15599">
        <v>0.94099999999999995</v>
      </c>
      <c r="J15599">
        <v>0.87</v>
      </c>
      <c r="K15599">
        <v>0.91400000000000003</v>
      </c>
      <c r="L15599">
        <v>0.69</v>
      </c>
      <c r="M15599">
        <v>0.97199999999999998</v>
      </c>
      <c r="N15599">
        <v>0.97</v>
      </c>
    </row>
    <row r="15600" spans="1:14" x14ac:dyDescent="0.25">
      <c r="A15600" t="s">
        <v>26290</v>
      </c>
      <c r="B15600" t="s">
        <v>3276</v>
      </c>
      <c r="C15600" s="1" t="str">
        <f>HYPERLINK("http://www.genecards.org/cgi-bin/carddisp.pl?gene=PAK4","GeneCards")</f>
        <v>GeneCards</v>
      </c>
      <c r="D15600" s="1" t="str">
        <f>HYPERLINK("http://genome-euro.ucsc.edu/cgi-bin/hgTracks?position=215326_at","UCSC")</f>
        <v>UCSC</v>
      </c>
      <c r="E15600" s="1" t="str">
        <f>HYPERLINK("http://www.ncbi.nlm.nih.gov/gene/?term=PAK4","NCBI")</f>
        <v>NCBI</v>
      </c>
      <c r="F15600">
        <v>0.71</v>
      </c>
      <c r="G15600">
        <v>0.77</v>
      </c>
      <c r="H15600" s="1" t="str">
        <f>HYPERLINK("http://www.weizmann.ac.il/complex/compphys/software/geview/data/figures/215326_at.png","Figure")</f>
        <v>Figure</v>
      </c>
      <c r="I15600">
        <v>1.01</v>
      </c>
      <c r="J15600">
        <v>0.96</v>
      </c>
      <c r="K15600">
        <v>1.03</v>
      </c>
      <c r="L15600">
        <v>0.7</v>
      </c>
      <c r="M15600">
        <v>1.02</v>
      </c>
      <c r="N15600">
        <v>0.88</v>
      </c>
    </row>
    <row r="15601" spans="1:14" x14ac:dyDescent="0.25">
      <c r="A15601" t="s">
        <v>26291</v>
      </c>
      <c r="B15601" t="s">
        <v>26292</v>
      </c>
      <c r="C15601" s="1" t="str">
        <f>HYPERLINK("http://www.genecards.org/cgi-bin/carddisp.pl?gene=FKBP4","GeneCards")</f>
        <v>GeneCards</v>
      </c>
      <c r="D15601" s="1" t="str">
        <f>HYPERLINK("http://genome-euro.ucsc.edu/cgi-bin/hgTracks?position=200895_s_at","UCSC")</f>
        <v>UCSC</v>
      </c>
      <c r="E15601" s="1" t="str">
        <f>HYPERLINK("http://www.ncbi.nlm.nih.gov/gene/?term=FKBP4","NCBI")</f>
        <v>NCBI</v>
      </c>
      <c r="F15601">
        <v>0.71</v>
      </c>
      <c r="G15601">
        <v>0.77</v>
      </c>
      <c r="H15601" s="1" t="str">
        <f>HYPERLINK("http://www.weizmann.ac.il/complex/compphys/software/geview/data/figures/200895_s_at.png","Figure")</f>
        <v>Figure</v>
      </c>
      <c r="I15601">
        <v>1.05</v>
      </c>
      <c r="J15601">
        <v>0.97</v>
      </c>
      <c r="K15601">
        <v>0.91300000000000003</v>
      </c>
      <c r="L15601">
        <v>0.84</v>
      </c>
      <c r="M15601">
        <v>0.873</v>
      </c>
      <c r="N15601">
        <v>0.72</v>
      </c>
    </row>
    <row r="15602" spans="1:14" x14ac:dyDescent="0.25">
      <c r="A15602" t="s">
        <v>26293</v>
      </c>
      <c r="B15602" t="s">
        <v>26294</v>
      </c>
      <c r="C15602" s="1" t="str">
        <f>HYPERLINK("http://www.genecards.org/cgi-bin/carddisp.pl?gene=LOC730227","GeneCards")</f>
        <v>GeneCards</v>
      </c>
      <c r="D15602" s="1" t="str">
        <f>HYPERLINK("http://genome-euro.ucsc.edu/cgi-bin/hgTracks?position=215756_at","UCSC")</f>
        <v>UCSC</v>
      </c>
      <c r="E15602" s="1" t="str">
        <f>HYPERLINK("http://www.ncbi.nlm.nih.gov/gene/?term=LOC730227","NCBI")</f>
        <v>NCBI</v>
      </c>
      <c r="F15602">
        <v>0.71</v>
      </c>
      <c r="G15602">
        <v>0.77</v>
      </c>
      <c r="H15602" s="1" t="str">
        <f>HYPERLINK("http://www.weizmann.ac.il/complex/compphys/software/geview/data/figures/215756_at.png","Figure")</f>
        <v>Figure</v>
      </c>
      <c r="I15602">
        <v>1.04</v>
      </c>
      <c r="J15602">
        <v>0.7</v>
      </c>
      <c r="K15602">
        <v>1.01</v>
      </c>
      <c r="L15602">
        <v>0.95</v>
      </c>
      <c r="M15602">
        <v>0.97</v>
      </c>
      <c r="N15602">
        <v>0.82</v>
      </c>
    </row>
    <row r="15603" spans="1:14" x14ac:dyDescent="0.25">
      <c r="A15603" t="s">
        <v>26295</v>
      </c>
      <c r="B15603" t="s">
        <v>26296</v>
      </c>
      <c r="C15603" s="1" t="str">
        <f>HYPERLINK("http://www.genecards.org/cgi-bin/carddisp.pl?gene=GADD45G","GeneCards")</f>
        <v>GeneCards</v>
      </c>
      <c r="D15603" s="1" t="str">
        <f>HYPERLINK("http://genome-euro.ucsc.edu/cgi-bin/hgTracks?position=204121_at","UCSC")</f>
        <v>UCSC</v>
      </c>
      <c r="E15603" s="1" t="str">
        <f>HYPERLINK("http://www.ncbi.nlm.nih.gov/gene/?term=GADD45G","NCBI")</f>
        <v>NCBI</v>
      </c>
      <c r="F15603">
        <v>0.71</v>
      </c>
      <c r="G15603">
        <v>0.77</v>
      </c>
      <c r="H15603" s="1" t="str">
        <f>HYPERLINK("http://www.weizmann.ac.il/complex/compphys/software/geview/data/figures/204121_at.png","Figure")</f>
        <v>Figure</v>
      </c>
      <c r="I15603">
        <v>1.1299999999999999</v>
      </c>
      <c r="J15603">
        <v>0.76</v>
      </c>
      <c r="K15603">
        <v>0.996</v>
      </c>
      <c r="L15603">
        <v>1</v>
      </c>
      <c r="M15603">
        <v>0.88300000000000001</v>
      </c>
      <c r="N15603">
        <v>0.72</v>
      </c>
    </row>
    <row r="15604" spans="1:14" x14ac:dyDescent="0.25">
      <c r="A15604" t="s">
        <v>26297</v>
      </c>
      <c r="B15604" t="s">
        <v>12130</v>
      </c>
      <c r="C15604" s="1" t="str">
        <f>HYPERLINK("http://www.genecards.org/cgi-bin/carddisp.pl?gene=CTTN","GeneCards")</f>
        <v>GeneCards</v>
      </c>
      <c r="D15604" s="1" t="str">
        <f>HYPERLINK("http://genome-euro.ucsc.edu/cgi-bin/hgTracks?position=201059_at","UCSC")</f>
        <v>UCSC</v>
      </c>
      <c r="E15604" s="1" t="str">
        <f>HYPERLINK("http://www.ncbi.nlm.nih.gov/gene/?term=CTTN","NCBI")</f>
        <v>NCBI</v>
      </c>
      <c r="F15604">
        <v>0.71</v>
      </c>
      <c r="G15604">
        <v>0.77</v>
      </c>
      <c r="H15604" s="1" t="str">
        <f>HYPERLINK("http://www.weizmann.ac.il/complex/compphys/software/geview/data/figures/201059_at.png","Figure")</f>
        <v>Figure</v>
      </c>
      <c r="I15604">
        <v>1.08</v>
      </c>
      <c r="J15604">
        <v>0.69</v>
      </c>
      <c r="K15604">
        <v>1.04</v>
      </c>
      <c r="L15604">
        <v>0.87</v>
      </c>
      <c r="M15604">
        <v>0.96499999999999997</v>
      </c>
      <c r="N15604">
        <v>0.91</v>
      </c>
    </row>
    <row r="15605" spans="1:14" x14ac:dyDescent="0.25">
      <c r="A15605" t="s">
        <v>26298</v>
      </c>
      <c r="B15605" t="s">
        <v>26299</v>
      </c>
      <c r="C15605" s="1" t="str">
        <f>HYPERLINK("http://www.genecards.org/cgi-bin/carddisp.pl?gene=FCGR3B","GeneCards")</f>
        <v>GeneCards</v>
      </c>
      <c r="D15605" s="1" t="str">
        <f>HYPERLINK("http://genome-euro.ucsc.edu/cgi-bin/hgTracks?position=204007_at","UCSC")</f>
        <v>UCSC</v>
      </c>
      <c r="E15605" s="1" t="str">
        <f>HYPERLINK("http://www.ncbi.nlm.nih.gov/gene/?term=FCGR3B","NCBI")</f>
        <v>NCBI</v>
      </c>
      <c r="F15605">
        <v>0.71</v>
      </c>
      <c r="G15605">
        <v>0.77</v>
      </c>
      <c r="H15605" s="1" t="str">
        <f>HYPERLINK("http://www.weizmann.ac.il/complex/compphys/software/geview/data/figures/204007_at.png","Figure")</f>
        <v>Figure</v>
      </c>
      <c r="I15605">
        <v>0.996</v>
      </c>
      <c r="J15605">
        <v>1</v>
      </c>
      <c r="K15605">
        <v>1.0900000000000001</v>
      </c>
      <c r="L15605">
        <v>0.77</v>
      </c>
      <c r="M15605">
        <v>1.0900000000000001</v>
      </c>
      <c r="N15605">
        <v>0.77</v>
      </c>
    </row>
    <row r="15606" spans="1:14" x14ac:dyDescent="0.25">
      <c r="A15606" t="s">
        <v>26300</v>
      </c>
      <c r="B15606" t="s">
        <v>26301</v>
      </c>
      <c r="C15606" s="1" t="str">
        <f>HYPERLINK("http://www.genecards.org/cgi-bin/carddisp.pl?gene=AMT","GeneCards")</f>
        <v>GeneCards</v>
      </c>
      <c r="D15606" s="1" t="str">
        <f>HYPERLINK("http://genome-euro.ucsc.edu/cgi-bin/hgTracks?position=204294_at","UCSC")</f>
        <v>UCSC</v>
      </c>
      <c r="E15606" s="1" t="str">
        <f>HYPERLINK("http://www.ncbi.nlm.nih.gov/gene/?term=AMT","NCBI")</f>
        <v>NCBI</v>
      </c>
      <c r="F15606">
        <v>0.71</v>
      </c>
      <c r="G15606">
        <v>0.77</v>
      </c>
      <c r="H15606" s="1" t="str">
        <f>HYPERLINK("http://www.weizmann.ac.il/complex/compphys/software/geview/data/figures/204294_at.png","Figure")</f>
        <v>Figure</v>
      </c>
      <c r="I15606">
        <v>1.03</v>
      </c>
      <c r="J15606">
        <v>0.97</v>
      </c>
      <c r="K15606">
        <v>0.93799999999999994</v>
      </c>
      <c r="L15606">
        <v>0.84</v>
      </c>
      <c r="M15606">
        <v>0.90800000000000003</v>
      </c>
      <c r="N15606">
        <v>0.71</v>
      </c>
    </row>
    <row r="15607" spans="1:14" x14ac:dyDescent="0.25">
      <c r="A15607" t="s">
        <v>26302</v>
      </c>
      <c r="B15607" t="s">
        <v>8798</v>
      </c>
      <c r="C15607" s="1" t="str">
        <f>HYPERLINK("http://www.genecards.org/cgi-bin/carddisp.pl?gene=SFI1","GeneCards")</f>
        <v>GeneCards</v>
      </c>
      <c r="D15607" s="1" t="str">
        <f>HYPERLINK("http://genome-euro.ucsc.edu/cgi-bin/hgTracks?position=36545_s_at","UCSC")</f>
        <v>UCSC</v>
      </c>
      <c r="E15607" s="1" t="str">
        <f>HYPERLINK("http://www.ncbi.nlm.nih.gov/gene/?term=SFI1","NCBI")</f>
        <v>NCBI</v>
      </c>
      <c r="F15607">
        <v>0.71</v>
      </c>
      <c r="G15607">
        <v>0.77</v>
      </c>
      <c r="H15607" s="1" t="str">
        <f>HYPERLINK("http://www.weizmann.ac.il/complex/compphys/software/geview/data/figures/36545_s_at.png","Figure")</f>
        <v>Figure</v>
      </c>
      <c r="I15607">
        <v>1.05</v>
      </c>
      <c r="J15607">
        <v>0.93</v>
      </c>
      <c r="K15607">
        <v>0.94</v>
      </c>
      <c r="L15607">
        <v>0.88</v>
      </c>
      <c r="M15607">
        <v>0.89100000000000001</v>
      </c>
      <c r="N15607">
        <v>0.7</v>
      </c>
    </row>
    <row r="15608" spans="1:14" x14ac:dyDescent="0.25">
      <c r="A15608" t="s">
        <v>26303</v>
      </c>
      <c r="B15608" t="s">
        <v>14607</v>
      </c>
      <c r="C15608" s="1" t="str">
        <f>HYPERLINK("http://www.genecards.org/cgi-bin/carddisp.pl?gene=TRD@","GeneCards")</f>
        <v>GeneCards</v>
      </c>
      <c r="D15608" s="1" t="str">
        <f>HYPERLINK("http://genome-euro.ucsc.edu/cgi-bin/hgTracks?position=213830_at","UCSC")</f>
        <v>UCSC</v>
      </c>
      <c r="E15608" s="1" t="str">
        <f>HYPERLINK("http://www.ncbi.nlm.nih.gov/gene/?term=TRD@","NCBI")</f>
        <v>NCBI</v>
      </c>
      <c r="F15608">
        <v>0.71</v>
      </c>
      <c r="G15608">
        <v>0.77</v>
      </c>
      <c r="H15608" s="1" t="str">
        <f>HYPERLINK("http://www.weizmann.ac.il/complex/compphys/software/geview/data/figures/213830_at.png","Figure")</f>
        <v>Figure</v>
      </c>
      <c r="I15608">
        <v>0.90800000000000003</v>
      </c>
      <c r="J15608">
        <v>0.83</v>
      </c>
      <c r="K15608">
        <v>1.03</v>
      </c>
      <c r="L15608">
        <v>0.97</v>
      </c>
      <c r="M15608">
        <v>1.1399999999999999</v>
      </c>
      <c r="N15608">
        <v>0.69</v>
      </c>
    </row>
    <row r="15609" spans="1:14" x14ac:dyDescent="0.25">
      <c r="A15609" t="s">
        <v>26304</v>
      </c>
      <c r="B15609" t="s">
        <v>15227</v>
      </c>
      <c r="C15609" s="1" t="str">
        <f>HYPERLINK("http://www.genecards.org/cgi-bin/carddisp.pl?gene=PCTK1","GeneCards")</f>
        <v>GeneCards</v>
      </c>
      <c r="D15609" s="1" t="str">
        <f>HYPERLINK("http://genome-euro.ucsc.edu/cgi-bin/hgTracks?position=207239_s_at","UCSC")</f>
        <v>UCSC</v>
      </c>
      <c r="E15609" s="1" t="str">
        <f>HYPERLINK("http://www.ncbi.nlm.nih.gov/gene/?term=PCTK1","NCBI")</f>
        <v>NCBI</v>
      </c>
      <c r="F15609">
        <v>0.71</v>
      </c>
      <c r="G15609">
        <v>0.78</v>
      </c>
      <c r="H15609" s="1" t="str">
        <f>HYPERLINK("http://www.weizmann.ac.il/complex/compphys/software/geview/data/figures/207239_s_at.png","Figure")</f>
        <v>Figure</v>
      </c>
      <c r="I15609">
        <v>1.0900000000000001</v>
      </c>
      <c r="J15609">
        <v>0.69</v>
      </c>
      <c r="K15609">
        <v>1.05</v>
      </c>
      <c r="L15609">
        <v>0.88</v>
      </c>
      <c r="M15609">
        <v>0.95799999999999996</v>
      </c>
      <c r="N15609">
        <v>0.9</v>
      </c>
    </row>
    <row r="15610" spans="1:14" x14ac:dyDescent="0.25">
      <c r="A15610" t="s">
        <v>26305</v>
      </c>
      <c r="B15610" t="s">
        <v>26306</v>
      </c>
      <c r="C15610" s="1" t="str">
        <f>HYPERLINK("http://www.genecards.org/cgi-bin/carddisp.pl?gene=CBX4","GeneCards")</f>
        <v>GeneCards</v>
      </c>
      <c r="D15610" s="1" t="str">
        <f>HYPERLINK("http://genome-euro.ucsc.edu/cgi-bin/hgTracks?position=206724_at","UCSC")</f>
        <v>UCSC</v>
      </c>
      <c r="E15610" s="1" t="str">
        <f>HYPERLINK("http://www.ncbi.nlm.nih.gov/gene/?term=CBX4","NCBI")</f>
        <v>NCBI</v>
      </c>
      <c r="F15610">
        <v>0.71</v>
      </c>
      <c r="G15610">
        <v>0.78</v>
      </c>
      <c r="H15610" s="1" t="str">
        <f>HYPERLINK("http://www.weizmann.ac.il/complex/compphys/software/geview/data/figures/206724_at.png","Figure")</f>
        <v>Figure</v>
      </c>
      <c r="I15610">
        <v>0.872</v>
      </c>
      <c r="J15610">
        <v>0.86</v>
      </c>
      <c r="K15610">
        <v>1.07</v>
      </c>
      <c r="L15610">
        <v>0.95</v>
      </c>
      <c r="M15610">
        <v>1.23</v>
      </c>
      <c r="N15610">
        <v>0.69</v>
      </c>
    </row>
    <row r="15611" spans="1:14" x14ac:dyDescent="0.25">
      <c r="A15611" t="s">
        <v>26307</v>
      </c>
      <c r="B15611" t="s">
        <v>26308</v>
      </c>
      <c r="C15611" s="1" t="str">
        <f>HYPERLINK("http://www.genecards.org/cgi-bin/carddisp.pl?gene=AGAP11 /// AGAP4 /// AGAP6 /// AGAP7 /// AGAP8","GeneCards")</f>
        <v>GeneCards</v>
      </c>
      <c r="D15611" s="1" t="str">
        <f>HYPERLINK("http://genome-euro.ucsc.edu/cgi-bin/hgTracks?position=221850_x_at","UCSC")</f>
        <v>UCSC</v>
      </c>
      <c r="E15611" s="1" t="str">
        <f>HYPERLINK("http://www.ncbi.nlm.nih.gov/gene/?term=AGAP11 /// AGAP4 /// AGAP6 /// AGAP7 /// AGAP8","NCBI")</f>
        <v>NCBI</v>
      </c>
      <c r="F15611">
        <v>0.71</v>
      </c>
      <c r="G15611">
        <v>0.78</v>
      </c>
      <c r="H15611" s="1" t="str">
        <f>HYPERLINK("http://www.weizmann.ac.il/complex/compphys/software/geview/data/figures/221850_x_at.png","Figure")</f>
        <v>Figure</v>
      </c>
      <c r="I15611">
        <v>1.18</v>
      </c>
      <c r="J15611">
        <v>0.8</v>
      </c>
      <c r="K15611">
        <v>1.19</v>
      </c>
      <c r="L15611">
        <v>0.72</v>
      </c>
      <c r="M15611">
        <v>1.01</v>
      </c>
      <c r="N15611">
        <v>1</v>
      </c>
    </row>
    <row r="15612" spans="1:14" x14ac:dyDescent="0.25">
      <c r="A15612" t="s">
        <v>26309</v>
      </c>
      <c r="B15612" t="s">
        <v>26310</v>
      </c>
      <c r="C15612" s="1" t="str">
        <f>HYPERLINK("http://www.genecards.org/cgi-bin/carddisp.pl?gene=AHDC1","GeneCards")</f>
        <v>GeneCards</v>
      </c>
      <c r="D15612" s="1" t="str">
        <f>HYPERLINK("http://genome-euro.ucsc.edu/cgi-bin/hgTracks?position=205002_at","UCSC")</f>
        <v>UCSC</v>
      </c>
      <c r="E15612" s="1" t="str">
        <f>HYPERLINK("http://www.ncbi.nlm.nih.gov/gene/?term=AHDC1","NCBI")</f>
        <v>NCBI</v>
      </c>
      <c r="F15612">
        <v>0.71</v>
      </c>
      <c r="G15612">
        <v>0.78</v>
      </c>
      <c r="H15612" s="1" t="str">
        <f>HYPERLINK("http://www.weizmann.ac.il/complex/compphys/software/geview/data/figures/205002_at.png","Figure")</f>
        <v>Figure</v>
      </c>
      <c r="I15612">
        <v>0.82899999999999996</v>
      </c>
      <c r="J15612">
        <v>0.72</v>
      </c>
      <c r="K15612">
        <v>0.873</v>
      </c>
      <c r="L15612">
        <v>0.8</v>
      </c>
      <c r="M15612">
        <v>1.05</v>
      </c>
      <c r="N15612">
        <v>0.97</v>
      </c>
    </row>
    <row r="15613" spans="1:14" x14ac:dyDescent="0.25">
      <c r="A15613" t="s">
        <v>26311</v>
      </c>
      <c r="B15613" t="s">
        <v>7010</v>
      </c>
      <c r="C15613" s="1" t="str">
        <f>HYPERLINK("http://www.genecards.org/cgi-bin/carddisp.pl?gene=CSH1","GeneCards")</f>
        <v>GeneCards</v>
      </c>
      <c r="D15613" s="1" t="str">
        <f>HYPERLINK("http://genome-euro.ucsc.edu/cgi-bin/hgTracks?position=211739_x_at","UCSC")</f>
        <v>UCSC</v>
      </c>
      <c r="E15613" s="1" t="str">
        <f>HYPERLINK("http://www.ncbi.nlm.nih.gov/gene/?term=CSH1","NCBI")</f>
        <v>NCBI</v>
      </c>
      <c r="F15613">
        <v>0.71</v>
      </c>
      <c r="G15613">
        <v>0.78</v>
      </c>
      <c r="H15613" s="1" t="str">
        <f>HYPERLINK("http://www.weizmann.ac.il/complex/compphys/software/geview/data/figures/211739_x_at.png","Figure")</f>
        <v>Figure</v>
      </c>
      <c r="I15613">
        <v>1.01</v>
      </c>
      <c r="J15613">
        <v>0.87</v>
      </c>
      <c r="K15613">
        <v>0.995</v>
      </c>
      <c r="L15613">
        <v>0.95</v>
      </c>
      <c r="M15613">
        <v>0.98699999999999999</v>
      </c>
      <c r="N15613">
        <v>0.69</v>
      </c>
    </row>
    <row r="15614" spans="1:14" x14ac:dyDescent="0.25">
      <c r="A15614" t="s">
        <v>26312</v>
      </c>
      <c r="B15614" t="s">
        <v>26313</v>
      </c>
      <c r="C15614" s="1" t="str">
        <f>HYPERLINK("http://www.genecards.org/cgi-bin/carddisp.pl?gene=LMX1B","GeneCards")</f>
        <v>GeneCards</v>
      </c>
      <c r="D15614" s="1" t="str">
        <f>HYPERLINK("http://genome-euro.ucsc.edu/cgi-bin/hgTracks?position=208487_at","UCSC")</f>
        <v>UCSC</v>
      </c>
      <c r="E15614" s="1" t="str">
        <f>HYPERLINK("http://www.ncbi.nlm.nih.gov/gene/?term=LMX1B","NCBI")</f>
        <v>NCBI</v>
      </c>
      <c r="F15614">
        <v>0.71</v>
      </c>
      <c r="G15614">
        <v>0.78</v>
      </c>
      <c r="H15614" s="1" t="str">
        <f>HYPERLINK("http://www.weizmann.ac.il/complex/compphys/software/geview/data/figures/208487_at.png","Figure")</f>
        <v>Figure</v>
      </c>
      <c r="I15614">
        <v>1.02</v>
      </c>
      <c r="J15614">
        <v>0.92</v>
      </c>
      <c r="K15614">
        <v>1.04</v>
      </c>
      <c r="L15614">
        <v>0.69</v>
      </c>
      <c r="M15614">
        <v>1.02</v>
      </c>
      <c r="N15614">
        <v>0.93</v>
      </c>
    </row>
    <row r="15615" spans="1:14" x14ac:dyDescent="0.25">
      <c r="A15615" t="s">
        <v>26314</v>
      </c>
      <c r="B15615" t="s">
        <v>19415</v>
      </c>
      <c r="C15615" s="1" t="str">
        <f>HYPERLINK("http://www.genecards.org/cgi-bin/carddisp.pl?gene=JRK","GeneCards")</f>
        <v>GeneCards</v>
      </c>
      <c r="D15615" s="1" t="str">
        <f>HYPERLINK("http://genome-euro.ucsc.edu/cgi-bin/hgTracks?position=37872_at","UCSC")</f>
        <v>UCSC</v>
      </c>
      <c r="E15615" s="1" t="str">
        <f>HYPERLINK("http://www.ncbi.nlm.nih.gov/gene/?term=JRK","NCBI")</f>
        <v>NCBI</v>
      </c>
      <c r="F15615">
        <v>0.71</v>
      </c>
      <c r="G15615">
        <v>0.78</v>
      </c>
      <c r="H15615" s="1" t="str">
        <f>HYPERLINK("http://www.weizmann.ac.il/complex/compphys/software/geview/data/figures/37872_at.png","Figure")</f>
        <v>Figure</v>
      </c>
      <c r="I15615">
        <v>1.03</v>
      </c>
      <c r="J15615">
        <v>0.79</v>
      </c>
      <c r="K15615">
        <v>0.995</v>
      </c>
      <c r="L15615">
        <v>0.99</v>
      </c>
      <c r="M15615">
        <v>0.96399999999999997</v>
      </c>
      <c r="N15615">
        <v>0.71</v>
      </c>
    </row>
    <row r="15616" spans="1:14" x14ac:dyDescent="0.25">
      <c r="A15616" t="s">
        <v>26315</v>
      </c>
      <c r="B15616" t="s">
        <v>9157</v>
      </c>
      <c r="C15616" s="1" t="str">
        <f>HYPERLINK("http://www.genecards.org/cgi-bin/carddisp.pl?gene=GRIN1","GeneCards")</f>
        <v>GeneCards</v>
      </c>
      <c r="D15616" s="1" t="str">
        <f>HYPERLINK("http://genome-euro.ucsc.edu/cgi-bin/hgTracks?position=205915_x_at","UCSC")</f>
        <v>UCSC</v>
      </c>
      <c r="E15616" s="1" t="str">
        <f>HYPERLINK("http://www.ncbi.nlm.nih.gov/gene/?term=GRIN1","NCBI")</f>
        <v>NCBI</v>
      </c>
      <c r="F15616">
        <v>0.71</v>
      </c>
      <c r="G15616">
        <v>0.78</v>
      </c>
      <c r="H15616" s="1" t="str">
        <f>HYPERLINK("http://www.weizmann.ac.il/complex/compphys/software/geview/data/figures/205915_x_at.png","Figure")</f>
        <v>Figure</v>
      </c>
      <c r="I15616">
        <v>1.07</v>
      </c>
      <c r="J15616">
        <v>0.7</v>
      </c>
      <c r="K15616">
        <v>1.02</v>
      </c>
      <c r="L15616">
        <v>0.95</v>
      </c>
      <c r="M15616">
        <v>0.95399999999999996</v>
      </c>
      <c r="N15616">
        <v>0.82</v>
      </c>
    </row>
    <row r="15617" spans="1:14" x14ac:dyDescent="0.25">
      <c r="A15617" t="s">
        <v>26316</v>
      </c>
      <c r="B15617" t="s">
        <v>1830</v>
      </c>
      <c r="C15617" s="1" t="str">
        <f>HYPERLINK("http://www.genecards.org/cgi-bin/carddisp.pl?gene=CD46","GeneCards")</f>
        <v>GeneCards</v>
      </c>
      <c r="D15617" s="1" t="str">
        <f>HYPERLINK("http://genome-euro.ucsc.edu/cgi-bin/hgTracks?position=208783_s_at","UCSC")</f>
        <v>UCSC</v>
      </c>
      <c r="E15617" s="1" t="str">
        <f>HYPERLINK("http://www.ncbi.nlm.nih.gov/gene/?term=CD46","NCBI")</f>
        <v>NCBI</v>
      </c>
      <c r="F15617">
        <v>0.71</v>
      </c>
      <c r="G15617">
        <v>0.78</v>
      </c>
      <c r="H15617" s="1" t="str">
        <f>HYPERLINK("http://www.weizmann.ac.il/complex/compphys/software/geview/data/figures/208783_s_at.png","Figure")</f>
        <v>Figure</v>
      </c>
      <c r="I15617">
        <v>0.79100000000000004</v>
      </c>
      <c r="J15617">
        <v>0.71</v>
      </c>
      <c r="K15617">
        <v>0.95099999999999996</v>
      </c>
      <c r="L15617">
        <v>0.98</v>
      </c>
      <c r="M15617">
        <v>1.2</v>
      </c>
      <c r="N15617">
        <v>0.78</v>
      </c>
    </row>
    <row r="15618" spans="1:14" x14ac:dyDescent="0.25">
      <c r="A15618" t="s">
        <v>26317</v>
      </c>
      <c r="B15618" t="s">
        <v>9329</v>
      </c>
      <c r="C15618" s="1" t="str">
        <f>HYPERLINK("http://www.genecards.org/cgi-bin/carddisp.pl?gene=TBC1D22A","GeneCards")</f>
        <v>GeneCards</v>
      </c>
      <c r="D15618" s="1" t="str">
        <f>HYPERLINK("http://genome-euro.ucsc.edu/cgi-bin/hgTracks?position=33778_at","UCSC")</f>
        <v>UCSC</v>
      </c>
      <c r="E15618" s="1" t="str">
        <f>HYPERLINK("http://www.ncbi.nlm.nih.gov/gene/?term=TBC1D22A","NCBI")</f>
        <v>NCBI</v>
      </c>
      <c r="F15618">
        <v>0.71</v>
      </c>
      <c r="G15618">
        <v>0.78</v>
      </c>
      <c r="H15618" s="1" t="str">
        <f>HYPERLINK("http://www.weizmann.ac.il/complex/compphys/software/geview/data/figures/33778_at.png","Figure")</f>
        <v>Figure</v>
      </c>
      <c r="I15618">
        <v>1.1399999999999999</v>
      </c>
      <c r="J15618">
        <v>0.7</v>
      </c>
      <c r="K15618">
        <v>1.04</v>
      </c>
      <c r="L15618">
        <v>0.95</v>
      </c>
      <c r="M15618">
        <v>0.91700000000000004</v>
      </c>
      <c r="N15618">
        <v>0.83</v>
      </c>
    </row>
    <row r="15619" spans="1:14" x14ac:dyDescent="0.25">
      <c r="A15619" t="s">
        <v>26318</v>
      </c>
      <c r="B15619" t="s">
        <v>15206</v>
      </c>
      <c r="C15619" s="1" t="str">
        <f>HYPERLINK("http://www.genecards.org/cgi-bin/carddisp.pl?gene=PHKA2","GeneCards")</f>
        <v>GeneCards</v>
      </c>
      <c r="D15619" s="1" t="str">
        <f>HYPERLINK("http://genome-euro.ucsc.edu/cgi-bin/hgTracks?position=209438_at","UCSC")</f>
        <v>UCSC</v>
      </c>
      <c r="E15619" s="1" t="str">
        <f>HYPERLINK("http://www.ncbi.nlm.nih.gov/gene/?term=PHKA2","NCBI")</f>
        <v>NCBI</v>
      </c>
      <c r="F15619">
        <v>0.71</v>
      </c>
      <c r="G15619">
        <v>0.78</v>
      </c>
      <c r="H15619" s="1" t="str">
        <f>HYPERLINK("http://www.weizmann.ac.il/complex/compphys/software/geview/data/figures/209438_at.png","Figure")</f>
        <v>Figure</v>
      </c>
      <c r="I15619">
        <v>1.01</v>
      </c>
      <c r="J15619">
        <v>0.99</v>
      </c>
      <c r="K15619">
        <v>1.07</v>
      </c>
      <c r="L15619">
        <v>0.73</v>
      </c>
      <c r="M15619">
        <v>1.06</v>
      </c>
      <c r="N15619">
        <v>0.83</v>
      </c>
    </row>
    <row r="15620" spans="1:14" x14ac:dyDescent="0.25">
      <c r="A15620" t="s">
        <v>26319</v>
      </c>
      <c r="B15620" t="s">
        <v>25510</v>
      </c>
      <c r="C15620" s="1" t="str">
        <f>HYPERLINK("http://www.genecards.org/cgi-bin/carddisp.pl?gene=BSDC1","GeneCards")</f>
        <v>GeneCards</v>
      </c>
      <c r="D15620" s="1" t="str">
        <f>HYPERLINK("http://genome-euro.ucsc.edu/cgi-bin/hgTracks?position=222200_s_at","UCSC")</f>
        <v>UCSC</v>
      </c>
      <c r="E15620" s="1" t="str">
        <f>HYPERLINK("http://www.ncbi.nlm.nih.gov/gene/?term=BSDC1","NCBI")</f>
        <v>NCBI</v>
      </c>
      <c r="F15620">
        <v>0.71</v>
      </c>
      <c r="G15620">
        <v>0.78</v>
      </c>
      <c r="H15620" s="1" t="str">
        <f>HYPERLINK("http://www.weizmann.ac.il/complex/compphys/software/geview/data/figures/222200_s_at.png","Figure")</f>
        <v>Figure</v>
      </c>
      <c r="I15620">
        <v>1.03</v>
      </c>
      <c r="J15620">
        <v>0.98</v>
      </c>
      <c r="K15620">
        <v>0.92</v>
      </c>
      <c r="L15620">
        <v>0.83</v>
      </c>
      <c r="M15620">
        <v>0.89</v>
      </c>
      <c r="N15620">
        <v>0.73</v>
      </c>
    </row>
    <row r="15621" spans="1:14" x14ac:dyDescent="0.25">
      <c r="A15621" t="s">
        <v>26320</v>
      </c>
      <c r="B15621" t="s">
        <v>26321</v>
      </c>
      <c r="C15621" s="1" t="str">
        <f>HYPERLINK("http://www.genecards.org/cgi-bin/carddisp.pl?gene=UTP11L","GeneCards")</f>
        <v>GeneCards</v>
      </c>
      <c r="D15621" s="1" t="str">
        <f>HYPERLINK("http://genome-euro.ucsc.edu/cgi-bin/hgTracks?position=218235_s_at","UCSC")</f>
        <v>UCSC</v>
      </c>
      <c r="E15621" s="1" t="str">
        <f>HYPERLINK("http://www.ncbi.nlm.nih.gov/gene/?term=UTP11L","NCBI")</f>
        <v>NCBI</v>
      </c>
      <c r="F15621">
        <v>0.71</v>
      </c>
      <c r="G15621">
        <v>0.78</v>
      </c>
      <c r="H15621" s="1" t="str">
        <f>HYPERLINK("http://www.weizmann.ac.il/complex/compphys/software/geview/data/figures/218235_s_at.png","Figure")</f>
        <v>Figure</v>
      </c>
      <c r="I15621">
        <v>0.9</v>
      </c>
      <c r="J15621">
        <v>0.69</v>
      </c>
      <c r="K15621">
        <v>0.94799999999999995</v>
      </c>
      <c r="L15621">
        <v>0.88</v>
      </c>
      <c r="M15621">
        <v>1.05</v>
      </c>
      <c r="N15621">
        <v>0.9</v>
      </c>
    </row>
    <row r="15622" spans="1:14" x14ac:dyDescent="0.25">
      <c r="A15622" t="s">
        <v>26322</v>
      </c>
      <c r="B15622" t="s">
        <v>20433</v>
      </c>
      <c r="C15622" s="1" t="str">
        <f>HYPERLINK("http://www.genecards.org/cgi-bin/carddisp.pl?gene=ZNF473","GeneCards")</f>
        <v>GeneCards</v>
      </c>
      <c r="D15622" s="1" t="str">
        <f>HYPERLINK("http://genome-euro.ucsc.edu/cgi-bin/hgTracks?position=213124_at","UCSC")</f>
        <v>UCSC</v>
      </c>
      <c r="E15622" s="1" t="str">
        <f>HYPERLINK("http://www.ncbi.nlm.nih.gov/gene/?term=ZNF473","NCBI")</f>
        <v>NCBI</v>
      </c>
      <c r="F15622">
        <v>0.71</v>
      </c>
      <c r="G15622">
        <v>0.78</v>
      </c>
      <c r="H15622" s="1" t="str">
        <f>HYPERLINK("http://www.weizmann.ac.il/complex/compphys/software/geview/data/figures/213124_at.png","Figure")</f>
        <v>Figure</v>
      </c>
      <c r="I15622">
        <v>0.98399999999999999</v>
      </c>
      <c r="J15622">
        <v>0.81</v>
      </c>
      <c r="K15622">
        <v>0.98299999999999998</v>
      </c>
      <c r="L15622">
        <v>0.72</v>
      </c>
      <c r="M15622">
        <v>0.999</v>
      </c>
      <c r="N15622">
        <v>1</v>
      </c>
    </row>
    <row r="15623" spans="1:14" x14ac:dyDescent="0.25">
      <c r="A15623" t="s">
        <v>26323</v>
      </c>
      <c r="B15623" t="s">
        <v>26324</v>
      </c>
      <c r="C15623" s="1" t="str">
        <f>HYPERLINK("http://www.genecards.org/cgi-bin/carddisp.pl?gene=CHST7","GeneCards")</f>
        <v>GeneCards</v>
      </c>
      <c r="D15623" s="1" t="str">
        <f>HYPERLINK("http://genome-euro.ucsc.edu/cgi-bin/hgTracks?position=206756_at","UCSC")</f>
        <v>UCSC</v>
      </c>
      <c r="E15623" s="1" t="str">
        <f>HYPERLINK("http://www.ncbi.nlm.nih.gov/gene/?term=CHST7","NCBI")</f>
        <v>NCBI</v>
      </c>
      <c r="F15623">
        <v>0.71</v>
      </c>
      <c r="G15623">
        <v>0.78</v>
      </c>
      <c r="H15623" s="1" t="str">
        <f>HYPERLINK("http://www.weizmann.ac.il/complex/compphys/software/geview/data/figures/206756_at.png","Figure")</f>
        <v>Figure</v>
      </c>
      <c r="I15623">
        <v>0.90400000000000003</v>
      </c>
      <c r="J15623">
        <v>0.69</v>
      </c>
      <c r="K15623">
        <v>0.95</v>
      </c>
      <c r="L15623">
        <v>0.88</v>
      </c>
      <c r="M15623">
        <v>1.05</v>
      </c>
      <c r="N15623">
        <v>0.9</v>
      </c>
    </row>
    <row r="15624" spans="1:14" x14ac:dyDescent="0.25">
      <c r="A15624" t="s">
        <v>26325</v>
      </c>
      <c r="B15624" t="s">
        <v>26326</v>
      </c>
      <c r="C15624" s="1" t="str">
        <f>HYPERLINK("http://www.genecards.org/cgi-bin/carddisp.pl?gene=BMI1","GeneCards")</f>
        <v>GeneCards</v>
      </c>
      <c r="D15624" s="1" t="str">
        <f>HYPERLINK("http://genome-euro.ucsc.edu/cgi-bin/hgTracks?position=202265_at","UCSC")</f>
        <v>UCSC</v>
      </c>
      <c r="E15624" s="1" t="str">
        <f>HYPERLINK("http://www.ncbi.nlm.nih.gov/gene/?term=BMI1","NCBI")</f>
        <v>NCBI</v>
      </c>
      <c r="F15624">
        <v>0.71</v>
      </c>
      <c r="G15624">
        <v>0.78</v>
      </c>
      <c r="H15624" s="1" t="str">
        <f>HYPERLINK("http://www.weizmann.ac.il/complex/compphys/software/geview/data/figures/202265_at.png","Figure")</f>
        <v>Figure</v>
      </c>
      <c r="I15624">
        <v>1.1599999999999999</v>
      </c>
      <c r="J15624">
        <v>0.77</v>
      </c>
      <c r="K15624">
        <v>1.1499999999999999</v>
      </c>
      <c r="L15624">
        <v>0.74</v>
      </c>
      <c r="M15624">
        <v>0.98799999999999999</v>
      </c>
      <c r="N15624">
        <v>1</v>
      </c>
    </row>
    <row r="15625" spans="1:14" x14ac:dyDescent="0.25">
      <c r="A15625" t="s">
        <v>26327</v>
      </c>
      <c r="B15625" t="s">
        <v>26328</v>
      </c>
      <c r="C15625" s="1" t="str">
        <f>HYPERLINK("http://www.genecards.org/cgi-bin/carddisp.pl?gene=EDN2","GeneCards")</f>
        <v>GeneCards</v>
      </c>
      <c r="D15625" s="1" t="str">
        <f>HYPERLINK("http://genome-euro.ucsc.edu/cgi-bin/hgTracks?position=206758_at","UCSC")</f>
        <v>UCSC</v>
      </c>
      <c r="E15625" s="1" t="str">
        <f>HYPERLINK("http://www.ncbi.nlm.nih.gov/gene/?term=EDN2","NCBI")</f>
        <v>NCBI</v>
      </c>
      <c r="F15625">
        <v>0.71</v>
      </c>
      <c r="G15625">
        <v>0.78</v>
      </c>
      <c r="H15625" s="1" t="str">
        <f>HYPERLINK("http://www.weizmann.ac.il/complex/compphys/software/geview/data/figures/206758_at.png","Figure")</f>
        <v>Figure</v>
      </c>
      <c r="I15625">
        <v>1.04</v>
      </c>
      <c r="J15625">
        <v>0.72</v>
      </c>
      <c r="K15625">
        <v>1.01</v>
      </c>
      <c r="L15625">
        <v>0.99</v>
      </c>
      <c r="M15625">
        <v>0.96899999999999997</v>
      </c>
      <c r="N15625">
        <v>0.77</v>
      </c>
    </row>
    <row r="15626" spans="1:14" x14ac:dyDescent="0.25">
      <c r="A15626" t="s">
        <v>26329</v>
      </c>
      <c r="B15626" t="s">
        <v>15998</v>
      </c>
      <c r="C15626" s="1" t="str">
        <f>HYPERLINK("http://www.genecards.org/cgi-bin/carddisp.pl?gene=MSR1","GeneCards")</f>
        <v>GeneCards</v>
      </c>
      <c r="D15626" s="1" t="str">
        <f>HYPERLINK("http://genome-euro.ucsc.edu/cgi-bin/hgTracks?position=208422_at","UCSC")</f>
        <v>UCSC</v>
      </c>
      <c r="E15626" s="1" t="str">
        <f>HYPERLINK("http://www.ncbi.nlm.nih.gov/gene/?term=MSR1","NCBI")</f>
        <v>NCBI</v>
      </c>
      <c r="F15626">
        <v>0.71</v>
      </c>
      <c r="G15626">
        <v>0.78</v>
      </c>
      <c r="H15626" s="1" t="str">
        <f>HYPERLINK("http://www.weizmann.ac.il/complex/compphys/software/geview/data/figures/208422_at.png","Figure")</f>
        <v>Figure</v>
      </c>
      <c r="I15626">
        <v>1.01</v>
      </c>
      <c r="J15626">
        <v>0.9</v>
      </c>
      <c r="K15626">
        <v>0.99099999999999999</v>
      </c>
      <c r="L15626">
        <v>0.92</v>
      </c>
      <c r="M15626">
        <v>0.98</v>
      </c>
      <c r="N15626">
        <v>0.69</v>
      </c>
    </row>
    <row r="15627" spans="1:14" x14ac:dyDescent="0.25">
      <c r="A15627" t="s">
        <v>26330</v>
      </c>
      <c r="B15627" t="s">
        <v>26331</v>
      </c>
      <c r="C15627" s="1" t="str">
        <f>HYPERLINK("http://www.genecards.org/cgi-bin/carddisp.pl?gene=XPNPEP3","GeneCards")</f>
        <v>GeneCards</v>
      </c>
      <c r="D15627" s="1" t="str">
        <f>HYPERLINK("http://genome-euro.ucsc.edu/cgi-bin/hgTracks?position=220020_at","UCSC")</f>
        <v>UCSC</v>
      </c>
      <c r="E15627" s="1" t="str">
        <f>HYPERLINK("http://www.ncbi.nlm.nih.gov/gene/?term=XPNPEP3","NCBI")</f>
        <v>NCBI</v>
      </c>
      <c r="F15627">
        <v>0.71</v>
      </c>
      <c r="G15627">
        <v>0.78</v>
      </c>
      <c r="H15627" s="1" t="str">
        <f>HYPERLINK("http://www.weizmann.ac.il/complex/compphys/software/geview/data/figures/220020_at.png","Figure")</f>
        <v>Figure</v>
      </c>
      <c r="I15627">
        <v>1.01</v>
      </c>
      <c r="J15627">
        <v>0.9</v>
      </c>
      <c r="K15627">
        <v>0.99099999999999999</v>
      </c>
      <c r="L15627">
        <v>0.92</v>
      </c>
      <c r="M15627">
        <v>0.98</v>
      </c>
      <c r="N15627">
        <v>0.69</v>
      </c>
    </row>
    <row r="15628" spans="1:14" x14ac:dyDescent="0.25">
      <c r="A15628" t="s">
        <v>26332</v>
      </c>
      <c r="B15628" t="s">
        <v>26333</v>
      </c>
      <c r="C15628" s="1" t="str">
        <f>HYPERLINK("http://www.genecards.org/cgi-bin/carddisp.pl?gene=C22orf31","GeneCards")</f>
        <v>GeneCards</v>
      </c>
      <c r="D15628" s="1" t="str">
        <f>HYPERLINK("http://genome-euro.ucsc.edu/cgi-bin/hgTracks?position=206839_at","UCSC")</f>
        <v>UCSC</v>
      </c>
      <c r="E15628" s="1" t="str">
        <f>HYPERLINK("http://www.ncbi.nlm.nih.gov/gene/?term=C22orf31","NCBI")</f>
        <v>NCBI</v>
      </c>
      <c r="F15628">
        <v>0.71</v>
      </c>
      <c r="G15628">
        <v>0.78</v>
      </c>
      <c r="H15628" s="1" t="str">
        <f>HYPERLINK("http://www.weizmann.ac.il/complex/compphys/software/geview/data/figures/206839_at.png","Figure")</f>
        <v>Figure</v>
      </c>
      <c r="I15628">
        <v>1.04</v>
      </c>
      <c r="J15628">
        <v>0.74</v>
      </c>
      <c r="K15628">
        <v>1.03</v>
      </c>
      <c r="L15628">
        <v>0.77</v>
      </c>
      <c r="M15628">
        <v>0.99199999999999999</v>
      </c>
      <c r="N15628">
        <v>0.99</v>
      </c>
    </row>
    <row r="15629" spans="1:14" x14ac:dyDescent="0.25">
      <c r="A15629" t="s">
        <v>26334</v>
      </c>
      <c r="B15629" t="s">
        <v>17642</v>
      </c>
      <c r="C15629" s="1" t="str">
        <f>HYPERLINK("http://www.genecards.org/cgi-bin/carddisp.pl?gene=WHSC1","GeneCards")</f>
        <v>GeneCards</v>
      </c>
      <c r="D15629" s="1" t="str">
        <f>HYPERLINK("http://genome-euro.ucsc.edu/cgi-bin/hgTracks?position=209052_s_at","UCSC")</f>
        <v>UCSC</v>
      </c>
      <c r="E15629" s="1" t="str">
        <f>HYPERLINK("http://www.ncbi.nlm.nih.gov/gene/?term=WHSC1","NCBI")</f>
        <v>NCBI</v>
      </c>
      <c r="F15629">
        <v>0.71</v>
      </c>
      <c r="G15629">
        <v>0.78</v>
      </c>
      <c r="H15629" s="1" t="str">
        <f>HYPERLINK("http://www.weizmann.ac.il/complex/compphys/software/geview/data/figures/209052_s_at.png","Figure")</f>
        <v>Figure</v>
      </c>
      <c r="I15629">
        <v>1.07</v>
      </c>
      <c r="J15629">
        <v>0.7</v>
      </c>
      <c r="K15629">
        <v>1.04</v>
      </c>
      <c r="L15629">
        <v>0.86</v>
      </c>
      <c r="M15629">
        <v>0.97</v>
      </c>
      <c r="N15629">
        <v>0.92</v>
      </c>
    </row>
    <row r="15630" spans="1:14" x14ac:dyDescent="0.25">
      <c r="A15630" t="s">
        <v>26335</v>
      </c>
      <c r="B15630" t="s">
        <v>18223</v>
      </c>
      <c r="C15630" s="1" t="str">
        <f>HYPERLINK("http://www.genecards.org/cgi-bin/carddisp.pl?gene=ADCY9","GeneCards")</f>
        <v>GeneCards</v>
      </c>
      <c r="D15630" s="1" t="str">
        <f>HYPERLINK("http://genome-euro.ucsc.edu/cgi-bin/hgTracks?position=204498_s_at","UCSC")</f>
        <v>UCSC</v>
      </c>
      <c r="E15630" s="1" t="str">
        <f>HYPERLINK("http://www.ncbi.nlm.nih.gov/gene/?term=ADCY9","NCBI")</f>
        <v>NCBI</v>
      </c>
      <c r="F15630">
        <v>0.72</v>
      </c>
      <c r="G15630">
        <v>0.78</v>
      </c>
      <c r="H15630" s="1" t="str">
        <f>HYPERLINK("http://www.weizmann.ac.il/complex/compphys/software/geview/data/figures/204498_s_at.png","Figure")</f>
        <v>Figure</v>
      </c>
      <c r="I15630">
        <v>1.05</v>
      </c>
      <c r="J15630">
        <v>0.75</v>
      </c>
      <c r="K15630">
        <v>1.04</v>
      </c>
      <c r="L15630">
        <v>0.76</v>
      </c>
      <c r="M15630">
        <v>0.99199999999999999</v>
      </c>
      <c r="N15630">
        <v>0.99</v>
      </c>
    </row>
    <row r="15631" spans="1:14" x14ac:dyDescent="0.25">
      <c r="A15631" t="s">
        <v>26336</v>
      </c>
      <c r="B15631" t="s">
        <v>26337</v>
      </c>
      <c r="C15631" s="1" t="str">
        <f>HYPERLINK("http://www.genecards.org/cgi-bin/carddisp.pl?gene=LOC100291232 /// PLEKHM1 /// PLEKHM1P","GeneCards")</f>
        <v>GeneCards</v>
      </c>
      <c r="D15631" s="1" t="str">
        <f>HYPERLINK("http://genome-euro.ucsc.edu/cgi-bin/hgTracks?position=212700_x_at","UCSC")</f>
        <v>UCSC</v>
      </c>
      <c r="E15631" s="1" t="str">
        <f>HYPERLINK("http://www.ncbi.nlm.nih.gov/gene/?term=LOC100291232 /// PLEKHM1 /// PLEKHM1P","NCBI")</f>
        <v>NCBI</v>
      </c>
      <c r="F15631">
        <v>0.72</v>
      </c>
      <c r="G15631">
        <v>0.78</v>
      </c>
      <c r="H15631" s="1" t="str">
        <f>HYPERLINK("http://www.weizmann.ac.il/complex/compphys/software/geview/data/figures/212700_x_at.png","Figure")</f>
        <v>Figure</v>
      </c>
      <c r="I15631">
        <v>1.1000000000000001</v>
      </c>
      <c r="J15631">
        <v>0.73</v>
      </c>
      <c r="K15631">
        <v>1.08</v>
      </c>
      <c r="L15631">
        <v>0.79</v>
      </c>
      <c r="M15631">
        <v>0.97599999999999998</v>
      </c>
      <c r="N15631">
        <v>0.98</v>
      </c>
    </row>
    <row r="15632" spans="1:14" x14ac:dyDescent="0.25">
      <c r="A15632" t="s">
        <v>26338</v>
      </c>
      <c r="B15632" t="s">
        <v>26339</v>
      </c>
      <c r="C15632" s="1" t="str">
        <f>HYPERLINK("http://www.genecards.org/cgi-bin/carddisp.pl?gene=TMBIM1","GeneCards")</f>
        <v>GeneCards</v>
      </c>
      <c r="D15632" s="1" t="str">
        <f>HYPERLINK("http://genome-euro.ucsc.edu/cgi-bin/hgTracks?position=217730_at","UCSC")</f>
        <v>UCSC</v>
      </c>
      <c r="E15632" s="1" t="str">
        <f>HYPERLINK("http://www.ncbi.nlm.nih.gov/gene/?term=TMBIM1","NCBI")</f>
        <v>NCBI</v>
      </c>
      <c r="F15632">
        <v>0.72</v>
      </c>
      <c r="G15632">
        <v>0.78</v>
      </c>
      <c r="H15632" s="1" t="str">
        <f>HYPERLINK("http://www.weizmann.ac.il/complex/compphys/software/geview/data/figures/217730_at.png","Figure")</f>
        <v>Figure</v>
      </c>
      <c r="I15632">
        <v>1.02</v>
      </c>
      <c r="J15632">
        <v>0.98</v>
      </c>
      <c r="K15632">
        <v>0.96099999999999997</v>
      </c>
      <c r="L15632">
        <v>0.83</v>
      </c>
      <c r="M15632">
        <v>0.94499999999999995</v>
      </c>
      <c r="N15632">
        <v>0.73</v>
      </c>
    </row>
    <row r="15633" spans="1:14" x14ac:dyDescent="0.25">
      <c r="A15633" t="s">
        <v>26340</v>
      </c>
      <c r="B15633" t="s">
        <v>26341</v>
      </c>
      <c r="C15633" s="1" t="str">
        <f>HYPERLINK("http://www.genecards.org/cgi-bin/carddisp.pl?gene=COPG","GeneCards")</f>
        <v>GeneCards</v>
      </c>
      <c r="D15633" s="1" t="str">
        <f>HYPERLINK("http://genome-euro.ucsc.edu/cgi-bin/hgTracks?position=217749_at","UCSC")</f>
        <v>UCSC</v>
      </c>
      <c r="E15633" s="1" t="str">
        <f>HYPERLINK("http://www.ncbi.nlm.nih.gov/gene/?term=COPG","NCBI")</f>
        <v>NCBI</v>
      </c>
      <c r="F15633">
        <v>0.72</v>
      </c>
      <c r="G15633">
        <v>0.78</v>
      </c>
      <c r="H15633" s="1" t="str">
        <f>HYPERLINK("http://www.weizmann.ac.il/complex/compphys/software/geview/data/figures/217749_at.png","Figure")</f>
        <v>Figure</v>
      </c>
      <c r="I15633">
        <v>0.91</v>
      </c>
      <c r="J15633">
        <v>0.69</v>
      </c>
      <c r="K15633">
        <v>0.95499999999999996</v>
      </c>
      <c r="L15633">
        <v>0.89</v>
      </c>
      <c r="M15633">
        <v>1.05</v>
      </c>
      <c r="N15633">
        <v>0.89</v>
      </c>
    </row>
    <row r="15634" spans="1:14" x14ac:dyDescent="0.25">
      <c r="A15634" t="s">
        <v>26342</v>
      </c>
      <c r="B15634" t="s">
        <v>26343</v>
      </c>
      <c r="C15634" s="1" t="str">
        <f>HYPERLINK("http://www.genecards.org/cgi-bin/carddisp.pl?gene=RPS29","GeneCards")</f>
        <v>GeneCards</v>
      </c>
      <c r="D15634" s="1" t="str">
        <f>HYPERLINK("http://genome-euro.ucsc.edu/cgi-bin/hgTracks?position=201094_at","UCSC")</f>
        <v>UCSC</v>
      </c>
      <c r="E15634" s="1" t="str">
        <f>HYPERLINK("http://www.ncbi.nlm.nih.gov/gene/?term=RPS29","NCBI")</f>
        <v>NCBI</v>
      </c>
      <c r="F15634">
        <v>0.72</v>
      </c>
      <c r="G15634">
        <v>0.78</v>
      </c>
      <c r="H15634" s="1" t="str">
        <f>HYPERLINK("http://www.weizmann.ac.il/complex/compphys/software/geview/data/figures/201094_at.png","Figure")</f>
        <v>Figure</v>
      </c>
      <c r="I15634">
        <v>0.94299999999999995</v>
      </c>
      <c r="J15634">
        <v>0.72</v>
      </c>
      <c r="K15634">
        <v>0.98799999999999999</v>
      </c>
      <c r="L15634">
        <v>0.98</v>
      </c>
      <c r="M15634">
        <v>1.05</v>
      </c>
      <c r="N15634">
        <v>0.78</v>
      </c>
    </row>
    <row r="15635" spans="1:14" x14ac:dyDescent="0.25">
      <c r="A15635" t="s">
        <v>26344</v>
      </c>
      <c r="B15635" t="s">
        <v>20704</v>
      </c>
      <c r="C15635" s="1" t="str">
        <f>HYPERLINK("http://www.genecards.org/cgi-bin/carddisp.pl?gene=TRIM27","GeneCards")</f>
        <v>GeneCards</v>
      </c>
      <c r="D15635" s="1" t="str">
        <f>HYPERLINK("http://genome-euro.ucsc.edu/cgi-bin/hgTracks?position=212116_at","UCSC")</f>
        <v>UCSC</v>
      </c>
      <c r="E15635" s="1" t="str">
        <f>HYPERLINK("http://www.ncbi.nlm.nih.gov/gene/?term=TRIM27","NCBI")</f>
        <v>NCBI</v>
      </c>
      <c r="F15635">
        <v>0.72</v>
      </c>
      <c r="G15635">
        <v>0.78</v>
      </c>
      <c r="H15635" s="1" t="str">
        <f>HYPERLINK("http://www.weizmann.ac.il/complex/compphys/software/geview/data/figures/212116_at.png","Figure")</f>
        <v>Figure</v>
      </c>
      <c r="I15635">
        <v>0.89100000000000001</v>
      </c>
      <c r="J15635">
        <v>0.76</v>
      </c>
      <c r="K15635">
        <v>0.90500000000000003</v>
      </c>
      <c r="L15635">
        <v>0.76</v>
      </c>
      <c r="M15635">
        <v>1.02</v>
      </c>
      <c r="N15635">
        <v>0.99</v>
      </c>
    </row>
    <row r="15636" spans="1:14" x14ac:dyDescent="0.25">
      <c r="A15636" t="s">
        <v>26345</v>
      </c>
      <c r="B15636" t="s">
        <v>26346</v>
      </c>
      <c r="C15636" s="1" t="str">
        <f>HYPERLINK("http://www.genecards.org/cgi-bin/carddisp.pl?gene=SLC22A2","GeneCards")</f>
        <v>GeneCards</v>
      </c>
      <c r="D15636" s="1" t="str">
        <f>HYPERLINK("http://genome-euro.ucsc.edu/cgi-bin/hgTracks?position=207429_at","UCSC")</f>
        <v>UCSC</v>
      </c>
      <c r="E15636" s="1" t="str">
        <f>HYPERLINK("http://www.ncbi.nlm.nih.gov/gene/?term=SLC22A2","NCBI")</f>
        <v>NCBI</v>
      </c>
      <c r="F15636">
        <v>0.72</v>
      </c>
      <c r="G15636">
        <v>0.78</v>
      </c>
      <c r="H15636" s="1" t="str">
        <f>HYPERLINK("http://www.weizmann.ac.il/complex/compphys/software/geview/data/figures/207429_at.png","Figure")</f>
        <v>Figure</v>
      </c>
      <c r="I15636">
        <v>1.04</v>
      </c>
      <c r="J15636">
        <v>0.85</v>
      </c>
      <c r="K15636">
        <v>0.98399999999999999</v>
      </c>
      <c r="L15636">
        <v>0.96</v>
      </c>
      <c r="M15636">
        <v>0.94699999999999995</v>
      </c>
      <c r="N15636">
        <v>0.69</v>
      </c>
    </row>
    <row r="15637" spans="1:14" x14ac:dyDescent="0.25">
      <c r="A15637" t="s">
        <v>26347</v>
      </c>
      <c r="B15637" t="s">
        <v>26348</v>
      </c>
      <c r="C15637" s="1" t="str">
        <f>HYPERLINK("http://www.genecards.org/cgi-bin/carddisp.pl?gene=FXYD7","GeneCards")</f>
        <v>GeneCards</v>
      </c>
      <c r="D15637" s="1" t="str">
        <f>HYPERLINK("http://genome-euro.ucsc.edu/cgi-bin/hgTracks?position=220131_at","UCSC")</f>
        <v>UCSC</v>
      </c>
      <c r="E15637" s="1" t="str">
        <f>HYPERLINK("http://www.ncbi.nlm.nih.gov/gene/?term=FXYD7","NCBI")</f>
        <v>NCBI</v>
      </c>
      <c r="F15637">
        <v>0.72</v>
      </c>
      <c r="G15637">
        <v>0.78</v>
      </c>
      <c r="H15637" s="1" t="str">
        <f>HYPERLINK("http://www.weizmann.ac.il/complex/compphys/software/geview/data/figures/220131_at.png","Figure")</f>
        <v>Figure</v>
      </c>
      <c r="I15637">
        <v>1.06</v>
      </c>
      <c r="J15637">
        <v>0.76</v>
      </c>
      <c r="K15637">
        <v>1.05</v>
      </c>
      <c r="L15637">
        <v>0.76</v>
      </c>
      <c r="M15637">
        <v>0.99299999999999999</v>
      </c>
      <c r="N15637">
        <v>1</v>
      </c>
    </row>
    <row r="15638" spans="1:14" x14ac:dyDescent="0.25">
      <c r="A15638" t="s">
        <v>26349</v>
      </c>
      <c r="B15638" t="s">
        <v>22839</v>
      </c>
      <c r="C15638" s="1" t="str">
        <f>HYPERLINK("http://www.genecards.org/cgi-bin/carddisp.pl?gene=APBA3","GeneCards")</f>
        <v>GeneCards</v>
      </c>
      <c r="D15638" s="1" t="str">
        <f>HYPERLINK("http://genome-euro.ucsc.edu/cgi-bin/hgTracks?position=215148_s_at","UCSC")</f>
        <v>UCSC</v>
      </c>
      <c r="E15638" s="1" t="str">
        <f>HYPERLINK("http://www.ncbi.nlm.nih.gov/gene/?term=APBA3","NCBI")</f>
        <v>NCBI</v>
      </c>
      <c r="F15638">
        <v>0.72</v>
      </c>
      <c r="G15638">
        <v>0.78</v>
      </c>
      <c r="H15638" s="1" t="str">
        <f>HYPERLINK("http://www.weizmann.ac.il/complex/compphys/software/geview/data/figures/215148_s_at.png","Figure")</f>
        <v>Figure</v>
      </c>
      <c r="I15638">
        <v>0.875</v>
      </c>
      <c r="J15638">
        <v>0.82</v>
      </c>
      <c r="K15638">
        <v>1.03</v>
      </c>
      <c r="L15638">
        <v>0.99</v>
      </c>
      <c r="M15638">
        <v>1.18</v>
      </c>
      <c r="N15638">
        <v>0.7</v>
      </c>
    </row>
    <row r="15639" spans="1:14" x14ac:dyDescent="0.25">
      <c r="A15639" t="s">
        <v>26350</v>
      </c>
      <c r="B15639" t="s">
        <v>6025</v>
      </c>
      <c r="C15639" s="1" t="str">
        <f>HYPERLINK("http://www.genecards.org/cgi-bin/carddisp.pl?gene=MAP2K7","GeneCards")</f>
        <v>GeneCards</v>
      </c>
      <c r="D15639" s="1" t="str">
        <f>HYPERLINK("http://genome-euro.ucsc.edu/cgi-bin/hgTracks?position=209951_s_at","UCSC")</f>
        <v>UCSC</v>
      </c>
      <c r="E15639" s="1" t="str">
        <f>HYPERLINK("http://www.ncbi.nlm.nih.gov/gene/?term=MAP2K7","NCBI")</f>
        <v>NCBI</v>
      </c>
      <c r="F15639">
        <v>0.72</v>
      </c>
      <c r="G15639">
        <v>0.78</v>
      </c>
      <c r="H15639" s="1" t="str">
        <f>HYPERLINK("http://www.weizmann.ac.il/complex/compphys/software/geview/data/figures/209951_s_at.png","Figure")</f>
        <v>Figure</v>
      </c>
      <c r="I15639">
        <v>1</v>
      </c>
      <c r="J15639">
        <v>1</v>
      </c>
      <c r="K15639">
        <v>0.97099999999999997</v>
      </c>
      <c r="L15639">
        <v>0.76</v>
      </c>
      <c r="M15639">
        <v>0.97099999999999997</v>
      </c>
      <c r="N15639">
        <v>0.79</v>
      </c>
    </row>
    <row r="15640" spans="1:14" x14ac:dyDescent="0.25">
      <c r="A15640" t="s">
        <v>26351</v>
      </c>
      <c r="B15640" t="s">
        <v>2656</v>
      </c>
      <c r="C15640" s="1" t="str">
        <f>HYPERLINK("http://www.genecards.org/cgi-bin/carddisp.pl?gene=SLC25A12","GeneCards")</f>
        <v>GeneCards</v>
      </c>
      <c r="D15640" s="1" t="str">
        <f>HYPERLINK("http://genome-euro.ucsc.edu/cgi-bin/hgTracks?position=203340_s_at","UCSC")</f>
        <v>UCSC</v>
      </c>
      <c r="E15640" s="1" t="str">
        <f>HYPERLINK("http://www.ncbi.nlm.nih.gov/gene/?term=SLC25A12","NCBI")</f>
        <v>NCBI</v>
      </c>
      <c r="F15640">
        <v>0.72</v>
      </c>
      <c r="G15640">
        <v>0.78</v>
      </c>
      <c r="H15640" s="1" t="str">
        <f>HYPERLINK("http://www.weizmann.ac.il/complex/compphys/software/geview/data/figures/203340_s_at.png","Figure")</f>
        <v>Figure</v>
      </c>
      <c r="I15640">
        <v>1.06</v>
      </c>
      <c r="J15640">
        <v>0.86</v>
      </c>
      <c r="K15640">
        <v>1.08</v>
      </c>
      <c r="L15640">
        <v>0.7</v>
      </c>
      <c r="M15640">
        <v>1.02</v>
      </c>
      <c r="N15640">
        <v>0.98</v>
      </c>
    </row>
    <row r="15641" spans="1:14" x14ac:dyDescent="0.25">
      <c r="A15641" t="s">
        <v>26352</v>
      </c>
      <c r="B15641" t="s">
        <v>26353</v>
      </c>
      <c r="C15641" s="1" t="str">
        <f>HYPERLINK("http://www.genecards.org/cgi-bin/carddisp.pl?gene=S100A9","GeneCards")</f>
        <v>GeneCards</v>
      </c>
      <c r="D15641" s="1" t="str">
        <f>HYPERLINK("http://genome-euro.ucsc.edu/cgi-bin/hgTracks?position=203535_at","UCSC")</f>
        <v>UCSC</v>
      </c>
      <c r="E15641" s="1" t="str">
        <f>HYPERLINK("http://www.ncbi.nlm.nih.gov/gene/?term=S100A9","NCBI")</f>
        <v>NCBI</v>
      </c>
      <c r="F15641">
        <v>0.72</v>
      </c>
      <c r="G15641">
        <v>0.78</v>
      </c>
      <c r="H15641" s="1" t="str">
        <f>HYPERLINK("http://www.weizmann.ac.il/complex/compphys/software/geview/data/figures/203535_at.png","Figure")</f>
        <v>Figure</v>
      </c>
      <c r="I15641">
        <v>1.1499999999999999</v>
      </c>
      <c r="J15641">
        <v>0.7</v>
      </c>
      <c r="K15641">
        <v>1.08</v>
      </c>
      <c r="L15641">
        <v>0.86</v>
      </c>
      <c r="M15641">
        <v>0.94</v>
      </c>
      <c r="N15641">
        <v>0.92</v>
      </c>
    </row>
    <row r="15642" spans="1:14" x14ac:dyDescent="0.25">
      <c r="A15642" t="s">
        <v>26354</v>
      </c>
      <c r="B15642" t="s">
        <v>26355</v>
      </c>
      <c r="C15642" s="1" t="str">
        <f>HYPERLINK("http://www.genecards.org/cgi-bin/carddisp.pl?gene=RFXANK","GeneCards")</f>
        <v>GeneCards</v>
      </c>
      <c r="D15642" s="1" t="str">
        <f>HYPERLINK("http://genome-euro.ucsc.edu/cgi-bin/hgTracks?position=202758_s_at","UCSC")</f>
        <v>UCSC</v>
      </c>
      <c r="E15642" s="1" t="str">
        <f>HYPERLINK("http://www.ncbi.nlm.nih.gov/gene/?term=RFXANK","NCBI")</f>
        <v>NCBI</v>
      </c>
      <c r="F15642">
        <v>0.72</v>
      </c>
      <c r="G15642">
        <v>0.78</v>
      </c>
      <c r="H15642" s="1" t="str">
        <f>HYPERLINK("http://www.weizmann.ac.il/complex/compphys/software/geview/data/figures/202758_s_at.png","Figure")</f>
        <v>Figure</v>
      </c>
      <c r="I15642">
        <v>0.93400000000000005</v>
      </c>
      <c r="J15642">
        <v>0.86</v>
      </c>
      <c r="K15642">
        <v>1.03</v>
      </c>
      <c r="L15642">
        <v>0.96</v>
      </c>
      <c r="M15642">
        <v>1.1100000000000001</v>
      </c>
      <c r="N15642">
        <v>0.69</v>
      </c>
    </row>
    <row r="15643" spans="1:14" x14ac:dyDescent="0.25">
      <c r="A15643" t="s">
        <v>26356</v>
      </c>
      <c r="B15643" t="s">
        <v>9801</v>
      </c>
      <c r="C15643" s="1" t="str">
        <f>HYPERLINK("http://www.genecards.org/cgi-bin/carddisp.pl?gene=MED16","GeneCards")</f>
        <v>GeneCards</v>
      </c>
      <c r="D15643" s="1" t="str">
        <f>HYPERLINK("http://genome-euro.ucsc.edu/cgi-bin/hgTracks?position=221938_x_at","UCSC")</f>
        <v>UCSC</v>
      </c>
      <c r="E15643" s="1" t="str">
        <f>HYPERLINK("http://www.ncbi.nlm.nih.gov/gene/?term=MED16","NCBI")</f>
        <v>NCBI</v>
      </c>
      <c r="F15643">
        <v>0.72</v>
      </c>
      <c r="G15643">
        <v>0.78</v>
      </c>
      <c r="H15643" s="1" t="str">
        <f>HYPERLINK("http://www.weizmann.ac.il/complex/compphys/software/geview/data/figures/221938_x_at.png","Figure")</f>
        <v>Figure</v>
      </c>
      <c r="I15643">
        <v>0.92200000000000004</v>
      </c>
      <c r="J15643">
        <v>0.71</v>
      </c>
      <c r="K15643">
        <v>0.94899999999999995</v>
      </c>
      <c r="L15643">
        <v>0.83</v>
      </c>
      <c r="M15643">
        <v>1.03</v>
      </c>
      <c r="N15643">
        <v>0.95</v>
      </c>
    </row>
    <row r="15644" spans="1:14" x14ac:dyDescent="0.25">
      <c r="A15644" t="s">
        <v>26357</v>
      </c>
      <c r="B15644" t="s">
        <v>26358</v>
      </c>
      <c r="C15644" s="1" t="str">
        <f>HYPERLINK("http://www.genecards.org/cgi-bin/carddisp.pl?gene=PION","GeneCards")</f>
        <v>GeneCards</v>
      </c>
      <c r="D15644" s="1" t="str">
        <f>HYPERLINK("http://genome-euro.ucsc.edu/cgi-bin/hgTracks?position=222150_s_at","UCSC")</f>
        <v>UCSC</v>
      </c>
      <c r="E15644" s="1" t="str">
        <f>HYPERLINK("http://www.ncbi.nlm.nih.gov/gene/?term=PION","NCBI")</f>
        <v>NCBI</v>
      </c>
      <c r="F15644">
        <v>0.72</v>
      </c>
      <c r="G15644">
        <v>0.78</v>
      </c>
      <c r="H15644" s="1" t="str">
        <f>HYPERLINK("http://www.weizmann.ac.il/complex/compphys/software/geview/data/figures/222150_s_at.png","Figure")</f>
        <v>Figure</v>
      </c>
      <c r="I15644">
        <v>1.04</v>
      </c>
      <c r="J15644">
        <v>0.99</v>
      </c>
      <c r="K15644">
        <v>0.77400000000000002</v>
      </c>
      <c r="L15644">
        <v>0.79</v>
      </c>
      <c r="M15644">
        <v>0.74199999999999999</v>
      </c>
      <c r="N15644">
        <v>0.76</v>
      </c>
    </row>
    <row r="15645" spans="1:14" x14ac:dyDescent="0.25">
      <c r="A15645" t="s">
        <v>26359</v>
      </c>
      <c r="B15645" t="s">
        <v>26360</v>
      </c>
      <c r="C15645" s="1" t="str">
        <f>HYPERLINK("http://www.genecards.org/cgi-bin/carddisp.pl?gene=FGF22","GeneCards")</f>
        <v>GeneCards</v>
      </c>
      <c r="D15645" s="1" t="str">
        <f>HYPERLINK("http://genome-euro.ucsc.edu/cgi-bin/hgTracks?position=221315_s_at","UCSC")</f>
        <v>UCSC</v>
      </c>
      <c r="E15645" s="1" t="str">
        <f>HYPERLINK("http://www.ncbi.nlm.nih.gov/gene/?term=FGF22","NCBI")</f>
        <v>NCBI</v>
      </c>
      <c r="F15645">
        <v>0.72</v>
      </c>
      <c r="G15645">
        <v>0.78</v>
      </c>
      <c r="H15645" s="1" t="str">
        <f>HYPERLINK("http://www.weizmann.ac.il/complex/compphys/software/geview/data/figures/221315_s_at.png","Figure")</f>
        <v>Figure</v>
      </c>
      <c r="I15645">
        <v>0.98599999999999999</v>
      </c>
      <c r="J15645">
        <v>0.82</v>
      </c>
      <c r="K15645">
        <v>0.98399999999999999</v>
      </c>
      <c r="L15645">
        <v>0.71</v>
      </c>
      <c r="M15645">
        <v>0.998</v>
      </c>
      <c r="N15645">
        <v>0.99</v>
      </c>
    </row>
    <row r="15646" spans="1:14" x14ac:dyDescent="0.25">
      <c r="A15646" t="s">
        <v>26361</v>
      </c>
      <c r="B15646" t="s">
        <v>18887</v>
      </c>
      <c r="C15646" s="1" t="str">
        <f>HYPERLINK("http://www.genecards.org/cgi-bin/carddisp.pl?gene=LPCAT3","GeneCards")</f>
        <v>GeneCards</v>
      </c>
      <c r="D15646" s="1" t="str">
        <f>HYPERLINK("http://genome-euro.ucsc.edu/cgi-bin/hgTracks?position=213615_at","UCSC")</f>
        <v>UCSC</v>
      </c>
      <c r="E15646" s="1" t="str">
        <f>HYPERLINK("http://www.ncbi.nlm.nih.gov/gene/?term=LPCAT3","NCBI")</f>
        <v>NCBI</v>
      </c>
      <c r="F15646">
        <v>0.72</v>
      </c>
      <c r="G15646">
        <v>0.78</v>
      </c>
      <c r="H15646" s="1" t="str">
        <f>HYPERLINK("http://www.weizmann.ac.il/complex/compphys/software/geview/data/figures/213615_at.png","Figure")</f>
        <v>Figure</v>
      </c>
      <c r="I15646">
        <v>1.1000000000000001</v>
      </c>
      <c r="J15646">
        <v>0.7</v>
      </c>
      <c r="K15646">
        <v>1.06</v>
      </c>
      <c r="L15646">
        <v>0.86</v>
      </c>
      <c r="M15646">
        <v>0.95799999999999996</v>
      </c>
      <c r="N15646">
        <v>0.92</v>
      </c>
    </row>
    <row r="15647" spans="1:14" x14ac:dyDescent="0.25">
      <c r="A15647" t="s">
        <v>26362</v>
      </c>
      <c r="B15647" t="s">
        <v>21454</v>
      </c>
      <c r="C15647" s="1" t="str">
        <f>HYPERLINK("http://www.genecards.org/cgi-bin/carddisp.pl?gene=GGA3","GeneCards")</f>
        <v>GeneCards</v>
      </c>
      <c r="D15647" s="1" t="str">
        <f>HYPERLINK("http://genome-euro.ucsc.edu/cgi-bin/hgTracks?position=211815_s_at","UCSC")</f>
        <v>UCSC</v>
      </c>
      <c r="E15647" s="1" t="str">
        <f>HYPERLINK("http://www.ncbi.nlm.nih.gov/gene/?term=GGA3","NCBI")</f>
        <v>NCBI</v>
      </c>
      <c r="F15647">
        <v>0.72</v>
      </c>
      <c r="G15647">
        <v>0.78</v>
      </c>
      <c r="H15647" s="1" t="str">
        <f>HYPERLINK("http://www.weizmann.ac.il/complex/compphys/software/geview/data/figures/211815_s_at.png","Figure")</f>
        <v>Figure</v>
      </c>
      <c r="I15647">
        <v>0.98</v>
      </c>
      <c r="J15647">
        <v>0.98</v>
      </c>
      <c r="K15647">
        <v>1.05</v>
      </c>
      <c r="L15647">
        <v>0.83</v>
      </c>
      <c r="M15647">
        <v>1.08</v>
      </c>
      <c r="N15647">
        <v>0.73</v>
      </c>
    </row>
    <row r="15648" spans="1:14" x14ac:dyDescent="0.25">
      <c r="A15648" t="s">
        <v>26363</v>
      </c>
      <c r="B15648" t="s">
        <v>26364</v>
      </c>
      <c r="C15648" s="1" t="str">
        <f>HYPERLINK("http://www.genecards.org/cgi-bin/carddisp.pl?gene=SLC12A7","GeneCards")</f>
        <v>GeneCards</v>
      </c>
      <c r="D15648" s="1" t="str">
        <f>HYPERLINK("http://genome-euro.ucsc.edu/cgi-bin/hgTracks?position=218066_at","UCSC")</f>
        <v>UCSC</v>
      </c>
      <c r="E15648" s="1" t="str">
        <f>HYPERLINK("http://www.ncbi.nlm.nih.gov/gene/?term=SLC12A7","NCBI")</f>
        <v>NCBI</v>
      </c>
      <c r="F15648">
        <v>0.72</v>
      </c>
      <c r="G15648">
        <v>0.78</v>
      </c>
      <c r="H15648" s="1" t="str">
        <f>HYPERLINK("http://www.weizmann.ac.il/complex/compphys/software/geview/data/figures/218066_at.png","Figure")</f>
        <v>Figure</v>
      </c>
      <c r="I15648">
        <v>1.04</v>
      </c>
      <c r="J15648">
        <v>0.97</v>
      </c>
      <c r="K15648">
        <v>1.1200000000000001</v>
      </c>
      <c r="L15648">
        <v>0.71</v>
      </c>
      <c r="M15648">
        <v>1.08</v>
      </c>
      <c r="N15648">
        <v>0.87</v>
      </c>
    </row>
    <row r="15649" spans="1:14" x14ac:dyDescent="0.25">
      <c r="A15649" t="s">
        <v>26365</v>
      </c>
      <c r="B15649" t="s">
        <v>8999</v>
      </c>
      <c r="C15649" s="1" t="str">
        <f>HYPERLINK("http://www.genecards.org/cgi-bin/carddisp.pl?gene=CLTA","GeneCards")</f>
        <v>GeneCards</v>
      </c>
      <c r="D15649" s="1" t="str">
        <f>HYPERLINK("http://genome-euro.ucsc.edu/cgi-bin/hgTracks?position=216295_s_at","UCSC")</f>
        <v>UCSC</v>
      </c>
      <c r="E15649" s="1" t="str">
        <f>HYPERLINK("http://www.ncbi.nlm.nih.gov/gene/?term=CLTA","NCBI")</f>
        <v>NCBI</v>
      </c>
      <c r="F15649">
        <v>0.72</v>
      </c>
      <c r="G15649">
        <v>0.78</v>
      </c>
      <c r="H15649" s="1" t="str">
        <f>HYPERLINK("http://www.weizmann.ac.il/complex/compphys/software/geview/data/figures/216295_s_at.png","Figure")</f>
        <v>Figure</v>
      </c>
      <c r="I15649">
        <v>1.18</v>
      </c>
      <c r="J15649">
        <v>0.8</v>
      </c>
      <c r="K15649">
        <v>1.19</v>
      </c>
      <c r="L15649">
        <v>0.73</v>
      </c>
      <c r="M15649">
        <v>1.01</v>
      </c>
      <c r="N15649">
        <v>1</v>
      </c>
    </row>
    <row r="15650" spans="1:14" x14ac:dyDescent="0.25">
      <c r="A15650" t="s">
        <v>26366</v>
      </c>
      <c r="B15650" t="s">
        <v>26367</v>
      </c>
      <c r="C15650" s="1" t="str">
        <f>HYPERLINK("http://www.genecards.org/cgi-bin/carddisp.pl?gene=CNBP","GeneCards")</f>
        <v>GeneCards</v>
      </c>
      <c r="D15650" s="1" t="str">
        <f>HYPERLINK("http://genome-euro.ucsc.edu/cgi-bin/hgTracks?position=206158_s_at","UCSC")</f>
        <v>UCSC</v>
      </c>
      <c r="E15650" s="1" t="str">
        <f>HYPERLINK("http://www.ncbi.nlm.nih.gov/gene/?term=CNBP","NCBI")</f>
        <v>NCBI</v>
      </c>
      <c r="F15650">
        <v>0.72</v>
      </c>
      <c r="G15650">
        <v>0.78</v>
      </c>
      <c r="H15650" s="1" t="str">
        <f>HYPERLINK("http://www.weizmann.ac.il/complex/compphys/software/geview/data/figures/206158_s_at.png","Figure")</f>
        <v>Figure</v>
      </c>
      <c r="I15650">
        <v>1.02</v>
      </c>
      <c r="J15650">
        <v>1</v>
      </c>
      <c r="K15650">
        <v>1.1299999999999999</v>
      </c>
      <c r="L15650">
        <v>0.74</v>
      </c>
      <c r="M15650">
        <v>1.1100000000000001</v>
      </c>
      <c r="N15650">
        <v>0.82</v>
      </c>
    </row>
    <row r="15651" spans="1:14" x14ac:dyDescent="0.25">
      <c r="A15651" t="s">
        <v>26368</v>
      </c>
      <c r="B15651" t="s">
        <v>26369</v>
      </c>
      <c r="C15651" s="1" t="str">
        <f>HYPERLINK("http://www.genecards.org/cgi-bin/carddisp.pl?gene=PELP1","GeneCards")</f>
        <v>GeneCards</v>
      </c>
      <c r="D15651" s="1" t="str">
        <f>HYPERLINK("http://genome-euro.ucsc.edu/cgi-bin/hgTracks?position=215354_s_at","UCSC")</f>
        <v>UCSC</v>
      </c>
      <c r="E15651" s="1" t="str">
        <f>HYPERLINK("http://www.ncbi.nlm.nih.gov/gene/?term=PELP1","NCBI")</f>
        <v>NCBI</v>
      </c>
      <c r="F15651">
        <v>0.72</v>
      </c>
      <c r="G15651">
        <v>0.78</v>
      </c>
      <c r="H15651" s="1" t="str">
        <f>HYPERLINK("http://www.weizmann.ac.il/complex/compphys/software/geview/data/figures/215354_s_at.png","Figure")</f>
        <v>Figure</v>
      </c>
      <c r="I15651">
        <v>1.01</v>
      </c>
      <c r="J15651">
        <v>0.99</v>
      </c>
      <c r="K15651">
        <v>1.06</v>
      </c>
      <c r="L15651">
        <v>0.73</v>
      </c>
      <c r="M15651">
        <v>1.04</v>
      </c>
      <c r="N15651">
        <v>0.84</v>
      </c>
    </row>
    <row r="15652" spans="1:14" x14ac:dyDescent="0.25">
      <c r="A15652" t="s">
        <v>26370</v>
      </c>
      <c r="B15652" t="s">
        <v>26371</v>
      </c>
      <c r="C15652" s="1" t="str">
        <f>HYPERLINK("http://www.genecards.org/cgi-bin/carddisp.pl?gene=PSMG2","GeneCards")</f>
        <v>GeneCards</v>
      </c>
      <c r="D15652" s="1" t="str">
        <f>HYPERLINK("http://genome-euro.ucsc.edu/cgi-bin/hgTracks?position=218467_at","UCSC")</f>
        <v>UCSC</v>
      </c>
      <c r="E15652" s="1" t="str">
        <f>HYPERLINK("http://www.ncbi.nlm.nih.gov/gene/?term=PSMG2","NCBI")</f>
        <v>NCBI</v>
      </c>
      <c r="F15652">
        <v>0.72</v>
      </c>
      <c r="G15652">
        <v>0.78</v>
      </c>
      <c r="H15652" s="1" t="str">
        <f>HYPERLINK("http://www.weizmann.ac.il/complex/compphys/software/geview/data/figures/218467_at.png","Figure")</f>
        <v>Figure</v>
      </c>
      <c r="I15652">
        <v>0.93</v>
      </c>
      <c r="J15652">
        <v>0.85</v>
      </c>
      <c r="K15652">
        <v>1.03</v>
      </c>
      <c r="L15652">
        <v>0.96</v>
      </c>
      <c r="M15652">
        <v>1.1100000000000001</v>
      </c>
      <c r="N15652">
        <v>0.7</v>
      </c>
    </row>
    <row r="15653" spans="1:14" x14ac:dyDescent="0.25">
      <c r="A15653" t="s">
        <v>26372</v>
      </c>
      <c r="B15653" t="s">
        <v>26373</v>
      </c>
      <c r="C15653" s="1" t="str">
        <f>HYPERLINK("http://www.genecards.org/cgi-bin/carddisp.pl?gene=CHGA","GeneCards")</f>
        <v>GeneCards</v>
      </c>
      <c r="D15653" s="1" t="str">
        <f>HYPERLINK("http://genome-euro.ucsc.edu/cgi-bin/hgTracks?position=204697_s_at","UCSC")</f>
        <v>UCSC</v>
      </c>
      <c r="E15653" s="1" t="str">
        <f>HYPERLINK("http://www.ncbi.nlm.nih.gov/gene/?term=CHGA","NCBI")</f>
        <v>NCBI</v>
      </c>
      <c r="F15653">
        <v>0.72</v>
      </c>
      <c r="G15653">
        <v>0.78</v>
      </c>
      <c r="H15653" s="1" t="str">
        <f>HYPERLINK("http://www.weizmann.ac.il/complex/compphys/software/geview/data/figures/204697_s_at.png","Figure")</f>
        <v>Figure</v>
      </c>
      <c r="I15653">
        <v>1</v>
      </c>
      <c r="J15653">
        <v>0.89</v>
      </c>
      <c r="K15653">
        <v>0.997</v>
      </c>
      <c r="L15653">
        <v>0.93</v>
      </c>
      <c r="M15653">
        <v>0.99299999999999999</v>
      </c>
      <c r="N15653">
        <v>0.7</v>
      </c>
    </row>
    <row r="15654" spans="1:14" x14ac:dyDescent="0.25">
      <c r="A15654" t="s">
        <v>26374</v>
      </c>
      <c r="B15654" t="s">
        <v>15277</v>
      </c>
      <c r="C15654" s="1" t="str">
        <f>HYPERLINK("http://www.genecards.org/cgi-bin/carddisp.pl?gene=HLA-DQB1","GeneCards")</f>
        <v>GeneCards</v>
      </c>
      <c r="D15654" s="1" t="str">
        <f>HYPERLINK("http://genome-euro.ucsc.edu/cgi-bin/hgTracks?position=210747_at","UCSC")</f>
        <v>UCSC</v>
      </c>
      <c r="E15654" s="1" t="str">
        <f>HYPERLINK("http://www.ncbi.nlm.nih.gov/gene/?term=HLA-DQB1","NCBI")</f>
        <v>NCBI</v>
      </c>
      <c r="F15654">
        <v>0.72</v>
      </c>
      <c r="G15654">
        <v>0.78</v>
      </c>
      <c r="H15654" s="1" t="str">
        <f>HYPERLINK("http://www.weizmann.ac.il/complex/compphys/software/geview/data/figures/210747_at.png","Figure")</f>
        <v>Figure</v>
      </c>
      <c r="I15654">
        <v>1</v>
      </c>
      <c r="J15654">
        <v>0.89</v>
      </c>
      <c r="K15654">
        <v>0.997</v>
      </c>
      <c r="L15654">
        <v>0.93</v>
      </c>
      <c r="M15654">
        <v>0.99299999999999999</v>
      </c>
      <c r="N15654">
        <v>0.7</v>
      </c>
    </row>
    <row r="15655" spans="1:14" x14ac:dyDescent="0.25">
      <c r="A15655" t="s">
        <v>26375</v>
      </c>
      <c r="B15655" t="s">
        <v>12194</v>
      </c>
      <c r="C15655" s="1" t="str">
        <f>HYPERLINK("http://www.genecards.org/cgi-bin/carddisp.pl?gene=STX6","GeneCards")</f>
        <v>GeneCards</v>
      </c>
      <c r="D15655" s="1" t="str">
        <f>HYPERLINK("http://genome-euro.ucsc.edu/cgi-bin/hgTracks?position=214441_at","UCSC")</f>
        <v>UCSC</v>
      </c>
      <c r="E15655" s="1" t="str">
        <f>HYPERLINK("http://www.ncbi.nlm.nih.gov/gene/?term=STX6","NCBI")</f>
        <v>NCBI</v>
      </c>
      <c r="F15655">
        <v>0.72</v>
      </c>
      <c r="G15655">
        <v>0.78</v>
      </c>
      <c r="H15655" s="1" t="str">
        <f>HYPERLINK("http://www.weizmann.ac.il/complex/compphys/software/geview/data/figures/214441_at.png","Figure")</f>
        <v>Figure</v>
      </c>
      <c r="I15655">
        <v>1.01</v>
      </c>
      <c r="J15655">
        <v>0.82</v>
      </c>
      <c r="K15655">
        <v>0.998</v>
      </c>
      <c r="L15655">
        <v>0.99</v>
      </c>
      <c r="M15655">
        <v>0.98799999999999999</v>
      </c>
      <c r="N15655">
        <v>0.71</v>
      </c>
    </row>
    <row r="15656" spans="1:14" x14ac:dyDescent="0.25">
      <c r="A15656" t="s">
        <v>26376</v>
      </c>
      <c r="B15656" t="s">
        <v>26377</v>
      </c>
      <c r="C15656" s="1" t="str">
        <f>HYPERLINK("http://www.genecards.org/cgi-bin/carddisp.pl?gene=OR6A2","GeneCards")</f>
        <v>GeneCards</v>
      </c>
      <c r="D15656" s="1" t="str">
        <f>HYPERLINK("http://genome-euro.ucsc.edu/cgi-bin/hgTracks?position=221465_at","UCSC")</f>
        <v>UCSC</v>
      </c>
      <c r="E15656" s="1" t="str">
        <f>HYPERLINK("http://www.ncbi.nlm.nih.gov/gene/?term=OR6A2","NCBI")</f>
        <v>NCBI</v>
      </c>
      <c r="F15656">
        <v>0.72</v>
      </c>
      <c r="G15656">
        <v>0.78</v>
      </c>
      <c r="H15656" s="1" t="str">
        <f>HYPERLINK("http://www.weizmann.ac.il/complex/compphys/software/geview/data/figures/221465_at.png","Figure")</f>
        <v>Figure</v>
      </c>
      <c r="I15656">
        <v>0.98199999999999998</v>
      </c>
      <c r="J15656">
        <v>0.96</v>
      </c>
      <c r="K15656">
        <v>0.95599999999999996</v>
      </c>
      <c r="L15656">
        <v>0.71</v>
      </c>
      <c r="M15656">
        <v>0.97299999999999998</v>
      </c>
      <c r="N15656">
        <v>0.9</v>
      </c>
    </row>
    <row r="15657" spans="1:14" x14ac:dyDescent="0.25">
      <c r="A15657" t="s">
        <v>26378</v>
      </c>
      <c r="B15657" t="s">
        <v>26379</v>
      </c>
      <c r="C15657" s="1" t="str">
        <f>HYPERLINK("http://www.genecards.org/cgi-bin/carddisp.pl?gene=NPIP","GeneCards")</f>
        <v>GeneCards</v>
      </c>
      <c r="D15657" s="1" t="str">
        <f>HYPERLINK("http://genome-euro.ucsc.edu/cgi-bin/hgTracks?position=204538_x_at","UCSC")</f>
        <v>UCSC</v>
      </c>
      <c r="E15657" s="1" t="str">
        <f>HYPERLINK("http://www.ncbi.nlm.nih.gov/gene/?term=NPIP","NCBI")</f>
        <v>NCBI</v>
      </c>
      <c r="F15657">
        <v>0.72</v>
      </c>
      <c r="G15657">
        <v>0.78</v>
      </c>
      <c r="H15657" s="1" t="str">
        <f>HYPERLINK("http://www.weizmann.ac.il/complex/compphys/software/geview/data/figures/204538_x_at.png","Figure")</f>
        <v>Figure</v>
      </c>
      <c r="I15657">
        <v>1.08</v>
      </c>
      <c r="J15657">
        <v>0.97</v>
      </c>
      <c r="K15657">
        <v>1.22</v>
      </c>
      <c r="L15657">
        <v>0.71</v>
      </c>
      <c r="M15657">
        <v>1.1399999999999999</v>
      </c>
      <c r="N15657">
        <v>0.88</v>
      </c>
    </row>
    <row r="15658" spans="1:14" x14ac:dyDescent="0.25">
      <c r="A15658" t="s">
        <v>26380</v>
      </c>
      <c r="B15658" t="s">
        <v>26381</v>
      </c>
      <c r="C15658" s="1" t="str">
        <f>HYPERLINK("http://www.genecards.org/cgi-bin/carddisp.pl?gene=C19orf56","GeneCards")</f>
        <v>GeneCards</v>
      </c>
      <c r="D15658" s="1" t="str">
        <f>HYPERLINK("http://genome-euro.ucsc.edu/cgi-bin/hgTracks?position=217780_at","UCSC")</f>
        <v>UCSC</v>
      </c>
      <c r="E15658" s="1" t="str">
        <f>HYPERLINK("http://www.ncbi.nlm.nih.gov/gene/?term=C19orf56","NCBI")</f>
        <v>NCBI</v>
      </c>
      <c r="F15658">
        <v>0.72</v>
      </c>
      <c r="G15658">
        <v>0.78</v>
      </c>
      <c r="H15658" s="1" t="str">
        <f>HYPERLINK("http://www.weizmann.ac.il/complex/compphys/software/geview/data/figures/217780_at.png","Figure")</f>
        <v>Figure</v>
      </c>
      <c r="I15658">
        <v>1.07</v>
      </c>
      <c r="J15658">
        <v>0.72</v>
      </c>
      <c r="K15658">
        <v>1.01</v>
      </c>
      <c r="L15658">
        <v>0.98</v>
      </c>
      <c r="M15658">
        <v>0.94899999999999995</v>
      </c>
      <c r="N15658">
        <v>0.79</v>
      </c>
    </row>
    <row r="15659" spans="1:14" x14ac:dyDescent="0.25">
      <c r="A15659" t="s">
        <v>26382</v>
      </c>
      <c r="B15659" t="s">
        <v>26383</v>
      </c>
      <c r="C15659" s="1" t="str">
        <f>HYPERLINK("http://www.genecards.org/cgi-bin/carddisp.pl?gene=C6orf35","GeneCards")</f>
        <v>GeneCards</v>
      </c>
      <c r="D15659" s="1" t="str">
        <f>HYPERLINK("http://genome-euro.ucsc.edu/cgi-bin/hgTracks?position=218453_s_at","UCSC")</f>
        <v>UCSC</v>
      </c>
      <c r="E15659" s="1" t="str">
        <f>HYPERLINK("http://www.ncbi.nlm.nih.gov/gene/?term=C6orf35","NCBI")</f>
        <v>NCBI</v>
      </c>
      <c r="F15659">
        <v>0.72</v>
      </c>
      <c r="G15659">
        <v>0.78</v>
      </c>
      <c r="H15659" s="1" t="str">
        <f>HYPERLINK("http://www.weizmann.ac.il/complex/compphys/software/geview/data/figures/218453_s_at.png","Figure")</f>
        <v>Figure</v>
      </c>
      <c r="I15659">
        <v>0.97099999999999997</v>
      </c>
      <c r="J15659">
        <v>0.96</v>
      </c>
      <c r="K15659">
        <v>1.05</v>
      </c>
      <c r="L15659">
        <v>0.86</v>
      </c>
      <c r="M15659">
        <v>1.08</v>
      </c>
      <c r="N15659">
        <v>0.72</v>
      </c>
    </row>
    <row r="15660" spans="1:14" x14ac:dyDescent="0.25">
      <c r="A15660" t="s">
        <v>26384</v>
      </c>
      <c r="B15660" t="s">
        <v>15046</v>
      </c>
      <c r="C15660" s="1" t="str">
        <f>HYPERLINK("http://www.genecards.org/cgi-bin/carddisp.pl?gene=FAM105A","GeneCards")</f>
        <v>GeneCards</v>
      </c>
      <c r="D15660" s="1" t="str">
        <f>HYPERLINK("http://genome-euro.ucsc.edu/cgi-bin/hgTracks?position=214947_at","UCSC")</f>
        <v>UCSC</v>
      </c>
      <c r="E15660" s="1" t="str">
        <f>HYPERLINK("http://www.ncbi.nlm.nih.gov/gene/?term=FAM105A","NCBI")</f>
        <v>NCBI</v>
      </c>
      <c r="F15660">
        <v>0.72</v>
      </c>
      <c r="G15660">
        <v>0.78</v>
      </c>
      <c r="H15660" s="1" t="str">
        <f>HYPERLINK("http://www.weizmann.ac.il/complex/compphys/software/geview/data/figures/214947_at.png","Figure")</f>
        <v>Figure</v>
      </c>
      <c r="I15660">
        <v>1.05</v>
      </c>
      <c r="J15660">
        <v>0.7</v>
      </c>
      <c r="K15660">
        <v>1.03</v>
      </c>
      <c r="L15660">
        <v>0.86</v>
      </c>
      <c r="M15660">
        <v>0.97799999999999998</v>
      </c>
      <c r="N15660">
        <v>0.92</v>
      </c>
    </row>
    <row r="15661" spans="1:14" x14ac:dyDescent="0.25">
      <c r="A15661" t="s">
        <v>26385</v>
      </c>
      <c r="B15661" t="s">
        <v>8970</v>
      </c>
      <c r="C15661" s="1" t="str">
        <f>HYPERLINK("http://www.genecards.org/cgi-bin/carddisp.pl?gene=FKBP1A","GeneCards")</f>
        <v>GeneCards</v>
      </c>
      <c r="D15661" s="1" t="str">
        <f>HYPERLINK("http://genome-euro.ucsc.edu/cgi-bin/hgTracks?position=214119_s_at","UCSC")</f>
        <v>UCSC</v>
      </c>
      <c r="E15661" s="1" t="str">
        <f>HYPERLINK("http://www.ncbi.nlm.nih.gov/gene/?term=FKBP1A","NCBI")</f>
        <v>NCBI</v>
      </c>
      <c r="F15661">
        <v>0.72</v>
      </c>
      <c r="G15661">
        <v>0.78</v>
      </c>
      <c r="H15661" s="1" t="str">
        <f>HYPERLINK("http://www.weizmann.ac.il/complex/compphys/software/geview/data/figures/214119_s_at.png","Figure")</f>
        <v>Figure</v>
      </c>
      <c r="I15661">
        <v>0.97699999999999998</v>
      </c>
      <c r="J15661">
        <v>0.99</v>
      </c>
      <c r="K15661">
        <v>0.90100000000000002</v>
      </c>
      <c r="L15661">
        <v>0.73</v>
      </c>
      <c r="M15661">
        <v>0.92300000000000004</v>
      </c>
      <c r="N15661">
        <v>0.85</v>
      </c>
    </row>
    <row r="15662" spans="1:14" x14ac:dyDescent="0.25">
      <c r="A15662" t="s">
        <v>26386</v>
      </c>
      <c r="B15662" t="s">
        <v>6943</v>
      </c>
      <c r="C15662" s="1" t="str">
        <f>HYPERLINK("http://www.genecards.org/cgi-bin/carddisp.pl?gene=GTF2F1","GeneCards")</f>
        <v>GeneCards</v>
      </c>
      <c r="D15662" s="1" t="str">
        <f>HYPERLINK("http://genome-euro.ucsc.edu/cgi-bin/hgTracks?position=202355_s_at","UCSC")</f>
        <v>UCSC</v>
      </c>
      <c r="E15662" s="1" t="str">
        <f>HYPERLINK("http://www.ncbi.nlm.nih.gov/gene/?term=GTF2F1","NCBI")</f>
        <v>NCBI</v>
      </c>
      <c r="F15662">
        <v>0.72</v>
      </c>
      <c r="G15662">
        <v>0.78</v>
      </c>
      <c r="H15662" s="1" t="str">
        <f>HYPERLINK("http://www.weizmann.ac.il/complex/compphys/software/geview/data/figures/202355_s_at.png","Figure")</f>
        <v>Figure</v>
      </c>
      <c r="I15662">
        <v>0.97499999999999998</v>
      </c>
      <c r="J15662">
        <v>0.98</v>
      </c>
      <c r="K15662">
        <v>0.91500000000000004</v>
      </c>
      <c r="L15662">
        <v>0.72</v>
      </c>
      <c r="M15662">
        <v>0.93899999999999995</v>
      </c>
      <c r="N15662">
        <v>0.86</v>
      </c>
    </row>
    <row r="15663" spans="1:14" x14ac:dyDescent="0.25">
      <c r="A15663" t="s">
        <v>26387</v>
      </c>
      <c r="B15663" t="s">
        <v>9159</v>
      </c>
      <c r="C15663" s="1" t="str">
        <f>HYPERLINK("http://www.genecards.org/cgi-bin/carddisp.pl?gene=CD47","GeneCards")</f>
        <v>GeneCards</v>
      </c>
      <c r="D15663" s="1" t="str">
        <f>HYPERLINK("http://genome-euro.ucsc.edu/cgi-bin/hgTracks?position=211075_s_at","UCSC")</f>
        <v>UCSC</v>
      </c>
      <c r="E15663" s="1" t="str">
        <f>HYPERLINK("http://www.ncbi.nlm.nih.gov/gene/?term=CD47","NCBI")</f>
        <v>NCBI</v>
      </c>
      <c r="F15663">
        <v>0.72</v>
      </c>
      <c r="G15663">
        <v>0.78</v>
      </c>
      <c r="H15663" s="1" t="str">
        <f>HYPERLINK("http://www.weizmann.ac.il/complex/compphys/software/geview/data/figures/211075_s_at.png","Figure")</f>
        <v>Figure</v>
      </c>
      <c r="I15663">
        <v>0.97299999999999998</v>
      </c>
      <c r="J15663">
        <v>0.99</v>
      </c>
      <c r="K15663">
        <v>1.1100000000000001</v>
      </c>
      <c r="L15663">
        <v>0.81</v>
      </c>
      <c r="M15663">
        <v>1.1399999999999999</v>
      </c>
      <c r="N15663">
        <v>0.75</v>
      </c>
    </row>
    <row r="15664" spans="1:14" x14ac:dyDescent="0.25">
      <c r="A15664" t="s">
        <v>26388</v>
      </c>
      <c r="B15664" t="s">
        <v>19808</v>
      </c>
      <c r="C15664" s="1" t="str">
        <f>HYPERLINK("http://www.genecards.org/cgi-bin/carddisp.pl?gene=LRRC41","GeneCards")</f>
        <v>GeneCards</v>
      </c>
      <c r="D15664" s="1" t="str">
        <f>HYPERLINK("http://genome-euro.ucsc.edu/cgi-bin/hgTracks?position=215765_at","UCSC")</f>
        <v>UCSC</v>
      </c>
      <c r="E15664" s="1" t="str">
        <f>HYPERLINK("http://www.ncbi.nlm.nih.gov/gene/?term=LRRC41","NCBI")</f>
        <v>NCBI</v>
      </c>
      <c r="F15664">
        <v>0.72</v>
      </c>
      <c r="G15664">
        <v>0.78</v>
      </c>
      <c r="H15664" s="1" t="str">
        <f>HYPERLINK("http://www.weizmann.ac.il/complex/compphys/software/geview/data/figures/215765_at.png","Figure")</f>
        <v>Figure</v>
      </c>
      <c r="I15664">
        <v>1.02</v>
      </c>
      <c r="J15664">
        <v>0.96</v>
      </c>
      <c r="K15664">
        <v>0.96199999999999997</v>
      </c>
      <c r="L15664">
        <v>0.86</v>
      </c>
      <c r="M15664">
        <v>0.94</v>
      </c>
      <c r="N15664">
        <v>0.72</v>
      </c>
    </row>
    <row r="15665" spans="1:14" x14ac:dyDescent="0.25">
      <c r="A15665" t="s">
        <v>26389</v>
      </c>
      <c r="B15665" t="s">
        <v>26390</v>
      </c>
      <c r="C15665" s="1" t="str">
        <f>HYPERLINK("http://www.genecards.org/cgi-bin/carddisp.pl?gene=NDRG1","GeneCards")</f>
        <v>GeneCards</v>
      </c>
      <c r="D15665" s="1" t="str">
        <f>HYPERLINK("http://genome-euro.ucsc.edu/cgi-bin/hgTracks?position=200632_s_at","UCSC")</f>
        <v>UCSC</v>
      </c>
      <c r="E15665" s="1" t="str">
        <f>HYPERLINK("http://www.ncbi.nlm.nih.gov/gene/?term=NDRG1","NCBI")</f>
        <v>NCBI</v>
      </c>
      <c r="F15665">
        <v>0.72</v>
      </c>
      <c r="G15665">
        <v>0.78</v>
      </c>
      <c r="H15665" s="1" t="str">
        <f>HYPERLINK("http://www.weizmann.ac.il/complex/compphys/software/geview/data/figures/200632_s_at.png","Figure")</f>
        <v>Figure</v>
      </c>
      <c r="I15665">
        <v>0.76400000000000001</v>
      </c>
      <c r="J15665">
        <v>0.7</v>
      </c>
      <c r="K15665">
        <v>0.86499999999999999</v>
      </c>
      <c r="L15665">
        <v>0.87</v>
      </c>
      <c r="M15665">
        <v>1.1299999999999999</v>
      </c>
      <c r="N15665">
        <v>0.92</v>
      </c>
    </row>
    <row r="15666" spans="1:14" x14ac:dyDescent="0.25">
      <c r="A15666" t="s">
        <v>26391</v>
      </c>
      <c r="B15666" t="s">
        <v>26392</v>
      </c>
      <c r="C15666" s="1" t="str">
        <f>HYPERLINK("http://www.genecards.org/cgi-bin/carddisp.pl?gene=DNAH17","GeneCards")</f>
        <v>GeneCards</v>
      </c>
      <c r="D15666" s="1" t="str">
        <f>HYPERLINK("http://genome-euro.ucsc.edu/cgi-bin/hgTracks?position=214229_at","UCSC")</f>
        <v>UCSC</v>
      </c>
      <c r="E15666" s="1" t="str">
        <f>HYPERLINK("http://www.ncbi.nlm.nih.gov/gene/?term=DNAH17","NCBI")</f>
        <v>NCBI</v>
      </c>
      <c r="F15666">
        <v>0.72</v>
      </c>
      <c r="G15666">
        <v>0.78</v>
      </c>
      <c r="H15666" s="1" t="str">
        <f>HYPERLINK("http://www.weizmann.ac.il/complex/compphys/software/geview/data/figures/214229_at.png","Figure")</f>
        <v>Figure</v>
      </c>
      <c r="I15666">
        <v>1.03</v>
      </c>
      <c r="J15666">
        <v>0.86</v>
      </c>
      <c r="K15666">
        <v>1.04</v>
      </c>
      <c r="L15666">
        <v>0.71</v>
      </c>
      <c r="M15666">
        <v>1.01</v>
      </c>
      <c r="N15666">
        <v>0.98</v>
      </c>
    </row>
    <row r="15667" spans="1:14" x14ac:dyDescent="0.25">
      <c r="A15667" t="s">
        <v>26393</v>
      </c>
      <c r="B15667" t="s">
        <v>19175</v>
      </c>
      <c r="C15667" s="1" t="str">
        <f>HYPERLINK("http://www.genecards.org/cgi-bin/carddisp.pl?gene=ISG20L2","GeneCards")</f>
        <v>GeneCards</v>
      </c>
      <c r="D15667" s="1" t="str">
        <f>HYPERLINK("http://genome-euro.ucsc.edu/cgi-bin/hgTracks?position=216502_at","UCSC")</f>
        <v>UCSC</v>
      </c>
      <c r="E15667" s="1" t="str">
        <f>HYPERLINK("http://www.ncbi.nlm.nih.gov/gene/?term=ISG20L2","NCBI")</f>
        <v>NCBI</v>
      </c>
      <c r="F15667">
        <v>0.72</v>
      </c>
      <c r="G15667">
        <v>0.78</v>
      </c>
      <c r="H15667" s="1" t="str">
        <f>HYPERLINK("http://www.weizmann.ac.il/complex/compphys/software/geview/data/figures/216502_at.png","Figure")</f>
        <v>Figure</v>
      </c>
      <c r="I15667">
        <v>1.05</v>
      </c>
      <c r="J15667">
        <v>0.77</v>
      </c>
      <c r="K15667">
        <v>1</v>
      </c>
      <c r="L15667">
        <v>1</v>
      </c>
      <c r="M15667">
        <v>0.95599999999999996</v>
      </c>
      <c r="N15667">
        <v>0.74</v>
      </c>
    </row>
    <row r="15668" spans="1:14" x14ac:dyDescent="0.25">
      <c r="A15668" t="s">
        <v>26394</v>
      </c>
      <c r="B15668" t="s">
        <v>19147</v>
      </c>
      <c r="C15668" s="1" t="str">
        <f>HYPERLINK("http://www.genecards.org/cgi-bin/carddisp.pl?gene=FZD1","GeneCards")</f>
        <v>GeneCards</v>
      </c>
      <c r="D15668" s="1" t="str">
        <f>HYPERLINK("http://genome-euro.ucsc.edu/cgi-bin/hgTracks?position=204452_s_at","UCSC")</f>
        <v>UCSC</v>
      </c>
      <c r="E15668" s="1" t="str">
        <f>HYPERLINK("http://www.ncbi.nlm.nih.gov/gene/?term=FZD1","NCBI")</f>
        <v>NCBI</v>
      </c>
      <c r="F15668">
        <v>0.72</v>
      </c>
      <c r="G15668">
        <v>0.78</v>
      </c>
      <c r="H15668" s="1" t="str">
        <f>HYPERLINK("http://www.weizmann.ac.il/complex/compphys/software/geview/data/figures/204452_s_at.png","Figure")</f>
        <v>Figure</v>
      </c>
      <c r="I15668">
        <v>0.96</v>
      </c>
      <c r="J15668">
        <v>0.72</v>
      </c>
      <c r="K15668">
        <v>0.97399999999999998</v>
      </c>
      <c r="L15668">
        <v>0.83</v>
      </c>
      <c r="M15668">
        <v>1.01</v>
      </c>
      <c r="N15668">
        <v>0.95</v>
      </c>
    </row>
    <row r="15669" spans="1:14" x14ac:dyDescent="0.25">
      <c r="A15669" t="s">
        <v>26395</v>
      </c>
      <c r="B15669" t="s">
        <v>18114</v>
      </c>
      <c r="C15669" s="1" t="str">
        <f>HYPERLINK("http://www.genecards.org/cgi-bin/carddisp.pl?gene=PML","GeneCards")</f>
        <v>GeneCards</v>
      </c>
      <c r="D15669" s="1" t="str">
        <f>HYPERLINK("http://genome-euro.ucsc.edu/cgi-bin/hgTracks?position=206503_x_at","UCSC")</f>
        <v>UCSC</v>
      </c>
      <c r="E15669" s="1" t="str">
        <f>HYPERLINK("http://www.ncbi.nlm.nih.gov/gene/?term=PML","NCBI")</f>
        <v>NCBI</v>
      </c>
      <c r="F15669">
        <v>0.72</v>
      </c>
      <c r="G15669">
        <v>0.78</v>
      </c>
      <c r="H15669" s="1" t="str">
        <f>HYPERLINK("http://www.weizmann.ac.il/complex/compphys/software/geview/data/figures/206503_x_at.png","Figure")</f>
        <v>Figure</v>
      </c>
      <c r="I15669">
        <v>1.04</v>
      </c>
      <c r="J15669">
        <v>0.88</v>
      </c>
      <c r="K15669">
        <v>0.97499999999999998</v>
      </c>
      <c r="L15669">
        <v>0.95</v>
      </c>
      <c r="M15669">
        <v>0.93300000000000005</v>
      </c>
      <c r="N15669">
        <v>0.7</v>
      </c>
    </row>
    <row r="15670" spans="1:14" x14ac:dyDescent="0.25">
      <c r="A15670" t="s">
        <v>26396</v>
      </c>
      <c r="B15670" t="s">
        <v>3257</v>
      </c>
      <c r="C15670" s="1" t="str">
        <f>HYPERLINK("http://www.genecards.org/cgi-bin/carddisp.pl?gene=IGL@","GeneCards")</f>
        <v>GeneCards</v>
      </c>
      <c r="D15670" s="1" t="str">
        <f>HYPERLINK("http://genome-euro.ucsc.edu/cgi-bin/hgTracks?position=216560_x_at","UCSC")</f>
        <v>UCSC</v>
      </c>
      <c r="E15670" s="1" t="str">
        <f>HYPERLINK("http://www.ncbi.nlm.nih.gov/gene/?term=IGL@","NCBI")</f>
        <v>NCBI</v>
      </c>
      <c r="F15670">
        <v>0.72</v>
      </c>
      <c r="G15670">
        <v>0.78</v>
      </c>
      <c r="H15670" s="1" t="str">
        <f>HYPERLINK("http://www.weizmann.ac.il/complex/compphys/software/geview/data/figures/216560_x_at.png","Figure")</f>
        <v>Figure</v>
      </c>
      <c r="I15670">
        <v>1.07</v>
      </c>
      <c r="J15670">
        <v>0.73</v>
      </c>
      <c r="K15670">
        <v>1.05</v>
      </c>
      <c r="L15670">
        <v>0.81</v>
      </c>
      <c r="M15670">
        <v>0.98099999999999998</v>
      </c>
      <c r="N15670">
        <v>0.97</v>
      </c>
    </row>
    <row r="15671" spans="1:14" x14ac:dyDescent="0.25">
      <c r="A15671" t="s">
        <v>26397</v>
      </c>
      <c r="B15671" t="s">
        <v>26398</v>
      </c>
      <c r="C15671" s="1" t="str">
        <f>HYPERLINK("http://www.genecards.org/cgi-bin/carddisp.pl?gene=C19orf28","GeneCards")</f>
        <v>GeneCards</v>
      </c>
      <c r="D15671" s="1" t="str">
        <f>HYPERLINK("http://genome-euro.ucsc.edu/cgi-bin/hgTracks?position=220178_at","UCSC")</f>
        <v>UCSC</v>
      </c>
      <c r="E15671" s="1" t="str">
        <f>HYPERLINK("http://www.ncbi.nlm.nih.gov/gene/?term=C19orf28","NCBI")</f>
        <v>NCBI</v>
      </c>
      <c r="F15671">
        <v>0.72</v>
      </c>
      <c r="G15671">
        <v>0.78</v>
      </c>
      <c r="H15671" s="1" t="str">
        <f>HYPERLINK("http://www.weizmann.ac.il/complex/compphys/software/geview/data/figures/220178_at.png","Figure")</f>
        <v>Figure</v>
      </c>
      <c r="I15671">
        <v>1.01</v>
      </c>
      <c r="J15671">
        <v>1</v>
      </c>
      <c r="K15671">
        <v>0.93500000000000005</v>
      </c>
      <c r="L15671">
        <v>0.79</v>
      </c>
      <c r="M15671">
        <v>0.92500000000000004</v>
      </c>
      <c r="N15671">
        <v>0.77</v>
      </c>
    </row>
    <row r="15672" spans="1:14" x14ac:dyDescent="0.25">
      <c r="A15672" t="s">
        <v>26399</v>
      </c>
      <c r="B15672" t="s">
        <v>26400</v>
      </c>
      <c r="C15672" s="1" t="str">
        <f>HYPERLINK("http://www.genecards.org/cgi-bin/carddisp.pl?gene=RIC8A","GeneCards")</f>
        <v>GeneCards</v>
      </c>
      <c r="D15672" s="1" t="str">
        <f>HYPERLINK("http://genome-euro.ucsc.edu/cgi-bin/hgTracks?position=221647_s_at","UCSC")</f>
        <v>UCSC</v>
      </c>
      <c r="E15672" s="1" t="str">
        <f>HYPERLINK("http://www.ncbi.nlm.nih.gov/gene/?term=RIC8A","NCBI")</f>
        <v>NCBI</v>
      </c>
      <c r="F15672">
        <v>0.72</v>
      </c>
      <c r="G15672">
        <v>0.78</v>
      </c>
      <c r="H15672" s="1" t="str">
        <f>HYPERLINK("http://www.weizmann.ac.il/complex/compphys/software/geview/data/figures/221647_s_at.png","Figure")</f>
        <v>Figure</v>
      </c>
      <c r="I15672">
        <v>0.95199999999999996</v>
      </c>
      <c r="J15672">
        <v>0.85</v>
      </c>
      <c r="K15672">
        <v>0.93899999999999995</v>
      </c>
      <c r="L15672">
        <v>0.71</v>
      </c>
      <c r="M15672">
        <v>0.98699999999999999</v>
      </c>
      <c r="N15672">
        <v>0.99</v>
      </c>
    </row>
    <row r="15673" spans="1:14" x14ac:dyDescent="0.25">
      <c r="A15673" t="s">
        <v>26401</v>
      </c>
      <c r="B15673" t="s">
        <v>7557</v>
      </c>
      <c r="C15673" s="1" t="str">
        <f>HYPERLINK("http://www.genecards.org/cgi-bin/carddisp.pl?gene=CSNK1A1","GeneCards")</f>
        <v>GeneCards</v>
      </c>
      <c r="D15673" s="1" t="str">
        <f>HYPERLINK("http://genome-euro.ucsc.edu/cgi-bin/hgTracks?position=208867_s_at","UCSC")</f>
        <v>UCSC</v>
      </c>
      <c r="E15673" s="1" t="str">
        <f>HYPERLINK("http://www.ncbi.nlm.nih.gov/gene/?term=CSNK1A1","NCBI")</f>
        <v>NCBI</v>
      </c>
      <c r="F15673">
        <v>0.72</v>
      </c>
      <c r="G15673">
        <v>0.78</v>
      </c>
      <c r="H15673" s="1" t="str">
        <f>HYPERLINK("http://www.weizmann.ac.il/complex/compphys/software/geview/data/figures/208867_s_at.png","Figure")</f>
        <v>Figure</v>
      </c>
      <c r="I15673">
        <v>1.05</v>
      </c>
      <c r="J15673">
        <v>0.91</v>
      </c>
      <c r="K15673">
        <v>0.96099999999999997</v>
      </c>
      <c r="L15673">
        <v>0.92</v>
      </c>
      <c r="M15673">
        <v>0.91300000000000003</v>
      </c>
      <c r="N15673">
        <v>0.7</v>
      </c>
    </row>
    <row r="15674" spans="1:14" x14ac:dyDescent="0.25">
      <c r="A15674" t="s">
        <v>26402</v>
      </c>
      <c r="B15674" t="s">
        <v>26403</v>
      </c>
      <c r="C15674" s="1" t="str">
        <f>HYPERLINK("http://www.genecards.org/cgi-bin/carddisp.pl?gene=TMEM184B","GeneCards")</f>
        <v>GeneCards</v>
      </c>
      <c r="D15674" s="1" t="str">
        <f>HYPERLINK("http://genome-euro.ucsc.edu/cgi-bin/hgTracks?position=202027_at","UCSC")</f>
        <v>UCSC</v>
      </c>
      <c r="E15674" s="1" t="str">
        <f>HYPERLINK("http://www.ncbi.nlm.nih.gov/gene/?term=TMEM184B","NCBI")</f>
        <v>NCBI</v>
      </c>
      <c r="F15674">
        <v>0.72</v>
      </c>
      <c r="G15674">
        <v>0.78</v>
      </c>
      <c r="H15674" s="1" t="str">
        <f>HYPERLINK("http://www.weizmann.ac.il/complex/compphys/software/geview/data/figures/202027_at.png","Figure")</f>
        <v>Figure</v>
      </c>
      <c r="I15674">
        <v>0.99199999999999999</v>
      </c>
      <c r="J15674">
        <v>1</v>
      </c>
      <c r="K15674">
        <v>0.93400000000000005</v>
      </c>
      <c r="L15674">
        <v>0.75</v>
      </c>
      <c r="M15674">
        <v>0.94099999999999995</v>
      </c>
      <c r="N15674">
        <v>0.82</v>
      </c>
    </row>
    <row r="15675" spans="1:14" x14ac:dyDescent="0.25">
      <c r="A15675" t="s">
        <v>26404</v>
      </c>
      <c r="B15675" t="s">
        <v>7257</v>
      </c>
      <c r="C15675" s="1" t="str">
        <f>HYPERLINK("http://www.genecards.org/cgi-bin/carddisp.pl?gene=SMG6","GeneCards")</f>
        <v>GeneCards</v>
      </c>
      <c r="D15675" s="1" t="str">
        <f>HYPERLINK("http://genome-euro.ucsc.edu/cgi-bin/hgTracks?position=214940_s_at","UCSC")</f>
        <v>UCSC</v>
      </c>
      <c r="E15675" s="1" t="str">
        <f>HYPERLINK("http://www.ncbi.nlm.nih.gov/gene/?term=SMG6","NCBI")</f>
        <v>NCBI</v>
      </c>
      <c r="F15675">
        <v>0.72</v>
      </c>
      <c r="G15675">
        <v>0.78</v>
      </c>
      <c r="H15675" s="1" t="str">
        <f>HYPERLINK("http://www.weizmann.ac.il/complex/compphys/software/geview/data/figures/214940_s_at.png","Figure")</f>
        <v>Figure</v>
      </c>
      <c r="I15675">
        <v>1.02</v>
      </c>
      <c r="J15675">
        <v>0.95</v>
      </c>
      <c r="K15675">
        <v>1.04</v>
      </c>
      <c r="L15675">
        <v>0.71</v>
      </c>
      <c r="M15675">
        <v>1.02</v>
      </c>
      <c r="N15675">
        <v>0.91</v>
      </c>
    </row>
    <row r="15676" spans="1:14" x14ac:dyDescent="0.25">
      <c r="A15676" t="s">
        <v>26405</v>
      </c>
      <c r="B15676" t="s">
        <v>26406</v>
      </c>
      <c r="C15676" s="1" t="str">
        <f>HYPERLINK("http://www.genecards.org/cgi-bin/carddisp.pl?gene=POP7","GeneCards")</f>
        <v>GeneCards</v>
      </c>
      <c r="D15676" s="1" t="str">
        <f>HYPERLINK("http://genome-euro.ucsc.edu/cgi-bin/hgTracks?position=209482_at","UCSC")</f>
        <v>UCSC</v>
      </c>
      <c r="E15676" s="1" t="str">
        <f>HYPERLINK("http://www.ncbi.nlm.nih.gov/gene/?term=POP7","NCBI")</f>
        <v>NCBI</v>
      </c>
      <c r="F15676">
        <v>0.72</v>
      </c>
      <c r="G15676">
        <v>0.78</v>
      </c>
      <c r="H15676" s="1" t="str">
        <f>HYPERLINK("http://www.weizmann.ac.il/complex/compphys/software/geview/data/figures/209482_at.png","Figure")</f>
        <v>Figure</v>
      </c>
      <c r="I15676">
        <v>1.1599999999999999</v>
      </c>
      <c r="J15676">
        <v>0.7</v>
      </c>
      <c r="K15676">
        <v>1.06</v>
      </c>
      <c r="L15676">
        <v>0.94</v>
      </c>
      <c r="M15676">
        <v>0.91200000000000003</v>
      </c>
      <c r="N15676">
        <v>0.85</v>
      </c>
    </row>
    <row r="15677" spans="1:14" x14ac:dyDescent="0.25">
      <c r="A15677" t="s">
        <v>26407</v>
      </c>
      <c r="B15677" t="s">
        <v>15622</v>
      </c>
      <c r="C15677" s="1" t="str">
        <f>HYPERLINK("http://www.genecards.org/cgi-bin/carddisp.pl?gene=PLSCR3","GeneCards")</f>
        <v>GeneCards</v>
      </c>
      <c r="D15677" s="1" t="str">
        <f>HYPERLINK("http://genome-euro.ucsc.edu/cgi-bin/hgTracks?position=56197_at","UCSC")</f>
        <v>UCSC</v>
      </c>
      <c r="E15677" s="1" t="str">
        <f>HYPERLINK("http://www.ncbi.nlm.nih.gov/gene/?term=PLSCR3","NCBI")</f>
        <v>NCBI</v>
      </c>
      <c r="F15677">
        <v>0.72</v>
      </c>
      <c r="G15677">
        <v>0.78</v>
      </c>
      <c r="H15677" s="1" t="str">
        <f>HYPERLINK("http://www.weizmann.ac.il/complex/compphys/software/geview/data/figures/56197_at.png","Figure")</f>
        <v>Figure</v>
      </c>
      <c r="I15677">
        <v>1.1499999999999999</v>
      </c>
      <c r="J15677">
        <v>0.71</v>
      </c>
      <c r="K15677">
        <v>1.0900000000000001</v>
      </c>
      <c r="L15677">
        <v>0.84</v>
      </c>
      <c r="M15677">
        <v>0.95</v>
      </c>
      <c r="N15677">
        <v>0.94</v>
      </c>
    </row>
    <row r="15678" spans="1:14" x14ac:dyDescent="0.25">
      <c r="A15678" t="s">
        <v>26408</v>
      </c>
      <c r="B15678" t="s">
        <v>13802</v>
      </c>
      <c r="C15678" s="1" t="str">
        <f>HYPERLINK("http://www.genecards.org/cgi-bin/carddisp.pl?gene=GIMAP5","GeneCards")</f>
        <v>GeneCards</v>
      </c>
      <c r="D15678" s="1" t="str">
        <f>HYPERLINK("http://genome-euro.ucsc.edu/cgi-bin/hgTracks?position=215352_at","UCSC")</f>
        <v>UCSC</v>
      </c>
      <c r="E15678" s="1" t="str">
        <f>HYPERLINK("http://www.ncbi.nlm.nih.gov/gene/?term=GIMAP5","NCBI")</f>
        <v>NCBI</v>
      </c>
      <c r="F15678">
        <v>0.72</v>
      </c>
      <c r="G15678">
        <v>0.79</v>
      </c>
      <c r="H15678" s="1" t="str">
        <f>HYPERLINK("http://www.weizmann.ac.il/complex/compphys/software/geview/data/figures/215352_at.png","Figure")</f>
        <v>Figure</v>
      </c>
      <c r="I15678">
        <v>1.01</v>
      </c>
      <c r="J15678">
        <v>0.94</v>
      </c>
      <c r="K15678">
        <v>0.98799999999999999</v>
      </c>
      <c r="L15678">
        <v>0.89</v>
      </c>
      <c r="M15678">
        <v>0.97899999999999998</v>
      </c>
      <c r="N15678">
        <v>0.71</v>
      </c>
    </row>
    <row r="15679" spans="1:14" x14ac:dyDescent="0.25">
      <c r="A15679" t="s">
        <v>26409</v>
      </c>
      <c r="B15679" t="s">
        <v>1926</v>
      </c>
      <c r="C15679" s="1" t="str">
        <f>HYPERLINK("http://www.genecards.org/cgi-bin/carddisp.pl?gene=NOP16","GeneCards")</f>
        <v>GeneCards</v>
      </c>
      <c r="D15679" s="1" t="str">
        <f>HYPERLINK("http://genome-euro.ucsc.edu/cgi-bin/hgTracks?position=214011_s_at","UCSC")</f>
        <v>UCSC</v>
      </c>
      <c r="E15679" s="1" t="str">
        <f>HYPERLINK("http://www.ncbi.nlm.nih.gov/gene/?term=NOP16","NCBI")</f>
        <v>NCBI</v>
      </c>
      <c r="F15679">
        <v>0.72</v>
      </c>
      <c r="G15679">
        <v>0.79</v>
      </c>
      <c r="H15679" s="1" t="str">
        <f>HYPERLINK("http://www.weizmann.ac.il/complex/compphys/software/geview/data/figures/214011_s_at.png","Figure")</f>
        <v>Figure</v>
      </c>
      <c r="I15679">
        <v>0.96399999999999997</v>
      </c>
      <c r="J15679">
        <v>0.96</v>
      </c>
      <c r="K15679">
        <v>1.07</v>
      </c>
      <c r="L15679">
        <v>0.86</v>
      </c>
      <c r="M15679">
        <v>1.1100000000000001</v>
      </c>
      <c r="N15679">
        <v>0.72</v>
      </c>
    </row>
    <row r="15680" spans="1:14" x14ac:dyDescent="0.25">
      <c r="A15680" t="s">
        <v>26410</v>
      </c>
      <c r="B15680" t="s">
        <v>17608</v>
      </c>
      <c r="C15680" s="1" t="str">
        <f>HYPERLINK("http://www.genecards.org/cgi-bin/carddisp.pl?gene=C16orf42","GeneCards")</f>
        <v>GeneCards</v>
      </c>
      <c r="D15680" s="1" t="str">
        <f>HYPERLINK("http://genome-euro.ucsc.edu/cgi-bin/hgTracks?position=213105_s_at","UCSC")</f>
        <v>UCSC</v>
      </c>
      <c r="E15680" s="1" t="str">
        <f>HYPERLINK("http://www.ncbi.nlm.nih.gov/gene/?term=C16orf42","NCBI")</f>
        <v>NCBI</v>
      </c>
      <c r="F15680">
        <v>0.72</v>
      </c>
      <c r="G15680">
        <v>0.79</v>
      </c>
      <c r="H15680" s="1" t="str">
        <f>HYPERLINK("http://www.weizmann.ac.il/complex/compphys/software/geview/data/figures/213105_s_at.png","Figure")</f>
        <v>Figure</v>
      </c>
      <c r="I15680">
        <v>0.94199999999999995</v>
      </c>
      <c r="J15680">
        <v>0.92</v>
      </c>
      <c r="K15680">
        <v>1.06</v>
      </c>
      <c r="L15680">
        <v>0.91</v>
      </c>
      <c r="M15680">
        <v>1.1200000000000001</v>
      </c>
      <c r="N15680">
        <v>0.71</v>
      </c>
    </row>
    <row r="15681" spans="1:14" x14ac:dyDescent="0.25">
      <c r="A15681" t="s">
        <v>26411</v>
      </c>
      <c r="B15681" t="s">
        <v>26412</v>
      </c>
      <c r="C15681" s="1" t="str">
        <f>HYPERLINK("http://www.genecards.org/cgi-bin/carddisp.pl?gene=PSENEN","GeneCards")</f>
        <v>GeneCards</v>
      </c>
      <c r="D15681" s="1" t="str">
        <f>HYPERLINK("http://genome-euro.ucsc.edu/cgi-bin/hgTracks?position=218302_at","UCSC")</f>
        <v>UCSC</v>
      </c>
      <c r="E15681" s="1" t="str">
        <f>HYPERLINK("http://www.ncbi.nlm.nih.gov/gene/?term=PSENEN","NCBI")</f>
        <v>NCBI</v>
      </c>
      <c r="F15681">
        <v>0.72</v>
      </c>
      <c r="G15681">
        <v>0.79</v>
      </c>
      <c r="H15681" s="1" t="str">
        <f>HYPERLINK("http://www.weizmann.ac.il/complex/compphys/software/geview/data/figures/218302_at.png","Figure")</f>
        <v>Figure</v>
      </c>
      <c r="I15681">
        <v>1.1200000000000001</v>
      </c>
      <c r="J15681">
        <v>0.74</v>
      </c>
      <c r="K15681">
        <v>1.02</v>
      </c>
      <c r="L15681">
        <v>0.99</v>
      </c>
      <c r="M15681">
        <v>0.91</v>
      </c>
      <c r="N15681">
        <v>0.77</v>
      </c>
    </row>
    <row r="15682" spans="1:14" x14ac:dyDescent="0.25">
      <c r="A15682" t="s">
        <v>26413</v>
      </c>
      <c r="B15682" t="s">
        <v>9250</v>
      </c>
      <c r="C15682" s="1" t="str">
        <f>HYPERLINK("http://www.genecards.org/cgi-bin/carddisp.pl?gene=TM2D1","GeneCards")</f>
        <v>GeneCards</v>
      </c>
      <c r="D15682" s="1" t="str">
        <f>HYPERLINK("http://genome-euro.ucsc.edu/cgi-bin/hgTracks?position=211703_s_at","UCSC")</f>
        <v>UCSC</v>
      </c>
      <c r="E15682" s="1" t="str">
        <f>HYPERLINK("http://www.ncbi.nlm.nih.gov/gene/?term=TM2D1","NCBI")</f>
        <v>NCBI</v>
      </c>
      <c r="F15682">
        <v>0.73</v>
      </c>
      <c r="G15682">
        <v>0.79</v>
      </c>
      <c r="H15682" s="1" t="str">
        <f>HYPERLINK("http://www.weizmann.ac.il/complex/compphys/software/geview/data/figures/211703_s_at.png","Figure")</f>
        <v>Figure</v>
      </c>
      <c r="I15682">
        <v>0.94099999999999995</v>
      </c>
      <c r="J15682">
        <v>0.88</v>
      </c>
      <c r="K15682">
        <v>0.91500000000000004</v>
      </c>
      <c r="L15682">
        <v>0.71</v>
      </c>
      <c r="M15682">
        <v>0.97199999999999998</v>
      </c>
      <c r="N15682">
        <v>0.97</v>
      </c>
    </row>
    <row r="15683" spans="1:14" x14ac:dyDescent="0.25">
      <c r="A15683" t="s">
        <v>26414</v>
      </c>
      <c r="B15683" t="s">
        <v>12809</v>
      </c>
      <c r="C15683" s="1" t="str">
        <f>HYPERLINK("http://www.genecards.org/cgi-bin/carddisp.pl?gene=C7orf26","GeneCards")</f>
        <v>GeneCards</v>
      </c>
      <c r="D15683" s="1" t="str">
        <f>HYPERLINK("http://genome-euro.ucsc.edu/cgi-bin/hgTracks?position=219261_at","UCSC")</f>
        <v>UCSC</v>
      </c>
      <c r="E15683" s="1" t="str">
        <f>HYPERLINK("http://www.ncbi.nlm.nih.gov/gene/?term=C7orf26","NCBI")</f>
        <v>NCBI</v>
      </c>
      <c r="F15683">
        <v>0.73</v>
      </c>
      <c r="G15683">
        <v>0.79</v>
      </c>
      <c r="H15683" s="1" t="str">
        <f>HYPERLINK("http://www.weizmann.ac.il/complex/compphys/software/geview/data/figures/219261_at.png","Figure")</f>
        <v>Figure</v>
      </c>
      <c r="I15683">
        <v>0.96299999999999997</v>
      </c>
      <c r="J15683">
        <v>0.95</v>
      </c>
      <c r="K15683">
        <v>1.05</v>
      </c>
      <c r="L15683">
        <v>0.88</v>
      </c>
      <c r="M15683">
        <v>1.0900000000000001</v>
      </c>
      <c r="N15683">
        <v>0.72</v>
      </c>
    </row>
    <row r="15684" spans="1:14" x14ac:dyDescent="0.25">
      <c r="A15684" t="s">
        <v>26415</v>
      </c>
      <c r="B15684" t="s">
        <v>26416</v>
      </c>
      <c r="C15684" s="1" t="str">
        <f>HYPERLINK("http://www.genecards.org/cgi-bin/carddisp.pl?gene=KIF13B","GeneCards")</f>
        <v>GeneCards</v>
      </c>
      <c r="D15684" s="1" t="str">
        <f>HYPERLINK("http://genome-euro.ucsc.edu/cgi-bin/hgTracks?position=202962_at","UCSC")</f>
        <v>UCSC</v>
      </c>
      <c r="E15684" s="1" t="str">
        <f>HYPERLINK("http://www.ncbi.nlm.nih.gov/gene/?term=KIF13B","NCBI")</f>
        <v>NCBI</v>
      </c>
      <c r="F15684">
        <v>0.73</v>
      </c>
      <c r="G15684">
        <v>0.79</v>
      </c>
      <c r="H15684" s="1" t="str">
        <f>HYPERLINK("http://www.weizmann.ac.il/complex/compphys/software/geview/data/figures/202962_at.png","Figure")</f>
        <v>Figure</v>
      </c>
      <c r="I15684">
        <v>1.01</v>
      </c>
      <c r="J15684">
        <v>1</v>
      </c>
      <c r="K15684">
        <v>1.0900000000000001</v>
      </c>
      <c r="L15684">
        <v>0.75</v>
      </c>
      <c r="M15684">
        <v>1.08</v>
      </c>
      <c r="N15684">
        <v>0.82</v>
      </c>
    </row>
    <row r="15685" spans="1:14" x14ac:dyDescent="0.25">
      <c r="A15685" t="s">
        <v>26417</v>
      </c>
      <c r="B15685" t="s">
        <v>26418</v>
      </c>
      <c r="C15685" s="1" t="str">
        <f>HYPERLINK("http://www.genecards.org/cgi-bin/carddisp.pl?gene=SLC25A22","GeneCards")</f>
        <v>GeneCards</v>
      </c>
      <c r="D15685" s="1" t="str">
        <f>HYPERLINK("http://genome-euro.ucsc.edu/cgi-bin/hgTracks?position=218725_at","UCSC")</f>
        <v>UCSC</v>
      </c>
      <c r="E15685" s="1" t="str">
        <f>HYPERLINK("http://www.ncbi.nlm.nih.gov/gene/?term=SLC25A22","NCBI")</f>
        <v>NCBI</v>
      </c>
      <c r="F15685">
        <v>0.73</v>
      </c>
      <c r="G15685">
        <v>0.79</v>
      </c>
      <c r="H15685" s="1" t="str">
        <f>HYPERLINK("http://www.weizmann.ac.il/complex/compphys/software/geview/data/figures/218725_at.png","Figure")</f>
        <v>Figure</v>
      </c>
      <c r="I15685">
        <v>1.01</v>
      </c>
      <c r="J15685">
        <v>1</v>
      </c>
      <c r="K15685">
        <v>1.04</v>
      </c>
      <c r="L15685">
        <v>0.74</v>
      </c>
      <c r="M15685">
        <v>1.04</v>
      </c>
      <c r="N15685">
        <v>0.83</v>
      </c>
    </row>
    <row r="15686" spans="1:14" x14ac:dyDescent="0.25">
      <c r="A15686" t="s">
        <v>26419</v>
      </c>
      <c r="B15686" t="s">
        <v>26420</v>
      </c>
      <c r="C15686" s="1" t="str">
        <f>HYPERLINK("http://www.genecards.org/cgi-bin/carddisp.pl?gene=LEFTY1","GeneCards")</f>
        <v>GeneCards</v>
      </c>
      <c r="D15686" s="1" t="str">
        <f>HYPERLINK("http://genome-euro.ucsc.edu/cgi-bin/hgTracks?position=206268_at","UCSC")</f>
        <v>UCSC</v>
      </c>
      <c r="E15686" s="1" t="str">
        <f>HYPERLINK("http://www.ncbi.nlm.nih.gov/gene/?term=LEFTY1","NCBI")</f>
        <v>NCBI</v>
      </c>
      <c r="F15686">
        <v>0.73</v>
      </c>
      <c r="G15686">
        <v>0.79</v>
      </c>
      <c r="H15686" s="1" t="str">
        <f>HYPERLINK("http://www.weizmann.ac.il/complex/compphys/software/geview/data/figures/206268_at.png","Figure")</f>
        <v>Figure</v>
      </c>
      <c r="I15686">
        <v>1.03</v>
      </c>
      <c r="J15686">
        <v>0.82</v>
      </c>
      <c r="K15686">
        <v>0.99399999999999999</v>
      </c>
      <c r="L15686">
        <v>0.99</v>
      </c>
      <c r="M15686">
        <v>0.96599999999999997</v>
      </c>
      <c r="N15686">
        <v>0.72</v>
      </c>
    </row>
    <row r="15687" spans="1:14" x14ac:dyDescent="0.25">
      <c r="A15687" t="s">
        <v>26421</v>
      </c>
      <c r="B15687" t="s">
        <v>26422</v>
      </c>
      <c r="C15687" s="1" t="str">
        <f>HYPERLINK("http://www.genecards.org/cgi-bin/carddisp.pl?gene=C2orf42","GeneCards")</f>
        <v>GeneCards</v>
      </c>
      <c r="D15687" s="1" t="str">
        <f>HYPERLINK("http://genome-euro.ucsc.edu/cgi-bin/hgTracks?position=219128_at","UCSC")</f>
        <v>UCSC</v>
      </c>
      <c r="E15687" s="1" t="str">
        <f>HYPERLINK("http://www.ncbi.nlm.nih.gov/gene/?term=C2orf42","NCBI")</f>
        <v>NCBI</v>
      </c>
      <c r="F15687">
        <v>0.73</v>
      </c>
      <c r="G15687">
        <v>0.79</v>
      </c>
      <c r="H15687" s="1" t="str">
        <f>HYPERLINK("http://www.weizmann.ac.il/complex/compphys/software/geview/data/figures/219128_at.png","Figure")</f>
        <v>Figure</v>
      </c>
      <c r="I15687">
        <v>0.93200000000000005</v>
      </c>
      <c r="J15687">
        <v>0.92</v>
      </c>
      <c r="K15687">
        <v>0.88100000000000001</v>
      </c>
      <c r="L15687">
        <v>0.7</v>
      </c>
      <c r="M15687">
        <v>0.94499999999999995</v>
      </c>
      <c r="N15687">
        <v>0.94</v>
      </c>
    </row>
    <row r="15688" spans="1:14" x14ac:dyDescent="0.25">
      <c r="A15688" t="s">
        <v>26423</v>
      </c>
      <c r="B15688" t="s">
        <v>26424</v>
      </c>
      <c r="C15688" s="1" t="str">
        <f>HYPERLINK("http://www.genecards.org/cgi-bin/carddisp.pl?gene=BRD7","GeneCards")</f>
        <v>GeneCards</v>
      </c>
      <c r="D15688" s="1" t="str">
        <f>HYPERLINK("http://genome-euro.ucsc.edu/cgi-bin/hgTracks?position=221776_s_at","UCSC")</f>
        <v>UCSC</v>
      </c>
      <c r="E15688" s="1" t="str">
        <f>HYPERLINK("http://www.ncbi.nlm.nih.gov/gene/?term=BRD7","NCBI")</f>
        <v>NCBI</v>
      </c>
      <c r="F15688">
        <v>0.73</v>
      </c>
      <c r="G15688">
        <v>0.79</v>
      </c>
      <c r="H15688" s="1" t="str">
        <f>HYPERLINK("http://www.weizmann.ac.il/complex/compphys/software/geview/data/figures/221776_s_at.png","Figure")</f>
        <v>Figure</v>
      </c>
      <c r="I15688">
        <v>0.78600000000000003</v>
      </c>
      <c r="J15688">
        <v>0.73</v>
      </c>
      <c r="K15688">
        <v>0.96099999999999997</v>
      </c>
      <c r="L15688">
        <v>0.99</v>
      </c>
      <c r="M15688">
        <v>1.22</v>
      </c>
      <c r="N15688">
        <v>0.78</v>
      </c>
    </row>
    <row r="15689" spans="1:14" x14ac:dyDescent="0.25">
      <c r="A15689" t="s">
        <v>26425</v>
      </c>
      <c r="B15689" t="s">
        <v>7843</v>
      </c>
      <c r="C15689" s="1" t="str">
        <f>HYPERLINK("http://www.genecards.org/cgi-bin/carddisp.pl?gene=NCAPH2","GeneCards")</f>
        <v>GeneCards</v>
      </c>
      <c r="D15689" s="1" t="str">
        <f>HYPERLINK("http://genome-euro.ucsc.edu/cgi-bin/hgTracks?position=205086_s_at","UCSC")</f>
        <v>UCSC</v>
      </c>
      <c r="E15689" s="1" t="str">
        <f>HYPERLINK("http://www.ncbi.nlm.nih.gov/gene/?term=NCAPH2","NCBI")</f>
        <v>NCBI</v>
      </c>
      <c r="F15689">
        <v>0.73</v>
      </c>
      <c r="G15689">
        <v>0.79</v>
      </c>
      <c r="H15689" s="1" t="str">
        <f>HYPERLINK("http://www.weizmann.ac.il/complex/compphys/software/geview/data/figures/205086_s_at.png","Figure")</f>
        <v>Figure</v>
      </c>
      <c r="I15689">
        <v>1.1200000000000001</v>
      </c>
      <c r="J15689">
        <v>0.72</v>
      </c>
      <c r="K15689">
        <v>1.03</v>
      </c>
      <c r="L15689">
        <v>0.97</v>
      </c>
      <c r="M15689">
        <v>0.92200000000000004</v>
      </c>
      <c r="N15689">
        <v>0.82</v>
      </c>
    </row>
    <row r="15690" spans="1:14" x14ac:dyDescent="0.25">
      <c r="A15690" t="s">
        <v>26426</v>
      </c>
      <c r="B15690" t="s">
        <v>23354</v>
      </c>
      <c r="C15690" s="1" t="str">
        <f>HYPERLINK("http://www.genecards.org/cgi-bin/carddisp.pl?gene=CAMK1G","GeneCards")</f>
        <v>GeneCards</v>
      </c>
      <c r="D15690" s="1" t="str">
        <f>HYPERLINK("http://genome-euro.ucsc.edu/cgi-bin/hgTracks?position=215161_at","UCSC")</f>
        <v>UCSC</v>
      </c>
      <c r="E15690" s="1" t="str">
        <f>HYPERLINK("http://www.ncbi.nlm.nih.gov/gene/?term=CAMK1G","NCBI")</f>
        <v>NCBI</v>
      </c>
      <c r="F15690">
        <v>0.73</v>
      </c>
      <c r="G15690">
        <v>0.79</v>
      </c>
      <c r="H15690" s="1" t="str">
        <f>HYPERLINK("http://www.weizmann.ac.il/complex/compphys/software/geview/data/figures/215161_at.png","Figure")</f>
        <v>Figure</v>
      </c>
      <c r="I15690">
        <v>0.96899999999999997</v>
      </c>
      <c r="J15690">
        <v>0.83</v>
      </c>
      <c r="K15690">
        <v>0.96399999999999997</v>
      </c>
      <c r="L15690">
        <v>0.72</v>
      </c>
      <c r="M15690">
        <v>0.995</v>
      </c>
      <c r="N15690">
        <v>0.99</v>
      </c>
    </row>
    <row r="15691" spans="1:14" x14ac:dyDescent="0.25">
      <c r="A15691" t="s">
        <v>26427</v>
      </c>
      <c r="B15691" t="s">
        <v>26428</v>
      </c>
      <c r="C15691" s="1" t="str">
        <f>HYPERLINK("http://www.genecards.org/cgi-bin/carddisp.pl?gene=OXSM","GeneCards")</f>
        <v>GeneCards</v>
      </c>
      <c r="D15691" s="1" t="str">
        <f>HYPERLINK("http://genome-euro.ucsc.edu/cgi-bin/hgTracks?position=219133_at","UCSC")</f>
        <v>UCSC</v>
      </c>
      <c r="E15691" s="1" t="str">
        <f>HYPERLINK("http://www.ncbi.nlm.nih.gov/gene/?term=OXSM","NCBI")</f>
        <v>NCBI</v>
      </c>
      <c r="F15691">
        <v>0.73</v>
      </c>
      <c r="G15691">
        <v>0.79</v>
      </c>
      <c r="H15691" s="1" t="str">
        <f>HYPERLINK("http://www.weizmann.ac.il/complex/compphys/software/geview/data/figures/219133_at.png","Figure")</f>
        <v>Figure</v>
      </c>
      <c r="I15691">
        <v>0.999</v>
      </c>
      <c r="J15691">
        <v>1</v>
      </c>
      <c r="K15691">
        <v>1.1499999999999999</v>
      </c>
      <c r="L15691">
        <v>0.77</v>
      </c>
      <c r="M15691">
        <v>1.1499999999999999</v>
      </c>
      <c r="N15691">
        <v>0.79</v>
      </c>
    </row>
    <row r="15692" spans="1:14" x14ac:dyDescent="0.25">
      <c r="A15692" t="s">
        <v>26429</v>
      </c>
      <c r="B15692" t="s">
        <v>26430</v>
      </c>
      <c r="C15692" s="1" t="str">
        <f>HYPERLINK("http://www.genecards.org/cgi-bin/carddisp.pl?gene=PRY","GeneCards")</f>
        <v>GeneCards</v>
      </c>
      <c r="D15692" s="1" t="str">
        <f>HYPERLINK("http://genome-euro.ucsc.edu/cgi-bin/hgTracks?position=208332_at","UCSC")</f>
        <v>UCSC</v>
      </c>
      <c r="E15692" s="1" t="str">
        <f>HYPERLINK("http://www.ncbi.nlm.nih.gov/gene/?term=PRY","NCBI")</f>
        <v>NCBI</v>
      </c>
      <c r="F15692">
        <v>0.73</v>
      </c>
      <c r="G15692">
        <v>0.79</v>
      </c>
      <c r="H15692" s="1" t="str">
        <f>HYPERLINK("http://www.weizmann.ac.il/complex/compphys/software/geview/data/figures/208332_at.png","Figure")</f>
        <v>Figure</v>
      </c>
      <c r="I15692">
        <v>1.05</v>
      </c>
      <c r="J15692">
        <v>0.88</v>
      </c>
      <c r="K15692">
        <v>0.97499999999999998</v>
      </c>
      <c r="L15692">
        <v>0.95</v>
      </c>
      <c r="M15692">
        <v>0.93200000000000005</v>
      </c>
      <c r="N15692">
        <v>0.7</v>
      </c>
    </row>
    <row r="15693" spans="1:14" x14ac:dyDescent="0.25">
      <c r="A15693" t="s">
        <v>26431</v>
      </c>
      <c r="B15693" t="s">
        <v>26432</v>
      </c>
      <c r="C15693" s="1" t="str">
        <f>HYPERLINK("http://www.genecards.org/cgi-bin/carddisp.pl?gene=RARS","GeneCards")</f>
        <v>GeneCards</v>
      </c>
      <c r="D15693" s="1" t="str">
        <f>HYPERLINK("http://genome-euro.ucsc.edu/cgi-bin/hgTracks?position=201330_at","UCSC")</f>
        <v>UCSC</v>
      </c>
      <c r="E15693" s="1" t="str">
        <f>HYPERLINK("http://www.ncbi.nlm.nih.gov/gene/?term=RARS","NCBI")</f>
        <v>NCBI</v>
      </c>
      <c r="F15693">
        <v>0.73</v>
      </c>
      <c r="G15693">
        <v>0.79</v>
      </c>
      <c r="H15693" s="1" t="str">
        <f>HYPERLINK("http://www.weizmann.ac.il/complex/compphys/software/geview/data/figures/201330_at.png","Figure")</f>
        <v>Figure</v>
      </c>
      <c r="I15693">
        <v>0.94499999999999995</v>
      </c>
      <c r="J15693">
        <v>0.91</v>
      </c>
      <c r="K15693">
        <v>0.90900000000000003</v>
      </c>
      <c r="L15693">
        <v>0.71</v>
      </c>
      <c r="M15693">
        <v>0.96199999999999997</v>
      </c>
      <c r="N15693">
        <v>0.95</v>
      </c>
    </row>
    <row r="15694" spans="1:14" x14ac:dyDescent="0.25">
      <c r="A15694" t="s">
        <v>26433</v>
      </c>
      <c r="B15694" t="s">
        <v>10697</v>
      </c>
      <c r="C15694" s="1" t="str">
        <f>HYPERLINK("http://www.genecards.org/cgi-bin/carddisp.pl?gene=RARA","GeneCards")</f>
        <v>GeneCards</v>
      </c>
      <c r="D15694" s="1" t="str">
        <f>HYPERLINK("http://genome-euro.ucsc.edu/cgi-bin/hgTracks?position=203750_s_at","UCSC")</f>
        <v>UCSC</v>
      </c>
      <c r="E15694" s="1" t="str">
        <f>HYPERLINK("http://www.ncbi.nlm.nih.gov/gene/?term=RARA","NCBI")</f>
        <v>NCBI</v>
      </c>
      <c r="F15694">
        <v>0.73</v>
      </c>
      <c r="G15694">
        <v>0.79</v>
      </c>
      <c r="H15694" s="1" t="str">
        <f>HYPERLINK("http://www.weizmann.ac.il/complex/compphys/software/geview/data/figures/203750_s_at.png","Figure")</f>
        <v>Figure</v>
      </c>
      <c r="I15694">
        <v>1.04</v>
      </c>
      <c r="J15694">
        <v>0.91</v>
      </c>
      <c r="K15694">
        <v>1.06</v>
      </c>
      <c r="L15694">
        <v>0.71</v>
      </c>
      <c r="M15694">
        <v>1.03</v>
      </c>
      <c r="N15694">
        <v>0.95</v>
      </c>
    </row>
    <row r="15695" spans="1:14" x14ac:dyDescent="0.25">
      <c r="A15695" t="s">
        <v>26434</v>
      </c>
      <c r="B15695" t="s">
        <v>1620</v>
      </c>
      <c r="C15695" s="1" t="str">
        <f>HYPERLINK("http://www.genecards.org/cgi-bin/carddisp.pl?gene=HNRNPK","GeneCards")</f>
        <v>GeneCards</v>
      </c>
      <c r="D15695" s="1" t="str">
        <f>HYPERLINK("http://genome-euro.ucsc.edu/cgi-bin/hgTracks?position=200775_s_at","UCSC")</f>
        <v>UCSC</v>
      </c>
      <c r="E15695" s="1" t="str">
        <f>HYPERLINK("http://www.ncbi.nlm.nih.gov/gene/?term=HNRNPK","NCBI")</f>
        <v>NCBI</v>
      </c>
      <c r="F15695">
        <v>0.73</v>
      </c>
      <c r="G15695">
        <v>0.79</v>
      </c>
      <c r="H15695" s="1" t="str">
        <f>HYPERLINK("http://www.weizmann.ac.il/complex/compphys/software/geview/data/figures/200775_s_at.png","Figure")</f>
        <v>Figure</v>
      </c>
      <c r="I15695">
        <v>1.04</v>
      </c>
      <c r="J15695">
        <v>0.97</v>
      </c>
      <c r="K15695">
        <v>1.1200000000000001</v>
      </c>
      <c r="L15695">
        <v>0.72</v>
      </c>
      <c r="M15695">
        <v>1.08</v>
      </c>
      <c r="N15695">
        <v>0.88</v>
      </c>
    </row>
    <row r="15696" spans="1:14" x14ac:dyDescent="0.25">
      <c r="A15696" t="s">
        <v>26435</v>
      </c>
      <c r="B15696" t="s">
        <v>26436</v>
      </c>
      <c r="C15696" s="1" t="str">
        <f>HYPERLINK("http://www.genecards.org/cgi-bin/carddisp.pl?gene=EPHX3","GeneCards")</f>
        <v>GeneCards</v>
      </c>
      <c r="D15696" s="1" t="str">
        <f>HYPERLINK("http://genome-euro.ucsc.edu/cgi-bin/hgTracks?position=220013_at","UCSC")</f>
        <v>UCSC</v>
      </c>
      <c r="E15696" s="1" t="str">
        <f>HYPERLINK("http://www.ncbi.nlm.nih.gov/gene/?term=EPHX3","NCBI")</f>
        <v>NCBI</v>
      </c>
      <c r="F15696">
        <v>0.73</v>
      </c>
      <c r="G15696">
        <v>0.79</v>
      </c>
      <c r="H15696" s="1" t="str">
        <f>HYPERLINK("http://www.weizmann.ac.il/complex/compphys/software/geview/data/figures/220013_at.png","Figure")</f>
        <v>Figure</v>
      </c>
      <c r="I15696">
        <v>1.05</v>
      </c>
      <c r="J15696">
        <v>0.74</v>
      </c>
      <c r="K15696">
        <v>1.01</v>
      </c>
      <c r="L15696">
        <v>0.99</v>
      </c>
      <c r="M15696">
        <v>0.95899999999999996</v>
      </c>
      <c r="N15696">
        <v>0.78</v>
      </c>
    </row>
    <row r="15697" spans="1:14" x14ac:dyDescent="0.25">
      <c r="A15697" t="s">
        <v>26437</v>
      </c>
      <c r="B15697" t="s">
        <v>12007</v>
      </c>
      <c r="C15697" s="1" t="str">
        <f>HYPERLINK("http://www.genecards.org/cgi-bin/carddisp.pl?gene=PGAP2","GeneCards")</f>
        <v>GeneCards</v>
      </c>
      <c r="D15697" s="1" t="str">
        <f>HYPERLINK("http://genome-euro.ucsc.edu/cgi-bin/hgTracks?position=215293_s_at","UCSC")</f>
        <v>UCSC</v>
      </c>
      <c r="E15697" s="1" t="str">
        <f>HYPERLINK("http://www.ncbi.nlm.nih.gov/gene/?term=PGAP2","NCBI")</f>
        <v>NCBI</v>
      </c>
      <c r="F15697">
        <v>0.73</v>
      </c>
      <c r="G15697">
        <v>0.79</v>
      </c>
      <c r="H15697" s="1" t="str">
        <f>HYPERLINK("http://www.weizmann.ac.il/complex/compphys/software/geview/data/figures/215293_s_at.png","Figure")</f>
        <v>Figure</v>
      </c>
      <c r="I15697">
        <v>1.07</v>
      </c>
      <c r="J15697">
        <v>0.79</v>
      </c>
      <c r="K15697">
        <v>0.995</v>
      </c>
      <c r="L15697">
        <v>1</v>
      </c>
      <c r="M15697">
        <v>0.93</v>
      </c>
      <c r="N15697">
        <v>0.73</v>
      </c>
    </row>
    <row r="15698" spans="1:14" x14ac:dyDescent="0.25">
      <c r="A15698" t="s">
        <v>26438</v>
      </c>
      <c r="B15698" t="s">
        <v>18903</v>
      </c>
      <c r="C15698" s="1" t="str">
        <f>HYPERLINK("http://www.genecards.org/cgi-bin/carddisp.pl?gene=TCP1","GeneCards")</f>
        <v>GeneCards</v>
      </c>
      <c r="D15698" s="1" t="str">
        <f>HYPERLINK("http://genome-euro.ucsc.edu/cgi-bin/hgTracks?position=222010_at","UCSC")</f>
        <v>UCSC</v>
      </c>
      <c r="E15698" s="1" t="str">
        <f>HYPERLINK("http://www.ncbi.nlm.nih.gov/gene/?term=TCP1","NCBI")</f>
        <v>NCBI</v>
      </c>
      <c r="F15698">
        <v>0.73</v>
      </c>
      <c r="G15698">
        <v>0.79</v>
      </c>
      <c r="H15698" s="1" t="str">
        <f>HYPERLINK("http://www.weizmann.ac.il/complex/compphys/software/geview/data/figures/222010_at.png","Figure")</f>
        <v>Figure</v>
      </c>
      <c r="I15698">
        <v>0.85399999999999998</v>
      </c>
      <c r="J15698">
        <v>0.84</v>
      </c>
      <c r="K15698">
        <v>1.05</v>
      </c>
      <c r="L15698">
        <v>0.98</v>
      </c>
      <c r="M15698">
        <v>1.23</v>
      </c>
      <c r="N15698">
        <v>0.71</v>
      </c>
    </row>
    <row r="15699" spans="1:14" x14ac:dyDescent="0.25">
      <c r="A15699" t="s">
        <v>26439</v>
      </c>
      <c r="B15699" t="s">
        <v>26440</v>
      </c>
      <c r="C15699" s="1" t="str">
        <f>HYPERLINK("http://www.genecards.org/cgi-bin/carddisp.pl?gene=NAV3","GeneCards")</f>
        <v>GeneCards</v>
      </c>
      <c r="D15699" s="1" t="str">
        <f>HYPERLINK("http://genome-euro.ucsc.edu/cgi-bin/hgTracks?position=204823_at","UCSC")</f>
        <v>UCSC</v>
      </c>
      <c r="E15699" s="1" t="str">
        <f>HYPERLINK("http://www.ncbi.nlm.nih.gov/gene/?term=NAV3","NCBI")</f>
        <v>NCBI</v>
      </c>
      <c r="F15699">
        <v>0.73</v>
      </c>
      <c r="G15699">
        <v>0.79</v>
      </c>
      <c r="H15699" s="1" t="str">
        <f>HYPERLINK("http://www.weizmann.ac.il/complex/compphys/software/geview/data/figures/204823_at.png","Figure")</f>
        <v>Figure</v>
      </c>
      <c r="I15699">
        <v>0.99299999999999999</v>
      </c>
      <c r="J15699">
        <v>1</v>
      </c>
      <c r="K15699">
        <v>0.93700000000000006</v>
      </c>
      <c r="L15699">
        <v>0.75</v>
      </c>
      <c r="M15699">
        <v>0.94299999999999995</v>
      </c>
      <c r="N15699">
        <v>0.82</v>
      </c>
    </row>
    <row r="15700" spans="1:14" x14ac:dyDescent="0.25">
      <c r="A15700" t="s">
        <v>26441</v>
      </c>
      <c r="B15700" t="s">
        <v>26442</v>
      </c>
      <c r="C15700" s="1" t="str">
        <f>HYPERLINK("http://www.genecards.org/cgi-bin/carddisp.pl?gene=PIP5K1C","GeneCards")</f>
        <v>GeneCards</v>
      </c>
      <c r="D15700" s="1" t="str">
        <f>HYPERLINK("http://genome-euro.ucsc.edu/cgi-bin/hgTracks?position=212518_at","UCSC")</f>
        <v>UCSC</v>
      </c>
      <c r="E15700" s="1" t="str">
        <f>HYPERLINK("http://www.ncbi.nlm.nih.gov/gene/?term=PIP5K1C","NCBI")</f>
        <v>NCBI</v>
      </c>
      <c r="F15700">
        <v>0.73</v>
      </c>
      <c r="G15700">
        <v>0.79</v>
      </c>
      <c r="H15700" s="1" t="str">
        <f>HYPERLINK("http://www.weizmann.ac.il/complex/compphys/software/geview/data/figures/212518_at.png","Figure")</f>
        <v>Figure</v>
      </c>
      <c r="I15700">
        <v>1.1000000000000001</v>
      </c>
      <c r="J15700">
        <v>0.81</v>
      </c>
      <c r="K15700">
        <v>1.1100000000000001</v>
      </c>
      <c r="L15700">
        <v>0.74</v>
      </c>
      <c r="M15700">
        <v>1</v>
      </c>
      <c r="N15700">
        <v>1</v>
      </c>
    </row>
    <row r="15701" spans="1:14" x14ac:dyDescent="0.25">
      <c r="A15701" t="s">
        <v>26443</v>
      </c>
      <c r="B15701" t="s">
        <v>17968</v>
      </c>
      <c r="C15701" s="1" t="str">
        <f>HYPERLINK("http://www.genecards.org/cgi-bin/carddisp.pl?gene=USP46","GeneCards")</f>
        <v>GeneCards</v>
      </c>
      <c r="D15701" s="1" t="str">
        <f>HYPERLINK("http://genome-euro.ucsc.edu/cgi-bin/hgTracks?position=219943_s_at","UCSC")</f>
        <v>UCSC</v>
      </c>
      <c r="E15701" s="1" t="str">
        <f>HYPERLINK("http://www.ncbi.nlm.nih.gov/gene/?term=USP46","NCBI")</f>
        <v>NCBI</v>
      </c>
      <c r="F15701">
        <v>0.73</v>
      </c>
      <c r="G15701">
        <v>0.79</v>
      </c>
      <c r="H15701" s="1" t="str">
        <f>HYPERLINK("http://www.weizmann.ac.il/complex/compphys/software/geview/data/figures/219943_s_at.png","Figure")</f>
        <v>Figure</v>
      </c>
      <c r="I15701">
        <v>0.99299999999999999</v>
      </c>
      <c r="J15701">
        <v>0.99</v>
      </c>
      <c r="K15701">
        <v>1.03</v>
      </c>
      <c r="L15701">
        <v>0.81</v>
      </c>
      <c r="M15701">
        <v>1.04</v>
      </c>
      <c r="N15701">
        <v>0.76</v>
      </c>
    </row>
    <row r="15702" spans="1:14" x14ac:dyDescent="0.25">
      <c r="A15702" t="s">
        <v>26444</v>
      </c>
      <c r="B15702" t="s">
        <v>10076</v>
      </c>
      <c r="C15702" s="1" t="str">
        <f>HYPERLINK("http://www.genecards.org/cgi-bin/carddisp.pl?gene=PMS2L3","GeneCards")</f>
        <v>GeneCards</v>
      </c>
      <c r="D15702" s="1" t="str">
        <f>HYPERLINK("http://genome-euro.ucsc.edu/cgi-bin/hgTracks?position=217488_x_at","UCSC")</f>
        <v>UCSC</v>
      </c>
      <c r="E15702" s="1" t="str">
        <f>HYPERLINK("http://www.ncbi.nlm.nih.gov/gene/?term=PMS2L3","NCBI")</f>
        <v>NCBI</v>
      </c>
      <c r="F15702">
        <v>0.73</v>
      </c>
      <c r="G15702">
        <v>0.79</v>
      </c>
      <c r="H15702" s="1" t="str">
        <f>HYPERLINK("http://www.weizmann.ac.il/complex/compphys/software/geview/data/figures/217488_x_at.png","Figure")</f>
        <v>Figure</v>
      </c>
      <c r="I15702">
        <v>1.03</v>
      </c>
      <c r="J15702">
        <v>0.71</v>
      </c>
      <c r="K15702">
        <v>1.01</v>
      </c>
      <c r="L15702">
        <v>0.91</v>
      </c>
      <c r="M15702">
        <v>0.98499999999999999</v>
      </c>
      <c r="N15702">
        <v>0.89</v>
      </c>
    </row>
    <row r="15703" spans="1:14" x14ac:dyDescent="0.25">
      <c r="A15703" t="s">
        <v>26445</v>
      </c>
      <c r="B15703" t="s">
        <v>5764</v>
      </c>
      <c r="C15703" s="1" t="str">
        <f>HYPERLINK("http://www.genecards.org/cgi-bin/carddisp.pl?gene=FOSL2","GeneCards")</f>
        <v>GeneCards</v>
      </c>
      <c r="D15703" s="1" t="str">
        <f>HYPERLINK("http://genome-euro.ucsc.edu/cgi-bin/hgTracks?position=218881_s_at","UCSC")</f>
        <v>UCSC</v>
      </c>
      <c r="E15703" s="1" t="str">
        <f>HYPERLINK("http://www.ncbi.nlm.nih.gov/gene/?term=FOSL2","NCBI")</f>
        <v>NCBI</v>
      </c>
      <c r="F15703">
        <v>0.73</v>
      </c>
      <c r="G15703">
        <v>0.79</v>
      </c>
      <c r="H15703" s="1" t="str">
        <f>HYPERLINK("http://www.weizmann.ac.il/complex/compphys/software/geview/data/figures/218881_s_at.png","Figure")</f>
        <v>Figure</v>
      </c>
      <c r="I15703">
        <v>0.95699999999999996</v>
      </c>
      <c r="J15703">
        <v>0.94</v>
      </c>
      <c r="K15703">
        <v>0.91300000000000003</v>
      </c>
      <c r="L15703">
        <v>0.71</v>
      </c>
      <c r="M15703">
        <v>0.95499999999999996</v>
      </c>
      <c r="N15703">
        <v>0.92</v>
      </c>
    </row>
    <row r="15704" spans="1:14" x14ac:dyDescent="0.25">
      <c r="A15704" t="s">
        <v>26446</v>
      </c>
      <c r="B15704" t="s">
        <v>26447</v>
      </c>
      <c r="C15704" s="1" t="str">
        <f>HYPERLINK("http://www.genecards.org/cgi-bin/carddisp.pl?gene=MED18","GeneCards")</f>
        <v>GeneCards</v>
      </c>
      <c r="D15704" s="1" t="str">
        <f>HYPERLINK("http://genome-euro.ucsc.edu/cgi-bin/hgTracks?position=221650_s_at","UCSC")</f>
        <v>UCSC</v>
      </c>
      <c r="E15704" s="1" t="str">
        <f>HYPERLINK("http://www.ncbi.nlm.nih.gov/gene/?term=MED18","NCBI")</f>
        <v>NCBI</v>
      </c>
      <c r="F15704">
        <v>0.73</v>
      </c>
      <c r="G15704">
        <v>0.79</v>
      </c>
      <c r="H15704" s="1" t="str">
        <f>HYPERLINK("http://www.weizmann.ac.il/complex/compphys/software/geview/data/figures/221650_s_at.png","Figure")</f>
        <v>Figure</v>
      </c>
      <c r="I15704">
        <v>1.01</v>
      </c>
      <c r="J15704">
        <v>0.99</v>
      </c>
      <c r="K15704">
        <v>0.94899999999999995</v>
      </c>
      <c r="L15704">
        <v>0.81</v>
      </c>
      <c r="M15704">
        <v>0.93799999999999994</v>
      </c>
      <c r="N15704">
        <v>0.76</v>
      </c>
    </row>
    <row r="15705" spans="1:14" x14ac:dyDescent="0.25">
      <c r="A15705" t="s">
        <v>26448</v>
      </c>
      <c r="B15705" t="s">
        <v>26449</v>
      </c>
      <c r="C15705" s="1" t="str">
        <f>HYPERLINK("http://www.genecards.org/cgi-bin/carddisp.pl?gene=XPO1","GeneCards")</f>
        <v>GeneCards</v>
      </c>
      <c r="D15705" s="1" t="str">
        <f>HYPERLINK("http://genome-euro.ucsc.edu/cgi-bin/hgTracks?position=208775_at","UCSC")</f>
        <v>UCSC</v>
      </c>
      <c r="E15705" s="1" t="str">
        <f>HYPERLINK("http://www.ncbi.nlm.nih.gov/gene/?term=XPO1","NCBI")</f>
        <v>NCBI</v>
      </c>
      <c r="F15705">
        <v>0.73</v>
      </c>
      <c r="G15705">
        <v>0.79</v>
      </c>
      <c r="H15705" s="1" t="str">
        <f>HYPERLINK("http://www.weizmann.ac.il/complex/compphys/software/geview/data/figures/208775_at.png","Figure")</f>
        <v>Figure</v>
      </c>
      <c r="I15705">
        <v>0.86199999999999999</v>
      </c>
      <c r="J15705">
        <v>0.87</v>
      </c>
      <c r="K15705">
        <v>0.81599999999999995</v>
      </c>
      <c r="L15705">
        <v>0.71</v>
      </c>
      <c r="M15705">
        <v>0.94599999999999995</v>
      </c>
      <c r="N15705">
        <v>0.98</v>
      </c>
    </row>
    <row r="15706" spans="1:14" x14ac:dyDescent="0.25">
      <c r="A15706" t="s">
        <v>26450</v>
      </c>
      <c r="B15706" t="s">
        <v>26451</v>
      </c>
      <c r="C15706" s="1" t="str">
        <f>HYPERLINK("http://www.genecards.org/cgi-bin/carddisp.pl?gene=NCAPG","GeneCards")</f>
        <v>GeneCards</v>
      </c>
      <c r="D15706" s="1" t="str">
        <f>HYPERLINK("http://genome-euro.ucsc.edu/cgi-bin/hgTracks?position=218662_s_at","UCSC")</f>
        <v>UCSC</v>
      </c>
      <c r="E15706" s="1" t="str">
        <f>HYPERLINK("http://www.ncbi.nlm.nih.gov/gene/?term=NCAPG","NCBI")</f>
        <v>NCBI</v>
      </c>
      <c r="F15706">
        <v>0.73</v>
      </c>
      <c r="G15706">
        <v>0.79</v>
      </c>
      <c r="H15706" s="1" t="str">
        <f>HYPERLINK("http://www.weizmann.ac.il/complex/compphys/software/geview/data/figures/218662_s_at.png","Figure")</f>
        <v>Figure</v>
      </c>
      <c r="I15706">
        <v>0.76200000000000001</v>
      </c>
      <c r="J15706">
        <v>0.72</v>
      </c>
      <c r="K15706">
        <v>0.93</v>
      </c>
      <c r="L15706">
        <v>0.97</v>
      </c>
      <c r="M15706">
        <v>1.22</v>
      </c>
      <c r="N15706">
        <v>0.82</v>
      </c>
    </row>
    <row r="15707" spans="1:14" x14ac:dyDescent="0.25">
      <c r="A15707" t="s">
        <v>26452</v>
      </c>
      <c r="B15707" t="s">
        <v>24754</v>
      </c>
      <c r="C15707" s="1" t="str">
        <f>HYPERLINK("http://www.genecards.org/cgi-bin/carddisp.pl?gene=PGCP","GeneCards")</f>
        <v>GeneCards</v>
      </c>
      <c r="D15707" s="1" t="str">
        <f>HYPERLINK("http://genome-euro.ucsc.edu/cgi-bin/hgTracks?position=203501_at","UCSC")</f>
        <v>UCSC</v>
      </c>
      <c r="E15707" s="1" t="str">
        <f>HYPERLINK("http://www.ncbi.nlm.nih.gov/gene/?term=PGCP","NCBI")</f>
        <v>NCBI</v>
      </c>
      <c r="F15707">
        <v>0.73</v>
      </c>
      <c r="G15707">
        <v>0.79</v>
      </c>
      <c r="H15707" s="1" t="str">
        <f>HYPERLINK("http://www.weizmann.ac.il/complex/compphys/software/geview/data/figures/203501_at.png","Figure")</f>
        <v>Figure</v>
      </c>
      <c r="I15707">
        <v>0.92400000000000004</v>
      </c>
      <c r="J15707">
        <v>0.81</v>
      </c>
      <c r="K15707">
        <v>1.01</v>
      </c>
      <c r="L15707">
        <v>0.99</v>
      </c>
      <c r="M15707">
        <v>1.0900000000000001</v>
      </c>
      <c r="N15707">
        <v>0.73</v>
      </c>
    </row>
    <row r="15708" spans="1:14" x14ac:dyDescent="0.25">
      <c r="A15708" t="s">
        <v>26453</v>
      </c>
      <c r="B15708" t="s">
        <v>26454</v>
      </c>
      <c r="C15708" s="1" t="str">
        <f>HYPERLINK("http://www.genecards.org/cgi-bin/carddisp.pl?gene=GABRE","GeneCards")</f>
        <v>GeneCards</v>
      </c>
      <c r="D15708" s="1" t="str">
        <f>HYPERLINK("http://genome-euro.ucsc.edu/cgi-bin/hgTracks?position=204537_s_at","UCSC")</f>
        <v>UCSC</v>
      </c>
      <c r="E15708" s="1" t="str">
        <f>HYPERLINK("http://www.ncbi.nlm.nih.gov/gene/?term=GABRE","NCBI")</f>
        <v>NCBI</v>
      </c>
      <c r="F15708">
        <v>0.73</v>
      </c>
      <c r="G15708">
        <v>0.79</v>
      </c>
      <c r="H15708" s="1" t="str">
        <f>HYPERLINK("http://www.weizmann.ac.il/complex/compphys/software/geview/data/figures/204537_s_at.png","Figure")</f>
        <v>Figure</v>
      </c>
      <c r="I15708">
        <v>1</v>
      </c>
      <c r="J15708">
        <v>0.86</v>
      </c>
      <c r="K15708">
        <v>0.999</v>
      </c>
      <c r="L15708">
        <v>0.96</v>
      </c>
      <c r="M15708">
        <v>0.998</v>
      </c>
      <c r="N15708">
        <v>0.71</v>
      </c>
    </row>
    <row r="15709" spans="1:14" x14ac:dyDescent="0.25">
      <c r="A15709" t="s">
        <v>26455</v>
      </c>
      <c r="B15709" t="s">
        <v>26456</v>
      </c>
      <c r="C15709" s="1" t="str">
        <f>HYPERLINK("http://www.genecards.org/cgi-bin/carddisp.pl?gene=TIMP4","GeneCards")</f>
        <v>GeneCards</v>
      </c>
      <c r="D15709" s="1" t="str">
        <f>HYPERLINK("http://genome-euro.ucsc.edu/cgi-bin/hgTracks?position=206243_at","UCSC")</f>
        <v>UCSC</v>
      </c>
      <c r="E15709" s="1" t="str">
        <f>HYPERLINK("http://www.ncbi.nlm.nih.gov/gene/?term=TIMP4","NCBI")</f>
        <v>NCBI</v>
      </c>
      <c r="F15709">
        <v>0.73</v>
      </c>
      <c r="G15709">
        <v>0.79</v>
      </c>
      <c r="H15709" s="1" t="str">
        <f>HYPERLINK("http://www.weizmann.ac.il/complex/compphys/software/geview/data/figures/206243_at.png","Figure")</f>
        <v>Figure</v>
      </c>
      <c r="I15709">
        <v>1.01</v>
      </c>
      <c r="J15709">
        <v>0.86</v>
      </c>
      <c r="K15709">
        <v>0.996</v>
      </c>
      <c r="L15709">
        <v>0.96</v>
      </c>
      <c r="M15709">
        <v>0.98599999999999999</v>
      </c>
      <c r="N15709">
        <v>0.71</v>
      </c>
    </row>
    <row r="15710" spans="1:14" x14ac:dyDescent="0.25">
      <c r="A15710" t="s">
        <v>26457</v>
      </c>
      <c r="B15710" t="s">
        <v>26458</v>
      </c>
      <c r="C15710" s="1" t="str">
        <f>HYPERLINK("http://www.genecards.org/cgi-bin/carddisp.pl?gene=LOC100294182 /// RPL3","GeneCards")</f>
        <v>GeneCards</v>
      </c>
      <c r="D15710" s="1" t="str">
        <f>HYPERLINK("http://genome-euro.ucsc.edu/cgi-bin/hgTracks?position=215963_x_at","UCSC")</f>
        <v>UCSC</v>
      </c>
      <c r="E15710" s="1" t="str">
        <f>HYPERLINK("http://www.ncbi.nlm.nih.gov/gene/?term=LOC100294182 /// RPL3","NCBI")</f>
        <v>NCBI</v>
      </c>
      <c r="F15710">
        <v>0.73</v>
      </c>
      <c r="G15710">
        <v>0.79</v>
      </c>
      <c r="H15710" s="1" t="str">
        <f>HYPERLINK("http://www.weizmann.ac.il/complex/compphys/software/geview/data/figures/215963_x_at.png","Figure")</f>
        <v>Figure</v>
      </c>
      <c r="I15710">
        <v>0.94599999999999995</v>
      </c>
      <c r="J15710">
        <v>0.86</v>
      </c>
      <c r="K15710">
        <v>1.02</v>
      </c>
      <c r="L15710">
        <v>0.96</v>
      </c>
      <c r="M15710">
        <v>1.08</v>
      </c>
      <c r="N15710">
        <v>0.71</v>
      </c>
    </row>
    <row r="15711" spans="1:14" x14ac:dyDescent="0.25">
      <c r="A15711" t="s">
        <v>26459</v>
      </c>
      <c r="B15711" t="s">
        <v>11807</v>
      </c>
      <c r="C15711" s="1" t="str">
        <f>HYPERLINK("http://www.genecards.org/cgi-bin/carddisp.pl?gene=GAD2","GeneCards")</f>
        <v>GeneCards</v>
      </c>
      <c r="D15711" s="1" t="str">
        <f>HYPERLINK("http://genome-euro.ucsc.edu/cgi-bin/hgTracks?position=216651_s_at","UCSC")</f>
        <v>UCSC</v>
      </c>
      <c r="E15711" s="1" t="str">
        <f>HYPERLINK("http://www.ncbi.nlm.nih.gov/gene/?term=GAD2","NCBI")</f>
        <v>NCBI</v>
      </c>
      <c r="F15711">
        <v>0.73</v>
      </c>
      <c r="G15711">
        <v>0.79</v>
      </c>
      <c r="H15711" s="1" t="str">
        <f>HYPERLINK("http://www.weizmann.ac.il/complex/compphys/software/geview/data/figures/216651_s_at.png","Figure")</f>
        <v>Figure</v>
      </c>
      <c r="I15711">
        <v>1</v>
      </c>
      <c r="J15711">
        <v>0.86</v>
      </c>
      <c r="K15711">
        <v>0.999</v>
      </c>
      <c r="L15711">
        <v>0.96</v>
      </c>
      <c r="M15711">
        <v>0.996</v>
      </c>
      <c r="N15711">
        <v>0.71</v>
      </c>
    </row>
    <row r="15712" spans="1:14" x14ac:dyDescent="0.25">
      <c r="A15712" t="s">
        <v>26460</v>
      </c>
      <c r="B15712" t="s">
        <v>3183</v>
      </c>
      <c r="C15712" s="1" t="str">
        <f>HYPERLINK("http://www.genecards.org/cgi-bin/carddisp.pl?gene=GK","GeneCards")</f>
        <v>GeneCards</v>
      </c>
      <c r="D15712" s="1" t="str">
        <f>HYPERLINK("http://genome-euro.ucsc.edu/cgi-bin/hgTracks?position=217167_x_at","UCSC")</f>
        <v>UCSC</v>
      </c>
      <c r="E15712" s="1" t="str">
        <f>HYPERLINK("http://www.ncbi.nlm.nih.gov/gene/?term=GK","NCBI")</f>
        <v>NCBI</v>
      </c>
      <c r="F15712">
        <v>0.73</v>
      </c>
      <c r="G15712">
        <v>0.79</v>
      </c>
      <c r="H15712" s="1" t="str">
        <f>HYPERLINK("http://www.weizmann.ac.il/complex/compphys/software/geview/data/figures/217167_x_at.png","Figure")</f>
        <v>Figure</v>
      </c>
      <c r="I15712">
        <v>0.99299999999999999</v>
      </c>
      <c r="J15712">
        <v>1</v>
      </c>
      <c r="K15712">
        <v>1.04</v>
      </c>
      <c r="L15712">
        <v>0.8</v>
      </c>
      <c r="M15712">
        <v>1.05</v>
      </c>
      <c r="N15712">
        <v>0.77</v>
      </c>
    </row>
    <row r="15713" spans="1:14" x14ac:dyDescent="0.25">
      <c r="A15713" t="s">
        <v>26461</v>
      </c>
      <c r="B15713" t="s">
        <v>26462</v>
      </c>
      <c r="C15713" s="1" t="str">
        <f>HYPERLINK("http://www.genecards.org/cgi-bin/carddisp.pl?gene=ATP8A2","GeneCards")</f>
        <v>GeneCards</v>
      </c>
      <c r="D15713" s="1" t="str">
        <f>HYPERLINK("http://genome-euro.ucsc.edu/cgi-bin/hgTracks?position=219659_at","UCSC")</f>
        <v>UCSC</v>
      </c>
      <c r="E15713" s="1" t="str">
        <f>HYPERLINK("http://www.ncbi.nlm.nih.gov/gene/?term=ATP8A2","NCBI")</f>
        <v>NCBI</v>
      </c>
      <c r="F15713">
        <v>0.73</v>
      </c>
      <c r="G15713">
        <v>0.79</v>
      </c>
      <c r="H15713" s="1" t="str">
        <f>HYPERLINK("http://www.weizmann.ac.il/complex/compphys/software/geview/data/figures/219659_at.png","Figure")</f>
        <v>Figure</v>
      </c>
      <c r="I15713">
        <v>1</v>
      </c>
      <c r="J15713">
        <v>0.86</v>
      </c>
      <c r="K15713">
        <v>0.998</v>
      </c>
      <c r="L15713">
        <v>0.96</v>
      </c>
      <c r="M15713">
        <v>0.99399999999999999</v>
      </c>
      <c r="N15713">
        <v>0.71</v>
      </c>
    </row>
    <row r="15714" spans="1:14" x14ac:dyDescent="0.25">
      <c r="A15714" t="s">
        <v>26463</v>
      </c>
      <c r="B15714" t="s">
        <v>26464</v>
      </c>
      <c r="C15714" s="1" t="str">
        <f>HYPERLINK("http://www.genecards.org/cgi-bin/carddisp.pl?gene=HSPA2","GeneCards")</f>
        <v>GeneCards</v>
      </c>
      <c r="D15714" s="1" t="str">
        <f>HYPERLINK("http://genome-euro.ucsc.edu/cgi-bin/hgTracks?position=211538_s_at","UCSC")</f>
        <v>UCSC</v>
      </c>
      <c r="E15714" s="1" t="str">
        <f>HYPERLINK("http://www.ncbi.nlm.nih.gov/gene/?term=HSPA2","NCBI")</f>
        <v>NCBI</v>
      </c>
      <c r="F15714">
        <v>0.73</v>
      </c>
      <c r="G15714">
        <v>0.79</v>
      </c>
      <c r="H15714" s="1" t="str">
        <f>HYPERLINK("http://www.weizmann.ac.il/complex/compphys/software/geview/data/figures/211538_s_at.png","Figure")</f>
        <v>Figure</v>
      </c>
      <c r="I15714">
        <v>1.02</v>
      </c>
      <c r="J15714">
        <v>0.95</v>
      </c>
      <c r="K15714">
        <v>0.97199999999999998</v>
      </c>
      <c r="L15714">
        <v>0.88</v>
      </c>
      <c r="M15714">
        <v>0.95299999999999996</v>
      </c>
      <c r="N15714">
        <v>0.72</v>
      </c>
    </row>
    <row r="15715" spans="1:14" x14ac:dyDescent="0.25">
      <c r="A15715" t="s">
        <v>26465</v>
      </c>
      <c r="B15715" t="s">
        <v>26466</v>
      </c>
      <c r="C15715" s="1" t="str">
        <f>HYPERLINK("http://www.genecards.org/cgi-bin/carddisp.pl?gene=GZMA","GeneCards")</f>
        <v>GeneCards</v>
      </c>
      <c r="D15715" s="1" t="str">
        <f>HYPERLINK("http://genome-euro.ucsc.edu/cgi-bin/hgTracks?position=205488_at","UCSC")</f>
        <v>UCSC</v>
      </c>
      <c r="E15715" s="1" t="str">
        <f>HYPERLINK("http://www.ncbi.nlm.nih.gov/gene/?term=GZMA","NCBI")</f>
        <v>NCBI</v>
      </c>
      <c r="F15715">
        <v>0.73</v>
      </c>
      <c r="G15715">
        <v>0.79</v>
      </c>
      <c r="H15715" s="1" t="str">
        <f>HYPERLINK("http://www.weizmann.ac.il/complex/compphys/software/geview/data/figures/205488_at.png","Figure")</f>
        <v>Figure</v>
      </c>
      <c r="I15715">
        <v>1.1000000000000001</v>
      </c>
      <c r="J15715">
        <v>0.98</v>
      </c>
      <c r="K15715">
        <v>1.41</v>
      </c>
      <c r="L15715">
        <v>0.73</v>
      </c>
      <c r="M15715">
        <v>1.29</v>
      </c>
      <c r="N15715">
        <v>0.86</v>
      </c>
    </row>
    <row r="15716" spans="1:14" x14ac:dyDescent="0.25">
      <c r="A15716" t="s">
        <v>26467</v>
      </c>
      <c r="B15716" t="s">
        <v>17419</v>
      </c>
      <c r="C15716" s="1" t="str">
        <f>HYPERLINK("http://www.genecards.org/cgi-bin/carddisp.pl?gene=GGT1","GeneCards")</f>
        <v>GeneCards</v>
      </c>
      <c r="D15716" s="1" t="str">
        <f>HYPERLINK("http://genome-euro.ucsc.edu/cgi-bin/hgTracks?position=208284_x_at","UCSC")</f>
        <v>UCSC</v>
      </c>
      <c r="E15716" s="1" t="str">
        <f>HYPERLINK("http://www.ncbi.nlm.nih.gov/gene/?term=GGT1","NCBI")</f>
        <v>NCBI</v>
      </c>
      <c r="F15716">
        <v>0.73</v>
      </c>
      <c r="G15716">
        <v>0.79</v>
      </c>
      <c r="H15716" s="1" t="str">
        <f>HYPERLINK("http://www.weizmann.ac.il/complex/compphys/software/geview/data/figures/208284_x_at.png","Figure")</f>
        <v>Figure</v>
      </c>
      <c r="I15716">
        <v>1.05</v>
      </c>
      <c r="J15716">
        <v>0.89</v>
      </c>
      <c r="K15716">
        <v>1.07</v>
      </c>
      <c r="L15716">
        <v>0.71</v>
      </c>
      <c r="M15716">
        <v>1.02</v>
      </c>
      <c r="N15716">
        <v>0.96</v>
      </c>
    </row>
    <row r="15717" spans="1:14" x14ac:dyDescent="0.25">
      <c r="A15717" t="s">
        <v>26468</v>
      </c>
      <c r="B15717" t="s">
        <v>19100</v>
      </c>
      <c r="C15717" s="1" t="str">
        <f>HYPERLINK("http://www.genecards.org/cgi-bin/carddisp.pl?gene=CTNNA1","GeneCards")</f>
        <v>GeneCards</v>
      </c>
      <c r="D15717" s="1" t="str">
        <f>HYPERLINK("http://genome-euro.ucsc.edu/cgi-bin/hgTracks?position=215883_at","UCSC")</f>
        <v>UCSC</v>
      </c>
      <c r="E15717" s="1" t="str">
        <f>HYPERLINK("http://www.ncbi.nlm.nih.gov/gene/?term=CTNNA1","NCBI")</f>
        <v>NCBI</v>
      </c>
      <c r="F15717">
        <v>0.73</v>
      </c>
      <c r="G15717">
        <v>0.79</v>
      </c>
      <c r="H15717" s="1" t="str">
        <f>HYPERLINK("http://www.weizmann.ac.il/complex/compphys/software/geview/data/figures/215883_at.png","Figure")</f>
        <v>Figure</v>
      </c>
      <c r="I15717">
        <v>1.07</v>
      </c>
      <c r="J15717">
        <v>0.72</v>
      </c>
      <c r="K15717">
        <v>1.02</v>
      </c>
      <c r="L15717">
        <v>0.96</v>
      </c>
      <c r="M15717">
        <v>0.95199999999999996</v>
      </c>
      <c r="N15717">
        <v>0.83</v>
      </c>
    </row>
    <row r="15718" spans="1:14" x14ac:dyDescent="0.25">
      <c r="A15718" t="s">
        <v>26469</v>
      </c>
      <c r="B15718" t="s">
        <v>12149</v>
      </c>
      <c r="C15718" s="1" t="str">
        <f>HYPERLINK("http://www.genecards.org/cgi-bin/carddisp.pl?gene=TCF4","GeneCards")</f>
        <v>GeneCards</v>
      </c>
      <c r="D15718" s="1" t="str">
        <f>HYPERLINK("http://genome-euro.ucsc.edu/cgi-bin/hgTracks?position=212386_at","UCSC")</f>
        <v>UCSC</v>
      </c>
      <c r="E15718" s="1" t="str">
        <f>HYPERLINK("http://www.ncbi.nlm.nih.gov/gene/?term=TCF4","NCBI")</f>
        <v>NCBI</v>
      </c>
      <c r="F15718">
        <v>0.73</v>
      </c>
      <c r="G15718">
        <v>0.79</v>
      </c>
      <c r="H15718" s="1" t="str">
        <f>HYPERLINK("http://www.weizmann.ac.il/complex/compphys/software/geview/data/figures/212386_at.png","Figure")</f>
        <v>Figure</v>
      </c>
      <c r="I15718">
        <v>1.1499999999999999</v>
      </c>
      <c r="J15718">
        <v>0.71</v>
      </c>
      <c r="K15718">
        <v>1.07</v>
      </c>
      <c r="L15718">
        <v>0.89</v>
      </c>
      <c r="M15718">
        <v>0.93100000000000005</v>
      </c>
      <c r="N15718">
        <v>0.9</v>
      </c>
    </row>
    <row r="15719" spans="1:14" x14ac:dyDescent="0.25">
      <c r="A15719" t="s">
        <v>26470</v>
      </c>
      <c r="B15719" t="s">
        <v>4127</v>
      </c>
      <c r="C15719" s="1" t="str">
        <f>HYPERLINK("http://www.genecards.org/cgi-bin/carddisp.pl?gene=ATXN7","GeneCards")</f>
        <v>GeneCards</v>
      </c>
      <c r="D15719" s="1" t="str">
        <f>HYPERLINK("http://genome-euro.ucsc.edu/cgi-bin/hgTracks?position=204516_at","UCSC")</f>
        <v>UCSC</v>
      </c>
      <c r="E15719" s="1" t="str">
        <f>HYPERLINK("http://www.ncbi.nlm.nih.gov/gene/?term=ATXN7","NCBI")</f>
        <v>NCBI</v>
      </c>
      <c r="F15719">
        <v>0.73</v>
      </c>
      <c r="G15719">
        <v>0.79</v>
      </c>
      <c r="H15719" s="1" t="str">
        <f>HYPERLINK("http://www.weizmann.ac.il/complex/compphys/software/geview/data/figures/204516_at.png","Figure")</f>
        <v>Figure</v>
      </c>
      <c r="I15719">
        <v>1.06</v>
      </c>
      <c r="J15719">
        <v>0.94</v>
      </c>
      <c r="K15719">
        <v>0.93700000000000006</v>
      </c>
      <c r="L15719">
        <v>0.9</v>
      </c>
      <c r="M15719">
        <v>0.88400000000000001</v>
      </c>
      <c r="N15719">
        <v>0.72</v>
      </c>
    </row>
    <row r="15720" spans="1:14" x14ac:dyDescent="0.25">
      <c r="A15720" t="s">
        <v>26471</v>
      </c>
      <c r="B15720" t="s">
        <v>26472</v>
      </c>
      <c r="C15720" s="1" t="str">
        <f>HYPERLINK("http://www.genecards.org/cgi-bin/carddisp.pl?gene=TRAPPC6A","GeneCards")</f>
        <v>GeneCards</v>
      </c>
      <c r="D15720" s="1" t="str">
        <f>HYPERLINK("http://genome-euro.ucsc.edu/cgi-bin/hgTracks?position=204985_s_at","UCSC")</f>
        <v>UCSC</v>
      </c>
      <c r="E15720" s="1" t="str">
        <f>HYPERLINK("http://www.ncbi.nlm.nih.gov/gene/?term=TRAPPC6A","NCBI")</f>
        <v>NCBI</v>
      </c>
      <c r="F15720">
        <v>0.73</v>
      </c>
      <c r="G15720">
        <v>0.79</v>
      </c>
      <c r="H15720" s="1" t="str">
        <f>HYPERLINK("http://www.weizmann.ac.il/complex/compphys/software/geview/data/figures/204985_s_at.png","Figure")</f>
        <v>Figure</v>
      </c>
      <c r="I15720">
        <v>0.97799999999999998</v>
      </c>
      <c r="J15720">
        <v>0.98</v>
      </c>
      <c r="K15720">
        <v>1.06</v>
      </c>
      <c r="L15720">
        <v>0.84</v>
      </c>
      <c r="M15720">
        <v>1.08</v>
      </c>
      <c r="N15720">
        <v>0.75</v>
      </c>
    </row>
    <row r="15721" spans="1:14" x14ac:dyDescent="0.25">
      <c r="A15721" t="s">
        <v>26473</v>
      </c>
      <c r="B15721" t="s">
        <v>26474</v>
      </c>
      <c r="C15721" s="1" t="str">
        <f>HYPERLINK("http://www.genecards.org/cgi-bin/carddisp.pl?gene=KCNJ14","GeneCards")</f>
        <v>GeneCards</v>
      </c>
      <c r="D15721" s="1" t="str">
        <f>HYPERLINK("http://genome-euro.ucsc.edu/cgi-bin/hgTracks?position=220776_at","UCSC")</f>
        <v>UCSC</v>
      </c>
      <c r="E15721" s="1" t="str">
        <f>HYPERLINK("http://www.ncbi.nlm.nih.gov/gene/?term=KCNJ14","NCBI")</f>
        <v>NCBI</v>
      </c>
      <c r="F15721">
        <v>0.73</v>
      </c>
      <c r="G15721">
        <v>0.79</v>
      </c>
      <c r="H15721" s="1" t="str">
        <f>HYPERLINK("http://www.weizmann.ac.il/complex/compphys/software/geview/data/figures/220776_at.png","Figure")</f>
        <v>Figure</v>
      </c>
      <c r="I15721">
        <v>1.01</v>
      </c>
      <c r="J15721">
        <v>0.76</v>
      </c>
      <c r="K15721">
        <v>1</v>
      </c>
      <c r="L15721">
        <v>1</v>
      </c>
      <c r="M15721">
        <v>0.99199999999999999</v>
      </c>
      <c r="N15721">
        <v>0.76</v>
      </c>
    </row>
    <row r="15722" spans="1:14" x14ac:dyDescent="0.25">
      <c r="A15722" t="s">
        <v>26475</v>
      </c>
      <c r="B15722" t="s">
        <v>26476</v>
      </c>
      <c r="C15722" s="1" t="str">
        <f>HYPERLINK("http://www.genecards.org/cgi-bin/carddisp.pl?gene=FAM117A","GeneCards")</f>
        <v>GeneCards</v>
      </c>
      <c r="D15722" s="1" t="str">
        <f>HYPERLINK("http://genome-euro.ucsc.edu/cgi-bin/hgTracks?position=221249_s_at","UCSC")</f>
        <v>UCSC</v>
      </c>
      <c r="E15722" s="1" t="str">
        <f>HYPERLINK("http://www.ncbi.nlm.nih.gov/gene/?term=FAM117A","NCBI")</f>
        <v>NCBI</v>
      </c>
      <c r="F15722">
        <v>0.73</v>
      </c>
      <c r="G15722">
        <v>0.79</v>
      </c>
      <c r="H15722" s="1" t="str">
        <f>HYPERLINK("http://www.weizmann.ac.il/complex/compphys/software/geview/data/figures/221249_s_at.png","Figure")</f>
        <v>Figure</v>
      </c>
      <c r="I15722">
        <v>0.95899999999999996</v>
      </c>
      <c r="J15722">
        <v>0.99</v>
      </c>
      <c r="K15722">
        <v>1.1399999999999999</v>
      </c>
      <c r="L15722">
        <v>0.83</v>
      </c>
      <c r="M15722">
        <v>1.19</v>
      </c>
      <c r="N15722">
        <v>0.75</v>
      </c>
    </row>
    <row r="15723" spans="1:14" x14ac:dyDescent="0.25">
      <c r="A15723" t="s">
        <v>26477</v>
      </c>
      <c r="B15723" t="s">
        <v>10955</v>
      </c>
      <c r="C15723" s="1" t="str">
        <f>HYPERLINK("http://www.genecards.org/cgi-bin/carddisp.pl?gene=PIAS4","GeneCards")</f>
        <v>GeneCards</v>
      </c>
      <c r="D15723" s="1" t="str">
        <f>HYPERLINK("http://genome-euro.ucsc.edu/cgi-bin/hgTracks?position=212879_x_at","UCSC")</f>
        <v>UCSC</v>
      </c>
      <c r="E15723" s="1" t="str">
        <f>HYPERLINK("http://www.ncbi.nlm.nih.gov/gene/?term=PIAS4","NCBI")</f>
        <v>NCBI</v>
      </c>
      <c r="F15723">
        <v>0.73</v>
      </c>
      <c r="G15723">
        <v>0.79</v>
      </c>
      <c r="H15723" s="1" t="str">
        <f>HYPERLINK("http://www.weizmann.ac.il/complex/compphys/software/geview/data/figures/212879_x_at.png","Figure")</f>
        <v>Figure</v>
      </c>
      <c r="I15723">
        <v>1.05</v>
      </c>
      <c r="J15723">
        <v>0.88</v>
      </c>
      <c r="K15723">
        <v>1.07</v>
      </c>
      <c r="L15723">
        <v>0.72</v>
      </c>
      <c r="M15723">
        <v>1.02</v>
      </c>
      <c r="N15723">
        <v>0.98</v>
      </c>
    </row>
    <row r="15724" spans="1:14" x14ac:dyDescent="0.25">
      <c r="A15724" t="s">
        <v>26478</v>
      </c>
      <c r="B15724" t="s">
        <v>19415</v>
      </c>
      <c r="C15724" s="1" t="str">
        <f>HYPERLINK("http://www.genecards.org/cgi-bin/carddisp.pl?gene=JRK","GeneCards")</f>
        <v>GeneCards</v>
      </c>
      <c r="D15724" s="1" t="str">
        <f>HYPERLINK("http://genome-euro.ucsc.edu/cgi-bin/hgTracks?position=216309_x_at","UCSC")</f>
        <v>UCSC</v>
      </c>
      <c r="E15724" s="1" t="str">
        <f>HYPERLINK("http://www.ncbi.nlm.nih.gov/gene/?term=JRK","NCBI")</f>
        <v>NCBI</v>
      </c>
      <c r="F15724">
        <v>0.73</v>
      </c>
      <c r="G15724">
        <v>0.79</v>
      </c>
      <c r="H15724" s="1" t="str">
        <f>HYPERLINK("http://www.weizmann.ac.il/complex/compphys/software/geview/data/figures/216309_x_at.png","Figure")</f>
        <v>Figure</v>
      </c>
      <c r="I15724">
        <v>1.06</v>
      </c>
      <c r="J15724">
        <v>0.85</v>
      </c>
      <c r="K15724">
        <v>1.08</v>
      </c>
      <c r="L15724">
        <v>0.72</v>
      </c>
      <c r="M15724">
        <v>1.01</v>
      </c>
      <c r="N15724">
        <v>0.99</v>
      </c>
    </row>
    <row r="15725" spans="1:14" x14ac:dyDescent="0.25">
      <c r="A15725" t="s">
        <v>26479</v>
      </c>
      <c r="B15725" t="s">
        <v>26480</v>
      </c>
      <c r="C15725" s="1" t="str">
        <f>HYPERLINK("http://www.genecards.org/cgi-bin/carddisp.pl?gene=MFAP2","GeneCards")</f>
        <v>GeneCards</v>
      </c>
      <c r="D15725" s="1" t="str">
        <f>HYPERLINK("http://genome-euro.ucsc.edu/cgi-bin/hgTracks?position=203417_at","UCSC")</f>
        <v>UCSC</v>
      </c>
      <c r="E15725" s="1" t="str">
        <f>HYPERLINK("http://www.ncbi.nlm.nih.gov/gene/?term=MFAP2","NCBI")</f>
        <v>NCBI</v>
      </c>
      <c r="F15725">
        <v>0.73</v>
      </c>
      <c r="G15725">
        <v>0.79</v>
      </c>
      <c r="H15725" s="1" t="str">
        <f>HYPERLINK("http://www.weizmann.ac.il/complex/compphys/software/geview/data/figures/203417_at.png","Figure")</f>
        <v>Figure</v>
      </c>
      <c r="I15725">
        <v>1.05</v>
      </c>
      <c r="J15725">
        <v>0.86</v>
      </c>
      <c r="K15725">
        <v>0.98199999999999998</v>
      </c>
      <c r="L15725">
        <v>0.97</v>
      </c>
      <c r="M15725">
        <v>0.93799999999999994</v>
      </c>
      <c r="N15725">
        <v>0.71</v>
      </c>
    </row>
    <row r="15726" spans="1:14" x14ac:dyDescent="0.25">
      <c r="A15726" t="s">
        <v>26481</v>
      </c>
      <c r="B15726" t="s">
        <v>26482</v>
      </c>
      <c r="C15726" s="1" t="str">
        <f>HYPERLINK("http://www.genecards.org/cgi-bin/carddisp.pl?gene=APOBEC3B","GeneCards")</f>
        <v>GeneCards</v>
      </c>
      <c r="D15726" s="1" t="str">
        <f>HYPERLINK("http://genome-euro.ucsc.edu/cgi-bin/hgTracks?position=206632_s_at","UCSC")</f>
        <v>UCSC</v>
      </c>
      <c r="E15726" s="1" t="str">
        <f>HYPERLINK("http://www.ncbi.nlm.nih.gov/gene/?term=APOBEC3B","NCBI")</f>
        <v>NCBI</v>
      </c>
      <c r="F15726">
        <v>0.73</v>
      </c>
      <c r="G15726">
        <v>0.79</v>
      </c>
      <c r="H15726" s="1" t="str">
        <f>HYPERLINK("http://www.weizmann.ac.il/complex/compphys/software/geview/data/figures/206632_s_at.png","Figure")</f>
        <v>Figure</v>
      </c>
      <c r="I15726">
        <v>1.1100000000000001</v>
      </c>
      <c r="J15726">
        <v>0.82</v>
      </c>
      <c r="K15726">
        <v>0.97899999999999998</v>
      </c>
      <c r="L15726">
        <v>0.99</v>
      </c>
      <c r="M15726">
        <v>0.88400000000000001</v>
      </c>
      <c r="N15726">
        <v>0.72</v>
      </c>
    </row>
    <row r="15727" spans="1:14" x14ac:dyDescent="0.25">
      <c r="A15727" t="s">
        <v>26483</v>
      </c>
      <c r="B15727" t="s">
        <v>26484</v>
      </c>
      <c r="C15727" s="1" t="str">
        <f>HYPERLINK("http://www.genecards.org/cgi-bin/carddisp.pl?gene=KCTD5","GeneCards")</f>
        <v>GeneCards</v>
      </c>
      <c r="D15727" s="1" t="str">
        <f>HYPERLINK("http://genome-euro.ucsc.edu/cgi-bin/hgTracks?position=218474_s_at","UCSC")</f>
        <v>UCSC</v>
      </c>
      <c r="E15727" s="1" t="str">
        <f>HYPERLINK("http://www.ncbi.nlm.nih.gov/gene/?term=KCTD5","NCBI")</f>
        <v>NCBI</v>
      </c>
      <c r="F15727">
        <v>0.73</v>
      </c>
      <c r="G15727">
        <v>0.79</v>
      </c>
      <c r="H15727" s="1" t="str">
        <f>HYPERLINK("http://www.weizmann.ac.il/complex/compphys/software/geview/data/figures/218474_s_at.png","Figure")</f>
        <v>Figure</v>
      </c>
      <c r="I15727">
        <v>0.86499999999999999</v>
      </c>
      <c r="J15727">
        <v>0.73</v>
      </c>
      <c r="K15727">
        <v>0.97</v>
      </c>
      <c r="L15727">
        <v>0.98</v>
      </c>
      <c r="M15727">
        <v>1.1200000000000001</v>
      </c>
      <c r="N15727">
        <v>0.8</v>
      </c>
    </row>
    <row r="15728" spans="1:14" x14ac:dyDescent="0.25">
      <c r="A15728" t="s">
        <v>26485</v>
      </c>
      <c r="B15728" t="s">
        <v>26486</v>
      </c>
      <c r="C15728" s="1" t="str">
        <f>HYPERLINK("http://www.genecards.org/cgi-bin/carddisp.pl?gene=DENND4B","GeneCards")</f>
        <v>GeneCards</v>
      </c>
      <c r="D15728" s="1" t="str">
        <f>HYPERLINK("http://genome-euro.ucsc.edu/cgi-bin/hgTracks?position=202860_at","UCSC")</f>
        <v>UCSC</v>
      </c>
      <c r="E15728" s="1" t="str">
        <f>HYPERLINK("http://www.ncbi.nlm.nih.gov/gene/?term=DENND4B","NCBI")</f>
        <v>NCBI</v>
      </c>
      <c r="F15728">
        <v>0.73</v>
      </c>
      <c r="G15728">
        <v>0.79</v>
      </c>
      <c r="H15728" s="1" t="str">
        <f>HYPERLINK("http://www.weizmann.ac.il/complex/compphys/software/geview/data/figures/202860_at.png","Figure")</f>
        <v>Figure</v>
      </c>
      <c r="I15728">
        <v>0.86799999999999999</v>
      </c>
      <c r="J15728">
        <v>0.74</v>
      </c>
      <c r="K15728">
        <v>0.97899999999999998</v>
      </c>
      <c r="L15728">
        <v>0.99</v>
      </c>
      <c r="M15728">
        <v>1.1299999999999999</v>
      </c>
      <c r="N15728">
        <v>0.78</v>
      </c>
    </row>
    <row r="15729" spans="1:14" x14ac:dyDescent="0.25">
      <c r="A15729" t="s">
        <v>26487</v>
      </c>
      <c r="B15729" t="s">
        <v>8798</v>
      </c>
      <c r="C15729" s="1" t="str">
        <f>HYPERLINK("http://www.genecards.org/cgi-bin/carddisp.pl?gene=SFI1","GeneCards")</f>
        <v>GeneCards</v>
      </c>
      <c r="D15729" s="1" t="str">
        <f>HYPERLINK("http://genome-euro.ucsc.edu/cgi-bin/hgTracks?position=214402_s_at","UCSC")</f>
        <v>UCSC</v>
      </c>
      <c r="E15729" s="1" t="str">
        <f>HYPERLINK("http://www.ncbi.nlm.nih.gov/gene/?term=SFI1","NCBI")</f>
        <v>NCBI</v>
      </c>
      <c r="F15729">
        <v>0.73</v>
      </c>
      <c r="G15729">
        <v>0.79</v>
      </c>
      <c r="H15729" s="1" t="str">
        <f>HYPERLINK("http://www.weizmann.ac.il/complex/compphys/software/geview/data/figures/214402_s_at.png","Figure")</f>
        <v>Figure</v>
      </c>
      <c r="I15729">
        <v>1.01</v>
      </c>
      <c r="J15729">
        <v>0.85</v>
      </c>
      <c r="K15729">
        <v>0.996</v>
      </c>
      <c r="L15729">
        <v>0.98</v>
      </c>
      <c r="M15729">
        <v>0.98499999999999999</v>
      </c>
      <c r="N15729">
        <v>0.72</v>
      </c>
    </row>
    <row r="15730" spans="1:14" x14ac:dyDescent="0.25">
      <c r="A15730" t="s">
        <v>26488</v>
      </c>
      <c r="B15730" t="s">
        <v>26489</v>
      </c>
      <c r="C15730" s="1" t="str">
        <f>HYPERLINK("http://www.genecards.org/cgi-bin/carddisp.pl?gene=ACAD10","GeneCards")</f>
        <v>GeneCards</v>
      </c>
      <c r="D15730" s="1" t="str">
        <f>HYPERLINK("http://genome-euro.ucsc.edu/cgi-bin/hgTracks?position=219986_s_at","UCSC")</f>
        <v>UCSC</v>
      </c>
      <c r="E15730" s="1" t="str">
        <f>HYPERLINK("http://www.ncbi.nlm.nih.gov/gene/?term=ACAD10","NCBI")</f>
        <v>NCBI</v>
      </c>
      <c r="F15730">
        <v>0.73</v>
      </c>
      <c r="G15730">
        <v>0.79</v>
      </c>
      <c r="H15730" s="1" t="str">
        <f>HYPERLINK("http://www.weizmann.ac.il/complex/compphys/software/geview/data/figures/219986_s_at.png","Figure")</f>
        <v>Figure</v>
      </c>
      <c r="I15730">
        <v>1.07</v>
      </c>
      <c r="J15730">
        <v>0.73</v>
      </c>
      <c r="K15730">
        <v>1.05</v>
      </c>
      <c r="L15730">
        <v>0.82</v>
      </c>
      <c r="M15730">
        <v>0.97799999999999998</v>
      </c>
      <c r="N15730">
        <v>0.97</v>
      </c>
    </row>
    <row r="15731" spans="1:14" x14ac:dyDescent="0.25">
      <c r="A15731" t="s">
        <v>26490</v>
      </c>
      <c r="B15731" t="s">
        <v>26491</v>
      </c>
      <c r="C15731" s="1" t="str">
        <f>HYPERLINK("http://www.genecards.org/cgi-bin/carddisp.pl?gene=KIAA0754","GeneCards")</f>
        <v>GeneCards</v>
      </c>
      <c r="D15731" s="1" t="str">
        <f>HYPERLINK("http://genome-euro.ucsc.edu/cgi-bin/hgTracks?position=215268_at","UCSC")</f>
        <v>UCSC</v>
      </c>
      <c r="E15731" s="1" t="str">
        <f>HYPERLINK("http://www.ncbi.nlm.nih.gov/gene/?term=KIAA0754","NCBI")</f>
        <v>NCBI</v>
      </c>
      <c r="F15731">
        <v>0.73</v>
      </c>
      <c r="G15731">
        <v>0.79</v>
      </c>
      <c r="H15731" s="1" t="str">
        <f>HYPERLINK("http://www.weizmann.ac.il/complex/compphys/software/geview/data/figures/215268_at.png","Figure")</f>
        <v>Figure</v>
      </c>
      <c r="I15731">
        <v>1.07</v>
      </c>
      <c r="J15731">
        <v>0.77</v>
      </c>
      <c r="K15731">
        <v>1</v>
      </c>
      <c r="L15731">
        <v>1</v>
      </c>
      <c r="M15731">
        <v>0.94</v>
      </c>
      <c r="N15731">
        <v>0.75</v>
      </c>
    </row>
    <row r="15732" spans="1:14" x14ac:dyDescent="0.25">
      <c r="A15732" t="s">
        <v>26492</v>
      </c>
      <c r="B15732" t="s">
        <v>10862</v>
      </c>
      <c r="C15732" s="1" t="str">
        <f>HYPERLINK("http://www.genecards.org/cgi-bin/carddisp.pl?gene=NCR1","GeneCards")</f>
        <v>GeneCards</v>
      </c>
      <c r="D15732" s="1" t="str">
        <f>HYPERLINK("http://genome-euro.ucsc.edu/cgi-bin/hgTracks?position=217088_s_at","UCSC")</f>
        <v>UCSC</v>
      </c>
      <c r="E15732" s="1" t="str">
        <f>HYPERLINK("http://www.ncbi.nlm.nih.gov/gene/?term=NCR1","NCBI")</f>
        <v>NCBI</v>
      </c>
      <c r="F15732">
        <v>0.73</v>
      </c>
      <c r="G15732">
        <v>0.79</v>
      </c>
      <c r="H15732" s="1" t="str">
        <f>HYPERLINK("http://www.weizmann.ac.il/complex/compphys/software/geview/data/figures/217088_s_at.png","Figure")</f>
        <v>Figure</v>
      </c>
      <c r="I15732">
        <v>1.02</v>
      </c>
      <c r="J15732">
        <v>0.95</v>
      </c>
      <c r="K15732">
        <v>0.97799999999999998</v>
      </c>
      <c r="L15732">
        <v>0.88</v>
      </c>
      <c r="M15732">
        <v>0.96199999999999997</v>
      </c>
      <c r="N15732">
        <v>0.73</v>
      </c>
    </row>
    <row r="15733" spans="1:14" x14ac:dyDescent="0.25">
      <c r="A15733" t="s">
        <v>26493</v>
      </c>
      <c r="B15733" t="s">
        <v>9288</v>
      </c>
      <c r="C15733" s="1" t="str">
        <f>HYPERLINK("http://www.genecards.org/cgi-bin/carddisp.pl?gene=EIF4G1","GeneCards")</f>
        <v>GeneCards</v>
      </c>
      <c r="D15733" s="1" t="str">
        <f>HYPERLINK("http://genome-euro.ucsc.edu/cgi-bin/hgTracks?position=208624_s_at","UCSC")</f>
        <v>UCSC</v>
      </c>
      <c r="E15733" s="1" t="str">
        <f>HYPERLINK("http://www.ncbi.nlm.nih.gov/gene/?term=EIF4G1","NCBI")</f>
        <v>NCBI</v>
      </c>
      <c r="F15733">
        <v>0.73</v>
      </c>
      <c r="G15733">
        <v>0.79</v>
      </c>
      <c r="H15733" s="1" t="str">
        <f>HYPERLINK("http://www.weizmann.ac.il/complex/compphys/software/geview/data/figures/208624_s_at.png","Figure")</f>
        <v>Figure</v>
      </c>
      <c r="I15733">
        <v>1.1499999999999999</v>
      </c>
      <c r="J15733">
        <v>0.71</v>
      </c>
      <c r="K15733">
        <v>1.07</v>
      </c>
      <c r="L15733">
        <v>0.92</v>
      </c>
      <c r="M15733">
        <v>0.92400000000000004</v>
      </c>
      <c r="N15733">
        <v>0.88</v>
      </c>
    </row>
    <row r="15734" spans="1:14" x14ac:dyDescent="0.25">
      <c r="A15734" t="s">
        <v>26494</v>
      </c>
      <c r="B15734" t="s">
        <v>13071</v>
      </c>
      <c r="C15734" s="1" t="str">
        <f>HYPERLINK("http://www.genecards.org/cgi-bin/carddisp.pl?gene=MPP2","GeneCards")</f>
        <v>GeneCards</v>
      </c>
      <c r="D15734" s="1" t="str">
        <f>HYPERLINK("http://genome-euro.ucsc.edu/cgi-bin/hgTracks?position=213270_at","UCSC")</f>
        <v>UCSC</v>
      </c>
      <c r="E15734" s="1" t="str">
        <f>HYPERLINK("http://www.ncbi.nlm.nih.gov/gene/?term=MPP2","NCBI")</f>
        <v>NCBI</v>
      </c>
      <c r="F15734">
        <v>0.73</v>
      </c>
      <c r="G15734">
        <v>0.79</v>
      </c>
      <c r="H15734" s="1" t="str">
        <f>HYPERLINK("http://www.weizmann.ac.il/complex/compphys/software/geview/data/figures/213270_at.png","Figure")</f>
        <v>Figure</v>
      </c>
      <c r="I15734">
        <v>1.07</v>
      </c>
      <c r="J15734">
        <v>0.77</v>
      </c>
      <c r="K15734">
        <v>1</v>
      </c>
      <c r="L15734">
        <v>1</v>
      </c>
      <c r="M15734">
        <v>0.93899999999999995</v>
      </c>
      <c r="N15734">
        <v>0.76</v>
      </c>
    </row>
    <row r="15735" spans="1:14" x14ac:dyDescent="0.25">
      <c r="A15735" t="s">
        <v>26495</v>
      </c>
      <c r="B15735" t="s">
        <v>6667</v>
      </c>
      <c r="C15735" s="1" t="str">
        <f>HYPERLINK("http://www.genecards.org/cgi-bin/carddisp.pl?gene=SAP30","GeneCards")</f>
        <v>GeneCards</v>
      </c>
      <c r="D15735" s="1" t="str">
        <f>HYPERLINK("http://genome-euro.ucsc.edu/cgi-bin/hgTracks?position=204899_s_at","UCSC")</f>
        <v>UCSC</v>
      </c>
      <c r="E15735" s="1" t="str">
        <f>HYPERLINK("http://www.ncbi.nlm.nih.gov/gene/?term=SAP30","NCBI")</f>
        <v>NCBI</v>
      </c>
      <c r="F15735">
        <v>0.74</v>
      </c>
      <c r="G15735">
        <v>0.79</v>
      </c>
      <c r="H15735" s="1" t="str">
        <f>HYPERLINK("http://www.weizmann.ac.il/complex/compphys/software/geview/data/figures/204899_s_at.png","Figure")</f>
        <v>Figure</v>
      </c>
      <c r="I15735">
        <v>0.88800000000000001</v>
      </c>
      <c r="J15735">
        <v>0.71</v>
      </c>
      <c r="K15735">
        <v>0.94099999999999995</v>
      </c>
      <c r="L15735">
        <v>0.89</v>
      </c>
      <c r="M15735">
        <v>1.06</v>
      </c>
      <c r="N15735">
        <v>0.91</v>
      </c>
    </row>
    <row r="15736" spans="1:14" x14ac:dyDescent="0.25">
      <c r="A15736" t="s">
        <v>26496</v>
      </c>
      <c r="B15736" t="s">
        <v>7892</v>
      </c>
      <c r="C15736" s="1" t="str">
        <f>HYPERLINK("http://www.genecards.org/cgi-bin/carddisp.pl?gene=COPA","GeneCards")</f>
        <v>GeneCards</v>
      </c>
      <c r="D15736" s="1" t="str">
        <f>HYPERLINK("http://genome-euro.ucsc.edu/cgi-bin/hgTracks?position=208684_at","UCSC")</f>
        <v>UCSC</v>
      </c>
      <c r="E15736" s="1" t="str">
        <f>HYPERLINK("http://www.ncbi.nlm.nih.gov/gene/?term=COPA","NCBI")</f>
        <v>NCBI</v>
      </c>
      <c r="F15736">
        <v>0.74</v>
      </c>
      <c r="G15736">
        <v>0.79</v>
      </c>
      <c r="H15736" s="1" t="str">
        <f>HYPERLINK("http://www.weizmann.ac.il/complex/compphys/software/geview/data/figures/208684_at.png","Figure")</f>
        <v>Figure</v>
      </c>
      <c r="I15736">
        <v>1.06</v>
      </c>
      <c r="J15736">
        <v>0.95</v>
      </c>
      <c r="K15736">
        <v>0.91500000000000004</v>
      </c>
      <c r="L15736">
        <v>0.88</v>
      </c>
      <c r="M15736">
        <v>0.86</v>
      </c>
      <c r="N15736">
        <v>0.73</v>
      </c>
    </row>
    <row r="15737" spans="1:14" x14ac:dyDescent="0.25">
      <c r="A15737" t="s">
        <v>26497</v>
      </c>
      <c r="B15737" t="s">
        <v>7658</v>
      </c>
      <c r="C15737" s="1" t="str">
        <f>HYPERLINK("http://www.genecards.org/cgi-bin/carddisp.pl?gene=LRCH4","GeneCards")</f>
        <v>GeneCards</v>
      </c>
      <c r="D15737" s="1" t="str">
        <f>HYPERLINK("http://genome-euro.ucsc.edu/cgi-bin/hgTracks?position=37796_at","UCSC")</f>
        <v>UCSC</v>
      </c>
      <c r="E15737" s="1" t="str">
        <f>HYPERLINK("http://www.ncbi.nlm.nih.gov/gene/?term=LRCH4","NCBI")</f>
        <v>NCBI</v>
      </c>
      <c r="F15737">
        <v>0.74</v>
      </c>
      <c r="G15737">
        <v>0.79</v>
      </c>
      <c r="H15737" s="1" t="str">
        <f>HYPERLINK("http://www.weizmann.ac.il/complex/compphys/software/geview/data/figures/37796_at.png","Figure")</f>
        <v>Figure</v>
      </c>
      <c r="I15737">
        <v>1.1100000000000001</v>
      </c>
      <c r="J15737">
        <v>0.86</v>
      </c>
      <c r="K15737">
        <v>0.95899999999999996</v>
      </c>
      <c r="L15737">
        <v>0.97</v>
      </c>
      <c r="M15737">
        <v>0.86299999999999999</v>
      </c>
      <c r="N15737">
        <v>0.72</v>
      </c>
    </row>
    <row r="15738" spans="1:14" x14ac:dyDescent="0.25">
      <c r="A15738" t="s">
        <v>26498</v>
      </c>
      <c r="B15738" t="s">
        <v>26499</v>
      </c>
      <c r="C15738" s="1" t="str">
        <f>HYPERLINK("http://www.genecards.org/cgi-bin/carddisp.pl?gene=GPR182","GeneCards")</f>
        <v>GeneCards</v>
      </c>
      <c r="D15738" s="1" t="str">
        <f>HYPERLINK("http://genome-euro.ucsc.edu/cgi-bin/hgTracks?position=214506_at","UCSC")</f>
        <v>UCSC</v>
      </c>
      <c r="E15738" s="1" t="str">
        <f>HYPERLINK("http://www.ncbi.nlm.nih.gov/gene/?term=GPR182","NCBI")</f>
        <v>NCBI</v>
      </c>
      <c r="F15738">
        <v>0.74</v>
      </c>
      <c r="G15738">
        <v>0.79</v>
      </c>
      <c r="H15738" s="1" t="str">
        <f>HYPERLINK("http://www.weizmann.ac.il/complex/compphys/software/geview/data/figures/214506_at.png","Figure")</f>
        <v>Figure</v>
      </c>
      <c r="I15738">
        <v>1.02</v>
      </c>
      <c r="J15738">
        <v>0.98</v>
      </c>
      <c r="K15738">
        <v>0.96</v>
      </c>
      <c r="L15738">
        <v>0.85</v>
      </c>
      <c r="M15738">
        <v>0.94299999999999995</v>
      </c>
      <c r="N15738">
        <v>0.75</v>
      </c>
    </row>
    <row r="15739" spans="1:14" x14ac:dyDescent="0.25">
      <c r="A15739" t="s">
        <v>26500</v>
      </c>
      <c r="B15739" t="s">
        <v>2852</v>
      </c>
      <c r="C15739" s="1" t="str">
        <f>HYPERLINK("http://www.genecards.org/cgi-bin/carddisp.pl?gene=EIF3B","GeneCards")</f>
        <v>GeneCards</v>
      </c>
      <c r="D15739" s="1" t="str">
        <f>HYPERLINK("http://genome-euro.ucsc.edu/cgi-bin/hgTracks?position=208688_x_at","UCSC")</f>
        <v>UCSC</v>
      </c>
      <c r="E15739" s="1" t="str">
        <f>HYPERLINK("http://www.ncbi.nlm.nih.gov/gene/?term=EIF3B","NCBI")</f>
        <v>NCBI</v>
      </c>
      <c r="F15739">
        <v>0.74</v>
      </c>
      <c r="G15739">
        <v>0.8</v>
      </c>
      <c r="H15739" s="1" t="str">
        <f>HYPERLINK("http://www.weizmann.ac.il/complex/compphys/software/geview/data/figures/208688_x_at.png","Figure")</f>
        <v>Figure</v>
      </c>
      <c r="I15739">
        <v>1.05</v>
      </c>
      <c r="J15739">
        <v>0.89</v>
      </c>
      <c r="K15739">
        <v>1.07</v>
      </c>
      <c r="L15739">
        <v>0.72</v>
      </c>
      <c r="M15739">
        <v>1.02</v>
      </c>
      <c r="N15739">
        <v>0.97</v>
      </c>
    </row>
    <row r="15740" spans="1:14" x14ac:dyDescent="0.25">
      <c r="A15740" t="s">
        <v>26501</v>
      </c>
      <c r="B15740" t="s">
        <v>26502</v>
      </c>
      <c r="C15740" s="1" t="str">
        <f>HYPERLINK("http://www.genecards.org/cgi-bin/carddisp.pl?gene=CSNK2A1 /// CSNK2A1P","GeneCards")</f>
        <v>GeneCards</v>
      </c>
      <c r="D15740" s="1" t="str">
        <f>HYPERLINK("http://genome-euro.ucsc.edu/cgi-bin/hgTracks?position=212073_at","UCSC")</f>
        <v>UCSC</v>
      </c>
      <c r="E15740" s="1" t="str">
        <f>HYPERLINK("http://www.ncbi.nlm.nih.gov/gene/?term=CSNK2A1 /// CSNK2A1P","NCBI")</f>
        <v>NCBI</v>
      </c>
      <c r="F15740">
        <v>0.74</v>
      </c>
      <c r="G15740">
        <v>0.8</v>
      </c>
      <c r="H15740" s="1" t="str">
        <f>HYPERLINK("http://www.weizmann.ac.il/complex/compphys/software/geview/data/figures/212073_at.png","Figure")</f>
        <v>Figure</v>
      </c>
      <c r="I15740">
        <v>1.02</v>
      </c>
      <c r="J15740">
        <v>0.99</v>
      </c>
      <c r="K15740">
        <v>0.91600000000000004</v>
      </c>
      <c r="L15740">
        <v>0.81</v>
      </c>
      <c r="M15740">
        <v>0.90100000000000002</v>
      </c>
      <c r="N15740">
        <v>0.77</v>
      </c>
    </row>
    <row r="15741" spans="1:14" x14ac:dyDescent="0.25">
      <c r="A15741" t="s">
        <v>26503</v>
      </c>
      <c r="B15741" t="s">
        <v>6180</v>
      </c>
      <c r="C15741" s="1" t="str">
        <f>HYPERLINK("http://www.genecards.org/cgi-bin/carddisp.pl?gene=SYMPK","GeneCards")</f>
        <v>GeneCards</v>
      </c>
      <c r="D15741" s="1" t="str">
        <f>HYPERLINK("http://genome-euro.ucsc.edu/cgi-bin/hgTracks?position=32402_s_at","UCSC")</f>
        <v>UCSC</v>
      </c>
      <c r="E15741" s="1" t="str">
        <f>HYPERLINK("http://www.ncbi.nlm.nih.gov/gene/?term=SYMPK","NCBI")</f>
        <v>NCBI</v>
      </c>
      <c r="F15741">
        <v>0.74</v>
      </c>
      <c r="G15741">
        <v>0.8</v>
      </c>
      <c r="H15741" s="1" t="str">
        <f>HYPERLINK("http://www.weizmann.ac.il/complex/compphys/software/geview/data/figures/32402_s_at.png","Figure")</f>
        <v>Figure</v>
      </c>
      <c r="I15741">
        <v>0.96899999999999997</v>
      </c>
      <c r="J15741">
        <v>0.91</v>
      </c>
      <c r="K15741">
        <v>1.03</v>
      </c>
      <c r="L15741">
        <v>0.93</v>
      </c>
      <c r="M15741">
        <v>1.06</v>
      </c>
      <c r="N15741">
        <v>0.72</v>
      </c>
    </row>
    <row r="15742" spans="1:14" x14ac:dyDescent="0.25">
      <c r="A15742" t="s">
        <v>26504</v>
      </c>
      <c r="B15742" t="s">
        <v>17948</v>
      </c>
      <c r="C15742" s="1" t="str">
        <f>HYPERLINK("http://www.genecards.org/cgi-bin/carddisp.pl?gene=FECH","GeneCards")</f>
        <v>GeneCards</v>
      </c>
      <c r="D15742" s="1" t="str">
        <f>HYPERLINK("http://genome-euro.ucsc.edu/cgi-bin/hgTracks?position=203116_s_at","UCSC")</f>
        <v>UCSC</v>
      </c>
      <c r="E15742" s="1" t="str">
        <f>HYPERLINK("http://www.ncbi.nlm.nih.gov/gene/?term=FECH","NCBI")</f>
        <v>NCBI</v>
      </c>
      <c r="F15742">
        <v>0.74</v>
      </c>
      <c r="G15742">
        <v>0.8</v>
      </c>
      <c r="H15742" s="1" t="str">
        <f>HYPERLINK("http://www.weizmann.ac.il/complex/compphys/software/geview/data/figures/203116_s_at.png","Figure")</f>
        <v>Figure</v>
      </c>
      <c r="I15742">
        <v>0.95299999999999996</v>
      </c>
      <c r="J15742">
        <v>0.98</v>
      </c>
      <c r="K15742">
        <v>0.82799999999999996</v>
      </c>
      <c r="L15742">
        <v>0.74</v>
      </c>
      <c r="M15742">
        <v>0.86799999999999999</v>
      </c>
      <c r="N15742">
        <v>0.86</v>
      </c>
    </row>
    <row r="15743" spans="1:14" x14ac:dyDescent="0.25">
      <c r="A15743" t="s">
        <v>26505</v>
      </c>
      <c r="B15743" t="s">
        <v>26506</v>
      </c>
      <c r="C15743" s="1" t="str">
        <f>HYPERLINK("http://www.genecards.org/cgi-bin/carddisp.pl?gene=ACVR2B","GeneCards")</f>
        <v>GeneCards</v>
      </c>
      <c r="D15743" s="1" t="str">
        <f>HYPERLINK("http://genome-euro.ucsc.edu/cgi-bin/hgTracks?position=220028_at","UCSC")</f>
        <v>UCSC</v>
      </c>
      <c r="E15743" s="1" t="str">
        <f>HYPERLINK("http://www.ncbi.nlm.nih.gov/gene/?term=ACVR2B","NCBI")</f>
        <v>NCBI</v>
      </c>
      <c r="F15743">
        <v>0.74</v>
      </c>
      <c r="G15743">
        <v>0.8</v>
      </c>
      <c r="H15743" s="1" t="str">
        <f>HYPERLINK("http://www.weizmann.ac.il/complex/compphys/software/geview/data/figures/220028_at.png","Figure")</f>
        <v>Figure</v>
      </c>
      <c r="I15743">
        <v>0.97</v>
      </c>
      <c r="J15743">
        <v>0.91</v>
      </c>
      <c r="K15743">
        <v>0.95199999999999996</v>
      </c>
      <c r="L15743">
        <v>0.72</v>
      </c>
      <c r="M15743">
        <v>0.98199999999999998</v>
      </c>
      <c r="N15743">
        <v>0.96</v>
      </c>
    </row>
    <row r="15744" spans="1:14" x14ac:dyDescent="0.25">
      <c r="A15744" t="s">
        <v>26507</v>
      </c>
      <c r="B15744" t="s">
        <v>26508</v>
      </c>
      <c r="C15744" s="1" t="str">
        <f>HYPERLINK("http://www.genecards.org/cgi-bin/carddisp.pl?gene=RNF123","GeneCards")</f>
        <v>GeneCards</v>
      </c>
      <c r="D15744" s="1" t="str">
        <f>HYPERLINK("http://genome-euro.ucsc.edu/cgi-bin/hgTracks?position=221063_x_at","UCSC")</f>
        <v>UCSC</v>
      </c>
      <c r="E15744" s="1" t="str">
        <f>HYPERLINK("http://www.ncbi.nlm.nih.gov/gene/?term=RNF123","NCBI")</f>
        <v>NCBI</v>
      </c>
      <c r="F15744">
        <v>0.74</v>
      </c>
      <c r="G15744">
        <v>0.8</v>
      </c>
      <c r="H15744" s="1" t="str">
        <f>HYPERLINK("http://www.weizmann.ac.il/complex/compphys/software/geview/data/figures/221063_x_at.png","Figure")</f>
        <v>Figure</v>
      </c>
      <c r="I15744">
        <v>0.97099999999999997</v>
      </c>
      <c r="J15744">
        <v>0.98</v>
      </c>
      <c r="K15744">
        <v>1.08</v>
      </c>
      <c r="L15744">
        <v>0.84</v>
      </c>
      <c r="M15744">
        <v>1.1100000000000001</v>
      </c>
      <c r="N15744">
        <v>0.75</v>
      </c>
    </row>
    <row r="15745" spans="1:14" x14ac:dyDescent="0.25">
      <c r="A15745" t="s">
        <v>26509</v>
      </c>
      <c r="B15745" t="s">
        <v>26510</v>
      </c>
      <c r="C15745" s="1" t="str">
        <f>HYPERLINK("http://www.genecards.org/cgi-bin/carddisp.pl?gene=FOXF2","GeneCards")</f>
        <v>GeneCards</v>
      </c>
      <c r="D15745" s="1" t="str">
        <f>HYPERLINK("http://genome-euro.ucsc.edu/cgi-bin/hgTracks?position=206377_at","UCSC")</f>
        <v>UCSC</v>
      </c>
      <c r="E15745" s="1" t="str">
        <f>HYPERLINK("http://www.ncbi.nlm.nih.gov/gene/?term=FOXF2","NCBI")</f>
        <v>NCBI</v>
      </c>
      <c r="F15745">
        <v>0.74</v>
      </c>
      <c r="G15745">
        <v>0.8</v>
      </c>
      <c r="H15745" s="1" t="str">
        <f>HYPERLINK("http://www.weizmann.ac.il/complex/compphys/software/geview/data/figures/206377_at.png","Figure")</f>
        <v>Figure</v>
      </c>
      <c r="I15745">
        <v>1.01</v>
      </c>
      <c r="J15745">
        <v>0.83</v>
      </c>
      <c r="K15745">
        <v>0.999</v>
      </c>
      <c r="L15745">
        <v>0.98</v>
      </c>
      <c r="M15745">
        <v>0.99299999999999999</v>
      </c>
      <c r="N15745">
        <v>0.72</v>
      </c>
    </row>
    <row r="15746" spans="1:14" x14ac:dyDescent="0.25">
      <c r="A15746" t="s">
        <v>26511</v>
      </c>
      <c r="B15746" t="s">
        <v>26512</v>
      </c>
      <c r="C15746" s="1" t="str">
        <f>HYPERLINK("http://www.genecards.org/cgi-bin/carddisp.pl?gene=PPBP","GeneCards")</f>
        <v>GeneCards</v>
      </c>
      <c r="D15746" s="1" t="str">
        <f>HYPERLINK("http://genome-euro.ucsc.edu/cgi-bin/hgTracks?position=214146_s_at","UCSC")</f>
        <v>UCSC</v>
      </c>
      <c r="E15746" s="1" t="str">
        <f>HYPERLINK("http://www.ncbi.nlm.nih.gov/gene/?term=PPBP","NCBI")</f>
        <v>NCBI</v>
      </c>
      <c r="F15746">
        <v>0.74</v>
      </c>
      <c r="G15746">
        <v>0.8</v>
      </c>
      <c r="H15746" s="1" t="str">
        <f>HYPERLINK("http://www.weizmann.ac.il/complex/compphys/software/geview/data/figures/214146_s_at.png","Figure")</f>
        <v>Figure</v>
      </c>
      <c r="I15746">
        <v>1.08</v>
      </c>
      <c r="J15746">
        <v>0.83</v>
      </c>
      <c r="K15746">
        <v>0.98299999999999998</v>
      </c>
      <c r="L15746">
        <v>0.99</v>
      </c>
      <c r="M15746">
        <v>0.90900000000000003</v>
      </c>
      <c r="N15746">
        <v>0.73</v>
      </c>
    </row>
    <row r="15747" spans="1:14" x14ac:dyDescent="0.25">
      <c r="A15747" t="s">
        <v>26513</v>
      </c>
      <c r="B15747" t="s">
        <v>24177</v>
      </c>
      <c r="C15747" s="1" t="str">
        <f>HYPERLINK("http://www.genecards.org/cgi-bin/carddisp.pl?gene=PPIC","GeneCards")</f>
        <v>GeneCards</v>
      </c>
      <c r="D15747" s="1" t="str">
        <f>HYPERLINK("http://genome-euro.ucsc.edu/cgi-bin/hgTracks?position=204518_s_at","UCSC")</f>
        <v>UCSC</v>
      </c>
      <c r="E15747" s="1" t="str">
        <f>HYPERLINK("http://www.ncbi.nlm.nih.gov/gene/?term=PPIC","NCBI")</f>
        <v>NCBI</v>
      </c>
      <c r="F15747">
        <v>0.74</v>
      </c>
      <c r="G15747">
        <v>0.8</v>
      </c>
      <c r="H15747" s="1" t="str">
        <f>HYPERLINK("http://www.weizmann.ac.il/complex/compphys/software/geview/data/figures/204518_s_at.png","Figure")</f>
        <v>Figure</v>
      </c>
      <c r="I15747">
        <v>1</v>
      </c>
      <c r="J15747">
        <v>0.8</v>
      </c>
      <c r="K15747">
        <v>1</v>
      </c>
      <c r="L15747">
        <v>1</v>
      </c>
      <c r="M15747">
        <v>0.997</v>
      </c>
      <c r="N15747">
        <v>0.74</v>
      </c>
    </row>
    <row r="15748" spans="1:14" x14ac:dyDescent="0.25">
      <c r="A15748" t="s">
        <v>26514</v>
      </c>
      <c r="B15748" t="s">
        <v>26515</v>
      </c>
      <c r="C15748" s="1" t="str">
        <f>HYPERLINK("http://www.genecards.org/cgi-bin/carddisp.pl?gene=C9orf3","GeneCards")</f>
        <v>GeneCards</v>
      </c>
      <c r="D15748" s="1" t="str">
        <f>HYPERLINK("http://genome-euro.ucsc.edu/cgi-bin/hgTracks?position=212848_s_at","UCSC")</f>
        <v>UCSC</v>
      </c>
      <c r="E15748" s="1" t="str">
        <f>HYPERLINK("http://www.ncbi.nlm.nih.gov/gene/?term=C9orf3","NCBI")</f>
        <v>NCBI</v>
      </c>
      <c r="F15748">
        <v>0.74</v>
      </c>
      <c r="G15748">
        <v>0.8</v>
      </c>
      <c r="H15748" s="1" t="str">
        <f>HYPERLINK("http://www.weizmann.ac.il/complex/compphys/software/geview/data/figures/212848_s_at.png","Figure")</f>
        <v>Figure</v>
      </c>
      <c r="I15748">
        <v>1</v>
      </c>
      <c r="J15748">
        <v>0.8</v>
      </c>
      <c r="K15748">
        <v>1</v>
      </c>
      <c r="L15748">
        <v>1</v>
      </c>
      <c r="M15748">
        <v>0.997</v>
      </c>
      <c r="N15748">
        <v>0.74</v>
      </c>
    </row>
    <row r="15749" spans="1:14" x14ac:dyDescent="0.25">
      <c r="A15749" t="s">
        <v>26516</v>
      </c>
      <c r="B15749" t="s">
        <v>26517</v>
      </c>
      <c r="C15749" s="1" t="str">
        <f>HYPERLINK("http://www.genecards.org/cgi-bin/carddisp.pl?gene=ERO1L","GeneCards")</f>
        <v>GeneCards</v>
      </c>
      <c r="D15749" s="1" t="str">
        <f>HYPERLINK("http://genome-euro.ucsc.edu/cgi-bin/hgTracks?position=218498_s_at","UCSC")</f>
        <v>UCSC</v>
      </c>
      <c r="E15749" s="1" t="str">
        <f>HYPERLINK("http://www.ncbi.nlm.nih.gov/gene/?term=ERO1L","NCBI")</f>
        <v>NCBI</v>
      </c>
      <c r="F15749">
        <v>0.74</v>
      </c>
      <c r="G15749">
        <v>0.8</v>
      </c>
      <c r="H15749" s="1" t="str">
        <f>HYPERLINK("http://www.weizmann.ac.il/complex/compphys/software/geview/data/figures/218498_s_at.png","Figure")</f>
        <v>Figure</v>
      </c>
      <c r="I15749">
        <v>0.98499999999999999</v>
      </c>
      <c r="J15749">
        <v>0.98</v>
      </c>
      <c r="K15749">
        <v>0.95</v>
      </c>
      <c r="L15749">
        <v>0.73</v>
      </c>
      <c r="M15749">
        <v>0.96499999999999997</v>
      </c>
      <c r="N15749">
        <v>0.88</v>
      </c>
    </row>
    <row r="15750" spans="1:14" x14ac:dyDescent="0.25">
      <c r="A15750" t="s">
        <v>26518</v>
      </c>
      <c r="B15750" t="s">
        <v>26519</v>
      </c>
      <c r="C15750" s="1" t="str">
        <f>HYPERLINK("http://www.genecards.org/cgi-bin/carddisp.pl?gene=TSR2","GeneCards")</f>
        <v>GeneCards</v>
      </c>
      <c r="D15750" s="1" t="str">
        <f>HYPERLINK("http://genome-euro.ucsc.edu/cgi-bin/hgTracks?position=213079_at","UCSC")</f>
        <v>UCSC</v>
      </c>
      <c r="E15750" s="1" t="str">
        <f>HYPERLINK("http://www.ncbi.nlm.nih.gov/gene/?term=TSR2","NCBI")</f>
        <v>NCBI</v>
      </c>
      <c r="F15750">
        <v>0.74</v>
      </c>
      <c r="G15750">
        <v>0.8</v>
      </c>
      <c r="H15750" s="1" t="str">
        <f>HYPERLINK("http://www.weizmann.ac.il/complex/compphys/software/geview/data/figures/213079_at.png","Figure")</f>
        <v>Figure</v>
      </c>
      <c r="I15750">
        <v>1.04</v>
      </c>
      <c r="J15750">
        <v>0.89</v>
      </c>
      <c r="K15750">
        <v>0.97599999999999998</v>
      </c>
      <c r="L15750">
        <v>0.95</v>
      </c>
      <c r="M15750">
        <v>0.93700000000000006</v>
      </c>
      <c r="N15750">
        <v>0.72</v>
      </c>
    </row>
    <row r="15751" spans="1:14" x14ac:dyDescent="0.25">
      <c r="A15751" t="s">
        <v>26520</v>
      </c>
      <c r="B15751" t="s">
        <v>20957</v>
      </c>
      <c r="C15751" s="1" t="str">
        <f>HYPERLINK("http://www.genecards.org/cgi-bin/carddisp.pl?gene=NUCB1","GeneCards")</f>
        <v>GeneCards</v>
      </c>
      <c r="D15751" s="1" t="str">
        <f>HYPERLINK("http://genome-euro.ucsc.edu/cgi-bin/hgTracks?position=200649_at","UCSC")</f>
        <v>UCSC</v>
      </c>
      <c r="E15751" s="1" t="str">
        <f>HYPERLINK("http://www.ncbi.nlm.nih.gov/gene/?term=NUCB1","NCBI")</f>
        <v>NCBI</v>
      </c>
      <c r="F15751">
        <v>0.74</v>
      </c>
      <c r="G15751">
        <v>0.8</v>
      </c>
      <c r="H15751" s="1" t="str">
        <f>HYPERLINK("http://www.weizmann.ac.il/complex/compphys/software/geview/data/figures/200649_at.png","Figure")</f>
        <v>Figure</v>
      </c>
      <c r="I15751">
        <v>1.0900000000000001</v>
      </c>
      <c r="J15751">
        <v>0.77</v>
      </c>
      <c r="K15751">
        <v>1</v>
      </c>
      <c r="L15751">
        <v>1</v>
      </c>
      <c r="M15751">
        <v>0.92200000000000004</v>
      </c>
      <c r="N15751">
        <v>0.76</v>
      </c>
    </row>
    <row r="15752" spans="1:14" x14ac:dyDescent="0.25">
      <c r="A15752" t="s">
        <v>26521</v>
      </c>
      <c r="B15752" t="s">
        <v>26522</v>
      </c>
      <c r="C15752" s="1" t="str">
        <f>HYPERLINK("http://www.genecards.org/cgi-bin/carddisp.pl?gene=REG1P","GeneCards")</f>
        <v>GeneCards</v>
      </c>
      <c r="D15752" s="1" t="str">
        <f>HYPERLINK("http://genome-euro.ucsc.edu/cgi-bin/hgTracks?position=207778_at","UCSC")</f>
        <v>UCSC</v>
      </c>
      <c r="E15752" s="1" t="str">
        <f>HYPERLINK("http://www.ncbi.nlm.nih.gov/gene/?term=REG1P","NCBI")</f>
        <v>NCBI</v>
      </c>
      <c r="F15752">
        <v>0.74</v>
      </c>
      <c r="G15752">
        <v>0.8</v>
      </c>
      <c r="H15752" s="1" t="str">
        <f>HYPERLINK("http://www.weizmann.ac.il/complex/compphys/software/geview/data/figures/207778_at.png","Figure")</f>
        <v>Figure</v>
      </c>
      <c r="I15752">
        <v>0.98</v>
      </c>
      <c r="J15752">
        <v>0.91</v>
      </c>
      <c r="K15752">
        <v>1.02</v>
      </c>
      <c r="L15752">
        <v>0.93</v>
      </c>
      <c r="M15752">
        <v>1.04</v>
      </c>
      <c r="N15752">
        <v>0.72</v>
      </c>
    </row>
    <row r="15753" spans="1:14" x14ac:dyDescent="0.25">
      <c r="A15753" t="s">
        <v>26523</v>
      </c>
      <c r="B15753" t="s">
        <v>26524</v>
      </c>
      <c r="C15753" s="1" t="str">
        <f>HYPERLINK("http://www.genecards.org/cgi-bin/carddisp.pl?gene=KIF17","GeneCards")</f>
        <v>GeneCards</v>
      </c>
      <c r="D15753" s="1" t="str">
        <f>HYPERLINK("http://genome-euro.ucsc.edu/cgi-bin/hgTracks?position=222144_at","UCSC")</f>
        <v>UCSC</v>
      </c>
      <c r="E15753" s="1" t="str">
        <f>HYPERLINK("http://www.ncbi.nlm.nih.gov/gene/?term=KIF17","NCBI")</f>
        <v>NCBI</v>
      </c>
      <c r="F15753">
        <v>0.74</v>
      </c>
      <c r="G15753">
        <v>0.8</v>
      </c>
      <c r="H15753" s="1" t="str">
        <f>HYPERLINK("http://www.weizmann.ac.il/complex/compphys/software/geview/data/figures/222144_at.png","Figure")</f>
        <v>Figure</v>
      </c>
      <c r="I15753">
        <v>1.04</v>
      </c>
      <c r="J15753">
        <v>0.88</v>
      </c>
      <c r="K15753">
        <v>1.06</v>
      </c>
      <c r="L15753">
        <v>0.72</v>
      </c>
      <c r="M15753">
        <v>1.02</v>
      </c>
      <c r="N15753">
        <v>0.97</v>
      </c>
    </row>
    <row r="15754" spans="1:14" x14ac:dyDescent="0.25">
      <c r="A15754" t="s">
        <v>26525</v>
      </c>
      <c r="B15754" t="s">
        <v>21373</v>
      </c>
      <c r="C15754" s="1" t="str">
        <f>HYPERLINK("http://www.genecards.org/cgi-bin/carddisp.pl?gene=RXRB","GeneCards")</f>
        <v>GeneCards</v>
      </c>
      <c r="D15754" s="1" t="str">
        <f>HYPERLINK("http://genome-euro.ucsc.edu/cgi-bin/hgTracks?position=215098_at","UCSC")</f>
        <v>UCSC</v>
      </c>
      <c r="E15754" s="1" t="str">
        <f>HYPERLINK("http://www.ncbi.nlm.nih.gov/gene/?term=RXRB","NCBI")</f>
        <v>NCBI</v>
      </c>
      <c r="F15754">
        <v>0.74</v>
      </c>
      <c r="G15754">
        <v>0.8</v>
      </c>
      <c r="H15754" s="1" t="str">
        <f>HYPERLINK("http://www.weizmann.ac.il/complex/compphys/software/geview/data/figures/215098_at.png","Figure")</f>
        <v>Figure</v>
      </c>
      <c r="I15754">
        <v>1.03</v>
      </c>
      <c r="J15754">
        <v>0.88</v>
      </c>
      <c r="K15754">
        <v>0.98499999999999999</v>
      </c>
      <c r="L15754">
        <v>0.96</v>
      </c>
      <c r="M15754">
        <v>0.95599999999999996</v>
      </c>
      <c r="N15754">
        <v>0.72</v>
      </c>
    </row>
    <row r="15755" spans="1:14" x14ac:dyDescent="0.25">
      <c r="A15755" t="s">
        <v>26526</v>
      </c>
      <c r="B15755" t="s">
        <v>26527</v>
      </c>
      <c r="C15755" s="1" t="str">
        <f>HYPERLINK("http://www.genecards.org/cgi-bin/carddisp.pl?gene=COPB2","GeneCards")</f>
        <v>GeneCards</v>
      </c>
      <c r="D15755" s="1" t="str">
        <f>HYPERLINK("http://genome-euro.ucsc.edu/cgi-bin/hgTracks?position=201098_at","UCSC")</f>
        <v>UCSC</v>
      </c>
      <c r="E15755" s="1" t="str">
        <f>HYPERLINK("http://www.ncbi.nlm.nih.gov/gene/?term=COPB2","NCBI")</f>
        <v>NCBI</v>
      </c>
      <c r="F15755">
        <v>0.74</v>
      </c>
      <c r="G15755">
        <v>0.8</v>
      </c>
      <c r="H15755" s="1" t="str">
        <f>HYPERLINK("http://www.weizmann.ac.il/complex/compphys/software/geview/data/figures/201098_at.png","Figure")</f>
        <v>Figure</v>
      </c>
      <c r="I15755">
        <v>1.04</v>
      </c>
      <c r="J15755">
        <v>0.96</v>
      </c>
      <c r="K15755">
        <v>1.1100000000000001</v>
      </c>
      <c r="L15755">
        <v>0.72</v>
      </c>
      <c r="M15755">
        <v>1.06</v>
      </c>
      <c r="N15755">
        <v>0.91</v>
      </c>
    </row>
    <row r="15756" spans="1:14" x14ac:dyDescent="0.25">
      <c r="A15756" t="s">
        <v>26528</v>
      </c>
      <c r="B15756" t="s">
        <v>4735</v>
      </c>
      <c r="C15756" s="1" t="str">
        <f>HYPERLINK("http://www.genecards.org/cgi-bin/carddisp.pl?gene=KIAA1033","GeneCards")</f>
        <v>GeneCards</v>
      </c>
      <c r="D15756" s="1" t="str">
        <f>HYPERLINK("http://genome-euro.ucsc.edu/cgi-bin/hgTracks?position=212794_s_at","UCSC")</f>
        <v>UCSC</v>
      </c>
      <c r="E15756" s="1" t="str">
        <f>HYPERLINK("http://www.ncbi.nlm.nih.gov/gene/?term=KIAA1033","NCBI")</f>
        <v>NCBI</v>
      </c>
      <c r="F15756">
        <v>0.74</v>
      </c>
      <c r="G15756">
        <v>0.8</v>
      </c>
      <c r="H15756" s="1" t="str">
        <f>HYPERLINK("http://www.weizmann.ac.il/complex/compphys/software/geview/data/figures/212794_s_at.png","Figure")</f>
        <v>Figure</v>
      </c>
      <c r="I15756">
        <v>1.1499999999999999</v>
      </c>
      <c r="J15756">
        <v>0.84</v>
      </c>
      <c r="K15756">
        <v>0.96</v>
      </c>
      <c r="L15756">
        <v>0.98</v>
      </c>
      <c r="M15756">
        <v>0.83499999999999996</v>
      </c>
      <c r="N15756">
        <v>0.72</v>
      </c>
    </row>
    <row r="15757" spans="1:14" x14ac:dyDescent="0.25">
      <c r="A15757" t="s">
        <v>26529</v>
      </c>
      <c r="B15757" t="s">
        <v>26530</v>
      </c>
      <c r="C15757" s="1" t="str">
        <f>HYPERLINK("http://www.genecards.org/cgi-bin/carddisp.pl?gene=HTR1B","GeneCards")</f>
        <v>GeneCards</v>
      </c>
      <c r="D15757" s="1" t="str">
        <f>HYPERLINK("http://genome-euro.ucsc.edu/cgi-bin/hgTracks?position=210799_at","UCSC")</f>
        <v>UCSC</v>
      </c>
      <c r="E15757" s="1" t="str">
        <f>HYPERLINK("http://www.ncbi.nlm.nih.gov/gene/?term=HTR1B","NCBI")</f>
        <v>NCBI</v>
      </c>
      <c r="F15757">
        <v>0.74</v>
      </c>
      <c r="G15757">
        <v>0.8</v>
      </c>
      <c r="H15757" s="1" t="str">
        <f>HYPERLINK("http://www.weizmann.ac.il/complex/compphys/software/geview/data/figures/210799_at.png","Figure")</f>
        <v>Figure</v>
      </c>
      <c r="I15757">
        <v>1.01</v>
      </c>
      <c r="J15757">
        <v>0.99</v>
      </c>
      <c r="K15757">
        <v>0.95499999999999996</v>
      </c>
      <c r="L15757">
        <v>0.82</v>
      </c>
      <c r="M15757">
        <v>0.94299999999999995</v>
      </c>
      <c r="N15757">
        <v>0.77</v>
      </c>
    </row>
    <row r="15758" spans="1:14" x14ac:dyDescent="0.25">
      <c r="A15758" t="s">
        <v>26531</v>
      </c>
      <c r="B15758" t="s">
        <v>26532</v>
      </c>
      <c r="C15758" s="1" t="str">
        <f>HYPERLINK("http://www.genecards.org/cgi-bin/carddisp.pl?gene=CTNNB1","GeneCards")</f>
        <v>GeneCards</v>
      </c>
      <c r="D15758" s="1" t="str">
        <f>HYPERLINK("http://genome-euro.ucsc.edu/cgi-bin/hgTracks?position=201533_at","UCSC")</f>
        <v>UCSC</v>
      </c>
      <c r="E15758" s="1" t="str">
        <f>HYPERLINK("http://www.ncbi.nlm.nih.gov/gene/?term=CTNNB1","NCBI")</f>
        <v>NCBI</v>
      </c>
      <c r="F15758">
        <v>0.74</v>
      </c>
      <c r="G15758">
        <v>0.8</v>
      </c>
      <c r="H15758" s="1" t="str">
        <f>HYPERLINK("http://www.weizmann.ac.il/complex/compphys/software/geview/data/figures/201533_at.png","Figure")</f>
        <v>Figure</v>
      </c>
      <c r="I15758">
        <v>1.0900000000000001</v>
      </c>
      <c r="J15758">
        <v>0.85</v>
      </c>
      <c r="K15758">
        <v>0.97399999999999998</v>
      </c>
      <c r="L15758">
        <v>0.98</v>
      </c>
      <c r="M15758">
        <v>0.89800000000000002</v>
      </c>
      <c r="N15758">
        <v>0.72</v>
      </c>
    </row>
    <row r="15759" spans="1:14" x14ac:dyDescent="0.25">
      <c r="A15759" t="s">
        <v>26533</v>
      </c>
      <c r="B15759" t="s">
        <v>14716</v>
      </c>
      <c r="C15759" s="1" t="str">
        <f>HYPERLINK("http://www.genecards.org/cgi-bin/carddisp.pl?gene=SGSM2","GeneCards")</f>
        <v>GeneCards</v>
      </c>
      <c r="D15759" s="1" t="str">
        <f>HYPERLINK("http://genome-euro.ucsc.edu/cgi-bin/hgTracks?position=212319_at","UCSC")</f>
        <v>UCSC</v>
      </c>
      <c r="E15759" s="1" t="str">
        <f>HYPERLINK("http://www.ncbi.nlm.nih.gov/gene/?term=SGSM2","NCBI")</f>
        <v>NCBI</v>
      </c>
      <c r="F15759">
        <v>0.74</v>
      </c>
      <c r="G15759">
        <v>0.8</v>
      </c>
      <c r="H15759" s="1" t="str">
        <f>HYPERLINK("http://www.weizmann.ac.il/complex/compphys/software/geview/data/figures/212319_at.png","Figure")</f>
        <v>Figure</v>
      </c>
      <c r="I15759">
        <v>1.07</v>
      </c>
      <c r="J15759">
        <v>0.94</v>
      </c>
      <c r="K15759">
        <v>1.1399999999999999</v>
      </c>
      <c r="L15759">
        <v>0.72</v>
      </c>
      <c r="M15759">
        <v>1.07</v>
      </c>
      <c r="N15759">
        <v>0.93</v>
      </c>
    </row>
    <row r="15760" spans="1:14" x14ac:dyDescent="0.25">
      <c r="A15760" t="s">
        <v>26534</v>
      </c>
      <c r="B15760" t="s">
        <v>20417</v>
      </c>
      <c r="C15760" s="1" t="str">
        <f>HYPERLINK("http://www.genecards.org/cgi-bin/carddisp.pl?gene=PCNX","GeneCards")</f>
        <v>GeneCards</v>
      </c>
      <c r="D15760" s="1" t="str">
        <f>HYPERLINK("http://genome-euro.ucsc.edu/cgi-bin/hgTracks?position=213159_at","UCSC")</f>
        <v>UCSC</v>
      </c>
      <c r="E15760" s="1" t="str">
        <f>HYPERLINK("http://www.ncbi.nlm.nih.gov/gene/?term=PCNX","NCBI")</f>
        <v>NCBI</v>
      </c>
      <c r="F15760">
        <v>0.74</v>
      </c>
      <c r="G15760">
        <v>0.8</v>
      </c>
      <c r="H15760" s="1" t="str">
        <f>HYPERLINK("http://www.weizmann.ac.il/complex/compphys/software/geview/data/figures/213159_at.png","Figure")</f>
        <v>Figure</v>
      </c>
      <c r="I15760">
        <v>1.07</v>
      </c>
      <c r="J15760">
        <v>0.72</v>
      </c>
      <c r="K15760">
        <v>1.04</v>
      </c>
      <c r="L15760">
        <v>0.88</v>
      </c>
      <c r="M15760">
        <v>0.97099999999999997</v>
      </c>
      <c r="N15760">
        <v>0.93</v>
      </c>
    </row>
    <row r="15761" spans="1:14" x14ac:dyDescent="0.25">
      <c r="A15761" t="s">
        <v>26535</v>
      </c>
      <c r="B15761" t="s">
        <v>26536</v>
      </c>
      <c r="C15761" s="1" t="str">
        <f>HYPERLINK("http://www.genecards.org/cgi-bin/carddisp.pl?gene=GSTM1","GeneCards")</f>
        <v>GeneCards</v>
      </c>
      <c r="D15761" s="1" t="str">
        <f>HYPERLINK("http://genome-euro.ucsc.edu/cgi-bin/hgTracks?position=215333_x_at","UCSC")</f>
        <v>UCSC</v>
      </c>
      <c r="E15761" s="1" t="str">
        <f>HYPERLINK("http://www.ncbi.nlm.nih.gov/gene/?term=GSTM1","NCBI")</f>
        <v>NCBI</v>
      </c>
      <c r="F15761">
        <v>0.74</v>
      </c>
      <c r="G15761">
        <v>0.8</v>
      </c>
      <c r="H15761" s="1" t="str">
        <f>HYPERLINK("http://www.weizmann.ac.il/complex/compphys/software/geview/data/figures/215333_x_at.png","Figure")</f>
        <v>Figure</v>
      </c>
      <c r="I15761">
        <v>1</v>
      </c>
      <c r="J15761">
        <v>1</v>
      </c>
      <c r="K15761">
        <v>1.1000000000000001</v>
      </c>
      <c r="L15761">
        <v>0.78</v>
      </c>
      <c r="M15761">
        <v>1.1000000000000001</v>
      </c>
      <c r="N15761">
        <v>0.81</v>
      </c>
    </row>
    <row r="15762" spans="1:14" x14ac:dyDescent="0.25">
      <c r="A15762" t="s">
        <v>26537</v>
      </c>
      <c r="B15762" t="s">
        <v>26538</v>
      </c>
      <c r="C15762" s="1" t="str">
        <f>HYPERLINK("http://www.genecards.org/cgi-bin/carddisp.pl?gene=SLAMF7","GeneCards")</f>
        <v>GeneCards</v>
      </c>
      <c r="D15762" s="1" t="str">
        <f>HYPERLINK("http://genome-euro.ucsc.edu/cgi-bin/hgTracks?position=219159_s_at","UCSC")</f>
        <v>UCSC</v>
      </c>
      <c r="E15762" s="1" t="str">
        <f>HYPERLINK("http://www.ncbi.nlm.nih.gov/gene/?term=SLAMF7","NCBI")</f>
        <v>NCBI</v>
      </c>
      <c r="F15762">
        <v>0.74</v>
      </c>
      <c r="G15762">
        <v>0.8</v>
      </c>
      <c r="H15762" s="1" t="str">
        <f>HYPERLINK("http://www.weizmann.ac.il/complex/compphys/software/geview/data/figures/219159_s_at.png","Figure")</f>
        <v>Figure</v>
      </c>
      <c r="I15762">
        <v>0.99299999999999999</v>
      </c>
      <c r="J15762">
        <v>1</v>
      </c>
      <c r="K15762">
        <v>1.04</v>
      </c>
      <c r="L15762">
        <v>0.81</v>
      </c>
      <c r="M15762">
        <v>1.05</v>
      </c>
      <c r="N15762">
        <v>0.78</v>
      </c>
    </row>
    <row r="15763" spans="1:14" x14ac:dyDescent="0.25">
      <c r="A15763" t="s">
        <v>26539</v>
      </c>
      <c r="B15763" t="s">
        <v>26540</v>
      </c>
      <c r="C15763" s="1" t="str">
        <f>HYPERLINK("http://www.genecards.org/cgi-bin/carddisp.pl?gene=NIF3L1","GeneCards")</f>
        <v>GeneCards</v>
      </c>
      <c r="D15763" s="1" t="str">
        <f>HYPERLINK("http://genome-euro.ucsc.edu/cgi-bin/hgTracks?position=218133_s_at","UCSC")</f>
        <v>UCSC</v>
      </c>
      <c r="E15763" s="1" t="str">
        <f>HYPERLINK("http://www.ncbi.nlm.nih.gov/gene/?term=NIF3L1","NCBI")</f>
        <v>NCBI</v>
      </c>
      <c r="F15763">
        <v>0.74</v>
      </c>
      <c r="G15763">
        <v>0.8</v>
      </c>
      <c r="H15763" s="1" t="str">
        <f>HYPERLINK("http://www.weizmann.ac.il/complex/compphys/software/geview/data/figures/218133_s_at.png","Figure")</f>
        <v>Figure</v>
      </c>
      <c r="I15763">
        <v>1</v>
      </c>
      <c r="J15763">
        <v>1</v>
      </c>
      <c r="K15763">
        <v>1.1200000000000001</v>
      </c>
      <c r="L15763">
        <v>0.78</v>
      </c>
      <c r="M15763">
        <v>1.1100000000000001</v>
      </c>
      <c r="N15763">
        <v>0.81</v>
      </c>
    </row>
    <row r="15764" spans="1:14" x14ac:dyDescent="0.25">
      <c r="A15764" t="s">
        <v>26541</v>
      </c>
      <c r="B15764" t="s">
        <v>18276</v>
      </c>
      <c r="C15764" s="1" t="str">
        <f>HYPERLINK("http://www.genecards.org/cgi-bin/carddisp.pl?gene=DVL2","GeneCards")</f>
        <v>GeneCards</v>
      </c>
      <c r="D15764" s="1" t="str">
        <f>HYPERLINK("http://genome-euro.ucsc.edu/cgi-bin/hgTracks?position=57532_at","UCSC")</f>
        <v>UCSC</v>
      </c>
      <c r="E15764" s="1" t="str">
        <f>HYPERLINK("http://www.ncbi.nlm.nih.gov/gene/?term=DVL2","NCBI")</f>
        <v>NCBI</v>
      </c>
      <c r="F15764">
        <v>0.74</v>
      </c>
      <c r="G15764">
        <v>0.8</v>
      </c>
      <c r="H15764" s="1" t="str">
        <f>HYPERLINK("http://www.weizmann.ac.il/complex/compphys/software/geview/data/figures/57532_at.png","Figure")</f>
        <v>Figure</v>
      </c>
      <c r="I15764">
        <v>0.94</v>
      </c>
      <c r="J15764">
        <v>0.87</v>
      </c>
      <c r="K15764">
        <v>1.03</v>
      </c>
      <c r="L15764">
        <v>0.96</v>
      </c>
      <c r="M15764">
        <v>1.0900000000000001</v>
      </c>
      <c r="N15764">
        <v>0.72</v>
      </c>
    </row>
    <row r="15765" spans="1:14" x14ac:dyDescent="0.25">
      <c r="A15765" t="s">
        <v>26542</v>
      </c>
      <c r="B15765" t="s">
        <v>12601</v>
      </c>
      <c r="C15765" s="1" t="str">
        <f>HYPERLINK("http://www.genecards.org/cgi-bin/carddisp.pl?gene=SERP1","GeneCards")</f>
        <v>GeneCards</v>
      </c>
      <c r="D15765" s="1" t="str">
        <f>HYPERLINK("http://genome-euro.ucsc.edu/cgi-bin/hgTracks?position=200970_s_at","UCSC")</f>
        <v>UCSC</v>
      </c>
      <c r="E15765" s="1" t="str">
        <f>HYPERLINK("http://www.ncbi.nlm.nih.gov/gene/?term=SERP1","NCBI")</f>
        <v>NCBI</v>
      </c>
      <c r="F15765">
        <v>0.74</v>
      </c>
      <c r="G15765">
        <v>0.8</v>
      </c>
      <c r="H15765" s="1" t="str">
        <f>HYPERLINK("http://www.weizmann.ac.il/complex/compphys/software/geview/data/figures/200970_s_at.png","Figure")</f>
        <v>Figure</v>
      </c>
      <c r="I15765">
        <v>0.92800000000000005</v>
      </c>
      <c r="J15765">
        <v>0.9</v>
      </c>
      <c r="K15765">
        <v>1.05</v>
      </c>
      <c r="L15765">
        <v>0.94</v>
      </c>
      <c r="M15765">
        <v>1.1299999999999999</v>
      </c>
      <c r="N15765">
        <v>0.72</v>
      </c>
    </row>
    <row r="15766" spans="1:14" x14ac:dyDescent="0.25">
      <c r="A15766" t="s">
        <v>26543</v>
      </c>
      <c r="B15766" t="s">
        <v>12988</v>
      </c>
      <c r="C15766" s="1" t="str">
        <f>HYPERLINK("http://www.genecards.org/cgi-bin/carddisp.pl?gene=SFN","GeneCards")</f>
        <v>GeneCards</v>
      </c>
      <c r="D15766" s="1" t="str">
        <f>HYPERLINK("http://genome-euro.ucsc.edu/cgi-bin/hgTracks?position=33322_i_at","UCSC")</f>
        <v>UCSC</v>
      </c>
      <c r="E15766" s="1" t="str">
        <f>HYPERLINK("http://www.ncbi.nlm.nih.gov/gene/?term=SFN","NCBI")</f>
        <v>NCBI</v>
      </c>
      <c r="F15766">
        <v>0.74</v>
      </c>
      <c r="G15766">
        <v>0.8</v>
      </c>
      <c r="H15766" s="1" t="str">
        <f>HYPERLINK("http://www.weizmann.ac.il/complex/compphys/software/geview/data/figures/33322_i_at.png","Figure")</f>
        <v>Figure</v>
      </c>
      <c r="I15766">
        <v>1.05</v>
      </c>
      <c r="J15766">
        <v>0.9</v>
      </c>
      <c r="K15766">
        <v>0.96399999999999997</v>
      </c>
      <c r="L15766">
        <v>0.94</v>
      </c>
      <c r="M15766">
        <v>0.91500000000000004</v>
      </c>
      <c r="N15766">
        <v>0.72</v>
      </c>
    </row>
    <row r="15767" spans="1:14" x14ac:dyDescent="0.25">
      <c r="A15767" t="s">
        <v>26544</v>
      </c>
      <c r="B15767" t="s">
        <v>23432</v>
      </c>
      <c r="C15767" s="1" t="str">
        <f>HYPERLINK("http://www.genecards.org/cgi-bin/carddisp.pl?gene=DNAJA1","GeneCards")</f>
        <v>GeneCards</v>
      </c>
      <c r="D15767" s="1" t="str">
        <f>HYPERLINK("http://genome-euro.ucsc.edu/cgi-bin/hgTracks?position=200881_s_at","UCSC")</f>
        <v>UCSC</v>
      </c>
      <c r="E15767" s="1" t="str">
        <f>HYPERLINK("http://www.ncbi.nlm.nih.gov/gene/?term=DNAJA1","NCBI")</f>
        <v>NCBI</v>
      </c>
      <c r="F15767">
        <v>0.74</v>
      </c>
      <c r="G15767">
        <v>0.8</v>
      </c>
      <c r="H15767" s="1" t="str">
        <f>HYPERLINK("http://www.weizmann.ac.il/complex/compphys/software/geview/data/figures/200881_s_at.png","Figure")</f>
        <v>Figure</v>
      </c>
      <c r="I15767">
        <v>1</v>
      </c>
      <c r="J15767">
        <v>1</v>
      </c>
      <c r="K15767">
        <v>0.84599999999999997</v>
      </c>
      <c r="L15767">
        <v>0.79</v>
      </c>
      <c r="M15767">
        <v>0.84299999999999997</v>
      </c>
      <c r="N15767">
        <v>0.8</v>
      </c>
    </row>
    <row r="15768" spans="1:14" x14ac:dyDescent="0.25">
      <c r="A15768" t="s">
        <v>26545</v>
      </c>
      <c r="B15768" t="s">
        <v>20593</v>
      </c>
      <c r="C15768" s="1" t="str">
        <f>HYPERLINK("http://www.genecards.org/cgi-bin/carddisp.pl?gene=N4BP2L2","GeneCards")</f>
        <v>GeneCards</v>
      </c>
      <c r="D15768" s="1" t="str">
        <f>HYPERLINK("http://genome-euro.ucsc.edu/cgi-bin/hgTracks?position=214748_at","UCSC")</f>
        <v>UCSC</v>
      </c>
      <c r="E15768" s="1" t="str">
        <f>HYPERLINK("http://www.ncbi.nlm.nih.gov/gene/?term=N4BP2L2","NCBI")</f>
        <v>NCBI</v>
      </c>
      <c r="F15768">
        <v>0.74</v>
      </c>
      <c r="G15768">
        <v>0.8</v>
      </c>
      <c r="H15768" s="1" t="str">
        <f>HYPERLINK("http://www.weizmann.ac.il/complex/compphys/software/geview/data/figures/214748_at.png","Figure")</f>
        <v>Figure</v>
      </c>
      <c r="I15768">
        <v>0.97899999999999998</v>
      </c>
      <c r="J15768">
        <v>0.99</v>
      </c>
      <c r="K15768">
        <v>1.07</v>
      </c>
      <c r="L15768">
        <v>0.83</v>
      </c>
      <c r="M15768">
        <v>1.0900000000000001</v>
      </c>
      <c r="N15768">
        <v>0.76</v>
      </c>
    </row>
    <row r="15769" spans="1:14" x14ac:dyDescent="0.25">
      <c r="A15769" t="s">
        <v>26546</v>
      </c>
      <c r="B15769" t="s">
        <v>12145</v>
      </c>
      <c r="C15769" s="1" t="str">
        <f>HYPERLINK("http://www.genecards.org/cgi-bin/carddisp.pl?gene=SLC48A1","GeneCards")</f>
        <v>GeneCards</v>
      </c>
      <c r="D15769" s="1" t="str">
        <f>HYPERLINK("http://genome-euro.ucsc.edu/cgi-bin/hgTracks?position=218416_s_at","UCSC")</f>
        <v>UCSC</v>
      </c>
      <c r="E15769" s="1" t="str">
        <f>HYPERLINK("http://www.ncbi.nlm.nih.gov/gene/?term=SLC48A1","NCBI")</f>
        <v>NCBI</v>
      </c>
      <c r="F15769">
        <v>0.74</v>
      </c>
      <c r="G15769">
        <v>0.8</v>
      </c>
      <c r="H15769" s="1" t="str">
        <f>HYPERLINK("http://www.weizmann.ac.il/complex/compphys/software/geview/data/figures/218416_s_at.png","Figure")</f>
        <v>Figure</v>
      </c>
      <c r="I15769">
        <v>0.99</v>
      </c>
      <c r="J15769">
        <v>0.73</v>
      </c>
      <c r="K15769">
        <v>0.997</v>
      </c>
      <c r="L15769">
        <v>0.97</v>
      </c>
      <c r="M15769">
        <v>1.01</v>
      </c>
      <c r="N15769">
        <v>0.83</v>
      </c>
    </row>
    <row r="15770" spans="1:14" x14ac:dyDescent="0.25">
      <c r="A15770" t="s">
        <v>26547</v>
      </c>
      <c r="B15770" t="s">
        <v>26548</v>
      </c>
      <c r="C15770" s="1" t="str">
        <f>HYPERLINK("http://www.genecards.org/cgi-bin/carddisp.pl?gene=VPS28","GeneCards")</f>
        <v>GeneCards</v>
      </c>
      <c r="D15770" s="1" t="str">
        <f>HYPERLINK("http://genome-euro.ucsc.edu/cgi-bin/hgTracks?position=218679_s_at","UCSC")</f>
        <v>UCSC</v>
      </c>
      <c r="E15770" s="1" t="str">
        <f>HYPERLINK("http://www.ncbi.nlm.nih.gov/gene/?term=VPS28","NCBI")</f>
        <v>NCBI</v>
      </c>
      <c r="F15770">
        <v>0.74</v>
      </c>
      <c r="G15770">
        <v>0.8</v>
      </c>
      <c r="H15770" s="1" t="str">
        <f>HYPERLINK("http://www.weizmann.ac.il/complex/compphys/software/geview/data/figures/218679_s_at.png","Figure")</f>
        <v>Figure</v>
      </c>
      <c r="I15770">
        <v>0.91900000000000004</v>
      </c>
      <c r="J15770">
        <v>0.9</v>
      </c>
      <c r="K15770">
        <v>0.879</v>
      </c>
      <c r="L15770">
        <v>0.72</v>
      </c>
      <c r="M15770">
        <v>0.95699999999999996</v>
      </c>
      <c r="N15770">
        <v>0.97</v>
      </c>
    </row>
    <row r="15771" spans="1:14" x14ac:dyDescent="0.25">
      <c r="A15771" t="s">
        <v>26549</v>
      </c>
      <c r="B15771" t="s">
        <v>11059</v>
      </c>
      <c r="C15771" s="1" t="str">
        <f>HYPERLINK("http://www.genecards.org/cgi-bin/carddisp.pl?gene=MINK1","GeneCards")</f>
        <v>GeneCards</v>
      </c>
      <c r="D15771" s="1" t="str">
        <f>HYPERLINK("http://genome-euro.ucsc.edu/cgi-bin/hgTracks?position=214246_x_at","UCSC")</f>
        <v>UCSC</v>
      </c>
      <c r="E15771" s="1" t="str">
        <f>HYPERLINK("http://www.ncbi.nlm.nih.gov/gene/?term=MINK1","NCBI")</f>
        <v>NCBI</v>
      </c>
      <c r="F15771">
        <v>0.74</v>
      </c>
      <c r="G15771">
        <v>0.8</v>
      </c>
      <c r="H15771" s="1" t="str">
        <f>HYPERLINK("http://www.weizmann.ac.il/complex/compphys/software/geview/data/figures/214246_x_at.png","Figure")</f>
        <v>Figure</v>
      </c>
      <c r="I15771">
        <v>0.95099999999999996</v>
      </c>
      <c r="J15771">
        <v>0.97</v>
      </c>
      <c r="K15771">
        <v>0.872</v>
      </c>
      <c r="L15771">
        <v>0.73</v>
      </c>
      <c r="M15771">
        <v>0.91700000000000004</v>
      </c>
      <c r="N15771">
        <v>0.89</v>
      </c>
    </row>
    <row r="15772" spans="1:14" x14ac:dyDescent="0.25">
      <c r="A15772" t="s">
        <v>26550</v>
      </c>
      <c r="B15772" t="s">
        <v>26358</v>
      </c>
      <c r="C15772" s="1" t="str">
        <f>HYPERLINK("http://www.genecards.org/cgi-bin/carddisp.pl?gene=PION","GeneCards")</f>
        <v>GeneCards</v>
      </c>
      <c r="D15772" s="1" t="str">
        <f>HYPERLINK("http://genome-euro.ucsc.edu/cgi-bin/hgTracks?position=213142_x_at","UCSC")</f>
        <v>UCSC</v>
      </c>
      <c r="E15772" s="1" t="str">
        <f>HYPERLINK("http://www.ncbi.nlm.nih.gov/gene/?term=PION","NCBI")</f>
        <v>NCBI</v>
      </c>
      <c r="F15772">
        <v>0.74</v>
      </c>
      <c r="G15772">
        <v>0.8</v>
      </c>
      <c r="H15772" s="1" t="str">
        <f>HYPERLINK("http://www.weizmann.ac.il/complex/compphys/software/geview/data/figures/213142_x_at.png","Figure")</f>
        <v>Figure</v>
      </c>
      <c r="I15772">
        <v>0.98</v>
      </c>
      <c r="J15772">
        <v>1</v>
      </c>
      <c r="K15772">
        <v>0.754</v>
      </c>
      <c r="L15772">
        <v>0.77</v>
      </c>
      <c r="M15772">
        <v>0.76900000000000002</v>
      </c>
      <c r="N15772">
        <v>0.82</v>
      </c>
    </row>
    <row r="15773" spans="1:14" x14ac:dyDescent="0.25">
      <c r="A15773" t="s">
        <v>26551</v>
      </c>
      <c r="B15773" t="s">
        <v>26552</v>
      </c>
      <c r="C15773" s="1" t="str">
        <f>HYPERLINK("http://www.genecards.org/cgi-bin/carddisp.pl?gene=ONECUT2","GeneCards")</f>
        <v>GeneCards</v>
      </c>
      <c r="D15773" s="1" t="str">
        <f>HYPERLINK("http://genome-euro.ucsc.edu/cgi-bin/hgTracks?position=207676_at","UCSC")</f>
        <v>UCSC</v>
      </c>
      <c r="E15773" s="1" t="str">
        <f>HYPERLINK("http://www.ncbi.nlm.nih.gov/gene/?term=ONECUT2","NCBI")</f>
        <v>NCBI</v>
      </c>
      <c r="F15773">
        <v>0.74</v>
      </c>
      <c r="G15773">
        <v>0.8</v>
      </c>
      <c r="H15773" s="1" t="str">
        <f>HYPERLINK("http://www.weizmann.ac.il/complex/compphys/software/geview/data/figures/207676_at.png","Figure")</f>
        <v>Figure</v>
      </c>
      <c r="I15773">
        <v>1.04</v>
      </c>
      <c r="J15773">
        <v>0.78</v>
      </c>
      <c r="K15773">
        <v>1</v>
      </c>
      <c r="L15773">
        <v>1</v>
      </c>
      <c r="M15773">
        <v>0.96599999999999997</v>
      </c>
      <c r="N15773">
        <v>0.77</v>
      </c>
    </row>
    <row r="15774" spans="1:14" x14ac:dyDescent="0.25">
      <c r="A15774" t="s">
        <v>26553</v>
      </c>
      <c r="B15774" t="s">
        <v>26462</v>
      </c>
      <c r="C15774" s="1" t="str">
        <f>HYPERLINK("http://www.genecards.org/cgi-bin/carddisp.pl?gene=ATP8A2","GeneCards")</f>
        <v>GeneCards</v>
      </c>
      <c r="D15774" s="1" t="str">
        <f>HYPERLINK("http://genome-euro.ucsc.edu/cgi-bin/hgTracks?position=219660_s_at","UCSC")</f>
        <v>UCSC</v>
      </c>
      <c r="E15774" s="1" t="str">
        <f>HYPERLINK("http://www.ncbi.nlm.nih.gov/gene/?term=ATP8A2","NCBI")</f>
        <v>NCBI</v>
      </c>
      <c r="F15774">
        <v>0.74</v>
      </c>
      <c r="G15774">
        <v>0.8</v>
      </c>
      <c r="H15774" s="1" t="str">
        <f>HYPERLINK("http://www.weizmann.ac.il/complex/compphys/software/geview/data/figures/219660_s_at.png","Figure")</f>
        <v>Figure</v>
      </c>
      <c r="I15774">
        <v>1.02</v>
      </c>
      <c r="J15774">
        <v>0.91</v>
      </c>
      <c r="K15774">
        <v>0.98699999999999999</v>
      </c>
      <c r="L15774">
        <v>0.94</v>
      </c>
      <c r="M15774">
        <v>0.96899999999999997</v>
      </c>
      <c r="N15774">
        <v>0.72</v>
      </c>
    </row>
    <row r="15775" spans="1:14" x14ac:dyDescent="0.25">
      <c r="A15775" t="s">
        <v>26554</v>
      </c>
      <c r="B15775" t="s">
        <v>23020</v>
      </c>
      <c r="C15775" s="1" t="str">
        <f>HYPERLINK("http://www.genecards.org/cgi-bin/carddisp.pl?gene=DIO2","GeneCards")</f>
        <v>GeneCards</v>
      </c>
      <c r="D15775" s="1" t="str">
        <f>HYPERLINK("http://genome-euro.ucsc.edu/cgi-bin/hgTracks?position=203700_s_at","UCSC")</f>
        <v>UCSC</v>
      </c>
      <c r="E15775" s="1" t="str">
        <f>HYPERLINK("http://www.ncbi.nlm.nih.gov/gene/?term=DIO2","NCBI")</f>
        <v>NCBI</v>
      </c>
      <c r="F15775">
        <v>0.74</v>
      </c>
      <c r="G15775">
        <v>0.8</v>
      </c>
      <c r="H15775" s="1" t="str">
        <f>HYPERLINK("http://www.weizmann.ac.il/complex/compphys/software/geview/data/figures/203700_s_at.png","Figure")</f>
        <v>Figure</v>
      </c>
      <c r="I15775">
        <v>1.02</v>
      </c>
      <c r="J15775">
        <v>0.79</v>
      </c>
      <c r="K15775">
        <v>0.999</v>
      </c>
      <c r="L15775">
        <v>1</v>
      </c>
      <c r="M15775">
        <v>0.97799999999999998</v>
      </c>
      <c r="N15775">
        <v>0.75</v>
      </c>
    </row>
    <row r="15776" spans="1:14" x14ac:dyDescent="0.25">
      <c r="A15776" t="s">
        <v>26555</v>
      </c>
      <c r="B15776" t="s">
        <v>17126</v>
      </c>
      <c r="C15776" s="1" t="str">
        <f>HYPERLINK("http://www.genecards.org/cgi-bin/carddisp.pl?gene=KIR3DL2 /// LOC727787","GeneCards")</f>
        <v>GeneCards</v>
      </c>
      <c r="D15776" s="1" t="str">
        <f>HYPERLINK("http://genome-euro.ucsc.edu/cgi-bin/hgTracks?position=207313_x_at","UCSC")</f>
        <v>UCSC</v>
      </c>
      <c r="E15776" s="1" t="str">
        <f>HYPERLINK("http://www.ncbi.nlm.nih.gov/gene/?term=KIR3DL2 /// LOC727787","NCBI")</f>
        <v>NCBI</v>
      </c>
      <c r="F15776">
        <v>0.74</v>
      </c>
      <c r="G15776">
        <v>0.8</v>
      </c>
      <c r="H15776" s="1" t="str">
        <f>HYPERLINK("http://www.weizmann.ac.il/complex/compphys/software/geview/data/figures/207313_x_at.png","Figure")</f>
        <v>Figure</v>
      </c>
      <c r="I15776">
        <v>1.05</v>
      </c>
      <c r="J15776">
        <v>0.73</v>
      </c>
      <c r="K15776">
        <v>1.01</v>
      </c>
      <c r="L15776">
        <v>0.97</v>
      </c>
      <c r="M15776">
        <v>0.96599999999999997</v>
      </c>
      <c r="N15776">
        <v>0.83</v>
      </c>
    </row>
    <row r="15777" spans="1:14" x14ac:dyDescent="0.25">
      <c r="A15777" t="s">
        <v>26556</v>
      </c>
      <c r="B15777" t="s">
        <v>26557</v>
      </c>
      <c r="C15777" s="1" t="str">
        <f>HYPERLINK("http://www.genecards.org/cgi-bin/carddisp.pl?gene=CCL4","GeneCards")</f>
        <v>GeneCards</v>
      </c>
      <c r="D15777" s="1" t="str">
        <f>HYPERLINK("http://genome-euro.ucsc.edu/cgi-bin/hgTracks?position=204103_at","UCSC")</f>
        <v>UCSC</v>
      </c>
      <c r="E15777" s="1" t="str">
        <f>HYPERLINK("http://www.ncbi.nlm.nih.gov/gene/?term=CCL4","NCBI")</f>
        <v>NCBI</v>
      </c>
      <c r="F15777">
        <v>0.74</v>
      </c>
      <c r="G15777">
        <v>0.8</v>
      </c>
      <c r="H15777" s="1" t="str">
        <f>HYPERLINK("http://www.weizmann.ac.il/complex/compphys/software/geview/data/figures/204103_at.png","Figure")</f>
        <v>Figure</v>
      </c>
      <c r="I15777">
        <v>1.1200000000000001</v>
      </c>
      <c r="J15777">
        <v>0.79</v>
      </c>
      <c r="K15777">
        <v>1.1100000000000001</v>
      </c>
      <c r="L15777">
        <v>0.77</v>
      </c>
      <c r="M15777">
        <v>0.99199999999999999</v>
      </c>
      <c r="N15777">
        <v>1</v>
      </c>
    </row>
    <row r="15778" spans="1:14" x14ac:dyDescent="0.25">
      <c r="A15778" t="s">
        <v>26558</v>
      </c>
      <c r="B15778" t="s">
        <v>21348</v>
      </c>
      <c r="C15778" s="1" t="str">
        <f>HYPERLINK("http://www.genecards.org/cgi-bin/carddisp.pl?gene=ETV5","GeneCards")</f>
        <v>GeneCards</v>
      </c>
      <c r="D15778" s="1" t="str">
        <f>HYPERLINK("http://genome-euro.ucsc.edu/cgi-bin/hgTracks?position=203349_s_at","UCSC")</f>
        <v>UCSC</v>
      </c>
      <c r="E15778" s="1" t="str">
        <f>HYPERLINK("http://www.ncbi.nlm.nih.gov/gene/?term=ETV5","NCBI")</f>
        <v>NCBI</v>
      </c>
      <c r="F15778">
        <v>0.75</v>
      </c>
      <c r="G15778">
        <v>0.8</v>
      </c>
      <c r="H15778" s="1" t="str">
        <f>HYPERLINK("http://www.weizmann.ac.il/complex/compphys/software/geview/data/figures/203349_s_at.png","Figure")</f>
        <v>Figure</v>
      </c>
      <c r="I15778">
        <v>0.86199999999999999</v>
      </c>
      <c r="J15778">
        <v>0.78</v>
      </c>
      <c r="K15778">
        <v>0.878</v>
      </c>
      <c r="L15778">
        <v>0.78</v>
      </c>
      <c r="M15778">
        <v>1.02</v>
      </c>
      <c r="N15778">
        <v>1</v>
      </c>
    </row>
    <row r="15779" spans="1:14" x14ac:dyDescent="0.25">
      <c r="A15779" t="s">
        <v>26559</v>
      </c>
      <c r="B15779" t="s">
        <v>20975</v>
      </c>
      <c r="C15779" s="1" t="str">
        <f>HYPERLINK("http://www.genecards.org/cgi-bin/carddisp.pl?gene=DPH1 /// OVCA2","GeneCards")</f>
        <v>GeneCards</v>
      </c>
      <c r="D15779" s="1" t="str">
        <f>HYPERLINK("http://genome-euro.ucsc.edu/cgi-bin/hgTracks?position=222041_at","UCSC")</f>
        <v>UCSC</v>
      </c>
      <c r="E15779" s="1" t="str">
        <f>HYPERLINK("http://www.ncbi.nlm.nih.gov/gene/?term=DPH1 /// OVCA2","NCBI")</f>
        <v>NCBI</v>
      </c>
      <c r="F15779">
        <v>0.75</v>
      </c>
      <c r="G15779">
        <v>0.8</v>
      </c>
      <c r="H15779" s="1" t="str">
        <f>HYPERLINK("http://www.weizmann.ac.il/complex/compphys/software/geview/data/figures/222041_at.png","Figure")</f>
        <v>Figure</v>
      </c>
      <c r="I15779">
        <v>0.93100000000000005</v>
      </c>
      <c r="J15779">
        <v>0.73</v>
      </c>
      <c r="K15779">
        <v>0.97499999999999998</v>
      </c>
      <c r="L15779">
        <v>0.95</v>
      </c>
      <c r="M15779">
        <v>1.05</v>
      </c>
      <c r="N15779">
        <v>0.86</v>
      </c>
    </row>
    <row r="15780" spans="1:14" x14ac:dyDescent="0.25">
      <c r="A15780" t="s">
        <v>26560</v>
      </c>
      <c r="B15780" t="s">
        <v>12149</v>
      </c>
      <c r="C15780" s="1" t="str">
        <f>HYPERLINK("http://www.genecards.org/cgi-bin/carddisp.pl?gene=TCF4","GeneCards")</f>
        <v>GeneCards</v>
      </c>
      <c r="D15780" s="1" t="str">
        <f>HYPERLINK("http://genome-euro.ucsc.edu/cgi-bin/hgTracks?position=213891_s_at","UCSC")</f>
        <v>UCSC</v>
      </c>
      <c r="E15780" s="1" t="str">
        <f>HYPERLINK("http://www.ncbi.nlm.nih.gov/gene/?term=TCF4","NCBI")</f>
        <v>NCBI</v>
      </c>
      <c r="F15780">
        <v>0.75</v>
      </c>
      <c r="G15780">
        <v>0.8</v>
      </c>
      <c r="H15780" s="1" t="str">
        <f>HYPERLINK("http://www.weizmann.ac.il/complex/compphys/software/geview/data/figures/213891_s_at.png","Figure")</f>
        <v>Figure</v>
      </c>
      <c r="I15780">
        <v>1.02</v>
      </c>
      <c r="J15780">
        <v>1</v>
      </c>
      <c r="K15780">
        <v>1.1399999999999999</v>
      </c>
      <c r="L15780">
        <v>0.76</v>
      </c>
      <c r="M15780">
        <v>1.1200000000000001</v>
      </c>
      <c r="N15780">
        <v>0.84</v>
      </c>
    </row>
    <row r="15781" spans="1:14" x14ac:dyDescent="0.25">
      <c r="A15781" t="s">
        <v>26561</v>
      </c>
      <c r="B15781" t="s">
        <v>8819</v>
      </c>
      <c r="C15781" s="1" t="str">
        <f>HYPERLINK("http://www.genecards.org/cgi-bin/carddisp.pl?gene=C1orf107","GeneCards")</f>
        <v>GeneCards</v>
      </c>
      <c r="D15781" s="1" t="str">
        <f>HYPERLINK("http://genome-euro.ucsc.edu/cgi-bin/hgTracks?position=204700_x_at","UCSC")</f>
        <v>UCSC</v>
      </c>
      <c r="E15781" s="1" t="str">
        <f>HYPERLINK("http://www.ncbi.nlm.nih.gov/gene/?term=C1orf107","NCBI")</f>
        <v>NCBI</v>
      </c>
      <c r="F15781">
        <v>0.75</v>
      </c>
      <c r="G15781">
        <v>0.8</v>
      </c>
      <c r="H15781" s="1" t="str">
        <f>HYPERLINK("http://www.weizmann.ac.il/complex/compphys/software/geview/data/figures/204700_x_at.png","Figure")</f>
        <v>Figure</v>
      </c>
      <c r="I15781">
        <v>1.05</v>
      </c>
      <c r="J15781">
        <v>0.75</v>
      </c>
      <c r="K15781">
        <v>1.04</v>
      </c>
      <c r="L15781">
        <v>0.82</v>
      </c>
      <c r="M15781">
        <v>0.98599999999999999</v>
      </c>
      <c r="N15781">
        <v>0.98</v>
      </c>
    </row>
    <row r="15782" spans="1:14" x14ac:dyDescent="0.25">
      <c r="A15782" t="s">
        <v>26562</v>
      </c>
      <c r="B15782" t="s">
        <v>26563</v>
      </c>
      <c r="C15782" s="1" t="str">
        <f>HYPERLINK("http://www.genecards.org/cgi-bin/carddisp.pl?gene=CELP","GeneCards")</f>
        <v>GeneCards</v>
      </c>
      <c r="D15782" s="1" t="str">
        <f>HYPERLINK("http://genome-euro.ucsc.edu/cgi-bin/hgTracks?position=207412_x_at","UCSC")</f>
        <v>UCSC</v>
      </c>
      <c r="E15782" s="1" t="str">
        <f>HYPERLINK("http://www.ncbi.nlm.nih.gov/gene/?term=CELP","NCBI")</f>
        <v>NCBI</v>
      </c>
      <c r="F15782">
        <v>0.75</v>
      </c>
      <c r="G15782">
        <v>0.8</v>
      </c>
      <c r="H15782" s="1" t="str">
        <f>HYPERLINK("http://www.weizmann.ac.il/complex/compphys/software/geview/data/figures/207412_x_at.png","Figure")</f>
        <v>Figure</v>
      </c>
      <c r="I15782">
        <v>1</v>
      </c>
      <c r="J15782">
        <v>1</v>
      </c>
      <c r="K15782">
        <v>0.96699999999999997</v>
      </c>
      <c r="L15782">
        <v>0.81</v>
      </c>
      <c r="M15782">
        <v>0.96299999999999997</v>
      </c>
      <c r="N15782">
        <v>0.79</v>
      </c>
    </row>
    <row r="15783" spans="1:14" x14ac:dyDescent="0.25">
      <c r="A15783" t="s">
        <v>26564</v>
      </c>
      <c r="B15783" t="s">
        <v>26565</v>
      </c>
      <c r="C15783" s="1" t="str">
        <f>HYPERLINK("http://www.genecards.org/cgi-bin/carddisp.pl?gene=DEFB1","GeneCards")</f>
        <v>GeneCards</v>
      </c>
      <c r="D15783" s="1" t="str">
        <f>HYPERLINK("http://genome-euro.ucsc.edu/cgi-bin/hgTracks?position=210397_at","UCSC")</f>
        <v>UCSC</v>
      </c>
      <c r="E15783" s="1" t="str">
        <f>HYPERLINK("http://www.ncbi.nlm.nih.gov/gene/?term=DEFB1","NCBI")</f>
        <v>NCBI</v>
      </c>
      <c r="F15783">
        <v>0.75</v>
      </c>
      <c r="G15783">
        <v>0.8</v>
      </c>
      <c r="H15783" s="1" t="str">
        <f>HYPERLINK("http://www.weizmann.ac.il/complex/compphys/software/geview/data/figures/210397_at.png","Figure")</f>
        <v>Figure</v>
      </c>
      <c r="I15783">
        <v>1.01</v>
      </c>
      <c r="J15783">
        <v>0.83</v>
      </c>
      <c r="K15783">
        <v>1.01</v>
      </c>
      <c r="L15783">
        <v>0.75</v>
      </c>
      <c r="M15783">
        <v>1</v>
      </c>
      <c r="N15783">
        <v>1</v>
      </c>
    </row>
    <row r="15784" spans="1:14" x14ac:dyDescent="0.25">
      <c r="A15784" t="s">
        <v>26566</v>
      </c>
      <c r="B15784" t="s">
        <v>26567</v>
      </c>
      <c r="C15784" s="1" t="str">
        <f>HYPERLINK("http://www.genecards.org/cgi-bin/carddisp.pl?gene=KCTD7 /// RABGEF1","GeneCards")</f>
        <v>GeneCards</v>
      </c>
      <c r="D15784" s="1" t="str">
        <f>HYPERLINK("http://genome-euro.ucsc.edu/cgi-bin/hgTracks?position=218310_at","UCSC")</f>
        <v>UCSC</v>
      </c>
      <c r="E15784" s="1" t="str">
        <f>HYPERLINK("http://www.ncbi.nlm.nih.gov/gene/?term=KCTD7 /// RABGEF1","NCBI")</f>
        <v>NCBI</v>
      </c>
      <c r="F15784">
        <v>0.75</v>
      </c>
      <c r="G15784">
        <v>0.8</v>
      </c>
      <c r="H15784" s="1" t="str">
        <f>HYPERLINK("http://www.weizmann.ac.il/complex/compphys/software/geview/data/figures/218310_at.png","Figure")</f>
        <v>Figure</v>
      </c>
      <c r="I15784">
        <v>0.89800000000000002</v>
      </c>
      <c r="J15784">
        <v>0.82</v>
      </c>
      <c r="K15784">
        <v>0.89200000000000002</v>
      </c>
      <c r="L15784">
        <v>0.75</v>
      </c>
      <c r="M15784">
        <v>0.99399999999999999</v>
      </c>
      <c r="N15784">
        <v>1</v>
      </c>
    </row>
    <row r="15785" spans="1:14" x14ac:dyDescent="0.25">
      <c r="A15785" t="s">
        <v>26568</v>
      </c>
      <c r="B15785" t="s">
        <v>26569</v>
      </c>
      <c r="C15785" s="1" t="str">
        <f>HYPERLINK("http://www.genecards.org/cgi-bin/carddisp.pl?gene=GMEB1","GeneCards")</f>
        <v>GeneCards</v>
      </c>
      <c r="D15785" s="1" t="str">
        <f>HYPERLINK("http://genome-euro.ucsc.edu/cgi-bin/hgTracks?position=220938_s_at","UCSC")</f>
        <v>UCSC</v>
      </c>
      <c r="E15785" s="1" t="str">
        <f>HYPERLINK("http://www.ncbi.nlm.nih.gov/gene/?term=GMEB1","NCBI")</f>
        <v>NCBI</v>
      </c>
      <c r="F15785">
        <v>0.75</v>
      </c>
      <c r="G15785">
        <v>0.8</v>
      </c>
      <c r="H15785" s="1" t="str">
        <f>HYPERLINK("http://www.weizmann.ac.il/complex/compphys/software/geview/data/figures/220938_s_at.png","Figure")</f>
        <v>Figure</v>
      </c>
      <c r="I15785">
        <v>1.02</v>
      </c>
      <c r="J15785">
        <v>0.99</v>
      </c>
      <c r="K15785">
        <v>0.94499999999999995</v>
      </c>
      <c r="L15785">
        <v>0.83</v>
      </c>
      <c r="M15785">
        <v>0.93</v>
      </c>
      <c r="N15785">
        <v>0.77</v>
      </c>
    </row>
    <row r="15786" spans="1:14" x14ac:dyDescent="0.25">
      <c r="A15786" t="s">
        <v>26570</v>
      </c>
      <c r="B15786" t="s">
        <v>20670</v>
      </c>
      <c r="C15786" s="1" t="str">
        <f>HYPERLINK("http://www.genecards.org/cgi-bin/carddisp.pl?gene=PKP3","GeneCards")</f>
        <v>GeneCards</v>
      </c>
      <c r="D15786" s="1" t="str">
        <f>HYPERLINK("http://genome-euro.ucsc.edu/cgi-bin/hgTracks?position=209872_s_at","UCSC")</f>
        <v>UCSC</v>
      </c>
      <c r="E15786" s="1" t="str">
        <f>HYPERLINK("http://www.ncbi.nlm.nih.gov/gene/?term=PKP3","NCBI")</f>
        <v>NCBI</v>
      </c>
      <c r="F15786">
        <v>0.75</v>
      </c>
      <c r="G15786">
        <v>0.8</v>
      </c>
      <c r="H15786" s="1" t="str">
        <f>HYPERLINK("http://www.weizmann.ac.il/complex/compphys/software/geview/data/figures/209872_s_at.png","Figure")</f>
        <v>Figure</v>
      </c>
      <c r="I15786">
        <v>1.02</v>
      </c>
      <c r="J15786">
        <v>0.77</v>
      </c>
      <c r="K15786">
        <v>1.02</v>
      </c>
      <c r="L15786">
        <v>0.79</v>
      </c>
      <c r="M15786">
        <v>0.997</v>
      </c>
      <c r="N15786">
        <v>0.99</v>
      </c>
    </row>
    <row r="15787" spans="1:14" x14ac:dyDescent="0.25">
      <c r="A15787" t="s">
        <v>26571</v>
      </c>
      <c r="B15787" t="s">
        <v>16348</v>
      </c>
      <c r="C15787" s="1" t="str">
        <f>HYPERLINK("http://www.genecards.org/cgi-bin/carddisp.pl?gene=STAB1","GeneCards")</f>
        <v>GeneCards</v>
      </c>
      <c r="D15787" s="1" t="str">
        <f>HYPERLINK("http://genome-euro.ucsc.edu/cgi-bin/hgTracks?position=38487_at","UCSC")</f>
        <v>UCSC</v>
      </c>
      <c r="E15787" s="1" t="str">
        <f>HYPERLINK("http://www.ncbi.nlm.nih.gov/gene/?term=STAB1","NCBI")</f>
        <v>NCBI</v>
      </c>
      <c r="F15787">
        <v>0.75</v>
      </c>
      <c r="G15787">
        <v>0.8</v>
      </c>
      <c r="H15787" s="1" t="str">
        <f>HYPERLINK("http://www.weizmann.ac.il/complex/compphys/software/geview/data/figures/38487_at.png","Figure")</f>
        <v>Figure</v>
      </c>
      <c r="I15787">
        <v>0.877</v>
      </c>
      <c r="J15787">
        <v>0.77</v>
      </c>
      <c r="K15787">
        <v>0.99199999999999999</v>
      </c>
      <c r="L15787">
        <v>1</v>
      </c>
      <c r="M15787">
        <v>1.1299999999999999</v>
      </c>
      <c r="N15787">
        <v>0.77</v>
      </c>
    </row>
    <row r="15788" spans="1:14" x14ac:dyDescent="0.25">
      <c r="A15788" t="s">
        <v>26572</v>
      </c>
      <c r="B15788" t="s">
        <v>26573</v>
      </c>
      <c r="C15788" s="1" t="str">
        <f>HYPERLINK("http://www.genecards.org/cgi-bin/carddisp.pl?gene=RPS25","GeneCards")</f>
        <v>GeneCards</v>
      </c>
      <c r="D15788" s="1" t="str">
        <f>HYPERLINK("http://genome-euro.ucsc.edu/cgi-bin/hgTracks?position=200091_s_at","UCSC")</f>
        <v>UCSC</v>
      </c>
      <c r="E15788" s="1" t="str">
        <f>HYPERLINK("http://www.ncbi.nlm.nih.gov/gene/?term=RPS25","NCBI")</f>
        <v>NCBI</v>
      </c>
      <c r="F15788">
        <v>0.75</v>
      </c>
      <c r="G15788">
        <v>0.8</v>
      </c>
      <c r="H15788" s="1" t="str">
        <f>HYPERLINK("http://www.weizmann.ac.il/complex/compphys/software/geview/data/figures/200091_s_at.png","Figure")</f>
        <v>Figure</v>
      </c>
      <c r="I15788">
        <v>0.97599999999999998</v>
      </c>
      <c r="J15788">
        <v>0.99</v>
      </c>
      <c r="K15788">
        <v>1.08</v>
      </c>
      <c r="L15788">
        <v>0.84</v>
      </c>
      <c r="M15788">
        <v>1.1100000000000001</v>
      </c>
      <c r="N15788">
        <v>0.77</v>
      </c>
    </row>
    <row r="15789" spans="1:14" x14ac:dyDescent="0.25">
      <c r="A15789" t="s">
        <v>26574</v>
      </c>
      <c r="B15789" t="s">
        <v>11312</v>
      </c>
      <c r="C15789" s="1" t="str">
        <f>HYPERLINK("http://www.genecards.org/cgi-bin/carddisp.pl?gene=ADD3","GeneCards")</f>
        <v>GeneCards</v>
      </c>
      <c r="D15789" s="1" t="str">
        <f>HYPERLINK("http://genome-euro.ucsc.edu/cgi-bin/hgTracks?position=201752_s_at","UCSC")</f>
        <v>UCSC</v>
      </c>
      <c r="E15789" s="1" t="str">
        <f>HYPERLINK("http://www.ncbi.nlm.nih.gov/gene/?term=ADD3","NCBI")</f>
        <v>NCBI</v>
      </c>
      <c r="F15789">
        <v>0.75</v>
      </c>
      <c r="G15789">
        <v>0.8</v>
      </c>
      <c r="H15789" s="1" t="str">
        <f>HYPERLINK("http://www.weizmann.ac.il/complex/compphys/software/geview/data/figures/201752_s_at.png","Figure")</f>
        <v>Figure</v>
      </c>
      <c r="I15789">
        <v>0.92100000000000004</v>
      </c>
      <c r="J15789">
        <v>0.96</v>
      </c>
      <c r="K15789">
        <v>0.81299999999999994</v>
      </c>
      <c r="L15789">
        <v>0.73</v>
      </c>
      <c r="M15789">
        <v>0.88300000000000001</v>
      </c>
      <c r="N15789">
        <v>0.9</v>
      </c>
    </row>
    <row r="15790" spans="1:14" x14ac:dyDescent="0.25">
      <c r="A15790" t="s">
        <v>26575</v>
      </c>
      <c r="B15790" t="s">
        <v>26576</v>
      </c>
      <c r="C15790" s="1" t="str">
        <f>HYPERLINK("http://www.genecards.org/cgi-bin/carddisp.pl?gene=ACHE","GeneCards")</f>
        <v>GeneCards</v>
      </c>
      <c r="D15790" s="1" t="str">
        <f>HYPERLINK("http://genome-euro.ucsc.edu/cgi-bin/hgTracks?position=205377_s_at","UCSC")</f>
        <v>UCSC</v>
      </c>
      <c r="E15790" s="1" t="str">
        <f>HYPERLINK("http://www.ncbi.nlm.nih.gov/gene/?term=ACHE","NCBI")</f>
        <v>NCBI</v>
      </c>
      <c r="F15790">
        <v>0.75</v>
      </c>
      <c r="G15790">
        <v>0.8</v>
      </c>
      <c r="H15790" s="1" t="str">
        <f>HYPERLINK("http://www.weizmann.ac.il/complex/compphys/software/geview/data/figures/205377_s_at.png","Figure")</f>
        <v>Figure</v>
      </c>
      <c r="I15790">
        <v>1.03</v>
      </c>
      <c r="J15790">
        <v>0.83</v>
      </c>
      <c r="K15790">
        <v>0.99399999999999999</v>
      </c>
      <c r="L15790">
        <v>0.99</v>
      </c>
      <c r="M15790">
        <v>0.96099999999999997</v>
      </c>
      <c r="N15790">
        <v>0.74</v>
      </c>
    </row>
    <row r="15791" spans="1:14" x14ac:dyDescent="0.25">
      <c r="A15791" t="s">
        <v>26577</v>
      </c>
      <c r="B15791" t="s">
        <v>23137</v>
      </c>
      <c r="C15791" s="1" t="str">
        <f>HYPERLINK("http://www.genecards.org/cgi-bin/carddisp.pl?gene=ZNF292","GeneCards")</f>
        <v>GeneCards</v>
      </c>
      <c r="D15791" s="1" t="str">
        <f>HYPERLINK("http://genome-euro.ucsc.edu/cgi-bin/hgTracks?position=212368_at","UCSC")</f>
        <v>UCSC</v>
      </c>
      <c r="E15791" s="1" t="str">
        <f>HYPERLINK("http://www.ncbi.nlm.nih.gov/gene/?term=ZNF292","NCBI")</f>
        <v>NCBI</v>
      </c>
      <c r="F15791">
        <v>0.75</v>
      </c>
      <c r="G15791">
        <v>0.8</v>
      </c>
      <c r="H15791" s="1" t="str">
        <f>HYPERLINK("http://www.weizmann.ac.il/complex/compphys/software/geview/data/figures/212368_at.png","Figure")</f>
        <v>Figure</v>
      </c>
      <c r="I15791">
        <v>0.85399999999999998</v>
      </c>
      <c r="J15791">
        <v>0.8</v>
      </c>
      <c r="K15791">
        <v>0.86</v>
      </c>
      <c r="L15791">
        <v>0.77</v>
      </c>
      <c r="M15791">
        <v>1.01</v>
      </c>
      <c r="N15791">
        <v>1</v>
      </c>
    </row>
    <row r="15792" spans="1:14" x14ac:dyDescent="0.25">
      <c r="A15792" t="s">
        <v>26578</v>
      </c>
      <c r="B15792" t="s">
        <v>26536</v>
      </c>
      <c r="C15792" s="1" t="str">
        <f>HYPERLINK("http://www.genecards.org/cgi-bin/carddisp.pl?gene=GSTM1","GeneCards")</f>
        <v>GeneCards</v>
      </c>
      <c r="D15792" s="1" t="str">
        <f>HYPERLINK("http://genome-euro.ucsc.edu/cgi-bin/hgTracks?position=204550_x_at","UCSC")</f>
        <v>UCSC</v>
      </c>
      <c r="E15792" s="1" t="str">
        <f>HYPERLINK("http://www.ncbi.nlm.nih.gov/gene/?term=GSTM1","NCBI")</f>
        <v>NCBI</v>
      </c>
      <c r="F15792">
        <v>0.75</v>
      </c>
      <c r="G15792">
        <v>0.81</v>
      </c>
      <c r="H15792" s="1" t="str">
        <f>HYPERLINK("http://www.weizmann.ac.il/complex/compphys/software/geview/data/figures/204550_x_at.png","Figure")</f>
        <v>Figure</v>
      </c>
      <c r="I15792">
        <v>0.98799999999999999</v>
      </c>
      <c r="J15792">
        <v>1</v>
      </c>
      <c r="K15792">
        <v>1.0900000000000001</v>
      </c>
      <c r="L15792">
        <v>0.81</v>
      </c>
      <c r="M15792">
        <v>1.1100000000000001</v>
      </c>
      <c r="N15792">
        <v>0.79</v>
      </c>
    </row>
    <row r="15793" spans="1:14" x14ac:dyDescent="0.25">
      <c r="A15793" t="s">
        <v>26579</v>
      </c>
      <c r="B15793" t="s">
        <v>8935</v>
      </c>
      <c r="C15793" s="1" t="str">
        <f>HYPERLINK("http://www.genecards.org/cgi-bin/carddisp.pl?gene=PIAS1","GeneCards")</f>
        <v>GeneCards</v>
      </c>
      <c r="D15793" s="1" t="str">
        <f>HYPERLINK("http://genome-euro.ucsc.edu/cgi-bin/hgTracks?position=217862_at","UCSC")</f>
        <v>UCSC</v>
      </c>
      <c r="E15793" s="1" t="str">
        <f>HYPERLINK("http://www.ncbi.nlm.nih.gov/gene/?term=PIAS1","NCBI")</f>
        <v>NCBI</v>
      </c>
      <c r="F15793">
        <v>0.75</v>
      </c>
      <c r="G15793">
        <v>0.81</v>
      </c>
      <c r="H15793" s="1" t="str">
        <f>HYPERLINK("http://www.weizmann.ac.il/complex/compphys/software/geview/data/figures/217862_at.png","Figure")</f>
        <v>Figure</v>
      </c>
      <c r="I15793">
        <v>1.1399999999999999</v>
      </c>
      <c r="J15793">
        <v>0.81</v>
      </c>
      <c r="K15793">
        <v>1.1299999999999999</v>
      </c>
      <c r="L15793">
        <v>0.76</v>
      </c>
      <c r="M15793">
        <v>0.998</v>
      </c>
      <c r="N15793">
        <v>1</v>
      </c>
    </row>
    <row r="15794" spans="1:14" x14ac:dyDescent="0.25">
      <c r="A15794" t="s">
        <v>26580</v>
      </c>
      <c r="B15794" t="s">
        <v>6064</v>
      </c>
      <c r="C15794" s="1" t="str">
        <f>HYPERLINK("http://www.genecards.org/cgi-bin/carddisp.pl?gene=MED27","GeneCards")</f>
        <v>GeneCards</v>
      </c>
      <c r="D15794" s="1" t="str">
        <f>HYPERLINK("http://genome-euro.ucsc.edu/cgi-bin/hgTracks?position=221598_s_at","UCSC")</f>
        <v>UCSC</v>
      </c>
      <c r="E15794" s="1" t="str">
        <f>HYPERLINK("http://www.ncbi.nlm.nih.gov/gene/?term=MED27","NCBI")</f>
        <v>NCBI</v>
      </c>
      <c r="F15794">
        <v>0.75</v>
      </c>
      <c r="G15794">
        <v>0.81</v>
      </c>
      <c r="H15794" s="1" t="str">
        <f>HYPERLINK("http://www.weizmann.ac.il/complex/compphys/software/geview/data/figures/221598_s_at.png","Figure")</f>
        <v>Figure</v>
      </c>
      <c r="I15794">
        <v>1.02</v>
      </c>
      <c r="J15794">
        <v>0.99</v>
      </c>
      <c r="K15794">
        <v>1.1100000000000001</v>
      </c>
      <c r="L15794">
        <v>0.76</v>
      </c>
      <c r="M15794">
        <v>1.0900000000000001</v>
      </c>
      <c r="N15794">
        <v>0.85</v>
      </c>
    </row>
    <row r="15795" spans="1:14" x14ac:dyDescent="0.25">
      <c r="A15795" t="s">
        <v>26581</v>
      </c>
      <c r="B15795" t="s">
        <v>26582</v>
      </c>
      <c r="C15795" s="1" t="str">
        <f>HYPERLINK("http://www.genecards.org/cgi-bin/carddisp.pl?gene=OR1F2P","GeneCards")</f>
        <v>GeneCards</v>
      </c>
      <c r="D15795" s="1" t="str">
        <f>HYPERLINK("http://genome-euro.ucsc.edu/cgi-bin/hgTracks?position=217308_at","UCSC")</f>
        <v>UCSC</v>
      </c>
      <c r="E15795" s="1" t="str">
        <f>HYPERLINK("http://www.ncbi.nlm.nih.gov/gene/?term=OR1F2P","NCBI")</f>
        <v>NCBI</v>
      </c>
      <c r="F15795">
        <v>0.75</v>
      </c>
      <c r="G15795">
        <v>0.81</v>
      </c>
      <c r="H15795" s="1" t="str">
        <f>HYPERLINK("http://www.weizmann.ac.il/complex/compphys/software/geview/data/figures/217308_at.png","Figure")</f>
        <v>Figure</v>
      </c>
      <c r="I15795">
        <v>1.02</v>
      </c>
      <c r="J15795">
        <v>0.96</v>
      </c>
      <c r="K15795">
        <v>0.97199999999999998</v>
      </c>
      <c r="L15795">
        <v>0.89</v>
      </c>
      <c r="M15795">
        <v>0.95399999999999996</v>
      </c>
      <c r="N15795">
        <v>0.74</v>
      </c>
    </row>
    <row r="15796" spans="1:14" x14ac:dyDescent="0.25">
      <c r="A15796" t="s">
        <v>26583</v>
      </c>
      <c r="B15796" t="s">
        <v>21868</v>
      </c>
      <c r="C15796" s="1" t="str">
        <f>HYPERLINK("http://www.genecards.org/cgi-bin/carddisp.pl?gene=ZNF410","GeneCards")</f>
        <v>GeneCards</v>
      </c>
      <c r="D15796" s="1" t="str">
        <f>HYPERLINK("http://genome-euro.ucsc.edu/cgi-bin/hgTracks?position=202010_s_at","UCSC")</f>
        <v>UCSC</v>
      </c>
      <c r="E15796" s="1" t="str">
        <f>HYPERLINK("http://www.ncbi.nlm.nih.gov/gene/?term=ZNF410","NCBI")</f>
        <v>NCBI</v>
      </c>
      <c r="F15796">
        <v>0.75</v>
      </c>
      <c r="G15796">
        <v>0.81</v>
      </c>
      <c r="H15796" s="1" t="str">
        <f>HYPERLINK("http://www.weizmann.ac.il/complex/compphys/software/geview/data/figures/202010_s_at.png","Figure")</f>
        <v>Figure</v>
      </c>
      <c r="I15796">
        <v>1.1100000000000001</v>
      </c>
      <c r="J15796">
        <v>0.87</v>
      </c>
      <c r="K15796">
        <v>0.96099999999999997</v>
      </c>
      <c r="L15796">
        <v>0.97</v>
      </c>
      <c r="M15796">
        <v>0.86599999999999999</v>
      </c>
      <c r="N15796">
        <v>0.73</v>
      </c>
    </row>
    <row r="15797" spans="1:14" x14ac:dyDescent="0.25">
      <c r="A15797" t="s">
        <v>26584</v>
      </c>
      <c r="B15797" t="s">
        <v>20137</v>
      </c>
      <c r="C15797" s="1" t="str">
        <f>HYPERLINK("http://www.genecards.org/cgi-bin/carddisp.pl?gene=RREB1","GeneCards")</f>
        <v>GeneCards</v>
      </c>
      <c r="D15797" s="1" t="str">
        <f>HYPERLINK("http://genome-euro.ucsc.edu/cgi-bin/hgTracks?position=215032_at","UCSC")</f>
        <v>UCSC</v>
      </c>
      <c r="E15797" s="1" t="str">
        <f>HYPERLINK("http://www.ncbi.nlm.nih.gov/gene/?term=RREB1","NCBI")</f>
        <v>NCBI</v>
      </c>
      <c r="F15797">
        <v>0.75</v>
      </c>
      <c r="G15797">
        <v>0.81</v>
      </c>
      <c r="H15797" s="1" t="str">
        <f>HYPERLINK("http://www.weizmann.ac.il/complex/compphys/software/geview/data/figures/215032_at.png","Figure")</f>
        <v>Figure</v>
      </c>
      <c r="I15797">
        <v>0.88600000000000001</v>
      </c>
      <c r="J15797">
        <v>0.73</v>
      </c>
      <c r="K15797">
        <v>0.95599999999999996</v>
      </c>
      <c r="L15797">
        <v>0.94</v>
      </c>
      <c r="M15797">
        <v>1.08</v>
      </c>
      <c r="N15797">
        <v>0.86</v>
      </c>
    </row>
    <row r="15798" spans="1:14" x14ac:dyDescent="0.25">
      <c r="A15798" t="s">
        <v>26585</v>
      </c>
      <c r="B15798" t="s">
        <v>26586</v>
      </c>
      <c r="C15798" s="1" t="str">
        <f>HYPERLINK("http://www.genecards.org/cgi-bin/carddisp.pl?gene=NPTXR","GeneCards")</f>
        <v>GeneCards</v>
      </c>
      <c r="D15798" s="1" t="str">
        <f>HYPERLINK("http://genome-euro.ucsc.edu/cgi-bin/hgTracks?position=217041_at","UCSC")</f>
        <v>UCSC</v>
      </c>
      <c r="E15798" s="1" t="str">
        <f>HYPERLINK("http://www.ncbi.nlm.nih.gov/gene/?term=NPTXR","NCBI")</f>
        <v>NCBI</v>
      </c>
      <c r="F15798">
        <v>0.75</v>
      </c>
      <c r="G15798">
        <v>0.81</v>
      </c>
      <c r="H15798" s="1" t="str">
        <f>HYPERLINK("http://www.weizmann.ac.il/complex/compphys/software/geview/data/figures/217041_at.png","Figure")</f>
        <v>Figure</v>
      </c>
      <c r="I15798">
        <v>0.98</v>
      </c>
      <c r="J15798">
        <v>0.95</v>
      </c>
      <c r="K15798">
        <v>0.95699999999999996</v>
      </c>
      <c r="L15798">
        <v>0.73</v>
      </c>
      <c r="M15798">
        <v>0.97699999999999998</v>
      </c>
      <c r="N15798">
        <v>0.92</v>
      </c>
    </row>
    <row r="15799" spans="1:14" x14ac:dyDescent="0.25">
      <c r="A15799" t="s">
        <v>26587</v>
      </c>
      <c r="B15799" t="s">
        <v>26588</v>
      </c>
      <c r="C15799" s="1" t="str">
        <f>HYPERLINK("http://www.genecards.org/cgi-bin/carddisp.pl?gene=NBPF10 /// NBPF11 /// NBPF15 /// NBPF16 /// NBPF20 /// NBPF8 /// RP11-94I2.2","GeneCards")</f>
        <v>GeneCards</v>
      </c>
      <c r="D15799" s="1" t="str">
        <f>HYPERLINK("http://genome-euro.ucsc.edu/cgi-bin/hgTracks?position=201103_x_at","UCSC")</f>
        <v>UCSC</v>
      </c>
      <c r="E15799" s="1" t="str">
        <f>HYPERLINK("http://www.ncbi.nlm.nih.gov/gene/?term=NBPF10 /// NBPF11 /// NBPF15 /// NBPF16 /// NBPF20 /// NBPF8 /// RP11-94I2.2","NCBI")</f>
        <v>NCBI</v>
      </c>
      <c r="F15799">
        <v>0.75</v>
      </c>
      <c r="G15799">
        <v>0.81</v>
      </c>
      <c r="H15799" s="1" t="str">
        <f>HYPERLINK("http://www.weizmann.ac.il/complex/compphys/software/geview/data/figures/201103_x_at.png","Figure")</f>
        <v>Figure</v>
      </c>
      <c r="I15799">
        <v>1.03</v>
      </c>
      <c r="J15799">
        <v>0.98</v>
      </c>
      <c r="K15799">
        <v>0.91400000000000003</v>
      </c>
      <c r="L15799">
        <v>0.84</v>
      </c>
      <c r="M15799">
        <v>0.88600000000000001</v>
      </c>
      <c r="N15799">
        <v>0.77</v>
      </c>
    </row>
    <row r="15800" spans="1:14" x14ac:dyDescent="0.25">
      <c r="A15800" t="s">
        <v>26589</v>
      </c>
      <c r="B15800" t="s">
        <v>26590</v>
      </c>
      <c r="C15800" s="1" t="str">
        <f>HYPERLINK("http://www.genecards.org/cgi-bin/carddisp.pl?gene=TTC26","GeneCards")</f>
        <v>GeneCards</v>
      </c>
      <c r="D15800" s="1" t="str">
        <f>HYPERLINK("http://genome-euro.ucsc.edu/cgi-bin/hgTracks?position=219758_at","UCSC")</f>
        <v>UCSC</v>
      </c>
      <c r="E15800" s="1" t="str">
        <f>HYPERLINK("http://www.ncbi.nlm.nih.gov/gene/?term=TTC26","NCBI")</f>
        <v>NCBI</v>
      </c>
      <c r="F15800">
        <v>0.75</v>
      </c>
      <c r="G15800">
        <v>0.81</v>
      </c>
      <c r="H15800" s="1" t="str">
        <f>HYPERLINK("http://www.weizmann.ac.il/complex/compphys/software/geview/data/figures/219758_at.png","Figure")</f>
        <v>Figure</v>
      </c>
      <c r="I15800">
        <v>0.98799999999999999</v>
      </c>
      <c r="J15800">
        <v>0.99</v>
      </c>
      <c r="K15800">
        <v>1.05</v>
      </c>
      <c r="L15800">
        <v>0.83</v>
      </c>
      <c r="M15800">
        <v>1.06</v>
      </c>
      <c r="N15800">
        <v>0.78</v>
      </c>
    </row>
    <row r="15801" spans="1:14" x14ac:dyDescent="0.25">
      <c r="A15801" t="s">
        <v>26591</v>
      </c>
      <c r="B15801" t="s">
        <v>26592</v>
      </c>
      <c r="C15801" s="1" t="str">
        <f>HYPERLINK("http://www.genecards.org/cgi-bin/carddisp.pl?gene=PDP1","GeneCards")</f>
        <v>GeneCards</v>
      </c>
      <c r="D15801" s="1" t="str">
        <f>HYPERLINK("http://genome-euro.ucsc.edu/cgi-bin/hgTracks?position=218273_s_at","UCSC")</f>
        <v>UCSC</v>
      </c>
      <c r="E15801" s="1" t="str">
        <f>HYPERLINK("http://www.ncbi.nlm.nih.gov/gene/?term=PDP1","NCBI")</f>
        <v>NCBI</v>
      </c>
      <c r="F15801">
        <v>0.75</v>
      </c>
      <c r="G15801">
        <v>0.81</v>
      </c>
      <c r="H15801" s="1" t="str">
        <f>HYPERLINK("http://www.weizmann.ac.il/complex/compphys/software/geview/data/figures/218273_s_at.png","Figure")</f>
        <v>Figure</v>
      </c>
      <c r="I15801">
        <v>1.1200000000000001</v>
      </c>
      <c r="J15801">
        <v>0.74</v>
      </c>
      <c r="K15801">
        <v>1.07</v>
      </c>
      <c r="L15801">
        <v>0.86</v>
      </c>
      <c r="M15801">
        <v>0.95699999999999996</v>
      </c>
      <c r="N15801">
        <v>0.95</v>
      </c>
    </row>
    <row r="15802" spans="1:14" x14ac:dyDescent="0.25">
      <c r="A15802" t="s">
        <v>26593</v>
      </c>
      <c r="B15802" t="s">
        <v>579</v>
      </c>
      <c r="C15802" s="1" t="str">
        <f>HYPERLINK("http://www.genecards.org/cgi-bin/carddisp.pl?gene=ASF1A","GeneCards")</f>
        <v>GeneCards</v>
      </c>
      <c r="D15802" s="1" t="str">
        <f>HYPERLINK("http://genome-euro.ucsc.edu/cgi-bin/hgTracks?position=213561_at","UCSC")</f>
        <v>UCSC</v>
      </c>
      <c r="E15802" s="1" t="str">
        <f>HYPERLINK("http://www.ncbi.nlm.nih.gov/gene/?term=ASF1A","NCBI")</f>
        <v>NCBI</v>
      </c>
      <c r="F15802">
        <v>0.75</v>
      </c>
      <c r="G15802">
        <v>0.81</v>
      </c>
      <c r="H15802" s="1" t="str">
        <f>HYPERLINK("http://www.weizmann.ac.il/complex/compphys/software/geview/data/figures/213561_at.png","Figure")</f>
        <v>Figure</v>
      </c>
      <c r="I15802">
        <v>1.04</v>
      </c>
      <c r="J15802">
        <v>0.74</v>
      </c>
      <c r="K15802">
        <v>1.02</v>
      </c>
      <c r="L15802">
        <v>0.88</v>
      </c>
      <c r="M15802">
        <v>0.98099999999999998</v>
      </c>
      <c r="N15802">
        <v>0.93</v>
      </c>
    </row>
    <row r="15803" spans="1:14" x14ac:dyDescent="0.25">
      <c r="A15803" t="s">
        <v>26594</v>
      </c>
      <c r="B15803" t="s">
        <v>25871</v>
      </c>
      <c r="C15803" s="1" t="str">
        <f>HYPERLINK("http://www.genecards.org/cgi-bin/carddisp.pl?gene=CPM","GeneCards")</f>
        <v>GeneCards</v>
      </c>
      <c r="D15803" s="1" t="str">
        <f>HYPERLINK("http://genome-euro.ucsc.edu/cgi-bin/hgTracks?position=217557_s_at","UCSC")</f>
        <v>UCSC</v>
      </c>
      <c r="E15803" s="1" t="str">
        <f>HYPERLINK("http://www.ncbi.nlm.nih.gov/gene/?term=CPM","NCBI")</f>
        <v>NCBI</v>
      </c>
      <c r="F15803">
        <v>0.75</v>
      </c>
      <c r="G15803">
        <v>0.81</v>
      </c>
      <c r="H15803" s="1" t="str">
        <f>HYPERLINK("http://www.weizmann.ac.il/complex/compphys/software/geview/data/figures/217557_s_at.png","Figure")</f>
        <v>Figure</v>
      </c>
      <c r="I15803">
        <v>1.02</v>
      </c>
      <c r="J15803">
        <v>0.85</v>
      </c>
      <c r="K15803">
        <v>1.02</v>
      </c>
      <c r="L15803">
        <v>0.75</v>
      </c>
      <c r="M15803">
        <v>1</v>
      </c>
      <c r="N15803">
        <v>0.99</v>
      </c>
    </row>
    <row r="15804" spans="1:14" x14ac:dyDescent="0.25">
      <c r="A15804" t="s">
        <v>26595</v>
      </c>
      <c r="B15804" t="s">
        <v>2646</v>
      </c>
      <c r="C15804" s="1" t="str">
        <f>HYPERLINK("http://www.genecards.org/cgi-bin/carddisp.pl?gene=TCF3","GeneCards")</f>
        <v>GeneCards</v>
      </c>
      <c r="D15804" s="1" t="str">
        <f>HYPERLINK("http://genome-euro.ucsc.edu/cgi-bin/hgTracks?position=215260_s_at","UCSC")</f>
        <v>UCSC</v>
      </c>
      <c r="E15804" s="1" t="str">
        <f>HYPERLINK("http://www.ncbi.nlm.nih.gov/gene/?term=TCF3","NCBI")</f>
        <v>NCBI</v>
      </c>
      <c r="F15804">
        <v>0.75</v>
      </c>
      <c r="G15804">
        <v>0.81</v>
      </c>
      <c r="H15804" s="1" t="str">
        <f>HYPERLINK("http://www.weizmann.ac.il/complex/compphys/software/geview/data/figures/215260_s_at.png","Figure")</f>
        <v>Figure</v>
      </c>
      <c r="I15804">
        <v>1.07</v>
      </c>
      <c r="J15804">
        <v>0.84</v>
      </c>
      <c r="K15804">
        <v>1.08</v>
      </c>
      <c r="L15804">
        <v>0.75</v>
      </c>
      <c r="M15804">
        <v>1.01</v>
      </c>
      <c r="N15804">
        <v>1</v>
      </c>
    </row>
    <row r="15805" spans="1:14" x14ac:dyDescent="0.25">
      <c r="A15805" t="s">
        <v>26596</v>
      </c>
      <c r="B15805" t="s">
        <v>26597</v>
      </c>
      <c r="C15805" s="1" t="str">
        <f>HYPERLINK("http://www.genecards.org/cgi-bin/carddisp.pl?gene=RPS27A","GeneCards")</f>
        <v>GeneCards</v>
      </c>
      <c r="D15805" s="1" t="str">
        <f>HYPERLINK("http://genome-euro.ucsc.edu/cgi-bin/hgTracks?position=200017_at","UCSC")</f>
        <v>UCSC</v>
      </c>
      <c r="E15805" s="1" t="str">
        <f>HYPERLINK("http://www.ncbi.nlm.nih.gov/gene/?term=RPS27A","NCBI")</f>
        <v>NCBI</v>
      </c>
      <c r="F15805">
        <v>0.75</v>
      </c>
      <c r="G15805">
        <v>0.81</v>
      </c>
      <c r="H15805" s="1" t="str">
        <f>HYPERLINK("http://www.weizmann.ac.il/complex/compphys/software/geview/data/figures/200017_at.png","Figure")</f>
        <v>Figure</v>
      </c>
      <c r="I15805">
        <v>0.95599999999999996</v>
      </c>
      <c r="J15805">
        <v>0.96</v>
      </c>
      <c r="K15805">
        <v>1.08</v>
      </c>
      <c r="L15805">
        <v>0.88</v>
      </c>
      <c r="M15805">
        <v>1.1299999999999999</v>
      </c>
      <c r="N15805">
        <v>0.75</v>
      </c>
    </row>
    <row r="15806" spans="1:14" x14ac:dyDescent="0.25">
      <c r="A15806" t="s">
        <v>26598</v>
      </c>
      <c r="B15806" t="s">
        <v>26599</v>
      </c>
      <c r="C15806" s="1" t="str">
        <f>HYPERLINK("http://www.genecards.org/cgi-bin/carddisp.pl?gene=TM4SF1","GeneCards")</f>
        <v>GeneCards</v>
      </c>
      <c r="D15806" s="1" t="str">
        <f>HYPERLINK("http://genome-euro.ucsc.edu/cgi-bin/hgTracks?position=209386_at","UCSC")</f>
        <v>UCSC</v>
      </c>
      <c r="E15806" s="1" t="str">
        <f>HYPERLINK("http://www.ncbi.nlm.nih.gov/gene/?term=TM4SF1","NCBI")</f>
        <v>NCBI</v>
      </c>
      <c r="F15806">
        <v>0.75</v>
      </c>
      <c r="G15806">
        <v>0.81</v>
      </c>
      <c r="H15806" s="1" t="str">
        <f>HYPERLINK("http://www.weizmann.ac.il/complex/compphys/software/geview/data/figures/209386_at.png","Figure")</f>
        <v>Figure</v>
      </c>
      <c r="I15806">
        <v>1.01</v>
      </c>
      <c r="J15806">
        <v>0.98</v>
      </c>
      <c r="K15806">
        <v>0.97799999999999998</v>
      </c>
      <c r="L15806">
        <v>0.85</v>
      </c>
      <c r="M15806">
        <v>0.97</v>
      </c>
      <c r="N15806">
        <v>0.77</v>
      </c>
    </row>
    <row r="15807" spans="1:14" x14ac:dyDescent="0.25">
      <c r="A15807" t="s">
        <v>26600</v>
      </c>
      <c r="B15807" t="s">
        <v>26601</v>
      </c>
      <c r="C15807" s="1" t="str">
        <f>HYPERLINK("http://www.genecards.org/cgi-bin/carddisp.pl?gene=IRF9","GeneCards")</f>
        <v>GeneCards</v>
      </c>
      <c r="D15807" s="1" t="str">
        <f>HYPERLINK("http://genome-euro.ucsc.edu/cgi-bin/hgTracks?position=203882_at","UCSC")</f>
        <v>UCSC</v>
      </c>
      <c r="E15807" s="1" t="str">
        <f>HYPERLINK("http://www.ncbi.nlm.nih.gov/gene/?term=IRF9","NCBI")</f>
        <v>NCBI</v>
      </c>
      <c r="F15807">
        <v>0.75</v>
      </c>
      <c r="G15807">
        <v>0.81</v>
      </c>
      <c r="H15807" s="1" t="str">
        <f>HYPERLINK("http://www.weizmann.ac.il/complex/compphys/software/geview/data/figures/203882_at.png","Figure")</f>
        <v>Figure</v>
      </c>
      <c r="I15807">
        <v>0.95199999999999996</v>
      </c>
      <c r="J15807">
        <v>0.95</v>
      </c>
      <c r="K15807">
        <v>0.89800000000000002</v>
      </c>
      <c r="L15807">
        <v>0.73</v>
      </c>
      <c r="M15807">
        <v>0.94299999999999995</v>
      </c>
      <c r="N15807">
        <v>0.92</v>
      </c>
    </row>
    <row r="15808" spans="1:14" x14ac:dyDescent="0.25">
      <c r="A15808" t="s">
        <v>26602</v>
      </c>
      <c r="B15808" t="s">
        <v>11861</v>
      </c>
      <c r="C15808" s="1" t="str">
        <f>HYPERLINK("http://www.genecards.org/cgi-bin/carddisp.pl?gene=UBE2D2","GeneCards")</f>
        <v>GeneCards</v>
      </c>
      <c r="D15808" s="1" t="str">
        <f>HYPERLINK("http://genome-euro.ucsc.edu/cgi-bin/hgTracks?position=201343_at","UCSC")</f>
        <v>UCSC</v>
      </c>
      <c r="E15808" s="1" t="str">
        <f>HYPERLINK("http://www.ncbi.nlm.nih.gov/gene/?term=UBE2D2","NCBI")</f>
        <v>NCBI</v>
      </c>
      <c r="F15808">
        <v>0.75</v>
      </c>
      <c r="G15808">
        <v>0.81</v>
      </c>
      <c r="H15808" s="1" t="str">
        <f>HYPERLINK("http://www.weizmann.ac.il/complex/compphys/software/geview/data/figures/201343_at.png","Figure")</f>
        <v>Figure</v>
      </c>
      <c r="I15808">
        <v>0.9</v>
      </c>
      <c r="J15808">
        <v>0.74</v>
      </c>
      <c r="K15808">
        <v>0.97099999999999997</v>
      </c>
      <c r="L15808">
        <v>0.97</v>
      </c>
      <c r="M15808">
        <v>1.08</v>
      </c>
      <c r="N15808">
        <v>0.84</v>
      </c>
    </row>
    <row r="15809" spans="1:14" x14ac:dyDescent="0.25">
      <c r="A15809" t="s">
        <v>26603</v>
      </c>
      <c r="B15809" t="s">
        <v>26604</v>
      </c>
      <c r="C15809" s="1" t="str">
        <f>HYPERLINK("http://www.genecards.org/cgi-bin/carddisp.pl?gene=XRCC3","GeneCards")</f>
        <v>GeneCards</v>
      </c>
      <c r="D15809" s="1" t="str">
        <f>HYPERLINK("http://genome-euro.ucsc.edu/cgi-bin/hgTracks?position=216299_s_at","UCSC")</f>
        <v>UCSC</v>
      </c>
      <c r="E15809" s="1" t="str">
        <f>HYPERLINK("http://www.ncbi.nlm.nih.gov/gene/?term=XRCC3","NCBI")</f>
        <v>NCBI</v>
      </c>
      <c r="F15809">
        <v>0.75</v>
      </c>
      <c r="G15809">
        <v>0.81</v>
      </c>
      <c r="H15809" s="1" t="str">
        <f>HYPERLINK("http://www.weizmann.ac.il/complex/compphys/software/geview/data/figures/216299_s_at.png","Figure")</f>
        <v>Figure</v>
      </c>
      <c r="I15809">
        <v>0.89900000000000002</v>
      </c>
      <c r="J15809">
        <v>0.73</v>
      </c>
      <c r="K15809">
        <v>0.94799999999999995</v>
      </c>
      <c r="L15809">
        <v>0.9</v>
      </c>
      <c r="M15809">
        <v>1.05</v>
      </c>
      <c r="N15809">
        <v>0.91</v>
      </c>
    </row>
    <row r="15810" spans="1:14" x14ac:dyDescent="0.25">
      <c r="A15810" t="s">
        <v>26605</v>
      </c>
      <c r="B15810" t="s">
        <v>26606</v>
      </c>
      <c r="C15810" s="1" t="str">
        <f>HYPERLINK("http://www.genecards.org/cgi-bin/carddisp.pl?gene=PEF1","GeneCards")</f>
        <v>GeneCards</v>
      </c>
      <c r="D15810" s="1" t="str">
        <f>HYPERLINK("http://genome-euro.ucsc.edu/cgi-bin/hgTracks?position=217923_at","UCSC")</f>
        <v>UCSC</v>
      </c>
      <c r="E15810" s="1" t="str">
        <f>HYPERLINK("http://www.ncbi.nlm.nih.gov/gene/?term=PEF1","NCBI")</f>
        <v>NCBI</v>
      </c>
      <c r="F15810">
        <v>0.75</v>
      </c>
      <c r="G15810">
        <v>0.81</v>
      </c>
      <c r="H15810" s="1" t="str">
        <f>HYPERLINK("http://www.weizmann.ac.il/complex/compphys/software/geview/data/figures/217923_at.png","Figure")</f>
        <v>Figure</v>
      </c>
      <c r="I15810">
        <v>0.91200000000000003</v>
      </c>
      <c r="J15810">
        <v>0.81</v>
      </c>
      <c r="K15810">
        <v>0.91400000000000003</v>
      </c>
      <c r="L15810">
        <v>0.77</v>
      </c>
      <c r="M15810">
        <v>1</v>
      </c>
      <c r="N15810">
        <v>1</v>
      </c>
    </row>
    <row r="15811" spans="1:14" x14ac:dyDescent="0.25">
      <c r="A15811" t="s">
        <v>26607</v>
      </c>
      <c r="B15811" t="s">
        <v>12927</v>
      </c>
      <c r="C15811" s="1" t="str">
        <f>HYPERLINK("http://www.genecards.org/cgi-bin/carddisp.pl?gene=LY9","GeneCards")</f>
        <v>GeneCards</v>
      </c>
      <c r="D15811" s="1" t="str">
        <f>HYPERLINK("http://genome-euro.ucsc.edu/cgi-bin/hgTracks?position=210370_s_at","UCSC")</f>
        <v>UCSC</v>
      </c>
      <c r="E15811" s="1" t="str">
        <f>HYPERLINK("http://www.ncbi.nlm.nih.gov/gene/?term=LY9","NCBI")</f>
        <v>NCBI</v>
      </c>
      <c r="F15811">
        <v>0.75</v>
      </c>
      <c r="G15811">
        <v>0.81</v>
      </c>
      <c r="H15811" s="1" t="str">
        <f>HYPERLINK("http://www.weizmann.ac.il/complex/compphys/software/geview/data/figures/210370_s_at.png","Figure")</f>
        <v>Figure</v>
      </c>
      <c r="I15811">
        <v>0.90900000000000003</v>
      </c>
      <c r="J15811">
        <v>0.76</v>
      </c>
      <c r="K15811">
        <v>0.93100000000000005</v>
      </c>
      <c r="L15811">
        <v>0.82</v>
      </c>
      <c r="M15811">
        <v>1.02</v>
      </c>
      <c r="N15811">
        <v>0.98</v>
      </c>
    </row>
    <row r="15812" spans="1:14" x14ac:dyDescent="0.25">
      <c r="A15812" t="s">
        <v>26608</v>
      </c>
      <c r="B15812" t="s">
        <v>26609</v>
      </c>
      <c r="C15812" s="1" t="str">
        <f>HYPERLINK("http://www.genecards.org/cgi-bin/carddisp.pl?gene=HPS5","GeneCards")</f>
        <v>GeneCards</v>
      </c>
      <c r="D15812" s="1" t="str">
        <f>HYPERLINK("http://genome-euro.ucsc.edu/cgi-bin/hgTracks?position=204544_at","UCSC")</f>
        <v>UCSC</v>
      </c>
      <c r="E15812" s="1" t="str">
        <f>HYPERLINK("http://www.ncbi.nlm.nih.gov/gene/?term=HPS5","NCBI")</f>
        <v>NCBI</v>
      </c>
      <c r="F15812">
        <v>0.75</v>
      </c>
      <c r="G15812">
        <v>0.81</v>
      </c>
      <c r="H15812" s="1" t="str">
        <f>HYPERLINK("http://www.weizmann.ac.il/complex/compphys/software/geview/data/figures/204544_at.png","Figure")</f>
        <v>Figure</v>
      </c>
      <c r="I15812">
        <v>0.96899999999999997</v>
      </c>
      <c r="J15812">
        <v>0.87</v>
      </c>
      <c r="K15812">
        <v>1.01</v>
      </c>
      <c r="L15812">
        <v>0.97</v>
      </c>
      <c r="M15812">
        <v>1.05</v>
      </c>
      <c r="N15812">
        <v>0.73</v>
      </c>
    </row>
    <row r="15813" spans="1:14" x14ac:dyDescent="0.25">
      <c r="A15813" t="s">
        <v>26610</v>
      </c>
      <c r="B15813" t="s">
        <v>26611</v>
      </c>
      <c r="C15813" s="1" t="str">
        <f>HYPERLINK("http://www.genecards.org/cgi-bin/carddisp.pl?gene=LGALS14","GeneCards")</f>
        <v>GeneCards</v>
      </c>
      <c r="D15813" s="1" t="str">
        <f>HYPERLINK("http://genome-euro.ucsc.edu/cgi-bin/hgTracks?position=220158_at","UCSC")</f>
        <v>UCSC</v>
      </c>
      <c r="E15813" s="1" t="str">
        <f>HYPERLINK("http://www.ncbi.nlm.nih.gov/gene/?term=LGALS14","NCBI")</f>
        <v>NCBI</v>
      </c>
      <c r="F15813">
        <v>0.75</v>
      </c>
      <c r="G15813">
        <v>0.81</v>
      </c>
      <c r="H15813" s="1" t="str">
        <f>HYPERLINK("http://www.weizmann.ac.il/complex/compphys/software/geview/data/figures/220158_at.png","Figure")</f>
        <v>Figure</v>
      </c>
      <c r="I15813">
        <v>1.08</v>
      </c>
      <c r="J15813">
        <v>0.73</v>
      </c>
      <c r="K15813">
        <v>1.03</v>
      </c>
      <c r="L15813">
        <v>0.93</v>
      </c>
      <c r="M15813">
        <v>0.96</v>
      </c>
      <c r="N15813">
        <v>0.89</v>
      </c>
    </row>
    <row r="15814" spans="1:14" x14ac:dyDescent="0.25">
      <c r="A15814" t="s">
        <v>26612</v>
      </c>
      <c r="B15814" t="s">
        <v>6943</v>
      </c>
      <c r="C15814" s="1" t="str">
        <f>HYPERLINK("http://www.genecards.org/cgi-bin/carddisp.pl?gene=GTF2F1","GeneCards")</f>
        <v>GeneCards</v>
      </c>
      <c r="D15814" s="1" t="str">
        <f>HYPERLINK("http://genome-euro.ucsc.edu/cgi-bin/hgTracks?position=202354_s_at","UCSC")</f>
        <v>UCSC</v>
      </c>
      <c r="E15814" s="1" t="str">
        <f>HYPERLINK("http://www.ncbi.nlm.nih.gov/gene/?term=GTF2F1","NCBI")</f>
        <v>NCBI</v>
      </c>
      <c r="F15814">
        <v>0.75</v>
      </c>
      <c r="G15814">
        <v>0.81</v>
      </c>
      <c r="H15814" s="1" t="str">
        <f>HYPERLINK("http://www.weizmann.ac.il/complex/compphys/software/geview/data/figures/202354_s_at.png","Figure")</f>
        <v>Figure</v>
      </c>
      <c r="I15814">
        <v>1.1599999999999999</v>
      </c>
      <c r="J15814">
        <v>0.76</v>
      </c>
      <c r="K15814">
        <v>1.03</v>
      </c>
      <c r="L15814">
        <v>0.99</v>
      </c>
      <c r="M15814">
        <v>0.88200000000000001</v>
      </c>
      <c r="N15814">
        <v>0.8</v>
      </c>
    </row>
    <row r="15815" spans="1:14" x14ac:dyDescent="0.25">
      <c r="A15815" t="s">
        <v>26613</v>
      </c>
      <c r="B15815" t="s">
        <v>13087</v>
      </c>
      <c r="C15815" s="1" t="str">
        <f>HYPERLINK("http://www.genecards.org/cgi-bin/carddisp.pl?gene=GPSM3","GeneCards")</f>
        <v>GeneCards</v>
      </c>
      <c r="D15815" s="1" t="str">
        <f>HYPERLINK("http://genome-euro.ucsc.edu/cgi-bin/hgTracks?position=204265_s_at","UCSC")</f>
        <v>UCSC</v>
      </c>
      <c r="E15815" s="1" t="str">
        <f>HYPERLINK("http://www.ncbi.nlm.nih.gov/gene/?term=GPSM3","NCBI")</f>
        <v>NCBI</v>
      </c>
      <c r="F15815">
        <v>0.75</v>
      </c>
      <c r="G15815">
        <v>0.81</v>
      </c>
      <c r="H15815" s="1" t="str">
        <f>HYPERLINK("http://www.weizmann.ac.il/complex/compphys/software/geview/data/figures/204265_s_at.png","Figure")</f>
        <v>Figure</v>
      </c>
      <c r="I15815">
        <v>0.92300000000000004</v>
      </c>
      <c r="J15815">
        <v>0.91</v>
      </c>
      <c r="K15815">
        <v>1.06</v>
      </c>
      <c r="L15815">
        <v>0.94</v>
      </c>
      <c r="M15815">
        <v>1.1499999999999999</v>
      </c>
      <c r="N15815">
        <v>0.73</v>
      </c>
    </row>
    <row r="15816" spans="1:14" x14ac:dyDescent="0.25">
      <c r="A15816" t="s">
        <v>26614</v>
      </c>
      <c r="B15816" t="s">
        <v>852</v>
      </c>
      <c r="C15816" s="1" t="str">
        <f>HYPERLINK("http://www.genecards.org/cgi-bin/carddisp.pl?gene=NFATC2IP","GeneCards")</f>
        <v>GeneCards</v>
      </c>
      <c r="D15816" s="1" t="str">
        <f>HYPERLINK("http://genome-euro.ucsc.edu/cgi-bin/hgTracks?position=217526_at","UCSC")</f>
        <v>UCSC</v>
      </c>
      <c r="E15816" s="1" t="str">
        <f>HYPERLINK("http://www.ncbi.nlm.nih.gov/gene/?term=NFATC2IP","NCBI")</f>
        <v>NCBI</v>
      </c>
      <c r="F15816">
        <v>0.75</v>
      </c>
      <c r="G15816">
        <v>0.81</v>
      </c>
      <c r="H15816" s="1" t="str">
        <f>HYPERLINK("http://www.weizmann.ac.il/complex/compphys/software/geview/data/figures/217526_at.png","Figure")</f>
        <v>Figure</v>
      </c>
      <c r="I15816">
        <v>1.1399999999999999</v>
      </c>
      <c r="J15816">
        <v>0.92</v>
      </c>
      <c r="K15816">
        <v>0.90200000000000002</v>
      </c>
      <c r="L15816">
        <v>0.93</v>
      </c>
      <c r="M15816">
        <v>0.79200000000000004</v>
      </c>
      <c r="N15816">
        <v>0.74</v>
      </c>
    </row>
    <row r="15817" spans="1:14" x14ac:dyDescent="0.25">
      <c r="A15817" t="s">
        <v>26615</v>
      </c>
      <c r="B15817" t="s">
        <v>2324</v>
      </c>
      <c r="C15817" s="1" t="str">
        <f>HYPERLINK("http://www.genecards.org/cgi-bin/carddisp.pl?gene=STAT3","GeneCards")</f>
        <v>GeneCards</v>
      </c>
      <c r="D15817" s="1" t="str">
        <f>HYPERLINK("http://genome-euro.ucsc.edu/cgi-bin/hgTracks?position=208992_s_at","UCSC")</f>
        <v>UCSC</v>
      </c>
      <c r="E15817" s="1" t="str">
        <f>HYPERLINK("http://www.ncbi.nlm.nih.gov/gene/?term=STAT3","NCBI")</f>
        <v>NCBI</v>
      </c>
      <c r="F15817">
        <v>0.75</v>
      </c>
      <c r="G15817">
        <v>0.81</v>
      </c>
      <c r="H15817" s="1" t="str">
        <f>HYPERLINK("http://www.weizmann.ac.il/complex/compphys/software/geview/data/figures/208992_s_at.png","Figure")</f>
        <v>Figure</v>
      </c>
      <c r="I15817">
        <v>1.07</v>
      </c>
      <c r="J15817">
        <v>0.78</v>
      </c>
      <c r="K15817">
        <v>1.01</v>
      </c>
      <c r="L15817">
        <v>1</v>
      </c>
      <c r="M15817">
        <v>0.94</v>
      </c>
      <c r="N15817">
        <v>0.78</v>
      </c>
    </row>
    <row r="15818" spans="1:14" x14ac:dyDescent="0.25">
      <c r="A15818" t="s">
        <v>26616</v>
      </c>
      <c r="B15818" t="s">
        <v>26617</v>
      </c>
      <c r="C15818" s="1" t="str">
        <f>HYPERLINK("http://www.genecards.org/cgi-bin/carddisp.pl?gene=LOC100287552","GeneCards")</f>
        <v>GeneCards</v>
      </c>
      <c r="D15818" s="1" t="str">
        <f>HYPERLINK("http://genome-euro.ucsc.edu/cgi-bin/hgTracks?position=209256_s_at","UCSC")</f>
        <v>UCSC</v>
      </c>
      <c r="E15818" s="1" t="str">
        <f>HYPERLINK("http://www.ncbi.nlm.nih.gov/gene/?term=LOC100287552","NCBI")</f>
        <v>NCBI</v>
      </c>
      <c r="F15818">
        <v>0.75</v>
      </c>
      <c r="G15818">
        <v>0.81</v>
      </c>
      <c r="H15818" s="1" t="str">
        <f>HYPERLINK("http://www.weizmann.ac.il/complex/compphys/software/geview/data/figures/209256_s_at.png","Figure")</f>
        <v>Figure</v>
      </c>
      <c r="I15818">
        <v>0.873</v>
      </c>
      <c r="J15818">
        <v>0.74</v>
      </c>
      <c r="K15818">
        <v>0.94799999999999995</v>
      </c>
      <c r="L15818">
        <v>0.94</v>
      </c>
      <c r="M15818">
        <v>1.0900000000000001</v>
      </c>
      <c r="N15818">
        <v>0.88</v>
      </c>
    </row>
    <row r="15819" spans="1:14" x14ac:dyDescent="0.25">
      <c r="A15819" t="s">
        <v>26618</v>
      </c>
      <c r="B15819" t="s">
        <v>4970</v>
      </c>
      <c r="C15819" s="1" t="str">
        <f>HYPERLINK("http://www.genecards.org/cgi-bin/carddisp.pl?gene=PAFAH1B1","GeneCards")</f>
        <v>GeneCards</v>
      </c>
      <c r="D15819" s="1" t="str">
        <f>HYPERLINK("http://genome-euro.ucsc.edu/cgi-bin/hgTracks?position=200813_s_at","UCSC")</f>
        <v>UCSC</v>
      </c>
      <c r="E15819" s="1" t="str">
        <f>HYPERLINK("http://www.ncbi.nlm.nih.gov/gene/?term=PAFAH1B1","NCBI")</f>
        <v>NCBI</v>
      </c>
      <c r="F15819">
        <v>0.76</v>
      </c>
      <c r="G15819">
        <v>0.81</v>
      </c>
      <c r="H15819" s="1" t="str">
        <f>HYPERLINK("http://www.weizmann.ac.il/complex/compphys/software/geview/data/figures/200813_s_at.png","Figure")</f>
        <v>Figure</v>
      </c>
      <c r="I15819">
        <v>1.1100000000000001</v>
      </c>
      <c r="J15819">
        <v>0.77</v>
      </c>
      <c r="K15819">
        <v>1.01</v>
      </c>
      <c r="L15819">
        <v>1</v>
      </c>
      <c r="M15819">
        <v>0.90700000000000003</v>
      </c>
      <c r="N15819">
        <v>0.79</v>
      </c>
    </row>
    <row r="15820" spans="1:14" x14ac:dyDescent="0.25">
      <c r="A15820" t="s">
        <v>26619</v>
      </c>
      <c r="B15820" t="s">
        <v>26620</v>
      </c>
      <c r="C15820" s="1" t="str">
        <f>HYPERLINK("http://www.genecards.org/cgi-bin/carddisp.pl?gene=NR2C2","GeneCards")</f>
        <v>GeneCards</v>
      </c>
      <c r="D15820" s="1" t="str">
        <f>HYPERLINK("http://genome-euro.ucsc.edu/cgi-bin/hgTracks?position=206038_s_at","UCSC")</f>
        <v>UCSC</v>
      </c>
      <c r="E15820" s="1" t="str">
        <f>HYPERLINK("http://www.ncbi.nlm.nih.gov/gene/?term=NR2C2","NCBI")</f>
        <v>NCBI</v>
      </c>
      <c r="F15820">
        <v>0.76</v>
      </c>
      <c r="G15820">
        <v>0.81</v>
      </c>
      <c r="H15820" s="1" t="str">
        <f>HYPERLINK("http://www.weizmann.ac.il/complex/compphys/software/geview/data/figures/206038_s_at.png","Figure")</f>
        <v>Figure</v>
      </c>
      <c r="I15820">
        <v>1.01</v>
      </c>
      <c r="J15820">
        <v>0.98</v>
      </c>
      <c r="K15820">
        <v>0.96099999999999997</v>
      </c>
      <c r="L15820">
        <v>0.85</v>
      </c>
      <c r="M15820">
        <v>0.94699999999999995</v>
      </c>
      <c r="N15820">
        <v>0.77</v>
      </c>
    </row>
    <row r="15821" spans="1:14" x14ac:dyDescent="0.25">
      <c r="A15821" t="s">
        <v>26621</v>
      </c>
      <c r="B15821" t="s">
        <v>26622</v>
      </c>
      <c r="C15821" s="1" t="str">
        <f>HYPERLINK("http://www.genecards.org/cgi-bin/carddisp.pl?gene=SCN5A","GeneCards")</f>
        <v>GeneCards</v>
      </c>
      <c r="D15821" s="1" t="str">
        <f>HYPERLINK("http://genome-euro.ucsc.edu/cgi-bin/hgTracks?position=207413_s_at","UCSC")</f>
        <v>UCSC</v>
      </c>
      <c r="E15821" s="1" t="str">
        <f>HYPERLINK("http://www.ncbi.nlm.nih.gov/gene/?term=SCN5A","NCBI")</f>
        <v>NCBI</v>
      </c>
      <c r="F15821">
        <v>0.76</v>
      </c>
      <c r="G15821">
        <v>0.81</v>
      </c>
      <c r="H15821" s="1" t="str">
        <f>HYPERLINK("http://www.weizmann.ac.il/complex/compphys/software/geview/data/figures/207413_s_at.png","Figure")</f>
        <v>Figure</v>
      </c>
      <c r="I15821">
        <v>0.95699999999999996</v>
      </c>
      <c r="J15821">
        <v>0.74</v>
      </c>
      <c r="K15821">
        <v>0.98099999999999998</v>
      </c>
      <c r="L15821">
        <v>0.92</v>
      </c>
      <c r="M15821">
        <v>1.02</v>
      </c>
      <c r="N15821">
        <v>0.9</v>
      </c>
    </row>
    <row r="15822" spans="1:14" x14ac:dyDescent="0.25">
      <c r="A15822" t="s">
        <v>26623</v>
      </c>
      <c r="B15822" t="s">
        <v>26624</v>
      </c>
      <c r="C15822" s="1" t="str">
        <f>HYPERLINK("http://www.genecards.org/cgi-bin/carddisp.pl?gene=SPEG","GeneCards")</f>
        <v>GeneCards</v>
      </c>
      <c r="D15822" s="1" t="str">
        <f>HYPERLINK("http://genome-euro.ucsc.edu/cgi-bin/hgTracks?position=205265_s_at","UCSC")</f>
        <v>UCSC</v>
      </c>
      <c r="E15822" s="1" t="str">
        <f>HYPERLINK("http://www.ncbi.nlm.nih.gov/gene/?term=SPEG","NCBI")</f>
        <v>NCBI</v>
      </c>
      <c r="F15822">
        <v>0.76</v>
      </c>
      <c r="G15822">
        <v>0.81</v>
      </c>
      <c r="H15822" s="1" t="str">
        <f>HYPERLINK("http://www.weizmann.ac.il/complex/compphys/software/geview/data/figures/205265_s_at.png","Figure")</f>
        <v>Figure</v>
      </c>
      <c r="I15822">
        <v>1.06</v>
      </c>
      <c r="J15822">
        <v>0.74</v>
      </c>
      <c r="K15822">
        <v>1.03</v>
      </c>
      <c r="L15822">
        <v>0.9</v>
      </c>
      <c r="M15822">
        <v>0.97299999999999998</v>
      </c>
      <c r="N15822">
        <v>0.92</v>
      </c>
    </row>
    <row r="15823" spans="1:14" x14ac:dyDescent="0.25">
      <c r="A15823" t="s">
        <v>26625</v>
      </c>
      <c r="B15823" t="s">
        <v>26626</v>
      </c>
      <c r="C15823" s="1" t="str">
        <f>HYPERLINK("http://www.genecards.org/cgi-bin/carddisp.pl?gene=SLC35F2","GeneCards")</f>
        <v>GeneCards</v>
      </c>
      <c r="D15823" s="1" t="str">
        <f>HYPERLINK("http://genome-euro.ucsc.edu/cgi-bin/hgTracks?position=218826_at","UCSC")</f>
        <v>UCSC</v>
      </c>
      <c r="E15823" s="1" t="str">
        <f>HYPERLINK("http://www.ncbi.nlm.nih.gov/gene/?term=SLC35F2","NCBI")</f>
        <v>NCBI</v>
      </c>
      <c r="F15823">
        <v>0.76</v>
      </c>
      <c r="G15823">
        <v>0.81</v>
      </c>
      <c r="H15823" s="1" t="str">
        <f>HYPERLINK("http://www.weizmann.ac.il/complex/compphys/software/geview/data/figures/218826_at.png","Figure")</f>
        <v>Figure</v>
      </c>
      <c r="I15823">
        <v>0.90300000000000002</v>
      </c>
      <c r="J15823">
        <v>0.74</v>
      </c>
      <c r="K15823">
        <v>0.94499999999999995</v>
      </c>
      <c r="L15823">
        <v>0.89</v>
      </c>
      <c r="M15823">
        <v>1.05</v>
      </c>
      <c r="N15823">
        <v>0.93</v>
      </c>
    </row>
    <row r="15824" spans="1:14" x14ac:dyDescent="0.25">
      <c r="A15824" t="s">
        <v>26627</v>
      </c>
      <c r="B15824" t="s">
        <v>11550</v>
      </c>
      <c r="C15824" s="1" t="str">
        <f>HYPERLINK("http://www.genecards.org/cgi-bin/carddisp.pl?gene=AGK","GeneCards")</f>
        <v>GeneCards</v>
      </c>
      <c r="D15824" s="1" t="str">
        <f>HYPERLINK("http://genome-euro.ucsc.edu/cgi-bin/hgTracks?position=222132_s_at","UCSC")</f>
        <v>UCSC</v>
      </c>
      <c r="E15824" s="1" t="str">
        <f>HYPERLINK("http://www.ncbi.nlm.nih.gov/gene/?term=AGK","NCBI")</f>
        <v>NCBI</v>
      </c>
      <c r="F15824">
        <v>0.76</v>
      </c>
      <c r="G15824">
        <v>0.81</v>
      </c>
      <c r="H15824" s="1" t="str">
        <f>HYPERLINK("http://www.weizmann.ac.il/complex/compphys/software/geview/data/figures/222132_s_at.png","Figure")</f>
        <v>Figure</v>
      </c>
      <c r="I15824">
        <v>1.08</v>
      </c>
      <c r="J15824">
        <v>0.81</v>
      </c>
      <c r="K15824">
        <v>1.07</v>
      </c>
      <c r="L15824">
        <v>0.78</v>
      </c>
      <c r="M15824">
        <v>0.995</v>
      </c>
      <c r="N15824">
        <v>1</v>
      </c>
    </row>
    <row r="15825" spans="1:14" x14ac:dyDescent="0.25">
      <c r="A15825" t="s">
        <v>26628</v>
      </c>
      <c r="B15825" t="s">
        <v>12790</v>
      </c>
      <c r="C15825" s="1" t="str">
        <f>HYPERLINK("http://www.genecards.org/cgi-bin/carddisp.pl?gene=FBXO28","GeneCards")</f>
        <v>GeneCards</v>
      </c>
      <c r="D15825" s="1" t="str">
        <f>HYPERLINK("http://genome-euro.ucsc.edu/cgi-bin/hgTracks?position=202272_s_at","UCSC")</f>
        <v>UCSC</v>
      </c>
      <c r="E15825" s="1" t="str">
        <f>HYPERLINK("http://www.ncbi.nlm.nih.gov/gene/?term=FBXO28","NCBI")</f>
        <v>NCBI</v>
      </c>
      <c r="F15825">
        <v>0.76</v>
      </c>
      <c r="G15825">
        <v>0.81</v>
      </c>
      <c r="H15825" s="1" t="str">
        <f>HYPERLINK("http://www.weizmann.ac.il/complex/compphys/software/geview/data/figures/202272_s_at.png","Figure")</f>
        <v>Figure</v>
      </c>
      <c r="I15825">
        <v>1.01</v>
      </c>
      <c r="J15825">
        <v>1</v>
      </c>
      <c r="K15825">
        <v>1.1000000000000001</v>
      </c>
      <c r="L15825">
        <v>0.77</v>
      </c>
      <c r="M15825">
        <v>1.08</v>
      </c>
      <c r="N15825">
        <v>0.85</v>
      </c>
    </row>
    <row r="15826" spans="1:14" x14ac:dyDescent="0.25">
      <c r="A15826" t="s">
        <v>26629</v>
      </c>
      <c r="B15826" t="s">
        <v>19356</v>
      </c>
      <c r="C15826" s="1" t="str">
        <f>HYPERLINK("http://www.genecards.org/cgi-bin/carddisp.pl?gene=NDST1","GeneCards")</f>
        <v>GeneCards</v>
      </c>
      <c r="D15826" s="1" t="str">
        <f>HYPERLINK("http://genome-euro.ucsc.edu/cgi-bin/hgTracks?position=202607_at","UCSC")</f>
        <v>UCSC</v>
      </c>
      <c r="E15826" s="1" t="str">
        <f>HYPERLINK("http://www.ncbi.nlm.nih.gov/gene/?term=NDST1","NCBI")</f>
        <v>NCBI</v>
      </c>
      <c r="F15826">
        <v>0.76</v>
      </c>
      <c r="G15826">
        <v>0.81</v>
      </c>
      <c r="H15826" s="1" t="str">
        <f>HYPERLINK("http://www.weizmann.ac.il/complex/compphys/software/geview/data/figures/202607_at.png","Figure")</f>
        <v>Figure</v>
      </c>
      <c r="I15826">
        <v>1.1200000000000001</v>
      </c>
      <c r="J15826">
        <v>0.74</v>
      </c>
      <c r="K15826">
        <v>1.06</v>
      </c>
      <c r="L15826">
        <v>0.91</v>
      </c>
      <c r="M15826">
        <v>0.94</v>
      </c>
      <c r="N15826">
        <v>0.91</v>
      </c>
    </row>
    <row r="15827" spans="1:14" x14ac:dyDescent="0.25">
      <c r="A15827" t="s">
        <v>26630</v>
      </c>
      <c r="B15827" t="s">
        <v>26631</v>
      </c>
      <c r="C15827" s="1" t="str">
        <f>HYPERLINK("http://www.genecards.org/cgi-bin/carddisp.pl?gene=MPDU1","GeneCards")</f>
        <v>GeneCards</v>
      </c>
      <c r="D15827" s="1" t="str">
        <f>HYPERLINK("http://genome-euro.ucsc.edu/cgi-bin/hgTracks?position=209208_at","UCSC")</f>
        <v>UCSC</v>
      </c>
      <c r="E15827" s="1" t="str">
        <f>HYPERLINK("http://www.ncbi.nlm.nih.gov/gene/?term=MPDU1","NCBI")</f>
        <v>NCBI</v>
      </c>
      <c r="F15827">
        <v>0.76</v>
      </c>
      <c r="G15827">
        <v>0.81</v>
      </c>
      <c r="H15827" s="1" t="str">
        <f>HYPERLINK("http://www.weizmann.ac.il/complex/compphys/software/geview/data/figures/209208_at.png","Figure")</f>
        <v>Figure</v>
      </c>
      <c r="I15827">
        <v>0.95099999999999996</v>
      </c>
      <c r="J15827">
        <v>0.8</v>
      </c>
      <c r="K15827">
        <v>0.95599999999999996</v>
      </c>
      <c r="L15827">
        <v>0.79</v>
      </c>
      <c r="M15827">
        <v>1.01</v>
      </c>
      <c r="N15827">
        <v>1</v>
      </c>
    </row>
    <row r="15828" spans="1:14" x14ac:dyDescent="0.25">
      <c r="A15828" t="s">
        <v>26632</v>
      </c>
      <c r="B15828" t="s">
        <v>26633</v>
      </c>
      <c r="C15828" s="1" t="str">
        <f>HYPERLINK("http://www.genecards.org/cgi-bin/carddisp.pl?gene=COLEC11","GeneCards")</f>
        <v>GeneCards</v>
      </c>
      <c r="D15828" s="1" t="str">
        <f>HYPERLINK("http://genome-euro.ucsc.edu/cgi-bin/hgTracks?position=219873_at","UCSC")</f>
        <v>UCSC</v>
      </c>
      <c r="E15828" s="1" t="str">
        <f>HYPERLINK("http://www.ncbi.nlm.nih.gov/gene/?term=COLEC11","NCBI")</f>
        <v>NCBI</v>
      </c>
      <c r="F15828">
        <v>0.76</v>
      </c>
      <c r="G15828">
        <v>0.81</v>
      </c>
      <c r="H15828" s="1" t="str">
        <f>HYPERLINK("http://www.weizmann.ac.il/complex/compphys/software/geview/data/figures/219873_at.png","Figure")</f>
        <v>Figure</v>
      </c>
      <c r="I15828">
        <v>0.97499999999999998</v>
      </c>
      <c r="J15828">
        <v>0.78</v>
      </c>
      <c r="K15828">
        <v>0.97899999999999998</v>
      </c>
      <c r="L15828">
        <v>0.8</v>
      </c>
      <c r="M15828">
        <v>1</v>
      </c>
      <c r="N15828">
        <v>0.99</v>
      </c>
    </row>
    <row r="15829" spans="1:14" x14ac:dyDescent="0.25">
      <c r="A15829" t="s">
        <v>26634</v>
      </c>
      <c r="B15829" t="s">
        <v>19251</v>
      </c>
      <c r="C15829" s="1" t="str">
        <f>HYPERLINK("http://www.genecards.org/cgi-bin/carddisp.pl?gene=RAC1","GeneCards")</f>
        <v>GeneCards</v>
      </c>
      <c r="D15829" s="1" t="str">
        <f>HYPERLINK("http://genome-euro.ucsc.edu/cgi-bin/hgTracks?position=208641_s_at","UCSC")</f>
        <v>UCSC</v>
      </c>
      <c r="E15829" s="1" t="str">
        <f>HYPERLINK("http://www.ncbi.nlm.nih.gov/gene/?term=RAC1","NCBI")</f>
        <v>NCBI</v>
      </c>
      <c r="F15829">
        <v>0.76</v>
      </c>
      <c r="G15829">
        <v>0.81</v>
      </c>
      <c r="H15829" s="1" t="str">
        <f>HYPERLINK("http://www.weizmann.ac.il/complex/compphys/software/geview/data/figures/208641_s_at.png","Figure")</f>
        <v>Figure</v>
      </c>
      <c r="I15829">
        <v>0.90700000000000003</v>
      </c>
      <c r="J15829">
        <v>0.86</v>
      </c>
      <c r="K15829">
        <v>1.04</v>
      </c>
      <c r="L15829">
        <v>0.98</v>
      </c>
      <c r="M15829">
        <v>1.1399999999999999</v>
      </c>
      <c r="N15829">
        <v>0.74</v>
      </c>
    </row>
    <row r="15830" spans="1:14" x14ac:dyDescent="0.25">
      <c r="A15830" t="s">
        <v>26635</v>
      </c>
      <c r="B15830" t="s">
        <v>4996</v>
      </c>
      <c r="C15830" s="1" t="str">
        <f>HYPERLINK("http://www.genecards.org/cgi-bin/carddisp.pl?gene=APLP2","GeneCards")</f>
        <v>GeneCards</v>
      </c>
      <c r="D15830" s="1" t="str">
        <f>HYPERLINK("http://genome-euro.ucsc.edu/cgi-bin/hgTracks?position=214875_x_at","UCSC")</f>
        <v>UCSC</v>
      </c>
      <c r="E15830" s="1" t="str">
        <f>HYPERLINK("http://www.ncbi.nlm.nih.gov/gene/?term=APLP2","NCBI")</f>
        <v>NCBI</v>
      </c>
      <c r="F15830">
        <v>0.76</v>
      </c>
      <c r="G15830">
        <v>0.81</v>
      </c>
      <c r="H15830" s="1" t="str">
        <f>HYPERLINK("http://www.weizmann.ac.il/complex/compphys/software/geview/data/figures/214875_x_at.png","Figure")</f>
        <v>Figure</v>
      </c>
      <c r="I15830">
        <v>0.90800000000000003</v>
      </c>
      <c r="J15830">
        <v>0.84</v>
      </c>
      <c r="K15830">
        <v>0.89800000000000002</v>
      </c>
      <c r="L15830">
        <v>0.76</v>
      </c>
      <c r="M15830">
        <v>0.98899999999999999</v>
      </c>
      <c r="N15830">
        <v>1</v>
      </c>
    </row>
    <row r="15831" spans="1:14" x14ac:dyDescent="0.25">
      <c r="A15831" t="s">
        <v>26636</v>
      </c>
      <c r="B15831" t="s">
        <v>26637</v>
      </c>
      <c r="C15831" s="1" t="str">
        <f>HYPERLINK("http://www.genecards.org/cgi-bin/carddisp.pl?gene=COPS4","GeneCards")</f>
        <v>GeneCards</v>
      </c>
      <c r="D15831" s="1" t="str">
        <f>HYPERLINK("http://genome-euro.ucsc.edu/cgi-bin/hgTracks?position=218042_at","UCSC")</f>
        <v>UCSC</v>
      </c>
      <c r="E15831" s="1" t="str">
        <f>HYPERLINK("http://www.ncbi.nlm.nih.gov/gene/?term=COPS4","NCBI")</f>
        <v>NCBI</v>
      </c>
      <c r="F15831">
        <v>0.76</v>
      </c>
      <c r="G15831">
        <v>0.81</v>
      </c>
      <c r="H15831" s="1" t="str">
        <f>HYPERLINK("http://www.weizmann.ac.il/complex/compphys/software/geview/data/figures/218042_at.png","Figure")</f>
        <v>Figure</v>
      </c>
      <c r="I15831">
        <v>0.86599999999999999</v>
      </c>
      <c r="J15831">
        <v>0.8</v>
      </c>
      <c r="K15831">
        <v>1</v>
      </c>
      <c r="L15831">
        <v>1</v>
      </c>
      <c r="M15831">
        <v>1.1599999999999999</v>
      </c>
      <c r="N15831">
        <v>0.77</v>
      </c>
    </row>
    <row r="15832" spans="1:14" x14ac:dyDescent="0.25">
      <c r="A15832" t="s">
        <v>26638</v>
      </c>
      <c r="B15832" t="s">
        <v>22767</v>
      </c>
      <c r="C15832" s="1" t="str">
        <f>HYPERLINK("http://www.genecards.org/cgi-bin/carddisp.pl?gene=CDKL5","GeneCards")</f>
        <v>GeneCards</v>
      </c>
      <c r="D15832" s="1" t="str">
        <f>HYPERLINK("http://genome-euro.ucsc.edu/cgi-bin/hgTracks?position=206575_at","UCSC")</f>
        <v>UCSC</v>
      </c>
      <c r="E15832" s="1" t="str">
        <f>HYPERLINK("http://www.ncbi.nlm.nih.gov/gene/?term=CDKL5","NCBI")</f>
        <v>NCBI</v>
      </c>
      <c r="F15832">
        <v>0.76</v>
      </c>
      <c r="G15832">
        <v>0.81</v>
      </c>
      <c r="H15832" s="1" t="str">
        <f>HYPERLINK("http://www.weizmann.ac.il/complex/compphys/software/geview/data/figures/206575_at.png","Figure")</f>
        <v>Figure</v>
      </c>
      <c r="I15832">
        <v>1</v>
      </c>
      <c r="J15832">
        <v>0.99</v>
      </c>
      <c r="K15832">
        <v>1.02</v>
      </c>
      <c r="L15832">
        <v>0.77</v>
      </c>
      <c r="M15832">
        <v>1.01</v>
      </c>
      <c r="N15832">
        <v>0.85</v>
      </c>
    </row>
    <row r="15833" spans="1:14" x14ac:dyDescent="0.25">
      <c r="A15833" t="s">
        <v>26639</v>
      </c>
      <c r="B15833" t="s">
        <v>11668</v>
      </c>
      <c r="C15833" s="1" t="str">
        <f>HYPERLINK("http://www.genecards.org/cgi-bin/carddisp.pl?gene=RFC1","GeneCards")</f>
        <v>GeneCards</v>
      </c>
      <c r="D15833" s="1" t="str">
        <f>HYPERLINK("http://genome-euro.ucsc.edu/cgi-bin/hgTracks?position=208021_s_at","UCSC")</f>
        <v>UCSC</v>
      </c>
      <c r="E15833" s="1" t="str">
        <f>HYPERLINK("http://www.ncbi.nlm.nih.gov/gene/?term=RFC1","NCBI")</f>
        <v>NCBI</v>
      </c>
      <c r="F15833">
        <v>0.76</v>
      </c>
      <c r="G15833">
        <v>0.81</v>
      </c>
      <c r="H15833" s="1" t="str">
        <f>HYPERLINK("http://www.weizmann.ac.il/complex/compphys/software/geview/data/figures/208021_s_at.png","Figure")</f>
        <v>Figure</v>
      </c>
      <c r="I15833">
        <v>0.85599999999999998</v>
      </c>
      <c r="J15833">
        <v>0.78</v>
      </c>
      <c r="K15833">
        <v>0.88500000000000001</v>
      </c>
      <c r="L15833">
        <v>0.82</v>
      </c>
      <c r="M15833">
        <v>1.03</v>
      </c>
      <c r="N15833">
        <v>0.99</v>
      </c>
    </row>
    <row r="15834" spans="1:14" x14ac:dyDescent="0.25">
      <c r="A15834" t="s">
        <v>26640</v>
      </c>
      <c r="B15834" t="s">
        <v>26641</v>
      </c>
      <c r="C15834" s="1" t="str">
        <f>HYPERLINK("http://www.genecards.org/cgi-bin/carddisp.pl?gene=MRPL22","GeneCards")</f>
        <v>GeneCards</v>
      </c>
      <c r="D15834" s="1" t="str">
        <f>HYPERLINK("http://genome-euro.ucsc.edu/cgi-bin/hgTracks?position=218339_at","UCSC")</f>
        <v>UCSC</v>
      </c>
      <c r="E15834" s="1" t="str">
        <f>HYPERLINK("http://www.ncbi.nlm.nih.gov/gene/?term=MRPL22","NCBI")</f>
        <v>NCBI</v>
      </c>
      <c r="F15834">
        <v>0.76</v>
      </c>
      <c r="G15834">
        <v>0.81</v>
      </c>
      <c r="H15834" s="1" t="str">
        <f>HYPERLINK("http://www.weizmann.ac.il/complex/compphys/software/geview/data/figures/218339_at.png","Figure")</f>
        <v>Figure</v>
      </c>
      <c r="I15834">
        <v>1.1000000000000001</v>
      </c>
      <c r="J15834">
        <v>0.94</v>
      </c>
      <c r="K15834">
        <v>0.90800000000000003</v>
      </c>
      <c r="L15834">
        <v>0.92</v>
      </c>
      <c r="M15834">
        <v>0.82299999999999995</v>
      </c>
      <c r="N15834">
        <v>0.74</v>
      </c>
    </row>
    <row r="15835" spans="1:14" x14ac:dyDescent="0.25">
      <c r="A15835" t="s">
        <v>26642</v>
      </c>
      <c r="B15835" t="s">
        <v>26643</v>
      </c>
      <c r="C15835" s="1" t="str">
        <f>HYPERLINK("http://www.genecards.org/cgi-bin/carddisp.pl?gene=SMUG1","GeneCards")</f>
        <v>GeneCards</v>
      </c>
      <c r="D15835" s="1" t="str">
        <f>HYPERLINK("http://genome-euro.ucsc.edu/cgi-bin/hgTracks?position=218685_s_at","UCSC")</f>
        <v>UCSC</v>
      </c>
      <c r="E15835" s="1" t="str">
        <f>HYPERLINK("http://www.ncbi.nlm.nih.gov/gene/?term=SMUG1","NCBI")</f>
        <v>NCBI</v>
      </c>
      <c r="F15835">
        <v>0.76</v>
      </c>
      <c r="G15835">
        <v>0.81</v>
      </c>
      <c r="H15835" s="1" t="str">
        <f>HYPERLINK("http://www.weizmann.ac.il/complex/compphys/software/geview/data/figures/218685_s_at.png","Figure")</f>
        <v>Figure</v>
      </c>
      <c r="I15835">
        <v>1.03</v>
      </c>
      <c r="J15835">
        <v>0.9</v>
      </c>
      <c r="K15835">
        <v>1.05</v>
      </c>
      <c r="L15835">
        <v>0.74</v>
      </c>
      <c r="M15835">
        <v>1.01</v>
      </c>
      <c r="N15835">
        <v>0.97</v>
      </c>
    </row>
    <row r="15836" spans="1:14" x14ac:dyDescent="0.25">
      <c r="A15836" t="s">
        <v>26644</v>
      </c>
      <c r="B15836" t="s">
        <v>26645</v>
      </c>
      <c r="C15836" s="1" t="str">
        <f>HYPERLINK("http://www.genecards.org/cgi-bin/carddisp.pl?gene=MRPS7","GeneCards")</f>
        <v>GeneCards</v>
      </c>
      <c r="D15836" s="1" t="str">
        <f>HYPERLINK("http://genome-euro.ucsc.edu/cgi-bin/hgTracks?position=217932_at","UCSC")</f>
        <v>UCSC</v>
      </c>
      <c r="E15836" s="1" t="str">
        <f>HYPERLINK("http://www.ncbi.nlm.nih.gov/gene/?term=MRPS7","NCBI")</f>
        <v>NCBI</v>
      </c>
      <c r="F15836">
        <v>0.76</v>
      </c>
      <c r="G15836">
        <v>0.81</v>
      </c>
      <c r="H15836" s="1" t="str">
        <f>HYPERLINK("http://www.weizmann.ac.il/complex/compphys/software/geview/data/figures/217932_at.png","Figure")</f>
        <v>Figure</v>
      </c>
      <c r="I15836">
        <v>0.92200000000000004</v>
      </c>
      <c r="J15836">
        <v>0.74</v>
      </c>
      <c r="K15836">
        <v>0.97299999999999998</v>
      </c>
      <c r="L15836">
        <v>0.95</v>
      </c>
      <c r="M15836">
        <v>1.06</v>
      </c>
      <c r="N15836">
        <v>0.86</v>
      </c>
    </row>
    <row r="15837" spans="1:14" x14ac:dyDescent="0.25">
      <c r="A15837" t="s">
        <v>26646</v>
      </c>
      <c r="B15837" t="s">
        <v>23801</v>
      </c>
      <c r="C15837" s="1" t="str">
        <f>HYPERLINK("http://www.genecards.org/cgi-bin/carddisp.pl?gene=ABCA1","GeneCards")</f>
        <v>GeneCards</v>
      </c>
      <c r="D15837" s="1" t="str">
        <f>HYPERLINK("http://genome-euro.ucsc.edu/cgi-bin/hgTracks?position=203504_s_at","UCSC")</f>
        <v>UCSC</v>
      </c>
      <c r="E15837" s="1" t="str">
        <f>HYPERLINK("http://www.ncbi.nlm.nih.gov/gene/?term=ABCA1","NCBI")</f>
        <v>NCBI</v>
      </c>
      <c r="F15837">
        <v>0.76</v>
      </c>
      <c r="G15837">
        <v>0.81</v>
      </c>
      <c r="H15837" s="1" t="str">
        <f>HYPERLINK("http://www.weizmann.ac.il/complex/compphys/software/geview/data/figures/203504_s_at.png","Figure")</f>
        <v>Figure</v>
      </c>
      <c r="I15837">
        <v>1.08</v>
      </c>
      <c r="J15837">
        <v>0.98</v>
      </c>
      <c r="K15837">
        <v>0.84499999999999997</v>
      </c>
      <c r="L15837">
        <v>0.86</v>
      </c>
      <c r="M15837">
        <v>0.78500000000000003</v>
      </c>
      <c r="N15837">
        <v>0.77</v>
      </c>
    </row>
    <row r="15838" spans="1:14" x14ac:dyDescent="0.25">
      <c r="A15838" t="s">
        <v>26647</v>
      </c>
      <c r="B15838" t="s">
        <v>20010</v>
      </c>
      <c r="C15838" s="1" t="str">
        <f>HYPERLINK("http://www.genecards.org/cgi-bin/carddisp.pl?gene=AKR7A3","GeneCards")</f>
        <v>GeneCards</v>
      </c>
      <c r="D15838" s="1" t="str">
        <f>HYPERLINK("http://genome-euro.ucsc.edu/cgi-bin/hgTracks?position=206469_x_at","UCSC")</f>
        <v>UCSC</v>
      </c>
      <c r="E15838" s="1" t="str">
        <f>HYPERLINK("http://www.ncbi.nlm.nih.gov/gene/?term=AKR7A3","NCBI")</f>
        <v>NCBI</v>
      </c>
      <c r="F15838">
        <v>0.76</v>
      </c>
      <c r="G15838">
        <v>0.81</v>
      </c>
      <c r="H15838" s="1" t="str">
        <f>HYPERLINK("http://www.weizmann.ac.il/complex/compphys/software/geview/data/figures/206469_x_at.png","Figure")</f>
        <v>Figure</v>
      </c>
      <c r="I15838">
        <v>0.95599999999999996</v>
      </c>
      <c r="J15838">
        <v>0.8</v>
      </c>
      <c r="K15838">
        <v>1</v>
      </c>
      <c r="L15838">
        <v>1</v>
      </c>
      <c r="M15838">
        <v>1.05</v>
      </c>
      <c r="N15838">
        <v>0.77</v>
      </c>
    </row>
    <row r="15839" spans="1:14" x14ac:dyDescent="0.25">
      <c r="A15839" t="s">
        <v>26648</v>
      </c>
      <c r="B15839" t="s">
        <v>26649</v>
      </c>
      <c r="C15839" s="1" t="str">
        <f>HYPERLINK("http://www.genecards.org/cgi-bin/carddisp.pl?gene=ZNF184","GeneCards")</f>
        <v>GeneCards</v>
      </c>
      <c r="D15839" s="1" t="str">
        <f>HYPERLINK("http://genome-euro.ucsc.edu/cgi-bin/hgTracks?position=213452_at","UCSC")</f>
        <v>UCSC</v>
      </c>
      <c r="E15839" s="1" t="str">
        <f>HYPERLINK("http://www.ncbi.nlm.nih.gov/gene/?term=ZNF184","NCBI")</f>
        <v>NCBI</v>
      </c>
      <c r="F15839">
        <v>0.76</v>
      </c>
      <c r="G15839">
        <v>0.81</v>
      </c>
      <c r="H15839" s="1" t="str">
        <f>HYPERLINK("http://www.weizmann.ac.il/complex/compphys/software/geview/data/figures/213452_at.png","Figure")</f>
        <v>Figure</v>
      </c>
      <c r="I15839">
        <v>0.82199999999999995</v>
      </c>
      <c r="J15839">
        <v>0.77</v>
      </c>
      <c r="K15839">
        <v>0.86699999999999999</v>
      </c>
      <c r="L15839">
        <v>0.83</v>
      </c>
      <c r="M15839">
        <v>1.05</v>
      </c>
      <c r="N15839">
        <v>0.98</v>
      </c>
    </row>
    <row r="15840" spans="1:14" x14ac:dyDescent="0.25">
      <c r="A15840" t="s">
        <v>26650</v>
      </c>
      <c r="B15840" t="s">
        <v>26651</v>
      </c>
      <c r="C15840" s="1" t="str">
        <f>HYPERLINK("http://www.genecards.org/cgi-bin/carddisp.pl?gene=TJAP1","GeneCards")</f>
        <v>GeneCards</v>
      </c>
      <c r="D15840" s="1" t="str">
        <f>HYPERLINK("http://genome-euro.ucsc.edu/cgi-bin/hgTracks?position=47608_at","UCSC")</f>
        <v>UCSC</v>
      </c>
      <c r="E15840" s="1" t="str">
        <f>HYPERLINK("http://www.ncbi.nlm.nih.gov/gene/?term=TJAP1","NCBI")</f>
        <v>NCBI</v>
      </c>
      <c r="F15840">
        <v>0.76</v>
      </c>
      <c r="G15840">
        <v>0.82</v>
      </c>
      <c r="H15840" s="1" t="str">
        <f>HYPERLINK("http://www.weizmann.ac.il/complex/compphys/software/geview/data/figures/47608_at.png","Figure")</f>
        <v>Figure</v>
      </c>
      <c r="I15840">
        <v>0.98399999999999999</v>
      </c>
      <c r="J15840">
        <v>0.98</v>
      </c>
      <c r="K15840">
        <v>1.04</v>
      </c>
      <c r="L15840">
        <v>0.86</v>
      </c>
      <c r="M15840">
        <v>1.06</v>
      </c>
      <c r="N15840">
        <v>0.77</v>
      </c>
    </row>
    <row r="15841" spans="1:14" x14ac:dyDescent="0.25">
      <c r="A15841" t="s">
        <v>26652</v>
      </c>
      <c r="B15841" t="s">
        <v>26653</v>
      </c>
      <c r="C15841" s="1" t="str">
        <f>HYPERLINK("http://www.genecards.org/cgi-bin/carddisp.pl?gene=LOC100293440","GeneCards")</f>
        <v>GeneCards</v>
      </c>
      <c r="D15841" s="1" t="str">
        <f>HYPERLINK("http://genome-euro.ucsc.edu/cgi-bin/hgTracks?position=217148_x_at","UCSC")</f>
        <v>UCSC</v>
      </c>
      <c r="E15841" s="1" t="str">
        <f>HYPERLINK("http://www.ncbi.nlm.nih.gov/gene/?term=LOC100293440","NCBI")</f>
        <v>NCBI</v>
      </c>
      <c r="F15841">
        <v>0.76</v>
      </c>
      <c r="G15841">
        <v>0.82</v>
      </c>
      <c r="H15841" s="1" t="str">
        <f>HYPERLINK("http://www.weizmann.ac.il/complex/compphys/software/geview/data/figures/217148_x_at.png","Figure")</f>
        <v>Figure</v>
      </c>
      <c r="I15841">
        <v>1.1599999999999999</v>
      </c>
      <c r="J15841">
        <v>0.75</v>
      </c>
      <c r="K15841">
        <v>1.0900000000000001</v>
      </c>
      <c r="L15841">
        <v>0.87</v>
      </c>
      <c r="M15841">
        <v>0.94299999999999995</v>
      </c>
      <c r="N15841">
        <v>0.95</v>
      </c>
    </row>
    <row r="15842" spans="1:14" x14ac:dyDescent="0.25">
      <c r="A15842" t="s">
        <v>26654</v>
      </c>
      <c r="B15842" t="s">
        <v>26655</v>
      </c>
      <c r="C15842" s="1" t="str">
        <f>HYPERLINK("http://www.genecards.org/cgi-bin/carddisp.pl?gene=INPP5F","GeneCards")</f>
        <v>GeneCards</v>
      </c>
      <c r="D15842" s="1" t="str">
        <f>HYPERLINK("http://genome-euro.ucsc.edu/cgi-bin/hgTracks?position=203607_at","UCSC")</f>
        <v>UCSC</v>
      </c>
      <c r="E15842" s="1" t="str">
        <f>HYPERLINK("http://www.ncbi.nlm.nih.gov/gene/?term=INPP5F","NCBI")</f>
        <v>NCBI</v>
      </c>
      <c r="F15842">
        <v>0.76</v>
      </c>
      <c r="G15842">
        <v>0.82</v>
      </c>
      <c r="H15842" s="1" t="str">
        <f>HYPERLINK("http://www.weizmann.ac.il/complex/compphys/software/geview/data/figures/203607_at.png","Figure")</f>
        <v>Figure</v>
      </c>
      <c r="I15842">
        <v>0.77600000000000002</v>
      </c>
      <c r="J15842">
        <v>0.74</v>
      </c>
      <c r="K15842">
        <v>0.88400000000000001</v>
      </c>
      <c r="L15842">
        <v>0.91</v>
      </c>
      <c r="M15842">
        <v>1.1399999999999999</v>
      </c>
      <c r="N15842">
        <v>0.91</v>
      </c>
    </row>
    <row r="15843" spans="1:14" x14ac:dyDescent="0.25">
      <c r="A15843" t="s">
        <v>26656</v>
      </c>
      <c r="B15843" t="s">
        <v>25410</v>
      </c>
      <c r="C15843" s="1" t="str">
        <f>HYPERLINK("http://www.genecards.org/cgi-bin/carddisp.pl?gene=CFTR","GeneCards")</f>
        <v>GeneCards</v>
      </c>
      <c r="D15843" s="1" t="str">
        <f>HYPERLINK("http://genome-euro.ucsc.edu/cgi-bin/hgTracks?position=217026_at","UCSC")</f>
        <v>UCSC</v>
      </c>
      <c r="E15843" s="1" t="str">
        <f>HYPERLINK("http://www.ncbi.nlm.nih.gov/gene/?term=CFTR","NCBI")</f>
        <v>NCBI</v>
      </c>
      <c r="F15843">
        <v>0.76</v>
      </c>
      <c r="G15843">
        <v>0.82</v>
      </c>
      <c r="H15843" s="1" t="str">
        <f>HYPERLINK("http://www.weizmann.ac.il/complex/compphys/software/geview/data/figures/217026_at.png","Figure")</f>
        <v>Figure</v>
      </c>
      <c r="I15843">
        <v>1.04</v>
      </c>
      <c r="J15843">
        <v>0.76</v>
      </c>
      <c r="K15843">
        <v>1.03</v>
      </c>
      <c r="L15843">
        <v>0.85</v>
      </c>
      <c r="M15843">
        <v>0.98599999999999999</v>
      </c>
      <c r="N15843">
        <v>0.97</v>
      </c>
    </row>
    <row r="15844" spans="1:14" x14ac:dyDescent="0.25">
      <c r="A15844" t="s">
        <v>26657</v>
      </c>
      <c r="B15844" t="s">
        <v>15987</v>
      </c>
      <c r="C15844" s="1" t="str">
        <f>HYPERLINK("http://www.genecards.org/cgi-bin/carddisp.pl?gene=YWHAZ","GeneCards")</f>
        <v>GeneCards</v>
      </c>
      <c r="D15844" s="1" t="str">
        <f>HYPERLINK("http://genome-euro.ucsc.edu/cgi-bin/hgTracks?position=200640_at","UCSC")</f>
        <v>UCSC</v>
      </c>
      <c r="E15844" s="1" t="str">
        <f>HYPERLINK("http://www.ncbi.nlm.nih.gov/gene/?term=YWHAZ","NCBI")</f>
        <v>NCBI</v>
      </c>
      <c r="F15844">
        <v>0.76</v>
      </c>
      <c r="G15844">
        <v>0.82</v>
      </c>
      <c r="H15844" s="1" t="str">
        <f>HYPERLINK("http://www.weizmann.ac.il/complex/compphys/software/geview/data/figures/200640_at.png","Figure")</f>
        <v>Figure</v>
      </c>
      <c r="I15844">
        <v>0.98599999999999999</v>
      </c>
      <c r="J15844">
        <v>1</v>
      </c>
      <c r="K15844">
        <v>1.1200000000000001</v>
      </c>
      <c r="L15844">
        <v>0.82</v>
      </c>
      <c r="M15844">
        <v>1.1299999999999999</v>
      </c>
      <c r="N15844">
        <v>0.8</v>
      </c>
    </row>
    <row r="15845" spans="1:14" x14ac:dyDescent="0.25">
      <c r="A15845" t="s">
        <v>26658</v>
      </c>
      <c r="B15845" t="s">
        <v>26659</v>
      </c>
      <c r="C15845" s="1" t="str">
        <f>HYPERLINK("http://www.genecards.org/cgi-bin/carddisp.pl?gene=HIST1H2AE","GeneCards")</f>
        <v>GeneCards</v>
      </c>
      <c r="D15845" s="1" t="str">
        <f>HYPERLINK("http://genome-euro.ucsc.edu/cgi-bin/hgTracks?position=214469_at","UCSC")</f>
        <v>UCSC</v>
      </c>
      <c r="E15845" s="1" t="str">
        <f>HYPERLINK("http://www.ncbi.nlm.nih.gov/gene/?term=HIST1H2AE","NCBI")</f>
        <v>NCBI</v>
      </c>
      <c r="F15845">
        <v>0.76</v>
      </c>
      <c r="G15845">
        <v>0.82</v>
      </c>
      <c r="H15845" s="1" t="str">
        <f>HYPERLINK("http://www.weizmann.ac.il/complex/compphys/software/geview/data/figures/214469_at.png","Figure")</f>
        <v>Figure</v>
      </c>
      <c r="I15845">
        <v>1.31</v>
      </c>
      <c r="J15845">
        <v>0.8</v>
      </c>
      <c r="K15845">
        <v>1.28</v>
      </c>
      <c r="L15845">
        <v>0.79</v>
      </c>
      <c r="M15845">
        <v>0.97799999999999998</v>
      </c>
      <c r="N15845">
        <v>1</v>
      </c>
    </row>
    <row r="15846" spans="1:14" x14ac:dyDescent="0.25">
      <c r="A15846" t="s">
        <v>26660</v>
      </c>
      <c r="B15846" t="s">
        <v>13500</v>
      </c>
      <c r="C15846" s="1" t="str">
        <f>HYPERLINK("http://www.genecards.org/cgi-bin/carddisp.pl?gene=HIC2","GeneCards")</f>
        <v>GeneCards</v>
      </c>
      <c r="D15846" s="1" t="str">
        <f>HYPERLINK("http://genome-euro.ucsc.edu/cgi-bin/hgTracks?position=212966_at","UCSC")</f>
        <v>UCSC</v>
      </c>
      <c r="E15846" s="1" t="str">
        <f>HYPERLINK("http://www.ncbi.nlm.nih.gov/gene/?term=HIC2","NCBI")</f>
        <v>NCBI</v>
      </c>
      <c r="F15846">
        <v>0.76</v>
      </c>
      <c r="G15846">
        <v>0.82</v>
      </c>
      <c r="H15846" s="1" t="str">
        <f>HYPERLINK("http://www.weizmann.ac.il/complex/compphys/software/geview/data/figures/212966_at.png","Figure")</f>
        <v>Figure</v>
      </c>
      <c r="I15846">
        <v>0.87</v>
      </c>
      <c r="J15846">
        <v>0.78</v>
      </c>
      <c r="K15846">
        <v>0.89800000000000002</v>
      </c>
      <c r="L15846">
        <v>0.82</v>
      </c>
      <c r="M15846">
        <v>1.03</v>
      </c>
      <c r="N15846">
        <v>0.98</v>
      </c>
    </row>
    <row r="15847" spans="1:14" x14ac:dyDescent="0.25">
      <c r="A15847" t="s">
        <v>26661</v>
      </c>
      <c r="B15847" t="s">
        <v>26662</v>
      </c>
      <c r="C15847" s="1" t="str">
        <f>HYPERLINK("http://www.genecards.org/cgi-bin/carddisp.pl?gene=ACTN3","GeneCards")</f>
        <v>GeneCards</v>
      </c>
      <c r="D15847" s="1" t="str">
        <f>HYPERLINK("http://genome-euro.ucsc.edu/cgi-bin/hgTracks?position=206891_at","UCSC")</f>
        <v>UCSC</v>
      </c>
      <c r="E15847" s="1" t="str">
        <f>HYPERLINK("http://www.ncbi.nlm.nih.gov/gene/?term=ACTN3","NCBI")</f>
        <v>NCBI</v>
      </c>
      <c r="F15847">
        <v>0.76</v>
      </c>
      <c r="G15847">
        <v>0.82</v>
      </c>
      <c r="H15847" s="1" t="str">
        <f>HYPERLINK("http://www.weizmann.ac.il/complex/compphys/software/geview/data/figures/206891_at.png","Figure")</f>
        <v>Figure</v>
      </c>
      <c r="I15847">
        <v>1.04</v>
      </c>
      <c r="J15847">
        <v>0.75</v>
      </c>
      <c r="K15847">
        <v>1.02</v>
      </c>
      <c r="L15847">
        <v>0.87</v>
      </c>
      <c r="M15847">
        <v>0.98599999999999999</v>
      </c>
      <c r="N15847">
        <v>0.95</v>
      </c>
    </row>
    <row r="15848" spans="1:14" x14ac:dyDescent="0.25">
      <c r="A15848" t="s">
        <v>26663</v>
      </c>
      <c r="B15848" t="s">
        <v>20008</v>
      </c>
      <c r="C15848" s="1" t="str">
        <f>HYPERLINK("http://www.genecards.org/cgi-bin/carddisp.pl?gene=COX7C","GeneCards")</f>
        <v>GeneCards</v>
      </c>
      <c r="D15848" s="1" t="str">
        <f>HYPERLINK("http://genome-euro.ucsc.edu/cgi-bin/hgTracks?position=213846_at","UCSC")</f>
        <v>UCSC</v>
      </c>
      <c r="E15848" s="1" t="str">
        <f>HYPERLINK("http://www.ncbi.nlm.nih.gov/gene/?term=COX7C","NCBI")</f>
        <v>NCBI</v>
      </c>
      <c r="F15848">
        <v>0.76</v>
      </c>
      <c r="G15848">
        <v>0.82</v>
      </c>
      <c r="H15848" s="1" t="str">
        <f>HYPERLINK("http://www.weizmann.ac.il/complex/compphys/software/geview/data/figures/213846_at.png","Figure")</f>
        <v>Figure</v>
      </c>
      <c r="I15848">
        <v>0.91900000000000004</v>
      </c>
      <c r="J15848">
        <v>0.95</v>
      </c>
      <c r="K15848">
        <v>1.1100000000000001</v>
      </c>
      <c r="L15848">
        <v>0.91</v>
      </c>
      <c r="M15848">
        <v>1.2</v>
      </c>
      <c r="N15848">
        <v>0.75</v>
      </c>
    </row>
    <row r="15849" spans="1:14" x14ac:dyDescent="0.25">
      <c r="A15849" t="s">
        <v>26664</v>
      </c>
      <c r="B15849" t="s">
        <v>24643</v>
      </c>
      <c r="C15849" s="1" t="str">
        <f>HYPERLINK("http://www.genecards.org/cgi-bin/carddisp.pl?gene=UBA6","GeneCards")</f>
        <v>GeneCards</v>
      </c>
      <c r="D15849" s="1" t="str">
        <f>HYPERLINK("http://genome-euro.ucsc.edu/cgi-bin/hgTracks?position=218340_s_at","UCSC")</f>
        <v>UCSC</v>
      </c>
      <c r="E15849" s="1" t="str">
        <f>HYPERLINK("http://www.ncbi.nlm.nih.gov/gene/?term=UBA6","NCBI")</f>
        <v>NCBI</v>
      </c>
      <c r="F15849">
        <v>0.76</v>
      </c>
      <c r="G15849">
        <v>0.82</v>
      </c>
      <c r="H15849" s="1" t="str">
        <f>HYPERLINK("http://www.weizmann.ac.il/complex/compphys/software/geview/data/figures/218340_s_at.png","Figure")</f>
        <v>Figure</v>
      </c>
      <c r="I15849">
        <v>0.85399999999999998</v>
      </c>
      <c r="J15849">
        <v>0.75</v>
      </c>
      <c r="K15849">
        <v>0.95199999999999996</v>
      </c>
      <c r="L15849">
        <v>0.96</v>
      </c>
      <c r="M15849">
        <v>1.1200000000000001</v>
      </c>
      <c r="N15849">
        <v>0.85</v>
      </c>
    </row>
    <row r="15850" spans="1:14" x14ac:dyDescent="0.25">
      <c r="A15850" t="s">
        <v>26665</v>
      </c>
      <c r="B15850" t="s">
        <v>26666</v>
      </c>
      <c r="C15850" s="1" t="str">
        <f>HYPERLINK("http://www.genecards.org/cgi-bin/carddisp.pl?gene=DDX21","GeneCards")</f>
        <v>GeneCards</v>
      </c>
      <c r="D15850" s="1" t="str">
        <f>HYPERLINK("http://genome-euro.ucsc.edu/cgi-bin/hgTracks?position=208152_s_at","UCSC")</f>
        <v>UCSC</v>
      </c>
      <c r="E15850" s="1" t="str">
        <f>HYPERLINK("http://www.ncbi.nlm.nih.gov/gene/?term=DDX21","NCBI")</f>
        <v>NCBI</v>
      </c>
      <c r="F15850">
        <v>0.76</v>
      </c>
      <c r="G15850">
        <v>0.82</v>
      </c>
      <c r="H15850" s="1" t="str">
        <f>HYPERLINK("http://www.weizmann.ac.il/complex/compphys/software/geview/data/figures/208152_s_at.png","Figure")</f>
        <v>Figure</v>
      </c>
      <c r="I15850">
        <v>0.82499999999999996</v>
      </c>
      <c r="J15850">
        <v>0.74</v>
      </c>
      <c r="K15850">
        <v>0.91300000000000003</v>
      </c>
      <c r="L15850">
        <v>0.92</v>
      </c>
      <c r="M15850">
        <v>1.1100000000000001</v>
      </c>
      <c r="N15850">
        <v>0.91</v>
      </c>
    </row>
    <row r="15851" spans="1:14" x14ac:dyDescent="0.25">
      <c r="A15851" t="s">
        <v>26667</v>
      </c>
      <c r="B15851" t="s">
        <v>26668</v>
      </c>
      <c r="C15851" s="1" t="str">
        <f>HYPERLINK("http://www.genecards.org/cgi-bin/carddisp.pl?gene=DLX4","GeneCards")</f>
        <v>GeneCards</v>
      </c>
      <c r="D15851" s="1" t="str">
        <f>HYPERLINK("http://genome-euro.ucsc.edu/cgi-bin/hgTracks?position=208216_at","UCSC")</f>
        <v>UCSC</v>
      </c>
      <c r="E15851" s="1" t="str">
        <f>HYPERLINK("http://www.ncbi.nlm.nih.gov/gene/?term=DLX4","NCBI")</f>
        <v>NCBI</v>
      </c>
      <c r="F15851">
        <v>0.76</v>
      </c>
      <c r="G15851">
        <v>0.82</v>
      </c>
      <c r="H15851" s="1" t="str">
        <f>HYPERLINK("http://www.weizmann.ac.il/complex/compphys/software/geview/data/figures/208216_at.png","Figure")</f>
        <v>Figure</v>
      </c>
      <c r="I15851">
        <v>1.04</v>
      </c>
      <c r="J15851">
        <v>0.77</v>
      </c>
      <c r="K15851">
        <v>1.01</v>
      </c>
      <c r="L15851">
        <v>0.99</v>
      </c>
      <c r="M15851">
        <v>0.96699999999999997</v>
      </c>
      <c r="N15851">
        <v>0.81</v>
      </c>
    </row>
    <row r="15852" spans="1:14" x14ac:dyDescent="0.25">
      <c r="A15852" t="s">
        <v>26669</v>
      </c>
      <c r="B15852" t="s">
        <v>26670</v>
      </c>
      <c r="C15852" s="1" t="str">
        <f>HYPERLINK("http://www.genecards.org/cgi-bin/carddisp.pl?gene=ASCL3","GeneCards")</f>
        <v>GeneCards</v>
      </c>
      <c r="D15852" s="1" t="str">
        <f>HYPERLINK("http://genome-euro.ucsc.edu/cgi-bin/hgTracks?position=221161_at","UCSC")</f>
        <v>UCSC</v>
      </c>
      <c r="E15852" s="1" t="str">
        <f>HYPERLINK("http://www.ncbi.nlm.nih.gov/gene/?term=ASCL3","NCBI")</f>
        <v>NCBI</v>
      </c>
      <c r="F15852">
        <v>0.76</v>
      </c>
      <c r="G15852">
        <v>0.82</v>
      </c>
      <c r="H15852" s="1" t="str">
        <f>HYPERLINK("http://www.weizmann.ac.il/complex/compphys/software/geview/data/figures/221161_at.png","Figure")</f>
        <v>Figure</v>
      </c>
      <c r="I15852">
        <v>1.01</v>
      </c>
      <c r="J15852">
        <v>1</v>
      </c>
      <c r="K15852">
        <v>0.95399999999999996</v>
      </c>
      <c r="L15852">
        <v>0.83</v>
      </c>
      <c r="M15852">
        <v>0.94499999999999995</v>
      </c>
      <c r="N15852">
        <v>0.8</v>
      </c>
    </row>
    <row r="15853" spans="1:14" x14ac:dyDescent="0.25">
      <c r="A15853" t="s">
        <v>26671</v>
      </c>
      <c r="B15853" t="s">
        <v>11351</v>
      </c>
      <c r="C15853" s="1" t="str">
        <f>HYPERLINK("http://www.genecards.org/cgi-bin/carddisp.pl?gene=RPS28","GeneCards")</f>
        <v>GeneCards</v>
      </c>
      <c r="D15853" s="1" t="str">
        <f>HYPERLINK("http://genome-euro.ucsc.edu/cgi-bin/hgTracks?position=208903_at","UCSC")</f>
        <v>UCSC</v>
      </c>
      <c r="E15853" s="1" t="str">
        <f>HYPERLINK("http://www.ncbi.nlm.nih.gov/gene/?term=RPS28","NCBI")</f>
        <v>NCBI</v>
      </c>
      <c r="F15853">
        <v>0.76</v>
      </c>
      <c r="G15853">
        <v>0.82</v>
      </c>
      <c r="H15853" s="1" t="str">
        <f>HYPERLINK("http://www.weizmann.ac.il/complex/compphys/software/geview/data/figures/208903_at.png","Figure")</f>
        <v>Figure</v>
      </c>
      <c r="I15853">
        <v>1.08</v>
      </c>
      <c r="J15853">
        <v>0.74</v>
      </c>
      <c r="K15853">
        <v>1.04</v>
      </c>
      <c r="L15853">
        <v>0.92</v>
      </c>
      <c r="M15853">
        <v>0.95699999999999996</v>
      </c>
      <c r="N15853">
        <v>0.9</v>
      </c>
    </row>
    <row r="15854" spans="1:14" x14ac:dyDescent="0.25">
      <c r="A15854" t="s">
        <v>26672</v>
      </c>
      <c r="B15854" t="s">
        <v>3180</v>
      </c>
      <c r="C15854" s="1" t="str">
        <f>HYPERLINK("http://www.genecards.org/cgi-bin/carddisp.pl?gene=ISCA1","GeneCards")</f>
        <v>GeneCards</v>
      </c>
      <c r="D15854" s="1" t="str">
        <f>HYPERLINK("http://genome-euro.ucsc.edu/cgi-bin/hgTracks?position=221425_s_at","UCSC")</f>
        <v>UCSC</v>
      </c>
      <c r="E15854" s="1" t="str">
        <f>HYPERLINK("http://www.ncbi.nlm.nih.gov/gene/?term=ISCA1","NCBI")</f>
        <v>NCBI</v>
      </c>
      <c r="F15854">
        <v>0.76</v>
      </c>
      <c r="G15854">
        <v>0.82</v>
      </c>
      <c r="H15854" s="1" t="str">
        <f>HYPERLINK("http://www.weizmann.ac.il/complex/compphys/software/geview/data/figures/221425_s_at.png","Figure")</f>
        <v>Figure</v>
      </c>
      <c r="I15854">
        <v>0.91700000000000004</v>
      </c>
      <c r="J15854">
        <v>0.77</v>
      </c>
      <c r="K15854">
        <v>0.93700000000000006</v>
      </c>
      <c r="L15854">
        <v>0.82</v>
      </c>
      <c r="M15854">
        <v>1.02</v>
      </c>
      <c r="N15854">
        <v>0.98</v>
      </c>
    </row>
    <row r="15855" spans="1:14" x14ac:dyDescent="0.25">
      <c r="A15855" t="s">
        <v>26673</v>
      </c>
      <c r="B15855" t="s">
        <v>21886</v>
      </c>
      <c r="C15855" s="1" t="str">
        <f>HYPERLINK("http://www.genecards.org/cgi-bin/carddisp.pl?gene=FAM176B","GeneCards")</f>
        <v>GeneCards</v>
      </c>
      <c r="D15855" s="1" t="str">
        <f>HYPERLINK("http://genome-euro.ucsc.edu/cgi-bin/hgTracks?position=221710_x_at","UCSC")</f>
        <v>UCSC</v>
      </c>
      <c r="E15855" s="1" t="str">
        <f>HYPERLINK("http://www.ncbi.nlm.nih.gov/gene/?term=FAM176B","NCBI")</f>
        <v>NCBI</v>
      </c>
      <c r="F15855">
        <v>0.76</v>
      </c>
      <c r="G15855">
        <v>0.82</v>
      </c>
      <c r="H15855" s="1" t="str">
        <f>HYPERLINK("http://www.weizmann.ac.il/complex/compphys/software/geview/data/figures/221710_x_at.png","Figure")</f>
        <v>Figure</v>
      </c>
      <c r="I15855">
        <v>1.02</v>
      </c>
      <c r="J15855">
        <v>0.96</v>
      </c>
      <c r="K15855">
        <v>0.96699999999999997</v>
      </c>
      <c r="L15855">
        <v>0.89</v>
      </c>
      <c r="M15855">
        <v>0.94599999999999995</v>
      </c>
      <c r="N15855">
        <v>0.76</v>
      </c>
    </row>
    <row r="15856" spans="1:14" x14ac:dyDescent="0.25">
      <c r="A15856" t="s">
        <v>26674</v>
      </c>
      <c r="B15856" t="s">
        <v>22544</v>
      </c>
      <c r="C15856" s="1" t="str">
        <f>HYPERLINK("http://www.genecards.org/cgi-bin/carddisp.pl?gene=APC","GeneCards")</f>
        <v>GeneCards</v>
      </c>
      <c r="D15856" s="1" t="str">
        <f>HYPERLINK("http://genome-euro.ucsc.edu/cgi-bin/hgTracks?position=203527_s_at","UCSC")</f>
        <v>UCSC</v>
      </c>
      <c r="E15856" s="1" t="str">
        <f>HYPERLINK("http://www.ncbi.nlm.nih.gov/gene/?term=APC","NCBI")</f>
        <v>NCBI</v>
      </c>
      <c r="F15856">
        <v>0.76</v>
      </c>
      <c r="G15856">
        <v>0.82</v>
      </c>
      <c r="H15856" s="1" t="str">
        <f>HYPERLINK("http://www.weizmann.ac.il/complex/compphys/software/geview/data/figures/203527_s_at.png","Figure")</f>
        <v>Figure</v>
      </c>
      <c r="I15856">
        <v>0.98799999999999999</v>
      </c>
      <c r="J15856">
        <v>0.76</v>
      </c>
      <c r="K15856">
        <v>0.99199999999999999</v>
      </c>
      <c r="L15856">
        <v>0.85</v>
      </c>
      <c r="M15856">
        <v>1</v>
      </c>
      <c r="N15856">
        <v>0.96</v>
      </c>
    </row>
    <row r="15857" spans="1:14" x14ac:dyDescent="0.25">
      <c r="A15857" t="s">
        <v>26675</v>
      </c>
      <c r="B15857" t="s">
        <v>26676</v>
      </c>
      <c r="C15857" s="1" t="str">
        <f>HYPERLINK("http://www.genecards.org/cgi-bin/carddisp.pl?gene=PSG5","GeneCards")</f>
        <v>GeneCards</v>
      </c>
      <c r="D15857" s="1" t="str">
        <f>HYPERLINK("http://genome-euro.ucsc.edu/cgi-bin/hgTracks?position=204830_x_at","UCSC")</f>
        <v>UCSC</v>
      </c>
      <c r="E15857" s="1" t="str">
        <f>HYPERLINK("http://www.ncbi.nlm.nih.gov/gene/?term=PSG5","NCBI")</f>
        <v>NCBI</v>
      </c>
      <c r="F15857">
        <v>0.76</v>
      </c>
      <c r="G15857">
        <v>0.82</v>
      </c>
      <c r="H15857" s="1" t="str">
        <f>HYPERLINK("http://www.weizmann.ac.il/complex/compphys/software/geview/data/figures/204830_x_at.png","Figure")</f>
        <v>Figure</v>
      </c>
      <c r="I15857">
        <v>1.01</v>
      </c>
      <c r="J15857">
        <v>1</v>
      </c>
      <c r="K15857">
        <v>0.96699999999999997</v>
      </c>
      <c r="L15857">
        <v>0.83</v>
      </c>
      <c r="M15857">
        <v>0.96099999999999997</v>
      </c>
      <c r="N15857">
        <v>0.8</v>
      </c>
    </row>
    <row r="15858" spans="1:14" x14ac:dyDescent="0.25">
      <c r="A15858" t="s">
        <v>26677</v>
      </c>
      <c r="B15858" t="s">
        <v>6886</v>
      </c>
      <c r="C15858" s="1" t="str">
        <f>HYPERLINK("http://www.genecards.org/cgi-bin/carddisp.pl?gene=COQ7","GeneCards")</f>
        <v>GeneCards</v>
      </c>
      <c r="D15858" s="1" t="str">
        <f>HYPERLINK("http://genome-euro.ucsc.edu/cgi-bin/hgTracks?position=209745_at","UCSC")</f>
        <v>UCSC</v>
      </c>
      <c r="E15858" s="1" t="str">
        <f>HYPERLINK("http://www.ncbi.nlm.nih.gov/gene/?term=COQ7","NCBI")</f>
        <v>NCBI</v>
      </c>
      <c r="F15858">
        <v>0.76</v>
      </c>
      <c r="G15858">
        <v>0.82</v>
      </c>
      <c r="H15858" s="1" t="str">
        <f>HYPERLINK("http://www.weizmann.ac.il/complex/compphys/software/geview/data/figures/209745_at.png","Figure")</f>
        <v>Figure</v>
      </c>
      <c r="I15858">
        <v>0.96199999999999997</v>
      </c>
      <c r="J15858">
        <v>0.76</v>
      </c>
      <c r="K15858">
        <v>0.99299999999999999</v>
      </c>
      <c r="L15858">
        <v>0.99</v>
      </c>
      <c r="M15858">
        <v>1.03</v>
      </c>
      <c r="N15858">
        <v>0.82</v>
      </c>
    </row>
    <row r="15859" spans="1:14" x14ac:dyDescent="0.25">
      <c r="A15859" t="s">
        <v>26678</v>
      </c>
      <c r="B15859" t="s">
        <v>19819</v>
      </c>
      <c r="C15859" s="1" t="str">
        <f>HYPERLINK("http://www.genecards.org/cgi-bin/carddisp.pl?gene=DDX19A","GeneCards")</f>
        <v>GeneCards</v>
      </c>
      <c r="D15859" s="1" t="str">
        <f>HYPERLINK("http://genome-euro.ucsc.edu/cgi-bin/hgTracks?position=202578_s_at","UCSC")</f>
        <v>UCSC</v>
      </c>
      <c r="E15859" s="1" t="str">
        <f>HYPERLINK("http://www.ncbi.nlm.nih.gov/gene/?term=DDX19A","NCBI")</f>
        <v>NCBI</v>
      </c>
      <c r="F15859">
        <v>0.76</v>
      </c>
      <c r="G15859">
        <v>0.82</v>
      </c>
      <c r="H15859" s="1" t="str">
        <f>HYPERLINK("http://www.weizmann.ac.il/complex/compphys/software/geview/data/figures/202578_s_at.png","Figure")</f>
        <v>Figure</v>
      </c>
      <c r="I15859">
        <v>1.03</v>
      </c>
      <c r="J15859">
        <v>0.86</v>
      </c>
      <c r="K15859">
        <v>0.99</v>
      </c>
      <c r="L15859">
        <v>0.98</v>
      </c>
      <c r="M15859">
        <v>0.95899999999999996</v>
      </c>
      <c r="N15859">
        <v>0.75</v>
      </c>
    </row>
    <row r="15860" spans="1:14" x14ac:dyDescent="0.25">
      <c r="A15860" t="s">
        <v>26679</v>
      </c>
      <c r="B15860" t="s">
        <v>20746</v>
      </c>
      <c r="C15860" s="1" t="str">
        <f>HYPERLINK("http://www.genecards.org/cgi-bin/carddisp.pl?gene=KPNB1","GeneCards")</f>
        <v>GeneCards</v>
      </c>
      <c r="D15860" s="1" t="str">
        <f>HYPERLINK("http://genome-euro.ucsc.edu/cgi-bin/hgTracks?position=213507_s_at","UCSC")</f>
        <v>UCSC</v>
      </c>
      <c r="E15860" s="1" t="str">
        <f>HYPERLINK("http://www.ncbi.nlm.nih.gov/gene/?term=KPNB1","NCBI")</f>
        <v>NCBI</v>
      </c>
      <c r="F15860">
        <v>0.76</v>
      </c>
      <c r="G15860">
        <v>0.82</v>
      </c>
      <c r="H15860" s="1" t="str">
        <f>HYPERLINK("http://www.weizmann.ac.il/complex/compphys/software/geview/data/figures/213507_s_at.png","Figure")</f>
        <v>Figure</v>
      </c>
      <c r="I15860">
        <v>0.95799999999999996</v>
      </c>
      <c r="J15860">
        <v>0.95</v>
      </c>
      <c r="K15860">
        <v>1.05</v>
      </c>
      <c r="L15860">
        <v>0.91</v>
      </c>
      <c r="M15860">
        <v>1.1000000000000001</v>
      </c>
      <c r="N15860">
        <v>0.75</v>
      </c>
    </row>
    <row r="15861" spans="1:14" x14ac:dyDescent="0.25">
      <c r="A15861" t="s">
        <v>26680</v>
      </c>
      <c r="B15861" t="s">
        <v>18787</v>
      </c>
      <c r="C15861" s="1" t="str">
        <f>HYPERLINK("http://www.genecards.org/cgi-bin/carddisp.pl?gene=CBX3","GeneCards")</f>
        <v>GeneCards</v>
      </c>
      <c r="D15861" s="1" t="str">
        <f>HYPERLINK("http://genome-euro.ucsc.edu/cgi-bin/hgTracks?position=200037_s_at","UCSC")</f>
        <v>UCSC</v>
      </c>
      <c r="E15861" s="1" t="str">
        <f>HYPERLINK("http://www.ncbi.nlm.nih.gov/gene/?term=CBX3","NCBI")</f>
        <v>NCBI</v>
      </c>
      <c r="F15861">
        <v>0.76</v>
      </c>
      <c r="G15861">
        <v>0.82</v>
      </c>
      <c r="H15861" s="1" t="str">
        <f>HYPERLINK("http://www.weizmann.ac.il/complex/compphys/software/geview/data/figures/200037_s_at.png","Figure")</f>
        <v>Figure</v>
      </c>
      <c r="I15861">
        <v>0.95899999999999996</v>
      </c>
      <c r="J15861">
        <v>0.94</v>
      </c>
      <c r="K15861">
        <v>0.92200000000000004</v>
      </c>
      <c r="L15861">
        <v>0.74</v>
      </c>
      <c r="M15861">
        <v>0.96099999999999997</v>
      </c>
      <c r="N15861">
        <v>0.94</v>
      </c>
    </row>
    <row r="15862" spans="1:14" x14ac:dyDescent="0.25">
      <c r="A15862" t="s">
        <v>26681</v>
      </c>
      <c r="B15862" t="s">
        <v>3615</v>
      </c>
      <c r="C15862" s="1" t="str">
        <f>HYPERLINK("http://www.genecards.org/cgi-bin/carddisp.pl?gene=KLK2","GeneCards")</f>
        <v>GeneCards</v>
      </c>
      <c r="D15862" s="1" t="str">
        <f>HYPERLINK("http://genome-euro.ucsc.edu/cgi-bin/hgTracks?position=209854_s_at","UCSC")</f>
        <v>UCSC</v>
      </c>
      <c r="E15862" s="1" t="str">
        <f>HYPERLINK("http://www.ncbi.nlm.nih.gov/gene/?term=KLK2","NCBI")</f>
        <v>NCBI</v>
      </c>
      <c r="F15862">
        <v>0.76</v>
      </c>
      <c r="G15862">
        <v>0.82</v>
      </c>
      <c r="H15862" s="1" t="str">
        <f>HYPERLINK("http://www.weizmann.ac.il/complex/compphys/software/geview/data/figures/209854_s_at.png","Figure")</f>
        <v>Figure</v>
      </c>
      <c r="I15862">
        <v>1.02</v>
      </c>
      <c r="J15862">
        <v>0.83</v>
      </c>
      <c r="K15862">
        <v>1.02</v>
      </c>
      <c r="L15862">
        <v>0.77</v>
      </c>
      <c r="M15862">
        <v>1</v>
      </c>
      <c r="N15862">
        <v>1</v>
      </c>
    </row>
    <row r="15863" spans="1:14" x14ac:dyDescent="0.25">
      <c r="A15863" t="s">
        <v>26682</v>
      </c>
      <c r="B15863" t="s">
        <v>26683</v>
      </c>
      <c r="C15863" s="1" t="str">
        <f>HYPERLINK("http://www.genecards.org/cgi-bin/carddisp.pl?gene=LOC100288442 /// LOC339047 /// NPIP","GeneCards")</f>
        <v>GeneCards</v>
      </c>
      <c r="D15863" s="1" t="str">
        <f>HYPERLINK("http://genome-euro.ucsc.edu/cgi-bin/hgTracks?position=214870_x_at","UCSC")</f>
        <v>UCSC</v>
      </c>
      <c r="E15863" s="1" t="str">
        <f>HYPERLINK("http://www.ncbi.nlm.nih.gov/gene/?term=LOC100288442 /// LOC339047 /// NPIP","NCBI")</f>
        <v>NCBI</v>
      </c>
      <c r="F15863">
        <v>0.76</v>
      </c>
      <c r="G15863">
        <v>0.82</v>
      </c>
      <c r="H15863" s="1" t="str">
        <f>HYPERLINK("http://www.weizmann.ac.il/complex/compphys/software/geview/data/figures/214870_x_at.png","Figure")</f>
        <v>Figure</v>
      </c>
      <c r="I15863">
        <v>1.08</v>
      </c>
      <c r="J15863">
        <v>0.95</v>
      </c>
      <c r="K15863">
        <v>1.2</v>
      </c>
      <c r="L15863">
        <v>0.75</v>
      </c>
      <c r="M15863">
        <v>1.1000000000000001</v>
      </c>
      <c r="N15863">
        <v>0.93</v>
      </c>
    </row>
    <row r="15864" spans="1:14" x14ac:dyDescent="0.25">
      <c r="A15864" t="s">
        <v>26684</v>
      </c>
      <c r="B15864" t="s">
        <v>17528</v>
      </c>
      <c r="C15864" s="1" t="str">
        <f>HYPERLINK("http://www.genecards.org/cgi-bin/carddisp.pl?gene=TPSAB1 /// TPSB2","GeneCards")</f>
        <v>GeneCards</v>
      </c>
      <c r="D15864" s="1" t="str">
        <f>HYPERLINK("http://genome-euro.ucsc.edu/cgi-bin/hgTracks?position=217023_x_at","UCSC")</f>
        <v>UCSC</v>
      </c>
      <c r="E15864" s="1" t="str">
        <f>HYPERLINK("http://www.ncbi.nlm.nih.gov/gene/?term=TPSAB1 /// TPSB2","NCBI")</f>
        <v>NCBI</v>
      </c>
      <c r="F15864">
        <v>0.76</v>
      </c>
      <c r="G15864">
        <v>0.82</v>
      </c>
      <c r="H15864" s="1" t="str">
        <f>HYPERLINK("http://www.weizmann.ac.il/complex/compphys/software/geview/data/figures/217023_x_at.png","Figure")</f>
        <v>Figure</v>
      </c>
      <c r="I15864">
        <v>1.03</v>
      </c>
      <c r="J15864">
        <v>0.85</v>
      </c>
      <c r="K15864">
        <v>0.99399999999999999</v>
      </c>
      <c r="L15864">
        <v>0.99</v>
      </c>
      <c r="M15864">
        <v>0.96599999999999997</v>
      </c>
      <c r="N15864">
        <v>0.75</v>
      </c>
    </row>
    <row r="15865" spans="1:14" x14ac:dyDescent="0.25">
      <c r="A15865" t="s">
        <v>26685</v>
      </c>
      <c r="B15865" t="s">
        <v>2102</v>
      </c>
      <c r="C15865" s="1" t="str">
        <f>HYPERLINK("http://www.genecards.org/cgi-bin/carddisp.pl?gene=ACSM5","GeneCards")</f>
        <v>GeneCards</v>
      </c>
      <c r="D15865" s="1" t="str">
        <f>HYPERLINK("http://genome-euro.ucsc.edu/cgi-bin/hgTracks?position=89977_at","UCSC")</f>
        <v>UCSC</v>
      </c>
      <c r="E15865" s="1" t="str">
        <f>HYPERLINK("http://www.ncbi.nlm.nih.gov/gene/?term=ACSM5","NCBI")</f>
        <v>NCBI</v>
      </c>
      <c r="F15865">
        <v>0.76</v>
      </c>
      <c r="G15865">
        <v>0.82</v>
      </c>
      <c r="H15865" s="1" t="str">
        <f>HYPERLINK("http://www.weizmann.ac.il/complex/compphys/software/geview/data/figures/89977_at.png","Figure")</f>
        <v>Figure</v>
      </c>
      <c r="I15865">
        <v>1.02</v>
      </c>
      <c r="J15865">
        <v>0.77</v>
      </c>
      <c r="K15865">
        <v>1.01</v>
      </c>
      <c r="L15865">
        <v>0.84</v>
      </c>
      <c r="M15865">
        <v>0.995</v>
      </c>
      <c r="N15865">
        <v>0.97</v>
      </c>
    </row>
    <row r="15866" spans="1:14" x14ac:dyDescent="0.25">
      <c r="A15866" t="s">
        <v>26686</v>
      </c>
      <c r="B15866" t="s">
        <v>20777</v>
      </c>
      <c r="C15866" s="1" t="str">
        <f>HYPERLINK("http://www.genecards.org/cgi-bin/carddisp.pl?gene=ATR","GeneCards")</f>
        <v>GeneCards</v>
      </c>
      <c r="D15866" s="1" t="str">
        <f>HYPERLINK("http://genome-euro.ucsc.edu/cgi-bin/hgTracks?position=209903_s_at","UCSC")</f>
        <v>UCSC</v>
      </c>
      <c r="E15866" s="1" t="str">
        <f>HYPERLINK("http://www.ncbi.nlm.nih.gov/gene/?term=ATR","NCBI")</f>
        <v>NCBI</v>
      </c>
      <c r="F15866">
        <v>0.76</v>
      </c>
      <c r="G15866">
        <v>0.82</v>
      </c>
      <c r="H15866" s="1" t="str">
        <f>HYPERLINK("http://www.weizmann.ac.il/complex/compphys/software/geview/data/figures/209903_s_at.png","Figure")</f>
        <v>Figure</v>
      </c>
      <c r="I15866">
        <v>0.88500000000000001</v>
      </c>
      <c r="J15866">
        <v>0.93</v>
      </c>
      <c r="K15866">
        <v>1.1100000000000001</v>
      </c>
      <c r="L15866">
        <v>0.93</v>
      </c>
      <c r="M15866">
        <v>1.25</v>
      </c>
      <c r="N15866">
        <v>0.75</v>
      </c>
    </row>
    <row r="15867" spans="1:14" x14ac:dyDescent="0.25">
      <c r="A15867" t="s">
        <v>26687</v>
      </c>
      <c r="B15867" t="s">
        <v>17361</v>
      </c>
      <c r="C15867" s="1" t="str">
        <f>HYPERLINK("http://www.genecards.org/cgi-bin/carddisp.pl?gene=SSH3","GeneCards")</f>
        <v>GeneCards</v>
      </c>
      <c r="D15867" s="1" t="str">
        <f>HYPERLINK("http://genome-euro.ucsc.edu/cgi-bin/hgTracks?position=219919_s_at","UCSC")</f>
        <v>UCSC</v>
      </c>
      <c r="E15867" s="1" t="str">
        <f>HYPERLINK("http://www.ncbi.nlm.nih.gov/gene/?term=SSH3","NCBI")</f>
        <v>NCBI</v>
      </c>
      <c r="F15867">
        <v>0.76</v>
      </c>
      <c r="G15867">
        <v>0.82</v>
      </c>
      <c r="H15867" s="1" t="str">
        <f>HYPERLINK("http://www.weizmann.ac.il/complex/compphys/software/geview/data/figures/219919_s_at.png","Figure")</f>
        <v>Figure</v>
      </c>
      <c r="I15867">
        <v>0.90800000000000003</v>
      </c>
      <c r="J15867">
        <v>0.74</v>
      </c>
      <c r="K15867">
        <v>0.95699999999999996</v>
      </c>
      <c r="L15867">
        <v>0.92</v>
      </c>
      <c r="M15867">
        <v>1.05</v>
      </c>
      <c r="N15867">
        <v>0.9</v>
      </c>
    </row>
    <row r="15868" spans="1:14" x14ac:dyDescent="0.25">
      <c r="A15868" t="s">
        <v>26688</v>
      </c>
      <c r="B15868" t="s">
        <v>5138</v>
      </c>
      <c r="C15868" s="1" t="str">
        <f>HYPERLINK("http://www.genecards.org/cgi-bin/carddisp.pl?gene=WDR61","GeneCards")</f>
        <v>GeneCards</v>
      </c>
      <c r="D15868" s="1" t="str">
        <f>HYPERLINK("http://genome-euro.ucsc.edu/cgi-bin/hgTracks?position=221531_at","UCSC")</f>
        <v>UCSC</v>
      </c>
      <c r="E15868" s="1" t="str">
        <f>HYPERLINK("http://www.ncbi.nlm.nih.gov/gene/?term=WDR61","NCBI")</f>
        <v>NCBI</v>
      </c>
      <c r="F15868">
        <v>0.76</v>
      </c>
      <c r="G15868">
        <v>0.82</v>
      </c>
      <c r="H15868" s="1" t="str">
        <f>HYPERLINK("http://www.weizmann.ac.il/complex/compphys/software/geview/data/figures/221531_at.png","Figure")</f>
        <v>Figure</v>
      </c>
      <c r="I15868">
        <v>0.998</v>
      </c>
      <c r="J15868">
        <v>1</v>
      </c>
      <c r="K15868">
        <v>1.07</v>
      </c>
      <c r="L15868">
        <v>0.81</v>
      </c>
      <c r="M15868">
        <v>1.08</v>
      </c>
      <c r="N15868">
        <v>0.82</v>
      </c>
    </row>
    <row r="15869" spans="1:14" x14ac:dyDescent="0.25">
      <c r="A15869" t="s">
        <v>26689</v>
      </c>
      <c r="B15869" t="s">
        <v>1676</v>
      </c>
      <c r="C15869" s="1" t="str">
        <f>HYPERLINK("http://www.genecards.org/cgi-bin/carddisp.pl?gene=HPS1","GeneCards")</f>
        <v>GeneCards</v>
      </c>
      <c r="D15869" s="1" t="str">
        <f>HYPERLINK("http://genome-euro.ucsc.edu/cgi-bin/hgTracks?position=203309_s_at","UCSC")</f>
        <v>UCSC</v>
      </c>
      <c r="E15869" s="1" t="str">
        <f>HYPERLINK("http://www.ncbi.nlm.nih.gov/gene/?term=HPS1","NCBI")</f>
        <v>NCBI</v>
      </c>
      <c r="F15869">
        <v>0.76</v>
      </c>
      <c r="G15869">
        <v>0.82</v>
      </c>
      <c r="H15869" s="1" t="str">
        <f>HYPERLINK("http://www.weizmann.ac.il/complex/compphys/software/geview/data/figures/203309_s_at.png","Figure")</f>
        <v>Figure</v>
      </c>
      <c r="I15869">
        <v>0.95399999999999996</v>
      </c>
      <c r="J15869">
        <v>0.8</v>
      </c>
      <c r="K15869">
        <v>0.999</v>
      </c>
      <c r="L15869">
        <v>1</v>
      </c>
      <c r="M15869">
        <v>1.05</v>
      </c>
      <c r="N15869">
        <v>0.78</v>
      </c>
    </row>
    <row r="15870" spans="1:14" x14ac:dyDescent="0.25">
      <c r="A15870" t="s">
        <v>26690</v>
      </c>
      <c r="B15870" t="s">
        <v>26691</v>
      </c>
      <c r="C15870" s="1" t="str">
        <f>HYPERLINK("http://www.genecards.org/cgi-bin/carddisp.pl?gene=MEP1B","GeneCards")</f>
        <v>GeneCards</v>
      </c>
      <c r="D15870" s="1" t="str">
        <f>HYPERLINK("http://genome-euro.ucsc.edu/cgi-bin/hgTracks?position=207251_at","UCSC")</f>
        <v>UCSC</v>
      </c>
      <c r="E15870" s="1" t="str">
        <f>HYPERLINK("http://www.ncbi.nlm.nih.gov/gene/?term=MEP1B","NCBI")</f>
        <v>NCBI</v>
      </c>
      <c r="F15870">
        <v>0.76</v>
      </c>
      <c r="G15870">
        <v>0.82</v>
      </c>
      <c r="H15870" s="1" t="str">
        <f>HYPERLINK("http://www.weizmann.ac.il/complex/compphys/software/geview/data/figures/207251_at.png","Figure")</f>
        <v>Figure</v>
      </c>
      <c r="I15870">
        <v>0.996</v>
      </c>
      <c r="J15870">
        <v>0.99</v>
      </c>
      <c r="K15870">
        <v>0.98099999999999998</v>
      </c>
      <c r="L15870">
        <v>0.77</v>
      </c>
      <c r="M15870">
        <v>0.98499999999999999</v>
      </c>
      <c r="N15870">
        <v>0.87</v>
      </c>
    </row>
    <row r="15871" spans="1:14" x14ac:dyDescent="0.25">
      <c r="A15871" t="s">
        <v>26692</v>
      </c>
      <c r="B15871" t="s">
        <v>17615</v>
      </c>
      <c r="C15871" s="1" t="str">
        <f>HYPERLINK("http://www.genecards.org/cgi-bin/carddisp.pl?gene=VAMP5","GeneCards")</f>
        <v>GeneCards</v>
      </c>
      <c r="D15871" s="1" t="str">
        <f>HYPERLINK("http://genome-euro.ucsc.edu/cgi-bin/hgTracks?position=204929_s_at","UCSC")</f>
        <v>UCSC</v>
      </c>
      <c r="E15871" s="1" t="str">
        <f>HYPERLINK("http://www.ncbi.nlm.nih.gov/gene/?term=VAMP5","NCBI")</f>
        <v>NCBI</v>
      </c>
      <c r="F15871">
        <v>0.76</v>
      </c>
      <c r="G15871">
        <v>0.82</v>
      </c>
      <c r="H15871" s="1" t="str">
        <f>HYPERLINK("http://www.weizmann.ac.il/complex/compphys/software/geview/data/figures/204929_s_at.png","Figure")</f>
        <v>Figure</v>
      </c>
      <c r="I15871">
        <v>0.871</v>
      </c>
      <c r="J15871">
        <v>0.74</v>
      </c>
      <c r="K15871">
        <v>0.94199999999999995</v>
      </c>
      <c r="L15871">
        <v>0.93</v>
      </c>
      <c r="M15871">
        <v>1.08</v>
      </c>
      <c r="N15871">
        <v>0.9</v>
      </c>
    </row>
    <row r="15872" spans="1:14" x14ac:dyDescent="0.25">
      <c r="A15872" t="s">
        <v>26693</v>
      </c>
      <c r="B15872" t="s">
        <v>26694</v>
      </c>
      <c r="C15872" s="1" t="str">
        <f>HYPERLINK("http://www.genecards.org/cgi-bin/carddisp.pl?gene=LMAN2","GeneCards")</f>
        <v>GeneCards</v>
      </c>
      <c r="D15872" s="1" t="str">
        <f>HYPERLINK("http://genome-euro.ucsc.edu/cgi-bin/hgTracks?position=200805_at","UCSC")</f>
        <v>UCSC</v>
      </c>
      <c r="E15872" s="1" t="str">
        <f>HYPERLINK("http://www.ncbi.nlm.nih.gov/gene/?term=LMAN2","NCBI")</f>
        <v>NCBI</v>
      </c>
      <c r="F15872">
        <v>0.76</v>
      </c>
      <c r="G15872">
        <v>0.82</v>
      </c>
      <c r="H15872" s="1" t="str">
        <f>HYPERLINK("http://www.weizmann.ac.il/complex/compphys/software/geview/data/figures/200805_at.png","Figure")</f>
        <v>Figure</v>
      </c>
      <c r="I15872">
        <v>0.93600000000000005</v>
      </c>
      <c r="J15872">
        <v>0.88</v>
      </c>
      <c r="K15872">
        <v>1.03</v>
      </c>
      <c r="L15872">
        <v>0.97</v>
      </c>
      <c r="M15872">
        <v>1.1000000000000001</v>
      </c>
      <c r="N15872">
        <v>0.75</v>
      </c>
    </row>
    <row r="15873" spans="1:14" x14ac:dyDescent="0.25">
      <c r="A15873" t="s">
        <v>26695</v>
      </c>
      <c r="B15873" t="s">
        <v>22920</v>
      </c>
      <c r="C15873" s="1" t="str">
        <f>HYPERLINK("http://www.genecards.org/cgi-bin/carddisp.pl?gene=PRPF4","GeneCards")</f>
        <v>GeneCards</v>
      </c>
      <c r="D15873" s="1" t="str">
        <f>HYPERLINK("http://genome-euro.ucsc.edu/cgi-bin/hgTracks?position=209161_at","UCSC")</f>
        <v>UCSC</v>
      </c>
      <c r="E15873" s="1" t="str">
        <f>HYPERLINK("http://www.ncbi.nlm.nih.gov/gene/?term=PRPF4","NCBI")</f>
        <v>NCBI</v>
      </c>
      <c r="F15873">
        <v>0.76</v>
      </c>
      <c r="G15873">
        <v>0.82</v>
      </c>
      <c r="H15873" s="1" t="str">
        <f>HYPERLINK("http://www.weizmann.ac.il/complex/compphys/software/geview/data/figures/209161_at.png","Figure")</f>
        <v>Figure</v>
      </c>
      <c r="I15873">
        <v>1.1000000000000001</v>
      </c>
      <c r="J15873">
        <v>0.83</v>
      </c>
      <c r="K15873">
        <v>0.98599999999999999</v>
      </c>
      <c r="L15873">
        <v>0.99</v>
      </c>
      <c r="M15873">
        <v>0.9</v>
      </c>
      <c r="N15873">
        <v>0.76</v>
      </c>
    </row>
    <row r="15874" spans="1:14" x14ac:dyDescent="0.25">
      <c r="A15874" t="s">
        <v>26696</v>
      </c>
      <c r="B15874" t="s">
        <v>26697</v>
      </c>
      <c r="C15874" s="1" t="str">
        <f>HYPERLINK("http://www.genecards.org/cgi-bin/carddisp.pl?gene=POR","GeneCards")</f>
        <v>GeneCards</v>
      </c>
      <c r="D15874" s="1" t="str">
        <f>HYPERLINK("http://genome-euro.ucsc.edu/cgi-bin/hgTracks?position=208928_at","UCSC")</f>
        <v>UCSC</v>
      </c>
      <c r="E15874" s="1" t="str">
        <f>HYPERLINK("http://www.ncbi.nlm.nih.gov/gene/?term=POR","NCBI")</f>
        <v>NCBI</v>
      </c>
      <c r="F15874">
        <v>0.76</v>
      </c>
      <c r="G15874">
        <v>0.82</v>
      </c>
      <c r="H15874" s="1" t="str">
        <f>HYPERLINK("http://www.weizmann.ac.il/complex/compphys/software/geview/data/figures/208928_at.png","Figure")</f>
        <v>Figure</v>
      </c>
      <c r="I15874">
        <v>0.98599999999999999</v>
      </c>
      <c r="J15874">
        <v>0.96</v>
      </c>
      <c r="K15874">
        <v>1.02</v>
      </c>
      <c r="L15874">
        <v>0.89</v>
      </c>
      <c r="M15874">
        <v>1.04</v>
      </c>
      <c r="N15874">
        <v>0.76</v>
      </c>
    </row>
    <row r="15875" spans="1:14" x14ac:dyDescent="0.25">
      <c r="A15875" t="s">
        <v>26698</v>
      </c>
      <c r="B15875" t="s">
        <v>18881</v>
      </c>
      <c r="C15875" s="1" t="str">
        <f>HYPERLINK("http://www.genecards.org/cgi-bin/carddisp.pl?gene=LARS2","GeneCards")</f>
        <v>GeneCards</v>
      </c>
      <c r="D15875" s="1" t="str">
        <f>HYPERLINK("http://genome-euro.ucsc.edu/cgi-bin/hgTracks?position=34764_at","UCSC")</f>
        <v>UCSC</v>
      </c>
      <c r="E15875" s="1" t="str">
        <f>HYPERLINK("http://www.ncbi.nlm.nih.gov/gene/?term=LARS2","NCBI")</f>
        <v>NCBI</v>
      </c>
      <c r="F15875">
        <v>0.77</v>
      </c>
      <c r="G15875">
        <v>0.82</v>
      </c>
      <c r="H15875" s="1" t="str">
        <f>HYPERLINK("http://www.weizmann.ac.il/complex/compphys/software/geview/data/figures/34764_at.png","Figure")</f>
        <v>Figure</v>
      </c>
      <c r="I15875">
        <v>0.95499999999999996</v>
      </c>
      <c r="J15875">
        <v>0.87</v>
      </c>
      <c r="K15875">
        <v>0.94499999999999995</v>
      </c>
      <c r="L15875">
        <v>0.76</v>
      </c>
      <c r="M15875">
        <v>0.99</v>
      </c>
      <c r="N15875">
        <v>0.99</v>
      </c>
    </row>
    <row r="15876" spans="1:14" x14ac:dyDescent="0.25">
      <c r="A15876" t="s">
        <v>26699</v>
      </c>
      <c r="B15876" t="s">
        <v>8821</v>
      </c>
      <c r="C15876" s="1" t="str">
        <f>HYPERLINK("http://www.genecards.org/cgi-bin/carddisp.pl?gene=STK38L","GeneCards")</f>
        <v>GeneCards</v>
      </c>
      <c r="D15876" s="1" t="str">
        <f>HYPERLINK("http://genome-euro.ucsc.edu/cgi-bin/hgTracks?position=212572_at","UCSC")</f>
        <v>UCSC</v>
      </c>
      <c r="E15876" s="1" t="str">
        <f>HYPERLINK("http://www.ncbi.nlm.nih.gov/gene/?term=STK38L","NCBI")</f>
        <v>NCBI</v>
      </c>
      <c r="F15876">
        <v>0.77</v>
      </c>
      <c r="G15876">
        <v>0.82</v>
      </c>
      <c r="H15876" s="1" t="str">
        <f>HYPERLINK("http://www.weizmann.ac.il/complex/compphys/software/geview/data/figures/212572_at.png","Figure")</f>
        <v>Figure</v>
      </c>
      <c r="I15876">
        <v>0.96799999999999997</v>
      </c>
      <c r="J15876">
        <v>0.99</v>
      </c>
      <c r="K15876">
        <v>0.86199999999999999</v>
      </c>
      <c r="L15876">
        <v>0.77</v>
      </c>
      <c r="M15876">
        <v>0.89</v>
      </c>
      <c r="N15876">
        <v>0.87</v>
      </c>
    </row>
    <row r="15877" spans="1:14" x14ac:dyDescent="0.25">
      <c r="A15877" t="s">
        <v>26700</v>
      </c>
      <c r="B15877" t="s">
        <v>17958</v>
      </c>
      <c r="C15877" s="1" t="str">
        <f>HYPERLINK("http://www.genecards.org/cgi-bin/carddisp.pl?gene=TRIM38","GeneCards")</f>
        <v>GeneCards</v>
      </c>
      <c r="D15877" s="1" t="str">
        <f>HYPERLINK("http://genome-euro.ucsc.edu/cgi-bin/hgTracks?position=203567_s_at","UCSC")</f>
        <v>UCSC</v>
      </c>
      <c r="E15877" s="1" t="str">
        <f>HYPERLINK("http://www.ncbi.nlm.nih.gov/gene/?term=TRIM38","NCBI")</f>
        <v>NCBI</v>
      </c>
      <c r="F15877">
        <v>0.77</v>
      </c>
      <c r="G15877">
        <v>0.82</v>
      </c>
      <c r="H15877" s="1" t="str">
        <f>HYPERLINK("http://www.weizmann.ac.il/complex/compphys/software/geview/data/figures/203567_s_at.png","Figure")</f>
        <v>Figure</v>
      </c>
      <c r="I15877">
        <v>0.89700000000000002</v>
      </c>
      <c r="J15877">
        <v>0.87</v>
      </c>
      <c r="K15877">
        <v>0.875</v>
      </c>
      <c r="L15877">
        <v>0.76</v>
      </c>
      <c r="M15877">
        <v>0.97599999999999998</v>
      </c>
      <c r="N15877">
        <v>0.99</v>
      </c>
    </row>
    <row r="15878" spans="1:14" x14ac:dyDescent="0.25">
      <c r="A15878" t="s">
        <v>26701</v>
      </c>
      <c r="B15878" t="s">
        <v>7658</v>
      </c>
      <c r="C15878" s="1" t="str">
        <f>HYPERLINK("http://www.genecards.org/cgi-bin/carddisp.pl?gene=LRCH4","GeneCards")</f>
        <v>GeneCards</v>
      </c>
      <c r="D15878" s="1" t="str">
        <f>HYPERLINK("http://genome-euro.ucsc.edu/cgi-bin/hgTracks?position=90610_at","UCSC")</f>
        <v>UCSC</v>
      </c>
      <c r="E15878" s="1" t="str">
        <f>HYPERLINK("http://www.ncbi.nlm.nih.gov/gene/?term=LRCH4","NCBI")</f>
        <v>NCBI</v>
      </c>
      <c r="F15878">
        <v>0.77</v>
      </c>
      <c r="G15878">
        <v>0.82</v>
      </c>
      <c r="H15878" s="1" t="str">
        <f>HYPERLINK("http://www.weizmann.ac.il/complex/compphys/software/geview/data/figures/90610_at.png","Figure")</f>
        <v>Figure</v>
      </c>
      <c r="I15878">
        <v>1.1200000000000001</v>
      </c>
      <c r="J15878">
        <v>0.84</v>
      </c>
      <c r="K15878">
        <v>1.1299999999999999</v>
      </c>
      <c r="L15878">
        <v>0.77</v>
      </c>
      <c r="M15878">
        <v>1.01</v>
      </c>
      <c r="N15878">
        <v>1</v>
      </c>
    </row>
    <row r="15879" spans="1:14" x14ac:dyDescent="0.25">
      <c r="A15879" t="s">
        <v>26702</v>
      </c>
      <c r="B15879" t="s">
        <v>23462</v>
      </c>
      <c r="C15879" s="1" t="str">
        <f>HYPERLINK("http://www.genecards.org/cgi-bin/carddisp.pl?gene=PDLIM5","GeneCards")</f>
        <v>GeneCards</v>
      </c>
      <c r="D15879" s="1" t="str">
        <f>HYPERLINK("http://genome-euro.ucsc.edu/cgi-bin/hgTracks?position=212412_at","UCSC")</f>
        <v>UCSC</v>
      </c>
      <c r="E15879" s="1" t="str">
        <f>HYPERLINK("http://www.ncbi.nlm.nih.gov/gene/?term=PDLIM5","NCBI")</f>
        <v>NCBI</v>
      </c>
      <c r="F15879">
        <v>0.77</v>
      </c>
      <c r="G15879">
        <v>0.82</v>
      </c>
      <c r="H15879" s="1" t="str">
        <f>HYPERLINK("http://www.weizmann.ac.il/complex/compphys/software/geview/data/figures/212412_at.png","Figure")</f>
        <v>Figure</v>
      </c>
      <c r="I15879">
        <v>1</v>
      </c>
      <c r="J15879">
        <v>1</v>
      </c>
      <c r="K15879">
        <v>0.98299999999999998</v>
      </c>
      <c r="L15879">
        <v>0.82</v>
      </c>
      <c r="M15879">
        <v>0.98</v>
      </c>
      <c r="N15879">
        <v>0.8</v>
      </c>
    </row>
    <row r="15880" spans="1:14" x14ac:dyDescent="0.25">
      <c r="A15880" t="s">
        <v>26703</v>
      </c>
      <c r="B15880" t="s">
        <v>10173</v>
      </c>
      <c r="C15880" s="1" t="str">
        <f>HYPERLINK("http://www.genecards.org/cgi-bin/carddisp.pl?gene=CASKIN2","GeneCards")</f>
        <v>GeneCards</v>
      </c>
      <c r="D15880" s="1" t="str">
        <f>HYPERLINK("http://genome-euro.ucsc.edu/cgi-bin/hgTracks?position=221846_s_at","UCSC")</f>
        <v>UCSC</v>
      </c>
      <c r="E15880" s="1" t="str">
        <f>HYPERLINK("http://www.ncbi.nlm.nih.gov/gene/?term=CASKIN2","NCBI")</f>
        <v>NCBI</v>
      </c>
      <c r="F15880">
        <v>0.77</v>
      </c>
      <c r="G15880">
        <v>0.82</v>
      </c>
      <c r="H15880" s="1" t="str">
        <f>HYPERLINK("http://www.weizmann.ac.il/complex/compphys/software/geview/data/figures/221846_s_at.png","Figure")</f>
        <v>Figure</v>
      </c>
      <c r="I15880">
        <v>1.05</v>
      </c>
      <c r="J15880">
        <v>0.78</v>
      </c>
      <c r="K15880">
        <v>1.04</v>
      </c>
      <c r="L15880">
        <v>0.83</v>
      </c>
      <c r="M15880">
        <v>0.98699999999999999</v>
      </c>
      <c r="N15880">
        <v>0.98</v>
      </c>
    </row>
    <row r="15881" spans="1:14" x14ac:dyDescent="0.25">
      <c r="A15881" t="s">
        <v>26704</v>
      </c>
      <c r="B15881" t="s">
        <v>11396</v>
      </c>
      <c r="C15881" s="1" t="str">
        <f>HYPERLINK("http://www.genecards.org/cgi-bin/carddisp.pl?gene=PIP4K2A","GeneCards")</f>
        <v>GeneCards</v>
      </c>
      <c r="D15881" s="1" t="str">
        <f>HYPERLINK("http://genome-euro.ucsc.edu/cgi-bin/hgTracks?position=205570_at","UCSC")</f>
        <v>UCSC</v>
      </c>
      <c r="E15881" s="1" t="str">
        <f>HYPERLINK("http://www.ncbi.nlm.nih.gov/gene/?term=PIP4K2A","NCBI")</f>
        <v>NCBI</v>
      </c>
      <c r="F15881">
        <v>0.77</v>
      </c>
      <c r="G15881">
        <v>0.82</v>
      </c>
      <c r="H15881" s="1" t="str">
        <f>HYPERLINK("http://www.weizmann.ac.il/complex/compphys/software/geview/data/figures/205570_at.png","Figure")</f>
        <v>Figure</v>
      </c>
      <c r="I15881">
        <v>0.99199999999999999</v>
      </c>
      <c r="J15881">
        <v>0.97</v>
      </c>
      <c r="K15881">
        <v>1.02</v>
      </c>
      <c r="L15881">
        <v>0.88</v>
      </c>
      <c r="M15881">
        <v>1.03</v>
      </c>
      <c r="N15881">
        <v>0.77</v>
      </c>
    </row>
    <row r="15882" spans="1:14" x14ac:dyDescent="0.25">
      <c r="A15882" t="s">
        <v>26705</v>
      </c>
      <c r="B15882" t="s">
        <v>26706</v>
      </c>
      <c r="C15882" s="1" t="str">
        <f>HYPERLINK("http://www.genecards.org/cgi-bin/carddisp.pl?gene=CSN2","GeneCards")</f>
        <v>GeneCards</v>
      </c>
      <c r="D15882" s="1" t="str">
        <f>HYPERLINK("http://genome-euro.ucsc.edu/cgi-bin/hgTracks?position=207951_at","UCSC")</f>
        <v>UCSC</v>
      </c>
      <c r="E15882" s="1" t="str">
        <f>HYPERLINK("http://www.ncbi.nlm.nih.gov/gene/?term=CSN2","NCBI")</f>
        <v>NCBI</v>
      </c>
      <c r="F15882">
        <v>0.77</v>
      </c>
      <c r="G15882">
        <v>0.82</v>
      </c>
      <c r="H15882" s="1" t="str">
        <f>HYPERLINK("http://www.weizmann.ac.il/complex/compphys/software/geview/data/figures/207951_at.png","Figure")</f>
        <v>Figure</v>
      </c>
      <c r="I15882">
        <v>1.07</v>
      </c>
      <c r="J15882">
        <v>0.82</v>
      </c>
      <c r="K15882">
        <v>1.07</v>
      </c>
      <c r="L15882">
        <v>0.78</v>
      </c>
      <c r="M15882">
        <v>0.998</v>
      </c>
      <c r="N15882">
        <v>1</v>
      </c>
    </row>
    <row r="15883" spans="1:14" x14ac:dyDescent="0.25">
      <c r="A15883" t="s">
        <v>26707</v>
      </c>
      <c r="B15883" t="s">
        <v>26708</v>
      </c>
      <c r="C15883" s="1" t="str">
        <f>HYPERLINK("http://www.genecards.org/cgi-bin/carddisp.pl?gene=TASP1","GeneCards")</f>
        <v>GeneCards</v>
      </c>
      <c r="D15883" s="1" t="str">
        <f>HYPERLINK("http://genome-euro.ucsc.edu/cgi-bin/hgTracks?position=219443_at","UCSC")</f>
        <v>UCSC</v>
      </c>
      <c r="E15883" s="1" t="str">
        <f>HYPERLINK("http://www.ncbi.nlm.nih.gov/gene/?term=TASP1","NCBI")</f>
        <v>NCBI</v>
      </c>
      <c r="F15883">
        <v>0.77</v>
      </c>
      <c r="G15883">
        <v>0.82</v>
      </c>
      <c r="H15883" s="1" t="str">
        <f>HYPERLINK("http://www.weizmann.ac.il/complex/compphys/software/geview/data/figures/219443_at.png","Figure")</f>
        <v>Figure</v>
      </c>
      <c r="I15883">
        <v>0.95099999999999996</v>
      </c>
      <c r="J15883">
        <v>0.96</v>
      </c>
      <c r="K15883">
        <v>1.08</v>
      </c>
      <c r="L15883">
        <v>0.89</v>
      </c>
      <c r="M15883">
        <v>1.1299999999999999</v>
      </c>
      <c r="N15883">
        <v>0.76</v>
      </c>
    </row>
    <row r="15884" spans="1:14" x14ac:dyDescent="0.25">
      <c r="A15884" t="s">
        <v>26709</v>
      </c>
      <c r="B15884" t="s">
        <v>25069</v>
      </c>
      <c r="C15884" s="1" t="str">
        <f>HYPERLINK("http://www.genecards.org/cgi-bin/carddisp.pl?gene=PPP1R15A","GeneCards")</f>
        <v>GeneCards</v>
      </c>
      <c r="D15884" s="1" t="str">
        <f>HYPERLINK("http://genome-euro.ucsc.edu/cgi-bin/hgTracks?position=37028_at","UCSC")</f>
        <v>UCSC</v>
      </c>
      <c r="E15884" s="1" t="str">
        <f>HYPERLINK("http://www.ncbi.nlm.nih.gov/gene/?term=PPP1R15A","NCBI")</f>
        <v>NCBI</v>
      </c>
      <c r="F15884">
        <v>0.77</v>
      </c>
      <c r="G15884">
        <v>0.82</v>
      </c>
      <c r="H15884" s="1" t="str">
        <f>HYPERLINK("http://www.weizmann.ac.il/complex/compphys/software/geview/data/figures/37028_at.png","Figure")</f>
        <v>Figure</v>
      </c>
      <c r="I15884">
        <v>0.92900000000000005</v>
      </c>
      <c r="J15884">
        <v>0.96</v>
      </c>
      <c r="K15884">
        <v>0.83299999999999996</v>
      </c>
      <c r="L15884">
        <v>0.75</v>
      </c>
      <c r="M15884">
        <v>0.89700000000000002</v>
      </c>
      <c r="N15884">
        <v>0.92</v>
      </c>
    </row>
    <row r="15885" spans="1:14" x14ac:dyDescent="0.25">
      <c r="A15885" t="s">
        <v>26710</v>
      </c>
      <c r="B15885" t="s">
        <v>20085</v>
      </c>
      <c r="C15885" s="1" t="str">
        <f>HYPERLINK("http://www.genecards.org/cgi-bin/carddisp.pl?gene=CD24","GeneCards")</f>
        <v>GeneCards</v>
      </c>
      <c r="D15885" s="1" t="str">
        <f>HYPERLINK("http://genome-euro.ucsc.edu/cgi-bin/hgTracks?position=216379_x_at","UCSC")</f>
        <v>UCSC</v>
      </c>
      <c r="E15885" s="1" t="str">
        <f>HYPERLINK("http://www.ncbi.nlm.nih.gov/gene/?term=CD24","NCBI")</f>
        <v>NCBI</v>
      </c>
      <c r="F15885">
        <v>0.77</v>
      </c>
      <c r="G15885">
        <v>0.82</v>
      </c>
      <c r="H15885" s="1" t="str">
        <f>HYPERLINK("http://www.weizmann.ac.il/complex/compphys/software/geview/data/figures/216379_x_at.png","Figure")</f>
        <v>Figure</v>
      </c>
      <c r="I15885">
        <v>1.01</v>
      </c>
      <c r="J15885">
        <v>1</v>
      </c>
      <c r="K15885">
        <v>1.2</v>
      </c>
      <c r="L15885">
        <v>0.8</v>
      </c>
      <c r="M15885">
        <v>1.19</v>
      </c>
      <c r="N15885">
        <v>0.84</v>
      </c>
    </row>
    <row r="15886" spans="1:14" x14ac:dyDescent="0.25">
      <c r="A15886" t="s">
        <v>26711</v>
      </c>
      <c r="B15886" t="s">
        <v>14505</v>
      </c>
      <c r="C15886" s="1" t="str">
        <f>HYPERLINK("http://www.genecards.org/cgi-bin/carddisp.pl?gene=SLC7A1","GeneCards")</f>
        <v>GeneCards</v>
      </c>
      <c r="D15886" s="1" t="str">
        <f>HYPERLINK("http://genome-euro.ucsc.edu/cgi-bin/hgTracks?position=212290_at","UCSC")</f>
        <v>UCSC</v>
      </c>
      <c r="E15886" s="1" t="str">
        <f>HYPERLINK("http://www.ncbi.nlm.nih.gov/gene/?term=SLC7A1","NCBI")</f>
        <v>NCBI</v>
      </c>
      <c r="F15886">
        <v>0.77</v>
      </c>
      <c r="G15886">
        <v>0.82</v>
      </c>
      <c r="H15886" s="1" t="str">
        <f>HYPERLINK("http://www.weizmann.ac.il/complex/compphys/software/geview/data/figures/212290_at.png","Figure")</f>
        <v>Figure</v>
      </c>
      <c r="I15886">
        <v>1</v>
      </c>
      <c r="J15886">
        <v>1</v>
      </c>
      <c r="K15886">
        <v>1.08</v>
      </c>
      <c r="L15886">
        <v>0.8</v>
      </c>
      <c r="M15886">
        <v>1.08</v>
      </c>
      <c r="N15886">
        <v>0.83</v>
      </c>
    </row>
    <row r="15887" spans="1:14" x14ac:dyDescent="0.25">
      <c r="A15887" t="s">
        <v>26712</v>
      </c>
      <c r="B15887" t="s">
        <v>14277</v>
      </c>
      <c r="C15887" s="1" t="str">
        <f>HYPERLINK("http://www.genecards.org/cgi-bin/carddisp.pl?gene=UBE4B","GeneCards")</f>
        <v>GeneCards</v>
      </c>
      <c r="D15887" s="1" t="str">
        <f>HYPERLINK("http://genome-euro.ucsc.edu/cgi-bin/hgTracks?position=202317_s_at","UCSC")</f>
        <v>UCSC</v>
      </c>
      <c r="E15887" s="1" t="str">
        <f>HYPERLINK("http://www.ncbi.nlm.nih.gov/gene/?term=UBE4B","NCBI")</f>
        <v>NCBI</v>
      </c>
      <c r="F15887">
        <v>0.77</v>
      </c>
      <c r="G15887">
        <v>0.82</v>
      </c>
      <c r="H15887" s="1" t="str">
        <f>HYPERLINK("http://www.weizmann.ac.il/complex/compphys/software/geview/data/figures/202317_s_at.png","Figure")</f>
        <v>Figure</v>
      </c>
      <c r="I15887">
        <v>1.08</v>
      </c>
      <c r="J15887">
        <v>0.85</v>
      </c>
      <c r="K15887">
        <v>0.98399999999999999</v>
      </c>
      <c r="L15887">
        <v>0.99</v>
      </c>
      <c r="M15887">
        <v>0.91300000000000003</v>
      </c>
      <c r="N15887">
        <v>0.76</v>
      </c>
    </row>
    <row r="15888" spans="1:14" x14ac:dyDescent="0.25">
      <c r="A15888" t="s">
        <v>26713</v>
      </c>
      <c r="B15888" t="s">
        <v>26714</v>
      </c>
      <c r="C15888" s="1" t="str">
        <f>HYPERLINK("http://www.genecards.org/cgi-bin/carddisp.pl?gene=RND2","GeneCards")</f>
        <v>GeneCards</v>
      </c>
      <c r="D15888" s="1" t="str">
        <f>HYPERLINK("http://genome-euro.ucsc.edu/cgi-bin/hgTracks?position=213467_at","UCSC")</f>
        <v>UCSC</v>
      </c>
      <c r="E15888" s="1" t="str">
        <f>HYPERLINK("http://www.ncbi.nlm.nih.gov/gene/?term=RND2","NCBI")</f>
        <v>NCBI</v>
      </c>
      <c r="F15888">
        <v>0.77</v>
      </c>
      <c r="G15888">
        <v>0.82</v>
      </c>
      <c r="H15888" s="1" t="str">
        <f>HYPERLINK("http://www.weizmann.ac.il/complex/compphys/software/geview/data/figures/213467_at.png","Figure")</f>
        <v>Figure</v>
      </c>
      <c r="I15888">
        <v>0.999</v>
      </c>
      <c r="J15888">
        <v>1</v>
      </c>
      <c r="K15888">
        <v>0.94799999999999995</v>
      </c>
      <c r="L15888">
        <v>0.8</v>
      </c>
      <c r="M15888">
        <v>0.95</v>
      </c>
      <c r="N15888">
        <v>0.83</v>
      </c>
    </row>
    <row r="15889" spans="1:14" x14ac:dyDescent="0.25">
      <c r="A15889" t="s">
        <v>26715</v>
      </c>
      <c r="B15889" t="s">
        <v>26716</v>
      </c>
      <c r="C15889" s="1" t="str">
        <f>HYPERLINK("http://www.genecards.org/cgi-bin/carddisp.pl?gene=PDE7B","GeneCards")</f>
        <v>GeneCards</v>
      </c>
      <c r="D15889" s="1" t="str">
        <f>HYPERLINK("http://genome-euro.ucsc.edu/cgi-bin/hgTracks?position=220343_at","UCSC")</f>
        <v>UCSC</v>
      </c>
      <c r="E15889" s="1" t="str">
        <f>HYPERLINK("http://www.ncbi.nlm.nih.gov/gene/?term=PDE7B","NCBI")</f>
        <v>NCBI</v>
      </c>
      <c r="F15889">
        <v>0.77</v>
      </c>
      <c r="G15889">
        <v>0.82</v>
      </c>
      <c r="H15889" s="1" t="str">
        <f>HYPERLINK("http://www.weizmann.ac.il/complex/compphys/software/geview/data/figures/220343_at.png","Figure")</f>
        <v>Figure</v>
      </c>
      <c r="I15889">
        <v>0.98699999999999999</v>
      </c>
      <c r="J15889">
        <v>0.9</v>
      </c>
      <c r="K15889">
        <v>1.01</v>
      </c>
      <c r="L15889">
        <v>0.96</v>
      </c>
      <c r="M15889">
        <v>1.02</v>
      </c>
      <c r="N15889">
        <v>0.75</v>
      </c>
    </row>
    <row r="15890" spans="1:14" x14ac:dyDescent="0.25">
      <c r="A15890" t="s">
        <v>26717</v>
      </c>
      <c r="B15890" t="s">
        <v>26718</v>
      </c>
      <c r="C15890" s="1" t="str">
        <f>HYPERLINK("http://www.genecards.org/cgi-bin/carddisp.pl?gene=WDR4","GeneCards")</f>
        <v>GeneCards</v>
      </c>
      <c r="D15890" s="1" t="str">
        <f>HYPERLINK("http://genome-euro.ucsc.edu/cgi-bin/hgTracks?position=221632_s_at","UCSC")</f>
        <v>UCSC</v>
      </c>
      <c r="E15890" s="1" t="str">
        <f>HYPERLINK("http://www.ncbi.nlm.nih.gov/gene/?term=WDR4","NCBI")</f>
        <v>NCBI</v>
      </c>
      <c r="F15890">
        <v>0.77</v>
      </c>
      <c r="G15890">
        <v>0.82</v>
      </c>
      <c r="H15890" s="1" t="str">
        <f>HYPERLINK("http://www.weizmann.ac.il/complex/compphys/software/geview/data/figures/221632_s_at.png","Figure")</f>
        <v>Figure</v>
      </c>
      <c r="I15890">
        <v>0.99399999999999999</v>
      </c>
      <c r="J15890">
        <v>0.99</v>
      </c>
      <c r="K15890">
        <v>0.96599999999999997</v>
      </c>
      <c r="L15890">
        <v>0.78</v>
      </c>
      <c r="M15890">
        <v>0.97099999999999997</v>
      </c>
      <c r="N15890">
        <v>0.86</v>
      </c>
    </row>
    <row r="15891" spans="1:14" x14ac:dyDescent="0.25">
      <c r="A15891" t="s">
        <v>26719</v>
      </c>
      <c r="B15891" t="s">
        <v>22694</v>
      </c>
      <c r="C15891" s="1" t="str">
        <f>HYPERLINK("http://www.genecards.org/cgi-bin/carddisp.pl?gene=CDK10","GeneCards")</f>
        <v>GeneCards</v>
      </c>
      <c r="D15891" s="1" t="str">
        <f>HYPERLINK("http://genome-euro.ucsc.edu/cgi-bin/hgTracks?position=203468_at","UCSC")</f>
        <v>UCSC</v>
      </c>
      <c r="E15891" s="1" t="str">
        <f>HYPERLINK("http://www.ncbi.nlm.nih.gov/gene/?term=CDK10","NCBI")</f>
        <v>NCBI</v>
      </c>
      <c r="F15891">
        <v>0.77</v>
      </c>
      <c r="G15891">
        <v>0.82</v>
      </c>
      <c r="H15891" s="1" t="str">
        <f>HYPERLINK("http://www.weizmann.ac.il/complex/compphys/software/geview/data/figures/203468_at.png","Figure")</f>
        <v>Figure</v>
      </c>
      <c r="I15891">
        <v>1.0900000000000001</v>
      </c>
      <c r="J15891">
        <v>0.91</v>
      </c>
      <c r="K15891">
        <v>1.1499999999999999</v>
      </c>
      <c r="L15891">
        <v>0.75</v>
      </c>
      <c r="M15891">
        <v>1.05</v>
      </c>
      <c r="N15891">
        <v>0.97</v>
      </c>
    </row>
    <row r="15892" spans="1:14" x14ac:dyDescent="0.25">
      <c r="A15892" t="s">
        <v>26720</v>
      </c>
      <c r="B15892" t="s">
        <v>5592</v>
      </c>
      <c r="C15892" s="1" t="str">
        <f>HYPERLINK("http://www.genecards.org/cgi-bin/carddisp.pl?gene=ITGB1BP1","GeneCards")</f>
        <v>GeneCards</v>
      </c>
      <c r="D15892" s="1" t="str">
        <f>HYPERLINK("http://genome-euro.ucsc.edu/cgi-bin/hgTracks?position=203336_s_at","UCSC")</f>
        <v>UCSC</v>
      </c>
      <c r="E15892" s="1" t="str">
        <f>HYPERLINK("http://www.ncbi.nlm.nih.gov/gene/?term=ITGB1BP1","NCBI")</f>
        <v>NCBI</v>
      </c>
      <c r="F15892">
        <v>0.77</v>
      </c>
      <c r="G15892">
        <v>0.82</v>
      </c>
      <c r="H15892" s="1" t="str">
        <f>HYPERLINK("http://www.weizmann.ac.il/complex/compphys/software/geview/data/figures/203336_s_at.png","Figure")</f>
        <v>Figure</v>
      </c>
      <c r="I15892">
        <v>0.82199999999999995</v>
      </c>
      <c r="J15892">
        <v>0.81</v>
      </c>
      <c r="K15892">
        <v>0.83799999999999997</v>
      </c>
      <c r="L15892">
        <v>0.8</v>
      </c>
      <c r="M15892">
        <v>1.02</v>
      </c>
      <c r="N15892">
        <v>1</v>
      </c>
    </row>
    <row r="15893" spans="1:14" x14ac:dyDescent="0.25">
      <c r="A15893" t="s">
        <v>26721</v>
      </c>
      <c r="B15893" t="s">
        <v>2096</v>
      </c>
      <c r="C15893" s="1" t="str">
        <f>HYPERLINK("http://www.genecards.org/cgi-bin/carddisp.pl?gene=P2RX6","GeneCards")</f>
        <v>GeneCards</v>
      </c>
      <c r="D15893" s="1" t="str">
        <f>HYPERLINK("http://genome-euro.ucsc.edu/cgi-bin/hgTracks?position=211147_s_at","UCSC")</f>
        <v>UCSC</v>
      </c>
      <c r="E15893" s="1" t="str">
        <f>HYPERLINK("http://www.ncbi.nlm.nih.gov/gene/?term=P2RX6","NCBI")</f>
        <v>NCBI</v>
      </c>
      <c r="F15893">
        <v>0.77</v>
      </c>
      <c r="G15893">
        <v>0.82</v>
      </c>
      <c r="H15893" s="1" t="str">
        <f>HYPERLINK("http://www.weizmann.ac.il/complex/compphys/software/geview/data/figures/211147_s_at.png","Figure")</f>
        <v>Figure</v>
      </c>
      <c r="I15893">
        <v>1.03</v>
      </c>
      <c r="J15893">
        <v>0.89</v>
      </c>
      <c r="K15893">
        <v>0.98499999999999999</v>
      </c>
      <c r="L15893">
        <v>0.96</v>
      </c>
      <c r="M15893">
        <v>0.95799999999999996</v>
      </c>
      <c r="N15893">
        <v>0.75</v>
      </c>
    </row>
    <row r="15894" spans="1:14" x14ac:dyDescent="0.25">
      <c r="A15894" t="s">
        <v>26722</v>
      </c>
      <c r="B15894" t="s">
        <v>26723</v>
      </c>
      <c r="C15894" s="1" t="str">
        <f>HYPERLINK("http://www.genecards.org/cgi-bin/carddisp.pl?gene=TCTN1","GeneCards")</f>
        <v>GeneCards</v>
      </c>
      <c r="D15894" s="1" t="str">
        <f>HYPERLINK("http://genome-euro.ucsc.edu/cgi-bin/hgTracks?position=218584_at","UCSC")</f>
        <v>UCSC</v>
      </c>
      <c r="E15894" s="1" t="str">
        <f>HYPERLINK("http://www.ncbi.nlm.nih.gov/gene/?term=TCTN1","NCBI")</f>
        <v>NCBI</v>
      </c>
      <c r="F15894">
        <v>0.77</v>
      </c>
      <c r="G15894">
        <v>0.82</v>
      </c>
      <c r="H15894" s="1" t="str">
        <f>HYPERLINK("http://www.weizmann.ac.il/complex/compphys/software/geview/data/figures/218584_at.png","Figure")</f>
        <v>Figure</v>
      </c>
      <c r="I15894">
        <v>1.03</v>
      </c>
      <c r="J15894">
        <v>0.95</v>
      </c>
      <c r="K15894">
        <v>1.06</v>
      </c>
      <c r="L15894">
        <v>0.75</v>
      </c>
      <c r="M15894">
        <v>1.03</v>
      </c>
      <c r="N15894">
        <v>0.94</v>
      </c>
    </row>
    <row r="15895" spans="1:14" x14ac:dyDescent="0.25">
      <c r="A15895" t="s">
        <v>26724</v>
      </c>
      <c r="B15895" t="s">
        <v>26725</v>
      </c>
      <c r="C15895" s="1" t="str">
        <f>HYPERLINK("http://www.genecards.org/cgi-bin/carddisp.pl?gene=ITGAE","GeneCards")</f>
        <v>GeneCards</v>
      </c>
      <c r="D15895" s="1" t="str">
        <f>HYPERLINK("http://genome-euro.ucsc.edu/cgi-bin/hgTracks?position=205055_at","UCSC")</f>
        <v>UCSC</v>
      </c>
      <c r="E15895" s="1" t="str">
        <f>HYPERLINK("http://www.ncbi.nlm.nih.gov/gene/?term=ITGAE","NCBI")</f>
        <v>NCBI</v>
      </c>
      <c r="F15895">
        <v>0.77</v>
      </c>
      <c r="G15895">
        <v>0.82</v>
      </c>
      <c r="H15895" s="1" t="str">
        <f>HYPERLINK("http://www.weizmann.ac.il/complex/compphys/software/geview/data/figures/205055_at.png","Figure")</f>
        <v>Figure</v>
      </c>
      <c r="I15895">
        <v>1.1299999999999999</v>
      </c>
      <c r="J15895">
        <v>0.86</v>
      </c>
      <c r="K15895">
        <v>1.1599999999999999</v>
      </c>
      <c r="L15895">
        <v>0.77</v>
      </c>
      <c r="M15895">
        <v>1.02</v>
      </c>
      <c r="N15895">
        <v>1</v>
      </c>
    </row>
    <row r="15896" spans="1:14" x14ac:dyDescent="0.25">
      <c r="A15896" t="s">
        <v>26726</v>
      </c>
      <c r="B15896" t="s">
        <v>26727</v>
      </c>
      <c r="C15896" s="1" t="str">
        <f>HYPERLINK("http://www.genecards.org/cgi-bin/carddisp.pl?gene=KIAA0020","GeneCards")</f>
        <v>GeneCards</v>
      </c>
      <c r="D15896" s="1" t="str">
        <f>HYPERLINK("http://genome-euro.ucsc.edu/cgi-bin/hgTracks?position=203712_at","UCSC")</f>
        <v>UCSC</v>
      </c>
      <c r="E15896" s="1" t="str">
        <f>HYPERLINK("http://www.ncbi.nlm.nih.gov/gene/?term=KIAA0020","NCBI")</f>
        <v>NCBI</v>
      </c>
      <c r="F15896">
        <v>0.77</v>
      </c>
      <c r="G15896">
        <v>0.82</v>
      </c>
      <c r="H15896" s="1" t="str">
        <f>HYPERLINK("http://www.weizmann.ac.il/complex/compphys/software/geview/data/figures/203712_at.png","Figure")</f>
        <v>Figure</v>
      </c>
      <c r="I15896">
        <v>1.1000000000000001</v>
      </c>
      <c r="J15896">
        <v>0.82</v>
      </c>
      <c r="K15896">
        <v>1.1000000000000001</v>
      </c>
      <c r="L15896">
        <v>0.78</v>
      </c>
      <c r="M15896">
        <v>0.998</v>
      </c>
      <c r="N15896">
        <v>1</v>
      </c>
    </row>
    <row r="15897" spans="1:14" x14ac:dyDescent="0.25">
      <c r="A15897" t="s">
        <v>26728</v>
      </c>
      <c r="B15897" t="s">
        <v>18873</v>
      </c>
      <c r="C15897" s="1" t="str">
        <f>HYPERLINK("http://www.genecards.org/cgi-bin/carddisp.pl?gene=SLC25A37","GeneCards")</f>
        <v>GeneCards</v>
      </c>
      <c r="D15897" s="1" t="str">
        <f>HYPERLINK("http://genome-euro.ucsc.edu/cgi-bin/hgTracks?position=218136_s_at","UCSC")</f>
        <v>UCSC</v>
      </c>
      <c r="E15897" s="1" t="str">
        <f>HYPERLINK("http://www.ncbi.nlm.nih.gov/gene/?term=SLC25A37","NCBI")</f>
        <v>NCBI</v>
      </c>
      <c r="F15897">
        <v>0.77</v>
      </c>
      <c r="G15897">
        <v>0.82</v>
      </c>
      <c r="H15897" s="1" t="str">
        <f>HYPERLINK("http://www.weizmann.ac.il/complex/compphys/software/geview/data/figures/218136_s_at.png","Figure")</f>
        <v>Figure</v>
      </c>
      <c r="I15897">
        <v>0.92900000000000005</v>
      </c>
      <c r="J15897">
        <v>0.91</v>
      </c>
      <c r="K15897">
        <v>1.05</v>
      </c>
      <c r="L15897">
        <v>0.95</v>
      </c>
      <c r="M15897">
        <v>1.1299999999999999</v>
      </c>
      <c r="N15897">
        <v>0.75</v>
      </c>
    </row>
    <row r="15898" spans="1:14" x14ac:dyDescent="0.25">
      <c r="A15898" t="s">
        <v>26729</v>
      </c>
      <c r="B15898" t="s">
        <v>15247</v>
      </c>
      <c r="C15898" s="1" t="str">
        <f>HYPERLINK("http://www.genecards.org/cgi-bin/carddisp.pl?gene=BRD4","GeneCards")</f>
        <v>GeneCards</v>
      </c>
      <c r="D15898" s="1" t="str">
        <f>HYPERLINK("http://genome-euro.ucsc.edu/cgi-bin/hgTracks?position=202102_s_at","UCSC")</f>
        <v>UCSC</v>
      </c>
      <c r="E15898" s="1" t="str">
        <f>HYPERLINK("http://www.ncbi.nlm.nih.gov/gene/?term=BRD4","NCBI")</f>
        <v>NCBI</v>
      </c>
      <c r="F15898">
        <v>0.77</v>
      </c>
      <c r="G15898">
        <v>0.82</v>
      </c>
      <c r="H15898" s="1" t="str">
        <f>HYPERLINK("http://www.weizmann.ac.il/complex/compphys/software/geview/data/figures/202102_s_at.png","Figure")</f>
        <v>Figure</v>
      </c>
      <c r="I15898">
        <v>1.0900000000000001</v>
      </c>
      <c r="J15898">
        <v>0.96</v>
      </c>
      <c r="K15898">
        <v>0.88900000000000001</v>
      </c>
      <c r="L15898">
        <v>0.9</v>
      </c>
      <c r="M15898">
        <v>0.81699999999999995</v>
      </c>
      <c r="N15898">
        <v>0.76</v>
      </c>
    </row>
    <row r="15899" spans="1:14" x14ac:dyDescent="0.25">
      <c r="A15899" t="s">
        <v>26730</v>
      </c>
      <c r="B15899" t="s">
        <v>26731</v>
      </c>
      <c r="C15899" s="1" t="str">
        <f>HYPERLINK("http://www.genecards.org/cgi-bin/carddisp.pl?gene=DDIT3 /// NR1H3","GeneCards")</f>
        <v>GeneCards</v>
      </c>
      <c r="D15899" s="1" t="str">
        <f>HYPERLINK("http://genome-euro.ucsc.edu/cgi-bin/hgTracks?position=209383_at","UCSC")</f>
        <v>UCSC</v>
      </c>
      <c r="E15899" s="1" t="str">
        <f>HYPERLINK("http://www.ncbi.nlm.nih.gov/gene/?term=DDIT3 /// NR1H3","NCBI")</f>
        <v>NCBI</v>
      </c>
      <c r="F15899">
        <v>0.77</v>
      </c>
      <c r="G15899">
        <v>0.82</v>
      </c>
      <c r="H15899" s="1" t="str">
        <f>HYPERLINK("http://www.weizmann.ac.il/complex/compphys/software/geview/data/figures/209383_at.png","Figure")</f>
        <v>Figure</v>
      </c>
      <c r="I15899">
        <v>1.1299999999999999</v>
      </c>
      <c r="J15899">
        <v>0.75</v>
      </c>
      <c r="K15899">
        <v>1.05</v>
      </c>
      <c r="L15899">
        <v>0.93</v>
      </c>
      <c r="M15899">
        <v>0.93100000000000005</v>
      </c>
      <c r="N15899">
        <v>0.89</v>
      </c>
    </row>
    <row r="15900" spans="1:14" x14ac:dyDescent="0.25">
      <c r="A15900" t="s">
        <v>26732</v>
      </c>
      <c r="B15900" t="s">
        <v>26733</v>
      </c>
      <c r="C15900" s="1" t="str">
        <f>HYPERLINK("http://www.genecards.org/cgi-bin/carddisp.pl?gene=CCL5","GeneCards")</f>
        <v>GeneCards</v>
      </c>
      <c r="D15900" s="1" t="str">
        <f>HYPERLINK("http://genome-euro.ucsc.edu/cgi-bin/hgTracks?position=1405_i_at","UCSC")</f>
        <v>UCSC</v>
      </c>
      <c r="E15900" s="1" t="str">
        <f>HYPERLINK("http://www.ncbi.nlm.nih.gov/gene/?term=CCL5","NCBI")</f>
        <v>NCBI</v>
      </c>
      <c r="F15900">
        <v>0.77</v>
      </c>
      <c r="G15900">
        <v>0.82</v>
      </c>
      <c r="H15900" s="1" t="str">
        <f>HYPERLINK("http://www.weizmann.ac.il/complex/compphys/software/geview/data/figures/1405_i_at.png","Figure")</f>
        <v>Figure</v>
      </c>
      <c r="I15900">
        <v>0.81599999999999995</v>
      </c>
      <c r="J15900">
        <v>0.75</v>
      </c>
      <c r="K15900">
        <v>0.93200000000000005</v>
      </c>
      <c r="L15900">
        <v>0.96</v>
      </c>
      <c r="M15900">
        <v>1.1399999999999999</v>
      </c>
      <c r="N15900">
        <v>0.87</v>
      </c>
    </row>
    <row r="15901" spans="1:14" x14ac:dyDescent="0.25">
      <c r="A15901" t="s">
        <v>26734</v>
      </c>
      <c r="B15901" t="s">
        <v>9493</v>
      </c>
      <c r="C15901" s="1" t="str">
        <f>HYPERLINK("http://www.genecards.org/cgi-bin/carddisp.pl?gene=HLA-DOA","GeneCards")</f>
        <v>GeneCards</v>
      </c>
      <c r="D15901" s="1" t="str">
        <f>HYPERLINK("http://genome-euro.ucsc.edu/cgi-bin/hgTracks?position=206313_at","UCSC")</f>
        <v>UCSC</v>
      </c>
      <c r="E15901" s="1" t="str">
        <f>HYPERLINK("http://www.ncbi.nlm.nih.gov/gene/?term=HLA-DOA","NCBI")</f>
        <v>NCBI</v>
      </c>
      <c r="F15901">
        <v>0.77</v>
      </c>
      <c r="G15901">
        <v>0.82</v>
      </c>
      <c r="H15901" s="1" t="str">
        <f>HYPERLINK("http://www.weizmann.ac.il/complex/compphys/software/geview/data/figures/206313_at.png","Figure")</f>
        <v>Figure</v>
      </c>
      <c r="I15901">
        <v>0.95599999999999996</v>
      </c>
      <c r="J15901">
        <v>0.91</v>
      </c>
      <c r="K15901">
        <v>0.93500000000000005</v>
      </c>
      <c r="L15901">
        <v>0.75</v>
      </c>
      <c r="M15901">
        <v>0.97799999999999998</v>
      </c>
      <c r="N15901">
        <v>0.97</v>
      </c>
    </row>
    <row r="15902" spans="1:14" x14ac:dyDescent="0.25">
      <c r="A15902" t="s">
        <v>26735</v>
      </c>
      <c r="B15902" t="s">
        <v>10637</v>
      </c>
      <c r="C15902" s="1" t="str">
        <f>HYPERLINK("http://www.genecards.org/cgi-bin/carddisp.pl?gene=LOC222070","GeneCards")</f>
        <v>GeneCards</v>
      </c>
      <c r="D15902" s="1" t="str">
        <f>HYPERLINK("http://genome-euro.ucsc.edu/cgi-bin/hgTracks?position=221949_at","UCSC")</f>
        <v>UCSC</v>
      </c>
      <c r="E15902" s="1" t="str">
        <f>HYPERLINK("http://www.ncbi.nlm.nih.gov/gene/?term=LOC222070","NCBI")</f>
        <v>NCBI</v>
      </c>
      <c r="F15902">
        <v>0.77</v>
      </c>
      <c r="G15902">
        <v>0.82</v>
      </c>
      <c r="H15902" s="1" t="str">
        <f>HYPERLINK("http://www.weizmann.ac.il/complex/compphys/software/geview/data/figures/221949_at.png","Figure")</f>
        <v>Figure</v>
      </c>
      <c r="I15902">
        <v>1.02</v>
      </c>
      <c r="J15902">
        <v>0.79</v>
      </c>
      <c r="K15902">
        <v>1</v>
      </c>
      <c r="L15902">
        <v>1</v>
      </c>
      <c r="M15902">
        <v>0.98099999999999998</v>
      </c>
      <c r="N15902">
        <v>0.8</v>
      </c>
    </row>
    <row r="15903" spans="1:14" x14ac:dyDescent="0.25">
      <c r="A15903" t="s">
        <v>26736</v>
      </c>
      <c r="B15903" t="s">
        <v>26737</v>
      </c>
      <c r="C15903" s="1" t="str">
        <f>HYPERLINK("http://www.genecards.org/cgi-bin/carddisp.pl?gene=HMGCS2","GeneCards")</f>
        <v>GeneCards</v>
      </c>
      <c r="D15903" s="1" t="str">
        <f>HYPERLINK("http://genome-euro.ucsc.edu/cgi-bin/hgTracks?position=204607_at","UCSC")</f>
        <v>UCSC</v>
      </c>
      <c r="E15903" s="1" t="str">
        <f>HYPERLINK("http://www.ncbi.nlm.nih.gov/gene/?term=HMGCS2","NCBI")</f>
        <v>NCBI</v>
      </c>
      <c r="F15903">
        <v>0.77</v>
      </c>
      <c r="G15903">
        <v>0.82</v>
      </c>
      <c r="H15903" s="1" t="str">
        <f>HYPERLINK("http://www.weizmann.ac.il/complex/compphys/software/geview/data/figures/204607_at.png","Figure")</f>
        <v>Figure</v>
      </c>
      <c r="I15903">
        <v>1.03</v>
      </c>
      <c r="J15903">
        <v>0.94</v>
      </c>
      <c r="K15903">
        <v>0.97299999999999998</v>
      </c>
      <c r="L15903">
        <v>0.92</v>
      </c>
      <c r="M15903">
        <v>0.94699999999999995</v>
      </c>
      <c r="N15903">
        <v>0.75</v>
      </c>
    </row>
    <row r="15904" spans="1:14" x14ac:dyDescent="0.25">
      <c r="A15904" t="s">
        <v>26738</v>
      </c>
      <c r="B15904" t="s">
        <v>14032</v>
      </c>
      <c r="C15904" s="1" t="str">
        <f>HYPERLINK("http://www.genecards.org/cgi-bin/carddisp.pl?gene=HPCAL4","GeneCards")</f>
        <v>GeneCards</v>
      </c>
      <c r="D15904" s="1" t="str">
        <f>HYPERLINK("http://genome-euro.ucsc.edu/cgi-bin/hgTracks?position=219671_at","UCSC")</f>
        <v>UCSC</v>
      </c>
      <c r="E15904" s="1" t="str">
        <f>HYPERLINK("http://www.ncbi.nlm.nih.gov/gene/?term=HPCAL4","NCBI")</f>
        <v>NCBI</v>
      </c>
      <c r="F15904">
        <v>0.77</v>
      </c>
      <c r="G15904">
        <v>0.82</v>
      </c>
      <c r="H15904" s="1" t="str">
        <f>HYPERLINK("http://www.weizmann.ac.il/complex/compphys/software/geview/data/figures/219671_at.png","Figure")</f>
        <v>Figure</v>
      </c>
      <c r="I15904">
        <v>1.02</v>
      </c>
      <c r="J15904">
        <v>0.79</v>
      </c>
      <c r="K15904">
        <v>1</v>
      </c>
      <c r="L15904">
        <v>1</v>
      </c>
      <c r="M15904">
        <v>0.98399999999999999</v>
      </c>
      <c r="N15904">
        <v>0.8</v>
      </c>
    </row>
    <row r="15905" spans="1:14" x14ac:dyDescent="0.25">
      <c r="A15905" t="s">
        <v>26739</v>
      </c>
      <c r="B15905" t="s">
        <v>11569</v>
      </c>
      <c r="C15905" s="1" t="str">
        <f>HYPERLINK("http://www.genecards.org/cgi-bin/carddisp.pl?gene=TMEM63A","GeneCards")</f>
        <v>GeneCards</v>
      </c>
      <c r="D15905" s="1" t="str">
        <f>HYPERLINK("http://genome-euro.ucsc.edu/cgi-bin/hgTracks?position=202699_s_at","UCSC")</f>
        <v>UCSC</v>
      </c>
      <c r="E15905" s="1" t="str">
        <f>HYPERLINK("http://www.ncbi.nlm.nih.gov/gene/?term=TMEM63A","NCBI")</f>
        <v>NCBI</v>
      </c>
      <c r="F15905">
        <v>0.77</v>
      </c>
      <c r="G15905">
        <v>0.82</v>
      </c>
      <c r="H15905" s="1" t="str">
        <f>HYPERLINK("http://www.weizmann.ac.il/complex/compphys/software/geview/data/figures/202699_s_at.png","Figure")</f>
        <v>Figure</v>
      </c>
      <c r="I15905">
        <v>0.98399999999999999</v>
      </c>
      <c r="J15905">
        <v>0.98</v>
      </c>
      <c r="K15905">
        <v>1.04</v>
      </c>
      <c r="L15905">
        <v>0.87</v>
      </c>
      <c r="M15905">
        <v>1.06</v>
      </c>
      <c r="N15905">
        <v>0.78</v>
      </c>
    </row>
    <row r="15906" spans="1:14" x14ac:dyDescent="0.25">
      <c r="A15906" t="s">
        <v>26740</v>
      </c>
      <c r="B15906" t="s">
        <v>26741</v>
      </c>
      <c r="C15906" s="1" t="str">
        <f>HYPERLINK("http://www.genecards.org/cgi-bin/carddisp.pl?gene=ANKMY2","GeneCards")</f>
        <v>GeneCards</v>
      </c>
      <c r="D15906" s="1" t="str">
        <f>HYPERLINK("http://genome-euro.ucsc.edu/cgi-bin/hgTracks?position=212798_s_at","UCSC")</f>
        <v>UCSC</v>
      </c>
      <c r="E15906" s="1" t="str">
        <f>HYPERLINK("http://www.ncbi.nlm.nih.gov/gene/?term=ANKMY2","NCBI")</f>
        <v>NCBI</v>
      </c>
      <c r="F15906">
        <v>0.77</v>
      </c>
      <c r="G15906">
        <v>0.82</v>
      </c>
      <c r="H15906" s="1" t="str">
        <f>HYPERLINK("http://www.weizmann.ac.il/complex/compphys/software/geview/data/figures/212798_s_at.png","Figure")</f>
        <v>Figure</v>
      </c>
      <c r="I15906">
        <v>0.79500000000000004</v>
      </c>
      <c r="J15906">
        <v>0.76</v>
      </c>
      <c r="K15906">
        <v>0.877</v>
      </c>
      <c r="L15906">
        <v>0.89</v>
      </c>
      <c r="M15906">
        <v>1.1000000000000001</v>
      </c>
      <c r="N15906">
        <v>0.94</v>
      </c>
    </row>
    <row r="15907" spans="1:14" x14ac:dyDescent="0.25">
      <c r="A15907" t="s">
        <v>26742</v>
      </c>
      <c r="B15907" t="s">
        <v>22696</v>
      </c>
      <c r="C15907" s="1" t="str">
        <f>HYPERLINK("http://www.genecards.org/cgi-bin/carddisp.pl?gene=FOLR1","GeneCards")</f>
        <v>GeneCards</v>
      </c>
      <c r="D15907" s="1" t="str">
        <f>HYPERLINK("http://genome-euro.ucsc.edu/cgi-bin/hgTracks?position=211074_at","UCSC")</f>
        <v>UCSC</v>
      </c>
      <c r="E15907" s="1" t="str">
        <f>HYPERLINK("http://www.ncbi.nlm.nih.gov/gene/?term=FOLR1","NCBI")</f>
        <v>NCBI</v>
      </c>
      <c r="F15907">
        <v>0.77</v>
      </c>
      <c r="G15907">
        <v>0.82</v>
      </c>
      <c r="H15907" s="1" t="str">
        <f>HYPERLINK("http://www.weizmann.ac.il/complex/compphys/software/geview/data/figures/211074_at.png","Figure")</f>
        <v>Figure</v>
      </c>
      <c r="I15907">
        <v>0.91800000000000004</v>
      </c>
      <c r="J15907">
        <v>0.83</v>
      </c>
      <c r="K15907">
        <v>1.01</v>
      </c>
      <c r="L15907">
        <v>1</v>
      </c>
      <c r="M15907">
        <v>1.1000000000000001</v>
      </c>
      <c r="N15907">
        <v>0.77</v>
      </c>
    </row>
    <row r="15908" spans="1:14" x14ac:dyDescent="0.25">
      <c r="A15908" t="s">
        <v>26743</v>
      </c>
      <c r="B15908" t="s">
        <v>23013</v>
      </c>
      <c r="C15908" s="1" t="str">
        <f>HYPERLINK("http://www.genecards.org/cgi-bin/carddisp.pl?gene=C16orf35","GeneCards")</f>
        <v>GeneCards</v>
      </c>
      <c r="D15908" s="1" t="str">
        <f>HYPERLINK("http://genome-euro.ucsc.edu/cgi-bin/hgTracks?position=203289_s_at","UCSC")</f>
        <v>UCSC</v>
      </c>
      <c r="E15908" s="1" t="str">
        <f>HYPERLINK("http://www.ncbi.nlm.nih.gov/gene/?term=C16orf35","NCBI")</f>
        <v>NCBI</v>
      </c>
      <c r="F15908">
        <v>0.77</v>
      </c>
      <c r="G15908">
        <v>0.82</v>
      </c>
      <c r="H15908" s="1" t="str">
        <f>HYPERLINK("http://www.weizmann.ac.il/complex/compphys/software/geview/data/figures/203289_s_at.png","Figure")</f>
        <v>Figure</v>
      </c>
      <c r="I15908">
        <v>0.96499999999999997</v>
      </c>
      <c r="J15908">
        <v>0.88</v>
      </c>
      <c r="K15908">
        <v>0.95599999999999996</v>
      </c>
      <c r="L15908">
        <v>0.76</v>
      </c>
      <c r="M15908">
        <v>0.99</v>
      </c>
      <c r="N15908">
        <v>0.99</v>
      </c>
    </row>
    <row r="15909" spans="1:14" x14ac:dyDescent="0.25">
      <c r="A15909" t="s">
        <v>26744</v>
      </c>
      <c r="B15909" t="s">
        <v>26745</v>
      </c>
      <c r="C15909" s="1" t="str">
        <f>HYPERLINK("http://www.genecards.org/cgi-bin/carddisp.pl?gene=LRRC16A","GeneCards")</f>
        <v>GeneCards</v>
      </c>
      <c r="D15909" s="1" t="str">
        <f>HYPERLINK("http://genome-euro.ucsc.edu/cgi-bin/hgTracks?position=219573_at","UCSC")</f>
        <v>UCSC</v>
      </c>
      <c r="E15909" s="1" t="str">
        <f>HYPERLINK("http://www.ncbi.nlm.nih.gov/gene/?term=LRRC16A","NCBI")</f>
        <v>NCBI</v>
      </c>
      <c r="F15909">
        <v>0.77</v>
      </c>
      <c r="G15909">
        <v>0.82</v>
      </c>
      <c r="H15909" s="1" t="str">
        <f>HYPERLINK("http://www.weizmann.ac.il/complex/compphys/software/geview/data/figures/219573_at.png","Figure")</f>
        <v>Figure</v>
      </c>
      <c r="I15909">
        <v>1.01</v>
      </c>
      <c r="J15909">
        <v>0.97</v>
      </c>
      <c r="K15909">
        <v>0.98099999999999998</v>
      </c>
      <c r="L15909">
        <v>0.88</v>
      </c>
      <c r="M15909">
        <v>0.97</v>
      </c>
      <c r="N15909">
        <v>0.77</v>
      </c>
    </row>
    <row r="15910" spans="1:14" x14ac:dyDescent="0.25">
      <c r="A15910" t="s">
        <v>26746</v>
      </c>
      <c r="B15910" t="s">
        <v>12149</v>
      </c>
      <c r="C15910" s="1" t="str">
        <f>HYPERLINK("http://www.genecards.org/cgi-bin/carddisp.pl?gene=TCF4","GeneCards")</f>
        <v>GeneCards</v>
      </c>
      <c r="D15910" s="1" t="str">
        <f>HYPERLINK("http://genome-euro.ucsc.edu/cgi-bin/hgTracks?position=203753_at","UCSC")</f>
        <v>UCSC</v>
      </c>
      <c r="E15910" s="1" t="str">
        <f>HYPERLINK("http://www.ncbi.nlm.nih.gov/gene/?term=TCF4","NCBI")</f>
        <v>NCBI</v>
      </c>
      <c r="F15910">
        <v>0.77</v>
      </c>
      <c r="G15910">
        <v>0.82</v>
      </c>
      <c r="H15910" s="1" t="str">
        <f>HYPERLINK("http://www.weizmann.ac.il/complex/compphys/software/geview/data/figures/203753_at.png","Figure")</f>
        <v>Figure</v>
      </c>
      <c r="I15910">
        <v>1.0900000000000001</v>
      </c>
      <c r="J15910">
        <v>0.93</v>
      </c>
      <c r="K15910">
        <v>1.1499999999999999</v>
      </c>
      <c r="L15910">
        <v>0.75</v>
      </c>
      <c r="M15910">
        <v>1.06</v>
      </c>
      <c r="N15910">
        <v>0.96</v>
      </c>
    </row>
    <row r="15911" spans="1:14" x14ac:dyDescent="0.25">
      <c r="A15911" t="s">
        <v>26747</v>
      </c>
      <c r="B15911" t="s">
        <v>19755</v>
      </c>
      <c r="C15911" s="1" t="str">
        <f>HYPERLINK("http://www.genecards.org/cgi-bin/carddisp.pl?gene=GCN1L1","GeneCards")</f>
        <v>GeneCards</v>
      </c>
      <c r="D15911" s="1" t="str">
        <f>HYPERLINK("http://genome-euro.ucsc.edu/cgi-bin/hgTracks?position=216232_s_at","UCSC")</f>
        <v>UCSC</v>
      </c>
      <c r="E15911" s="1" t="str">
        <f>HYPERLINK("http://www.ncbi.nlm.nih.gov/gene/?term=GCN1L1","NCBI")</f>
        <v>NCBI</v>
      </c>
      <c r="F15911">
        <v>0.77</v>
      </c>
      <c r="G15911">
        <v>0.82</v>
      </c>
      <c r="H15911" s="1" t="str">
        <f>HYPERLINK("http://www.weizmann.ac.il/complex/compphys/software/geview/data/figures/216232_s_at.png","Figure")</f>
        <v>Figure</v>
      </c>
      <c r="I15911">
        <v>0.91700000000000004</v>
      </c>
      <c r="J15911">
        <v>0.76</v>
      </c>
      <c r="K15911">
        <v>0.97699999999999998</v>
      </c>
      <c r="L15911">
        <v>0.97</v>
      </c>
      <c r="M15911">
        <v>1.07</v>
      </c>
      <c r="N15911">
        <v>0.85</v>
      </c>
    </row>
    <row r="15912" spans="1:14" x14ac:dyDescent="0.25">
      <c r="A15912" t="s">
        <v>26748</v>
      </c>
      <c r="B15912" t="s">
        <v>26749</v>
      </c>
      <c r="C15912" s="1" t="str">
        <f>HYPERLINK("http://www.genecards.org/cgi-bin/carddisp.pl?gene=CROT","GeneCards")</f>
        <v>GeneCards</v>
      </c>
      <c r="D15912" s="1" t="str">
        <f>HYPERLINK("http://genome-euro.ucsc.edu/cgi-bin/hgTracks?position=204573_at","UCSC")</f>
        <v>UCSC</v>
      </c>
      <c r="E15912" s="1" t="str">
        <f>HYPERLINK("http://www.ncbi.nlm.nih.gov/gene/?term=CROT","NCBI")</f>
        <v>NCBI</v>
      </c>
      <c r="F15912">
        <v>0.77</v>
      </c>
      <c r="G15912">
        <v>0.82</v>
      </c>
      <c r="H15912" s="1" t="str">
        <f>HYPERLINK("http://www.weizmann.ac.il/complex/compphys/software/geview/data/figures/204573_at.png","Figure")</f>
        <v>Figure</v>
      </c>
      <c r="I15912">
        <v>0.89700000000000002</v>
      </c>
      <c r="J15912">
        <v>0.75</v>
      </c>
      <c r="K15912">
        <v>0.95399999999999996</v>
      </c>
      <c r="L15912">
        <v>0.93</v>
      </c>
      <c r="M15912">
        <v>1.06</v>
      </c>
      <c r="N15912">
        <v>0.9</v>
      </c>
    </row>
    <row r="15913" spans="1:14" x14ac:dyDescent="0.25">
      <c r="A15913" t="s">
        <v>26750</v>
      </c>
      <c r="B15913" t="s">
        <v>26751</v>
      </c>
      <c r="C15913" s="1" t="str">
        <f>HYPERLINK("http://www.genecards.org/cgi-bin/carddisp.pl?gene=MEG3","GeneCards")</f>
        <v>GeneCards</v>
      </c>
      <c r="D15913" s="1" t="str">
        <f>HYPERLINK("http://genome-euro.ucsc.edu/cgi-bin/hgTracks?position=222328_x_at","UCSC")</f>
        <v>UCSC</v>
      </c>
      <c r="E15913" s="1" t="str">
        <f>HYPERLINK("http://www.ncbi.nlm.nih.gov/gene/?term=MEG3","NCBI")</f>
        <v>NCBI</v>
      </c>
      <c r="F15913">
        <v>0.77</v>
      </c>
      <c r="G15913">
        <v>0.82</v>
      </c>
      <c r="H15913" s="1" t="str">
        <f>HYPERLINK("http://www.weizmann.ac.il/complex/compphys/software/geview/data/figures/222328_x_at.png","Figure")</f>
        <v>Figure</v>
      </c>
      <c r="I15913">
        <v>1.04</v>
      </c>
      <c r="J15913">
        <v>0.75</v>
      </c>
      <c r="K15913">
        <v>1.02</v>
      </c>
      <c r="L15913">
        <v>0.94</v>
      </c>
      <c r="M15913">
        <v>0.97699999999999998</v>
      </c>
      <c r="N15913">
        <v>0.89</v>
      </c>
    </row>
    <row r="15914" spans="1:14" x14ac:dyDescent="0.25">
      <c r="A15914" t="s">
        <v>26752</v>
      </c>
      <c r="B15914" t="s">
        <v>26753</v>
      </c>
      <c r="C15914" s="1" t="str">
        <f>HYPERLINK("http://www.genecards.org/cgi-bin/carddisp.pl?gene=SSSCA1","GeneCards")</f>
        <v>GeneCards</v>
      </c>
      <c r="D15914" s="1" t="str">
        <f>HYPERLINK("http://genome-euro.ucsc.edu/cgi-bin/hgTracks?position=203114_at","UCSC")</f>
        <v>UCSC</v>
      </c>
      <c r="E15914" s="1" t="str">
        <f>HYPERLINK("http://www.ncbi.nlm.nih.gov/gene/?term=SSSCA1","NCBI")</f>
        <v>NCBI</v>
      </c>
      <c r="F15914">
        <v>0.77</v>
      </c>
      <c r="G15914">
        <v>0.82</v>
      </c>
      <c r="H15914" s="1" t="str">
        <f>HYPERLINK("http://www.weizmann.ac.il/complex/compphys/software/geview/data/figures/203114_at.png","Figure")</f>
        <v>Figure</v>
      </c>
      <c r="I15914">
        <v>1.06</v>
      </c>
      <c r="J15914">
        <v>0.92</v>
      </c>
      <c r="K15914">
        <v>1.1100000000000001</v>
      </c>
      <c r="L15914">
        <v>0.75</v>
      </c>
      <c r="M15914">
        <v>1.04</v>
      </c>
      <c r="N15914">
        <v>0.96</v>
      </c>
    </row>
    <row r="15915" spans="1:14" x14ac:dyDescent="0.25">
      <c r="A15915" t="s">
        <v>26754</v>
      </c>
      <c r="B15915" t="s">
        <v>16443</v>
      </c>
      <c r="C15915" s="1" t="str">
        <f>HYPERLINK("http://www.genecards.org/cgi-bin/carddisp.pl?gene=ACRV1","GeneCards")</f>
        <v>GeneCards</v>
      </c>
      <c r="D15915" s="1" t="str">
        <f>HYPERLINK("http://genome-euro.ucsc.edu/cgi-bin/hgTracks?position=206776_x_at","UCSC")</f>
        <v>UCSC</v>
      </c>
      <c r="E15915" s="1" t="str">
        <f>HYPERLINK("http://www.ncbi.nlm.nih.gov/gene/?term=ACRV1","NCBI")</f>
        <v>NCBI</v>
      </c>
      <c r="F15915">
        <v>0.77</v>
      </c>
      <c r="G15915">
        <v>0.82</v>
      </c>
      <c r="H15915" s="1" t="str">
        <f>HYPERLINK("http://www.weizmann.ac.il/complex/compphys/software/geview/data/figures/206776_x_at.png","Figure")</f>
        <v>Figure</v>
      </c>
      <c r="I15915">
        <v>0.995</v>
      </c>
      <c r="J15915">
        <v>0.98</v>
      </c>
      <c r="K15915">
        <v>0.98299999999999998</v>
      </c>
      <c r="L15915">
        <v>0.77</v>
      </c>
      <c r="M15915">
        <v>0.98799999999999999</v>
      </c>
      <c r="N15915">
        <v>0.89</v>
      </c>
    </row>
    <row r="15916" spans="1:14" x14ac:dyDescent="0.25">
      <c r="A15916" t="s">
        <v>26755</v>
      </c>
      <c r="B15916" t="s">
        <v>26756</v>
      </c>
      <c r="C15916" s="1" t="str">
        <f>HYPERLINK("http://www.genecards.org/cgi-bin/carddisp.pl?gene=SYNGR4","GeneCards")</f>
        <v>GeneCards</v>
      </c>
      <c r="D15916" s="1" t="str">
        <f>HYPERLINK("http://genome-euro.ucsc.edu/cgi-bin/hgTracks?position=206719_at","UCSC")</f>
        <v>UCSC</v>
      </c>
      <c r="E15916" s="1" t="str">
        <f>HYPERLINK("http://www.ncbi.nlm.nih.gov/gene/?term=SYNGR4","NCBI")</f>
        <v>NCBI</v>
      </c>
      <c r="F15916">
        <v>0.77</v>
      </c>
      <c r="G15916">
        <v>0.82</v>
      </c>
      <c r="H15916" s="1" t="str">
        <f>HYPERLINK("http://www.weizmann.ac.il/complex/compphys/software/geview/data/figures/206719_at.png","Figure")</f>
        <v>Figure</v>
      </c>
      <c r="I15916">
        <v>1.04</v>
      </c>
      <c r="J15916">
        <v>0.88</v>
      </c>
      <c r="K15916">
        <v>0.98499999999999999</v>
      </c>
      <c r="L15916">
        <v>0.97</v>
      </c>
      <c r="M15916">
        <v>0.94699999999999995</v>
      </c>
      <c r="N15916">
        <v>0.75</v>
      </c>
    </row>
    <row r="15917" spans="1:14" x14ac:dyDescent="0.25">
      <c r="A15917" t="s">
        <v>26757</v>
      </c>
      <c r="B15917" t="s">
        <v>25843</v>
      </c>
      <c r="C15917" s="1" t="str">
        <f>HYPERLINK("http://www.genecards.org/cgi-bin/carddisp.pl?gene=TRBC1","GeneCards")</f>
        <v>GeneCards</v>
      </c>
      <c r="D15917" s="1" t="str">
        <f>HYPERLINK("http://genome-euro.ucsc.edu/cgi-bin/hgTracks?position=210915_x_at","UCSC")</f>
        <v>UCSC</v>
      </c>
      <c r="E15917" s="1" t="str">
        <f>HYPERLINK("http://www.ncbi.nlm.nih.gov/gene/?term=TRBC1","NCBI")</f>
        <v>NCBI</v>
      </c>
      <c r="F15917">
        <v>0.77</v>
      </c>
      <c r="G15917">
        <v>0.82</v>
      </c>
      <c r="H15917" s="1" t="str">
        <f>HYPERLINK("http://www.weizmann.ac.il/complex/compphys/software/geview/data/figures/210915_x_at.png","Figure")</f>
        <v>Figure</v>
      </c>
      <c r="I15917">
        <v>1.2</v>
      </c>
      <c r="J15917">
        <v>0.76</v>
      </c>
      <c r="K15917">
        <v>1.05</v>
      </c>
      <c r="L15917">
        <v>0.97</v>
      </c>
      <c r="M15917">
        <v>0.877</v>
      </c>
      <c r="N15917">
        <v>0.85</v>
      </c>
    </row>
    <row r="15918" spans="1:14" x14ac:dyDescent="0.25">
      <c r="A15918" t="s">
        <v>26758</v>
      </c>
      <c r="B15918" t="s">
        <v>11177</v>
      </c>
      <c r="C15918" s="1" t="str">
        <f>HYPERLINK("http://www.genecards.org/cgi-bin/carddisp.pl?gene=TRO","GeneCards")</f>
        <v>GeneCards</v>
      </c>
      <c r="D15918" s="1" t="str">
        <f>HYPERLINK("http://genome-euro.ucsc.edu/cgi-bin/hgTracks?position=211701_s_at","UCSC")</f>
        <v>UCSC</v>
      </c>
      <c r="E15918" s="1" t="str">
        <f>HYPERLINK("http://www.ncbi.nlm.nih.gov/gene/?term=TRO","NCBI")</f>
        <v>NCBI</v>
      </c>
      <c r="F15918">
        <v>0.77</v>
      </c>
      <c r="G15918">
        <v>0.82</v>
      </c>
      <c r="H15918" s="1" t="str">
        <f>HYPERLINK("http://www.weizmann.ac.il/complex/compphys/software/geview/data/figures/211701_s_at.png","Figure")</f>
        <v>Figure</v>
      </c>
      <c r="I15918">
        <v>0.95199999999999996</v>
      </c>
      <c r="J15918">
        <v>0.92</v>
      </c>
      <c r="K15918">
        <v>1.04</v>
      </c>
      <c r="L15918">
        <v>0.94</v>
      </c>
      <c r="M15918">
        <v>1.0900000000000001</v>
      </c>
      <c r="N15918">
        <v>0.75</v>
      </c>
    </row>
    <row r="15919" spans="1:14" x14ac:dyDescent="0.25">
      <c r="A15919" t="s">
        <v>26759</v>
      </c>
      <c r="B15919" t="s">
        <v>26760</v>
      </c>
      <c r="C15919" s="1" t="str">
        <f>HYPERLINK("http://www.genecards.org/cgi-bin/carddisp.pl?gene=HEBP2","GeneCards")</f>
        <v>GeneCards</v>
      </c>
      <c r="D15919" s="1" t="str">
        <f>HYPERLINK("http://genome-euro.ucsc.edu/cgi-bin/hgTracks?position=203430_at","UCSC")</f>
        <v>UCSC</v>
      </c>
      <c r="E15919" s="1" t="str">
        <f>HYPERLINK("http://www.ncbi.nlm.nih.gov/gene/?term=HEBP2","NCBI")</f>
        <v>NCBI</v>
      </c>
      <c r="F15919">
        <v>0.77</v>
      </c>
      <c r="G15919">
        <v>0.82</v>
      </c>
      <c r="H15919" s="1" t="str">
        <f>HYPERLINK("http://www.weizmann.ac.il/complex/compphys/software/geview/data/figures/203430_at.png","Figure")</f>
        <v>Figure</v>
      </c>
      <c r="I15919">
        <v>0.82599999999999996</v>
      </c>
      <c r="J15919">
        <v>0.77</v>
      </c>
      <c r="K15919">
        <v>0.96099999999999997</v>
      </c>
      <c r="L15919">
        <v>0.99</v>
      </c>
      <c r="M15919">
        <v>1.1599999999999999</v>
      </c>
      <c r="N15919">
        <v>0.83</v>
      </c>
    </row>
    <row r="15920" spans="1:14" x14ac:dyDescent="0.25">
      <c r="A15920" t="s">
        <v>26761</v>
      </c>
      <c r="B15920" t="s">
        <v>26762</v>
      </c>
      <c r="C15920" s="1" t="str">
        <f>HYPERLINK("http://www.genecards.org/cgi-bin/carddisp.pl?gene=IGL@ /// IGLV2-18 /// IGLV2-23","GeneCards")</f>
        <v>GeneCards</v>
      </c>
      <c r="D15920" s="1" t="str">
        <f>HYPERLINK("http://genome-euro.ucsc.edu/cgi-bin/hgTracks?position=217235_x_at","UCSC")</f>
        <v>UCSC</v>
      </c>
      <c r="E15920" s="1" t="str">
        <f>HYPERLINK("http://www.ncbi.nlm.nih.gov/gene/?term=IGL@ /// IGLV2-18 /// IGLV2-23","NCBI")</f>
        <v>NCBI</v>
      </c>
      <c r="F15920">
        <v>0.77</v>
      </c>
      <c r="G15920">
        <v>0.83</v>
      </c>
      <c r="H15920" s="1" t="str">
        <f>HYPERLINK("http://www.weizmann.ac.il/complex/compphys/software/geview/data/figures/217235_x_at.png","Figure")</f>
        <v>Figure</v>
      </c>
      <c r="I15920">
        <v>0.91100000000000003</v>
      </c>
      <c r="J15920">
        <v>0.75</v>
      </c>
      <c r="K15920">
        <v>0.96099999999999997</v>
      </c>
      <c r="L15920">
        <v>0.93</v>
      </c>
      <c r="M15920">
        <v>1.05</v>
      </c>
      <c r="N15920">
        <v>0.9</v>
      </c>
    </row>
    <row r="15921" spans="1:14" x14ac:dyDescent="0.25">
      <c r="A15921" t="s">
        <v>26763</v>
      </c>
      <c r="B15921" t="s">
        <v>20862</v>
      </c>
      <c r="C15921" s="1" t="str">
        <f>HYPERLINK("http://www.genecards.org/cgi-bin/carddisp.pl?gene=NUP50","GeneCards")</f>
        <v>GeneCards</v>
      </c>
      <c r="D15921" s="1" t="str">
        <f>HYPERLINK("http://genome-euro.ucsc.edu/cgi-bin/hgTracks?position=218295_s_at","UCSC")</f>
        <v>UCSC</v>
      </c>
      <c r="E15921" s="1" t="str">
        <f>HYPERLINK("http://www.ncbi.nlm.nih.gov/gene/?term=NUP50","NCBI")</f>
        <v>NCBI</v>
      </c>
      <c r="F15921">
        <v>0.77</v>
      </c>
      <c r="G15921">
        <v>0.83</v>
      </c>
      <c r="H15921" s="1" t="str">
        <f>HYPERLINK("http://www.weizmann.ac.il/complex/compphys/software/geview/data/figures/218295_s_at.png","Figure")</f>
        <v>Figure</v>
      </c>
      <c r="I15921">
        <v>1.0900000000000001</v>
      </c>
      <c r="J15921">
        <v>0.76</v>
      </c>
      <c r="K15921">
        <v>1.05</v>
      </c>
      <c r="L15921">
        <v>0.89</v>
      </c>
      <c r="M15921">
        <v>0.96499999999999997</v>
      </c>
      <c r="N15921">
        <v>0.94</v>
      </c>
    </row>
    <row r="15922" spans="1:14" x14ac:dyDescent="0.25">
      <c r="A15922" t="s">
        <v>26764</v>
      </c>
      <c r="B15922" t="s">
        <v>26765</v>
      </c>
      <c r="C15922" s="1" t="str">
        <f>HYPERLINK("http://www.genecards.org/cgi-bin/carddisp.pl?gene=JUNB","GeneCards")</f>
        <v>GeneCards</v>
      </c>
      <c r="D15922" s="1" t="str">
        <f>HYPERLINK("http://genome-euro.ucsc.edu/cgi-bin/hgTracks?position=201473_at","UCSC")</f>
        <v>UCSC</v>
      </c>
      <c r="E15922" s="1" t="str">
        <f>HYPERLINK("http://www.ncbi.nlm.nih.gov/gene/?term=JUNB","NCBI")</f>
        <v>NCBI</v>
      </c>
      <c r="F15922">
        <v>0.77</v>
      </c>
      <c r="G15922">
        <v>0.83</v>
      </c>
      <c r="H15922" s="1" t="str">
        <f>HYPERLINK("http://www.weizmann.ac.il/complex/compphys/software/geview/data/figures/201473_at.png","Figure")</f>
        <v>Figure</v>
      </c>
      <c r="I15922">
        <v>1.1399999999999999</v>
      </c>
      <c r="J15922">
        <v>0.87</v>
      </c>
      <c r="K15922">
        <v>1.17</v>
      </c>
      <c r="L15922">
        <v>0.77</v>
      </c>
      <c r="M15922">
        <v>1.03</v>
      </c>
      <c r="N15922">
        <v>0.99</v>
      </c>
    </row>
    <row r="15923" spans="1:14" x14ac:dyDescent="0.25">
      <c r="A15923" t="s">
        <v>26766</v>
      </c>
      <c r="B15923" t="s">
        <v>26767</v>
      </c>
      <c r="C15923" s="1" t="str">
        <f>HYPERLINK("http://www.genecards.org/cgi-bin/carddisp.pl?gene=OR2F1","GeneCards")</f>
        <v>GeneCards</v>
      </c>
      <c r="D15923" s="1" t="str">
        <f>HYPERLINK("http://genome-euro.ucsc.edu/cgi-bin/hgTracks?position=208526_at","UCSC")</f>
        <v>UCSC</v>
      </c>
      <c r="E15923" s="1" t="str">
        <f>HYPERLINK("http://www.ncbi.nlm.nih.gov/gene/?term=OR2F1","NCBI")</f>
        <v>NCBI</v>
      </c>
      <c r="F15923">
        <v>0.77</v>
      </c>
      <c r="G15923">
        <v>0.83</v>
      </c>
      <c r="H15923" s="1" t="str">
        <f>HYPERLINK("http://www.weizmann.ac.il/complex/compphys/software/geview/data/figures/208526_at.png","Figure")</f>
        <v>Figure</v>
      </c>
      <c r="I15923">
        <v>1.01</v>
      </c>
      <c r="J15923">
        <v>0.97</v>
      </c>
      <c r="K15923">
        <v>1.03</v>
      </c>
      <c r="L15923">
        <v>0.76</v>
      </c>
      <c r="M15923">
        <v>1.02</v>
      </c>
      <c r="N15923">
        <v>0.91</v>
      </c>
    </row>
    <row r="15924" spans="1:14" x14ac:dyDescent="0.25">
      <c r="A15924" t="s">
        <v>26768</v>
      </c>
      <c r="B15924" t="s">
        <v>6798</v>
      </c>
      <c r="C15924" s="1" t="str">
        <f>HYPERLINK("http://www.genecards.org/cgi-bin/carddisp.pl?gene=DGCR8","GeneCards")</f>
        <v>GeneCards</v>
      </c>
      <c r="D15924" s="1" t="str">
        <f>HYPERLINK("http://genome-euro.ucsc.edu/cgi-bin/hgTracks?position=218650_at","UCSC")</f>
        <v>UCSC</v>
      </c>
      <c r="E15924" s="1" t="str">
        <f>HYPERLINK("http://www.ncbi.nlm.nih.gov/gene/?term=DGCR8","NCBI")</f>
        <v>NCBI</v>
      </c>
      <c r="F15924">
        <v>0.77</v>
      </c>
      <c r="G15924">
        <v>0.83</v>
      </c>
      <c r="H15924" s="1" t="str">
        <f>HYPERLINK("http://www.weizmann.ac.il/complex/compphys/software/geview/data/figures/218650_at.png","Figure")</f>
        <v>Figure</v>
      </c>
      <c r="I15924">
        <v>1.1599999999999999</v>
      </c>
      <c r="J15924">
        <v>0.75</v>
      </c>
      <c r="K15924">
        <v>1.06</v>
      </c>
      <c r="L15924">
        <v>0.94</v>
      </c>
      <c r="M15924">
        <v>0.91800000000000004</v>
      </c>
      <c r="N15924">
        <v>0.89</v>
      </c>
    </row>
    <row r="15925" spans="1:14" x14ac:dyDescent="0.25">
      <c r="A15925" t="s">
        <v>26769</v>
      </c>
      <c r="B15925" t="s">
        <v>26770</v>
      </c>
      <c r="C15925" s="1" t="str">
        <f>HYPERLINK("http://www.genecards.org/cgi-bin/carddisp.pl?gene=WARS2","GeneCards")</f>
        <v>GeneCards</v>
      </c>
      <c r="D15925" s="1" t="str">
        <f>HYPERLINK("http://genome-euro.ucsc.edu/cgi-bin/hgTracks?position=218766_s_at","UCSC")</f>
        <v>UCSC</v>
      </c>
      <c r="E15925" s="1" t="str">
        <f>HYPERLINK("http://www.ncbi.nlm.nih.gov/gene/?term=WARS2","NCBI")</f>
        <v>NCBI</v>
      </c>
      <c r="F15925">
        <v>0.77</v>
      </c>
      <c r="G15925">
        <v>0.83</v>
      </c>
      <c r="H15925" s="1" t="str">
        <f>HYPERLINK("http://www.weizmann.ac.il/complex/compphys/software/geview/data/figures/218766_s_at.png","Figure")</f>
        <v>Figure</v>
      </c>
      <c r="I15925">
        <v>0.99</v>
      </c>
      <c r="J15925">
        <v>0.99</v>
      </c>
      <c r="K15925">
        <v>0.95699999999999996</v>
      </c>
      <c r="L15925">
        <v>0.78</v>
      </c>
      <c r="M15925">
        <v>0.96699999999999997</v>
      </c>
      <c r="N15925">
        <v>0.88</v>
      </c>
    </row>
    <row r="15926" spans="1:14" x14ac:dyDescent="0.25">
      <c r="A15926" t="s">
        <v>26771</v>
      </c>
      <c r="B15926" t="s">
        <v>26772</v>
      </c>
      <c r="C15926" s="1" t="str">
        <f>HYPERLINK("http://www.genecards.org/cgi-bin/carddisp.pl?gene=CA1","GeneCards")</f>
        <v>GeneCards</v>
      </c>
      <c r="D15926" s="1" t="str">
        <f>HYPERLINK("http://genome-euro.ucsc.edu/cgi-bin/hgTracks?position=205950_s_at","UCSC")</f>
        <v>UCSC</v>
      </c>
      <c r="E15926" s="1" t="str">
        <f>HYPERLINK("http://www.ncbi.nlm.nih.gov/gene/?term=CA1","NCBI")</f>
        <v>NCBI</v>
      </c>
      <c r="F15926">
        <v>0.77</v>
      </c>
      <c r="G15926">
        <v>0.83</v>
      </c>
      <c r="H15926" s="1" t="str">
        <f>HYPERLINK("http://www.weizmann.ac.il/complex/compphys/software/geview/data/figures/205950_s_at.png","Figure")</f>
        <v>Figure</v>
      </c>
      <c r="I15926">
        <v>1.47</v>
      </c>
      <c r="J15926">
        <v>0.83</v>
      </c>
      <c r="K15926">
        <v>0.97099999999999997</v>
      </c>
      <c r="L15926">
        <v>1</v>
      </c>
      <c r="M15926">
        <v>0.65900000000000003</v>
      </c>
      <c r="N15926">
        <v>0.78</v>
      </c>
    </row>
    <row r="15927" spans="1:14" x14ac:dyDescent="0.25">
      <c r="A15927" t="s">
        <v>26773</v>
      </c>
      <c r="B15927" t="s">
        <v>4422</v>
      </c>
      <c r="C15927" s="1" t="str">
        <f>HYPERLINK("http://www.genecards.org/cgi-bin/carddisp.pl?gene=IGHM","GeneCards")</f>
        <v>GeneCards</v>
      </c>
      <c r="D15927" s="1" t="str">
        <f>HYPERLINK("http://genome-euro.ucsc.edu/cgi-bin/hgTracks?position=216491_x_at","UCSC")</f>
        <v>UCSC</v>
      </c>
      <c r="E15927" s="1" t="str">
        <f>HYPERLINK("http://www.ncbi.nlm.nih.gov/gene/?term=IGHM","NCBI")</f>
        <v>NCBI</v>
      </c>
      <c r="F15927">
        <v>0.77</v>
      </c>
      <c r="G15927">
        <v>0.83</v>
      </c>
      <c r="H15927" s="1" t="str">
        <f>HYPERLINK("http://www.weizmann.ac.il/complex/compphys/software/geview/data/figures/216491_x_at.png","Figure")</f>
        <v>Figure</v>
      </c>
      <c r="I15927">
        <v>0.92100000000000004</v>
      </c>
      <c r="J15927">
        <v>0.79</v>
      </c>
      <c r="K15927">
        <v>0.93600000000000005</v>
      </c>
      <c r="L15927">
        <v>0.82</v>
      </c>
      <c r="M15927">
        <v>1.02</v>
      </c>
      <c r="N15927">
        <v>0.99</v>
      </c>
    </row>
    <row r="15928" spans="1:14" x14ac:dyDescent="0.25">
      <c r="A15928" t="s">
        <v>26774</v>
      </c>
      <c r="B15928" t="s">
        <v>26775</v>
      </c>
      <c r="C15928" s="1" t="str">
        <f>HYPERLINK("http://www.genecards.org/cgi-bin/carddisp.pl?gene=DLEU2 /// DLEU2L","GeneCards")</f>
        <v>GeneCards</v>
      </c>
      <c r="D15928" s="1" t="str">
        <f>HYPERLINK("http://genome-euro.ucsc.edu/cgi-bin/hgTracks?position=215629_s_at","UCSC")</f>
        <v>UCSC</v>
      </c>
      <c r="E15928" s="1" t="str">
        <f>HYPERLINK("http://www.ncbi.nlm.nih.gov/gene/?term=DLEU2 /// DLEU2L","NCBI")</f>
        <v>NCBI</v>
      </c>
      <c r="F15928">
        <v>0.77</v>
      </c>
      <c r="G15928">
        <v>0.83</v>
      </c>
      <c r="H15928" s="1" t="str">
        <f>HYPERLINK("http://www.weizmann.ac.il/complex/compphys/software/geview/data/figures/215629_s_at.png","Figure")</f>
        <v>Figure</v>
      </c>
      <c r="I15928">
        <v>1.03</v>
      </c>
      <c r="J15928">
        <v>0.99</v>
      </c>
      <c r="K15928">
        <v>0.89</v>
      </c>
      <c r="L15928">
        <v>0.85</v>
      </c>
      <c r="M15928">
        <v>0.86099999999999999</v>
      </c>
      <c r="N15928">
        <v>0.79</v>
      </c>
    </row>
    <row r="15929" spans="1:14" x14ac:dyDescent="0.25">
      <c r="A15929" t="s">
        <v>26776</v>
      </c>
      <c r="B15929" t="s">
        <v>26777</v>
      </c>
      <c r="C15929" s="1" t="str">
        <f>HYPERLINK("http://www.genecards.org/cgi-bin/carddisp.pl?gene=VSIG4","GeneCards")</f>
        <v>GeneCards</v>
      </c>
      <c r="D15929" s="1" t="str">
        <f>HYPERLINK("http://genome-euro.ucsc.edu/cgi-bin/hgTracks?position=204787_at","UCSC")</f>
        <v>UCSC</v>
      </c>
      <c r="E15929" s="1" t="str">
        <f>HYPERLINK("http://www.ncbi.nlm.nih.gov/gene/?term=VSIG4","NCBI")</f>
        <v>NCBI</v>
      </c>
      <c r="F15929">
        <v>0.77</v>
      </c>
      <c r="G15929">
        <v>0.83</v>
      </c>
      <c r="H15929" s="1" t="str">
        <f>HYPERLINK("http://www.weizmann.ac.il/complex/compphys/software/geview/data/figures/204787_at.png","Figure")</f>
        <v>Figure</v>
      </c>
      <c r="I15929">
        <v>1.04</v>
      </c>
      <c r="J15929">
        <v>0.78</v>
      </c>
      <c r="K15929">
        <v>1.01</v>
      </c>
      <c r="L15929">
        <v>0.99</v>
      </c>
      <c r="M15929">
        <v>0.97</v>
      </c>
      <c r="N15929">
        <v>0.82</v>
      </c>
    </row>
    <row r="15930" spans="1:14" x14ac:dyDescent="0.25">
      <c r="A15930" t="s">
        <v>26778</v>
      </c>
      <c r="B15930" t="s">
        <v>26779</v>
      </c>
      <c r="C15930" s="1" t="str">
        <f>HYPERLINK("http://www.genecards.org/cgi-bin/carddisp.pl?gene=DDX58","GeneCards")</f>
        <v>GeneCards</v>
      </c>
      <c r="D15930" s="1" t="str">
        <f>HYPERLINK("http://genome-euro.ucsc.edu/cgi-bin/hgTracks?position=218943_s_at","UCSC")</f>
        <v>UCSC</v>
      </c>
      <c r="E15930" s="1" t="str">
        <f>HYPERLINK("http://www.ncbi.nlm.nih.gov/gene/?term=DDX58","NCBI")</f>
        <v>NCBI</v>
      </c>
      <c r="F15930">
        <v>0.77</v>
      </c>
      <c r="G15930">
        <v>0.83</v>
      </c>
      <c r="H15930" s="1" t="str">
        <f>HYPERLINK("http://www.weizmann.ac.il/complex/compphys/software/geview/data/figures/218943_s_at.png","Figure")</f>
        <v>Figure</v>
      </c>
      <c r="I15930">
        <v>1.1100000000000001</v>
      </c>
      <c r="J15930">
        <v>0.77</v>
      </c>
      <c r="K15930">
        <v>1.07</v>
      </c>
      <c r="L15930">
        <v>0.86</v>
      </c>
      <c r="M15930">
        <v>0.96599999999999997</v>
      </c>
      <c r="N15930">
        <v>0.96</v>
      </c>
    </row>
    <row r="15931" spans="1:14" x14ac:dyDescent="0.25">
      <c r="A15931" t="s">
        <v>26780</v>
      </c>
      <c r="B15931" t="s">
        <v>7803</v>
      </c>
      <c r="C15931" s="1" t="str">
        <f>HYPERLINK("http://www.genecards.org/cgi-bin/carddisp.pl?gene=ATN1","GeneCards")</f>
        <v>GeneCards</v>
      </c>
      <c r="D15931" s="1" t="str">
        <f>HYPERLINK("http://genome-euro.ucsc.edu/cgi-bin/hgTracks?position=208871_at","UCSC")</f>
        <v>UCSC</v>
      </c>
      <c r="E15931" s="1" t="str">
        <f>HYPERLINK("http://www.ncbi.nlm.nih.gov/gene/?term=ATN1","NCBI")</f>
        <v>NCBI</v>
      </c>
      <c r="F15931">
        <v>0.77</v>
      </c>
      <c r="G15931">
        <v>0.83</v>
      </c>
      <c r="H15931" s="1" t="str">
        <f>HYPERLINK("http://www.weizmann.ac.il/complex/compphys/software/geview/data/figures/208871_at.png","Figure")</f>
        <v>Figure</v>
      </c>
      <c r="I15931">
        <v>0.98899999999999999</v>
      </c>
      <c r="J15931">
        <v>0.99</v>
      </c>
      <c r="K15931">
        <v>1.04</v>
      </c>
      <c r="L15931">
        <v>0.85</v>
      </c>
      <c r="M15931">
        <v>1.05</v>
      </c>
      <c r="N15931">
        <v>0.79</v>
      </c>
    </row>
    <row r="15932" spans="1:14" x14ac:dyDescent="0.25">
      <c r="A15932" t="s">
        <v>26781</v>
      </c>
      <c r="B15932" t="s">
        <v>26782</v>
      </c>
      <c r="C15932" s="1" t="str">
        <f>HYPERLINK("http://www.genecards.org/cgi-bin/carddisp.pl?gene=NCOA6","GeneCards")</f>
        <v>GeneCards</v>
      </c>
      <c r="D15932" s="1" t="str">
        <f>HYPERLINK("http://genome-euro.ucsc.edu/cgi-bin/hgTracks?position=208979_at","UCSC")</f>
        <v>UCSC</v>
      </c>
      <c r="E15932" s="1" t="str">
        <f>HYPERLINK("http://www.ncbi.nlm.nih.gov/gene/?term=NCOA6","NCBI")</f>
        <v>NCBI</v>
      </c>
      <c r="F15932">
        <v>0.77</v>
      </c>
      <c r="G15932">
        <v>0.83</v>
      </c>
      <c r="H15932" s="1" t="str">
        <f>HYPERLINK("http://www.weizmann.ac.il/complex/compphys/software/geview/data/figures/208979_at.png","Figure")</f>
        <v>Figure</v>
      </c>
      <c r="I15932">
        <v>0.90400000000000003</v>
      </c>
      <c r="J15932">
        <v>0.76</v>
      </c>
      <c r="K15932">
        <v>0.94599999999999995</v>
      </c>
      <c r="L15932">
        <v>0.9</v>
      </c>
      <c r="M15932">
        <v>1.05</v>
      </c>
      <c r="N15932">
        <v>0.94</v>
      </c>
    </row>
    <row r="15933" spans="1:14" x14ac:dyDescent="0.25">
      <c r="A15933" t="s">
        <v>26783</v>
      </c>
      <c r="B15933" t="s">
        <v>2598</v>
      </c>
      <c r="C15933" s="1" t="str">
        <f>HYPERLINK("http://www.genecards.org/cgi-bin/carddisp.pl?gene=CEP57","GeneCards")</f>
        <v>GeneCards</v>
      </c>
      <c r="D15933" s="1" t="str">
        <f>HYPERLINK("http://genome-euro.ucsc.edu/cgi-bin/hgTracks?position=203492_x_at","UCSC")</f>
        <v>UCSC</v>
      </c>
      <c r="E15933" s="1" t="str">
        <f>HYPERLINK("http://www.ncbi.nlm.nih.gov/gene/?term=CEP57","NCBI")</f>
        <v>NCBI</v>
      </c>
      <c r="F15933">
        <v>0.78</v>
      </c>
      <c r="G15933">
        <v>0.83</v>
      </c>
      <c r="H15933" s="1" t="str">
        <f>HYPERLINK("http://www.weizmann.ac.il/complex/compphys/software/geview/data/figures/203492_x_at.png","Figure")</f>
        <v>Figure</v>
      </c>
      <c r="I15933">
        <v>0.91</v>
      </c>
      <c r="J15933">
        <v>0.81</v>
      </c>
      <c r="K15933">
        <v>0.998</v>
      </c>
      <c r="L15933">
        <v>1</v>
      </c>
      <c r="M15933">
        <v>1.1000000000000001</v>
      </c>
      <c r="N15933">
        <v>0.79</v>
      </c>
    </row>
    <row r="15934" spans="1:14" x14ac:dyDescent="0.25">
      <c r="A15934" t="s">
        <v>26784</v>
      </c>
      <c r="B15934" t="s">
        <v>18114</v>
      </c>
      <c r="C15934" s="1" t="str">
        <f>HYPERLINK("http://www.genecards.org/cgi-bin/carddisp.pl?gene=PML","GeneCards")</f>
        <v>GeneCards</v>
      </c>
      <c r="D15934" s="1" t="str">
        <f>HYPERLINK("http://genome-euro.ucsc.edu/cgi-bin/hgTracks?position=211013_x_at","UCSC")</f>
        <v>UCSC</v>
      </c>
      <c r="E15934" s="1" t="str">
        <f>HYPERLINK("http://www.ncbi.nlm.nih.gov/gene/?term=PML","NCBI")</f>
        <v>NCBI</v>
      </c>
      <c r="F15934">
        <v>0.78</v>
      </c>
      <c r="G15934">
        <v>0.83</v>
      </c>
      <c r="H15934" s="1" t="str">
        <f>HYPERLINK("http://www.weizmann.ac.il/complex/compphys/software/geview/data/figures/211013_x_at.png","Figure")</f>
        <v>Figure</v>
      </c>
      <c r="I15934">
        <v>1.06</v>
      </c>
      <c r="J15934">
        <v>0.79</v>
      </c>
      <c r="K15934">
        <v>1.05</v>
      </c>
      <c r="L15934">
        <v>0.83</v>
      </c>
      <c r="M15934">
        <v>0.98799999999999999</v>
      </c>
      <c r="N15934">
        <v>0.99</v>
      </c>
    </row>
    <row r="15935" spans="1:14" x14ac:dyDescent="0.25">
      <c r="A15935" t="s">
        <v>26785</v>
      </c>
      <c r="B15935" t="s">
        <v>26786</v>
      </c>
      <c r="C15935" s="1" t="str">
        <f>HYPERLINK("http://www.genecards.org/cgi-bin/carddisp.pl?gene=RPGRIP1","GeneCards")</f>
        <v>GeneCards</v>
      </c>
      <c r="D15935" s="1" t="str">
        <f>HYPERLINK("http://genome-euro.ucsc.edu/cgi-bin/hgTracks?position=206608_s_at","UCSC")</f>
        <v>UCSC</v>
      </c>
      <c r="E15935" s="1" t="str">
        <f>HYPERLINK("http://www.ncbi.nlm.nih.gov/gene/?term=RPGRIP1","NCBI")</f>
        <v>NCBI</v>
      </c>
      <c r="F15935">
        <v>0.78</v>
      </c>
      <c r="G15935">
        <v>0.83</v>
      </c>
      <c r="H15935" s="1" t="str">
        <f>HYPERLINK("http://www.weizmann.ac.il/complex/compphys/software/geview/data/figures/206608_s_at.png","Figure")</f>
        <v>Figure</v>
      </c>
      <c r="I15935">
        <v>1.06</v>
      </c>
      <c r="J15935">
        <v>0.77</v>
      </c>
      <c r="K15935">
        <v>1.04</v>
      </c>
      <c r="L15935">
        <v>0.87</v>
      </c>
      <c r="M15935">
        <v>0.98099999999999998</v>
      </c>
      <c r="N15935">
        <v>0.96</v>
      </c>
    </row>
    <row r="15936" spans="1:14" x14ac:dyDescent="0.25">
      <c r="A15936" t="s">
        <v>26787</v>
      </c>
      <c r="B15936" t="s">
        <v>26788</v>
      </c>
      <c r="C15936" s="1" t="str">
        <f>HYPERLINK("http://www.genecards.org/cgi-bin/carddisp.pl?gene=ACSBG2","GeneCards")</f>
        <v>GeneCards</v>
      </c>
      <c r="D15936" s="1" t="str">
        <f>HYPERLINK("http://genome-euro.ucsc.edu/cgi-bin/hgTracks?position=221716_s_at","UCSC")</f>
        <v>UCSC</v>
      </c>
      <c r="E15936" s="1" t="str">
        <f>HYPERLINK("http://www.ncbi.nlm.nih.gov/gene/?term=ACSBG2","NCBI")</f>
        <v>NCBI</v>
      </c>
      <c r="F15936">
        <v>0.78</v>
      </c>
      <c r="G15936">
        <v>0.83</v>
      </c>
      <c r="H15936" s="1" t="str">
        <f>HYPERLINK("http://www.weizmann.ac.il/complex/compphys/software/geview/data/figures/221716_s_at.png","Figure")</f>
        <v>Figure</v>
      </c>
      <c r="I15936">
        <v>0.996</v>
      </c>
      <c r="J15936">
        <v>1</v>
      </c>
      <c r="K15936">
        <v>0.95099999999999996</v>
      </c>
      <c r="L15936">
        <v>0.8</v>
      </c>
      <c r="M15936">
        <v>0.95499999999999996</v>
      </c>
      <c r="N15936">
        <v>0.85</v>
      </c>
    </row>
    <row r="15937" spans="1:14" x14ac:dyDescent="0.25">
      <c r="A15937" t="s">
        <v>26789</v>
      </c>
      <c r="B15937" t="s">
        <v>26790</v>
      </c>
      <c r="C15937" s="1" t="str">
        <f>HYPERLINK("http://www.genecards.org/cgi-bin/carddisp.pl?gene=LILRA3","GeneCards")</f>
        <v>GeneCards</v>
      </c>
      <c r="D15937" s="1" t="str">
        <f>HYPERLINK("http://genome-euro.ucsc.edu/cgi-bin/hgTracks?position=206881_s_at","UCSC")</f>
        <v>UCSC</v>
      </c>
      <c r="E15937" s="1" t="str">
        <f>HYPERLINK("http://www.ncbi.nlm.nih.gov/gene/?term=LILRA3","NCBI")</f>
        <v>NCBI</v>
      </c>
      <c r="F15937">
        <v>0.78</v>
      </c>
      <c r="G15937">
        <v>0.83</v>
      </c>
      <c r="H15937" s="1" t="str">
        <f>HYPERLINK("http://www.weizmann.ac.il/complex/compphys/software/geview/data/figures/206881_s_at.png","Figure")</f>
        <v>Figure</v>
      </c>
      <c r="I15937">
        <v>1.07</v>
      </c>
      <c r="J15937">
        <v>0.87</v>
      </c>
      <c r="K15937">
        <v>0.98099999999999998</v>
      </c>
      <c r="L15937">
        <v>0.98</v>
      </c>
      <c r="M15937">
        <v>0.91900000000000004</v>
      </c>
      <c r="N15937">
        <v>0.76</v>
      </c>
    </row>
    <row r="15938" spans="1:14" x14ac:dyDescent="0.25">
      <c r="A15938" t="s">
        <v>26791</v>
      </c>
      <c r="B15938" t="s">
        <v>14746</v>
      </c>
      <c r="C15938" s="1" t="str">
        <f>HYPERLINK("http://www.genecards.org/cgi-bin/carddisp.pl?gene=ADCK2","GeneCards")</f>
        <v>GeneCards</v>
      </c>
      <c r="D15938" s="1" t="str">
        <f>HYPERLINK("http://genome-euro.ucsc.edu/cgi-bin/hgTracks?position=222117_s_at","UCSC")</f>
        <v>UCSC</v>
      </c>
      <c r="E15938" s="1" t="str">
        <f>HYPERLINK("http://www.ncbi.nlm.nih.gov/gene/?term=ADCK2","NCBI")</f>
        <v>NCBI</v>
      </c>
      <c r="F15938">
        <v>0.78</v>
      </c>
      <c r="G15938">
        <v>0.83</v>
      </c>
      <c r="H15938" s="1" t="str">
        <f>HYPERLINK("http://www.weizmann.ac.il/complex/compphys/software/geview/data/figures/222117_s_at.png","Figure")</f>
        <v>Figure</v>
      </c>
      <c r="I15938">
        <v>1.05</v>
      </c>
      <c r="J15938">
        <v>0.77</v>
      </c>
      <c r="K15938">
        <v>1.03</v>
      </c>
      <c r="L15938">
        <v>0.87</v>
      </c>
      <c r="M15938">
        <v>0.98299999999999998</v>
      </c>
      <c r="N15938">
        <v>0.96</v>
      </c>
    </row>
    <row r="15939" spans="1:14" x14ac:dyDescent="0.25">
      <c r="A15939" t="s">
        <v>26792</v>
      </c>
      <c r="B15939" t="s">
        <v>16408</v>
      </c>
      <c r="C15939" s="1" t="str">
        <f>HYPERLINK("http://www.genecards.org/cgi-bin/carddisp.pl?gene=HMGA1","GeneCards")</f>
        <v>GeneCards</v>
      </c>
      <c r="D15939" s="1" t="str">
        <f>HYPERLINK("http://genome-euro.ucsc.edu/cgi-bin/hgTracks?position=206074_s_at","UCSC")</f>
        <v>UCSC</v>
      </c>
      <c r="E15939" s="1" t="str">
        <f>HYPERLINK("http://www.ncbi.nlm.nih.gov/gene/?term=HMGA1","NCBI")</f>
        <v>NCBI</v>
      </c>
      <c r="F15939">
        <v>0.78</v>
      </c>
      <c r="G15939">
        <v>0.83</v>
      </c>
      <c r="H15939" s="1" t="str">
        <f>HYPERLINK("http://www.weizmann.ac.il/complex/compphys/software/geview/data/figures/206074_s_at.png","Figure")</f>
        <v>Figure</v>
      </c>
      <c r="I15939">
        <v>0.82099999999999995</v>
      </c>
      <c r="J15939">
        <v>0.77</v>
      </c>
      <c r="K15939">
        <v>0.94499999999999995</v>
      </c>
      <c r="L15939">
        <v>0.97</v>
      </c>
      <c r="M15939">
        <v>1.1499999999999999</v>
      </c>
      <c r="N15939">
        <v>0.86</v>
      </c>
    </row>
    <row r="15940" spans="1:14" x14ac:dyDescent="0.25">
      <c r="A15940" t="s">
        <v>26793</v>
      </c>
      <c r="B15940" t="s">
        <v>23262</v>
      </c>
      <c r="C15940" s="1" t="str">
        <f>HYPERLINK("http://www.genecards.org/cgi-bin/carddisp.pl?gene=SHC1","GeneCards")</f>
        <v>GeneCards</v>
      </c>
      <c r="D15940" s="1" t="str">
        <f>HYPERLINK("http://genome-euro.ucsc.edu/cgi-bin/hgTracks?position=201469_s_at","UCSC")</f>
        <v>UCSC</v>
      </c>
      <c r="E15940" s="1" t="str">
        <f>HYPERLINK("http://www.ncbi.nlm.nih.gov/gene/?term=SHC1","NCBI")</f>
        <v>NCBI</v>
      </c>
      <c r="F15940">
        <v>0.78</v>
      </c>
      <c r="G15940">
        <v>0.83</v>
      </c>
      <c r="H15940" s="1" t="str">
        <f>HYPERLINK("http://www.weizmann.ac.il/complex/compphys/software/geview/data/figures/201469_s_at.png","Figure")</f>
        <v>Figure</v>
      </c>
      <c r="I15940">
        <v>1.03</v>
      </c>
      <c r="J15940">
        <v>0.84</v>
      </c>
      <c r="K15940">
        <v>1.03</v>
      </c>
      <c r="L15940">
        <v>0.79</v>
      </c>
      <c r="M15940">
        <v>1</v>
      </c>
      <c r="N15940">
        <v>1</v>
      </c>
    </row>
    <row r="15941" spans="1:14" x14ac:dyDescent="0.25">
      <c r="A15941" t="s">
        <v>26794</v>
      </c>
      <c r="B15941" t="s">
        <v>26795</v>
      </c>
      <c r="C15941" s="1" t="str">
        <f>HYPERLINK("http://www.genecards.org/cgi-bin/carddisp.pl?gene=THOC1","GeneCards")</f>
        <v>GeneCards</v>
      </c>
      <c r="D15941" s="1" t="str">
        <f>HYPERLINK("http://genome-euro.ucsc.edu/cgi-bin/hgTracks?position=204064_at","UCSC")</f>
        <v>UCSC</v>
      </c>
      <c r="E15941" s="1" t="str">
        <f>HYPERLINK("http://www.ncbi.nlm.nih.gov/gene/?term=THOC1","NCBI")</f>
        <v>NCBI</v>
      </c>
      <c r="F15941">
        <v>0.78</v>
      </c>
      <c r="G15941">
        <v>0.83</v>
      </c>
      <c r="H15941" s="1" t="str">
        <f>HYPERLINK("http://www.weizmann.ac.il/complex/compphys/software/geview/data/figures/204064_at.png","Figure")</f>
        <v>Figure</v>
      </c>
      <c r="I15941">
        <v>1.08</v>
      </c>
      <c r="J15941">
        <v>0.79</v>
      </c>
      <c r="K15941">
        <v>1.01</v>
      </c>
      <c r="L15941">
        <v>1</v>
      </c>
      <c r="M15941">
        <v>0.93100000000000005</v>
      </c>
      <c r="N15941">
        <v>0.81</v>
      </c>
    </row>
    <row r="15942" spans="1:14" x14ac:dyDescent="0.25">
      <c r="A15942" t="s">
        <v>26796</v>
      </c>
      <c r="B15942" t="s">
        <v>6759</v>
      </c>
      <c r="C15942" s="1" t="str">
        <f>HYPERLINK("http://www.genecards.org/cgi-bin/carddisp.pl?gene=H2AFX","GeneCards")</f>
        <v>GeneCards</v>
      </c>
      <c r="D15942" s="1" t="str">
        <f>HYPERLINK("http://genome-euro.ucsc.edu/cgi-bin/hgTracks?position=212525_s_at","UCSC")</f>
        <v>UCSC</v>
      </c>
      <c r="E15942" s="1" t="str">
        <f>HYPERLINK("http://www.ncbi.nlm.nih.gov/gene/?term=H2AFX","NCBI")</f>
        <v>NCBI</v>
      </c>
      <c r="F15942">
        <v>0.78</v>
      </c>
      <c r="G15942">
        <v>0.83</v>
      </c>
      <c r="H15942" s="1" t="str">
        <f>HYPERLINK("http://www.weizmann.ac.il/complex/compphys/software/geview/data/figures/212525_s_at.png","Figure")</f>
        <v>Figure</v>
      </c>
      <c r="I15942">
        <v>1.08</v>
      </c>
      <c r="J15942">
        <v>0.76</v>
      </c>
      <c r="K15942">
        <v>1.04</v>
      </c>
      <c r="L15942">
        <v>0.91</v>
      </c>
      <c r="M15942">
        <v>0.96</v>
      </c>
      <c r="N15942">
        <v>0.92</v>
      </c>
    </row>
    <row r="15943" spans="1:14" x14ac:dyDescent="0.25">
      <c r="A15943" t="s">
        <v>26797</v>
      </c>
      <c r="B15943" t="s">
        <v>26798</v>
      </c>
      <c r="C15943" s="1" t="str">
        <f>HYPERLINK("http://www.genecards.org/cgi-bin/carddisp.pl?gene=ATP11A","GeneCards")</f>
        <v>GeneCards</v>
      </c>
      <c r="D15943" s="1" t="str">
        <f>HYPERLINK("http://genome-euro.ucsc.edu/cgi-bin/hgTracks?position=216488_s_at","UCSC")</f>
        <v>UCSC</v>
      </c>
      <c r="E15943" s="1" t="str">
        <f>HYPERLINK("http://www.ncbi.nlm.nih.gov/gene/?term=ATP11A","NCBI")</f>
        <v>NCBI</v>
      </c>
      <c r="F15943">
        <v>0.78</v>
      </c>
      <c r="G15943">
        <v>0.83</v>
      </c>
      <c r="H15943" s="1" t="str">
        <f>HYPERLINK("http://www.weizmann.ac.il/complex/compphys/software/geview/data/figures/216488_s_at.png","Figure")</f>
        <v>Figure</v>
      </c>
      <c r="I15943">
        <v>1.05</v>
      </c>
      <c r="J15943">
        <v>0.77</v>
      </c>
      <c r="K15943">
        <v>1.03</v>
      </c>
      <c r="L15943">
        <v>0.89</v>
      </c>
      <c r="M15943">
        <v>0.98099999999999998</v>
      </c>
      <c r="N15943">
        <v>0.95</v>
      </c>
    </row>
    <row r="15944" spans="1:14" x14ac:dyDescent="0.25">
      <c r="A15944" t="s">
        <v>26799</v>
      </c>
      <c r="B15944" t="s">
        <v>26800</v>
      </c>
      <c r="C15944" s="1" t="str">
        <f>HYPERLINK("http://www.genecards.org/cgi-bin/carddisp.pl?gene=FMO6P","GeneCards")</f>
        <v>GeneCards</v>
      </c>
      <c r="D15944" s="1" t="str">
        <f>HYPERLINK("http://genome-euro.ucsc.edu/cgi-bin/hgTracks?position=215174_at","UCSC")</f>
        <v>UCSC</v>
      </c>
      <c r="E15944" s="1" t="str">
        <f>HYPERLINK("http://www.ncbi.nlm.nih.gov/gene/?term=FMO6P","NCBI")</f>
        <v>NCBI</v>
      </c>
      <c r="F15944">
        <v>0.78</v>
      </c>
      <c r="G15944">
        <v>0.83</v>
      </c>
      <c r="H15944" s="1" t="str">
        <f>HYPERLINK("http://www.weizmann.ac.il/complex/compphys/software/geview/data/figures/215174_at.png","Figure")</f>
        <v>Figure</v>
      </c>
      <c r="I15944">
        <v>1.04</v>
      </c>
      <c r="J15944">
        <v>0.87</v>
      </c>
      <c r="K15944">
        <v>0.98899999999999999</v>
      </c>
      <c r="L15944">
        <v>0.98</v>
      </c>
      <c r="M15944">
        <v>0.95099999999999996</v>
      </c>
      <c r="N15944">
        <v>0.76</v>
      </c>
    </row>
    <row r="15945" spans="1:14" x14ac:dyDescent="0.25">
      <c r="A15945" t="s">
        <v>26801</v>
      </c>
      <c r="B15945" t="s">
        <v>26802</v>
      </c>
      <c r="C15945" s="1" t="str">
        <f>HYPERLINK("http://www.genecards.org/cgi-bin/carddisp.pl?gene=RFX2","GeneCards")</f>
        <v>GeneCards</v>
      </c>
      <c r="D15945" s="1" t="str">
        <f>HYPERLINK("http://genome-euro.ucsc.edu/cgi-bin/hgTracks?position=208031_s_at","UCSC")</f>
        <v>UCSC</v>
      </c>
      <c r="E15945" s="1" t="str">
        <f>HYPERLINK("http://www.ncbi.nlm.nih.gov/gene/?term=RFX2","NCBI")</f>
        <v>NCBI</v>
      </c>
      <c r="F15945">
        <v>0.78</v>
      </c>
      <c r="G15945">
        <v>0.83</v>
      </c>
      <c r="H15945" s="1" t="str">
        <f>HYPERLINK("http://www.weizmann.ac.il/complex/compphys/software/geview/data/figures/208031_s_at.png","Figure")</f>
        <v>Figure</v>
      </c>
      <c r="I15945">
        <v>0.94099999999999995</v>
      </c>
      <c r="J15945">
        <v>0.76</v>
      </c>
      <c r="K15945">
        <v>0.97699999999999998</v>
      </c>
      <c r="L15945">
        <v>0.95</v>
      </c>
      <c r="M15945">
        <v>1.04</v>
      </c>
      <c r="N15945">
        <v>0.89</v>
      </c>
    </row>
    <row r="15946" spans="1:14" x14ac:dyDescent="0.25">
      <c r="A15946" t="s">
        <v>26803</v>
      </c>
      <c r="B15946" t="s">
        <v>26804</v>
      </c>
      <c r="C15946" s="1" t="str">
        <f>HYPERLINK("http://www.genecards.org/cgi-bin/carddisp.pl?gene=POLD1","GeneCards")</f>
        <v>GeneCards</v>
      </c>
      <c r="D15946" s="1" t="str">
        <f>HYPERLINK("http://genome-euro.ucsc.edu/cgi-bin/hgTracks?position=203422_at","UCSC")</f>
        <v>UCSC</v>
      </c>
      <c r="E15946" s="1" t="str">
        <f>HYPERLINK("http://www.ncbi.nlm.nih.gov/gene/?term=POLD1","NCBI")</f>
        <v>NCBI</v>
      </c>
      <c r="F15946">
        <v>0.78</v>
      </c>
      <c r="G15946">
        <v>0.83</v>
      </c>
      <c r="H15946" s="1" t="str">
        <f>HYPERLINK("http://www.weizmann.ac.il/complex/compphys/software/geview/data/figures/203422_at.png","Figure")</f>
        <v>Figure</v>
      </c>
      <c r="I15946">
        <v>0.94</v>
      </c>
      <c r="J15946">
        <v>0.92</v>
      </c>
      <c r="K15946">
        <v>1.04</v>
      </c>
      <c r="L15946">
        <v>0.95</v>
      </c>
      <c r="M15946">
        <v>1.1100000000000001</v>
      </c>
      <c r="N15946">
        <v>0.76</v>
      </c>
    </row>
    <row r="15947" spans="1:14" x14ac:dyDescent="0.25">
      <c r="A15947" t="s">
        <v>26805</v>
      </c>
      <c r="B15947" t="s">
        <v>14787</v>
      </c>
      <c r="C15947" s="1" t="str">
        <f>HYPERLINK("http://www.genecards.org/cgi-bin/carddisp.pl?gene=DAZAP2","GeneCards")</f>
        <v>GeneCards</v>
      </c>
      <c r="D15947" s="1" t="str">
        <f>HYPERLINK("http://genome-euro.ucsc.edu/cgi-bin/hgTracks?position=212595_s_at","UCSC")</f>
        <v>UCSC</v>
      </c>
      <c r="E15947" s="1" t="str">
        <f>HYPERLINK("http://www.ncbi.nlm.nih.gov/gene/?term=DAZAP2","NCBI")</f>
        <v>NCBI</v>
      </c>
      <c r="F15947">
        <v>0.78</v>
      </c>
      <c r="G15947">
        <v>0.83</v>
      </c>
      <c r="H15947" s="1" t="str">
        <f>HYPERLINK("http://www.weizmann.ac.il/complex/compphys/software/geview/data/figures/212595_s_at.png","Figure")</f>
        <v>Figure</v>
      </c>
      <c r="I15947">
        <v>1.1100000000000001</v>
      </c>
      <c r="J15947">
        <v>0.85</v>
      </c>
      <c r="K15947">
        <v>0.97899999999999998</v>
      </c>
      <c r="L15947">
        <v>0.99</v>
      </c>
      <c r="M15947">
        <v>0.88100000000000001</v>
      </c>
      <c r="N15947">
        <v>0.77</v>
      </c>
    </row>
    <row r="15948" spans="1:14" x14ac:dyDescent="0.25">
      <c r="A15948" t="s">
        <v>26806</v>
      </c>
      <c r="B15948" t="s">
        <v>6152</v>
      </c>
      <c r="C15948" s="1" t="str">
        <f>HYPERLINK("http://www.genecards.org/cgi-bin/carddisp.pl?gene=ZNF384","GeneCards")</f>
        <v>GeneCards</v>
      </c>
      <c r="D15948" s="1" t="str">
        <f>HYPERLINK("http://genome-euro.ucsc.edu/cgi-bin/hgTracks?position=220616_at","UCSC")</f>
        <v>UCSC</v>
      </c>
      <c r="E15948" s="1" t="str">
        <f>HYPERLINK("http://www.ncbi.nlm.nih.gov/gene/?term=ZNF384","NCBI")</f>
        <v>NCBI</v>
      </c>
      <c r="F15948">
        <v>0.78</v>
      </c>
      <c r="G15948">
        <v>0.83</v>
      </c>
      <c r="H15948" s="1" t="str">
        <f>HYPERLINK("http://www.weizmann.ac.il/complex/compphys/software/geview/data/figures/220616_at.png","Figure")</f>
        <v>Figure</v>
      </c>
      <c r="I15948">
        <v>1.02</v>
      </c>
      <c r="J15948">
        <v>0.94</v>
      </c>
      <c r="K15948">
        <v>1.03</v>
      </c>
      <c r="L15948">
        <v>0.76</v>
      </c>
      <c r="M15948">
        <v>1.02</v>
      </c>
      <c r="N15948">
        <v>0.95</v>
      </c>
    </row>
    <row r="15949" spans="1:14" x14ac:dyDescent="0.25">
      <c r="A15949" t="s">
        <v>26807</v>
      </c>
      <c r="B15949" t="s">
        <v>26045</v>
      </c>
      <c r="C15949" s="1" t="str">
        <f>HYPERLINK("http://www.genecards.org/cgi-bin/carddisp.pl?gene=SLC25A6","GeneCards")</f>
        <v>GeneCards</v>
      </c>
      <c r="D15949" s="1" t="str">
        <f>HYPERLINK("http://genome-euro.ucsc.edu/cgi-bin/hgTracks?position=212085_at","UCSC")</f>
        <v>UCSC</v>
      </c>
      <c r="E15949" s="1" t="str">
        <f>HYPERLINK("http://www.ncbi.nlm.nih.gov/gene/?term=SLC25A6","NCBI")</f>
        <v>NCBI</v>
      </c>
      <c r="F15949">
        <v>0.78</v>
      </c>
      <c r="G15949">
        <v>0.83</v>
      </c>
      <c r="H15949" s="1" t="str">
        <f>HYPERLINK("http://www.weizmann.ac.il/complex/compphys/software/geview/data/figures/212085_at.png","Figure")</f>
        <v>Figure</v>
      </c>
      <c r="I15949">
        <v>0.97399999999999998</v>
      </c>
      <c r="J15949">
        <v>1</v>
      </c>
      <c r="K15949">
        <v>1.18</v>
      </c>
      <c r="L15949">
        <v>0.84</v>
      </c>
      <c r="M15949">
        <v>1.21</v>
      </c>
      <c r="N15949">
        <v>0.81</v>
      </c>
    </row>
    <row r="15950" spans="1:14" x14ac:dyDescent="0.25">
      <c r="A15950" t="s">
        <v>26808</v>
      </c>
      <c r="B15950" t="s">
        <v>26809</v>
      </c>
      <c r="C15950" s="1" t="str">
        <f>HYPERLINK("http://www.genecards.org/cgi-bin/carddisp.pl?gene=PDE6B","GeneCards")</f>
        <v>GeneCards</v>
      </c>
      <c r="D15950" s="1" t="str">
        <f>HYPERLINK("http://genome-euro.ucsc.edu/cgi-bin/hgTracks?position=210304_at","UCSC")</f>
        <v>UCSC</v>
      </c>
      <c r="E15950" s="1" t="str">
        <f>HYPERLINK("http://www.ncbi.nlm.nih.gov/gene/?term=PDE6B","NCBI")</f>
        <v>NCBI</v>
      </c>
      <c r="F15950">
        <v>0.78</v>
      </c>
      <c r="G15950">
        <v>0.83</v>
      </c>
      <c r="H15950" s="1" t="str">
        <f>HYPERLINK("http://www.weizmann.ac.il/complex/compphys/software/geview/data/figures/210304_at.png","Figure")</f>
        <v>Figure</v>
      </c>
      <c r="I15950">
        <v>1</v>
      </c>
      <c r="J15950">
        <v>0.97</v>
      </c>
      <c r="K15950">
        <v>1.01</v>
      </c>
      <c r="L15950">
        <v>0.77</v>
      </c>
      <c r="M15950">
        <v>1.01</v>
      </c>
      <c r="N15950">
        <v>0.92</v>
      </c>
    </row>
    <row r="15951" spans="1:14" x14ac:dyDescent="0.25">
      <c r="A15951" t="s">
        <v>26810</v>
      </c>
      <c r="B15951" t="s">
        <v>26811</v>
      </c>
      <c r="C15951" s="1" t="str">
        <f>HYPERLINK("http://www.genecards.org/cgi-bin/carddisp.pl?gene=PTOV1","GeneCards")</f>
        <v>GeneCards</v>
      </c>
      <c r="D15951" s="1" t="str">
        <f>HYPERLINK("http://genome-euro.ucsc.edu/cgi-bin/hgTracks?position=212032_s_at","UCSC")</f>
        <v>UCSC</v>
      </c>
      <c r="E15951" s="1" t="str">
        <f>HYPERLINK("http://www.ncbi.nlm.nih.gov/gene/?term=PTOV1","NCBI")</f>
        <v>NCBI</v>
      </c>
      <c r="F15951">
        <v>0.78</v>
      </c>
      <c r="G15951">
        <v>0.83</v>
      </c>
      <c r="H15951" s="1" t="str">
        <f>HYPERLINK("http://www.weizmann.ac.il/complex/compphys/software/geview/data/figures/212032_s_at.png","Figure")</f>
        <v>Figure</v>
      </c>
      <c r="I15951">
        <v>0.83799999999999997</v>
      </c>
      <c r="J15951">
        <v>0.77</v>
      </c>
      <c r="K15951">
        <v>0.95599999999999996</v>
      </c>
      <c r="L15951">
        <v>0.98</v>
      </c>
      <c r="M15951">
        <v>1.1399999999999999</v>
      </c>
      <c r="N15951">
        <v>0.85</v>
      </c>
    </row>
    <row r="15952" spans="1:14" x14ac:dyDescent="0.25">
      <c r="A15952" t="s">
        <v>26812</v>
      </c>
      <c r="B15952" t="s">
        <v>26813</v>
      </c>
      <c r="C15952" s="1" t="str">
        <f>HYPERLINK("http://www.genecards.org/cgi-bin/carddisp.pl?gene=HSPB1","GeneCards")</f>
        <v>GeneCards</v>
      </c>
      <c r="D15952" s="1" t="str">
        <f>HYPERLINK("http://genome-euro.ucsc.edu/cgi-bin/hgTracks?position=201841_s_at","UCSC")</f>
        <v>UCSC</v>
      </c>
      <c r="E15952" s="1" t="str">
        <f>HYPERLINK("http://www.ncbi.nlm.nih.gov/gene/?term=HSPB1","NCBI")</f>
        <v>NCBI</v>
      </c>
      <c r="F15952">
        <v>0.78</v>
      </c>
      <c r="G15952">
        <v>0.83</v>
      </c>
      <c r="H15952" s="1" t="str">
        <f>HYPERLINK("http://www.weizmann.ac.il/complex/compphys/software/geview/data/figures/201841_s_at.png","Figure")</f>
        <v>Figure</v>
      </c>
      <c r="I15952">
        <v>1.27</v>
      </c>
      <c r="J15952">
        <v>0.8</v>
      </c>
      <c r="K15952">
        <v>1.02</v>
      </c>
      <c r="L15952">
        <v>1</v>
      </c>
      <c r="M15952">
        <v>0.80600000000000005</v>
      </c>
      <c r="N15952">
        <v>0.81</v>
      </c>
    </row>
    <row r="15953" spans="1:14" x14ac:dyDescent="0.25">
      <c r="A15953" t="s">
        <v>26814</v>
      </c>
      <c r="B15953" t="s">
        <v>26815</v>
      </c>
      <c r="C15953" s="1" t="str">
        <f>HYPERLINK("http://www.genecards.org/cgi-bin/carddisp.pl?gene=RBM14 /// RBM4","GeneCards")</f>
        <v>GeneCards</v>
      </c>
      <c r="D15953" s="1" t="str">
        <f>HYPERLINK("http://genome-euro.ucsc.edu/cgi-bin/hgTracks?position=204178_s_at","UCSC")</f>
        <v>UCSC</v>
      </c>
      <c r="E15953" s="1" t="str">
        <f>HYPERLINK("http://www.ncbi.nlm.nih.gov/gene/?term=RBM14 /// RBM4","NCBI")</f>
        <v>NCBI</v>
      </c>
      <c r="F15953">
        <v>0.78</v>
      </c>
      <c r="G15953">
        <v>0.83</v>
      </c>
      <c r="H15953" s="1" t="str">
        <f>HYPERLINK("http://www.weizmann.ac.il/complex/compphys/software/geview/data/figures/204178_s_at.png","Figure")</f>
        <v>Figure</v>
      </c>
      <c r="I15953">
        <v>1.1100000000000001</v>
      </c>
      <c r="J15953">
        <v>0.84</v>
      </c>
      <c r="K15953">
        <v>1.1100000000000001</v>
      </c>
      <c r="L15953">
        <v>0.79</v>
      </c>
      <c r="M15953">
        <v>1</v>
      </c>
      <c r="N15953">
        <v>1</v>
      </c>
    </row>
    <row r="15954" spans="1:14" x14ac:dyDescent="0.25">
      <c r="A15954" t="s">
        <v>26816</v>
      </c>
      <c r="B15954" t="s">
        <v>12773</v>
      </c>
      <c r="C15954" s="1" t="str">
        <f>HYPERLINK("http://www.genecards.org/cgi-bin/carddisp.pl?gene=RGS12","GeneCards")</f>
        <v>GeneCards</v>
      </c>
      <c r="D15954" s="1" t="str">
        <f>HYPERLINK("http://genome-euro.ucsc.edu/cgi-bin/hgTracks?position=205823_at","UCSC")</f>
        <v>UCSC</v>
      </c>
      <c r="E15954" s="1" t="str">
        <f>HYPERLINK("http://www.ncbi.nlm.nih.gov/gene/?term=RGS12","NCBI")</f>
        <v>NCBI</v>
      </c>
      <c r="F15954">
        <v>0.78</v>
      </c>
      <c r="G15954">
        <v>0.83</v>
      </c>
      <c r="H15954" s="1" t="str">
        <f>HYPERLINK("http://www.weizmann.ac.il/complex/compphys/software/geview/data/figures/205823_at.png","Figure")</f>
        <v>Figure</v>
      </c>
      <c r="I15954">
        <v>0.91</v>
      </c>
      <c r="J15954">
        <v>0.77</v>
      </c>
      <c r="K15954">
        <v>0.94899999999999995</v>
      </c>
      <c r="L15954">
        <v>0.9</v>
      </c>
      <c r="M15954">
        <v>1.04</v>
      </c>
      <c r="N15954">
        <v>0.94</v>
      </c>
    </row>
    <row r="15955" spans="1:14" x14ac:dyDescent="0.25">
      <c r="A15955" t="s">
        <v>26817</v>
      </c>
      <c r="B15955" t="s">
        <v>12037</v>
      </c>
      <c r="C15955" s="1" t="str">
        <f>HYPERLINK("http://www.genecards.org/cgi-bin/carddisp.pl?gene=PSG9","GeneCards")</f>
        <v>GeneCards</v>
      </c>
      <c r="D15955" s="1" t="str">
        <f>HYPERLINK("http://genome-euro.ucsc.edu/cgi-bin/hgTracks?position=207733_x_at","UCSC")</f>
        <v>UCSC</v>
      </c>
      <c r="E15955" s="1" t="str">
        <f>HYPERLINK("http://www.ncbi.nlm.nih.gov/gene/?term=PSG9","NCBI")</f>
        <v>NCBI</v>
      </c>
      <c r="F15955">
        <v>0.78</v>
      </c>
      <c r="G15955">
        <v>0.83</v>
      </c>
      <c r="H15955" s="1" t="str">
        <f>HYPERLINK("http://www.weizmann.ac.il/complex/compphys/software/geview/data/figures/207733_x_at.png","Figure")</f>
        <v>Figure</v>
      </c>
      <c r="I15955">
        <v>0.99</v>
      </c>
      <c r="J15955">
        <v>0.98</v>
      </c>
      <c r="K15955">
        <v>0.96499999999999997</v>
      </c>
      <c r="L15955">
        <v>0.78</v>
      </c>
      <c r="M15955">
        <v>0.97499999999999998</v>
      </c>
      <c r="N15955">
        <v>0.89</v>
      </c>
    </row>
    <row r="15956" spans="1:14" x14ac:dyDescent="0.25">
      <c r="A15956" t="s">
        <v>26818</v>
      </c>
      <c r="B15956" t="s">
        <v>24944</v>
      </c>
      <c r="C15956" s="1" t="str">
        <f>HYPERLINK("http://www.genecards.org/cgi-bin/carddisp.pl?gene=SUMO2","GeneCards")</f>
        <v>GeneCards</v>
      </c>
      <c r="D15956" s="1" t="str">
        <f>HYPERLINK("http://genome-euro.ucsc.edu/cgi-bin/hgTracks?position=213881_x_at","UCSC")</f>
        <v>UCSC</v>
      </c>
      <c r="E15956" s="1" t="str">
        <f>HYPERLINK("http://www.ncbi.nlm.nih.gov/gene/?term=SUMO2","NCBI")</f>
        <v>NCBI</v>
      </c>
      <c r="F15956">
        <v>0.78</v>
      </c>
      <c r="G15956">
        <v>0.83</v>
      </c>
      <c r="H15956" s="1" t="str">
        <f>HYPERLINK("http://www.weizmann.ac.il/complex/compphys/software/geview/data/figures/213881_x_at.png","Figure")</f>
        <v>Figure</v>
      </c>
      <c r="I15956">
        <v>0.96599999999999997</v>
      </c>
      <c r="J15956">
        <v>0.94</v>
      </c>
      <c r="K15956">
        <v>1.04</v>
      </c>
      <c r="L15956">
        <v>0.92</v>
      </c>
      <c r="M15956">
        <v>1.07</v>
      </c>
      <c r="N15956">
        <v>0.77</v>
      </c>
    </row>
    <row r="15957" spans="1:14" x14ac:dyDescent="0.25">
      <c r="A15957" t="s">
        <v>26819</v>
      </c>
      <c r="B15957" t="s">
        <v>8116</v>
      </c>
      <c r="C15957" s="1" t="str">
        <f>HYPERLINK("http://www.genecards.org/cgi-bin/carddisp.pl?gene=PATZ1","GeneCards")</f>
        <v>GeneCards</v>
      </c>
      <c r="D15957" s="1" t="str">
        <f>HYPERLINK("http://genome-euro.ucsc.edu/cgi-bin/hgTracks?position=210581_x_at","UCSC")</f>
        <v>UCSC</v>
      </c>
      <c r="E15957" s="1" t="str">
        <f>HYPERLINK("http://www.ncbi.nlm.nih.gov/gene/?term=PATZ1","NCBI")</f>
        <v>NCBI</v>
      </c>
      <c r="F15957">
        <v>0.78</v>
      </c>
      <c r="G15957">
        <v>0.83</v>
      </c>
      <c r="H15957" s="1" t="str">
        <f>HYPERLINK("http://www.weizmann.ac.il/complex/compphys/software/geview/data/figures/210581_x_at.png","Figure")</f>
        <v>Figure</v>
      </c>
      <c r="I15957">
        <v>1.03</v>
      </c>
      <c r="J15957">
        <v>0.87</v>
      </c>
      <c r="K15957">
        <v>0.99</v>
      </c>
      <c r="L15957">
        <v>0.98</v>
      </c>
      <c r="M15957">
        <v>0.95899999999999996</v>
      </c>
      <c r="N15957">
        <v>0.77</v>
      </c>
    </row>
    <row r="15958" spans="1:14" x14ac:dyDescent="0.25">
      <c r="A15958" t="s">
        <v>26820</v>
      </c>
      <c r="B15958" t="s">
        <v>26821</v>
      </c>
      <c r="C15958" s="1" t="str">
        <f>HYPERLINK("http://www.genecards.org/cgi-bin/carddisp.pl?gene=ATAD2","GeneCards")</f>
        <v>GeneCards</v>
      </c>
      <c r="D15958" s="1" t="str">
        <f>HYPERLINK("http://genome-euro.ucsc.edu/cgi-bin/hgTracks?position=218782_s_at","UCSC")</f>
        <v>UCSC</v>
      </c>
      <c r="E15958" s="1" t="str">
        <f>HYPERLINK("http://www.ncbi.nlm.nih.gov/gene/?term=ATAD2","NCBI")</f>
        <v>NCBI</v>
      </c>
      <c r="F15958">
        <v>0.78</v>
      </c>
      <c r="G15958">
        <v>0.83</v>
      </c>
      <c r="H15958" s="1" t="str">
        <f>HYPERLINK("http://www.weizmann.ac.il/complex/compphys/software/geview/data/figures/218782_s_at.png","Figure")</f>
        <v>Figure</v>
      </c>
      <c r="I15958">
        <v>1.1200000000000001</v>
      </c>
      <c r="J15958">
        <v>0.76</v>
      </c>
      <c r="K15958">
        <v>1.06</v>
      </c>
      <c r="L15958">
        <v>0.92</v>
      </c>
      <c r="M15958">
        <v>0.94199999999999995</v>
      </c>
      <c r="N15958">
        <v>0.92</v>
      </c>
    </row>
    <row r="15959" spans="1:14" x14ac:dyDescent="0.25">
      <c r="A15959" t="s">
        <v>26822</v>
      </c>
      <c r="B15959" t="s">
        <v>22805</v>
      </c>
      <c r="C15959" s="1" t="str">
        <f>HYPERLINK("http://www.genecards.org/cgi-bin/carddisp.pl?gene=NLRP1","GeneCards")</f>
        <v>GeneCards</v>
      </c>
      <c r="D15959" s="1" t="str">
        <f>HYPERLINK("http://genome-euro.ucsc.edu/cgi-bin/hgTracks?position=211824_x_at","UCSC")</f>
        <v>UCSC</v>
      </c>
      <c r="E15959" s="1" t="str">
        <f>HYPERLINK("http://www.ncbi.nlm.nih.gov/gene/?term=NLRP1","NCBI")</f>
        <v>NCBI</v>
      </c>
      <c r="F15959">
        <v>0.78</v>
      </c>
      <c r="G15959">
        <v>0.83</v>
      </c>
      <c r="H15959" s="1" t="str">
        <f>HYPERLINK("http://www.weizmann.ac.il/complex/compphys/software/geview/data/figures/211824_x_at.png","Figure")</f>
        <v>Figure</v>
      </c>
      <c r="I15959">
        <v>0.87</v>
      </c>
      <c r="J15959">
        <v>0.8</v>
      </c>
      <c r="K15959">
        <v>0.89300000000000002</v>
      </c>
      <c r="L15959">
        <v>0.83</v>
      </c>
      <c r="M15959">
        <v>1.03</v>
      </c>
      <c r="N15959">
        <v>0.99</v>
      </c>
    </row>
    <row r="15960" spans="1:14" x14ac:dyDescent="0.25">
      <c r="A15960" t="s">
        <v>26823</v>
      </c>
      <c r="B15960" t="s">
        <v>22701</v>
      </c>
      <c r="C15960" s="1" t="str">
        <f>HYPERLINK("http://www.genecards.org/cgi-bin/carddisp.pl?gene=MBOAT7","GeneCards")</f>
        <v>GeneCards</v>
      </c>
      <c r="D15960" s="1" t="str">
        <f>HYPERLINK("http://genome-euro.ucsc.edu/cgi-bin/hgTracks?position=209179_s_at","UCSC")</f>
        <v>UCSC</v>
      </c>
      <c r="E15960" s="1" t="str">
        <f>HYPERLINK("http://www.ncbi.nlm.nih.gov/gene/?term=MBOAT7","NCBI")</f>
        <v>NCBI</v>
      </c>
      <c r="F15960">
        <v>0.78</v>
      </c>
      <c r="G15960">
        <v>0.83</v>
      </c>
      <c r="H15960" s="1" t="str">
        <f>HYPERLINK("http://www.weizmann.ac.il/complex/compphys/software/geview/data/figures/209179_s_at.png","Figure")</f>
        <v>Figure</v>
      </c>
      <c r="I15960">
        <v>1.08</v>
      </c>
      <c r="J15960">
        <v>0.87</v>
      </c>
      <c r="K15960">
        <v>0.98</v>
      </c>
      <c r="L15960">
        <v>0.99</v>
      </c>
      <c r="M15960">
        <v>0.90800000000000003</v>
      </c>
      <c r="N15960">
        <v>0.77</v>
      </c>
    </row>
    <row r="15961" spans="1:14" x14ac:dyDescent="0.25">
      <c r="A15961" t="s">
        <v>26824</v>
      </c>
      <c r="B15961" t="s">
        <v>26825</v>
      </c>
      <c r="C15961" s="1" t="str">
        <f>HYPERLINK("http://www.genecards.org/cgi-bin/carddisp.pl?gene=PPPDE2","GeneCards")</f>
        <v>GeneCards</v>
      </c>
      <c r="D15961" s="1" t="str">
        <f>HYPERLINK("http://genome-euro.ucsc.edu/cgi-bin/hgTracks?position=212527_at","UCSC")</f>
        <v>UCSC</v>
      </c>
      <c r="E15961" s="1" t="str">
        <f>HYPERLINK("http://www.ncbi.nlm.nih.gov/gene/?term=PPPDE2","NCBI")</f>
        <v>NCBI</v>
      </c>
      <c r="F15961">
        <v>0.78</v>
      </c>
      <c r="G15961">
        <v>0.83</v>
      </c>
      <c r="H15961" s="1" t="str">
        <f>HYPERLINK("http://www.weizmann.ac.il/complex/compphys/software/geview/data/figures/212527_at.png","Figure")</f>
        <v>Figure</v>
      </c>
      <c r="I15961">
        <v>0.98</v>
      </c>
      <c r="J15961">
        <v>0.97</v>
      </c>
      <c r="K15961">
        <v>1.04</v>
      </c>
      <c r="L15961">
        <v>0.89</v>
      </c>
      <c r="M15961">
        <v>1.06</v>
      </c>
      <c r="N15961">
        <v>0.78</v>
      </c>
    </row>
    <row r="15962" spans="1:14" x14ac:dyDescent="0.25">
      <c r="A15962" t="s">
        <v>26826</v>
      </c>
      <c r="B15962" t="s">
        <v>11014</v>
      </c>
      <c r="C15962" s="1" t="str">
        <f>HYPERLINK("http://www.genecards.org/cgi-bin/carddisp.pl?gene=TMBIM6","GeneCards")</f>
        <v>GeneCards</v>
      </c>
      <c r="D15962" s="1" t="str">
        <f>HYPERLINK("http://genome-euro.ucsc.edu/cgi-bin/hgTracks?position=200804_at","UCSC")</f>
        <v>UCSC</v>
      </c>
      <c r="E15962" s="1" t="str">
        <f>HYPERLINK("http://www.ncbi.nlm.nih.gov/gene/?term=TMBIM6","NCBI")</f>
        <v>NCBI</v>
      </c>
      <c r="F15962">
        <v>0.78</v>
      </c>
      <c r="G15962">
        <v>0.83</v>
      </c>
      <c r="H15962" s="1" t="str">
        <f>HYPERLINK("http://www.weizmann.ac.il/complex/compphys/software/geview/data/figures/200804_at.png","Figure")</f>
        <v>Figure</v>
      </c>
      <c r="I15962">
        <v>0.93500000000000005</v>
      </c>
      <c r="J15962">
        <v>0.91</v>
      </c>
      <c r="K15962">
        <v>1.04</v>
      </c>
      <c r="L15962">
        <v>0.96</v>
      </c>
      <c r="M15962">
        <v>1.1100000000000001</v>
      </c>
      <c r="N15962">
        <v>0.76</v>
      </c>
    </row>
    <row r="15963" spans="1:14" x14ac:dyDescent="0.25">
      <c r="A15963" t="s">
        <v>26827</v>
      </c>
      <c r="B15963" t="s">
        <v>18137</v>
      </c>
      <c r="C15963" s="1" t="str">
        <f>HYPERLINK("http://www.genecards.org/cgi-bin/carddisp.pl?gene=CASP10","GeneCards")</f>
        <v>GeneCards</v>
      </c>
      <c r="D15963" s="1" t="str">
        <f>HYPERLINK("http://genome-euro.ucsc.edu/cgi-bin/hgTracks?position=210955_at","UCSC")</f>
        <v>UCSC</v>
      </c>
      <c r="E15963" s="1" t="str">
        <f>HYPERLINK("http://www.ncbi.nlm.nih.gov/gene/?term=CASP10","NCBI")</f>
        <v>NCBI</v>
      </c>
      <c r="F15963">
        <v>0.78</v>
      </c>
      <c r="G15963">
        <v>0.83</v>
      </c>
      <c r="H15963" s="1" t="str">
        <f>HYPERLINK("http://www.weizmann.ac.il/complex/compphys/software/geview/data/figures/210955_at.png","Figure")</f>
        <v>Figure</v>
      </c>
      <c r="I15963">
        <v>1.06</v>
      </c>
      <c r="J15963">
        <v>0.76</v>
      </c>
      <c r="K15963">
        <v>1.02</v>
      </c>
      <c r="L15963">
        <v>0.94</v>
      </c>
      <c r="M15963">
        <v>0.96499999999999997</v>
      </c>
      <c r="N15963">
        <v>0.89</v>
      </c>
    </row>
    <row r="15964" spans="1:14" x14ac:dyDescent="0.25">
      <c r="A15964" t="s">
        <v>26828</v>
      </c>
      <c r="B15964" t="s">
        <v>26829</v>
      </c>
      <c r="C15964" s="1" t="str">
        <f>HYPERLINK("http://www.genecards.org/cgi-bin/carddisp.pl?gene=POLR2J2","GeneCards")</f>
        <v>GeneCards</v>
      </c>
      <c r="D15964" s="1" t="str">
        <f>HYPERLINK("http://genome-euro.ucsc.edu/cgi-bin/hgTracks?position=216242_x_at","UCSC")</f>
        <v>UCSC</v>
      </c>
      <c r="E15964" s="1" t="str">
        <f>HYPERLINK("http://www.ncbi.nlm.nih.gov/gene/?term=POLR2J2","NCBI")</f>
        <v>NCBI</v>
      </c>
      <c r="F15964">
        <v>0.78</v>
      </c>
      <c r="G15964">
        <v>0.83</v>
      </c>
      <c r="H15964" s="1" t="str">
        <f>HYPERLINK("http://www.weizmann.ac.il/complex/compphys/software/geview/data/figures/216242_x_at.png","Figure")</f>
        <v>Figure</v>
      </c>
      <c r="I15964">
        <v>1.02</v>
      </c>
      <c r="J15964">
        <v>0.99</v>
      </c>
      <c r="K15964">
        <v>1.1000000000000001</v>
      </c>
      <c r="L15964">
        <v>0.78</v>
      </c>
      <c r="M15964">
        <v>1.07</v>
      </c>
      <c r="N15964">
        <v>0.89</v>
      </c>
    </row>
    <row r="15965" spans="1:14" x14ac:dyDescent="0.25">
      <c r="A15965" t="s">
        <v>26830</v>
      </c>
      <c r="B15965" t="s">
        <v>26831</v>
      </c>
      <c r="C15965" s="1" t="str">
        <f>HYPERLINK("http://www.genecards.org/cgi-bin/carddisp.pl?gene=TMEM53","GeneCards")</f>
        <v>GeneCards</v>
      </c>
      <c r="D15965" s="1" t="str">
        <f>HYPERLINK("http://genome-euro.ucsc.edu/cgi-bin/hgTracks?position=219462_at","UCSC")</f>
        <v>UCSC</v>
      </c>
      <c r="E15965" s="1" t="str">
        <f>HYPERLINK("http://www.ncbi.nlm.nih.gov/gene/?term=TMEM53","NCBI")</f>
        <v>NCBI</v>
      </c>
      <c r="F15965">
        <v>0.78</v>
      </c>
      <c r="G15965">
        <v>0.83</v>
      </c>
      <c r="H15965" s="1" t="str">
        <f>HYPERLINK("http://www.weizmann.ac.il/complex/compphys/software/geview/data/figures/219462_at.png","Figure")</f>
        <v>Figure</v>
      </c>
      <c r="I15965">
        <v>0.93899999999999995</v>
      </c>
      <c r="J15965">
        <v>0.77</v>
      </c>
      <c r="K15965">
        <v>0.96599999999999997</v>
      </c>
      <c r="L15965">
        <v>0.9</v>
      </c>
      <c r="M15965">
        <v>1.03</v>
      </c>
      <c r="N15965">
        <v>0.94</v>
      </c>
    </row>
    <row r="15966" spans="1:14" x14ac:dyDescent="0.25">
      <c r="A15966" t="s">
        <v>26832</v>
      </c>
      <c r="B15966" t="s">
        <v>26833</v>
      </c>
      <c r="C15966" s="1" t="str">
        <f>HYPERLINK("http://www.genecards.org/cgi-bin/carddisp.pl?gene=SERPINA7","GeneCards")</f>
        <v>GeneCards</v>
      </c>
      <c r="D15966" s="1" t="str">
        <f>HYPERLINK("http://genome-euro.ucsc.edu/cgi-bin/hgTracks?position=206386_at","UCSC")</f>
        <v>UCSC</v>
      </c>
      <c r="E15966" s="1" t="str">
        <f>HYPERLINK("http://www.ncbi.nlm.nih.gov/gene/?term=SERPINA7","NCBI")</f>
        <v>NCBI</v>
      </c>
      <c r="F15966">
        <v>0.78</v>
      </c>
      <c r="G15966">
        <v>0.83</v>
      </c>
      <c r="H15966" s="1" t="str">
        <f>HYPERLINK("http://www.weizmann.ac.il/complex/compphys/software/geview/data/figures/206386_at.png","Figure")</f>
        <v>Figure</v>
      </c>
      <c r="I15966">
        <v>0.997</v>
      </c>
      <c r="J15966">
        <v>1</v>
      </c>
      <c r="K15966">
        <v>0.97899999999999998</v>
      </c>
      <c r="L15966">
        <v>0.8</v>
      </c>
      <c r="M15966">
        <v>0.98299999999999998</v>
      </c>
      <c r="N15966">
        <v>0.87</v>
      </c>
    </row>
    <row r="15967" spans="1:14" x14ac:dyDescent="0.25">
      <c r="A15967" t="s">
        <v>26834</v>
      </c>
      <c r="B15967" t="s">
        <v>8258</v>
      </c>
      <c r="C15967" s="1" t="str">
        <f>HYPERLINK("http://www.genecards.org/cgi-bin/carddisp.pl?gene=PRKDC","GeneCards")</f>
        <v>GeneCards</v>
      </c>
      <c r="D15967" s="1" t="str">
        <f>HYPERLINK("http://genome-euro.ucsc.edu/cgi-bin/hgTracks?position=210543_s_at","UCSC")</f>
        <v>UCSC</v>
      </c>
      <c r="E15967" s="1" t="str">
        <f>HYPERLINK("http://www.ncbi.nlm.nih.gov/gene/?term=PRKDC","NCBI")</f>
        <v>NCBI</v>
      </c>
      <c r="F15967">
        <v>0.78</v>
      </c>
      <c r="G15967">
        <v>0.83</v>
      </c>
      <c r="H15967" s="1" t="str">
        <f>HYPERLINK("http://www.weizmann.ac.il/complex/compphys/software/geview/data/figures/210543_s_at.png","Figure")</f>
        <v>Figure</v>
      </c>
      <c r="I15967">
        <v>0.98699999999999999</v>
      </c>
      <c r="J15967">
        <v>0.99</v>
      </c>
      <c r="K15967">
        <v>1.04</v>
      </c>
      <c r="L15967">
        <v>0.87</v>
      </c>
      <c r="M15967">
        <v>1.05</v>
      </c>
      <c r="N15967">
        <v>0.8</v>
      </c>
    </row>
    <row r="15968" spans="1:14" x14ac:dyDescent="0.25">
      <c r="A15968" t="s">
        <v>26835</v>
      </c>
      <c r="B15968" t="s">
        <v>26836</v>
      </c>
      <c r="C15968" s="1" t="str">
        <f>HYPERLINK("http://www.genecards.org/cgi-bin/carddisp.pl?gene=PRSS1","GeneCards")</f>
        <v>GeneCards</v>
      </c>
      <c r="D15968" s="1" t="str">
        <f>HYPERLINK("http://genome-euro.ucsc.edu/cgi-bin/hgTracks?position=205869_at","UCSC")</f>
        <v>UCSC</v>
      </c>
      <c r="E15968" s="1" t="str">
        <f>HYPERLINK("http://www.ncbi.nlm.nih.gov/gene/?term=PRSS1","NCBI")</f>
        <v>NCBI</v>
      </c>
      <c r="F15968">
        <v>0.78</v>
      </c>
      <c r="G15968">
        <v>0.83</v>
      </c>
      <c r="H15968" s="1" t="str">
        <f>HYPERLINK("http://www.weizmann.ac.il/complex/compphys/software/geview/data/figures/205869_at.png","Figure")</f>
        <v>Figure</v>
      </c>
      <c r="I15968">
        <v>1.02</v>
      </c>
      <c r="J15968">
        <v>0.96</v>
      </c>
      <c r="K15968">
        <v>0.97199999999999998</v>
      </c>
      <c r="L15968">
        <v>0.91</v>
      </c>
      <c r="M15968">
        <v>0.95299999999999996</v>
      </c>
      <c r="N15968">
        <v>0.78</v>
      </c>
    </row>
    <row r="15969" spans="1:14" x14ac:dyDescent="0.25">
      <c r="A15969" t="s">
        <v>26837</v>
      </c>
      <c r="B15969" t="s">
        <v>12039</v>
      </c>
      <c r="C15969" s="1" t="str">
        <f>HYPERLINK("http://www.genecards.org/cgi-bin/carddisp.pl?gene=LPIN1","GeneCards")</f>
        <v>GeneCards</v>
      </c>
      <c r="D15969" s="1" t="str">
        <f>HYPERLINK("http://genome-euro.ucsc.edu/cgi-bin/hgTracks?position=212276_at","UCSC")</f>
        <v>UCSC</v>
      </c>
      <c r="E15969" s="1" t="str">
        <f>HYPERLINK("http://www.ncbi.nlm.nih.gov/gene/?term=LPIN1","NCBI")</f>
        <v>NCBI</v>
      </c>
      <c r="F15969">
        <v>0.78</v>
      </c>
      <c r="G15969">
        <v>0.83</v>
      </c>
      <c r="H15969" s="1" t="str">
        <f>HYPERLINK("http://www.weizmann.ac.il/complex/compphys/software/geview/data/figures/212276_at.png","Figure")</f>
        <v>Figure</v>
      </c>
      <c r="I15969">
        <v>0.89100000000000001</v>
      </c>
      <c r="J15969">
        <v>0.77</v>
      </c>
      <c r="K15969">
        <v>0.94699999999999995</v>
      </c>
      <c r="L15969">
        <v>0.92</v>
      </c>
      <c r="M15969">
        <v>1.06</v>
      </c>
      <c r="N15969">
        <v>0.92</v>
      </c>
    </row>
    <row r="15970" spans="1:14" x14ac:dyDescent="0.25">
      <c r="A15970" t="s">
        <v>26838</v>
      </c>
      <c r="B15970" t="s">
        <v>26839</v>
      </c>
      <c r="C15970" s="1" t="str">
        <f>HYPERLINK("http://www.genecards.org/cgi-bin/carddisp.pl?gene=SEC31B","GeneCards")</f>
        <v>GeneCards</v>
      </c>
      <c r="D15970" s="1" t="str">
        <f>HYPERLINK("http://genome-euro.ucsc.edu/cgi-bin/hgTracks?position=209889_at","UCSC")</f>
        <v>UCSC</v>
      </c>
      <c r="E15970" s="1" t="str">
        <f>HYPERLINK("http://www.ncbi.nlm.nih.gov/gene/?term=SEC31B","NCBI")</f>
        <v>NCBI</v>
      </c>
      <c r="F15970">
        <v>0.78</v>
      </c>
      <c r="G15970">
        <v>0.83</v>
      </c>
      <c r="H15970" s="1" t="str">
        <f>HYPERLINK("http://www.weizmann.ac.il/complex/compphys/software/geview/data/figures/209889_at.png","Figure")</f>
        <v>Figure</v>
      </c>
      <c r="I15970">
        <v>0.85699999999999998</v>
      </c>
      <c r="J15970">
        <v>0.8</v>
      </c>
      <c r="K15970">
        <v>0.98499999999999999</v>
      </c>
      <c r="L15970">
        <v>1</v>
      </c>
      <c r="M15970">
        <v>1.1499999999999999</v>
      </c>
      <c r="N15970">
        <v>0.81</v>
      </c>
    </row>
    <row r="15971" spans="1:14" x14ac:dyDescent="0.25">
      <c r="A15971" t="s">
        <v>26840</v>
      </c>
      <c r="B15971" t="s">
        <v>14137</v>
      </c>
      <c r="C15971" s="1" t="str">
        <f>HYPERLINK("http://www.genecards.org/cgi-bin/carddisp.pl?gene=ABHD2","GeneCards")</f>
        <v>GeneCards</v>
      </c>
      <c r="D15971" s="1" t="str">
        <f>HYPERLINK("http://genome-euro.ucsc.edu/cgi-bin/hgTracks?position=205566_at","UCSC")</f>
        <v>UCSC</v>
      </c>
      <c r="E15971" s="1" t="str">
        <f>HYPERLINK("http://www.ncbi.nlm.nih.gov/gene/?term=ABHD2","NCBI")</f>
        <v>NCBI</v>
      </c>
      <c r="F15971">
        <v>0.78</v>
      </c>
      <c r="G15971">
        <v>0.83</v>
      </c>
      <c r="H15971" s="1" t="str">
        <f>HYPERLINK("http://www.weizmann.ac.il/complex/compphys/software/geview/data/figures/205566_at.png","Figure")</f>
        <v>Figure</v>
      </c>
      <c r="I15971">
        <v>1.06</v>
      </c>
      <c r="J15971">
        <v>0.77</v>
      </c>
      <c r="K15971">
        <v>1.02</v>
      </c>
      <c r="L15971">
        <v>0.96</v>
      </c>
      <c r="M15971">
        <v>0.96499999999999997</v>
      </c>
      <c r="N15971">
        <v>0.88</v>
      </c>
    </row>
    <row r="15972" spans="1:14" x14ac:dyDescent="0.25">
      <c r="A15972" t="s">
        <v>26841</v>
      </c>
      <c r="B15972" t="s">
        <v>26842</v>
      </c>
      <c r="C15972" s="1" t="str">
        <f>HYPERLINK("http://www.genecards.org/cgi-bin/carddisp.pl?gene=FGR","GeneCards")</f>
        <v>GeneCards</v>
      </c>
      <c r="D15972" s="1" t="str">
        <f>HYPERLINK("http://genome-euro.ucsc.edu/cgi-bin/hgTracks?position=208438_s_at","UCSC")</f>
        <v>UCSC</v>
      </c>
      <c r="E15972" s="1" t="str">
        <f>HYPERLINK("http://www.ncbi.nlm.nih.gov/gene/?term=FGR","NCBI")</f>
        <v>NCBI</v>
      </c>
      <c r="F15972">
        <v>0.78</v>
      </c>
      <c r="G15972">
        <v>0.84</v>
      </c>
      <c r="H15972" s="1" t="str">
        <f>HYPERLINK("http://www.weizmann.ac.il/complex/compphys/software/geview/data/figures/208438_s_at.png","Figure")</f>
        <v>Figure</v>
      </c>
      <c r="I15972">
        <v>1.08</v>
      </c>
      <c r="J15972">
        <v>0.85</v>
      </c>
      <c r="K15972">
        <v>0.98499999999999999</v>
      </c>
      <c r="L15972">
        <v>0.99</v>
      </c>
      <c r="M15972">
        <v>0.90900000000000003</v>
      </c>
      <c r="N15972">
        <v>0.78</v>
      </c>
    </row>
    <row r="15973" spans="1:14" x14ac:dyDescent="0.25">
      <c r="A15973" t="s">
        <v>26843</v>
      </c>
      <c r="B15973" t="s">
        <v>24420</v>
      </c>
      <c r="C15973" s="1" t="str">
        <f>HYPERLINK("http://www.genecards.org/cgi-bin/carddisp.pl?gene=DSTYK","GeneCards")</f>
        <v>GeneCards</v>
      </c>
      <c r="D15973" s="1" t="str">
        <f>HYPERLINK("http://genome-euro.ucsc.edu/cgi-bin/hgTracks?position=214663_at","UCSC")</f>
        <v>UCSC</v>
      </c>
      <c r="E15973" s="1" t="str">
        <f>HYPERLINK("http://www.ncbi.nlm.nih.gov/gene/?term=DSTYK","NCBI")</f>
        <v>NCBI</v>
      </c>
      <c r="F15973">
        <v>0.78</v>
      </c>
      <c r="G15973">
        <v>0.84</v>
      </c>
      <c r="H15973" s="1" t="str">
        <f>HYPERLINK("http://www.weizmann.ac.il/complex/compphys/software/geview/data/figures/214663_at.png","Figure")</f>
        <v>Figure</v>
      </c>
      <c r="I15973">
        <v>0.97299999999999998</v>
      </c>
      <c r="J15973">
        <v>0.8</v>
      </c>
      <c r="K15973">
        <v>0.97899999999999998</v>
      </c>
      <c r="L15973">
        <v>0.84</v>
      </c>
      <c r="M15973">
        <v>1.01</v>
      </c>
      <c r="N15973">
        <v>0.99</v>
      </c>
    </row>
    <row r="15974" spans="1:14" x14ac:dyDescent="0.25">
      <c r="A15974" t="s">
        <v>26844</v>
      </c>
      <c r="B15974" t="s">
        <v>8977</v>
      </c>
      <c r="C15974" s="1" t="str">
        <f>HYPERLINK("http://www.genecards.org/cgi-bin/carddisp.pl?gene=BICD2","GeneCards")</f>
        <v>GeneCards</v>
      </c>
      <c r="D15974" s="1" t="str">
        <f>HYPERLINK("http://genome-euro.ucsc.edu/cgi-bin/hgTracks?position=212702_s_at","UCSC")</f>
        <v>UCSC</v>
      </c>
      <c r="E15974" s="1" t="str">
        <f>HYPERLINK("http://www.ncbi.nlm.nih.gov/gene/?term=BICD2","NCBI")</f>
        <v>NCBI</v>
      </c>
      <c r="F15974">
        <v>0.78</v>
      </c>
      <c r="G15974">
        <v>0.84</v>
      </c>
      <c r="H15974" s="1" t="str">
        <f>HYPERLINK("http://www.weizmann.ac.il/complex/compphys/software/geview/data/figures/212702_s_at.png","Figure")</f>
        <v>Figure</v>
      </c>
      <c r="I15974">
        <v>0.94099999999999995</v>
      </c>
      <c r="J15974">
        <v>0.95</v>
      </c>
      <c r="K15974">
        <v>0.88200000000000001</v>
      </c>
      <c r="L15974">
        <v>0.77</v>
      </c>
      <c r="M15974">
        <v>0.93799999999999994</v>
      </c>
      <c r="N15974">
        <v>0.94</v>
      </c>
    </row>
    <row r="15975" spans="1:14" x14ac:dyDescent="0.25">
      <c r="A15975" t="s">
        <v>26845</v>
      </c>
      <c r="B15975" t="s">
        <v>15857</v>
      </c>
      <c r="C15975" s="1" t="str">
        <f>HYPERLINK("http://www.genecards.org/cgi-bin/carddisp.pl?gene=UBR2","GeneCards")</f>
        <v>GeneCards</v>
      </c>
      <c r="D15975" s="1" t="str">
        <f>HYPERLINK("http://genome-euro.ucsc.edu/cgi-bin/hgTracks?position=212756_s_at","UCSC")</f>
        <v>UCSC</v>
      </c>
      <c r="E15975" s="1" t="str">
        <f>HYPERLINK("http://www.ncbi.nlm.nih.gov/gene/?term=UBR2","NCBI")</f>
        <v>NCBI</v>
      </c>
      <c r="F15975">
        <v>0.78</v>
      </c>
      <c r="G15975">
        <v>0.84</v>
      </c>
      <c r="H15975" s="1" t="str">
        <f>HYPERLINK("http://www.weizmann.ac.il/complex/compphys/software/geview/data/figures/212756_s_at.png","Figure")</f>
        <v>Figure</v>
      </c>
      <c r="I15975">
        <v>0.86799999999999999</v>
      </c>
      <c r="J15975">
        <v>0.82</v>
      </c>
      <c r="K15975">
        <v>0.88400000000000001</v>
      </c>
      <c r="L15975">
        <v>0.82</v>
      </c>
      <c r="M15975">
        <v>1.02</v>
      </c>
      <c r="N15975">
        <v>1</v>
      </c>
    </row>
    <row r="15976" spans="1:14" x14ac:dyDescent="0.25">
      <c r="A15976" t="s">
        <v>26846</v>
      </c>
      <c r="B15976" t="s">
        <v>26847</v>
      </c>
      <c r="C15976" s="1" t="str">
        <f>HYPERLINK("http://www.genecards.org/cgi-bin/carddisp.pl?gene=DSCAM","GeneCards")</f>
        <v>GeneCards</v>
      </c>
      <c r="D15976" s="1" t="str">
        <f>HYPERLINK("http://genome-euro.ucsc.edu/cgi-bin/hgTracks?position=211484_s_at","UCSC")</f>
        <v>UCSC</v>
      </c>
      <c r="E15976" s="1" t="str">
        <f>HYPERLINK("http://www.ncbi.nlm.nih.gov/gene/?term=DSCAM","NCBI")</f>
        <v>NCBI</v>
      </c>
      <c r="F15976">
        <v>0.78</v>
      </c>
      <c r="G15976">
        <v>0.84</v>
      </c>
      <c r="H15976" s="1" t="str">
        <f>HYPERLINK("http://www.weizmann.ac.il/complex/compphys/software/geview/data/figures/211484_s_at.png","Figure")</f>
        <v>Figure</v>
      </c>
      <c r="I15976">
        <v>1.06</v>
      </c>
      <c r="J15976">
        <v>0.79</v>
      </c>
      <c r="K15976">
        <v>1.01</v>
      </c>
      <c r="L15976">
        <v>0.99</v>
      </c>
      <c r="M15976">
        <v>0.95099999999999996</v>
      </c>
      <c r="N15976">
        <v>0.83</v>
      </c>
    </row>
    <row r="15977" spans="1:14" x14ac:dyDescent="0.25">
      <c r="A15977" t="s">
        <v>26848</v>
      </c>
      <c r="B15977" t="s">
        <v>25721</v>
      </c>
      <c r="C15977" s="1" t="str">
        <f>HYPERLINK("http://www.genecards.org/cgi-bin/carddisp.pl?gene=PYROXD1","GeneCards")</f>
        <v>GeneCards</v>
      </c>
      <c r="D15977" s="1" t="str">
        <f>HYPERLINK("http://genome-euro.ucsc.edu/cgi-bin/hgTracks?position=213878_at","UCSC")</f>
        <v>UCSC</v>
      </c>
      <c r="E15977" s="1" t="str">
        <f>HYPERLINK("http://www.ncbi.nlm.nih.gov/gene/?term=PYROXD1","NCBI")</f>
        <v>NCBI</v>
      </c>
      <c r="F15977">
        <v>0.79</v>
      </c>
      <c r="G15977">
        <v>0.84</v>
      </c>
      <c r="H15977" s="1" t="str">
        <f>HYPERLINK("http://www.weizmann.ac.il/complex/compphys/software/geview/data/figures/213878_at.png","Figure")</f>
        <v>Figure</v>
      </c>
      <c r="I15977">
        <v>0.92600000000000005</v>
      </c>
      <c r="J15977">
        <v>0.87</v>
      </c>
      <c r="K15977">
        <v>1.02</v>
      </c>
      <c r="L15977">
        <v>0.99</v>
      </c>
      <c r="M15977">
        <v>1.1000000000000001</v>
      </c>
      <c r="N15977">
        <v>0.77</v>
      </c>
    </row>
    <row r="15978" spans="1:14" x14ac:dyDescent="0.25">
      <c r="A15978" t="s">
        <v>26849</v>
      </c>
      <c r="B15978" t="s">
        <v>26850</v>
      </c>
      <c r="C15978" s="1" t="str">
        <f>HYPERLINK("http://www.genecards.org/cgi-bin/carddisp.pl?gene=MGRN1","GeneCards")</f>
        <v>GeneCards</v>
      </c>
      <c r="D15978" s="1" t="str">
        <f>HYPERLINK("http://genome-euro.ucsc.edu/cgi-bin/hgTracks?position=212576_at","UCSC")</f>
        <v>UCSC</v>
      </c>
      <c r="E15978" s="1" t="str">
        <f>HYPERLINK("http://www.ncbi.nlm.nih.gov/gene/?term=MGRN1","NCBI")</f>
        <v>NCBI</v>
      </c>
      <c r="F15978">
        <v>0.79</v>
      </c>
      <c r="G15978">
        <v>0.84</v>
      </c>
      <c r="H15978" s="1" t="str">
        <f>HYPERLINK("http://www.weizmann.ac.il/complex/compphys/software/geview/data/figures/212576_at.png","Figure")</f>
        <v>Figure</v>
      </c>
      <c r="I15978">
        <v>1.06</v>
      </c>
      <c r="J15978">
        <v>0.84</v>
      </c>
      <c r="K15978">
        <v>0.99399999999999999</v>
      </c>
      <c r="L15978">
        <v>1</v>
      </c>
      <c r="M15978">
        <v>0.93899999999999995</v>
      </c>
      <c r="N15978">
        <v>0.78</v>
      </c>
    </row>
    <row r="15979" spans="1:14" x14ac:dyDescent="0.25">
      <c r="A15979" t="s">
        <v>26851</v>
      </c>
      <c r="B15979" t="s">
        <v>26852</v>
      </c>
      <c r="C15979" s="1" t="str">
        <f>HYPERLINK("http://www.genecards.org/cgi-bin/carddisp.pl?gene=HSPA14","GeneCards")</f>
        <v>GeneCards</v>
      </c>
      <c r="D15979" s="1" t="str">
        <f>HYPERLINK("http://genome-euro.ucsc.edu/cgi-bin/hgTracks?position=219212_at","UCSC")</f>
        <v>UCSC</v>
      </c>
      <c r="E15979" s="1" t="str">
        <f>HYPERLINK("http://www.ncbi.nlm.nih.gov/gene/?term=HSPA14","NCBI")</f>
        <v>NCBI</v>
      </c>
      <c r="F15979">
        <v>0.79</v>
      </c>
      <c r="G15979">
        <v>0.84</v>
      </c>
      <c r="H15979" s="1" t="str">
        <f>HYPERLINK("http://www.weizmann.ac.il/complex/compphys/software/geview/data/figures/219212_at.png","Figure")</f>
        <v>Figure</v>
      </c>
      <c r="I15979">
        <v>0.92100000000000004</v>
      </c>
      <c r="J15979">
        <v>0.97</v>
      </c>
      <c r="K15979">
        <v>0.81599999999999995</v>
      </c>
      <c r="L15979">
        <v>0.77</v>
      </c>
      <c r="M15979">
        <v>0.88500000000000001</v>
      </c>
      <c r="N15979">
        <v>0.92</v>
      </c>
    </row>
    <row r="15980" spans="1:14" x14ac:dyDescent="0.25">
      <c r="A15980" t="s">
        <v>26853</v>
      </c>
      <c r="B15980" t="s">
        <v>4695</v>
      </c>
      <c r="C15980" s="1" t="str">
        <f>HYPERLINK("http://www.genecards.org/cgi-bin/carddisp.pl?gene=CIZ1","GeneCards")</f>
        <v>GeneCards</v>
      </c>
      <c r="D15980" s="1" t="str">
        <f>HYPERLINK("http://genome-euro.ucsc.edu/cgi-bin/hgTracks?position=205516_x_at","UCSC")</f>
        <v>UCSC</v>
      </c>
      <c r="E15980" s="1" t="str">
        <f>HYPERLINK("http://www.ncbi.nlm.nih.gov/gene/?term=CIZ1","NCBI")</f>
        <v>NCBI</v>
      </c>
      <c r="F15980">
        <v>0.79</v>
      </c>
      <c r="G15980">
        <v>0.84</v>
      </c>
      <c r="H15980" s="1" t="str">
        <f>HYPERLINK("http://www.weizmann.ac.il/complex/compphys/software/geview/data/figures/205516_x_at.png","Figure")</f>
        <v>Figure</v>
      </c>
      <c r="I15980">
        <v>0.996</v>
      </c>
      <c r="J15980">
        <v>1</v>
      </c>
      <c r="K15980">
        <v>1.0900000000000001</v>
      </c>
      <c r="L15980">
        <v>0.83</v>
      </c>
      <c r="M15980">
        <v>1.0900000000000001</v>
      </c>
      <c r="N15980">
        <v>0.83</v>
      </c>
    </row>
    <row r="15981" spans="1:14" x14ac:dyDescent="0.25">
      <c r="A15981" t="s">
        <v>26854</v>
      </c>
      <c r="B15981" t="s">
        <v>26855</v>
      </c>
      <c r="C15981" s="1" t="str">
        <f>HYPERLINK("http://www.genecards.org/cgi-bin/carddisp.pl?gene=NEURL","GeneCards")</f>
        <v>GeneCards</v>
      </c>
      <c r="D15981" s="1" t="str">
        <f>HYPERLINK("http://genome-euro.ucsc.edu/cgi-bin/hgTracks?position=204889_s_at","UCSC")</f>
        <v>UCSC</v>
      </c>
      <c r="E15981" s="1" t="str">
        <f>HYPERLINK("http://www.ncbi.nlm.nih.gov/gene/?term=NEURL","NCBI")</f>
        <v>NCBI</v>
      </c>
      <c r="F15981">
        <v>0.79</v>
      </c>
      <c r="G15981">
        <v>0.84</v>
      </c>
      <c r="H15981" s="1" t="str">
        <f>HYPERLINK("http://www.weizmann.ac.il/complex/compphys/software/geview/data/figures/204889_s_at.png","Figure")</f>
        <v>Figure</v>
      </c>
      <c r="I15981">
        <v>1.04</v>
      </c>
      <c r="J15981">
        <v>0.82</v>
      </c>
      <c r="K15981">
        <v>1</v>
      </c>
      <c r="L15981">
        <v>1</v>
      </c>
      <c r="M15981">
        <v>0.95799999999999996</v>
      </c>
      <c r="N15981">
        <v>0.8</v>
      </c>
    </row>
    <row r="15982" spans="1:14" x14ac:dyDescent="0.25">
      <c r="A15982" t="s">
        <v>26856</v>
      </c>
      <c r="B15982" t="s">
        <v>4695</v>
      </c>
      <c r="C15982" s="1" t="str">
        <f>HYPERLINK("http://www.genecards.org/cgi-bin/carddisp.pl?gene=CIZ1","GeneCards")</f>
        <v>GeneCards</v>
      </c>
      <c r="D15982" s="1" t="str">
        <f>HYPERLINK("http://genome-euro.ucsc.edu/cgi-bin/hgTracks?position=213977_s_at","UCSC")</f>
        <v>UCSC</v>
      </c>
      <c r="E15982" s="1" t="str">
        <f>HYPERLINK("http://www.ncbi.nlm.nih.gov/gene/?term=CIZ1","NCBI")</f>
        <v>NCBI</v>
      </c>
      <c r="F15982">
        <v>0.79</v>
      </c>
      <c r="G15982">
        <v>0.84</v>
      </c>
      <c r="H15982" s="1" t="str">
        <f>HYPERLINK("http://www.weizmann.ac.il/complex/compphys/software/geview/data/figures/213977_s_at.png","Figure")</f>
        <v>Figure</v>
      </c>
      <c r="I15982">
        <v>0.89700000000000002</v>
      </c>
      <c r="J15982">
        <v>0.77</v>
      </c>
      <c r="K15982">
        <v>0.95099999999999996</v>
      </c>
      <c r="L15982">
        <v>0.93</v>
      </c>
      <c r="M15982">
        <v>1.06</v>
      </c>
      <c r="N15982">
        <v>0.92</v>
      </c>
    </row>
    <row r="15983" spans="1:14" x14ac:dyDescent="0.25">
      <c r="A15983" t="s">
        <v>26857</v>
      </c>
      <c r="B15983" t="s">
        <v>6040</v>
      </c>
      <c r="C15983" s="1" t="str">
        <f>HYPERLINK("http://www.genecards.org/cgi-bin/carddisp.pl?gene=DIAPH1","GeneCards")</f>
        <v>GeneCards</v>
      </c>
      <c r="D15983" s="1" t="str">
        <f>HYPERLINK("http://genome-euro.ucsc.edu/cgi-bin/hgTracks?position=213514_s_at","UCSC")</f>
        <v>UCSC</v>
      </c>
      <c r="E15983" s="1" t="str">
        <f>HYPERLINK("http://www.ncbi.nlm.nih.gov/gene/?term=DIAPH1","NCBI")</f>
        <v>NCBI</v>
      </c>
      <c r="F15983">
        <v>0.79</v>
      </c>
      <c r="G15983">
        <v>0.84</v>
      </c>
      <c r="H15983" s="1" t="str">
        <f>HYPERLINK("http://www.weizmann.ac.il/complex/compphys/software/geview/data/figures/213514_s_at.png","Figure")</f>
        <v>Figure</v>
      </c>
      <c r="I15983">
        <v>1.05</v>
      </c>
      <c r="J15983">
        <v>0.88</v>
      </c>
      <c r="K15983">
        <v>1.06</v>
      </c>
      <c r="L15983">
        <v>0.78</v>
      </c>
      <c r="M15983">
        <v>1.01</v>
      </c>
      <c r="N15983">
        <v>0.99</v>
      </c>
    </row>
    <row r="15984" spans="1:14" x14ac:dyDescent="0.25">
      <c r="A15984" t="s">
        <v>26858</v>
      </c>
      <c r="B15984" t="s">
        <v>26859</v>
      </c>
      <c r="C15984" s="1" t="str">
        <f>HYPERLINK("http://www.genecards.org/cgi-bin/carddisp.pl?gene=LOC100291367","GeneCards")</f>
        <v>GeneCards</v>
      </c>
      <c r="D15984" s="1" t="str">
        <f>HYPERLINK("http://genome-euro.ucsc.edu/cgi-bin/hgTracks?position=222241_at","UCSC")</f>
        <v>UCSC</v>
      </c>
      <c r="E15984" s="1" t="str">
        <f>HYPERLINK("http://www.ncbi.nlm.nih.gov/gene/?term=LOC100291367","NCBI")</f>
        <v>NCBI</v>
      </c>
      <c r="F15984">
        <v>0.79</v>
      </c>
      <c r="G15984">
        <v>0.84</v>
      </c>
      <c r="H15984" s="1" t="str">
        <f>HYPERLINK("http://www.weizmann.ac.il/complex/compphys/software/geview/data/figures/222241_at.png","Figure")</f>
        <v>Figure</v>
      </c>
      <c r="I15984">
        <v>1.07</v>
      </c>
      <c r="J15984">
        <v>0.78</v>
      </c>
      <c r="K15984">
        <v>1.02</v>
      </c>
      <c r="L15984">
        <v>0.97</v>
      </c>
      <c r="M15984">
        <v>0.95</v>
      </c>
      <c r="N15984">
        <v>0.86</v>
      </c>
    </row>
    <row r="15985" spans="1:14" x14ac:dyDescent="0.25">
      <c r="A15985" t="s">
        <v>26860</v>
      </c>
      <c r="B15985" t="s">
        <v>26861</v>
      </c>
      <c r="C15985" s="1" t="str">
        <f>HYPERLINK("http://www.genecards.org/cgi-bin/carddisp.pl?gene=NASP","GeneCards")</f>
        <v>GeneCards</v>
      </c>
      <c r="D15985" s="1" t="str">
        <f>HYPERLINK("http://genome-euro.ucsc.edu/cgi-bin/hgTracks?position=201970_s_at","UCSC")</f>
        <v>UCSC</v>
      </c>
      <c r="E15985" s="1" t="str">
        <f>HYPERLINK("http://www.ncbi.nlm.nih.gov/gene/?term=NASP","NCBI")</f>
        <v>NCBI</v>
      </c>
      <c r="F15985">
        <v>0.79</v>
      </c>
      <c r="G15985">
        <v>0.84</v>
      </c>
      <c r="H15985" s="1" t="str">
        <f>HYPERLINK("http://www.weizmann.ac.il/complex/compphys/software/geview/data/figures/201970_s_at.png","Figure")</f>
        <v>Figure</v>
      </c>
      <c r="I15985">
        <v>1.1399999999999999</v>
      </c>
      <c r="J15985">
        <v>0.86</v>
      </c>
      <c r="K15985">
        <v>1.1499999999999999</v>
      </c>
      <c r="L15985">
        <v>0.79</v>
      </c>
      <c r="M15985">
        <v>1.01</v>
      </c>
      <c r="N15985">
        <v>1</v>
      </c>
    </row>
    <row r="15986" spans="1:14" x14ac:dyDescent="0.25">
      <c r="A15986" t="s">
        <v>26862</v>
      </c>
      <c r="B15986" t="s">
        <v>5148</v>
      </c>
      <c r="C15986" s="1" t="str">
        <f>HYPERLINK("http://www.genecards.org/cgi-bin/carddisp.pl?gene=CNOT4","GeneCards")</f>
        <v>GeneCards</v>
      </c>
      <c r="D15986" s="1" t="str">
        <f>HYPERLINK("http://genome-euro.ucsc.edu/cgi-bin/hgTracks?position=203291_at","UCSC")</f>
        <v>UCSC</v>
      </c>
      <c r="E15986" s="1" t="str">
        <f>HYPERLINK("http://www.ncbi.nlm.nih.gov/gene/?term=CNOT4","NCBI")</f>
        <v>NCBI</v>
      </c>
      <c r="F15986">
        <v>0.79</v>
      </c>
      <c r="G15986">
        <v>0.84</v>
      </c>
      <c r="H15986" s="1" t="str">
        <f>HYPERLINK("http://www.weizmann.ac.il/complex/compphys/software/geview/data/figures/203291_at.png","Figure")</f>
        <v>Figure</v>
      </c>
      <c r="I15986">
        <v>1</v>
      </c>
      <c r="J15986">
        <v>1</v>
      </c>
      <c r="K15986">
        <v>0.90100000000000002</v>
      </c>
      <c r="L15986">
        <v>0.83</v>
      </c>
      <c r="M15986">
        <v>0.89700000000000002</v>
      </c>
      <c r="N15986">
        <v>0.84</v>
      </c>
    </row>
    <row r="15987" spans="1:14" x14ac:dyDescent="0.25">
      <c r="A15987" t="s">
        <v>26863</v>
      </c>
      <c r="B15987" t="s">
        <v>26864</v>
      </c>
      <c r="C15987" s="1" t="str">
        <f>HYPERLINK("http://www.genecards.org/cgi-bin/carddisp.pl?gene=S100A1","GeneCards")</f>
        <v>GeneCards</v>
      </c>
      <c r="D15987" s="1" t="str">
        <f>HYPERLINK("http://genome-euro.ucsc.edu/cgi-bin/hgTracks?position=205334_at","UCSC")</f>
        <v>UCSC</v>
      </c>
      <c r="E15987" s="1" t="str">
        <f>HYPERLINK("http://www.ncbi.nlm.nih.gov/gene/?term=S100A1","NCBI")</f>
        <v>NCBI</v>
      </c>
      <c r="F15987">
        <v>0.79</v>
      </c>
      <c r="G15987">
        <v>0.84</v>
      </c>
      <c r="H15987" s="1" t="str">
        <f>HYPERLINK("http://www.weizmann.ac.il/complex/compphys/software/geview/data/figures/205334_at.png","Figure")</f>
        <v>Figure</v>
      </c>
      <c r="I15987">
        <v>0.96099999999999997</v>
      </c>
      <c r="J15987">
        <v>0.93</v>
      </c>
      <c r="K15987">
        <v>1.03</v>
      </c>
      <c r="L15987">
        <v>0.94</v>
      </c>
      <c r="M15987">
        <v>1.07</v>
      </c>
      <c r="N15987">
        <v>0.77</v>
      </c>
    </row>
    <row r="15988" spans="1:14" x14ac:dyDescent="0.25">
      <c r="A15988" t="s">
        <v>26865</v>
      </c>
      <c r="B15988" t="s">
        <v>26866</v>
      </c>
      <c r="C15988" s="1" t="str">
        <f>HYPERLINK("http://www.genecards.org/cgi-bin/carddisp.pl?gene=HCK","GeneCards")</f>
        <v>GeneCards</v>
      </c>
      <c r="D15988" s="1" t="str">
        <f>HYPERLINK("http://genome-euro.ucsc.edu/cgi-bin/hgTracks?position=208018_s_at","UCSC")</f>
        <v>UCSC</v>
      </c>
      <c r="E15988" s="1" t="str">
        <f>HYPERLINK("http://www.ncbi.nlm.nih.gov/gene/?term=HCK","NCBI")</f>
        <v>NCBI</v>
      </c>
      <c r="F15988">
        <v>0.79</v>
      </c>
      <c r="G15988">
        <v>0.84</v>
      </c>
      <c r="H15988" s="1" t="str">
        <f>HYPERLINK("http://www.weizmann.ac.il/complex/compphys/software/geview/data/figures/208018_s_at.png","Figure")</f>
        <v>Figure</v>
      </c>
      <c r="I15988">
        <v>0.82499999999999996</v>
      </c>
      <c r="J15988">
        <v>0.78</v>
      </c>
      <c r="K15988">
        <v>0.88400000000000001</v>
      </c>
      <c r="L15988">
        <v>0.87</v>
      </c>
      <c r="M15988">
        <v>1.07</v>
      </c>
      <c r="N15988">
        <v>0.96</v>
      </c>
    </row>
    <row r="15989" spans="1:14" x14ac:dyDescent="0.25">
      <c r="A15989" t="s">
        <v>26867</v>
      </c>
      <c r="B15989" t="s">
        <v>23187</v>
      </c>
      <c r="C15989" s="1" t="str">
        <f>HYPERLINK("http://www.genecards.org/cgi-bin/carddisp.pl?gene=RALB","GeneCards")</f>
        <v>GeneCards</v>
      </c>
      <c r="D15989" s="1" t="str">
        <f>HYPERLINK("http://genome-euro.ucsc.edu/cgi-bin/hgTracks?position=202100_at","UCSC")</f>
        <v>UCSC</v>
      </c>
      <c r="E15989" s="1" t="str">
        <f>HYPERLINK("http://www.ncbi.nlm.nih.gov/gene/?term=RALB","NCBI")</f>
        <v>NCBI</v>
      </c>
      <c r="F15989">
        <v>0.79</v>
      </c>
      <c r="G15989">
        <v>0.84</v>
      </c>
      <c r="H15989" s="1" t="str">
        <f>HYPERLINK("http://www.weizmann.ac.il/complex/compphys/software/geview/data/figures/202100_at.png","Figure")</f>
        <v>Figure</v>
      </c>
      <c r="I15989">
        <v>0.93400000000000005</v>
      </c>
      <c r="J15989">
        <v>0.77</v>
      </c>
      <c r="K15989">
        <v>0.96599999999999997</v>
      </c>
      <c r="L15989">
        <v>0.92</v>
      </c>
      <c r="M15989">
        <v>1.03</v>
      </c>
      <c r="N15989">
        <v>0.93</v>
      </c>
    </row>
    <row r="15990" spans="1:14" x14ac:dyDescent="0.25">
      <c r="A15990" t="s">
        <v>26868</v>
      </c>
      <c r="B15990" t="s">
        <v>25795</v>
      </c>
      <c r="C15990" s="1" t="str">
        <f>HYPERLINK("http://www.genecards.org/cgi-bin/carddisp.pl?gene=ERLIN1","GeneCards")</f>
        <v>GeneCards</v>
      </c>
      <c r="D15990" s="1" t="str">
        <f>HYPERLINK("http://genome-euro.ucsc.edu/cgi-bin/hgTracks?position=202444_s_at","UCSC")</f>
        <v>UCSC</v>
      </c>
      <c r="E15990" s="1" t="str">
        <f>HYPERLINK("http://www.ncbi.nlm.nih.gov/gene/?term=ERLIN1","NCBI")</f>
        <v>NCBI</v>
      </c>
      <c r="F15990">
        <v>0.79</v>
      </c>
      <c r="G15990">
        <v>0.84</v>
      </c>
      <c r="H15990" s="1" t="str">
        <f>HYPERLINK("http://www.weizmann.ac.il/complex/compphys/software/geview/data/figures/202444_s_at.png","Figure")</f>
        <v>Figure</v>
      </c>
      <c r="I15990">
        <v>1.05</v>
      </c>
      <c r="J15990">
        <v>0.91</v>
      </c>
      <c r="K15990">
        <v>1.07</v>
      </c>
      <c r="L15990">
        <v>0.77</v>
      </c>
      <c r="M15990">
        <v>1.02</v>
      </c>
      <c r="N15990">
        <v>0.98</v>
      </c>
    </row>
    <row r="15991" spans="1:14" x14ac:dyDescent="0.25">
      <c r="A15991" t="s">
        <v>26869</v>
      </c>
      <c r="B15991" t="s">
        <v>26870</v>
      </c>
      <c r="C15991" s="1" t="str">
        <f>HYPERLINK("http://www.genecards.org/cgi-bin/carddisp.pl?gene=ANKRD36","GeneCards")</f>
        <v>GeneCards</v>
      </c>
      <c r="D15991" s="1" t="str">
        <f>HYPERLINK("http://genome-euro.ucsc.edu/cgi-bin/hgTracks?position=214723_x_at","UCSC")</f>
        <v>UCSC</v>
      </c>
      <c r="E15991" s="1" t="str">
        <f>HYPERLINK("http://www.ncbi.nlm.nih.gov/gene/?term=ANKRD36","NCBI")</f>
        <v>NCBI</v>
      </c>
      <c r="F15991">
        <v>0.79</v>
      </c>
      <c r="G15991">
        <v>0.84</v>
      </c>
      <c r="H15991" s="1" t="str">
        <f>HYPERLINK("http://www.weizmann.ac.il/complex/compphys/software/geview/data/figures/214723_x_at.png","Figure")</f>
        <v>Figure</v>
      </c>
      <c r="I15991">
        <v>1.27</v>
      </c>
      <c r="J15991">
        <v>0.8</v>
      </c>
      <c r="K15991">
        <v>1.04</v>
      </c>
      <c r="L15991">
        <v>0.99</v>
      </c>
      <c r="M15991">
        <v>0.81699999999999995</v>
      </c>
      <c r="N15991">
        <v>0.83</v>
      </c>
    </row>
    <row r="15992" spans="1:14" x14ac:dyDescent="0.25">
      <c r="A15992" t="s">
        <v>26871</v>
      </c>
      <c r="B15992" t="s">
        <v>3221</v>
      </c>
      <c r="C15992" s="1" t="str">
        <f>HYPERLINK("http://www.genecards.org/cgi-bin/carddisp.pl?gene=PPFIA1","GeneCards")</f>
        <v>GeneCards</v>
      </c>
      <c r="D15992" s="1" t="str">
        <f>HYPERLINK("http://genome-euro.ucsc.edu/cgi-bin/hgTracks?position=210235_s_at","UCSC")</f>
        <v>UCSC</v>
      </c>
      <c r="E15992" s="1" t="str">
        <f>HYPERLINK("http://www.ncbi.nlm.nih.gov/gene/?term=PPFIA1","NCBI")</f>
        <v>NCBI</v>
      </c>
      <c r="F15992">
        <v>0.79</v>
      </c>
      <c r="G15992">
        <v>0.84</v>
      </c>
      <c r="H15992" s="1" t="str">
        <f>HYPERLINK("http://www.weizmann.ac.il/complex/compphys/software/geview/data/figures/210235_s_at.png","Figure")</f>
        <v>Figure</v>
      </c>
      <c r="I15992">
        <v>1.03</v>
      </c>
      <c r="J15992">
        <v>0.95</v>
      </c>
      <c r="K15992">
        <v>0.96499999999999997</v>
      </c>
      <c r="L15992">
        <v>0.92</v>
      </c>
      <c r="M15992">
        <v>0.93500000000000005</v>
      </c>
      <c r="N15992">
        <v>0.78</v>
      </c>
    </row>
    <row r="15993" spans="1:14" x14ac:dyDescent="0.25">
      <c r="A15993" t="s">
        <v>26872</v>
      </c>
      <c r="B15993" t="s">
        <v>415</v>
      </c>
      <c r="C15993" s="1" t="str">
        <f>HYPERLINK("http://www.genecards.org/cgi-bin/carddisp.pl?gene=IDS","GeneCards")</f>
        <v>GeneCards</v>
      </c>
      <c r="D15993" s="1" t="str">
        <f>HYPERLINK("http://genome-euro.ucsc.edu/cgi-bin/hgTracks?position=217432_s_at","UCSC")</f>
        <v>UCSC</v>
      </c>
      <c r="E15993" s="1" t="str">
        <f>HYPERLINK("http://www.ncbi.nlm.nih.gov/gene/?term=IDS","NCBI")</f>
        <v>NCBI</v>
      </c>
      <c r="F15993">
        <v>0.79</v>
      </c>
      <c r="G15993">
        <v>0.84</v>
      </c>
      <c r="H15993" s="1" t="str">
        <f>HYPERLINK("http://www.weizmann.ac.il/complex/compphys/software/geview/data/figures/217432_s_at.png","Figure")</f>
        <v>Figure</v>
      </c>
      <c r="I15993">
        <v>0.97</v>
      </c>
      <c r="J15993">
        <v>0.79</v>
      </c>
      <c r="K15993">
        <v>0.99399999999999999</v>
      </c>
      <c r="L15993">
        <v>0.99</v>
      </c>
      <c r="M15993">
        <v>1.02</v>
      </c>
      <c r="N15993">
        <v>0.84</v>
      </c>
    </row>
    <row r="15994" spans="1:14" x14ac:dyDescent="0.25">
      <c r="A15994" t="s">
        <v>26873</v>
      </c>
      <c r="B15994" t="s">
        <v>10142</v>
      </c>
      <c r="C15994" s="1" t="str">
        <f>HYPERLINK("http://www.genecards.org/cgi-bin/carddisp.pl?gene=ZNF93","GeneCards")</f>
        <v>GeneCards</v>
      </c>
      <c r="D15994" s="1" t="str">
        <f>HYPERLINK("http://genome-euro.ucsc.edu/cgi-bin/hgTracks?position=208119_s_at","UCSC")</f>
        <v>UCSC</v>
      </c>
      <c r="E15994" s="1" t="str">
        <f>HYPERLINK("http://www.ncbi.nlm.nih.gov/gene/?term=ZNF93","NCBI")</f>
        <v>NCBI</v>
      </c>
      <c r="F15994">
        <v>0.79</v>
      </c>
      <c r="G15994">
        <v>0.84</v>
      </c>
      <c r="H15994" s="1" t="str">
        <f>HYPERLINK("http://www.weizmann.ac.il/complex/compphys/software/geview/data/figures/208119_s_at.png","Figure")</f>
        <v>Figure</v>
      </c>
      <c r="I15994">
        <v>1</v>
      </c>
      <c r="J15994">
        <v>1</v>
      </c>
      <c r="K15994">
        <v>1.0900000000000001</v>
      </c>
      <c r="L15994">
        <v>0.82</v>
      </c>
      <c r="M15994">
        <v>1.0900000000000001</v>
      </c>
      <c r="N15994">
        <v>0.85</v>
      </c>
    </row>
    <row r="15995" spans="1:14" x14ac:dyDescent="0.25">
      <c r="A15995" t="s">
        <v>26874</v>
      </c>
      <c r="B15995" t="s">
        <v>26875</v>
      </c>
      <c r="C15995" s="1" t="str">
        <f>HYPERLINK("http://www.genecards.org/cgi-bin/carddisp.pl?gene=THOC5","GeneCards")</f>
        <v>GeneCards</v>
      </c>
      <c r="D15995" s="1" t="str">
        <f>HYPERLINK("http://genome-euro.ucsc.edu/cgi-bin/hgTracks?position=209418_s_at","UCSC")</f>
        <v>UCSC</v>
      </c>
      <c r="E15995" s="1" t="str">
        <f>HYPERLINK("http://www.ncbi.nlm.nih.gov/gene/?term=THOC5","NCBI")</f>
        <v>NCBI</v>
      </c>
      <c r="F15995">
        <v>0.79</v>
      </c>
      <c r="G15995">
        <v>0.84</v>
      </c>
      <c r="H15995" s="1" t="str">
        <f>HYPERLINK("http://www.weizmann.ac.il/complex/compphys/software/geview/data/figures/209418_s_at.png","Figure")</f>
        <v>Figure</v>
      </c>
      <c r="I15995">
        <v>1.0900000000000001</v>
      </c>
      <c r="J15995">
        <v>0.78</v>
      </c>
      <c r="K15995">
        <v>1.06</v>
      </c>
      <c r="L15995">
        <v>0.88</v>
      </c>
      <c r="M15995">
        <v>0.96599999999999997</v>
      </c>
      <c r="N15995">
        <v>0.96</v>
      </c>
    </row>
    <row r="15996" spans="1:14" x14ac:dyDescent="0.25">
      <c r="A15996" t="s">
        <v>26876</v>
      </c>
      <c r="B15996" t="s">
        <v>26877</v>
      </c>
      <c r="C15996" s="1" t="str">
        <f>HYPERLINK("http://www.genecards.org/cgi-bin/carddisp.pl?gene=TDRD7","GeneCards")</f>
        <v>GeneCards</v>
      </c>
      <c r="D15996" s="1" t="str">
        <f>HYPERLINK("http://genome-euro.ucsc.edu/cgi-bin/hgTracks?position=213361_at","UCSC")</f>
        <v>UCSC</v>
      </c>
      <c r="E15996" s="1" t="str">
        <f>HYPERLINK("http://www.ncbi.nlm.nih.gov/gene/?term=TDRD7","NCBI")</f>
        <v>NCBI</v>
      </c>
      <c r="F15996">
        <v>0.79</v>
      </c>
      <c r="G15996">
        <v>0.84</v>
      </c>
      <c r="H15996" s="1" t="str">
        <f>HYPERLINK("http://www.weizmann.ac.il/complex/compphys/software/geview/data/figures/213361_at.png","Figure")</f>
        <v>Figure</v>
      </c>
      <c r="I15996">
        <v>1.0900000000000001</v>
      </c>
      <c r="J15996">
        <v>0.94</v>
      </c>
      <c r="K15996">
        <v>1.17</v>
      </c>
      <c r="L15996">
        <v>0.77</v>
      </c>
      <c r="M15996">
        <v>1.07</v>
      </c>
      <c r="N15996">
        <v>0.96</v>
      </c>
    </row>
    <row r="15997" spans="1:14" x14ac:dyDescent="0.25">
      <c r="A15997" t="s">
        <v>26878</v>
      </c>
      <c r="B15997" t="s">
        <v>10682</v>
      </c>
      <c r="C15997" s="1" t="str">
        <f>HYPERLINK("http://www.genecards.org/cgi-bin/carddisp.pl?gene=PTBP1","GeneCards")</f>
        <v>GeneCards</v>
      </c>
      <c r="D15997" s="1" t="str">
        <f>HYPERLINK("http://genome-euro.ucsc.edu/cgi-bin/hgTracks?position=212015_x_at","UCSC")</f>
        <v>UCSC</v>
      </c>
      <c r="E15997" s="1" t="str">
        <f>HYPERLINK("http://www.ncbi.nlm.nih.gov/gene/?term=PTBP1","NCBI")</f>
        <v>NCBI</v>
      </c>
      <c r="F15997">
        <v>0.79</v>
      </c>
      <c r="G15997">
        <v>0.84</v>
      </c>
      <c r="H15997" s="1" t="str">
        <f>HYPERLINK("http://www.weizmann.ac.il/complex/compphys/software/geview/data/figures/212015_x_at.png","Figure")</f>
        <v>Figure</v>
      </c>
      <c r="I15997">
        <v>0.90700000000000003</v>
      </c>
      <c r="J15997">
        <v>0.77</v>
      </c>
      <c r="K15997">
        <v>0.96</v>
      </c>
      <c r="L15997">
        <v>0.94</v>
      </c>
      <c r="M15997">
        <v>1.06</v>
      </c>
      <c r="N15997">
        <v>0.9</v>
      </c>
    </row>
    <row r="15998" spans="1:14" x14ac:dyDescent="0.25">
      <c r="A15998" t="s">
        <v>26879</v>
      </c>
      <c r="B15998" t="s">
        <v>26880</v>
      </c>
      <c r="C15998" s="1" t="str">
        <f>HYPERLINK("http://www.genecards.org/cgi-bin/carddisp.pl?gene=MAFB","GeneCards")</f>
        <v>GeneCards</v>
      </c>
      <c r="D15998" s="1" t="str">
        <f>HYPERLINK("http://genome-euro.ucsc.edu/cgi-bin/hgTracks?position=218559_s_at","UCSC")</f>
        <v>UCSC</v>
      </c>
      <c r="E15998" s="1" t="str">
        <f>HYPERLINK("http://www.ncbi.nlm.nih.gov/gene/?term=MAFB","NCBI")</f>
        <v>NCBI</v>
      </c>
      <c r="F15998">
        <v>0.79</v>
      </c>
      <c r="G15998">
        <v>0.84</v>
      </c>
      <c r="H15998" s="1" t="str">
        <f>HYPERLINK("http://www.weizmann.ac.il/complex/compphys/software/geview/data/figures/218559_s_at.png","Figure")</f>
        <v>Figure</v>
      </c>
      <c r="I15998">
        <v>1.0900000000000001</v>
      </c>
      <c r="J15998">
        <v>0.79</v>
      </c>
      <c r="K15998">
        <v>1.02</v>
      </c>
      <c r="L15998">
        <v>0.98</v>
      </c>
      <c r="M15998">
        <v>0.93799999999999994</v>
      </c>
      <c r="N15998">
        <v>0.85</v>
      </c>
    </row>
    <row r="15999" spans="1:14" x14ac:dyDescent="0.25">
      <c r="A15999" t="s">
        <v>26881</v>
      </c>
      <c r="B15999" t="s">
        <v>26882</v>
      </c>
      <c r="C15999" s="1" t="str">
        <f>HYPERLINK("http://www.genecards.org/cgi-bin/carddisp.pl?gene=PLIN3","GeneCards")</f>
        <v>GeneCards</v>
      </c>
      <c r="D15999" s="1" t="str">
        <f>HYPERLINK("http://genome-euro.ucsc.edu/cgi-bin/hgTracks?position=202122_s_at","UCSC")</f>
        <v>UCSC</v>
      </c>
      <c r="E15999" s="1" t="str">
        <f>HYPERLINK("http://www.ncbi.nlm.nih.gov/gene/?term=PLIN3","NCBI")</f>
        <v>NCBI</v>
      </c>
      <c r="F15999">
        <v>0.79</v>
      </c>
      <c r="G15999">
        <v>0.84</v>
      </c>
      <c r="H15999" s="1" t="str">
        <f>HYPERLINK("http://www.weizmann.ac.il/complex/compphys/software/geview/data/figures/202122_s_at.png","Figure")</f>
        <v>Figure</v>
      </c>
      <c r="I15999">
        <v>0.89200000000000002</v>
      </c>
      <c r="J15999">
        <v>0.77</v>
      </c>
      <c r="K15999">
        <v>0.95099999999999996</v>
      </c>
      <c r="L15999">
        <v>0.94</v>
      </c>
      <c r="M15999">
        <v>1.07</v>
      </c>
      <c r="N15999">
        <v>0.91</v>
      </c>
    </row>
    <row r="16000" spans="1:14" x14ac:dyDescent="0.25">
      <c r="A16000" t="s">
        <v>26883</v>
      </c>
      <c r="B16000" t="s">
        <v>26884</v>
      </c>
      <c r="C16000" s="1" t="str">
        <f>HYPERLINK("http://www.genecards.org/cgi-bin/carddisp.pl?gene=MAPK11","GeneCards")</f>
        <v>GeneCards</v>
      </c>
      <c r="D16000" s="1" t="str">
        <f>HYPERLINK("http://genome-euro.ucsc.edu/cgi-bin/hgTracks?position=211500_at","UCSC")</f>
        <v>UCSC</v>
      </c>
      <c r="E16000" s="1" t="str">
        <f>HYPERLINK("http://www.ncbi.nlm.nih.gov/gene/?term=MAPK11","NCBI")</f>
        <v>NCBI</v>
      </c>
      <c r="F16000">
        <v>0.79</v>
      </c>
      <c r="G16000">
        <v>0.84</v>
      </c>
      <c r="H16000" s="1" t="str">
        <f>HYPERLINK("http://www.weizmann.ac.il/complex/compphys/software/geview/data/figures/211500_at.png","Figure")</f>
        <v>Figure</v>
      </c>
      <c r="I16000">
        <v>1.05</v>
      </c>
      <c r="J16000">
        <v>0.88</v>
      </c>
      <c r="K16000">
        <v>0.98599999999999999</v>
      </c>
      <c r="L16000">
        <v>0.99</v>
      </c>
      <c r="M16000">
        <v>0.93899999999999995</v>
      </c>
      <c r="N16000">
        <v>0.78</v>
      </c>
    </row>
    <row r="16001" spans="1:14" x14ac:dyDescent="0.25">
      <c r="A16001" t="s">
        <v>26885</v>
      </c>
      <c r="B16001" t="s">
        <v>9882</v>
      </c>
      <c r="C16001" s="1" t="str">
        <f>HYPERLINK("http://www.genecards.org/cgi-bin/carddisp.pl?gene=ADRBK1","GeneCards")</f>
        <v>GeneCards</v>
      </c>
      <c r="D16001" s="1" t="str">
        <f>HYPERLINK("http://genome-euro.ucsc.edu/cgi-bin/hgTracks?position=201401_s_at","UCSC")</f>
        <v>UCSC</v>
      </c>
      <c r="E16001" s="1" t="str">
        <f>HYPERLINK("http://www.ncbi.nlm.nih.gov/gene/?term=ADRBK1","NCBI")</f>
        <v>NCBI</v>
      </c>
      <c r="F16001">
        <v>0.79</v>
      </c>
      <c r="G16001">
        <v>0.84</v>
      </c>
      <c r="H16001" s="1" t="str">
        <f>HYPERLINK("http://www.weizmann.ac.il/complex/compphys/software/geview/data/figures/201401_s_at.png","Figure")</f>
        <v>Figure</v>
      </c>
      <c r="I16001">
        <v>1.0900000000000001</v>
      </c>
      <c r="J16001">
        <v>0.92</v>
      </c>
      <c r="K16001">
        <v>0.94</v>
      </c>
      <c r="L16001">
        <v>0.95</v>
      </c>
      <c r="M16001">
        <v>0.86199999999999999</v>
      </c>
      <c r="N16001">
        <v>0.77</v>
      </c>
    </row>
    <row r="16002" spans="1:14" x14ac:dyDescent="0.25">
      <c r="A16002" t="s">
        <v>26886</v>
      </c>
      <c r="B16002" t="s">
        <v>26887</v>
      </c>
      <c r="C16002" s="1" t="str">
        <f>HYPERLINK("http://www.genecards.org/cgi-bin/carddisp.pl?gene=LZTR1","GeneCards")</f>
        <v>GeneCards</v>
      </c>
      <c r="D16002" s="1" t="str">
        <f>HYPERLINK("http://genome-euro.ucsc.edu/cgi-bin/hgTracks?position=203412_at","UCSC")</f>
        <v>UCSC</v>
      </c>
      <c r="E16002" s="1" t="str">
        <f>HYPERLINK("http://www.ncbi.nlm.nih.gov/gene/?term=LZTR1","NCBI")</f>
        <v>NCBI</v>
      </c>
      <c r="F16002">
        <v>0.79</v>
      </c>
      <c r="G16002">
        <v>0.84</v>
      </c>
      <c r="H16002" s="1" t="str">
        <f>HYPERLINK("http://www.weizmann.ac.il/complex/compphys/software/geview/data/figures/203412_at.png","Figure")</f>
        <v>Figure</v>
      </c>
      <c r="I16002">
        <v>1.03</v>
      </c>
      <c r="J16002">
        <v>0.99</v>
      </c>
      <c r="K16002">
        <v>1.1100000000000001</v>
      </c>
      <c r="L16002">
        <v>0.79</v>
      </c>
      <c r="M16002">
        <v>1.08</v>
      </c>
      <c r="N16002">
        <v>0.9</v>
      </c>
    </row>
    <row r="16003" spans="1:14" x14ac:dyDescent="0.25">
      <c r="A16003" t="s">
        <v>26888</v>
      </c>
      <c r="B16003" t="s">
        <v>2535</v>
      </c>
      <c r="C16003" s="1" t="str">
        <f>HYPERLINK("http://www.genecards.org/cgi-bin/carddisp.pl?gene=CD44","GeneCards")</f>
        <v>GeneCards</v>
      </c>
      <c r="D16003" s="1" t="str">
        <f>HYPERLINK("http://genome-euro.ucsc.edu/cgi-bin/hgTracks?position=210916_s_at","UCSC")</f>
        <v>UCSC</v>
      </c>
      <c r="E16003" s="1" t="str">
        <f>HYPERLINK("http://www.ncbi.nlm.nih.gov/gene/?term=CD44","NCBI")</f>
        <v>NCBI</v>
      </c>
      <c r="F16003">
        <v>0.79</v>
      </c>
      <c r="G16003">
        <v>0.84</v>
      </c>
      <c r="H16003" s="1" t="str">
        <f>HYPERLINK("http://www.weizmann.ac.il/complex/compphys/software/geview/data/figures/210916_s_at.png","Figure")</f>
        <v>Figure</v>
      </c>
      <c r="I16003">
        <v>1.05</v>
      </c>
      <c r="J16003">
        <v>0.98</v>
      </c>
      <c r="K16003">
        <v>1.17</v>
      </c>
      <c r="L16003">
        <v>0.79</v>
      </c>
      <c r="M16003">
        <v>1.1100000000000001</v>
      </c>
      <c r="N16003">
        <v>0.91</v>
      </c>
    </row>
    <row r="16004" spans="1:14" x14ac:dyDescent="0.25">
      <c r="A16004" t="s">
        <v>26889</v>
      </c>
      <c r="B16004" t="s">
        <v>12656</v>
      </c>
      <c r="C16004" s="1" t="str">
        <f>HYPERLINK("http://www.genecards.org/cgi-bin/carddisp.pl?gene=TRAF3IP3","GeneCards")</f>
        <v>GeneCards</v>
      </c>
      <c r="D16004" s="1" t="str">
        <f>HYPERLINK("http://genome-euro.ucsc.edu/cgi-bin/hgTracks?position=213888_s_at","UCSC")</f>
        <v>UCSC</v>
      </c>
      <c r="E16004" s="1" t="str">
        <f>HYPERLINK("http://www.ncbi.nlm.nih.gov/gene/?term=TRAF3IP3","NCBI")</f>
        <v>NCBI</v>
      </c>
      <c r="F16004">
        <v>0.79</v>
      </c>
      <c r="G16004">
        <v>0.84</v>
      </c>
      <c r="H16004" s="1" t="str">
        <f>HYPERLINK("http://www.weizmann.ac.il/complex/compphys/software/geview/data/figures/213888_s_at.png","Figure")</f>
        <v>Figure</v>
      </c>
      <c r="I16004">
        <v>0.76600000000000001</v>
      </c>
      <c r="J16004">
        <v>0.8</v>
      </c>
      <c r="K16004">
        <v>0.96899999999999997</v>
      </c>
      <c r="L16004">
        <v>1</v>
      </c>
      <c r="M16004">
        <v>1.27</v>
      </c>
      <c r="N16004">
        <v>0.82</v>
      </c>
    </row>
    <row r="16005" spans="1:14" x14ac:dyDescent="0.25">
      <c r="A16005" t="s">
        <v>26890</v>
      </c>
      <c r="B16005" t="s">
        <v>26891</v>
      </c>
      <c r="C16005" s="1" t="str">
        <f>HYPERLINK("http://www.genecards.org/cgi-bin/carddisp.pl?gene=SHOX2","GeneCards")</f>
        <v>GeneCards</v>
      </c>
      <c r="D16005" s="1" t="str">
        <f>HYPERLINK("http://genome-euro.ucsc.edu/cgi-bin/hgTracks?position=210134_x_at","UCSC")</f>
        <v>UCSC</v>
      </c>
      <c r="E16005" s="1" t="str">
        <f>HYPERLINK("http://www.ncbi.nlm.nih.gov/gene/?term=SHOX2","NCBI")</f>
        <v>NCBI</v>
      </c>
      <c r="F16005">
        <v>0.79</v>
      </c>
      <c r="G16005">
        <v>0.84</v>
      </c>
      <c r="H16005" s="1" t="str">
        <f>HYPERLINK("http://www.weizmann.ac.il/complex/compphys/software/geview/data/figures/210134_x_at.png","Figure")</f>
        <v>Figure</v>
      </c>
      <c r="I16005">
        <v>1.03</v>
      </c>
      <c r="J16005">
        <v>0.84</v>
      </c>
      <c r="K16005">
        <v>1.03</v>
      </c>
      <c r="L16005">
        <v>0.8</v>
      </c>
      <c r="M16005">
        <v>1</v>
      </c>
      <c r="N16005">
        <v>1</v>
      </c>
    </row>
    <row r="16006" spans="1:14" x14ac:dyDescent="0.25">
      <c r="A16006" t="s">
        <v>26892</v>
      </c>
      <c r="B16006" t="s">
        <v>19523</v>
      </c>
      <c r="C16006" s="1" t="str">
        <f>HYPERLINK("http://www.genecards.org/cgi-bin/carddisp.pl?gene=HDGFRP3","GeneCards")</f>
        <v>GeneCards</v>
      </c>
      <c r="D16006" s="1" t="str">
        <f>HYPERLINK("http://genome-euro.ucsc.edu/cgi-bin/hgTracks?position=209526_s_at","UCSC")</f>
        <v>UCSC</v>
      </c>
      <c r="E16006" s="1" t="str">
        <f>HYPERLINK("http://www.ncbi.nlm.nih.gov/gene/?term=HDGFRP3","NCBI")</f>
        <v>NCBI</v>
      </c>
      <c r="F16006">
        <v>0.79</v>
      </c>
      <c r="G16006">
        <v>0.84</v>
      </c>
      <c r="H16006" s="1" t="str">
        <f>HYPERLINK("http://www.weizmann.ac.il/complex/compphys/software/geview/data/figures/209526_s_at.png","Figure")</f>
        <v>Figure</v>
      </c>
      <c r="I16006">
        <v>0.80200000000000005</v>
      </c>
      <c r="J16006">
        <v>0.79</v>
      </c>
      <c r="K16006">
        <v>0.95</v>
      </c>
      <c r="L16006">
        <v>0.98</v>
      </c>
      <c r="M16006">
        <v>1.18</v>
      </c>
      <c r="N16006">
        <v>0.85</v>
      </c>
    </row>
    <row r="16007" spans="1:14" x14ac:dyDescent="0.25">
      <c r="A16007" t="s">
        <v>26893</v>
      </c>
      <c r="B16007" t="s">
        <v>9986</v>
      </c>
      <c r="C16007" s="1" t="str">
        <f>HYPERLINK("http://www.genecards.org/cgi-bin/carddisp.pl?gene=SERINC3","GeneCards")</f>
        <v>GeneCards</v>
      </c>
      <c r="D16007" s="1" t="str">
        <f>HYPERLINK("http://genome-euro.ucsc.edu/cgi-bin/hgTracks?position=211769_x_at","UCSC")</f>
        <v>UCSC</v>
      </c>
      <c r="E16007" s="1" t="str">
        <f>HYPERLINK("http://www.ncbi.nlm.nih.gov/gene/?term=SERINC3","NCBI")</f>
        <v>NCBI</v>
      </c>
      <c r="F16007">
        <v>0.79</v>
      </c>
      <c r="G16007">
        <v>0.84</v>
      </c>
      <c r="H16007" s="1" t="str">
        <f>HYPERLINK("http://www.weizmann.ac.il/complex/compphys/software/geview/data/figures/211769_x_at.png","Figure")</f>
        <v>Figure</v>
      </c>
      <c r="I16007">
        <v>0.99299999999999999</v>
      </c>
      <c r="J16007">
        <v>1</v>
      </c>
      <c r="K16007">
        <v>0.92700000000000005</v>
      </c>
      <c r="L16007">
        <v>0.81</v>
      </c>
      <c r="M16007">
        <v>0.93300000000000005</v>
      </c>
      <c r="N16007">
        <v>0.86</v>
      </c>
    </row>
    <row r="16008" spans="1:14" x14ac:dyDescent="0.25">
      <c r="A16008" t="s">
        <v>26894</v>
      </c>
      <c r="B16008" t="s">
        <v>8639</v>
      </c>
      <c r="C16008" s="1" t="str">
        <f>HYPERLINK("http://www.genecards.org/cgi-bin/carddisp.pl?gene=NR1I2","GeneCards")</f>
        <v>GeneCards</v>
      </c>
      <c r="D16008" s="1" t="str">
        <f>HYPERLINK("http://genome-euro.ucsc.edu/cgi-bin/hgTracks?position=207202_s_at","UCSC")</f>
        <v>UCSC</v>
      </c>
      <c r="E16008" s="1" t="str">
        <f>HYPERLINK("http://www.ncbi.nlm.nih.gov/gene/?term=NR1I2","NCBI")</f>
        <v>NCBI</v>
      </c>
      <c r="F16008">
        <v>0.79</v>
      </c>
      <c r="G16008">
        <v>0.84</v>
      </c>
      <c r="H16008" s="1" t="str">
        <f>HYPERLINK("http://www.weizmann.ac.il/complex/compphys/software/geview/data/figures/207202_s_at.png","Figure")</f>
        <v>Figure</v>
      </c>
      <c r="I16008">
        <v>1</v>
      </c>
      <c r="J16008">
        <v>0.99</v>
      </c>
      <c r="K16008">
        <v>0.98199999999999998</v>
      </c>
      <c r="L16008">
        <v>0.86</v>
      </c>
      <c r="M16008">
        <v>0.97799999999999998</v>
      </c>
      <c r="N16008">
        <v>0.81</v>
      </c>
    </row>
    <row r="16009" spans="1:14" x14ac:dyDescent="0.25">
      <c r="A16009" t="s">
        <v>26895</v>
      </c>
      <c r="B16009" t="s">
        <v>26896</v>
      </c>
      <c r="C16009" s="1" t="str">
        <f>HYPERLINK("http://www.genecards.org/cgi-bin/carddisp.pl?gene=RPL30","GeneCards")</f>
        <v>GeneCards</v>
      </c>
      <c r="D16009" s="1" t="str">
        <f>HYPERLINK("http://genome-euro.ucsc.edu/cgi-bin/hgTracks?position=200062_s_at","UCSC")</f>
        <v>UCSC</v>
      </c>
      <c r="E16009" s="1" t="str">
        <f>HYPERLINK("http://www.ncbi.nlm.nih.gov/gene/?term=RPL30","NCBI")</f>
        <v>NCBI</v>
      </c>
      <c r="F16009">
        <v>0.79</v>
      </c>
      <c r="G16009">
        <v>0.84</v>
      </c>
      <c r="H16009" s="1" t="str">
        <f>HYPERLINK("http://www.weizmann.ac.il/complex/compphys/software/geview/data/figures/200062_s_at.png","Figure")</f>
        <v>Figure</v>
      </c>
      <c r="I16009">
        <v>0.92300000000000004</v>
      </c>
      <c r="J16009">
        <v>0.87</v>
      </c>
      <c r="K16009">
        <v>1.02</v>
      </c>
      <c r="L16009">
        <v>0.99</v>
      </c>
      <c r="M16009">
        <v>1.1100000000000001</v>
      </c>
      <c r="N16009">
        <v>0.78</v>
      </c>
    </row>
    <row r="16010" spans="1:14" x14ac:dyDescent="0.25">
      <c r="A16010" t="s">
        <v>26897</v>
      </c>
      <c r="B16010" t="s">
        <v>16334</v>
      </c>
      <c r="C16010" s="1" t="str">
        <f>HYPERLINK("http://www.genecards.org/cgi-bin/carddisp.pl?gene=ACACB","GeneCards")</f>
        <v>GeneCards</v>
      </c>
      <c r="D16010" s="1" t="str">
        <f>HYPERLINK("http://genome-euro.ucsc.edu/cgi-bin/hgTracks?position=49452_at","UCSC")</f>
        <v>UCSC</v>
      </c>
      <c r="E16010" s="1" t="str">
        <f>HYPERLINK("http://www.ncbi.nlm.nih.gov/gene/?term=ACACB","NCBI")</f>
        <v>NCBI</v>
      </c>
      <c r="F16010">
        <v>0.79</v>
      </c>
      <c r="G16010">
        <v>0.84</v>
      </c>
      <c r="H16010" s="1" t="str">
        <f>HYPERLINK("http://www.weizmann.ac.il/complex/compphys/software/geview/data/figures/49452_at.png","Figure")</f>
        <v>Figure</v>
      </c>
      <c r="I16010">
        <v>1.01</v>
      </c>
      <c r="J16010">
        <v>0.98</v>
      </c>
      <c r="K16010">
        <v>0.97599999999999998</v>
      </c>
      <c r="L16010">
        <v>0.89</v>
      </c>
      <c r="M16010">
        <v>0.96399999999999997</v>
      </c>
      <c r="N16010">
        <v>0.8</v>
      </c>
    </row>
    <row r="16011" spans="1:14" x14ac:dyDescent="0.25">
      <c r="A16011" t="s">
        <v>26898</v>
      </c>
      <c r="B16011" t="s">
        <v>26899</v>
      </c>
      <c r="C16011" s="1" t="str">
        <f>HYPERLINK("http://www.genecards.org/cgi-bin/carddisp.pl?gene=CUBN","GeneCards")</f>
        <v>GeneCards</v>
      </c>
      <c r="D16011" s="1" t="str">
        <f>HYPERLINK("http://genome-euro.ucsc.edu/cgi-bin/hgTracks?position=206775_at","UCSC")</f>
        <v>UCSC</v>
      </c>
      <c r="E16011" s="1" t="str">
        <f>HYPERLINK("http://www.ncbi.nlm.nih.gov/gene/?term=CUBN","NCBI")</f>
        <v>NCBI</v>
      </c>
      <c r="F16011">
        <v>0.79</v>
      </c>
      <c r="G16011">
        <v>0.84</v>
      </c>
      <c r="H16011" s="1" t="str">
        <f>HYPERLINK("http://www.weizmann.ac.il/complex/compphys/software/geview/data/figures/206775_at.png","Figure")</f>
        <v>Figure</v>
      </c>
      <c r="I16011">
        <v>1</v>
      </c>
      <c r="J16011">
        <v>0.99</v>
      </c>
      <c r="K16011">
        <v>1.01</v>
      </c>
      <c r="L16011">
        <v>0.8</v>
      </c>
      <c r="M16011">
        <v>1.01</v>
      </c>
      <c r="N16011">
        <v>0.88</v>
      </c>
    </row>
    <row r="16012" spans="1:14" x14ac:dyDescent="0.25">
      <c r="A16012" t="s">
        <v>26900</v>
      </c>
      <c r="B16012" t="s">
        <v>25203</v>
      </c>
      <c r="C16012" s="1" t="str">
        <f>HYPERLINK("http://www.genecards.org/cgi-bin/carddisp.pl?gene=EEF1G /// TUT1","GeneCards")</f>
        <v>GeneCards</v>
      </c>
      <c r="D16012" s="1" t="str">
        <f>HYPERLINK("http://genome-euro.ucsc.edu/cgi-bin/hgTracks?position=211927_x_at","UCSC")</f>
        <v>UCSC</v>
      </c>
      <c r="E16012" s="1" t="str">
        <f>HYPERLINK("http://www.ncbi.nlm.nih.gov/gene/?term=EEF1G /// TUT1","NCBI")</f>
        <v>NCBI</v>
      </c>
      <c r="F16012">
        <v>0.79</v>
      </c>
      <c r="G16012">
        <v>0.84</v>
      </c>
      <c r="H16012" s="1" t="str">
        <f>HYPERLINK("http://www.weizmann.ac.il/complex/compphys/software/geview/data/figures/211927_x_at.png","Figure")</f>
        <v>Figure</v>
      </c>
      <c r="I16012">
        <v>0.94599999999999995</v>
      </c>
      <c r="J16012">
        <v>0.9</v>
      </c>
      <c r="K16012">
        <v>0.92800000000000005</v>
      </c>
      <c r="L16012">
        <v>0.78</v>
      </c>
      <c r="M16012">
        <v>0.98</v>
      </c>
      <c r="N16012">
        <v>0.98</v>
      </c>
    </row>
    <row r="16013" spans="1:14" x14ac:dyDescent="0.25">
      <c r="A16013" t="s">
        <v>26901</v>
      </c>
      <c r="B16013" t="s">
        <v>26902</v>
      </c>
      <c r="C16013" s="1" t="str">
        <f>HYPERLINK("http://www.genecards.org/cgi-bin/carddisp.pl?gene=NAT2","GeneCards")</f>
        <v>GeneCards</v>
      </c>
      <c r="D16013" s="1" t="str">
        <f>HYPERLINK("http://genome-euro.ucsc.edu/cgi-bin/hgTracks?position=206797_at","UCSC")</f>
        <v>UCSC</v>
      </c>
      <c r="E16013" s="1" t="str">
        <f>HYPERLINK("http://www.ncbi.nlm.nih.gov/gene/?term=NAT2","NCBI")</f>
        <v>NCBI</v>
      </c>
      <c r="F16013">
        <v>0.79</v>
      </c>
      <c r="G16013">
        <v>0.84</v>
      </c>
      <c r="H16013" s="1" t="str">
        <f>HYPERLINK("http://www.weizmann.ac.il/complex/compphys/software/geview/data/figures/206797_at.png","Figure")</f>
        <v>Figure</v>
      </c>
      <c r="I16013">
        <v>1.01</v>
      </c>
      <c r="J16013">
        <v>0.99</v>
      </c>
      <c r="K16013">
        <v>1.05</v>
      </c>
      <c r="L16013">
        <v>0.8</v>
      </c>
      <c r="M16013">
        <v>1.04</v>
      </c>
      <c r="N16013">
        <v>0.88</v>
      </c>
    </row>
    <row r="16014" spans="1:14" x14ac:dyDescent="0.25">
      <c r="A16014" t="s">
        <v>26903</v>
      </c>
      <c r="B16014" t="s">
        <v>21001</v>
      </c>
      <c r="C16014" s="1" t="str">
        <f>HYPERLINK("http://www.genecards.org/cgi-bin/carddisp.pl?gene=APOA1","GeneCards")</f>
        <v>GeneCards</v>
      </c>
      <c r="D16014" s="1" t="str">
        <f>HYPERLINK("http://genome-euro.ucsc.edu/cgi-bin/hgTracks?position=217073_x_at","UCSC")</f>
        <v>UCSC</v>
      </c>
      <c r="E16014" s="1" t="str">
        <f>HYPERLINK("http://www.ncbi.nlm.nih.gov/gene/?term=APOA1","NCBI")</f>
        <v>NCBI</v>
      </c>
      <c r="F16014">
        <v>0.79</v>
      </c>
      <c r="G16014">
        <v>0.84</v>
      </c>
      <c r="H16014" s="1" t="str">
        <f>HYPERLINK("http://www.weizmann.ac.il/complex/compphys/software/geview/data/figures/217073_x_at.png","Figure")</f>
        <v>Figure</v>
      </c>
      <c r="I16014">
        <v>0.96299999999999997</v>
      </c>
      <c r="J16014">
        <v>0.88</v>
      </c>
      <c r="K16014">
        <v>1.01</v>
      </c>
      <c r="L16014">
        <v>0.98</v>
      </c>
      <c r="M16014">
        <v>1.05</v>
      </c>
      <c r="N16014">
        <v>0.78</v>
      </c>
    </row>
    <row r="16015" spans="1:14" x14ac:dyDescent="0.25">
      <c r="A16015" t="s">
        <v>26904</v>
      </c>
      <c r="B16015" t="s">
        <v>26905</v>
      </c>
      <c r="C16015" s="1" t="str">
        <f>HYPERLINK("http://www.genecards.org/cgi-bin/carddisp.pl?gene=NUP85","GeneCards")</f>
        <v>GeneCards</v>
      </c>
      <c r="D16015" s="1" t="str">
        <f>HYPERLINK("http://genome-euro.ucsc.edu/cgi-bin/hgTracks?position=218014_at","UCSC")</f>
        <v>UCSC</v>
      </c>
      <c r="E16015" s="1" t="str">
        <f>HYPERLINK("http://www.ncbi.nlm.nih.gov/gene/?term=NUP85","NCBI")</f>
        <v>NCBI</v>
      </c>
      <c r="F16015">
        <v>0.79</v>
      </c>
      <c r="G16015">
        <v>0.84</v>
      </c>
      <c r="H16015" s="1" t="str">
        <f>HYPERLINK("http://www.weizmann.ac.il/complex/compphys/software/geview/data/figures/218014_at.png","Figure")</f>
        <v>Figure</v>
      </c>
      <c r="I16015">
        <v>0.875</v>
      </c>
      <c r="J16015">
        <v>0.91</v>
      </c>
      <c r="K16015">
        <v>1.07</v>
      </c>
      <c r="L16015">
        <v>0.96</v>
      </c>
      <c r="M16015">
        <v>1.23</v>
      </c>
      <c r="N16015">
        <v>0.77</v>
      </c>
    </row>
    <row r="16016" spans="1:14" x14ac:dyDescent="0.25">
      <c r="A16016" t="s">
        <v>26906</v>
      </c>
      <c r="B16016" t="s">
        <v>26907</v>
      </c>
      <c r="C16016" s="1" t="str">
        <f>HYPERLINK("http://www.genecards.org/cgi-bin/carddisp.pl?gene=DMTF1","GeneCards")</f>
        <v>GeneCards</v>
      </c>
      <c r="D16016" s="1" t="str">
        <f>HYPERLINK("http://genome-euro.ucsc.edu/cgi-bin/hgTracks?position=203301_s_at","UCSC")</f>
        <v>UCSC</v>
      </c>
      <c r="E16016" s="1" t="str">
        <f>HYPERLINK("http://www.ncbi.nlm.nih.gov/gene/?term=DMTF1","NCBI")</f>
        <v>NCBI</v>
      </c>
      <c r="F16016">
        <v>0.79</v>
      </c>
      <c r="G16016">
        <v>0.84</v>
      </c>
      <c r="H16016" s="1" t="str">
        <f>HYPERLINK("http://www.weizmann.ac.il/complex/compphys/software/geview/data/figures/203301_s_at.png","Figure")</f>
        <v>Figure</v>
      </c>
      <c r="I16016">
        <v>0.97599999999999998</v>
      </c>
      <c r="J16016">
        <v>0.99</v>
      </c>
      <c r="K16016">
        <v>0.90600000000000003</v>
      </c>
      <c r="L16016">
        <v>0.8</v>
      </c>
      <c r="M16016">
        <v>0.92800000000000005</v>
      </c>
      <c r="N16016">
        <v>0.89</v>
      </c>
    </row>
    <row r="16017" spans="1:14" x14ac:dyDescent="0.25">
      <c r="A16017" t="s">
        <v>26908</v>
      </c>
      <c r="B16017" t="s">
        <v>26909</v>
      </c>
      <c r="C16017" s="1" t="str">
        <f>HYPERLINK("http://www.genecards.org/cgi-bin/carddisp.pl?gene=POP4","GeneCards")</f>
        <v>GeneCards</v>
      </c>
      <c r="D16017" s="1" t="str">
        <f>HYPERLINK("http://genome-euro.ucsc.edu/cgi-bin/hgTracks?position=202868_s_at","UCSC")</f>
        <v>UCSC</v>
      </c>
      <c r="E16017" s="1" t="str">
        <f>HYPERLINK("http://www.ncbi.nlm.nih.gov/gene/?term=POP4","NCBI")</f>
        <v>NCBI</v>
      </c>
      <c r="F16017">
        <v>0.79</v>
      </c>
      <c r="G16017">
        <v>0.84</v>
      </c>
      <c r="H16017" s="1" t="str">
        <f>HYPERLINK("http://www.weizmann.ac.il/complex/compphys/software/geview/data/figures/202868_s_at.png","Figure")</f>
        <v>Figure</v>
      </c>
      <c r="I16017">
        <v>1.05</v>
      </c>
      <c r="J16017">
        <v>0.97</v>
      </c>
      <c r="K16017">
        <v>1.1299999999999999</v>
      </c>
      <c r="L16017">
        <v>0.78</v>
      </c>
      <c r="M16017">
        <v>1.07</v>
      </c>
      <c r="N16017">
        <v>0.93</v>
      </c>
    </row>
    <row r="16018" spans="1:14" x14ac:dyDescent="0.25">
      <c r="A16018" t="s">
        <v>26910</v>
      </c>
      <c r="B16018" t="s">
        <v>26911</v>
      </c>
      <c r="C16018" s="1" t="str">
        <f>HYPERLINK("http://www.genecards.org/cgi-bin/carddisp.pl?gene=NPHS2","GeneCards")</f>
        <v>GeneCards</v>
      </c>
      <c r="D16018" s="1" t="str">
        <f>HYPERLINK("http://genome-euro.ucsc.edu/cgi-bin/hgTracks?position=220424_at","UCSC")</f>
        <v>UCSC</v>
      </c>
      <c r="E16018" s="1" t="str">
        <f>HYPERLINK("http://www.ncbi.nlm.nih.gov/gene/?term=NPHS2","NCBI")</f>
        <v>NCBI</v>
      </c>
      <c r="F16018">
        <v>0.79</v>
      </c>
      <c r="G16018">
        <v>0.84</v>
      </c>
      <c r="H16018" s="1" t="str">
        <f>HYPERLINK("http://www.weizmann.ac.il/complex/compphys/software/geview/data/figures/220424_at.png","Figure")</f>
        <v>Figure</v>
      </c>
      <c r="I16018">
        <v>1.03</v>
      </c>
      <c r="J16018">
        <v>0.94</v>
      </c>
      <c r="K16018">
        <v>1.05</v>
      </c>
      <c r="L16018">
        <v>0.77</v>
      </c>
      <c r="M16018">
        <v>1.02</v>
      </c>
      <c r="N16018">
        <v>0.96</v>
      </c>
    </row>
    <row r="16019" spans="1:14" x14ac:dyDescent="0.25">
      <c r="A16019" t="s">
        <v>26912</v>
      </c>
      <c r="B16019" t="s">
        <v>26913</v>
      </c>
      <c r="C16019" s="1" t="str">
        <f>HYPERLINK("http://www.genecards.org/cgi-bin/carddisp.pl?gene=LIPT1","GeneCards")</f>
        <v>GeneCards</v>
      </c>
      <c r="D16019" s="1" t="str">
        <f>HYPERLINK("http://genome-euro.ucsc.edu/cgi-bin/hgTracks?position=205571_at","UCSC")</f>
        <v>UCSC</v>
      </c>
      <c r="E16019" s="1" t="str">
        <f>HYPERLINK("http://www.ncbi.nlm.nih.gov/gene/?term=LIPT1","NCBI")</f>
        <v>NCBI</v>
      </c>
      <c r="F16019">
        <v>0.79</v>
      </c>
      <c r="G16019">
        <v>0.84</v>
      </c>
      <c r="H16019" s="1" t="str">
        <f>HYPERLINK("http://www.weizmann.ac.il/complex/compphys/software/geview/data/figures/205571_at.png","Figure")</f>
        <v>Figure</v>
      </c>
      <c r="I16019">
        <v>0.92800000000000005</v>
      </c>
      <c r="J16019">
        <v>0.97</v>
      </c>
      <c r="K16019">
        <v>0.84</v>
      </c>
      <c r="L16019">
        <v>0.78</v>
      </c>
      <c r="M16019">
        <v>0.90500000000000003</v>
      </c>
      <c r="N16019">
        <v>0.93</v>
      </c>
    </row>
    <row r="16020" spans="1:14" x14ac:dyDescent="0.25">
      <c r="A16020" t="s">
        <v>26914</v>
      </c>
      <c r="B16020" t="s">
        <v>26915</v>
      </c>
      <c r="C16020" s="1" t="str">
        <f>HYPERLINK("http://www.genecards.org/cgi-bin/carddisp.pl?gene=COMMD10","GeneCards")</f>
        <v>GeneCards</v>
      </c>
      <c r="D16020" s="1" t="str">
        <f>HYPERLINK("http://genome-euro.ucsc.edu/cgi-bin/hgTracks?position=218439_s_at","UCSC")</f>
        <v>UCSC</v>
      </c>
      <c r="E16020" s="1" t="str">
        <f>HYPERLINK("http://www.ncbi.nlm.nih.gov/gene/?term=COMMD10","NCBI")</f>
        <v>NCBI</v>
      </c>
      <c r="F16020">
        <v>0.79</v>
      </c>
      <c r="G16020">
        <v>0.84</v>
      </c>
      <c r="H16020" s="1" t="str">
        <f>HYPERLINK("http://www.weizmann.ac.il/complex/compphys/software/geview/data/figures/218439_s_at.png","Figure")</f>
        <v>Figure</v>
      </c>
      <c r="I16020">
        <v>0.93600000000000005</v>
      </c>
      <c r="J16020">
        <v>0.92</v>
      </c>
      <c r="K16020">
        <v>1.04</v>
      </c>
      <c r="L16020">
        <v>0.96</v>
      </c>
      <c r="M16020">
        <v>1.1100000000000001</v>
      </c>
      <c r="N16020">
        <v>0.77</v>
      </c>
    </row>
    <row r="16021" spans="1:14" x14ac:dyDescent="0.25">
      <c r="A16021" t="s">
        <v>26916</v>
      </c>
      <c r="B16021" t="s">
        <v>19702</v>
      </c>
      <c r="C16021" s="1" t="str">
        <f>HYPERLINK("http://www.genecards.org/cgi-bin/carddisp.pl?gene=ERAP1","GeneCards")</f>
        <v>GeneCards</v>
      </c>
      <c r="D16021" s="1" t="str">
        <f>HYPERLINK("http://genome-euro.ucsc.edu/cgi-bin/hgTracks?position=209701_at","UCSC")</f>
        <v>UCSC</v>
      </c>
      <c r="E16021" s="1" t="str">
        <f>HYPERLINK("http://www.ncbi.nlm.nih.gov/gene/?term=ERAP1","NCBI")</f>
        <v>NCBI</v>
      </c>
      <c r="F16021">
        <v>0.79</v>
      </c>
      <c r="G16021">
        <v>0.84</v>
      </c>
      <c r="H16021" s="1" t="str">
        <f>HYPERLINK("http://www.weizmann.ac.il/complex/compphys/software/geview/data/figures/209701_at.png","Figure")</f>
        <v>Figure</v>
      </c>
      <c r="I16021">
        <v>0.97699999999999998</v>
      </c>
      <c r="J16021">
        <v>0.97</v>
      </c>
      <c r="K16021">
        <v>1.04</v>
      </c>
      <c r="L16021">
        <v>0.9</v>
      </c>
      <c r="M16021">
        <v>1.06</v>
      </c>
      <c r="N16021">
        <v>0.79</v>
      </c>
    </row>
    <row r="16022" spans="1:14" x14ac:dyDescent="0.25">
      <c r="A16022" t="s">
        <v>26917</v>
      </c>
      <c r="B16022" t="s">
        <v>23462</v>
      </c>
      <c r="C16022" s="1" t="str">
        <f>HYPERLINK("http://www.genecards.org/cgi-bin/carddisp.pl?gene=PDLIM5","GeneCards")</f>
        <v>GeneCards</v>
      </c>
      <c r="D16022" s="1" t="str">
        <f>HYPERLINK("http://genome-euro.ucsc.edu/cgi-bin/hgTracks?position=216804_s_at","UCSC")</f>
        <v>UCSC</v>
      </c>
      <c r="E16022" s="1" t="str">
        <f>HYPERLINK("http://www.ncbi.nlm.nih.gov/gene/?term=PDLIM5","NCBI")</f>
        <v>NCBI</v>
      </c>
      <c r="F16022">
        <v>0.79</v>
      </c>
      <c r="G16022">
        <v>0.84</v>
      </c>
      <c r="H16022" s="1" t="str">
        <f>HYPERLINK("http://www.weizmann.ac.il/complex/compphys/software/geview/data/figures/216804_s_at.png","Figure")</f>
        <v>Figure</v>
      </c>
      <c r="I16022">
        <v>1.02</v>
      </c>
      <c r="J16022">
        <v>0.85</v>
      </c>
      <c r="K16022">
        <v>0.997</v>
      </c>
      <c r="L16022">
        <v>1</v>
      </c>
      <c r="M16022">
        <v>0.97399999999999998</v>
      </c>
      <c r="N16022">
        <v>0.79</v>
      </c>
    </row>
    <row r="16023" spans="1:14" x14ac:dyDescent="0.25">
      <c r="A16023" t="s">
        <v>26918</v>
      </c>
      <c r="B16023" t="s">
        <v>5398</v>
      </c>
      <c r="C16023" s="1" t="str">
        <f>HYPERLINK("http://www.genecards.org/cgi-bin/carddisp.pl?gene=TP63","GeneCards")</f>
        <v>GeneCards</v>
      </c>
      <c r="D16023" s="1" t="str">
        <f>HYPERLINK("http://genome-euro.ucsc.edu/cgi-bin/hgTracks?position=207382_at","UCSC")</f>
        <v>UCSC</v>
      </c>
      <c r="E16023" s="1" t="str">
        <f>HYPERLINK("http://www.ncbi.nlm.nih.gov/gene/?term=TP63","NCBI")</f>
        <v>NCBI</v>
      </c>
      <c r="F16023">
        <v>0.79</v>
      </c>
      <c r="G16023">
        <v>0.84</v>
      </c>
      <c r="H16023" s="1" t="str">
        <f>HYPERLINK("http://www.weizmann.ac.il/complex/compphys/software/geview/data/figures/207382_at.png","Figure")</f>
        <v>Figure</v>
      </c>
      <c r="I16023">
        <v>1.03</v>
      </c>
      <c r="J16023">
        <v>0.89</v>
      </c>
      <c r="K16023">
        <v>1.04</v>
      </c>
      <c r="L16023">
        <v>0.78</v>
      </c>
      <c r="M16023">
        <v>1.01</v>
      </c>
      <c r="N16023">
        <v>0.99</v>
      </c>
    </row>
    <row r="16024" spans="1:14" x14ac:dyDescent="0.25">
      <c r="A16024" t="s">
        <v>26919</v>
      </c>
      <c r="B16024" t="s">
        <v>15399</v>
      </c>
      <c r="C16024" s="1" t="str">
        <f>HYPERLINK("http://www.genecards.org/cgi-bin/carddisp.pl?gene=ZFR","GeneCards")</f>
        <v>GeneCards</v>
      </c>
      <c r="D16024" s="1" t="str">
        <f>HYPERLINK("http://genome-euro.ucsc.edu/cgi-bin/hgTracks?position=201856_s_at","UCSC")</f>
        <v>UCSC</v>
      </c>
      <c r="E16024" s="1" t="str">
        <f>HYPERLINK("http://www.ncbi.nlm.nih.gov/gene/?term=ZFR","NCBI")</f>
        <v>NCBI</v>
      </c>
      <c r="F16024">
        <v>0.79</v>
      </c>
      <c r="G16024">
        <v>0.84</v>
      </c>
      <c r="H16024" s="1" t="str">
        <f>HYPERLINK("http://www.weizmann.ac.il/complex/compphys/software/geview/data/figures/201856_s_at.png","Figure")</f>
        <v>Figure</v>
      </c>
      <c r="I16024">
        <v>1.08</v>
      </c>
      <c r="J16024">
        <v>0.91</v>
      </c>
      <c r="K16024">
        <v>0.96</v>
      </c>
      <c r="L16024">
        <v>0.96</v>
      </c>
      <c r="M16024">
        <v>0.89100000000000001</v>
      </c>
      <c r="N16024">
        <v>0.78</v>
      </c>
    </row>
    <row r="16025" spans="1:14" x14ac:dyDescent="0.25">
      <c r="A16025" t="s">
        <v>26920</v>
      </c>
      <c r="B16025" t="s">
        <v>9197</v>
      </c>
      <c r="C16025" s="1" t="str">
        <f>HYPERLINK("http://www.genecards.org/cgi-bin/carddisp.pl?gene=POLG","GeneCards")</f>
        <v>GeneCards</v>
      </c>
      <c r="D16025" s="1" t="str">
        <f>HYPERLINK("http://genome-euro.ucsc.edu/cgi-bin/hgTracks?position=203366_at","UCSC")</f>
        <v>UCSC</v>
      </c>
      <c r="E16025" s="1" t="str">
        <f>HYPERLINK("http://www.ncbi.nlm.nih.gov/gene/?term=POLG","NCBI")</f>
        <v>NCBI</v>
      </c>
      <c r="F16025">
        <v>0.79</v>
      </c>
      <c r="G16025">
        <v>0.84</v>
      </c>
      <c r="H16025" s="1" t="str">
        <f>HYPERLINK("http://www.weizmann.ac.il/complex/compphys/software/geview/data/figures/203366_at.png","Figure")</f>
        <v>Figure</v>
      </c>
      <c r="I16025">
        <v>1.05</v>
      </c>
      <c r="J16025">
        <v>0.89</v>
      </c>
      <c r="K16025">
        <v>0.97899999999999998</v>
      </c>
      <c r="L16025">
        <v>0.98</v>
      </c>
      <c r="M16025">
        <v>0.93</v>
      </c>
      <c r="N16025">
        <v>0.78</v>
      </c>
    </row>
    <row r="16026" spans="1:14" x14ac:dyDescent="0.25">
      <c r="A16026" t="s">
        <v>26921</v>
      </c>
      <c r="B16026" t="s">
        <v>22472</v>
      </c>
      <c r="C16026" s="1" t="str">
        <f>HYPERLINK("http://www.genecards.org/cgi-bin/carddisp.pl?gene=ZKSCAN5","GeneCards")</f>
        <v>GeneCards</v>
      </c>
      <c r="D16026" s="1" t="str">
        <f>HYPERLINK("http://genome-euro.ucsc.edu/cgi-bin/hgTracks?position=203731_s_at","UCSC")</f>
        <v>UCSC</v>
      </c>
      <c r="E16026" s="1" t="str">
        <f>HYPERLINK("http://www.ncbi.nlm.nih.gov/gene/?term=ZKSCAN5","NCBI")</f>
        <v>NCBI</v>
      </c>
      <c r="F16026">
        <v>0.79</v>
      </c>
      <c r="G16026">
        <v>0.84</v>
      </c>
      <c r="H16026" s="1" t="str">
        <f>HYPERLINK("http://www.weizmann.ac.il/complex/compphys/software/geview/data/figures/203731_s_at.png","Figure")</f>
        <v>Figure</v>
      </c>
      <c r="I16026">
        <v>0.95399999999999996</v>
      </c>
      <c r="J16026">
        <v>0.82</v>
      </c>
      <c r="K16026">
        <v>0.96</v>
      </c>
      <c r="L16026">
        <v>0.83</v>
      </c>
      <c r="M16026">
        <v>1.01</v>
      </c>
      <c r="N16026">
        <v>1</v>
      </c>
    </row>
    <row r="16027" spans="1:14" x14ac:dyDescent="0.25">
      <c r="A16027" t="s">
        <v>26922</v>
      </c>
      <c r="B16027" t="s">
        <v>26923</v>
      </c>
      <c r="C16027" s="1" t="str">
        <f>HYPERLINK("http://www.genecards.org/cgi-bin/carddisp.pl?gene=CCR4","GeneCards")</f>
        <v>GeneCards</v>
      </c>
      <c r="D16027" s="1" t="str">
        <f>HYPERLINK("http://genome-euro.ucsc.edu/cgi-bin/hgTracks?position=208376_at","UCSC")</f>
        <v>UCSC</v>
      </c>
      <c r="E16027" s="1" t="str">
        <f>HYPERLINK("http://www.ncbi.nlm.nih.gov/gene/?term=CCR4","NCBI")</f>
        <v>NCBI</v>
      </c>
      <c r="F16027">
        <v>0.79</v>
      </c>
      <c r="G16027">
        <v>0.84</v>
      </c>
      <c r="H16027" s="1" t="str">
        <f>HYPERLINK("http://www.weizmann.ac.il/complex/compphys/software/geview/data/figures/208376_at.png","Figure")</f>
        <v>Figure</v>
      </c>
      <c r="I16027">
        <v>1.07</v>
      </c>
      <c r="J16027">
        <v>0.82</v>
      </c>
      <c r="K16027">
        <v>1.01</v>
      </c>
      <c r="L16027">
        <v>1</v>
      </c>
      <c r="M16027">
        <v>0.93700000000000006</v>
      </c>
      <c r="N16027">
        <v>0.82</v>
      </c>
    </row>
    <row r="16028" spans="1:14" x14ac:dyDescent="0.25">
      <c r="A16028" t="s">
        <v>26924</v>
      </c>
      <c r="B16028" t="s">
        <v>9157</v>
      </c>
      <c r="C16028" s="1" t="str">
        <f>HYPERLINK("http://www.genecards.org/cgi-bin/carddisp.pl?gene=GRIN1","GeneCards")</f>
        <v>GeneCards</v>
      </c>
      <c r="D16028" s="1" t="str">
        <f>HYPERLINK("http://genome-euro.ucsc.edu/cgi-bin/hgTracks?position=210781_x_at","UCSC")</f>
        <v>UCSC</v>
      </c>
      <c r="E16028" s="1" t="str">
        <f>HYPERLINK("http://www.ncbi.nlm.nih.gov/gene/?term=GRIN1","NCBI")</f>
        <v>NCBI</v>
      </c>
      <c r="F16028">
        <v>0.79</v>
      </c>
      <c r="G16028">
        <v>0.84</v>
      </c>
      <c r="H16028" s="1" t="str">
        <f>HYPERLINK("http://www.weizmann.ac.il/complex/compphys/software/geview/data/figures/210781_x_at.png","Figure")</f>
        <v>Figure</v>
      </c>
      <c r="I16028">
        <v>1.06</v>
      </c>
      <c r="J16028">
        <v>0.78</v>
      </c>
      <c r="K16028">
        <v>1.02</v>
      </c>
      <c r="L16028">
        <v>0.95</v>
      </c>
      <c r="M16028">
        <v>0.96299999999999997</v>
      </c>
      <c r="N16028">
        <v>0.9</v>
      </c>
    </row>
    <row r="16029" spans="1:14" x14ac:dyDescent="0.25">
      <c r="A16029" t="s">
        <v>26925</v>
      </c>
      <c r="B16029" t="s">
        <v>26926</v>
      </c>
      <c r="C16029" s="1" t="str">
        <f>HYPERLINK("http://www.genecards.org/cgi-bin/carddisp.pl?gene=PARN","GeneCards")</f>
        <v>GeneCards</v>
      </c>
      <c r="D16029" s="1" t="str">
        <f>HYPERLINK("http://genome-euro.ucsc.edu/cgi-bin/hgTracks?position=203905_at","UCSC")</f>
        <v>UCSC</v>
      </c>
      <c r="E16029" s="1" t="str">
        <f>HYPERLINK("http://www.ncbi.nlm.nih.gov/gene/?term=PARN","NCBI")</f>
        <v>NCBI</v>
      </c>
      <c r="F16029">
        <v>0.8</v>
      </c>
      <c r="G16029">
        <v>0.84</v>
      </c>
      <c r="H16029" s="1" t="str">
        <f>HYPERLINK("http://www.weizmann.ac.il/complex/compphys/software/geview/data/figures/203905_at.png","Figure")</f>
        <v>Figure</v>
      </c>
      <c r="I16029">
        <v>0.95099999999999996</v>
      </c>
      <c r="J16029">
        <v>0.95</v>
      </c>
      <c r="K16029">
        <v>1.05</v>
      </c>
      <c r="L16029">
        <v>0.93</v>
      </c>
      <c r="M16029">
        <v>1.1100000000000001</v>
      </c>
      <c r="N16029">
        <v>0.78</v>
      </c>
    </row>
    <row r="16030" spans="1:14" x14ac:dyDescent="0.25">
      <c r="A16030" t="s">
        <v>26927</v>
      </c>
      <c r="B16030" t="s">
        <v>26928</v>
      </c>
      <c r="C16030" s="1" t="str">
        <f>HYPERLINK("http://www.genecards.org/cgi-bin/carddisp.pl?gene=ASNS","GeneCards")</f>
        <v>GeneCards</v>
      </c>
      <c r="D16030" s="1" t="str">
        <f>HYPERLINK("http://genome-euro.ucsc.edu/cgi-bin/hgTracks?position=205047_s_at","UCSC")</f>
        <v>UCSC</v>
      </c>
      <c r="E16030" s="1" t="str">
        <f>HYPERLINK("http://www.ncbi.nlm.nih.gov/gene/?term=ASNS","NCBI")</f>
        <v>NCBI</v>
      </c>
      <c r="F16030">
        <v>0.8</v>
      </c>
      <c r="G16030">
        <v>0.84</v>
      </c>
      <c r="H16030" s="1" t="str">
        <f>HYPERLINK("http://www.weizmann.ac.il/complex/compphys/software/geview/data/figures/205047_s_at.png","Figure")</f>
        <v>Figure</v>
      </c>
      <c r="I16030">
        <v>1.07</v>
      </c>
      <c r="J16030">
        <v>0.97</v>
      </c>
      <c r="K16030">
        <v>1.19</v>
      </c>
      <c r="L16030">
        <v>0.78</v>
      </c>
      <c r="M16030">
        <v>1.1100000000000001</v>
      </c>
      <c r="N16030">
        <v>0.93</v>
      </c>
    </row>
    <row r="16031" spans="1:14" x14ac:dyDescent="0.25">
      <c r="A16031" t="s">
        <v>26929</v>
      </c>
      <c r="B16031" t="s">
        <v>26930</v>
      </c>
      <c r="C16031" s="1" t="str">
        <f>HYPERLINK("http://www.genecards.org/cgi-bin/carddisp.pl?gene=ESF1","GeneCards")</f>
        <v>GeneCards</v>
      </c>
      <c r="D16031" s="1" t="str">
        <f>HYPERLINK("http://genome-euro.ucsc.edu/cgi-bin/hgTracks?position=218859_s_at","UCSC")</f>
        <v>UCSC</v>
      </c>
      <c r="E16031" s="1" t="str">
        <f>HYPERLINK("http://www.ncbi.nlm.nih.gov/gene/?term=ESF1","NCBI")</f>
        <v>NCBI</v>
      </c>
      <c r="F16031">
        <v>0.8</v>
      </c>
      <c r="G16031">
        <v>0.84</v>
      </c>
      <c r="H16031" s="1" t="str">
        <f>HYPERLINK("http://www.weizmann.ac.il/complex/compphys/software/geview/data/figures/218859_s_at.png","Figure")</f>
        <v>Figure</v>
      </c>
      <c r="I16031">
        <v>0.90300000000000002</v>
      </c>
      <c r="J16031">
        <v>0.88</v>
      </c>
      <c r="K16031">
        <v>0.88400000000000001</v>
      </c>
      <c r="L16031">
        <v>0.79</v>
      </c>
      <c r="M16031">
        <v>0.97899999999999998</v>
      </c>
      <c r="N16031">
        <v>0.99</v>
      </c>
    </row>
    <row r="16032" spans="1:14" x14ac:dyDescent="0.25">
      <c r="A16032" t="s">
        <v>26931</v>
      </c>
      <c r="B16032" t="s">
        <v>16064</v>
      </c>
      <c r="C16032" s="1" t="str">
        <f>HYPERLINK("http://www.genecards.org/cgi-bin/carddisp.pl?gene=FAM134B","GeneCards")</f>
        <v>GeneCards</v>
      </c>
      <c r="D16032" s="1" t="str">
        <f>HYPERLINK("http://genome-euro.ucsc.edu/cgi-bin/hgTracks?position=218510_x_at","UCSC")</f>
        <v>UCSC</v>
      </c>
      <c r="E16032" s="1" t="str">
        <f>HYPERLINK("http://www.ncbi.nlm.nih.gov/gene/?term=FAM134B","NCBI")</f>
        <v>NCBI</v>
      </c>
      <c r="F16032">
        <v>0.8</v>
      </c>
      <c r="G16032">
        <v>0.84</v>
      </c>
      <c r="H16032" s="1" t="str">
        <f>HYPERLINK("http://www.weizmann.ac.il/complex/compphys/software/geview/data/figures/218510_x_at.png","Figure")</f>
        <v>Figure</v>
      </c>
      <c r="I16032">
        <v>0.91600000000000004</v>
      </c>
      <c r="J16032">
        <v>0.92</v>
      </c>
      <c r="K16032">
        <v>0.876</v>
      </c>
      <c r="L16032">
        <v>0.78</v>
      </c>
      <c r="M16032">
        <v>0.95499999999999996</v>
      </c>
      <c r="N16032">
        <v>0.97</v>
      </c>
    </row>
    <row r="16033" spans="1:14" x14ac:dyDescent="0.25">
      <c r="A16033" t="s">
        <v>26932</v>
      </c>
      <c r="B16033" t="s">
        <v>12149</v>
      </c>
      <c r="C16033" s="1" t="str">
        <f>HYPERLINK("http://www.genecards.org/cgi-bin/carddisp.pl?gene=TCF4","GeneCards")</f>
        <v>GeneCards</v>
      </c>
      <c r="D16033" s="1" t="str">
        <f>HYPERLINK("http://genome-euro.ucsc.edu/cgi-bin/hgTracks?position=222146_s_at","UCSC")</f>
        <v>UCSC</v>
      </c>
      <c r="E16033" s="1" t="str">
        <f>HYPERLINK("http://www.ncbi.nlm.nih.gov/gene/?term=TCF4","NCBI")</f>
        <v>NCBI</v>
      </c>
      <c r="F16033">
        <v>0.8</v>
      </c>
      <c r="G16033">
        <v>0.84</v>
      </c>
      <c r="H16033" s="1" t="str">
        <f>HYPERLINK("http://www.weizmann.ac.il/complex/compphys/software/geview/data/figures/222146_s_at.png","Figure")</f>
        <v>Figure</v>
      </c>
      <c r="I16033">
        <v>1.1100000000000001</v>
      </c>
      <c r="J16033">
        <v>0.83</v>
      </c>
      <c r="K16033">
        <v>1.0900000000000001</v>
      </c>
      <c r="L16033">
        <v>0.83</v>
      </c>
      <c r="M16033">
        <v>0.98699999999999999</v>
      </c>
      <c r="N16033">
        <v>1</v>
      </c>
    </row>
    <row r="16034" spans="1:14" x14ac:dyDescent="0.25">
      <c r="A16034" t="s">
        <v>26933</v>
      </c>
      <c r="B16034" t="s">
        <v>5903</v>
      </c>
      <c r="C16034" s="1" t="str">
        <f>HYPERLINK("http://www.genecards.org/cgi-bin/carddisp.pl?gene=IVD","GeneCards")</f>
        <v>GeneCards</v>
      </c>
      <c r="D16034" s="1" t="str">
        <f>HYPERLINK("http://genome-euro.ucsc.edu/cgi-bin/hgTracks?position=203681_at","UCSC")</f>
        <v>UCSC</v>
      </c>
      <c r="E16034" s="1" t="str">
        <f>HYPERLINK("http://www.ncbi.nlm.nih.gov/gene/?term=IVD","NCBI")</f>
        <v>NCBI</v>
      </c>
      <c r="F16034">
        <v>0.8</v>
      </c>
      <c r="G16034">
        <v>0.85</v>
      </c>
      <c r="H16034" s="1" t="str">
        <f>HYPERLINK("http://www.weizmann.ac.il/complex/compphys/software/geview/data/figures/203681_at.png","Figure")</f>
        <v>Figure</v>
      </c>
      <c r="I16034">
        <v>1.01</v>
      </c>
      <c r="J16034">
        <v>0.95</v>
      </c>
      <c r="K16034">
        <v>0.98899999999999999</v>
      </c>
      <c r="L16034">
        <v>0.93</v>
      </c>
      <c r="M16034">
        <v>0.97699999999999998</v>
      </c>
      <c r="N16034">
        <v>0.78</v>
      </c>
    </row>
    <row r="16035" spans="1:14" x14ac:dyDescent="0.25">
      <c r="A16035" t="s">
        <v>26934</v>
      </c>
      <c r="B16035" t="s">
        <v>26935</v>
      </c>
      <c r="C16035" s="1" t="str">
        <f>HYPERLINK("http://www.genecards.org/cgi-bin/carddisp.pl?gene=NPPB","GeneCards")</f>
        <v>GeneCards</v>
      </c>
      <c r="D16035" s="1" t="str">
        <f>HYPERLINK("http://genome-euro.ucsc.edu/cgi-bin/hgTracks?position=206801_at","UCSC")</f>
        <v>UCSC</v>
      </c>
      <c r="E16035" s="1" t="str">
        <f>HYPERLINK("http://www.ncbi.nlm.nih.gov/gene/?term=NPPB","NCBI")</f>
        <v>NCBI</v>
      </c>
      <c r="F16035">
        <v>0.8</v>
      </c>
      <c r="G16035">
        <v>0.85</v>
      </c>
      <c r="H16035" s="1" t="str">
        <f>HYPERLINK("http://www.weizmann.ac.il/complex/compphys/software/geview/data/figures/206801_at.png","Figure")</f>
        <v>Figure</v>
      </c>
      <c r="I16035">
        <v>1.02</v>
      </c>
      <c r="J16035">
        <v>0.97</v>
      </c>
      <c r="K16035">
        <v>0.97699999999999998</v>
      </c>
      <c r="L16035">
        <v>0.91</v>
      </c>
      <c r="M16035">
        <v>0.96199999999999997</v>
      </c>
      <c r="N16035">
        <v>0.79</v>
      </c>
    </row>
    <row r="16036" spans="1:14" x14ac:dyDescent="0.25">
      <c r="A16036" t="s">
        <v>26936</v>
      </c>
      <c r="B16036" t="s">
        <v>26937</v>
      </c>
      <c r="C16036" s="1" t="str">
        <f>HYPERLINK("http://www.genecards.org/cgi-bin/carddisp.pl?gene=HIST1H1C","GeneCards")</f>
        <v>GeneCards</v>
      </c>
      <c r="D16036" s="1" t="str">
        <f>HYPERLINK("http://genome-euro.ucsc.edu/cgi-bin/hgTracks?position=209398_at","UCSC")</f>
        <v>UCSC</v>
      </c>
      <c r="E16036" s="1" t="str">
        <f>HYPERLINK("http://www.ncbi.nlm.nih.gov/gene/?term=HIST1H1C","NCBI")</f>
        <v>NCBI</v>
      </c>
      <c r="F16036">
        <v>0.8</v>
      </c>
      <c r="G16036">
        <v>0.85</v>
      </c>
      <c r="H16036" s="1" t="str">
        <f>HYPERLINK("http://www.weizmann.ac.il/complex/compphys/software/geview/data/figures/209398_at.png","Figure")</f>
        <v>Figure</v>
      </c>
      <c r="I16036">
        <v>1.03</v>
      </c>
      <c r="J16036">
        <v>1</v>
      </c>
      <c r="K16036">
        <v>0.84699999999999998</v>
      </c>
      <c r="L16036">
        <v>0.85</v>
      </c>
      <c r="M16036">
        <v>0.82599999999999996</v>
      </c>
      <c r="N16036">
        <v>0.83</v>
      </c>
    </row>
    <row r="16037" spans="1:14" x14ac:dyDescent="0.25">
      <c r="A16037" t="s">
        <v>26938</v>
      </c>
      <c r="B16037" t="s">
        <v>9071</v>
      </c>
      <c r="C16037" s="1" t="str">
        <f>HYPERLINK("http://www.genecards.org/cgi-bin/carddisp.pl?gene=YWHAQ","GeneCards")</f>
        <v>GeneCards</v>
      </c>
      <c r="D16037" s="1" t="str">
        <f>HYPERLINK("http://genome-euro.ucsc.edu/cgi-bin/hgTracks?position=212426_s_at","UCSC")</f>
        <v>UCSC</v>
      </c>
      <c r="E16037" s="1" t="str">
        <f>HYPERLINK("http://www.ncbi.nlm.nih.gov/gene/?term=YWHAQ","NCBI")</f>
        <v>NCBI</v>
      </c>
      <c r="F16037">
        <v>0.8</v>
      </c>
      <c r="G16037">
        <v>0.85</v>
      </c>
      <c r="H16037" s="1" t="str">
        <f>HYPERLINK("http://www.weizmann.ac.il/complex/compphys/software/geview/data/figures/212426_s_at.png","Figure")</f>
        <v>Figure</v>
      </c>
      <c r="I16037">
        <v>1.01</v>
      </c>
      <c r="J16037">
        <v>1</v>
      </c>
      <c r="K16037">
        <v>1.1000000000000001</v>
      </c>
      <c r="L16037">
        <v>0.82</v>
      </c>
      <c r="M16037">
        <v>1.0900000000000001</v>
      </c>
      <c r="N16037">
        <v>0.86</v>
      </c>
    </row>
    <row r="16038" spans="1:14" x14ac:dyDescent="0.25">
      <c r="A16038" t="s">
        <v>26939</v>
      </c>
      <c r="B16038" t="s">
        <v>26940</v>
      </c>
      <c r="C16038" s="1" t="str">
        <f>HYPERLINK("http://www.genecards.org/cgi-bin/carddisp.pl?gene=FAM136A","GeneCards")</f>
        <v>GeneCards</v>
      </c>
      <c r="D16038" s="1" t="str">
        <f>HYPERLINK("http://genome-euro.ucsc.edu/cgi-bin/hgTracks?position=215947_s_at","UCSC")</f>
        <v>UCSC</v>
      </c>
      <c r="E16038" s="1" t="str">
        <f>HYPERLINK("http://www.ncbi.nlm.nih.gov/gene/?term=FAM136A","NCBI")</f>
        <v>NCBI</v>
      </c>
      <c r="F16038">
        <v>0.8</v>
      </c>
      <c r="G16038">
        <v>0.85</v>
      </c>
      <c r="H16038" s="1" t="str">
        <f>HYPERLINK("http://www.weizmann.ac.il/complex/compphys/software/geview/data/figures/215947_s_at.png","Figure")</f>
        <v>Figure</v>
      </c>
      <c r="I16038">
        <v>1.08</v>
      </c>
      <c r="J16038">
        <v>0.78</v>
      </c>
      <c r="K16038">
        <v>1.04</v>
      </c>
      <c r="L16038">
        <v>0.91</v>
      </c>
      <c r="M16038">
        <v>0.96299999999999997</v>
      </c>
      <c r="N16038">
        <v>0.94</v>
      </c>
    </row>
    <row r="16039" spans="1:14" x14ac:dyDescent="0.25">
      <c r="A16039" t="s">
        <v>26941</v>
      </c>
      <c r="B16039" t="s">
        <v>26942</v>
      </c>
      <c r="C16039" s="1" t="str">
        <f>HYPERLINK("http://www.genecards.org/cgi-bin/carddisp.pl?gene=PTPN3","GeneCards")</f>
        <v>GeneCards</v>
      </c>
      <c r="D16039" s="1" t="str">
        <f>HYPERLINK("http://genome-euro.ucsc.edu/cgi-bin/hgTracks?position=203997_at","UCSC")</f>
        <v>UCSC</v>
      </c>
      <c r="E16039" s="1" t="str">
        <f>HYPERLINK("http://www.ncbi.nlm.nih.gov/gene/?term=PTPN3","NCBI")</f>
        <v>NCBI</v>
      </c>
      <c r="F16039">
        <v>0.8</v>
      </c>
      <c r="G16039">
        <v>0.85</v>
      </c>
      <c r="H16039" s="1" t="str">
        <f>HYPERLINK("http://www.weizmann.ac.il/complex/compphys/software/geview/data/figures/203997_at.png","Figure")</f>
        <v>Figure</v>
      </c>
      <c r="I16039">
        <v>0.96699999999999997</v>
      </c>
      <c r="J16039">
        <v>0.93</v>
      </c>
      <c r="K16039">
        <v>0.94499999999999995</v>
      </c>
      <c r="L16039">
        <v>0.78</v>
      </c>
      <c r="M16039">
        <v>0.97699999999999998</v>
      </c>
      <c r="N16039">
        <v>0.96</v>
      </c>
    </row>
    <row r="16040" spans="1:14" x14ac:dyDescent="0.25">
      <c r="A16040" t="s">
        <v>26943</v>
      </c>
      <c r="B16040" t="s">
        <v>12532</v>
      </c>
      <c r="C16040" s="1" t="str">
        <f>HYPERLINK("http://www.genecards.org/cgi-bin/carddisp.pl?gene=HFE","GeneCards")</f>
        <v>GeneCards</v>
      </c>
      <c r="D16040" s="1" t="str">
        <f>HYPERLINK("http://genome-euro.ucsc.edu/cgi-bin/hgTracks?position=206087_x_at","UCSC")</f>
        <v>UCSC</v>
      </c>
      <c r="E16040" s="1" t="str">
        <f>HYPERLINK("http://www.ncbi.nlm.nih.gov/gene/?term=HFE","NCBI")</f>
        <v>NCBI</v>
      </c>
      <c r="F16040">
        <v>0.8</v>
      </c>
      <c r="G16040">
        <v>0.85</v>
      </c>
      <c r="H16040" s="1" t="str">
        <f>HYPERLINK("http://www.weizmann.ac.il/complex/compphys/software/geview/data/figures/206087_x_at.png","Figure")</f>
        <v>Figure</v>
      </c>
      <c r="I16040">
        <v>1.04</v>
      </c>
      <c r="J16040">
        <v>0.84</v>
      </c>
      <c r="K16040">
        <v>1.04</v>
      </c>
      <c r="L16040">
        <v>0.81</v>
      </c>
      <c r="M16040">
        <v>0.999</v>
      </c>
      <c r="N16040">
        <v>1</v>
      </c>
    </row>
    <row r="16041" spans="1:14" x14ac:dyDescent="0.25">
      <c r="A16041" t="s">
        <v>26944</v>
      </c>
      <c r="B16041" t="s">
        <v>26945</v>
      </c>
      <c r="C16041" s="1" t="str">
        <f>HYPERLINK("http://www.genecards.org/cgi-bin/carddisp.pl?gene=CD63","GeneCards")</f>
        <v>GeneCards</v>
      </c>
      <c r="D16041" s="1" t="str">
        <f>HYPERLINK("http://genome-euro.ucsc.edu/cgi-bin/hgTracks?position=200663_at","UCSC")</f>
        <v>UCSC</v>
      </c>
      <c r="E16041" s="1" t="str">
        <f>HYPERLINK("http://www.ncbi.nlm.nih.gov/gene/?term=CD63","NCBI")</f>
        <v>NCBI</v>
      </c>
      <c r="F16041">
        <v>0.8</v>
      </c>
      <c r="G16041">
        <v>0.85</v>
      </c>
      <c r="H16041" s="1" t="str">
        <f>HYPERLINK("http://www.weizmann.ac.il/complex/compphys/software/geview/data/figures/200663_at.png","Figure")</f>
        <v>Figure</v>
      </c>
      <c r="I16041">
        <v>1.01</v>
      </c>
      <c r="J16041">
        <v>1</v>
      </c>
      <c r="K16041">
        <v>0.92500000000000004</v>
      </c>
      <c r="L16041">
        <v>0.85</v>
      </c>
      <c r="M16041">
        <v>0.91300000000000003</v>
      </c>
      <c r="N16041">
        <v>0.83</v>
      </c>
    </row>
    <row r="16042" spans="1:14" x14ac:dyDescent="0.25">
      <c r="A16042" t="s">
        <v>26946</v>
      </c>
      <c r="B16042" t="s">
        <v>26947</v>
      </c>
      <c r="C16042" s="1" t="str">
        <f>HYPERLINK("http://www.genecards.org/cgi-bin/carddisp.pl?gene=NACA","GeneCards")</f>
        <v>GeneCards</v>
      </c>
      <c r="D16042" s="1" t="str">
        <f>HYPERLINK("http://genome-euro.ucsc.edu/cgi-bin/hgTracks?position=200735_x_at","UCSC")</f>
        <v>UCSC</v>
      </c>
      <c r="E16042" s="1" t="str">
        <f>HYPERLINK("http://www.ncbi.nlm.nih.gov/gene/?term=NACA","NCBI")</f>
        <v>NCBI</v>
      </c>
      <c r="F16042">
        <v>0.8</v>
      </c>
      <c r="G16042">
        <v>0.85</v>
      </c>
      <c r="H16042" s="1" t="str">
        <f>HYPERLINK("http://www.weizmann.ac.il/complex/compphys/software/geview/data/figures/200735_x_at.png","Figure")</f>
        <v>Figure</v>
      </c>
      <c r="I16042">
        <v>1.03</v>
      </c>
      <c r="J16042">
        <v>0.99</v>
      </c>
      <c r="K16042">
        <v>1.1000000000000001</v>
      </c>
      <c r="L16042">
        <v>0.8</v>
      </c>
      <c r="M16042">
        <v>1.07</v>
      </c>
      <c r="N16042">
        <v>0.9</v>
      </c>
    </row>
    <row r="16043" spans="1:14" x14ac:dyDescent="0.25">
      <c r="A16043" t="s">
        <v>26948</v>
      </c>
      <c r="B16043" t="s">
        <v>23154</v>
      </c>
      <c r="C16043" s="1" t="str">
        <f>HYPERLINK("http://www.genecards.org/cgi-bin/carddisp.pl?gene=SFRS14","GeneCards")</f>
        <v>GeneCards</v>
      </c>
      <c r="D16043" s="1" t="str">
        <f>HYPERLINK("http://genome-euro.ucsc.edu/cgi-bin/hgTracks?position=64371_at","UCSC")</f>
        <v>UCSC</v>
      </c>
      <c r="E16043" s="1" t="str">
        <f>HYPERLINK("http://www.ncbi.nlm.nih.gov/gene/?term=SFRS14","NCBI")</f>
        <v>NCBI</v>
      </c>
      <c r="F16043">
        <v>0.8</v>
      </c>
      <c r="G16043">
        <v>0.85</v>
      </c>
      <c r="H16043" s="1" t="str">
        <f>HYPERLINK("http://www.weizmann.ac.il/complex/compphys/software/geview/data/figures/64371_at.png","Figure")</f>
        <v>Figure</v>
      </c>
      <c r="I16043">
        <v>0.96899999999999997</v>
      </c>
      <c r="J16043">
        <v>0.96</v>
      </c>
      <c r="K16043">
        <v>1.04</v>
      </c>
      <c r="L16043">
        <v>0.92</v>
      </c>
      <c r="M16043">
        <v>1.08</v>
      </c>
      <c r="N16043">
        <v>0.79</v>
      </c>
    </row>
    <row r="16044" spans="1:14" x14ac:dyDescent="0.25">
      <c r="A16044" t="s">
        <v>26949</v>
      </c>
      <c r="B16044" t="s">
        <v>26950</v>
      </c>
      <c r="C16044" s="1" t="str">
        <f>HYPERLINK("http://www.genecards.org/cgi-bin/carddisp.pl?gene=RPS3","GeneCards")</f>
        <v>GeneCards</v>
      </c>
      <c r="D16044" s="1" t="str">
        <f>HYPERLINK("http://genome-euro.ucsc.edu/cgi-bin/hgTracks?position=208692_at","UCSC")</f>
        <v>UCSC</v>
      </c>
      <c r="E16044" s="1" t="str">
        <f>HYPERLINK("http://www.ncbi.nlm.nih.gov/gene/?term=RPS3","NCBI")</f>
        <v>NCBI</v>
      </c>
      <c r="F16044">
        <v>0.8</v>
      </c>
      <c r="G16044">
        <v>0.85</v>
      </c>
      <c r="H16044" s="1" t="str">
        <f>HYPERLINK("http://www.weizmann.ac.il/complex/compphys/software/geview/data/figures/208692_at.png","Figure")</f>
        <v>Figure</v>
      </c>
      <c r="I16044">
        <v>0.94299999999999995</v>
      </c>
      <c r="J16044">
        <v>0.95</v>
      </c>
      <c r="K16044">
        <v>1.06</v>
      </c>
      <c r="L16044">
        <v>0.93</v>
      </c>
      <c r="M16044">
        <v>1.1200000000000001</v>
      </c>
      <c r="N16044">
        <v>0.79</v>
      </c>
    </row>
    <row r="16045" spans="1:14" x14ac:dyDescent="0.25">
      <c r="A16045" t="s">
        <v>26951</v>
      </c>
      <c r="B16045" t="s">
        <v>26952</v>
      </c>
      <c r="C16045" s="1" t="str">
        <f>HYPERLINK("http://www.genecards.org/cgi-bin/carddisp.pl?gene=TRMT5","GeneCards")</f>
        <v>GeneCards</v>
      </c>
      <c r="D16045" s="1" t="str">
        <f>HYPERLINK("http://genome-euro.ucsc.edu/cgi-bin/hgTracks?position=221952_x_at","UCSC")</f>
        <v>UCSC</v>
      </c>
      <c r="E16045" s="1" t="str">
        <f>HYPERLINK("http://www.ncbi.nlm.nih.gov/gene/?term=TRMT5","NCBI")</f>
        <v>NCBI</v>
      </c>
      <c r="F16045">
        <v>0.8</v>
      </c>
      <c r="G16045">
        <v>0.85</v>
      </c>
      <c r="H16045" s="1" t="str">
        <f>HYPERLINK("http://www.weizmann.ac.il/complex/compphys/software/geview/data/figures/221952_x_at.png","Figure")</f>
        <v>Figure</v>
      </c>
      <c r="I16045">
        <v>1.1000000000000001</v>
      </c>
      <c r="J16045">
        <v>0.85</v>
      </c>
      <c r="K16045">
        <v>0.98799999999999999</v>
      </c>
      <c r="L16045">
        <v>1</v>
      </c>
      <c r="M16045">
        <v>0.89500000000000002</v>
      </c>
      <c r="N16045">
        <v>0.8</v>
      </c>
    </row>
    <row r="16046" spans="1:14" x14ac:dyDescent="0.25">
      <c r="A16046" t="s">
        <v>26953</v>
      </c>
      <c r="B16046" t="s">
        <v>6800</v>
      </c>
      <c r="C16046" s="1" t="str">
        <f>HYPERLINK("http://www.genecards.org/cgi-bin/carddisp.pl?gene=UBR5","GeneCards")</f>
        <v>GeneCards</v>
      </c>
      <c r="D16046" s="1" t="str">
        <f>HYPERLINK("http://genome-euro.ucsc.edu/cgi-bin/hgTracks?position=208882_s_at","UCSC")</f>
        <v>UCSC</v>
      </c>
      <c r="E16046" s="1" t="str">
        <f>HYPERLINK("http://www.ncbi.nlm.nih.gov/gene/?term=UBR5","NCBI")</f>
        <v>NCBI</v>
      </c>
      <c r="F16046">
        <v>0.8</v>
      </c>
      <c r="G16046">
        <v>0.85</v>
      </c>
      <c r="H16046" s="1" t="str">
        <f>HYPERLINK("http://www.weizmann.ac.il/complex/compphys/software/geview/data/figures/208882_s_at.png","Figure")</f>
        <v>Figure</v>
      </c>
      <c r="I16046">
        <v>0.94499999999999995</v>
      </c>
      <c r="J16046">
        <v>0.97</v>
      </c>
      <c r="K16046">
        <v>1.08</v>
      </c>
      <c r="L16046">
        <v>0.91</v>
      </c>
      <c r="M16046">
        <v>1.1499999999999999</v>
      </c>
      <c r="N16046">
        <v>0.79</v>
      </c>
    </row>
    <row r="16047" spans="1:14" x14ac:dyDescent="0.25">
      <c r="A16047" t="s">
        <v>26954</v>
      </c>
      <c r="B16047" t="s">
        <v>26955</v>
      </c>
      <c r="C16047" s="1" t="str">
        <f>HYPERLINK("http://www.genecards.org/cgi-bin/carddisp.pl?gene=LOC653188","GeneCards")</f>
        <v>GeneCards</v>
      </c>
      <c r="D16047" s="1" t="str">
        <f>HYPERLINK("http://genome-euro.ucsc.edu/cgi-bin/hgTracks?position=215599_at","UCSC")</f>
        <v>UCSC</v>
      </c>
      <c r="E16047" s="1" t="str">
        <f>HYPERLINK("http://www.ncbi.nlm.nih.gov/gene/?term=LOC653188","NCBI")</f>
        <v>NCBI</v>
      </c>
      <c r="F16047">
        <v>0.8</v>
      </c>
      <c r="G16047">
        <v>0.85</v>
      </c>
      <c r="H16047" s="1" t="str">
        <f>HYPERLINK("http://www.weizmann.ac.il/complex/compphys/software/geview/data/figures/215599_at.png","Figure")</f>
        <v>Figure</v>
      </c>
      <c r="I16047">
        <v>1.19</v>
      </c>
      <c r="J16047">
        <v>0.85</v>
      </c>
      <c r="K16047">
        <v>0.98299999999999998</v>
      </c>
      <c r="L16047">
        <v>1</v>
      </c>
      <c r="M16047">
        <v>0.82499999999999996</v>
      </c>
      <c r="N16047">
        <v>0.8</v>
      </c>
    </row>
    <row r="16048" spans="1:14" x14ac:dyDescent="0.25">
      <c r="A16048" t="s">
        <v>26956</v>
      </c>
      <c r="B16048" t="s">
        <v>10454</v>
      </c>
      <c r="C16048" s="1" t="str">
        <f>HYPERLINK("http://www.genecards.org/cgi-bin/carddisp.pl?gene=RPL18A /// RPL18AP3","GeneCards")</f>
        <v>GeneCards</v>
      </c>
      <c r="D16048" s="1" t="str">
        <f>HYPERLINK("http://genome-euro.ucsc.edu/cgi-bin/hgTracks?position=200869_at","UCSC")</f>
        <v>UCSC</v>
      </c>
      <c r="E16048" s="1" t="str">
        <f>HYPERLINK("http://www.ncbi.nlm.nih.gov/gene/?term=RPL18A /// RPL18AP3","NCBI")</f>
        <v>NCBI</v>
      </c>
      <c r="F16048">
        <v>0.8</v>
      </c>
      <c r="G16048">
        <v>0.85</v>
      </c>
      <c r="H16048" s="1" t="str">
        <f>HYPERLINK("http://www.weizmann.ac.il/complex/compphys/software/geview/data/figures/200869_at.png","Figure")</f>
        <v>Figure</v>
      </c>
      <c r="I16048">
        <v>0.95599999999999996</v>
      </c>
      <c r="J16048">
        <v>0.99</v>
      </c>
      <c r="K16048">
        <v>1.1399999999999999</v>
      </c>
      <c r="L16048">
        <v>0.88</v>
      </c>
      <c r="M16048">
        <v>1.19</v>
      </c>
      <c r="N16048">
        <v>0.81</v>
      </c>
    </row>
    <row r="16049" spans="1:14" x14ac:dyDescent="0.25">
      <c r="A16049" t="s">
        <v>26957</v>
      </c>
      <c r="B16049" t="s">
        <v>26958</v>
      </c>
      <c r="C16049" s="1" t="str">
        <f>HYPERLINK("http://www.genecards.org/cgi-bin/carddisp.pl?gene=HBD","GeneCards")</f>
        <v>GeneCards</v>
      </c>
      <c r="D16049" s="1" t="str">
        <f>HYPERLINK("http://genome-euro.ucsc.edu/cgi-bin/hgTracks?position=206834_at","UCSC")</f>
        <v>UCSC</v>
      </c>
      <c r="E16049" s="1" t="str">
        <f>HYPERLINK("http://www.ncbi.nlm.nih.gov/gene/?term=HBD","NCBI")</f>
        <v>NCBI</v>
      </c>
      <c r="F16049">
        <v>0.8</v>
      </c>
      <c r="G16049">
        <v>0.85</v>
      </c>
      <c r="H16049" s="1" t="str">
        <f>HYPERLINK("http://www.weizmann.ac.il/complex/compphys/software/geview/data/figures/206834_at.png","Figure")</f>
        <v>Figure</v>
      </c>
      <c r="I16049">
        <v>1.65</v>
      </c>
      <c r="J16049">
        <v>0.88</v>
      </c>
      <c r="K16049">
        <v>0.88400000000000001</v>
      </c>
      <c r="L16049">
        <v>0.99</v>
      </c>
      <c r="M16049">
        <v>0.53500000000000003</v>
      </c>
      <c r="N16049">
        <v>0.79</v>
      </c>
    </row>
    <row r="16050" spans="1:14" x14ac:dyDescent="0.25">
      <c r="A16050" t="s">
        <v>26959</v>
      </c>
      <c r="B16050" t="s">
        <v>26960</v>
      </c>
      <c r="C16050" s="1" t="str">
        <f>HYPERLINK("http://www.genecards.org/cgi-bin/carddisp.pl?gene=IGH@ /// IGHA2 /// IGHD /// IGHG1 /// LOC100126583 /// LOC100289944 /// VSIG6","GeneCards")</f>
        <v>GeneCards</v>
      </c>
      <c r="D16050" s="1" t="str">
        <f>HYPERLINK("http://genome-euro.ucsc.edu/cgi-bin/hgTracks?position=217198_x_at","UCSC")</f>
        <v>UCSC</v>
      </c>
      <c r="E16050" s="1" t="str">
        <f>HYPERLINK("http://www.ncbi.nlm.nih.gov/gene/?term=IGH@ /// IGHA2 /// IGHD /// IGHG1 /// LOC100126583 /// LOC100289944 /// VSIG6","NCBI")</f>
        <v>NCBI</v>
      </c>
      <c r="F16050">
        <v>0.8</v>
      </c>
      <c r="G16050">
        <v>0.85</v>
      </c>
      <c r="H16050" s="1" t="str">
        <f>HYPERLINK("http://www.weizmann.ac.il/complex/compphys/software/geview/data/figures/217198_x_at.png","Figure")</f>
        <v>Figure</v>
      </c>
      <c r="I16050">
        <v>1.05</v>
      </c>
      <c r="J16050">
        <v>0.81</v>
      </c>
      <c r="K16050">
        <v>1.04</v>
      </c>
      <c r="L16050">
        <v>0.86</v>
      </c>
      <c r="M16050">
        <v>0.98699999999999999</v>
      </c>
      <c r="N16050">
        <v>0.98</v>
      </c>
    </row>
    <row r="16051" spans="1:14" x14ac:dyDescent="0.25">
      <c r="A16051" t="s">
        <v>26961</v>
      </c>
      <c r="B16051" t="s">
        <v>26962</v>
      </c>
      <c r="C16051" s="1" t="str">
        <f>HYPERLINK("http://www.genecards.org/cgi-bin/carddisp.pl?gene=IVL","GeneCards")</f>
        <v>GeneCards</v>
      </c>
      <c r="D16051" s="1" t="str">
        <f>HYPERLINK("http://genome-euro.ucsc.edu/cgi-bin/hgTracks?position=214599_at","UCSC")</f>
        <v>UCSC</v>
      </c>
      <c r="E16051" s="1" t="str">
        <f>HYPERLINK("http://www.ncbi.nlm.nih.gov/gene/?term=IVL","NCBI")</f>
        <v>NCBI</v>
      </c>
      <c r="F16051">
        <v>0.8</v>
      </c>
      <c r="G16051">
        <v>0.85</v>
      </c>
      <c r="H16051" s="1" t="str">
        <f>HYPERLINK("http://www.weizmann.ac.il/complex/compphys/software/geview/data/figures/214599_at.png","Figure")</f>
        <v>Figure</v>
      </c>
      <c r="I16051">
        <v>0.96399999999999997</v>
      </c>
      <c r="J16051">
        <v>0.86</v>
      </c>
      <c r="K16051">
        <v>0.96199999999999997</v>
      </c>
      <c r="L16051">
        <v>0.81</v>
      </c>
      <c r="M16051">
        <v>0.999</v>
      </c>
      <c r="N16051">
        <v>1</v>
      </c>
    </row>
    <row r="16052" spans="1:14" x14ac:dyDescent="0.25">
      <c r="A16052" t="s">
        <v>26963</v>
      </c>
      <c r="B16052" t="s">
        <v>25620</v>
      </c>
      <c r="C16052" s="1" t="str">
        <f>HYPERLINK("http://www.genecards.org/cgi-bin/carddisp.pl?gene=HLA-F","GeneCards")</f>
        <v>GeneCards</v>
      </c>
      <c r="D16052" s="1" t="str">
        <f>HYPERLINK("http://genome-euro.ucsc.edu/cgi-bin/hgTracks?position=204806_x_at","UCSC")</f>
        <v>UCSC</v>
      </c>
      <c r="E16052" s="1" t="str">
        <f>HYPERLINK("http://www.ncbi.nlm.nih.gov/gene/?term=HLA-F","NCBI")</f>
        <v>NCBI</v>
      </c>
      <c r="F16052">
        <v>0.8</v>
      </c>
      <c r="G16052">
        <v>0.85</v>
      </c>
      <c r="H16052" s="1" t="str">
        <f>HYPERLINK("http://www.weizmann.ac.il/complex/compphys/software/geview/data/figures/204806_x_at.png","Figure")</f>
        <v>Figure</v>
      </c>
      <c r="I16052">
        <v>1.01</v>
      </c>
      <c r="J16052">
        <v>1</v>
      </c>
      <c r="K16052">
        <v>1.1399999999999999</v>
      </c>
      <c r="L16052">
        <v>0.82</v>
      </c>
      <c r="M16052">
        <v>1.1299999999999999</v>
      </c>
      <c r="N16052">
        <v>0.86</v>
      </c>
    </row>
    <row r="16053" spans="1:14" x14ac:dyDescent="0.25">
      <c r="A16053" t="s">
        <v>26964</v>
      </c>
      <c r="B16053" t="s">
        <v>21352</v>
      </c>
      <c r="C16053" s="1" t="str">
        <f>HYPERLINK("http://www.genecards.org/cgi-bin/carddisp.pl?gene=NPAT","GeneCards")</f>
        <v>GeneCards</v>
      </c>
      <c r="D16053" s="1" t="str">
        <f>HYPERLINK("http://genome-euro.ucsc.edu/cgi-bin/hgTracks?position=211584_s_at","UCSC")</f>
        <v>UCSC</v>
      </c>
      <c r="E16053" s="1" t="str">
        <f>HYPERLINK("http://www.ncbi.nlm.nih.gov/gene/?term=NPAT","NCBI")</f>
        <v>NCBI</v>
      </c>
      <c r="F16053">
        <v>0.8</v>
      </c>
      <c r="G16053">
        <v>0.85</v>
      </c>
      <c r="H16053" s="1" t="str">
        <f>HYPERLINK("http://www.weizmann.ac.il/complex/compphys/software/geview/data/figures/211584_s_at.png","Figure")</f>
        <v>Figure</v>
      </c>
      <c r="I16053">
        <v>1.03</v>
      </c>
      <c r="J16053">
        <v>0.97</v>
      </c>
      <c r="K16053">
        <v>0.95199999999999996</v>
      </c>
      <c r="L16053">
        <v>0.91</v>
      </c>
      <c r="M16053">
        <v>0.92400000000000004</v>
      </c>
      <c r="N16053">
        <v>0.8</v>
      </c>
    </row>
    <row r="16054" spans="1:14" x14ac:dyDescent="0.25">
      <c r="A16054" t="s">
        <v>26965</v>
      </c>
      <c r="B16054" t="s">
        <v>17474</v>
      </c>
      <c r="C16054" s="1" t="str">
        <f>HYPERLINK("http://www.genecards.org/cgi-bin/carddisp.pl?gene=GNB1","GeneCards")</f>
        <v>GeneCards</v>
      </c>
      <c r="D16054" s="1" t="str">
        <f>HYPERLINK("http://genome-euro.ucsc.edu/cgi-bin/hgTracks?position=200745_s_at","UCSC")</f>
        <v>UCSC</v>
      </c>
      <c r="E16054" s="1" t="str">
        <f>HYPERLINK("http://www.ncbi.nlm.nih.gov/gene/?term=GNB1","NCBI")</f>
        <v>NCBI</v>
      </c>
      <c r="F16054">
        <v>0.8</v>
      </c>
      <c r="G16054">
        <v>0.85</v>
      </c>
      <c r="H16054" s="1" t="str">
        <f>HYPERLINK("http://www.weizmann.ac.il/complex/compphys/software/geview/data/figures/200745_s_at.png","Figure")</f>
        <v>Figure</v>
      </c>
      <c r="I16054">
        <v>1.02</v>
      </c>
      <c r="J16054">
        <v>1</v>
      </c>
      <c r="K16054">
        <v>0.89900000000000002</v>
      </c>
      <c r="L16054">
        <v>0.86</v>
      </c>
      <c r="M16054">
        <v>0.88400000000000001</v>
      </c>
      <c r="N16054">
        <v>0.83</v>
      </c>
    </row>
    <row r="16055" spans="1:14" x14ac:dyDescent="0.25">
      <c r="A16055" t="s">
        <v>26966</v>
      </c>
      <c r="B16055" t="s">
        <v>26967</v>
      </c>
      <c r="C16055" s="1" t="str">
        <f>HYPERLINK("http://www.genecards.org/cgi-bin/carddisp.pl?gene=ARSB","GeneCards")</f>
        <v>GeneCards</v>
      </c>
      <c r="D16055" s="1" t="str">
        <f>HYPERLINK("http://genome-euro.ucsc.edu/cgi-bin/hgTracks?position=206129_s_at","UCSC")</f>
        <v>UCSC</v>
      </c>
      <c r="E16055" s="1" t="str">
        <f>HYPERLINK("http://www.ncbi.nlm.nih.gov/gene/?term=ARSB","NCBI")</f>
        <v>NCBI</v>
      </c>
      <c r="F16055">
        <v>0.8</v>
      </c>
      <c r="G16055">
        <v>0.85</v>
      </c>
      <c r="H16055" s="1" t="str">
        <f>HYPERLINK("http://www.weizmann.ac.il/complex/compphys/software/geview/data/figures/206129_s_at.png","Figure")</f>
        <v>Figure</v>
      </c>
      <c r="I16055">
        <v>0.98699999999999999</v>
      </c>
      <c r="J16055">
        <v>0.93</v>
      </c>
      <c r="K16055">
        <v>0.98</v>
      </c>
      <c r="L16055">
        <v>0.79</v>
      </c>
      <c r="M16055">
        <v>0.99299999999999999</v>
      </c>
      <c r="N16055">
        <v>0.97</v>
      </c>
    </row>
    <row r="16056" spans="1:14" x14ac:dyDescent="0.25">
      <c r="A16056" t="s">
        <v>26968</v>
      </c>
      <c r="B16056" t="s">
        <v>26969</v>
      </c>
      <c r="C16056" s="1" t="str">
        <f>HYPERLINK("http://www.genecards.org/cgi-bin/carddisp.pl?gene=CD74","GeneCards")</f>
        <v>GeneCards</v>
      </c>
      <c r="D16056" s="1" t="str">
        <f>HYPERLINK("http://genome-euro.ucsc.edu/cgi-bin/hgTracks?position=209619_at","UCSC")</f>
        <v>UCSC</v>
      </c>
      <c r="E16056" s="1" t="str">
        <f>HYPERLINK("http://www.ncbi.nlm.nih.gov/gene/?term=CD74","NCBI")</f>
        <v>NCBI</v>
      </c>
      <c r="F16056">
        <v>0.8</v>
      </c>
      <c r="G16056">
        <v>0.85</v>
      </c>
      <c r="H16056" s="1" t="str">
        <f>HYPERLINK("http://www.weizmann.ac.il/complex/compphys/software/geview/data/figures/209619_at.png","Figure")</f>
        <v>Figure</v>
      </c>
      <c r="I16056">
        <v>0.82899999999999996</v>
      </c>
      <c r="J16056">
        <v>0.86</v>
      </c>
      <c r="K16056">
        <v>0.82799999999999996</v>
      </c>
      <c r="L16056">
        <v>0.81</v>
      </c>
      <c r="M16056">
        <v>0.998</v>
      </c>
      <c r="N16056">
        <v>1</v>
      </c>
    </row>
    <row r="16057" spans="1:14" x14ac:dyDescent="0.25">
      <c r="A16057" t="s">
        <v>26970</v>
      </c>
      <c r="B16057" t="s">
        <v>7664</v>
      </c>
      <c r="C16057" s="1" t="str">
        <f>HYPERLINK("http://www.genecards.org/cgi-bin/carddisp.pl?gene=LBP","GeneCards")</f>
        <v>GeneCards</v>
      </c>
      <c r="D16057" s="1" t="str">
        <f>HYPERLINK("http://genome-euro.ucsc.edu/cgi-bin/hgTracks?position=214461_at","UCSC")</f>
        <v>UCSC</v>
      </c>
      <c r="E16057" s="1" t="str">
        <f>HYPERLINK("http://www.ncbi.nlm.nih.gov/gene/?term=LBP","NCBI")</f>
        <v>NCBI</v>
      </c>
      <c r="F16057">
        <v>0.8</v>
      </c>
      <c r="G16057">
        <v>0.85</v>
      </c>
      <c r="H16057" s="1" t="str">
        <f>HYPERLINK("http://www.weizmann.ac.il/complex/compphys/software/geview/data/figures/214461_at.png","Figure")</f>
        <v>Figure</v>
      </c>
      <c r="I16057">
        <v>1.04</v>
      </c>
      <c r="J16057">
        <v>0.79</v>
      </c>
      <c r="K16057">
        <v>1.02</v>
      </c>
      <c r="L16057">
        <v>0.92</v>
      </c>
      <c r="M16057">
        <v>0.98299999999999998</v>
      </c>
      <c r="N16057">
        <v>0.94</v>
      </c>
    </row>
    <row r="16058" spans="1:14" x14ac:dyDescent="0.25">
      <c r="A16058" t="s">
        <v>26971</v>
      </c>
      <c r="B16058" t="s">
        <v>26972</v>
      </c>
      <c r="C16058" s="1" t="str">
        <f>HYPERLINK("http://www.genecards.org/cgi-bin/carddisp.pl?gene=SACM1L","GeneCards")</f>
        <v>GeneCards</v>
      </c>
      <c r="D16058" s="1" t="str">
        <f>HYPERLINK("http://genome-euro.ucsc.edu/cgi-bin/hgTracks?position=202797_at","UCSC")</f>
        <v>UCSC</v>
      </c>
      <c r="E16058" s="1" t="str">
        <f>HYPERLINK("http://www.ncbi.nlm.nih.gov/gene/?term=SACM1L","NCBI")</f>
        <v>NCBI</v>
      </c>
      <c r="F16058">
        <v>0.8</v>
      </c>
      <c r="G16058">
        <v>0.85</v>
      </c>
      <c r="H16058" s="1" t="str">
        <f>HYPERLINK("http://www.weizmann.ac.il/complex/compphys/software/geview/data/figures/202797_at.png","Figure")</f>
        <v>Figure</v>
      </c>
      <c r="I16058">
        <v>0.81499999999999995</v>
      </c>
      <c r="J16058">
        <v>0.82</v>
      </c>
      <c r="K16058">
        <v>0.84499999999999997</v>
      </c>
      <c r="L16058">
        <v>0.84</v>
      </c>
      <c r="M16058">
        <v>1.04</v>
      </c>
      <c r="N16058">
        <v>0.99</v>
      </c>
    </row>
    <row r="16059" spans="1:14" x14ac:dyDescent="0.25">
      <c r="A16059" t="s">
        <v>26973</v>
      </c>
      <c r="B16059" t="s">
        <v>14781</v>
      </c>
      <c r="C16059" s="1" t="str">
        <f>HYPERLINK("http://www.genecards.org/cgi-bin/carddisp.pl?gene=PDLIM7","GeneCards")</f>
        <v>GeneCards</v>
      </c>
      <c r="D16059" s="1" t="str">
        <f>HYPERLINK("http://genome-euro.ucsc.edu/cgi-bin/hgTracks?position=203369_x_at","UCSC")</f>
        <v>UCSC</v>
      </c>
      <c r="E16059" s="1" t="str">
        <f>HYPERLINK("http://www.ncbi.nlm.nih.gov/gene/?term=PDLIM7","NCBI")</f>
        <v>NCBI</v>
      </c>
      <c r="F16059">
        <v>0.8</v>
      </c>
      <c r="G16059">
        <v>0.85</v>
      </c>
      <c r="H16059" s="1" t="str">
        <f>HYPERLINK("http://www.weizmann.ac.il/complex/compphys/software/geview/data/figures/203369_x_at.png","Figure")</f>
        <v>Figure</v>
      </c>
      <c r="I16059">
        <v>0.96099999999999997</v>
      </c>
      <c r="J16059">
        <v>0.79</v>
      </c>
      <c r="K16059">
        <v>0.97699999999999998</v>
      </c>
      <c r="L16059">
        <v>0.9</v>
      </c>
      <c r="M16059">
        <v>1.02</v>
      </c>
      <c r="N16059">
        <v>0.96</v>
      </c>
    </row>
    <row r="16060" spans="1:14" x14ac:dyDescent="0.25">
      <c r="A16060" t="s">
        <v>26974</v>
      </c>
      <c r="B16060" t="s">
        <v>26975</v>
      </c>
      <c r="C16060" s="1" t="str">
        <f>HYPERLINK("http://www.genecards.org/cgi-bin/carddisp.pl?gene=RPL34","GeneCards")</f>
        <v>GeneCards</v>
      </c>
      <c r="D16060" s="1" t="str">
        <f>HYPERLINK("http://genome-euro.ucsc.edu/cgi-bin/hgTracks?position=200026_at","UCSC")</f>
        <v>UCSC</v>
      </c>
      <c r="E16060" s="1" t="str">
        <f>HYPERLINK("http://www.ncbi.nlm.nih.gov/gene/?term=RPL34","NCBI")</f>
        <v>NCBI</v>
      </c>
      <c r="F16060">
        <v>0.8</v>
      </c>
      <c r="G16060">
        <v>0.85</v>
      </c>
      <c r="H16060" s="1" t="str">
        <f>HYPERLINK("http://www.weizmann.ac.il/complex/compphys/software/geview/data/figures/200026_at.png","Figure")</f>
        <v>Figure</v>
      </c>
      <c r="I16060">
        <v>0.93600000000000005</v>
      </c>
      <c r="J16060">
        <v>0.79</v>
      </c>
      <c r="K16060">
        <v>0.96699999999999997</v>
      </c>
      <c r="L16060">
        <v>0.92</v>
      </c>
      <c r="M16060">
        <v>1.03</v>
      </c>
      <c r="N16060">
        <v>0.94</v>
      </c>
    </row>
    <row r="16061" spans="1:14" x14ac:dyDescent="0.25">
      <c r="A16061" t="s">
        <v>26976</v>
      </c>
      <c r="B16061" t="s">
        <v>10876</v>
      </c>
      <c r="C16061" s="1" t="str">
        <f>HYPERLINK("http://www.genecards.org/cgi-bin/carddisp.pl?gene=KPNA1","GeneCards")</f>
        <v>GeneCards</v>
      </c>
      <c r="D16061" s="1" t="str">
        <f>HYPERLINK("http://genome-euro.ucsc.edu/cgi-bin/hgTracks?position=202057_at","UCSC")</f>
        <v>UCSC</v>
      </c>
      <c r="E16061" s="1" t="str">
        <f>HYPERLINK("http://www.ncbi.nlm.nih.gov/gene/?term=KPNA1","NCBI")</f>
        <v>NCBI</v>
      </c>
      <c r="F16061">
        <v>0.8</v>
      </c>
      <c r="G16061">
        <v>0.85</v>
      </c>
      <c r="H16061" s="1" t="str">
        <f>HYPERLINK("http://www.weizmann.ac.il/complex/compphys/software/geview/data/figures/202057_at.png","Figure")</f>
        <v>Figure</v>
      </c>
      <c r="I16061">
        <v>1.04</v>
      </c>
      <c r="J16061">
        <v>0.91</v>
      </c>
      <c r="K16061">
        <v>0.98199999999999998</v>
      </c>
      <c r="L16061">
        <v>0.97</v>
      </c>
      <c r="M16061">
        <v>0.94899999999999995</v>
      </c>
      <c r="N16061">
        <v>0.79</v>
      </c>
    </row>
    <row r="16062" spans="1:14" x14ac:dyDescent="0.25">
      <c r="A16062" t="s">
        <v>26977</v>
      </c>
      <c r="B16062" t="s">
        <v>26978</v>
      </c>
      <c r="C16062" s="1" t="str">
        <f>HYPERLINK("http://www.genecards.org/cgi-bin/carddisp.pl?gene=LY6E","GeneCards")</f>
        <v>GeneCards</v>
      </c>
      <c r="D16062" s="1" t="str">
        <f>HYPERLINK("http://genome-euro.ucsc.edu/cgi-bin/hgTracks?position=202145_at","UCSC")</f>
        <v>UCSC</v>
      </c>
      <c r="E16062" s="1" t="str">
        <f>HYPERLINK("http://www.ncbi.nlm.nih.gov/gene/?term=LY6E","NCBI")</f>
        <v>NCBI</v>
      </c>
      <c r="F16062">
        <v>0.8</v>
      </c>
      <c r="G16062">
        <v>0.85</v>
      </c>
      <c r="H16062" s="1" t="str">
        <f>HYPERLINK("http://www.weizmann.ac.il/complex/compphys/software/geview/data/figures/202145_at.png","Figure")</f>
        <v>Figure</v>
      </c>
      <c r="I16062">
        <v>1.1000000000000001</v>
      </c>
      <c r="J16062">
        <v>0.8</v>
      </c>
      <c r="K16062">
        <v>1.07</v>
      </c>
      <c r="L16062">
        <v>0.88</v>
      </c>
      <c r="M16062">
        <v>0.96799999999999997</v>
      </c>
      <c r="N16062">
        <v>0.97</v>
      </c>
    </row>
    <row r="16063" spans="1:14" x14ac:dyDescent="0.25">
      <c r="A16063" t="s">
        <v>26979</v>
      </c>
      <c r="B16063" t="s">
        <v>26980</v>
      </c>
      <c r="C16063" s="1" t="str">
        <f>HYPERLINK("http://www.genecards.org/cgi-bin/carddisp.pl?gene=SP140L","GeneCards")</f>
        <v>GeneCards</v>
      </c>
      <c r="D16063" s="1" t="str">
        <f>HYPERLINK("http://genome-euro.ucsc.edu/cgi-bin/hgTracks?position=214791_at","UCSC")</f>
        <v>UCSC</v>
      </c>
      <c r="E16063" s="1" t="str">
        <f>HYPERLINK("http://www.ncbi.nlm.nih.gov/gene/?term=SP140L","NCBI")</f>
        <v>NCBI</v>
      </c>
      <c r="F16063">
        <v>0.8</v>
      </c>
      <c r="G16063">
        <v>0.85</v>
      </c>
      <c r="H16063" s="1" t="str">
        <f>HYPERLINK("http://www.weizmann.ac.il/complex/compphys/software/geview/data/figures/214791_at.png","Figure")</f>
        <v>Figure</v>
      </c>
      <c r="I16063">
        <v>1.2</v>
      </c>
      <c r="J16063">
        <v>0.84</v>
      </c>
      <c r="K16063">
        <v>0.999</v>
      </c>
      <c r="L16063">
        <v>1</v>
      </c>
      <c r="M16063">
        <v>0.82899999999999996</v>
      </c>
      <c r="N16063">
        <v>0.81</v>
      </c>
    </row>
    <row r="16064" spans="1:14" x14ac:dyDescent="0.25">
      <c r="A16064" t="s">
        <v>26981</v>
      </c>
      <c r="B16064" t="s">
        <v>26982</v>
      </c>
      <c r="C16064" s="1" t="str">
        <f>HYPERLINK("http://www.genecards.org/cgi-bin/carddisp.pl?gene=EPPK1","GeneCards")</f>
        <v>GeneCards</v>
      </c>
      <c r="D16064" s="1" t="str">
        <f>HYPERLINK("http://genome-euro.ucsc.edu/cgi-bin/hgTracks?position=208156_x_at","UCSC")</f>
        <v>UCSC</v>
      </c>
      <c r="E16064" s="1" t="str">
        <f>HYPERLINK("http://www.ncbi.nlm.nih.gov/gene/?term=EPPK1","NCBI")</f>
        <v>NCBI</v>
      </c>
      <c r="F16064">
        <v>0.8</v>
      </c>
      <c r="G16064">
        <v>0.85</v>
      </c>
      <c r="H16064" s="1" t="str">
        <f>HYPERLINK("http://www.weizmann.ac.il/complex/compphys/software/geview/data/figures/208156_x_at.png","Figure")</f>
        <v>Figure</v>
      </c>
      <c r="I16064">
        <v>1.03</v>
      </c>
      <c r="J16064">
        <v>0.84</v>
      </c>
      <c r="K16064">
        <v>1.03</v>
      </c>
      <c r="L16064">
        <v>0.82</v>
      </c>
      <c r="M16064">
        <v>0.998</v>
      </c>
      <c r="N16064">
        <v>1</v>
      </c>
    </row>
    <row r="16065" spans="1:14" x14ac:dyDescent="0.25">
      <c r="A16065" t="s">
        <v>26983</v>
      </c>
      <c r="B16065" t="s">
        <v>605</v>
      </c>
      <c r="C16065" s="1" t="str">
        <f>HYPERLINK("http://www.genecards.org/cgi-bin/carddisp.pl?gene=PDE4DIP","GeneCards")</f>
        <v>GeneCards</v>
      </c>
      <c r="D16065" s="1" t="str">
        <f>HYPERLINK("http://genome-euro.ucsc.edu/cgi-bin/hgTracks?position=214129_at","UCSC")</f>
        <v>UCSC</v>
      </c>
      <c r="E16065" s="1" t="str">
        <f>HYPERLINK("http://www.ncbi.nlm.nih.gov/gene/?term=PDE4DIP","NCBI")</f>
        <v>NCBI</v>
      </c>
      <c r="F16065">
        <v>0.8</v>
      </c>
      <c r="G16065">
        <v>0.85</v>
      </c>
      <c r="H16065" s="1" t="str">
        <f>HYPERLINK("http://www.weizmann.ac.il/complex/compphys/software/geview/data/figures/214129_at.png","Figure")</f>
        <v>Figure</v>
      </c>
      <c r="I16065">
        <v>0.97699999999999998</v>
      </c>
      <c r="J16065">
        <v>0.89</v>
      </c>
      <c r="K16065">
        <v>1.01</v>
      </c>
      <c r="L16065">
        <v>0.98</v>
      </c>
      <c r="M16065">
        <v>1.03</v>
      </c>
      <c r="N16065">
        <v>0.79</v>
      </c>
    </row>
    <row r="16066" spans="1:14" x14ac:dyDescent="0.25">
      <c r="A16066" t="s">
        <v>26984</v>
      </c>
      <c r="B16066" t="s">
        <v>1499</v>
      </c>
      <c r="C16066" s="1" t="str">
        <f>HYPERLINK("http://www.genecards.org/cgi-bin/carddisp.pl?gene=QKI","GeneCards")</f>
        <v>GeneCards</v>
      </c>
      <c r="D16066" s="1" t="str">
        <f>HYPERLINK("http://genome-euro.ucsc.edu/cgi-bin/hgTracks?position=214543_x_at","UCSC")</f>
        <v>UCSC</v>
      </c>
      <c r="E16066" s="1" t="str">
        <f>HYPERLINK("http://www.ncbi.nlm.nih.gov/gene/?term=QKI","NCBI")</f>
        <v>NCBI</v>
      </c>
      <c r="F16066">
        <v>0.8</v>
      </c>
      <c r="G16066">
        <v>0.85</v>
      </c>
      <c r="H16066" s="1" t="str">
        <f>HYPERLINK("http://www.weizmann.ac.il/complex/compphys/software/geview/data/figures/214543_x_at.png","Figure")</f>
        <v>Figure</v>
      </c>
      <c r="I16066">
        <v>0.93899999999999995</v>
      </c>
      <c r="J16066">
        <v>0.79</v>
      </c>
      <c r="K16066">
        <v>0.96899999999999997</v>
      </c>
      <c r="L16066">
        <v>0.92</v>
      </c>
      <c r="M16066">
        <v>1.03</v>
      </c>
      <c r="N16066">
        <v>0.93</v>
      </c>
    </row>
    <row r="16067" spans="1:14" x14ac:dyDescent="0.25">
      <c r="A16067" t="s">
        <v>26985</v>
      </c>
      <c r="B16067" t="s">
        <v>26986</v>
      </c>
      <c r="C16067" s="1" t="str">
        <f>HYPERLINK("http://www.genecards.org/cgi-bin/carddisp.pl?gene=PRKCD","GeneCards")</f>
        <v>GeneCards</v>
      </c>
      <c r="D16067" s="1" t="str">
        <f>HYPERLINK("http://genome-euro.ucsc.edu/cgi-bin/hgTracks?position=202545_at","UCSC")</f>
        <v>UCSC</v>
      </c>
      <c r="E16067" s="1" t="str">
        <f>HYPERLINK("http://www.ncbi.nlm.nih.gov/gene/?term=PRKCD","NCBI")</f>
        <v>NCBI</v>
      </c>
      <c r="F16067">
        <v>0.8</v>
      </c>
      <c r="G16067">
        <v>0.85</v>
      </c>
      <c r="H16067" s="1" t="str">
        <f>HYPERLINK("http://www.weizmann.ac.il/complex/compphys/software/geview/data/figures/202545_at.png","Figure")</f>
        <v>Figure</v>
      </c>
      <c r="I16067">
        <v>1.05</v>
      </c>
      <c r="J16067">
        <v>0.91</v>
      </c>
      <c r="K16067">
        <v>1.07</v>
      </c>
      <c r="L16067">
        <v>0.79</v>
      </c>
      <c r="M16067">
        <v>1.02</v>
      </c>
      <c r="N16067">
        <v>0.98</v>
      </c>
    </row>
    <row r="16068" spans="1:14" x14ac:dyDescent="0.25">
      <c r="A16068" t="s">
        <v>26987</v>
      </c>
      <c r="B16068" t="s">
        <v>6591</v>
      </c>
      <c r="C16068" s="1" t="str">
        <f>HYPERLINK("http://www.genecards.org/cgi-bin/carddisp.pl?gene=HTATSF1","GeneCards")</f>
        <v>GeneCards</v>
      </c>
      <c r="D16068" s="1" t="str">
        <f>HYPERLINK("http://genome-euro.ucsc.edu/cgi-bin/hgTracks?position=202601_s_at","UCSC")</f>
        <v>UCSC</v>
      </c>
      <c r="E16068" s="1" t="str">
        <f>HYPERLINK("http://www.ncbi.nlm.nih.gov/gene/?term=HTATSF1","NCBI")</f>
        <v>NCBI</v>
      </c>
      <c r="F16068">
        <v>0.8</v>
      </c>
      <c r="G16068">
        <v>0.85</v>
      </c>
      <c r="H16068" s="1" t="str">
        <f>HYPERLINK("http://www.weizmann.ac.il/complex/compphys/software/geview/data/figures/202601_s_at.png","Figure")</f>
        <v>Figure</v>
      </c>
      <c r="I16068">
        <v>0.95299999999999996</v>
      </c>
      <c r="J16068">
        <v>0.8</v>
      </c>
      <c r="K16068">
        <v>0.98799999999999999</v>
      </c>
      <c r="L16068">
        <v>0.98</v>
      </c>
      <c r="M16068">
        <v>1.04</v>
      </c>
      <c r="N16068">
        <v>0.86</v>
      </c>
    </row>
    <row r="16069" spans="1:14" x14ac:dyDescent="0.25">
      <c r="A16069" t="s">
        <v>26988</v>
      </c>
      <c r="B16069" t="s">
        <v>26989</v>
      </c>
      <c r="C16069" s="1" t="str">
        <f>HYPERLINK("http://www.genecards.org/cgi-bin/carddisp.pl?gene=COASY","GeneCards")</f>
        <v>GeneCards</v>
      </c>
      <c r="D16069" s="1" t="str">
        <f>HYPERLINK("http://genome-euro.ucsc.edu/cgi-bin/hgTracks?position=201913_s_at","UCSC")</f>
        <v>UCSC</v>
      </c>
      <c r="E16069" s="1" t="str">
        <f>HYPERLINK("http://www.ncbi.nlm.nih.gov/gene/?term=COASY","NCBI")</f>
        <v>NCBI</v>
      </c>
      <c r="F16069">
        <v>0.81</v>
      </c>
      <c r="G16069">
        <v>0.85</v>
      </c>
      <c r="H16069" s="1" t="str">
        <f>HYPERLINK("http://www.weizmann.ac.il/complex/compphys/software/geview/data/figures/201913_s_at.png","Figure")</f>
        <v>Figure</v>
      </c>
      <c r="I16069">
        <v>1.02</v>
      </c>
      <c r="J16069">
        <v>0.97</v>
      </c>
      <c r="K16069">
        <v>1.06</v>
      </c>
      <c r="L16069">
        <v>0.8</v>
      </c>
      <c r="M16069">
        <v>1.04</v>
      </c>
      <c r="N16069">
        <v>0.93</v>
      </c>
    </row>
    <row r="16070" spans="1:14" x14ac:dyDescent="0.25">
      <c r="A16070" t="s">
        <v>26990</v>
      </c>
      <c r="B16070" t="s">
        <v>26991</v>
      </c>
      <c r="C16070" s="1" t="str">
        <f>HYPERLINK("http://www.genecards.org/cgi-bin/carddisp.pl?gene=FIGF","GeneCards")</f>
        <v>GeneCards</v>
      </c>
      <c r="D16070" s="1" t="str">
        <f>HYPERLINK("http://genome-euro.ucsc.edu/cgi-bin/hgTracks?position=206742_at","UCSC")</f>
        <v>UCSC</v>
      </c>
      <c r="E16070" s="1" t="str">
        <f>HYPERLINK("http://www.ncbi.nlm.nih.gov/gene/?term=FIGF","NCBI")</f>
        <v>NCBI</v>
      </c>
      <c r="F16070">
        <v>0.81</v>
      </c>
      <c r="G16070">
        <v>0.85</v>
      </c>
      <c r="H16070" s="1" t="str">
        <f>HYPERLINK("http://www.weizmann.ac.il/complex/compphys/software/geview/data/figures/206742_at.png","Figure")</f>
        <v>Figure</v>
      </c>
      <c r="I16070">
        <v>0.97199999999999998</v>
      </c>
      <c r="J16070">
        <v>0.84</v>
      </c>
      <c r="K16070">
        <v>1</v>
      </c>
      <c r="L16070">
        <v>1</v>
      </c>
      <c r="M16070">
        <v>1.03</v>
      </c>
      <c r="N16070">
        <v>0.81</v>
      </c>
    </row>
    <row r="16071" spans="1:14" x14ac:dyDescent="0.25">
      <c r="A16071" t="s">
        <v>26992</v>
      </c>
      <c r="B16071" t="s">
        <v>12578</v>
      </c>
      <c r="C16071" s="1" t="str">
        <f>HYPERLINK("http://www.genecards.org/cgi-bin/carddisp.pl?gene=INTS1","GeneCards")</f>
        <v>GeneCards</v>
      </c>
      <c r="D16071" s="1" t="str">
        <f>HYPERLINK("http://genome-euro.ucsc.edu/cgi-bin/hgTracks?position=212210_at","UCSC")</f>
        <v>UCSC</v>
      </c>
      <c r="E16071" s="1" t="str">
        <f>HYPERLINK("http://www.ncbi.nlm.nih.gov/gene/?term=INTS1","NCBI")</f>
        <v>NCBI</v>
      </c>
      <c r="F16071">
        <v>0.81</v>
      </c>
      <c r="G16071">
        <v>0.85</v>
      </c>
      <c r="H16071" s="1" t="str">
        <f>HYPERLINK("http://www.weizmann.ac.il/complex/compphys/software/geview/data/figures/212210_at.png","Figure")</f>
        <v>Figure</v>
      </c>
      <c r="I16071">
        <v>1.01</v>
      </c>
      <c r="J16071">
        <v>0.98</v>
      </c>
      <c r="K16071">
        <v>1.03</v>
      </c>
      <c r="L16071">
        <v>0.8</v>
      </c>
      <c r="M16071">
        <v>1.02</v>
      </c>
      <c r="N16071">
        <v>0.91</v>
      </c>
    </row>
    <row r="16072" spans="1:14" x14ac:dyDescent="0.25">
      <c r="A16072" t="s">
        <v>26993</v>
      </c>
      <c r="B16072" t="s">
        <v>26994</v>
      </c>
      <c r="C16072" s="1" t="str">
        <f>HYPERLINK("http://www.genecards.org/cgi-bin/carddisp.pl?gene=TCL1A","GeneCards")</f>
        <v>GeneCards</v>
      </c>
      <c r="D16072" s="1" t="str">
        <f>HYPERLINK("http://genome-euro.ucsc.edu/cgi-bin/hgTracks?position=209995_s_at","UCSC")</f>
        <v>UCSC</v>
      </c>
      <c r="E16072" s="1" t="str">
        <f>HYPERLINK("http://www.ncbi.nlm.nih.gov/gene/?term=TCL1A","NCBI")</f>
        <v>NCBI</v>
      </c>
      <c r="F16072">
        <v>0.81</v>
      </c>
      <c r="G16072">
        <v>0.85</v>
      </c>
      <c r="H16072" s="1" t="str">
        <f>HYPERLINK("http://www.weizmann.ac.il/complex/compphys/software/geview/data/figures/209995_s_at.png","Figure")</f>
        <v>Figure</v>
      </c>
      <c r="I16072">
        <v>1.17</v>
      </c>
      <c r="J16072">
        <v>0.95</v>
      </c>
      <c r="K16072">
        <v>1.34</v>
      </c>
      <c r="L16072">
        <v>0.79</v>
      </c>
      <c r="M16072">
        <v>1.1499999999999999</v>
      </c>
      <c r="N16072">
        <v>0.95</v>
      </c>
    </row>
    <row r="16073" spans="1:14" x14ac:dyDescent="0.25">
      <c r="A16073" t="s">
        <v>26995</v>
      </c>
      <c r="B16073" t="s">
        <v>26996</v>
      </c>
      <c r="C16073" s="1" t="str">
        <f>HYPERLINK("http://www.genecards.org/cgi-bin/carddisp.pl?gene=C1orf46","GeneCards")</f>
        <v>GeneCards</v>
      </c>
      <c r="D16073" s="1" t="str">
        <f>HYPERLINK("http://genome-euro.ucsc.edu/cgi-bin/hgTracks?position=216935_at","UCSC")</f>
        <v>UCSC</v>
      </c>
      <c r="E16073" s="1" t="str">
        <f>HYPERLINK("http://www.ncbi.nlm.nih.gov/gene/?term=C1orf46","NCBI")</f>
        <v>NCBI</v>
      </c>
      <c r="F16073">
        <v>0.81</v>
      </c>
      <c r="G16073">
        <v>0.85</v>
      </c>
      <c r="H16073" s="1" t="str">
        <f>HYPERLINK("http://www.weizmann.ac.il/complex/compphys/software/geview/data/figures/216935_at.png","Figure")</f>
        <v>Figure</v>
      </c>
      <c r="I16073">
        <v>1.02</v>
      </c>
      <c r="J16073">
        <v>0.89</v>
      </c>
      <c r="K16073">
        <v>0.995</v>
      </c>
      <c r="L16073">
        <v>0.99</v>
      </c>
      <c r="M16073">
        <v>0.98</v>
      </c>
      <c r="N16073">
        <v>0.79</v>
      </c>
    </row>
    <row r="16074" spans="1:14" x14ac:dyDescent="0.25">
      <c r="A16074" t="s">
        <v>26997</v>
      </c>
      <c r="B16074" t="s">
        <v>24921</v>
      </c>
      <c r="C16074" s="1" t="str">
        <f>HYPERLINK("http://www.genecards.org/cgi-bin/carddisp.pl?gene=MORC2","GeneCards")</f>
        <v>GeneCards</v>
      </c>
      <c r="D16074" s="1" t="str">
        <f>HYPERLINK("http://genome-euro.ucsc.edu/cgi-bin/hgTracks?position=216863_s_at","UCSC")</f>
        <v>UCSC</v>
      </c>
      <c r="E16074" s="1" t="str">
        <f>HYPERLINK("http://www.ncbi.nlm.nih.gov/gene/?term=MORC2","NCBI")</f>
        <v>NCBI</v>
      </c>
      <c r="F16074">
        <v>0.81</v>
      </c>
      <c r="G16074">
        <v>0.85</v>
      </c>
      <c r="H16074" s="1" t="str">
        <f>HYPERLINK("http://www.weizmann.ac.il/complex/compphys/software/geview/data/figures/216863_s_at.png","Figure")</f>
        <v>Figure</v>
      </c>
      <c r="I16074">
        <v>1.01</v>
      </c>
      <c r="J16074">
        <v>1</v>
      </c>
      <c r="K16074">
        <v>1.07</v>
      </c>
      <c r="L16074">
        <v>0.82</v>
      </c>
      <c r="M16074">
        <v>1.06</v>
      </c>
      <c r="N16074">
        <v>0.88</v>
      </c>
    </row>
    <row r="16075" spans="1:14" x14ac:dyDescent="0.25">
      <c r="A16075" t="s">
        <v>26998</v>
      </c>
      <c r="B16075" t="s">
        <v>16880</v>
      </c>
      <c r="C16075" s="1" t="str">
        <f>HYPERLINK("http://www.genecards.org/cgi-bin/carddisp.pl?gene=KIF3C","GeneCards")</f>
        <v>GeneCards</v>
      </c>
      <c r="D16075" s="1" t="str">
        <f>HYPERLINK("http://genome-euro.ucsc.edu/cgi-bin/hgTracks?position=203390_s_at","UCSC")</f>
        <v>UCSC</v>
      </c>
      <c r="E16075" s="1" t="str">
        <f>HYPERLINK("http://www.ncbi.nlm.nih.gov/gene/?term=KIF3C","NCBI")</f>
        <v>NCBI</v>
      </c>
      <c r="F16075">
        <v>0.81</v>
      </c>
      <c r="G16075">
        <v>0.85</v>
      </c>
      <c r="H16075" s="1" t="str">
        <f>HYPERLINK("http://www.weizmann.ac.il/complex/compphys/software/geview/data/figures/203390_s_at.png","Figure")</f>
        <v>Figure</v>
      </c>
      <c r="I16075">
        <v>1.02</v>
      </c>
      <c r="J16075">
        <v>0.95</v>
      </c>
      <c r="K16075">
        <v>0.97699999999999998</v>
      </c>
      <c r="L16075">
        <v>0.94</v>
      </c>
      <c r="M16075">
        <v>0.95399999999999996</v>
      </c>
      <c r="N16075">
        <v>0.79</v>
      </c>
    </row>
    <row r="16076" spans="1:14" x14ac:dyDescent="0.25">
      <c r="A16076" t="s">
        <v>26999</v>
      </c>
      <c r="B16076" t="s">
        <v>25980</v>
      </c>
      <c r="C16076" s="1" t="str">
        <f>HYPERLINK("http://www.genecards.org/cgi-bin/carddisp.pl?gene=MCM5","GeneCards")</f>
        <v>GeneCards</v>
      </c>
      <c r="D16076" s="1" t="str">
        <f>HYPERLINK("http://genome-euro.ucsc.edu/cgi-bin/hgTracks?position=216237_s_at","UCSC")</f>
        <v>UCSC</v>
      </c>
      <c r="E16076" s="1" t="str">
        <f>HYPERLINK("http://www.ncbi.nlm.nih.gov/gene/?term=MCM5","NCBI")</f>
        <v>NCBI</v>
      </c>
      <c r="F16076">
        <v>0.81</v>
      </c>
      <c r="G16076">
        <v>0.85</v>
      </c>
      <c r="H16076" s="1" t="str">
        <f>HYPERLINK("http://www.weizmann.ac.il/complex/compphys/software/geview/data/figures/216237_s_at.png","Figure")</f>
        <v>Figure</v>
      </c>
      <c r="I16076">
        <v>1.05</v>
      </c>
      <c r="J16076">
        <v>0.98</v>
      </c>
      <c r="K16076">
        <v>0.89900000000000002</v>
      </c>
      <c r="L16076">
        <v>0.9</v>
      </c>
      <c r="M16076">
        <v>0.85399999999999998</v>
      </c>
      <c r="N16076">
        <v>0.81</v>
      </c>
    </row>
    <row r="16077" spans="1:14" x14ac:dyDescent="0.25">
      <c r="A16077" t="s">
        <v>27000</v>
      </c>
      <c r="B16077" t="s">
        <v>9986</v>
      </c>
      <c r="C16077" s="1" t="str">
        <f>HYPERLINK("http://www.genecards.org/cgi-bin/carddisp.pl?gene=SERINC3","GeneCards")</f>
        <v>GeneCards</v>
      </c>
      <c r="D16077" s="1" t="str">
        <f>HYPERLINK("http://genome-euro.ucsc.edu/cgi-bin/hgTracks?position=221473_x_at","UCSC")</f>
        <v>UCSC</v>
      </c>
      <c r="E16077" s="1" t="str">
        <f>HYPERLINK("http://www.ncbi.nlm.nih.gov/gene/?term=SERINC3","NCBI")</f>
        <v>NCBI</v>
      </c>
      <c r="F16077">
        <v>0.81</v>
      </c>
      <c r="G16077">
        <v>0.85</v>
      </c>
      <c r="H16077" s="1" t="str">
        <f>HYPERLINK("http://www.weizmann.ac.il/complex/compphys/software/geview/data/figures/221473_x_at.png","Figure")</f>
        <v>Figure</v>
      </c>
      <c r="I16077">
        <v>1.04</v>
      </c>
      <c r="J16077">
        <v>0.94</v>
      </c>
      <c r="K16077">
        <v>0.96799999999999997</v>
      </c>
      <c r="L16077">
        <v>0.95</v>
      </c>
      <c r="M16077">
        <v>0.92800000000000005</v>
      </c>
      <c r="N16077">
        <v>0.79</v>
      </c>
    </row>
    <row r="16078" spans="1:14" x14ac:dyDescent="0.25">
      <c r="A16078" t="s">
        <v>27001</v>
      </c>
      <c r="B16078" t="s">
        <v>27002</v>
      </c>
      <c r="C16078" s="1" t="str">
        <f>HYPERLINK("http://www.genecards.org/cgi-bin/carddisp.pl?gene=ADAM12","GeneCards")</f>
        <v>GeneCards</v>
      </c>
      <c r="D16078" s="1" t="str">
        <f>HYPERLINK("http://genome-euro.ucsc.edu/cgi-bin/hgTracks?position=204943_at","UCSC")</f>
        <v>UCSC</v>
      </c>
      <c r="E16078" s="1" t="str">
        <f>HYPERLINK("http://www.ncbi.nlm.nih.gov/gene/?term=ADAM12","NCBI")</f>
        <v>NCBI</v>
      </c>
      <c r="F16078">
        <v>0.81</v>
      </c>
      <c r="G16078">
        <v>0.85</v>
      </c>
      <c r="H16078" s="1" t="str">
        <f>HYPERLINK("http://www.weizmann.ac.il/complex/compphys/software/geview/data/figures/204943_at.png","Figure")</f>
        <v>Figure</v>
      </c>
      <c r="I16078">
        <v>1.05</v>
      </c>
      <c r="J16078">
        <v>0.79</v>
      </c>
      <c r="K16078">
        <v>1.03</v>
      </c>
      <c r="L16078">
        <v>0.92</v>
      </c>
      <c r="M16078">
        <v>0.97499999999999998</v>
      </c>
      <c r="N16078">
        <v>0.94</v>
      </c>
    </row>
    <row r="16079" spans="1:14" x14ac:dyDescent="0.25">
      <c r="A16079" t="s">
        <v>27003</v>
      </c>
      <c r="B16079" t="s">
        <v>27004</v>
      </c>
      <c r="C16079" s="1" t="str">
        <f>HYPERLINK("http://www.genecards.org/cgi-bin/carddisp.pl?gene=SLC35B1","GeneCards")</f>
        <v>GeneCards</v>
      </c>
      <c r="D16079" s="1" t="str">
        <f>HYPERLINK("http://genome-euro.ucsc.edu/cgi-bin/hgTracks?position=202433_at","UCSC")</f>
        <v>UCSC</v>
      </c>
      <c r="E16079" s="1" t="str">
        <f>HYPERLINK("http://www.ncbi.nlm.nih.gov/gene/?term=SLC35B1","NCBI")</f>
        <v>NCBI</v>
      </c>
      <c r="F16079">
        <v>0.81</v>
      </c>
      <c r="G16079">
        <v>0.85</v>
      </c>
      <c r="H16079" s="1" t="str">
        <f>HYPERLINK("http://www.weizmann.ac.il/complex/compphys/software/geview/data/figures/202433_at.png","Figure")</f>
        <v>Figure</v>
      </c>
      <c r="I16079">
        <v>1.03</v>
      </c>
      <c r="J16079">
        <v>0.98</v>
      </c>
      <c r="K16079">
        <v>1.0900000000000001</v>
      </c>
      <c r="L16079">
        <v>0.8</v>
      </c>
      <c r="M16079">
        <v>1.05</v>
      </c>
      <c r="N16079">
        <v>0.92</v>
      </c>
    </row>
    <row r="16080" spans="1:14" x14ac:dyDescent="0.25">
      <c r="A16080" t="s">
        <v>27005</v>
      </c>
      <c r="B16080" t="s">
        <v>27006</v>
      </c>
      <c r="C16080" s="1" t="str">
        <f>HYPERLINK("http://www.genecards.org/cgi-bin/carddisp.pl?gene=GDE1","GeneCards")</f>
        <v>GeneCards</v>
      </c>
      <c r="D16080" s="1" t="str">
        <f>HYPERLINK("http://genome-euro.ucsc.edu/cgi-bin/hgTracks?position=202593_s_at","UCSC")</f>
        <v>UCSC</v>
      </c>
      <c r="E16080" s="1" t="str">
        <f>HYPERLINK("http://www.ncbi.nlm.nih.gov/gene/?term=GDE1","NCBI")</f>
        <v>NCBI</v>
      </c>
      <c r="F16080">
        <v>0.81</v>
      </c>
      <c r="G16080">
        <v>0.85</v>
      </c>
      <c r="H16080" s="1" t="str">
        <f>HYPERLINK("http://www.weizmann.ac.il/complex/compphys/software/geview/data/figures/202593_s_at.png","Figure")</f>
        <v>Figure</v>
      </c>
      <c r="I16080">
        <v>0.99</v>
      </c>
      <c r="J16080">
        <v>0.97</v>
      </c>
      <c r="K16080">
        <v>0.97799999999999998</v>
      </c>
      <c r="L16080">
        <v>0.79</v>
      </c>
      <c r="M16080">
        <v>0.98699999999999999</v>
      </c>
      <c r="N16080">
        <v>0.94</v>
      </c>
    </row>
    <row r="16081" spans="1:14" x14ac:dyDescent="0.25">
      <c r="A16081" t="s">
        <v>27007</v>
      </c>
      <c r="B16081" t="s">
        <v>27008</v>
      </c>
      <c r="C16081" s="1" t="str">
        <f>HYPERLINK("http://www.genecards.org/cgi-bin/carddisp.pl?gene=C15orf49","GeneCards")</f>
        <v>GeneCards</v>
      </c>
      <c r="D16081" s="1" t="str">
        <f>HYPERLINK("http://genome-euro.ucsc.edu/cgi-bin/hgTracks?position=221001_at","UCSC")</f>
        <v>UCSC</v>
      </c>
      <c r="E16081" s="1" t="str">
        <f>HYPERLINK("http://www.ncbi.nlm.nih.gov/gene/?term=C15orf49","NCBI")</f>
        <v>NCBI</v>
      </c>
      <c r="F16081">
        <v>0.81</v>
      </c>
      <c r="G16081">
        <v>0.85</v>
      </c>
      <c r="H16081" s="1" t="str">
        <f>HYPERLINK("http://www.weizmann.ac.il/complex/compphys/software/geview/data/figures/221001_at.png","Figure")</f>
        <v>Figure</v>
      </c>
      <c r="I16081">
        <v>1</v>
      </c>
      <c r="J16081">
        <v>1</v>
      </c>
      <c r="K16081">
        <v>1.03</v>
      </c>
      <c r="L16081">
        <v>0.83</v>
      </c>
      <c r="M16081">
        <v>1.03</v>
      </c>
      <c r="N16081">
        <v>0.87</v>
      </c>
    </row>
    <row r="16082" spans="1:14" x14ac:dyDescent="0.25">
      <c r="A16082" t="s">
        <v>27009</v>
      </c>
      <c r="B16082" t="s">
        <v>1519</v>
      </c>
      <c r="C16082" s="1" t="str">
        <f>HYPERLINK("http://www.genecards.org/cgi-bin/carddisp.pl?gene=AIF1","GeneCards")</f>
        <v>GeneCards</v>
      </c>
      <c r="D16082" s="1" t="str">
        <f>HYPERLINK("http://genome-euro.ucsc.edu/cgi-bin/hgTracks?position=207823_s_at","UCSC")</f>
        <v>UCSC</v>
      </c>
      <c r="E16082" s="1" t="str">
        <f>HYPERLINK("http://www.ncbi.nlm.nih.gov/gene/?term=AIF1","NCBI")</f>
        <v>NCBI</v>
      </c>
      <c r="F16082">
        <v>0.81</v>
      </c>
      <c r="G16082">
        <v>0.85</v>
      </c>
      <c r="H16082" s="1" t="str">
        <f>HYPERLINK("http://www.weizmann.ac.il/complex/compphys/software/geview/data/figures/207823_s_at.png","Figure")</f>
        <v>Figure</v>
      </c>
      <c r="I16082">
        <v>0.97799999999999998</v>
      </c>
      <c r="J16082">
        <v>0.96</v>
      </c>
      <c r="K16082">
        <v>0.95399999999999996</v>
      </c>
      <c r="L16082">
        <v>0.79</v>
      </c>
      <c r="M16082">
        <v>0.97499999999999998</v>
      </c>
      <c r="N16082">
        <v>0.94</v>
      </c>
    </row>
    <row r="16083" spans="1:14" x14ac:dyDescent="0.25">
      <c r="A16083" t="s">
        <v>27010</v>
      </c>
      <c r="B16083" t="s">
        <v>11679</v>
      </c>
      <c r="C16083" s="1" t="str">
        <f>HYPERLINK("http://www.genecards.org/cgi-bin/carddisp.pl?gene=RPL22","GeneCards")</f>
        <v>GeneCards</v>
      </c>
      <c r="D16083" s="1" t="str">
        <f>HYPERLINK("http://genome-euro.ucsc.edu/cgi-bin/hgTracks?position=220960_x_at","UCSC")</f>
        <v>UCSC</v>
      </c>
      <c r="E16083" s="1" t="str">
        <f>HYPERLINK("http://www.ncbi.nlm.nih.gov/gene/?term=RPL22","NCBI")</f>
        <v>NCBI</v>
      </c>
      <c r="F16083">
        <v>0.81</v>
      </c>
      <c r="G16083">
        <v>0.85</v>
      </c>
      <c r="H16083" s="1" t="str">
        <f>HYPERLINK("http://www.weizmann.ac.il/complex/compphys/software/geview/data/figures/220960_x_at.png","Figure")</f>
        <v>Figure</v>
      </c>
      <c r="I16083">
        <v>1.01</v>
      </c>
      <c r="J16083">
        <v>1</v>
      </c>
      <c r="K16083">
        <v>0.96299999999999997</v>
      </c>
      <c r="L16083">
        <v>0.86</v>
      </c>
      <c r="M16083">
        <v>0.95599999999999996</v>
      </c>
      <c r="N16083">
        <v>0.83</v>
      </c>
    </row>
    <row r="16084" spans="1:14" x14ac:dyDescent="0.25">
      <c r="A16084" t="s">
        <v>27011</v>
      </c>
      <c r="B16084" t="s">
        <v>20334</v>
      </c>
      <c r="C16084" s="1" t="str">
        <f>HYPERLINK("http://www.genecards.org/cgi-bin/carddisp.pl?gene=RBM19","GeneCards")</f>
        <v>GeneCards</v>
      </c>
      <c r="D16084" s="1" t="str">
        <f>HYPERLINK("http://genome-euro.ucsc.edu/cgi-bin/hgTracks?position=205115_s_at","UCSC")</f>
        <v>UCSC</v>
      </c>
      <c r="E16084" s="1" t="str">
        <f>HYPERLINK("http://www.ncbi.nlm.nih.gov/gene/?term=RBM19","NCBI")</f>
        <v>NCBI</v>
      </c>
      <c r="F16084">
        <v>0.81</v>
      </c>
      <c r="G16084">
        <v>0.85</v>
      </c>
      <c r="H16084" s="1" t="str">
        <f>HYPERLINK("http://www.weizmann.ac.il/complex/compphys/software/geview/data/figures/205115_s_at.png","Figure")</f>
        <v>Figure</v>
      </c>
      <c r="I16084">
        <v>0.98099999999999998</v>
      </c>
      <c r="J16084">
        <v>0.93</v>
      </c>
      <c r="K16084">
        <v>0.97</v>
      </c>
      <c r="L16084">
        <v>0.79</v>
      </c>
      <c r="M16084">
        <v>0.98899999999999999</v>
      </c>
      <c r="N16084">
        <v>0.97</v>
      </c>
    </row>
    <row r="16085" spans="1:14" x14ac:dyDescent="0.25">
      <c r="A16085" t="s">
        <v>27012</v>
      </c>
      <c r="B16085" t="s">
        <v>27013</v>
      </c>
      <c r="C16085" s="1" t="str">
        <f>HYPERLINK("http://www.genecards.org/cgi-bin/carddisp.pl?gene=HSPA1A /// HSPA1B","GeneCards")</f>
        <v>GeneCards</v>
      </c>
      <c r="D16085" s="1" t="str">
        <f>HYPERLINK("http://genome-euro.ucsc.edu/cgi-bin/hgTracks?position=202581_at","UCSC")</f>
        <v>UCSC</v>
      </c>
      <c r="E16085" s="1" t="str">
        <f>HYPERLINK("http://www.ncbi.nlm.nih.gov/gene/?term=HSPA1A /// HSPA1B","NCBI")</f>
        <v>NCBI</v>
      </c>
      <c r="F16085">
        <v>0.81</v>
      </c>
      <c r="G16085">
        <v>0.85</v>
      </c>
      <c r="H16085" s="1" t="str">
        <f>HYPERLINK("http://www.weizmann.ac.il/complex/compphys/software/geview/data/figures/202581_at.png","Figure")</f>
        <v>Figure</v>
      </c>
      <c r="I16085">
        <v>0.96899999999999997</v>
      </c>
      <c r="J16085">
        <v>1</v>
      </c>
      <c r="K16085">
        <v>0.753</v>
      </c>
      <c r="L16085">
        <v>0.82</v>
      </c>
      <c r="M16085">
        <v>0.77800000000000002</v>
      </c>
      <c r="N16085">
        <v>0.88</v>
      </c>
    </row>
    <row r="16086" spans="1:14" x14ac:dyDescent="0.25">
      <c r="A16086" t="s">
        <v>27014</v>
      </c>
      <c r="B16086" t="s">
        <v>22187</v>
      </c>
      <c r="C16086" s="1" t="str">
        <f>HYPERLINK("http://www.genecards.org/cgi-bin/carddisp.pl?gene=RPL13A","GeneCards")</f>
        <v>GeneCards</v>
      </c>
      <c r="D16086" s="1" t="str">
        <f>HYPERLINK("http://genome-euro.ucsc.edu/cgi-bin/hgTracks?position=212790_x_at","UCSC")</f>
        <v>UCSC</v>
      </c>
      <c r="E16086" s="1" t="str">
        <f>HYPERLINK("http://www.ncbi.nlm.nih.gov/gene/?term=RPL13A","NCBI")</f>
        <v>NCBI</v>
      </c>
      <c r="F16086">
        <v>0.81</v>
      </c>
      <c r="G16086">
        <v>0.85</v>
      </c>
      <c r="H16086" s="1" t="str">
        <f>HYPERLINK("http://www.weizmann.ac.il/complex/compphys/software/geview/data/figures/212790_x_at.png","Figure")</f>
        <v>Figure</v>
      </c>
      <c r="I16086">
        <v>1.04</v>
      </c>
      <c r="J16086">
        <v>0.9</v>
      </c>
      <c r="K16086">
        <v>0.98199999999999998</v>
      </c>
      <c r="L16086">
        <v>0.98</v>
      </c>
      <c r="M16086">
        <v>0.94199999999999995</v>
      </c>
      <c r="N16086">
        <v>0.79</v>
      </c>
    </row>
    <row r="16087" spans="1:14" x14ac:dyDescent="0.25">
      <c r="A16087" t="s">
        <v>27015</v>
      </c>
      <c r="B16087" t="s">
        <v>27016</v>
      </c>
      <c r="C16087" s="1" t="str">
        <f>HYPERLINK("http://www.genecards.org/cgi-bin/carddisp.pl?gene=SNX17","GeneCards")</f>
        <v>GeneCards</v>
      </c>
      <c r="D16087" s="1" t="str">
        <f>HYPERLINK("http://genome-euro.ucsc.edu/cgi-bin/hgTracks?position=200991_s_at","UCSC")</f>
        <v>UCSC</v>
      </c>
      <c r="E16087" s="1" t="str">
        <f>HYPERLINK("http://www.ncbi.nlm.nih.gov/gene/?term=SNX17","NCBI")</f>
        <v>NCBI</v>
      </c>
      <c r="F16087">
        <v>0.81</v>
      </c>
      <c r="G16087">
        <v>0.85</v>
      </c>
      <c r="H16087" s="1" t="str">
        <f>HYPERLINK("http://www.weizmann.ac.il/complex/compphys/software/geview/data/figures/200991_s_at.png","Figure")</f>
        <v>Figure</v>
      </c>
      <c r="I16087">
        <v>1.0900000000000001</v>
      </c>
      <c r="J16087">
        <v>0.83</v>
      </c>
      <c r="K16087">
        <v>1</v>
      </c>
      <c r="L16087">
        <v>1</v>
      </c>
      <c r="M16087">
        <v>0.91700000000000004</v>
      </c>
      <c r="N16087">
        <v>0.82</v>
      </c>
    </row>
    <row r="16088" spans="1:14" x14ac:dyDescent="0.25">
      <c r="A16088" t="s">
        <v>27017</v>
      </c>
      <c r="B16088" t="s">
        <v>27018</v>
      </c>
      <c r="C16088" s="1" t="str">
        <f>HYPERLINK("http://www.genecards.org/cgi-bin/carddisp.pl?gene=DOCK1","GeneCards")</f>
        <v>GeneCards</v>
      </c>
      <c r="D16088" s="1" t="str">
        <f>HYPERLINK("http://genome-euro.ucsc.edu/cgi-bin/hgTracks?position=203187_at","UCSC")</f>
        <v>UCSC</v>
      </c>
      <c r="E16088" s="1" t="str">
        <f>HYPERLINK("http://www.ncbi.nlm.nih.gov/gene/?term=DOCK1","NCBI")</f>
        <v>NCBI</v>
      </c>
      <c r="F16088">
        <v>0.81</v>
      </c>
      <c r="G16088">
        <v>0.85</v>
      </c>
      <c r="H16088" s="1" t="str">
        <f>HYPERLINK("http://www.weizmann.ac.il/complex/compphys/software/geview/data/figures/203187_at.png","Figure")</f>
        <v>Figure</v>
      </c>
      <c r="I16088">
        <v>1</v>
      </c>
      <c r="J16088">
        <v>1</v>
      </c>
      <c r="K16088">
        <v>0.91300000000000003</v>
      </c>
      <c r="L16088">
        <v>0.84</v>
      </c>
      <c r="M16088">
        <v>0.91</v>
      </c>
      <c r="N16088">
        <v>0.85</v>
      </c>
    </row>
    <row r="16089" spans="1:14" x14ac:dyDescent="0.25">
      <c r="A16089" t="s">
        <v>27019</v>
      </c>
      <c r="B16089" t="s">
        <v>17419</v>
      </c>
      <c r="C16089" s="1" t="str">
        <f>HYPERLINK("http://www.genecards.org/cgi-bin/carddisp.pl?gene=GGT1","GeneCards")</f>
        <v>GeneCards</v>
      </c>
      <c r="D16089" s="1" t="str">
        <f>HYPERLINK("http://genome-euro.ucsc.edu/cgi-bin/hgTracks?position=207131_x_at","UCSC")</f>
        <v>UCSC</v>
      </c>
      <c r="E16089" s="1" t="str">
        <f>HYPERLINK("http://www.ncbi.nlm.nih.gov/gene/?term=GGT1","NCBI")</f>
        <v>NCBI</v>
      </c>
      <c r="F16089">
        <v>0.81</v>
      </c>
      <c r="G16089">
        <v>0.85</v>
      </c>
      <c r="H16089" s="1" t="str">
        <f>HYPERLINK("http://www.weizmann.ac.il/complex/compphys/software/geview/data/figures/207131_x_at.png","Figure")</f>
        <v>Figure</v>
      </c>
      <c r="I16089">
        <v>1.06</v>
      </c>
      <c r="J16089">
        <v>0.79</v>
      </c>
      <c r="K16089">
        <v>1.03</v>
      </c>
      <c r="L16089">
        <v>0.93</v>
      </c>
      <c r="M16089">
        <v>0.96899999999999997</v>
      </c>
      <c r="N16089">
        <v>0.93</v>
      </c>
    </row>
    <row r="16090" spans="1:14" x14ac:dyDescent="0.25">
      <c r="A16090" t="s">
        <v>27020</v>
      </c>
      <c r="B16090" t="s">
        <v>27021</v>
      </c>
      <c r="C16090" s="1" t="str">
        <f>HYPERLINK("http://www.genecards.org/cgi-bin/carddisp.pl?gene=H2BFS /// HIST1H2BK","GeneCards")</f>
        <v>GeneCards</v>
      </c>
      <c r="D16090" s="1" t="str">
        <f>HYPERLINK("http://genome-euro.ucsc.edu/cgi-bin/hgTracks?position=208579_x_at","UCSC")</f>
        <v>UCSC</v>
      </c>
      <c r="E16090" s="1" t="str">
        <f>HYPERLINK("http://www.ncbi.nlm.nih.gov/gene/?term=H2BFS /// HIST1H2BK","NCBI")</f>
        <v>NCBI</v>
      </c>
      <c r="F16090">
        <v>0.81</v>
      </c>
      <c r="G16090">
        <v>0.85</v>
      </c>
      <c r="H16090" s="1" t="str">
        <f>HYPERLINK("http://www.weizmann.ac.il/complex/compphys/software/geview/data/figures/208579_x_at.png","Figure")</f>
        <v>Figure</v>
      </c>
      <c r="I16090">
        <v>1.27</v>
      </c>
      <c r="J16090">
        <v>0.79</v>
      </c>
      <c r="K16090">
        <v>1.08</v>
      </c>
      <c r="L16090">
        <v>0.97</v>
      </c>
      <c r="M16090">
        <v>0.85499999999999998</v>
      </c>
      <c r="N16090">
        <v>0.89</v>
      </c>
    </row>
    <row r="16091" spans="1:14" x14ac:dyDescent="0.25">
      <c r="A16091" t="s">
        <v>27022</v>
      </c>
      <c r="B16091" t="s">
        <v>27023</v>
      </c>
      <c r="C16091" s="1" t="str">
        <f>HYPERLINK("http://www.genecards.org/cgi-bin/carddisp.pl?gene=RPL6","GeneCards")</f>
        <v>GeneCards</v>
      </c>
      <c r="D16091" s="1" t="str">
        <f>HYPERLINK("http://genome-euro.ucsc.edu/cgi-bin/hgTracks?position=200034_s_at","UCSC")</f>
        <v>UCSC</v>
      </c>
      <c r="E16091" s="1" t="str">
        <f>HYPERLINK("http://www.ncbi.nlm.nih.gov/gene/?term=RPL6","NCBI")</f>
        <v>NCBI</v>
      </c>
      <c r="F16091">
        <v>0.81</v>
      </c>
      <c r="G16091">
        <v>0.85</v>
      </c>
      <c r="H16091" s="1" t="str">
        <f>HYPERLINK("http://www.weizmann.ac.il/complex/compphys/software/geview/data/figures/200034_s_at.png","Figure")</f>
        <v>Figure</v>
      </c>
      <c r="I16091">
        <v>1.01</v>
      </c>
      <c r="J16091">
        <v>1</v>
      </c>
      <c r="K16091">
        <v>0.95399999999999996</v>
      </c>
      <c r="L16091">
        <v>0.86</v>
      </c>
      <c r="M16091">
        <v>0.94699999999999995</v>
      </c>
      <c r="N16091">
        <v>0.84</v>
      </c>
    </row>
    <row r="16092" spans="1:14" x14ac:dyDescent="0.25">
      <c r="A16092" t="s">
        <v>27024</v>
      </c>
      <c r="B16092" t="s">
        <v>21354</v>
      </c>
      <c r="C16092" s="1" t="str">
        <f>HYPERLINK("http://www.genecards.org/cgi-bin/carddisp.pl?gene=ARF6","GeneCards")</f>
        <v>GeneCards</v>
      </c>
      <c r="D16092" s="1" t="str">
        <f>HYPERLINK("http://genome-euro.ucsc.edu/cgi-bin/hgTracks?position=203311_s_at","UCSC")</f>
        <v>UCSC</v>
      </c>
      <c r="E16092" s="1" t="str">
        <f>HYPERLINK("http://www.ncbi.nlm.nih.gov/gene/?term=ARF6","NCBI")</f>
        <v>NCBI</v>
      </c>
      <c r="F16092">
        <v>0.81</v>
      </c>
      <c r="G16092">
        <v>0.85</v>
      </c>
      <c r="H16092" s="1" t="str">
        <f>HYPERLINK("http://www.weizmann.ac.il/complex/compphys/software/geview/data/figures/203311_s_at.png","Figure")</f>
        <v>Figure</v>
      </c>
      <c r="I16092">
        <v>0.96799999999999997</v>
      </c>
      <c r="J16092">
        <v>0.98</v>
      </c>
      <c r="K16092">
        <v>1.07</v>
      </c>
      <c r="L16092">
        <v>0.9</v>
      </c>
      <c r="M16092">
        <v>1.1000000000000001</v>
      </c>
      <c r="N16092">
        <v>0.81</v>
      </c>
    </row>
    <row r="16093" spans="1:14" x14ac:dyDescent="0.25">
      <c r="A16093" t="s">
        <v>27025</v>
      </c>
      <c r="B16093" t="s">
        <v>14894</v>
      </c>
      <c r="C16093" s="1" t="str">
        <f>HYPERLINK("http://www.genecards.org/cgi-bin/carddisp.pl?gene=LOC729580","GeneCards")</f>
        <v>GeneCards</v>
      </c>
      <c r="D16093" s="1" t="str">
        <f>HYPERLINK("http://genome-euro.ucsc.edu/cgi-bin/hgTracks?position=221953_s_at","UCSC")</f>
        <v>UCSC</v>
      </c>
      <c r="E16093" s="1" t="str">
        <f>HYPERLINK("http://www.ncbi.nlm.nih.gov/gene/?term=LOC729580","NCBI")</f>
        <v>NCBI</v>
      </c>
      <c r="F16093">
        <v>0.81</v>
      </c>
      <c r="G16093">
        <v>0.85</v>
      </c>
      <c r="H16093" s="1" t="str">
        <f>HYPERLINK("http://www.weizmann.ac.il/complex/compphys/software/geview/data/figures/221953_s_at.png","Figure")</f>
        <v>Figure</v>
      </c>
      <c r="I16093">
        <v>0.93400000000000005</v>
      </c>
      <c r="J16093">
        <v>0.93</v>
      </c>
      <c r="K16093">
        <v>0.89700000000000002</v>
      </c>
      <c r="L16093">
        <v>0.79</v>
      </c>
      <c r="M16093">
        <v>0.96099999999999997</v>
      </c>
      <c r="N16093">
        <v>0.97</v>
      </c>
    </row>
    <row r="16094" spans="1:14" x14ac:dyDescent="0.25">
      <c r="A16094" t="s">
        <v>27026</v>
      </c>
      <c r="B16094" t="s">
        <v>27027</v>
      </c>
      <c r="C16094" s="1" t="str">
        <f>HYPERLINK("http://www.genecards.org/cgi-bin/carddisp.pl?gene=HMGB3L1","GeneCards")</f>
        <v>GeneCards</v>
      </c>
      <c r="D16094" s="1" t="str">
        <f>HYPERLINK("http://genome-euro.ucsc.edu/cgi-bin/hgTracks?position=216548_x_at","UCSC")</f>
        <v>UCSC</v>
      </c>
      <c r="E16094" s="1" t="str">
        <f>HYPERLINK("http://www.ncbi.nlm.nih.gov/gene/?term=HMGB3L1","NCBI")</f>
        <v>NCBI</v>
      </c>
      <c r="F16094">
        <v>0.81</v>
      </c>
      <c r="G16094">
        <v>0.85</v>
      </c>
      <c r="H16094" s="1" t="str">
        <f>HYPERLINK("http://www.weizmann.ac.il/complex/compphys/software/geview/data/figures/216548_x_at.png","Figure")</f>
        <v>Figure</v>
      </c>
      <c r="I16094">
        <v>0.91100000000000003</v>
      </c>
      <c r="J16094">
        <v>0.79</v>
      </c>
      <c r="K16094">
        <v>0.95199999999999996</v>
      </c>
      <c r="L16094">
        <v>0.92</v>
      </c>
      <c r="M16094">
        <v>1.05</v>
      </c>
      <c r="N16094">
        <v>0.94</v>
      </c>
    </row>
    <row r="16095" spans="1:14" x14ac:dyDescent="0.25">
      <c r="A16095" t="s">
        <v>27028</v>
      </c>
      <c r="B16095" t="s">
        <v>1946</v>
      </c>
      <c r="C16095" s="1" t="str">
        <f>HYPERLINK("http://www.genecards.org/cgi-bin/carddisp.pl?gene=SYNGR1","GeneCards")</f>
        <v>GeneCards</v>
      </c>
      <c r="D16095" s="1" t="str">
        <f>HYPERLINK("http://genome-euro.ucsc.edu/cgi-bin/hgTracks?position=204287_at","UCSC")</f>
        <v>UCSC</v>
      </c>
      <c r="E16095" s="1" t="str">
        <f>HYPERLINK("http://www.ncbi.nlm.nih.gov/gene/?term=SYNGR1","NCBI")</f>
        <v>NCBI</v>
      </c>
      <c r="F16095">
        <v>0.81</v>
      </c>
      <c r="G16095">
        <v>0.85</v>
      </c>
      <c r="H16095" s="1" t="str">
        <f>HYPERLINK("http://www.weizmann.ac.il/complex/compphys/software/geview/data/figures/204287_at.png","Figure")</f>
        <v>Figure</v>
      </c>
      <c r="I16095">
        <v>0.96799999999999997</v>
      </c>
      <c r="J16095">
        <v>0.95</v>
      </c>
      <c r="K16095">
        <v>1.04</v>
      </c>
      <c r="L16095">
        <v>0.93</v>
      </c>
      <c r="M16095">
        <v>1.07</v>
      </c>
      <c r="N16095">
        <v>0.8</v>
      </c>
    </row>
    <row r="16096" spans="1:14" x14ac:dyDescent="0.25">
      <c r="A16096" t="s">
        <v>27029</v>
      </c>
      <c r="B16096" t="s">
        <v>15307</v>
      </c>
      <c r="C16096" s="1" t="str">
        <f>HYPERLINK("http://www.genecards.org/cgi-bin/carddisp.pl?gene=SIN3B","GeneCards")</f>
        <v>GeneCards</v>
      </c>
      <c r="D16096" s="1" t="str">
        <f>HYPERLINK("http://genome-euro.ucsc.edu/cgi-bin/hgTracks?position=39705_at","UCSC")</f>
        <v>UCSC</v>
      </c>
      <c r="E16096" s="1" t="str">
        <f>HYPERLINK("http://www.ncbi.nlm.nih.gov/gene/?term=SIN3B","NCBI")</f>
        <v>NCBI</v>
      </c>
      <c r="F16096">
        <v>0.81</v>
      </c>
      <c r="G16096">
        <v>0.85</v>
      </c>
      <c r="H16096" s="1" t="str">
        <f>HYPERLINK("http://www.weizmann.ac.il/complex/compphys/software/geview/data/figures/39705_at.png","Figure")</f>
        <v>Figure</v>
      </c>
      <c r="I16096">
        <v>1.07</v>
      </c>
      <c r="J16096">
        <v>0.9</v>
      </c>
      <c r="K16096">
        <v>1.0900000000000001</v>
      </c>
      <c r="L16096">
        <v>0.8</v>
      </c>
      <c r="M16096">
        <v>1.02</v>
      </c>
      <c r="N16096">
        <v>0.99</v>
      </c>
    </row>
    <row r="16097" spans="1:14" x14ac:dyDescent="0.25">
      <c r="A16097" t="s">
        <v>27030</v>
      </c>
      <c r="B16097" t="s">
        <v>18862</v>
      </c>
      <c r="C16097" s="1" t="str">
        <f>HYPERLINK("http://www.genecards.org/cgi-bin/carddisp.pl?gene=TNFSF12-TNFSF13 /// TNFSF13","GeneCards")</f>
        <v>GeneCards</v>
      </c>
      <c r="D16097" s="1" t="str">
        <f>HYPERLINK("http://genome-euro.ucsc.edu/cgi-bin/hgTracks?position=211495_x_at","UCSC")</f>
        <v>UCSC</v>
      </c>
      <c r="E16097" s="1" t="str">
        <f>HYPERLINK("http://www.ncbi.nlm.nih.gov/gene/?term=TNFSF12-TNFSF13 /// TNFSF13","NCBI")</f>
        <v>NCBI</v>
      </c>
      <c r="F16097">
        <v>0.81</v>
      </c>
      <c r="G16097">
        <v>0.85</v>
      </c>
      <c r="H16097" s="1" t="str">
        <f>HYPERLINK("http://www.weizmann.ac.il/complex/compphys/software/geview/data/figures/211495_x_at.png","Figure")</f>
        <v>Figure</v>
      </c>
      <c r="I16097">
        <v>0.98499999999999999</v>
      </c>
      <c r="J16097">
        <v>0.97</v>
      </c>
      <c r="K16097">
        <v>1.02</v>
      </c>
      <c r="L16097">
        <v>0.91</v>
      </c>
      <c r="M16097">
        <v>1.04</v>
      </c>
      <c r="N16097">
        <v>0.81</v>
      </c>
    </row>
    <row r="16098" spans="1:14" x14ac:dyDescent="0.25">
      <c r="A16098" t="s">
        <v>27031</v>
      </c>
      <c r="B16098" t="s">
        <v>27032</v>
      </c>
      <c r="C16098" s="1" t="str">
        <f>HYPERLINK("http://www.genecards.org/cgi-bin/carddisp.pl?gene=C11orf57","GeneCards")</f>
        <v>GeneCards</v>
      </c>
      <c r="D16098" s="1" t="str">
        <f>HYPERLINK("http://genome-euro.ucsc.edu/cgi-bin/hgTracks?position=218314_s_at","UCSC")</f>
        <v>UCSC</v>
      </c>
      <c r="E16098" s="1" t="str">
        <f>HYPERLINK("http://www.ncbi.nlm.nih.gov/gene/?term=C11orf57","NCBI")</f>
        <v>NCBI</v>
      </c>
      <c r="F16098">
        <v>0.81</v>
      </c>
      <c r="G16098">
        <v>0.85</v>
      </c>
      <c r="H16098" s="1" t="str">
        <f>HYPERLINK("http://www.weizmann.ac.il/complex/compphys/software/geview/data/figures/218314_s_at.png","Figure")</f>
        <v>Figure</v>
      </c>
      <c r="I16098">
        <v>0.90900000000000003</v>
      </c>
      <c r="J16098">
        <v>0.82</v>
      </c>
      <c r="K16098">
        <v>0.98699999999999999</v>
      </c>
      <c r="L16098">
        <v>1</v>
      </c>
      <c r="M16098">
        <v>1.0900000000000001</v>
      </c>
      <c r="N16098">
        <v>0.84</v>
      </c>
    </row>
    <row r="16099" spans="1:14" x14ac:dyDescent="0.25">
      <c r="A16099" t="s">
        <v>27033</v>
      </c>
      <c r="B16099" t="s">
        <v>27034</v>
      </c>
      <c r="C16099" s="1" t="str">
        <f>HYPERLINK("http://www.genecards.org/cgi-bin/carddisp.pl?gene=CDK3","GeneCards")</f>
        <v>GeneCards</v>
      </c>
      <c r="D16099" s="1" t="str">
        <f>HYPERLINK("http://genome-euro.ucsc.edu/cgi-bin/hgTracks?position=207188_at","UCSC")</f>
        <v>UCSC</v>
      </c>
      <c r="E16099" s="1" t="str">
        <f>HYPERLINK("http://www.ncbi.nlm.nih.gov/gene/?term=CDK3","NCBI")</f>
        <v>NCBI</v>
      </c>
      <c r="F16099">
        <v>0.81</v>
      </c>
      <c r="G16099">
        <v>0.85</v>
      </c>
      <c r="H16099" s="1" t="str">
        <f>HYPERLINK("http://www.weizmann.ac.il/complex/compphys/software/geview/data/figures/207188_at.png","Figure")</f>
        <v>Figure</v>
      </c>
      <c r="I16099">
        <v>1.04</v>
      </c>
      <c r="J16099">
        <v>0.91</v>
      </c>
      <c r="K16099">
        <v>1.05</v>
      </c>
      <c r="L16099">
        <v>0.8</v>
      </c>
      <c r="M16099">
        <v>1.01</v>
      </c>
      <c r="N16099">
        <v>0.99</v>
      </c>
    </row>
    <row r="16100" spans="1:14" x14ac:dyDescent="0.25">
      <c r="A16100" t="s">
        <v>27035</v>
      </c>
      <c r="B16100" t="s">
        <v>27036</v>
      </c>
      <c r="C16100" s="1" t="str">
        <f>HYPERLINK("http://www.genecards.org/cgi-bin/carddisp.pl?gene=GSTM5","GeneCards")</f>
        <v>GeneCards</v>
      </c>
      <c r="D16100" s="1" t="str">
        <f>HYPERLINK("http://genome-euro.ucsc.edu/cgi-bin/hgTracks?position=205752_s_at","UCSC")</f>
        <v>UCSC</v>
      </c>
      <c r="E16100" s="1" t="str">
        <f>HYPERLINK("http://www.ncbi.nlm.nih.gov/gene/?term=GSTM5","NCBI")</f>
        <v>NCBI</v>
      </c>
      <c r="F16100">
        <v>0.81</v>
      </c>
      <c r="G16100">
        <v>0.85</v>
      </c>
      <c r="H16100" s="1" t="str">
        <f>HYPERLINK("http://www.weizmann.ac.il/complex/compphys/software/geview/data/figures/205752_s_at.png","Figure")</f>
        <v>Figure</v>
      </c>
      <c r="I16100">
        <v>0.98499999999999999</v>
      </c>
      <c r="J16100">
        <v>1</v>
      </c>
      <c r="K16100">
        <v>0.91200000000000003</v>
      </c>
      <c r="L16100">
        <v>0.82</v>
      </c>
      <c r="M16100">
        <v>0.92600000000000005</v>
      </c>
      <c r="N16100">
        <v>0.89</v>
      </c>
    </row>
    <row r="16101" spans="1:14" x14ac:dyDescent="0.25">
      <c r="A16101" t="s">
        <v>27037</v>
      </c>
      <c r="B16101" t="s">
        <v>27038</v>
      </c>
      <c r="C16101" s="1" t="str">
        <f>HYPERLINK("http://www.genecards.org/cgi-bin/carddisp.pl?gene=C1orf105","GeneCards")</f>
        <v>GeneCards</v>
      </c>
      <c r="D16101" s="1" t="str">
        <f>HYPERLINK("http://genome-euro.ucsc.edu/cgi-bin/hgTracks?position=214357_at","UCSC")</f>
        <v>UCSC</v>
      </c>
      <c r="E16101" s="1" t="str">
        <f>HYPERLINK("http://www.ncbi.nlm.nih.gov/gene/?term=C1orf105","NCBI")</f>
        <v>NCBI</v>
      </c>
      <c r="F16101">
        <v>0.81</v>
      </c>
      <c r="G16101">
        <v>0.85</v>
      </c>
      <c r="H16101" s="1" t="str">
        <f>HYPERLINK("http://www.weizmann.ac.il/complex/compphys/software/geview/data/figures/214357_at.png","Figure")</f>
        <v>Figure</v>
      </c>
      <c r="I16101">
        <v>1.03</v>
      </c>
      <c r="J16101">
        <v>0.93</v>
      </c>
      <c r="K16101">
        <v>0.97899999999999998</v>
      </c>
      <c r="L16101">
        <v>0.96</v>
      </c>
      <c r="M16101">
        <v>0.94699999999999995</v>
      </c>
      <c r="N16101">
        <v>0.79</v>
      </c>
    </row>
    <row r="16102" spans="1:14" x14ac:dyDescent="0.25">
      <c r="A16102" t="s">
        <v>27039</v>
      </c>
      <c r="B16102" t="s">
        <v>10702</v>
      </c>
      <c r="C16102" s="1" t="str">
        <f>HYPERLINK("http://www.genecards.org/cgi-bin/carddisp.pl?gene=ARID1A","GeneCards")</f>
        <v>GeneCards</v>
      </c>
      <c r="D16102" s="1" t="str">
        <f>HYPERLINK("http://genome-euro.ucsc.edu/cgi-bin/hgTracks?position=210649_s_at","UCSC")</f>
        <v>UCSC</v>
      </c>
      <c r="E16102" s="1" t="str">
        <f>HYPERLINK("http://www.ncbi.nlm.nih.gov/gene/?term=ARID1A","NCBI")</f>
        <v>NCBI</v>
      </c>
      <c r="F16102">
        <v>0.81</v>
      </c>
      <c r="G16102">
        <v>0.85</v>
      </c>
      <c r="H16102" s="1" t="str">
        <f>HYPERLINK("http://www.weizmann.ac.il/complex/compphys/software/geview/data/figures/210649_s_at.png","Figure")</f>
        <v>Figure</v>
      </c>
      <c r="I16102">
        <v>0.86299999999999999</v>
      </c>
      <c r="J16102">
        <v>0.8</v>
      </c>
      <c r="K16102">
        <v>0.96399999999999997</v>
      </c>
      <c r="L16102">
        <v>0.98</v>
      </c>
      <c r="M16102">
        <v>1.1200000000000001</v>
      </c>
      <c r="N16102">
        <v>0.87</v>
      </c>
    </row>
    <row r="16103" spans="1:14" x14ac:dyDescent="0.25">
      <c r="A16103" t="s">
        <v>27040</v>
      </c>
      <c r="B16103" t="s">
        <v>27041</v>
      </c>
      <c r="C16103" s="1" t="str">
        <f>HYPERLINK("http://www.genecards.org/cgi-bin/carddisp.pl?gene=CHMP2A","GeneCards")</f>
        <v>GeneCards</v>
      </c>
      <c r="D16103" s="1" t="str">
        <f>HYPERLINK("http://genome-euro.ucsc.edu/cgi-bin/hgTracks?position=202121_s_at","UCSC")</f>
        <v>UCSC</v>
      </c>
      <c r="E16103" s="1" t="str">
        <f>HYPERLINK("http://www.ncbi.nlm.nih.gov/gene/?term=CHMP2A","NCBI")</f>
        <v>NCBI</v>
      </c>
      <c r="F16103">
        <v>0.81</v>
      </c>
      <c r="G16103">
        <v>0.85</v>
      </c>
      <c r="H16103" s="1" t="str">
        <f>HYPERLINK("http://www.weizmann.ac.il/complex/compphys/software/geview/data/figures/202121_s_at.png","Figure")</f>
        <v>Figure</v>
      </c>
      <c r="I16103">
        <v>0.88900000000000001</v>
      </c>
      <c r="J16103">
        <v>0.79</v>
      </c>
      <c r="K16103">
        <v>0.95499999999999996</v>
      </c>
      <c r="L16103">
        <v>0.95</v>
      </c>
      <c r="M16103">
        <v>1.07</v>
      </c>
      <c r="N16103">
        <v>0.91</v>
      </c>
    </row>
    <row r="16104" spans="1:14" x14ac:dyDescent="0.25">
      <c r="A16104" t="s">
        <v>27042</v>
      </c>
      <c r="B16104" t="s">
        <v>9578</v>
      </c>
      <c r="C16104" s="1" t="str">
        <f>HYPERLINK("http://www.genecards.org/cgi-bin/carddisp.pl?gene=SMOX","GeneCards")</f>
        <v>GeneCards</v>
      </c>
      <c r="D16104" s="1" t="str">
        <f>HYPERLINK("http://genome-euro.ucsc.edu/cgi-bin/hgTracks?position=210357_s_at","UCSC")</f>
        <v>UCSC</v>
      </c>
      <c r="E16104" s="1" t="str">
        <f>HYPERLINK("http://www.ncbi.nlm.nih.gov/gene/?term=SMOX","NCBI")</f>
        <v>NCBI</v>
      </c>
      <c r="F16104">
        <v>0.81</v>
      </c>
      <c r="G16104">
        <v>0.85</v>
      </c>
      <c r="H16104" s="1" t="str">
        <f>HYPERLINK("http://www.weizmann.ac.il/complex/compphys/software/geview/data/figures/210357_s_at.png","Figure")</f>
        <v>Figure</v>
      </c>
      <c r="I16104">
        <v>1.06</v>
      </c>
      <c r="J16104">
        <v>0.82</v>
      </c>
      <c r="K16104">
        <v>1.04</v>
      </c>
      <c r="L16104">
        <v>0.86</v>
      </c>
      <c r="M16104">
        <v>0.98699999999999999</v>
      </c>
      <c r="N16104">
        <v>0.99</v>
      </c>
    </row>
    <row r="16105" spans="1:14" x14ac:dyDescent="0.25">
      <c r="A16105" t="s">
        <v>27043</v>
      </c>
      <c r="B16105" t="s">
        <v>27044</v>
      </c>
      <c r="C16105" s="1" t="str">
        <f>HYPERLINK("http://www.genecards.org/cgi-bin/carddisp.pl?gene=ERI3","GeneCards")</f>
        <v>GeneCards</v>
      </c>
      <c r="D16105" s="1" t="str">
        <f>HYPERLINK("http://genome-euro.ucsc.edu/cgi-bin/hgTracks?position=208973_at","UCSC")</f>
        <v>UCSC</v>
      </c>
      <c r="E16105" s="1" t="str">
        <f>HYPERLINK("http://www.ncbi.nlm.nih.gov/gene/?term=ERI3","NCBI")</f>
        <v>NCBI</v>
      </c>
      <c r="F16105">
        <v>0.81</v>
      </c>
      <c r="G16105">
        <v>0.85</v>
      </c>
      <c r="H16105" s="1" t="str">
        <f>HYPERLINK("http://www.weizmann.ac.il/complex/compphys/software/geview/data/figures/208973_at.png","Figure")</f>
        <v>Figure</v>
      </c>
      <c r="I16105">
        <v>0.96399999999999997</v>
      </c>
      <c r="J16105">
        <v>0.83</v>
      </c>
      <c r="K16105">
        <v>0.998</v>
      </c>
      <c r="L16105">
        <v>1</v>
      </c>
      <c r="M16105">
        <v>1.04</v>
      </c>
      <c r="N16105">
        <v>0.83</v>
      </c>
    </row>
    <row r="16106" spans="1:14" x14ac:dyDescent="0.25">
      <c r="A16106" t="s">
        <v>27045</v>
      </c>
      <c r="B16106" t="s">
        <v>27046</v>
      </c>
      <c r="C16106" s="1" t="str">
        <f>HYPERLINK("http://www.genecards.org/cgi-bin/carddisp.pl?gene=GTF3C5","GeneCards")</f>
        <v>GeneCards</v>
      </c>
      <c r="D16106" s="1" t="str">
        <f>HYPERLINK("http://genome-euro.ucsc.edu/cgi-bin/hgTracks?position=217876_at","UCSC")</f>
        <v>UCSC</v>
      </c>
      <c r="E16106" s="1" t="str">
        <f>HYPERLINK("http://www.ncbi.nlm.nih.gov/gene/?term=GTF3C5","NCBI")</f>
        <v>NCBI</v>
      </c>
      <c r="F16106">
        <v>0.81</v>
      </c>
      <c r="G16106">
        <v>0.85</v>
      </c>
      <c r="H16106" s="1" t="str">
        <f>HYPERLINK("http://www.weizmann.ac.il/complex/compphys/software/geview/data/figures/217876_at.png","Figure")</f>
        <v>Figure</v>
      </c>
      <c r="I16106">
        <v>1</v>
      </c>
      <c r="J16106">
        <v>1</v>
      </c>
      <c r="K16106">
        <v>1.04</v>
      </c>
      <c r="L16106">
        <v>0.84</v>
      </c>
      <c r="M16106">
        <v>1.04</v>
      </c>
      <c r="N16106">
        <v>0.86</v>
      </c>
    </row>
    <row r="16107" spans="1:14" x14ac:dyDescent="0.25">
      <c r="A16107" t="s">
        <v>27047</v>
      </c>
      <c r="B16107" t="s">
        <v>12464</v>
      </c>
      <c r="C16107" s="1" t="str">
        <f>HYPERLINK("http://www.genecards.org/cgi-bin/carddisp.pl?gene=ZNF688","GeneCards")</f>
        <v>GeneCards</v>
      </c>
      <c r="D16107" s="1" t="str">
        <f>HYPERLINK("http://genome-euro.ucsc.edu/cgi-bin/hgTracks?position=213527_s_at","UCSC")</f>
        <v>UCSC</v>
      </c>
      <c r="E16107" s="1" t="str">
        <f>HYPERLINK("http://www.ncbi.nlm.nih.gov/gene/?term=ZNF688","NCBI")</f>
        <v>NCBI</v>
      </c>
      <c r="F16107">
        <v>0.81</v>
      </c>
      <c r="G16107">
        <v>0.86</v>
      </c>
      <c r="H16107" s="1" t="str">
        <f>HYPERLINK("http://www.weizmann.ac.il/complex/compphys/software/geview/data/figures/213527_s_at.png","Figure")</f>
        <v>Figure</v>
      </c>
      <c r="I16107">
        <v>1.1000000000000001</v>
      </c>
      <c r="J16107">
        <v>0.82</v>
      </c>
      <c r="K16107">
        <v>1.07</v>
      </c>
      <c r="L16107">
        <v>0.87</v>
      </c>
      <c r="M16107">
        <v>0.97399999999999998</v>
      </c>
      <c r="N16107">
        <v>0.98</v>
      </c>
    </row>
    <row r="16108" spans="1:14" x14ac:dyDescent="0.25">
      <c r="A16108" t="s">
        <v>27048</v>
      </c>
      <c r="B16108" t="s">
        <v>3970</v>
      </c>
      <c r="C16108" s="1" t="str">
        <f>HYPERLINK("http://www.genecards.org/cgi-bin/carddisp.pl?gene=ILF3","GeneCards")</f>
        <v>GeneCards</v>
      </c>
      <c r="D16108" s="1" t="str">
        <f>HYPERLINK("http://genome-euro.ucsc.edu/cgi-bin/hgTracks?position=211375_s_at","UCSC")</f>
        <v>UCSC</v>
      </c>
      <c r="E16108" s="1" t="str">
        <f>HYPERLINK("http://www.ncbi.nlm.nih.gov/gene/?term=ILF3","NCBI")</f>
        <v>NCBI</v>
      </c>
      <c r="F16108">
        <v>0.81</v>
      </c>
      <c r="G16108">
        <v>0.86</v>
      </c>
      <c r="H16108" s="1" t="str">
        <f>HYPERLINK("http://www.weizmann.ac.il/complex/compphys/software/geview/data/figures/211375_s_at.png","Figure")</f>
        <v>Figure</v>
      </c>
      <c r="I16108">
        <v>0.94199999999999995</v>
      </c>
      <c r="J16108">
        <v>0.97</v>
      </c>
      <c r="K16108">
        <v>0.87</v>
      </c>
      <c r="L16108">
        <v>0.8</v>
      </c>
      <c r="M16108">
        <v>0.92400000000000004</v>
      </c>
      <c r="N16108">
        <v>0.94</v>
      </c>
    </row>
    <row r="16109" spans="1:14" x14ac:dyDescent="0.25">
      <c r="A16109" t="s">
        <v>27049</v>
      </c>
      <c r="B16109" t="s">
        <v>27050</v>
      </c>
      <c r="C16109" s="1" t="str">
        <f>HYPERLINK("http://www.genecards.org/cgi-bin/carddisp.pl?gene=PES1","GeneCards")</f>
        <v>GeneCards</v>
      </c>
      <c r="D16109" s="1" t="str">
        <f>HYPERLINK("http://genome-euro.ucsc.edu/cgi-bin/hgTracks?position=202212_at","UCSC")</f>
        <v>UCSC</v>
      </c>
      <c r="E16109" s="1" t="str">
        <f>HYPERLINK("http://www.ncbi.nlm.nih.gov/gene/?term=PES1","NCBI")</f>
        <v>NCBI</v>
      </c>
      <c r="F16109">
        <v>0.81</v>
      </c>
      <c r="G16109">
        <v>0.86</v>
      </c>
      <c r="H16109" s="1" t="str">
        <f>HYPERLINK("http://www.weizmann.ac.il/complex/compphys/software/geview/data/figures/202212_at.png","Figure")</f>
        <v>Figure</v>
      </c>
      <c r="I16109">
        <v>1.06</v>
      </c>
      <c r="J16109">
        <v>0.8</v>
      </c>
      <c r="K16109">
        <v>1.01</v>
      </c>
      <c r="L16109">
        <v>0.98</v>
      </c>
      <c r="M16109">
        <v>0.95699999999999996</v>
      </c>
      <c r="N16109">
        <v>0.87</v>
      </c>
    </row>
    <row r="16110" spans="1:14" x14ac:dyDescent="0.25">
      <c r="A16110" t="s">
        <v>27051</v>
      </c>
      <c r="B16110" t="s">
        <v>20173</v>
      </c>
      <c r="C16110" s="1" t="str">
        <f>HYPERLINK("http://www.genecards.org/cgi-bin/carddisp.pl?gene=POLR2C","GeneCards")</f>
        <v>GeneCards</v>
      </c>
      <c r="D16110" s="1" t="str">
        <f>HYPERLINK("http://genome-euro.ucsc.edu/cgi-bin/hgTracks?position=214263_x_at","UCSC")</f>
        <v>UCSC</v>
      </c>
      <c r="E16110" s="1" t="str">
        <f>HYPERLINK("http://www.ncbi.nlm.nih.gov/gene/?term=POLR2C","NCBI")</f>
        <v>NCBI</v>
      </c>
      <c r="F16110">
        <v>0.81</v>
      </c>
      <c r="G16110">
        <v>0.86</v>
      </c>
      <c r="H16110" s="1" t="str">
        <f>HYPERLINK("http://www.weizmann.ac.il/complex/compphys/software/geview/data/figures/214263_x_at.png","Figure")</f>
        <v>Figure</v>
      </c>
      <c r="I16110">
        <v>1.02</v>
      </c>
      <c r="J16110">
        <v>0.87</v>
      </c>
      <c r="K16110">
        <v>0.995</v>
      </c>
      <c r="L16110">
        <v>0.99</v>
      </c>
      <c r="M16110">
        <v>0.97199999999999998</v>
      </c>
      <c r="N16110">
        <v>0.8</v>
      </c>
    </row>
    <row r="16111" spans="1:14" x14ac:dyDescent="0.25">
      <c r="A16111" t="s">
        <v>27052</v>
      </c>
      <c r="B16111" t="s">
        <v>18661</v>
      </c>
      <c r="C16111" s="1" t="str">
        <f>HYPERLINK("http://www.genecards.org/cgi-bin/carddisp.pl?gene=NEDD4L","GeneCards")</f>
        <v>GeneCards</v>
      </c>
      <c r="D16111" s="1" t="str">
        <f>HYPERLINK("http://genome-euro.ucsc.edu/cgi-bin/hgTracks?position=212445_s_at","UCSC")</f>
        <v>UCSC</v>
      </c>
      <c r="E16111" s="1" t="str">
        <f>HYPERLINK("http://www.ncbi.nlm.nih.gov/gene/?term=NEDD4L","NCBI")</f>
        <v>NCBI</v>
      </c>
      <c r="F16111">
        <v>0.81</v>
      </c>
      <c r="G16111">
        <v>0.86</v>
      </c>
      <c r="H16111" s="1" t="str">
        <f>HYPERLINK("http://www.weizmann.ac.il/complex/compphys/software/geview/data/figures/212445_s_at.png","Figure")</f>
        <v>Figure</v>
      </c>
      <c r="I16111">
        <v>0.94499999999999995</v>
      </c>
      <c r="J16111">
        <v>0.79</v>
      </c>
      <c r="K16111">
        <v>0.97199999999999998</v>
      </c>
      <c r="L16111">
        <v>0.93</v>
      </c>
      <c r="M16111">
        <v>1.03</v>
      </c>
      <c r="N16111">
        <v>0.94</v>
      </c>
    </row>
    <row r="16112" spans="1:14" x14ac:dyDescent="0.25">
      <c r="A16112" t="s">
        <v>27053</v>
      </c>
      <c r="B16112" t="s">
        <v>27054</v>
      </c>
      <c r="C16112" s="1" t="str">
        <f>HYPERLINK("http://www.genecards.org/cgi-bin/carddisp.pl?gene=CDK5RAP3","GeneCards")</f>
        <v>GeneCards</v>
      </c>
      <c r="D16112" s="1" t="str">
        <f>HYPERLINK("http://genome-euro.ucsc.edu/cgi-bin/hgTracks?position=218740_s_at","UCSC")</f>
        <v>UCSC</v>
      </c>
      <c r="E16112" s="1" t="str">
        <f>HYPERLINK("http://www.ncbi.nlm.nih.gov/gene/?term=CDK5RAP3","NCBI")</f>
        <v>NCBI</v>
      </c>
      <c r="F16112">
        <v>0.81</v>
      </c>
      <c r="G16112">
        <v>0.86</v>
      </c>
      <c r="H16112" s="1" t="str">
        <f>HYPERLINK("http://www.weizmann.ac.il/complex/compphys/software/geview/data/figures/218740_s_at.png","Figure")</f>
        <v>Figure</v>
      </c>
      <c r="I16112">
        <v>1.17</v>
      </c>
      <c r="J16112">
        <v>0.8</v>
      </c>
      <c r="K16112">
        <v>1.04</v>
      </c>
      <c r="L16112">
        <v>0.98</v>
      </c>
      <c r="M16112">
        <v>0.89</v>
      </c>
      <c r="N16112">
        <v>0.87</v>
      </c>
    </row>
    <row r="16113" spans="1:14" x14ac:dyDescent="0.25">
      <c r="A16113" t="s">
        <v>27055</v>
      </c>
      <c r="B16113" t="s">
        <v>16636</v>
      </c>
      <c r="C16113" s="1" t="str">
        <f>HYPERLINK("http://www.genecards.org/cgi-bin/carddisp.pl?gene=PTPN11","GeneCards")</f>
        <v>GeneCards</v>
      </c>
      <c r="D16113" s="1" t="str">
        <f>HYPERLINK("http://genome-euro.ucsc.edu/cgi-bin/hgTracks?position=209896_s_at","UCSC")</f>
        <v>UCSC</v>
      </c>
      <c r="E16113" s="1" t="str">
        <f>HYPERLINK("http://www.ncbi.nlm.nih.gov/gene/?term=PTPN11","NCBI")</f>
        <v>NCBI</v>
      </c>
      <c r="F16113">
        <v>0.81</v>
      </c>
      <c r="G16113">
        <v>0.86</v>
      </c>
      <c r="H16113" s="1" t="str">
        <f>HYPERLINK("http://www.weizmann.ac.il/complex/compphys/software/geview/data/figures/209896_s_at.png","Figure")</f>
        <v>Figure</v>
      </c>
      <c r="I16113">
        <v>0.98799999999999999</v>
      </c>
      <c r="J16113">
        <v>1</v>
      </c>
      <c r="K16113">
        <v>1.08</v>
      </c>
      <c r="L16113">
        <v>0.86</v>
      </c>
      <c r="M16113">
        <v>1.0900000000000001</v>
      </c>
      <c r="N16113">
        <v>0.84</v>
      </c>
    </row>
    <row r="16114" spans="1:14" x14ac:dyDescent="0.25">
      <c r="A16114" t="s">
        <v>27056</v>
      </c>
      <c r="B16114" t="s">
        <v>27057</v>
      </c>
      <c r="C16114" s="1" t="str">
        <f>HYPERLINK("http://www.genecards.org/cgi-bin/carddisp.pl?gene=WDR41","GeneCards")</f>
        <v>GeneCards</v>
      </c>
      <c r="D16114" s="1" t="str">
        <f>HYPERLINK("http://genome-euro.ucsc.edu/cgi-bin/hgTracks?position=218055_s_at","UCSC")</f>
        <v>UCSC</v>
      </c>
      <c r="E16114" s="1" t="str">
        <f>HYPERLINK("http://www.ncbi.nlm.nih.gov/gene/?term=WDR41","NCBI")</f>
        <v>NCBI</v>
      </c>
      <c r="F16114">
        <v>0.81</v>
      </c>
      <c r="G16114">
        <v>0.86</v>
      </c>
      <c r="H16114" s="1" t="str">
        <f>HYPERLINK("http://www.weizmann.ac.il/complex/compphys/software/geview/data/figures/218055_s_at.png","Figure")</f>
        <v>Figure</v>
      </c>
      <c r="I16114">
        <v>1.03</v>
      </c>
      <c r="J16114">
        <v>0.99</v>
      </c>
      <c r="K16114">
        <v>1.1599999999999999</v>
      </c>
      <c r="L16114">
        <v>0.82</v>
      </c>
      <c r="M16114">
        <v>1.1200000000000001</v>
      </c>
      <c r="N16114">
        <v>0.9</v>
      </c>
    </row>
    <row r="16115" spans="1:14" x14ac:dyDescent="0.25">
      <c r="A16115" t="s">
        <v>27058</v>
      </c>
      <c r="B16115" t="s">
        <v>27059</v>
      </c>
      <c r="C16115" s="1" t="str">
        <f>HYPERLINK("http://www.genecards.org/cgi-bin/carddisp.pl?gene=HPN","GeneCards")</f>
        <v>GeneCards</v>
      </c>
      <c r="D16115" s="1" t="str">
        <f>HYPERLINK("http://genome-euro.ucsc.edu/cgi-bin/hgTracks?position=204934_s_at","UCSC")</f>
        <v>UCSC</v>
      </c>
      <c r="E16115" s="1" t="str">
        <f>HYPERLINK("http://www.ncbi.nlm.nih.gov/gene/?term=HPN","NCBI")</f>
        <v>NCBI</v>
      </c>
      <c r="F16115">
        <v>0.81</v>
      </c>
      <c r="G16115">
        <v>0.86</v>
      </c>
      <c r="H16115" s="1" t="str">
        <f>HYPERLINK("http://www.weizmann.ac.il/complex/compphys/software/geview/data/figures/204934_s_at.png","Figure")</f>
        <v>Figure</v>
      </c>
      <c r="I16115">
        <v>0.98799999999999999</v>
      </c>
      <c r="J16115">
        <v>0.95</v>
      </c>
      <c r="K16115">
        <v>1.01</v>
      </c>
      <c r="L16115">
        <v>0.93</v>
      </c>
      <c r="M16115">
        <v>1.03</v>
      </c>
      <c r="N16115">
        <v>0.8</v>
      </c>
    </row>
    <row r="16116" spans="1:14" x14ac:dyDescent="0.25">
      <c r="A16116" t="s">
        <v>27060</v>
      </c>
      <c r="B16116" t="s">
        <v>22915</v>
      </c>
      <c r="C16116" s="1" t="str">
        <f>HYPERLINK("http://www.genecards.org/cgi-bin/carddisp.pl?gene=HSPA9","GeneCards")</f>
        <v>GeneCards</v>
      </c>
      <c r="D16116" s="1" t="str">
        <f>HYPERLINK("http://genome-euro.ucsc.edu/cgi-bin/hgTracks?position=200690_at","UCSC")</f>
        <v>UCSC</v>
      </c>
      <c r="E16116" s="1" t="str">
        <f>HYPERLINK("http://www.ncbi.nlm.nih.gov/gene/?term=HSPA9","NCBI")</f>
        <v>NCBI</v>
      </c>
      <c r="F16116">
        <v>0.81</v>
      </c>
      <c r="G16116">
        <v>0.86</v>
      </c>
      <c r="H16116" s="1" t="str">
        <f>HYPERLINK("http://www.weizmann.ac.il/complex/compphys/software/geview/data/figures/200690_at.png","Figure")</f>
        <v>Figure</v>
      </c>
      <c r="I16116">
        <v>0.92800000000000005</v>
      </c>
      <c r="J16116">
        <v>0.86</v>
      </c>
      <c r="K16116">
        <v>0.92600000000000005</v>
      </c>
      <c r="L16116">
        <v>0.82</v>
      </c>
      <c r="M16116">
        <v>0.999</v>
      </c>
      <c r="N16116">
        <v>1</v>
      </c>
    </row>
    <row r="16117" spans="1:14" x14ac:dyDescent="0.25">
      <c r="A16117" t="s">
        <v>27061</v>
      </c>
      <c r="B16117" t="s">
        <v>27062</v>
      </c>
      <c r="C16117" s="1" t="str">
        <f>HYPERLINK("http://www.genecards.org/cgi-bin/carddisp.pl?gene=SP3","GeneCards")</f>
        <v>GeneCards</v>
      </c>
      <c r="D16117" s="1" t="str">
        <f>HYPERLINK("http://genome-euro.ucsc.edu/cgi-bin/hgTracks?position=213168_at","UCSC")</f>
        <v>UCSC</v>
      </c>
      <c r="E16117" s="1" t="str">
        <f>HYPERLINK("http://www.ncbi.nlm.nih.gov/gene/?term=SP3","NCBI")</f>
        <v>NCBI</v>
      </c>
      <c r="F16117">
        <v>0.81</v>
      </c>
      <c r="G16117">
        <v>0.86</v>
      </c>
      <c r="H16117" s="1" t="str">
        <f>HYPERLINK("http://www.weizmann.ac.il/complex/compphys/software/geview/data/figures/213168_at.png","Figure")</f>
        <v>Figure</v>
      </c>
      <c r="I16117">
        <v>0.876</v>
      </c>
      <c r="J16117">
        <v>0.81</v>
      </c>
      <c r="K16117">
        <v>0.91900000000000004</v>
      </c>
      <c r="L16117">
        <v>0.89</v>
      </c>
      <c r="M16117">
        <v>1.05</v>
      </c>
      <c r="N16117">
        <v>0.97</v>
      </c>
    </row>
    <row r="16118" spans="1:14" x14ac:dyDescent="0.25">
      <c r="A16118" t="s">
        <v>27063</v>
      </c>
      <c r="B16118" t="s">
        <v>20746</v>
      </c>
      <c r="C16118" s="1" t="str">
        <f>HYPERLINK("http://www.genecards.org/cgi-bin/carddisp.pl?gene=KPNB1","GeneCards")</f>
        <v>GeneCards</v>
      </c>
      <c r="D16118" s="1" t="str">
        <f>HYPERLINK("http://genome-euro.ucsc.edu/cgi-bin/hgTracks?position=217027_x_at","UCSC")</f>
        <v>UCSC</v>
      </c>
      <c r="E16118" s="1" t="str">
        <f>HYPERLINK("http://www.ncbi.nlm.nih.gov/gene/?term=KPNB1","NCBI")</f>
        <v>NCBI</v>
      </c>
      <c r="F16118">
        <v>0.81</v>
      </c>
      <c r="G16118">
        <v>0.86</v>
      </c>
      <c r="H16118" s="1" t="str">
        <f>HYPERLINK("http://www.weizmann.ac.il/complex/compphys/software/geview/data/figures/217027_x_at.png","Figure")</f>
        <v>Figure</v>
      </c>
      <c r="I16118">
        <v>0.92200000000000004</v>
      </c>
      <c r="J16118">
        <v>0.81</v>
      </c>
      <c r="K16118">
        <v>0.94399999999999995</v>
      </c>
      <c r="L16118">
        <v>0.87</v>
      </c>
      <c r="M16118">
        <v>1.02</v>
      </c>
      <c r="N16118">
        <v>0.98</v>
      </c>
    </row>
    <row r="16119" spans="1:14" x14ac:dyDescent="0.25">
      <c r="A16119" t="s">
        <v>27064</v>
      </c>
      <c r="B16119" t="s">
        <v>27065</v>
      </c>
      <c r="C16119" s="1" t="str">
        <f>HYPERLINK("http://www.genecards.org/cgi-bin/carddisp.pl?gene=PKN1","GeneCards")</f>
        <v>GeneCards</v>
      </c>
      <c r="D16119" s="1" t="str">
        <f>HYPERLINK("http://genome-euro.ucsc.edu/cgi-bin/hgTracks?position=202161_at","UCSC")</f>
        <v>UCSC</v>
      </c>
      <c r="E16119" s="1" t="str">
        <f>HYPERLINK("http://www.ncbi.nlm.nih.gov/gene/?term=PKN1","NCBI")</f>
        <v>NCBI</v>
      </c>
      <c r="F16119">
        <v>0.81</v>
      </c>
      <c r="G16119">
        <v>0.86</v>
      </c>
      <c r="H16119" s="1" t="str">
        <f>HYPERLINK("http://www.weizmann.ac.il/complex/compphys/software/geview/data/figures/202161_at.png","Figure")</f>
        <v>Figure</v>
      </c>
      <c r="I16119">
        <v>0.88400000000000001</v>
      </c>
      <c r="J16119">
        <v>0.84</v>
      </c>
      <c r="K16119">
        <v>0.89700000000000002</v>
      </c>
      <c r="L16119">
        <v>0.84</v>
      </c>
      <c r="M16119">
        <v>1.01</v>
      </c>
      <c r="N16119">
        <v>1</v>
      </c>
    </row>
    <row r="16120" spans="1:14" x14ac:dyDescent="0.25">
      <c r="A16120" t="s">
        <v>27066</v>
      </c>
      <c r="B16120" t="s">
        <v>19100</v>
      </c>
      <c r="C16120" s="1" t="str">
        <f>HYPERLINK("http://www.genecards.org/cgi-bin/carddisp.pl?gene=CTNNA1","GeneCards")</f>
        <v>GeneCards</v>
      </c>
      <c r="D16120" s="1" t="str">
        <f>HYPERLINK("http://genome-euro.ucsc.edu/cgi-bin/hgTracks?position=200764_s_at","UCSC")</f>
        <v>UCSC</v>
      </c>
      <c r="E16120" s="1" t="str">
        <f>HYPERLINK("http://www.ncbi.nlm.nih.gov/gene/?term=CTNNA1","NCBI")</f>
        <v>NCBI</v>
      </c>
      <c r="F16120">
        <v>0.81</v>
      </c>
      <c r="G16120">
        <v>0.86</v>
      </c>
      <c r="H16120" s="1" t="str">
        <f>HYPERLINK("http://www.weizmann.ac.il/complex/compphys/software/geview/data/figures/200764_s_at.png","Figure")</f>
        <v>Figure</v>
      </c>
      <c r="I16120">
        <v>0.99299999999999999</v>
      </c>
      <c r="J16120">
        <v>1</v>
      </c>
      <c r="K16120">
        <v>1.1299999999999999</v>
      </c>
      <c r="L16120">
        <v>0.85</v>
      </c>
      <c r="M16120">
        <v>1.1399999999999999</v>
      </c>
      <c r="N16120">
        <v>0.85</v>
      </c>
    </row>
    <row r="16121" spans="1:14" x14ac:dyDescent="0.25">
      <c r="A16121" t="s">
        <v>27067</v>
      </c>
      <c r="B16121" t="s">
        <v>2381</v>
      </c>
      <c r="C16121" s="1" t="str">
        <f>HYPERLINK("http://www.genecards.org/cgi-bin/carddisp.pl?gene=C21orf2","GeneCards")</f>
        <v>GeneCards</v>
      </c>
      <c r="D16121" s="1" t="str">
        <f>HYPERLINK("http://genome-euro.ucsc.edu/cgi-bin/hgTracks?position=203996_s_at","UCSC")</f>
        <v>UCSC</v>
      </c>
      <c r="E16121" s="1" t="str">
        <f>HYPERLINK("http://www.ncbi.nlm.nih.gov/gene/?term=C21orf2","NCBI")</f>
        <v>NCBI</v>
      </c>
      <c r="F16121">
        <v>0.81</v>
      </c>
      <c r="G16121">
        <v>0.86</v>
      </c>
      <c r="H16121" s="1" t="str">
        <f>HYPERLINK("http://www.weizmann.ac.il/complex/compphys/software/geview/data/figures/203996_s_at.png","Figure")</f>
        <v>Figure</v>
      </c>
      <c r="I16121">
        <v>1.06</v>
      </c>
      <c r="J16121">
        <v>0.8</v>
      </c>
      <c r="K16121">
        <v>1.02</v>
      </c>
      <c r="L16121">
        <v>0.96</v>
      </c>
      <c r="M16121">
        <v>0.96099999999999997</v>
      </c>
      <c r="N16121">
        <v>0.9</v>
      </c>
    </row>
    <row r="16122" spans="1:14" x14ac:dyDescent="0.25">
      <c r="A16122" t="s">
        <v>27068</v>
      </c>
      <c r="B16122" t="s">
        <v>27069</v>
      </c>
      <c r="C16122" s="1" t="str">
        <f>HYPERLINK("http://www.genecards.org/cgi-bin/carddisp.pl?gene=MLC1","GeneCards")</f>
        <v>GeneCards</v>
      </c>
      <c r="D16122" s="1" t="str">
        <f>HYPERLINK("http://genome-euro.ucsc.edu/cgi-bin/hgTracks?position=213395_at","UCSC")</f>
        <v>UCSC</v>
      </c>
      <c r="E16122" s="1" t="str">
        <f>HYPERLINK("http://www.ncbi.nlm.nih.gov/gene/?term=MLC1","NCBI")</f>
        <v>NCBI</v>
      </c>
      <c r="F16122">
        <v>0.81</v>
      </c>
      <c r="G16122">
        <v>0.86</v>
      </c>
      <c r="H16122" s="1" t="str">
        <f>HYPERLINK("http://www.weizmann.ac.il/complex/compphys/software/geview/data/figures/213395_at.png","Figure")</f>
        <v>Figure</v>
      </c>
      <c r="I16122">
        <v>0.94499999999999995</v>
      </c>
      <c r="J16122">
        <v>0.81</v>
      </c>
      <c r="K16122">
        <v>0.98699999999999999</v>
      </c>
      <c r="L16122">
        <v>0.99</v>
      </c>
      <c r="M16122">
        <v>1.04</v>
      </c>
      <c r="N16122">
        <v>0.86</v>
      </c>
    </row>
    <row r="16123" spans="1:14" x14ac:dyDescent="0.25">
      <c r="A16123" t="s">
        <v>27070</v>
      </c>
      <c r="B16123" t="s">
        <v>27071</v>
      </c>
      <c r="C16123" s="1" t="str">
        <f>HYPERLINK("http://www.genecards.org/cgi-bin/carddisp.pl?gene=MYO15B","GeneCards")</f>
        <v>GeneCards</v>
      </c>
      <c r="D16123" s="1" t="str">
        <f>HYPERLINK("http://genome-euro.ucsc.edu/cgi-bin/hgTracks?position=219173_at","UCSC")</f>
        <v>UCSC</v>
      </c>
      <c r="E16123" s="1" t="str">
        <f>HYPERLINK("http://www.ncbi.nlm.nih.gov/gene/?term=MYO15B","NCBI")</f>
        <v>NCBI</v>
      </c>
      <c r="F16123">
        <v>0.81</v>
      </c>
      <c r="G16123">
        <v>0.86</v>
      </c>
      <c r="H16123" s="1" t="str">
        <f>HYPERLINK("http://www.weizmann.ac.il/complex/compphys/software/geview/data/figures/219173_at.png","Figure")</f>
        <v>Figure</v>
      </c>
      <c r="I16123">
        <v>1.1399999999999999</v>
      </c>
      <c r="J16123">
        <v>0.9</v>
      </c>
      <c r="K16123">
        <v>1.18</v>
      </c>
      <c r="L16123">
        <v>0.81</v>
      </c>
      <c r="M16123">
        <v>1.03</v>
      </c>
      <c r="N16123">
        <v>0.99</v>
      </c>
    </row>
    <row r="16124" spans="1:14" x14ac:dyDescent="0.25">
      <c r="A16124" t="s">
        <v>27072</v>
      </c>
      <c r="B16124" t="s">
        <v>27073</v>
      </c>
      <c r="C16124" s="1" t="str">
        <f>HYPERLINK("http://www.genecards.org/cgi-bin/carddisp.pl?gene=SFRP4","GeneCards")</f>
        <v>GeneCards</v>
      </c>
      <c r="D16124" s="1" t="str">
        <f>HYPERLINK("http://genome-euro.ucsc.edu/cgi-bin/hgTracks?position=204051_s_at","UCSC")</f>
        <v>UCSC</v>
      </c>
      <c r="E16124" s="1" t="str">
        <f>HYPERLINK("http://www.ncbi.nlm.nih.gov/gene/?term=SFRP4","NCBI")</f>
        <v>NCBI</v>
      </c>
      <c r="F16124">
        <v>0.81</v>
      </c>
      <c r="G16124">
        <v>0.86</v>
      </c>
      <c r="H16124" s="1" t="str">
        <f>HYPERLINK("http://www.weizmann.ac.il/complex/compphys/software/geview/data/figures/204051_s_at.png","Figure")</f>
        <v>Figure</v>
      </c>
      <c r="I16124">
        <v>0.97099999999999997</v>
      </c>
      <c r="J16124">
        <v>0.85</v>
      </c>
      <c r="K16124">
        <v>0.97199999999999998</v>
      </c>
      <c r="L16124">
        <v>0.83</v>
      </c>
      <c r="M16124">
        <v>1</v>
      </c>
      <c r="N16124">
        <v>1</v>
      </c>
    </row>
    <row r="16125" spans="1:14" x14ac:dyDescent="0.25">
      <c r="A16125" t="s">
        <v>27074</v>
      </c>
      <c r="B16125" t="s">
        <v>24829</v>
      </c>
      <c r="C16125" s="1" t="str">
        <f>HYPERLINK("http://www.genecards.org/cgi-bin/carddisp.pl?gene=CA5B","GeneCards")</f>
        <v>GeneCards</v>
      </c>
      <c r="D16125" s="1" t="str">
        <f>HYPERLINK("http://genome-euro.ucsc.edu/cgi-bin/hgTracks?position=207129_at","UCSC")</f>
        <v>UCSC</v>
      </c>
      <c r="E16125" s="1" t="str">
        <f>HYPERLINK("http://www.ncbi.nlm.nih.gov/gene/?term=CA5B","NCBI")</f>
        <v>NCBI</v>
      </c>
      <c r="F16125">
        <v>0.81</v>
      </c>
      <c r="G16125">
        <v>0.86</v>
      </c>
      <c r="H16125" s="1" t="str">
        <f>HYPERLINK("http://www.weizmann.ac.il/complex/compphys/software/geview/data/figures/207129_at.png","Figure")</f>
        <v>Figure</v>
      </c>
      <c r="I16125">
        <v>1.02</v>
      </c>
      <c r="J16125">
        <v>0.98</v>
      </c>
      <c r="K16125">
        <v>1.06</v>
      </c>
      <c r="L16125">
        <v>0.81</v>
      </c>
      <c r="M16125">
        <v>1.04</v>
      </c>
      <c r="N16125">
        <v>0.92</v>
      </c>
    </row>
    <row r="16126" spans="1:14" x14ac:dyDescent="0.25">
      <c r="A16126" t="s">
        <v>27075</v>
      </c>
      <c r="B16126" t="s">
        <v>12255</v>
      </c>
      <c r="C16126" s="1" t="str">
        <f>HYPERLINK("http://www.genecards.org/cgi-bin/carddisp.pl?gene=ATM","GeneCards")</f>
        <v>GeneCards</v>
      </c>
      <c r="D16126" s="1" t="str">
        <f>HYPERLINK("http://genome-euro.ucsc.edu/cgi-bin/hgTracks?position=210858_x_at","UCSC")</f>
        <v>UCSC</v>
      </c>
      <c r="E16126" s="1" t="str">
        <f>HYPERLINK("http://www.ncbi.nlm.nih.gov/gene/?term=ATM","NCBI")</f>
        <v>NCBI</v>
      </c>
      <c r="F16126">
        <v>0.81</v>
      </c>
      <c r="G16126">
        <v>0.86</v>
      </c>
      <c r="H16126" s="1" t="str">
        <f>HYPERLINK("http://www.weizmann.ac.il/complex/compphys/software/geview/data/figures/210858_x_at.png","Figure")</f>
        <v>Figure</v>
      </c>
      <c r="I16126">
        <v>0.80900000000000005</v>
      </c>
      <c r="J16126">
        <v>0.84</v>
      </c>
      <c r="K16126">
        <v>0.83899999999999997</v>
      </c>
      <c r="L16126">
        <v>0.85</v>
      </c>
      <c r="M16126">
        <v>1.04</v>
      </c>
      <c r="N16126">
        <v>0.99</v>
      </c>
    </row>
    <row r="16127" spans="1:14" x14ac:dyDescent="0.25">
      <c r="A16127" t="s">
        <v>27076</v>
      </c>
      <c r="B16127" t="s">
        <v>27077</v>
      </c>
      <c r="C16127" s="1" t="str">
        <f>HYPERLINK("http://www.genecards.org/cgi-bin/carddisp.pl?gene=SEC61G","GeneCards")</f>
        <v>GeneCards</v>
      </c>
      <c r="D16127" s="1" t="str">
        <f>HYPERLINK("http://genome-euro.ucsc.edu/cgi-bin/hgTracks?position=203484_at","UCSC")</f>
        <v>UCSC</v>
      </c>
      <c r="E16127" s="1" t="str">
        <f>HYPERLINK("http://www.ncbi.nlm.nih.gov/gene/?term=SEC61G","NCBI")</f>
        <v>NCBI</v>
      </c>
      <c r="F16127">
        <v>0.81</v>
      </c>
      <c r="G16127">
        <v>0.86</v>
      </c>
      <c r="H16127" s="1" t="str">
        <f>HYPERLINK("http://www.weizmann.ac.il/complex/compphys/software/geview/data/figures/203484_at.png","Figure")</f>
        <v>Figure</v>
      </c>
      <c r="I16127">
        <v>0.874</v>
      </c>
      <c r="J16127">
        <v>0.82</v>
      </c>
      <c r="K16127">
        <v>0.90800000000000003</v>
      </c>
      <c r="L16127">
        <v>0.87</v>
      </c>
      <c r="M16127">
        <v>1.04</v>
      </c>
      <c r="N16127">
        <v>0.98</v>
      </c>
    </row>
    <row r="16128" spans="1:14" x14ac:dyDescent="0.25">
      <c r="A16128" t="s">
        <v>27078</v>
      </c>
      <c r="B16128" t="s">
        <v>12592</v>
      </c>
      <c r="C16128" s="1" t="str">
        <f>HYPERLINK("http://www.genecards.org/cgi-bin/carddisp.pl?gene=RNF126","GeneCards")</f>
        <v>GeneCards</v>
      </c>
      <c r="D16128" s="1" t="str">
        <f>HYPERLINK("http://genome-euro.ucsc.edu/cgi-bin/hgTracks?position=215031_x_at","UCSC")</f>
        <v>UCSC</v>
      </c>
      <c r="E16128" s="1" t="str">
        <f>HYPERLINK("http://www.ncbi.nlm.nih.gov/gene/?term=RNF126","NCBI")</f>
        <v>NCBI</v>
      </c>
      <c r="F16128">
        <v>0.81</v>
      </c>
      <c r="G16128">
        <v>0.86</v>
      </c>
      <c r="H16128" s="1" t="str">
        <f>HYPERLINK("http://www.weizmann.ac.il/complex/compphys/software/geview/data/figures/215031_x_at.png","Figure")</f>
        <v>Figure</v>
      </c>
      <c r="I16128">
        <v>0.91600000000000004</v>
      </c>
      <c r="J16128">
        <v>0.8</v>
      </c>
      <c r="K16128">
        <v>0.97499999999999998</v>
      </c>
      <c r="L16128">
        <v>0.98</v>
      </c>
      <c r="M16128">
        <v>1.06</v>
      </c>
      <c r="N16128">
        <v>0.88</v>
      </c>
    </row>
    <row r="16129" spans="1:14" x14ac:dyDescent="0.25">
      <c r="A16129" t="s">
        <v>27079</v>
      </c>
      <c r="B16129" t="s">
        <v>27080</v>
      </c>
      <c r="C16129" s="1" t="str">
        <f>HYPERLINK("http://www.genecards.org/cgi-bin/carddisp.pl?gene=BZW1","GeneCards")</f>
        <v>GeneCards</v>
      </c>
      <c r="D16129" s="1" t="str">
        <f>HYPERLINK("http://genome-euro.ucsc.edu/cgi-bin/hgTracks?position=200777_s_at","UCSC")</f>
        <v>UCSC</v>
      </c>
      <c r="E16129" s="1" t="str">
        <f>HYPERLINK("http://www.ncbi.nlm.nih.gov/gene/?term=BZW1","NCBI")</f>
        <v>NCBI</v>
      </c>
      <c r="F16129">
        <v>0.81</v>
      </c>
      <c r="G16129">
        <v>0.86</v>
      </c>
      <c r="H16129" s="1" t="str">
        <f>HYPERLINK("http://www.weizmann.ac.il/complex/compphys/software/geview/data/figures/200777_s_at.png","Figure")</f>
        <v>Figure</v>
      </c>
      <c r="I16129">
        <v>1.1200000000000001</v>
      </c>
      <c r="J16129">
        <v>0.85</v>
      </c>
      <c r="K16129">
        <v>0.998</v>
      </c>
      <c r="L16129">
        <v>1</v>
      </c>
      <c r="M16129">
        <v>0.89100000000000001</v>
      </c>
      <c r="N16129">
        <v>0.82</v>
      </c>
    </row>
    <row r="16130" spans="1:14" x14ac:dyDescent="0.25">
      <c r="A16130" t="s">
        <v>27081</v>
      </c>
      <c r="B16130" t="s">
        <v>27082</v>
      </c>
      <c r="C16130" s="1" t="str">
        <f>HYPERLINK("http://www.genecards.org/cgi-bin/carddisp.pl?gene=SCAMP2","GeneCards")</f>
        <v>GeneCards</v>
      </c>
      <c r="D16130" s="1" t="str">
        <f>HYPERLINK("http://genome-euro.ucsc.edu/cgi-bin/hgTracks?position=218143_s_at","UCSC")</f>
        <v>UCSC</v>
      </c>
      <c r="E16130" s="1" t="str">
        <f>HYPERLINK("http://www.ncbi.nlm.nih.gov/gene/?term=SCAMP2","NCBI")</f>
        <v>NCBI</v>
      </c>
      <c r="F16130">
        <v>0.81</v>
      </c>
      <c r="G16130">
        <v>0.86</v>
      </c>
      <c r="H16130" s="1" t="str">
        <f>HYPERLINK("http://www.weizmann.ac.il/complex/compphys/software/geview/data/figures/218143_s_at.png","Figure")</f>
        <v>Figure</v>
      </c>
      <c r="I16130">
        <v>0.96699999999999997</v>
      </c>
      <c r="J16130">
        <v>0.94</v>
      </c>
      <c r="K16130">
        <v>0.94399999999999995</v>
      </c>
      <c r="L16130">
        <v>0.8</v>
      </c>
      <c r="M16130">
        <v>0.97699999999999998</v>
      </c>
      <c r="N16130">
        <v>0.97</v>
      </c>
    </row>
    <row r="16131" spans="1:14" x14ac:dyDescent="0.25">
      <c r="A16131" t="s">
        <v>27083</v>
      </c>
      <c r="B16131" t="s">
        <v>17560</v>
      </c>
      <c r="C16131" s="1" t="str">
        <f>HYPERLINK("http://www.genecards.org/cgi-bin/carddisp.pl?gene=SORL1","GeneCards")</f>
        <v>GeneCards</v>
      </c>
      <c r="D16131" s="1" t="str">
        <f>HYPERLINK("http://genome-euro.ucsc.edu/cgi-bin/hgTracks?position=212560_at","UCSC")</f>
        <v>UCSC</v>
      </c>
      <c r="E16131" s="1" t="str">
        <f>HYPERLINK("http://www.ncbi.nlm.nih.gov/gene/?term=SORL1","NCBI")</f>
        <v>NCBI</v>
      </c>
      <c r="F16131">
        <v>0.82</v>
      </c>
      <c r="G16131">
        <v>0.86</v>
      </c>
      <c r="H16131" s="1" t="str">
        <f>HYPERLINK("http://www.weizmann.ac.il/complex/compphys/software/geview/data/figures/212560_at.png","Figure")</f>
        <v>Figure</v>
      </c>
      <c r="I16131">
        <v>0.92100000000000004</v>
      </c>
      <c r="J16131">
        <v>0.93</v>
      </c>
      <c r="K16131">
        <v>1.05</v>
      </c>
      <c r="L16131">
        <v>0.96</v>
      </c>
      <c r="M16131">
        <v>1.1399999999999999</v>
      </c>
      <c r="N16131">
        <v>0.8</v>
      </c>
    </row>
    <row r="16132" spans="1:14" x14ac:dyDescent="0.25">
      <c r="A16132" t="s">
        <v>27084</v>
      </c>
      <c r="B16132" t="s">
        <v>27085</v>
      </c>
      <c r="C16132" s="1" t="str">
        <f>HYPERLINK("http://www.genecards.org/cgi-bin/carddisp.pl?gene=MTOR","GeneCards")</f>
        <v>GeneCards</v>
      </c>
      <c r="D16132" s="1" t="str">
        <f>HYPERLINK("http://genome-euro.ucsc.edu/cgi-bin/hgTracks?position=202288_at","UCSC")</f>
        <v>UCSC</v>
      </c>
      <c r="E16132" s="1" t="str">
        <f>HYPERLINK("http://www.ncbi.nlm.nih.gov/gene/?term=MTOR","NCBI")</f>
        <v>NCBI</v>
      </c>
      <c r="F16132">
        <v>0.82</v>
      </c>
      <c r="G16132">
        <v>0.86</v>
      </c>
      <c r="H16132" s="1" t="str">
        <f>HYPERLINK("http://www.weizmann.ac.il/complex/compphys/software/geview/data/figures/202288_at.png","Figure")</f>
        <v>Figure</v>
      </c>
      <c r="I16132">
        <v>1.02</v>
      </c>
      <c r="J16132">
        <v>0.98</v>
      </c>
      <c r="K16132">
        <v>1.07</v>
      </c>
      <c r="L16132">
        <v>0.81</v>
      </c>
      <c r="M16132">
        <v>1.05</v>
      </c>
      <c r="N16132">
        <v>0.92</v>
      </c>
    </row>
    <row r="16133" spans="1:14" x14ac:dyDescent="0.25">
      <c r="A16133" t="s">
        <v>27086</v>
      </c>
      <c r="B16133" t="s">
        <v>25598</v>
      </c>
      <c r="C16133" s="1" t="str">
        <f>HYPERLINK("http://www.genecards.org/cgi-bin/carddisp.pl?gene=TSC22D3","GeneCards")</f>
        <v>GeneCards</v>
      </c>
      <c r="D16133" s="1" t="str">
        <f>HYPERLINK("http://genome-euro.ucsc.edu/cgi-bin/hgTracks?position=207001_x_at","UCSC")</f>
        <v>UCSC</v>
      </c>
      <c r="E16133" s="1" t="str">
        <f>HYPERLINK("http://www.ncbi.nlm.nih.gov/gene/?term=TSC22D3","NCBI")</f>
        <v>NCBI</v>
      </c>
      <c r="F16133">
        <v>0.82</v>
      </c>
      <c r="G16133">
        <v>0.86</v>
      </c>
      <c r="H16133" s="1" t="str">
        <f>HYPERLINK("http://www.weizmann.ac.il/complex/compphys/software/geview/data/figures/207001_x_at.png","Figure")</f>
        <v>Figure</v>
      </c>
      <c r="I16133">
        <v>1.1200000000000001</v>
      </c>
      <c r="J16133">
        <v>0.82</v>
      </c>
      <c r="K16133">
        <v>1.0900000000000001</v>
      </c>
      <c r="L16133">
        <v>0.87</v>
      </c>
      <c r="M16133">
        <v>0.96899999999999997</v>
      </c>
      <c r="N16133">
        <v>0.98</v>
      </c>
    </row>
    <row r="16134" spans="1:14" x14ac:dyDescent="0.25">
      <c r="A16134" t="s">
        <v>27087</v>
      </c>
      <c r="B16134" t="s">
        <v>15106</v>
      </c>
      <c r="C16134" s="1" t="str">
        <f>HYPERLINK("http://www.genecards.org/cgi-bin/carddisp.pl?gene=DCAF8","GeneCards")</f>
        <v>GeneCards</v>
      </c>
      <c r="D16134" s="1" t="str">
        <f>HYPERLINK("http://genome-euro.ucsc.edu/cgi-bin/hgTracks?position=202249_s_at","UCSC")</f>
        <v>UCSC</v>
      </c>
      <c r="E16134" s="1" t="str">
        <f>HYPERLINK("http://www.ncbi.nlm.nih.gov/gene/?term=DCAF8","NCBI")</f>
        <v>NCBI</v>
      </c>
      <c r="F16134">
        <v>0.82</v>
      </c>
      <c r="G16134">
        <v>0.86</v>
      </c>
      <c r="H16134" s="1" t="str">
        <f>HYPERLINK("http://www.weizmann.ac.il/complex/compphys/software/geview/data/figures/202249_s_at.png","Figure")</f>
        <v>Figure</v>
      </c>
      <c r="I16134">
        <v>1.1000000000000001</v>
      </c>
      <c r="J16134">
        <v>0.84</v>
      </c>
      <c r="K16134">
        <v>1.01</v>
      </c>
      <c r="L16134">
        <v>1</v>
      </c>
      <c r="M16134">
        <v>0.91500000000000004</v>
      </c>
      <c r="N16134">
        <v>0.84</v>
      </c>
    </row>
    <row r="16135" spans="1:14" x14ac:dyDescent="0.25">
      <c r="A16135" t="s">
        <v>27088</v>
      </c>
      <c r="B16135" t="s">
        <v>27089</v>
      </c>
      <c r="C16135" s="1" t="str">
        <f>HYPERLINK("http://www.genecards.org/cgi-bin/carddisp.pl?gene=KDM5C","GeneCards")</f>
        <v>GeneCards</v>
      </c>
      <c r="D16135" s="1" t="str">
        <f>HYPERLINK("http://genome-euro.ucsc.edu/cgi-bin/hgTracks?position=202383_at","UCSC")</f>
        <v>UCSC</v>
      </c>
      <c r="E16135" s="1" t="str">
        <f>HYPERLINK("http://www.ncbi.nlm.nih.gov/gene/?term=KDM5C","NCBI")</f>
        <v>NCBI</v>
      </c>
      <c r="F16135">
        <v>0.82</v>
      </c>
      <c r="G16135">
        <v>0.86</v>
      </c>
      <c r="H16135" s="1" t="str">
        <f>HYPERLINK("http://www.weizmann.ac.il/complex/compphys/software/geview/data/figures/202383_at.png","Figure")</f>
        <v>Figure</v>
      </c>
      <c r="I16135">
        <v>1.04</v>
      </c>
      <c r="J16135">
        <v>0.89</v>
      </c>
      <c r="K16135">
        <v>1.05</v>
      </c>
      <c r="L16135">
        <v>0.81</v>
      </c>
      <c r="M16135">
        <v>1.01</v>
      </c>
      <c r="N16135">
        <v>1</v>
      </c>
    </row>
    <row r="16136" spans="1:14" x14ac:dyDescent="0.25">
      <c r="A16136" t="s">
        <v>27090</v>
      </c>
      <c r="B16136" t="s">
        <v>1397</v>
      </c>
      <c r="C16136" s="1" t="str">
        <f>HYPERLINK("http://www.genecards.org/cgi-bin/carddisp.pl?gene=C7orf20 /// UNC84A","GeneCards")</f>
        <v>GeneCards</v>
      </c>
      <c r="D16136" s="1" t="str">
        <f>HYPERLINK("http://genome-euro.ucsc.edu/cgi-bin/hgTracks?position=214169_at","UCSC")</f>
        <v>UCSC</v>
      </c>
      <c r="E16136" s="1" t="str">
        <f>HYPERLINK("http://www.ncbi.nlm.nih.gov/gene/?term=C7orf20 /// UNC84A","NCBI")</f>
        <v>NCBI</v>
      </c>
      <c r="F16136">
        <v>0.82</v>
      </c>
      <c r="G16136">
        <v>0.86</v>
      </c>
      <c r="H16136" s="1" t="str">
        <f>HYPERLINK("http://www.weizmann.ac.il/complex/compphys/software/geview/data/figures/214169_at.png","Figure")</f>
        <v>Figure</v>
      </c>
      <c r="I16136">
        <v>0.88900000000000001</v>
      </c>
      <c r="J16136">
        <v>0.89</v>
      </c>
      <c r="K16136">
        <v>1.03</v>
      </c>
      <c r="L16136">
        <v>0.99</v>
      </c>
      <c r="M16136">
        <v>1.1599999999999999</v>
      </c>
      <c r="N16136">
        <v>0.8</v>
      </c>
    </row>
    <row r="16137" spans="1:14" x14ac:dyDescent="0.25">
      <c r="A16137" t="s">
        <v>27091</v>
      </c>
      <c r="B16137" t="s">
        <v>10964</v>
      </c>
      <c r="C16137" s="1" t="str">
        <f>HYPERLINK("http://www.genecards.org/cgi-bin/carddisp.pl?gene=CTDSPL","GeneCards")</f>
        <v>GeneCards</v>
      </c>
      <c r="D16137" s="1" t="str">
        <f>HYPERLINK("http://genome-euro.ucsc.edu/cgi-bin/hgTracks?position=201905_s_at","UCSC")</f>
        <v>UCSC</v>
      </c>
      <c r="E16137" s="1" t="str">
        <f>HYPERLINK("http://www.ncbi.nlm.nih.gov/gene/?term=CTDSPL","NCBI")</f>
        <v>NCBI</v>
      </c>
      <c r="F16137">
        <v>0.82</v>
      </c>
      <c r="G16137">
        <v>0.86</v>
      </c>
      <c r="H16137" s="1" t="str">
        <f>HYPERLINK("http://www.weizmann.ac.il/complex/compphys/software/geview/data/figures/201905_s_at.png","Figure")</f>
        <v>Figure</v>
      </c>
      <c r="I16137">
        <v>1.01</v>
      </c>
      <c r="J16137">
        <v>0.98</v>
      </c>
      <c r="K16137">
        <v>1.03</v>
      </c>
      <c r="L16137">
        <v>0.81</v>
      </c>
      <c r="M16137">
        <v>1.02</v>
      </c>
      <c r="N16137">
        <v>0.93</v>
      </c>
    </row>
    <row r="16138" spans="1:14" x14ac:dyDescent="0.25">
      <c r="A16138" t="s">
        <v>27092</v>
      </c>
      <c r="B16138" t="s">
        <v>27093</v>
      </c>
      <c r="C16138" s="1" t="str">
        <f>HYPERLINK("http://www.genecards.org/cgi-bin/carddisp.pl?gene=TOMM20","GeneCards")</f>
        <v>GeneCards</v>
      </c>
      <c r="D16138" s="1" t="str">
        <f>HYPERLINK("http://genome-euro.ucsc.edu/cgi-bin/hgTracks?position=212773_s_at","UCSC")</f>
        <v>UCSC</v>
      </c>
      <c r="E16138" s="1" t="str">
        <f>HYPERLINK("http://www.ncbi.nlm.nih.gov/gene/?term=TOMM20","NCBI")</f>
        <v>NCBI</v>
      </c>
      <c r="F16138">
        <v>0.82</v>
      </c>
      <c r="G16138">
        <v>0.86</v>
      </c>
      <c r="H16138" s="1" t="str">
        <f>HYPERLINK("http://www.weizmann.ac.il/complex/compphys/software/geview/data/figures/212773_s_at.png","Figure")</f>
        <v>Figure</v>
      </c>
      <c r="I16138">
        <v>1.18</v>
      </c>
      <c r="J16138">
        <v>0.81</v>
      </c>
      <c r="K16138">
        <v>1.1100000000000001</v>
      </c>
      <c r="L16138">
        <v>0.9</v>
      </c>
      <c r="M16138">
        <v>0.94099999999999995</v>
      </c>
      <c r="N16138">
        <v>0.97</v>
      </c>
    </row>
    <row r="16139" spans="1:14" x14ac:dyDescent="0.25">
      <c r="A16139" t="s">
        <v>27094</v>
      </c>
      <c r="B16139" t="s">
        <v>11484</v>
      </c>
      <c r="C16139" s="1" t="str">
        <f>HYPERLINK("http://www.genecards.org/cgi-bin/carddisp.pl?gene=GLS","GeneCards")</f>
        <v>GeneCards</v>
      </c>
      <c r="D16139" s="1" t="str">
        <f>HYPERLINK("http://genome-euro.ucsc.edu/cgi-bin/hgTracks?position=203158_s_at","UCSC")</f>
        <v>UCSC</v>
      </c>
      <c r="E16139" s="1" t="str">
        <f>HYPERLINK("http://www.ncbi.nlm.nih.gov/gene/?term=GLS","NCBI")</f>
        <v>NCBI</v>
      </c>
      <c r="F16139">
        <v>0.82</v>
      </c>
      <c r="G16139">
        <v>0.86</v>
      </c>
      <c r="H16139" s="1" t="str">
        <f>HYPERLINK("http://www.weizmann.ac.il/complex/compphys/software/geview/data/figures/203158_s_at.png","Figure")</f>
        <v>Figure</v>
      </c>
      <c r="I16139">
        <v>0.997</v>
      </c>
      <c r="J16139">
        <v>1</v>
      </c>
      <c r="K16139">
        <v>1.02</v>
      </c>
      <c r="L16139">
        <v>0.87</v>
      </c>
      <c r="M16139">
        <v>1.02</v>
      </c>
      <c r="N16139">
        <v>0.84</v>
      </c>
    </row>
    <row r="16140" spans="1:14" x14ac:dyDescent="0.25">
      <c r="A16140" t="s">
        <v>27095</v>
      </c>
      <c r="B16140" t="s">
        <v>27096</v>
      </c>
      <c r="C16140" s="1" t="str">
        <f>HYPERLINK("http://www.genecards.org/cgi-bin/carddisp.pl?gene=URG4","GeneCards")</f>
        <v>GeneCards</v>
      </c>
      <c r="D16140" s="1" t="str">
        <f>HYPERLINK("http://genome-euro.ucsc.edu/cgi-bin/hgTracks?position=218601_at","UCSC")</f>
        <v>UCSC</v>
      </c>
      <c r="E16140" s="1" t="str">
        <f>HYPERLINK("http://www.ncbi.nlm.nih.gov/gene/?term=URG4","NCBI")</f>
        <v>NCBI</v>
      </c>
      <c r="F16140">
        <v>0.82</v>
      </c>
      <c r="G16140">
        <v>0.86</v>
      </c>
      <c r="H16140" s="1" t="str">
        <f>HYPERLINK("http://www.weizmann.ac.il/complex/compphys/software/geview/data/figures/218601_at.png","Figure")</f>
        <v>Figure</v>
      </c>
      <c r="I16140">
        <v>1.03</v>
      </c>
      <c r="J16140">
        <v>0.96</v>
      </c>
      <c r="K16140">
        <v>0.96299999999999997</v>
      </c>
      <c r="L16140">
        <v>0.93</v>
      </c>
      <c r="M16140">
        <v>0.93500000000000005</v>
      </c>
      <c r="N16140">
        <v>0.81</v>
      </c>
    </row>
    <row r="16141" spans="1:14" x14ac:dyDescent="0.25">
      <c r="A16141" t="s">
        <v>27097</v>
      </c>
      <c r="B16141" t="s">
        <v>27098</v>
      </c>
      <c r="C16141" s="1" t="str">
        <f>HYPERLINK("http://www.genecards.org/cgi-bin/carddisp.pl?gene=MMS19","GeneCards")</f>
        <v>GeneCards</v>
      </c>
      <c r="D16141" s="1" t="str">
        <f>HYPERLINK("http://genome-euro.ucsc.edu/cgi-bin/hgTracks?position=202167_s_at","UCSC")</f>
        <v>UCSC</v>
      </c>
      <c r="E16141" s="1" t="str">
        <f>HYPERLINK("http://www.ncbi.nlm.nih.gov/gene/?term=MMS19","NCBI")</f>
        <v>NCBI</v>
      </c>
      <c r="F16141">
        <v>0.82</v>
      </c>
      <c r="G16141">
        <v>0.86</v>
      </c>
      <c r="H16141" s="1" t="str">
        <f>HYPERLINK("http://www.weizmann.ac.il/complex/compphys/software/geview/data/figures/202167_s_at.png","Figure")</f>
        <v>Figure</v>
      </c>
      <c r="I16141">
        <v>0.92800000000000005</v>
      </c>
      <c r="J16141">
        <v>0.86</v>
      </c>
      <c r="K16141">
        <v>1.01</v>
      </c>
      <c r="L16141">
        <v>1</v>
      </c>
      <c r="M16141">
        <v>1.0900000000000001</v>
      </c>
      <c r="N16141">
        <v>0.82</v>
      </c>
    </row>
    <row r="16142" spans="1:14" x14ac:dyDescent="0.25">
      <c r="A16142" t="s">
        <v>27099</v>
      </c>
      <c r="B16142" t="s">
        <v>27100</v>
      </c>
      <c r="C16142" s="1" t="str">
        <f>HYPERLINK("http://www.genecards.org/cgi-bin/carddisp.pl?gene=SNX6","GeneCards")</f>
        <v>GeneCards</v>
      </c>
      <c r="D16142" s="1" t="str">
        <f>HYPERLINK("http://genome-euro.ucsc.edu/cgi-bin/hgTracks?position=217789_at","UCSC")</f>
        <v>UCSC</v>
      </c>
      <c r="E16142" s="1" t="str">
        <f>HYPERLINK("http://www.ncbi.nlm.nih.gov/gene/?term=SNX6","NCBI")</f>
        <v>NCBI</v>
      </c>
      <c r="F16142">
        <v>0.82</v>
      </c>
      <c r="G16142">
        <v>0.86</v>
      </c>
      <c r="H16142" s="1" t="str">
        <f>HYPERLINK("http://www.weizmann.ac.il/complex/compphys/software/geview/data/figures/217789_at.png","Figure")</f>
        <v>Figure</v>
      </c>
      <c r="I16142">
        <v>0.93300000000000005</v>
      </c>
      <c r="J16142">
        <v>0.91</v>
      </c>
      <c r="K16142">
        <v>1.03</v>
      </c>
      <c r="L16142">
        <v>0.98</v>
      </c>
      <c r="M16142">
        <v>1.1000000000000001</v>
      </c>
      <c r="N16142">
        <v>0.8</v>
      </c>
    </row>
    <row r="16143" spans="1:14" x14ac:dyDescent="0.25">
      <c r="A16143" t="s">
        <v>27101</v>
      </c>
      <c r="B16143" t="s">
        <v>16614</v>
      </c>
      <c r="C16143" s="1" t="str">
        <f>HYPERLINK("http://www.genecards.org/cgi-bin/carddisp.pl?gene=ZNF24","GeneCards")</f>
        <v>GeneCards</v>
      </c>
      <c r="D16143" s="1" t="str">
        <f>HYPERLINK("http://genome-euro.ucsc.edu/cgi-bin/hgTracks?position=203247_s_at","UCSC")</f>
        <v>UCSC</v>
      </c>
      <c r="E16143" s="1" t="str">
        <f>HYPERLINK("http://www.ncbi.nlm.nih.gov/gene/?term=ZNF24","NCBI")</f>
        <v>NCBI</v>
      </c>
      <c r="F16143">
        <v>0.82</v>
      </c>
      <c r="G16143">
        <v>0.86</v>
      </c>
      <c r="H16143" s="1" t="str">
        <f>HYPERLINK("http://www.weizmann.ac.il/complex/compphys/software/geview/data/figures/203247_s_at.png","Figure")</f>
        <v>Figure</v>
      </c>
      <c r="I16143">
        <v>1.1000000000000001</v>
      </c>
      <c r="J16143">
        <v>0.81</v>
      </c>
      <c r="K16143">
        <v>1.03</v>
      </c>
      <c r="L16143">
        <v>0.97</v>
      </c>
      <c r="M16143">
        <v>0.94</v>
      </c>
      <c r="N16143">
        <v>0.89</v>
      </c>
    </row>
    <row r="16144" spans="1:14" x14ac:dyDescent="0.25">
      <c r="A16144" t="s">
        <v>27102</v>
      </c>
      <c r="B16144" t="s">
        <v>11960</v>
      </c>
      <c r="C16144" s="1" t="str">
        <f>HYPERLINK("http://www.genecards.org/cgi-bin/carddisp.pl?gene=NEK9","GeneCards")</f>
        <v>GeneCards</v>
      </c>
      <c r="D16144" s="1" t="str">
        <f>HYPERLINK("http://genome-euro.ucsc.edu/cgi-bin/hgTracks?position=214738_s_at","UCSC")</f>
        <v>UCSC</v>
      </c>
      <c r="E16144" s="1" t="str">
        <f>HYPERLINK("http://www.ncbi.nlm.nih.gov/gene/?term=NEK9","NCBI")</f>
        <v>NCBI</v>
      </c>
      <c r="F16144">
        <v>0.82</v>
      </c>
      <c r="G16144">
        <v>0.86</v>
      </c>
      <c r="H16144" s="1" t="str">
        <f>HYPERLINK("http://www.weizmann.ac.il/complex/compphys/software/geview/data/figures/214738_s_at.png","Figure")</f>
        <v>Figure</v>
      </c>
      <c r="I16144">
        <v>0.96</v>
      </c>
      <c r="J16144">
        <v>0.92</v>
      </c>
      <c r="K16144">
        <v>1.02</v>
      </c>
      <c r="L16144">
        <v>0.97</v>
      </c>
      <c r="M16144">
        <v>1.06</v>
      </c>
      <c r="N16144">
        <v>0.8</v>
      </c>
    </row>
    <row r="16145" spans="1:14" x14ac:dyDescent="0.25">
      <c r="A16145" t="s">
        <v>27103</v>
      </c>
      <c r="B16145" t="s">
        <v>12547</v>
      </c>
      <c r="C16145" s="1" t="str">
        <f>HYPERLINK("http://www.genecards.org/cgi-bin/carddisp.pl?gene=SPHK2","GeneCards")</f>
        <v>GeneCards</v>
      </c>
      <c r="D16145" s="1" t="str">
        <f>HYPERLINK("http://genome-euro.ucsc.edu/cgi-bin/hgTracks?position=40273_at","UCSC")</f>
        <v>UCSC</v>
      </c>
      <c r="E16145" s="1" t="str">
        <f>HYPERLINK("http://www.ncbi.nlm.nih.gov/gene/?term=SPHK2","NCBI")</f>
        <v>NCBI</v>
      </c>
      <c r="F16145">
        <v>0.82</v>
      </c>
      <c r="G16145">
        <v>0.86</v>
      </c>
      <c r="H16145" s="1" t="str">
        <f>HYPERLINK("http://www.weizmann.ac.il/complex/compphys/software/geview/data/figures/40273_at.png","Figure")</f>
        <v>Figure</v>
      </c>
      <c r="I16145">
        <v>0.98099999999999998</v>
      </c>
      <c r="J16145">
        <v>0.99</v>
      </c>
      <c r="K16145">
        <v>1.05</v>
      </c>
      <c r="L16145">
        <v>0.89</v>
      </c>
      <c r="M16145">
        <v>1.07</v>
      </c>
      <c r="N16145">
        <v>0.83</v>
      </c>
    </row>
    <row r="16146" spans="1:14" x14ac:dyDescent="0.25">
      <c r="A16146" t="s">
        <v>27104</v>
      </c>
      <c r="B16146" t="s">
        <v>27105</v>
      </c>
      <c r="C16146" s="1" t="str">
        <f>HYPERLINK("http://www.genecards.org/cgi-bin/carddisp.pl?gene=ANXA1","GeneCards")</f>
        <v>GeneCards</v>
      </c>
      <c r="D16146" s="1" t="str">
        <f>HYPERLINK("http://genome-euro.ucsc.edu/cgi-bin/hgTracks?position=201012_at","UCSC")</f>
        <v>UCSC</v>
      </c>
      <c r="E16146" s="1" t="str">
        <f>HYPERLINK("http://www.ncbi.nlm.nih.gov/gene/?term=ANXA1","NCBI")</f>
        <v>NCBI</v>
      </c>
      <c r="F16146">
        <v>0.82</v>
      </c>
      <c r="G16146">
        <v>0.86</v>
      </c>
      <c r="H16146" s="1" t="str">
        <f>HYPERLINK("http://www.weizmann.ac.il/complex/compphys/software/geview/data/figures/201012_at.png","Figure")</f>
        <v>Figure</v>
      </c>
      <c r="I16146">
        <v>0.86699999999999999</v>
      </c>
      <c r="J16146">
        <v>0.85</v>
      </c>
      <c r="K16146">
        <v>0.88300000000000001</v>
      </c>
      <c r="L16146">
        <v>0.85</v>
      </c>
      <c r="M16146">
        <v>1.02</v>
      </c>
      <c r="N16146">
        <v>1</v>
      </c>
    </row>
    <row r="16147" spans="1:14" x14ac:dyDescent="0.25">
      <c r="A16147" t="s">
        <v>27106</v>
      </c>
      <c r="B16147" t="s">
        <v>12216</v>
      </c>
      <c r="C16147" s="1" t="str">
        <f>HYPERLINK("http://www.genecards.org/cgi-bin/carddisp.pl?gene=ZFP36L1","GeneCards")</f>
        <v>GeneCards</v>
      </c>
      <c r="D16147" s="1" t="str">
        <f>HYPERLINK("http://genome-euro.ucsc.edu/cgi-bin/hgTracks?position=213277_at","UCSC")</f>
        <v>UCSC</v>
      </c>
      <c r="E16147" s="1" t="str">
        <f>HYPERLINK("http://www.ncbi.nlm.nih.gov/gene/?term=ZFP36L1","NCBI")</f>
        <v>NCBI</v>
      </c>
      <c r="F16147">
        <v>0.82</v>
      </c>
      <c r="G16147">
        <v>0.86</v>
      </c>
      <c r="H16147" s="1" t="str">
        <f>HYPERLINK("http://www.weizmann.ac.il/complex/compphys/software/geview/data/figures/213277_at.png","Figure")</f>
        <v>Figure</v>
      </c>
      <c r="I16147">
        <v>0.96899999999999997</v>
      </c>
      <c r="J16147">
        <v>0.83</v>
      </c>
      <c r="K16147">
        <v>0.997</v>
      </c>
      <c r="L16147">
        <v>1</v>
      </c>
      <c r="M16147">
        <v>1.03</v>
      </c>
      <c r="N16147">
        <v>0.84</v>
      </c>
    </row>
    <row r="16148" spans="1:14" x14ac:dyDescent="0.25">
      <c r="A16148" t="s">
        <v>27107</v>
      </c>
      <c r="B16148" t="s">
        <v>1798</v>
      </c>
      <c r="C16148" s="1" t="str">
        <f>HYPERLINK("http://www.genecards.org/cgi-bin/carddisp.pl?gene=DCHS1","GeneCards")</f>
        <v>GeneCards</v>
      </c>
      <c r="D16148" s="1" t="str">
        <f>HYPERLINK("http://genome-euro.ucsc.edu/cgi-bin/hgTracks?position=218892_at","UCSC")</f>
        <v>UCSC</v>
      </c>
      <c r="E16148" s="1" t="str">
        <f>HYPERLINK("http://www.ncbi.nlm.nih.gov/gene/?term=DCHS1","NCBI")</f>
        <v>NCBI</v>
      </c>
      <c r="F16148">
        <v>0.82</v>
      </c>
      <c r="G16148">
        <v>0.86</v>
      </c>
      <c r="H16148" s="1" t="str">
        <f>HYPERLINK("http://www.weizmann.ac.il/complex/compphys/software/geview/data/figures/218892_at.png","Figure")</f>
        <v>Figure</v>
      </c>
      <c r="I16148">
        <v>0.91</v>
      </c>
      <c r="J16148">
        <v>0.84</v>
      </c>
      <c r="K16148">
        <v>0.99399999999999999</v>
      </c>
      <c r="L16148">
        <v>1</v>
      </c>
      <c r="M16148">
        <v>1.0900000000000001</v>
      </c>
      <c r="N16148">
        <v>0.84</v>
      </c>
    </row>
    <row r="16149" spans="1:14" x14ac:dyDescent="0.25">
      <c r="A16149" t="s">
        <v>27108</v>
      </c>
      <c r="B16149" t="s">
        <v>27109</v>
      </c>
      <c r="C16149" s="1" t="str">
        <f>HYPERLINK("http://www.genecards.org/cgi-bin/carddisp.pl?gene=EPB41L4A","GeneCards")</f>
        <v>GeneCards</v>
      </c>
      <c r="D16149" s="1" t="str">
        <f>HYPERLINK("http://genome-euro.ucsc.edu/cgi-bin/hgTracks?position=220119_at","UCSC")</f>
        <v>UCSC</v>
      </c>
      <c r="E16149" s="1" t="str">
        <f>HYPERLINK("http://www.ncbi.nlm.nih.gov/gene/?term=EPB41L4A","NCBI")</f>
        <v>NCBI</v>
      </c>
      <c r="F16149">
        <v>0.82</v>
      </c>
      <c r="G16149">
        <v>0.86</v>
      </c>
      <c r="H16149" s="1" t="str">
        <f>HYPERLINK("http://www.weizmann.ac.il/complex/compphys/software/geview/data/figures/220119_at.png","Figure")</f>
        <v>Figure</v>
      </c>
      <c r="I16149">
        <v>1.04</v>
      </c>
      <c r="J16149">
        <v>0.88</v>
      </c>
      <c r="K16149">
        <v>1.04</v>
      </c>
      <c r="L16149">
        <v>0.82</v>
      </c>
      <c r="M16149">
        <v>1</v>
      </c>
      <c r="N16149">
        <v>1</v>
      </c>
    </row>
    <row r="16150" spans="1:14" x14ac:dyDescent="0.25">
      <c r="A16150" t="s">
        <v>27110</v>
      </c>
      <c r="B16150" t="s">
        <v>18946</v>
      </c>
      <c r="C16150" s="1" t="str">
        <f>HYPERLINK("http://www.genecards.org/cgi-bin/carddisp.pl?gene=SETD2","GeneCards")</f>
        <v>GeneCards</v>
      </c>
      <c r="D16150" s="1" t="str">
        <f>HYPERLINK("http://genome-euro.ucsc.edu/cgi-bin/hgTracks?position=212493_s_at","UCSC")</f>
        <v>UCSC</v>
      </c>
      <c r="E16150" s="1" t="str">
        <f>HYPERLINK("http://www.ncbi.nlm.nih.gov/gene/?term=SETD2","NCBI")</f>
        <v>NCBI</v>
      </c>
      <c r="F16150">
        <v>0.82</v>
      </c>
      <c r="G16150">
        <v>0.86</v>
      </c>
      <c r="H16150" s="1" t="str">
        <f>HYPERLINK("http://www.weizmann.ac.il/complex/compphys/software/geview/data/figures/212493_s_at.png","Figure")</f>
        <v>Figure</v>
      </c>
      <c r="I16150">
        <v>1.07</v>
      </c>
      <c r="J16150">
        <v>0.8</v>
      </c>
      <c r="K16150">
        <v>1.02</v>
      </c>
      <c r="L16150">
        <v>0.96</v>
      </c>
      <c r="M16150">
        <v>0.96099999999999997</v>
      </c>
      <c r="N16150">
        <v>0.9</v>
      </c>
    </row>
    <row r="16151" spans="1:14" x14ac:dyDescent="0.25">
      <c r="A16151" t="s">
        <v>27111</v>
      </c>
      <c r="B16151" t="s">
        <v>27112</v>
      </c>
      <c r="C16151" s="1" t="str">
        <f>HYPERLINK("http://www.genecards.org/cgi-bin/carddisp.pl?gene=NDRG4","GeneCards")</f>
        <v>GeneCards</v>
      </c>
      <c r="D16151" s="1" t="str">
        <f>HYPERLINK("http://genome-euro.ucsc.edu/cgi-bin/hgTracks?position=209159_s_at","UCSC")</f>
        <v>UCSC</v>
      </c>
      <c r="E16151" s="1" t="str">
        <f>HYPERLINK("http://www.ncbi.nlm.nih.gov/gene/?term=NDRG4","NCBI")</f>
        <v>NCBI</v>
      </c>
      <c r="F16151">
        <v>0.82</v>
      </c>
      <c r="G16151">
        <v>0.86</v>
      </c>
      <c r="H16151" s="1" t="str">
        <f>HYPERLINK("http://www.weizmann.ac.il/complex/compphys/software/geview/data/figures/209159_s_at.png","Figure")</f>
        <v>Figure</v>
      </c>
      <c r="I16151">
        <v>1.0900000000000001</v>
      </c>
      <c r="J16151">
        <v>0.83</v>
      </c>
      <c r="K16151">
        <v>1.06</v>
      </c>
      <c r="L16151">
        <v>0.87</v>
      </c>
      <c r="M16151">
        <v>0.98</v>
      </c>
      <c r="N16151">
        <v>0.99</v>
      </c>
    </row>
    <row r="16152" spans="1:14" x14ac:dyDescent="0.25">
      <c r="A16152" t="s">
        <v>27113</v>
      </c>
      <c r="B16152" t="s">
        <v>3223</v>
      </c>
      <c r="C16152" s="1" t="str">
        <f>HYPERLINK("http://www.genecards.org/cgi-bin/carddisp.pl?gene=AGRN","GeneCards")</f>
        <v>GeneCards</v>
      </c>
      <c r="D16152" s="1" t="str">
        <f>HYPERLINK("http://genome-euro.ucsc.edu/cgi-bin/hgTracks?position=212283_at","UCSC")</f>
        <v>UCSC</v>
      </c>
      <c r="E16152" s="1" t="str">
        <f>HYPERLINK("http://www.ncbi.nlm.nih.gov/gene/?term=AGRN","NCBI")</f>
        <v>NCBI</v>
      </c>
      <c r="F16152">
        <v>0.82</v>
      </c>
      <c r="G16152">
        <v>0.86</v>
      </c>
      <c r="H16152" s="1" t="str">
        <f>HYPERLINK("http://www.weizmann.ac.il/complex/compphys/software/geview/data/figures/212283_at.png","Figure")</f>
        <v>Figure</v>
      </c>
      <c r="I16152">
        <v>0.96399999999999997</v>
      </c>
      <c r="J16152">
        <v>0.93</v>
      </c>
      <c r="K16152">
        <v>1.02</v>
      </c>
      <c r="L16152">
        <v>0.96</v>
      </c>
      <c r="M16152">
        <v>1.06</v>
      </c>
      <c r="N16152">
        <v>0.8</v>
      </c>
    </row>
    <row r="16153" spans="1:14" x14ac:dyDescent="0.25">
      <c r="A16153" t="s">
        <v>27114</v>
      </c>
      <c r="B16153" t="s">
        <v>27115</v>
      </c>
      <c r="C16153" s="1" t="str">
        <f>HYPERLINK("http://www.genecards.org/cgi-bin/carddisp.pl?gene=LARP5","GeneCards")</f>
        <v>GeneCards</v>
      </c>
      <c r="D16153" s="1" t="str">
        <f>HYPERLINK("http://genome-euro.ucsc.edu/cgi-bin/hgTracks?position=214215_s_at","UCSC")</f>
        <v>UCSC</v>
      </c>
      <c r="E16153" s="1" t="str">
        <f>HYPERLINK("http://www.ncbi.nlm.nih.gov/gene/?term=LARP5","NCBI")</f>
        <v>NCBI</v>
      </c>
      <c r="F16153">
        <v>0.82</v>
      </c>
      <c r="G16153">
        <v>0.86</v>
      </c>
      <c r="H16153" s="1" t="str">
        <f>HYPERLINK("http://www.weizmann.ac.il/complex/compphys/software/geview/data/figures/214215_s_at.png","Figure")</f>
        <v>Figure</v>
      </c>
      <c r="I16153">
        <v>1.02</v>
      </c>
      <c r="J16153">
        <v>0.85</v>
      </c>
      <c r="K16153">
        <v>1.02</v>
      </c>
      <c r="L16153">
        <v>0.85</v>
      </c>
      <c r="M16153">
        <v>0.997</v>
      </c>
      <c r="N16153">
        <v>1</v>
      </c>
    </row>
    <row r="16154" spans="1:14" x14ac:dyDescent="0.25">
      <c r="A16154" t="s">
        <v>27116</v>
      </c>
      <c r="B16154" t="s">
        <v>13411</v>
      </c>
      <c r="C16154" s="1" t="str">
        <f>HYPERLINK("http://www.genecards.org/cgi-bin/carddisp.pl?gene=FDFT1","GeneCards")</f>
        <v>GeneCards</v>
      </c>
      <c r="D16154" s="1" t="str">
        <f>HYPERLINK("http://genome-euro.ucsc.edu/cgi-bin/hgTracks?position=208647_at","UCSC")</f>
        <v>UCSC</v>
      </c>
      <c r="E16154" s="1" t="str">
        <f>HYPERLINK("http://www.ncbi.nlm.nih.gov/gene/?term=FDFT1","NCBI")</f>
        <v>NCBI</v>
      </c>
      <c r="F16154">
        <v>0.82</v>
      </c>
      <c r="G16154">
        <v>0.86</v>
      </c>
      <c r="H16154" s="1" t="str">
        <f>HYPERLINK("http://www.weizmann.ac.il/complex/compphys/software/geview/data/figures/208647_at.png","Figure")</f>
        <v>Figure</v>
      </c>
      <c r="I16154">
        <v>1.0900000000000001</v>
      </c>
      <c r="J16154">
        <v>0.83</v>
      </c>
      <c r="K16154">
        <v>1.07</v>
      </c>
      <c r="L16154">
        <v>0.87</v>
      </c>
      <c r="M16154">
        <v>0.97899999999999998</v>
      </c>
      <c r="N16154">
        <v>0.99</v>
      </c>
    </row>
    <row r="16155" spans="1:14" x14ac:dyDescent="0.25">
      <c r="A16155" t="s">
        <v>27117</v>
      </c>
      <c r="B16155" t="s">
        <v>27118</v>
      </c>
      <c r="C16155" s="1" t="str">
        <f>HYPERLINK("http://www.genecards.org/cgi-bin/carddisp.pl?gene=BLVRB","GeneCards")</f>
        <v>GeneCards</v>
      </c>
      <c r="D16155" s="1" t="str">
        <f>HYPERLINK("http://genome-euro.ucsc.edu/cgi-bin/hgTracks?position=202201_at","UCSC")</f>
        <v>UCSC</v>
      </c>
      <c r="E16155" s="1" t="str">
        <f>HYPERLINK("http://www.ncbi.nlm.nih.gov/gene/?term=BLVRB","NCBI")</f>
        <v>NCBI</v>
      </c>
      <c r="F16155">
        <v>0.82</v>
      </c>
      <c r="G16155">
        <v>0.86</v>
      </c>
      <c r="H16155" s="1" t="str">
        <f>HYPERLINK("http://www.weizmann.ac.il/complex/compphys/software/geview/data/figures/202201_at.png","Figure")</f>
        <v>Figure</v>
      </c>
      <c r="I16155">
        <v>1.19</v>
      </c>
      <c r="J16155">
        <v>0.85</v>
      </c>
      <c r="K16155">
        <v>0.999</v>
      </c>
      <c r="L16155">
        <v>1</v>
      </c>
      <c r="M16155">
        <v>0.84199999999999997</v>
      </c>
      <c r="N16155">
        <v>0.83</v>
      </c>
    </row>
    <row r="16156" spans="1:14" x14ac:dyDescent="0.25">
      <c r="A16156" t="s">
        <v>27119</v>
      </c>
      <c r="B16156" t="s">
        <v>27120</v>
      </c>
      <c r="C16156" s="1" t="str">
        <f>HYPERLINK("http://www.genecards.org/cgi-bin/carddisp.pl?gene=TNFAIP2","GeneCards")</f>
        <v>GeneCards</v>
      </c>
      <c r="D16156" s="1" t="str">
        <f>HYPERLINK("http://genome-euro.ucsc.edu/cgi-bin/hgTracks?position=202509_s_at","UCSC")</f>
        <v>UCSC</v>
      </c>
      <c r="E16156" s="1" t="str">
        <f>HYPERLINK("http://www.ncbi.nlm.nih.gov/gene/?term=TNFAIP2","NCBI")</f>
        <v>NCBI</v>
      </c>
      <c r="F16156">
        <v>0.82</v>
      </c>
      <c r="G16156">
        <v>0.86</v>
      </c>
      <c r="H16156" s="1" t="str">
        <f>HYPERLINK("http://www.weizmann.ac.il/complex/compphys/software/geview/data/figures/202509_s_at.png","Figure")</f>
        <v>Figure</v>
      </c>
      <c r="I16156">
        <v>1.05</v>
      </c>
      <c r="J16156">
        <v>0.91</v>
      </c>
      <c r="K16156">
        <v>1.07</v>
      </c>
      <c r="L16156">
        <v>0.81</v>
      </c>
      <c r="M16156">
        <v>1.01</v>
      </c>
      <c r="N16156">
        <v>0.99</v>
      </c>
    </row>
    <row r="16157" spans="1:14" x14ac:dyDescent="0.25">
      <c r="A16157" t="s">
        <v>27121</v>
      </c>
      <c r="B16157" t="s">
        <v>27122</v>
      </c>
      <c r="C16157" s="1" t="str">
        <f>HYPERLINK("http://www.genecards.org/cgi-bin/carddisp.pl?gene=ARID4A","GeneCards")</f>
        <v>GeneCards</v>
      </c>
      <c r="D16157" s="1" t="str">
        <f>HYPERLINK("http://genome-euro.ucsc.edu/cgi-bin/hgTracks?position=205062_x_at","UCSC")</f>
        <v>UCSC</v>
      </c>
      <c r="E16157" s="1" t="str">
        <f>HYPERLINK("http://www.ncbi.nlm.nih.gov/gene/?term=ARID4A","NCBI")</f>
        <v>NCBI</v>
      </c>
      <c r="F16157">
        <v>0.82</v>
      </c>
      <c r="G16157">
        <v>0.86</v>
      </c>
      <c r="H16157" s="1" t="str">
        <f>HYPERLINK("http://www.weizmann.ac.il/complex/compphys/software/geview/data/figures/205062_x_at.png","Figure")</f>
        <v>Figure</v>
      </c>
      <c r="I16157">
        <v>0.92700000000000005</v>
      </c>
      <c r="J16157">
        <v>0.86</v>
      </c>
      <c r="K16157">
        <v>1</v>
      </c>
      <c r="L16157">
        <v>1</v>
      </c>
      <c r="M16157">
        <v>1.08</v>
      </c>
      <c r="N16157">
        <v>0.83</v>
      </c>
    </row>
    <row r="16158" spans="1:14" x14ac:dyDescent="0.25">
      <c r="A16158" t="s">
        <v>27123</v>
      </c>
      <c r="B16158" t="s">
        <v>27124</v>
      </c>
      <c r="C16158" s="1" t="str">
        <f>HYPERLINK("http://www.genecards.org/cgi-bin/carddisp.pl?gene=TDGF1 /// TDGF3","GeneCards")</f>
        <v>GeneCards</v>
      </c>
      <c r="D16158" s="1" t="str">
        <f>HYPERLINK("http://genome-euro.ucsc.edu/cgi-bin/hgTracks?position=206286_s_at","UCSC")</f>
        <v>UCSC</v>
      </c>
      <c r="E16158" s="1" t="str">
        <f>HYPERLINK("http://www.ncbi.nlm.nih.gov/gene/?term=TDGF1 /// TDGF3","NCBI")</f>
        <v>NCBI</v>
      </c>
      <c r="F16158">
        <v>0.82</v>
      </c>
      <c r="G16158">
        <v>0.86</v>
      </c>
      <c r="H16158" s="1" t="str">
        <f>HYPERLINK("http://www.weizmann.ac.il/complex/compphys/software/geview/data/figures/206286_s_at.png","Figure")</f>
        <v>Figure</v>
      </c>
      <c r="I16158">
        <v>1.04</v>
      </c>
      <c r="J16158">
        <v>0.83</v>
      </c>
      <c r="K16158">
        <v>1.03</v>
      </c>
      <c r="L16158">
        <v>0.87</v>
      </c>
      <c r="M16158">
        <v>0.99</v>
      </c>
      <c r="N16158">
        <v>0.99</v>
      </c>
    </row>
    <row r="16159" spans="1:14" x14ac:dyDescent="0.25">
      <c r="A16159" t="s">
        <v>27125</v>
      </c>
      <c r="B16159" t="s">
        <v>27126</v>
      </c>
      <c r="C16159" s="1" t="str">
        <f>HYPERLINK("http://www.genecards.org/cgi-bin/carddisp.pl?gene=PSMC1","GeneCards")</f>
        <v>GeneCards</v>
      </c>
      <c r="D16159" s="1" t="str">
        <f>HYPERLINK("http://genome-euro.ucsc.edu/cgi-bin/hgTracks?position=204219_s_at","UCSC")</f>
        <v>UCSC</v>
      </c>
      <c r="E16159" s="1" t="str">
        <f>HYPERLINK("http://www.ncbi.nlm.nih.gov/gene/?term=PSMC1","NCBI")</f>
        <v>NCBI</v>
      </c>
      <c r="F16159">
        <v>0.82</v>
      </c>
      <c r="G16159">
        <v>0.86</v>
      </c>
      <c r="H16159" s="1" t="str">
        <f>HYPERLINK("http://www.weizmann.ac.il/complex/compphys/software/geview/data/figures/204219_s_at.png","Figure")</f>
        <v>Figure</v>
      </c>
      <c r="I16159">
        <v>1.06</v>
      </c>
      <c r="J16159">
        <v>0.93</v>
      </c>
      <c r="K16159">
        <v>1.1000000000000001</v>
      </c>
      <c r="L16159">
        <v>0.81</v>
      </c>
      <c r="M16159">
        <v>1.03</v>
      </c>
      <c r="N16159">
        <v>0.98</v>
      </c>
    </row>
    <row r="16160" spans="1:14" x14ac:dyDescent="0.25">
      <c r="A16160" t="s">
        <v>27127</v>
      </c>
      <c r="B16160" t="s">
        <v>7291</v>
      </c>
      <c r="C16160" s="1" t="str">
        <f>HYPERLINK("http://www.genecards.org/cgi-bin/carddisp.pl?gene=BCKDHB","GeneCards")</f>
        <v>GeneCards</v>
      </c>
      <c r="D16160" s="1" t="str">
        <f>HYPERLINK("http://genome-euro.ucsc.edu/cgi-bin/hgTracks?position=213321_at","UCSC")</f>
        <v>UCSC</v>
      </c>
      <c r="E16160" s="1" t="str">
        <f>HYPERLINK("http://www.ncbi.nlm.nih.gov/gene/?term=BCKDHB","NCBI")</f>
        <v>NCBI</v>
      </c>
      <c r="F16160">
        <v>0.82</v>
      </c>
      <c r="G16160">
        <v>0.86</v>
      </c>
      <c r="H16160" s="1" t="str">
        <f>HYPERLINK("http://www.weizmann.ac.il/complex/compphys/software/geview/data/figures/213321_at.png","Figure")</f>
        <v>Figure</v>
      </c>
      <c r="I16160">
        <v>1.03</v>
      </c>
      <c r="J16160">
        <v>0.86</v>
      </c>
      <c r="K16160">
        <v>0.999</v>
      </c>
      <c r="L16160">
        <v>1</v>
      </c>
      <c r="M16160">
        <v>0.96799999999999997</v>
      </c>
      <c r="N16160">
        <v>0.83</v>
      </c>
    </row>
    <row r="16161" spans="1:14" x14ac:dyDescent="0.25">
      <c r="A16161" t="s">
        <v>27128</v>
      </c>
      <c r="B16161" t="s">
        <v>24556</v>
      </c>
      <c r="C16161" s="1" t="str">
        <f>HYPERLINK("http://www.genecards.org/cgi-bin/carddisp.pl?gene=NPC1","GeneCards")</f>
        <v>GeneCards</v>
      </c>
      <c r="D16161" s="1" t="str">
        <f>HYPERLINK("http://genome-euro.ucsc.edu/cgi-bin/hgTracks?position=202679_at","UCSC")</f>
        <v>UCSC</v>
      </c>
      <c r="E16161" s="1" t="str">
        <f>HYPERLINK("http://www.ncbi.nlm.nih.gov/gene/?term=NPC1","NCBI")</f>
        <v>NCBI</v>
      </c>
      <c r="F16161">
        <v>0.82</v>
      </c>
      <c r="G16161">
        <v>0.86</v>
      </c>
      <c r="H16161" s="1" t="str">
        <f>HYPERLINK("http://www.weizmann.ac.il/complex/compphys/software/geview/data/figures/202679_at.png","Figure")</f>
        <v>Figure</v>
      </c>
      <c r="I16161">
        <v>0.86299999999999999</v>
      </c>
      <c r="J16161">
        <v>0.83</v>
      </c>
      <c r="K16161">
        <v>0.89900000000000002</v>
      </c>
      <c r="L16161">
        <v>0.88</v>
      </c>
      <c r="M16161">
        <v>1.04</v>
      </c>
      <c r="N16161">
        <v>0.98</v>
      </c>
    </row>
    <row r="16162" spans="1:14" x14ac:dyDescent="0.25">
      <c r="A16162" t="s">
        <v>27129</v>
      </c>
      <c r="B16162" t="s">
        <v>10856</v>
      </c>
      <c r="C16162" s="1" t="str">
        <f>HYPERLINK("http://www.genecards.org/cgi-bin/carddisp.pl?gene=TUSC4","GeneCards")</f>
        <v>GeneCards</v>
      </c>
      <c r="D16162" s="1" t="str">
        <f>HYPERLINK("http://genome-euro.ucsc.edu/cgi-bin/hgTracks?position=203246_s_at","UCSC")</f>
        <v>UCSC</v>
      </c>
      <c r="E16162" s="1" t="str">
        <f>HYPERLINK("http://www.ncbi.nlm.nih.gov/gene/?term=TUSC4","NCBI")</f>
        <v>NCBI</v>
      </c>
      <c r="F16162">
        <v>0.82</v>
      </c>
      <c r="G16162">
        <v>0.86</v>
      </c>
      <c r="H16162" s="1" t="str">
        <f>HYPERLINK("http://www.weizmann.ac.il/complex/compphys/software/geview/data/figures/203246_s_at.png","Figure")</f>
        <v>Figure</v>
      </c>
      <c r="I16162">
        <v>1.02</v>
      </c>
      <c r="J16162">
        <v>0.98</v>
      </c>
      <c r="K16162">
        <v>1.06</v>
      </c>
      <c r="L16162">
        <v>0.82</v>
      </c>
      <c r="M16162">
        <v>1.04</v>
      </c>
      <c r="N16162">
        <v>0.92</v>
      </c>
    </row>
    <row r="16163" spans="1:14" x14ac:dyDescent="0.25">
      <c r="A16163" t="s">
        <v>27130</v>
      </c>
      <c r="B16163" t="s">
        <v>24500</v>
      </c>
      <c r="C16163" s="1" t="str">
        <f>HYPERLINK("http://www.genecards.org/cgi-bin/carddisp.pl?gene=RRP15","GeneCards")</f>
        <v>GeneCards</v>
      </c>
      <c r="D16163" s="1" t="str">
        <f>HYPERLINK("http://genome-euro.ucsc.edu/cgi-bin/hgTracks?position=219037_at","UCSC")</f>
        <v>UCSC</v>
      </c>
      <c r="E16163" s="1" t="str">
        <f>HYPERLINK("http://www.ncbi.nlm.nih.gov/gene/?term=RRP15","NCBI")</f>
        <v>NCBI</v>
      </c>
      <c r="F16163">
        <v>0.82</v>
      </c>
      <c r="G16163">
        <v>0.86</v>
      </c>
      <c r="H16163" s="1" t="str">
        <f>HYPERLINK("http://www.weizmann.ac.il/complex/compphys/software/geview/data/figures/219037_at.png","Figure")</f>
        <v>Figure</v>
      </c>
      <c r="I16163">
        <v>1.04</v>
      </c>
      <c r="J16163">
        <v>0.99</v>
      </c>
      <c r="K16163">
        <v>0.91800000000000004</v>
      </c>
      <c r="L16163">
        <v>0.9</v>
      </c>
      <c r="M16163">
        <v>0.88700000000000001</v>
      </c>
      <c r="N16163">
        <v>0.83</v>
      </c>
    </row>
    <row r="16164" spans="1:14" x14ac:dyDescent="0.25">
      <c r="A16164" t="s">
        <v>27131</v>
      </c>
      <c r="B16164" t="s">
        <v>27132</v>
      </c>
      <c r="C16164" s="1" t="str">
        <f>HYPERLINK("http://www.genecards.org/cgi-bin/carddisp.pl?gene=TSPAN32","GeneCards")</f>
        <v>GeneCards</v>
      </c>
      <c r="D16164" s="1" t="str">
        <f>HYPERLINK("http://genome-euro.ucsc.edu/cgi-bin/hgTracks?position=220558_x_at","UCSC")</f>
        <v>UCSC</v>
      </c>
      <c r="E16164" s="1" t="str">
        <f>HYPERLINK("http://www.ncbi.nlm.nih.gov/gene/?term=TSPAN32","NCBI")</f>
        <v>NCBI</v>
      </c>
      <c r="F16164">
        <v>0.82</v>
      </c>
      <c r="G16164">
        <v>0.86</v>
      </c>
      <c r="H16164" s="1" t="str">
        <f>HYPERLINK("http://www.weizmann.ac.il/complex/compphys/software/geview/data/figures/220558_x_at.png","Figure")</f>
        <v>Figure</v>
      </c>
      <c r="I16164">
        <v>0.96799999999999997</v>
      </c>
      <c r="J16164">
        <v>0.96</v>
      </c>
      <c r="K16164">
        <v>1.04</v>
      </c>
      <c r="L16164">
        <v>0.93</v>
      </c>
      <c r="M16164">
        <v>1.08</v>
      </c>
      <c r="N16164">
        <v>0.81</v>
      </c>
    </row>
    <row r="16165" spans="1:14" x14ac:dyDescent="0.25">
      <c r="A16165" t="s">
        <v>27133</v>
      </c>
      <c r="B16165" t="s">
        <v>27134</v>
      </c>
      <c r="C16165" s="1" t="str">
        <f>HYPERLINK("http://www.genecards.org/cgi-bin/carddisp.pl?gene=BMP15","GeneCards")</f>
        <v>GeneCards</v>
      </c>
      <c r="D16165" s="1" t="str">
        <f>HYPERLINK("http://genome-euro.ucsc.edu/cgi-bin/hgTracks?position=221332_at","UCSC")</f>
        <v>UCSC</v>
      </c>
      <c r="E16165" s="1" t="str">
        <f>HYPERLINK("http://www.ncbi.nlm.nih.gov/gene/?term=BMP15","NCBI")</f>
        <v>NCBI</v>
      </c>
      <c r="F16165">
        <v>0.82</v>
      </c>
      <c r="G16165">
        <v>0.86</v>
      </c>
      <c r="H16165" s="1" t="str">
        <f>HYPERLINK("http://www.weizmann.ac.il/complex/compphys/software/geview/data/figures/221332_at.png","Figure")</f>
        <v>Figure</v>
      </c>
      <c r="I16165">
        <v>1.02</v>
      </c>
      <c r="J16165">
        <v>0.94</v>
      </c>
      <c r="K16165">
        <v>0.98499999999999999</v>
      </c>
      <c r="L16165">
        <v>0.96</v>
      </c>
      <c r="M16165">
        <v>0.96299999999999997</v>
      </c>
      <c r="N16165">
        <v>0.81</v>
      </c>
    </row>
    <row r="16166" spans="1:14" x14ac:dyDescent="0.25">
      <c r="A16166" t="s">
        <v>27135</v>
      </c>
      <c r="B16166" t="s">
        <v>27136</v>
      </c>
      <c r="C16166" s="1" t="str">
        <f>HYPERLINK("http://www.genecards.org/cgi-bin/carddisp.pl?gene=ATF7IP2","GeneCards")</f>
        <v>GeneCards</v>
      </c>
      <c r="D16166" s="1" t="str">
        <f>HYPERLINK("http://genome-euro.ucsc.edu/cgi-bin/hgTracks?position=219870_at","UCSC")</f>
        <v>UCSC</v>
      </c>
      <c r="E16166" s="1" t="str">
        <f>HYPERLINK("http://www.ncbi.nlm.nih.gov/gene/?term=ATF7IP2","NCBI")</f>
        <v>NCBI</v>
      </c>
      <c r="F16166">
        <v>0.82</v>
      </c>
      <c r="G16166">
        <v>0.86</v>
      </c>
      <c r="H16166" s="1" t="str">
        <f>HYPERLINK("http://www.weizmann.ac.il/complex/compphys/software/geview/data/figures/219870_at.png","Figure")</f>
        <v>Figure</v>
      </c>
      <c r="I16166">
        <v>1.17</v>
      </c>
      <c r="J16166">
        <v>0.81</v>
      </c>
      <c r="K16166">
        <v>1.07</v>
      </c>
      <c r="L16166">
        <v>0.94</v>
      </c>
      <c r="M16166">
        <v>0.92100000000000004</v>
      </c>
      <c r="N16166">
        <v>0.93</v>
      </c>
    </row>
    <row r="16167" spans="1:14" x14ac:dyDescent="0.25">
      <c r="A16167" t="s">
        <v>27137</v>
      </c>
      <c r="B16167" t="s">
        <v>27138</v>
      </c>
      <c r="C16167" s="1" t="str">
        <f>HYPERLINK("http://www.genecards.org/cgi-bin/carddisp.pl?gene=GZMB","GeneCards")</f>
        <v>GeneCards</v>
      </c>
      <c r="D16167" s="1" t="str">
        <f>HYPERLINK("http://genome-euro.ucsc.edu/cgi-bin/hgTracks?position=210164_at","UCSC")</f>
        <v>UCSC</v>
      </c>
      <c r="E16167" s="1" t="str">
        <f>HYPERLINK("http://www.ncbi.nlm.nih.gov/gene/?term=GZMB","NCBI")</f>
        <v>NCBI</v>
      </c>
      <c r="F16167">
        <v>0.82</v>
      </c>
      <c r="G16167">
        <v>0.86</v>
      </c>
      <c r="H16167" s="1" t="str">
        <f>HYPERLINK("http://www.weizmann.ac.il/complex/compphys/software/geview/data/figures/210164_at.png","Figure")</f>
        <v>Figure</v>
      </c>
      <c r="I16167">
        <v>0.875</v>
      </c>
      <c r="J16167">
        <v>0.92</v>
      </c>
      <c r="K16167">
        <v>0.83099999999999996</v>
      </c>
      <c r="L16167">
        <v>0.81</v>
      </c>
      <c r="M16167">
        <v>0.95</v>
      </c>
      <c r="N16167">
        <v>0.99</v>
      </c>
    </row>
    <row r="16168" spans="1:14" x14ac:dyDescent="0.25">
      <c r="A16168" t="s">
        <v>27139</v>
      </c>
      <c r="B16168" t="s">
        <v>27140</v>
      </c>
      <c r="C16168" s="1" t="str">
        <f>HYPERLINK("http://www.genecards.org/cgi-bin/carddisp.pl?gene=PTGER2","GeneCards")</f>
        <v>GeneCards</v>
      </c>
      <c r="D16168" s="1" t="str">
        <f>HYPERLINK("http://genome-euro.ucsc.edu/cgi-bin/hgTracks?position=206631_at","UCSC")</f>
        <v>UCSC</v>
      </c>
      <c r="E16168" s="1" t="str">
        <f>HYPERLINK("http://www.ncbi.nlm.nih.gov/gene/?term=PTGER2","NCBI")</f>
        <v>NCBI</v>
      </c>
      <c r="F16168">
        <v>0.82</v>
      </c>
      <c r="G16168">
        <v>0.86</v>
      </c>
      <c r="H16168" s="1" t="str">
        <f>HYPERLINK("http://www.weizmann.ac.il/complex/compphys/software/geview/data/figures/206631_at.png","Figure")</f>
        <v>Figure</v>
      </c>
      <c r="I16168">
        <v>0.92400000000000004</v>
      </c>
      <c r="J16168">
        <v>0.92</v>
      </c>
      <c r="K16168">
        <v>0.89600000000000002</v>
      </c>
      <c r="L16168">
        <v>0.81</v>
      </c>
      <c r="M16168">
        <v>0.96899999999999997</v>
      </c>
      <c r="N16168">
        <v>0.98</v>
      </c>
    </row>
    <row r="16169" spans="1:14" x14ac:dyDescent="0.25">
      <c r="A16169" t="s">
        <v>27141</v>
      </c>
      <c r="B16169" t="s">
        <v>27142</v>
      </c>
      <c r="C16169" s="1" t="str">
        <f>HYPERLINK("http://www.genecards.org/cgi-bin/carddisp.pl?gene=HHAT","GeneCards")</f>
        <v>GeneCards</v>
      </c>
      <c r="D16169" s="1" t="str">
        <f>HYPERLINK("http://genome-euro.ucsc.edu/cgi-bin/hgTracks?position=219687_at","UCSC")</f>
        <v>UCSC</v>
      </c>
      <c r="E16169" s="1" t="str">
        <f>HYPERLINK("http://www.ncbi.nlm.nih.gov/gene/?term=HHAT","NCBI")</f>
        <v>NCBI</v>
      </c>
      <c r="F16169">
        <v>0.82</v>
      </c>
      <c r="G16169">
        <v>0.86</v>
      </c>
      <c r="H16169" s="1" t="str">
        <f>HYPERLINK("http://www.weizmann.ac.il/complex/compphys/software/geview/data/figures/219687_at.png","Figure")</f>
        <v>Figure</v>
      </c>
      <c r="I16169">
        <v>0.94299999999999995</v>
      </c>
      <c r="J16169">
        <v>0.82</v>
      </c>
      <c r="K16169">
        <v>0.98499999999999999</v>
      </c>
      <c r="L16169">
        <v>0.98</v>
      </c>
      <c r="M16169">
        <v>1.04</v>
      </c>
      <c r="N16169">
        <v>0.88</v>
      </c>
    </row>
    <row r="16170" spans="1:14" x14ac:dyDescent="0.25">
      <c r="A16170" t="s">
        <v>27143</v>
      </c>
      <c r="B16170" t="s">
        <v>20593</v>
      </c>
      <c r="C16170" s="1" t="str">
        <f>HYPERLINK("http://www.genecards.org/cgi-bin/carddisp.pl?gene=N4BP2L2","GeneCards")</f>
        <v>GeneCards</v>
      </c>
      <c r="D16170" s="1" t="str">
        <f>HYPERLINK("http://genome-euro.ucsc.edu/cgi-bin/hgTracks?position=202258_s_at","UCSC")</f>
        <v>UCSC</v>
      </c>
      <c r="E16170" s="1" t="str">
        <f>HYPERLINK("http://www.ncbi.nlm.nih.gov/gene/?term=N4BP2L2","NCBI")</f>
        <v>NCBI</v>
      </c>
      <c r="F16170">
        <v>0.82</v>
      </c>
      <c r="G16170">
        <v>0.87</v>
      </c>
      <c r="H16170" s="1" t="str">
        <f>HYPERLINK("http://www.weizmann.ac.il/complex/compphys/software/geview/data/figures/202258_s_at.png","Figure")</f>
        <v>Figure</v>
      </c>
      <c r="I16170">
        <v>1.1100000000000001</v>
      </c>
      <c r="J16170">
        <v>0.91</v>
      </c>
      <c r="K16170">
        <v>1.1399999999999999</v>
      </c>
      <c r="L16170">
        <v>0.81</v>
      </c>
      <c r="M16170">
        <v>1.03</v>
      </c>
      <c r="N16170">
        <v>0.99</v>
      </c>
    </row>
    <row r="16171" spans="1:14" x14ac:dyDescent="0.25">
      <c r="A16171" t="s">
        <v>27144</v>
      </c>
      <c r="B16171" t="s">
        <v>14399</v>
      </c>
      <c r="C16171" s="1" t="str">
        <f>HYPERLINK("http://www.genecards.org/cgi-bin/carddisp.pl?gene=DUT","GeneCards")</f>
        <v>GeneCards</v>
      </c>
      <c r="D16171" s="1" t="str">
        <f>HYPERLINK("http://genome-euro.ucsc.edu/cgi-bin/hgTracks?position=208956_x_at","UCSC")</f>
        <v>UCSC</v>
      </c>
      <c r="E16171" s="1" t="str">
        <f>HYPERLINK("http://www.ncbi.nlm.nih.gov/gene/?term=DUT","NCBI")</f>
        <v>NCBI</v>
      </c>
      <c r="F16171">
        <v>0.82</v>
      </c>
      <c r="G16171">
        <v>0.87</v>
      </c>
      <c r="H16171" s="1" t="str">
        <f>HYPERLINK("http://www.weizmann.ac.il/complex/compphys/software/geview/data/figures/208956_x_at.png","Figure")</f>
        <v>Figure</v>
      </c>
      <c r="I16171">
        <v>1.05</v>
      </c>
      <c r="J16171">
        <v>0.97</v>
      </c>
      <c r="K16171">
        <v>1.1000000000000001</v>
      </c>
      <c r="L16171">
        <v>0.81</v>
      </c>
      <c r="M16171">
        <v>1.06</v>
      </c>
      <c r="N16171">
        <v>0.95</v>
      </c>
    </row>
    <row r="16172" spans="1:14" x14ac:dyDescent="0.25">
      <c r="A16172" t="s">
        <v>27145</v>
      </c>
      <c r="B16172" t="s">
        <v>21206</v>
      </c>
      <c r="C16172" s="1" t="str">
        <f>HYPERLINK("http://www.genecards.org/cgi-bin/carddisp.pl?gene=PLEKHM1","GeneCards")</f>
        <v>GeneCards</v>
      </c>
      <c r="D16172" s="1" t="str">
        <f>HYPERLINK("http://genome-euro.ucsc.edu/cgi-bin/hgTracks?position=212717_at","UCSC")</f>
        <v>UCSC</v>
      </c>
      <c r="E16172" s="1" t="str">
        <f>HYPERLINK("http://www.ncbi.nlm.nih.gov/gene/?term=PLEKHM1","NCBI")</f>
        <v>NCBI</v>
      </c>
      <c r="F16172">
        <v>0.82</v>
      </c>
      <c r="G16172">
        <v>0.87</v>
      </c>
      <c r="H16172" s="1" t="str">
        <f>HYPERLINK("http://www.weizmann.ac.il/complex/compphys/software/geview/data/figures/212717_at.png","Figure")</f>
        <v>Figure</v>
      </c>
      <c r="I16172">
        <v>0.93100000000000005</v>
      </c>
      <c r="J16172">
        <v>0.81</v>
      </c>
      <c r="K16172">
        <v>0.97299999999999998</v>
      </c>
      <c r="L16172">
        <v>0.96</v>
      </c>
      <c r="M16172">
        <v>1.04</v>
      </c>
      <c r="N16172">
        <v>0.91</v>
      </c>
    </row>
    <row r="16173" spans="1:14" x14ac:dyDescent="0.25">
      <c r="A16173" t="s">
        <v>27146</v>
      </c>
      <c r="B16173" t="s">
        <v>27147</v>
      </c>
      <c r="C16173" s="1" t="str">
        <f>HYPERLINK("http://www.genecards.org/cgi-bin/carddisp.pl?gene=COMMD3","GeneCards")</f>
        <v>GeneCards</v>
      </c>
      <c r="D16173" s="1" t="str">
        <f>HYPERLINK("http://genome-euro.ucsc.edu/cgi-bin/hgTracks?position=218048_at","UCSC")</f>
        <v>UCSC</v>
      </c>
      <c r="E16173" s="1" t="str">
        <f>HYPERLINK("http://www.ncbi.nlm.nih.gov/gene/?term=COMMD3","NCBI")</f>
        <v>NCBI</v>
      </c>
      <c r="F16173">
        <v>0.82</v>
      </c>
      <c r="G16173">
        <v>0.87</v>
      </c>
      <c r="H16173" s="1" t="str">
        <f>HYPERLINK("http://www.weizmann.ac.il/complex/compphys/software/geview/data/figures/218048_at.png","Figure")</f>
        <v>Figure</v>
      </c>
      <c r="I16173">
        <v>1.1200000000000001</v>
      </c>
      <c r="J16173">
        <v>0.84</v>
      </c>
      <c r="K16173">
        <v>1.0900000000000001</v>
      </c>
      <c r="L16173">
        <v>0.86</v>
      </c>
      <c r="M16173">
        <v>0.98</v>
      </c>
      <c r="N16173">
        <v>0.99</v>
      </c>
    </row>
    <row r="16174" spans="1:14" x14ac:dyDescent="0.25">
      <c r="A16174" t="s">
        <v>27148</v>
      </c>
      <c r="B16174" t="s">
        <v>27149</v>
      </c>
      <c r="C16174" s="1" t="str">
        <f>HYPERLINK("http://www.genecards.org/cgi-bin/carddisp.pl?gene=ZG16","GeneCards")</f>
        <v>GeneCards</v>
      </c>
      <c r="D16174" s="1" t="str">
        <f>HYPERLINK("http://genome-euro.ucsc.edu/cgi-bin/hgTracks?position=214142_at","UCSC")</f>
        <v>UCSC</v>
      </c>
      <c r="E16174" s="1" t="str">
        <f>HYPERLINK("http://www.ncbi.nlm.nih.gov/gene/?term=ZG16","NCBI")</f>
        <v>NCBI</v>
      </c>
      <c r="F16174">
        <v>0.82</v>
      </c>
      <c r="G16174">
        <v>0.87</v>
      </c>
      <c r="H16174" s="1" t="str">
        <f>HYPERLINK("http://www.weizmann.ac.il/complex/compphys/software/geview/data/figures/214142_at.png","Figure")</f>
        <v>Figure</v>
      </c>
      <c r="I16174">
        <v>1.02</v>
      </c>
      <c r="J16174">
        <v>0.95</v>
      </c>
      <c r="K16174">
        <v>1.03</v>
      </c>
      <c r="L16174">
        <v>0.81</v>
      </c>
      <c r="M16174">
        <v>1.01</v>
      </c>
      <c r="N16174">
        <v>0.97</v>
      </c>
    </row>
    <row r="16175" spans="1:14" x14ac:dyDescent="0.25">
      <c r="A16175" t="s">
        <v>27150</v>
      </c>
      <c r="B16175" t="s">
        <v>4034</v>
      </c>
      <c r="C16175" s="1" t="str">
        <f>HYPERLINK("http://www.genecards.org/cgi-bin/carddisp.pl?gene=SUB1","GeneCards")</f>
        <v>GeneCards</v>
      </c>
      <c r="D16175" s="1" t="str">
        <f>HYPERLINK("http://genome-euro.ucsc.edu/cgi-bin/hgTracks?position=214512_s_at","UCSC")</f>
        <v>UCSC</v>
      </c>
      <c r="E16175" s="1" t="str">
        <f>HYPERLINK("http://www.ncbi.nlm.nih.gov/gene/?term=SUB1","NCBI")</f>
        <v>NCBI</v>
      </c>
      <c r="F16175">
        <v>0.82</v>
      </c>
      <c r="G16175">
        <v>0.87</v>
      </c>
      <c r="H16175" s="1" t="str">
        <f>HYPERLINK("http://www.weizmann.ac.il/complex/compphys/software/geview/data/figures/214512_s_at.png","Figure")</f>
        <v>Figure</v>
      </c>
      <c r="I16175">
        <v>0.92900000000000005</v>
      </c>
      <c r="J16175">
        <v>0.88</v>
      </c>
      <c r="K16175">
        <v>0.92400000000000004</v>
      </c>
      <c r="L16175">
        <v>0.83</v>
      </c>
      <c r="M16175">
        <v>0.995</v>
      </c>
      <c r="N16175">
        <v>1</v>
      </c>
    </row>
    <row r="16176" spans="1:14" x14ac:dyDescent="0.25">
      <c r="A16176" t="s">
        <v>27151</v>
      </c>
      <c r="B16176" t="s">
        <v>5317</v>
      </c>
      <c r="C16176" s="1" t="str">
        <f>HYPERLINK("http://www.genecards.org/cgi-bin/carddisp.pl?gene=ZC3H11A","GeneCards")</f>
        <v>GeneCards</v>
      </c>
      <c r="D16176" s="1" t="str">
        <f>HYPERLINK("http://genome-euro.ucsc.edu/cgi-bin/hgTracks?position=205788_s_at","UCSC")</f>
        <v>UCSC</v>
      </c>
      <c r="E16176" s="1" t="str">
        <f>HYPERLINK("http://www.ncbi.nlm.nih.gov/gene/?term=ZC3H11A","NCBI")</f>
        <v>NCBI</v>
      </c>
      <c r="F16176">
        <v>0.82</v>
      </c>
      <c r="G16176">
        <v>0.87</v>
      </c>
      <c r="H16176" s="1" t="str">
        <f>HYPERLINK("http://www.weizmann.ac.il/complex/compphys/software/geview/data/figures/205788_s_at.png","Figure")</f>
        <v>Figure</v>
      </c>
      <c r="I16176">
        <v>1.1100000000000001</v>
      </c>
      <c r="J16176">
        <v>0.83</v>
      </c>
      <c r="K16176">
        <v>1.01</v>
      </c>
      <c r="L16176">
        <v>1</v>
      </c>
      <c r="M16176">
        <v>0.91500000000000004</v>
      </c>
      <c r="N16176">
        <v>0.86</v>
      </c>
    </row>
    <row r="16177" spans="1:14" x14ac:dyDescent="0.25">
      <c r="A16177" t="s">
        <v>27152</v>
      </c>
      <c r="B16177" t="s">
        <v>27153</v>
      </c>
      <c r="C16177" s="1" t="str">
        <f>HYPERLINK("http://www.genecards.org/cgi-bin/carddisp.pl?gene=DOLK","GeneCards")</f>
        <v>GeneCards</v>
      </c>
      <c r="D16177" s="1" t="str">
        <f>HYPERLINK("http://genome-euro.ucsc.edu/cgi-bin/hgTracks?position=204488_at","UCSC")</f>
        <v>UCSC</v>
      </c>
      <c r="E16177" s="1" t="str">
        <f>HYPERLINK("http://www.ncbi.nlm.nih.gov/gene/?term=DOLK","NCBI")</f>
        <v>NCBI</v>
      </c>
      <c r="F16177">
        <v>0.82</v>
      </c>
      <c r="G16177">
        <v>0.87</v>
      </c>
      <c r="H16177" s="1" t="str">
        <f>HYPERLINK("http://www.weizmann.ac.il/complex/compphys/software/geview/data/figures/204488_at.png","Figure")</f>
        <v>Figure</v>
      </c>
      <c r="I16177">
        <v>1.07</v>
      </c>
      <c r="J16177">
        <v>0.85</v>
      </c>
      <c r="K16177">
        <v>1</v>
      </c>
      <c r="L16177">
        <v>1</v>
      </c>
      <c r="M16177">
        <v>0.93899999999999995</v>
      </c>
      <c r="N16177">
        <v>0.84</v>
      </c>
    </row>
    <row r="16178" spans="1:14" x14ac:dyDescent="0.25">
      <c r="A16178" t="s">
        <v>27154</v>
      </c>
      <c r="B16178" t="s">
        <v>11312</v>
      </c>
      <c r="C16178" s="1" t="str">
        <f>HYPERLINK("http://www.genecards.org/cgi-bin/carddisp.pl?gene=ADD3","GeneCards")</f>
        <v>GeneCards</v>
      </c>
      <c r="D16178" s="1" t="str">
        <f>HYPERLINK("http://genome-euro.ucsc.edu/cgi-bin/hgTracks?position=205882_x_at","UCSC")</f>
        <v>UCSC</v>
      </c>
      <c r="E16178" s="1" t="str">
        <f>HYPERLINK("http://www.ncbi.nlm.nih.gov/gene/?term=ADD3","NCBI")</f>
        <v>NCBI</v>
      </c>
      <c r="F16178">
        <v>0.82</v>
      </c>
      <c r="G16178">
        <v>0.87</v>
      </c>
      <c r="H16178" s="1" t="str">
        <f>HYPERLINK("http://www.weizmann.ac.il/complex/compphys/software/geview/data/figures/205882_x_at.png","Figure")</f>
        <v>Figure</v>
      </c>
      <c r="I16178">
        <v>0.93799999999999994</v>
      </c>
      <c r="J16178">
        <v>0.98</v>
      </c>
      <c r="K16178">
        <v>0.83699999999999997</v>
      </c>
      <c r="L16178">
        <v>0.82</v>
      </c>
      <c r="M16178">
        <v>0.89200000000000002</v>
      </c>
      <c r="N16178">
        <v>0.93</v>
      </c>
    </row>
    <row r="16179" spans="1:14" x14ac:dyDescent="0.25">
      <c r="A16179" t="s">
        <v>27155</v>
      </c>
      <c r="B16179" t="s">
        <v>27156</v>
      </c>
      <c r="C16179" s="1" t="str">
        <f>HYPERLINK("http://www.genecards.org/cgi-bin/carddisp.pl?gene=DPEP1","GeneCards")</f>
        <v>GeneCards</v>
      </c>
      <c r="D16179" s="1" t="str">
        <f>HYPERLINK("http://genome-euro.ucsc.edu/cgi-bin/hgTracks?position=205983_at","UCSC")</f>
        <v>UCSC</v>
      </c>
      <c r="E16179" s="1" t="str">
        <f>HYPERLINK("http://www.ncbi.nlm.nih.gov/gene/?term=DPEP1","NCBI")</f>
        <v>NCBI</v>
      </c>
      <c r="F16179">
        <v>0.82</v>
      </c>
      <c r="G16179">
        <v>0.87</v>
      </c>
      <c r="H16179" s="1" t="str">
        <f>HYPERLINK("http://www.weizmann.ac.il/complex/compphys/software/geview/data/figures/205983_at.png","Figure")</f>
        <v>Figure</v>
      </c>
      <c r="I16179">
        <v>0.84699999999999998</v>
      </c>
      <c r="J16179">
        <v>0.89</v>
      </c>
      <c r="K16179">
        <v>0.83099999999999996</v>
      </c>
      <c r="L16179">
        <v>0.82</v>
      </c>
      <c r="M16179">
        <v>0.98099999999999998</v>
      </c>
      <c r="N16179">
        <v>1</v>
      </c>
    </row>
    <row r="16180" spans="1:14" x14ac:dyDescent="0.25">
      <c r="A16180" t="s">
        <v>27157</v>
      </c>
      <c r="B16180" t="s">
        <v>27158</v>
      </c>
      <c r="C16180" s="1" t="str">
        <f>HYPERLINK("http://www.genecards.org/cgi-bin/carddisp.pl?gene=FLJ22184","GeneCards")</f>
        <v>GeneCards</v>
      </c>
      <c r="D16180" s="1" t="str">
        <f>HYPERLINK("http://genome-euro.ucsc.edu/cgi-bin/hgTracks?position=220584_at","UCSC")</f>
        <v>UCSC</v>
      </c>
      <c r="E16180" s="1" t="str">
        <f>HYPERLINK("http://www.ncbi.nlm.nih.gov/gene/?term=FLJ22184","NCBI")</f>
        <v>NCBI</v>
      </c>
      <c r="F16180">
        <v>0.82</v>
      </c>
      <c r="G16180">
        <v>0.87</v>
      </c>
      <c r="H16180" s="1" t="str">
        <f>HYPERLINK("http://www.weizmann.ac.il/complex/compphys/software/geview/data/figures/220584_at.png","Figure")</f>
        <v>Figure</v>
      </c>
      <c r="I16180">
        <v>1.05</v>
      </c>
      <c r="J16180">
        <v>0.81</v>
      </c>
      <c r="K16180">
        <v>1.02</v>
      </c>
      <c r="L16180">
        <v>0.96</v>
      </c>
      <c r="M16180">
        <v>0.97299999999999998</v>
      </c>
      <c r="N16180">
        <v>0.91</v>
      </c>
    </row>
    <row r="16181" spans="1:14" x14ac:dyDescent="0.25">
      <c r="A16181" t="s">
        <v>27159</v>
      </c>
      <c r="B16181" t="s">
        <v>21635</v>
      </c>
      <c r="C16181" s="1" t="str">
        <f>HYPERLINK("http://www.genecards.org/cgi-bin/carddisp.pl?gene=ING1","GeneCards")</f>
        <v>GeneCards</v>
      </c>
      <c r="D16181" s="1" t="str">
        <f>HYPERLINK("http://genome-euro.ucsc.edu/cgi-bin/hgTracks?position=209808_x_at","UCSC")</f>
        <v>UCSC</v>
      </c>
      <c r="E16181" s="1" t="str">
        <f>HYPERLINK("http://www.ncbi.nlm.nih.gov/gene/?term=ING1","NCBI")</f>
        <v>NCBI</v>
      </c>
      <c r="F16181">
        <v>0.82</v>
      </c>
      <c r="G16181">
        <v>0.87</v>
      </c>
      <c r="H16181" s="1" t="str">
        <f>HYPERLINK("http://www.weizmann.ac.il/complex/compphys/software/geview/data/figures/209808_x_at.png","Figure")</f>
        <v>Figure</v>
      </c>
      <c r="I16181">
        <v>1.0900000000000001</v>
      </c>
      <c r="J16181">
        <v>0.87</v>
      </c>
      <c r="K16181">
        <v>1.0900000000000001</v>
      </c>
      <c r="L16181">
        <v>0.83</v>
      </c>
      <c r="M16181">
        <v>1</v>
      </c>
      <c r="N16181">
        <v>1</v>
      </c>
    </row>
    <row r="16182" spans="1:14" x14ac:dyDescent="0.25">
      <c r="A16182" t="s">
        <v>27160</v>
      </c>
      <c r="B16182" t="s">
        <v>27161</v>
      </c>
      <c r="C16182" s="1" t="str">
        <f>HYPERLINK("http://www.genecards.org/cgi-bin/carddisp.pl?gene=HHIPL2","GeneCards")</f>
        <v>GeneCards</v>
      </c>
      <c r="D16182" s="1" t="str">
        <f>HYPERLINK("http://genome-euro.ucsc.edu/cgi-bin/hgTracks?position=220283_at","UCSC")</f>
        <v>UCSC</v>
      </c>
      <c r="E16182" s="1" t="str">
        <f>HYPERLINK("http://www.ncbi.nlm.nih.gov/gene/?term=HHIPL2","NCBI")</f>
        <v>NCBI</v>
      </c>
      <c r="F16182">
        <v>0.82</v>
      </c>
      <c r="G16182">
        <v>0.87</v>
      </c>
      <c r="H16182" s="1" t="str">
        <f>HYPERLINK("http://www.weizmann.ac.il/complex/compphys/software/geview/data/figures/220283_at.png","Figure")</f>
        <v>Figure</v>
      </c>
      <c r="I16182">
        <v>1.04</v>
      </c>
      <c r="J16182">
        <v>0.85</v>
      </c>
      <c r="K16182">
        <v>1</v>
      </c>
      <c r="L16182">
        <v>1</v>
      </c>
      <c r="M16182">
        <v>0.96299999999999997</v>
      </c>
      <c r="N16182">
        <v>0.84</v>
      </c>
    </row>
    <row r="16183" spans="1:14" x14ac:dyDescent="0.25">
      <c r="A16183" t="s">
        <v>27162</v>
      </c>
      <c r="B16183" t="s">
        <v>27163</v>
      </c>
      <c r="C16183" s="1" t="str">
        <f>HYPERLINK("http://www.genecards.org/cgi-bin/carddisp.pl?gene=C1R","GeneCards")</f>
        <v>GeneCards</v>
      </c>
      <c r="D16183" s="1" t="str">
        <f>HYPERLINK("http://genome-euro.ucsc.edu/cgi-bin/hgTracks?position=212067_s_at","UCSC")</f>
        <v>UCSC</v>
      </c>
      <c r="E16183" s="1" t="str">
        <f>HYPERLINK("http://www.ncbi.nlm.nih.gov/gene/?term=C1R","NCBI")</f>
        <v>NCBI</v>
      </c>
      <c r="F16183">
        <v>0.83</v>
      </c>
      <c r="G16183">
        <v>0.87</v>
      </c>
      <c r="H16183" s="1" t="str">
        <f>HYPERLINK("http://www.weizmann.ac.il/complex/compphys/software/geview/data/figures/212067_s_at.png","Figure")</f>
        <v>Figure</v>
      </c>
      <c r="I16183">
        <v>0.98</v>
      </c>
      <c r="J16183">
        <v>0.94</v>
      </c>
      <c r="K16183">
        <v>0.96699999999999997</v>
      </c>
      <c r="L16183">
        <v>0.81</v>
      </c>
      <c r="M16183">
        <v>0.98699999999999999</v>
      </c>
      <c r="N16183">
        <v>0.97</v>
      </c>
    </row>
    <row r="16184" spans="1:14" x14ac:dyDescent="0.25">
      <c r="A16184" t="s">
        <v>27164</v>
      </c>
      <c r="B16184" t="s">
        <v>27165</v>
      </c>
      <c r="C16184" s="1" t="str">
        <f>HYPERLINK("http://www.genecards.org/cgi-bin/carddisp.pl?gene=PABPC4","GeneCards")</f>
        <v>GeneCards</v>
      </c>
      <c r="D16184" s="1" t="str">
        <f>HYPERLINK("http://genome-euro.ucsc.edu/cgi-bin/hgTracks?position=201064_s_at","UCSC")</f>
        <v>UCSC</v>
      </c>
      <c r="E16184" s="1" t="str">
        <f>HYPERLINK("http://www.ncbi.nlm.nih.gov/gene/?term=PABPC4","NCBI")</f>
        <v>NCBI</v>
      </c>
      <c r="F16184">
        <v>0.83</v>
      </c>
      <c r="G16184">
        <v>0.87</v>
      </c>
      <c r="H16184" s="1" t="str">
        <f>HYPERLINK("http://www.weizmann.ac.il/complex/compphys/software/geview/data/figures/201064_s_at.png","Figure")</f>
        <v>Figure</v>
      </c>
      <c r="I16184">
        <v>0.95199999999999996</v>
      </c>
      <c r="J16184">
        <v>0.93</v>
      </c>
      <c r="K16184">
        <v>0.93200000000000005</v>
      </c>
      <c r="L16184">
        <v>0.81</v>
      </c>
      <c r="M16184">
        <v>0.97799999999999998</v>
      </c>
      <c r="N16184">
        <v>0.98</v>
      </c>
    </row>
    <row r="16185" spans="1:14" x14ac:dyDescent="0.25">
      <c r="A16185" t="s">
        <v>27166</v>
      </c>
      <c r="B16185" t="s">
        <v>13591</v>
      </c>
      <c r="C16185" s="1" t="str">
        <f>HYPERLINK("http://www.genecards.org/cgi-bin/carddisp.pl?gene=CAPZB","GeneCards")</f>
        <v>GeneCards</v>
      </c>
      <c r="D16185" s="1" t="str">
        <f>HYPERLINK("http://genome-euro.ucsc.edu/cgi-bin/hgTracks?position=201949_x_at","UCSC")</f>
        <v>UCSC</v>
      </c>
      <c r="E16185" s="1" t="str">
        <f>HYPERLINK("http://www.ncbi.nlm.nih.gov/gene/?term=CAPZB","NCBI")</f>
        <v>NCBI</v>
      </c>
      <c r="F16185">
        <v>0.83</v>
      </c>
      <c r="G16185">
        <v>0.87</v>
      </c>
      <c r="H16185" s="1" t="str">
        <f>HYPERLINK("http://www.weizmann.ac.il/complex/compphys/software/geview/data/figures/201949_x_at.png","Figure")</f>
        <v>Figure</v>
      </c>
      <c r="I16185">
        <v>0.93</v>
      </c>
      <c r="J16185">
        <v>0.86</v>
      </c>
      <c r="K16185">
        <v>1</v>
      </c>
      <c r="L16185">
        <v>1</v>
      </c>
      <c r="M16185">
        <v>1.07</v>
      </c>
      <c r="N16185">
        <v>0.84</v>
      </c>
    </row>
    <row r="16186" spans="1:14" x14ac:dyDescent="0.25">
      <c r="A16186" t="s">
        <v>27167</v>
      </c>
      <c r="B16186" t="s">
        <v>27168</v>
      </c>
      <c r="C16186" s="1" t="str">
        <f>HYPERLINK("http://www.genecards.org/cgi-bin/carddisp.pl?gene=TGDS","GeneCards")</f>
        <v>GeneCards</v>
      </c>
      <c r="D16186" s="1" t="str">
        <f>HYPERLINK("http://genome-euro.ucsc.edu/cgi-bin/hgTracks?position=208249_s_at","UCSC")</f>
        <v>UCSC</v>
      </c>
      <c r="E16186" s="1" t="str">
        <f>HYPERLINK("http://www.ncbi.nlm.nih.gov/gene/?term=TGDS","NCBI")</f>
        <v>NCBI</v>
      </c>
      <c r="F16186">
        <v>0.83</v>
      </c>
      <c r="G16186">
        <v>0.87</v>
      </c>
      <c r="H16186" s="1" t="str">
        <f>HYPERLINK("http://www.weizmann.ac.il/complex/compphys/software/geview/data/figures/208249_s_at.png","Figure")</f>
        <v>Figure</v>
      </c>
      <c r="I16186">
        <v>1.07</v>
      </c>
      <c r="J16186">
        <v>0.86</v>
      </c>
      <c r="K16186">
        <v>0.996</v>
      </c>
      <c r="L16186">
        <v>1</v>
      </c>
      <c r="M16186">
        <v>0.93300000000000005</v>
      </c>
      <c r="N16186">
        <v>0.83</v>
      </c>
    </row>
    <row r="16187" spans="1:14" x14ac:dyDescent="0.25">
      <c r="A16187" t="s">
        <v>27169</v>
      </c>
      <c r="B16187" t="s">
        <v>22647</v>
      </c>
      <c r="C16187" s="1" t="str">
        <f>HYPERLINK("http://www.genecards.org/cgi-bin/carddisp.pl?gene=YBX1","GeneCards")</f>
        <v>GeneCards</v>
      </c>
      <c r="D16187" s="1" t="str">
        <f>HYPERLINK("http://genome-euro.ucsc.edu/cgi-bin/hgTracks?position=208628_s_at","UCSC")</f>
        <v>UCSC</v>
      </c>
      <c r="E16187" s="1" t="str">
        <f>HYPERLINK("http://www.ncbi.nlm.nih.gov/gene/?term=YBX1","NCBI")</f>
        <v>NCBI</v>
      </c>
      <c r="F16187">
        <v>0.83</v>
      </c>
      <c r="G16187">
        <v>0.87</v>
      </c>
      <c r="H16187" s="1" t="str">
        <f>HYPERLINK("http://www.weizmann.ac.il/complex/compphys/software/geview/data/figures/208628_s_at.png","Figure")</f>
        <v>Figure</v>
      </c>
      <c r="I16187">
        <v>0.96599999999999997</v>
      </c>
      <c r="J16187">
        <v>0.92</v>
      </c>
      <c r="K16187">
        <v>0.95199999999999996</v>
      </c>
      <c r="L16187">
        <v>0.81</v>
      </c>
      <c r="M16187">
        <v>0.98499999999999999</v>
      </c>
      <c r="N16187">
        <v>0.98</v>
      </c>
    </row>
    <row r="16188" spans="1:14" x14ac:dyDescent="0.25">
      <c r="A16188" t="s">
        <v>27170</v>
      </c>
      <c r="B16188" t="s">
        <v>17471</v>
      </c>
      <c r="C16188" s="1" t="str">
        <f>HYPERLINK("http://www.genecards.org/cgi-bin/carddisp.pl?gene=FLOT1","GeneCards")</f>
        <v>GeneCards</v>
      </c>
      <c r="D16188" s="1" t="str">
        <f>HYPERLINK("http://genome-euro.ucsc.edu/cgi-bin/hgTracks?position=213819_s_at","UCSC")</f>
        <v>UCSC</v>
      </c>
      <c r="E16188" s="1" t="str">
        <f>HYPERLINK("http://www.ncbi.nlm.nih.gov/gene/?term=FLOT1","NCBI")</f>
        <v>NCBI</v>
      </c>
      <c r="F16188">
        <v>0.83</v>
      </c>
      <c r="G16188">
        <v>0.87</v>
      </c>
      <c r="H16188" s="1" t="str">
        <f>HYPERLINK("http://www.weizmann.ac.il/complex/compphys/software/geview/data/figures/213819_s_at.png","Figure")</f>
        <v>Figure</v>
      </c>
      <c r="I16188">
        <v>1.03</v>
      </c>
      <c r="J16188">
        <v>0.82</v>
      </c>
      <c r="K16188">
        <v>1.01</v>
      </c>
      <c r="L16188">
        <v>0.98</v>
      </c>
      <c r="M16188">
        <v>0.97799999999999998</v>
      </c>
      <c r="N16188">
        <v>0.89</v>
      </c>
    </row>
    <row r="16189" spans="1:14" x14ac:dyDescent="0.25">
      <c r="A16189" t="s">
        <v>27171</v>
      </c>
      <c r="B16189" t="s">
        <v>27172</v>
      </c>
      <c r="C16189" s="1" t="str">
        <f>HYPERLINK("http://www.genecards.org/cgi-bin/carddisp.pl?gene=CCNG1","GeneCards")</f>
        <v>GeneCards</v>
      </c>
      <c r="D16189" s="1" t="str">
        <f>HYPERLINK("http://genome-euro.ucsc.edu/cgi-bin/hgTracks?position=208796_s_at","UCSC")</f>
        <v>UCSC</v>
      </c>
      <c r="E16189" s="1" t="str">
        <f>HYPERLINK("http://www.ncbi.nlm.nih.gov/gene/?term=CCNG1","NCBI")</f>
        <v>NCBI</v>
      </c>
      <c r="F16189">
        <v>0.83</v>
      </c>
      <c r="G16189">
        <v>0.87</v>
      </c>
      <c r="H16189" s="1" t="str">
        <f>HYPERLINK("http://www.weizmann.ac.il/complex/compphys/software/geview/data/figures/208796_s_at.png","Figure")</f>
        <v>Figure</v>
      </c>
      <c r="I16189">
        <v>0.89400000000000002</v>
      </c>
      <c r="J16189">
        <v>0.96</v>
      </c>
      <c r="K16189">
        <v>1.1299999999999999</v>
      </c>
      <c r="L16189">
        <v>0.94</v>
      </c>
      <c r="M16189">
        <v>1.26</v>
      </c>
      <c r="N16189">
        <v>0.82</v>
      </c>
    </row>
    <row r="16190" spans="1:14" x14ac:dyDescent="0.25">
      <c r="A16190" t="s">
        <v>27173</v>
      </c>
      <c r="B16190" t="s">
        <v>6789</v>
      </c>
      <c r="C16190" s="1" t="str">
        <f>HYPERLINK("http://www.genecards.org/cgi-bin/carddisp.pl?gene=ZFP64","GeneCards")</f>
        <v>GeneCards</v>
      </c>
      <c r="D16190" s="1" t="str">
        <f>HYPERLINK("http://genome-euro.ucsc.edu/cgi-bin/hgTracks?position=218968_s_at","UCSC")</f>
        <v>UCSC</v>
      </c>
      <c r="E16190" s="1" t="str">
        <f>HYPERLINK("http://www.ncbi.nlm.nih.gov/gene/?term=ZFP64","NCBI")</f>
        <v>NCBI</v>
      </c>
      <c r="F16190">
        <v>0.83</v>
      </c>
      <c r="G16190">
        <v>0.87</v>
      </c>
      <c r="H16190" s="1" t="str">
        <f>HYPERLINK("http://www.weizmann.ac.il/complex/compphys/software/geview/data/figures/218968_s_at.png","Figure")</f>
        <v>Figure</v>
      </c>
      <c r="I16190">
        <v>0.94099999999999995</v>
      </c>
      <c r="J16190">
        <v>0.91</v>
      </c>
      <c r="K16190">
        <v>0.92400000000000004</v>
      </c>
      <c r="L16190">
        <v>0.82</v>
      </c>
      <c r="M16190">
        <v>0.98199999999999998</v>
      </c>
      <c r="N16190">
        <v>0.99</v>
      </c>
    </row>
    <row r="16191" spans="1:14" x14ac:dyDescent="0.25">
      <c r="A16191" t="s">
        <v>27174</v>
      </c>
      <c r="B16191" t="s">
        <v>27175</v>
      </c>
      <c r="C16191" s="1" t="str">
        <f>HYPERLINK("http://www.genecards.org/cgi-bin/carddisp.pl?gene=EXOC3","GeneCards")</f>
        <v>GeneCards</v>
      </c>
      <c r="D16191" s="1" t="str">
        <f>HYPERLINK("http://genome-euro.ucsc.edu/cgi-bin/hgTracks?position=212630_at","UCSC")</f>
        <v>UCSC</v>
      </c>
      <c r="E16191" s="1" t="str">
        <f>HYPERLINK("http://www.ncbi.nlm.nih.gov/gene/?term=EXOC3","NCBI")</f>
        <v>NCBI</v>
      </c>
      <c r="F16191">
        <v>0.83</v>
      </c>
      <c r="G16191">
        <v>0.87</v>
      </c>
      <c r="H16191" s="1" t="str">
        <f>HYPERLINK("http://www.weizmann.ac.il/complex/compphys/software/geview/data/figures/212630_at.png","Figure")</f>
        <v>Figure</v>
      </c>
      <c r="I16191">
        <v>1.07</v>
      </c>
      <c r="J16191">
        <v>0.83</v>
      </c>
      <c r="K16191">
        <v>1.05</v>
      </c>
      <c r="L16191">
        <v>0.88</v>
      </c>
      <c r="M16191">
        <v>0.97899999999999998</v>
      </c>
      <c r="N16191">
        <v>0.98</v>
      </c>
    </row>
    <row r="16192" spans="1:14" x14ac:dyDescent="0.25">
      <c r="A16192" t="s">
        <v>27176</v>
      </c>
      <c r="B16192" t="s">
        <v>5183</v>
      </c>
      <c r="C16192" s="1" t="str">
        <f>HYPERLINK("http://www.genecards.org/cgi-bin/carddisp.pl?gene=ARHGEF9","GeneCards")</f>
        <v>GeneCards</v>
      </c>
      <c r="D16192" s="1" t="str">
        <f>HYPERLINK("http://genome-euro.ucsc.edu/cgi-bin/hgTracks?position=203263_s_at","UCSC")</f>
        <v>UCSC</v>
      </c>
      <c r="E16192" s="1" t="str">
        <f>HYPERLINK("http://www.ncbi.nlm.nih.gov/gene/?term=ARHGEF9","NCBI")</f>
        <v>NCBI</v>
      </c>
      <c r="F16192">
        <v>0.83</v>
      </c>
      <c r="G16192">
        <v>0.87</v>
      </c>
      <c r="H16192" s="1" t="str">
        <f>HYPERLINK("http://www.weizmann.ac.il/complex/compphys/software/geview/data/figures/203263_s_at.png","Figure")</f>
        <v>Figure</v>
      </c>
      <c r="I16192">
        <v>1.03</v>
      </c>
      <c r="J16192">
        <v>0.81</v>
      </c>
      <c r="K16192">
        <v>1.01</v>
      </c>
      <c r="L16192">
        <v>0.94</v>
      </c>
      <c r="M16192">
        <v>0.98599999999999999</v>
      </c>
      <c r="N16192">
        <v>0.94</v>
      </c>
    </row>
    <row r="16193" spans="1:14" x14ac:dyDescent="0.25">
      <c r="A16193" t="s">
        <v>27177</v>
      </c>
      <c r="B16193" t="s">
        <v>27178</v>
      </c>
      <c r="C16193" s="1" t="str">
        <f>HYPERLINK("http://www.genecards.org/cgi-bin/carddisp.pl?gene=PTPN21","GeneCards")</f>
        <v>GeneCards</v>
      </c>
      <c r="D16193" s="1" t="str">
        <f>HYPERLINK("http://genome-euro.ucsc.edu/cgi-bin/hgTracks?position=205438_at","UCSC")</f>
        <v>UCSC</v>
      </c>
      <c r="E16193" s="1" t="str">
        <f>HYPERLINK("http://www.ncbi.nlm.nih.gov/gene/?term=PTPN21","NCBI")</f>
        <v>NCBI</v>
      </c>
      <c r="F16193">
        <v>0.83</v>
      </c>
      <c r="G16193">
        <v>0.87</v>
      </c>
      <c r="H16193" s="1" t="str">
        <f>HYPERLINK("http://www.weizmann.ac.il/complex/compphys/software/geview/data/figures/205438_at.png","Figure")</f>
        <v>Figure</v>
      </c>
      <c r="I16193">
        <v>0.97599999999999998</v>
      </c>
      <c r="J16193">
        <v>0.88</v>
      </c>
      <c r="K16193">
        <v>1</v>
      </c>
      <c r="L16193">
        <v>1</v>
      </c>
      <c r="M16193">
        <v>1.03</v>
      </c>
      <c r="N16193">
        <v>0.82</v>
      </c>
    </row>
    <row r="16194" spans="1:14" x14ac:dyDescent="0.25">
      <c r="A16194" t="s">
        <v>27179</v>
      </c>
      <c r="B16194" t="s">
        <v>27013</v>
      </c>
      <c r="C16194" s="1" t="str">
        <f>HYPERLINK("http://www.genecards.org/cgi-bin/carddisp.pl?gene=HSPA1A /// HSPA1B","GeneCards")</f>
        <v>GeneCards</v>
      </c>
      <c r="D16194" s="1" t="str">
        <f>HYPERLINK("http://genome-euro.ucsc.edu/cgi-bin/hgTracks?position=200800_s_at","UCSC")</f>
        <v>UCSC</v>
      </c>
      <c r="E16194" s="1" t="str">
        <f>HYPERLINK("http://www.ncbi.nlm.nih.gov/gene/?term=HSPA1A /// HSPA1B","NCBI")</f>
        <v>NCBI</v>
      </c>
      <c r="F16194">
        <v>0.83</v>
      </c>
      <c r="G16194">
        <v>0.87</v>
      </c>
      <c r="H16194" s="1" t="str">
        <f>HYPERLINK("http://www.weizmann.ac.il/complex/compphys/software/geview/data/figures/200800_s_at.png","Figure")</f>
        <v>Figure</v>
      </c>
      <c r="I16194">
        <v>0.77100000000000002</v>
      </c>
      <c r="J16194">
        <v>0.83</v>
      </c>
      <c r="K16194">
        <v>0.95099999999999996</v>
      </c>
      <c r="L16194">
        <v>0.99</v>
      </c>
      <c r="M16194">
        <v>1.23</v>
      </c>
      <c r="N16194">
        <v>0.87</v>
      </c>
    </row>
    <row r="16195" spans="1:14" x14ac:dyDescent="0.25">
      <c r="A16195" t="s">
        <v>27180</v>
      </c>
      <c r="B16195" t="s">
        <v>21500</v>
      </c>
      <c r="C16195" s="1" t="str">
        <f>HYPERLINK("http://www.genecards.org/cgi-bin/carddisp.pl?gene=SMTN","GeneCards")</f>
        <v>GeneCards</v>
      </c>
      <c r="D16195" s="1" t="str">
        <f>HYPERLINK("http://genome-euro.ucsc.edu/cgi-bin/hgTracks?position=209427_at","UCSC")</f>
        <v>UCSC</v>
      </c>
      <c r="E16195" s="1" t="str">
        <f>HYPERLINK("http://www.ncbi.nlm.nih.gov/gene/?term=SMTN","NCBI")</f>
        <v>NCBI</v>
      </c>
      <c r="F16195">
        <v>0.83</v>
      </c>
      <c r="G16195">
        <v>0.87</v>
      </c>
      <c r="H16195" s="1" t="str">
        <f>HYPERLINK("http://www.weizmann.ac.il/complex/compphys/software/geview/data/figures/209427_at.png","Figure")</f>
        <v>Figure</v>
      </c>
      <c r="I16195">
        <v>0.94099999999999995</v>
      </c>
      <c r="J16195">
        <v>0.86</v>
      </c>
      <c r="K16195">
        <v>1</v>
      </c>
      <c r="L16195">
        <v>1</v>
      </c>
      <c r="M16195">
        <v>1.07</v>
      </c>
      <c r="N16195">
        <v>0.83</v>
      </c>
    </row>
    <row r="16196" spans="1:14" x14ac:dyDescent="0.25">
      <c r="A16196" t="s">
        <v>27181</v>
      </c>
      <c r="B16196" t="s">
        <v>27071</v>
      </c>
      <c r="C16196" s="1" t="str">
        <f>HYPERLINK("http://www.genecards.org/cgi-bin/carddisp.pl?gene=MYO15B","GeneCards")</f>
        <v>GeneCards</v>
      </c>
      <c r="D16196" s="1" t="str">
        <f>HYPERLINK("http://genome-euro.ucsc.edu/cgi-bin/hgTracks?position=59375_at","UCSC")</f>
        <v>UCSC</v>
      </c>
      <c r="E16196" s="1" t="str">
        <f>HYPERLINK("http://www.ncbi.nlm.nih.gov/gene/?term=MYO15B","NCBI")</f>
        <v>NCBI</v>
      </c>
      <c r="F16196">
        <v>0.83</v>
      </c>
      <c r="G16196">
        <v>0.87</v>
      </c>
      <c r="H16196" s="1" t="str">
        <f>HYPERLINK("http://www.weizmann.ac.il/complex/compphys/software/geview/data/figures/59375_at.png","Figure")</f>
        <v>Figure</v>
      </c>
      <c r="I16196">
        <v>1.17</v>
      </c>
      <c r="J16196">
        <v>0.84</v>
      </c>
      <c r="K16196">
        <v>1.1299999999999999</v>
      </c>
      <c r="L16196">
        <v>0.87</v>
      </c>
      <c r="M16196">
        <v>0.96499999999999997</v>
      </c>
      <c r="N16196">
        <v>0.99</v>
      </c>
    </row>
    <row r="16197" spans="1:14" x14ac:dyDescent="0.25">
      <c r="A16197" t="s">
        <v>27182</v>
      </c>
      <c r="B16197" t="s">
        <v>24963</v>
      </c>
      <c r="C16197" s="1" t="str">
        <f>HYPERLINK("http://www.genecards.org/cgi-bin/carddisp.pl?gene=RPL3","GeneCards")</f>
        <v>GeneCards</v>
      </c>
      <c r="D16197" s="1" t="str">
        <f>HYPERLINK("http://genome-euro.ucsc.edu/cgi-bin/hgTracks?position=212039_x_at","UCSC")</f>
        <v>UCSC</v>
      </c>
      <c r="E16197" s="1" t="str">
        <f>HYPERLINK("http://www.ncbi.nlm.nih.gov/gene/?term=RPL3","NCBI")</f>
        <v>NCBI</v>
      </c>
      <c r="F16197">
        <v>0.83</v>
      </c>
      <c r="G16197">
        <v>0.87</v>
      </c>
      <c r="H16197" s="1" t="str">
        <f>HYPERLINK("http://www.weizmann.ac.il/complex/compphys/software/geview/data/figures/212039_x_at.png","Figure")</f>
        <v>Figure</v>
      </c>
      <c r="I16197">
        <v>1.04</v>
      </c>
      <c r="J16197">
        <v>0.84</v>
      </c>
      <c r="K16197">
        <v>1.03</v>
      </c>
      <c r="L16197">
        <v>0.87</v>
      </c>
      <c r="M16197">
        <v>0.99</v>
      </c>
      <c r="N16197">
        <v>0.99</v>
      </c>
    </row>
    <row r="16198" spans="1:14" x14ac:dyDescent="0.25">
      <c r="A16198" t="s">
        <v>27183</v>
      </c>
      <c r="B16198" t="s">
        <v>12510</v>
      </c>
      <c r="C16198" s="1" t="str">
        <f>HYPERLINK("http://www.genecards.org/cgi-bin/carddisp.pl?gene=NR3C1","GeneCards")</f>
        <v>GeneCards</v>
      </c>
      <c r="D16198" s="1" t="str">
        <f>HYPERLINK("http://genome-euro.ucsc.edu/cgi-bin/hgTracks?position=211671_s_at","UCSC")</f>
        <v>UCSC</v>
      </c>
      <c r="E16198" s="1" t="str">
        <f>HYPERLINK("http://www.ncbi.nlm.nih.gov/gene/?term=NR3C1","NCBI")</f>
        <v>NCBI</v>
      </c>
      <c r="F16198">
        <v>0.83</v>
      </c>
      <c r="G16198">
        <v>0.87</v>
      </c>
      <c r="H16198" s="1" t="str">
        <f>HYPERLINK("http://www.weizmann.ac.il/complex/compphys/software/geview/data/figures/211671_s_at.png","Figure")</f>
        <v>Figure</v>
      </c>
      <c r="I16198">
        <v>1.0900000000000001</v>
      </c>
      <c r="J16198">
        <v>0.87</v>
      </c>
      <c r="K16198">
        <v>0.995</v>
      </c>
      <c r="L16198">
        <v>1</v>
      </c>
      <c r="M16198">
        <v>0.91300000000000003</v>
      </c>
      <c r="N16198">
        <v>0.83</v>
      </c>
    </row>
    <row r="16199" spans="1:14" x14ac:dyDescent="0.25">
      <c r="A16199" t="s">
        <v>27184</v>
      </c>
      <c r="B16199" t="s">
        <v>13139</v>
      </c>
      <c r="C16199" s="1" t="str">
        <f>HYPERLINK("http://www.genecards.org/cgi-bin/carddisp.pl?gene=SEMA4F","GeneCards")</f>
        <v>GeneCards</v>
      </c>
      <c r="D16199" s="1" t="str">
        <f>HYPERLINK("http://genome-euro.ucsc.edu/cgi-bin/hgTracks?position=210124_x_at","UCSC")</f>
        <v>UCSC</v>
      </c>
      <c r="E16199" s="1" t="str">
        <f>HYPERLINK("http://www.ncbi.nlm.nih.gov/gene/?term=SEMA4F","NCBI")</f>
        <v>NCBI</v>
      </c>
      <c r="F16199">
        <v>0.83</v>
      </c>
      <c r="G16199">
        <v>0.87</v>
      </c>
      <c r="H16199" s="1" t="str">
        <f>HYPERLINK("http://www.weizmann.ac.il/complex/compphys/software/geview/data/figures/210124_x_at.png","Figure")</f>
        <v>Figure</v>
      </c>
      <c r="I16199">
        <v>0.94099999999999995</v>
      </c>
      <c r="J16199">
        <v>0.84</v>
      </c>
      <c r="K16199">
        <v>0.95599999999999996</v>
      </c>
      <c r="L16199">
        <v>0.88</v>
      </c>
      <c r="M16199">
        <v>1.02</v>
      </c>
      <c r="N16199">
        <v>0.99</v>
      </c>
    </row>
    <row r="16200" spans="1:14" x14ac:dyDescent="0.25">
      <c r="A16200" t="s">
        <v>27185</v>
      </c>
      <c r="B16200" t="s">
        <v>7201</v>
      </c>
      <c r="C16200" s="1" t="str">
        <f>HYPERLINK("http://www.genecards.org/cgi-bin/carddisp.pl?gene=ACTR2","GeneCards")</f>
        <v>GeneCards</v>
      </c>
      <c r="D16200" s="1" t="str">
        <f>HYPERLINK("http://genome-euro.ucsc.edu/cgi-bin/hgTracks?position=200729_s_at","UCSC")</f>
        <v>UCSC</v>
      </c>
      <c r="E16200" s="1" t="str">
        <f>HYPERLINK("http://www.ncbi.nlm.nih.gov/gene/?term=ACTR2","NCBI")</f>
        <v>NCBI</v>
      </c>
      <c r="F16200">
        <v>0.83</v>
      </c>
      <c r="G16200">
        <v>0.87</v>
      </c>
      <c r="H16200" s="1" t="str">
        <f>HYPERLINK("http://www.weizmann.ac.il/complex/compphys/software/geview/data/figures/200729_s_at.png","Figure")</f>
        <v>Figure</v>
      </c>
      <c r="I16200">
        <v>1.1100000000000001</v>
      </c>
      <c r="J16200">
        <v>0.83</v>
      </c>
      <c r="K16200">
        <v>1.08</v>
      </c>
      <c r="L16200">
        <v>0.88</v>
      </c>
      <c r="M16200">
        <v>0.97099999999999997</v>
      </c>
      <c r="N16200">
        <v>0.98</v>
      </c>
    </row>
    <row r="16201" spans="1:14" x14ac:dyDescent="0.25">
      <c r="A16201" t="s">
        <v>27186</v>
      </c>
      <c r="B16201" t="s">
        <v>27187</v>
      </c>
      <c r="C16201" s="1" t="str">
        <f>HYPERLINK("http://www.genecards.org/cgi-bin/carddisp.pl?gene=HSD17B3","GeneCards")</f>
        <v>GeneCards</v>
      </c>
      <c r="D16201" s="1" t="str">
        <f>HYPERLINK("http://genome-euro.ucsc.edu/cgi-bin/hgTracks?position=206985_at","UCSC")</f>
        <v>UCSC</v>
      </c>
      <c r="E16201" s="1" t="str">
        <f>HYPERLINK("http://www.ncbi.nlm.nih.gov/gene/?term=HSD17B3","NCBI")</f>
        <v>NCBI</v>
      </c>
      <c r="F16201">
        <v>0.83</v>
      </c>
      <c r="G16201">
        <v>0.87</v>
      </c>
      <c r="H16201" s="1" t="str">
        <f>HYPERLINK("http://www.weizmann.ac.il/complex/compphys/software/geview/data/figures/206985_at.png","Figure")</f>
        <v>Figure</v>
      </c>
      <c r="I16201">
        <v>1.03</v>
      </c>
      <c r="J16201">
        <v>0.81</v>
      </c>
      <c r="K16201">
        <v>1.01</v>
      </c>
      <c r="L16201">
        <v>0.95</v>
      </c>
      <c r="M16201">
        <v>0.98</v>
      </c>
      <c r="N16201">
        <v>0.92</v>
      </c>
    </row>
    <row r="16202" spans="1:14" x14ac:dyDescent="0.25">
      <c r="A16202" t="s">
        <v>27188</v>
      </c>
      <c r="B16202" t="s">
        <v>27189</v>
      </c>
      <c r="C16202" s="1" t="str">
        <f>HYPERLINK("http://www.genecards.org/cgi-bin/carddisp.pl?gene=FREQ","GeneCards")</f>
        <v>GeneCards</v>
      </c>
      <c r="D16202" s="1" t="str">
        <f>HYPERLINK("http://genome-euro.ucsc.edu/cgi-bin/hgTracks?position=218266_s_at","UCSC")</f>
        <v>UCSC</v>
      </c>
      <c r="E16202" s="1" t="str">
        <f>HYPERLINK("http://www.ncbi.nlm.nih.gov/gene/?term=FREQ","NCBI")</f>
        <v>NCBI</v>
      </c>
      <c r="F16202">
        <v>0.83</v>
      </c>
      <c r="G16202">
        <v>0.87</v>
      </c>
      <c r="H16202" s="1" t="str">
        <f>HYPERLINK("http://www.weizmann.ac.il/complex/compphys/software/geview/data/figures/218266_s_at.png","Figure")</f>
        <v>Figure</v>
      </c>
      <c r="I16202">
        <v>1.02</v>
      </c>
      <c r="J16202">
        <v>0.88</v>
      </c>
      <c r="K16202">
        <v>1.02</v>
      </c>
      <c r="L16202">
        <v>0.84</v>
      </c>
      <c r="M16202">
        <v>1</v>
      </c>
      <c r="N16202">
        <v>1</v>
      </c>
    </row>
    <row r="16203" spans="1:14" x14ac:dyDescent="0.25">
      <c r="A16203" t="s">
        <v>27190</v>
      </c>
      <c r="B16203" t="s">
        <v>27191</v>
      </c>
      <c r="C16203" s="1" t="str">
        <f>HYPERLINK("http://www.genecards.org/cgi-bin/carddisp.pl?gene=LHX6","GeneCards")</f>
        <v>GeneCards</v>
      </c>
      <c r="D16203" s="1" t="str">
        <f>HYPERLINK("http://genome-euro.ucsc.edu/cgi-bin/hgTracks?position=219884_at","UCSC")</f>
        <v>UCSC</v>
      </c>
      <c r="E16203" s="1" t="str">
        <f>HYPERLINK("http://www.ncbi.nlm.nih.gov/gene/?term=LHX6","NCBI")</f>
        <v>NCBI</v>
      </c>
      <c r="F16203">
        <v>0.83</v>
      </c>
      <c r="G16203">
        <v>0.87</v>
      </c>
      <c r="H16203" s="1" t="str">
        <f>HYPERLINK("http://www.weizmann.ac.il/complex/compphys/software/geview/data/figures/219884_at.png","Figure")</f>
        <v>Figure</v>
      </c>
      <c r="I16203">
        <v>0.93600000000000005</v>
      </c>
      <c r="J16203">
        <v>0.81</v>
      </c>
      <c r="K16203">
        <v>0.97299999999999998</v>
      </c>
      <c r="L16203">
        <v>0.95</v>
      </c>
      <c r="M16203">
        <v>1.04</v>
      </c>
      <c r="N16203">
        <v>0.92</v>
      </c>
    </row>
    <row r="16204" spans="1:14" x14ac:dyDescent="0.25">
      <c r="A16204" t="s">
        <v>27192</v>
      </c>
      <c r="B16204" t="s">
        <v>16529</v>
      </c>
      <c r="C16204" s="1" t="str">
        <f>HYPERLINK("http://www.genecards.org/cgi-bin/carddisp.pl?gene=SLCO2B1","GeneCards")</f>
        <v>GeneCards</v>
      </c>
      <c r="D16204" s="1" t="str">
        <f>HYPERLINK("http://genome-euro.ucsc.edu/cgi-bin/hgTracks?position=211557_x_at","UCSC")</f>
        <v>UCSC</v>
      </c>
      <c r="E16204" s="1" t="str">
        <f>HYPERLINK("http://www.ncbi.nlm.nih.gov/gene/?term=SLCO2B1","NCBI")</f>
        <v>NCBI</v>
      </c>
      <c r="F16204">
        <v>0.83</v>
      </c>
      <c r="G16204">
        <v>0.87</v>
      </c>
      <c r="H16204" s="1" t="str">
        <f>HYPERLINK("http://www.weizmann.ac.il/complex/compphys/software/geview/data/figures/211557_x_at.png","Figure")</f>
        <v>Figure</v>
      </c>
      <c r="I16204">
        <v>1.04</v>
      </c>
      <c r="J16204">
        <v>0.84</v>
      </c>
      <c r="K16204">
        <v>1.03</v>
      </c>
      <c r="L16204">
        <v>0.88</v>
      </c>
      <c r="M16204">
        <v>0.99</v>
      </c>
      <c r="N16204">
        <v>0.99</v>
      </c>
    </row>
    <row r="16205" spans="1:14" x14ac:dyDescent="0.25">
      <c r="A16205" t="s">
        <v>27193</v>
      </c>
      <c r="B16205" t="s">
        <v>27194</v>
      </c>
      <c r="C16205" s="1" t="str">
        <f>HYPERLINK("http://www.genecards.org/cgi-bin/carddisp.pl?gene=ATPIF1","GeneCards")</f>
        <v>GeneCards</v>
      </c>
      <c r="D16205" s="1" t="str">
        <f>HYPERLINK("http://genome-euro.ucsc.edu/cgi-bin/hgTracks?position=218671_s_at","UCSC")</f>
        <v>UCSC</v>
      </c>
      <c r="E16205" s="1" t="str">
        <f>HYPERLINK("http://www.ncbi.nlm.nih.gov/gene/?term=ATPIF1","NCBI")</f>
        <v>NCBI</v>
      </c>
      <c r="F16205">
        <v>0.83</v>
      </c>
      <c r="G16205">
        <v>0.87</v>
      </c>
      <c r="H16205" s="1" t="str">
        <f>HYPERLINK("http://www.weizmann.ac.il/complex/compphys/software/geview/data/figures/218671_s_at.png","Figure")</f>
        <v>Figure</v>
      </c>
      <c r="I16205">
        <v>0.90300000000000002</v>
      </c>
      <c r="J16205">
        <v>0.82</v>
      </c>
      <c r="K16205">
        <v>0.97</v>
      </c>
      <c r="L16205">
        <v>0.98</v>
      </c>
      <c r="M16205">
        <v>1.07</v>
      </c>
      <c r="N16205">
        <v>0.89</v>
      </c>
    </row>
    <row r="16206" spans="1:14" x14ac:dyDescent="0.25">
      <c r="A16206" t="s">
        <v>27195</v>
      </c>
      <c r="B16206" t="s">
        <v>27196</v>
      </c>
      <c r="C16206" s="1" t="str">
        <f>HYPERLINK("http://www.genecards.org/cgi-bin/carddisp.pl?gene=SKAP1","GeneCards")</f>
        <v>GeneCards</v>
      </c>
      <c r="D16206" s="1" t="str">
        <f>HYPERLINK("http://genome-euro.ucsc.edu/cgi-bin/hgTracks?position=205790_at","UCSC")</f>
        <v>UCSC</v>
      </c>
      <c r="E16206" s="1" t="str">
        <f>HYPERLINK("http://www.ncbi.nlm.nih.gov/gene/?term=SKAP1","NCBI")</f>
        <v>NCBI</v>
      </c>
      <c r="F16206">
        <v>0.83</v>
      </c>
      <c r="G16206">
        <v>0.87</v>
      </c>
      <c r="H16206" s="1" t="str">
        <f>HYPERLINK("http://www.weizmann.ac.il/complex/compphys/software/geview/data/figures/205790_at.png","Figure")</f>
        <v>Figure</v>
      </c>
      <c r="I16206">
        <v>1.06</v>
      </c>
      <c r="J16206">
        <v>0.89</v>
      </c>
      <c r="K16206">
        <v>0.99</v>
      </c>
      <c r="L16206">
        <v>0.99</v>
      </c>
      <c r="M16206">
        <v>0.93799999999999994</v>
      </c>
      <c r="N16206">
        <v>0.82</v>
      </c>
    </row>
    <row r="16207" spans="1:14" x14ac:dyDescent="0.25">
      <c r="A16207" t="s">
        <v>27197</v>
      </c>
      <c r="B16207" t="s">
        <v>18480</v>
      </c>
      <c r="C16207" s="1" t="str">
        <f>HYPERLINK("http://www.genecards.org/cgi-bin/carddisp.pl?gene=FAM134A","GeneCards")</f>
        <v>GeneCards</v>
      </c>
      <c r="D16207" s="1" t="str">
        <f>HYPERLINK("http://genome-euro.ucsc.edu/cgi-bin/hgTracks?position=221984_s_at","UCSC")</f>
        <v>UCSC</v>
      </c>
      <c r="E16207" s="1" t="str">
        <f>HYPERLINK("http://www.ncbi.nlm.nih.gov/gene/?term=FAM134A","NCBI")</f>
        <v>NCBI</v>
      </c>
      <c r="F16207">
        <v>0.83</v>
      </c>
      <c r="G16207">
        <v>0.87</v>
      </c>
      <c r="H16207" s="1" t="str">
        <f>HYPERLINK("http://www.weizmann.ac.il/complex/compphys/software/geview/data/figures/221984_s_at.png","Figure")</f>
        <v>Figure</v>
      </c>
      <c r="I16207">
        <v>1.02</v>
      </c>
      <c r="J16207">
        <v>0.98</v>
      </c>
      <c r="K16207">
        <v>0.96099999999999997</v>
      </c>
      <c r="L16207">
        <v>0.92</v>
      </c>
      <c r="M16207">
        <v>0.93700000000000006</v>
      </c>
      <c r="N16207">
        <v>0.83</v>
      </c>
    </row>
    <row r="16208" spans="1:14" x14ac:dyDescent="0.25">
      <c r="A16208" t="s">
        <v>27198</v>
      </c>
      <c r="B16208" t="s">
        <v>14021</v>
      </c>
      <c r="C16208" s="1" t="str">
        <f>HYPERLINK("http://www.genecards.org/cgi-bin/carddisp.pl?gene=DNAJC4","GeneCards")</f>
        <v>GeneCards</v>
      </c>
      <c r="D16208" s="1" t="str">
        <f>HYPERLINK("http://genome-euro.ucsc.edu/cgi-bin/hgTracks?position=206782_s_at","UCSC")</f>
        <v>UCSC</v>
      </c>
      <c r="E16208" s="1" t="str">
        <f>HYPERLINK("http://www.ncbi.nlm.nih.gov/gene/?term=DNAJC4","NCBI")</f>
        <v>NCBI</v>
      </c>
      <c r="F16208">
        <v>0.83</v>
      </c>
      <c r="G16208">
        <v>0.87</v>
      </c>
      <c r="H16208" s="1" t="str">
        <f>HYPERLINK("http://www.weizmann.ac.il/complex/compphys/software/geview/data/figures/206782_s_at.png","Figure")</f>
        <v>Figure</v>
      </c>
      <c r="I16208">
        <v>1.01</v>
      </c>
      <c r="J16208">
        <v>0.99</v>
      </c>
      <c r="K16208">
        <v>1.07</v>
      </c>
      <c r="L16208">
        <v>0.84</v>
      </c>
      <c r="M16208">
        <v>1.05</v>
      </c>
      <c r="N16208">
        <v>0.91</v>
      </c>
    </row>
    <row r="16209" spans="1:14" x14ac:dyDescent="0.25">
      <c r="A16209" t="s">
        <v>27199</v>
      </c>
      <c r="B16209" t="s">
        <v>27200</v>
      </c>
      <c r="C16209" s="1" t="str">
        <f>HYPERLINK("http://www.genecards.org/cgi-bin/carddisp.pl?gene=SSX2 /// SSX3 /// SSX5 /// SSX7 /// SSX9","GeneCards")</f>
        <v>GeneCards</v>
      </c>
      <c r="D16209" s="1" t="str">
        <f>HYPERLINK("http://genome-euro.ucsc.edu/cgi-bin/hgTracks?position=215881_x_at","UCSC")</f>
        <v>UCSC</v>
      </c>
      <c r="E16209" s="1" t="str">
        <f>HYPERLINK("http://www.ncbi.nlm.nih.gov/gene/?term=SSX2 /// SSX3 /// SSX5 /// SSX7 /// SSX9","NCBI")</f>
        <v>NCBI</v>
      </c>
      <c r="F16209">
        <v>0.83</v>
      </c>
      <c r="G16209">
        <v>0.87</v>
      </c>
      <c r="H16209" s="1" t="str">
        <f>HYPERLINK("http://www.weizmann.ac.il/complex/compphys/software/geview/data/figures/215881_x_at.png","Figure")</f>
        <v>Figure</v>
      </c>
      <c r="I16209">
        <v>0.97899999999999998</v>
      </c>
      <c r="J16209">
        <v>0.96</v>
      </c>
      <c r="K16209">
        <v>0.96</v>
      </c>
      <c r="L16209">
        <v>0.82</v>
      </c>
      <c r="M16209">
        <v>0.98099999999999998</v>
      </c>
      <c r="N16209">
        <v>0.96</v>
      </c>
    </row>
    <row r="16210" spans="1:14" x14ac:dyDescent="0.25">
      <c r="A16210" t="s">
        <v>27201</v>
      </c>
      <c r="B16210" t="s">
        <v>13498</v>
      </c>
      <c r="C16210" s="1" t="str">
        <f>HYPERLINK("http://www.genecards.org/cgi-bin/carddisp.pl?gene=CDKN2A","GeneCards")</f>
        <v>GeneCards</v>
      </c>
      <c r="D16210" s="1" t="str">
        <f>HYPERLINK("http://genome-euro.ucsc.edu/cgi-bin/hgTracks?position=209644_x_at","UCSC")</f>
        <v>UCSC</v>
      </c>
      <c r="E16210" s="1" t="str">
        <f>HYPERLINK("http://www.ncbi.nlm.nih.gov/gene/?term=CDKN2A","NCBI")</f>
        <v>NCBI</v>
      </c>
      <c r="F16210">
        <v>0.83</v>
      </c>
      <c r="G16210">
        <v>0.87</v>
      </c>
      <c r="H16210" s="1" t="str">
        <f>HYPERLINK("http://www.weizmann.ac.il/complex/compphys/software/geview/data/figures/209644_x_at.png","Figure")</f>
        <v>Figure</v>
      </c>
      <c r="I16210">
        <v>1.03</v>
      </c>
      <c r="J16210">
        <v>0.98</v>
      </c>
      <c r="K16210">
        <v>0.94499999999999995</v>
      </c>
      <c r="L16210">
        <v>0.91</v>
      </c>
      <c r="M16210">
        <v>0.91900000000000004</v>
      </c>
      <c r="N16210">
        <v>0.84</v>
      </c>
    </row>
    <row r="16211" spans="1:14" x14ac:dyDescent="0.25">
      <c r="A16211" t="s">
        <v>27202</v>
      </c>
      <c r="B16211" t="s">
        <v>27203</v>
      </c>
      <c r="C16211" s="1" t="str">
        <f>HYPERLINK("http://www.genecards.org/cgi-bin/carddisp.pl?gene=TUT1","GeneCards")</f>
        <v>GeneCards</v>
      </c>
      <c r="D16211" s="1" t="str">
        <f>HYPERLINK("http://genome-euro.ucsc.edu/cgi-bin/hgTracks?position=218965_s_at","UCSC")</f>
        <v>UCSC</v>
      </c>
      <c r="E16211" s="1" t="str">
        <f>HYPERLINK("http://www.ncbi.nlm.nih.gov/gene/?term=TUT1","NCBI")</f>
        <v>NCBI</v>
      </c>
      <c r="F16211">
        <v>0.83</v>
      </c>
      <c r="G16211">
        <v>0.87</v>
      </c>
      <c r="H16211" s="1" t="str">
        <f>HYPERLINK("http://www.weizmann.ac.il/complex/compphys/software/geview/data/figures/218965_s_at.png","Figure")</f>
        <v>Figure</v>
      </c>
      <c r="I16211">
        <v>1.04</v>
      </c>
      <c r="J16211">
        <v>0.89</v>
      </c>
      <c r="K16211">
        <v>1.04</v>
      </c>
      <c r="L16211">
        <v>0.83</v>
      </c>
      <c r="M16211">
        <v>1</v>
      </c>
      <c r="N16211">
        <v>1</v>
      </c>
    </row>
    <row r="16212" spans="1:14" x14ac:dyDescent="0.25">
      <c r="A16212" t="s">
        <v>27204</v>
      </c>
      <c r="B16212" t="s">
        <v>27205</v>
      </c>
      <c r="C16212" s="1" t="str">
        <f>HYPERLINK("http://www.genecards.org/cgi-bin/carddisp.pl?gene=HLA-J","GeneCards")</f>
        <v>GeneCards</v>
      </c>
      <c r="D16212" s="1" t="str">
        <f>HYPERLINK("http://genome-euro.ucsc.edu/cgi-bin/hgTracks?position=217436_x_at","UCSC")</f>
        <v>UCSC</v>
      </c>
      <c r="E16212" s="1" t="str">
        <f>HYPERLINK("http://www.ncbi.nlm.nih.gov/gene/?term=HLA-J","NCBI")</f>
        <v>NCBI</v>
      </c>
      <c r="F16212">
        <v>0.83</v>
      </c>
      <c r="G16212">
        <v>0.87</v>
      </c>
      <c r="H16212" s="1" t="str">
        <f>HYPERLINK("http://www.weizmann.ac.il/complex/compphys/software/geview/data/figures/217436_x_at.png","Figure")</f>
        <v>Figure</v>
      </c>
      <c r="I16212">
        <v>1.1200000000000001</v>
      </c>
      <c r="J16212">
        <v>0.89</v>
      </c>
      <c r="K16212">
        <v>1.1399999999999999</v>
      </c>
      <c r="L16212">
        <v>0.83</v>
      </c>
      <c r="M16212">
        <v>1.01</v>
      </c>
      <c r="N16212">
        <v>1</v>
      </c>
    </row>
    <row r="16213" spans="1:14" x14ac:dyDescent="0.25">
      <c r="A16213" t="s">
        <v>27206</v>
      </c>
      <c r="B16213" t="s">
        <v>27207</v>
      </c>
      <c r="C16213" s="1" t="str">
        <f>HYPERLINK("http://www.genecards.org/cgi-bin/carddisp.pl?gene=ST6GAL1","GeneCards")</f>
        <v>GeneCards</v>
      </c>
      <c r="D16213" s="1" t="str">
        <f>HYPERLINK("http://genome-euro.ucsc.edu/cgi-bin/hgTracks?position=201998_at","UCSC")</f>
        <v>UCSC</v>
      </c>
      <c r="E16213" s="1" t="str">
        <f>HYPERLINK("http://www.ncbi.nlm.nih.gov/gene/?term=ST6GAL1","NCBI")</f>
        <v>NCBI</v>
      </c>
      <c r="F16213">
        <v>0.83</v>
      </c>
      <c r="G16213">
        <v>0.87</v>
      </c>
      <c r="H16213" s="1" t="str">
        <f>HYPERLINK("http://www.weizmann.ac.il/complex/compphys/software/geview/data/figures/201998_at.png","Figure")</f>
        <v>Figure</v>
      </c>
      <c r="I16213">
        <v>1.1200000000000001</v>
      </c>
      <c r="J16213">
        <v>0.82</v>
      </c>
      <c r="K16213">
        <v>1.04</v>
      </c>
      <c r="L16213">
        <v>0.97</v>
      </c>
      <c r="M16213">
        <v>0.93</v>
      </c>
      <c r="N16213">
        <v>0.91</v>
      </c>
    </row>
    <row r="16214" spans="1:14" x14ac:dyDescent="0.25">
      <c r="A16214" t="s">
        <v>27208</v>
      </c>
      <c r="B16214" t="s">
        <v>27209</v>
      </c>
      <c r="C16214" s="1" t="str">
        <f>HYPERLINK("http://www.genecards.org/cgi-bin/carddisp.pl?gene=BMX","GeneCards")</f>
        <v>GeneCards</v>
      </c>
      <c r="D16214" s="1" t="str">
        <f>HYPERLINK("http://genome-euro.ucsc.edu/cgi-bin/hgTracks?position=206464_at","UCSC")</f>
        <v>UCSC</v>
      </c>
      <c r="E16214" s="1" t="str">
        <f>HYPERLINK("http://www.ncbi.nlm.nih.gov/gene/?term=BMX","NCBI")</f>
        <v>NCBI</v>
      </c>
      <c r="F16214">
        <v>0.83</v>
      </c>
      <c r="G16214">
        <v>0.87</v>
      </c>
      <c r="H16214" s="1" t="str">
        <f>HYPERLINK("http://www.weizmann.ac.il/complex/compphys/software/geview/data/figures/206464_at.png","Figure")</f>
        <v>Figure</v>
      </c>
      <c r="I16214">
        <v>1.03</v>
      </c>
      <c r="J16214">
        <v>0.91</v>
      </c>
      <c r="K16214">
        <v>0.99099999999999999</v>
      </c>
      <c r="L16214">
        <v>0.99</v>
      </c>
      <c r="M16214">
        <v>0.96499999999999997</v>
      </c>
      <c r="N16214">
        <v>0.82</v>
      </c>
    </row>
    <row r="16215" spans="1:14" x14ac:dyDescent="0.25">
      <c r="A16215" t="s">
        <v>27210</v>
      </c>
      <c r="B16215" t="s">
        <v>8447</v>
      </c>
      <c r="C16215" s="1" t="str">
        <f>HYPERLINK("http://www.genecards.org/cgi-bin/carddisp.pl?gene=TBXA2R","GeneCards")</f>
        <v>GeneCards</v>
      </c>
      <c r="D16215" s="1" t="str">
        <f>HYPERLINK("http://genome-euro.ucsc.edu/cgi-bin/hgTracks?position=207554_x_at","UCSC")</f>
        <v>UCSC</v>
      </c>
      <c r="E16215" s="1" t="str">
        <f>HYPERLINK("http://www.ncbi.nlm.nih.gov/gene/?term=TBXA2R","NCBI")</f>
        <v>NCBI</v>
      </c>
      <c r="F16215">
        <v>0.83</v>
      </c>
      <c r="G16215">
        <v>0.87</v>
      </c>
      <c r="H16215" s="1" t="str">
        <f>HYPERLINK("http://www.weizmann.ac.il/complex/compphys/software/geview/data/figures/207554_x_at.png","Figure")</f>
        <v>Figure</v>
      </c>
      <c r="I16215">
        <v>0.98799999999999999</v>
      </c>
      <c r="J16215">
        <v>0.99</v>
      </c>
      <c r="K16215">
        <v>0.96299999999999997</v>
      </c>
      <c r="L16215">
        <v>0.83</v>
      </c>
      <c r="M16215">
        <v>0.97399999999999998</v>
      </c>
      <c r="N16215">
        <v>0.92</v>
      </c>
    </row>
    <row r="16216" spans="1:14" x14ac:dyDescent="0.25">
      <c r="A16216" t="s">
        <v>27211</v>
      </c>
      <c r="B16216" t="s">
        <v>27212</v>
      </c>
      <c r="C16216" s="1" t="str">
        <f>HYPERLINK("http://www.genecards.org/cgi-bin/carddisp.pl?gene=LRRC61","GeneCards")</f>
        <v>GeneCards</v>
      </c>
      <c r="D16216" s="1" t="str">
        <f>HYPERLINK("http://genome-euro.ucsc.edu/cgi-bin/hgTracks?position=218907_s_at","UCSC")</f>
        <v>UCSC</v>
      </c>
      <c r="E16216" s="1" t="str">
        <f>HYPERLINK("http://www.ncbi.nlm.nih.gov/gene/?term=LRRC61","NCBI")</f>
        <v>NCBI</v>
      </c>
      <c r="F16216">
        <v>0.83</v>
      </c>
      <c r="G16216">
        <v>0.87</v>
      </c>
      <c r="H16216" s="1" t="str">
        <f>HYPERLINK("http://www.weizmann.ac.il/complex/compphys/software/geview/data/figures/218907_s_at.png","Figure")</f>
        <v>Figure</v>
      </c>
      <c r="I16216">
        <v>1.02</v>
      </c>
      <c r="J16216">
        <v>0.98</v>
      </c>
      <c r="K16216">
        <v>0.96799999999999997</v>
      </c>
      <c r="L16216">
        <v>0.92</v>
      </c>
      <c r="M16216">
        <v>0.94799999999999995</v>
      </c>
      <c r="N16216">
        <v>0.83</v>
      </c>
    </row>
    <row r="16217" spans="1:14" x14ac:dyDescent="0.25">
      <c r="A16217" t="s">
        <v>27213</v>
      </c>
      <c r="B16217" t="s">
        <v>27214</v>
      </c>
      <c r="C16217" s="1" t="str">
        <f>HYPERLINK("http://www.genecards.org/cgi-bin/carddisp.pl?gene=TNFSF18","GeneCards")</f>
        <v>GeneCards</v>
      </c>
      <c r="D16217" s="1" t="str">
        <f>HYPERLINK("http://genome-euro.ucsc.edu/cgi-bin/hgTracks?position=221371_at","UCSC")</f>
        <v>UCSC</v>
      </c>
      <c r="E16217" s="1" t="str">
        <f>HYPERLINK("http://www.ncbi.nlm.nih.gov/gene/?term=TNFSF18","NCBI")</f>
        <v>NCBI</v>
      </c>
      <c r="F16217">
        <v>0.83</v>
      </c>
      <c r="G16217">
        <v>0.87</v>
      </c>
      <c r="H16217" s="1" t="str">
        <f>HYPERLINK("http://www.weizmann.ac.il/complex/compphys/software/geview/data/figures/221371_at.png","Figure")</f>
        <v>Figure</v>
      </c>
      <c r="I16217">
        <v>0.99199999999999999</v>
      </c>
      <c r="J16217">
        <v>0.91</v>
      </c>
      <c r="K16217">
        <v>0.99</v>
      </c>
      <c r="L16217">
        <v>0.83</v>
      </c>
      <c r="M16217">
        <v>0.998</v>
      </c>
      <c r="N16217">
        <v>0.99</v>
      </c>
    </row>
    <row r="16218" spans="1:14" x14ac:dyDescent="0.25">
      <c r="A16218" t="s">
        <v>27215</v>
      </c>
      <c r="B16218" t="s">
        <v>27216</v>
      </c>
      <c r="C16218" s="1" t="str">
        <f>HYPERLINK("http://www.genecards.org/cgi-bin/carddisp.pl?gene=HSPB2","GeneCards")</f>
        <v>GeneCards</v>
      </c>
      <c r="D16218" s="1" t="str">
        <f>HYPERLINK("http://genome-euro.ucsc.edu/cgi-bin/hgTracks?position=205824_at","UCSC")</f>
        <v>UCSC</v>
      </c>
      <c r="E16218" s="1" t="str">
        <f>HYPERLINK("http://www.ncbi.nlm.nih.gov/gene/?term=HSPB2","NCBI")</f>
        <v>NCBI</v>
      </c>
      <c r="F16218">
        <v>0.83</v>
      </c>
      <c r="G16218">
        <v>0.87</v>
      </c>
      <c r="H16218" s="1" t="str">
        <f>HYPERLINK("http://www.weizmann.ac.il/complex/compphys/software/geview/data/figures/205824_at.png","Figure")</f>
        <v>Figure</v>
      </c>
      <c r="I16218">
        <v>0.95399999999999996</v>
      </c>
      <c r="J16218">
        <v>0.83</v>
      </c>
      <c r="K16218">
        <v>0.97</v>
      </c>
      <c r="L16218">
        <v>0.9</v>
      </c>
      <c r="M16218">
        <v>1.02</v>
      </c>
      <c r="N16218">
        <v>0.97</v>
      </c>
    </row>
    <row r="16219" spans="1:14" x14ac:dyDescent="0.25">
      <c r="A16219" t="s">
        <v>27217</v>
      </c>
      <c r="B16219" t="s">
        <v>27218</v>
      </c>
      <c r="C16219" s="1" t="str">
        <f>HYPERLINK("http://www.genecards.org/cgi-bin/carddisp.pl?gene=FLJ10404","GeneCards")</f>
        <v>GeneCards</v>
      </c>
      <c r="D16219" s="1" t="str">
        <f>HYPERLINK("http://genome-euro.ucsc.edu/cgi-bin/hgTracks?position=218920_at","UCSC")</f>
        <v>UCSC</v>
      </c>
      <c r="E16219" s="1" t="str">
        <f>HYPERLINK("http://www.ncbi.nlm.nih.gov/gene/?term=FLJ10404","NCBI")</f>
        <v>NCBI</v>
      </c>
      <c r="F16219">
        <v>0.83</v>
      </c>
      <c r="G16219">
        <v>0.87</v>
      </c>
      <c r="H16219" s="1" t="str">
        <f>HYPERLINK("http://www.weizmann.ac.il/complex/compphys/software/geview/data/figures/218920_at.png","Figure")</f>
        <v>Figure</v>
      </c>
      <c r="I16219">
        <v>0.95099999999999996</v>
      </c>
      <c r="J16219">
        <v>0.92</v>
      </c>
      <c r="K16219">
        <v>1.02</v>
      </c>
      <c r="L16219">
        <v>0.98</v>
      </c>
      <c r="M16219">
        <v>1.08</v>
      </c>
      <c r="N16219">
        <v>0.82</v>
      </c>
    </row>
    <row r="16220" spans="1:14" x14ac:dyDescent="0.25">
      <c r="A16220" t="s">
        <v>27219</v>
      </c>
      <c r="B16220" t="s">
        <v>27220</v>
      </c>
      <c r="C16220" s="1" t="str">
        <f>HYPERLINK("http://www.genecards.org/cgi-bin/carddisp.pl?gene=PLCG2","GeneCards")</f>
        <v>GeneCards</v>
      </c>
      <c r="D16220" s="1" t="str">
        <f>HYPERLINK("http://genome-euro.ucsc.edu/cgi-bin/hgTracks?position=204613_at","UCSC")</f>
        <v>UCSC</v>
      </c>
      <c r="E16220" s="1" t="str">
        <f>HYPERLINK("http://www.ncbi.nlm.nih.gov/gene/?term=PLCG2","NCBI")</f>
        <v>NCBI</v>
      </c>
      <c r="F16220">
        <v>0.83</v>
      </c>
      <c r="G16220">
        <v>0.87</v>
      </c>
      <c r="H16220" s="1" t="str">
        <f>HYPERLINK("http://www.weizmann.ac.il/complex/compphys/software/geview/data/figures/204613_at.png","Figure")</f>
        <v>Figure</v>
      </c>
      <c r="I16220">
        <v>1.18</v>
      </c>
      <c r="J16220">
        <v>0.82</v>
      </c>
      <c r="K16220">
        <v>1.06</v>
      </c>
      <c r="L16220">
        <v>0.97</v>
      </c>
      <c r="M16220">
        <v>0.89600000000000002</v>
      </c>
      <c r="N16220">
        <v>0.9</v>
      </c>
    </row>
    <row r="16221" spans="1:14" x14ac:dyDescent="0.25">
      <c r="A16221" t="s">
        <v>27221</v>
      </c>
      <c r="B16221" t="s">
        <v>11569</v>
      </c>
      <c r="C16221" s="1" t="str">
        <f>HYPERLINK("http://www.genecards.org/cgi-bin/carddisp.pl?gene=TMEM63A","GeneCards")</f>
        <v>GeneCards</v>
      </c>
      <c r="D16221" s="1" t="str">
        <f>HYPERLINK("http://genome-euro.ucsc.edu/cgi-bin/hgTracks?position=214833_at","UCSC")</f>
        <v>UCSC</v>
      </c>
      <c r="E16221" s="1" t="str">
        <f>HYPERLINK("http://www.ncbi.nlm.nih.gov/gene/?term=TMEM63A","NCBI")</f>
        <v>NCBI</v>
      </c>
      <c r="F16221">
        <v>0.83</v>
      </c>
      <c r="G16221">
        <v>0.87</v>
      </c>
      <c r="H16221" s="1" t="str">
        <f>HYPERLINK("http://www.weizmann.ac.il/complex/compphys/software/geview/data/figures/214833_at.png","Figure")</f>
        <v>Figure</v>
      </c>
      <c r="I16221">
        <v>1.01</v>
      </c>
      <c r="J16221">
        <v>1</v>
      </c>
      <c r="K16221">
        <v>0.93200000000000005</v>
      </c>
      <c r="L16221">
        <v>0.88</v>
      </c>
      <c r="M16221">
        <v>0.92200000000000004</v>
      </c>
      <c r="N16221">
        <v>0.86</v>
      </c>
    </row>
    <row r="16222" spans="1:14" x14ac:dyDescent="0.25">
      <c r="A16222" t="s">
        <v>27222</v>
      </c>
      <c r="B16222" t="s">
        <v>27223</v>
      </c>
      <c r="C16222" s="1" t="str">
        <f>HYPERLINK("http://www.genecards.org/cgi-bin/carddisp.pl?gene=DLX5","GeneCards")</f>
        <v>GeneCards</v>
      </c>
      <c r="D16222" s="1" t="str">
        <f>HYPERLINK("http://genome-euro.ucsc.edu/cgi-bin/hgTracks?position=213707_s_at","UCSC")</f>
        <v>UCSC</v>
      </c>
      <c r="E16222" s="1" t="str">
        <f>HYPERLINK("http://www.ncbi.nlm.nih.gov/gene/?term=DLX5","NCBI")</f>
        <v>NCBI</v>
      </c>
      <c r="F16222">
        <v>0.83</v>
      </c>
      <c r="G16222">
        <v>0.87</v>
      </c>
      <c r="H16222" s="1" t="str">
        <f>HYPERLINK("http://www.weizmann.ac.il/complex/compphys/software/geview/data/figures/213707_s_at.png","Figure")</f>
        <v>Figure</v>
      </c>
      <c r="I16222">
        <v>0.98099999999999998</v>
      </c>
      <c r="J16222">
        <v>0.82</v>
      </c>
      <c r="K16222">
        <v>0.99199999999999999</v>
      </c>
      <c r="L16222">
        <v>0.95</v>
      </c>
      <c r="M16222">
        <v>1.01</v>
      </c>
      <c r="N16222">
        <v>0.93</v>
      </c>
    </row>
    <row r="16223" spans="1:14" x14ac:dyDescent="0.25">
      <c r="A16223" t="s">
        <v>27224</v>
      </c>
      <c r="B16223" t="s">
        <v>3838</v>
      </c>
      <c r="C16223" s="1" t="str">
        <f>HYPERLINK("http://www.genecards.org/cgi-bin/carddisp.pl?gene=TGOLN2","GeneCards")</f>
        <v>GeneCards</v>
      </c>
      <c r="D16223" s="1" t="str">
        <f>HYPERLINK("http://genome-euro.ucsc.edu/cgi-bin/hgTracks?position=203834_s_at","UCSC")</f>
        <v>UCSC</v>
      </c>
      <c r="E16223" s="1" t="str">
        <f>HYPERLINK("http://www.ncbi.nlm.nih.gov/gene/?term=TGOLN2","NCBI")</f>
        <v>NCBI</v>
      </c>
      <c r="F16223">
        <v>0.83</v>
      </c>
      <c r="G16223">
        <v>0.87</v>
      </c>
      <c r="H16223" s="1" t="str">
        <f>HYPERLINK("http://www.weizmann.ac.il/complex/compphys/software/geview/data/figures/203834_s_at.png","Figure")</f>
        <v>Figure</v>
      </c>
      <c r="I16223">
        <v>1</v>
      </c>
      <c r="J16223">
        <v>1</v>
      </c>
      <c r="K16223">
        <v>0.96599999999999997</v>
      </c>
      <c r="L16223">
        <v>0.88</v>
      </c>
      <c r="M16223">
        <v>0.96099999999999997</v>
      </c>
      <c r="N16223">
        <v>0.86</v>
      </c>
    </row>
    <row r="16224" spans="1:14" x14ac:dyDescent="0.25">
      <c r="A16224" t="s">
        <v>27225</v>
      </c>
      <c r="B16224" t="s">
        <v>27226</v>
      </c>
      <c r="C16224" s="1" t="str">
        <f>HYPERLINK("http://www.genecards.org/cgi-bin/carddisp.pl?gene=CLDN15","GeneCards")</f>
        <v>GeneCards</v>
      </c>
      <c r="D16224" s="1" t="str">
        <f>HYPERLINK("http://genome-euro.ucsc.edu/cgi-bin/hgTracks?position=219640_at","UCSC")</f>
        <v>UCSC</v>
      </c>
      <c r="E16224" s="1" t="str">
        <f>HYPERLINK("http://www.ncbi.nlm.nih.gov/gene/?term=CLDN15","NCBI")</f>
        <v>NCBI</v>
      </c>
      <c r="F16224">
        <v>0.83</v>
      </c>
      <c r="G16224">
        <v>0.87</v>
      </c>
      <c r="H16224" s="1" t="str">
        <f>HYPERLINK("http://www.weizmann.ac.il/complex/compphys/software/geview/data/figures/219640_at.png","Figure")</f>
        <v>Figure</v>
      </c>
      <c r="I16224">
        <v>1.08</v>
      </c>
      <c r="J16224">
        <v>0.85</v>
      </c>
      <c r="K16224">
        <v>1.06</v>
      </c>
      <c r="L16224">
        <v>0.88</v>
      </c>
      <c r="M16224">
        <v>0.98299999999999998</v>
      </c>
      <c r="N16224">
        <v>0.99</v>
      </c>
    </row>
    <row r="16225" spans="1:14" x14ac:dyDescent="0.25">
      <c r="A16225" t="s">
        <v>27227</v>
      </c>
      <c r="B16225" t="s">
        <v>17799</v>
      </c>
      <c r="C16225" s="1" t="str">
        <f>HYPERLINK("http://www.genecards.org/cgi-bin/carddisp.pl?gene=ACAP1","GeneCards")</f>
        <v>GeneCards</v>
      </c>
      <c r="D16225" s="1" t="str">
        <f>HYPERLINK("http://genome-euro.ucsc.edu/cgi-bin/hgTracks?position=205213_at","UCSC")</f>
        <v>UCSC</v>
      </c>
      <c r="E16225" s="1" t="str">
        <f>HYPERLINK("http://www.ncbi.nlm.nih.gov/gene/?term=ACAP1","NCBI")</f>
        <v>NCBI</v>
      </c>
      <c r="F16225">
        <v>0.83</v>
      </c>
      <c r="G16225">
        <v>0.87</v>
      </c>
      <c r="H16225" s="1" t="str">
        <f>HYPERLINK("http://www.weizmann.ac.il/complex/compphys/software/geview/data/figures/205213_at.png","Figure")</f>
        <v>Figure</v>
      </c>
      <c r="I16225">
        <v>0.82599999999999996</v>
      </c>
      <c r="J16225">
        <v>0.82</v>
      </c>
      <c r="K16225">
        <v>0.91200000000000003</v>
      </c>
      <c r="L16225">
        <v>0.94</v>
      </c>
      <c r="M16225">
        <v>1.1000000000000001</v>
      </c>
      <c r="N16225">
        <v>0.94</v>
      </c>
    </row>
    <row r="16226" spans="1:14" x14ac:dyDescent="0.25">
      <c r="A16226" t="s">
        <v>27228</v>
      </c>
      <c r="B16226" t="s">
        <v>12404</v>
      </c>
      <c r="C16226" s="1" t="str">
        <f>HYPERLINK("http://www.genecards.org/cgi-bin/carddisp.pl?gene=KRT6B","GeneCards")</f>
        <v>GeneCards</v>
      </c>
      <c r="D16226" s="1" t="str">
        <f>HYPERLINK("http://genome-euro.ucsc.edu/cgi-bin/hgTracks?position=209126_x_at","UCSC")</f>
        <v>UCSC</v>
      </c>
      <c r="E16226" s="1" t="str">
        <f>HYPERLINK("http://www.ncbi.nlm.nih.gov/gene/?term=KRT6B","NCBI")</f>
        <v>NCBI</v>
      </c>
      <c r="F16226">
        <v>0.84</v>
      </c>
      <c r="G16226">
        <v>0.88</v>
      </c>
      <c r="H16226" s="1" t="str">
        <f>HYPERLINK("http://www.weizmann.ac.il/complex/compphys/software/geview/data/figures/209126_x_at.png","Figure")</f>
        <v>Figure</v>
      </c>
      <c r="I16226">
        <v>1.01</v>
      </c>
      <c r="J16226">
        <v>1</v>
      </c>
      <c r="K16226">
        <v>0.97399999999999998</v>
      </c>
      <c r="L16226">
        <v>0.88</v>
      </c>
      <c r="M16226">
        <v>0.96899999999999997</v>
      </c>
      <c r="N16226">
        <v>0.86</v>
      </c>
    </row>
    <row r="16227" spans="1:14" x14ac:dyDescent="0.25">
      <c r="A16227" t="s">
        <v>27229</v>
      </c>
      <c r="B16227" t="s">
        <v>19103</v>
      </c>
      <c r="C16227" s="1" t="str">
        <f>HYPERLINK("http://www.genecards.org/cgi-bin/carddisp.pl?gene=BNIP1","GeneCards")</f>
        <v>GeneCards</v>
      </c>
      <c r="D16227" s="1" t="str">
        <f>HYPERLINK("http://genome-euro.ucsc.edu/cgi-bin/hgTracks?position=37226_at","UCSC")</f>
        <v>UCSC</v>
      </c>
      <c r="E16227" s="1" t="str">
        <f>HYPERLINK("http://www.ncbi.nlm.nih.gov/gene/?term=BNIP1","NCBI")</f>
        <v>NCBI</v>
      </c>
      <c r="F16227">
        <v>0.84</v>
      </c>
      <c r="G16227">
        <v>0.88</v>
      </c>
      <c r="H16227" s="1" t="str">
        <f>HYPERLINK("http://www.weizmann.ac.il/complex/compphys/software/geview/data/figures/37226_at.png","Figure")</f>
        <v>Figure</v>
      </c>
      <c r="I16227">
        <v>1.02</v>
      </c>
      <c r="J16227">
        <v>0.83</v>
      </c>
      <c r="K16227">
        <v>1.01</v>
      </c>
      <c r="L16227">
        <v>0.99</v>
      </c>
      <c r="M16227">
        <v>0.98199999999999998</v>
      </c>
      <c r="N16227">
        <v>0.88</v>
      </c>
    </row>
    <row r="16228" spans="1:14" x14ac:dyDescent="0.25">
      <c r="A16228" t="s">
        <v>27230</v>
      </c>
      <c r="B16228" t="s">
        <v>27231</v>
      </c>
      <c r="C16228" s="1" t="str">
        <f>HYPERLINK("http://www.genecards.org/cgi-bin/carddisp.pl?gene=PPOX","GeneCards")</f>
        <v>GeneCards</v>
      </c>
      <c r="D16228" s="1" t="str">
        <f>HYPERLINK("http://genome-euro.ucsc.edu/cgi-bin/hgTracks?position=204788_s_at","UCSC")</f>
        <v>UCSC</v>
      </c>
      <c r="E16228" s="1" t="str">
        <f>HYPERLINK("http://www.ncbi.nlm.nih.gov/gene/?term=PPOX","NCBI")</f>
        <v>NCBI</v>
      </c>
      <c r="F16228">
        <v>0.84</v>
      </c>
      <c r="G16228">
        <v>0.88</v>
      </c>
      <c r="H16228" s="1" t="str">
        <f>HYPERLINK("http://www.weizmann.ac.il/complex/compphys/software/geview/data/figures/204788_s_at.png","Figure")</f>
        <v>Figure</v>
      </c>
      <c r="I16228">
        <v>1.1100000000000001</v>
      </c>
      <c r="J16228">
        <v>0.84</v>
      </c>
      <c r="K16228">
        <v>1.08</v>
      </c>
      <c r="L16228">
        <v>0.89</v>
      </c>
      <c r="M16228">
        <v>0.96799999999999997</v>
      </c>
      <c r="N16228">
        <v>0.98</v>
      </c>
    </row>
    <row r="16229" spans="1:14" x14ac:dyDescent="0.25">
      <c r="A16229" t="s">
        <v>27232</v>
      </c>
      <c r="B16229" t="s">
        <v>23154</v>
      </c>
      <c r="C16229" s="1" t="str">
        <f>HYPERLINK("http://www.genecards.org/cgi-bin/carddisp.pl?gene=SFRS14","GeneCards")</f>
        <v>GeneCards</v>
      </c>
      <c r="D16229" s="1" t="str">
        <f>HYPERLINK("http://genome-euro.ucsc.edu/cgi-bin/hgTracks?position=212000_at","UCSC")</f>
        <v>UCSC</v>
      </c>
      <c r="E16229" s="1" t="str">
        <f>HYPERLINK("http://www.ncbi.nlm.nih.gov/gene/?term=SFRS14","NCBI")</f>
        <v>NCBI</v>
      </c>
      <c r="F16229">
        <v>0.84</v>
      </c>
      <c r="G16229">
        <v>0.88</v>
      </c>
      <c r="H16229" s="1" t="str">
        <f>HYPERLINK("http://www.weizmann.ac.il/complex/compphys/software/geview/data/figures/212000_at.png","Figure")</f>
        <v>Figure</v>
      </c>
      <c r="I16229">
        <v>0.94899999999999995</v>
      </c>
      <c r="J16229">
        <v>0.94</v>
      </c>
      <c r="K16229">
        <v>1.04</v>
      </c>
      <c r="L16229">
        <v>0.96</v>
      </c>
      <c r="M16229">
        <v>1.0900000000000001</v>
      </c>
      <c r="N16229">
        <v>0.82</v>
      </c>
    </row>
    <row r="16230" spans="1:14" x14ac:dyDescent="0.25">
      <c r="A16230" t="s">
        <v>27233</v>
      </c>
      <c r="B16230" t="s">
        <v>26994</v>
      </c>
      <c r="C16230" s="1" t="str">
        <f>HYPERLINK("http://www.genecards.org/cgi-bin/carddisp.pl?gene=TCL1A","GeneCards")</f>
        <v>GeneCards</v>
      </c>
      <c r="D16230" s="1" t="str">
        <f>HYPERLINK("http://genome-euro.ucsc.edu/cgi-bin/hgTracks?position=39318_at","UCSC")</f>
        <v>UCSC</v>
      </c>
      <c r="E16230" s="1" t="str">
        <f>HYPERLINK("http://www.ncbi.nlm.nih.gov/gene/?term=TCL1A","NCBI")</f>
        <v>NCBI</v>
      </c>
      <c r="F16230">
        <v>0.84</v>
      </c>
      <c r="G16230">
        <v>0.88</v>
      </c>
      <c r="H16230" s="1" t="str">
        <f>HYPERLINK("http://www.weizmann.ac.il/complex/compphys/software/geview/data/figures/39318_at.png","Figure")</f>
        <v>Figure</v>
      </c>
      <c r="I16230">
        <v>1.1499999999999999</v>
      </c>
      <c r="J16230">
        <v>0.96</v>
      </c>
      <c r="K16230">
        <v>1.29</v>
      </c>
      <c r="L16230">
        <v>0.82</v>
      </c>
      <c r="M16230">
        <v>1.1200000000000001</v>
      </c>
      <c r="N16230">
        <v>0.97</v>
      </c>
    </row>
    <row r="16231" spans="1:14" x14ac:dyDescent="0.25">
      <c r="A16231" t="s">
        <v>27234</v>
      </c>
      <c r="B16231" t="s">
        <v>14956</v>
      </c>
      <c r="C16231" s="1" t="str">
        <f>HYPERLINK("http://www.genecards.org/cgi-bin/carddisp.pl?gene=CD59","GeneCards")</f>
        <v>GeneCards</v>
      </c>
      <c r="D16231" s="1" t="str">
        <f>HYPERLINK("http://genome-euro.ucsc.edu/cgi-bin/hgTracks?position=200985_s_at","UCSC")</f>
        <v>UCSC</v>
      </c>
      <c r="E16231" s="1" t="str">
        <f>HYPERLINK("http://www.ncbi.nlm.nih.gov/gene/?term=CD59","NCBI")</f>
        <v>NCBI</v>
      </c>
      <c r="F16231">
        <v>0.84</v>
      </c>
      <c r="G16231">
        <v>0.88</v>
      </c>
      <c r="H16231" s="1" t="str">
        <f>HYPERLINK("http://www.weizmann.ac.il/complex/compphys/software/geview/data/figures/200985_s_at.png","Figure")</f>
        <v>Figure</v>
      </c>
      <c r="I16231">
        <v>1.23</v>
      </c>
      <c r="J16231">
        <v>0.82</v>
      </c>
      <c r="K16231">
        <v>1.1100000000000001</v>
      </c>
      <c r="L16231">
        <v>0.94</v>
      </c>
      <c r="M16231">
        <v>0.90100000000000002</v>
      </c>
      <c r="N16231">
        <v>0.95</v>
      </c>
    </row>
    <row r="16232" spans="1:14" x14ac:dyDescent="0.25">
      <c r="A16232" t="s">
        <v>27235</v>
      </c>
      <c r="B16232" t="s">
        <v>9510</v>
      </c>
      <c r="C16232" s="1" t="str">
        <f>HYPERLINK("http://www.genecards.org/cgi-bin/carddisp.pl?gene=COMMD4","GeneCards")</f>
        <v>GeneCards</v>
      </c>
      <c r="D16232" s="1" t="str">
        <f>HYPERLINK("http://genome-euro.ucsc.edu/cgi-bin/hgTracks?position=209132_s_at","UCSC")</f>
        <v>UCSC</v>
      </c>
      <c r="E16232" s="1" t="str">
        <f>HYPERLINK("http://www.ncbi.nlm.nih.gov/gene/?term=COMMD4","NCBI")</f>
        <v>NCBI</v>
      </c>
      <c r="F16232">
        <v>0.84</v>
      </c>
      <c r="G16232">
        <v>0.88</v>
      </c>
      <c r="H16232" s="1" t="str">
        <f>HYPERLINK("http://www.weizmann.ac.il/complex/compphys/software/geview/data/figures/209132_s_at.png","Figure")</f>
        <v>Figure</v>
      </c>
      <c r="I16232">
        <v>1.1299999999999999</v>
      </c>
      <c r="J16232">
        <v>0.82</v>
      </c>
      <c r="K16232">
        <v>1.06</v>
      </c>
      <c r="L16232">
        <v>0.93</v>
      </c>
      <c r="M16232">
        <v>0.94399999999999995</v>
      </c>
      <c r="N16232">
        <v>0.95</v>
      </c>
    </row>
    <row r="16233" spans="1:14" x14ac:dyDescent="0.25">
      <c r="A16233" t="s">
        <v>27236</v>
      </c>
      <c r="B16233" t="s">
        <v>27237</v>
      </c>
      <c r="C16233" s="1" t="str">
        <f>HYPERLINK("http://www.genecards.org/cgi-bin/carddisp.pl?gene=POLR2B","GeneCards")</f>
        <v>GeneCards</v>
      </c>
      <c r="D16233" s="1" t="str">
        <f>HYPERLINK("http://genome-euro.ucsc.edu/cgi-bin/hgTracks?position=201803_at","UCSC")</f>
        <v>UCSC</v>
      </c>
      <c r="E16233" s="1" t="str">
        <f>HYPERLINK("http://www.ncbi.nlm.nih.gov/gene/?term=POLR2B","NCBI")</f>
        <v>NCBI</v>
      </c>
      <c r="F16233">
        <v>0.84</v>
      </c>
      <c r="G16233">
        <v>0.88</v>
      </c>
      <c r="H16233" s="1" t="str">
        <f>HYPERLINK("http://www.weizmann.ac.il/complex/compphys/software/geview/data/figures/201803_at.png","Figure")</f>
        <v>Figure</v>
      </c>
      <c r="I16233">
        <v>1.0900000000000001</v>
      </c>
      <c r="J16233">
        <v>0.88</v>
      </c>
      <c r="K16233">
        <v>1.0900000000000001</v>
      </c>
      <c r="L16233">
        <v>0.85</v>
      </c>
      <c r="M16233">
        <v>0.999</v>
      </c>
      <c r="N16233">
        <v>1</v>
      </c>
    </row>
    <row r="16234" spans="1:14" x14ac:dyDescent="0.25">
      <c r="A16234" t="s">
        <v>27238</v>
      </c>
      <c r="B16234" t="s">
        <v>15386</v>
      </c>
      <c r="C16234" s="1" t="str">
        <f>HYPERLINK("http://www.genecards.org/cgi-bin/carddisp.pl?gene=ZMYM4","GeneCards")</f>
        <v>GeneCards</v>
      </c>
      <c r="D16234" s="1" t="str">
        <f>HYPERLINK("http://genome-euro.ucsc.edu/cgi-bin/hgTracks?position=202049_s_at","UCSC")</f>
        <v>UCSC</v>
      </c>
      <c r="E16234" s="1" t="str">
        <f>HYPERLINK("http://www.ncbi.nlm.nih.gov/gene/?term=ZMYM4","NCBI")</f>
        <v>NCBI</v>
      </c>
      <c r="F16234">
        <v>0.84</v>
      </c>
      <c r="G16234">
        <v>0.88</v>
      </c>
      <c r="H16234" s="1" t="str">
        <f>HYPERLINK("http://www.weizmann.ac.il/complex/compphys/software/geview/data/figures/202049_s_at.png","Figure")</f>
        <v>Figure</v>
      </c>
      <c r="I16234">
        <v>0.94599999999999995</v>
      </c>
      <c r="J16234">
        <v>0.85</v>
      </c>
      <c r="K16234">
        <v>0.95699999999999996</v>
      </c>
      <c r="L16234">
        <v>0.87</v>
      </c>
      <c r="M16234">
        <v>1.01</v>
      </c>
      <c r="N16234">
        <v>0.99</v>
      </c>
    </row>
    <row r="16235" spans="1:14" x14ac:dyDescent="0.25">
      <c r="A16235" t="s">
        <v>27239</v>
      </c>
      <c r="B16235" t="s">
        <v>27240</v>
      </c>
      <c r="C16235" s="1" t="str">
        <f>HYPERLINK("http://www.genecards.org/cgi-bin/carddisp.pl?gene=IFNG","GeneCards")</f>
        <v>GeneCards</v>
      </c>
      <c r="D16235" s="1" t="str">
        <f>HYPERLINK("http://genome-euro.ucsc.edu/cgi-bin/hgTracks?position=210354_at","UCSC")</f>
        <v>UCSC</v>
      </c>
      <c r="E16235" s="1" t="str">
        <f>HYPERLINK("http://www.ncbi.nlm.nih.gov/gene/?term=IFNG","NCBI")</f>
        <v>NCBI</v>
      </c>
      <c r="F16235">
        <v>0.84</v>
      </c>
      <c r="G16235">
        <v>0.88</v>
      </c>
      <c r="H16235" s="1" t="str">
        <f>HYPERLINK("http://www.weizmann.ac.il/complex/compphys/software/geview/data/figures/210354_at.png","Figure")</f>
        <v>Figure</v>
      </c>
      <c r="I16235">
        <v>0.97099999999999997</v>
      </c>
      <c r="J16235">
        <v>0.89</v>
      </c>
      <c r="K16235">
        <v>1.01</v>
      </c>
      <c r="L16235">
        <v>1</v>
      </c>
      <c r="M16235">
        <v>1.04</v>
      </c>
      <c r="N16235">
        <v>0.83</v>
      </c>
    </row>
    <row r="16236" spans="1:14" x14ac:dyDescent="0.25">
      <c r="A16236" t="s">
        <v>27241</v>
      </c>
      <c r="B16236" t="s">
        <v>7199</v>
      </c>
      <c r="C16236" s="1" t="str">
        <f>HYPERLINK("http://www.genecards.org/cgi-bin/carddisp.pl?gene=C1orf144","GeneCards")</f>
        <v>GeneCards</v>
      </c>
      <c r="D16236" s="1" t="str">
        <f>HYPERLINK("http://genome-euro.ucsc.edu/cgi-bin/hgTracks?position=212003_at","UCSC")</f>
        <v>UCSC</v>
      </c>
      <c r="E16236" s="1" t="str">
        <f>HYPERLINK("http://www.ncbi.nlm.nih.gov/gene/?term=C1orf144","NCBI")</f>
        <v>NCBI</v>
      </c>
      <c r="F16236">
        <v>0.84</v>
      </c>
      <c r="G16236">
        <v>0.88</v>
      </c>
      <c r="H16236" s="1" t="str">
        <f>HYPERLINK("http://www.weizmann.ac.il/complex/compphys/software/geview/data/figures/212003_at.png","Figure")</f>
        <v>Figure</v>
      </c>
      <c r="I16236">
        <v>1.05</v>
      </c>
      <c r="J16236">
        <v>0.84</v>
      </c>
      <c r="K16236">
        <v>1.04</v>
      </c>
      <c r="L16236">
        <v>0.89</v>
      </c>
      <c r="M16236">
        <v>0.98599999999999999</v>
      </c>
      <c r="N16236">
        <v>0.98</v>
      </c>
    </row>
    <row r="16237" spans="1:14" x14ac:dyDescent="0.25">
      <c r="A16237" t="s">
        <v>27242</v>
      </c>
      <c r="B16237" t="s">
        <v>27243</v>
      </c>
      <c r="C16237" s="1" t="str">
        <f>HYPERLINK("http://www.genecards.org/cgi-bin/carddisp.pl?gene=SLC6A12","GeneCards")</f>
        <v>GeneCards</v>
      </c>
      <c r="D16237" s="1" t="str">
        <f>HYPERLINK("http://genome-euro.ucsc.edu/cgi-bin/hgTracks?position=206058_at","UCSC")</f>
        <v>UCSC</v>
      </c>
      <c r="E16237" s="1" t="str">
        <f>HYPERLINK("http://www.ncbi.nlm.nih.gov/gene/?term=SLC6A12","NCBI")</f>
        <v>NCBI</v>
      </c>
      <c r="F16237">
        <v>0.84</v>
      </c>
      <c r="G16237">
        <v>0.88</v>
      </c>
      <c r="H16237" s="1" t="str">
        <f>HYPERLINK("http://www.weizmann.ac.il/complex/compphys/software/geview/data/figures/206058_at.png","Figure")</f>
        <v>Figure</v>
      </c>
      <c r="I16237">
        <v>1.05</v>
      </c>
      <c r="J16237">
        <v>0.83</v>
      </c>
      <c r="K16237">
        <v>1.01</v>
      </c>
      <c r="L16237">
        <v>0.97</v>
      </c>
      <c r="M16237">
        <v>0.97</v>
      </c>
      <c r="N16237">
        <v>0.91</v>
      </c>
    </row>
    <row r="16238" spans="1:14" x14ac:dyDescent="0.25">
      <c r="A16238" t="s">
        <v>27244</v>
      </c>
      <c r="B16238" t="s">
        <v>27245</v>
      </c>
      <c r="C16238" s="1" t="str">
        <f>HYPERLINK("http://www.genecards.org/cgi-bin/carddisp.pl?gene=TMED3","GeneCards")</f>
        <v>GeneCards</v>
      </c>
      <c r="D16238" s="1" t="str">
        <f>HYPERLINK("http://genome-euro.ucsc.edu/cgi-bin/hgTracks?position=208837_at","UCSC")</f>
        <v>UCSC</v>
      </c>
      <c r="E16238" s="1" t="str">
        <f>HYPERLINK("http://www.ncbi.nlm.nih.gov/gene/?term=TMED3","NCBI")</f>
        <v>NCBI</v>
      </c>
      <c r="F16238">
        <v>0.84</v>
      </c>
      <c r="G16238">
        <v>0.88</v>
      </c>
      <c r="H16238" s="1" t="str">
        <f>HYPERLINK("http://www.weizmann.ac.il/complex/compphys/software/geview/data/figures/208837_at.png","Figure")</f>
        <v>Figure</v>
      </c>
      <c r="I16238">
        <v>1.05</v>
      </c>
      <c r="J16238">
        <v>0.93</v>
      </c>
      <c r="K16238">
        <v>0.97299999999999998</v>
      </c>
      <c r="L16238">
        <v>0.97</v>
      </c>
      <c r="M16238">
        <v>0.92300000000000004</v>
      </c>
      <c r="N16238">
        <v>0.82</v>
      </c>
    </row>
    <row r="16239" spans="1:14" x14ac:dyDescent="0.25">
      <c r="A16239" t="s">
        <v>27246</v>
      </c>
      <c r="B16239" t="s">
        <v>27247</v>
      </c>
      <c r="C16239" s="1" t="str">
        <f>HYPERLINK("http://www.genecards.org/cgi-bin/carddisp.pl?gene=DAAM2","GeneCards")</f>
        <v>GeneCards</v>
      </c>
      <c r="D16239" s="1" t="str">
        <f>HYPERLINK("http://genome-euro.ucsc.edu/cgi-bin/hgTracks?position=212793_at","UCSC")</f>
        <v>UCSC</v>
      </c>
      <c r="E16239" s="1" t="str">
        <f>HYPERLINK("http://www.ncbi.nlm.nih.gov/gene/?term=DAAM2","NCBI")</f>
        <v>NCBI</v>
      </c>
      <c r="F16239">
        <v>0.84</v>
      </c>
      <c r="G16239">
        <v>0.88</v>
      </c>
      <c r="H16239" s="1" t="str">
        <f>HYPERLINK("http://www.weizmann.ac.il/complex/compphys/software/geview/data/figures/212793_at.png","Figure")</f>
        <v>Figure</v>
      </c>
      <c r="I16239">
        <v>1.02</v>
      </c>
      <c r="J16239">
        <v>0.94</v>
      </c>
      <c r="K16239">
        <v>0.98599999999999999</v>
      </c>
      <c r="L16239">
        <v>0.97</v>
      </c>
      <c r="M16239">
        <v>0.96499999999999997</v>
      </c>
      <c r="N16239">
        <v>0.82</v>
      </c>
    </row>
    <row r="16240" spans="1:14" x14ac:dyDescent="0.25">
      <c r="A16240" t="s">
        <v>27248</v>
      </c>
      <c r="B16240" t="s">
        <v>20862</v>
      </c>
      <c r="C16240" s="1" t="str">
        <f>HYPERLINK("http://www.genecards.org/cgi-bin/carddisp.pl?gene=NUP50","GeneCards")</f>
        <v>GeneCards</v>
      </c>
      <c r="D16240" s="1" t="str">
        <f>HYPERLINK("http://genome-euro.ucsc.edu/cgi-bin/hgTracks?position=213682_at","UCSC")</f>
        <v>UCSC</v>
      </c>
      <c r="E16240" s="1" t="str">
        <f>HYPERLINK("http://www.ncbi.nlm.nih.gov/gene/?term=NUP50","NCBI")</f>
        <v>NCBI</v>
      </c>
      <c r="F16240">
        <v>0.84</v>
      </c>
      <c r="G16240">
        <v>0.88</v>
      </c>
      <c r="H16240" s="1" t="str">
        <f>HYPERLINK("http://www.weizmann.ac.il/complex/compphys/software/geview/data/figures/213682_at.png","Figure")</f>
        <v>Figure</v>
      </c>
      <c r="I16240">
        <v>1.1399999999999999</v>
      </c>
      <c r="J16240">
        <v>0.83</v>
      </c>
      <c r="K16240">
        <v>1.05</v>
      </c>
      <c r="L16240">
        <v>0.97</v>
      </c>
      <c r="M16240">
        <v>0.91900000000000004</v>
      </c>
      <c r="N16240">
        <v>0.91</v>
      </c>
    </row>
    <row r="16241" spans="1:14" x14ac:dyDescent="0.25">
      <c r="A16241" t="s">
        <v>27249</v>
      </c>
      <c r="B16241" t="s">
        <v>1959</v>
      </c>
      <c r="C16241" s="1" t="str">
        <f>HYPERLINK("http://www.genecards.org/cgi-bin/carddisp.pl?gene=RPS6","GeneCards")</f>
        <v>GeneCards</v>
      </c>
      <c r="D16241" s="1" t="str">
        <f>HYPERLINK("http://genome-euro.ucsc.edu/cgi-bin/hgTracks?position=209134_s_at","UCSC")</f>
        <v>UCSC</v>
      </c>
      <c r="E16241" s="1" t="str">
        <f>HYPERLINK("http://www.ncbi.nlm.nih.gov/gene/?term=RPS6","NCBI")</f>
        <v>NCBI</v>
      </c>
      <c r="F16241">
        <v>0.84</v>
      </c>
      <c r="G16241">
        <v>0.88</v>
      </c>
      <c r="H16241" s="1" t="str">
        <f>HYPERLINK("http://www.weizmann.ac.il/complex/compphys/software/geview/data/figures/209134_s_at.png","Figure")</f>
        <v>Figure</v>
      </c>
      <c r="I16241">
        <v>0.94</v>
      </c>
      <c r="J16241">
        <v>0.87</v>
      </c>
      <c r="K16241">
        <v>1</v>
      </c>
      <c r="L16241">
        <v>1</v>
      </c>
      <c r="M16241">
        <v>1.07</v>
      </c>
      <c r="N16241">
        <v>0.84</v>
      </c>
    </row>
    <row r="16242" spans="1:14" x14ac:dyDescent="0.25">
      <c r="A16242" t="s">
        <v>27250</v>
      </c>
      <c r="B16242" t="s">
        <v>27251</v>
      </c>
      <c r="C16242" s="1" t="str">
        <f>HYPERLINK("http://www.genecards.org/cgi-bin/carddisp.pl?gene=HSPBAP1","GeneCards")</f>
        <v>GeneCards</v>
      </c>
      <c r="D16242" s="1" t="str">
        <f>HYPERLINK("http://genome-euro.ucsc.edu/cgi-bin/hgTracks?position=219284_at","UCSC")</f>
        <v>UCSC</v>
      </c>
      <c r="E16242" s="1" t="str">
        <f>HYPERLINK("http://www.ncbi.nlm.nih.gov/gene/?term=HSPBAP1","NCBI")</f>
        <v>NCBI</v>
      </c>
      <c r="F16242">
        <v>0.84</v>
      </c>
      <c r="G16242">
        <v>0.88</v>
      </c>
      <c r="H16242" s="1" t="str">
        <f>HYPERLINK("http://www.weizmann.ac.il/complex/compphys/software/geview/data/figures/219284_at.png","Figure")</f>
        <v>Figure</v>
      </c>
      <c r="I16242">
        <v>1.07</v>
      </c>
      <c r="J16242">
        <v>0.96</v>
      </c>
      <c r="K16242">
        <v>0.92300000000000004</v>
      </c>
      <c r="L16242">
        <v>0.94</v>
      </c>
      <c r="M16242">
        <v>0.86099999999999999</v>
      </c>
      <c r="N16242">
        <v>0.83</v>
      </c>
    </row>
    <row r="16243" spans="1:14" x14ac:dyDescent="0.25">
      <c r="A16243" t="s">
        <v>27252</v>
      </c>
      <c r="B16243" t="s">
        <v>20177</v>
      </c>
      <c r="C16243" s="1" t="str">
        <f>HYPERLINK("http://www.genecards.org/cgi-bin/carddisp.pl?gene=C19orf2","GeneCards")</f>
        <v>GeneCards</v>
      </c>
      <c r="D16243" s="1" t="str">
        <f>HYPERLINK("http://genome-euro.ucsc.edu/cgi-bin/hgTracks?position=222266_at","UCSC")</f>
        <v>UCSC</v>
      </c>
      <c r="E16243" s="1" t="str">
        <f>HYPERLINK("http://www.ncbi.nlm.nih.gov/gene/?term=C19orf2","NCBI")</f>
        <v>NCBI</v>
      </c>
      <c r="F16243">
        <v>0.84</v>
      </c>
      <c r="G16243">
        <v>0.88</v>
      </c>
      <c r="H16243" s="1" t="str">
        <f>HYPERLINK("http://www.weizmann.ac.il/complex/compphys/software/geview/data/figures/222266_at.png","Figure")</f>
        <v>Figure</v>
      </c>
      <c r="I16243">
        <v>0.871</v>
      </c>
      <c r="J16243">
        <v>0.88</v>
      </c>
      <c r="K16243">
        <v>1.01</v>
      </c>
      <c r="L16243">
        <v>1</v>
      </c>
      <c r="M16243">
        <v>1.1599999999999999</v>
      </c>
      <c r="N16243">
        <v>0.84</v>
      </c>
    </row>
    <row r="16244" spans="1:14" x14ac:dyDescent="0.25">
      <c r="A16244" t="s">
        <v>27253</v>
      </c>
      <c r="B16244" t="s">
        <v>27254</v>
      </c>
      <c r="C16244" s="1" t="str">
        <f>HYPERLINK("http://www.genecards.org/cgi-bin/carddisp.pl?gene=CEP164","GeneCards")</f>
        <v>GeneCards</v>
      </c>
      <c r="D16244" s="1" t="str">
        <f>HYPERLINK("http://genome-euro.ucsc.edu/cgi-bin/hgTracks?position=204251_s_at","UCSC")</f>
        <v>UCSC</v>
      </c>
      <c r="E16244" s="1" t="str">
        <f>HYPERLINK("http://www.ncbi.nlm.nih.gov/gene/?term=CEP164","NCBI")</f>
        <v>NCBI</v>
      </c>
      <c r="F16244">
        <v>0.84</v>
      </c>
      <c r="G16244">
        <v>0.88</v>
      </c>
      <c r="H16244" s="1" t="str">
        <f>HYPERLINK("http://www.weizmann.ac.il/complex/compphys/software/geview/data/figures/204251_s_at.png","Figure")</f>
        <v>Figure</v>
      </c>
      <c r="I16244">
        <v>1.01</v>
      </c>
      <c r="J16244">
        <v>1</v>
      </c>
      <c r="K16244">
        <v>1.03</v>
      </c>
      <c r="L16244">
        <v>0.85</v>
      </c>
      <c r="M16244">
        <v>1.03</v>
      </c>
      <c r="N16244">
        <v>0.91</v>
      </c>
    </row>
    <row r="16245" spans="1:14" x14ac:dyDescent="0.25">
      <c r="A16245" t="s">
        <v>27255</v>
      </c>
      <c r="B16245" t="s">
        <v>27256</v>
      </c>
      <c r="C16245" s="1" t="str">
        <f>HYPERLINK("http://www.genecards.org/cgi-bin/carddisp.pl?gene=PI4KA","GeneCards")</f>
        <v>GeneCards</v>
      </c>
      <c r="D16245" s="1" t="str">
        <f>HYPERLINK("http://genome-euro.ucsc.edu/cgi-bin/hgTracks?position=207081_s_at","UCSC")</f>
        <v>UCSC</v>
      </c>
      <c r="E16245" s="1" t="str">
        <f>HYPERLINK("http://www.ncbi.nlm.nih.gov/gene/?term=PI4KA","NCBI")</f>
        <v>NCBI</v>
      </c>
      <c r="F16245">
        <v>0.84</v>
      </c>
      <c r="G16245">
        <v>0.88</v>
      </c>
      <c r="H16245" s="1" t="str">
        <f>HYPERLINK("http://www.weizmann.ac.il/complex/compphys/software/geview/data/figures/207081_s_at.png","Figure")</f>
        <v>Figure</v>
      </c>
      <c r="I16245">
        <v>0.873</v>
      </c>
      <c r="J16245">
        <v>0.86</v>
      </c>
      <c r="K16245">
        <v>0.88700000000000001</v>
      </c>
      <c r="L16245">
        <v>0.86</v>
      </c>
      <c r="M16245">
        <v>1.02</v>
      </c>
      <c r="N16245">
        <v>1</v>
      </c>
    </row>
    <row r="16246" spans="1:14" x14ac:dyDescent="0.25">
      <c r="A16246" t="s">
        <v>27257</v>
      </c>
      <c r="B16246" t="s">
        <v>18373</v>
      </c>
      <c r="C16246" s="1" t="str">
        <f>HYPERLINK("http://www.genecards.org/cgi-bin/carddisp.pl?gene=GPLD1","GeneCards")</f>
        <v>GeneCards</v>
      </c>
      <c r="D16246" s="1" t="str">
        <f>HYPERLINK("http://genome-euro.ucsc.edu/cgi-bin/hgTracks?position=206266_at","UCSC")</f>
        <v>UCSC</v>
      </c>
      <c r="E16246" s="1" t="str">
        <f>HYPERLINK("http://www.ncbi.nlm.nih.gov/gene/?term=GPLD1","NCBI")</f>
        <v>NCBI</v>
      </c>
      <c r="F16246">
        <v>0.84</v>
      </c>
      <c r="G16246">
        <v>0.88</v>
      </c>
      <c r="H16246" s="1" t="str">
        <f>HYPERLINK("http://www.weizmann.ac.il/complex/compphys/software/geview/data/figures/206266_at.png","Figure")</f>
        <v>Figure</v>
      </c>
      <c r="I16246">
        <v>1.02</v>
      </c>
      <c r="J16246">
        <v>0.86</v>
      </c>
      <c r="K16246">
        <v>1</v>
      </c>
      <c r="L16246">
        <v>1</v>
      </c>
      <c r="M16246">
        <v>0.98499999999999999</v>
      </c>
      <c r="N16246">
        <v>0.85</v>
      </c>
    </row>
    <row r="16247" spans="1:14" x14ac:dyDescent="0.25">
      <c r="A16247" t="s">
        <v>27258</v>
      </c>
      <c r="B16247" t="s">
        <v>3666</v>
      </c>
      <c r="C16247" s="1" t="str">
        <f>HYPERLINK("http://www.genecards.org/cgi-bin/carddisp.pl?gene=ATP5S","GeneCards")</f>
        <v>GeneCards</v>
      </c>
      <c r="D16247" s="1" t="str">
        <f>HYPERLINK("http://genome-euro.ucsc.edu/cgi-bin/hgTracks?position=206992_s_at","UCSC")</f>
        <v>UCSC</v>
      </c>
      <c r="E16247" s="1" t="str">
        <f>HYPERLINK("http://www.ncbi.nlm.nih.gov/gene/?term=ATP5S","NCBI")</f>
        <v>NCBI</v>
      </c>
      <c r="F16247">
        <v>0.84</v>
      </c>
      <c r="G16247">
        <v>0.88</v>
      </c>
      <c r="H16247" s="1" t="str">
        <f>HYPERLINK("http://www.weizmann.ac.il/complex/compphys/software/geview/data/figures/206992_s_at.png","Figure")</f>
        <v>Figure</v>
      </c>
      <c r="I16247">
        <v>1.01</v>
      </c>
      <c r="J16247">
        <v>0.99</v>
      </c>
      <c r="K16247">
        <v>0.96599999999999997</v>
      </c>
      <c r="L16247">
        <v>0.9</v>
      </c>
      <c r="M16247">
        <v>0.95499999999999996</v>
      </c>
      <c r="N16247">
        <v>0.85</v>
      </c>
    </row>
    <row r="16248" spans="1:14" x14ac:dyDescent="0.25">
      <c r="A16248" t="s">
        <v>27259</v>
      </c>
      <c r="B16248" t="s">
        <v>27260</v>
      </c>
      <c r="C16248" s="1" t="str">
        <f>HYPERLINK("http://www.genecards.org/cgi-bin/carddisp.pl?gene=SERPINF1","GeneCards")</f>
        <v>GeneCards</v>
      </c>
      <c r="D16248" s="1" t="str">
        <f>HYPERLINK("http://genome-euro.ucsc.edu/cgi-bin/hgTracks?position=202283_at","UCSC")</f>
        <v>UCSC</v>
      </c>
      <c r="E16248" s="1" t="str">
        <f>HYPERLINK("http://www.ncbi.nlm.nih.gov/gene/?term=SERPINF1","NCBI")</f>
        <v>NCBI</v>
      </c>
      <c r="F16248">
        <v>0.84</v>
      </c>
      <c r="G16248">
        <v>0.88</v>
      </c>
      <c r="H16248" s="1" t="str">
        <f>HYPERLINK("http://www.weizmann.ac.il/complex/compphys/software/geview/data/figures/202283_at.png","Figure")</f>
        <v>Figure</v>
      </c>
      <c r="I16248">
        <v>0.97499999999999998</v>
      </c>
      <c r="J16248">
        <v>0.99</v>
      </c>
      <c r="K16248">
        <v>1.0900000000000001</v>
      </c>
      <c r="L16248">
        <v>0.9</v>
      </c>
      <c r="M16248">
        <v>1.1100000000000001</v>
      </c>
      <c r="N16248">
        <v>0.85</v>
      </c>
    </row>
    <row r="16249" spans="1:14" x14ac:dyDescent="0.25">
      <c r="A16249" t="s">
        <v>27261</v>
      </c>
      <c r="B16249" t="s">
        <v>27262</v>
      </c>
      <c r="C16249" s="1" t="str">
        <f>HYPERLINK("http://www.genecards.org/cgi-bin/carddisp.pl?gene=CCL25","GeneCards")</f>
        <v>GeneCards</v>
      </c>
      <c r="D16249" s="1" t="str">
        <f>HYPERLINK("http://genome-euro.ucsc.edu/cgi-bin/hgTracks?position=206988_at","UCSC")</f>
        <v>UCSC</v>
      </c>
      <c r="E16249" s="1" t="str">
        <f>HYPERLINK("http://www.ncbi.nlm.nih.gov/gene/?term=CCL25","NCBI")</f>
        <v>NCBI</v>
      </c>
      <c r="F16249">
        <v>0.84</v>
      </c>
      <c r="G16249">
        <v>0.88</v>
      </c>
      <c r="H16249" s="1" t="str">
        <f>HYPERLINK("http://www.weizmann.ac.il/complex/compphys/software/geview/data/figures/206988_at.png","Figure")</f>
        <v>Figure</v>
      </c>
      <c r="I16249">
        <v>0.95</v>
      </c>
      <c r="J16249">
        <v>0.86</v>
      </c>
      <c r="K16249">
        <v>0.95699999999999996</v>
      </c>
      <c r="L16249">
        <v>0.87</v>
      </c>
      <c r="M16249">
        <v>1.01</v>
      </c>
      <c r="N16249">
        <v>1</v>
      </c>
    </row>
    <row r="16250" spans="1:14" x14ac:dyDescent="0.25">
      <c r="A16250" t="s">
        <v>27263</v>
      </c>
      <c r="B16250" t="s">
        <v>17831</v>
      </c>
      <c r="C16250" s="1" t="str">
        <f>HYPERLINK("http://www.genecards.org/cgi-bin/carddisp.pl?gene=NRL","GeneCards")</f>
        <v>GeneCards</v>
      </c>
      <c r="D16250" s="1" t="str">
        <f>HYPERLINK("http://genome-euro.ucsc.edu/cgi-bin/hgTracks?position=206596_s_at","UCSC")</f>
        <v>UCSC</v>
      </c>
      <c r="E16250" s="1" t="str">
        <f>HYPERLINK("http://www.ncbi.nlm.nih.gov/gene/?term=NRL","NCBI")</f>
        <v>NCBI</v>
      </c>
      <c r="F16250">
        <v>0.84</v>
      </c>
      <c r="G16250">
        <v>0.88</v>
      </c>
      <c r="H16250" s="1" t="str">
        <f>HYPERLINK("http://www.weizmann.ac.il/complex/compphys/software/geview/data/figures/206596_s_at.png","Figure")</f>
        <v>Figure</v>
      </c>
      <c r="I16250">
        <v>1.05</v>
      </c>
      <c r="J16250">
        <v>0.83</v>
      </c>
      <c r="K16250">
        <v>1.01</v>
      </c>
      <c r="L16250">
        <v>0.98</v>
      </c>
      <c r="M16250">
        <v>0.96199999999999997</v>
      </c>
      <c r="N16250">
        <v>0.9</v>
      </c>
    </row>
    <row r="16251" spans="1:14" x14ac:dyDescent="0.25">
      <c r="A16251" t="s">
        <v>27264</v>
      </c>
      <c r="B16251" t="s">
        <v>2446</v>
      </c>
      <c r="C16251" s="1" t="str">
        <f>HYPERLINK("http://www.genecards.org/cgi-bin/carddisp.pl?gene=TFAM","GeneCards")</f>
        <v>GeneCards</v>
      </c>
      <c r="D16251" s="1" t="str">
        <f>HYPERLINK("http://genome-euro.ucsc.edu/cgi-bin/hgTracks?position=208541_x_at","UCSC")</f>
        <v>UCSC</v>
      </c>
      <c r="E16251" s="1" t="str">
        <f>HYPERLINK("http://www.ncbi.nlm.nih.gov/gene/?term=TFAM","NCBI")</f>
        <v>NCBI</v>
      </c>
      <c r="F16251">
        <v>0.84</v>
      </c>
      <c r="G16251">
        <v>0.88</v>
      </c>
      <c r="H16251" s="1" t="str">
        <f>HYPERLINK("http://www.weizmann.ac.il/complex/compphys/software/geview/data/figures/208541_x_at.png","Figure")</f>
        <v>Figure</v>
      </c>
      <c r="I16251">
        <v>1.04</v>
      </c>
      <c r="J16251">
        <v>0.91</v>
      </c>
      <c r="K16251">
        <v>0.98599999999999999</v>
      </c>
      <c r="L16251">
        <v>0.99</v>
      </c>
      <c r="M16251">
        <v>0.94599999999999995</v>
      </c>
      <c r="N16251">
        <v>0.83</v>
      </c>
    </row>
    <row r="16252" spans="1:14" x14ac:dyDescent="0.25">
      <c r="A16252" t="s">
        <v>27265</v>
      </c>
      <c r="B16252" t="s">
        <v>27266</v>
      </c>
      <c r="C16252" s="1" t="str">
        <f>HYPERLINK("http://www.genecards.org/cgi-bin/carddisp.pl?gene=WFDC8","GeneCards")</f>
        <v>GeneCards</v>
      </c>
      <c r="D16252" s="1" t="str">
        <f>HYPERLINK("http://genome-euro.ucsc.edu/cgi-bin/hgTracks?position=215276_at","UCSC")</f>
        <v>UCSC</v>
      </c>
      <c r="E16252" s="1" t="str">
        <f>HYPERLINK("http://www.ncbi.nlm.nih.gov/gene/?term=WFDC8","NCBI")</f>
        <v>NCBI</v>
      </c>
      <c r="F16252">
        <v>0.84</v>
      </c>
      <c r="G16252">
        <v>0.88</v>
      </c>
      <c r="H16252" s="1" t="str">
        <f>HYPERLINK("http://www.weizmann.ac.il/complex/compphys/software/geview/data/figures/215276_at.png","Figure")</f>
        <v>Figure</v>
      </c>
      <c r="I16252">
        <v>1.03</v>
      </c>
      <c r="J16252">
        <v>0.9</v>
      </c>
      <c r="K16252">
        <v>0.99199999999999999</v>
      </c>
      <c r="L16252">
        <v>0.99</v>
      </c>
      <c r="M16252">
        <v>0.96299999999999997</v>
      </c>
      <c r="N16252">
        <v>0.83</v>
      </c>
    </row>
    <row r="16253" spans="1:14" x14ac:dyDescent="0.25">
      <c r="A16253" t="s">
        <v>27267</v>
      </c>
      <c r="B16253" t="s">
        <v>27268</v>
      </c>
      <c r="C16253" s="1" t="str">
        <f>HYPERLINK("http://www.genecards.org/cgi-bin/carddisp.pl?gene=SPATS2L","GeneCards")</f>
        <v>GeneCards</v>
      </c>
      <c r="D16253" s="1" t="str">
        <f>HYPERLINK("http://genome-euro.ucsc.edu/cgi-bin/hgTracks?position=222154_s_at","UCSC")</f>
        <v>UCSC</v>
      </c>
      <c r="E16253" s="1" t="str">
        <f>HYPERLINK("http://www.ncbi.nlm.nih.gov/gene/?term=SPATS2L","NCBI")</f>
        <v>NCBI</v>
      </c>
      <c r="F16253">
        <v>0.84</v>
      </c>
      <c r="G16253">
        <v>0.88</v>
      </c>
      <c r="H16253" s="1" t="str">
        <f>HYPERLINK("http://www.weizmann.ac.il/complex/compphys/software/geview/data/figures/222154_s_at.png","Figure")</f>
        <v>Figure</v>
      </c>
      <c r="I16253">
        <v>0.93200000000000005</v>
      </c>
      <c r="J16253">
        <v>0.97</v>
      </c>
      <c r="K16253">
        <v>1.0900000000000001</v>
      </c>
      <c r="L16253">
        <v>0.94</v>
      </c>
      <c r="M16253">
        <v>1.1599999999999999</v>
      </c>
      <c r="N16253">
        <v>0.83</v>
      </c>
    </row>
    <row r="16254" spans="1:14" x14ac:dyDescent="0.25">
      <c r="A16254" t="s">
        <v>27269</v>
      </c>
      <c r="B16254" t="s">
        <v>11425</v>
      </c>
      <c r="C16254" s="1" t="str">
        <f>HYPERLINK("http://www.genecards.org/cgi-bin/carddisp.pl?gene=PRKAR2A","GeneCards")</f>
        <v>GeneCards</v>
      </c>
      <c r="D16254" s="1" t="str">
        <f>HYPERLINK("http://genome-euro.ucsc.edu/cgi-bin/hgTracks?position=204843_s_at","UCSC")</f>
        <v>UCSC</v>
      </c>
      <c r="E16254" s="1" t="str">
        <f>HYPERLINK("http://www.ncbi.nlm.nih.gov/gene/?term=PRKAR2A","NCBI")</f>
        <v>NCBI</v>
      </c>
      <c r="F16254">
        <v>0.84</v>
      </c>
      <c r="G16254">
        <v>0.88</v>
      </c>
      <c r="H16254" s="1" t="str">
        <f>HYPERLINK("http://www.weizmann.ac.il/complex/compphys/software/geview/data/figures/204843_s_at.png","Figure")</f>
        <v>Figure</v>
      </c>
      <c r="I16254">
        <v>1.04</v>
      </c>
      <c r="J16254">
        <v>0.85</v>
      </c>
      <c r="K16254">
        <v>1.03</v>
      </c>
      <c r="L16254">
        <v>0.88</v>
      </c>
      <c r="M16254">
        <v>0.99099999999999999</v>
      </c>
      <c r="N16254">
        <v>0.99</v>
      </c>
    </row>
    <row r="16255" spans="1:14" x14ac:dyDescent="0.25">
      <c r="A16255" t="s">
        <v>27270</v>
      </c>
      <c r="B16255" t="s">
        <v>27271</v>
      </c>
      <c r="C16255" s="1" t="str">
        <f>HYPERLINK("http://www.genecards.org/cgi-bin/carddisp.pl?gene=ZNF639","GeneCards")</f>
        <v>GeneCards</v>
      </c>
      <c r="D16255" s="1" t="str">
        <f>HYPERLINK("http://genome-euro.ucsc.edu/cgi-bin/hgTracks?position=218413_s_at","UCSC")</f>
        <v>UCSC</v>
      </c>
      <c r="E16255" s="1" t="str">
        <f>HYPERLINK("http://www.ncbi.nlm.nih.gov/gene/?term=ZNF639","NCBI")</f>
        <v>NCBI</v>
      </c>
      <c r="F16255">
        <v>0.84</v>
      </c>
      <c r="G16255">
        <v>0.88</v>
      </c>
      <c r="H16255" s="1" t="str">
        <f>HYPERLINK("http://www.weizmann.ac.il/complex/compphys/software/geview/data/figures/218413_s_at.png","Figure")</f>
        <v>Figure</v>
      </c>
      <c r="I16255">
        <v>0.99399999999999999</v>
      </c>
      <c r="J16255">
        <v>0.99</v>
      </c>
      <c r="K16255">
        <v>0.97899999999999998</v>
      </c>
      <c r="L16255">
        <v>0.84</v>
      </c>
      <c r="M16255">
        <v>0.98399999999999999</v>
      </c>
      <c r="N16255">
        <v>0.92</v>
      </c>
    </row>
    <row r="16256" spans="1:14" x14ac:dyDescent="0.25">
      <c r="A16256" t="s">
        <v>27272</v>
      </c>
      <c r="B16256" t="s">
        <v>2059</v>
      </c>
      <c r="C16256" s="1" t="str">
        <f>HYPERLINK("http://www.genecards.org/cgi-bin/carddisp.pl?gene=AGFG2","GeneCards")</f>
        <v>GeneCards</v>
      </c>
      <c r="D16256" s="1" t="str">
        <f>HYPERLINK("http://genome-euro.ucsc.edu/cgi-bin/hgTracks?position=206821_x_at","UCSC")</f>
        <v>UCSC</v>
      </c>
      <c r="E16256" s="1" t="str">
        <f>HYPERLINK("http://www.ncbi.nlm.nih.gov/gene/?term=AGFG2","NCBI")</f>
        <v>NCBI</v>
      </c>
      <c r="F16256">
        <v>0.84</v>
      </c>
      <c r="G16256">
        <v>0.88</v>
      </c>
      <c r="H16256" s="1" t="str">
        <f>HYPERLINK("http://www.weizmann.ac.il/complex/compphys/software/geview/data/figures/206821_x_at.png","Figure")</f>
        <v>Figure</v>
      </c>
      <c r="I16256">
        <v>1.02</v>
      </c>
      <c r="J16256">
        <v>0.95</v>
      </c>
      <c r="K16256">
        <v>1.03</v>
      </c>
      <c r="L16256">
        <v>0.83</v>
      </c>
      <c r="M16256">
        <v>1.01</v>
      </c>
      <c r="N16256">
        <v>0.97</v>
      </c>
    </row>
    <row r="16257" spans="1:14" x14ac:dyDescent="0.25">
      <c r="A16257" t="s">
        <v>27273</v>
      </c>
      <c r="B16257" t="s">
        <v>27274</v>
      </c>
      <c r="C16257" s="1" t="str">
        <f>HYPERLINK("http://www.genecards.org/cgi-bin/carddisp.pl?gene=C20orf43","GeneCards")</f>
        <v>GeneCards</v>
      </c>
      <c r="D16257" s="1" t="str">
        <f>HYPERLINK("http://genome-euro.ucsc.edu/cgi-bin/hgTracks?position=217737_x_at","UCSC")</f>
        <v>UCSC</v>
      </c>
      <c r="E16257" s="1" t="str">
        <f>HYPERLINK("http://www.ncbi.nlm.nih.gov/gene/?term=C20orf43","NCBI")</f>
        <v>NCBI</v>
      </c>
      <c r="F16257">
        <v>0.84</v>
      </c>
      <c r="G16257">
        <v>0.88</v>
      </c>
      <c r="H16257" s="1" t="str">
        <f>HYPERLINK("http://www.weizmann.ac.il/complex/compphys/software/geview/data/figures/217737_x_at.png","Figure")</f>
        <v>Figure</v>
      </c>
      <c r="I16257">
        <v>1.03</v>
      </c>
      <c r="J16257">
        <v>0.97</v>
      </c>
      <c r="K16257">
        <v>0.96</v>
      </c>
      <c r="L16257">
        <v>0.94</v>
      </c>
      <c r="M16257">
        <v>0.93</v>
      </c>
      <c r="N16257">
        <v>0.84</v>
      </c>
    </row>
    <row r="16258" spans="1:14" x14ac:dyDescent="0.25">
      <c r="A16258" t="s">
        <v>27275</v>
      </c>
      <c r="B16258" t="s">
        <v>27276</v>
      </c>
      <c r="C16258" s="1" t="str">
        <f>HYPERLINK("http://www.genecards.org/cgi-bin/carddisp.pl?gene=RPL13A /// RPL13AP5 /// RPL13AP6","GeneCards")</f>
        <v>GeneCards</v>
      </c>
      <c r="D16258" s="1" t="str">
        <f>HYPERLINK("http://genome-euro.ucsc.edu/cgi-bin/hgTracks?position=211942_x_at","UCSC")</f>
        <v>UCSC</v>
      </c>
      <c r="E16258" s="1" t="str">
        <f>HYPERLINK("http://www.ncbi.nlm.nih.gov/gene/?term=RPL13A /// RPL13AP5 /// RPL13AP6","NCBI")</f>
        <v>NCBI</v>
      </c>
      <c r="F16258">
        <v>0.84</v>
      </c>
      <c r="G16258">
        <v>0.88</v>
      </c>
      <c r="H16258" s="1" t="str">
        <f>HYPERLINK("http://www.weizmann.ac.il/complex/compphys/software/geview/data/figures/211942_x_at.png","Figure")</f>
        <v>Figure</v>
      </c>
      <c r="I16258">
        <v>0.997</v>
      </c>
      <c r="J16258">
        <v>1</v>
      </c>
      <c r="K16258">
        <v>1.05</v>
      </c>
      <c r="L16258">
        <v>0.88</v>
      </c>
      <c r="M16258">
        <v>1.06</v>
      </c>
      <c r="N16258">
        <v>0.88</v>
      </c>
    </row>
    <row r="16259" spans="1:14" x14ac:dyDescent="0.25">
      <c r="A16259" t="s">
        <v>27277</v>
      </c>
      <c r="B16259" t="s">
        <v>22379</v>
      </c>
      <c r="C16259" s="1" t="str">
        <f>HYPERLINK("http://www.genecards.org/cgi-bin/carddisp.pl?gene=KLHL22","GeneCards")</f>
        <v>GeneCards</v>
      </c>
      <c r="D16259" s="1" t="str">
        <f>HYPERLINK("http://genome-euro.ucsc.edu/cgi-bin/hgTracks?position=221948_s_at","UCSC")</f>
        <v>UCSC</v>
      </c>
      <c r="E16259" s="1" t="str">
        <f>HYPERLINK("http://www.ncbi.nlm.nih.gov/gene/?term=KLHL22","NCBI")</f>
        <v>NCBI</v>
      </c>
      <c r="F16259">
        <v>0.84</v>
      </c>
      <c r="G16259">
        <v>0.88</v>
      </c>
      <c r="H16259" s="1" t="str">
        <f>HYPERLINK("http://www.weizmann.ac.il/complex/compphys/software/geview/data/figures/221948_s_at.png","Figure")</f>
        <v>Figure</v>
      </c>
      <c r="I16259">
        <v>0.99099999999999999</v>
      </c>
      <c r="J16259">
        <v>0.99</v>
      </c>
      <c r="K16259">
        <v>0.96799999999999997</v>
      </c>
      <c r="L16259">
        <v>0.84</v>
      </c>
      <c r="M16259">
        <v>0.97699999999999998</v>
      </c>
      <c r="N16259">
        <v>0.93</v>
      </c>
    </row>
    <row r="16260" spans="1:14" x14ac:dyDescent="0.25">
      <c r="A16260" t="s">
        <v>27278</v>
      </c>
      <c r="B16260" t="s">
        <v>27279</v>
      </c>
      <c r="C16260" s="1" t="str">
        <f>HYPERLINK("http://www.genecards.org/cgi-bin/carddisp.pl?gene=GPX3","GeneCards")</f>
        <v>GeneCards</v>
      </c>
      <c r="D16260" s="1" t="str">
        <f>HYPERLINK("http://genome-euro.ucsc.edu/cgi-bin/hgTracks?position=201348_at","UCSC")</f>
        <v>UCSC</v>
      </c>
      <c r="E16260" s="1" t="str">
        <f>HYPERLINK("http://www.ncbi.nlm.nih.gov/gene/?term=GPX3","NCBI")</f>
        <v>NCBI</v>
      </c>
      <c r="F16260">
        <v>0.84</v>
      </c>
      <c r="G16260">
        <v>0.88</v>
      </c>
      <c r="H16260" s="1" t="str">
        <f>HYPERLINK("http://www.weizmann.ac.il/complex/compphys/software/geview/data/figures/201348_at.png","Figure")</f>
        <v>Figure</v>
      </c>
      <c r="I16260">
        <v>1.03</v>
      </c>
      <c r="J16260">
        <v>0.83</v>
      </c>
      <c r="K16260">
        <v>1.01</v>
      </c>
      <c r="L16260">
        <v>0.98</v>
      </c>
      <c r="M16260">
        <v>0.98099999999999998</v>
      </c>
      <c r="N16260">
        <v>0.91</v>
      </c>
    </row>
    <row r="16261" spans="1:14" x14ac:dyDescent="0.25">
      <c r="A16261" t="s">
        <v>27280</v>
      </c>
      <c r="B16261" t="s">
        <v>21936</v>
      </c>
      <c r="C16261" s="1" t="str">
        <f>HYPERLINK("http://www.genecards.org/cgi-bin/carddisp.pl?gene=ZNF337","GeneCards")</f>
        <v>GeneCards</v>
      </c>
      <c r="D16261" s="1" t="str">
        <f>HYPERLINK("http://genome-euro.ucsc.edu/cgi-bin/hgTracks?position=214760_at","UCSC")</f>
        <v>UCSC</v>
      </c>
      <c r="E16261" s="1" t="str">
        <f>HYPERLINK("http://www.ncbi.nlm.nih.gov/gene/?term=ZNF337","NCBI")</f>
        <v>NCBI</v>
      </c>
      <c r="F16261">
        <v>0.84</v>
      </c>
      <c r="G16261">
        <v>0.88</v>
      </c>
      <c r="H16261" s="1" t="str">
        <f>HYPERLINK("http://www.weizmann.ac.il/complex/compphys/software/geview/data/figures/214760_at.png","Figure")</f>
        <v>Figure</v>
      </c>
      <c r="I16261">
        <v>0.92800000000000005</v>
      </c>
      <c r="J16261">
        <v>0.83</v>
      </c>
      <c r="K16261">
        <v>0.96499999999999997</v>
      </c>
      <c r="L16261">
        <v>0.95</v>
      </c>
      <c r="M16261">
        <v>1.04</v>
      </c>
      <c r="N16261">
        <v>0.94</v>
      </c>
    </row>
    <row r="16262" spans="1:14" x14ac:dyDescent="0.25">
      <c r="A16262" t="s">
        <v>27281</v>
      </c>
      <c r="B16262" t="s">
        <v>4432</v>
      </c>
      <c r="C16262" s="1" t="str">
        <f>HYPERLINK("http://www.genecards.org/cgi-bin/carddisp.pl?gene=SMC4","GeneCards")</f>
        <v>GeneCards</v>
      </c>
      <c r="D16262" s="1" t="str">
        <f>HYPERLINK("http://genome-euro.ucsc.edu/cgi-bin/hgTracks?position=201664_at","UCSC")</f>
        <v>UCSC</v>
      </c>
      <c r="E16262" s="1" t="str">
        <f>HYPERLINK("http://www.ncbi.nlm.nih.gov/gene/?term=SMC4","NCBI")</f>
        <v>NCBI</v>
      </c>
      <c r="F16262">
        <v>0.84</v>
      </c>
      <c r="G16262">
        <v>0.88</v>
      </c>
      <c r="H16262" s="1" t="str">
        <f>HYPERLINK("http://www.weizmann.ac.il/complex/compphys/software/geview/data/figures/201664_at.png","Figure")</f>
        <v>Figure</v>
      </c>
      <c r="I16262">
        <v>1.1499999999999999</v>
      </c>
      <c r="J16262">
        <v>0.86</v>
      </c>
      <c r="K16262">
        <v>1.1200000000000001</v>
      </c>
      <c r="L16262">
        <v>0.88</v>
      </c>
      <c r="M16262">
        <v>0.97399999999999998</v>
      </c>
      <c r="N16262">
        <v>0.99</v>
      </c>
    </row>
    <row r="16263" spans="1:14" x14ac:dyDescent="0.25">
      <c r="A16263" t="s">
        <v>27282</v>
      </c>
      <c r="B16263" t="s">
        <v>27283</v>
      </c>
      <c r="C16263" s="1" t="str">
        <f>HYPERLINK("http://www.genecards.org/cgi-bin/carddisp.pl?gene=KLHL21","GeneCards")</f>
        <v>GeneCards</v>
      </c>
      <c r="D16263" s="1" t="str">
        <f>HYPERLINK("http://genome-euro.ucsc.edu/cgi-bin/hgTracks?position=203068_at","UCSC")</f>
        <v>UCSC</v>
      </c>
      <c r="E16263" s="1" t="str">
        <f>HYPERLINK("http://www.ncbi.nlm.nih.gov/gene/?term=KLHL21","NCBI")</f>
        <v>NCBI</v>
      </c>
      <c r="F16263">
        <v>0.84</v>
      </c>
      <c r="G16263">
        <v>0.88</v>
      </c>
      <c r="H16263" s="1" t="str">
        <f>HYPERLINK("http://www.weizmann.ac.il/complex/compphys/software/geview/data/figures/203068_at.png","Figure")</f>
        <v>Figure</v>
      </c>
      <c r="I16263">
        <v>1.1000000000000001</v>
      </c>
      <c r="J16263">
        <v>0.84</v>
      </c>
      <c r="K16263">
        <v>1.02</v>
      </c>
      <c r="L16263">
        <v>0.99</v>
      </c>
      <c r="M16263">
        <v>0.93</v>
      </c>
      <c r="N16263">
        <v>0.89</v>
      </c>
    </row>
    <row r="16264" spans="1:14" x14ac:dyDescent="0.25">
      <c r="A16264" t="s">
        <v>27284</v>
      </c>
      <c r="B16264" t="s">
        <v>27285</v>
      </c>
      <c r="C16264" s="1" t="str">
        <f>HYPERLINK("http://www.genecards.org/cgi-bin/carddisp.pl?gene=PRUNE2","GeneCards")</f>
        <v>GeneCards</v>
      </c>
      <c r="D16264" s="1" t="str">
        <f>HYPERLINK("http://genome-euro.ucsc.edu/cgi-bin/hgTracks?position=212805_at","UCSC")</f>
        <v>UCSC</v>
      </c>
      <c r="E16264" s="1" t="str">
        <f>HYPERLINK("http://www.ncbi.nlm.nih.gov/gene/?term=PRUNE2","NCBI")</f>
        <v>NCBI</v>
      </c>
      <c r="F16264">
        <v>0.84</v>
      </c>
      <c r="G16264">
        <v>0.88</v>
      </c>
      <c r="H16264" s="1" t="str">
        <f>HYPERLINK("http://www.weizmann.ac.il/complex/compphys/software/geview/data/figures/212805_at.png","Figure")</f>
        <v>Figure</v>
      </c>
      <c r="I16264">
        <v>0.93600000000000005</v>
      </c>
      <c r="J16264">
        <v>0.91</v>
      </c>
      <c r="K16264">
        <v>1.02</v>
      </c>
      <c r="L16264">
        <v>0.99</v>
      </c>
      <c r="M16264">
        <v>1.0900000000000001</v>
      </c>
      <c r="N16264">
        <v>0.83</v>
      </c>
    </row>
    <row r="16265" spans="1:14" x14ac:dyDescent="0.25">
      <c r="A16265" t="s">
        <v>27286</v>
      </c>
      <c r="B16265" t="s">
        <v>13700</v>
      </c>
      <c r="C16265" s="1" t="str">
        <f>HYPERLINK("http://www.genecards.org/cgi-bin/carddisp.pl?gene=PKD1","GeneCards")</f>
        <v>GeneCards</v>
      </c>
      <c r="D16265" s="1" t="str">
        <f>HYPERLINK("http://genome-euro.ucsc.edu/cgi-bin/hgTracks?position=202328_s_at","UCSC")</f>
        <v>UCSC</v>
      </c>
      <c r="E16265" s="1" t="str">
        <f>HYPERLINK("http://www.ncbi.nlm.nih.gov/gene/?term=PKD1","NCBI")</f>
        <v>NCBI</v>
      </c>
      <c r="F16265">
        <v>0.84</v>
      </c>
      <c r="G16265">
        <v>0.88</v>
      </c>
      <c r="H16265" s="1" t="str">
        <f>HYPERLINK("http://www.weizmann.ac.il/complex/compphys/software/geview/data/figures/202328_s_at.png","Figure")</f>
        <v>Figure</v>
      </c>
      <c r="I16265">
        <v>0.96499999999999997</v>
      </c>
      <c r="J16265">
        <v>0.97</v>
      </c>
      <c r="K16265">
        <v>0.93</v>
      </c>
      <c r="L16265">
        <v>0.83</v>
      </c>
      <c r="M16265">
        <v>0.96299999999999997</v>
      </c>
      <c r="N16265">
        <v>0.96</v>
      </c>
    </row>
    <row r="16266" spans="1:14" x14ac:dyDescent="0.25">
      <c r="A16266" t="s">
        <v>27287</v>
      </c>
      <c r="B16266" t="s">
        <v>13601</v>
      </c>
      <c r="C16266" s="1" t="str">
        <f>HYPERLINK("http://www.genecards.org/cgi-bin/carddisp.pl?gene=SIRPA","GeneCards")</f>
        <v>GeneCards</v>
      </c>
      <c r="D16266" s="1" t="str">
        <f>HYPERLINK("http://genome-euro.ucsc.edu/cgi-bin/hgTracks?position=202896_s_at","UCSC")</f>
        <v>UCSC</v>
      </c>
      <c r="E16266" s="1" t="str">
        <f>HYPERLINK("http://www.ncbi.nlm.nih.gov/gene/?term=SIRPA","NCBI")</f>
        <v>NCBI</v>
      </c>
      <c r="F16266">
        <v>0.84</v>
      </c>
      <c r="G16266">
        <v>0.88</v>
      </c>
      <c r="H16266" s="1" t="str">
        <f>HYPERLINK("http://www.weizmann.ac.il/complex/compphys/software/geview/data/figures/202896_s_at.png","Figure")</f>
        <v>Figure</v>
      </c>
      <c r="I16266">
        <v>0.96899999999999997</v>
      </c>
      <c r="J16266">
        <v>0.96</v>
      </c>
      <c r="K16266">
        <v>1.03</v>
      </c>
      <c r="L16266">
        <v>0.95</v>
      </c>
      <c r="M16266">
        <v>1.06</v>
      </c>
      <c r="N16266">
        <v>0.83</v>
      </c>
    </row>
    <row r="16267" spans="1:14" x14ac:dyDescent="0.25">
      <c r="A16267" t="s">
        <v>27288</v>
      </c>
      <c r="B16267" t="s">
        <v>27289</v>
      </c>
      <c r="C16267" s="1" t="str">
        <f>HYPERLINK("http://www.genecards.org/cgi-bin/carddisp.pl?gene=EGR2","GeneCards")</f>
        <v>GeneCards</v>
      </c>
      <c r="D16267" s="1" t="str">
        <f>HYPERLINK("http://genome-euro.ucsc.edu/cgi-bin/hgTracks?position=205249_at","UCSC")</f>
        <v>UCSC</v>
      </c>
      <c r="E16267" s="1" t="str">
        <f>HYPERLINK("http://www.ncbi.nlm.nih.gov/gene/?term=EGR2","NCBI")</f>
        <v>NCBI</v>
      </c>
      <c r="F16267">
        <v>0.84</v>
      </c>
      <c r="G16267">
        <v>0.88</v>
      </c>
      <c r="H16267" s="1" t="str">
        <f>HYPERLINK("http://www.weizmann.ac.il/complex/compphys/software/geview/data/figures/205249_at.png","Figure")</f>
        <v>Figure</v>
      </c>
      <c r="I16267">
        <v>0.99299999999999999</v>
      </c>
      <c r="J16267">
        <v>0.99</v>
      </c>
      <c r="K16267">
        <v>1.01</v>
      </c>
      <c r="L16267">
        <v>0.92</v>
      </c>
      <c r="M16267">
        <v>1.02</v>
      </c>
      <c r="N16267">
        <v>0.85</v>
      </c>
    </row>
    <row r="16268" spans="1:14" x14ac:dyDescent="0.25">
      <c r="A16268" t="s">
        <v>27290</v>
      </c>
      <c r="B16268" t="s">
        <v>27291</v>
      </c>
      <c r="C16268" s="1" t="str">
        <f>HYPERLINK("http://www.genecards.org/cgi-bin/carddisp.pl?gene=PPAP2A","GeneCards")</f>
        <v>GeneCards</v>
      </c>
      <c r="D16268" s="1" t="str">
        <f>HYPERLINK("http://genome-euro.ucsc.edu/cgi-bin/hgTracks?position=209147_s_at","UCSC")</f>
        <v>UCSC</v>
      </c>
      <c r="E16268" s="1" t="str">
        <f>HYPERLINK("http://www.ncbi.nlm.nih.gov/gene/?term=PPAP2A","NCBI")</f>
        <v>NCBI</v>
      </c>
      <c r="F16268">
        <v>0.84</v>
      </c>
      <c r="G16268">
        <v>0.88</v>
      </c>
      <c r="H16268" s="1" t="str">
        <f>HYPERLINK("http://www.weizmann.ac.il/complex/compphys/software/geview/data/figures/209147_s_at.png","Figure")</f>
        <v>Figure</v>
      </c>
      <c r="I16268">
        <v>1.05</v>
      </c>
      <c r="J16268">
        <v>0.93</v>
      </c>
      <c r="K16268">
        <v>1.07</v>
      </c>
      <c r="L16268">
        <v>0.83</v>
      </c>
      <c r="M16268">
        <v>1.02</v>
      </c>
      <c r="N16268">
        <v>0.99</v>
      </c>
    </row>
    <row r="16269" spans="1:14" x14ac:dyDescent="0.25">
      <c r="A16269" t="s">
        <v>27292</v>
      </c>
      <c r="B16269" t="s">
        <v>10136</v>
      </c>
      <c r="C16269" s="1" t="str">
        <f>HYPERLINK("http://www.genecards.org/cgi-bin/carddisp.pl?gene=MAP7D3","GeneCards")</f>
        <v>GeneCards</v>
      </c>
      <c r="D16269" s="1" t="str">
        <f>HYPERLINK("http://genome-euro.ucsc.edu/cgi-bin/hgTracks?position=219626_at","UCSC")</f>
        <v>UCSC</v>
      </c>
      <c r="E16269" s="1" t="str">
        <f>HYPERLINK("http://www.ncbi.nlm.nih.gov/gene/?term=MAP7D3","NCBI")</f>
        <v>NCBI</v>
      </c>
      <c r="F16269">
        <v>0.84</v>
      </c>
      <c r="G16269">
        <v>0.88</v>
      </c>
      <c r="H16269" s="1" t="str">
        <f>HYPERLINK("http://www.weizmann.ac.il/complex/compphys/software/geview/data/figures/219626_at.png","Figure")</f>
        <v>Figure</v>
      </c>
      <c r="I16269">
        <v>0.94699999999999995</v>
      </c>
      <c r="J16269">
        <v>0.84</v>
      </c>
      <c r="K16269">
        <v>0.98499999999999999</v>
      </c>
      <c r="L16269">
        <v>0.98</v>
      </c>
      <c r="M16269">
        <v>1.04</v>
      </c>
      <c r="N16269">
        <v>0.9</v>
      </c>
    </row>
    <row r="16270" spans="1:14" x14ac:dyDescent="0.25">
      <c r="A16270" t="s">
        <v>27293</v>
      </c>
      <c r="B16270" t="s">
        <v>27294</v>
      </c>
      <c r="C16270" s="1" t="str">
        <f>HYPERLINK("http://www.genecards.org/cgi-bin/carddisp.pl?gene=NARF","GeneCards")</f>
        <v>GeneCards</v>
      </c>
      <c r="D16270" s="1" t="str">
        <f>HYPERLINK("http://genome-euro.ucsc.edu/cgi-bin/hgTracks?position=219862_s_at","UCSC")</f>
        <v>UCSC</v>
      </c>
      <c r="E16270" s="1" t="str">
        <f>HYPERLINK("http://www.ncbi.nlm.nih.gov/gene/?term=NARF","NCBI")</f>
        <v>NCBI</v>
      </c>
      <c r="F16270">
        <v>0.84</v>
      </c>
      <c r="G16270">
        <v>0.88</v>
      </c>
      <c r="H16270" s="1" t="str">
        <f>HYPERLINK("http://www.weizmann.ac.il/complex/compphys/software/geview/data/figures/219862_s_at.png","Figure")</f>
        <v>Figure</v>
      </c>
      <c r="I16270">
        <v>0.98</v>
      </c>
      <c r="J16270">
        <v>0.99</v>
      </c>
      <c r="K16270">
        <v>0.92600000000000005</v>
      </c>
      <c r="L16270">
        <v>0.84</v>
      </c>
      <c r="M16270">
        <v>0.94499999999999995</v>
      </c>
      <c r="N16270">
        <v>0.92</v>
      </c>
    </row>
    <row r="16271" spans="1:14" x14ac:dyDescent="0.25">
      <c r="A16271" t="s">
        <v>27295</v>
      </c>
      <c r="B16271" t="s">
        <v>27296</v>
      </c>
      <c r="C16271" s="1" t="str">
        <f>HYPERLINK("http://www.genecards.org/cgi-bin/carddisp.pl?gene=GPR63","GeneCards")</f>
        <v>GeneCards</v>
      </c>
      <c r="D16271" s="1" t="str">
        <f>HYPERLINK("http://genome-euro.ucsc.edu/cgi-bin/hgTracks?position=220993_s_at","UCSC")</f>
        <v>UCSC</v>
      </c>
      <c r="E16271" s="1" t="str">
        <f>HYPERLINK("http://www.ncbi.nlm.nih.gov/gene/?term=GPR63","NCBI")</f>
        <v>NCBI</v>
      </c>
      <c r="F16271">
        <v>0.84</v>
      </c>
      <c r="G16271">
        <v>0.88</v>
      </c>
      <c r="H16271" s="1" t="str">
        <f>HYPERLINK("http://www.weizmann.ac.il/complex/compphys/software/geview/data/figures/220993_s_at.png","Figure")</f>
        <v>Figure</v>
      </c>
      <c r="I16271">
        <v>0.98699999999999999</v>
      </c>
      <c r="J16271">
        <v>0.84</v>
      </c>
      <c r="K16271">
        <v>0.99199999999999999</v>
      </c>
      <c r="L16271">
        <v>0.92</v>
      </c>
      <c r="M16271">
        <v>1.01</v>
      </c>
      <c r="N16271">
        <v>0.97</v>
      </c>
    </row>
    <row r="16272" spans="1:14" x14ac:dyDescent="0.25">
      <c r="A16272" t="s">
        <v>27297</v>
      </c>
      <c r="B16272" t="s">
        <v>27298</v>
      </c>
      <c r="C16272" s="1" t="str">
        <f>HYPERLINK("http://www.genecards.org/cgi-bin/carddisp.pl?gene=TRIM28","GeneCards")</f>
        <v>GeneCards</v>
      </c>
      <c r="D16272" s="1" t="str">
        <f>HYPERLINK("http://genome-euro.ucsc.edu/cgi-bin/hgTracks?position=200990_at","UCSC")</f>
        <v>UCSC</v>
      </c>
      <c r="E16272" s="1" t="str">
        <f>HYPERLINK("http://www.ncbi.nlm.nih.gov/gene/?term=TRIM28","NCBI")</f>
        <v>NCBI</v>
      </c>
      <c r="F16272">
        <v>0.84</v>
      </c>
      <c r="G16272">
        <v>0.88</v>
      </c>
      <c r="H16272" s="1" t="str">
        <f>HYPERLINK("http://www.weizmann.ac.il/complex/compphys/software/geview/data/figures/200990_at.png","Figure")</f>
        <v>Figure</v>
      </c>
      <c r="I16272">
        <v>1.1100000000000001</v>
      </c>
      <c r="J16272">
        <v>0.92</v>
      </c>
      <c r="K16272">
        <v>1.1399999999999999</v>
      </c>
      <c r="L16272">
        <v>0.83</v>
      </c>
      <c r="M16272">
        <v>1.03</v>
      </c>
      <c r="N16272">
        <v>0.99</v>
      </c>
    </row>
    <row r="16273" spans="1:14" x14ac:dyDescent="0.25">
      <c r="A16273" t="s">
        <v>27299</v>
      </c>
      <c r="B16273" t="s">
        <v>14118</v>
      </c>
      <c r="C16273" s="1" t="str">
        <f>HYPERLINK("http://www.genecards.org/cgi-bin/carddisp.pl?gene=ATF7IP","GeneCards")</f>
        <v>GeneCards</v>
      </c>
      <c r="D16273" s="1" t="str">
        <f>HYPERLINK("http://genome-euro.ucsc.edu/cgi-bin/hgTracks?position=216197_at","UCSC")</f>
        <v>UCSC</v>
      </c>
      <c r="E16273" s="1" t="str">
        <f>HYPERLINK("http://www.ncbi.nlm.nih.gov/gene/?term=ATF7IP","NCBI")</f>
        <v>NCBI</v>
      </c>
      <c r="F16273">
        <v>0.84</v>
      </c>
      <c r="G16273">
        <v>0.88</v>
      </c>
      <c r="H16273" s="1" t="str">
        <f>HYPERLINK("http://www.weizmann.ac.il/complex/compphys/software/geview/data/figures/216197_at.png","Figure")</f>
        <v>Figure</v>
      </c>
      <c r="I16273">
        <v>1.07</v>
      </c>
      <c r="J16273">
        <v>0.86</v>
      </c>
      <c r="K16273">
        <v>1</v>
      </c>
      <c r="L16273">
        <v>1</v>
      </c>
      <c r="M16273">
        <v>0.94</v>
      </c>
      <c r="N16273">
        <v>0.86</v>
      </c>
    </row>
    <row r="16274" spans="1:14" x14ac:dyDescent="0.25">
      <c r="A16274" t="s">
        <v>27300</v>
      </c>
      <c r="B16274" t="s">
        <v>27301</v>
      </c>
      <c r="C16274" s="1" t="str">
        <f>HYPERLINK("http://www.genecards.org/cgi-bin/carddisp.pl?gene=ETV6","GeneCards")</f>
        <v>GeneCards</v>
      </c>
      <c r="D16274" s="1" t="str">
        <f>HYPERLINK("http://genome-euro.ucsc.edu/cgi-bin/hgTracks?position=205585_at","UCSC")</f>
        <v>UCSC</v>
      </c>
      <c r="E16274" s="1" t="str">
        <f>HYPERLINK("http://www.ncbi.nlm.nih.gov/gene/?term=ETV6","NCBI")</f>
        <v>NCBI</v>
      </c>
      <c r="F16274">
        <v>0.85</v>
      </c>
      <c r="G16274">
        <v>0.88</v>
      </c>
      <c r="H16274" s="1" t="str">
        <f>HYPERLINK("http://www.weizmann.ac.il/complex/compphys/software/geview/data/figures/205585_at.png","Figure")</f>
        <v>Figure</v>
      </c>
      <c r="I16274">
        <v>1.03</v>
      </c>
      <c r="J16274">
        <v>0.97</v>
      </c>
      <c r="K16274">
        <v>1.06</v>
      </c>
      <c r="L16274">
        <v>0.83</v>
      </c>
      <c r="M16274">
        <v>1.03</v>
      </c>
      <c r="N16274">
        <v>0.96</v>
      </c>
    </row>
    <row r="16275" spans="1:14" x14ac:dyDescent="0.25">
      <c r="A16275" t="s">
        <v>27302</v>
      </c>
      <c r="B16275" t="s">
        <v>27303</v>
      </c>
      <c r="C16275" s="1" t="str">
        <f>HYPERLINK("http://www.genecards.org/cgi-bin/carddisp.pl?gene=CYP2C19","GeneCards")</f>
        <v>GeneCards</v>
      </c>
      <c r="D16275" s="1" t="str">
        <f>HYPERLINK("http://genome-euro.ucsc.edu/cgi-bin/hgTracks?position=216058_s_at","UCSC")</f>
        <v>UCSC</v>
      </c>
      <c r="E16275" s="1" t="str">
        <f>HYPERLINK("http://www.ncbi.nlm.nih.gov/gene/?term=CYP2C19","NCBI")</f>
        <v>NCBI</v>
      </c>
      <c r="F16275">
        <v>0.85</v>
      </c>
      <c r="G16275">
        <v>0.88</v>
      </c>
      <c r="H16275" s="1" t="str">
        <f>HYPERLINK("http://www.weizmann.ac.il/complex/compphys/software/geview/data/figures/216058_s_at.png","Figure")</f>
        <v>Figure</v>
      </c>
      <c r="I16275">
        <v>1.02</v>
      </c>
      <c r="J16275">
        <v>0.87</v>
      </c>
      <c r="K16275">
        <v>1</v>
      </c>
      <c r="L16275">
        <v>1</v>
      </c>
      <c r="M16275">
        <v>0.97899999999999998</v>
      </c>
      <c r="N16275">
        <v>0.85</v>
      </c>
    </row>
    <row r="16276" spans="1:14" x14ac:dyDescent="0.25">
      <c r="A16276" t="s">
        <v>27304</v>
      </c>
      <c r="B16276" t="s">
        <v>23791</v>
      </c>
      <c r="C16276" s="1" t="str">
        <f>HYPERLINK("http://www.genecards.org/cgi-bin/carddisp.pl?gene=HBA1 /// HBA2","GeneCards")</f>
        <v>GeneCards</v>
      </c>
      <c r="D16276" s="1" t="str">
        <f>HYPERLINK("http://genome-euro.ucsc.edu/cgi-bin/hgTracks?position=214414_x_at","UCSC")</f>
        <v>UCSC</v>
      </c>
      <c r="E16276" s="1" t="str">
        <f>HYPERLINK("http://www.ncbi.nlm.nih.gov/gene/?term=HBA1 /// HBA2","NCBI")</f>
        <v>NCBI</v>
      </c>
      <c r="F16276">
        <v>0.85</v>
      </c>
      <c r="G16276">
        <v>0.88</v>
      </c>
      <c r="H16276" s="1" t="str">
        <f>HYPERLINK("http://www.weizmann.ac.il/complex/compphys/software/geview/data/figures/214414_x_at.png","Figure")</f>
        <v>Figure</v>
      </c>
      <c r="I16276">
        <v>1.74</v>
      </c>
      <c r="J16276">
        <v>0.83</v>
      </c>
      <c r="K16276">
        <v>1.27</v>
      </c>
      <c r="L16276">
        <v>0.96</v>
      </c>
      <c r="M16276">
        <v>0.72699999999999998</v>
      </c>
      <c r="N16276">
        <v>0.93</v>
      </c>
    </row>
    <row r="16277" spans="1:14" x14ac:dyDescent="0.25">
      <c r="A16277" t="s">
        <v>27305</v>
      </c>
      <c r="B16277" t="s">
        <v>101</v>
      </c>
      <c r="C16277" s="1" t="str">
        <f>HYPERLINK("http://www.genecards.org/cgi-bin/carddisp.pl?gene=RRP1B","GeneCards")</f>
        <v>GeneCards</v>
      </c>
      <c r="D16277" s="1" t="str">
        <f>HYPERLINK("http://genome-euro.ucsc.edu/cgi-bin/hgTracks?position=212844_at","UCSC")</f>
        <v>UCSC</v>
      </c>
      <c r="E16277" s="1" t="str">
        <f>HYPERLINK("http://www.ncbi.nlm.nih.gov/gene/?term=RRP1B","NCBI")</f>
        <v>NCBI</v>
      </c>
      <c r="F16277">
        <v>0.85</v>
      </c>
      <c r="G16277">
        <v>0.88</v>
      </c>
      <c r="H16277" s="1" t="str">
        <f>HYPERLINK("http://www.weizmann.ac.il/complex/compphys/software/geview/data/figures/212844_at.png","Figure")</f>
        <v>Figure</v>
      </c>
      <c r="I16277">
        <v>0.90100000000000002</v>
      </c>
      <c r="J16277">
        <v>0.84</v>
      </c>
      <c r="K16277">
        <v>0.94</v>
      </c>
      <c r="L16277">
        <v>0.92</v>
      </c>
      <c r="M16277">
        <v>1.04</v>
      </c>
      <c r="N16277">
        <v>0.97</v>
      </c>
    </row>
    <row r="16278" spans="1:14" x14ac:dyDescent="0.25">
      <c r="A16278" t="s">
        <v>27306</v>
      </c>
      <c r="B16278" t="s">
        <v>8024</v>
      </c>
      <c r="C16278" s="1" t="str">
        <f>HYPERLINK("http://www.genecards.org/cgi-bin/carddisp.pl?gene=RAN","GeneCards")</f>
        <v>GeneCards</v>
      </c>
      <c r="D16278" s="1" t="str">
        <f>HYPERLINK("http://genome-euro.ucsc.edu/cgi-bin/hgTracks?position=200749_at","UCSC")</f>
        <v>UCSC</v>
      </c>
      <c r="E16278" s="1" t="str">
        <f>HYPERLINK("http://www.ncbi.nlm.nih.gov/gene/?term=RAN","NCBI")</f>
        <v>NCBI</v>
      </c>
      <c r="F16278">
        <v>0.85</v>
      </c>
      <c r="G16278">
        <v>0.88</v>
      </c>
      <c r="H16278" s="1" t="str">
        <f>HYPERLINK("http://www.weizmann.ac.il/complex/compphys/software/geview/data/figures/200749_at.png","Figure")</f>
        <v>Figure</v>
      </c>
      <c r="I16278">
        <v>1.04</v>
      </c>
      <c r="J16278">
        <v>0.99</v>
      </c>
      <c r="K16278">
        <v>1.1599999999999999</v>
      </c>
      <c r="L16278">
        <v>0.85</v>
      </c>
      <c r="M16278">
        <v>1.1100000000000001</v>
      </c>
      <c r="N16278">
        <v>0.92</v>
      </c>
    </row>
    <row r="16279" spans="1:14" x14ac:dyDescent="0.25">
      <c r="A16279" t="s">
        <v>27307</v>
      </c>
      <c r="B16279" t="s">
        <v>18762</v>
      </c>
      <c r="C16279" s="1" t="str">
        <f>HYPERLINK("http://www.genecards.org/cgi-bin/carddisp.pl?gene=ACTA2","GeneCards")</f>
        <v>GeneCards</v>
      </c>
      <c r="D16279" s="1" t="str">
        <f>HYPERLINK("http://genome-euro.ucsc.edu/cgi-bin/hgTracks?position=200974_at","UCSC")</f>
        <v>UCSC</v>
      </c>
      <c r="E16279" s="1" t="str">
        <f>HYPERLINK("http://www.ncbi.nlm.nih.gov/gene/?term=ACTA2","NCBI")</f>
        <v>NCBI</v>
      </c>
      <c r="F16279">
        <v>0.85</v>
      </c>
      <c r="G16279">
        <v>0.88</v>
      </c>
      <c r="H16279" s="1" t="str">
        <f>HYPERLINK("http://www.weizmann.ac.il/complex/compphys/software/geview/data/figures/200974_at.png","Figure")</f>
        <v>Figure</v>
      </c>
      <c r="I16279">
        <v>0.96599999999999997</v>
      </c>
      <c r="J16279">
        <v>0.9</v>
      </c>
      <c r="K16279">
        <v>1.01</v>
      </c>
      <c r="L16279">
        <v>0.99</v>
      </c>
      <c r="M16279">
        <v>1.04</v>
      </c>
      <c r="N16279">
        <v>0.84</v>
      </c>
    </row>
    <row r="16280" spans="1:14" x14ac:dyDescent="0.25">
      <c r="A16280" t="s">
        <v>27308</v>
      </c>
      <c r="B16280" t="s">
        <v>27309</v>
      </c>
      <c r="C16280" s="1" t="str">
        <f>HYPERLINK("http://www.genecards.org/cgi-bin/carddisp.pl?gene=HTR1F","GeneCards")</f>
        <v>GeneCards</v>
      </c>
      <c r="D16280" s="1" t="str">
        <f>HYPERLINK("http://genome-euro.ucsc.edu/cgi-bin/hgTracks?position=221458_at","UCSC")</f>
        <v>UCSC</v>
      </c>
      <c r="E16280" s="1" t="str">
        <f>HYPERLINK("http://www.ncbi.nlm.nih.gov/gene/?term=HTR1F","NCBI")</f>
        <v>NCBI</v>
      </c>
      <c r="F16280">
        <v>0.85</v>
      </c>
      <c r="G16280">
        <v>0.88</v>
      </c>
      <c r="H16280" s="1" t="str">
        <f>HYPERLINK("http://www.weizmann.ac.il/complex/compphys/software/geview/data/figures/221458_at.png","Figure")</f>
        <v>Figure</v>
      </c>
      <c r="I16280">
        <v>0.97</v>
      </c>
      <c r="J16280">
        <v>0.88</v>
      </c>
      <c r="K16280">
        <v>0.97199999999999998</v>
      </c>
      <c r="L16280">
        <v>0.86</v>
      </c>
      <c r="M16280">
        <v>1</v>
      </c>
      <c r="N16280">
        <v>1</v>
      </c>
    </row>
    <row r="16281" spans="1:14" x14ac:dyDescent="0.25">
      <c r="A16281" t="s">
        <v>27310</v>
      </c>
      <c r="B16281" t="s">
        <v>27311</v>
      </c>
      <c r="C16281" s="1" t="str">
        <f>HYPERLINK("http://www.genecards.org/cgi-bin/carddisp.pl?gene=NR2F2","GeneCards")</f>
        <v>GeneCards</v>
      </c>
      <c r="D16281" s="1" t="str">
        <f>HYPERLINK("http://genome-euro.ucsc.edu/cgi-bin/hgTracks?position=209121_x_at","UCSC")</f>
        <v>UCSC</v>
      </c>
      <c r="E16281" s="1" t="str">
        <f>HYPERLINK("http://www.ncbi.nlm.nih.gov/gene/?term=NR2F2","NCBI")</f>
        <v>NCBI</v>
      </c>
      <c r="F16281">
        <v>0.85</v>
      </c>
      <c r="G16281">
        <v>0.88</v>
      </c>
      <c r="H16281" s="1" t="str">
        <f>HYPERLINK("http://www.weizmann.ac.il/complex/compphys/software/geview/data/figures/209121_x_at.png","Figure")</f>
        <v>Figure</v>
      </c>
      <c r="I16281">
        <v>1.02</v>
      </c>
      <c r="J16281">
        <v>0.95</v>
      </c>
      <c r="K16281">
        <v>0.98499999999999999</v>
      </c>
      <c r="L16281">
        <v>0.96</v>
      </c>
      <c r="M16281">
        <v>0.96399999999999997</v>
      </c>
      <c r="N16281">
        <v>0.83</v>
      </c>
    </row>
    <row r="16282" spans="1:14" x14ac:dyDescent="0.25">
      <c r="A16282" t="s">
        <v>27312</v>
      </c>
      <c r="B16282" t="s">
        <v>27313</v>
      </c>
      <c r="C16282" s="1" t="str">
        <f>HYPERLINK("http://www.genecards.org/cgi-bin/carddisp.pl?gene=HTR1A","GeneCards")</f>
        <v>GeneCards</v>
      </c>
      <c r="D16282" s="1" t="str">
        <f>HYPERLINK("http://genome-euro.ucsc.edu/cgi-bin/hgTracks?position=221351_at","UCSC")</f>
        <v>UCSC</v>
      </c>
      <c r="E16282" s="1" t="str">
        <f>HYPERLINK("http://www.ncbi.nlm.nih.gov/gene/?term=HTR1A","NCBI")</f>
        <v>NCBI</v>
      </c>
      <c r="F16282">
        <v>0.85</v>
      </c>
      <c r="G16282">
        <v>0.88</v>
      </c>
      <c r="H16282" s="1" t="str">
        <f>HYPERLINK("http://www.weizmann.ac.il/complex/compphys/software/geview/data/figures/221351_at.png","Figure")</f>
        <v>Figure</v>
      </c>
      <c r="I16282">
        <v>1.03</v>
      </c>
      <c r="J16282">
        <v>0.84</v>
      </c>
      <c r="K16282">
        <v>1.01</v>
      </c>
      <c r="L16282">
        <v>0.99</v>
      </c>
      <c r="M16282">
        <v>0.98099999999999998</v>
      </c>
      <c r="N16282">
        <v>0.89</v>
      </c>
    </row>
    <row r="16283" spans="1:14" x14ac:dyDescent="0.25">
      <c r="A16283" t="s">
        <v>27314</v>
      </c>
      <c r="B16283" t="s">
        <v>23957</v>
      </c>
      <c r="C16283" s="1" t="str">
        <f>HYPERLINK("http://www.genecards.org/cgi-bin/carddisp.pl?gene=LONP2","GeneCards")</f>
        <v>GeneCards</v>
      </c>
      <c r="D16283" s="1" t="str">
        <f>HYPERLINK("http://genome-euro.ucsc.edu/cgi-bin/hgTracks?position=221834_at","UCSC")</f>
        <v>UCSC</v>
      </c>
      <c r="E16283" s="1" t="str">
        <f>HYPERLINK("http://www.ncbi.nlm.nih.gov/gene/?term=LONP2","NCBI")</f>
        <v>NCBI</v>
      </c>
      <c r="F16283">
        <v>0.85</v>
      </c>
      <c r="G16283">
        <v>0.88</v>
      </c>
      <c r="H16283" s="1" t="str">
        <f>HYPERLINK("http://www.weizmann.ac.il/complex/compphys/software/geview/data/figures/221834_at.png","Figure")</f>
        <v>Figure</v>
      </c>
      <c r="I16283">
        <v>0.86299999999999999</v>
      </c>
      <c r="J16283">
        <v>0.87</v>
      </c>
      <c r="K16283">
        <v>0.877</v>
      </c>
      <c r="L16283">
        <v>0.87</v>
      </c>
      <c r="M16283">
        <v>1.02</v>
      </c>
      <c r="N16283">
        <v>1</v>
      </c>
    </row>
    <row r="16284" spans="1:14" x14ac:dyDescent="0.25">
      <c r="A16284" t="s">
        <v>27315</v>
      </c>
      <c r="B16284" t="s">
        <v>27316</v>
      </c>
      <c r="C16284" s="1" t="str">
        <f>HYPERLINK("http://www.genecards.org/cgi-bin/carddisp.pl?gene=PTPRT","GeneCards")</f>
        <v>GeneCards</v>
      </c>
      <c r="D16284" s="1" t="str">
        <f>HYPERLINK("http://genome-euro.ucsc.edu/cgi-bin/hgTracks?position=205948_at","UCSC")</f>
        <v>UCSC</v>
      </c>
      <c r="E16284" s="1" t="str">
        <f>HYPERLINK("http://www.ncbi.nlm.nih.gov/gene/?term=PTPRT","NCBI")</f>
        <v>NCBI</v>
      </c>
      <c r="F16284">
        <v>0.85</v>
      </c>
      <c r="G16284">
        <v>0.88</v>
      </c>
      <c r="H16284" s="1" t="str">
        <f>HYPERLINK("http://www.weizmann.ac.il/complex/compphys/software/geview/data/figures/205948_at.png","Figure")</f>
        <v>Figure</v>
      </c>
      <c r="I16284">
        <v>1.01</v>
      </c>
      <c r="J16284">
        <v>0.99</v>
      </c>
      <c r="K16284">
        <v>1.05</v>
      </c>
      <c r="L16284">
        <v>0.85</v>
      </c>
      <c r="M16284">
        <v>1.03</v>
      </c>
      <c r="N16284">
        <v>0.92</v>
      </c>
    </row>
    <row r="16285" spans="1:14" x14ac:dyDescent="0.25">
      <c r="A16285" t="s">
        <v>27317</v>
      </c>
      <c r="B16285" t="s">
        <v>27318</v>
      </c>
      <c r="C16285" s="1" t="str">
        <f>HYPERLINK("http://www.genecards.org/cgi-bin/carddisp.pl?gene=PTK7","GeneCards")</f>
        <v>GeneCards</v>
      </c>
      <c r="D16285" s="1" t="str">
        <f>HYPERLINK("http://genome-euro.ucsc.edu/cgi-bin/hgTracks?position=207011_s_at","UCSC")</f>
        <v>UCSC</v>
      </c>
      <c r="E16285" s="1" t="str">
        <f>HYPERLINK("http://www.ncbi.nlm.nih.gov/gene/?term=PTK7","NCBI")</f>
        <v>NCBI</v>
      </c>
      <c r="F16285">
        <v>0.85</v>
      </c>
      <c r="G16285">
        <v>0.88</v>
      </c>
      <c r="H16285" s="1" t="str">
        <f>HYPERLINK("http://www.weizmann.ac.il/complex/compphys/software/geview/data/figures/207011_s_at.png","Figure")</f>
        <v>Figure</v>
      </c>
      <c r="I16285">
        <v>1.02</v>
      </c>
      <c r="J16285">
        <v>0.96</v>
      </c>
      <c r="K16285">
        <v>1.04</v>
      </c>
      <c r="L16285">
        <v>0.83</v>
      </c>
      <c r="M16285">
        <v>1.02</v>
      </c>
      <c r="N16285">
        <v>0.97</v>
      </c>
    </row>
    <row r="16286" spans="1:14" x14ac:dyDescent="0.25">
      <c r="A16286" t="s">
        <v>27319</v>
      </c>
      <c r="B16286" t="s">
        <v>27320</v>
      </c>
      <c r="C16286" s="1" t="str">
        <f>HYPERLINK("http://www.genecards.org/cgi-bin/carddisp.pl?gene=DBNDD2 /// SYS1 /// SYS1-DBNDD2","GeneCards")</f>
        <v>GeneCards</v>
      </c>
      <c r="D16286" s="1" t="str">
        <f>HYPERLINK("http://genome-euro.ucsc.edu/cgi-bin/hgTracks?position=218094_s_at","UCSC")</f>
        <v>UCSC</v>
      </c>
      <c r="E16286" s="1" t="str">
        <f>HYPERLINK("http://www.ncbi.nlm.nih.gov/gene/?term=DBNDD2 /// SYS1 /// SYS1-DBNDD2","NCBI")</f>
        <v>NCBI</v>
      </c>
      <c r="F16286">
        <v>0.85</v>
      </c>
      <c r="G16286">
        <v>0.88</v>
      </c>
      <c r="H16286" s="1" t="str">
        <f>HYPERLINK("http://www.weizmann.ac.il/complex/compphys/software/geview/data/figures/218094_s_at.png","Figure")</f>
        <v>Figure</v>
      </c>
      <c r="I16286">
        <v>0.98599999999999999</v>
      </c>
      <c r="J16286">
        <v>0.97</v>
      </c>
      <c r="K16286">
        <v>0.96699999999999997</v>
      </c>
      <c r="L16286">
        <v>0.84</v>
      </c>
      <c r="M16286">
        <v>0.98099999999999998</v>
      </c>
      <c r="N16286">
        <v>0.95</v>
      </c>
    </row>
    <row r="16287" spans="1:14" x14ac:dyDescent="0.25">
      <c r="A16287" t="s">
        <v>27321</v>
      </c>
      <c r="B16287" t="s">
        <v>27322</v>
      </c>
      <c r="C16287" s="1" t="str">
        <f>HYPERLINK("http://www.genecards.org/cgi-bin/carddisp.pl?gene=TRIM66","GeneCards")</f>
        <v>GeneCards</v>
      </c>
      <c r="D16287" s="1" t="str">
        <f>HYPERLINK("http://genome-euro.ucsc.edu/cgi-bin/hgTracks?position=213748_at","UCSC")</f>
        <v>UCSC</v>
      </c>
      <c r="E16287" s="1" t="str">
        <f>HYPERLINK("http://www.ncbi.nlm.nih.gov/gene/?term=TRIM66","NCBI")</f>
        <v>NCBI</v>
      </c>
      <c r="F16287">
        <v>0.85</v>
      </c>
      <c r="G16287">
        <v>0.88</v>
      </c>
      <c r="H16287" s="1" t="str">
        <f>HYPERLINK("http://www.weizmann.ac.il/complex/compphys/software/geview/data/figures/213748_at.png","Figure")</f>
        <v>Figure</v>
      </c>
      <c r="I16287">
        <v>1</v>
      </c>
      <c r="J16287">
        <v>1</v>
      </c>
      <c r="K16287">
        <v>1.02</v>
      </c>
      <c r="L16287">
        <v>0.87</v>
      </c>
      <c r="M16287">
        <v>1.02</v>
      </c>
      <c r="N16287">
        <v>0.89</v>
      </c>
    </row>
    <row r="16288" spans="1:14" x14ac:dyDescent="0.25">
      <c r="A16288" t="s">
        <v>27323</v>
      </c>
      <c r="B16288" t="s">
        <v>5773</v>
      </c>
      <c r="C16288" s="1" t="str">
        <f>HYPERLINK("http://www.genecards.org/cgi-bin/carddisp.pl?gene=NRF1","GeneCards")</f>
        <v>GeneCards</v>
      </c>
      <c r="D16288" s="1" t="str">
        <f>HYPERLINK("http://genome-euro.ucsc.edu/cgi-bin/hgTracks?position=204651_at","UCSC")</f>
        <v>UCSC</v>
      </c>
      <c r="E16288" s="1" t="str">
        <f>HYPERLINK("http://www.ncbi.nlm.nih.gov/gene/?term=NRF1","NCBI")</f>
        <v>NCBI</v>
      </c>
      <c r="F16288">
        <v>0.85</v>
      </c>
      <c r="G16288">
        <v>0.88</v>
      </c>
      <c r="H16288" s="1" t="str">
        <f>HYPERLINK("http://www.weizmann.ac.il/complex/compphys/software/geview/data/figures/204651_at.png","Figure")</f>
        <v>Figure</v>
      </c>
      <c r="I16288">
        <v>0.96199999999999997</v>
      </c>
      <c r="J16288">
        <v>0.96</v>
      </c>
      <c r="K16288">
        <v>1.04</v>
      </c>
      <c r="L16288">
        <v>0.95</v>
      </c>
      <c r="M16288">
        <v>1.08</v>
      </c>
      <c r="N16288">
        <v>0.84</v>
      </c>
    </row>
    <row r="16289" spans="1:14" x14ac:dyDescent="0.25">
      <c r="A16289" t="s">
        <v>27324</v>
      </c>
      <c r="B16289" t="s">
        <v>27325</v>
      </c>
      <c r="C16289" s="1" t="str">
        <f>HYPERLINK("http://www.genecards.org/cgi-bin/carddisp.pl?gene=TPST1","GeneCards")</f>
        <v>GeneCards</v>
      </c>
      <c r="D16289" s="1" t="str">
        <f>HYPERLINK("http://genome-euro.ucsc.edu/cgi-bin/hgTracks?position=204140_at","UCSC")</f>
        <v>UCSC</v>
      </c>
      <c r="E16289" s="1" t="str">
        <f>HYPERLINK("http://www.ncbi.nlm.nih.gov/gene/?term=TPST1","NCBI")</f>
        <v>NCBI</v>
      </c>
      <c r="F16289">
        <v>0.85</v>
      </c>
      <c r="G16289">
        <v>0.88</v>
      </c>
      <c r="H16289" s="1" t="str">
        <f>HYPERLINK("http://www.weizmann.ac.il/complex/compphys/software/geview/data/figures/204140_at.png","Figure")</f>
        <v>Figure</v>
      </c>
      <c r="I16289">
        <v>1.05</v>
      </c>
      <c r="J16289">
        <v>0.96</v>
      </c>
      <c r="K16289">
        <v>0.94799999999999995</v>
      </c>
      <c r="L16289">
        <v>0.95</v>
      </c>
      <c r="M16289">
        <v>0.90200000000000002</v>
      </c>
      <c r="N16289">
        <v>0.84</v>
      </c>
    </row>
    <row r="16290" spans="1:14" x14ac:dyDescent="0.25">
      <c r="A16290" t="s">
        <v>27326</v>
      </c>
      <c r="B16290" t="s">
        <v>27327</v>
      </c>
      <c r="C16290" s="1" t="str">
        <f>HYPERLINK("http://www.genecards.org/cgi-bin/carddisp.pl?gene=CAPZA1","GeneCards")</f>
        <v>GeneCards</v>
      </c>
      <c r="D16290" s="1" t="str">
        <f>HYPERLINK("http://genome-euro.ucsc.edu/cgi-bin/hgTracks?position=208374_s_at","UCSC")</f>
        <v>UCSC</v>
      </c>
      <c r="E16290" s="1" t="str">
        <f>HYPERLINK("http://www.ncbi.nlm.nih.gov/gene/?term=CAPZA1","NCBI")</f>
        <v>NCBI</v>
      </c>
      <c r="F16290">
        <v>0.85</v>
      </c>
      <c r="G16290">
        <v>0.88</v>
      </c>
      <c r="H16290" s="1" t="str">
        <f>HYPERLINK("http://www.weizmann.ac.il/complex/compphys/software/geview/data/figures/208374_s_at.png","Figure")</f>
        <v>Figure</v>
      </c>
      <c r="I16290">
        <v>0.93400000000000005</v>
      </c>
      <c r="J16290">
        <v>0.91</v>
      </c>
      <c r="K16290">
        <v>0.92200000000000004</v>
      </c>
      <c r="L16290">
        <v>0.84</v>
      </c>
      <c r="M16290">
        <v>0.98799999999999999</v>
      </c>
      <c r="N16290">
        <v>1</v>
      </c>
    </row>
    <row r="16291" spans="1:14" x14ac:dyDescent="0.25">
      <c r="A16291" t="s">
        <v>27328</v>
      </c>
      <c r="B16291" t="s">
        <v>27329</v>
      </c>
      <c r="C16291" s="1" t="str">
        <f>HYPERLINK("http://www.genecards.org/cgi-bin/carddisp.pl?gene=PILRB","GeneCards")</f>
        <v>GeneCards</v>
      </c>
      <c r="D16291" s="1" t="str">
        <f>HYPERLINK("http://genome-euro.ucsc.edu/cgi-bin/hgTracks?position=220954_s_at","UCSC")</f>
        <v>UCSC</v>
      </c>
      <c r="E16291" s="1" t="str">
        <f>HYPERLINK("http://www.ncbi.nlm.nih.gov/gene/?term=PILRB","NCBI")</f>
        <v>NCBI</v>
      </c>
      <c r="F16291">
        <v>0.85</v>
      </c>
      <c r="G16291">
        <v>0.88</v>
      </c>
      <c r="H16291" s="1" t="str">
        <f>HYPERLINK("http://www.weizmann.ac.il/complex/compphys/software/geview/data/figures/220954_s_at.png","Figure")</f>
        <v>Figure</v>
      </c>
      <c r="I16291">
        <v>0.97699999999999998</v>
      </c>
      <c r="J16291">
        <v>0.99</v>
      </c>
      <c r="K16291">
        <v>1.07</v>
      </c>
      <c r="L16291">
        <v>0.91</v>
      </c>
      <c r="M16291">
        <v>1.1000000000000001</v>
      </c>
      <c r="N16291">
        <v>0.86</v>
      </c>
    </row>
    <row r="16292" spans="1:14" x14ac:dyDescent="0.25">
      <c r="A16292" t="s">
        <v>27330</v>
      </c>
      <c r="B16292" t="s">
        <v>16150</v>
      </c>
      <c r="C16292" s="1" t="str">
        <f>HYPERLINK("http://www.genecards.org/cgi-bin/carddisp.pl?gene=SYNRG","GeneCards")</f>
        <v>GeneCards</v>
      </c>
      <c r="D16292" s="1" t="str">
        <f>HYPERLINK("http://genome-euro.ucsc.edu/cgi-bin/hgTracks?position=221937_at","UCSC")</f>
        <v>UCSC</v>
      </c>
      <c r="E16292" s="1" t="str">
        <f>HYPERLINK("http://www.ncbi.nlm.nih.gov/gene/?term=SYNRG","NCBI")</f>
        <v>NCBI</v>
      </c>
      <c r="F16292">
        <v>0.85</v>
      </c>
      <c r="G16292">
        <v>0.88</v>
      </c>
      <c r="H16292" s="1" t="str">
        <f>HYPERLINK("http://www.weizmann.ac.il/complex/compphys/software/geview/data/figures/221937_at.png","Figure")</f>
        <v>Figure</v>
      </c>
      <c r="I16292">
        <v>0.90200000000000002</v>
      </c>
      <c r="J16292">
        <v>0.84</v>
      </c>
      <c r="K16292">
        <v>0.94199999999999995</v>
      </c>
      <c r="L16292">
        <v>0.92</v>
      </c>
      <c r="M16292">
        <v>1.04</v>
      </c>
      <c r="N16292">
        <v>0.97</v>
      </c>
    </row>
    <row r="16293" spans="1:14" x14ac:dyDescent="0.25">
      <c r="A16293" t="s">
        <v>27331</v>
      </c>
      <c r="B16293" t="s">
        <v>27332</v>
      </c>
      <c r="C16293" s="1" t="str">
        <f>HYPERLINK("http://www.genecards.org/cgi-bin/carddisp.pl?gene=MTMR10","GeneCards")</f>
        <v>GeneCards</v>
      </c>
      <c r="D16293" s="1" t="str">
        <f>HYPERLINK("http://genome-euro.ucsc.edu/cgi-bin/hgTracks?position=220286_at","UCSC")</f>
        <v>UCSC</v>
      </c>
      <c r="E16293" s="1" t="str">
        <f>HYPERLINK("http://www.ncbi.nlm.nih.gov/gene/?term=MTMR10","NCBI")</f>
        <v>NCBI</v>
      </c>
      <c r="F16293">
        <v>0.85</v>
      </c>
      <c r="G16293">
        <v>0.89</v>
      </c>
      <c r="H16293" s="1" t="str">
        <f>HYPERLINK("http://www.weizmann.ac.il/complex/compphys/software/geview/data/figures/220286_at.png","Figure")</f>
        <v>Figure</v>
      </c>
      <c r="I16293">
        <v>1.07</v>
      </c>
      <c r="J16293">
        <v>0.88</v>
      </c>
      <c r="K16293">
        <v>1.06</v>
      </c>
      <c r="L16293">
        <v>0.87</v>
      </c>
      <c r="M16293">
        <v>0.99399999999999999</v>
      </c>
      <c r="N16293">
        <v>1</v>
      </c>
    </row>
    <row r="16294" spans="1:14" x14ac:dyDescent="0.25">
      <c r="A16294" t="s">
        <v>27333</v>
      </c>
      <c r="B16294" t="s">
        <v>27334</v>
      </c>
      <c r="C16294" s="1" t="str">
        <f>HYPERLINK("http://www.genecards.org/cgi-bin/carddisp.pl?gene=RBM6","GeneCards")</f>
        <v>GeneCards</v>
      </c>
      <c r="D16294" s="1" t="str">
        <f>HYPERLINK("http://genome-euro.ucsc.edu/cgi-bin/hgTracks?position=201967_at","UCSC")</f>
        <v>UCSC</v>
      </c>
      <c r="E16294" s="1" t="str">
        <f>HYPERLINK("http://www.ncbi.nlm.nih.gov/gene/?term=RBM6","NCBI")</f>
        <v>NCBI</v>
      </c>
      <c r="F16294">
        <v>0.85</v>
      </c>
      <c r="G16294">
        <v>0.89</v>
      </c>
      <c r="H16294" s="1" t="str">
        <f>HYPERLINK("http://www.weizmann.ac.il/complex/compphys/software/geview/data/figures/201967_at.png","Figure")</f>
        <v>Figure</v>
      </c>
      <c r="I16294">
        <v>1.1100000000000001</v>
      </c>
      <c r="J16294">
        <v>0.87</v>
      </c>
      <c r="K16294">
        <v>1</v>
      </c>
      <c r="L16294">
        <v>1</v>
      </c>
      <c r="M16294">
        <v>0.90700000000000003</v>
      </c>
      <c r="N16294">
        <v>0.86</v>
      </c>
    </row>
    <row r="16295" spans="1:14" x14ac:dyDescent="0.25">
      <c r="A16295" t="s">
        <v>27335</v>
      </c>
      <c r="B16295" t="s">
        <v>27336</v>
      </c>
      <c r="C16295" s="1" t="str">
        <f>HYPERLINK("http://www.genecards.org/cgi-bin/carddisp.pl?gene=C1orf21","GeneCards")</f>
        <v>GeneCards</v>
      </c>
      <c r="D16295" s="1" t="str">
        <f>HYPERLINK("http://genome-euro.ucsc.edu/cgi-bin/hgTracks?position=221272_s_at","UCSC")</f>
        <v>UCSC</v>
      </c>
      <c r="E16295" s="1" t="str">
        <f>HYPERLINK("http://www.ncbi.nlm.nih.gov/gene/?term=C1orf21","NCBI")</f>
        <v>NCBI</v>
      </c>
      <c r="F16295">
        <v>0.85</v>
      </c>
      <c r="G16295">
        <v>0.89</v>
      </c>
      <c r="H16295" s="1" t="str">
        <f>HYPERLINK("http://www.weizmann.ac.il/complex/compphys/software/geview/data/figures/221272_s_at.png","Figure")</f>
        <v>Figure</v>
      </c>
      <c r="I16295">
        <v>1.02</v>
      </c>
      <c r="J16295">
        <v>0.96</v>
      </c>
      <c r="K16295">
        <v>0.98599999999999999</v>
      </c>
      <c r="L16295">
        <v>0.95</v>
      </c>
      <c r="M16295">
        <v>0.97099999999999997</v>
      </c>
      <c r="N16295">
        <v>0.84</v>
      </c>
    </row>
    <row r="16296" spans="1:14" x14ac:dyDescent="0.25">
      <c r="A16296" t="s">
        <v>27337</v>
      </c>
      <c r="B16296" t="s">
        <v>23848</v>
      </c>
      <c r="C16296" s="1" t="str">
        <f>HYPERLINK("http://www.genecards.org/cgi-bin/carddisp.pl?gene=CCNG2","GeneCards")</f>
        <v>GeneCards</v>
      </c>
      <c r="D16296" s="1" t="str">
        <f>HYPERLINK("http://genome-euro.ucsc.edu/cgi-bin/hgTracks?position=211559_s_at","UCSC")</f>
        <v>UCSC</v>
      </c>
      <c r="E16296" s="1" t="str">
        <f>HYPERLINK("http://www.ncbi.nlm.nih.gov/gene/?term=CCNG2","NCBI")</f>
        <v>NCBI</v>
      </c>
      <c r="F16296">
        <v>0.85</v>
      </c>
      <c r="G16296">
        <v>0.89</v>
      </c>
      <c r="H16296" s="1" t="str">
        <f>HYPERLINK("http://www.weizmann.ac.il/complex/compphys/software/geview/data/figures/211559_s_at.png","Figure")</f>
        <v>Figure</v>
      </c>
      <c r="I16296">
        <v>0.98799999999999999</v>
      </c>
      <c r="J16296">
        <v>1</v>
      </c>
      <c r="K16296">
        <v>1.0900000000000001</v>
      </c>
      <c r="L16296">
        <v>0.89</v>
      </c>
      <c r="M16296">
        <v>1.1000000000000001</v>
      </c>
      <c r="N16296">
        <v>0.87</v>
      </c>
    </row>
    <row r="16297" spans="1:14" x14ac:dyDescent="0.25">
      <c r="A16297" t="s">
        <v>27338</v>
      </c>
      <c r="B16297" t="s">
        <v>27339</v>
      </c>
      <c r="C16297" s="1" t="str">
        <f>HYPERLINK("http://www.genecards.org/cgi-bin/carddisp.pl?gene=GSTM2","GeneCards")</f>
        <v>GeneCards</v>
      </c>
      <c r="D16297" s="1" t="str">
        <f>HYPERLINK("http://genome-euro.ucsc.edu/cgi-bin/hgTracks?position=204418_x_at","UCSC")</f>
        <v>UCSC</v>
      </c>
      <c r="E16297" s="1" t="str">
        <f>HYPERLINK("http://www.ncbi.nlm.nih.gov/gene/?term=GSTM2","NCBI")</f>
        <v>NCBI</v>
      </c>
      <c r="F16297">
        <v>0.85</v>
      </c>
      <c r="G16297">
        <v>0.89</v>
      </c>
      <c r="H16297" s="1" t="str">
        <f>HYPERLINK("http://www.weizmann.ac.il/complex/compphys/software/geview/data/figures/204418_x_at.png","Figure")</f>
        <v>Figure</v>
      </c>
      <c r="I16297">
        <v>0.98799999999999999</v>
      </c>
      <c r="J16297">
        <v>1</v>
      </c>
      <c r="K16297">
        <v>1.1200000000000001</v>
      </c>
      <c r="L16297">
        <v>0.89</v>
      </c>
      <c r="M16297">
        <v>1.1299999999999999</v>
      </c>
      <c r="N16297">
        <v>0.88</v>
      </c>
    </row>
    <row r="16298" spans="1:14" x14ac:dyDescent="0.25">
      <c r="A16298" t="s">
        <v>27340</v>
      </c>
      <c r="B16298" t="s">
        <v>27341</v>
      </c>
      <c r="C16298" s="1" t="str">
        <f>HYPERLINK("http://www.genecards.org/cgi-bin/carddisp.pl?gene=FMO1","GeneCards")</f>
        <v>GeneCards</v>
      </c>
      <c r="D16298" s="1" t="str">
        <f>HYPERLINK("http://genome-euro.ucsc.edu/cgi-bin/hgTracks?position=205666_at","UCSC")</f>
        <v>UCSC</v>
      </c>
      <c r="E16298" s="1" t="str">
        <f>HYPERLINK("http://www.ncbi.nlm.nih.gov/gene/?term=FMO1","NCBI")</f>
        <v>NCBI</v>
      </c>
      <c r="F16298">
        <v>0.85</v>
      </c>
      <c r="G16298">
        <v>0.89</v>
      </c>
      <c r="H16298" s="1" t="str">
        <f>HYPERLINK("http://www.weizmann.ac.il/complex/compphys/software/geview/data/figures/205666_at.png","Figure")</f>
        <v>Figure</v>
      </c>
      <c r="I16298">
        <v>0.98599999999999999</v>
      </c>
      <c r="J16298">
        <v>0.9</v>
      </c>
      <c r="K16298">
        <v>1</v>
      </c>
      <c r="L16298">
        <v>0.99</v>
      </c>
      <c r="M16298">
        <v>1.02</v>
      </c>
      <c r="N16298">
        <v>0.84</v>
      </c>
    </row>
    <row r="16299" spans="1:14" x14ac:dyDescent="0.25">
      <c r="A16299" t="s">
        <v>27342</v>
      </c>
      <c r="B16299" t="s">
        <v>27343</v>
      </c>
      <c r="C16299" s="1" t="str">
        <f>HYPERLINK("http://www.genecards.org/cgi-bin/carddisp.pl?gene=SF3A2","GeneCards")</f>
        <v>GeneCards</v>
      </c>
      <c r="D16299" s="1" t="str">
        <f>HYPERLINK("http://genome-euro.ucsc.edu/cgi-bin/hgTracks?position=37462_i_at","UCSC")</f>
        <v>UCSC</v>
      </c>
      <c r="E16299" s="1" t="str">
        <f>HYPERLINK("http://www.ncbi.nlm.nih.gov/gene/?term=SF3A2","NCBI")</f>
        <v>NCBI</v>
      </c>
      <c r="F16299">
        <v>0.85</v>
      </c>
      <c r="G16299">
        <v>0.89</v>
      </c>
      <c r="H16299" s="1" t="str">
        <f>HYPERLINK("http://www.weizmann.ac.il/complex/compphys/software/geview/data/figures/37462_i_at.png","Figure")</f>
        <v>Figure</v>
      </c>
      <c r="I16299">
        <v>0.97399999999999998</v>
      </c>
      <c r="J16299">
        <v>1</v>
      </c>
      <c r="K16299">
        <v>1.1200000000000001</v>
      </c>
      <c r="L16299">
        <v>0.9</v>
      </c>
      <c r="M16299">
        <v>1.1499999999999999</v>
      </c>
      <c r="N16299">
        <v>0.87</v>
      </c>
    </row>
    <row r="16300" spans="1:14" x14ac:dyDescent="0.25">
      <c r="A16300" t="s">
        <v>27344</v>
      </c>
      <c r="B16300" t="s">
        <v>22947</v>
      </c>
      <c r="C16300" s="1" t="str">
        <f>HYPERLINK("http://www.genecards.org/cgi-bin/carddisp.pl?gene=NCRNA00094","GeneCards")</f>
        <v>GeneCards</v>
      </c>
      <c r="D16300" s="1" t="str">
        <f>HYPERLINK("http://genome-euro.ucsc.edu/cgi-bin/hgTracks?position=213788_s_at","UCSC")</f>
        <v>UCSC</v>
      </c>
      <c r="E16300" s="1" t="str">
        <f>HYPERLINK("http://www.ncbi.nlm.nih.gov/gene/?term=NCRNA00094","NCBI")</f>
        <v>NCBI</v>
      </c>
      <c r="F16300">
        <v>0.85</v>
      </c>
      <c r="G16300">
        <v>0.89</v>
      </c>
      <c r="H16300" s="1" t="str">
        <f>HYPERLINK("http://www.weizmann.ac.il/complex/compphys/software/geview/data/figures/213788_s_at.png","Figure")</f>
        <v>Figure</v>
      </c>
      <c r="I16300">
        <v>0.96799999999999997</v>
      </c>
      <c r="J16300">
        <v>0.9</v>
      </c>
      <c r="K16300">
        <v>1.01</v>
      </c>
      <c r="L16300">
        <v>0.99</v>
      </c>
      <c r="M16300">
        <v>1.04</v>
      </c>
      <c r="N16300">
        <v>0.84</v>
      </c>
    </row>
    <row r="16301" spans="1:14" x14ac:dyDescent="0.25">
      <c r="A16301" t="s">
        <v>27345</v>
      </c>
      <c r="B16301" t="s">
        <v>21485</v>
      </c>
      <c r="C16301" s="1" t="str">
        <f>HYPERLINK("http://www.genecards.org/cgi-bin/carddisp.pl?gene=C6orf106","GeneCards")</f>
        <v>GeneCards</v>
      </c>
      <c r="D16301" s="1" t="str">
        <f>HYPERLINK("http://genome-euro.ucsc.edu/cgi-bin/hgTracks?position=217925_s_at","UCSC")</f>
        <v>UCSC</v>
      </c>
      <c r="E16301" s="1" t="str">
        <f>HYPERLINK("http://www.ncbi.nlm.nih.gov/gene/?term=C6orf106","NCBI")</f>
        <v>NCBI</v>
      </c>
      <c r="F16301">
        <v>0.85</v>
      </c>
      <c r="G16301">
        <v>0.89</v>
      </c>
      <c r="H16301" s="1" t="str">
        <f>HYPERLINK("http://www.weizmann.ac.il/complex/compphys/software/geview/data/figures/217925_s_at.png","Figure")</f>
        <v>Figure</v>
      </c>
      <c r="I16301">
        <v>0.96499999999999997</v>
      </c>
      <c r="J16301">
        <v>0.94</v>
      </c>
      <c r="K16301">
        <v>0.94699999999999995</v>
      </c>
      <c r="L16301">
        <v>0.84</v>
      </c>
      <c r="M16301">
        <v>0.98199999999999998</v>
      </c>
      <c r="N16301">
        <v>0.98</v>
      </c>
    </row>
    <row r="16302" spans="1:14" x14ac:dyDescent="0.25">
      <c r="A16302" t="s">
        <v>27346</v>
      </c>
      <c r="B16302" t="s">
        <v>27347</v>
      </c>
      <c r="C16302" s="1" t="str">
        <f>HYPERLINK("http://www.genecards.org/cgi-bin/carddisp.pl?gene=C19orf40","GeneCards")</f>
        <v>GeneCards</v>
      </c>
      <c r="D16302" s="1" t="str">
        <f>HYPERLINK("http://genome-euro.ucsc.edu/cgi-bin/hgTracks?position=214816_x_at","UCSC")</f>
        <v>UCSC</v>
      </c>
      <c r="E16302" s="1" t="str">
        <f>HYPERLINK("http://www.ncbi.nlm.nih.gov/gene/?term=C19orf40","NCBI")</f>
        <v>NCBI</v>
      </c>
      <c r="F16302">
        <v>0.85</v>
      </c>
      <c r="G16302">
        <v>0.89</v>
      </c>
      <c r="H16302" s="1" t="str">
        <f>HYPERLINK("http://www.weizmann.ac.il/complex/compphys/software/geview/data/figures/214816_x_at.png","Figure")</f>
        <v>Figure</v>
      </c>
      <c r="I16302">
        <v>0.96199999999999997</v>
      </c>
      <c r="J16302">
        <v>0.9</v>
      </c>
      <c r="K16302">
        <v>0.95899999999999996</v>
      </c>
      <c r="L16302">
        <v>0.85</v>
      </c>
      <c r="M16302">
        <v>0.997</v>
      </c>
      <c r="N16302">
        <v>1</v>
      </c>
    </row>
    <row r="16303" spans="1:14" x14ac:dyDescent="0.25">
      <c r="A16303" t="s">
        <v>27348</v>
      </c>
      <c r="B16303" t="s">
        <v>27349</v>
      </c>
      <c r="C16303" s="1" t="str">
        <f>HYPERLINK("http://www.genecards.org/cgi-bin/carddisp.pl?gene=HTR5A","GeneCards")</f>
        <v>GeneCards</v>
      </c>
      <c r="D16303" s="1" t="str">
        <f>HYPERLINK("http://genome-euro.ucsc.edu/cgi-bin/hgTracks?position=221362_at","UCSC")</f>
        <v>UCSC</v>
      </c>
      <c r="E16303" s="1" t="str">
        <f>HYPERLINK("http://www.ncbi.nlm.nih.gov/gene/?term=HTR5A","NCBI")</f>
        <v>NCBI</v>
      </c>
      <c r="F16303">
        <v>0.85</v>
      </c>
      <c r="G16303">
        <v>0.89</v>
      </c>
      <c r="H16303" s="1" t="str">
        <f>HYPERLINK("http://www.weizmann.ac.il/complex/compphys/software/geview/data/figures/221362_at.png","Figure")</f>
        <v>Figure</v>
      </c>
      <c r="I16303">
        <v>0.99299999999999999</v>
      </c>
      <c r="J16303">
        <v>0.99</v>
      </c>
      <c r="K16303">
        <v>1.02</v>
      </c>
      <c r="L16303">
        <v>0.91</v>
      </c>
      <c r="M16303">
        <v>1.03</v>
      </c>
      <c r="N16303">
        <v>0.86</v>
      </c>
    </row>
    <row r="16304" spans="1:14" x14ac:dyDescent="0.25">
      <c r="A16304" t="s">
        <v>27350</v>
      </c>
      <c r="B16304" t="s">
        <v>25413</v>
      </c>
      <c r="C16304" s="1" t="str">
        <f>HYPERLINK("http://www.genecards.org/cgi-bin/carddisp.pl?gene=SNRPB","GeneCards")</f>
        <v>GeneCards</v>
      </c>
      <c r="D16304" s="1" t="str">
        <f>HYPERLINK("http://genome-euro.ucsc.edu/cgi-bin/hgTracks?position=208821_at","UCSC")</f>
        <v>UCSC</v>
      </c>
      <c r="E16304" s="1" t="str">
        <f>HYPERLINK("http://www.ncbi.nlm.nih.gov/gene/?term=SNRPB","NCBI")</f>
        <v>NCBI</v>
      </c>
      <c r="F16304">
        <v>0.85</v>
      </c>
      <c r="G16304">
        <v>0.89</v>
      </c>
      <c r="H16304" s="1" t="str">
        <f>HYPERLINK("http://www.weizmann.ac.il/complex/compphys/software/geview/data/figures/208821_at.png","Figure")</f>
        <v>Figure</v>
      </c>
      <c r="I16304">
        <v>0.92500000000000004</v>
      </c>
      <c r="J16304">
        <v>0.84</v>
      </c>
      <c r="K16304">
        <v>0.96699999999999997</v>
      </c>
      <c r="L16304">
        <v>0.96</v>
      </c>
      <c r="M16304">
        <v>1.05</v>
      </c>
      <c r="N16304">
        <v>0.94</v>
      </c>
    </row>
    <row r="16305" spans="1:14" x14ac:dyDescent="0.25">
      <c r="A16305" t="s">
        <v>27351</v>
      </c>
      <c r="B16305" t="s">
        <v>27352</v>
      </c>
      <c r="C16305" s="1" t="str">
        <f>HYPERLINK("http://www.genecards.org/cgi-bin/carddisp.pl?gene=CPSF7","GeneCards")</f>
        <v>GeneCards</v>
      </c>
      <c r="D16305" s="1" t="str">
        <f>HYPERLINK("http://genome-euro.ucsc.edu/cgi-bin/hgTracks?position=217866_at","UCSC")</f>
        <v>UCSC</v>
      </c>
      <c r="E16305" s="1" t="str">
        <f>HYPERLINK("http://www.ncbi.nlm.nih.gov/gene/?term=CPSF7","NCBI")</f>
        <v>NCBI</v>
      </c>
      <c r="F16305">
        <v>0.85</v>
      </c>
      <c r="G16305">
        <v>0.89</v>
      </c>
      <c r="H16305" s="1" t="str">
        <f>HYPERLINK("http://www.weizmann.ac.il/complex/compphys/software/geview/data/figures/217866_at.png","Figure")</f>
        <v>Figure</v>
      </c>
      <c r="I16305">
        <v>0.99199999999999999</v>
      </c>
      <c r="J16305">
        <v>1</v>
      </c>
      <c r="K16305">
        <v>0.95</v>
      </c>
      <c r="L16305">
        <v>0.86</v>
      </c>
      <c r="M16305">
        <v>0.95699999999999996</v>
      </c>
      <c r="N16305">
        <v>0.91</v>
      </c>
    </row>
    <row r="16306" spans="1:14" x14ac:dyDescent="0.25">
      <c r="A16306" t="s">
        <v>27353</v>
      </c>
      <c r="B16306" t="s">
        <v>14457</v>
      </c>
      <c r="C16306" s="1" t="str">
        <f>HYPERLINK("http://www.genecards.org/cgi-bin/carddisp.pl?gene=NHP2L1","GeneCards")</f>
        <v>GeneCards</v>
      </c>
      <c r="D16306" s="1" t="str">
        <f>HYPERLINK("http://genome-euro.ucsc.edu/cgi-bin/hgTracks?position=201076_at","UCSC")</f>
        <v>UCSC</v>
      </c>
      <c r="E16306" s="1" t="str">
        <f>HYPERLINK("http://www.ncbi.nlm.nih.gov/gene/?term=NHP2L1","NCBI")</f>
        <v>NCBI</v>
      </c>
      <c r="F16306">
        <v>0.85</v>
      </c>
      <c r="G16306">
        <v>0.89</v>
      </c>
      <c r="H16306" s="1" t="str">
        <f>HYPERLINK("http://www.weizmann.ac.il/complex/compphys/software/geview/data/figures/201076_at.png","Figure")</f>
        <v>Figure</v>
      </c>
      <c r="I16306">
        <v>1.08</v>
      </c>
      <c r="J16306">
        <v>0.84</v>
      </c>
      <c r="K16306">
        <v>1.03</v>
      </c>
      <c r="L16306">
        <v>0.97</v>
      </c>
      <c r="M16306">
        <v>0.95299999999999996</v>
      </c>
      <c r="N16306">
        <v>0.92</v>
      </c>
    </row>
    <row r="16307" spans="1:14" x14ac:dyDescent="0.25">
      <c r="A16307" t="s">
        <v>27354</v>
      </c>
      <c r="B16307" t="s">
        <v>11404</v>
      </c>
      <c r="C16307" s="1" t="str">
        <f>HYPERLINK("http://www.genecards.org/cgi-bin/carddisp.pl?gene=XRCC5","GeneCards")</f>
        <v>GeneCards</v>
      </c>
      <c r="D16307" s="1" t="str">
        <f>HYPERLINK("http://genome-euro.ucsc.edu/cgi-bin/hgTracks?position=208643_s_at","UCSC")</f>
        <v>UCSC</v>
      </c>
      <c r="E16307" s="1" t="str">
        <f>HYPERLINK("http://www.ncbi.nlm.nih.gov/gene/?term=XRCC5","NCBI")</f>
        <v>NCBI</v>
      </c>
      <c r="F16307">
        <v>0.85</v>
      </c>
      <c r="G16307">
        <v>0.89</v>
      </c>
      <c r="H16307" s="1" t="str">
        <f>HYPERLINK("http://www.weizmann.ac.il/complex/compphys/software/geview/data/figures/208643_s_at.png","Figure")</f>
        <v>Figure</v>
      </c>
      <c r="I16307">
        <v>1.01</v>
      </c>
      <c r="J16307">
        <v>1</v>
      </c>
      <c r="K16307">
        <v>1.08</v>
      </c>
      <c r="L16307">
        <v>0.87</v>
      </c>
      <c r="M16307">
        <v>1.07</v>
      </c>
      <c r="N16307">
        <v>0.9</v>
      </c>
    </row>
    <row r="16308" spans="1:14" x14ac:dyDescent="0.25">
      <c r="A16308" t="s">
        <v>27355</v>
      </c>
      <c r="B16308" t="s">
        <v>6936</v>
      </c>
      <c r="C16308" s="1" t="str">
        <f>HYPERLINK("http://www.genecards.org/cgi-bin/carddisp.pl?gene=COL11A2","GeneCards")</f>
        <v>GeneCards</v>
      </c>
      <c r="D16308" s="1" t="str">
        <f>HYPERLINK("http://genome-euro.ucsc.edu/cgi-bin/hgTracks?position=213870_at","UCSC")</f>
        <v>UCSC</v>
      </c>
      <c r="E16308" s="1" t="str">
        <f>HYPERLINK("http://www.ncbi.nlm.nih.gov/gene/?term=COL11A2","NCBI")</f>
        <v>NCBI</v>
      </c>
      <c r="F16308">
        <v>0.85</v>
      </c>
      <c r="G16308">
        <v>0.89</v>
      </c>
      <c r="H16308" s="1" t="str">
        <f>HYPERLINK("http://www.weizmann.ac.il/complex/compphys/software/geview/data/figures/213870_at.png","Figure")</f>
        <v>Figure</v>
      </c>
      <c r="I16308">
        <v>1.01</v>
      </c>
      <c r="J16308">
        <v>0.98</v>
      </c>
      <c r="K16308">
        <v>0.97899999999999998</v>
      </c>
      <c r="L16308">
        <v>0.93</v>
      </c>
      <c r="M16308">
        <v>0.96499999999999997</v>
      </c>
      <c r="N16308">
        <v>0.85</v>
      </c>
    </row>
    <row r="16309" spans="1:14" x14ac:dyDescent="0.25">
      <c r="A16309" t="s">
        <v>27356</v>
      </c>
      <c r="B16309" t="s">
        <v>27357</v>
      </c>
      <c r="C16309" s="1" t="str">
        <f>HYPERLINK("http://www.genecards.org/cgi-bin/carddisp.pl?gene=TNFSF11","GeneCards")</f>
        <v>GeneCards</v>
      </c>
      <c r="D16309" s="1" t="str">
        <f>HYPERLINK("http://genome-euro.ucsc.edu/cgi-bin/hgTracks?position=211153_s_at","UCSC")</f>
        <v>UCSC</v>
      </c>
      <c r="E16309" s="1" t="str">
        <f>HYPERLINK("http://www.ncbi.nlm.nih.gov/gene/?term=TNFSF11","NCBI")</f>
        <v>NCBI</v>
      </c>
      <c r="F16309">
        <v>0.85</v>
      </c>
      <c r="G16309">
        <v>0.89</v>
      </c>
      <c r="H16309" s="1" t="str">
        <f>HYPERLINK("http://www.weizmann.ac.il/complex/compphys/software/geview/data/figures/211153_s_at.png","Figure")</f>
        <v>Figure</v>
      </c>
      <c r="I16309">
        <v>0.997</v>
      </c>
      <c r="J16309">
        <v>1</v>
      </c>
      <c r="K16309">
        <v>1.02</v>
      </c>
      <c r="L16309">
        <v>0.89</v>
      </c>
      <c r="M16309">
        <v>1.02</v>
      </c>
      <c r="N16309">
        <v>0.88</v>
      </c>
    </row>
    <row r="16310" spans="1:14" x14ac:dyDescent="0.25">
      <c r="A16310" t="s">
        <v>27358</v>
      </c>
      <c r="B16310" t="s">
        <v>27359</v>
      </c>
      <c r="C16310" s="1" t="str">
        <f>HYPERLINK("http://www.genecards.org/cgi-bin/carddisp.pl?gene=IGL@ /// IGLV2-18 /// IGLV2-23 /// LOC100293440","GeneCards")</f>
        <v>GeneCards</v>
      </c>
      <c r="D16310" s="1" t="str">
        <f>HYPERLINK("http://genome-euro.ucsc.edu/cgi-bin/hgTracks?position=216984_x_at","UCSC")</f>
        <v>UCSC</v>
      </c>
      <c r="E16310" s="1" t="str">
        <f>HYPERLINK("http://www.ncbi.nlm.nih.gov/gene/?term=IGL@ /// IGLV2-18 /// IGLV2-23 /// LOC100293440","NCBI")</f>
        <v>NCBI</v>
      </c>
      <c r="F16310">
        <v>0.85</v>
      </c>
      <c r="G16310">
        <v>0.89</v>
      </c>
      <c r="H16310" s="1" t="str">
        <f>HYPERLINK("http://www.weizmann.ac.il/complex/compphys/software/geview/data/figures/216984_x_at.png","Figure")</f>
        <v>Figure</v>
      </c>
      <c r="I16310">
        <v>1.04</v>
      </c>
      <c r="J16310">
        <v>0.97</v>
      </c>
      <c r="K16310">
        <v>0.95399999999999996</v>
      </c>
      <c r="L16310">
        <v>0.94</v>
      </c>
      <c r="M16310">
        <v>0.91600000000000004</v>
      </c>
      <c r="N16310">
        <v>0.84</v>
      </c>
    </row>
    <row r="16311" spans="1:14" x14ac:dyDescent="0.25">
      <c r="A16311" t="s">
        <v>27360</v>
      </c>
      <c r="B16311" t="s">
        <v>4158</v>
      </c>
      <c r="C16311" s="1" t="str">
        <f>HYPERLINK("http://www.genecards.org/cgi-bin/carddisp.pl?gene=AKAP8L","GeneCards")</f>
        <v>GeneCards</v>
      </c>
      <c r="D16311" s="1" t="str">
        <f>HYPERLINK("http://genome-euro.ucsc.edu/cgi-bin/hgTracks?position=218064_s_at","UCSC")</f>
        <v>UCSC</v>
      </c>
      <c r="E16311" s="1" t="str">
        <f>HYPERLINK("http://www.ncbi.nlm.nih.gov/gene/?term=AKAP8L","NCBI")</f>
        <v>NCBI</v>
      </c>
      <c r="F16311">
        <v>0.85</v>
      </c>
      <c r="G16311">
        <v>0.89</v>
      </c>
      <c r="H16311" s="1" t="str">
        <f>HYPERLINK("http://www.weizmann.ac.il/complex/compphys/software/geview/data/figures/218064_s_at.png","Figure")</f>
        <v>Figure</v>
      </c>
      <c r="I16311">
        <v>0.86399999999999999</v>
      </c>
      <c r="J16311">
        <v>0.84</v>
      </c>
      <c r="K16311">
        <v>0.95699999999999996</v>
      </c>
      <c r="L16311">
        <v>0.98</v>
      </c>
      <c r="M16311">
        <v>1.1100000000000001</v>
      </c>
      <c r="N16311">
        <v>0.91</v>
      </c>
    </row>
    <row r="16312" spans="1:14" x14ac:dyDescent="0.25">
      <c r="A16312" t="s">
        <v>27361</v>
      </c>
      <c r="B16312" t="s">
        <v>27362</v>
      </c>
      <c r="C16312" s="1" t="str">
        <f>HYPERLINK("http://www.genecards.org/cgi-bin/carddisp.pl?gene=LDHC","GeneCards")</f>
        <v>GeneCards</v>
      </c>
      <c r="D16312" s="1" t="str">
        <f>HYPERLINK("http://genome-euro.ucsc.edu/cgi-bin/hgTracks?position=207022_s_at","UCSC")</f>
        <v>UCSC</v>
      </c>
      <c r="E16312" s="1" t="str">
        <f>HYPERLINK("http://www.ncbi.nlm.nih.gov/gene/?term=LDHC","NCBI")</f>
        <v>NCBI</v>
      </c>
      <c r="F16312">
        <v>0.85</v>
      </c>
      <c r="G16312">
        <v>0.89</v>
      </c>
      <c r="H16312" s="1" t="str">
        <f>HYPERLINK("http://www.weizmann.ac.il/complex/compphys/software/geview/data/figures/207022_s_at.png","Figure")</f>
        <v>Figure</v>
      </c>
      <c r="I16312">
        <v>1</v>
      </c>
      <c r="J16312">
        <v>1</v>
      </c>
      <c r="K16312">
        <v>1.04</v>
      </c>
      <c r="L16312">
        <v>0.86</v>
      </c>
      <c r="M16312">
        <v>1.03</v>
      </c>
      <c r="N16312">
        <v>0.9</v>
      </c>
    </row>
    <row r="16313" spans="1:14" x14ac:dyDescent="0.25">
      <c r="A16313" t="s">
        <v>27363</v>
      </c>
      <c r="B16313" t="s">
        <v>21988</v>
      </c>
      <c r="C16313" s="1" t="str">
        <f>HYPERLINK("http://www.genecards.org/cgi-bin/carddisp.pl?gene=UROD","GeneCards")</f>
        <v>GeneCards</v>
      </c>
      <c r="D16313" s="1" t="str">
        <f>HYPERLINK("http://genome-euro.ucsc.edu/cgi-bin/hgTracks?position=208970_s_at","UCSC")</f>
        <v>UCSC</v>
      </c>
      <c r="E16313" s="1" t="str">
        <f>HYPERLINK("http://www.ncbi.nlm.nih.gov/gene/?term=UROD","NCBI")</f>
        <v>NCBI</v>
      </c>
      <c r="F16313">
        <v>0.85</v>
      </c>
      <c r="G16313">
        <v>0.89</v>
      </c>
      <c r="H16313" s="1" t="str">
        <f>HYPERLINK("http://www.weizmann.ac.il/complex/compphys/software/geview/data/figures/208970_s_at.png","Figure")</f>
        <v>Figure</v>
      </c>
      <c r="I16313">
        <v>1.03</v>
      </c>
      <c r="J16313">
        <v>0.99</v>
      </c>
      <c r="K16313">
        <v>1.1000000000000001</v>
      </c>
      <c r="L16313">
        <v>0.85</v>
      </c>
      <c r="M16313">
        <v>1.08</v>
      </c>
      <c r="N16313">
        <v>0.93</v>
      </c>
    </row>
    <row r="16314" spans="1:14" x14ac:dyDescent="0.25">
      <c r="A16314" t="s">
        <v>27364</v>
      </c>
      <c r="B16314" t="s">
        <v>14266</v>
      </c>
      <c r="C16314" s="1" t="str">
        <f>HYPERLINK("http://www.genecards.org/cgi-bin/carddisp.pl?gene=ITGA7","GeneCards")</f>
        <v>GeneCards</v>
      </c>
      <c r="D16314" s="1" t="str">
        <f>HYPERLINK("http://genome-euro.ucsc.edu/cgi-bin/hgTracks?position=209663_s_at","UCSC")</f>
        <v>UCSC</v>
      </c>
      <c r="E16314" s="1" t="str">
        <f>HYPERLINK("http://www.ncbi.nlm.nih.gov/gene/?term=ITGA7","NCBI")</f>
        <v>NCBI</v>
      </c>
      <c r="F16314">
        <v>0.85</v>
      </c>
      <c r="G16314">
        <v>0.89</v>
      </c>
      <c r="H16314" s="1" t="str">
        <f>HYPERLINK("http://www.weizmann.ac.il/complex/compphys/software/geview/data/figures/209663_s_at.png","Figure")</f>
        <v>Figure</v>
      </c>
      <c r="I16314">
        <v>0.996</v>
      </c>
      <c r="J16314">
        <v>1</v>
      </c>
      <c r="K16314">
        <v>1.03</v>
      </c>
      <c r="L16314">
        <v>0.89</v>
      </c>
      <c r="M16314">
        <v>1.03</v>
      </c>
      <c r="N16314">
        <v>0.87</v>
      </c>
    </row>
    <row r="16315" spans="1:14" x14ac:dyDescent="0.25">
      <c r="A16315" t="s">
        <v>27365</v>
      </c>
      <c r="B16315" t="s">
        <v>19509</v>
      </c>
      <c r="C16315" s="1" t="str">
        <f>HYPERLINK("http://www.genecards.org/cgi-bin/carddisp.pl?gene=DDX17","GeneCards")</f>
        <v>GeneCards</v>
      </c>
      <c r="D16315" s="1" t="str">
        <f>HYPERLINK("http://genome-euro.ucsc.edu/cgi-bin/hgTracks?position=213998_s_at","UCSC")</f>
        <v>UCSC</v>
      </c>
      <c r="E16315" s="1" t="str">
        <f>HYPERLINK("http://www.ncbi.nlm.nih.gov/gene/?term=DDX17","NCBI")</f>
        <v>NCBI</v>
      </c>
      <c r="F16315">
        <v>0.85</v>
      </c>
      <c r="G16315">
        <v>0.89</v>
      </c>
      <c r="H16315" s="1" t="str">
        <f>HYPERLINK("http://www.weizmann.ac.il/complex/compphys/software/geview/data/figures/213998_s_at.png","Figure")</f>
        <v>Figure</v>
      </c>
      <c r="I16315">
        <v>1.3</v>
      </c>
      <c r="J16315">
        <v>0.84</v>
      </c>
      <c r="K16315">
        <v>1.1100000000000001</v>
      </c>
      <c r="L16315">
        <v>0.97</v>
      </c>
      <c r="M16315">
        <v>0.84899999999999998</v>
      </c>
      <c r="N16315">
        <v>0.93</v>
      </c>
    </row>
    <row r="16316" spans="1:14" x14ac:dyDescent="0.25">
      <c r="A16316" t="s">
        <v>27366</v>
      </c>
      <c r="B16316" t="s">
        <v>8858</v>
      </c>
      <c r="C16316" s="1" t="str">
        <f>HYPERLINK("http://www.genecards.org/cgi-bin/carddisp.pl?gene=PSG1","GeneCards")</f>
        <v>GeneCards</v>
      </c>
      <c r="D16316" s="1" t="str">
        <f>HYPERLINK("http://genome-euro.ucsc.edu/cgi-bin/hgTracks?position=210195_s_at","UCSC")</f>
        <v>UCSC</v>
      </c>
      <c r="E16316" s="1" t="str">
        <f>HYPERLINK("http://www.ncbi.nlm.nih.gov/gene/?term=PSG1","NCBI")</f>
        <v>NCBI</v>
      </c>
      <c r="F16316">
        <v>0.85</v>
      </c>
      <c r="G16316">
        <v>0.89</v>
      </c>
      <c r="H16316" s="1" t="str">
        <f>HYPERLINK("http://www.weizmann.ac.il/complex/compphys/software/geview/data/figures/210195_s_at.png","Figure")</f>
        <v>Figure</v>
      </c>
      <c r="I16316">
        <v>1</v>
      </c>
      <c r="J16316">
        <v>1</v>
      </c>
      <c r="K16316">
        <v>0.99099999999999999</v>
      </c>
      <c r="L16316">
        <v>0.87</v>
      </c>
      <c r="M16316">
        <v>0.99099999999999999</v>
      </c>
      <c r="N16316">
        <v>0.9</v>
      </c>
    </row>
    <row r="16317" spans="1:14" x14ac:dyDescent="0.25">
      <c r="A16317" t="s">
        <v>27367</v>
      </c>
      <c r="B16317" t="s">
        <v>27368</v>
      </c>
      <c r="C16317" s="1" t="str">
        <f>HYPERLINK("http://www.genecards.org/cgi-bin/carddisp.pl?gene=KCNB2","GeneCards")</f>
        <v>GeneCards</v>
      </c>
      <c r="D16317" s="1" t="str">
        <f>HYPERLINK("http://genome-euro.ucsc.edu/cgi-bin/hgTracks?position=208172_s_at","UCSC")</f>
        <v>UCSC</v>
      </c>
      <c r="E16317" s="1" t="str">
        <f>HYPERLINK("http://www.ncbi.nlm.nih.gov/gene/?term=KCNB2","NCBI")</f>
        <v>NCBI</v>
      </c>
      <c r="F16317">
        <v>0.85</v>
      </c>
      <c r="G16317">
        <v>0.89</v>
      </c>
      <c r="H16317" s="1" t="str">
        <f>HYPERLINK("http://www.weizmann.ac.il/complex/compphys/software/geview/data/figures/208172_s_at.png","Figure")</f>
        <v>Figure</v>
      </c>
      <c r="I16317">
        <v>0.96599999999999997</v>
      </c>
      <c r="J16317">
        <v>0.89</v>
      </c>
      <c r="K16317">
        <v>0.96599999999999997</v>
      </c>
      <c r="L16317">
        <v>0.86</v>
      </c>
      <c r="M16317">
        <v>1</v>
      </c>
      <c r="N16317">
        <v>1</v>
      </c>
    </row>
    <row r="16318" spans="1:14" x14ac:dyDescent="0.25">
      <c r="A16318" t="s">
        <v>27369</v>
      </c>
      <c r="B16318" t="s">
        <v>27370</v>
      </c>
      <c r="C16318" s="1" t="str">
        <f>HYPERLINK("http://www.genecards.org/cgi-bin/carddisp.pl?gene=RP11-345P4.4","GeneCards")</f>
        <v>GeneCards</v>
      </c>
      <c r="D16318" s="1" t="str">
        <f>HYPERLINK("http://genome-euro.ucsc.edu/cgi-bin/hgTracks?position=217122_s_at","UCSC")</f>
        <v>UCSC</v>
      </c>
      <c r="E16318" s="1" t="str">
        <f>HYPERLINK("http://www.ncbi.nlm.nih.gov/gene/?term=RP11-345P4.4","NCBI")</f>
        <v>NCBI</v>
      </c>
      <c r="F16318">
        <v>0.85</v>
      </c>
      <c r="G16318">
        <v>0.89</v>
      </c>
      <c r="H16318" s="1" t="str">
        <f>HYPERLINK("http://www.weizmann.ac.il/complex/compphys/software/geview/data/figures/217122_s_at.png","Figure")</f>
        <v>Figure</v>
      </c>
      <c r="I16318">
        <v>0.8</v>
      </c>
      <c r="J16318">
        <v>0.84</v>
      </c>
      <c r="K16318">
        <v>0.93300000000000005</v>
      </c>
      <c r="L16318">
        <v>0.98</v>
      </c>
      <c r="M16318">
        <v>1.17</v>
      </c>
      <c r="N16318">
        <v>0.91</v>
      </c>
    </row>
    <row r="16319" spans="1:14" x14ac:dyDescent="0.25">
      <c r="A16319" t="s">
        <v>27371</v>
      </c>
      <c r="B16319" t="s">
        <v>19545</v>
      </c>
      <c r="C16319" s="1" t="str">
        <f>HYPERLINK("http://www.genecards.org/cgi-bin/carddisp.pl?gene=CD209","GeneCards")</f>
        <v>GeneCards</v>
      </c>
      <c r="D16319" s="1" t="str">
        <f>HYPERLINK("http://genome-euro.ucsc.edu/cgi-bin/hgTracks?position=207278_s_at","UCSC")</f>
        <v>UCSC</v>
      </c>
      <c r="E16319" s="1" t="str">
        <f>HYPERLINK("http://www.ncbi.nlm.nih.gov/gene/?term=CD209","NCBI")</f>
        <v>NCBI</v>
      </c>
      <c r="F16319">
        <v>0.85</v>
      </c>
      <c r="G16319">
        <v>0.89</v>
      </c>
      <c r="H16319" s="1" t="str">
        <f>HYPERLINK("http://www.weizmann.ac.il/complex/compphys/software/geview/data/figures/207278_s_at.png","Figure")</f>
        <v>Figure</v>
      </c>
      <c r="I16319">
        <v>0.98</v>
      </c>
      <c r="J16319">
        <v>0.96</v>
      </c>
      <c r="K16319">
        <v>0.96299999999999997</v>
      </c>
      <c r="L16319">
        <v>0.84</v>
      </c>
      <c r="M16319">
        <v>0.98299999999999998</v>
      </c>
      <c r="N16319">
        <v>0.97</v>
      </c>
    </row>
    <row r="16320" spans="1:14" x14ac:dyDescent="0.25">
      <c r="A16320" t="s">
        <v>27372</v>
      </c>
      <c r="B16320" t="s">
        <v>27373</v>
      </c>
      <c r="C16320" s="1" t="str">
        <f>HYPERLINK("http://www.genecards.org/cgi-bin/carddisp.pl?gene=RAD23A","GeneCards")</f>
        <v>GeneCards</v>
      </c>
      <c r="D16320" s="1" t="str">
        <f>HYPERLINK("http://genome-euro.ucsc.edu/cgi-bin/hgTracks?position=201039_s_at","UCSC")</f>
        <v>UCSC</v>
      </c>
      <c r="E16320" s="1" t="str">
        <f>HYPERLINK("http://www.ncbi.nlm.nih.gov/gene/?term=RAD23A","NCBI")</f>
        <v>NCBI</v>
      </c>
      <c r="F16320">
        <v>0.85</v>
      </c>
      <c r="G16320">
        <v>0.89</v>
      </c>
      <c r="H16320" s="1" t="str">
        <f>HYPERLINK("http://www.weizmann.ac.il/complex/compphys/software/geview/data/figures/201039_s_at.png","Figure")</f>
        <v>Figure</v>
      </c>
      <c r="I16320">
        <v>1.1399999999999999</v>
      </c>
      <c r="J16320">
        <v>0.87</v>
      </c>
      <c r="K16320">
        <v>1.01</v>
      </c>
      <c r="L16320">
        <v>1</v>
      </c>
      <c r="M16320">
        <v>0.88400000000000001</v>
      </c>
      <c r="N16320">
        <v>0.87</v>
      </c>
    </row>
    <row r="16321" spans="1:14" x14ac:dyDescent="0.25">
      <c r="A16321" t="s">
        <v>27374</v>
      </c>
      <c r="B16321" t="s">
        <v>27375</v>
      </c>
      <c r="C16321" s="1" t="str">
        <f>HYPERLINK("http://www.genecards.org/cgi-bin/carddisp.pl?gene=AHCTF1","GeneCards")</f>
        <v>GeneCards</v>
      </c>
      <c r="D16321" s="1" t="str">
        <f>HYPERLINK("http://genome-euro.ucsc.edu/cgi-bin/hgTracks?position=214766_s_at","UCSC")</f>
        <v>UCSC</v>
      </c>
      <c r="E16321" s="1" t="str">
        <f>HYPERLINK("http://www.ncbi.nlm.nih.gov/gene/?term=AHCTF1","NCBI")</f>
        <v>NCBI</v>
      </c>
      <c r="F16321">
        <v>0.85</v>
      </c>
      <c r="G16321">
        <v>0.89</v>
      </c>
      <c r="H16321" s="1" t="str">
        <f>HYPERLINK("http://www.weizmann.ac.il/complex/compphys/software/geview/data/figures/214766_s_at.png","Figure")</f>
        <v>Figure</v>
      </c>
      <c r="I16321">
        <v>0.90200000000000002</v>
      </c>
      <c r="J16321">
        <v>0.95</v>
      </c>
      <c r="K16321">
        <v>0.84599999999999997</v>
      </c>
      <c r="L16321">
        <v>0.84</v>
      </c>
      <c r="M16321">
        <v>0.93700000000000006</v>
      </c>
      <c r="N16321">
        <v>0.98</v>
      </c>
    </row>
    <row r="16322" spans="1:14" x14ac:dyDescent="0.25">
      <c r="A16322" t="s">
        <v>27376</v>
      </c>
      <c r="B16322" t="s">
        <v>2309</v>
      </c>
      <c r="C16322" s="1" t="str">
        <f>HYPERLINK("http://www.genecards.org/cgi-bin/carddisp.pl?gene=KIAA1109","GeneCards")</f>
        <v>GeneCards</v>
      </c>
      <c r="D16322" s="1" t="str">
        <f>HYPERLINK("http://genome-euro.ucsc.edu/cgi-bin/hgTracks?position=216294_s_at","UCSC")</f>
        <v>UCSC</v>
      </c>
      <c r="E16322" s="1" t="str">
        <f>HYPERLINK("http://www.ncbi.nlm.nih.gov/gene/?term=KIAA1109","NCBI")</f>
        <v>NCBI</v>
      </c>
      <c r="F16322">
        <v>0.85</v>
      </c>
      <c r="G16322">
        <v>0.89</v>
      </c>
      <c r="H16322" s="1" t="str">
        <f>HYPERLINK("http://www.weizmann.ac.il/complex/compphys/software/geview/data/figures/216294_s_at.png","Figure")</f>
        <v>Figure</v>
      </c>
      <c r="I16322">
        <v>0.98799999999999999</v>
      </c>
      <c r="J16322">
        <v>0.98</v>
      </c>
      <c r="K16322">
        <v>1.02</v>
      </c>
      <c r="L16322">
        <v>0.92</v>
      </c>
      <c r="M16322">
        <v>1.04</v>
      </c>
      <c r="N16322">
        <v>0.85</v>
      </c>
    </row>
    <row r="16323" spans="1:14" x14ac:dyDescent="0.25">
      <c r="A16323" t="s">
        <v>27377</v>
      </c>
      <c r="B16323" t="s">
        <v>27378</v>
      </c>
      <c r="C16323" s="1" t="str">
        <f>HYPERLINK("http://www.genecards.org/cgi-bin/carddisp.pl?gene=CCDC94","GeneCards")</f>
        <v>GeneCards</v>
      </c>
      <c r="D16323" s="1" t="str">
        <f>HYPERLINK("http://genome-euro.ucsc.edu/cgi-bin/hgTracks?position=204335_at","UCSC")</f>
        <v>UCSC</v>
      </c>
      <c r="E16323" s="1" t="str">
        <f>HYPERLINK("http://www.ncbi.nlm.nih.gov/gene/?term=CCDC94","NCBI")</f>
        <v>NCBI</v>
      </c>
      <c r="F16323">
        <v>0.85</v>
      </c>
      <c r="G16323">
        <v>0.89</v>
      </c>
      <c r="H16323" s="1" t="str">
        <f>HYPERLINK("http://www.weizmann.ac.il/complex/compphys/software/geview/data/figures/204335_at.png","Figure")</f>
        <v>Figure</v>
      </c>
      <c r="I16323">
        <v>1.0900000000000001</v>
      </c>
      <c r="J16323">
        <v>0.92</v>
      </c>
      <c r="K16323">
        <v>0.96799999999999997</v>
      </c>
      <c r="L16323">
        <v>0.99</v>
      </c>
      <c r="M16323">
        <v>0.88500000000000001</v>
      </c>
      <c r="N16323">
        <v>0.84</v>
      </c>
    </row>
    <row r="16324" spans="1:14" x14ac:dyDescent="0.25">
      <c r="A16324" t="s">
        <v>27379</v>
      </c>
      <c r="B16324" t="s">
        <v>27380</v>
      </c>
      <c r="C16324" s="1" t="str">
        <f>HYPERLINK("http://www.genecards.org/cgi-bin/carddisp.pl?gene=C14orf45","GeneCards")</f>
        <v>GeneCards</v>
      </c>
      <c r="D16324" s="1" t="str">
        <f>HYPERLINK("http://genome-euro.ucsc.edu/cgi-bin/hgTracks?position=220173_at","UCSC")</f>
        <v>UCSC</v>
      </c>
      <c r="E16324" s="1" t="str">
        <f>HYPERLINK("http://www.ncbi.nlm.nih.gov/gene/?term=C14orf45","NCBI")</f>
        <v>NCBI</v>
      </c>
      <c r="F16324">
        <v>0.85</v>
      </c>
      <c r="G16324">
        <v>0.89</v>
      </c>
      <c r="H16324" s="1" t="str">
        <f>HYPERLINK("http://www.weizmann.ac.il/complex/compphys/software/geview/data/figures/220173_at.png","Figure")</f>
        <v>Figure</v>
      </c>
      <c r="I16324">
        <v>0.97399999999999998</v>
      </c>
      <c r="J16324">
        <v>0.95</v>
      </c>
      <c r="K16324">
        <v>1.02</v>
      </c>
      <c r="L16324">
        <v>0.96</v>
      </c>
      <c r="M16324">
        <v>1.05</v>
      </c>
      <c r="N16324">
        <v>0.84</v>
      </c>
    </row>
    <row r="16325" spans="1:14" x14ac:dyDescent="0.25">
      <c r="A16325" t="s">
        <v>27381</v>
      </c>
      <c r="B16325" t="s">
        <v>22579</v>
      </c>
      <c r="C16325" s="1" t="str">
        <f>HYPERLINK("http://www.genecards.org/cgi-bin/carddisp.pl?gene=KIF1C","GeneCards")</f>
        <v>GeneCards</v>
      </c>
      <c r="D16325" s="1" t="str">
        <f>HYPERLINK("http://genome-euro.ucsc.edu/cgi-bin/hgTracks?position=209244_s_at","UCSC")</f>
        <v>UCSC</v>
      </c>
      <c r="E16325" s="1" t="str">
        <f>HYPERLINK("http://www.ncbi.nlm.nih.gov/gene/?term=KIF1C","NCBI")</f>
        <v>NCBI</v>
      </c>
      <c r="F16325">
        <v>0.85</v>
      </c>
      <c r="G16325">
        <v>0.89</v>
      </c>
      <c r="H16325" s="1" t="str">
        <f>HYPERLINK("http://www.weizmann.ac.il/complex/compphys/software/geview/data/figures/209244_s_at.png","Figure")</f>
        <v>Figure</v>
      </c>
      <c r="I16325">
        <v>1.01</v>
      </c>
      <c r="J16325">
        <v>0.99</v>
      </c>
      <c r="K16325">
        <v>0.96599999999999997</v>
      </c>
      <c r="L16325">
        <v>0.91</v>
      </c>
      <c r="M16325">
        <v>0.95599999999999996</v>
      </c>
      <c r="N16325">
        <v>0.87</v>
      </c>
    </row>
    <row r="16326" spans="1:14" x14ac:dyDescent="0.25">
      <c r="A16326" t="s">
        <v>27382</v>
      </c>
      <c r="B16326" t="s">
        <v>27383</v>
      </c>
      <c r="C16326" s="1" t="str">
        <f>HYPERLINK("http://www.genecards.org/cgi-bin/carddisp.pl?gene=SKIL","GeneCards")</f>
        <v>GeneCards</v>
      </c>
      <c r="D16326" s="1" t="str">
        <f>HYPERLINK("http://genome-euro.ucsc.edu/cgi-bin/hgTracks?position=217591_at","UCSC")</f>
        <v>UCSC</v>
      </c>
      <c r="E16326" s="1" t="str">
        <f>HYPERLINK("http://www.ncbi.nlm.nih.gov/gene/?term=SKIL","NCBI")</f>
        <v>NCBI</v>
      </c>
      <c r="F16326">
        <v>0.85</v>
      </c>
      <c r="G16326">
        <v>0.89</v>
      </c>
      <c r="H16326" s="1" t="str">
        <f>HYPERLINK("http://www.weizmann.ac.il/complex/compphys/software/geview/data/figures/217591_at.png","Figure")</f>
        <v>Figure</v>
      </c>
      <c r="I16326">
        <v>0.84599999999999997</v>
      </c>
      <c r="J16326">
        <v>0.9</v>
      </c>
      <c r="K16326">
        <v>0.83799999999999997</v>
      </c>
      <c r="L16326">
        <v>0.86</v>
      </c>
      <c r="M16326">
        <v>0.99</v>
      </c>
      <c r="N16326">
        <v>1</v>
      </c>
    </row>
    <row r="16327" spans="1:14" x14ac:dyDescent="0.25">
      <c r="A16327" t="s">
        <v>27384</v>
      </c>
      <c r="B16327" t="s">
        <v>6282</v>
      </c>
      <c r="C16327" s="1" t="str">
        <f>HYPERLINK("http://www.genecards.org/cgi-bin/carddisp.pl?gene=EPS8L1","GeneCards")</f>
        <v>GeneCards</v>
      </c>
      <c r="D16327" s="1" t="str">
        <f>HYPERLINK("http://genome-euro.ucsc.edu/cgi-bin/hgTracks?position=221665_s_at","UCSC")</f>
        <v>UCSC</v>
      </c>
      <c r="E16327" s="1" t="str">
        <f>HYPERLINK("http://www.ncbi.nlm.nih.gov/gene/?term=EPS8L1","NCBI")</f>
        <v>NCBI</v>
      </c>
      <c r="F16327">
        <v>0.85</v>
      </c>
      <c r="G16327">
        <v>0.89</v>
      </c>
      <c r="H16327" s="1" t="str">
        <f>HYPERLINK("http://www.weizmann.ac.il/complex/compphys/software/geview/data/figures/221665_s_at.png","Figure")</f>
        <v>Figure</v>
      </c>
      <c r="I16327">
        <v>1.01</v>
      </c>
      <c r="J16327">
        <v>0.98</v>
      </c>
      <c r="K16327">
        <v>1.02</v>
      </c>
      <c r="L16327">
        <v>0.84</v>
      </c>
      <c r="M16327">
        <v>1.01</v>
      </c>
      <c r="N16327">
        <v>0.95</v>
      </c>
    </row>
    <row r="16328" spans="1:14" x14ac:dyDescent="0.25">
      <c r="A16328" t="s">
        <v>27385</v>
      </c>
      <c r="B16328" t="s">
        <v>27386</v>
      </c>
      <c r="C16328" s="1" t="str">
        <f>HYPERLINK("http://www.genecards.org/cgi-bin/carddisp.pl?gene=C6orf48","GeneCards")</f>
        <v>GeneCards</v>
      </c>
      <c r="D16328" s="1" t="str">
        <f>HYPERLINK("http://genome-euro.ucsc.edu/cgi-bin/hgTracks?position=220755_s_at","UCSC")</f>
        <v>UCSC</v>
      </c>
      <c r="E16328" s="1" t="str">
        <f>HYPERLINK("http://www.ncbi.nlm.nih.gov/gene/?term=C6orf48","NCBI")</f>
        <v>NCBI</v>
      </c>
      <c r="F16328">
        <v>0.85</v>
      </c>
      <c r="G16328">
        <v>0.89</v>
      </c>
      <c r="H16328" s="1" t="str">
        <f>HYPERLINK("http://www.weizmann.ac.il/complex/compphys/software/geview/data/figures/220755_s_at.png","Figure")</f>
        <v>Figure</v>
      </c>
      <c r="I16328">
        <v>0.98599999999999999</v>
      </c>
      <c r="J16328">
        <v>1</v>
      </c>
      <c r="K16328">
        <v>1.1000000000000001</v>
      </c>
      <c r="L16328">
        <v>0.89</v>
      </c>
      <c r="M16328">
        <v>1.1200000000000001</v>
      </c>
      <c r="N16328">
        <v>0.88</v>
      </c>
    </row>
    <row r="16329" spans="1:14" x14ac:dyDescent="0.25">
      <c r="A16329" t="s">
        <v>27387</v>
      </c>
      <c r="B16329" t="s">
        <v>23032</v>
      </c>
      <c r="C16329" s="1" t="str">
        <f>HYPERLINK("http://www.genecards.org/cgi-bin/carddisp.pl?gene=TTC4","GeneCards")</f>
        <v>GeneCards</v>
      </c>
      <c r="D16329" s="1" t="str">
        <f>HYPERLINK("http://genome-euro.ucsc.edu/cgi-bin/hgTracks?position=46167_at","UCSC")</f>
        <v>UCSC</v>
      </c>
      <c r="E16329" s="1" t="str">
        <f>HYPERLINK("http://www.ncbi.nlm.nih.gov/gene/?term=TTC4","NCBI")</f>
        <v>NCBI</v>
      </c>
      <c r="F16329">
        <v>0.85</v>
      </c>
      <c r="G16329">
        <v>0.89</v>
      </c>
      <c r="H16329" s="1" t="str">
        <f>HYPERLINK("http://www.weizmann.ac.il/complex/compphys/software/geview/data/figures/46167_at.png","Figure")</f>
        <v>Figure</v>
      </c>
      <c r="I16329">
        <v>1.03</v>
      </c>
      <c r="J16329">
        <v>0.97</v>
      </c>
      <c r="K16329">
        <v>0.95399999999999996</v>
      </c>
      <c r="L16329">
        <v>0.94</v>
      </c>
      <c r="M16329">
        <v>0.92200000000000004</v>
      </c>
      <c r="N16329">
        <v>0.85</v>
      </c>
    </row>
    <row r="16330" spans="1:14" x14ac:dyDescent="0.25">
      <c r="A16330" t="s">
        <v>27388</v>
      </c>
      <c r="B16330" t="s">
        <v>27389</v>
      </c>
      <c r="C16330" s="1" t="str">
        <f>HYPERLINK("http://www.genecards.org/cgi-bin/carddisp.pl?gene=IFIT2","GeneCards")</f>
        <v>GeneCards</v>
      </c>
      <c r="D16330" s="1" t="str">
        <f>HYPERLINK("http://genome-euro.ucsc.edu/cgi-bin/hgTracks?position=217502_at","UCSC")</f>
        <v>UCSC</v>
      </c>
      <c r="E16330" s="1" t="str">
        <f>HYPERLINK("http://www.ncbi.nlm.nih.gov/gene/?term=IFIT2","NCBI")</f>
        <v>NCBI</v>
      </c>
      <c r="F16330">
        <v>0.85</v>
      </c>
      <c r="G16330">
        <v>0.89</v>
      </c>
      <c r="H16330" s="1" t="str">
        <f>HYPERLINK("http://www.weizmann.ac.il/complex/compphys/software/geview/data/figures/217502_at.png","Figure")</f>
        <v>Figure</v>
      </c>
      <c r="I16330">
        <v>1.07</v>
      </c>
      <c r="J16330">
        <v>0.84</v>
      </c>
      <c r="K16330">
        <v>1.03</v>
      </c>
      <c r="L16330">
        <v>0.97</v>
      </c>
      <c r="M16330">
        <v>0.96</v>
      </c>
      <c r="N16330">
        <v>0.93</v>
      </c>
    </row>
    <row r="16331" spans="1:14" x14ac:dyDescent="0.25">
      <c r="A16331" t="s">
        <v>27390</v>
      </c>
      <c r="B16331" t="s">
        <v>27391</v>
      </c>
      <c r="C16331" s="1" t="str">
        <f>HYPERLINK("http://www.genecards.org/cgi-bin/carddisp.pl?gene=ZBTB22","GeneCards")</f>
        <v>GeneCards</v>
      </c>
      <c r="D16331" s="1" t="str">
        <f>HYPERLINK("http://genome-euro.ucsc.edu/cgi-bin/hgTracks?position=213081_at","UCSC")</f>
        <v>UCSC</v>
      </c>
      <c r="E16331" s="1" t="str">
        <f>HYPERLINK("http://www.ncbi.nlm.nih.gov/gene/?term=ZBTB22","NCBI")</f>
        <v>NCBI</v>
      </c>
      <c r="F16331">
        <v>0.85</v>
      </c>
      <c r="G16331">
        <v>0.89</v>
      </c>
      <c r="H16331" s="1" t="str">
        <f>HYPERLINK("http://www.weizmann.ac.il/complex/compphys/software/geview/data/figures/213081_at.png","Figure")</f>
        <v>Figure</v>
      </c>
      <c r="I16331">
        <v>1.06</v>
      </c>
      <c r="J16331">
        <v>0.84</v>
      </c>
      <c r="K16331">
        <v>1.03</v>
      </c>
      <c r="L16331">
        <v>0.95</v>
      </c>
      <c r="M16331">
        <v>0.96799999999999997</v>
      </c>
      <c r="N16331">
        <v>0.95</v>
      </c>
    </row>
    <row r="16332" spans="1:14" x14ac:dyDescent="0.25">
      <c r="A16332" t="s">
        <v>27392</v>
      </c>
      <c r="B16332" t="s">
        <v>27393</v>
      </c>
      <c r="C16332" s="1" t="str">
        <f>HYPERLINK("http://www.genecards.org/cgi-bin/carddisp.pl?gene=PDHA2","GeneCards")</f>
        <v>GeneCards</v>
      </c>
      <c r="D16332" s="1" t="str">
        <f>HYPERLINK("http://genome-euro.ucsc.edu/cgi-bin/hgTracks?position=214518_at","UCSC")</f>
        <v>UCSC</v>
      </c>
      <c r="E16332" s="1" t="str">
        <f>HYPERLINK("http://www.ncbi.nlm.nih.gov/gene/?term=PDHA2","NCBI")</f>
        <v>NCBI</v>
      </c>
      <c r="F16332">
        <v>0.85</v>
      </c>
      <c r="G16332">
        <v>0.89</v>
      </c>
      <c r="H16332" s="1" t="str">
        <f>HYPERLINK("http://www.weizmann.ac.il/complex/compphys/software/geview/data/figures/214518_at.png","Figure")</f>
        <v>Figure</v>
      </c>
      <c r="I16332">
        <v>1.01</v>
      </c>
      <c r="J16332">
        <v>0.97</v>
      </c>
      <c r="K16332">
        <v>0.98399999999999999</v>
      </c>
      <c r="L16332">
        <v>0.95</v>
      </c>
      <c r="M16332">
        <v>0.97</v>
      </c>
      <c r="N16332">
        <v>0.85</v>
      </c>
    </row>
    <row r="16333" spans="1:14" x14ac:dyDescent="0.25">
      <c r="A16333" t="s">
        <v>27394</v>
      </c>
      <c r="B16333" t="s">
        <v>27395</v>
      </c>
      <c r="C16333" s="1" t="str">
        <f>HYPERLINK("http://www.genecards.org/cgi-bin/carddisp.pl?gene=MKNK2","GeneCards")</f>
        <v>GeneCards</v>
      </c>
      <c r="D16333" s="1" t="str">
        <f>HYPERLINK("http://genome-euro.ucsc.edu/cgi-bin/hgTracks?position=218205_s_at","UCSC")</f>
        <v>UCSC</v>
      </c>
      <c r="E16333" s="1" t="str">
        <f>HYPERLINK("http://www.ncbi.nlm.nih.gov/gene/?term=MKNK2","NCBI")</f>
        <v>NCBI</v>
      </c>
      <c r="F16333">
        <v>0.85</v>
      </c>
      <c r="G16333">
        <v>0.89</v>
      </c>
      <c r="H16333" s="1" t="str">
        <f>HYPERLINK("http://www.weizmann.ac.il/complex/compphys/software/geview/data/figures/218205_s_at.png","Figure")</f>
        <v>Figure</v>
      </c>
      <c r="I16333">
        <v>1.18</v>
      </c>
      <c r="J16333">
        <v>0.85</v>
      </c>
      <c r="K16333">
        <v>1.1200000000000001</v>
      </c>
      <c r="L16333">
        <v>0.91</v>
      </c>
      <c r="M16333">
        <v>0.94699999999999995</v>
      </c>
      <c r="N16333">
        <v>0.98</v>
      </c>
    </row>
    <row r="16334" spans="1:14" x14ac:dyDescent="0.25">
      <c r="A16334" t="s">
        <v>27396</v>
      </c>
      <c r="B16334" t="s">
        <v>27397</v>
      </c>
      <c r="C16334" s="1" t="str">
        <f>HYPERLINK("http://www.genecards.org/cgi-bin/carddisp.pl?gene=CST8","GeneCards")</f>
        <v>GeneCards</v>
      </c>
      <c r="D16334" s="1" t="str">
        <f>HYPERLINK("http://genome-euro.ucsc.edu/cgi-bin/hgTracks?position=220627_at","UCSC")</f>
        <v>UCSC</v>
      </c>
      <c r="E16334" s="1" t="str">
        <f>HYPERLINK("http://www.ncbi.nlm.nih.gov/gene/?term=CST8","NCBI")</f>
        <v>NCBI</v>
      </c>
      <c r="F16334">
        <v>0.85</v>
      </c>
      <c r="G16334">
        <v>0.89</v>
      </c>
      <c r="H16334" s="1" t="str">
        <f>HYPERLINK("http://www.weizmann.ac.il/complex/compphys/software/geview/data/figures/220627_at.png","Figure")</f>
        <v>Figure</v>
      </c>
      <c r="I16334">
        <v>1.04</v>
      </c>
      <c r="J16334">
        <v>0.89</v>
      </c>
      <c r="K16334">
        <v>0.998</v>
      </c>
      <c r="L16334">
        <v>1</v>
      </c>
      <c r="M16334">
        <v>0.95899999999999996</v>
      </c>
      <c r="N16334">
        <v>0.86</v>
      </c>
    </row>
    <row r="16335" spans="1:14" x14ac:dyDescent="0.25">
      <c r="A16335" t="s">
        <v>27398</v>
      </c>
      <c r="B16335" t="s">
        <v>14364</v>
      </c>
      <c r="C16335" s="1" t="str">
        <f>HYPERLINK("http://www.genecards.org/cgi-bin/carddisp.pl?gene=ITPK1","GeneCards")</f>
        <v>GeneCards</v>
      </c>
      <c r="D16335" s="1" t="str">
        <f>HYPERLINK("http://genome-euro.ucsc.edu/cgi-bin/hgTracks?position=210197_at","UCSC")</f>
        <v>UCSC</v>
      </c>
      <c r="E16335" s="1" t="str">
        <f>HYPERLINK("http://www.ncbi.nlm.nih.gov/gene/?term=ITPK1","NCBI")</f>
        <v>NCBI</v>
      </c>
      <c r="F16335">
        <v>0.85</v>
      </c>
      <c r="G16335">
        <v>0.89</v>
      </c>
      <c r="H16335" s="1" t="str">
        <f>HYPERLINK("http://www.weizmann.ac.il/complex/compphys/software/geview/data/figures/210197_at.png","Figure")</f>
        <v>Figure</v>
      </c>
      <c r="I16335">
        <v>0.97</v>
      </c>
      <c r="J16335">
        <v>0.84</v>
      </c>
      <c r="K16335">
        <v>0.98799999999999999</v>
      </c>
      <c r="L16335">
        <v>0.97</v>
      </c>
      <c r="M16335">
        <v>1.02</v>
      </c>
      <c r="N16335">
        <v>0.93</v>
      </c>
    </row>
    <row r="16336" spans="1:14" x14ac:dyDescent="0.25">
      <c r="A16336" t="s">
        <v>27399</v>
      </c>
      <c r="B16336" t="s">
        <v>27400</v>
      </c>
      <c r="C16336" s="1" t="str">
        <f>HYPERLINK("http://www.genecards.org/cgi-bin/carddisp.pl?gene=SPINT3","GeneCards")</f>
        <v>GeneCards</v>
      </c>
      <c r="D16336" s="1" t="str">
        <f>HYPERLINK("http://genome-euro.ucsc.edu/cgi-bin/hgTracks?position=215503_at","UCSC")</f>
        <v>UCSC</v>
      </c>
      <c r="E16336" s="1" t="str">
        <f>HYPERLINK("http://www.ncbi.nlm.nih.gov/gene/?term=SPINT3","NCBI")</f>
        <v>NCBI</v>
      </c>
      <c r="F16336">
        <v>0.85</v>
      </c>
      <c r="G16336">
        <v>0.89</v>
      </c>
      <c r="H16336" s="1" t="str">
        <f>HYPERLINK("http://www.weizmann.ac.il/complex/compphys/software/geview/data/figures/215503_at.png","Figure")</f>
        <v>Figure</v>
      </c>
      <c r="I16336">
        <v>1.04</v>
      </c>
      <c r="J16336">
        <v>0.85</v>
      </c>
      <c r="K16336">
        <v>1.01</v>
      </c>
      <c r="L16336">
        <v>0.98</v>
      </c>
      <c r="M16336">
        <v>0.97099999999999997</v>
      </c>
      <c r="N16336">
        <v>0.91</v>
      </c>
    </row>
    <row r="16337" spans="1:14" x14ac:dyDescent="0.25">
      <c r="A16337" t="s">
        <v>27401</v>
      </c>
      <c r="B16337" t="s">
        <v>15752</v>
      </c>
      <c r="C16337" s="1" t="str">
        <f>HYPERLINK("http://www.genecards.org/cgi-bin/carddisp.pl?gene=SUPT6H","GeneCards")</f>
        <v>GeneCards</v>
      </c>
      <c r="D16337" s="1" t="str">
        <f>HYPERLINK("http://genome-euro.ucsc.edu/cgi-bin/hgTracks?position=208831_x_at","UCSC")</f>
        <v>UCSC</v>
      </c>
      <c r="E16337" s="1" t="str">
        <f>HYPERLINK("http://www.ncbi.nlm.nih.gov/gene/?term=SUPT6H","NCBI")</f>
        <v>NCBI</v>
      </c>
      <c r="F16337">
        <v>0.86</v>
      </c>
      <c r="G16337">
        <v>0.89</v>
      </c>
      <c r="H16337" s="1" t="str">
        <f>HYPERLINK("http://www.weizmann.ac.il/complex/compphys/software/geview/data/figures/208831_x_at.png","Figure")</f>
        <v>Figure</v>
      </c>
      <c r="I16337">
        <v>0.98</v>
      </c>
      <c r="J16337">
        <v>0.99</v>
      </c>
      <c r="K16337">
        <v>0.93200000000000005</v>
      </c>
      <c r="L16337">
        <v>0.85</v>
      </c>
      <c r="M16337">
        <v>0.95099999999999996</v>
      </c>
      <c r="N16337">
        <v>0.93</v>
      </c>
    </row>
    <row r="16338" spans="1:14" x14ac:dyDescent="0.25">
      <c r="A16338" t="s">
        <v>27402</v>
      </c>
      <c r="B16338" t="s">
        <v>27403</v>
      </c>
      <c r="C16338" s="1" t="str">
        <f>HYPERLINK("http://www.genecards.org/cgi-bin/carddisp.pl?gene=CETP","GeneCards")</f>
        <v>GeneCards</v>
      </c>
      <c r="D16338" s="1" t="str">
        <f>HYPERLINK("http://genome-euro.ucsc.edu/cgi-bin/hgTracks?position=206210_s_at","UCSC")</f>
        <v>UCSC</v>
      </c>
      <c r="E16338" s="1" t="str">
        <f>HYPERLINK("http://www.ncbi.nlm.nih.gov/gene/?term=CETP","NCBI")</f>
        <v>NCBI</v>
      </c>
      <c r="F16338">
        <v>0.86</v>
      </c>
      <c r="G16338">
        <v>0.89</v>
      </c>
      <c r="H16338" s="1" t="str">
        <f>HYPERLINK("http://www.weizmann.ac.il/complex/compphys/software/geview/data/figures/206210_s_at.png","Figure")</f>
        <v>Figure</v>
      </c>
      <c r="I16338">
        <v>1</v>
      </c>
      <c r="J16338">
        <v>1</v>
      </c>
      <c r="K16338">
        <v>1.02</v>
      </c>
      <c r="L16338">
        <v>0.88</v>
      </c>
      <c r="M16338">
        <v>1.02</v>
      </c>
      <c r="N16338">
        <v>0.89</v>
      </c>
    </row>
    <row r="16339" spans="1:14" x14ac:dyDescent="0.25">
      <c r="A16339" t="s">
        <v>27404</v>
      </c>
      <c r="B16339" t="s">
        <v>27405</v>
      </c>
      <c r="C16339" s="1" t="str">
        <f>HYPERLINK("http://www.genecards.org/cgi-bin/carddisp.pl?gene=DNAJC12","GeneCards")</f>
        <v>GeneCards</v>
      </c>
      <c r="D16339" s="1" t="str">
        <f>HYPERLINK("http://genome-euro.ucsc.edu/cgi-bin/hgTracks?position=218976_at","UCSC")</f>
        <v>UCSC</v>
      </c>
      <c r="E16339" s="1" t="str">
        <f>HYPERLINK("http://www.ncbi.nlm.nih.gov/gene/?term=DNAJC12","NCBI")</f>
        <v>NCBI</v>
      </c>
      <c r="F16339">
        <v>0.86</v>
      </c>
      <c r="G16339">
        <v>0.89</v>
      </c>
      <c r="H16339" s="1" t="str">
        <f>HYPERLINK("http://www.weizmann.ac.il/complex/compphys/software/geview/data/figures/218976_at.png","Figure")</f>
        <v>Figure</v>
      </c>
      <c r="I16339">
        <v>0.95199999999999996</v>
      </c>
      <c r="J16339">
        <v>0.85</v>
      </c>
      <c r="K16339">
        <v>0.98499999999999999</v>
      </c>
      <c r="L16339">
        <v>0.98</v>
      </c>
      <c r="M16339">
        <v>1.04</v>
      </c>
      <c r="N16339">
        <v>0.91</v>
      </c>
    </row>
    <row r="16340" spans="1:14" x14ac:dyDescent="0.25">
      <c r="A16340" t="s">
        <v>27406</v>
      </c>
      <c r="B16340" t="s">
        <v>27407</v>
      </c>
      <c r="C16340" s="1" t="str">
        <f>HYPERLINK("http://www.genecards.org/cgi-bin/carddisp.pl?gene=ATP12A","GeneCards")</f>
        <v>GeneCards</v>
      </c>
      <c r="D16340" s="1" t="str">
        <f>HYPERLINK("http://genome-euro.ucsc.edu/cgi-bin/hgTracks?position=207367_at","UCSC")</f>
        <v>UCSC</v>
      </c>
      <c r="E16340" s="1" t="str">
        <f>HYPERLINK("http://www.ncbi.nlm.nih.gov/gene/?term=ATP12A","NCBI")</f>
        <v>NCBI</v>
      </c>
      <c r="F16340">
        <v>0.86</v>
      </c>
      <c r="G16340">
        <v>0.89</v>
      </c>
      <c r="H16340" s="1" t="str">
        <f>HYPERLINK("http://www.weizmann.ac.il/complex/compphys/software/geview/data/figures/207367_at.png","Figure")</f>
        <v>Figure</v>
      </c>
      <c r="I16340">
        <v>1.03</v>
      </c>
      <c r="J16340">
        <v>0.84</v>
      </c>
      <c r="K16340">
        <v>1.02</v>
      </c>
      <c r="L16340">
        <v>0.95</v>
      </c>
      <c r="M16340">
        <v>0.98499999999999999</v>
      </c>
      <c r="N16340">
        <v>0.95</v>
      </c>
    </row>
    <row r="16341" spans="1:14" x14ac:dyDescent="0.25">
      <c r="A16341" t="s">
        <v>27408</v>
      </c>
      <c r="B16341" t="s">
        <v>27409</v>
      </c>
      <c r="C16341" s="1" t="str">
        <f>HYPERLINK("http://www.genecards.org/cgi-bin/carddisp.pl?gene=AVPI1","GeneCards")</f>
        <v>GeneCards</v>
      </c>
      <c r="D16341" s="1" t="str">
        <f>HYPERLINK("http://genome-euro.ucsc.edu/cgi-bin/hgTracks?position=218631_at","UCSC")</f>
        <v>UCSC</v>
      </c>
      <c r="E16341" s="1" t="str">
        <f>HYPERLINK("http://www.ncbi.nlm.nih.gov/gene/?term=AVPI1","NCBI")</f>
        <v>NCBI</v>
      </c>
      <c r="F16341">
        <v>0.86</v>
      </c>
      <c r="G16341">
        <v>0.89</v>
      </c>
      <c r="H16341" s="1" t="str">
        <f>HYPERLINK("http://www.weizmann.ac.il/complex/compphys/software/geview/data/figures/218631_at.png","Figure")</f>
        <v>Figure</v>
      </c>
      <c r="I16341">
        <v>1.07</v>
      </c>
      <c r="J16341">
        <v>0.89</v>
      </c>
      <c r="K16341">
        <v>0.996</v>
      </c>
      <c r="L16341">
        <v>1</v>
      </c>
      <c r="M16341">
        <v>0.93500000000000005</v>
      </c>
      <c r="N16341">
        <v>0.86</v>
      </c>
    </row>
    <row r="16342" spans="1:14" x14ac:dyDescent="0.25">
      <c r="A16342" t="s">
        <v>27410</v>
      </c>
      <c r="B16342" t="s">
        <v>27411</v>
      </c>
      <c r="C16342" s="1" t="str">
        <f>HYPERLINK("http://www.genecards.org/cgi-bin/carddisp.pl?gene=FRAS1","GeneCards")</f>
        <v>GeneCards</v>
      </c>
      <c r="D16342" s="1" t="str">
        <f>HYPERLINK("http://genome-euro.ucsc.edu/cgi-bin/hgTracks?position=220910_at","UCSC")</f>
        <v>UCSC</v>
      </c>
      <c r="E16342" s="1" t="str">
        <f>HYPERLINK("http://www.ncbi.nlm.nih.gov/gene/?term=FRAS1","NCBI")</f>
        <v>NCBI</v>
      </c>
      <c r="F16342">
        <v>0.86</v>
      </c>
      <c r="G16342">
        <v>0.89</v>
      </c>
      <c r="H16342" s="1" t="str">
        <f>HYPERLINK("http://www.weizmann.ac.il/complex/compphys/software/geview/data/figures/220910_at.png","Figure")</f>
        <v>Figure</v>
      </c>
      <c r="I16342">
        <v>0.98099999999999998</v>
      </c>
      <c r="J16342">
        <v>0.93</v>
      </c>
      <c r="K16342">
        <v>0.97499999999999998</v>
      </c>
      <c r="L16342">
        <v>0.85</v>
      </c>
      <c r="M16342">
        <v>0.99399999999999999</v>
      </c>
      <c r="N16342">
        <v>0.99</v>
      </c>
    </row>
    <row r="16343" spans="1:14" x14ac:dyDescent="0.25">
      <c r="A16343" t="s">
        <v>27412</v>
      </c>
      <c r="B16343" t="s">
        <v>4663</v>
      </c>
      <c r="C16343" s="1" t="str">
        <f>HYPERLINK("http://www.genecards.org/cgi-bin/carddisp.pl?gene=TUSC2","GeneCards")</f>
        <v>GeneCards</v>
      </c>
      <c r="D16343" s="1" t="str">
        <f>HYPERLINK("http://genome-euro.ucsc.edu/cgi-bin/hgTracks?position=203272_s_at","UCSC")</f>
        <v>UCSC</v>
      </c>
      <c r="E16343" s="1" t="str">
        <f>HYPERLINK("http://www.ncbi.nlm.nih.gov/gene/?term=TUSC2","NCBI")</f>
        <v>NCBI</v>
      </c>
      <c r="F16343">
        <v>0.86</v>
      </c>
      <c r="G16343">
        <v>0.89</v>
      </c>
      <c r="H16343" s="1" t="str">
        <f>HYPERLINK("http://www.weizmann.ac.il/complex/compphys/software/geview/data/figures/203272_s_at.png","Figure")</f>
        <v>Figure</v>
      </c>
      <c r="I16343">
        <v>0.98499999999999999</v>
      </c>
      <c r="J16343">
        <v>0.98</v>
      </c>
      <c r="K16343">
        <v>0.95899999999999996</v>
      </c>
      <c r="L16343">
        <v>0.85</v>
      </c>
      <c r="M16343">
        <v>0.97399999999999998</v>
      </c>
      <c r="N16343">
        <v>0.95</v>
      </c>
    </row>
    <row r="16344" spans="1:14" x14ac:dyDescent="0.25">
      <c r="A16344" t="s">
        <v>27413</v>
      </c>
      <c r="B16344" t="s">
        <v>27414</v>
      </c>
      <c r="C16344" s="1" t="str">
        <f>HYPERLINK("http://www.genecards.org/cgi-bin/carddisp.pl?gene=TRAIP","GeneCards")</f>
        <v>GeneCards</v>
      </c>
      <c r="D16344" s="1" t="str">
        <f>HYPERLINK("http://genome-euro.ucsc.edu/cgi-bin/hgTracks?position=205598_at","UCSC")</f>
        <v>UCSC</v>
      </c>
      <c r="E16344" s="1" t="str">
        <f>HYPERLINK("http://www.ncbi.nlm.nih.gov/gene/?term=TRAIP","NCBI")</f>
        <v>NCBI</v>
      </c>
      <c r="F16344">
        <v>0.86</v>
      </c>
      <c r="G16344">
        <v>0.89</v>
      </c>
      <c r="H16344" s="1" t="str">
        <f>HYPERLINK("http://www.weizmann.ac.il/complex/compphys/software/geview/data/figures/205598_at.png","Figure")</f>
        <v>Figure</v>
      </c>
      <c r="I16344">
        <v>0.96699999999999997</v>
      </c>
      <c r="J16344">
        <v>0.95</v>
      </c>
      <c r="K16344">
        <v>0.94599999999999995</v>
      </c>
      <c r="L16344">
        <v>0.84</v>
      </c>
      <c r="M16344">
        <v>0.97899999999999998</v>
      </c>
      <c r="N16344">
        <v>0.98</v>
      </c>
    </row>
    <row r="16345" spans="1:14" x14ac:dyDescent="0.25">
      <c r="A16345" t="s">
        <v>27415</v>
      </c>
      <c r="B16345" t="s">
        <v>26617</v>
      </c>
      <c r="C16345" s="1" t="str">
        <f>HYPERLINK("http://www.genecards.org/cgi-bin/carddisp.pl?gene=LOC100287552","GeneCards")</f>
        <v>GeneCards</v>
      </c>
      <c r="D16345" s="1" t="str">
        <f>HYPERLINK("http://genome-euro.ucsc.edu/cgi-bin/hgTracks?position=210111_s_at","UCSC")</f>
        <v>UCSC</v>
      </c>
      <c r="E16345" s="1" t="str">
        <f>HYPERLINK("http://www.ncbi.nlm.nih.gov/gene/?term=LOC100287552","NCBI")</f>
        <v>NCBI</v>
      </c>
      <c r="F16345">
        <v>0.86</v>
      </c>
      <c r="G16345">
        <v>0.89</v>
      </c>
      <c r="H16345" s="1" t="str">
        <f>HYPERLINK("http://www.weizmann.ac.il/complex/compphys/software/geview/data/figures/210111_s_at.png","Figure")</f>
        <v>Figure</v>
      </c>
      <c r="I16345">
        <v>0.81799999999999995</v>
      </c>
      <c r="J16345">
        <v>0.86</v>
      </c>
      <c r="K16345">
        <v>0.872</v>
      </c>
      <c r="L16345">
        <v>0.91</v>
      </c>
      <c r="M16345">
        <v>1.06</v>
      </c>
      <c r="N16345">
        <v>0.98</v>
      </c>
    </row>
    <row r="16346" spans="1:14" x14ac:dyDescent="0.25">
      <c r="A16346" t="s">
        <v>27416</v>
      </c>
      <c r="B16346" t="s">
        <v>27417</v>
      </c>
      <c r="C16346" s="1" t="str">
        <f>HYPERLINK("http://www.genecards.org/cgi-bin/carddisp.pl?gene=DGKZ","GeneCards")</f>
        <v>GeneCards</v>
      </c>
      <c r="D16346" s="1" t="str">
        <f>HYPERLINK("http://genome-euro.ucsc.edu/cgi-bin/hgTracks?position=207556_s_at","UCSC")</f>
        <v>UCSC</v>
      </c>
      <c r="E16346" s="1" t="str">
        <f>HYPERLINK("http://www.ncbi.nlm.nih.gov/gene/?term=DGKZ","NCBI")</f>
        <v>NCBI</v>
      </c>
      <c r="F16346">
        <v>0.86</v>
      </c>
      <c r="G16346">
        <v>0.89</v>
      </c>
      <c r="H16346" s="1" t="str">
        <f>HYPERLINK("http://www.weizmann.ac.il/complex/compphys/software/geview/data/figures/207556_s_at.png","Figure")</f>
        <v>Figure</v>
      </c>
      <c r="I16346">
        <v>1.08</v>
      </c>
      <c r="J16346">
        <v>0.94</v>
      </c>
      <c r="K16346">
        <v>1.1200000000000001</v>
      </c>
      <c r="L16346">
        <v>0.84</v>
      </c>
      <c r="M16346">
        <v>1.04</v>
      </c>
      <c r="N16346">
        <v>0.99</v>
      </c>
    </row>
    <row r="16347" spans="1:14" x14ac:dyDescent="0.25">
      <c r="A16347" t="s">
        <v>27418</v>
      </c>
      <c r="B16347" t="s">
        <v>13619</v>
      </c>
      <c r="C16347" s="1" t="str">
        <f>HYPERLINK("http://www.genecards.org/cgi-bin/carddisp.pl?gene=HNRNPUL1","GeneCards")</f>
        <v>GeneCards</v>
      </c>
      <c r="D16347" s="1" t="str">
        <f>HYPERLINK("http://genome-euro.ucsc.edu/cgi-bin/hgTracks?position=209675_s_at","UCSC")</f>
        <v>UCSC</v>
      </c>
      <c r="E16347" s="1" t="str">
        <f>HYPERLINK("http://www.ncbi.nlm.nih.gov/gene/?term=HNRNPUL1","NCBI")</f>
        <v>NCBI</v>
      </c>
      <c r="F16347">
        <v>0.86</v>
      </c>
      <c r="G16347">
        <v>0.89</v>
      </c>
      <c r="H16347" s="1" t="str">
        <f>HYPERLINK("http://www.weizmann.ac.il/complex/compphys/software/geview/data/figures/209675_s_at.png","Figure")</f>
        <v>Figure</v>
      </c>
      <c r="I16347">
        <v>0.88800000000000001</v>
      </c>
      <c r="J16347">
        <v>0.84</v>
      </c>
      <c r="K16347">
        <v>0.94499999999999995</v>
      </c>
      <c r="L16347">
        <v>0.95</v>
      </c>
      <c r="M16347">
        <v>1.06</v>
      </c>
      <c r="N16347">
        <v>0.95</v>
      </c>
    </row>
    <row r="16348" spans="1:14" x14ac:dyDescent="0.25">
      <c r="A16348" t="s">
        <v>27419</v>
      </c>
      <c r="B16348" t="s">
        <v>27420</v>
      </c>
      <c r="C16348" s="1" t="str">
        <f>HYPERLINK("http://www.genecards.org/cgi-bin/carddisp.pl?gene=PDCD6IP","GeneCards")</f>
        <v>GeneCards</v>
      </c>
      <c r="D16348" s="1" t="str">
        <f>HYPERLINK("http://genome-euro.ucsc.edu/cgi-bin/hgTracks?position=217746_s_at","UCSC")</f>
        <v>UCSC</v>
      </c>
      <c r="E16348" s="1" t="str">
        <f>HYPERLINK("http://www.ncbi.nlm.nih.gov/gene/?term=PDCD6IP","NCBI")</f>
        <v>NCBI</v>
      </c>
      <c r="F16348">
        <v>0.86</v>
      </c>
      <c r="G16348">
        <v>0.89</v>
      </c>
      <c r="H16348" s="1" t="str">
        <f>HYPERLINK("http://www.weizmann.ac.il/complex/compphys/software/geview/data/figures/217746_s_at.png","Figure")</f>
        <v>Figure</v>
      </c>
      <c r="I16348">
        <v>1.02</v>
      </c>
      <c r="J16348">
        <v>1</v>
      </c>
      <c r="K16348">
        <v>1.1100000000000001</v>
      </c>
      <c r="L16348">
        <v>0.87</v>
      </c>
      <c r="M16348">
        <v>1.0900000000000001</v>
      </c>
      <c r="N16348">
        <v>0.91</v>
      </c>
    </row>
    <row r="16349" spans="1:14" x14ac:dyDescent="0.25">
      <c r="A16349" t="s">
        <v>27421</v>
      </c>
      <c r="B16349" t="s">
        <v>27422</v>
      </c>
      <c r="C16349" s="1" t="str">
        <f>HYPERLINK("http://www.genecards.org/cgi-bin/carddisp.pl?gene=LOC100294402 /// SIGIRR","GeneCards")</f>
        <v>GeneCards</v>
      </c>
      <c r="D16349" s="1" t="str">
        <f>HYPERLINK("http://genome-euro.ucsc.edu/cgi-bin/hgTracks?position=52940_at","UCSC")</f>
        <v>UCSC</v>
      </c>
      <c r="E16349" s="1" t="str">
        <f>HYPERLINK("http://www.ncbi.nlm.nih.gov/gene/?term=LOC100294402 /// SIGIRR","NCBI")</f>
        <v>NCBI</v>
      </c>
      <c r="F16349">
        <v>0.86</v>
      </c>
      <c r="G16349">
        <v>0.89</v>
      </c>
      <c r="H16349" s="1" t="str">
        <f>HYPERLINK("http://www.weizmann.ac.il/complex/compphys/software/geview/data/figures/52940_at.png","Figure")</f>
        <v>Figure</v>
      </c>
      <c r="I16349">
        <v>1.02</v>
      </c>
      <c r="J16349">
        <v>0.99</v>
      </c>
      <c r="K16349">
        <v>1.07</v>
      </c>
      <c r="L16349">
        <v>0.85</v>
      </c>
      <c r="M16349">
        <v>1.05</v>
      </c>
      <c r="N16349">
        <v>0.94</v>
      </c>
    </row>
    <row r="16350" spans="1:14" x14ac:dyDescent="0.25">
      <c r="A16350" t="s">
        <v>27423</v>
      </c>
      <c r="B16350" t="s">
        <v>18139</v>
      </c>
      <c r="C16350" s="1" t="str">
        <f>HYPERLINK("http://www.genecards.org/cgi-bin/carddisp.pl?gene=CASP9","GeneCards")</f>
        <v>GeneCards</v>
      </c>
      <c r="D16350" s="1" t="str">
        <f>HYPERLINK("http://genome-euro.ucsc.edu/cgi-bin/hgTracks?position=203984_s_at","UCSC")</f>
        <v>UCSC</v>
      </c>
      <c r="E16350" s="1" t="str">
        <f>HYPERLINK("http://www.ncbi.nlm.nih.gov/gene/?term=CASP9","NCBI")</f>
        <v>NCBI</v>
      </c>
      <c r="F16350">
        <v>0.86</v>
      </c>
      <c r="G16350">
        <v>0.89</v>
      </c>
      <c r="H16350" s="1" t="str">
        <f>HYPERLINK("http://www.weizmann.ac.il/complex/compphys/software/geview/data/figures/203984_s_at.png","Figure")</f>
        <v>Figure</v>
      </c>
      <c r="I16350">
        <v>1.07</v>
      </c>
      <c r="J16350">
        <v>0.9</v>
      </c>
      <c r="K16350">
        <v>0.99299999999999999</v>
      </c>
      <c r="L16350">
        <v>1</v>
      </c>
      <c r="M16350">
        <v>0.93100000000000005</v>
      </c>
      <c r="N16350">
        <v>0.86</v>
      </c>
    </row>
    <row r="16351" spans="1:14" x14ac:dyDescent="0.25">
      <c r="A16351" t="s">
        <v>27424</v>
      </c>
      <c r="B16351" t="s">
        <v>27425</v>
      </c>
      <c r="C16351" s="1" t="str">
        <f>HYPERLINK("http://www.genecards.org/cgi-bin/carddisp.pl?gene=GRIN2A","GeneCards")</f>
        <v>GeneCards</v>
      </c>
      <c r="D16351" s="1" t="str">
        <f>HYPERLINK("http://genome-euro.ucsc.edu/cgi-bin/hgTracks?position=206534_at","UCSC")</f>
        <v>UCSC</v>
      </c>
      <c r="E16351" s="1" t="str">
        <f>HYPERLINK("http://www.ncbi.nlm.nih.gov/gene/?term=GRIN2A","NCBI")</f>
        <v>NCBI</v>
      </c>
      <c r="F16351">
        <v>0.86</v>
      </c>
      <c r="G16351">
        <v>0.89</v>
      </c>
      <c r="H16351" s="1" t="str">
        <f>HYPERLINK("http://www.weizmann.ac.il/complex/compphys/software/geview/data/figures/206534_at.png","Figure")</f>
        <v>Figure</v>
      </c>
      <c r="I16351">
        <v>0.94899999999999995</v>
      </c>
      <c r="J16351">
        <v>0.87</v>
      </c>
      <c r="K16351">
        <v>0.997</v>
      </c>
      <c r="L16351">
        <v>1</v>
      </c>
      <c r="M16351">
        <v>1.05</v>
      </c>
      <c r="N16351">
        <v>0.87</v>
      </c>
    </row>
    <row r="16352" spans="1:14" x14ac:dyDescent="0.25">
      <c r="A16352" t="s">
        <v>27426</v>
      </c>
      <c r="B16352" t="s">
        <v>2089</v>
      </c>
      <c r="C16352" s="1" t="str">
        <f>HYPERLINK("http://www.genecards.org/cgi-bin/carddisp.pl?gene=GALNT3","GeneCards")</f>
        <v>GeneCards</v>
      </c>
      <c r="D16352" s="1" t="str">
        <f>HYPERLINK("http://genome-euro.ucsc.edu/cgi-bin/hgTracks?position=203398_s_at","UCSC")</f>
        <v>UCSC</v>
      </c>
      <c r="E16352" s="1" t="str">
        <f>HYPERLINK("http://www.ncbi.nlm.nih.gov/gene/?term=GALNT3","NCBI")</f>
        <v>NCBI</v>
      </c>
      <c r="F16352">
        <v>0.86</v>
      </c>
      <c r="G16352">
        <v>0.89</v>
      </c>
      <c r="H16352" s="1" t="str">
        <f>HYPERLINK("http://www.weizmann.ac.il/complex/compphys/software/geview/data/figures/203398_s_at.png","Figure")</f>
        <v>Figure</v>
      </c>
      <c r="I16352">
        <v>0.99299999999999999</v>
      </c>
      <c r="J16352">
        <v>0.99</v>
      </c>
      <c r="K16352">
        <v>0.97399999999999998</v>
      </c>
      <c r="L16352">
        <v>0.86</v>
      </c>
      <c r="M16352">
        <v>0.98</v>
      </c>
      <c r="N16352">
        <v>0.93</v>
      </c>
    </row>
    <row r="16353" spans="1:14" x14ac:dyDescent="0.25">
      <c r="A16353" t="s">
        <v>27427</v>
      </c>
      <c r="B16353" t="s">
        <v>21524</v>
      </c>
      <c r="C16353" s="1" t="str">
        <f>HYPERLINK("http://www.genecards.org/cgi-bin/carddisp.pl?gene=RBBP6","GeneCards")</f>
        <v>GeneCards</v>
      </c>
      <c r="D16353" s="1" t="str">
        <f>HYPERLINK("http://genome-euro.ucsc.edu/cgi-bin/hgTracks?position=205178_s_at","UCSC")</f>
        <v>UCSC</v>
      </c>
      <c r="E16353" s="1" t="str">
        <f>HYPERLINK("http://www.ncbi.nlm.nih.gov/gene/?term=RBBP6","NCBI")</f>
        <v>NCBI</v>
      </c>
      <c r="F16353">
        <v>0.86</v>
      </c>
      <c r="G16353">
        <v>0.89</v>
      </c>
      <c r="H16353" s="1" t="str">
        <f>HYPERLINK("http://www.weizmann.ac.il/complex/compphys/software/geview/data/figures/205178_s_at.png","Figure")</f>
        <v>Figure</v>
      </c>
      <c r="I16353">
        <v>1.06</v>
      </c>
      <c r="J16353">
        <v>0.95</v>
      </c>
      <c r="K16353">
        <v>0.96199999999999997</v>
      </c>
      <c r="L16353">
        <v>0.97</v>
      </c>
      <c r="M16353">
        <v>0.90900000000000003</v>
      </c>
      <c r="N16353">
        <v>0.85</v>
      </c>
    </row>
    <row r="16354" spans="1:14" x14ac:dyDescent="0.25">
      <c r="A16354" t="s">
        <v>27428</v>
      </c>
      <c r="B16354" t="s">
        <v>6071</v>
      </c>
      <c r="C16354" s="1" t="str">
        <f>HYPERLINK("http://www.genecards.org/cgi-bin/carddisp.pl?gene=TPP2","GeneCards")</f>
        <v>GeneCards</v>
      </c>
      <c r="D16354" s="1" t="str">
        <f>HYPERLINK("http://genome-euro.ucsc.edu/cgi-bin/hgTracks?position=203375_s_at","UCSC")</f>
        <v>UCSC</v>
      </c>
      <c r="E16354" s="1" t="str">
        <f>HYPERLINK("http://www.ncbi.nlm.nih.gov/gene/?term=TPP2","NCBI")</f>
        <v>NCBI</v>
      </c>
      <c r="F16354">
        <v>0.86</v>
      </c>
      <c r="G16354">
        <v>0.89</v>
      </c>
      <c r="H16354" s="1" t="str">
        <f>HYPERLINK("http://www.weizmann.ac.il/complex/compphys/software/geview/data/figures/203375_s_at.png","Figure")</f>
        <v>Figure</v>
      </c>
      <c r="I16354">
        <v>0.98</v>
      </c>
      <c r="J16354">
        <v>1</v>
      </c>
      <c r="K16354">
        <v>0.86599999999999999</v>
      </c>
      <c r="L16354">
        <v>0.87</v>
      </c>
      <c r="M16354">
        <v>0.88400000000000001</v>
      </c>
      <c r="N16354">
        <v>0.91</v>
      </c>
    </row>
    <row r="16355" spans="1:14" x14ac:dyDescent="0.25">
      <c r="A16355" t="s">
        <v>27429</v>
      </c>
      <c r="B16355" t="s">
        <v>23577</v>
      </c>
      <c r="C16355" s="1" t="str">
        <f>HYPERLINK("http://www.genecards.org/cgi-bin/carddisp.pl?gene=GPAA1","GeneCards")</f>
        <v>GeneCards</v>
      </c>
      <c r="D16355" s="1" t="str">
        <f>HYPERLINK("http://genome-euro.ucsc.edu/cgi-bin/hgTracks?position=211060_x_at","UCSC")</f>
        <v>UCSC</v>
      </c>
      <c r="E16355" s="1" t="str">
        <f>HYPERLINK("http://www.ncbi.nlm.nih.gov/gene/?term=GPAA1","NCBI")</f>
        <v>NCBI</v>
      </c>
      <c r="F16355">
        <v>0.86</v>
      </c>
      <c r="G16355">
        <v>0.89</v>
      </c>
      <c r="H16355" s="1" t="str">
        <f>HYPERLINK("http://www.weizmann.ac.il/complex/compphys/software/geview/data/figures/211060_x_at.png","Figure")</f>
        <v>Figure</v>
      </c>
      <c r="I16355">
        <v>1</v>
      </c>
      <c r="J16355">
        <v>1</v>
      </c>
      <c r="K16355">
        <v>0.95599999999999996</v>
      </c>
      <c r="L16355">
        <v>0.89</v>
      </c>
      <c r="M16355">
        <v>0.95199999999999996</v>
      </c>
      <c r="N16355">
        <v>0.89</v>
      </c>
    </row>
    <row r="16356" spans="1:14" x14ac:dyDescent="0.25">
      <c r="A16356" t="s">
        <v>27430</v>
      </c>
      <c r="B16356" t="s">
        <v>27431</v>
      </c>
      <c r="C16356" s="1" t="str">
        <f>HYPERLINK("http://www.genecards.org/cgi-bin/carddisp.pl?gene=SNF8","GeneCards")</f>
        <v>GeneCards</v>
      </c>
      <c r="D16356" s="1" t="str">
        <f>HYPERLINK("http://genome-euro.ucsc.edu/cgi-bin/hgTracks?position=218391_at","UCSC")</f>
        <v>UCSC</v>
      </c>
      <c r="E16356" s="1" t="str">
        <f>HYPERLINK("http://www.ncbi.nlm.nih.gov/gene/?term=SNF8","NCBI")</f>
        <v>NCBI</v>
      </c>
      <c r="F16356">
        <v>0.86</v>
      </c>
      <c r="G16356">
        <v>0.89</v>
      </c>
      <c r="H16356" s="1" t="str">
        <f>HYPERLINK("http://www.weizmann.ac.il/complex/compphys/software/geview/data/figures/218391_at.png","Figure")</f>
        <v>Figure</v>
      </c>
      <c r="I16356">
        <v>1.04</v>
      </c>
      <c r="J16356">
        <v>0.92</v>
      </c>
      <c r="K16356">
        <v>0.98899999999999999</v>
      </c>
      <c r="L16356">
        <v>0.99</v>
      </c>
      <c r="M16356">
        <v>0.95099999999999996</v>
      </c>
      <c r="N16356">
        <v>0.85</v>
      </c>
    </row>
    <row r="16357" spans="1:14" x14ac:dyDescent="0.25">
      <c r="A16357" t="s">
        <v>27432</v>
      </c>
      <c r="B16357" t="s">
        <v>2432</v>
      </c>
      <c r="C16357" s="1" t="str">
        <f>HYPERLINK("http://www.genecards.org/cgi-bin/carddisp.pl?gene=MGEA5","GeneCards")</f>
        <v>GeneCards</v>
      </c>
      <c r="D16357" s="1" t="str">
        <f>HYPERLINK("http://genome-euro.ucsc.edu/cgi-bin/hgTracks?position=200899_s_at","UCSC")</f>
        <v>UCSC</v>
      </c>
      <c r="E16357" s="1" t="str">
        <f>HYPERLINK("http://www.ncbi.nlm.nih.gov/gene/?term=MGEA5","NCBI")</f>
        <v>NCBI</v>
      </c>
      <c r="F16357">
        <v>0.86</v>
      </c>
      <c r="G16357">
        <v>0.89</v>
      </c>
      <c r="H16357" s="1" t="str">
        <f>HYPERLINK("http://www.weizmann.ac.il/complex/compphys/software/geview/data/figures/200899_s_at.png","Figure")</f>
        <v>Figure</v>
      </c>
      <c r="I16357">
        <v>0.88400000000000001</v>
      </c>
      <c r="J16357">
        <v>0.95</v>
      </c>
      <c r="K16357">
        <v>0.82499999999999996</v>
      </c>
      <c r="L16357">
        <v>0.85</v>
      </c>
      <c r="M16357">
        <v>0.93400000000000005</v>
      </c>
      <c r="N16357">
        <v>0.98</v>
      </c>
    </row>
    <row r="16358" spans="1:14" x14ac:dyDescent="0.25">
      <c r="A16358" t="s">
        <v>27433</v>
      </c>
      <c r="B16358" t="s">
        <v>27434</v>
      </c>
      <c r="C16358" s="1" t="str">
        <f>HYPERLINK("http://www.genecards.org/cgi-bin/carddisp.pl?gene=STAC","GeneCards")</f>
        <v>GeneCards</v>
      </c>
      <c r="D16358" s="1" t="str">
        <f>HYPERLINK("http://genome-euro.ucsc.edu/cgi-bin/hgTracks?position=205743_at","UCSC")</f>
        <v>UCSC</v>
      </c>
      <c r="E16358" s="1" t="str">
        <f>HYPERLINK("http://www.ncbi.nlm.nih.gov/gene/?term=STAC","NCBI")</f>
        <v>NCBI</v>
      </c>
      <c r="F16358">
        <v>0.86</v>
      </c>
      <c r="G16358">
        <v>0.89</v>
      </c>
      <c r="H16358" s="1" t="str">
        <f>HYPERLINK("http://www.weizmann.ac.il/complex/compphys/software/geview/data/figures/205743_at.png","Figure")</f>
        <v>Figure</v>
      </c>
      <c r="I16358">
        <v>1.04</v>
      </c>
      <c r="J16358">
        <v>0.9</v>
      </c>
      <c r="K16358">
        <v>0.99299999999999999</v>
      </c>
      <c r="L16358">
        <v>1</v>
      </c>
      <c r="M16358">
        <v>0.95499999999999996</v>
      </c>
      <c r="N16358">
        <v>0.86</v>
      </c>
    </row>
    <row r="16359" spans="1:14" x14ac:dyDescent="0.25">
      <c r="A16359" t="s">
        <v>27435</v>
      </c>
      <c r="B16359" t="s">
        <v>1447</v>
      </c>
      <c r="C16359" s="1" t="str">
        <f>HYPERLINK("http://www.genecards.org/cgi-bin/carddisp.pl?gene=PAPPA2","GeneCards")</f>
        <v>GeneCards</v>
      </c>
      <c r="D16359" s="1" t="str">
        <f>HYPERLINK("http://genome-euro.ucsc.edu/cgi-bin/hgTracks?position=213332_at","UCSC")</f>
        <v>UCSC</v>
      </c>
      <c r="E16359" s="1" t="str">
        <f>HYPERLINK("http://www.ncbi.nlm.nih.gov/gene/?term=PAPPA2","NCBI")</f>
        <v>NCBI</v>
      </c>
      <c r="F16359">
        <v>0.86</v>
      </c>
      <c r="G16359">
        <v>0.89</v>
      </c>
      <c r="H16359" s="1" t="str">
        <f>HYPERLINK("http://www.weizmann.ac.il/complex/compphys/software/geview/data/figures/213332_at.png","Figure")</f>
        <v>Figure</v>
      </c>
      <c r="I16359">
        <v>1.03</v>
      </c>
      <c r="J16359">
        <v>0.92</v>
      </c>
      <c r="K16359">
        <v>0.99</v>
      </c>
      <c r="L16359">
        <v>0.99</v>
      </c>
      <c r="M16359">
        <v>0.95599999999999996</v>
      </c>
      <c r="N16359">
        <v>0.85</v>
      </c>
    </row>
    <row r="16360" spans="1:14" x14ac:dyDescent="0.25">
      <c r="A16360" t="s">
        <v>27436</v>
      </c>
      <c r="B16360" t="s">
        <v>27437</v>
      </c>
      <c r="C16360" s="1" t="str">
        <f>HYPERLINK("http://www.genecards.org/cgi-bin/carddisp.pl?gene=LOC100291812","GeneCards")</f>
        <v>GeneCards</v>
      </c>
      <c r="D16360" s="1" t="str">
        <f>HYPERLINK("http://genome-euro.ucsc.edu/cgi-bin/hgTracks?position=217137_x_at","UCSC")</f>
        <v>UCSC</v>
      </c>
      <c r="E16360" s="1" t="str">
        <f>HYPERLINK("http://www.ncbi.nlm.nih.gov/gene/?term=LOC100291812","NCBI")</f>
        <v>NCBI</v>
      </c>
      <c r="F16360">
        <v>0.86</v>
      </c>
      <c r="G16360">
        <v>0.89</v>
      </c>
      <c r="H16360" s="1" t="str">
        <f>HYPERLINK("http://www.weizmann.ac.il/complex/compphys/software/geview/data/figures/217137_x_at.png","Figure")</f>
        <v>Figure</v>
      </c>
      <c r="I16360">
        <v>1.04</v>
      </c>
      <c r="J16360">
        <v>0.9</v>
      </c>
      <c r="K16360">
        <v>0.995</v>
      </c>
      <c r="L16360">
        <v>1</v>
      </c>
      <c r="M16360">
        <v>0.95499999999999996</v>
      </c>
      <c r="N16360">
        <v>0.86</v>
      </c>
    </row>
    <row r="16361" spans="1:14" x14ac:dyDescent="0.25">
      <c r="A16361" t="s">
        <v>27438</v>
      </c>
      <c r="B16361" t="s">
        <v>27439</v>
      </c>
      <c r="C16361" s="1" t="str">
        <f>HYPERLINK("http://www.genecards.org/cgi-bin/carddisp.pl?gene=RFC4","GeneCards")</f>
        <v>GeneCards</v>
      </c>
      <c r="D16361" s="1" t="str">
        <f>HYPERLINK("http://genome-euro.ucsc.edu/cgi-bin/hgTracks?position=204023_at","UCSC")</f>
        <v>UCSC</v>
      </c>
      <c r="E16361" s="1" t="str">
        <f>HYPERLINK("http://www.ncbi.nlm.nih.gov/gene/?term=RFC4","NCBI")</f>
        <v>NCBI</v>
      </c>
      <c r="F16361">
        <v>0.86</v>
      </c>
      <c r="G16361">
        <v>0.89</v>
      </c>
      <c r="H16361" s="1" t="str">
        <f>HYPERLINK("http://www.weizmann.ac.il/complex/compphys/software/geview/data/figures/204023_at.png","Figure")</f>
        <v>Figure</v>
      </c>
      <c r="I16361">
        <v>1.07</v>
      </c>
      <c r="J16361">
        <v>0.92</v>
      </c>
      <c r="K16361">
        <v>1.0900000000000001</v>
      </c>
      <c r="L16361">
        <v>0.85</v>
      </c>
      <c r="M16361">
        <v>1.02</v>
      </c>
      <c r="N16361">
        <v>0.99</v>
      </c>
    </row>
    <row r="16362" spans="1:14" x14ac:dyDescent="0.25">
      <c r="A16362" t="s">
        <v>27440</v>
      </c>
      <c r="B16362" t="s">
        <v>27441</v>
      </c>
      <c r="C16362" s="1" t="str">
        <f>HYPERLINK("http://www.genecards.org/cgi-bin/carddisp.pl?gene=MGC12488","GeneCards")</f>
        <v>GeneCards</v>
      </c>
      <c r="D16362" s="1" t="str">
        <f>HYPERLINK("http://genome-euro.ucsc.edu/cgi-bin/hgTracks?position=211386_at","UCSC")</f>
        <v>UCSC</v>
      </c>
      <c r="E16362" s="1" t="str">
        <f>HYPERLINK("http://www.ncbi.nlm.nih.gov/gene/?term=MGC12488","NCBI")</f>
        <v>NCBI</v>
      </c>
      <c r="F16362">
        <v>0.86</v>
      </c>
      <c r="G16362">
        <v>0.89</v>
      </c>
      <c r="H16362" s="1" t="str">
        <f>HYPERLINK("http://www.weizmann.ac.il/complex/compphys/software/geview/data/figures/211386_at.png","Figure")</f>
        <v>Figure</v>
      </c>
      <c r="I16362">
        <v>0.97399999999999998</v>
      </c>
      <c r="J16362">
        <v>0.99</v>
      </c>
      <c r="K16362">
        <v>0.92100000000000004</v>
      </c>
      <c r="L16362">
        <v>0.86</v>
      </c>
      <c r="M16362">
        <v>0.94599999999999995</v>
      </c>
      <c r="N16362">
        <v>0.94</v>
      </c>
    </row>
    <row r="16363" spans="1:14" x14ac:dyDescent="0.25">
      <c r="A16363" t="s">
        <v>27442</v>
      </c>
      <c r="B16363" t="s">
        <v>11567</v>
      </c>
      <c r="C16363" s="1" t="str">
        <f>HYPERLINK("http://www.genecards.org/cgi-bin/carddisp.pl?gene=GDF11","GeneCards")</f>
        <v>GeneCards</v>
      </c>
      <c r="D16363" s="1" t="str">
        <f>HYPERLINK("http://genome-euro.ucsc.edu/cgi-bin/hgTracks?position=216860_s_at","UCSC")</f>
        <v>UCSC</v>
      </c>
      <c r="E16363" s="1" t="str">
        <f>HYPERLINK("http://www.ncbi.nlm.nih.gov/gene/?term=GDF11","NCBI")</f>
        <v>NCBI</v>
      </c>
      <c r="F16363">
        <v>0.86</v>
      </c>
      <c r="G16363">
        <v>0.89</v>
      </c>
      <c r="H16363" s="1" t="str">
        <f>HYPERLINK("http://www.weizmann.ac.il/complex/compphys/software/geview/data/figures/216860_s_at.png","Figure")</f>
        <v>Figure</v>
      </c>
      <c r="I16363">
        <v>0.97299999999999998</v>
      </c>
      <c r="J16363">
        <v>0.98</v>
      </c>
      <c r="K16363">
        <v>0.94199999999999995</v>
      </c>
      <c r="L16363">
        <v>0.85</v>
      </c>
      <c r="M16363">
        <v>0.96699999999999997</v>
      </c>
      <c r="N16363">
        <v>0.96</v>
      </c>
    </row>
    <row r="16364" spans="1:14" x14ac:dyDescent="0.25">
      <c r="A16364" t="s">
        <v>27443</v>
      </c>
      <c r="B16364" t="s">
        <v>27444</v>
      </c>
      <c r="C16364" s="1" t="str">
        <f>HYPERLINK("http://www.genecards.org/cgi-bin/carddisp.pl?gene=GSTK1","GeneCards")</f>
        <v>GeneCards</v>
      </c>
      <c r="D16364" s="1" t="str">
        <f>HYPERLINK("http://genome-euro.ucsc.edu/cgi-bin/hgTracks?position=217751_at","UCSC")</f>
        <v>UCSC</v>
      </c>
      <c r="E16364" s="1" t="str">
        <f>HYPERLINK("http://www.ncbi.nlm.nih.gov/gene/?term=GSTK1","NCBI")</f>
        <v>NCBI</v>
      </c>
      <c r="F16364">
        <v>0.86</v>
      </c>
      <c r="G16364">
        <v>0.89</v>
      </c>
      <c r="H16364" s="1" t="str">
        <f>HYPERLINK("http://www.weizmann.ac.il/complex/compphys/software/geview/data/figures/217751_at.png","Figure")</f>
        <v>Figure</v>
      </c>
      <c r="I16364">
        <v>1.07</v>
      </c>
      <c r="J16364">
        <v>0.9</v>
      </c>
      <c r="K16364">
        <v>1.07</v>
      </c>
      <c r="L16364">
        <v>0.87</v>
      </c>
      <c r="M16364">
        <v>0.999</v>
      </c>
      <c r="N16364">
        <v>1</v>
      </c>
    </row>
    <row r="16365" spans="1:14" x14ac:dyDescent="0.25">
      <c r="A16365" t="s">
        <v>27445</v>
      </c>
      <c r="B16365" t="s">
        <v>20177</v>
      </c>
      <c r="C16365" s="1" t="str">
        <f>HYPERLINK("http://www.genecards.org/cgi-bin/carddisp.pl?gene=C19orf2","GeneCards")</f>
        <v>GeneCards</v>
      </c>
      <c r="D16365" s="1" t="str">
        <f>HYPERLINK("http://genome-euro.ucsc.edu/cgi-bin/hgTracks?position=214173_x_at","UCSC")</f>
        <v>UCSC</v>
      </c>
      <c r="E16365" s="1" t="str">
        <f>HYPERLINK("http://www.ncbi.nlm.nih.gov/gene/?term=C19orf2","NCBI")</f>
        <v>NCBI</v>
      </c>
      <c r="F16365">
        <v>0.86</v>
      </c>
      <c r="G16365">
        <v>0.9</v>
      </c>
      <c r="H16365" s="1" t="str">
        <f>HYPERLINK("http://www.weizmann.ac.il/complex/compphys/software/geview/data/figures/214173_x_at.png","Figure")</f>
        <v>Figure</v>
      </c>
      <c r="I16365">
        <v>0.98899999999999999</v>
      </c>
      <c r="J16365">
        <v>1</v>
      </c>
      <c r="K16365">
        <v>1.05</v>
      </c>
      <c r="L16365">
        <v>0.91</v>
      </c>
      <c r="M16365">
        <v>1.06</v>
      </c>
      <c r="N16365">
        <v>0.88</v>
      </c>
    </row>
    <row r="16366" spans="1:14" x14ac:dyDescent="0.25">
      <c r="A16366" t="s">
        <v>27446</v>
      </c>
      <c r="B16366" t="s">
        <v>27447</v>
      </c>
      <c r="C16366" s="1" t="str">
        <f>HYPERLINK("http://www.genecards.org/cgi-bin/carddisp.pl?gene=HIST1H2BE","GeneCards")</f>
        <v>GeneCards</v>
      </c>
      <c r="D16366" s="1" t="str">
        <f>HYPERLINK("http://genome-euro.ucsc.edu/cgi-bin/hgTracks?position=208527_x_at","UCSC")</f>
        <v>UCSC</v>
      </c>
      <c r="E16366" s="1" t="str">
        <f>HYPERLINK("http://www.ncbi.nlm.nih.gov/gene/?term=HIST1H2BE","NCBI")</f>
        <v>NCBI</v>
      </c>
      <c r="F16366">
        <v>0.86</v>
      </c>
      <c r="G16366">
        <v>0.9</v>
      </c>
      <c r="H16366" s="1" t="str">
        <f>HYPERLINK("http://www.weizmann.ac.il/complex/compphys/software/geview/data/figures/208527_x_at.png","Figure")</f>
        <v>Figure</v>
      </c>
      <c r="I16366">
        <v>1.1499999999999999</v>
      </c>
      <c r="J16366">
        <v>0.86</v>
      </c>
      <c r="K16366">
        <v>1.03</v>
      </c>
      <c r="L16366">
        <v>0.99</v>
      </c>
      <c r="M16366">
        <v>0.89300000000000002</v>
      </c>
      <c r="N16366">
        <v>0.9</v>
      </c>
    </row>
    <row r="16367" spans="1:14" x14ac:dyDescent="0.25">
      <c r="A16367" t="s">
        <v>27448</v>
      </c>
      <c r="B16367" t="s">
        <v>17376</v>
      </c>
      <c r="C16367" s="1" t="str">
        <f>HYPERLINK("http://www.genecards.org/cgi-bin/carddisp.pl?gene=EPHB2","GeneCards")</f>
        <v>GeneCards</v>
      </c>
      <c r="D16367" s="1" t="str">
        <f>HYPERLINK("http://genome-euro.ucsc.edu/cgi-bin/hgTracks?position=211165_x_at","UCSC")</f>
        <v>UCSC</v>
      </c>
      <c r="E16367" s="1" t="str">
        <f>HYPERLINK("http://www.ncbi.nlm.nih.gov/gene/?term=EPHB2","NCBI")</f>
        <v>NCBI</v>
      </c>
      <c r="F16367">
        <v>0.86</v>
      </c>
      <c r="G16367">
        <v>0.9</v>
      </c>
      <c r="H16367" s="1" t="str">
        <f>HYPERLINK("http://www.weizmann.ac.il/complex/compphys/software/geview/data/figures/211165_x_at.png","Figure")</f>
        <v>Figure</v>
      </c>
      <c r="I16367">
        <v>1.03</v>
      </c>
      <c r="J16367">
        <v>0.85</v>
      </c>
      <c r="K16367">
        <v>1.01</v>
      </c>
      <c r="L16367">
        <v>0.97</v>
      </c>
      <c r="M16367">
        <v>0.97899999999999998</v>
      </c>
      <c r="N16367">
        <v>0.93</v>
      </c>
    </row>
    <row r="16368" spans="1:14" x14ac:dyDescent="0.25">
      <c r="A16368" t="s">
        <v>27449</v>
      </c>
      <c r="B16368" t="s">
        <v>27450</v>
      </c>
      <c r="C16368" s="1" t="str">
        <f>HYPERLINK("http://www.genecards.org/cgi-bin/carddisp.pl?gene=NDUFB7","GeneCards")</f>
        <v>GeneCards</v>
      </c>
      <c r="D16368" s="1" t="str">
        <f>HYPERLINK("http://genome-euro.ucsc.edu/cgi-bin/hgTracks?position=202839_s_at","UCSC")</f>
        <v>UCSC</v>
      </c>
      <c r="E16368" s="1" t="str">
        <f>HYPERLINK("http://www.ncbi.nlm.nih.gov/gene/?term=NDUFB7","NCBI")</f>
        <v>NCBI</v>
      </c>
      <c r="F16368">
        <v>0.86</v>
      </c>
      <c r="G16368">
        <v>0.9</v>
      </c>
      <c r="H16368" s="1" t="str">
        <f>HYPERLINK("http://www.weizmann.ac.il/complex/compphys/software/geview/data/figures/202839_s_at.png","Figure")</f>
        <v>Figure</v>
      </c>
      <c r="I16368">
        <v>1</v>
      </c>
      <c r="J16368">
        <v>1</v>
      </c>
      <c r="K16368">
        <v>0.95399999999999996</v>
      </c>
      <c r="L16368">
        <v>0.89</v>
      </c>
      <c r="M16368">
        <v>0.95099999999999996</v>
      </c>
      <c r="N16368">
        <v>0.89</v>
      </c>
    </row>
    <row r="16369" spans="1:14" x14ac:dyDescent="0.25">
      <c r="A16369" t="s">
        <v>27451</v>
      </c>
      <c r="B16369" t="s">
        <v>27452</v>
      </c>
      <c r="C16369" s="1" t="str">
        <f>HYPERLINK("http://www.genecards.org/cgi-bin/carddisp.pl?gene=SLC4A2","GeneCards")</f>
        <v>GeneCards</v>
      </c>
      <c r="D16369" s="1" t="str">
        <f>HYPERLINK("http://genome-euro.ucsc.edu/cgi-bin/hgTracks?position=202111_at","UCSC")</f>
        <v>UCSC</v>
      </c>
      <c r="E16369" s="1" t="str">
        <f>HYPERLINK("http://www.ncbi.nlm.nih.gov/gene/?term=SLC4A2","NCBI")</f>
        <v>NCBI</v>
      </c>
      <c r="F16369">
        <v>0.86</v>
      </c>
      <c r="G16369">
        <v>0.9</v>
      </c>
      <c r="H16369" s="1" t="str">
        <f>HYPERLINK("http://www.weizmann.ac.il/complex/compphys/software/geview/data/figures/202111_at.png","Figure")</f>
        <v>Figure</v>
      </c>
      <c r="I16369">
        <v>0.91900000000000004</v>
      </c>
      <c r="J16369">
        <v>0.86</v>
      </c>
      <c r="K16369">
        <v>0.97699999999999998</v>
      </c>
      <c r="L16369">
        <v>0.99</v>
      </c>
      <c r="M16369">
        <v>1.06</v>
      </c>
      <c r="N16369">
        <v>0.91</v>
      </c>
    </row>
    <row r="16370" spans="1:14" x14ac:dyDescent="0.25">
      <c r="A16370" t="s">
        <v>27453</v>
      </c>
      <c r="B16370" t="s">
        <v>27454</v>
      </c>
      <c r="C16370" s="1" t="str">
        <f>HYPERLINK("http://www.genecards.org/cgi-bin/carddisp.pl?gene=KIAA1772","GeneCards")</f>
        <v>GeneCards</v>
      </c>
      <c r="D16370" s="1" t="str">
        <f>HYPERLINK("http://genome-euro.ucsc.edu/cgi-bin/hgTracks?position=220340_at","UCSC")</f>
        <v>UCSC</v>
      </c>
      <c r="E16370" s="1" t="str">
        <f>HYPERLINK("http://www.ncbi.nlm.nih.gov/gene/?term=KIAA1772","NCBI")</f>
        <v>NCBI</v>
      </c>
      <c r="F16370">
        <v>0.86</v>
      </c>
      <c r="G16370">
        <v>0.9</v>
      </c>
      <c r="H16370" s="1" t="str">
        <f>HYPERLINK("http://www.weizmann.ac.il/complex/compphys/software/geview/data/figures/220340_at.png","Figure")</f>
        <v>Figure</v>
      </c>
      <c r="I16370">
        <v>1.04</v>
      </c>
      <c r="J16370">
        <v>0.89</v>
      </c>
      <c r="K16370">
        <v>0.997</v>
      </c>
      <c r="L16370">
        <v>1</v>
      </c>
      <c r="M16370">
        <v>0.95699999999999996</v>
      </c>
      <c r="N16370">
        <v>0.87</v>
      </c>
    </row>
    <row r="16371" spans="1:14" x14ac:dyDescent="0.25">
      <c r="A16371" t="s">
        <v>27455</v>
      </c>
      <c r="B16371" t="s">
        <v>4626</v>
      </c>
      <c r="C16371" s="1" t="str">
        <f>HYPERLINK("http://www.genecards.org/cgi-bin/carddisp.pl?gene=WDR1","GeneCards")</f>
        <v>GeneCards</v>
      </c>
      <c r="D16371" s="1" t="str">
        <f>HYPERLINK("http://genome-euro.ucsc.edu/cgi-bin/hgTracks?position=210936_at","UCSC")</f>
        <v>UCSC</v>
      </c>
      <c r="E16371" s="1" t="str">
        <f>HYPERLINK("http://www.ncbi.nlm.nih.gov/gene/?term=WDR1","NCBI")</f>
        <v>NCBI</v>
      </c>
      <c r="F16371">
        <v>0.86</v>
      </c>
      <c r="G16371">
        <v>0.9</v>
      </c>
      <c r="H16371" s="1" t="str">
        <f>HYPERLINK("http://www.weizmann.ac.il/complex/compphys/software/geview/data/figures/210936_at.png","Figure")</f>
        <v>Figure</v>
      </c>
      <c r="I16371">
        <v>0.99099999999999999</v>
      </c>
      <c r="J16371">
        <v>0.99</v>
      </c>
      <c r="K16371">
        <v>1.02</v>
      </c>
      <c r="L16371">
        <v>0.92</v>
      </c>
      <c r="M16371">
        <v>1.03</v>
      </c>
      <c r="N16371">
        <v>0.87</v>
      </c>
    </row>
    <row r="16372" spans="1:14" x14ac:dyDescent="0.25">
      <c r="A16372" t="s">
        <v>27456</v>
      </c>
      <c r="B16372" t="s">
        <v>11503</v>
      </c>
      <c r="C16372" s="1" t="str">
        <f>HYPERLINK("http://www.genecards.org/cgi-bin/carddisp.pl?gene=MXD4","GeneCards")</f>
        <v>GeneCards</v>
      </c>
      <c r="D16372" s="1" t="str">
        <f>HYPERLINK("http://genome-euro.ucsc.edu/cgi-bin/hgTracks?position=210778_s_at","UCSC")</f>
        <v>UCSC</v>
      </c>
      <c r="E16372" s="1" t="str">
        <f>HYPERLINK("http://www.ncbi.nlm.nih.gov/gene/?term=MXD4","NCBI")</f>
        <v>NCBI</v>
      </c>
      <c r="F16372">
        <v>0.86</v>
      </c>
      <c r="G16372">
        <v>0.9</v>
      </c>
      <c r="H16372" s="1" t="str">
        <f>HYPERLINK("http://www.weizmann.ac.il/complex/compphys/software/geview/data/figures/210778_s_at.png","Figure")</f>
        <v>Figure</v>
      </c>
      <c r="I16372">
        <v>0.998</v>
      </c>
      <c r="J16372">
        <v>1</v>
      </c>
      <c r="K16372">
        <v>0.94099999999999995</v>
      </c>
      <c r="L16372">
        <v>0.88</v>
      </c>
      <c r="M16372">
        <v>0.94299999999999995</v>
      </c>
      <c r="N16372">
        <v>0.9</v>
      </c>
    </row>
    <row r="16373" spans="1:14" x14ac:dyDescent="0.25">
      <c r="A16373" t="s">
        <v>27457</v>
      </c>
      <c r="B16373" t="s">
        <v>26772</v>
      </c>
      <c r="C16373" s="1" t="str">
        <f>HYPERLINK("http://www.genecards.org/cgi-bin/carddisp.pl?gene=CA1","GeneCards")</f>
        <v>GeneCards</v>
      </c>
      <c r="D16373" s="1" t="str">
        <f>HYPERLINK("http://genome-euro.ucsc.edu/cgi-bin/hgTracks?position=205949_at","UCSC")</f>
        <v>UCSC</v>
      </c>
      <c r="E16373" s="1" t="str">
        <f>HYPERLINK("http://www.ncbi.nlm.nih.gov/gene/?term=CA1","NCBI")</f>
        <v>NCBI</v>
      </c>
      <c r="F16373">
        <v>0.86</v>
      </c>
      <c r="G16373">
        <v>0.9</v>
      </c>
      <c r="H16373" s="1" t="str">
        <f>HYPERLINK("http://www.weizmann.ac.il/complex/compphys/software/geview/data/figures/205949_at.png","Figure")</f>
        <v>Figure</v>
      </c>
      <c r="I16373">
        <v>0.99199999999999999</v>
      </c>
      <c r="J16373">
        <v>0.91</v>
      </c>
      <c r="K16373">
        <v>1</v>
      </c>
      <c r="L16373">
        <v>1</v>
      </c>
      <c r="M16373">
        <v>1.01</v>
      </c>
      <c r="N16373">
        <v>0.86</v>
      </c>
    </row>
    <row r="16374" spans="1:14" x14ac:dyDescent="0.25">
      <c r="A16374" t="s">
        <v>27458</v>
      </c>
      <c r="B16374" t="s">
        <v>21344</v>
      </c>
      <c r="C16374" s="1" t="str">
        <f>HYPERLINK("http://www.genecards.org/cgi-bin/carddisp.pl?gene=HAB1","GeneCards")</f>
        <v>GeneCards</v>
      </c>
      <c r="D16374" s="1" t="str">
        <f>HYPERLINK("http://genome-euro.ucsc.edu/cgi-bin/hgTracks?position=216875_x_at","UCSC")</f>
        <v>UCSC</v>
      </c>
      <c r="E16374" s="1" t="str">
        <f>HYPERLINK("http://www.ncbi.nlm.nih.gov/gene/?term=HAB1","NCBI")</f>
        <v>NCBI</v>
      </c>
      <c r="F16374">
        <v>0.86</v>
      </c>
      <c r="G16374">
        <v>0.9</v>
      </c>
      <c r="H16374" s="1" t="str">
        <f>HYPERLINK("http://www.weizmann.ac.il/complex/compphys/software/geview/data/figures/216875_x_at.png","Figure")</f>
        <v>Figure</v>
      </c>
      <c r="I16374">
        <v>0.96599999999999997</v>
      </c>
      <c r="J16374">
        <v>0.93</v>
      </c>
      <c r="K16374">
        <v>1.01</v>
      </c>
      <c r="L16374">
        <v>0.98</v>
      </c>
      <c r="M16374">
        <v>1.05</v>
      </c>
      <c r="N16374">
        <v>0.85</v>
      </c>
    </row>
    <row r="16375" spans="1:14" x14ac:dyDescent="0.25">
      <c r="A16375" t="s">
        <v>27459</v>
      </c>
      <c r="B16375" t="s">
        <v>27460</v>
      </c>
      <c r="C16375" s="1" t="str">
        <f>HYPERLINK("http://www.genecards.org/cgi-bin/carddisp.pl?gene=GK2","GeneCards")</f>
        <v>GeneCards</v>
      </c>
      <c r="D16375" s="1" t="str">
        <f>HYPERLINK("http://genome-euro.ucsc.edu/cgi-bin/hgTracks?position=215430_at","UCSC")</f>
        <v>UCSC</v>
      </c>
      <c r="E16375" s="1" t="str">
        <f>HYPERLINK("http://www.ncbi.nlm.nih.gov/gene/?term=GK2","NCBI")</f>
        <v>NCBI</v>
      </c>
      <c r="F16375">
        <v>0.86</v>
      </c>
      <c r="G16375">
        <v>0.9</v>
      </c>
      <c r="H16375" s="1" t="str">
        <f>HYPERLINK("http://www.weizmann.ac.il/complex/compphys/software/geview/data/figures/215430_at.png","Figure")</f>
        <v>Figure</v>
      </c>
      <c r="I16375">
        <v>1</v>
      </c>
      <c r="J16375">
        <v>1</v>
      </c>
      <c r="K16375">
        <v>1.01</v>
      </c>
      <c r="L16375">
        <v>0.87</v>
      </c>
      <c r="M16375">
        <v>1.01</v>
      </c>
      <c r="N16375">
        <v>0.92</v>
      </c>
    </row>
    <row r="16376" spans="1:14" x14ac:dyDescent="0.25">
      <c r="A16376" t="s">
        <v>27461</v>
      </c>
      <c r="B16376" t="s">
        <v>16850</v>
      </c>
      <c r="C16376" s="1" t="str">
        <f>HYPERLINK("http://www.genecards.org/cgi-bin/carddisp.pl?gene=KLK10","GeneCards")</f>
        <v>GeneCards</v>
      </c>
      <c r="D16376" s="1" t="str">
        <f>HYPERLINK("http://genome-euro.ucsc.edu/cgi-bin/hgTracks?position=215808_at","UCSC")</f>
        <v>UCSC</v>
      </c>
      <c r="E16376" s="1" t="str">
        <f>HYPERLINK("http://www.ncbi.nlm.nih.gov/gene/?term=KLK10","NCBI")</f>
        <v>NCBI</v>
      </c>
      <c r="F16376">
        <v>0.86</v>
      </c>
      <c r="G16376">
        <v>0.9</v>
      </c>
      <c r="H16376" s="1" t="str">
        <f>HYPERLINK("http://www.weizmann.ac.il/complex/compphys/software/geview/data/figures/215808_at.png","Figure")</f>
        <v>Figure</v>
      </c>
      <c r="I16376">
        <v>0.995</v>
      </c>
      <c r="J16376">
        <v>0.99</v>
      </c>
      <c r="K16376">
        <v>1.01</v>
      </c>
      <c r="L16376">
        <v>0.93</v>
      </c>
      <c r="M16376">
        <v>1.02</v>
      </c>
      <c r="N16376">
        <v>0.87</v>
      </c>
    </row>
    <row r="16377" spans="1:14" x14ac:dyDescent="0.25">
      <c r="A16377" t="s">
        <v>27462</v>
      </c>
      <c r="B16377" t="s">
        <v>22462</v>
      </c>
      <c r="C16377" s="1" t="str">
        <f>HYPERLINK("http://www.genecards.org/cgi-bin/carddisp.pl?gene=AP3D1","GeneCards")</f>
        <v>GeneCards</v>
      </c>
      <c r="D16377" s="1" t="str">
        <f>HYPERLINK("http://genome-euro.ucsc.edu/cgi-bin/hgTracks?position=208710_s_at","UCSC")</f>
        <v>UCSC</v>
      </c>
      <c r="E16377" s="1" t="str">
        <f>HYPERLINK("http://www.ncbi.nlm.nih.gov/gene/?term=AP3D1","NCBI")</f>
        <v>NCBI</v>
      </c>
      <c r="F16377">
        <v>0.86</v>
      </c>
      <c r="G16377">
        <v>0.9</v>
      </c>
      <c r="H16377" s="1" t="str">
        <f>HYPERLINK("http://www.weizmann.ac.il/complex/compphys/software/geview/data/figures/208710_s_at.png","Figure")</f>
        <v>Figure</v>
      </c>
      <c r="I16377">
        <v>1.1399999999999999</v>
      </c>
      <c r="J16377">
        <v>0.87</v>
      </c>
      <c r="K16377">
        <v>1.02</v>
      </c>
      <c r="L16377">
        <v>1</v>
      </c>
      <c r="M16377">
        <v>0.89300000000000002</v>
      </c>
      <c r="N16377">
        <v>0.89</v>
      </c>
    </row>
    <row r="16378" spans="1:14" x14ac:dyDescent="0.25">
      <c r="A16378" t="s">
        <v>27463</v>
      </c>
      <c r="B16378" t="s">
        <v>27464</v>
      </c>
      <c r="C16378" s="1" t="str">
        <f>HYPERLINK("http://www.genecards.org/cgi-bin/carddisp.pl?gene=IGL@ /// IGLV3-19","GeneCards")</f>
        <v>GeneCards</v>
      </c>
      <c r="D16378" s="1" t="str">
        <f>HYPERLINK("http://genome-euro.ucsc.edu/cgi-bin/hgTracks?position=216365_x_at","UCSC")</f>
        <v>UCSC</v>
      </c>
      <c r="E16378" s="1" t="str">
        <f>HYPERLINK("http://www.ncbi.nlm.nih.gov/gene/?term=IGL@ /// IGLV3-19","NCBI")</f>
        <v>NCBI</v>
      </c>
      <c r="F16378">
        <v>0.87</v>
      </c>
      <c r="G16378">
        <v>0.9</v>
      </c>
      <c r="H16378" s="1" t="str">
        <f>HYPERLINK("http://www.weizmann.ac.il/complex/compphys/software/geview/data/figures/216365_x_at.png","Figure")</f>
        <v>Figure</v>
      </c>
      <c r="I16378">
        <v>1.03</v>
      </c>
      <c r="J16378">
        <v>0.91</v>
      </c>
      <c r="K16378">
        <v>1.03</v>
      </c>
      <c r="L16378">
        <v>0.87</v>
      </c>
      <c r="M16378">
        <v>1</v>
      </c>
      <c r="N16378">
        <v>1</v>
      </c>
    </row>
    <row r="16379" spans="1:14" x14ac:dyDescent="0.25">
      <c r="A16379" t="s">
        <v>27465</v>
      </c>
      <c r="B16379" t="s">
        <v>12323</v>
      </c>
      <c r="C16379" s="1" t="str">
        <f>HYPERLINK("http://www.genecards.org/cgi-bin/carddisp.pl?gene=MAP3K7","GeneCards")</f>
        <v>GeneCards</v>
      </c>
      <c r="D16379" s="1" t="str">
        <f>HYPERLINK("http://genome-euro.ucsc.edu/cgi-bin/hgTracks?position=206853_s_at","UCSC")</f>
        <v>UCSC</v>
      </c>
      <c r="E16379" s="1" t="str">
        <f>HYPERLINK("http://www.ncbi.nlm.nih.gov/gene/?term=MAP3K7","NCBI")</f>
        <v>NCBI</v>
      </c>
      <c r="F16379">
        <v>0.87</v>
      </c>
      <c r="G16379">
        <v>0.9</v>
      </c>
      <c r="H16379" s="1" t="str">
        <f>HYPERLINK("http://www.weizmann.ac.il/complex/compphys/software/geview/data/figures/206853_s_at.png","Figure")</f>
        <v>Figure</v>
      </c>
      <c r="I16379">
        <v>0.95399999999999996</v>
      </c>
      <c r="J16379">
        <v>0.91</v>
      </c>
      <c r="K16379">
        <v>1.01</v>
      </c>
      <c r="L16379">
        <v>0.99</v>
      </c>
      <c r="M16379">
        <v>1.06</v>
      </c>
      <c r="N16379">
        <v>0.86</v>
      </c>
    </row>
    <row r="16380" spans="1:14" x14ac:dyDescent="0.25">
      <c r="A16380" t="s">
        <v>27466</v>
      </c>
      <c r="B16380" t="s">
        <v>27467</v>
      </c>
      <c r="C16380" s="1" t="str">
        <f>HYPERLINK("http://www.genecards.org/cgi-bin/carddisp.pl?gene=EFNA4","GeneCards")</f>
        <v>GeneCards</v>
      </c>
      <c r="D16380" s="1" t="str">
        <f>HYPERLINK("http://genome-euro.ucsc.edu/cgi-bin/hgTracks?position=205107_s_at","UCSC")</f>
        <v>UCSC</v>
      </c>
      <c r="E16380" s="1" t="str">
        <f>HYPERLINK("http://www.ncbi.nlm.nih.gov/gene/?term=EFNA4","NCBI")</f>
        <v>NCBI</v>
      </c>
      <c r="F16380">
        <v>0.87</v>
      </c>
      <c r="G16380">
        <v>0.9</v>
      </c>
      <c r="H16380" s="1" t="str">
        <f>HYPERLINK("http://www.weizmann.ac.il/complex/compphys/software/geview/data/figures/205107_s_at.png","Figure")</f>
        <v>Figure</v>
      </c>
      <c r="I16380">
        <v>1.02</v>
      </c>
      <c r="J16380">
        <v>0.88</v>
      </c>
      <c r="K16380">
        <v>1.02</v>
      </c>
      <c r="L16380">
        <v>0.89</v>
      </c>
      <c r="M16380">
        <v>0.997</v>
      </c>
      <c r="N16380">
        <v>1</v>
      </c>
    </row>
    <row r="16381" spans="1:14" x14ac:dyDescent="0.25">
      <c r="A16381" t="s">
        <v>27468</v>
      </c>
      <c r="B16381" t="s">
        <v>25797</v>
      </c>
      <c r="C16381" s="1" t="str">
        <f>HYPERLINK("http://www.genecards.org/cgi-bin/carddisp.pl?gene=MAP3K5","GeneCards")</f>
        <v>GeneCards</v>
      </c>
      <c r="D16381" s="1" t="str">
        <f>HYPERLINK("http://genome-euro.ucsc.edu/cgi-bin/hgTracks?position=203837_at","UCSC")</f>
        <v>UCSC</v>
      </c>
      <c r="E16381" s="1" t="str">
        <f>HYPERLINK("http://www.ncbi.nlm.nih.gov/gene/?term=MAP3K5","NCBI")</f>
        <v>NCBI</v>
      </c>
      <c r="F16381">
        <v>0.87</v>
      </c>
      <c r="G16381">
        <v>0.9</v>
      </c>
      <c r="H16381" s="1" t="str">
        <f>HYPERLINK("http://www.weizmann.ac.il/complex/compphys/software/geview/data/figures/203837_at.png","Figure")</f>
        <v>Figure</v>
      </c>
      <c r="I16381">
        <v>1.1100000000000001</v>
      </c>
      <c r="J16381">
        <v>0.86</v>
      </c>
      <c r="K16381">
        <v>1.07</v>
      </c>
      <c r="L16381">
        <v>0.92</v>
      </c>
      <c r="M16381">
        <v>0.96299999999999997</v>
      </c>
      <c r="N16381">
        <v>0.98</v>
      </c>
    </row>
    <row r="16382" spans="1:14" x14ac:dyDescent="0.25">
      <c r="A16382" t="s">
        <v>27469</v>
      </c>
      <c r="B16382" t="s">
        <v>17265</v>
      </c>
      <c r="C16382" s="1" t="str">
        <f>HYPERLINK("http://www.genecards.org/cgi-bin/carddisp.pl?gene=TFE3","GeneCards")</f>
        <v>GeneCards</v>
      </c>
      <c r="D16382" s="1" t="str">
        <f>HYPERLINK("http://genome-euro.ucsc.edu/cgi-bin/hgTracks?position=206649_s_at","UCSC")</f>
        <v>UCSC</v>
      </c>
      <c r="E16382" s="1" t="str">
        <f>HYPERLINK("http://www.ncbi.nlm.nih.gov/gene/?term=TFE3","NCBI")</f>
        <v>NCBI</v>
      </c>
      <c r="F16382">
        <v>0.87</v>
      </c>
      <c r="G16382">
        <v>0.9</v>
      </c>
      <c r="H16382" s="1" t="str">
        <f>HYPERLINK("http://www.weizmann.ac.il/complex/compphys/software/geview/data/figures/206649_s_at.png","Figure")</f>
        <v>Figure</v>
      </c>
      <c r="I16382">
        <v>1.02</v>
      </c>
      <c r="J16382">
        <v>0.95</v>
      </c>
      <c r="K16382">
        <v>1.04</v>
      </c>
      <c r="L16382">
        <v>0.85</v>
      </c>
      <c r="M16382">
        <v>1.01</v>
      </c>
      <c r="N16382">
        <v>0.98</v>
      </c>
    </row>
    <row r="16383" spans="1:14" x14ac:dyDescent="0.25">
      <c r="A16383" t="s">
        <v>27470</v>
      </c>
      <c r="B16383" t="s">
        <v>27471</v>
      </c>
      <c r="C16383" s="1" t="str">
        <f>HYPERLINK("http://www.genecards.org/cgi-bin/carddisp.pl?gene=POU5F1P3","GeneCards")</f>
        <v>GeneCards</v>
      </c>
      <c r="D16383" s="1" t="str">
        <f>HYPERLINK("http://genome-euro.ucsc.edu/cgi-bin/hgTracks?position=210265_x_at","UCSC")</f>
        <v>UCSC</v>
      </c>
      <c r="E16383" s="1" t="str">
        <f>HYPERLINK("http://www.ncbi.nlm.nih.gov/gene/?term=POU5F1P3","NCBI")</f>
        <v>NCBI</v>
      </c>
      <c r="F16383">
        <v>0.87</v>
      </c>
      <c r="G16383">
        <v>0.9</v>
      </c>
      <c r="H16383" s="1" t="str">
        <f>HYPERLINK("http://www.weizmann.ac.il/complex/compphys/software/geview/data/figures/210265_x_at.png","Figure")</f>
        <v>Figure</v>
      </c>
      <c r="I16383">
        <v>0.996</v>
      </c>
      <c r="J16383">
        <v>0.98</v>
      </c>
      <c r="K16383">
        <v>0.99099999999999999</v>
      </c>
      <c r="L16383">
        <v>0.86</v>
      </c>
      <c r="M16383">
        <v>0.99399999999999999</v>
      </c>
      <c r="N16383">
        <v>0.95</v>
      </c>
    </row>
    <row r="16384" spans="1:14" x14ac:dyDescent="0.25">
      <c r="A16384" t="s">
        <v>27472</v>
      </c>
      <c r="B16384" t="s">
        <v>23212</v>
      </c>
      <c r="C16384" s="1" t="str">
        <f>HYPERLINK("http://www.genecards.org/cgi-bin/carddisp.pl?gene=HNRNPR","GeneCards")</f>
        <v>GeneCards</v>
      </c>
      <c r="D16384" s="1" t="str">
        <f>HYPERLINK("http://genome-euro.ucsc.edu/cgi-bin/hgTracks?position=208766_s_at","UCSC")</f>
        <v>UCSC</v>
      </c>
      <c r="E16384" s="1" t="str">
        <f>HYPERLINK("http://www.ncbi.nlm.nih.gov/gene/?term=HNRNPR","NCBI")</f>
        <v>NCBI</v>
      </c>
      <c r="F16384">
        <v>0.87</v>
      </c>
      <c r="G16384">
        <v>0.9</v>
      </c>
      <c r="H16384" s="1" t="str">
        <f>HYPERLINK("http://www.weizmann.ac.il/complex/compphys/software/geview/data/figures/208766_s_at.png","Figure")</f>
        <v>Figure</v>
      </c>
      <c r="I16384">
        <v>1.01</v>
      </c>
      <c r="J16384">
        <v>1</v>
      </c>
      <c r="K16384">
        <v>0.95799999999999996</v>
      </c>
      <c r="L16384">
        <v>0.91</v>
      </c>
      <c r="M16384">
        <v>0.95</v>
      </c>
      <c r="N16384">
        <v>0.89</v>
      </c>
    </row>
    <row r="16385" spans="1:14" x14ac:dyDescent="0.25">
      <c r="A16385" t="s">
        <v>27473</v>
      </c>
      <c r="B16385" t="s">
        <v>7507</v>
      </c>
      <c r="C16385" s="1" t="str">
        <f>HYPERLINK("http://www.genecards.org/cgi-bin/carddisp.pl?gene=CYTH1","GeneCards")</f>
        <v>GeneCards</v>
      </c>
      <c r="D16385" s="1" t="str">
        <f>HYPERLINK("http://genome-euro.ucsc.edu/cgi-bin/hgTracks?position=202880_s_at","UCSC")</f>
        <v>UCSC</v>
      </c>
      <c r="E16385" s="1" t="str">
        <f>HYPERLINK("http://www.ncbi.nlm.nih.gov/gene/?term=CYTH1","NCBI")</f>
        <v>NCBI</v>
      </c>
      <c r="F16385">
        <v>0.87</v>
      </c>
      <c r="G16385">
        <v>0.9</v>
      </c>
      <c r="H16385" s="1" t="str">
        <f>HYPERLINK("http://www.weizmann.ac.il/complex/compphys/software/geview/data/figures/202880_s_at.png","Figure")</f>
        <v>Figure</v>
      </c>
      <c r="I16385">
        <v>0.96199999999999997</v>
      </c>
      <c r="J16385">
        <v>0.98</v>
      </c>
      <c r="K16385">
        <v>0.91500000000000004</v>
      </c>
      <c r="L16385">
        <v>0.86</v>
      </c>
      <c r="M16385">
        <v>0.95199999999999996</v>
      </c>
      <c r="N16385">
        <v>0.96</v>
      </c>
    </row>
    <row r="16386" spans="1:14" x14ac:dyDescent="0.25">
      <c r="A16386" t="s">
        <v>27474</v>
      </c>
      <c r="B16386" t="s">
        <v>27475</v>
      </c>
      <c r="C16386" s="1" t="str">
        <f>HYPERLINK("http://www.genecards.org/cgi-bin/carddisp.pl?gene=NUP107","GeneCards")</f>
        <v>GeneCards</v>
      </c>
      <c r="D16386" s="1" t="str">
        <f>HYPERLINK("http://genome-euro.ucsc.edu/cgi-bin/hgTracks?position=218768_at","UCSC")</f>
        <v>UCSC</v>
      </c>
      <c r="E16386" s="1" t="str">
        <f>HYPERLINK("http://www.ncbi.nlm.nih.gov/gene/?term=NUP107","NCBI")</f>
        <v>NCBI</v>
      </c>
      <c r="F16386">
        <v>0.87</v>
      </c>
      <c r="G16386">
        <v>0.9</v>
      </c>
      <c r="H16386" s="1" t="str">
        <f>HYPERLINK("http://www.weizmann.ac.il/complex/compphys/software/geview/data/figures/218768_at.png","Figure")</f>
        <v>Figure</v>
      </c>
      <c r="I16386">
        <v>1.08</v>
      </c>
      <c r="J16386">
        <v>0.92</v>
      </c>
      <c r="K16386">
        <v>0.98</v>
      </c>
      <c r="L16386">
        <v>0.99</v>
      </c>
      <c r="M16386">
        <v>0.90500000000000003</v>
      </c>
      <c r="N16386">
        <v>0.86</v>
      </c>
    </row>
    <row r="16387" spans="1:14" x14ac:dyDescent="0.25">
      <c r="A16387" t="s">
        <v>27476</v>
      </c>
      <c r="B16387" t="s">
        <v>12274</v>
      </c>
      <c r="C16387" s="1" t="str">
        <f>HYPERLINK("http://www.genecards.org/cgi-bin/carddisp.pl?gene=AGGF1","GeneCards")</f>
        <v>GeneCards</v>
      </c>
      <c r="D16387" s="1" t="str">
        <f>HYPERLINK("http://genome-euro.ucsc.edu/cgi-bin/hgTracks?position=208042_at","UCSC")</f>
        <v>UCSC</v>
      </c>
      <c r="E16387" s="1" t="str">
        <f>HYPERLINK("http://www.ncbi.nlm.nih.gov/gene/?term=AGGF1","NCBI")</f>
        <v>NCBI</v>
      </c>
      <c r="F16387">
        <v>0.87</v>
      </c>
      <c r="G16387">
        <v>0.9</v>
      </c>
      <c r="H16387" s="1" t="str">
        <f>HYPERLINK("http://www.weizmann.ac.il/complex/compphys/software/geview/data/figures/208042_at.png","Figure")</f>
        <v>Figure</v>
      </c>
      <c r="I16387">
        <v>1.06</v>
      </c>
      <c r="J16387">
        <v>0.86</v>
      </c>
      <c r="K16387">
        <v>1.02</v>
      </c>
      <c r="L16387">
        <v>0.98</v>
      </c>
      <c r="M16387">
        <v>0.96099999999999997</v>
      </c>
      <c r="N16387">
        <v>0.91</v>
      </c>
    </row>
    <row r="16388" spans="1:14" x14ac:dyDescent="0.25">
      <c r="A16388" t="s">
        <v>27477</v>
      </c>
      <c r="B16388" t="s">
        <v>10908</v>
      </c>
      <c r="C16388" s="1" t="str">
        <f>HYPERLINK("http://www.genecards.org/cgi-bin/carddisp.pl?gene=GANAB","GeneCards")</f>
        <v>GeneCards</v>
      </c>
      <c r="D16388" s="1" t="str">
        <f>HYPERLINK("http://genome-euro.ucsc.edu/cgi-bin/hgTracks?position=211934_x_at","UCSC")</f>
        <v>UCSC</v>
      </c>
      <c r="E16388" s="1" t="str">
        <f>HYPERLINK("http://www.ncbi.nlm.nih.gov/gene/?term=GANAB","NCBI")</f>
        <v>NCBI</v>
      </c>
      <c r="F16388">
        <v>0.87</v>
      </c>
      <c r="G16388">
        <v>0.9</v>
      </c>
      <c r="H16388" s="1" t="str">
        <f>HYPERLINK("http://www.weizmann.ac.il/complex/compphys/software/geview/data/figures/211934_x_at.png","Figure")</f>
        <v>Figure</v>
      </c>
      <c r="I16388">
        <v>1.05</v>
      </c>
      <c r="J16388">
        <v>0.87</v>
      </c>
      <c r="K16388">
        <v>1.04</v>
      </c>
      <c r="L16388">
        <v>0.92</v>
      </c>
      <c r="M16388">
        <v>0.98299999999999998</v>
      </c>
      <c r="N16388">
        <v>0.98</v>
      </c>
    </row>
    <row r="16389" spans="1:14" x14ac:dyDescent="0.25">
      <c r="A16389" t="s">
        <v>27478</v>
      </c>
      <c r="B16389" t="s">
        <v>19311</v>
      </c>
      <c r="C16389" s="1" t="str">
        <f>HYPERLINK("http://www.genecards.org/cgi-bin/carddisp.pl?gene=ATG5","GeneCards")</f>
        <v>GeneCards</v>
      </c>
      <c r="D16389" s="1" t="str">
        <f>HYPERLINK("http://genome-euro.ucsc.edu/cgi-bin/hgTracks?position=210639_s_at","UCSC")</f>
        <v>UCSC</v>
      </c>
      <c r="E16389" s="1" t="str">
        <f>HYPERLINK("http://www.ncbi.nlm.nih.gov/gene/?term=ATG5","NCBI")</f>
        <v>NCBI</v>
      </c>
      <c r="F16389">
        <v>0.87</v>
      </c>
      <c r="G16389">
        <v>0.9</v>
      </c>
      <c r="H16389" s="1" t="str">
        <f>HYPERLINK("http://www.weizmann.ac.il/complex/compphys/software/geview/data/figures/210639_s_at.png","Figure")</f>
        <v>Figure</v>
      </c>
      <c r="I16389">
        <v>0.94099999999999995</v>
      </c>
      <c r="J16389">
        <v>0.91</v>
      </c>
      <c r="K16389">
        <v>0.93500000000000005</v>
      </c>
      <c r="L16389">
        <v>0.87</v>
      </c>
      <c r="M16389">
        <v>0.99399999999999999</v>
      </c>
      <c r="N16389">
        <v>1</v>
      </c>
    </row>
    <row r="16390" spans="1:14" x14ac:dyDescent="0.25">
      <c r="A16390" t="s">
        <v>27479</v>
      </c>
      <c r="B16390" t="s">
        <v>14716</v>
      </c>
      <c r="C16390" s="1" t="str">
        <f>HYPERLINK("http://www.genecards.org/cgi-bin/carddisp.pl?gene=SGSM2","GeneCards")</f>
        <v>GeneCards</v>
      </c>
      <c r="D16390" s="1" t="str">
        <f>HYPERLINK("http://genome-euro.ucsc.edu/cgi-bin/hgTracks?position=36129_at","UCSC")</f>
        <v>UCSC</v>
      </c>
      <c r="E16390" s="1" t="str">
        <f>HYPERLINK("http://www.ncbi.nlm.nih.gov/gene/?term=SGSM2","NCBI")</f>
        <v>NCBI</v>
      </c>
      <c r="F16390">
        <v>0.87</v>
      </c>
      <c r="G16390">
        <v>0.9</v>
      </c>
      <c r="H16390" s="1" t="str">
        <f>HYPERLINK("http://www.weizmann.ac.il/complex/compphys/software/geview/data/figures/36129_at.png","Figure")</f>
        <v>Figure</v>
      </c>
      <c r="I16390">
        <v>1.06</v>
      </c>
      <c r="J16390">
        <v>0.92</v>
      </c>
      <c r="K16390">
        <v>0.98699999999999999</v>
      </c>
      <c r="L16390">
        <v>0.99</v>
      </c>
      <c r="M16390">
        <v>0.92800000000000005</v>
      </c>
      <c r="N16390">
        <v>0.86</v>
      </c>
    </row>
    <row r="16391" spans="1:14" x14ac:dyDescent="0.25">
      <c r="A16391" t="s">
        <v>27480</v>
      </c>
      <c r="B16391" t="s">
        <v>27481</v>
      </c>
      <c r="C16391" s="1" t="str">
        <f>HYPERLINK("http://www.genecards.org/cgi-bin/carddisp.pl?gene=FRMD8","GeneCards")</f>
        <v>GeneCards</v>
      </c>
      <c r="D16391" s="1" t="str">
        <f>HYPERLINK("http://genome-euro.ucsc.edu/cgi-bin/hgTracks?position=210043_at","UCSC")</f>
        <v>UCSC</v>
      </c>
      <c r="E16391" s="1" t="str">
        <f>HYPERLINK("http://www.ncbi.nlm.nih.gov/gene/?term=FRMD8","NCBI")</f>
        <v>NCBI</v>
      </c>
      <c r="F16391">
        <v>0.87</v>
      </c>
      <c r="G16391">
        <v>0.9</v>
      </c>
      <c r="H16391" s="1" t="str">
        <f>HYPERLINK("http://www.weizmann.ac.il/complex/compphys/software/geview/data/figures/210043_at.png","Figure")</f>
        <v>Figure</v>
      </c>
      <c r="I16391">
        <v>1.04</v>
      </c>
      <c r="J16391">
        <v>0.88</v>
      </c>
      <c r="K16391">
        <v>1.03</v>
      </c>
      <c r="L16391">
        <v>0.9</v>
      </c>
      <c r="M16391">
        <v>0.99099999999999999</v>
      </c>
      <c r="N16391">
        <v>0.99</v>
      </c>
    </row>
    <row r="16392" spans="1:14" x14ac:dyDescent="0.25">
      <c r="A16392" t="s">
        <v>27482</v>
      </c>
      <c r="B16392" t="s">
        <v>1322</v>
      </c>
      <c r="C16392" s="1" t="str">
        <f>HYPERLINK("http://www.genecards.org/cgi-bin/carddisp.pl?gene=ADD1","GeneCards")</f>
        <v>GeneCards</v>
      </c>
      <c r="D16392" s="1" t="str">
        <f>HYPERLINK("http://genome-euro.ucsc.edu/cgi-bin/hgTracks?position=214726_x_at","UCSC")</f>
        <v>UCSC</v>
      </c>
      <c r="E16392" s="1" t="str">
        <f>HYPERLINK("http://www.ncbi.nlm.nih.gov/gene/?term=ADD1","NCBI")</f>
        <v>NCBI</v>
      </c>
      <c r="F16392">
        <v>0.87</v>
      </c>
      <c r="G16392">
        <v>0.9</v>
      </c>
      <c r="H16392" s="1" t="str">
        <f>HYPERLINK("http://www.weizmann.ac.il/complex/compphys/software/geview/data/figures/214726_x_at.png","Figure")</f>
        <v>Figure</v>
      </c>
      <c r="I16392">
        <v>1.04</v>
      </c>
      <c r="J16392">
        <v>0.96</v>
      </c>
      <c r="K16392">
        <v>1.08</v>
      </c>
      <c r="L16392">
        <v>0.86</v>
      </c>
      <c r="M16392">
        <v>1.03</v>
      </c>
      <c r="N16392">
        <v>0.98</v>
      </c>
    </row>
    <row r="16393" spans="1:14" x14ac:dyDescent="0.25">
      <c r="A16393" t="s">
        <v>27483</v>
      </c>
      <c r="B16393" t="s">
        <v>25490</v>
      </c>
      <c r="C16393" s="1" t="str">
        <f>HYPERLINK("http://www.genecards.org/cgi-bin/carddisp.pl?gene=LYN","GeneCards")</f>
        <v>GeneCards</v>
      </c>
      <c r="D16393" s="1" t="str">
        <f>HYPERLINK("http://genome-euro.ucsc.edu/cgi-bin/hgTracks?position=202625_at","UCSC")</f>
        <v>UCSC</v>
      </c>
      <c r="E16393" s="1" t="str">
        <f>HYPERLINK("http://www.ncbi.nlm.nih.gov/gene/?term=LYN","NCBI")</f>
        <v>NCBI</v>
      </c>
      <c r="F16393">
        <v>0.87</v>
      </c>
      <c r="G16393">
        <v>0.9</v>
      </c>
      <c r="H16393" s="1" t="str">
        <f>HYPERLINK("http://www.weizmann.ac.il/complex/compphys/software/geview/data/figures/202625_at.png","Figure")</f>
        <v>Figure</v>
      </c>
      <c r="I16393">
        <v>0.96199999999999997</v>
      </c>
      <c r="J16393">
        <v>0.99</v>
      </c>
      <c r="K16393">
        <v>1.1499999999999999</v>
      </c>
      <c r="L16393">
        <v>0.92</v>
      </c>
      <c r="M16393">
        <v>1.19</v>
      </c>
      <c r="N16393">
        <v>0.88</v>
      </c>
    </row>
    <row r="16394" spans="1:14" x14ac:dyDescent="0.25">
      <c r="A16394" t="s">
        <v>27484</v>
      </c>
      <c r="B16394" t="s">
        <v>17126</v>
      </c>
      <c r="C16394" s="1" t="str">
        <f>HYPERLINK("http://www.genecards.org/cgi-bin/carddisp.pl?gene=KIR3DL2 /// LOC727787","GeneCards")</f>
        <v>GeneCards</v>
      </c>
      <c r="D16394" s="1" t="str">
        <f>HYPERLINK("http://genome-euro.ucsc.edu/cgi-bin/hgTracks?position=211688_x_at","UCSC")</f>
        <v>UCSC</v>
      </c>
      <c r="E16394" s="1" t="str">
        <f>HYPERLINK("http://www.ncbi.nlm.nih.gov/gene/?term=KIR3DL2 /// LOC727787","NCBI")</f>
        <v>NCBI</v>
      </c>
      <c r="F16394">
        <v>0.87</v>
      </c>
      <c r="G16394">
        <v>0.9</v>
      </c>
      <c r="H16394" s="1" t="str">
        <f>HYPERLINK("http://www.weizmann.ac.il/complex/compphys/software/geview/data/figures/211688_x_at.png","Figure")</f>
        <v>Figure</v>
      </c>
      <c r="I16394">
        <v>0.95</v>
      </c>
      <c r="J16394">
        <v>0.88</v>
      </c>
      <c r="K16394">
        <v>0.96099999999999997</v>
      </c>
      <c r="L16394">
        <v>0.9</v>
      </c>
      <c r="M16394">
        <v>1.01</v>
      </c>
      <c r="N16394">
        <v>0.99</v>
      </c>
    </row>
    <row r="16395" spans="1:14" x14ac:dyDescent="0.25">
      <c r="A16395" t="s">
        <v>27485</v>
      </c>
      <c r="B16395" t="s">
        <v>27486</v>
      </c>
      <c r="C16395" s="1" t="str">
        <f>HYPERLINK("http://www.genecards.org/cgi-bin/carddisp.pl?gene=NEUROD4","GeneCards")</f>
        <v>GeneCards</v>
      </c>
      <c r="D16395" s="1" t="str">
        <f>HYPERLINK("http://genome-euro.ucsc.edu/cgi-bin/hgTracks?position=221318_at","UCSC")</f>
        <v>UCSC</v>
      </c>
      <c r="E16395" s="1" t="str">
        <f>HYPERLINK("http://www.ncbi.nlm.nih.gov/gene/?term=NEUROD4","NCBI")</f>
        <v>NCBI</v>
      </c>
      <c r="F16395">
        <v>0.87</v>
      </c>
      <c r="G16395">
        <v>0.9</v>
      </c>
      <c r="H16395" s="1" t="str">
        <f>HYPERLINK("http://www.weizmann.ac.il/complex/compphys/software/geview/data/figures/221318_at.png","Figure")</f>
        <v>Figure</v>
      </c>
      <c r="I16395">
        <v>1.02</v>
      </c>
      <c r="J16395">
        <v>0.93</v>
      </c>
      <c r="K16395">
        <v>0.99199999999999999</v>
      </c>
      <c r="L16395">
        <v>0.99</v>
      </c>
      <c r="M16395">
        <v>0.96799999999999997</v>
      </c>
      <c r="N16395">
        <v>0.86</v>
      </c>
    </row>
    <row r="16396" spans="1:14" x14ac:dyDescent="0.25">
      <c r="A16396" t="s">
        <v>27487</v>
      </c>
      <c r="B16396" t="s">
        <v>27488</v>
      </c>
      <c r="C16396" s="1" t="str">
        <f>HYPERLINK("http://www.genecards.org/cgi-bin/carddisp.pl?gene=POLR2D","GeneCards")</f>
        <v>GeneCards</v>
      </c>
      <c r="D16396" s="1" t="str">
        <f>HYPERLINK("http://genome-euro.ucsc.edu/cgi-bin/hgTracks?position=203664_s_at","UCSC")</f>
        <v>UCSC</v>
      </c>
      <c r="E16396" s="1" t="str">
        <f>HYPERLINK("http://www.ncbi.nlm.nih.gov/gene/?term=POLR2D","NCBI")</f>
        <v>NCBI</v>
      </c>
      <c r="F16396">
        <v>0.87</v>
      </c>
      <c r="G16396">
        <v>0.9</v>
      </c>
      <c r="H16396" s="1" t="str">
        <f>HYPERLINK("http://www.weizmann.ac.il/complex/compphys/software/geview/data/figures/203664_s_at.png","Figure")</f>
        <v>Figure</v>
      </c>
      <c r="I16396">
        <v>0.94399999999999995</v>
      </c>
      <c r="J16396">
        <v>0.92</v>
      </c>
      <c r="K16396">
        <v>0.93600000000000005</v>
      </c>
      <c r="L16396">
        <v>0.87</v>
      </c>
      <c r="M16396">
        <v>0.99099999999999999</v>
      </c>
      <c r="N16396">
        <v>1</v>
      </c>
    </row>
    <row r="16397" spans="1:14" x14ac:dyDescent="0.25">
      <c r="A16397" t="s">
        <v>27489</v>
      </c>
      <c r="B16397" t="s">
        <v>27490</v>
      </c>
      <c r="C16397" s="1" t="str">
        <f>HYPERLINK("http://www.genecards.org/cgi-bin/carddisp.pl?gene=CD33","GeneCards")</f>
        <v>GeneCards</v>
      </c>
      <c r="D16397" s="1" t="str">
        <f>HYPERLINK("http://genome-euro.ucsc.edu/cgi-bin/hgTracks?position=206120_at","UCSC")</f>
        <v>UCSC</v>
      </c>
      <c r="E16397" s="1" t="str">
        <f>HYPERLINK("http://www.ncbi.nlm.nih.gov/gene/?term=CD33","NCBI")</f>
        <v>NCBI</v>
      </c>
      <c r="F16397">
        <v>0.87</v>
      </c>
      <c r="G16397">
        <v>0.9</v>
      </c>
      <c r="H16397" s="1" t="str">
        <f>HYPERLINK("http://www.weizmann.ac.il/complex/compphys/software/geview/data/figures/206120_at.png","Figure")</f>
        <v>Figure</v>
      </c>
      <c r="I16397">
        <v>1.07</v>
      </c>
      <c r="J16397">
        <v>0.86</v>
      </c>
      <c r="K16397">
        <v>1.03</v>
      </c>
      <c r="L16397">
        <v>0.95</v>
      </c>
      <c r="M16397">
        <v>0.96799999999999997</v>
      </c>
      <c r="N16397">
        <v>0.96</v>
      </c>
    </row>
    <row r="16398" spans="1:14" x14ac:dyDescent="0.25">
      <c r="A16398" t="s">
        <v>27491</v>
      </c>
      <c r="B16398" t="s">
        <v>27492</v>
      </c>
      <c r="C16398" s="1" t="str">
        <f>HYPERLINK("http://www.genecards.org/cgi-bin/carddisp.pl?gene=ZBTB44","GeneCards")</f>
        <v>GeneCards</v>
      </c>
      <c r="D16398" s="1" t="str">
        <f>HYPERLINK("http://genome-euro.ucsc.edu/cgi-bin/hgTracks?position=220243_at","UCSC")</f>
        <v>UCSC</v>
      </c>
      <c r="E16398" s="1" t="str">
        <f>HYPERLINK("http://www.ncbi.nlm.nih.gov/gene/?term=ZBTB44","NCBI")</f>
        <v>NCBI</v>
      </c>
      <c r="F16398">
        <v>0.87</v>
      </c>
      <c r="G16398">
        <v>0.9</v>
      </c>
      <c r="H16398" s="1" t="str">
        <f>HYPERLINK("http://www.weizmann.ac.il/complex/compphys/software/geview/data/figures/220243_at.png","Figure")</f>
        <v>Figure</v>
      </c>
      <c r="I16398">
        <v>0.93400000000000005</v>
      </c>
      <c r="J16398">
        <v>0.91</v>
      </c>
      <c r="K16398">
        <v>1.01</v>
      </c>
      <c r="L16398">
        <v>1</v>
      </c>
      <c r="M16398">
        <v>1.0900000000000001</v>
      </c>
      <c r="N16398">
        <v>0.86</v>
      </c>
    </row>
    <row r="16399" spans="1:14" x14ac:dyDescent="0.25">
      <c r="A16399" t="s">
        <v>27493</v>
      </c>
      <c r="B16399" t="s">
        <v>25490</v>
      </c>
      <c r="C16399" s="1" t="str">
        <f>HYPERLINK("http://www.genecards.org/cgi-bin/carddisp.pl?gene=LYN","GeneCards")</f>
        <v>GeneCards</v>
      </c>
      <c r="D16399" s="1" t="str">
        <f>HYPERLINK("http://genome-euro.ucsc.edu/cgi-bin/hgTracks?position=210754_s_at","UCSC")</f>
        <v>UCSC</v>
      </c>
      <c r="E16399" s="1" t="str">
        <f>HYPERLINK("http://www.ncbi.nlm.nih.gov/gene/?term=LYN","NCBI")</f>
        <v>NCBI</v>
      </c>
      <c r="F16399">
        <v>0.87</v>
      </c>
      <c r="G16399">
        <v>0.9</v>
      </c>
      <c r="H16399" s="1" t="str">
        <f>HYPERLINK("http://www.weizmann.ac.il/complex/compphys/software/geview/data/figures/210754_s_at.png","Figure")</f>
        <v>Figure</v>
      </c>
      <c r="I16399">
        <v>1.1599999999999999</v>
      </c>
      <c r="J16399">
        <v>0.87</v>
      </c>
      <c r="K16399">
        <v>1.03</v>
      </c>
      <c r="L16399">
        <v>0.99</v>
      </c>
      <c r="M16399">
        <v>0.88400000000000001</v>
      </c>
      <c r="N16399">
        <v>0.9</v>
      </c>
    </row>
    <row r="16400" spans="1:14" x14ac:dyDescent="0.25">
      <c r="A16400" t="s">
        <v>27494</v>
      </c>
      <c r="B16400" t="s">
        <v>18895</v>
      </c>
      <c r="C16400" s="1" t="str">
        <f>HYPERLINK("http://www.genecards.org/cgi-bin/carddisp.pl?gene=ERP44","GeneCards")</f>
        <v>GeneCards</v>
      </c>
      <c r="D16400" s="1" t="str">
        <f>HYPERLINK("http://genome-euro.ucsc.edu/cgi-bin/hgTracks?position=208959_s_at","UCSC")</f>
        <v>UCSC</v>
      </c>
      <c r="E16400" s="1" t="str">
        <f>HYPERLINK("http://www.ncbi.nlm.nih.gov/gene/?term=ERP44","NCBI")</f>
        <v>NCBI</v>
      </c>
      <c r="F16400">
        <v>0.87</v>
      </c>
      <c r="G16400">
        <v>0.9</v>
      </c>
      <c r="H16400" s="1" t="str">
        <f>HYPERLINK("http://www.weizmann.ac.il/complex/compphys/software/geview/data/figures/208959_s_at.png","Figure")</f>
        <v>Figure</v>
      </c>
      <c r="I16400">
        <v>1.02</v>
      </c>
      <c r="J16400">
        <v>0.99</v>
      </c>
      <c r="K16400">
        <v>1.0900000000000001</v>
      </c>
      <c r="L16400">
        <v>0.87</v>
      </c>
      <c r="M16400">
        <v>1.06</v>
      </c>
      <c r="N16400">
        <v>0.94</v>
      </c>
    </row>
    <row r="16401" spans="1:14" x14ac:dyDescent="0.25">
      <c r="A16401" t="s">
        <v>27495</v>
      </c>
      <c r="B16401" t="s">
        <v>27496</v>
      </c>
      <c r="C16401" s="1" t="str">
        <f>HYPERLINK("http://www.genecards.org/cgi-bin/carddisp.pl?gene=LOC728392 /// NLRP1","GeneCards")</f>
        <v>GeneCards</v>
      </c>
      <c r="D16401" s="1" t="str">
        <f>HYPERLINK("http://genome-euro.ucsc.edu/cgi-bin/hgTracks?position=218380_at","UCSC")</f>
        <v>UCSC</v>
      </c>
      <c r="E16401" s="1" t="str">
        <f>HYPERLINK("http://www.ncbi.nlm.nih.gov/gene/?term=LOC728392 /// NLRP1","NCBI")</f>
        <v>NCBI</v>
      </c>
      <c r="F16401">
        <v>0.87</v>
      </c>
      <c r="G16401">
        <v>0.9</v>
      </c>
      <c r="H16401" s="1" t="str">
        <f>HYPERLINK("http://www.weizmann.ac.il/complex/compphys/software/geview/data/figures/218380_at.png","Figure")</f>
        <v>Figure</v>
      </c>
      <c r="I16401">
        <v>1.08</v>
      </c>
      <c r="J16401">
        <v>0.95</v>
      </c>
      <c r="K16401">
        <v>0.95499999999999996</v>
      </c>
      <c r="L16401">
        <v>0.97</v>
      </c>
      <c r="M16401">
        <v>0.88700000000000001</v>
      </c>
      <c r="N16401">
        <v>0.86</v>
      </c>
    </row>
    <row r="16402" spans="1:14" x14ac:dyDescent="0.25">
      <c r="A16402" t="s">
        <v>27497</v>
      </c>
      <c r="B16402" t="s">
        <v>20963</v>
      </c>
      <c r="C16402" s="1" t="str">
        <f>HYPERLINK("http://www.genecards.org/cgi-bin/carddisp.pl?gene=B2M","GeneCards")</f>
        <v>GeneCards</v>
      </c>
      <c r="D16402" s="1" t="str">
        <f>HYPERLINK("http://genome-euro.ucsc.edu/cgi-bin/hgTracks?position=216231_s_at","UCSC")</f>
        <v>UCSC</v>
      </c>
      <c r="E16402" s="1" t="str">
        <f>HYPERLINK("http://www.ncbi.nlm.nih.gov/gene/?term=B2M","NCBI")</f>
        <v>NCBI</v>
      </c>
      <c r="F16402">
        <v>0.87</v>
      </c>
      <c r="G16402">
        <v>0.9</v>
      </c>
      <c r="H16402" s="1" t="str">
        <f>HYPERLINK("http://www.weizmann.ac.il/complex/compphys/software/geview/data/figures/216231_s_at.png","Figure")</f>
        <v>Figure</v>
      </c>
      <c r="I16402">
        <v>1.06</v>
      </c>
      <c r="J16402">
        <v>0.87</v>
      </c>
      <c r="K16402">
        <v>1.01</v>
      </c>
      <c r="L16402">
        <v>0.99</v>
      </c>
      <c r="M16402">
        <v>0.95399999999999996</v>
      </c>
      <c r="N16402">
        <v>0.9</v>
      </c>
    </row>
    <row r="16403" spans="1:14" x14ac:dyDescent="0.25">
      <c r="A16403" t="s">
        <v>27498</v>
      </c>
      <c r="B16403" t="s">
        <v>27499</v>
      </c>
      <c r="C16403" s="1" t="str">
        <f>HYPERLINK("http://www.genecards.org/cgi-bin/carddisp.pl?gene=HPS6","GeneCards")</f>
        <v>GeneCards</v>
      </c>
      <c r="D16403" s="1" t="str">
        <f>HYPERLINK("http://genome-euro.ucsc.edu/cgi-bin/hgTracks?position=219052_at","UCSC")</f>
        <v>UCSC</v>
      </c>
      <c r="E16403" s="1" t="str">
        <f>HYPERLINK("http://www.ncbi.nlm.nih.gov/gene/?term=HPS6","NCBI")</f>
        <v>NCBI</v>
      </c>
      <c r="F16403">
        <v>0.87</v>
      </c>
      <c r="G16403">
        <v>0.9</v>
      </c>
      <c r="H16403" s="1" t="str">
        <f>HYPERLINK("http://www.weizmann.ac.il/complex/compphys/software/geview/data/figures/219052_at.png","Figure")</f>
        <v>Figure</v>
      </c>
      <c r="I16403">
        <v>0.95799999999999996</v>
      </c>
      <c r="J16403">
        <v>0.86</v>
      </c>
      <c r="K16403">
        <v>0.98499999999999999</v>
      </c>
      <c r="L16403">
        <v>0.98</v>
      </c>
      <c r="M16403">
        <v>1.03</v>
      </c>
      <c r="N16403">
        <v>0.93</v>
      </c>
    </row>
    <row r="16404" spans="1:14" x14ac:dyDescent="0.25">
      <c r="A16404" t="s">
        <v>27500</v>
      </c>
      <c r="B16404" t="s">
        <v>27501</v>
      </c>
      <c r="C16404" s="1" t="str">
        <f>HYPERLINK("http://www.genecards.org/cgi-bin/carddisp.pl?gene=PLA2G4C","GeneCards")</f>
        <v>GeneCards</v>
      </c>
      <c r="D16404" s="1" t="str">
        <f>HYPERLINK("http://genome-euro.ucsc.edu/cgi-bin/hgTracks?position=209785_s_at","UCSC")</f>
        <v>UCSC</v>
      </c>
      <c r="E16404" s="1" t="str">
        <f>HYPERLINK("http://www.ncbi.nlm.nih.gov/gene/?term=PLA2G4C","NCBI")</f>
        <v>NCBI</v>
      </c>
      <c r="F16404">
        <v>0.87</v>
      </c>
      <c r="G16404">
        <v>0.9</v>
      </c>
      <c r="H16404" s="1" t="str">
        <f>HYPERLINK("http://www.weizmann.ac.il/complex/compphys/software/geview/data/figures/209785_s_at.png","Figure")</f>
        <v>Figure</v>
      </c>
      <c r="I16404">
        <v>1</v>
      </c>
      <c r="J16404">
        <v>0.99</v>
      </c>
      <c r="K16404">
        <v>1.01</v>
      </c>
      <c r="L16404">
        <v>0.87</v>
      </c>
      <c r="M16404">
        <v>1.01</v>
      </c>
      <c r="N16404">
        <v>0.93</v>
      </c>
    </row>
    <row r="16405" spans="1:14" x14ac:dyDescent="0.25">
      <c r="A16405" t="s">
        <v>27502</v>
      </c>
      <c r="B16405" t="s">
        <v>10922</v>
      </c>
      <c r="C16405" s="1" t="str">
        <f>HYPERLINK("http://www.genecards.org/cgi-bin/carddisp.pl?gene=DNAJB12","GeneCards")</f>
        <v>GeneCards</v>
      </c>
      <c r="D16405" s="1" t="str">
        <f>HYPERLINK("http://genome-euro.ucsc.edu/cgi-bin/hgTracks?position=202866_at","UCSC")</f>
        <v>UCSC</v>
      </c>
      <c r="E16405" s="1" t="str">
        <f>HYPERLINK("http://www.ncbi.nlm.nih.gov/gene/?term=DNAJB12","NCBI")</f>
        <v>NCBI</v>
      </c>
      <c r="F16405">
        <v>0.87</v>
      </c>
      <c r="G16405">
        <v>0.9</v>
      </c>
      <c r="H16405" s="1" t="str">
        <f>HYPERLINK("http://www.weizmann.ac.il/complex/compphys/software/geview/data/figures/202866_at.png","Figure")</f>
        <v>Figure</v>
      </c>
      <c r="I16405">
        <v>1.06</v>
      </c>
      <c r="J16405">
        <v>0.88</v>
      </c>
      <c r="K16405">
        <v>1.04</v>
      </c>
      <c r="L16405">
        <v>0.9</v>
      </c>
      <c r="M16405">
        <v>0.98799999999999999</v>
      </c>
      <c r="N16405">
        <v>0.99</v>
      </c>
    </row>
    <row r="16406" spans="1:14" x14ac:dyDescent="0.25">
      <c r="A16406" t="s">
        <v>27503</v>
      </c>
      <c r="B16406" t="s">
        <v>15355</v>
      </c>
      <c r="C16406" s="1" t="str">
        <f>HYPERLINK("http://www.genecards.org/cgi-bin/carddisp.pl?gene=HLA-G","GeneCards")</f>
        <v>GeneCards</v>
      </c>
      <c r="D16406" s="1" t="str">
        <f>HYPERLINK("http://genome-euro.ucsc.edu/cgi-bin/hgTracks?position=210514_x_at","UCSC")</f>
        <v>UCSC</v>
      </c>
      <c r="E16406" s="1" t="str">
        <f>HYPERLINK("http://www.ncbi.nlm.nih.gov/gene/?term=HLA-G","NCBI")</f>
        <v>NCBI</v>
      </c>
      <c r="F16406">
        <v>0.87</v>
      </c>
      <c r="G16406">
        <v>0.9</v>
      </c>
      <c r="H16406" s="1" t="str">
        <f>HYPERLINK("http://www.weizmann.ac.il/complex/compphys/software/geview/data/figures/210514_x_at.png","Figure")</f>
        <v>Figure</v>
      </c>
      <c r="I16406">
        <v>1.1000000000000001</v>
      </c>
      <c r="J16406">
        <v>0.87</v>
      </c>
      <c r="K16406">
        <v>1.07</v>
      </c>
      <c r="L16406">
        <v>0.92</v>
      </c>
      <c r="M16406">
        <v>0.97</v>
      </c>
      <c r="N16406">
        <v>0.99</v>
      </c>
    </row>
    <row r="16407" spans="1:14" x14ac:dyDescent="0.25">
      <c r="A16407" t="s">
        <v>27504</v>
      </c>
      <c r="B16407" t="s">
        <v>22134</v>
      </c>
      <c r="C16407" s="1" t="str">
        <f>HYPERLINK("http://www.genecards.org/cgi-bin/carddisp.pl?gene=MAP2K5","GeneCards")</f>
        <v>GeneCards</v>
      </c>
      <c r="D16407" s="1" t="str">
        <f>HYPERLINK("http://genome-euro.ucsc.edu/cgi-bin/hgTracks?position=211370_s_at","UCSC")</f>
        <v>UCSC</v>
      </c>
      <c r="E16407" s="1" t="str">
        <f>HYPERLINK("http://www.ncbi.nlm.nih.gov/gene/?term=MAP2K5","NCBI")</f>
        <v>NCBI</v>
      </c>
      <c r="F16407">
        <v>0.87</v>
      </c>
      <c r="G16407">
        <v>0.9</v>
      </c>
      <c r="H16407" s="1" t="str">
        <f>HYPERLINK("http://www.weizmann.ac.il/complex/compphys/software/geview/data/figures/211370_s_at.png","Figure")</f>
        <v>Figure</v>
      </c>
      <c r="I16407">
        <v>0.96599999999999997</v>
      </c>
      <c r="J16407">
        <v>0.91</v>
      </c>
      <c r="K16407">
        <v>1.01</v>
      </c>
      <c r="L16407">
        <v>1</v>
      </c>
      <c r="M16407">
        <v>1.04</v>
      </c>
      <c r="N16407">
        <v>0.87</v>
      </c>
    </row>
    <row r="16408" spans="1:14" x14ac:dyDescent="0.25">
      <c r="A16408" t="s">
        <v>27505</v>
      </c>
      <c r="B16408" t="s">
        <v>7585</v>
      </c>
      <c r="C16408" s="1" t="str">
        <f>HYPERLINK("http://www.genecards.org/cgi-bin/carddisp.pl?gene=TOX4","GeneCards")</f>
        <v>GeneCards</v>
      </c>
      <c r="D16408" s="1" t="str">
        <f>HYPERLINK("http://genome-euro.ucsc.edu/cgi-bin/hgTracks?position=201683_x_at","UCSC")</f>
        <v>UCSC</v>
      </c>
      <c r="E16408" s="1" t="str">
        <f>HYPERLINK("http://www.ncbi.nlm.nih.gov/gene/?term=TOX4","NCBI")</f>
        <v>NCBI</v>
      </c>
      <c r="F16408">
        <v>0.87</v>
      </c>
      <c r="G16408">
        <v>0.9</v>
      </c>
      <c r="H16408" s="1" t="str">
        <f>HYPERLINK("http://www.weizmann.ac.il/complex/compphys/software/geview/data/figures/201683_x_at.png","Figure")</f>
        <v>Figure</v>
      </c>
      <c r="I16408">
        <v>0.94399999999999995</v>
      </c>
      <c r="J16408">
        <v>0.93</v>
      </c>
      <c r="K16408">
        <v>0.93</v>
      </c>
      <c r="L16408">
        <v>0.86</v>
      </c>
      <c r="M16408">
        <v>0.98499999999999999</v>
      </c>
      <c r="N16408">
        <v>0.99</v>
      </c>
    </row>
    <row r="16409" spans="1:14" x14ac:dyDescent="0.25">
      <c r="A16409" t="s">
        <v>27506</v>
      </c>
      <c r="B16409" t="s">
        <v>7493</v>
      </c>
      <c r="C16409" s="1" t="str">
        <f>HYPERLINK("http://www.genecards.org/cgi-bin/carddisp.pl?gene=C19orf29","GeneCards")</f>
        <v>GeneCards</v>
      </c>
      <c r="D16409" s="1" t="str">
        <f>HYPERLINK("http://genome-euro.ucsc.edu/cgi-bin/hgTracks?position=215954_s_at","UCSC")</f>
        <v>UCSC</v>
      </c>
      <c r="E16409" s="1" t="str">
        <f>HYPERLINK("http://www.ncbi.nlm.nih.gov/gene/?term=C19orf29","NCBI")</f>
        <v>NCBI</v>
      </c>
      <c r="F16409">
        <v>0.87</v>
      </c>
      <c r="G16409">
        <v>0.9</v>
      </c>
      <c r="H16409" s="1" t="str">
        <f>HYPERLINK("http://www.weizmann.ac.il/complex/compphys/software/geview/data/figures/215954_s_at.png","Figure")</f>
        <v>Figure</v>
      </c>
      <c r="I16409">
        <v>0.98899999999999999</v>
      </c>
      <c r="J16409">
        <v>0.99</v>
      </c>
      <c r="K16409">
        <v>0.95599999999999996</v>
      </c>
      <c r="L16409">
        <v>0.87</v>
      </c>
      <c r="M16409">
        <v>0.96699999999999997</v>
      </c>
      <c r="N16409">
        <v>0.93</v>
      </c>
    </row>
    <row r="16410" spans="1:14" x14ac:dyDescent="0.25">
      <c r="A16410" t="s">
        <v>27507</v>
      </c>
      <c r="B16410" t="s">
        <v>27508</v>
      </c>
      <c r="C16410" s="1" t="str">
        <f>HYPERLINK("http://www.genecards.org/cgi-bin/carddisp.pl?gene=PRAMEF10","GeneCards")</f>
        <v>GeneCards</v>
      </c>
      <c r="D16410" s="1" t="str">
        <f>HYPERLINK("http://genome-euro.ucsc.edu/cgi-bin/hgTracks?position=217273_at","UCSC")</f>
        <v>UCSC</v>
      </c>
      <c r="E16410" s="1" t="str">
        <f>HYPERLINK("http://www.ncbi.nlm.nih.gov/gene/?term=PRAMEF10","NCBI")</f>
        <v>NCBI</v>
      </c>
      <c r="F16410">
        <v>0.87</v>
      </c>
      <c r="G16410">
        <v>0.9</v>
      </c>
      <c r="H16410" s="1" t="str">
        <f>HYPERLINK("http://www.weizmann.ac.il/complex/compphys/software/geview/data/figures/217273_at.png","Figure")</f>
        <v>Figure</v>
      </c>
      <c r="I16410">
        <v>1.03</v>
      </c>
      <c r="J16410">
        <v>0.89</v>
      </c>
      <c r="K16410">
        <v>1.03</v>
      </c>
      <c r="L16410">
        <v>0.9</v>
      </c>
      <c r="M16410">
        <v>0.99399999999999999</v>
      </c>
      <c r="N16410">
        <v>1</v>
      </c>
    </row>
    <row r="16411" spans="1:14" x14ac:dyDescent="0.25">
      <c r="A16411" t="s">
        <v>27509</v>
      </c>
      <c r="B16411" t="s">
        <v>7252</v>
      </c>
      <c r="C16411" s="1" t="str">
        <f>HYPERLINK("http://www.genecards.org/cgi-bin/carddisp.pl?gene=CCT8","GeneCards")</f>
        <v>GeneCards</v>
      </c>
      <c r="D16411" s="1" t="str">
        <f>HYPERLINK("http://genome-euro.ucsc.edu/cgi-bin/hgTracks?position=210436_at","UCSC")</f>
        <v>UCSC</v>
      </c>
      <c r="E16411" s="1" t="str">
        <f>HYPERLINK("http://www.ncbi.nlm.nih.gov/gene/?term=CCT8","NCBI")</f>
        <v>NCBI</v>
      </c>
      <c r="F16411">
        <v>0.87</v>
      </c>
      <c r="G16411">
        <v>0.9</v>
      </c>
      <c r="H16411" s="1" t="str">
        <f>HYPERLINK("http://www.weizmann.ac.il/complex/compphys/software/geview/data/figures/210436_at.png","Figure")</f>
        <v>Figure</v>
      </c>
      <c r="I16411">
        <v>1.01</v>
      </c>
      <c r="J16411">
        <v>0.98</v>
      </c>
      <c r="K16411">
        <v>0.98499999999999999</v>
      </c>
      <c r="L16411">
        <v>0.95</v>
      </c>
      <c r="M16411">
        <v>0.97399999999999998</v>
      </c>
      <c r="N16411">
        <v>0.87</v>
      </c>
    </row>
    <row r="16412" spans="1:14" x14ac:dyDescent="0.25">
      <c r="A16412" t="s">
        <v>27510</v>
      </c>
      <c r="B16412" t="s">
        <v>27511</v>
      </c>
      <c r="C16412" s="1" t="str">
        <f>HYPERLINK("http://www.genecards.org/cgi-bin/carddisp.pl?gene=VAMP4","GeneCards")</f>
        <v>GeneCards</v>
      </c>
      <c r="D16412" s="1" t="str">
        <f>HYPERLINK("http://genome-euro.ucsc.edu/cgi-bin/hgTracks?position=207350_s_at","UCSC")</f>
        <v>UCSC</v>
      </c>
      <c r="E16412" s="1" t="str">
        <f>HYPERLINK("http://www.ncbi.nlm.nih.gov/gene/?term=VAMP4","NCBI")</f>
        <v>NCBI</v>
      </c>
      <c r="F16412">
        <v>0.87</v>
      </c>
      <c r="G16412">
        <v>0.9</v>
      </c>
      <c r="H16412" s="1" t="str">
        <f>HYPERLINK("http://www.weizmann.ac.il/complex/compphys/software/geview/data/figures/207350_s_at.png","Figure")</f>
        <v>Figure</v>
      </c>
      <c r="I16412">
        <v>0.96899999999999997</v>
      </c>
      <c r="J16412">
        <v>0.88</v>
      </c>
      <c r="K16412">
        <v>0.97699999999999998</v>
      </c>
      <c r="L16412">
        <v>0.91</v>
      </c>
      <c r="M16412">
        <v>1.01</v>
      </c>
      <c r="N16412">
        <v>0.99</v>
      </c>
    </row>
    <row r="16413" spans="1:14" x14ac:dyDescent="0.25">
      <c r="A16413" t="s">
        <v>27512</v>
      </c>
      <c r="B16413" t="s">
        <v>13441</v>
      </c>
      <c r="C16413" s="1" t="str">
        <f>HYPERLINK("http://www.genecards.org/cgi-bin/carddisp.pl?gene=DGUOK","GeneCards")</f>
        <v>GeneCards</v>
      </c>
      <c r="D16413" s="1" t="str">
        <f>HYPERLINK("http://genome-euro.ucsc.edu/cgi-bin/hgTracks?position=209549_s_at","UCSC")</f>
        <v>UCSC</v>
      </c>
      <c r="E16413" s="1" t="str">
        <f>HYPERLINK("http://www.ncbi.nlm.nih.gov/gene/?term=DGUOK","NCBI")</f>
        <v>NCBI</v>
      </c>
      <c r="F16413">
        <v>0.87</v>
      </c>
      <c r="G16413">
        <v>0.9</v>
      </c>
      <c r="H16413" s="1" t="str">
        <f>HYPERLINK("http://www.weizmann.ac.il/complex/compphys/software/geview/data/figures/209549_s_at.png","Figure")</f>
        <v>Figure</v>
      </c>
      <c r="I16413">
        <v>0.98399999999999999</v>
      </c>
      <c r="J16413">
        <v>0.99</v>
      </c>
      <c r="K16413">
        <v>1.04</v>
      </c>
      <c r="L16413">
        <v>0.92</v>
      </c>
      <c r="M16413">
        <v>1.06</v>
      </c>
      <c r="N16413">
        <v>0.88</v>
      </c>
    </row>
    <row r="16414" spans="1:14" x14ac:dyDescent="0.25">
      <c r="A16414" t="s">
        <v>27513</v>
      </c>
      <c r="B16414" t="s">
        <v>27514</v>
      </c>
      <c r="C16414" s="1" t="str">
        <f>HYPERLINK("http://www.genecards.org/cgi-bin/carddisp.pl?gene=MAGEA10","GeneCards")</f>
        <v>GeneCards</v>
      </c>
      <c r="D16414" s="1" t="str">
        <f>HYPERLINK("http://genome-euro.ucsc.edu/cgi-bin/hgTracks?position=210295_at","UCSC")</f>
        <v>UCSC</v>
      </c>
      <c r="E16414" s="1" t="str">
        <f>HYPERLINK("http://www.ncbi.nlm.nih.gov/gene/?term=MAGEA10","NCBI")</f>
        <v>NCBI</v>
      </c>
      <c r="F16414">
        <v>0.87</v>
      </c>
      <c r="G16414">
        <v>0.9</v>
      </c>
      <c r="H16414" s="1" t="str">
        <f>HYPERLINK("http://www.weizmann.ac.il/complex/compphys/software/geview/data/figures/210295_at.png","Figure")</f>
        <v>Figure</v>
      </c>
      <c r="I16414">
        <v>0.997</v>
      </c>
      <c r="J16414">
        <v>0.99</v>
      </c>
      <c r="K16414">
        <v>0.99</v>
      </c>
      <c r="L16414">
        <v>0.87</v>
      </c>
      <c r="M16414">
        <v>0.99399999999999999</v>
      </c>
      <c r="N16414">
        <v>0.95</v>
      </c>
    </row>
    <row r="16415" spans="1:14" x14ac:dyDescent="0.25">
      <c r="A16415" t="s">
        <v>27515</v>
      </c>
      <c r="B16415" t="s">
        <v>27516</v>
      </c>
      <c r="C16415" s="1" t="str">
        <f>HYPERLINK("http://www.genecards.org/cgi-bin/carddisp.pl?gene=ATAD2B","GeneCards")</f>
        <v>GeneCards</v>
      </c>
      <c r="D16415" s="1" t="str">
        <f>HYPERLINK("http://genome-euro.ucsc.edu/cgi-bin/hgTracks?position=213387_at","UCSC")</f>
        <v>UCSC</v>
      </c>
      <c r="E16415" s="1" t="str">
        <f>HYPERLINK("http://www.ncbi.nlm.nih.gov/gene/?term=ATAD2B","NCBI")</f>
        <v>NCBI</v>
      </c>
      <c r="F16415">
        <v>0.87</v>
      </c>
      <c r="G16415">
        <v>0.9</v>
      </c>
      <c r="H16415" s="1" t="str">
        <f>HYPERLINK("http://www.weizmann.ac.il/complex/compphys/software/geview/data/figures/213387_at.png","Figure")</f>
        <v>Figure</v>
      </c>
      <c r="I16415">
        <v>1.06</v>
      </c>
      <c r="J16415">
        <v>0.97</v>
      </c>
      <c r="K16415">
        <v>0.94199999999999995</v>
      </c>
      <c r="L16415">
        <v>0.96</v>
      </c>
      <c r="M16415">
        <v>0.88700000000000001</v>
      </c>
      <c r="N16415">
        <v>0.86</v>
      </c>
    </row>
    <row r="16416" spans="1:14" x14ac:dyDescent="0.25">
      <c r="A16416" t="s">
        <v>27517</v>
      </c>
      <c r="B16416" t="s">
        <v>14825</v>
      </c>
      <c r="C16416" s="1" t="str">
        <f>HYPERLINK("http://www.genecards.org/cgi-bin/carddisp.pl?gene=FAIM3","GeneCards")</f>
        <v>GeneCards</v>
      </c>
      <c r="D16416" s="1" t="str">
        <f>HYPERLINK("http://genome-euro.ucsc.edu/cgi-bin/hgTracks?position=221602_s_at","UCSC")</f>
        <v>UCSC</v>
      </c>
      <c r="E16416" s="1" t="str">
        <f>HYPERLINK("http://www.ncbi.nlm.nih.gov/gene/?term=FAIM3","NCBI")</f>
        <v>NCBI</v>
      </c>
      <c r="F16416">
        <v>0.87</v>
      </c>
      <c r="G16416">
        <v>0.9</v>
      </c>
      <c r="H16416" s="1" t="str">
        <f>HYPERLINK("http://www.weizmann.ac.il/complex/compphys/software/geview/data/figures/221602_s_at.png","Figure")</f>
        <v>Figure</v>
      </c>
      <c r="I16416">
        <v>1.06</v>
      </c>
      <c r="J16416">
        <v>0.86</v>
      </c>
      <c r="K16416">
        <v>1.02</v>
      </c>
      <c r="L16416">
        <v>0.98</v>
      </c>
      <c r="M16416">
        <v>0.96099999999999997</v>
      </c>
      <c r="N16416">
        <v>0.93</v>
      </c>
    </row>
    <row r="16417" spans="1:14" x14ac:dyDescent="0.25">
      <c r="A16417" t="s">
        <v>27518</v>
      </c>
      <c r="B16417" t="s">
        <v>21067</v>
      </c>
      <c r="C16417" s="1" t="str">
        <f>HYPERLINK("http://www.genecards.org/cgi-bin/carddisp.pl?gene=PRSS7","GeneCards")</f>
        <v>GeneCards</v>
      </c>
      <c r="D16417" s="1" t="str">
        <f>HYPERLINK("http://genome-euro.ucsc.edu/cgi-bin/hgTracks?position=217269_s_at","UCSC")</f>
        <v>UCSC</v>
      </c>
      <c r="E16417" s="1" t="str">
        <f>HYPERLINK("http://www.ncbi.nlm.nih.gov/gene/?term=PRSS7","NCBI")</f>
        <v>NCBI</v>
      </c>
      <c r="F16417">
        <v>0.87</v>
      </c>
      <c r="G16417">
        <v>0.9</v>
      </c>
      <c r="H16417" s="1" t="str">
        <f>HYPERLINK("http://www.weizmann.ac.il/complex/compphys/software/geview/data/figures/217269_s_at.png","Figure")</f>
        <v>Figure</v>
      </c>
      <c r="I16417">
        <v>1.06</v>
      </c>
      <c r="J16417">
        <v>0.94</v>
      </c>
      <c r="K16417">
        <v>0.97699999999999998</v>
      </c>
      <c r="L16417">
        <v>0.99</v>
      </c>
      <c r="M16417">
        <v>0.92200000000000004</v>
      </c>
      <c r="N16417">
        <v>0.86</v>
      </c>
    </row>
    <row r="16418" spans="1:14" x14ac:dyDescent="0.25">
      <c r="A16418" t="s">
        <v>27519</v>
      </c>
      <c r="B16418" t="s">
        <v>16009</v>
      </c>
      <c r="C16418" s="1" t="str">
        <f>HYPERLINK("http://www.genecards.org/cgi-bin/carddisp.pl?gene=LOC81691","GeneCards")</f>
        <v>GeneCards</v>
      </c>
      <c r="D16418" s="1" t="str">
        <f>HYPERLINK("http://genome-euro.ucsc.edu/cgi-bin/hgTracks?position=215215_s_at","UCSC")</f>
        <v>UCSC</v>
      </c>
      <c r="E16418" s="1" t="str">
        <f>HYPERLINK("http://www.ncbi.nlm.nih.gov/gene/?term=LOC81691","NCBI")</f>
        <v>NCBI</v>
      </c>
      <c r="F16418">
        <v>0.87</v>
      </c>
      <c r="G16418">
        <v>0.9</v>
      </c>
      <c r="H16418" s="1" t="str">
        <f>HYPERLINK("http://www.weizmann.ac.il/complex/compphys/software/geview/data/figures/215215_s_at.png","Figure")</f>
        <v>Figure</v>
      </c>
      <c r="I16418">
        <v>0.99</v>
      </c>
      <c r="J16418">
        <v>0.95</v>
      </c>
      <c r="K16418">
        <v>1.01</v>
      </c>
      <c r="L16418">
        <v>0.97</v>
      </c>
      <c r="M16418">
        <v>1.02</v>
      </c>
      <c r="N16418">
        <v>0.86</v>
      </c>
    </row>
    <row r="16419" spans="1:14" x14ac:dyDescent="0.25">
      <c r="A16419" t="s">
        <v>27520</v>
      </c>
      <c r="B16419" t="s">
        <v>26947</v>
      </c>
      <c r="C16419" s="1" t="str">
        <f>HYPERLINK("http://www.genecards.org/cgi-bin/carddisp.pl?gene=NACA","GeneCards")</f>
        <v>GeneCards</v>
      </c>
      <c r="D16419" s="1" t="str">
        <f>HYPERLINK("http://genome-euro.ucsc.edu/cgi-bin/hgTracks?position=208635_x_at","UCSC")</f>
        <v>UCSC</v>
      </c>
      <c r="E16419" s="1" t="str">
        <f>HYPERLINK("http://www.ncbi.nlm.nih.gov/gene/?term=NACA","NCBI")</f>
        <v>NCBI</v>
      </c>
      <c r="F16419">
        <v>0.87</v>
      </c>
      <c r="G16419">
        <v>0.9</v>
      </c>
      <c r="H16419" s="1" t="str">
        <f>HYPERLINK("http://www.weizmann.ac.il/complex/compphys/software/geview/data/figures/208635_x_at.png","Figure")</f>
        <v>Figure</v>
      </c>
      <c r="I16419">
        <v>1.05</v>
      </c>
      <c r="J16419">
        <v>0.94</v>
      </c>
      <c r="K16419">
        <v>1.07</v>
      </c>
      <c r="L16419">
        <v>0.87</v>
      </c>
      <c r="M16419">
        <v>1.02</v>
      </c>
      <c r="N16419">
        <v>0.99</v>
      </c>
    </row>
    <row r="16420" spans="1:14" x14ac:dyDescent="0.25">
      <c r="A16420" t="s">
        <v>27521</v>
      </c>
      <c r="B16420" t="s">
        <v>27279</v>
      </c>
      <c r="C16420" s="1" t="str">
        <f>HYPERLINK("http://www.genecards.org/cgi-bin/carddisp.pl?gene=GPX3","GeneCards")</f>
        <v>GeneCards</v>
      </c>
      <c r="D16420" s="1" t="str">
        <f>HYPERLINK("http://genome-euro.ucsc.edu/cgi-bin/hgTracks?position=214091_s_at","UCSC")</f>
        <v>UCSC</v>
      </c>
      <c r="E16420" s="1" t="str">
        <f>HYPERLINK("http://www.ncbi.nlm.nih.gov/gene/?term=GPX3","NCBI")</f>
        <v>NCBI</v>
      </c>
      <c r="F16420">
        <v>0.87</v>
      </c>
      <c r="G16420">
        <v>0.9</v>
      </c>
      <c r="H16420" s="1" t="str">
        <f>HYPERLINK("http://www.weizmann.ac.il/complex/compphys/software/geview/data/figures/214091_s_at.png","Figure")</f>
        <v>Figure</v>
      </c>
      <c r="I16420">
        <v>0.96399999999999997</v>
      </c>
      <c r="J16420">
        <v>0.87</v>
      </c>
      <c r="K16420">
        <v>0.97499999999999998</v>
      </c>
      <c r="L16420">
        <v>0.92</v>
      </c>
      <c r="M16420">
        <v>1.01</v>
      </c>
      <c r="N16420">
        <v>0.99</v>
      </c>
    </row>
    <row r="16421" spans="1:14" x14ac:dyDescent="0.25">
      <c r="A16421" t="s">
        <v>27522</v>
      </c>
      <c r="B16421" t="s">
        <v>27523</v>
      </c>
      <c r="C16421" s="1" t="str">
        <f>HYPERLINK("http://www.genecards.org/cgi-bin/carddisp.pl?gene=MED31","GeneCards")</f>
        <v>GeneCards</v>
      </c>
      <c r="D16421" s="1" t="str">
        <f>HYPERLINK("http://genome-euro.ucsc.edu/cgi-bin/hgTracks?position=219318_x_at","UCSC")</f>
        <v>UCSC</v>
      </c>
      <c r="E16421" s="1" t="str">
        <f>HYPERLINK("http://www.ncbi.nlm.nih.gov/gene/?term=MED31","NCBI")</f>
        <v>NCBI</v>
      </c>
      <c r="F16421">
        <v>0.87</v>
      </c>
      <c r="G16421">
        <v>0.9</v>
      </c>
      <c r="H16421" s="1" t="str">
        <f>HYPERLINK("http://www.weizmann.ac.il/complex/compphys/software/geview/data/figures/219318_x_at.png","Figure")</f>
        <v>Figure</v>
      </c>
      <c r="I16421">
        <v>1.03</v>
      </c>
      <c r="J16421">
        <v>0.92</v>
      </c>
      <c r="K16421">
        <v>0.99199999999999999</v>
      </c>
      <c r="L16421">
        <v>0.99</v>
      </c>
      <c r="M16421">
        <v>0.96099999999999997</v>
      </c>
      <c r="N16421">
        <v>0.87</v>
      </c>
    </row>
    <row r="16422" spans="1:14" x14ac:dyDescent="0.25">
      <c r="A16422" t="s">
        <v>27524</v>
      </c>
      <c r="B16422" t="s">
        <v>27525</v>
      </c>
      <c r="C16422" s="1" t="str">
        <f>HYPERLINK("http://www.genecards.org/cgi-bin/carddisp.pl?gene=SH3BGRL3","GeneCards")</f>
        <v>GeneCards</v>
      </c>
      <c r="D16422" s="1" t="str">
        <f>HYPERLINK("http://genome-euro.ucsc.edu/cgi-bin/hgTracks?position=221269_s_at","UCSC")</f>
        <v>UCSC</v>
      </c>
      <c r="E16422" s="1" t="str">
        <f>HYPERLINK("http://www.ncbi.nlm.nih.gov/gene/?term=SH3BGRL3","NCBI")</f>
        <v>NCBI</v>
      </c>
      <c r="F16422">
        <v>0.87</v>
      </c>
      <c r="G16422">
        <v>0.9</v>
      </c>
      <c r="H16422" s="1" t="str">
        <f>HYPERLINK("http://www.weizmann.ac.il/complex/compphys/software/geview/data/figures/221269_s_at.png","Figure")</f>
        <v>Figure</v>
      </c>
      <c r="I16422">
        <v>0.98799999999999999</v>
      </c>
      <c r="J16422">
        <v>1</v>
      </c>
      <c r="K16422">
        <v>1.1200000000000001</v>
      </c>
      <c r="L16422">
        <v>0.91</v>
      </c>
      <c r="M16422">
        <v>1.1299999999999999</v>
      </c>
      <c r="N16422">
        <v>0.9</v>
      </c>
    </row>
    <row r="16423" spans="1:14" x14ac:dyDescent="0.25">
      <c r="A16423" t="s">
        <v>27526</v>
      </c>
      <c r="B16423" t="s">
        <v>22053</v>
      </c>
      <c r="C16423" s="1" t="str">
        <f>HYPERLINK("http://www.genecards.org/cgi-bin/carddisp.pl?gene=APOE","GeneCards")</f>
        <v>GeneCards</v>
      </c>
      <c r="D16423" s="1" t="str">
        <f>HYPERLINK("http://genome-euro.ucsc.edu/cgi-bin/hgTracks?position=203382_s_at","UCSC")</f>
        <v>UCSC</v>
      </c>
      <c r="E16423" s="1" t="str">
        <f>HYPERLINK("http://www.ncbi.nlm.nih.gov/gene/?term=APOE","NCBI")</f>
        <v>NCBI</v>
      </c>
      <c r="F16423">
        <v>0.87</v>
      </c>
      <c r="G16423">
        <v>0.91</v>
      </c>
      <c r="H16423" s="1" t="str">
        <f>HYPERLINK("http://www.weizmann.ac.il/complex/compphys/software/geview/data/figures/203382_s_at.png","Figure")</f>
        <v>Figure</v>
      </c>
      <c r="I16423">
        <v>1.01</v>
      </c>
      <c r="J16423">
        <v>0.99</v>
      </c>
      <c r="K16423">
        <v>1.02</v>
      </c>
      <c r="L16423">
        <v>0.88</v>
      </c>
      <c r="M16423">
        <v>1.02</v>
      </c>
      <c r="N16423">
        <v>0.93</v>
      </c>
    </row>
    <row r="16424" spans="1:14" x14ac:dyDescent="0.25">
      <c r="A16424" t="s">
        <v>27527</v>
      </c>
      <c r="B16424" t="s">
        <v>27528</v>
      </c>
      <c r="C16424" s="1" t="str">
        <f>HYPERLINK("http://www.genecards.org/cgi-bin/carddisp.pl?gene=C9orf31","GeneCards")</f>
        <v>GeneCards</v>
      </c>
      <c r="D16424" s="1" t="str">
        <f>HYPERLINK("http://genome-euro.ucsc.edu/cgi-bin/hgTracks?position=221072_at","UCSC")</f>
        <v>UCSC</v>
      </c>
      <c r="E16424" s="1" t="str">
        <f>HYPERLINK("http://www.ncbi.nlm.nih.gov/gene/?term=C9orf31","NCBI")</f>
        <v>NCBI</v>
      </c>
      <c r="F16424">
        <v>0.87</v>
      </c>
      <c r="G16424">
        <v>0.91</v>
      </c>
      <c r="H16424" s="1" t="str">
        <f>HYPERLINK("http://www.weizmann.ac.il/complex/compphys/software/geview/data/figures/221072_at.png","Figure")</f>
        <v>Figure</v>
      </c>
      <c r="I16424">
        <v>1</v>
      </c>
      <c r="J16424">
        <v>1</v>
      </c>
      <c r="K16424">
        <v>0.97299999999999998</v>
      </c>
      <c r="L16424">
        <v>0.9</v>
      </c>
      <c r="M16424">
        <v>0.97299999999999998</v>
      </c>
      <c r="N16424">
        <v>0.91</v>
      </c>
    </row>
    <row r="16425" spans="1:14" x14ac:dyDescent="0.25">
      <c r="A16425" t="s">
        <v>27529</v>
      </c>
      <c r="B16425" t="s">
        <v>22470</v>
      </c>
      <c r="C16425" s="1" t="str">
        <f>HYPERLINK("http://www.genecards.org/cgi-bin/carddisp.pl?gene=B4GALT7","GeneCards")</f>
        <v>GeneCards</v>
      </c>
      <c r="D16425" s="1" t="str">
        <f>HYPERLINK("http://genome-euro.ucsc.edu/cgi-bin/hgTracks?position=222191_s_at","UCSC")</f>
        <v>UCSC</v>
      </c>
      <c r="E16425" s="1" t="str">
        <f>HYPERLINK("http://www.ncbi.nlm.nih.gov/gene/?term=B4GALT7","NCBI")</f>
        <v>NCBI</v>
      </c>
      <c r="F16425">
        <v>0.87</v>
      </c>
      <c r="G16425">
        <v>0.91</v>
      </c>
      <c r="H16425" s="1" t="str">
        <f>HYPERLINK("http://www.weizmann.ac.il/complex/compphys/software/geview/data/figures/222191_s_at.png","Figure")</f>
        <v>Figure</v>
      </c>
      <c r="I16425">
        <v>0.97199999999999998</v>
      </c>
      <c r="J16425">
        <v>0.95</v>
      </c>
      <c r="K16425">
        <v>1.02</v>
      </c>
      <c r="L16425">
        <v>0.98</v>
      </c>
      <c r="M16425">
        <v>1.05</v>
      </c>
      <c r="N16425">
        <v>0.86</v>
      </c>
    </row>
    <row r="16426" spans="1:14" x14ac:dyDescent="0.25">
      <c r="A16426" t="s">
        <v>27530</v>
      </c>
      <c r="B16426" t="s">
        <v>22963</v>
      </c>
      <c r="C16426" s="1" t="str">
        <f>HYPERLINK("http://www.genecards.org/cgi-bin/carddisp.pl?gene=PIGL","GeneCards")</f>
        <v>GeneCards</v>
      </c>
      <c r="D16426" s="1" t="str">
        <f>HYPERLINK("http://genome-euro.ucsc.edu/cgi-bin/hgTracks?position=213889_at","UCSC")</f>
        <v>UCSC</v>
      </c>
      <c r="E16426" s="1" t="str">
        <f>HYPERLINK("http://www.ncbi.nlm.nih.gov/gene/?term=PIGL","NCBI")</f>
        <v>NCBI</v>
      </c>
      <c r="F16426">
        <v>0.87</v>
      </c>
      <c r="G16426">
        <v>0.91</v>
      </c>
      <c r="H16426" s="1" t="str">
        <f>HYPERLINK("http://www.weizmann.ac.il/complex/compphys/software/geview/data/figures/213889_at.png","Figure")</f>
        <v>Figure</v>
      </c>
      <c r="I16426">
        <v>1.02</v>
      </c>
      <c r="J16426">
        <v>0.87</v>
      </c>
      <c r="K16426">
        <v>1.01</v>
      </c>
      <c r="L16426">
        <v>0.93</v>
      </c>
      <c r="M16426">
        <v>0.99199999999999999</v>
      </c>
      <c r="N16426">
        <v>0.98</v>
      </c>
    </row>
    <row r="16427" spans="1:14" x14ac:dyDescent="0.25">
      <c r="A16427" t="s">
        <v>27531</v>
      </c>
      <c r="B16427" t="s">
        <v>23013</v>
      </c>
      <c r="C16427" s="1" t="str">
        <f>HYPERLINK("http://www.genecards.org/cgi-bin/carddisp.pl?gene=C16orf35","GeneCards")</f>
        <v>GeneCards</v>
      </c>
      <c r="D16427" s="1" t="str">
        <f>HYPERLINK("http://genome-euro.ucsc.edu/cgi-bin/hgTracks?position=210672_s_at","UCSC")</f>
        <v>UCSC</v>
      </c>
      <c r="E16427" s="1" t="str">
        <f>HYPERLINK("http://www.ncbi.nlm.nih.gov/gene/?term=C16orf35","NCBI")</f>
        <v>NCBI</v>
      </c>
      <c r="F16427">
        <v>0.88</v>
      </c>
      <c r="G16427">
        <v>0.91</v>
      </c>
      <c r="H16427" s="1" t="str">
        <f>HYPERLINK("http://www.weizmann.ac.il/complex/compphys/software/geview/data/figures/210672_s_at.png","Figure")</f>
        <v>Figure</v>
      </c>
      <c r="I16427">
        <v>1.03</v>
      </c>
      <c r="J16427">
        <v>0.98</v>
      </c>
      <c r="K16427">
        <v>1.06</v>
      </c>
      <c r="L16427">
        <v>0.87</v>
      </c>
      <c r="M16427">
        <v>1.03</v>
      </c>
      <c r="N16427">
        <v>0.96</v>
      </c>
    </row>
    <row r="16428" spans="1:14" x14ac:dyDescent="0.25">
      <c r="A16428" t="s">
        <v>27532</v>
      </c>
      <c r="B16428" t="s">
        <v>27533</v>
      </c>
      <c r="C16428" s="1" t="str">
        <f>HYPERLINK("http://www.genecards.org/cgi-bin/carddisp.pl?gene=MAP3K12","GeneCards")</f>
        <v>GeneCards</v>
      </c>
      <c r="D16428" s="1" t="str">
        <f>HYPERLINK("http://genome-euro.ucsc.edu/cgi-bin/hgTracks?position=205447_s_at","UCSC")</f>
        <v>UCSC</v>
      </c>
      <c r="E16428" s="1" t="str">
        <f>HYPERLINK("http://www.ncbi.nlm.nih.gov/gene/?term=MAP3K12","NCBI")</f>
        <v>NCBI</v>
      </c>
      <c r="F16428">
        <v>0.88</v>
      </c>
      <c r="G16428">
        <v>0.91</v>
      </c>
      <c r="H16428" s="1" t="str">
        <f>HYPERLINK("http://www.weizmann.ac.il/complex/compphys/software/geview/data/figures/205447_s_at.png","Figure")</f>
        <v>Figure</v>
      </c>
      <c r="I16428">
        <v>1.04</v>
      </c>
      <c r="J16428">
        <v>0.91</v>
      </c>
      <c r="K16428">
        <v>1.04</v>
      </c>
      <c r="L16428">
        <v>0.88</v>
      </c>
      <c r="M16428">
        <v>1</v>
      </c>
      <c r="N16428">
        <v>1</v>
      </c>
    </row>
    <row r="16429" spans="1:14" x14ac:dyDescent="0.25">
      <c r="A16429" t="s">
        <v>27534</v>
      </c>
      <c r="B16429" t="s">
        <v>7312</v>
      </c>
      <c r="C16429" s="1" t="str">
        <f>HYPERLINK("http://www.genecards.org/cgi-bin/carddisp.pl?gene=DNAJC9","GeneCards")</f>
        <v>GeneCards</v>
      </c>
      <c r="D16429" s="1" t="str">
        <f>HYPERLINK("http://genome-euro.ucsc.edu/cgi-bin/hgTracks?position=213088_s_at","UCSC")</f>
        <v>UCSC</v>
      </c>
      <c r="E16429" s="1" t="str">
        <f>HYPERLINK("http://www.ncbi.nlm.nih.gov/gene/?term=DNAJC9","NCBI")</f>
        <v>NCBI</v>
      </c>
      <c r="F16429">
        <v>0.88</v>
      </c>
      <c r="G16429">
        <v>0.91</v>
      </c>
      <c r="H16429" s="1" t="str">
        <f>HYPERLINK("http://www.weizmann.ac.il/complex/compphys/software/geview/data/figures/213088_s_at.png","Figure")</f>
        <v>Figure</v>
      </c>
      <c r="I16429">
        <v>1.0900000000000001</v>
      </c>
      <c r="J16429">
        <v>0.9</v>
      </c>
      <c r="K16429">
        <v>1.08</v>
      </c>
      <c r="L16429">
        <v>0.89</v>
      </c>
      <c r="M16429">
        <v>0.995</v>
      </c>
      <c r="N16429">
        <v>1</v>
      </c>
    </row>
    <row r="16430" spans="1:14" x14ac:dyDescent="0.25">
      <c r="A16430" t="s">
        <v>27535</v>
      </c>
      <c r="B16430" t="s">
        <v>6638</v>
      </c>
      <c r="C16430" s="1" t="str">
        <f>HYPERLINK("http://www.genecards.org/cgi-bin/carddisp.pl?gene=MUC1","GeneCards")</f>
        <v>GeneCards</v>
      </c>
      <c r="D16430" s="1" t="str">
        <f>HYPERLINK("http://genome-euro.ucsc.edu/cgi-bin/hgTracks?position=211695_x_at","UCSC")</f>
        <v>UCSC</v>
      </c>
      <c r="E16430" s="1" t="str">
        <f>HYPERLINK("http://www.ncbi.nlm.nih.gov/gene/?term=MUC1","NCBI")</f>
        <v>NCBI</v>
      </c>
      <c r="F16430">
        <v>0.88</v>
      </c>
      <c r="G16430">
        <v>0.91</v>
      </c>
      <c r="H16430" s="1" t="str">
        <f>HYPERLINK("http://www.weizmann.ac.il/complex/compphys/software/geview/data/figures/211695_x_at.png","Figure")</f>
        <v>Figure</v>
      </c>
      <c r="I16430">
        <v>0.997</v>
      </c>
      <c r="J16430">
        <v>1</v>
      </c>
      <c r="K16430">
        <v>0.96299999999999997</v>
      </c>
      <c r="L16430">
        <v>0.89</v>
      </c>
      <c r="M16430">
        <v>0.96599999999999997</v>
      </c>
      <c r="N16430">
        <v>0.92</v>
      </c>
    </row>
    <row r="16431" spans="1:14" x14ac:dyDescent="0.25">
      <c r="A16431" t="s">
        <v>27536</v>
      </c>
      <c r="B16431" t="s">
        <v>27537</v>
      </c>
      <c r="C16431" s="1" t="str">
        <f>HYPERLINK("http://www.genecards.org/cgi-bin/carddisp.pl?gene=FOSB","GeneCards")</f>
        <v>GeneCards</v>
      </c>
      <c r="D16431" s="1" t="str">
        <f>HYPERLINK("http://genome-euro.ucsc.edu/cgi-bin/hgTracks?position=202768_at","UCSC")</f>
        <v>UCSC</v>
      </c>
      <c r="E16431" s="1" t="str">
        <f>HYPERLINK("http://www.ncbi.nlm.nih.gov/gene/?term=FOSB","NCBI")</f>
        <v>NCBI</v>
      </c>
      <c r="F16431">
        <v>0.88</v>
      </c>
      <c r="G16431">
        <v>0.91</v>
      </c>
      <c r="H16431" s="1" t="str">
        <f>HYPERLINK("http://www.weizmann.ac.il/complex/compphys/software/geview/data/figures/202768_at.png","Figure")</f>
        <v>Figure</v>
      </c>
      <c r="I16431">
        <v>1.37</v>
      </c>
      <c r="J16431">
        <v>0.87</v>
      </c>
      <c r="K16431">
        <v>1.18</v>
      </c>
      <c r="L16431">
        <v>0.95</v>
      </c>
      <c r="M16431">
        <v>0.86199999999999999</v>
      </c>
      <c r="N16431">
        <v>0.96</v>
      </c>
    </row>
    <row r="16432" spans="1:14" x14ac:dyDescent="0.25">
      <c r="A16432" t="s">
        <v>27538</v>
      </c>
      <c r="B16432" t="s">
        <v>27539</v>
      </c>
      <c r="C16432" s="1" t="str">
        <f>HYPERLINK("http://www.genecards.org/cgi-bin/carddisp.pl?gene=FKBPL","GeneCards")</f>
        <v>GeneCards</v>
      </c>
      <c r="D16432" s="1" t="str">
        <f>HYPERLINK("http://genome-euro.ucsc.edu/cgi-bin/hgTracks?position=219187_at","UCSC")</f>
        <v>UCSC</v>
      </c>
      <c r="E16432" s="1" t="str">
        <f>HYPERLINK("http://www.ncbi.nlm.nih.gov/gene/?term=FKBPL","NCBI")</f>
        <v>NCBI</v>
      </c>
      <c r="F16432">
        <v>0.88</v>
      </c>
      <c r="G16432">
        <v>0.91</v>
      </c>
      <c r="H16432" s="1" t="str">
        <f>HYPERLINK("http://www.weizmann.ac.il/complex/compphys/software/geview/data/figures/219187_at.png","Figure")</f>
        <v>Figure</v>
      </c>
      <c r="I16432">
        <v>0.96499999999999997</v>
      </c>
      <c r="J16432">
        <v>0.9</v>
      </c>
      <c r="K16432">
        <v>0.96699999999999997</v>
      </c>
      <c r="L16432">
        <v>0.89</v>
      </c>
      <c r="M16432">
        <v>1</v>
      </c>
      <c r="N16432">
        <v>1</v>
      </c>
    </row>
    <row r="16433" spans="1:14" x14ac:dyDescent="0.25">
      <c r="A16433" t="s">
        <v>27540</v>
      </c>
      <c r="B16433" t="s">
        <v>3261</v>
      </c>
      <c r="C16433" s="1" t="str">
        <f>HYPERLINK("http://www.genecards.org/cgi-bin/carddisp.pl?gene=METTL5","GeneCards")</f>
        <v>GeneCards</v>
      </c>
      <c r="D16433" s="1" t="str">
        <f>HYPERLINK("http://genome-euro.ucsc.edu/cgi-bin/hgTracks?position=220839_at","UCSC")</f>
        <v>UCSC</v>
      </c>
      <c r="E16433" s="1" t="str">
        <f>HYPERLINK("http://www.ncbi.nlm.nih.gov/gene/?term=METTL5","NCBI")</f>
        <v>NCBI</v>
      </c>
      <c r="F16433">
        <v>0.88</v>
      </c>
      <c r="G16433">
        <v>0.91</v>
      </c>
      <c r="H16433" s="1" t="str">
        <f>HYPERLINK("http://www.weizmann.ac.il/complex/compphys/software/geview/data/figures/220839_at.png","Figure")</f>
        <v>Figure</v>
      </c>
      <c r="I16433">
        <v>0.98099999999999998</v>
      </c>
      <c r="J16433">
        <v>0.9</v>
      </c>
      <c r="K16433">
        <v>0.98299999999999998</v>
      </c>
      <c r="L16433">
        <v>0.89</v>
      </c>
      <c r="M16433">
        <v>1</v>
      </c>
      <c r="N16433">
        <v>1</v>
      </c>
    </row>
    <row r="16434" spans="1:14" x14ac:dyDescent="0.25">
      <c r="A16434" t="s">
        <v>27541</v>
      </c>
      <c r="B16434" t="s">
        <v>14792</v>
      </c>
      <c r="C16434" s="1" t="str">
        <f>HYPERLINK("http://www.genecards.org/cgi-bin/carddisp.pl?gene=DICER1","GeneCards")</f>
        <v>GeneCards</v>
      </c>
      <c r="D16434" s="1" t="str">
        <f>HYPERLINK("http://genome-euro.ucsc.edu/cgi-bin/hgTracks?position=213229_at","UCSC")</f>
        <v>UCSC</v>
      </c>
      <c r="E16434" s="1" t="str">
        <f>HYPERLINK("http://www.ncbi.nlm.nih.gov/gene/?term=DICER1","NCBI")</f>
        <v>NCBI</v>
      </c>
      <c r="F16434">
        <v>0.88</v>
      </c>
      <c r="G16434">
        <v>0.91</v>
      </c>
      <c r="H16434" s="1" t="str">
        <f>HYPERLINK("http://www.weizmann.ac.il/complex/compphys/software/geview/data/figures/213229_at.png","Figure")</f>
        <v>Figure</v>
      </c>
      <c r="I16434">
        <v>1.01</v>
      </c>
      <c r="J16434">
        <v>1</v>
      </c>
      <c r="K16434">
        <v>1.1200000000000001</v>
      </c>
      <c r="L16434">
        <v>0.89</v>
      </c>
      <c r="M16434">
        <v>1.1100000000000001</v>
      </c>
      <c r="N16434">
        <v>0.92</v>
      </c>
    </row>
    <row r="16435" spans="1:14" x14ac:dyDescent="0.25">
      <c r="A16435" t="s">
        <v>27542</v>
      </c>
      <c r="B16435" t="s">
        <v>5792</v>
      </c>
      <c r="C16435" s="1" t="str">
        <f>HYPERLINK("http://www.genecards.org/cgi-bin/carddisp.pl?gene=YY1","GeneCards")</f>
        <v>GeneCards</v>
      </c>
      <c r="D16435" s="1" t="str">
        <f>HYPERLINK("http://genome-euro.ucsc.edu/cgi-bin/hgTracks?position=201902_s_at","UCSC")</f>
        <v>UCSC</v>
      </c>
      <c r="E16435" s="1" t="str">
        <f>HYPERLINK("http://www.ncbi.nlm.nih.gov/gene/?term=YY1","NCBI")</f>
        <v>NCBI</v>
      </c>
      <c r="F16435">
        <v>0.88</v>
      </c>
      <c r="G16435">
        <v>0.91</v>
      </c>
      <c r="H16435" s="1" t="str">
        <f>HYPERLINK("http://www.weizmann.ac.il/complex/compphys/software/geview/data/figures/201902_s_at.png","Figure")</f>
        <v>Figure</v>
      </c>
      <c r="I16435">
        <v>1.05</v>
      </c>
      <c r="J16435">
        <v>0.92</v>
      </c>
      <c r="K16435">
        <v>1.05</v>
      </c>
      <c r="L16435">
        <v>0.88</v>
      </c>
      <c r="M16435">
        <v>1</v>
      </c>
      <c r="N16435">
        <v>1</v>
      </c>
    </row>
    <row r="16436" spans="1:14" x14ac:dyDescent="0.25">
      <c r="A16436" t="s">
        <v>27543</v>
      </c>
      <c r="B16436" t="s">
        <v>24844</v>
      </c>
      <c r="C16436" s="1" t="str">
        <f>HYPERLINK("http://www.genecards.org/cgi-bin/carddisp.pl?gene=EGFL8 /// PPT2","GeneCards")</f>
        <v>GeneCards</v>
      </c>
      <c r="D16436" s="1" t="str">
        <f>HYPERLINK("http://genome-euro.ucsc.edu/cgi-bin/hgTracks?position=208469_s_at","UCSC")</f>
        <v>UCSC</v>
      </c>
      <c r="E16436" s="1" t="str">
        <f>HYPERLINK("http://www.ncbi.nlm.nih.gov/gene/?term=EGFL8 /// PPT2","NCBI")</f>
        <v>NCBI</v>
      </c>
      <c r="F16436">
        <v>0.88</v>
      </c>
      <c r="G16436">
        <v>0.91</v>
      </c>
      <c r="H16436" s="1" t="str">
        <f>HYPERLINK("http://www.weizmann.ac.il/complex/compphys/software/geview/data/figures/208469_s_at.png","Figure")</f>
        <v>Figure</v>
      </c>
      <c r="I16436">
        <v>0.97299999999999998</v>
      </c>
      <c r="J16436">
        <v>0.95</v>
      </c>
      <c r="K16436">
        <v>1.01</v>
      </c>
      <c r="L16436">
        <v>0.98</v>
      </c>
      <c r="M16436">
        <v>1.04</v>
      </c>
      <c r="N16436">
        <v>0.87</v>
      </c>
    </row>
    <row r="16437" spans="1:14" x14ac:dyDescent="0.25">
      <c r="A16437" t="s">
        <v>27544</v>
      </c>
      <c r="B16437" t="s">
        <v>27545</v>
      </c>
      <c r="C16437" s="1" t="str">
        <f>HYPERLINK("http://www.genecards.org/cgi-bin/carddisp.pl?gene=SCAND1","GeneCards")</f>
        <v>GeneCards</v>
      </c>
      <c r="D16437" s="1" t="str">
        <f>HYPERLINK("http://genome-euro.ucsc.edu/cgi-bin/hgTracks?position=218206_x_at","UCSC")</f>
        <v>UCSC</v>
      </c>
      <c r="E16437" s="1" t="str">
        <f>HYPERLINK("http://www.ncbi.nlm.nih.gov/gene/?term=SCAND1","NCBI")</f>
        <v>NCBI</v>
      </c>
      <c r="F16437">
        <v>0.88</v>
      </c>
      <c r="G16437">
        <v>0.91</v>
      </c>
      <c r="H16437" s="1" t="str">
        <f>HYPERLINK("http://www.weizmann.ac.il/complex/compphys/software/geview/data/figures/218206_x_at.png","Figure")</f>
        <v>Figure</v>
      </c>
      <c r="I16437">
        <v>0.93300000000000005</v>
      </c>
      <c r="J16437">
        <v>0.88</v>
      </c>
      <c r="K16437">
        <v>0.98599999999999999</v>
      </c>
      <c r="L16437">
        <v>0.99</v>
      </c>
      <c r="M16437">
        <v>1.06</v>
      </c>
      <c r="N16437">
        <v>0.91</v>
      </c>
    </row>
    <row r="16438" spans="1:14" x14ac:dyDescent="0.25">
      <c r="A16438" t="s">
        <v>27546</v>
      </c>
      <c r="B16438" t="s">
        <v>27547</v>
      </c>
      <c r="C16438" s="1" t="str">
        <f>HYPERLINK("http://www.genecards.org/cgi-bin/carddisp.pl?gene=C11orf51","GeneCards")</f>
        <v>GeneCards</v>
      </c>
      <c r="D16438" s="1" t="str">
        <f>HYPERLINK("http://genome-euro.ucsc.edu/cgi-bin/hgTracks?position=204218_at","UCSC")</f>
        <v>UCSC</v>
      </c>
      <c r="E16438" s="1" t="str">
        <f>HYPERLINK("http://www.ncbi.nlm.nih.gov/gene/?term=C11orf51","NCBI")</f>
        <v>NCBI</v>
      </c>
      <c r="F16438">
        <v>0.88</v>
      </c>
      <c r="G16438">
        <v>0.91</v>
      </c>
      <c r="H16438" s="1" t="str">
        <f>HYPERLINK("http://www.weizmann.ac.il/complex/compphys/software/geview/data/figures/204218_at.png","Figure")</f>
        <v>Figure</v>
      </c>
      <c r="I16438">
        <v>1</v>
      </c>
      <c r="J16438">
        <v>1</v>
      </c>
      <c r="K16438">
        <v>0.95799999999999996</v>
      </c>
      <c r="L16438">
        <v>0.91</v>
      </c>
      <c r="M16438">
        <v>0.95499999999999996</v>
      </c>
      <c r="N16438">
        <v>0.9</v>
      </c>
    </row>
    <row r="16439" spans="1:14" x14ac:dyDescent="0.25">
      <c r="A16439" t="s">
        <v>27548</v>
      </c>
      <c r="B16439" t="s">
        <v>27549</v>
      </c>
      <c r="C16439" s="1" t="str">
        <f>HYPERLINK("http://www.genecards.org/cgi-bin/carddisp.pl?gene=EXOSC9","GeneCards")</f>
        <v>GeneCards</v>
      </c>
      <c r="D16439" s="1" t="str">
        <f>HYPERLINK("http://genome-euro.ucsc.edu/cgi-bin/hgTracks?position=205061_s_at","UCSC")</f>
        <v>UCSC</v>
      </c>
      <c r="E16439" s="1" t="str">
        <f>HYPERLINK("http://www.ncbi.nlm.nih.gov/gene/?term=EXOSC9","NCBI")</f>
        <v>NCBI</v>
      </c>
      <c r="F16439">
        <v>0.88</v>
      </c>
      <c r="G16439">
        <v>0.91</v>
      </c>
      <c r="H16439" s="1" t="str">
        <f>HYPERLINK("http://www.weizmann.ac.il/complex/compphys/software/geview/data/figures/205061_s_at.png","Figure")</f>
        <v>Figure</v>
      </c>
      <c r="I16439">
        <v>1.03</v>
      </c>
      <c r="J16439">
        <v>0.98</v>
      </c>
      <c r="K16439">
        <v>1.07</v>
      </c>
      <c r="L16439">
        <v>0.87</v>
      </c>
      <c r="M16439">
        <v>1.04</v>
      </c>
      <c r="N16439">
        <v>0.96</v>
      </c>
    </row>
    <row r="16440" spans="1:14" x14ac:dyDescent="0.25">
      <c r="A16440" t="s">
        <v>27550</v>
      </c>
      <c r="B16440" t="s">
        <v>11249</v>
      </c>
      <c r="C16440" s="1" t="str">
        <f>HYPERLINK("http://www.genecards.org/cgi-bin/carddisp.pl?gene=PRPF18","GeneCards")</f>
        <v>GeneCards</v>
      </c>
      <c r="D16440" s="1" t="str">
        <f>HYPERLINK("http://genome-euro.ucsc.edu/cgi-bin/hgTracks?position=221546_at","UCSC")</f>
        <v>UCSC</v>
      </c>
      <c r="E16440" s="1" t="str">
        <f>HYPERLINK("http://www.ncbi.nlm.nih.gov/gene/?term=PRPF18","NCBI")</f>
        <v>NCBI</v>
      </c>
      <c r="F16440">
        <v>0.88</v>
      </c>
      <c r="G16440">
        <v>0.91</v>
      </c>
      <c r="H16440" s="1" t="str">
        <f>HYPERLINK("http://www.weizmann.ac.il/complex/compphys/software/geview/data/figures/221546_at.png","Figure")</f>
        <v>Figure</v>
      </c>
      <c r="I16440">
        <v>0.94099999999999995</v>
      </c>
      <c r="J16440">
        <v>0.87</v>
      </c>
      <c r="K16440">
        <v>0.97899999999999998</v>
      </c>
      <c r="L16440">
        <v>0.98</v>
      </c>
      <c r="M16440">
        <v>1.04</v>
      </c>
      <c r="N16440">
        <v>0.93</v>
      </c>
    </row>
    <row r="16441" spans="1:14" x14ac:dyDescent="0.25">
      <c r="A16441" t="s">
        <v>27551</v>
      </c>
      <c r="B16441" t="s">
        <v>14654</v>
      </c>
      <c r="C16441" s="1" t="str">
        <f>HYPERLINK("http://www.genecards.org/cgi-bin/carddisp.pl?gene=LSM14A","GeneCards")</f>
        <v>GeneCards</v>
      </c>
      <c r="D16441" s="1" t="str">
        <f>HYPERLINK("http://genome-euro.ucsc.edu/cgi-bin/hgTracks?position=212132_at","UCSC")</f>
        <v>UCSC</v>
      </c>
      <c r="E16441" s="1" t="str">
        <f>HYPERLINK("http://www.ncbi.nlm.nih.gov/gene/?term=LSM14A","NCBI")</f>
        <v>NCBI</v>
      </c>
      <c r="F16441">
        <v>0.88</v>
      </c>
      <c r="G16441">
        <v>0.91</v>
      </c>
      <c r="H16441" s="1" t="str">
        <f>HYPERLINK("http://www.weizmann.ac.il/complex/compphys/software/geview/data/figures/212132_at.png","Figure")</f>
        <v>Figure</v>
      </c>
      <c r="I16441">
        <v>1.08</v>
      </c>
      <c r="J16441">
        <v>0.88</v>
      </c>
      <c r="K16441">
        <v>1.01</v>
      </c>
      <c r="L16441">
        <v>0.99</v>
      </c>
      <c r="M16441">
        <v>0.94</v>
      </c>
      <c r="N16441">
        <v>0.91</v>
      </c>
    </row>
    <row r="16442" spans="1:14" x14ac:dyDescent="0.25">
      <c r="A16442" t="s">
        <v>27552</v>
      </c>
      <c r="B16442" t="s">
        <v>27553</v>
      </c>
      <c r="C16442" s="1" t="str">
        <f>HYPERLINK("http://www.genecards.org/cgi-bin/carddisp.pl?gene=RAB40C","GeneCards")</f>
        <v>GeneCards</v>
      </c>
      <c r="D16442" s="1" t="str">
        <f>HYPERLINK("http://genome-euro.ucsc.edu/cgi-bin/hgTracks?position=213466_at","UCSC")</f>
        <v>UCSC</v>
      </c>
      <c r="E16442" s="1" t="str">
        <f>HYPERLINK("http://www.ncbi.nlm.nih.gov/gene/?term=RAB40C","NCBI")</f>
        <v>NCBI</v>
      </c>
      <c r="F16442">
        <v>0.88</v>
      </c>
      <c r="G16442">
        <v>0.91</v>
      </c>
      <c r="H16442" s="1" t="str">
        <f>HYPERLINK("http://www.weizmann.ac.il/complex/compphys/software/geview/data/figures/213466_at.png","Figure")</f>
        <v>Figure</v>
      </c>
      <c r="I16442">
        <v>1.02</v>
      </c>
      <c r="J16442">
        <v>0.96</v>
      </c>
      <c r="K16442">
        <v>0.98599999999999999</v>
      </c>
      <c r="L16442">
        <v>0.97</v>
      </c>
      <c r="M16442">
        <v>0.96599999999999997</v>
      </c>
      <c r="N16442">
        <v>0.87</v>
      </c>
    </row>
    <row r="16443" spans="1:14" x14ac:dyDescent="0.25">
      <c r="A16443" t="s">
        <v>27554</v>
      </c>
      <c r="B16443" t="s">
        <v>27555</v>
      </c>
      <c r="C16443" s="1" t="str">
        <f>HYPERLINK("http://www.genecards.org/cgi-bin/carddisp.pl?gene=OBFC2B","GeneCards")</f>
        <v>GeneCards</v>
      </c>
      <c r="D16443" s="1" t="str">
        <f>HYPERLINK("http://genome-euro.ucsc.edu/cgi-bin/hgTracks?position=218903_s_at","UCSC")</f>
        <v>UCSC</v>
      </c>
      <c r="E16443" s="1" t="str">
        <f>HYPERLINK("http://www.ncbi.nlm.nih.gov/gene/?term=OBFC2B","NCBI")</f>
        <v>NCBI</v>
      </c>
      <c r="F16443">
        <v>0.88</v>
      </c>
      <c r="G16443">
        <v>0.91</v>
      </c>
      <c r="H16443" s="1" t="str">
        <f>HYPERLINK("http://www.weizmann.ac.il/complex/compphys/software/geview/data/figures/218903_s_at.png","Figure")</f>
        <v>Figure</v>
      </c>
      <c r="I16443">
        <v>0.96299999999999997</v>
      </c>
      <c r="J16443">
        <v>0.89</v>
      </c>
      <c r="K16443">
        <v>0.998</v>
      </c>
      <c r="L16443">
        <v>1</v>
      </c>
      <c r="M16443">
        <v>1.04</v>
      </c>
      <c r="N16443">
        <v>0.89</v>
      </c>
    </row>
    <row r="16444" spans="1:14" x14ac:dyDescent="0.25">
      <c r="A16444" t="s">
        <v>27556</v>
      </c>
      <c r="B16444" t="s">
        <v>20549</v>
      </c>
      <c r="C16444" s="1" t="str">
        <f>HYPERLINK("http://www.genecards.org/cgi-bin/carddisp.pl?gene=TMEM151B","GeneCards")</f>
        <v>GeneCards</v>
      </c>
      <c r="D16444" s="1" t="str">
        <f>HYPERLINK("http://genome-euro.ucsc.edu/cgi-bin/hgTracks?position=213678_at","UCSC")</f>
        <v>UCSC</v>
      </c>
      <c r="E16444" s="1" t="str">
        <f>HYPERLINK("http://www.ncbi.nlm.nih.gov/gene/?term=TMEM151B","NCBI")</f>
        <v>NCBI</v>
      </c>
      <c r="F16444">
        <v>0.88</v>
      </c>
      <c r="G16444">
        <v>0.91</v>
      </c>
      <c r="H16444" s="1" t="str">
        <f>HYPERLINK("http://www.weizmann.ac.il/complex/compphys/software/geview/data/figures/213678_at.png","Figure")</f>
        <v>Figure</v>
      </c>
      <c r="I16444">
        <v>1</v>
      </c>
      <c r="J16444">
        <v>1</v>
      </c>
      <c r="K16444">
        <v>0.96099999999999997</v>
      </c>
      <c r="L16444">
        <v>0.91</v>
      </c>
      <c r="M16444">
        <v>0.95699999999999996</v>
      </c>
      <c r="N16444">
        <v>0.9</v>
      </c>
    </row>
    <row r="16445" spans="1:14" x14ac:dyDescent="0.25">
      <c r="A16445" t="s">
        <v>27557</v>
      </c>
      <c r="B16445" t="s">
        <v>27558</v>
      </c>
      <c r="C16445" s="1" t="str">
        <f>HYPERLINK("http://www.genecards.org/cgi-bin/carddisp.pl?gene=HSFX1 /// HSFX2","GeneCards")</f>
        <v>GeneCards</v>
      </c>
      <c r="D16445" s="1" t="str">
        <f>HYPERLINK("http://genome-euro.ucsc.edu/cgi-bin/hgTracks?position=220314_at","UCSC")</f>
        <v>UCSC</v>
      </c>
      <c r="E16445" s="1" t="str">
        <f>HYPERLINK("http://www.ncbi.nlm.nih.gov/gene/?term=HSFX1 /// HSFX2","NCBI")</f>
        <v>NCBI</v>
      </c>
      <c r="F16445">
        <v>0.88</v>
      </c>
      <c r="G16445">
        <v>0.91</v>
      </c>
      <c r="H16445" s="1" t="str">
        <f>HYPERLINK("http://www.weizmann.ac.il/complex/compphys/software/geview/data/figures/220314_at.png","Figure")</f>
        <v>Figure</v>
      </c>
      <c r="I16445">
        <v>0.96899999999999997</v>
      </c>
      <c r="J16445">
        <v>0.9</v>
      </c>
      <c r="K16445">
        <v>0.97199999999999998</v>
      </c>
      <c r="L16445">
        <v>0.89</v>
      </c>
      <c r="M16445">
        <v>1</v>
      </c>
      <c r="N16445">
        <v>1</v>
      </c>
    </row>
    <row r="16446" spans="1:14" x14ac:dyDescent="0.25">
      <c r="A16446" t="s">
        <v>27559</v>
      </c>
      <c r="B16446" t="s">
        <v>27560</v>
      </c>
      <c r="C16446" s="1" t="str">
        <f>HYPERLINK("http://www.genecards.org/cgi-bin/carddisp.pl?gene=LOC100170939","GeneCards")</f>
        <v>GeneCards</v>
      </c>
      <c r="D16446" s="1" t="str">
        <f>HYPERLINK("http://genome-euro.ucsc.edu/cgi-bin/hgTracks?position=214850_at","UCSC")</f>
        <v>UCSC</v>
      </c>
      <c r="E16446" s="1" t="str">
        <f>HYPERLINK("http://www.ncbi.nlm.nih.gov/gene/?term=LOC100170939","NCBI")</f>
        <v>NCBI</v>
      </c>
      <c r="F16446">
        <v>0.88</v>
      </c>
      <c r="G16446">
        <v>0.91</v>
      </c>
      <c r="H16446" s="1" t="str">
        <f>HYPERLINK("http://www.weizmann.ac.il/complex/compphys/software/geview/data/figures/214850_at.png","Figure")</f>
        <v>Figure</v>
      </c>
      <c r="I16446">
        <v>0.91600000000000004</v>
      </c>
      <c r="J16446">
        <v>0.9</v>
      </c>
      <c r="K16446">
        <v>0.998</v>
      </c>
      <c r="L16446">
        <v>1</v>
      </c>
      <c r="M16446">
        <v>1.0900000000000001</v>
      </c>
      <c r="N16446">
        <v>0.89</v>
      </c>
    </row>
    <row r="16447" spans="1:14" x14ac:dyDescent="0.25">
      <c r="A16447" t="s">
        <v>27561</v>
      </c>
      <c r="B16447" t="s">
        <v>27562</v>
      </c>
      <c r="C16447" s="1" t="str">
        <f>HYPERLINK("http://www.genecards.org/cgi-bin/carddisp.pl?gene=FBXO21","GeneCards")</f>
        <v>GeneCards</v>
      </c>
      <c r="D16447" s="1" t="str">
        <f>HYPERLINK("http://genome-euro.ucsc.edu/cgi-bin/hgTracks?position=212229_s_at","UCSC")</f>
        <v>UCSC</v>
      </c>
      <c r="E16447" s="1" t="str">
        <f>HYPERLINK("http://www.ncbi.nlm.nih.gov/gene/?term=FBXO21","NCBI")</f>
        <v>NCBI</v>
      </c>
      <c r="F16447">
        <v>0.88</v>
      </c>
      <c r="G16447">
        <v>0.91</v>
      </c>
      <c r="H16447" s="1" t="str">
        <f>HYPERLINK("http://www.weizmann.ac.il/complex/compphys/software/geview/data/figures/212229_s_at.png","Figure")</f>
        <v>Figure</v>
      </c>
      <c r="I16447">
        <v>0.91400000000000003</v>
      </c>
      <c r="J16447">
        <v>0.89</v>
      </c>
      <c r="K16447">
        <v>0.93300000000000005</v>
      </c>
      <c r="L16447">
        <v>0.91</v>
      </c>
      <c r="M16447">
        <v>1.02</v>
      </c>
      <c r="N16447">
        <v>0.99</v>
      </c>
    </row>
    <row r="16448" spans="1:14" x14ac:dyDescent="0.25">
      <c r="A16448" t="s">
        <v>27563</v>
      </c>
      <c r="B16448" t="s">
        <v>16527</v>
      </c>
      <c r="C16448" s="1" t="str">
        <f>HYPERLINK("http://www.genecards.org/cgi-bin/carddisp.pl?gene=SERPINE1","GeneCards")</f>
        <v>GeneCards</v>
      </c>
      <c r="D16448" s="1" t="str">
        <f>HYPERLINK("http://genome-euro.ucsc.edu/cgi-bin/hgTracks?position=202628_s_at","UCSC")</f>
        <v>UCSC</v>
      </c>
      <c r="E16448" s="1" t="str">
        <f>HYPERLINK("http://www.ncbi.nlm.nih.gov/gene/?term=SERPINE1","NCBI")</f>
        <v>NCBI</v>
      </c>
      <c r="F16448">
        <v>0.88</v>
      </c>
      <c r="G16448">
        <v>0.91</v>
      </c>
      <c r="H16448" s="1" t="str">
        <f>HYPERLINK("http://www.weizmann.ac.il/complex/compphys/software/geview/data/figures/202628_s_at.png","Figure")</f>
        <v>Figure</v>
      </c>
      <c r="I16448">
        <v>0.96699999999999997</v>
      </c>
      <c r="J16448">
        <v>0.99</v>
      </c>
      <c r="K16448">
        <v>0.91300000000000003</v>
      </c>
      <c r="L16448">
        <v>0.87</v>
      </c>
      <c r="M16448">
        <v>0.94499999999999995</v>
      </c>
      <c r="N16448">
        <v>0.95</v>
      </c>
    </row>
    <row r="16449" spans="1:14" x14ac:dyDescent="0.25">
      <c r="A16449" t="s">
        <v>27564</v>
      </c>
      <c r="B16449" t="s">
        <v>21011</v>
      </c>
      <c r="C16449" s="1" t="str">
        <f>HYPERLINK("http://www.genecards.org/cgi-bin/carddisp.pl?gene=CLCN4","GeneCards")</f>
        <v>GeneCards</v>
      </c>
      <c r="D16449" s="1" t="str">
        <f>HYPERLINK("http://genome-euro.ucsc.edu/cgi-bin/hgTracks?position=205148_s_at","UCSC")</f>
        <v>UCSC</v>
      </c>
      <c r="E16449" s="1" t="str">
        <f>HYPERLINK("http://www.ncbi.nlm.nih.gov/gene/?term=CLCN4","NCBI")</f>
        <v>NCBI</v>
      </c>
      <c r="F16449">
        <v>0.88</v>
      </c>
      <c r="G16449">
        <v>0.91</v>
      </c>
      <c r="H16449" s="1" t="str">
        <f>HYPERLINK("http://www.weizmann.ac.il/complex/compphys/software/geview/data/figures/205148_s_at.png","Figure")</f>
        <v>Figure</v>
      </c>
      <c r="I16449">
        <v>0.96399999999999997</v>
      </c>
      <c r="J16449">
        <v>0.94</v>
      </c>
      <c r="K16449">
        <v>1.02</v>
      </c>
      <c r="L16449">
        <v>0.99</v>
      </c>
      <c r="M16449">
        <v>1.05</v>
      </c>
      <c r="N16449">
        <v>0.87</v>
      </c>
    </row>
    <row r="16450" spans="1:14" x14ac:dyDescent="0.25">
      <c r="A16450" t="s">
        <v>27565</v>
      </c>
      <c r="B16450" t="s">
        <v>27566</v>
      </c>
      <c r="C16450" s="1" t="str">
        <f>HYPERLINK("http://www.genecards.org/cgi-bin/carddisp.pl?gene=LOC100292841 /// SUZ12 /// SUZ12P","GeneCards")</f>
        <v>GeneCards</v>
      </c>
      <c r="D16450" s="1" t="str">
        <f>HYPERLINK("http://genome-euro.ucsc.edu/cgi-bin/hgTracks?position=213971_s_at","UCSC")</f>
        <v>UCSC</v>
      </c>
      <c r="E16450" s="1" t="str">
        <f>HYPERLINK("http://www.ncbi.nlm.nih.gov/gene/?term=LOC100292841 /// SUZ12 /// SUZ12P","NCBI")</f>
        <v>NCBI</v>
      </c>
      <c r="F16450">
        <v>0.88</v>
      </c>
      <c r="G16450">
        <v>0.91</v>
      </c>
      <c r="H16450" s="1" t="str">
        <f>HYPERLINK("http://www.weizmann.ac.il/complex/compphys/software/geview/data/figures/213971_s_at.png","Figure")</f>
        <v>Figure</v>
      </c>
      <c r="I16450">
        <v>1.05</v>
      </c>
      <c r="J16450">
        <v>0.87</v>
      </c>
      <c r="K16450">
        <v>1.03</v>
      </c>
      <c r="L16450">
        <v>0.96</v>
      </c>
      <c r="M16450">
        <v>0.97299999999999998</v>
      </c>
      <c r="N16450">
        <v>0.96</v>
      </c>
    </row>
    <row r="16451" spans="1:14" x14ac:dyDescent="0.25">
      <c r="A16451" t="s">
        <v>27567</v>
      </c>
      <c r="B16451" t="s">
        <v>13129</v>
      </c>
      <c r="C16451" s="1" t="str">
        <f>HYPERLINK("http://www.genecards.org/cgi-bin/carddisp.pl?gene=MCM4","GeneCards")</f>
        <v>GeneCards</v>
      </c>
      <c r="D16451" s="1" t="str">
        <f>HYPERLINK("http://genome-euro.ucsc.edu/cgi-bin/hgTracks?position=212142_at","UCSC")</f>
        <v>UCSC</v>
      </c>
      <c r="E16451" s="1" t="str">
        <f>HYPERLINK("http://www.ncbi.nlm.nih.gov/gene/?term=MCM4","NCBI")</f>
        <v>NCBI</v>
      </c>
      <c r="F16451">
        <v>0.88</v>
      </c>
      <c r="G16451">
        <v>0.91</v>
      </c>
      <c r="H16451" s="1" t="str">
        <f>HYPERLINK("http://www.weizmann.ac.il/complex/compphys/software/geview/data/figures/212142_at.png","Figure")</f>
        <v>Figure</v>
      </c>
      <c r="I16451">
        <v>1.01</v>
      </c>
      <c r="J16451">
        <v>0.99</v>
      </c>
      <c r="K16451">
        <v>0.96599999999999997</v>
      </c>
      <c r="L16451">
        <v>0.93</v>
      </c>
      <c r="M16451">
        <v>0.95199999999999996</v>
      </c>
      <c r="N16451">
        <v>0.89</v>
      </c>
    </row>
    <row r="16452" spans="1:14" x14ac:dyDescent="0.25">
      <c r="A16452" t="s">
        <v>27568</v>
      </c>
      <c r="B16452" t="s">
        <v>10571</v>
      </c>
      <c r="C16452" s="1" t="str">
        <f>HYPERLINK("http://www.genecards.org/cgi-bin/carddisp.pl?gene=VPS13D","GeneCards")</f>
        <v>GeneCards</v>
      </c>
      <c r="D16452" s="1" t="str">
        <f>HYPERLINK("http://genome-euro.ucsc.edu/cgi-bin/hgTracks?position=212323_s_at","UCSC")</f>
        <v>UCSC</v>
      </c>
      <c r="E16452" s="1" t="str">
        <f>HYPERLINK("http://www.ncbi.nlm.nih.gov/gene/?term=VPS13D","NCBI")</f>
        <v>NCBI</v>
      </c>
      <c r="F16452">
        <v>0.88</v>
      </c>
      <c r="G16452">
        <v>0.91</v>
      </c>
      <c r="H16452" s="1" t="str">
        <f>HYPERLINK("http://www.weizmann.ac.il/complex/compphys/software/geview/data/figures/212323_s_at.png","Figure")</f>
        <v>Figure</v>
      </c>
      <c r="I16452">
        <v>1.05</v>
      </c>
      <c r="J16452">
        <v>0.87</v>
      </c>
      <c r="K16452">
        <v>1.03</v>
      </c>
      <c r="L16452">
        <v>0.95</v>
      </c>
      <c r="M16452">
        <v>0.97699999999999998</v>
      </c>
      <c r="N16452">
        <v>0.97</v>
      </c>
    </row>
    <row r="16453" spans="1:14" x14ac:dyDescent="0.25">
      <c r="A16453" t="s">
        <v>27569</v>
      </c>
      <c r="B16453" t="s">
        <v>26733</v>
      </c>
      <c r="C16453" s="1" t="str">
        <f>HYPERLINK("http://www.genecards.org/cgi-bin/carddisp.pl?gene=CCL5","GeneCards")</f>
        <v>GeneCards</v>
      </c>
      <c r="D16453" s="1" t="str">
        <f>HYPERLINK("http://genome-euro.ucsc.edu/cgi-bin/hgTracks?position=204655_at","UCSC")</f>
        <v>UCSC</v>
      </c>
      <c r="E16453" s="1" t="str">
        <f>HYPERLINK("http://www.ncbi.nlm.nih.gov/gene/?term=CCL5","NCBI")</f>
        <v>NCBI</v>
      </c>
      <c r="F16453">
        <v>0.88</v>
      </c>
      <c r="G16453">
        <v>0.91</v>
      </c>
      <c r="H16453" s="1" t="str">
        <f>HYPERLINK("http://www.weizmann.ac.il/complex/compphys/software/geview/data/figures/204655_at.png","Figure")</f>
        <v>Figure</v>
      </c>
      <c r="I16453">
        <v>0.82199999999999995</v>
      </c>
      <c r="J16453">
        <v>0.88</v>
      </c>
      <c r="K16453">
        <v>0.88500000000000001</v>
      </c>
      <c r="L16453">
        <v>0.93</v>
      </c>
      <c r="M16453">
        <v>1.08</v>
      </c>
      <c r="N16453">
        <v>0.98</v>
      </c>
    </row>
    <row r="16454" spans="1:14" x14ac:dyDescent="0.25">
      <c r="A16454" t="s">
        <v>27570</v>
      </c>
      <c r="B16454" t="s">
        <v>9234</v>
      </c>
      <c r="C16454" s="1" t="str">
        <f>HYPERLINK("http://www.genecards.org/cgi-bin/carddisp.pl?gene=GAS2L1","GeneCards")</f>
        <v>GeneCards</v>
      </c>
      <c r="D16454" s="1" t="str">
        <f>HYPERLINK("http://genome-euro.ucsc.edu/cgi-bin/hgTracks?position=31874_at","UCSC")</f>
        <v>UCSC</v>
      </c>
      <c r="E16454" s="1" t="str">
        <f>HYPERLINK("http://www.ncbi.nlm.nih.gov/gene/?term=GAS2L1","NCBI")</f>
        <v>NCBI</v>
      </c>
      <c r="F16454">
        <v>0.88</v>
      </c>
      <c r="G16454">
        <v>0.91</v>
      </c>
      <c r="H16454" s="1" t="str">
        <f>HYPERLINK("http://www.weizmann.ac.il/complex/compphys/software/geview/data/figures/31874_at.png","Figure")</f>
        <v>Figure</v>
      </c>
      <c r="I16454">
        <v>0.99399999999999999</v>
      </c>
      <c r="J16454">
        <v>0.99</v>
      </c>
      <c r="K16454">
        <v>0.98299999999999998</v>
      </c>
      <c r="L16454">
        <v>0.88</v>
      </c>
      <c r="M16454">
        <v>0.98899999999999999</v>
      </c>
      <c r="N16454">
        <v>0.95</v>
      </c>
    </row>
    <row r="16455" spans="1:14" x14ac:dyDescent="0.25">
      <c r="A16455" t="s">
        <v>27571</v>
      </c>
      <c r="B16455" t="s">
        <v>27373</v>
      </c>
      <c r="C16455" s="1" t="str">
        <f>HYPERLINK("http://www.genecards.org/cgi-bin/carddisp.pl?gene=RAD23A","GeneCards")</f>
        <v>GeneCards</v>
      </c>
      <c r="D16455" s="1" t="str">
        <f>HYPERLINK("http://genome-euro.ucsc.edu/cgi-bin/hgTracks?position=201046_s_at","UCSC")</f>
        <v>UCSC</v>
      </c>
      <c r="E16455" s="1" t="str">
        <f>HYPERLINK("http://www.ncbi.nlm.nih.gov/gene/?term=RAD23A","NCBI")</f>
        <v>NCBI</v>
      </c>
      <c r="F16455">
        <v>0.88</v>
      </c>
      <c r="G16455">
        <v>0.91</v>
      </c>
      <c r="H16455" s="1" t="str">
        <f>HYPERLINK("http://www.weizmann.ac.il/complex/compphys/software/geview/data/figures/201046_s_at.png","Figure")</f>
        <v>Figure</v>
      </c>
      <c r="I16455">
        <v>1.02</v>
      </c>
      <c r="J16455">
        <v>0.99</v>
      </c>
      <c r="K16455">
        <v>0.95</v>
      </c>
      <c r="L16455">
        <v>0.94</v>
      </c>
      <c r="M16455">
        <v>0.92700000000000005</v>
      </c>
      <c r="N16455">
        <v>0.88</v>
      </c>
    </row>
    <row r="16456" spans="1:14" x14ac:dyDescent="0.25">
      <c r="A16456" t="s">
        <v>27572</v>
      </c>
      <c r="B16456" t="s">
        <v>27573</v>
      </c>
      <c r="C16456" s="1" t="str">
        <f>HYPERLINK("http://www.genecards.org/cgi-bin/carddisp.pl?gene=ORC4L","GeneCards")</f>
        <v>GeneCards</v>
      </c>
      <c r="D16456" s="1" t="str">
        <f>HYPERLINK("http://genome-euro.ucsc.edu/cgi-bin/hgTracks?position=203351_s_at","UCSC")</f>
        <v>UCSC</v>
      </c>
      <c r="E16456" s="1" t="str">
        <f>HYPERLINK("http://www.ncbi.nlm.nih.gov/gene/?term=ORC4L","NCBI")</f>
        <v>NCBI</v>
      </c>
      <c r="F16456">
        <v>0.88</v>
      </c>
      <c r="G16456">
        <v>0.91</v>
      </c>
      <c r="H16456" s="1" t="str">
        <f>HYPERLINK("http://www.weizmann.ac.il/complex/compphys/software/geview/data/figures/203351_s_at.png","Figure")</f>
        <v>Figure</v>
      </c>
      <c r="I16456">
        <v>0.97899999999999998</v>
      </c>
      <c r="J16456">
        <v>0.99</v>
      </c>
      <c r="K16456">
        <v>0.94499999999999995</v>
      </c>
      <c r="L16456">
        <v>0.87</v>
      </c>
      <c r="M16456">
        <v>0.96499999999999997</v>
      </c>
      <c r="N16456">
        <v>0.96</v>
      </c>
    </row>
    <row r="16457" spans="1:14" x14ac:dyDescent="0.25">
      <c r="A16457" t="s">
        <v>27574</v>
      </c>
      <c r="B16457" t="s">
        <v>26143</v>
      </c>
      <c r="C16457" s="1" t="str">
        <f>HYPERLINK("http://www.genecards.org/cgi-bin/carddisp.pl?gene=HOMER3","GeneCards")</f>
        <v>GeneCards</v>
      </c>
      <c r="D16457" s="1" t="str">
        <f>HYPERLINK("http://genome-euro.ucsc.edu/cgi-bin/hgTracks?position=204647_at","UCSC")</f>
        <v>UCSC</v>
      </c>
      <c r="E16457" s="1" t="str">
        <f>HYPERLINK("http://www.ncbi.nlm.nih.gov/gene/?term=HOMER3","NCBI")</f>
        <v>NCBI</v>
      </c>
      <c r="F16457">
        <v>0.88</v>
      </c>
      <c r="G16457">
        <v>0.91</v>
      </c>
      <c r="H16457" s="1" t="str">
        <f>HYPERLINK("http://www.weizmann.ac.il/complex/compphys/software/geview/data/figures/204647_at.png","Figure")</f>
        <v>Figure</v>
      </c>
      <c r="I16457">
        <v>0.97799999999999998</v>
      </c>
      <c r="J16457">
        <v>0.88</v>
      </c>
      <c r="K16457">
        <v>0.99399999999999999</v>
      </c>
      <c r="L16457">
        <v>0.99</v>
      </c>
      <c r="M16457">
        <v>1.02</v>
      </c>
      <c r="N16457">
        <v>0.92</v>
      </c>
    </row>
    <row r="16458" spans="1:14" x14ac:dyDescent="0.25">
      <c r="A16458" t="s">
        <v>27575</v>
      </c>
      <c r="B16458" t="s">
        <v>27576</v>
      </c>
      <c r="C16458" s="1" t="str">
        <f>HYPERLINK("http://www.genecards.org/cgi-bin/carddisp.pl?gene=DLGAP1","GeneCards")</f>
        <v>GeneCards</v>
      </c>
      <c r="D16458" s="1" t="str">
        <f>HYPERLINK("http://genome-euro.ucsc.edu/cgi-bin/hgTracks?position=210750_s_at","UCSC")</f>
        <v>UCSC</v>
      </c>
      <c r="E16458" s="1" t="str">
        <f>HYPERLINK("http://www.ncbi.nlm.nih.gov/gene/?term=DLGAP1","NCBI")</f>
        <v>NCBI</v>
      </c>
      <c r="F16458">
        <v>0.88</v>
      </c>
      <c r="G16458">
        <v>0.91</v>
      </c>
      <c r="H16458" s="1" t="str">
        <f>HYPERLINK("http://www.weizmann.ac.il/complex/compphys/software/geview/data/figures/210750_s_at.png","Figure")</f>
        <v>Figure</v>
      </c>
      <c r="I16458">
        <v>0.98699999999999999</v>
      </c>
      <c r="J16458">
        <v>0.97</v>
      </c>
      <c r="K16458">
        <v>1.01</v>
      </c>
      <c r="L16458">
        <v>0.96</v>
      </c>
      <c r="M16458">
        <v>1.03</v>
      </c>
      <c r="N16458">
        <v>0.87</v>
      </c>
    </row>
    <row r="16459" spans="1:14" x14ac:dyDescent="0.25">
      <c r="A16459" t="s">
        <v>27577</v>
      </c>
      <c r="B16459" t="s">
        <v>24867</v>
      </c>
      <c r="C16459" s="1" t="str">
        <f>HYPERLINK("http://www.genecards.org/cgi-bin/carddisp.pl?gene=PHF7","GeneCards")</f>
        <v>GeneCards</v>
      </c>
      <c r="D16459" s="1" t="str">
        <f>HYPERLINK("http://genome-euro.ucsc.edu/cgi-bin/hgTracks?position=215622_x_at","UCSC")</f>
        <v>UCSC</v>
      </c>
      <c r="E16459" s="1" t="str">
        <f>HYPERLINK("http://www.ncbi.nlm.nih.gov/gene/?term=PHF7","NCBI")</f>
        <v>NCBI</v>
      </c>
      <c r="F16459">
        <v>0.88</v>
      </c>
      <c r="G16459">
        <v>0.91</v>
      </c>
      <c r="H16459" s="1" t="str">
        <f>HYPERLINK("http://www.weizmann.ac.il/complex/compphys/software/geview/data/figures/215622_x_at.png","Figure")</f>
        <v>Figure</v>
      </c>
      <c r="I16459">
        <v>1.01</v>
      </c>
      <c r="J16459">
        <v>0.99</v>
      </c>
      <c r="K16459">
        <v>0.98199999999999998</v>
      </c>
      <c r="L16459">
        <v>0.94</v>
      </c>
      <c r="M16459">
        <v>0.97399999999999998</v>
      </c>
      <c r="N16459">
        <v>0.89</v>
      </c>
    </row>
    <row r="16460" spans="1:14" x14ac:dyDescent="0.25">
      <c r="A16460" t="s">
        <v>27578</v>
      </c>
      <c r="B16460" t="s">
        <v>27579</v>
      </c>
      <c r="C16460" s="1" t="str">
        <f>HYPERLINK("http://www.genecards.org/cgi-bin/carddisp.pl?gene=WT1","GeneCards")</f>
        <v>GeneCards</v>
      </c>
      <c r="D16460" s="1" t="str">
        <f>HYPERLINK("http://genome-euro.ucsc.edu/cgi-bin/hgTracks?position=216953_s_at","UCSC")</f>
        <v>UCSC</v>
      </c>
      <c r="E16460" s="1" t="str">
        <f>HYPERLINK("http://www.ncbi.nlm.nih.gov/gene/?term=WT1","NCBI")</f>
        <v>NCBI</v>
      </c>
      <c r="F16460">
        <v>0.88</v>
      </c>
      <c r="G16460">
        <v>0.91</v>
      </c>
      <c r="H16460" s="1" t="str">
        <f>HYPERLINK("http://www.weizmann.ac.il/complex/compphys/software/geview/data/figures/216953_s_at.png","Figure")</f>
        <v>Figure</v>
      </c>
      <c r="I16460">
        <v>1.05</v>
      </c>
      <c r="J16460">
        <v>0.87</v>
      </c>
      <c r="K16460">
        <v>1.02</v>
      </c>
      <c r="L16460">
        <v>0.96</v>
      </c>
      <c r="M16460">
        <v>0.97599999999999998</v>
      </c>
      <c r="N16460">
        <v>0.96</v>
      </c>
    </row>
    <row r="16461" spans="1:14" x14ac:dyDescent="0.25">
      <c r="A16461" t="s">
        <v>27580</v>
      </c>
      <c r="B16461" t="s">
        <v>25034</v>
      </c>
      <c r="C16461" s="1" t="str">
        <f>HYPERLINK("http://www.genecards.org/cgi-bin/carddisp.pl?gene=RC3H2","GeneCards")</f>
        <v>GeneCards</v>
      </c>
      <c r="D16461" s="1" t="str">
        <f>HYPERLINK("http://genome-euro.ucsc.edu/cgi-bin/hgTracks?position=220202_s_at","UCSC")</f>
        <v>UCSC</v>
      </c>
      <c r="E16461" s="1" t="str">
        <f>HYPERLINK("http://www.ncbi.nlm.nih.gov/gene/?term=RC3H2","NCBI")</f>
        <v>NCBI</v>
      </c>
      <c r="F16461">
        <v>0.88</v>
      </c>
      <c r="G16461">
        <v>0.91</v>
      </c>
      <c r="H16461" s="1" t="str">
        <f>HYPERLINK("http://www.weizmann.ac.il/complex/compphys/software/geview/data/figures/220202_s_at.png","Figure")</f>
        <v>Figure</v>
      </c>
      <c r="I16461">
        <v>0.94899999999999995</v>
      </c>
      <c r="J16461">
        <v>0.88</v>
      </c>
      <c r="K16461">
        <v>0.96599999999999997</v>
      </c>
      <c r="L16461">
        <v>0.93</v>
      </c>
      <c r="M16461">
        <v>1.02</v>
      </c>
      <c r="N16461">
        <v>0.98</v>
      </c>
    </row>
    <row r="16462" spans="1:14" x14ac:dyDescent="0.25">
      <c r="A16462" t="s">
        <v>27581</v>
      </c>
      <c r="B16462" t="s">
        <v>27582</v>
      </c>
      <c r="C16462" s="1" t="str">
        <f>HYPERLINK("http://www.genecards.org/cgi-bin/carddisp.pl?gene=HMGN2","GeneCards")</f>
        <v>GeneCards</v>
      </c>
      <c r="D16462" s="1" t="str">
        <f>HYPERLINK("http://genome-euro.ucsc.edu/cgi-bin/hgTracks?position=208668_x_at","UCSC")</f>
        <v>UCSC</v>
      </c>
      <c r="E16462" s="1" t="str">
        <f>HYPERLINK("http://www.ncbi.nlm.nih.gov/gene/?term=HMGN2","NCBI")</f>
        <v>NCBI</v>
      </c>
      <c r="F16462">
        <v>0.88</v>
      </c>
      <c r="G16462">
        <v>0.91</v>
      </c>
      <c r="H16462" s="1" t="str">
        <f>HYPERLINK("http://www.weizmann.ac.il/complex/compphys/software/geview/data/figures/208668_x_at.png","Figure")</f>
        <v>Figure</v>
      </c>
      <c r="I16462">
        <v>0.93</v>
      </c>
      <c r="J16462">
        <v>0.87</v>
      </c>
      <c r="K16462">
        <v>0.97499999999999998</v>
      </c>
      <c r="L16462">
        <v>0.98</v>
      </c>
      <c r="M16462">
        <v>1.05</v>
      </c>
      <c r="N16462">
        <v>0.94</v>
      </c>
    </row>
    <row r="16463" spans="1:14" x14ac:dyDescent="0.25">
      <c r="A16463" t="s">
        <v>27583</v>
      </c>
      <c r="B16463" t="s">
        <v>12824</v>
      </c>
      <c r="C16463" s="1" t="str">
        <f>HYPERLINK("http://www.genecards.org/cgi-bin/carddisp.pl?gene=GBA /// GBAP","GeneCards")</f>
        <v>GeneCards</v>
      </c>
      <c r="D16463" s="1" t="str">
        <f>HYPERLINK("http://genome-euro.ucsc.edu/cgi-bin/hgTracks?position=209093_s_at","UCSC")</f>
        <v>UCSC</v>
      </c>
      <c r="E16463" s="1" t="str">
        <f>HYPERLINK("http://www.ncbi.nlm.nih.gov/gene/?term=GBA /// GBAP","NCBI")</f>
        <v>NCBI</v>
      </c>
      <c r="F16463">
        <v>0.88</v>
      </c>
      <c r="G16463">
        <v>0.91</v>
      </c>
      <c r="H16463" s="1" t="str">
        <f>HYPERLINK("http://www.weizmann.ac.il/complex/compphys/software/geview/data/figures/209093_s_at.png","Figure")</f>
        <v>Figure</v>
      </c>
      <c r="I16463">
        <v>1.02</v>
      </c>
      <c r="J16463">
        <v>0.97</v>
      </c>
      <c r="K16463">
        <v>0.97799999999999998</v>
      </c>
      <c r="L16463">
        <v>0.96</v>
      </c>
      <c r="M16463">
        <v>0.95899999999999996</v>
      </c>
      <c r="N16463">
        <v>0.88</v>
      </c>
    </row>
    <row r="16464" spans="1:14" x14ac:dyDescent="0.25">
      <c r="A16464" t="s">
        <v>27584</v>
      </c>
      <c r="B16464" t="s">
        <v>17242</v>
      </c>
      <c r="C16464" s="1" t="str">
        <f>HYPERLINK("http://www.genecards.org/cgi-bin/carddisp.pl?gene=ICAM1","GeneCards")</f>
        <v>GeneCards</v>
      </c>
      <c r="D16464" s="1" t="str">
        <f>HYPERLINK("http://genome-euro.ucsc.edu/cgi-bin/hgTracks?position=202637_s_at","UCSC")</f>
        <v>UCSC</v>
      </c>
      <c r="E16464" s="1" t="str">
        <f>HYPERLINK("http://www.ncbi.nlm.nih.gov/gene/?term=ICAM1","NCBI")</f>
        <v>NCBI</v>
      </c>
      <c r="F16464">
        <v>0.88</v>
      </c>
      <c r="G16464">
        <v>0.91</v>
      </c>
      <c r="H16464" s="1" t="str">
        <f>HYPERLINK("http://www.weizmann.ac.il/complex/compphys/software/geview/data/figures/202637_s_at.png","Figure")</f>
        <v>Figure</v>
      </c>
      <c r="I16464">
        <v>0.96199999999999997</v>
      </c>
      <c r="J16464">
        <v>0.98</v>
      </c>
      <c r="K16464">
        <v>1.05</v>
      </c>
      <c r="L16464">
        <v>0.95</v>
      </c>
      <c r="M16464">
        <v>1.0900000000000001</v>
      </c>
      <c r="N16464">
        <v>0.88</v>
      </c>
    </row>
    <row r="16465" spans="1:14" x14ac:dyDescent="0.25">
      <c r="A16465" t="s">
        <v>27585</v>
      </c>
      <c r="B16465" t="s">
        <v>27586</v>
      </c>
      <c r="C16465" s="1" t="str">
        <f>HYPERLINK("http://www.genecards.org/cgi-bin/carddisp.pl?gene=BIRC2","GeneCards")</f>
        <v>GeneCards</v>
      </c>
      <c r="D16465" s="1" t="str">
        <f>HYPERLINK("http://genome-euro.ucsc.edu/cgi-bin/hgTracks?position=202076_at","UCSC")</f>
        <v>UCSC</v>
      </c>
      <c r="E16465" s="1" t="str">
        <f>HYPERLINK("http://www.ncbi.nlm.nih.gov/gene/?term=BIRC2","NCBI")</f>
        <v>NCBI</v>
      </c>
      <c r="F16465">
        <v>0.88</v>
      </c>
      <c r="G16465">
        <v>0.91</v>
      </c>
      <c r="H16465" s="1" t="str">
        <f>HYPERLINK("http://www.weizmann.ac.il/complex/compphys/software/geview/data/figures/202076_at.png","Figure")</f>
        <v>Figure</v>
      </c>
      <c r="I16465">
        <v>0.95699999999999996</v>
      </c>
      <c r="J16465">
        <v>0.97</v>
      </c>
      <c r="K16465">
        <v>0.91700000000000004</v>
      </c>
      <c r="L16465">
        <v>0.87</v>
      </c>
      <c r="M16465">
        <v>0.95899999999999996</v>
      </c>
      <c r="N16465">
        <v>0.97</v>
      </c>
    </row>
    <row r="16466" spans="1:14" x14ac:dyDescent="0.25">
      <c r="A16466" t="s">
        <v>27587</v>
      </c>
      <c r="B16466" t="s">
        <v>27588</v>
      </c>
      <c r="C16466" s="1" t="str">
        <f>HYPERLINK("http://www.genecards.org/cgi-bin/carddisp.pl?gene=_x001A__x001A__x001A_-02","GeneCards")</f>
        <v>GeneCards</v>
      </c>
      <c r="D16466" s="1" t="str">
        <f>HYPERLINK("http://genome-euro.ucsc.edu/cgi-bin/hgTracks?position=210075_at","UCSC")</f>
        <v>UCSC</v>
      </c>
      <c r="E16466" s="1" t="str">
        <f>HYPERLINK("http://www.ncbi.nlm.nih.gov/gene/?term=_x001A__x001A__x001A_-02","NCBI")</f>
        <v>NCBI</v>
      </c>
      <c r="F16466">
        <v>0.88</v>
      </c>
      <c r="G16466">
        <v>0.91</v>
      </c>
      <c r="H16466" s="1" t="str">
        <f>HYPERLINK("http://www.weizmann.ac.il/complex/compphys/software/geview/data/figures/210075_at.png","Figure")</f>
        <v>Figure</v>
      </c>
      <c r="I16466">
        <v>0.97299999999999998</v>
      </c>
      <c r="J16466">
        <v>0.94</v>
      </c>
      <c r="K16466">
        <v>0.96599999999999997</v>
      </c>
      <c r="L16466">
        <v>0.88</v>
      </c>
      <c r="M16466">
        <v>0.99199999999999999</v>
      </c>
      <c r="N16466">
        <v>0.99</v>
      </c>
    </row>
    <row r="16467" spans="1:14" x14ac:dyDescent="0.25">
      <c r="A16467" t="s">
        <v>27589</v>
      </c>
      <c r="B16467" t="s">
        <v>9908</v>
      </c>
      <c r="C16467" s="1" t="str">
        <f>HYPERLINK("http://www.genecards.org/cgi-bin/carddisp.pl?gene=NF1","GeneCards")</f>
        <v>GeneCards</v>
      </c>
      <c r="D16467" s="1" t="str">
        <f>HYPERLINK("http://genome-euro.ucsc.edu/cgi-bin/hgTracks?position=211914_x_at","UCSC")</f>
        <v>UCSC</v>
      </c>
      <c r="E16467" s="1" t="str">
        <f>HYPERLINK("http://www.ncbi.nlm.nih.gov/gene/?term=NF1","NCBI")</f>
        <v>NCBI</v>
      </c>
      <c r="F16467">
        <v>0.88</v>
      </c>
      <c r="G16467">
        <v>0.91</v>
      </c>
      <c r="H16467" s="1" t="str">
        <f>HYPERLINK("http://www.weizmann.ac.il/complex/compphys/software/geview/data/figures/211914_x_at.png","Figure")</f>
        <v>Figure</v>
      </c>
      <c r="I16467">
        <v>0.99099999999999999</v>
      </c>
      <c r="J16467">
        <v>0.93</v>
      </c>
      <c r="K16467">
        <v>0.99</v>
      </c>
      <c r="L16467">
        <v>0.88</v>
      </c>
      <c r="M16467">
        <v>0.999</v>
      </c>
      <c r="N16467">
        <v>1</v>
      </c>
    </row>
    <row r="16468" spans="1:14" x14ac:dyDescent="0.25">
      <c r="A16468" t="s">
        <v>27590</v>
      </c>
      <c r="B16468" t="s">
        <v>25486</v>
      </c>
      <c r="C16468" s="1" t="str">
        <f>HYPERLINK("http://www.genecards.org/cgi-bin/carddisp.pl?gene=ARL6IP4","GeneCards")</f>
        <v>GeneCards</v>
      </c>
      <c r="D16468" s="1" t="str">
        <f>HYPERLINK("http://genome-euro.ucsc.edu/cgi-bin/hgTracks?position=220597_s_at","UCSC")</f>
        <v>UCSC</v>
      </c>
      <c r="E16468" s="1" t="str">
        <f>HYPERLINK("http://www.ncbi.nlm.nih.gov/gene/?term=ARL6IP4","NCBI")</f>
        <v>NCBI</v>
      </c>
      <c r="F16468">
        <v>0.88</v>
      </c>
      <c r="G16468">
        <v>0.91</v>
      </c>
      <c r="H16468" s="1" t="str">
        <f>HYPERLINK("http://www.weizmann.ac.il/complex/compphys/software/geview/data/figures/220597_s_at.png","Figure")</f>
        <v>Figure</v>
      </c>
      <c r="I16468">
        <v>1.05</v>
      </c>
      <c r="J16468">
        <v>0.9</v>
      </c>
      <c r="K16468">
        <v>1</v>
      </c>
      <c r="L16468">
        <v>1</v>
      </c>
      <c r="M16468">
        <v>0.95099999999999996</v>
      </c>
      <c r="N16468">
        <v>0.89</v>
      </c>
    </row>
    <row r="16469" spans="1:14" x14ac:dyDescent="0.25">
      <c r="A16469" t="s">
        <v>27591</v>
      </c>
      <c r="B16469" t="s">
        <v>8324</v>
      </c>
      <c r="C16469" s="1" t="str">
        <f>HYPERLINK("http://www.genecards.org/cgi-bin/carddisp.pl?gene=EDA","GeneCards")</f>
        <v>GeneCards</v>
      </c>
      <c r="D16469" s="1" t="str">
        <f>HYPERLINK("http://genome-euro.ucsc.edu/cgi-bin/hgTracks?position=211127_x_at","UCSC")</f>
        <v>UCSC</v>
      </c>
      <c r="E16469" s="1" t="str">
        <f>HYPERLINK("http://www.ncbi.nlm.nih.gov/gene/?term=EDA","NCBI")</f>
        <v>NCBI</v>
      </c>
      <c r="F16469">
        <v>0.88</v>
      </c>
      <c r="G16469">
        <v>0.91</v>
      </c>
      <c r="H16469" s="1" t="str">
        <f>HYPERLINK("http://www.weizmann.ac.il/complex/compphys/software/geview/data/figures/211127_x_at.png","Figure")</f>
        <v>Figure</v>
      </c>
      <c r="I16469">
        <v>0.95299999999999996</v>
      </c>
      <c r="J16469">
        <v>0.9</v>
      </c>
      <c r="K16469">
        <v>0.996</v>
      </c>
      <c r="L16469">
        <v>1</v>
      </c>
      <c r="M16469">
        <v>1.05</v>
      </c>
      <c r="N16469">
        <v>0.9</v>
      </c>
    </row>
    <row r="16470" spans="1:14" x14ac:dyDescent="0.25">
      <c r="A16470" t="s">
        <v>27592</v>
      </c>
      <c r="B16470" t="s">
        <v>23423</v>
      </c>
      <c r="C16470" s="1" t="str">
        <f>HYPERLINK("http://www.genecards.org/cgi-bin/carddisp.pl?gene=RBBP4","GeneCards")</f>
        <v>GeneCards</v>
      </c>
      <c r="D16470" s="1" t="str">
        <f>HYPERLINK("http://genome-euro.ucsc.edu/cgi-bin/hgTracks?position=210371_s_at","UCSC")</f>
        <v>UCSC</v>
      </c>
      <c r="E16470" s="1" t="str">
        <f>HYPERLINK("http://www.ncbi.nlm.nih.gov/gene/?term=RBBP4","NCBI")</f>
        <v>NCBI</v>
      </c>
      <c r="F16470">
        <v>0.88</v>
      </c>
      <c r="G16470">
        <v>0.91</v>
      </c>
      <c r="H16470" s="1" t="str">
        <f>HYPERLINK("http://www.weizmann.ac.il/complex/compphys/software/geview/data/figures/210371_s_at.png","Figure")</f>
        <v>Figure</v>
      </c>
      <c r="I16470">
        <v>1.01</v>
      </c>
      <c r="J16470">
        <v>1</v>
      </c>
      <c r="K16470">
        <v>0.94899999999999995</v>
      </c>
      <c r="L16470">
        <v>0.91</v>
      </c>
      <c r="M16470">
        <v>0.94299999999999995</v>
      </c>
      <c r="N16470">
        <v>0.91</v>
      </c>
    </row>
    <row r="16471" spans="1:14" x14ac:dyDescent="0.25">
      <c r="A16471" t="s">
        <v>27593</v>
      </c>
      <c r="B16471" t="s">
        <v>27594</v>
      </c>
      <c r="C16471" s="1" t="str">
        <f>HYPERLINK("http://www.genecards.org/cgi-bin/carddisp.pl?gene=RPS27","GeneCards")</f>
        <v>GeneCards</v>
      </c>
      <c r="D16471" s="1" t="str">
        <f>HYPERLINK("http://genome-euro.ucsc.edu/cgi-bin/hgTracks?position=200741_s_at","UCSC")</f>
        <v>UCSC</v>
      </c>
      <c r="E16471" s="1" t="str">
        <f>HYPERLINK("http://www.ncbi.nlm.nih.gov/gene/?term=RPS27","NCBI")</f>
        <v>NCBI</v>
      </c>
      <c r="F16471">
        <v>0.88</v>
      </c>
      <c r="G16471">
        <v>0.91</v>
      </c>
      <c r="H16471" s="1" t="str">
        <f>HYPERLINK("http://www.weizmann.ac.il/complex/compphys/software/geview/data/figures/200741_s_at.png","Figure")</f>
        <v>Figure</v>
      </c>
      <c r="I16471">
        <v>0.92700000000000005</v>
      </c>
      <c r="J16471">
        <v>0.87</v>
      </c>
      <c r="K16471">
        <v>0.95899999999999996</v>
      </c>
      <c r="L16471">
        <v>0.95</v>
      </c>
      <c r="M16471">
        <v>1.04</v>
      </c>
      <c r="N16471">
        <v>0.97</v>
      </c>
    </row>
    <row r="16472" spans="1:14" x14ac:dyDescent="0.25">
      <c r="A16472" t="s">
        <v>27595</v>
      </c>
      <c r="B16472" t="s">
        <v>24963</v>
      </c>
      <c r="C16472" s="1" t="str">
        <f>HYPERLINK("http://www.genecards.org/cgi-bin/carddisp.pl?gene=RPL3","GeneCards")</f>
        <v>GeneCards</v>
      </c>
      <c r="D16472" s="1" t="str">
        <f>HYPERLINK("http://genome-euro.ucsc.edu/cgi-bin/hgTracks?position=211073_x_at","UCSC")</f>
        <v>UCSC</v>
      </c>
      <c r="E16472" s="1" t="str">
        <f>HYPERLINK("http://www.ncbi.nlm.nih.gov/gene/?term=RPL3","NCBI")</f>
        <v>NCBI</v>
      </c>
      <c r="F16472">
        <v>0.88</v>
      </c>
      <c r="G16472">
        <v>0.91</v>
      </c>
      <c r="H16472" s="1" t="str">
        <f>HYPERLINK("http://www.weizmann.ac.il/complex/compphys/software/geview/data/figures/211073_x_at.png","Figure")</f>
        <v>Figure</v>
      </c>
      <c r="I16472">
        <v>1.01</v>
      </c>
      <c r="J16472">
        <v>0.99</v>
      </c>
      <c r="K16472">
        <v>1.04</v>
      </c>
      <c r="L16472">
        <v>0.88</v>
      </c>
      <c r="M16472">
        <v>1.03</v>
      </c>
      <c r="N16472">
        <v>0.95</v>
      </c>
    </row>
    <row r="16473" spans="1:14" x14ac:dyDescent="0.25">
      <c r="A16473" t="s">
        <v>27596</v>
      </c>
      <c r="B16473" t="s">
        <v>26116</v>
      </c>
      <c r="C16473" s="1" t="str">
        <f>HYPERLINK("http://www.genecards.org/cgi-bin/carddisp.pl?gene=XPO7","GeneCards")</f>
        <v>GeneCards</v>
      </c>
      <c r="D16473" s="1" t="str">
        <f>HYPERLINK("http://genome-euro.ucsc.edu/cgi-bin/hgTracks?position=212166_at","UCSC")</f>
        <v>UCSC</v>
      </c>
      <c r="E16473" s="1" t="str">
        <f>HYPERLINK("http://www.ncbi.nlm.nih.gov/gene/?term=XPO7","NCBI")</f>
        <v>NCBI</v>
      </c>
      <c r="F16473">
        <v>0.88</v>
      </c>
      <c r="G16473">
        <v>0.91</v>
      </c>
      <c r="H16473" s="1" t="str">
        <f>HYPERLINK("http://www.weizmann.ac.il/complex/compphys/software/geview/data/figures/212166_at.png","Figure")</f>
        <v>Figure</v>
      </c>
      <c r="I16473">
        <v>1.02</v>
      </c>
      <c r="J16473">
        <v>0.99</v>
      </c>
      <c r="K16473">
        <v>1.06</v>
      </c>
      <c r="L16473">
        <v>0.88</v>
      </c>
      <c r="M16473">
        <v>1.04</v>
      </c>
      <c r="N16473">
        <v>0.95</v>
      </c>
    </row>
    <row r="16474" spans="1:14" x14ac:dyDescent="0.25">
      <c r="A16474" t="s">
        <v>27597</v>
      </c>
      <c r="B16474" t="s">
        <v>27598</v>
      </c>
      <c r="C16474" s="1" t="str">
        <f>HYPERLINK("http://www.genecards.org/cgi-bin/carddisp.pl?gene=PPDPF","GeneCards")</f>
        <v>GeneCards</v>
      </c>
      <c r="D16474" s="1" t="str">
        <f>HYPERLINK("http://genome-euro.ucsc.edu/cgi-bin/hgTracks?position=218010_x_at","UCSC")</f>
        <v>UCSC</v>
      </c>
      <c r="E16474" s="1" t="str">
        <f>HYPERLINK("http://www.ncbi.nlm.nih.gov/gene/?term=PPDPF","NCBI")</f>
        <v>NCBI</v>
      </c>
      <c r="F16474">
        <v>0.88</v>
      </c>
      <c r="G16474">
        <v>0.91</v>
      </c>
      <c r="H16474" s="1" t="str">
        <f>HYPERLINK("http://www.weizmann.ac.il/complex/compphys/software/geview/data/figures/218010_x_at.png","Figure")</f>
        <v>Figure</v>
      </c>
      <c r="I16474">
        <v>1.01</v>
      </c>
      <c r="J16474">
        <v>1</v>
      </c>
      <c r="K16474">
        <v>1.07</v>
      </c>
      <c r="L16474">
        <v>0.89</v>
      </c>
      <c r="M16474">
        <v>1.06</v>
      </c>
      <c r="N16474">
        <v>0.93</v>
      </c>
    </row>
    <row r="16475" spans="1:14" x14ac:dyDescent="0.25">
      <c r="A16475" t="s">
        <v>27599</v>
      </c>
      <c r="B16475" t="s">
        <v>27600</v>
      </c>
      <c r="C16475" s="1" t="str">
        <f>HYPERLINK("http://www.genecards.org/cgi-bin/carddisp.pl?gene=LOC100130966 /// LOC728825 /// SUMO2 /// SUMO4","GeneCards")</f>
        <v>GeneCards</v>
      </c>
      <c r="D16475" s="1" t="str">
        <f>HYPERLINK("http://genome-euro.ucsc.edu/cgi-bin/hgTracks?position=208738_x_at","UCSC")</f>
        <v>UCSC</v>
      </c>
      <c r="E16475" s="1" t="str">
        <f>HYPERLINK("http://www.ncbi.nlm.nih.gov/gene/?term=LOC100130966 /// LOC728825 /// SUMO2 /// SUMO4","NCBI")</f>
        <v>NCBI</v>
      </c>
      <c r="F16475">
        <v>0.89</v>
      </c>
      <c r="G16475">
        <v>0.91</v>
      </c>
      <c r="H16475" s="1" t="str">
        <f>HYPERLINK("http://www.weizmann.ac.il/complex/compphys/software/geview/data/figures/208738_x_at.png","Figure")</f>
        <v>Figure</v>
      </c>
      <c r="I16475">
        <v>1.03</v>
      </c>
      <c r="J16475">
        <v>0.95</v>
      </c>
      <c r="K16475">
        <v>1.05</v>
      </c>
      <c r="L16475">
        <v>0.88</v>
      </c>
      <c r="M16475">
        <v>1.01</v>
      </c>
      <c r="N16475">
        <v>0.99</v>
      </c>
    </row>
    <row r="16476" spans="1:14" x14ac:dyDescent="0.25">
      <c r="A16476" t="s">
        <v>27601</v>
      </c>
      <c r="B16476" t="s">
        <v>14718</v>
      </c>
      <c r="C16476" s="1" t="str">
        <f>HYPERLINK("http://www.genecards.org/cgi-bin/carddisp.pl?gene=CDC27","GeneCards")</f>
        <v>GeneCards</v>
      </c>
      <c r="D16476" s="1" t="str">
        <f>HYPERLINK("http://genome-euro.ucsc.edu/cgi-bin/hgTracks?position=214236_at","UCSC")</f>
        <v>UCSC</v>
      </c>
      <c r="E16476" s="1" t="str">
        <f>HYPERLINK("http://www.ncbi.nlm.nih.gov/gene/?term=CDC27","NCBI")</f>
        <v>NCBI</v>
      </c>
      <c r="F16476">
        <v>0.89</v>
      </c>
      <c r="G16476">
        <v>0.91</v>
      </c>
      <c r="H16476" s="1" t="str">
        <f>HYPERLINK("http://www.weizmann.ac.il/complex/compphys/software/geview/data/figures/214236_at.png","Figure")</f>
        <v>Figure</v>
      </c>
      <c r="I16476">
        <v>0.996</v>
      </c>
      <c r="J16476">
        <v>0.99</v>
      </c>
      <c r="K16476">
        <v>1.01</v>
      </c>
      <c r="L16476">
        <v>0.94</v>
      </c>
      <c r="M16476">
        <v>1.01</v>
      </c>
      <c r="N16476">
        <v>0.89</v>
      </c>
    </row>
    <row r="16477" spans="1:14" x14ac:dyDescent="0.25">
      <c r="A16477" t="s">
        <v>27602</v>
      </c>
      <c r="B16477" t="s">
        <v>27603</v>
      </c>
      <c r="C16477" s="1" t="str">
        <f>HYPERLINK("http://www.genecards.org/cgi-bin/carddisp.pl?gene=KCNA10","GeneCards")</f>
        <v>GeneCards</v>
      </c>
      <c r="D16477" s="1" t="str">
        <f>HYPERLINK("http://genome-euro.ucsc.edu/cgi-bin/hgTracks?position=208560_at","UCSC")</f>
        <v>UCSC</v>
      </c>
      <c r="E16477" s="1" t="str">
        <f>HYPERLINK("http://www.ncbi.nlm.nih.gov/gene/?term=KCNA10","NCBI")</f>
        <v>NCBI</v>
      </c>
      <c r="F16477">
        <v>0.89</v>
      </c>
      <c r="G16477">
        <v>0.91</v>
      </c>
      <c r="H16477" s="1" t="str">
        <f>HYPERLINK("http://www.weizmann.ac.il/complex/compphys/software/geview/data/figures/208560_at.png","Figure")</f>
        <v>Figure</v>
      </c>
      <c r="I16477">
        <v>1.02</v>
      </c>
      <c r="J16477">
        <v>0.93</v>
      </c>
      <c r="K16477">
        <v>1.03</v>
      </c>
      <c r="L16477">
        <v>0.88</v>
      </c>
      <c r="M16477">
        <v>1</v>
      </c>
      <c r="N16477">
        <v>1</v>
      </c>
    </row>
    <row r="16478" spans="1:14" x14ac:dyDescent="0.25">
      <c r="A16478" t="s">
        <v>27604</v>
      </c>
      <c r="B16478" t="s">
        <v>27605</v>
      </c>
      <c r="C16478" s="1" t="str">
        <f>HYPERLINK("http://www.genecards.org/cgi-bin/carddisp.pl?gene=RBPMS","GeneCards")</f>
        <v>GeneCards</v>
      </c>
      <c r="D16478" s="1" t="str">
        <f>HYPERLINK("http://genome-euro.ucsc.edu/cgi-bin/hgTracks?position=207836_s_at","UCSC")</f>
        <v>UCSC</v>
      </c>
      <c r="E16478" s="1" t="str">
        <f>HYPERLINK("http://www.ncbi.nlm.nih.gov/gene/?term=RBPMS","NCBI")</f>
        <v>NCBI</v>
      </c>
      <c r="F16478">
        <v>0.89</v>
      </c>
      <c r="G16478">
        <v>0.91</v>
      </c>
      <c r="H16478" s="1" t="str">
        <f>HYPERLINK("http://www.weizmann.ac.il/complex/compphys/software/geview/data/figures/207836_s_at.png","Figure")</f>
        <v>Figure</v>
      </c>
      <c r="I16478">
        <v>1.02</v>
      </c>
      <c r="J16478">
        <v>0.88</v>
      </c>
      <c r="K16478">
        <v>1.01</v>
      </c>
      <c r="L16478">
        <v>0.94</v>
      </c>
      <c r="M16478">
        <v>0.99199999999999999</v>
      </c>
      <c r="N16478">
        <v>0.98</v>
      </c>
    </row>
    <row r="16479" spans="1:14" x14ac:dyDescent="0.25">
      <c r="A16479" t="s">
        <v>27606</v>
      </c>
      <c r="B16479" t="s">
        <v>27607</v>
      </c>
      <c r="C16479" s="1" t="str">
        <f>HYPERLINK("http://www.genecards.org/cgi-bin/carddisp.pl?gene=POM121L9P","GeneCards")</f>
        <v>GeneCards</v>
      </c>
      <c r="D16479" s="1" t="str">
        <f>HYPERLINK("http://genome-euro.ucsc.edu/cgi-bin/hgTracks?position=206819_at","UCSC")</f>
        <v>UCSC</v>
      </c>
      <c r="E16479" s="1" t="str">
        <f>HYPERLINK("http://www.ncbi.nlm.nih.gov/gene/?term=POM121L9P","NCBI")</f>
        <v>NCBI</v>
      </c>
      <c r="F16479">
        <v>0.89</v>
      </c>
      <c r="G16479">
        <v>0.91</v>
      </c>
      <c r="H16479" s="1" t="str">
        <f>HYPERLINK("http://www.weizmann.ac.il/complex/compphys/software/geview/data/figures/206819_at.png","Figure")</f>
        <v>Figure</v>
      </c>
      <c r="I16479">
        <v>0.99399999999999999</v>
      </c>
      <c r="J16479">
        <v>0.99</v>
      </c>
      <c r="K16479">
        <v>0.97899999999999998</v>
      </c>
      <c r="L16479">
        <v>0.89</v>
      </c>
      <c r="M16479">
        <v>0.98399999999999999</v>
      </c>
      <c r="N16479">
        <v>0.94</v>
      </c>
    </row>
    <row r="16480" spans="1:14" x14ac:dyDescent="0.25">
      <c r="A16480" t="s">
        <v>27608</v>
      </c>
      <c r="B16480" t="s">
        <v>13758</v>
      </c>
      <c r="C16480" s="1" t="str">
        <f>HYPERLINK("http://www.genecards.org/cgi-bin/carddisp.pl?gene=CLIC4","GeneCards")</f>
        <v>GeneCards</v>
      </c>
      <c r="D16480" s="1" t="str">
        <f>HYPERLINK("http://genome-euro.ucsc.edu/cgi-bin/hgTracks?position=221881_s_at","UCSC")</f>
        <v>UCSC</v>
      </c>
      <c r="E16480" s="1" t="str">
        <f>HYPERLINK("http://www.ncbi.nlm.nih.gov/gene/?term=CLIC4","NCBI")</f>
        <v>NCBI</v>
      </c>
      <c r="F16480">
        <v>0.89</v>
      </c>
      <c r="G16480">
        <v>0.91</v>
      </c>
      <c r="H16480" s="1" t="str">
        <f>HYPERLINK("http://www.weizmann.ac.il/complex/compphys/software/geview/data/figures/221881_s_at.png","Figure")</f>
        <v>Figure</v>
      </c>
      <c r="I16480">
        <v>1.06</v>
      </c>
      <c r="J16480">
        <v>0.9</v>
      </c>
      <c r="K16480">
        <v>1</v>
      </c>
      <c r="L16480">
        <v>1</v>
      </c>
      <c r="M16480">
        <v>0.94399999999999995</v>
      </c>
      <c r="N16480">
        <v>0.9</v>
      </c>
    </row>
    <row r="16481" spans="1:14" x14ac:dyDescent="0.25">
      <c r="A16481" t="s">
        <v>27609</v>
      </c>
      <c r="B16481" t="s">
        <v>12545</v>
      </c>
      <c r="C16481" s="1" t="str">
        <f>HYPERLINK("http://www.genecards.org/cgi-bin/carddisp.pl?gene=TTLL4","GeneCards")</f>
        <v>GeneCards</v>
      </c>
      <c r="D16481" s="1" t="str">
        <f>HYPERLINK("http://genome-euro.ucsc.edu/cgi-bin/hgTracks?position=203702_s_at","UCSC")</f>
        <v>UCSC</v>
      </c>
      <c r="E16481" s="1" t="str">
        <f>HYPERLINK("http://www.ncbi.nlm.nih.gov/gene/?term=TTLL4","NCBI")</f>
        <v>NCBI</v>
      </c>
      <c r="F16481">
        <v>0.89</v>
      </c>
      <c r="G16481">
        <v>0.91</v>
      </c>
      <c r="H16481" s="1" t="str">
        <f>HYPERLINK("http://www.weizmann.ac.il/complex/compphys/software/geview/data/figures/203702_s_at.png","Figure")</f>
        <v>Figure</v>
      </c>
      <c r="I16481">
        <v>1</v>
      </c>
      <c r="J16481">
        <v>1</v>
      </c>
      <c r="K16481">
        <v>0.97699999999999998</v>
      </c>
      <c r="L16481">
        <v>0.91</v>
      </c>
      <c r="M16481">
        <v>0.97599999999999998</v>
      </c>
      <c r="N16481">
        <v>0.91</v>
      </c>
    </row>
    <row r="16482" spans="1:14" x14ac:dyDescent="0.25">
      <c r="A16482" t="s">
        <v>27610</v>
      </c>
      <c r="B16482" t="s">
        <v>24097</v>
      </c>
      <c r="C16482" s="1" t="str">
        <f>HYPERLINK("http://www.genecards.org/cgi-bin/carddisp.pl?gene=SENP5","GeneCards")</f>
        <v>GeneCards</v>
      </c>
      <c r="D16482" s="1" t="str">
        <f>HYPERLINK("http://genome-euro.ucsc.edu/cgi-bin/hgTracks?position=213184_at","UCSC")</f>
        <v>UCSC</v>
      </c>
      <c r="E16482" s="1" t="str">
        <f>HYPERLINK("http://www.ncbi.nlm.nih.gov/gene/?term=SENP5","NCBI")</f>
        <v>NCBI</v>
      </c>
      <c r="F16482">
        <v>0.89</v>
      </c>
      <c r="G16482">
        <v>0.91</v>
      </c>
      <c r="H16482" s="1" t="str">
        <f>HYPERLINK("http://www.weizmann.ac.il/complex/compphys/software/geview/data/figures/213184_at.png","Figure")</f>
        <v>Figure</v>
      </c>
      <c r="I16482">
        <v>0.98699999999999999</v>
      </c>
      <c r="J16482">
        <v>0.99</v>
      </c>
      <c r="K16482">
        <v>0.94899999999999995</v>
      </c>
      <c r="L16482">
        <v>0.89</v>
      </c>
      <c r="M16482">
        <v>0.96099999999999997</v>
      </c>
      <c r="N16482">
        <v>0.94</v>
      </c>
    </row>
    <row r="16483" spans="1:14" x14ac:dyDescent="0.25">
      <c r="A16483" t="s">
        <v>27611</v>
      </c>
      <c r="B16483" t="s">
        <v>6891</v>
      </c>
      <c r="C16483" s="1" t="str">
        <f>HYPERLINK("http://www.genecards.org/cgi-bin/carddisp.pl?gene=MBD2","GeneCards")</f>
        <v>GeneCards</v>
      </c>
      <c r="D16483" s="1" t="str">
        <f>HYPERLINK("http://genome-euro.ucsc.edu/cgi-bin/hgTracks?position=202485_s_at","UCSC")</f>
        <v>UCSC</v>
      </c>
      <c r="E16483" s="1" t="str">
        <f>HYPERLINK("http://www.ncbi.nlm.nih.gov/gene/?term=MBD2","NCBI")</f>
        <v>NCBI</v>
      </c>
      <c r="F16483">
        <v>0.89</v>
      </c>
      <c r="G16483">
        <v>0.91</v>
      </c>
      <c r="H16483" s="1" t="str">
        <f>HYPERLINK("http://www.weizmann.ac.il/complex/compphys/software/geview/data/figures/202485_s_at.png","Figure")</f>
        <v>Figure</v>
      </c>
      <c r="I16483">
        <v>1.02</v>
      </c>
      <c r="J16483">
        <v>0.88</v>
      </c>
      <c r="K16483">
        <v>1.01</v>
      </c>
      <c r="L16483">
        <v>0.98</v>
      </c>
      <c r="M16483">
        <v>0.98899999999999999</v>
      </c>
      <c r="N16483">
        <v>0.93</v>
      </c>
    </row>
    <row r="16484" spans="1:14" x14ac:dyDescent="0.25">
      <c r="A16484" t="s">
        <v>27612</v>
      </c>
      <c r="B16484" t="s">
        <v>27613</v>
      </c>
      <c r="C16484" s="1" t="str">
        <f>HYPERLINK("http://www.genecards.org/cgi-bin/carddisp.pl?gene=BRD8","GeneCards")</f>
        <v>GeneCards</v>
      </c>
      <c r="D16484" s="1" t="str">
        <f>HYPERLINK("http://genome-euro.ucsc.edu/cgi-bin/hgTracks?position=202227_s_at","UCSC")</f>
        <v>UCSC</v>
      </c>
      <c r="E16484" s="1" t="str">
        <f>HYPERLINK("http://www.ncbi.nlm.nih.gov/gene/?term=BRD8","NCBI")</f>
        <v>NCBI</v>
      </c>
      <c r="F16484">
        <v>0.89</v>
      </c>
      <c r="G16484">
        <v>0.91</v>
      </c>
      <c r="H16484" s="1" t="str">
        <f>HYPERLINK("http://www.weizmann.ac.il/complex/compphys/software/geview/data/figures/202227_s_at.png","Figure")</f>
        <v>Figure</v>
      </c>
      <c r="I16484">
        <v>0.97799999999999998</v>
      </c>
      <c r="J16484">
        <v>0.99</v>
      </c>
      <c r="K16484">
        <v>1.06</v>
      </c>
      <c r="L16484">
        <v>0.93</v>
      </c>
      <c r="M16484">
        <v>1.08</v>
      </c>
      <c r="N16484">
        <v>0.89</v>
      </c>
    </row>
    <row r="16485" spans="1:14" x14ac:dyDescent="0.25">
      <c r="A16485" t="s">
        <v>27614</v>
      </c>
      <c r="B16485" t="s">
        <v>9708</v>
      </c>
      <c r="C16485" s="1" t="str">
        <f>HYPERLINK("http://www.genecards.org/cgi-bin/carddisp.pl?gene=CYP51A1","GeneCards")</f>
        <v>GeneCards</v>
      </c>
      <c r="D16485" s="1" t="str">
        <f>HYPERLINK("http://genome-euro.ucsc.edu/cgi-bin/hgTracks?position=216607_s_at","UCSC")</f>
        <v>UCSC</v>
      </c>
      <c r="E16485" s="1" t="str">
        <f>HYPERLINK("http://www.ncbi.nlm.nih.gov/gene/?term=CYP51A1","NCBI")</f>
        <v>NCBI</v>
      </c>
      <c r="F16485">
        <v>0.89</v>
      </c>
      <c r="G16485">
        <v>0.92</v>
      </c>
      <c r="H16485" s="1" t="str">
        <f>HYPERLINK("http://www.weizmann.ac.il/complex/compphys/software/geview/data/figures/216607_s_at.png","Figure")</f>
        <v>Figure</v>
      </c>
      <c r="I16485">
        <v>1.04</v>
      </c>
      <c r="J16485">
        <v>0.89</v>
      </c>
      <c r="K16485">
        <v>1.01</v>
      </c>
      <c r="L16485">
        <v>0.99</v>
      </c>
      <c r="M16485">
        <v>0.97199999999999998</v>
      </c>
      <c r="N16485">
        <v>0.92</v>
      </c>
    </row>
    <row r="16486" spans="1:14" x14ac:dyDescent="0.25">
      <c r="A16486" t="s">
        <v>27615</v>
      </c>
      <c r="B16486" t="s">
        <v>9838</v>
      </c>
      <c r="C16486" s="1" t="str">
        <f>HYPERLINK("http://www.genecards.org/cgi-bin/carddisp.pl?gene=AIMP1","GeneCards")</f>
        <v>GeneCards</v>
      </c>
      <c r="D16486" s="1" t="str">
        <f>HYPERLINK("http://genome-euro.ucsc.edu/cgi-bin/hgTracks?position=202542_s_at","UCSC")</f>
        <v>UCSC</v>
      </c>
      <c r="E16486" s="1" t="str">
        <f>HYPERLINK("http://www.ncbi.nlm.nih.gov/gene/?term=AIMP1","NCBI")</f>
        <v>NCBI</v>
      </c>
      <c r="F16486">
        <v>0.89</v>
      </c>
      <c r="G16486">
        <v>0.92</v>
      </c>
      <c r="H16486" s="1" t="str">
        <f>HYPERLINK("http://www.weizmann.ac.il/complex/compphys/software/geview/data/figures/202542_s_at.png","Figure")</f>
        <v>Figure</v>
      </c>
      <c r="I16486">
        <v>0.96199999999999997</v>
      </c>
      <c r="J16486">
        <v>0.92</v>
      </c>
      <c r="K16486">
        <v>1.01</v>
      </c>
      <c r="L16486">
        <v>1</v>
      </c>
      <c r="M16486">
        <v>1.05</v>
      </c>
      <c r="N16486">
        <v>0.88</v>
      </c>
    </row>
    <row r="16487" spans="1:14" x14ac:dyDescent="0.25">
      <c r="A16487" t="s">
        <v>27616</v>
      </c>
      <c r="B16487" t="s">
        <v>27617</v>
      </c>
      <c r="C16487" s="1" t="str">
        <f>HYPERLINK("http://www.genecards.org/cgi-bin/carddisp.pl?gene=SART1","GeneCards")</f>
        <v>GeneCards</v>
      </c>
      <c r="D16487" s="1" t="str">
        <f>HYPERLINK("http://genome-euro.ucsc.edu/cgi-bin/hgTracks?position=200051_at","UCSC")</f>
        <v>UCSC</v>
      </c>
      <c r="E16487" s="1" t="str">
        <f>HYPERLINK("http://www.ncbi.nlm.nih.gov/gene/?term=SART1","NCBI")</f>
        <v>NCBI</v>
      </c>
      <c r="F16487">
        <v>0.89</v>
      </c>
      <c r="G16487">
        <v>0.92</v>
      </c>
      <c r="H16487" s="1" t="str">
        <f>HYPERLINK("http://www.weizmann.ac.il/complex/compphys/software/geview/data/figures/200051_at.png","Figure")</f>
        <v>Figure</v>
      </c>
      <c r="I16487">
        <v>1.1100000000000001</v>
      </c>
      <c r="J16487">
        <v>0.88</v>
      </c>
      <c r="K16487">
        <v>1.07</v>
      </c>
      <c r="L16487">
        <v>0.94</v>
      </c>
      <c r="M16487">
        <v>0.96399999999999997</v>
      </c>
      <c r="N16487">
        <v>0.98</v>
      </c>
    </row>
    <row r="16488" spans="1:14" x14ac:dyDescent="0.25">
      <c r="A16488" t="s">
        <v>27618</v>
      </c>
      <c r="B16488" t="s">
        <v>10394</v>
      </c>
      <c r="C16488" s="1" t="str">
        <f>HYPERLINK("http://www.genecards.org/cgi-bin/carddisp.pl?gene=NBN","GeneCards")</f>
        <v>GeneCards</v>
      </c>
      <c r="D16488" s="1" t="str">
        <f>HYPERLINK("http://genome-euro.ucsc.edu/cgi-bin/hgTracks?position=202905_x_at","UCSC")</f>
        <v>UCSC</v>
      </c>
      <c r="E16488" s="1" t="str">
        <f>HYPERLINK("http://www.ncbi.nlm.nih.gov/gene/?term=NBN","NCBI")</f>
        <v>NCBI</v>
      </c>
      <c r="F16488">
        <v>0.89</v>
      </c>
      <c r="G16488">
        <v>0.92</v>
      </c>
      <c r="H16488" s="1" t="str">
        <f>HYPERLINK("http://www.weizmann.ac.il/complex/compphys/software/geview/data/figures/202905_x_at.png","Figure")</f>
        <v>Figure</v>
      </c>
      <c r="I16488">
        <v>1.0900000000000001</v>
      </c>
      <c r="J16488">
        <v>0.88</v>
      </c>
      <c r="K16488">
        <v>1.05</v>
      </c>
      <c r="L16488">
        <v>0.94</v>
      </c>
      <c r="M16488">
        <v>0.97</v>
      </c>
      <c r="N16488">
        <v>0.98</v>
      </c>
    </row>
    <row r="16489" spans="1:14" x14ac:dyDescent="0.25">
      <c r="A16489" t="s">
        <v>27619</v>
      </c>
      <c r="B16489" t="s">
        <v>27620</v>
      </c>
      <c r="C16489" s="1" t="str">
        <f>HYPERLINK("http://www.genecards.org/cgi-bin/carddisp.pl?gene=CTSW","GeneCards")</f>
        <v>GeneCards</v>
      </c>
      <c r="D16489" s="1" t="str">
        <f>HYPERLINK("http://genome-euro.ucsc.edu/cgi-bin/hgTracks?position=214450_at","UCSC")</f>
        <v>UCSC</v>
      </c>
      <c r="E16489" s="1" t="str">
        <f>HYPERLINK("http://www.ncbi.nlm.nih.gov/gene/?term=CTSW","NCBI")</f>
        <v>NCBI</v>
      </c>
      <c r="F16489">
        <v>0.89</v>
      </c>
      <c r="G16489">
        <v>0.92</v>
      </c>
      <c r="H16489" s="1" t="str">
        <f>HYPERLINK("http://www.weizmann.ac.il/complex/compphys/software/geview/data/figures/214450_at.png","Figure")</f>
        <v>Figure</v>
      </c>
      <c r="I16489">
        <v>1.01</v>
      </c>
      <c r="J16489">
        <v>1</v>
      </c>
      <c r="K16489">
        <v>0.93100000000000005</v>
      </c>
      <c r="L16489">
        <v>0.92</v>
      </c>
      <c r="M16489">
        <v>0.92200000000000004</v>
      </c>
      <c r="N16489">
        <v>0.91</v>
      </c>
    </row>
    <row r="16490" spans="1:14" x14ac:dyDescent="0.25">
      <c r="A16490" t="s">
        <v>27621</v>
      </c>
      <c r="B16490" t="s">
        <v>27622</v>
      </c>
      <c r="C16490" s="1" t="str">
        <f>HYPERLINK("http://www.genecards.org/cgi-bin/carddisp.pl?gene=VPS54","GeneCards")</f>
        <v>GeneCards</v>
      </c>
      <c r="D16490" s="1" t="str">
        <f>HYPERLINK("http://genome-euro.ucsc.edu/cgi-bin/hgTracks?position=218423_x_at","UCSC")</f>
        <v>UCSC</v>
      </c>
      <c r="E16490" s="1" t="str">
        <f>HYPERLINK("http://www.ncbi.nlm.nih.gov/gene/?term=VPS54","NCBI")</f>
        <v>NCBI</v>
      </c>
      <c r="F16490">
        <v>0.89</v>
      </c>
      <c r="G16490">
        <v>0.92</v>
      </c>
      <c r="H16490" s="1" t="str">
        <f>HYPERLINK("http://www.weizmann.ac.il/complex/compphys/software/geview/data/figures/218423_x_at.png","Figure")</f>
        <v>Figure</v>
      </c>
      <c r="I16490">
        <v>0.99399999999999999</v>
      </c>
      <c r="J16490">
        <v>1</v>
      </c>
      <c r="K16490">
        <v>1.08</v>
      </c>
      <c r="L16490">
        <v>0.91</v>
      </c>
      <c r="M16490">
        <v>1.08</v>
      </c>
      <c r="N16490">
        <v>0.91</v>
      </c>
    </row>
    <row r="16491" spans="1:14" x14ac:dyDescent="0.25">
      <c r="A16491" t="s">
        <v>27623</v>
      </c>
      <c r="B16491" t="s">
        <v>18463</v>
      </c>
      <c r="C16491" s="1" t="str">
        <f>HYPERLINK("http://www.genecards.org/cgi-bin/carddisp.pl?gene=SLC23A2","GeneCards")</f>
        <v>GeneCards</v>
      </c>
      <c r="D16491" s="1" t="str">
        <f>HYPERLINK("http://genome-euro.ucsc.edu/cgi-bin/hgTracks?position=209236_at","UCSC")</f>
        <v>UCSC</v>
      </c>
      <c r="E16491" s="1" t="str">
        <f>HYPERLINK("http://www.ncbi.nlm.nih.gov/gene/?term=SLC23A2","NCBI")</f>
        <v>NCBI</v>
      </c>
      <c r="F16491">
        <v>0.89</v>
      </c>
      <c r="G16491">
        <v>0.92</v>
      </c>
      <c r="H16491" s="1" t="str">
        <f>HYPERLINK("http://www.weizmann.ac.il/complex/compphys/software/geview/data/figures/209236_at.png","Figure")</f>
        <v>Figure</v>
      </c>
      <c r="I16491">
        <v>0.98199999999999998</v>
      </c>
      <c r="J16491">
        <v>0.99</v>
      </c>
      <c r="K16491">
        <v>0.95099999999999996</v>
      </c>
      <c r="L16491">
        <v>0.88</v>
      </c>
      <c r="M16491">
        <v>0.96799999999999997</v>
      </c>
      <c r="N16491">
        <v>0.96</v>
      </c>
    </row>
    <row r="16492" spans="1:14" x14ac:dyDescent="0.25">
      <c r="A16492" t="s">
        <v>27624</v>
      </c>
      <c r="B16492" t="s">
        <v>5145</v>
      </c>
      <c r="C16492" s="1" t="str">
        <f>HYPERLINK("http://www.genecards.org/cgi-bin/carddisp.pl?gene=CIITA","GeneCards")</f>
        <v>GeneCards</v>
      </c>
      <c r="D16492" s="1" t="str">
        <f>HYPERLINK("http://genome-euro.ucsc.edu/cgi-bin/hgTracks?position=211884_s_at","UCSC")</f>
        <v>UCSC</v>
      </c>
      <c r="E16492" s="1" t="str">
        <f>HYPERLINK("http://www.ncbi.nlm.nih.gov/gene/?term=CIITA","NCBI")</f>
        <v>NCBI</v>
      </c>
      <c r="F16492">
        <v>0.89</v>
      </c>
      <c r="G16492">
        <v>0.92</v>
      </c>
      <c r="H16492" s="1" t="str">
        <f>HYPERLINK("http://www.weizmann.ac.il/complex/compphys/software/geview/data/figures/211884_s_at.png","Figure")</f>
        <v>Figure</v>
      </c>
      <c r="I16492">
        <v>1.01</v>
      </c>
      <c r="J16492">
        <v>0.97</v>
      </c>
      <c r="K16492">
        <v>0.99099999999999999</v>
      </c>
      <c r="L16492">
        <v>0.97</v>
      </c>
      <c r="M16492">
        <v>0.98</v>
      </c>
      <c r="N16492">
        <v>0.88</v>
      </c>
    </row>
    <row r="16493" spans="1:14" x14ac:dyDescent="0.25">
      <c r="A16493" t="s">
        <v>27625</v>
      </c>
      <c r="B16493" t="s">
        <v>21491</v>
      </c>
      <c r="C16493" s="1" t="str">
        <f>HYPERLINK("http://www.genecards.org/cgi-bin/carddisp.pl?gene=PITPNA","GeneCards")</f>
        <v>GeneCards</v>
      </c>
      <c r="D16493" s="1" t="str">
        <f>HYPERLINK("http://genome-euro.ucsc.edu/cgi-bin/hgTracks?position=201191_at","UCSC")</f>
        <v>UCSC</v>
      </c>
      <c r="E16493" s="1" t="str">
        <f>HYPERLINK("http://www.ncbi.nlm.nih.gov/gene/?term=PITPNA","NCBI")</f>
        <v>NCBI</v>
      </c>
      <c r="F16493">
        <v>0.89</v>
      </c>
      <c r="G16493">
        <v>0.92</v>
      </c>
      <c r="H16493" s="1" t="str">
        <f>HYPERLINK("http://www.weizmann.ac.il/complex/compphys/software/geview/data/figures/201191_at.png","Figure")</f>
        <v>Figure</v>
      </c>
      <c r="I16493">
        <v>1.01</v>
      </c>
      <c r="J16493">
        <v>1</v>
      </c>
      <c r="K16493">
        <v>1.08</v>
      </c>
      <c r="L16493">
        <v>0.89</v>
      </c>
      <c r="M16493">
        <v>1.06</v>
      </c>
      <c r="N16493">
        <v>0.94</v>
      </c>
    </row>
    <row r="16494" spans="1:14" x14ac:dyDescent="0.25">
      <c r="A16494" t="s">
        <v>27626</v>
      </c>
      <c r="B16494" t="s">
        <v>27627</v>
      </c>
      <c r="C16494" s="1" t="str">
        <f>HYPERLINK("http://www.genecards.org/cgi-bin/carddisp.pl?gene=TAS2R13","GeneCards")</f>
        <v>GeneCards</v>
      </c>
      <c r="D16494" s="1" t="str">
        <f>HYPERLINK("http://genome-euro.ucsc.edu/cgi-bin/hgTracks?position=221395_at","UCSC")</f>
        <v>UCSC</v>
      </c>
      <c r="E16494" s="1" t="str">
        <f>HYPERLINK("http://www.ncbi.nlm.nih.gov/gene/?term=TAS2R13","NCBI")</f>
        <v>NCBI</v>
      </c>
      <c r="F16494">
        <v>0.89</v>
      </c>
      <c r="G16494">
        <v>0.92</v>
      </c>
      <c r="H16494" s="1" t="str">
        <f>HYPERLINK("http://www.weizmann.ac.il/complex/compphys/software/geview/data/figures/221395_at.png","Figure")</f>
        <v>Figure</v>
      </c>
      <c r="I16494">
        <v>0.99199999999999999</v>
      </c>
      <c r="J16494">
        <v>0.98</v>
      </c>
      <c r="K16494">
        <v>1.01</v>
      </c>
      <c r="L16494">
        <v>0.95</v>
      </c>
      <c r="M16494">
        <v>1.02</v>
      </c>
      <c r="N16494">
        <v>0.88</v>
      </c>
    </row>
    <row r="16495" spans="1:14" x14ac:dyDescent="0.25">
      <c r="A16495" t="s">
        <v>27628</v>
      </c>
      <c r="B16495" t="s">
        <v>21127</v>
      </c>
      <c r="C16495" s="1" t="str">
        <f>HYPERLINK("http://www.genecards.org/cgi-bin/carddisp.pl?gene=ICOSLG","GeneCards")</f>
        <v>GeneCards</v>
      </c>
      <c r="D16495" s="1" t="str">
        <f>HYPERLINK("http://genome-euro.ucsc.edu/cgi-bin/hgTracks?position=213450_s_at","UCSC")</f>
        <v>UCSC</v>
      </c>
      <c r="E16495" s="1" t="str">
        <f>HYPERLINK("http://www.ncbi.nlm.nih.gov/gene/?term=ICOSLG","NCBI")</f>
        <v>NCBI</v>
      </c>
      <c r="F16495">
        <v>0.89</v>
      </c>
      <c r="G16495">
        <v>0.92</v>
      </c>
      <c r="H16495" s="1" t="str">
        <f>HYPERLINK("http://www.weizmann.ac.il/complex/compphys/software/geview/data/figures/213450_s_at.png","Figure")</f>
        <v>Figure</v>
      </c>
      <c r="I16495">
        <v>1.06</v>
      </c>
      <c r="J16495">
        <v>0.88</v>
      </c>
      <c r="K16495">
        <v>1.04</v>
      </c>
      <c r="L16495">
        <v>0.94</v>
      </c>
      <c r="M16495">
        <v>0.97799999999999998</v>
      </c>
      <c r="N16495">
        <v>0.98</v>
      </c>
    </row>
    <row r="16496" spans="1:14" x14ac:dyDescent="0.25">
      <c r="A16496" t="s">
        <v>27629</v>
      </c>
      <c r="B16496" t="s">
        <v>27120</v>
      </c>
      <c r="C16496" s="1" t="str">
        <f>HYPERLINK("http://www.genecards.org/cgi-bin/carddisp.pl?gene=TNFAIP2","GeneCards")</f>
        <v>GeneCards</v>
      </c>
      <c r="D16496" s="1" t="str">
        <f>HYPERLINK("http://genome-euro.ucsc.edu/cgi-bin/hgTracks?position=202510_s_at","UCSC")</f>
        <v>UCSC</v>
      </c>
      <c r="E16496" s="1" t="str">
        <f>HYPERLINK("http://www.ncbi.nlm.nih.gov/gene/?term=TNFAIP2","NCBI")</f>
        <v>NCBI</v>
      </c>
      <c r="F16496">
        <v>0.89</v>
      </c>
      <c r="G16496">
        <v>0.92</v>
      </c>
      <c r="H16496" s="1" t="str">
        <f>HYPERLINK("http://www.weizmann.ac.il/complex/compphys/software/geview/data/figures/202510_s_at.png","Figure")</f>
        <v>Figure</v>
      </c>
      <c r="I16496">
        <v>0.97399999999999998</v>
      </c>
      <c r="J16496">
        <v>0.99</v>
      </c>
      <c r="K16496">
        <v>1.04</v>
      </c>
      <c r="L16496">
        <v>0.95</v>
      </c>
      <c r="M16496">
        <v>1.07</v>
      </c>
      <c r="N16496">
        <v>0.89</v>
      </c>
    </row>
    <row r="16497" spans="1:14" x14ac:dyDescent="0.25">
      <c r="A16497" t="s">
        <v>27630</v>
      </c>
      <c r="B16497" t="s">
        <v>27631</v>
      </c>
      <c r="C16497" s="1" t="str">
        <f>HYPERLINK("http://www.genecards.org/cgi-bin/carddisp.pl?gene=C15orf2","GeneCards")</f>
        <v>GeneCards</v>
      </c>
      <c r="D16497" s="1" t="str">
        <f>HYPERLINK("http://genome-euro.ucsc.edu/cgi-bin/hgTracks?position=221300_at","UCSC")</f>
        <v>UCSC</v>
      </c>
      <c r="E16497" s="1" t="str">
        <f>HYPERLINK("http://www.ncbi.nlm.nih.gov/gene/?term=C15orf2","NCBI")</f>
        <v>NCBI</v>
      </c>
      <c r="F16497">
        <v>0.89</v>
      </c>
      <c r="G16497">
        <v>0.92</v>
      </c>
      <c r="H16497" s="1" t="str">
        <f>HYPERLINK("http://www.weizmann.ac.il/complex/compphys/software/geview/data/figures/221300_at.png","Figure")</f>
        <v>Figure</v>
      </c>
      <c r="I16497">
        <v>1.01</v>
      </c>
      <c r="J16497">
        <v>0.95</v>
      </c>
      <c r="K16497">
        <v>1.02</v>
      </c>
      <c r="L16497">
        <v>0.88</v>
      </c>
      <c r="M16497">
        <v>1.01</v>
      </c>
      <c r="N16497">
        <v>0.99</v>
      </c>
    </row>
    <row r="16498" spans="1:14" x14ac:dyDescent="0.25">
      <c r="A16498" t="s">
        <v>27632</v>
      </c>
      <c r="B16498" t="s">
        <v>27633</v>
      </c>
      <c r="C16498" s="1" t="str">
        <f>HYPERLINK("http://www.genecards.org/cgi-bin/carddisp.pl?gene=HBB","GeneCards")</f>
        <v>GeneCards</v>
      </c>
      <c r="D16498" s="1" t="str">
        <f>HYPERLINK("http://genome-euro.ucsc.edu/cgi-bin/hgTracks?position=209116_x_at","UCSC")</f>
        <v>UCSC</v>
      </c>
      <c r="E16498" s="1" t="str">
        <f>HYPERLINK("http://www.ncbi.nlm.nih.gov/gene/?term=HBB","NCBI")</f>
        <v>NCBI</v>
      </c>
      <c r="F16498">
        <v>0.89</v>
      </c>
      <c r="G16498">
        <v>0.92</v>
      </c>
      <c r="H16498" s="1" t="str">
        <f>HYPERLINK("http://www.weizmann.ac.il/complex/compphys/software/geview/data/figures/209116_x_at.png","Figure")</f>
        <v>Figure</v>
      </c>
      <c r="I16498">
        <v>1.69</v>
      </c>
      <c r="J16498">
        <v>0.9</v>
      </c>
      <c r="K16498">
        <v>1.54</v>
      </c>
      <c r="L16498">
        <v>0.91</v>
      </c>
      <c r="M16498">
        <v>0.91600000000000004</v>
      </c>
      <c r="N16498">
        <v>1</v>
      </c>
    </row>
    <row r="16499" spans="1:14" x14ac:dyDescent="0.25">
      <c r="A16499" t="s">
        <v>27634</v>
      </c>
      <c r="B16499" t="s">
        <v>27635</v>
      </c>
      <c r="C16499" s="1" t="str">
        <f>HYPERLINK("http://www.genecards.org/cgi-bin/carddisp.pl?gene=HRAS","GeneCards")</f>
        <v>GeneCards</v>
      </c>
      <c r="D16499" s="1" t="str">
        <f>HYPERLINK("http://genome-euro.ucsc.edu/cgi-bin/hgTracks?position=212983_at","UCSC")</f>
        <v>UCSC</v>
      </c>
      <c r="E16499" s="1" t="str">
        <f>HYPERLINK("http://www.ncbi.nlm.nih.gov/gene/?term=HRAS","NCBI")</f>
        <v>NCBI</v>
      </c>
      <c r="F16499">
        <v>0.89</v>
      </c>
      <c r="G16499">
        <v>0.92</v>
      </c>
      <c r="H16499" s="1" t="str">
        <f>HYPERLINK("http://www.weizmann.ac.il/complex/compphys/software/geview/data/figures/212983_at.png","Figure")</f>
        <v>Figure</v>
      </c>
      <c r="I16499">
        <v>1.06</v>
      </c>
      <c r="J16499">
        <v>0.93</v>
      </c>
      <c r="K16499">
        <v>1.07</v>
      </c>
      <c r="L16499">
        <v>0.89</v>
      </c>
      <c r="M16499">
        <v>1.01</v>
      </c>
      <c r="N16499">
        <v>1</v>
      </c>
    </row>
    <row r="16500" spans="1:14" x14ac:dyDescent="0.25">
      <c r="A16500" t="s">
        <v>27636</v>
      </c>
      <c r="B16500" t="s">
        <v>24869</v>
      </c>
      <c r="C16500" s="1" t="str">
        <f>HYPERLINK("http://www.genecards.org/cgi-bin/carddisp.pl?gene=CAP1","GeneCards")</f>
        <v>GeneCards</v>
      </c>
      <c r="D16500" s="1" t="str">
        <f>HYPERLINK("http://genome-euro.ucsc.edu/cgi-bin/hgTracks?position=213798_s_at","UCSC")</f>
        <v>UCSC</v>
      </c>
      <c r="E16500" s="1" t="str">
        <f>HYPERLINK("http://www.ncbi.nlm.nih.gov/gene/?term=CAP1","NCBI")</f>
        <v>NCBI</v>
      </c>
      <c r="F16500">
        <v>0.89</v>
      </c>
      <c r="G16500">
        <v>0.92</v>
      </c>
      <c r="H16500" s="1" t="str">
        <f>HYPERLINK("http://www.weizmann.ac.il/complex/compphys/software/geview/data/figures/213798_s_at.png","Figure")</f>
        <v>Figure</v>
      </c>
      <c r="I16500">
        <v>0.90700000000000003</v>
      </c>
      <c r="J16500">
        <v>0.9</v>
      </c>
      <c r="K16500">
        <v>0.98799999999999999</v>
      </c>
      <c r="L16500">
        <v>1</v>
      </c>
      <c r="M16500">
        <v>1.0900000000000001</v>
      </c>
      <c r="N16500">
        <v>0.91</v>
      </c>
    </row>
    <row r="16501" spans="1:14" x14ac:dyDescent="0.25">
      <c r="A16501" t="s">
        <v>27637</v>
      </c>
      <c r="B16501" t="s">
        <v>7596</v>
      </c>
      <c r="C16501" s="1" t="str">
        <f>HYPERLINK("http://www.genecards.org/cgi-bin/carddisp.pl?gene=TMEM189-UBE2V1 /// UBE2V1","GeneCards")</f>
        <v>GeneCards</v>
      </c>
      <c r="D16501" s="1" t="str">
        <f>HYPERLINK("http://genome-euro.ucsc.edu/cgi-bin/hgTracks?position=216315_x_at","UCSC")</f>
        <v>UCSC</v>
      </c>
      <c r="E16501" s="1" t="str">
        <f>HYPERLINK("http://www.ncbi.nlm.nih.gov/gene/?term=TMEM189-UBE2V1 /// UBE2V1","NCBI")</f>
        <v>NCBI</v>
      </c>
      <c r="F16501">
        <v>0.89</v>
      </c>
      <c r="G16501">
        <v>0.92</v>
      </c>
      <c r="H16501" s="1" t="str">
        <f>HYPERLINK("http://www.weizmann.ac.il/complex/compphys/software/geview/data/figures/216315_x_at.png","Figure")</f>
        <v>Figure</v>
      </c>
      <c r="I16501">
        <v>1.01</v>
      </c>
      <c r="J16501">
        <v>0.97</v>
      </c>
      <c r="K16501">
        <v>1.02</v>
      </c>
      <c r="L16501">
        <v>0.88</v>
      </c>
      <c r="M16501">
        <v>1.01</v>
      </c>
      <c r="N16501">
        <v>0.98</v>
      </c>
    </row>
    <row r="16502" spans="1:14" x14ac:dyDescent="0.25">
      <c r="A16502" t="s">
        <v>27638</v>
      </c>
      <c r="B16502" t="s">
        <v>7853</v>
      </c>
      <c r="C16502" s="1" t="str">
        <f>HYPERLINK("http://www.genecards.org/cgi-bin/carddisp.pl?gene=TNXB","GeneCards")</f>
        <v>GeneCards</v>
      </c>
      <c r="D16502" s="1" t="str">
        <f>HYPERLINK("http://genome-euro.ucsc.edu/cgi-bin/hgTracks?position=208609_s_at","UCSC")</f>
        <v>UCSC</v>
      </c>
      <c r="E16502" s="1" t="str">
        <f>HYPERLINK("http://www.ncbi.nlm.nih.gov/gene/?term=TNXB","NCBI")</f>
        <v>NCBI</v>
      </c>
      <c r="F16502">
        <v>0.89</v>
      </c>
      <c r="G16502">
        <v>0.92</v>
      </c>
      <c r="H16502" s="1" t="str">
        <f>HYPERLINK("http://www.weizmann.ac.il/complex/compphys/software/geview/data/figures/208609_s_at.png","Figure")</f>
        <v>Figure</v>
      </c>
      <c r="I16502">
        <v>1.03</v>
      </c>
      <c r="J16502">
        <v>0.94</v>
      </c>
      <c r="K16502">
        <v>1.03</v>
      </c>
      <c r="L16502">
        <v>0.88</v>
      </c>
      <c r="M16502">
        <v>1.01</v>
      </c>
      <c r="N16502">
        <v>1</v>
      </c>
    </row>
    <row r="16503" spans="1:14" x14ac:dyDescent="0.25">
      <c r="A16503" t="s">
        <v>27639</v>
      </c>
      <c r="B16503" t="s">
        <v>21090</v>
      </c>
      <c r="C16503" s="1" t="str">
        <f>HYPERLINK("http://www.genecards.org/cgi-bin/carddisp.pl?gene=C1orf63","GeneCards")</f>
        <v>GeneCards</v>
      </c>
      <c r="D16503" s="1" t="str">
        <f>HYPERLINK("http://genome-euro.ucsc.edu/cgi-bin/hgTracks?position=209006_s_at","UCSC")</f>
        <v>UCSC</v>
      </c>
      <c r="E16503" s="1" t="str">
        <f>HYPERLINK("http://www.ncbi.nlm.nih.gov/gene/?term=C1orf63","NCBI")</f>
        <v>NCBI</v>
      </c>
      <c r="F16503">
        <v>0.89</v>
      </c>
      <c r="G16503">
        <v>0.92</v>
      </c>
      <c r="H16503" s="1" t="str">
        <f>HYPERLINK("http://www.weizmann.ac.il/complex/compphys/software/geview/data/figures/209006_s_at.png","Figure")</f>
        <v>Figure</v>
      </c>
      <c r="I16503">
        <v>0.95599999999999996</v>
      </c>
      <c r="J16503">
        <v>0.99</v>
      </c>
      <c r="K16503">
        <v>0.89200000000000002</v>
      </c>
      <c r="L16503">
        <v>0.88</v>
      </c>
      <c r="M16503">
        <v>0.93300000000000005</v>
      </c>
      <c r="N16503">
        <v>0.96</v>
      </c>
    </row>
    <row r="16504" spans="1:14" x14ac:dyDescent="0.25">
      <c r="A16504" t="s">
        <v>27640</v>
      </c>
      <c r="B16504" t="s">
        <v>27641</v>
      </c>
      <c r="C16504" s="1" t="str">
        <f>HYPERLINK("http://www.genecards.org/cgi-bin/carddisp.pl?gene=CCDC15","GeneCards")</f>
        <v>GeneCards</v>
      </c>
      <c r="D16504" s="1" t="str">
        <f>HYPERLINK("http://genome-euro.ucsc.edu/cgi-bin/hgTracks?position=220466_at","UCSC")</f>
        <v>UCSC</v>
      </c>
      <c r="E16504" s="1" t="str">
        <f>HYPERLINK("http://www.ncbi.nlm.nih.gov/gene/?term=CCDC15","NCBI")</f>
        <v>NCBI</v>
      </c>
      <c r="F16504">
        <v>0.89</v>
      </c>
      <c r="G16504">
        <v>0.92</v>
      </c>
      <c r="H16504" s="1" t="str">
        <f>HYPERLINK("http://www.weizmann.ac.il/complex/compphys/software/geview/data/figures/220466_at.png","Figure")</f>
        <v>Figure</v>
      </c>
      <c r="I16504">
        <v>1.01</v>
      </c>
      <c r="J16504">
        <v>0.99</v>
      </c>
      <c r="K16504">
        <v>1.02</v>
      </c>
      <c r="L16504">
        <v>0.88</v>
      </c>
      <c r="M16504">
        <v>1.01</v>
      </c>
      <c r="N16504">
        <v>0.96</v>
      </c>
    </row>
    <row r="16505" spans="1:14" x14ac:dyDescent="0.25">
      <c r="A16505" t="s">
        <v>27642</v>
      </c>
      <c r="B16505" t="s">
        <v>27643</v>
      </c>
      <c r="C16505" s="1" t="str">
        <f>HYPERLINK("http://www.genecards.org/cgi-bin/carddisp.pl?gene=PCNT","GeneCards")</f>
        <v>GeneCards</v>
      </c>
      <c r="D16505" s="1" t="str">
        <f>HYPERLINK("http://genome-euro.ucsc.edu/cgi-bin/hgTracks?position=203660_s_at","UCSC")</f>
        <v>UCSC</v>
      </c>
      <c r="E16505" s="1" t="str">
        <f>HYPERLINK("http://www.ncbi.nlm.nih.gov/gene/?term=PCNT","NCBI")</f>
        <v>NCBI</v>
      </c>
      <c r="F16505">
        <v>0.89</v>
      </c>
      <c r="G16505">
        <v>0.92</v>
      </c>
      <c r="H16505" s="1" t="str">
        <f>HYPERLINK("http://www.weizmann.ac.il/complex/compphys/software/geview/data/figures/203660_s_at.png","Figure")</f>
        <v>Figure</v>
      </c>
      <c r="I16505">
        <v>0.94799999999999995</v>
      </c>
      <c r="J16505">
        <v>0.9</v>
      </c>
      <c r="K16505">
        <v>0.995</v>
      </c>
      <c r="L16505">
        <v>1</v>
      </c>
      <c r="M16505">
        <v>1.05</v>
      </c>
      <c r="N16505">
        <v>0.91</v>
      </c>
    </row>
    <row r="16506" spans="1:14" x14ac:dyDescent="0.25">
      <c r="A16506" t="s">
        <v>27644</v>
      </c>
      <c r="B16506" t="s">
        <v>6517</v>
      </c>
      <c r="C16506" s="1" t="str">
        <f>HYPERLINK("http://www.genecards.org/cgi-bin/carddisp.pl?gene=NADK","GeneCards")</f>
        <v>GeneCards</v>
      </c>
      <c r="D16506" s="1" t="str">
        <f>HYPERLINK("http://genome-euro.ucsc.edu/cgi-bin/hgTracks?position=208918_s_at","UCSC")</f>
        <v>UCSC</v>
      </c>
      <c r="E16506" s="1" t="str">
        <f>HYPERLINK("http://www.ncbi.nlm.nih.gov/gene/?term=NADK","NCBI")</f>
        <v>NCBI</v>
      </c>
      <c r="F16506">
        <v>0.89</v>
      </c>
      <c r="G16506">
        <v>0.92</v>
      </c>
      <c r="H16506" s="1" t="str">
        <f>HYPERLINK("http://www.weizmann.ac.il/complex/compphys/software/geview/data/figures/208918_s_at.png","Figure")</f>
        <v>Figure</v>
      </c>
      <c r="I16506">
        <v>1.06</v>
      </c>
      <c r="J16506">
        <v>0.93</v>
      </c>
      <c r="K16506">
        <v>1.06</v>
      </c>
      <c r="L16506">
        <v>0.89</v>
      </c>
      <c r="M16506">
        <v>1.01</v>
      </c>
      <c r="N16506">
        <v>1</v>
      </c>
    </row>
    <row r="16507" spans="1:14" x14ac:dyDescent="0.25">
      <c r="A16507" t="s">
        <v>27645</v>
      </c>
      <c r="B16507" t="s">
        <v>27646</v>
      </c>
      <c r="C16507" s="1" t="str">
        <f>HYPERLINK("http://www.genecards.org/cgi-bin/carddisp.pl?gene=MON2","GeneCards")</f>
        <v>GeneCards</v>
      </c>
      <c r="D16507" s="1" t="str">
        <f>HYPERLINK("http://genome-euro.ucsc.edu/cgi-bin/hgTracks?position=212754_s_at","UCSC")</f>
        <v>UCSC</v>
      </c>
      <c r="E16507" s="1" t="str">
        <f>HYPERLINK("http://www.ncbi.nlm.nih.gov/gene/?term=MON2","NCBI")</f>
        <v>NCBI</v>
      </c>
      <c r="F16507">
        <v>0.89</v>
      </c>
      <c r="G16507">
        <v>0.92</v>
      </c>
      <c r="H16507" s="1" t="str">
        <f>HYPERLINK("http://www.weizmann.ac.il/complex/compphys/software/geview/data/figures/212754_s_at.png","Figure")</f>
        <v>Figure</v>
      </c>
      <c r="I16507">
        <v>0.89800000000000002</v>
      </c>
      <c r="J16507">
        <v>0.89</v>
      </c>
      <c r="K16507">
        <v>0.97699999999999998</v>
      </c>
      <c r="L16507">
        <v>0.99</v>
      </c>
      <c r="M16507">
        <v>1.0900000000000001</v>
      </c>
      <c r="N16507">
        <v>0.92</v>
      </c>
    </row>
    <row r="16508" spans="1:14" x14ac:dyDescent="0.25">
      <c r="A16508" t="s">
        <v>27647</v>
      </c>
      <c r="B16508" t="s">
        <v>27648</v>
      </c>
      <c r="C16508" s="1" t="str">
        <f>HYPERLINK("http://www.genecards.org/cgi-bin/carddisp.pl?gene=FAM114A2","GeneCards")</f>
        <v>GeneCards</v>
      </c>
      <c r="D16508" s="1" t="str">
        <f>HYPERLINK("http://genome-euro.ucsc.edu/cgi-bin/hgTracks?position=218588_s_at","UCSC")</f>
        <v>UCSC</v>
      </c>
      <c r="E16508" s="1" t="str">
        <f>HYPERLINK("http://www.ncbi.nlm.nih.gov/gene/?term=FAM114A2","NCBI")</f>
        <v>NCBI</v>
      </c>
      <c r="F16508">
        <v>0.89</v>
      </c>
      <c r="G16508">
        <v>0.92</v>
      </c>
      <c r="H16508" s="1" t="str">
        <f>HYPERLINK("http://www.weizmann.ac.il/complex/compphys/software/geview/data/figures/218588_s_at.png","Figure")</f>
        <v>Figure</v>
      </c>
      <c r="I16508">
        <v>0.97599999999999998</v>
      </c>
      <c r="J16508">
        <v>0.98</v>
      </c>
      <c r="K16508">
        <v>1.03</v>
      </c>
      <c r="L16508">
        <v>0.96</v>
      </c>
      <c r="M16508">
        <v>1.05</v>
      </c>
      <c r="N16508">
        <v>0.88</v>
      </c>
    </row>
    <row r="16509" spans="1:14" x14ac:dyDescent="0.25">
      <c r="A16509" t="s">
        <v>27649</v>
      </c>
      <c r="B16509" t="s">
        <v>27650</v>
      </c>
      <c r="C16509" s="1" t="str">
        <f>HYPERLINK("http://www.genecards.org/cgi-bin/carddisp.pl?gene=GDAP2","GeneCards")</f>
        <v>GeneCards</v>
      </c>
      <c r="D16509" s="1" t="str">
        <f>HYPERLINK("http://genome-euro.ucsc.edu/cgi-bin/hgTracks?position=219473_at","UCSC")</f>
        <v>UCSC</v>
      </c>
      <c r="E16509" s="1" t="str">
        <f>HYPERLINK("http://www.ncbi.nlm.nih.gov/gene/?term=GDAP2","NCBI")</f>
        <v>NCBI</v>
      </c>
      <c r="F16509">
        <v>0.89</v>
      </c>
      <c r="G16509">
        <v>0.92</v>
      </c>
      <c r="H16509" s="1" t="str">
        <f>HYPERLINK("http://www.weizmann.ac.il/complex/compphys/software/geview/data/figures/219473_at.png","Figure")</f>
        <v>Figure</v>
      </c>
      <c r="I16509">
        <v>0.98499999999999999</v>
      </c>
      <c r="J16509">
        <v>0.99</v>
      </c>
      <c r="K16509">
        <v>0.96</v>
      </c>
      <c r="L16509">
        <v>0.89</v>
      </c>
      <c r="M16509">
        <v>0.97499999999999998</v>
      </c>
      <c r="N16509">
        <v>0.96</v>
      </c>
    </row>
    <row r="16510" spans="1:14" x14ac:dyDescent="0.25">
      <c r="A16510" t="s">
        <v>27651</v>
      </c>
      <c r="B16510" t="s">
        <v>27652</v>
      </c>
      <c r="C16510" s="1" t="str">
        <f>HYPERLINK("http://www.genecards.org/cgi-bin/carddisp.pl?gene=IGL@ /// IGLV1-44","GeneCards")</f>
        <v>GeneCards</v>
      </c>
      <c r="D16510" s="1" t="str">
        <f>HYPERLINK("http://genome-euro.ucsc.edu/cgi-bin/hgTracks?position=215379_x_at","UCSC")</f>
        <v>UCSC</v>
      </c>
      <c r="E16510" s="1" t="str">
        <f>HYPERLINK("http://www.ncbi.nlm.nih.gov/gene/?term=IGL@ /// IGLV1-44","NCBI")</f>
        <v>NCBI</v>
      </c>
      <c r="F16510">
        <v>0.89</v>
      </c>
      <c r="G16510">
        <v>0.92</v>
      </c>
      <c r="H16510" s="1" t="str">
        <f>HYPERLINK("http://www.weizmann.ac.il/complex/compphys/software/geview/data/figures/215379_x_at.png","Figure")</f>
        <v>Figure</v>
      </c>
      <c r="I16510">
        <v>1.1599999999999999</v>
      </c>
      <c r="J16510">
        <v>0.89</v>
      </c>
      <c r="K16510">
        <v>1.1100000000000001</v>
      </c>
      <c r="L16510">
        <v>0.93</v>
      </c>
      <c r="M16510">
        <v>0.95499999999999996</v>
      </c>
      <c r="N16510">
        <v>0.99</v>
      </c>
    </row>
    <row r="16511" spans="1:14" x14ac:dyDescent="0.25">
      <c r="A16511" t="s">
        <v>27653</v>
      </c>
      <c r="B16511" t="s">
        <v>14229</v>
      </c>
      <c r="C16511" s="1" t="str">
        <f>HYPERLINK("http://www.genecards.org/cgi-bin/carddisp.pl?gene=DUS2L","GeneCards")</f>
        <v>GeneCards</v>
      </c>
      <c r="D16511" s="1" t="str">
        <f>HYPERLINK("http://genome-euro.ucsc.edu/cgi-bin/hgTracks?position=47105_at","UCSC")</f>
        <v>UCSC</v>
      </c>
      <c r="E16511" s="1" t="str">
        <f>HYPERLINK("http://www.ncbi.nlm.nih.gov/gene/?term=DUS2L","NCBI")</f>
        <v>NCBI</v>
      </c>
      <c r="F16511">
        <v>0.89</v>
      </c>
      <c r="G16511">
        <v>0.92</v>
      </c>
      <c r="H16511" s="1" t="str">
        <f>HYPERLINK("http://www.weizmann.ac.il/complex/compphys/software/geview/data/figures/47105_at.png","Figure")</f>
        <v>Figure</v>
      </c>
      <c r="I16511">
        <v>1.02</v>
      </c>
      <c r="J16511">
        <v>0.89</v>
      </c>
      <c r="K16511">
        <v>1.01</v>
      </c>
      <c r="L16511">
        <v>0.94</v>
      </c>
      <c r="M16511">
        <v>0.99199999999999999</v>
      </c>
      <c r="N16511">
        <v>0.98</v>
      </c>
    </row>
    <row r="16512" spans="1:14" x14ac:dyDescent="0.25">
      <c r="A16512" t="s">
        <v>27654</v>
      </c>
      <c r="B16512" t="s">
        <v>27655</v>
      </c>
      <c r="C16512" s="1" t="str">
        <f>HYPERLINK("http://www.genecards.org/cgi-bin/carddisp.pl?gene=MAML1","GeneCards")</f>
        <v>GeneCards</v>
      </c>
      <c r="D16512" s="1" t="str">
        <f>HYPERLINK("http://genome-euro.ucsc.edu/cgi-bin/hgTracks?position=202360_at","UCSC")</f>
        <v>UCSC</v>
      </c>
      <c r="E16512" s="1" t="str">
        <f>HYPERLINK("http://www.ncbi.nlm.nih.gov/gene/?term=MAML1","NCBI")</f>
        <v>NCBI</v>
      </c>
      <c r="F16512">
        <v>0.89</v>
      </c>
      <c r="G16512">
        <v>0.92</v>
      </c>
      <c r="H16512" s="1" t="str">
        <f>HYPERLINK("http://www.weizmann.ac.il/complex/compphys/software/geview/data/figures/202360_at.png","Figure")</f>
        <v>Figure</v>
      </c>
      <c r="I16512">
        <v>1.08</v>
      </c>
      <c r="J16512">
        <v>0.89</v>
      </c>
      <c r="K16512">
        <v>1.02</v>
      </c>
      <c r="L16512">
        <v>0.99</v>
      </c>
      <c r="M16512">
        <v>0.93899999999999995</v>
      </c>
      <c r="N16512">
        <v>0.92</v>
      </c>
    </row>
    <row r="16513" spans="1:14" x14ac:dyDescent="0.25">
      <c r="A16513" t="s">
        <v>27656</v>
      </c>
      <c r="B16513" t="s">
        <v>7274</v>
      </c>
      <c r="C16513" s="1" t="str">
        <f>HYPERLINK("http://www.genecards.org/cgi-bin/carddisp.pl?gene=SOD2","GeneCards")</f>
        <v>GeneCards</v>
      </c>
      <c r="D16513" s="1" t="str">
        <f>HYPERLINK("http://genome-euro.ucsc.edu/cgi-bin/hgTracks?position=215078_at","UCSC")</f>
        <v>UCSC</v>
      </c>
      <c r="E16513" s="1" t="str">
        <f>HYPERLINK("http://www.ncbi.nlm.nih.gov/gene/?term=SOD2","NCBI")</f>
        <v>NCBI</v>
      </c>
      <c r="F16513">
        <v>0.89</v>
      </c>
      <c r="G16513">
        <v>0.92</v>
      </c>
      <c r="H16513" s="1" t="str">
        <f>HYPERLINK("http://www.weizmann.ac.il/complex/compphys/software/geview/data/figures/215078_at.png","Figure")</f>
        <v>Figure</v>
      </c>
      <c r="I16513">
        <v>0.83899999999999997</v>
      </c>
      <c r="J16513">
        <v>0.88</v>
      </c>
      <c r="K16513">
        <v>0.91</v>
      </c>
      <c r="L16513">
        <v>0.95</v>
      </c>
      <c r="M16513">
        <v>1.08</v>
      </c>
      <c r="N16513">
        <v>0.97</v>
      </c>
    </row>
    <row r="16514" spans="1:14" x14ac:dyDescent="0.25">
      <c r="A16514" t="s">
        <v>27657</v>
      </c>
      <c r="B16514" t="s">
        <v>27658</v>
      </c>
      <c r="C16514" s="1" t="str">
        <f>HYPERLINK("http://www.genecards.org/cgi-bin/carddisp.pl?gene=CDT1","GeneCards")</f>
        <v>GeneCards</v>
      </c>
      <c r="D16514" s="1" t="str">
        <f>HYPERLINK("http://genome-euro.ucsc.edu/cgi-bin/hgTracks?position=209832_s_at","UCSC")</f>
        <v>UCSC</v>
      </c>
      <c r="E16514" s="1" t="str">
        <f>HYPERLINK("http://www.ncbi.nlm.nih.gov/gene/?term=CDT1","NCBI")</f>
        <v>NCBI</v>
      </c>
      <c r="F16514">
        <v>0.89</v>
      </c>
      <c r="G16514">
        <v>0.92</v>
      </c>
      <c r="H16514" s="1" t="str">
        <f>HYPERLINK("http://www.weizmann.ac.il/complex/compphys/software/geview/data/figures/209832_s_at.png","Figure")</f>
        <v>Figure</v>
      </c>
      <c r="I16514">
        <v>1.1100000000000001</v>
      </c>
      <c r="J16514">
        <v>0.9</v>
      </c>
      <c r="K16514">
        <v>1.01</v>
      </c>
      <c r="L16514">
        <v>1</v>
      </c>
      <c r="M16514">
        <v>0.91</v>
      </c>
      <c r="N16514">
        <v>0.91</v>
      </c>
    </row>
    <row r="16515" spans="1:14" x14ac:dyDescent="0.25">
      <c r="A16515" t="s">
        <v>27659</v>
      </c>
      <c r="B16515" t="s">
        <v>9021</v>
      </c>
      <c r="C16515" s="1" t="str">
        <f>HYPERLINK("http://www.genecards.org/cgi-bin/carddisp.pl?gene=WIZ","GeneCards")</f>
        <v>GeneCards</v>
      </c>
      <c r="D16515" s="1" t="str">
        <f>HYPERLINK("http://genome-euro.ucsc.edu/cgi-bin/hgTracks?position=52005_at","UCSC")</f>
        <v>UCSC</v>
      </c>
      <c r="E16515" s="1" t="str">
        <f>HYPERLINK("http://www.ncbi.nlm.nih.gov/gene/?term=WIZ","NCBI")</f>
        <v>NCBI</v>
      </c>
      <c r="F16515">
        <v>0.89</v>
      </c>
      <c r="G16515">
        <v>0.92</v>
      </c>
      <c r="H16515" s="1" t="str">
        <f>HYPERLINK("http://www.weizmann.ac.il/complex/compphys/software/geview/data/figures/52005_at.png","Figure")</f>
        <v>Figure</v>
      </c>
      <c r="I16515">
        <v>1.06</v>
      </c>
      <c r="J16515">
        <v>0.88</v>
      </c>
      <c r="K16515">
        <v>1.02</v>
      </c>
      <c r="L16515">
        <v>0.98</v>
      </c>
      <c r="M16515">
        <v>0.96599999999999997</v>
      </c>
      <c r="N16515">
        <v>0.94</v>
      </c>
    </row>
    <row r="16516" spans="1:14" x14ac:dyDescent="0.25">
      <c r="A16516" t="s">
        <v>27660</v>
      </c>
      <c r="B16516" t="s">
        <v>27661</v>
      </c>
      <c r="C16516" s="1" t="str">
        <f>HYPERLINK("http://www.genecards.org/cgi-bin/carddisp.pl?gene=DPP4","GeneCards")</f>
        <v>GeneCards</v>
      </c>
      <c r="D16516" s="1" t="str">
        <f>HYPERLINK("http://genome-euro.ucsc.edu/cgi-bin/hgTracks?position=203716_s_at","UCSC")</f>
        <v>UCSC</v>
      </c>
      <c r="E16516" s="1" t="str">
        <f>HYPERLINK("http://www.ncbi.nlm.nih.gov/gene/?term=DPP4","NCBI")</f>
        <v>NCBI</v>
      </c>
      <c r="F16516">
        <v>0.89</v>
      </c>
      <c r="G16516">
        <v>0.92</v>
      </c>
      <c r="H16516" s="1" t="str">
        <f>HYPERLINK("http://www.weizmann.ac.il/complex/compphys/software/geview/data/figures/203716_s_at.png","Figure")</f>
        <v>Figure</v>
      </c>
      <c r="I16516">
        <v>0.97299999999999998</v>
      </c>
      <c r="J16516">
        <v>0.91</v>
      </c>
      <c r="K16516">
        <v>0.97599999999999998</v>
      </c>
      <c r="L16516">
        <v>0.91</v>
      </c>
      <c r="M16516">
        <v>1</v>
      </c>
      <c r="N16516">
        <v>1</v>
      </c>
    </row>
    <row r="16517" spans="1:14" x14ac:dyDescent="0.25">
      <c r="A16517" t="s">
        <v>27662</v>
      </c>
      <c r="B16517" t="s">
        <v>27663</v>
      </c>
      <c r="C16517" s="1" t="str">
        <f>HYPERLINK("http://www.genecards.org/cgi-bin/carddisp.pl?gene=ACTR1A","GeneCards")</f>
        <v>GeneCards</v>
      </c>
      <c r="D16517" s="1" t="str">
        <f>HYPERLINK("http://genome-euro.ucsc.edu/cgi-bin/hgTracks?position=200721_s_at","UCSC")</f>
        <v>UCSC</v>
      </c>
      <c r="E16517" s="1" t="str">
        <f>HYPERLINK("http://www.ncbi.nlm.nih.gov/gene/?term=ACTR1A","NCBI")</f>
        <v>NCBI</v>
      </c>
      <c r="F16517">
        <v>0.89</v>
      </c>
      <c r="G16517">
        <v>0.92</v>
      </c>
      <c r="H16517" s="1" t="str">
        <f>HYPERLINK("http://www.weizmann.ac.il/complex/compphys/software/geview/data/figures/200721_s_at.png","Figure")</f>
        <v>Figure</v>
      </c>
      <c r="I16517">
        <v>0.95099999999999996</v>
      </c>
      <c r="J16517">
        <v>0.88</v>
      </c>
      <c r="K16517">
        <v>0.97499999999999998</v>
      </c>
      <c r="L16517">
        <v>0.96</v>
      </c>
      <c r="M16517">
        <v>1.02</v>
      </c>
      <c r="N16517">
        <v>0.97</v>
      </c>
    </row>
    <row r="16518" spans="1:14" x14ac:dyDescent="0.25">
      <c r="A16518" t="s">
        <v>27664</v>
      </c>
      <c r="B16518" t="s">
        <v>27665</v>
      </c>
      <c r="C16518" s="1" t="str">
        <f>HYPERLINK("http://www.genecards.org/cgi-bin/carddisp.pl?gene=ELSPBP1","GeneCards")</f>
        <v>GeneCards</v>
      </c>
      <c r="D16518" s="1" t="str">
        <f>HYPERLINK("http://genome-euro.ucsc.edu/cgi-bin/hgTracks?position=220366_at","UCSC")</f>
        <v>UCSC</v>
      </c>
      <c r="E16518" s="1" t="str">
        <f>HYPERLINK("http://www.ncbi.nlm.nih.gov/gene/?term=ELSPBP1","NCBI")</f>
        <v>NCBI</v>
      </c>
      <c r="F16518">
        <v>0.89</v>
      </c>
      <c r="G16518">
        <v>0.92</v>
      </c>
      <c r="H16518" s="1" t="str">
        <f>HYPERLINK("http://www.weizmann.ac.il/complex/compphys/software/geview/data/figures/220366_at.png","Figure")</f>
        <v>Figure</v>
      </c>
      <c r="I16518">
        <v>1.03</v>
      </c>
      <c r="J16518">
        <v>0.92</v>
      </c>
      <c r="K16518">
        <v>1.03</v>
      </c>
      <c r="L16518">
        <v>0.9</v>
      </c>
      <c r="M16518">
        <v>1</v>
      </c>
      <c r="N16518">
        <v>1</v>
      </c>
    </row>
    <row r="16519" spans="1:14" x14ac:dyDescent="0.25">
      <c r="A16519" t="s">
        <v>27666</v>
      </c>
      <c r="B16519" t="s">
        <v>27667</v>
      </c>
      <c r="C16519" s="1" t="str">
        <f>HYPERLINK("http://www.genecards.org/cgi-bin/carddisp.pl?gene=CDX4","GeneCards")</f>
        <v>GeneCards</v>
      </c>
      <c r="D16519" s="1" t="str">
        <f>HYPERLINK("http://genome-euro.ucsc.edu/cgi-bin/hgTracks?position=221340_at","UCSC")</f>
        <v>UCSC</v>
      </c>
      <c r="E16519" s="1" t="str">
        <f>HYPERLINK("http://www.ncbi.nlm.nih.gov/gene/?term=CDX4","NCBI")</f>
        <v>NCBI</v>
      </c>
      <c r="F16519">
        <v>0.89</v>
      </c>
      <c r="G16519">
        <v>0.92</v>
      </c>
      <c r="H16519" s="1" t="str">
        <f>HYPERLINK("http://www.weizmann.ac.il/complex/compphys/software/geview/data/figures/221340_at.png","Figure")</f>
        <v>Figure</v>
      </c>
      <c r="I16519">
        <v>1</v>
      </c>
      <c r="J16519">
        <v>0.99</v>
      </c>
      <c r="K16519">
        <v>0.98599999999999999</v>
      </c>
      <c r="L16519">
        <v>0.93</v>
      </c>
      <c r="M16519">
        <v>0.98099999999999998</v>
      </c>
      <c r="N16519">
        <v>0.9</v>
      </c>
    </row>
    <row r="16520" spans="1:14" x14ac:dyDescent="0.25">
      <c r="A16520" t="s">
        <v>27668</v>
      </c>
      <c r="B16520" t="s">
        <v>3199</v>
      </c>
      <c r="C16520" s="1" t="str">
        <f>HYPERLINK("http://www.genecards.org/cgi-bin/carddisp.pl?gene=MIER2","GeneCards")</f>
        <v>GeneCards</v>
      </c>
      <c r="D16520" s="1" t="str">
        <f>HYPERLINK("http://genome-euro.ucsc.edu/cgi-bin/hgTracks?position=221862_at","UCSC")</f>
        <v>UCSC</v>
      </c>
      <c r="E16520" s="1" t="str">
        <f>HYPERLINK("http://www.ncbi.nlm.nih.gov/gene/?term=MIER2","NCBI")</f>
        <v>NCBI</v>
      </c>
      <c r="F16520">
        <v>0.89</v>
      </c>
      <c r="G16520">
        <v>0.92</v>
      </c>
      <c r="H16520" s="1" t="str">
        <f>HYPERLINK("http://www.weizmann.ac.il/complex/compphys/software/geview/data/figures/221862_at.png","Figure")</f>
        <v>Figure</v>
      </c>
      <c r="I16520">
        <v>0.97699999999999998</v>
      </c>
      <c r="J16520">
        <v>0.96</v>
      </c>
      <c r="K16520">
        <v>0.96699999999999997</v>
      </c>
      <c r="L16520">
        <v>0.88</v>
      </c>
      <c r="M16520">
        <v>0.98899999999999999</v>
      </c>
      <c r="N16520">
        <v>0.99</v>
      </c>
    </row>
    <row r="16521" spans="1:14" x14ac:dyDescent="0.25">
      <c r="A16521" t="s">
        <v>27669</v>
      </c>
      <c r="B16521" t="s">
        <v>27670</v>
      </c>
      <c r="C16521" s="1" t="str">
        <f>HYPERLINK("http://www.genecards.org/cgi-bin/carddisp.pl?gene=IFNGR2","GeneCards")</f>
        <v>GeneCards</v>
      </c>
      <c r="D16521" s="1" t="str">
        <f>HYPERLINK("http://genome-euro.ucsc.edu/cgi-bin/hgTracks?position=201642_at","UCSC")</f>
        <v>UCSC</v>
      </c>
      <c r="E16521" s="1" t="str">
        <f>HYPERLINK("http://www.ncbi.nlm.nih.gov/gene/?term=IFNGR2","NCBI")</f>
        <v>NCBI</v>
      </c>
      <c r="F16521">
        <v>0.89</v>
      </c>
      <c r="G16521">
        <v>0.92</v>
      </c>
      <c r="H16521" s="1" t="str">
        <f>HYPERLINK("http://www.weizmann.ac.il/complex/compphys/software/geview/data/figures/201642_at.png","Figure")</f>
        <v>Figure</v>
      </c>
      <c r="I16521">
        <v>0.94099999999999995</v>
      </c>
      <c r="J16521">
        <v>0.88</v>
      </c>
      <c r="K16521">
        <v>0.97699999999999998</v>
      </c>
      <c r="L16521">
        <v>0.98</v>
      </c>
      <c r="M16521">
        <v>1.04</v>
      </c>
      <c r="N16521">
        <v>0.95</v>
      </c>
    </row>
    <row r="16522" spans="1:14" x14ac:dyDescent="0.25">
      <c r="A16522" t="s">
        <v>27671</v>
      </c>
      <c r="B16522" t="s">
        <v>27672</v>
      </c>
      <c r="C16522" s="1" t="str">
        <f>HYPERLINK("http://www.genecards.org/cgi-bin/carddisp.pl?gene=ENTPD3","GeneCards")</f>
        <v>GeneCards</v>
      </c>
      <c r="D16522" s="1" t="str">
        <f>HYPERLINK("http://genome-euro.ucsc.edu/cgi-bin/hgTracks?position=206191_at","UCSC")</f>
        <v>UCSC</v>
      </c>
      <c r="E16522" s="1" t="str">
        <f>HYPERLINK("http://www.ncbi.nlm.nih.gov/gene/?term=ENTPD3","NCBI")</f>
        <v>NCBI</v>
      </c>
      <c r="F16522">
        <v>0.89</v>
      </c>
      <c r="G16522">
        <v>0.92</v>
      </c>
      <c r="H16522" s="1" t="str">
        <f>HYPERLINK("http://www.weizmann.ac.il/complex/compphys/software/geview/data/figures/206191_at.png","Figure")</f>
        <v>Figure</v>
      </c>
      <c r="I16522">
        <v>0.98399999999999999</v>
      </c>
      <c r="J16522">
        <v>0.96</v>
      </c>
      <c r="K16522">
        <v>0.97499999999999998</v>
      </c>
      <c r="L16522">
        <v>0.88</v>
      </c>
      <c r="M16522">
        <v>0.99099999999999999</v>
      </c>
      <c r="N16522">
        <v>0.99</v>
      </c>
    </row>
    <row r="16523" spans="1:14" x14ac:dyDescent="0.25">
      <c r="A16523" t="s">
        <v>27673</v>
      </c>
      <c r="B16523" t="s">
        <v>27674</v>
      </c>
      <c r="C16523" s="1" t="str">
        <f>HYPERLINK("http://www.genecards.org/cgi-bin/carddisp.pl?gene=ZNF668","GeneCards")</f>
        <v>GeneCards</v>
      </c>
      <c r="D16523" s="1" t="str">
        <f>HYPERLINK("http://genome-euro.ucsc.edu/cgi-bin/hgTracks?position=219047_s_at","UCSC")</f>
        <v>UCSC</v>
      </c>
      <c r="E16523" s="1" t="str">
        <f>HYPERLINK("http://www.ncbi.nlm.nih.gov/gene/?term=ZNF668","NCBI")</f>
        <v>NCBI</v>
      </c>
      <c r="F16523">
        <v>0.89</v>
      </c>
      <c r="G16523">
        <v>0.92</v>
      </c>
      <c r="H16523" s="1" t="str">
        <f>HYPERLINK("http://www.weizmann.ac.il/complex/compphys/software/geview/data/figures/219047_s_at.png","Figure")</f>
        <v>Figure</v>
      </c>
      <c r="I16523">
        <v>0.98399999999999999</v>
      </c>
      <c r="J16523">
        <v>0.98</v>
      </c>
      <c r="K16523">
        <v>0.96499999999999997</v>
      </c>
      <c r="L16523">
        <v>0.89</v>
      </c>
      <c r="M16523">
        <v>0.98099999999999998</v>
      </c>
      <c r="N16523">
        <v>0.97</v>
      </c>
    </row>
    <row r="16524" spans="1:14" x14ac:dyDescent="0.25">
      <c r="A16524" t="s">
        <v>27675</v>
      </c>
      <c r="B16524" t="s">
        <v>27676</v>
      </c>
      <c r="C16524" s="1" t="str">
        <f>HYPERLINK("http://www.genecards.org/cgi-bin/carddisp.pl?gene=IGH@ /// IGHA1 /// IGHA2 /// IGHD /// IGHG1 /// IGHG3 /// IGHG4 /// IGHM /// IGHV3-23 /// LOC1001265","GeneCards")</f>
        <v>GeneCards</v>
      </c>
      <c r="D16524" s="1" t="str">
        <f>HYPERLINK("http://genome-euro.ucsc.edu/cgi-bin/hgTracks?position=211637_x_at","UCSC")</f>
        <v>UCSC</v>
      </c>
      <c r="E16524" s="1" t="str">
        <f>HYPERLINK("http://www.ncbi.nlm.nih.gov/gene/?term=IGH@ /// IGHA1 /// IGHA2 /// IGHD /// IGHG1 /// IGHG3 /// IGHG4 /// IGHM /// IGHV3-23 /// LOC1001265","NCBI")</f>
        <v>NCBI</v>
      </c>
      <c r="F16524">
        <v>0.89</v>
      </c>
      <c r="G16524">
        <v>0.92</v>
      </c>
      <c r="H16524" s="1" t="str">
        <f>HYPERLINK("http://www.weizmann.ac.il/complex/compphys/software/geview/data/figures/211637_x_at.png","Figure")</f>
        <v>Figure</v>
      </c>
      <c r="I16524">
        <v>0.94</v>
      </c>
      <c r="J16524">
        <v>0.89</v>
      </c>
      <c r="K16524">
        <v>0.98199999999999998</v>
      </c>
      <c r="L16524">
        <v>0.99</v>
      </c>
      <c r="M16524">
        <v>1.05</v>
      </c>
      <c r="N16524">
        <v>0.93</v>
      </c>
    </row>
    <row r="16525" spans="1:14" x14ac:dyDescent="0.25">
      <c r="A16525" t="s">
        <v>27677</v>
      </c>
      <c r="B16525" t="s">
        <v>27678</v>
      </c>
      <c r="C16525" s="1" t="str">
        <f>HYPERLINK("http://www.genecards.org/cgi-bin/carddisp.pl?gene=NME4","GeneCards")</f>
        <v>GeneCards</v>
      </c>
      <c r="D16525" s="1" t="str">
        <f>HYPERLINK("http://genome-euro.ucsc.edu/cgi-bin/hgTracks?position=212739_s_at","UCSC")</f>
        <v>UCSC</v>
      </c>
      <c r="E16525" s="1" t="str">
        <f>HYPERLINK("http://www.ncbi.nlm.nih.gov/gene/?term=NME4","NCBI")</f>
        <v>NCBI</v>
      </c>
      <c r="F16525">
        <v>0.89</v>
      </c>
      <c r="G16525">
        <v>0.92</v>
      </c>
      <c r="H16525" s="1" t="str">
        <f>HYPERLINK("http://www.weizmann.ac.il/complex/compphys/software/geview/data/figures/212739_s_at.png","Figure")</f>
        <v>Figure</v>
      </c>
      <c r="I16525">
        <v>1.1000000000000001</v>
      </c>
      <c r="J16525">
        <v>0.94</v>
      </c>
      <c r="K16525">
        <v>1.1200000000000001</v>
      </c>
      <c r="L16525">
        <v>0.89</v>
      </c>
      <c r="M16525">
        <v>1.02</v>
      </c>
      <c r="N16525">
        <v>1</v>
      </c>
    </row>
    <row r="16526" spans="1:14" x14ac:dyDescent="0.25">
      <c r="A16526" t="s">
        <v>27679</v>
      </c>
      <c r="B16526" t="s">
        <v>5895</v>
      </c>
      <c r="C16526" s="1" t="str">
        <f>HYPERLINK("http://www.genecards.org/cgi-bin/carddisp.pl?gene=TXNRD2","GeneCards")</f>
        <v>GeneCards</v>
      </c>
      <c r="D16526" s="1" t="str">
        <f>HYPERLINK("http://genome-euro.ucsc.edu/cgi-bin/hgTracks?position=210803_at","UCSC")</f>
        <v>UCSC</v>
      </c>
      <c r="E16526" s="1" t="str">
        <f>HYPERLINK("http://www.ncbi.nlm.nih.gov/gene/?term=TXNRD2","NCBI")</f>
        <v>NCBI</v>
      </c>
      <c r="F16526">
        <v>0.89</v>
      </c>
      <c r="G16526">
        <v>0.92</v>
      </c>
      <c r="H16526" s="1" t="str">
        <f>HYPERLINK("http://www.weizmann.ac.il/complex/compphys/software/geview/data/figures/210803_at.png","Figure")</f>
        <v>Figure</v>
      </c>
      <c r="I16526">
        <v>1.03</v>
      </c>
      <c r="J16526">
        <v>0.89</v>
      </c>
      <c r="K16526">
        <v>1.01</v>
      </c>
      <c r="L16526">
        <v>0.98</v>
      </c>
      <c r="M16526">
        <v>0.98099999999999998</v>
      </c>
      <c r="N16526">
        <v>0.95</v>
      </c>
    </row>
    <row r="16527" spans="1:14" x14ac:dyDescent="0.25">
      <c r="A16527" t="s">
        <v>27680</v>
      </c>
      <c r="B16527" t="s">
        <v>27681</v>
      </c>
      <c r="C16527" s="1" t="str">
        <f>HYPERLINK("http://www.genecards.org/cgi-bin/carddisp.pl?gene=MADCAM1","GeneCards")</f>
        <v>GeneCards</v>
      </c>
      <c r="D16527" s="1" t="str">
        <f>HYPERLINK("http://genome-euro.ucsc.edu/cgi-bin/hgTracks?position=208037_s_at","UCSC")</f>
        <v>UCSC</v>
      </c>
      <c r="E16527" s="1" t="str">
        <f>HYPERLINK("http://www.ncbi.nlm.nih.gov/gene/?term=MADCAM1","NCBI")</f>
        <v>NCBI</v>
      </c>
      <c r="F16527">
        <v>0.89</v>
      </c>
      <c r="G16527">
        <v>0.92</v>
      </c>
      <c r="H16527" s="1" t="str">
        <f>HYPERLINK("http://www.weizmann.ac.il/complex/compphys/software/geview/data/figures/208037_s_at.png","Figure")</f>
        <v>Figure</v>
      </c>
      <c r="I16527">
        <v>1.01</v>
      </c>
      <c r="J16527">
        <v>0.98</v>
      </c>
      <c r="K16527">
        <v>0.98599999999999999</v>
      </c>
      <c r="L16527">
        <v>0.96</v>
      </c>
      <c r="M16527">
        <v>0.97399999999999998</v>
      </c>
      <c r="N16527">
        <v>0.89</v>
      </c>
    </row>
    <row r="16528" spans="1:14" x14ac:dyDescent="0.25">
      <c r="A16528" t="s">
        <v>27682</v>
      </c>
      <c r="B16528" t="s">
        <v>9058</v>
      </c>
      <c r="C16528" s="1" t="str">
        <f>HYPERLINK("http://www.genecards.org/cgi-bin/carddisp.pl?gene=RPL18","GeneCards")</f>
        <v>GeneCards</v>
      </c>
      <c r="D16528" s="1" t="str">
        <f>HYPERLINK("http://genome-euro.ucsc.edu/cgi-bin/hgTracks?position=200022_at","UCSC")</f>
        <v>UCSC</v>
      </c>
      <c r="E16528" s="1" t="str">
        <f>HYPERLINK("http://www.ncbi.nlm.nih.gov/gene/?term=RPL18","NCBI")</f>
        <v>NCBI</v>
      </c>
      <c r="F16528">
        <v>0.89</v>
      </c>
      <c r="G16528">
        <v>0.92</v>
      </c>
      <c r="H16528" s="1" t="str">
        <f>HYPERLINK("http://www.weizmann.ac.il/complex/compphys/software/geview/data/figures/200022_at.png","Figure")</f>
        <v>Figure</v>
      </c>
      <c r="I16528">
        <v>0.99</v>
      </c>
      <c r="J16528">
        <v>1</v>
      </c>
      <c r="K16528">
        <v>1.05</v>
      </c>
      <c r="L16528">
        <v>0.93</v>
      </c>
      <c r="M16528">
        <v>1.06</v>
      </c>
      <c r="N16528">
        <v>0.91</v>
      </c>
    </row>
    <row r="16529" spans="1:14" x14ac:dyDescent="0.25">
      <c r="A16529" t="s">
        <v>27683</v>
      </c>
      <c r="B16529" t="s">
        <v>27684</v>
      </c>
      <c r="C16529" s="1" t="str">
        <f>HYPERLINK("http://www.genecards.org/cgi-bin/carddisp.pl?gene=PEX11A","GeneCards")</f>
        <v>GeneCards</v>
      </c>
      <c r="D16529" s="1" t="str">
        <f>HYPERLINK("http://genome-euro.ucsc.edu/cgi-bin/hgTracks?position=205160_at","UCSC")</f>
        <v>UCSC</v>
      </c>
      <c r="E16529" s="1" t="str">
        <f>HYPERLINK("http://www.ncbi.nlm.nih.gov/gene/?term=PEX11A","NCBI")</f>
        <v>NCBI</v>
      </c>
      <c r="F16529">
        <v>0.9</v>
      </c>
      <c r="G16529">
        <v>0.92</v>
      </c>
      <c r="H16529" s="1" t="str">
        <f>HYPERLINK("http://www.weizmann.ac.il/complex/compphys/software/geview/data/figures/205160_at.png","Figure")</f>
        <v>Figure</v>
      </c>
      <c r="I16529">
        <v>0.98099999999999998</v>
      </c>
      <c r="J16529">
        <v>0.97</v>
      </c>
      <c r="K16529">
        <v>0.96799999999999997</v>
      </c>
      <c r="L16529">
        <v>0.89</v>
      </c>
      <c r="M16529">
        <v>0.98699999999999999</v>
      </c>
      <c r="N16529">
        <v>0.98</v>
      </c>
    </row>
    <row r="16530" spans="1:14" x14ac:dyDescent="0.25">
      <c r="A16530" t="s">
        <v>27685</v>
      </c>
      <c r="B16530" t="s">
        <v>27686</v>
      </c>
      <c r="C16530" s="1" t="str">
        <f>HYPERLINK("http://www.genecards.org/cgi-bin/carddisp.pl?gene=HAT1","GeneCards")</f>
        <v>GeneCards</v>
      </c>
      <c r="D16530" s="1" t="str">
        <f>HYPERLINK("http://genome-euro.ucsc.edu/cgi-bin/hgTracks?position=203138_at","UCSC")</f>
        <v>UCSC</v>
      </c>
      <c r="E16530" s="1" t="str">
        <f>HYPERLINK("http://www.ncbi.nlm.nih.gov/gene/?term=HAT1","NCBI")</f>
        <v>NCBI</v>
      </c>
      <c r="F16530">
        <v>0.9</v>
      </c>
      <c r="G16530">
        <v>0.92</v>
      </c>
      <c r="H16530" s="1" t="str">
        <f>HYPERLINK("http://www.weizmann.ac.il/complex/compphys/software/geview/data/figures/203138_at.png","Figure")</f>
        <v>Figure</v>
      </c>
      <c r="I16530">
        <v>1.08</v>
      </c>
      <c r="J16530">
        <v>0.98</v>
      </c>
      <c r="K16530">
        <v>1.1599999999999999</v>
      </c>
      <c r="L16530">
        <v>0.89</v>
      </c>
      <c r="M16530">
        <v>1.07</v>
      </c>
      <c r="N16530">
        <v>0.98</v>
      </c>
    </row>
    <row r="16531" spans="1:14" x14ac:dyDescent="0.25">
      <c r="A16531" t="s">
        <v>27687</v>
      </c>
      <c r="B16531" t="s">
        <v>23154</v>
      </c>
      <c r="C16531" s="1" t="str">
        <f>HYPERLINK("http://www.genecards.org/cgi-bin/carddisp.pl?gene=SFRS14","GeneCards")</f>
        <v>GeneCards</v>
      </c>
      <c r="D16531" s="1" t="str">
        <f>HYPERLINK("http://genome-euro.ucsc.edu/cgi-bin/hgTracks?position=212001_at","UCSC")</f>
        <v>UCSC</v>
      </c>
      <c r="E16531" s="1" t="str">
        <f>HYPERLINK("http://www.ncbi.nlm.nih.gov/gene/?term=SFRS14","NCBI")</f>
        <v>NCBI</v>
      </c>
      <c r="F16531">
        <v>0.9</v>
      </c>
      <c r="G16531">
        <v>0.92</v>
      </c>
      <c r="H16531" s="1" t="str">
        <f>HYPERLINK("http://www.weizmann.ac.il/complex/compphys/software/geview/data/figures/212001_at.png","Figure")</f>
        <v>Figure</v>
      </c>
      <c r="I16531">
        <v>0.90800000000000003</v>
      </c>
      <c r="J16531">
        <v>0.91</v>
      </c>
      <c r="K16531">
        <v>0.92</v>
      </c>
      <c r="L16531">
        <v>0.91</v>
      </c>
      <c r="M16531">
        <v>1.01</v>
      </c>
      <c r="N16531">
        <v>1</v>
      </c>
    </row>
    <row r="16532" spans="1:14" x14ac:dyDescent="0.25">
      <c r="A16532" t="s">
        <v>27688</v>
      </c>
      <c r="B16532" t="s">
        <v>27689</v>
      </c>
      <c r="C16532" s="1" t="str">
        <f>HYPERLINK("http://www.genecards.org/cgi-bin/carddisp.pl?gene=PRPF8","GeneCards")</f>
        <v>GeneCards</v>
      </c>
      <c r="D16532" s="1" t="str">
        <f>HYPERLINK("http://genome-euro.ucsc.edu/cgi-bin/hgTracks?position=200000_s_at","UCSC")</f>
        <v>UCSC</v>
      </c>
      <c r="E16532" s="1" t="str">
        <f>HYPERLINK("http://www.ncbi.nlm.nih.gov/gene/?term=PRPF8","NCBI")</f>
        <v>NCBI</v>
      </c>
      <c r="F16532">
        <v>0.9</v>
      </c>
      <c r="G16532">
        <v>0.92</v>
      </c>
      <c r="H16532" s="1" t="str">
        <f>HYPERLINK("http://www.weizmann.ac.il/complex/compphys/software/geview/data/figures/200000_s_at.png","Figure")</f>
        <v>Figure</v>
      </c>
      <c r="I16532">
        <v>0.94699999999999995</v>
      </c>
      <c r="J16532">
        <v>0.97</v>
      </c>
      <c r="K16532">
        <v>0.90500000000000003</v>
      </c>
      <c r="L16532">
        <v>0.89</v>
      </c>
      <c r="M16532">
        <v>0.95499999999999996</v>
      </c>
      <c r="N16532">
        <v>0.98</v>
      </c>
    </row>
    <row r="16533" spans="1:14" x14ac:dyDescent="0.25">
      <c r="A16533" t="s">
        <v>27690</v>
      </c>
      <c r="B16533" t="s">
        <v>23489</v>
      </c>
      <c r="C16533" s="1" t="str">
        <f>HYPERLINK("http://www.genecards.org/cgi-bin/carddisp.pl?gene=RPL23","GeneCards")</f>
        <v>GeneCards</v>
      </c>
      <c r="D16533" s="1" t="str">
        <f>HYPERLINK("http://genome-euro.ucsc.edu/cgi-bin/hgTracks?position=200888_s_at","UCSC")</f>
        <v>UCSC</v>
      </c>
      <c r="E16533" s="1" t="str">
        <f>HYPERLINK("http://www.ncbi.nlm.nih.gov/gene/?term=RPL23","NCBI")</f>
        <v>NCBI</v>
      </c>
      <c r="F16533">
        <v>0.9</v>
      </c>
      <c r="G16533">
        <v>0.92</v>
      </c>
      <c r="H16533" s="1" t="str">
        <f>HYPERLINK("http://www.weizmann.ac.il/complex/compphys/software/geview/data/figures/200888_s_at.png","Figure")</f>
        <v>Figure</v>
      </c>
      <c r="I16533">
        <v>1.1299999999999999</v>
      </c>
      <c r="J16533">
        <v>0.89</v>
      </c>
      <c r="K16533">
        <v>1.04</v>
      </c>
      <c r="L16533">
        <v>0.98</v>
      </c>
      <c r="M16533">
        <v>0.92600000000000005</v>
      </c>
      <c r="N16533">
        <v>0.95</v>
      </c>
    </row>
    <row r="16534" spans="1:14" x14ac:dyDescent="0.25">
      <c r="A16534" t="s">
        <v>27691</v>
      </c>
      <c r="B16534" t="s">
        <v>27692</v>
      </c>
      <c r="C16534" s="1" t="str">
        <f>HYPERLINK("http://www.genecards.org/cgi-bin/carddisp.pl?gene=NCK2","GeneCards")</f>
        <v>GeneCards</v>
      </c>
      <c r="D16534" s="1" t="str">
        <f>HYPERLINK("http://genome-euro.ucsc.edu/cgi-bin/hgTracks?position=203315_at","UCSC")</f>
        <v>UCSC</v>
      </c>
      <c r="E16534" s="1" t="str">
        <f>HYPERLINK("http://www.ncbi.nlm.nih.gov/gene/?term=NCK2","NCBI")</f>
        <v>NCBI</v>
      </c>
      <c r="F16534">
        <v>0.9</v>
      </c>
      <c r="G16534">
        <v>0.92</v>
      </c>
      <c r="H16534" s="1" t="str">
        <f>HYPERLINK("http://www.weizmann.ac.il/complex/compphys/software/geview/data/figures/203315_at.png","Figure")</f>
        <v>Figure</v>
      </c>
      <c r="I16534">
        <v>0.97399999999999998</v>
      </c>
      <c r="J16534">
        <v>0.99</v>
      </c>
      <c r="K16534">
        <v>0.93799999999999994</v>
      </c>
      <c r="L16534">
        <v>0.89</v>
      </c>
      <c r="M16534">
        <v>0.96199999999999997</v>
      </c>
      <c r="N16534">
        <v>0.96</v>
      </c>
    </row>
    <row r="16535" spans="1:14" x14ac:dyDescent="0.25">
      <c r="A16535" t="s">
        <v>27693</v>
      </c>
      <c r="B16535" t="s">
        <v>18985</v>
      </c>
      <c r="C16535" s="1" t="str">
        <f>HYPERLINK("http://www.genecards.org/cgi-bin/carddisp.pl?gene=CIAO1","GeneCards")</f>
        <v>GeneCards</v>
      </c>
      <c r="D16535" s="1" t="str">
        <f>HYPERLINK("http://genome-euro.ucsc.edu/cgi-bin/hgTracks?position=203536_s_at","UCSC")</f>
        <v>UCSC</v>
      </c>
      <c r="E16535" s="1" t="str">
        <f>HYPERLINK("http://www.ncbi.nlm.nih.gov/gene/?term=CIAO1","NCBI")</f>
        <v>NCBI</v>
      </c>
      <c r="F16535">
        <v>0.9</v>
      </c>
      <c r="G16535">
        <v>0.92</v>
      </c>
      <c r="H16535" s="1" t="str">
        <f>HYPERLINK("http://www.weizmann.ac.il/complex/compphys/software/geview/data/figures/203536_s_at.png","Figure")</f>
        <v>Figure</v>
      </c>
      <c r="I16535">
        <v>0.93400000000000005</v>
      </c>
      <c r="J16535">
        <v>0.91</v>
      </c>
      <c r="K16535">
        <v>0.997</v>
      </c>
      <c r="L16535">
        <v>1</v>
      </c>
      <c r="M16535">
        <v>1.07</v>
      </c>
      <c r="N16535">
        <v>0.91</v>
      </c>
    </row>
    <row r="16536" spans="1:14" x14ac:dyDescent="0.25">
      <c r="A16536" t="s">
        <v>27694</v>
      </c>
      <c r="B16536" t="s">
        <v>5897</v>
      </c>
      <c r="C16536" s="1" t="str">
        <f>HYPERLINK("http://www.genecards.org/cgi-bin/carddisp.pl?gene=C11orf58","GeneCards")</f>
        <v>GeneCards</v>
      </c>
      <c r="D16536" s="1" t="str">
        <f>HYPERLINK("http://genome-euro.ucsc.edu/cgi-bin/hgTracks?position=201784_s_at","UCSC")</f>
        <v>UCSC</v>
      </c>
      <c r="E16536" s="1" t="str">
        <f>HYPERLINK("http://www.ncbi.nlm.nih.gov/gene/?term=C11orf58","NCBI")</f>
        <v>NCBI</v>
      </c>
      <c r="F16536">
        <v>0.9</v>
      </c>
      <c r="G16536">
        <v>0.92</v>
      </c>
      <c r="H16536" s="1" t="str">
        <f>HYPERLINK("http://www.weizmann.ac.il/complex/compphys/software/geview/data/figures/201784_s_at.png","Figure")</f>
        <v>Figure</v>
      </c>
      <c r="I16536">
        <v>0.97399999999999998</v>
      </c>
      <c r="J16536">
        <v>0.99</v>
      </c>
      <c r="K16536">
        <v>1.05</v>
      </c>
      <c r="L16536">
        <v>0.95</v>
      </c>
      <c r="M16536">
        <v>1.08</v>
      </c>
      <c r="N16536">
        <v>0.9</v>
      </c>
    </row>
    <row r="16537" spans="1:14" x14ac:dyDescent="0.25">
      <c r="A16537" t="s">
        <v>27695</v>
      </c>
      <c r="B16537" t="s">
        <v>27696</v>
      </c>
      <c r="C16537" s="1" t="str">
        <f>HYPERLINK("http://www.genecards.org/cgi-bin/carddisp.pl?gene=HOXC6","GeneCards")</f>
        <v>GeneCards</v>
      </c>
      <c r="D16537" s="1" t="str">
        <f>HYPERLINK("http://genome-euro.ucsc.edu/cgi-bin/hgTracks?position=206858_s_at","UCSC")</f>
        <v>UCSC</v>
      </c>
      <c r="E16537" s="1" t="str">
        <f>HYPERLINK("http://www.ncbi.nlm.nih.gov/gene/?term=HOXC6","NCBI")</f>
        <v>NCBI</v>
      </c>
      <c r="F16537">
        <v>0.9</v>
      </c>
      <c r="G16537">
        <v>0.92</v>
      </c>
      <c r="H16537" s="1" t="str">
        <f>HYPERLINK("http://www.weizmann.ac.il/complex/compphys/software/geview/data/figures/206858_s_at.png","Figure")</f>
        <v>Figure</v>
      </c>
      <c r="I16537">
        <v>1</v>
      </c>
      <c r="J16537">
        <v>0.99</v>
      </c>
      <c r="K16537">
        <v>1.01</v>
      </c>
      <c r="L16537">
        <v>0.9</v>
      </c>
      <c r="M16537">
        <v>1.01</v>
      </c>
      <c r="N16537">
        <v>0.95</v>
      </c>
    </row>
    <row r="16538" spans="1:14" x14ac:dyDescent="0.25">
      <c r="A16538" t="s">
        <v>27697</v>
      </c>
      <c r="B16538" t="s">
        <v>27698</v>
      </c>
      <c r="C16538" s="1" t="str">
        <f>HYPERLINK("http://www.genecards.org/cgi-bin/carddisp.pl?gene=SERPINA4","GeneCards")</f>
        <v>GeneCards</v>
      </c>
      <c r="D16538" s="1" t="str">
        <f>HYPERLINK("http://genome-euro.ucsc.edu/cgi-bin/hgTracks?position=213874_at","UCSC")</f>
        <v>UCSC</v>
      </c>
      <c r="E16538" s="1" t="str">
        <f>HYPERLINK("http://www.ncbi.nlm.nih.gov/gene/?term=SERPINA4","NCBI")</f>
        <v>NCBI</v>
      </c>
      <c r="F16538">
        <v>0.9</v>
      </c>
      <c r="G16538">
        <v>0.92</v>
      </c>
      <c r="H16538" s="1" t="str">
        <f>HYPERLINK("http://www.weizmann.ac.il/complex/compphys/software/geview/data/figures/213874_at.png","Figure")</f>
        <v>Figure</v>
      </c>
      <c r="I16538">
        <v>0.999</v>
      </c>
      <c r="J16538">
        <v>1</v>
      </c>
      <c r="K16538">
        <v>1.04</v>
      </c>
      <c r="L16538">
        <v>0.92</v>
      </c>
      <c r="M16538">
        <v>1.04</v>
      </c>
      <c r="N16538">
        <v>0.92</v>
      </c>
    </row>
    <row r="16539" spans="1:14" x14ac:dyDescent="0.25">
      <c r="A16539" t="s">
        <v>27699</v>
      </c>
      <c r="B16539" t="s">
        <v>27700</v>
      </c>
      <c r="C16539" s="1" t="str">
        <f>HYPERLINK("http://www.genecards.org/cgi-bin/carddisp.pl?gene=SLC25A1","GeneCards")</f>
        <v>GeneCards</v>
      </c>
      <c r="D16539" s="1" t="str">
        <f>HYPERLINK("http://genome-euro.ucsc.edu/cgi-bin/hgTracks?position=210010_s_at","UCSC")</f>
        <v>UCSC</v>
      </c>
      <c r="E16539" s="1" t="str">
        <f>HYPERLINK("http://www.ncbi.nlm.nih.gov/gene/?term=SLC25A1","NCBI")</f>
        <v>NCBI</v>
      </c>
      <c r="F16539">
        <v>0.9</v>
      </c>
      <c r="G16539">
        <v>0.92</v>
      </c>
      <c r="H16539" s="1" t="str">
        <f>HYPERLINK("http://www.weizmann.ac.il/complex/compphys/software/geview/data/figures/210010_s_at.png","Figure")</f>
        <v>Figure</v>
      </c>
      <c r="I16539">
        <v>0.96299999999999997</v>
      </c>
      <c r="J16539">
        <v>0.9</v>
      </c>
      <c r="K16539">
        <v>0.97199999999999998</v>
      </c>
      <c r="L16539">
        <v>0.93</v>
      </c>
      <c r="M16539">
        <v>1.01</v>
      </c>
      <c r="N16539">
        <v>0.99</v>
      </c>
    </row>
    <row r="16540" spans="1:14" x14ac:dyDescent="0.25">
      <c r="A16540" t="s">
        <v>27701</v>
      </c>
      <c r="B16540" t="s">
        <v>14114</v>
      </c>
      <c r="C16540" s="1" t="str">
        <f>HYPERLINK("http://www.genecards.org/cgi-bin/carddisp.pl?gene=BMP8A","GeneCards")</f>
        <v>GeneCards</v>
      </c>
      <c r="D16540" s="1" t="str">
        <f>HYPERLINK("http://genome-euro.ucsc.edu/cgi-bin/hgTracks?position=220204_s_at","UCSC")</f>
        <v>UCSC</v>
      </c>
      <c r="E16540" s="1" t="str">
        <f>HYPERLINK("http://www.ncbi.nlm.nih.gov/gene/?term=BMP8A","NCBI")</f>
        <v>NCBI</v>
      </c>
      <c r="F16540">
        <v>0.9</v>
      </c>
      <c r="G16540">
        <v>0.92</v>
      </c>
      <c r="H16540" s="1" t="str">
        <f>HYPERLINK("http://www.weizmann.ac.il/complex/compphys/software/geview/data/figures/220204_s_at.png","Figure")</f>
        <v>Figure</v>
      </c>
      <c r="I16540">
        <v>0.96799999999999997</v>
      </c>
      <c r="J16540">
        <v>0.93</v>
      </c>
      <c r="K16540">
        <v>1</v>
      </c>
      <c r="L16540">
        <v>1</v>
      </c>
      <c r="M16540">
        <v>1.04</v>
      </c>
      <c r="N16540">
        <v>0.9</v>
      </c>
    </row>
    <row r="16541" spans="1:14" x14ac:dyDescent="0.25">
      <c r="A16541" t="s">
        <v>27702</v>
      </c>
      <c r="B16541" t="s">
        <v>27703</v>
      </c>
      <c r="C16541" s="1" t="str">
        <f>HYPERLINK("http://www.genecards.org/cgi-bin/carddisp.pl?gene=URB2","GeneCards")</f>
        <v>GeneCards</v>
      </c>
      <c r="D16541" s="1" t="str">
        <f>HYPERLINK("http://genome-euro.ucsc.edu/cgi-bin/hgTracks?position=205284_at","UCSC")</f>
        <v>UCSC</v>
      </c>
      <c r="E16541" s="1" t="str">
        <f>HYPERLINK("http://www.ncbi.nlm.nih.gov/gene/?term=URB2","NCBI")</f>
        <v>NCBI</v>
      </c>
      <c r="F16541">
        <v>0.9</v>
      </c>
      <c r="G16541">
        <v>0.92</v>
      </c>
      <c r="H16541" s="1" t="str">
        <f>HYPERLINK("http://www.weizmann.ac.il/complex/compphys/software/geview/data/figures/205284_at.png","Figure")</f>
        <v>Figure</v>
      </c>
      <c r="I16541">
        <v>1.04</v>
      </c>
      <c r="J16541">
        <v>0.98</v>
      </c>
      <c r="K16541">
        <v>1.08</v>
      </c>
      <c r="L16541">
        <v>0.89</v>
      </c>
      <c r="M16541">
        <v>1.04</v>
      </c>
      <c r="N16541">
        <v>0.98</v>
      </c>
    </row>
    <row r="16542" spans="1:14" x14ac:dyDescent="0.25">
      <c r="A16542" t="s">
        <v>27704</v>
      </c>
      <c r="B16542" t="s">
        <v>27633</v>
      </c>
      <c r="C16542" s="1" t="str">
        <f>HYPERLINK("http://www.genecards.org/cgi-bin/carddisp.pl?gene=HBB","GeneCards")</f>
        <v>GeneCards</v>
      </c>
      <c r="D16542" s="1" t="str">
        <f>HYPERLINK("http://genome-euro.ucsc.edu/cgi-bin/hgTracks?position=211696_x_at","UCSC")</f>
        <v>UCSC</v>
      </c>
      <c r="E16542" s="1" t="str">
        <f>HYPERLINK("http://www.ncbi.nlm.nih.gov/gene/?term=HBB","NCBI")</f>
        <v>NCBI</v>
      </c>
      <c r="F16542">
        <v>0.9</v>
      </c>
      <c r="G16542">
        <v>0.92</v>
      </c>
      <c r="H16542" s="1" t="str">
        <f>HYPERLINK("http://www.weizmann.ac.il/complex/compphys/software/geview/data/figures/211696_x_at.png","Figure")</f>
        <v>Figure</v>
      </c>
      <c r="I16542">
        <v>1.56</v>
      </c>
      <c r="J16542">
        <v>0.89</v>
      </c>
      <c r="K16542">
        <v>1.3</v>
      </c>
      <c r="L16542">
        <v>0.95</v>
      </c>
      <c r="M16542">
        <v>0.83199999999999996</v>
      </c>
      <c r="N16542">
        <v>0.98</v>
      </c>
    </row>
    <row r="16543" spans="1:14" x14ac:dyDescent="0.25">
      <c r="A16543" t="s">
        <v>27705</v>
      </c>
      <c r="B16543" t="s">
        <v>20810</v>
      </c>
      <c r="C16543" s="1" t="str">
        <f>HYPERLINK("http://www.genecards.org/cgi-bin/carddisp.pl?gene=RABGAP1L","GeneCards")</f>
        <v>GeneCards</v>
      </c>
      <c r="D16543" s="1" t="str">
        <f>HYPERLINK("http://genome-euro.ucsc.edu/cgi-bin/hgTracks?position=215342_s_at","UCSC")</f>
        <v>UCSC</v>
      </c>
      <c r="E16543" s="1" t="str">
        <f>HYPERLINK("http://www.ncbi.nlm.nih.gov/gene/?term=RABGAP1L","NCBI")</f>
        <v>NCBI</v>
      </c>
      <c r="F16543">
        <v>0.9</v>
      </c>
      <c r="G16543">
        <v>0.92</v>
      </c>
      <c r="H16543" s="1" t="str">
        <f>HYPERLINK("http://www.weizmann.ac.il/complex/compphys/software/geview/data/figures/215342_s_at.png","Figure")</f>
        <v>Figure</v>
      </c>
      <c r="I16543">
        <v>1.05</v>
      </c>
      <c r="J16543">
        <v>0.89</v>
      </c>
      <c r="K16543">
        <v>1.03</v>
      </c>
      <c r="L16543">
        <v>0.95</v>
      </c>
      <c r="M16543">
        <v>0.98</v>
      </c>
      <c r="N16543">
        <v>0.97</v>
      </c>
    </row>
    <row r="16544" spans="1:14" x14ac:dyDescent="0.25">
      <c r="A16544" t="s">
        <v>27706</v>
      </c>
      <c r="B16544" t="s">
        <v>26586</v>
      </c>
      <c r="C16544" s="1" t="str">
        <f>HYPERLINK("http://www.genecards.org/cgi-bin/carddisp.pl?gene=NPTXR","GeneCards")</f>
        <v>GeneCards</v>
      </c>
      <c r="D16544" s="1" t="str">
        <f>HYPERLINK("http://genome-euro.ucsc.edu/cgi-bin/hgTracks?position=213040_s_at","UCSC")</f>
        <v>UCSC</v>
      </c>
      <c r="E16544" s="1" t="str">
        <f>HYPERLINK("http://www.ncbi.nlm.nih.gov/gene/?term=NPTXR","NCBI")</f>
        <v>NCBI</v>
      </c>
      <c r="F16544">
        <v>0.9</v>
      </c>
      <c r="G16544">
        <v>0.92</v>
      </c>
      <c r="H16544" s="1" t="str">
        <f>HYPERLINK("http://www.weizmann.ac.il/complex/compphys/software/geview/data/figures/213040_s_at.png","Figure")</f>
        <v>Figure</v>
      </c>
      <c r="I16544">
        <v>1.01</v>
      </c>
      <c r="J16544">
        <v>0.98</v>
      </c>
      <c r="K16544">
        <v>1.02</v>
      </c>
      <c r="L16544">
        <v>0.89</v>
      </c>
      <c r="M16544">
        <v>1.01</v>
      </c>
      <c r="N16544">
        <v>0.97</v>
      </c>
    </row>
    <row r="16545" spans="1:14" x14ac:dyDescent="0.25">
      <c r="A16545" t="s">
        <v>27707</v>
      </c>
      <c r="B16545" t="s">
        <v>21350</v>
      </c>
      <c r="C16545" s="1" t="str">
        <f>HYPERLINK("http://www.genecards.org/cgi-bin/carddisp.pl?gene=KIF2C","GeneCards")</f>
        <v>GeneCards</v>
      </c>
      <c r="D16545" s="1" t="str">
        <f>HYPERLINK("http://genome-euro.ucsc.edu/cgi-bin/hgTracks?position=209408_at","UCSC")</f>
        <v>UCSC</v>
      </c>
      <c r="E16545" s="1" t="str">
        <f>HYPERLINK("http://www.ncbi.nlm.nih.gov/gene/?term=KIF2C","NCBI")</f>
        <v>NCBI</v>
      </c>
      <c r="F16545">
        <v>0.9</v>
      </c>
      <c r="G16545">
        <v>0.92</v>
      </c>
      <c r="H16545" s="1" t="str">
        <f>HYPERLINK("http://www.weizmann.ac.il/complex/compphys/software/geview/data/figures/209408_at.png","Figure")</f>
        <v>Figure</v>
      </c>
      <c r="I16545">
        <v>0.998</v>
      </c>
      <c r="J16545">
        <v>1</v>
      </c>
      <c r="K16545">
        <v>1.04</v>
      </c>
      <c r="L16545">
        <v>0.92</v>
      </c>
      <c r="M16545">
        <v>1.04</v>
      </c>
      <c r="N16545">
        <v>0.92</v>
      </c>
    </row>
    <row r="16546" spans="1:14" x14ac:dyDescent="0.25">
      <c r="A16546" t="s">
        <v>27708</v>
      </c>
      <c r="B16546" t="s">
        <v>27709</v>
      </c>
      <c r="C16546" s="1" t="str">
        <f>HYPERLINK("http://www.genecards.org/cgi-bin/carddisp.pl?gene=EEF1G","GeneCards")</f>
        <v>GeneCards</v>
      </c>
      <c r="D16546" s="1" t="str">
        <f>HYPERLINK("http://genome-euro.ucsc.edu/cgi-bin/hgTracks?position=200689_x_at","UCSC")</f>
        <v>UCSC</v>
      </c>
      <c r="E16546" s="1" t="str">
        <f>HYPERLINK("http://www.ncbi.nlm.nih.gov/gene/?term=EEF1G","NCBI")</f>
        <v>NCBI</v>
      </c>
      <c r="F16546">
        <v>0.9</v>
      </c>
      <c r="G16546">
        <v>0.92</v>
      </c>
      <c r="H16546" s="1" t="str">
        <f>HYPERLINK("http://www.weizmann.ac.il/complex/compphys/software/geview/data/figures/200689_x_at.png","Figure")</f>
        <v>Figure</v>
      </c>
      <c r="I16546">
        <v>0.96599999999999997</v>
      </c>
      <c r="J16546">
        <v>0.97</v>
      </c>
      <c r="K16546">
        <v>0.94199999999999995</v>
      </c>
      <c r="L16546">
        <v>0.89</v>
      </c>
      <c r="M16546">
        <v>0.97599999999999998</v>
      </c>
      <c r="N16546">
        <v>0.98</v>
      </c>
    </row>
    <row r="16547" spans="1:14" x14ac:dyDescent="0.25">
      <c r="A16547" t="s">
        <v>27710</v>
      </c>
      <c r="B16547" t="s">
        <v>27711</v>
      </c>
      <c r="C16547" s="1" t="str">
        <f>HYPERLINK("http://www.genecards.org/cgi-bin/carddisp.pl?gene=B4GALNT1","GeneCards")</f>
        <v>GeneCards</v>
      </c>
      <c r="D16547" s="1" t="str">
        <f>HYPERLINK("http://genome-euro.ucsc.edu/cgi-bin/hgTracks?position=206435_at","UCSC")</f>
        <v>UCSC</v>
      </c>
      <c r="E16547" s="1" t="str">
        <f>HYPERLINK("http://www.ncbi.nlm.nih.gov/gene/?term=B4GALNT1","NCBI")</f>
        <v>NCBI</v>
      </c>
      <c r="F16547">
        <v>0.9</v>
      </c>
      <c r="G16547">
        <v>0.92</v>
      </c>
      <c r="H16547" s="1" t="str">
        <f>HYPERLINK("http://www.weizmann.ac.il/complex/compphys/software/geview/data/figures/206435_at.png","Figure")</f>
        <v>Figure</v>
      </c>
      <c r="I16547">
        <v>1.02</v>
      </c>
      <c r="J16547">
        <v>0.93</v>
      </c>
      <c r="K16547">
        <v>0.996</v>
      </c>
      <c r="L16547">
        <v>1</v>
      </c>
      <c r="M16547">
        <v>0.97299999999999998</v>
      </c>
      <c r="N16547">
        <v>0.89</v>
      </c>
    </row>
    <row r="16548" spans="1:14" x14ac:dyDescent="0.25">
      <c r="A16548" t="s">
        <v>27712</v>
      </c>
      <c r="B16548" t="s">
        <v>27713</v>
      </c>
      <c r="C16548" s="1" t="str">
        <f>HYPERLINK("http://www.genecards.org/cgi-bin/carddisp.pl?gene=EED","GeneCards")</f>
        <v>GeneCards</v>
      </c>
      <c r="D16548" s="1" t="str">
        <f>HYPERLINK("http://genome-euro.ucsc.edu/cgi-bin/hgTracks?position=209572_s_at","UCSC")</f>
        <v>UCSC</v>
      </c>
      <c r="E16548" s="1" t="str">
        <f>HYPERLINK("http://www.ncbi.nlm.nih.gov/gene/?term=EED","NCBI")</f>
        <v>NCBI</v>
      </c>
      <c r="F16548">
        <v>0.9</v>
      </c>
      <c r="G16548">
        <v>0.92</v>
      </c>
      <c r="H16548" s="1" t="str">
        <f>HYPERLINK("http://www.weizmann.ac.il/complex/compphys/software/geview/data/figures/209572_s_at.png","Figure")</f>
        <v>Figure</v>
      </c>
      <c r="I16548">
        <v>0.96599999999999997</v>
      </c>
      <c r="J16548">
        <v>0.99</v>
      </c>
      <c r="K16548">
        <v>0.88600000000000001</v>
      </c>
      <c r="L16548">
        <v>0.9</v>
      </c>
      <c r="M16548">
        <v>0.91700000000000004</v>
      </c>
      <c r="N16548">
        <v>0.95</v>
      </c>
    </row>
    <row r="16549" spans="1:14" x14ac:dyDescent="0.25">
      <c r="A16549" t="s">
        <v>27714</v>
      </c>
      <c r="B16549" t="s">
        <v>16544</v>
      </c>
      <c r="C16549" s="1" t="str">
        <f>HYPERLINK("http://www.genecards.org/cgi-bin/carddisp.pl?gene=PTGS1","GeneCards")</f>
        <v>GeneCards</v>
      </c>
      <c r="D16549" s="1" t="str">
        <f>HYPERLINK("http://genome-euro.ucsc.edu/cgi-bin/hgTracks?position=205127_at","UCSC")</f>
        <v>UCSC</v>
      </c>
      <c r="E16549" s="1" t="str">
        <f>HYPERLINK("http://www.ncbi.nlm.nih.gov/gene/?term=PTGS1","NCBI")</f>
        <v>NCBI</v>
      </c>
      <c r="F16549">
        <v>0.9</v>
      </c>
      <c r="G16549">
        <v>0.92</v>
      </c>
      <c r="H16549" s="1" t="str">
        <f>HYPERLINK("http://www.weizmann.ac.il/complex/compphys/software/geview/data/figures/205127_at.png","Figure")</f>
        <v>Figure</v>
      </c>
      <c r="I16549">
        <v>1.02</v>
      </c>
      <c r="J16549">
        <v>0.98</v>
      </c>
      <c r="K16549">
        <v>0.98299999999999998</v>
      </c>
      <c r="L16549">
        <v>0.97</v>
      </c>
      <c r="M16549">
        <v>0.96799999999999997</v>
      </c>
      <c r="N16549">
        <v>0.89</v>
      </c>
    </row>
    <row r="16550" spans="1:14" x14ac:dyDescent="0.25">
      <c r="A16550" t="s">
        <v>27715</v>
      </c>
      <c r="B16550" t="s">
        <v>5770</v>
      </c>
      <c r="C16550" s="1" t="str">
        <f>HYPERLINK("http://www.genecards.org/cgi-bin/carddisp.pl?gene=TTLL5","GeneCards")</f>
        <v>GeneCards</v>
      </c>
      <c r="D16550" s="1" t="str">
        <f>HYPERLINK("http://genome-euro.ucsc.edu/cgi-bin/hgTracks?position=208099_x_at","UCSC")</f>
        <v>UCSC</v>
      </c>
      <c r="E16550" s="1" t="str">
        <f>HYPERLINK("http://www.ncbi.nlm.nih.gov/gene/?term=TTLL5","NCBI")</f>
        <v>NCBI</v>
      </c>
      <c r="F16550">
        <v>0.9</v>
      </c>
      <c r="G16550">
        <v>0.92</v>
      </c>
      <c r="H16550" s="1" t="str">
        <f>HYPERLINK("http://www.weizmann.ac.il/complex/compphys/software/geview/data/figures/208099_x_at.png","Figure")</f>
        <v>Figure</v>
      </c>
      <c r="I16550">
        <v>0.97099999999999997</v>
      </c>
      <c r="J16550">
        <v>0.95</v>
      </c>
      <c r="K16550">
        <v>0.96</v>
      </c>
      <c r="L16550">
        <v>0.89</v>
      </c>
      <c r="M16550">
        <v>0.98899999999999999</v>
      </c>
      <c r="N16550">
        <v>0.99</v>
      </c>
    </row>
    <row r="16551" spans="1:14" x14ac:dyDescent="0.25">
      <c r="A16551" t="s">
        <v>27716</v>
      </c>
      <c r="B16551" t="s">
        <v>20213</v>
      </c>
      <c r="C16551" s="1" t="str">
        <f>HYPERLINK("http://www.genecards.org/cgi-bin/carddisp.pl?gene=GADD45B","GeneCards")</f>
        <v>GeneCards</v>
      </c>
      <c r="D16551" s="1" t="str">
        <f>HYPERLINK("http://genome-euro.ucsc.edu/cgi-bin/hgTracks?position=209305_s_at","UCSC")</f>
        <v>UCSC</v>
      </c>
      <c r="E16551" s="1" t="str">
        <f>HYPERLINK("http://www.ncbi.nlm.nih.gov/gene/?term=GADD45B","NCBI")</f>
        <v>NCBI</v>
      </c>
      <c r="F16551">
        <v>0.9</v>
      </c>
      <c r="G16551">
        <v>0.92</v>
      </c>
      <c r="H16551" s="1" t="str">
        <f>HYPERLINK("http://www.weizmann.ac.il/complex/compphys/software/geview/data/figures/209305_s_at.png","Figure")</f>
        <v>Figure</v>
      </c>
      <c r="I16551">
        <v>0.96499999999999997</v>
      </c>
      <c r="J16551">
        <v>0.99</v>
      </c>
      <c r="K16551">
        <v>0.88500000000000001</v>
      </c>
      <c r="L16551">
        <v>0.9</v>
      </c>
      <c r="M16551">
        <v>0.91700000000000004</v>
      </c>
      <c r="N16551">
        <v>0.95</v>
      </c>
    </row>
    <row r="16552" spans="1:14" x14ac:dyDescent="0.25">
      <c r="A16552" t="s">
        <v>27717</v>
      </c>
      <c r="B16552" t="s">
        <v>27718</v>
      </c>
      <c r="C16552" s="1" t="str">
        <f>HYPERLINK("http://www.genecards.org/cgi-bin/carddisp.pl?gene=PDCD10","GeneCards")</f>
        <v>GeneCards</v>
      </c>
      <c r="D16552" s="1" t="str">
        <f>HYPERLINK("http://genome-euro.ucsc.edu/cgi-bin/hgTracks?position=210907_s_at","UCSC")</f>
        <v>UCSC</v>
      </c>
      <c r="E16552" s="1" t="str">
        <f>HYPERLINK("http://www.ncbi.nlm.nih.gov/gene/?term=PDCD10","NCBI")</f>
        <v>NCBI</v>
      </c>
      <c r="F16552">
        <v>0.9</v>
      </c>
      <c r="G16552">
        <v>0.92</v>
      </c>
      <c r="H16552" s="1" t="str">
        <f>HYPERLINK("http://www.weizmann.ac.il/complex/compphys/software/geview/data/figures/210907_s_at.png","Figure")</f>
        <v>Figure</v>
      </c>
      <c r="I16552">
        <v>1.06</v>
      </c>
      <c r="J16552">
        <v>0.96</v>
      </c>
      <c r="K16552">
        <v>0.96899999999999997</v>
      </c>
      <c r="L16552">
        <v>0.98</v>
      </c>
      <c r="M16552">
        <v>0.91300000000000003</v>
      </c>
      <c r="N16552">
        <v>0.89</v>
      </c>
    </row>
    <row r="16553" spans="1:14" x14ac:dyDescent="0.25">
      <c r="A16553" t="s">
        <v>27719</v>
      </c>
      <c r="B16553" t="s">
        <v>25296</v>
      </c>
      <c r="C16553" s="1" t="str">
        <f>HYPERLINK("http://www.genecards.org/cgi-bin/carddisp.pl?gene=BAT2","GeneCards")</f>
        <v>GeneCards</v>
      </c>
      <c r="D16553" s="1" t="str">
        <f>HYPERLINK("http://genome-euro.ucsc.edu/cgi-bin/hgTracks?position=214201_x_at","UCSC")</f>
        <v>UCSC</v>
      </c>
      <c r="E16553" s="1" t="str">
        <f>HYPERLINK("http://www.ncbi.nlm.nih.gov/gene/?term=BAT2","NCBI")</f>
        <v>NCBI</v>
      </c>
      <c r="F16553">
        <v>0.9</v>
      </c>
      <c r="G16553">
        <v>0.92</v>
      </c>
      <c r="H16553" s="1" t="str">
        <f>HYPERLINK("http://www.weizmann.ac.il/complex/compphys/software/geview/data/figures/214201_x_at.png","Figure")</f>
        <v>Figure</v>
      </c>
      <c r="I16553">
        <v>1.06</v>
      </c>
      <c r="J16553">
        <v>0.89</v>
      </c>
      <c r="K16553">
        <v>1.03</v>
      </c>
      <c r="L16553">
        <v>0.95</v>
      </c>
      <c r="M16553">
        <v>0.97899999999999998</v>
      </c>
      <c r="N16553">
        <v>0.98</v>
      </c>
    </row>
    <row r="16554" spans="1:14" x14ac:dyDescent="0.25">
      <c r="A16554" t="s">
        <v>27720</v>
      </c>
      <c r="B16554" t="s">
        <v>3801</v>
      </c>
      <c r="C16554" s="1" t="str">
        <f>HYPERLINK("http://www.genecards.org/cgi-bin/carddisp.pl?gene=LOC100129250","GeneCards")</f>
        <v>GeneCards</v>
      </c>
      <c r="D16554" s="1" t="str">
        <f>HYPERLINK("http://genome-euro.ucsc.edu/cgi-bin/hgTracks?position=78383_at","UCSC")</f>
        <v>UCSC</v>
      </c>
      <c r="E16554" s="1" t="str">
        <f>HYPERLINK("http://www.ncbi.nlm.nih.gov/gene/?term=LOC100129250","NCBI")</f>
        <v>NCBI</v>
      </c>
      <c r="F16554">
        <v>0.9</v>
      </c>
      <c r="G16554">
        <v>0.92</v>
      </c>
      <c r="H16554" s="1" t="str">
        <f>HYPERLINK("http://www.weizmann.ac.il/complex/compphys/software/geview/data/figures/78383_at.png","Figure")</f>
        <v>Figure</v>
      </c>
      <c r="I16554">
        <v>0.99</v>
      </c>
      <c r="J16554">
        <v>0.99</v>
      </c>
      <c r="K16554">
        <v>1.03</v>
      </c>
      <c r="L16554">
        <v>0.94</v>
      </c>
      <c r="M16554">
        <v>1.04</v>
      </c>
      <c r="N16554">
        <v>0.9</v>
      </c>
    </row>
    <row r="16555" spans="1:14" x14ac:dyDescent="0.25">
      <c r="A16555" t="s">
        <v>27721</v>
      </c>
      <c r="B16555" t="s">
        <v>27722</v>
      </c>
      <c r="C16555" s="1" t="str">
        <f>HYPERLINK("http://www.genecards.org/cgi-bin/carddisp.pl?gene=KRT86","GeneCards")</f>
        <v>GeneCards</v>
      </c>
      <c r="D16555" s="1" t="str">
        <f>HYPERLINK("http://genome-euro.ucsc.edu/cgi-bin/hgTracks?position=215189_at","UCSC")</f>
        <v>UCSC</v>
      </c>
      <c r="E16555" s="1" t="str">
        <f>HYPERLINK("http://www.ncbi.nlm.nih.gov/gene/?term=KRT86","NCBI")</f>
        <v>NCBI</v>
      </c>
      <c r="F16555">
        <v>0.9</v>
      </c>
      <c r="G16555">
        <v>0.92</v>
      </c>
      <c r="H16555" s="1" t="str">
        <f>HYPERLINK("http://www.weizmann.ac.il/complex/compphys/software/geview/data/figures/215189_at.png","Figure")</f>
        <v>Figure</v>
      </c>
      <c r="I16555">
        <v>1.02</v>
      </c>
      <c r="J16555">
        <v>0.93</v>
      </c>
      <c r="K16555">
        <v>1.03</v>
      </c>
      <c r="L16555">
        <v>0.9</v>
      </c>
      <c r="M16555">
        <v>1</v>
      </c>
      <c r="N16555">
        <v>1</v>
      </c>
    </row>
    <row r="16556" spans="1:14" x14ac:dyDescent="0.25">
      <c r="A16556" t="s">
        <v>27723</v>
      </c>
      <c r="B16556" t="s">
        <v>22506</v>
      </c>
      <c r="C16556" s="1" t="str">
        <f>HYPERLINK("http://www.genecards.org/cgi-bin/carddisp.pl?gene=DVL3","GeneCards")</f>
        <v>GeneCards</v>
      </c>
      <c r="D16556" s="1" t="str">
        <f>HYPERLINK("http://genome-euro.ucsc.edu/cgi-bin/hgTracks?position=201908_at","UCSC")</f>
        <v>UCSC</v>
      </c>
      <c r="E16556" s="1" t="str">
        <f>HYPERLINK("http://www.ncbi.nlm.nih.gov/gene/?term=DVL3","NCBI")</f>
        <v>NCBI</v>
      </c>
      <c r="F16556">
        <v>0.9</v>
      </c>
      <c r="G16556">
        <v>0.92</v>
      </c>
      <c r="H16556" s="1" t="str">
        <f>HYPERLINK("http://www.weizmann.ac.il/complex/compphys/software/geview/data/figures/201908_at.png","Figure")</f>
        <v>Figure</v>
      </c>
      <c r="I16556">
        <v>0.93</v>
      </c>
      <c r="J16556">
        <v>0.89</v>
      </c>
      <c r="K16556">
        <v>0.96299999999999997</v>
      </c>
      <c r="L16556">
        <v>0.96</v>
      </c>
      <c r="M16556">
        <v>1.04</v>
      </c>
      <c r="N16556">
        <v>0.97</v>
      </c>
    </row>
    <row r="16557" spans="1:14" x14ac:dyDescent="0.25">
      <c r="A16557" t="s">
        <v>27724</v>
      </c>
      <c r="B16557" t="s">
        <v>27725</v>
      </c>
      <c r="C16557" s="1" t="str">
        <f>HYPERLINK("http://www.genecards.org/cgi-bin/carddisp.pl?gene=RIT1","GeneCards")</f>
        <v>GeneCards</v>
      </c>
      <c r="D16557" s="1" t="str">
        <f>HYPERLINK("http://genome-euro.ucsc.edu/cgi-bin/hgTracks?position=209882_at","UCSC")</f>
        <v>UCSC</v>
      </c>
      <c r="E16557" s="1" t="str">
        <f>HYPERLINK("http://www.ncbi.nlm.nih.gov/gene/?term=RIT1","NCBI")</f>
        <v>NCBI</v>
      </c>
      <c r="F16557">
        <v>0.9</v>
      </c>
      <c r="G16557">
        <v>0.92</v>
      </c>
      <c r="H16557" s="1" t="str">
        <f>HYPERLINK("http://www.weizmann.ac.il/complex/compphys/software/geview/data/figures/209882_at.png","Figure")</f>
        <v>Figure</v>
      </c>
      <c r="I16557">
        <v>1.04</v>
      </c>
      <c r="J16557">
        <v>0.99</v>
      </c>
      <c r="K16557">
        <v>0.93500000000000005</v>
      </c>
      <c r="L16557">
        <v>0.95</v>
      </c>
      <c r="M16557">
        <v>0.89900000000000002</v>
      </c>
      <c r="N16557">
        <v>0.9</v>
      </c>
    </row>
    <row r="16558" spans="1:14" x14ac:dyDescent="0.25">
      <c r="A16558" t="s">
        <v>27726</v>
      </c>
      <c r="B16558" t="s">
        <v>19889</v>
      </c>
      <c r="C16558" s="1" t="str">
        <f>HYPERLINK("http://www.genecards.org/cgi-bin/carddisp.pl?gene=LOC730092","GeneCards")</f>
        <v>GeneCards</v>
      </c>
      <c r="D16558" s="1" t="str">
        <f>HYPERLINK("http://genome-euro.ucsc.edu/cgi-bin/hgTracks?position=216908_x_at","UCSC")</f>
        <v>UCSC</v>
      </c>
      <c r="E16558" s="1" t="str">
        <f>HYPERLINK("http://www.ncbi.nlm.nih.gov/gene/?term=LOC730092","NCBI")</f>
        <v>NCBI</v>
      </c>
      <c r="F16558">
        <v>0.9</v>
      </c>
      <c r="G16558">
        <v>0.92</v>
      </c>
      <c r="H16558" s="1" t="str">
        <f>HYPERLINK("http://www.weizmann.ac.il/complex/compphys/software/geview/data/figures/216908_x_at.png","Figure")</f>
        <v>Figure</v>
      </c>
      <c r="I16558">
        <v>0.95399999999999996</v>
      </c>
      <c r="J16558">
        <v>0.95</v>
      </c>
      <c r="K16558">
        <v>0.93899999999999995</v>
      </c>
      <c r="L16558">
        <v>0.89</v>
      </c>
      <c r="M16558">
        <v>0.98399999999999999</v>
      </c>
      <c r="N16558">
        <v>0.99</v>
      </c>
    </row>
    <row r="16559" spans="1:14" x14ac:dyDescent="0.25">
      <c r="A16559" t="s">
        <v>27727</v>
      </c>
      <c r="B16559" t="s">
        <v>27728</v>
      </c>
      <c r="C16559" s="1" t="str">
        <f>HYPERLINK("http://www.genecards.org/cgi-bin/carddisp.pl?gene=BAZ2B","GeneCards")</f>
        <v>GeneCards</v>
      </c>
      <c r="D16559" s="1" t="str">
        <f>HYPERLINK("http://genome-euro.ucsc.edu/cgi-bin/hgTracks?position=203080_s_at","UCSC")</f>
        <v>UCSC</v>
      </c>
      <c r="E16559" s="1" t="str">
        <f>HYPERLINK("http://www.ncbi.nlm.nih.gov/gene/?term=BAZ2B","NCBI")</f>
        <v>NCBI</v>
      </c>
      <c r="F16559">
        <v>0.9</v>
      </c>
      <c r="G16559">
        <v>0.92</v>
      </c>
      <c r="H16559" s="1" t="str">
        <f>HYPERLINK("http://www.weizmann.ac.il/complex/compphys/software/geview/data/figures/203080_s_at.png","Figure")</f>
        <v>Figure</v>
      </c>
      <c r="I16559">
        <v>0.95799999999999996</v>
      </c>
      <c r="J16559">
        <v>0.97</v>
      </c>
      <c r="K16559">
        <v>1.04</v>
      </c>
      <c r="L16559">
        <v>0.97</v>
      </c>
      <c r="M16559">
        <v>1.08</v>
      </c>
      <c r="N16559">
        <v>0.89</v>
      </c>
    </row>
    <row r="16560" spans="1:14" x14ac:dyDescent="0.25">
      <c r="A16560" t="s">
        <v>27729</v>
      </c>
      <c r="B16560" t="s">
        <v>24399</v>
      </c>
      <c r="C16560" s="1" t="str">
        <f>HYPERLINK("http://www.genecards.org/cgi-bin/carddisp.pl?gene=FEZ2","GeneCards")</f>
        <v>GeneCards</v>
      </c>
      <c r="D16560" s="1" t="str">
        <f>HYPERLINK("http://genome-euro.ucsc.edu/cgi-bin/hgTracks?position=215000_s_at","UCSC")</f>
        <v>UCSC</v>
      </c>
      <c r="E16560" s="1" t="str">
        <f>HYPERLINK("http://www.ncbi.nlm.nih.gov/gene/?term=FEZ2","NCBI")</f>
        <v>NCBI</v>
      </c>
      <c r="F16560">
        <v>0.9</v>
      </c>
      <c r="G16560">
        <v>0.92</v>
      </c>
      <c r="H16560" s="1" t="str">
        <f>HYPERLINK("http://www.weizmann.ac.il/complex/compphys/software/geview/data/figures/215000_s_at.png","Figure")</f>
        <v>Figure</v>
      </c>
      <c r="I16560">
        <v>0.97499999999999998</v>
      </c>
      <c r="J16560">
        <v>0.99</v>
      </c>
      <c r="K16560">
        <v>1.05</v>
      </c>
      <c r="L16560">
        <v>0.95</v>
      </c>
      <c r="M16560">
        <v>1.08</v>
      </c>
      <c r="N16560">
        <v>0.9</v>
      </c>
    </row>
    <row r="16561" spans="1:14" x14ac:dyDescent="0.25">
      <c r="A16561" t="s">
        <v>27730</v>
      </c>
      <c r="B16561" t="s">
        <v>23297</v>
      </c>
      <c r="C16561" s="1" t="str">
        <f>HYPERLINK("http://www.genecards.org/cgi-bin/carddisp.pl?gene=MBTPS1","GeneCards")</f>
        <v>GeneCards</v>
      </c>
      <c r="D16561" s="1" t="str">
        <f>HYPERLINK("http://genome-euro.ucsc.edu/cgi-bin/hgTracks?position=217543_s_at","UCSC")</f>
        <v>UCSC</v>
      </c>
      <c r="E16561" s="1" t="str">
        <f>HYPERLINK("http://www.ncbi.nlm.nih.gov/gene/?term=MBTPS1","NCBI")</f>
        <v>NCBI</v>
      </c>
      <c r="F16561">
        <v>0.9</v>
      </c>
      <c r="G16561">
        <v>0.92</v>
      </c>
      <c r="H16561" s="1" t="str">
        <f>HYPERLINK("http://www.weizmann.ac.il/complex/compphys/software/geview/data/figures/217543_s_at.png","Figure")</f>
        <v>Figure</v>
      </c>
      <c r="I16561">
        <v>1.03</v>
      </c>
      <c r="J16561">
        <v>0.96</v>
      </c>
      <c r="K16561">
        <v>1.05</v>
      </c>
      <c r="L16561">
        <v>0.89</v>
      </c>
      <c r="M16561">
        <v>1.01</v>
      </c>
      <c r="N16561">
        <v>0.99</v>
      </c>
    </row>
    <row r="16562" spans="1:14" x14ac:dyDescent="0.25">
      <c r="A16562" t="s">
        <v>27731</v>
      </c>
      <c r="B16562" t="s">
        <v>10795</v>
      </c>
      <c r="C16562" s="1" t="str">
        <f>HYPERLINK("http://www.genecards.org/cgi-bin/carddisp.pl?gene=NFX1","GeneCards")</f>
        <v>GeneCards</v>
      </c>
      <c r="D16562" s="1" t="str">
        <f>HYPERLINK("http://genome-euro.ucsc.edu/cgi-bin/hgTracks?position=210268_at","UCSC")</f>
        <v>UCSC</v>
      </c>
      <c r="E16562" s="1" t="str">
        <f>HYPERLINK("http://www.ncbi.nlm.nih.gov/gene/?term=NFX1","NCBI")</f>
        <v>NCBI</v>
      </c>
      <c r="F16562">
        <v>0.9</v>
      </c>
      <c r="G16562">
        <v>0.92</v>
      </c>
      <c r="H16562" s="1" t="str">
        <f>HYPERLINK("http://www.weizmann.ac.il/complex/compphys/software/geview/data/figures/210268_at.png","Figure")</f>
        <v>Figure</v>
      </c>
      <c r="I16562">
        <v>1.07</v>
      </c>
      <c r="J16562">
        <v>0.89</v>
      </c>
      <c r="K16562">
        <v>1.02</v>
      </c>
      <c r="L16562">
        <v>0.98</v>
      </c>
      <c r="M16562">
        <v>0.95899999999999996</v>
      </c>
      <c r="N16562">
        <v>0.95</v>
      </c>
    </row>
    <row r="16563" spans="1:14" x14ac:dyDescent="0.25">
      <c r="A16563" t="s">
        <v>27732</v>
      </c>
      <c r="B16563" t="s">
        <v>27733</v>
      </c>
      <c r="C16563" s="1" t="str">
        <f>HYPERLINK("http://www.genecards.org/cgi-bin/carddisp.pl?gene=CDH7","GeneCards")</f>
        <v>GeneCards</v>
      </c>
      <c r="D16563" s="1" t="str">
        <f>HYPERLINK("http://genome-euro.ucsc.edu/cgi-bin/hgTracks?position=220679_s_at","UCSC")</f>
        <v>UCSC</v>
      </c>
      <c r="E16563" s="1" t="str">
        <f>HYPERLINK("http://www.ncbi.nlm.nih.gov/gene/?term=CDH7","NCBI")</f>
        <v>NCBI</v>
      </c>
      <c r="F16563">
        <v>0.9</v>
      </c>
      <c r="G16563">
        <v>0.92</v>
      </c>
      <c r="H16563" s="1" t="str">
        <f>HYPERLINK("http://www.weizmann.ac.il/complex/compphys/software/geview/data/figures/220679_s_at.png","Figure")</f>
        <v>Figure</v>
      </c>
      <c r="I16563">
        <v>1.01</v>
      </c>
      <c r="J16563">
        <v>0.96</v>
      </c>
      <c r="K16563">
        <v>1.02</v>
      </c>
      <c r="L16563">
        <v>0.89</v>
      </c>
      <c r="M16563">
        <v>1.01</v>
      </c>
      <c r="N16563">
        <v>0.99</v>
      </c>
    </row>
    <row r="16564" spans="1:14" x14ac:dyDescent="0.25">
      <c r="A16564" t="s">
        <v>27734</v>
      </c>
      <c r="B16564" t="s">
        <v>14443</v>
      </c>
      <c r="C16564" s="1" t="str">
        <f>HYPERLINK("http://www.genecards.org/cgi-bin/carddisp.pl?gene=SMAD6","GeneCards")</f>
        <v>GeneCards</v>
      </c>
      <c r="D16564" s="1" t="str">
        <f>HYPERLINK("http://genome-euro.ucsc.edu/cgi-bin/hgTracks?position=209887_at","UCSC")</f>
        <v>UCSC</v>
      </c>
      <c r="E16564" s="1" t="str">
        <f>HYPERLINK("http://www.ncbi.nlm.nih.gov/gene/?term=SMAD6","NCBI")</f>
        <v>NCBI</v>
      </c>
      <c r="F16564">
        <v>0.9</v>
      </c>
      <c r="G16564">
        <v>0.93</v>
      </c>
      <c r="H16564" s="1" t="str">
        <f>HYPERLINK("http://www.weizmann.ac.il/complex/compphys/software/geview/data/figures/209887_at.png","Figure")</f>
        <v>Figure</v>
      </c>
      <c r="I16564">
        <v>1</v>
      </c>
      <c r="J16564">
        <v>1</v>
      </c>
      <c r="K16564">
        <v>0.97799999999999998</v>
      </c>
      <c r="L16564">
        <v>0.92</v>
      </c>
      <c r="M16564">
        <v>0.97699999999999998</v>
      </c>
      <c r="N16564">
        <v>0.93</v>
      </c>
    </row>
    <row r="16565" spans="1:14" x14ac:dyDescent="0.25">
      <c r="A16565" t="s">
        <v>27735</v>
      </c>
      <c r="B16565" t="s">
        <v>27736</v>
      </c>
      <c r="C16565" s="1" t="str">
        <f>HYPERLINK("http://www.genecards.org/cgi-bin/carddisp.pl?gene=CNNM1","GeneCards")</f>
        <v>GeneCards</v>
      </c>
      <c r="D16565" s="1" t="str">
        <f>HYPERLINK("http://genome-euro.ucsc.edu/cgi-bin/hgTracks?position=220166_at","UCSC")</f>
        <v>UCSC</v>
      </c>
      <c r="E16565" s="1" t="str">
        <f>HYPERLINK("http://www.ncbi.nlm.nih.gov/gene/?term=CNNM1","NCBI")</f>
        <v>NCBI</v>
      </c>
      <c r="F16565">
        <v>0.9</v>
      </c>
      <c r="G16565">
        <v>0.93</v>
      </c>
      <c r="H16565" s="1" t="str">
        <f>HYPERLINK("http://www.weizmann.ac.il/complex/compphys/software/geview/data/figures/220166_at.png","Figure")</f>
        <v>Figure</v>
      </c>
      <c r="I16565">
        <v>0.98199999999999998</v>
      </c>
      <c r="J16565">
        <v>0.95</v>
      </c>
      <c r="K16565">
        <v>1.01</v>
      </c>
      <c r="L16565">
        <v>0.99</v>
      </c>
      <c r="M16565">
        <v>1.03</v>
      </c>
      <c r="N16565">
        <v>0.89</v>
      </c>
    </row>
    <row r="16566" spans="1:14" x14ac:dyDescent="0.25">
      <c r="A16566" t="s">
        <v>27737</v>
      </c>
      <c r="B16566" t="s">
        <v>27738</v>
      </c>
      <c r="C16566" s="1" t="str">
        <f>HYPERLINK("http://www.genecards.org/cgi-bin/carddisp.pl?gene=MLF1IP","GeneCards")</f>
        <v>GeneCards</v>
      </c>
      <c r="D16566" s="1" t="str">
        <f>HYPERLINK("http://genome-euro.ucsc.edu/cgi-bin/hgTracks?position=218883_s_at","UCSC")</f>
        <v>UCSC</v>
      </c>
      <c r="E16566" s="1" t="str">
        <f>HYPERLINK("http://www.ncbi.nlm.nih.gov/gene/?term=MLF1IP","NCBI")</f>
        <v>NCBI</v>
      </c>
      <c r="F16566">
        <v>0.9</v>
      </c>
      <c r="G16566">
        <v>0.93</v>
      </c>
      <c r="H16566" s="1" t="str">
        <f>HYPERLINK("http://www.weizmann.ac.il/complex/compphys/software/geview/data/figures/218883_s_at.png","Figure")</f>
        <v>Figure</v>
      </c>
      <c r="I16566">
        <v>0.93700000000000006</v>
      </c>
      <c r="J16566">
        <v>0.97</v>
      </c>
      <c r="K16566">
        <v>1.05</v>
      </c>
      <c r="L16566">
        <v>0.98</v>
      </c>
      <c r="M16566">
        <v>1.1200000000000001</v>
      </c>
      <c r="N16566">
        <v>0.89</v>
      </c>
    </row>
    <row r="16567" spans="1:14" x14ac:dyDescent="0.25">
      <c r="A16567" t="s">
        <v>27739</v>
      </c>
      <c r="B16567" t="s">
        <v>27740</v>
      </c>
      <c r="C16567" s="1" t="str">
        <f>HYPERLINK("http://www.genecards.org/cgi-bin/carddisp.pl?gene=GABRP","GeneCards")</f>
        <v>GeneCards</v>
      </c>
      <c r="D16567" s="1" t="str">
        <f>HYPERLINK("http://genome-euro.ucsc.edu/cgi-bin/hgTracks?position=205044_at","UCSC")</f>
        <v>UCSC</v>
      </c>
      <c r="E16567" s="1" t="str">
        <f>HYPERLINK("http://www.ncbi.nlm.nih.gov/gene/?term=GABRP","NCBI")</f>
        <v>NCBI</v>
      </c>
      <c r="F16567">
        <v>0.9</v>
      </c>
      <c r="G16567">
        <v>0.93</v>
      </c>
      <c r="H16567" s="1" t="str">
        <f>HYPERLINK("http://www.weizmann.ac.il/complex/compphys/software/geview/data/figures/205044_at.png","Figure")</f>
        <v>Figure</v>
      </c>
      <c r="I16567">
        <v>1</v>
      </c>
      <c r="J16567">
        <v>1</v>
      </c>
      <c r="K16567">
        <v>0.98499999999999999</v>
      </c>
      <c r="L16567">
        <v>0.94</v>
      </c>
      <c r="M16567">
        <v>0.98099999999999998</v>
      </c>
      <c r="N16567">
        <v>0.91</v>
      </c>
    </row>
    <row r="16568" spans="1:14" x14ac:dyDescent="0.25">
      <c r="A16568" t="s">
        <v>27741</v>
      </c>
      <c r="B16568" t="s">
        <v>27742</v>
      </c>
      <c r="C16568" s="1" t="str">
        <f>HYPERLINK("http://www.genecards.org/cgi-bin/carddisp.pl?gene=CCS","GeneCards")</f>
        <v>GeneCards</v>
      </c>
      <c r="D16568" s="1" t="str">
        <f>HYPERLINK("http://genome-euro.ucsc.edu/cgi-bin/hgTracks?position=203522_at","UCSC")</f>
        <v>UCSC</v>
      </c>
      <c r="E16568" s="1" t="str">
        <f>HYPERLINK("http://www.ncbi.nlm.nih.gov/gene/?term=CCS","NCBI")</f>
        <v>NCBI</v>
      </c>
      <c r="F16568">
        <v>0.9</v>
      </c>
      <c r="G16568">
        <v>0.93</v>
      </c>
      <c r="H16568" s="1" t="str">
        <f>HYPERLINK("http://www.weizmann.ac.il/complex/compphys/software/geview/data/figures/203522_at.png","Figure")</f>
        <v>Figure</v>
      </c>
      <c r="I16568">
        <v>1.06</v>
      </c>
      <c r="J16568">
        <v>0.96</v>
      </c>
      <c r="K16568">
        <v>1.0900000000000001</v>
      </c>
      <c r="L16568">
        <v>0.89</v>
      </c>
      <c r="M16568">
        <v>1.03</v>
      </c>
      <c r="N16568">
        <v>0.99</v>
      </c>
    </row>
    <row r="16569" spans="1:14" x14ac:dyDescent="0.25">
      <c r="A16569" t="s">
        <v>27743</v>
      </c>
      <c r="B16569" t="s">
        <v>27744</v>
      </c>
      <c r="C16569" s="1" t="str">
        <f>HYPERLINK("http://www.genecards.org/cgi-bin/carddisp.pl?gene=RNF34","GeneCards")</f>
        <v>GeneCards</v>
      </c>
      <c r="D16569" s="1" t="str">
        <f>HYPERLINK("http://genome-euro.ucsc.edu/cgi-bin/hgTracks?position=219035_s_at","UCSC")</f>
        <v>UCSC</v>
      </c>
      <c r="E16569" s="1" t="str">
        <f>HYPERLINK("http://www.ncbi.nlm.nih.gov/gene/?term=RNF34","NCBI")</f>
        <v>NCBI</v>
      </c>
      <c r="F16569">
        <v>0.9</v>
      </c>
      <c r="G16569">
        <v>0.93</v>
      </c>
      <c r="H16569" s="1" t="str">
        <f>HYPERLINK("http://www.weizmann.ac.il/complex/compphys/software/geview/data/figures/219035_s_at.png","Figure")</f>
        <v>Figure</v>
      </c>
      <c r="I16569">
        <v>1.06</v>
      </c>
      <c r="J16569">
        <v>0.94</v>
      </c>
      <c r="K16569">
        <v>0.98199999999999998</v>
      </c>
      <c r="L16569">
        <v>0.99</v>
      </c>
      <c r="M16569">
        <v>0.92400000000000004</v>
      </c>
      <c r="N16569">
        <v>0.9</v>
      </c>
    </row>
    <row r="16570" spans="1:14" x14ac:dyDescent="0.25">
      <c r="A16570" t="s">
        <v>27745</v>
      </c>
      <c r="B16570" t="s">
        <v>14048</v>
      </c>
      <c r="C16570" s="1" t="str">
        <f>HYPERLINK("http://www.genecards.org/cgi-bin/carddisp.pl?gene=RHBDD3","GeneCards")</f>
        <v>GeneCards</v>
      </c>
      <c r="D16570" s="1" t="str">
        <f>HYPERLINK("http://genome-euro.ucsc.edu/cgi-bin/hgTracks?position=204402_at","UCSC")</f>
        <v>UCSC</v>
      </c>
      <c r="E16570" s="1" t="str">
        <f>HYPERLINK("http://www.ncbi.nlm.nih.gov/gene/?term=RHBDD3","NCBI")</f>
        <v>NCBI</v>
      </c>
      <c r="F16570">
        <v>0.9</v>
      </c>
      <c r="G16570">
        <v>0.93</v>
      </c>
      <c r="H16570" s="1" t="str">
        <f>HYPERLINK("http://www.weizmann.ac.il/complex/compphys/software/geview/data/figures/204402_at.png","Figure")</f>
        <v>Figure</v>
      </c>
      <c r="I16570">
        <v>0.96599999999999997</v>
      </c>
      <c r="J16570">
        <v>0.93</v>
      </c>
      <c r="K16570">
        <v>1</v>
      </c>
      <c r="L16570">
        <v>1</v>
      </c>
      <c r="M16570">
        <v>1.04</v>
      </c>
      <c r="N16570">
        <v>0.9</v>
      </c>
    </row>
    <row r="16571" spans="1:14" x14ac:dyDescent="0.25">
      <c r="A16571" t="s">
        <v>27746</v>
      </c>
      <c r="B16571" t="s">
        <v>15099</v>
      </c>
      <c r="C16571" s="1" t="str">
        <f>HYPERLINK("http://www.genecards.org/cgi-bin/carddisp.pl?gene=RECQL","GeneCards")</f>
        <v>GeneCards</v>
      </c>
      <c r="D16571" s="1" t="str">
        <f>HYPERLINK("http://genome-euro.ucsc.edu/cgi-bin/hgTracks?position=210568_s_at","UCSC")</f>
        <v>UCSC</v>
      </c>
      <c r="E16571" s="1" t="str">
        <f>HYPERLINK("http://www.ncbi.nlm.nih.gov/gene/?term=RECQL","NCBI")</f>
        <v>NCBI</v>
      </c>
      <c r="F16571">
        <v>0.9</v>
      </c>
      <c r="G16571">
        <v>0.93</v>
      </c>
      <c r="H16571" s="1" t="str">
        <f>HYPERLINK("http://www.weizmann.ac.il/complex/compphys/software/geview/data/figures/210568_s_at.png","Figure")</f>
        <v>Figure</v>
      </c>
      <c r="I16571">
        <v>0.92600000000000005</v>
      </c>
      <c r="J16571">
        <v>0.92</v>
      </c>
      <c r="K16571">
        <v>0.93300000000000005</v>
      </c>
      <c r="L16571">
        <v>0.92</v>
      </c>
      <c r="M16571">
        <v>1.01</v>
      </c>
      <c r="N16571">
        <v>1</v>
      </c>
    </row>
    <row r="16572" spans="1:14" x14ac:dyDescent="0.25">
      <c r="A16572" t="s">
        <v>27747</v>
      </c>
      <c r="B16572" t="s">
        <v>9021</v>
      </c>
      <c r="C16572" s="1" t="str">
        <f>HYPERLINK("http://www.genecards.org/cgi-bin/carddisp.pl?gene=WIZ","GeneCards")</f>
        <v>GeneCards</v>
      </c>
      <c r="D16572" s="1" t="str">
        <f>HYPERLINK("http://genome-euro.ucsc.edu/cgi-bin/hgTracks?position=221785_at","UCSC")</f>
        <v>UCSC</v>
      </c>
      <c r="E16572" s="1" t="str">
        <f>HYPERLINK("http://www.ncbi.nlm.nih.gov/gene/?term=WIZ","NCBI")</f>
        <v>NCBI</v>
      </c>
      <c r="F16572">
        <v>0.9</v>
      </c>
      <c r="G16572">
        <v>0.93</v>
      </c>
      <c r="H16572" s="1" t="str">
        <f>HYPERLINK("http://www.weizmann.ac.il/complex/compphys/software/geview/data/figures/221785_at.png","Figure")</f>
        <v>Figure</v>
      </c>
      <c r="I16572">
        <v>0.98899999999999999</v>
      </c>
      <c r="J16572">
        <v>0.98</v>
      </c>
      <c r="K16572">
        <v>0.98</v>
      </c>
      <c r="L16572">
        <v>0.89</v>
      </c>
      <c r="M16572">
        <v>0.99</v>
      </c>
      <c r="N16572">
        <v>0.98</v>
      </c>
    </row>
    <row r="16573" spans="1:14" x14ac:dyDescent="0.25">
      <c r="A16573" t="s">
        <v>27748</v>
      </c>
      <c r="B16573" t="s">
        <v>21129</v>
      </c>
      <c r="C16573" s="1" t="str">
        <f>HYPERLINK("http://www.genecards.org/cgi-bin/carddisp.pl?gene=BAG1","GeneCards")</f>
        <v>GeneCards</v>
      </c>
      <c r="D16573" s="1" t="str">
        <f>HYPERLINK("http://genome-euro.ucsc.edu/cgi-bin/hgTracks?position=202387_at","UCSC")</f>
        <v>UCSC</v>
      </c>
      <c r="E16573" s="1" t="str">
        <f>HYPERLINK("http://www.ncbi.nlm.nih.gov/gene/?term=BAG1","NCBI")</f>
        <v>NCBI</v>
      </c>
      <c r="F16573">
        <v>0.9</v>
      </c>
      <c r="G16573">
        <v>0.93</v>
      </c>
      <c r="H16573" s="1" t="str">
        <f>HYPERLINK("http://www.weizmann.ac.il/complex/compphys/software/geview/data/figures/202387_at.png","Figure")</f>
        <v>Figure</v>
      </c>
      <c r="I16573">
        <v>0.95799999999999996</v>
      </c>
      <c r="J16573">
        <v>0.97</v>
      </c>
      <c r="K16573">
        <v>1.03</v>
      </c>
      <c r="L16573">
        <v>0.98</v>
      </c>
      <c r="M16573">
        <v>1.08</v>
      </c>
      <c r="N16573">
        <v>0.89</v>
      </c>
    </row>
    <row r="16574" spans="1:14" x14ac:dyDescent="0.25">
      <c r="A16574" t="s">
        <v>27749</v>
      </c>
      <c r="B16574" t="s">
        <v>15355</v>
      </c>
      <c r="C16574" s="1" t="str">
        <f>HYPERLINK("http://www.genecards.org/cgi-bin/carddisp.pl?gene=HLA-G","GeneCards")</f>
        <v>GeneCards</v>
      </c>
      <c r="D16574" s="1" t="str">
        <f>HYPERLINK("http://genome-euro.ucsc.edu/cgi-bin/hgTracks?position=211530_x_at","UCSC")</f>
        <v>UCSC</v>
      </c>
      <c r="E16574" s="1" t="str">
        <f>HYPERLINK("http://www.ncbi.nlm.nih.gov/gene/?term=HLA-G","NCBI")</f>
        <v>NCBI</v>
      </c>
      <c r="F16574">
        <v>0.9</v>
      </c>
      <c r="G16574">
        <v>0.93</v>
      </c>
      <c r="H16574" s="1" t="str">
        <f>HYPERLINK("http://www.weizmann.ac.il/complex/compphys/software/geview/data/figures/211530_x_at.png","Figure")</f>
        <v>Figure</v>
      </c>
      <c r="I16574">
        <v>1.04</v>
      </c>
      <c r="J16574">
        <v>0.98</v>
      </c>
      <c r="K16574">
        <v>0.95899999999999996</v>
      </c>
      <c r="L16574">
        <v>0.97</v>
      </c>
      <c r="M16574">
        <v>0.92400000000000004</v>
      </c>
      <c r="N16574">
        <v>0.9</v>
      </c>
    </row>
    <row r="16575" spans="1:14" x14ac:dyDescent="0.25">
      <c r="A16575" t="s">
        <v>27750</v>
      </c>
      <c r="B16575" t="s">
        <v>11909</v>
      </c>
      <c r="C16575" s="1" t="str">
        <f>HYPERLINK("http://www.genecards.org/cgi-bin/carddisp.pl?gene=YME1L1","GeneCards")</f>
        <v>GeneCards</v>
      </c>
      <c r="D16575" s="1" t="str">
        <f>HYPERLINK("http://genome-euro.ucsc.edu/cgi-bin/hgTracks?position=216304_x_at","UCSC")</f>
        <v>UCSC</v>
      </c>
      <c r="E16575" s="1" t="str">
        <f>HYPERLINK("http://www.ncbi.nlm.nih.gov/gene/?term=YME1L1","NCBI")</f>
        <v>NCBI</v>
      </c>
      <c r="F16575">
        <v>0.9</v>
      </c>
      <c r="G16575">
        <v>0.93</v>
      </c>
      <c r="H16575" s="1" t="str">
        <f>HYPERLINK("http://www.weizmann.ac.il/complex/compphys/software/geview/data/figures/216304_x_at.png","Figure")</f>
        <v>Figure</v>
      </c>
      <c r="I16575">
        <v>0.98199999999999998</v>
      </c>
      <c r="J16575">
        <v>0.99</v>
      </c>
      <c r="K16575">
        <v>0.94899999999999995</v>
      </c>
      <c r="L16575">
        <v>0.9</v>
      </c>
      <c r="M16575">
        <v>0.96599999999999997</v>
      </c>
      <c r="N16575">
        <v>0.96</v>
      </c>
    </row>
    <row r="16576" spans="1:14" x14ac:dyDescent="0.25">
      <c r="A16576" t="s">
        <v>27751</v>
      </c>
      <c r="B16576" t="s">
        <v>9275</v>
      </c>
      <c r="C16576" s="1" t="str">
        <f>HYPERLINK("http://www.genecards.org/cgi-bin/carddisp.pl?gene=SKP1","GeneCards")</f>
        <v>GeneCards</v>
      </c>
      <c r="D16576" s="1" t="str">
        <f>HYPERLINK("http://genome-euro.ucsc.edu/cgi-bin/hgTracks?position=200711_s_at","UCSC")</f>
        <v>UCSC</v>
      </c>
      <c r="E16576" s="1" t="str">
        <f>HYPERLINK("http://www.ncbi.nlm.nih.gov/gene/?term=SKP1","NCBI")</f>
        <v>NCBI</v>
      </c>
      <c r="F16576">
        <v>0.9</v>
      </c>
      <c r="G16576">
        <v>0.93</v>
      </c>
      <c r="H16576" s="1" t="str">
        <f>HYPERLINK("http://www.weizmann.ac.il/complex/compphys/software/geview/data/figures/200711_s_at.png","Figure")</f>
        <v>Figure</v>
      </c>
      <c r="I16576">
        <v>0.97699999999999998</v>
      </c>
      <c r="J16576">
        <v>0.99</v>
      </c>
      <c r="K16576">
        <v>1.05</v>
      </c>
      <c r="L16576">
        <v>0.95</v>
      </c>
      <c r="M16576">
        <v>1.07</v>
      </c>
      <c r="N16576">
        <v>0.91</v>
      </c>
    </row>
    <row r="16577" spans="1:14" x14ac:dyDescent="0.25">
      <c r="A16577" t="s">
        <v>27752</v>
      </c>
      <c r="B16577" t="s">
        <v>17204</v>
      </c>
      <c r="C16577" s="1" t="str">
        <f>HYPERLINK("http://www.genecards.org/cgi-bin/carddisp.pl?gene=IPO5","GeneCards")</f>
        <v>GeneCards</v>
      </c>
      <c r="D16577" s="1" t="str">
        <f>HYPERLINK("http://genome-euro.ucsc.edu/cgi-bin/hgTracks?position=211955_at","UCSC")</f>
        <v>UCSC</v>
      </c>
      <c r="E16577" s="1" t="str">
        <f>HYPERLINK("http://www.ncbi.nlm.nih.gov/gene/?term=IPO5","NCBI")</f>
        <v>NCBI</v>
      </c>
      <c r="F16577">
        <v>0.9</v>
      </c>
      <c r="G16577">
        <v>0.93</v>
      </c>
      <c r="H16577" s="1" t="str">
        <f>HYPERLINK("http://www.weizmann.ac.il/complex/compphys/software/geview/data/figures/211955_at.png","Figure")</f>
        <v>Figure</v>
      </c>
      <c r="I16577">
        <v>1</v>
      </c>
      <c r="J16577">
        <v>1</v>
      </c>
      <c r="K16577">
        <v>0.94</v>
      </c>
      <c r="L16577">
        <v>0.92</v>
      </c>
      <c r="M16577">
        <v>0.93700000000000006</v>
      </c>
      <c r="N16577">
        <v>0.93</v>
      </c>
    </row>
    <row r="16578" spans="1:14" x14ac:dyDescent="0.25">
      <c r="A16578" t="s">
        <v>27753</v>
      </c>
      <c r="B16578" t="s">
        <v>27754</v>
      </c>
      <c r="C16578" s="1" t="str">
        <f>HYPERLINK("http://www.genecards.org/cgi-bin/carddisp.pl?gene=GPR37L1","GeneCards")</f>
        <v>GeneCards</v>
      </c>
      <c r="D16578" s="1" t="str">
        <f>HYPERLINK("http://genome-euro.ucsc.edu/cgi-bin/hgTracks?position=207055_at","UCSC")</f>
        <v>UCSC</v>
      </c>
      <c r="E16578" s="1" t="str">
        <f>HYPERLINK("http://www.ncbi.nlm.nih.gov/gene/?term=GPR37L1","NCBI")</f>
        <v>NCBI</v>
      </c>
      <c r="F16578">
        <v>0.9</v>
      </c>
      <c r="G16578">
        <v>0.93</v>
      </c>
      <c r="H16578" s="1" t="str">
        <f>HYPERLINK("http://www.weizmann.ac.il/complex/compphys/software/geview/data/figures/207055_at.png","Figure")</f>
        <v>Figure</v>
      </c>
      <c r="I16578">
        <v>1</v>
      </c>
      <c r="J16578">
        <v>1</v>
      </c>
      <c r="K16578">
        <v>1.02</v>
      </c>
      <c r="L16578">
        <v>0.91</v>
      </c>
      <c r="M16578">
        <v>1.01</v>
      </c>
      <c r="N16578">
        <v>0.95</v>
      </c>
    </row>
    <row r="16579" spans="1:14" x14ac:dyDescent="0.25">
      <c r="A16579" t="s">
        <v>27755</v>
      </c>
      <c r="B16579" t="s">
        <v>17752</v>
      </c>
      <c r="C16579" s="1" t="str">
        <f>HYPERLINK("http://www.genecards.org/cgi-bin/carddisp.pl?gene=AFF1","GeneCards")</f>
        <v>GeneCards</v>
      </c>
      <c r="D16579" s="1" t="str">
        <f>HYPERLINK("http://genome-euro.ucsc.edu/cgi-bin/hgTracks?position=201924_at","UCSC")</f>
        <v>UCSC</v>
      </c>
      <c r="E16579" s="1" t="str">
        <f>HYPERLINK("http://www.ncbi.nlm.nih.gov/gene/?term=AFF1","NCBI")</f>
        <v>NCBI</v>
      </c>
      <c r="F16579">
        <v>0.9</v>
      </c>
      <c r="G16579">
        <v>0.93</v>
      </c>
      <c r="H16579" s="1" t="str">
        <f>HYPERLINK("http://www.weizmann.ac.il/complex/compphys/software/geview/data/figures/201924_at.png","Figure")</f>
        <v>Figure</v>
      </c>
      <c r="I16579">
        <v>0.90400000000000003</v>
      </c>
      <c r="J16579">
        <v>0.92</v>
      </c>
      <c r="K16579">
        <v>0.91700000000000004</v>
      </c>
      <c r="L16579">
        <v>0.92</v>
      </c>
      <c r="M16579">
        <v>1.01</v>
      </c>
      <c r="N16579">
        <v>1</v>
      </c>
    </row>
    <row r="16580" spans="1:14" x14ac:dyDescent="0.25">
      <c r="A16580" t="s">
        <v>27756</v>
      </c>
      <c r="B16580" t="s">
        <v>23045</v>
      </c>
      <c r="C16580" s="1" t="str">
        <f>HYPERLINK("http://www.genecards.org/cgi-bin/carddisp.pl?gene=RPL5","GeneCards")</f>
        <v>GeneCards</v>
      </c>
      <c r="D16580" s="1" t="str">
        <f>HYPERLINK("http://genome-euro.ucsc.edu/cgi-bin/hgTracks?position=200937_s_at","UCSC")</f>
        <v>UCSC</v>
      </c>
      <c r="E16580" s="1" t="str">
        <f>HYPERLINK("http://www.ncbi.nlm.nih.gov/gene/?term=RPL5","NCBI")</f>
        <v>NCBI</v>
      </c>
      <c r="F16580">
        <v>0.9</v>
      </c>
      <c r="G16580">
        <v>0.93</v>
      </c>
      <c r="H16580" s="1" t="str">
        <f>HYPERLINK("http://www.weizmann.ac.il/complex/compphys/software/geview/data/figures/200937_s_at.png","Figure")</f>
        <v>Figure</v>
      </c>
      <c r="I16580">
        <v>0.96899999999999997</v>
      </c>
      <c r="J16580">
        <v>0.97</v>
      </c>
      <c r="K16580">
        <v>1.03</v>
      </c>
      <c r="L16580">
        <v>0.97</v>
      </c>
      <c r="M16580">
        <v>1.06</v>
      </c>
      <c r="N16580">
        <v>0.9</v>
      </c>
    </row>
    <row r="16581" spans="1:14" x14ac:dyDescent="0.25">
      <c r="A16581" t="s">
        <v>27757</v>
      </c>
      <c r="B16581" t="s">
        <v>2962</v>
      </c>
      <c r="C16581" s="1" t="str">
        <f>HYPERLINK("http://www.genecards.org/cgi-bin/carddisp.pl?gene=BCL2","GeneCards")</f>
        <v>GeneCards</v>
      </c>
      <c r="D16581" s="1" t="str">
        <f>HYPERLINK("http://genome-euro.ucsc.edu/cgi-bin/hgTracks?position=207005_s_at","UCSC")</f>
        <v>UCSC</v>
      </c>
      <c r="E16581" s="1" t="str">
        <f>HYPERLINK("http://www.ncbi.nlm.nih.gov/gene/?term=BCL2","NCBI")</f>
        <v>NCBI</v>
      </c>
      <c r="F16581">
        <v>0.9</v>
      </c>
      <c r="G16581">
        <v>0.93</v>
      </c>
      <c r="H16581" s="1" t="str">
        <f>HYPERLINK("http://www.weizmann.ac.il/complex/compphys/software/geview/data/figures/207005_s_at.png","Figure")</f>
        <v>Figure</v>
      </c>
      <c r="I16581">
        <v>1.02</v>
      </c>
      <c r="J16581">
        <v>0.97</v>
      </c>
      <c r="K16581">
        <v>1.04</v>
      </c>
      <c r="L16581">
        <v>0.9</v>
      </c>
      <c r="M16581">
        <v>1.01</v>
      </c>
      <c r="N16581">
        <v>0.99</v>
      </c>
    </row>
    <row r="16582" spans="1:14" x14ac:dyDescent="0.25">
      <c r="A16582" t="s">
        <v>27758</v>
      </c>
      <c r="B16582" t="s">
        <v>27759</v>
      </c>
      <c r="C16582" s="1" t="str">
        <f>HYPERLINK("http://www.genecards.org/cgi-bin/carddisp.pl?gene=NDN","GeneCards")</f>
        <v>GeneCards</v>
      </c>
      <c r="D16582" s="1" t="str">
        <f>HYPERLINK("http://genome-euro.ucsc.edu/cgi-bin/hgTracks?position=209550_at","UCSC")</f>
        <v>UCSC</v>
      </c>
      <c r="E16582" s="1" t="str">
        <f>HYPERLINK("http://www.ncbi.nlm.nih.gov/gene/?term=NDN","NCBI")</f>
        <v>NCBI</v>
      </c>
      <c r="F16582">
        <v>0.9</v>
      </c>
      <c r="G16582">
        <v>0.93</v>
      </c>
      <c r="H16582" s="1" t="str">
        <f>HYPERLINK("http://www.weizmann.ac.il/complex/compphys/software/geview/data/figures/209550_at.png","Figure")</f>
        <v>Figure</v>
      </c>
      <c r="I16582">
        <v>1.06</v>
      </c>
      <c r="J16582">
        <v>0.93</v>
      </c>
      <c r="K16582">
        <v>1.06</v>
      </c>
      <c r="L16582">
        <v>0.91</v>
      </c>
      <c r="M16582">
        <v>1</v>
      </c>
      <c r="N16582">
        <v>1</v>
      </c>
    </row>
    <row r="16583" spans="1:14" x14ac:dyDescent="0.25">
      <c r="A16583" t="s">
        <v>27760</v>
      </c>
      <c r="B16583" t="s">
        <v>27761</v>
      </c>
      <c r="C16583" s="1" t="str">
        <f>HYPERLINK("http://www.genecards.org/cgi-bin/carddisp.pl?gene=PGM3","GeneCards")</f>
        <v>GeneCards</v>
      </c>
      <c r="D16583" s="1" t="str">
        <f>HYPERLINK("http://genome-euro.ucsc.edu/cgi-bin/hgTracks?position=210041_s_at","UCSC")</f>
        <v>UCSC</v>
      </c>
      <c r="E16583" s="1" t="str">
        <f>HYPERLINK("http://www.ncbi.nlm.nih.gov/gene/?term=PGM3","NCBI")</f>
        <v>NCBI</v>
      </c>
      <c r="F16583">
        <v>0.9</v>
      </c>
      <c r="G16583">
        <v>0.93</v>
      </c>
      <c r="H16583" s="1" t="str">
        <f>HYPERLINK("http://www.weizmann.ac.il/complex/compphys/software/geview/data/figures/210041_s_at.png","Figure")</f>
        <v>Figure</v>
      </c>
      <c r="I16583">
        <v>1</v>
      </c>
      <c r="J16583">
        <v>1</v>
      </c>
      <c r="K16583">
        <v>1.01</v>
      </c>
      <c r="L16583">
        <v>0.91</v>
      </c>
      <c r="M16583">
        <v>1.01</v>
      </c>
      <c r="N16583">
        <v>0.95</v>
      </c>
    </row>
    <row r="16584" spans="1:14" x14ac:dyDescent="0.25">
      <c r="A16584" t="s">
        <v>27762</v>
      </c>
      <c r="B16584" t="s">
        <v>27763</v>
      </c>
      <c r="C16584" s="1" t="str">
        <f>HYPERLINK("http://www.genecards.org/cgi-bin/carddisp.pl?gene=ATP5F1","GeneCards")</f>
        <v>GeneCards</v>
      </c>
      <c r="D16584" s="1" t="str">
        <f>HYPERLINK("http://genome-euro.ucsc.edu/cgi-bin/hgTracks?position=211755_s_at","UCSC")</f>
        <v>UCSC</v>
      </c>
      <c r="E16584" s="1" t="str">
        <f>HYPERLINK("http://www.ncbi.nlm.nih.gov/gene/?term=ATP5F1","NCBI")</f>
        <v>NCBI</v>
      </c>
      <c r="F16584">
        <v>0.9</v>
      </c>
      <c r="G16584">
        <v>0.93</v>
      </c>
      <c r="H16584" s="1" t="str">
        <f>HYPERLINK("http://www.weizmann.ac.il/complex/compphys/software/geview/data/figures/211755_s_at.png","Figure")</f>
        <v>Figure</v>
      </c>
      <c r="I16584">
        <v>1.06</v>
      </c>
      <c r="J16584">
        <v>0.94</v>
      </c>
      <c r="K16584">
        <v>1.07</v>
      </c>
      <c r="L16584">
        <v>0.9</v>
      </c>
      <c r="M16584">
        <v>1.01</v>
      </c>
      <c r="N16584">
        <v>1</v>
      </c>
    </row>
    <row r="16585" spans="1:14" x14ac:dyDescent="0.25">
      <c r="A16585" t="s">
        <v>27764</v>
      </c>
      <c r="B16585" t="s">
        <v>25775</v>
      </c>
      <c r="C16585" s="1" t="str">
        <f>HYPERLINK("http://www.genecards.org/cgi-bin/carddisp.pl?gene=ATG12","GeneCards")</f>
        <v>GeneCards</v>
      </c>
      <c r="D16585" s="1" t="str">
        <f>HYPERLINK("http://genome-euro.ucsc.edu/cgi-bin/hgTracks?position=213026_at","UCSC")</f>
        <v>UCSC</v>
      </c>
      <c r="E16585" s="1" t="str">
        <f>HYPERLINK("http://www.ncbi.nlm.nih.gov/gene/?term=ATG12","NCBI")</f>
        <v>NCBI</v>
      </c>
      <c r="F16585">
        <v>0.9</v>
      </c>
      <c r="G16585">
        <v>0.93</v>
      </c>
      <c r="H16585" s="1" t="str">
        <f>HYPERLINK("http://www.weizmann.ac.il/complex/compphys/software/geview/data/figures/213026_at.png","Figure")</f>
        <v>Figure</v>
      </c>
      <c r="I16585">
        <v>0.91100000000000003</v>
      </c>
      <c r="J16585">
        <v>0.9</v>
      </c>
      <c r="K16585">
        <v>0.95699999999999996</v>
      </c>
      <c r="L16585">
        <v>0.97</v>
      </c>
      <c r="M16585">
        <v>1.05</v>
      </c>
      <c r="N16585">
        <v>0.97</v>
      </c>
    </row>
    <row r="16586" spans="1:14" x14ac:dyDescent="0.25">
      <c r="A16586" t="s">
        <v>27765</v>
      </c>
      <c r="B16586" t="s">
        <v>27766</v>
      </c>
      <c r="C16586" s="1" t="str">
        <f>HYPERLINK("http://www.genecards.org/cgi-bin/carddisp.pl?gene=E4F1","GeneCards")</f>
        <v>GeneCards</v>
      </c>
      <c r="D16586" s="1" t="str">
        <f>HYPERLINK("http://genome-euro.ucsc.edu/cgi-bin/hgTracks?position=218524_at","UCSC")</f>
        <v>UCSC</v>
      </c>
      <c r="E16586" s="1" t="str">
        <f>HYPERLINK("http://www.ncbi.nlm.nih.gov/gene/?term=E4F1","NCBI")</f>
        <v>NCBI</v>
      </c>
      <c r="F16586">
        <v>0.9</v>
      </c>
      <c r="G16586">
        <v>0.93</v>
      </c>
      <c r="H16586" s="1" t="str">
        <f>HYPERLINK("http://www.weizmann.ac.il/complex/compphys/software/geview/data/figures/218524_at.png","Figure")</f>
        <v>Figure</v>
      </c>
      <c r="I16586">
        <v>0.95399999999999996</v>
      </c>
      <c r="J16586">
        <v>0.98</v>
      </c>
      <c r="K16586">
        <v>1.05</v>
      </c>
      <c r="L16586">
        <v>0.97</v>
      </c>
      <c r="M16586">
        <v>1.1000000000000001</v>
      </c>
      <c r="N16586">
        <v>0.9</v>
      </c>
    </row>
    <row r="16587" spans="1:14" x14ac:dyDescent="0.25">
      <c r="A16587" t="s">
        <v>27767</v>
      </c>
      <c r="B16587" t="s">
        <v>27768</v>
      </c>
      <c r="C16587" s="1" t="str">
        <f>HYPERLINK("http://www.genecards.org/cgi-bin/carddisp.pl?gene=ALOX12","GeneCards")</f>
        <v>GeneCards</v>
      </c>
      <c r="D16587" s="1" t="str">
        <f>HYPERLINK("http://genome-euro.ucsc.edu/cgi-bin/hgTracks?position=207206_s_at","UCSC")</f>
        <v>UCSC</v>
      </c>
      <c r="E16587" s="1" t="str">
        <f>HYPERLINK("http://www.ncbi.nlm.nih.gov/gene/?term=ALOX12","NCBI")</f>
        <v>NCBI</v>
      </c>
      <c r="F16587">
        <v>0.9</v>
      </c>
      <c r="G16587">
        <v>0.93</v>
      </c>
      <c r="H16587" s="1" t="str">
        <f>HYPERLINK("http://www.weizmann.ac.il/complex/compphys/software/geview/data/figures/207206_s_at.png","Figure")</f>
        <v>Figure</v>
      </c>
      <c r="I16587">
        <v>0.999</v>
      </c>
      <c r="J16587">
        <v>1</v>
      </c>
      <c r="K16587">
        <v>0.98299999999999998</v>
      </c>
      <c r="L16587">
        <v>0.92</v>
      </c>
      <c r="M16587">
        <v>0.98399999999999999</v>
      </c>
      <c r="N16587">
        <v>0.94</v>
      </c>
    </row>
    <row r="16588" spans="1:14" x14ac:dyDescent="0.25">
      <c r="A16588" t="s">
        <v>27769</v>
      </c>
      <c r="B16588" t="s">
        <v>27770</v>
      </c>
      <c r="C16588" s="1" t="str">
        <f>HYPERLINK("http://www.genecards.org/cgi-bin/carddisp.pl?gene=COTL1","GeneCards")</f>
        <v>GeneCards</v>
      </c>
      <c r="D16588" s="1" t="str">
        <f>HYPERLINK("http://genome-euro.ucsc.edu/cgi-bin/hgTracks?position=221059_s_at","UCSC")</f>
        <v>UCSC</v>
      </c>
      <c r="E16588" s="1" t="str">
        <f>HYPERLINK("http://www.ncbi.nlm.nih.gov/gene/?term=COTL1","NCBI")</f>
        <v>NCBI</v>
      </c>
      <c r="F16588">
        <v>0.9</v>
      </c>
      <c r="G16588">
        <v>0.93</v>
      </c>
      <c r="H16588" s="1" t="str">
        <f>HYPERLINK("http://www.weizmann.ac.il/complex/compphys/software/geview/data/figures/221059_s_at.png","Figure")</f>
        <v>Figure</v>
      </c>
      <c r="I16588">
        <v>1.01</v>
      </c>
      <c r="J16588">
        <v>1</v>
      </c>
      <c r="K16588">
        <v>0.95599999999999996</v>
      </c>
      <c r="L16588">
        <v>0.94</v>
      </c>
      <c r="M16588">
        <v>0.94699999999999995</v>
      </c>
      <c r="N16588">
        <v>0.92</v>
      </c>
    </row>
    <row r="16589" spans="1:14" x14ac:dyDescent="0.25">
      <c r="A16589" t="s">
        <v>27771</v>
      </c>
      <c r="B16589" t="s">
        <v>12330</v>
      </c>
      <c r="C16589" s="1" t="str">
        <f>HYPERLINK("http://www.genecards.org/cgi-bin/carddisp.pl?gene=PDK2","GeneCards")</f>
        <v>GeneCards</v>
      </c>
      <c r="D16589" s="1" t="str">
        <f>HYPERLINK("http://genome-euro.ucsc.edu/cgi-bin/hgTracks?position=202590_s_at","UCSC")</f>
        <v>UCSC</v>
      </c>
      <c r="E16589" s="1" t="str">
        <f>HYPERLINK("http://www.ncbi.nlm.nih.gov/gene/?term=PDK2","NCBI")</f>
        <v>NCBI</v>
      </c>
      <c r="F16589">
        <v>0.91</v>
      </c>
      <c r="G16589">
        <v>0.93</v>
      </c>
      <c r="H16589" s="1" t="str">
        <f>HYPERLINK("http://www.weizmann.ac.il/complex/compphys/software/geview/data/figures/202590_s_at.png","Figure")</f>
        <v>Figure</v>
      </c>
      <c r="I16589">
        <v>0.95199999999999996</v>
      </c>
      <c r="J16589">
        <v>0.91</v>
      </c>
      <c r="K16589">
        <v>0.96599999999999997</v>
      </c>
      <c r="L16589">
        <v>0.94</v>
      </c>
      <c r="M16589">
        <v>1.01</v>
      </c>
      <c r="N16589">
        <v>0.99</v>
      </c>
    </row>
    <row r="16590" spans="1:14" x14ac:dyDescent="0.25">
      <c r="A16590" t="s">
        <v>27772</v>
      </c>
      <c r="B16590" t="s">
        <v>27773</v>
      </c>
      <c r="C16590" s="1" t="str">
        <f>HYPERLINK("http://www.genecards.org/cgi-bin/carddisp.pl?gene=NDUFS4","GeneCards")</f>
        <v>GeneCards</v>
      </c>
      <c r="D16590" s="1" t="str">
        <f>HYPERLINK("http://genome-euro.ucsc.edu/cgi-bin/hgTracks?position=209303_at","UCSC")</f>
        <v>UCSC</v>
      </c>
      <c r="E16590" s="1" t="str">
        <f>HYPERLINK("http://www.ncbi.nlm.nih.gov/gene/?term=NDUFS4","NCBI")</f>
        <v>NCBI</v>
      </c>
      <c r="F16590">
        <v>0.91</v>
      </c>
      <c r="G16590">
        <v>0.93</v>
      </c>
      <c r="H16590" s="1" t="str">
        <f>HYPERLINK("http://www.weizmann.ac.il/complex/compphys/software/geview/data/figures/209303_at.png","Figure")</f>
        <v>Figure</v>
      </c>
      <c r="I16590">
        <v>0.97</v>
      </c>
      <c r="J16590">
        <v>0.98</v>
      </c>
      <c r="K16590">
        <v>1.05</v>
      </c>
      <c r="L16590">
        <v>0.96</v>
      </c>
      <c r="M16590">
        <v>1.08</v>
      </c>
      <c r="N16590">
        <v>0.9</v>
      </c>
    </row>
    <row r="16591" spans="1:14" x14ac:dyDescent="0.25">
      <c r="A16591" t="s">
        <v>27774</v>
      </c>
      <c r="B16591" t="s">
        <v>25339</v>
      </c>
      <c r="C16591" s="1" t="str">
        <f>HYPERLINK("http://www.genecards.org/cgi-bin/carddisp.pl?gene=STX12","GeneCards")</f>
        <v>GeneCards</v>
      </c>
      <c r="D16591" s="1" t="str">
        <f>HYPERLINK("http://genome-euro.ucsc.edu/cgi-bin/hgTracks?position=212111_at","UCSC")</f>
        <v>UCSC</v>
      </c>
      <c r="E16591" s="1" t="str">
        <f>HYPERLINK("http://www.ncbi.nlm.nih.gov/gene/?term=STX12","NCBI")</f>
        <v>NCBI</v>
      </c>
      <c r="F16591">
        <v>0.91</v>
      </c>
      <c r="G16591">
        <v>0.93</v>
      </c>
      <c r="H16591" s="1" t="str">
        <f>HYPERLINK("http://www.weizmann.ac.il/complex/compphys/software/geview/data/figures/212111_at.png","Figure")</f>
        <v>Figure</v>
      </c>
      <c r="I16591">
        <v>0.94399999999999995</v>
      </c>
      <c r="J16591">
        <v>0.9</v>
      </c>
      <c r="K16591">
        <v>0.98299999999999998</v>
      </c>
      <c r="L16591">
        <v>0.99</v>
      </c>
      <c r="M16591">
        <v>1.04</v>
      </c>
      <c r="N16591">
        <v>0.94</v>
      </c>
    </row>
    <row r="16592" spans="1:14" x14ac:dyDescent="0.25">
      <c r="A16592" t="s">
        <v>27775</v>
      </c>
      <c r="B16592" t="s">
        <v>16934</v>
      </c>
      <c r="C16592" s="1" t="str">
        <f>HYPERLINK("http://www.genecards.org/cgi-bin/carddisp.pl?gene=HOXB5","GeneCards")</f>
        <v>GeneCards</v>
      </c>
      <c r="D16592" s="1" t="str">
        <f>HYPERLINK("http://genome-euro.ucsc.edu/cgi-bin/hgTracks?position=205600_x_at","UCSC")</f>
        <v>UCSC</v>
      </c>
      <c r="E16592" s="1" t="str">
        <f>HYPERLINK("http://www.ncbi.nlm.nih.gov/gene/?term=HOXB5","NCBI")</f>
        <v>NCBI</v>
      </c>
      <c r="F16592">
        <v>0.91</v>
      </c>
      <c r="G16592">
        <v>0.93</v>
      </c>
      <c r="H16592" s="1" t="str">
        <f>HYPERLINK("http://www.weizmann.ac.il/complex/compphys/software/geview/data/figures/205600_x_at.png","Figure")</f>
        <v>Figure</v>
      </c>
      <c r="I16592">
        <v>1.02</v>
      </c>
      <c r="J16592">
        <v>0.9</v>
      </c>
      <c r="K16592">
        <v>1.01</v>
      </c>
      <c r="L16592">
        <v>0.98</v>
      </c>
      <c r="M16592">
        <v>0.98399999999999999</v>
      </c>
      <c r="N16592">
        <v>0.95</v>
      </c>
    </row>
    <row r="16593" spans="1:14" x14ac:dyDescent="0.25">
      <c r="A16593" t="s">
        <v>27776</v>
      </c>
      <c r="B16593" t="s">
        <v>27777</v>
      </c>
      <c r="C16593" s="1" t="str">
        <f>HYPERLINK("http://www.genecards.org/cgi-bin/carddisp.pl?gene=KIAA0748","GeneCards")</f>
        <v>GeneCards</v>
      </c>
      <c r="D16593" s="1" t="str">
        <f>HYPERLINK("http://genome-euro.ucsc.edu/cgi-bin/hgTracks?position=219724_s_at","UCSC")</f>
        <v>UCSC</v>
      </c>
      <c r="E16593" s="1" t="str">
        <f>HYPERLINK("http://www.ncbi.nlm.nih.gov/gene/?term=KIAA0748","NCBI")</f>
        <v>NCBI</v>
      </c>
      <c r="F16593">
        <v>0.91</v>
      </c>
      <c r="G16593">
        <v>0.93</v>
      </c>
      <c r="H16593" s="1" t="str">
        <f>HYPERLINK("http://www.weizmann.ac.il/complex/compphys/software/geview/data/figures/219724_s_at.png","Figure")</f>
        <v>Figure</v>
      </c>
      <c r="I16593">
        <v>0.998</v>
      </c>
      <c r="J16593">
        <v>1</v>
      </c>
      <c r="K16593">
        <v>0.98699999999999999</v>
      </c>
      <c r="L16593">
        <v>0.91</v>
      </c>
      <c r="M16593">
        <v>0.98899999999999999</v>
      </c>
      <c r="N16593">
        <v>0.94</v>
      </c>
    </row>
    <row r="16594" spans="1:14" x14ac:dyDescent="0.25">
      <c r="A16594" t="s">
        <v>27778</v>
      </c>
      <c r="B16594" t="s">
        <v>27779</v>
      </c>
      <c r="C16594" s="1" t="str">
        <f>HYPERLINK("http://www.genecards.org/cgi-bin/carddisp.pl?gene=PALM","GeneCards")</f>
        <v>GeneCards</v>
      </c>
      <c r="D16594" s="1" t="str">
        <f>HYPERLINK("http://genome-euro.ucsc.edu/cgi-bin/hgTracks?position=203859_s_at","UCSC")</f>
        <v>UCSC</v>
      </c>
      <c r="E16594" s="1" t="str">
        <f>HYPERLINK("http://www.ncbi.nlm.nih.gov/gene/?term=PALM","NCBI")</f>
        <v>NCBI</v>
      </c>
      <c r="F16594">
        <v>0.91</v>
      </c>
      <c r="G16594">
        <v>0.93</v>
      </c>
      <c r="H16594" s="1" t="str">
        <f>HYPERLINK("http://www.weizmann.ac.il/complex/compphys/software/geview/data/figures/203859_s_at.png","Figure")</f>
        <v>Figure</v>
      </c>
      <c r="I16594">
        <v>1.03</v>
      </c>
      <c r="J16594">
        <v>0.97</v>
      </c>
      <c r="K16594">
        <v>1.05</v>
      </c>
      <c r="L16594">
        <v>0.9</v>
      </c>
      <c r="M16594">
        <v>1.02</v>
      </c>
      <c r="N16594">
        <v>0.98</v>
      </c>
    </row>
    <row r="16595" spans="1:14" x14ac:dyDescent="0.25">
      <c r="A16595" t="s">
        <v>27780</v>
      </c>
      <c r="B16595" t="s">
        <v>27781</v>
      </c>
      <c r="C16595" s="1" t="str">
        <f>HYPERLINK("http://www.genecards.org/cgi-bin/carddisp.pl?gene=MICB","GeneCards")</f>
        <v>GeneCards</v>
      </c>
      <c r="D16595" s="1" t="str">
        <f>HYPERLINK("http://genome-euro.ucsc.edu/cgi-bin/hgTracks?position=206247_at","UCSC")</f>
        <v>UCSC</v>
      </c>
      <c r="E16595" s="1" t="str">
        <f>HYPERLINK("http://www.ncbi.nlm.nih.gov/gene/?term=MICB","NCBI")</f>
        <v>NCBI</v>
      </c>
      <c r="F16595">
        <v>0.91</v>
      </c>
      <c r="G16595">
        <v>0.93</v>
      </c>
      <c r="H16595" s="1" t="str">
        <f>HYPERLINK("http://www.weizmann.ac.il/complex/compphys/software/geview/data/figures/206247_at.png","Figure")</f>
        <v>Figure</v>
      </c>
      <c r="I16595">
        <v>0.97499999999999998</v>
      </c>
      <c r="J16595">
        <v>0.98</v>
      </c>
      <c r="K16595">
        <v>1.03</v>
      </c>
      <c r="L16595">
        <v>0.97</v>
      </c>
      <c r="M16595">
        <v>1.06</v>
      </c>
      <c r="N16595">
        <v>0.9</v>
      </c>
    </row>
    <row r="16596" spans="1:14" x14ac:dyDescent="0.25">
      <c r="A16596" t="s">
        <v>27782</v>
      </c>
      <c r="B16596" t="s">
        <v>27783</v>
      </c>
      <c r="C16596" s="1" t="str">
        <f>HYPERLINK("http://www.genecards.org/cgi-bin/carddisp.pl?gene=MORF4L1","GeneCards")</f>
        <v>GeneCards</v>
      </c>
      <c r="D16596" s="1" t="str">
        <f>HYPERLINK("http://genome-euro.ucsc.edu/cgi-bin/hgTracks?position=217982_s_at","UCSC")</f>
        <v>UCSC</v>
      </c>
      <c r="E16596" s="1" t="str">
        <f>HYPERLINK("http://www.ncbi.nlm.nih.gov/gene/?term=MORF4L1","NCBI")</f>
        <v>NCBI</v>
      </c>
      <c r="F16596">
        <v>0.91</v>
      </c>
      <c r="G16596">
        <v>0.93</v>
      </c>
      <c r="H16596" s="1" t="str">
        <f>HYPERLINK("http://www.weizmann.ac.il/complex/compphys/software/geview/data/figures/217982_s_at.png","Figure")</f>
        <v>Figure</v>
      </c>
      <c r="I16596">
        <v>1.04</v>
      </c>
      <c r="J16596">
        <v>0.97</v>
      </c>
      <c r="K16596">
        <v>1.06</v>
      </c>
      <c r="L16596">
        <v>0.9</v>
      </c>
      <c r="M16596">
        <v>1.02</v>
      </c>
      <c r="N16596">
        <v>0.99</v>
      </c>
    </row>
    <row r="16597" spans="1:14" x14ac:dyDescent="0.25">
      <c r="A16597" t="s">
        <v>27784</v>
      </c>
      <c r="B16597" t="s">
        <v>27785</v>
      </c>
      <c r="C16597" s="1" t="str">
        <f>HYPERLINK("http://www.genecards.org/cgi-bin/carddisp.pl?gene=ZMPSTE24","GeneCards")</f>
        <v>GeneCards</v>
      </c>
      <c r="D16597" s="1" t="str">
        <f>HYPERLINK("http://genome-euro.ucsc.edu/cgi-bin/hgTracks?position=202939_at","UCSC")</f>
        <v>UCSC</v>
      </c>
      <c r="E16597" s="1" t="str">
        <f>HYPERLINK("http://www.ncbi.nlm.nih.gov/gene/?term=ZMPSTE24","NCBI")</f>
        <v>NCBI</v>
      </c>
      <c r="F16597">
        <v>0.91</v>
      </c>
      <c r="G16597">
        <v>0.93</v>
      </c>
      <c r="H16597" s="1" t="str">
        <f>HYPERLINK("http://www.weizmann.ac.il/complex/compphys/software/geview/data/figures/202939_at.png","Figure")</f>
        <v>Figure</v>
      </c>
      <c r="I16597">
        <v>0.91400000000000003</v>
      </c>
      <c r="J16597">
        <v>0.9</v>
      </c>
      <c r="K16597">
        <v>0.96799999999999997</v>
      </c>
      <c r="L16597">
        <v>0.98</v>
      </c>
      <c r="M16597">
        <v>1.06</v>
      </c>
      <c r="N16597">
        <v>0.95</v>
      </c>
    </row>
    <row r="16598" spans="1:14" x14ac:dyDescent="0.25">
      <c r="A16598" t="s">
        <v>27786</v>
      </c>
      <c r="B16598" t="s">
        <v>6266</v>
      </c>
      <c r="C16598" s="1" t="str">
        <f>HYPERLINK("http://www.genecards.org/cgi-bin/carddisp.pl?gene=CCNA2","GeneCards")</f>
        <v>GeneCards</v>
      </c>
      <c r="D16598" s="1" t="str">
        <f>HYPERLINK("http://genome-euro.ucsc.edu/cgi-bin/hgTracks?position=203418_at","UCSC")</f>
        <v>UCSC</v>
      </c>
      <c r="E16598" s="1" t="str">
        <f>HYPERLINK("http://www.ncbi.nlm.nih.gov/gene/?term=CCNA2","NCBI")</f>
        <v>NCBI</v>
      </c>
      <c r="F16598">
        <v>0.91</v>
      </c>
      <c r="G16598">
        <v>0.93</v>
      </c>
      <c r="H16598" s="1" t="str">
        <f>HYPERLINK("http://www.weizmann.ac.il/complex/compphys/software/geview/data/figures/203418_at.png","Figure")</f>
        <v>Figure</v>
      </c>
      <c r="I16598">
        <v>1.03</v>
      </c>
      <c r="J16598">
        <v>0.97</v>
      </c>
      <c r="K16598">
        <v>1.06</v>
      </c>
      <c r="L16598">
        <v>0.9</v>
      </c>
      <c r="M16598">
        <v>1.02</v>
      </c>
      <c r="N16598">
        <v>0.98</v>
      </c>
    </row>
    <row r="16599" spans="1:14" x14ac:dyDescent="0.25">
      <c r="A16599" t="s">
        <v>27787</v>
      </c>
      <c r="B16599" t="s">
        <v>27788</v>
      </c>
      <c r="C16599" s="1" t="str">
        <f>HYPERLINK("http://www.genecards.org/cgi-bin/carddisp.pl?gene=CEPT1","GeneCards")</f>
        <v>GeneCards</v>
      </c>
      <c r="D16599" s="1" t="str">
        <f>HYPERLINK("http://genome-euro.ucsc.edu/cgi-bin/hgTracks?position=219375_at","UCSC")</f>
        <v>UCSC</v>
      </c>
      <c r="E16599" s="1" t="str">
        <f>HYPERLINK("http://www.ncbi.nlm.nih.gov/gene/?term=CEPT1","NCBI")</f>
        <v>NCBI</v>
      </c>
      <c r="F16599">
        <v>0.91</v>
      </c>
      <c r="G16599">
        <v>0.93</v>
      </c>
      <c r="H16599" s="1" t="str">
        <f>HYPERLINK("http://www.weizmann.ac.il/complex/compphys/software/geview/data/figures/219375_at.png","Figure")</f>
        <v>Figure</v>
      </c>
      <c r="I16599">
        <v>1.06</v>
      </c>
      <c r="J16599">
        <v>0.91</v>
      </c>
      <c r="K16599">
        <v>1.04</v>
      </c>
      <c r="L16599">
        <v>0.94</v>
      </c>
      <c r="M16599">
        <v>0.98199999999999998</v>
      </c>
      <c r="N16599">
        <v>0.99</v>
      </c>
    </row>
    <row r="16600" spans="1:14" x14ac:dyDescent="0.25">
      <c r="A16600" t="s">
        <v>27789</v>
      </c>
      <c r="B16600" t="s">
        <v>27790</v>
      </c>
      <c r="C16600" s="1" t="str">
        <f>HYPERLINK("http://www.genecards.org/cgi-bin/carddisp.pl?gene=BTNL2","GeneCards")</f>
        <v>GeneCards</v>
      </c>
      <c r="D16600" s="1" t="str">
        <f>HYPERLINK("http://genome-euro.ucsc.edu/cgi-bin/hgTracks?position=221457_s_at","UCSC")</f>
        <v>UCSC</v>
      </c>
      <c r="E16600" s="1" t="str">
        <f>HYPERLINK("http://www.ncbi.nlm.nih.gov/gene/?term=BTNL2","NCBI")</f>
        <v>NCBI</v>
      </c>
      <c r="F16600">
        <v>0.91</v>
      </c>
      <c r="G16600">
        <v>0.93</v>
      </c>
      <c r="H16600" s="1" t="str">
        <f>HYPERLINK("http://www.weizmann.ac.il/complex/compphys/software/geview/data/figures/221457_s_at.png","Figure")</f>
        <v>Figure</v>
      </c>
      <c r="I16600">
        <v>0.98799999999999999</v>
      </c>
      <c r="J16600">
        <v>0.97</v>
      </c>
      <c r="K16600">
        <v>0.98</v>
      </c>
      <c r="L16600">
        <v>0.9</v>
      </c>
      <c r="M16600">
        <v>0.99199999999999999</v>
      </c>
      <c r="N16600">
        <v>0.99</v>
      </c>
    </row>
    <row r="16601" spans="1:14" x14ac:dyDescent="0.25">
      <c r="A16601" t="s">
        <v>27791</v>
      </c>
      <c r="B16601" t="s">
        <v>7069</v>
      </c>
      <c r="C16601" s="1" t="str">
        <f>HYPERLINK("http://www.genecards.org/cgi-bin/carddisp.pl?gene=ING2","GeneCards")</f>
        <v>GeneCards</v>
      </c>
      <c r="D16601" s="1" t="str">
        <f>HYPERLINK("http://genome-euro.ucsc.edu/cgi-bin/hgTracks?position=213544_at","UCSC")</f>
        <v>UCSC</v>
      </c>
      <c r="E16601" s="1" t="str">
        <f>HYPERLINK("http://www.ncbi.nlm.nih.gov/gene/?term=ING2","NCBI")</f>
        <v>NCBI</v>
      </c>
      <c r="F16601">
        <v>0.91</v>
      </c>
      <c r="G16601">
        <v>0.93</v>
      </c>
      <c r="H16601" s="1" t="str">
        <f>HYPERLINK("http://www.weizmann.ac.il/complex/compphys/software/geview/data/figures/213544_at.png","Figure")</f>
        <v>Figure</v>
      </c>
      <c r="I16601">
        <v>0.96899999999999997</v>
      </c>
      <c r="J16601">
        <v>0.96</v>
      </c>
      <c r="K16601">
        <v>0.95799999999999996</v>
      </c>
      <c r="L16601">
        <v>0.9</v>
      </c>
      <c r="M16601">
        <v>0.98899999999999999</v>
      </c>
      <c r="N16601">
        <v>0.99</v>
      </c>
    </row>
    <row r="16602" spans="1:14" x14ac:dyDescent="0.25">
      <c r="A16602" t="s">
        <v>27792</v>
      </c>
      <c r="B16602" t="s">
        <v>20382</v>
      </c>
      <c r="C16602" s="1" t="str">
        <f>HYPERLINK("http://www.genecards.org/cgi-bin/carddisp.pl?gene=SRF","GeneCards")</f>
        <v>GeneCards</v>
      </c>
      <c r="D16602" s="1" t="str">
        <f>HYPERLINK("http://genome-euro.ucsc.edu/cgi-bin/hgTracks?position=202401_s_at","UCSC")</f>
        <v>UCSC</v>
      </c>
      <c r="E16602" s="1" t="str">
        <f>HYPERLINK("http://www.ncbi.nlm.nih.gov/gene/?term=SRF","NCBI")</f>
        <v>NCBI</v>
      </c>
      <c r="F16602">
        <v>0.91</v>
      </c>
      <c r="G16602">
        <v>0.93</v>
      </c>
      <c r="H16602" s="1" t="str">
        <f>HYPERLINK("http://www.weizmann.ac.il/complex/compphys/software/geview/data/figures/202401_s_at.png","Figure")</f>
        <v>Figure</v>
      </c>
      <c r="I16602">
        <v>0.96199999999999997</v>
      </c>
      <c r="J16602">
        <v>0.94</v>
      </c>
      <c r="K16602">
        <v>1.01</v>
      </c>
      <c r="L16602">
        <v>1</v>
      </c>
      <c r="M16602">
        <v>1.05</v>
      </c>
      <c r="N16602">
        <v>0.9</v>
      </c>
    </row>
    <row r="16603" spans="1:14" x14ac:dyDescent="0.25">
      <c r="A16603" t="s">
        <v>27793</v>
      </c>
      <c r="B16603" t="s">
        <v>9968</v>
      </c>
      <c r="C16603" s="1" t="str">
        <f>HYPERLINK("http://www.genecards.org/cgi-bin/carddisp.pl?gene=ZC3HAV1","GeneCards")</f>
        <v>GeneCards</v>
      </c>
      <c r="D16603" s="1" t="str">
        <f>HYPERLINK("http://genome-euro.ucsc.edu/cgi-bin/hgTracks?position=213051_at","UCSC")</f>
        <v>UCSC</v>
      </c>
      <c r="E16603" s="1" t="str">
        <f>HYPERLINK("http://www.ncbi.nlm.nih.gov/gene/?term=ZC3HAV1","NCBI")</f>
        <v>NCBI</v>
      </c>
      <c r="F16603">
        <v>0.91</v>
      </c>
      <c r="G16603">
        <v>0.93</v>
      </c>
      <c r="H16603" s="1" t="str">
        <f>HYPERLINK("http://www.weizmann.ac.il/complex/compphys/software/geview/data/figures/213051_at.png","Figure")</f>
        <v>Figure</v>
      </c>
      <c r="I16603">
        <v>1.07</v>
      </c>
      <c r="J16603">
        <v>0.96</v>
      </c>
      <c r="K16603">
        <v>0.96699999999999997</v>
      </c>
      <c r="L16603">
        <v>0.99</v>
      </c>
      <c r="M16603">
        <v>0.90600000000000003</v>
      </c>
      <c r="N16603">
        <v>0.9</v>
      </c>
    </row>
    <row r="16604" spans="1:14" x14ac:dyDescent="0.25">
      <c r="A16604" t="s">
        <v>27794</v>
      </c>
      <c r="B16604" t="s">
        <v>27795</v>
      </c>
      <c r="C16604" s="1" t="str">
        <f>HYPERLINK("http://www.genecards.org/cgi-bin/carddisp.pl?gene=THSD4","GeneCards")</f>
        <v>GeneCards</v>
      </c>
      <c r="D16604" s="1" t="str">
        <f>HYPERLINK("http://genome-euro.ucsc.edu/cgi-bin/hgTracks?position=219153_s_at","UCSC")</f>
        <v>UCSC</v>
      </c>
      <c r="E16604" s="1" t="str">
        <f>HYPERLINK("http://www.ncbi.nlm.nih.gov/gene/?term=THSD4","NCBI")</f>
        <v>NCBI</v>
      </c>
      <c r="F16604">
        <v>0.91</v>
      </c>
      <c r="G16604">
        <v>0.93</v>
      </c>
      <c r="H16604" s="1" t="str">
        <f>HYPERLINK("http://www.weizmann.ac.il/complex/compphys/software/geview/data/figures/219153_s_at.png","Figure")</f>
        <v>Figure</v>
      </c>
      <c r="I16604">
        <v>1.02</v>
      </c>
      <c r="J16604">
        <v>0.9</v>
      </c>
      <c r="K16604">
        <v>1.01</v>
      </c>
      <c r="L16604">
        <v>0.95</v>
      </c>
      <c r="M16604">
        <v>0.99099999999999999</v>
      </c>
      <c r="N16604">
        <v>0.98</v>
      </c>
    </row>
    <row r="16605" spans="1:14" x14ac:dyDescent="0.25">
      <c r="A16605" t="s">
        <v>27796</v>
      </c>
      <c r="B16605" t="s">
        <v>9665</v>
      </c>
      <c r="C16605" s="1" t="str">
        <f>HYPERLINK("http://www.genecards.org/cgi-bin/carddisp.pl?gene=HNRNPUL2","GeneCards")</f>
        <v>GeneCards</v>
      </c>
      <c r="D16605" s="1" t="str">
        <f>HYPERLINK("http://genome-euro.ucsc.edu/cgi-bin/hgTracks?position=66053_at","UCSC")</f>
        <v>UCSC</v>
      </c>
      <c r="E16605" s="1" t="str">
        <f>HYPERLINK("http://www.ncbi.nlm.nih.gov/gene/?term=HNRNPUL2","NCBI")</f>
        <v>NCBI</v>
      </c>
      <c r="F16605">
        <v>0.91</v>
      </c>
      <c r="G16605">
        <v>0.93</v>
      </c>
      <c r="H16605" s="1" t="str">
        <f>HYPERLINK("http://www.weizmann.ac.il/complex/compphys/software/geview/data/figures/66053_at.png","Figure")</f>
        <v>Figure</v>
      </c>
      <c r="I16605">
        <v>1</v>
      </c>
      <c r="J16605">
        <v>1</v>
      </c>
      <c r="K16605">
        <v>0.99</v>
      </c>
      <c r="L16605">
        <v>0.93</v>
      </c>
      <c r="M16605">
        <v>0.99</v>
      </c>
      <c r="N16605">
        <v>0.93</v>
      </c>
    </row>
    <row r="16606" spans="1:14" x14ac:dyDescent="0.25">
      <c r="A16606" t="s">
        <v>27797</v>
      </c>
      <c r="B16606" t="s">
        <v>27798</v>
      </c>
      <c r="C16606" s="1" t="str">
        <f>HYPERLINK("http://www.genecards.org/cgi-bin/carddisp.pl?gene=CPOX","GeneCards")</f>
        <v>GeneCards</v>
      </c>
      <c r="D16606" s="1" t="str">
        <f>HYPERLINK("http://genome-euro.ucsc.edu/cgi-bin/hgTracks?position=204172_at","UCSC")</f>
        <v>UCSC</v>
      </c>
      <c r="E16606" s="1" t="str">
        <f>HYPERLINK("http://www.ncbi.nlm.nih.gov/gene/?term=CPOX","NCBI")</f>
        <v>NCBI</v>
      </c>
      <c r="F16606">
        <v>0.91</v>
      </c>
      <c r="G16606">
        <v>0.93</v>
      </c>
      <c r="H16606" s="1" t="str">
        <f>HYPERLINK("http://www.weizmann.ac.il/complex/compphys/software/geview/data/figures/204172_at.png","Figure")</f>
        <v>Figure</v>
      </c>
      <c r="I16606">
        <v>0.996</v>
      </c>
      <c r="J16606">
        <v>1</v>
      </c>
      <c r="K16606">
        <v>1.06</v>
      </c>
      <c r="L16606">
        <v>0.93</v>
      </c>
      <c r="M16606">
        <v>1.06</v>
      </c>
      <c r="N16606">
        <v>0.93</v>
      </c>
    </row>
    <row r="16607" spans="1:14" x14ac:dyDescent="0.25">
      <c r="A16607" t="s">
        <v>27799</v>
      </c>
      <c r="B16607" t="s">
        <v>27800</v>
      </c>
      <c r="C16607" s="1" t="str">
        <f>HYPERLINK("http://www.genecards.org/cgi-bin/carddisp.pl?gene=IRF6","GeneCards")</f>
        <v>GeneCards</v>
      </c>
      <c r="D16607" s="1" t="str">
        <f>HYPERLINK("http://genome-euro.ucsc.edu/cgi-bin/hgTracks?position=202597_at","UCSC")</f>
        <v>UCSC</v>
      </c>
      <c r="E16607" s="1" t="str">
        <f>HYPERLINK("http://www.ncbi.nlm.nih.gov/gene/?term=IRF6","NCBI")</f>
        <v>NCBI</v>
      </c>
      <c r="F16607">
        <v>0.91</v>
      </c>
      <c r="G16607">
        <v>0.93</v>
      </c>
      <c r="H16607" s="1" t="str">
        <f>HYPERLINK("http://www.weizmann.ac.il/complex/compphys/software/geview/data/figures/202597_at.png","Figure")</f>
        <v>Figure</v>
      </c>
      <c r="I16607">
        <v>1.04</v>
      </c>
      <c r="J16607">
        <v>0.91</v>
      </c>
      <c r="K16607">
        <v>1.01</v>
      </c>
      <c r="L16607">
        <v>0.99</v>
      </c>
      <c r="M16607">
        <v>0.96699999999999997</v>
      </c>
      <c r="N16607">
        <v>0.93</v>
      </c>
    </row>
    <row r="16608" spans="1:14" x14ac:dyDescent="0.25">
      <c r="A16608" t="s">
        <v>27801</v>
      </c>
      <c r="B16608" t="s">
        <v>27802</v>
      </c>
      <c r="C16608" s="1" t="str">
        <f>HYPERLINK("http://www.genecards.org/cgi-bin/carddisp.pl?gene=TLN1","GeneCards")</f>
        <v>GeneCards</v>
      </c>
      <c r="D16608" s="1" t="str">
        <f>HYPERLINK("http://genome-euro.ucsc.edu/cgi-bin/hgTracks?position=203254_s_at","UCSC")</f>
        <v>UCSC</v>
      </c>
      <c r="E16608" s="1" t="str">
        <f>HYPERLINK("http://www.ncbi.nlm.nih.gov/gene/?term=TLN1","NCBI")</f>
        <v>NCBI</v>
      </c>
      <c r="F16608">
        <v>0.91</v>
      </c>
      <c r="G16608">
        <v>0.93</v>
      </c>
      <c r="H16608" s="1" t="str">
        <f>HYPERLINK("http://www.weizmann.ac.il/complex/compphys/software/geview/data/figures/203254_s_at.png","Figure")</f>
        <v>Figure</v>
      </c>
      <c r="I16608">
        <v>1.01</v>
      </c>
      <c r="J16608">
        <v>1</v>
      </c>
      <c r="K16608">
        <v>1.04</v>
      </c>
      <c r="L16608">
        <v>0.91</v>
      </c>
      <c r="M16608">
        <v>1.03</v>
      </c>
      <c r="N16608">
        <v>0.95</v>
      </c>
    </row>
    <row r="16609" spans="1:14" x14ac:dyDescent="0.25">
      <c r="A16609" t="s">
        <v>27803</v>
      </c>
      <c r="B16609" t="s">
        <v>4609</v>
      </c>
      <c r="C16609" s="1" t="str">
        <f>HYPERLINK("http://www.genecards.org/cgi-bin/carddisp.pl?gene=ENSA","GeneCards")</f>
        <v>GeneCards</v>
      </c>
      <c r="D16609" s="1" t="str">
        <f>HYPERLINK("http://genome-euro.ucsc.edu/cgi-bin/hgTracks?position=202596_at","UCSC")</f>
        <v>UCSC</v>
      </c>
      <c r="E16609" s="1" t="str">
        <f>HYPERLINK("http://www.ncbi.nlm.nih.gov/gene/?term=ENSA","NCBI")</f>
        <v>NCBI</v>
      </c>
      <c r="F16609">
        <v>0.91</v>
      </c>
      <c r="G16609">
        <v>0.93</v>
      </c>
      <c r="H16609" s="1" t="str">
        <f>HYPERLINK("http://www.weizmann.ac.il/complex/compphys/software/geview/data/figures/202596_at.png","Figure")</f>
        <v>Figure</v>
      </c>
      <c r="I16609">
        <v>0.98099999999999998</v>
      </c>
      <c r="J16609">
        <v>0.99</v>
      </c>
      <c r="K16609">
        <v>0.94799999999999995</v>
      </c>
      <c r="L16609">
        <v>0.9</v>
      </c>
      <c r="M16609">
        <v>0.96599999999999997</v>
      </c>
      <c r="N16609">
        <v>0.96</v>
      </c>
    </row>
    <row r="16610" spans="1:14" x14ac:dyDescent="0.25">
      <c r="A16610" t="s">
        <v>27804</v>
      </c>
      <c r="B16610" t="s">
        <v>7415</v>
      </c>
      <c r="C16610" s="1" t="str">
        <f>HYPERLINK("http://www.genecards.org/cgi-bin/carddisp.pl?gene=HIF3A","GeneCards")</f>
        <v>GeneCards</v>
      </c>
      <c r="D16610" s="1" t="str">
        <f>HYPERLINK("http://genome-euro.ucsc.edu/cgi-bin/hgTracks?position=219319_at","UCSC")</f>
        <v>UCSC</v>
      </c>
      <c r="E16610" s="1" t="str">
        <f>HYPERLINK("http://www.ncbi.nlm.nih.gov/gene/?term=HIF3A","NCBI")</f>
        <v>NCBI</v>
      </c>
      <c r="F16610">
        <v>0.91</v>
      </c>
      <c r="G16610">
        <v>0.93</v>
      </c>
      <c r="H16610" s="1" t="str">
        <f>HYPERLINK("http://www.weizmann.ac.il/complex/compphys/software/geview/data/figures/219319_at.png","Figure")</f>
        <v>Figure</v>
      </c>
      <c r="I16610">
        <v>1.01</v>
      </c>
      <c r="J16610">
        <v>0.98</v>
      </c>
      <c r="K16610">
        <v>1.02</v>
      </c>
      <c r="L16610">
        <v>0.9</v>
      </c>
      <c r="M16610">
        <v>1.01</v>
      </c>
      <c r="N16610">
        <v>0.98</v>
      </c>
    </row>
    <row r="16611" spans="1:14" x14ac:dyDescent="0.25">
      <c r="A16611" t="s">
        <v>27805</v>
      </c>
      <c r="B16611" t="s">
        <v>27533</v>
      </c>
      <c r="C16611" s="1" t="str">
        <f>HYPERLINK("http://www.genecards.org/cgi-bin/carddisp.pl?gene=MAP3K12","GeneCards")</f>
        <v>GeneCards</v>
      </c>
      <c r="D16611" s="1" t="str">
        <f>HYPERLINK("http://genome-euro.ucsc.edu/cgi-bin/hgTracks?position=205448_s_at","UCSC")</f>
        <v>UCSC</v>
      </c>
      <c r="E16611" s="1" t="str">
        <f>HYPERLINK("http://www.ncbi.nlm.nih.gov/gene/?term=MAP3K12","NCBI")</f>
        <v>NCBI</v>
      </c>
      <c r="F16611">
        <v>0.91</v>
      </c>
      <c r="G16611">
        <v>0.93</v>
      </c>
      <c r="H16611" s="1" t="str">
        <f>HYPERLINK("http://www.weizmann.ac.il/complex/compphys/software/geview/data/figures/205448_s_at.png","Figure")</f>
        <v>Figure</v>
      </c>
      <c r="I16611">
        <v>1.03</v>
      </c>
      <c r="J16611">
        <v>0.9</v>
      </c>
      <c r="K16611">
        <v>1.02</v>
      </c>
      <c r="L16611">
        <v>0.95</v>
      </c>
      <c r="M16611">
        <v>0.98699999999999999</v>
      </c>
      <c r="N16611">
        <v>0.98</v>
      </c>
    </row>
    <row r="16612" spans="1:14" x14ac:dyDescent="0.25">
      <c r="A16612" t="s">
        <v>27806</v>
      </c>
      <c r="B16612" t="s">
        <v>20750</v>
      </c>
      <c r="C16612" s="1" t="str">
        <f>HYPERLINK("http://www.genecards.org/cgi-bin/carddisp.pl?gene=SRRM1","GeneCards")</f>
        <v>GeneCards</v>
      </c>
      <c r="D16612" s="1" t="str">
        <f>HYPERLINK("http://genome-euro.ucsc.edu/cgi-bin/hgTracks?position=201225_s_at","UCSC")</f>
        <v>UCSC</v>
      </c>
      <c r="E16612" s="1" t="str">
        <f>HYPERLINK("http://www.ncbi.nlm.nih.gov/gene/?term=SRRM1","NCBI")</f>
        <v>NCBI</v>
      </c>
      <c r="F16612">
        <v>0.91</v>
      </c>
      <c r="G16612">
        <v>0.93</v>
      </c>
      <c r="H16612" s="1" t="str">
        <f>HYPERLINK("http://www.weizmann.ac.il/complex/compphys/software/geview/data/figures/201225_s_at.png","Figure")</f>
        <v>Figure</v>
      </c>
      <c r="I16612">
        <v>0.96099999999999997</v>
      </c>
      <c r="J16612">
        <v>0.96</v>
      </c>
      <c r="K16612">
        <v>0.94499999999999995</v>
      </c>
      <c r="L16612">
        <v>0.9</v>
      </c>
      <c r="M16612">
        <v>0.98399999999999999</v>
      </c>
      <c r="N16612">
        <v>0.99</v>
      </c>
    </row>
    <row r="16613" spans="1:14" x14ac:dyDescent="0.25">
      <c r="A16613" t="s">
        <v>27807</v>
      </c>
      <c r="B16613" t="s">
        <v>5566</v>
      </c>
      <c r="C16613" s="1" t="str">
        <f>HYPERLINK("http://www.genecards.org/cgi-bin/carddisp.pl?gene=HNRNPA1","GeneCards")</f>
        <v>GeneCards</v>
      </c>
      <c r="D16613" s="1" t="str">
        <f>HYPERLINK("http://genome-euro.ucsc.edu/cgi-bin/hgTracks?position=222040_at","UCSC")</f>
        <v>UCSC</v>
      </c>
      <c r="E16613" s="1" t="str">
        <f>HYPERLINK("http://www.ncbi.nlm.nih.gov/gene/?term=HNRNPA1","NCBI")</f>
        <v>NCBI</v>
      </c>
      <c r="F16613">
        <v>0.91</v>
      </c>
      <c r="G16613">
        <v>0.93</v>
      </c>
      <c r="H16613" s="1" t="str">
        <f>HYPERLINK("http://www.weizmann.ac.il/complex/compphys/software/geview/data/figures/222040_at.png","Figure")</f>
        <v>Figure</v>
      </c>
      <c r="I16613">
        <v>0.94799999999999995</v>
      </c>
      <c r="J16613">
        <v>0.98</v>
      </c>
      <c r="K16613">
        <v>0.90900000000000003</v>
      </c>
      <c r="L16613">
        <v>0.9</v>
      </c>
      <c r="M16613">
        <v>0.95799999999999996</v>
      </c>
      <c r="N16613">
        <v>0.98</v>
      </c>
    </row>
    <row r="16614" spans="1:14" x14ac:dyDescent="0.25">
      <c r="A16614" t="s">
        <v>27808</v>
      </c>
      <c r="B16614" t="s">
        <v>27809</v>
      </c>
      <c r="C16614" s="1" t="str">
        <f>HYPERLINK("http://www.genecards.org/cgi-bin/carddisp.pl?gene=SPAG11B","GeneCards")</f>
        <v>GeneCards</v>
      </c>
      <c r="D16614" s="1" t="str">
        <f>HYPERLINK("http://genome-euro.ucsc.edu/cgi-bin/hgTracks?position=211381_x_at","UCSC")</f>
        <v>UCSC</v>
      </c>
      <c r="E16614" s="1" t="str">
        <f>HYPERLINK("http://www.ncbi.nlm.nih.gov/gene/?term=SPAG11B","NCBI")</f>
        <v>NCBI</v>
      </c>
      <c r="F16614">
        <v>0.91</v>
      </c>
      <c r="G16614">
        <v>0.93</v>
      </c>
      <c r="H16614" s="1" t="str">
        <f>HYPERLINK("http://www.weizmann.ac.il/complex/compphys/software/geview/data/figures/211381_x_at.png","Figure")</f>
        <v>Figure</v>
      </c>
      <c r="I16614">
        <v>1.01</v>
      </c>
      <c r="J16614">
        <v>0.99</v>
      </c>
      <c r="K16614">
        <v>1.02</v>
      </c>
      <c r="L16614">
        <v>0.91</v>
      </c>
      <c r="M16614">
        <v>1.01</v>
      </c>
      <c r="N16614">
        <v>0.96</v>
      </c>
    </row>
    <row r="16615" spans="1:14" x14ac:dyDescent="0.25">
      <c r="A16615" t="s">
        <v>27810</v>
      </c>
      <c r="B16615" t="s">
        <v>27811</v>
      </c>
      <c r="C16615" s="1" t="str">
        <f>HYPERLINK("http://www.genecards.org/cgi-bin/carddisp.pl?gene=NPLOC4","GeneCards")</f>
        <v>GeneCards</v>
      </c>
      <c r="D16615" s="1" t="str">
        <f>HYPERLINK("http://genome-euro.ucsc.edu/cgi-bin/hgTracks?position=217796_s_at","UCSC")</f>
        <v>UCSC</v>
      </c>
      <c r="E16615" s="1" t="str">
        <f>HYPERLINK("http://www.ncbi.nlm.nih.gov/gene/?term=NPLOC4","NCBI")</f>
        <v>NCBI</v>
      </c>
      <c r="F16615">
        <v>0.91</v>
      </c>
      <c r="G16615">
        <v>0.93</v>
      </c>
      <c r="H16615" s="1" t="str">
        <f>HYPERLINK("http://www.weizmann.ac.il/complex/compphys/software/geview/data/figures/217796_s_at.png","Figure")</f>
        <v>Figure</v>
      </c>
      <c r="I16615">
        <v>0.98099999999999998</v>
      </c>
      <c r="J16615">
        <v>0.98</v>
      </c>
      <c r="K16615">
        <v>1.02</v>
      </c>
      <c r="L16615">
        <v>0.97</v>
      </c>
      <c r="M16615">
        <v>1.04</v>
      </c>
      <c r="N16615">
        <v>0.9</v>
      </c>
    </row>
    <row r="16616" spans="1:14" x14ac:dyDescent="0.25">
      <c r="A16616" t="s">
        <v>27812</v>
      </c>
      <c r="B16616" t="s">
        <v>12895</v>
      </c>
      <c r="C16616" s="1" t="str">
        <f>HYPERLINK("http://www.genecards.org/cgi-bin/carddisp.pl?gene=PTEN","GeneCards")</f>
        <v>GeneCards</v>
      </c>
      <c r="D16616" s="1" t="str">
        <f>HYPERLINK("http://genome-euro.ucsc.edu/cgi-bin/hgTracks?position=204053_x_at","UCSC")</f>
        <v>UCSC</v>
      </c>
      <c r="E16616" s="1" t="str">
        <f>HYPERLINK("http://www.ncbi.nlm.nih.gov/gene/?term=PTEN","NCBI")</f>
        <v>NCBI</v>
      </c>
      <c r="F16616">
        <v>0.91</v>
      </c>
      <c r="G16616">
        <v>0.93</v>
      </c>
      <c r="H16616" s="1" t="str">
        <f>HYPERLINK("http://www.weizmann.ac.il/complex/compphys/software/geview/data/figures/204053_x_at.png","Figure")</f>
        <v>Figure</v>
      </c>
      <c r="I16616">
        <v>1.04</v>
      </c>
      <c r="J16616">
        <v>0.98</v>
      </c>
      <c r="K16616">
        <v>1.08</v>
      </c>
      <c r="L16616">
        <v>0.9</v>
      </c>
      <c r="M16616">
        <v>1.04</v>
      </c>
      <c r="N16616">
        <v>0.98</v>
      </c>
    </row>
    <row r="16617" spans="1:14" x14ac:dyDescent="0.25">
      <c r="A16617" t="s">
        <v>27813</v>
      </c>
      <c r="B16617" t="s">
        <v>27814</v>
      </c>
      <c r="C16617" s="1" t="str">
        <f>HYPERLINK("http://www.genecards.org/cgi-bin/carddisp.pl?gene=C7orf54","GeneCards")</f>
        <v>GeneCards</v>
      </c>
      <c r="D16617" s="1" t="str">
        <f>HYPERLINK("http://genome-euro.ucsc.edu/cgi-bin/hgTracks?position=210109_at","UCSC")</f>
        <v>UCSC</v>
      </c>
      <c r="E16617" s="1" t="str">
        <f>HYPERLINK("http://www.ncbi.nlm.nih.gov/gene/?term=C7orf54","NCBI")</f>
        <v>NCBI</v>
      </c>
      <c r="F16617">
        <v>0.91</v>
      </c>
      <c r="G16617">
        <v>0.93</v>
      </c>
      <c r="H16617" s="1" t="str">
        <f>HYPERLINK("http://www.weizmann.ac.il/complex/compphys/software/geview/data/figures/210109_at.png","Figure")</f>
        <v>Figure</v>
      </c>
      <c r="I16617">
        <v>1.01</v>
      </c>
      <c r="J16617">
        <v>1</v>
      </c>
      <c r="K16617">
        <v>0.93899999999999995</v>
      </c>
      <c r="L16617">
        <v>0.93</v>
      </c>
      <c r="M16617">
        <v>0.93</v>
      </c>
      <c r="N16617">
        <v>0.93</v>
      </c>
    </row>
    <row r="16618" spans="1:14" x14ac:dyDescent="0.25">
      <c r="A16618" t="s">
        <v>27815</v>
      </c>
      <c r="B16618" t="s">
        <v>27816</v>
      </c>
      <c r="C16618" s="1" t="str">
        <f>HYPERLINK("http://www.genecards.org/cgi-bin/carddisp.pl?gene=C7orf25 /// PSMA2","GeneCards")</f>
        <v>GeneCards</v>
      </c>
      <c r="D16618" s="1" t="str">
        <f>HYPERLINK("http://genome-euro.ucsc.edu/cgi-bin/hgTracks?position=221573_at","UCSC")</f>
        <v>UCSC</v>
      </c>
      <c r="E16618" s="1" t="str">
        <f>HYPERLINK("http://www.ncbi.nlm.nih.gov/gene/?term=C7orf25 /// PSMA2","NCBI")</f>
        <v>NCBI</v>
      </c>
      <c r="F16618">
        <v>0.91</v>
      </c>
      <c r="G16618">
        <v>0.93</v>
      </c>
      <c r="H16618" s="1" t="str">
        <f>HYPERLINK("http://www.weizmann.ac.il/complex/compphys/software/geview/data/figures/221573_at.png","Figure")</f>
        <v>Figure</v>
      </c>
      <c r="I16618">
        <v>0.97499999999999998</v>
      </c>
      <c r="J16618">
        <v>0.95</v>
      </c>
      <c r="K16618">
        <v>0.97099999999999997</v>
      </c>
      <c r="L16618">
        <v>0.91</v>
      </c>
      <c r="M16618">
        <v>0.996</v>
      </c>
      <c r="N16618">
        <v>1</v>
      </c>
    </row>
    <row r="16619" spans="1:14" x14ac:dyDescent="0.25">
      <c r="A16619" t="s">
        <v>27817</v>
      </c>
      <c r="B16619" t="s">
        <v>27818</v>
      </c>
      <c r="C16619" s="1" t="str">
        <f>HYPERLINK("http://www.genecards.org/cgi-bin/carddisp.pl?gene=CD1A","GeneCards")</f>
        <v>GeneCards</v>
      </c>
      <c r="D16619" s="1" t="str">
        <f>HYPERLINK("http://genome-euro.ucsc.edu/cgi-bin/hgTracks?position=210325_at","UCSC")</f>
        <v>UCSC</v>
      </c>
      <c r="E16619" s="1" t="str">
        <f>HYPERLINK("http://www.ncbi.nlm.nih.gov/gene/?term=CD1A","NCBI")</f>
        <v>NCBI</v>
      </c>
      <c r="F16619">
        <v>0.91</v>
      </c>
      <c r="G16619">
        <v>0.93</v>
      </c>
      <c r="H16619" s="1" t="str">
        <f>HYPERLINK("http://www.weizmann.ac.il/complex/compphys/software/geview/data/figures/210325_at.png","Figure")</f>
        <v>Figure</v>
      </c>
      <c r="I16619">
        <v>0.98499999999999999</v>
      </c>
      <c r="J16619">
        <v>0.99</v>
      </c>
      <c r="K16619">
        <v>0.96599999999999997</v>
      </c>
      <c r="L16619">
        <v>0.9</v>
      </c>
      <c r="M16619">
        <v>0.98099999999999998</v>
      </c>
      <c r="N16619">
        <v>0.97</v>
      </c>
    </row>
    <row r="16620" spans="1:14" x14ac:dyDescent="0.25">
      <c r="A16620" t="s">
        <v>27819</v>
      </c>
      <c r="B16620" t="s">
        <v>27820</v>
      </c>
      <c r="C16620" s="1" t="str">
        <f>HYPERLINK("http://www.genecards.org/cgi-bin/carddisp.pl?gene=FAM46C","GeneCards")</f>
        <v>GeneCards</v>
      </c>
      <c r="D16620" s="1" t="str">
        <f>HYPERLINK("http://genome-euro.ucsc.edu/cgi-bin/hgTracks?position=220306_at","UCSC")</f>
        <v>UCSC</v>
      </c>
      <c r="E16620" s="1" t="str">
        <f>HYPERLINK("http://www.ncbi.nlm.nih.gov/gene/?term=FAM46C","NCBI")</f>
        <v>NCBI</v>
      </c>
      <c r="F16620">
        <v>0.91</v>
      </c>
      <c r="G16620">
        <v>0.93</v>
      </c>
      <c r="H16620" s="1" t="str">
        <f>HYPERLINK("http://www.weizmann.ac.il/complex/compphys/software/geview/data/figures/220306_at.png","Figure")</f>
        <v>Figure</v>
      </c>
      <c r="I16620">
        <v>0.998</v>
      </c>
      <c r="J16620">
        <v>1</v>
      </c>
      <c r="K16620">
        <v>0.91500000000000004</v>
      </c>
      <c r="L16620">
        <v>0.92</v>
      </c>
      <c r="M16620">
        <v>0.91800000000000004</v>
      </c>
      <c r="N16620">
        <v>0.94</v>
      </c>
    </row>
    <row r="16621" spans="1:14" x14ac:dyDescent="0.25">
      <c r="A16621" t="s">
        <v>27821</v>
      </c>
      <c r="B16621" t="s">
        <v>10095</v>
      </c>
      <c r="C16621" s="1" t="str">
        <f>HYPERLINK("http://www.genecards.org/cgi-bin/carddisp.pl?gene=ZNF589","GeneCards")</f>
        <v>GeneCards</v>
      </c>
      <c r="D16621" s="1" t="str">
        <f>HYPERLINK("http://genome-euro.ucsc.edu/cgi-bin/hgTracks?position=210062_s_at","UCSC")</f>
        <v>UCSC</v>
      </c>
      <c r="E16621" s="1" t="str">
        <f>HYPERLINK("http://www.ncbi.nlm.nih.gov/gene/?term=ZNF589","NCBI")</f>
        <v>NCBI</v>
      </c>
      <c r="F16621">
        <v>0.91</v>
      </c>
      <c r="G16621">
        <v>0.93</v>
      </c>
      <c r="H16621" s="1" t="str">
        <f>HYPERLINK("http://www.weizmann.ac.il/complex/compphys/software/geview/data/figures/210062_s_at.png","Figure")</f>
        <v>Figure</v>
      </c>
      <c r="I16621">
        <v>1.01</v>
      </c>
      <c r="J16621">
        <v>0.96</v>
      </c>
      <c r="K16621">
        <v>1.02</v>
      </c>
      <c r="L16621">
        <v>0.9</v>
      </c>
      <c r="M16621">
        <v>1</v>
      </c>
      <c r="N16621">
        <v>0.99</v>
      </c>
    </row>
    <row r="16622" spans="1:14" x14ac:dyDescent="0.25">
      <c r="A16622" t="s">
        <v>27822</v>
      </c>
      <c r="B16622" t="s">
        <v>27823</v>
      </c>
      <c r="C16622" s="1" t="str">
        <f>HYPERLINK("http://www.genecards.org/cgi-bin/carddisp.pl?gene=FAM189B","GeneCards")</f>
        <v>GeneCards</v>
      </c>
      <c r="D16622" s="1" t="str">
        <f>HYPERLINK("http://genome-euro.ucsc.edu/cgi-bin/hgTracks?position=203550_s_at","UCSC")</f>
        <v>UCSC</v>
      </c>
      <c r="E16622" s="1" t="str">
        <f>HYPERLINK("http://www.ncbi.nlm.nih.gov/gene/?term=FAM189B","NCBI")</f>
        <v>NCBI</v>
      </c>
      <c r="F16622">
        <v>0.91</v>
      </c>
      <c r="G16622">
        <v>0.93</v>
      </c>
      <c r="H16622" s="1" t="str">
        <f>HYPERLINK("http://www.weizmann.ac.il/complex/compphys/software/geview/data/figures/203550_s_at.png","Figure")</f>
        <v>Figure</v>
      </c>
      <c r="I16622">
        <v>0.95499999999999996</v>
      </c>
      <c r="J16622">
        <v>0.94</v>
      </c>
      <c r="K16622">
        <v>1.01</v>
      </c>
      <c r="L16622">
        <v>1</v>
      </c>
      <c r="M16622">
        <v>1.06</v>
      </c>
      <c r="N16622">
        <v>0.91</v>
      </c>
    </row>
    <row r="16623" spans="1:14" x14ac:dyDescent="0.25">
      <c r="A16623" t="s">
        <v>27824</v>
      </c>
      <c r="B16623" t="s">
        <v>26292</v>
      </c>
      <c r="C16623" s="1" t="str">
        <f>HYPERLINK("http://www.genecards.org/cgi-bin/carddisp.pl?gene=FKBP4","GeneCards")</f>
        <v>GeneCards</v>
      </c>
      <c r="D16623" s="1" t="str">
        <f>HYPERLINK("http://genome-euro.ucsc.edu/cgi-bin/hgTracks?position=200894_s_at","UCSC")</f>
        <v>UCSC</v>
      </c>
      <c r="E16623" s="1" t="str">
        <f>HYPERLINK("http://www.ncbi.nlm.nih.gov/gene/?term=FKBP4","NCBI")</f>
        <v>NCBI</v>
      </c>
      <c r="F16623">
        <v>0.91</v>
      </c>
      <c r="G16623">
        <v>0.93</v>
      </c>
      <c r="H16623" s="1" t="str">
        <f>HYPERLINK("http://www.weizmann.ac.il/complex/compphys/software/geview/data/figures/200894_s_at.png","Figure")</f>
        <v>Figure</v>
      </c>
      <c r="I16623">
        <v>0.98299999999999998</v>
      </c>
      <c r="J16623">
        <v>0.97</v>
      </c>
      <c r="K16623">
        <v>1.01</v>
      </c>
      <c r="L16623">
        <v>0.98</v>
      </c>
      <c r="M16623">
        <v>1.03</v>
      </c>
      <c r="N16623">
        <v>0.9</v>
      </c>
    </row>
    <row r="16624" spans="1:14" x14ac:dyDescent="0.25">
      <c r="A16624" t="s">
        <v>27825</v>
      </c>
      <c r="B16624" t="s">
        <v>16596</v>
      </c>
      <c r="C16624" s="1" t="str">
        <f>HYPERLINK("http://www.genecards.org/cgi-bin/carddisp.pl?gene=TAP2","GeneCards")</f>
        <v>GeneCards</v>
      </c>
      <c r="D16624" s="1" t="str">
        <f>HYPERLINK("http://genome-euro.ucsc.edu/cgi-bin/hgTracks?position=204769_s_at","UCSC")</f>
        <v>UCSC</v>
      </c>
      <c r="E16624" s="1" t="str">
        <f>HYPERLINK("http://www.ncbi.nlm.nih.gov/gene/?term=TAP2","NCBI")</f>
        <v>NCBI</v>
      </c>
      <c r="F16624">
        <v>0.91</v>
      </c>
      <c r="G16624">
        <v>0.93</v>
      </c>
      <c r="H16624" s="1" t="str">
        <f>HYPERLINK("http://www.weizmann.ac.il/complex/compphys/software/geview/data/figures/204769_s_at.png","Figure")</f>
        <v>Figure</v>
      </c>
      <c r="I16624">
        <v>0.99399999999999999</v>
      </c>
      <c r="J16624">
        <v>1</v>
      </c>
      <c r="K16624">
        <v>1.06</v>
      </c>
      <c r="L16624">
        <v>0.93</v>
      </c>
      <c r="M16624">
        <v>1.06</v>
      </c>
      <c r="N16624">
        <v>0.93</v>
      </c>
    </row>
    <row r="16625" spans="1:14" x14ac:dyDescent="0.25">
      <c r="A16625" t="s">
        <v>27826</v>
      </c>
      <c r="B16625" t="s">
        <v>6707</v>
      </c>
      <c r="C16625" s="1" t="str">
        <f>HYPERLINK("http://www.genecards.org/cgi-bin/carddisp.pl?gene=SCD","GeneCards")</f>
        <v>GeneCards</v>
      </c>
      <c r="D16625" s="1" t="str">
        <f>HYPERLINK("http://genome-euro.ucsc.edu/cgi-bin/hgTracks?position=211162_x_at","UCSC")</f>
        <v>UCSC</v>
      </c>
      <c r="E16625" s="1" t="str">
        <f>HYPERLINK("http://www.ncbi.nlm.nih.gov/gene/?term=SCD","NCBI")</f>
        <v>NCBI</v>
      </c>
      <c r="F16625">
        <v>0.91</v>
      </c>
      <c r="G16625">
        <v>0.93</v>
      </c>
      <c r="H16625" s="1" t="str">
        <f>HYPERLINK("http://www.weizmann.ac.il/complex/compphys/software/geview/data/figures/211162_x_at.png","Figure")</f>
        <v>Figure</v>
      </c>
      <c r="I16625">
        <v>1.04</v>
      </c>
      <c r="J16625">
        <v>0.92</v>
      </c>
      <c r="K16625">
        <v>1</v>
      </c>
      <c r="L16625">
        <v>1</v>
      </c>
      <c r="M16625">
        <v>0.96</v>
      </c>
      <c r="N16625">
        <v>0.92</v>
      </c>
    </row>
    <row r="16626" spans="1:14" x14ac:dyDescent="0.25">
      <c r="A16626" t="s">
        <v>27827</v>
      </c>
      <c r="B16626" t="s">
        <v>17733</v>
      </c>
      <c r="C16626" s="1" t="str">
        <f>HYPERLINK("http://www.genecards.org/cgi-bin/carddisp.pl?gene=FRYL","GeneCards")</f>
        <v>GeneCards</v>
      </c>
      <c r="D16626" s="1" t="str">
        <f>HYPERLINK("http://genome-euro.ucsc.edu/cgi-bin/hgTracks?position=212548_s_at","UCSC")</f>
        <v>UCSC</v>
      </c>
      <c r="E16626" s="1" t="str">
        <f>HYPERLINK("http://www.ncbi.nlm.nih.gov/gene/?term=FRYL","NCBI")</f>
        <v>NCBI</v>
      </c>
      <c r="F16626">
        <v>0.91</v>
      </c>
      <c r="G16626">
        <v>0.93</v>
      </c>
      <c r="H16626" s="1" t="str">
        <f>HYPERLINK("http://www.weizmann.ac.il/complex/compphys/software/geview/data/figures/212548_s_at.png","Figure")</f>
        <v>Figure</v>
      </c>
      <c r="I16626">
        <v>0.92600000000000005</v>
      </c>
      <c r="J16626">
        <v>0.92</v>
      </c>
      <c r="K16626">
        <v>0.99299999999999999</v>
      </c>
      <c r="L16626">
        <v>1</v>
      </c>
      <c r="M16626">
        <v>1.07</v>
      </c>
      <c r="N16626">
        <v>0.92</v>
      </c>
    </row>
    <row r="16627" spans="1:14" x14ac:dyDescent="0.25">
      <c r="A16627" t="s">
        <v>27828</v>
      </c>
      <c r="B16627" t="s">
        <v>27829</v>
      </c>
      <c r="C16627" s="1" t="str">
        <f>HYPERLINK("http://www.genecards.org/cgi-bin/carddisp.pl?gene=FAM13B","GeneCards")</f>
        <v>GeneCards</v>
      </c>
      <c r="D16627" s="1" t="str">
        <f>HYPERLINK("http://genome-euro.ucsc.edu/cgi-bin/hgTracks?position=218518_at","UCSC")</f>
        <v>UCSC</v>
      </c>
      <c r="E16627" s="1" t="str">
        <f>HYPERLINK("http://www.ncbi.nlm.nih.gov/gene/?term=FAM13B","NCBI")</f>
        <v>NCBI</v>
      </c>
      <c r="F16627">
        <v>0.91</v>
      </c>
      <c r="G16627">
        <v>0.93</v>
      </c>
      <c r="H16627" s="1" t="str">
        <f>HYPERLINK("http://www.weizmann.ac.il/complex/compphys/software/geview/data/figures/218518_at.png","Figure")</f>
        <v>Figure</v>
      </c>
      <c r="I16627">
        <v>1.05</v>
      </c>
      <c r="J16627">
        <v>0.97</v>
      </c>
      <c r="K16627">
        <v>0.96699999999999997</v>
      </c>
      <c r="L16627">
        <v>0.98</v>
      </c>
      <c r="M16627">
        <v>0.92</v>
      </c>
      <c r="N16627">
        <v>0.9</v>
      </c>
    </row>
    <row r="16628" spans="1:14" x14ac:dyDescent="0.25">
      <c r="A16628" t="s">
        <v>27830</v>
      </c>
      <c r="B16628" t="s">
        <v>27831</v>
      </c>
      <c r="C16628" s="1" t="str">
        <f>HYPERLINK("http://www.genecards.org/cgi-bin/carddisp.pl?gene=C8orf33","GeneCards")</f>
        <v>GeneCards</v>
      </c>
      <c r="D16628" s="1" t="str">
        <f>HYPERLINK("http://genome-euro.ucsc.edu/cgi-bin/hgTracks?position=218187_s_at","UCSC")</f>
        <v>UCSC</v>
      </c>
      <c r="E16628" s="1" t="str">
        <f>HYPERLINK("http://www.ncbi.nlm.nih.gov/gene/?term=C8orf33","NCBI")</f>
        <v>NCBI</v>
      </c>
      <c r="F16628">
        <v>0.91</v>
      </c>
      <c r="G16628">
        <v>0.93</v>
      </c>
      <c r="H16628" s="1" t="str">
        <f>HYPERLINK("http://www.weizmann.ac.il/complex/compphys/software/geview/data/figures/218187_s_at.png","Figure")</f>
        <v>Figure</v>
      </c>
      <c r="I16628">
        <v>0.98899999999999999</v>
      </c>
      <c r="J16628">
        <v>1</v>
      </c>
      <c r="K16628">
        <v>0.92800000000000005</v>
      </c>
      <c r="L16628">
        <v>0.92</v>
      </c>
      <c r="M16628">
        <v>0.93799999999999994</v>
      </c>
      <c r="N16628">
        <v>0.95</v>
      </c>
    </row>
    <row r="16629" spans="1:14" x14ac:dyDescent="0.25">
      <c r="A16629" t="s">
        <v>27832</v>
      </c>
      <c r="B16629" t="s">
        <v>27833</v>
      </c>
      <c r="C16629" s="1" t="str">
        <f>HYPERLINK("http://www.genecards.org/cgi-bin/carddisp.pl?gene=SPAG7","GeneCards")</f>
        <v>GeneCards</v>
      </c>
      <c r="D16629" s="1" t="str">
        <f>HYPERLINK("http://genome-euro.ucsc.edu/cgi-bin/hgTracks?position=200053_at","UCSC")</f>
        <v>UCSC</v>
      </c>
      <c r="E16629" s="1" t="str">
        <f>HYPERLINK("http://www.ncbi.nlm.nih.gov/gene/?term=SPAG7","NCBI")</f>
        <v>NCBI</v>
      </c>
      <c r="F16629">
        <v>0.91</v>
      </c>
      <c r="G16629">
        <v>0.93</v>
      </c>
      <c r="H16629" s="1" t="str">
        <f>HYPERLINK("http://www.weizmann.ac.il/complex/compphys/software/geview/data/figures/200053_at.png","Figure")</f>
        <v>Figure</v>
      </c>
      <c r="I16629">
        <v>1.02</v>
      </c>
      <c r="J16629">
        <v>0.97</v>
      </c>
      <c r="K16629">
        <v>0.98</v>
      </c>
      <c r="L16629">
        <v>0.98</v>
      </c>
      <c r="M16629">
        <v>0.95699999999999996</v>
      </c>
      <c r="N16629">
        <v>0.91</v>
      </c>
    </row>
    <row r="16630" spans="1:14" x14ac:dyDescent="0.25">
      <c r="A16630" t="s">
        <v>27834</v>
      </c>
      <c r="B16630" t="s">
        <v>27835</v>
      </c>
      <c r="C16630" s="1" t="str">
        <f>HYPERLINK("http://www.genecards.org/cgi-bin/carddisp.pl?gene=ZSCAN5A","GeneCards")</f>
        <v>GeneCards</v>
      </c>
      <c r="D16630" s="1" t="str">
        <f>HYPERLINK("http://genome-euro.ucsc.edu/cgi-bin/hgTracks?position=219904_at","UCSC")</f>
        <v>UCSC</v>
      </c>
      <c r="E16630" s="1" t="str">
        <f>HYPERLINK("http://www.ncbi.nlm.nih.gov/gene/?term=ZSCAN5A","NCBI")</f>
        <v>NCBI</v>
      </c>
      <c r="F16630">
        <v>0.91</v>
      </c>
      <c r="G16630">
        <v>0.93</v>
      </c>
      <c r="H16630" s="1" t="str">
        <f>HYPERLINK("http://www.weizmann.ac.il/complex/compphys/software/geview/data/figures/219904_at.png","Figure")</f>
        <v>Figure</v>
      </c>
      <c r="I16630">
        <v>1.03</v>
      </c>
      <c r="J16630">
        <v>0.91</v>
      </c>
      <c r="K16630">
        <v>1.02</v>
      </c>
      <c r="L16630">
        <v>0.96</v>
      </c>
      <c r="M16630">
        <v>0.98499999999999999</v>
      </c>
      <c r="N16630">
        <v>0.98</v>
      </c>
    </row>
    <row r="16631" spans="1:14" x14ac:dyDescent="0.25">
      <c r="A16631" t="s">
        <v>27836</v>
      </c>
      <c r="B16631" t="s">
        <v>27093</v>
      </c>
      <c r="C16631" s="1" t="str">
        <f>HYPERLINK("http://www.genecards.org/cgi-bin/carddisp.pl?gene=TOMM20","GeneCards")</f>
        <v>GeneCards</v>
      </c>
      <c r="D16631" s="1" t="str">
        <f>HYPERLINK("http://genome-euro.ucsc.edu/cgi-bin/hgTracks?position=200662_s_at","UCSC")</f>
        <v>UCSC</v>
      </c>
      <c r="E16631" s="1" t="str">
        <f>HYPERLINK("http://www.ncbi.nlm.nih.gov/gene/?term=TOMM20","NCBI")</f>
        <v>NCBI</v>
      </c>
      <c r="F16631">
        <v>0.91</v>
      </c>
      <c r="G16631">
        <v>0.93</v>
      </c>
      <c r="H16631" s="1" t="str">
        <f>HYPERLINK("http://www.weizmann.ac.il/complex/compphys/software/geview/data/figures/200662_s_at.png","Figure")</f>
        <v>Figure</v>
      </c>
      <c r="I16631">
        <v>0.93500000000000005</v>
      </c>
      <c r="J16631">
        <v>0.93</v>
      </c>
      <c r="K16631">
        <v>0.999</v>
      </c>
      <c r="L16631">
        <v>1</v>
      </c>
      <c r="M16631">
        <v>1.07</v>
      </c>
      <c r="N16631">
        <v>0.92</v>
      </c>
    </row>
    <row r="16632" spans="1:14" x14ac:dyDescent="0.25">
      <c r="A16632" t="s">
        <v>27837</v>
      </c>
      <c r="B16632" t="s">
        <v>16522</v>
      </c>
      <c r="C16632" s="1" t="str">
        <f>HYPERLINK("http://www.genecards.org/cgi-bin/carddisp.pl?gene=NUP88","GeneCards")</f>
        <v>GeneCards</v>
      </c>
      <c r="D16632" s="1" t="str">
        <f>HYPERLINK("http://genome-euro.ucsc.edu/cgi-bin/hgTracks?position=214192_at","UCSC")</f>
        <v>UCSC</v>
      </c>
      <c r="E16632" s="1" t="str">
        <f>HYPERLINK("http://www.ncbi.nlm.nih.gov/gene/?term=NUP88","NCBI")</f>
        <v>NCBI</v>
      </c>
      <c r="F16632">
        <v>0.91</v>
      </c>
      <c r="G16632">
        <v>0.93</v>
      </c>
      <c r="H16632" s="1" t="str">
        <f>HYPERLINK("http://www.weizmann.ac.il/complex/compphys/software/geview/data/figures/214192_at.png","Figure")</f>
        <v>Figure</v>
      </c>
      <c r="I16632">
        <v>1.01</v>
      </c>
      <c r="J16632">
        <v>1</v>
      </c>
      <c r="K16632">
        <v>0.94299999999999995</v>
      </c>
      <c r="L16632">
        <v>0.94</v>
      </c>
      <c r="M16632">
        <v>0.93200000000000005</v>
      </c>
      <c r="N16632">
        <v>0.93</v>
      </c>
    </row>
    <row r="16633" spans="1:14" x14ac:dyDescent="0.25">
      <c r="A16633" t="s">
        <v>27838</v>
      </c>
      <c r="B16633" t="s">
        <v>2571</v>
      </c>
      <c r="C16633" s="1" t="str">
        <f>HYPERLINK("http://www.genecards.org/cgi-bin/carddisp.pl?gene=MBP","GeneCards")</f>
        <v>GeneCards</v>
      </c>
      <c r="D16633" s="1" t="str">
        <f>HYPERLINK("http://genome-euro.ucsc.edu/cgi-bin/hgTracks?position=209072_at","UCSC")</f>
        <v>UCSC</v>
      </c>
      <c r="E16633" s="1" t="str">
        <f>HYPERLINK("http://www.ncbi.nlm.nih.gov/gene/?term=MBP","NCBI")</f>
        <v>NCBI</v>
      </c>
      <c r="F16633">
        <v>0.91</v>
      </c>
      <c r="G16633">
        <v>0.93</v>
      </c>
      <c r="H16633" s="1" t="str">
        <f>HYPERLINK("http://www.weizmann.ac.il/complex/compphys/software/geview/data/figures/209072_at.png","Figure")</f>
        <v>Figure</v>
      </c>
      <c r="I16633">
        <v>1.03</v>
      </c>
      <c r="J16633">
        <v>0.94</v>
      </c>
      <c r="K16633">
        <v>0.995</v>
      </c>
      <c r="L16633">
        <v>1</v>
      </c>
      <c r="M16633">
        <v>0.96499999999999997</v>
      </c>
      <c r="N16633">
        <v>0.91</v>
      </c>
    </row>
    <row r="16634" spans="1:14" x14ac:dyDescent="0.25">
      <c r="A16634" t="s">
        <v>27839</v>
      </c>
      <c r="B16634" t="s">
        <v>15736</v>
      </c>
      <c r="C16634" s="1" t="str">
        <f>HYPERLINK("http://www.genecards.org/cgi-bin/carddisp.pl?gene=SP110","GeneCards")</f>
        <v>GeneCards</v>
      </c>
      <c r="D16634" s="1" t="str">
        <f>HYPERLINK("http://genome-euro.ucsc.edu/cgi-bin/hgTracks?position=209761_s_at","UCSC")</f>
        <v>UCSC</v>
      </c>
      <c r="E16634" s="1" t="str">
        <f>HYPERLINK("http://www.ncbi.nlm.nih.gov/gene/?term=SP110","NCBI")</f>
        <v>NCBI</v>
      </c>
      <c r="F16634">
        <v>0.91</v>
      </c>
      <c r="G16634">
        <v>0.93</v>
      </c>
      <c r="H16634" s="1" t="str">
        <f>HYPERLINK("http://www.weizmann.ac.il/complex/compphys/software/geview/data/figures/209761_s_at.png","Figure")</f>
        <v>Figure</v>
      </c>
      <c r="I16634">
        <v>0.999</v>
      </c>
      <c r="J16634">
        <v>1</v>
      </c>
      <c r="K16634">
        <v>0.93400000000000005</v>
      </c>
      <c r="L16634">
        <v>0.93</v>
      </c>
      <c r="M16634">
        <v>0.93400000000000005</v>
      </c>
      <c r="N16634">
        <v>0.94</v>
      </c>
    </row>
    <row r="16635" spans="1:14" x14ac:dyDescent="0.25">
      <c r="A16635" t="s">
        <v>27840</v>
      </c>
      <c r="B16635" t="s">
        <v>27663</v>
      </c>
      <c r="C16635" s="1" t="str">
        <f>HYPERLINK("http://www.genecards.org/cgi-bin/carddisp.pl?gene=ACTR1A","GeneCards")</f>
        <v>GeneCards</v>
      </c>
      <c r="D16635" s="1" t="str">
        <f>HYPERLINK("http://genome-euro.ucsc.edu/cgi-bin/hgTracks?position=200720_s_at","UCSC")</f>
        <v>UCSC</v>
      </c>
      <c r="E16635" s="1" t="str">
        <f>HYPERLINK("http://www.ncbi.nlm.nih.gov/gene/?term=ACTR1A","NCBI")</f>
        <v>NCBI</v>
      </c>
      <c r="F16635">
        <v>0.91</v>
      </c>
      <c r="G16635">
        <v>0.93</v>
      </c>
      <c r="H16635" s="1" t="str">
        <f>HYPERLINK("http://www.weizmann.ac.il/complex/compphys/software/geview/data/figures/200720_s_at.png","Figure")</f>
        <v>Figure</v>
      </c>
      <c r="I16635">
        <v>0.93899999999999995</v>
      </c>
      <c r="J16635">
        <v>0.91</v>
      </c>
      <c r="K16635">
        <v>0.97099999999999997</v>
      </c>
      <c r="L16635">
        <v>0.97</v>
      </c>
      <c r="M16635">
        <v>1.03</v>
      </c>
      <c r="N16635">
        <v>0.97</v>
      </c>
    </row>
    <row r="16636" spans="1:14" x14ac:dyDescent="0.25">
      <c r="A16636" t="s">
        <v>27841</v>
      </c>
      <c r="B16636" t="s">
        <v>22178</v>
      </c>
      <c r="C16636" s="1" t="str">
        <f>HYPERLINK("http://www.genecards.org/cgi-bin/carddisp.pl?gene=MYST1","GeneCards")</f>
        <v>GeneCards</v>
      </c>
      <c r="D16636" s="1" t="str">
        <f>HYPERLINK("http://genome-euro.ucsc.edu/cgi-bin/hgTracks?position=221820_s_at","UCSC")</f>
        <v>UCSC</v>
      </c>
      <c r="E16636" s="1" t="str">
        <f>HYPERLINK("http://www.ncbi.nlm.nih.gov/gene/?term=MYST1","NCBI")</f>
        <v>NCBI</v>
      </c>
      <c r="F16636">
        <v>0.91</v>
      </c>
      <c r="G16636">
        <v>0.93</v>
      </c>
      <c r="H16636" s="1" t="str">
        <f>HYPERLINK("http://www.weizmann.ac.il/complex/compphys/software/geview/data/figures/221820_s_at.png","Figure")</f>
        <v>Figure</v>
      </c>
      <c r="I16636">
        <v>1.03</v>
      </c>
      <c r="J16636">
        <v>0.93</v>
      </c>
      <c r="K16636">
        <v>1.03</v>
      </c>
      <c r="L16636">
        <v>0.93</v>
      </c>
      <c r="M16636">
        <v>0.995</v>
      </c>
      <c r="N16636">
        <v>1</v>
      </c>
    </row>
    <row r="16637" spans="1:14" x14ac:dyDescent="0.25">
      <c r="A16637" t="s">
        <v>27842</v>
      </c>
      <c r="B16637" t="s">
        <v>27843</v>
      </c>
      <c r="C16637" s="1" t="str">
        <f>HYPERLINK("http://www.genecards.org/cgi-bin/carddisp.pl?gene=MCRS1","GeneCards")</f>
        <v>GeneCards</v>
      </c>
      <c r="D16637" s="1" t="str">
        <f>HYPERLINK("http://genome-euro.ucsc.edu/cgi-bin/hgTracks?position=202556_s_at","UCSC")</f>
        <v>UCSC</v>
      </c>
      <c r="E16637" s="1" t="str">
        <f>HYPERLINK("http://www.ncbi.nlm.nih.gov/gene/?term=MCRS1","NCBI")</f>
        <v>NCBI</v>
      </c>
      <c r="F16637">
        <v>0.91</v>
      </c>
      <c r="G16637">
        <v>0.93</v>
      </c>
      <c r="H16637" s="1" t="str">
        <f>HYPERLINK("http://www.weizmann.ac.il/complex/compphys/software/geview/data/figures/202556_s_at.png","Figure")</f>
        <v>Figure</v>
      </c>
      <c r="I16637">
        <v>0.95699999999999996</v>
      </c>
      <c r="J16637">
        <v>0.92</v>
      </c>
      <c r="K16637">
        <v>0.99299999999999999</v>
      </c>
      <c r="L16637">
        <v>1</v>
      </c>
      <c r="M16637">
        <v>1.04</v>
      </c>
      <c r="N16637">
        <v>0.93</v>
      </c>
    </row>
    <row r="16638" spans="1:14" x14ac:dyDescent="0.25">
      <c r="A16638" t="s">
        <v>27844</v>
      </c>
      <c r="B16638" t="s">
        <v>27845</v>
      </c>
      <c r="C16638" s="1" t="str">
        <f>HYPERLINK("http://www.genecards.org/cgi-bin/carddisp.pl?gene=OTUD3","GeneCards")</f>
        <v>GeneCards</v>
      </c>
      <c r="D16638" s="1" t="str">
        <f>HYPERLINK("http://genome-euro.ucsc.edu/cgi-bin/hgTracks?position=213216_at","UCSC")</f>
        <v>UCSC</v>
      </c>
      <c r="E16638" s="1" t="str">
        <f>HYPERLINK("http://www.ncbi.nlm.nih.gov/gene/?term=OTUD3","NCBI")</f>
        <v>NCBI</v>
      </c>
      <c r="F16638">
        <v>0.91</v>
      </c>
      <c r="G16638">
        <v>0.94</v>
      </c>
      <c r="H16638" s="1" t="str">
        <f>HYPERLINK("http://www.weizmann.ac.il/complex/compphys/software/geview/data/figures/213216_at.png","Figure")</f>
        <v>Figure</v>
      </c>
      <c r="I16638">
        <v>0.99299999999999999</v>
      </c>
      <c r="J16638">
        <v>1</v>
      </c>
      <c r="K16638">
        <v>0.90300000000000002</v>
      </c>
      <c r="L16638">
        <v>0.93</v>
      </c>
      <c r="M16638">
        <v>0.90900000000000003</v>
      </c>
      <c r="N16638">
        <v>0.94</v>
      </c>
    </row>
    <row r="16639" spans="1:14" x14ac:dyDescent="0.25">
      <c r="A16639" t="s">
        <v>27846</v>
      </c>
      <c r="B16639" t="s">
        <v>27847</v>
      </c>
      <c r="C16639" s="1" t="str">
        <f>HYPERLINK("http://www.genecards.org/cgi-bin/carddisp.pl?gene=C16orf61","GeneCards")</f>
        <v>GeneCards</v>
      </c>
      <c r="D16639" s="1" t="str">
        <f>HYPERLINK("http://genome-euro.ucsc.edu/cgi-bin/hgTracks?position=218447_at","UCSC")</f>
        <v>UCSC</v>
      </c>
      <c r="E16639" s="1" t="str">
        <f>HYPERLINK("http://www.ncbi.nlm.nih.gov/gene/?term=C16orf61","NCBI")</f>
        <v>NCBI</v>
      </c>
      <c r="F16639">
        <v>0.91</v>
      </c>
      <c r="G16639">
        <v>0.94</v>
      </c>
      <c r="H16639" s="1" t="str">
        <f>HYPERLINK("http://www.weizmann.ac.il/complex/compphys/software/geview/data/figures/218447_at.png","Figure")</f>
        <v>Figure</v>
      </c>
      <c r="I16639">
        <v>1.01</v>
      </c>
      <c r="J16639">
        <v>1</v>
      </c>
      <c r="K16639">
        <v>0.96099999999999997</v>
      </c>
      <c r="L16639">
        <v>0.95</v>
      </c>
      <c r="M16639">
        <v>0.95099999999999996</v>
      </c>
      <c r="N16639">
        <v>0.92</v>
      </c>
    </row>
    <row r="16640" spans="1:14" x14ac:dyDescent="0.25">
      <c r="A16640" t="s">
        <v>27848</v>
      </c>
      <c r="B16640" t="s">
        <v>27849</v>
      </c>
      <c r="C16640" s="1" t="str">
        <f>HYPERLINK("http://www.genecards.org/cgi-bin/carddisp.pl?gene=C9orf6","GeneCards")</f>
        <v>GeneCards</v>
      </c>
      <c r="D16640" s="1" t="str">
        <f>HYPERLINK("http://genome-euro.ucsc.edu/cgi-bin/hgTracks?position=218998_at","UCSC")</f>
        <v>UCSC</v>
      </c>
      <c r="E16640" s="1" t="str">
        <f>HYPERLINK("http://www.ncbi.nlm.nih.gov/gene/?term=C9orf6","NCBI")</f>
        <v>NCBI</v>
      </c>
      <c r="F16640">
        <v>0.92</v>
      </c>
      <c r="G16640">
        <v>0.94</v>
      </c>
      <c r="H16640" s="1" t="str">
        <f>HYPERLINK("http://www.weizmann.ac.il/complex/compphys/software/geview/data/figures/218998_at.png","Figure")</f>
        <v>Figure</v>
      </c>
      <c r="I16640">
        <v>1.02</v>
      </c>
      <c r="J16640">
        <v>0.98</v>
      </c>
      <c r="K16640">
        <v>1.04</v>
      </c>
      <c r="L16640">
        <v>0.91</v>
      </c>
      <c r="M16640">
        <v>1.02</v>
      </c>
      <c r="N16640">
        <v>0.98</v>
      </c>
    </row>
    <row r="16641" spans="1:14" x14ac:dyDescent="0.25">
      <c r="A16641" t="s">
        <v>27850</v>
      </c>
      <c r="B16641" t="s">
        <v>27851</v>
      </c>
      <c r="C16641" s="1" t="str">
        <f>HYPERLINK("http://www.genecards.org/cgi-bin/carddisp.pl?gene=MOGS","GeneCards")</f>
        <v>GeneCards</v>
      </c>
      <c r="D16641" s="1" t="str">
        <f>HYPERLINK("http://genome-euro.ucsc.edu/cgi-bin/hgTracks?position=210627_s_at","UCSC")</f>
        <v>UCSC</v>
      </c>
      <c r="E16641" s="1" t="str">
        <f>HYPERLINK("http://www.ncbi.nlm.nih.gov/gene/?term=MOGS","NCBI")</f>
        <v>NCBI</v>
      </c>
      <c r="F16641">
        <v>0.92</v>
      </c>
      <c r="G16641">
        <v>0.94</v>
      </c>
      <c r="H16641" s="1" t="str">
        <f>HYPERLINK("http://www.weizmann.ac.il/complex/compphys/software/geview/data/figures/210627_s_at.png","Figure")</f>
        <v>Figure</v>
      </c>
      <c r="I16641">
        <v>0.99</v>
      </c>
      <c r="J16641">
        <v>1</v>
      </c>
      <c r="K16641">
        <v>0.96099999999999997</v>
      </c>
      <c r="L16641">
        <v>0.92</v>
      </c>
      <c r="M16641">
        <v>0.97099999999999997</v>
      </c>
      <c r="N16641">
        <v>0.96</v>
      </c>
    </row>
    <row r="16642" spans="1:14" x14ac:dyDescent="0.25">
      <c r="A16642" t="s">
        <v>27852</v>
      </c>
      <c r="B16642" t="s">
        <v>27853</v>
      </c>
      <c r="C16642" s="1" t="str">
        <f>HYPERLINK("http://www.genecards.org/cgi-bin/carddisp.pl?gene=GPBP1L1","GeneCards")</f>
        <v>GeneCards</v>
      </c>
      <c r="D16642" s="1" t="str">
        <f>HYPERLINK("http://genome-euro.ucsc.edu/cgi-bin/hgTracks?position=217877_s_at","UCSC")</f>
        <v>UCSC</v>
      </c>
      <c r="E16642" s="1" t="str">
        <f>HYPERLINK("http://www.ncbi.nlm.nih.gov/gene/?term=GPBP1L1","NCBI")</f>
        <v>NCBI</v>
      </c>
      <c r="F16642">
        <v>0.92</v>
      </c>
      <c r="G16642">
        <v>0.94</v>
      </c>
      <c r="H16642" s="1" t="str">
        <f>HYPERLINK("http://www.weizmann.ac.il/complex/compphys/software/geview/data/figures/217877_s_at.png","Figure")</f>
        <v>Figure</v>
      </c>
      <c r="I16642">
        <v>0.95099999999999996</v>
      </c>
      <c r="J16642">
        <v>0.91</v>
      </c>
      <c r="K16642">
        <v>0.97099999999999997</v>
      </c>
      <c r="L16642">
        <v>0.96</v>
      </c>
      <c r="M16642">
        <v>1.02</v>
      </c>
      <c r="N16642">
        <v>0.98</v>
      </c>
    </row>
    <row r="16643" spans="1:14" x14ac:dyDescent="0.25">
      <c r="A16643" t="s">
        <v>27854</v>
      </c>
      <c r="B16643" t="s">
        <v>20213</v>
      </c>
      <c r="C16643" s="1" t="str">
        <f>HYPERLINK("http://www.genecards.org/cgi-bin/carddisp.pl?gene=GADD45B","GeneCards")</f>
        <v>GeneCards</v>
      </c>
      <c r="D16643" s="1" t="str">
        <f>HYPERLINK("http://genome-euro.ucsc.edu/cgi-bin/hgTracks?position=209304_x_at","UCSC")</f>
        <v>UCSC</v>
      </c>
      <c r="E16643" s="1" t="str">
        <f>HYPERLINK("http://www.ncbi.nlm.nih.gov/gene/?term=GADD45B","NCBI")</f>
        <v>NCBI</v>
      </c>
      <c r="F16643">
        <v>0.92</v>
      </c>
      <c r="G16643">
        <v>0.94</v>
      </c>
      <c r="H16643" s="1" t="str">
        <f>HYPERLINK("http://www.weizmann.ac.il/complex/compphys/software/geview/data/figures/209304_x_at.png","Figure")</f>
        <v>Figure</v>
      </c>
      <c r="I16643">
        <v>0.997</v>
      </c>
      <c r="J16643">
        <v>1</v>
      </c>
      <c r="K16643">
        <v>1.1200000000000001</v>
      </c>
      <c r="L16643">
        <v>0.93</v>
      </c>
      <c r="M16643">
        <v>1.1299999999999999</v>
      </c>
      <c r="N16643">
        <v>0.94</v>
      </c>
    </row>
    <row r="16644" spans="1:14" x14ac:dyDescent="0.25">
      <c r="A16644" t="s">
        <v>27855</v>
      </c>
      <c r="B16644" t="s">
        <v>27856</v>
      </c>
      <c r="C16644" s="1" t="str">
        <f>HYPERLINK("http://www.genecards.org/cgi-bin/carddisp.pl?gene=TMSB4Y","GeneCards")</f>
        <v>GeneCards</v>
      </c>
      <c r="D16644" s="1" t="str">
        <f>HYPERLINK("http://genome-euro.ucsc.edu/cgi-bin/hgTracks?position=206769_at","UCSC")</f>
        <v>UCSC</v>
      </c>
      <c r="E16644" s="1" t="str">
        <f>HYPERLINK("http://www.ncbi.nlm.nih.gov/gene/?term=TMSB4Y","NCBI")</f>
        <v>NCBI</v>
      </c>
      <c r="F16644">
        <v>0.92</v>
      </c>
      <c r="G16644">
        <v>0.94</v>
      </c>
      <c r="H16644" s="1" t="str">
        <f>HYPERLINK("http://www.weizmann.ac.il/complex/compphys/software/geview/data/figures/206769_at.png","Figure")</f>
        <v>Figure</v>
      </c>
      <c r="I16644">
        <v>1.05</v>
      </c>
      <c r="J16644">
        <v>0.91</v>
      </c>
      <c r="K16644">
        <v>1.02</v>
      </c>
      <c r="L16644">
        <v>0.97</v>
      </c>
      <c r="M16644">
        <v>0.97599999999999998</v>
      </c>
      <c r="N16644">
        <v>0.97</v>
      </c>
    </row>
    <row r="16645" spans="1:14" x14ac:dyDescent="0.25">
      <c r="A16645" t="s">
        <v>27857</v>
      </c>
      <c r="B16645" t="s">
        <v>27858</v>
      </c>
      <c r="C16645" s="1" t="str">
        <f>HYPERLINK("http://www.genecards.org/cgi-bin/carddisp.pl?gene=CCDC30","GeneCards")</f>
        <v>GeneCards</v>
      </c>
      <c r="D16645" s="1" t="str">
        <f>HYPERLINK("http://genome-euro.ucsc.edu/cgi-bin/hgTracks?position=221171_at","UCSC")</f>
        <v>UCSC</v>
      </c>
      <c r="E16645" s="1" t="str">
        <f>HYPERLINK("http://www.ncbi.nlm.nih.gov/gene/?term=CCDC30","NCBI")</f>
        <v>NCBI</v>
      </c>
      <c r="F16645">
        <v>0.92</v>
      </c>
      <c r="G16645">
        <v>0.94</v>
      </c>
      <c r="H16645" s="1" t="str">
        <f>HYPERLINK("http://www.weizmann.ac.il/complex/compphys/software/geview/data/figures/221171_at.png","Figure")</f>
        <v>Figure</v>
      </c>
      <c r="I16645">
        <v>0.97799999999999998</v>
      </c>
      <c r="J16645">
        <v>0.92</v>
      </c>
      <c r="K16645">
        <v>0.98299999999999998</v>
      </c>
      <c r="L16645">
        <v>0.94</v>
      </c>
      <c r="M16645">
        <v>1.01</v>
      </c>
      <c r="N16645">
        <v>0.99</v>
      </c>
    </row>
    <row r="16646" spans="1:14" x14ac:dyDescent="0.25">
      <c r="A16646" t="s">
        <v>27859</v>
      </c>
      <c r="B16646" t="s">
        <v>27860</v>
      </c>
      <c r="C16646" s="1" t="str">
        <f>HYPERLINK("http://www.genecards.org/cgi-bin/carddisp.pl?gene=METTL9","GeneCards")</f>
        <v>GeneCards</v>
      </c>
      <c r="D16646" s="1" t="str">
        <f>HYPERLINK("http://genome-euro.ucsc.edu/cgi-bin/hgTracks?position=217868_s_at","UCSC")</f>
        <v>UCSC</v>
      </c>
      <c r="E16646" s="1" t="str">
        <f>HYPERLINK("http://www.ncbi.nlm.nih.gov/gene/?term=METTL9","NCBI")</f>
        <v>NCBI</v>
      </c>
      <c r="F16646">
        <v>0.92</v>
      </c>
      <c r="G16646">
        <v>0.94</v>
      </c>
      <c r="H16646" s="1" t="str">
        <f>HYPERLINK("http://www.weizmann.ac.il/complex/compphys/software/geview/data/figures/217868_s_at.png","Figure")</f>
        <v>Figure</v>
      </c>
      <c r="I16646">
        <v>1.04</v>
      </c>
      <c r="J16646">
        <v>0.97</v>
      </c>
      <c r="K16646">
        <v>1.06</v>
      </c>
      <c r="L16646">
        <v>0.91</v>
      </c>
      <c r="M16646">
        <v>1.02</v>
      </c>
      <c r="N16646">
        <v>0.99</v>
      </c>
    </row>
    <row r="16647" spans="1:14" x14ac:dyDescent="0.25">
      <c r="A16647" t="s">
        <v>27861</v>
      </c>
      <c r="B16647" t="s">
        <v>16176</v>
      </c>
      <c r="C16647" s="1" t="str">
        <f>HYPERLINK("http://www.genecards.org/cgi-bin/carddisp.pl?gene=ZNF202","GeneCards")</f>
        <v>GeneCards</v>
      </c>
      <c r="D16647" s="1" t="str">
        <f>HYPERLINK("http://genome-euro.ucsc.edu/cgi-bin/hgTracks?position=204327_s_at","UCSC")</f>
        <v>UCSC</v>
      </c>
      <c r="E16647" s="1" t="str">
        <f>HYPERLINK("http://www.ncbi.nlm.nih.gov/gene/?term=ZNF202","NCBI")</f>
        <v>NCBI</v>
      </c>
      <c r="F16647">
        <v>0.92</v>
      </c>
      <c r="G16647">
        <v>0.94</v>
      </c>
      <c r="H16647" s="1" t="str">
        <f>HYPERLINK("http://www.weizmann.ac.il/complex/compphys/software/geview/data/figures/204327_s_at.png","Figure")</f>
        <v>Figure</v>
      </c>
      <c r="I16647">
        <v>0.94799999999999995</v>
      </c>
      <c r="J16647">
        <v>0.93</v>
      </c>
      <c r="K16647">
        <v>0.95399999999999996</v>
      </c>
      <c r="L16647">
        <v>0.93</v>
      </c>
      <c r="M16647">
        <v>1.01</v>
      </c>
      <c r="N16647">
        <v>1</v>
      </c>
    </row>
    <row r="16648" spans="1:14" x14ac:dyDescent="0.25">
      <c r="A16648" t="s">
        <v>27862</v>
      </c>
      <c r="B16648" t="s">
        <v>2535</v>
      </c>
      <c r="C16648" s="1" t="str">
        <f>HYPERLINK("http://www.genecards.org/cgi-bin/carddisp.pl?gene=CD44","GeneCards")</f>
        <v>GeneCards</v>
      </c>
      <c r="D16648" s="1" t="str">
        <f>HYPERLINK("http://genome-euro.ucsc.edu/cgi-bin/hgTracks?position=216056_at","UCSC")</f>
        <v>UCSC</v>
      </c>
      <c r="E16648" s="1" t="str">
        <f>HYPERLINK("http://www.ncbi.nlm.nih.gov/gene/?term=CD44","NCBI")</f>
        <v>NCBI</v>
      </c>
      <c r="F16648">
        <v>0.92</v>
      </c>
      <c r="G16648">
        <v>0.94</v>
      </c>
      <c r="H16648" s="1" t="str">
        <f>HYPERLINK("http://www.weizmann.ac.il/complex/compphys/software/geview/data/figures/216056_at.png","Figure")</f>
        <v>Figure</v>
      </c>
      <c r="I16648">
        <v>1.02</v>
      </c>
      <c r="J16648">
        <v>0.91</v>
      </c>
      <c r="K16648">
        <v>1.01</v>
      </c>
      <c r="L16648">
        <v>0.99</v>
      </c>
      <c r="M16648">
        <v>0.98599999999999999</v>
      </c>
      <c r="N16648">
        <v>0.94</v>
      </c>
    </row>
    <row r="16649" spans="1:14" x14ac:dyDescent="0.25">
      <c r="A16649" t="s">
        <v>27863</v>
      </c>
      <c r="B16649" t="s">
        <v>27864</v>
      </c>
      <c r="C16649" s="1" t="str">
        <f>HYPERLINK("http://www.genecards.org/cgi-bin/carddisp.pl?gene=TMBIM4","GeneCards")</f>
        <v>GeneCards</v>
      </c>
      <c r="D16649" s="1" t="str">
        <f>HYPERLINK("http://genome-euro.ucsc.edu/cgi-bin/hgTracks?position=219206_x_at","UCSC")</f>
        <v>UCSC</v>
      </c>
      <c r="E16649" s="1" t="str">
        <f>HYPERLINK("http://www.ncbi.nlm.nih.gov/gene/?term=TMBIM4","NCBI")</f>
        <v>NCBI</v>
      </c>
      <c r="F16649">
        <v>0.92</v>
      </c>
      <c r="G16649">
        <v>0.94</v>
      </c>
      <c r="H16649" s="1" t="str">
        <f>HYPERLINK("http://www.weizmann.ac.il/complex/compphys/software/geview/data/figures/219206_x_at.png","Figure")</f>
        <v>Figure</v>
      </c>
      <c r="I16649">
        <v>0.97299999999999998</v>
      </c>
      <c r="J16649">
        <v>0.99</v>
      </c>
      <c r="K16649">
        <v>0.93400000000000005</v>
      </c>
      <c r="L16649">
        <v>0.91</v>
      </c>
      <c r="M16649">
        <v>0.96</v>
      </c>
      <c r="N16649">
        <v>0.97</v>
      </c>
    </row>
    <row r="16650" spans="1:14" x14ac:dyDescent="0.25">
      <c r="A16650" t="s">
        <v>27865</v>
      </c>
      <c r="B16650" t="s">
        <v>26651</v>
      </c>
      <c r="C16650" s="1" t="str">
        <f>HYPERLINK("http://www.genecards.org/cgi-bin/carddisp.pl?gene=TJAP1","GeneCards")</f>
        <v>GeneCards</v>
      </c>
      <c r="D16650" s="1" t="str">
        <f>HYPERLINK("http://genome-euro.ucsc.edu/cgi-bin/hgTracks?position=221857_s_at","UCSC")</f>
        <v>UCSC</v>
      </c>
      <c r="E16650" s="1" t="str">
        <f>HYPERLINK("http://www.ncbi.nlm.nih.gov/gene/?term=TJAP1","NCBI")</f>
        <v>NCBI</v>
      </c>
      <c r="F16650">
        <v>0.92</v>
      </c>
      <c r="G16650">
        <v>0.94</v>
      </c>
      <c r="H16650" s="1" t="str">
        <f>HYPERLINK("http://www.weizmann.ac.il/complex/compphys/software/geview/data/figures/221857_s_at.png","Figure")</f>
        <v>Figure</v>
      </c>
      <c r="I16650">
        <v>0.96899999999999997</v>
      </c>
      <c r="J16650">
        <v>0.91</v>
      </c>
      <c r="K16650">
        <v>0.98699999999999999</v>
      </c>
      <c r="L16650">
        <v>0.98</v>
      </c>
      <c r="M16650">
        <v>1.02</v>
      </c>
      <c r="N16650">
        <v>0.96</v>
      </c>
    </row>
    <row r="16651" spans="1:14" x14ac:dyDescent="0.25">
      <c r="A16651" t="s">
        <v>27866</v>
      </c>
      <c r="B16651" t="s">
        <v>17358</v>
      </c>
      <c r="C16651" s="1" t="str">
        <f>HYPERLINK("http://www.genecards.org/cgi-bin/carddisp.pl?gene=DCN","GeneCards")</f>
        <v>GeneCards</v>
      </c>
      <c r="D16651" s="1" t="str">
        <f>HYPERLINK("http://genome-euro.ucsc.edu/cgi-bin/hgTracks?position=201893_x_at","UCSC")</f>
        <v>UCSC</v>
      </c>
      <c r="E16651" s="1" t="str">
        <f>HYPERLINK("http://www.ncbi.nlm.nih.gov/gene/?term=DCN","NCBI")</f>
        <v>NCBI</v>
      </c>
      <c r="F16651">
        <v>0.92</v>
      </c>
      <c r="G16651">
        <v>0.94</v>
      </c>
      <c r="H16651" s="1" t="str">
        <f>HYPERLINK("http://www.weizmann.ac.il/complex/compphys/software/geview/data/figures/201893_x_at.png","Figure")</f>
        <v>Figure</v>
      </c>
      <c r="I16651">
        <v>1.02</v>
      </c>
      <c r="J16651">
        <v>0.96</v>
      </c>
      <c r="K16651">
        <v>0.99199999999999999</v>
      </c>
      <c r="L16651">
        <v>0.99</v>
      </c>
      <c r="M16651">
        <v>0.97499999999999998</v>
      </c>
      <c r="N16651">
        <v>0.91</v>
      </c>
    </row>
    <row r="16652" spans="1:14" x14ac:dyDescent="0.25">
      <c r="A16652" t="s">
        <v>27867</v>
      </c>
      <c r="B16652" t="s">
        <v>27868</v>
      </c>
      <c r="C16652" s="1" t="str">
        <f>HYPERLINK("http://www.genecards.org/cgi-bin/carddisp.pl?gene=DAP","GeneCards")</f>
        <v>GeneCards</v>
      </c>
      <c r="D16652" s="1" t="str">
        <f>HYPERLINK("http://genome-euro.ucsc.edu/cgi-bin/hgTracks?position=201095_at","UCSC")</f>
        <v>UCSC</v>
      </c>
      <c r="E16652" s="1" t="str">
        <f>HYPERLINK("http://www.ncbi.nlm.nih.gov/gene/?term=DAP","NCBI")</f>
        <v>NCBI</v>
      </c>
      <c r="F16652">
        <v>0.92</v>
      </c>
      <c r="G16652">
        <v>0.94</v>
      </c>
      <c r="H16652" s="1" t="str">
        <f>HYPERLINK("http://www.weizmann.ac.il/complex/compphys/software/geview/data/figures/201095_at.png","Figure")</f>
        <v>Figure</v>
      </c>
      <c r="I16652">
        <v>0.94499999999999995</v>
      </c>
      <c r="J16652">
        <v>0.93</v>
      </c>
      <c r="K16652">
        <v>0.95299999999999996</v>
      </c>
      <c r="L16652">
        <v>0.93</v>
      </c>
      <c r="M16652">
        <v>1.01</v>
      </c>
      <c r="N16652">
        <v>1</v>
      </c>
    </row>
    <row r="16653" spans="1:14" x14ac:dyDescent="0.25">
      <c r="A16653" t="s">
        <v>27869</v>
      </c>
      <c r="B16653" t="s">
        <v>27870</v>
      </c>
      <c r="C16653" s="1" t="str">
        <f>HYPERLINK("http://www.genecards.org/cgi-bin/carddisp.pl?gene=CARM1","GeneCards")</f>
        <v>GeneCards</v>
      </c>
      <c r="D16653" s="1" t="str">
        <f>HYPERLINK("http://genome-euro.ucsc.edu/cgi-bin/hgTracks?position=212512_s_at","UCSC")</f>
        <v>UCSC</v>
      </c>
      <c r="E16653" s="1" t="str">
        <f>HYPERLINK("http://www.ncbi.nlm.nih.gov/gene/?term=CARM1","NCBI")</f>
        <v>NCBI</v>
      </c>
      <c r="F16653">
        <v>0.92</v>
      </c>
      <c r="G16653">
        <v>0.94</v>
      </c>
      <c r="H16653" s="1" t="str">
        <f>HYPERLINK("http://www.weizmann.ac.il/complex/compphys/software/geview/data/figures/212512_s_at.png","Figure")</f>
        <v>Figure</v>
      </c>
      <c r="I16653">
        <v>0.95299999999999996</v>
      </c>
      <c r="J16653">
        <v>0.93</v>
      </c>
      <c r="K16653">
        <v>1</v>
      </c>
      <c r="L16653">
        <v>1</v>
      </c>
      <c r="M16653">
        <v>1.05</v>
      </c>
      <c r="N16653">
        <v>0.92</v>
      </c>
    </row>
    <row r="16654" spans="1:14" x14ac:dyDescent="0.25">
      <c r="A16654" t="s">
        <v>27871</v>
      </c>
      <c r="B16654" t="s">
        <v>6726</v>
      </c>
      <c r="C16654" s="1" t="str">
        <f>HYPERLINK("http://www.genecards.org/cgi-bin/carddisp.pl?gene=DUSP3","GeneCards")</f>
        <v>GeneCards</v>
      </c>
      <c r="D16654" s="1" t="str">
        <f>HYPERLINK("http://genome-euro.ucsc.edu/cgi-bin/hgTracks?position=201538_s_at","UCSC")</f>
        <v>UCSC</v>
      </c>
      <c r="E16654" s="1" t="str">
        <f>HYPERLINK("http://www.ncbi.nlm.nih.gov/gene/?term=DUSP3","NCBI")</f>
        <v>NCBI</v>
      </c>
      <c r="F16654">
        <v>0.92</v>
      </c>
      <c r="G16654">
        <v>0.94</v>
      </c>
      <c r="H16654" s="1" t="str">
        <f>HYPERLINK("http://www.weizmann.ac.il/complex/compphys/software/geview/data/figures/201538_s_at.png","Figure")</f>
        <v>Figure</v>
      </c>
      <c r="I16654">
        <v>0.98099999999999998</v>
      </c>
      <c r="J16654">
        <v>0.92</v>
      </c>
      <c r="K16654">
        <v>0.997</v>
      </c>
      <c r="L16654">
        <v>1</v>
      </c>
      <c r="M16654">
        <v>1.02</v>
      </c>
      <c r="N16654">
        <v>0.93</v>
      </c>
    </row>
    <row r="16655" spans="1:14" x14ac:dyDescent="0.25">
      <c r="A16655" t="s">
        <v>27872</v>
      </c>
      <c r="B16655" t="s">
        <v>27873</v>
      </c>
      <c r="C16655" s="1" t="str">
        <f>HYPERLINK("http://www.genecards.org/cgi-bin/carddisp.pl?gene=PTPN7","GeneCards")</f>
        <v>GeneCards</v>
      </c>
      <c r="D16655" s="1" t="str">
        <f>HYPERLINK("http://genome-euro.ucsc.edu/cgi-bin/hgTracks?position=204852_s_at","UCSC")</f>
        <v>UCSC</v>
      </c>
      <c r="E16655" s="1" t="str">
        <f>HYPERLINK("http://www.ncbi.nlm.nih.gov/gene/?term=PTPN7","NCBI")</f>
        <v>NCBI</v>
      </c>
      <c r="F16655">
        <v>0.92</v>
      </c>
      <c r="G16655">
        <v>0.94</v>
      </c>
      <c r="H16655" s="1" t="str">
        <f>HYPERLINK("http://www.weizmann.ac.il/complex/compphys/software/geview/data/figures/204852_s_at.png","Figure")</f>
        <v>Figure</v>
      </c>
      <c r="I16655">
        <v>0.96599999999999997</v>
      </c>
      <c r="J16655">
        <v>0.95</v>
      </c>
      <c r="K16655">
        <v>1.01</v>
      </c>
      <c r="L16655">
        <v>1</v>
      </c>
      <c r="M16655">
        <v>1.05</v>
      </c>
      <c r="N16655">
        <v>0.91</v>
      </c>
    </row>
    <row r="16656" spans="1:14" x14ac:dyDescent="0.25">
      <c r="A16656" t="s">
        <v>27874</v>
      </c>
      <c r="B16656" t="s">
        <v>26451</v>
      </c>
      <c r="C16656" s="1" t="str">
        <f>HYPERLINK("http://www.genecards.org/cgi-bin/carddisp.pl?gene=NCAPG","GeneCards")</f>
        <v>GeneCards</v>
      </c>
      <c r="D16656" s="1" t="str">
        <f>HYPERLINK("http://genome-euro.ucsc.edu/cgi-bin/hgTracks?position=218663_at","UCSC")</f>
        <v>UCSC</v>
      </c>
      <c r="E16656" s="1" t="str">
        <f>HYPERLINK("http://www.ncbi.nlm.nih.gov/gene/?term=NCAPG","NCBI")</f>
        <v>NCBI</v>
      </c>
      <c r="F16656">
        <v>0.92</v>
      </c>
      <c r="G16656">
        <v>0.94</v>
      </c>
      <c r="H16656" s="1" t="str">
        <f>HYPERLINK("http://www.weizmann.ac.il/complex/compphys/software/geview/data/figures/218663_at.png","Figure")</f>
        <v>Figure</v>
      </c>
      <c r="I16656">
        <v>0.89100000000000001</v>
      </c>
      <c r="J16656">
        <v>0.91</v>
      </c>
      <c r="K16656">
        <v>0.96299999999999997</v>
      </c>
      <c r="L16656">
        <v>0.99</v>
      </c>
      <c r="M16656">
        <v>1.08</v>
      </c>
      <c r="N16656">
        <v>0.95</v>
      </c>
    </row>
    <row r="16657" spans="1:14" x14ac:dyDescent="0.25">
      <c r="A16657" t="s">
        <v>27875</v>
      </c>
      <c r="B16657" t="s">
        <v>24258</v>
      </c>
      <c r="C16657" s="1" t="str">
        <f>HYPERLINK("http://www.genecards.org/cgi-bin/carddisp.pl?gene=OPRL1","GeneCards")</f>
        <v>GeneCards</v>
      </c>
      <c r="D16657" s="1" t="str">
        <f>HYPERLINK("http://genome-euro.ucsc.edu/cgi-bin/hgTracks?position=206564_at","UCSC")</f>
        <v>UCSC</v>
      </c>
      <c r="E16657" s="1" t="str">
        <f>HYPERLINK("http://www.ncbi.nlm.nih.gov/gene/?term=OPRL1","NCBI")</f>
        <v>NCBI</v>
      </c>
      <c r="F16657">
        <v>0.92</v>
      </c>
      <c r="G16657">
        <v>0.94</v>
      </c>
      <c r="H16657" s="1" t="str">
        <f>HYPERLINK("http://www.weizmann.ac.il/complex/compphys/software/geview/data/figures/206564_at.png","Figure")</f>
        <v>Figure</v>
      </c>
      <c r="I16657">
        <v>1.02</v>
      </c>
      <c r="J16657">
        <v>0.95</v>
      </c>
      <c r="K16657">
        <v>0.99399999999999999</v>
      </c>
      <c r="L16657">
        <v>0.99</v>
      </c>
      <c r="M16657">
        <v>0.97199999999999998</v>
      </c>
      <c r="N16657">
        <v>0.91</v>
      </c>
    </row>
    <row r="16658" spans="1:14" x14ac:dyDescent="0.25">
      <c r="A16658" t="s">
        <v>27876</v>
      </c>
      <c r="B16658" t="s">
        <v>9997</v>
      </c>
      <c r="C16658" s="1" t="str">
        <f>HYPERLINK("http://www.genecards.org/cgi-bin/carddisp.pl?gene=UGT1A1 /// UGT1A10 /// UGT1A3 /// UGT1A4 /// UGT1A5 /// UGT1A6 /// UGT1A7 /// UGT1A8 /// UGT1A9","GeneCards")</f>
        <v>GeneCards</v>
      </c>
      <c r="D16658" s="1" t="str">
        <f>HYPERLINK("http://genome-euro.ucsc.edu/cgi-bin/hgTracks?position=208596_s_at","UCSC")</f>
        <v>UCSC</v>
      </c>
      <c r="E16658" s="1" t="str">
        <f>HYPERLINK("http://www.ncbi.nlm.nih.gov/gene/?term=UGT1A1 /// UGT1A10 /// UGT1A3 /// UGT1A4 /// UGT1A5 /// UGT1A6 /// UGT1A7 /// UGT1A8 /// UGT1A9","NCBI")</f>
        <v>NCBI</v>
      </c>
      <c r="F16658">
        <v>0.92</v>
      </c>
      <c r="G16658">
        <v>0.94</v>
      </c>
      <c r="H16658" s="1" t="str">
        <f>HYPERLINK("http://www.weizmann.ac.il/complex/compphys/software/geview/data/figures/208596_s_at.png","Figure")</f>
        <v>Figure</v>
      </c>
      <c r="I16658">
        <v>1.02</v>
      </c>
      <c r="J16658">
        <v>0.93</v>
      </c>
      <c r="K16658">
        <v>1</v>
      </c>
      <c r="L16658">
        <v>1</v>
      </c>
      <c r="M16658">
        <v>0.97799999999999998</v>
      </c>
      <c r="N16658">
        <v>0.93</v>
      </c>
    </row>
    <row r="16659" spans="1:14" x14ac:dyDescent="0.25">
      <c r="A16659" t="s">
        <v>27877</v>
      </c>
      <c r="B16659" t="s">
        <v>20213</v>
      </c>
      <c r="C16659" s="1" t="str">
        <f>HYPERLINK("http://www.genecards.org/cgi-bin/carddisp.pl?gene=GADD45B","GeneCards")</f>
        <v>GeneCards</v>
      </c>
      <c r="D16659" s="1" t="str">
        <f>HYPERLINK("http://genome-euro.ucsc.edu/cgi-bin/hgTracks?position=207574_s_at","UCSC")</f>
        <v>UCSC</v>
      </c>
      <c r="E16659" s="1" t="str">
        <f>HYPERLINK("http://www.ncbi.nlm.nih.gov/gene/?term=GADD45B","NCBI")</f>
        <v>NCBI</v>
      </c>
      <c r="F16659">
        <v>0.92</v>
      </c>
      <c r="G16659">
        <v>0.94</v>
      </c>
      <c r="H16659" s="1" t="str">
        <f>HYPERLINK("http://www.weizmann.ac.il/complex/compphys/software/geview/data/figures/207574_s_at.png","Figure")</f>
        <v>Figure</v>
      </c>
      <c r="I16659">
        <v>0.84399999999999997</v>
      </c>
      <c r="J16659">
        <v>0.92</v>
      </c>
      <c r="K16659">
        <v>0.96399999999999997</v>
      </c>
      <c r="L16659">
        <v>0.99</v>
      </c>
      <c r="M16659">
        <v>1.1399999999999999</v>
      </c>
      <c r="N16659">
        <v>0.94</v>
      </c>
    </row>
    <row r="16660" spans="1:14" x14ac:dyDescent="0.25">
      <c r="A16660" t="s">
        <v>27878</v>
      </c>
      <c r="B16660" t="s">
        <v>21565</v>
      </c>
      <c r="C16660" s="1" t="str">
        <f>HYPERLINK("http://www.genecards.org/cgi-bin/carddisp.pl?gene=IL5RA","GeneCards")</f>
        <v>GeneCards</v>
      </c>
      <c r="D16660" s="1" t="str">
        <f>HYPERLINK("http://genome-euro.ucsc.edu/cgi-bin/hgTracks?position=207902_at","UCSC")</f>
        <v>UCSC</v>
      </c>
      <c r="E16660" s="1" t="str">
        <f>HYPERLINK("http://www.ncbi.nlm.nih.gov/gene/?term=IL5RA","NCBI")</f>
        <v>NCBI</v>
      </c>
      <c r="F16660">
        <v>0.92</v>
      </c>
      <c r="G16660">
        <v>0.94</v>
      </c>
      <c r="H16660" s="1" t="str">
        <f>HYPERLINK("http://www.weizmann.ac.il/complex/compphys/software/geview/data/figures/207902_at.png","Figure")</f>
        <v>Figure</v>
      </c>
      <c r="I16660">
        <v>0.98399999999999999</v>
      </c>
      <c r="J16660">
        <v>0.92</v>
      </c>
      <c r="K16660">
        <v>0.997</v>
      </c>
      <c r="L16660">
        <v>1</v>
      </c>
      <c r="M16660">
        <v>1.01</v>
      </c>
      <c r="N16660">
        <v>0.94</v>
      </c>
    </row>
    <row r="16661" spans="1:14" x14ac:dyDescent="0.25">
      <c r="A16661" t="s">
        <v>27879</v>
      </c>
      <c r="B16661" t="s">
        <v>4719</v>
      </c>
      <c r="C16661" s="1" t="str">
        <f>HYPERLINK("http://www.genecards.org/cgi-bin/carddisp.pl?gene=DDX28","GeneCards")</f>
        <v>GeneCards</v>
      </c>
      <c r="D16661" s="1" t="str">
        <f>HYPERLINK("http://genome-euro.ucsc.edu/cgi-bin/hgTracks?position=203785_s_at","UCSC")</f>
        <v>UCSC</v>
      </c>
      <c r="E16661" s="1" t="str">
        <f>HYPERLINK("http://www.ncbi.nlm.nih.gov/gene/?term=DDX28","NCBI")</f>
        <v>NCBI</v>
      </c>
      <c r="F16661">
        <v>0.92</v>
      </c>
      <c r="G16661">
        <v>0.94</v>
      </c>
      <c r="H16661" s="1" t="str">
        <f>HYPERLINK("http://www.weizmann.ac.il/complex/compphys/software/geview/data/figures/203785_s_at.png","Figure")</f>
        <v>Figure</v>
      </c>
      <c r="I16661">
        <v>0.97799999999999998</v>
      </c>
      <c r="J16661">
        <v>0.99</v>
      </c>
      <c r="K16661">
        <v>0.93300000000000005</v>
      </c>
      <c r="L16661">
        <v>0.92</v>
      </c>
      <c r="M16661">
        <v>0.95399999999999996</v>
      </c>
      <c r="N16661">
        <v>0.97</v>
      </c>
    </row>
    <row r="16662" spans="1:14" x14ac:dyDescent="0.25">
      <c r="A16662" t="s">
        <v>27880</v>
      </c>
      <c r="B16662" t="s">
        <v>14310</v>
      </c>
      <c r="C16662" s="1" t="str">
        <f>HYPERLINK("http://www.genecards.org/cgi-bin/carddisp.pl?gene=ZCCHC14","GeneCards")</f>
        <v>GeneCards</v>
      </c>
      <c r="D16662" s="1" t="str">
        <f>HYPERLINK("http://genome-euro.ucsc.edu/cgi-bin/hgTracks?position=215426_at","UCSC")</f>
        <v>UCSC</v>
      </c>
      <c r="E16662" s="1" t="str">
        <f>HYPERLINK("http://www.ncbi.nlm.nih.gov/gene/?term=ZCCHC14","NCBI")</f>
        <v>NCBI</v>
      </c>
      <c r="F16662">
        <v>0.92</v>
      </c>
      <c r="G16662">
        <v>0.94</v>
      </c>
      <c r="H16662" s="1" t="str">
        <f>HYPERLINK("http://www.weizmann.ac.il/complex/compphys/software/geview/data/figures/215426_at.png","Figure")</f>
        <v>Figure</v>
      </c>
      <c r="I16662">
        <v>0.98899999999999999</v>
      </c>
      <c r="J16662">
        <v>0.91</v>
      </c>
      <c r="K16662">
        <v>0.99399999999999999</v>
      </c>
      <c r="L16662">
        <v>0.97</v>
      </c>
      <c r="M16662">
        <v>1.01</v>
      </c>
      <c r="N16662">
        <v>0.97</v>
      </c>
    </row>
    <row r="16663" spans="1:14" x14ac:dyDescent="0.25">
      <c r="A16663" t="s">
        <v>27881</v>
      </c>
      <c r="B16663" t="s">
        <v>27882</v>
      </c>
      <c r="C16663" s="1" t="str">
        <f>HYPERLINK("http://www.genecards.org/cgi-bin/carddisp.pl?gene=SLC25A24","GeneCards")</f>
        <v>GeneCards</v>
      </c>
      <c r="D16663" s="1" t="str">
        <f>HYPERLINK("http://genome-euro.ucsc.edu/cgi-bin/hgTracks?position=204342_at","UCSC")</f>
        <v>UCSC</v>
      </c>
      <c r="E16663" s="1" t="str">
        <f>HYPERLINK("http://www.ncbi.nlm.nih.gov/gene/?term=SLC25A24","NCBI")</f>
        <v>NCBI</v>
      </c>
      <c r="F16663">
        <v>0.92</v>
      </c>
      <c r="G16663">
        <v>0.94</v>
      </c>
      <c r="H16663" s="1" t="str">
        <f>HYPERLINK("http://www.weizmann.ac.il/complex/compphys/software/geview/data/figures/204342_at.png","Figure")</f>
        <v>Figure</v>
      </c>
      <c r="I16663">
        <v>0.95499999999999996</v>
      </c>
      <c r="J16663">
        <v>0.98</v>
      </c>
      <c r="K16663">
        <v>1.04</v>
      </c>
      <c r="L16663">
        <v>0.98</v>
      </c>
      <c r="M16663">
        <v>1.0900000000000001</v>
      </c>
      <c r="N16663">
        <v>0.91</v>
      </c>
    </row>
    <row r="16664" spans="1:14" x14ac:dyDescent="0.25">
      <c r="A16664" t="s">
        <v>27883</v>
      </c>
      <c r="B16664" t="s">
        <v>27884</v>
      </c>
      <c r="C16664" s="1" t="str">
        <f>HYPERLINK("http://www.genecards.org/cgi-bin/carddisp.pl?gene=RPL15","GeneCards")</f>
        <v>GeneCards</v>
      </c>
      <c r="D16664" s="1" t="str">
        <f>HYPERLINK("http://genome-euro.ucsc.edu/cgi-bin/hgTracks?position=217266_at","UCSC")</f>
        <v>UCSC</v>
      </c>
      <c r="E16664" s="1" t="str">
        <f>HYPERLINK("http://www.ncbi.nlm.nih.gov/gene/?term=RPL15","NCBI")</f>
        <v>NCBI</v>
      </c>
      <c r="F16664">
        <v>0.92</v>
      </c>
      <c r="G16664">
        <v>0.94</v>
      </c>
      <c r="H16664" s="1" t="str">
        <f>HYPERLINK("http://www.weizmann.ac.il/complex/compphys/software/geview/data/figures/217266_at.png","Figure")</f>
        <v>Figure</v>
      </c>
      <c r="I16664">
        <v>0.94099999999999995</v>
      </c>
      <c r="J16664">
        <v>0.96</v>
      </c>
      <c r="K16664">
        <v>1.03</v>
      </c>
      <c r="L16664">
        <v>0.99</v>
      </c>
      <c r="M16664">
        <v>1.1000000000000001</v>
      </c>
      <c r="N16664">
        <v>0.91</v>
      </c>
    </row>
    <row r="16665" spans="1:14" x14ac:dyDescent="0.25">
      <c r="A16665" t="s">
        <v>27885</v>
      </c>
      <c r="B16665" t="s">
        <v>7752</v>
      </c>
      <c r="C16665" s="1" t="str">
        <f>HYPERLINK("http://www.genecards.org/cgi-bin/carddisp.pl?gene=COL6A1","GeneCards")</f>
        <v>GeneCards</v>
      </c>
      <c r="D16665" s="1" t="str">
        <f>HYPERLINK("http://genome-euro.ucsc.edu/cgi-bin/hgTracks?position=212940_at","UCSC")</f>
        <v>UCSC</v>
      </c>
      <c r="E16665" s="1" t="str">
        <f>HYPERLINK("http://www.ncbi.nlm.nih.gov/gene/?term=COL6A1","NCBI")</f>
        <v>NCBI</v>
      </c>
      <c r="F16665">
        <v>0.92</v>
      </c>
      <c r="G16665">
        <v>0.94</v>
      </c>
      <c r="H16665" s="1" t="str">
        <f>HYPERLINK("http://www.weizmann.ac.il/complex/compphys/software/geview/data/figures/212940_at.png","Figure")</f>
        <v>Figure</v>
      </c>
      <c r="I16665">
        <v>0.995</v>
      </c>
      <c r="J16665">
        <v>1</v>
      </c>
      <c r="K16665">
        <v>1.02</v>
      </c>
      <c r="L16665">
        <v>0.95</v>
      </c>
      <c r="M16665">
        <v>1.02</v>
      </c>
      <c r="N16665">
        <v>0.93</v>
      </c>
    </row>
    <row r="16666" spans="1:14" x14ac:dyDescent="0.25">
      <c r="A16666" t="s">
        <v>27886</v>
      </c>
      <c r="B16666" t="s">
        <v>5386</v>
      </c>
      <c r="C16666" s="1" t="str">
        <f>HYPERLINK("http://www.genecards.org/cgi-bin/carddisp.pl?gene=INPP4A","GeneCards")</f>
        <v>GeneCards</v>
      </c>
      <c r="D16666" s="1" t="str">
        <f>HYPERLINK("http://genome-euro.ucsc.edu/cgi-bin/hgTracks?position=204553_x_at","UCSC")</f>
        <v>UCSC</v>
      </c>
      <c r="E16666" s="1" t="str">
        <f>HYPERLINK("http://www.ncbi.nlm.nih.gov/gene/?term=INPP4A","NCBI")</f>
        <v>NCBI</v>
      </c>
      <c r="F16666">
        <v>0.92</v>
      </c>
      <c r="G16666">
        <v>0.94</v>
      </c>
      <c r="H16666" s="1" t="str">
        <f>HYPERLINK("http://www.weizmann.ac.il/complex/compphys/software/geview/data/figures/204553_x_at.png","Figure")</f>
        <v>Figure</v>
      </c>
      <c r="I16666">
        <v>1</v>
      </c>
      <c r="J16666">
        <v>1</v>
      </c>
      <c r="K16666">
        <v>0.995</v>
      </c>
      <c r="L16666">
        <v>0.93</v>
      </c>
      <c r="M16666">
        <v>0.995</v>
      </c>
      <c r="N16666">
        <v>0.94</v>
      </c>
    </row>
    <row r="16667" spans="1:14" x14ac:dyDescent="0.25">
      <c r="A16667" t="s">
        <v>27887</v>
      </c>
      <c r="B16667" t="s">
        <v>2833</v>
      </c>
      <c r="C16667" s="1" t="str">
        <f>HYPERLINK("http://www.genecards.org/cgi-bin/carddisp.pl?gene=SNX27","GeneCards")</f>
        <v>GeneCards</v>
      </c>
      <c r="D16667" s="1" t="str">
        <f>HYPERLINK("http://genome-euro.ucsc.edu/cgi-bin/hgTracks?position=221006_s_at","UCSC")</f>
        <v>UCSC</v>
      </c>
      <c r="E16667" s="1" t="str">
        <f>HYPERLINK("http://www.ncbi.nlm.nih.gov/gene/?term=SNX27","NCBI")</f>
        <v>NCBI</v>
      </c>
      <c r="F16667">
        <v>0.92</v>
      </c>
      <c r="G16667">
        <v>0.94</v>
      </c>
      <c r="H16667" s="1" t="str">
        <f>HYPERLINK("http://www.weizmann.ac.il/complex/compphys/software/geview/data/figures/221006_s_at.png","Figure")</f>
        <v>Figure</v>
      </c>
      <c r="I16667">
        <v>1.04</v>
      </c>
      <c r="J16667">
        <v>0.93</v>
      </c>
      <c r="K16667">
        <v>1</v>
      </c>
      <c r="L16667">
        <v>1</v>
      </c>
      <c r="M16667">
        <v>0.95799999999999996</v>
      </c>
      <c r="N16667">
        <v>0.92</v>
      </c>
    </row>
    <row r="16668" spans="1:14" x14ac:dyDescent="0.25">
      <c r="A16668" t="s">
        <v>27888</v>
      </c>
      <c r="B16668" t="s">
        <v>27889</v>
      </c>
      <c r="C16668" s="1" t="str">
        <f>HYPERLINK("http://www.genecards.org/cgi-bin/carddisp.pl?gene=MGC2889","GeneCards")</f>
        <v>GeneCards</v>
      </c>
      <c r="D16668" s="1" t="str">
        <f>HYPERLINK("http://genome-euro.ucsc.edu/cgi-bin/hgTracks?position=211718_at","UCSC")</f>
        <v>UCSC</v>
      </c>
      <c r="E16668" s="1" t="str">
        <f>HYPERLINK("http://www.ncbi.nlm.nih.gov/gene/?term=MGC2889","NCBI")</f>
        <v>NCBI</v>
      </c>
      <c r="F16668">
        <v>0.92</v>
      </c>
      <c r="G16668">
        <v>0.94</v>
      </c>
      <c r="H16668" s="1" t="str">
        <f>HYPERLINK("http://www.weizmann.ac.il/complex/compphys/software/geview/data/figures/211718_at.png","Figure")</f>
        <v>Figure</v>
      </c>
      <c r="I16668">
        <v>1.01</v>
      </c>
      <c r="J16668">
        <v>0.97</v>
      </c>
      <c r="K16668">
        <v>0.99199999999999999</v>
      </c>
      <c r="L16668">
        <v>0.99</v>
      </c>
      <c r="M16668">
        <v>0.97799999999999998</v>
      </c>
      <c r="N16668">
        <v>0.91</v>
      </c>
    </row>
    <row r="16669" spans="1:14" x14ac:dyDescent="0.25">
      <c r="A16669" t="s">
        <v>27890</v>
      </c>
      <c r="B16669" t="s">
        <v>22415</v>
      </c>
      <c r="C16669" s="1" t="str">
        <f>HYPERLINK("http://www.genecards.org/cgi-bin/carddisp.pl?gene=LUC7L3","GeneCards")</f>
        <v>GeneCards</v>
      </c>
      <c r="D16669" s="1" t="str">
        <f>HYPERLINK("http://genome-euro.ucsc.edu/cgi-bin/hgTracks?position=208835_s_at","UCSC")</f>
        <v>UCSC</v>
      </c>
      <c r="E16669" s="1" t="str">
        <f>HYPERLINK("http://www.ncbi.nlm.nih.gov/gene/?term=LUC7L3","NCBI")</f>
        <v>NCBI</v>
      </c>
      <c r="F16669">
        <v>0.92</v>
      </c>
      <c r="G16669">
        <v>0.94</v>
      </c>
      <c r="H16669" s="1" t="str">
        <f>HYPERLINK("http://www.weizmann.ac.il/complex/compphys/software/geview/data/figures/208835_s_at.png","Figure")</f>
        <v>Figure</v>
      </c>
      <c r="I16669">
        <v>0.86099999999999999</v>
      </c>
      <c r="J16669">
        <v>0.91</v>
      </c>
      <c r="K16669">
        <v>0.94099999999999995</v>
      </c>
      <c r="L16669">
        <v>0.98</v>
      </c>
      <c r="M16669">
        <v>1.0900000000000001</v>
      </c>
      <c r="N16669">
        <v>0.96</v>
      </c>
    </row>
    <row r="16670" spans="1:14" x14ac:dyDescent="0.25">
      <c r="A16670" t="s">
        <v>27891</v>
      </c>
      <c r="B16670" t="s">
        <v>27892</v>
      </c>
      <c r="C16670" s="1" t="str">
        <f>HYPERLINK("http://www.genecards.org/cgi-bin/carddisp.pl?gene=LENEP","GeneCards")</f>
        <v>GeneCards</v>
      </c>
      <c r="D16670" s="1" t="str">
        <f>HYPERLINK("http://genome-euro.ucsc.edu/cgi-bin/hgTracks?position=221115_s_at","UCSC")</f>
        <v>UCSC</v>
      </c>
      <c r="E16670" s="1" t="str">
        <f>HYPERLINK("http://www.ncbi.nlm.nih.gov/gene/?term=LENEP","NCBI")</f>
        <v>NCBI</v>
      </c>
      <c r="F16670">
        <v>0.92</v>
      </c>
      <c r="G16670">
        <v>0.94</v>
      </c>
      <c r="H16670" s="1" t="str">
        <f>HYPERLINK("http://www.weizmann.ac.il/complex/compphys/software/geview/data/figures/221115_s_at.png","Figure")</f>
        <v>Figure</v>
      </c>
      <c r="I16670">
        <v>1.01</v>
      </c>
      <c r="J16670">
        <v>1</v>
      </c>
      <c r="K16670">
        <v>0.97199999999999998</v>
      </c>
      <c r="L16670">
        <v>0.95</v>
      </c>
      <c r="M16670">
        <v>0.96399999999999997</v>
      </c>
      <c r="N16670">
        <v>0.93</v>
      </c>
    </row>
    <row r="16671" spans="1:14" x14ac:dyDescent="0.25">
      <c r="A16671" t="s">
        <v>27893</v>
      </c>
      <c r="B16671" t="s">
        <v>27894</v>
      </c>
      <c r="C16671" s="1" t="str">
        <f>HYPERLINK("http://www.genecards.org/cgi-bin/carddisp.pl?gene=NAGK","GeneCards")</f>
        <v>GeneCards</v>
      </c>
      <c r="D16671" s="1" t="str">
        <f>HYPERLINK("http://genome-euro.ucsc.edu/cgi-bin/hgTracks?position=218231_at","UCSC")</f>
        <v>UCSC</v>
      </c>
      <c r="E16671" s="1" t="str">
        <f>HYPERLINK("http://www.ncbi.nlm.nih.gov/gene/?term=NAGK","NCBI")</f>
        <v>NCBI</v>
      </c>
      <c r="F16671">
        <v>0.92</v>
      </c>
      <c r="G16671">
        <v>0.94</v>
      </c>
      <c r="H16671" s="1" t="str">
        <f>HYPERLINK("http://www.weizmann.ac.il/complex/compphys/software/geview/data/figures/218231_at.png","Figure")</f>
        <v>Figure</v>
      </c>
      <c r="I16671">
        <v>1.03</v>
      </c>
      <c r="J16671">
        <v>0.98</v>
      </c>
      <c r="K16671">
        <v>0.97499999999999998</v>
      </c>
      <c r="L16671">
        <v>0.98</v>
      </c>
      <c r="M16671">
        <v>0.94599999999999995</v>
      </c>
      <c r="N16671">
        <v>0.91</v>
      </c>
    </row>
    <row r="16672" spans="1:14" x14ac:dyDescent="0.25">
      <c r="A16672" t="s">
        <v>27895</v>
      </c>
      <c r="B16672" t="s">
        <v>24931</v>
      </c>
      <c r="C16672" s="1" t="str">
        <f>HYPERLINK("http://www.genecards.org/cgi-bin/carddisp.pl?gene=MARK3","GeneCards")</f>
        <v>GeneCards</v>
      </c>
      <c r="D16672" s="1" t="str">
        <f>HYPERLINK("http://genome-euro.ucsc.edu/cgi-bin/hgTracks?position=202569_s_at","UCSC")</f>
        <v>UCSC</v>
      </c>
      <c r="E16672" s="1" t="str">
        <f>HYPERLINK("http://www.ncbi.nlm.nih.gov/gene/?term=MARK3","NCBI")</f>
        <v>NCBI</v>
      </c>
      <c r="F16672">
        <v>0.92</v>
      </c>
      <c r="G16672">
        <v>0.94</v>
      </c>
      <c r="H16672" s="1" t="str">
        <f>HYPERLINK("http://www.weizmann.ac.il/complex/compphys/software/geview/data/figures/202569_s_at.png","Figure")</f>
        <v>Figure</v>
      </c>
      <c r="I16672">
        <v>1.04</v>
      </c>
      <c r="J16672">
        <v>0.92</v>
      </c>
      <c r="K16672">
        <v>1.01</v>
      </c>
      <c r="L16672">
        <v>1</v>
      </c>
      <c r="M16672">
        <v>0.96499999999999997</v>
      </c>
      <c r="N16672">
        <v>0.94</v>
      </c>
    </row>
    <row r="16673" spans="1:14" x14ac:dyDescent="0.25">
      <c r="A16673" t="s">
        <v>27896</v>
      </c>
      <c r="B16673" t="s">
        <v>13661</v>
      </c>
      <c r="C16673" s="1" t="str">
        <f>HYPERLINK("http://www.genecards.org/cgi-bin/carddisp.pl?gene=STAG1","GeneCards")</f>
        <v>GeneCards</v>
      </c>
      <c r="D16673" s="1" t="str">
        <f>HYPERLINK("http://genome-euro.ucsc.edu/cgi-bin/hgTracks?position=202294_at","UCSC")</f>
        <v>UCSC</v>
      </c>
      <c r="E16673" s="1" t="str">
        <f>HYPERLINK("http://www.ncbi.nlm.nih.gov/gene/?term=STAG1","NCBI")</f>
        <v>NCBI</v>
      </c>
      <c r="F16673">
        <v>0.92</v>
      </c>
      <c r="G16673">
        <v>0.94</v>
      </c>
      <c r="H16673" s="1" t="str">
        <f>HYPERLINK("http://www.weizmann.ac.il/complex/compphys/software/geview/data/figures/202294_at.png","Figure")</f>
        <v>Figure</v>
      </c>
      <c r="I16673">
        <v>1</v>
      </c>
      <c r="J16673">
        <v>1</v>
      </c>
      <c r="K16673">
        <v>1.07</v>
      </c>
      <c r="L16673">
        <v>0.93</v>
      </c>
      <c r="M16673">
        <v>1.06</v>
      </c>
      <c r="N16673">
        <v>0.95</v>
      </c>
    </row>
    <row r="16674" spans="1:14" x14ac:dyDescent="0.25">
      <c r="A16674" t="s">
        <v>27897</v>
      </c>
      <c r="B16674" t="s">
        <v>27898</v>
      </c>
      <c r="C16674" s="1" t="str">
        <f>HYPERLINK("http://www.genecards.org/cgi-bin/carddisp.pl?gene=ABCC2","GeneCards")</f>
        <v>GeneCards</v>
      </c>
      <c r="D16674" s="1" t="str">
        <f>HYPERLINK("http://genome-euro.ucsc.edu/cgi-bin/hgTracks?position=206155_at","UCSC")</f>
        <v>UCSC</v>
      </c>
      <c r="E16674" s="1" t="str">
        <f>HYPERLINK("http://www.ncbi.nlm.nih.gov/gene/?term=ABCC2","NCBI")</f>
        <v>NCBI</v>
      </c>
      <c r="F16674">
        <v>0.92</v>
      </c>
      <c r="G16674">
        <v>0.94</v>
      </c>
      <c r="H16674" s="1" t="str">
        <f>HYPERLINK("http://www.weizmann.ac.il/complex/compphys/software/geview/data/figures/206155_at.png","Figure")</f>
        <v>Figure</v>
      </c>
      <c r="I16674">
        <v>1.02</v>
      </c>
      <c r="J16674">
        <v>0.93</v>
      </c>
      <c r="K16674">
        <v>1.02</v>
      </c>
      <c r="L16674">
        <v>0.94</v>
      </c>
      <c r="M16674">
        <v>0.995</v>
      </c>
      <c r="N16674">
        <v>1</v>
      </c>
    </row>
    <row r="16675" spans="1:14" x14ac:dyDescent="0.25">
      <c r="A16675" t="s">
        <v>27899</v>
      </c>
      <c r="B16675" t="s">
        <v>6150</v>
      </c>
      <c r="C16675" s="1" t="str">
        <f>HYPERLINK("http://www.genecards.org/cgi-bin/carddisp.pl?gene=REEP5","GeneCards")</f>
        <v>GeneCards</v>
      </c>
      <c r="D16675" s="1" t="str">
        <f>HYPERLINK("http://genome-euro.ucsc.edu/cgi-bin/hgTracks?position=208872_s_at","UCSC")</f>
        <v>UCSC</v>
      </c>
      <c r="E16675" s="1" t="str">
        <f>HYPERLINK("http://www.ncbi.nlm.nih.gov/gene/?term=REEP5","NCBI")</f>
        <v>NCBI</v>
      </c>
      <c r="F16675">
        <v>0.92</v>
      </c>
      <c r="G16675">
        <v>0.94</v>
      </c>
      <c r="H16675" s="1" t="str">
        <f>HYPERLINK("http://www.weizmann.ac.il/complex/compphys/software/geview/data/figures/208872_s_at.png","Figure")</f>
        <v>Figure</v>
      </c>
      <c r="I16675">
        <v>1.05</v>
      </c>
      <c r="J16675">
        <v>0.93</v>
      </c>
      <c r="K16675">
        <v>1</v>
      </c>
      <c r="L16675">
        <v>1</v>
      </c>
      <c r="M16675">
        <v>0.95299999999999996</v>
      </c>
      <c r="N16675">
        <v>0.93</v>
      </c>
    </row>
    <row r="16676" spans="1:14" x14ac:dyDescent="0.25">
      <c r="A16676" t="s">
        <v>27900</v>
      </c>
      <c r="B16676" t="s">
        <v>27901</v>
      </c>
      <c r="C16676" s="1" t="str">
        <f>HYPERLINK("http://www.genecards.org/cgi-bin/carddisp.pl?gene=CD244","GeneCards")</f>
        <v>GeneCards</v>
      </c>
      <c r="D16676" s="1" t="str">
        <f>HYPERLINK("http://genome-euro.ucsc.edu/cgi-bin/hgTracks?position=220307_at","UCSC")</f>
        <v>UCSC</v>
      </c>
      <c r="E16676" s="1" t="str">
        <f>HYPERLINK("http://www.ncbi.nlm.nih.gov/gene/?term=CD244","NCBI")</f>
        <v>NCBI</v>
      </c>
      <c r="F16676">
        <v>0.92</v>
      </c>
      <c r="G16676">
        <v>0.94</v>
      </c>
      <c r="H16676" s="1" t="str">
        <f>HYPERLINK("http://www.weizmann.ac.il/complex/compphys/software/geview/data/figures/220307_at.png","Figure")</f>
        <v>Figure</v>
      </c>
      <c r="I16676">
        <v>1.02</v>
      </c>
      <c r="J16676">
        <v>0.98</v>
      </c>
      <c r="K16676">
        <v>1.03</v>
      </c>
      <c r="L16676">
        <v>0.91</v>
      </c>
      <c r="M16676">
        <v>1.01</v>
      </c>
      <c r="N16676">
        <v>0.99</v>
      </c>
    </row>
    <row r="16677" spans="1:14" x14ac:dyDescent="0.25">
      <c r="A16677" t="s">
        <v>27902</v>
      </c>
      <c r="B16677" t="s">
        <v>27633</v>
      </c>
      <c r="C16677" s="1" t="str">
        <f>HYPERLINK("http://www.genecards.org/cgi-bin/carddisp.pl?gene=HBB","GeneCards")</f>
        <v>GeneCards</v>
      </c>
      <c r="D16677" s="1" t="str">
        <f>HYPERLINK("http://genome-euro.ucsc.edu/cgi-bin/hgTracks?position=217232_x_at","UCSC")</f>
        <v>UCSC</v>
      </c>
      <c r="E16677" s="1" t="str">
        <f>HYPERLINK("http://www.ncbi.nlm.nih.gov/gene/?term=HBB","NCBI")</f>
        <v>NCBI</v>
      </c>
      <c r="F16677">
        <v>0.92</v>
      </c>
      <c r="G16677">
        <v>0.94</v>
      </c>
      <c r="H16677" s="1" t="str">
        <f>HYPERLINK("http://www.weizmann.ac.il/complex/compphys/software/geview/data/figures/217232_x_at.png","Figure")</f>
        <v>Figure</v>
      </c>
      <c r="I16677">
        <v>1.5</v>
      </c>
      <c r="J16677">
        <v>0.92</v>
      </c>
      <c r="K16677">
        <v>1.18</v>
      </c>
      <c r="L16677">
        <v>0.98</v>
      </c>
      <c r="M16677">
        <v>0.78700000000000003</v>
      </c>
      <c r="N16677">
        <v>0.96</v>
      </c>
    </row>
    <row r="16678" spans="1:14" x14ac:dyDescent="0.25">
      <c r="A16678" t="s">
        <v>27903</v>
      </c>
      <c r="B16678" t="s">
        <v>27904</v>
      </c>
      <c r="C16678" s="1" t="str">
        <f>HYPERLINK("http://www.genecards.org/cgi-bin/carddisp.pl?gene=C7orf42","GeneCards")</f>
        <v>GeneCards</v>
      </c>
      <c r="D16678" s="1" t="str">
        <f>HYPERLINK("http://genome-euro.ucsc.edu/cgi-bin/hgTracks?position=218008_at","UCSC")</f>
        <v>UCSC</v>
      </c>
      <c r="E16678" s="1" t="str">
        <f>HYPERLINK("http://www.ncbi.nlm.nih.gov/gene/?term=C7orf42","NCBI")</f>
        <v>NCBI</v>
      </c>
      <c r="F16678">
        <v>0.92</v>
      </c>
      <c r="G16678">
        <v>0.94</v>
      </c>
      <c r="H16678" s="1" t="str">
        <f>HYPERLINK("http://www.weizmann.ac.il/complex/compphys/software/geview/data/figures/218008_at.png","Figure")</f>
        <v>Figure</v>
      </c>
      <c r="I16678">
        <v>0.96199999999999997</v>
      </c>
      <c r="J16678">
        <v>0.94</v>
      </c>
      <c r="K16678">
        <v>0.96299999999999997</v>
      </c>
      <c r="L16678">
        <v>0.93</v>
      </c>
      <c r="M16678">
        <v>1</v>
      </c>
      <c r="N16678">
        <v>1</v>
      </c>
    </row>
    <row r="16679" spans="1:14" x14ac:dyDescent="0.25">
      <c r="A16679" t="s">
        <v>27905</v>
      </c>
      <c r="B16679" t="s">
        <v>4239</v>
      </c>
      <c r="C16679" s="1" t="str">
        <f>HYPERLINK("http://www.genecards.org/cgi-bin/carddisp.pl?gene=DIDO1","GeneCards")</f>
        <v>GeneCards</v>
      </c>
      <c r="D16679" s="1" t="str">
        <f>HYPERLINK("http://genome-euro.ucsc.edu/cgi-bin/hgTracks?position=213213_at","UCSC")</f>
        <v>UCSC</v>
      </c>
      <c r="E16679" s="1" t="str">
        <f>HYPERLINK("http://www.ncbi.nlm.nih.gov/gene/?term=DIDO1","NCBI")</f>
        <v>NCBI</v>
      </c>
      <c r="F16679">
        <v>0.92</v>
      </c>
      <c r="G16679">
        <v>0.94</v>
      </c>
      <c r="H16679" s="1" t="str">
        <f>HYPERLINK("http://www.weizmann.ac.il/complex/compphys/software/geview/data/figures/213213_at.png","Figure")</f>
        <v>Figure</v>
      </c>
      <c r="I16679">
        <v>0.97899999999999998</v>
      </c>
      <c r="J16679">
        <v>0.99</v>
      </c>
      <c r="K16679">
        <v>1.04</v>
      </c>
      <c r="L16679">
        <v>0.96</v>
      </c>
      <c r="M16679">
        <v>1.06</v>
      </c>
      <c r="N16679">
        <v>0.92</v>
      </c>
    </row>
    <row r="16680" spans="1:14" x14ac:dyDescent="0.25">
      <c r="A16680" t="s">
        <v>27906</v>
      </c>
      <c r="B16680" t="s">
        <v>27907</v>
      </c>
      <c r="C16680" s="1" t="str">
        <f>HYPERLINK("http://www.genecards.org/cgi-bin/carddisp.pl?gene=CES3","GeneCards")</f>
        <v>GeneCards</v>
      </c>
      <c r="D16680" s="1" t="str">
        <f>HYPERLINK("http://genome-euro.ucsc.edu/cgi-bin/hgTracks?position=220335_x_at","UCSC")</f>
        <v>UCSC</v>
      </c>
      <c r="E16680" s="1" t="str">
        <f>HYPERLINK("http://www.ncbi.nlm.nih.gov/gene/?term=CES3","NCBI")</f>
        <v>NCBI</v>
      </c>
      <c r="F16680">
        <v>0.92</v>
      </c>
      <c r="G16680">
        <v>0.94</v>
      </c>
      <c r="H16680" s="1" t="str">
        <f>HYPERLINK("http://www.weizmann.ac.il/complex/compphys/software/geview/data/figures/220335_x_at.png","Figure")</f>
        <v>Figure</v>
      </c>
      <c r="I16680">
        <v>1.02</v>
      </c>
      <c r="J16680">
        <v>0.98</v>
      </c>
      <c r="K16680">
        <v>0.98799999999999999</v>
      </c>
      <c r="L16680">
        <v>0.98</v>
      </c>
      <c r="M16680">
        <v>0.97199999999999998</v>
      </c>
      <c r="N16680">
        <v>0.92</v>
      </c>
    </row>
    <row r="16681" spans="1:14" x14ac:dyDescent="0.25">
      <c r="A16681" t="s">
        <v>27908</v>
      </c>
      <c r="B16681" t="s">
        <v>1337</v>
      </c>
      <c r="C16681" s="1" t="str">
        <f>HYPERLINK("http://www.genecards.org/cgi-bin/carddisp.pl?gene=KIAA0090","GeneCards")</f>
        <v>GeneCards</v>
      </c>
      <c r="D16681" s="1" t="str">
        <f>HYPERLINK("http://genome-euro.ucsc.edu/cgi-bin/hgTracks?position=212395_s_at","UCSC")</f>
        <v>UCSC</v>
      </c>
      <c r="E16681" s="1" t="str">
        <f>HYPERLINK("http://www.ncbi.nlm.nih.gov/gene/?term=KIAA0090","NCBI")</f>
        <v>NCBI</v>
      </c>
      <c r="F16681">
        <v>0.92</v>
      </c>
      <c r="G16681">
        <v>0.94</v>
      </c>
      <c r="H16681" s="1" t="str">
        <f>HYPERLINK("http://www.weizmann.ac.il/complex/compphys/software/geview/data/figures/212395_s_at.png","Figure")</f>
        <v>Figure</v>
      </c>
      <c r="I16681">
        <v>1.03</v>
      </c>
      <c r="J16681">
        <v>0.95</v>
      </c>
      <c r="K16681">
        <v>1.03</v>
      </c>
      <c r="L16681">
        <v>0.93</v>
      </c>
      <c r="M16681">
        <v>1</v>
      </c>
      <c r="N16681">
        <v>1</v>
      </c>
    </row>
    <row r="16682" spans="1:14" x14ac:dyDescent="0.25">
      <c r="A16682" t="s">
        <v>27909</v>
      </c>
      <c r="B16682" t="s">
        <v>26099</v>
      </c>
      <c r="C16682" s="1" t="str">
        <f>HYPERLINK("http://www.genecards.org/cgi-bin/carddisp.pl?gene=SULT1A1","GeneCards")</f>
        <v>GeneCards</v>
      </c>
      <c r="D16682" s="1" t="str">
        <f>HYPERLINK("http://genome-euro.ucsc.edu/cgi-bin/hgTracks?position=215299_x_at","UCSC")</f>
        <v>UCSC</v>
      </c>
      <c r="E16682" s="1" t="str">
        <f>HYPERLINK("http://www.ncbi.nlm.nih.gov/gene/?term=SULT1A1","NCBI")</f>
        <v>NCBI</v>
      </c>
      <c r="F16682">
        <v>0.92</v>
      </c>
      <c r="G16682">
        <v>0.94</v>
      </c>
      <c r="H16682" s="1" t="str">
        <f>HYPERLINK("http://www.weizmann.ac.il/complex/compphys/software/geview/data/figures/215299_x_at.png","Figure")</f>
        <v>Figure</v>
      </c>
      <c r="I16682">
        <v>1.0900000000000001</v>
      </c>
      <c r="J16682">
        <v>0.92</v>
      </c>
      <c r="K16682">
        <v>1.02</v>
      </c>
      <c r="L16682">
        <v>0.99</v>
      </c>
      <c r="M16682">
        <v>0.94099999999999995</v>
      </c>
      <c r="N16682">
        <v>0.95</v>
      </c>
    </row>
    <row r="16683" spans="1:14" x14ac:dyDescent="0.25">
      <c r="A16683" t="s">
        <v>27910</v>
      </c>
      <c r="B16683" t="s">
        <v>27911</v>
      </c>
      <c r="C16683" s="1" t="str">
        <f>HYPERLINK("http://www.genecards.org/cgi-bin/carddisp.pl?gene=BSG","GeneCards")</f>
        <v>GeneCards</v>
      </c>
      <c r="D16683" s="1" t="str">
        <f>HYPERLINK("http://genome-euro.ucsc.edu/cgi-bin/hgTracks?position=208677_s_at","UCSC")</f>
        <v>UCSC</v>
      </c>
      <c r="E16683" s="1" t="str">
        <f>HYPERLINK("http://www.ncbi.nlm.nih.gov/gene/?term=BSG","NCBI")</f>
        <v>NCBI</v>
      </c>
      <c r="F16683">
        <v>0.92</v>
      </c>
      <c r="G16683">
        <v>0.94</v>
      </c>
      <c r="H16683" s="1" t="str">
        <f>HYPERLINK("http://www.weizmann.ac.il/complex/compphys/software/geview/data/figures/208677_s_at.png","Figure")</f>
        <v>Figure</v>
      </c>
      <c r="I16683">
        <v>0.97099999999999997</v>
      </c>
      <c r="J16683">
        <v>0.97</v>
      </c>
      <c r="K16683">
        <v>1.01</v>
      </c>
      <c r="L16683">
        <v>0.99</v>
      </c>
      <c r="M16683">
        <v>1.05</v>
      </c>
      <c r="N16683">
        <v>0.92</v>
      </c>
    </row>
    <row r="16684" spans="1:14" x14ac:dyDescent="0.25">
      <c r="A16684" t="s">
        <v>27912</v>
      </c>
      <c r="B16684" t="s">
        <v>27511</v>
      </c>
      <c r="C16684" s="1" t="str">
        <f>HYPERLINK("http://www.genecards.org/cgi-bin/carddisp.pl?gene=VAMP4","GeneCards")</f>
        <v>GeneCards</v>
      </c>
      <c r="D16684" s="1" t="str">
        <f>HYPERLINK("http://genome-euro.ucsc.edu/cgi-bin/hgTracks?position=213480_at","UCSC")</f>
        <v>UCSC</v>
      </c>
      <c r="E16684" s="1" t="str">
        <f>HYPERLINK("http://www.ncbi.nlm.nih.gov/gene/?term=VAMP4","NCBI")</f>
        <v>NCBI</v>
      </c>
      <c r="F16684">
        <v>0.92</v>
      </c>
      <c r="G16684">
        <v>0.94</v>
      </c>
      <c r="H16684" s="1" t="str">
        <f>HYPERLINK("http://www.weizmann.ac.il/complex/compphys/software/geview/data/figures/213480_at.png","Figure")</f>
        <v>Figure</v>
      </c>
      <c r="I16684">
        <v>1</v>
      </c>
      <c r="J16684">
        <v>1</v>
      </c>
      <c r="K16684">
        <v>1.04</v>
      </c>
      <c r="L16684">
        <v>0.93</v>
      </c>
      <c r="M16684">
        <v>1.04</v>
      </c>
      <c r="N16684">
        <v>0.95</v>
      </c>
    </row>
    <row r="16685" spans="1:14" x14ac:dyDescent="0.25">
      <c r="A16685" t="s">
        <v>27913</v>
      </c>
      <c r="B16685" t="s">
        <v>15335</v>
      </c>
      <c r="C16685" s="1" t="str">
        <f>HYPERLINK("http://www.genecards.org/cgi-bin/carddisp.pl?gene=NDUFA2","GeneCards")</f>
        <v>GeneCards</v>
      </c>
      <c r="D16685" s="1" t="str">
        <f>HYPERLINK("http://genome-euro.ucsc.edu/cgi-bin/hgTracks?position=209223_at","UCSC")</f>
        <v>UCSC</v>
      </c>
      <c r="E16685" s="1" t="str">
        <f>HYPERLINK("http://www.ncbi.nlm.nih.gov/gene/?term=NDUFA2","NCBI")</f>
        <v>NCBI</v>
      </c>
      <c r="F16685">
        <v>0.92</v>
      </c>
      <c r="G16685">
        <v>0.94</v>
      </c>
      <c r="H16685" s="1" t="str">
        <f>HYPERLINK("http://www.weizmann.ac.il/complex/compphys/software/geview/data/figures/209223_at.png","Figure")</f>
        <v>Figure</v>
      </c>
      <c r="I16685">
        <v>1.01</v>
      </c>
      <c r="J16685">
        <v>0.97</v>
      </c>
      <c r="K16685">
        <v>1.02</v>
      </c>
      <c r="L16685">
        <v>0.92</v>
      </c>
      <c r="M16685">
        <v>1.01</v>
      </c>
      <c r="N16685">
        <v>0.99</v>
      </c>
    </row>
    <row r="16686" spans="1:14" x14ac:dyDescent="0.25">
      <c r="A16686" t="s">
        <v>27914</v>
      </c>
      <c r="B16686" t="s">
        <v>27915</v>
      </c>
      <c r="C16686" s="1" t="str">
        <f>HYPERLINK("http://www.genecards.org/cgi-bin/carddisp.pl?gene=HECTD3","GeneCards")</f>
        <v>GeneCards</v>
      </c>
      <c r="D16686" s="1" t="str">
        <f>HYPERLINK("http://genome-euro.ucsc.edu/cgi-bin/hgTracks?position=218632_at","UCSC")</f>
        <v>UCSC</v>
      </c>
      <c r="E16686" s="1" t="str">
        <f>HYPERLINK("http://www.ncbi.nlm.nih.gov/gene/?term=HECTD3","NCBI")</f>
        <v>NCBI</v>
      </c>
      <c r="F16686">
        <v>0.92</v>
      </c>
      <c r="G16686">
        <v>0.94</v>
      </c>
      <c r="H16686" s="1" t="str">
        <f>HYPERLINK("http://www.weizmann.ac.il/complex/compphys/software/geview/data/figures/218632_at.png","Figure")</f>
        <v>Figure</v>
      </c>
      <c r="I16686">
        <v>1.02</v>
      </c>
      <c r="J16686">
        <v>0.98</v>
      </c>
      <c r="K16686">
        <v>1.03</v>
      </c>
      <c r="L16686">
        <v>0.92</v>
      </c>
      <c r="M16686">
        <v>1.02</v>
      </c>
      <c r="N16686">
        <v>0.98</v>
      </c>
    </row>
    <row r="16687" spans="1:14" x14ac:dyDescent="0.25">
      <c r="A16687" t="s">
        <v>27916</v>
      </c>
      <c r="B16687" t="s">
        <v>19523</v>
      </c>
      <c r="C16687" s="1" t="str">
        <f>HYPERLINK("http://www.genecards.org/cgi-bin/carddisp.pl?gene=HDGFRP3","GeneCards")</f>
        <v>GeneCards</v>
      </c>
      <c r="D16687" s="1" t="str">
        <f>HYPERLINK("http://genome-euro.ucsc.edu/cgi-bin/hgTracks?position=209525_at","UCSC")</f>
        <v>UCSC</v>
      </c>
      <c r="E16687" s="1" t="str">
        <f>HYPERLINK("http://www.ncbi.nlm.nih.gov/gene/?term=HDGFRP3","NCBI")</f>
        <v>NCBI</v>
      </c>
      <c r="F16687">
        <v>0.92</v>
      </c>
      <c r="G16687">
        <v>0.94</v>
      </c>
      <c r="H16687" s="1" t="str">
        <f>HYPERLINK("http://www.weizmann.ac.il/complex/compphys/software/geview/data/figures/209525_at.png","Figure")</f>
        <v>Figure</v>
      </c>
      <c r="I16687">
        <v>1.01</v>
      </c>
      <c r="J16687">
        <v>1</v>
      </c>
      <c r="K16687">
        <v>0.97899999999999998</v>
      </c>
      <c r="L16687">
        <v>0.95</v>
      </c>
      <c r="M16687">
        <v>0.97299999999999998</v>
      </c>
      <c r="N16687">
        <v>0.93</v>
      </c>
    </row>
    <row r="16688" spans="1:14" x14ac:dyDescent="0.25">
      <c r="A16688" t="s">
        <v>27917</v>
      </c>
      <c r="B16688" t="s">
        <v>22482</v>
      </c>
      <c r="C16688" s="1" t="str">
        <f>HYPERLINK("http://www.genecards.org/cgi-bin/carddisp.pl?gene=DDX24","GeneCards")</f>
        <v>GeneCards</v>
      </c>
      <c r="D16688" s="1" t="str">
        <f>HYPERLINK("http://genome-euro.ucsc.edu/cgi-bin/hgTracks?position=200702_s_at","UCSC")</f>
        <v>UCSC</v>
      </c>
      <c r="E16688" s="1" t="str">
        <f>HYPERLINK("http://www.ncbi.nlm.nih.gov/gene/?term=DDX24","NCBI")</f>
        <v>NCBI</v>
      </c>
      <c r="F16688">
        <v>0.92</v>
      </c>
      <c r="G16688">
        <v>0.94</v>
      </c>
      <c r="H16688" s="1" t="str">
        <f>HYPERLINK("http://www.weizmann.ac.il/complex/compphys/software/geview/data/figures/200702_s_at.png","Figure")</f>
        <v>Figure</v>
      </c>
      <c r="I16688">
        <v>0.95</v>
      </c>
      <c r="J16688">
        <v>0.97</v>
      </c>
      <c r="K16688">
        <v>1.03</v>
      </c>
      <c r="L16688">
        <v>0.99</v>
      </c>
      <c r="M16688">
        <v>1.0900000000000001</v>
      </c>
      <c r="N16688">
        <v>0.92</v>
      </c>
    </row>
    <row r="16689" spans="1:14" x14ac:dyDescent="0.25">
      <c r="A16689" t="s">
        <v>27918</v>
      </c>
      <c r="B16689" t="s">
        <v>27919</v>
      </c>
      <c r="C16689" s="1" t="str">
        <f>HYPERLINK("http://www.genecards.org/cgi-bin/carddisp.pl?gene=POMGNT1","GeneCards")</f>
        <v>GeneCards</v>
      </c>
      <c r="D16689" s="1" t="str">
        <f>HYPERLINK("http://genome-euro.ucsc.edu/cgi-bin/hgTracks?position=217944_at","UCSC")</f>
        <v>UCSC</v>
      </c>
      <c r="E16689" s="1" t="str">
        <f>HYPERLINK("http://www.ncbi.nlm.nih.gov/gene/?term=POMGNT1","NCBI")</f>
        <v>NCBI</v>
      </c>
      <c r="F16689">
        <v>0.92</v>
      </c>
      <c r="G16689">
        <v>0.94</v>
      </c>
      <c r="H16689" s="1" t="str">
        <f>HYPERLINK("http://www.weizmann.ac.il/complex/compphys/software/geview/data/figures/217944_at.png","Figure")</f>
        <v>Figure</v>
      </c>
      <c r="I16689">
        <v>1.01</v>
      </c>
      <c r="J16689">
        <v>1</v>
      </c>
      <c r="K16689">
        <v>0.97499999999999998</v>
      </c>
      <c r="L16689">
        <v>0.95</v>
      </c>
      <c r="M16689">
        <v>0.97</v>
      </c>
      <c r="N16689">
        <v>0.94</v>
      </c>
    </row>
    <row r="16690" spans="1:14" x14ac:dyDescent="0.25">
      <c r="A16690" t="s">
        <v>27920</v>
      </c>
      <c r="B16690" t="s">
        <v>27921</v>
      </c>
      <c r="C16690" s="1" t="str">
        <f>HYPERLINK("http://www.genecards.org/cgi-bin/carddisp.pl?gene=TNIP1","GeneCards")</f>
        <v>GeneCards</v>
      </c>
      <c r="D16690" s="1" t="str">
        <f>HYPERLINK("http://genome-euro.ucsc.edu/cgi-bin/hgTracks?position=207196_s_at","UCSC")</f>
        <v>UCSC</v>
      </c>
      <c r="E16690" s="1" t="str">
        <f>HYPERLINK("http://www.ncbi.nlm.nih.gov/gene/?term=TNIP1","NCBI")</f>
        <v>NCBI</v>
      </c>
      <c r="F16690">
        <v>0.93</v>
      </c>
      <c r="G16690">
        <v>0.94</v>
      </c>
      <c r="H16690" s="1" t="str">
        <f>HYPERLINK("http://www.weizmann.ac.il/complex/compphys/software/geview/data/figures/207196_s_at.png","Figure")</f>
        <v>Figure</v>
      </c>
      <c r="I16690">
        <v>0.94499999999999995</v>
      </c>
      <c r="J16690">
        <v>0.92</v>
      </c>
      <c r="K16690">
        <v>0.98199999999999998</v>
      </c>
      <c r="L16690">
        <v>0.99</v>
      </c>
      <c r="M16690">
        <v>1.04</v>
      </c>
      <c r="N16690">
        <v>0.96</v>
      </c>
    </row>
    <row r="16691" spans="1:14" x14ac:dyDescent="0.25">
      <c r="A16691" t="s">
        <v>27922</v>
      </c>
      <c r="B16691" t="s">
        <v>27923</v>
      </c>
      <c r="C16691" s="1" t="str">
        <f>HYPERLINK("http://www.genecards.org/cgi-bin/carddisp.pl?gene=CALB2","GeneCards")</f>
        <v>GeneCards</v>
      </c>
      <c r="D16691" s="1" t="str">
        <f>HYPERLINK("http://genome-euro.ucsc.edu/cgi-bin/hgTracks?position=205428_s_at","UCSC")</f>
        <v>UCSC</v>
      </c>
      <c r="E16691" s="1" t="str">
        <f>HYPERLINK("http://www.ncbi.nlm.nih.gov/gene/?term=CALB2","NCBI")</f>
        <v>NCBI</v>
      </c>
      <c r="F16691">
        <v>0.93</v>
      </c>
      <c r="G16691">
        <v>0.94</v>
      </c>
      <c r="H16691" s="1" t="str">
        <f>HYPERLINK("http://www.weizmann.ac.il/complex/compphys/software/geview/data/figures/205428_s_at.png","Figure")</f>
        <v>Figure</v>
      </c>
      <c r="I16691">
        <v>0.98499999999999999</v>
      </c>
      <c r="J16691">
        <v>0.92</v>
      </c>
      <c r="K16691">
        <v>0.995</v>
      </c>
      <c r="L16691">
        <v>0.99</v>
      </c>
      <c r="M16691">
        <v>1.01</v>
      </c>
      <c r="N16691">
        <v>0.96</v>
      </c>
    </row>
    <row r="16692" spans="1:14" x14ac:dyDescent="0.25">
      <c r="A16692" t="s">
        <v>27924</v>
      </c>
      <c r="B16692" t="s">
        <v>27925</v>
      </c>
      <c r="C16692" s="1" t="str">
        <f>HYPERLINK("http://www.genecards.org/cgi-bin/carddisp.pl?gene=LRRC49","GeneCards")</f>
        <v>GeneCards</v>
      </c>
      <c r="D16692" s="1" t="str">
        <f>HYPERLINK("http://genome-euro.ucsc.edu/cgi-bin/hgTracks?position=219338_s_at","UCSC")</f>
        <v>UCSC</v>
      </c>
      <c r="E16692" s="1" t="str">
        <f>HYPERLINK("http://www.ncbi.nlm.nih.gov/gene/?term=LRRC49","NCBI")</f>
        <v>NCBI</v>
      </c>
      <c r="F16692">
        <v>0.93</v>
      </c>
      <c r="G16692">
        <v>0.94</v>
      </c>
      <c r="H16692" s="1" t="str">
        <f>HYPERLINK("http://www.weizmann.ac.il/complex/compphys/software/geview/data/figures/219338_s_at.png","Figure")</f>
        <v>Figure</v>
      </c>
      <c r="I16692">
        <v>1</v>
      </c>
      <c r="J16692">
        <v>0.94</v>
      </c>
      <c r="K16692">
        <v>1</v>
      </c>
      <c r="L16692">
        <v>1</v>
      </c>
      <c r="M16692">
        <v>0.995</v>
      </c>
      <c r="N16692">
        <v>0.93</v>
      </c>
    </row>
    <row r="16693" spans="1:14" x14ac:dyDescent="0.25">
      <c r="A16693" t="s">
        <v>27926</v>
      </c>
      <c r="B16693" t="s">
        <v>27927</v>
      </c>
      <c r="C16693" s="1" t="str">
        <f>HYPERLINK("http://www.genecards.org/cgi-bin/carddisp.pl?gene=DAO","GeneCards")</f>
        <v>GeneCards</v>
      </c>
      <c r="D16693" s="1" t="str">
        <f>HYPERLINK("http://genome-euro.ucsc.edu/cgi-bin/hgTracks?position=206878_at","UCSC")</f>
        <v>UCSC</v>
      </c>
      <c r="E16693" s="1" t="str">
        <f>HYPERLINK("http://www.ncbi.nlm.nih.gov/gene/?term=DAO","NCBI")</f>
        <v>NCBI</v>
      </c>
      <c r="F16693">
        <v>0.93</v>
      </c>
      <c r="G16693">
        <v>0.94</v>
      </c>
      <c r="H16693" s="1" t="str">
        <f>HYPERLINK("http://www.weizmann.ac.il/complex/compphys/software/geview/data/figures/206878_at.png","Figure")</f>
        <v>Figure</v>
      </c>
      <c r="I16693">
        <v>1.03</v>
      </c>
      <c r="J16693">
        <v>0.92</v>
      </c>
      <c r="K16693">
        <v>1.01</v>
      </c>
      <c r="L16693">
        <v>0.99</v>
      </c>
      <c r="M16693">
        <v>0.98299999999999998</v>
      </c>
      <c r="N16693">
        <v>0.96</v>
      </c>
    </row>
    <row r="16694" spans="1:14" x14ac:dyDescent="0.25">
      <c r="A16694" t="s">
        <v>27928</v>
      </c>
      <c r="B16694" t="s">
        <v>17646</v>
      </c>
      <c r="C16694" s="1" t="str">
        <f>HYPERLINK("http://www.genecards.org/cgi-bin/carddisp.pl?gene=LASS6","GeneCards")</f>
        <v>GeneCards</v>
      </c>
      <c r="D16694" s="1" t="str">
        <f>HYPERLINK("http://genome-euro.ucsc.edu/cgi-bin/hgTracks?position=212442_s_at","UCSC")</f>
        <v>UCSC</v>
      </c>
      <c r="E16694" s="1" t="str">
        <f>HYPERLINK("http://www.ncbi.nlm.nih.gov/gene/?term=LASS6","NCBI")</f>
        <v>NCBI</v>
      </c>
      <c r="F16694">
        <v>0.93</v>
      </c>
      <c r="G16694">
        <v>0.94</v>
      </c>
      <c r="H16694" s="1" t="str">
        <f>HYPERLINK("http://www.weizmann.ac.il/complex/compphys/software/geview/data/figures/212442_s_at.png","Figure")</f>
        <v>Figure</v>
      </c>
      <c r="I16694">
        <v>0.94</v>
      </c>
      <c r="J16694">
        <v>0.92</v>
      </c>
      <c r="K16694">
        <v>0.95899999999999996</v>
      </c>
      <c r="L16694">
        <v>0.96</v>
      </c>
      <c r="M16694">
        <v>1.02</v>
      </c>
      <c r="N16694">
        <v>0.99</v>
      </c>
    </row>
    <row r="16695" spans="1:14" x14ac:dyDescent="0.25">
      <c r="A16695" t="s">
        <v>27929</v>
      </c>
      <c r="B16695" t="s">
        <v>27930</v>
      </c>
      <c r="C16695" s="1" t="str">
        <f>HYPERLINK("http://www.genecards.org/cgi-bin/carddisp.pl?gene=LOC100290509 /// LOC100293160 /// LOC126170 /// LOC131055 /// LOC342541 /// LOC390956 /// LOC401859 ","GeneCards")</f>
        <v>GeneCards</v>
      </c>
      <c r="D16695" s="1" t="str">
        <f>HYPERLINK("http://genome-euro.ucsc.edu/cgi-bin/hgTracks?position=217346_at","UCSC")</f>
        <v>UCSC</v>
      </c>
      <c r="E16695" s="1" t="str">
        <f>HYPERLINK("http://www.ncbi.nlm.nih.gov/gene/?term=LOC100290509 /// LOC100293160 /// LOC126170 /// LOC131055 /// LOC342541 /// LOC390956 /// LOC401859 ","NCBI")</f>
        <v>NCBI</v>
      </c>
      <c r="F16695">
        <v>0.93</v>
      </c>
      <c r="G16695">
        <v>0.94</v>
      </c>
      <c r="H16695" s="1" t="str">
        <f>HYPERLINK("http://www.weizmann.ac.il/complex/compphys/software/geview/data/figures/217346_at.png","Figure")</f>
        <v>Figure</v>
      </c>
      <c r="I16695">
        <v>0.97299999999999998</v>
      </c>
      <c r="J16695">
        <v>0.96</v>
      </c>
      <c r="K16695">
        <v>0.96899999999999997</v>
      </c>
      <c r="L16695">
        <v>0.93</v>
      </c>
      <c r="M16695">
        <v>0.996</v>
      </c>
      <c r="N16695">
        <v>1</v>
      </c>
    </row>
    <row r="16696" spans="1:14" x14ac:dyDescent="0.25">
      <c r="A16696" t="s">
        <v>27931</v>
      </c>
      <c r="B16696" t="s">
        <v>15795</v>
      </c>
      <c r="C16696" s="1" t="str">
        <f>HYPERLINK("http://www.genecards.org/cgi-bin/carddisp.pl?gene=ARMC8","GeneCards")</f>
        <v>GeneCards</v>
      </c>
      <c r="D16696" s="1" t="str">
        <f>HYPERLINK("http://genome-euro.ucsc.edu/cgi-bin/hgTracks?position=203486_s_at","UCSC")</f>
        <v>UCSC</v>
      </c>
      <c r="E16696" s="1" t="str">
        <f>HYPERLINK("http://www.ncbi.nlm.nih.gov/gene/?term=ARMC8","NCBI")</f>
        <v>NCBI</v>
      </c>
      <c r="F16696">
        <v>0.93</v>
      </c>
      <c r="G16696">
        <v>0.94</v>
      </c>
      <c r="H16696" s="1" t="str">
        <f>HYPERLINK("http://www.weizmann.ac.il/complex/compphys/software/geview/data/figures/203486_s_at.png","Figure")</f>
        <v>Figure</v>
      </c>
      <c r="I16696">
        <v>0.94799999999999995</v>
      </c>
      <c r="J16696">
        <v>0.93</v>
      </c>
      <c r="K16696">
        <v>0.99399999999999999</v>
      </c>
      <c r="L16696">
        <v>1</v>
      </c>
      <c r="M16696">
        <v>1.05</v>
      </c>
      <c r="N16696">
        <v>0.94</v>
      </c>
    </row>
    <row r="16697" spans="1:14" x14ac:dyDescent="0.25">
      <c r="A16697" t="s">
        <v>27932</v>
      </c>
      <c r="B16697" t="s">
        <v>16098</v>
      </c>
      <c r="C16697" s="1" t="str">
        <f>HYPERLINK("http://www.genecards.org/cgi-bin/carddisp.pl?gene=USP34","GeneCards")</f>
        <v>GeneCards</v>
      </c>
      <c r="D16697" s="1" t="str">
        <f>HYPERLINK("http://genome-euro.ucsc.edu/cgi-bin/hgTracks?position=212065_s_at","UCSC")</f>
        <v>UCSC</v>
      </c>
      <c r="E16697" s="1" t="str">
        <f>HYPERLINK("http://www.ncbi.nlm.nih.gov/gene/?term=USP34","NCBI")</f>
        <v>NCBI</v>
      </c>
      <c r="F16697">
        <v>0.93</v>
      </c>
      <c r="G16697">
        <v>0.94</v>
      </c>
      <c r="H16697" s="1" t="str">
        <f>HYPERLINK("http://www.weizmann.ac.il/complex/compphys/software/geview/data/figures/212065_s_at.png","Figure")</f>
        <v>Figure</v>
      </c>
      <c r="I16697">
        <v>1.05</v>
      </c>
      <c r="J16697">
        <v>0.95</v>
      </c>
      <c r="K16697">
        <v>0.99099999999999999</v>
      </c>
      <c r="L16697">
        <v>1</v>
      </c>
      <c r="M16697">
        <v>0.94599999999999995</v>
      </c>
      <c r="N16697">
        <v>0.92</v>
      </c>
    </row>
    <row r="16698" spans="1:14" x14ac:dyDescent="0.25">
      <c r="A16698" t="s">
        <v>27933</v>
      </c>
      <c r="B16698" t="s">
        <v>24399</v>
      </c>
      <c r="C16698" s="1" t="str">
        <f>HYPERLINK("http://www.genecards.org/cgi-bin/carddisp.pl?gene=FEZ2","GeneCards")</f>
        <v>GeneCards</v>
      </c>
      <c r="D16698" s="1" t="str">
        <f>HYPERLINK("http://genome-euro.ucsc.edu/cgi-bin/hgTracks?position=202305_s_at","UCSC")</f>
        <v>UCSC</v>
      </c>
      <c r="E16698" s="1" t="str">
        <f>HYPERLINK("http://www.ncbi.nlm.nih.gov/gene/?term=FEZ2","NCBI")</f>
        <v>NCBI</v>
      </c>
      <c r="F16698">
        <v>0.93</v>
      </c>
      <c r="G16698">
        <v>0.94</v>
      </c>
      <c r="H16698" s="1" t="str">
        <f>HYPERLINK("http://www.weizmann.ac.il/complex/compphys/software/geview/data/figures/202305_s_at.png","Figure")</f>
        <v>Figure</v>
      </c>
      <c r="I16698">
        <v>1.05</v>
      </c>
      <c r="J16698">
        <v>0.92</v>
      </c>
      <c r="K16698">
        <v>1.02</v>
      </c>
      <c r="L16698">
        <v>0.98</v>
      </c>
      <c r="M16698">
        <v>0.96899999999999997</v>
      </c>
      <c r="N16698">
        <v>0.96</v>
      </c>
    </row>
    <row r="16699" spans="1:14" x14ac:dyDescent="0.25">
      <c r="A16699" t="s">
        <v>27934</v>
      </c>
      <c r="B16699" t="s">
        <v>25711</v>
      </c>
      <c r="C16699" s="1" t="str">
        <f>HYPERLINK("http://www.genecards.org/cgi-bin/carddisp.pl?gene=NAIP","GeneCards")</f>
        <v>GeneCards</v>
      </c>
      <c r="D16699" s="1" t="str">
        <f>HYPERLINK("http://genome-euro.ucsc.edu/cgi-bin/hgTracks?position=204861_s_at","UCSC")</f>
        <v>UCSC</v>
      </c>
      <c r="E16699" s="1" t="str">
        <f>HYPERLINK("http://www.ncbi.nlm.nih.gov/gene/?term=NAIP","NCBI")</f>
        <v>NCBI</v>
      </c>
      <c r="F16699">
        <v>0.93</v>
      </c>
      <c r="G16699">
        <v>0.94</v>
      </c>
      <c r="H16699" s="1" t="str">
        <f>HYPERLINK("http://www.weizmann.ac.il/complex/compphys/software/geview/data/figures/204861_s_at.png","Figure")</f>
        <v>Figure</v>
      </c>
      <c r="I16699">
        <v>0.96699999999999997</v>
      </c>
      <c r="J16699">
        <v>0.97</v>
      </c>
      <c r="K16699">
        <v>0.95499999999999996</v>
      </c>
      <c r="L16699">
        <v>0.92</v>
      </c>
      <c r="M16699">
        <v>0.98699999999999999</v>
      </c>
      <c r="N16699">
        <v>0.99</v>
      </c>
    </row>
    <row r="16700" spans="1:14" x14ac:dyDescent="0.25">
      <c r="A16700" t="s">
        <v>27935</v>
      </c>
      <c r="B16700" t="s">
        <v>27936</v>
      </c>
      <c r="C16700" s="1" t="str">
        <f>HYPERLINK("http://www.genecards.org/cgi-bin/carddisp.pl?gene=HMBOX1","GeneCards")</f>
        <v>GeneCards</v>
      </c>
      <c r="D16700" s="1" t="str">
        <f>HYPERLINK("http://genome-euro.ucsc.edu/cgi-bin/hgTracks?position=219269_at","UCSC")</f>
        <v>UCSC</v>
      </c>
      <c r="E16700" s="1" t="str">
        <f>HYPERLINK("http://www.ncbi.nlm.nih.gov/gene/?term=HMBOX1","NCBI")</f>
        <v>NCBI</v>
      </c>
      <c r="F16700">
        <v>0.93</v>
      </c>
      <c r="G16700">
        <v>0.94</v>
      </c>
      <c r="H16700" s="1" t="str">
        <f>HYPERLINK("http://www.weizmann.ac.il/complex/compphys/software/geview/data/figures/219269_at.png","Figure")</f>
        <v>Figure</v>
      </c>
      <c r="I16700">
        <v>1.05</v>
      </c>
      <c r="J16700">
        <v>0.96</v>
      </c>
      <c r="K16700">
        <v>1.06</v>
      </c>
      <c r="L16700">
        <v>0.92</v>
      </c>
      <c r="M16700">
        <v>1.01</v>
      </c>
      <c r="N16700">
        <v>1</v>
      </c>
    </row>
    <row r="16701" spans="1:14" x14ac:dyDescent="0.25">
      <c r="A16701" t="s">
        <v>27937</v>
      </c>
      <c r="B16701" t="s">
        <v>27938</v>
      </c>
      <c r="C16701" s="1" t="str">
        <f>HYPERLINK("http://www.genecards.org/cgi-bin/carddisp.pl?gene=FBXL14","GeneCards")</f>
        <v>GeneCards</v>
      </c>
      <c r="D16701" s="1" t="str">
        <f>HYPERLINK("http://genome-euro.ucsc.edu/cgi-bin/hgTracks?position=213145_at","UCSC")</f>
        <v>UCSC</v>
      </c>
      <c r="E16701" s="1" t="str">
        <f>HYPERLINK("http://www.ncbi.nlm.nih.gov/gene/?term=FBXL14","NCBI")</f>
        <v>NCBI</v>
      </c>
      <c r="F16701">
        <v>0.93</v>
      </c>
      <c r="G16701">
        <v>0.94</v>
      </c>
      <c r="H16701" s="1" t="str">
        <f>HYPERLINK("http://www.weizmann.ac.il/complex/compphys/software/geview/data/figures/213145_at.png","Figure")</f>
        <v>Figure</v>
      </c>
      <c r="I16701">
        <v>1.07</v>
      </c>
      <c r="J16701">
        <v>0.92</v>
      </c>
      <c r="K16701">
        <v>1.04</v>
      </c>
      <c r="L16701">
        <v>0.96</v>
      </c>
      <c r="M16701">
        <v>0.97399999999999998</v>
      </c>
      <c r="N16701">
        <v>0.99</v>
      </c>
    </row>
    <row r="16702" spans="1:14" x14ac:dyDescent="0.25">
      <c r="A16702" t="s">
        <v>27939</v>
      </c>
      <c r="B16702" t="s">
        <v>11716</v>
      </c>
      <c r="C16702" s="1" t="str">
        <f>HYPERLINK("http://www.genecards.org/cgi-bin/carddisp.pl?gene=MEGF9","GeneCards")</f>
        <v>GeneCards</v>
      </c>
      <c r="D16702" s="1" t="str">
        <f>HYPERLINK("http://genome-euro.ucsc.edu/cgi-bin/hgTracks?position=212831_at","UCSC")</f>
        <v>UCSC</v>
      </c>
      <c r="E16702" s="1" t="str">
        <f>HYPERLINK("http://www.ncbi.nlm.nih.gov/gene/?term=MEGF9","NCBI")</f>
        <v>NCBI</v>
      </c>
      <c r="F16702">
        <v>0.93</v>
      </c>
      <c r="G16702">
        <v>0.94</v>
      </c>
      <c r="H16702" s="1" t="str">
        <f>HYPERLINK("http://www.weizmann.ac.il/complex/compphys/software/geview/data/figures/212831_at.png","Figure")</f>
        <v>Figure</v>
      </c>
      <c r="I16702">
        <v>0.98299999999999998</v>
      </c>
      <c r="J16702">
        <v>0.96</v>
      </c>
      <c r="K16702">
        <v>1</v>
      </c>
      <c r="L16702">
        <v>1</v>
      </c>
      <c r="M16702">
        <v>1.02</v>
      </c>
      <c r="N16702">
        <v>0.92</v>
      </c>
    </row>
    <row r="16703" spans="1:14" x14ac:dyDescent="0.25">
      <c r="A16703" t="s">
        <v>27940</v>
      </c>
      <c r="B16703" t="s">
        <v>27941</v>
      </c>
      <c r="C16703" s="1" t="str">
        <f>HYPERLINK("http://www.genecards.org/cgi-bin/carddisp.pl?gene=MAST3","GeneCards")</f>
        <v>GeneCards</v>
      </c>
      <c r="D16703" s="1" t="str">
        <f>HYPERLINK("http://genome-euro.ucsc.edu/cgi-bin/hgTracks?position=213045_at","UCSC")</f>
        <v>UCSC</v>
      </c>
      <c r="E16703" s="1" t="str">
        <f>HYPERLINK("http://www.ncbi.nlm.nih.gov/gene/?term=MAST3","NCBI")</f>
        <v>NCBI</v>
      </c>
      <c r="F16703">
        <v>0.93</v>
      </c>
      <c r="G16703">
        <v>0.94</v>
      </c>
      <c r="H16703" s="1" t="str">
        <f>HYPERLINK("http://www.weizmann.ac.il/complex/compphys/software/geview/data/figures/213045_at.png","Figure")</f>
        <v>Figure</v>
      </c>
      <c r="I16703">
        <v>0.98199999999999998</v>
      </c>
      <c r="J16703">
        <v>0.99</v>
      </c>
      <c r="K16703">
        <v>1.03</v>
      </c>
      <c r="L16703">
        <v>0.96</v>
      </c>
      <c r="M16703">
        <v>1.05</v>
      </c>
      <c r="N16703">
        <v>0.93</v>
      </c>
    </row>
    <row r="16704" spans="1:14" x14ac:dyDescent="0.25">
      <c r="A16704" t="s">
        <v>27942</v>
      </c>
      <c r="B16704" t="s">
        <v>27943</v>
      </c>
      <c r="C16704" s="1" t="str">
        <f>HYPERLINK("http://www.genecards.org/cgi-bin/carddisp.pl?gene=UPK1A","GeneCards")</f>
        <v>GeneCards</v>
      </c>
      <c r="D16704" s="1" t="str">
        <f>HYPERLINK("http://genome-euro.ucsc.edu/cgi-bin/hgTracks?position=214624_at","UCSC")</f>
        <v>UCSC</v>
      </c>
      <c r="E16704" s="1" t="str">
        <f>HYPERLINK("http://www.ncbi.nlm.nih.gov/gene/?term=UPK1A","NCBI")</f>
        <v>NCBI</v>
      </c>
      <c r="F16704">
        <v>0.93</v>
      </c>
      <c r="G16704">
        <v>0.94</v>
      </c>
      <c r="H16704" s="1" t="str">
        <f>HYPERLINK("http://www.weizmann.ac.il/complex/compphys/software/geview/data/figures/214624_at.png","Figure")</f>
        <v>Figure</v>
      </c>
      <c r="I16704">
        <v>0.97699999999999998</v>
      </c>
      <c r="J16704">
        <v>0.94</v>
      </c>
      <c r="K16704">
        <v>0.98099999999999998</v>
      </c>
      <c r="L16704">
        <v>0.94</v>
      </c>
      <c r="M16704">
        <v>1</v>
      </c>
      <c r="N16704">
        <v>1</v>
      </c>
    </row>
    <row r="16705" spans="1:14" x14ac:dyDescent="0.25">
      <c r="A16705" t="s">
        <v>27944</v>
      </c>
      <c r="B16705" t="s">
        <v>7250</v>
      </c>
      <c r="C16705" s="1" t="str">
        <f>HYPERLINK("http://www.genecards.org/cgi-bin/carddisp.pl?gene=NR4A1","GeneCards")</f>
        <v>GeneCards</v>
      </c>
      <c r="D16705" s="1" t="str">
        <f>HYPERLINK("http://genome-euro.ucsc.edu/cgi-bin/hgTracks?position=211143_x_at","UCSC")</f>
        <v>UCSC</v>
      </c>
      <c r="E16705" s="1" t="str">
        <f>HYPERLINK("http://www.ncbi.nlm.nih.gov/gene/?term=NR4A1","NCBI")</f>
        <v>NCBI</v>
      </c>
      <c r="F16705">
        <v>0.93</v>
      </c>
      <c r="G16705">
        <v>0.94</v>
      </c>
      <c r="H16705" s="1" t="str">
        <f>HYPERLINK("http://www.weizmann.ac.il/complex/compphys/software/geview/data/figures/211143_x_at.png","Figure")</f>
        <v>Figure</v>
      </c>
      <c r="I16705">
        <v>1.01</v>
      </c>
      <c r="J16705">
        <v>1</v>
      </c>
      <c r="K16705">
        <v>0.95599999999999996</v>
      </c>
      <c r="L16705">
        <v>0.95</v>
      </c>
      <c r="M16705">
        <v>0.95</v>
      </c>
      <c r="N16705">
        <v>0.94</v>
      </c>
    </row>
    <row r="16706" spans="1:14" x14ac:dyDescent="0.25">
      <c r="A16706" t="s">
        <v>27945</v>
      </c>
      <c r="B16706" t="s">
        <v>27946</v>
      </c>
      <c r="C16706" s="1" t="str">
        <f>HYPERLINK("http://www.genecards.org/cgi-bin/carddisp.pl?gene=HSPA5","GeneCards")</f>
        <v>GeneCards</v>
      </c>
      <c r="D16706" s="1" t="str">
        <f>HYPERLINK("http://genome-euro.ucsc.edu/cgi-bin/hgTracks?position=211936_at","UCSC")</f>
        <v>UCSC</v>
      </c>
      <c r="E16706" s="1" t="str">
        <f>HYPERLINK("http://www.ncbi.nlm.nih.gov/gene/?term=HSPA5","NCBI")</f>
        <v>NCBI</v>
      </c>
      <c r="F16706">
        <v>0.93</v>
      </c>
      <c r="G16706">
        <v>0.94</v>
      </c>
      <c r="H16706" s="1" t="str">
        <f>HYPERLINK("http://www.weizmann.ac.il/complex/compphys/software/geview/data/figures/211936_at.png","Figure")</f>
        <v>Figure</v>
      </c>
      <c r="I16706">
        <v>0.89500000000000002</v>
      </c>
      <c r="J16706">
        <v>0.94</v>
      </c>
      <c r="K16706">
        <v>1.01</v>
      </c>
      <c r="L16706">
        <v>1</v>
      </c>
      <c r="M16706">
        <v>1.1200000000000001</v>
      </c>
      <c r="N16706">
        <v>0.93</v>
      </c>
    </row>
    <row r="16707" spans="1:14" x14ac:dyDescent="0.25">
      <c r="A16707" t="s">
        <v>27947</v>
      </c>
      <c r="B16707" t="s">
        <v>25742</v>
      </c>
      <c r="C16707" s="1" t="str">
        <f>HYPERLINK("http://www.genecards.org/cgi-bin/carddisp.pl?gene=PACS2","GeneCards")</f>
        <v>GeneCards</v>
      </c>
      <c r="D16707" s="1" t="str">
        <f>HYPERLINK("http://genome-euro.ucsc.edu/cgi-bin/hgTracks?position=34406_at","UCSC")</f>
        <v>UCSC</v>
      </c>
      <c r="E16707" s="1" t="str">
        <f>HYPERLINK("http://www.ncbi.nlm.nih.gov/gene/?term=PACS2","NCBI")</f>
        <v>NCBI</v>
      </c>
      <c r="F16707">
        <v>0.93</v>
      </c>
      <c r="G16707">
        <v>0.94</v>
      </c>
      <c r="H16707" s="1" t="str">
        <f>HYPERLINK("http://www.weizmann.ac.il/complex/compphys/software/geview/data/figures/34406_at.png","Figure")</f>
        <v>Figure</v>
      </c>
      <c r="I16707">
        <v>0.95199999999999996</v>
      </c>
      <c r="J16707">
        <v>0.93</v>
      </c>
      <c r="K16707">
        <v>0.97</v>
      </c>
      <c r="L16707">
        <v>0.96</v>
      </c>
      <c r="M16707">
        <v>1.02</v>
      </c>
      <c r="N16707">
        <v>0.99</v>
      </c>
    </row>
    <row r="16708" spans="1:14" x14ac:dyDescent="0.25">
      <c r="A16708" t="s">
        <v>27948</v>
      </c>
      <c r="B16708" t="s">
        <v>12745</v>
      </c>
      <c r="C16708" s="1" t="str">
        <f>HYPERLINK("http://www.genecards.org/cgi-bin/carddisp.pl?gene=CEP350","GeneCards")</f>
        <v>GeneCards</v>
      </c>
      <c r="D16708" s="1" t="str">
        <f>HYPERLINK("http://genome-euro.ucsc.edu/cgi-bin/hgTracks?position=204373_s_at","UCSC")</f>
        <v>UCSC</v>
      </c>
      <c r="E16708" s="1" t="str">
        <f>HYPERLINK("http://www.ncbi.nlm.nih.gov/gene/?term=CEP350","NCBI")</f>
        <v>NCBI</v>
      </c>
      <c r="F16708">
        <v>0.93</v>
      </c>
      <c r="G16708">
        <v>0.94</v>
      </c>
      <c r="H16708" s="1" t="str">
        <f>HYPERLINK("http://www.weizmann.ac.il/complex/compphys/software/geview/data/figures/204373_s_at.png","Figure")</f>
        <v>Figure</v>
      </c>
      <c r="I16708">
        <v>0.94299999999999995</v>
      </c>
      <c r="J16708">
        <v>0.97</v>
      </c>
      <c r="K16708">
        <v>1.04</v>
      </c>
      <c r="L16708">
        <v>0.99</v>
      </c>
      <c r="M16708">
        <v>1.1000000000000001</v>
      </c>
      <c r="N16708">
        <v>0.92</v>
      </c>
    </row>
    <row r="16709" spans="1:14" x14ac:dyDescent="0.25">
      <c r="A16709" t="s">
        <v>27949</v>
      </c>
      <c r="B16709" t="s">
        <v>27950</v>
      </c>
      <c r="C16709" s="1" t="str">
        <f>HYPERLINK("http://www.genecards.org/cgi-bin/carddisp.pl?gene=PCDH12","GeneCards")</f>
        <v>GeneCards</v>
      </c>
      <c r="D16709" s="1" t="str">
        <f>HYPERLINK("http://genome-euro.ucsc.edu/cgi-bin/hgTracks?position=219656_at","UCSC")</f>
        <v>UCSC</v>
      </c>
      <c r="E16709" s="1" t="str">
        <f>HYPERLINK("http://www.ncbi.nlm.nih.gov/gene/?term=PCDH12","NCBI")</f>
        <v>NCBI</v>
      </c>
      <c r="F16709">
        <v>0.93</v>
      </c>
      <c r="G16709">
        <v>0.94</v>
      </c>
      <c r="H16709" s="1" t="str">
        <f>HYPERLINK("http://www.weizmann.ac.il/complex/compphys/software/geview/data/figures/219656_at.png","Figure")</f>
        <v>Figure</v>
      </c>
      <c r="I16709">
        <v>0.97899999999999998</v>
      </c>
      <c r="J16709">
        <v>0.97</v>
      </c>
      <c r="K16709">
        <v>1.01</v>
      </c>
      <c r="L16709">
        <v>0.99</v>
      </c>
      <c r="M16709">
        <v>1.03</v>
      </c>
      <c r="N16709">
        <v>0.92</v>
      </c>
    </row>
    <row r="16710" spans="1:14" x14ac:dyDescent="0.25">
      <c r="A16710" t="s">
        <v>27951</v>
      </c>
      <c r="B16710" t="s">
        <v>27952</v>
      </c>
      <c r="C16710" s="1" t="str">
        <f>HYPERLINK("http://www.genecards.org/cgi-bin/carddisp.pl?gene=TTC22","GeneCards")</f>
        <v>GeneCards</v>
      </c>
      <c r="D16710" s="1" t="str">
        <f>HYPERLINK("http://genome-euro.ucsc.edu/cgi-bin/hgTracks?position=220309_at","UCSC")</f>
        <v>UCSC</v>
      </c>
      <c r="E16710" s="1" t="str">
        <f>HYPERLINK("http://www.ncbi.nlm.nih.gov/gene/?term=TTC22","NCBI")</f>
        <v>NCBI</v>
      </c>
      <c r="F16710">
        <v>0.93</v>
      </c>
      <c r="G16710">
        <v>0.94</v>
      </c>
      <c r="H16710" s="1" t="str">
        <f>HYPERLINK("http://www.weizmann.ac.il/complex/compphys/software/geview/data/figures/220309_at.png","Figure")</f>
        <v>Figure</v>
      </c>
      <c r="I16710">
        <v>0.97</v>
      </c>
      <c r="J16710">
        <v>0.94</v>
      </c>
      <c r="K16710">
        <v>0.97299999999999998</v>
      </c>
      <c r="L16710">
        <v>0.94</v>
      </c>
      <c r="M16710">
        <v>1</v>
      </c>
      <c r="N16710">
        <v>1</v>
      </c>
    </row>
    <row r="16711" spans="1:14" x14ac:dyDescent="0.25">
      <c r="A16711" t="s">
        <v>27953</v>
      </c>
      <c r="B16711" t="s">
        <v>27954</v>
      </c>
      <c r="C16711" s="1" t="str">
        <f>HYPERLINK("http://www.genecards.org/cgi-bin/carddisp.pl?gene=RASL11B","GeneCards")</f>
        <v>GeneCards</v>
      </c>
      <c r="D16711" s="1" t="str">
        <f>HYPERLINK("http://genome-euro.ucsc.edu/cgi-bin/hgTracks?position=219142_at","UCSC")</f>
        <v>UCSC</v>
      </c>
      <c r="E16711" s="1" t="str">
        <f>HYPERLINK("http://www.ncbi.nlm.nih.gov/gene/?term=RASL11B","NCBI")</f>
        <v>NCBI</v>
      </c>
      <c r="F16711">
        <v>0.93</v>
      </c>
      <c r="G16711">
        <v>0.94</v>
      </c>
      <c r="H16711" s="1" t="str">
        <f>HYPERLINK("http://www.weizmann.ac.il/complex/compphys/software/geview/data/figures/219142_at.png","Figure")</f>
        <v>Figure</v>
      </c>
      <c r="I16711">
        <v>1.02</v>
      </c>
      <c r="J16711">
        <v>0.92</v>
      </c>
      <c r="K16711">
        <v>1.01</v>
      </c>
      <c r="L16711">
        <v>0.96</v>
      </c>
      <c r="M16711">
        <v>0.99199999999999999</v>
      </c>
      <c r="N16711">
        <v>0.99</v>
      </c>
    </row>
    <row r="16712" spans="1:14" x14ac:dyDescent="0.25">
      <c r="A16712" t="s">
        <v>27955</v>
      </c>
      <c r="B16712" t="s">
        <v>26101</v>
      </c>
      <c r="C16712" s="1" t="str">
        <f>HYPERLINK("http://www.genecards.org/cgi-bin/carddisp.pl?gene=NFYA","GeneCards")</f>
        <v>GeneCards</v>
      </c>
      <c r="D16712" s="1" t="str">
        <f>HYPERLINK("http://genome-euro.ucsc.edu/cgi-bin/hgTracks?position=215720_s_at","UCSC")</f>
        <v>UCSC</v>
      </c>
      <c r="E16712" s="1" t="str">
        <f>HYPERLINK("http://www.ncbi.nlm.nih.gov/gene/?term=NFYA","NCBI")</f>
        <v>NCBI</v>
      </c>
      <c r="F16712">
        <v>0.93</v>
      </c>
      <c r="G16712">
        <v>0.94</v>
      </c>
      <c r="H16712" s="1" t="str">
        <f>HYPERLINK("http://www.weizmann.ac.il/complex/compphys/software/geview/data/figures/215720_s_at.png","Figure")</f>
        <v>Figure</v>
      </c>
      <c r="I16712">
        <v>1.02</v>
      </c>
      <c r="J16712">
        <v>0.98</v>
      </c>
      <c r="K16712">
        <v>0.98199999999999998</v>
      </c>
      <c r="L16712">
        <v>0.98</v>
      </c>
      <c r="M16712">
        <v>0.95899999999999996</v>
      </c>
      <c r="N16712">
        <v>0.92</v>
      </c>
    </row>
    <row r="16713" spans="1:14" x14ac:dyDescent="0.25">
      <c r="A16713" t="s">
        <v>27956</v>
      </c>
      <c r="B16713" t="s">
        <v>27884</v>
      </c>
      <c r="C16713" s="1" t="str">
        <f>HYPERLINK("http://www.genecards.org/cgi-bin/carddisp.pl?gene=RPL15","GeneCards")</f>
        <v>GeneCards</v>
      </c>
      <c r="D16713" s="1" t="str">
        <f>HYPERLINK("http://genome-euro.ucsc.edu/cgi-bin/hgTracks?position=221475_s_at","UCSC")</f>
        <v>UCSC</v>
      </c>
      <c r="E16713" s="1" t="str">
        <f>HYPERLINK("http://www.ncbi.nlm.nih.gov/gene/?term=RPL15","NCBI")</f>
        <v>NCBI</v>
      </c>
      <c r="F16713">
        <v>0.93</v>
      </c>
      <c r="G16713">
        <v>0.95</v>
      </c>
      <c r="H16713" s="1" t="str">
        <f>HYPERLINK("http://www.weizmann.ac.il/complex/compphys/software/geview/data/figures/221475_s_at.png","Figure")</f>
        <v>Figure</v>
      </c>
      <c r="I16713">
        <v>1.07</v>
      </c>
      <c r="J16713">
        <v>0.94</v>
      </c>
      <c r="K16713">
        <v>1.06</v>
      </c>
      <c r="L16713">
        <v>0.94</v>
      </c>
      <c r="M16713">
        <v>0.99</v>
      </c>
      <c r="N16713">
        <v>1</v>
      </c>
    </row>
    <row r="16714" spans="1:14" x14ac:dyDescent="0.25">
      <c r="A16714" t="s">
        <v>27957</v>
      </c>
      <c r="B16714" t="s">
        <v>27343</v>
      </c>
      <c r="C16714" s="1" t="str">
        <f>HYPERLINK("http://www.genecards.org/cgi-bin/carddisp.pl?gene=SF3A2","GeneCards")</f>
        <v>GeneCards</v>
      </c>
      <c r="D16714" s="1" t="str">
        <f>HYPERLINK("http://genome-euro.ucsc.edu/cgi-bin/hgTracks?position=209381_x_at","UCSC")</f>
        <v>UCSC</v>
      </c>
      <c r="E16714" s="1" t="str">
        <f>HYPERLINK("http://www.ncbi.nlm.nih.gov/gene/?term=SF3A2","NCBI")</f>
        <v>NCBI</v>
      </c>
      <c r="F16714">
        <v>0.93</v>
      </c>
      <c r="G16714">
        <v>0.95</v>
      </c>
      <c r="H16714" s="1" t="str">
        <f>HYPERLINK("http://www.weizmann.ac.il/complex/compphys/software/geview/data/figures/209381_x_at.png","Figure")</f>
        <v>Figure</v>
      </c>
      <c r="I16714">
        <v>0.93100000000000005</v>
      </c>
      <c r="J16714">
        <v>0.97</v>
      </c>
      <c r="K16714">
        <v>1.03</v>
      </c>
      <c r="L16714">
        <v>0.99</v>
      </c>
      <c r="M16714">
        <v>1.1100000000000001</v>
      </c>
      <c r="N16714">
        <v>0.92</v>
      </c>
    </row>
    <row r="16715" spans="1:14" x14ac:dyDescent="0.25">
      <c r="A16715" t="s">
        <v>27958</v>
      </c>
      <c r="B16715" t="s">
        <v>3294</v>
      </c>
      <c r="C16715" s="1" t="str">
        <f>HYPERLINK("http://www.genecards.org/cgi-bin/carddisp.pl?gene=LRDD","GeneCards")</f>
        <v>GeneCards</v>
      </c>
      <c r="D16715" s="1" t="str">
        <f>HYPERLINK("http://genome-euro.ucsc.edu/cgi-bin/hgTracks?position=221640_s_at","UCSC")</f>
        <v>UCSC</v>
      </c>
      <c r="E16715" s="1" t="str">
        <f>HYPERLINK("http://www.ncbi.nlm.nih.gov/gene/?term=LRDD","NCBI")</f>
        <v>NCBI</v>
      </c>
      <c r="F16715">
        <v>0.93</v>
      </c>
      <c r="G16715">
        <v>0.95</v>
      </c>
      <c r="H16715" s="1" t="str">
        <f>HYPERLINK("http://www.weizmann.ac.il/complex/compphys/software/geview/data/figures/221640_s_at.png","Figure")</f>
        <v>Figure</v>
      </c>
      <c r="I16715">
        <v>0.95199999999999996</v>
      </c>
      <c r="J16715">
        <v>0.93</v>
      </c>
      <c r="K16715">
        <v>0.96699999999999997</v>
      </c>
      <c r="L16715">
        <v>0.96</v>
      </c>
      <c r="M16715">
        <v>1.02</v>
      </c>
      <c r="N16715">
        <v>0.99</v>
      </c>
    </row>
    <row r="16716" spans="1:14" x14ac:dyDescent="0.25">
      <c r="A16716" t="s">
        <v>27959</v>
      </c>
      <c r="B16716" t="s">
        <v>27960</v>
      </c>
      <c r="C16716" s="1" t="str">
        <f>HYPERLINK("http://www.genecards.org/cgi-bin/carddisp.pl?gene=FBXW7","GeneCards")</f>
        <v>GeneCards</v>
      </c>
      <c r="D16716" s="1" t="str">
        <f>HYPERLINK("http://genome-euro.ucsc.edu/cgi-bin/hgTracks?position=218751_s_at","UCSC")</f>
        <v>UCSC</v>
      </c>
      <c r="E16716" s="1" t="str">
        <f>HYPERLINK("http://www.ncbi.nlm.nih.gov/gene/?term=FBXW7","NCBI")</f>
        <v>NCBI</v>
      </c>
      <c r="F16716">
        <v>0.93</v>
      </c>
      <c r="G16716">
        <v>0.95</v>
      </c>
      <c r="H16716" s="1" t="str">
        <f>HYPERLINK("http://www.weizmann.ac.il/complex/compphys/software/geview/data/figures/218751_s_at.png","Figure")</f>
        <v>Figure</v>
      </c>
      <c r="I16716">
        <v>0.995</v>
      </c>
      <c r="J16716">
        <v>1</v>
      </c>
      <c r="K16716">
        <v>0.9</v>
      </c>
      <c r="L16716">
        <v>0.94</v>
      </c>
      <c r="M16716">
        <v>0.90500000000000003</v>
      </c>
      <c r="N16716">
        <v>0.95</v>
      </c>
    </row>
    <row r="16717" spans="1:14" x14ac:dyDescent="0.25">
      <c r="A16717" t="s">
        <v>27961</v>
      </c>
      <c r="B16717" t="s">
        <v>26101</v>
      </c>
      <c r="C16717" s="1" t="str">
        <f>HYPERLINK("http://www.genecards.org/cgi-bin/carddisp.pl?gene=NFYA","GeneCards")</f>
        <v>GeneCards</v>
      </c>
      <c r="D16717" s="1" t="str">
        <f>HYPERLINK("http://genome-euro.ucsc.edu/cgi-bin/hgTracks?position=204107_at","UCSC")</f>
        <v>UCSC</v>
      </c>
      <c r="E16717" s="1" t="str">
        <f>HYPERLINK("http://www.ncbi.nlm.nih.gov/gene/?term=NFYA","NCBI")</f>
        <v>NCBI</v>
      </c>
      <c r="F16717">
        <v>0.93</v>
      </c>
      <c r="G16717">
        <v>0.95</v>
      </c>
      <c r="H16717" s="1" t="str">
        <f>HYPERLINK("http://www.weizmann.ac.il/complex/compphys/software/geview/data/figures/204107_at.png","Figure")</f>
        <v>Figure</v>
      </c>
      <c r="I16717">
        <v>1.03</v>
      </c>
      <c r="J16717">
        <v>0.98</v>
      </c>
      <c r="K16717">
        <v>0.97499999999999998</v>
      </c>
      <c r="L16717">
        <v>0.98</v>
      </c>
      <c r="M16717">
        <v>0.94799999999999995</v>
      </c>
      <c r="N16717">
        <v>0.92</v>
      </c>
    </row>
    <row r="16718" spans="1:14" x14ac:dyDescent="0.25">
      <c r="A16718" t="s">
        <v>27962</v>
      </c>
      <c r="B16718" t="s">
        <v>27963</v>
      </c>
      <c r="C16718" s="1" t="str">
        <f>HYPERLINK("http://www.genecards.org/cgi-bin/carddisp.pl?gene=GABARAPL2","GeneCards")</f>
        <v>GeneCards</v>
      </c>
      <c r="D16718" s="1" t="str">
        <f>HYPERLINK("http://genome-euro.ucsc.edu/cgi-bin/hgTracks?position=209046_s_at","UCSC")</f>
        <v>UCSC</v>
      </c>
      <c r="E16718" s="1" t="str">
        <f>HYPERLINK("http://www.ncbi.nlm.nih.gov/gene/?term=GABARAPL2","NCBI")</f>
        <v>NCBI</v>
      </c>
      <c r="F16718">
        <v>0.93</v>
      </c>
      <c r="G16718">
        <v>0.95</v>
      </c>
      <c r="H16718" s="1" t="str">
        <f>HYPERLINK("http://www.weizmann.ac.il/complex/compphys/software/geview/data/figures/209046_s_at.png","Figure")</f>
        <v>Figure</v>
      </c>
      <c r="I16718">
        <v>1.02</v>
      </c>
      <c r="J16718">
        <v>1</v>
      </c>
      <c r="K16718">
        <v>1.0900000000000001</v>
      </c>
      <c r="L16718">
        <v>0.93</v>
      </c>
      <c r="M16718">
        <v>1.07</v>
      </c>
      <c r="N16718">
        <v>0.96</v>
      </c>
    </row>
    <row r="16719" spans="1:14" x14ac:dyDescent="0.25">
      <c r="A16719" t="s">
        <v>27964</v>
      </c>
      <c r="B16719" t="s">
        <v>27965</v>
      </c>
      <c r="C16719" s="1" t="str">
        <f>HYPERLINK("http://www.genecards.org/cgi-bin/carddisp.pl?gene=GPR32","GeneCards")</f>
        <v>GeneCards</v>
      </c>
      <c r="D16719" s="1" t="str">
        <f>HYPERLINK("http://genome-euro.ucsc.edu/cgi-bin/hgTracks?position=221469_at","UCSC")</f>
        <v>UCSC</v>
      </c>
      <c r="E16719" s="1" t="str">
        <f>HYPERLINK("http://www.ncbi.nlm.nih.gov/gene/?term=GPR32","NCBI")</f>
        <v>NCBI</v>
      </c>
      <c r="F16719">
        <v>0.93</v>
      </c>
      <c r="G16719">
        <v>0.95</v>
      </c>
      <c r="H16719" s="1" t="str">
        <f>HYPERLINK("http://www.weizmann.ac.il/complex/compphys/software/geview/data/figures/221469_at.png","Figure")</f>
        <v>Figure</v>
      </c>
      <c r="I16719">
        <v>0.98599999999999999</v>
      </c>
      <c r="J16719">
        <v>0.95</v>
      </c>
      <c r="K16719">
        <v>1</v>
      </c>
      <c r="L16719">
        <v>1</v>
      </c>
      <c r="M16719">
        <v>1.02</v>
      </c>
      <c r="N16719">
        <v>0.93</v>
      </c>
    </row>
    <row r="16720" spans="1:14" x14ac:dyDescent="0.25">
      <c r="A16720" t="s">
        <v>27966</v>
      </c>
      <c r="B16720" t="s">
        <v>2589</v>
      </c>
      <c r="C16720" s="1" t="str">
        <f>HYPERLINK("http://www.genecards.org/cgi-bin/carddisp.pl?gene=CDC40","GeneCards")</f>
        <v>GeneCards</v>
      </c>
      <c r="D16720" s="1" t="str">
        <f>HYPERLINK("http://genome-euro.ucsc.edu/cgi-bin/hgTracks?position=203377_s_at","UCSC")</f>
        <v>UCSC</v>
      </c>
      <c r="E16720" s="1" t="str">
        <f>HYPERLINK("http://www.ncbi.nlm.nih.gov/gene/?term=CDC40","NCBI")</f>
        <v>NCBI</v>
      </c>
      <c r="F16720">
        <v>0.93</v>
      </c>
      <c r="G16720">
        <v>0.95</v>
      </c>
      <c r="H16720" s="1" t="str">
        <f>HYPERLINK("http://www.weizmann.ac.il/complex/compphys/software/geview/data/figures/203377_s_at.png","Figure")</f>
        <v>Figure</v>
      </c>
      <c r="I16720">
        <v>0.98299999999999998</v>
      </c>
      <c r="J16720">
        <v>0.95</v>
      </c>
      <c r="K16720">
        <v>0.98299999999999998</v>
      </c>
      <c r="L16720">
        <v>0.94</v>
      </c>
      <c r="M16720">
        <v>1</v>
      </c>
      <c r="N16720">
        <v>1</v>
      </c>
    </row>
    <row r="16721" spans="1:14" x14ac:dyDescent="0.25">
      <c r="A16721" t="s">
        <v>27967</v>
      </c>
      <c r="B16721" t="s">
        <v>10398</v>
      </c>
      <c r="C16721" s="1" t="str">
        <f>HYPERLINK("http://www.genecards.org/cgi-bin/carddisp.pl?gene=DIS3","GeneCards")</f>
        <v>GeneCards</v>
      </c>
      <c r="D16721" s="1" t="str">
        <f>HYPERLINK("http://genome-euro.ucsc.edu/cgi-bin/hgTracks?position=214194_at","UCSC")</f>
        <v>UCSC</v>
      </c>
      <c r="E16721" s="1" t="str">
        <f>HYPERLINK("http://www.ncbi.nlm.nih.gov/gene/?term=DIS3","NCBI")</f>
        <v>NCBI</v>
      </c>
      <c r="F16721">
        <v>0.93</v>
      </c>
      <c r="G16721">
        <v>0.95</v>
      </c>
      <c r="H16721" s="1" t="str">
        <f>HYPERLINK("http://www.weizmann.ac.il/complex/compphys/software/geview/data/figures/214194_at.png","Figure")</f>
        <v>Figure</v>
      </c>
      <c r="I16721">
        <v>1.01</v>
      </c>
      <c r="J16721">
        <v>0.99</v>
      </c>
      <c r="K16721">
        <v>0.98499999999999999</v>
      </c>
      <c r="L16721">
        <v>0.98</v>
      </c>
      <c r="M16721">
        <v>0.97199999999999998</v>
      </c>
      <c r="N16721">
        <v>0.93</v>
      </c>
    </row>
    <row r="16722" spans="1:14" x14ac:dyDescent="0.25">
      <c r="A16722" t="s">
        <v>27968</v>
      </c>
      <c r="B16722" t="s">
        <v>27969</v>
      </c>
      <c r="C16722" s="1" t="str">
        <f>HYPERLINK("http://www.genecards.org/cgi-bin/carddisp.pl?gene=CLN3","GeneCards")</f>
        <v>GeneCards</v>
      </c>
      <c r="D16722" s="1" t="str">
        <f>HYPERLINK("http://genome-euro.ucsc.edu/cgi-bin/hgTracks?position=209275_s_at","UCSC")</f>
        <v>UCSC</v>
      </c>
      <c r="E16722" s="1" t="str">
        <f>HYPERLINK("http://www.ncbi.nlm.nih.gov/gene/?term=CLN3","NCBI")</f>
        <v>NCBI</v>
      </c>
      <c r="F16722">
        <v>0.93</v>
      </c>
      <c r="G16722">
        <v>0.95</v>
      </c>
      <c r="H16722" s="1" t="str">
        <f>HYPERLINK("http://www.weizmann.ac.il/complex/compphys/software/geview/data/figures/209275_s_at.png","Figure")</f>
        <v>Figure</v>
      </c>
      <c r="I16722">
        <v>1.04</v>
      </c>
      <c r="J16722">
        <v>0.92</v>
      </c>
      <c r="K16722">
        <v>1.01</v>
      </c>
      <c r="L16722">
        <v>0.98</v>
      </c>
      <c r="M16722">
        <v>0.97899999999999998</v>
      </c>
      <c r="N16722">
        <v>0.97</v>
      </c>
    </row>
    <row r="16723" spans="1:14" x14ac:dyDescent="0.25">
      <c r="A16723" t="s">
        <v>27970</v>
      </c>
      <c r="B16723" t="s">
        <v>27971</v>
      </c>
      <c r="C16723" s="1" t="str">
        <f>HYPERLINK("http://www.genecards.org/cgi-bin/carddisp.pl?gene=XCL1","GeneCards")</f>
        <v>GeneCards</v>
      </c>
      <c r="D16723" s="1" t="str">
        <f>HYPERLINK("http://genome-euro.ucsc.edu/cgi-bin/hgTracks?position=206366_x_at","UCSC")</f>
        <v>UCSC</v>
      </c>
      <c r="E16723" s="1" t="str">
        <f>HYPERLINK("http://www.ncbi.nlm.nih.gov/gene/?term=XCL1","NCBI")</f>
        <v>NCBI</v>
      </c>
      <c r="F16723">
        <v>0.93</v>
      </c>
      <c r="G16723">
        <v>0.95</v>
      </c>
      <c r="H16723" s="1" t="str">
        <f>HYPERLINK("http://www.weizmann.ac.il/complex/compphys/software/geview/data/figures/206366_x_at.png","Figure")</f>
        <v>Figure</v>
      </c>
      <c r="I16723">
        <v>0.99399999999999999</v>
      </c>
      <c r="J16723">
        <v>1</v>
      </c>
      <c r="K16723">
        <v>0.95699999999999996</v>
      </c>
      <c r="L16723">
        <v>0.94</v>
      </c>
      <c r="M16723">
        <v>0.96299999999999997</v>
      </c>
      <c r="N16723">
        <v>0.96</v>
      </c>
    </row>
    <row r="16724" spans="1:14" x14ac:dyDescent="0.25">
      <c r="A16724" t="s">
        <v>27972</v>
      </c>
      <c r="B16724" t="s">
        <v>27973</v>
      </c>
      <c r="C16724" s="1" t="str">
        <f>HYPERLINK("http://www.genecards.org/cgi-bin/carddisp.pl?gene=RAP1A","GeneCards")</f>
        <v>GeneCards</v>
      </c>
      <c r="D16724" s="1" t="str">
        <f>HYPERLINK("http://genome-euro.ucsc.edu/cgi-bin/hgTracks?position=202362_at","UCSC")</f>
        <v>UCSC</v>
      </c>
      <c r="E16724" s="1" t="str">
        <f>HYPERLINK("http://www.ncbi.nlm.nih.gov/gene/?term=RAP1A","NCBI")</f>
        <v>NCBI</v>
      </c>
      <c r="F16724">
        <v>0.93</v>
      </c>
      <c r="G16724">
        <v>0.95</v>
      </c>
      <c r="H16724" s="1" t="str">
        <f>HYPERLINK("http://www.weizmann.ac.il/complex/compphys/software/geview/data/figures/202362_at.png","Figure")</f>
        <v>Figure</v>
      </c>
      <c r="I16724">
        <v>0.94299999999999995</v>
      </c>
      <c r="J16724">
        <v>0.95</v>
      </c>
      <c r="K16724">
        <v>0.94099999999999995</v>
      </c>
      <c r="L16724">
        <v>0.93</v>
      </c>
      <c r="M16724">
        <v>0.997</v>
      </c>
      <c r="N16724">
        <v>1</v>
      </c>
    </row>
    <row r="16725" spans="1:14" x14ac:dyDescent="0.25">
      <c r="A16725" t="s">
        <v>27974</v>
      </c>
      <c r="B16725" t="s">
        <v>27975</v>
      </c>
      <c r="C16725" s="1" t="str">
        <f>HYPERLINK("http://www.genecards.org/cgi-bin/carddisp.pl?gene=FEV","GeneCards")</f>
        <v>GeneCards</v>
      </c>
      <c r="D16725" s="1" t="str">
        <f>HYPERLINK("http://genome-euro.ucsc.edu/cgi-bin/hgTracks?position=207260_at","UCSC")</f>
        <v>UCSC</v>
      </c>
      <c r="E16725" s="1" t="str">
        <f>HYPERLINK("http://www.ncbi.nlm.nih.gov/gene/?term=FEV","NCBI")</f>
        <v>NCBI</v>
      </c>
      <c r="F16725">
        <v>0.93</v>
      </c>
      <c r="G16725">
        <v>0.95</v>
      </c>
      <c r="H16725" s="1" t="str">
        <f>HYPERLINK("http://www.weizmann.ac.il/complex/compphys/software/geview/data/figures/207260_at.png","Figure")</f>
        <v>Figure</v>
      </c>
      <c r="I16725">
        <v>1.04</v>
      </c>
      <c r="J16725">
        <v>0.93</v>
      </c>
      <c r="K16725">
        <v>1.01</v>
      </c>
      <c r="L16725">
        <v>0.99</v>
      </c>
      <c r="M16725">
        <v>0.97199999999999998</v>
      </c>
      <c r="N16725">
        <v>0.95</v>
      </c>
    </row>
    <row r="16726" spans="1:14" x14ac:dyDescent="0.25">
      <c r="A16726" t="s">
        <v>27976</v>
      </c>
      <c r="B16726" t="s">
        <v>27977</v>
      </c>
      <c r="C16726" s="1" t="str">
        <f>HYPERLINK("http://www.genecards.org/cgi-bin/carddisp.pl?gene=PABPC3","GeneCards")</f>
        <v>GeneCards</v>
      </c>
      <c r="D16726" s="1" t="str">
        <f>HYPERLINK("http://genome-euro.ucsc.edu/cgi-bin/hgTracks?position=208113_x_at","UCSC")</f>
        <v>UCSC</v>
      </c>
      <c r="E16726" s="1" t="str">
        <f>HYPERLINK("http://www.ncbi.nlm.nih.gov/gene/?term=PABPC3","NCBI")</f>
        <v>NCBI</v>
      </c>
      <c r="F16726">
        <v>0.93</v>
      </c>
      <c r="G16726">
        <v>0.95</v>
      </c>
      <c r="H16726" s="1" t="str">
        <f>HYPERLINK("http://www.weizmann.ac.il/complex/compphys/software/geview/data/figures/208113_x_at.png","Figure")</f>
        <v>Figure</v>
      </c>
      <c r="I16726">
        <v>0.96899999999999997</v>
      </c>
      <c r="J16726">
        <v>0.97</v>
      </c>
      <c r="K16726">
        <v>1.02</v>
      </c>
      <c r="L16726">
        <v>0.99</v>
      </c>
      <c r="M16726">
        <v>1.05</v>
      </c>
      <c r="N16726">
        <v>0.93</v>
      </c>
    </row>
    <row r="16727" spans="1:14" x14ac:dyDescent="0.25">
      <c r="A16727" t="s">
        <v>27978</v>
      </c>
      <c r="B16727" t="s">
        <v>16342</v>
      </c>
      <c r="C16727" s="1" t="str">
        <f>HYPERLINK("http://www.genecards.org/cgi-bin/carddisp.pl?gene=KIAA0415","GeneCards")</f>
        <v>GeneCards</v>
      </c>
      <c r="D16727" s="1" t="str">
        <f>HYPERLINK("http://genome-euro.ucsc.edu/cgi-bin/hgTracks?position=209912_s_at","UCSC")</f>
        <v>UCSC</v>
      </c>
      <c r="E16727" s="1" t="str">
        <f>HYPERLINK("http://www.ncbi.nlm.nih.gov/gene/?term=KIAA0415","NCBI")</f>
        <v>NCBI</v>
      </c>
      <c r="F16727">
        <v>0.93</v>
      </c>
      <c r="G16727">
        <v>0.95</v>
      </c>
      <c r="H16727" s="1" t="str">
        <f>HYPERLINK("http://www.weizmann.ac.il/complex/compphys/software/geview/data/figures/209912_s_at.png","Figure")</f>
        <v>Figure</v>
      </c>
      <c r="I16727">
        <v>1.06</v>
      </c>
      <c r="J16727">
        <v>0.93</v>
      </c>
      <c r="K16727">
        <v>1.02</v>
      </c>
      <c r="L16727">
        <v>0.99</v>
      </c>
      <c r="M16727">
        <v>0.95899999999999996</v>
      </c>
      <c r="N16727">
        <v>0.96</v>
      </c>
    </row>
    <row r="16728" spans="1:14" x14ac:dyDescent="0.25">
      <c r="A16728" t="s">
        <v>27979</v>
      </c>
      <c r="B16728" t="s">
        <v>1389</v>
      </c>
      <c r="C16728" s="1" t="str">
        <f>HYPERLINK("http://www.genecards.org/cgi-bin/carddisp.pl?gene=TNPO3","GeneCards")</f>
        <v>GeneCards</v>
      </c>
      <c r="D16728" s="1" t="str">
        <f>HYPERLINK("http://genome-euro.ucsc.edu/cgi-bin/hgTracks?position=214550_s_at","UCSC")</f>
        <v>UCSC</v>
      </c>
      <c r="E16728" s="1" t="str">
        <f>HYPERLINK("http://www.ncbi.nlm.nih.gov/gene/?term=TNPO3","NCBI")</f>
        <v>NCBI</v>
      </c>
      <c r="F16728">
        <v>0.93</v>
      </c>
      <c r="G16728">
        <v>0.95</v>
      </c>
      <c r="H16728" s="1" t="str">
        <f>HYPERLINK("http://www.weizmann.ac.il/complex/compphys/software/geview/data/figures/214550_s_at.png","Figure")</f>
        <v>Figure</v>
      </c>
      <c r="I16728">
        <v>0.96499999999999997</v>
      </c>
      <c r="J16728">
        <v>0.95</v>
      </c>
      <c r="K16728">
        <v>0.96699999999999997</v>
      </c>
      <c r="L16728">
        <v>0.94</v>
      </c>
      <c r="M16728">
        <v>1</v>
      </c>
      <c r="N16728">
        <v>1</v>
      </c>
    </row>
    <row r="16729" spans="1:14" x14ac:dyDescent="0.25">
      <c r="A16729" t="s">
        <v>27980</v>
      </c>
      <c r="B16729" t="s">
        <v>27981</v>
      </c>
      <c r="C16729" s="1" t="str">
        <f>HYPERLINK("http://www.genecards.org/cgi-bin/carddisp.pl?gene=ERGIC3","GeneCards")</f>
        <v>GeneCards</v>
      </c>
      <c r="D16729" s="1" t="str">
        <f>HYPERLINK("http://genome-euro.ucsc.edu/cgi-bin/hgTracks?position=216032_s_at","UCSC")</f>
        <v>UCSC</v>
      </c>
      <c r="E16729" s="1" t="str">
        <f>HYPERLINK("http://www.ncbi.nlm.nih.gov/gene/?term=ERGIC3","NCBI")</f>
        <v>NCBI</v>
      </c>
      <c r="F16729">
        <v>0.93</v>
      </c>
      <c r="G16729">
        <v>0.95</v>
      </c>
      <c r="H16729" s="1" t="str">
        <f>HYPERLINK("http://www.weizmann.ac.il/complex/compphys/software/geview/data/figures/216032_s_at.png","Figure")</f>
        <v>Figure</v>
      </c>
      <c r="I16729">
        <v>1.04</v>
      </c>
      <c r="J16729">
        <v>0.98</v>
      </c>
      <c r="K16729">
        <v>1.07</v>
      </c>
      <c r="L16729">
        <v>0.93</v>
      </c>
      <c r="M16729">
        <v>1.03</v>
      </c>
      <c r="N16729">
        <v>0.99</v>
      </c>
    </row>
    <row r="16730" spans="1:14" x14ac:dyDescent="0.25">
      <c r="A16730" t="s">
        <v>27982</v>
      </c>
      <c r="B16730" t="s">
        <v>27884</v>
      </c>
      <c r="C16730" s="1" t="str">
        <f>HYPERLINK("http://www.genecards.org/cgi-bin/carddisp.pl?gene=RPL15","GeneCards")</f>
        <v>GeneCards</v>
      </c>
      <c r="D16730" s="1" t="str">
        <f>HYPERLINK("http://genome-euro.ucsc.edu/cgi-bin/hgTracks?position=221476_s_at","UCSC")</f>
        <v>UCSC</v>
      </c>
      <c r="E16730" s="1" t="str">
        <f>HYPERLINK("http://www.ncbi.nlm.nih.gov/gene/?term=RPL15","NCBI")</f>
        <v>NCBI</v>
      </c>
      <c r="F16730">
        <v>0.93</v>
      </c>
      <c r="G16730">
        <v>0.95</v>
      </c>
      <c r="H16730" s="1" t="str">
        <f>HYPERLINK("http://www.weizmann.ac.il/complex/compphys/software/geview/data/figures/221476_s_at.png","Figure")</f>
        <v>Figure</v>
      </c>
      <c r="I16730">
        <v>0.95899999999999996</v>
      </c>
      <c r="J16730">
        <v>0.98</v>
      </c>
      <c r="K16730">
        <v>0.93100000000000005</v>
      </c>
      <c r="L16730">
        <v>0.93</v>
      </c>
      <c r="M16730">
        <v>0.97099999999999997</v>
      </c>
      <c r="N16730">
        <v>0.99</v>
      </c>
    </row>
    <row r="16731" spans="1:14" x14ac:dyDescent="0.25">
      <c r="A16731" t="s">
        <v>27983</v>
      </c>
      <c r="B16731" t="s">
        <v>27984</v>
      </c>
      <c r="C16731" s="1" t="str">
        <f>HYPERLINK("http://www.genecards.org/cgi-bin/carddisp.pl?gene=ST20","GeneCards")</f>
        <v>GeneCards</v>
      </c>
      <c r="D16731" s="1" t="str">
        <f>HYPERLINK("http://genome-euro.ucsc.edu/cgi-bin/hgTracks?position=210242_x_at","UCSC")</f>
        <v>UCSC</v>
      </c>
      <c r="E16731" s="1" t="str">
        <f>HYPERLINK("http://www.ncbi.nlm.nih.gov/gene/?term=ST20","NCBI")</f>
        <v>NCBI</v>
      </c>
      <c r="F16731">
        <v>0.93</v>
      </c>
      <c r="G16731">
        <v>0.95</v>
      </c>
      <c r="H16731" s="1" t="str">
        <f>HYPERLINK("http://www.weizmann.ac.il/complex/compphys/software/geview/data/figures/210242_x_at.png","Figure")</f>
        <v>Figure</v>
      </c>
      <c r="I16731">
        <v>0.97599999999999998</v>
      </c>
      <c r="J16731">
        <v>0.96</v>
      </c>
      <c r="K16731">
        <v>1.01</v>
      </c>
      <c r="L16731">
        <v>1</v>
      </c>
      <c r="M16731">
        <v>1.03</v>
      </c>
      <c r="N16731">
        <v>0.93</v>
      </c>
    </row>
    <row r="16732" spans="1:14" x14ac:dyDescent="0.25">
      <c r="A16732" t="s">
        <v>27985</v>
      </c>
      <c r="B16732" t="s">
        <v>26281</v>
      </c>
      <c r="C16732" s="1" t="str">
        <f>HYPERLINK("http://www.genecards.org/cgi-bin/carddisp.pl?gene=ANP32B","GeneCards")</f>
        <v>GeneCards</v>
      </c>
      <c r="D16732" s="1" t="str">
        <f>HYPERLINK("http://genome-euro.ucsc.edu/cgi-bin/hgTracks?position=201305_x_at","UCSC")</f>
        <v>UCSC</v>
      </c>
      <c r="E16732" s="1" t="str">
        <f>HYPERLINK("http://www.ncbi.nlm.nih.gov/gene/?term=ANP32B","NCBI")</f>
        <v>NCBI</v>
      </c>
      <c r="F16732">
        <v>0.93</v>
      </c>
      <c r="G16732">
        <v>0.95</v>
      </c>
      <c r="H16732" s="1" t="str">
        <f>HYPERLINK("http://www.weizmann.ac.il/complex/compphys/software/geview/data/figures/201305_x_at.png","Figure")</f>
        <v>Figure</v>
      </c>
      <c r="I16732">
        <v>0.99199999999999999</v>
      </c>
      <c r="J16732">
        <v>1</v>
      </c>
      <c r="K16732">
        <v>0.96299999999999997</v>
      </c>
      <c r="L16732">
        <v>0.93</v>
      </c>
      <c r="M16732">
        <v>0.97099999999999997</v>
      </c>
      <c r="N16732">
        <v>0.96</v>
      </c>
    </row>
    <row r="16733" spans="1:14" x14ac:dyDescent="0.25">
      <c r="A16733" t="s">
        <v>27986</v>
      </c>
      <c r="B16733" t="s">
        <v>27987</v>
      </c>
      <c r="C16733" s="1" t="str">
        <f>HYPERLINK("http://www.genecards.org/cgi-bin/carddisp.pl?gene=COPG2IT1","GeneCards")</f>
        <v>GeneCards</v>
      </c>
      <c r="D16733" s="1" t="str">
        <f>HYPERLINK("http://genome-euro.ucsc.edu/cgi-bin/hgTracks?position=213486_at","UCSC")</f>
        <v>UCSC</v>
      </c>
      <c r="E16733" s="1" t="str">
        <f>HYPERLINK("http://www.ncbi.nlm.nih.gov/gene/?term=COPG2IT1","NCBI")</f>
        <v>NCBI</v>
      </c>
      <c r="F16733">
        <v>0.93</v>
      </c>
      <c r="G16733">
        <v>0.95</v>
      </c>
      <c r="H16733" s="1" t="str">
        <f>HYPERLINK("http://www.weizmann.ac.il/complex/compphys/software/geview/data/figures/213486_at.png","Figure")</f>
        <v>Figure</v>
      </c>
      <c r="I16733">
        <v>1.02</v>
      </c>
      <c r="J16733">
        <v>0.98</v>
      </c>
      <c r="K16733">
        <v>0.98299999999999998</v>
      </c>
      <c r="L16733">
        <v>0.98</v>
      </c>
      <c r="M16733">
        <v>0.96199999999999997</v>
      </c>
      <c r="N16733">
        <v>0.93</v>
      </c>
    </row>
    <row r="16734" spans="1:14" x14ac:dyDescent="0.25">
      <c r="A16734" t="s">
        <v>27988</v>
      </c>
      <c r="B16734" t="s">
        <v>2760</v>
      </c>
      <c r="C16734" s="1" t="str">
        <f>HYPERLINK("http://www.genecards.org/cgi-bin/carddisp.pl?gene=BTRC","GeneCards")</f>
        <v>GeneCards</v>
      </c>
      <c r="D16734" s="1" t="str">
        <f>HYPERLINK("http://genome-euro.ucsc.edu/cgi-bin/hgTracks?position=216091_s_at","UCSC")</f>
        <v>UCSC</v>
      </c>
      <c r="E16734" s="1" t="str">
        <f>HYPERLINK("http://www.ncbi.nlm.nih.gov/gene/?term=BTRC","NCBI")</f>
        <v>NCBI</v>
      </c>
      <c r="F16734">
        <v>0.93</v>
      </c>
      <c r="G16734">
        <v>0.95</v>
      </c>
      <c r="H16734" s="1" t="str">
        <f>HYPERLINK("http://www.weizmann.ac.il/complex/compphys/software/geview/data/figures/216091_s_at.png","Figure")</f>
        <v>Figure</v>
      </c>
      <c r="I16734">
        <v>0.98</v>
      </c>
      <c r="J16734">
        <v>0.94</v>
      </c>
      <c r="K16734">
        <v>0.98199999999999998</v>
      </c>
      <c r="L16734">
        <v>0.94</v>
      </c>
      <c r="M16734">
        <v>1</v>
      </c>
      <c r="N16734">
        <v>1</v>
      </c>
    </row>
    <row r="16735" spans="1:14" x14ac:dyDescent="0.25">
      <c r="A16735" t="s">
        <v>27989</v>
      </c>
      <c r="B16735" t="s">
        <v>27990</v>
      </c>
      <c r="C16735" s="1" t="str">
        <f>HYPERLINK("http://www.genecards.org/cgi-bin/carddisp.pl?gene=LOC728448","GeneCards")</f>
        <v>GeneCards</v>
      </c>
      <c r="D16735" s="1" t="str">
        <f>HYPERLINK("http://genome-euro.ucsc.edu/cgi-bin/hgTracks?position=222054_at","UCSC")</f>
        <v>UCSC</v>
      </c>
      <c r="E16735" s="1" t="str">
        <f>HYPERLINK("http://www.ncbi.nlm.nih.gov/gene/?term=LOC728448","NCBI")</f>
        <v>NCBI</v>
      </c>
      <c r="F16735">
        <v>0.93</v>
      </c>
      <c r="G16735">
        <v>0.95</v>
      </c>
      <c r="H16735" s="1" t="str">
        <f>HYPERLINK("http://www.weizmann.ac.il/complex/compphys/software/geview/data/figures/222054_at.png","Figure")</f>
        <v>Figure</v>
      </c>
      <c r="I16735">
        <v>1.02</v>
      </c>
      <c r="J16735">
        <v>0.94</v>
      </c>
      <c r="K16735">
        <v>1</v>
      </c>
      <c r="L16735">
        <v>1</v>
      </c>
      <c r="M16735">
        <v>0.98499999999999999</v>
      </c>
      <c r="N16735">
        <v>0.94</v>
      </c>
    </row>
    <row r="16736" spans="1:14" x14ac:dyDescent="0.25">
      <c r="A16736" t="s">
        <v>27991</v>
      </c>
      <c r="B16736" t="s">
        <v>22389</v>
      </c>
      <c r="C16736" s="1" t="str">
        <f>HYPERLINK("http://www.genecards.org/cgi-bin/carddisp.pl?gene=COPS8","GeneCards")</f>
        <v>GeneCards</v>
      </c>
      <c r="D16736" s="1" t="str">
        <f>HYPERLINK("http://genome-euro.ucsc.edu/cgi-bin/hgTracks?position=202141_s_at","UCSC")</f>
        <v>UCSC</v>
      </c>
      <c r="E16736" s="1" t="str">
        <f>HYPERLINK("http://www.ncbi.nlm.nih.gov/gene/?term=COPS8","NCBI")</f>
        <v>NCBI</v>
      </c>
      <c r="F16736">
        <v>0.93</v>
      </c>
      <c r="G16736">
        <v>0.95</v>
      </c>
      <c r="H16736" s="1" t="str">
        <f>HYPERLINK("http://www.weizmann.ac.il/complex/compphys/software/geview/data/figures/202141_s_at.png","Figure")</f>
        <v>Figure</v>
      </c>
      <c r="I16736">
        <v>0.98199999999999998</v>
      </c>
      <c r="J16736">
        <v>0.99</v>
      </c>
      <c r="K16736">
        <v>0.94499999999999995</v>
      </c>
      <c r="L16736">
        <v>0.93</v>
      </c>
      <c r="M16736">
        <v>0.96199999999999997</v>
      </c>
      <c r="N16736">
        <v>0.97</v>
      </c>
    </row>
    <row r="16737" spans="1:14" x14ac:dyDescent="0.25">
      <c r="A16737" t="s">
        <v>27992</v>
      </c>
      <c r="B16737" t="s">
        <v>27993</v>
      </c>
      <c r="C16737" s="1" t="str">
        <f>HYPERLINK("http://www.genecards.org/cgi-bin/carddisp.pl?gene=PROL1","GeneCards")</f>
        <v>GeneCards</v>
      </c>
      <c r="D16737" s="1" t="str">
        <f>HYPERLINK("http://genome-euro.ucsc.edu/cgi-bin/hgTracks?position=208004_at","UCSC")</f>
        <v>UCSC</v>
      </c>
      <c r="E16737" s="1" t="str">
        <f>HYPERLINK("http://www.ncbi.nlm.nih.gov/gene/?term=PROL1","NCBI")</f>
        <v>NCBI</v>
      </c>
      <c r="F16737">
        <v>0.93</v>
      </c>
      <c r="G16737">
        <v>0.95</v>
      </c>
      <c r="H16737" s="1" t="str">
        <f>HYPERLINK("http://www.weizmann.ac.il/complex/compphys/software/geview/data/figures/208004_at.png","Figure")</f>
        <v>Figure</v>
      </c>
      <c r="I16737">
        <v>1.02</v>
      </c>
      <c r="J16737">
        <v>0.97</v>
      </c>
      <c r="K16737">
        <v>0.99299999999999999</v>
      </c>
      <c r="L16737">
        <v>0.99</v>
      </c>
      <c r="M16737">
        <v>0.97799999999999998</v>
      </c>
      <c r="N16737">
        <v>0.93</v>
      </c>
    </row>
    <row r="16738" spans="1:14" x14ac:dyDescent="0.25">
      <c r="A16738" t="s">
        <v>27994</v>
      </c>
      <c r="B16738" t="s">
        <v>27995</v>
      </c>
      <c r="C16738" s="1" t="str">
        <f>HYPERLINK("http://www.genecards.org/cgi-bin/carddisp.pl?gene=TTC19","GeneCards")</f>
        <v>GeneCards</v>
      </c>
      <c r="D16738" s="1" t="str">
        <f>HYPERLINK("http://genome-euro.ucsc.edu/cgi-bin/hgTracks?position=217964_at","UCSC")</f>
        <v>UCSC</v>
      </c>
      <c r="E16738" s="1" t="str">
        <f>HYPERLINK("http://www.ncbi.nlm.nih.gov/gene/?term=TTC19","NCBI")</f>
        <v>NCBI</v>
      </c>
      <c r="F16738">
        <v>0.93</v>
      </c>
      <c r="G16738">
        <v>0.95</v>
      </c>
      <c r="H16738" s="1" t="str">
        <f>HYPERLINK("http://www.weizmann.ac.il/complex/compphys/software/geview/data/figures/217964_at.png","Figure")</f>
        <v>Figure</v>
      </c>
      <c r="I16738">
        <v>0.88400000000000001</v>
      </c>
      <c r="J16738">
        <v>0.93</v>
      </c>
      <c r="K16738">
        <v>0.92500000000000004</v>
      </c>
      <c r="L16738">
        <v>0.96</v>
      </c>
      <c r="M16738">
        <v>1.05</v>
      </c>
      <c r="N16738">
        <v>0.99</v>
      </c>
    </row>
    <row r="16739" spans="1:14" x14ac:dyDescent="0.25">
      <c r="A16739" t="s">
        <v>27996</v>
      </c>
      <c r="B16739" t="s">
        <v>3541</v>
      </c>
      <c r="C16739" s="1" t="str">
        <f>HYPERLINK("http://www.genecards.org/cgi-bin/carddisp.pl?gene=POLDIP3","GeneCards")</f>
        <v>GeneCards</v>
      </c>
      <c r="D16739" s="1" t="str">
        <f>HYPERLINK("http://genome-euro.ucsc.edu/cgi-bin/hgTracks?position=212100_s_at","UCSC")</f>
        <v>UCSC</v>
      </c>
      <c r="E16739" s="1" t="str">
        <f>HYPERLINK("http://www.ncbi.nlm.nih.gov/gene/?term=POLDIP3","NCBI")</f>
        <v>NCBI</v>
      </c>
      <c r="F16739">
        <v>0.93</v>
      </c>
      <c r="G16739">
        <v>0.95</v>
      </c>
      <c r="H16739" s="1" t="str">
        <f>HYPERLINK("http://www.weizmann.ac.il/complex/compphys/software/geview/data/figures/212100_s_at.png","Figure")</f>
        <v>Figure</v>
      </c>
      <c r="I16739">
        <v>1.03</v>
      </c>
      <c r="J16739">
        <v>0.97</v>
      </c>
      <c r="K16739">
        <v>0.98599999999999999</v>
      </c>
      <c r="L16739">
        <v>0.99</v>
      </c>
      <c r="M16739">
        <v>0.95399999999999996</v>
      </c>
      <c r="N16739">
        <v>0.93</v>
      </c>
    </row>
    <row r="16740" spans="1:14" x14ac:dyDescent="0.25">
      <c r="A16740" t="s">
        <v>27997</v>
      </c>
      <c r="B16740" t="s">
        <v>27998</v>
      </c>
      <c r="C16740" s="1" t="str">
        <f>HYPERLINK("http://www.genecards.org/cgi-bin/carddisp.pl?gene=SRRD","GeneCards")</f>
        <v>GeneCards</v>
      </c>
      <c r="D16740" s="1" t="str">
        <f>HYPERLINK("http://genome-euro.ucsc.edu/cgi-bin/hgTracks?position=213608_s_at","UCSC")</f>
        <v>UCSC</v>
      </c>
      <c r="E16740" s="1" t="str">
        <f>HYPERLINK("http://www.ncbi.nlm.nih.gov/gene/?term=SRRD","NCBI")</f>
        <v>NCBI</v>
      </c>
      <c r="F16740">
        <v>0.93</v>
      </c>
      <c r="G16740">
        <v>0.95</v>
      </c>
      <c r="H16740" s="1" t="str">
        <f>HYPERLINK("http://www.weizmann.ac.il/complex/compphys/software/geview/data/figures/213608_s_at.png","Figure")</f>
        <v>Figure</v>
      </c>
      <c r="I16740">
        <v>1.03</v>
      </c>
      <c r="J16740">
        <v>0.96</v>
      </c>
      <c r="K16740">
        <v>0.99399999999999999</v>
      </c>
      <c r="L16740">
        <v>1</v>
      </c>
      <c r="M16740">
        <v>0.96399999999999997</v>
      </c>
      <c r="N16740">
        <v>0.93</v>
      </c>
    </row>
    <row r="16741" spans="1:14" x14ac:dyDescent="0.25">
      <c r="A16741" t="s">
        <v>27999</v>
      </c>
      <c r="B16741" t="s">
        <v>28000</v>
      </c>
      <c r="C16741" s="1" t="str">
        <f>HYPERLINK("http://www.genecards.org/cgi-bin/carddisp.pl?gene=POLR3E","GeneCards")</f>
        <v>GeneCards</v>
      </c>
      <c r="D16741" s="1" t="str">
        <f>HYPERLINK("http://genome-euro.ucsc.edu/cgi-bin/hgTracks?position=218016_s_at","UCSC")</f>
        <v>UCSC</v>
      </c>
      <c r="E16741" s="1" t="str">
        <f>HYPERLINK("http://www.ncbi.nlm.nih.gov/gene/?term=POLR3E","NCBI")</f>
        <v>NCBI</v>
      </c>
      <c r="F16741">
        <v>0.93</v>
      </c>
      <c r="G16741">
        <v>0.95</v>
      </c>
      <c r="H16741" s="1" t="str">
        <f>HYPERLINK("http://www.weizmann.ac.il/complex/compphys/software/geview/data/figures/218016_s_at.png","Figure")</f>
        <v>Figure</v>
      </c>
      <c r="I16741">
        <v>0.93300000000000005</v>
      </c>
      <c r="J16741">
        <v>0.93</v>
      </c>
      <c r="K16741">
        <v>0.96199999999999997</v>
      </c>
      <c r="L16741">
        <v>0.97</v>
      </c>
      <c r="M16741">
        <v>1.03</v>
      </c>
      <c r="N16741">
        <v>0.98</v>
      </c>
    </row>
    <row r="16742" spans="1:14" x14ac:dyDescent="0.25">
      <c r="A16742" t="s">
        <v>28001</v>
      </c>
      <c r="B16742" t="s">
        <v>28002</v>
      </c>
      <c r="C16742" s="1" t="str">
        <f>HYPERLINK("http://www.genecards.org/cgi-bin/carddisp.pl?gene=RBM28","GeneCards")</f>
        <v>GeneCards</v>
      </c>
      <c r="D16742" s="1" t="str">
        <f>HYPERLINK("http://genome-euro.ucsc.edu/cgi-bin/hgTracks?position=218593_at","UCSC")</f>
        <v>UCSC</v>
      </c>
      <c r="E16742" s="1" t="str">
        <f>HYPERLINK("http://www.ncbi.nlm.nih.gov/gene/?term=RBM28","NCBI")</f>
        <v>NCBI</v>
      </c>
      <c r="F16742">
        <v>0.93</v>
      </c>
      <c r="G16742">
        <v>0.95</v>
      </c>
      <c r="H16742" s="1" t="str">
        <f>HYPERLINK("http://www.weizmann.ac.il/complex/compphys/software/geview/data/figures/218593_at.png","Figure")</f>
        <v>Figure</v>
      </c>
      <c r="I16742">
        <v>1.07</v>
      </c>
      <c r="J16742">
        <v>0.96</v>
      </c>
      <c r="K16742">
        <v>0.98699999999999999</v>
      </c>
      <c r="L16742">
        <v>1</v>
      </c>
      <c r="M16742">
        <v>0.91900000000000004</v>
      </c>
      <c r="N16742">
        <v>0.93</v>
      </c>
    </row>
    <row r="16743" spans="1:14" x14ac:dyDescent="0.25">
      <c r="A16743" t="s">
        <v>28003</v>
      </c>
      <c r="B16743" t="s">
        <v>28004</v>
      </c>
      <c r="C16743" s="1" t="str">
        <f>HYPERLINK("http://www.genecards.org/cgi-bin/carddisp.pl?gene=TYK2","GeneCards")</f>
        <v>GeneCards</v>
      </c>
      <c r="D16743" s="1" t="str">
        <f>HYPERLINK("http://genome-euro.ucsc.edu/cgi-bin/hgTracks?position=205546_s_at","UCSC")</f>
        <v>UCSC</v>
      </c>
      <c r="E16743" s="1" t="str">
        <f>HYPERLINK("http://www.ncbi.nlm.nih.gov/gene/?term=TYK2","NCBI")</f>
        <v>NCBI</v>
      </c>
      <c r="F16743">
        <v>0.93</v>
      </c>
      <c r="G16743">
        <v>0.95</v>
      </c>
      <c r="H16743" s="1" t="str">
        <f>HYPERLINK("http://www.weizmann.ac.il/complex/compphys/software/geview/data/figures/205546_s_at.png","Figure")</f>
        <v>Figure</v>
      </c>
      <c r="I16743">
        <v>0.90700000000000003</v>
      </c>
      <c r="J16743">
        <v>0.93</v>
      </c>
      <c r="K16743">
        <v>0.96499999999999997</v>
      </c>
      <c r="L16743">
        <v>0.99</v>
      </c>
      <c r="M16743">
        <v>1.06</v>
      </c>
      <c r="N16743">
        <v>0.97</v>
      </c>
    </row>
    <row r="16744" spans="1:14" x14ac:dyDescent="0.25">
      <c r="A16744" t="s">
        <v>28005</v>
      </c>
      <c r="B16744" t="s">
        <v>14573</v>
      </c>
      <c r="C16744" s="1" t="str">
        <f>HYPERLINK("http://www.genecards.org/cgi-bin/carddisp.pl?gene=UPF3A","GeneCards")</f>
        <v>GeneCards</v>
      </c>
      <c r="D16744" s="1" t="str">
        <f>HYPERLINK("http://genome-euro.ucsc.edu/cgi-bin/hgTracks?position=214323_s_at","UCSC")</f>
        <v>UCSC</v>
      </c>
      <c r="E16744" s="1" t="str">
        <f>HYPERLINK("http://www.ncbi.nlm.nih.gov/gene/?term=UPF3A","NCBI")</f>
        <v>NCBI</v>
      </c>
      <c r="F16744">
        <v>0.93</v>
      </c>
      <c r="G16744">
        <v>0.95</v>
      </c>
      <c r="H16744" s="1" t="str">
        <f>HYPERLINK("http://www.weizmann.ac.il/complex/compphys/software/geview/data/figures/214323_s_at.png","Figure")</f>
        <v>Figure</v>
      </c>
      <c r="I16744">
        <v>1.04</v>
      </c>
      <c r="J16744">
        <v>0.99</v>
      </c>
      <c r="K16744">
        <v>1.1000000000000001</v>
      </c>
      <c r="L16744">
        <v>0.93</v>
      </c>
      <c r="M16744">
        <v>1.06</v>
      </c>
      <c r="N16744">
        <v>0.98</v>
      </c>
    </row>
    <row r="16745" spans="1:14" x14ac:dyDescent="0.25">
      <c r="A16745" t="s">
        <v>28006</v>
      </c>
      <c r="B16745" t="s">
        <v>21757</v>
      </c>
      <c r="C16745" s="1" t="str">
        <f>HYPERLINK("http://www.genecards.org/cgi-bin/carddisp.pl?gene=MARS","GeneCards")</f>
        <v>GeneCards</v>
      </c>
      <c r="D16745" s="1" t="str">
        <f>HYPERLINK("http://genome-euro.ucsc.edu/cgi-bin/hgTracks?position=213671_s_at","UCSC")</f>
        <v>UCSC</v>
      </c>
      <c r="E16745" s="1" t="str">
        <f>HYPERLINK("http://www.ncbi.nlm.nih.gov/gene/?term=MARS","NCBI")</f>
        <v>NCBI</v>
      </c>
      <c r="F16745">
        <v>0.93</v>
      </c>
      <c r="G16745">
        <v>0.95</v>
      </c>
      <c r="H16745" s="1" t="str">
        <f>HYPERLINK("http://www.weizmann.ac.il/complex/compphys/software/geview/data/figures/213671_s_at.png","Figure")</f>
        <v>Figure</v>
      </c>
      <c r="I16745">
        <v>0.93</v>
      </c>
      <c r="J16745">
        <v>0.94</v>
      </c>
      <c r="K16745">
        <v>0.94399999999999995</v>
      </c>
      <c r="L16745">
        <v>0.95</v>
      </c>
      <c r="M16745">
        <v>1.01</v>
      </c>
      <c r="N16745">
        <v>1</v>
      </c>
    </row>
    <row r="16746" spans="1:14" x14ac:dyDescent="0.25">
      <c r="A16746" t="s">
        <v>28007</v>
      </c>
      <c r="B16746" t="s">
        <v>28008</v>
      </c>
      <c r="C16746" s="1" t="str">
        <f>HYPERLINK("http://www.genecards.org/cgi-bin/carddisp.pl?gene=TBX21","GeneCards")</f>
        <v>GeneCards</v>
      </c>
      <c r="D16746" s="1" t="str">
        <f>HYPERLINK("http://genome-euro.ucsc.edu/cgi-bin/hgTracks?position=220684_at","UCSC")</f>
        <v>UCSC</v>
      </c>
      <c r="E16746" s="1" t="str">
        <f>HYPERLINK("http://www.ncbi.nlm.nih.gov/gene/?term=TBX21","NCBI")</f>
        <v>NCBI</v>
      </c>
      <c r="F16746">
        <v>0.93</v>
      </c>
      <c r="G16746">
        <v>0.95</v>
      </c>
      <c r="H16746" s="1" t="str">
        <f>HYPERLINK("http://www.weizmann.ac.il/complex/compphys/software/geview/data/figures/220684_at.png","Figure")</f>
        <v>Figure</v>
      </c>
      <c r="I16746">
        <v>1.02</v>
      </c>
      <c r="J16746">
        <v>0.97</v>
      </c>
      <c r="K16746">
        <v>1.03</v>
      </c>
      <c r="L16746">
        <v>0.93</v>
      </c>
      <c r="M16746">
        <v>1.01</v>
      </c>
      <c r="N16746">
        <v>1</v>
      </c>
    </row>
    <row r="16747" spans="1:14" x14ac:dyDescent="0.25">
      <c r="A16747" t="s">
        <v>28009</v>
      </c>
      <c r="B16747" t="s">
        <v>28010</v>
      </c>
      <c r="C16747" s="1" t="str">
        <f>HYPERLINK("http://www.genecards.org/cgi-bin/carddisp.pl?gene=MS4A5","GeneCards")</f>
        <v>GeneCards</v>
      </c>
      <c r="D16747" s="1" t="str">
        <f>HYPERLINK("http://genome-euro.ucsc.edu/cgi-bin/hgTracks?position=220790_s_at","UCSC")</f>
        <v>UCSC</v>
      </c>
      <c r="E16747" s="1" t="str">
        <f>HYPERLINK("http://www.ncbi.nlm.nih.gov/gene/?term=MS4A5","NCBI")</f>
        <v>NCBI</v>
      </c>
      <c r="F16747">
        <v>0.94</v>
      </c>
      <c r="G16747">
        <v>0.95</v>
      </c>
      <c r="H16747" s="1" t="str">
        <f>HYPERLINK("http://www.weizmann.ac.il/complex/compphys/software/geview/data/figures/220790_s_at.png","Figure")</f>
        <v>Figure</v>
      </c>
      <c r="I16747">
        <v>1</v>
      </c>
      <c r="J16747">
        <v>1</v>
      </c>
      <c r="K16747">
        <v>0.97799999999999998</v>
      </c>
      <c r="L16747">
        <v>0.96</v>
      </c>
      <c r="M16747">
        <v>0.97399999999999998</v>
      </c>
      <c r="N16747">
        <v>0.94</v>
      </c>
    </row>
    <row r="16748" spans="1:14" x14ac:dyDescent="0.25">
      <c r="A16748" t="s">
        <v>28011</v>
      </c>
      <c r="B16748" t="s">
        <v>28012</v>
      </c>
      <c r="C16748" s="1" t="str">
        <f>HYPERLINK("http://www.genecards.org/cgi-bin/carddisp.pl?gene=CTDP1","GeneCards")</f>
        <v>GeneCards</v>
      </c>
      <c r="D16748" s="1" t="str">
        <f>HYPERLINK("http://genome-euro.ucsc.edu/cgi-bin/hgTracks?position=205035_at","UCSC")</f>
        <v>UCSC</v>
      </c>
      <c r="E16748" s="1" t="str">
        <f>HYPERLINK("http://www.ncbi.nlm.nih.gov/gene/?term=CTDP1","NCBI")</f>
        <v>NCBI</v>
      </c>
      <c r="F16748">
        <v>0.94</v>
      </c>
      <c r="G16748">
        <v>0.95</v>
      </c>
      <c r="H16748" s="1" t="str">
        <f>HYPERLINK("http://www.weizmann.ac.il/complex/compphys/software/geview/data/figures/205035_at.png","Figure")</f>
        <v>Figure</v>
      </c>
      <c r="I16748">
        <v>1</v>
      </c>
      <c r="J16748">
        <v>1</v>
      </c>
      <c r="K16748">
        <v>1.03</v>
      </c>
      <c r="L16748">
        <v>0.94</v>
      </c>
      <c r="M16748">
        <v>1.03</v>
      </c>
      <c r="N16748">
        <v>0.96</v>
      </c>
    </row>
    <row r="16749" spans="1:14" x14ac:dyDescent="0.25">
      <c r="A16749" t="s">
        <v>28013</v>
      </c>
      <c r="B16749" t="s">
        <v>28014</v>
      </c>
      <c r="C16749" s="1" t="str">
        <f>HYPERLINK("http://www.genecards.org/cgi-bin/carddisp.pl?gene=SRP19","GeneCards")</f>
        <v>GeneCards</v>
      </c>
      <c r="D16749" s="1" t="str">
        <f>HYPERLINK("http://genome-euro.ucsc.edu/cgi-bin/hgTracks?position=205335_s_at","UCSC")</f>
        <v>UCSC</v>
      </c>
      <c r="E16749" s="1" t="str">
        <f>HYPERLINK("http://www.ncbi.nlm.nih.gov/gene/?term=SRP19","NCBI")</f>
        <v>NCBI</v>
      </c>
      <c r="F16749">
        <v>0.94</v>
      </c>
      <c r="G16749">
        <v>0.95</v>
      </c>
      <c r="H16749" s="1" t="str">
        <f>HYPERLINK("http://www.weizmann.ac.il/complex/compphys/software/geview/data/figures/205335_s_at.png","Figure")</f>
        <v>Figure</v>
      </c>
      <c r="I16749">
        <v>0.92700000000000005</v>
      </c>
      <c r="J16749">
        <v>0.93</v>
      </c>
      <c r="K16749">
        <v>0.95799999999999996</v>
      </c>
      <c r="L16749">
        <v>0.97</v>
      </c>
      <c r="M16749">
        <v>1.03</v>
      </c>
      <c r="N16749">
        <v>0.98</v>
      </c>
    </row>
    <row r="16750" spans="1:14" x14ac:dyDescent="0.25">
      <c r="A16750" t="s">
        <v>28015</v>
      </c>
      <c r="B16750" t="s">
        <v>20221</v>
      </c>
      <c r="C16750" s="1" t="str">
        <f>HYPERLINK("http://www.genecards.org/cgi-bin/carddisp.pl?gene=PTPN18","GeneCards")</f>
        <v>GeneCards</v>
      </c>
      <c r="D16750" s="1" t="str">
        <f>HYPERLINK("http://genome-euro.ucsc.edu/cgi-bin/hgTracks?position=213521_at","UCSC")</f>
        <v>UCSC</v>
      </c>
      <c r="E16750" s="1" t="str">
        <f>HYPERLINK("http://www.ncbi.nlm.nih.gov/gene/?term=PTPN18","NCBI")</f>
        <v>NCBI</v>
      </c>
      <c r="F16750">
        <v>0.94</v>
      </c>
      <c r="G16750">
        <v>0.95</v>
      </c>
      <c r="H16750" s="1" t="str">
        <f>HYPERLINK("http://www.weizmann.ac.il/complex/compphys/software/geview/data/figures/213521_at.png","Figure")</f>
        <v>Figure</v>
      </c>
      <c r="I16750">
        <v>0.94899999999999995</v>
      </c>
      <c r="J16750">
        <v>0.93</v>
      </c>
      <c r="K16750">
        <v>0.96599999999999997</v>
      </c>
      <c r="L16750">
        <v>0.96</v>
      </c>
      <c r="M16750">
        <v>1.02</v>
      </c>
      <c r="N16750">
        <v>0.99</v>
      </c>
    </row>
    <row r="16751" spans="1:14" x14ac:dyDescent="0.25">
      <c r="A16751" t="s">
        <v>28016</v>
      </c>
      <c r="B16751" t="s">
        <v>28017</v>
      </c>
      <c r="C16751" s="1" t="str">
        <f>HYPERLINK("http://www.genecards.org/cgi-bin/carddisp.pl?gene=CYP2C18","GeneCards")</f>
        <v>GeneCards</v>
      </c>
      <c r="D16751" s="1" t="str">
        <f>HYPERLINK("http://genome-euro.ucsc.edu/cgi-bin/hgTracks?position=208126_s_at","UCSC")</f>
        <v>UCSC</v>
      </c>
      <c r="E16751" s="1" t="str">
        <f>HYPERLINK("http://www.ncbi.nlm.nih.gov/gene/?term=CYP2C18","NCBI")</f>
        <v>NCBI</v>
      </c>
      <c r="F16751">
        <v>0.94</v>
      </c>
      <c r="G16751">
        <v>0.95</v>
      </c>
      <c r="H16751" s="1" t="str">
        <f>HYPERLINK("http://www.weizmann.ac.il/complex/compphys/software/geview/data/figures/208126_s_at.png","Figure")</f>
        <v>Figure</v>
      </c>
      <c r="I16751">
        <v>1.02</v>
      </c>
      <c r="J16751">
        <v>0.96</v>
      </c>
      <c r="K16751">
        <v>0.997</v>
      </c>
      <c r="L16751">
        <v>1</v>
      </c>
      <c r="M16751">
        <v>0.98099999999999998</v>
      </c>
      <c r="N16751">
        <v>0.93</v>
      </c>
    </row>
    <row r="16752" spans="1:14" x14ac:dyDescent="0.25">
      <c r="A16752" t="s">
        <v>28018</v>
      </c>
      <c r="B16752" t="s">
        <v>28019</v>
      </c>
      <c r="C16752" s="1" t="str">
        <f>HYPERLINK("http://www.genecards.org/cgi-bin/carddisp.pl?gene=STX17","GeneCards")</f>
        <v>GeneCards</v>
      </c>
      <c r="D16752" s="1" t="str">
        <f>HYPERLINK("http://genome-euro.ucsc.edu/cgi-bin/hgTracks?position=218666_s_at","UCSC")</f>
        <v>UCSC</v>
      </c>
      <c r="E16752" s="1" t="str">
        <f>HYPERLINK("http://www.ncbi.nlm.nih.gov/gene/?term=STX17","NCBI")</f>
        <v>NCBI</v>
      </c>
      <c r="F16752">
        <v>0.94</v>
      </c>
      <c r="G16752">
        <v>0.95</v>
      </c>
      <c r="H16752" s="1" t="str">
        <f>HYPERLINK("http://www.weizmann.ac.il/complex/compphys/software/geview/data/figures/218666_s_at.png","Figure")</f>
        <v>Figure</v>
      </c>
      <c r="I16752">
        <v>0.996</v>
      </c>
      <c r="J16752">
        <v>1</v>
      </c>
      <c r="K16752">
        <v>0.97499999999999998</v>
      </c>
      <c r="L16752">
        <v>0.94</v>
      </c>
      <c r="M16752">
        <v>0.97899999999999998</v>
      </c>
      <c r="N16752">
        <v>0.96</v>
      </c>
    </row>
    <row r="16753" spans="1:14" x14ac:dyDescent="0.25">
      <c r="A16753" t="s">
        <v>28020</v>
      </c>
      <c r="B16753" t="s">
        <v>28021</v>
      </c>
      <c r="C16753" s="1" t="str">
        <f>HYPERLINK("http://www.genecards.org/cgi-bin/carddisp.pl?gene=RP11-35N6.1","GeneCards")</f>
        <v>GeneCards</v>
      </c>
      <c r="D16753" s="1" t="str">
        <f>HYPERLINK("http://genome-euro.ucsc.edu/cgi-bin/hgTracks?position=219732_at","UCSC")</f>
        <v>UCSC</v>
      </c>
      <c r="E16753" s="1" t="str">
        <f>HYPERLINK("http://www.ncbi.nlm.nih.gov/gene/?term=RP11-35N6.1","NCBI")</f>
        <v>NCBI</v>
      </c>
      <c r="F16753">
        <v>0.94</v>
      </c>
      <c r="G16753">
        <v>0.95</v>
      </c>
      <c r="H16753" s="1" t="str">
        <f>HYPERLINK("http://www.weizmann.ac.il/complex/compphys/software/geview/data/figures/219732_at.png","Figure")</f>
        <v>Figure</v>
      </c>
      <c r="I16753">
        <v>1.01</v>
      </c>
      <c r="J16753">
        <v>0.98</v>
      </c>
      <c r="K16753">
        <v>1.02</v>
      </c>
      <c r="L16753">
        <v>0.93</v>
      </c>
      <c r="M16753">
        <v>1.01</v>
      </c>
      <c r="N16753">
        <v>0.99</v>
      </c>
    </row>
    <row r="16754" spans="1:14" x14ac:dyDescent="0.25">
      <c r="A16754" t="s">
        <v>28022</v>
      </c>
      <c r="B16754" t="s">
        <v>16800</v>
      </c>
      <c r="C16754" s="1" t="str">
        <f>HYPERLINK("http://www.genecards.org/cgi-bin/carddisp.pl?gene=LEPR","GeneCards")</f>
        <v>GeneCards</v>
      </c>
      <c r="D16754" s="1" t="str">
        <f>HYPERLINK("http://genome-euro.ucsc.edu/cgi-bin/hgTracks?position=211355_x_at","UCSC")</f>
        <v>UCSC</v>
      </c>
      <c r="E16754" s="1" t="str">
        <f>HYPERLINK("http://www.ncbi.nlm.nih.gov/gene/?term=LEPR","NCBI")</f>
        <v>NCBI</v>
      </c>
      <c r="F16754">
        <v>0.94</v>
      </c>
      <c r="G16754">
        <v>0.95</v>
      </c>
      <c r="H16754" s="1" t="str">
        <f>HYPERLINK("http://www.weizmann.ac.il/complex/compphys/software/geview/data/figures/211355_x_at.png","Figure")</f>
        <v>Figure</v>
      </c>
      <c r="I16754">
        <v>1</v>
      </c>
      <c r="J16754">
        <v>1</v>
      </c>
      <c r="K16754">
        <v>1.02</v>
      </c>
      <c r="L16754">
        <v>0.94</v>
      </c>
      <c r="M16754">
        <v>1.01</v>
      </c>
      <c r="N16754">
        <v>0.97</v>
      </c>
    </row>
    <row r="16755" spans="1:14" x14ac:dyDescent="0.25">
      <c r="A16755" t="s">
        <v>28023</v>
      </c>
      <c r="B16755" t="s">
        <v>5663</v>
      </c>
      <c r="C16755" s="1" t="str">
        <f>HYPERLINK("http://www.genecards.org/cgi-bin/carddisp.pl?gene=CIAPIN1","GeneCards")</f>
        <v>GeneCards</v>
      </c>
      <c r="D16755" s="1" t="str">
        <f>HYPERLINK("http://genome-euro.ucsc.edu/cgi-bin/hgTracks?position=208424_s_at","UCSC")</f>
        <v>UCSC</v>
      </c>
      <c r="E16755" s="1" t="str">
        <f>HYPERLINK("http://www.ncbi.nlm.nih.gov/gene/?term=CIAPIN1","NCBI")</f>
        <v>NCBI</v>
      </c>
      <c r="F16755">
        <v>0.94</v>
      </c>
      <c r="G16755">
        <v>0.95</v>
      </c>
      <c r="H16755" s="1" t="str">
        <f>HYPERLINK("http://www.weizmann.ac.il/complex/compphys/software/geview/data/figures/208424_s_at.png","Figure")</f>
        <v>Figure</v>
      </c>
      <c r="I16755">
        <v>1.08</v>
      </c>
      <c r="J16755">
        <v>0.93</v>
      </c>
      <c r="K16755">
        <v>1.04</v>
      </c>
      <c r="L16755">
        <v>0.98</v>
      </c>
      <c r="M16755">
        <v>0.95899999999999996</v>
      </c>
      <c r="N16755">
        <v>0.98</v>
      </c>
    </row>
    <row r="16756" spans="1:14" x14ac:dyDescent="0.25">
      <c r="A16756" t="s">
        <v>28024</v>
      </c>
      <c r="B16756" t="s">
        <v>20810</v>
      </c>
      <c r="C16756" s="1" t="str">
        <f>HYPERLINK("http://www.genecards.org/cgi-bin/carddisp.pl?gene=RABGAP1L","GeneCards")</f>
        <v>GeneCards</v>
      </c>
      <c r="D16756" s="1" t="str">
        <f>HYPERLINK("http://genome-euro.ucsc.edu/cgi-bin/hgTracks?position=203020_at","UCSC")</f>
        <v>UCSC</v>
      </c>
      <c r="E16756" s="1" t="str">
        <f>HYPERLINK("http://www.ncbi.nlm.nih.gov/gene/?term=RABGAP1L","NCBI")</f>
        <v>NCBI</v>
      </c>
      <c r="F16756">
        <v>0.94</v>
      </c>
      <c r="G16756">
        <v>0.95</v>
      </c>
      <c r="H16756" s="1" t="str">
        <f>HYPERLINK("http://www.weizmann.ac.il/complex/compphys/software/geview/data/figures/203020_at.png","Figure")</f>
        <v>Figure</v>
      </c>
      <c r="I16756">
        <v>1.05</v>
      </c>
      <c r="J16756">
        <v>0.98</v>
      </c>
      <c r="K16756">
        <v>1.1000000000000001</v>
      </c>
      <c r="L16756">
        <v>0.93</v>
      </c>
      <c r="M16756">
        <v>1.05</v>
      </c>
      <c r="N16756">
        <v>0.99</v>
      </c>
    </row>
    <row r="16757" spans="1:14" x14ac:dyDescent="0.25">
      <c r="A16757" t="s">
        <v>28025</v>
      </c>
      <c r="B16757" t="s">
        <v>16238</v>
      </c>
      <c r="C16757" s="1" t="str">
        <f>HYPERLINK("http://www.genecards.org/cgi-bin/carddisp.pl?gene=TIA1","GeneCards")</f>
        <v>GeneCards</v>
      </c>
      <c r="D16757" s="1" t="str">
        <f>HYPERLINK("http://genome-euro.ucsc.edu/cgi-bin/hgTracks?position=201450_s_at","UCSC")</f>
        <v>UCSC</v>
      </c>
      <c r="E16757" s="1" t="str">
        <f>HYPERLINK("http://www.ncbi.nlm.nih.gov/gene/?term=TIA1","NCBI")</f>
        <v>NCBI</v>
      </c>
      <c r="F16757">
        <v>0.94</v>
      </c>
      <c r="G16757">
        <v>0.95</v>
      </c>
      <c r="H16757" s="1" t="str">
        <f>HYPERLINK("http://www.weizmann.ac.il/complex/compphys/software/geview/data/figures/201450_s_at.png","Figure")</f>
        <v>Figure</v>
      </c>
      <c r="I16757">
        <v>1.05</v>
      </c>
      <c r="J16757">
        <v>0.98</v>
      </c>
      <c r="K16757">
        <v>0.96699999999999997</v>
      </c>
      <c r="L16757">
        <v>0.99</v>
      </c>
      <c r="M16757">
        <v>0.91700000000000004</v>
      </c>
      <c r="N16757">
        <v>0.93</v>
      </c>
    </row>
    <row r="16758" spans="1:14" x14ac:dyDescent="0.25">
      <c r="A16758" t="s">
        <v>28026</v>
      </c>
      <c r="B16758" t="s">
        <v>28027</v>
      </c>
      <c r="C16758" s="1" t="str">
        <f>HYPERLINK("http://www.genecards.org/cgi-bin/carddisp.pl?gene=MAEA","GeneCards")</f>
        <v>GeneCards</v>
      </c>
      <c r="D16758" s="1" t="str">
        <f>HYPERLINK("http://genome-euro.ucsc.edu/cgi-bin/hgTracks?position=207922_s_at","UCSC")</f>
        <v>UCSC</v>
      </c>
      <c r="E16758" s="1" t="str">
        <f>HYPERLINK("http://www.ncbi.nlm.nih.gov/gene/?term=MAEA","NCBI")</f>
        <v>NCBI</v>
      </c>
      <c r="F16758">
        <v>0.94</v>
      </c>
      <c r="G16758">
        <v>0.95</v>
      </c>
      <c r="H16758" s="1" t="str">
        <f>HYPERLINK("http://www.weizmann.ac.il/complex/compphys/software/geview/data/figures/207922_s_at.png","Figure")</f>
        <v>Figure</v>
      </c>
      <c r="I16758">
        <v>0.93700000000000006</v>
      </c>
      <c r="J16758">
        <v>0.97</v>
      </c>
      <c r="K16758">
        <v>1.03</v>
      </c>
      <c r="L16758">
        <v>0.99</v>
      </c>
      <c r="M16758">
        <v>1.1000000000000001</v>
      </c>
      <c r="N16758">
        <v>0.93</v>
      </c>
    </row>
    <row r="16759" spans="1:14" x14ac:dyDescent="0.25">
      <c r="A16759" t="s">
        <v>28028</v>
      </c>
      <c r="B16759" t="s">
        <v>18084</v>
      </c>
      <c r="C16759" s="1" t="str">
        <f>HYPERLINK("http://www.genecards.org/cgi-bin/carddisp.pl?gene=PTPRO","GeneCards")</f>
        <v>GeneCards</v>
      </c>
      <c r="D16759" s="1" t="str">
        <f>HYPERLINK("http://genome-euro.ucsc.edu/cgi-bin/hgTracks?position=211600_at","UCSC")</f>
        <v>UCSC</v>
      </c>
      <c r="E16759" s="1" t="str">
        <f>HYPERLINK("http://www.ncbi.nlm.nih.gov/gene/?term=PTPRO","NCBI")</f>
        <v>NCBI</v>
      </c>
      <c r="F16759">
        <v>0.94</v>
      </c>
      <c r="G16759">
        <v>0.95</v>
      </c>
      <c r="H16759" s="1" t="str">
        <f>HYPERLINK("http://www.weizmann.ac.il/complex/compphys/software/geview/data/figures/211600_at.png","Figure")</f>
        <v>Figure</v>
      </c>
      <c r="I16759">
        <v>1.03</v>
      </c>
      <c r="J16759">
        <v>0.99</v>
      </c>
      <c r="K16759">
        <v>1.0900000000000001</v>
      </c>
      <c r="L16759">
        <v>0.93</v>
      </c>
      <c r="M16759">
        <v>1.05</v>
      </c>
      <c r="N16759">
        <v>0.98</v>
      </c>
    </row>
    <row r="16760" spans="1:14" x14ac:dyDescent="0.25">
      <c r="A16760" t="s">
        <v>28029</v>
      </c>
      <c r="B16760" t="s">
        <v>28030</v>
      </c>
      <c r="C16760" s="1" t="str">
        <f>HYPERLINK("http://www.genecards.org/cgi-bin/carddisp.pl?gene=KCTD13","GeneCards")</f>
        <v>GeneCards</v>
      </c>
      <c r="D16760" s="1" t="str">
        <f>HYPERLINK("http://genome-euro.ucsc.edu/cgi-bin/hgTracks?position=221889_at","UCSC")</f>
        <v>UCSC</v>
      </c>
      <c r="E16760" s="1" t="str">
        <f>HYPERLINK("http://www.ncbi.nlm.nih.gov/gene/?term=KCTD13","NCBI")</f>
        <v>NCBI</v>
      </c>
      <c r="F16760">
        <v>0.94</v>
      </c>
      <c r="G16760">
        <v>0.95</v>
      </c>
      <c r="H16760" s="1" t="str">
        <f>HYPERLINK("http://www.weizmann.ac.il/complex/compphys/software/geview/data/figures/221889_at.png","Figure")</f>
        <v>Figure</v>
      </c>
      <c r="I16760">
        <v>0.97899999999999998</v>
      </c>
      <c r="J16760">
        <v>0.99</v>
      </c>
      <c r="K16760">
        <v>1.03</v>
      </c>
      <c r="L16760">
        <v>0.98</v>
      </c>
      <c r="M16760">
        <v>1.05</v>
      </c>
      <c r="N16760">
        <v>0.94</v>
      </c>
    </row>
    <row r="16761" spans="1:14" x14ac:dyDescent="0.25">
      <c r="A16761" t="s">
        <v>28031</v>
      </c>
      <c r="B16761" t="s">
        <v>28032</v>
      </c>
      <c r="C16761" s="1" t="str">
        <f>HYPERLINK("http://www.genecards.org/cgi-bin/carddisp.pl?gene=KCNF1","GeneCards")</f>
        <v>GeneCards</v>
      </c>
      <c r="D16761" s="1" t="str">
        <f>HYPERLINK("http://genome-euro.ucsc.edu/cgi-bin/hgTracks?position=210263_at","UCSC")</f>
        <v>UCSC</v>
      </c>
      <c r="E16761" s="1" t="str">
        <f>HYPERLINK("http://www.ncbi.nlm.nih.gov/gene/?term=KCNF1","NCBI")</f>
        <v>NCBI</v>
      </c>
      <c r="F16761">
        <v>0.94</v>
      </c>
      <c r="G16761">
        <v>0.95</v>
      </c>
      <c r="H16761" s="1" t="str">
        <f>HYPERLINK("http://www.weizmann.ac.il/complex/compphys/software/geview/data/figures/210263_at.png","Figure")</f>
        <v>Figure</v>
      </c>
      <c r="I16761">
        <v>0.97199999999999998</v>
      </c>
      <c r="J16761">
        <v>0.96</v>
      </c>
      <c r="K16761">
        <v>0.96699999999999997</v>
      </c>
      <c r="L16761">
        <v>0.94</v>
      </c>
      <c r="M16761">
        <v>0.995</v>
      </c>
      <c r="N16761">
        <v>1</v>
      </c>
    </row>
    <row r="16762" spans="1:14" x14ac:dyDescent="0.25">
      <c r="A16762" t="s">
        <v>28033</v>
      </c>
      <c r="B16762" t="s">
        <v>26101</v>
      </c>
      <c r="C16762" s="1" t="str">
        <f>HYPERLINK("http://www.genecards.org/cgi-bin/carddisp.pl?gene=NFYA","GeneCards")</f>
        <v>GeneCards</v>
      </c>
      <c r="D16762" s="1" t="str">
        <f>HYPERLINK("http://genome-euro.ucsc.edu/cgi-bin/hgTracks?position=204108_at","UCSC")</f>
        <v>UCSC</v>
      </c>
      <c r="E16762" s="1" t="str">
        <f>HYPERLINK("http://www.ncbi.nlm.nih.gov/gene/?term=NFYA","NCBI")</f>
        <v>NCBI</v>
      </c>
      <c r="F16762">
        <v>0.94</v>
      </c>
      <c r="G16762">
        <v>0.95</v>
      </c>
      <c r="H16762" s="1" t="str">
        <f>HYPERLINK("http://www.weizmann.ac.il/complex/compphys/software/geview/data/figures/204108_at.png","Figure")</f>
        <v>Figure</v>
      </c>
      <c r="I16762">
        <v>1.01</v>
      </c>
      <c r="J16762">
        <v>1</v>
      </c>
      <c r="K16762">
        <v>0.94899999999999995</v>
      </c>
      <c r="L16762">
        <v>0.96</v>
      </c>
      <c r="M16762">
        <v>0.94099999999999995</v>
      </c>
      <c r="N16762">
        <v>0.95</v>
      </c>
    </row>
    <row r="16763" spans="1:14" x14ac:dyDescent="0.25">
      <c r="A16763" t="s">
        <v>28034</v>
      </c>
      <c r="B16763" t="s">
        <v>18716</v>
      </c>
      <c r="C16763" s="1" t="str">
        <f>HYPERLINK("http://www.genecards.org/cgi-bin/carddisp.pl?gene=FNTA","GeneCards")</f>
        <v>GeneCards</v>
      </c>
      <c r="D16763" s="1" t="str">
        <f>HYPERLINK("http://genome-euro.ucsc.edu/cgi-bin/hgTracks?position=200090_at","UCSC")</f>
        <v>UCSC</v>
      </c>
      <c r="E16763" s="1" t="str">
        <f>HYPERLINK("http://www.ncbi.nlm.nih.gov/gene/?term=FNTA","NCBI")</f>
        <v>NCBI</v>
      </c>
      <c r="F16763">
        <v>0.94</v>
      </c>
      <c r="G16763">
        <v>0.95</v>
      </c>
      <c r="H16763" s="1" t="str">
        <f>HYPERLINK("http://www.weizmann.ac.il/complex/compphys/software/geview/data/figures/200090_at.png","Figure")</f>
        <v>Figure</v>
      </c>
      <c r="I16763">
        <v>0.94299999999999995</v>
      </c>
      <c r="J16763">
        <v>0.93</v>
      </c>
      <c r="K16763">
        <v>0.97399999999999998</v>
      </c>
      <c r="L16763">
        <v>0.98</v>
      </c>
      <c r="M16763">
        <v>1.03</v>
      </c>
      <c r="N16763">
        <v>0.98</v>
      </c>
    </row>
    <row r="16764" spans="1:14" x14ac:dyDescent="0.25">
      <c r="A16764" t="s">
        <v>28035</v>
      </c>
      <c r="B16764" t="s">
        <v>28036</v>
      </c>
      <c r="C16764" s="1" t="str">
        <f>HYPERLINK("http://www.genecards.org/cgi-bin/carddisp.pl?gene=CD3D","GeneCards")</f>
        <v>GeneCards</v>
      </c>
      <c r="D16764" s="1" t="str">
        <f>HYPERLINK("http://genome-euro.ucsc.edu/cgi-bin/hgTracks?position=213539_at","UCSC")</f>
        <v>UCSC</v>
      </c>
      <c r="E16764" s="1" t="str">
        <f>HYPERLINK("http://www.ncbi.nlm.nih.gov/gene/?term=CD3D","NCBI")</f>
        <v>NCBI</v>
      </c>
      <c r="F16764">
        <v>0.94</v>
      </c>
      <c r="G16764">
        <v>0.95</v>
      </c>
      <c r="H16764" s="1" t="str">
        <f>HYPERLINK("http://www.weizmann.ac.il/complex/compphys/software/geview/data/figures/213539_at.png","Figure")</f>
        <v>Figure</v>
      </c>
      <c r="I16764">
        <v>1.1000000000000001</v>
      </c>
      <c r="J16764">
        <v>0.93</v>
      </c>
      <c r="K16764">
        <v>1.04</v>
      </c>
      <c r="L16764">
        <v>0.99</v>
      </c>
      <c r="M16764">
        <v>0.94199999999999995</v>
      </c>
      <c r="N16764">
        <v>0.97</v>
      </c>
    </row>
    <row r="16765" spans="1:14" x14ac:dyDescent="0.25">
      <c r="A16765" t="s">
        <v>28037</v>
      </c>
      <c r="B16765" t="s">
        <v>28038</v>
      </c>
      <c r="C16765" s="1" t="str">
        <f>HYPERLINK("http://www.genecards.org/cgi-bin/carddisp.pl?gene=FIS1","GeneCards")</f>
        <v>GeneCards</v>
      </c>
      <c r="D16765" s="1" t="str">
        <f>HYPERLINK("http://genome-euro.ucsc.edu/cgi-bin/hgTracks?position=218034_at","UCSC")</f>
        <v>UCSC</v>
      </c>
      <c r="E16765" s="1" t="str">
        <f>HYPERLINK("http://www.ncbi.nlm.nih.gov/gene/?term=FIS1","NCBI")</f>
        <v>NCBI</v>
      </c>
      <c r="F16765">
        <v>0.94</v>
      </c>
      <c r="G16765">
        <v>0.95</v>
      </c>
      <c r="H16765" s="1" t="str">
        <f>HYPERLINK("http://www.weizmann.ac.il/complex/compphys/software/geview/data/figures/218034_at.png","Figure")</f>
        <v>Figure</v>
      </c>
      <c r="I16765">
        <v>1.06</v>
      </c>
      <c r="J16765">
        <v>0.96</v>
      </c>
      <c r="K16765">
        <v>1.08</v>
      </c>
      <c r="L16765">
        <v>0.94</v>
      </c>
      <c r="M16765">
        <v>1.01</v>
      </c>
      <c r="N16765">
        <v>1</v>
      </c>
    </row>
    <row r="16766" spans="1:14" x14ac:dyDescent="0.25">
      <c r="A16766" t="s">
        <v>28039</v>
      </c>
      <c r="B16766" t="s">
        <v>25459</v>
      </c>
      <c r="C16766" s="1" t="str">
        <f>HYPERLINK("http://www.genecards.org/cgi-bin/carddisp.pl?gene=DSTN","GeneCards")</f>
        <v>GeneCards</v>
      </c>
      <c r="D16766" s="1" t="str">
        <f>HYPERLINK("http://genome-euro.ucsc.edu/cgi-bin/hgTracks?position=201022_s_at","UCSC")</f>
        <v>UCSC</v>
      </c>
      <c r="E16766" s="1" t="str">
        <f>HYPERLINK("http://www.ncbi.nlm.nih.gov/gene/?term=DSTN","NCBI")</f>
        <v>NCBI</v>
      </c>
      <c r="F16766">
        <v>0.94</v>
      </c>
      <c r="G16766">
        <v>0.95</v>
      </c>
      <c r="H16766" s="1" t="str">
        <f>HYPERLINK("http://www.weizmann.ac.il/complex/compphys/software/geview/data/figures/201022_s_at.png","Figure")</f>
        <v>Figure</v>
      </c>
      <c r="I16766">
        <v>0.94899999999999995</v>
      </c>
      <c r="J16766">
        <v>1</v>
      </c>
      <c r="K16766">
        <v>1.1399999999999999</v>
      </c>
      <c r="L16766">
        <v>0.97</v>
      </c>
      <c r="M16766">
        <v>1.2</v>
      </c>
      <c r="N16766">
        <v>0.94</v>
      </c>
    </row>
    <row r="16767" spans="1:14" x14ac:dyDescent="0.25">
      <c r="A16767" t="s">
        <v>28040</v>
      </c>
      <c r="B16767" t="s">
        <v>23320</v>
      </c>
      <c r="C16767" s="1" t="str">
        <f>HYPERLINK("http://www.genecards.org/cgi-bin/carddisp.pl?gene=HIGD1A","GeneCards")</f>
        <v>GeneCards</v>
      </c>
      <c r="D16767" s="1" t="str">
        <f>HYPERLINK("http://genome-euro.ucsc.edu/cgi-bin/hgTracks?position=221896_s_at","UCSC")</f>
        <v>UCSC</v>
      </c>
      <c r="E16767" s="1" t="str">
        <f>HYPERLINK("http://www.ncbi.nlm.nih.gov/gene/?term=HIGD1A","NCBI")</f>
        <v>NCBI</v>
      </c>
      <c r="F16767">
        <v>0.94</v>
      </c>
      <c r="G16767">
        <v>0.95</v>
      </c>
      <c r="H16767" s="1" t="str">
        <f>HYPERLINK("http://www.weizmann.ac.il/complex/compphys/software/geview/data/figures/221896_s_at.png","Figure")</f>
        <v>Figure</v>
      </c>
      <c r="I16767">
        <v>1.04</v>
      </c>
      <c r="J16767">
        <v>0.98</v>
      </c>
      <c r="K16767">
        <v>1.07</v>
      </c>
      <c r="L16767">
        <v>0.93</v>
      </c>
      <c r="M16767">
        <v>1.03</v>
      </c>
      <c r="N16767">
        <v>0.99</v>
      </c>
    </row>
    <row r="16768" spans="1:14" x14ac:dyDescent="0.25">
      <c r="A16768" t="s">
        <v>28041</v>
      </c>
      <c r="B16768" t="s">
        <v>28042</v>
      </c>
      <c r="C16768" s="1" t="str">
        <f>HYPERLINK("http://www.genecards.org/cgi-bin/carddisp.pl?gene=SETD5","GeneCards")</f>
        <v>GeneCards</v>
      </c>
      <c r="D16768" s="1" t="str">
        <f>HYPERLINK("http://genome-euro.ucsc.edu/cgi-bin/hgTracks?position=221806_s_at","UCSC")</f>
        <v>UCSC</v>
      </c>
      <c r="E16768" s="1" t="str">
        <f>HYPERLINK("http://www.ncbi.nlm.nih.gov/gene/?term=SETD5","NCBI")</f>
        <v>NCBI</v>
      </c>
      <c r="F16768">
        <v>0.94</v>
      </c>
      <c r="G16768">
        <v>0.95</v>
      </c>
      <c r="H16768" s="1" t="str">
        <f>HYPERLINK("http://www.weizmann.ac.il/complex/compphys/software/geview/data/figures/221806_s_at.png","Figure")</f>
        <v>Figure</v>
      </c>
      <c r="I16768">
        <v>0.92600000000000005</v>
      </c>
      <c r="J16768">
        <v>0.93</v>
      </c>
      <c r="K16768">
        <v>0.96699999999999997</v>
      </c>
      <c r="L16768">
        <v>0.98</v>
      </c>
      <c r="M16768">
        <v>1.04</v>
      </c>
      <c r="N16768">
        <v>0.97</v>
      </c>
    </row>
    <row r="16769" spans="1:14" x14ac:dyDescent="0.25">
      <c r="A16769" t="s">
        <v>28043</v>
      </c>
      <c r="B16769" t="s">
        <v>2958</v>
      </c>
      <c r="C16769" s="1" t="str">
        <f>HYPERLINK("http://www.genecards.org/cgi-bin/carddisp.pl?gene=FGFR2","GeneCards")</f>
        <v>GeneCards</v>
      </c>
      <c r="D16769" s="1" t="str">
        <f>HYPERLINK("http://genome-euro.ucsc.edu/cgi-bin/hgTracks?position=211400_at","UCSC")</f>
        <v>UCSC</v>
      </c>
      <c r="E16769" s="1" t="str">
        <f>HYPERLINK("http://www.ncbi.nlm.nih.gov/gene/?term=FGFR2","NCBI")</f>
        <v>NCBI</v>
      </c>
      <c r="F16769">
        <v>0.94</v>
      </c>
      <c r="G16769">
        <v>0.95</v>
      </c>
      <c r="H16769" s="1" t="str">
        <f>HYPERLINK("http://www.weizmann.ac.il/complex/compphys/software/geview/data/figures/211400_at.png","Figure")</f>
        <v>Figure</v>
      </c>
      <c r="I16769">
        <v>1.01</v>
      </c>
      <c r="J16769">
        <v>0.99</v>
      </c>
      <c r="K16769">
        <v>0.98599999999999999</v>
      </c>
      <c r="L16769">
        <v>0.97</v>
      </c>
      <c r="M16769">
        <v>0.97799999999999998</v>
      </c>
      <c r="N16769">
        <v>0.94</v>
      </c>
    </row>
    <row r="16770" spans="1:14" x14ac:dyDescent="0.25">
      <c r="A16770" t="s">
        <v>28044</v>
      </c>
      <c r="B16770" t="s">
        <v>28045</v>
      </c>
      <c r="C16770" s="1" t="str">
        <f>HYPERLINK("http://www.genecards.org/cgi-bin/carddisp.pl?gene=TBRG4","GeneCards")</f>
        <v>GeneCards</v>
      </c>
      <c r="D16770" s="1" t="str">
        <f>HYPERLINK("http://genome-euro.ucsc.edu/cgi-bin/hgTracks?position=220789_s_at","UCSC")</f>
        <v>UCSC</v>
      </c>
      <c r="E16770" s="1" t="str">
        <f>HYPERLINK("http://www.ncbi.nlm.nih.gov/gene/?term=TBRG4","NCBI")</f>
        <v>NCBI</v>
      </c>
      <c r="F16770">
        <v>0.94</v>
      </c>
      <c r="G16770">
        <v>0.95</v>
      </c>
      <c r="H16770" s="1" t="str">
        <f>HYPERLINK("http://www.weizmann.ac.il/complex/compphys/software/geview/data/figures/220789_s_at.png","Figure")</f>
        <v>Figure</v>
      </c>
      <c r="I16770">
        <v>0.97499999999999998</v>
      </c>
      <c r="J16770">
        <v>0.95</v>
      </c>
      <c r="K16770">
        <v>0.98</v>
      </c>
      <c r="L16770">
        <v>0.95</v>
      </c>
      <c r="M16770">
        <v>1</v>
      </c>
      <c r="N16770">
        <v>1</v>
      </c>
    </row>
    <row r="16771" spans="1:14" x14ac:dyDescent="0.25">
      <c r="A16771" t="s">
        <v>28046</v>
      </c>
      <c r="B16771" t="s">
        <v>28047</v>
      </c>
      <c r="C16771" s="1" t="str">
        <f>HYPERLINK("http://www.genecards.org/cgi-bin/carddisp.pl?gene=FOSL1","GeneCards")</f>
        <v>GeneCards</v>
      </c>
      <c r="D16771" s="1" t="str">
        <f>HYPERLINK("http://genome-euro.ucsc.edu/cgi-bin/hgTracks?position=204420_at","UCSC")</f>
        <v>UCSC</v>
      </c>
      <c r="E16771" s="1" t="str">
        <f>HYPERLINK("http://www.ncbi.nlm.nih.gov/gene/?term=FOSL1","NCBI")</f>
        <v>NCBI</v>
      </c>
      <c r="F16771">
        <v>0.94</v>
      </c>
      <c r="G16771">
        <v>0.95</v>
      </c>
      <c r="H16771" s="1" t="str">
        <f>HYPERLINK("http://www.weizmann.ac.il/complex/compphys/software/geview/data/figures/204420_at.png","Figure")</f>
        <v>Figure</v>
      </c>
      <c r="I16771">
        <v>1.01</v>
      </c>
      <c r="J16771">
        <v>0.99</v>
      </c>
      <c r="K16771">
        <v>0.98499999999999999</v>
      </c>
      <c r="L16771">
        <v>0.97</v>
      </c>
      <c r="M16771">
        <v>0.97599999999999998</v>
      </c>
      <c r="N16771">
        <v>0.94</v>
      </c>
    </row>
    <row r="16772" spans="1:14" x14ac:dyDescent="0.25">
      <c r="A16772" t="s">
        <v>28048</v>
      </c>
      <c r="B16772" t="s">
        <v>24994</v>
      </c>
      <c r="C16772" s="1" t="str">
        <f>HYPERLINK("http://www.genecards.org/cgi-bin/carddisp.pl?gene=CHD3","GeneCards")</f>
        <v>GeneCards</v>
      </c>
      <c r="D16772" s="1" t="str">
        <f>HYPERLINK("http://genome-euro.ucsc.edu/cgi-bin/hgTracks?position=208806_at","UCSC")</f>
        <v>UCSC</v>
      </c>
      <c r="E16772" s="1" t="str">
        <f>HYPERLINK("http://www.ncbi.nlm.nih.gov/gene/?term=CHD3","NCBI")</f>
        <v>NCBI</v>
      </c>
      <c r="F16772">
        <v>0.94</v>
      </c>
      <c r="G16772">
        <v>0.95</v>
      </c>
      <c r="H16772" s="1" t="str">
        <f>HYPERLINK("http://www.weizmann.ac.il/complex/compphys/software/geview/data/figures/208806_at.png","Figure")</f>
        <v>Figure</v>
      </c>
      <c r="I16772">
        <v>0.93600000000000005</v>
      </c>
      <c r="J16772">
        <v>0.95</v>
      </c>
      <c r="K16772">
        <v>1</v>
      </c>
      <c r="L16772">
        <v>1</v>
      </c>
      <c r="M16772">
        <v>1.07</v>
      </c>
      <c r="N16772">
        <v>0.94</v>
      </c>
    </row>
    <row r="16773" spans="1:14" x14ac:dyDescent="0.25">
      <c r="A16773" t="s">
        <v>28049</v>
      </c>
      <c r="B16773" t="s">
        <v>5783</v>
      </c>
      <c r="C16773" s="1" t="str">
        <f>HYPERLINK("http://www.genecards.org/cgi-bin/carddisp.pl?gene=AKR1C1","GeneCards")</f>
        <v>GeneCards</v>
      </c>
      <c r="D16773" s="1" t="str">
        <f>HYPERLINK("http://genome-euro.ucsc.edu/cgi-bin/hgTracks?position=217626_at","UCSC")</f>
        <v>UCSC</v>
      </c>
      <c r="E16773" s="1" t="str">
        <f>HYPERLINK("http://www.ncbi.nlm.nih.gov/gene/?term=AKR1C1","NCBI")</f>
        <v>NCBI</v>
      </c>
      <c r="F16773">
        <v>0.94</v>
      </c>
      <c r="G16773">
        <v>0.95</v>
      </c>
      <c r="H16773" s="1" t="str">
        <f>HYPERLINK("http://www.weizmann.ac.il/complex/compphys/software/geview/data/figures/217626_at.png","Figure")</f>
        <v>Figure</v>
      </c>
      <c r="I16773">
        <v>1.02</v>
      </c>
      <c r="J16773">
        <v>0.97</v>
      </c>
      <c r="K16773">
        <v>0.99299999999999999</v>
      </c>
      <c r="L16773">
        <v>0.99</v>
      </c>
      <c r="M16773">
        <v>0.97799999999999998</v>
      </c>
      <c r="N16773">
        <v>0.94</v>
      </c>
    </row>
    <row r="16774" spans="1:14" x14ac:dyDescent="0.25">
      <c r="A16774" t="s">
        <v>28050</v>
      </c>
      <c r="B16774" t="s">
        <v>28051</v>
      </c>
      <c r="C16774" s="1" t="str">
        <f>HYPERLINK("http://www.genecards.org/cgi-bin/carddisp.pl?gene=PPP1CC","GeneCards")</f>
        <v>GeneCards</v>
      </c>
      <c r="D16774" s="1" t="str">
        <f>HYPERLINK("http://genome-euro.ucsc.edu/cgi-bin/hgTracks?position=200726_at","UCSC")</f>
        <v>UCSC</v>
      </c>
      <c r="E16774" s="1" t="str">
        <f>HYPERLINK("http://www.ncbi.nlm.nih.gov/gene/?term=PPP1CC","NCBI")</f>
        <v>NCBI</v>
      </c>
      <c r="F16774">
        <v>0.94</v>
      </c>
      <c r="G16774">
        <v>0.96</v>
      </c>
      <c r="H16774" s="1" t="str">
        <f>HYPERLINK("http://www.weizmann.ac.il/complex/compphys/software/geview/data/figures/200726_at.png","Figure")</f>
        <v>Figure</v>
      </c>
      <c r="I16774">
        <v>1.07</v>
      </c>
      <c r="J16774">
        <v>0.94</v>
      </c>
      <c r="K16774">
        <v>1.01</v>
      </c>
      <c r="L16774">
        <v>1</v>
      </c>
      <c r="M16774">
        <v>0.94399999999999995</v>
      </c>
      <c r="N16774">
        <v>0.95</v>
      </c>
    </row>
    <row r="16775" spans="1:14" x14ac:dyDescent="0.25">
      <c r="A16775" t="s">
        <v>28052</v>
      </c>
      <c r="B16775" t="s">
        <v>28053</v>
      </c>
      <c r="C16775" s="1" t="str">
        <f>HYPERLINK("http://www.genecards.org/cgi-bin/carddisp.pl?gene=COL9A2","GeneCards")</f>
        <v>GeneCards</v>
      </c>
      <c r="D16775" s="1" t="str">
        <f>HYPERLINK("http://genome-euro.ucsc.edu/cgi-bin/hgTracks?position=213622_at","UCSC")</f>
        <v>UCSC</v>
      </c>
      <c r="E16775" s="1" t="str">
        <f>HYPERLINK("http://www.ncbi.nlm.nih.gov/gene/?term=COL9A2","NCBI")</f>
        <v>NCBI</v>
      </c>
      <c r="F16775">
        <v>0.94</v>
      </c>
      <c r="G16775">
        <v>0.96</v>
      </c>
      <c r="H16775" s="1" t="str">
        <f>HYPERLINK("http://www.weizmann.ac.il/complex/compphys/software/geview/data/figures/213622_at.png","Figure")</f>
        <v>Figure</v>
      </c>
      <c r="I16775">
        <v>1.02</v>
      </c>
      <c r="J16775">
        <v>0.95</v>
      </c>
      <c r="K16775">
        <v>1</v>
      </c>
      <c r="L16775">
        <v>1</v>
      </c>
      <c r="M16775">
        <v>0.97899999999999998</v>
      </c>
      <c r="N16775">
        <v>0.95</v>
      </c>
    </row>
    <row r="16776" spans="1:14" x14ac:dyDescent="0.25">
      <c r="A16776" t="s">
        <v>28054</v>
      </c>
      <c r="B16776" t="s">
        <v>28055</v>
      </c>
      <c r="C16776" s="1" t="str">
        <f>HYPERLINK("http://www.genecards.org/cgi-bin/carddisp.pl?gene=POP1","GeneCards")</f>
        <v>GeneCards</v>
      </c>
      <c r="D16776" s="1" t="str">
        <f>HYPERLINK("http://genome-euro.ucsc.edu/cgi-bin/hgTracks?position=213449_at","UCSC")</f>
        <v>UCSC</v>
      </c>
      <c r="E16776" s="1" t="str">
        <f>HYPERLINK("http://www.ncbi.nlm.nih.gov/gene/?term=POP1","NCBI")</f>
        <v>NCBI</v>
      </c>
      <c r="F16776">
        <v>0.94</v>
      </c>
      <c r="G16776">
        <v>0.96</v>
      </c>
      <c r="H16776" s="1" t="str">
        <f>HYPERLINK("http://www.weizmann.ac.il/complex/compphys/software/geview/data/figures/213449_at.png","Figure")</f>
        <v>Figure</v>
      </c>
      <c r="I16776">
        <v>0.97399999999999998</v>
      </c>
      <c r="J16776">
        <v>0.94</v>
      </c>
      <c r="K16776">
        <v>0.98399999999999999</v>
      </c>
      <c r="L16776">
        <v>0.97</v>
      </c>
      <c r="M16776">
        <v>1.01</v>
      </c>
      <c r="N16776">
        <v>0.99</v>
      </c>
    </row>
    <row r="16777" spans="1:14" x14ac:dyDescent="0.25">
      <c r="A16777" t="s">
        <v>28056</v>
      </c>
      <c r="B16777" t="s">
        <v>28057</v>
      </c>
      <c r="C16777" s="1" t="str">
        <f>HYPERLINK("http://www.genecards.org/cgi-bin/carddisp.pl?gene=GNMT","GeneCards")</f>
        <v>GeneCards</v>
      </c>
      <c r="D16777" s="1" t="str">
        <f>HYPERLINK("http://genome-euro.ucsc.edu/cgi-bin/hgTracks?position=210328_at","UCSC")</f>
        <v>UCSC</v>
      </c>
      <c r="E16777" s="1" t="str">
        <f>HYPERLINK("http://www.ncbi.nlm.nih.gov/gene/?term=GNMT","NCBI")</f>
        <v>NCBI</v>
      </c>
      <c r="F16777">
        <v>0.94</v>
      </c>
      <c r="G16777">
        <v>0.96</v>
      </c>
      <c r="H16777" s="1" t="str">
        <f>HYPERLINK("http://www.weizmann.ac.il/complex/compphys/software/geview/data/figures/210328_at.png","Figure")</f>
        <v>Figure</v>
      </c>
      <c r="I16777">
        <v>1.03</v>
      </c>
      <c r="J16777">
        <v>0.95</v>
      </c>
      <c r="K16777">
        <v>1.03</v>
      </c>
      <c r="L16777">
        <v>0.95</v>
      </c>
      <c r="M16777">
        <v>0.995</v>
      </c>
      <c r="N16777">
        <v>1</v>
      </c>
    </row>
    <row r="16778" spans="1:14" x14ac:dyDescent="0.25">
      <c r="A16778" t="s">
        <v>28058</v>
      </c>
      <c r="B16778" t="s">
        <v>8058</v>
      </c>
      <c r="C16778" s="1" t="str">
        <f>HYPERLINK("http://www.genecards.org/cgi-bin/carddisp.pl?gene=NFATC1","GeneCards")</f>
        <v>GeneCards</v>
      </c>
      <c r="D16778" s="1" t="str">
        <f>HYPERLINK("http://genome-euro.ucsc.edu/cgi-bin/hgTracks?position=209664_x_at","UCSC")</f>
        <v>UCSC</v>
      </c>
      <c r="E16778" s="1" t="str">
        <f>HYPERLINK("http://www.ncbi.nlm.nih.gov/gene/?term=NFATC1","NCBI")</f>
        <v>NCBI</v>
      </c>
      <c r="F16778">
        <v>0.94</v>
      </c>
      <c r="G16778">
        <v>0.96</v>
      </c>
      <c r="H16778" s="1" t="str">
        <f>HYPERLINK("http://www.weizmann.ac.il/complex/compphys/software/geview/data/figures/209664_x_at.png","Figure")</f>
        <v>Figure</v>
      </c>
      <c r="I16778">
        <v>1.02</v>
      </c>
      <c r="J16778">
        <v>0.94</v>
      </c>
      <c r="K16778">
        <v>1.01</v>
      </c>
      <c r="L16778">
        <v>0.96</v>
      </c>
      <c r="M16778">
        <v>0.99399999999999999</v>
      </c>
      <c r="N16778">
        <v>0.99</v>
      </c>
    </row>
    <row r="16779" spans="1:14" x14ac:dyDescent="0.25">
      <c r="A16779" t="s">
        <v>28059</v>
      </c>
      <c r="B16779" t="s">
        <v>28060</v>
      </c>
      <c r="C16779" s="1" t="str">
        <f>HYPERLINK("http://www.genecards.org/cgi-bin/carddisp.pl?gene=PCOTH","GeneCards")</f>
        <v>GeneCards</v>
      </c>
      <c r="D16779" s="1" t="str">
        <f>HYPERLINK("http://genome-euro.ucsc.edu/cgi-bin/hgTracks?position=222277_at","UCSC")</f>
        <v>UCSC</v>
      </c>
      <c r="E16779" s="1" t="str">
        <f>HYPERLINK("http://www.ncbi.nlm.nih.gov/gene/?term=PCOTH","NCBI")</f>
        <v>NCBI</v>
      </c>
      <c r="F16779">
        <v>0.94</v>
      </c>
      <c r="G16779">
        <v>0.96</v>
      </c>
      <c r="H16779" s="1" t="str">
        <f>HYPERLINK("http://www.weizmann.ac.il/complex/compphys/software/geview/data/figures/222277_at.png","Figure")</f>
        <v>Figure</v>
      </c>
      <c r="I16779">
        <v>0.995</v>
      </c>
      <c r="J16779">
        <v>1</v>
      </c>
      <c r="K16779">
        <v>1.02</v>
      </c>
      <c r="L16779">
        <v>0.96</v>
      </c>
      <c r="M16779">
        <v>1.02</v>
      </c>
      <c r="N16779">
        <v>0.95</v>
      </c>
    </row>
    <row r="16780" spans="1:14" x14ac:dyDescent="0.25">
      <c r="A16780" t="s">
        <v>28061</v>
      </c>
      <c r="B16780" t="s">
        <v>28062</v>
      </c>
      <c r="C16780" s="1" t="str">
        <f>HYPERLINK("http://www.genecards.org/cgi-bin/carddisp.pl?gene=CBR1","GeneCards")</f>
        <v>GeneCards</v>
      </c>
      <c r="D16780" s="1" t="str">
        <f>HYPERLINK("http://genome-euro.ucsc.edu/cgi-bin/hgTracks?position=209213_at","UCSC")</f>
        <v>UCSC</v>
      </c>
      <c r="E16780" s="1" t="str">
        <f>HYPERLINK("http://www.ncbi.nlm.nih.gov/gene/?term=CBR1","NCBI")</f>
        <v>NCBI</v>
      </c>
      <c r="F16780">
        <v>0.94</v>
      </c>
      <c r="G16780">
        <v>0.96</v>
      </c>
      <c r="H16780" s="1" t="str">
        <f>HYPERLINK("http://www.weizmann.ac.il/complex/compphys/software/geview/data/figures/209213_at.png","Figure")</f>
        <v>Figure</v>
      </c>
      <c r="I16780">
        <v>1</v>
      </c>
      <c r="J16780">
        <v>1</v>
      </c>
      <c r="K16780">
        <v>1.02</v>
      </c>
      <c r="L16780">
        <v>0.95</v>
      </c>
      <c r="M16780">
        <v>1.02</v>
      </c>
      <c r="N16780">
        <v>0.96</v>
      </c>
    </row>
    <row r="16781" spans="1:14" x14ac:dyDescent="0.25">
      <c r="A16781" t="s">
        <v>28063</v>
      </c>
      <c r="B16781" t="s">
        <v>28064</v>
      </c>
      <c r="C16781" s="1" t="str">
        <f>HYPERLINK("http://www.genecards.org/cgi-bin/carddisp.pl?gene=ADORA2A /// CYTSA","GeneCards")</f>
        <v>GeneCards</v>
      </c>
      <c r="D16781" s="1" t="str">
        <f>HYPERLINK("http://genome-euro.ucsc.edu/cgi-bin/hgTracks?position=205013_s_at","UCSC")</f>
        <v>UCSC</v>
      </c>
      <c r="E16781" s="1" t="str">
        <f>HYPERLINK("http://www.ncbi.nlm.nih.gov/gene/?term=ADORA2A /// CYTSA","NCBI")</f>
        <v>NCBI</v>
      </c>
      <c r="F16781">
        <v>0.94</v>
      </c>
      <c r="G16781">
        <v>0.96</v>
      </c>
      <c r="H16781" s="1" t="str">
        <f>HYPERLINK("http://www.weizmann.ac.il/complex/compphys/software/geview/data/figures/205013_s_at.png","Figure")</f>
        <v>Figure</v>
      </c>
      <c r="I16781">
        <v>1.02</v>
      </c>
      <c r="J16781">
        <v>0.97</v>
      </c>
      <c r="K16781">
        <v>1.03</v>
      </c>
      <c r="L16781">
        <v>0.94</v>
      </c>
      <c r="M16781">
        <v>1.01</v>
      </c>
      <c r="N16781">
        <v>1</v>
      </c>
    </row>
    <row r="16782" spans="1:14" x14ac:dyDescent="0.25">
      <c r="A16782" t="s">
        <v>28065</v>
      </c>
      <c r="B16782" t="s">
        <v>4996</v>
      </c>
      <c r="C16782" s="1" t="str">
        <f>HYPERLINK("http://www.genecards.org/cgi-bin/carddisp.pl?gene=APLP2","GeneCards")</f>
        <v>GeneCards</v>
      </c>
      <c r="D16782" s="1" t="str">
        <f>HYPERLINK("http://genome-euro.ucsc.edu/cgi-bin/hgTracks?position=208702_x_at","UCSC")</f>
        <v>UCSC</v>
      </c>
      <c r="E16782" s="1" t="str">
        <f>HYPERLINK("http://www.ncbi.nlm.nih.gov/gene/?term=APLP2","NCBI")</f>
        <v>NCBI</v>
      </c>
      <c r="F16782">
        <v>0.94</v>
      </c>
      <c r="G16782">
        <v>0.96</v>
      </c>
      <c r="H16782" s="1" t="str">
        <f>HYPERLINK("http://www.weizmann.ac.il/complex/compphys/software/geview/data/figures/208702_x_at.png","Figure")</f>
        <v>Figure</v>
      </c>
      <c r="I16782">
        <v>0.94799999999999995</v>
      </c>
      <c r="J16782">
        <v>0.95</v>
      </c>
      <c r="K16782">
        <v>0.96</v>
      </c>
      <c r="L16782">
        <v>0.96</v>
      </c>
      <c r="M16782">
        <v>1.01</v>
      </c>
      <c r="N16782">
        <v>1</v>
      </c>
    </row>
    <row r="16783" spans="1:14" x14ac:dyDescent="0.25">
      <c r="A16783" t="s">
        <v>28066</v>
      </c>
      <c r="B16783" t="s">
        <v>28067</v>
      </c>
      <c r="C16783" s="1" t="str">
        <f>HYPERLINK("http://www.genecards.org/cgi-bin/carddisp.pl?gene=GPRC5C","GeneCards")</f>
        <v>GeneCards</v>
      </c>
      <c r="D16783" s="1" t="str">
        <f>HYPERLINK("http://genome-euro.ucsc.edu/cgi-bin/hgTracks?position=219327_s_at","UCSC")</f>
        <v>UCSC</v>
      </c>
      <c r="E16783" s="1" t="str">
        <f>HYPERLINK("http://www.ncbi.nlm.nih.gov/gene/?term=GPRC5C","NCBI")</f>
        <v>NCBI</v>
      </c>
      <c r="F16783">
        <v>0.94</v>
      </c>
      <c r="G16783">
        <v>0.96</v>
      </c>
      <c r="H16783" s="1" t="str">
        <f>HYPERLINK("http://www.weizmann.ac.il/complex/compphys/software/geview/data/figures/219327_s_at.png","Figure")</f>
        <v>Figure</v>
      </c>
      <c r="I16783">
        <v>0.97699999999999998</v>
      </c>
      <c r="J16783">
        <v>0.96</v>
      </c>
      <c r="K16783">
        <v>0.97599999999999998</v>
      </c>
      <c r="L16783">
        <v>0.95</v>
      </c>
      <c r="M16783">
        <v>0.999</v>
      </c>
      <c r="N16783">
        <v>1</v>
      </c>
    </row>
    <row r="16784" spans="1:14" x14ac:dyDescent="0.25">
      <c r="A16784" t="s">
        <v>28068</v>
      </c>
      <c r="B16784" t="s">
        <v>28069</v>
      </c>
      <c r="C16784" s="1" t="str">
        <f>HYPERLINK("http://www.genecards.org/cgi-bin/carddisp.pl?gene=TRIM37","GeneCards")</f>
        <v>GeneCards</v>
      </c>
      <c r="D16784" s="1" t="str">
        <f>HYPERLINK("http://genome-euro.ucsc.edu/cgi-bin/hgTracks?position=213009_s_at","UCSC")</f>
        <v>UCSC</v>
      </c>
      <c r="E16784" s="1" t="str">
        <f>HYPERLINK("http://www.ncbi.nlm.nih.gov/gene/?term=TRIM37","NCBI")</f>
        <v>NCBI</v>
      </c>
      <c r="F16784">
        <v>0.94</v>
      </c>
      <c r="G16784">
        <v>0.96</v>
      </c>
      <c r="H16784" s="1" t="str">
        <f>HYPERLINK("http://www.weizmann.ac.il/complex/compphys/software/geview/data/figures/213009_s_at.png","Figure")</f>
        <v>Figure</v>
      </c>
      <c r="I16784">
        <v>0.96799999999999997</v>
      </c>
      <c r="J16784">
        <v>0.97</v>
      </c>
      <c r="K16784">
        <v>1.02</v>
      </c>
      <c r="L16784">
        <v>0.99</v>
      </c>
      <c r="M16784">
        <v>1.05</v>
      </c>
      <c r="N16784">
        <v>0.94</v>
      </c>
    </row>
    <row r="16785" spans="1:14" x14ac:dyDescent="0.25">
      <c r="A16785" t="s">
        <v>28070</v>
      </c>
      <c r="B16785" t="s">
        <v>20085</v>
      </c>
      <c r="C16785" s="1" t="str">
        <f>HYPERLINK("http://www.genecards.org/cgi-bin/carddisp.pl?gene=CD24","GeneCards")</f>
        <v>GeneCards</v>
      </c>
      <c r="D16785" s="1" t="str">
        <f>HYPERLINK("http://genome-euro.ucsc.edu/cgi-bin/hgTracks?position=209771_x_at","UCSC")</f>
        <v>UCSC</v>
      </c>
      <c r="E16785" s="1" t="str">
        <f>HYPERLINK("http://www.ncbi.nlm.nih.gov/gene/?term=CD24","NCBI")</f>
        <v>NCBI</v>
      </c>
      <c r="F16785">
        <v>0.94</v>
      </c>
      <c r="G16785">
        <v>0.96</v>
      </c>
      <c r="H16785" s="1" t="str">
        <f>HYPERLINK("http://www.weizmann.ac.il/complex/compphys/software/geview/data/figures/209771_x_at.png","Figure")</f>
        <v>Figure</v>
      </c>
      <c r="I16785">
        <v>1.01</v>
      </c>
      <c r="J16785">
        <v>1</v>
      </c>
      <c r="K16785">
        <v>1.0900000000000001</v>
      </c>
      <c r="L16785">
        <v>0.95</v>
      </c>
      <c r="M16785">
        <v>1.08</v>
      </c>
      <c r="N16785">
        <v>0.97</v>
      </c>
    </row>
    <row r="16786" spans="1:14" x14ac:dyDescent="0.25">
      <c r="A16786" t="s">
        <v>28071</v>
      </c>
      <c r="B16786" t="s">
        <v>16130</v>
      </c>
      <c r="C16786" s="1" t="str">
        <f>HYPERLINK("http://www.genecards.org/cgi-bin/carddisp.pl?gene=HSPA6","GeneCards")</f>
        <v>GeneCards</v>
      </c>
      <c r="D16786" s="1" t="str">
        <f>HYPERLINK("http://genome-euro.ucsc.edu/cgi-bin/hgTracks?position=213418_at","UCSC")</f>
        <v>UCSC</v>
      </c>
      <c r="E16786" s="1" t="str">
        <f>HYPERLINK("http://www.ncbi.nlm.nih.gov/gene/?term=HSPA6","NCBI")</f>
        <v>NCBI</v>
      </c>
      <c r="F16786">
        <v>0.94</v>
      </c>
      <c r="G16786">
        <v>0.96</v>
      </c>
      <c r="H16786" s="1" t="str">
        <f>HYPERLINK("http://www.weizmann.ac.il/complex/compphys/software/geview/data/figures/213418_at.png","Figure")</f>
        <v>Figure</v>
      </c>
      <c r="I16786">
        <v>0.97299999999999998</v>
      </c>
      <c r="J16786">
        <v>0.97</v>
      </c>
      <c r="K16786">
        <v>0.96399999999999997</v>
      </c>
      <c r="L16786">
        <v>0.94</v>
      </c>
      <c r="M16786">
        <v>0.99099999999999999</v>
      </c>
      <c r="N16786">
        <v>1</v>
      </c>
    </row>
    <row r="16787" spans="1:14" x14ac:dyDescent="0.25">
      <c r="A16787" t="s">
        <v>28072</v>
      </c>
      <c r="B16787" t="s">
        <v>18919</v>
      </c>
      <c r="C16787" s="1" t="str">
        <f>HYPERLINK("http://www.genecards.org/cgi-bin/carddisp.pl?gene=LUZP1","GeneCards")</f>
        <v>GeneCards</v>
      </c>
      <c r="D16787" s="1" t="str">
        <f>HYPERLINK("http://genome-euro.ucsc.edu/cgi-bin/hgTracks?position=221831_at","UCSC")</f>
        <v>UCSC</v>
      </c>
      <c r="E16787" s="1" t="str">
        <f>HYPERLINK("http://www.ncbi.nlm.nih.gov/gene/?term=LUZP1","NCBI")</f>
        <v>NCBI</v>
      </c>
      <c r="F16787">
        <v>0.94</v>
      </c>
      <c r="G16787">
        <v>0.96</v>
      </c>
      <c r="H16787" s="1" t="str">
        <f>HYPERLINK("http://www.weizmann.ac.il/complex/compphys/software/geview/data/figures/221831_at.png","Figure")</f>
        <v>Figure</v>
      </c>
      <c r="I16787">
        <v>1.03</v>
      </c>
      <c r="J16787">
        <v>0.98</v>
      </c>
      <c r="K16787">
        <v>0.98</v>
      </c>
      <c r="L16787">
        <v>0.99</v>
      </c>
      <c r="M16787">
        <v>0.95299999999999996</v>
      </c>
      <c r="N16787">
        <v>0.94</v>
      </c>
    </row>
    <row r="16788" spans="1:14" x14ac:dyDescent="0.25">
      <c r="A16788" t="s">
        <v>28073</v>
      </c>
      <c r="B16788" t="s">
        <v>28074</v>
      </c>
      <c r="C16788" s="1" t="str">
        <f>HYPERLINK("http://www.genecards.org/cgi-bin/carddisp.pl?gene=ZFP36","GeneCards")</f>
        <v>GeneCards</v>
      </c>
      <c r="D16788" s="1" t="str">
        <f>HYPERLINK("http://genome-euro.ucsc.edu/cgi-bin/hgTracks?position=201531_at","UCSC")</f>
        <v>UCSC</v>
      </c>
      <c r="E16788" s="1" t="str">
        <f>HYPERLINK("http://www.ncbi.nlm.nih.gov/gene/?term=ZFP36","NCBI")</f>
        <v>NCBI</v>
      </c>
      <c r="F16788">
        <v>0.94</v>
      </c>
      <c r="G16788">
        <v>0.96</v>
      </c>
      <c r="H16788" s="1" t="str">
        <f>HYPERLINK("http://www.weizmann.ac.il/complex/compphys/software/geview/data/figures/201531_at.png","Figure")</f>
        <v>Figure</v>
      </c>
      <c r="I16788">
        <v>0.91900000000000004</v>
      </c>
      <c r="J16788">
        <v>0.94</v>
      </c>
      <c r="K16788">
        <v>0.97799999999999998</v>
      </c>
      <c r="L16788">
        <v>0.99</v>
      </c>
      <c r="M16788">
        <v>1.06</v>
      </c>
      <c r="N16788">
        <v>0.96</v>
      </c>
    </row>
    <row r="16789" spans="1:14" x14ac:dyDescent="0.25">
      <c r="A16789" t="s">
        <v>28075</v>
      </c>
      <c r="B16789" t="s">
        <v>28076</v>
      </c>
      <c r="C16789" s="1" t="str">
        <f>HYPERLINK("http://www.genecards.org/cgi-bin/carddisp.pl?gene=PARP3","GeneCards")</f>
        <v>GeneCards</v>
      </c>
      <c r="D16789" s="1" t="str">
        <f>HYPERLINK("http://genome-euro.ucsc.edu/cgi-bin/hgTracks?position=209940_at","UCSC")</f>
        <v>UCSC</v>
      </c>
      <c r="E16789" s="1" t="str">
        <f>HYPERLINK("http://www.ncbi.nlm.nih.gov/gene/?term=PARP3","NCBI")</f>
        <v>NCBI</v>
      </c>
      <c r="F16789">
        <v>0.94</v>
      </c>
      <c r="G16789">
        <v>0.96</v>
      </c>
      <c r="H16789" s="1" t="str">
        <f>HYPERLINK("http://www.weizmann.ac.il/complex/compphys/software/geview/data/figures/209940_at.png","Figure")</f>
        <v>Figure</v>
      </c>
      <c r="I16789">
        <v>1.01</v>
      </c>
      <c r="J16789">
        <v>1</v>
      </c>
      <c r="K16789">
        <v>0.98</v>
      </c>
      <c r="L16789">
        <v>0.97</v>
      </c>
      <c r="M16789">
        <v>0.97</v>
      </c>
      <c r="N16789">
        <v>0.95</v>
      </c>
    </row>
    <row r="16790" spans="1:14" x14ac:dyDescent="0.25">
      <c r="A16790" t="s">
        <v>28077</v>
      </c>
      <c r="B16790" t="s">
        <v>28078</v>
      </c>
      <c r="C16790" s="1" t="str">
        <f>HYPERLINK("http://www.genecards.org/cgi-bin/carddisp.pl?gene=SUMO2 /// SUMO4","GeneCards")</f>
        <v>GeneCards</v>
      </c>
      <c r="D16790" s="1" t="str">
        <f>HYPERLINK("http://genome-euro.ucsc.edu/cgi-bin/hgTracks?position=215452_x_at","UCSC")</f>
        <v>UCSC</v>
      </c>
      <c r="E16790" s="1" t="str">
        <f>HYPERLINK("http://www.ncbi.nlm.nih.gov/gene/?term=SUMO2 /// SUMO4","NCBI")</f>
        <v>NCBI</v>
      </c>
      <c r="F16790">
        <v>0.95</v>
      </c>
      <c r="G16790">
        <v>0.96</v>
      </c>
      <c r="H16790" s="1" t="str">
        <f>HYPERLINK("http://www.weizmann.ac.il/complex/compphys/software/geview/data/figures/215452_x_at.png","Figure")</f>
        <v>Figure</v>
      </c>
      <c r="I16790">
        <v>0.98399999999999999</v>
      </c>
      <c r="J16790">
        <v>0.99</v>
      </c>
      <c r="K16790">
        <v>0.96099999999999997</v>
      </c>
      <c r="L16790">
        <v>0.94</v>
      </c>
      <c r="M16790">
        <v>0.97699999999999998</v>
      </c>
      <c r="N16790">
        <v>0.98</v>
      </c>
    </row>
    <row r="16791" spans="1:14" x14ac:dyDescent="0.25">
      <c r="A16791" t="s">
        <v>28079</v>
      </c>
      <c r="B16791" t="s">
        <v>28080</v>
      </c>
      <c r="C16791" s="1" t="str">
        <f>HYPERLINK("http://www.genecards.org/cgi-bin/carddisp.pl?gene=SNAP29","GeneCards")</f>
        <v>GeneCards</v>
      </c>
      <c r="D16791" s="1" t="str">
        <f>HYPERLINK("http://genome-euro.ucsc.edu/cgi-bin/hgTracks?position=218327_s_at","UCSC")</f>
        <v>UCSC</v>
      </c>
      <c r="E16791" s="1" t="str">
        <f>HYPERLINK("http://www.ncbi.nlm.nih.gov/gene/?term=SNAP29","NCBI")</f>
        <v>NCBI</v>
      </c>
      <c r="F16791">
        <v>0.95</v>
      </c>
      <c r="G16791">
        <v>0.96</v>
      </c>
      <c r="H16791" s="1" t="str">
        <f>HYPERLINK("http://www.weizmann.ac.il/complex/compphys/software/geview/data/figures/218327_s_at.png","Figure")</f>
        <v>Figure</v>
      </c>
      <c r="I16791">
        <v>0.995</v>
      </c>
      <c r="J16791">
        <v>1</v>
      </c>
      <c r="K16791">
        <v>1.03</v>
      </c>
      <c r="L16791">
        <v>0.96</v>
      </c>
      <c r="M16791">
        <v>1.03</v>
      </c>
      <c r="N16791">
        <v>0.95</v>
      </c>
    </row>
    <row r="16792" spans="1:14" x14ac:dyDescent="0.25">
      <c r="A16792" t="s">
        <v>28081</v>
      </c>
      <c r="B16792" t="s">
        <v>28082</v>
      </c>
      <c r="C16792" s="1" t="str">
        <f>HYPERLINK("http://www.genecards.org/cgi-bin/carddisp.pl?gene=SLMO1","GeneCards")</f>
        <v>GeneCards</v>
      </c>
      <c r="D16792" s="1" t="str">
        <f>HYPERLINK("http://genome-euro.ucsc.edu/cgi-bin/hgTracks?position=206273_at","UCSC")</f>
        <v>UCSC</v>
      </c>
      <c r="E16792" s="1" t="str">
        <f>HYPERLINK("http://www.ncbi.nlm.nih.gov/gene/?term=SLMO1","NCBI")</f>
        <v>NCBI</v>
      </c>
      <c r="F16792">
        <v>0.95</v>
      </c>
      <c r="G16792">
        <v>0.96</v>
      </c>
      <c r="H16792" s="1" t="str">
        <f>HYPERLINK("http://www.weizmann.ac.il/complex/compphys/software/geview/data/figures/206273_at.png","Figure")</f>
        <v>Figure</v>
      </c>
      <c r="I16792">
        <v>0.96399999999999997</v>
      </c>
      <c r="J16792">
        <v>0.96</v>
      </c>
      <c r="K16792">
        <v>1.01</v>
      </c>
      <c r="L16792">
        <v>1</v>
      </c>
      <c r="M16792">
        <v>1.04</v>
      </c>
      <c r="N16792">
        <v>0.94</v>
      </c>
    </row>
    <row r="16793" spans="1:14" x14ac:dyDescent="0.25">
      <c r="A16793" t="s">
        <v>28083</v>
      </c>
      <c r="B16793" t="s">
        <v>28084</v>
      </c>
      <c r="C16793" s="1" t="str">
        <f>HYPERLINK("http://www.genecards.org/cgi-bin/carddisp.pl?gene=PLA2G16","GeneCards")</f>
        <v>GeneCards</v>
      </c>
      <c r="D16793" s="1" t="str">
        <f>HYPERLINK("http://genome-euro.ucsc.edu/cgi-bin/hgTracks?position=209581_at","UCSC")</f>
        <v>UCSC</v>
      </c>
      <c r="E16793" s="1" t="str">
        <f>HYPERLINK("http://www.ncbi.nlm.nih.gov/gene/?term=PLA2G16","NCBI")</f>
        <v>NCBI</v>
      </c>
      <c r="F16793">
        <v>0.95</v>
      </c>
      <c r="G16793">
        <v>0.96</v>
      </c>
      <c r="H16793" s="1" t="str">
        <f>HYPERLINK("http://www.weizmann.ac.il/complex/compphys/software/geview/data/figures/209581_at.png","Figure")</f>
        <v>Figure</v>
      </c>
      <c r="I16793">
        <v>0.98199999999999998</v>
      </c>
      <c r="J16793">
        <v>0.95</v>
      </c>
      <c r="K16793">
        <v>0.98799999999999999</v>
      </c>
      <c r="L16793">
        <v>0.97</v>
      </c>
      <c r="M16793">
        <v>1.01</v>
      </c>
      <c r="N16793">
        <v>0.99</v>
      </c>
    </row>
    <row r="16794" spans="1:14" x14ac:dyDescent="0.25">
      <c r="A16794" t="s">
        <v>28085</v>
      </c>
      <c r="B16794" t="s">
        <v>26861</v>
      </c>
      <c r="C16794" s="1" t="str">
        <f>HYPERLINK("http://www.genecards.org/cgi-bin/carddisp.pl?gene=NASP","GeneCards")</f>
        <v>GeneCards</v>
      </c>
      <c r="D16794" s="1" t="str">
        <f>HYPERLINK("http://genome-euro.ucsc.edu/cgi-bin/hgTracks?position=201969_at","UCSC")</f>
        <v>UCSC</v>
      </c>
      <c r="E16794" s="1" t="str">
        <f>HYPERLINK("http://www.ncbi.nlm.nih.gov/gene/?term=NASP","NCBI")</f>
        <v>NCBI</v>
      </c>
      <c r="F16794">
        <v>0.95</v>
      </c>
      <c r="G16794">
        <v>0.96</v>
      </c>
      <c r="H16794" s="1" t="str">
        <f>HYPERLINK("http://www.weizmann.ac.il/complex/compphys/software/geview/data/figures/201969_at.png","Figure")</f>
        <v>Figure</v>
      </c>
      <c r="I16794">
        <v>1.01</v>
      </c>
      <c r="J16794">
        <v>1</v>
      </c>
      <c r="K16794">
        <v>0.95099999999999996</v>
      </c>
      <c r="L16794">
        <v>0.96</v>
      </c>
      <c r="M16794">
        <v>0.94199999999999995</v>
      </c>
      <c r="N16794">
        <v>0.95</v>
      </c>
    </row>
    <row r="16795" spans="1:14" x14ac:dyDescent="0.25">
      <c r="A16795" t="s">
        <v>28086</v>
      </c>
      <c r="B16795" t="s">
        <v>28087</v>
      </c>
      <c r="C16795" s="1" t="str">
        <f>HYPERLINK("http://www.genecards.org/cgi-bin/carddisp.pl?gene=MCOLN1","GeneCards")</f>
        <v>GeneCards</v>
      </c>
      <c r="D16795" s="1" t="str">
        <f>HYPERLINK("http://genome-euro.ucsc.edu/cgi-bin/hgTracks?position=219952_s_at","UCSC")</f>
        <v>UCSC</v>
      </c>
      <c r="E16795" s="1" t="str">
        <f>HYPERLINK("http://www.ncbi.nlm.nih.gov/gene/?term=MCOLN1","NCBI")</f>
        <v>NCBI</v>
      </c>
      <c r="F16795">
        <v>0.95</v>
      </c>
      <c r="G16795">
        <v>0.96</v>
      </c>
      <c r="H16795" s="1" t="str">
        <f>HYPERLINK("http://www.weizmann.ac.il/complex/compphys/software/geview/data/figures/219952_s_at.png","Figure")</f>
        <v>Figure</v>
      </c>
      <c r="I16795">
        <v>1.02</v>
      </c>
      <c r="J16795">
        <v>0.94</v>
      </c>
      <c r="K16795">
        <v>1.01</v>
      </c>
      <c r="L16795">
        <v>0.98</v>
      </c>
      <c r="M16795">
        <v>0.98899999999999999</v>
      </c>
      <c r="N16795">
        <v>0.98</v>
      </c>
    </row>
    <row r="16796" spans="1:14" x14ac:dyDescent="0.25">
      <c r="A16796" t="s">
        <v>28088</v>
      </c>
      <c r="B16796" t="s">
        <v>28089</v>
      </c>
      <c r="C16796" s="1" t="str">
        <f>HYPERLINK("http://www.genecards.org/cgi-bin/carddisp.pl?gene=IL13","GeneCards")</f>
        <v>GeneCards</v>
      </c>
      <c r="D16796" s="1" t="str">
        <f>HYPERLINK("http://genome-euro.ucsc.edu/cgi-bin/hgTracks?position=207844_at","UCSC")</f>
        <v>UCSC</v>
      </c>
      <c r="E16796" s="1" t="str">
        <f>HYPERLINK("http://www.ncbi.nlm.nih.gov/gene/?term=IL13","NCBI")</f>
        <v>NCBI</v>
      </c>
      <c r="F16796">
        <v>0.95</v>
      </c>
      <c r="G16796">
        <v>0.96</v>
      </c>
      <c r="H16796" s="1" t="str">
        <f>HYPERLINK("http://www.weizmann.ac.il/complex/compphys/software/geview/data/figures/207844_at.png","Figure")</f>
        <v>Figure</v>
      </c>
      <c r="I16796">
        <v>0.97399999999999998</v>
      </c>
      <c r="J16796">
        <v>0.94</v>
      </c>
      <c r="K16796">
        <v>0.99099999999999999</v>
      </c>
      <c r="L16796">
        <v>0.99</v>
      </c>
      <c r="M16796">
        <v>1.02</v>
      </c>
      <c r="N16796">
        <v>0.97</v>
      </c>
    </row>
    <row r="16797" spans="1:14" x14ac:dyDescent="0.25">
      <c r="A16797" t="s">
        <v>28090</v>
      </c>
      <c r="B16797" t="s">
        <v>28091</v>
      </c>
      <c r="C16797" s="1" t="str">
        <f>HYPERLINK("http://www.genecards.org/cgi-bin/carddisp.pl?gene=C17orf85","GeneCards")</f>
        <v>GeneCards</v>
      </c>
      <c r="D16797" s="1" t="str">
        <f>HYPERLINK("http://genome-euro.ucsc.edu/cgi-bin/hgTracks?position=218896_s_at","UCSC")</f>
        <v>UCSC</v>
      </c>
      <c r="E16797" s="1" t="str">
        <f>HYPERLINK("http://www.ncbi.nlm.nih.gov/gene/?term=C17orf85","NCBI")</f>
        <v>NCBI</v>
      </c>
      <c r="F16797">
        <v>0.95</v>
      </c>
      <c r="G16797">
        <v>0.96</v>
      </c>
      <c r="H16797" s="1" t="str">
        <f>HYPERLINK("http://www.weizmann.ac.il/complex/compphys/software/geview/data/figures/218896_s_at.png","Figure")</f>
        <v>Figure</v>
      </c>
      <c r="I16797">
        <v>0.92200000000000004</v>
      </c>
      <c r="J16797">
        <v>0.95</v>
      </c>
      <c r="K16797">
        <v>0.98399999999999999</v>
      </c>
      <c r="L16797">
        <v>1</v>
      </c>
      <c r="M16797">
        <v>1.07</v>
      </c>
      <c r="N16797">
        <v>0.96</v>
      </c>
    </row>
    <row r="16798" spans="1:14" x14ac:dyDescent="0.25">
      <c r="A16798" t="s">
        <v>28092</v>
      </c>
      <c r="B16798" t="s">
        <v>9910</v>
      </c>
      <c r="C16798" s="1" t="str">
        <f>HYPERLINK("http://www.genecards.org/cgi-bin/carddisp.pl?gene=RBM25","GeneCards")</f>
        <v>GeneCards</v>
      </c>
      <c r="D16798" s="1" t="str">
        <f>HYPERLINK("http://genome-euro.ucsc.edu/cgi-bin/hgTracks?position=212028_at","UCSC")</f>
        <v>UCSC</v>
      </c>
      <c r="E16798" s="1" t="str">
        <f>HYPERLINK("http://www.ncbi.nlm.nih.gov/gene/?term=RBM25","NCBI")</f>
        <v>NCBI</v>
      </c>
      <c r="F16798">
        <v>0.95</v>
      </c>
      <c r="G16798">
        <v>0.96</v>
      </c>
      <c r="H16798" s="1" t="str">
        <f>HYPERLINK("http://www.weizmann.ac.il/complex/compphys/software/geview/data/figures/212028_at.png","Figure")</f>
        <v>Figure</v>
      </c>
      <c r="I16798">
        <v>1</v>
      </c>
      <c r="J16798">
        <v>1</v>
      </c>
      <c r="K16798">
        <v>0.97099999999999997</v>
      </c>
      <c r="L16798">
        <v>0.96</v>
      </c>
      <c r="M16798">
        <v>0.96699999999999997</v>
      </c>
      <c r="N16798">
        <v>0.96</v>
      </c>
    </row>
    <row r="16799" spans="1:14" x14ac:dyDescent="0.25">
      <c r="A16799" t="s">
        <v>28093</v>
      </c>
      <c r="B16799" t="s">
        <v>22956</v>
      </c>
      <c r="C16799" s="1" t="str">
        <f>HYPERLINK("http://www.genecards.org/cgi-bin/carddisp.pl?gene=RPS16","GeneCards")</f>
        <v>GeneCards</v>
      </c>
      <c r="D16799" s="1" t="str">
        <f>HYPERLINK("http://genome-euro.ucsc.edu/cgi-bin/hgTracks?position=213890_x_at","UCSC")</f>
        <v>UCSC</v>
      </c>
      <c r="E16799" s="1" t="str">
        <f>HYPERLINK("http://www.ncbi.nlm.nih.gov/gene/?term=RPS16","NCBI")</f>
        <v>NCBI</v>
      </c>
      <c r="F16799">
        <v>0.95</v>
      </c>
      <c r="G16799">
        <v>0.96</v>
      </c>
      <c r="H16799" s="1" t="str">
        <f>HYPERLINK("http://www.weizmann.ac.il/complex/compphys/software/geview/data/figures/213890_x_at.png","Figure")</f>
        <v>Figure</v>
      </c>
      <c r="I16799">
        <v>1.02</v>
      </c>
      <c r="J16799">
        <v>0.95</v>
      </c>
      <c r="K16799">
        <v>1.01</v>
      </c>
      <c r="L16799">
        <v>0.99</v>
      </c>
      <c r="M16799">
        <v>0.98499999999999999</v>
      </c>
      <c r="N16799">
        <v>0.97</v>
      </c>
    </row>
    <row r="16800" spans="1:14" x14ac:dyDescent="0.25">
      <c r="A16800" t="s">
        <v>28094</v>
      </c>
      <c r="B16800" t="s">
        <v>25663</v>
      </c>
      <c r="C16800" s="1" t="str">
        <f>HYPERLINK("http://www.genecards.org/cgi-bin/carddisp.pl?gene=BTG1","GeneCards")</f>
        <v>GeneCards</v>
      </c>
      <c r="D16800" s="1" t="str">
        <f>HYPERLINK("http://genome-euro.ucsc.edu/cgi-bin/hgTracks?position=200921_s_at","UCSC")</f>
        <v>UCSC</v>
      </c>
      <c r="E16800" s="1" t="str">
        <f>HYPERLINK("http://www.ncbi.nlm.nih.gov/gene/?term=BTG1","NCBI")</f>
        <v>NCBI</v>
      </c>
      <c r="F16800">
        <v>0.95</v>
      </c>
      <c r="G16800">
        <v>0.96</v>
      </c>
      <c r="H16800" s="1" t="str">
        <f>HYPERLINK("http://www.weizmann.ac.il/complex/compphys/software/geview/data/figures/200921_s_at.png","Figure")</f>
        <v>Figure</v>
      </c>
      <c r="I16800">
        <v>0.91</v>
      </c>
      <c r="J16800">
        <v>0.98</v>
      </c>
      <c r="K16800">
        <v>0.85299999999999998</v>
      </c>
      <c r="L16800">
        <v>0.94</v>
      </c>
      <c r="M16800">
        <v>0.93799999999999994</v>
      </c>
      <c r="N16800">
        <v>0.99</v>
      </c>
    </row>
    <row r="16801" spans="1:14" x14ac:dyDescent="0.25">
      <c r="A16801" t="s">
        <v>28095</v>
      </c>
      <c r="B16801" t="s">
        <v>28096</v>
      </c>
      <c r="C16801" s="1" t="str">
        <f>HYPERLINK("http://www.genecards.org/cgi-bin/carddisp.pl?gene=PHF20L1","GeneCards")</f>
        <v>GeneCards</v>
      </c>
      <c r="D16801" s="1" t="str">
        <f>HYPERLINK("http://genome-euro.ucsc.edu/cgi-bin/hgTracks?position=222133_s_at","UCSC")</f>
        <v>UCSC</v>
      </c>
      <c r="E16801" s="1" t="str">
        <f>HYPERLINK("http://www.ncbi.nlm.nih.gov/gene/?term=PHF20L1","NCBI")</f>
        <v>NCBI</v>
      </c>
      <c r="F16801">
        <v>0.95</v>
      </c>
      <c r="G16801">
        <v>0.96</v>
      </c>
      <c r="H16801" s="1" t="str">
        <f>HYPERLINK("http://www.weizmann.ac.il/complex/compphys/software/geview/data/figures/222133_s_at.png","Figure")</f>
        <v>Figure</v>
      </c>
      <c r="I16801">
        <v>0.97299999999999998</v>
      </c>
      <c r="J16801">
        <v>0.97</v>
      </c>
      <c r="K16801">
        <v>0.96899999999999997</v>
      </c>
      <c r="L16801">
        <v>0.95</v>
      </c>
      <c r="M16801">
        <v>0.996</v>
      </c>
      <c r="N16801">
        <v>1</v>
      </c>
    </row>
    <row r="16802" spans="1:14" x14ac:dyDescent="0.25">
      <c r="A16802" t="s">
        <v>28097</v>
      </c>
      <c r="B16802" t="s">
        <v>11956</v>
      </c>
      <c r="C16802" s="1" t="str">
        <f>HYPERLINK("http://www.genecards.org/cgi-bin/carddisp.pl?gene=PDGFB","GeneCards")</f>
        <v>GeneCards</v>
      </c>
      <c r="D16802" s="1" t="str">
        <f>HYPERLINK("http://genome-euro.ucsc.edu/cgi-bin/hgTracks?position=216055_at","UCSC")</f>
        <v>UCSC</v>
      </c>
      <c r="E16802" s="1" t="str">
        <f>HYPERLINK("http://www.ncbi.nlm.nih.gov/gene/?term=PDGFB","NCBI")</f>
        <v>NCBI</v>
      </c>
      <c r="F16802">
        <v>0.95</v>
      </c>
      <c r="G16802">
        <v>0.96</v>
      </c>
      <c r="H16802" s="1" t="str">
        <f>HYPERLINK("http://www.weizmann.ac.il/complex/compphys/software/geview/data/figures/216055_at.png","Figure")</f>
        <v>Figure</v>
      </c>
      <c r="I16802">
        <v>1.01</v>
      </c>
      <c r="J16802">
        <v>0.98</v>
      </c>
      <c r="K16802">
        <v>0.996</v>
      </c>
      <c r="L16802">
        <v>0.99</v>
      </c>
      <c r="M16802">
        <v>0.98899999999999999</v>
      </c>
      <c r="N16802">
        <v>0.94</v>
      </c>
    </row>
    <row r="16803" spans="1:14" x14ac:dyDescent="0.25">
      <c r="A16803" t="s">
        <v>28098</v>
      </c>
      <c r="B16803" t="s">
        <v>28099</v>
      </c>
      <c r="C16803" s="1" t="str">
        <f>HYPERLINK("http://www.genecards.org/cgi-bin/carddisp.pl?gene=BTBD2","GeneCards")</f>
        <v>GeneCards</v>
      </c>
      <c r="D16803" s="1" t="str">
        <f>HYPERLINK("http://genome-euro.ucsc.edu/cgi-bin/hgTracks?position=207722_s_at","UCSC")</f>
        <v>UCSC</v>
      </c>
      <c r="E16803" s="1" t="str">
        <f>HYPERLINK("http://www.ncbi.nlm.nih.gov/gene/?term=BTBD2","NCBI")</f>
        <v>NCBI</v>
      </c>
      <c r="F16803">
        <v>0.95</v>
      </c>
      <c r="G16803">
        <v>0.96</v>
      </c>
      <c r="H16803" s="1" t="str">
        <f>HYPERLINK("http://www.weizmann.ac.il/complex/compphys/software/geview/data/figures/207722_s_at.png","Figure")</f>
        <v>Figure</v>
      </c>
      <c r="I16803">
        <v>1.04</v>
      </c>
      <c r="J16803">
        <v>0.96</v>
      </c>
      <c r="K16803">
        <v>1.03</v>
      </c>
      <c r="L16803">
        <v>0.95</v>
      </c>
      <c r="M16803">
        <v>0.998</v>
      </c>
      <c r="N16803">
        <v>1</v>
      </c>
    </row>
    <row r="16804" spans="1:14" x14ac:dyDescent="0.25">
      <c r="A16804" t="s">
        <v>28100</v>
      </c>
      <c r="B16804" t="s">
        <v>4046</v>
      </c>
      <c r="C16804" s="1" t="str">
        <f>HYPERLINK("http://www.genecards.org/cgi-bin/carddisp.pl?gene=NUP98","GeneCards")</f>
        <v>GeneCards</v>
      </c>
      <c r="D16804" s="1" t="str">
        <f>HYPERLINK("http://genome-euro.ucsc.edu/cgi-bin/hgTracks?position=203195_s_at","UCSC")</f>
        <v>UCSC</v>
      </c>
      <c r="E16804" s="1" t="str">
        <f>HYPERLINK("http://www.ncbi.nlm.nih.gov/gene/?term=NUP98","NCBI")</f>
        <v>NCBI</v>
      </c>
      <c r="F16804">
        <v>0.95</v>
      </c>
      <c r="G16804">
        <v>0.96</v>
      </c>
      <c r="H16804" s="1" t="str">
        <f>HYPERLINK("http://www.weizmann.ac.il/complex/compphys/software/geview/data/figures/203195_s_at.png","Figure")</f>
        <v>Figure</v>
      </c>
      <c r="I16804">
        <v>0.94</v>
      </c>
      <c r="J16804">
        <v>0.97</v>
      </c>
      <c r="K16804">
        <v>1.01</v>
      </c>
      <c r="L16804">
        <v>1</v>
      </c>
      <c r="M16804">
        <v>1.07</v>
      </c>
      <c r="N16804">
        <v>0.95</v>
      </c>
    </row>
    <row r="16805" spans="1:14" x14ac:dyDescent="0.25">
      <c r="A16805" t="s">
        <v>28101</v>
      </c>
      <c r="B16805" t="s">
        <v>17333</v>
      </c>
      <c r="C16805" s="1" t="str">
        <f>HYPERLINK("http://www.genecards.org/cgi-bin/carddisp.pl?gene=CRKL","GeneCards")</f>
        <v>GeneCards</v>
      </c>
      <c r="D16805" s="1" t="str">
        <f>HYPERLINK("http://genome-euro.ucsc.edu/cgi-bin/hgTracks?position=206184_at","UCSC")</f>
        <v>UCSC</v>
      </c>
      <c r="E16805" s="1" t="str">
        <f>HYPERLINK("http://www.ncbi.nlm.nih.gov/gene/?term=CRKL","NCBI")</f>
        <v>NCBI</v>
      </c>
      <c r="F16805">
        <v>0.95</v>
      </c>
      <c r="G16805">
        <v>0.96</v>
      </c>
      <c r="H16805" s="1" t="str">
        <f>HYPERLINK("http://www.weizmann.ac.il/complex/compphys/software/geview/data/figures/206184_at.png","Figure")</f>
        <v>Figure</v>
      </c>
      <c r="I16805">
        <v>1.01</v>
      </c>
      <c r="J16805">
        <v>0.98</v>
      </c>
      <c r="K16805">
        <v>0.98899999999999999</v>
      </c>
      <c r="L16805">
        <v>0.99</v>
      </c>
      <c r="M16805">
        <v>0.97499999999999998</v>
      </c>
      <c r="N16805">
        <v>0.94</v>
      </c>
    </row>
    <row r="16806" spans="1:14" x14ac:dyDescent="0.25">
      <c r="A16806" t="s">
        <v>28102</v>
      </c>
      <c r="B16806" t="s">
        <v>28030</v>
      </c>
      <c r="C16806" s="1" t="str">
        <f>HYPERLINK("http://www.genecards.org/cgi-bin/carddisp.pl?gene=KCTD13","GeneCards")</f>
        <v>GeneCards</v>
      </c>
      <c r="D16806" s="1" t="str">
        <f>HYPERLINK("http://genome-euro.ucsc.edu/cgi-bin/hgTracks?position=45653_at","UCSC")</f>
        <v>UCSC</v>
      </c>
      <c r="E16806" s="1" t="str">
        <f>HYPERLINK("http://www.ncbi.nlm.nih.gov/gene/?term=KCTD13","NCBI")</f>
        <v>NCBI</v>
      </c>
      <c r="F16806">
        <v>0.95</v>
      </c>
      <c r="G16806">
        <v>0.96</v>
      </c>
      <c r="H16806" s="1" t="str">
        <f>HYPERLINK("http://www.weizmann.ac.il/complex/compphys/software/geview/data/figures/45653_at.png","Figure")</f>
        <v>Figure</v>
      </c>
      <c r="I16806">
        <v>0.999</v>
      </c>
      <c r="J16806">
        <v>1</v>
      </c>
      <c r="K16806">
        <v>1.03</v>
      </c>
      <c r="L16806">
        <v>0.96</v>
      </c>
      <c r="M16806">
        <v>1.03</v>
      </c>
      <c r="N16806">
        <v>0.96</v>
      </c>
    </row>
    <row r="16807" spans="1:14" x14ac:dyDescent="0.25">
      <c r="A16807" t="s">
        <v>28103</v>
      </c>
      <c r="B16807" t="s">
        <v>28104</v>
      </c>
      <c r="C16807" s="1" t="str">
        <f>HYPERLINK("http://www.genecards.org/cgi-bin/carddisp.pl?gene=AES","GeneCards")</f>
        <v>GeneCards</v>
      </c>
      <c r="D16807" s="1" t="str">
        <f>HYPERLINK("http://genome-euro.ucsc.edu/cgi-bin/hgTracks?position=217729_s_at","UCSC")</f>
        <v>UCSC</v>
      </c>
      <c r="E16807" s="1" t="str">
        <f>HYPERLINK("http://www.ncbi.nlm.nih.gov/gene/?term=AES","NCBI")</f>
        <v>NCBI</v>
      </c>
      <c r="F16807">
        <v>0.95</v>
      </c>
      <c r="G16807">
        <v>0.96</v>
      </c>
      <c r="H16807" s="1" t="str">
        <f>HYPERLINK("http://www.weizmann.ac.il/complex/compphys/software/geview/data/figures/217729_s_at.png","Figure")</f>
        <v>Figure</v>
      </c>
      <c r="I16807">
        <v>1.04</v>
      </c>
      <c r="J16807">
        <v>0.96</v>
      </c>
      <c r="K16807">
        <v>1.03</v>
      </c>
      <c r="L16807">
        <v>0.96</v>
      </c>
      <c r="M16807">
        <v>0.996</v>
      </c>
      <c r="N16807">
        <v>1</v>
      </c>
    </row>
    <row r="16808" spans="1:14" x14ac:dyDescent="0.25">
      <c r="A16808" t="s">
        <v>28105</v>
      </c>
      <c r="B16808" t="s">
        <v>14256</v>
      </c>
      <c r="C16808" s="1" t="str">
        <f>HYPERLINK("http://www.genecards.org/cgi-bin/carddisp.pl?gene=SERPINB13","GeneCards")</f>
        <v>GeneCards</v>
      </c>
      <c r="D16808" s="1" t="str">
        <f>HYPERLINK("http://genome-euro.ucsc.edu/cgi-bin/hgTracks?position=215817_at","UCSC")</f>
        <v>UCSC</v>
      </c>
      <c r="E16808" s="1" t="str">
        <f>HYPERLINK("http://www.ncbi.nlm.nih.gov/gene/?term=SERPINB13","NCBI")</f>
        <v>NCBI</v>
      </c>
      <c r="F16808">
        <v>0.95</v>
      </c>
      <c r="G16808">
        <v>0.96</v>
      </c>
      <c r="H16808" s="1" t="str">
        <f>HYPERLINK("http://www.weizmann.ac.il/complex/compphys/software/geview/data/figures/215817_at.png","Figure")</f>
        <v>Figure</v>
      </c>
      <c r="I16808">
        <v>0.98899999999999999</v>
      </c>
      <c r="J16808">
        <v>0.98</v>
      </c>
      <c r="K16808">
        <v>0.98599999999999999</v>
      </c>
      <c r="L16808">
        <v>0.95</v>
      </c>
      <c r="M16808">
        <v>0.996</v>
      </c>
      <c r="N16808">
        <v>1</v>
      </c>
    </row>
    <row r="16809" spans="1:14" x14ac:dyDescent="0.25">
      <c r="A16809" t="s">
        <v>28106</v>
      </c>
      <c r="B16809" t="s">
        <v>1751</v>
      </c>
      <c r="C16809" s="1" t="str">
        <f>HYPERLINK("http://www.genecards.org/cgi-bin/carddisp.pl?gene=HNRNPD","GeneCards")</f>
        <v>GeneCards</v>
      </c>
      <c r="D16809" s="1" t="str">
        <f>HYPERLINK("http://genome-euro.ucsc.edu/cgi-bin/hgTracks?position=209330_s_at","UCSC")</f>
        <v>UCSC</v>
      </c>
      <c r="E16809" s="1" t="str">
        <f>HYPERLINK("http://www.ncbi.nlm.nih.gov/gene/?term=HNRNPD","NCBI")</f>
        <v>NCBI</v>
      </c>
      <c r="F16809">
        <v>0.95</v>
      </c>
      <c r="G16809">
        <v>0.96</v>
      </c>
      <c r="H16809" s="1" t="str">
        <f>HYPERLINK("http://www.weizmann.ac.il/complex/compphys/software/geview/data/figures/209330_s_at.png","Figure")</f>
        <v>Figure</v>
      </c>
      <c r="I16809">
        <v>0.96099999999999997</v>
      </c>
      <c r="J16809">
        <v>0.98</v>
      </c>
      <c r="K16809">
        <v>1.02</v>
      </c>
      <c r="L16809">
        <v>0.99</v>
      </c>
      <c r="M16809">
        <v>1.06</v>
      </c>
      <c r="N16809">
        <v>0.95</v>
      </c>
    </row>
    <row r="16810" spans="1:14" x14ac:dyDescent="0.25">
      <c r="A16810" t="s">
        <v>28107</v>
      </c>
      <c r="B16810" t="s">
        <v>19661</v>
      </c>
      <c r="C16810" s="1" t="str">
        <f>HYPERLINK("http://www.genecards.org/cgi-bin/carddisp.pl?gene=UBE2G1","GeneCards")</f>
        <v>GeneCards</v>
      </c>
      <c r="D16810" s="1" t="str">
        <f>HYPERLINK("http://genome-euro.ucsc.edu/cgi-bin/hgTracks?position=209142_s_at","UCSC")</f>
        <v>UCSC</v>
      </c>
      <c r="E16810" s="1" t="str">
        <f>HYPERLINK("http://www.ncbi.nlm.nih.gov/gene/?term=UBE2G1","NCBI")</f>
        <v>NCBI</v>
      </c>
      <c r="F16810">
        <v>0.95</v>
      </c>
      <c r="G16810">
        <v>0.96</v>
      </c>
      <c r="H16810" s="1" t="str">
        <f>HYPERLINK("http://www.weizmann.ac.il/complex/compphys/software/geview/data/figures/209142_s_at.png","Figure")</f>
        <v>Figure</v>
      </c>
      <c r="I16810">
        <v>0.92900000000000005</v>
      </c>
      <c r="J16810">
        <v>0.95</v>
      </c>
      <c r="K16810">
        <v>0.96</v>
      </c>
      <c r="L16810">
        <v>0.98</v>
      </c>
      <c r="M16810">
        <v>1.03</v>
      </c>
      <c r="N16810">
        <v>0.99</v>
      </c>
    </row>
    <row r="16811" spans="1:14" x14ac:dyDescent="0.25">
      <c r="A16811" t="s">
        <v>28108</v>
      </c>
      <c r="B16811" t="s">
        <v>3141</v>
      </c>
      <c r="C16811" s="1" t="str">
        <f>HYPERLINK("http://www.genecards.org/cgi-bin/carddisp.pl?gene=KIAA1219","GeneCards")</f>
        <v>GeneCards</v>
      </c>
      <c r="D16811" s="1" t="str">
        <f>HYPERLINK("http://genome-euro.ucsc.edu/cgi-bin/hgTracks?position=221736_at","UCSC")</f>
        <v>UCSC</v>
      </c>
      <c r="E16811" s="1" t="str">
        <f>HYPERLINK("http://www.ncbi.nlm.nih.gov/gene/?term=KIAA1219","NCBI")</f>
        <v>NCBI</v>
      </c>
      <c r="F16811">
        <v>0.95</v>
      </c>
      <c r="G16811">
        <v>0.96</v>
      </c>
      <c r="H16811" s="1" t="str">
        <f>HYPERLINK("http://www.weizmann.ac.il/complex/compphys/software/geview/data/figures/221736_at.png","Figure")</f>
        <v>Figure</v>
      </c>
      <c r="I16811">
        <v>0.98699999999999999</v>
      </c>
      <c r="J16811">
        <v>1</v>
      </c>
      <c r="K16811">
        <v>1.03</v>
      </c>
      <c r="L16811">
        <v>0.97</v>
      </c>
      <c r="M16811">
        <v>1.04</v>
      </c>
      <c r="N16811">
        <v>0.95</v>
      </c>
    </row>
    <row r="16812" spans="1:14" x14ac:dyDescent="0.25">
      <c r="A16812" t="s">
        <v>28109</v>
      </c>
      <c r="B16812" t="s">
        <v>9891</v>
      </c>
      <c r="C16812" s="1" t="str">
        <f>HYPERLINK("http://www.genecards.org/cgi-bin/carddisp.pl?gene=TBC1D30","GeneCards")</f>
        <v>GeneCards</v>
      </c>
      <c r="D16812" s="1" t="str">
        <f>HYPERLINK("http://genome-euro.ucsc.edu/cgi-bin/hgTracks?position=215186_at","UCSC")</f>
        <v>UCSC</v>
      </c>
      <c r="E16812" s="1" t="str">
        <f>HYPERLINK("http://www.ncbi.nlm.nih.gov/gene/?term=TBC1D30","NCBI")</f>
        <v>NCBI</v>
      </c>
      <c r="F16812">
        <v>0.95</v>
      </c>
      <c r="G16812">
        <v>0.96</v>
      </c>
      <c r="H16812" s="1" t="str">
        <f>HYPERLINK("http://www.weizmann.ac.il/complex/compphys/software/geview/data/figures/215186_at.png","Figure")</f>
        <v>Figure</v>
      </c>
      <c r="I16812">
        <v>1.02</v>
      </c>
      <c r="J16812">
        <v>0.96</v>
      </c>
      <c r="K16812">
        <v>1</v>
      </c>
      <c r="L16812">
        <v>1</v>
      </c>
      <c r="M16812">
        <v>0.98199999999999998</v>
      </c>
      <c r="N16812">
        <v>0.96</v>
      </c>
    </row>
    <row r="16813" spans="1:14" x14ac:dyDescent="0.25">
      <c r="A16813" t="s">
        <v>28110</v>
      </c>
      <c r="B16813" t="s">
        <v>25605</v>
      </c>
      <c r="C16813" s="1" t="str">
        <f>HYPERLINK("http://www.genecards.org/cgi-bin/carddisp.pl?gene=OAZ1","GeneCards")</f>
        <v>GeneCards</v>
      </c>
      <c r="D16813" s="1" t="str">
        <f>HYPERLINK("http://genome-euro.ucsc.edu/cgi-bin/hgTracks?position=200077_s_at","UCSC")</f>
        <v>UCSC</v>
      </c>
      <c r="E16813" s="1" t="str">
        <f>HYPERLINK("http://www.ncbi.nlm.nih.gov/gene/?term=OAZ1","NCBI")</f>
        <v>NCBI</v>
      </c>
      <c r="F16813">
        <v>0.95</v>
      </c>
      <c r="G16813">
        <v>0.96</v>
      </c>
      <c r="H16813" s="1" t="str">
        <f>HYPERLINK("http://www.weizmann.ac.il/complex/compphys/software/geview/data/figures/200077_s_at.png","Figure")</f>
        <v>Figure</v>
      </c>
      <c r="I16813">
        <v>0.94599999999999995</v>
      </c>
      <c r="J16813">
        <v>0.95</v>
      </c>
      <c r="K16813">
        <v>0.99399999999999999</v>
      </c>
      <c r="L16813">
        <v>1</v>
      </c>
      <c r="M16813">
        <v>1.05</v>
      </c>
      <c r="N16813">
        <v>0.96</v>
      </c>
    </row>
    <row r="16814" spans="1:14" x14ac:dyDescent="0.25">
      <c r="A16814" t="s">
        <v>28111</v>
      </c>
      <c r="B16814" t="s">
        <v>10074</v>
      </c>
      <c r="C16814" s="1" t="str">
        <f>HYPERLINK("http://www.genecards.org/cgi-bin/carddisp.pl?gene=HEXA","GeneCards")</f>
        <v>GeneCards</v>
      </c>
      <c r="D16814" s="1" t="str">
        <f>HYPERLINK("http://genome-euro.ucsc.edu/cgi-bin/hgTracks?position=201765_s_at","UCSC")</f>
        <v>UCSC</v>
      </c>
      <c r="E16814" s="1" t="str">
        <f>HYPERLINK("http://www.ncbi.nlm.nih.gov/gene/?term=HEXA","NCBI")</f>
        <v>NCBI</v>
      </c>
      <c r="F16814">
        <v>0.95</v>
      </c>
      <c r="G16814">
        <v>0.96</v>
      </c>
      <c r="H16814" s="1" t="str">
        <f>HYPERLINK("http://www.weizmann.ac.il/complex/compphys/software/geview/data/figures/201765_s_at.png","Figure")</f>
        <v>Figure</v>
      </c>
      <c r="I16814">
        <v>1.01</v>
      </c>
      <c r="J16814">
        <v>0.99</v>
      </c>
      <c r="K16814">
        <v>1.02</v>
      </c>
      <c r="L16814">
        <v>0.95</v>
      </c>
      <c r="M16814">
        <v>1.01</v>
      </c>
      <c r="N16814">
        <v>0.98</v>
      </c>
    </row>
    <row r="16815" spans="1:14" x14ac:dyDescent="0.25">
      <c r="A16815" t="s">
        <v>28112</v>
      </c>
      <c r="B16815" t="s">
        <v>28113</v>
      </c>
      <c r="C16815" s="1" t="str">
        <f>HYPERLINK("http://www.genecards.org/cgi-bin/carddisp.pl?gene=CACNA1F","GeneCards")</f>
        <v>GeneCards</v>
      </c>
      <c r="D16815" s="1" t="str">
        <f>HYPERLINK("http://genome-euro.ucsc.edu/cgi-bin/hgTracks?position=208377_s_at","UCSC")</f>
        <v>UCSC</v>
      </c>
      <c r="E16815" s="1" t="str">
        <f>HYPERLINK("http://www.ncbi.nlm.nih.gov/gene/?term=CACNA1F","NCBI")</f>
        <v>NCBI</v>
      </c>
      <c r="F16815">
        <v>0.95</v>
      </c>
      <c r="G16815">
        <v>0.96</v>
      </c>
      <c r="H16815" s="1" t="str">
        <f>HYPERLINK("http://www.weizmann.ac.il/complex/compphys/software/geview/data/figures/208377_s_at.png","Figure")</f>
        <v>Figure</v>
      </c>
      <c r="I16815">
        <v>1.03</v>
      </c>
      <c r="J16815">
        <v>0.96</v>
      </c>
      <c r="K16815">
        <v>0.999</v>
      </c>
      <c r="L16815">
        <v>1</v>
      </c>
      <c r="M16815">
        <v>0.97499999999999998</v>
      </c>
      <c r="N16815">
        <v>0.95</v>
      </c>
    </row>
    <row r="16816" spans="1:14" x14ac:dyDescent="0.25">
      <c r="A16816" t="s">
        <v>28114</v>
      </c>
      <c r="B16816" t="s">
        <v>28115</v>
      </c>
      <c r="C16816" s="1" t="str">
        <f>HYPERLINK("http://www.genecards.org/cgi-bin/carddisp.pl?gene=TBX19","GeneCards")</f>
        <v>GeneCards</v>
      </c>
      <c r="D16816" s="1" t="str">
        <f>HYPERLINK("http://genome-euro.ucsc.edu/cgi-bin/hgTracks?position=206838_at","UCSC")</f>
        <v>UCSC</v>
      </c>
      <c r="E16816" s="1" t="str">
        <f>HYPERLINK("http://www.ncbi.nlm.nih.gov/gene/?term=TBX19","NCBI")</f>
        <v>NCBI</v>
      </c>
      <c r="F16816">
        <v>0.95</v>
      </c>
      <c r="G16816">
        <v>0.96</v>
      </c>
      <c r="H16816" s="1" t="str">
        <f>HYPERLINK("http://www.weizmann.ac.il/complex/compphys/software/geview/data/figures/206838_at.png","Figure")</f>
        <v>Figure</v>
      </c>
      <c r="I16816">
        <v>0.998</v>
      </c>
      <c r="J16816">
        <v>1</v>
      </c>
      <c r="K16816">
        <v>0.98099999999999998</v>
      </c>
      <c r="L16816">
        <v>0.96</v>
      </c>
      <c r="M16816">
        <v>0.98399999999999999</v>
      </c>
      <c r="N16816">
        <v>0.97</v>
      </c>
    </row>
    <row r="16817" spans="1:14" x14ac:dyDescent="0.25">
      <c r="A16817" t="s">
        <v>28116</v>
      </c>
      <c r="B16817" t="s">
        <v>16069</v>
      </c>
      <c r="C16817" s="1" t="str">
        <f>HYPERLINK("http://www.genecards.org/cgi-bin/carddisp.pl?gene=UBE2B","GeneCards")</f>
        <v>GeneCards</v>
      </c>
      <c r="D16817" s="1" t="str">
        <f>HYPERLINK("http://genome-euro.ucsc.edu/cgi-bin/hgTracks?position=202333_s_at","UCSC")</f>
        <v>UCSC</v>
      </c>
      <c r="E16817" s="1" t="str">
        <f>HYPERLINK("http://www.ncbi.nlm.nih.gov/gene/?term=UBE2B","NCBI")</f>
        <v>NCBI</v>
      </c>
      <c r="F16817">
        <v>0.95</v>
      </c>
      <c r="G16817">
        <v>0.96</v>
      </c>
      <c r="H16817" s="1" t="str">
        <f>HYPERLINK("http://www.weizmann.ac.il/complex/compphys/software/geview/data/figures/202333_s_at.png","Figure")</f>
        <v>Figure</v>
      </c>
      <c r="I16817">
        <v>1.01</v>
      </c>
      <c r="J16817">
        <v>1</v>
      </c>
      <c r="K16817">
        <v>0.96</v>
      </c>
      <c r="L16817">
        <v>0.97</v>
      </c>
      <c r="M16817">
        <v>0.95</v>
      </c>
      <c r="N16817">
        <v>0.96</v>
      </c>
    </row>
    <row r="16818" spans="1:14" x14ac:dyDescent="0.25">
      <c r="A16818" t="s">
        <v>28117</v>
      </c>
      <c r="B16818" t="s">
        <v>24443</v>
      </c>
      <c r="C16818" s="1" t="str">
        <f>HYPERLINK("http://www.genecards.org/cgi-bin/carddisp.pl?gene=TUG1","GeneCards")</f>
        <v>GeneCards</v>
      </c>
      <c r="D16818" s="1" t="str">
        <f>HYPERLINK("http://genome-euro.ucsc.edu/cgi-bin/hgTracks?position=212337_at","UCSC")</f>
        <v>UCSC</v>
      </c>
      <c r="E16818" s="1" t="str">
        <f>HYPERLINK("http://www.ncbi.nlm.nih.gov/gene/?term=TUG1","NCBI")</f>
        <v>NCBI</v>
      </c>
      <c r="F16818">
        <v>0.95</v>
      </c>
      <c r="G16818">
        <v>0.96</v>
      </c>
      <c r="H16818" s="1" t="str">
        <f>HYPERLINK("http://www.weizmann.ac.il/complex/compphys/software/geview/data/figures/212337_at.png","Figure")</f>
        <v>Figure</v>
      </c>
      <c r="I16818">
        <v>1.01</v>
      </c>
      <c r="J16818">
        <v>1</v>
      </c>
      <c r="K16818">
        <v>1.06</v>
      </c>
      <c r="L16818">
        <v>0.96</v>
      </c>
      <c r="M16818">
        <v>1.06</v>
      </c>
      <c r="N16818">
        <v>0.97</v>
      </c>
    </row>
    <row r="16819" spans="1:14" x14ac:dyDescent="0.25">
      <c r="A16819" t="s">
        <v>28118</v>
      </c>
      <c r="B16819" t="s">
        <v>13414</v>
      </c>
      <c r="C16819" s="1" t="str">
        <f>HYPERLINK("http://www.genecards.org/cgi-bin/carddisp.pl?gene=RPS7","GeneCards")</f>
        <v>GeneCards</v>
      </c>
      <c r="D16819" s="1" t="str">
        <f>HYPERLINK("http://genome-euro.ucsc.edu/cgi-bin/hgTracks?position=213941_x_at","UCSC")</f>
        <v>UCSC</v>
      </c>
      <c r="E16819" s="1" t="str">
        <f>HYPERLINK("http://www.ncbi.nlm.nih.gov/gene/?term=RPS7","NCBI")</f>
        <v>NCBI</v>
      </c>
      <c r="F16819">
        <v>0.95</v>
      </c>
      <c r="G16819">
        <v>0.96</v>
      </c>
      <c r="H16819" s="1" t="str">
        <f>HYPERLINK("http://www.weizmann.ac.il/complex/compphys/software/geview/data/figures/213941_x_at.png","Figure")</f>
        <v>Figure</v>
      </c>
      <c r="I16819">
        <v>1.01</v>
      </c>
      <c r="J16819">
        <v>0.99</v>
      </c>
      <c r="K16819">
        <v>1.03</v>
      </c>
      <c r="L16819">
        <v>0.95</v>
      </c>
      <c r="M16819">
        <v>1.02</v>
      </c>
      <c r="N16819">
        <v>0.98</v>
      </c>
    </row>
    <row r="16820" spans="1:14" x14ac:dyDescent="0.25">
      <c r="A16820" t="s">
        <v>28119</v>
      </c>
      <c r="B16820" t="s">
        <v>7081</v>
      </c>
      <c r="C16820" s="1" t="str">
        <f>HYPERLINK("http://www.genecards.org/cgi-bin/carddisp.pl?gene=SRPK2","GeneCards")</f>
        <v>GeneCards</v>
      </c>
      <c r="D16820" s="1" t="str">
        <f>HYPERLINK("http://genome-euro.ucsc.edu/cgi-bin/hgTracks?position=203182_s_at","UCSC")</f>
        <v>UCSC</v>
      </c>
      <c r="E16820" s="1" t="str">
        <f>HYPERLINK("http://www.ncbi.nlm.nih.gov/gene/?term=SRPK2","NCBI")</f>
        <v>NCBI</v>
      </c>
      <c r="F16820">
        <v>0.95</v>
      </c>
      <c r="G16820">
        <v>0.96</v>
      </c>
      <c r="H16820" s="1" t="str">
        <f>HYPERLINK("http://www.weizmann.ac.il/complex/compphys/software/geview/data/figures/203182_s_at.png","Figure")</f>
        <v>Figure</v>
      </c>
      <c r="I16820">
        <v>1.01</v>
      </c>
      <c r="J16820">
        <v>1</v>
      </c>
      <c r="K16820">
        <v>1.07</v>
      </c>
      <c r="L16820">
        <v>0.96</v>
      </c>
      <c r="M16820">
        <v>1.06</v>
      </c>
      <c r="N16820">
        <v>0.97</v>
      </c>
    </row>
    <row r="16821" spans="1:14" x14ac:dyDescent="0.25">
      <c r="A16821" t="s">
        <v>28120</v>
      </c>
      <c r="B16821" t="s">
        <v>21876</v>
      </c>
      <c r="C16821" s="1" t="str">
        <f>HYPERLINK("http://www.genecards.org/cgi-bin/carddisp.pl?gene=SOS1","GeneCards")</f>
        <v>GeneCards</v>
      </c>
      <c r="D16821" s="1" t="str">
        <f>HYPERLINK("http://genome-euro.ucsc.edu/cgi-bin/hgTracks?position=212777_at","UCSC")</f>
        <v>UCSC</v>
      </c>
      <c r="E16821" s="1" t="str">
        <f>HYPERLINK("http://www.ncbi.nlm.nih.gov/gene/?term=SOS1","NCBI")</f>
        <v>NCBI</v>
      </c>
      <c r="F16821">
        <v>0.95</v>
      </c>
      <c r="G16821">
        <v>0.96</v>
      </c>
      <c r="H16821" s="1" t="str">
        <f>HYPERLINK("http://www.weizmann.ac.il/complex/compphys/software/geview/data/figures/212777_at.png","Figure")</f>
        <v>Figure</v>
      </c>
      <c r="I16821">
        <v>0.99099999999999999</v>
      </c>
      <c r="J16821">
        <v>1</v>
      </c>
      <c r="K16821">
        <v>1.03</v>
      </c>
      <c r="L16821">
        <v>0.97</v>
      </c>
      <c r="M16821">
        <v>1.04</v>
      </c>
      <c r="N16821">
        <v>0.96</v>
      </c>
    </row>
    <row r="16822" spans="1:14" x14ac:dyDescent="0.25">
      <c r="A16822" t="s">
        <v>28121</v>
      </c>
      <c r="B16822" t="s">
        <v>28122</v>
      </c>
      <c r="C16822" s="1" t="str">
        <f>HYPERLINK("http://www.genecards.org/cgi-bin/carddisp.pl?gene=ZNF654","GeneCards")</f>
        <v>GeneCards</v>
      </c>
      <c r="D16822" s="1" t="str">
        <f>HYPERLINK("http://genome-euro.ucsc.edu/cgi-bin/hgTracks?position=219239_s_at","UCSC")</f>
        <v>UCSC</v>
      </c>
      <c r="E16822" s="1" t="str">
        <f>HYPERLINK("http://www.ncbi.nlm.nih.gov/gene/?term=ZNF654","NCBI")</f>
        <v>NCBI</v>
      </c>
      <c r="F16822">
        <v>0.95</v>
      </c>
      <c r="G16822">
        <v>0.96</v>
      </c>
      <c r="H16822" s="1" t="str">
        <f>HYPERLINK("http://www.weizmann.ac.il/complex/compphys/software/geview/data/figures/219239_s_at.png","Figure")</f>
        <v>Figure</v>
      </c>
      <c r="I16822">
        <v>0.97699999999999998</v>
      </c>
      <c r="J16822">
        <v>0.99</v>
      </c>
      <c r="K16822">
        <v>0.95199999999999996</v>
      </c>
      <c r="L16822">
        <v>0.95</v>
      </c>
      <c r="M16822">
        <v>0.97499999999999998</v>
      </c>
      <c r="N16822">
        <v>0.99</v>
      </c>
    </row>
    <row r="16823" spans="1:14" x14ac:dyDescent="0.25">
      <c r="A16823" t="s">
        <v>28123</v>
      </c>
      <c r="B16823" t="s">
        <v>28124</v>
      </c>
      <c r="C16823" s="1" t="str">
        <f>HYPERLINK("http://www.genecards.org/cgi-bin/carddisp.pl?gene=C9orf9","GeneCards")</f>
        <v>GeneCards</v>
      </c>
      <c r="D16823" s="1" t="str">
        <f>HYPERLINK("http://genome-euro.ucsc.edu/cgi-bin/hgTracks?position=220050_at","UCSC")</f>
        <v>UCSC</v>
      </c>
      <c r="E16823" s="1" t="str">
        <f>HYPERLINK("http://www.ncbi.nlm.nih.gov/gene/?term=C9orf9","NCBI")</f>
        <v>NCBI</v>
      </c>
      <c r="F16823">
        <v>0.95</v>
      </c>
      <c r="G16823">
        <v>0.96</v>
      </c>
      <c r="H16823" s="1" t="str">
        <f>HYPERLINK("http://www.weizmann.ac.il/complex/compphys/software/geview/data/figures/220050_at.png","Figure")</f>
        <v>Figure</v>
      </c>
      <c r="I16823">
        <v>1.02</v>
      </c>
      <c r="J16823">
        <v>0.95</v>
      </c>
      <c r="K16823">
        <v>1.01</v>
      </c>
      <c r="L16823">
        <v>0.99</v>
      </c>
      <c r="M16823">
        <v>0.98799999999999999</v>
      </c>
      <c r="N16823">
        <v>0.97</v>
      </c>
    </row>
    <row r="16824" spans="1:14" x14ac:dyDescent="0.25">
      <c r="A16824" t="s">
        <v>28125</v>
      </c>
      <c r="B16824" t="s">
        <v>28126</v>
      </c>
      <c r="C16824" s="1" t="str">
        <f>HYPERLINK("http://www.genecards.org/cgi-bin/carddisp.pl?gene=IARS2","GeneCards")</f>
        <v>GeneCards</v>
      </c>
      <c r="D16824" s="1" t="str">
        <f>HYPERLINK("http://genome-euro.ucsc.edu/cgi-bin/hgTracks?position=217900_at","UCSC")</f>
        <v>UCSC</v>
      </c>
      <c r="E16824" s="1" t="str">
        <f>HYPERLINK("http://www.ncbi.nlm.nih.gov/gene/?term=IARS2","NCBI")</f>
        <v>NCBI</v>
      </c>
      <c r="F16824">
        <v>0.95</v>
      </c>
      <c r="G16824">
        <v>0.96</v>
      </c>
      <c r="H16824" s="1" t="str">
        <f>HYPERLINK("http://www.weizmann.ac.il/complex/compphys/software/geview/data/figures/217900_at.png","Figure")</f>
        <v>Figure</v>
      </c>
      <c r="I16824">
        <v>1.05</v>
      </c>
      <c r="J16824">
        <v>0.98</v>
      </c>
      <c r="K16824">
        <v>1.06</v>
      </c>
      <c r="L16824">
        <v>0.95</v>
      </c>
      <c r="M16824">
        <v>1.02</v>
      </c>
      <c r="N16824">
        <v>1</v>
      </c>
    </row>
    <row r="16825" spans="1:14" x14ac:dyDescent="0.25">
      <c r="A16825" t="s">
        <v>28127</v>
      </c>
      <c r="B16825" t="s">
        <v>28128</v>
      </c>
      <c r="C16825" s="1" t="str">
        <f>HYPERLINK("http://www.genecards.org/cgi-bin/carddisp.pl?gene=LDOC1","GeneCards")</f>
        <v>GeneCards</v>
      </c>
      <c r="D16825" s="1" t="str">
        <f>HYPERLINK("http://genome-euro.ucsc.edu/cgi-bin/hgTracks?position=204454_at","UCSC")</f>
        <v>UCSC</v>
      </c>
      <c r="E16825" s="1" t="str">
        <f>HYPERLINK("http://www.ncbi.nlm.nih.gov/gene/?term=LDOC1","NCBI")</f>
        <v>NCBI</v>
      </c>
      <c r="F16825">
        <v>0.95</v>
      </c>
      <c r="G16825">
        <v>0.96</v>
      </c>
      <c r="H16825" s="1" t="str">
        <f>HYPERLINK("http://www.weizmann.ac.il/complex/compphys/software/geview/data/figures/204454_at.png","Figure")</f>
        <v>Figure</v>
      </c>
      <c r="I16825">
        <v>1.04</v>
      </c>
      <c r="J16825">
        <v>0.99</v>
      </c>
      <c r="K16825">
        <v>1.08</v>
      </c>
      <c r="L16825">
        <v>0.95</v>
      </c>
      <c r="M16825">
        <v>1.04</v>
      </c>
      <c r="N16825">
        <v>0.99</v>
      </c>
    </row>
    <row r="16826" spans="1:14" x14ac:dyDescent="0.25">
      <c r="A16826" t="s">
        <v>28129</v>
      </c>
      <c r="B16826" t="s">
        <v>13806</v>
      </c>
      <c r="C16826" s="1" t="str">
        <f>HYPERLINK("http://www.genecards.org/cgi-bin/carddisp.pl?gene=RAB2A","GeneCards")</f>
        <v>GeneCards</v>
      </c>
      <c r="D16826" s="1" t="str">
        <f>HYPERLINK("http://genome-euro.ucsc.edu/cgi-bin/hgTracks?position=208730_x_at","UCSC")</f>
        <v>UCSC</v>
      </c>
      <c r="E16826" s="1" t="str">
        <f>HYPERLINK("http://www.ncbi.nlm.nih.gov/gene/?term=RAB2A","NCBI")</f>
        <v>NCBI</v>
      </c>
      <c r="F16826">
        <v>0.95</v>
      </c>
      <c r="G16826">
        <v>0.96</v>
      </c>
      <c r="H16826" s="1" t="str">
        <f>HYPERLINK("http://www.weizmann.ac.il/complex/compphys/software/geview/data/figures/208730_x_at.png","Figure")</f>
        <v>Figure</v>
      </c>
      <c r="I16826">
        <v>1.04</v>
      </c>
      <c r="J16826">
        <v>0.96</v>
      </c>
      <c r="K16826">
        <v>1.04</v>
      </c>
      <c r="L16826">
        <v>0.96</v>
      </c>
      <c r="M16826">
        <v>0.997</v>
      </c>
      <c r="N16826">
        <v>1</v>
      </c>
    </row>
    <row r="16827" spans="1:14" x14ac:dyDescent="0.25">
      <c r="A16827" t="s">
        <v>28130</v>
      </c>
      <c r="B16827" t="s">
        <v>28131</v>
      </c>
      <c r="C16827" s="1" t="str">
        <f>HYPERLINK("http://www.genecards.org/cgi-bin/carddisp.pl?gene=PSMC4","GeneCards")</f>
        <v>GeneCards</v>
      </c>
      <c r="D16827" s="1" t="str">
        <f>HYPERLINK("http://genome-euro.ucsc.edu/cgi-bin/hgTracks?position=201252_at","UCSC")</f>
        <v>UCSC</v>
      </c>
      <c r="E16827" s="1" t="str">
        <f>HYPERLINK("http://www.ncbi.nlm.nih.gov/gene/?term=PSMC4","NCBI")</f>
        <v>NCBI</v>
      </c>
      <c r="F16827">
        <v>0.95</v>
      </c>
      <c r="G16827">
        <v>0.96</v>
      </c>
      <c r="H16827" s="1" t="str">
        <f>HYPERLINK("http://www.weizmann.ac.il/complex/compphys/software/geview/data/figures/201252_at.png","Figure")</f>
        <v>Figure</v>
      </c>
      <c r="I16827">
        <v>0.98199999999999998</v>
      </c>
      <c r="J16827">
        <v>0.99</v>
      </c>
      <c r="K16827">
        <v>1.03</v>
      </c>
      <c r="L16827">
        <v>0.98</v>
      </c>
      <c r="M16827">
        <v>1.05</v>
      </c>
      <c r="N16827">
        <v>0.95</v>
      </c>
    </row>
    <row r="16828" spans="1:14" x14ac:dyDescent="0.25">
      <c r="A16828" t="s">
        <v>28132</v>
      </c>
      <c r="B16828" t="s">
        <v>28133</v>
      </c>
      <c r="C16828" s="1" t="str">
        <f>HYPERLINK("http://www.genecards.org/cgi-bin/carddisp.pl?gene=MYOZ3","GeneCards")</f>
        <v>GeneCards</v>
      </c>
      <c r="D16828" s="1" t="str">
        <f>HYPERLINK("http://genome-euro.ucsc.edu/cgi-bin/hgTracks?position=213955_at","UCSC")</f>
        <v>UCSC</v>
      </c>
      <c r="E16828" s="1" t="str">
        <f>HYPERLINK("http://www.ncbi.nlm.nih.gov/gene/?term=MYOZ3","NCBI")</f>
        <v>NCBI</v>
      </c>
      <c r="F16828">
        <v>0.95</v>
      </c>
      <c r="G16828">
        <v>0.96</v>
      </c>
      <c r="H16828" s="1" t="str">
        <f>HYPERLINK("http://www.weizmann.ac.il/complex/compphys/software/geview/data/figures/213955_at.png","Figure")</f>
        <v>Figure</v>
      </c>
      <c r="I16828">
        <v>1.02</v>
      </c>
      <c r="J16828">
        <v>0.98</v>
      </c>
      <c r="K16828">
        <v>0.98899999999999999</v>
      </c>
      <c r="L16828">
        <v>0.99</v>
      </c>
      <c r="M16828">
        <v>0.96699999999999997</v>
      </c>
      <c r="N16828">
        <v>0.95</v>
      </c>
    </row>
    <row r="16829" spans="1:14" x14ac:dyDescent="0.25">
      <c r="A16829" t="s">
        <v>28134</v>
      </c>
      <c r="B16829" t="s">
        <v>28135</v>
      </c>
      <c r="C16829" s="1" t="str">
        <f>HYPERLINK("http://www.genecards.org/cgi-bin/carddisp.pl?gene=DEFA5","GeneCards")</f>
        <v>GeneCards</v>
      </c>
      <c r="D16829" s="1" t="str">
        <f>HYPERLINK("http://genome-euro.ucsc.edu/cgi-bin/hgTracks?position=207529_at","UCSC")</f>
        <v>UCSC</v>
      </c>
      <c r="E16829" s="1" t="str">
        <f>HYPERLINK("http://www.ncbi.nlm.nih.gov/gene/?term=DEFA5","NCBI")</f>
        <v>NCBI</v>
      </c>
      <c r="F16829">
        <v>0.95</v>
      </c>
      <c r="G16829">
        <v>0.97</v>
      </c>
      <c r="H16829" s="1" t="str">
        <f>HYPERLINK("http://www.weizmann.ac.il/complex/compphys/software/geview/data/figures/207529_at.png","Figure")</f>
        <v>Figure</v>
      </c>
      <c r="I16829">
        <v>1.02</v>
      </c>
      <c r="J16829">
        <v>0.95</v>
      </c>
      <c r="K16829">
        <v>1.01</v>
      </c>
      <c r="L16829">
        <v>0.99</v>
      </c>
      <c r="M16829">
        <v>0.98799999999999999</v>
      </c>
      <c r="N16829">
        <v>0.97</v>
      </c>
    </row>
    <row r="16830" spans="1:14" x14ac:dyDescent="0.25">
      <c r="A16830" t="s">
        <v>28136</v>
      </c>
      <c r="B16830" t="s">
        <v>28137</v>
      </c>
      <c r="C16830" s="1" t="str">
        <f>HYPERLINK("http://www.genecards.org/cgi-bin/carddisp.pl?gene=PILRA","GeneCards")</f>
        <v>GeneCards</v>
      </c>
      <c r="D16830" s="1" t="str">
        <f>HYPERLINK("http://genome-euro.ucsc.edu/cgi-bin/hgTracks?position=222218_s_at","UCSC")</f>
        <v>UCSC</v>
      </c>
      <c r="E16830" s="1" t="str">
        <f>HYPERLINK("http://www.ncbi.nlm.nih.gov/gene/?term=PILRA","NCBI")</f>
        <v>NCBI</v>
      </c>
      <c r="F16830">
        <v>0.95</v>
      </c>
      <c r="G16830">
        <v>0.97</v>
      </c>
      <c r="H16830" s="1" t="str">
        <f>HYPERLINK("http://www.weizmann.ac.il/complex/compphys/software/geview/data/figures/222218_s_at.png","Figure")</f>
        <v>Figure</v>
      </c>
      <c r="I16830">
        <v>0.98799999999999999</v>
      </c>
      <c r="J16830">
        <v>0.99</v>
      </c>
      <c r="K16830">
        <v>0.97599999999999998</v>
      </c>
      <c r="L16830">
        <v>0.95</v>
      </c>
      <c r="M16830">
        <v>0.98799999999999999</v>
      </c>
      <c r="N16830">
        <v>0.99</v>
      </c>
    </row>
    <row r="16831" spans="1:14" x14ac:dyDescent="0.25">
      <c r="A16831" t="s">
        <v>28138</v>
      </c>
      <c r="B16831" t="s">
        <v>25765</v>
      </c>
      <c r="C16831" s="1" t="str">
        <f>HYPERLINK("http://www.genecards.org/cgi-bin/carddisp.pl?gene=DHX34","GeneCards")</f>
        <v>GeneCards</v>
      </c>
      <c r="D16831" s="1" t="str">
        <f>HYPERLINK("http://genome-euro.ucsc.edu/cgi-bin/hgTracks?position=214017_s_at","UCSC")</f>
        <v>UCSC</v>
      </c>
      <c r="E16831" s="1" t="str">
        <f>HYPERLINK("http://www.ncbi.nlm.nih.gov/gene/?term=DHX34","NCBI")</f>
        <v>NCBI</v>
      </c>
      <c r="F16831">
        <v>0.96</v>
      </c>
      <c r="G16831">
        <v>0.97</v>
      </c>
      <c r="H16831" s="1" t="str">
        <f>HYPERLINK("http://www.weizmann.ac.il/complex/compphys/software/geview/data/figures/214017_s_at.png","Figure")</f>
        <v>Figure</v>
      </c>
      <c r="I16831">
        <v>1.03</v>
      </c>
      <c r="J16831">
        <v>0.95</v>
      </c>
      <c r="K16831">
        <v>1.01</v>
      </c>
      <c r="L16831">
        <v>0.98</v>
      </c>
      <c r="M16831">
        <v>0.98799999999999999</v>
      </c>
      <c r="N16831">
        <v>0.99</v>
      </c>
    </row>
    <row r="16832" spans="1:14" x14ac:dyDescent="0.25">
      <c r="A16832" t="s">
        <v>28139</v>
      </c>
      <c r="B16832" t="s">
        <v>2662</v>
      </c>
      <c r="C16832" s="1" t="str">
        <f>HYPERLINK("http://www.genecards.org/cgi-bin/carddisp.pl?gene=C17orf101","GeneCards")</f>
        <v>GeneCards</v>
      </c>
      <c r="D16832" s="1" t="str">
        <f>HYPERLINK("http://genome-euro.ucsc.edu/cgi-bin/hgTracks?position=219254_at","UCSC")</f>
        <v>UCSC</v>
      </c>
      <c r="E16832" s="1" t="str">
        <f>HYPERLINK("http://www.ncbi.nlm.nih.gov/gene/?term=C17orf101","NCBI")</f>
        <v>NCBI</v>
      </c>
      <c r="F16832">
        <v>0.96</v>
      </c>
      <c r="G16832">
        <v>0.97</v>
      </c>
      <c r="H16832" s="1" t="str">
        <f>HYPERLINK("http://www.weizmann.ac.il/complex/compphys/software/geview/data/figures/219254_at.png","Figure")</f>
        <v>Figure</v>
      </c>
      <c r="I16832">
        <v>0.98799999999999999</v>
      </c>
      <c r="J16832">
        <v>0.98</v>
      </c>
      <c r="K16832">
        <v>1.01</v>
      </c>
      <c r="L16832">
        <v>0.99</v>
      </c>
      <c r="M16832">
        <v>1.02</v>
      </c>
      <c r="N16832">
        <v>0.95</v>
      </c>
    </row>
    <row r="16833" spans="1:14" x14ac:dyDescent="0.25">
      <c r="A16833" t="s">
        <v>28140</v>
      </c>
      <c r="B16833" t="s">
        <v>11043</v>
      </c>
      <c r="C16833" s="1" t="str">
        <f>HYPERLINK("http://www.genecards.org/cgi-bin/carddisp.pl?gene=ASAP3","GeneCards")</f>
        <v>GeneCards</v>
      </c>
      <c r="D16833" s="1" t="str">
        <f>HYPERLINK("http://genome-euro.ucsc.edu/cgi-bin/hgTracks?position=219103_at","UCSC")</f>
        <v>UCSC</v>
      </c>
      <c r="E16833" s="1" t="str">
        <f>HYPERLINK("http://www.ncbi.nlm.nih.gov/gene/?term=ASAP3","NCBI")</f>
        <v>NCBI</v>
      </c>
      <c r="F16833">
        <v>0.96</v>
      </c>
      <c r="G16833">
        <v>0.97</v>
      </c>
      <c r="H16833" s="1" t="str">
        <f>HYPERLINK("http://www.weizmann.ac.il/complex/compphys/software/geview/data/figures/219103_at.png","Figure")</f>
        <v>Figure</v>
      </c>
      <c r="I16833">
        <v>1.03</v>
      </c>
      <c r="J16833">
        <v>0.95</v>
      </c>
      <c r="K16833">
        <v>1.02</v>
      </c>
      <c r="L16833">
        <v>0.98</v>
      </c>
      <c r="M16833">
        <v>0.99</v>
      </c>
      <c r="N16833">
        <v>0.99</v>
      </c>
    </row>
    <row r="16834" spans="1:14" x14ac:dyDescent="0.25">
      <c r="A16834" t="s">
        <v>28141</v>
      </c>
      <c r="B16834" t="s">
        <v>13599</v>
      </c>
      <c r="C16834" s="1" t="str">
        <f>HYPERLINK("http://www.genecards.org/cgi-bin/carddisp.pl?gene=PKP1","GeneCards")</f>
        <v>GeneCards</v>
      </c>
      <c r="D16834" s="1" t="str">
        <f>HYPERLINK("http://genome-euro.ucsc.edu/cgi-bin/hgTracks?position=205724_at","UCSC")</f>
        <v>UCSC</v>
      </c>
      <c r="E16834" s="1" t="str">
        <f>HYPERLINK("http://www.ncbi.nlm.nih.gov/gene/?term=PKP1","NCBI")</f>
        <v>NCBI</v>
      </c>
      <c r="F16834">
        <v>0.96</v>
      </c>
      <c r="G16834">
        <v>0.97</v>
      </c>
      <c r="H16834" s="1" t="str">
        <f>HYPERLINK("http://www.weizmann.ac.il/complex/compphys/software/geview/data/figures/205724_at.png","Figure")</f>
        <v>Figure</v>
      </c>
      <c r="I16834">
        <v>0.98099999999999998</v>
      </c>
      <c r="J16834">
        <v>0.96</v>
      </c>
      <c r="K16834">
        <v>0.98899999999999999</v>
      </c>
      <c r="L16834">
        <v>0.98</v>
      </c>
      <c r="M16834">
        <v>1.01</v>
      </c>
      <c r="N16834">
        <v>0.99</v>
      </c>
    </row>
    <row r="16835" spans="1:14" x14ac:dyDescent="0.25">
      <c r="A16835" t="s">
        <v>28142</v>
      </c>
      <c r="B16835" t="s">
        <v>9449</v>
      </c>
      <c r="C16835" s="1" t="str">
        <f>HYPERLINK("http://www.genecards.org/cgi-bin/carddisp.pl?gene=PDS5B","GeneCards")</f>
        <v>GeneCards</v>
      </c>
      <c r="D16835" s="1" t="str">
        <f>HYPERLINK("http://genome-euro.ucsc.edu/cgi-bin/hgTracks?position=215888_at","UCSC")</f>
        <v>UCSC</v>
      </c>
      <c r="E16835" s="1" t="str">
        <f>HYPERLINK("http://www.ncbi.nlm.nih.gov/gene/?term=PDS5B","NCBI")</f>
        <v>NCBI</v>
      </c>
      <c r="F16835">
        <v>0.96</v>
      </c>
      <c r="G16835">
        <v>0.97</v>
      </c>
      <c r="H16835" s="1" t="str">
        <f>HYPERLINK("http://www.weizmann.ac.il/complex/compphys/software/geview/data/figures/215888_at.png","Figure")</f>
        <v>Figure</v>
      </c>
      <c r="I16835">
        <v>1.05</v>
      </c>
      <c r="J16835">
        <v>0.95</v>
      </c>
      <c r="K16835">
        <v>1.03</v>
      </c>
      <c r="L16835">
        <v>0.98</v>
      </c>
      <c r="M16835">
        <v>0.97699999999999998</v>
      </c>
      <c r="N16835">
        <v>0.99</v>
      </c>
    </row>
    <row r="16836" spans="1:14" x14ac:dyDescent="0.25">
      <c r="A16836" t="s">
        <v>28143</v>
      </c>
      <c r="B16836" t="s">
        <v>28144</v>
      </c>
      <c r="C16836" s="1" t="str">
        <f>HYPERLINK("http://www.genecards.org/cgi-bin/carddisp.pl?gene=ANAPC2","GeneCards")</f>
        <v>GeneCards</v>
      </c>
      <c r="D16836" s="1" t="str">
        <f>HYPERLINK("http://genome-euro.ucsc.edu/cgi-bin/hgTracks?position=218555_at","UCSC")</f>
        <v>UCSC</v>
      </c>
      <c r="E16836" s="1" t="str">
        <f>HYPERLINK("http://www.ncbi.nlm.nih.gov/gene/?term=ANAPC2","NCBI")</f>
        <v>NCBI</v>
      </c>
      <c r="F16836">
        <v>0.96</v>
      </c>
      <c r="G16836">
        <v>0.97</v>
      </c>
      <c r="H16836" s="1" t="str">
        <f>HYPERLINK("http://www.weizmann.ac.il/complex/compphys/software/geview/data/figures/218555_at.png","Figure")</f>
        <v>Figure</v>
      </c>
      <c r="I16836">
        <v>1.06</v>
      </c>
      <c r="J16836">
        <v>0.96</v>
      </c>
      <c r="K16836">
        <v>1.05</v>
      </c>
      <c r="L16836">
        <v>0.97</v>
      </c>
      <c r="M16836">
        <v>0.99199999999999999</v>
      </c>
      <c r="N16836">
        <v>1</v>
      </c>
    </row>
    <row r="16837" spans="1:14" x14ac:dyDescent="0.25">
      <c r="A16837" t="s">
        <v>28145</v>
      </c>
      <c r="B16837" t="s">
        <v>28146</v>
      </c>
      <c r="C16837" s="1" t="str">
        <f>HYPERLINK("http://www.genecards.org/cgi-bin/carddisp.pl?gene=ARPP-21","GeneCards")</f>
        <v>GeneCards</v>
      </c>
      <c r="D16837" s="1" t="str">
        <f>HYPERLINK("http://genome-euro.ucsc.edu/cgi-bin/hgTracks?position=220359_s_at","UCSC")</f>
        <v>UCSC</v>
      </c>
      <c r="E16837" s="1" t="str">
        <f>HYPERLINK("http://www.ncbi.nlm.nih.gov/gene/?term=ARPP-21","NCBI")</f>
        <v>NCBI</v>
      </c>
      <c r="F16837">
        <v>0.96</v>
      </c>
      <c r="G16837">
        <v>0.97</v>
      </c>
      <c r="H16837" s="1" t="str">
        <f>HYPERLINK("http://www.weizmann.ac.il/complex/compphys/software/geview/data/figures/220359_s_at.png","Figure")</f>
        <v>Figure</v>
      </c>
      <c r="I16837">
        <v>0.98799999999999999</v>
      </c>
      <c r="J16837">
        <v>1</v>
      </c>
      <c r="K16837">
        <v>1.1100000000000001</v>
      </c>
      <c r="L16837">
        <v>0.97</v>
      </c>
      <c r="M16837">
        <v>1.1200000000000001</v>
      </c>
      <c r="N16837">
        <v>0.97</v>
      </c>
    </row>
    <row r="16838" spans="1:14" x14ac:dyDescent="0.25">
      <c r="A16838" t="s">
        <v>28147</v>
      </c>
      <c r="B16838" t="s">
        <v>28148</v>
      </c>
      <c r="C16838" s="1" t="str">
        <f>HYPERLINK("http://www.genecards.org/cgi-bin/carddisp.pl?gene=TRIM68","GeneCards")</f>
        <v>GeneCards</v>
      </c>
      <c r="D16838" s="1" t="str">
        <f>HYPERLINK("http://genome-euro.ucsc.edu/cgi-bin/hgTracks?position=219405_at","UCSC")</f>
        <v>UCSC</v>
      </c>
      <c r="E16838" s="1" t="str">
        <f>HYPERLINK("http://www.ncbi.nlm.nih.gov/gene/?term=TRIM68","NCBI")</f>
        <v>NCBI</v>
      </c>
      <c r="F16838">
        <v>0.96</v>
      </c>
      <c r="G16838">
        <v>0.97</v>
      </c>
      <c r="H16838" s="1" t="str">
        <f>HYPERLINK("http://www.weizmann.ac.il/complex/compphys/software/geview/data/figures/219405_at.png","Figure")</f>
        <v>Figure</v>
      </c>
      <c r="I16838">
        <v>1.01</v>
      </c>
      <c r="J16838">
        <v>1</v>
      </c>
      <c r="K16838">
        <v>1.05</v>
      </c>
      <c r="L16838">
        <v>0.96</v>
      </c>
      <c r="M16838">
        <v>1.04</v>
      </c>
      <c r="N16838">
        <v>0.98</v>
      </c>
    </row>
    <row r="16839" spans="1:14" x14ac:dyDescent="0.25">
      <c r="A16839" t="s">
        <v>28149</v>
      </c>
      <c r="B16839" t="s">
        <v>2306</v>
      </c>
      <c r="C16839" s="1" t="str">
        <f>HYPERLINK("http://www.genecards.org/cgi-bin/carddisp.pl?gene=AP2A2","GeneCards")</f>
        <v>GeneCards</v>
      </c>
      <c r="D16839" s="1" t="str">
        <f>HYPERLINK("http://genome-euro.ucsc.edu/cgi-bin/hgTracks?position=212161_at","UCSC")</f>
        <v>UCSC</v>
      </c>
      <c r="E16839" s="1" t="str">
        <f>HYPERLINK("http://www.ncbi.nlm.nih.gov/gene/?term=AP2A2","NCBI")</f>
        <v>NCBI</v>
      </c>
      <c r="F16839">
        <v>0.96</v>
      </c>
      <c r="G16839">
        <v>0.97</v>
      </c>
      <c r="H16839" s="1" t="str">
        <f>HYPERLINK("http://www.weizmann.ac.il/complex/compphys/software/geview/data/figures/212161_at.png","Figure")</f>
        <v>Figure</v>
      </c>
      <c r="I16839">
        <v>0.98899999999999999</v>
      </c>
      <c r="J16839">
        <v>0.99</v>
      </c>
      <c r="K16839">
        <v>0.97799999999999998</v>
      </c>
      <c r="L16839">
        <v>0.95</v>
      </c>
      <c r="M16839">
        <v>0.98899999999999999</v>
      </c>
      <c r="N16839">
        <v>0.99</v>
      </c>
    </row>
    <row r="16840" spans="1:14" x14ac:dyDescent="0.25">
      <c r="A16840" t="s">
        <v>28150</v>
      </c>
      <c r="B16840" t="s">
        <v>28151</v>
      </c>
      <c r="C16840" s="1" t="str">
        <f>HYPERLINK("http://www.genecards.org/cgi-bin/carddisp.pl?gene=SLC5A1","GeneCards")</f>
        <v>GeneCards</v>
      </c>
      <c r="D16840" s="1" t="str">
        <f>HYPERLINK("http://genome-euro.ucsc.edu/cgi-bin/hgTracks?position=206628_at","UCSC")</f>
        <v>UCSC</v>
      </c>
      <c r="E16840" s="1" t="str">
        <f>HYPERLINK("http://www.ncbi.nlm.nih.gov/gene/?term=SLC5A1","NCBI")</f>
        <v>NCBI</v>
      </c>
      <c r="F16840">
        <v>0.96</v>
      </c>
      <c r="G16840">
        <v>0.97</v>
      </c>
      <c r="H16840" s="1" t="str">
        <f>HYPERLINK("http://www.weizmann.ac.il/complex/compphys/software/geview/data/figures/206628_at.png","Figure")</f>
        <v>Figure</v>
      </c>
      <c r="I16840">
        <v>1.01</v>
      </c>
      <c r="J16840">
        <v>0.99</v>
      </c>
      <c r="K16840">
        <v>0.996</v>
      </c>
      <c r="L16840">
        <v>0.99</v>
      </c>
      <c r="M16840">
        <v>0.99099999999999999</v>
      </c>
      <c r="N16840">
        <v>0.95</v>
      </c>
    </row>
    <row r="16841" spans="1:14" x14ac:dyDescent="0.25">
      <c r="A16841" t="s">
        <v>28152</v>
      </c>
      <c r="B16841" t="s">
        <v>28153</v>
      </c>
      <c r="C16841" s="1" t="str">
        <f>HYPERLINK("http://www.genecards.org/cgi-bin/carddisp.pl?gene=THOP1","GeneCards")</f>
        <v>GeneCards</v>
      </c>
      <c r="D16841" s="1" t="str">
        <f>HYPERLINK("http://genome-euro.ucsc.edu/cgi-bin/hgTracks?position=203235_at","UCSC")</f>
        <v>UCSC</v>
      </c>
      <c r="E16841" s="1" t="str">
        <f>HYPERLINK("http://www.ncbi.nlm.nih.gov/gene/?term=THOP1","NCBI")</f>
        <v>NCBI</v>
      </c>
      <c r="F16841">
        <v>0.96</v>
      </c>
      <c r="G16841">
        <v>0.97</v>
      </c>
      <c r="H16841" s="1" t="str">
        <f>HYPERLINK("http://www.weizmann.ac.il/complex/compphys/software/geview/data/figures/203235_at.png","Figure")</f>
        <v>Figure</v>
      </c>
      <c r="I16841">
        <v>0.96499999999999997</v>
      </c>
      <c r="J16841">
        <v>0.96</v>
      </c>
      <c r="K16841">
        <v>0.98</v>
      </c>
      <c r="L16841">
        <v>0.98</v>
      </c>
      <c r="M16841">
        <v>1.02</v>
      </c>
      <c r="N16841">
        <v>0.99</v>
      </c>
    </row>
    <row r="16842" spans="1:14" x14ac:dyDescent="0.25">
      <c r="A16842" t="s">
        <v>28154</v>
      </c>
      <c r="B16842" t="s">
        <v>22221</v>
      </c>
      <c r="C16842" s="1" t="str">
        <f>HYPERLINK("http://www.genecards.org/cgi-bin/carddisp.pl?gene=DNM2","GeneCards")</f>
        <v>GeneCards</v>
      </c>
      <c r="D16842" s="1" t="str">
        <f>HYPERLINK("http://genome-euro.ucsc.edu/cgi-bin/hgTracks?position=202253_s_at","UCSC")</f>
        <v>UCSC</v>
      </c>
      <c r="E16842" s="1" t="str">
        <f>HYPERLINK("http://www.ncbi.nlm.nih.gov/gene/?term=DNM2","NCBI")</f>
        <v>NCBI</v>
      </c>
      <c r="F16842">
        <v>0.96</v>
      </c>
      <c r="G16842">
        <v>0.97</v>
      </c>
      <c r="H16842" s="1" t="str">
        <f>HYPERLINK("http://www.weizmann.ac.il/complex/compphys/software/geview/data/figures/202253_s_at.png","Figure")</f>
        <v>Figure</v>
      </c>
      <c r="I16842">
        <v>0.97099999999999997</v>
      </c>
      <c r="J16842">
        <v>0.99</v>
      </c>
      <c r="K16842">
        <v>1.03</v>
      </c>
      <c r="L16842">
        <v>0.99</v>
      </c>
      <c r="M16842">
        <v>1.06</v>
      </c>
      <c r="N16842">
        <v>0.96</v>
      </c>
    </row>
    <row r="16843" spans="1:14" x14ac:dyDescent="0.25">
      <c r="A16843" t="s">
        <v>28155</v>
      </c>
      <c r="B16843" t="s">
        <v>28156</v>
      </c>
      <c r="C16843" s="1" t="str">
        <f>HYPERLINK("http://www.genecards.org/cgi-bin/carddisp.pl?gene=YARS2","GeneCards")</f>
        <v>GeneCards</v>
      </c>
      <c r="D16843" s="1" t="str">
        <f>HYPERLINK("http://genome-euro.ucsc.edu/cgi-bin/hgTracks?position=218470_at","UCSC")</f>
        <v>UCSC</v>
      </c>
      <c r="E16843" s="1" t="str">
        <f>HYPERLINK("http://www.ncbi.nlm.nih.gov/gene/?term=YARS2","NCBI")</f>
        <v>NCBI</v>
      </c>
      <c r="F16843">
        <v>0.96</v>
      </c>
      <c r="G16843">
        <v>0.97</v>
      </c>
      <c r="H16843" s="1" t="str">
        <f>HYPERLINK("http://www.weizmann.ac.il/complex/compphys/software/geview/data/figures/218470_at.png","Figure")</f>
        <v>Figure</v>
      </c>
      <c r="I16843">
        <v>1.03</v>
      </c>
      <c r="J16843">
        <v>0.97</v>
      </c>
      <c r="K16843">
        <v>1.03</v>
      </c>
      <c r="L16843">
        <v>0.96</v>
      </c>
      <c r="M16843">
        <v>1</v>
      </c>
      <c r="N16843">
        <v>1</v>
      </c>
    </row>
    <row r="16844" spans="1:14" x14ac:dyDescent="0.25">
      <c r="A16844" t="s">
        <v>28157</v>
      </c>
      <c r="B16844" t="s">
        <v>20442</v>
      </c>
      <c r="C16844" s="1" t="str">
        <f>HYPERLINK("http://www.genecards.org/cgi-bin/carddisp.pl?gene=C2CD3","GeneCards")</f>
        <v>GeneCards</v>
      </c>
      <c r="D16844" s="1" t="str">
        <f>HYPERLINK("http://genome-euro.ucsc.edu/cgi-bin/hgTracks?position=36552_at","UCSC")</f>
        <v>UCSC</v>
      </c>
      <c r="E16844" s="1" t="str">
        <f>HYPERLINK("http://www.ncbi.nlm.nih.gov/gene/?term=C2CD3","NCBI")</f>
        <v>NCBI</v>
      </c>
      <c r="F16844">
        <v>0.96</v>
      </c>
      <c r="G16844">
        <v>0.97</v>
      </c>
      <c r="H16844" s="1" t="str">
        <f>HYPERLINK("http://www.weizmann.ac.il/complex/compphys/software/geview/data/figures/36552_at.png","Figure")</f>
        <v>Figure</v>
      </c>
      <c r="I16844">
        <v>1.04</v>
      </c>
      <c r="J16844">
        <v>0.96</v>
      </c>
      <c r="K16844">
        <v>1</v>
      </c>
      <c r="L16844">
        <v>1</v>
      </c>
      <c r="M16844">
        <v>0.96099999999999997</v>
      </c>
      <c r="N16844">
        <v>0.97</v>
      </c>
    </row>
    <row r="16845" spans="1:14" x14ac:dyDescent="0.25">
      <c r="A16845" t="s">
        <v>28158</v>
      </c>
      <c r="B16845" t="s">
        <v>28159</v>
      </c>
      <c r="C16845" s="1" t="str">
        <f>HYPERLINK("http://www.genecards.org/cgi-bin/carddisp.pl?gene=HSF1","GeneCards")</f>
        <v>GeneCards</v>
      </c>
      <c r="D16845" s="1" t="str">
        <f>HYPERLINK("http://genome-euro.ucsc.edu/cgi-bin/hgTracks?position=202344_at","UCSC")</f>
        <v>UCSC</v>
      </c>
      <c r="E16845" s="1" t="str">
        <f>HYPERLINK("http://www.ncbi.nlm.nih.gov/gene/?term=HSF1","NCBI")</f>
        <v>NCBI</v>
      </c>
      <c r="F16845">
        <v>0.96</v>
      </c>
      <c r="G16845">
        <v>0.97</v>
      </c>
      <c r="H16845" s="1" t="str">
        <f>HYPERLINK("http://www.weizmann.ac.il/complex/compphys/software/geview/data/figures/202344_at.png","Figure")</f>
        <v>Figure</v>
      </c>
      <c r="I16845">
        <v>1.05</v>
      </c>
      <c r="J16845">
        <v>0.96</v>
      </c>
      <c r="K16845">
        <v>1.03</v>
      </c>
      <c r="L16845">
        <v>0.98</v>
      </c>
      <c r="M16845">
        <v>0.98099999999999998</v>
      </c>
      <c r="N16845">
        <v>0.99</v>
      </c>
    </row>
    <row r="16846" spans="1:14" x14ac:dyDescent="0.25">
      <c r="A16846" t="s">
        <v>28160</v>
      </c>
      <c r="B16846" t="s">
        <v>28161</v>
      </c>
      <c r="C16846" s="1" t="str">
        <f>HYPERLINK("http://www.genecards.org/cgi-bin/carddisp.pl?gene=D4S234E /// GPS2","GeneCards")</f>
        <v>GeneCards</v>
      </c>
      <c r="D16846" s="1" t="str">
        <f>HYPERLINK("http://genome-euro.ucsc.edu/cgi-bin/hgTracks?position=209350_s_at","UCSC")</f>
        <v>UCSC</v>
      </c>
      <c r="E16846" s="1" t="str">
        <f>HYPERLINK("http://www.ncbi.nlm.nih.gov/gene/?term=D4S234E /// GPS2","NCBI")</f>
        <v>NCBI</v>
      </c>
      <c r="F16846">
        <v>0.96</v>
      </c>
      <c r="G16846">
        <v>0.97</v>
      </c>
      <c r="H16846" s="1" t="str">
        <f>HYPERLINK("http://www.weizmann.ac.il/complex/compphys/software/geview/data/figures/209350_s_at.png","Figure")</f>
        <v>Figure</v>
      </c>
      <c r="I16846">
        <v>0.93600000000000005</v>
      </c>
      <c r="J16846">
        <v>0.96</v>
      </c>
      <c r="K16846">
        <v>0.97099999999999997</v>
      </c>
      <c r="L16846">
        <v>0.99</v>
      </c>
      <c r="M16846">
        <v>1.04</v>
      </c>
      <c r="N16846">
        <v>0.98</v>
      </c>
    </row>
    <row r="16847" spans="1:14" x14ac:dyDescent="0.25">
      <c r="A16847" t="s">
        <v>28162</v>
      </c>
      <c r="B16847" t="s">
        <v>19509</v>
      </c>
      <c r="C16847" s="1" t="str">
        <f>HYPERLINK("http://www.genecards.org/cgi-bin/carddisp.pl?gene=DDX17","GeneCards")</f>
        <v>GeneCards</v>
      </c>
      <c r="D16847" s="1" t="str">
        <f>HYPERLINK("http://genome-euro.ucsc.edu/cgi-bin/hgTracks?position=208718_at","UCSC")</f>
        <v>UCSC</v>
      </c>
      <c r="E16847" s="1" t="str">
        <f>HYPERLINK("http://www.ncbi.nlm.nih.gov/gene/?term=DDX17","NCBI")</f>
        <v>NCBI</v>
      </c>
      <c r="F16847">
        <v>0.96</v>
      </c>
      <c r="G16847">
        <v>0.97</v>
      </c>
      <c r="H16847" s="1" t="str">
        <f>HYPERLINK("http://www.weizmann.ac.il/complex/compphys/software/geview/data/figures/208718_at.png","Figure")</f>
        <v>Figure</v>
      </c>
      <c r="I16847">
        <v>0.875</v>
      </c>
      <c r="J16847">
        <v>0.96</v>
      </c>
      <c r="K16847">
        <v>0.97499999999999998</v>
      </c>
      <c r="L16847">
        <v>1</v>
      </c>
      <c r="M16847">
        <v>1.1100000000000001</v>
      </c>
      <c r="N16847">
        <v>0.97</v>
      </c>
    </row>
    <row r="16848" spans="1:14" x14ac:dyDescent="0.25">
      <c r="A16848" t="s">
        <v>28163</v>
      </c>
      <c r="B16848" t="s">
        <v>28164</v>
      </c>
      <c r="C16848" s="1" t="str">
        <f>HYPERLINK("http://www.genecards.org/cgi-bin/carddisp.pl?gene=NCAPH","GeneCards")</f>
        <v>GeneCards</v>
      </c>
      <c r="D16848" s="1" t="str">
        <f>HYPERLINK("http://genome-euro.ucsc.edu/cgi-bin/hgTracks?position=212949_at","UCSC")</f>
        <v>UCSC</v>
      </c>
      <c r="E16848" s="1" t="str">
        <f>HYPERLINK("http://www.ncbi.nlm.nih.gov/gene/?term=NCAPH","NCBI")</f>
        <v>NCBI</v>
      </c>
      <c r="F16848">
        <v>0.96</v>
      </c>
      <c r="G16848">
        <v>0.97</v>
      </c>
      <c r="H16848" s="1" t="str">
        <f>HYPERLINK("http://www.weizmann.ac.il/complex/compphys/software/geview/data/figures/212949_at.png","Figure")</f>
        <v>Figure</v>
      </c>
      <c r="I16848">
        <v>1.01</v>
      </c>
      <c r="J16848">
        <v>0.99</v>
      </c>
      <c r="K16848">
        <v>1.02</v>
      </c>
      <c r="L16848">
        <v>0.96</v>
      </c>
      <c r="M16848">
        <v>1.01</v>
      </c>
      <c r="N16848">
        <v>0.99</v>
      </c>
    </row>
    <row r="16849" spans="1:14" x14ac:dyDescent="0.25">
      <c r="A16849" t="s">
        <v>28165</v>
      </c>
      <c r="B16849" t="s">
        <v>13432</v>
      </c>
      <c r="C16849" s="1" t="str">
        <f>HYPERLINK("http://www.genecards.org/cgi-bin/carddisp.pl?gene=PCBP2","GeneCards")</f>
        <v>GeneCards</v>
      </c>
      <c r="D16849" s="1" t="str">
        <f>HYPERLINK("http://genome-euro.ucsc.edu/cgi-bin/hgTracks?position=204031_s_at","UCSC")</f>
        <v>UCSC</v>
      </c>
      <c r="E16849" s="1" t="str">
        <f>HYPERLINK("http://www.ncbi.nlm.nih.gov/gene/?term=PCBP2","NCBI")</f>
        <v>NCBI</v>
      </c>
      <c r="F16849">
        <v>0.96</v>
      </c>
      <c r="G16849">
        <v>0.97</v>
      </c>
      <c r="H16849" s="1" t="str">
        <f>HYPERLINK("http://www.weizmann.ac.il/complex/compphys/software/geview/data/figures/204031_s_at.png","Figure")</f>
        <v>Figure</v>
      </c>
      <c r="I16849">
        <v>1.03</v>
      </c>
      <c r="J16849">
        <v>0.99</v>
      </c>
      <c r="K16849">
        <v>0.95899999999999996</v>
      </c>
      <c r="L16849">
        <v>0.98</v>
      </c>
      <c r="M16849">
        <v>0.93200000000000005</v>
      </c>
      <c r="N16849">
        <v>0.96</v>
      </c>
    </row>
    <row r="16850" spans="1:14" x14ac:dyDescent="0.25">
      <c r="A16850" t="s">
        <v>28166</v>
      </c>
      <c r="B16850" t="s">
        <v>28167</v>
      </c>
      <c r="C16850" s="1" t="str">
        <f>HYPERLINK("http://www.genecards.org/cgi-bin/carddisp.pl?gene=HAMP","GeneCards")</f>
        <v>GeneCards</v>
      </c>
      <c r="D16850" s="1" t="str">
        <f>HYPERLINK("http://genome-euro.ucsc.edu/cgi-bin/hgTracks?position=220491_at","UCSC")</f>
        <v>UCSC</v>
      </c>
      <c r="E16850" s="1" t="str">
        <f>HYPERLINK("http://www.ncbi.nlm.nih.gov/gene/?term=HAMP","NCBI")</f>
        <v>NCBI</v>
      </c>
      <c r="F16850">
        <v>0.96</v>
      </c>
      <c r="G16850">
        <v>0.97</v>
      </c>
      <c r="H16850" s="1" t="str">
        <f>HYPERLINK("http://www.weizmann.ac.il/complex/compphys/software/geview/data/figures/220491_at.png","Figure")</f>
        <v>Figure</v>
      </c>
      <c r="I16850">
        <v>1</v>
      </c>
      <c r="J16850">
        <v>1</v>
      </c>
      <c r="K16850">
        <v>1.01</v>
      </c>
      <c r="L16850">
        <v>0.96</v>
      </c>
      <c r="M16850">
        <v>1.01</v>
      </c>
      <c r="N16850">
        <v>0.99</v>
      </c>
    </row>
    <row r="16851" spans="1:14" x14ac:dyDescent="0.25">
      <c r="A16851" t="s">
        <v>28168</v>
      </c>
      <c r="B16851" t="s">
        <v>28169</v>
      </c>
      <c r="C16851" s="1" t="str">
        <f>HYPERLINK("http://www.genecards.org/cgi-bin/carddisp.pl?gene=GZMH","GeneCards")</f>
        <v>GeneCards</v>
      </c>
      <c r="D16851" s="1" t="str">
        <f>HYPERLINK("http://genome-euro.ucsc.edu/cgi-bin/hgTracks?position=210321_at","UCSC")</f>
        <v>UCSC</v>
      </c>
      <c r="E16851" s="1" t="str">
        <f>HYPERLINK("http://www.ncbi.nlm.nih.gov/gene/?term=GZMH","NCBI")</f>
        <v>NCBI</v>
      </c>
      <c r="F16851">
        <v>0.96</v>
      </c>
      <c r="G16851">
        <v>0.97</v>
      </c>
      <c r="H16851" s="1" t="str">
        <f>HYPERLINK("http://www.weizmann.ac.il/complex/compphys/software/geview/data/figures/210321_at.png","Figure")</f>
        <v>Figure</v>
      </c>
      <c r="I16851">
        <v>0.95299999999999996</v>
      </c>
      <c r="J16851">
        <v>0.98</v>
      </c>
      <c r="K16851">
        <v>1.01</v>
      </c>
      <c r="L16851">
        <v>1</v>
      </c>
      <c r="M16851">
        <v>1.07</v>
      </c>
      <c r="N16851">
        <v>0.96</v>
      </c>
    </row>
    <row r="16852" spans="1:14" x14ac:dyDescent="0.25">
      <c r="A16852" t="s">
        <v>28170</v>
      </c>
      <c r="B16852" t="s">
        <v>21137</v>
      </c>
      <c r="C16852" s="1" t="str">
        <f>HYPERLINK("http://www.genecards.org/cgi-bin/carddisp.pl?gene=CAMK2G","GeneCards")</f>
        <v>GeneCards</v>
      </c>
      <c r="D16852" s="1" t="str">
        <f>HYPERLINK("http://genome-euro.ucsc.edu/cgi-bin/hgTracks?position=214322_at","UCSC")</f>
        <v>UCSC</v>
      </c>
      <c r="E16852" s="1" t="str">
        <f>HYPERLINK("http://www.ncbi.nlm.nih.gov/gene/?term=CAMK2G","NCBI")</f>
        <v>NCBI</v>
      </c>
      <c r="F16852">
        <v>0.96</v>
      </c>
      <c r="G16852">
        <v>0.97</v>
      </c>
      <c r="H16852" s="1" t="str">
        <f>HYPERLINK("http://www.weizmann.ac.il/complex/compphys/software/geview/data/figures/214322_at.png","Figure")</f>
        <v>Figure</v>
      </c>
      <c r="I16852">
        <v>0.98099999999999998</v>
      </c>
      <c r="J16852">
        <v>0.96</v>
      </c>
      <c r="K16852">
        <v>0.98599999999999999</v>
      </c>
      <c r="L16852">
        <v>0.97</v>
      </c>
      <c r="M16852">
        <v>1</v>
      </c>
      <c r="N16852">
        <v>1</v>
      </c>
    </row>
    <row r="16853" spans="1:14" x14ac:dyDescent="0.25">
      <c r="A16853" t="s">
        <v>28171</v>
      </c>
      <c r="B16853" t="s">
        <v>28172</v>
      </c>
      <c r="C16853" s="1" t="str">
        <f>HYPERLINK("http://www.genecards.org/cgi-bin/carddisp.pl?gene=MTMR15","GeneCards")</f>
        <v>GeneCards</v>
      </c>
      <c r="D16853" s="1" t="str">
        <f>HYPERLINK("http://genome-euro.ucsc.edu/cgi-bin/hgTracks?position=203678_at","UCSC")</f>
        <v>UCSC</v>
      </c>
      <c r="E16853" s="1" t="str">
        <f>HYPERLINK("http://www.ncbi.nlm.nih.gov/gene/?term=MTMR15","NCBI")</f>
        <v>NCBI</v>
      </c>
      <c r="F16853">
        <v>0.96</v>
      </c>
      <c r="G16853">
        <v>0.97</v>
      </c>
      <c r="H16853" s="1" t="str">
        <f>HYPERLINK("http://www.weizmann.ac.il/complex/compphys/software/geview/data/figures/203678_at.png","Figure")</f>
        <v>Figure</v>
      </c>
      <c r="I16853">
        <v>0.97399999999999998</v>
      </c>
      <c r="J16853">
        <v>0.99</v>
      </c>
      <c r="K16853">
        <v>1.03</v>
      </c>
      <c r="L16853">
        <v>0.99</v>
      </c>
      <c r="M16853">
        <v>1.06</v>
      </c>
      <c r="N16853">
        <v>0.96</v>
      </c>
    </row>
    <row r="16854" spans="1:14" x14ac:dyDescent="0.25">
      <c r="A16854" t="s">
        <v>28173</v>
      </c>
      <c r="B16854" t="s">
        <v>28174</v>
      </c>
      <c r="C16854" s="1" t="str">
        <f>HYPERLINK("http://www.genecards.org/cgi-bin/carddisp.pl?gene=GPR15","GeneCards")</f>
        <v>GeneCards</v>
      </c>
      <c r="D16854" s="1" t="str">
        <f>HYPERLINK("http://genome-euro.ucsc.edu/cgi-bin/hgTracks?position=208524_at","UCSC")</f>
        <v>UCSC</v>
      </c>
      <c r="E16854" s="1" t="str">
        <f>HYPERLINK("http://www.ncbi.nlm.nih.gov/gene/?term=GPR15","NCBI")</f>
        <v>NCBI</v>
      </c>
      <c r="F16854">
        <v>0.96</v>
      </c>
      <c r="G16854">
        <v>0.97</v>
      </c>
      <c r="H16854" s="1" t="str">
        <f>HYPERLINK("http://www.weizmann.ac.il/complex/compphys/software/geview/data/figures/208524_at.png","Figure")</f>
        <v>Figure</v>
      </c>
      <c r="I16854">
        <v>1.01</v>
      </c>
      <c r="J16854">
        <v>0.96</v>
      </c>
      <c r="K16854">
        <v>1</v>
      </c>
      <c r="L16854">
        <v>0.99</v>
      </c>
      <c r="M16854">
        <v>0.99099999999999999</v>
      </c>
      <c r="N16854">
        <v>0.98</v>
      </c>
    </row>
    <row r="16855" spans="1:14" x14ac:dyDescent="0.25">
      <c r="A16855" t="s">
        <v>28175</v>
      </c>
      <c r="B16855" t="s">
        <v>28176</v>
      </c>
      <c r="C16855" s="1" t="str">
        <f>HYPERLINK("http://www.genecards.org/cgi-bin/carddisp.pl?gene=NDUFS1","GeneCards")</f>
        <v>GeneCards</v>
      </c>
      <c r="D16855" s="1" t="str">
        <f>HYPERLINK("http://genome-euro.ucsc.edu/cgi-bin/hgTracks?position=203039_s_at","UCSC")</f>
        <v>UCSC</v>
      </c>
      <c r="E16855" s="1" t="str">
        <f>HYPERLINK("http://www.ncbi.nlm.nih.gov/gene/?term=NDUFS1","NCBI")</f>
        <v>NCBI</v>
      </c>
      <c r="F16855">
        <v>0.96</v>
      </c>
      <c r="G16855">
        <v>0.97</v>
      </c>
      <c r="H16855" s="1" t="str">
        <f>HYPERLINK("http://www.weizmann.ac.il/complex/compphys/software/geview/data/figures/203039_s_at.png","Figure")</f>
        <v>Figure</v>
      </c>
      <c r="I16855">
        <v>1.01</v>
      </c>
      <c r="J16855">
        <v>1</v>
      </c>
      <c r="K16855">
        <v>1.05</v>
      </c>
      <c r="L16855">
        <v>0.96</v>
      </c>
      <c r="M16855">
        <v>1.04</v>
      </c>
      <c r="N16855">
        <v>0.98</v>
      </c>
    </row>
    <row r="16856" spans="1:14" x14ac:dyDescent="0.25">
      <c r="A16856" t="s">
        <v>28177</v>
      </c>
      <c r="B16856" t="s">
        <v>20847</v>
      </c>
      <c r="C16856" s="1" t="str">
        <f>HYPERLINK("http://www.genecards.org/cgi-bin/carddisp.pl?gene=USP24","GeneCards")</f>
        <v>GeneCards</v>
      </c>
      <c r="D16856" s="1" t="str">
        <f>HYPERLINK("http://genome-euro.ucsc.edu/cgi-bin/hgTracks?position=212388_at","UCSC")</f>
        <v>UCSC</v>
      </c>
      <c r="E16856" s="1" t="str">
        <f>HYPERLINK("http://www.ncbi.nlm.nih.gov/gene/?term=USP24","NCBI")</f>
        <v>NCBI</v>
      </c>
      <c r="F16856">
        <v>0.96</v>
      </c>
      <c r="G16856">
        <v>0.97</v>
      </c>
      <c r="H16856" s="1" t="str">
        <f>HYPERLINK("http://www.weizmann.ac.il/complex/compphys/software/geview/data/figures/212388_at.png","Figure")</f>
        <v>Figure</v>
      </c>
      <c r="I16856">
        <v>0.97299999999999998</v>
      </c>
      <c r="J16856">
        <v>0.99</v>
      </c>
      <c r="K16856">
        <v>0.95</v>
      </c>
      <c r="L16856">
        <v>0.96</v>
      </c>
      <c r="M16856">
        <v>0.97699999999999998</v>
      </c>
      <c r="N16856">
        <v>0.99</v>
      </c>
    </row>
    <row r="16857" spans="1:14" x14ac:dyDescent="0.25">
      <c r="A16857" t="s">
        <v>28178</v>
      </c>
      <c r="B16857" t="s">
        <v>28179</v>
      </c>
      <c r="C16857" s="1" t="str">
        <f>HYPERLINK("http://www.genecards.org/cgi-bin/carddisp.pl?gene=FRG1","GeneCards")</f>
        <v>GeneCards</v>
      </c>
      <c r="D16857" s="1" t="str">
        <f>HYPERLINK("http://genome-euro.ucsc.edu/cgi-bin/hgTracks?position=204145_at","UCSC")</f>
        <v>UCSC</v>
      </c>
      <c r="E16857" s="1" t="str">
        <f>HYPERLINK("http://www.ncbi.nlm.nih.gov/gene/?term=FRG1","NCBI")</f>
        <v>NCBI</v>
      </c>
      <c r="F16857">
        <v>0.96</v>
      </c>
      <c r="G16857">
        <v>0.97</v>
      </c>
      <c r="H16857" s="1" t="str">
        <f>HYPERLINK("http://www.weizmann.ac.il/complex/compphys/software/geview/data/figures/204145_at.png","Figure")</f>
        <v>Figure</v>
      </c>
      <c r="I16857">
        <v>0.97799999999999998</v>
      </c>
      <c r="J16857">
        <v>0.99</v>
      </c>
      <c r="K16857">
        <v>0.96099999999999997</v>
      </c>
      <c r="L16857">
        <v>0.96</v>
      </c>
      <c r="M16857">
        <v>0.98299999999999998</v>
      </c>
      <c r="N16857">
        <v>0.99</v>
      </c>
    </row>
    <row r="16858" spans="1:14" x14ac:dyDescent="0.25">
      <c r="A16858" t="s">
        <v>28180</v>
      </c>
      <c r="B16858" t="s">
        <v>6998</v>
      </c>
      <c r="C16858" s="1" t="str">
        <f>HYPERLINK("http://www.genecards.org/cgi-bin/carddisp.pl?gene=SLC6A2","GeneCards")</f>
        <v>GeneCards</v>
      </c>
      <c r="D16858" s="1" t="str">
        <f>HYPERLINK("http://genome-euro.ucsc.edu/cgi-bin/hgTracks?position=216610_at","UCSC")</f>
        <v>UCSC</v>
      </c>
      <c r="E16858" s="1" t="str">
        <f>HYPERLINK("http://www.ncbi.nlm.nih.gov/gene/?term=SLC6A2","NCBI")</f>
        <v>NCBI</v>
      </c>
      <c r="F16858">
        <v>0.96</v>
      </c>
      <c r="G16858">
        <v>0.97</v>
      </c>
      <c r="H16858" s="1" t="str">
        <f>HYPERLINK("http://www.weizmann.ac.il/complex/compphys/software/geview/data/figures/216610_at.png","Figure")</f>
        <v>Figure</v>
      </c>
      <c r="I16858">
        <v>0.999</v>
      </c>
      <c r="J16858">
        <v>1</v>
      </c>
      <c r="K16858">
        <v>1.01</v>
      </c>
      <c r="L16858">
        <v>0.97</v>
      </c>
      <c r="M16858">
        <v>1.01</v>
      </c>
      <c r="N16858">
        <v>0.97</v>
      </c>
    </row>
    <row r="16859" spans="1:14" x14ac:dyDescent="0.25">
      <c r="A16859" t="s">
        <v>28181</v>
      </c>
      <c r="B16859" t="s">
        <v>25555</v>
      </c>
      <c r="C16859" s="1" t="str">
        <f>HYPERLINK("http://www.genecards.org/cgi-bin/carddisp.pl?gene=TAX1BP1","GeneCards")</f>
        <v>GeneCards</v>
      </c>
      <c r="D16859" s="1" t="str">
        <f>HYPERLINK("http://genome-euro.ucsc.edu/cgi-bin/hgTracks?position=200977_s_at","UCSC")</f>
        <v>UCSC</v>
      </c>
      <c r="E16859" s="1" t="str">
        <f>HYPERLINK("http://www.ncbi.nlm.nih.gov/gene/?term=TAX1BP1","NCBI")</f>
        <v>NCBI</v>
      </c>
      <c r="F16859">
        <v>0.96</v>
      </c>
      <c r="G16859">
        <v>0.97</v>
      </c>
      <c r="H16859" s="1" t="str">
        <f>HYPERLINK("http://www.weizmann.ac.il/complex/compphys/software/geview/data/figures/200977_s_at.png","Figure")</f>
        <v>Figure</v>
      </c>
      <c r="I16859">
        <v>0.93799999999999994</v>
      </c>
      <c r="J16859">
        <v>0.97</v>
      </c>
      <c r="K16859">
        <v>1</v>
      </c>
      <c r="L16859">
        <v>1</v>
      </c>
      <c r="M16859">
        <v>1.07</v>
      </c>
      <c r="N16859">
        <v>0.96</v>
      </c>
    </row>
    <row r="16860" spans="1:14" x14ac:dyDescent="0.25">
      <c r="A16860" t="s">
        <v>28182</v>
      </c>
      <c r="B16860" t="s">
        <v>28183</v>
      </c>
      <c r="C16860" s="1" t="str">
        <f>HYPERLINK("http://www.genecards.org/cgi-bin/carddisp.pl?gene=RBM42","GeneCards")</f>
        <v>GeneCards</v>
      </c>
      <c r="D16860" s="1" t="str">
        <f>HYPERLINK("http://genome-euro.ucsc.edu/cgi-bin/hgTracks?position=205740_s_at","UCSC")</f>
        <v>UCSC</v>
      </c>
      <c r="E16860" s="1" t="str">
        <f>HYPERLINK("http://www.ncbi.nlm.nih.gov/gene/?term=RBM42","NCBI")</f>
        <v>NCBI</v>
      </c>
      <c r="F16860">
        <v>0.96</v>
      </c>
      <c r="G16860">
        <v>0.97</v>
      </c>
      <c r="H16860" s="1" t="str">
        <f>HYPERLINK("http://www.weizmann.ac.il/complex/compphys/software/geview/data/figures/205740_s_at.png","Figure")</f>
        <v>Figure</v>
      </c>
      <c r="I16860">
        <v>0.96299999999999997</v>
      </c>
      <c r="J16860">
        <v>0.98</v>
      </c>
      <c r="K16860">
        <v>0.95799999999999996</v>
      </c>
      <c r="L16860">
        <v>0.96</v>
      </c>
      <c r="M16860">
        <v>0.99399999999999999</v>
      </c>
      <c r="N16860">
        <v>1</v>
      </c>
    </row>
    <row r="16861" spans="1:14" x14ac:dyDescent="0.25">
      <c r="A16861" t="s">
        <v>28184</v>
      </c>
      <c r="B16861" t="s">
        <v>7706</v>
      </c>
      <c r="C16861" s="1" t="str">
        <f>HYPERLINK("http://www.genecards.org/cgi-bin/carddisp.pl?gene=SLC16A1","GeneCards")</f>
        <v>GeneCards</v>
      </c>
      <c r="D16861" s="1" t="str">
        <f>HYPERLINK("http://genome-euro.ucsc.edu/cgi-bin/hgTracks?position=202236_s_at","UCSC")</f>
        <v>UCSC</v>
      </c>
      <c r="E16861" s="1" t="str">
        <f>HYPERLINK("http://www.ncbi.nlm.nih.gov/gene/?term=SLC16A1","NCBI")</f>
        <v>NCBI</v>
      </c>
      <c r="F16861">
        <v>0.96</v>
      </c>
      <c r="G16861">
        <v>0.97</v>
      </c>
      <c r="H16861" s="1" t="str">
        <f>HYPERLINK("http://www.weizmann.ac.il/complex/compphys/software/geview/data/figures/202236_s_at.png","Figure")</f>
        <v>Figure</v>
      </c>
      <c r="I16861">
        <v>1.02</v>
      </c>
      <c r="J16861">
        <v>0.99</v>
      </c>
      <c r="K16861">
        <v>0.98699999999999999</v>
      </c>
      <c r="L16861">
        <v>0.99</v>
      </c>
      <c r="M16861">
        <v>0.96799999999999997</v>
      </c>
      <c r="N16861">
        <v>0.96</v>
      </c>
    </row>
    <row r="16862" spans="1:14" x14ac:dyDescent="0.25">
      <c r="A16862" t="s">
        <v>28185</v>
      </c>
      <c r="B16862" t="s">
        <v>7218</v>
      </c>
      <c r="C16862" s="1" t="str">
        <f>HYPERLINK("http://www.genecards.org/cgi-bin/carddisp.pl?gene=KHDRBS1","GeneCards")</f>
        <v>GeneCards</v>
      </c>
      <c r="D16862" s="1" t="str">
        <f>HYPERLINK("http://genome-euro.ucsc.edu/cgi-bin/hgTracks?position=200040_at","UCSC")</f>
        <v>UCSC</v>
      </c>
      <c r="E16862" s="1" t="str">
        <f>HYPERLINK("http://www.ncbi.nlm.nih.gov/gene/?term=KHDRBS1","NCBI")</f>
        <v>NCBI</v>
      </c>
      <c r="F16862">
        <v>0.96</v>
      </c>
      <c r="G16862">
        <v>0.97</v>
      </c>
      <c r="H16862" s="1" t="str">
        <f>HYPERLINK("http://www.weizmann.ac.il/complex/compphys/software/geview/data/figures/200040_at.png","Figure")</f>
        <v>Figure</v>
      </c>
      <c r="I16862">
        <v>0.97699999999999998</v>
      </c>
      <c r="J16862">
        <v>0.96</v>
      </c>
      <c r="K16862">
        <v>0.99199999999999999</v>
      </c>
      <c r="L16862">
        <v>0.99</v>
      </c>
      <c r="M16862">
        <v>1.01</v>
      </c>
      <c r="N16862">
        <v>0.98</v>
      </c>
    </row>
    <row r="16863" spans="1:14" x14ac:dyDescent="0.25">
      <c r="A16863" t="s">
        <v>28186</v>
      </c>
      <c r="B16863" t="s">
        <v>28187</v>
      </c>
      <c r="C16863" s="1" t="str">
        <f>HYPERLINK("http://www.genecards.org/cgi-bin/carddisp.pl?gene=ZDHHC24","GeneCards")</f>
        <v>GeneCards</v>
      </c>
      <c r="D16863" s="1" t="str">
        <f>HYPERLINK("http://genome-euro.ucsc.edu/cgi-bin/hgTracks?position=205634_x_at","UCSC")</f>
        <v>UCSC</v>
      </c>
      <c r="E16863" s="1" t="str">
        <f>HYPERLINK("http://www.ncbi.nlm.nih.gov/gene/?term=ZDHHC24","NCBI")</f>
        <v>NCBI</v>
      </c>
      <c r="F16863">
        <v>0.96</v>
      </c>
      <c r="G16863">
        <v>0.97</v>
      </c>
      <c r="H16863" s="1" t="str">
        <f>HYPERLINK("http://www.weizmann.ac.il/complex/compphys/software/geview/data/figures/205634_x_at.png","Figure")</f>
        <v>Figure</v>
      </c>
      <c r="I16863">
        <v>0.97699999999999998</v>
      </c>
      <c r="J16863">
        <v>0.98</v>
      </c>
      <c r="K16863">
        <v>1.01</v>
      </c>
      <c r="L16863">
        <v>1</v>
      </c>
      <c r="M16863">
        <v>1.03</v>
      </c>
      <c r="N16863">
        <v>0.96</v>
      </c>
    </row>
    <row r="16864" spans="1:14" x14ac:dyDescent="0.25">
      <c r="A16864" t="s">
        <v>28188</v>
      </c>
      <c r="B16864" t="s">
        <v>5919</v>
      </c>
      <c r="C16864" s="1" t="str">
        <f>HYPERLINK("http://www.genecards.org/cgi-bin/carddisp.pl?gene=TROVE2","GeneCards")</f>
        <v>GeneCards</v>
      </c>
      <c r="D16864" s="1" t="str">
        <f>HYPERLINK("http://genome-euro.ucsc.edu/cgi-bin/hgTracks?position=213027_at","UCSC")</f>
        <v>UCSC</v>
      </c>
      <c r="E16864" s="1" t="str">
        <f>HYPERLINK("http://www.ncbi.nlm.nih.gov/gene/?term=TROVE2","NCBI")</f>
        <v>NCBI</v>
      </c>
      <c r="F16864">
        <v>0.96</v>
      </c>
      <c r="G16864">
        <v>0.97</v>
      </c>
      <c r="H16864" s="1" t="str">
        <f>HYPERLINK("http://www.weizmann.ac.il/complex/compphys/software/geview/data/figures/213027_at.png","Figure")</f>
        <v>Figure</v>
      </c>
      <c r="I16864">
        <v>1.02</v>
      </c>
      <c r="J16864">
        <v>0.99</v>
      </c>
      <c r="K16864">
        <v>0.97199999999999998</v>
      </c>
      <c r="L16864">
        <v>0.98</v>
      </c>
      <c r="M16864">
        <v>0.95399999999999996</v>
      </c>
      <c r="N16864">
        <v>0.96</v>
      </c>
    </row>
    <row r="16865" spans="1:14" x14ac:dyDescent="0.25">
      <c r="A16865" t="s">
        <v>28189</v>
      </c>
      <c r="B16865" t="s">
        <v>3257</v>
      </c>
      <c r="C16865" s="1" t="str">
        <f>HYPERLINK("http://www.genecards.org/cgi-bin/carddisp.pl?gene=IGL@","GeneCards")</f>
        <v>GeneCards</v>
      </c>
      <c r="D16865" s="1" t="str">
        <f>HYPERLINK("http://genome-euro.ucsc.edu/cgi-bin/hgTracks?position=209138_x_at","UCSC")</f>
        <v>UCSC</v>
      </c>
      <c r="E16865" s="1" t="str">
        <f>HYPERLINK("http://www.ncbi.nlm.nih.gov/gene/?term=IGL@","NCBI")</f>
        <v>NCBI</v>
      </c>
      <c r="F16865">
        <v>0.96</v>
      </c>
      <c r="G16865">
        <v>0.97</v>
      </c>
      <c r="H16865" s="1" t="str">
        <f>HYPERLINK("http://www.weizmann.ac.il/complex/compphys/software/geview/data/figures/209138_x_at.png","Figure")</f>
        <v>Figure</v>
      </c>
      <c r="I16865">
        <v>0.89800000000000002</v>
      </c>
      <c r="J16865">
        <v>0.96</v>
      </c>
      <c r="K16865">
        <v>0.96699999999999997</v>
      </c>
      <c r="L16865">
        <v>0.99</v>
      </c>
      <c r="M16865">
        <v>1.08</v>
      </c>
      <c r="N16865">
        <v>0.98</v>
      </c>
    </row>
    <row r="16866" spans="1:14" x14ac:dyDescent="0.25">
      <c r="A16866" t="s">
        <v>28190</v>
      </c>
      <c r="B16866" t="s">
        <v>28191</v>
      </c>
      <c r="C16866" s="1" t="str">
        <f>HYPERLINK("http://www.genecards.org/cgi-bin/carddisp.pl?gene=RERE","GeneCards")</f>
        <v>GeneCards</v>
      </c>
      <c r="D16866" s="1" t="str">
        <f>HYPERLINK("http://genome-euro.ucsc.edu/cgi-bin/hgTracks?position=200940_s_at","UCSC")</f>
        <v>UCSC</v>
      </c>
      <c r="E16866" s="1" t="str">
        <f>HYPERLINK("http://www.ncbi.nlm.nih.gov/gene/?term=RERE","NCBI")</f>
        <v>NCBI</v>
      </c>
      <c r="F16866">
        <v>0.96</v>
      </c>
      <c r="G16866">
        <v>0.97</v>
      </c>
      <c r="H16866" s="1" t="str">
        <f>HYPERLINK("http://www.weizmann.ac.il/complex/compphys/software/geview/data/figures/200940_s_at.png","Figure")</f>
        <v>Figure</v>
      </c>
      <c r="I16866">
        <v>1.02</v>
      </c>
      <c r="J16866">
        <v>0.99</v>
      </c>
      <c r="K16866">
        <v>0.97499999999999998</v>
      </c>
      <c r="L16866">
        <v>0.99</v>
      </c>
      <c r="M16866">
        <v>0.95399999999999996</v>
      </c>
      <c r="N16866">
        <v>0.96</v>
      </c>
    </row>
    <row r="16867" spans="1:14" x14ac:dyDescent="0.25">
      <c r="A16867" t="s">
        <v>28192</v>
      </c>
      <c r="B16867" t="s">
        <v>28193</v>
      </c>
      <c r="C16867" s="1" t="str">
        <f>HYPERLINK("http://www.genecards.org/cgi-bin/carddisp.pl?gene=CNNM3","GeneCards")</f>
        <v>GeneCards</v>
      </c>
      <c r="D16867" s="1" t="str">
        <f>HYPERLINK("http://genome-euro.ucsc.edu/cgi-bin/hgTracks?position=220739_s_at","UCSC")</f>
        <v>UCSC</v>
      </c>
      <c r="E16867" s="1" t="str">
        <f>HYPERLINK("http://www.ncbi.nlm.nih.gov/gene/?term=CNNM3","NCBI")</f>
        <v>NCBI</v>
      </c>
      <c r="F16867">
        <v>0.96</v>
      </c>
      <c r="G16867">
        <v>0.97</v>
      </c>
      <c r="H16867" s="1" t="str">
        <f>HYPERLINK("http://www.weizmann.ac.il/complex/compphys/software/geview/data/figures/220739_s_at.png","Figure")</f>
        <v>Figure</v>
      </c>
      <c r="I16867">
        <v>0.97099999999999997</v>
      </c>
      <c r="J16867">
        <v>0.99</v>
      </c>
      <c r="K16867">
        <v>1.02</v>
      </c>
      <c r="L16867">
        <v>0.99</v>
      </c>
      <c r="M16867">
        <v>1.05</v>
      </c>
      <c r="N16867">
        <v>0.96</v>
      </c>
    </row>
    <row r="16868" spans="1:14" x14ac:dyDescent="0.25">
      <c r="A16868" t="s">
        <v>28194</v>
      </c>
      <c r="B16868" t="s">
        <v>15838</v>
      </c>
      <c r="C16868" s="1" t="str">
        <f>HYPERLINK("http://www.genecards.org/cgi-bin/carddisp.pl?gene=MLX","GeneCards")</f>
        <v>GeneCards</v>
      </c>
      <c r="D16868" s="1" t="str">
        <f>HYPERLINK("http://genome-euro.ucsc.edu/cgi-bin/hgTracks?position=210752_s_at","UCSC")</f>
        <v>UCSC</v>
      </c>
      <c r="E16868" s="1" t="str">
        <f>HYPERLINK("http://www.ncbi.nlm.nih.gov/gene/?term=MLX","NCBI")</f>
        <v>NCBI</v>
      </c>
      <c r="F16868">
        <v>0.96</v>
      </c>
      <c r="G16868">
        <v>0.97</v>
      </c>
      <c r="H16868" s="1" t="str">
        <f>HYPERLINK("http://www.weizmann.ac.il/complex/compphys/software/geview/data/figures/210752_s_at.png","Figure")</f>
        <v>Figure</v>
      </c>
      <c r="I16868">
        <v>1</v>
      </c>
      <c r="J16868">
        <v>1</v>
      </c>
      <c r="K16868">
        <v>0.98799999999999999</v>
      </c>
      <c r="L16868">
        <v>0.97</v>
      </c>
      <c r="M16868">
        <v>0.98699999999999999</v>
      </c>
      <c r="N16868">
        <v>0.97</v>
      </c>
    </row>
    <row r="16869" spans="1:14" x14ac:dyDescent="0.25">
      <c r="A16869" t="s">
        <v>28195</v>
      </c>
      <c r="B16869" t="s">
        <v>10329</v>
      </c>
      <c r="C16869" s="1" t="str">
        <f>HYPERLINK("http://www.genecards.org/cgi-bin/carddisp.pl?gene=LILRA2","GeneCards")</f>
        <v>GeneCards</v>
      </c>
      <c r="D16869" s="1" t="str">
        <f>HYPERLINK("http://genome-euro.ucsc.edu/cgi-bin/hgTracks?position=211102_s_at","UCSC")</f>
        <v>UCSC</v>
      </c>
      <c r="E16869" s="1" t="str">
        <f>HYPERLINK("http://www.ncbi.nlm.nih.gov/gene/?term=LILRA2","NCBI")</f>
        <v>NCBI</v>
      </c>
      <c r="F16869">
        <v>0.96</v>
      </c>
      <c r="G16869">
        <v>0.97</v>
      </c>
      <c r="H16869" s="1" t="str">
        <f>HYPERLINK("http://www.weizmann.ac.il/complex/compphys/software/geview/data/figures/211102_s_at.png","Figure")</f>
        <v>Figure</v>
      </c>
      <c r="I16869">
        <v>1.03</v>
      </c>
      <c r="J16869">
        <v>0.97</v>
      </c>
      <c r="K16869">
        <v>1.02</v>
      </c>
      <c r="L16869">
        <v>0.97</v>
      </c>
      <c r="M16869">
        <v>0.996</v>
      </c>
      <c r="N16869">
        <v>1</v>
      </c>
    </row>
    <row r="16870" spans="1:14" x14ac:dyDescent="0.25">
      <c r="A16870" t="s">
        <v>28196</v>
      </c>
      <c r="B16870" t="s">
        <v>28197</v>
      </c>
      <c r="C16870" s="1" t="str">
        <f>HYPERLINK("http://www.genecards.org/cgi-bin/carddisp.pl?gene=RBM23","GeneCards")</f>
        <v>GeneCards</v>
      </c>
      <c r="D16870" s="1" t="str">
        <f>HYPERLINK("http://genome-euro.ucsc.edu/cgi-bin/hgTracks?position=219816_s_at","UCSC")</f>
        <v>UCSC</v>
      </c>
      <c r="E16870" s="1" t="str">
        <f>HYPERLINK("http://www.ncbi.nlm.nih.gov/gene/?term=RBM23","NCBI")</f>
        <v>NCBI</v>
      </c>
      <c r="F16870">
        <v>0.96</v>
      </c>
      <c r="G16870">
        <v>0.97</v>
      </c>
      <c r="H16870" s="1" t="str">
        <f>HYPERLINK("http://www.weizmann.ac.il/complex/compphys/software/geview/data/figures/219816_s_at.png","Figure")</f>
        <v>Figure</v>
      </c>
      <c r="I16870">
        <v>1.04</v>
      </c>
      <c r="J16870">
        <v>0.96</v>
      </c>
      <c r="K16870">
        <v>1.02</v>
      </c>
      <c r="L16870">
        <v>0.99</v>
      </c>
      <c r="M16870">
        <v>0.97899999999999998</v>
      </c>
      <c r="N16870">
        <v>0.99</v>
      </c>
    </row>
    <row r="16871" spans="1:14" x14ac:dyDescent="0.25">
      <c r="A16871" t="s">
        <v>28198</v>
      </c>
      <c r="B16871" t="s">
        <v>25366</v>
      </c>
      <c r="C16871" s="1" t="str">
        <f>HYPERLINK("http://www.genecards.org/cgi-bin/carddisp.pl?gene=DOK1","GeneCards")</f>
        <v>GeneCards</v>
      </c>
      <c r="D16871" s="1" t="str">
        <f>HYPERLINK("http://genome-euro.ucsc.edu/cgi-bin/hgTracks?position=211121_s_at","UCSC")</f>
        <v>UCSC</v>
      </c>
      <c r="E16871" s="1" t="str">
        <f>HYPERLINK("http://www.ncbi.nlm.nih.gov/gene/?term=DOK1","NCBI")</f>
        <v>NCBI</v>
      </c>
      <c r="F16871">
        <v>0.96</v>
      </c>
      <c r="G16871">
        <v>0.97</v>
      </c>
      <c r="H16871" s="1" t="str">
        <f>HYPERLINK("http://www.weizmann.ac.il/complex/compphys/software/geview/data/figures/211121_s_at.png","Figure")</f>
        <v>Figure</v>
      </c>
      <c r="I16871">
        <v>1.01</v>
      </c>
      <c r="J16871">
        <v>0.99</v>
      </c>
      <c r="K16871">
        <v>0.99099999999999999</v>
      </c>
      <c r="L16871">
        <v>0.99</v>
      </c>
      <c r="M16871">
        <v>0.98399999999999999</v>
      </c>
      <c r="N16871">
        <v>0.96</v>
      </c>
    </row>
    <row r="16872" spans="1:14" x14ac:dyDescent="0.25">
      <c r="A16872" t="s">
        <v>28199</v>
      </c>
      <c r="B16872" t="s">
        <v>19889</v>
      </c>
      <c r="C16872" s="1" t="str">
        <f>HYPERLINK("http://www.genecards.org/cgi-bin/carddisp.pl?gene=LOC730092","GeneCards")</f>
        <v>GeneCards</v>
      </c>
      <c r="D16872" s="1" t="str">
        <f>HYPERLINK("http://genome-euro.ucsc.edu/cgi-bin/hgTracks?position=215211_at","UCSC")</f>
        <v>UCSC</v>
      </c>
      <c r="E16872" s="1" t="str">
        <f>HYPERLINK("http://www.ncbi.nlm.nih.gov/gene/?term=LOC730092","NCBI")</f>
        <v>NCBI</v>
      </c>
      <c r="F16872">
        <v>0.97</v>
      </c>
      <c r="G16872">
        <v>0.97</v>
      </c>
      <c r="H16872" s="1" t="str">
        <f>HYPERLINK("http://www.weizmann.ac.il/complex/compphys/software/geview/data/figures/215211_at.png","Figure")</f>
        <v>Figure</v>
      </c>
      <c r="I16872">
        <v>0.96899999999999997</v>
      </c>
      <c r="J16872">
        <v>0.97</v>
      </c>
      <c r="K16872">
        <v>0.97299999999999998</v>
      </c>
      <c r="L16872">
        <v>0.97</v>
      </c>
      <c r="M16872">
        <v>1</v>
      </c>
      <c r="N16872">
        <v>1</v>
      </c>
    </row>
    <row r="16873" spans="1:14" x14ac:dyDescent="0.25">
      <c r="A16873" t="s">
        <v>28200</v>
      </c>
      <c r="B16873" t="s">
        <v>28201</v>
      </c>
      <c r="C16873" s="1" t="str">
        <f>HYPERLINK("http://www.genecards.org/cgi-bin/carddisp.pl?gene=MOSC2","GeneCards")</f>
        <v>GeneCards</v>
      </c>
      <c r="D16873" s="1" t="str">
        <f>HYPERLINK("http://genome-euro.ucsc.edu/cgi-bin/hgTracks?position=219527_at","UCSC")</f>
        <v>UCSC</v>
      </c>
      <c r="E16873" s="1" t="str">
        <f>HYPERLINK("http://www.ncbi.nlm.nih.gov/gene/?term=MOSC2","NCBI")</f>
        <v>NCBI</v>
      </c>
      <c r="F16873">
        <v>0.97</v>
      </c>
      <c r="G16873">
        <v>0.97</v>
      </c>
      <c r="H16873" s="1" t="str">
        <f>HYPERLINK("http://www.weizmann.ac.il/complex/compphys/software/geview/data/figures/219527_at.png","Figure")</f>
        <v>Figure</v>
      </c>
      <c r="I16873">
        <v>1</v>
      </c>
      <c r="J16873">
        <v>1</v>
      </c>
      <c r="K16873">
        <v>1.01</v>
      </c>
      <c r="L16873">
        <v>0.97</v>
      </c>
      <c r="M16873">
        <v>1.01</v>
      </c>
      <c r="N16873">
        <v>0.98</v>
      </c>
    </row>
    <row r="16874" spans="1:14" x14ac:dyDescent="0.25">
      <c r="A16874" t="s">
        <v>28202</v>
      </c>
      <c r="B16874" t="s">
        <v>28203</v>
      </c>
      <c r="C16874" s="1" t="str">
        <f>HYPERLINK("http://www.genecards.org/cgi-bin/carddisp.pl?gene=CLCN2","GeneCards")</f>
        <v>GeneCards</v>
      </c>
      <c r="D16874" s="1" t="str">
        <f>HYPERLINK("http://genome-euro.ucsc.edu/cgi-bin/hgTracks?position=213499_at","UCSC")</f>
        <v>UCSC</v>
      </c>
      <c r="E16874" s="1" t="str">
        <f>HYPERLINK("http://www.ncbi.nlm.nih.gov/gene/?term=CLCN2","NCBI")</f>
        <v>NCBI</v>
      </c>
      <c r="F16874">
        <v>0.97</v>
      </c>
      <c r="G16874">
        <v>0.97</v>
      </c>
      <c r="H16874" s="1" t="str">
        <f>HYPERLINK("http://www.weizmann.ac.il/complex/compphys/software/geview/data/figures/213499_at.png","Figure")</f>
        <v>Figure</v>
      </c>
      <c r="I16874">
        <v>1.02</v>
      </c>
      <c r="J16874">
        <v>0.96</v>
      </c>
      <c r="K16874">
        <v>1.01</v>
      </c>
      <c r="L16874">
        <v>0.98</v>
      </c>
      <c r="M16874">
        <v>0.99199999999999999</v>
      </c>
      <c r="N16874">
        <v>0.99</v>
      </c>
    </row>
    <row r="16875" spans="1:14" x14ac:dyDescent="0.25">
      <c r="A16875" t="s">
        <v>28204</v>
      </c>
      <c r="B16875" t="s">
        <v>16281</v>
      </c>
      <c r="C16875" s="1" t="str">
        <f>HYPERLINK("http://www.genecards.org/cgi-bin/carddisp.pl?gene=GCLC","GeneCards")</f>
        <v>GeneCards</v>
      </c>
      <c r="D16875" s="1" t="str">
        <f>HYPERLINK("http://genome-euro.ucsc.edu/cgi-bin/hgTracks?position=202923_s_at","UCSC")</f>
        <v>UCSC</v>
      </c>
      <c r="E16875" s="1" t="str">
        <f>HYPERLINK("http://www.ncbi.nlm.nih.gov/gene/?term=GCLC","NCBI")</f>
        <v>NCBI</v>
      </c>
      <c r="F16875">
        <v>0.97</v>
      </c>
      <c r="G16875">
        <v>0.97</v>
      </c>
      <c r="H16875" s="1" t="str">
        <f>HYPERLINK("http://www.weizmann.ac.il/complex/compphys/software/geview/data/figures/202923_s_at.png","Figure")</f>
        <v>Figure</v>
      </c>
      <c r="I16875">
        <v>1.03</v>
      </c>
      <c r="J16875">
        <v>0.98</v>
      </c>
      <c r="K16875">
        <v>1.03</v>
      </c>
      <c r="L16875">
        <v>0.97</v>
      </c>
      <c r="M16875">
        <v>1</v>
      </c>
      <c r="N16875">
        <v>1</v>
      </c>
    </row>
    <row r="16876" spans="1:14" x14ac:dyDescent="0.25">
      <c r="A16876" t="s">
        <v>28205</v>
      </c>
      <c r="B16876" t="s">
        <v>7214</v>
      </c>
      <c r="C16876" s="1" t="str">
        <f>HYPERLINK("http://www.genecards.org/cgi-bin/carddisp.pl?gene=DGKA","GeneCards")</f>
        <v>GeneCards</v>
      </c>
      <c r="D16876" s="1" t="str">
        <f>HYPERLINK("http://genome-euro.ucsc.edu/cgi-bin/hgTracks?position=203385_at","UCSC")</f>
        <v>UCSC</v>
      </c>
      <c r="E16876" s="1" t="str">
        <f>HYPERLINK("http://www.ncbi.nlm.nih.gov/gene/?term=DGKA","NCBI")</f>
        <v>NCBI</v>
      </c>
      <c r="F16876">
        <v>0.97</v>
      </c>
      <c r="G16876">
        <v>0.97</v>
      </c>
      <c r="H16876" s="1" t="str">
        <f>HYPERLINK("http://www.weizmann.ac.il/complex/compphys/software/geview/data/figures/203385_at.png","Figure")</f>
        <v>Figure</v>
      </c>
      <c r="I16876">
        <v>0.997</v>
      </c>
      <c r="J16876">
        <v>1</v>
      </c>
      <c r="K16876">
        <v>1.04</v>
      </c>
      <c r="L16876">
        <v>0.98</v>
      </c>
      <c r="M16876">
        <v>1.04</v>
      </c>
      <c r="N16876">
        <v>0.97</v>
      </c>
    </row>
    <row r="16877" spans="1:14" x14ac:dyDescent="0.25">
      <c r="A16877" t="s">
        <v>28206</v>
      </c>
      <c r="B16877" t="s">
        <v>12186</v>
      </c>
      <c r="C16877" s="1" t="str">
        <f>HYPERLINK("http://www.genecards.org/cgi-bin/carddisp.pl?gene=RPS3A","GeneCards")</f>
        <v>GeneCards</v>
      </c>
      <c r="D16877" s="1" t="str">
        <f>HYPERLINK("http://genome-euro.ucsc.edu/cgi-bin/hgTracks?position=212391_x_at","UCSC")</f>
        <v>UCSC</v>
      </c>
      <c r="E16877" s="1" t="str">
        <f>HYPERLINK("http://www.ncbi.nlm.nih.gov/gene/?term=RPS3A","NCBI")</f>
        <v>NCBI</v>
      </c>
      <c r="F16877">
        <v>0.97</v>
      </c>
      <c r="G16877">
        <v>0.97</v>
      </c>
      <c r="H16877" s="1" t="str">
        <f>HYPERLINK("http://www.weizmann.ac.il/complex/compphys/software/geview/data/figures/212391_x_at.png","Figure")</f>
        <v>Figure</v>
      </c>
      <c r="I16877">
        <v>1.01</v>
      </c>
      <c r="J16877">
        <v>0.98</v>
      </c>
      <c r="K16877">
        <v>1.01</v>
      </c>
      <c r="L16877">
        <v>0.97</v>
      </c>
      <c r="M16877">
        <v>1</v>
      </c>
      <c r="N16877">
        <v>1</v>
      </c>
    </row>
    <row r="16878" spans="1:14" x14ac:dyDescent="0.25">
      <c r="A16878" t="s">
        <v>28207</v>
      </c>
      <c r="B16878" t="s">
        <v>11110</v>
      </c>
      <c r="C16878" s="1" t="str">
        <f>HYPERLINK("http://www.genecards.org/cgi-bin/carddisp.pl?gene=MCL1","GeneCards")</f>
        <v>GeneCards</v>
      </c>
      <c r="D16878" s="1" t="str">
        <f>HYPERLINK("http://genome-euro.ucsc.edu/cgi-bin/hgTracks?position=214057_at","UCSC")</f>
        <v>UCSC</v>
      </c>
      <c r="E16878" s="1" t="str">
        <f>HYPERLINK("http://www.ncbi.nlm.nih.gov/gene/?term=MCL1","NCBI")</f>
        <v>NCBI</v>
      </c>
      <c r="F16878">
        <v>0.97</v>
      </c>
      <c r="G16878">
        <v>0.97</v>
      </c>
      <c r="H16878" s="1" t="str">
        <f>HYPERLINK("http://www.weizmann.ac.il/complex/compphys/software/geview/data/figures/214057_at.png","Figure")</f>
        <v>Figure</v>
      </c>
      <c r="I16878">
        <v>1.02</v>
      </c>
      <c r="J16878">
        <v>0.98</v>
      </c>
      <c r="K16878">
        <v>1.03</v>
      </c>
      <c r="L16878">
        <v>0.97</v>
      </c>
      <c r="M16878">
        <v>1.01</v>
      </c>
      <c r="N16878">
        <v>1</v>
      </c>
    </row>
    <row r="16879" spans="1:14" x14ac:dyDescent="0.25">
      <c r="A16879" t="s">
        <v>28208</v>
      </c>
      <c r="B16879" t="s">
        <v>28209</v>
      </c>
      <c r="C16879" s="1" t="str">
        <f>HYPERLINK("http://www.genecards.org/cgi-bin/carddisp.pl?gene=TACR2","GeneCards")</f>
        <v>GeneCards</v>
      </c>
      <c r="D16879" s="1" t="str">
        <f>HYPERLINK("http://genome-euro.ucsc.edu/cgi-bin/hgTracks?position=214348_at","UCSC")</f>
        <v>UCSC</v>
      </c>
      <c r="E16879" s="1" t="str">
        <f>HYPERLINK("http://www.ncbi.nlm.nih.gov/gene/?term=TACR2","NCBI")</f>
        <v>NCBI</v>
      </c>
      <c r="F16879">
        <v>0.97</v>
      </c>
      <c r="G16879">
        <v>0.97</v>
      </c>
      <c r="H16879" s="1" t="str">
        <f>HYPERLINK("http://www.weizmann.ac.il/complex/compphys/software/geview/data/figures/214348_at.png","Figure")</f>
        <v>Figure</v>
      </c>
      <c r="I16879">
        <v>1.02</v>
      </c>
      <c r="J16879">
        <v>0.98</v>
      </c>
      <c r="K16879">
        <v>0.996</v>
      </c>
      <c r="L16879">
        <v>1</v>
      </c>
      <c r="M16879">
        <v>0.98099999999999998</v>
      </c>
      <c r="N16879">
        <v>0.97</v>
      </c>
    </row>
    <row r="16880" spans="1:14" x14ac:dyDescent="0.25">
      <c r="A16880" t="s">
        <v>28210</v>
      </c>
      <c r="B16880" t="s">
        <v>28211</v>
      </c>
      <c r="C16880" s="1" t="str">
        <f>HYPERLINK("http://www.genecards.org/cgi-bin/carddisp.pl?gene=IGHG1 /// LOC100132941 /// LOC100289290 /// LOC100290115","GeneCards")</f>
        <v>GeneCards</v>
      </c>
      <c r="D16880" s="1" t="str">
        <f>HYPERLINK("http://genome-euro.ucsc.edu/cgi-bin/hgTracks?position=217369_at","UCSC")</f>
        <v>UCSC</v>
      </c>
      <c r="E16880" s="1" t="str">
        <f>HYPERLINK("http://www.ncbi.nlm.nih.gov/gene/?term=IGHG1 /// LOC100132941 /// LOC100289290 /// LOC100290115","NCBI")</f>
        <v>NCBI</v>
      </c>
      <c r="F16880">
        <v>0.97</v>
      </c>
      <c r="G16880">
        <v>0.97</v>
      </c>
      <c r="H16880" s="1" t="str">
        <f>HYPERLINK("http://www.weizmann.ac.il/complex/compphys/software/geview/data/figures/217369_at.png","Figure")</f>
        <v>Figure</v>
      </c>
      <c r="I16880">
        <v>1</v>
      </c>
      <c r="J16880">
        <v>1</v>
      </c>
      <c r="K16880">
        <v>1.01</v>
      </c>
      <c r="L16880">
        <v>0.97</v>
      </c>
      <c r="M16880">
        <v>1.01</v>
      </c>
      <c r="N16880">
        <v>0.98</v>
      </c>
    </row>
    <row r="16881" spans="1:14" x14ac:dyDescent="0.25">
      <c r="A16881" t="s">
        <v>28212</v>
      </c>
      <c r="B16881" t="s">
        <v>14638</v>
      </c>
      <c r="C16881" s="1" t="str">
        <f>HYPERLINK("http://www.genecards.org/cgi-bin/carddisp.pl?gene=NR6A1","GeneCards")</f>
        <v>GeneCards</v>
      </c>
      <c r="D16881" s="1" t="str">
        <f>HYPERLINK("http://genome-euro.ucsc.edu/cgi-bin/hgTracks?position=210392_x_at","UCSC")</f>
        <v>UCSC</v>
      </c>
      <c r="E16881" s="1" t="str">
        <f>HYPERLINK("http://www.ncbi.nlm.nih.gov/gene/?term=NR6A1","NCBI")</f>
        <v>NCBI</v>
      </c>
      <c r="F16881">
        <v>0.97</v>
      </c>
      <c r="G16881">
        <v>0.97</v>
      </c>
      <c r="H16881" s="1" t="str">
        <f>HYPERLINK("http://www.weizmann.ac.il/complex/compphys/software/geview/data/figures/210392_x_at.png","Figure")</f>
        <v>Figure</v>
      </c>
      <c r="I16881">
        <v>0.98899999999999999</v>
      </c>
      <c r="J16881">
        <v>0.97</v>
      </c>
      <c r="K16881">
        <v>0.99099999999999999</v>
      </c>
      <c r="L16881">
        <v>0.97</v>
      </c>
      <c r="M16881">
        <v>1</v>
      </c>
      <c r="N16881">
        <v>1</v>
      </c>
    </row>
    <row r="16882" spans="1:14" x14ac:dyDescent="0.25">
      <c r="A16882" t="s">
        <v>28213</v>
      </c>
      <c r="B16882" t="s">
        <v>27562</v>
      </c>
      <c r="C16882" s="1" t="str">
        <f>HYPERLINK("http://www.genecards.org/cgi-bin/carddisp.pl?gene=FBXO21","GeneCards")</f>
        <v>GeneCards</v>
      </c>
      <c r="D16882" s="1" t="str">
        <f>HYPERLINK("http://genome-euro.ucsc.edu/cgi-bin/hgTracks?position=212231_at","UCSC")</f>
        <v>UCSC</v>
      </c>
      <c r="E16882" s="1" t="str">
        <f>HYPERLINK("http://www.ncbi.nlm.nih.gov/gene/?term=FBXO21","NCBI")</f>
        <v>NCBI</v>
      </c>
      <c r="F16882">
        <v>0.97</v>
      </c>
      <c r="G16882">
        <v>0.98</v>
      </c>
      <c r="H16882" s="1" t="str">
        <f>HYPERLINK("http://www.weizmann.ac.il/complex/compphys/software/geview/data/figures/212231_at.png","Figure")</f>
        <v>Figure</v>
      </c>
      <c r="I16882">
        <v>0.94599999999999995</v>
      </c>
      <c r="J16882">
        <v>0.97</v>
      </c>
      <c r="K16882">
        <v>0.95099999999999996</v>
      </c>
      <c r="L16882">
        <v>0.97</v>
      </c>
      <c r="M16882">
        <v>1.01</v>
      </c>
      <c r="N16882">
        <v>1</v>
      </c>
    </row>
    <row r="16883" spans="1:14" x14ac:dyDescent="0.25">
      <c r="A16883" t="s">
        <v>28214</v>
      </c>
      <c r="B16883" t="s">
        <v>28215</v>
      </c>
      <c r="C16883" s="1" t="str">
        <f>HYPERLINK("http://www.genecards.org/cgi-bin/carddisp.pl?gene=FBXL2","GeneCards")</f>
        <v>GeneCards</v>
      </c>
      <c r="D16883" s="1" t="str">
        <f>HYPERLINK("http://genome-euro.ucsc.edu/cgi-bin/hgTracks?position=214436_at","UCSC")</f>
        <v>UCSC</v>
      </c>
      <c r="E16883" s="1" t="str">
        <f>HYPERLINK("http://www.ncbi.nlm.nih.gov/gene/?term=FBXL2","NCBI")</f>
        <v>NCBI</v>
      </c>
      <c r="F16883">
        <v>0.97</v>
      </c>
      <c r="G16883">
        <v>0.98</v>
      </c>
      <c r="H16883" s="1" t="str">
        <f>HYPERLINK("http://www.weizmann.ac.il/complex/compphys/software/geview/data/figures/214436_at.png","Figure")</f>
        <v>Figure</v>
      </c>
      <c r="I16883">
        <v>1.01</v>
      </c>
      <c r="J16883">
        <v>0.98</v>
      </c>
      <c r="K16883">
        <v>0.995</v>
      </c>
      <c r="L16883">
        <v>1</v>
      </c>
      <c r="M16883">
        <v>0.98099999999999998</v>
      </c>
      <c r="N16883">
        <v>0.97</v>
      </c>
    </row>
    <row r="16884" spans="1:14" x14ac:dyDescent="0.25">
      <c r="A16884" t="s">
        <v>28216</v>
      </c>
      <c r="B16884" t="s">
        <v>28217</v>
      </c>
      <c r="C16884" s="1" t="str">
        <f>HYPERLINK("http://www.genecards.org/cgi-bin/carddisp.pl?gene=CBX2","GeneCards")</f>
        <v>GeneCards</v>
      </c>
      <c r="D16884" s="1" t="str">
        <f>HYPERLINK("http://genome-euro.ucsc.edu/cgi-bin/hgTracks?position=215989_at","UCSC")</f>
        <v>UCSC</v>
      </c>
      <c r="E16884" s="1" t="str">
        <f>HYPERLINK("http://www.ncbi.nlm.nih.gov/gene/?term=CBX2","NCBI")</f>
        <v>NCBI</v>
      </c>
      <c r="F16884">
        <v>0.97</v>
      </c>
      <c r="G16884">
        <v>0.98</v>
      </c>
      <c r="H16884" s="1" t="str">
        <f>HYPERLINK("http://www.weizmann.ac.il/complex/compphys/software/geview/data/figures/215989_at.png","Figure")</f>
        <v>Figure</v>
      </c>
      <c r="I16884">
        <v>0.995</v>
      </c>
      <c r="J16884">
        <v>1</v>
      </c>
      <c r="K16884">
        <v>0.98699999999999999</v>
      </c>
      <c r="L16884">
        <v>0.97</v>
      </c>
      <c r="M16884">
        <v>0.99199999999999999</v>
      </c>
      <c r="N16884">
        <v>0.99</v>
      </c>
    </row>
    <row r="16885" spans="1:14" x14ac:dyDescent="0.25">
      <c r="A16885" t="s">
        <v>28218</v>
      </c>
      <c r="B16885" t="s">
        <v>10430</v>
      </c>
      <c r="C16885" s="1" t="str">
        <f>HYPERLINK("http://www.genecards.org/cgi-bin/carddisp.pl?gene=TNFRSF25","GeneCards")</f>
        <v>GeneCards</v>
      </c>
      <c r="D16885" s="1" t="str">
        <f>HYPERLINK("http://genome-euro.ucsc.edu/cgi-bin/hgTracks?position=211282_x_at","UCSC")</f>
        <v>UCSC</v>
      </c>
      <c r="E16885" s="1" t="str">
        <f>HYPERLINK("http://www.ncbi.nlm.nih.gov/gene/?term=TNFRSF25","NCBI")</f>
        <v>NCBI</v>
      </c>
      <c r="F16885">
        <v>0.97</v>
      </c>
      <c r="G16885">
        <v>0.98</v>
      </c>
      <c r="H16885" s="1" t="str">
        <f>HYPERLINK("http://www.weizmann.ac.il/complex/compphys/software/geview/data/figures/211282_x_at.png","Figure")</f>
        <v>Figure</v>
      </c>
      <c r="I16885">
        <v>1.02</v>
      </c>
      <c r="J16885">
        <v>0.97</v>
      </c>
      <c r="K16885">
        <v>1.02</v>
      </c>
      <c r="L16885">
        <v>0.97</v>
      </c>
      <c r="M16885">
        <v>0.998</v>
      </c>
      <c r="N16885">
        <v>1</v>
      </c>
    </row>
    <row r="16886" spans="1:14" x14ac:dyDescent="0.25">
      <c r="A16886" t="s">
        <v>28219</v>
      </c>
      <c r="B16886" t="s">
        <v>28220</v>
      </c>
      <c r="C16886" s="1" t="str">
        <f>HYPERLINK("http://www.genecards.org/cgi-bin/carddisp.pl?gene=FBRS","GeneCards")</f>
        <v>GeneCards</v>
      </c>
      <c r="D16886" s="1" t="str">
        <f>HYPERLINK("http://genome-euro.ucsc.edu/cgi-bin/hgTracks?position=218255_s_at","UCSC")</f>
        <v>UCSC</v>
      </c>
      <c r="E16886" s="1" t="str">
        <f>HYPERLINK("http://www.ncbi.nlm.nih.gov/gene/?term=FBRS","NCBI")</f>
        <v>NCBI</v>
      </c>
      <c r="F16886">
        <v>0.97</v>
      </c>
      <c r="G16886">
        <v>0.98</v>
      </c>
      <c r="H16886" s="1" t="str">
        <f>HYPERLINK("http://www.weizmann.ac.il/complex/compphys/software/geview/data/figures/218255_s_at.png","Figure")</f>
        <v>Figure</v>
      </c>
      <c r="I16886">
        <v>0.99099999999999999</v>
      </c>
      <c r="J16886">
        <v>1</v>
      </c>
      <c r="K16886">
        <v>0.97</v>
      </c>
      <c r="L16886">
        <v>0.97</v>
      </c>
      <c r="M16886">
        <v>0.97899999999999998</v>
      </c>
      <c r="N16886">
        <v>0.99</v>
      </c>
    </row>
    <row r="16887" spans="1:14" x14ac:dyDescent="0.25">
      <c r="A16887" t="s">
        <v>28221</v>
      </c>
      <c r="B16887" t="s">
        <v>28222</v>
      </c>
      <c r="C16887" s="1" t="str">
        <f>HYPERLINK("http://www.genecards.org/cgi-bin/carddisp.pl?gene=STRAP","GeneCards")</f>
        <v>GeneCards</v>
      </c>
      <c r="D16887" s="1" t="str">
        <f>HYPERLINK("http://genome-euro.ucsc.edu/cgi-bin/hgTracks?position=200870_at","UCSC")</f>
        <v>UCSC</v>
      </c>
      <c r="E16887" s="1" t="str">
        <f>HYPERLINK("http://www.ncbi.nlm.nih.gov/gene/?term=STRAP","NCBI")</f>
        <v>NCBI</v>
      </c>
      <c r="F16887">
        <v>0.97</v>
      </c>
      <c r="G16887">
        <v>0.98</v>
      </c>
      <c r="H16887" s="1" t="str">
        <f>HYPERLINK("http://www.weizmann.ac.il/complex/compphys/software/geview/data/figures/200870_at.png","Figure")</f>
        <v>Figure</v>
      </c>
      <c r="I16887">
        <v>1.05</v>
      </c>
      <c r="J16887">
        <v>0.97</v>
      </c>
      <c r="K16887">
        <v>1.03</v>
      </c>
      <c r="L16887">
        <v>0.99</v>
      </c>
      <c r="M16887">
        <v>0.97899999999999998</v>
      </c>
      <c r="N16887">
        <v>0.99</v>
      </c>
    </row>
    <row r="16888" spans="1:14" x14ac:dyDescent="0.25">
      <c r="A16888" t="s">
        <v>28223</v>
      </c>
      <c r="B16888" t="s">
        <v>19509</v>
      </c>
      <c r="C16888" s="1" t="str">
        <f>HYPERLINK("http://www.genecards.org/cgi-bin/carddisp.pl?gene=DDX17","GeneCards")</f>
        <v>GeneCards</v>
      </c>
      <c r="D16888" s="1" t="str">
        <f>HYPERLINK("http://genome-euro.ucsc.edu/cgi-bin/hgTracks?position=208151_x_at","UCSC")</f>
        <v>UCSC</v>
      </c>
      <c r="E16888" s="1" t="str">
        <f>HYPERLINK("http://www.ncbi.nlm.nih.gov/gene/?term=DDX17","NCBI")</f>
        <v>NCBI</v>
      </c>
      <c r="F16888">
        <v>0.97</v>
      </c>
      <c r="G16888">
        <v>0.98</v>
      </c>
      <c r="H16888" s="1" t="str">
        <f>HYPERLINK("http://www.weizmann.ac.il/complex/compphys/software/geview/data/figures/208151_x_at.png","Figure")</f>
        <v>Figure</v>
      </c>
      <c r="I16888">
        <v>1.03</v>
      </c>
      <c r="J16888">
        <v>0.98</v>
      </c>
      <c r="K16888">
        <v>0.98799999999999999</v>
      </c>
      <c r="L16888">
        <v>1</v>
      </c>
      <c r="M16888">
        <v>0.95599999999999996</v>
      </c>
      <c r="N16888">
        <v>0.97</v>
      </c>
    </row>
    <row r="16889" spans="1:14" x14ac:dyDescent="0.25">
      <c r="A16889" t="s">
        <v>28224</v>
      </c>
      <c r="B16889" t="s">
        <v>12698</v>
      </c>
      <c r="C16889" s="1" t="str">
        <f>HYPERLINK("http://www.genecards.org/cgi-bin/carddisp.pl?gene=MSH6","GeneCards")</f>
        <v>GeneCards</v>
      </c>
      <c r="D16889" s="1" t="str">
        <f>HYPERLINK("http://genome-euro.ucsc.edu/cgi-bin/hgTracks?position=211450_s_at","UCSC")</f>
        <v>UCSC</v>
      </c>
      <c r="E16889" s="1" t="str">
        <f>HYPERLINK("http://www.ncbi.nlm.nih.gov/gene/?term=MSH6","NCBI")</f>
        <v>NCBI</v>
      </c>
      <c r="F16889">
        <v>0.97</v>
      </c>
      <c r="G16889">
        <v>0.98</v>
      </c>
      <c r="H16889" s="1" t="str">
        <f>HYPERLINK("http://www.weizmann.ac.il/complex/compphys/software/geview/data/figures/211450_s_at.png","Figure")</f>
        <v>Figure</v>
      </c>
      <c r="I16889">
        <v>1.02</v>
      </c>
      <c r="J16889">
        <v>1</v>
      </c>
      <c r="K16889">
        <v>0.96399999999999997</v>
      </c>
      <c r="L16889">
        <v>0.98</v>
      </c>
      <c r="M16889">
        <v>0.95</v>
      </c>
      <c r="N16889">
        <v>0.97</v>
      </c>
    </row>
    <row r="16890" spans="1:14" x14ac:dyDescent="0.25">
      <c r="A16890" t="s">
        <v>28225</v>
      </c>
      <c r="B16890" t="s">
        <v>21804</v>
      </c>
      <c r="C16890" s="1" t="str">
        <f>HYPERLINK("http://www.genecards.org/cgi-bin/carddisp.pl?gene=CDV3","GeneCards")</f>
        <v>GeneCards</v>
      </c>
      <c r="D16890" s="1" t="str">
        <f>HYPERLINK("http://genome-euro.ucsc.edu/cgi-bin/hgTracks?position=213548_s_at","UCSC")</f>
        <v>UCSC</v>
      </c>
      <c r="E16890" s="1" t="str">
        <f>HYPERLINK("http://www.ncbi.nlm.nih.gov/gene/?term=CDV3","NCBI")</f>
        <v>NCBI</v>
      </c>
      <c r="F16890">
        <v>0.97</v>
      </c>
      <c r="G16890">
        <v>0.98</v>
      </c>
      <c r="H16890" s="1" t="str">
        <f>HYPERLINK("http://www.weizmann.ac.il/complex/compphys/software/geview/data/figures/213548_s_at.png","Figure")</f>
        <v>Figure</v>
      </c>
      <c r="I16890">
        <v>1.04</v>
      </c>
      <c r="J16890">
        <v>0.97</v>
      </c>
      <c r="K16890">
        <v>1.01</v>
      </c>
      <c r="L16890">
        <v>1</v>
      </c>
      <c r="M16890">
        <v>0.97299999999999998</v>
      </c>
      <c r="N16890">
        <v>0.98</v>
      </c>
    </row>
    <row r="16891" spans="1:14" x14ac:dyDescent="0.25">
      <c r="A16891" t="s">
        <v>28226</v>
      </c>
      <c r="B16891" t="s">
        <v>18552</v>
      </c>
      <c r="C16891" s="1" t="str">
        <f>HYPERLINK("http://www.genecards.org/cgi-bin/carddisp.pl?gene=TSN","GeneCards")</f>
        <v>GeneCards</v>
      </c>
      <c r="D16891" s="1" t="str">
        <f>HYPERLINK("http://genome-euro.ucsc.edu/cgi-bin/hgTracks?position=201515_s_at","UCSC")</f>
        <v>UCSC</v>
      </c>
      <c r="E16891" s="1" t="str">
        <f>HYPERLINK("http://www.ncbi.nlm.nih.gov/gene/?term=TSN","NCBI")</f>
        <v>NCBI</v>
      </c>
      <c r="F16891">
        <v>0.97</v>
      </c>
      <c r="G16891">
        <v>0.98</v>
      </c>
      <c r="H16891" s="1" t="str">
        <f>HYPERLINK("http://www.weizmann.ac.il/complex/compphys/software/geview/data/figures/201515_s_at.png","Figure")</f>
        <v>Figure</v>
      </c>
      <c r="I16891">
        <v>1.03</v>
      </c>
      <c r="J16891">
        <v>0.97</v>
      </c>
      <c r="K16891">
        <v>1.01</v>
      </c>
      <c r="L16891">
        <v>0.99</v>
      </c>
      <c r="M16891">
        <v>0.98</v>
      </c>
      <c r="N16891">
        <v>0.99</v>
      </c>
    </row>
    <row r="16892" spans="1:14" x14ac:dyDescent="0.25">
      <c r="A16892" t="s">
        <v>28227</v>
      </c>
      <c r="B16892" t="s">
        <v>1616</v>
      </c>
      <c r="C16892" s="1" t="str">
        <f>HYPERLINK("http://www.genecards.org/cgi-bin/carddisp.pl?gene=NCR2","GeneCards")</f>
        <v>GeneCards</v>
      </c>
      <c r="D16892" s="1" t="str">
        <f>HYPERLINK("http://genome-euro.ucsc.edu/cgi-bin/hgTracks?position=221075_s_at","UCSC")</f>
        <v>UCSC</v>
      </c>
      <c r="E16892" s="1" t="str">
        <f>HYPERLINK("http://www.ncbi.nlm.nih.gov/gene/?term=NCR2","NCBI")</f>
        <v>NCBI</v>
      </c>
      <c r="F16892">
        <v>0.97</v>
      </c>
      <c r="G16892">
        <v>0.98</v>
      </c>
      <c r="H16892" s="1" t="str">
        <f>HYPERLINK("http://www.weizmann.ac.il/complex/compphys/software/geview/data/figures/221075_s_at.png","Figure")</f>
        <v>Figure</v>
      </c>
      <c r="I16892">
        <v>0.98399999999999999</v>
      </c>
      <c r="J16892">
        <v>0.97</v>
      </c>
      <c r="K16892">
        <v>0.99</v>
      </c>
      <c r="L16892">
        <v>0.99</v>
      </c>
      <c r="M16892">
        <v>1.01</v>
      </c>
      <c r="N16892">
        <v>0.99</v>
      </c>
    </row>
    <row r="16893" spans="1:14" x14ac:dyDescent="0.25">
      <c r="A16893" t="s">
        <v>28228</v>
      </c>
      <c r="B16893" t="s">
        <v>19628</v>
      </c>
      <c r="C16893" s="1" t="str">
        <f>HYPERLINK("http://www.genecards.org/cgi-bin/carddisp.pl?gene=SMARCE1","GeneCards")</f>
        <v>GeneCards</v>
      </c>
      <c r="D16893" s="1" t="str">
        <f>HYPERLINK("http://genome-euro.ucsc.edu/cgi-bin/hgTracks?position=211989_at","UCSC")</f>
        <v>UCSC</v>
      </c>
      <c r="E16893" s="1" t="str">
        <f>HYPERLINK("http://www.ncbi.nlm.nih.gov/gene/?term=SMARCE1","NCBI")</f>
        <v>NCBI</v>
      </c>
      <c r="F16893">
        <v>0.97</v>
      </c>
      <c r="G16893">
        <v>0.98</v>
      </c>
      <c r="H16893" s="1" t="str">
        <f>HYPERLINK("http://www.weizmann.ac.il/complex/compphys/software/geview/data/figures/211989_at.png","Figure")</f>
        <v>Figure</v>
      </c>
      <c r="I16893">
        <v>1.02</v>
      </c>
      <c r="J16893">
        <v>0.99</v>
      </c>
      <c r="K16893">
        <v>0.98099999999999998</v>
      </c>
      <c r="L16893">
        <v>0.99</v>
      </c>
      <c r="M16893">
        <v>0.96099999999999997</v>
      </c>
      <c r="N16893">
        <v>0.97</v>
      </c>
    </row>
    <row r="16894" spans="1:14" x14ac:dyDescent="0.25">
      <c r="A16894" t="s">
        <v>28229</v>
      </c>
      <c r="B16894" t="s">
        <v>10682</v>
      </c>
      <c r="C16894" s="1" t="str">
        <f>HYPERLINK("http://www.genecards.org/cgi-bin/carddisp.pl?gene=PTBP1","GeneCards")</f>
        <v>GeneCards</v>
      </c>
      <c r="D16894" s="1" t="str">
        <f>HYPERLINK("http://genome-euro.ucsc.edu/cgi-bin/hgTracks?position=211271_x_at","UCSC")</f>
        <v>UCSC</v>
      </c>
      <c r="E16894" s="1" t="str">
        <f>HYPERLINK("http://www.ncbi.nlm.nih.gov/gene/?term=PTBP1","NCBI")</f>
        <v>NCBI</v>
      </c>
      <c r="F16894">
        <v>0.97</v>
      </c>
      <c r="G16894">
        <v>0.98</v>
      </c>
      <c r="H16894" s="1" t="str">
        <f>HYPERLINK("http://www.weizmann.ac.il/complex/compphys/software/geview/data/figures/211271_x_at.png","Figure")</f>
        <v>Figure</v>
      </c>
      <c r="I16894">
        <v>0.97799999999999998</v>
      </c>
      <c r="J16894">
        <v>0.99</v>
      </c>
      <c r="K16894">
        <v>1.01</v>
      </c>
      <c r="L16894">
        <v>1</v>
      </c>
      <c r="M16894">
        <v>1.03</v>
      </c>
      <c r="N16894">
        <v>0.97</v>
      </c>
    </row>
    <row r="16895" spans="1:14" x14ac:dyDescent="0.25">
      <c r="A16895" t="s">
        <v>28230</v>
      </c>
      <c r="B16895" t="s">
        <v>1879</v>
      </c>
      <c r="C16895" s="1" t="str">
        <f>HYPERLINK("http://www.genecards.org/cgi-bin/carddisp.pl?gene=TIMELESS","GeneCards")</f>
        <v>GeneCards</v>
      </c>
      <c r="D16895" s="1" t="str">
        <f>HYPERLINK("http://genome-euro.ucsc.edu/cgi-bin/hgTracks?position=203046_s_at","UCSC")</f>
        <v>UCSC</v>
      </c>
      <c r="E16895" s="1" t="str">
        <f>HYPERLINK("http://www.ncbi.nlm.nih.gov/gene/?term=TIMELESS","NCBI")</f>
        <v>NCBI</v>
      </c>
      <c r="F16895">
        <v>0.97</v>
      </c>
      <c r="G16895">
        <v>0.98</v>
      </c>
      <c r="H16895" s="1" t="str">
        <f>HYPERLINK("http://www.weizmann.ac.il/complex/compphys/software/geview/data/figures/203046_s_at.png","Figure")</f>
        <v>Figure</v>
      </c>
      <c r="I16895">
        <v>0.95199999999999996</v>
      </c>
      <c r="J16895">
        <v>0.97</v>
      </c>
      <c r="K16895">
        <v>0.97899999999999998</v>
      </c>
      <c r="L16895">
        <v>0.99</v>
      </c>
      <c r="M16895">
        <v>1.03</v>
      </c>
      <c r="N16895">
        <v>0.99</v>
      </c>
    </row>
    <row r="16896" spans="1:14" x14ac:dyDescent="0.25">
      <c r="A16896" t="s">
        <v>28231</v>
      </c>
      <c r="B16896" t="s">
        <v>28232</v>
      </c>
      <c r="C16896" s="1" t="str">
        <f>HYPERLINK("http://www.genecards.org/cgi-bin/carddisp.pl?gene=NEIL1","GeneCards")</f>
        <v>GeneCards</v>
      </c>
      <c r="D16896" s="1" t="str">
        <f>HYPERLINK("http://genome-euro.ucsc.edu/cgi-bin/hgTracks?position=219396_s_at","UCSC")</f>
        <v>UCSC</v>
      </c>
      <c r="E16896" s="1" t="str">
        <f>HYPERLINK("http://www.ncbi.nlm.nih.gov/gene/?term=NEIL1","NCBI")</f>
        <v>NCBI</v>
      </c>
      <c r="F16896">
        <v>0.97</v>
      </c>
      <c r="G16896">
        <v>0.98</v>
      </c>
      <c r="H16896" s="1" t="str">
        <f>HYPERLINK("http://www.weizmann.ac.il/complex/compphys/software/geview/data/figures/219396_s_at.png","Figure")</f>
        <v>Figure</v>
      </c>
      <c r="I16896">
        <v>1.07</v>
      </c>
      <c r="J16896">
        <v>0.97</v>
      </c>
      <c r="K16896">
        <v>1.03</v>
      </c>
      <c r="L16896">
        <v>0.99</v>
      </c>
      <c r="M16896">
        <v>0.96199999999999997</v>
      </c>
      <c r="N16896">
        <v>0.99</v>
      </c>
    </row>
    <row r="16897" spans="1:14" x14ac:dyDescent="0.25">
      <c r="A16897" t="s">
        <v>28233</v>
      </c>
      <c r="B16897" t="s">
        <v>8439</v>
      </c>
      <c r="C16897" s="1" t="str">
        <f>HYPERLINK("http://www.genecards.org/cgi-bin/carddisp.pl?gene=SLC7A6","GeneCards")</f>
        <v>GeneCards</v>
      </c>
      <c r="D16897" s="1" t="str">
        <f>HYPERLINK("http://genome-euro.ucsc.edu/cgi-bin/hgTracks?position=203579_s_at","UCSC")</f>
        <v>UCSC</v>
      </c>
      <c r="E16897" s="1" t="str">
        <f>HYPERLINK("http://www.ncbi.nlm.nih.gov/gene/?term=SLC7A6","NCBI")</f>
        <v>NCBI</v>
      </c>
      <c r="F16897">
        <v>0.97</v>
      </c>
      <c r="G16897">
        <v>0.98</v>
      </c>
      <c r="H16897" s="1" t="str">
        <f>HYPERLINK("http://www.weizmann.ac.il/complex/compphys/software/geview/data/figures/203579_s_at.png","Figure")</f>
        <v>Figure</v>
      </c>
      <c r="I16897">
        <v>1.03</v>
      </c>
      <c r="J16897">
        <v>0.97</v>
      </c>
      <c r="K16897">
        <v>1</v>
      </c>
      <c r="L16897">
        <v>1</v>
      </c>
      <c r="M16897">
        <v>0.97399999999999998</v>
      </c>
      <c r="N16897">
        <v>0.98</v>
      </c>
    </row>
    <row r="16898" spans="1:14" x14ac:dyDescent="0.25">
      <c r="A16898" t="s">
        <v>28234</v>
      </c>
      <c r="B16898" t="s">
        <v>28235</v>
      </c>
      <c r="C16898" s="1" t="str">
        <f>HYPERLINK("http://www.genecards.org/cgi-bin/carddisp.pl?gene=ORMDL2","GeneCards")</f>
        <v>GeneCards</v>
      </c>
      <c r="D16898" s="1" t="str">
        <f>HYPERLINK("http://genome-euro.ucsc.edu/cgi-bin/hgTracks?position=218556_at","UCSC")</f>
        <v>UCSC</v>
      </c>
      <c r="E16898" s="1" t="str">
        <f>HYPERLINK("http://www.ncbi.nlm.nih.gov/gene/?term=ORMDL2","NCBI")</f>
        <v>NCBI</v>
      </c>
      <c r="F16898">
        <v>0.97</v>
      </c>
      <c r="G16898">
        <v>0.98</v>
      </c>
      <c r="H16898" s="1" t="str">
        <f>HYPERLINK("http://www.weizmann.ac.il/complex/compphys/software/geview/data/figures/218556_at.png","Figure")</f>
        <v>Figure</v>
      </c>
      <c r="I16898">
        <v>0.95299999999999996</v>
      </c>
      <c r="J16898">
        <v>0.97</v>
      </c>
      <c r="K16898">
        <v>0.98899999999999999</v>
      </c>
      <c r="L16898">
        <v>1</v>
      </c>
      <c r="M16898">
        <v>1.04</v>
      </c>
      <c r="N16898">
        <v>0.98</v>
      </c>
    </row>
    <row r="16899" spans="1:14" x14ac:dyDescent="0.25">
      <c r="A16899" t="s">
        <v>28236</v>
      </c>
      <c r="B16899" t="s">
        <v>28237</v>
      </c>
      <c r="C16899" s="1" t="str">
        <f>HYPERLINK("http://www.genecards.org/cgi-bin/carddisp.pl?gene=LOC100293553","GeneCards")</f>
        <v>GeneCards</v>
      </c>
      <c r="D16899" s="1" t="str">
        <f>HYPERLINK("http://genome-euro.ucsc.edu/cgi-bin/hgTracks?position=207915_at","UCSC")</f>
        <v>UCSC</v>
      </c>
      <c r="E16899" s="1" t="str">
        <f>HYPERLINK("http://www.ncbi.nlm.nih.gov/gene/?term=LOC100293553","NCBI")</f>
        <v>NCBI</v>
      </c>
      <c r="F16899">
        <v>0.97</v>
      </c>
      <c r="G16899">
        <v>0.98</v>
      </c>
      <c r="H16899" s="1" t="str">
        <f>HYPERLINK("http://www.weizmann.ac.il/complex/compphys/software/geview/data/figures/207915_at.png","Figure")</f>
        <v>Figure</v>
      </c>
      <c r="I16899">
        <v>0.99299999999999999</v>
      </c>
      <c r="J16899">
        <v>0.99</v>
      </c>
      <c r="K16899">
        <v>1.01</v>
      </c>
      <c r="L16899">
        <v>0.99</v>
      </c>
      <c r="M16899">
        <v>1.01</v>
      </c>
      <c r="N16899">
        <v>0.97</v>
      </c>
    </row>
    <row r="16900" spans="1:14" x14ac:dyDescent="0.25">
      <c r="A16900" t="s">
        <v>28238</v>
      </c>
      <c r="B16900" t="s">
        <v>16167</v>
      </c>
      <c r="C16900" s="1" t="str">
        <f>HYPERLINK("http://www.genecards.org/cgi-bin/carddisp.pl?gene=IGL@ /// IGLV1-44 /// LOC100290557","GeneCards")</f>
        <v>GeneCards</v>
      </c>
      <c r="D16900" s="1" t="str">
        <f>HYPERLINK("http://genome-euro.ucsc.edu/cgi-bin/hgTracks?position=217258_x_at","UCSC")</f>
        <v>UCSC</v>
      </c>
      <c r="E16900" s="1" t="str">
        <f>HYPERLINK("http://www.ncbi.nlm.nih.gov/gene/?term=IGL@ /// IGLV1-44 /// LOC100290557","NCBI")</f>
        <v>NCBI</v>
      </c>
      <c r="F16900">
        <v>0.97</v>
      </c>
      <c r="G16900">
        <v>0.98</v>
      </c>
      <c r="H16900" s="1" t="str">
        <f>HYPERLINK("http://www.weizmann.ac.il/complex/compphys/software/geview/data/figures/217258_x_at.png","Figure")</f>
        <v>Figure</v>
      </c>
      <c r="I16900">
        <v>1</v>
      </c>
      <c r="J16900">
        <v>1</v>
      </c>
      <c r="K16900">
        <v>0.98899999999999999</v>
      </c>
      <c r="L16900">
        <v>0.98</v>
      </c>
      <c r="M16900">
        <v>0.98899999999999999</v>
      </c>
      <c r="N16900">
        <v>0.98</v>
      </c>
    </row>
    <row r="16901" spans="1:14" x14ac:dyDescent="0.25">
      <c r="A16901" t="s">
        <v>28239</v>
      </c>
      <c r="B16901" t="s">
        <v>28240</v>
      </c>
      <c r="C16901" s="1" t="str">
        <f>HYPERLINK("http://www.genecards.org/cgi-bin/carddisp.pl?gene=KHDRBS3","GeneCards")</f>
        <v>GeneCards</v>
      </c>
      <c r="D16901" s="1" t="str">
        <f>HYPERLINK("http://genome-euro.ucsc.edu/cgi-bin/hgTracks?position=209781_s_at","UCSC")</f>
        <v>UCSC</v>
      </c>
      <c r="E16901" s="1" t="str">
        <f>HYPERLINK("http://www.ncbi.nlm.nih.gov/gene/?term=KHDRBS3","NCBI")</f>
        <v>NCBI</v>
      </c>
      <c r="F16901">
        <v>0.97</v>
      </c>
      <c r="G16901">
        <v>0.98</v>
      </c>
      <c r="H16901" s="1" t="str">
        <f>HYPERLINK("http://www.weizmann.ac.il/complex/compphys/software/geview/data/figures/209781_s_at.png","Figure")</f>
        <v>Figure</v>
      </c>
      <c r="I16901">
        <v>0.96</v>
      </c>
      <c r="J16901">
        <v>0.99</v>
      </c>
      <c r="K16901">
        <v>0.94899999999999995</v>
      </c>
      <c r="L16901">
        <v>0.97</v>
      </c>
      <c r="M16901">
        <v>0.98799999999999999</v>
      </c>
      <c r="N16901">
        <v>1</v>
      </c>
    </row>
    <row r="16902" spans="1:14" x14ac:dyDescent="0.25">
      <c r="A16902" t="s">
        <v>28241</v>
      </c>
      <c r="B16902" t="s">
        <v>28242</v>
      </c>
      <c r="C16902" s="1" t="str">
        <f>HYPERLINK("http://www.genecards.org/cgi-bin/carddisp.pl?gene=GHRH","GeneCards")</f>
        <v>GeneCards</v>
      </c>
      <c r="D16902" s="1" t="str">
        <f>HYPERLINK("http://genome-euro.ucsc.edu/cgi-bin/hgTracks?position=214524_at","UCSC")</f>
        <v>UCSC</v>
      </c>
      <c r="E16902" s="1" t="str">
        <f>HYPERLINK("http://www.ncbi.nlm.nih.gov/gene/?term=GHRH","NCBI")</f>
        <v>NCBI</v>
      </c>
      <c r="F16902">
        <v>0.97</v>
      </c>
      <c r="G16902">
        <v>0.98</v>
      </c>
      <c r="H16902" s="1" t="str">
        <f>HYPERLINK("http://www.weizmann.ac.il/complex/compphys/software/geview/data/figures/214524_at.png","Figure")</f>
        <v>Figure</v>
      </c>
      <c r="I16902">
        <v>0.997</v>
      </c>
      <c r="J16902">
        <v>0.99</v>
      </c>
      <c r="K16902">
        <v>1</v>
      </c>
      <c r="L16902">
        <v>0.99</v>
      </c>
      <c r="M16902">
        <v>1.01</v>
      </c>
      <c r="N16902">
        <v>0.97</v>
      </c>
    </row>
    <row r="16903" spans="1:14" x14ac:dyDescent="0.25">
      <c r="A16903" t="s">
        <v>28243</v>
      </c>
      <c r="B16903" t="s">
        <v>28244</v>
      </c>
      <c r="C16903" s="1" t="str">
        <f>HYPERLINK("http://www.genecards.org/cgi-bin/carddisp.pl?gene=BCL11B","GeneCards")</f>
        <v>GeneCards</v>
      </c>
      <c r="D16903" s="1" t="str">
        <f>HYPERLINK("http://genome-euro.ucsc.edu/cgi-bin/hgTracks?position=219528_s_at","UCSC")</f>
        <v>UCSC</v>
      </c>
      <c r="E16903" s="1" t="str">
        <f>HYPERLINK("http://www.ncbi.nlm.nih.gov/gene/?term=BCL11B","NCBI")</f>
        <v>NCBI</v>
      </c>
      <c r="F16903">
        <v>0.97</v>
      </c>
      <c r="G16903">
        <v>0.98</v>
      </c>
      <c r="H16903" s="1" t="str">
        <f>HYPERLINK("http://www.weizmann.ac.il/complex/compphys/software/geview/data/figures/219528_s_at.png","Figure")</f>
        <v>Figure</v>
      </c>
      <c r="I16903">
        <v>1.07</v>
      </c>
      <c r="J16903">
        <v>0.98</v>
      </c>
      <c r="K16903">
        <v>1.06</v>
      </c>
      <c r="L16903">
        <v>0.98</v>
      </c>
      <c r="M16903">
        <v>0.99299999999999999</v>
      </c>
      <c r="N16903">
        <v>1</v>
      </c>
    </row>
    <row r="16904" spans="1:14" x14ac:dyDescent="0.25">
      <c r="A16904" t="s">
        <v>28245</v>
      </c>
      <c r="B16904" t="s">
        <v>28246</v>
      </c>
      <c r="C16904" s="1" t="str">
        <f>HYPERLINK("http://www.genecards.org/cgi-bin/carddisp.pl?gene=IGKV4-1","GeneCards")</f>
        <v>GeneCards</v>
      </c>
      <c r="D16904" s="1" t="str">
        <f>HYPERLINK("http://genome-euro.ucsc.edu/cgi-bin/hgTracks?position=214777_at","UCSC")</f>
        <v>UCSC</v>
      </c>
      <c r="E16904" s="1" t="str">
        <f>HYPERLINK("http://www.ncbi.nlm.nih.gov/gene/?term=IGKV4-1","NCBI")</f>
        <v>NCBI</v>
      </c>
      <c r="F16904">
        <v>0.97</v>
      </c>
      <c r="G16904">
        <v>0.98</v>
      </c>
      <c r="H16904" s="1" t="str">
        <f>HYPERLINK("http://www.weizmann.ac.il/complex/compphys/software/geview/data/figures/214777_at.png","Figure")</f>
        <v>Figure</v>
      </c>
      <c r="I16904">
        <v>0.97499999999999998</v>
      </c>
      <c r="J16904">
        <v>0.97</v>
      </c>
      <c r="K16904">
        <v>0.98799999999999999</v>
      </c>
      <c r="L16904">
        <v>0.99</v>
      </c>
      <c r="M16904">
        <v>1.01</v>
      </c>
      <c r="N16904">
        <v>0.99</v>
      </c>
    </row>
    <row r="16905" spans="1:14" x14ac:dyDescent="0.25">
      <c r="A16905" t="s">
        <v>28247</v>
      </c>
      <c r="B16905" t="s">
        <v>15188</v>
      </c>
      <c r="C16905" s="1" t="str">
        <f>HYPERLINK("http://www.genecards.org/cgi-bin/carddisp.pl?gene=RAB4A","GeneCards")</f>
        <v>GeneCards</v>
      </c>
      <c r="D16905" s="1" t="str">
        <f>HYPERLINK("http://genome-euro.ucsc.edu/cgi-bin/hgTracks?position=203582_s_at","UCSC")</f>
        <v>UCSC</v>
      </c>
      <c r="E16905" s="1" t="str">
        <f>HYPERLINK("http://www.ncbi.nlm.nih.gov/gene/?term=RAB4A","NCBI")</f>
        <v>NCBI</v>
      </c>
      <c r="F16905">
        <v>0.97</v>
      </c>
      <c r="G16905">
        <v>0.98</v>
      </c>
      <c r="H16905" s="1" t="str">
        <f>HYPERLINK("http://www.weizmann.ac.il/complex/compphys/software/geview/data/figures/203582_s_at.png","Figure")</f>
        <v>Figure</v>
      </c>
      <c r="I16905">
        <v>0.97099999999999997</v>
      </c>
      <c r="J16905">
        <v>0.99</v>
      </c>
      <c r="K16905">
        <v>1.01</v>
      </c>
      <c r="L16905">
        <v>1</v>
      </c>
      <c r="M16905">
        <v>1.04</v>
      </c>
      <c r="N16905">
        <v>0.97</v>
      </c>
    </row>
    <row r="16906" spans="1:14" x14ac:dyDescent="0.25">
      <c r="A16906" t="s">
        <v>28248</v>
      </c>
      <c r="B16906" t="s">
        <v>28249</v>
      </c>
      <c r="C16906" s="1" t="str">
        <f>HYPERLINK("http://www.genecards.org/cgi-bin/carddisp.pl?gene=PTEN /// PTENP1","GeneCards")</f>
        <v>GeneCards</v>
      </c>
      <c r="D16906" s="1" t="str">
        <f>HYPERLINK("http://genome-euro.ucsc.edu/cgi-bin/hgTracks?position=217492_s_at","UCSC")</f>
        <v>UCSC</v>
      </c>
      <c r="E16906" s="1" t="str">
        <f>HYPERLINK("http://www.ncbi.nlm.nih.gov/gene/?term=PTEN /// PTENP1","NCBI")</f>
        <v>NCBI</v>
      </c>
      <c r="F16906">
        <v>0.97</v>
      </c>
      <c r="G16906">
        <v>0.98</v>
      </c>
      <c r="H16906" s="1" t="str">
        <f>HYPERLINK("http://www.weizmann.ac.il/complex/compphys/software/geview/data/figures/217492_s_at.png","Figure")</f>
        <v>Figure</v>
      </c>
      <c r="I16906">
        <v>1.02</v>
      </c>
      <c r="J16906">
        <v>1</v>
      </c>
      <c r="K16906">
        <v>1.04</v>
      </c>
      <c r="L16906">
        <v>0.97</v>
      </c>
      <c r="M16906">
        <v>1.02</v>
      </c>
      <c r="N16906">
        <v>0.99</v>
      </c>
    </row>
    <row r="16907" spans="1:14" x14ac:dyDescent="0.25">
      <c r="A16907" t="s">
        <v>28250</v>
      </c>
      <c r="B16907" t="s">
        <v>28251</v>
      </c>
      <c r="C16907" s="1" t="str">
        <f>HYPERLINK("http://www.genecards.org/cgi-bin/carddisp.pl?gene=RABEP1","GeneCards")</f>
        <v>GeneCards</v>
      </c>
      <c r="D16907" s="1" t="str">
        <f>HYPERLINK("http://genome-euro.ucsc.edu/cgi-bin/hgTracks?position=214552_s_at","UCSC")</f>
        <v>UCSC</v>
      </c>
      <c r="E16907" s="1" t="str">
        <f>HYPERLINK("http://www.ncbi.nlm.nih.gov/gene/?term=RABEP1","NCBI")</f>
        <v>NCBI</v>
      </c>
      <c r="F16907">
        <v>0.97</v>
      </c>
      <c r="G16907">
        <v>0.98</v>
      </c>
      <c r="H16907" s="1" t="str">
        <f>HYPERLINK("http://www.weizmann.ac.il/complex/compphys/software/geview/data/figures/214552_s_at.png","Figure")</f>
        <v>Figure</v>
      </c>
      <c r="I16907">
        <v>0.96699999999999997</v>
      </c>
      <c r="J16907">
        <v>0.98</v>
      </c>
      <c r="K16907">
        <v>0.995</v>
      </c>
      <c r="L16907">
        <v>1</v>
      </c>
      <c r="M16907">
        <v>1.03</v>
      </c>
      <c r="N16907">
        <v>0.98</v>
      </c>
    </row>
    <row r="16908" spans="1:14" x14ac:dyDescent="0.25">
      <c r="A16908" t="s">
        <v>28252</v>
      </c>
      <c r="B16908" t="s">
        <v>28253</v>
      </c>
      <c r="C16908" s="1" t="str">
        <f>HYPERLINK("http://www.genecards.org/cgi-bin/carddisp.pl?gene=PHF21A","GeneCards")</f>
        <v>GeneCards</v>
      </c>
      <c r="D16908" s="1" t="str">
        <f>HYPERLINK("http://genome-euro.ucsc.edu/cgi-bin/hgTracks?position=203278_s_at","UCSC")</f>
        <v>UCSC</v>
      </c>
      <c r="E16908" s="1" t="str">
        <f>HYPERLINK("http://www.ncbi.nlm.nih.gov/gene/?term=PHF21A","NCBI")</f>
        <v>NCBI</v>
      </c>
      <c r="F16908">
        <v>0.97</v>
      </c>
      <c r="G16908">
        <v>0.98</v>
      </c>
      <c r="H16908" s="1" t="str">
        <f>HYPERLINK("http://www.weizmann.ac.il/complex/compphys/software/geview/data/figures/203278_s_at.png","Figure")</f>
        <v>Figure</v>
      </c>
      <c r="I16908">
        <v>0.98899999999999999</v>
      </c>
      <c r="J16908">
        <v>0.99</v>
      </c>
      <c r="K16908">
        <v>0.97799999999999998</v>
      </c>
      <c r="L16908">
        <v>0.97</v>
      </c>
      <c r="M16908">
        <v>0.98899999999999999</v>
      </c>
      <c r="N16908">
        <v>0.99</v>
      </c>
    </row>
    <row r="16909" spans="1:14" x14ac:dyDescent="0.25">
      <c r="A16909" t="s">
        <v>28254</v>
      </c>
      <c r="B16909" t="s">
        <v>28255</v>
      </c>
      <c r="C16909" s="1" t="str">
        <f>HYPERLINK("http://www.genecards.org/cgi-bin/carddisp.pl?gene=SIRT4","GeneCards")</f>
        <v>GeneCards</v>
      </c>
      <c r="D16909" s="1" t="str">
        <f>HYPERLINK("http://genome-euro.ucsc.edu/cgi-bin/hgTracks?position=222248_s_at","UCSC")</f>
        <v>UCSC</v>
      </c>
      <c r="E16909" s="1" t="str">
        <f>HYPERLINK("http://www.ncbi.nlm.nih.gov/gene/?term=SIRT4","NCBI")</f>
        <v>NCBI</v>
      </c>
      <c r="F16909">
        <v>0.97</v>
      </c>
      <c r="G16909">
        <v>0.98</v>
      </c>
      <c r="H16909" s="1" t="str">
        <f>HYPERLINK("http://www.weizmann.ac.il/complex/compphys/software/geview/data/figures/222248_s_at.png","Figure")</f>
        <v>Figure</v>
      </c>
      <c r="I16909">
        <v>1</v>
      </c>
      <c r="J16909">
        <v>0.99</v>
      </c>
      <c r="K16909">
        <v>1</v>
      </c>
      <c r="L16909">
        <v>0.97</v>
      </c>
      <c r="M16909">
        <v>1</v>
      </c>
      <c r="N16909">
        <v>1</v>
      </c>
    </row>
    <row r="16910" spans="1:14" x14ac:dyDescent="0.25">
      <c r="A16910" t="s">
        <v>28256</v>
      </c>
      <c r="B16910" t="s">
        <v>2545</v>
      </c>
      <c r="C16910" s="1" t="str">
        <f>HYPERLINK("http://www.genecards.org/cgi-bin/carddisp.pl?gene=SRRT","GeneCards")</f>
        <v>GeneCards</v>
      </c>
      <c r="D16910" s="1" t="str">
        <f>HYPERLINK("http://genome-euro.ucsc.edu/cgi-bin/hgTracks?position=214127_s_at","UCSC")</f>
        <v>UCSC</v>
      </c>
      <c r="E16910" s="1" t="str">
        <f>HYPERLINK("http://www.ncbi.nlm.nih.gov/gene/?term=SRRT","NCBI")</f>
        <v>NCBI</v>
      </c>
      <c r="F16910">
        <v>0.97</v>
      </c>
      <c r="G16910">
        <v>0.98</v>
      </c>
      <c r="H16910" s="1" t="str">
        <f>HYPERLINK("http://www.weizmann.ac.il/complex/compphys/software/geview/data/figures/214127_s_at.png","Figure")</f>
        <v>Figure</v>
      </c>
      <c r="I16910">
        <v>1.01</v>
      </c>
      <c r="J16910">
        <v>0.97</v>
      </c>
      <c r="K16910">
        <v>1.01</v>
      </c>
      <c r="L16910">
        <v>0.99</v>
      </c>
      <c r="M16910">
        <v>0.99299999999999999</v>
      </c>
      <c r="N16910">
        <v>0.99</v>
      </c>
    </row>
    <row r="16911" spans="1:14" x14ac:dyDescent="0.25">
      <c r="A16911" t="s">
        <v>28257</v>
      </c>
      <c r="B16911" t="s">
        <v>4376</v>
      </c>
      <c r="C16911" s="1" t="str">
        <f>HYPERLINK("http://www.genecards.org/cgi-bin/carddisp.pl?gene=MFNG","GeneCards")</f>
        <v>GeneCards</v>
      </c>
      <c r="D16911" s="1" t="str">
        <f>HYPERLINK("http://genome-euro.ucsc.edu/cgi-bin/hgTracks?position=204152_s_at","UCSC")</f>
        <v>UCSC</v>
      </c>
      <c r="E16911" s="1" t="str">
        <f>HYPERLINK("http://www.ncbi.nlm.nih.gov/gene/?term=MFNG","NCBI")</f>
        <v>NCBI</v>
      </c>
      <c r="F16911">
        <v>0.97</v>
      </c>
      <c r="G16911">
        <v>0.98</v>
      </c>
      <c r="H16911" s="1" t="str">
        <f>HYPERLINK("http://www.weizmann.ac.il/complex/compphys/software/geview/data/figures/204152_s_at.png","Figure")</f>
        <v>Figure</v>
      </c>
      <c r="I16911">
        <v>1.02</v>
      </c>
      <c r="J16911">
        <v>0.98</v>
      </c>
      <c r="K16911">
        <v>1.02</v>
      </c>
      <c r="L16911">
        <v>0.98</v>
      </c>
      <c r="M16911">
        <v>0.998</v>
      </c>
      <c r="N16911">
        <v>1</v>
      </c>
    </row>
    <row r="16912" spans="1:14" x14ac:dyDescent="0.25">
      <c r="A16912" t="s">
        <v>28258</v>
      </c>
      <c r="B16912" t="s">
        <v>24447</v>
      </c>
      <c r="C16912" s="1" t="str">
        <f>HYPERLINK("http://www.genecards.org/cgi-bin/carddisp.pl?gene=ABR","GeneCards")</f>
        <v>GeneCards</v>
      </c>
      <c r="D16912" s="1" t="str">
        <f>HYPERLINK("http://genome-euro.ucsc.edu/cgi-bin/hgTracks?position=214671_s_at","UCSC")</f>
        <v>UCSC</v>
      </c>
      <c r="E16912" s="1" t="str">
        <f>HYPERLINK("http://www.ncbi.nlm.nih.gov/gene/?term=ABR","NCBI")</f>
        <v>NCBI</v>
      </c>
      <c r="F16912">
        <v>0.97</v>
      </c>
      <c r="G16912">
        <v>0.98</v>
      </c>
      <c r="H16912" s="1" t="str">
        <f>HYPERLINK("http://www.weizmann.ac.il/complex/compphys/software/geview/data/figures/214671_s_at.png","Figure")</f>
        <v>Figure</v>
      </c>
      <c r="I16912">
        <v>0.98399999999999999</v>
      </c>
      <c r="J16912">
        <v>0.97</v>
      </c>
      <c r="K16912">
        <v>0.99</v>
      </c>
      <c r="L16912">
        <v>0.99</v>
      </c>
      <c r="M16912">
        <v>1.01</v>
      </c>
      <c r="N16912">
        <v>1</v>
      </c>
    </row>
    <row r="16913" spans="1:14" x14ac:dyDescent="0.25">
      <c r="A16913" t="s">
        <v>28259</v>
      </c>
      <c r="B16913" t="s">
        <v>28260</v>
      </c>
      <c r="C16913" s="1" t="str">
        <f>HYPERLINK("http://www.genecards.org/cgi-bin/carddisp.pl?gene=C16orf5","GeneCards")</f>
        <v>GeneCards</v>
      </c>
      <c r="D16913" s="1" t="str">
        <f>HYPERLINK("http://genome-euro.ucsc.edu/cgi-bin/hgTracks?position=218183_at","UCSC")</f>
        <v>UCSC</v>
      </c>
      <c r="E16913" s="1" t="str">
        <f>HYPERLINK("http://www.ncbi.nlm.nih.gov/gene/?term=C16orf5","NCBI")</f>
        <v>NCBI</v>
      </c>
      <c r="F16913">
        <v>0.97</v>
      </c>
      <c r="G16913">
        <v>0.98</v>
      </c>
      <c r="H16913" s="1" t="str">
        <f>HYPERLINK("http://www.weizmann.ac.il/complex/compphys/software/geview/data/figures/218183_at.png","Figure")</f>
        <v>Figure</v>
      </c>
      <c r="I16913">
        <v>0.98299999999999998</v>
      </c>
      <c r="J16913">
        <v>0.98</v>
      </c>
      <c r="K16913">
        <v>0.999</v>
      </c>
      <c r="L16913">
        <v>1</v>
      </c>
      <c r="M16913">
        <v>1.02</v>
      </c>
      <c r="N16913">
        <v>0.98</v>
      </c>
    </row>
    <row r="16914" spans="1:14" x14ac:dyDescent="0.25">
      <c r="A16914" t="s">
        <v>28261</v>
      </c>
      <c r="B16914" t="s">
        <v>14656</v>
      </c>
      <c r="C16914" s="1" t="str">
        <f>HYPERLINK("http://www.genecards.org/cgi-bin/carddisp.pl?gene=KLHDC10","GeneCards")</f>
        <v>GeneCards</v>
      </c>
      <c r="D16914" s="1" t="str">
        <f>HYPERLINK("http://genome-euro.ucsc.edu/cgi-bin/hgTracks?position=209254_at","UCSC")</f>
        <v>UCSC</v>
      </c>
      <c r="E16914" s="1" t="str">
        <f>HYPERLINK("http://www.ncbi.nlm.nih.gov/gene/?term=KLHDC10","NCBI")</f>
        <v>NCBI</v>
      </c>
      <c r="F16914">
        <v>0.98</v>
      </c>
      <c r="G16914">
        <v>0.98</v>
      </c>
      <c r="H16914" s="1" t="str">
        <f>HYPERLINK("http://www.weizmann.ac.il/complex/compphys/software/geview/data/figures/209254_at.png","Figure")</f>
        <v>Figure</v>
      </c>
      <c r="I16914">
        <v>0.98399999999999999</v>
      </c>
      <c r="J16914">
        <v>0.98</v>
      </c>
      <c r="K16914">
        <v>1</v>
      </c>
      <c r="L16914">
        <v>1</v>
      </c>
      <c r="M16914">
        <v>1.02</v>
      </c>
      <c r="N16914">
        <v>0.97</v>
      </c>
    </row>
    <row r="16915" spans="1:14" x14ac:dyDescent="0.25">
      <c r="A16915" t="s">
        <v>28262</v>
      </c>
      <c r="B16915" t="s">
        <v>28263</v>
      </c>
      <c r="C16915" s="1" t="str">
        <f>HYPERLINK("http://www.genecards.org/cgi-bin/carddisp.pl?gene=SMU1","GeneCards")</f>
        <v>GeneCards</v>
      </c>
      <c r="D16915" s="1" t="str">
        <f>HYPERLINK("http://genome-euro.ucsc.edu/cgi-bin/hgTracks?position=218393_s_at","UCSC")</f>
        <v>UCSC</v>
      </c>
      <c r="E16915" s="1" t="str">
        <f>HYPERLINK("http://www.ncbi.nlm.nih.gov/gene/?term=SMU1","NCBI")</f>
        <v>NCBI</v>
      </c>
      <c r="F16915">
        <v>0.98</v>
      </c>
      <c r="G16915">
        <v>0.98</v>
      </c>
      <c r="H16915" s="1" t="str">
        <f>HYPERLINK("http://www.weizmann.ac.il/complex/compphys/software/geview/data/figures/218393_s_at.png","Figure")</f>
        <v>Figure</v>
      </c>
      <c r="I16915">
        <v>0.98099999999999998</v>
      </c>
      <c r="J16915">
        <v>0.98</v>
      </c>
      <c r="K16915">
        <v>0.98599999999999999</v>
      </c>
      <c r="L16915">
        <v>0.98</v>
      </c>
      <c r="M16915">
        <v>1</v>
      </c>
      <c r="N16915">
        <v>1</v>
      </c>
    </row>
    <row r="16916" spans="1:14" x14ac:dyDescent="0.25">
      <c r="A16916" t="s">
        <v>28264</v>
      </c>
      <c r="B16916" t="s">
        <v>11571</v>
      </c>
      <c r="C16916" s="1" t="str">
        <f>HYPERLINK("http://www.genecards.org/cgi-bin/carddisp.pl?gene=FGF18","GeneCards")</f>
        <v>GeneCards</v>
      </c>
      <c r="D16916" s="1" t="str">
        <f>HYPERLINK("http://genome-euro.ucsc.edu/cgi-bin/hgTracks?position=206987_x_at","UCSC")</f>
        <v>UCSC</v>
      </c>
      <c r="E16916" s="1" t="str">
        <f>HYPERLINK("http://www.ncbi.nlm.nih.gov/gene/?term=FGF18","NCBI")</f>
        <v>NCBI</v>
      </c>
      <c r="F16916">
        <v>0.98</v>
      </c>
      <c r="G16916">
        <v>0.98</v>
      </c>
      <c r="H16916" s="1" t="str">
        <f>HYPERLINK("http://www.weizmann.ac.il/complex/compphys/software/geview/data/figures/206987_x_at.png","Figure")</f>
        <v>Figure</v>
      </c>
      <c r="I16916">
        <v>1.02</v>
      </c>
      <c r="J16916">
        <v>0.98</v>
      </c>
      <c r="K16916">
        <v>1.01</v>
      </c>
      <c r="L16916">
        <v>0.98</v>
      </c>
      <c r="M16916">
        <v>0.996</v>
      </c>
      <c r="N16916">
        <v>1</v>
      </c>
    </row>
    <row r="16917" spans="1:14" x14ac:dyDescent="0.25">
      <c r="A16917" t="s">
        <v>28265</v>
      </c>
      <c r="B16917" t="s">
        <v>28266</v>
      </c>
      <c r="C16917" s="1" t="str">
        <f>HYPERLINK("http://www.genecards.org/cgi-bin/carddisp.pl?gene=PMS2L2","GeneCards")</f>
        <v>GeneCards</v>
      </c>
      <c r="D16917" s="1" t="str">
        <f>HYPERLINK("http://genome-euro.ucsc.edu/cgi-bin/hgTracks?position=215412_x_at","UCSC")</f>
        <v>UCSC</v>
      </c>
      <c r="E16917" s="1" t="str">
        <f>HYPERLINK("http://www.ncbi.nlm.nih.gov/gene/?term=PMS2L2","NCBI")</f>
        <v>NCBI</v>
      </c>
      <c r="F16917">
        <v>0.98</v>
      </c>
      <c r="G16917">
        <v>0.98</v>
      </c>
      <c r="H16917" s="1" t="str">
        <f>HYPERLINK("http://www.weizmann.ac.il/complex/compphys/software/geview/data/figures/215412_x_at.png","Figure")</f>
        <v>Figure</v>
      </c>
      <c r="I16917">
        <v>1.02</v>
      </c>
      <c r="J16917">
        <v>0.99</v>
      </c>
      <c r="K16917">
        <v>1.03</v>
      </c>
      <c r="L16917">
        <v>0.97</v>
      </c>
      <c r="M16917">
        <v>1.01</v>
      </c>
      <c r="N16917">
        <v>1</v>
      </c>
    </row>
    <row r="16918" spans="1:14" x14ac:dyDescent="0.25">
      <c r="A16918" t="s">
        <v>28267</v>
      </c>
      <c r="B16918" t="s">
        <v>4104</v>
      </c>
      <c r="C16918" s="1" t="str">
        <f>HYPERLINK("http://www.genecards.org/cgi-bin/carddisp.pl?gene=KIAA0494","GeneCards")</f>
        <v>GeneCards</v>
      </c>
      <c r="D16918" s="1" t="str">
        <f>HYPERLINK("http://genome-euro.ucsc.edu/cgi-bin/hgTracks?position=201778_s_at","UCSC")</f>
        <v>UCSC</v>
      </c>
      <c r="E16918" s="1" t="str">
        <f>HYPERLINK("http://www.ncbi.nlm.nih.gov/gene/?term=KIAA0494","NCBI")</f>
        <v>NCBI</v>
      </c>
      <c r="F16918">
        <v>0.98</v>
      </c>
      <c r="G16918">
        <v>0.98</v>
      </c>
      <c r="H16918" s="1" t="str">
        <f>HYPERLINK("http://www.weizmann.ac.il/complex/compphys/software/geview/data/figures/201778_s_at.png","Figure")</f>
        <v>Figure</v>
      </c>
      <c r="I16918">
        <v>0.96099999999999997</v>
      </c>
      <c r="J16918">
        <v>0.98</v>
      </c>
      <c r="K16918">
        <v>1.01</v>
      </c>
      <c r="L16918">
        <v>1</v>
      </c>
      <c r="M16918">
        <v>1.05</v>
      </c>
      <c r="N16918">
        <v>0.98</v>
      </c>
    </row>
    <row r="16919" spans="1:14" x14ac:dyDescent="0.25">
      <c r="A16919" t="s">
        <v>28268</v>
      </c>
      <c r="B16919" t="s">
        <v>24721</v>
      </c>
      <c r="C16919" s="1" t="str">
        <f>HYPERLINK("http://www.genecards.org/cgi-bin/carddisp.pl?gene=CABIN1","GeneCards")</f>
        <v>GeneCards</v>
      </c>
      <c r="D16919" s="1" t="str">
        <f>HYPERLINK("http://genome-euro.ucsc.edu/cgi-bin/hgTracks?position=202624_s_at","UCSC")</f>
        <v>UCSC</v>
      </c>
      <c r="E16919" s="1" t="str">
        <f>HYPERLINK("http://www.ncbi.nlm.nih.gov/gene/?term=CABIN1","NCBI")</f>
        <v>NCBI</v>
      </c>
      <c r="F16919">
        <v>0.98</v>
      </c>
      <c r="G16919">
        <v>0.98</v>
      </c>
      <c r="H16919" s="1" t="str">
        <f>HYPERLINK("http://www.weizmann.ac.il/complex/compphys/software/geview/data/figures/202624_s_at.png","Figure")</f>
        <v>Figure</v>
      </c>
      <c r="I16919">
        <v>1.04</v>
      </c>
      <c r="J16919">
        <v>0.97</v>
      </c>
      <c r="K16919">
        <v>1.01</v>
      </c>
      <c r="L16919">
        <v>0.99</v>
      </c>
      <c r="M16919">
        <v>0.97899999999999998</v>
      </c>
      <c r="N16919">
        <v>0.99</v>
      </c>
    </row>
    <row r="16920" spans="1:14" x14ac:dyDescent="0.25">
      <c r="A16920" t="s">
        <v>28269</v>
      </c>
      <c r="B16920" t="s">
        <v>18842</v>
      </c>
      <c r="C16920" s="1" t="str">
        <f>HYPERLINK("http://www.genecards.org/cgi-bin/carddisp.pl?gene=RPL35A","GeneCards")</f>
        <v>GeneCards</v>
      </c>
      <c r="D16920" s="1" t="str">
        <f>HYPERLINK("http://genome-euro.ucsc.edu/cgi-bin/hgTracks?position=213687_s_at","UCSC")</f>
        <v>UCSC</v>
      </c>
      <c r="E16920" s="1" t="str">
        <f>HYPERLINK("http://www.ncbi.nlm.nih.gov/gene/?term=RPL35A","NCBI")</f>
        <v>NCBI</v>
      </c>
      <c r="F16920">
        <v>0.98</v>
      </c>
      <c r="G16920">
        <v>0.98</v>
      </c>
      <c r="H16920" s="1" t="str">
        <f>HYPERLINK("http://www.weizmann.ac.il/complex/compphys/software/geview/data/figures/213687_s_at.png","Figure")</f>
        <v>Figure</v>
      </c>
      <c r="I16920">
        <v>1.03</v>
      </c>
      <c r="J16920">
        <v>1</v>
      </c>
      <c r="K16920">
        <v>1.05</v>
      </c>
      <c r="L16920">
        <v>0.97</v>
      </c>
      <c r="M16920">
        <v>1.03</v>
      </c>
      <c r="N16920">
        <v>0.99</v>
      </c>
    </row>
    <row r="16921" spans="1:14" x14ac:dyDescent="0.25">
      <c r="A16921" t="s">
        <v>28270</v>
      </c>
      <c r="B16921" t="s">
        <v>28271</v>
      </c>
      <c r="C16921" s="1" t="str">
        <f>HYPERLINK("http://www.genecards.org/cgi-bin/carddisp.pl?gene=ZNF45","GeneCards")</f>
        <v>GeneCards</v>
      </c>
      <c r="D16921" s="1" t="str">
        <f>HYPERLINK("http://genome-euro.ucsc.edu/cgi-bin/hgTracks?position=222028_at","UCSC")</f>
        <v>UCSC</v>
      </c>
      <c r="E16921" s="1" t="str">
        <f>HYPERLINK("http://www.ncbi.nlm.nih.gov/gene/?term=ZNF45","NCBI")</f>
        <v>NCBI</v>
      </c>
      <c r="F16921">
        <v>0.98</v>
      </c>
      <c r="G16921">
        <v>0.98</v>
      </c>
      <c r="H16921" s="1" t="str">
        <f>HYPERLINK("http://www.weizmann.ac.il/complex/compphys/software/geview/data/figures/222028_at.png","Figure")</f>
        <v>Figure</v>
      </c>
      <c r="I16921">
        <v>1.05</v>
      </c>
      <c r="J16921">
        <v>0.98</v>
      </c>
      <c r="K16921">
        <v>1.05</v>
      </c>
      <c r="L16921">
        <v>0.98</v>
      </c>
      <c r="M16921">
        <v>1</v>
      </c>
      <c r="N16921">
        <v>1</v>
      </c>
    </row>
    <row r="16922" spans="1:14" x14ac:dyDescent="0.25">
      <c r="A16922" t="s">
        <v>28272</v>
      </c>
      <c r="B16922" t="s">
        <v>28273</v>
      </c>
      <c r="C16922" s="1" t="str">
        <f>HYPERLINK("http://www.genecards.org/cgi-bin/carddisp.pl?gene=DCTN3","GeneCards")</f>
        <v>GeneCards</v>
      </c>
      <c r="D16922" s="1" t="str">
        <f>HYPERLINK("http://genome-euro.ucsc.edu/cgi-bin/hgTracks?position=204246_s_at","UCSC")</f>
        <v>UCSC</v>
      </c>
      <c r="E16922" s="1" t="str">
        <f>HYPERLINK("http://www.ncbi.nlm.nih.gov/gene/?term=DCTN3","NCBI")</f>
        <v>NCBI</v>
      </c>
      <c r="F16922">
        <v>0.98</v>
      </c>
      <c r="G16922">
        <v>0.98</v>
      </c>
      <c r="H16922" s="1" t="str">
        <f>HYPERLINK("http://www.weizmann.ac.il/complex/compphys/software/geview/data/figures/204246_s_at.png","Figure")</f>
        <v>Figure</v>
      </c>
      <c r="I16922">
        <v>1.02</v>
      </c>
      <c r="J16922">
        <v>0.99</v>
      </c>
      <c r="K16922">
        <v>1.03</v>
      </c>
      <c r="L16922">
        <v>0.97</v>
      </c>
      <c r="M16922">
        <v>1.02</v>
      </c>
      <c r="N16922">
        <v>1</v>
      </c>
    </row>
    <row r="16923" spans="1:14" x14ac:dyDescent="0.25">
      <c r="A16923" t="s">
        <v>28274</v>
      </c>
      <c r="B16923" t="s">
        <v>3970</v>
      </c>
      <c r="C16923" s="1" t="str">
        <f>HYPERLINK("http://www.genecards.org/cgi-bin/carddisp.pl?gene=ILF3","GeneCards")</f>
        <v>GeneCards</v>
      </c>
      <c r="D16923" s="1" t="str">
        <f>HYPERLINK("http://genome-euro.ucsc.edu/cgi-bin/hgTracks?position=217805_at","UCSC")</f>
        <v>UCSC</v>
      </c>
      <c r="E16923" s="1" t="str">
        <f>HYPERLINK("http://www.ncbi.nlm.nih.gov/gene/?term=ILF3","NCBI")</f>
        <v>NCBI</v>
      </c>
      <c r="F16923">
        <v>0.98</v>
      </c>
      <c r="G16923">
        <v>0.98</v>
      </c>
      <c r="H16923" s="1" t="str">
        <f>HYPERLINK("http://www.weizmann.ac.il/complex/compphys/software/geview/data/figures/217805_at.png","Figure")</f>
        <v>Figure</v>
      </c>
      <c r="I16923">
        <v>1.03</v>
      </c>
      <c r="J16923">
        <v>0.99</v>
      </c>
      <c r="K16923">
        <v>0.97</v>
      </c>
      <c r="L16923">
        <v>0.99</v>
      </c>
      <c r="M16923">
        <v>0.94099999999999995</v>
      </c>
      <c r="N16923">
        <v>0.98</v>
      </c>
    </row>
    <row r="16924" spans="1:14" x14ac:dyDescent="0.25">
      <c r="A16924" t="s">
        <v>28275</v>
      </c>
      <c r="B16924" t="s">
        <v>2351</v>
      </c>
      <c r="C16924" s="1" t="str">
        <f>HYPERLINK("http://www.genecards.org/cgi-bin/carddisp.pl?gene=N4BP2L1","GeneCards")</f>
        <v>GeneCards</v>
      </c>
      <c r="D16924" s="1" t="str">
        <f>HYPERLINK("http://genome-euro.ucsc.edu/cgi-bin/hgTracks?position=213375_s_at","UCSC")</f>
        <v>UCSC</v>
      </c>
      <c r="E16924" s="1" t="str">
        <f>HYPERLINK("http://www.ncbi.nlm.nih.gov/gene/?term=N4BP2L1","NCBI")</f>
        <v>NCBI</v>
      </c>
      <c r="F16924">
        <v>0.98</v>
      </c>
      <c r="G16924">
        <v>0.98</v>
      </c>
      <c r="H16924" s="1" t="str">
        <f>HYPERLINK("http://www.weizmann.ac.il/complex/compphys/software/geview/data/figures/213375_s_at.png","Figure")</f>
        <v>Figure</v>
      </c>
      <c r="I16924">
        <v>0.98399999999999999</v>
      </c>
      <c r="J16924">
        <v>1</v>
      </c>
      <c r="K16924">
        <v>1.02</v>
      </c>
      <c r="L16924">
        <v>0.99</v>
      </c>
      <c r="M16924">
        <v>1.04</v>
      </c>
      <c r="N16924">
        <v>0.98</v>
      </c>
    </row>
    <row r="16925" spans="1:14" x14ac:dyDescent="0.25">
      <c r="A16925" t="s">
        <v>28276</v>
      </c>
      <c r="B16925" t="s">
        <v>21354</v>
      </c>
      <c r="C16925" s="1" t="str">
        <f>HYPERLINK("http://www.genecards.org/cgi-bin/carddisp.pl?gene=ARF6","GeneCards")</f>
        <v>GeneCards</v>
      </c>
      <c r="D16925" s="1" t="str">
        <f>HYPERLINK("http://genome-euro.ucsc.edu/cgi-bin/hgTracks?position=214182_at","UCSC")</f>
        <v>UCSC</v>
      </c>
      <c r="E16925" s="1" t="str">
        <f>HYPERLINK("http://www.ncbi.nlm.nih.gov/gene/?term=ARF6","NCBI")</f>
        <v>NCBI</v>
      </c>
      <c r="F16925">
        <v>0.98</v>
      </c>
      <c r="G16925">
        <v>0.98</v>
      </c>
      <c r="H16925" s="1" t="str">
        <f>HYPERLINK("http://www.weizmann.ac.il/complex/compphys/software/geview/data/figures/214182_at.png","Figure")</f>
        <v>Figure</v>
      </c>
      <c r="I16925">
        <v>1.02</v>
      </c>
      <c r="J16925">
        <v>0.99</v>
      </c>
      <c r="K16925">
        <v>0.99</v>
      </c>
      <c r="L16925">
        <v>1</v>
      </c>
      <c r="M16925">
        <v>0.97399999999999998</v>
      </c>
      <c r="N16925">
        <v>0.98</v>
      </c>
    </row>
    <row r="16926" spans="1:14" x14ac:dyDescent="0.25">
      <c r="A16926" t="s">
        <v>28277</v>
      </c>
      <c r="B16926" t="s">
        <v>16029</v>
      </c>
      <c r="C16926" s="1" t="str">
        <f>HYPERLINK("http://www.genecards.org/cgi-bin/carddisp.pl?gene=CUL5","GeneCards")</f>
        <v>GeneCards</v>
      </c>
      <c r="D16926" s="1" t="str">
        <f>HYPERLINK("http://genome-euro.ucsc.edu/cgi-bin/hgTracks?position=203532_x_at","UCSC")</f>
        <v>UCSC</v>
      </c>
      <c r="E16926" s="1" t="str">
        <f>HYPERLINK("http://www.ncbi.nlm.nih.gov/gene/?term=CUL5","NCBI")</f>
        <v>NCBI</v>
      </c>
      <c r="F16926">
        <v>0.98</v>
      </c>
      <c r="G16926">
        <v>0.98</v>
      </c>
      <c r="H16926" s="1" t="str">
        <f>HYPERLINK("http://www.weizmann.ac.il/complex/compphys/software/geview/data/figures/203532_x_at.png","Figure")</f>
        <v>Figure</v>
      </c>
      <c r="I16926">
        <v>1.02</v>
      </c>
      <c r="J16926">
        <v>0.99</v>
      </c>
      <c r="K16926">
        <v>0.997</v>
      </c>
      <c r="L16926">
        <v>1</v>
      </c>
      <c r="M16926">
        <v>0.98</v>
      </c>
      <c r="N16926">
        <v>0.98</v>
      </c>
    </row>
    <row r="16927" spans="1:14" x14ac:dyDescent="0.25">
      <c r="A16927" t="s">
        <v>28278</v>
      </c>
      <c r="B16927" t="s">
        <v>28279</v>
      </c>
      <c r="C16927" s="1" t="str">
        <f>HYPERLINK("http://www.genecards.org/cgi-bin/carddisp.pl?gene=SALL2","GeneCards")</f>
        <v>GeneCards</v>
      </c>
      <c r="D16927" s="1" t="str">
        <f>HYPERLINK("http://genome-euro.ucsc.edu/cgi-bin/hgTracks?position=213283_s_at","UCSC")</f>
        <v>UCSC</v>
      </c>
      <c r="E16927" s="1" t="str">
        <f>HYPERLINK("http://www.ncbi.nlm.nih.gov/gene/?term=SALL2","NCBI")</f>
        <v>NCBI</v>
      </c>
      <c r="F16927">
        <v>0.98</v>
      </c>
      <c r="G16927">
        <v>0.98</v>
      </c>
      <c r="H16927" s="1" t="str">
        <f>HYPERLINK("http://www.weizmann.ac.il/complex/compphys/software/geview/data/figures/213283_s_at.png","Figure")</f>
        <v>Figure</v>
      </c>
      <c r="I16927">
        <v>0.98099999999999998</v>
      </c>
      <c r="J16927">
        <v>0.98</v>
      </c>
      <c r="K16927">
        <v>0.98199999999999998</v>
      </c>
      <c r="L16927">
        <v>0.98</v>
      </c>
      <c r="M16927">
        <v>1</v>
      </c>
      <c r="N16927">
        <v>1</v>
      </c>
    </row>
    <row r="16928" spans="1:14" x14ac:dyDescent="0.25">
      <c r="A16928" t="s">
        <v>28280</v>
      </c>
      <c r="B16928" t="s">
        <v>5903</v>
      </c>
      <c r="C16928" s="1" t="str">
        <f>HYPERLINK("http://www.genecards.org/cgi-bin/carddisp.pl?gene=IVD","GeneCards")</f>
        <v>GeneCards</v>
      </c>
      <c r="D16928" s="1" t="str">
        <f>HYPERLINK("http://genome-euro.ucsc.edu/cgi-bin/hgTracks?position=216958_s_at","UCSC")</f>
        <v>UCSC</v>
      </c>
      <c r="E16928" s="1" t="str">
        <f>HYPERLINK("http://www.ncbi.nlm.nih.gov/gene/?term=IVD","NCBI")</f>
        <v>NCBI</v>
      </c>
      <c r="F16928">
        <v>0.98</v>
      </c>
      <c r="G16928">
        <v>0.98</v>
      </c>
      <c r="H16928" s="1" t="str">
        <f>HYPERLINK("http://www.weizmann.ac.il/complex/compphys/software/geview/data/figures/216958_s_at.png","Figure")</f>
        <v>Figure</v>
      </c>
      <c r="I16928">
        <v>0.97499999999999998</v>
      </c>
      <c r="J16928">
        <v>0.98</v>
      </c>
      <c r="K16928">
        <v>0.997</v>
      </c>
      <c r="L16928">
        <v>1</v>
      </c>
      <c r="M16928">
        <v>1.02</v>
      </c>
      <c r="N16928">
        <v>0.98</v>
      </c>
    </row>
    <row r="16929" spans="1:14" x14ac:dyDescent="0.25">
      <c r="A16929" t="s">
        <v>28281</v>
      </c>
      <c r="B16929" t="s">
        <v>28282</v>
      </c>
      <c r="C16929" s="1" t="str">
        <f>HYPERLINK("http://www.genecards.org/cgi-bin/carddisp.pl?gene=CRADD","GeneCards")</f>
        <v>GeneCards</v>
      </c>
      <c r="D16929" s="1" t="str">
        <f>HYPERLINK("http://genome-euro.ucsc.edu/cgi-bin/hgTracks?position=209833_at","UCSC")</f>
        <v>UCSC</v>
      </c>
      <c r="E16929" s="1" t="str">
        <f>HYPERLINK("http://www.ncbi.nlm.nih.gov/gene/?term=CRADD","NCBI")</f>
        <v>NCBI</v>
      </c>
      <c r="F16929">
        <v>0.98</v>
      </c>
      <c r="G16929">
        <v>0.98</v>
      </c>
      <c r="H16929" s="1" t="str">
        <f>HYPERLINK("http://www.weizmann.ac.il/complex/compphys/software/geview/data/figures/209833_at.png","Figure")</f>
        <v>Figure</v>
      </c>
      <c r="I16929">
        <v>1.01</v>
      </c>
      <c r="J16929">
        <v>0.99</v>
      </c>
      <c r="K16929">
        <v>0.99399999999999999</v>
      </c>
      <c r="L16929">
        <v>1</v>
      </c>
      <c r="M16929">
        <v>0.98299999999999998</v>
      </c>
      <c r="N16929">
        <v>0.98</v>
      </c>
    </row>
    <row r="16930" spans="1:14" x14ac:dyDescent="0.25">
      <c r="A16930" t="s">
        <v>28283</v>
      </c>
      <c r="B16930" t="s">
        <v>25473</v>
      </c>
      <c r="C16930" s="1" t="str">
        <f>HYPERLINK("http://www.genecards.org/cgi-bin/carddisp.pl?gene=HS3ST1","GeneCards")</f>
        <v>GeneCards</v>
      </c>
      <c r="D16930" s="1" t="str">
        <f>HYPERLINK("http://genome-euro.ucsc.edu/cgi-bin/hgTracks?position=205465_x_at","UCSC")</f>
        <v>UCSC</v>
      </c>
      <c r="E16930" s="1" t="str">
        <f>HYPERLINK("http://www.ncbi.nlm.nih.gov/gene/?term=HS3ST1","NCBI")</f>
        <v>NCBI</v>
      </c>
      <c r="F16930">
        <v>0.98</v>
      </c>
      <c r="G16930">
        <v>0.98</v>
      </c>
      <c r="H16930" s="1" t="str">
        <f>HYPERLINK("http://www.weizmann.ac.il/complex/compphys/software/geview/data/figures/205465_x_at.png","Figure")</f>
        <v>Figure</v>
      </c>
      <c r="I16930">
        <v>1</v>
      </c>
      <c r="J16930">
        <v>1</v>
      </c>
      <c r="K16930">
        <v>1.01</v>
      </c>
      <c r="L16930">
        <v>0.98</v>
      </c>
      <c r="M16930">
        <v>1.01</v>
      </c>
      <c r="N16930">
        <v>0.99</v>
      </c>
    </row>
    <row r="16931" spans="1:14" x14ac:dyDescent="0.25">
      <c r="A16931" t="s">
        <v>28284</v>
      </c>
      <c r="B16931" t="s">
        <v>24353</v>
      </c>
      <c r="C16931" s="1" t="str">
        <f>HYPERLINK("http://www.genecards.org/cgi-bin/carddisp.pl?gene=PINK1","GeneCards")</f>
        <v>GeneCards</v>
      </c>
      <c r="D16931" s="1" t="str">
        <f>HYPERLINK("http://genome-euro.ucsc.edu/cgi-bin/hgTracks?position=209018_s_at","UCSC")</f>
        <v>UCSC</v>
      </c>
      <c r="E16931" s="1" t="str">
        <f>HYPERLINK("http://www.ncbi.nlm.nih.gov/gene/?term=PINK1","NCBI")</f>
        <v>NCBI</v>
      </c>
      <c r="F16931">
        <v>0.98</v>
      </c>
      <c r="G16931">
        <v>0.98</v>
      </c>
      <c r="H16931" s="1" t="str">
        <f>HYPERLINK("http://www.weizmann.ac.il/complex/compphys/software/geview/data/figures/209018_s_at.png","Figure")</f>
        <v>Figure</v>
      </c>
      <c r="I16931">
        <v>1.01</v>
      </c>
      <c r="J16931">
        <v>0.99</v>
      </c>
      <c r="K16931">
        <v>1.01</v>
      </c>
      <c r="L16931">
        <v>0.98</v>
      </c>
      <c r="M16931">
        <v>1</v>
      </c>
      <c r="N16931">
        <v>1</v>
      </c>
    </row>
    <row r="16932" spans="1:14" x14ac:dyDescent="0.25">
      <c r="A16932" t="s">
        <v>28285</v>
      </c>
      <c r="B16932" t="s">
        <v>28286</v>
      </c>
      <c r="C16932" s="1" t="str">
        <f>HYPERLINK("http://www.genecards.org/cgi-bin/carddisp.pl?gene=AK5","GeneCards")</f>
        <v>GeneCards</v>
      </c>
      <c r="D16932" s="1" t="str">
        <f>HYPERLINK("http://genome-euro.ucsc.edu/cgi-bin/hgTracks?position=219308_s_at","UCSC")</f>
        <v>UCSC</v>
      </c>
      <c r="E16932" s="1" t="str">
        <f>HYPERLINK("http://www.ncbi.nlm.nih.gov/gene/?term=AK5","NCBI")</f>
        <v>NCBI</v>
      </c>
      <c r="F16932">
        <v>0.98</v>
      </c>
      <c r="G16932">
        <v>0.98</v>
      </c>
      <c r="H16932" s="1" t="str">
        <f>HYPERLINK("http://www.weizmann.ac.il/complex/compphys/software/geview/data/figures/219308_s_at.png","Figure")</f>
        <v>Figure</v>
      </c>
      <c r="I16932">
        <v>0.98799999999999999</v>
      </c>
      <c r="J16932">
        <v>0.98</v>
      </c>
      <c r="K16932">
        <v>0.995</v>
      </c>
      <c r="L16932">
        <v>0.99</v>
      </c>
      <c r="M16932">
        <v>1.01</v>
      </c>
      <c r="N16932">
        <v>0.99</v>
      </c>
    </row>
    <row r="16933" spans="1:14" x14ac:dyDescent="0.25">
      <c r="A16933" t="s">
        <v>28287</v>
      </c>
      <c r="B16933" t="s">
        <v>15277</v>
      </c>
      <c r="C16933" s="1" t="str">
        <f>HYPERLINK("http://www.genecards.org/cgi-bin/carddisp.pl?gene=HLA-DQB1","GeneCards")</f>
        <v>GeneCards</v>
      </c>
      <c r="D16933" s="1" t="str">
        <f>HYPERLINK("http://genome-euro.ucsc.edu/cgi-bin/hgTracks?position=209480_at","UCSC")</f>
        <v>UCSC</v>
      </c>
      <c r="E16933" s="1" t="str">
        <f>HYPERLINK("http://www.ncbi.nlm.nih.gov/gene/?term=HLA-DQB1","NCBI")</f>
        <v>NCBI</v>
      </c>
      <c r="F16933">
        <v>0.98</v>
      </c>
      <c r="G16933">
        <v>0.98</v>
      </c>
      <c r="H16933" s="1" t="str">
        <f>HYPERLINK("http://www.weizmann.ac.il/complex/compphys/software/geview/data/figures/209480_at.png","Figure")</f>
        <v>Figure</v>
      </c>
      <c r="I16933">
        <v>0.86</v>
      </c>
      <c r="J16933">
        <v>0.98</v>
      </c>
      <c r="K16933">
        <v>0.90500000000000003</v>
      </c>
      <c r="L16933">
        <v>0.99</v>
      </c>
      <c r="M16933">
        <v>1.05</v>
      </c>
      <c r="N16933">
        <v>1</v>
      </c>
    </row>
    <row r="16934" spans="1:14" x14ac:dyDescent="0.25">
      <c r="A16934" t="s">
        <v>28288</v>
      </c>
      <c r="B16934" t="s">
        <v>17460</v>
      </c>
      <c r="C16934" s="1" t="str">
        <f>HYPERLINK("http://www.genecards.org/cgi-bin/carddisp.pl?gene=LTBP4","GeneCards")</f>
        <v>GeneCards</v>
      </c>
      <c r="D16934" s="1" t="str">
        <f>HYPERLINK("http://genome-euro.ucsc.edu/cgi-bin/hgTracks?position=213176_s_at","UCSC")</f>
        <v>UCSC</v>
      </c>
      <c r="E16934" s="1" t="str">
        <f>HYPERLINK("http://www.ncbi.nlm.nih.gov/gene/?term=LTBP4","NCBI")</f>
        <v>NCBI</v>
      </c>
      <c r="F16934">
        <v>0.98</v>
      </c>
      <c r="G16934">
        <v>0.98</v>
      </c>
      <c r="H16934" s="1" t="str">
        <f>HYPERLINK("http://www.weizmann.ac.il/complex/compphys/software/geview/data/figures/213176_s_at.png","Figure")</f>
        <v>Figure</v>
      </c>
      <c r="I16934">
        <v>0.99399999999999999</v>
      </c>
      <c r="J16934">
        <v>1</v>
      </c>
      <c r="K16934">
        <v>1.01</v>
      </c>
      <c r="L16934">
        <v>0.99</v>
      </c>
      <c r="M16934">
        <v>1.01</v>
      </c>
      <c r="N16934">
        <v>0.98</v>
      </c>
    </row>
    <row r="16935" spans="1:14" x14ac:dyDescent="0.25">
      <c r="A16935" t="s">
        <v>28289</v>
      </c>
      <c r="B16935" t="s">
        <v>28290</v>
      </c>
      <c r="C16935" s="1" t="str">
        <f>HYPERLINK("http://www.genecards.org/cgi-bin/carddisp.pl?gene=C1orf135","GeneCards")</f>
        <v>GeneCards</v>
      </c>
      <c r="D16935" s="1" t="str">
        <f>HYPERLINK("http://genome-euro.ucsc.edu/cgi-bin/hgTracks?position=220011_at","UCSC")</f>
        <v>UCSC</v>
      </c>
      <c r="E16935" s="1" t="str">
        <f>HYPERLINK("http://www.ncbi.nlm.nih.gov/gene/?term=C1orf135","NCBI")</f>
        <v>NCBI</v>
      </c>
      <c r="F16935">
        <v>0.98</v>
      </c>
      <c r="G16935">
        <v>0.98</v>
      </c>
      <c r="H16935" s="1" t="str">
        <f>HYPERLINK("http://www.weizmann.ac.il/complex/compphys/software/geview/data/figures/220011_at.png","Figure")</f>
        <v>Figure</v>
      </c>
      <c r="I16935">
        <v>0.999</v>
      </c>
      <c r="J16935">
        <v>1</v>
      </c>
      <c r="K16935">
        <v>0.98799999999999999</v>
      </c>
      <c r="L16935">
        <v>0.98</v>
      </c>
      <c r="M16935">
        <v>0.98899999999999999</v>
      </c>
      <c r="N16935">
        <v>0.99</v>
      </c>
    </row>
    <row r="16936" spans="1:14" x14ac:dyDescent="0.25">
      <c r="A16936" t="s">
        <v>28291</v>
      </c>
      <c r="B16936" t="s">
        <v>28292</v>
      </c>
      <c r="C16936" s="1" t="str">
        <f>HYPERLINK("http://www.genecards.org/cgi-bin/carddisp.pl?gene=TAGLN","GeneCards")</f>
        <v>GeneCards</v>
      </c>
      <c r="D16936" s="1" t="str">
        <f>HYPERLINK("http://genome-euro.ucsc.edu/cgi-bin/hgTracks?position=205547_s_at","UCSC")</f>
        <v>UCSC</v>
      </c>
      <c r="E16936" s="1" t="str">
        <f>HYPERLINK("http://www.ncbi.nlm.nih.gov/gene/?term=TAGLN","NCBI")</f>
        <v>NCBI</v>
      </c>
      <c r="F16936">
        <v>0.98</v>
      </c>
      <c r="G16936">
        <v>0.98</v>
      </c>
      <c r="H16936" s="1" t="str">
        <f>HYPERLINK("http://www.weizmann.ac.il/complex/compphys/software/geview/data/figures/205547_s_at.png","Figure")</f>
        <v>Figure</v>
      </c>
      <c r="I16936">
        <v>1.01</v>
      </c>
      <c r="J16936">
        <v>1</v>
      </c>
      <c r="K16936">
        <v>1.03</v>
      </c>
      <c r="L16936">
        <v>0.98</v>
      </c>
      <c r="M16936">
        <v>1.02</v>
      </c>
      <c r="N16936">
        <v>1</v>
      </c>
    </row>
    <row r="16937" spans="1:14" x14ac:dyDescent="0.25">
      <c r="A16937" t="s">
        <v>28293</v>
      </c>
      <c r="B16937" t="s">
        <v>28294</v>
      </c>
      <c r="C16937" s="1" t="str">
        <f>HYPERLINK("http://www.genecards.org/cgi-bin/carddisp.pl?gene=REG3A","GeneCards")</f>
        <v>GeneCards</v>
      </c>
      <c r="D16937" s="1" t="str">
        <f>HYPERLINK("http://genome-euro.ucsc.edu/cgi-bin/hgTracks?position=205815_at","UCSC")</f>
        <v>UCSC</v>
      </c>
      <c r="E16937" s="1" t="str">
        <f>HYPERLINK("http://www.ncbi.nlm.nih.gov/gene/?term=REG3A","NCBI")</f>
        <v>NCBI</v>
      </c>
      <c r="F16937">
        <v>0.98</v>
      </c>
      <c r="G16937">
        <v>0.98</v>
      </c>
      <c r="H16937" s="1" t="str">
        <f>HYPERLINK("http://www.weizmann.ac.il/complex/compphys/software/geview/data/figures/205815_at.png","Figure")</f>
        <v>Figure</v>
      </c>
      <c r="I16937">
        <v>1.01</v>
      </c>
      <c r="J16937">
        <v>0.98</v>
      </c>
      <c r="K16937">
        <v>1.01</v>
      </c>
      <c r="L16937">
        <v>0.99</v>
      </c>
      <c r="M16937">
        <v>0.99299999999999999</v>
      </c>
      <c r="N16937">
        <v>0.99</v>
      </c>
    </row>
    <row r="16938" spans="1:14" x14ac:dyDescent="0.25">
      <c r="A16938" t="s">
        <v>28295</v>
      </c>
      <c r="B16938" t="s">
        <v>28296</v>
      </c>
      <c r="C16938" s="1" t="str">
        <f>HYPERLINK("http://www.genecards.org/cgi-bin/carddisp.pl?gene=RPL11","GeneCards")</f>
        <v>GeneCards</v>
      </c>
      <c r="D16938" s="1" t="str">
        <f>HYPERLINK("http://genome-euro.ucsc.edu/cgi-bin/hgTracks?position=200010_at","UCSC")</f>
        <v>UCSC</v>
      </c>
      <c r="E16938" s="1" t="str">
        <f>HYPERLINK("http://www.ncbi.nlm.nih.gov/gene/?term=RPL11","NCBI")</f>
        <v>NCBI</v>
      </c>
      <c r="F16938">
        <v>0.98</v>
      </c>
      <c r="G16938">
        <v>0.98</v>
      </c>
      <c r="H16938" s="1" t="str">
        <f>HYPERLINK("http://www.weizmann.ac.il/complex/compphys/software/geview/data/figures/200010_at.png","Figure")</f>
        <v>Figure</v>
      </c>
      <c r="I16938">
        <v>0.96599999999999997</v>
      </c>
      <c r="J16938">
        <v>0.98</v>
      </c>
      <c r="K16938">
        <v>0.98099999999999998</v>
      </c>
      <c r="L16938">
        <v>0.99</v>
      </c>
      <c r="M16938">
        <v>1.02</v>
      </c>
      <c r="N16938">
        <v>0.99</v>
      </c>
    </row>
    <row r="16939" spans="1:14" x14ac:dyDescent="0.25">
      <c r="A16939" t="s">
        <v>28297</v>
      </c>
      <c r="B16939" t="s">
        <v>28298</v>
      </c>
      <c r="C16939" s="1" t="str">
        <f>HYPERLINK("http://www.genecards.org/cgi-bin/carddisp.pl?gene=CDC123","GeneCards")</f>
        <v>GeneCards</v>
      </c>
      <c r="D16939" s="1" t="str">
        <f>HYPERLINK("http://genome-euro.ucsc.edu/cgi-bin/hgTracks?position=201725_at","UCSC")</f>
        <v>UCSC</v>
      </c>
      <c r="E16939" s="1" t="str">
        <f>HYPERLINK("http://www.ncbi.nlm.nih.gov/gene/?term=CDC123","NCBI")</f>
        <v>NCBI</v>
      </c>
      <c r="F16939">
        <v>0.98</v>
      </c>
      <c r="G16939">
        <v>0.98</v>
      </c>
      <c r="H16939" s="1" t="str">
        <f>HYPERLINK("http://www.weizmann.ac.il/complex/compphys/software/geview/data/figures/201725_at.png","Figure")</f>
        <v>Figure</v>
      </c>
      <c r="I16939">
        <v>0.97699999999999998</v>
      </c>
      <c r="J16939">
        <v>0.99</v>
      </c>
      <c r="K16939">
        <v>1.01</v>
      </c>
      <c r="L16939">
        <v>1</v>
      </c>
      <c r="M16939">
        <v>1.03</v>
      </c>
      <c r="N16939">
        <v>0.98</v>
      </c>
    </row>
    <row r="16940" spans="1:14" x14ac:dyDescent="0.25">
      <c r="A16940" t="s">
        <v>28299</v>
      </c>
      <c r="B16940" t="s">
        <v>6073</v>
      </c>
      <c r="C16940" s="1" t="str">
        <f>HYPERLINK("http://www.genecards.org/cgi-bin/carddisp.pl?gene=NPR1","GeneCards")</f>
        <v>GeneCards</v>
      </c>
      <c r="D16940" s="1" t="str">
        <f>HYPERLINK("http://genome-euro.ucsc.edu/cgi-bin/hgTracks?position=204648_at","UCSC")</f>
        <v>UCSC</v>
      </c>
      <c r="E16940" s="1" t="str">
        <f>HYPERLINK("http://www.ncbi.nlm.nih.gov/gene/?term=NPR1","NCBI")</f>
        <v>NCBI</v>
      </c>
      <c r="F16940">
        <v>0.98</v>
      </c>
      <c r="G16940">
        <v>0.98</v>
      </c>
      <c r="H16940" s="1" t="str">
        <f>HYPERLINK("http://www.weizmann.ac.il/complex/compphys/software/geview/data/figures/204648_at.png","Figure")</f>
        <v>Figure</v>
      </c>
      <c r="I16940">
        <v>1.02</v>
      </c>
      <c r="J16940">
        <v>0.99</v>
      </c>
      <c r="K16940">
        <v>0.99099999999999999</v>
      </c>
      <c r="L16940">
        <v>1</v>
      </c>
      <c r="M16940">
        <v>0.97399999999999998</v>
      </c>
      <c r="N16940">
        <v>0.98</v>
      </c>
    </row>
    <row r="16941" spans="1:14" x14ac:dyDescent="0.25">
      <c r="A16941" t="s">
        <v>28300</v>
      </c>
      <c r="B16941" t="s">
        <v>9675</v>
      </c>
      <c r="C16941" s="1" t="str">
        <f>HYPERLINK("http://www.genecards.org/cgi-bin/carddisp.pl?gene=FAM20B","GeneCards")</f>
        <v>GeneCards</v>
      </c>
      <c r="D16941" s="1" t="str">
        <f>HYPERLINK("http://genome-euro.ucsc.edu/cgi-bin/hgTracks?position=214768_x_at","UCSC")</f>
        <v>UCSC</v>
      </c>
      <c r="E16941" s="1" t="str">
        <f>HYPERLINK("http://www.ncbi.nlm.nih.gov/gene/?term=FAM20B","NCBI")</f>
        <v>NCBI</v>
      </c>
      <c r="F16941">
        <v>0.98</v>
      </c>
      <c r="G16941">
        <v>0.98</v>
      </c>
      <c r="H16941" s="1" t="str">
        <f>HYPERLINK("http://www.weizmann.ac.il/complex/compphys/software/geview/data/figures/214768_x_at.png","Figure")</f>
        <v>Figure</v>
      </c>
      <c r="I16941">
        <v>0.98</v>
      </c>
      <c r="J16941">
        <v>0.99</v>
      </c>
      <c r="K16941">
        <v>1</v>
      </c>
      <c r="L16941">
        <v>1</v>
      </c>
      <c r="M16941">
        <v>1.02</v>
      </c>
      <c r="N16941">
        <v>0.98</v>
      </c>
    </row>
    <row r="16942" spans="1:14" x14ac:dyDescent="0.25">
      <c r="A16942" t="s">
        <v>28301</v>
      </c>
      <c r="B16942" t="s">
        <v>28302</v>
      </c>
      <c r="C16942" s="1" t="str">
        <f>HYPERLINK("http://www.genecards.org/cgi-bin/carddisp.pl?gene=AGPAT3","GeneCards")</f>
        <v>GeneCards</v>
      </c>
      <c r="D16942" s="1" t="str">
        <f>HYPERLINK("http://genome-euro.ucsc.edu/cgi-bin/hgTracks?position=219723_x_at","UCSC")</f>
        <v>UCSC</v>
      </c>
      <c r="E16942" s="1" t="str">
        <f>HYPERLINK("http://www.ncbi.nlm.nih.gov/gene/?term=AGPAT3","NCBI")</f>
        <v>NCBI</v>
      </c>
      <c r="F16942">
        <v>0.98</v>
      </c>
      <c r="G16942">
        <v>0.99</v>
      </c>
      <c r="H16942" s="1" t="str">
        <f>HYPERLINK("http://www.weizmann.ac.il/complex/compphys/software/geview/data/figures/219723_x_at.png","Figure")</f>
        <v>Figure</v>
      </c>
      <c r="I16942">
        <v>0.98699999999999999</v>
      </c>
      <c r="J16942">
        <v>0.99</v>
      </c>
      <c r="K16942">
        <v>0.98599999999999999</v>
      </c>
      <c r="L16942">
        <v>0.98</v>
      </c>
      <c r="M16942">
        <v>1</v>
      </c>
      <c r="N16942">
        <v>1</v>
      </c>
    </row>
    <row r="16943" spans="1:14" x14ac:dyDescent="0.25">
      <c r="A16943" t="s">
        <v>28303</v>
      </c>
      <c r="B16943" t="s">
        <v>2017</v>
      </c>
      <c r="C16943" s="1" t="str">
        <f>HYPERLINK("http://www.genecards.org/cgi-bin/carddisp.pl?gene=LMO4","GeneCards")</f>
        <v>GeneCards</v>
      </c>
      <c r="D16943" s="1" t="str">
        <f>HYPERLINK("http://genome-euro.ucsc.edu/cgi-bin/hgTracks?position=209204_at","UCSC")</f>
        <v>UCSC</v>
      </c>
      <c r="E16943" s="1" t="str">
        <f>HYPERLINK("http://www.ncbi.nlm.nih.gov/gene/?term=LMO4","NCBI")</f>
        <v>NCBI</v>
      </c>
      <c r="F16943">
        <v>0.98</v>
      </c>
      <c r="G16943">
        <v>0.99</v>
      </c>
      <c r="H16943" s="1" t="str">
        <f>HYPERLINK("http://www.weizmann.ac.il/complex/compphys/software/geview/data/figures/209204_at.png","Figure")</f>
        <v>Figure</v>
      </c>
      <c r="I16943">
        <v>0.996</v>
      </c>
      <c r="J16943">
        <v>0.99</v>
      </c>
      <c r="K16943">
        <v>0.99199999999999999</v>
      </c>
      <c r="L16943">
        <v>0.98</v>
      </c>
      <c r="M16943">
        <v>0.997</v>
      </c>
      <c r="N16943">
        <v>1</v>
      </c>
    </row>
    <row r="16944" spans="1:14" x14ac:dyDescent="0.25">
      <c r="A16944" t="s">
        <v>28304</v>
      </c>
      <c r="B16944" t="s">
        <v>22544</v>
      </c>
      <c r="C16944" s="1" t="str">
        <f>HYPERLINK("http://www.genecards.org/cgi-bin/carddisp.pl?gene=APC","GeneCards")</f>
        <v>GeneCards</v>
      </c>
      <c r="D16944" s="1" t="str">
        <f>HYPERLINK("http://genome-euro.ucsc.edu/cgi-bin/hgTracks?position=215310_at","UCSC")</f>
        <v>UCSC</v>
      </c>
      <c r="E16944" s="1" t="str">
        <f>HYPERLINK("http://www.ncbi.nlm.nih.gov/gene/?term=APC","NCBI")</f>
        <v>NCBI</v>
      </c>
      <c r="F16944">
        <v>0.98</v>
      </c>
      <c r="G16944">
        <v>0.99</v>
      </c>
      <c r="H16944" s="1" t="str">
        <f>HYPERLINK("http://www.weizmann.ac.il/complex/compphys/software/geview/data/figures/215310_at.png","Figure")</f>
        <v>Figure</v>
      </c>
      <c r="I16944">
        <v>0.98899999999999999</v>
      </c>
      <c r="J16944">
        <v>0.99</v>
      </c>
      <c r="K16944">
        <v>0.98499999999999999</v>
      </c>
      <c r="L16944">
        <v>0.98</v>
      </c>
      <c r="M16944">
        <v>0.995</v>
      </c>
      <c r="N16944">
        <v>1</v>
      </c>
    </row>
    <row r="16945" spans="1:14" x14ac:dyDescent="0.25">
      <c r="A16945" t="s">
        <v>28305</v>
      </c>
      <c r="B16945" t="s">
        <v>23922</v>
      </c>
      <c r="C16945" s="1" t="str">
        <f>HYPERLINK("http://www.genecards.org/cgi-bin/carddisp.pl?gene=DHODH","GeneCards")</f>
        <v>GeneCards</v>
      </c>
      <c r="D16945" s="1" t="str">
        <f>HYPERLINK("http://genome-euro.ucsc.edu/cgi-bin/hgTracks?position=213632_at","UCSC")</f>
        <v>UCSC</v>
      </c>
      <c r="E16945" s="1" t="str">
        <f>HYPERLINK("http://www.ncbi.nlm.nih.gov/gene/?term=DHODH","NCBI")</f>
        <v>NCBI</v>
      </c>
      <c r="F16945">
        <v>0.98</v>
      </c>
      <c r="G16945">
        <v>0.99</v>
      </c>
      <c r="H16945" s="1" t="str">
        <f>HYPERLINK("http://www.weizmann.ac.il/complex/compphys/software/geview/data/figures/213632_at.png","Figure")</f>
        <v>Figure</v>
      </c>
      <c r="I16945">
        <v>1</v>
      </c>
      <c r="J16945">
        <v>1</v>
      </c>
      <c r="K16945">
        <v>1.01</v>
      </c>
      <c r="L16945">
        <v>0.99</v>
      </c>
      <c r="M16945">
        <v>1.01</v>
      </c>
      <c r="N16945">
        <v>0.99</v>
      </c>
    </row>
    <row r="16946" spans="1:14" x14ac:dyDescent="0.25">
      <c r="A16946" t="s">
        <v>28306</v>
      </c>
      <c r="B16946" t="s">
        <v>23247</v>
      </c>
      <c r="C16946" s="1" t="str">
        <f>HYPERLINK("http://www.genecards.org/cgi-bin/carddisp.pl?gene=SNRPN /// SNURF","GeneCards")</f>
        <v>GeneCards</v>
      </c>
      <c r="D16946" s="1" t="str">
        <f>HYPERLINK("http://genome-euro.ucsc.edu/cgi-bin/hgTracks?position=206042_x_at","UCSC")</f>
        <v>UCSC</v>
      </c>
      <c r="E16946" s="1" t="str">
        <f>HYPERLINK("http://www.ncbi.nlm.nih.gov/gene/?term=SNRPN /// SNURF","NCBI")</f>
        <v>NCBI</v>
      </c>
      <c r="F16946">
        <v>0.98</v>
      </c>
      <c r="G16946">
        <v>0.99</v>
      </c>
      <c r="H16946" s="1" t="str">
        <f>HYPERLINK("http://www.weizmann.ac.il/complex/compphys/software/geview/data/figures/206042_x_at.png","Figure")</f>
        <v>Figure</v>
      </c>
      <c r="I16946">
        <v>0.98799999999999999</v>
      </c>
      <c r="J16946">
        <v>1</v>
      </c>
      <c r="K16946">
        <v>0.95599999999999996</v>
      </c>
      <c r="L16946">
        <v>0.98</v>
      </c>
      <c r="M16946">
        <v>0.96699999999999997</v>
      </c>
      <c r="N16946">
        <v>0.99</v>
      </c>
    </row>
    <row r="16947" spans="1:14" x14ac:dyDescent="0.25">
      <c r="A16947" t="s">
        <v>28307</v>
      </c>
      <c r="B16947" t="s">
        <v>6563</v>
      </c>
      <c r="C16947" s="1" t="str">
        <f>HYPERLINK("http://www.genecards.org/cgi-bin/carddisp.pl?gene=HSPH1","GeneCards")</f>
        <v>GeneCards</v>
      </c>
      <c r="D16947" s="1" t="str">
        <f>HYPERLINK("http://genome-euro.ucsc.edu/cgi-bin/hgTracks?position=206976_s_at","UCSC")</f>
        <v>UCSC</v>
      </c>
      <c r="E16947" s="1" t="str">
        <f>HYPERLINK("http://www.ncbi.nlm.nih.gov/gene/?term=HSPH1","NCBI")</f>
        <v>NCBI</v>
      </c>
      <c r="F16947">
        <v>0.98</v>
      </c>
      <c r="G16947">
        <v>0.99</v>
      </c>
      <c r="H16947" s="1" t="str">
        <f>HYPERLINK("http://www.weizmann.ac.il/complex/compphys/software/geview/data/figures/206976_s_at.png","Figure")</f>
        <v>Figure</v>
      </c>
      <c r="I16947">
        <v>1.04</v>
      </c>
      <c r="J16947">
        <v>0.99</v>
      </c>
      <c r="K16947">
        <v>1</v>
      </c>
      <c r="L16947">
        <v>1</v>
      </c>
      <c r="M16947">
        <v>0.96399999999999997</v>
      </c>
      <c r="N16947">
        <v>0.99</v>
      </c>
    </row>
    <row r="16948" spans="1:14" x14ac:dyDescent="0.25">
      <c r="A16948" t="s">
        <v>28308</v>
      </c>
      <c r="B16948" t="s">
        <v>23962</v>
      </c>
      <c r="C16948" s="1" t="str">
        <f>HYPERLINK("http://www.genecards.org/cgi-bin/carddisp.pl?gene=PSMA1","GeneCards")</f>
        <v>GeneCards</v>
      </c>
      <c r="D16948" s="1" t="str">
        <f>HYPERLINK("http://genome-euro.ucsc.edu/cgi-bin/hgTracks?position=201676_x_at","UCSC")</f>
        <v>UCSC</v>
      </c>
      <c r="E16948" s="1" t="str">
        <f>HYPERLINK("http://www.ncbi.nlm.nih.gov/gene/?term=PSMA1","NCBI")</f>
        <v>NCBI</v>
      </c>
      <c r="F16948">
        <v>0.98</v>
      </c>
      <c r="G16948">
        <v>0.99</v>
      </c>
      <c r="H16948" s="1" t="str">
        <f>HYPERLINK("http://www.weizmann.ac.il/complex/compphys/software/geview/data/figures/201676_x_at.png","Figure")</f>
        <v>Figure</v>
      </c>
      <c r="I16948">
        <v>1.03</v>
      </c>
      <c r="J16948">
        <v>0.99</v>
      </c>
      <c r="K16948">
        <v>0.998</v>
      </c>
      <c r="L16948">
        <v>1</v>
      </c>
      <c r="M16948">
        <v>0.97099999999999997</v>
      </c>
      <c r="N16948">
        <v>0.98</v>
      </c>
    </row>
    <row r="16949" spans="1:14" x14ac:dyDescent="0.25">
      <c r="A16949" t="s">
        <v>28309</v>
      </c>
      <c r="B16949" t="s">
        <v>3333</v>
      </c>
      <c r="C16949" s="1" t="str">
        <f>HYPERLINK("http://www.genecards.org/cgi-bin/carddisp.pl?gene=TF","GeneCards")</f>
        <v>GeneCards</v>
      </c>
      <c r="D16949" s="1" t="str">
        <f>HYPERLINK("http://genome-euro.ucsc.edu/cgi-bin/hgTracks?position=214063_s_at","UCSC")</f>
        <v>UCSC</v>
      </c>
      <c r="E16949" s="1" t="str">
        <f>HYPERLINK("http://www.ncbi.nlm.nih.gov/gene/?term=TF","NCBI")</f>
        <v>NCBI</v>
      </c>
      <c r="F16949">
        <v>0.98</v>
      </c>
      <c r="G16949">
        <v>0.99</v>
      </c>
      <c r="H16949" s="1" t="str">
        <f>HYPERLINK("http://www.weizmann.ac.il/complex/compphys/software/geview/data/figures/214063_s_at.png","Figure")</f>
        <v>Figure</v>
      </c>
      <c r="I16949">
        <v>1</v>
      </c>
      <c r="J16949">
        <v>1</v>
      </c>
      <c r="K16949">
        <v>1.01</v>
      </c>
      <c r="L16949">
        <v>0.98</v>
      </c>
      <c r="M16949">
        <v>1</v>
      </c>
      <c r="N16949">
        <v>0.99</v>
      </c>
    </row>
    <row r="16950" spans="1:14" x14ac:dyDescent="0.25">
      <c r="A16950" t="s">
        <v>28310</v>
      </c>
      <c r="B16950" t="s">
        <v>28311</v>
      </c>
      <c r="C16950" s="1" t="str">
        <f>HYPERLINK("http://www.genecards.org/cgi-bin/carddisp.pl?gene=LOH3CR2A","GeneCards")</f>
        <v>GeneCards</v>
      </c>
      <c r="D16950" s="1" t="str">
        <f>HYPERLINK("http://genome-euro.ucsc.edu/cgi-bin/hgTracks?position=220244_at","UCSC")</f>
        <v>UCSC</v>
      </c>
      <c r="E16950" s="1" t="str">
        <f>HYPERLINK("http://www.ncbi.nlm.nih.gov/gene/?term=LOH3CR2A","NCBI")</f>
        <v>NCBI</v>
      </c>
      <c r="F16950">
        <v>0.98</v>
      </c>
      <c r="G16950">
        <v>0.99</v>
      </c>
      <c r="H16950" s="1" t="str">
        <f>HYPERLINK("http://www.weizmann.ac.il/complex/compphys/software/geview/data/figures/220244_at.png","Figure")</f>
        <v>Figure</v>
      </c>
      <c r="I16950">
        <v>0.99299999999999999</v>
      </c>
      <c r="J16950">
        <v>0.99</v>
      </c>
      <c r="K16950">
        <v>0.99</v>
      </c>
      <c r="L16950">
        <v>0.98</v>
      </c>
      <c r="M16950">
        <v>0.996</v>
      </c>
      <c r="N16950">
        <v>1</v>
      </c>
    </row>
    <row r="16951" spans="1:14" x14ac:dyDescent="0.25">
      <c r="A16951" t="s">
        <v>28312</v>
      </c>
      <c r="B16951" t="s">
        <v>28313</v>
      </c>
      <c r="C16951" s="1" t="str">
        <f>HYPERLINK("http://www.genecards.org/cgi-bin/carddisp.pl?gene=PPP2R3B","GeneCards")</f>
        <v>GeneCards</v>
      </c>
      <c r="D16951" s="1" t="str">
        <f>HYPERLINK("http://genome-euro.ucsc.edu/cgi-bin/hgTracks?position=219264_s_at","UCSC")</f>
        <v>UCSC</v>
      </c>
      <c r="E16951" s="1" t="str">
        <f>HYPERLINK("http://www.ncbi.nlm.nih.gov/gene/?term=PPP2R3B","NCBI")</f>
        <v>NCBI</v>
      </c>
      <c r="F16951">
        <v>0.99</v>
      </c>
      <c r="G16951">
        <v>0.99</v>
      </c>
      <c r="H16951" s="1" t="str">
        <f>HYPERLINK("http://www.weizmann.ac.il/complex/compphys/software/geview/data/figures/219264_s_at.png","Figure")</f>
        <v>Figure</v>
      </c>
      <c r="I16951">
        <v>0.99099999999999999</v>
      </c>
      <c r="J16951">
        <v>0.99</v>
      </c>
      <c r="K16951">
        <v>0.99099999999999999</v>
      </c>
      <c r="L16951">
        <v>0.99</v>
      </c>
      <c r="M16951">
        <v>1</v>
      </c>
      <c r="N16951">
        <v>1</v>
      </c>
    </row>
    <row r="16952" spans="1:14" x14ac:dyDescent="0.25">
      <c r="A16952" t="s">
        <v>28314</v>
      </c>
      <c r="B16952" t="s">
        <v>13424</v>
      </c>
      <c r="C16952" s="1" t="str">
        <f>HYPERLINK("http://www.genecards.org/cgi-bin/carddisp.pl?gene=FXR1","GeneCards")</f>
        <v>GeneCards</v>
      </c>
      <c r="D16952" s="1" t="str">
        <f>HYPERLINK("http://genome-euro.ucsc.edu/cgi-bin/hgTracks?position=201636_at","UCSC")</f>
        <v>UCSC</v>
      </c>
      <c r="E16952" s="1" t="str">
        <f>HYPERLINK("http://www.ncbi.nlm.nih.gov/gene/?term=FXR1","NCBI")</f>
        <v>NCBI</v>
      </c>
      <c r="F16952">
        <v>0.99</v>
      </c>
      <c r="G16952">
        <v>0.99</v>
      </c>
      <c r="H16952" s="1" t="str">
        <f>HYPERLINK("http://www.weizmann.ac.il/complex/compphys/software/geview/data/figures/201636_at.png","Figure")</f>
        <v>Figure</v>
      </c>
      <c r="I16952">
        <v>0.99199999999999999</v>
      </c>
      <c r="J16952">
        <v>1</v>
      </c>
      <c r="K16952">
        <v>0.97899999999999998</v>
      </c>
      <c r="L16952">
        <v>0.98</v>
      </c>
      <c r="M16952">
        <v>0.98599999999999999</v>
      </c>
      <c r="N16952">
        <v>0.99</v>
      </c>
    </row>
    <row r="16953" spans="1:14" x14ac:dyDescent="0.25">
      <c r="A16953" t="s">
        <v>28315</v>
      </c>
      <c r="B16953" t="s">
        <v>28316</v>
      </c>
      <c r="C16953" s="1" t="str">
        <f>HYPERLINK("http://www.genecards.org/cgi-bin/carddisp.pl?gene=GYS1","GeneCards")</f>
        <v>GeneCards</v>
      </c>
      <c r="D16953" s="1" t="str">
        <f>HYPERLINK("http://genome-euro.ucsc.edu/cgi-bin/hgTracks?position=201673_s_at","UCSC")</f>
        <v>UCSC</v>
      </c>
      <c r="E16953" s="1" t="str">
        <f>HYPERLINK("http://www.ncbi.nlm.nih.gov/gene/?term=GYS1","NCBI")</f>
        <v>NCBI</v>
      </c>
      <c r="F16953">
        <v>0.99</v>
      </c>
      <c r="G16953">
        <v>0.99</v>
      </c>
      <c r="H16953" s="1" t="str">
        <f>HYPERLINK("http://www.weizmann.ac.il/complex/compphys/software/geview/data/figures/201673_s_at.png","Figure")</f>
        <v>Figure</v>
      </c>
      <c r="I16953">
        <v>1.01</v>
      </c>
      <c r="J16953">
        <v>1</v>
      </c>
      <c r="K16953">
        <v>0.98599999999999999</v>
      </c>
      <c r="L16953">
        <v>0.99</v>
      </c>
      <c r="M16953">
        <v>0.97399999999999998</v>
      </c>
      <c r="N16953">
        <v>0.98</v>
      </c>
    </row>
    <row r="16954" spans="1:14" x14ac:dyDescent="0.25">
      <c r="A16954" t="s">
        <v>28317</v>
      </c>
      <c r="B16954" t="s">
        <v>18571</v>
      </c>
      <c r="C16954" s="1" t="str">
        <f>HYPERLINK("http://www.genecards.org/cgi-bin/carddisp.pl?gene=MTMR2","GeneCards")</f>
        <v>GeneCards</v>
      </c>
      <c r="D16954" s="1" t="str">
        <f>HYPERLINK("http://genome-euro.ucsc.edu/cgi-bin/hgTracks?position=203212_s_at","UCSC")</f>
        <v>UCSC</v>
      </c>
      <c r="E16954" s="1" t="str">
        <f>HYPERLINK("http://www.ncbi.nlm.nih.gov/gene/?term=MTMR2","NCBI")</f>
        <v>NCBI</v>
      </c>
      <c r="F16954">
        <v>0.99</v>
      </c>
      <c r="G16954">
        <v>0.99</v>
      </c>
      <c r="H16954" s="1" t="str">
        <f>HYPERLINK("http://www.weizmann.ac.il/complex/compphys/software/geview/data/figures/203212_s_at.png","Figure")</f>
        <v>Figure</v>
      </c>
      <c r="I16954">
        <v>0.97599999999999998</v>
      </c>
      <c r="J16954">
        <v>0.98</v>
      </c>
      <c r="K16954">
        <v>0.98799999999999999</v>
      </c>
      <c r="L16954">
        <v>0.99</v>
      </c>
      <c r="M16954">
        <v>1.01</v>
      </c>
      <c r="N16954">
        <v>1</v>
      </c>
    </row>
    <row r="16955" spans="1:14" x14ac:dyDescent="0.25">
      <c r="A16955" t="s">
        <v>28318</v>
      </c>
      <c r="B16955" t="s">
        <v>15277</v>
      </c>
      <c r="C16955" s="1" t="str">
        <f>HYPERLINK("http://www.genecards.org/cgi-bin/carddisp.pl?gene=HLA-DQB1","GeneCards")</f>
        <v>GeneCards</v>
      </c>
      <c r="D16955" s="1" t="str">
        <f>HYPERLINK("http://genome-euro.ucsc.edu/cgi-bin/hgTracks?position=212999_x_at","UCSC")</f>
        <v>UCSC</v>
      </c>
      <c r="E16955" s="1" t="str">
        <f>HYPERLINK("http://www.ncbi.nlm.nih.gov/gene/?term=HLA-DQB1","NCBI")</f>
        <v>NCBI</v>
      </c>
      <c r="F16955">
        <v>0.99</v>
      </c>
      <c r="G16955">
        <v>0.99</v>
      </c>
      <c r="H16955" s="1" t="str">
        <f>HYPERLINK("http://www.weizmann.ac.il/complex/compphys/software/geview/data/figures/212999_x_at.png","Figure")</f>
        <v>Figure</v>
      </c>
      <c r="I16955">
        <v>1.05</v>
      </c>
      <c r="J16955">
        <v>1</v>
      </c>
      <c r="K16955">
        <v>1.08</v>
      </c>
      <c r="L16955">
        <v>0.98</v>
      </c>
      <c r="M16955">
        <v>1.03</v>
      </c>
      <c r="N16955">
        <v>1</v>
      </c>
    </row>
    <row r="16956" spans="1:14" x14ac:dyDescent="0.25">
      <c r="A16956" t="s">
        <v>28319</v>
      </c>
      <c r="B16956" t="s">
        <v>18184</v>
      </c>
      <c r="C16956" s="1" t="str">
        <f>HYPERLINK("http://www.genecards.org/cgi-bin/carddisp.pl?gene=NUDT21","GeneCards")</f>
        <v>GeneCards</v>
      </c>
      <c r="D16956" s="1" t="str">
        <f>HYPERLINK("http://genome-euro.ucsc.edu/cgi-bin/hgTracks?position=202697_at","UCSC")</f>
        <v>UCSC</v>
      </c>
      <c r="E16956" s="1" t="str">
        <f>HYPERLINK("http://www.ncbi.nlm.nih.gov/gene/?term=NUDT21","NCBI")</f>
        <v>NCBI</v>
      </c>
      <c r="F16956">
        <v>0.99</v>
      </c>
      <c r="G16956">
        <v>0.99</v>
      </c>
      <c r="H16956" s="1" t="str">
        <f>HYPERLINK("http://www.weizmann.ac.il/complex/compphys/software/geview/data/figures/202697_at.png","Figure")</f>
        <v>Figure</v>
      </c>
      <c r="I16956">
        <v>1.04</v>
      </c>
      <c r="J16956">
        <v>0.99</v>
      </c>
      <c r="K16956">
        <v>0.995</v>
      </c>
      <c r="L16956">
        <v>1</v>
      </c>
      <c r="M16956">
        <v>0.95699999999999996</v>
      </c>
      <c r="N16956">
        <v>0.99</v>
      </c>
    </row>
    <row r="16957" spans="1:14" x14ac:dyDescent="0.25">
      <c r="A16957" t="s">
        <v>28320</v>
      </c>
      <c r="B16957" t="s">
        <v>28321</v>
      </c>
      <c r="C16957" s="1" t="str">
        <f>HYPERLINK("http://www.genecards.org/cgi-bin/carddisp.pl?gene=GLOD4","GeneCards")</f>
        <v>GeneCards</v>
      </c>
      <c r="D16957" s="1" t="str">
        <f>HYPERLINK("http://genome-euro.ucsc.edu/cgi-bin/hgTracks?position=209092_s_at","UCSC")</f>
        <v>UCSC</v>
      </c>
      <c r="E16957" s="1" t="str">
        <f>HYPERLINK("http://www.ncbi.nlm.nih.gov/gene/?term=GLOD4","NCBI")</f>
        <v>NCBI</v>
      </c>
      <c r="F16957">
        <v>0.99</v>
      </c>
      <c r="G16957">
        <v>0.99</v>
      </c>
      <c r="H16957" s="1" t="str">
        <f>HYPERLINK("http://www.weizmann.ac.il/complex/compphys/software/geview/data/figures/209092_s_at.png","Figure")</f>
        <v>Figure</v>
      </c>
      <c r="I16957">
        <v>1.03</v>
      </c>
      <c r="J16957">
        <v>0.99</v>
      </c>
      <c r="K16957">
        <v>1.03</v>
      </c>
      <c r="L16957">
        <v>0.99</v>
      </c>
      <c r="M16957">
        <v>1</v>
      </c>
      <c r="N16957">
        <v>1</v>
      </c>
    </row>
    <row r="16958" spans="1:14" x14ac:dyDescent="0.25">
      <c r="A16958" t="s">
        <v>28322</v>
      </c>
      <c r="B16958" t="s">
        <v>28323</v>
      </c>
      <c r="C16958" s="1" t="str">
        <f>HYPERLINK("http://www.genecards.org/cgi-bin/carddisp.pl?gene=NAT9","GeneCards")</f>
        <v>GeneCards</v>
      </c>
      <c r="D16958" s="1" t="str">
        <f>HYPERLINK("http://genome-euro.ucsc.edu/cgi-bin/hgTracks?position=204382_at","UCSC")</f>
        <v>UCSC</v>
      </c>
      <c r="E16958" s="1" t="str">
        <f>HYPERLINK("http://www.ncbi.nlm.nih.gov/gene/?term=NAT9","NCBI")</f>
        <v>NCBI</v>
      </c>
      <c r="F16958">
        <v>0.99</v>
      </c>
      <c r="G16958">
        <v>0.99</v>
      </c>
      <c r="H16958" s="1" t="str">
        <f>HYPERLINK("http://www.weizmann.ac.il/complex/compphys/software/geview/data/figures/204382_at.png","Figure")</f>
        <v>Figure</v>
      </c>
      <c r="I16958">
        <v>0.99399999999999999</v>
      </c>
      <c r="J16958">
        <v>0.99</v>
      </c>
      <c r="K16958">
        <v>1</v>
      </c>
      <c r="L16958">
        <v>1</v>
      </c>
      <c r="M16958">
        <v>1.01</v>
      </c>
      <c r="N16958">
        <v>0.98</v>
      </c>
    </row>
    <row r="16959" spans="1:14" x14ac:dyDescent="0.25">
      <c r="A16959" t="s">
        <v>28324</v>
      </c>
      <c r="B16959" t="s">
        <v>2015</v>
      </c>
      <c r="C16959" s="1" t="str">
        <f>HYPERLINK("http://www.genecards.org/cgi-bin/carddisp.pl?gene=TP53I11","GeneCards")</f>
        <v>GeneCards</v>
      </c>
      <c r="D16959" s="1" t="str">
        <f>HYPERLINK("http://genome-euro.ucsc.edu/cgi-bin/hgTracks?position=216919_at","UCSC")</f>
        <v>UCSC</v>
      </c>
      <c r="E16959" s="1" t="str">
        <f>HYPERLINK("http://www.ncbi.nlm.nih.gov/gene/?term=TP53I11","NCBI")</f>
        <v>NCBI</v>
      </c>
      <c r="F16959">
        <v>0.99</v>
      </c>
      <c r="G16959">
        <v>0.99</v>
      </c>
      <c r="H16959" s="1" t="str">
        <f>HYPERLINK("http://www.weizmann.ac.il/complex/compphys/software/geview/data/figures/216919_at.png","Figure")</f>
        <v>Figure</v>
      </c>
      <c r="I16959">
        <v>1.01</v>
      </c>
      <c r="J16959">
        <v>1</v>
      </c>
      <c r="K16959">
        <v>1.01</v>
      </c>
      <c r="L16959">
        <v>0.99</v>
      </c>
      <c r="M16959">
        <v>1.01</v>
      </c>
      <c r="N16959">
        <v>1</v>
      </c>
    </row>
    <row r="16960" spans="1:14" x14ac:dyDescent="0.25">
      <c r="A16960" t="s">
        <v>28325</v>
      </c>
      <c r="B16960" t="s">
        <v>21485</v>
      </c>
      <c r="C16960" s="1" t="str">
        <f>HYPERLINK("http://www.genecards.org/cgi-bin/carddisp.pl?gene=C6orf106","GeneCards")</f>
        <v>GeneCards</v>
      </c>
      <c r="D16960" s="1" t="str">
        <f>HYPERLINK("http://genome-euro.ucsc.edu/cgi-bin/hgTracks?position=217924_at","UCSC")</f>
        <v>UCSC</v>
      </c>
      <c r="E16960" s="1" t="str">
        <f>HYPERLINK("http://www.ncbi.nlm.nih.gov/gene/?term=C6orf106","NCBI")</f>
        <v>NCBI</v>
      </c>
      <c r="F16960">
        <v>0.99</v>
      </c>
      <c r="G16960">
        <v>0.99</v>
      </c>
      <c r="H16960" s="1" t="str">
        <f>HYPERLINK("http://www.weizmann.ac.il/complex/compphys/software/geview/data/figures/217924_at.png","Figure")</f>
        <v>Figure</v>
      </c>
      <c r="I16960">
        <v>1.03</v>
      </c>
      <c r="J16960">
        <v>0.99</v>
      </c>
      <c r="K16960">
        <v>1</v>
      </c>
      <c r="L16960">
        <v>1</v>
      </c>
      <c r="M16960">
        <v>0.97699999999999998</v>
      </c>
      <c r="N16960">
        <v>0.99</v>
      </c>
    </row>
    <row r="16961" spans="1:14" x14ac:dyDescent="0.25">
      <c r="A16961" t="s">
        <v>28326</v>
      </c>
      <c r="B16961" t="s">
        <v>28327</v>
      </c>
      <c r="C16961" s="1" t="str">
        <f>HYPERLINK("http://www.genecards.org/cgi-bin/carddisp.pl?gene=CD3G","GeneCards")</f>
        <v>GeneCards</v>
      </c>
      <c r="D16961" s="1" t="str">
        <f>HYPERLINK("http://genome-euro.ucsc.edu/cgi-bin/hgTracks?position=206804_at","UCSC")</f>
        <v>UCSC</v>
      </c>
      <c r="E16961" s="1" t="str">
        <f>HYPERLINK("http://www.ncbi.nlm.nih.gov/gene/?term=CD3G","NCBI")</f>
        <v>NCBI</v>
      </c>
      <c r="F16961">
        <v>0.99</v>
      </c>
      <c r="G16961">
        <v>0.99</v>
      </c>
      <c r="H16961" s="1" t="str">
        <f>HYPERLINK("http://www.weizmann.ac.il/complex/compphys/software/geview/data/figures/206804_at.png","Figure")</f>
        <v>Figure</v>
      </c>
      <c r="I16961">
        <v>1</v>
      </c>
      <c r="J16961">
        <v>1</v>
      </c>
      <c r="K16961">
        <v>0.98899999999999999</v>
      </c>
      <c r="L16961">
        <v>0.99</v>
      </c>
      <c r="M16961">
        <v>0.98499999999999999</v>
      </c>
      <c r="N16961">
        <v>0.99</v>
      </c>
    </row>
    <row r="16962" spans="1:14" x14ac:dyDescent="0.25">
      <c r="A16962" t="s">
        <v>28328</v>
      </c>
      <c r="B16962" t="s">
        <v>28329</v>
      </c>
      <c r="C16962" s="1" t="str">
        <f>HYPERLINK("http://www.genecards.org/cgi-bin/carddisp.pl?gene=TBC1D29","GeneCards")</f>
        <v>GeneCards</v>
      </c>
      <c r="D16962" s="1" t="str">
        <f>HYPERLINK("http://genome-euro.ucsc.edu/cgi-bin/hgTracks?position=208008_at","UCSC")</f>
        <v>UCSC</v>
      </c>
      <c r="E16962" s="1" t="str">
        <f>HYPERLINK("http://www.ncbi.nlm.nih.gov/gene/?term=TBC1D29","NCBI")</f>
        <v>NCBI</v>
      </c>
      <c r="F16962">
        <v>0.99</v>
      </c>
      <c r="G16962">
        <v>0.99</v>
      </c>
      <c r="H16962" s="1" t="str">
        <f>HYPERLINK("http://www.weizmann.ac.il/complex/compphys/software/geview/data/figures/208008_at.png","Figure")</f>
        <v>Figure</v>
      </c>
      <c r="I16962">
        <v>0.99199999999999999</v>
      </c>
      <c r="J16962">
        <v>0.99</v>
      </c>
      <c r="K16962">
        <v>0.998</v>
      </c>
      <c r="L16962">
        <v>1</v>
      </c>
      <c r="M16962">
        <v>1.01</v>
      </c>
      <c r="N16962">
        <v>0.99</v>
      </c>
    </row>
    <row r="16963" spans="1:14" x14ac:dyDescent="0.25">
      <c r="A16963" t="s">
        <v>28330</v>
      </c>
      <c r="B16963" t="s">
        <v>16622</v>
      </c>
      <c r="C16963" s="1" t="str">
        <f>HYPERLINK("http://www.genecards.org/cgi-bin/carddisp.pl?gene=FAM107A","GeneCards")</f>
        <v>GeneCards</v>
      </c>
      <c r="D16963" s="1" t="str">
        <f>HYPERLINK("http://genome-euro.ucsc.edu/cgi-bin/hgTracks?position=209074_s_at","UCSC")</f>
        <v>UCSC</v>
      </c>
      <c r="E16963" s="1" t="str">
        <f>HYPERLINK("http://www.ncbi.nlm.nih.gov/gene/?term=FAM107A","NCBI")</f>
        <v>NCBI</v>
      </c>
      <c r="F16963">
        <v>0.99</v>
      </c>
      <c r="G16963">
        <v>0.99</v>
      </c>
      <c r="H16963" s="1" t="str">
        <f>HYPERLINK("http://www.weizmann.ac.il/complex/compphys/software/geview/data/figures/209074_s_at.png","Figure")</f>
        <v>Figure</v>
      </c>
      <c r="I16963">
        <v>0.98899999999999999</v>
      </c>
      <c r="J16963">
        <v>0.99</v>
      </c>
      <c r="K16963">
        <v>0.99399999999999999</v>
      </c>
      <c r="L16963">
        <v>1</v>
      </c>
      <c r="M16963">
        <v>1.01</v>
      </c>
      <c r="N16963">
        <v>1</v>
      </c>
    </row>
    <row r="16964" spans="1:14" x14ac:dyDescent="0.25">
      <c r="A16964" t="s">
        <v>28331</v>
      </c>
      <c r="B16964" t="s">
        <v>24862</v>
      </c>
      <c r="C16964" s="1" t="str">
        <f>HYPERLINK("http://www.genecards.org/cgi-bin/carddisp.pl?gene=DND1","GeneCards")</f>
        <v>GeneCards</v>
      </c>
      <c r="D16964" s="1" t="str">
        <f>HYPERLINK("http://genome-euro.ucsc.edu/cgi-bin/hgTracks?position=57739_at","UCSC")</f>
        <v>UCSC</v>
      </c>
      <c r="E16964" s="1" t="str">
        <f>HYPERLINK("http://www.ncbi.nlm.nih.gov/gene/?term=DND1","NCBI")</f>
        <v>NCBI</v>
      </c>
      <c r="F16964">
        <v>0.99</v>
      </c>
      <c r="G16964">
        <v>0.99</v>
      </c>
      <c r="H16964" s="1" t="str">
        <f>HYPERLINK("http://www.weizmann.ac.il/complex/compphys/software/geview/data/figures/57739_at.png","Figure")</f>
        <v>Figure</v>
      </c>
      <c r="I16964">
        <v>0.97</v>
      </c>
      <c r="J16964">
        <v>0.99</v>
      </c>
      <c r="K16964">
        <v>1</v>
      </c>
      <c r="L16964">
        <v>1</v>
      </c>
      <c r="M16964">
        <v>1.03</v>
      </c>
      <c r="N16964">
        <v>0.99</v>
      </c>
    </row>
    <row r="16965" spans="1:14" x14ac:dyDescent="0.25">
      <c r="A16965" t="s">
        <v>28332</v>
      </c>
      <c r="B16965" t="s">
        <v>20812</v>
      </c>
      <c r="C16965" s="1" t="str">
        <f>HYPERLINK("http://www.genecards.org/cgi-bin/carddisp.pl?gene=IGLJ3","GeneCards")</f>
        <v>GeneCards</v>
      </c>
      <c r="D16965" s="1" t="str">
        <f>HYPERLINK("http://genome-euro.ucsc.edu/cgi-bin/hgTracks?position=211798_x_at","UCSC")</f>
        <v>UCSC</v>
      </c>
      <c r="E16965" s="1" t="str">
        <f>HYPERLINK("http://www.ncbi.nlm.nih.gov/gene/?term=IGLJ3","NCBI")</f>
        <v>NCBI</v>
      </c>
      <c r="F16965">
        <v>0.99</v>
      </c>
      <c r="G16965">
        <v>0.99</v>
      </c>
      <c r="H16965" s="1" t="str">
        <f>HYPERLINK("http://www.weizmann.ac.il/complex/compphys/software/geview/data/figures/211798_x_at.png","Figure")</f>
        <v>Figure</v>
      </c>
      <c r="I16965">
        <v>1.02</v>
      </c>
      <c r="J16965">
        <v>0.99</v>
      </c>
      <c r="K16965">
        <v>1</v>
      </c>
      <c r="L16965">
        <v>1</v>
      </c>
      <c r="M16965">
        <v>0.98399999999999999</v>
      </c>
      <c r="N16965">
        <v>0.99</v>
      </c>
    </row>
    <row r="16966" spans="1:14" x14ac:dyDescent="0.25">
      <c r="A16966" t="s">
        <v>28333</v>
      </c>
      <c r="B16966" t="s">
        <v>20272</v>
      </c>
      <c r="C16966" s="1" t="str">
        <f>HYPERLINK("http://www.genecards.org/cgi-bin/carddisp.pl?gene=NDUFA6","GeneCards")</f>
        <v>GeneCards</v>
      </c>
      <c r="D16966" s="1" t="str">
        <f>HYPERLINK("http://genome-euro.ucsc.edu/cgi-bin/hgTracks?position=202001_s_at","UCSC")</f>
        <v>UCSC</v>
      </c>
      <c r="E16966" s="1" t="str">
        <f>HYPERLINK("http://www.ncbi.nlm.nih.gov/gene/?term=NDUFA6","NCBI")</f>
        <v>NCBI</v>
      </c>
      <c r="F16966">
        <v>0.99</v>
      </c>
      <c r="G16966">
        <v>0.99</v>
      </c>
      <c r="H16966" s="1" t="str">
        <f>HYPERLINK("http://www.weizmann.ac.il/complex/compphys/software/geview/data/figures/202001_s_at.png","Figure")</f>
        <v>Figure</v>
      </c>
      <c r="I16966">
        <v>0.98899999999999999</v>
      </c>
      <c r="J16966">
        <v>1</v>
      </c>
      <c r="K16966">
        <v>1.01</v>
      </c>
      <c r="L16966">
        <v>1</v>
      </c>
      <c r="M16966">
        <v>1.02</v>
      </c>
      <c r="N16966">
        <v>0.99</v>
      </c>
    </row>
    <row r="16967" spans="1:14" x14ac:dyDescent="0.25">
      <c r="A16967" t="s">
        <v>28334</v>
      </c>
      <c r="B16967" t="s">
        <v>12467</v>
      </c>
      <c r="C16967" s="1" t="str">
        <f>HYPERLINK("http://www.genecards.org/cgi-bin/carddisp.pl?gene=SNW1","GeneCards")</f>
        <v>GeneCards</v>
      </c>
      <c r="D16967" s="1" t="str">
        <f>HYPERLINK("http://genome-euro.ucsc.edu/cgi-bin/hgTracks?position=222183_x_at","UCSC")</f>
        <v>UCSC</v>
      </c>
      <c r="E16967" s="1" t="str">
        <f>HYPERLINK("http://www.ncbi.nlm.nih.gov/gene/?term=SNW1","NCBI")</f>
        <v>NCBI</v>
      </c>
      <c r="F16967">
        <v>0.99</v>
      </c>
      <c r="G16967">
        <v>0.99</v>
      </c>
      <c r="H16967" s="1" t="str">
        <f>HYPERLINK("http://www.weizmann.ac.il/complex/compphys/software/geview/data/figures/222183_x_at.png","Figure")</f>
        <v>Figure</v>
      </c>
      <c r="I16967">
        <v>1.02</v>
      </c>
      <c r="J16967">
        <v>0.99</v>
      </c>
      <c r="K16967">
        <v>1</v>
      </c>
      <c r="L16967">
        <v>1</v>
      </c>
      <c r="M16967">
        <v>0.98699999999999999</v>
      </c>
      <c r="N16967">
        <v>0.99</v>
      </c>
    </row>
    <row r="16968" spans="1:14" x14ac:dyDescent="0.25">
      <c r="A16968" t="s">
        <v>28335</v>
      </c>
      <c r="B16968" t="s">
        <v>23586</v>
      </c>
      <c r="C16968" s="1" t="str">
        <f>HYPERLINK("http://www.genecards.org/cgi-bin/carddisp.pl?gene=ARFGEF1","GeneCards")</f>
        <v>GeneCards</v>
      </c>
      <c r="D16968" s="1" t="str">
        <f>HYPERLINK("http://genome-euro.ucsc.edu/cgi-bin/hgTracks?position=202956_at","UCSC")</f>
        <v>UCSC</v>
      </c>
      <c r="E16968" s="1" t="str">
        <f>HYPERLINK("http://www.ncbi.nlm.nih.gov/gene/?term=ARFGEF1","NCBI")</f>
        <v>NCBI</v>
      </c>
      <c r="F16968">
        <v>0.99</v>
      </c>
      <c r="G16968">
        <v>0.99</v>
      </c>
      <c r="H16968" s="1" t="str">
        <f>HYPERLINK("http://www.weizmann.ac.il/complex/compphys/software/geview/data/figures/202956_at.png","Figure")</f>
        <v>Figure</v>
      </c>
      <c r="I16968">
        <v>1.03</v>
      </c>
      <c r="J16968">
        <v>0.99</v>
      </c>
      <c r="K16968">
        <v>1.02</v>
      </c>
      <c r="L16968">
        <v>0.99</v>
      </c>
      <c r="M16968">
        <v>0.999</v>
      </c>
      <c r="N16968">
        <v>1</v>
      </c>
    </row>
    <row r="16969" spans="1:14" x14ac:dyDescent="0.25">
      <c r="A16969" t="s">
        <v>28336</v>
      </c>
      <c r="B16969" t="s">
        <v>11909</v>
      </c>
      <c r="C16969" s="1" t="str">
        <f>HYPERLINK("http://www.genecards.org/cgi-bin/carddisp.pl?gene=YME1L1","GeneCards")</f>
        <v>GeneCards</v>
      </c>
      <c r="D16969" s="1" t="str">
        <f>HYPERLINK("http://genome-euro.ucsc.edu/cgi-bin/hgTracks?position=201351_s_at","UCSC")</f>
        <v>UCSC</v>
      </c>
      <c r="E16969" s="1" t="str">
        <f>HYPERLINK("http://www.ncbi.nlm.nih.gov/gene/?term=YME1L1","NCBI")</f>
        <v>NCBI</v>
      </c>
      <c r="F16969">
        <v>0.99</v>
      </c>
      <c r="G16969">
        <v>0.99</v>
      </c>
      <c r="H16969" s="1" t="str">
        <f>HYPERLINK("http://www.weizmann.ac.il/complex/compphys/software/geview/data/figures/201351_s_at.png","Figure")</f>
        <v>Figure</v>
      </c>
      <c r="I16969">
        <v>0.999</v>
      </c>
      <c r="J16969">
        <v>1</v>
      </c>
      <c r="K16969">
        <v>1.02</v>
      </c>
      <c r="L16969">
        <v>0.99</v>
      </c>
      <c r="M16969">
        <v>1.02</v>
      </c>
      <c r="N16969">
        <v>0.99</v>
      </c>
    </row>
    <row r="16970" spans="1:14" x14ac:dyDescent="0.25">
      <c r="A16970" t="s">
        <v>28337</v>
      </c>
      <c r="B16970" t="s">
        <v>12853</v>
      </c>
      <c r="C16970" s="1" t="str">
        <f>HYPERLINK("http://www.genecards.org/cgi-bin/carddisp.pl?gene=MTA1","GeneCards")</f>
        <v>GeneCards</v>
      </c>
      <c r="D16970" s="1" t="str">
        <f>HYPERLINK("http://genome-euro.ucsc.edu/cgi-bin/hgTracks?position=202247_s_at","UCSC")</f>
        <v>UCSC</v>
      </c>
      <c r="E16970" s="1" t="str">
        <f>HYPERLINK("http://www.ncbi.nlm.nih.gov/gene/?term=MTA1","NCBI")</f>
        <v>NCBI</v>
      </c>
      <c r="F16970">
        <v>0.99</v>
      </c>
      <c r="G16970">
        <v>0.99</v>
      </c>
      <c r="H16970" s="1" t="str">
        <f>HYPERLINK("http://www.weizmann.ac.il/complex/compphys/software/geview/data/figures/202247_s_at.png","Figure")</f>
        <v>Figure</v>
      </c>
      <c r="I16970">
        <v>1.01</v>
      </c>
      <c r="J16970">
        <v>1</v>
      </c>
      <c r="K16970">
        <v>0.995</v>
      </c>
      <c r="L16970">
        <v>1</v>
      </c>
      <c r="M16970">
        <v>0.98899999999999999</v>
      </c>
      <c r="N16970">
        <v>0.99</v>
      </c>
    </row>
    <row r="16971" spans="1:14" x14ac:dyDescent="0.25">
      <c r="A16971" t="s">
        <v>28338</v>
      </c>
      <c r="B16971" t="s">
        <v>3257</v>
      </c>
      <c r="C16971" s="1" t="str">
        <f>HYPERLINK("http://www.genecards.org/cgi-bin/carddisp.pl?gene=IGL@","GeneCards")</f>
        <v>GeneCards</v>
      </c>
      <c r="D16971" s="1" t="str">
        <f>HYPERLINK("http://genome-euro.ucsc.edu/cgi-bin/hgTracks?position=214677_x_at","UCSC")</f>
        <v>UCSC</v>
      </c>
      <c r="E16971" s="1" t="str">
        <f>HYPERLINK("http://www.ncbi.nlm.nih.gov/gene/?term=IGL@","NCBI")</f>
        <v>NCBI</v>
      </c>
      <c r="F16971">
        <v>0.99</v>
      </c>
      <c r="G16971">
        <v>0.99</v>
      </c>
      <c r="H16971" s="1" t="str">
        <f>HYPERLINK("http://www.weizmann.ac.il/complex/compphys/software/geview/data/figures/214677_x_at.png","Figure")</f>
        <v>Figure</v>
      </c>
      <c r="I16971">
        <v>0.997</v>
      </c>
      <c r="J16971">
        <v>1</v>
      </c>
      <c r="K16971">
        <v>0.95099999999999996</v>
      </c>
      <c r="L16971">
        <v>0.99</v>
      </c>
      <c r="M16971">
        <v>0.95399999999999996</v>
      </c>
      <c r="N16971">
        <v>0.99</v>
      </c>
    </row>
    <row r="16972" spans="1:14" x14ac:dyDescent="0.25">
      <c r="A16972" t="s">
        <v>28339</v>
      </c>
      <c r="B16972" t="s">
        <v>2174</v>
      </c>
      <c r="C16972" s="1" t="str">
        <f>HYPERLINK("http://www.genecards.org/cgi-bin/carddisp.pl?gene=BMP1","GeneCards")</f>
        <v>GeneCards</v>
      </c>
      <c r="D16972" s="1" t="str">
        <f>HYPERLINK("http://genome-euro.ucsc.edu/cgi-bin/hgTracks?position=205574_x_at","UCSC")</f>
        <v>UCSC</v>
      </c>
      <c r="E16972" s="1" t="str">
        <f>HYPERLINK("http://www.ncbi.nlm.nih.gov/gene/?term=BMP1","NCBI")</f>
        <v>NCBI</v>
      </c>
      <c r="F16972">
        <v>0.99</v>
      </c>
      <c r="G16972">
        <v>0.99</v>
      </c>
      <c r="H16972" s="1" t="str">
        <f>HYPERLINK("http://www.weizmann.ac.il/complex/compphys/software/geview/data/figures/205574_x_at.png","Figure")</f>
        <v>Figure</v>
      </c>
      <c r="I16972">
        <v>1</v>
      </c>
      <c r="J16972">
        <v>1</v>
      </c>
      <c r="K16972">
        <v>1.01</v>
      </c>
      <c r="L16972">
        <v>0.99</v>
      </c>
      <c r="M16972">
        <v>1.01</v>
      </c>
      <c r="N16972">
        <v>1</v>
      </c>
    </row>
    <row r="16973" spans="1:14" x14ac:dyDescent="0.25">
      <c r="A16973" t="s">
        <v>28340</v>
      </c>
      <c r="B16973" t="s">
        <v>8453</v>
      </c>
      <c r="C16973" s="1" t="str">
        <f>HYPERLINK("http://www.genecards.org/cgi-bin/carddisp.pl?gene=DEDD","GeneCards")</f>
        <v>GeneCards</v>
      </c>
      <c r="D16973" s="1" t="str">
        <f>HYPERLINK("http://genome-euro.ucsc.edu/cgi-bin/hgTracks?position=211255_x_at","UCSC")</f>
        <v>UCSC</v>
      </c>
      <c r="E16973" s="1" t="str">
        <f>HYPERLINK("http://www.ncbi.nlm.nih.gov/gene/?term=DEDD","NCBI")</f>
        <v>NCBI</v>
      </c>
      <c r="F16973">
        <v>0.99</v>
      </c>
      <c r="G16973">
        <v>0.99</v>
      </c>
      <c r="H16973" s="1" t="str">
        <f>HYPERLINK("http://www.weizmann.ac.il/complex/compphys/software/geview/data/figures/211255_x_at.png","Figure")</f>
        <v>Figure</v>
      </c>
      <c r="I16973">
        <v>0.99199999999999999</v>
      </c>
      <c r="J16973">
        <v>0.99</v>
      </c>
      <c r="K16973">
        <v>0.999</v>
      </c>
      <c r="L16973">
        <v>1</v>
      </c>
      <c r="M16973">
        <v>1.01</v>
      </c>
      <c r="N16973">
        <v>0.99</v>
      </c>
    </row>
    <row r="16974" spans="1:14" x14ac:dyDescent="0.25">
      <c r="A16974" t="s">
        <v>28341</v>
      </c>
      <c r="B16974" t="s">
        <v>21252</v>
      </c>
      <c r="C16974" s="1" t="str">
        <f>HYPERLINK("http://www.genecards.org/cgi-bin/carddisp.pl?gene=CCDC28B","GeneCards")</f>
        <v>GeneCards</v>
      </c>
      <c r="D16974" s="1" t="str">
        <f>HYPERLINK("http://genome-euro.ucsc.edu/cgi-bin/hgTracks?position=221912_s_at","UCSC")</f>
        <v>UCSC</v>
      </c>
      <c r="E16974" s="1" t="str">
        <f>HYPERLINK("http://www.ncbi.nlm.nih.gov/gene/?term=CCDC28B","NCBI")</f>
        <v>NCBI</v>
      </c>
      <c r="F16974">
        <v>0.99</v>
      </c>
      <c r="G16974">
        <v>0.99</v>
      </c>
      <c r="H16974" s="1" t="str">
        <f>HYPERLINK("http://www.weizmann.ac.il/complex/compphys/software/geview/data/figures/221912_s_at.png","Figure")</f>
        <v>Figure</v>
      </c>
      <c r="I16974">
        <v>1.01</v>
      </c>
      <c r="J16974">
        <v>1</v>
      </c>
      <c r="K16974">
        <v>1.01</v>
      </c>
      <c r="L16974">
        <v>0.99</v>
      </c>
      <c r="M16974">
        <v>1</v>
      </c>
      <c r="N16974">
        <v>1</v>
      </c>
    </row>
    <row r="16975" spans="1:14" x14ac:dyDescent="0.25">
      <c r="A16975" t="s">
        <v>28342</v>
      </c>
      <c r="B16975" t="s">
        <v>28343</v>
      </c>
      <c r="C16975" s="1" t="str">
        <f>HYPERLINK("http://www.genecards.org/cgi-bin/carddisp.pl?gene=PARL","GeneCards")</f>
        <v>GeneCards</v>
      </c>
      <c r="D16975" s="1" t="str">
        <f>HYPERLINK("http://genome-euro.ucsc.edu/cgi-bin/hgTracks?position=218271_s_at","UCSC")</f>
        <v>UCSC</v>
      </c>
      <c r="E16975" s="1" t="str">
        <f>HYPERLINK("http://www.ncbi.nlm.nih.gov/gene/?term=PARL","NCBI")</f>
        <v>NCBI</v>
      </c>
      <c r="F16975">
        <v>0.99</v>
      </c>
      <c r="G16975">
        <v>0.99</v>
      </c>
      <c r="H16975" s="1" t="str">
        <f>HYPERLINK("http://www.weizmann.ac.il/complex/compphys/software/geview/data/figures/218271_s_at.png","Figure")</f>
        <v>Figure</v>
      </c>
      <c r="I16975">
        <v>1.01</v>
      </c>
      <c r="J16975">
        <v>1</v>
      </c>
      <c r="K16975">
        <v>1.02</v>
      </c>
      <c r="L16975">
        <v>0.99</v>
      </c>
      <c r="M16975">
        <v>1.01</v>
      </c>
      <c r="N16975">
        <v>1</v>
      </c>
    </row>
    <row r="16976" spans="1:14" x14ac:dyDescent="0.25">
      <c r="A16976" t="s">
        <v>28344</v>
      </c>
      <c r="B16976" t="s">
        <v>28345</v>
      </c>
      <c r="C16976" s="1" t="str">
        <f>HYPERLINK("http://www.genecards.org/cgi-bin/carddisp.pl?gene=CDC42SE1","GeneCards")</f>
        <v>GeneCards</v>
      </c>
      <c r="D16976" s="1" t="str">
        <f>HYPERLINK("http://genome-euro.ucsc.edu/cgi-bin/hgTracks?position=218157_x_at","UCSC")</f>
        <v>UCSC</v>
      </c>
      <c r="E16976" s="1" t="str">
        <f>HYPERLINK("http://www.ncbi.nlm.nih.gov/gene/?term=CDC42SE1","NCBI")</f>
        <v>NCBI</v>
      </c>
      <c r="F16976">
        <v>0.99</v>
      </c>
      <c r="G16976">
        <v>0.99</v>
      </c>
      <c r="H16976" s="1" t="str">
        <f>HYPERLINK("http://www.weizmann.ac.il/complex/compphys/software/geview/data/figures/218157_x_at.png","Figure")</f>
        <v>Figure</v>
      </c>
      <c r="I16976">
        <v>1.01</v>
      </c>
      <c r="J16976">
        <v>1</v>
      </c>
      <c r="K16976">
        <v>1.03</v>
      </c>
      <c r="L16976">
        <v>0.99</v>
      </c>
      <c r="M16976">
        <v>1.01</v>
      </c>
      <c r="N16976">
        <v>1</v>
      </c>
    </row>
    <row r="16977" spans="1:14" x14ac:dyDescent="0.25">
      <c r="A16977" t="s">
        <v>28346</v>
      </c>
      <c r="B16977" t="s">
        <v>852</v>
      </c>
      <c r="C16977" s="1" t="str">
        <f>HYPERLINK("http://www.genecards.org/cgi-bin/carddisp.pl?gene=NFATC2IP","GeneCards")</f>
        <v>GeneCards</v>
      </c>
      <c r="D16977" s="1" t="str">
        <f>HYPERLINK("http://genome-euro.ucsc.edu/cgi-bin/hgTracks?position=212808_at","UCSC")</f>
        <v>UCSC</v>
      </c>
      <c r="E16977" s="1" t="str">
        <f>HYPERLINK("http://www.ncbi.nlm.nih.gov/gene/?term=NFATC2IP","NCBI")</f>
        <v>NCBI</v>
      </c>
      <c r="F16977">
        <v>0.99</v>
      </c>
      <c r="G16977">
        <v>0.99</v>
      </c>
      <c r="H16977" s="1" t="str">
        <f>HYPERLINK("http://www.weizmann.ac.il/complex/compphys/software/geview/data/figures/212808_at.png","Figure")</f>
        <v>Figure</v>
      </c>
      <c r="I16977">
        <v>1.03</v>
      </c>
      <c r="J16977">
        <v>0.99</v>
      </c>
      <c r="K16977">
        <v>1.03</v>
      </c>
      <c r="L16977">
        <v>0.99</v>
      </c>
      <c r="M16977">
        <v>1</v>
      </c>
      <c r="N16977">
        <v>1</v>
      </c>
    </row>
    <row r="16978" spans="1:14" x14ac:dyDescent="0.25">
      <c r="A16978" t="s">
        <v>28347</v>
      </c>
      <c r="B16978" t="s">
        <v>28348</v>
      </c>
      <c r="C16978" s="1" t="str">
        <f>HYPERLINK("http://www.genecards.org/cgi-bin/carddisp.pl?gene=C1orf156","GeneCards")</f>
        <v>GeneCards</v>
      </c>
      <c r="D16978" s="1" t="str">
        <f>HYPERLINK("http://genome-euro.ucsc.edu/cgi-bin/hgTracks?position=213528_at","UCSC")</f>
        <v>UCSC</v>
      </c>
      <c r="E16978" s="1" t="str">
        <f>HYPERLINK("http://www.ncbi.nlm.nih.gov/gene/?term=C1orf156","NCBI")</f>
        <v>NCBI</v>
      </c>
      <c r="F16978">
        <v>0.99</v>
      </c>
      <c r="G16978">
        <v>0.99</v>
      </c>
      <c r="H16978" s="1" t="str">
        <f>HYPERLINK("http://www.weizmann.ac.il/complex/compphys/software/geview/data/figures/213528_at.png","Figure")</f>
        <v>Figure</v>
      </c>
      <c r="I16978">
        <v>1.01</v>
      </c>
      <c r="J16978">
        <v>1</v>
      </c>
      <c r="K16978">
        <v>1.01</v>
      </c>
      <c r="L16978">
        <v>0.99</v>
      </c>
      <c r="M16978">
        <v>1</v>
      </c>
      <c r="N16978">
        <v>1</v>
      </c>
    </row>
    <row r="16979" spans="1:14" x14ac:dyDescent="0.25">
      <c r="A16979" t="s">
        <v>28349</v>
      </c>
      <c r="B16979" t="s">
        <v>23962</v>
      </c>
      <c r="C16979" s="1" t="str">
        <f>HYPERLINK("http://www.genecards.org/cgi-bin/carddisp.pl?gene=PSMA1","GeneCards")</f>
        <v>GeneCards</v>
      </c>
      <c r="D16979" s="1" t="str">
        <f>HYPERLINK("http://genome-euro.ucsc.edu/cgi-bin/hgTracks?position=211746_x_at","UCSC")</f>
        <v>UCSC</v>
      </c>
      <c r="E16979" s="1" t="str">
        <f>HYPERLINK("http://www.ncbi.nlm.nih.gov/gene/?term=PSMA1","NCBI")</f>
        <v>NCBI</v>
      </c>
      <c r="F16979">
        <v>0.99</v>
      </c>
      <c r="G16979">
        <v>0.99</v>
      </c>
      <c r="H16979" s="1" t="str">
        <f>HYPERLINK("http://www.weizmann.ac.il/complex/compphys/software/geview/data/figures/211746_x_at.png","Figure")</f>
        <v>Figure</v>
      </c>
      <c r="I16979">
        <v>1.01</v>
      </c>
      <c r="J16979">
        <v>1</v>
      </c>
      <c r="K16979">
        <v>0.99199999999999999</v>
      </c>
      <c r="L16979">
        <v>1</v>
      </c>
      <c r="M16979">
        <v>0.98199999999999998</v>
      </c>
      <c r="N16979">
        <v>0.99</v>
      </c>
    </row>
    <row r="16980" spans="1:14" x14ac:dyDescent="0.25">
      <c r="A16980" t="s">
        <v>28350</v>
      </c>
      <c r="B16980" t="s">
        <v>28351</v>
      </c>
      <c r="C16980" s="1" t="str">
        <f>HYPERLINK("http://www.genecards.org/cgi-bin/carddisp.pl?gene=ST7L","GeneCards")</f>
        <v>GeneCards</v>
      </c>
      <c r="D16980" s="1" t="str">
        <f>HYPERLINK("http://genome-euro.ucsc.edu/cgi-bin/hgTracks?position=219964_at","UCSC")</f>
        <v>UCSC</v>
      </c>
      <c r="E16980" s="1" t="str">
        <f>HYPERLINK("http://www.ncbi.nlm.nih.gov/gene/?term=ST7L","NCBI")</f>
        <v>NCBI</v>
      </c>
      <c r="F16980">
        <v>0.99</v>
      </c>
      <c r="G16980">
        <v>1</v>
      </c>
      <c r="H16980" s="1" t="str">
        <f>HYPERLINK("http://www.weizmann.ac.il/complex/compphys/software/geview/data/figures/219964_at.png","Figure")</f>
        <v>Figure</v>
      </c>
      <c r="I16980">
        <v>1</v>
      </c>
      <c r="J16980">
        <v>1</v>
      </c>
      <c r="K16980">
        <v>0.99299999999999999</v>
      </c>
      <c r="L16980">
        <v>1</v>
      </c>
      <c r="M16980">
        <v>0.98799999999999999</v>
      </c>
      <c r="N16980">
        <v>0.99</v>
      </c>
    </row>
    <row r="16981" spans="1:14" x14ac:dyDescent="0.25">
      <c r="A16981" t="s">
        <v>28352</v>
      </c>
      <c r="B16981" t="s">
        <v>28353</v>
      </c>
      <c r="C16981" s="1" t="str">
        <f>HYPERLINK("http://www.genecards.org/cgi-bin/carddisp.pl?gene=ALX4","GeneCards")</f>
        <v>GeneCards</v>
      </c>
      <c r="D16981" s="1" t="str">
        <f>HYPERLINK("http://genome-euro.ucsc.edu/cgi-bin/hgTracks?position=208330_at","UCSC")</f>
        <v>UCSC</v>
      </c>
      <c r="E16981" s="1" t="str">
        <f>HYPERLINK("http://www.ncbi.nlm.nih.gov/gene/?term=ALX4","NCBI")</f>
        <v>NCBI</v>
      </c>
      <c r="F16981">
        <v>0.99</v>
      </c>
      <c r="G16981">
        <v>1</v>
      </c>
      <c r="H16981" s="1" t="str">
        <f>HYPERLINK("http://www.weizmann.ac.il/complex/compphys/software/geview/data/figures/208330_at.png","Figure")</f>
        <v>Figure</v>
      </c>
      <c r="I16981">
        <v>1.01</v>
      </c>
      <c r="J16981">
        <v>0.99</v>
      </c>
      <c r="K16981">
        <v>1</v>
      </c>
      <c r="L16981">
        <v>1</v>
      </c>
      <c r="M16981">
        <v>0.995</v>
      </c>
      <c r="N16981">
        <v>1</v>
      </c>
    </row>
    <row r="16982" spans="1:14" x14ac:dyDescent="0.25">
      <c r="A16982" t="s">
        <v>28354</v>
      </c>
      <c r="B16982" t="s">
        <v>18020</v>
      </c>
      <c r="C16982" s="1" t="str">
        <f>HYPERLINK("http://www.genecards.org/cgi-bin/carddisp.pl?gene=HPCAL1","GeneCards")</f>
        <v>GeneCards</v>
      </c>
      <c r="D16982" s="1" t="str">
        <f>HYPERLINK("http://genome-euro.ucsc.edu/cgi-bin/hgTracks?position=212552_at","UCSC")</f>
        <v>UCSC</v>
      </c>
      <c r="E16982" s="1" t="str">
        <f>HYPERLINK("http://www.ncbi.nlm.nih.gov/gene/?term=HPCAL1","NCBI")</f>
        <v>NCBI</v>
      </c>
      <c r="F16982">
        <v>0.99</v>
      </c>
      <c r="G16982">
        <v>1</v>
      </c>
      <c r="H16982" s="1" t="str">
        <f>HYPERLINK("http://www.weizmann.ac.il/complex/compphys/software/geview/data/figures/212552_at.png","Figure")</f>
        <v>Figure</v>
      </c>
      <c r="I16982">
        <v>1</v>
      </c>
      <c r="J16982">
        <v>1</v>
      </c>
      <c r="K16982">
        <v>0.98899999999999999</v>
      </c>
      <c r="L16982">
        <v>1</v>
      </c>
      <c r="M16982">
        <v>0.98599999999999999</v>
      </c>
      <c r="N16982">
        <v>0.99</v>
      </c>
    </row>
    <row r="16983" spans="1:14" x14ac:dyDescent="0.25">
      <c r="A16983" t="s">
        <v>28355</v>
      </c>
      <c r="B16983" t="s">
        <v>28356</v>
      </c>
      <c r="C16983" s="1" t="str">
        <f>HYPERLINK("http://www.genecards.org/cgi-bin/carddisp.pl?gene=PXMP4","GeneCards")</f>
        <v>GeneCards</v>
      </c>
      <c r="D16983" s="1" t="str">
        <f>HYPERLINK("http://genome-euro.ucsc.edu/cgi-bin/hgTracks?position=219428_s_at","UCSC")</f>
        <v>UCSC</v>
      </c>
      <c r="E16983" s="1" t="str">
        <f>HYPERLINK("http://www.ncbi.nlm.nih.gov/gene/?term=PXMP4","NCBI")</f>
        <v>NCBI</v>
      </c>
      <c r="F16983">
        <v>0.99</v>
      </c>
      <c r="G16983">
        <v>1</v>
      </c>
      <c r="H16983" s="1" t="str">
        <f>HYPERLINK("http://www.weizmann.ac.il/complex/compphys/software/geview/data/figures/219428_s_at.png","Figure")</f>
        <v>Figure</v>
      </c>
      <c r="I16983">
        <v>1.01</v>
      </c>
      <c r="J16983">
        <v>0.99</v>
      </c>
      <c r="K16983">
        <v>1</v>
      </c>
      <c r="L16983">
        <v>1</v>
      </c>
      <c r="M16983">
        <v>0.998</v>
      </c>
      <c r="N16983">
        <v>1</v>
      </c>
    </row>
    <row r="16984" spans="1:14" x14ac:dyDescent="0.25">
      <c r="A16984" t="s">
        <v>28357</v>
      </c>
      <c r="B16984" t="s">
        <v>2567</v>
      </c>
      <c r="C16984" s="1" t="str">
        <f>HYPERLINK("http://www.genecards.org/cgi-bin/carddisp.pl?gene=LARP4B","GeneCards")</f>
        <v>GeneCards</v>
      </c>
      <c r="D16984" s="1" t="str">
        <f>HYPERLINK("http://genome-euro.ucsc.edu/cgi-bin/hgTracks?position=208952_s_at","UCSC")</f>
        <v>UCSC</v>
      </c>
      <c r="E16984" s="1" t="str">
        <f>HYPERLINK("http://www.ncbi.nlm.nih.gov/gene/?term=LARP4B","NCBI")</f>
        <v>NCBI</v>
      </c>
      <c r="F16984">
        <v>0.99</v>
      </c>
      <c r="G16984">
        <v>1</v>
      </c>
      <c r="H16984" s="1" t="str">
        <f>HYPERLINK("http://www.weizmann.ac.il/complex/compphys/software/geview/data/figures/208952_s_at.png","Figure")</f>
        <v>Figure</v>
      </c>
      <c r="I16984">
        <v>0.98899999999999999</v>
      </c>
      <c r="J16984">
        <v>1</v>
      </c>
      <c r="K16984">
        <v>1</v>
      </c>
      <c r="L16984">
        <v>1</v>
      </c>
      <c r="M16984">
        <v>1.02</v>
      </c>
      <c r="N16984">
        <v>0.99</v>
      </c>
    </row>
    <row r="16985" spans="1:14" x14ac:dyDescent="0.25">
      <c r="A16985" t="s">
        <v>28358</v>
      </c>
      <c r="B16985" t="s">
        <v>28359</v>
      </c>
      <c r="C16985" s="1" t="str">
        <f>HYPERLINK("http://www.genecards.org/cgi-bin/carddisp.pl?gene=EVPL","GeneCards")</f>
        <v>GeneCards</v>
      </c>
      <c r="D16985" s="1" t="str">
        <f>HYPERLINK("http://genome-euro.ucsc.edu/cgi-bin/hgTracks?position=204503_at","UCSC")</f>
        <v>UCSC</v>
      </c>
      <c r="E16985" s="1" t="str">
        <f>HYPERLINK("http://www.ncbi.nlm.nih.gov/gene/?term=EVPL","NCBI")</f>
        <v>NCBI</v>
      </c>
      <c r="F16985">
        <v>0.99</v>
      </c>
      <c r="G16985">
        <v>1</v>
      </c>
      <c r="H16985" s="1" t="str">
        <f>HYPERLINK("http://www.weizmann.ac.il/complex/compphys/software/geview/data/figures/204503_at.png","Figure")</f>
        <v>Figure</v>
      </c>
      <c r="I16985">
        <v>1.01</v>
      </c>
      <c r="J16985">
        <v>1</v>
      </c>
      <c r="K16985">
        <v>1.01</v>
      </c>
      <c r="L16985">
        <v>0.99</v>
      </c>
      <c r="M16985">
        <v>1</v>
      </c>
      <c r="N16985">
        <v>1</v>
      </c>
    </row>
    <row r="16986" spans="1:14" x14ac:dyDescent="0.25">
      <c r="A16986" t="s">
        <v>28360</v>
      </c>
      <c r="B16986" t="s">
        <v>25296</v>
      </c>
      <c r="C16986" s="1" t="str">
        <f>HYPERLINK("http://www.genecards.org/cgi-bin/carddisp.pl?gene=BAT2","GeneCards")</f>
        <v>GeneCards</v>
      </c>
      <c r="D16986" s="1" t="str">
        <f>HYPERLINK("http://genome-euro.ucsc.edu/cgi-bin/hgTracks?position=212081_x_at","UCSC")</f>
        <v>UCSC</v>
      </c>
      <c r="E16986" s="1" t="str">
        <f>HYPERLINK("http://www.ncbi.nlm.nih.gov/gene/?term=BAT2","NCBI")</f>
        <v>NCBI</v>
      </c>
      <c r="F16986">
        <v>0.99</v>
      </c>
      <c r="G16986">
        <v>1</v>
      </c>
      <c r="H16986" s="1" t="str">
        <f>HYPERLINK("http://www.weizmann.ac.il/complex/compphys/software/geview/data/figures/212081_x_at.png","Figure")</f>
        <v>Figure</v>
      </c>
      <c r="I16986">
        <v>1.01</v>
      </c>
      <c r="J16986">
        <v>1</v>
      </c>
      <c r="K16986">
        <v>1.01</v>
      </c>
      <c r="L16986">
        <v>0.99</v>
      </c>
      <c r="M16986">
        <v>1</v>
      </c>
      <c r="N16986">
        <v>1</v>
      </c>
    </row>
    <row r="16987" spans="1:14" x14ac:dyDescent="0.25">
      <c r="A16987" t="s">
        <v>28361</v>
      </c>
      <c r="B16987" t="s">
        <v>27383</v>
      </c>
      <c r="C16987" s="1" t="str">
        <f>HYPERLINK("http://www.genecards.org/cgi-bin/carddisp.pl?gene=SKIL","GeneCards")</f>
        <v>GeneCards</v>
      </c>
      <c r="D16987" s="1" t="str">
        <f>HYPERLINK("http://genome-euro.ucsc.edu/cgi-bin/hgTracks?position=215889_at","UCSC")</f>
        <v>UCSC</v>
      </c>
      <c r="E16987" s="1" t="str">
        <f>HYPERLINK("http://www.ncbi.nlm.nih.gov/gene/?term=SKIL","NCBI")</f>
        <v>NCBI</v>
      </c>
      <c r="F16987">
        <v>1</v>
      </c>
      <c r="G16987">
        <v>1</v>
      </c>
      <c r="H16987" s="1" t="str">
        <f>HYPERLINK("http://www.weizmann.ac.il/complex/compphys/software/geview/data/figures/215889_at.png","Figure")</f>
        <v>Figure</v>
      </c>
      <c r="I16987">
        <v>0.99099999999999999</v>
      </c>
      <c r="J16987">
        <v>1</v>
      </c>
      <c r="K16987">
        <v>0.99299999999999999</v>
      </c>
      <c r="L16987">
        <v>1</v>
      </c>
      <c r="M16987">
        <v>1</v>
      </c>
      <c r="N16987">
        <v>1</v>
      </c>
    </row>
    <row r="16988" spans="1:14" x14ac:dyDescent="0.25">
      <c r="A16988" t="s">
        <v>28362</v>
      </c>
      <c r="B16988" t="s">
        <v>25620</v>
      </c>
      <c r="C16988" s="1" t="str">
        <f>HYPERLINK("http://www.genecards.org/cgi-bin/carddisp.pl?gene=HLA-F","GeneCards")</f>
        <v>GeneCards</v>
      </c>
      <c r="D16988" s="1" t="str">
        <f>HYPERLINK("http://genome-euro.ucsc.edu/cgi-bin/hgTracks?position=221875_x_at","UCSC")</f>
        <v>UCSC</v>
      </c>
      <c r="E16988" s="1" t="str">
        <f>HYPERLINK("http://www.ncbi.nlm.nih.gov/gene/?term=HLA-F","NCBI")</f>
        <v>NCBI</v>
      </c>
      <c r="F16988">
        <v>1</v>
      </c>
      <c r="G16988">
        <v>1</v>
      </c>
      <c r="H16988" s="1" t="str">
        <f>HYPERLINK("http://www.weizmann.ac.il/complex/compphys/software/geview/data/figures/221875_x_at.png","Figure")</f>
        <v>Figure</v>
      </c>
      <c r="I16988">
        <v>0.995</v>
      </c>
      <c r="J16988">
        <v>1</v>
      </c>
      <c r="K16988">
        <v>0.98399999999999999</v>
      </c>
      <c r="L16988">
        <v>1</v>
      </c>
      <c r="M16988">
        <v>0.98899999999999999</v>
      </c>
      <c r="N16988">
        <v>1</v>
      </c>
    </row>
    <row r="16989" spans="1:14" x14ac:dyDescent="0.25">
      <c r="A16989" t="s">
        <v>28363</v>
      </c>
      <c r="B16989" t="s">
        <v>28364</v>
      </c>
      <c r="C16989" s="1" t="str">
        <f>HYPERLINK("http://www.genecards.org/cgi-bin/carddisp.pl?gene=ZEB2","GeneCards")</f>
        <v>GeneCards</v>
      </c>
      <c r="D16989" s="1" t="str">
        <f>HYPERLINK("http://genome-euro.ucsc.edu/cgi-bin/hgTracks?position=203603_s_at","UCSC")</f>
        <v>UCSC</v>
      </c>
      <c r="E16989" s="1" t="str">
        <f>HYPERLINK("http://www.ncbi.nlm.nih.gov/gene/?term=ZEB2","NCBI")</f>
        <v>NCBI</v>
      </c>
      <c r="F16989">
        <v>1</v>
      </c>
      <c r="G16989">
        <v>1</v>
      </c>
      <c r="H16989" s="1" t="str">
        <f>HYPERLINK("http://www.weizmann.ac.il/complex/compphys/software/geview/data/figures/203603_s_at.png","Figure")</f>
        <v>Figure</v>
      </c>
      <c r="I16989">
        <v>0.96499999999999997</v>
      </c>
      <c r="J16989">
        <v>1</v>
      </c>
      <c r="K16989">
        <v>0.96899999999999997</v>
      </c>
      <c r="L16989">
        <v>1</v>
      </c>
      <c r="M16989">
        <v>1</v>
      </c>
      <c r="N16989">
        <v>1</v>
      </c>
    </row>
    <row r="16990" spans="1:14" x14ac:dyDescent="0.25">
      <c r="A16990" t="s">
        <v>28365</v>
      </c>
      <c r="B16990" t="s">
        <v>9910</v>
      </c>
      <c r="C16990" s="1" t="str">
        <f>HYPERLINK("http://www.genecards.org/cgi-bin/carddisp.pl?gene=RBM25","GeneCards")</f>
        <v>GeneCards</v>
      </c>
      <c r="D16990" s="1" t="str">
        <f>HYPERLINK("http://genome-euro.ucsc.edu/cgi-bin/hgTracks?position=212030_at","UCSC")</f>
        <v>UCSC</v>
      </c>
      <c r="E16990" s="1" t="str">
        <f>HYPERLINK("http://www.ncbi.nlm.nih.gov/gene/?term=RBM25","NCBI")</f>
        <v>NCBI</v>
      </c>
      <c r="F16990">
        <v>1</v>
      </c>
      <c r="G16990">
        <v>1</v>
      </c>
      <c r="H16990" s="1" t="str">
        <f>HYPERLINK("http://www.weizmann.ac.il/complex/compphys/software/geview/data/figures/212030_at.png","Figure")</f>
        <v>Figure</v>
      </c>
      <c r="I16990">
        <v>0.98199999999999998</v>
      </c>
      <c r="J16990">
        <v>0.99</v>
      </c>
      <c r="K16990">
        <v>0.99099999999999999</v>
      </c>
      <c r="L16990">
        <v>1</v>
      </c>
      <c r="M16990">
        <v>1.01</v>
      </c>
      <c r="N16990">
        <v>1</v>
      </c>
    </row>
    <row r="16991" spans="1:14" x14ac:dyDescent="0.25">
      <c r="A16991" t="s">
        <v>28366</v>
      </c>
      <c r="B16991" t="s">
        <v>14057</v>
      </c>
      <c r="C16991" s="1" t="str">
        <f>HYPERLINK("http://www.genecards.org/cgi-bin/carddisp.pl?gene=PKLR","GeneCards")</f>
        <v>GeneCards</v>
      </c>
      <c r="D16991" s="1" t="str">
        <f>HYPERLINK("http://genome-euro.ucsc.edu/cgi-bin/hgTracks?position=207858_s_at","UCSC")</f>
        <v>UCSC</v>
      </c>
      <c r="E16991" s="1" t="str">
        <f>HYPERLINK("http://www.ncbi.nlm.nih.gov/gene/?term=PKLR","NCBI")</f>
        <v>NCBI</v>
      </c>
      <c r="F16991">
        <v>1</v>
      </c>
      <c r="G16991">
        <v>1</v>
      </c>
      <c r="H16991" s="1" t="str">
        <f>HYPERLINK("http://www.weizmann.ac.il/complex/compphys/software/geview/data/figures/207858_s_at.png","Figure")</f>
        <v>Figure</v>
      </c>
      <c r="I16991">
        <v>1</v>
      </c>
      <c r="J16991">
        <v>1</v>
      </c>
      <c r="K16991">
        <v>1</v>
      </c>
      <c r="L16991">
        <v>1</v>
      </c>
      <c r="M16991">
        <v>0.998</v>
      </c>
      <c r="N16991">
        <v>1</v>
      </c>
    </row>
    <row r="16992" spans="1:14" x14ac:dyDescent="0.25">
      <c r="A16992" t="s">
        <v>28367</v>
      </c>
      <c r="B16992" t="s">
        <v>28368</v>
      </c>
      <c r="C16992" s="1" t="str">
        <f>HYPERLINK("http://www.genecards.org/cgi-bin/carddisp.pl?gene=C8orf60","GeneCards")</f>
        <v>GeneCards</v>
      </c>
      <c r="D16992" s="1" t="str">
        <f>HYPERLINK("http://genome-euro.ucsc.edu/cgi-bin/hgTracks?position=220712_at","UCSC")</f>
        <v>UCSC</v>
      </c>
      <c r="E16992" s="1" t="str">
        <f>HYPERLINK("http://www.ncbi.nlm.nih.gov/gene/?term=C8orf60","NCBI")</f>
        <v>NCBI</v>
      </c>
      <c r="F16992">
        <v>1</v>
      </c>
      <c r="G16992">
        <v>1</v>
      </c>
      <c r="H16992" s="1" t="str">
        <f>HYPERLINK("http://www.weizmann.ac.il/complex/compphys/software/geview/data/figures/220712_at.png","Figure")</f>
        <v>Figure</v>
      </c>
      <c r="I16992">
        <v>0.98499999999999999</v>
      </c>
      <c r="J16992">
        <v>1</v>
      </c>
      <c r="K16992">
        <v>0.97799999999999998</v>
      </c>
      <c r="L16992">
        <v>1</v>
      </c>
      <c r="M16992">
        <v>0.99199999999999999</v>
      </c>
      <c r="N16992">
        <v>1</v>
      </c>
    </row>
    <row r="16993" spans="1:14" x14ac:dyDescent="0.25">
      <c r="A16993" t="s">
        <v>28369</v>
      </c>
      <c r="B16993" t="s">
        <v>1436</v>
      </c>
      <c r="C16993" s="1" t="str">
        <f>HYPERLINK("http://www.genecards.org/cgi-bin/carddisp.pl?gene=VPS45","GeneCards")</f>
        <v>GeneCards</v>
      </c>
      <c r="D16993" s="1" t="str">
        <f>HYPERLINK("http://genome-euro.ucsc.edu/cgi-bin/hgTracks?position=207967_at","UCSC")</f>
        <v>UCSC</v>
      </c>
      <c r="E16993" s="1" t="str">
        <f>HYPERLINK("http://www.ncbi.nlm.nih.gov/gene/?term=VPS45","NCBI")</f>
        <v>NCBI</v>
      </c>
      <c r="F16993">
        <v>1</v>
      </c>
      <c r="G16993">
        <v>1</v>
      </c>
      <c r="H16993" s="1" t="str">
        <f>HYPERLINK("http://www.weizmann.ac.il/complex/compphys/software/geview/data/figures/207967_at.png","Figure")</f>
        <v>Figure</v>
      </c>
      <c r="I16993">
        <v>1.01</v>
      </c>
      <c r="J16993">
        <v>1</v>
      </c>
      <c r="K16993">
        <v>1</v>
      </c>
      <c r="L16993">
        <v>1</v>
      </c>
      <c r="M16993">
        <v>0.99399999999999999</v>
      </c>
      <c r="N16993">
        <v>1</v>
      </c>
    </row>
    <row r="16994" spans="1:14" x14ac:dyDescent="0.25">
      <c r="A16994" t="s">
        <v>28370</v>
      </c>
      <c r="B16994" t="s">
        <v>28371</v>
      </c>
      <c r="C16994" s="1" t="str">
        <f>HYPERLINK("http://www.genecards.org/cgi-bin/carddisp.pl?gene=LOC100289122 /// POLR2C","GeneCards")</f>
        <v>GeneCards</v>
      </c>
      <c r="D16994" s="1" t="str">
        <f>HYPERLINK("http://genome-euro.ucsc.edu/cgi-bin/hgTracks?position=216282_x_at","UCSC")</f>
        <v>UCSC</v>
      </c>
      <c r="E16994" s="1" t="str">
        <f>HYPERLINK("http://www.ncbi.nlm.nih.gov/gene/?term=LOC100289122 /// POLR2C","NCBI")</f>
        <v>NCBI</v>
      </c>
      <c r="F16994">
        <v>1</v>
      </c>
      <c r="G16994">
        <v>1</v>
      </c>
      <c r="H16994" s="1" t="str">
        <f>HYPERLINK("http://www.weizmann.ac.il/complex/compphys/software/geview/data/figures/216282_x_at.png","Figure")</f>
        <v>Figure</v>
      </c>
      <c r="I16994">
        <v>1</v>
      </c>
      <c r="J16994">
        <v>1</v>
      </c>
      <c r="K16994">
        <v>0.998</v>
      </c>
      <c r="L16994">
        <v>1</v>
      </c>
      <c r="M16994">
        <v>0.99299999999999999</v>
      </c>
      <c r="N16994">
        <v>1</v>
      </c>
    </row>
    <row r="16995" spans="1:14" x14ac:dyDescent="0.25">
      <c r="A16995" t="s">
        <v>28372</v>
      </c>
      <c r="B16995" t="s">
        <v>10976</v>
      </c>
      <c r="C16995" s="1" t="str">
        <f>HYPERLINK("http://www.genecards.org/cgi-bin/carddisp.pl?gene=YWHAE","GeneCards")</f>
        <v>GeneCards</v>
      </c>
      <c r="D16995" s="1" t="str">
        <f>HYPERLINK("http://genome-euro.ucsc.edu/cgi-bin/hgTracks?position=210317_s_at","UCSC")</f>
        <v>UCSC</v>
      </c>
      <c r="E16995" s="1" t="str">
        <f>HYPERLINK("http://www.ncbi.nlm.nih.gov/gene/?term=YWHAE","NCBI")</f>
        <v>NCBI</v>
      </c>
      <c r="F16995">
        <v>1</v>
      </c>
      <c r="G16995">
        <v>1</v>
      </c>
      <c r="H16995" s="1" t="str">
        <f>HYPERLINK("http://www.weizmann.ac.il/complex/compphys/software/geview/data/figures/210317_s_at.png","Figure")</f>
        <v>Figure</v>
      </c>
      <c r="I16995">
        <v>0.999</v>
      </c>
      <c r="J16995">
        <v>1</v>
      </c>
      <c r="K16995">
        <v>0.996</v>
      </c>
      <c r="L16995">
        <v>1</v>
      </c>
      <c r="M16995">
        <v>0.997</v>
      </c>
      <c r="N16995">
        <v>1</v>
      </c>
    </row>
    <row r="16996" spans="1:14" x14ac:dyDescent="0.25">
      <c r="A16996" t="s">
        <v>28373</v>
      </c>
      <c r="B16996" t="s">
        <v>28374</v>
      </c>
      <c r="C16996" s="1" t="str">
        <f>HYPERLINK("http://www.genecards.org/cgi-bin/carddisp.pl?gene=EYA3","GeneCards")</f>
        <v>GeneCards</v>
      </c>
      <c r="D16996" s="1" t="str">
        <f>HYPERLINK("http://genome-euro.ucsc.edu/cgi-bin/hgTracks?position=206379_at","UCSC")</f>
        <v>UCSC</v>
      </c>
      <c r="E16996" s="1" t="str">
        <f>HYPERLINK("http://www.ncbi.nlm.nih.gov/gene/?term=EYA3","NCBI")</f>
        <v>NCBI</v>
      </c>
      <c r="F16996">
        <v>1</v>
      </c>
      <c r="G16996">
        <v>1</v>
      </c>
      <c r="H16996" s="1" t="str">
        <f>HYPERLINK("http://www.weizmann.ac.il/complex/compphys/software/geview/data/figures/206379_at.png","Figure")</f>
        <v>Figure</v>
      </c>
      <c r="I16996">
        <v>0.995</v>
      </c>
      <c r="J16996">
        <v>1</v>
      </c>
      <c r="K16996">
        <v>1</v>
      </c>
      <c r="L16996">
        <v>1</v>
      </c>
      <c r="M16996">
        <v>1</v>
      </c>
      <c r="N16996">
        <v>1</v>
      </c>
    </row>
    <row r="16997" spans="1:14" x14ac:dyDescent="0.25">
      <c r="A16997" t="s">
        <v>28375</v>
      </c>
      <c r="B16997" t="s">
        <v>16439</v>
      </c>
      <c r="C16997" s="1" t="str">
        <f>HYPERLINK("http://www.genecards.org/cgi-bin/carddisp.pl?gene=GAPVD1","GeneCards")</f>
        <v>GeneCards</v>
      </c>
      <c r="D16997" s="1" t="str">
        <f>HYPERLINK("http://genome-euro.ucsc.edu/cgi-bin/hgTracks?position=212804_s_at","UCSC")</f>
        <v>UCSC</v>
      </c>
      <c r="E16997" s="1" t="str">
        <f>HYPERLINK("http://www.ncbi.nlm.nih.gov/gene/?term=GAPVD1","NCBI")</f>
        <v>NCBI</v>
      </c>
      <c r="F16997">
        <v>1</v>
      </c>
      <c r="G16997">
        <v>1</v>
      </c>
      <c r="H16997" s="1" t="str">
        <f>HYPERLINK("http://www.weizmann.ac.il/complex/compphys/software/geview/data/figures/212804_s_at.png","Figure")</f>
        <v>Figure</v>
      </c>
      <c r="I16997">
        <v>1.01</v>
      </c>
      <c r="J16997">
        <v>1</v>
      </c>
      <c r="K16997">
        <v>1.02</v>
      </c>
      <c r="L16997">
        <v>1</v>
      </c>
      <c r="M16997">
        <v>1.02</v>
      </c>
      <c r="N16997">
        <v>1</v>
      </c>
    </row>
    <row r="16998" spans="1:14" x14ac:dyDescent="0.25">
      <c r="A16998" t="s">
        <v>28376</v>
      </c>
      <c r="B16998" t="s">
        <v>28377</v>
      </c>
      <c r="C16998" s="1" t="str">
        <f>HYPERLINK("http://www.genecards.org/cgi-bin/carddisp.pl?gene=GPR173","GeneCards")</f>
        <v>GeneCards</v>
      </c>
      <c r="D16998" s="1" t="str">
        <f>HYPERLINK("http://genome-euro.ucsc.edu/cgi-bin/hgTracks?position=221299_at","UCSC")</f>
        <v>UCSC</v>
      </c>
      <c r="E16998" s="1" t="str">
        <f>HYPERLINK("http://www.ncbi.nlm.nih.gov/gene/?term=GPR173","NCBI")</f>
        <v>NCBI</v>
      </c>
      <c r="F16998">
        <v>1</v>
      </c>
      <c r="G16998">
        <v>1</v>
      </c>
      <c r="H16998" s="1" t="str">
        <f>HYPERLINK("http://www.weizmann.ac.il/complex/compphys/software/geview/data/figures/221299_at.png","Figure")</f>
        <v>Figure</v>
      </c>
      <c r="I16998">
        <v>1</v>
      </c>
      <c r="J16998">
        <v>1</v>
      </c>
      <c r="K16998">
        <v>1</v>
      </c>
      <c r="L16998">
        <v>1</v>
      </c>
      <c r="M16998">
        <v>0.995</v>
      </c>
      <c r="N16998">
        <v>1</v>
      </c>
    </row>
    <row r="16999" spans="1:14" x14ac:dyDescent="0.25">
      <c r="A16999" t="s">
        <v>28378</v>
      </c>
      <c r="B16999" t="s">
        <v>24099</v>
      </c>
      <c r="C16999" s="1" t="str">
        <f>HYPERLINK("http://www.genecards.org/cgi-bin/carddisp.pl?gene=NOL3","GeneCards")</f>
        <v>GeneCards</v>
      </c>
      <c r="D16999" s="1" t="str">
        <f>HYPERLINK("http://genome-euro.ucsc.edu/cgi-bin/hgTracks?position=221567_at","UCSC")</f>
        <v>UCSC</v>
      </c>
      <c r="E16999" s="1" t="str">
        <f>HYPERLINK("http://www.ncbi.nlm.nih.gov/gene/?term=NOL3","NCBI")</f>
        <v>NCBI</v>
      </c>
      <c r="F16999">
        <v>1</v>
      </c>
      <c r="G16999">
        <v>1</v>
      </c>
      <c r="H16999" s="1" t="str">
        <f>HYPERLINK("http://www.weizmann.ac.il/complex/compphys/software/geview/data/figures/221567_at.png","Figure")</f>
        <v>Figure</v>
      </c>
      <c r="I16999">
        <v>1</v>
      </c>
      <c r="J16999">
        <v>1</v>
      </c>
      <c r="K16999">
        <v>1</v>
      </c>
      <c r="L16999">
        <v>1</v>
      </c>
      <c r="M16999">
        <v>0.998</v>
      </c>
      <c r="N16999">
        <v>1</v>
      </c>
    </row>
    <row r="17000" spans="1:14" x14ac:dyDescent="0.25">
      <c r="A17000" t="s">
        <v>28379</v>
      </c>
      <c r="B17000" t="s">
        <v>22462</v>
      </c>
      <c r="C17000" s="1" t="str">
        <f>HYPERLINK("http://www.genecards.org/cgi-bin/carddisp.pl?gene=AP3D1","GeneCards")</f>
        <v>GeneCards</v>
      </c>
      <c r="D17000" s="1" t="str">
        <f>HYPERLINK("http://genome-euro.ucsc.edu/cgi-bin/hgTracks?position=210974_s_at","UCSC")</f>
        <v>UCSC</v>
      </c>
      <c r="E17000" s="1" t="str">
        <f>HYPERLINK("http://www.ncbi.nlm.nih.gov/gene/?term=AP3D1","NCBI")</f>
        <v>NCBI</v>
      </c>
      <c r="F17000">
        <v>1</v>
      </c>
      <c r="G17000">
        <v>1</v>
      </c>
      <c r="H17000" s="1" t="str">
        <f>HYPERLINK("http://www.weizmann.ac.il/complex/compphys/software/geview/data/figures/210974_s_at.png","Figure")</f>
        <v>Figure</v>
      </c>
      <c r="I17000">
        <v>0.99399999999999999</v>
      </c>
      <c r="J17000">
        <v>1</v>
      </c>
      <c r="K17000">
        <v>1</v>
      </c>
      <c r="L17000">
        <v>1</v>
      </c>
      <c r="M17000">
        <v>1.01</v>
      </c>
      <c r="N17000">
        <v>1</v>
      </c>
    </row>
    <row r="17001" spans="1:14" x14ac:dyDescent="0.25">
      <c r="A17001" t="s">
        <v>28380</v>
      </c>
      <c r="B17001" t="s">
        <v>27652</v>
      </c>
      <c r="C17001" s="1" t="str">
        <f>HYPERLINK("http://www.genecards.org/cgi-bin/carddisp.pl?gene=IGL@ /// IGLV1-44","GeneCards")</f>
        <v>GeneCards</v>
      </c>
      <c r="D17001" s="1" t="str">
        <f>HYPERLINK("http://genome-euro.ucsc.edu/cgi-bin/hgTracks?position=215121_x_at","UCSC")</f>
        <v>UCSC</v>
      </c>
      <c r="E17001" s="1" t="str">
        <f>HYPERLINK("http://www.ncbi.nlm.nih.gov/gene/?term=IGL@ /// IGLV1-44","NCBI")</f>
        <v>NCBI</v>
      </c>
      <c r="F17001">
        <v>1</v>
      </c>
      <c r="G17001">
        <v>1</v>
      </c>
      <c r="H17001" s="1" t="str">
        <f>HYPERLINK("http://www.weizmann.ac.il/complex/compphys/software/geview/data/figures/215121_x_at.png","Figure")</f>
        <v>Figure</v>
      </c>
      <c r="I17001">
        <v>1.02</v>
      </c>
      <c r="J17001">
        <v>1</v>
      </c>
      <c r="K17001">
        <v>1.02</v>
      </c>
      <c r="L17001">
        <v>1</v>
      </c>
      <c r="M17001">
        <v>1.01</v>
      </c>
      <c r="N17001">
        <v>1</v>
      </c>
    </row>
    <row r="17002" spans="1:14" x14ac:dyDescent="0.25">
      <c r="A17002" t="s">
        <v>28381</v>
      </c>
      <c r="B17002" t="s">
        <v>28382</v>
      </c>
      <c r="C17002" s="1" t="str">
        <f>HYPERLINK("http://www.genecards.org/cgi-bin/carddisp.pl?gene=FARP2","GeneCards")</f>
        <v>GeneCards</v>
      </c>
      <c r="D17002" s="1" t="str">
        <f>HYPERLINK("http://genome-euro.ucsc.edu/cgi-bin/hgTracks?position=204511_at","UCSC")</f>
        <v>UCSC</v>
      </c>
      <c r="E17002" s="1" t="str">
        <f>HYPERLINK("http://www.ncbi.nlm.nih.gov/gene/?term=FARP2","NCBI")</f>
        <v>NCBI</v>
      </c>
      <c r="F17002">
        <v>1</v>
      </c>
      <c r="G17002">
        <v>1</v>
      </c>
      <c r="H17002" s="1" t="str">
        <f>HYPERLINK("http://www.weizmann.ac.il/complex/compphys/software/geview/data/figures/204511_at.png","Figure")</f>
        <v>Figure</v>
      </c>
      <c r="I17002">
        <v>1.01</v>
      </c>
      <c r="J17002">
        <v>1</v>
      </c>
      <c r="K17002">
        <v>1</v>
      </c>
      <c r="L17002">
        <v>1</v>
      </c>
      <c r="M17002">
        <v>0.996</v>
      </c>
      <c r="N17002">
        <v>1</v>
      </c>
    </row>
    <row r="17003" spans="1:14" x14ac:dyDescent="0.25">
      <c r="A17003" t="s">
        <v>28383</v>
      </c>
      <c r="B17003" t="s">
        <v>28384</v>
      </c>
      <c r="C17003" s="1" t="str">
        <f>HYPERLINK("http://www.genecards.org/cgi-bin/carddisp.pl?gene=AIM2","GeneCards")</f>
        <v>GeneCards</v>
      </c>
      <c r="D17003" s="1" t="str">
        <f>HYPERLINK("http://genome-euro.ucsc.edu/cgi-bin/hgTracks?position=206513_at","UCSC")</f>
        <v>UCSC</v>
      </c>
      <c r="E17003" s="1" t="str">
        <f>HYPERLINK("http://www.ncbi.nlm.nih.gov/gene/?term=AIM2","NCBI")</f>
        <v>NCBI</v>
      </c>
      <c r="F17003">
        <v>1</v>
      </c>
      <c r="G17003">
        <v>1</v>
      </c>
      <c r="H17003" s="1" t="str">
        <f>HYPERLINK("http://www.weizmann.ac.il/complex/compphys/software/geview/data/figures/206513_at.png","Figure")</f>
        <v>Figure</v>
      </c>
      <c r="I17003">
        <v>1</v>
      </c>
      <c r="J17003">
        <v>1</v>
      </c>
      <c r="K17003">
        <v>1</v>
      </c>
      <c r="L17003">
        <v>1</v>
      </c>
      <c r="M17003">
        <v>1</v>
      </c>
      <c r="N17003">
        <v>1</v>
      </c>
    </row>
    <row r="17004" spans="1:14" x14ac:dyDescent="0.25">
      <c r="A17004" t="s">
        <v>28385</v>
      </c>
      <c r="B17004" t="s">
        <v>16683</v>
      </c>
      <c r="C17004" s="1" t="str">
        <f>HYPERLINK("http://www.genecards.org/cgi-bin/carddisp.pl?gene=GADD45GIP1","GeneCards")</f>
        <v>GeneCards</v>
      </c>
      <c r="D17004" s="1" t="str">
        <f>HYPERLINK("http://genome-euro.ucsc.edu/cgi-bin/hgTracks?position=212891_s_at","UCSC")</f>
        <v>UCSC</v>
      </c>
      <c r="E17004" s="1" t="str">
        <f>HYPERLINK("http://www.ncbi.nlm.nih.gov/gene/?term=GADD45GIP1","NCBI")</f>
        <v>NCBI</v>
      </c>
      <c r="F17004">
        <v>1</v>
      </c>
      <c r="G17004">
        <v>1</v>
      </c>
      <c r="H17004" s="1" t="str">
        <f>HYPERLINK("http://www.weizmann.ac.il/complex/compphys/software/geview/data/figures/212891_s_at.png","Figure")</f>
        <v>Figure</v>
      </c>
      <c r="I17004">
        <v>1</v>
      </c>
      <c r="J17004">
        <v>1</v>
      </c>
      <c r="K17004">
        <v>1</v>
      </c>
      <c r="L17004">
        <v>1</v>
      </c>
      <c r="M17004">
        <v>1</v>
      </c>
      <c r="N17004">
        <v>1</v>
      </c>
    </row>
    <row r="17005" spans="1:14" x14ac:dyDescent="0.25">
      <c r="A17005" t="s">
        <v>28386</v>
      </c>
      <c r="B17005" t="s">
        <v>8347</v>
      </c>
      <c r="C17005" s="1" t="str">
        <f>HYPERLINK("http://www.genecards.org/cgi-bin/carddisp.pl?gene=GLP1R","GeneCards")</f>
        <v>GeneCards</v>
      </c>
      <c r="D17005" s="1" t="str">
        <f>HYPERLINK("http://genome-euro.ucsc.edu/cgi-bin/hgTracks?position=211232_x_at","UCSC")</f>
        <v>UCSC</v>
      </c>
      <c r="E17005" s="1" t="str">
        <f>HYPERLINK("http://www.ncbi.nlm.nih.gov/gene/?term=GLP1R","NCBI")</f>
        <v>NCBI</v>
      </c>
      <c r="F17005">
        <v>1</v>
      </c>
      <c r="G17005">
        <v>1</v>
      </c>
      <c r="H17005" s="1" t="str">
        <f>HYPERLINK("http://www.weizmann.ac.il/complex/compphys/software/geview/data/figures/211232_x_at.png","Figure")</f>
        <v>Figure</v>
      </c>
      <c r="I17005">
        <v>0.996</v>
      </c>
      <c r="J17005">
        <v>1</v>
      </c>
      <c r="K17005">
        <v>0.996</v>
      </c>
      <c r="L17005">
        <v>1</v>
      </c>
      <c r="M17005">
        <v>1</v>
      </c>
      <c r="N17005">
        <v>1</v>
      </c>
    </row>
    <row r="17006" spans="1:14" x14ac:dyDescent="0.25">
      <c r="A17006" t="s">
        <v>28387</v>
      </c>
      <c r="B17006" t="s">
        <v>27969</v>
      </c>
      <c r="C17006" s="1" t="str">
        <f>HYPERLINK("http://www.genecards.org/cgi-bin/carddisp.pl?gene=CLN3","GeneCards")</f>
        <v>GeneCards</v>
      </c>
      <c r="D17006" s="1" t="str">
        <f>HYPERLINK("http://genome-euro.ucsc.edu/cgi-bin/hgTracks?position=210859_x_at","UCSC")</f>
        <v>UCSC</v>
      </c>
      <c r="E17006" s="1" t="str">
        <f>HYPERLINK("http://www.ncbi.nlm.nih.gov/gene/?term=CLN3","NCBI")</f>
        <v>NCBI</v>
      </c>
      <c r="F17006">
        <v>1</v>
      </c>
      <c r="G17006">
        <v>1</v>
      </c>
      <c r="H17006" s="1" t="str">
        <f>HYPERLINK("http://www.weizmann.ac.il/complex/compphys/software/geview/data/figures/210859_x_at.png","Figure")</f>
        <v>Figure</v>
      </c>
      <c r="I17006">
        <v>0.995</v>
      </c>
      <c r="J17006">
        <v>1</v>
      </c>
      <c r="K17006">
        <v>0.995</v>
      </c>
      <c r="L17006">
        <v>1</v>
      </c>
      <c r="M17006">
        <v>1</v>
      </c>
      <c r="N17006">
        <v>1</v>
      </c>
    </row>
    <row r="17007" spans="1:14" x14ac:dyDescent="0.25">
      <c r="A17007" t="s">
        <v>28388</v>
      </c>
      <c r="B17007" t="s">
        <v>28389</v>
      </c>
      <c r="C17007" s="1" t="str">
        <f>HYPERLINK("http://www.genecards.org/cgi-bin/carddisp.pl?gene=TMEM212","GeneCards")</f>
        <v>GeneCards</v>
      </c>
      <c r="D17007" s="1" t="str">
        <f>HYPERLINK("http://genome-euro.ucsc.edu/cgi-bin/hgTracks?position=217016_x_at","UCSC")</f>
        <v>UCSC</v>
      </c>
      <c r="E17007" s="1" t="str">
        <f>HYPERLINK("http://www.ncbi.nlm.nih.gov/gene/?term=TMEM212","NCBI")</f>
        <v>NCBI</v>
      </c>
      <c r="F17007">
        <v>1</v>
      </c>
      <c r="G17007">
        <v>1</v>
      </c>
      <c r="H17007" s="1" t="str">
        <f>HYPERLINK("http://www.weizmann.ac.il/complex/compphys/software/geview/data/figures/217016_x_at.png","Figure")</f>
        <v>Figure</v>
      </c>
      <c r="I17007">
        <v>0.998</v>
      </c>
      <c r="J17007">
        <v>1</v>
      </c>
      <c r="K17007">
        <v>0.999</v>
      </c>
      <c r="L17007">
        <v>1</v>
      </c>
      <c r="M17007">
        <v>1</v>
      </c>
      <c r="N17007">
        <v>1</v>
      </c>
    </row>
    <row r="17008" spans="1:14" x14ac:dyDescent="0.25">
      <c r="A17008" t="s">
        <v>28390</v>
      </c>
      <c r="B17008" t="s">
        <v>14208</v>
      </c>
      <c r="C17008" s="1" t="str">
        <f>HYPERLINK("http://www.genecards.org/cgi-bin/carddisp.pl?gene=RRBP1","GeneCards")</f>
        <v>GeneCards</v>
      </c>
      <c r="D17008" s="1" t="str">
        <f>HYPERLINK("http://genome-euro.ucsc.edu/cgi-bin/hgTracks?position=201203_s_at","UCSC")</f>
        <v>UCSC</v>
      </c>
      <c r="E17008" s="1" t="str">
        <f>HYPERLINK("http://www.ncbi.nlm.nih.gov/gene/?term=RRBP1","NCBI")</f>
        <v>NCBI</v>
      </c>
      <c r="F17008" t="s">
        <v>28391</v>
      </c>
      <c r="G17008">
        <v>1</v>
      </c>
      <c r="H17008" s="1" t="str">
        <f>HYPERLINK("http://www.weizmann.ac.il/complex/compphys/software/geview/data/figures/201203_s_at.png","Figure")</f>
        <v>Figure</v>
      </c>
      <c r="I17008">
        <v>1</v>
      </c>
      <c r="J17008">
        <v>1</v>
      </c>
      <c r="K17008">
        <v>1</v>
      </c>
      <c r="L17008">
        <v>1</v>
      </c>
      <c r="M17008">
        <v>1</v>
      </c>
      <c r="N17008">
        <v>1</v>
      </c>
    </row>
    <row r="17009" spans="1:14" x14ac:dyDescent="0.25">
      <c r="A17009" t="s">
        <v>28392</v>
      </c>
      <c r="B17009" t="s">
        <v>12919</v>
      </c>
      <c r="C17009" s="1" t="str">
        <f>HYPERLINK("http://www.genecards.org/cgi-bin/carddisp.pl?gene=ARIH2","GeneCards")</f>
        <v>GeneCards</v>
      </c>
      <c r="D17009" s="1" t="str">
        <f>HYPERLINK("http://genome-euro.ucsc.edu/cgi-bin/hgTracks?position=201228_s_at","UCSC")</f>
        <v>UCSC</v>
      </c>
      <c r="E17009" s="1" t="str">
        <f>HYPERLINK("http://www.ncbi.nlm.nih.gov/gene/?term=ARIH2","NCBI")</f>
        <v>NCBI</v>
      </c>
      <c r="F17009" t="s">
        <v>28391</v>
      </c>
      <c r="G17009">
        <v>1</v>
      </c>
      <c r="H17009" s="1" t="str">
        <f>HYPERLINK("http://www.weizmann.ac.il/complex/compphys/software/geview/data/figures/201228_s_at.png","Figure")</f>
        <v>Figure</v>
      </c>
      <c r="I17009">
        <v>1</v>
      </c>
      <c r="J17009">
        <v>1</v>
      </c>
      <c r="K17009">
        <v>1</v>
      </c>
      <c r="L17009">
        <v>1</v>
      </c>
      <c r="M17009">
        <v>1</v>
      </c>
      <c r="N17009">
        <v>1</v>
      </c>
    </row>
    <row r="17010" spans="1:14" x14ac:dyDescent="0.25">
      <c r="A17010" t="s">
        <v>28393</v>
      </c>
      <c r="B17010" t="s">
        <v>13742</v>
      </c>
      <c r="C17010" s="1" t="str">
        <f>HYPERLINK("http://www.genecards.org/cgi-bin/carddisp.pl?gene=GRLF1","GeneCards")</f>
        <v>GeneCards</v>
      </c>
      <c r="D17010" s="1" t="str">
        <f>HYPERLINK("http://genome-euro.ucsc.edu/cgi-bin/hgTracks?position=202046_s_at","UCSC")</f>
        <v>UCSC</v>
      </c>
      <c r="E17010" s="1" t="str">
        <f>HYPERLINK("http://www.ncbi.nlm.nih.gov/gene/?term=GRLF1","NCBI")</f>
        <v>NCBI</v>
      </c>
      <c r="F17010" t="s">
        <v>28391</v>
      </c>
      <c r="G17010">
        <v>1</v>
      </c>
      <c r="H17010" s="1" t="str">
        <f>HYPERLINK("http://www.weizmann.ac.il/complex/compphys/software/geview/data/figures/202046_s_at.png","Figure")</f>
        <v>Figure</v>
      </c>
      <c r="I17010">
        <v>1</v>
      </c>
      <c r="J17010">
        <v>1</v>
      </c>
      <c r="K17010">
        <v>1</v>
      </c>
      <c r="L17010">
        <v>1</v>
      </c>
      <c r="M17010">
        <v>1</v>
      </c>
      <c r="N17010">
        <v>1</v>
      </c>
    </row>
    <row r="17011" spans="1:14" x14ac:dyDescent="0.25">
      <c r="A17011" t="s">
        <v>28394</v>
      </c>
      <c r="B17011" t="s">
        <v>28395</v>
      </c>
      <c r="C17011" s="1" t="str">
        <f>HYPERLINK("http://www.genecards.org/cgi-bin/carddisp.pl?gene=AMOTL2","GeneCards")</f>
        <v>GeneCards</v>
      </c>
      <c r="D17011" s="1" t="str">
        <f>HYPERLINK("http://genome-euro.ucsc.edu/cgi-bin/hgTracks?position=203002_at","UCSC")</f>
        <v>UCSC</v>
      </c>
      <c r="E17011" s="1" t="str">
        <f>HYPERLINK("http://www.ncbi.nlm.nih.gov/gene/?term=AMOTL2","NCBI")</f>
        <v>NCBI</v>
      </c>
      <c r="F17011" t="s">
        <v>28391</v>
      </c>
      <c r="G17011">
        <v>1</v>
      </c>
      <c r="H17011" s="1" t="str">
        <f>HYPERLINK("http://www.weizmann.ac.il/complex/compphys/software/geview/data/figures/203002_at.png","Figure")</f>
        <v>Figure</v>
      </c>
      <c r="I17011">
        <v>1</v>
      </c>
      <c r="J17011">
        <v>1</v>
      </c>
      <c r="K17011">
        <v>1</v>
      </c>
      <c r="L17011">
        <v>1</v>
      </c>
      <c r="M17011">
        <v>1</v>
      </c>
      <c r="N17011">
        <v>1</v>
      </c>
    </row>
    <row r="17012" spans="1:14" x14ac:dyDescent="0.25">
      <c r="A17012" t="s">
        <v>28396</v>
      </c>
      <c r="B17012" t="s">
        <v>830</v>
      </c>
      <c r="C17012" s="1" t="str">
        <f>HYPERLINK("http://www.genecards.org/cgi-bin/carddisp.pl?gene=AP3B1","GeneCards")</f>
        <v>GeneCards</v>
      </c>
      <c r="D17012" s="1" t="str">
        <f>HYPERLINK("http://genome-euro.ucsc.edu/cgi-bin/hgTracks?position=203141_s_at","UCSC")</f>
        <v>UCSC</v>
      </c>
      <c r="E17012" s="1" t="str">
        <f>HYPERLINK("http://www.ncbi.nlm.nih.gov/gene/?term=AP3B1","NCBI")</f>
        <v>NCBI</v>
      </c>
      <c r="F17012" t="s">
        <v>28391</v>
      </c>
      <c r="G17012">
        <v>1</v>
      </c>
      <c r="H17012" s="1" t="str">
        <f>HYPERLINK("http://www.weizmann.ac.il/complex/compphys/software/geview/data/figures/203141_s_at.png","Figure")</f>
        <v>Figure</v>
      </c>
      <c r="I17012">
        <v>1</v>
      </c>
      <c r="J17012">
        <v>1</v>
      </c>
      <c r="K17012">
        <v>1</v>
      </c>
      <c r="L17012">
        <v>1</v>
      </c>
      <c r="M17012">
        <v>1</v>
      </c>
      <c r="N17012">
        <v>1</v>
      </c>
    </row>
    <row r="17013" spans="1:14" x14ac:dyDescent="0.25">
      <c r="A17013" t="s">
        <v>28397</v>
      </c>
      <c r="B17013" t="s">
        <v>6280</v>
      </c>
      <c r="C17013" s="1" t="str">
        <f>HYPERLINK("http://www.genecards.org/cgi-bin/carddisp.pl?gene=MAPT","GeneCards")</f>
        <v>GeneCards</v>
      </c>
      <c r="D17013" s="1" t="str">
        <f>HYPERLINK("http://genome-euro.ucsc.edu/cgi-bin/hgTracks?position=203929_s_at","UCSC")</f>
        <v>UCSC</v>
      </c>
      <c r="E17013" s="1" t="str">
        <f>HYPERLINK("http://www.ncbi.nlm.nih.gov/gene/?term=MAPT","NCBI")</f>
        <v>NCBI</v>
      </c>
      <c r="F17013" t="s">
        <v>28391</v>
      </c>
      <c r="G17013">
        <v>1</v>
      </c>
      <c r="H17013" s="1" t="str">
        <f>HYPERLINK("http://www.weizmann.ac.il/complex/compphys/software/geview/data/figures/203929_s_at.png","Figure")</f>
        <v>Figure</v>
      </c>
      <c r="I17013">
        <v>1</v>
      </c>
      <c r="J17013">
        <v>1</v>
      </c>
      <c r="K17013">
        <v>1</v>
      </c>
      <c r="L17013">
        <v>1</v>
      </c>
      <c r="M17013">
        <v>1</v>
      </c>
      <c r="N17013">
        <v>1</v>
      </c>
    </row>
    <row r="17014" spans="1:14" x14ac:dyDescent="0.25">
      <c r="A17014" t="s">
        <v>28398</v>
      </c>
      <c r="B17014" t="s">
        <v>2146</v>
      </c>
      <c r="C17014" s="1" t="str">
        <f>HYPERLINK("http://www.genecards.org/cgi-bin/carddisp.pl?gene=CLUAP1","GeneCards")</f>
        <v>GeneCards</v>
      </c>
      <c r="D17014" s="1" t="str">
        <f>HYPERLINK("http://genome-euro.ucsc.edu/cgi-bin/hgTracks?position=204577_s_at","UCSC")</f>
        <v>UCSC</v>
      </c>
      <c r="E17014" s="1" t="str">
        <f>HYPERLINK("http://www.ncbi.nlm.nih.gov/gene/?term=CLUAP1","NCBI")</f>
        <v>NCBI</v>
      </c>
      <c r="F17014" t="s">
        <v>28391</v>
      </c>
      <c r="G17014">
        <v>1</v>
      </c>
      <c r="H17014" s="1" t="str">
        <f>HYPERLINK("http://www.weizmann.ac.il/complex/compphys/software/geview/data/figures/204577_s_at.png","Figure")</f>
        <v>Figure</v>
      </c>
      <c r="I17014">
        <v>1</v>
      </c>
      <c r="J17014">
        <v>1</v>
      </c>
      <c r="K17014">
        <v>1</v>
      </c>
      <c r="L17014">
        <v>1</v>
      </c>
      <c r="M17014">
        <v>1</v>
      </c>
      <c r="N17014">
        <v>1</v>
      </c>
    </row>
    <row r="17015" spans="1:14" x14ac:dyDescent="0.25">
      <c r="A17015" t="s">
        <v>28399</v>
      </c>
      <c r="B17015" t="s">
        <v>28400</v>
      </c>
      <c r="C17015" s="1" t="str">
        <f>HYPERLINK("http://www.genecards.org/cgi-bin/carddisp.pl?gene=DSC2","GeneCards")</f>
        <v>GeneCards</v>
      </c>
      <c r="D17015" s="1" t="str">
        <f>HYPERLINK("http://genome-euro.ucsc.edu/cgi-bin/hgTracks?position=204750_s_at","UCSC")</f>
        <v>UCSC</v>
      </c>
      <c r="E17015" s="1" t="str">
        <f>HYPERLINK("http://www.ncbi.nlm.nih.gov/gene/?term=DSC2","NCBI")</f>
        <v>NCBI</v>
      </c>
      <c r="F17015" t="s">
        <v>28391</v>
      </c>
      <c r="G17015">
        <v>1</v>
      </c>
      <c r="H17015" s="1" t="str">
        <f>HYPERLINK("http://www.weizmann.ac.il/complex/compphys/software/geview/data/figures/204750_s_at.png","Figure")</f>
        <v>Figure</v>
      </c>
      <c r="I17015">
        <v>1</v>
      </c>
      <c r="J17015">
        <v>1</v>
      </c>
      <c r="K17015">
        <v>1</v>
      </c>
      <c r="L17015">
        <v>1</v>
      </c>
      <c r="M17015">
        <v>1</v>
      </c>
      <c r="N17015">
        <v>1</v>
      </c>
    </row>
    <row r="17016" spans="1:14" x14ac:dyDescent="0.25">
      <c r="A17016" t="s">
        <v>28401</v>
      </c>
      <c r="B17016" t="s">
        <v>28402</v>
      </c>
      <c r="C17016" s="1" t="str">
        <f>HYPERLINK("http://www.genecards.org/cgi-bin/carddisp.pl?gene=DOPEY2","GeneCards")</f>
        <v>GeneCards</v>
      </c>
      <c r="D17016" s="1" t="str">
        <f>HYPERLINK("http://genome-euro.ucsc.edu/cgi-bin/hgTracks?position=205248_at","UCSC")</f>
        <v>UCSC</v>
      </c>
      <c r="E17016" s="1" t="str">
        <f>HYPERLINK("http://www.ncbi.nlm.nih.gov/gene/?term=DOPEY2","NCBI")</f>
        <v>NCBI</v>
      </c>
      <c r="F17016" t="s">
        <v>28391</v>
      </c>
      <c r="G17016">
        <v>1</v>
      </c>
      <c r="H17016" s="1" t="str">
        <f>HYPERLINK("http://www.weizmann.ac.il/complex/compphys/software/geview/data/figures/205248_at.png","Figure")</f>
        <v>Figure</v>
      </c>
      <c r="I17016">
        <v>1</v>
      </c>
      <c r="J17016">
        <v>1</v>
      </c>
      <c r="K17016">
        <v>1</v>
      </c>
      <c r="L17016">
        <v>1</v>
      </c>
      <c r="M17016">
        <v>1</v>
      </c>
      <c r="N17016">
        <v>1</v>
      </c>
    </row>
    <row r="17017" spans="1:14" x14ac:dyDescent="0.25">
      <c r="A17017" t="s">
        <v>28403</v>
      </c>
      <c r="B17017" t="s">
        <v>23205</v>
      </c>
      <c r="C17017" s="1" t="str">
        <f>HYPERLINK("http://www.genecards.org/cgi-bin/carddisp.pl?gene=LRP8","GeneCards")</f>
        <v>GeneCards</v>
      </c>
      <c r="D17017" s="1" t="str">
        <f>HYPERLINK("http://genome-euro.ucsc.edu/cgi-bin/hgTracks?position=205282_at","UCSC")</f>
        <v>UCSC</v>
      </c>
      <c r="E17017" s="1" t="str">
        <f>HYPERLINK("http://www.ncbi.nlm.nih.gov/gene/?term=LRP8","NCBI")</f>
        <v>NCBI</v>
      </c>
      <c r="F17017" t="s">
        <v>28391</v>
      </c>
      <c r="G17017">
        <v>1</v>
      </c>
      <c r="H17017" s="1" t="str">
        <f>HYPERLINK("http://www.weizmann.ac.il/complex/compphys/software/geview/data/figures/205282_at.png","Figure")</f>
        <v>Figure</v>
      </c>
      <c r="I17017">
        <v>1</v>
      </c>
      <c r="J17017">
        <v>1</v>
      </c>
      <c r="K17017">
        <v>1</v>
      </c>
      <c r="L17017">
        <v>1</v>
      </c>
      <c r="M17017">
        <v>1</v>
      </c>
      <c r="N17017">
        <v>1</v>
      </c>
    </row>
    <row r="17018" spans="1:14" x14ac:dyDescent="0.25">
      <c r="A17018" t="s">
        <v>28404</v>
      </c>
      <c r="B17018" t="s">
        <v>28405</v>
      </c>
      <c r="C17018" s="1" t="str">
        <f>HYPERLINK("http://www.genecards.org/cgi-bin/carddisp.pl?gene=GPR17","GeneCards")</f>
        <v>GeneCards</v>
      </c>
      <c r="D17018" s="1" t="str">
        <f>HYPERLINK("http://genome-euro.ucsc.edu/cgi-bin/hgTracks?position=206190_at","UCSC")</f>
        <v>UCSC</v>
      </c>
      <c r="E17018" s="1" t="str">
        <f>HYPERLINK("http://www.ncbi.nlm.nih.gov/gene/?term=GPR17","NCBI")</f>
        <v>NCBI</v>
      </c>
      <c r="F17018" t="s">
        <v>28391</v>
      </c>
      <c r="G17018">
        <v>1</v>
      </c>
      <c r="H17018" s="1" t="str">
        <f>HYPERLINK("http://www.weizmann.ac.il/complex/compphys/software/geview/data/figures/206190_at.png","Figure")</f>
        <v>Figure</v>
      </c>
      <c r="I17018">
        <v>1</v>
      </c>
      <c r="J17018">
        <v>1</v>
      </c>
      <c r="K17018">
        <v>1</v>
      </c>
      <c r="L17018">
        <v>1</v>
      </c>
      <c r="M17018">
        <v>1</v>
      </c>
      <c r="N17018">
        <v>1</v>
      </c>
    </row>
    <row r="17019" spans="1:14" x14ac:dyDescent="0.25">
      <c r="A17019" t="s">
        <v>28406</v>
      </c>
      <c r="B17019" t="s">
        <v>28407</v>
      </c>
      <c r="C17019" s="1" t="str">
        <f>HYPERLINK("http://www.genecards.org/cgi-bin/carddisp.pl?gene=NR1H4","GeneCards")</f>
        <v>GeneCards</v>
      </c>
      <c r="D17019" s="1" t="str">
        <f>HYPERLINK("http://genome-euro.ucsc.edu/cgi-bin/hgTracks?position=206340_at","UCSC")</f>
        <v>UCSC</v>
      </c>
      <c r="E17019" s="1" t="str">
        <f>HYPERLINK("http://www.ncbi.nlm.nih.gov/gene/?term=NR1H4","NCBI")</f>
        <v>NCBI</v>
      </c>
      <c r="F17019" t="s">
        <v>28391</v>
      </c>
      <c r="G17019">
        <v>1</v>
      </c>
      <c r="H17019" s="1" t="str">
        <f>HYPERLINK("http://www.weizmann.ac.il/complex/compphys/software/geview/data/figures/206340_at.png","Figure")</f>
        <v>Figure</v>
      </c>
      <c r="I17019">
        <v>1</v>
      </c>
      <c r="J17019">
        <v>1</v>
      </c>
      <c r="K17019">
        <v>1</v>
      </c>
      <c r="L17019">
        <v>1</v>
      </c>
      <c r="M17019">
        <v>1</v>
      </c>
      <c r="N17019">
        <v>1</v>
      </c>
    </row>
    <row r="17020" spans="1:14" x14ac:dyDescent="0.25">
      <c r="A17020" t="s">
        <v>28408</v>
      </c>
      <c r="B17020" t="s">
        <v>28409</v>
      </c>
      <c r="C17020" s="1" t="str">
        <f>HYPERLINK("http://www.genecards.org/cgi-bin/carddisp.pl?gene=ANGPTL7","GeneCards")</f>
        <v>GeneCards</v>
      </c>
      <c r="D17020" s="1" t="str">
        <f>HYPERLINK("http://genome-euro.ucsc.edu/cgi-bin/hgTracks?position=206423_at","UCSC")</f>
        <v>UCSC</v>
      </c>
      <c r="E17020" s="1" t="str">
        <f>HYPERLINK("http://www.ncbi.nlm.nih.gov/gene/?term=ANGPTL7","NCBI")</f>
        <v>NCBI</v>
      </c>
      <c r="F17020" t="s">
        <v>28391</v>
      </c>
      <c r="G17020">
        <v>1</v>
      </c>
      <c r="H17020" s="1" t="str">
        <f>HYPERLINK("http://www.weizmann.ac.il/complex/compphys/software/geview/data/figures/206423_at.png","Figure")</f>
        <v>Figure</v>
      </c>
      <c r="I17020">
        <v>1</v>
      </c>
      <c r="J17020">
        <v>1</v>
      </c>
      <c r="K17020">
        <v>1</v>
      </c>
      <c r="L17020">
        <v>1</v>
      </c>
      <c r="M17020">
        <v>1</v>
      </c>
      <c r="N17020">
        <v>1</v>
      </c>
    </row>
    <row r="17021" spans="1:14" x14ac:dyDescent="0.25">
      <c r="A17021" t="s">
        <v>28410</v>
      </c>
      <c r="B17021" t="s">
        <v>28411</v>
      </c>
      <c r="C17021" s="1" t="str">
        <f>HYPERLINK("http://www.genecards.org/cgi-bin/carddisp.pl?gene=FKBP1B","GeneCards")</f>
        <v>GeneCards</v>
      </c>
      <c r="D17021" s="1" t="str">
        <f>HYPERLINK("http://genome-euro.ucsc.edu/cgi-bin/hgTracks?position=206857_s_at","UCSC")</f>
        <v>UCSC</v>
      </c>
      <c r="E17021" s="1" t="str">
        <f>HYPERLINK("http://www.ncbi.nlm.nih.gov/gene/?term=FKBP1B","NCBI")</f>
        <v>NCBI</v>
      </c>
      <c r="F17021" t="s">
        <v>28391</v>
      </c>
      <c r="G17021">
        <v>1</v>
      </c>
      <c r="H17021" s="1" t="str">
        <f>HYPERLINK("http://www.weizmann.ac.il/complex/compphys/software/geview/data/figures/206857_s_at.png","Figure")</f>
        <v>Figure</v>
      </c>
      <c r="I17021">
        <v>1</v>
      </c>
      <c r="J17021">
        <v>1</v>
      </c>
      <c r="K17021">
        <v>1</v>
      </c>
      <c r="L17021">
        <v>1</v>
      </c>
      <c r="M17021">
        <v>1</v>
      </c>
      <c r="N17021">
        <v>1</v>
      </c>
    </row>
    <row r="17022" spans="1:14" x14ac:dyDescent="0.25">
      <c r="A17022" t="s">
        <v>28412</v>
      </c>
      <c r="B17022" t="s">
        <v>28413</v>
      </c>
      <c r="C17022" s="1" t="str">
        <f>HYPERLINK("http://www.genecards.org/cgi-bin/carddisp.pl?gene=NAT8B","GeneCards")</f>
        <v>GeneCards</v>
      </c>
      <c r="D17022" s="1" t="str">
        <f>HYPERLINK("http://genome-euro.ucsc.edu/cgi-bin/hgTracks?position=206964_at","UCSC")</f>
        <v>UCSC</v>
      </c>
      <c r="E17022" s="1" t="str">
        <f>HYPERLINK("http://www.ncbi.nlm.nih.gov/gene/?term=NAT8B","NCBI")</f>
        <v>NCBI</v>
      </c>
      <c r="F17022" t="s">
        <v>28391</v>
      </c>
      <c r="G17022">
        <v>1</v>
      </c>
      <c r="H17022" s="1" t="str">
        <f>HYPERLINK("http://www.weizmann.ac.il/complex/compphys/software/geview/data/figures/206964_at.png","Figure")</f>
        <v>Figure</v>
      </c>
      <c r="I17022">
        <v>1</v>
      </c>
      <c r="J17022">
        <v>1</v>
      </c>
      <c r="K17022">
        <v>1</v>
      </c>
      <c r="L17022">
        <v>1</v>
      </c>
      <c r="M17022">
        <v>1</v>
      </c>
      <c r="N17022">
        <v>1</v>
      </c>
    </row>
    <row r="17023" spans="1:14" x14ac:dyDescent="0.25">
      <c r="A17023" t="s">
        <v>28414</v>
      </c>
      <c r="B17023" t="s">
        <v>7154</v>
      </c>
      <c r="C17023" s="1" t="str">
        <f>HYPERLINK("http://www.genecards.org/cgi-bin/carddisp.pl?gene=PLAGL1","GeneCards")</f>
        <v>GeneCards</v>
      </c>
      <c r="D17023" s="1" t="str">
        <f>HYPERLINK("http://genome-euro.ucsc.edu/cgi-bin/hgTracks?position=207002_s_at","UCSC")</f>
        <v>UCSC</v>
      </c>
      <c r="E17023" s="1" t="str">
        <f>HYPERLINK("http://www.ncbi.nlm.nih.gov/gene/?term=PLAGL1","NCBI")</f>
        <v>NCBI</v>
      </c>
      <c r="F17023" t="s">
        <v>28391</v>
      </c>
      <c r="G17023">
        <v>1</v>
      </c>
      <c r="H17023" s="1" t="str">
        <f>HYPERLINK("http://www.weizmann.ac.il/complex/compphys/software/geview/data/figures/207002_s_at.png","Figure")</f>
        <v>Figure</v>
      </c>
      <c r="I17023">
        <v>1</v>
      </c>
      <c r="J17023">
        <v>1</v>
      </c>
      <c r="K17023">
        <v>1</v>
      </c>
      <c r="L17023">
        <v>1</v>
      </c>
      <c r="M17023">
        <v>1</v>
      </c>
      <c r="N17023">
        <v>1</v>
      </c>
    </row>
    <row r="17024" spans="1:14" x14ac:dyDescent="0.25">
      <c r="A17024" t="s">
        <v>28415</v>
      </c>
      <c r="B17024" t="s">
        <v>28416</v>
      </c>
      <c r="C17024" s="1" t="str">
        <f>HYPERLINK("http://www.genecards.org/cgi-bin/carddisp.pl?gene=AKAP4","GeneCards")</f>
        <v>GeneCards</v>
      </c>
      <c r="D17024" s="1" t="str">
        <f>HYPERLINK("http://genome-euro.ucsc.edu/cgi-bin/hgTracks?position=207019_s_at","UCSC")</f>
        <v>UCSC</v>
      </c>
      <c r="E17024" s="1" t="str">
        <f>HYPERLINK("http://www.ncbi.nlm.nih.gov/gene/?term=AKAP4","NCBI")</f>
        <v>NCBI</v>
      </c>
      <c r="F17024" t="s">
        <v>28391</v>
      </c>
      <c r="G17024">
        <v>1</v>
      </c>
      <c r="H17024" s="1" t="str">
        <f>HYPERLINK("http://www.weizmann.ac.il/complex/compphys/software/geview/data/figures/207019_s_at.png","Figure")</f>
        <v>Figure</v>
      </c>
      <c r="I17024">
        <v>1</v>
      </c>
      <c r="J17024">
        <v>1</v>
      </c>
      <c r="K17024">
        <v>1</v>
      </c>
      <c r="L17024">
        <v>1</v>
      </c>
      <c r="M17024">
        <v>1</v>
      </c>
      <c r="N17024">
        <v>1</v>
      </c>
    </row>
    <row r="17025" spans="1:14" x14ac:dyDescent="0.25">
      <c r="A17025" t="s">
        <v>28417</v>
      </c>
      <c r="B17025" t="s">
        <v>14127</v>
      </c>
      <c r="C17025" s="1" t="str">
        <f>HYPERLINK("http://www.genecards.org/cgi-bin/carddisp.pl?gene=GRM1","GeneCards")</f>
        <v>GeneCards</v>
      </c>
      <c r="D17025" s="1" t="str">
        <f>HYPERLINK("http://genome-euro.ucsc.edu/cgi-bin/hgTracks?position=207299_s_at","UCSC")</f>
        <v>UCSC</v>
      </c>
      <c r="E17025" s="1" t="str">
        <f>HYPERLINK("http://www.ncbi.nlm.nih.gov/gene/?term=GRM1","NCBI")</f>
        <v>NCBI</v>
      </c>
      <c r="F17025" t="s">
        <v>28391</v>
      </c>
      <c r="G17025">
        <v>1</v>
      </c>
      <c r="H17025" s="1" t="str">
        <f>HYPERLINK("http://www.weizmann.ac.il/complex/compphys/software/geview/data/figures/207299_s_at.png","Figure")</f>
        <v>Figure</v>
      </c>
      <c r="I17025">
        <v>1</v>
      </c>
      <c r="J17025">
        <v>1</v>
      </c>
      <c r="K17025">
        <v>1</v>
      </c>
      <c r="L17025">
        <v>1</v>
      </c>
      <c r="M17025">
        <v>1</v>
      </c>
      <c r="N17025">
        <v>1</v>
      </c>
    </row>
    <row r="17026" spans="1:14" x14ac:dyDescent="0.25">
      <c r="A17026" t="s">
        <v>28418</v>
      </c>
      <c r="B17026" t="s">
        <v>10327</v>
      </c>
      <c r="C17026" s="1" t="str">
        <f>HYPERLINK("http://www.genecards.org/cgi-bin/carddisp.pl?gene=HTR4","GeneCards")</f>
        <v>GeneCards</v>
      </c>
      <c r="D17026" s="1" t="str">
        <f>HYPERLINK("http://genome-euro.ucsc.edu/cgi-bin/hgTracks?position=207577_at","UCSC")</f>
        <v>UCSC</v>
      </c>
      <c r="E17026" s="1" t="str">
        <f>HYPERLINK("http://www.ncbi.nlm.nih.gov/gene/?term=HTR4","NCBI")</f>
        <v>NCBI</v>
      </c>
      <c r="F17026" t="s">
        <v>28391</v>
      </c>
      <c r="G17026">
        <v>1</v>
      </c>
      <c r="H17026" s="1" t="str">
        <f>HYPERLINK("http://www.weizmann.ac.il/complex/compphys/software/geview/data/figures/207577_at.png","Figure")</f>
        <v>Figure</v>
      </c>
      <c r="I17026">
        <v>1</v>
      </c>
      <c r="J17026">
        <v>1</v>
      </c>
      <c r="K17026">
        <v>1</v>
      </c>
      <c r="L17026">
        <v>1</v>
      </c>
      <c r="M17026">
        <v>1</v>
      </c>
      <c r="N17026">
        <v>1</v>
      </c>
    </row>
    <row r="17027" spans="1:14" x14ac:dyDescent="0.25">
      <c r="A17027" t="s">
        <v>28419</v>
      </c>
      <c r="B17027" t="s">
        <v>19053</v>
      </c>
      <c r="C17027" s="1" t="str">
        <f>HYPERLINK("http://www.genecards.org/cgi-bin/carddisp.pl?gene=KIF25","GeneCards")</f>
        <v>GeneCards</v>
      </c>
      <c r="D17027" s="1" t="str">
        <f>HYPERLINK("http://genome-euro.ucsc.edu/cgi-bin/hgTracks?position=207682_s_at","UCSC")</f>
        <v>UCSC</v>
      </c>
      <c r="E17027" s="1" t="str">
        <f>HYPERLINK("http://www.ncbi.nlm.nih.gov/gene/?term=KIF25","NCBI")</f>
        <v>NCBI</v>
      </c>
      <c r="F17027" t="s">
        <v>28391</v>
      </c>
      <c r="G17027">
        <v>1</v>
      </c>
      <c r="H17027" s="1" t="str">
        <f>HYPERLINK("http://www.weizmann.ac.il/complex/compphys/software/geview/data/figures/207682_s_at.png","Figure")</f>
        <v>Figure</v>
      </c>
      <c r="I17027">
        <v>1</v>
      </c>
      <c r="J17027">
        <v>1</v>
      </c>
      <c r="K17027">
        <v>1</v>
      </c>
      <c r="L17027">
        <v>1</v>
      </c>
      <c r="M17027">
        <v>1</v>
      </c>
      <c r="N17027">
        <v>1</v>
      </c>
    </row>
    <row r="17028" spans="1:14" x14ac:dyDescent="0.25">
      <c r="A17028" t="s">
        <v>28420</v>
      </c>
      <c r="B17028" t="s">
        <v>28421</v>
      </c>
      <c r="C17028" s="1" t="str">
        <f>HYPERLINK("http://www.genecards.org/cgi-bin/carddisp.pl?gene=LRP2BP","GeneCards")</f>
        <v>GeneCards</v>
      </c>
      <c r="D17028" s="1" t="str">
        <f>HYPERLINK("http://genome-euro.ucsc.edu/cgi-bin/hgTracks?position=207797_s_at","UCSC")</f>
        <v>UCSC</v>
      </c>
      <c r="E17028" s="1" t="str">
        <f>HYPERLINK("http://www.ncbi.nlm.nih.gov/gene/?term=LRP2BP","NCBI")</f>
        <v>NCBI</v>
      </c>
      <c r="F17028" t="s">
        <v>28391</v>
      </c>
      <c r="G17028">
        <v>1</v>
      </c>
      <c r="H17028" s="1" t="str">
        <f>HYPERLINK("http://www.weizmann.ac.il/complex/compphys/software/geview/data/figures/207797_s_at.png","Figure")</f>
        <v>Figure</v>
      </c>
      <c r="I17028">
        <v>1</v>
      </c>
      <c r="J17028">
        <v>1</v>
      </c>
      <c r="K17028">
        <v>1</v>
      </c>
      <c r="L17028">
        <v>1</v>
      </c>
      <c r="M17028">
        <v>1</v>
      </c>
      <c r="N17028">
        <v>1</v>
      </c>
    </row>
    <row r="17029" spans="1:14" x14ac:dyDescent="0.25">
      <c r="A17029" t="s">
        <v>28422</v>
      </c>
      <c r="B17029" t="s">
        <v>28423</v>
      </c>
      <c r="C17029" s="1" t="str">
        <f>HYPERLINK("http://www.genecards.org/cgi-bin/carddisp.pl?gene=ST8SIA3","GeneCards")</f>
        <v>GeneCards</v>
      </c>
      <c r="D17029" s="1" t="str">
        <f>HYPERLINK("http://genome-euro.ucsc.edu/cgi-bin/hgTracks?position=208064_s_at","UCSC")</f>
        <v>UCSC</v>
      </c>
      <c r="E17029" s="1" t="str">
        <f>HYPERLINK("http://www.ncbi.nlm.nih.gov/gene/?term=ST8SIA3","NCBI")</f>
        <v>NCBI</v>
      </c>
      <c r="F17029" t="s">
        <v>28391</v>
      </c>
      <c r="G17029">
        <v>1</v>
      </c>
      <c r="H17029" s="1" t="str">
        <f>HYPERLINK("http://www.weizmann.ac.il/complex/compphys/software/geview/data/figures/208064_s_at.png","Figure")</f>
        <v>Figure</v>
      </c>
      <c r="I17029">
        <v>1</v>
      </c>
      <c r="J17029">
        <v>1</v>
      </c>
      <c r="K17029">
        <v>1</v>
      </c>
      <c r="L17029">
        <v>1</v>
      </c>
      <c r="M17029">
        <v>1</v>
      </c>
      <c r="N17029">
        <v>1</v>
      </c>
    </row>
    <row r="17030" spans="1:14" x14ac:dyDescent="0.25">
      <c r="A17030" t="s">
        <v>28424</v>
      </c>
      <c r="B17030" t="s">
        <v>28425</v>
      </c>
      <c r="C17030" s="1" t="str">
        <f>HYPERLINK("http://www.genecards.org/cgi-bin/carddisp.pl?gene=PPBPL2","GeneCards")</f>
        <v>GeneCards</v>
      </c>
      <c r="D17030" s="1" t="str">
        <f>HYPERLINK("http://genome-euro.ucsc.edu/cgi-bin/hgTracks?position=208346_at","UCSC")</f>
        <v>UCSC</v>
      </c>
      <c r="E17030" s="1" t="str">
        <f>HYPERLINK("http://www.ncbi.nlm.nih.gov/gene/?term=PPBPL2","NCBI")</f>
        <v>NCBI</v>
      </c>
      <c r="F17030" t="s">
        <v>28391</v>
      </c>
      <c r="G17030">
        <v>1</v>
      </c>
      <c r="H17030" s="1" t="str">
        <f>HYPERLINK("http://www.weizmann.ac.il/complex/compphys/software/geview/data/figures/208346_at.png","Figure")</f>
        <v>Figure</v>
      </c>
      <c r="I17030">
        <v>1</v>
      </c>
      <c r="J17030">
        <v>1</v>
      </c>
      <c r="K17030">
        <v>1</v>
      </c>
      <c r="L17030">
        <v>1</v>
      </c>
      <c r="M17030">
        <v>1</v>
      </c>
      <c r="N17030">
        <v>1</v>
      </c>
    </row>
    <row r="17031" spans="1:14" x14ac:dyDescent="0.25">
      <c r="A17031" t="s">
        <v>28426</v>
      </c>
      <c r="B17031" t="s">
        <v>19526</v>
      </c>
      <c r="C17031" s="1" t="str">
        <f>HYPERLINK("http://www.genecards.org/cgi-bin/carddisp.pl?gene=BAX","GeneCards")</f>
        <v>GeneCards</v>
      </c>
      <c r="D17031" s="1" t="str">
        <f>HYPERLINK("http://genome-euro.ucsc.edu/cgi-bin/hgTracks?position=208478_s_at","UCSC")</f>
        <v>UCSC</v>
      </c>
      <c r="E17031" s="1" t="str">
        <f>HYPERLINK("http://www.ncbi.nlm.nih.gov/gene/?term=BAX","NCBI")</f>
        <v>NCBI</v>
      </c>
      <c r="F17031" t="s">
        <v>28391</v>
      </c>
      <c r="G17031">
        <v>1</v>
      </c>
      <c r="H17031" s="1" t="str">
        <f>HYPERLINK("http://www.weizmann.ac.il/complex/compphys/software/geview/data/figures/208478_s_at.png","Figure")</f>
        <v>Figure</v>
      </c>
      <c r="I17031">
        <v>1</v>
      </c>
      <c r="J17031">
        <v>1</v>
      </c>
      <c r="K17031">
        <v>1</v>
      </c>
      <c r="L17031">
        <v>1</v>
      </c>
      <c r="M17031">
        <v>1</v>
      </c>
      <c r="N17031">
        <v>1</v>
      </c>
    </row>
    <row r="17032" spans="1:14" x14ac:dyDescent="0.25">
      <c r="A17032" t="s">
        <v>28427</v>
      </c>
      <c r="B17032" t="s">
        <v>28428</v>
      </c>
      <c r="C17032" s="1" t="str">
        <f>HYPERLINK("http://www.genecards.org/cgi-bin/carddisp.pl?gene=PEG3 /// ZIM2","GeneCards")</f>
        <v>GeneCards</v>
      </c>
      <c r="D17032" s="1" t="str">
        <f>HYPERLINK("http://genome-euro.ucsc.edu/cgi-bin/hgTracks?position=209243_s_at","UCSC")</f>
        <v>UCSC</v>
      </c>
      <c r="E17032" s="1" t="str">
        <f>HYPERLINK("http://www.ncbi.nlm.nih.gov/gene/?term=PEG3 /// ZIM2","NCBI")</f>
        <v>NCBI</v>
      </c>
      <c r="F17032" t="s">
        <v>28391</v>
      </c>
      <c r="G17032">
        <v>1</v>
      </c>
      <c r="H17032" s="1" t="str">
        <f>HYPERLINK("http://www.weizmann.ac.il/complex/compphys/software/geview/data/figures/209243_s_at.png","Figure")</f>
        <v>Figure</v>
      </c>
      <c r="I17032">
        <v>1</v>
      </c>
      <c r="J17032">
        <v>1</v>
      </c>
      <c r="K17032">
        <v>1</v>
      </c>
      <c r="L17032">
        <v>1</v>
      </c>
      <c r="M17032">
        <v>1</v>
      </c>
      <c r="N17032">
        <v>1</v>
      </c>
    </row>
    <row r="17033" spans="1:14" x14ac:dyDescent="0.25">
      <c r="A17033" t="s">
        <v>28429</v>
      </c>
      <c r="B17033" t="s">
        <v>28430</v>
      </c>
      <c r="C17033" s="1" t="str">
        <f>HYPERLINK("http://www.genecards.org/cgi-bin/carddisp.pl?gene=KCNJ13","GeneCards")</f>
        <v>GeneCards</v>
      </c>
      <c r="D17033" s="1" t="str">
        <f>HYPERLINK("http://genome-euro.ucsc.edu/cgi-bin/hgTracks?position=210179_at","UCSC")</f>
        <v>UCSC</v>
      </c>
      <c r="E17033" s="1" t="str">
        <f>HYPERLINK("http://www.ncbi.nlm.nih.gov/gene/?term=KCNJ13","NCBI")</f>
        <v>NCBI</v>
      </c>
      <c r="F17033" t="s">
        <v>28391</v>
      </c>
      <c r="G17033">
        <v>1</v>
      </c>
      <c r="H17033" s="1" t="str">
        <f>HYPERLINK("http://www.weizmann.ac.il/complex/compphys/software/geview/data/figures/210179_at.png","Figure")</f>
        <v>Figure</v>
      </c>
      <c r="I17033">
        <v>1</v>
      </c>
      <c r="J17033">
        <v>1</v>
      </c>
      <c r="K17033">
        <v>1</v>
      </c>
      <c r="L17033">
        <v>1</v>
      </c>
      <c r="M17033">
        <v>1</v>
      </c>
      <c r="N17033">
        <v>1</v>
      </c>
    </row>
    <row r="17034" spans="1:14" x14ac:dyDescent="0.25">
      <c r="A17034" t="s">
        <v>28431</v>
      </c>
      <c r="B17034" t="s">
        <v>22944</v>
      </c>
      <c r="C17034" s="1" t="str">
        <f>HYPERLINK("http://www.genecards.org/cgi-bin/carddisp.pl?gene=ZNF235","GeneCards")</f>
        <v>GeneCards</v>
      </c>
      <c r="D17034" s="1" t="str">
        <f>HYPERLINK("http://genome-euro.ucsc.edu/cgi-bin/hgTracks?position=210595_at","UCSC")</f>
        <v>UCSC</v>
      </c>
      <c r="E17034" s="1" t="str">
        <f>HYPERLINK("http://www.ncbi.nlm.nih.gov/gene/?term=ZNF235","NCBI")</f>
        <v>NCBI</v>
      </c>
      <c r="F17034" t="s">
        <v>28391</v>
      </c>
      <c r="G17034">
        <v>1</v>
      </c>
      <c r="H17034" s="1" t="str">
        <f>HYPERLINK("http://www.weizmann.ac.il/complex/compphys/software/geview/data/figures/210595_at.png","Figure")</f>
        <v>Figure</v>
      </c>
      <c r="I17034">
        <v>1</v>
      </c>
      <c r="J17034">
        <v>1</v>
      </c>
      <c r="K17034">
        <v>1</v>
      </c>
      <c r="L17034">
        <v>1</v>
      </c>
      <c r="M17034">
        <v>1</v>
      </c>
      <c r="N17034">
        <v>1</v>
      </c>
    </row>
    <row r="17035" spans="1:14" x14ac:dyDescent="0.25">
      <c r="A17035" t="s">
        <v>28432</v>
      </c>
      <c r="B17035" t="s">
        <v>18834</v>
      </c>
      <c r="C17035" s="1" t="str">
        <f>HYPERLINK("http://www.genecards.org/cgi-bin/carddisp.pl?gene=CMKLR1","GeneCards")</f>
        <v>GeneCards</v>
      </c>
      <c r="D17035" s="1" t="str">
        <f>HYPERLINK("http://genome-euro.ucsc.edu/cgi-bin/hgTracks?position=210659_at","UCSC")</f>
        <v>UCSC</v>
      </c>
      <c r="E17035" s="1" t="str">
        <f>HYPERLINK("http://www.ncbi.nlm.nih.gov/gene/?term=CMKLR1","NCBI")</f>
        <v>NCBI</v>
      </c>
      <c r="F17035" t="s">
        <v>28391</v>
      </c>
      <c r="G17035">
        <v>1</v>
      </c>
      <c r="H17035" s="1" t="str">
        <f>HYPERLINK("http://www.weizmann.ac.il/complex/compphys/software/geview/data/figures/210659_at.png","Figure")</f>
        <v>Figure</v>
      </c>
      <c r="I17035">
        <v>1</v>
      </c>
      <c r="J17035">
        <v>1</v>
      </c>
      <c r="K17035">
        <v>1</v>
      </c>
      <c r="L17035">
        <v>1</v>
      </c>
      <c r="M17035">
        <v>1</v>
      </c>
      <c r="N17035">
        <v>1</v>
      </c>
    </row>
    <row r="17036" spans="1:14" x14ac:dyDescent="0.25">
      <c r="A17036" t="s">
        <v>28433</v>
      </c>
      <c r="B17036" t="s">
        <v>26884</v>
      </c>
      <c r="C17036" s="1" t="str">
        <f>HYPERLINK("http://www.genecards.org/cgi-bin/carddisp.pl?gene=MAPK11","GeneCards")</f>
        <v>GeneCards</v>
      </c>
      <c r="D17036" s="1" t="str">
        <f>HYPERLINK("http://genome-euro.ucsc.edu/cgi-bin/hgTracks?position=211499_s_at","UCSC")</f>
        <v>UCSC</v>
      </c>
      <c r="E17036" s="1" t="str">
        <f>HYPERLINK("http://www.ncbi.nlm.nih.gov/gene/?term=MAPK11","NCBI")</f>
        <v>NCBI</v>
      </c>
      <c r="F17036" t="s">
        <v>28391</v>
      </c>
      <c r="G17036">
        <v>1</v>
      </c>
      <c r="H17036" s="1" t="str">
        <f>HYPERLINK("http://www.weizmann.ac.il/complex/compphys/software/geview/data/figures/211499_s_at.png","Figure")</f>
        <v>Figure</v>
      </c>
      <c r="I17036">
        <v>1</v>
      </c>
      <c r="J17036">
        <v>1</v>
      </c>
      <c r="K17036">
        <v>1</v>
      </c>
      <c r="L17036">
        <v>1</v>
      </c>
      <c r="M17036">
        <v>1</v>
      </c>
      <c r="N17036">
        <v>1</v>
      </c>
    </row>
    <row r="17037" spans="1:14" x14ac:dyDescent="0.25">
      <c r="A17037" t="s">
        <v>28434</v>
      </c>
      <c r="B17037" t="s">
        <v>28435</v>
      </c>
      <c r="C17037" s="1" t="str">
        <f>HYPERLINK("http://www.genecards.org/cgi-bin/carddisp.pl?gene=MMACHC","GeneCards")</f>
        <v>GeneCards</v>
      </c>
      <c r="D17037" s="1" t="str">
        <f>HYPERLINK("http://genome-euro.ucsc.edu/cgi-bin/hgTracks?position=211774_s_at","UCSC")</f>
        <v>UCSC</v>
      </c>
      <c r="E17037" s="1" t="str">
        <f>HYPERLINK("http://www.ncbi.nlm.nih.gov/gene/?term=MMACHC","NCBI")</f>
        <v>NCBI</v>
      </c>
      <c r="F17037" t="s">
        <v>28391</v>
      </c>
      <c r="G17037">
        <v>1</v>
      </c>
      <c r="H17037" s="1" t="str">
        <f>HYPERLINK("http://www.weizmann.ac.il/complex/compphys/software/geview/data/figures/211774_s_at.png","Figure")</f>
        <v>Figure</v>
      </c>
      <c r="I17037">
        <v>1</v>
      </c>
      <c r="J17037">
        <v>1</v>
      </c>
      <c r="K17037">
        <v>1</v>
      </c>
      <c r="L17037">
        <v>1</v>
      </c>
      <c r="M17037">
        <v>1</v>
      </c>
      <c r="N17037">
        <v>1</v>
      </c>
    </row>
    <row r="17038" spans="1:14" x14ac:dyDescent="0.25">
      <c r="A17038" t="s">
        <v>28436</v>
      </c>
      <c r="B17038" t="s">
        <v>6759</v>
      </c>
      <c r="C17038" s="1" t="str">
        <f>HYPERLINK("http://www.genecards.org/cgi-bin/carddisp.pl?gene=H2AFX","GeneCards")</f>
        <v>GeneCards</v>
      </c>
      <c r="D17038" s="1" t="str">
        <f>HYPERLINK("http://genome-euro.ucsc.edu/cgi-bin/hgTracks?position=212524_x_at","UCSC")</f>
        <v>UCSC</v>
      </c>
      <c r="E17038" s="1" t="str">
        <f>HYPERLINK("http://www.ncbi.nlm.nih.gov/gene/?term=H2AFX","NCBI")</f>
        <v>NCBI</v>
      </c>
      <c r="F17038" t="s">
        <v>28391</v>
      </c>
      <c r="G17038">
        <v>1</v>
      </c>
      <c r="H17038" s="1" t="str">
        <f>HYPERLINK("http://www.weizmann.ac.il/complex/compphys/software/geview/data/figures/212524_x_at.png","Figure")</f>
        <v>Figure</v>
      </c>
      <c r="I17038">
        <v>1</v>
      </c>
      <c r="J17038">
        <v>1</v>
      </c>
      <c r="K17038">
        <v>1</v>
      </c>
      <c r="L17038">
        <v>1</v>
      </c>
      <c r="M17038">
        <v>1</v>
      </c>
      <c r="N17038">
        <v>1</v>
      </c>
    </row>
    <row r="17039" spans="1:14" x14ac:dyDescent="0.25">
      <c r="A17039" t="s">
        <v>28437</v>
      </c>
      <c r="B17039" t="s">
        <v>2300</v>
      </c>
      <c r="C17039" s="1" t="str">
        <f>HYPERLINK("http://www.genecards.org/cgi-bin/carddisp.pl?gene=SPON1","GeneCards")</f>
        <v>GeneCards</v>
      </c>
      <c r="D17039" s="1" t="str">
        <f>HYPERLINK("http://genome-euro.ucsc.edu/cgi-bin/hgTracks?position=213993_at","UCSC")</f>
        <v>UCSC</v>
      </c>
      <c r="E17039" s="1" t="str">
        <f>HYPERLINK("http://www.ncbi.nlm.nih.gov/gene/?term=SPON1","NCBI")</f>
        <v>NCBI</v>
      </c>
      <c r="F17039" t="s">
        <v>28391</v>
      </c>
      <c r="G17039">
        <v>1</v>
      </c>
      <c r="H17039" s="1" t="str">
        <f>HYPERLINK("http://www.weizmann.ac.il/complex/compphys/software/geview/data/figures/213993_at.png","Figure")</f>
        <v>Figure</v>
      </c>
      <c r="I17039">
        <v>1</v>
      </c>
      <c r="J17039">
        <v>1</v>
      </c>
      <c r="K17039">
        <v>1</v>
      </c>
      <c r="L17039">
        <v>1</v>
      </c>
      <c r="M17039">
        <v>1</v>
      </c>
      <c r="N17039">
        <v>1</v>
      </c>
    </row>
    <row r="17040" spans="1:14" x14ac:dyDescent="0.25">
      <c r="A17040" t="s">
        <v>28438</v>
      </c>
      <c r="B17040" t="s">
        <v>23436</v>
      </c>
      <c r="C17040" s="1" t="str">
        <f>HYPERLINK("http://www.genecards.org/cgi-bin/carddisp.pl?gene=GYG2","GeneCards")</f>
        <v>GeneCards</v>
      </c>
      <c r="D17040" s="1" t="str">
        <f>HYPERLINK("http://genome-euro.ucsc.edu/cgi-bin/hgTracks?position=215695_s_at","UCSC")</f>
        <v>UCSC</v>
      </c>
      <c r="E17040" s="1" t="str">
        <f>HYPERLINK("http://www.ncbi.nlm.nih.gov/gene/?term=GYG2","NCBI")</f>
        <v>NCBI</v>
      </c>
      <c r="F17040" t="s">
        <v>28391</v>
      </c>
      <c r="G17040">
        <v>1</v>
      </c>
      <c r="H17040" s="1" t="str">
        <f>HYPERLINK("http://www.weizmann.ac.il/complex/compphys/software/geview/data/figures/215695_s_at.png","Figure")</f>
        <v>Figure</v>
      </c>
      <c r="I17040">
        <v>1</v>
      </c>
      <c r="J17040">
        <v>1</v>
      </c>
      <c r="K17040">
        <v>1</v>
      </c>
      <c r="L17040">
        <v>1</v>
      </c>
      <c r="M17040">
        <v>1</v>
      </c>
      <c r="N17040">
        <v>1</v>
      </c>
    </row>
    <row r="17041" spans="1:14" x14ac:dyDescent="0.25">
      <c r="A17041" t="s">
        <v>28439</v>
      </c>
      <c r="B17041" t="s">
        <v>14607</v>
      </c>
      <c r="C17041" s="1" t="str">
        <f>HYPERLINK("http://www.genecards.org/cgi-bin/carddisp.pl?gene=TRD@","GeneCards")</f>
        <v>GeneCards</v>
      </c>
      <c r="D17041" s="1" t="str">
        <f>HYPERLINK("http://genome-euro.ucsc.edu/cgi-bin/hgTracks?position=215769_at","UCSC")</f>
        <v>UCSC</v>
      </c>
      <c r="E17041" s="1" t="str">
        <f>HYPERLINK("http://www.ncbi.nlm.nih.gov/gene/?term=TRD@","NCBI")</f>
        <v>NCBI</v>
      </c>
      <c r="F17041" t="s">
        <v>28391</v>
      </c>
      <c r="G17041">
        <v>1</v>
      </c>
      <c r="H17041" s="1" t="str">
        <f>HYPERLINK("http://www.weizmann.ac.il/complex/compphys/software/geview/data/figures/215769_at.png","Figure")</f>
        <v>Figure</v>
      </c>
      <c r="I17041">
        <v>1</v>
      </c>
      <c r="J17041">
        <v>1</v>
      </c>
      <c r="K17041">
        <v>1</v>
      </c>
      <c r="L17041">
        <v>1</v>
      </c>
      <c r="M17041">
        <v>1</v>
      </c>
      <c r="N17041">
        <v>1</v>
      </c>
    </row>
    <row r="17042" spans="1:14" x14ac:dyDescent="0.25">
      <c r="A17042" t="s">
        <v>28440</v>
      </c>
      <c r="B17042" t="s">
        <v>13629</v>
      </c>
      <c r="C17042" s="1" t="str">
        <f>HYPERLINK("http://www.genecards.org/cgi-bin/carddisp.pl?gene=NCLN","GeneCards")</f>
        <v>GeneCards</v>
      </c>
      <c r="D17042" s="1" t="str">
        <f>HYPERLINK("http://genome-euro.ucsc.edu/cgi-bin/hgTracks?position=215859_at","UCSC")</f>
        <v>UCSC</v>
      </c>
      <c r="E17042" s="1" t="str">
        <f>HYPERLINK("http://www.ncbi.nlm.nih.gov/gene/?term=NCLN","NCBI")</f>
        <v>NCBI</v>
      </c>
      <c r="F17042" t="s">
        <v>28391</v>
      </c>
      <c r="G17042">
        <v>1</v>
      </c>
      <c r="H17042" s="1" t="str">
        <f>HYPERLINK("http://www.weizmann.ac.il/complex/compphys/software/geview/data/figures/215859_at.png","Figure")</f>
        <v>Figure</v>
      </c>
      <c r="I17042">
        <v>1</v>
      </c>
      <c r="J17042">
        <v>1</v>
      </c>
      <c r="K17042">
        <v>1</v>
      </c>
      <c r="L17042">
        <v>1</v>
      </c>
      <c r="M17042">
        <v>1</v>
      </c>
      <c r="N17042">
        <v>1</v>
      </c>
    </row>
    <row r="17043" spans="1:14" x14ac:dyDescent="0.25">
      <c r="A17043" t="s">
        <v>28441</v>
      </c>
      <c r="B17043" t="s">
        <v>9774</v>
      </c>
      <c r="C17043" s="1" t="str">
        <f>HYPERLINK("http://www.genecards.org/cgi-bin/carddisp.pl?gene=GNAO1","GeneCards")</f>
        <v>GeneCards</v>
      </c>
      <c r="D17043" s="1" t="str">
        <f>HYPERLINK("http://genome-euro.ucsc.edu/cgi-bin/hgTracks?position=215912_at","UCSC")</f>
        <v>UCSC</v>
      </c>
      <c r="E17043" s="1" t="str">
        <f>HYPERLINK("http://www.ncbi.nlm.nih.gov/gene/?term=GNAO1","NCBI")</f>
        <v>NCBI</v>
      </c>
      <c r="F17043" t="s">
        <v>28391</v>
      </c>
      <c r="G17043">
        <v>1</v>
      </c>
      <c r="H17043" s="1" t="str">
        <f>HYPERLINK("http://www.weizmann.ac.il/complex/compphys/software/geview/data/figures/215912_at.png","Figure")</f>
        <v>Figure</v>
      </c>
      <c r="I17043">
        <v>1</v>
      </c>
      <c r="J17043">
        <v>1</v>
      </c>
      <c r="K17043">
        <v>1</v>
      </c>
      <c r="L17043">
        <v>1</v>
      </c>
      <c r="M17043">
        <v>1</v>
      </c>
      <c r="N17043">
        <v>1</v>
      </c>
    </row>
    <row r="17044" spans="1:14" x14ac:dyDescent="0.25">
      <c r="A17044" t="s">
        <v>28442</v>
      </c>
      <c r="B17044" t="s">
        <v>9317</v>
      </c>
      <c r="C17044" s="1" t="str">
        <f>HYPERLINK("http://www.genecards.org/cgi-bin/carddisp.pl?gene=LOC440366","GeneCards")</f>
        <v>GeneCards</v>
      </c>
      <c r="D17044" s="1" t="str">
        <f>HYPERLINK("http://genome-euro.ucsc.edu/cgi-bin/hgTracks?position=216193_at","UCSC")</f>
        <v>UCSC</v>
      </c>
      <c r="E17044" s="1" t="str">
        <f>HYPERLINK("http://www.ncbi.nlm.nih.gov/gene/?term=LOC440366","NCBI")</f>
        <v>NCBI</v>
      </c>
      <c r="F17044" t="s">
        <v>28391</v>
      </c>
      <c r="G17044">
        <v>1</v>
      </c>
      <c r="H17044" s="1" t="str">
        <f>HYPERLINK("http://www.weizmann.ac.il/complex/compphys/software/geview/data/figures/216193_at.png","Figure")</f>
        <v>Figure</v>
      </c>
      <c r="I17044">
        <v>1</v>
      </c>
      <c r="J17044">
        <v>1</v>
      </c>
      <c r="K17044">
        <v>1</v>
      </c>
      <c r="L17044">
        <v>1</v>
      </c>
      <c r="M17044">
        <v>1</v>
      </c>
      <c r="N17044">
        <v>1</v>
      </c>
    </row>
    <row r="17045" spans="1:14" x14ac:dyDescent="0.25">
      <c r="A17045" t="s">
        <v>28443</v>
      </c>
      <c r="B17045" t="s">
        <v>1065</v>
      </c>
      <c r="C17045" s="1" t="str">
        <f>HYPERLINK("http://www.genecards.org/cgi-bin/carddisp.pl?gene=NEK1","GeneCards")</f>
        <v>GeneCards</v>
      </c>
      <c r="D17045" s="1" t="str">
        <f>HYPERLINK("http://genome-euro.ucsc.edu/cgi-bin/hgTracks?position=216213_at","UCSC")</f>
        <v>UCSC</v>
      </c>
      <c r="E17045" s="1" t="str">
        <f>HYPERLINK("http://www.ncbi.nlm.nih.gov/gene/?term=NEK1","NCBI")</f>
        <v>NCBI</v>
      </c>
      <c r="F17045" t="s">
        <v>28391</v>
      </c>
      <c r="G17045">
        <v>1</v>
      </c>
      <c r="H17045" s="1" t="str">
        <f>HYPERLINK("http://www.weizmann.ac.il/complex/compphys/software/geview/data/figures/216213_at.png","Figure")</f>
        <v>Figure</v>
      </c>
      <c r="I17045">
        <v>1</v>
      </c>
      <c r="J17045">
        <v>1</v>
      </c>
      <c r="K17045">
        <v>1</v>
      </c>
      <c r="L17045">
        <v>1</v>
      </c>
      <c r="M17045">
        <v>1</v>
      </c>
      <c r="N17045">
        <v>1</v>
      </c>
    </row>
    <row r="17046" spans="1:14" x14ac:dyDescent="0.25">
      <c r="A17046" t="s">
        <v>28444</v>
      </c>
      <c r="B17046" t="s">
        <v>4284</v>
      </c>
      <c r="C17046" s="1" t="str">
        <f>HYPERLINK("http://www.genecards.org/cgi-bin/carddisp.pl?gene=PTPN12","GeneCards")</f>
        <v>GeneCards</v>
      </c>
      <c r="D17046" s="1" t="str">
        <f>HYPERLINK("http://genome-euro.ucsc.edu/cgi-bin/hgTracks?position=216884_at","UCSC")</f>
        <v>UCSC</v>
      </c>
      <c r="E17046" s="1" t="str">
        <f>HYPERLINK("http://www.ncbi.nlm.nih.gov/gene/?term=PTPN12","NCBI")</f>
        <v>NCBI</v>
      </c>
      <c r="F17046" t="s">
        <v>28391</v>
      </c>
      <c r="G17046">
        <v>1</v>
      </c>
      <c r="H17046" s="1" t="str">
        <f>HYPERLINK("http://www.weizmann.ac.il/complex/compphys/software/geview/data/figures/216884_at.png","Figure")</f>
        <v>Figure</v>
      </c>
      <c r="I17046">
        <v>1</v>
      </c>
      <c r="J17046">
        <v>1</v>
      </c>
      <c r="K17046">
        <v>1</v>
      </c>
      <c r="L17046">
        <v>1</v>
      </c>
      <c r="M17046">
        <v>1</v>
      </c>
      <c r="N17046">
        <v>1</v>
      </c>
    </row>
    <row r="17047" spans="1:14" x14ac:dyDescent="0.25">
      <c r="A17047" t="s">
        <v>28445</v>
      </c>
      <c r="B17047" t="s">
        <v>7752</v>
      </c>
      <c r="C17047" s="1" t="str">
        <f>HYPERLINK("http://www.genecards.org/cgi-bin/carddisp.pl?gene=COL6A1","GeneCards")</f>
        <v>GeneCards</v>
      </c>
      <c r="D17047" s="1" t="str">
        <f>HYPERLINK("http://genome-euro.ucsc.edu/cgi-bin/hgTracks?position=216904_at","UCSC")</f>
        <v>UCSC</v>
      </c>
      <c r="E17047" s="1" t="str">
        <f>HYPERLINK("http://www.ncbi.nlm.nih.gov/gene/?term=COL6A1","NCBI")</f>
        <v>NCBI</v>
      </c>
      <c r="F17047" t="s">
        <v>28391</v>
      </c>
      <c r="G17047">
        <v>1</v>
      </c>
      <c r="H17047" s="1" t="str">
        <f>HYPERLINK("http://www.weizmann.ac.il/complex/compphys/software/geview/data/figures/216904_at.png","Figure")</f>
        <v>Figure</v>
      </c>
      <c r="I17047">
        <v>1</v>
      </c>
      <c r="J17047">
        <v>1</v>
      </c>
      <c r="K17047">
        <v>1</v>
      </c>
      <c r="L17047">
        <v>1</v>
      </c>
      <c r="M17047">
        <v>1</v>
      </c>
      <c r="N17047">
        <v>1</v>
      </c>
    </row>
    <row r="17048" spans="1:14" x14ac:dyDescent="0.25">
      <c r="A17048" t="s">
        <v>28446</v>
      </c>
      <c r="B17048" t="s">
        <v>3937</v>
      </c>
      <c r="C17048" s="1" t="str">
        <f>HYPERLINK("http://www.genecards.org/cgi-bin/carddisp.pl?gene=ITGA2B","GeneCards")</f>
        <v>GeneCards</v>
      </c>
      <c r="D17048" s="1" t="str">
        <f>HYPERLINK("http://genome-euro.ucsc.edu/cgi-bin/hgTracks?position=216956_s_at","UCSC")</f>
        <v>UCSC</v>
      </c>
      <c r="E17048" s="1" t="str">
        <f>HYPERLINK("http://www.ncbi.nlm.nih.gov/gene/?term=ITGA2B","NCBI")</f>
        <v>NCBI</v>
      </c>
      <c r="F17048" t="s">
        <v>28391</v>
      </c>
      <c r="G17048">
        <v>1</v>
      </c>
      <c r="H17048" s="1" t="str">
        <f>HYPERLINK("http://www.weizmann.ac.il/complex/compphys/software/geview/data/figures/216956_s_at.png","Figure")</f>
        <v>Figure</v>
      </c>
      <c r="I17048">
        <v>1</v>
      </c>
      <c r="J17048">
        <v>1</v>
      </c>
      <c r="K17048">
        <v>1</v>
      </c>
      <c r="L17048">
        <v>1</v>
      </c>
      <c r="M17048">
        <v>1</v>
      </c>
      <c r="N17048">
        <v>1</v>
      </c>
    </row>
    <row r="17049" spans="1:14" x14ac:dyDescent="0.25">
      <c r="A17049" t="s">
        <v>28447</v>
      </c>
      <c r="B17049" t="s">
        <v>18011</v>
      </c>
      <c r="C17049" s="1" t="str">
        <f>HYPERLINK("http://www.genecards.org/cgi-bin/carddisp.pl?gene=CDC25C","GeneCards")</f>
        <v>GeneCards</v>
      </c>
      <c r="D17049" s="1" t="str">
        <f>HYPERLINK("http://genome-euro.ucsc.edu/cgi-bin/hgTracks?position=217010_s_at","UCSC")</f>
        <v>UCSC</v>
      </c>
      <c r="E17049" s="1" t="str">
        <f>HYPERLINK("http://www.ncbi.nlm.nih.gov/gene/?term=CDC25C","NCBI")</f>
        <v>NCBI</v>
      </c>
      <c r="F17049" t="s">
        <v>28391</v>
      </c>
      <c r="G17049">
        <v>1</v>
      </c>
      <c r="H17049" s="1" t="str">
        <f>HYPERLINK("http://www.weizmann.ac.il/complex/compphys/software/geview/data/figures/217010_s_at.png","Figure")</f>
        <v>Figure</v>
      </c>
      <c r="I17049">
        <v>1</v>
      </c>
      <c r="J17049">
        <v>1</v>
      </c>
      <c r="K17049">
        <v>1</v>
      </c>
      <c r="L17049">
        <v>1</v>
      </c>
      <c r="M17049">
        <v>1</v>
      </c>
      <c r="N17049">
        <v>1</v>
      </c>
    </row>
    <row r="17050" spans="1:14" x14ac:dyDescent="0.25">
      <c r="A17050" t="s">
        <v>28448</v>
      </c>
      <c r="B17050" t="s">
        <v>19325</v>
      </c>
      <c r="C17050" s="1" t="str">
        <f>HYPERLINK("http://www.genecards.org/cgi-bin/carddisp.pl?gene=MLL4","GeneCards")</f>
        <v>GeneCards</v>
      </c>
      <c r="D17050" s="1" t="str">
        <f>HYPERLINK("http://genome-euro.ucsc.edu/cgi-bin/hgTracks?position=217069_at","UCSC")</f>
        <v>UCSC</v>
      </c>
      <c r="E17050" s="1" t="str">
        <f>HYPERLINK("http://www.ncbi.nlm.nih.gov/gene/?term=MLL4","NCBI")</f>
        <v>NCBI</v>
      </c>
      <c r="F17050" t="s">
        <v>28391</v>
      </c>
      <c r="G17050">
        <v>1</v>
      </c>
      <c r="H17050" s="1" t="str">
        <f>HYPERLINK("http://www.weizmann.ac.il/complex/compphys/software/geview/data/figures/217069_at.png","Figure")</f>
        <v>Figure</v>
      </c>
      <c r="I17050">
        <v>1</v>
      </c>
      <c r="J17050">
        <v>1</v>
      </c>
      <c r="K17050">
        <v>1</v>
      </c>
      <c r="L17050">
        <v>1</v>
      </c>
      <c r="M17050">
        <v>1</v>
      </c>
      <c r="N17050">
        <v>1</v>
      </c>
    </row>
    <row r="17051" spans="1:14" x14ac:dyDescent="0.25">
      <c r="A17051" t="s">
        <v>28449</v>
      </c>
      <c r="B17051" t="s">
        <v>28450</v>
      </c>
      <c r="C17051" s="1" t="str">
        <f>HYPERLINK("http://www.genecards.org/cgi-bin/carddisp.pl?gene=OR7A10","GeneCards")</f>
        <v>GeneCards</v>
      </c>
      <c r="D17051" s="1" t="str">
        <f>HYPERLINK("http://genome-euro.ucsc.edu/cgi-bin/hgTracks?position=217316_at","UCSC")</f>
        <v>UCSC</v>
      </c>
      <c r="E17051" s="1" t="str">
        <f>HYPERLINK("http://www.ncbi.nlm.nih.gov/gene/?term=OR7A10","NCBI")</f>
        <v>NCBI</v>
      </c>
      <c r="F17051" t="s">
        <v>28391</v>
      </c>
      <c r="G17051">
        <v>1</v>
      </c>
      <c r="H17051" s="1" t="str">
        <f>HYPERLINK("http://www.weizmann.ac.il/complex/compphys/software/geview/data/figures/217316_at.png","Figure")</f>
        <v>Figure</v>
      </c>
      <c r="I17051">
        <v>1</v>
      </c>
      <c r="J17051">
        <v>1</v>
      </c>
      <c r="K17051">
        <v>1</v>
      </c>
      <c r="L17051">
        <v>1</v>
      </c>
      <c r="M17051">
        <v>1</v>
      </c>
      <c r="N17051">
        <v>1</v>
      </c>
    </row>
    <row r="17052" spans="1:14" x14ac:dyDescent="0.25">
      <c r="A17052" t="s">
        <v>28451</v>
      </c>
      <c r="B17052" t="s">
        <v>28452</v>
      </c>
      <c r="C17052" s="1" t="str">
        <f>HYPERLINK("http://www.genecards.org/cgi-bin/carddisp.pl?gene=SIX5","GeneCards")</f>
        <v>GeneCards</v>
      </c>
      <c r="D17052" s="1" t="str">
        <f>HYPERLINK("http://genome-euro.ucsc.edu/cgi-bin/hgTracks?position=217661_x_at","UCSC")</f>
        <v>UCSC</v>
      </c>
      <c r="E17052" s="1" t="str">
        <f>HYPERLINK("http://www.ncbi.nlm.nih.gov/gene/?term=SIX5","NCBI")</f>
        <v>NCBI</v>
      </c>
      <c r="F17052" t="s">
        <v>28391</v>
      </c>
      <c r="G17052">
        <v>1</v>
      </c>
      <c r="H17052" s="1" t="str">
        <f>HYPERLINK("http://www.weizmann.ac.il/complex/compphys/software/geview/data/figures/217661_x_at.png","Figure")</f>
        <v>Figure</v>
      </c>
      <c r="I17052">
        <v>1</v>
      </c>
      <c r="J17052">
        <v>1</v>
      </c>
      <c r="K17052">
        <v>1</v>
      </c>
      <c r="L17052">
        <v>1</v>
      </c>
      <c r="M17052">
        <v>1</v>
      </c>
      <c r="N17052">
        <v>1</v>
      </c>
    </row>
    <row r="17053" spans="1:14" x14ac:dyDescent="0.25">
      <c r="A17053" t="s">
        <v>28453</v>
      </c>
      <c r="B17053" t="s">
        <v>28454</v>
      </c>
      <c r="C17053" s="1" t="str">
        <f>HYPERLINK("http://www.genecards.org/cgi-bin/carddisp.pl?gene=C22orf36","GeneCards")</f>
        <v>GeneCards</v>
      </c>
      <c r="D17053" s="1" t="str">
        <f>HYPERLINK("http://genome-euro.ucsc.edu/cgi-bin/hgTracks?position=217668_at","UCSC")</f>
        <v>UCSC</v>
      </c>
      <c r="E17053" s="1" t="str">
        <f>HYPERLINK("http://www.ncbi.nlm.nih.gov/gene/?term=C22orf36","NCBI")</f>
        <v>NCBI</v>
      </c>
      <c r="F17053" t="s">
        <v>28391</v>
      </c>
      <c r="G17053">
        <v>1</v>
      </c>
      <c r="H17053" s="1" t="str">
        <f>HYPERLINK("http://www.weizmann.ac.il/complex/compphys/software/geview/data/figures/217668_at.png","Figure")</f>
        <v>Figure</v>
      </c>
      <c r="I17053">
        <v>1</v>
      </c>
      <c r="J17053">
        <v>1</v>
      </c>
      <c r="K17053">
        <v>1</v>
      </c>
      <c r="L17053">
        <v>1</v>
      </c>
      <c r="M17053">
        <v>1</v>
      </c>
      <c r="N17053">
        <v>1</v>
      </c>
    </row>
    <row r="17054" spans="1:14" x14ac:dyDescent="0.25">
      <c r="A17054" t="s">
        <v>28455</v>
      </c>
      <c r="B17054" t="s">
        <v>16452</v>
      </c>
      <c r="C17054" s="1" t="str">
        <f>HYPERLINK("http://www.genecards.org/cgi-bin/carddisp.pl?gene=RAB31","GeneCards")</f>
        <v>GeneCards</v>
      </c>
      <c r="D17054" s="1" t="str">
        <f>HYPERLINK("http://genome-euro.ucsc.edu/cgi-bin/hgTracks?position=217764_s_at","UCSC")</f>
        <v>UCSC</v>
      </c>
      <c r="E17054" s="1" t="str">
        <f>HYPERLINK("http://www.ncbi.nlm.nih.gov/gene/?term=RAB31","NCBI")</f>
        <v>NCBI</v>
      </c>
      <c r="F17054" t="s">
        <v>28391</v>
      </c>
      <c r="G17054">
        <v>1</v>
      </c>
      <c r="H17054" s="1" t="str">
        <f>HYPERLINK("http://www.weizmann.ac.il/complex/compphys/software/geview/data/figures/217764_s_at.png","Figure")</f>
        <v>Figure</v>
      </c>
      <c r="I17054">
        <v>1</v>
      </c>
      <c r="J17054">
        <v>1</v>
      </c>
      <c r="K17054">
        <v>1</v>
      </c>
      <c r="L17054">
        <v>1</v>
      </c>
      <c r="M17054">
        <v>1</v>
      </c>
      <c r="N17054">
        <v>1</v>
      </c>
    </row>
    <row r="17055" spans="1:14" x14ac:dyDescent="0.25">
      <c r="A17055" t="s">
        <v>28456</v>
      </c>
      <c r="B17055" t="s">
        <v>28457</v>
      </c>
      <c r="C17055" s="1" t="str">
        <f>HYPERLINK("http://www.genecards.org/cgi-bin/carddisp.pl?gene=PNMAL1","GeneCards")</f>
        <v>GeneCards</v>
      </c>
      <c r="D17055" s="1" t="str">
        <f>HYPERLINK("http://genome-euro.ucsc.edu/cgi-bin/hgTracks?position=218824_at","UCSC")</f>
        <v>UCSC</v>
      </c>
      <c r="E17055" s="1" t="str">
        <f>HYPERLINK("http://www.ncbi.nlm.nih.gov/gene/?term=PNMAL1","NCBI")</f>
        <v>NCBI</v>
      </c>
      <c r="F17055" t="s">
        <v>28391</v>
      </c>
      <c r="G17055">
        <v>1</v>
      </c>
      <c r="H17055" s="1" t="str">
        <f>HYPERLINK("http://www.weizmann.ac.il/complex/compphys/software/geview/data/figures/218824_at.png","Figure")</f>
        <v>Figure</v>
      </c>
      <c r="I17055">
        <v>1</v>
      </c>
      <c r="J17055">
        <v>1</v>
      </c>
      <c r="K17055">
        <v>1</v>
      </c>
      <c r="L17055">
        <v>1</v>
      </c>
      <c r="M17055">
        <v>1</v>
      </c>
      <c r="N17055">
        <v>1</v>
      </c>
    </row>
    <row r="17056" spans="1:14" x14ac:dyDescent="0.25">
      <c r="A17056" t="s">
        <v>28458</v>
      </c>
      <c r="B17056" t="s">
        <v>28459</v>
      </c>
      <c r="C17056" s="1" t="str">
        <f>HYPERLINK("http://www.genecards.org/cgi-bin/carddisp.pl?gene=ZAK","GeneCards")</f>
        <v>GeneCards</v>
      </c>
      <c r="D17056" s="1" t="str">
        <f>HYPERLINK("http://genome-euro.ucsc.edu/cgi-bin/hgTracks?position=218833_at","UCSC")</f>
        <v>UCSC</v>
      </c>
      <c r="E17056" s="1" t="str">
        <f>HYPERLINK("http://www.ncbi.nlm.nih.gov/gene/?term=ZAK","NCBI")</f>
        <v>NCBI</v>
      </c>
      <c r="F17056" t="s">
        <v>28391</v>
      </c>
      <c r="G17056">
        <v>1</v>
      </c>
      <c r="H17056" s="1" t="str">
        <f>HYPERLINK("http://www.weizmann.ac.il/complex/compphys/software/geview/data/figures/218833_at.png","Figure")</f>
        <v>Figure</v>
      </c>
      <c r="I17056">
        <v>1</v>
      </c>
      <c r="J17056">
        <v>1</v>
      </c>
      <c r="K17056">
        <v>1</v>
      </c>
      <c r="L17056">
        <v>1</v>
      </c>
      <c r="M17056">
        <v>1</v>
      </c>
      <c r="N17056">
        <v>1</v>
      </c>
    </row>
    <row r="17057" spans="1:14" x14ac:dyDescent="0.25">
      <c r="A17057" t="s">
        <v>28460</v>
      </c>
      <c r="B17057" t="s">
        <v>28461</v>
      </c>
      <c r="C17057" s="1" t="str">
        <f>HYPERLINK("http://www.genecards.org/cgi-bin/carddisp.pl?gene=TMEM177","GeneCards")</f>
        <v>GeneCards</v>
      </c>
      <c r="D17057" s="1" t="str">
        <f>HYPERLINK("http://genome-euro.ucsc.edu/cgi-bin/hgTracks?position=218897_at","UCSC")</f>
        <v>UCSC</v>
      </c>
      <c r="E17057" s="1" t="str">
        <f>HYPERLINK("http://www.ncbi.nlm.nih.gov/gene/?term=TMEM177","NCBI")</f>
        <v>NCBI</v>
      </c>
      <c r="F17057" t="s">
        <v>28391</v>
      </c>
      <c r="G17057">
        <v>1</v>
      </c>
      <c r="H17057" s="1" t="str">
        <f>HYPERLINK("http://www.weizmann.ac.il/complex/compphys/software/geview/data/figures/218897_at.png","Figure")</f>
        <v>Figure</v>
      </c>
      <c r="I17057">
        <v>1</v>
      </c>
      <c r="J17057">
        <v>1</v>
      </c>
      <c r="K17057">
        <v>1</v>
      </c>
      <c r="L17057">
        <v>1</v>
      </c>
      <c r="M17057">
        <v>1</v>
      </c>
      <c r="N17057">
        <v>1</v>
      </c>
    </row>
    <row r="17058" spans="1:14" x14ac:dyDescent="0.25">
      <c r="A17058" t="s">
        <v>28462</v>
      </c>
      <c r="B17058" t="s">
        <v>28463</v>
      </c>
      <c r="C17058" s="1" t="str">
        <f>HYPERLINK("http://www.genecards.org/cgi-bin/carddisp.pl?gene=RAD54B","GeneCards")</f>
        <v>GeneCards</v>
      </c>
      <c r="D17058" s="1" t="str">
        <f>HYPERLINK("http://genome-euro.ucsc.edu/cgi-bin/hgTracks?position=219494_at","UCSC")</f>
        <v>UCSC</v>
      </c>
      <c r="E17058" s="1" t="str">
        <f>HYPERLINK("http://www.ncbi.nlm.nih.gov/gene/?term=RAD54B","NCBI")</f>
        <v>NCBI</v>
      </c>
      <c r="F17058" t="s">
        <v>28391</v>
      </c>
      <c r="G17058">
        <v>1</v>
      </c>
      <c r="H17058" s="1" t="str">
        <f>HYPERLINK("http://www.weizmann.ac.il/complex/compphys/software/geview/data/figures/219494_at.png","Figure")</f>
        <v>Figure</v>
      </c>
      <c r="I17058">
        <v>1</v>
      </c>
      <c r="J17058">
        <v>1</v>
      </c>
      <c r="K17058">
        <v>1</v>
      </c>
      <c r="L17058">
        <v>1</v>
      </c>
      <c r="M17058">
        <v>1</v>
      </c>
      <c r="N17058">
        <v>1</v>
      </c>
    </row>
    <row r="17059" spans="1:14" x14ac:dyDescent="0.25">
      <c r="A17059" t="s">
        <v>28464</v>
      </c>
      <c r="B17059" t="s">
        <v>28465</v>
      </c>
      <c r="C17059" s="1" t="str">
        <f>HYPERLINK("http://www.genecards.org/cgi-bin/carddisp.pl?gene=DUOX1","GeneCards")</f>
        <v>GeneCards</v>
      </c>
      <c r="D17059" s="1" t="str">
        <f>HYPERLINK("http://genome-euro.ucsc.edu/cgi-bin/hgTracks?position=219597_s_at","UCSC")</f>
        <v>UCSC</v>
      </c>
      <c r="E17059" s="1" t="str">
        <f>HYPERLINK("http://www.ncbi.nlm.nih.gov/gene/?term=DUOX1","NCBI")</f>
        <v>NCBI</v>
      </c>
      <c r="F17059" t="s">
        <v>28391</v>
      </c>
      <c r="G17059">
        <v>1</v>
      </c>
      <c r="H17059" s="1" t="str">
        <f>HYPERLINK("http://www.weizmann.ac.il/complex/compphys/software/geview/data/figures/219597_s_at.png","Figure")</f>
        <v>Figure</v>
      </c>
      <c r="I17059">
        <v>1</v>
      </c>
      <c r="J17059">
        <v>1</v>
      </c>
      <c r="K17059">
        <v>1</v>
      </c>
      <c r="L17059">
        <v>1</v>
      </c>
      <c r="M17059">
        <v>1</v>
      </c>
      <c r="N17059">
        <v>1</v>
      </c>
    </row>
    <row r="17060" spans="1:14" x14ac:dyDescent="0.25">
      <c r="A17060" t="s">
        <v>28466</v>
      </c>
      <c r="B17060" t="s">
        <v>28467</v>
      </c>
      <c r="C17060" s="1" t="str">
        <f>HYPERLINK("http://www.genecards.org/cgi-bin/carddisp.pl?gene=POF1B","GeneCards")</f>
        <v>GeneCards</v>
      </c>
      <c r="D17060" s="1" t="str">
        <f>HYPERLINK("http://genome-euro.ucsc.edu/cgi-bin/hgTracks?position=219756_s_at","UCSC")</f>
        <v>UCSC</v>
      </c>
      <c r="E17060" s="1" t="str">
        <f>HYPERLINK("http://www.ncbi.nlm.nih.gov/gene/?term=POF1B","NCBI")</f>
        <v>NCBI</v>
      </c>
      <c r="F17060" t="s">
        <v>28391</v>
      </c>
      <c r="G17060">
        <v>1</v>
      </c>
      <c r="H17060" s="1" t="str">
        <f>HYPERLINK("http://www.weizmann.ac.il/complex/compphys/software/geview/data/figures/219756_s_at.png","Figure")</f>
        <v>Figure</v>
      </c>
      <c r="I17060">
        <v>1</v>
      </c>
      <c r="J17060">
        <v>1</v>
      </c>
      <c r="K17060">
        <v>1</v>
      </c>
      <c r="L17060">
        <v>1</v>
      </c>
      <c r="M17060">
        <v>1</v>
      </c>
      <c r="N17060">
        <v>1</v>
      </c>
    </row>
    <row r="17061" spans="1:14" x14ac:dyDescent="0.25">
      <c r="A17061" t="s">
        <v>28468</v>
      </c>
      <c r="B17061" t="s">
        <v>28469</v>
      </c>
      <c r="C17061" s="1" t="str">
        <f>HYPERLINK("http://www.genecards.org/cgi-bin/carddisp.pl?gene=HS3ST3A1","GeneCards")</f>
        <v>GeneCards</v>
      </c>
      <c r="D17061" s="1" t="str">
        <f>HYPERLINK("http://genome-euro.ucsc.edu/cgi-bin/hgTracks?position=219985_at","UCSC")</f>
        <v>UCSC</v>
      </c>
      <c r="E17061" s="1" t="str">
        <f>HYPERLINK("http://www.ncbi.nlm.nih.gov/gene/?term=HS3ST3A1","NCBI")</f>
        <v>NCBI</v>
      </c>
      <c r="F17061" t="s">
        <v>28391</v>
      </c>
      <c r="G17061">
        <v>1</v>
      </c>
      <c r="H17061" s="1" t="str">
        <f>HYPERLINK("http://www.weizmann.ac.il/complex/compphys/software/geview/data/figures/219985_at.png","Figure")</f>
        <v>Figure</v>
      </c>
      <c r="I17061">
        <v>1</v>
      </c>
      <c r="J17061">
        <v>1</v>
      </c>
      <c r="K17061">
        <v>1</v>
      </c>
      <c r="L17061">
        <v>1</v>
      </c>
      <c r="M17061">
        <v>1</v>
      </c>
      <c r="N17061">
        <v>1</v>
      </c>
    </row>
    <row r="17062" spans="1:14" x14ac:dyDescent="0.25">
      <c r="A17062" t="s">
        <v>28470</v>
      </c>
      <c r="B17062" t="s">
        <v>28471</v>
      </c>
      <c r="C17062" s="1" t="str">
        <f>HYPERLINK("http://www.genecards.org/cgi-bin/carddisp.pl?gene=TNNI3K","GeneCards")</f>
        <v>GeneCards</v>
      </c>
      <c r="D17062" s="1" t="str">
        <f>HYPERLINK("http://genome-euro.ucsc.edu/cgi-bin/hgTracks?position=220415_at","UCSC")</f>
        <v>UCSC</v>
      </c>
      <c r="E17062" s="1" t="str">
        <f>HYPERLINK("http://www.ncbi.nlm.nih.gov/gene/?term=TNNI3K","NCBI")</f>
        <v>NCBI</v>
      </c>
      <c r="F17062" t="s">
        <v>28391</v>
      </c>
      <c r="G17062">
        <v>1</v>
      </c>
      <c r="H17062" s="1" t="str">
        <f>HYPERLINK("http://www.weizmann.ac.il/complex/compphys/software/geview/data/figures/220415_at.png","Figure")</f>
        <v>Figure</v>
      </c>
      <c r="I17062">
        <v>1</v>
      </c>
      <c r="J17062">
        <v>1</v>
      </c>
      <c r="K17062">
        <v>1</v>
      </c>
      <c r="L17062">
        <v>1</v>
      </c>
      <c r="M17062">
        <v>1</v>
      </c>
      <c r="N17062">
        <v>1</v>
      </c>
    </row>
    <row r="17063" spans="1:14" x14ac:dyDescent="0.25">
      <c r="A17063" t="s">
        <v>28472</v>
      </c>
      <c r="B17063" t="s">
        <v>28473</v>
      </c>
      <c r="C17063" s="1" t="str">
        <f>HYPERLINK("http://www.genecards.org/cgi-bin/carddisp.pl?gene=C10orf92","GeneCards")</f>
        <v>GeneCards</v>
      </c>
      <c r="D17063" s="1" t="str">
        <f>HYPERLINK("http://genome-euro.ucsc.edu/cgi-bin/hgTracks?position=220539_at","UCSC")</f>
        <v>UCSC</v>
      </c>
      <c r="E17063" s="1" t="str">
        <f>HYPERLINK("http://www.ncbi.nlm.nih.gov/gene/?term=C10orf92","NCBI")</f>
        <v>NCBI</v>
      </c>
      <c r="F17063" t="s">
        <v>28391</v>
      </c>
      <c r="G17063">
        <v>1</v>
      </c>
      <c r="H17063" s="1" t="str">
        <f>HYPERLINK("http://www.weizmann.ac.il/complex/compphys/software/geview/data/figures/220539_at.png","Figure")</f>
        <v>Figure</v>
      </c>
      <c r="I17063">
        <v>1</v>
      </c>
      <c r="J17063">
        <v>1</v>
      </c>
      <c r="K17063">
        <v>1</v>
      </c>
      <c r="L17063">
        <v>1</v>
      </c>
      <c r="M17063">
        <v>1</v>
      </c>
      <c r="N17063">
        <v>1</v>
      </c>
    </row>
    <row r="17064" spans="1:14" x14ac:dyDescent="0.25">
      <c r="A17064" t="s">
        <v>28474</v>
      </c>
      <c r="B17064" t="s">
        <v>28475</v>
      </c>
      <c r="C17064" s="1" t="str">
        <f>HYPERLINK("http://www.genecards.org/cgi-bin/carddisp.pl?gene=FLJ14100","GeneCards")</f>
        <v>GeneCards</v>
      </c>
      <c r="D17064" s="1" t="str">
        <f>HYPERLINK("http://genome-euro.ucsc.edu/cgi-bin/hgTracks?position=220579_at","UCSC")</f>
        <v>UCSC</v>
      </c>
      <c r="E17064" s="1" t="str">
        <f>HYPERLINK("http://www.ncbi.nlm.nih.gov/gene/?term=FLJ14100","NCBI")</f>
        <v>NCBI</v>
      </c>
      <c r="F17064" t="s">
        <v>28391</v>
      </c>
      <c r="G17064">
        <v>1</v>
      </c>
      <c r="H17064" s="1" t="str">
        <f>HYPERLINK("http://www.weizmann.ac.il/complex/compphys/software/geview/data/figures/220579_at.png","Figure")</f>
        <v>Figure</v>
      </c>
      <c r="I17064">
        <v>1</v>
      </c>
      <c r="J17064">
        <v>1</v>
      </c>
      <c r="K17064">
        <v>1</v>
      </c>
      <c r="L17064">
        <v>1</v>
      </c>
      <c r="M17064">
        <v>1</v>
      </c>
      <c r="N17064">
        <v>1</v>
      </c>
    </row>
    <row r="17065" spans="1:14" x14ac:dyDescent="0.25">
      <c r="A17065" t="s">
        <v>28476</v>
      </c>
      <c r="B17065" t="s">
        <v>28477</v>
      </c>
      <c r="C17065" s="1" t="str">
        <f>HYPERLINK("http://www.genecards.org/cgi-bin/carddisp.pl?gene=GPHN","GeneCards")</f>
        <v>GeneCards</v>
      </c>
      <c r="D17065" s="1" t="str">
        <f>HYPERLINK("http://genome-euro.ucsc.edu/cgi-bin/hgTracks?position=220773_s_at","UCSC")</f>
        <v>UCSC</v>
      </c>
      <c r="E17065" s="1" t="str">
        <f>HYPERLINK("http://www.ncbi.nlm.nih.gov/gene/?term=GPHN","NCBI")</f>
        <v>NCBI</v>
      </c>
      <c r="F17065" t="s">
        <v>28391</v>
      </c>
      <c r="G17065">
        <v>1</v>
      </c>
      <c r="H17065" s="1" t="str">
        <f>HYPERLINK("http://www.weizmann.ac.il/complex/compphys/software/geview/data/figures/220773_s_at.png","Figure")</f>
        <v>Figure</v>
      </c>
      <c r="I17065">
        <v>1</v>
      </c>
      <c r="J17065">
        <v>1</v>
      </c>
      <c r="K17065">
        <v>1</v>
      </c>
      <c r="L17065">
        <v>1</v>
      </c>
      <c r="M17065">
        <v>1</v>
      </c>
      <c r="N17065">
        <v>1</v>
      </c>
    </row>
    <row r="17066" spans="1:14" x14ac:dyDescent="0.25">
      <c r="A17066" t="s">
        <v>28478</v>
      </c>
      <c r="B17066" t="s">
        <v>28479</v>
      </c>
      <c r="C17066" s="1" t="str">
        <f>HYPERLINK("http://www.genecards.org/cgi-bin/carddisp.pl?gene=RPA4","GeneCards")</f>
        <v>GeneCards</v>
      </c>
      <c r="D17066" s="1" t="str">
        <f>HYPERLINK("http://genome-euro.ucsc.edu/cgi-bin/hgTracks?position=221143_at","UCSC")</f>
        <v>UCSC</v>
      </c>
      <c r="E17066" s="1" t="str">
        <f>HYPERLINK("http://www.ncbi.nlm.nih.gov/gene/?term=RPA4","NCBI")</f>
        <v>NCBI</v>
      </c>
      <c r="F17066" t="s">
        <v>28391</v>
      </c>
      <c r="G17066">
        <v>1</v>
      </c>
      <c r="H17066" s="1" t="str">
        <f>HYPERLINK("http://www.weizmann.ac.il/complex/compphys/software/geview/data/figures/221143_at.png","Figure")</f>
        <v>Figure</v>
      </c>
      <c r="I17066">
        <v>1</v>
      </c>
      <c r="J17066">
        <v>1</v>
      </c>
      <c r="K17066">
        <v>1</v>
      </c>
      <c r="L17066">
        <v>1</v>
      </c>
      <c r="M17066">
        <v>1</v>
      </c>
      <c r="N17066">
        <v>1</v>
      </c>
    </row>
    <row r="17067" spans="1:14" x14ac:dyDescent="0.25">
      <c r="A17067" t="s">
        <v>28480</v>
      </c>
      <c r="B17067" t="s">
        <v>1847</v>
      </c>
      <c r="C17067" s="1" t="str">
        <f>HYPERLINK("http://www.genecards.org/cgi-bin/carddisp.pl?gene=PFDN6","GeneCards")</f>
        <v>GeneCards</v>
      </c>
      <c r="D17067" s="1" t="str">
        <f>HYPERLINK("http://genome-euro.ucsc.edu/cgi-bin/hgTracks?position=222019_at","UCSC")</f>
        <v>UCSC</v>
      </c>
      <c r="E17067" s="1" t="str">
        <f>HYPERLINK("http://www.ncbi.nlm.nih.gov/gene/?term=PFDN6","NCBI")</f>
        <v>NCBI</v>
      </c>
      <c r="F17067" t="s">
        <v>28391</v>
      </c>
      <c r="G17067">
        <v>1</v>
      </c>
      <c r="H17067" s="1" t="str">
        <f>HYPERLINK("http://www.weizmann.ac.il/complex/compphys/software/geview/data/figures/222019_at.png","Figure")</f>
        <v>Figure</v>
      </c>
      <c r="I17067">
        <v>1</v>
      </c>
      <c r="J17067">
        <v>1</v>
      </c>
      <c r="K17067">
        <v>1</v>
      </c>
      <c r="L17067">
        <v>1</v>
      </c>
      <c r="M17067">
        <v>1</v>
      </c>
      <c r="N17067">
        <v>1</v>
      </c>
    </row>
    <row r="17068" spans="1:14" x14ac:dyDescent="0.25">
      <c r="A17068" t="s">
        <v>28481</v>
      </c>
      <c r="B17068" t="s">
        <v>28482</v>
      </c>
      <c r="C17068" s="1" t="str">
        <f>HYPERLINK("http://www.genecards.org/cgi-bin/carddisp.pl?gene=POLR2J4","GeneCards")</f>
        <v>GeneCards</v>
      </c>
      <c r="D17068" s="1" t="str">
        <f>HYPERLINK("http://genome-euro.ucsc.edu/cgi-bin/hgTracks?position=222208_s_at","UCSC")</f>
        <v>UCSC</v>
      </c>
      <c r="E17068" s="1" t="str">
        <f>HYPERLINK("http://www.ncbi.nlm.nih.gov/gene/?term=POLR2J4","NCBI")</f>
        <v>NCBI</v>
      </c>
      <c r="F17068" t="s">
        <v>28391</v>
      </c>
      <c r="G17068">
        <v>1</v>
      </c>
      <c r="H17068" s="1" t="str">
        <f>HYPERLINK("http://www.weizmann.ac.il/complex/compphys/software/geview/data/figures/222208_s_at.png","Figure")</f>
        <v>Figure</v>
      </c>
      <c r="I17068">
        <v>1</v>
      </c>
      <c r="J17068">
        <v>1</v>
      </c>
      <c r="K17068">
        <v>1</v>
      </c>
      <c r="L17068">
        <v>1</v>
      </c>
      <c r="M17068">
        <v>1</v>
      </c>
      <c r="N17068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Weizmann Institute of Science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feassif</dc:creator>
  <cp:lastModifiedBy>feassif</cp:lastModifiedBy>
  <dcterms:created xsi:type="dcterms:W3CDTF">2016-12-14T21:34:18Z</dcterms:created>
  <dcterms:modified xsi:type="dcterms:W3CDTF">2016-12-21T17:32:07Z</dcterms:modified>
</cp:coreProperties>
</file>